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4.xml" ContentType="application/vnd.openxmlformats-officedocument.spreadsheetml.comments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eselhk.sharepoint.com/Shared Documents/c49/c49szx.cs-common/"/>
    </mc:Choice>
  </mc:AlternateContent>
  <xr:revisionPtr revIDLastSave="255" documentId="13_ncr:1_{1F79BC53-DCFC-4125-AF75-462EC93A9C4C}" xr6:coauthVersionLast="47" xr6:coauthVersionMax="47" xr10:uidLastSave="{4B869E11-CC36-49CA-930B-CB6CB2AE0DF9}"/>
  <bookViews>
    <workbookView xWindow="-120" yWindow="-120" windowWidth="29040" windowHeight="15840" tabRatio="723" activeTab="1" xr2:uid="{00000000-000D-0000-FFFF-FFFF00000000}"/>
  </bookViews>
  <sheets>
    <sheet name="Sheet2" sheetId="12" r:id="rId1"/>
    <sheet name="Stock_list" sheetId="1" r:id="rId2"/>
    <sheet name="NEW Feeder Reserved" sheetId="6" r:id="rId3"/>
    <sheet name="Feeder Summary" sheetId="7" r:id="rId4"/>
    <sheet name="Nozzle" sheetId="36" r:id="rId5"/>
    <sheet name="Nozzle Summary" sheetId="37" r:id="rId6"/>
    <sheet name="Moving chart" sheetId="35" r:id="rId7"/>
    <sheet name="Feeder Data" sheetId="34" r:id="rId8"/>
    <sheet name="NEW Feeder Reserved 2022-11-29前" sheetId="33" r:id="rId9"/>
    <sheet name="PO Summary" sheetId="16" r:id="rId10"/>
    <sheet name="BY modle" sheetId="26" r:id="rId11"/>
    <sheet name="Sheet4" sheetId="39" r:id="rId12"/>
    <sheet name="By month" sheetId="27" r:id="rId13"/>
    <sheet name="delivery forecast" sheetId="19" r:id="rId14"/>
    <sheet name="Sheet5" sheetId="38" r:id="rId15"/>
    <sheet name="Data pick slip" sheetId="2" r:id="rId16"/>
    <sheet name="Sheet1" sheetId="17" r:id="rId17"/>
    <sheet name="Sheet3" sheetId="20" r:id="rId18"/>
  </sheets>
  <externalReferences>
    <externalReference r:id="rId19"/>
  </externalReferences>
  <definedNames>
    <definedName name="_xlnm._FilterDatabase" localSheetId="7" hidden="1">'Feeder Data'!$A$1:$E$241</definedName>
    <definedName name="_xlnm._FilterDatabase" localSheetId="3" hidden="1">'Feeder Summary'!$A$2:$M$66</definedName>
    <definedName name="_xlnm._FilterDatabase" localSheetId="2" hidden="1">'NEW Feeder Reserved'!$A$1:$U$590</definedName>
    <definedName name="_xlnm._FilterDatabase" localSheetId="8" hidden="1">'NEW Feeder Reserved 2022-11-29前'!$A$1:$U$3726</definedName>
    <definedName name="_xlnm._FilterDatabase" localSheetId="4" hidden="1">Nozzle!$A$1:$V$210</definedName>
    <definedName name="_xlnm._FilterDatabase" localSheetId="16" hidden="1">Sheet1!$A$1:$F$180</definedName>
    <definedName name="_xlnm._FilterDatabase" localSheetId="1" hidden="1">Stock_list!$A$1:$BQ$2532</definedName>
    <definedName name="OLE_LINK12" localSheetId="1">Stock_list!$N$1251</definedName>
    <definedName name="切片器_Item">#N/A</definedName>
    <definedName name="切片器_Warehouse">#N/A</definedName>
  </definedNames>
  <calcPr calcId="191028"/>
  <pivotCaches>
    <pivotCache cacheId="1" r:id="rId20"/>
    <pivotCache cacheId="2" r:id="rId21"/>
    <pivotCache cacheId="3" r:id="rId22"/>
    <pivotCache cacheId="4" r:id="rId23"/>
    <pivotCache cacheId="5" r:id="rId24"/>
    <pivotCache cacheId="6" r:id="rId25"/>
    <pivotCache cacheId="7" r:id="rId26"/>
    <pivotCache cacheId="8" r:id="rId27"/>
    <pivotCache cacheId="10" r:id="rId28"/>
    <pivotCache cacheId="27" r:id="rId29"/>
  </pivotCaches>
  <extLst>
    <ext xmlns:x14="http://schemas.microsoft.com/office/spreadsheetml/2009/9/main" uri="{BBE1A952-AA13-448e-AADC-164F8A28A991}">
      <x14:slicerCaches>
        <x14:slicerCache r:id="rId30"/>
        <x14:slicerCache r:id="rId31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81" i="36" l="1"/>
  <c r="C178" i="36"/>
  <c r="C179" i="36"/>
  <c r="C180" i="36"/>
  <c r="C182" i="36"/>
  <c r="S160" i="7"/>
  <c r="R160" i="7"/>
  <c r="S159" i="7"/>
  <c r="R159" i="7"/>
  <c r="S158" i="7"/>
  <c r="R158" i="7"/>
  <c r="S157" i="7"/>
  <c r="R157" i="7"/>
  <c r="S156" i="7"/>
  <c r="R156" i="7"/>
  <c r="S155" i="7"/>
  <c r="R155" i="7"/>
  <c r="S154" i="7"/>
  <c r="R154" i="7"/>
  <c r="S153" i="7"/>
  <c r="R153" i="7"/>
  <c r="S152" i="7"/>
  <c r="R152" i="7"/>
  <c r="S151" i="7"/>
  <c r="R151" i="7"/>
  <c r="S150" i="7"/>
  <c r="R150" i="7"/>
  <c r="S149" i="7"/>
  <c r="R149" i="7"/>
  <c r="S148" i="7"/>
  <c r="R148" i="7"/>
  <c r="S147" i="7"/>
  <c r="R147" i="7"/>
  <c r="S146" i="7"/>
  <c r="R146" i="7"/>
  <c r="Q161" i="7"/>
  <c r="L160" i="7"/>
  <c r="K160" i="7"/>
  <c r="L159" i="7"/>
  <c r="K159" i="7"/>
  <c r="L158" i="7"/>
  <c r="K158" i="7"/>
  <c r="L157" i="7"/>
  <c r="K157" i="7"/>
  <c r="L156" i="7"/>
  <c r="K156" i="7"/>
  <c r="L155" i="7"/>
  <c r="K155" i="7"/>
  <c r="L154" i="7"/>
  <c r="K154" i="7"/>
  <c r="L153" i="7"/>
  <c r="K153" i="7"/>
  <c r="L152" i="7"/>
  <c r="K152" i="7"/>
  <c r="L151" i="7"/>
  <c r="K151" i="7"/>
  <c r="L150" i="7"/>
  <c r="K150" i="7"/>
  <c r="L149" i="7"/>
  <c r="K149" i="7"/>
  <c r="L148" i="7"/>
  <c r="K148" i="7"/>
  <c r="L147" i="7"/>
  <c r="K147" i="7"/>
  <c r="L146" i="7"/>
  <c r="K146" i="7"/>
  <c r="U523" i="6"/>
  <c r="B523" i="6"/>
  <c r="U522" i="6"/>
  <c r="B522" i="6"/>
  <c r="U521" i="6"/>
  <c r="B521" i="6"/>
  <c r="U520" i="6"/>
  <c r="B520" i="6"/>
  <c r="J161" i="7"/>
  <c r="E88" i="36"/>
  <c r="C88" i="36"/>
  <c r="E87" i="36"/>
  <c r="C87" i="36"/>
  <c r="E86" i="36"/>
  <c r="C86" i="36"/>
  <c r="E85" i="36"/>
  <c r="C85" i="36"/>
  <c r="E90" i="36"/>
  <c r="C90" i="36"/>
  <c r="E89" i="36"/>
  <c r="C89" i="36"/>
  <c r="E91" i="36"/>
  <c r="C91" i="36"/>
  <c r="C84" i="36"/>
  <c r="C83" i="36"/>
  <c r="C82" i="36"/>
  <c r="C177" i="36"/>
  <c r="C176" i="36"/>
  <c r="C175" i="36"/>
  <c r="C174" i="36"/>
  <c r="C173" i="36"/>
  <c r="C81" i="36"/>
  <c r="C80" i="36"/>
  <c r="C172" i="36"/>
  <c r="C171" i="36"/>
  <c r="J5" i="12"/>
  <c r="J6" i="12"/>
  <c r="K5" i="12"/>
  <c r="J15" i="12"/>
  <c r="K15" i="12"/>
  <c r="J16" i="12"/>
  <c r="J29" i="12"/>
  <c r="K29" i="12"/>
  <c r="J30" i="12"/>
  <c r="C170" i="36"/>
  <c r="C169" i="36"/>
  <c r="C168" i="36"/>
  <c r="C167" i="36"/>
  <c r="C166" i="36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1462" i="1"/>
  <c r="AV1463" i="1"/>
  <c r="AV1464" i="1"/>
  <c r="AV1465" i="1"/>
  <c r="AV1466" i="1"/>
  <c r="AV1467" i="1"/>
  <c r="AV1468" i="1"/>
  <c r="AV1469" i="1"/>
  <c r="AV1470" i="1"/>
  <c r="AV1471" i="1"/>
  <c r="AV1472" i="1"/>
  <c r="AV1473" i="1"/>
  <c r="AV1474" i="1"/>
  <c r="AV1475" i="1"/>
  <c r="AV1476" i="1"/>
  <c r="AV1477" i="1"/>
  <c r="AV1478" i="1"/>
  <c r="AV1479" i="1"/>
  <c r="AV1480" i="1"/>
  <c r="AV1481" i="1"/>
  <c r="AV1482" i="1"/>
  <c r="AV1483" i="1"/>
  <c r="AV1484" i="1"/>
  <c r="AV1485" i="1"/>
  <c r="AV1486" i="1"/>
  <c r="AV1487" i="1"/>
  <c r="AV1488" i="1"/>
  <c r="AV1489" i="1"/>
  <c r="AV1490" i="1"/>
  <c r="AV1491" i="1"/>
  <c r="AV1492" i="1"/>
  <c r="AV1493" i="1"/>
  <c r="AV1494" i="1"/>
  <c r="AV1495" i="1"/>
  <c r="AV1496" i="1"/>
  <c r="AV1497" i="1"/>
  <c r="AV1498" i="1"/>
  <c r="AV1499" i="1"/>
  <c r="AV1500" i="1"/>
  <c r="AV1501" i="1"/>
  <c r="AV1502" i="1"/>
  <c r="AV1503" i="1"/>
  <c r="AV1504" i="1"/>
  <c r="AV1505" i="1"/>
  <c r="AV1506" i="1"/>
  <c r="AV1507" i="1"/>
  <c r="AV1508" i="1"/>
  <c r="AV1509" i="1"/>
  <c r="AV1510" i="1"/>
  <c r="AV1511" i="1"/>
  <c r="AV1512" i="1"/>
  <c r="AV1513" i="1"/>
  <c r="AV1514" i="1"/>
  <c r="AV1515" i="1"/>
  <c r="AV1516" i="1"/>
  <c r="AV1517" i="1"/>
  <c r="AV1518" i="1"/>
  <c r="AV1519" i="1"/>
  <c r="AV1520" i="1"/>
  <c r="AV1521" i="1"/>
  <c r="AV1522" i="1"/>
  <c r="AV1523" i="1"/>
  <c r="AV1524" i="1"/>
  <c r="AV1525" i="1"/>
  <c r="AV1526" i="1"/>
  <c r="AV1527" i="1"/>
  <c r="AV1528" i="1"/>
  <c r="AV1529" i="1"/>
  <c r="AV1530" i="1"/>
  <c r="AV1531" i="1"/>
  <c r="AV1532" i="1"/>
  <c r="AV1533" i="1"/>
  <c r="AV1534" i="1"/>
  <c r="AV1535" i="1"/>
  <c r="AV1536" i="1"/>
  <c r="AV1537" i="1"/>
  <c r="AV1538" i="1"/>
  <c r="AV1539" i="1"/>
  <c r="AV1540" i="1"/>
  <c r="AV1541" i="1"/>
  <c r="AV1542" i="1"/>
  <c r="AV1543" i="1"/>
  <c r="AV1544" i="1"/>
  <c r="AV1545" i="1"/>
  <c r="AV1546" i="1"/>
  <c r="AV1547" i="1"/>
  <c r="AV1548" i="1"/>
  <c r="AV1549" i="1"/>
  <c r="AV1550" i="1"/>
  <c r="AV1551" i="1"/>
  <c r="AV1552" i="1"/>
  <c r="AV1553" i="1"/>
  <c r="AV1554" i="1"/>
  <c r="AV1555" i="1"/>
  <c r="AV1556" i="1"/>
  <c r="AV1557" i="1"/>
  <c r="AV1558" i="1"/>
  <c r="AV1559" i="1"/>
  <c r="AV1560" i="1"/>
  <c r="AV1561" i="1"/>
  <c r="AV1562" i="1"/>
  <c r="AV1563" i="1"/>
  <c r="AV1564" i="1"/>
  <c r="AV1565" i="1"/>
  <c r="AV1566" i="1"/>
  <c r="AV1567" i="1"/>
  <c r="AV1568" i="1"/>
  <c r="AV1569" i="1"/>
  <c r="AV1571" i="1"/>
  <c r="AV1572" i="1"/>
  <c r="AV1573" i="1"/>
  <c r="AV1574" i="1"/>
  <c r="AV1570" i="1"/>
  <c r="AV1575" i="1"/>
  <c r="AV1576" i="1"/>
  <c r="AV1577" i="1"/>
  <c r="AV1578" i="1"/>
  <c r="AV1579" i="1"/>
  <c r="AV1580" i="1"/>
  <c r="AV1581" i="1"/>
  <c r="AV1582" i="1"/>
  <c r="AV1583" i="1"/>
  <c r="AV1584" i="1"/>
  <c r="AV1585" i="1"/>
  <c r="AV1586" i="1"/>
  <c r="AV1587" i="1"/>
  <c r="AV1588" i="1"/>
  <c r="AV1589" i="1"/>
  <c r="AV1590" i="1"/>
  <c r="AV1591" i="1"/>
  <c r="AV1592" i="1"/>
  <c r="AV1593" i="1"/>
  <c r="AV1594" i="1"/>
  <c r="AV1595" i="1"/>
  <c r="AV1596" i="1"/>
  <c r="AV1597" i="1"/>
  <c r="AV1598" i="1"/>
  <c r="AV1599" i="1"/>
  <c r="AV1600" i="1"/>
  <c r="AV1601" i="1"/>
  <c r="AV1602" i="1"/>
  <c r="AV1603" i="1"/>
  <c r="AV1604" i="1"/>
  <c r="AV1605" i="1"/>
  <c r="AV1606" i="1"/>
  <c r="AV1607" i="1"/>
  <c r="AV1608" i="1"/>
  <c r="AV1609" i="1"/>
  <c r="AV1610" i="1"/>
  <c r="AV1611" i="1"/>
  <c r="AV1612" i="1"/>
  <c r="AV1613" i="1"/>
  <c r="AV1614" i="1"/>
  <c r="AV1615" i="1"/>
  <c r="AV1616" i="1"/>
  <c r="AV1617" i="1"/>
  <c r="AV1618" i="1"/>
  <c r="AV1619" i="1"/>
  <c r="AV1620" i="1"/>
  <c r="AV1621" i="1"/>
  <c r="AV1622" i="1"/>
  <c r="AV1623" i="1"/>
  <c r="AV1624" i="1"/>
  <c r="AV1625" i="1"/>
  <c r="AV1626" i="1"/>
  <c r="AV1627" i="1"/>
  <c r="AV1628" i="1"/>
  <c r="AV1629" i="1"/>
  <c r="AV1630" i="1"/>
  <c r="AV1631" i="1"/>
  <c r="AV1632" i="1"/>
  <c r="AV1633" i="1"/>
  <c r="AV1634" i="1"/>
  <c r="AV1635" i="1"/>
  <c r="AV1636" i="1"/>
  <c r="AV1637" i="1"/>
  <c r="AV1638" i="1"/>
  <c r="AV1639" i="1"/>
  <c r="AV1640" i="1"/>
  <c r="AV1641" i="1"/>
  <c r="AV1642" i="1"/>
  <c r="AV1643" i="1"/>
  <c r="AV1644" i="1"/>
  <c r="AV1645" i="1"/>
  <c r="AV1646" i="1"/>
  <c r="AV1647" i="1"/>
  <c r="AV1648" i="1"/>
  <c r="AV1649" i="1"/>
  <c r="AV1650" i="1"/>
  <c r="AV1651" i="1"/>
  <c r="AV1652" i="1"/>
  <c r="AV1653" i="1"/>
  <c r="AV1654" i="1"/>
  <c r="AV1655" i="1"/>
  <c r="AV1656" i="1"/>
  <c r="AV1657" i="1"/>
  <c r="AV1658" i="1"/>
  <c r="AV1659" i="1"/>
  <c r="AV1660" i="1"/>
  <c r="AV1661" i="1"/>
  <c r="AV1662" i="1"/>
  <c r="AV1663" i="1"/>
  <c r="AV1664" i="1"/>
  <c r="AV1665" i="1"/>
  <c r="AV1666" i="1"/>
  <c r="AV1667" i="1"/>
  <c r="AV1668" i="1"/>
  <c r="AV1669" i="1"/>
  <c r="AV1670" i="1"/>
  <c r="AV1671" i="1"/>
  <c r="AV1672" i="1"/>
  <c r="AV1673" i="1"/>
  <c r="AV1674" i="1"/>
  <c r="AV1675" i="1"/>
  <c r="AV1676" i="1"/>
  <c r="AV1677" i="1"/>
  <c r="AV1678" i="1"/>
  <c r="AV1679" i="1"/>
  <c r="AV1680" i="1"/>
  <c r="AV1681" i="1"/>
  <c r="AV1682" i="1"/>
  <c r="AV1683" i="1"/>
  <c r="AV1684" i="1"/>
  <c r="AV1685" i="1"/>
  <c r="AV1686" i="1"/>
  <c r="AV1687" i="1"/>
  <c r="AV1688" i="1"/>
  <c r="AV1689" i="1"/>
  <c r="AV1690" i="1"/>
  <c r="AV1691" i="1"/>
  <c r="AV1692" i="1"/>
  <c r="AV1693" i="1"/>
  <c r="AV1694" i="1"/>
  <c r="AV1695" i="1"/>
  <c r="AV1696" i="1"/>
  <c r="AV1697" i="1"/>
  <c r="AV1698" i="1"/>
  <c r="AV1699" i="1"/>
  <c r="AV1700" i="1"/>
  <c r="AV1701" i="1"/>
  <c r="AV1702" i="1"/>
  <c r="AV1703" i="1"/>
  <c r="AV1704" i="1"/>
  <c r="AV1705" i="1"/>
  <c r="AV1706" i="1"/>
  <c r="AV1707" i="1"/>
  <c r="AV1708" i="1"/>
  <c r="AV1709" i="1"/>
  <c r="AV1710" i="1"/>
  <c r="AV1711" i="1"/>
  <c r="AV1712" i="1"/>
  <c r="AV1713" i="1"/>
  <c r="AV1714" i="1"/>
  <c r="AV1715" i="1"/>
  <c r="AV1716" i="1"/>
  <c r="AV1717" i="1"/>
  <c r="AV1718" i="1"/>
  <c r="AV1719" i="1"/>
  <c r="AV1720" i="1"/>
  <c r="AV1721" i="1"/>
  <c r="AV1722" i="1"/>
  <c r="AV1723" i="1"/>
  <c r="AV1724" i="1"/>
  <c r="AV1725" i="1"/>
  <c r="AV1726" i="1"/>
  <c r="AV1727" i="1"/>
  <c r="AV1728" i="1"/>
  <c r="AV1729" i="1"/>
  <c r="AV1730" i="1"/>
  <c r="AV1731" i="1"/>
  <c r="AV1732" i="1"/>
  <c r="AV1733" i="1"/>
  <c r="AV1734" i="1"/>
  <c r="AV1735" i="1"/>
  <c r="AV1736" i="1"/>
  <c r="AV1737" i="1"/>
  <c r="AV1738" i="1"/>
  <c r="AV1739" i="1"/>
  <c r="AV1740" i="1"/>
  <c r="AV1741" i="1"/>
  <c r="AV1742" i="1"/>
  <c r="AV1743" i="1"/>
  <c r="AV1744" i="1"/>
  <c r="AV1745" i="1"/>
  <c r="AV1746" i="1"/>
  <c r="AV1747" i="1"/>
  <c r="AV1748" i="1"/>
  <c r="AV1749" i="1"/>
  <c r="AV1750" i="1"/>
  <c r="AV1751" i="1"/>
  <c r="AV1752" i="1"/>
  <c r="AV1753" i="1"/>
  <c r="AV1754" i="1"/>
  <c r="AV1755" i="1"/>
  <c r="AV1756" i="1"/>
  <c r="AV1757" i="1"/>
  <c r="AV1758" i="1"/>
  <c r="AV1759" i="1"/>
  <c r="AV1760" i="1"/>
  <c r="AV1761" i="1"/>
  <c r="AV1762" i="1"/>
  <c r="AV1763" i="1"/>
  <c r="AV1764" i="1"/>
  <c r="AV1765" i="1"/>
  <c r="AV1766" i="1"/>
  <c r="AV1767" i="1"/>
  <c r="AV1768" i="1"/>
  <c r="AV1769" i="1"/>
  <c r="AV1770" i="1"/>
  <c r="AV1771" i="1"/>
  <c r="AV1772" i="1"/>
  <c r="AV1773" i="1"/>
  <c r="AV1774" i="1"/>
  <c r="AV1775" i="1"/>
  <c r="AV1776" i="1"/>
  <c r="AV1777" i="1"/>
  <c r="AV1778" i="1"/>
  <c r="AV1779" i="1"/>
  <c r="AV1780" i="1"/>
  <c r="AV1781" i="1"/>
  <c r="AV1782" i="1"/>
  <c r="AV1783" i="1"/>
  <c r="AV1784" i="1"/>
  <c r="AV1785" i="1"/>
  <c r="AV1786" i="1"/>
  <c r="AV1787" i="1"/>
  <c r="AV1788" i="1"/>
  <c r="AV1789" i="1"/>
  <c r="AV1790" i="1"/>
  <c r="AV1791" i="1"/>
  <c r="AV1792" i="1"/>
  <c r="AV1793" i="1"/>
  <c r="AV1794" i="1"/>
  <c r="AV1795" i="1"/>
  <c r="AV1796" i="1"/>
  <c r="AV1797" i="1"/>
  <c r="AV1798" i="1"/>
  <c r="AV1799" i="1"/>
  <c r="AV1800" i="1"/>
  <c r="AV1801" i="1"/>
  <c r="AV1802" i="1"/>
  <c r="AV1803" i="1"/>
  <c r="AV1804" i="1"/>
  <c r="AV1805" i="1"/>
  <c r="AV1806" i="1"/>
  <c r="AV1807" i="1"/>
  <c r="AV1808" i="1"/>
  <c r="AV1809" i="1"/>
  <c r="AV1810" i="1"/>
  <c r="AV1811" i="1"/>
  <c r="AV1812" i="1"/>
  <c r="AV1813" i="1"/>
  <c r="AV1814" i="1"/>
  <c r="AV1815" i="1"/>
  <c r="AV1816" i="1"/>
  <c r="AV1817" i="1"/>
  <c r="AV1818" i="1"/>
  <c r="AV1819" i="1"/>
  <c r="AV1820" i="1"/>
  <c r="AV1821" i="1"/>
  <c r="AV1822" i="1"/>
  <c r="AV1823" i="1"/>
  <c r="AV1824" i="1"/>
  <c r="AV1825" i="1"/>
  <c r="AV1826" i="1"/>
  <c r="AV1827" i="1"/>
  <c r="AV1828" i="1"/>
  <c r="AV1829" i="1"/>
  <c r="AV1830" i="1"/>
  <c r="AV1831" i="1"/>
  <c r="AV1832" i="1"/>
  <c r="AV1833" i="1"/>
  <c r="AV1834" i="1"/>
  <c r="AV1835" i="1"/>
  <c r="AV1836" i="1"/>
  <c r="AV1837" i="1"/>
  <c r="AV1838" i="1"/>
  <c r="AV1839" i="1"/>
  <c r="AV1840" i="1"/>
  <c r="AV1841" i="1"/>
  <c r="AV1842" i="1"/>
  <c r="AV1843" i="1"/>
  <c r="AV1844" i="1"/>
  <c r="AV1845" i="1"/>
  <c r="AV1846" i="1"/>
  <c r="AV1847" i="1"/>
  <c r="AV1848" i="1"/>
  <c r="AV1849" i="1"/>
  <c r="AV1850" i="1"/>
  <c r="AV1851" i="1"/>
  <c r="AV1852" i="1"/>
  <c r="AV1853" i="1"/>
  <c r="AV1854" i="1"/>
  <c r="AV1855" i="1"/>
  <c r="AV1856" i="1"/>
  <c r="AV1857" i="1"/>
  <c r="AV1858" i="1"/>
  <c r="AV1859" i="1"/>
  <c r="AV1860" i="1"/>
  <c r="AV1861" i="1"/>
  <c r="AV1862" i="1"/>
  <c r="AV1863" i="1"/>
  <c r="AV1864" i="1"/>
  <c r="AV1865" i="1"/>
  <c r="AV1866" i="1"/>
  <c r="AV1867" i="1"/>
  <c r="AV1868" i="1"/>
  <c r="AV1869" i="1"/>
  <c r="AV1870" i="1"/>
  <c r="AV1871" i="1"/>
  <c r="AV1872" i="1"/>
  <c r="AV1873" i="1"/>
  <c r="AV1874" i="1"/>
  <c r="AV1875" i="1"/>
  <c r="AV1876" i="1"/>
  <c r="AV1877" i="1"/>
  <c r="AV1878" i="1"/>
  <c r="AV1879" i="1"/>
  <c r="AV1880" i="1"/>
  <c r="AV1881" i="1"/>
  <c r="AV1882" i="1"/>
  <c r="AV1883" i="1"/>
  <c r="AV1884" i="1"/>
  <c r="AV1885" i="1"/>
  <c r="AV1886" i="1"/>
  <c r="AV1887" i="1"/>
  <c r="AV1888" i="1"/>
  <c r="AV1889" i="1"/>
  <c r="AV1890" i="1"/>
  <c r="AV1891" i="1"/>
  <c r="AV1892" i="1"/>
  <c r="AV1893" i="1"/>
  <c r="AV1894" i="1"/>
  <c r="AV1895" i="1"/>
  <c r="AV1896" i="1"/>
  <c r="AV1897" i="1"/>
  <c r="AV1898" i="1"/>
  <c r="AV1899" i="1"/>
  <c r="AV1900" i="1"/>
  <c r="AV1901" i="1"/>
  <c r="AV1902" i="1"/>
  <c r="AV1903" i="1"/>
  <c r="AV1904" i="1"/>
  <c r="AV1905" i="1"/>
  <c r="AV1906" i="1"/>
  <c r="AV1907" i="1"/>
  <c r="AV1908" i="1"/>
  <c r="AV1909" i="1"/>
  <c r="AV1910" i="1"/>
  <c r="AV1911" i="1"/>
  <c r="AV1912" i="1"/>
  <c r="AV1913" i="1"/>
  <c r="AV1914" i="1"/>
  <c r="AV1915" i="1"/>
  <c r="AV1916" i="1"/>
  <c r="AV1917" i="1"/>
  <c r="AV1918" i="1"/>
  <c r="AV1919" i="1"/>
  <c r="AV1920" i="1"/>
  <c r="AV1921" i="1"/>
  <c r="AV1922" i="1"/>
  <c r="AV1923" i="1"/>
  <c r="AV1924" i="1"/>
  <c r="AV1925" i="1"/>
  <c r="AV1926" i="1"/>
  <c r="AV1927" i="1"/>
  <c r="AV1928" i="1"/>
  <c r="AV1929" i="1"/>
  <c r="AV1930" i="1"/>
  <c r="AV1931" i="1"/>
  <c r="AV1932" i="1"/>
  <c r="AV1933" i="1"/>
  <c r="AV1934" i="1"/>
  <c r="AV1935" i="1"/>
  <c r="AV1936" i="1"/>
  <c r="AV1937" i="1"/>
  <c r="AV1938" i="1"/>
  <c r="AV1939" i="1"/>
  <c r="AV1940" i="1"/>
  <c r="AV1941" i="1"/>
  <c r="AV1942" i="1"/>
  <c r="AV1943" i="1"/>
  <c r="AV1944" i="1"/>
  <c r="AV1945" i="1"/>
  <c r="AV1946" i="1"/>
  <c r="AV1947" i="1"/>
  <c r="AV1948" i="1"/>
  <c r="AV1949" i="1"/>
  <c r="AV1950" i="1"/>
  <c r="AV1951" i="1"/>
  <c r="AV1952" i="1"/>
  <c r="AV1953" i="1"/>
  <c r="AV1954" i="1"/>
  <c r="AV1955" i="1"/>
  <c r="AV1956" i="1"/>
  <c r="AV1957" i="1"/>
  <c r="AV1958" i="1"/>
  <c r="AV1959" i="1"/>
  <c r="AV1960" i="1"/>
  <c r="AV1961" i="1"/>
  <c r="AV1962" i="1"/>
  <c r="AV1963" i="1"/>
  <c r="AV1964" i="1"/>
  <c r="AV1965" i="1"/>
  <c r="AV1966" i="1"/>
  <c r="AV1967" i="1"/>
  <c r="AV1968" i="1"/>
  <c r="AV1969" i="1"/>
  <c r="AV1970" i="1"/>
  <c r="AV1971" i="1"/>
  <c r="AV1972" i="1"/>
  <c r="AV1973" i="1"/>
  <c r="AV1974" i="1"/>
  <c r="AV1975" i="1"/>
  <c r="AV1976" i="1"/>
  <c r="AV1977" i="1"/>
  <c r="AV1978" i="1"/>
  <c r="AV1979" i="1"/>
  <c r="AV1980" i="1"/>
  <c r="AV1981" i="1"/>
  <c r="AV1982" i="1"/>
  <c r="AV1983" i="1"/>
  <c r="AV1984" i="1"/>
  <c r="AV1985" i="1"/>
  <c r="AV1986" i="1"/>
  <c r="AV1987" i="1"/>
  <c r="AV1988" i="1"/>
  <c r="AV1989" i="1"/>
  <c r="AV1990" i="1"/>
  <c r="AV1991" i="1"/>
  <c r="AV1992" i="1"/>
  <c r="AV1993" i="1"/>
  <c r="AV1994" i="1"/>
  <c r="AV1995" i="1"/>
  <c r="AV1996" i="1"/>
  <c r="AV1997" i="1"/>
  <c r="AV1998" i="1"/>
  <c r="AV1999" i="1"/>
  <c r="AV2000" i="1"/>
  <c r="AV2001" i="1"/>
  <c r="AV2002" i="1"/>
  <c r="AV2003" i="1"/>
  <c r="AV2004" i="1"/>
  <c r="AV2005" i="1"/>
  <c r="AV2006" i="1"/>
  <c r="AV2007" i="1"/>
  <c r="AV2008" i="1"/>
  <c r="AV2009" i="1"/>
  <c r="AV2010" i="1"/>
  <c r="AV2011" i="1"/>
  <c r="AV2012" i="1"/>
  <c r="AV2013" i="1"/>
  <c r="AV2014" i="1"/>
  <c r="AV2015" i="1"/>
  <c r="AV2016" i="1"/>
  <c r="AV2017" i="1"/>
  <c r="AV2018" i="1"/>
  <c r="AV2019" i="1"/>
  <c r="AV2020" i="1"/>
  <c r="AV2021" i="1"/>
  <c r="AV2022" i="1"/>
  <c r="AV2023" i="1"/>
  <c r="AV2024" i="1"/>
  <c r="AV2025" i="1"/>
  <c r="AV2026" i="1"/>
  <c r="AV2027" i="1"/>
  <c r="AV2028" i="1"/>
  <c r="AV2029" i="1"/>
  <c r="AV2030" i="1"/>
  <c r="AV2031" i="1"/>
  <c r="AV2032" i="1"/>
  <c r="AV2033" i="1"/>
  <c r="AV2034" i="1"/>
  <c r="AV2035" i="1"/>
  <c r="AV2036" i="1"/>
  <c r="AV2037" i="1"/>
  <c r="AV2038" i="1"/>
  <c r="AV2039" i="1"/>
  <c r="AV2040" i="1"/>
  <c r="AV2041" i="1"/>
  <c r="AV2042" i="1"/>
  <c r="AV2043" i="1"/>
  <c r="AV2044" i="1"/>
  <c r="AV2045" i="1"/>
  <c r="AV2046" i="1"/>
  <c r="AV2047" i="1"/>
  <c r="AV2048" i="1"/>
  <c r="AV2049" i="1"/>
  <c r="AV2050" i="1"/>
  <c r="AV2051" i="1"/>
  <c r="AV2052" i="1"/>
  <c r="AV2053" i="1"/>
  <c r="AV2054" i="1"/>
  <c r="AV2055" i="1"/>
  <c r="AV2056" i="1"/>
  <c r="AV2057" i="1"/>
  <c r="AV2058" i="1"/>
  <c r="AV2059" i="1"/>
  <c r="AV2060" i="1"/>
  <c r="AV2061" i="1"/>
  <c r="AV2062" i="1"/>
  <c r="AV2063" i="1"/>
  <c r="AV2064" i="1"/>
  <c r="AV2065" i="1"/>
  <c r="AV2066" i="1"/>
  <c r="AV2067" i="1"/>
  <c r="AV2068" i="1"/>
  <c r="AV2069" i="1"/>
  <c r="AV2070" i="1"/>
  <c r="AV2071" i="1"/>
  <c r="AV2072" i="1"/>
  <c r="AV2073" i="1"/>
  <c r="AV2074" i="1"/>
  <c r="AV2075" i="1"/>
  <c r="AV2076" i="1"/>
  <c r="AV2077" i="1"/>
  <c r="AV2078" i="1"/>
  <c r="AV2079" i="1"/>
  <c r="AV2080" i="1"/>
  <c r="AV2081" i="1"/>
  <c r="AV2082" i="1"/>
  <c r="AV2083" i="1"/>
  <c r="AV2084" i="1"/>
  <c r="AV2085" i="1"/>
  <c r="AV2086" i="1"/>
  <c r="AV2087" i="1"/>
  <c r="AV2088" i="1"/>
  <c r="AV2089" i="1"/>
  <c r="AV2090" i="1"/>
  <c r="AV2091" i="1"/>
  <c r="AV2092" i="1"/>
  <c r="AV2093" i="1"/>
  <c r="AV2094" i="1"/>
  <c r="AV2095" i="1"/>
  <c r="AV2096" i="1"/>
  <c r="AV2097" i="1"/>
  <c r="AV2098" i="1"/>
  <c r="AV2099" i="1"/>
  <c r="AV2100" i="1"/>
  <c r="AV2101" i="1"/>
  <c r="AV2102" i="1"/>
  <c r="AV2103" i="1"/>
  <c r="AV2104" i="1"/>
  <c r="AV2105" i="1"/>
  <c r="AV2106" i="1"/>
  <c r="AV2107" i="1"/>
  <c r="AV2108" i="1"/>
  <c r="AV2109" i="1"/>
  <c r="AV2110" i="1"/>
  <c r="AV2111" i="1"/>
  <c r="AV2112" i="1"/>
  <c r="AV2113" i="1"/>
  <c r="AV2114" i="1"/>
  <c r="AV2115" i="1"/>
  <c r="AV2116" i="1"/>
  <c r="AV2117" i="1"/>
  <c r="AV2118" i="1"/>
  <c r="AV2119" i="1"/>
  <c r="AV2120" i="1"/>
  <c r="AV2121" i="1"/>
  <c r="AV2122" i="1"/>
  <c r="AV2123" i="1"/>
  <c r="AV2124" i="1"/>
  <c r="AV2125" i="1"/>
  <c r="AV2126" i="1"/>
  <c r="AV2127" i="1"/>
  <c r="AV2128" i="1"/>
  <c r="AV2129" i="1"/>
  <c r="AV2130" i="1"/>
  <c r="AV2131" i="1"/>
  <c r="AV2132" i="1"/>
  <c r="AV2133" i="1"/>
  <c r="AV2134" i="1"/>
  <c r="AV2135" i="1"/>
  <c r="AV2136" i="1"/>
  <c r="AV2137" i="1"/>
  <c r="AV2138" i="1"/>
  <c r="AV2139" i="1"/>
  <c r="AV2140" i="1"/>
  <c r="AV2141" i="1"/>
  <c r="AV2142" i="1"/>
  <c r="AV2143" i="1"/>
  <c r="AV2144" i="1"/>
  <c r="AV2145" i="1"/>
  <c r="AV2146" i="1"/>
  <c r="AV2147" i="1"/>
  <c r="AV2148" i="1"/>
  <c r="AV2149" i="1"/>
  <c r="AV2150" i="1"/>
  <c r="AV2151" i="1"/>
  <c r="AV2152" i="1"/>
  <c r="AV2153" i="1"/>
  <c r="AV2154" i="1"/>
  <c r="AV2155" i="1"/>
  <c r="AV2156" i="1"/>
  <c r="AV2157" i="1"/>
  <c r="AV2158" i="1"/>
  <c r="AV2159" i="1"/>
  <c r="AV2160" i="1"/>
  <c r="AV2161" i="1"/>
  <c r="AV2162" i="1"/>
  <c r="AV2163" i="1"/>
  <c r="AV2164" i="1"/>
  <c r="AV2165" i="1"/>
  <c r="AV2166" i="1"/>
  <c r="AV2167" i="1"/>
  <c r="AV2168" i="1"/>
  <c r="AV2169" i="1"/>
  <c r="AV2170" i="1"/>
  <c r="AV2171" i="1"/>
  <c r="AV2172" i="1"/>
  <c r="AV2173" i="1"/>
  <c r="AV2174" i="1"/>
  <c r="AV2175" i="1"/>
  <c r="AV2176" i="1"/>
  <c r="AV2177" i="1"/>
  <c r="AV2178" i="1"/>
  <c r="AV2179" i="1"/>
  <c r="AV2180" i="1"/>
  <c r="AV2181" i="1"/>
  <c r="AV2182" i="1"/>
  <c r="AV2183" i="1"/>
  <c r="AV2184" i="1"/>
  <c r="AV2185" i="1"/>
  <c r="AV2186" i="1"/>
  <c r="AV2187" i="1"/>
  <c r="AV2188" i="1"/>
  <c r="AV2189" i="1"/>
  <c r="AV2190" i="1"/>
  <c r="AV2191" i="1"/>
  <c r="AV2192" i="1"/>
  <c r="AV2193" i="1"/>
  <c r="AV2194" i="1"/>
  <c r="AV2195" i="1"/>
  <c r="AV2196" i="1"/>
  <c r="AV2197" i="1"/>
  <c r="AV2198" i="1"/>
  <c r="AV2199" i="1"/>
  <c r="AV2200" i="1"/>
  <c r="AV2201" i="1"/>
  <c r="AV2202" i="1"/>
  <c r="AV2203" i="1"/>
  <c r="AV2204" i="1"/>
  <c r="AV2205" i="1"/>
  <c r="AV2206" i="1"/>
  <c r="AV2207" i="1"/>
  <c r="AV2208" i="1"/>
  <c r="AV2209" i="1"/>
  <c r="AV2210" i="1"/>
  <c r="AV2211" i="1"/>
  <c r="AV2212" i="1"/>
  <c r="AV2213" i="1"/>
  <c r="AV2214" i="1"/>
  <c r="AV2215" i="1"/>
  <c r="AV2216" i="1"/>
  <c r="AV2217" i="1"/>
  <c r="AV2218" i="1"/>
  <c r="AV2219" i="1"/>
  <c r="AV2220" i="1"/>
  <c r="AV2221" i="1"/>
  <c r="AV2222" i="1"/>
  <c r="AV2223" i="1"/>
  <c r="AV2224" i="1"/>
  <c r="AV2225" i="1"/>
  <c r="AV2226" i="1"/>
  <c r="AV2227" i="1"/>
  <c r="AV2228" i="1"/>
  <c r="AV2229" i="1"/>
  <c r="AV2230" i="1"/>
  <c r="AV2231" i="1"/>
  <c r="AV2232" i="1"/>
  <c r="AV2233" i="1"/>
  <c r="AV2234" i="1"/>
  <c r="AV2235" i="1"/>
  <c r="AV2236" i="1"/>
  <c r="AV2237" i="1"/>
  <c r="AV2238" i="1"/>
  <c r="AV2239" i="1"/>
  <c r="AV2240" i="1"/>
  <c r="AV2241" i="1"/>
  <c r="AV2242" i="1"/>
  <c r="AV2243" i="1"/>
  <c r="AV2244" i="1"/>
  <c r="AV2245" i="1"/>
  <c r="AV2246" i="1"/>
  <c r="AV2247" i="1"/>
  <c r="AV2248" i="1"/>
  <c r="AV2249" i="1"/>
  <c r="AV2250" i="1"/>
  <c r="AV2251" i="1"/>
  <c r="AV2252" i="1"/>
  <c r="AV2253" i="1"/>
  <c r="AV2254" i="1"/>
  <c r="AV2255" i="1"/>
  <c r="AV2256" i="1"/>
  <c r="AV2257" i="1"/>
  <c r="AV2258" i="1"/>
  <c r="AV2259" i="1"/>
  <c r="AV2260" i="1"/>
  <c r="AV2261" i="1"/>
  <c r="AV2262" i="1"/>
  <c r="AV2263" i="1"/>
  <c r="AV2264" i="1"/>
  <c r="AV2265" i="1"/>
  <c r="AV2266" i="1"/>
  <c r="AV2267" i="1"/>
  <c r="AV2268" i="1"/>
  <c r="AV2269" i="1"/>
  <c r="AV2270" i="1"/>
  <c r="AV2271" i="1"/>
  <c r="AV2272" i="1"/>
  <c r="AV2273" i="1"/>
  <c r="AV2274" i="1"/>
  <c r="AV2275" i="1"/>
  <c r="AV2276" i="1"/>
  <c r="AV2277" i="1"/>
  <c r="AV2278" i="1"/>
  <c r="AV2279" i="1"/>
  <c r="AV2280" i="1"/>
  <c r="AV2281" i="1"/>
  <c r="AV2282" i="1"/>
  <c r="AV2283" i="1"/>
  <c r="AV2284" i="1"/>
  <c r="AV2285" i="1"/>
  <c r="AV2286" i="1"/>
  <c r="AV2287" i="1"/>
  <c r="AV2288" i="1"/>
  <c r="AV2289" i="1"/>
  <c r="AV2290" i="1"/>
  <c r="AV2291" i="1"/>
  <c r="AV2292" i="1"/>
  <c r="AV2293" i="1"/>
  <c r="AV2294" i="1"/>
  <c r="AV2295" i="1"/>
  <c r="AV2296" i="1"/>
  <c r="AV2297" i="1"/>
  <c r="AV2298" i="1"/>
  <c r="AV2299" i="1"/>
  <c r="AV2300" i="1"/>
  <c r="AV2301" i="1"/>
  <c r="AV2302" i="1"/>
  <c r="AV2303" i="1"/>
  <c r="AV2304" i="1"/>
  <c r="AV2305" i="1"/>
  <c r="AV2306" i="1"/>
  <c r="AV2307" i="1"/>
  <c r="AV2308" i="1"/>
  <c r="AV2309" i="1"/>
  <c r="AV2310" i="1"/>
  <c r="AV2311" i="1"/>
  <c r="AV2312" i="1"/>
  <c r="AV2313" i="1"/>
  <c r="AV2314" i="1"/>
  <c r="AV2315" i="1"/>
  <c r="AV2316" i="1"/>
  <c r="AV2317" i="1"/>
  <c r="AV2318" i="1"/>
  <c r="AV2319" i="1"/>
  <c r="AV2320" i="1"/>
  <c r="AV2321" i="1"/>
  <c r="AV2322" i="1"/>
  <c r="AV2323" i="1"/>
  <c r="AV2324" i="1"/>
  <c r="AV2325" i="1"/>
  <c r="AV2326" i="1"/>
  <c r="AV2327" i="1"/>
  <c r="AV2328" i="1"/>
  <c r="AV2329" i="1"/>
  <c r="AV2330" i="1"/>
  <c r="AV2331" i="1"/>
  <c r="AV2332" i="1"/>
  <c r="AV2333" i="1"/>
  <c r="AV2334" i="1"/>
  <c r="AV2335" i="1"/>
  <c r="AV2336" i="1"/>
  <c r="AV2337" i="1"/>
  <c r="AV2338" i="1"/>
  <c r="AV2339" i="1"/>
  <c r="AV2340" i="1"/>
  <c r="AV2341" i="1"/>
  <c r="AV2342" i="1"/>
  <c r="AV2343" i="1"/>
  <c r="AV2344" i="1"/>
  <c r="AV2345" i="1"/>
  <c r="AV2346" i="1"/>
  <c r="AV2347" i="1"/>
  <c r="AV2348" i="1"/>
  <c r="AV2349" i="1"/>
  <c r="AV2350" i="1"/>
  <c r="AV2351" i="1"/>
  <c r="AV2352" i="1"/>
  <c r="AV2353" i="1"/>
  <c r="AV2354" i="1"/>
  <c r="AV2355" i="1"/>
  <c r="AV2356" i="1"/>
  <c r="AV2357" i="1"/>
  <c r="AV2358" i="1"/>
  <c r="AV2359" i="1"/>
  <c r="AV2360" i="1"/>
  <c r="AV2361" i="1"/>
  <c r="AV2362" i="1"/>
  <c r="AV2363" i="1"/>
  <c r="AV2364" i="1"/>
  <c r="AV2365" i="1"/>
  <c r="AV2366" i="1"/>
  <c r="AV2367" i="1"/>
  <c r="AV2368" i="1"/>
  <c r="AV2369" i="1"/>
  <c r="AV2370" i="1"/>
  <c r="AV2371" i="1"/>
  <c r="AV2372" i="1"/>
  <c r="AV2373" i="1"/>
  <c r="AV2374" i="1"/>
  <c r="AV2375" i="1"/>
  <c r="AV2376" i="1"/>
  <c r="AV2377" i="1"/>
  <c r="AV2378" i="1"/>
  <c r="AV2379" i="1"/>
  <c r="AV2380" i="1"/>
  <c r="AV2381" i="1"/>
  <c r="AV2382" i="1"/>
  <c r="AV2383" i="1"/>
  <c r="AV2384" i="1"/>
  <c r="AV2385" i="1"/>
  <c r="AV2386" i="1"/>
  <c r="AV2387" i="1"/>
  <c r="AV2388" i="1"/>
  <c r="AV2389" i="1"/>
  <c r="AV2390" i="1"/>
  <c r="AV2391" i="1"/>
  <c r="AV2392" i="1"/>
  <c r="AV2393" i="1"/>
  <c r="AV2394" i="1"/>
  <c r="AV2395" i="1"/>
  <c r="AV2396" i="1"/>
  <c r="AV2397" i="1"/>
  <c r="AV2398" i="1"/>
  <c r="AV2399" i="1"/>
  <c r="AV2400" i="1"/>
  <c r="AV2401" i="1"/>
  <c r="AV2402" i="1"/>
  <c r="AV2403" i="1"/>
  <c r="AV2404" i="1"/>
  <c r="AV2405" i="1"/>
  <c r="AV2406" i="1"/>
  <c r="AV2407" i="1"/>
  <c r="AV2408" i="1"/>
  <c r="AV2409" i="1"/>
  <c r="AV2410" i="1"/>
  <c r="AV2411" i="1"/>
  <c r="AV2412" i="1"/>
  <c r="AV2413" i="1"/>
  <c r="AV2414" i="1"/>
  <c r="AV2415" i="1"/>
  <c r="AV2416" i="1"/>
  <c r="AV2417" i="1"/>
  <c r="AV2418" i="1"/>
  <c r="AV2419" i="1"/>
  <c r="AV2420" i="1"/>
  <c r="AV2421" i="1"/>
  <c r="AV2422" i="1"/>
  <c r="AV2423" i="1"/>
  <c r="AV2424" i="1"/>
  <c r="AV2425" i="1"/>
  <c r="AV2426" i="1"/>
  <c r="AV2427" i="1"/>
  <c r="AV2428" i="1"/>
  <c r="AV2429" i="1"/>
  <c r="AV2430" i="1"/>
  <c r="AV2431" i="1"/>
  <c r="AV2432" i="1"/>
  <c r="AV2433" i="1"/>
  <c r="AV2434" i="1"/>
  <c r="AV2435" i="1"/>
  <c r="AV2436" i="1"/>
  <c r="AV2437" i="1"/>
  <c r="AV2438" i="1"/>
  <c r="AV2439" i="1"/>
  <c r="AV2440" i="1"/>
  <c r="AV2441" i="1"/>
  <c r="AV2442" i="1"/>
  <c r="AV2443" i="1"/>
  <c r="AV2444" i="1"/>
  <c r="AV2445" i="1"/>
  <c r="AV2446" i="1"/>
  <c r="AV2447" i="1"/>
  <c r="AV2448" i="1"/>
  <c r="AV2449" i="1"/>
  <c r="AV2450" i="1"/>
  <c r="AV2451" i="1"/>
  <c r="AV2452" i="1"/>
  <c r="AV2453" i="1"/>
  <c r="AV2454" i="1"/>
  <c r="AV2455" i="1"/>
  <c r="AV2456" i="1"/>
  <c r="AV2457" i="1"/>
  <c r="AV2458" i="1"/>
  <c r="AV2459" i="1"/>
  <c r="AV2460" i="1"/>
  <c r="AV2461" i="1"/>
  <c r="AV2462" i="1"/>
  <c r="AV2463" i="1"/>
  <c r="AV2464" i="1"/>
  <c r="AV2465" i="1"/>
  <c r="AV2466" i="1"/>
  <c r="AV2467" i="1"/>
  <c r="AV2468" i="1"/>
  <c r="AV2469" i="1"/>
  <c r="AV2470" i="1"/>
  <c r="AV2471" i="1"/>
  <c r="AV2472" i="1"/>
  <c r="AV2473" i="1"/>
  <c r="AV2474" i="1"/>
  <c r="AV2475" i="1"/>
  <c r="AV2476" i="1"/>
  <c r="AV2477" i="1"/>
  <c r="AV2478" i="1"/>
  <c r="AV2479" i="1"/>
  <c r="AV2480" i="1"/>
  <c r="AV2481" i="1"/>
  <c r="AV2482" i="1"/>
  <c r="AV2483" i="1"/>
  <c r="AV2484" i="1"/>
  <c r="AV2485" i="1"/>
  <c r="AV2486" i="1"/>
  <c r="AV2487" i="1"/>
  <c r="AV2488" i="1"/>
  <c r="AV2489" i="1"/>
  <c r="AV2490" i="1"/>
  <c r="AV2491" i="1"/>
  <c r="AV2492" i="1"/>
  <c r="AV2493" i="1"/>
  <c r="AV2494" i="1"/>
  <c r="AV2495" i="1"/>
  <c r="AV2496" i="1"/>
  <c r="AV2497" i="1"/>
  <c r="AV2498" i="1"/>
  <c r="AV2499" i="1"/>
  <c r="AV2500" i="1"/>
  <c r="AV2501" i="1"/>
  <c r="AV2502" i="1"/>
  <c r="AV2503" i="1"/>
  <c r="AV2504" i="1"/>
  <c r="AV2505" i="1"/>
  <c r="AV2506" i="1"/>
  <c r="AV2507" i="1"/>
  <c r="AV2508" i="1"/>
  <c r="AV2509" i="1"/>
  <c r="AV2510" i="1"/>
  <c r="AV2511" i="1"/>
  <c r="AV2512" i="1"/>
  <c r="AV2513" i="1"/>
  <c r="AV2514" i="1"/>
  <c r="AV2515" i="1"/>
  <c r="AV2516" i="1"/>
  <c r="AV2517" i="1"/>
  <c r="AV2518" i="1"/>
  <c r="AV2519" i="1"/>
  <c r="AV2520" i="1"/>
  <c r="AV2521" i="1"/>
  <c r="AV2522" i="1"/>
  <c r="AV2523" i="1"/>
  <c r="AV2524" i="1"/>
  <c r="AV2525" i="1"/>
  <c r="AV2526" i="1"/>
  <c r="AV2527" i="1"/>
  <c r="AV2528" i="1"/>
  <c r="AV2529" i="1"/>
  <c r="AV2530" i="1"/>
  <c r="AV2531" i="1"/>
  <c r="AV2532" i="1"/>
  <c r="AV2" i="1"/>
  <c r="AO752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T571" i="1"/>
  <c r="AU571" i="1"/>
  <c r="AU655" i="1"/>
  <c r="AU656" i="1"/>
  <c r="AT701" i="1"/>
  <c r="AU701" i="1"/>
  <c r="AT702" i="1"/>
  <c r="AU702" i="1"/>
  <c r="AT752" i="1"/>
  <c r="AU752" i="1"/>
  <c r="AT766" i="1"/>
  <c r="AU766" i="1"/>
  <c r="AT1037" i="1"/>
  <c r="AU1037" i="1"/>
  <c r="AT1191" i="1"/>
  <c r="AU1191" i="1"/>
  <c r="AT1233" i="1"/>
  <c r="AU1233" i="1"/>
  <c r="AT1258" i="1"/>
  <c r="AT1322" i="1"/>
  <c r="AT1369" i="1"/>
  <c r="AU1369" i="1"/>
  <c r="AT1401" i="1"/>
  <c r="AU1401" i="1"/>
  <c r="AT1622" i="1"/>
  <c r="AU1622" i="1"/>
  <c r="AT1623" i="1"/>
  <c r="AU1623" i="1"/>
  <c r="AT1624" i="1"/>
  <c r="AU1624" i="1"/>
  <c r="AT1625" i="1"/>
  <c r="AU1625" i="1"/>
  <c r="AT1626" i="1"/>
  <c r="AU1626" i="1"/>
  <c r="AT1627" i="1"/>
  <c r="AU1627" i="1"/>
  <c r="AT1628" i="1"/>
  <c r="AU1628" i="1"/>
  <c r="AT1629" i="1"/>
  <c r="AU1629" i="1"/>
  <c r="AT1630" i="1"/>
  <c r="AU1630" i="1"/>
  <c r="AT1631" i="1"/>
  <c r="AU1631" i="1"/>
  <c r="AT1632" i="1"/>
  <c r="AU1632" i="1"/>
  <c r="AT1633" i="1"/>
  <c r="AU1633" i="1"/>
  <c r="AT1634" i="1"/>
  <c r="AU1634" i="1"/>
  <c r="AT1635" i="1"/>
  <c r="AU1635" i="1"/>
  <c r="AT1636" i="1"/>
  <c r="AU1636" i="1"/>
  <c r="AT1637" i="1"/>
  <c r="AU1637" i="1"/>
  <c r="AT1638" i="1"/>
  <c r="AU1638" i="1"/>
  <c r="AT1639" i="1"/>
  <c r="AU1639" i="1"/>
  <c r="AT1640" i="1"/>
  <c r="AU1640" i="1"/>
  <c r="AT1641" i="1"/>
  <c r="AU1641" i="1"/>
  <c r="AT1642" i="1"/>
  <c r="AU1642" i="1"/>
  <c r="AT1643" i="1"/>
  <c r="AU1643" i="1"/>
  <c r="AT1644" i="1"/>
  <c r="AU1644" i="1"/>
  <c r="AT1645" i="1"/>
  <c r="AU1645" i="1"/>
  <c r="AT1646" i="1"/>
  <c r="AU1646" i="1"/>
  <c r="AT1647" i="1"/>
  <c r="AU1647" i="1"/>
  <c r="AT1648" i="1"/>
  <c r="AU1648" i="1"/>
  <c r="AT1649" i="1"/>
  <c r="AU1649" i="1"/>
  <c r="AT1650" i="1"/>
  <c r="AU1650" i="1"/>
  <c r="AT1651" i="1"/>
  <c r="AU1651" i="1"/>
  <c r="AT1652" i="1"/>
  <c r="AU1652" i="1"/>
  <c r="AT1653" i="1"/>
  <c r="AU1653" i="1"/>
  <c r="AT1654" i="1"/>
  <c r="AU1654" i="1"/>
  <c r="AT1655" i="1"/>
  <c r="AU1655" i="1"/>
  <c r="AT1656" i="1"/>
  <c r="AU1656" i="1"/>
  <c r="AT1657" i="1"/>
  <c r="AU1657" i="1"/>
  <c r="AT1658" i="1"/>
  <c r="AU1658" i="1"/>
  <c r="AT1659" i="1"/>
  <c r="AU1659" i="1"/>
  <c r="AT1660" i="1"/>
  <c r="AU1660" i="1"/>
  <c r="AT1661" i="1"/>
  <c r="AU1661" i="1"/>
  <c r="AT1662" i="1"/>
  <c r="AU1662" i="1"/>
  <c r="AT1663" i="1"/>
  <c r="AU1663" i="1"/>
  <c r="AT1664" i="1"/>
  <c r="AU1664" i="1"/>
  <c r="AT1665" i="1"/>
  <c r="AU1665" i="1"/>
  <c r="AT1666" i="1"/>
  <c r="AU1666" i="1"/>
  <c r="AT1667" i="1"/>
  <c r="AU1667" i="1"/>
  <c r="AT1668" i="1"/>
  <c r="AU1668" i="1"/>
  <c r="AT1669" i="1"/>
  <c r="AU1669" i="1"/>
  <c r="AT1670" i="1"/>
  <c r="AU1670" i="1"/>
  <c r="AT1671" i="1"/>
  <c r="AU1671" i="1"/>
  <c r="AT1672" i="1"/>
  <c r="AU1672" i="1"/>
  <c r="AT1673" i="1"/>
  <c r="AU1673" i="1"/>
  <c r="AT1674" i="1"/>
  <c r="AU1674" i="1"/>
  <c r="AT1675" i="1"/>
  <c r="AU1675" i="1"/>
  <c r="AT1676" i="1"/>
  <c r="AU1676" i="1"/>
  <c r="AT1677" i="1"/>
  <c r="AU1677" i="1"/>
  <c r="AT1678" i="1"/>
  <c r="AU1678" i="1"/>
  <c r="AT1679" i="1"/>
  <c r="AU1679" i="1"/>
  <c r="AT1680" i="1"/>
  <c r="AU1680" i="1"/>
  <c r="AT1681" i="1"/>
  <c r="AU1681" i="1"/>
  <c r="AT1682" i="1"/>
  <c r="AU1682" i="1"/>
  <c r="AT1683" i="1"/>
  <c r="AU1683" i="1"/>
  <c r="AT1684" i="1"/>
  <c r="AU1684" i="1"/>
  <c r="AT1685" i="1"/>
  <c r="AU1685" i="1"/>
  <c r="AT1686" i="1"/>
  <c r="AU1686" i="1"/>
  <c r="AT1687" i="1"/>
  <c r="AU1687" i="1"/>
  <c r="AT1688" i="1"/>
  <c r="AU1688" i="1"/>
  <c r="AT1689" i="1"/>
  <c r="AU1689" i="1"/>
  <c r="AT1690" i="1"/>
  <c r="AU1690" i="1"/>
  <c r="AT1691" i="1"/>
  <c r="AU1691" i="1"/>
  <c r="AT1692" i="1"/>
  <c r="AU1692" i="1"/>
  <c r="AT1693" i="1"/>
  <c r="AU1693" i="1"/>
  <c r="AT1694" i="1"/>
  <c r="AU1694" i="1"/>
  <c r="AT1695" i="1"/>
  <c r="AU1695" i="1"/>
  <c r="AT1696" i="1"/>
  <c r="AU1696" i="1"/>
  <c r="AT1697" i="1"/>
  <c r="AU1697" i="1"/>
  <c r="AT1698" i="1"/>
  <c r="AU1698" i="1"/>
  <c r="AT1699" i="1"/>
  <c r="AU1699" i="1"/>
  <c r="AT1700" i="1"/>
  <c r="AU1700" i="1"/>
  <c r="AT1701" i="1"/>
  <c r="AU1701" i="1"/>
  <c r="AT1702" i="1"/>
  <c r="AU1702" i="1"/>
  <c r="AT1703" i="1"/>
  <c r="AU1703" i="1"/>
  <c r="AT1704" i="1"/>
  <c r="AU1704" i="1"/>
  <c r="AT1705" i="1"/>
  <c r="AU1705" i="1"/>
  <c r="AT1706" i="1"/>
  <c r="AU1706" i="1"/>
  <c r="AT1707" i="1"/>
  <c r="AU1707" i="1"/>
  <c r="AT1708" i="1"/>
  <c r="AU1708" i="1"/>
  <c r="AT1709" i="1"/>
  <c r="AU1709" i="1"/>
  <c r="AT1710" i="1"/>
  <c r="AU1710" i="1"/>
  <c r="AT1711" i="1"/>
  <c r="AU1711" i="1"/>
  <c r="AT1712" i="1"/>
  <c r="AU1712" i="1"/>
  <c r="AT1713" i="1"/>
  <c r="AU1713" i="1"/>
  <c r="AT1714" i="1"/>
  <c r="AU1714" i="1"/>
  <c r="AT1715" i="1"/>
  <c r="AU1715" i="1"/>
  <c r="AT1716" i="1"/>
  <c r="AU1716" i="1"/>
  <c r="AT1717" i="1"/>
  <c r="AU1717" i="1"/>
  <c r="AT1718" i="1"/>
  <c r="AU1718" i="1"/>
  <c r="AT1719" i="1"/>
  <c r="AU1719" i="1"/>
  <c r="AT1720" i="1"/>
  <c r="AU1720" i="1"/>
  <c r="AT1721" i="1"/>
  <c r="AU1721" i="1"/>
  <c r="AT1722" i="1"/>
  <c r="AU1722" i="1"/>
  <c r="AT1723" i="1"/>
  <c r="AU1723" i="1"/>
  <c r="AT1724" i="1"/>
  <c r="AU1724" i="1"/>
  <c r="AT1725" i="1"/>
  <c r="AU1725" i="1"/>
  <c r="AT1726" i="1"/>
  <c r="AU1726" i="1"/>
  <c r="AT1727" i="1"/>
  <c r="AU1727" i="1"/>
  <c r="AT1728" i="1"/>
  <c r="AU1728" i="1"/>
  <c r="AT1729" i="1"/>
  <c r="AU1729" i="1"/>
  <c r="AT1730" i="1"/>
  <c r="AU1730" i="1"/>
  <c r="AT1731" i="1"/>
  <c r="AU1731" i="1"/>
  <c r="AT1732" i="1"/>
  <c r="AU1732" i="1"/>
  <c r="AT1733" i="1"/>
  <c r="AU1733" i="1"/>
  <c r="AT1734" i="1"/>
  <c r="AU1734" i="1"/>
  <c r="AT1735" i="1"/>
  <c r="AU1735" i="1"/>
  <c r="AT1736" i="1"/>
  <c r="AU1736" i="1"/>
  <c r="AT1737" i="1"/>
  <c r="AU1737" i="1"/>
  <c r="AT1738" i="1"/>
  <c r="AU1738" i="1"/>
  <c r="AT1739" i="1"/>
  <c r="AU1739" i="1"/>
  <c r="AT1740" i="1"/>
  <c r="AU1740" i="1"/>
  <c r="AT1741" i="1"/>
  <c r="AU1741" i="1"/>
  <c r="AT1742" i="1"/>
  <c r="AU1742" i="1"/>
  <c r="AT1743" i="1"/>
  <c r="AU1743" i="1"/>
  <c r="AT1744" i="1"/>
  <c r="AU1744" i="1"/>
  <c r="AT1745" i="1"/>
  <c r="AU1745" i="1"/>
  <c r="AT1746" i="1"/>
  <c r="AU1746" i="1"/>
  <c r="AT1747" i="1"/>
  <c r="AU1747" i="1"/>
  <c r="AT1748" i="1"/>
  <c r="AU1748" i="1"/>
  <c r="AT1749" i="1"/>
  <c r="AU1749" i="1"/>
  <c r="AT1750" i="1"/>
  <c r="AU1750" i="1"/>
  <c r="AT1751" i="1"/>
  <c r="AU1751" i="1"/>
  <c r="AT1752" i="1"/>
  <c r="AU1752" i="1"/>
  <c r="AT1753" i="1"/>
  <c r="AU1753" i="1"/>
  <c r="AT1754" i="1"/>
  <c r="AU1754" i="1"/>
  <c r="AT1755" i="1"/>
  <c r="AU1755" i="1"/>
  <c r="AT1756" i="1"/>
  <c r="AU1756" i="1"/>
  <c r="AT1757" i="1"/>
  <c r="AU1757" i="1"/>
  <c r="AT1758" i="1"/>
  <c r="AU1758" i="1"/>
  <c r="AT1759" i="1"/>
  <c r="AU1759" i="1"/>
  <c r="AT1760" i="1"/>
  <c r="AU1760" i="1"/>
  <c r="AT1761" i="1"/>
  <c r="AU1761" i="1"/>
  <c r="AT1762" i="1"/>
  <c r="AU1762" i="1"/>
  <c r="AT1763" i="1"/>
  <c r="AU1763" i="1"/>
  <c r="AT1764" i="1"/>
  <c r="AU1764" i="1"/>
  <c r="AT1765" i="1"/>
  <c r="AU1765" i="1"/>
  <c r="AT1766" i="1"/>
  <c r="AU1766" i="1"/>
  <c r="AT1767" i="1"/>
  <c r="AU1767" i="1"/>
  <c r="AT1768" i="1"/>
  <c r="AU1768" i="1"/>
  <c r="AT1769" i="1"/>
  <c r="AU1769" i="1"/>
  <c r="AT1770" i="1"/>
  <c r="AU1770" i="1"/>
  <c r="AT1771" i="1"/>
  <c r="AU1771" i="1"/>
  <c r="AT1772" i="1"/>
  <c r="AU1772" i="1"/>
  <c r="AT1773" i="1"/>
  <c r="AU1773" i="1"/>
  <c r="AT1774" i="1"/>
  <c r="AU1774" i="1"/>
  <c r="AT1775" i="1"/>
  <c r="AU1775" i="1"/>
  <c r="AT1776" i="1"/>
  <c r="AU1776" i="1"/>
  <c r="AT1777" i="1"/>
  <c r="AU1777" i="1"/>
  <c r="AT1778" i="1"/>
  <c r="AU1778" i="1"/>
  <c r="AT1779" i="1"/>
  <c r="AU1779" i="1"/>
  <c r="AT1780" i="1"/>
  <c r="AU1780" i="1"/>
  <c r="AT1781" i="1"/>
  <c r="AU1781" i="1"/>
  <c r="AT1782" i="1"/>
  <c r="AU1782" i="1"/>
  <c r="AT1783" i="1"/>
  <c r="AU1783" i="1"/>
  <c r="AT1784" i="1"/>
  <c r="AU1784" i="1"/>
  <c r="AT1785" i="1"/>
  <c r="AU1785" i="1"/>
  <c r="AT1786" i="1"/>
  <c r="AU1786" i="1"/>
  <c r="AT1787" i="1"/>
  <c r="AU1787" i="1"/>
  <c r="AT1788" i="1"/>
  <c r="AU1788" i="1"/>
  <c r="AT1789" i="1"/>
  <c r="AU1789" i="1"/>
  <c r="AT1790" i="1"/>
  <c r="AU1790" i="1"/>
  <c r="AT1791" i="1"/>
  <c r="AU1791" i="1"/>
  <c r="AT1792" i="1"/>
  <c r="AU1792" i="1"/>
  <c r="AT1793" i="1"/>
  <c r="AU1793" i="1"/>
  <c r="AT1794" i="1"/>
  <c r="AU1794" i="1"/>
  <c r="AT1795" i="1"/>
  <c r="AU1795" i="1"/>
  <c r="AT1796" i="1"/>
  <c r="AU1796" i="1"/>
  <c r="AT1797" i="1"/>
  <c r="AU1797" i="1"/>
  <c r="AT1798" i="1"/>
  <c r="AU1798" i="1"/>
  <c r="AT1799" i="1"/>
  <c r="AU1799" i="1"/>
  <c r="AT1800" i="1"/>
  <c r="AU1800" i="1"/>
  <c r="AT1801" i="1"/>
  <c r="AU1801" i="1"/>
  <c r="AT1802" i="1"/>
  <c r="AU1802" i="1"/>
  <c r="AT1803" i="1"/>
  <c r="AU1803" i="1"/>
  <c r="AT1804" i="1"/>
  <c r="AU1804" i="1"/>
  <c r="AT1805" i="1"/>
  <c r="AU1805" i="1"/>
  <c r="AT1806" i="1"/>
  <c r="AU1806" i="1"/>
  <c r="AT1807" i="1"/>
  <c r="AU1807" i="1"/>
  <c r="AT1808" i="1"/>
  <c r="AU1808" i="1"/>
  <c r="AT1809" i="1"/>
  <c r="AU1809" i="1"/>
  <c r="AT1810" i="1"/>
  <c r="AU1810" i="1"/>
  <c r="AT1811" i="1"/>
  <c r="AU1811" i="1"/>
  <c r="AT1812" i="1"/>
  <c r="AU1812" i="1"/>
  <c r="AT1813" i="1"/>
  <c r="AU1813" i="1"/>
  <c r="AT1814" i="1"/>
  <c r="AU1814" i="1"/>
  <c r="AT1815" i="1"/>
  <c r="AU1815" i="1"/>
  <c r="AT1816" i="1"/>
  <c r="AU1816" i="1"/>
  <c r="AT1817" i="1"/>
  <c r="AU1817" i="1"/>
  <c r="AT1818" i="1"/>
  <c r="AU1818" i="1"/>
  <c r="AT1819" i="1"/>
  <c r="AU1819" i="1"/>
  <c r="AT1820" i="1"/>
  <c r="AU1820" i="1"/>
  <c r="AT1821" i="1"/>
  <c r="AU1821" i="1"/>
  <c r="AT1822" i="1"/>
  <c r="AU1822" i="1"/>
  <c r="AT1823" i="1"/>
  <c r="AU1823" i="1"/>
  <c r="AT1824" i="1"/>
  <c r="AU1824" i="1"/>
  <c r="AT1825" i="1"/>
  <c r="AU1825" i="1"/>
  <c r="AT1826" i="1"/>
  <c r="AU1826" i="1"/>
  <c r="AT1827" i="1"/>
  <c r="AU1827" i="1"/>
  <c r="AT1828" i="1"/>
  <c r="AU1828" i="1"/>
  <c r="AT1829" i="1"/>
  <c r="AU1829" i="1"/>
  <c r="AT1830" i="1"/>
  <c r="AU1830" i="1"/>
  <c r="AT1831" i="1"/>
  <c r="AU1831" i="1"/>
  <c r="AT1832" i="1"/>
  <c r="AU1832" i="1"/>
  <c r="AT1833" i="1"/>
  <c r="AU1833" i="1"/>
  <c r="AT1834" i="1"/>
  <c r="AU1834" i="1"/>
  <c r="AT1835" i="1"/>
  <c r="AU1835" i="1"/>
  <c r="AT1836" i="1"/>
  <c r="AU1836" i="1"/>
  <c r="AT1837" i="1"/>
  <c r="AU1837" i="1"/>
  <c r="AT1838" i="1"/>
  <c r="AU1838" i="1"/>
  <c r="AT1839" i="1"/>
  <c r="AU1839" i="1"/>
  <c r="AT1840" i="1"/>
  <c r="AU1840" i="1"/>
  <c r="AT1841" i="1"/>
  <c r="AU1841" i="1"/>
  <c r="AT1842" i="1"/>
  <c r="AU1842" i="1"/>
  <c r="AT1843" i="1"/>
  <c r="AU1843" i="1"/>
  <c r="AT1844" i="1"/>
  <c r="AU1844" i="1"/>
  <c r="AT1845" i="1"/>
  <c r="AU1845" i="1"/>
  <c r="AT1846" i="1"/>
  <c r="AU1846" i="1"/>
  <c r="AT1847" i="1"/>
  <c r="AU1847" i="1"/>
  <c r="AT1848" i="1"/>
  <c r="AU1848" i="1"/>
  <c r="AT1849" i="1"/>
  <c r="AU1849" i="1"/>
  <c r="AT1850" i="1"/>
  <c r="AU1850" i="1"/>
  <c r="AT1851" i="1"/>
  <c r="AU1851" i="1"/>
  <c r="AT1852" i="1"/>
  <c r="AU1852" i="1"/>
  <c r="AT1853" i="1"/>
  <c r="AU1853" i="1"/>
  <c r="AT1854" i="1"/>
  <c r="AU1854" i="1"/>
  <c r="AT1855" i="1"/>
  <c r="AU1855" i="1"/>
  <c r="AT1856" i="1"/>
  <c r="AU1856" i="1"/>
  <c r="AT1857" i="1"/>
  <c r="AU1857" i="1"/>
  <c r="AT1858" i="1"/>
  <c r="AU1858" i="1"/>
  <c r="AT1859" i="1"/>
  <c r="AU1859" i="1"/>
  <c r="AT1860" i="1"/>
  <c r="AU1860" i="1"/>
  <c r="AT1861" i="1"/>
  <c r="AU1861" i="1"/>
  <c r="AT1862" i="1"/>
  <c r="AU1862" i="1"/>
  <c r="AT1863" i="1"/>
  <c r="AU1863" i="1"/>
  <c r="AT1864" i="1"/>
  <c r="AU1864" i="1"/>
  <c r="AT1865" i="1"/>
  <c r="AU1865" i="1"/>
  <c r="AT1866" i="1"/>
  <c r="AU1866" i="1"/>
  <c r="AT1867" i="1"/>
  <c r="AU1867" i="1"/>
  <c r="AT1868" i="1"/>
  <c r="AU1868" i="1"/>
  <c r="AT1869" i="1"/>
  <c r="AU1869" i="1"/>
  <c r="AT1870" i="1"/>
  <c r="AU1870" i="1"/>
  <c r="AT1871" i="1"/>
  <c r="AU1871" i="1"/>
  <c r="AT1872" i="1"/>
  <c r="AU1872" i="1"/>
  <c r="AT1873" i="1"/>
  <c r="AU1873" i="1"/>
  <c r="AT1874" i="1"/>
  <c r="AU1874" i="1"/>
  <c r="AT1875" i="1"/>
  <c r="AU1875" i="1"/>
  <c r="AT1876" i="1"/>
  <c r="AU1876" i="1"/>
  <c r="AT1877" i="1"/>
  <c r="AU1877" i="1"/>
  <c r="AT1878" i="1"/>
  <c r="AU1878" i="1"/>
  <c r="AT1879" i="1"/>
  <c r="AU1879" i="1"/>
  <c r="AT1880" i="1"/>
  <c r="AU1880" i="1"/>
  <c r="AT1881" i="1"/>
  <c r="AU1881" i="1"/>
  <c r="AT1882" i="1"/>
  <c r="AU1882" i="1"/>
  <c r="AT1883" i="1"/>
  <c r="AU1883" i="1"/>
  <c r="AT1884" i="1"/>
  <c r="AU1884" i="1"/>
  <c r="AT1885" i="1"/>
  <c r="AU1885" i="1"/>
  <c r="AT1886" i="1"/>
  <c r="AU1886" i="1"/>
  <c r="AT1887" i="1"/>
  <c r="AU1887" i="1"/>
  <c r="AT1888" i="1"/>
  <c r="AU1888" i="1"/>
  <c r="AT1889" i="1"/>
  <c r="AU1889" i="1"/>
  <c r="AT1890" i="1"/>
  <c r="AU1890" i="1"/>
  <c r="AT1891" i="1"/>
  <c r="AU1891" i="1"/>
  <c r="AT1892" i="1"/>
  <c r="AU1892" i="1"/>
  <c r="AT1893" i="1"/>
  <c r="AU1893" i="1"/>
  <c r="AT1894" i="1"/>
  <c r="AU1894" i="1"/>
  <c r="AT1895" i="1"/>
  <c r="AU1895" i="1"/>
  <c r="AT1896" i="1"/>
  <c r="AU1896" i="1"/>
  <c r="AT1897" i="1"/>
  <c r="AU1897" i="1"/>
  <c r="AT1898" i="1"/>
  <c r="AU1898" i="1"/>
  <c r="AT1899" i="1"/>
  <c r="AU1899" i="1"/>
  <c r="AT1900" i="1"/>
  <c r="AU1900" i="1"/>
  <c r="AT1901" i="1"/>
  <c r="AU1901" i="1"/>
  <c r="AT1902" i="1"/>
  <c r="AU1902" i="1"/>
  <c r="AT1903" i="1"/>
  <c r="AU1903" i="1"/>
  <c r="AT1904" i="1"/>
  <c r="AU1904" i="1"/>
  <c r="AT1905" i="1"/>
  <c r="AU1905" i="1"/>
  <c r="AT1906" i="1"/>
  <c r="AU1906" i="1"/>
  <c r="AT1907" i="1"/>
  <c r="AU1907" i="1"/>
  <c r="AT1908" i="1"/>
  <c r="AU1908" i="1"/>
  <c r="AT1909" i="1"/>
  <c r="AU1909" i="1"/>
  <c r="AT1910" i="1"/>
  <c r="AU1910" i="1"/>
  <c r="AT1911" i="1"/>
  <c r="AU1911" i="1"/>
  <c r="AT1912" i="1"/>
  <c r="AU1912" i="1"/>
  <c r="AT1913" i="1"/>
  <c r="AU1913" i="1"/>
  <c r="AT1914" i="1"/>
  <c r="AU1914" i="1"/>
  <c r="AT1915" i="1"/>
  <c r="AU1915" i="1"/>
  <c r="AT1916" i="1"/>
  <c r="AU1916" i="1"/>
  <c r="AT1917" i="1"/>
  <c r="AU1917" i="1"/>
  <c r="AT1918" i="1"/>
  <c r="AU1918" i="1"/>
  <c r="AT1919" i="1"/>
  <c r="AU1919" i="1"/>
  <c r="AT1920" i="1"/>
  <c r="AU1920" i="1"/>
  <c r="AT1921" i="1"/>
  <c r="AU1921" i="1"/>
  <c r="AT1922" i="1"/>
  <c r="AU1922" i="1"/>
  <c r="AT1923" i="1"/>
  <c r="AU1923" i="1"/>
  <c r="AT1924" i="1"/>
  <c r="AU1924" i="1"/>
  <c r="AT1925" i="1"/>
  <c r="AU1925" i="1"/>
  <c r="AT1926" i="1"/>
  <c r="AU1926" i="1"/>
  <c r="AT1927" i="1"/>
  <c r="AU1927" i="1"/>
  <c r="AT1928" i="1"/>
  <c r="AU1928" i="1"/>
  <c r="AT1929" i="1"/>
  <c r="AU1929" i="1"/>
  <c r="AT1930" i="1"/>
  <c r="AU1930" i="1"/>
  <c r="AT1931" i="1"/>
  <c r="AU1931" i="1"/>
  <c r="AT1932" i="1"/>
  <c r="AU1932" i="1"/>
  <c r="AT1933" i="1"/>
  <c r="AU1933" i="1"/>
  <c r="AT1934" i="1"/>
  <c r="AU1934" i="1"/>
  <c r="AT1935" i="1"/>
  <c r="AU1935" i="1"/>
  <c r="AT1936" i="1"/>
  <c r="AU1936" i="1"/>
  <c r="AT1937" i="1"/>
  <c r="AU1937" i="1"/>
  <c r="AT1938" i="1"/>
  <c r="AU1938" i="1"/>
  <c r="AT1939" i="1"/>
  <c r="AU1939" i="1"/>
  <c r="AT1940" i="1"/>
  <c r="AU1940" i="1"/>
  <c r="AT1941" i="1"/>
  <c r="AU1941" i="1"/>
  <c r="AT1942" i="1"/>
  <c r="AU1942" i="1"/>
  <c r="AT1943" i="1"/>
  <c r="AU1943" i="1"/>
  <c r="AT1944" i="1"/>
  <c r="AU1944" i="1"/>
  <c r="AT1945" i="1"/>
  <c r="AU1945" i="1"/>
  <c r="AT1946" i="1"/>
  <c r="AU1946" i="1"/>
  <c r="AT1947" i="1"/>
  <c r="AU1947" i="1"/>
  <c r="AT1948" i="1"/>
  <c r="AU1948" i="1"/>
  <c r="AT1949" i="1"/>
  <c r="AU1949" i="1"/>
  <c r="AT1950" i="1"/>
  <c r="AU1950" i="1"/>
  <c r="AT1951" i="1"/>
  <c r="AU1951" i="1"/>
  <c r="AT1952" i="1"/>
  <c r="AU1952" i="1"/>
  <c r="AT1953" i="1"/>
  <c r="AU1953" i="1"/>
  <c r="AT1954" i="1"/>
  <c r="AU1954" i="1"/>
  <c r="AT1955" i="1"/>
  <c r="AU1955" i="1"/>
  <c r="AT1956" i="1"/>
  <c r="AU1956" i="1"/>
  <c r="AT1957" i="1"/>
  <c r="AU1957" i="1"/>
  <c r="AT1958" i="1"/>
  <c r="AU1958" i="1"/>
  <c r="AT1959" i="1"/>
  <c r="AU1959" i="1"/>
  <c r="AT1960" i="1"/>
  <c r="AU1960" i="1"/>
  <c r="AT1961" i="1"/>
  <c r="AU1961" i="1"/>
  <c r="AT1962" i="1"/>
  <c r="AU1962" i="1"/>
  <c r="AT1963" i="1"/>
  <c r="AU1963" i="1"/>
  <c r="AT1964" i="1"/>
  <c r="AU1964" i="1"/>
  <c r="AT1965" i="1"/>
  <c r="AU1965" i="1"/>
  <c r="AT1966" i="1"/>
  <c r="AU1966" i="1"/>
  <c r="AT1967" i="1"/>
  <c r="AU1967" i="1"/>
  <c r="AT1968" i="1"/>
  <c r="AU1968" i="1"/>
  <c r="AT1969" i="1"/>
  <c r="AU1969" i="1"/>
  <c r="AT1970" i="1"/>
  <c r="AU1970" i="1"/>
  <c r="AT1971" i="1"/>
  <c r="AU1971" i="1"/>
  <c r="AT1972" i="1"/>
  <c r="AU1972" i="1"/>
  <c r="AT1973" i="1"/>
  <c r="AU1973" i="1"/>
  <c r="AT1974" i="1"/>
  <c r="AU1974" i="1"/>
  <c r="AT1975" i="1"/>
  <c r="AU1975" i="1"/>
  <c r="AT1976" i="1"/>
  <c r="AU1976" i="1"/>
  <c r="AT1977" i="1"/>
  <c r="AU1977" i="1"/>
  <c r="AT1978" i="1"/>
  <c r="AU1978" i="1"/>
  <c r="AT1979" i="1"/>
  <c r="AU1979" i="1"/>
  <c r="AT1980" i="1"/>
  <c r="AU1980" i="1"/>
  <c r="AT1981" i="1"/>
  <c r="AU1981" i="1"/>
  <c r="AT1982" i="1"/>
  <c r="AU1982" i="1"/>
  <c r="AT1983" i="1"/>
  <c r="AU1983" i="1"/>
  <c r="AT1984" i="1"/>
  <c r="AU1984" i="1"/>
  <c r="AT1985" i="1"/>
  <c r="AU1985" i="1"/>
  <c r="AT1986" i="1"/>
  <c r="AU1986" i="1"/>
  <c r="AT1987" i="1"/>
  <c r="AU1987" i="1"/>
  <c r="AT1988" i="1"/>
  <c r="AU1988" i="1"/>
  <c r="AT1989" i="1"/>
  <c r="AU1989" i="1"/>
  <c r="AT1990" i="1"/>
  <c r="AU1990" i="1"/>
  <c r="AT1991" i="1"/>
  <c r="AU1991" i="1"/>
  <c r="AT1992" i="1"/>
  <c r="AU1992" i="1"/>
  <c r="AT1993" i="1"/>
  <c r="AU1993" i="1"/>
  <c r="AT1994" i="1"/>
  <c r="AU1994" i="1"/>
  <c r="AT1995" i="1"/>
  <c r="AU1995" i="1"/>
  <c r="AT1996" i="1"/>
  <c r="AU1996" i="1"/>
  <c r="AT1997" i="1"/>
  <c r="AU1997" i="1"/>
  <c r="AT1998" i="1"/>
  <c r="AU1998" i="1"/>
  <c r="AT1999" i="1"/>
  <c r="AU1999" i="1"/>
  <c r="AT2000" i="1"/>
  <c r="AU2000" i="1"/>
  <c r="AT2001" i="1"/>
  <c r="AU2001" i="1"/>
  <c r="AT2002" i="1"/>
  <c r="AU2002" i="1"/>
  <c r="AT2003" i="1"/>
  <c r="AU2003" i="1"/>
  <c r="AT2004" i="1"/>
  <c r="AU2004" i="1"/>
  <c r="AT2005" i="1"/>
  <c r="AU2005" i="1"/>
  <c r="AT2006" i="1"/>
  <c r="AU2006" i="1"/>
  <c r="AT2007" i="1"/>
  <c r="AU2007" i="1"/>
  <c r="AT2008" i="1"/>
  <c r="AU2008" i="1"/>
  <c r="AT2009" i="1"/>
  <c r="AU2009" i="1"/>
  <c r="AT2010" i="1"/>
  <c r="AU2010" i="1"/>
  <c r="AT2011" i="1"/>
  <c r="AU2011" i="1"/>
  <c r="AT2012" i="1"/>
  <c r="AU2012" i="1"/>
  <c r="AT2013" i="1"/>
  <c r="AU2013" i="1"/>
  <c r="AT2014" i="1"/>
  <c r="AU2014" i="1"/>
  <c r="AT2015" i="1"/>
  <c r="AU2015" i="1"/>
  <c r="AT2016" i="1"/>
  <c r="AU2016" i="1"/>
  <c r="AT2017" i="1"/>
  <c r="AU2017" i="1"/>
  <c r="AT2018" i="1"/>
  <c r="AU2018" i="1"/>
  <c r="AT2019" i="1"/>
  <c r="AU2019" i="1"/>
  <c r="AT2020" i="1"/>
  <c r="AU2020" i="1"/>
  <c r="AT2021" i="1"/>
  <c r="AU2021" i="1"/>
  <c r="AT2022" i="1"/>
  <c r="AU2022" i="1"/>
  <c r="AT2023" i="1"/>
  <c r="AU2023" i="1"/>
  <c r="AT2024" i="1"/>
  <c r="AU2024" i="1"/>
  <c r="AT2025" i="1"/>
  <c r="AU2025" i="1"/>
  <c r="AT2026" i="1"/>
  <c r="AU2026" i="1"/>
  <c r="AT2027" i="1"/>
  <c r="AU2027" i="1"/>
  <c r="AT2028" i="1"/>
  <c r="AU2028" i="1"/>
  <c r="AT2029" i="1"/>
  <c r="AU2029" i="1"/>
  <c r="AT2030" i="1"/>
  <c r="AU2030" i="1"/>
  <c r="AT2031" i="1"/>
  <c r="AU2031" i="1"/>
  <c r="AT2032" i="1"/>
  <c r="AU2032" i="1"/>
  <c r="AT2033" i="1"/>
  <c r="AU2033" i="1"/>
  <c r="AT2034" i="1"/>
  <c r="AU2034" i="1"/>
  <c r="AT2035" i="1"/>
  <c r="AU2035" i="1"/>
  <c r="AT2036" i="1"/>
  <c r="AU2036" i="1"/>
  <c r="AT2037" i="1"/>
  <c r="AU2037" i="1"/>
  <c r="AT2038" i="1"/>
  <c r="AU2038" i="1"/>
  <c r="AT2039" i="1"/>
  <c r="AU2039" i="1"/>
  <c r="AT2040" i="1"/>
  <c r="AU2040" i="1"/>
  <c r="AT2041" i="1"/>
  <c r="AU2041" i="1"/>
  <c r="AT2042" i="1"/>
  <c r="AU2042" i="1"/>
  <c r="AT2043" i="1"/>
  <c r="AU2043" i="1"/>
  <c r="AT2044" i="1"/>
  <c r="AU2044" i="1"/>
  <c r="AT2045" i="1"/>
  <c r="AU2045" i="1"/>
  <c r="AT2046" i="1"/>
  <c r="AU2046" i="1"/>
  <c r="AT2047" i="1"/>
  <c r="AU2047" i="1"/>
  <c r="AT2048" i="1"/>
  <c r="AU2048" i="1"/>
  <c r="AT2049" i="1"/>
  <c r="AU2049" i="1"/>
  <c r="AT2050" i="1"/>
  <c r="AU2050" i="1"/>
  <c r="AT2051" i="1"/>
  <c r="AU2051" i="1"/>
  <c r="AT2052" i="1"/>
  <c r="AU2052" i="1"/>
  <c r="AT2053" i="1"/>
  <c r="AU2053" i="1"/>
  <c r="AT2054" i="1"/>
  <c r="AU2054" i="1"/>
  <c r="AT2055" i="1"/>
  <c r="AU2055" i="1"/>
  <c r="AT2056" i="1"/>
  <c r="AU2056" i="1"/>
  <c r="AT2057" i="1"/>
  <c r="AU2057" i="1"/>
  <c r="AT2058" i="1"/>
  <c r="AU2058" i="1"/>
  <c r="AT2059" i="1"/>
  <c r="AU2059" i="1"/>
  <c r="AT2060" i="1"/>
  <c r="AU2060" i="1"/>
  <c r="AT2061" i="1"/>
  <c r="AU2061" i="1"/>
  <c r="AT2062" i="1"/>
  <c r="AU2062" i="1"/>
  <c r="AT2063" i="1"/>
  <c r="AU2063" i="1"/>
  <c r="AT2064" i="1"/>
  <c r="AU2064" i="1"/>
  <c r="AT2065" i="1"/>
  <c r="AU2065" i="1"/>
  <c r="AT2066" i="1"/>
  <c r="AU2066" i="1"/>
  <c r="AT2067" i="1"/>
  <c r="AU2067" i="1"/>
  <c r="AT2068" i="1"/>
  <c r="AU2068" i="1"/>
  <c r="AT2069" i="1"/>
  <c r="AU2069" i="1"/>
  <c r="AT2070" i="1"/>
  <c r="AU2070" i="1"/>
  <c r="AT2071" i="1"/>
  <c r="AU2071" i="1"/>
  <c r="AT2072" i="1"/>
  <c r="AU2072" i="1"/>
  <c r="AT2073" i="1"/>
  <c r="AU2073" i="1"/>
  <c r="AT2074" i="1"/>
  <c r="AU2074" i="1"/>
  <c r="AT2075" i="1"/>
  <c r="AU2075" i="1"/>
  <c r="AT2076" i="1"/>
  <c r="AU2076" i="1"/>
  <c r="AT2077" i="1"/>
  <c r="AU2077" i="1"/>
  <c r="AT2078" i="1"/>
  <c r="AU2078" i="1"/>
  <c r="AT2079" i="1"/>
  <c r="AU2079" i="1"/>
  <c r="AT2080" i="1"/>
  <c r="AU2080" i="1"/>
  <c r="AT2081" i="1"/>
  <c r="AU2081" i="1"/>
  <c r="AT2082" i="1"/>
  <c r="AU2082" i="1"/>
  <c r="AT2083" i="1"/>
  <c r="AU2083" i="1"/>
  <c r="AT2084" i="1"/>
  <c r="AU2084" i="1"/>
  <c r="AT2085" i="1"/>
  <c r="AU2085" i="1"/>
  <c r="AT2086" i="1"/>
  <c r="AU2086" i="1"/>
  <c r="AT2087" i="1"/>
  <c r="AU2087" i="1"/>
  <c r="AT2088" i="1"/>
  <c r="AU2088" i="1"/>
  <c r="AT2089" i="1"/>
  <c r="AU2089" i="1"/>
  <c r="AT2090" i="1"/>
  <c r="AU2090" i="1"/>
  <c r="AT2091" i="1"/>
  <c r="AU2091" i="1"/>
  <c r="AT2092" i="1"/>
  <c r="AU2092" i="1"/>
  <c r="AT2093" i="1"/>
  <c r="AU2093" i="1"/>
  <c r="AT2094" i="1"/>
  <c r="AU2094" i="1"/>
  <c r="AT2095" i="1"/>
  <c r="AU2095" i="1"/>
  <c r="AT2096" i="1"/>
  <c r="AU2096" i="1"/>
  <c r="AT2097" i="1"/>
  <c r="AU2097" i="1"/>
  <c r="AT2098" i="1"/>
  <c r="AU2098" i="1"/>
  <c r="AT2099" i="1"/>
  <c r="AU2099" i="1"/>
  <c r="AT2100" i="1"/>
  <c r="AU2100" i="1"/>
  <c r="AT2101" i="1"/>
  <c r="AU2101" i="1"/>
  <c r="AT2102" i="1"/>
  <c r="AU2102" i="1"/>
  <c r="AT2103" i="1"/>
  <c r="AU2103" i="1"/>
  <c r="AT2104" i="1"/>
  <c r="AU2104" i="1"/>
  <c r="AT2105" i="1"/>
  <c r="AU2105" i="1"/>
  <c r="AT2106" i="1"/>
  <c r="AU2106" i="1"/>
  <c r="AT2107" i="1"/>
  <c r="AU2107" i="1"/>
  <c r="AT2108" i="1"/>
  <c r="AU2108" i="1"/>
  <c r="AT2109" i="1"/>
  <c r="AU2109" i="1"/>
  <c r="AT2110" i="1"/>
  <c r="AU2110" i="1"/>
  <c r="AT2111" i="1"/>
  <c r="AU2111" i="1"/>
  <c r="AT2112" i="1"/>
  <c r="AU2112" i="1"/>
  <c r="AT2113" i="1"/>
  <c r="AU2113" i="1"/>
  <c r="AT2114" i="1"/>
  <c r="AU2114" i="1"/>
  <c r="AT2115" i="1"/>
  <c r="AU2115" i="1"/>
  <c r="AT2116" i="1"/>
  <c r="AU2116" i="1"/>
  <c r="AT2117" i="1"/>
  <c r="AU2117" i="1"/>
  <c r="AT2118" i="1"/>
  <c r="AU2118" i="1"/>
  <c r="AT2119" i="1"/>
  <c r="AU2119" i="1"/>
  <c r="AT2120" i="1"/>
  <c r="AU2120" i="1"/>
  <c r="AT2121" i="1"/>
  <c r="AU2121" i="1"/>
  <c r="AT2122" i="1"/>
  <c r="AU2122" i="1"/>
  <c r="AT2123" i="1"/>
  <c r="AU2123" i="1"/>
  <c r="AT2124" i="1"/>
  <c r="AU2124" i="1"/>
  <c r="AT2125" i="1"/>
  <c r="AU2125" i="1"/>
  <c r="AT2126" i="1"/>
  <c r="AU2126" i="1"/>
  <c r="AT2127" i="1"/>
  <c r="AU2127" i="1"/>
  <c r="AT2128" i="1"/>
  <c r="AU2128" i="1"/>
  <c r="AT2129" i="1"/>
  <c r="AU2129" i="1"/>
  <c r="AT2130" i="1"/>
  <c r="AU2130" i="1"/>
  <c r="AT2131" i="1"/>
  <c r="AU2131" i="1"/>
  <c r="AT2132" i="1"/>
  <c r="AU2132" i="1"/>
  <c r="AT2133" i="1"/>
  <c r="AU2133" i="1"/>
  <c r="AT2134" i="1"/>
  <c r="AU2134" i="1"/>
  <c r="AT2135" i="1"/>
  <c r="AU2135" i="1"/>
  <c r="AT2136" i="1"/>
  <c r="AU2136" i="1"/>
  <c r="AT2137" i="1"/>
  <c r="AU2137" i="1"/>
  <c r="AT2138" i="1"/>
  <c r="AU2138" i="1"/>
  <c r="AT2139" i="1"/>
  <c r="AU2139" i="1"/>
  <c r="AT2140" i="1"/>
  <c r="AU2140" i="1"/>
  <c r="AT2141" i="1"/>
  <c r="AU2141" i="1"/>
  <c r="AT2142" i="1"/>
  <c r="AU2142" i="1"/>
  <c r="AT2143" i="1"/>
  <c r="AU2143" i="1"/>
  <c r="AT2144" i="1"/>
  <c r="AU2144" i="1"/>
  <c r="AT2145" i="1"/>
  <c r="AU2145" i="1"/>
  <c r="AT2146" i="1"/>
  <c r="AU2146" i="1"/>
  <c r="AT2147" i="1"/>
  <c r="AU2147" i="1"/>
  <c r="AT2148" i="1"/>
  <c r="AU2148" i="1"/>
  <c r="AT2149" i="1"/>
  <c r="AU2149" i="1"/>
  <c r="AT2150" i="1"/>
  <c r="AU2150" i="1"/>
  <c r="AT2151" i="1"/>
  <c r="AU2151" i="1"/>
  <c r="AT2152" i="1"/>
  <c r="AU2152" i="1"/>
  <c r="AT2153" i="1"/>
  <c r="AU2153" i="1"/>
  <c r="AT2154" i="1"/>
  <c r="AU2154" i="1"/>
  <c r="AT2155" i="1"/>
  <c r="AU2155" i="1"/>
  <c r="AT2156" i="1"/>
  <c r="AU2156" i="1"/>
  <c r="AT2157" i="1"/>
  <c r="AU2157" i="1"/>
  <c r="AT2158" i="1"/>
  <c r="AU2158" i="1"/>
  <c r="AT2159" i="1"/>
  <c r="AU2159" i="1"/>
  <c r="AT2160" i="1"/>
  <c r="AU2160" i="1"/>
  <c r="AT2161" i="1"/>
  <c r="AU2161" i="1"/>
  <c r="AT2162" i="1"/>
  <c r="AU2162" i="1"/>
  <c r="AT2163" i="1"/>
  <c r="AU2163" i="1"/>
  <c r="AT2164" i="1"/>
  <c r="AU2164" i="1"/>
  <c r="AT2165" i="1"/>
  <c r="AU2165" i="1"/>
  <c r="AT2166" i="1"/>
  <c r="AU2166" i="1"/>
  <c r="AT2167" i="1"/>
  <c r="AU2167" i="1"/>
  <c r="AT2168" i="1"/>
  <c r="AU2168" i="1"/>
  <c r="AT2169" i="1"/>
  <c r="AU2169" i="1"/>
  <c r="AT2170" i="1"/>
  <c r="AU2170" i="1"/>
  <c r="AT2171" i="1"/>
  <c r="AU2171" i="1"/>
  <c r="AT2172" i="1"/>
  <c r="AU2172" i="1"/>
  <c r="AT2173" i="1"/>
  <c r="AU2173" i="1"/>
  <c r="AT2174" i="1"/>
  <c r="AU2174" i="1"/>
  <c r="AT2175" i="1"/>
  <c r="AU2175" i="1"/>
  <c r="AT2176" i="1"/>
  <c r="AU2176" i="1"/>
  <c r="AT2177" i="1"/>
  <c r="AU2177" i="1"/>
  <c r="AT2178" i="1"/>
  <c r="AU2178" i="1"/>
  <c r="AT2179" i="1"/>
  <c r="AU2179" i="1"/>
  <c r="AT2180" i="1"/>
  <c r="AU2180" i="1"/>
  <c r="AT2181" i="1"/>
  <c r="AU2181" i="1"/>
  <c r="AT2182" i="1"/>
  <c r="AU2182" i="1"/>
  <c r="AT2183" i="1"/>
  <c r="AU2183" i="1"/>
  <c r="AT2184" i="1"/>
  <c r="AU2184" i="1"/>
  <c r="AT2185" i="1"/>
  <c r="AU2185" i="1"/>
  <c r="AT2186" i="1"/>
  <c r="AU2186" i="1"/>
  <c r="AT2187" i="1"/>
  <c r="AU2187" i="1"/>
  <c r="AT2188" i="1"/>
  <c r="AU2188" i="1"/>
  <c r="AT2189" i="1"/>
  <c r="AU2189" i="1"/>
  <c r="AT2190" i="1"/>
  <c r="AU2190" i="1"/>
  <c r="AT2191" i="1"/>
  <c r="AU2191" i="1"/>
  <c r="AT2192" i="1"/>
  <c r="AU2192" i="1"/>
  <c r="AT2193" i="1"/>
  <c r="AU2193" i="1"/>
  <c r="AT2194" i="1"/>
  <c r="AU2194" i="1"/>
  <c r="AT2195" i="1"/>
  <c r="AU2195" i="1"/>
  <c r="AT2196" i="1"/>
  <c r="AU2196" i="1"/>
  <c r="AT2197" i="1"/>
  <c r="AU2197" i="1"/>
  <c r="AT2198" i="1"/>
  <c r="AU2198" i="1"/>
  <c r="AT2199" i="1"/>
  <c r="AU2199" i="1"/>
  <c r="AT2200" i="1"/>
  <c r="AU2200" i="1"/>
  <c r="AT2201" i="1"/>
  <c r="AU2201" i="1"/>
  <c r="AT2202" i="1"/>
  <c r="AU2202" i="1"/>
  <c r="AT2203" i="1"/>
  <c r="AU2203" i="1"/>
  <c r="AT2204" i="1"/>
  <c r="AU2204" i="1"/>
  <c r="AT2205" i="1"/>
  <c r="AU2205" i="1"/>
  <c r="AT2206" i="1"/>
  <c r="AU2206" i="1"/>
  <c r="AT2207" i="1"/>
  <c r="AU2207" i="1"/>
  <c r="AT2208" i="1"/>
  <c r="AU2208" i="1"/>
  <c r="AT2209" i="1"/>
  <c r="AU2209" i="1"/>
  <c r="AT2210" i="1"/>
  <c r="AU2210" i="1"/>
  <c r="AT2211" i="1"/>
  <c r="AU2211" i="1"/>
  <c r="AT2212" i="1"/>
  <c r="AU2212" i="1"/>
  <c r="AT2213" i="1"/>
  <c r="AU2213" i="1"/>
  <c r="AT2214" i="1"/>
  <c r="AU2214" i="1"/>
  <c r="AT2215" i="1"/>
  <c r="AU2215" i="1"/>
  <c r="AT2216" i="1"/>
  <c r="AU2216" i="1"/>
  <c r="AT2217" i="1"/>
  <c r="AU2217" i="1"/>
  <c r="AT2218" i="1"/>
  <c r="AU2218" i="1"/>
  <c r="AT2219" i="1"/>
  <c r="AU2219" i="1"/>
  <c r="AT2220" i="1"/>
  <c r="AU2220" i="1"/>
  <c r="AT2221" i="1"/>
  <c r="AU2221" i="1"/>
  <c r="AT2222" i="1"/>
  <c r="AU2222" i="1"/>
  <c r="AT2223" i="1"/>
  <c r="AU2223" i="1"/>
  <c r="AT2224" i="1"/>
  <c r="AU2224" i="1"/>
  <c r="AT2225" i="1"/>
  <c r="AU2225" i="1"/>
  <c r="AT2226" i="1"/>
  <c r="AU2226" i="1"/>
  <c r="AT2227" i="1"/>
  <c r="AU2227" i="1"/>
  <c r="AT2228" i="1"/>
  <c r="AU2228" i="1"/>
  <c r="AT2229" i="1"/>
  <c r="AU2229" i="1"/>
  <c r="AT2230" i="1"/>
  <c r="AU2230" i="1"/>
  <c r="AT2231" i="1"/>
  <c r="AU2231" i="1"/>
  <c r="AT2232" i="1"/>
  <c r="AU2232" i="1"/>
  <c r="AT2233" i="1"/>
  <c r="AU2233" i="1"/>
  <c r="AT2234" i="1"/>
  <c r="AU2234" i="1"/>
  <c r="AT2235" i="1"/>
  <c r="AU2235" i="1"/>
  <c r="AT2236" i="1"/>
  <c r="AU2236" i="1"/>
  <c r="AT2237" i="1"/>
  <c r="AU2237" i="1"/>
  <c r="AT2238" i="1"/>
  <c r="AU2238" i="1"/>
  <c r="AT2239" i="1"/>
  <c r="AU2239" i="1"/>
  <c r="AT2240" i="1"/>
  <c r="AU2240" i="1"/>
  <c r="AT2241" i="1"/>
  <c r="AU2241" i="1"/>
  <c r="AT2242" i="1"/>
  <c r="AU2242" i="1"/>
  <c r="AT2243" i="1"/>
  <c r="AU2243" i="1"/>
  <c r="AT2244" i="1"/>
  <c r="AU2244" i="1"/>
  <c r="AT2245" i="1"/>
  <c r="AU2245" i="1"/>
  <c r="AT2246" i="1"/>
  <c r="AU2246" i="1"/>
  <c r="AT2247" i="1"/>
  <c r="AU2247" i="1"/>
  <c r="AT2248" i="1"/>
  <c r="AU2248" i="1"/>
  <c r="AT2249" i="1"/>
  <c r="AU2249" i="1"/>
  <c r="AT2250" i="1"/>
  <c r="AU2250" i="1"/>
  <c r="AT2251" i="1"/>
  <c r="AU2251" i="1"/>
  <c r="AT2252" i="1"/>
  <c r="AU2252" i="1"/>
  <c r="AT2253" i="1"/>
  <c r="AU2253" i="1"/>
  <c r="AT2254" i="1"/>
  <c r="AU2254" i="1"/>
  <c r="AT2255" i="1"/>
  <c r="AU2255" i="1"/>
  <c r="AT2256" i="1"/>
  <c r="AU2256" i="1"/>
  <c r="AT2257" i="1"/>
  <c r="AU2257" i="1"/>
  <c r="AT2258" i="1"/>
  <c r="AU2258" i="1"/>
  <c r="AT2259" i="1"/>
  <c r="AU2259" i="1"/>
  <c r="AT2260" i="1"/>
  <c r="AU2260" i="1"/>
  <c r="AT2261" i="1"/>
  <c r="AU2261" i="1"/>
  <c r="AT2262" i="1"/>
  <c r="AU2262" i="1"/>
  <c r="AT2263" i="1"/>
  <c r="AU2263" i="1"/>
  <c r="AT2264" i="1"/>
  <c r="AU2264" i="1"/>
  <c r="AT2265" i="1"/>
  <c r="AU2265" i="1"/>
  <c r="AT2266" i="1"/>
  <c r="AU2266" i="1"/>
  <c r="AT2267" i="1"/>
  <c r="AU2267" i="1"/>
  <c r="AT2268" i="1"/>
  <c r="AU2268" i="1"/>
  <c r="AT2269" i="1"/>
  <c r="AU2269" i="1"/>
  <c r="AT2270" i="1"/>
  <c r="AU2270" i="1"/>
  <c r="AT2271" i="1"/>
  <c r="AU2271" i="1"/>
  <c r="AT2272" i="1"/>
  <c r="AU2272" i="1"/>
  <c r="AT2273" i="1"/>
  <c r="AU2273" i="1"/>
  <c r="AT2274" i="1"/>
  <c r="AU2274" i="1"/>
  <c r="AT2275" i="1"/>
  <c r="AU2275" i="1"/>
  <c r="AT2276" i="1"/>
  <c r="AU2276" i="1"/>
  <c r="AT2277" i="1"/>
  <c r="AU2277" i="1"/>
  <c r="AT2278" i="1"/>
  <c r="AU2278" i="1"/>
  <c r="AT2279" i="1"/>
  <c r="AU2279" i="1"/>
  <c r="AT2280" i="1"/>
  <c r="AU2280" i="1"/>
  <c r="AT2281" i="1"/>
  <c r="AU2281" i="1"/>
  <c r="AT2282" i="1"/>
  <c r="AU2282" i="1"/>
  <c r="AT2283" i="1"/>
  <c r="AU2283" i="1"/>
  <c r="AT2284" i="1"/>
  <c r="AU2284" i="1"/>
  <c r="AT2285" i="1"/>
  <c r="AU2285" i="1"/>
  <c r="AT2286" i="1"/>
  <c r="AU2286" i="1"/>
  <c r="AT2287" i="1"/>
  <c r="AU2287" i="1"/>
  <c r="AT2288" i="1"/>
  <c r="AU2288" i="1"/>
  <c r="AT2289" i="1"/>
  <c r="AU2289" i="1"/>
  <c r="AT2290" i="1"/>
  <c r="AU2290" i="1"/>
  <c r="AT2291" i="1"/>
  <c r="AU2291" i="1"/>
  <c r="AT2292" i="1"/>
  <c r="AU2292" i="1"/>
  <c r="AT2293" i="1"/>
  <c r="AU2293" i="1"/>
  <c r="AT2294" i="1"/>
  <c r="AU2294" i="1"/>
  <c r="AT2295" i="1"/>
  <c r="AU2295" i="1"/>
  <c r="AT2296" i="1"/>
  <c r="AU2296" i="1"/>
  <c r="AT2297" i="1"/>
  <c r="AU2297" i="1"/>
  <c r="AT2298" i="1"/>
  <c r="AU2298" i="1"/>
  <c r="AT2299" i="1"/>
  <c r="AU2299" i="1"/>
  <c r="AT2300" i="1"/>
  <c r="AU2300" i="1"/>
  <c r="AT2301" i="1"/>
  <c r="AU2301" i="1"/>
  <c r="AT2302" i="1"/>
  <c r="AU2302" i="1"/>
  <c r="AT2303" i="1"/>
  <c r="AU2303" i="1"/>
  <c r="AT2304" i="1"/>
  <c r="AU2304" i="1"/>
  <c r="AT2305" i="1"/>
  <c r="AU2305" i="1"/>
  <c r="AT2306" i="1"/>
  <c r="AU2306" i="1"/>
  <c r="AT2307" i="1"/>
  <c r="AU2307" i="1"/>
  <c r="AT2308" i="1"/>
  <c r="AU2308" i="1"/>
  <c r="AT2309" i="1"/>
  <c r="AU2309" i="1"/>
  <c r="AT2310" i="1"/>
  <c r="AU2310" i="1"/>
  <c r="AT2311" i="1"/>
  <c r="AU2311" i="1"/>
  <c r="AT2312" i="1"/>
  <c r="AU2312" i="1"/>
  <c r="AT2313" i="1"/>
  <c r="AU2313" i="1"/>
  <c r="AT2314" i="1"/>
  <c r="AU2314" i="1"/>
  <c r="AT2315" i="1"/>
  <c r="AU2315" i="1"/>
  <c r="AT2316" i="1"/>
  <c r="AU2316" i="1"/>
  <c r="AT2317" i="1"/>
  <c r="AU2317" i="1"/>
  <c r="AT2318" i="1"/>
  <c r="AU2318" i="1"/>
  <c r="AT2319" i="1"/>
  <c r="AU2319" i="1"/>
  <c r="AT2320" i="1"/>
  <c r="AU2320" i="1"/>
  <c r="AT2321" i="1"/>
  <c r="AU2321" i="1"/>
  <c r="AT2322" i="1"/>
  <c r="AU2322" i="1"/>
  <c r="AT2323" i="1"/>
  <c r="AU2323" i="1"/>
  <c r="AT2324" i="1"/>
  <c r="AU2324" i="1"/>
  <c r="AT2325" i="1"/>
  <c r="AU2325" i="1"/>
  <c r="AT2326" i="1"/>
  <c r="AU2326" i="1"/>
  <c r="AT2327" i="1"/>
  <c r="AU2327" i="1"/>
  <c r="AT2328" i="1"/>
  <c r="AU2328" i="1"/>
  <c r="AT2329" i="1"/>
  <c r="AU2329" i="1"/>
  <c r="AT2330" i="1"/>
  <c r="AU2330" i="1"/>
  <c r="AT2331" i="1"/>
  <c r="AU2331" i="1"/>
  <c r="AT2332" i="1"/>
  <c r="AU2332" i="1"/>
  <c r="AT2333" i="1"/>
  <c r="AU2333" i="1"/>
  <c r="AT2334" i="1"/>
  <c r="AU2334" i="1"/>
  <c r="AT2335" i="1"/>
  <c r="AU2335" i="1"/>
  <c r="AT2336" i="1"/>
  <c r="AU2336" i="1"/>
  <c r="AT2337" i="1"/>
  <c r="AU2337" i="1"/>
  <c r="AT2338" i="1"/>
  <c r="AU2338" i="1"/>
  <c r="AT2339" i="1"/>
  <c r="AU2339" i="1"/>
  <c r="AT2340" i="1"/>
  <c r="AU2340" i="1"/>
  <c r="AT2341" i="1"/>
  <c r="AU2341" i="1"/>
  <c r="AT2342" i="1"/>
  <c r="AU2342" i="1"/>
  <c r="AT2343" i="1"/>
  <c r="AU2343" i="1"/>
  <c r="AT2344" i="1"/>
  <c r="AU2344" i="1"/>
  <c r="AT2345" i="1"/>
  <c r="AU2345" i="1"/>
  <c r="AT2346" i="1"/>
  <c r="AU2346" i="1"/>
  <c r="AT2347" i="1"/>
  <c r="AU2347" i="1"/>
  <c r="AT2348" i="1"/>
  <c r="AU2348" i="1"/>
  <c r="AT2349" i="1"/>
  <c r="AU2349" i="1"/>
  <c r="AT2350" i="1"/>
  <c r="AU2350" i="1"/>
  <c r="AT2351" i="1"/>
  <c r="AU2351" i="1"/>
  <c r="AT2352" i="1"/>
  <c r="AU2352" i="1"/>
  <c r="AT2353" i="1"/>
  <c r="AU2353" i="1"/>
  <c r="AT2354" i="1"/>
  <c r="AU2354" i="1"/>
  <c r="AT2355" i="1"/>
  <c r="AU2355" i="1"/>
  <c r="AT2356" i="1"/>
  <c r="AU2356" i="1"/>
  <c r="AT2357" i="1"/>
  <c r="AU2357" i="1"/>
  <c r="AT2358" i="1"/>
  <c r="AU2358" i="1"/>
  <c r="AT2359" i="1"/>
  <c r="AU2359" i="1"/>
  <c r="AT2360" i="1"/>
  <c r="AU2360" i="1"/>
  <c r="AT2361" i="1"/>
  <c r="AU2361" i="1"/>
  <c r="AT2362" i="1"/>
  <c r="AU2362" i="1"/>
  <c r="AT2363" i="1"/>
  <c r="AU2363" i="1"/>
  <c r="AT2364" i="1"/>
  <c r="AU2364" i="1"/>
  <c r="AT2365" i="1"/>
  <c r="AU2365" i="1"/>
  <c r="AT2366" i="1"/>
  <c r="AU2366" i="1"/>
  <c r="AT2367" i="1"/>
  <c r="AU2367" i="1"/>
  <c r="AT2368" i="1"/>
  <c r="AU2368" i="1"/>
  <c r="AT2369" i="1"/>
  <c r="AU2369" i="1"/>
  <c r="AT2370" i="1"/>
  <c r="AU2370" i="1"/>
  <c r="AT2371" i="1"/>
  <c r="AU2371" i="1"/>
  <c r="AT2372" i="1"/>
  <c r="AU2372" i="1"/>
  <c r="AT2373" i="1"/>
  <c r="AU2373" i="1"/>
  <c r="AT2374" i="1"/>
  <c r="AU2374" i="1"/>
  <c r="AT2375" i="1"/>
  <c r="AU2375" i="1"/>
  <c r="AT2376" i="1"/>
  <c r="AU2376" i="1"/>
  <c r="AT2377" i="1"/>
  <c r="AU2377" i="1"/>
  <c r="AT2378" i="1"/>
  <c r="AU2378" i="1"/>
  <c r="AT2379" i="1"/>
  <c r="AU2379" i="1"/>
  <c r="AT2380" i="1"/>
  <c r="AU2380" i="1"/>
  <c r="AT2381" i="1"/>
  <c r="AU2381" i="1"/>
  <c r="AT2382" i="1"/>
  <c r="AU2382" i="1"/>
  <c r="AT2383" i="1"/>
  <c r="AU2383" i="1"/>
  <c r="AT2384" i="1"/>
  <c r="AU2384" i="1"/>
  <c r="AT2385" i="1"/>
  <c r="AU2385" i="1"/>
  <c r="AT2386" i="1"/>
  <c r="AU2386" i="1"/>
  <c r="AT2387" i="1"/>
  <c r="AU2387" i="1"/>
  <c r="AT2388" i="1"/>
  <c r="AU2388" i="1"/>
  <c r="AT2389" i="1"/>
  <c r="AU2389" i="1"/>
  <c r="AT2390" i="1"/>
  <c r="AU2390" i="1"/>
  <c r="AT2391" i="1"/>
  <c r="AU2391" i="1"/>
  <c r="AT2392" i="1"/>
  <c r="AU2392" i="1"/>
  <c r="AT2393" i="1"/>
  <c r="AU2393" i="1"/>
  <c r="AT2394" i="1"/>
  <c r="AU2394" i="1"/>
  <c r="AT2395" i="1"/>
  <c r="AU2395" i="1"/>
  <c r="AT2396" i="1"/>
  <c r="AU2396" i="1"/>
  <c r="AT2397" i="1"/>
  <c r="AU2397" i="1"/>
  <c r="AT2398" i="1"/>
  <c r="AU2398" i="1"/>
  <c r="AT2399" i="1"/>
  <c r="AU2399" i="1"/>
  <c r="AT2400" i="1"/>
  <c r="AU2400" i="1"/>
  <c r="AT2401" i="1"/>
  <c r="AU2401" i="1"/>
  <c r="AT2402" i="1"/>
  <c r="AU2402" i="1"/>
  <c r="AT2403" i="1"/>
  <c r="AU2403" i="1"/>
  <c r="AT2404" i="1"/>
  <c r="AU2404" i="1"/>
  <c r="AT2405" i="1"/>
  <c r="AU2405" i="1"/>
  <c r="AT2406" i="1"/>
  <c r="AU2406" i="1"/>
  <c r="AT2407" i="1"/>
  <c r="AU2407" i="1"/>
  <c r="AT2408" i="1"/>
  <c r="AU2408" i="1"/>
  <c r="AT2409" i="1"/>
  <c r="AU2409" i="1"/>
  <c r="AT2410" i="1"/>
  <c r="AU2410" i="1"/>
  <c r="AT2411" i="1"/>
  <c r="AU2411" i="1"/>
  <c r="AT2412" i="1"/>
  <c r="AU2412" i="1"/>
  <c r="AT2413" i="1"/>
  <c r="AU2413" i="1"/>
  <c r="AT2414" i="1"/>
  <c r="AU2414" i="1"/>
  <c r="AT2415" i="1"/>
  <c r="AU2415" i="1"/>
  <c r="AT2416" i="1"/>
  <c r="AU2416" i="1"/>
  <c r="AT2417" i="1"/>
  <c r="AU2417" i="1"/>
  <c r="AT2418" i="1"/>
  <c r="AU2418" i="1"/>
  <c r="AT2419" i="1"/>
  <c r="AU2419" i="1"/>
  <c r="AT2420" i="1"/>
  <c r="AU2420" i="1"/>
  <c r="AT2421" i="1"/>
  <c r="AU2421" i="1"/>
  <c r="AT2422" i="1"/>
  <c r="AU2422" i="1"/>
  <c r="AT2423" i="1"/>
  <c r="AU2423" i="1"/>
  <c r="AT2424" i="1"/>
  <c r="AU2424" i="1"/>
  <c r="AT2425" i="1"/>
  <c r="AU2425" i="1"/>
  <c r="AT2426" i="1"/>
  <c r="AU2426" i="1"/>
  <c r="AT2427" i="1"/>
  <c r="AU2427" i="1"/>
  <c r="AT2428" i="1"/>
  <c r="AU2428" i="1"/>
  <c r="AT2429" i="1"/>
  <c r="AU2429" i="1"/>
  <c r="AT2430" i="1"/>
  <c r="AU2430" i="1"/>
  <c r="AT2431" i="1"/>
  <c r="AU2431" i="1"/>
  <c r="AT2432" i="1"/>
  <c r="AU2432" i="1"/>
  <c r="AT2433" i="1"/>
  <c r="AU2433" i="1"/>
  <c r="AT2434" i="1"/>
  <c r="AU2434" i="1"/>
  <c r="AT2435" i="1"/>
  <c r="AU2435" i="1"/>
  <c r="AT2436" i="1"/>
  <c r="AU2436" i="1"/>
  <c r="AT2437" i="1"/>
  <c r="AU2437" i="1"/>
  <c r="AT2438" i="1"/>
  <c r="AU2438" i="1"/>
  <c r="AT2439" i="1"/>
  <c r="AU2439" i="1"/>
  <c r="AT2440" i="1"/>
  <c r="AU2440" i="1"/>
  <c r="AT2441" i="1"/>
  <c r="AU2441" i="1"/>
  <c r="AT2442" i="1"/>
  <c r="AU2442" i="1"/>
  <c r="AT2443" i="1"/>
  <c r="AU2443" i="1"/>
  <c r="AT2444" i="1"/>
  <c r="AU2444" i="1"/>
  <c r="AT2445" i="1"/>
  <c r="AU2445" i="1"/>
  <c r="AT2446" i="1"/>
  <c r="AU2446" i="1"/>
  <c r="AT2447" i="1"/>
  <c r="AU2447" i="1"/>
  <c r="AT2448" i="1"/>
  <c r="AU2448" i="1"/>
  <c r="AT2449" i="1"/>
  <c r="AU2449" i="1"/>
  <c r="AT2450" i="1"/>
  <c r="AU2450" i="1"/>
  <c r="AT2451" i="1"/>
  <c r="AU2451" i="1"/>
  <c r="AT2452" i="1"/>
  <c r="AU2452" i="1"/>
  <c r="AT2453" i="1"/>
  <c r="AU2453" i="1"/>
  <c r="AT2454" i="1"/>
  <c r="AU2454" i="1"/>
  <c r="AT2455" i="1"/>
  <c r="AU2455" i="1"/>
  <c r="AT2456" i="1"/>
  <c r="AU2456" i="1"/>
  <c r="AT2457" i="1"/>
  <c r="AU2457" i="1"/>
  <c r="AT2458" i="1"/>
  <c r="AU2458" i="1"/>
  <c r="AT2459" i="1"/>
  <c r="AU2459" i="1"/>
  <c r="AT2460" i="1"/>
  <c r="AU2460" i="1"/>
  <c r="AT2461" i="1"/>
  <c r="AU2461" i="1"/>
  <c r="AT2462" i="1"/>
  <c r="AU2462" i="1"/>
  <c r="AT2463" i="1"/>
  <c r="AU2463" i="1"/>
  <c r="AT2464" i="1"/>
  <c r="AU2464" i="1"/>
  <c r="AT2465" i="1"/>
  <c r="AU2465" i="1"/>
  <c r="AT2466" i="1"/>
  <c r="AU2466" i="1"/>
  <c r="AT2467" i="1"/>
  <c r="AU2467" i="1"/>
  <c r="AT2468" i="1"/>
  <c r="AU2468" i="1"/>
  <c r="AT2469" i="1"/>
  <c r="AU2469" i="1"/>
  <c r="AT2470" i="1"/>
  <c r="AU2470" i="1"/>
  <c r="AT2471" i="1"/>
  <c r="AU2471" i="1"/>
  <c r="AT2472" i="1"/>
  <c r="AU2472" i="1"/>
  <c r="AT2473" i="1"/>
  <c r="AU2473" i="1"/>
  <c r="AT2474" i="1"/>
  <c r="AU2474" i="1"/>
  <c r="AT2475" i="1"/>
  <c r="AU2475" i="1"/>
  <c r="AT2476" i="1"/>
  <c r="AU2476" i="1"/>
  <c r="AT2477" i="1"/>
  <c r="AU2477" i="1"/>
  <c r="AT2478" i="1"/>
  <c r="AU2478" i="1"/>
  <c r="AT2479" i="1"/>
  <c r="AU2479" i="1"/>
  <c r="AT2480" i="1"/>
  <c r="AU2480" i="1"/>
  <c r="AT2481" i="1"/>
  <c r="AU2481" i="1"/>
  <c r="AT2482" i="1"/>
  <c r="AU2482" i="1"/>
  <c r="AT2483" i="1"/>
  <c r="AU2483" i="1"/>
  <c r="AT2484" i="1"/>
  <c r="AU2484" i="1"/>
  <c r="AT2485" i="1"/>
  <c r="AU2485" i="1"/>
  <c r="AT2486" i="1"/>
  <c r="AU2486" i="1"/>
  <c r="AT2487" i="1"/>
  <c r="AU2487" i="1"/>
  <c r="AT2488" i="1"/>
  <c r="AU2488" i="1"/>
  <c r="AT2489" i="1"/>
  <c r="AU2489" i="1"/>
  <c r="AT2490" i="1"/>
  <c r="AU2490" i="1"/>
  <c r="AT2491" i="1"/>
  <c r="AU2491" i="1"/>
  <c r="AT2492" i="1"/>
  <c r="AU2492" i="1"/>
  <c r="AT2493" i="1"/>
  <c r="AU2493" i="1"/>
  <c r="AT2494" i="1"/>
  <c r="AU2494" i="1"/>
  <c r="AT2495" i="1"/>
  <c r="AU2495" i="1"/>
  <c r="AT2496" i="1"/>
  <c r="AU2496" i="1"/>
  <c r="AT2497" i="1"/>
  <c r="AU2497" i="1"/>
  <c r="AT2498" i="1"/>
  <c r="AU2498" i="1"/>
  <c r="AT2499" i="1"/>
  <c r="AU2499" i="1"/>
  <c r="AT2500" i="1"/>
  <c r="AU2500" i="1"/>
  <c r="AT2501" i="1"/>
  <c r="AU2501" i="1"/>
  <c r="AT2502" i="1"/>
  <c r="AU2502" i="1"/>
  <c r="AT2503" i="1"/>
  <c r="AU2503" i="1"/>
  <c r="AT2504" i="1"/>
  <c r="AU2504" i="1"/>
  <c r="AT2505" i="1"/>
  <c r="AU2505" i="1"/>
  <c r="AT2506" i="1"/>
  <c r="AU2506" i="1"/>
  <c r="AT2507" i="1"/>
  <c r="AU2507" i="1"/>
  <c r="AT2508" i="1"/>
  <c r="AU2508" i="1"/>
  <c r="AT2509" i="1"/>
  <c r="AU2509" i="1"/>
  <c r="AT2510" i="1"/>
  <c r="AU2510" i="1"/>
  <c r="AT2511" i="1"/>
  <c r="AU2511" i="1"/>
  <c r="AT2512" i="1"/>
  <c r="AU2512" i="1"/>
  <c r="AT2513" i="1"/>
  <c r="AU2513" i="1"/>
  <c r="AT2514" i="1"/>
  <c r="AU2514" i="1"/>
  <c r="AT2515" i="1"/>
  <c r="AU2515" i="1"/>
  <c r="AT2516" i="1"/>
  <c r="AU2516" i="1"/>
  <c r="AT2517" i="1"/>
  <c r="AU2517" i="1"/>
  <c r="AT2518" i="1"/>
  <c r="AU2518" i="1"/>
  <c r="AT2519" i="1"/>
  <c r="AU2519" i="1"/>
  <c r="AT2520" i="1"/>
  <c r="AU2520" i="1"/>
  <c r="AT2521" i="1"/>
  <c r="AU2521" i="1"/>
  <c r="AT2522" i="1"/>
  <c r="AU2522" i="1"/>
  <c r="AT2523" i="1"/>
  <c r="AU2523" i="1"/>
  <c r="AT2524" i="1"/>
  <c r="AU2524" i="1"/>
  <c r="AT2525" i="1"/>
  <c r="AU2525" i="1"/>
  <c r="AT2526" i="1"/>
  <c r="AU2526" i="1"/>
  <c r="AT2527" i="1"/>
  <c r="AU2527" i="1"/>
  <c r="AT2528" i="1"/>
  <c r="AU2528" i="1"/>
  <c r="AT2529" i="1"/>
  <c r="AU2529" i="1"/>
  <c r="AT2530" i="1"/>
  <c r="AU2530" i="1"/>
  <c r="AT2531" i="1"/>
  <c r="AU2531" i="1"/>
  <c r="AT2532" i="1"/>
  <c r="AU2532" i="1"/>
  <c r="C76" i="36"/>
  <c r="C165" i="36"/>
  <c r="C79" i="36"/>
  <c r="C78" i="36"/>
  <c r="C77" i="36"/>
  <c r="C164" i="36"/>
  <c r="C163" i="36"/>
  <c r="C162" i="36"/>
  <c r="C161" i="36"/>
  <c r="R184" i="36"/>
  <c r="M184" i="36"/>
  <c r="L184" i="36"/>
  <c r="K184" i="36"/>
  <c r="C184" i="36"/>
  <c r="C183" i="36"/>
  <c r="M75" i="36"/>
  <c r="L75" i="36"/>
  <c r="K75" i="36"/>
  <c r="E75" i="36"/>
  <c r="C75" i="36"/>
  <c r="M74" i="36"/>
  <c r="L74" i="36"/>
  <c r="K74" i="36"/>
  <c r="E74" i="36"/>
  <c r="C74" i="36"/>
  <c r="M73" i="36"/>
  <c r="L73" i="36"/>
  <c r="K73" i="36"/>
  <c r="E73" i="36"/>
  <c r="C73" i="36"/>
  <c r="M69" i="36"/>
  <c r="M70" i="36"/>
  <c r="M71" i="36"/>
  <c r="L69" i="36"/>
  <c r="L70" i="36"/>
  <c r="L71" i="36"/>
  <c r="K69" i="36"/>
  <c r="K70" i="36"/>
  <c r="K71" i="36"/>
  <c r="E69" i="36"/>
  <c r="E70" i="36"/>
  <c r="E71" i="36"/>
  <c r="C69" i="36"/>
  <c r="C70" i="36"/>
  <c r="C71" i="36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68" i="1"/>
  <c r="AS1569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71" i="1"/>
  <c r="AS1572" i="1"/>
  <c r="AS1573" i="1"/>
  <c r="AS1574" i="1"/>
  <c r="AS1570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2138" i="1"/>
  <c r="AS2139" i="1"/>
  <c r="AS2140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333" i="1"/>
  <c r="AS2334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2408" i="1"/>
  <c r="AS2409" i="1"/>
  <c r="AS2410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2433" i="1"/>
  <c r="AS2434" i="1"/>
  <c r="AS2435" i="1"/>
  <c r="AS2436" i="1"/>
  <c r="AS2437" i="1"/>
  <c r="AS2438" i="1"/>
  <c r="AS2439" i="1"/>
  <c r="AS2440" i="1"/>
  <c r="AS2441" i="1"/>
  <c r="AS2442" i="1"/>
  <c r="AS2443" i="1"/>
  <c r="AS2444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475" i="1"/>
  <c r="AS2476" i="1"/>
  <c r="AS2477" i="1"/>
  <c r="AS2478" i="1"/>
  <c r="AS2479" i="1"/>
  <c r="AS2480" i="1"/>
  <c r="AS2481" i="1"/>
  <c r="AS2482" i="1"/>
  <c r="AS2483" i="1"/>
  <c r="AS2484" i="1"/>
  <c r="AS2485" i="1"/>
  <c r="AS2486" i="1"/>
  <c r="AS2487" i="1"/>
  <c r="AS2488" i="1"/>
  <c r="AS2489" i="1"/>
  <c r="AS2490" i="1"/>
  <c r="AS2491" i="1"/>
  <c r="AS2492" i="1"/>
  <c r="AS2493" i="1"/>
  <c r="AS2494" i="1"/>
  <c r="AS2495" i="1"/>
  <c r="AS2496" i="1"/>
  <c r="AS2497" i="1"/>
  <c r="AS2498" i="1"/>
  <c r="AS2499" i="1"/>
  <c r="AS2500" i="1"/>
  <c r="AS2501" i="1"/>
  <c r="AS2502" i="1"/>
  <c r="AS2503" i="1"/>
  <c r="AS2504" i="1"/>
  <c r="AS2505" i="1"/>
  <c r="AS2506" i="1"/>
  <c r="AS2507" i="1"/>
  <c r="AS2508" i="1"/>
  <c r="AS2509" i="1"/>
  <c r="AS2510" i="1"/>
  <c r="AS2511" i="1"/>
  <c r="AS2512" i="1"/>
  <c r="AS2513" i="1"/>
  <c r="AS2514" i="1"/>
  <c r="AS2515" i="1"/>
  <c r="AS2516" i="1"/>
  <c r="AS2517" i="1"/>
  <c r="AS2518" i="1"/>
  <c r="AS2519" i="1"/>
  <c r="AS2520" i="1"/>
  <c r="AS2521" i="1"/>
  <c r="AS2522" i="1"/>
  <c r="AS2523" i="1"/>
  <c r="AS2524" i="1"/>
  <c r="AS2525" i="1"/>
  <c r="AS2526" i="1"/>
  <c r="AS2527" i="1"/>
  <c r="AS2528" i="1"/>
  <c r="AS2529" i="1"/>
  <c r="AS2530" i="1"/>
  <c r="AS2531" i="1"/>
  <c r="AS2532" i="1"/>
  <c r="AS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68" i="1"/>
  <c r="AR1569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71" i="1"/>
  <c r="AR1572" i="1"/>
  <c r="AR1573" i="1"/>
  <c r="AR1574" i="1"/>
  <c r="AR1570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2" i="1"/>
  <c r="AP2504" i="1"/>
  <c r="AQ2504" i="1" s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Q2528" i="1" s="1"/>
  <c r="AP2529" i="1"/>
  <c r="AP2530" i="1"/>
  <c r="AP2531" i="1"/>
  <c r="AP2532" i="1"/>
  <c r="AP1594" i="1"/>
  <c r="Y1594" i="1"/>
  <c r="AO1594" i="1" s="1"/>
  <c r="X1594" i="1"/>
  <c r="W1594" i="1"/>
  <c r="U1594" i="1"/>
  <c r="T1594" i="1"/>
  <c r="S1594" i="1"/>
  <c r="R1594" i="1"/>
  <c r="AT1594" i="1" s="1"/>
  <c r="Q1594" i="1"/>
  <c r="AU1594" i="1" s="1"/>
  <c r="P1594" i="1"/>
  <c r="AP1593" i="1"/>
  <c r="Y1593" i="1"/>
  <c r="X1593" i="1"/>
  <c r="W1593" i="1"/>
  <c r="U1593" i="1"/>
  <c r="T1593" i="1"/>
  <c r="S1593" i="1"/>
  <c r="R1593" i="1"/>
  <c r="AT1593" i="1" s="1"/>
  <c r="Q1593" i="1"/>
  <c r="AU1593" i="1" s="1"/>
  <c r="P1593" i="1"/>
  <c r="AP1592" i="1"/>
  <c r="Y1592" i="1"/>
  <c r="X1592" i="1"/>
  <c r="W1592" i="1"/>
  <c r="U1592" i="1"/>
  <c r="T1592" i="1"/>
  <c r="S1592" i="1"/>
  <c r="R1592" i="1"/>
  <c r="AT1592" i="1" s="1"/>
  <c r="Q1592" i="1"/>
  <c r="AU1592" i="1" s="1"/>
  <c r="P1592" i="1"/>
  <c r="AP1591" i="1"/>
  <c r="Y1591" i="1"/>
  <c r="X1591" i="1"/>
  <c r="W1591" i="1"/>
  <c r="U1591" i="1"/>
  <c r="T1591" i="1"/>
  <c r="S1591" i="1"/>
  <c r="R1591" i="1"/>
  <c r="AT1591" i="1" s="1"/>
  <c r="Q1591" i="1"/>
  <c r="AU1591" i="1" s="1"/>
  <c r="P1591" i="1"/>
  <c r="AP1588" i="1"/>
  <c r="Y1588" i="1"/>
  <c r="X1588" i="1"/>
  <c r="W1588" i="1"/>
  <c r="U1588" i="1"/>
  <c r="T1588" i="1"/>
  <c r="S1588" i="1"/>
  <c r="R1588" i="1"/>
  <c r="AT1588" i="1" s="1"/>
  <c r="Q1588" i="1"/>
  <c r="AU1588" i="1" s="1"/>
  <c r="P1588" i="1"/>
  <c r="AP1587" i="1"/>
  <c r="Y1587" i="1"/>
  <c r="X1587" i="1"/>
  <c r="W1587" i="1"/>
  <c r="U1587" i="1"/>
  <c r="T1587" i="1"/>
  <c r="S1587" i="1"/>
  <c r="R1587" i="1"/>
  <c r="AT1587" i="1" s="1"/>
  <c r="Q1587" i="1"/>
  <c r="AU1587" i="1" s="1"/>
  <c r="P1587" i="1"/>
  <c r="AP1586" i="1"/>
  <c r="Y1586" i="1"/>
  <c r="X1586" i="1"/>
  <c r="W1586" i="1"/>
  <c r="U1586" i="1"/>
  <c r="T1586" i="1"/>
  <c r="S1586" i="1"/>
  <c r="R1586" i="1"/>
  <c r="AT1586" i="1" s="1"/>
  <c r="Q1586" i="1"/>
  <c r="AU1586" i="1" s="1"/>
  <c r="P1586" i="1"/>
  <c r="AP1590" i="1"/>
  <c r="Y1590" i="1"/>
  <c r="X1590" i="1"/>
  <c r="W1590" i="1"/>
  <c r="U1590" i="1"/>
  <c r="T1590" i="1"/>
  <c r="S1590" i="1"/>
  <c r="R1590" i="1"/>
  <c r="AT1590" i="1" s="1"/>
  <c r="Q1590" i="1"/>
  <c r="AU1590" i="1" s="1"/>
  <c r="P1590" i="1"/>
  <c r="AP1589" i="1"/>
  <c r="Y1589" i="1"/>
  <c r="AO1589" i="1" s="1"/>
  <c r="X1589" i="1"/>
  <c r="W1589" i="1"/>
  <c r="U1589" i="1"/>
  <c r="T1589" i="1"/>
  <c r="S1589" i="1"/>
  <c r="R1589" i="1"/>
  <c r="AT1589" i="1" s="1"/>
  <c r="Q1589" i="1"/>
  <c r="AU1589" i="1" s="1"/>
  <c r="P1589" i="1"/>
  <c r="AP1585" i="1"/>
  <c r="Y1585" i="1"/>
  <c r="AO1585" i="1" s="1"/>
  <c r="AQ1585" i="1" s="1"/>
  <c r="X1585" i="1"/>
  <c r="W1585" i="1"/>
  <c r="U1585" i="1"/>
  <c r="T1585" i="1"/>
  <c r="V1585" i="1" s="1"/>
  <c r="S1585" i="1"/>
  <c r="R1585" i="1"/>
  <c r="AT1585" i="1" s="1"/>
  <c r="Q1585" i="1"/>
  <c r="AU1585" i="1" s="1"/>
  <c r="P1585" i="1"/>
  <c r="AP1595" i="1"/>
  <c r="Y1595" i="1"/>
  <c r="AO1595" i="1" s="1"/>
  <c r="AQ1595" i="1" s="1"/>
  <c r="X1595" i="1"/>
  <c r="W1595" i="1"/>
  <c r="U1595" i="1"/>
  <c r="T1595" i="1"/>
  <c r="S1595" i="1"/>
  <c r="R1595" i="1"/>
  <c r="AT1595" i="1" s="1"/>
  <c r="Q1595" i="1"/>
  <c r="AU1595" i="1" s="1"/>
  <c r="P1595" i="1"/>
  <c r="AP1597" i="1"/>
  <c r="Y1597" i="1"/>
  <c r="AO1597" i="1" s="1"/>
  <c r="AQ1597" i="1" s="1"/>
  <c r="X1597" i="1"/>
  <c r="W1597" i="1"/>
  <c r="U1597" i="1"/>
  <c r="T1597" i="1"/>
  <c r="S1597" i="1"/>
  <c r="R1597" i="1"/>
  <c r="AT1597" i="1" s="1"/>
  <c r="Q1597" i="1"/>
  <c r="AU1597" i="1" s="1"/>
  <c r="P1597" i="1"/>
  <c r="AP1596" i="1"/>
  <c r="Y1596" i="1"/>
  <c r="AO1596" i="1" s="1"/>
  <c r="X1596" i="1"/>
  <c r="W1596" i="1"/>
  <c r="U1596" i="1"/>
  <c r="T1596" i="1"/>
  <c r="S1596" i="1"/>
  <c r="R1596" i="1"/>
  <c r="AT1596" i="1" s="1"/>
  <c r="Q1596" i="1"/>
  <c r="AU1596" i="1" s="1"/>
  <c r="P1596" i="1"/>
  <c r="AO1588" i="1"/>
  <c r="AQ1588" i="1" s="1"/>
  <c r="AO1590" i="1"/>
  <c r="AQ1590" i="1" s="1"/>
  <c r="AO1591" i="1"/>
  <c r="AQ1591" i="1" s="1"/>
  <c r="AO1586" i="1"/>
  <c r="AQ1586" i="1" s="1"/>
  <c r="AO1592" i="1"/>
  <c r="AQ1592" i="1" s="1"/>
  <c r="AO1587" i="1"/>
  <c r="AQ1587" i="1" s="1"/>
  <c r="AO1593" i="1"/>
  <c r="AQ1593" i="1" s="1"/>
  <c r="V1591" i="1"/>
  <c r="V1587" i="1"/>
  <c r="V1588" i="1"/>
  <c r="V1593" i="1"/>
  <c r="V1592" i="1"/>
  <c r="V1594" i="1"/>
  <c r="C67" i="36"/>
  <c r="C66" i="36"/>
  <c r="U519" i="6"/>
  <c r="B519" i="6"/>
  <c r="U518" i="6"/>
  <c r="B518" i="6"/>
  <c r="U517" i="6"/>
  <c r="B517" i="6"/>
  <c r="U516" i="6"/>
  <c r="B516" i="6"/>
  <c r="U515" i="6"/>
  <c r="B515" i="6"/>
  <c r="U514" i="6"/>
  <c r="B514" i="6"/>
  <c r="U513" i="6"/>
  <c r="B513" i="6"/>
  <c r="C154" i="36"/>
  <c r="C153" i="36"/>
  <c r="C152" i="36"/>
  <c r="C151" i="36"/>
  <c r="C150" i="36"/>
  <c r="C65" i="36"/>
  <c r="C149" i="36"/>
  <c r="C155" i="36"/>
  <c r="C148" i="36"/>
  <c r="U427" i="6"/>
  <c r="B427" i="6"/>
  <c r="U505" i="6"/>
  <c r="B505" i="6"/>
  <c r="E64" i="36"/>
  <c r="C64" i="36"/>
  <c r="C63" i="36"/>
  <c r="C62" i="36"/>
  <c r="C147" i="36"/>
  <c r="C146" i="36"/>
  <c r="C61" i="36"/>
  <c r="C143" i="36"/>
  <c r="C141" i="36"/>
  <c r="C60" i="36"/>
  <c r="C140" i="36"/>
  <c r="C139" i="36"/>
  <c r="AP1570" i="1"/>
  <c r="Y1570" i="1"/>
  <c r="AO1570" i="1" s="1"/>
  <c r="X1570" i="1"/>
  <c r="W1570" i="1"/>
  <c r="U1570" i="1"/>
  <c r="T1570" i="1"/>
  <c r="S1570" i="1"/>
  <c r="R1570" i="1"/>
  <c r="AT1570" i="1" s="1"/>
  <c r="Q1570" i="1"/>
  <c r="AU1570" i="1" s="1"/>
  <c r="P1570" i="1"/>
  <c r="AP1569" i="1"/>
  <c r="Y1569" i="1"/>
  <c r="AO1569" i="1" s="1"/>
  <c r="X1569" i="1"/>
  <c r="W1569" i="1"/>
  <c r="U1569" i="1"/>
  <c r="T1569" i="1"/>
  <c r="S1569" i="1"/>
  <c r="R1569" i="1"/>
  <c r="AT1569" i="1" s="1"/>
  <c r="Q1569" i="1"/>
  <c r="AU1569" i="1" s="1"/>
  <c r="P1569" i="1"/>
  <c r="AP1568" i="1"/>
  <c r="Y1568" i="1"/>
  <c r="AO1568" i="1" s="1"/>
  <c r="X1568" i="1"/>
  <c r="W1568" i="1"/>
  <c r="U1568" i="1"/>
  <c r="T1568" i="1"/>
  <c r="S1568" i="1"/>
  <c r="R1568" i="1"/>
  <c r="Q1568" i="1"/>
  <c r="P1568" i="1"/>
  <c r="K503" i="6" s="1"/>
  <c r="AP1574" i="1"/>
  <c r="Y1574" i="1"/>
  <c r="X1574" i="1"/>
  <c r="W1574" i="1"/>
  <c r="U1574" i="1"/>
  <c r="T1574" i="1"/>
  <c r="S1574" i="1"/>
  <c r="R1574" i="1"/>
  <c r="AT1574" i="1" s="1"/>
  <c r="Q1574" i="1"/>
  <c r="AU1574" i="1" s="1"/>
  <c r="P1574" i="1"/>
  <c r="AP1573" i="1"/>
  <c r="Y1573" i="1"/>
  <c r="AO1573" i="1" s="1"/>
  <c r="X1573" i="1"/>
  <c r="W1573" i="1"/>
  <c r="U1573" i="1"/>
  <c r="T1573" i="1"/>
  <c r="S1573" i="1"/>
  <c r="R1573" i="1"/>
  <c r="AT1573" i="1" s="1"/>
  <c r="Q1573" i="1"/>
  <c r="AU1573" i="1" s="1"/>
  <c r="P1573" i="1"/>
  <c r="AP1572" i="1"/>
  <c r="Y1572" i="1"/>
  <c r="AO1572" i="1" s="1"/>
  <c r="X1572" i="1"/>
  <c r="W1572" i="1"/>
  <c r="U1572" i="1"/>
  <c r="T1572" i="1"/>
  <c r="S1572" i="1"/>
  <c r="R1572" i="1"/>
  <c r="AT1572" i="1" s="1"/>
  <c r="Q1572" i="1"/>
  <c r="AU1572" i="1" s="1"/>
  <c r="P1572" i="1"/>
  <c r="AP1571" i="1"/>
  <c r="Y1571" i="1"/>
  <c r="AO1571" i="1" s="1"/>
  <c r="X1571" i="1"/>
  <c r="W1571" i="1"/>
  <c r="U1571" i="1"/>
  <c r="T1571" i="1"/>
  <c r="S1571" i="1"/>
  <c r="R1571" i="1"/>
  <c r="AT1571" i="1" s="1"/>
  <c r="Q1571" i="1"/>
  <c r="AU1571" i="1" s="1"/>
  <c r="P1571" i="1"/>
  <c r="AP1581" i="1"/>
  <c r="Y1581" i="1"/>
  <c r="AO1581" i="1" s="1"/>
  <c r="X1581" i="1"/>
  <c r="W1581" i="1"/>
  <c r="U1581" i="1"/>
  <c r="T1581" i="1"/>
  <c r="S1581" i="1"/>
  <c r="R1581" i="1"/>
  <c r="AT1581" i="1" s="1"/>
  <c r="Q1581" i="1"/>
  <c r="AU1581" i="1" s="1"/>
  <c r="P1581" i="1"/>
  <c r="AP1580" i="1"/>
  <c r="Y1580" i="1"/>
  <c r="AO1580" i="1" s="1"/>
  <c r="X1580" i="1"/>
  <c r="W1580" i="1"/>
  <c r="U1580" i="1"/>
  <c r="T1580" i="1"/>
  <c r="S1580" i="1"/>
  <c r="R1580" i="1"/>
  <c r="AT1580" i="1" s="1"/>
  <c r="Q1580" i="1"/>
  <c r="AU1580" i="1" s="1"/>
  <c r="P1580" i="1"/>
  <c r="AP1579" i="1"/>
  <c r="Y1579" i="1"/>
  <c r="AO1579" i="1" s="1"/>
  <c r="X1579" i="1"/>
  <c r="W1579" i="1"/>
  <c r="U1579" i="1"/>
  <c r="T1579" i="1"/>
  <c r="S1579" i="1"/>
  <c r="R1579" i="1"/>
  <c r="AT1579" i="1" s="1"/>
  <c r="Q1579" i="1"/>
  <c r="AU1579" i="1" s="1"/>
  <c r="P1579" i="1"/>
  <c r="AP1578" i="1"/>
  <c r="Y1578" i="1"/>
  <c r="AO1578" i="1" s="1"/>
  <c r="X1578" i="1"/>
  <c r="W1578" i="1"/>
  <c r="U1578" i="1"/>
  <c r="T1578" i="1"/>
  <c r="S1578" i="1"/>
  <c r="R1578" i="1"/>
  <c r="AT1578" i="1" s="1"/>
  <c r="Q1578" i="1"/>
  <c r="AU1578" i="1" s="1"/>
  <c r="P1578" i="1"/>
  <c r="AP1576" i="1"/>
  <c r="Y1576" i="1"/>
  <c r="AO1576" i="1" s="1"/>
  <c r="X1576" i="1"/>
  <c r="W1576" i="1"/>
  <c r="U1576" i="1"/>
  <c r="T1576" i="1"/>
  <c r="S1576" i="1"/>
  <c r="R1576" i="1"/>
  <c r="AT1576" i="1" s="1"/>
  <c r="Q1576" i="1"/>
  <c r="AU1576" i="1" s="1"/>
  <c r="P1576" i="1"/>
  <c r="AP1575" i="1"/>
  <c r="Y1575" i="1"/>
  <c r="AO1575" i="1" s="1"/>
  <c r="X1575" i="1"/>
  <c r="W1575" i="1"/>
  <c r="U1575" i="1"/>
  <c r="T1575" i="1"/>
  <c r="S1575" i="1"/>
  <c r="R1575" i="1"/>
  <c r="AT1575" i="1" s="1"/>
  <c r="Q1575" i="1"/>
  <c r="AU1575" i="1" s="1"/>
  <c r="P1575" i="1"/>
  <c r="U511" i="6"/>
  <c r="B511" i="6"/>
  <c r="U510" i="6"/>
  <c r="B510" i="6"/>
  <c r="U509" i="6"/>
  <c r="B509" i="6"/>
  <c r="U508" i="6"/>
  <c r="B508" i="6"/>
  <c r="C145" i="36"/>
  <c r="C144" i="36"/>
  <c r="C142" i="36"/>
  <c r="U525" i="6"/>
  <c r="P525" i="6"/>
  <c r="K525" i="6"/>
  <c r="J525" i="6"/>
  <c r="I525" i="6"/>
  <c r="B525" i="6"/>
  <c r="U524" i="6"/>
  <c r="B524" i="6"/>
  <c r="U512" i="6"/>
  <c r="B512" i="6"/>
  <c r="C59" i="36"/>
  <c r="C138" i="36"/>
  <c r="C137" i="36"/>
  <c r="C136" i="36"/>
  <c r="C135" i="36"/>
  <c r="C134" i="36"/>
  <c r="U507" i="6"/>
  <c r="B507" i="6"/>
  <c r="U506" i="6"/>
  <c r="B506" i="6"/>
  <c r="U504" i="6"/>
  <c r="B504" i="6"/>
  <c r="P1611" i="1"/>
  <c r="K502" i="6" s="1"/>
  <c r="Q1611" i="1"/>
  <c r="R1611" i="1"/>
  <c r="AT1611" i="1" s="1"/>
  <c r="S1611" i="1"/>
  <c r="T1611" i="1"/>
  <c r="U1611" i="1"/>
  <c r="X1611" i="1"/>
  <c r="Y1611" i="1"/>
  <c r="P1612" i="1"/>
  <c r="Q1612" i="1"/>
  <c r="AU1612" i="1" s="1"/>
  <c r="R1612" i="1"/>
  <c r="AT1612" i="1" s="1"/>
  <c r="S1612" i="1"/>
  <c r="T1612" i="1"/>
  <c r="U1612" i="1"/>
  <c r="X1612" i="1"/>
  <c r="Y1612" i="1"/>
  <c r="AO1612" i="1" s="1"/>
  <c r="P1613" i="1"/>
  <c r="Q1613" i="1"/>
  <c r="AU1613" i="1" s="1"/>
  <c r="R1613" i="1"/>
  <c r="AT1613" i="1" s="1"/>
  <c r="S1613" i="1"/>
  <c r="T1613" i="1"/>
  <c r="U1613" i="1"/>
  <c r="X1613" i="1"/>
  <c r="Y1613" i="1"/>
  <c r="AO1613" i="1" s="1"/>
  <c r="P1614" i="1"/>
  <c r="Q1614" i="1"/>
  <c r="AU1614" i="1" s="1"/>
  <c r="R1614" i="1"/>
  <c r="AT1614" i="1" s="1"/>
  <c r="S1614" i="1"/>
  <c r="T1614" i="1"/>
  <c r="U1614" i="1"/>
  <c r="X1614" i="1"/>
  <c r="Y1614" i="1"/>
  <c r="AO1614" i="1" s="1"/>
  <c r="P1615" i="1"/>
  <c r="Q1615" i="1"/>
  <c r="AU1615" i="1" s="1"/>
  <c r="R1615" i="1"/>
  <c r="AT1615" i="1" s="1"/>
  <c r="S1615" i="1"/>
  <c r="T1615" i="1"/>
  <c r="U1615" i="1"/>
  <c r="X1615" i="1"/>
  <c r="Y1615" i="1"/>
  <c r="AO1615" i="1" s="1"/>
  <c r="P1616" i="1"/>
  <c r="Q1616" i="1"/>
  <c r="AU1616" i="1" s="1"/>
  <c r="R1616" i="1"/>
  <c r="AT1616" i="1" s="1"/>
  <c r="S1616" i="1"/>
  <c r="T1616" i="1"/>
  <c r="U1616" i="1"/>
  <c r="X1616" i="1"/>
  <c r="Y1616" i="1"/>
  <c r="AO1616" i="1" s="1"/>
  <c r="P1617" i="1"/>
  <c r="Q1617" i="1"/>
  <c r="AU1617" i="1" s="1"/>
  <c r="R1617" i="1"/>
  <c r="AT1617" i="1" s="1"/>
  <c r="S1617" i="1"/>
  <c r="T1617" i="1"/>
  <c r="U1617" i="1"/>
  <c r="X1617" i="1"/>
  <c r="Y1617" i="1"/>
  <c r="AO1617" i="1" s="1"/>
  <c r="P1618" i="1"/>
  <c r="Q1618" i="1"/>
  <c r="AU1618" i="1" s="1"/>
  <c r="R1618" i="1"/>
  <c r="AT1618" i="1" s="1"/>
  <c r="S1618" i="1"/>
  <c r="T1618" i="1"/>
  <c r="U1618" i="1"/>
  <c r="X1618" i="1"/>
  <c r="Y1618" i="1"/>
  <c r="AO1618" i="1" s="1"/>
  <c r="P1619" i="1"/>
  <c r="Q1619" i="1"/>
  <c r="AU1619" i="1" s="1"/>
  <c r="R1619" i="1"/>
  <c r="AT1619" i="1" s="1"/>
  <c r="S1619" i="1"/>
  <c r="T1619" i="1"/>
  <c r="U1619" i="1"/>
  <c r="X1619" i="1"/>
  <c r="Y1619" i="1"/>
  <c r="AO1619" i="1" s="1"/>
  <c r="P1620" i="1"/>
  <c r="Q1620" i="1"/>
  <c r="AU1620" i="1" s="1"/>
  <c r="R1620" i="1"/>
  <c r="AT1620" i="1" s="1"/>
  <c r="S1620" i="1"/>
  <c r="T1620" i="1"/>
  <c r="U1620" i="1"/>
  <c r="X1620" i="1"/>
  <c r="Y1620" i="1"/>
  <c r="AO1620" i="1" s="1"/>
  <c r="P1621" i="1"/>
  <c r="Q1621" i="1"/>
  <c r="AU1621" i="1" s="1"/>
  <c r="R1621" i="1"/>
  <c r="AT1621" i="1" s="1"/>
  <c r="S1621" i="1"/>
  <c r="T1621" i="1"/>
  <c r="U1621" i="1"/>
  <c r="X1621" i="1"/>
  <c r="Y1621" i="1"/>
  <c r="AO1621" i="1" s="1"/>
  <c r="C133" i="36"/>
  <c r="U503" i="6"/>
  <c r="B503" i="6"/>
  <c r="U502" i="6"/>
  <c r="B502" i="6"/>
  <c r="U501" i="6"/>
  <c r="B501" i="6"/>
  <c r="U500" i="6"/>
  <c r="B500" i="6"/>
  <c r="U499" i="6"/>
  <c r="B499" i="6"/>
  <c r="U498" i="6"/>
  <c r="B498" i="6"/>
  <c r="C130" i="36"/>
  <c r="U495" i="6"/>
  <c r="B495" i="6"/>
  <c r="U494" i="6"/>
  <c r="B494" i="6"/>
  <c r="U493" i="6"/>
  <c r="B493" i="6"/>
  <c r="U492" i="6"/>
  <c r="B492" i="6"/>
  <c r="Y23" i="37"/>
  <c r="Y24" i="37"/>
  <c r="Y25" i="37"/>
  <c r="M4" i="37"/>
  <c r="C132" i="36"/>
  <c r="C131" i="36"/>
  <c r="C129" i="36"/>
  <c r="C128" i="36"/>
  <c r="C127" i="36"/>
  <c r="C126" i="36"/>
  <c r="C125" i="36"/>
  <c r="C124" i="36"/>
  <c r="U486" i="6"/>
  <c r="B486" i="6"/>
  <c r="U485" i="6"/>
  <c r="B485" i="6"/>
  <c r="U484" i="6"/>
  <c r="B484" i="6"/>
  <c r="U483" i="6"/>
  <c r="B483" i="6"/>
  <c r="U482" i="6"/>
  <c r="B482" i="6"/>
  <c r="U481" i="6"/>
  <c r="B481" i="6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Q752" i="1" s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50" i="1"/>
  <c r="AP1551" i="1"/>
  <c r="AP1548" i="1"/>
  <c r="AP1549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82" i="1"/>
  <c r="AP1577" i="1"/>
  <c r="AP1583" i="1"/>
  <c r="AP1584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Q1622" i="1" s="1"/>
  <c r="AP1623" i="1"/>
  <c r="AQ1623" i="1" s="1"/>
  <c r="AP1624" i="1"/>
  <c r="AQ1624" i="1" s="1"/>
  <c r="AP1625" i="1"/>
  <c r="AQ1625" i="1" s="1"/>
  <c r="AP1626" i="1"/>
  <c r="AQ1626" i="1" s="1"/>
  <c r="AP1627" i="1"/>
  <c r="AQ1627" i="1" s="1"/>
  <c r="AP1628" i="1"/>
  <c r="AQ1628" i="1" s="1"/>
  <c r="AP1629" i="1"/>
  <c r="AQ1629" i="1" s="1"/>
  <c r="AP1630" i="1"/>
  <c r="AQ1630" i="1" s="1"/>
  <c r="AP1631" i="1"/>
  <c r="AQ1631" i="1" s="1"/>
  <c r="AP1632" i="1"/>
  <c r="AQ1632" i="1" s="1"/>
  <c r="AP1633" i="1"/>
  <c r="AQ1633" i="1" s="1"/>
  <c r="AP1634" i="1"/>
  <c r="AQ1634" i="1" s="1"/>
  <c r="AP1635" i="1"/>
  <c r="AQ1635" i="1" s="1"/>
  <c r="AP1636" i="1"/>
  <c r="AQ1636" i="1" s="1"/>
  <c r="AP1637" i="1"/>
  <c r="AQ1637" i="1" s="1"/>
  <c r="AP1638" i="1"/>
  <c r="AQ1638" i="1" s="1"/>
  <c r="AP1639" i="1"/>
  <c r="AQ1639" i="1" s="1"/>
  <c r="AP1640" i="1"/>
  <c r="AQ1640" i="1" s="1"/>
  <c r="AP1641" i="1"/>
  <c r="AQ1641" i="1" s="1"/>
  <c r="AP1642" i="1"/>
  <c r="AQ1642" i="1" s="1"/>
  <c r="AP1643" i="1"/>
  <c r="AQ1643" i="1" s="1"/>
  <c r="AP1644" i="1"/>
  <c r="AQ1644" i="1" s="1"/>
  <c r="AP1645" i="1"/>
  <c r="AQ1645" i="1" s="1"/>
  <c r="AP1646" i="1"/>
  <c r="AQ1646" i="1" s="1"/>
  <c r="AP1647" i="1"/>
  <c r="AQ1647" i="1" s="1"/>
  <c r="AP1648" i="1"/>
  <c r="AQ1648" i="1" s="1"/>
  <c r="AP1649" i="1"/>
  <c r="AQ1649" i="1" s="1"/>
  <c r="AP1650" i="1"/>
  <c r="AQ1650" i="1" s="1"/>
  <c r="AP1651" i="1"/>
  <c r="AQ1651" i="1" s="1"/>
  <c r="AP1652" i="1"/>
  <c r="AQ1652" i="1" s="1"/>
  <c r="AP1653" i="1"/>
  <c r="AQ1653" i="1" s="1"/>
  <c r="AP1654" i="1"/>
  <c r="AQ1654" i="1" s="1"/>
  <c r="AP1655" i="1"/>
  <c r="AQ1655" i="1" s="1"/>
  <c r="AP1656" i="1"/>
  <c r="AQ1656" i="1" s="1"/>
  <c r="AP1657" i="1"/>
  <c r="AQ1657" i="1" s="1"/>
  <c r="AP1658" i="1"/>
  <c r="AQ1658" i="1" s="1"/>
  <c r="AP1659" i="1"/>
  <c r="AQ1659" i="1" s="1"/>
  <c r="AP1660" i="1"/>
  <c r="AQ1660" i="1" s="1"/>
  <c r="AP1661" i="1"/>
  <c r="AQ1661" i="1" s="1"/>
  <c r="AP1662" i="1"/>
  <c r="AQ1662" i="1" s="1"/>
  <c r="AP1663" i="1"/>
  <c r="AQ1663" i="1" s="1"/>
  <c r="AP1664" i="1"/>
  <c r="AQ1664" i="1" s="1"/>
  <c r="AP1665" i="1"/>
  <c r="AQ1665" i="1" s="1"/>
  <c r="AP1666" i="1"/>
  <c r="AQ1666" i="1" s="1"/>
  <c r="AP1667" i="1"/>
  <c r="AQ1667" i="1" s="1"/>
  <c r="AP1668" i="1"/>
  <c r="AQ1668" i="1" s="1"/>
  <c r="AP1669" i="1"/>
  <c r="AQ1669" i="1" s="1"/>
  <c r="AP1670" i="1"/>
  <c r="AQ1670" i="1" s="1"/>
  <c r="AP1671" i="1"/>
  <c r="AQ1671" i="1" s="1"/>
  <c r="AP1672" i="1"/>
  <c r="AQ1672" i="1" s="1"/>
  <c r="AP1673" i="1"/>
  <c r="AQ1673" i="1" s="1"/>
  <c r="AP1674" i="1"/>
  <c r="AQ1674" i="1" s="1"/>
  <c r="AP1675" i="1"/>
  <c r="AQ1675" i="1" s="1"/>
  <c r="AP1676" i="1"/>
  <c r="AQ1676" i="1" s="1"/>
  <c r="AP1677" i="1"/>
  <c r="AQ1677" i="1" s="1"/>
  <c r="AP1678" i="1"/>
  <c r="AQ1678" i="1" s="1"/>
  <c r="AP1679" i="1"/>
  <c r="AQ1679" i="1" s="1"/>
  <c r="AP1680" i="1"/>
  <c r="AQ1680" i="1" s="1"/>
  <c r="AP1681" i="1"/>
  <c r="AQ1681" i="1" s="1"/>
  <c r="AP1682" i="1"/>
  <c r="AQ1682" i="1" s="1"/>
  <c r="AP1683" i="1"/>
  <c r="AQ1683" i="1" s="1"/>
  <c r="AP1684" i="1"/>
  <c r="AQ1684" i="1" s="1"/>
  <c r="AP1685" i="1"/>
  <c r="AQ1685" i="1" s="1"/>
  <c r="AP1686" i="1"/>
  <c r="AQ1686" i="1" s="1"/>
  <c r="AP1687" i="1"/>
  <c r="AQ1687" i="1" s="1"/>
  <c r="AP1688" i="1"/>
  <c r="AQ1688" i="1" s="1"/>
  <c r="AP1689" i="1"/>
  <c r="AQ1689" i="1" s="1"/>
  <c r="AP1690" i="1"/>
  <c r="AQ1690" i="1" s="1"/>
  <c r="AP1691" i="1"/>
  <c r="AQ1691" i="1" s="1"/>
  <c r="AP1692" i="1"/>
  <c r="AQ1692" i="1" s="1"/>
  <c r="AP1693" i="1"/>
  <c r="AQ1693" i="1" s="1"/>
  <c r="AP1694" i="1"/>
  <c r="AQ1694" i="1" s="1"/>
  <c r="AP1695" i="1"/>
  <c r="AQ1695" i="1" s="1"/>
  <c r="AP1696" i="1"/>
  <c r="AQ1696" i="1" s="1"/>
  <c r="AP1697" i="1"/>
  <c r="AQ1697" i="1" s="1"/>
  <c r="AP1698" i="1"/>
  <c r="AQ1698" i="1" s="1"/>
  <c r="AP1699" i="1"/>
  <c r="AQ1699" i="1" s="1"/>
  <c r="AP1700" i="1"/>
  <c r="AQ1700" i="1" s="1"/>
  <c r="AP1701" i="1"/>
  <c r="AQ1701" i="1" s="1"/>
  <c r="AP1702" i="1"/>
  <c r="AQ1702" i="1" s="1"/>
  <c r="AP1703" i="1"/>
  <c r="AQ1703" i="1" s="1"/>
  <c r="AP1704" i="1"/>
  <c r="AQ1704" i="1" s="1"/>
  <c r="AP1705" i="1"/>
  <c r="AQ1705" i="1" s="1"/>
  <c r="AP1706" i="1"/>
  <c r="AQ1706" i="1" s="1"/>
  <c r="AP1707" i="1"/>
  <c r="AQ1707" i="1" s="1"/>
  <c r="AP1708" i="1"/>
  <c r="AQ1708" i="1" s="1"/>
  <c r="AP1709" i="1"/>
  <c r="AQ1709" i="1" s="1"/>
  <c r="AP1710" i="1"/>
  <c r="AQ1710" i="1" s="1"/>
  <c r="AP1711" i="1"/>
  <c r="AQ1711" i="1" s="1"/>
  <c r="AP1712" i="1"/>
  <c r="AQ1712" i="1" s="1"/>
  <c r="AP1713" i="1"/>
  <c r="AQ1713" i="1" s="1"/>
  <c r="AP1714" i="1"/>
  <c r="AQ1714" i="1" s="1"/>
  <c r="AP1715" i="1"/>
  <c r="AQ1715" i="1" s="1"/>
  <c r="AP1716" i="1"/>
  <c r="AQ1716" i="1" s="1"/>
  <c r="AP1717" i="1"/>
  <c r="AQ1717" i="1" s="1"/>
  <c r="AP1718" i="1"/>
  <c r="AQ1718" i="1" s="1"/>
  <c r="AP1719" i="1"/>
  <c r="AQ1719" i="1" s="1"/>
  <c r="AP1720" i="1"/>
  <c r="AQ1720" i="1" s="1"/>
  <c r="AP1721" i="1"/>
  <c r="AQ1721" i="1" s="1"/>
  <c r="AP1722" i="1"/>
  <c r="AQ1722" i="1" s="1"/>
  <c r="AP1723" i="1"/>
  <c r="AQ1723" i="1" s="1"/>
  <c r="AP1724" i="1"/>
  <c r="AQ1724" i="1" s="1"/>
  <c r="AP1725" i="1"/>
  <c r="AQ1725" i="1" s="1"/>
  <c r="AP1726" i="1"/>
  <c r="AQ1726" i="1" s="1"/>
  <c r="AP1727" i="1"/>
  <c r="AQ1727" i="1" s="1"/>
  <c r="AP1728" i="1"/>
  <c r="AQ1728" i="1" s="1"/>
  <c r="AP1729" i="1"/>
  <c r="AQ1729" i="1" s="1"/>
  <c r="AP1730" i="1"/>
  <c r="AQ1730" i="1" s="1"/>
  <c r="AP1731" i="1"/>
  <c r="AQ1731" i="1" s="1"/>
  <c r="AP1732" i="1"/>
  <c r="AQ1732" i="1" s="1"/>
  <c r="AP1733" i="1"/>
  <c r="AQ1733" i="1" s="1"/>
  <c r="AP1734" i="1"/>
  <c r="AQ1734" i="1" s="1"/>
  <c r="AP1735" i="1"/>
  <c r="AQ1735" i="1" s="1"/>
  <c r="AP1736" i="1"/>
  <c r="AQ1736" i="1" s="1"/>
  <c r="AP1737" i="1"/>
  <c r="AQ1737" i="1" s="1"/>
  <c r="AP1738" i="1"/>
  <c r="AQ1738" i="1" s="1"/>
  <c r="AP1739" i="1"/>
  <c r="AQ1739" i="1" s="1"/>
  <c r="AP1740" i="1"/>
  <c r="AQ1740" i="1" s="1"/>
  <c r="AP1741" i="1"/>
  <c r="AQ1741" i="1" s="1"/>
  <c r="AP1742" i="1"/>
  <c r="AQ1742" i="1" s="1"/>
  <c r="AP1743" i="1"/>
  <c r="AQ1743" i="1" s="1"/>
  <c r="AP1744" i="1"/>
  <c r="AQ1744" i="1" s="1"/>
  <c r="AP1745" i="1"/>
  <c r="AQ1745" i="1" s="1"/>
  <c r="AP1746" i="1"/>
  <c r="AQ1746" i="1" s="1"/>
  <c r="AP1747" i="1"/>
  <c r="AQ1747" i="1" s="1"/>
  <c r="AP1748" i="1"/>
  <c r="AQ1748" i="1" s="1"/>
  <c r="AP1749" i="1"/>
  <c r="AQ1749" i="1" s="1"/>
  <c r="AP1750" i="1"/>
  <c r="AQ1750" i="1" s="1"/>
  <c r="AP1751" i="1"/>
  <c r="AQ1751" i="1" s="1"/>
  <c r="AP1752" i="1"/>
  <c r="AQ1752" i="1" s="1"/>
  <c r="AP1753" i="1"/>
  <c r="AQ1753" i="1" s="1"/>
  <c r="AP1754" i="1"/>
  <c r="AQ1754" i="1" s="1"/>
  <c r="AP1755" i="1"/>
  <c r="AQ1755" i="1" s="1"/>
  <c r="AP1756" i="1"/>
  <c r="AQ1756" i="1" s="1"/>
  <c r="AP1757" i="1"/>
  <c r="AQ1757" i="1" s="1"/>
  <c r="AP1758" i="1"/>
  <c r="AQ1758" i="1" s="1"/>
  <c r="AP1759" i="1"/>
  <c r="AQ1759" i="1" s="1"/>
  <c r="AP1760" i="1"/>
  <c r="AQ1760" i="1" s="1"/>
  <c r="AP1761" i="1"/>
  <c r="AQ1761" i="1" s="1"/>
  <c r="AP1762" i="1"/>
  <c r="AQ1762" i="1" s="1"/>
  <c r="AP1763" i="1"/>
  <c r="AQ1763" i="1" s="1"/>
  <c r="AP1764" i="1"/>
  <c r="AQ1764" i="1" s="1"/>
  <c r="AP1765" i="1"/>
  <c r="AQ1765" i="1" s="1"/>
  <c r="AP1766" i="1"/>
  <c r="AQ1766" i="1" s="1"/>
  <c r="AP1767" i="1"/>
  <c r="AQ1767" i="1" s="1"/>
  <c r="AP1768" i="1"/>
  <c r="AQ1768" i="1" s="1"/>
  <c r="AP1769" i="1"/>
  <c r="AQ1769" i="1" s="1"/>
  <c r="AP1770" i="1"/>
  <c r="AQ1770" i="1" s="1"/>
  <c r="AP1771" i="1"/>
  <c r="AQ1771" i="1" s="1"/>
  <c r="AP1772" i="1"/>
  <c r="AQ1772" i="1" s="1"/>
  <c r="AP1773" i="1"/>
  <c r="AQ1773" i="1" s="1"/>
  <c r="AP1774" i="1"/>
  <c r="AQ1774" i="1" s="1"/>
  <c r="AP1775" i="1"/>
  <c r="AQ1775" i="1" s="1"/>
  <c r="AP1776" i="1"/>
  <c r="AQ1776" i="1" s="1"/>
  <c r="AP1777" i="1"/>
  <c r="AQ1777" i="1" s="1"/>
  <c r="AP1778" i="1"/>
  <c r="AQ1778" i="1" s="1"/>
  <c r="AP1779" i="1"/>
  <c r="AQ1779" i="1" s="1"/>
  <c r="AP1780" i="1"/>
  <c r="AQ1780" i="1" s="1"/>
  <c r="AP1781" i="1"/>
  <c r="AQ1781" i="1" s="1"/>
  <c r="AP1782" i="1"/>
  <c r="AQ1782" i="1" s="1"/>
  <c r="AP1783" i="1"/>
  <c r="AQ1783" i="1" s="1"/>
  <c r="AP1784" i="1"/>
  <c r="AQ1784" i="1" s="1"/>
  <c r="AP1785" i="1"/>
  <c r="AQ1785" i="1" s="1"/>
  <c r="AP1786" i="1"/>
  <c r="AQ1786" i="1" s="1"/>
  <c r="AP1787" i="1"/>
  <c r="AQ1787" i="1" s="1"/>
  <c r="AP1788" i="1"/>
  <c r="AQ1788" i="1" s="1"/>
  <c r="AP1789" i="1"/>
  <c r="AQ1789" i="1" s="1"/>
  <c r="AP1790" i="1"/>
  <c r="AQ1790" i="1" s="1"/>
  <c r="AP1791" i="1"/>
  <c r="AQ1791" i="1" s="1"/>
  <c r="AP1792" i="1"/>
  <c r="AQ1792" i="1" s="1"/>
  <c r="AP1793" i="1"/>
  <c r="AQ1793" i="1" s="1"/>
  <c r="AP1794" i="1"/>
  <c r="AQ1794" i="1" s="1"/>
  <c r="AP1795" i="1"/>
  <c r="AQ1795" i="1" s="1"/>
  <c r="AP1796" i="1"/>
  <c r="AQ1796" i="1" s="1"/>
  <c r="AP1797" i="1"/>
  <c r="AQ1797" i="1" s="1"/>
  <c r="AP1798" i="1"/>
  <c r="AQ1798" i="1" s="1"/>
  <c r="AP1799" i="1"/>
  <c r="AQ1799" i="1" s="1"/>
  <c r="AP1800" i="1"/>
  <c r="AQ1800" i="1" s="1"/>
  <c r="AP1801" i="1"/>
  <c r="AQ1801" i="1" s="1"/>
  <c r="AP1802" i="1"/>
  <c r="AQ1802" i="1" s="1"/>
  <c r="AP1803" i="1"/>
  <c r="AQ1803" i="1" s="1"/>
  <c r="AP1804" i="1"/>
  <c r="AQ1804" i="1" s="1"/>
  <c r="AP1805" i="1"/>
  <c r="AQ1805" i="1" s="1"/>
  <c r="AP1806" i="1"/>
  <c r="AQ1806" i="1" s="1"/>
  <c r="AP1807" i="1"/>
  <c r="AQ1807" i="1" s="1"/>
  <c r="AP1808" i="1"/>
  <c r="AQ1808" i="1" s="1"/>
  <c r="AP1809" i="1"/>
  <c r="AQ1809" i="1" s="1"/>
  <c r="AP1810" i="1"/>
  <c r="AQ1810" i="1" s="1"/>
  <c r="AP1811" i="1"/>
  <c r="AQ1811" i="1" s="1"/>
  <c r="AP1812" i="1"/>
  <c r="AQ1812" i="1" s="1"/>
  <c r="AP1813" i="1"/>
  <c r="AQ1813" i="1" s="1"/>
  <c r="AP1814" i="1"/>
  <c r="AQ1814" i="1" s="1"/>
  <c r="AP1815" i="1"/>
  <c r="AQ1815" i="1" s="1"/>
  <c r="AP1816" i="1"/>
  <c r="AQ1816" i="1" s="1"/>
  <c r="AP1817" i="1"/>
  <c r="AQ1817" i="1" s="1"/>
  <c r="AP1818" i="1"/>
  <c r="AQ1818" i="1" s="1"/>
  <c r="AP1819" i="1"/>
  <c r="AQ1819" i="1" s="1"/>
  <c r="AP1820" i="1"/>
  <c r="AQ1820" i="1" s="1"/>
  <c r="AP1821" i="1"/>
  <c r="AQ1821" i="1" s="1"/>
  <c r="AP1822" i="1"/>
  <c r="AQ1822" i="1" s="1"/>
  <c r="AP1823" i="1"/>
  <c r="AQ1823" i="1" s="1"/>
  <c r="AP1824" i="1"/>
  <c r="AQ1824" i="1" s="1"/>
  <c r="AP1825" i="1"/>
  <c r="AQ1825" i="1" s="1"/>
  <c r="AP1826" i="1"/>
  <c r="AQ1826" i="1" s="1"/>
  <c r="AP1827" i="1"/>
  <c r="AQ1827" i="1" s="1"/>
  <c r="AP1828" i="1"/>
  <c r="AQ1828" i="1" s="1"/>
  <c r="AP1829" i="1"/>
  <c r="AQ1829" i="1" s="1"/>
  <c r="AP1830" i="1"/>
  <c r="AQ1830" i="1" s="1"/>
  <c r="AP1831" i="1"/>
  <c r="AQ1831" i="1" s="1"/>
  <c r="AP1832" i="1"/>
  <c r="AQ1832" i="1" s="1"/>
  <c r="AP1833" i="1"/>
  <c r="AQ1833" i="1" s="1"/>
  <c r="AP1834" i="1"/>
  <c r="AQ1834" i="1" s="1"/>
  <c r="AP1835" i="1"/>
  <c r="AQ1835" i="1" s="1"/>
  <c r="AP1836" i="1"/>
  <c r="AQ1836" i="1" s="1"/>
  <c r="AP1837" i="1"/>
  <c r="AQ1837" i="1" s="1"/>
  <c r="AP1838" i="1"/>
  <c r="AQ1838" i="1" s="1"/>
  <c r="AP1839" i="1"/>
  <c r="AQ1839" i="1" s="1"/>
  <c r="AP1840" i="1"/>
  <c r="AQ1840" i="1" s="1"/>
  <c r="AP1841" i="1"/>
  <c r="AQ1841" i="1" s="1"/>
  <c r="AP1842" i="1"/>
  <c r="AQ1842" i="1" s="1"/>
  <c r="AP1843" i="1"/>
  <c r="AQ1843" i="1" s="1"/>
  <c r="AP1844" i="1"/>
  <c r="AQ1844" i="1" s="1"/>
  <c r="AP1845" i="1"/>
  <c r="AQ1845" i="1" s="1"/>
  <c r="AP1846" i="1"/>
  <c r="AQ1846" i="1" s="1"/>
  <c r="AP1847" i="1"/>
  <c r="AQ1847" i="1" s="1"/>
  <c r="AP1848" i="1"/>
  <c r="AQ1848" i="1" s="1"/>
  <c r="AP1849" i="1"/>
  <c r="AQ1849" i="1" s="1"/>
  <c r="AP1850" i="1"/>
  <c r="AQ1850" i="1" s="1"/>
  <c r="AP1851" i="1"/>
  <c r="AQ1851" i="1" s="1"/>
  <c r="AP1852" i="1"/>
  <c r="AQ1852" i="1" s="1"/>
  <c r="AP1853" i="1"/>
  <c r="AQ1853" i="1" s="1"/>
  <c r="AP1854" i="1"/>
  <c r="AQ1854" i="1" s="1"/>
  <c r="AP1855" i="1"/>
  <c r="AQ1855" i="1" s="1"/>
  <c r="AP1856" i="1"/>
  <c r="AQ1856" i="1" s="1"/>
  <c r="AP1857" i="1"/>
  <c r="AQ1857" i="1" s="1"/>
  <c r="AP1858" i="1"/>
  <c r="AQ1858" i="1" s="1"/>
  <c r="AP1859" i="1"/>
  <c r="AQ1859" i="1" s="1"/>
  <c r="AP1860" i="1"/>
  <c r="AQ1860" i="1" s="1"/>
  <c r="AP1861" i="1"/>
  <c r="AQ1861" i="1" s="1"/>
  <c r="AP1862" i="1"/>
  <c r="AQ1862" i="1" s="1"/>
  <c r="AP1863" i="1"/>
  <c r="AQ1863" i="1" s="1"/>
  <c r="AP1864" i="1"/>
  <c r="AQ1864" i="1" s="1"/>
  <c r="AP1865" i="1"/>
  <c r="AQ1865" i="1" s="1"/>
  <c r="AP1866" i="1"/>
  <c r="AQ1866" i="1" s="1"/>
  <c r="AP1867" i="1"/>
  <c r="AQ1867" i="1" s="1"/>
  <c r="AP1868" i="1"/>
  <c r="AQ1868" i="1" s="1"/>
  <c r="AP1869" i="1"/>
  <c r="AQ1869" i="1" s="1"/>
  <c r="AP1870" i="1"/>
  <c r="AQ1870" i="1" s="1"/>
  <c r="AP1871" i="1"/>
  <c r="AQ1871" i="1" s="1"/>
  <c r="AP1872" i="1"/>
  <c r="AQ1872" i="1" s="1"/>
  <c r="AP1873" i="1"/>
  <c r="AQ1873" i="1" s="1"/>
  <c r="AP1874" i="1"/>
  <c r="AQ1874" i="1" s="1"/>
  <c r="AP1875" i="1"/>
  <c r="AQ1875" i="1" s="1"/>
  <c r="AP1876" i="1"/>
  <c r="AQ1876" i="1" s="1"/>
  <c r="AP1877" i="1"/>
  <c r="AQ1877" i="1" s="1"/>
  <c r="AP1878" i="1"/>
  <c r="AQ1878" i="1" s="1"/>
  <c r="AP1879" i="1"/>
  <c r="AQ1879" i="1" s="1"/>
  <c r="AP1880" i="1"/>
  <c r="AQ1880" i="1" s="1"/>
  <c r="AP1881" i="1"/>
  <c r="AQ1881" i="1" s="1"/>
  <c r="AP1882" i="1"/>
  <c r="AQ1882" i="1" s="1"/>
  <c r="AP1883" i="1"/>
  <c r="AQ1883" i="1" s="1"/>
  <c r="AP1884" i="1"/>
  <c r="AQ1884" i="1" s="1"/>
  <c r="AP1885" i="1"/>
  <c r="AQ1885" i="1" s="1"/>
  <c r="AP1886" i="1"/>
  <c r="AQ1886" i="1" s="1"/>
  <c r="AP1887" i="1"/>
  <c r="AQ1887" i="1" s="1"/>
  <c r="AP1888" i="1"/>
  <c r="AQ1888" i="1" s="1"/>
  <c r="AP1889" i="1"/>
  <c r="AQ1889" i="1" s="1"/>
  <c r="AP1890" i="1"/>
  <c r="AQ1890" i="1" s="1"/>
  <c r="AP1891" i="1"/>
  <c r="AQ1891" i="1" s="1"/>
  <c r="AP1892" i="1"/>
  <c r="AQ1892" i="1" s="1"/>
  <c r="AP1893" i="1"/>
  <c r="AQ1893" i="1" s="1"/>
  <c r="AP1894" i="1"/>
  <c r="AQ1894" i="1" s="1"/>
  <c r="AP1895" i="1"/>
  <c r="AQ1895" i="1" s="1"/>
  <c r="AP1896" i="1"/>
  <c r="AQ1896" i="1" s="1"/>
  <c r="AP1897" i="1"/>
  <c r="AQ1897" i="1" s="1"/>
  <c r="AP1898" i="1"/>
  <c r="AQ1898" i="1" s="1"/>
  <c r="AP1899" i="1"/>
  <c r="AQ1899" i="1" s="1"/>
  <c r="AP1900" i="1"/>
  <c r="AQ1900" i="1" s="1"/>
  <c r="AP1901" i="1"/>
  <c r="AQ1901" i="1" s="1"/>
  <c r="AP1902" i="1"/>
  <c r="AQ1902" i="1" s="1"/>
  <c r="AP1903" i="1"/>
  <c r="AQ1903" i="1" s="1"/>
  <c r="AP1904" i="1"/>
  <c r="AQ1904" i="1" s="1"/>
  <c r="AP1905" i="1"/>
  <c r="AQ1905" i="1" s="1"/>
  <c r="AP1906" i="1"/>
  <c r="AQ1906" i="1" s="1"/>
  <c r="AP1907" i="1"/>
  <c r="AQ1907" i="1" s="1"/>
  <c r="AP1908" i="1"/>
  <c r="AQ1908" i="1" s="1"/>
  <c r="AP1909" i="1"/>
  <c r="AQ1909" i="1" s="1"/>
  <c r="AP1910" i="1"/>
  <c r="AQ1910" i="1" s="1"/>
  <c r="AP1911" i="1"/>
  <c r="AQ1911" i="1" s="1"/>
  <c r="AP1912" i="1"/>
  <c r="AQ1912" i="1" s="1"/>
  <c r="AP1913" i="1"/>
  <c r="AQ1913" i="1" s="1"/>
  <c r="AP1914" i="1"/>
  <c r="AQ1914" i="1" s="1"/>
  <c r="AP1915" i="1"/>
  <c r="AQ1915" i="1" s="1"/>
  <c r="AP1916" i="1"/>
  <c r="AQ1916" i="1" s="1"/>
  <c r="AP1917" i="1"/>
  <c r="AQ1917" i="1" s="1"/>
  <c r="AP1918" i="1"/>
  <c r="AQ1918" i="1" s="1"/>
  <c r="AP1919" i="1"/>
  <c r="AQ1919" i="1" s="1"/>
  <c r="AP1920" i="1"/>
  <c r="AQ1920" i="1" s="1"/>
  <c r="AP1921" i="1"/>
  <c r="AQ1921" i="1" s="1"/>
  <c r="AP1922" i="1"/>
  <c r="AQ1922" i="1" s="1"/>
  <c r="AP1923" i="1"/>
  <c r="AQ1923" i="1" s="1"/>
  <c r="AP1924" i="1"/>
  <c r="AQ1924" i="1" s="1"/>
  <c r="AP1925" i="1"/>
  <c r="AQ1925" i="1" s="1"/>
  <c r="AP1926" i="1"/>
  <c r="AQ1926" i="1" s="1"/>
  <c r="AP1927" i="1"/>
  <c r="AQ1927" i="1" s="1"/>
  <c r="AP1928" i="1"/>
  <c r="AQ1928" i="1" s="1"/>
  <c r="AP1929" i="1"/>
  <c r="AQ1929" i="1" s="1"/>
  <c r="AP1930" i="1"/>
  <c r="AQ1930" i="1" s="1"/>
  <c r="AP1931" i="1"/>
  <c r="AQ1931" i="1" s="1"/>
  <c r="AP1932" i="1"/>
  <c r="AQ1932" i="1" s="1"/>
  <c r="AP1933" i="1"/>
  <c r="AQ1933" i="1" s="1"/>
  <c r="AP1934" i="1"/>
  <c r="AQ1934" i="1" s="1"/>
  <c r="AP1935" i="1"/>
  <c r="AQ1935" i="1" s="1"/>
  <c r="AP1936" i="1"/>
  <c r="AQ1936" i="1" s="1"/>
  <c r="AP1937" i="1"/>
  <c r="AQ1937" i="1" s="1"/>
  <c r="AP1938" i="1"/>
  <c r="AQ1938" i="1" s="1"/>
  <c r="AP1939" i="1"/>
  <c r="AQ1939" i="1" s="1"/>
  <c r="AP1940" i="1"/>
  <c r="AQ1940" i="1" s="1"/>
  <c r="AP1941" i="1"/>
  <c r="AQ1941" i="1" s="1"/>
  <c r="AP1942" i="1"/>
  <c r="AQ1942" i="1" s="1"/>
  <c r="AP1943" i="1"/>
  <c r="AQ1943" i="1" s="1"/>
  <c r="AP1944" i="1"/>
  <c r="AQ1944" i="1" s="1"/>
  <c r="AP1945" i="1"/>
  <c r="AQ1945" i="1" s="1"/>
  <c r="AP1946" i="1"/>
  <c r="AQ1946" i="1" s="1"/>
  <c r="AP1947" i="1"/>
  <c r="AQ1947" i="1" s="1"/>
  <c r="AP1948" i="1"/>
  <c r="AQ1948" i="1" s="1"/>
  <c r="AP1949" i="1"/>
  <c r="AQ1949" i="1" s="1"/>
  <c r="AP1950" i="1"/>
  <c r="AQ1950" i="1" s="1"/>
  <c r="AP1951" i="1"/>
  <c r="AQ1951" i="1" s="1"/>
  <c r="AP1952" i="1"/>
  <c r="AQ1952" i="1" s="1"/>
  <c r="AP1953" i="1"/>
  <c r="AQ1953" i="1" s="1"/>
  <c r="AP1954" i="1"/>
  <c r="AQ1954" i="1" s="1"/>
  <c r="AP1955" i="1"/>
  <c r="AQ1955" i="1" s="1"/>
  <c r="AP1956" i="1"/>
  <c r="AQ1956" i="1" s="1"/>
  <c r="AP1957" i="1"/>
  <c r="AQ1957" i="1" s="1"/>
  <c r="AP1958" i="1"/>
  <c r="AQ1958" i="1" s="1"/>
  <c r="AP1959" i="1"/>
  <c r="AQ1959" i="1" s="1"/>
  <c r="AP1960" i="1"/>
  <c r="AQ1960" i="1" s="1"/>
  <c r="AP1961" i="1"/>
  <c r="AQ1961" i="1" s="1"/>
  <c r="AP1962" i="1"/>
  <c r="AQ1962" i="1" s="1"/>
  <c r="AP1963" i="1"/>
  <c r="AQ1963" i="1" s="1"/>
  <c r="AP1964" i="1"/>
  <c r="AQ1964" i="1" s="1"/>
  <c r="AP1965" i="1"/>
  <c r="AQ1965" i="1" s="1"/>
  <c r="AP1966" i="1"/>
  <c r="AQ1966" i="1" s="1"/>
  <c r="AP1967" i="1"/>
  <c r="AQ1967" i="1" s="1"/>
  <c r="AP1968" i="1"/>
  <c r="AQ1968" i="1" s="1"/>
  <c r="AP1969" i="1"/>
  <c r="AQ1969" i="1" s="1"/>
  <c r="AP1970" i="1"/>
  <c r="AQ1970" i="1" s="1"/>
  <c r="AP1971" i="1"/>
  <c r="AQ1971" i="1" s="1"/>
  <c r="AP1972" i="1"/>
  <c r="AQ1972" i="1" s="1"/>
  <c r="AP1973" i="1"/>
  <c r="AQ1973" i="1" s="1"/>
  <c r="AP1974" i="1"/>
  <c r="AQ1974" i="1" s="1"/>
  <c r="AP1975" i="1"/>
  <c r="AQ1975" i="1" s="1"/>
  <c r="AP1976" i="1"/>
  <c r="AQ1976" i="1" s="1"/>
  <c r="AP1977" i="1"/>
  <c r="AQ1977" i="1" s="1"/>
  <c r="AP1978" i="1"/>
  <c r="AQ1978" i="1" s="1"/>
  <c r="AP1979" i="1"/>
  <c r="AQ1979" i="1" s="1"/>
  <c r="AP1980" i="1"/>
  <c r="AQ1980" i="1" s="1"/>
  <c r="AP1981" i="1"/>
  <c r="AQ1981" i="1" s="1"/>
  <c r="AP1982" i="1"/>
  <c r="AQ1982" i="1" s="1"/>
  <c r="AP1983" i="1"/>
  <c r="AQ1983" i="1" s="1"/>
  <c r="AP1984" i="1"/>
  <c r="AQ1984" i="1" s="1"/>
  <c r="AP1985" i="1"/>
  <c r="AQ1985" i="1" s="1"/>
  <c r="AP1986" i="1"/>
  <c r="AQ1986" i="1" s="1"/>
  <c r="AP1987" i="1"/>
  <c r="AQ1987" i="1" s="1"/>
  <c r="AP1988" i="1"/>
  <c r="AQ1988" i="1" s="1"/>
  <c r="AP1989" i="1"/>
  <c r="AQ1989" i="1" s="1"/>
  <c r="AP1990" i="1"/>
  <c r="AQ1990" i="1" s="1"/>
  <c r="AP1991" i="1"/>
  <c r="AQ1991" i="1" s="1"/>
  <c r="AP1992" i="1"/>
  <c r="AQ1992" i="1" s="1"/>
  <c r="AP1993" i="1"/>
  <c r="AQ1993" i="1" s="1"/>
  <c r="AP1994" i="1"/>
  <c r="AQ1994" i="1" s="1"/>
  <c r="AP1995" i="1"/>
  <c r="AQ1995" i="1" s="1"/>
  <c r="AP1996" i="1"/>
  <c r="AQ1996" i="1" s="1"/>
  <c r="AP1997" i="1"/>
  <c r="AQ1997" i="1" s="1"/>
  <c r="AP1998" i="1"/>
  <c r="AQ1998" i="1" s="1"/>
  <c r="AP1999" i="1"/>
  <c r="AQ1999" i="1" s="1"/>
  <c r="AP2000" i="1"/>
  <c r="AQ2000" i="1" s="1"/>
  <c r="AP2001" i="1"/>
  <c r="AQ2001" i="1" s="1"/>
  <c r="AP2002" i="1"/>
  <c r="AQ2002" i="1" s="1"/>
  <c r="AP2003" i="1"/>
  <c r="AQ2003" i="1" s="1"/>
  <c r="AP2004" i="1"/>
  <c r="AQ2004" i="1" s="1"/>
  <c r="AP2005" i="1"/>
  <c r="AQ2005" i="1" s="1"/>
  <c r="AP2006" i="1"/>
  <c r="AQ2006" i="1" s="1"/>
  <c r="AP2007" i="1"/>
  <c r="AQ2007" i="1" s="1"/>
  <c r="AP2008" i="1"/>
  <c r="AQ2008" i="1" s="1"/>
  <c r="AP2009" i="1"/>
  <c r="AQ2009" i="1" s="1"/>
  <c r="AP2010" i="1"/>
  <c r="AQ2010" i="1" s="1"/>
  <c r="AP2011" i="1"/>
  <c r="AQ2011" i="1" s="1"/>
  <c r="AP2012" i="1"/>
  <c r="AQ2012" i="1" s="1"/>
  <c r="AP2013" i="1"/>
  <c r="AQ2013" i="1" s="1"/>
  <c r="AP2014" i="1"/>
  <c r="AQ2014" i="1" s="1"/>
  <c r="AP2015" i="1"/>
  <c r="AQ2015" i="1" s="1"/>
  <c r="AP2016" i="1"/>
  <c r="AQ2016" i="1" s="1"/>
  <c r="AP2017" i="1"/>
  <c r="AQ2017" i="1" s="1"/>
  <c r="AP2018" i="1"/>
  <c r="AQ2018" i="1" s="1"/>
  <c r="AP2019" i="1"/>
  <c r="AQ2019" i="1" s="1"/>
  <c r="AP2020" i="1"/>
  <c r="AQ2020" i="1" s="1"/>
  <c r="AP2021" i="1"/>
  <c r="AQ2021" i="1" s="1"/>
  <c r="AP2022" i="1"/>
  <c r="AQ2022" i="1" s="1"/>
  <c r="AP2023" i="1"/>
  <c r="AQ2023" i="1" s="1"/>
  <c r="AP2024" i="1"/>
  <c r="AQ2024" i="1" s="1"/>
  <c r="AP2025" i="1"/>
  <c r="AQ2025" i="1" s="1"/>
  <c r="AP2026" i="1"/>
  <c r="AQ2026" i="1" s="1"/>
  <c r="AP2027" i="1"/>
  <c r="AQ2027" i="1" s="1"/>
  <c r="AP2028" i="1"/>
  <c r="AQ2028" i="1" s="1"/>
  <c r="AP2029" i="1"/>
  <c r="AQ2029" i="1" s="1"/>
  <c r="AP2030" i="1"/>
  <c r="AQ2030" i="1" s="1"/>
  <c r="AP2031" i="1"/>
  <c r="AQ2031" i="1" s="1"/>
  <c r="AP2032" i="1"/>
  <c r="AQ2032" i="1" s="1"/>
  <c r="AP2033" i="1"/>
  <c r="AQ2033" i="1" s="1"/>
  <c r="AP2034" i="1"/>
  <c r="AQ2034" i="1" s="1"/>
  <c r="AP2035" i="1"/>
  <c r="AQ2035" i="1" s="1"/>
  <c r="AP2036" i="1"/>
  <c r="AQ2036" i="1" s="1"/>
  <c r="AP2037" i="1"/>
  <c r="AQ2037" i="1" s="1"/>
  <c r="AP2038" i="1"/>
  <c r="AQ2038" i="1" s="1"/>
  <c r="AP2039" i="1"/>
  <c r="AQ2039" i="1" s="1"/>
  <c r="AP2040" i="1"/>
  <c r="AQ2040" i="1" s="1"/>
  <c r="AP2041" i="1"/>
  <c r="AQ2041" i="1" s="1"/>
  <c r="AP2042" i="1"/>
  <c r="AQ2042" i="1" s="1"/>
  <c r="AP2043" i="1"/>
  <c r="AQ2043" i="1" s="1"/>
  <c r="AP2044" i="1"/>
  <c r="AQ2044" i="1" s="1"/>
  <c r="AP2045" i="1"/>
  <c r="AQ2045" i="1" s="1"/>
  <c r="AP2046" i="1"/>
  <c r="AQ2046" i="1" s="1"/>
  <c r="AP2047" i="1"/>
  <c r="AQ2047" i="1" s="1"/>
  <c r="AP2048" i="1"/>
  <c r="AQ2048" i="1" s="1"/>
  <c r="AP2049" i="1"/>
  <c r="AQ2049" i="1" s="1"/>
  <c r="AP2050" i="1"/>
  <c r="AQ2050" i="1" s="1"/>
  <c r="AP2051" i="1"/>
  <c r="AQ2051" i="1" s="1"/>
  <c r="AP2052" i="1"/>
  <c r="AQ2052" i="1" s="1"/>
  <c r="AP2053" i="1"/>
  <c r="AQ2053" i="1" s="1"/>
  <c r="AP2054" i="1"/>
  <c r="AQ2054" i="1" s="1"/>
  <c r="AP2055" i="1"/>
  <c r="AQ2055" i="1" s="1"/>
  <c r="AP2056" i="1"/>
  <c r="AQ2056" i="1" s="1"/>
  <c r="AP2057" i="1"/>
  <c r="AQ2057" i="1" s="1"/>
  <c r="AP2058" i="1"/>
  <c r="AQ2058" i="1" s="1"/>
  <c r="AP2059" i="1"/>
  <c r="AQ2059" i="1" s="1"/>
  <c r="AP2060" i="1"/>
  <c r="AQ2060" i="1" s="1"/>
  <c r="AP2061" i="1"/>
  <c r="AQ2061" i="1" s="1"/>
  <c r="AP2062" i="1"/>
  <c r="AQ2062" i="1" s="1"/>
  <c r="AP2063" i="1"/>
  <c r="AQ2063" i="1" s="1"/>
  <c r="AP2064" i="1"/>
  <c r="AQ2064" i="1" s="1"/>
  <c r="AP2065" i="1"/>
  <c r="AQ2065" i="1" s="1"/>
  <c r="AP2066" i="1"/>
  <c r="AQ2066" i="1" s="1"/>
  <c r="AP2067" i="1"/>
  <c r="AQ2067" i="1" s="1"/>
  <c r="AP2068" i="1"/>
  <c r="AQ2068" i="1" s="1"/>
  <c r="AP2069" i="1"/>
  <c r="AQ2069" i="1" s="1"/>
  <c r="AP2070" i="1"/>
  <c r="AQ2070" i="1" s="1"/>
  <c r="AP2071" i="1"/>
  <c r="AQ2071" i="1" s="1"/>
  <c r="AP2072" i="1"/>
  <c r="AQ2072" i="1" s="1"/>
  <c r="AP2073" i="1"/>
  <c r="AQ2073" i="1" s="1"/>
  <c r="AP2074" i="1"/>
  <c r="AQ2074" i="1" s="1"/>
  <c r="AP2075" i="1"/>
  <c r="AQ2075" i="1" s="1"/>
  <c r="AP2076" i="1"/>
  <c r="AQ2076" i="1" s="1"/>
  <c r="AP2077" i="1"/>
  <c r="AQ2077" i="1" s="1"/>
  <c r="AP2078" i="1"/>
  <c r="AQ2078" i="1" s="1"/>
  <c r="AP2079" i="1"/>
  <c r="AQ2079" i="1" s="1"/>
  <c r="AP2080" i="1"/>
  <c r="AQ2080" i="1" s="1"/>
  <c r="AP2081" i="1"/>
  <c r="AQ2081" i="1" s="1"/>
  <c r="AP2082" i="1"/>
  <c r="AQ2082" i="1" s="1"/>
  <c r="AP2083" i="1"/>
  <c r="AQ2083" i="1" s="1"/>
  <c r="AP2084" i="1"/>
  <c r="AQ2084" i="1" s="1"/>
  <c r="AP2085" i="1"/>
  <c r="AQ2085" i="1" s="1"/>
  <c r="AP2086" i="1"/>
  <c r="AQ2086" i="1" s="1"/>
  <c r="AP2087" i="1"/>
  <c r="AQ2087" i="1" s="1"/>
  <c r="AP2088" i="1"/>
  <c r="AQ2088" i="1" s="1"/>
  <c r="AP2089" i="1"/>
  <c r="AQ2089" i="1" s="1"/>
  <c r="AP2090" i="1"/>
  <c r="AQ2090" i="1" s="1"/>
  <c r="AP2091" i="1"/>
  <c r="AQ2091" i="1" s="1"/>
  <c r="AP2092" i="1"/>
  <c r="AQ2092" i="1" s="1"/>
  <c r="AP2093" i="1"/>
  <c r="AQ2093" i="1" s="1"/>
  <c r="AP2094" i="1"/>
  <c r="AQ2094" i="1" s="1"/>
  <c r="AP2095" i="1"/>
  <c r="AQ2095" i="1" s="1"/>
  <c r="AP2096" i="1"/>
  <c r="AQ2096" i="1" s="1"/>
  <c r="AP2097" i="1"/>
  <c r="AQ2097" i="1" s="1"/>
  <c r="AP2098" i="1"/>
  <c r="AQ2098" i="1" s="1"/>
  <c r="AP2099" i="1"/>
  <c r="AQ2099" i="1" s="1"/>
  <c r="AP2100" i="1"/>
  <c r="AQ2100" i="1" s="1"/>
  <c r="AP2101" i="1"/>
  <c r="AQ2101" i="1" s="1"/>
  <c r="AP2102" i="1"/>
  <c r="AQ2102" i="1" s="1"/>
  <c r="AP2103" i="1"/>
  <c r="AQ2103" i="1" s="1"/>
  <c r="AP2104" i="1"/>
  <c r="AQ2104" i="1" s="1"/>
  <c r="AP2105" i="1"/>
  <c r="AQ2105" i="1" s="1"/>
  <c r="AP2106" i="1"/>
  <c r="AQ2106" i="1" s="1"/>
  <c r="AP2107" i="1"/>
  <c r="AQ2107" i="1" s="1"/>
  <c r="AP2108" i="1"/>
  <c r="AQ2108" i="1" s="1"/>
  <c r="AP2109" i="1"/>
  <c r="AQ2109" i="1" s="1"/>
  <c r="AP2110" i="1"/>
  <c r="AQ2110" i="1" s="1"/>
  <c r="AP2111" i="1"/>
  <c r="AQ2111" i="1" s="1"/>
  <c r="AP2112" i="1"/>
  <c r="AQ2112" i="1" s="1"/>
  <c r="AP2113" i="1"/>
  <c r="AQ2113" i="1" s="1"/>
  <c r="AP2114" i="1"/>
  <c r="AQ2114" i="1" s="1"/>
  <c r="AP2115" i="1"/>
  <c r="AQ2115" i="1" s="1"/>
  <c r="AP2116" i="1"/>
  <c r="AQ2116" i="1" s="1"/>
  <c r="AP2117" i="1"/>
  <c r="AQ2117" i="1" s="1"/>
  <c r="AP2118" i="1"/>
  <c r="AQ2118" i="1" s="1"/>
  <c r="AP2119" i="1"/>
  <c r="AQ2119" i="1" s="1"/>
  <c r="AP2120" i="1"/>
  <c r="AQ2120" i="1" s="1"/>
  <c r="AP2121" i="1"/>
  <c r="AQ2121" i="1" s="1"/>
  <c r="AP2122" i="1"/>
  <c r="AQ2122" i="1" s="1"/>
  <c r="AP2123" i="1"/>
  <c r="AQ2123" i="1" s="1"/>
  <c r="AP2124" i="1"/>
  <c r="AQ2124" i="1" s="1"/>
  <c r="AP2125" i="1"/>
  <c r="AQ2125" i="1" s="1"/>
  <c r="AP2126" i="1"/>
  <c r="AQ2126" i="1" s="1"/>
  <c r="AP2127" i="1"/>
  <c r="AQ2127" i="1" s="1"/>
  <c r="AP2128" i="1"/>
  <c r="AQ2128" i="1" s="1"/>
  <c r="AP2129" i="1"/>
  <c r="AQ2129" i="1" s="1"/>
  <c r="AP2130" i="1"/>
  <c r="AQ2130" i="1" s="1"/>
  <c r="AP2131" i="1"/>
  <c r="AQ2131" i="1" s="1"/>
  <c r="AP2132" i="1"/>
  <c r="AQ2132" i="1" s="1"/>
  <c r="AP2133" i="1"/>
  <c r="AQ2133" i="1" s="1"/>
  <c r="AP2134" i="1"/>
  <c r="AQ2134" i="1" s="1"/>
  <c r="AP2135" i="1"/>
  <c r="AQ2135" i="1" s="1"/>
  <c r="AP2136" i="1"/>
  <c r="AQ2136" i="1" s="1"/>
  <c r="AP2137" i="1"/>
  <c r="AQ2137" i="1" s="1"/>
  <c r="AP2138" i="1"/>
  <c r="AQ2138" i="1" s="1"/>
  <c r="AP2139" i="1"/>
  <c r="AQ2139" i="1" s="1"/>
  <c r="AP2140" i="1"/>
  <c r="AQ2140" i="1" s="1"/>
  <c r="AP2141" i="1"/>
  <c r="AQ2141" i="1" s="1"/>
  <c r="AP2142" i="1"/>
  <c r="AQ2142" i="1" s="1"/>
  <c r="AP2143" i="1"/>
  <c r="AQ2143" i="1" s="1"/>
  <c r="AP2144" i="1"/>
  <c r="AQ2144" i="1" s="1"/>
  <c r="AP2145" i="1"/>
  <c r="AQ2145" i="1" s="1"/>
  <c r="AP2146" i="1"/>
  <c r="AQ2146" i="1" s="1"/>
  <c r="AP2147" i="1"/>
  <c r="AQ2147" i="1" s="1"/>
  <c r="AP2148" i="1"/>
  <c r="AQ2148" i="1" s="1"/>
  <c r="AP2149" i="1"/>
  <c r="AQ2149" i="1" s="1"/>
  <c r="AP2150" i="1"/>
  <c r="AQ2150" i="1" s="1"/>
  <c r="AP2151" i="1"/>
  <c r="AQ2151" i="1" s="1"/>
  <c r="AP2152" i="1"/>
  <c r="AQ2152" i="1" s="1"/>
  <c r="AP2153" i="1"/>
  <c r="AQ2153" i="1" s="1"/>
  <c r="AP2154" i="1"/>
  <c r="AQ2154" i="1" s="1"/>
  <c r="AP2155" i="1"/>
  <c r="AQ2155" i="1" s="1"/>
  <c r="AP2156" i="1"/>
  <c r="AQ2156" i="1" s="1"/>
  <c r="AP2157" i="1"/>
  <c r="AQ2157" i="1" s="1"/>
  <c r="AP2158" i="1"/>
  <c r="AQ2158" i="1" s="1"/>
  <c r="AP2159" i="1"/>
  <c r="AQ2159" i="1" s="1"/>
  <c r="AP2160" i="1"/>
  <c r="AQ2160" i="1" s="1"/>
  <c r="AP2161" i="1"/>
  <c r="AQ2161" i="1" s="1"/>
  <c r="AP2162" i="1"/>
  <c r="AQ2162" i="1" s="1"/>
  <c r="AP2163" i="1"/>
  <c r="AQ2163" i="1" s="1"/>
  <c r="AP2164" i="1"/>
  <c r="AQ2164" i="1" s="1"/>
  <c r="AP2165" i="1"/>
  <c r="AQ2165" i="1" s="1"/>
  <c r="AP2166" i="1"/>
  <c r="AQ2166" i="1" s="1"/>
  <c r="AP2167" i="1"/>
  <c r="AQ2167" i="1" s="1"/>
  <c r="AP2168" i="1"/>
  <c r="AQ2168" i="1" s="1"/>
  <c r="AP2169" i="1"/>
  <c r="AQ2169" i="1" s="1"/>
  <c r="AP2170" i="1"/>
  <c r="AQ2170" i="1" s="1"/>
  <c r="AP2171" i="1"/>
  <c r="AQ2171" i="1" s="1"/>
  <c r="AP2172" i="1"/>
  <c r="AQ2172" i="1" s="1"/>
  <c r="AP2173" i="1"/>
  <c r="AQ2173" i="1" s="1"/>
  <c r="AP2174" i="1"/>
  <c r="AQ2174" i="1" s="1"/>
  <c r="AP2175" i="1"/>
  <c r="AQ2175" i="1" s="1"/>
  <c r="AP2176" i="1"/>
  <c r="AQ2176" i="1" s="1"/>
  <c r="AP2177" i="1"/>
  <c r="AQ2177" i="1" s="1"/>
  <c r="AP2178" i="1"/>
  <c r="AQ2178" i="1" s="1"/>
  <c r="AP2179" i="1"/>
  <c r="AQ2179" i="1" s="1"/>
  <c r="AP2180" i="1"/>
  <c r="AQ2180" i="1" s="1"/>
  <c r="AP2181" i="1"/>
  <c r="AQ2181" i="1" s="1"/>
  <c r="AP2182" i="1"/>
  <c r="AQ2182" i="1" s="1"/>
  <c r="AP2183" i="1"/>
  <c r="AQ2183" i="1" s="1"/>
  <c r="AP2184" i="1"/>
  <c r="AQ2184" i="1" s="1"/>
  <c r="AP2185" i="1"/>
  <c r="AQ2185" i="1" s="1"/>
  <c r="AP2186" i="1"/>
  <c r="AQ2186" i="1" s="1"/>
  <c r="AP2187" i="1"/>
  <c r="AQ2187" i="1" s="1"/>
  <c r="AP2188" i="1"/>
  <c r="AQ2188" i="1" s="1"/>
  <c r="AP2189" i="1"/>
  <c r="AQ2189" i="1" s="1"/>
  <c r="AP2190" i="1"/>
  <c r="AQ2190" i="1" s="1"/>
  <c r="AP2191" i="1"/>
  <c r="AQ2191" i="1" s="1"/>
  <c r="AP2192" i="1"/>
  <c r="AQ2192" i="1" s="1"/>
  <c r="AP2193" i="1"/>
  <c r="AQ2193" i="1" s="1"/>
  <c r="AP2194" i="1"/>
  <c r="AQ2194" i="1" s="1"/>
  <c r="AP2195" i="1"/>
  <c r="AQ2195" i="1" s="1"/>
  <c r="AP2196" i="1"/>
  <c r="AQ2196" i="1" s="1"/>
  <c r="AP2197" i="1"/>
  <c r="AQ2197" i="1" s="1"/>
  <c r="AP2198" i="1"/>
  <c r="AQ2198" i="1" s="1"/>
  <c r="AP2199" i="1"/>
  <c r="AQ2199" i="1" s="1"/>
  <c r="AP2200" i="1"/>
  <c r="AQ2200" i="1" s="1"/>
  <c r="AP2201" i="1"/>
  <c r="AQ2201" i="1" s="1"/>
  <c r="AP2202" i="1"/>
  <c r="AQ2202" i="1" s="1"/>
  <c r="AP2203" i="1"/>
  <c r="AQ2203" i="1" s="1"/>
  <c r="AP2204" i="1"/>
  <c r="AQ2204" i="1" s="1"/>
  <c r="AP2205" i="1"/>
  <c r="AQ2205" i="1" s="1"/>
  <c r="AP2206" i="1"/>
  <c r="AQ2206" i="1" s="1"/>
  <c r="AP2207" i="1"/>
  <c r="AQ2207" i="1" s="1"/>
  <c r="AP2208" i="1"/>
  <c r="AQ2208" i="1" s="1"/>
  <c r="AP2209" i="1"/>
  <c r="AQ2209" i="1" s="1"/>
  <c r="AP2210" i="1"/>
  <c r="AQ2210" i="1" s="1"/>
  <c r="AP2211" i="1"/>
  <c r="AQ2211" i="1" s="1"/>
  <c r="AP2212" i="1"/>
  <c r="AQ2212" i="1" s="1"/>
  <c r="AP2213" i="1"/>
  <c r="AQ2213" i="1" s="1"/>
  <c r="AP2214" i="1"/>
  <c r="AQ2214" i="1" s="1"/>
  <c r="AP2215" i="1"/>
  <c r="AQ2215" i="1" s="1"/>
  <c r="AP2216" i="1"/>
  <c r="AQ2216" i="1" s="1"/>
  <c r="AP2217" i="1"/>
  <c r="AQ2217" i="1" s="1"/>
  <c r="AP2218" i="1"/>
  <c r="AQ2218" i="1" s="1"/>
  <c r="AP2219" i="1"/>
  <c r="AQ2219" i="1" s="1"/>
  <c r="AP2220" i="1"/>
  <c r="AQ2220" i="1" s="1"/>
  <c r="AP2221" i="1"/>
  <c r="AQ2221" i="1" s="1"/>
  <c r="AP2222" i="1"/>
  <c r="AQ2222" i="1" s="1"/>
  <c r="AP2223" i="1"/>
  <c r="AQ2223" i="1" s="1"/>
  <c r="AP2224" i="1"/>
  <c r="AQ2224" i="1" s="1"/>
  <c r="AP2225" i="1"/>
  <c r="AQ2225" i="1" s="1"/>
  <c r="AP2226" i="1"/>
  <c r="AQ2226" i="1" s="1"/>
  <c r="AP2227" i="1"/>
  <c r="AQ2227" i="1" s="1"/>
  <c r="AP2228" i="1"/>
  <c r="AQ2228" i="1" s="1"/>
  <c r="AP2229" i="1"/>
  <c r="AQ2229" i="1" s="1"/>
  <c r="AP2230" i="1"/>
  <c r="AQ2230" i="1" s="1"/>
  <c r="AP2231" i="1"/>
  <c r="AQ2231" i="1" s="1"/>
  <c r="AP2232" i="1"/>
  <c r="AQ2232" i="1" s="1"/>
  <c r="AP2233" i="1"/>
  <c r="AQ2233" i="1" s="1"/>
  <c r="AP2234" i="1"/>
  <c r="AQ2234" i="1" s="1"/>
  <c r="AP2235" i="1"/>
  <c r="AQ2235" i="1" s="1"/>
  <c r="AP2236" i="1"/>
  <c r="AQ2236" i="1" s="1"/>
  <c r="AP2237" i="1"/>
  <c r="AQ2237" i="1" s="1"/>
  <c r="AP2238" i="1"/>
  <c r="AQ2238" i="1" s="1"/>
  <c r="AP2239" i="1"/>
  <c r="AQ2239" i="1" s="1"/>
  <c r="AP2240" i="1"/>
  <c r="AQ2240" i="1" s="1"/>
  <c r="AP2241" i="1"/>
  <c r="AQ2241" i="1" s="1"/>
  <c r="AP2242" i="1"/>
  <c r="AQ2242" i="1" s="1"/>
  <c r="AP2243" i="1"/>
  <c r="AQ2243" i="1" s="1"/>
  <c r="AP2244" i="1"/>
  <c r="AQ2244" i="1" s="1"/>
  <c r="AP2245" i="1"/>
  <c r="AQ2245" i="1" s="1"/>
  <c r="AP2246" i="1"/>
  <c r="AQ2246" i="1" s="1"/>
  <c r="AP2247" i="1"/>
  <c r="AQ2247" i="1" s="1"/>
  <c r="AP2248" i="1"/>
  <c r="AQ2248" i="1" s="1"/>
  <c r="AP2249" i="1"/>
  <c r="AQ2249" i="1" s="1"/>
  <c r="AP2250" i="1"/>
  <c r="AQ2250" i="1" s="1"/>
  <c r="AP2251" i="1"/>
  <c r="AQ2251" i="1" s="1"/>
  <c r="AP2252" i="1"/>
  <c r="AQ2252" i="1" s="1"/>
  <c r="AP2253" i="1"/>
  <c r="AQ2253" i="1" s="1"/>
  <c r="AP2254" i="1"/>
  <c r="AQ2254" i="1" s="1"/>
  <c r="AP2255" i="1"/>
  <c r="AQ2255" i="1" s="1"/>
  <c r="AP2256" i="1"/>
  <c r="AQ2256" i="1" s="1"/>
  <c r="AP2257" i="1"/>
  <c r="AQ2257" i="1" s="1"/>
  <c r="AP2258" i="1"/>
  <c r="AQ2258" i="1" s="1"/>
  <c r="AP2259" i="1"/>
  <c r="AQ2259" i="1" s="1"/>
  <c r="AP2260" i="1"/>
  <c r="AQ2260" i="1" s="1"/>
  <c r="AP2261" i="1"/>
  <c r="AQ2261" i="1" s="1"/>
  <c r="AP2262" i="1"/>
  <c r="AQ2262" i="1" s="1"/>
  <c r="AP2263" i="1"/>
  <c r="AQ2263" i="1" s="1"/>
  <c r="AP2264" i="1"/>
  <c r="AQ2264" i="1" s="1"/>
  <c r="AP2265" i="1"/>
  <c r="AQ2265" i="1" s="1"/>
  <c r="AP2266" i="1"/>
  <c r="AQ2266" i="1" s="1"/>
  <c r="AP2267" i="1"/>
  <c r="AQ2267" i="1" s="1"/>
  <c r="AP2268" i="1"/>
  <c r="AQ2268" i="1" s="1"/>
  <c r="AP2269" i="1"/>
  <c r="AQ2269" i="1" s="1"/>
  <c r="AP2270" i="1"/>
  <c r="AQ2270" i="1" s="1"/>
  <c r="AP2271" i="1"/>
  <c r="AQ2271" i="1" s="1"/>
  <c r="AP2272" i="1"/>
  <c r="AQ2272" i="1" s="1"/>
  <c r="AP2273" i="1"/>
  <c r="AQ2273" i="1" s="1"/>
  <c r="AP2274" i="1"/>
  <c r="AQ2274" i="1" s="1"/>
  <c r="AP2275" i="1"/>
  <c r="AQ2275" i="1" s="1"/>
  <c r="AP2276" i="1"/>
  <c r="AQ2276" i="1" s="1"/>
  <c r="AP2277" i="1"/>
  <c r="AQ2277" i="1" s="1"/>
  <c r="AP2278" i="1"/>
  <c r="AQ2278" i="1" s="1"/>
  <c r="AP2279" i="1"/>
  <c r="AQ2279" i="1" s="1"/>
  <c r="AP2280" i="1"/>
  <c r="AQ2280" i="1" s="1"/>
  <c r="AP2281" i="1"/>
  <c r="AQ2281" i="1" s="1"/>
  <c r="AP2282" i="1"/>
  <c r="AQ2282" i="1" s="1"/>
  <c r="AP2283" i="1"/>
  <c r="AQ2283" i="1" s="1"/>
  <c r="AP2284" i="1"/>
  <c r="AQ2284" i="1" s="1"/>
  <c r="AP2285" i="1"/>
  <c r="AQ2285" i="1" s="1"/>
  <c r="AP2286" i="1"/>
  <c r="AQ2286" i="1" s="1"/>
  <c r="AP2287" i="1"/>
  <c r="AQ2287" i="1" s="1"/>
  <c r="AP2288" i="1"/>
  <c r="AQ2288" i="1" s="1"/>
  <c r="AP2289" i="1"/>
  <c r="AQ2289" i="1" s="1"/>
  <c r="AP2290" i="1"/>
  <c r="AQ2290" i="1" s="1"/>
  <c r="AP2291" i="1"/>
  <c r="AQ2291" i="1" s="1"/>
  <c r="AP2292" i="1"/>
  <c r="AQ2292" i="1" s="1"/>
  <c r="AP2293" i="1"/>
  <c r="AQ2293" i="1" s="1"/>
  <c r="AP2294" i="1"/>
  <c r="AQ2294" i="1" s="1"/>
  <c r="AP2295" i="1"/>
  <c r="AQ2295" i="1" s="1"/>
  <c r="AP2296" i="1"/>
  <c r="AQ2296" i="1" s="1"/>
  <c r="AP2297" i="1"/>
  <c r="AQ2297" i="1" s="1"/>
  <c r="AP2298" i="1"/>
  <c r="AQ2298" i="1" s="1"/>
  <c r="AP2299" i="1"/>
  <c r="AQ2299" i="1" s="1"/>
  <c r="AP2300" i="1"/>
  <c r="AQ2300" i="1" s="1"/>
  <c r="AP2301" i="1"/>
  <c r="AQ2301" i="1" s="1"/>
  <c r="AP2302" i="1"/>
  <c r="AQ2302" i="1" s="1"/>
  <c r="AP2303" i="1"/>
  <c r="AQ2303" i="1" s="1"/>
  <c r="AP2304" i="1"/>
  <c r="AQ2304" i="1" s="1"/>
  <c r="AP2305" i="1"/>
  <c r="AQ2305" i="1" s="1"/>
  <c r="AP2306" i="1"/>
  <c r="AQ2306" i="1" s="1"/>
  <c r="AP2307" i="1"/>
  <c r="AQ2307" i="1" s="1"/>
  <c r="AP2308" i="1"/>
  <c r="AQ2308" i="1" s="1"/>
  <c r="AP2309" i="1"/>
  <c r="AQ2309" i="1" s="1"/>
  <c r="AP2310" i="1"/>
  <c r="AQ2310" i="1" s="1"/>
  <c r="AP2311" i="1"/>
  <c r="AQ2311" i="1" s="1"/>
  <c r="AP2312" i="1"/>
  <c r="AQ2312" i="1" s="1"/>
  <c r="AP2313" i="1"/>
  <c r="AQ2313" i="1" s="1"/>
  <c r="AP2314" i="1"/>
  <c r="AQ2314" i="1" s="1"/>
  <c r="AP2315" i="1"/>
  <c r="AQ2315" i="1" s="1"/>
  <c r="AP2316" i="1"/>
  <c r="AQ2316" i="1" s="1"/>
  <c r="AP2317" i="1"/>
  <c r="AQ2317" i="1" s="1"/>
  <c r="AP2318" i="1"/>
  <c r="AQ2318" i="1" s="1"/>
  <c r="AP2319" i="1"/>
  <c r="AQ2319" i="1" s="1"/>
  <c r="AP2320" i="1"/>
  <c r="AQ2320" i="1" s="1"/>
  <c r="AP2321" i="1"/>
  <c r="AQ2321" i="1" s="1"/>
  <c r="AP2322" i="1"/>
  <c r="AQ2322" i="1" s="1"/>
  <c r="AP2323" i="1"/>
  <c r="AQ2323" i="1" s="1"/>
  <c r="AP2324" i="1"/>
  <c r="AQ2324" i="1" s="1"/>
  <c r="AP2325" i="1"/>
  <c r="AQ2325" i="1" s="1"/>
  <c r="AP2326" i="1"/>
  <c r="AQ2326" i="1" s="1"/>
  <c r="AP2327" i="1"/>
  <c r="AQ2327" i="1" s="1"/>
  <c r="AP2328" i="1"/>
  <c r="AQ2328" i="1" s="1"/>
  <c r="AP2329" i="1"/>
  <c r="AQ2329" i="1" s="1"/>
  <c r="AP2330" i="1"/>
  <c r="AQ2330" i="1" s="1"/>
  <c r="AP2331" i="1"/>
  <c r="AQ2331" i="1" s="1"/>
  <c r="AP2332" i="1"/>
  <c r="AQ2332" i="1" s="1"/>
  <c r="AP2333" i="1"/>
  <c r="AQ2333" i="1" s="1"/>
  <c r="AP2334" i="1"/>
  <c r="AQ2334" i="1" s="1"/>
  <c r="AP2335" i="1"/>
  <c r="AQ2335" i="1" s="1"/>
  <c r="AP2336" i="1"/>
  <c r="AQ2336" i="1" s="1"/>
  <c r="AP2337" i="1"/>
  <c r="AQ2337" i="1" s="1"/>
  <c r="AP2338" i="1"/>
  <c r="AQ2338" i="1" s="1"/>
  <c r="AP2339" i="1"/>
  <c r="AQ2339" i="1" s="1"/>
  <c r="AP2340" i="1"/>
  <c r="AQ2340" i="1" s="1"/>
  <c r="AP2341" i="1"/>
  <c r="AQ2341" i="1" s="1"/>
  <c r="AP2342" i="1"/>
  <c r="AQ2342" i="1" s="1"/>
  <c r="AP2343" i="1"/>
  <c r="AQ2343" i="1" s="1"/>
  <c r="AP2344" i="1"/>
  <c r="AQ2344" i="1" s="1"/>
  <c r="AP2345" i="1"/>
  <c r="AQ2345" i="1" s="1"/>
  <c r="AP2346" i="1"/>
  <c r="AQ2346" i="1" s="1"/>
  <c r="AP2347" i="1"/>
  <c r="AQ2347" i="1" s="1"/>
  <c r="AP2348" i="1"/>
  <c r="AQ2348" i="1" s="1"/>
  <c r="AP2349" i="1"/>
  <c r="AQ2349" i="1" s="1"/>
  <c r="AP2350" i="1"/>
  <c r="AQ2350" i="1" s="1"/>
  <c r="AP2351" i="1"/>
  <c r="AQ2351" i="1" s="1"/>
  <c r="AP2352" i="1"/>
  <c r="AQ2352" i="1" s="1"/>
  <c r="AP2353" i="1"/>
  <c r="AQ2353" i="1" s="1"/>
  <c r="AP2354" i="1"/>
  <c r="AQ2354" i="1" s="1"/>
  <c r="AP2355" i="1"/>
  <c r="AQ2355" i="1" s="1"/>
  <c r="AP2356" i="1"/>
  <c r="AQ2356" i="1" s="1"/>
  <c r="AP2357" i="1"/>
  <c r="AQ2357" i="1" s="1"/>
  <c r="AP2358" i="1"/>
  <c r="AQ2358" i="1" s="1"/>
  <c r="AP2359" i="1"/>
  <c r="AQ2359" i="1" s="1"/>
  <c r="AP2360" i="1"/>
  <c r="AQ2360" i="1" s="1"/>
  <c r="AP2361" i="1"/>
  <c r="AQ2361" i="1" s="1"/>
  <c r="AP2362" i="1"/>
  <c r="AQ2362" i="1" s="1"/>
  <c r="AP2363" i="1"/>
  <c r="AQ2363" i="1" s="1"/>
  <c r="AP2364" i="1"/>
  <c r="AQ2364" i="1" s="1"/>
  <c r="AP2365" i="1"/>
  <c r="AQ2365" i="1" s="1"/>
  <c r="AP2366" i="1"/>
  <c r="AQ2366" i="1" s="1"/>
  <c r="AP2367" i="1"/>
  <c r="AQ2367" i="1" s="1"/>
  <c r="AP2368" i="1"/>
  <c r="AQ2368" i="1" s="1"/>
  <c r="AP2369" i="1"/>
  <c r="AQ2369" i="1" s="1"/>
  <c r="AP2370" i="1"/>
  <c r="AQ2370" i="1" s="1"/>
  <c r="AP2371" i="1"/>
  <c r="AQ2371" i="1" s="1"/>
  <c r="AP2372" i="1"/>
  <c r="AQ2372" i="1" s="1"/>
  <c r="AP2373" i="1"/>
  <c r="AQ2373" i="1" s="1"/>
  <c r="AP2374" i="1"/>
  <c r="AQ2374" i="1" s="1"/>
  <c r="AP2375" i="1"/>
  <c r="AQ2375" i="1" s="1"/>
  <c r="AP2376" i="1"/>
  <c r="AQ2376" i="1" s="1"/>
  <c r="AP2377" i="1"/>
  <c r="AQ2377" i="1" s="1"/>
  <c r="AP2378" i="1"/>
  <c r="AQ2378" i="1" s="1"/>
  <c r="AP2379" i="1"/>
  <c r="AQ2379" i="1" s="1"/>
  <c r="AP2380" i="1"/>
  <c r="AQ2380" i="1" s="1"/>
  <c r="AP2381" i="1"/>
  <c r="AQ2381" i="1" s="1"/>
  <c r="AP2382" i="1"/>
  <c r="AQ2382" i="1" s="1"/>
  <c r="AP2383" i="1"/>
  <c r="AQ2383" i="1" s="1"/>
  <c r="AP2384" i="1"/>
  <c r="AQ2384" i="1" s="1"/>
  <c r="AP2385" i="1"/>
  <c r="AQ2385" i="1" s="1"/>
  <c r="AP2386" i="1"/>
  <c r="AQ2386" i="1" s="1"/>
  <c r="AP2387" i="1"/>
  <c r="AQ2387" i="1" s="1"/>
  <c r="AP2388" i="1"/>
  <c r="AQ2388" i="1" s="1"/>
  <c r="AP2389" i="1"/>
  <c r="AQ2389" i="1" s="1"/>
  <c r="AP2390" i="1"/>
  <c r="AQ2390" i="1" s="1"/>
  <c r="AP2391" i="1"/>
  <c r="AQ2391" i="1" s="1"/>
  <c r="AP2392" i="1"/>
  <c r="AQ2392" i="1" s="1"/>
  <c r="AP2393" i="1"/>
  <c r="AQ2393" i="1" s="1"/>
  <c r="AP2394" i="1"/>
  <c r="AQ2394" i="1" s="1"/>
  <c r="AP2395" i="1"/>
  <c r="AQ2395" i="1" s="1"/>
  <c r="AP2396" i="1"/>
  <c r="AQ2396" i="1" s="1"/>
  <c r="AP2397" i="1"/>
  <c r="AQ2397" i="1" s="1"/>
  <c r="AP2398" i="1"/>
  <c r="AQ2398" i="1" s="1"/>
  <c r="AP2399" i="1"/>
  <c r="AQ2399" i="1" s="1"/>
  <c r="AP2400" i="1"/>
  <c r="AQ2400" i="1" s="1"/>
  <c r="AP2401" i="1"/>
  <c r="AQ2401" i="1" s="1"/>
  <c r="AP2402" i="1"/>
  <c r="AQ2402" i="1" s="1"/>
  <c r="AP2403" i="1"/>
  <c r="AQ2403" i="1" s="1"/>
  <c r="AP2404" i="1"/>
  <c r="AQ2404" i="1" s="1"/>
  <c r="AP2405" i="1"/>
  <c r="AQ2405" i="1" s="1"/>
  <c r="AP2406" i="1"/>
  <c r="AQ2406" i="1" s="1"/>
  <c r="AP2407" i="1"/>
  <c r="AQ2407" i="1" s="1"/>
  <c r="AP2408" i="1"/>
  <c r="AQ2408" i="1" s="1"/>
  <c r="AP2409" i="1"/>
  <c r="AQ2409" i="1" s="1"/>
  <c r="AP2410" i="1"/>
  <c r="AQ2410" i="1" s="1"/>
  <c r="AP2411" i="1"/>
  <c r="AQ2411" i="1" s="1"/>
  <c r="AP2412" i="1"/>
  <c r="AQ2412" i="1" s="1"/>
  <c r="AP2413" i="1"/>
  <c r="AQ2413" i="1" s="1"/>
  <c r="AP2414" i="1"/>
  <c r="AQ2414" i="1" s="1"/>
  <c r="AP2415" i="1"/>
  <c r="AQ2415" i="1" s="1"/>
  <c r="AP2416" i="1"/>
  <c r="AQ2416" i="1" s="1"/>
  <c r="AP2417" i="1"/>
  <c r="AQ2417" i="1" s="1"/>
  <c r="AP2418" i="1"/>
  <c r="AQ2418" i="1" s="1"/>
  <c r="AP2419" i="1"/>
  <c r="AQ2419" i="1" s="1"/>
  <c r="AP2420" i="1"/>
  <c r="AQ2420" i="1" s="1"/>
  <c r="AP2421" i="1"/>
  <c r="AQ2421" i="1" s="1"/>
  <c r="AP2422" i="1"/>
  <c r="AQ2422" i="1" s="1"/>
  <c r="AP2423" i="1"/>
  <c r="AQ2423" i="1" s="1"/>
  <c r="AP2424" i="1"/>
  <c r="AQ2424" i="1" s="1"/>
  <c r="AP2425" i="1"/>
  <c r="AQ2425" i="1" s="1"/>
  <c r="AP2426" i="1"/>
  <c r="AQ2426" i="1" s="1"/>
  <c r="AP2427" i="1"/>
  <c r="AQ2427" i="1" s="1"/>
  <c r="AP2428" i="1"/>
  <c r="AQ2428" i="1" s="1"/>
  <c r="AP2429" i="1"/>
  <c r="AQ2429" i="1" s="1"/>
  <c r="AP2430" i="1"/>
  <c r="AQ2430" i="1" s="1"/>
  <c r="AP2431" i="1"/>
  <c r="AQ2431" i="1" s="1"/>
  <c r="AP2432" i="1"/>
  <c r="AQ2432" i="1" s="1"/>
  <c r="AP2433" i="1"/>
  <c r="AQ2433" i="1" s="1"/>
  <c r="AP2434" i="1"/>
  <c r="AQ2434" i="1" s="1"/>
  <c r="AP2435" i="1"/>
  <c r="AQ2435" i="1" s="1"/>
  <c r="AP2436" i="1"/>
  <c r="AQ2436" i="1" s="1"/>
  <c r="AP2437" i="1"/>
  <c r="AQ2437" i="1" s="1"/>
  <c r="AP2438" i="1"/>
  <c r="AQ2438" i="1" s="1"/>
  <c r="AP2439" i="1"/>
  <c r="AQ2439" i="1" s="1"/>
  <c r="AP2440" i="1"/>
  <c r="AQ2440" i="1" s="1"/>
  <c r="AP2441" i="1"/>
  <c r="AQ2441" i="1" s="1"/>
  <c r="AP2442" i="1"/>
  <c r="AQ2442" i="1" s="1"/>
  <c r="AP2443" i="1"/>
  <c r="AQ2443" i="1" s="1"/>
  <c r="AP2444" i="1"/>
  <c r="AQ2444" i="1" s="1"/>
  <c r="AP2445" i="1"/>
  <c r="AQ2445" i="1" s="1"/>
  <c r="AP2446" i="1"/>
  <c r="AQ2446" i="1" s="1"/>
  <c r="AP2447" i="1"/>
  <c r="AQ2447" i="1" s="1"/>
  <c r="AP2448" i="1"/>
  <c r="AQ2448" i="1" s="1"/>
  <c r="AP2449" i="1"/>
  <c r="AQ2449" i="1" s="1"/>
  <c r="AP2450" i="1"/>
  <c r="AQ2450" i="1" s="1"/>
  <c r="AP2451" i="1"/>
  <c r="AQ2451" i="1" s="1"/>
  <c r="AP2452" i="1"/>
  <c r="AQ2452" i="1" s="1"/>
  <c r="AP2453" i="1"/>
  <c r="AQ2453" i="1" s="1"/>
  <c r="AP2454" i="1"/>
  <c r="AQ2454" i="1" s="1"/>
  <c r="AP2455" i="1"/>
  <c r="AQ2455" i="1" s="1"/>
  <c r="AP2456" i="1"/>
  <c r="AQ2456" i="1" s="1"/>
  <c r="AP2457" i="1"/>
  <c r="AQ2457" i="1" s="1"/>
  <c r="AP2458" i="1"/>
  <c r="AQ2458" i="1" s="1"/>
  <c r="AP2459" i="1"/>
  <c r="AQ2459" i="1" s="1"/>
  <c r="AP2460" i="1"/>
  <c r="AQ2460" i="1" s="1"/>
  <c r="AP2461" i="1"/>
  <c r="AQ2461" i="1" s="1"/>
  <c r="AP2462" i="1"/>
  <c r="AQ2462" i="1" s="1"/>
  <c r="AP2463" i="1"/>
  <c r="AQ2463" i="1" s="1"/>
  <c r="AP2464" i="1"/>
  <c r="AQ2464" i="1" s="1"/>
  <c r="AP2465" i="1"/>
  <c r="AQ2465" i="1" s="1"/>
  <c r="AP2466" i="1"/>
  <c r="AQ2466" i="1" s="1"/>
  <c r="AP2467" i="1"/>
  <c r="AQ2467" i="1" s="1"/>
  <c r="AP2468" i="1"/>
  <c r="AQ2468" i="1" s="1"/>
  <c r="AP2469" i="1"/>
  <c r="AQ2469" i="1" s="1"/>
  <c r="AP2470" i="1"/>
  <c r="AQ2470" i="1" s="1"/>
  <c r="AP2471" i="1"/>
  <c r="AQ2471" i="1" s="1"/>
  <c r="AP2472" i="1"/>
  <c r="AQ2472" i="1" s="1"/>
  <c r="AP2473" i="1"/>
  <c r="AQ2473" i="1" s="1"/>
  <c r="AP2474" i="1"/>
  <c r="AQ2474" i="1" s="1"/>
  <c r="AP2475" i="1"/>
  <c r="AQ2475" i="1" s="1"/>
  <c r="AP2476" i="1"/>
  <c r="AQ2476" i="1" s="1"/>
  <c r="AP2477" i="1"/>
  <c r="AQ2477" i="1" s="1"/>
  <c r="AP2478" i="1"/>
  <c r="AQ2478" i="1" s="1"/>
  <c r="AP2479" i="1"/>
  <c r="AQ2479" i="1" s="1"/>
  <c r="AP2480" i="1"/>
  <c r="AQ2480" i="1" s="1"/>
  <c r="AP2481" i="1"/>
  <c r="AQ2481" i="1" s="1"/>
  <c r="AP2482" i="1"/>
  <c r="AQ2482" i="1" s="1"/>
  <c r="AP2483" i="1"/>
  <c r="AQ2483" i="1" s="1"/>
  <c r="AP2484" i="1"/>
  <c r="AQ2484" i="1" s="1"/>
  <c r="AP2485" i="1"/>
  <c r="AQ2485" i="1" s="1"/>
  <c r="AP2486" i="1"/>
  <c r="AQ2486" i="1" s="1"/>
  <c r="AP2487" i="1"/>
  <c r="AQ2487" i="1" s="1"/>
  <c r="AP2488" i="1"/>
  <c r="AQ2488" i="1" s="1"/>
  <c r="AP2489" i="1"/>
  <c r="AQ2489" i="1" s="1"/>
  <c r="AP2490" i="1"/>
  <c r="AQ2490" i="1" s="1"/>
  <c r="AP2491" i="1"/>
  <c r="AQ2491" i="1" s="1"/>
  <c r="AP2492" i="1"/>
  <c r="AQ2492" i="1" s="1"/>
  <c r="AP2493" i="1"/>
  <c r="AQ2493" i="1" s="1"/>
  <c r="AP2494" i="1"/>
  <c r="AQ2494" i="1" s="1"/>
  <c r="AP2495" i="1"/>
  <c r="AQ2495" i="1" s="1"/>
  <c r="AP2496" i="1"/>
  <c r="AQ2496" i="1" s="1"/>
  <c r="AP2497" i="1"/>
  <c r="AQ2497" i="1" s="1"/>
  <c r="AP2498" i="1"/>
  <c r="AQ2498" i="1" s="1"/>
  <c r="AP2499" i="1"/>
  <c r="AQ2499" i="1" s="1"/>
  <c r="AP2500" i="1"/>
  <c r="AQ2500" i="1" s="1"/>
  <c r="AP2501" i="1"/>
  <c r="AQ2501" i="1" s="1"/>
  <c r="AP2502" i="1"/>
  <c r="AQ2502" i="1" s="1"/>
  <c r="AP2503" i="1"/>
  <c r="AQ2503" i="1" s="1"/>
  <c r="AP2" i="1"/>
  <c r="C58" i="36"/>
  <c r="C68" i="36"/>
  <c r="R187" i="36"/>
  <c r="M187" i="36"/>
  <c r="L187" i="36"/>
  <c r="K187" i="36"/>
  <c r="C187" i="36"/>
  <c r="R186" i="36"/>
  <c r="M186" i="36"/>
  <c r="L186" i="36"/>
  <c r="K186" i="36"/>
  <c r="C186" i="36"/>
  <c r="R185" i="36"/>
  <c r="M185" i="36"/>
  <c r="L185" i="36"/>
  <c r="K185" i="36"/>
  <c r="C185" i="36"/>
  <c r="C160" i="36"/>
  <c r="C159" i="36"/>
  <c r="R158" i="36"/>
  <c r="C158" i="36"/>
  <c r="M72" i="36"/>
  <c r="L72" i="36"/>
  <c r="K72" i="36"/>
  <c r="E55" i="36"/>
  <c r="C55" i="36"/>
  <c r="E54" i="36"/>
  <c r="C54" i="36"/>
  <c r="E53" i="36"/>
  <c r="C53" i="36"/>
  <c r="E52" i="36"/>
  <c r="C52" i="36"/>
  <c r="E72" i="36"/>
  <c r="C72" i="36"/>
  <c r="C57" i="36"/>
  <c r="E56" i="36"/>
  <c r="C56" i="36"/>
  <c r="Y1584" i="1"/>
  <c r="AO1584" i="1" s="1"/>
  <c r="X1584" i="1"/>
  <c r="W1584" i="1"/>
  <c r="U1584" i="1"/>
  <c r="T1584" i="1"/>
  <c r="S1584" i="1"/>
  <c r="R1584" i="1"/>
  <c r="AT1584" i="1" s="1"/>
  <c r="Q1584" i="1"/>
  <c r="AU1584" i="1" s="1"/>
  <c r="P1584" i="1"/>
  <c r="Y1583" i="1"/>
  <c r="AO1583" i="1" s="1"/>
  <c r="X1583" i="1"/>
  <c r="W1583" i="1"/>
  <c r="U1583" i="1"/>
  <c r="T1583" i="1"/>
  <c r="S1583" i="1"/>
  <c r="R1583" i="1"/>
  <c r="AT1583" i="1" s="1"/>
  <c r="Q1583" i="1"/>
  <c r="AU1583" i="1" s="1"/>
  <c r="P1583" i="1"/>
  <c r="Y1577" i="1"/>
  <c r="AO1577" i="1" s="1"/>
  <c r="X1577" i="1"/>
  <c r="W1577" i="1"/>
  <c r="U1577" i="1"/>
  <c r="T1577" i="1"/>
  <c r="S1577" i="1"/>
  <c r="R1577" i="1"/>
  <c r="AT1577" i="1" s="1"/>
  <c r="Q1577" i="1"/>
  <c r="AU1577" i="1" s="1"/>
  <c r="P1577" i="1"/>
  <c r="Y1582" i="1"/>
  <c r="X1582" i="1"/>
  <c r="W1582" i="1"/>
  <c r="U1582" i="1"/>
  <c r="T1582" i="1"/>
  <c r="S1582" i="1"/>
  <c r="R1582" i="1"/>
  <c r="AT1582" i="1" s="1"/>
  <c r="Q1582" i="1"/>
  <c r="AU1582" i="1" s="1"/>
  <c r="P1582" i="1"/>
  <c r="Y1567" i="1"/>
  <c r="AO1567" i="1" s="1"/>
  <c r="X1567" i="1"/>
  <c r="W1567" i="1"/>
  <c r="U1567" i="1"/>
  <c r="T1567" i="1"/>
  <c r="S1567" i="1"/>
  <c r="R1567" i="1"/>
  <c r="AT1567" i="1" s="1"/>
  <c r="Q1567" i="1"/>
  <c r="AU1567" i="1" s="1"/>
  <c r="P1567" i="1"/>
  <c r="Y1566" i="1"/>
  <c r="AO1566" i="1" s="1"/>
  <c r="X1566" i="1"/>
  <c r="W1566" i="1"/>
  <c r="U1566" i="1"/>
  <c r="T1566" i="1"/>
  <c r="S1566" i="1"/>
  <c r="R1566" i="1"/>
  <c r="AT1566" i="1" s="1"/>
  <c r="Q1566" i="1"/>
  <c r="AU1566" i="1" s="1"/>
  <c r="P1566" i="1"/>
  <c r="Y1565" i="1"/>
  <c r="AO1565" i="1" s="1"/>
  <c r="X1565" i="1"/>
  <c r="W1565" i="1"/>
  <c r="U1565" i="1"/>
  <c r="T1565" i="1"/>
  <c r="S1565" i="1"/>
  <c r="R1565" i="1"/>
  <c r="AT1565" i="1" s="1"/>
  <c r="Q1565" i="1"/>
  <c r="AU1565" i="1" s="1"/>
  <c r="P1565" i="1"/>
  <c r="Y1564" i="1"/>
  <c r="P501" i="6" s="1"/>
  <c r="X1564" i="1"/>
  <c r="W1564" i="1"/>
  <c r="U1564" i="1"/>
  <c r="T1564" i="1"/>
  <c r="S1564" i="1"/>
  <c r="R1564" i="1"/>
  <c r="AT1564" i="1" s="1"/>
  <c r="Q1564" i="1"/>
  <c r="P1564" i="1"/>
  <c r="Y1563" i="1"/>
  <c r="X1563" i="1"/>
  <c r="W1563" i="1"/>
  <c r="U1563" i="1"/>
  <c r="T1563" i="1"/>
  <c r="S1563" i="1"/>
  <c r="R1563" i="1"/>
  <c r="Q1563" i="1"/>
  <c r="P1563" i="1"/>
  <c r="Y1562" i="1"/>
  <c r="AO1562" i="1" s="1"/>
  <c r="X1562" i="1"/>
  <c r="W1562" i="1"/>
  <c r="U1562" i="1"/>
  <c r="T1562" i="1"/>
  <c r="S1562" i="1"/>
  <c r="R1562" i="1"/>
  <c r="AT1562" i="1" s="1"/>
  <c r="Q1562" i="1"/>
  <c r="AU1562" i="1" s="1"/>
  <c r="P1562" i="1"/>
  <c r="C51" i="36"/>
  <c r="C118" i="36"/>
  <c r="C117" i="36"/>
  <c r="C120" i="36"/>
  <c r="C119" i="36"/>
  <c r="C123" i="36"/>
  <c r="C122" i="36"/>
  <c r="C121" i="36"/>
  <c r="C103" i="36"/>
  <c r="C104" i="36"/>
  <c r="C105" i="36"/>
  <c r="C106" i="36"/>
  <c r="O418" i="6"/>
  <c r="U480" i="6"/>
  <c r="B480" i="6"/>
  <c r="U479" i="6"/>
  <c r="B479" i="6"/>
  <c r="U478" i="6"/>
  <c r="B478" i="6"/>
  <c r="U477" i="6"/>
  <c r="B477" i="6"/>
  <c r="U476" i="6"/>
  <c r="B476" i="6"/>
  <c r="U475" i="6"/>
  <c r="B475" i="6"/>
  <c r="U474" i="6"/>
  <c r="B474" i="6"/>
  <c r="U490" i="6"/>
  <c r="B490" i="6"/>
  <c r="U489" i="6"/>
  <c r="B489" i="6"/>
  <c r="U488" i="6"/>
  <c r="B488" i="6"/>
  <c r="U487" i="6"/>
  <c r="B487" i="6"/>
  <c r="U496" i="6"/>
  <c r="B496" i="6"/>
  <c r="U491" i="6"/>
  <c r="B491" i="6"/>
  <c r="C49" i="36"/>
  <c r="C48" i="36"/>
  <c r="C47" i="36"/>
  <c r="C46" i="36"/>
  <c r="C97" i="36"/>
  <c r="C98" i="36"/>
  <c r="C99" i="36"/>
  <c r="C100" i="36"/>
  <c r="C101" i="36"/>
  <c r="C102" i="36"/>
  <c r="U471" i="6"/>
  <c r="B471" i="6"/>
  <c r="U470" i="6"/>
  <c r="B470" i="6"/>
  <c r="U469" i="6"/>
  <c r="B469" i="6"/>
  <c r="U468" i="6"/>
  <c r="B468" i="6"/>
  <c r="U467" i="6"/>
  <c r="B467" i="6"/>
  <c r="M41" i="36"/>
  <c r="L41" i="36"/>
  <c r="L42" i="36"/>
  <c r="K41" i="36"/>
  <c r="K42" i="36"/>
  <c r="M40" i="36"/>
  <c r="L40" i="36"/>
  <c r="K40" i="36"/>
  <c r="E40" i="36"/>
  <c r="C40" i="36"/>
  <c r="M39" i="36"/>
  <c r="L39" i="36"/>
  <c r="K39" i="36"/>
  <c r="E39" i="36"/>
  <c r="C39" i="36"/>
  <c r="M38" i="36"/>
  <c r="L38" i="36"/>
  <c r="K38" i="36"/>
  <c r="E38" i="36"/>
  <c r="C38" i="36"/>
  <c r="M37" i="36"/>
  <c r="L37" i="36"/>
  <c r="K37" i="36"/>
  <c r="E37" i="36"/>
  <c r="C37" i="36"/>
  <c r="M43" i="36"/>
  <c r="L43" i="36"/>
  <c r="K43" i="36"/>
  <c r="E43" i="36"/>
  <c r="C43" i="36"/>
  <c r="M42" i="36"/>
  <c r="E42" i="36"/>
  <c r="C42" i="36"/>
  <c r="U466" i="6"/>
  <c r="B466" i="6"/>
  <c r="U465" i="6"/>
  <c r="B465" i="6"/>
  <c r="U464" i="6"/>
  <c r="B464" i="6"/>
  <c r="U463" i="6"/>
  <c r="B463" i="6"/>
  <c r="U462" i="6"/>
  <c r="B462" i="6"/>
  <c r="Y1545" i="1"/>
  <c r="AO1545" i="1" s="1"/>
  <c r="X1545" i="1"/>
  <c r="W1545" i="1"/>
  <c r="U1545" i="1"/>
  <c r="T1545" i="1"/>
  <c r="S1545" i="1"/>
  <c r="R1545" i="1"/>
  <c r="AT1545" i="1" s="1"/>
  <c r="Q1545" i="1"/>
  <c r="AU1545" i="1" s="1"/>
  <c r="P1545" i="1"/>
  <c r="Y1544" i="1"/>
  <c r="AO1544" i="1" s="1"/>
  <c r="X1544" i="1"/>
  <c r="W1544" i="1"/>
  <c r="U1544" i="1"/>
  <c r="T1544" i="1"/>
  <c r="S1544" i="1"/>
  <c r="R1544" i="1"/>
  <c r="AT1544" i="1" s="1"/>
  <c r="Q1544" i="1"/>
  <c r="AU1544" i="1" s="1"/>
  <c r="P1544" i="1"/>
  <c r="Y1553" i="1"/>
  <c r="AO1553" i="1" s="1"/>
  <c r="X1553" i="1"/>
  <c r="W1553" i="1"/>
  <c r="U1553" i="1"/>
  <c r="T1553" i="1"/>
  <c r="S1553" i="1"/>
  <c r="R1553" i="1"/>
  <c r="AT1553" i="1" s="1"/>
  <c r="Q1553" i="1"/>
  <c r="AU1553" i="1" s="1"/>
  <c r="P1553" i="1"/>
  <c r="Y1552" i="1"/>
  <c r="AO1552" i="1" s="1"/>
  <c r="X1552" i="1"/>
  <c r="W1552" i="1"/>
  <c r="U1552" i="1"/>
  <c r="T1552" i="1"/>
  <c r="S1552" i="1"/>
  <c r="R1552" i="1"/>
  <c r="AT1552" i="1" s="1"/>
  <c r="Q1552" i="1"/>
  <c r="AU1552" i="1" s="1"/>
  <c r="P1552" i="1"/>
  <c r="Y1549" i="1"/>
  <c r="AO1549" i="1" s="1"/>
  <c r="X1549" i="1"/>
  <c r="W1549" i="1"/>
  <c r="U1549" i="1"/>
  <c r="T1549" i="1"/>
  <c r="S1549" i="1"/>
  <c r="R1549" i="1"/>
  <c r="AT1549" i="1" s="1"/>
  <c r="Q1549" i="1"/>
  <c r="AU1549" i="1" s="1"/>
  <c r="P1549" i="1"/>
  <c r="Y1548" i="1"/>
  <c r="AO1548" i="1" s="1"/>
  <c r="X1548" i="1"/>
  <c r="W1548" i="1"/>
  <c r="U1548" i="1"/>
  <c r="T1548" i="1"/>
  <c r="S1548" i="1"/>
  <c r="R1548" i="1"/>
  <c r="AT1548" i="1" s="1"/>
  <c r="Q1548" i="1"/>
  <c r="AU1548" i="1" s="1"/>
  <c r="P1548" i="1"/>
  <c r="Y1558" i="1"/>
  <c r="AO1558" i="1" s="1"/>
  <c r="X1558" i="1"/>
  <c r="W1558" i="1"/>
  <c r="U1558" i="1"/>
  <c r="T1558" i="1"/>
  <c r="S1558" i="1"/>
  <c r="R1558" i="1"/>
  <c r="AT1558" i="1" s="1"/>
  <c r="Q1558" i="1"/>
  <c r="AU1558" i="1" s="1"/>
  <c r="P1558" i="1"/>
  <c r="Y1557" i="1"/>
  <c r="AO1557" i="1" s="1"/>
  <c r="X1557" i="1"/>
  <c r="W1557" i="1"/>
  <c r="U1557" i="1"/>
  <c r="T1557" i="1"/>
  <c r="S1557" i="1"/>
  <c r="R1557" i="1"/>
  <c r="AT1557" i="1" s="1"/>
  <c r="Q1557" i="1"/>
  <c r="AU1557" i="1" s="1"/>
  <c r="P1557" i="1"/>
  <c r="Y1556" i="1"/>
  <c r="AO1556" i="1" s="1"/>
  <c r="X1556" i="1"/>
  <c r="W1556" i="1"/>
  <c r="U1556" i="1"/>
  <c r="T1556" i="1"/>
  <c r="S1556" i="1"/>
  <c r="R1556" i="1"/>
  <c r="AT1556" i="1" s="1"/>
  <c r="Q1556" i="1"/>
  <c r="AU1556" i="1" s="1"/>
  <c r="P1556" i="1"/>
  <c r="Y1555" i="1"/>
  <c r="AO1555" i="1" s="1"/>
  <c r="X1555" i="1"/>
  <c r="W1555" i="1"/>
  <c r="U1555" i="1"/>
  <c r="T1555" i="1"/>
  <c r="S1555" i="1"/>
  <c r="R1555" i="1"/>
  <c r="AT1555" i="1" s="1"/>
  <c r="Q1555" i="1"/>
  <c r="AU1555" i="1" s="1"/>
  <c r="P1555" i="1"/>
  <c r="Y1554" i="1"/>
  <c r="X1554" i="1"/>
  <c r="W1554" i="1"/>
  <c r="U1554" i="1"/>
  <c r="T1554" i="1"/>
  <c r="S1554" i="1"/>
  <c r="R1554" i="1"/>
  <c r="Q1554" i="1"/>
  <c r="J494" i="6" s="1"/>
  <c r="P1554" i="1"/>
  <c r="K492" i="6" s="1"/>
  <c r="Y1561" i="1"/>
  <c r="AO1561" i="1" s="1"/>
  <c r="X1561" i="1"/>
  <c r="W1561" i="1"/>
  <c r="U1561" i="1"/>
  <c r="T1561" i="1"/>
  <c r="S1561" i="1"/>
  <c r="R1561" i="1"/>
  <c r="AT1561" i="1" s="1"/>
  <c r="Q1561" i="1"/>
  <c r="AU1561" i="1" s="1"/>
  <c r="P1561" i="1"/>
  <c r="Y1560" i="1"/>
  <c r="AO1560" i="1" s="1"/>
  <c r="X1560" i="1"/>
  <c r="W1560" i="1"/>
  <c r="U1560" i="1"/>
  <c r="T1560" i="1"/>
  <c r="S1560" i="1"/>
  <c r="R1560" i="1"/>
  <c r="AT1560" i="1" s="1"/>
  <c r="Q1560" i="1"/>
  <c r="J307" i="6" s="1"/>
  <c r="P1560" i="1"/>
  <c r="K307" i="6" s="1"/>
  <c r="Y1559" i="1"/>
  <c r="X1559" i="1"/>
  <c r="W1559" i="1"/>
  <c r="U1559" i="1"/>
  <c r="T1559" i="1"/>
  <c r="S1559" i="1"/>
  <c r="R1559" i="1"/>
  <c r="AT1559" i="1" s="1"/>
  <c r="Q1559" i="1"/>
  <c r="AU1559" i="1" s="1"/>
  <c r="P1559" i="1"/>
  <c r="E45" i="36"/>
  <c r="U497" i="6"/>
  <c r="B497" i="6"/>
  <c r="U473" i="6"/>
  <c r="B473" i="6"/>
  <c r="U472" i="6"/>
  <c r="B472" i="6"/>
  <c r="U461" i="6"/>
  <c r="B461" i="6"/>
  <c r="U458" i="6"/>
  <c r="B458" i="6"/>
  <c r="U457" i="6"/>
  <c r="B457" i="6"/>
  <c r="U456" i="6"/>
  <c r="B456" i="6"/>
  <c r="U455" i="6"/>
  <c r="B455" i="6"/>
  <c r="C50" i="36"/>
  <c r="M45" i="36"/>
  <c r="L45" i="36"/>
  <c r="K45" i="36"/>
  <c r="C45" i="36"/>
  <c r="M44" i="36"/>
  <c r="L44" i="36"/>
  <c r="K44" i="36"/>
  <c r="E44" i="36"/>
  <c r="C44" i="36"/>
  <c r="O417" i="6"/>
  <c r="E84" i="6"/>
  <c r="D84" i="6"/>
  <c r="B84" i="6"/>
  <c r="E83" i="6"/>
  <c r="D83" i="6"/>
  <c r="B83" i="6"/>
  <c r="B82" i="6"/>
  <c r="B81" i="6"/>
  <c r="B80" i="6"/>
  <c r="E87" i="6"/>
  <c r="D87" i="6"/>
  <c r="B87" i="6"/>
  <c r="E86" i="6"/>
  <c r="D86" i="6"/>
  <c r="B86" i="6"/>
  <c r="E85" i="6"/>
  <c r="D85" i="6"/>
  <c r="B85" i="6"/>
  <c r="U79" i="6"/>
  <c r="B79" i="6"/>
  <c r="U78" i="6"/>
  <c r="B78" i="6"/>
  <c r="Y1551" i="1"/>
  <c r="AO1551" i="1" s="1"/>
  <c r="X1551" i="1"/>
  <c r="W1551" i="1"/>
  <c r="U1551" i="1"/>
  <c r="T1551" i="1"/>
  <c r="S1551" i="1"/>
  <c r="R1551" i="1"/>
  <c r="AT1551" i="1" s="1"/>
  <c r="Q1551" i="1"/>
  <c r="AU1551" i="1" s="1"/>
  <c r="P1551" i="1"/>
  <c r="Y1550" i="1"/>
  <c r="AO1550" i="1" s="1"/>
  <c r="X1550" i="1"/>
  <c r="W1550" i="1"/>
  <c r="U1550" i="1"/>
  <c r="T1550" i="1"/>
  <c r="S1550" i="1"/>
  <c r="R1550" i="1"/>
  <c r="AT1550" i="1" s="1"/>
  <c r="Q1550" i="1"/>
  <c r="AU1550" i="1" s="1"/>
  <c r="P1550" i="1"/>
  <c r="U459" i="6"/>
  <c r="B459" i="6"/>
  <c r="U454" i="6"/>
  <c r="B454" i="6"/>
  <c r="U453" i="6"/>
  <c r="B453" i="6"/>
  <c r="U452" i="6"/>
  <c r="B452" i="6"/>
  <c r="U451" i="6"/>
  <c r="B451" i="6"/>
  <c r="U460" i="6"/>
  <c r="B460" i="6"/>
  <c r="U450" i="6"/>
  <c r="B450" i="6"/>
  <c r="U449" i="6"/>
  <c r="B449" i="6"/>
  <c r="Y1547" i="1"/>
  <c r="AO1547" i="1" s="1"/>
  <c r="X1547" i="1"/>
  <c r="W1547" i="1"/>
  <c r="U1547" i="1"/>
  <c r="T1547" i="1"/>
  <c r="S1547" i="1"/>
  <c r="R1547" i="1"/>
  <c r="AT1547" i="1" s="1"/>
  <c r="Q1547" i="1"/>
  <c r="AU1547" i="1" s="1"/>
  <c r="P1547" i="1"/>
  <c r="U445" i="6"/>
  <c r="B445" i="6"/>
  <c r="U444" i="6"/>
  <c r="B444" i="6"/>
  <c r="U443" i="6"/>
  <c r="B443" i="6"/>
  <c r="U442" i="6"/>
  <c r="B442" i="6"/>
  <c r="U418" i="6"/>
  <c r="B418" i="6"/>
  <c r="U446" i="6"/>
  <c r="B446" i="6"/>
  <c r="U440" i="6"/>
  <c r="B440" i="6"/>
  <c r="U439" i="6"/>
  <c r="B439" i="6"/>
  <c r="U438" i="6"/>
  <c r="B438" i="6"/>
  <c r="U437" i="6"/>
  <c r="B437" i="6"/>
  <c r="U436" i="6"/>
  <c r="B436" i="6"/>
  <c r="U435" i="6"/>
  <c r="B435" i="6"/>
  <c r="U434" i="6"/>
  <c r="B434" i="6"/>
  <c r="U448" i="6"/>
  <c r="B448" i="6"/>
  <c r="U447" i="6"/>
  <c r="B447" i="6"/>
  <c r="U433" i="6"/>
  <c r="B433" i="6"/>
  <c r="U432" i="6"/>
  <c r="B432" i="6"/>
  <c r="U431" i="6"/>
  <c r="B431" i="6"/>
  <c r="P1609" i="1"/>
  <c r="K3453" i="33" s="1"/>
  <c r="Q1609" i="1"/>
  <c r="J3451" i="33" s="1"/>
  <c r="R1609" i="1"/>
  <c r="I3453" i="33" s="1"/>
  <c r="S1609" i="1"/>
  <c r="T1609" i="1"/>
  <c r="U1609" i="1"/>
  <c r="X1609" i="1"/>
  <c r="Y1609" i="1"/>
  <c r="P1610" i="1"/>
  <c r="Q1610" i="1"/>
  <c r="AU1610" i="1" s="1"/>
  <c r="R1610" i="1"/>
  <c r="AT1610" i="1" s="1"/>
  <c r="S1610" i="1"/>
  <c r="T1610" i="1"/>
  <c r="U1610" i="1"/>
  <c r="X1610" i="1"/>
  <c r="Y1610" i="1"/>
  <c r="AO1610" i="1" s="1"/>
  <c r="Y1534" i="1"/>
  <c r="AO1534" i="1" s="1"/>
  <c r="Y1535" i="1"/>
  <c r="AO1535" i="1" s="1"/>
  <c r="Y1536" i="1"/>
  <c r="Y1537" i="1"/>
  <c r="AO1537" i="1" s="1"/>
  <c r="Y1546" i="1"/>
  <c r="R161" i="36" s="1"/>
  <c r="Y1598" i="1"/>
  <c r="AO1598" i="1" s="1"/>
  <c r="X1543" i="1"/>
  <c r="X1534" i="1"/>
  <c r="X1535" i="1"/>
  <c r="X1536" i="1"/>
  <c r="X1537" i="1"/>
  <c r="X1546" i="1"/>
  <c r="W1543" i="1"/>
  <c r="W1534" i="1"/>
  <c r="W1535" i="1"/>
  <c r="W1536" i="1"/>
  <c r="W1537" i="1"/>
  <c r="W1546" i="1"/>
  <c r="W1598" i="1"/>
  <c r="U1534" i="1"/>
  <c r="U1535" i="1"/>
  <c r="U1536" i="1"/>
  <c r="U1537" i="1"/>
  <c r="U1546" i="1"/>
  <c r="T1543" i="1"/>
  <c r="T1534" i="1"/>
  <c r="T1535" i="1"/>
  <c r="T1536" i="1"/>
  <c r="T1537" i="1"/>
  <c r="T1546" i="1"/>
  <c r="S1534" i="1"/>
  <c r="S1535" i="1"/>
  <c r="S1536" i="1"/>
  <c r="S1537" i="1"/>
  <c r="S1546" i="1"/>
  <c r="R1534" i="1"/>
  <c r="AT1534" i="1" s="1"/>
  <c r="R1535" i="1"/>
  <c r="AT1535" i="1" s="1"/>
  <c r="R1536" i="1"/>
  <c r="AT1536" i="1" s="1"/>
  <c r="R1537" i="1"/>
  <c r="AT1537" i="1" s="1"/>
  <c r="R1546" i="1"/>
  <c r="K165" i="36" s="1"/>
  <c r="Q1534" i="1"/>
  <c r="AU1534" i="1" s="1"/>
  <c r="Q1535" i="1"/>
  <c r="AU1535" i="1" s="1"/>
  <c r="Q1536" i="1"/>
  <c r="AU1536" i="1" s="1"/>
  <c r="Q1537" i="1"/>
  <c r="AU1537" i="1" s="1"/>
  <c r="Q1546" i="1"/>
  <c r="L165" i="36" s="1"/>
  <c r="P1534" i="1"/>
  <c r="P1535" i="1"/>
  <c r="P1536" i="1"/>
  <c r="P1537" i="1"/>
  <c r="P1546" i="1"/>
  <c r="M161" i="36" s="1"/>
  <c r="P1598" i="1"/>
  <c r="C112" i="36"/>
  <c r="C111" i="36"/>
  <c r="C110" i="36"/>
  <c r="C109" i="36"/>
  <c r="C108" i="36"/>
  <c r="C107" i="36"/>
  <c r="Y1543" i="1"/>
  <c r="AO1543" i="1" s="1"/>
  <c r="U1543" i="1"/>
  <c r="S1543" i="1"/>
  <c r="R1543" i="1"/>
  <c r="AT1543" i="1" s="1"/>
  <c r="Q1543" i="1"/>
  <c r="AU1543" i="1" s="1"/>
  <c r="P1543" i="1"/>
  <c r="Y1542" i="1"/>
  <c r="AO1542" i="1" s="1"/>
  <c r="X1542" i="1"/>
  <c r="W1542" i="1"/>
  <c r="U1542" i="1"/>
  <c r="T1542" i="1"/>
  <c r="S1542" i="1"/>
  <c r="R1542" i="1"/>
  <c r="AT1542" i="1" s="1"/>
  <c r="Q1542" i="1"/>
  <c r="AU1542" i="1" s="1"/>
  <c r="P1542" i="1"/>
  <c r="Y1541" i="1"/>
  <c r="AO1541" i="1" s="1"/>
  <c r="X1541" i="1"/>
  <c r="W1541" i="1"/>
  <c r="U1541" i="1"/>
  <c r="T1541" i="1"/>
  <c r="S1541" i="1"/>
  <c r="R1541" i="1"/>
  <c r="AT1541" i="1" s="1"/>
  <c r="Q1541" i="1"/>
  <c r="AU1541" i="1" s="1"/>
  <c r="P1541" i="1"/>
  <c r="Y1540" i="1"/>
  <c r="AO1540" i="1" s="1"/>
  <c r="X1540" i="1"/>
  <c r="W1540" i="1"/>
  <c r="U1540" i="1"/>
  <c r="T1540" i="1"/>
  <c r="S1540" i="1"/>
  <c r="R1540" i="1"/>
  <c r="AT1540" i="1" s="1"/>
  <c r="Q1540" i="1"/>
  <c r="AU1540" i="1" s="1"/>
  <c r="P1540" i="1"/>
  <c r="Y1539" i="1"/>
  <c r="AO1539" i="1" s="1"/>
  <c r="X1539" i="1"/>
  <c r="W1539" i="1"/>
  <c r="U1539" i="1"/>
  <c r="T1539" i="1"/>
  <c r="S1539" i="1"/>
  <c r="R1539" i="1"/>
  <c r="AT1539" i="1" s="1"/>
  <c r="Q1539" i="1"/>
  <c r="AU1539" i="1" s="1"/>
  <c r="P1539" i="1"/>
  <c r="M99" i="36" s="1"/>
  <c r="U425" i="6"/>
  <c r="B425" i="6"/>
  <c r="U424" i="6"/>
  <c r="B424" i="6"/>
  <c r="U423" i="6"/>
  <c r="B423" i="6"/>
  <c r="U422" i="6"/>
  <c r="B422" i="6"/>
  <c r="U421" i="6"/>
  <c r="B421" i="6"/>
  <c r="U420" i="6"/>
  <c r="B420" i="6"/>
  <c r="U441" i="6"/>
  <c r="B441" i="6"/>
  <c r="U419" i="6"/>
  <c r="B419" i="6"/>
  <c r="U417" i="6"/>
  <c r="B417" i="6"/>
  <c r="U416" i="6"/>
  <c r="B416" i="6"/>
  <c r="U415" i="6"/>
  <c r="B415" i="6"/>
  <c r="U414" i="6"/>
  <c r="B414" i="6"/>
  <c r="U428" i="6"/>
  <c r="B428" i="6"/>
  <c r="U426" i="6"/>
  <c r="B426" i="6"/>
  <c r="U413" i="6"/>
  <c r="B413" i="6"/>
  <c r="R157" i="36"/>
  <c r="U77" i="6"/>
  <c r="B77" i="6"/>
  <c r="U76" i="6"/>
  <c r="B76" i="6"/>
  <c r="U75" i="6"/>
  <c r="B75" i="6"/>
  <c r="U429" i="6"/>
  <c r="B429" i="6"/>
  <c r="U412" i="6"/>
  <c r="B412" i="6"/>
  <c r="U411" i="6"/>
  <c r="B411" i="6"/>
  <c r="U410" i="6"/>
  <c r="B410" i="6"/>
  <c r="X1598" i="1"/>
  <c r="U1598" i="1"/>
  <c r="T1598" i="1"/>
  <c r="S1598" i="1"/>
  <c r="R1598" i="1"/>
  <c r="AT1598" i="1" s="1"/>
  <c r="Q1598" i="1"/>
  <c r="AU1598" i="1" s="1"/>
  <c r="Y1599" i="1"/>
  <c r="AO1599" i="1" s="1"/>
  <c r="X1599" i="1"/>
  <c r="W1599" i="1"/>
  <c r="U1599" i="1"/>
  <c r="T1599" i="1"/>
  <c r="S1599" i="1"/>
  <c r="R1599" i="1"/>
  <c r="AT1599" i="1" s="1"/>
  <c r="Q1599" i="1"/>
  <c r="AU1599" i="1" s="1"/>
  <c r="P1599" i="1"/>
  <c r="M406" i="6"/>
  <c r="Q23" i="37"/>
  <c r="Q24" i="37"/>
  <c r="V23" i="37"/>
  <c r="V24" i="37"/>
  <c r="V25" i="37"/>
  <c r="U23" i="37"/>
  <c r="U24" i="37"/>
  <c r="U25" i="37"/>
  <c r="S23" i="37"/>
  <c r="S24" i="37"/>
  <c r="W24" i="37"/>
  <c r="S25" i="37"/>
  <c r="W25" i="37"/>
  <c r="T23" i="37"/>
  <c r="T24" i="37"/>
  <c r="X24" i="37"/>
  <c r="T25" i="37"/>
  <c r="X25" i="37"/>
  <c r="R23" i="37"/>
  <c r="R24" i="37"/>
  <c r="R25" i="37"/>
  <c r="C8" i="36"/>
  <c r="C9" i="36"/>
  <c r="C7" i="36"/>
  <c r="C6" i="36"/>
  <c r="C5" i="36"/>
  <c r="C4" i="36"/>
  <c r="X23" i="37"/>
  <c r="W23" i="37"/>
  <c r="U408" i="6"/>
  <c r="B408" i="6"/>
  <c r="U407" i="6"/>
  <c r="B407" i="6"/>
  <c r="U406" i="6"/>
  <c r="B406" i="6"/>
  <c r="U405" i="6"/>
  <c r="B405" i="6"/>
  <c r="U404" i="6"/>
  <c r="B404" i="6"/>
  <c r="E36" i="36"/>
  <c r="C36" i="36"/>
  <c r="E35" i="36"/>
  <c r="C35" i="36"/>
  <c r="E34" i="36"/>
  <c r="C34" i="36"/>
  <c r="E33" i="36"/>
  <c r="C33" i="36"/>
  <c r="E41" i="36"/>
  <c r="C41" i="36"/>
  <c r="AA51" i="37"/>
  <c r="AA50" i="37"/>
  <c r="AA49" i="37"/>
  <c r="AA48" i="37"/>
  <c r="AA47" i="37"/>
  <c r="AA46" i="37"/>
  <c r="AA45" i="37"/>
  <c r="AA44" i="37"/>
  <c r="AA43" i="37"/>
  <c r="AA42" i="37"/>
  <c r="AA41" i="37"/>
  <c r="AA40" i="37"/>
  <c r="AA39" i="37"/>
  <c r="AA38" i="37"/>
  <c r="AA37" i="37"/>
  <c r="AA36" i="37"/>
  <c r="AA35" i="37"/>
  <c r="AA34" i="37"/>
  <c r="AA33" i="37"/>
  <c r="Z51" i="37"/>
  <c r="Z50" i="37"/>
  <c r="AC50" i="37" s="1"/>
  <c r="Z49" i="37"/>
  <c r="Z48" i="37"/>
  <c r="Z47" i="37"/>
  <c r="Z46" i="37"/>
  <c r="Z45" i="37"/>
  <c r="Z44" i="37"/>
  <c r="AC44" i="37" s="1"/>
  <c r="Z43" i="37"/>
  <c r="Z42" i="37"/>
  <c r="Z41" i="37"/>
  <c r="Z40" i="37"/>
  <c r="Z39" i="37"/>
  <c r="Z38" i="37"/>
  <c r="Z37" i="37"/>
  <c r="Z36" i="37"/>
  <c r="Z35" i="37"/>
  <c r="Z34" i="37"/>
  <c r="Z33" i="37"/>
  <c r="Y51" i="37"/>
  <c r="Y49" i="37"/>
  <c r="Y50" i="37"/>
  <c r="Y48" i="37"/>
  <c r="Y47" i="37"/>
  <c r="Y46" i="37"/>
  <c r="Y45" i="37"/>
  <c r="AC45" i="37" s="1"/>
  <c r="Y44" i="37"/>
  <c r="Y43" i="37"/>
  <c r="Y42" i="37"/>
  <c r="Y41" i="37"/>
  <c r="Y40" i="37"/>
  <c r="Y39" i="37"/>
  <c r="AC39" i="37" s="1"/>
  <c r="Y38" i="37"/>
  <c r="Y37" i="37"/>
  <c r="Y36" i="37"/>
  <c r="Y35" i="37"/>
  <c r="Y34" i="37"/>
  <c r="Y33" i="37"/>
  <c r="X51" i="37"/>
  <c r="X50" i="37"/>
  <c r="X49" i="37"/>
  <c r="X48" i="37"/>
  <c r="V48" i="37" s="1"/>
  <c r="AC48" i="37" s="1"/>
  <c r="X47" i="37"/>
  <c r="X46" i="37"/>
  <c r="X45" i="37"/>
  <c r="X44" i="37"/>
  <c r="X43" i="37"/>
  <c r="X42" i="37"/>
  <c r="X41" i="37"/>
  <c r="X40" i="37"/>
  <c r="V40" i="37" s="1"/>
  <c r="AC40" i="37" s="1"/>
  <c r="X39" i="37"/>
  <c r="X38" i="37"/>
  <c r="X37" i="37"/>
  <c r="X36" i="37"/>
  <c r="X35" i="37"/>
  <c r="X34" i="37"/>
  <c r="X33" i="37"/>
  <c r="W51" i="37"/>
  <c r="W50" i="37"/>
  <c r="W49" i="37"/>
  <c r="V49" i="37" s="1"/>
  <c r="AC49" i="37" s="1"/>
  <c r="W48" i="37"/>
  <c r="W47" i="37"/>
  <c r="W46" i="37"/>
  <c r="W45" i="37"/>
  <c r="W44" i="37"/>
  <c r="W43" i="37"/>
  <c r="V43" i="37" s="1"/>
  <c r="AC43" i="37" s="1"/>
  <c r="W42" i="37"/>
  <c r="W41" i="37"/>
  <c r="V41" i="37" s="1"/>
  <c r="W40" i="37"/>
  <c r="W39" i="37"/>
  <c r="W38" i="37"/>
  <c r="W37" i="37"/>
  <c r="V37" i="37" s="1"/>
  <c r="AC37" i="37" s="1"/>
  <c r="W36" i="37"/>
  <c r="W35" i="37"/>
  <c r="W34" i="37"/>
  <c r="W33" i="37"/>
  <c r="G51" i="37"/>
  <c r="G50" i="37"/>
  <c r="G49" i="37"/>
  <c r="G48" i="37"/>
  <c r="G47" i="37"/>
  <c r="G46" i="37"/>
  <c r="G45" i="37"/>
  <c r="G44" i="37"/>
  <c r="G43" i="37"/>
  <c r="G42" i="37"/>
  <c r="G41" i="37"/>
  <c r="G40" i="37"/>
  <c r="G39" i="37"/>
  <c r="G38" i="37"/>
  <c r="G37" i="37"/>
  <c r="G36" i="37"/>
  <c r="G35" i="37"/>
  <c r="G34" i="37"/>
  <c r="G33" i="37"/>
  <c r="F33" i="37"/>
  <c r="Q51" i="37"/>
  <c r="Q50" i="37"/>
  <c r="Q49" i="37"/>
  <c r="Q48" i="37"/>
  <c r="Q47" i="37"/>
  <c r="Q46" i="37"/>
  <c r="Q45" i="37"/>
  <c r="Q44" i="37"/>
  <c r="Q43" i="37"/>
  <c r="Q42" i="37"/>
  <c r="Q41" i="37"/>
  <c r="Q40" i="37"/>
  <c r="Q39" i="37"/>
  <c r="Q38" i="37"/>
  <c r="P51" i="37"/>
  <c r="P50" i="37"/>
  <c r="P49" i="37"/>
  <c r="P48" i="37"/>
  <c r="P47" i="37"/>
  <c r="P46" i="37"/>
  <c r="P45" i="37"/>
  <c r="P44" i="37"/>
  <c r="P43" i="37"/>
  <c r="P42" i="37"/>
  <c r="P41" i="37"/>
  <c r="P40" i="37"/>
  <c r="P39" i="37"/>
  <c r="P38" i="37"/>
  <c r="O51" i="37"/>
  <c r="O50" i="37"/>
  <c r="O49" i="37"/>
  <c r="O48" i="37"/>
  <c r="O47" i="37"/>
  <c r="O46" i="37"/>
  <c r="O45" i="37"/>
  <c r="O44" i="37"/>
  <c r="O43" i="37"/>
  <c r="O42" i="37"/>
  <c r="O41" i="37"/>
  <c r="O40" i="37"/>
  <c r="O39" i="37"/>
  <c r="O38" i="37"/>
  <c r="N51" i="37"/>
  <c r="N50" i="37"/>
  <c r="L50" i="37" s="1"/>
  <c r="N49" i="37"/>
  <c r="N48" i="37"/>
  <c r="N47" i="37"/>
  <c r="N46" i="37"/>
  <c r="N45" i="37"/>
  <c r="N44" i="37"/>
  <c r="L44" i="37" s="1"/>
  <c r="N43" i="37"/>
  <c r="N42" i="37"/>
  <c r="N41" i="37"/>
  <c r="N40" i="37"/>
  <c r="N39" i="37"/>
  <c r="N38" i="37"/>
  <c r="M51" i="37"/>
  <c r="L51" i="37" s="1"/>
  <c r="S51" i="37" s="1"/>
  <c r="M50" i="37"/>
  <c r="M49" i="37"/>
  <c r="M48" i="37"/>
  <c r="L48" i="37" s="1"/>
  <c r="S48" i="37" s="1"/>
  <c r="M47" i="37"/>
  <c r="L47" i="37" s="1"/>
  <c r="S47" i="37" s="1"/>
  <c r="M46" i="37"/>
  <c r="L46" i="37" s="1"/>
  <c r="S46" i="37" s="1"/>
  <c r="M45" i="37"/>
  <c r="M44" i="37"/>
  <c r="M43" i="37"/>
  <c r="M42" i="37"/>
  <c r="L42" i="37" s="1"/>
  <c r="M41" i="37"/>
  <c r="L41" i="37" s="1"/>
  <c r="S41" i="37" s="1"/>
  <c r="M40" i="37"/>
  <c r="M39" i="37"/>
  <c r="L39" i="37" s="1"/>
  <c r="S39" i="37" s="1"/>
  <c r="M38" i="37"/>
  <c r="Q37" i="37"/>
  <c r="P37" i="37"/>
  <c r="O37" i="37"/>
  <c r="N37" i="37"/>
  <c r="M37" i="37"/>
  <c r="Q36" i="37"/>
  <c r="P36" i="37"/>
  <c r="O36" i="37"/>
  <c r="N36" i="37"/>
  <c r="M36" i="37"/>
  <c r="L36" i="37" s="1"/>
  <c r="Q35" i="37"/>
  <c r="P35" i="37"/>
  <c r="O35" i="37"/>
  <c r="N35" i="37"/>
  <c r="N55" i="37" s="1"/>
  <c r="M35" i="37"/>
  <c r="Q34" i="37"/>
  <c r="Q55" i="37" s="1"/>
  <c r="P34" i="37"/>
  <c r="O34" i="37"/>
  <c r="N34" i="37"/>
  <c r="M34" i="37"/>
  <c r="L34" i="37" s="1"/>
  <c r="Q33" i="37"/>
  <c r="P33" i="37"/>
  <c r="O33" i="37"/>
  <c r="N33" i="37"/>
  <c r="M33" i="37"/>
  <c r="D51" i="37"/>
  <c r="D50" i="37"/>
  <c r="D49" i="37"/>
  <c r="B49" i="37" s="1"/>
  <c r="D48" i="37"/>
  <c r="D47" i="37"/>
  <c r="D46" i="37"/>
  <c r="D45" i="37"/>
  <c r="D44" i="37"/>
  <c r="D43" i="37"/>
  <c r="D41" i="37"/>
  <c r="D40" i="37"/>
  <c r="D39" i="37"/>
  <c r="D38" i="37"/>
  <c r="D37" i="37"/>
  <c r="D36" i="37"/>
  <c r="D33" i="37"/>
  <c r="D34" i="37"/>
  <c r="D35" i="37"/>
  <c r="C95" i="36"/>
  <c r="AA55" i="37"/>
  <c r="V51" i="37"/>
  <c r="V45" i="37"/>
  <c r="V34" i="37"/>
  <c r="AC34" i="37" s="1"/>
  <c r="V42" i="37"/>
  <c r="AC42" i="37" s="1"/>
  <c r="L49" i="37"/>
  <c r="S49" i="37" s="1"/>
  <c r="L45" i="37"/>
  <c r="S45" i="37" s="1"/>
  <c r="L43" i="37"/>
  <c r="S43" i="37" s="1"/>
  <c r="L40" i="37"/>
  <c r="S40" i="37" s="1"/>
  <c r="L33" i="37"/>
  <c r="L38" i="37"/>
  <c r="S38" i="37" s="1"/>
  <c r="V38" i="37"/>
  <c r="AC38" i="37" s="1"/>
  <c r="V46" i="37"/>
  <c r="AC46" i="37" s="1"/>
  <c r="V36" i="37"/>
  <c r="AC36" i="37" s="1"/>
  <c r="V39" i="37"/>
  <c r="L35" i="37"/>
  <c r="S35" i="37" s="1"/>
  <c r="V44" i="37"/>
  <c r="V47" i="37"/>
  <c r="AC47" i="37" s="1"/>
  <c r="V50" i="37"/>
  <c r="C35" i="37"/>
  <c r="F51" i="37"/>
  <c r="E51" i="37"/>
  <c r="F50" i="37"/>
  <c r="E50" i="37"/>
  <c r="F49" i="37"/>
  <c r="E49" i="37"/>
  <c r="F48" i="37"/>
  <c r="E48" i="37"/>
  <c r="F47" i="37"/>
  <c r="E47" i="37"/>
  <c r="F46" i="37"/>
  <c r="E46" i="37"/>
  <c r="F45" i="37"/>
  <c r="E45" i="37"/>
  <c r="F44" i="37"/>
  <c r="E44" i="37"/>
  <c r="F43" i="37"/>
  <c r="E43" i="37"/>
  <c r="F42" i="37"/>
  <c r="E42" i="37"/>
  <c r="F41" i="37"/>
  <c r="E41" i="37"/>
  <c r="F40" i="37"/>
  <c r="E40" i="37"/>
  <c r="F39" i="37"/>
  <c r="E39" i="37"/>
  <c r="F38" i="37"/>
  <c r="E38" i="37"/>
  <c r="F37" i="37"/>
  <c r="E37" i="37"/>
  <c r="F36" i="37"/>
  <c r="E36" i="37"/>
  <c r="F35" i="37"/>
  <c r="E35" i="37"/>
  <c r="F34" i="37"/>
  <c r="D42" i="37"/>
  <c r="E34" i="37"/>
  <c r="E33" i="37"/>
  <c r="C51" i="37"/>
  <c r="C50" i="37"/>
  <c r="B50" i="37" s="1"/>
  <c r="C49" i="37"/>
  <c r="C48" i="37"/>
  <c r="C47" i="37"/>
  <c r="C46" i="37"/>
  <c r="C45" i="37"/>
  <c r="C44" i="37"/>
  <c r="B44" i="37" s="1"/>
  <c r="C43" i="37"/>
  <c r="C42" i="37"/>
  <c r="C41" i="37"/>
  <c r="C40" i="37"/>
  <c r="C39" i="37"/>
  <c r="C38" i="37"/>
  <c r="C37" i="37"/>
  <c r="C36" i="37"/>
  <c r="C34" i="37"/>
  <c r="C33" i="37"/>
  <c r="C30" i="36"/>
  <c r="C29" i="36"/>
  <c r="C28" i="36"/>
  <c r="C27" i="36"/>
  <c r="C26" i="36"/>
  <c r="C25" i="36"/>
  <c r="C24" i="36"/>
  <c r="C23" i="36"/>
  <c r="C22" i="36"/>
  <c r="C21" i="36"/>
  <c r="C20" i="36"/>
  <c r="C19" i="36"/>
  <c r="C18" i="36"/>
  <c r="C17" i="36"/>
  <c r="C16" i="36"/>
  <c r="C15" i="36"/>
  <c r="AG22" i="37"/>
  <c r="AG21" i="37"/>
  <c r="AG20" i="37"/>
  <c r="AG19" i="37"/>
  <c r="AG18" i="37"/>
  <c r="AG17" i="37"/>
  <c r="AG16" i="37"/>
  <c r="AG15" i="37"/>
  <c r="AG14" i="37"/>
  <c r="AG13" i="37"/>
  <c r="AG12" i="37"/>
  <c r="AG11" i="37"/>
  <c r="AG10" i="37"/>
  <c r="AG9" i="37"/>
  <c r="AG8" i="37"/>
  <c r="AG7" i="37"/>
  <c r="AG6" i="37"/>
  <c r="AG5" i="37"/>
  <c r="AG4" i="37"/>
  <c r="AF22" i="37"/>
  <c r="AF21" i="37"/>
  <c r="AF20" i="37"/>
  <c r="AF19" i="37"/>
  <c r="AF18" i="37"/>
  <c r="AF17" i="37"/>
  <c r="AF16" i="37"/>
  <c r="AF15" i="37"/>
  <c r="AF14" i="37"/>
  <c r="AF13" i="37"/>
  <c r="AF12" i="37"/>
  <c r="AF11" i="37"/>
  <c r="AF10" i="37"/>
  <c r="AF9" i="37"/>
  <c r="AF8" i="37"/>
  <c r="AF7" i="37"/>
  <c r="AF6" i="37"/>
  <c r="AF5" i="37"/>
  <c r="AF4" i="37"/>
  <c r="AE22" i="37"/>
  <c r="AE21" i="37"/>
  <c r="AE20" i="37"/>
  <c r="AE19" i="37"/>
  <c r="AE18" i="37"/>
  <c r="AE17" i="37"/>
  <c r="AE16" i="37"/>
  <c r="AE15" i="37"/>
  <c r="AE14" i="37"/>
  <c r="AE13" i="37"/>
  <c r="AE12" i="37"/>
  <c r="AE11" i="37"/>
  <c r="AE10" i="37"/>
  <c r="AE9" i="37"/>
  <c r="AE8" i="37"/>
  <c r="AE7" i="37"/>
  <c r="AE6" i="37"/>
  <c r="AE5" i="37"/>
  <c r="AE4" i="37"/>
  <c r="AD22" i="37"/>
  <c r="AD21" i="37"/>
  <c r="AD20" i="37"/>
  <c r="AD19" i="37"/>
  <c r="AD18" i="37"/>
  <c r="AD17" i="37"/>
  <c r="AD16" i="37"/>
  <c r="AD15" i="37"/>
  <c r="AD14" i="37"/>
  <c r="AD13" i="37"/>
  <c r="AD12" i="37"/>
  <c r="AD11" i="37"/>
  <c r="AD10" i="37"/>
  <c r="AD9" i="37"/>
  <c r="AD8" i="37"/>
  <c r="AD7" i="37"/>
  <c r="AD6" i="37"/>
  <c r="AD4" i="37"/>
  <c r="AD5" i="37"/>
  <c r="E4" i="37"/>
  <c r="H4" i="37"/>
  <c r="G4" i="37"/>
  <c r="F4" i="37"/>
  <c r="F26" i="37" s="1"/>
  <c r="H22" i="37"/>
  <c r="H21" i="37"/>
  <c r="H20" i="37"/>
  <c r="H19" i="37"/>
  <c r="H18" i="37"/>
  <c r="D18" i="37" s="1"/>
  <c r="H17" i="37"/>
  <c r="D17" i="37" s="1"/>
  <c r="H16" i="37"/>
  <c r="H15" i="37"/>
  <c r="H14" i="37"/>
  <c r="H13" i="37"/>
  <c r="H12" i="37"/>
  <c r="H11" i="37"/>
  <c r="H10" i="37"/>
  <c r="H9" i="37"/>
  <c r="H8" i="37"/>
  <c r="H7" i="37"/>
  <c r="H6" i="37"/>
  <c r="D6" i="37" s="1"/>
  <c r="G22" i="37"/>
  <c r="G21" i="37"/>
  <c r="G20" i="37"/>
  <c r="G19" i="37"/>
  <c r="G18" i="37"/>
  <c r="G17" i="37"/>
  <c r="G16" i="37"/>
  <c r="G15" i="37"/>
  <c r="G14" i="37"/>
  <c r="G13" i="37"/>
  <c r="C13" i="37" s="1"/>
  <c r="G12" i="37"/>
  <c r="G11" i="37"/>
  <c r="G10" i="37"/>
  <c r="G9" i="37"/>
  <c r="G8" i="37"/>
  <c r="G7" i="37"/>
  <c r="G6" i="37"/>
  <c r="G5" i="37"/>
  <c r="F22" i="37"/>
  <c r="D22" i="37" s="1"/>
  <c r="F21" i="37"/>
  <c r="F20" i="37"/>
  <c r="F19" i="37"/>
  <c r="F18" i="37"/>
  <c r="F17" i="37"/>
  <c r="F16" i="37"/>
  <c r="D16" i="37" s="1"/>
  <c r="F15" i="37"/>
  <c r="F14" i="37"/>
  <c r="D14" i="37" s="1"/>
  <c r="F13" i="37"/>
  <c r="F12" i="37"/>
  <c r="F11" i="37"/>
  <c r="D11" i="37" s="1"/>
  <c r="F10" i="37"/>
  <c r="D10" i="37" s="1"/>
  <c r="F9" i="37"/>
  <c r="F8" i="37"/>
  <c r="D8" i="37" s="1"/>
  <c r="F7" i="37"/>
  <c r="F6" i="37"/>
  <c r="H5" i="37"/>
  <c r="F5" i="37"/>
  <c r="E22" i="37"/>
  <c r="E21" i="37"/>
  <c r="E20" i="37"/>
  <c r="E19" i="37"/>
  <c r="E18" i="37"/>
  <c r="E17" i="37"/>
  <c r="C17" i="37" s="1"/>
  <c r="E16" i="37"/>
  <c r="E15" i="37"/>
  <c r="C15" i="37" s="1"/>
  <c r="E14" i="37"/>
  <c r="C14" i="37" s="1"/>
  <c r="E13" i="37"/>
  <c r="E12" i="37"/>
  <c r="C12" i="37" s="1"/>
  <c r="E11" i="37"/>
  <c r="C11" i="37" s="1"/>
  <c r="E10" i="37"/>
  <c r="E9" i="37"/>
  <c r="E8" i="37"/>
  <c r="E7" i="37"/>
  <c r="E6" i="37"/>
  <c r="E5" i="37"/>
  <c r="C5" i="37" s="1"/>
  <c r="C14" i="36"/>
  <c r="D4" i="37"/>
  <c r="AE26" i="37"/>
  <c r="AC13" i="37"/>
  <c r="T13" i="37"/>
  <c r="B47" i="37"/>
  <c r="I47" i="37"/>
  <c r="B39" i="37"/>
  <c r="I39" i="37" s="1"/>
  <c r="B46" i="37"/>
  <c r="I46" i="37" s="1"/>
  <c r="B48" i="37"/>
  <c r="I48" i="37" s="1"/>
  <c r="B40" i="37"/>
  <c r="I40" i="37" s="1"/>
  <c r="B37" i="37"/>
  <c r="I37" i="37"/>
  <c r="B38" i="37"/>
  <c r="I38" i="37" s="1"/>
  <c r="B45" i="37"/>
  <c r="I45" i="37" s="1"/>
  <c r="B35" i="37"/>
  <c r="I35" i="37"/>
  <c r="B33" i="37"/>
  <c r="I33" i="37" s="1"/>
  <c r="B41" i="37"/>
  <c r="I41" i="37" s="1"/>
  <c r="I44" i="37"/>
  <c r="I50" i="37"/>
  <c r="B34" i="37"/>
  <c r="I34" i="37"/>
  <c r="B43" i="37"/>
  <c r="I43" i="37" s="1"/>
  <c r="B51" i="37"/>
  <c r="I51" i="37"/>
  <c r="B42" i="37"/>
  <c r="I42" i="37"/>
  <c r="AC22" i="37"/>
  <c r="T22" i="37"/>
  <c r="AC21" i="37"/>
  <c r="T21" i="37" s="1"/>
  <c r="AC20" i="37"/>
  <c r="T20" i="37" s="1"/>
  <c r="X20" i="37" s="1"/>
  <c r="AC19" i="37"/>
  <c r="T19" i="37"/>
  <c r="AC18" i="37"/>
  <c r="T18" i="37" s="1"/>
  <c r="AC17" i="37"/>
  <c r="T17" i="37" s="1"/>
  <c r="AC16" i="37"/>
  <c r="T16" i="37"/>
  <c r="AC15" i="37"/>
  <c r="T15" i="37" s="1"/>
  <c r="AC14" i="37"/>
  <c r="T14" i="37" s="1"/>
  <c r="AC12" i="37"/>
  <c r="T12" i="37"/>
  <c r="AC11" i="37"/>
  <c r="T11" i="37" s="1"/>
  <c r="AC10" i="37"/>
  <c r="T10" i="37" s="1"/>
  <c r="AC9" i="37"/>
  <c r="T9" i="37"/>
  <c r="AC8" i="37"/>
  <c r="T8" i="37" s="1"/>
  <c r="AC7" i="37"/>
  <c r="T7" i="37" s="1"/>
  <c r="AC6" i="37"/>
  <c r="T6" i="37"/>
  <c r="AC5" i="37"/>
  <c r="T5" i="37" s="1"/>
  <c r="AC4" i="37"/>
  <c r="AC26" i="37" s="1"/>
  <c r="AB4" i="37"/>
  <c r="V4" i="37"/>
  <c r="D5" i="37"/>
  <c r="C4" i="37"/>
  <c r="C26" i="37" s="1"/>
  <c r="C19" i="37"/>
  <c r="B19" i="37" s="1"/>
  <c r="O19" i="37" s="1"/>
  <c r="R19" i="37" s="1"/>
  <c r="C9" i="37"/>
  <c r="U9" i="37" s="1"/>
  <c r="C10" i="37"/>
  <c r="U10" i="37" s="1"/>
  <c r="C18" i="37"/>
  <c r="U18" i="37" s="1"/>
  <c r="C20" i="37"/>
  <c r="U20" i="37" s="1"/>
  <c r="C21" i="37"/>
  <c r="U21" i="37" s="1"/>
  <c r="C6" i="37"/>
  <c r="U6" i="37" s="1"/>
  <c r="C22" i="37"/>
  <c r="U22" i="37" s="1"/>
  <c r="C7" i="37"/>
  <c r="B7" i="37" s="1"/>
  <c r="O7" i="37" s="1"/>
  <c r="C8" i="37"/>
  <c r="U8" i="37" s="1"/>
  <c r="C16" i="37"/>
  <c r="D15" i="37"/>
  <c r="S15" i="37"/>
  <c r="D13" i="37"/>
  <c r="S13" i="37" s="1"/>
  <c r="D12" i="37"/>
  <c r="D9" i="37"/>
  <c r="S9" i="37" s="1"/>
  <c r="W9" i="37" s="1"/>
  <c r="D7" i="37"/>
  <c r="D21" i="37"/>
  <c r="S21" i="37" s="1"/>
  <c r="W21" i="37" s="1"/>
  <c r="D20" i="37"/>
  <c r="D19" i="37"/>
  <c r="U403" i="6"/>
  <c r="B403" i="6"/>
  <c r="U402" i="6"/>
  <c r="B402" i="6"/>
  <c r="U401" i="6"/>
  <c r="B401" i="6"/>
  <c r="U400" i="6"/>
  <c r="B400" i="6"/>
  <c r="AA4" i="37"/>
  <c r="AN4" i="37" s="1"/>
  <c r="B20" i="37"/>
  <c r="U409" i="6"/>
  <c r="B409" i="6"/>
  <c r="U399" i="6"/>
  <c r="B399" i="6"/>
  <c r="U398" i="6"/>
  <c r="B398" i="6"/>
  <c r="AL22" i="37"/>
  <c r="AL21" i="37"/>
  <c r="AL20" i="37"/>
  <c r="AL19" i="37"/>
  <c r="AL18" i="37"/>
  <c r="AL17" i="37"/>
  <c r="AL16" i="37"/>
  <c r="AL15" i="37"/>
  <c r="AL14" i="37"/>
  <c r="AL13" i="37"/>
  <c r="AL12" i="37"/>
  <c r="AL11" i="37"/>
  <c r="AL10" i="37"/>
  <c r="AL9" i="37"/>
  <c r="AL8" i="37"/>
  <c r="AL7" i="37"/>
  <c r="AL6" i="37"/>
  <c r="AL5" i="37"/>
  <c r="AK22" i="37"/>
  <c r="AK21" i="37"/>
  <c r="AK20" i="37"/>
  <c r="AK19" i="37"/>
  <c r="AK18" i="37"/>
  <c r="AK17" i="37"/>
  <c r="AK16" i="37"/>
  <c r="AK15" i="37"/>
  <c r="AK14" i="37"/>
  <c r="AK13" i="37"/>
  <c r="AK12" i="37"/>
  <c r="AK11" i="37"/>
  <c r="AK10" i="37"/>
  <c r="AK9" i="37"/>
  <c r="AK8" i="37"/>
  <c r="AK7" i="37"/>
  <c r="AK6" i="37"/>
  <c r="AK5" i="37"/>
  <c r="AJ22" i="37"/>
  <c r="AJ21" i="37"/>
  <c r="AJ20" i="37"/>
  <c r="AJ19" i="37"/>
  <c r="AJ18" i="37"/>
  <c r="AJ17" i="37"/>
  <c r="AJ16" i="37"/>
  <c r="AJ15" i="37"/>
  <c r="AJ14" i="37"/>
  <c r="AJ13" i="37"/>
  <c r="AJ12" i="37"/>
  <c r="AJ11" i="37"/>
  <c r="AJ10" i="37"/>
  <c r="AJ9" i="37"/>
  <c r="AJ8" i="37"/>
  <c r="AJ7" i="37"/>
  <c r="AJ6" i="37"/>
  <c r="AJ5" i="37"/>
  <c r="AI22" i="37"/>
  <c r="AI21" i="37"/>
  <c r="AI20" i="37"/>
  <c r="AI19" i="37"/>
  <c r="AI18" i="37"/>
  <c r="AI17" i="37"/>
  <c r="AI16" i="37"/>
  <c r="AI15" i="37"/>
  <c r="AI14" i="37"/>
  <c r="AI13" i="37"/>
  <c r="AI12" i="37"/>
  <c r="AI11" i="37"/>
  <c r="AI10" i="37"/>
  <c r="AI9" i="37"/>
  <c r="AI8" i="37"/>
  <c r="AI7" i="37"/>
  <c r="AI6" i="37"/>
  <c r="AI5" i="37"/>
  <c r="AH22" i="37"/>
  <c r="AH21" i="37"/>
  <c r="AH20" i="37"/>
  <c r="AH19" i="37"/>
  <c r="AH18" i="37"/>
  <c r="AH17" i="37"/>
  <c r="AH16" i="37"/>
  <c r="AH15" i="37"/>
  <c r="AH14" i="37"/>
  <c r="AH13" i="37"/>
  <c r="AH12" i="37"/>
  <c r="AH11" i="37"/>
  <c r="AH10" i="37"/>
  <c r="AH9" i="37"/>
  <c r="AH8" i="37"/>
  <c r="AH7" i="37"/>
  <c r="AH6" i="37"/>
  <c r="AH5" i="37"/>
  <c r="AB22" i="37"/>
  <c r="V22" i="37" s="1"/>
  <c r="X22" i="37" s="1"/>
  <c r="AB21" i="37"/>
  <c r="V21" i="37" s="1"/>
  <c r="AB20" i="37"/>
  <c r="V20" i="37" s="1"/>
  <c r="AB19" i="37"/>
  <c r="V19" i="37" s="1"/>
  <c r="X19" i="37" s="1"/>
  <c r="AB18" i="37"/>
  <c r="AA18" i="37" s="1"/>
  <c r="AB17" i="37"/>
  <c r="V17" i="37" s="1"/>
  <c r="AB16" i="37"/>
  <c r="V16" i="37" s="1"/>
  <c r="X16" i="37" s="1"/>
  <c r="AB15" i="37"/>
  <c r="V15" i="37" s="1"/>
  <c r="AB14" i="37"/>
  <c r="V14" i="37" s="1"/>
  <c r="AB13" i="37"/>
  <c r="V13" i="37" s="1"/>
  <c r="X13" i="37" s="1"/>
  <c r="AB12" i="37"/>
  <c r="V12" i="37" s="1"/>
  <c r="X12" i="37" s="1"/>
  <c r="AB11" i="37"/>
  <c r="V11" i="37" s="1"/>
  <c r="AB10" i="37"/>
  <c r="V10" i="37" s="1"/>
  <c r="AB9" i="37"/>
  <c r="V9" i="37" s="1"/>
  <c r="X9" i="37" s="1"/>
  <c r="AB8" i="37"/>
  <c r="V8" i="37" s="1"/>
  <c r="AB7" i="37"/>
  <c r="V7" i="37" s="1"/>
  <c r="AB6" i="37"/>
  <c r="V6" i="37" s="1"/>
  <c r="X6" i="37" s="1"/>
  <c r="AB5" i="37"/>
  <c r="V5" i="37" s="1"/>
  <c r="AL4" i="37"/>
  <c r="AK4" i="37"/>
  <c r="AJ4" i="37"/>
  <c r="AI4" i="37"/>
  <c r="AH4" i="37"/>
  <c r="AL26" i="37"/>
  <c r="AA19" i="37"/>
  <c r="AA12" i="37"/>
  <c r="AN12" i="37" s="1"/>
  <c r="AA9" i="37"/>
  <c r="AA13" i="37"/>
  <c r="AA21" i="37"/>
  <c r="AA15" i="37"/>
  <c r="AA17" i="37"/>
  <c r="AA5" i="37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L8" i="37"/>
  <c r="L7" i="37"/>
  <c r="L6" i="37"/>
  <c r="L5" i="37"/>
  <c r="K22" i="37"/>
  <c r="K21" i="37"/>
  <c r="K20" i="37"/>
  <c r="K19" i="37"/>
  <c r="K18" i="37"/>
  <c r="K17" i="37"/>
  <c r="K16" i="37"/>
  <c r="K15" i="37"/>
  <c r="K14" i="37"/>
  <c r="K13" i="37"/>
  <c r="K12" i="37"/>
  <c r="K11" i="37"/>
  <c r="K10" i="37"/>
  <c r="K9" i="37"/>
  <c r="K8" i="37"/>
  <c r="K7" i="37"/>
  <c r="K6" i="37"/>
  <c r="K5" i="37"/>
  <c r="J17" i="37"/>
  <c r="J16" i="37"/>
  <c r="J22" i="37"/>
  <c r="J21" i="37"/>
  <c r="J20" i="37"/>
  <c r="J19" i="37"/>
  <c r="J18" i="37"/>
  <c r="J15" i="37"/>
  <c r="J14" i="37"/>
  <c r="J13" i="37"/>
  <c r="J12" i="37"/>
  <c r="J11" i="37"/>
  <c r="J10" i="37"/>
  <c r="J9" i="37"/>
  <c r="J8" i="37"/>
  <c r="J7" i="37"/>
  <c r="J6" i="37"/>
  <c r="J5" i="37"/>
  <c r="M22" i="37"/>
  <c r="M21" i="37"/>
  <c r="M20" i="37"/>
  <c r="M19" i="37"/>
  <c r="M18" i="37"/>
  <c r="M17" i="37"/>
  <c r="M16" i="37"/>
  <c r="M15" i="37"/>
  <c r="Y15" i="37" s="1"/>
  <c r="M14" i="37"/>
  <c r="M13" i="37"/>
  <c r="M26" i="37" s="1"/>
  <c r="M12" i="37"/>
  <c r="M11" i="37"/>
  <c r="M10" i="37"/>
  <c r="M9" i="37"/>
  <c r="Y9" i="37"/>
  <c r="M8" i="37"/>
  <c r="M7" i="37"/>
  <c r="M6" i="37"/>
  <c r="M5" i="37"/>
  <c r="I22" i="37"/>
  <c r="I21" i="37"/>
  <c r="I20" i="37"/>
  <c r="I19" i="37"/>
  <c r="I18" i="37"/>
  <c r="I17" i="37"/>
  <c r="I16" i="37"/>
  <c r="I15" i="37"/>
  <c r="I14" i="37"/>
  <c r="I13" i="37"/>
  <c r="I12" i="37"/>
  <c r="I11" i="37"/>
  <c r="I10" i="37"/>
  <c r="I9" i="37"/>
  <c r="I8" i="37"/>
  <c r="I7" i="37"/>
  <c r="I6" i="37"/>
  <c r="I5" i="37"/>
  <c r="C32" i="36"/>
  <c r="C31" i="36"/>
  <c r="C12" i="36"/>
  <c r="W96" i="36"/>
  <c r="C96" i="36"/>
  <c r="W95" i="36"/>
  <c r="K4" i="37"/>
  <c r="K26" i="37" s="1"/>
  <c r="L4" i="37"/>
  <c r="J4" i="37"/>
  <c r="I4" i="37"/>
  <c r="I26" i="37" s="1"/>
  <c r="AN21" i="37"/>
  <c r="L26" i="37"/>
  <c r="AN19" i="37"/>
  <c r="AN15" i="37"/>
  <c r="AH26" i="37"/>
  <c r="AI26" i="37"/>
  <c r="AN9" i="37"/>
  <c r="AN17" i="37"/>
  <c r="AN18" i="37"/>
  <c r="AN5" i="37"/>
  <c r="AN13" i="37"/>
  <c r="O20" i="37"/>
  <c r="Q19" i="37"/>
  <c r="C13" i="36"/>
  <c r="C11" i="36"/>
  <c r="C10" i="36"/>
  <c r="C3" i="36"/>
  <c r="U430" i="6"/>
  <c r="B430" i="6"/>
  <c r="Q192" i="36"/>
  <c r="I192" i="36"/>
  <c r="C190" i="36"/>
  <c r="C189" i="36"/>
  <c r="C188" i="36"/>
  <c r="C157" i="36"/>
  <c r="C156" i="36"/>
  <c r="C116" i="36"/>
  <c r="C115" i="36"/>
  <c r="C114" i="36"/>
  <c r="C113" i="36"/>
  <c r="W100" i="36"/>
  <c r="W99" i="36"/>
  <c r="W98" i="36"/>
  <c r="W97" i="36"/>
  <c r="W94" i="36"/>
  <c r="C94" i="36"/>
  <c r="E93" i="36"/>
  <c r="C93" i="36"/>
  <c r="E92" i="36"/>
  <c r="C92" i="36"/>
  <c r="C2" i="36"/>
  <c r="O192" i="36"/>
  <c r="U397" i="6"/>
  <c r="B397" i="6"/>
  <c r="U396" i="6"/>
  <c r="B396" i="6"/>
  <c r="U395" i="6"/>
  <c r="B395" i="6"/>
  <c r="U394" i="6"/>
  <c r="B394" i="6"/>
  <c r="U393" i="6"/>
  <c r="B393" i="6"/>
  <c r="E559" i="6"/>
  <c r="B559" i="6"/>
  <c r="E558" i="6"/>
  <c r="B558" i="6"/>
  <c r="E557" i="6"/>
  <c r="B557" i="6"/>
  <c r="J26" i="37"/>
  <c r="U392" i="6"/>
  <c r="B392" i="6"/>
  <c r="U391" i="6"/>
  <c r="B391" i="6"/>
  <c r="U388" i="6"/>
  <c r="B388" i="6"/>
  <c r="U74" i="6"/>
  <c r="B74" i="6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U389" i="6"/>
  <c r="B389" i="6"/>
  <c r="U387" i="6"/>
  <c r="B387" i="6"/>
  <c r="U386" i="6"/>
  <c r="B386" i="6"/>
  <c r="U73" i="6"/>
  <c r="B73" i="6"/>
  <c r="U72" i="6"/>
  <c r="B72" i="6"/>
  <c r="U71" i="6"/>
  <c r="B71" i="6"/>
  <c r="U70" i="6"/>
  <c r="B70" i="6"/>
  <c r="U382" i="6"/>
  <c r="B382" i="6"/>
  <c r="U381" i="6"/>
  <c r="B381" i="6"/>
  <c r="U380" i="6"/>
  <c r="B380" i="6"/>
  <c r="U379" i="6"/>
  <c r="B379" i="6"/>
  <c r="U378" i="6"/>
  <c r="B378" i="6"/>
  <c r="U385" i="6"/>
  <c r="B385" i="6"/>
  <c r="U384" i="6"/>
  <c r="B384" i="6"/>
  <c r="U383" i="6"/>
  <c r="B383" i="6"/>
  <c r="B377" i="6"/>
  <c r="U377" i="6"/>
  <c r="B390" i="6"/>
  <c r="U390" i="6"/>
  <c r="B526" i="6"/>
  <c r="I526" i="6"/>
  <c r="J526" i="6"/>
  <c r="K526" i="6"/>
  <c r="P526" i="6"/>
  <c r="U526" i="6"/>
  <c r="P1606" i="1"/>
  <c r="Q1606" i="1"/>
  <c r="AU1606" i="1" s="1"/>
  <c r="R1606" i="1"/>
  <c r="AT1606" i="1" s="1"/>
  <c r="S1606" i="1"/>
  <c r="T1606" i="1"/>
  <c r="U1606" i="1"/>
  <c r="X1606" i="1"/>
  <c r="Y1606" i="1"/>
  <c r="AO1606" i="1" s="1"/>
  <c r="P1607" i="1"/>
  <c r="Q1607" i="1"/>
  <c r="AU1607" i="1" s="1"/>
  <c r="R1607" i="1"/>
  <c r="AT1607" i="1" s="1"/>
  <c r="S1607" i="1"/>
  <c r="T1607" i="1"/>
  <c r="U1607" i="1"/>
  <c r="X1607" i="1"/>
  <c r="Y1607" i="1"/>
  <c r="AO1607" i="1" s="1"/>
  <c r="P1608" i="1"/>
  <c r="K2735" i="33" s="1"/>
  <c r="Q1608" i="1"/>
  <c r="R1608" i="1"/>
  <c r="S1608" i="1"/>
  <c r="T1608" i="1"/>
  <c r="U1608" i="1"/>
  <c r="X1608" i="1"/>
  <c r="Y1608" i="1"/>
  <c r="AO1608" i="1" s="1"/>
  <c r="U373" i="6"/>
  <c r="B373" i="6"/>
  <c r="U372" i="6"/>
  <c r="B372" i="6"/>
  <c r="U371" i="6"/>
  <c r="B371" i="6"/>
  <c r="U370" i="6"/>
  <c r="B370" i="6"/>
  <c r="U375" i="6"/>
  <c r="B375" i="6"/>
  <c r="U374" i="6"/>
  <c r="B374" i="6"/>
  <c r="U368" i="6"/>
  <c r="B368" i="6"/>
  <c r="U367" i="6"/>
  <c r="B367" i="6"/>
  <c r="U366" i="6"/>
  <c r="B366" i="6"/>
  <c r="P1512" i="1"/>
  <c r="Q1512" i="1"/>
  <c r="J438" i="6" s="1"/>
  <c r="R1512" i="1"/>
  <c r="I437" i="6" s="1"/>
  <c r="S1512" i="1"/>
  <c r="T1512" i="1"/>
  <c r="U1512" i="1"/>
  <c r="W1512" i="1"/>
  <c r="X1512" i="1"/>
  <c r="Y1512" i="1"/>
  <c r="P436" i="6" s="1"/>
  <c r="P1513" i="1"/>
  <c r="Q1513" i="1"/>
  <c r="AU1513" i="1" s="1"/>
  <c r="R1513" i="1"/>
  <c r="AT1513" i="1" s="1"/>
  <c r="S1513" i="1"/>
  <c r="T1513" i="1"/>
  <c r="U1513" i="1"/>
  <c r="W1513" i="1"/>
  <c r="X1513" i="1"/>
  <c r="Y1513" i="1"/>
  <c r="AO1513" i="1" s="1"/>
  <c r="P1514" i="1"/>
  <c r="Q1514" i="1"/>
  <c r="AU1514" i="1" s="1"/>
  <c r="R1514" i="1"/>
  <c r="AT1514" i="1" s="1"/>
  <c r="S1514" i="1"/>
  <c r="T1514" i="1"/>
  <c r="U1514" i="1"/>
  <c r="W1514" i="1"/>
  <c r="X1514" i="1"/>
  <c r="Y1514" i="1"/>
  <c r="AO1514" i="1" s="1"/>
  <c r="P1515" i="1"/>
  <c r="Q1515" i="1"/>
  <c r="AU1515" i="1" s="1"/>
  <c r="R1515" i="1"/>
  <c r="AT1515" i="1" s="1"/>
  <c r="S1515" i="1"/>
  <c r="T1515" i="1"/>
  <c r="U1515" i="1"/>
  <c r="W1515" i="1"/>
  <c r="X1515" i="1"/>
  <c r="Y1515" i="1"/>
  <c r="AO1515" i="1" s="1"/>
  <c r="P1516" i="1"/>
  <c r="Q1516" i="1"/>
  <c r="R1516" i="1"/>
  <c r="S1516" i="1"/>
  <c r="T1516" i="1"/>
  <c r="U1516" i="1"/>
  <c r="W1516" i="1"/>
  <c r="X1516" i="1"/>
  <c r="Y1516" i="1"/>
  <c r="AO1516" i="1" s="1"/>
  <c r="U69" i="6"/>
  <c r="B69" i="6"/>
  <c r="U68" i="6"/>
  <c r="B68" i="6"/>
  <c r="U364" i="6"/>
  <c r="B364" i="6"/>
  <c r="U363" i="6"/>
  <c r="B363" i="6"/>
  <c r="U362" i="6"/>
  <c r="B362" i="6"/>
  <c r="U361" i="6"/>
  <c r="B361" i="6"/>
  <c r="U360" i="6"/>
  <c r="B360" i="6"/>
  <c r="U359" i="6"/>
  <c r="B359" i="6"/>
  <c r="U369" i="6"/>
  <c r="B369" i="6"/>
  <c r="U365" i="6"/>
  <c r="B365" i="6"/>
  <c r="U358" i="6"/>
  <c r="B358" i="6"/>
  <c r="X1604" i="1"/>
  <c r="Y1604" i="1"/>
  <c r="X1605" i="1"/>
  <c r="Y1605" i="1"/>
  <c r="AO1605" i="1" s="1"/>
  <c r="P1604" i="1"/>
  <c r="K3111" i="33" s="1"/>
  <c r="Q1604" i="1"/>
  <c r="J3110" i="33" s="1"/>
  <c r="R1604" i="1"/>
  <c r="I3110" i="33" s="1"/>
  <c r="S1604" i="1"/>
  <c r="T1604" i="1"/>
  <c r="U1604" i="1"/>
  <c r="P1605" i="1"/>
  <c r="Q1605" i="1"/>
  <c r="AU1605" i="1" s="1"/>
  <c r="R1605" i="1"/>
  <c r="AT1605" i="1" s="1"/>
  <c r="S1605" i="1"/>
  <c r="T1605" i="1"/>
  <c r="U1605" i="1"/>
  <c r="Y1523" i="1"/>
  <c r="AO1523" i="1" s="1"/>
  <c r="X1523" i="1"/>
  <c r="W1523" i="1"/>
  <c r="U1523" i="1"/>
  <c r="T1523" i="1"/>
  <c r="S1523" i="1"/>
  <c r="R1523" i="1"/>
  <c r="AT1523" i="1" s="1"/>
  <c r="Q1523" i="1"/>
  <c r="AU1523" i="1" s="1"/>
  <c r="P1523" i="1"/>
  <c r="E149" i="20"/>
  <c r="J149" i="20"/>
  <c r="L146" i="20"/>
  <c r="L147" i="20"/>
  <c r="L148" i="20"/>
  <c r="L145" i="20"/>
  <c r="G146" i="20"/>
  <c r="G147" i="20"/>
  <c r="G149" i="20" s="1"/>
  <c r="G148" i="20"/>
  <c r="G145" i="20"/>
  <c r="U204" i="6"/>
  <c r="B204" i="6"/>
  <c r="U203" i="6"/>
  <c r="B203" i="6"/>
  <c r="U202" i="6"/>
  <c r="B202" i="6"/>
  <c r="U201" i="6"/>
  <c r="B201" i="6"/>
  <c r="U200" i="6"/>
  <c r="B200" i="6"/>
  <c r="U67" i="6"/>
  <c r="B67" i="6"/>
  <c r="U66" i="6"/>
  <c r="B66" i="6"/>
  <c r="U65" i="6"/>
  <c r="B65" i="6"/>
  <c r="U64" i="6"/>
  <c r="B64" i="6"/>
  <c r="U63" i="6"/>
  <c r="B63" i="6"/>
  <c r="U62" i="6"/>
  <c r="B62" i="6"/>
  <c r="U354" i="6"/>
  <c r="B354" i="6"/>
  <c r="U353" i="6"/>
  <c r="B353" i="6"/>
  <c r="U352" i="6"/>
  <c r="B352" i="6"/>
  <c r="U351" i="6"/>
  <c r="B351" i="6"/>
  <c r="U350" i="6"/>
  <c r="B350" i="6"/>
  <c r="U376" i="6"/>
  <c r="B376" i="6"/>
  <c r="U357" i="6"/>
  <c r="B357" i="6"/>
  <c r="U356" i="6"/>
  <c r="B356" i="6"/>
  <c r="U355" i="6"/>
  <c r="B355" i="6"/>
  <c r="U349" i="6"/>
  <c r="B349" i="6"/>
  <c r="U348" i="6"/>
  <c r="B348" i="6"/>
  <c r="U347" i="6"/>
  <c r="B347" i="6"/>
  <c r="U346" i="6"/>
  <c r="B346" i="6"/>
  <c r="U343" i="6"/>
  <c r="B343" i="6"/>
  <c r="U342" i="6"/>
  <c r="B342" i="6"/>
  <c r="U341" i="6"/>
  <c r="B341" i="6"/>
  <c r="U340" i="6"/>
  <c r="B340" i="6"/>
  <c r="U339" i="6"/>
  <c r="B339" i="6"/>
  <c r="U344" i="6"/>
  <c r="B344" i="6"/>
  <c r="U338" i="6"/>
  <c r="B338" i="6"/>
  <c r="B146" i="7"/>
  <c r="B161" i="7"/>
  <c r="Y1533" i="1"/>
  <c r="AO1533" i="1" s="1"/>
  <c r="X1533" i="1"/>
  <c r="W1533" i="1"/>
  <c r="U1533" i="1"/>
  <c r="T1533" i="1"/>
  <c r="S1533" i="1"/>
  <c r="R1533" i="1"/>
  <c r="AT1533" i="1" s="1"/>
  <c r="Q1533" i="1"/>
  <c r="AU1533" i="1" s="1"/>
  <c r="P1533" i="1"/>
  <c r="Y1532" i="1"/>
  <c r="AO1532" i="1" s="1"/>
  <c r="X1532" i="1"/>
  <c r="W1532" i="1"/>
  <c r="U1532" i="1"/>
  <c r="T1532" i="1"/>
  <c r="S1532" i="1"/>
  <c r="R1532" i="1"/>
  <c r="AT1532" i="1" s="1"/>
  <c r="Q1532" i="1"/>
  <c r="AU1532" i="1" s="1"/>
  <c r="P1532" i="1"/>
  <c r="Y1531" i="1"/>
  <c r="AO1531" i="1" s="1"/>
  <c r="X1531" i="1"/>
  <c r="W1531" i="1"/>
  <c r="U1531" i="1"/>
  <c r="T1531" i="1"/>
  <c r="S1531" i="1"/>
  <c r="R1531" i="1"/>
  <c r="AT1531" i="1" s="1"/>
  <c r="Q1531" i="1"/>
  <c r="AU1531" i="1" s="1"/>
  <c r="P1531" i="1"/>
  <c r="Y1530" i="1"/>
  <c r="AO1530" i="1" s="1"/>
  <c r="X1530" i="1"/>
  <c r="W1530" i="1"/>
  <c r="U1530" i="1"/>
  <c r="T1530" i="1"/>
  <c r="S1530" i="1"/>
  <c r="R1530" i="1"/>
  <c r="AT1530" i="1" s="1"/>
  <c r="Q1530" i="1"/>
  <c r="AU1530" i="1" s="1"/>
  <c r="P1530" i="1"/>
  <c r="Y1529" i="1"/>
  <c r="AO1529" i="1" s="1"/>
  <c r="X1529" i="1"/>
  <c r="W1529" i="1"/>
  <c r="U1529" i="1"/>
  <c r="T1529" i="1"/>
  <c r="S1529" i="1"/>
  <c r="R1529" i="1"/>
  <c r="AT1529" i="1" s="1"/>
  <c r="Q1529" i="1"/>
  <c r="AU1529" i="1" s="1"/>
  <c r="P1529" i="1"/>
  <c r="Y1538" i="1"/>
  <c r="X1538" i="1"/>
  <c r="W1538" i="1"/>
  <c r="U1538" i="1"/>
  <c r="T1538" i="1"/>
  <c r="S1538" i="1"/>
  <c r="R1538" i="1"/>
  <c r="Q1538" i="1"/>
  <c r="P1538" i="1"/>
  <c r="K395" i="6" s="1"/>
  <c r="Y1528" i="1"/>
  <c r="AO1528" i="1" s="1"/>
  <c r="X1528" i="1"/>
  <c r="W1528" i="1"/>
  <c r="U1528" i="1"/>
  <c r="T1528" i="1"/>
  <c r="S1528" i="1"/>
  <c r="R1528" i="1"/>
  <c r="AT1528" i="1" s="1"/>
  <c r="Q1528" i="1"/>
  <c r="AU1528" i="1" s="1"/>
  <c r="P1528" i="1"/>
  <c r="Y1527" i="1"/>
  <c r="AO1527" i="1" s="1"/>
  <c r="X1527" i="1"/>
  <c r="W1527" i="1"/>
  <c r="U1527" i="1"/>
  <c r="T1527" i="1"/>
  <c r="S1527" i="1"/>
  <c r="R1527" i="1"/>
  <c r="AT1527" i="1" s="1"/>
  <c r="Q1527" i="1"/>
  <c r="AU1527" i="1" s="1"/>
  <c r="P1527" i="1"/>
  <c r="Y1526" i="1"/>
  <c r="AO1526" i="1" s="1"/>
  <c r="X1526" i="1"/>
  <c r="W1526" i="1"/>
  <c r="U1526" i="1"/>
  <c r="T1526" i="1"/>
  <c r="S1526" i="1"/>
  <c r="R1526" i="1"/>
  <c r="AT1526" i="1" s="1"/>
  <c r="Q1526" i="1"/>
  <c r="AU1526" i="1" s="1"/>
  <c r="P1526" i="1"/>
  <c r="Y1525" i="1"/>
  <c r="AO1525" i="1" s="1"/>
  <c r="X1525" i="1"/>
  <c r="W1525" i="1"/>
  <c r="U1525" i="1"/>
  <c r="T1525" i="1"/>
  <c r="S1525" i="1"/>
  <c r="R1525" i="1"/>
  <c r="AT1525" i="1" s="1"/>
  <c r="Q1525" i="1"/>
  <c r="AU1525" i="1" s="1"/>
  <c r="P1525" i="1"/>
  <c r="Y1524" i="1"/>
  <c r="AO1524" i="1" s="1"/>
  <c r="X1524" i="1"/>
  <c r="W1524" i="1"/>
  <c r="U1524" i="1"/>
  <c r="T1524" i="1"/>
  <c r="S1524" i="1"/>
  <c r="R1524" i="1"/>
  <c r="AT1524" i="1" s="1"/>
  <c r="Q1524" i="1"/>
  <c r="AU1524" i="1" s="1"/>
  <c r="P1524" i="1"/>
  <c r="Y1517" i="1"/>
  <c r="AO1517" i="1" s="1"/>
  <c r="X1517" i="1"/>
  <c r="W1517" i="1"/>
  <c r="U1517" i="1"/>
  <c r="T1517" i="1"/>
  <c r="S1517" i="1"/>
  <c r="R1517" i="1"/>
  <c r="AT1517" i="1" s="1"/>
  <c r="Q1517" i="1"/>
  <c r="AU1517" i="1" s="1"/>
  <c r="P1517" i="1"/>
  <c r="B329" i="6"/>
  <c r="U329" i="6"/>
  <c r="B330" i="6"/>
  <c r="U330" i="6"/>
  <c r="B331" i="6"/>
  <c r="U331" i="6"/>
  <c r="B332" i="6"/>
  <c r="U332" i="6"/>
  <c r="B333" i="6"/>
  <c r="U333" i="6"/>
  <c r="B334" i="6"/>
  <c r="U334" i="6"/>
  <c r="B335" i="6"/>
  <c r="U335" i="6"/>
  <c r="B336" i="6"/>
  <c r="U336" i="6"/>
  <c r="B337" i="6"/>
  <c r="U337" i="6"/>
  <c r="K557" i="6"/>
  <c r="N557" i="6" s="1"/>
  <c r="K559" i="6"/>
  <c r="N559" i="6" s="1"/>
  <c r="U303" i="6"/>
  <c r="B303" i="6"/>
  <c r="U328" i="6"/>
  <c r="B328" i="6"/>
  <c r="U327" i="6"/>
  <c r="B327" i="6"/>
  <c r="U326" i="6"/>
  <c r="B326" i="6"/>
  <c r="U325" i="6"/>
  <c r="B325" i="6"/>
  <c r="U324" i="6"/>
  <c r="B324" i="6"/>
  <c r="U323" i="6"/>
  <c r="B323" i="6"/>
  <c r="U322" i="6"/>
  <c r="B322" i="6"/>
  <c r="U321" i="6"/>
  <c r="B321" i="6"/>
  <c r="U320" i="6"/>
  <c r="B320" i="6"/>
  <c r="U319" i="6"/>
  <c r="B319" i="6"/>
  <c r="Y1507" i="1"/>
  <c r="AO1507" i="1" s="1"/>
  <c r="X1507" i="1"/>
  <c r="W1507" i="1"/>
  <c r="U1507" i="1"/>
  <c r="T1507" i="1"/>
  <c r="S1507" i="1"/>
  <c r="R1507" i="1"/>
  <c r="Q1507" i="1"/>
  <c r="L68" i="36" s="1"/>
  <c r="P1507" i="1"/>
  <c r="M159" i="36" s="1"/>
  <c r="Y1506" i="1"/>
  <c r="AO1506" i="1" s="1"/>
  <c r="X1506" i="1"/>
  <c r="W1506" i="1"/>
  <c r="U1506" i="1"/>
  <c r="T1506" i="1"/>
  <c r="S1506" i="1"/>
  <c r="R1506" i="1"/>
  <c r="AT1506" i="1" s="1"/>
  <c r="Q1506" i="1"/>
  <c r="AU1506" i="1" s="1"/>
  <c r="P1506" i="1"/>
  <c r="Y1505" i="1"/>
  <c r="AO1505" i="1" s="1"/>
  <c r="X1505" i="1"/>
  <c r="W1505" i="1"/>
  <c r="U1505" i="1"/>
  <c r="T1505" i="1"/>
  <c r="S1505" i="1"/>
  <c r="R1505" i="1"/>
  <c r="AT1505" i="1" s="1"/>
  <c r="Q1505" i="1"/>
  <c r="AU1505" i="1" s="1"/>
  <c r="P1505" i="1"/>
  <c r="Y1504" i="1"/>
  <c r="AO1504" i="1" s="1"/>
  <c r="X1504" i="1"/>
  <c r="W1504" i="1"/>
  <c r="U1504" i="1"/>
  <c r="T1504" i="1"/>
  <c r="S1504" i="1"/>
  <c r="R1504" i="1"/>
  <c r="AT1504" i="1" s="1"/>
  <c r="Q1504" i="1"/>
  <c r="AU1504" i="1" s="1"/>
  <c r="P1504" i="1"/>
  <c r="Y1503" i="1"/>
  <c r="R143" i="36" s="1"/>
  <c r="X1503" i="1"/>
  <c r="W1503" i="1"/>
  <c r="U1503" i="1"/>
  <c r="T1503" i="1"/>
  <c r="S1503" i="1"/>
  <c r="R1503" i="1"/>
  <c r="Q1503" i="1"/>
  <c r="L142" i="36" s="1"/>
  <c r="P1503" i="1"/>
  <c r="Y1511" i="1"/>
  <c r="AO1511" i="1" s="1"/>
  <c r="X1511" i="1"/>
  <c r="W1511" i="1"/>
  <c r="U1511" i="1"/>
  <c r="T1511" i="1"/>
  <c r="S1511" i="1"/>
  <c r="R1511" i="1"/>
  <c r="AT1511" i="1" s="1"/>
  <c r="Q1511" i="1"/>
  <c r="AU1511" i="1" s="1"/>
  <c r="P1511" i="1"/>
  <c r="Y1510" i="1"/>
  <c r="AO1510" i="1" s="1"/>
  <c r="X1510" i="1"/>
  <c r="W1510" i="1"/>
  <c r="U1510" i="1"/>
  <c r="T1510" i="1"/>
  <c r="S1510" i="1"/>
  <c r="R1510" i="1"/>
  <c r="AT1510" i="1" s="1"/>
  <c r="Q1510" i="1"/>
  <c r="AU1510" i="1" s="1"/>
  <c r="P1510" i="1"/>
  <c r="Y1509" i="1"/>
  <c r="AO1509" i="1" s="1"/>
  <c r="X1509" i="1"/>
  <c r="W1509" i="1"/>
  <c r="U1509" i="1"/>
  <c r="T1509" i="1"/>
  <c r="S1509" i="1"/>
  <c r="R1509" i="1"/>
  <c r="AT1509" i="1" s="1"/>
  <c r="Q1509" i="1"/>
  <c r="AU1509" i="1" s="1"/>
  <c r="P1509" i="1"/>
  <c r="Y1508" i="1"/>
  <c r="AO1508" i="1" s="1"/>
  <c r="X1508" i="1"/>
  <c r="W1508" i="1"/>
  <c r="U1508" i="1"/>
  <c r="T1508" i="1"/>
  <c r="S1508" i="1"/>
  <c r="R1508" i="1"/>
  <c r="AT1508" i="1" s="1"/>
  <c r="Q1508" i="1"/>
  <c r="AU1508" i="1" s="1"/>
  <c r="P1508" i="1"/>
  <c r="U318" i="6"/>
  <c r="B318" i="6"/>
  <c r="U317" i="6"/>
  <c r="B317" i="6"/>
  <c r="U316" i="6"/>
  <c r="B316" i="6"/>
  <c r="U315" i="6"/>
  <c r="B315" i="6"/>
  <c r="U314" i="6"/>
  <c r="B314" i="6"/>
  <c r="U313" i="6"/>
  <c r="B313" i="6"/>
  <c r="U312" i="6"/>
  <c r="B312" i="6"/>
  <c r="U311" i="6"/>
  <c r="B311" i="6"/>
  <c r="U310" i="6"/>
  <c r="B310" i="6"/>
  <c r="B53" i="6"/>
  <c r="B52" i="6"/>
  <c r="B51" i="6"/>
  <c r="B50" i="6"/>
  <c r="B49" i="6"/>
  <c r="B54" i="6"/>
  <c r="B61" i="6"/>
  <c r="E60" i="6"/>
  <c r="D60" i="6"/>
  <c r="B60" i="6"/>
  <c r="U305" i="6"/>
  <c r="B305" i="6"/>
  <c r="U304" i="6"/>
  <c r="B304" i="6"/>
  <c r="U302" i="6"/>
  <c r="B302" i="6"/>
  <c r="U301" i="6"/>
  <c r="B301" i="6"/>
  <c r="U300" i="6"/>
  <c r="B300" i="6"/>
  <c r="U308" i="6"/>
  <c r="B308" i="6"/>
  <c r="U307" i="6"/>
  <c r="B307" i="6"/>
  <c r="U306" i="6"/>
  <c r="B306" i="6"/>
  <c r="U48" i="6"/>
  <c r="B48" i="6"/>
  <c r="U47" i="6"/>
  <c r="B47" i="6"/>
  <c r="U46" i="6"/>
  <c r="B46" i="6"/>
  <c r="U45" i="6"/>
  <c r="B45" i="6"/>
  <c r="U44" i="6"/>
  <c r="B44" i="6"/>
  <c r="U43" i="6"/>
  <c r="B43" i="6"/>
  <c r="U42" i="6"/>
  <c r="B42" i="6"/>
  <c r="U274" i="6"/>
  <c r="B274" i="6"/>
  <c r="U290" i="6"/>
  <c r="B290" i="6"/>
  <c r="U289" i="6"/>
  <c r="B289" i="6"/>
  <c r="U288" i="6"/>
  <c r="B288" i="6"/>
  <c r="U287" i="6"/>
  <c r="B287" i="6"/>
  <c r="U286" i="6"/>
  <c r="B286" i="6"/>
  <c r="U285" i="6"/>
  <c r="B285" i="6"/>
  <c r="U296" i="6"/>
  <c r="B296" i="6"/>
  <c r="U295" i="6"/>
  <c r="B295" i="6"/>
  <c r="U294" i="6"/>
  <c r="B294" i="6"/>
  <c r="U293" i="6"/>
  <c r="B293" i="6"/>
  <c r="U292" i="6"/>
  <c r="B292" i="6"/>
  <c r="U291" i="6"/>
  <c r="B291" i="6"/>
  <c r="Y1491" i="1"/>
  <c r="AO1491" i="1" s="1"/>
  <c r="X1491" i="1"/>
  <c r="W1491" i="1"/>
  <c r="U1491" i="1"/>
  <c r="T1491" i="1"/>
  <c r="S1491" i="1"/>
  <c r="R1491" i="1"/>
  <c r="AT1491" i="1" s="1"/>
  <c r="Q1491" i="1"/>
  <c r="AU1491" i="1" s="1"/>
  <c r="P1491" i="1"/>
  <c r="Y1490" i="1"/>
  <c r="AO1490" i="1" s="1"/>
  <c r="X1490" i="1"/>
  <c r="W1490" i="1"/>
  <c r="U1490" i="1"/>
  <c r="T1490" i="1"/>
  <c r="S1490" i="1"/>
  <c r="R1490" i="1"/>
  <c r="AT1490" i="1" s="1"/>
  <c r="Q1490" i="1"/>
  <c r="AU1490" i="1" s="1"/>
  <c r="P1490" i="1"/>
  <c r="Y1489" i="1"/>
  <c r="P504" i="6" s="1"/>
  <c r="X1489" i="1"/>
  <c r="W1489" i="1"/>
  <c r="U1489" i="1"/>
  <c r="T1489" i="1"/>
  <c r="S1489" i="1"/>
  <c r="R1489" i="1"/>
  <c r="Q1489" i="1"/>
  <c r="P1489" i="1"/>
  <c r="Y1488" i="1"/>
  <c r="P461" i="6" s="1"/>
  <c r="X1488" i="1"/>
  <c r="W1488" i="1"/>
  <c r="U1488" i="1"/>
  <c r="T1488" i="1"/>
  <c r="S1488" i="1"/>
  <c r="R1488" i="1"/>
  <c r="I461" i="6" s="1"/>
  <c r="Q1488" i="1"/>
  <c r="P1488" i="1"/>
  <c r="Y1487" i="1"/>
  <c r="AO1487" i="1" s="1"/>
  <c r="X1487" i="1"/>
  <c r="W1487" i="1"/>
  <c r="U1487" i="1"/>
  <c r="T1487" i="1"/>
  <c r="S1487" i="1"/>
  <c r="R1487" i="1"/>
  <c r="AT1487" i="1" s="1"/>
  <c r="Q1487" i="1"/>
  <c r="AU1487" i="1" s="1"/>
  <c r="P1487" i="1"/>
  <c r="Y1486" i="1"/>
  <c r="R140" i="36" s="1"/>
  <c r="X1486" i="1"/>
  <c r="W1486" i="1"/>
  <c r="U1486" i="1"/>
  <c r="T1486" i="1"/>
  <c r="S1486" i="1"/>
  <c r="R1486" i="1"/>
  <c r="Q1486" i="1"/>
  <c r="P1486" i="1"/>
  <c r="K497" i="6" s="1"/>
  <c r="Y1485" i="1"/>
  <c r="P456" i="6" s="1"/>
  <c r="X1485" i="1"/>
  <c r="W1485" i="1"/>
  <c r="U1485" i="1"/>
  <c r="T1485" i="1"/>
  <c r="S1485" i="1"/>
  <c r="R1485" i="1"/>
  <c r="AT1485" i="1" s="1"/>
  <c r="Q1485" i="1"/>
  <c r="J454" i="6" s="1"/>
  <c r="P1485" i="1"/>
  <c r="Y1484" i="1"/>
  <c r="X1484" i="1"/>
  <c r="W1484" i="1"/>
  <c r="U1484" i="1"/>
  <c r="T1484" i="1"/>
  <c r="S1484" i="1"/>
  <c r="R1484" i="1"/>
  <c r="Q1484" i="1"/>
  <c r="J472" i="6" s="1"/>
  <c r="P1484" i="1"/>
  <c r="K471" i="6" s="1"/>
  <c r="Y1483" i="1"/>
  <c r="X1483" i="1"/>
  <c r="W1483" i="1"/>
  <c r="U1483" i="1"/>
  <c r="T1483" i="1"/>
  <c r="S1483" i="1"/>
  <c r="R1483" i="1"/>
  <c r="Q1483" i="1"/>
  <c r="L123" i="36" s="1"/>
  <c r="P1483" i="1"/>
  <c r="M122" i="36" s="1"/>
  <c r="Y1482" i="1"/>
  <c r="X1482" i="1"/>
  <c r="W1482" i="1"/>
  <c r="U1482" i="1"/>
  <c r="T1482" i="1"/>
  <c r="S1482" i="1"/>
  <c r="R1482" i="1"/>
  <c r="K47" i="36" s="1"/>
  <c r="Q1482" i="1"/>
  <c r="L106" i="36" s="1"/>
  <c r="P1482" i="1"/>
  <c r="Y1502" i="1"/>
  <c r="X1502" i="1"/>
  <c r="W1502" i="1"/>
  <c r="U1502" i="1"/>
  <c r="T1502" i="1"/>
  <c r="S1502" i="1"/>
  <c r="R1502" i="1"/>
  <c r="Q1502" i="1"/>
  <c r="AU1502" i="1" s="1"/>
  <c r="P1502" i="1"/>
  <c r="M97" i="36" s="1"/>
  <c r="Y1501" i="1"/>
  <c r="AO1501" i="1" s="1"/>
  <c r="X1501" i="1"/>
  <c r="W1501" i="1"/>
  <c r="U1501" i="1"/>
  <c r="T1501" i="1"/>
  <c r="S1501" i="1"/>
  <c r="R1501" i="1"/>
  <c r="AT1501" i="1" s="1"/>
  <c r="Q1501" i="1"/>
  <c r="AU1501" i="1" s="1"/>
  <c r="P1501" i="1"/>
  <c r="Y1500" i="1"/>
  <c r="AO1500" i="1" s="1"/>
  <c r="X1500" i="1"/>
  <c r="W1500" i="1"/>
  <c r="U1500" i="1"/>
  <c r="T1500" i="1"/>
  <c r="S1500" i="1"/>
  <c r="R1500" i="1"/>
  <c r="AT1500" i="1" s="1"/>
  <c r="Q1500" i="1"/>
  <c r="AU1500" i="1" s="1"/>
  <c r="P1500" i="1"/>
  <c r="Y1499" i="1"/>
  <c r="AO1499" i="1" s="1"/>
  <c r="X1499" i="1"/>
  <c r="W1499" i="1"/>
  <c r="U1499" i="1"/>
  <c r="T1499" i="1"/>
  <c r="S1499" i="1"/>
  <c r="R1499" i="1"/>
  <c r="AT1499" i="1" s="1"/>
  <c r="Q1499" i="1"/>
  <c r="AU1499" i="1" s="1"/>
  <c r="P1499" i="1"/>
  <c r="Y1498" i="1"/>
  <c r="AO1498" i="1" s="1"/>
  <c r="X1498" i="1"/>
  <c r="W1498" i="1"/>
  <c r="U1498" i="1"/>
  <c r="T1498" i="1"/>
  <c r="S1498" i="1"/>
  <c r="R1498" i="1"/>
  <c r="AT1498" i="1" s="1"/>
  <c r="Q1498" i="1"/>
  <c r="AU1498" i="1" s="1"/>
  <c r="P1498" i="1"/>
  <c r="Y1497" i="1"/>
  <c r="AO1497" i="1" s="1"/>
  <c r="X1497" i="1"/>
  <c r="W1497" i="1"/>
  <c r="U1497" i="1"/>
  <c r="T1497" i="1"/>
  <c r="S1497" i="1"/>
  <c r="R1497" i="1"/>
  <c r="AT1497" i="1" s="1"/>
  <c r="Q1497" i="1"/>
  <c r="AU1497" i="1" s="1"/>
  <c r="P1497" i="1"/>
  <c r="Y1496" i="1"/>
  <c r="AO1496" i="1" s="1"/>
  <c r="X1496" i="1"/>
  <c r="W1496" i="1"/>
  <c r="U1496" i="1"/>
  <c r="T1496" i="1"/>
  <c r="S1496" i="1"/>
  <c r="R1496" i="1"/>
  <c r="AT1496" i="1" s="1"/>
  <c r="Q1496" i="1"/>
  <c r="AU1496" i="1" s="1"/>
  <c r="P1496" i="1"/>
  <c r="Y1495" i="1"/>
  <c r="AO1495" i="1" s="1"/>
  <c r="X1495" i="1"/>
  <c r="W1495" i="1"/>
  <c r="U1495" i="1"/>
  <c r="T1495" i="1"/>
  <c r="S1495" i="1"/>
  <c r="R1495" i="1"/>
  <c r="AT1495" i="1" s="1"/>
  <c r="Q1495" i="1"/>
  <c r="AU1495" i="1" s="1"/>
  <c r="P1495" i="1"/>
  <c r="Y1494" i="1"/>
  <c r="AO1494" i="1" s="1"/>
  <c r="X1494" i="1"/>
  <c r="W1494" i="1"/>
  <c r="U1494" i="1"/>
  <c r="T1494" i="1"/>
  <c r="S1494" i="1"/>
  <c r="R1494" i="1"/>
  <c r="AT1494" i="1" s="1"/>
  <c r="Q1494" i="1"/>
  <c r="AU1494" i="1" s="1"/>
  <c r="P1494" i="1"/>
  <c r="Y1493" i="1"/>
  <c r="X1493" i="1"/>
  <c r="W1493" i="1"/>
  <c r="U1493" i="1"/>
  <c r="T1493" i="1"/>
  <c r="S1493" i="1"/>
  <c r="R1493" i="1"/>
  <c r="I428" i="6" s="1"/>
  <c r="Q1493" i="1"/>
  <c r="P1493" i="1"/>
  <c r="M149" i="36" s="1"/>
  <c r="Y1522" i="1"/>
  <c r="R176" i="36" s="1"/>
  <c r="X1522" i="1"/>
  <c r="W1522" i="1"/>
  <c r="U1522" i="1"/>
  <c r="T1522" i="1"/>
  <c r="S1522" i="1"/>
  <c r="R1522" i="1"/>
  <c r="K174" i="36" s="1"/>
  <c r="Q1522" i="1"/>
  <c r="P1522" i="1"/>
  <c r="K486" i="6" s="1"/>
  <c r="Y1521" i="1"/>
  <c r="AO1521" i="1" s="1"/>
  <c r="X1521" i="1"/>
  <c r="W1521" i="1"/>
  <c r="U1521" i="1"/>
  <c r="T1521" i="1"/>
  <c r="S1521" i="1"/>
  <c r="R1521" i="1"/>
  <c r="AT1521" i="1" s="1"/>
  <c r="Q1521" i="1"/>
  <c r="AU1521" i="1" s="1"/>
  <c r="P1521" i="1"/>
  <c r="Y1520" i="1"/>
  <c r="P511" i="6" s="1"/>
  <c r="X1520" i="1"/>
  <c r="W1520" i="1"/>
  <c r="U1520" i="1"/>
  <c r="T1520" i="1"/>
  <c r="S1520" i="1"/>
  <c r="R1520" i="1"/>
  <c r="Q1520" i="1"/>
  <c r="J511" i="6" s="1"/>
  <c r="P1520" i="1"/>
  <c r="K509" i="6" s="1"/>
  <c r="Y1519" i="1"/>
  <c r="X1519" i="1"/>
  <c r="W1519" i="1"/>
  <c r="U1519" i="1"/>
  <c r="T1519" i="1"/>
  <c r="S1519" i="1"/>
  <c r="R1519" i="1"/>
  <c r="AT1519" i="1" s="1"/>
  <c r="Q1519" i="1"/>
  <c r="J523" i="6" s="1"/>
  <c r="P1519" i="1"/>
  <c r="K524" i="6" s="1"/>
  <c r="Y1518" i="1"/>
  <c r="R170" i="36" s="1"/>
  <c r="X1518" i="1"/>
  <c r="W1518" i="1"/>
  <c r="U1518" i="1"/>
  <c r="T1518" i="1"/>
  <c r="S1518" i="1"/>
  <c r="R1518" i="1"/>
  <c r="K169" i="36" s="1"/>
  <c r="Q1518" i="1"/>
  <c r="P1518" i="1"/>
  <c r="Y1492" i="1"/>
  <c r="AO1492" i="1" s="1"/>
  <c r="X1492" i="1"/>
  <c r="W1492" i="1"/>
  <c r="U1492" i="1"/>
  <c r="T1492" i="1"/>
  <c r="S1492" i="1"/>
  <c r="R1492" i="1"/>
  <c r="AT1492" i="1" s="1"/>
  <c r="Q1492" i="1"/>
  <c r="AU1492" i="1" s="1"/>
  <c r="P1492" i="1"/>
  <c r="Y1461" i="1"/>
  <c r="AO1461" i="1" s="1"/>
  <c r="X1461" i="1"/>
  <c r="W1461" i="1"/>
  <c r="U1461" i="1"/>
  <c r="T1461" i="1"/>
  <c r="S1461" i="1"/>
  <c r="R1461" i="1"/>
  <c r="AT1461" i="1" s="1"/>
  <c r="Q1461" i="1"/>
  <c r="AU1461" i="1" s="1"/>
  <c r="P1461" i="1"/>
  <c r="Y1460" i="1"/>
  <c r="X1460" i="1"/>
  <c r="W1460" i="1"/>
  <c r="U1460" i="1"/>
  <c r="T1460" i="1"/>
  <c r="S1460" i="1"/>
  <c r="R1460" i="1"/>
  <c r="AT1460" i="1" s="1"/>
  <c r="Q1460" i="1"/>
  <c r="P1460" i="1"/>
  <c r="K368" i="6" s="1"/>
  <c r="Y1459" i="1"/>
  <c r="AO1459" i="1" s="1"/>
  <c r="X1459" i="1"/>
  <c r="W1459" i="1"/>
  <c r="U1459" i="1"/>
  <c r="T1459" i="1"/>
  <c r="S1459" i="1"/>
  <c r="R1459" i="1"/>
  <c r="AT1459" i="1" s="1"/>
  <c r="Q1459" i="1"/>
  <c r="AU1459" i="1" s="1"/>
  <c r="P1459" i="1"/>
  <c r="Y1458" i="1"/>
  <c r="X1458" i="1"/>
  <c r="W1458" i="1"/>
  <c r="U1458" i="1"/>
  <c r="T1458" i="1"/>
  <c r="S1458" i="1"/>
  <c r="R1458" i="1"/>
  <c r="I274" i="6" s="1"/>
  <c r="Q1458" i="1"/>
  <c r="J273" i="6" s="1"/>
  <c r="P1458" i="1"/>
  <c r="Y1457" i="1"/>
  <c r="X1457" i="1"/>
  <c r="W1457" i="1"/>
  <c r="U1457" i="1"/>
  <c r="T1457" i="1"/>
  <c r="S1457" i="1"/>
  <c r="R1457" i="1"/>
  <c r="AT1457" i="1" s="1"/>
  <c r="Q1457" i="1"/>
  <c r="P1457" i="1"/>
  <c r="K270" i="6" s="1"/>
  <c r="U279" i="6"/>
  <c r="B279" i="6"/>
  <c r="U278" i="6"/>
  <c r="B278" i="6"/>
  <c r="U277" i="6"/>
  <c r="B277" i="6"/>
  <c r="U276" i="6"/>
  <c r="B276" i="6"/>
  <c r="U275" i="6"/>
  <c r="B275" i="6"/>
  <c r="U284" i="6"/>
  <c r="B284" i="6"/>
  <c r="U283" i="6"/>
  <c r="B283" i="6"/>
  <c r="U282" i="6"/>
  <c r="B282" i="6"/>
  <c r="U281" i="6"/>
  <c r="B281" i="6"/>
  <c r="U280" i="6"/>
  <c r="B280" i="6"/>
  <c r="U299" i="6"/>
  <c r="B299" i="6"/>
  <c r="U298" i="6"/>
  <c r="B298" i="6"/>
  <c r="U297" i="6"/>
  <c r="B297" i="6"/>
  <c r="U345" i="6"/>
  <c r="B345" i="6"/>
  <c r="U309" i="6"/>
  <c r="B309" i="6"/>
  <c r="U273" i="6"/>
  <c r="B273" i="6"/>
  <c r="U272" i="6"/>
  <c r="B272" i="6"/>
  <c r="U271" i="6"/>
  <c r="B271" i="6"/>
  <c r="U268" i="6"/>
  <c r="B268" i="6"/>
  <c r="U267" i="6"/>
  <c r="B267" i="6"/>
  <c r="U266" i="6"/>
  <c r="B266" i="6"/>
  <c r="U265" i="6"/>
  <c r="B265" i="6"/>
  <c r="U270" i="6"/>
  <c r="B270" i="6"/>
  <c r="U269" i="6"/>
  <c r="B269" i="6"/>
  <c r="U264" i="6"/>
  <c r="B264" i="6"/>
  <c r="U263" i="6"/>
  <c r="B263" i="6"/>
  <c r="U262" i="6"/>
  <c r="B262" i="6"/>
  <c r="U261" i="6"/>
  <c r="B261" i="6"/>
  <c r="U260" i="6"/>
  <c r="B260" i="6"/>
  <c r="U259" i="6"/>
  <c r="B259" i="6"/>
  <c r="U258" i="6"/>
  <c r="B258" i="6"/>
  <c r="U257" i="6"/>
  <c r="B257" i="6"/>
  <c r="U256" i="6"/>
  <c r="B256" i="6"/>
  <c r="U37" i="6"/>
  <c r="B37" i="6"/>
  <c r="U36" i="6"/>
  <c r="B36" i="6"/>
  <c r="U35" i="6"/>
  <c r="B35" i="6"/>
  <c r="U34" i="6"/>
  <c r="B34" i="6"/>
  <c r="B38" i="6"/>
  <c r="C137" i="7"/>
  <c r="X1600" i="1"/>
  <c r="W1600" i="1"/>
  <c r="W1601" i="1"/>
  <c r="U251" i="6"/>
  <c r="B251" i="6"/>
  <c r="U250" i="6"/>
  <c r="B250" i="6"/>
  <c r="U249" i="6"/>
  <c r="B249" i="6"/>
  <c r="U248" i="6"/>
  <c r="B248" i="6"/>
  <c r="M155" i="6"/>
  <c r="M154" i="6"/>
  <c r="M153" i="6"/>
  <c r="M152" i="6"/>
  <c r="U255" i="6"/>
  <c r="B255" i="6"/>
  <c r="U254" i="6"/>
  <c r="B254" i="6"/>
  <c r="U253" i="6"/>
  <c r="B253" i="6"/>
  <c r="U252" i="6"/>
  <c r="B252" i="6"/>
  <c r="U247" i="6"/>
  <c r="B247" i="6"/>
  <c r="U246" i="6"/>
  <c r="B246" i="6"/>
  <c r="U245" i="6"/>
  <c r="B245" i="6"/>
  <c r="U243" i="6"/>
  <c r="B243" i="6"/>
  <c r="U242" i="6"/>
  <c r="B242" i="6"/>
  <c r="U241" i="6"/>
  <c r="B241" i="6"/>
  <c r="U193" i="6"/>
  <c r="B193" i="6"/>
  <c r="I137" i="7"/>
  <c r="I136" i="7"/>
  <c r="I135" i="7"/>
  <c r="I134" i="7"/>
  <c r="I133" i="7"/>
  <c r="I132" i="7"/>
  <c r="I131" i="7"/>
  <c r="I130" i="7"/>
  <c r="I129" i="7"/>
  <c r="I128" i="7"/>
  <c r="I127" i="7"/>
  <c r="I126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I307" i="6"/>
  <c r="J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U236" i="6"/>
  <c r="B236" i="6"/>
  <c r="U235" i="6"/>
  <c r="B235" i="6"/>
  <c r="U234" i="6"/>
  <c r="B234" i="6"/>
  <c r="U233" i="6"/>
  <c r="B233" i="6"/>
  <c r="U232" i="6"/>
  <c r="B232" i="6"/>
  <c r="U231" i="6"/>
  <c r="B231" i="6"/>
  <c r="Y1481" i="1"/>
  <c r="AO1481" i="1" s="1"/>
  <c r="X1481" i="1"/>
  <c r="W1481" i="1"/>
  <c r="U1481" i="1"/>
  <c r="T1481" i="1"/>
  <c r="S1481" i="1"/>
  <c r="R1481" i="1"/>
  <c r="AT1481" i="1" s="1"/>
  <c r="Q1481" i="1"/>
  <c r="AU1481" i="1" s="1"/>
  <c r="P1481" i="1"/>
  <c r="Y1480" i="1"/>
  <c r="R103" i="36" s="1"/>
  <c r="X1480" i="1"/>
  <c r="W1480" i="1"/>
  <c r="U1480" i="1"/>
  <c r="T1480" i="1"/>
  <c r="S1480" i="1"/>
  <c r="R1480" i="1"/>
  <c r="Q1480" i="1"/>
  <c r="P1480" i="1"/>
  <c r="Y1479" i="1"/>
  <c r="AO1479" i="1" s="1"/>
  <c r="X1479" i="1"/>
  <c r="W1479" i="1"/>
  <c r="U1479" i="1"/>
  <c r="T1479" i="1"/>
  <c r="S1479" i="1"/>
  <c r="R1479" i="1"/>
  <c r="Q1479" i="1"/>
  <c r="P1479" i="1"/>
  <c r="K431" i="6" s="1"/>
  <c r="Y1478" i="1"/>
  <c r="AO1478" i="1" s="1"/>
  <c r="X1478" i="1"/>
  <c r="W1478" i="1"/>
  <c r="U1478" i="1"/>
  <c r="T1478" i="1"/>
  <c r="S1478" i="1"/>
  <c r="R1478" i="1"/>
  <c r="AT1478" i="1" s="1"/>
  <c r="Q1478" i="1"/>
  <c r="AU1478" i="1" s="1"/>
  <c r="P1478" i="1"/>
  <c r="Y1477" i="1"/>
  <c r="AO1477" i="1" s="1"/>
  <c r="X1477" i="1"/>
  <c r="W1477" i="1"/>
  <c r="U1477" i="1"/>
  <c r="T1477" i="1"/>
  <c r="S1477" i="1"/>
  <c r="R1477" i="1"/>
  <c r="AT1477" i="1" s="1"/>
  <c r="Q1477" i="1"/>
  <c r="AU1477" i="1" s="1"/>
  <c r="P1477" i="1"/>
  <c r="Y1476" i="1"/>
  <c r="AO1476" i="1" s="1"/>
  <c r="X1476" i="1"/>
  <c r="W1476" i="1"/>
  <c r="U1476" i="1"/>
  <c r="T1476" i="1"/>
  <c r="S1476" i="1"/>
  <c r="R1476" i="1"/>
  <c r="AT1476" i="1" s="1"/>
  <c r="Q1476" i="1"/>
  <c r="AU1476" i="1" s="1"/>
  <c r="P1476" i="1"/>
  <c r="Y1475" i="1"/>
  <c r="X1475" i="1"/>
  <c r="W1475" i="1"/>
  <c r="U1475" i="1"/>
  <c r="T1475" i="1"/>
  <c r="S1475" i="1"/>
  <c r="R1475" i="1"/>
  <c r="I341" i="6" s="1"/>
  <c r="Q1475" i="1"/>
  <c r="AU1475" i="1" s="1"/>
  <c r="P1475" i="1"/>
  <c r="K338" i="6" s="1"/>
  <c r="Y1474" i="1"/>
  <c r="AO1474" i="1" s="1"/>
  <c r="X1474" i="1"/>
  <c r="W1474" i="1"/>
  <c r="U1474" i="1"/>
  <c r="T1474" i="1"/>
  <c r="S1474" i="1"/>
  <c r="R1474" i="1"/>
  <c r="AT1474" i="1" s="1"/>
  <c r="Q1474" i="1"/>
  <c r="P1474" i="1"/>
  <c r="K413" i="6" s="1"/>
  <c r="F131" i="7"/>
  <c r="D137" i="7"/>
  <c r="C131" i="7"/>
  <c r="C130" i="7"/>
  <c r="D131" i="7"/>
  <c r="D130" i="7"/>
  <c r="D136" i="7"/>
  <c r="D135" i="7"/>
  <c r="D134" i="7"/>
  <c r="D133" i="7"/>
  <c r="D132" i="7"/>
  <c r="D129" i="7"/>
  <c r="D128" i="7"/>
  <c r="D127" i="7"/>
  <c r="D126" i="7"/>
  <c r="D125" i="7"/>
  <c r="D124" i="7"/>
  <c r="D123" i="7"/>
  <c r="C136" i="7"/>
  <c r="C135" i="7"/>
  <c r="C134" i="7"/>
  <c r="C133" i="7"/>
  <c r="C132" i="7"/>
  <c r="C129" i="7"/>
  <c r="C128" i="7"/>
  <c r="C127" i="7"/>
  <c r="C126" i="7"/>
  <c r="C125" i="7"/>
  <c r="C124" i="7"/>
  <c r="C123" i="7"/>
  <c r="F123" i="7"/>
  <c r="F137" i="7"/>
  <c r="F136" i="7"/>
  <c r="F135" i="7"/>
  <c r="F134" i="7"/>
  <c r="F133" i="7"/>
  <c r="F132" i="7"/>
  <c r="F130" i="7"/>
  <c r="F129" i="7"/>
  <c r="F128" i="7"/>
  <c r="F127" i="7"/>
  <c r="F126" i="7"/>
  <c r="F125" i="7"/>
  <c r="F124" i="7"/>
  <c r="F36" i="7"/>
  <c r="K123" i="7"/>
  <c r="K138" i="7"/>
  <c r="U217" i="6"/>
  <c r="B217" i="6"/>
  <c r="U216" i="6"/>
  <c r="B216" i="6"/>
  <c r="Q1245" i="1"/>
  <c r="AU1245" i="1" s="1"/>
  <c r="U230" i="6"/>
  <c r="B230" i="6"/>
  <c r="U229" i="6"/>
  <c r="B229" i="6"/>
  <c r="U228" i="6"/>
  <c r="B228" i="6"/>
  <c r="B33" i="6"/>
  <c r="B32" i="6"/>
  <c r="B31" i="6"/>
  <c r="B41" i="6"/>
  <c r="B40" i="6"/>
  <c r="B39" i="6"/>
  <c r="U171" i="6"/>
  <c r="B171" i="6"/>
  <c r="U239" i="6"/>
  <c r="B239" i="6"/>
  <c r="U238" i="6"/>
  <c r="B238" i="6"/>
  <c r="U237" i="6"/>
  <c r="B237" i="6"/>
  <c r="U227" i="6"/>
  <c r="B227" i="6"/>
  <c r="U226" i="6"/>
  <c r="B226" i="6"/>
  <c r="U225" i="6"/>
  <c r="B225" i="6"/>
  <c r="U224" i="6"/>
  <c r="B224" i="6"/>
  <c r="U223" i="6"/>
  <c r="B223" i="6"/>
  <c r="U244" i="6"/>
  <c r="B244" i="6"/>
  <c r="U240" i="6"/>
  <c r="B240" i="6"/>
  <c r="U222" i="6"/>
  <c r="B222" i="6"/>
  <c r="U221" i="6"/>
  <c r="B221" i="6"/>
  <c r="U220" i="6"/>
  <c r="B220" i="6"/>
  <c r="B183" i="6"/>
  <c r="B184" i="6"/>
  <c r="B185" i="6"/>
  <c r="U1274" i="1"/>
  <c r="T1274" i="1"/>
  <c r="S1274" i="1"/>
  <c r="R1281" i="1"/>
  <c r="I245" i="6" s="1"/>
  <c r="R1274" i="1"/>
  <c r="Q1274" i="1"/>
  <c r="AU1274" i="1" s="1"/>
  <c r="P1274" i="1"/>
  <c r="Y1467" i="1"/>
  <c r="AO1467" i="1" s="1"/>
  <c r="X1467" i="1"/>
  <c r="W1467" i="1"/>
  <c r="U1467" i="1"/>
  <c r="T1467" i="1"/>
  <c r="S1467" i="1"/>
  <c r="R1467" i="1"/>
  <c r="AT1467" i="1" s="1"/>
  <c r="Q1467" i="1"/>
  <c r="AU1467" i="1" s="1"/>
  <c r="P1467" i="1"/>
  <c r="Y1466" i="1"/>
  <c r="AO1466" i="1" s="1"/>
  <c r="X1466" i="1"/>
  <c r="W1466" i="1"/>
  <c r="U1466" i="1"/>
  <c r="T1466" i="1"/>
  <c r="S1466" i="1"/>
  <c r="R1466" i="1"/>
  <c r="AT1466" i="1" s="1"/>
  <c r="Q1466" i="1"/>
  <c r="AU1466" i="1" s="1"/>
  <c r="P1466" i="1"/>
  <c r="Y1465" i="1"/>
  <c r="R131" i="36" s="1"/>
  <c r="X1465" i="1"/>
  <c r="W1465" i="1"/>
  <c r="U1465" i="1"/>
  <c r="T1465" i="1"/>
  <c r="S1465" i="1"/>
  <c r="R1465" i="1"/>
  <c r="K58" i="36" s="1"/>
  <c r="Q1465" i="1"/>
  <c r="AU1465" i="1" s="1"/>
  <c r="P1465" i="1"/>
  <c r="M132" i="36" s="1"/>
  <c r="Y1464" i="1"/>
  <c r="R137" i="36" s="1"/>
  <c r="X1464" i="1"/>
  <c r="W1464" i="1"/>
  <c r="U1464" i="1"/>
  <c r="T1464" i="1"/>
  <c r="S1464" i="1"/>
  <c r="R1464" i="1"/>
  <c r="AT1464" i="1" s="1"/>
  <c r="Q1464" i="1"/>
  <c r="L137" i="36" s="1"/>
  <c r="P1464" i="1"/>
  <c r="M137" i="36" s="1"/>
  <c r="Y1463" i="1"/>
  <c r="X1463" i="1"/>
  <c r="W1463" i="1"/>
  <c r="U1463" i="1"/>
  <c r="T1463" i="1"/>
  <c r="S1463" i="1"/>
  <c r="R1463" i="1"/>
  <c r="AT1463" i="1" s="1"/>
  <c r="Q1463" i="1"/>
  <c r="L130" i="36" s="1"/>
  <c r="P1463" i="1"/>
  <c r="M130" i="36" s="1"/>
  <c r="Y1462" i="1"/>
  <c r="AO1462" i="1" s="1"/>
  <c r="X1462" i="1"/>
  <c r="W1462" i="1"/>
  <c r="U1462" i="1"/>
  <c r="T1462" i="1"/>
  <c r="S1462" i="1"/>
  <c r="R1462" i="1"/>
  <c r="AT1462" i="1" s="1"/>
  <c r="Q1462" i="1"/>
  <c r="AU1462" i="1" s="1"/>
  <c r="P1462" i="1"/>
  <c r="Y1446" i="1"/>
  <c r="AO1446" i="1" s="1"/>
  <c r="X1446" i="1"/>
  <c r="W1446" i="1"/>
  <c r="U1446" i="1"/>
  <c r="T1446" i="1"/>
  <c r="S1446" i="1"/>
  <c r="R1446" i="1"/>
  <c r="AT1446" i="1" s="1"/>
  <c r="Q1446" i="1"/>
  <c r="AU1446" i="1" s="1"/>
  <c r="P1446" i="1"/>
  <c r="Y1445" i="1"/>
  <c r="AO1445" i="1" s="1"/>
  <c r="X1445" i="1"/>
  <c r="W1445" i="1"/>
  <c r="U1445" i="1"/>
  <c r="T1445" i="1"/>
  <c r="S1445" i="1"/>
  <c r="R1445" i="1"/>
  <c r="AT1445" i="1" s="1"/>
  <c r="Q1445" i="1"/>
  <c r="AU1445" i="1" s="1"/>
  <c r="P1445" i="1"/>
  <c r="K205" i="6" s="1"/>
  <c r="Y1440" i="1"/>
  <c r="X1440" i="1"/>
  <c r="W1440" i="1"/>
  <c r="U1440" i="1"/>
  <c r="T1440" i="1"/>
  <c r="S1440" i="1"/>
  <c r="R1440" i="1"/>
  <c r="Q1440" i="1"/>
  <c r="AU1440" i="1" s="1"/>
  <c r="P1440" i="1"/>
  <c r="Y1439" i="1"/>
  <c r="R100" i="36" s="1"/>
  <c r="X1439" i="1"/>
  <c r="W1439" i="1"/>
  <c r="U1439" i="1"/>
  <c r="T1439" i="1"/>
  <c r="S1439" i="1"/>
  <c r="R1439" i="1"/>
  <c r="I449" i="6" s="1"/>
  <c r="Q1439" i="1"/>
  <c r="J448" i="6" s="1"/>
  <c r="P1439" i="1"/>
  <c r="K448" i="6" s="1"/>
  <c r="Y1472" i="1"/>
  <c r="AO1472" i="1" s="1"/>
  <c r="X1472" i="1"/>
  <c r="W1472" i="1"/>
  <c r="U1472" i="1"/>
  <c r="T1472" i="1"/>
  <c r="S1472" i="1"/>
  <c r="R1472" i="1"/>
  <c r="AT1472" i="1" s="1"/>
  <c r="Q1472" i="1"/>
  <c r="AU1472" i="1" s="1"/>
  <c r="P1472" i="1"/>
  <c r="Y1471" i="1"/>
  <c r="AO1471" i="1" s="1"/>
  <c r="AQ1471" i="1" s="1"/>
  <c r="X1471" i="1"/>
  <c r="W1471" i="1"/>
  <c r="U1471" i="1"/>
  <c r="T1471" i="1"/>
  <c r="S1471" i="1"/>
  <c r="R1471" i="1"/>
  <c r="AT1471" i="1" s="1"/>
  <c r="Q1471" i="1"/>
  <c r="AU1471" i="1" s="1"/>
  <c r="P1471" i="1"/>
  <c r="Y1470" i="1"/>
  <c r="AO1470" i="1" s="1"/>
  <c r="X1470" i="1"/>
  <c r="W1470" i="1"/>
  <c r="U1470" i="1"/>
  <c r="T1470" i="1"/>
  <c r="S1470" i="1"/>
  <c r="R1470" i="1"/>
  <c r="AT1470" i="1" s="1"/>
  <c r="Q1470" i="1"/>
  <c r="AU1470" i="1" s="1"/>
  <c r="P1470" i="1"/>
  <c r="Y1469" i="1"/>
  <c r="AO1469" i="1" s="1"/>
  <c r="X1469" i="1"/>
  <c r="W1469" i="1"/>
  <c r="U1469" i="1"/>
  <c r="T1469" i="1"/>
  <c r="S1469" i="1"/>
  <c r="R1469" i="1"/>
  <c r="AT1469" i="1" s="1"/>
  <c r="Q1469" i="1"/>
  <c r="AU1469" i="1" s="1"/>
  <c r="P1469" i="1"/>
  <c r="Y1468" i="1"/>
  <c r="AO1468" i="1" s="1"/>
  <c r="X1468" i="1"/>
  <c r="W1468" i="1"/>
  <c r="U1468" i="1"/>
  <c r="T1468" i="1"/>
  <c r="S1468" i="1"/>
  <c r="R1468" i="1"/>
  <c r="AT1468" i="1" s="1"/>
  <c r="Q1468" i="1"/>
  <c r="AU1468" i="1" s="1"/>
  <c r="P1468" i="1"/>
  <c r="Y1438" i="1"/>
  <c r="AO1438" i="1" s="1"/>
  <c r="X1438" i="1"/>
  <c r="W1438" i="1"/>
  <c r="U1438" i="1"/>
  <c r="T1438" i="1"/>
  <c r="S1438" i="1"/>
  <c r="R1438" i="1"/>
  <c r="AT1438" i="1" s="1"/>
  <c r="Q1438" i="1"/>
  <c r="AU1438" i="1" s="1"/>
  <c r="P1438" i="1"/>
  <c r="Y1437" i="1"/>
  <c r="AO1437" i="1" s="1"/>
  <c r="X1437" i="1"/>
  <c r="W1437" i="1"/>
  <c r="U1437" i="1"/>
  <c r="T1437" i="1"/>
  <c r="S1437" i="1"/>
  <c r="R1437" i="1"/>
  <c r="AT1437" i="1" s="1"/>
  <c r="Q1437" i="1"/>
  <c r="AU1437" i="1" s="1"/>
  <c r="P1437" i="1"/>
  <c r="Y1436" i="1"/>
  <c r="R129" i="36" s="1"/>
  <c r="X1436" i="1"/>
  <c r="W1436" i="1"/>
  <c r="U1436" i="1"/>
  <c r="T1436" i="1"/>
  <c r="S1436" i="1"/>
  <c r="R1436" i="1"/>
  <c r="AT1436" i="1" s="1"/>
  <c r="Q1436" i="1"/>
  <c r="L129" i="36" s="1"/>
  <c r="P1436" i="1"/>
  <c r="M129" i="36" s="1"/>
  <c r="Y1454" i="1"/>
  <c r="AO1454" i="1" s="1"/>
  <c r="X1454" i="1"/>
  <c r="W1454" i="1"/>
  <c r="U1454" i="1"/>
  <c r="T1454" i="1"/>
  <c r="S1454" i="1"/>
  <c r="R1454" i="1"/>
  <c r="AT1454" i="1" s="1"/>
  <c r="Q1454" i="1"/>
  <c r="AU1454" i="1" s="1"/>
  <c r="P1454" i="1"/>
  <c r="Y1453" i="1"/>
  <c r="AO1453" i="1" s="1"/>
  <c r="X1453" i="1"/>
  <c r="W1453" i="1"/>
  <c r="U1453" i="1"/>
  <c r="T1453" i="1"/>
  <c r="S1453" i="1"/>
  <c r="R1453" i="1"/>
  <c r="AT1453" i="1" s="1"/>
  <c r="Q1453" i="1"/>
  <c r="AU1453" i="1" s="1"/>
  <c r="P1453" i="1"/>
  <c r="Y1452" i="1"/>
  <c r="AO1452" i="1" s="1"/>
  <c r="X1452" i="1"/>
  <c r="W1452" i="1"/>
  <c r="U1452" i="1"/>
  <c r="T1452" i="1"/>
  <c r="S1452" i="1"/>
  <c r="R1452" i="1"/>
  <c r="AT1452" i="1" s="1"/>
  <c r="Q1452" i="1"/>
  <c r="AU1452" i="1" s="1"/>
  <c r="P1452" i="1"/>
  <c r="P1449" i="1"/>
  <c r="K317" i="6" s="1"/>
  <c r="Q1449" i="1"/>
  <c r="AU1449" i="1" s="1"/>
  <c r="R1449" i="1"/>
  <c r="S1449" i="1"/>
  <c r="T1449" i="1"/>
  <c r="U1449" i="1"/>
  <c r="W1449" i="1"/>
  <c r="X1449" i="1"/>
  <c r="Y1449" i="1"/>
  <c r="P1450" i="1"/>
  <c r="Q1450" i="1"/>
  <c r="AU1450" i="1" s="1"/>
  <c r="R1450" i="1"/>
  <c r="AT1450" i="1" s="1"/>
  <c r="S1450" i="1"/>
  <c r="T1450" i="1"/>
  <c r="U1450" i="1"/>
  <c r="W1450" i="1"/>
  <c r="X1450" i="1"/>
  <c r="Y1450" i="1"/>
  <c r="AO1450" i="1" s="1"/>
  <c r="P1451" i="1"/>
  <c r="K382" i="6" s="1"/>
  <c r="Q1451" i="1"/>
  <c r="J382" i="6" s="1"/>
  <c r="R1451" i="1"/>
  <c r="I383" i="6" s="1"/>
  <c r="S1451" i="1"/>
  <c r="T1451" i="1"/>
  <c r="U1451" i="1"/>
  <c r="W1451" i="1"/>
  <c r="X1451" i="1"/>
  <c r="Y1451" i="1"/>
  <c r="P382" i="6" s="1"/>
  <c r="P1455" i="1"/>
  <c r="Q1455" i="1"/>
  <c r="AU1455" i="1" s="1"/>
  <c r="R1455" i="1"/>
  <c r="AT1455" i="1" s="1"/>
  <c r="S1455" i="1"/>
  <c r="T1455" i="1"/>
  <c r="U1455" i="1"/>
  <c r="W1455" i="1"/>
  <c r="X1455" i="1"/>
  <c r="Y1455" i="1"/>
  <c r="AO1455" i="1" s="1"/>
  <c r="P1456" i="1"/>
  <c r="K377" i="6" s="1"/>
  <c r="Q1456" i="1"/>
  <c r="R1456" i="1"/>
  <c r="AT1456" i="1" s="1"/>
  <c r="S1456" i="1"/>
  <c r="T1456" i="1"/>
  <c r="U1456" i="1"/>
  <c r="W1456" i="1"/>
  <c r="X1456" i="1"/>
  <c r="Y1456" i="1"/>
  <c r="AO1456" i="1" s="1"/>
  <c r="P1473" i="1"/>
  <c r="K390" i="6" s="1"/>
  <c r="Q1473" i="1"/>
  <c r="R1473" i="1"/>
  <c r="I390" i="6" s="1"/>
  <c r="S1473" i="1"/>
  <c r="T1473" i="1"/>
  <c r="U1473" i="1"/>
  <c r="W1473" i="1"/>
  <c r="X1473" i="1"/>
  <c r="Y1473" i="1"/>
  <c r="AO1473" i="1" s="1"/>
  <c r="P1374" i="1"/>
  <c r="K264" i="6" s="1"/>
  <c r="Q1374" i="1"/>
  <c r="AU1374" i="1" s="1"/>
  <c r="R1374" i="1"/>
  <c r="S1374" i="1"/>
  <c r="T1374" i="1"/>
  <c r="U1374" i="1"/>
  <c r="K138" i="36"/>
  <c r="Y1432" i="1"/>
  <c r="AO1432" i="1" s="1"/>
  <c r="Y1433" i="1"/>
  <c r="AO1433" i="1" s="1"/>
  <c r="Y1434" i="1"/>
  <c r="AO1434" i="1" s="1"/>
  <c r="Y1435" i="1"/>
  <c r="AO1435" i="1" s="1"/>
  <c r="Y1447" i="1"/>
  <c r="Y1448" i="1"/>
  <c r="P254" i="6" s="1"/>
  <c r="X1432" i="1"/>
  <c r="X1433" i="1"/>
  <c r="X1434" i="1"/>
  <c r="X1435" i="1"/>
  <c r="X1447" i="1"/>
  <c r="X1448" i="1"/>
  <c r="W1432" i="1"/>
  <c r="W1433" i="1"/>
  <c r="W1434" i="1"/>
  <c r="W1435" i="1"/>
  <c r="W1447" i="1"/>
  <c r="W1448" i="1"/>
  <c r="U1432" i="1"/>
  <c r="U1433" i="1"/>
  <c r="U1434" i="1"/>
  <c r="U1435" i="1"/>
  <c r="U1447" i="1"/>
  <c r="U1448" i="1"/>
  <c r="T1432" i="1"/>
  <c r="T1433" i="1"/>
  <c r="T1434" i="1"/>
  <c r="T1435" i="1"/>
  <c r="T1447" i="1"/>
  <c r="T1448" i="1"/>
  <c r="S1432" i="1"/>
  <c r="S1433" i="1"/>
  <c r="S1434" i="1"/>
  <c r="S1435" i="1"/>
  <c r="S1447" i="1"/>
  <c r="R1432" i="1"/>
  <c r="I194" i="6" s="1"/>
  <c r="R1433" i="1"/>
  <c r="AT1433" i="1" s="1"/>
  <c r="R1434" i="1"/>
  <c r="AT1434" i="1" s="1"/>
  <c r="R1435" i="1"/>
  <c r="AT1435" i="1" s="1"/>
  <c r="R1447" i="1"/>
  <c r="I348" i="6" s="1"/>
  <c r="Q1432" i="1"/>
  <c r="Q1433" i="1"/>
  <c r="AU1433" i="1" s="1"/>
  <c r="Q1434" i="1"/>
  <c r="AU1434" i="1" s="1"/>
  <c r="Q1435" i="1"/>
  <c r="AU1435" i="1" s="1"/>
  <c r="Q1447" i="1"/>
  <c r="AU1447" i="1" s="1"/>
  <c r="P1442" i="1"/>
  <c r="K169" i="6" s="1"/>
  <c r="P1443" i="1"/>
  <c r="P1444" i="1"/>
  <c r="P1432" i="1"/>
  <c r="K194" i="6" s="1"/>
  <c r="P1433" i="1"/>
  <c r="P1434" i="1"/>
  <c r="P1435" i="1"/>
  <c r="P1447" i="1"/>
  <c r="K349" i="6" s="1"/>
  <c r="U215" i="6"/>
  <c r="B215" i="6"/>
  <c r="U214" i="6"/>
  <c r="B214" i="6"/>
  <c r="U213" i="6"/>
  <c r="B213" i="6"/>
  <c r="U212" i="6"/>
  <c r="B212" i="6"/>
  <c r="U211" i="6"/>
  <c r="B211" i="6"/>
  <c r="U218" i="6"/>
  <c r="B218" i="6"/>
  <c r="U210" i="6"/>
  <c r="B210" i="6"/>
  <c r="U209" i="6"/>
  <c r="B209" i="6"/>
  <c r="U208" i="6"/>
  <c r="B208" i="6"/>
  <c r="U207" i="6"/>
  <c r="B207" i="6"/>
  <c r="U206" i="6"/>
  <c r="B206" i="6"/>
  <c r="G2" i="6"/>
  <c r="Q1443" i="1"/>
  <c r="AU1443" i="1" s="1"/>
  <c r="R1443" i="1"/>
  <c r="AT1443" i="1" s="1"/>
  <c r="S1443" i="1"/>
  <c r="T1443" i="1"/>
  <c r="U1443" i="1"/>
  <c r="W1443" i="1"/>
  <c r="X1443" i="1"/>
  <c r="Y1443" i="1"/>
  <c r="AO1443" i="1" s="1"/>
  <c r="Q1444" i="1"/>
  <c r="AU1444" i="1" s="1"/>
  <c r="R1444" i="1"/>
  <c r="AT1444" i="1" s="1"/>
  <c r="S1444" i="1"/>
  <c r="T1444" i="1"/>
  <c r="U1444" i="1"/>
  <c r="W1444" i="1"/>
  <c r="X1444" i="1"/>
  <c r="Y1444" i="1"/>
  <c r="AO1444" i="1" s="1"/>
  <c r="P1448" i="1"/>
  <c r="Q1448" i="1"/>
  <c r="R1448" i="1"/>
  <c r="S1448" i="1"/>
  <c r="Q1442" i="1"/>
  <c r="AU1442" i="1" s="1"/>
  <c r="R1442" i="1"/>
  <c r="S1442" i="1"/>
  <c r="T1442" i="1"/>
  <c r="U1442" i="1"/>
  <c r="W1442" i="1"/>
  <c r="X1442" i="1"/>
  <c r="Y1442" i="1"/>
  <c r="AO1442" i="1" s="1"/>
  <c r="U199" i="6"/>
  <c r="B199" i="6"/>
  <c r="U198" i="6"/>
  <c r="B198" i="6"/>
  <c r="U197" i="6"/>
  <c r="B197" i="6"/>
  <c r="U196" i="6"/>
  <c r="B196" i="6"/>
  <c r="U195" i="6"/>
  <c r="B195" i="6"/>
  <c r="U194" i="6"/>
  <c r="B194" i="6"/>
  <c r="U190" i="6"/>
  <c r="B190" i="6"/>
  <c r="U189" i="6"/>
  <c r="B189" i="6"/>
  <c r="U188" i="6"/>
  <c r="B188" i="6"/>
  <c r="U187" i="6"/>
  <c r="B187" i="6"/>
  <c r="U192" i="6"/>
  <c r="B192" i="6"/>
  <c r="U191" i="6"/>
  <c r="B191" i="6"/>
  <c r="U186" i="6"/>
  <c r="B186" i="6"/>
  <c r="U182" i="6"/>
  <c r="B182" i="6"/>
  <c r="U181" i="6"/>
  <c r="B181" i="6"/>
  <c r="U180" i="6"/>
  <c r="B180" i="6"/>
  <c r="U179" i="6"/>
  <c r="B179" i="6"/>
  <c r="U205" i="6"/>
  <c r="B205" i="6"/>
  <c r="U178" i="6"/>
  <c r="B178" i="6"/>
  <c r="U177" i="6"/>
  <c r="B177" i="6"/>
  <c r="U176" i="6"/>
  <c r="B176" i="6"/>
  <c r="U219" i="6"/>
  <c r="B219" i="6"/>
  <c r="U175" i="6"/>
  <c r="B175" i="6"/>
  <c r="U174" i="6"/>
  <c r="B174" i="6"/>
  <c r="U173" i="6"/>
  <c r="B173" i="6"/>
  <c r="U172" i="6"/>
  <c r="B172" i="6"/>
  <c r="U170" i="6"/>
  <c r="B170" i="6"/>
  <c r="U169" i="6"/>
  <c r="B169" i="6"/>
  <c r="U168" i="6"/>
  <c r="B168" i="6"/>
  <c r="U166" i="6"/>
  <c r="B166" i="6"/>
  <c r="U165" i="6"/>
  <c r="B165" i="6"/>
  <c r="U163" i="6"/>
  <c r="B163" i="6"/>
  <c r="U162" i="6"/>
  <c r="B162" i="6"/>
  <c r="U161" i="6"/>
  <c r="B161" i="6"/>
  <c r="U160" i="6"/>
  <c r="B160" i="6"/>
  <c r="U159" i="6"/>
  <c r="B159" i="6"/>
  <c r="U158" i="6"/>
  <c r="B158" i="6"/>
  <c r="U157" i="6"/>
  <c r="B157" i="6"/>
  <c r="U156" i="6"/>
  <c r="B156" i="6"/>
  <c r="U155" i="6"/>
  <c r="B155" i="6"/>
  <c r="U154" i="6"/>
  <c r="B154" i="6"/>
  <c r="U153" i="6"/>
  <c r="B153" i="6"/>
  <c r="U152" i="6"/>
  <c r="B152" i="6"/>
  <c r="U151" i="6"/>
  <c r="B151" i="6"/>
  <c r="U150" i="6"/>
  <c r="B150" i="6"/>
  <c r="U149" i="6"/>
  <c r="B149" i="6"/>
  <c r="U148" i="6"/>
  <c r="B148" i="6"/>
  <c r="U167" i="6"/>
  <c r="B167" i="6"/>
  <c r="U164" i="6"/>
  <c r="B164" i="6"/>
  <c r="U147" i="6"/>
  <c r="B147" i="6"/>
  <c r="C3" i="7"/>
  <c r="F3" i="7"/>
  <c r="G3" i="7"/>
  <c r="C90" i="7" s="1"/>
  <c r="C7" i="7"/>
  <c r="F7" i="7"/>
  <c r="G7" i="7"/>
  <c r="C91" i="7" s="1"/>
  <c r="C11" i="7"/>
  <c r="F11" i="7"/>
  <c r="G11" i="7"/>
  <c r="C92" i="7" s="1"/>
  <c r="C15" i="7"/>
  <c r="F15" i="7"/>
  <c r="G15" i="7"/>
  <c r="C93" i="7" s="1"/>
  <c r="C19" i="7"/>
  <c r="F19" i="7"/>
  <c r="G19" i="7"/>
  <c r="C94" i="7" s="1"/>
  <c r="C23" i="7"/>
  <c r="F23" i="7"/>
  <c r="G23" i="7"/>
  <c r="C27" i="7"/>
  <c r="F27" i="7"/>
  <c r="G27" i="7"/>
  <c r="C32" i="7"/>
  <c r="F32" i="7"/>
  <c r="G32" i="7"/>
  <c r="C97" i="7" s="1"/>
  <c r="C36" i="7"/>
  <c r="G36" i="7"/>
  <c r="C98" i="7" s="1"/>
  <c r="C40" i="7"/>
  <c r="F40" i="7"/>
  <c r="G40" i="7"/>
  <c r="C99" i="7" s="1"/>
  <c r="C44" i="7"/>
  <c r="F44" i="7"/>
  <c r="G44" i="7"/>
  <c r="C100" i="7" s="1"/>
  <c r="C48" i="7"/>
  <c r="F48" i="7"/>
  <c r="G48" i="7"/>
  <c r="C101" i="7" s="1"/>
  <c r="C52" i="7"/>
  <c r="F52" i="7"/>
  <c r="G52" i="7"/>
  <c r="C102" i="7" s="1"/>
  <c r="C56" i="7"/>
  <c r="F56" i="7"/>
  <c r="G56" i="7"/>
  <c r="C103" i="7" s="1"/>
  <c r="C60" i="7"/>
  <c r="F60" i="7"/>
  <c r="G60" i="7"/>
  <c r="C104" i="7" s="1"/>
  <c r="C4" i="7"/>
  <c r="F4" i="7"/>
  <c r="C8" i="7"/>
  <c r="F8" i="7"/>
  <c r="C12" i="7"/>
  <c r="F12" i="7"/>
  <c r="C16" i="7"/>
  <c r="F16" i="7"/>
  <c r="C20" i="7"/>
  <c r="F20" i="7"/>
  <c r="C24" i="7"/>
  <c r="F24" i="7"/>
  <c r="C28" i="7"/>
  <c r="F28" i="7"/>
  <c r="C33" i="7"/>
  <c r="F33" i="7"/>
  <c r="C37" i="7"/>
  <c r="F37" i="7"/>
  <c r="C41" i="7"/>
  <c r="F41" i="7"/>
  <c r="C45" i="7"/>
  <c r="F45" i="7"/>
  <c r="C49" i="7"/>
  <c r="F49" i="7"/>
  <c r="C53" i="7"/>
  <c r="F53" i="7"/>
  <c r="C57" i="7"/>
  <c r="F57" i="7"/>
  <c r="C61" i="7"/>
  <c r="F61" i="7"/>
  <c r="U136" i="6"/>
  <c r="B136" i="6"/>
  <c r="U135" i="6"/>
  <c r="B135" i="6"/>
  <c r="U134" i="6"/>
  <c r="B134" i="6"/>
  <c r="U133" i="6"/>
  <c r="B133" i="6"/>
  <c r="U132" i="6"/>
  <c r="B132" i="6"/>
  <c r="U131" i="6"/>
  <c r="B131" i="6"/>
  <c r="U130" i="6"/>
  <c r="B130" i="6"/>
  <c r="U129" i="6"/>
  <c r="B129" i="6"/>
  <c r="U128" i="6"/>
  <c r="B128" i="6"/>
  <c r="U127" i="6"/>
  <c r="B127" i="6"/>
  <c r="U126" i="6"/>
  <c r="B126" i="6"/>
  <c r="U125" i="6"/>
  <c r="U124" i="6"/>
  <c r="U123" i="6"/>
  <c r="U118" i="6"/>
  <c r="U117" i="6"/>
  <c r="U116" i="6"/>
  <c r="U115" i="6"/>
  <c r="U114" i="6"/>
  <c r="U113" i="6"/>
  <c r="U112" i="6"/>
  <c r="U111" i="6"/>
  <c r="U122" i="6"/>
  <c r="U121" i="6"/>
  <c r="U120" i="6"/>
  <c r="U119" i="6"/>
  <c r="U110" i="6"/>
  <c r="U109" i="6"/>
  <c r="U108" i="6"/>
  <c r="U107" i="6"/>
  <c r="U106" i="6"/>
  <c r="U105" i="6"/>
  <c r="U104" i="6"/>
  <c r="U103" i="6"/>
  <c r="U102" i="6"/>
  <c r="U101" i="6"/>
  <c r="U100" i="6"/>
  <c r="U99" i="6"/>
  <c r="U98" i="6"/>
  <c r="U145" i="6"/>
  <c r="Y1273" i="1"/>
  <c r="P144" i="6" s="1"/>
  <c r="P1273" i="1"/>
  <c r="Q1273" i="1"/>
  <c r="AU1273" i="1" s="1"/>
  <c r="R1273" i="1"/>
  <c r="AT1273" i="1" s="1"/>
  <c r="B145" i="6"/>
  <c r="U144" i="6"/>
  <c r="B144" i="6"/>
  <c r="U143" i="6"/>
  <c r="B143" i="6"/>
  <c r="U142" i="6"/>
  <c r="Y1336" i="1"/>
  <c r="P1336" i="1"/>
  <c r="K139" i="6" s="1"/>
  <c r="Q1336" i="1"/>
  <c r="R1336" i="1"/>
  <c r="I138" i="6" s="1"/>
  <c r="B142" i="6"/>
  <c r="U141" i="6"/>
  <c r="B141" i="6"/>
  <c r="U140" i="6"/>
  <c r="B140" i="6"/>
  <c r="U139" i="6"/>
  <c r="B139" i="6"/>
  <c r="U138" i="6"/>
  <c r="B138" i="6"/>
  <c r="U137" i="6"/>
  <c r="B137" i="6"/>
  <c r="U146" i="6"/>
  <c r="B146" i="6"/>
  <c r="U97" i="6"/>
  <c r="B97" i="6"/>
  <c r="U96" i="6"/>
  <c r="B96" i="6"/>
  <c r="U95" i="6"/>
  <c r="B95" i="6"/>
  <c r="B94" i="6"/>
  <c r="B15" i="6"/>
  <c r="E88" i="6"/>
  <c r="D88" i="6"/>
  <c r="B88" i="6"/>
  <c r="E30" i="6"/>
  <c r="D30" i="6"/>
  <c r="B30" i="6"/>
  <c r="B21" i="6"/>
  <c r="B20" i="6"/>
  <c r="B19" i="6"/>
  <c r="B18" i="6"/>
  <c r="B17" i="6"/>
  <c r="B16" i="6"/>
  <c r="B26" i="6"/>
  <c r="B25" i="6"/>
  <c r="B24" i="6"/>
  <c r="B23" i="6"/>
  <c r="B22" i="6"/>
  <c r="B10" i="6"/>
  <c r="B9" i="6"/>
  <c r="B8" i="6"/>
  <c r="B7" i="6"/>
  <c r="B6" i="6"/>
  <c r="B5" i="6"/>
  <c r="B4" i="6"/>
  <c r="B3" i="6"/>
  <c r="B2" i="6"/>
  <c r="N3670" i="33"/>
  <c r="N3671" i="33"/>
  <c r="N3672" i="33"/>
  <c r="N3673" i="33"/>
  <c r="N3674" i="33"/>
  <c r="N3675" i="33"/>
  <c r="N3684" i="33"/>
  <c r="N3685" i="33"/>
  <c r="N3686" i="33"/>
  <c r="N3687" i="33"/>
  <c r="N3688" i="33"/>
  <c r="N3689" i="33"/>
  <c r="N3698" i="33"/>
  <c r="N3699" i="33"/>
  <c r="N3700" i="33"/>
  <c r="N3701" i="33"/>
  <c r="N3702" i="33"/>
  <c r="N3703" i="33"/>
  <c r="N3704" i="33"/>
  <c r="N3705" i="33"/>
  <c r="N3706" i="33"/>
  <c r="N3707" i="33"/>
  <c r="N3708" i="33"/>
  <c r="N3709" i="33"/>
  <c r="N3710" i="33"/>
  <c r="N3711" i="33"/>
  <c r="N3712" i="33"/>
  <c r="N3713" i="33"/>
  <c r="N3714" i="33"/>
  <c r="N3715" i="33"/>
  <c r="O1123" i="33"/>
  <c r="O1129" i="33"/>
  <c r="O1130" i="33"/>
  <c r="O1211" i="33"/>
  <c r="O1212" i="33"/>
  <c r="O1213" i="33"/>
  <c r="O1214" i="33"/>
  <c r="O1215" i="33"/>
  <c r="O1216" i="33"/>
  <c r="O1265" i="33"/>
  <c r="O1319" i="33"/>
  <c r="O1425" i="33"/>
  <c r="O1446" i="33"/>
  <c r="O1447" i="33"/>
  <c r="O1448" i="33"/>
  <c r="O1818" i="33"/>
  <c r="O1819" i="33"/>
  <c r="O1820" i="33"/>
  <c r="O1821" i="33"/>
  <c r="O1822" i="33"/>
  <c r="O1823" i="33"/>
  <c r="O1892" i="33"/>
  <c r="O1955" i="33"/>
  <c r="O2160" i="33"/>
  <c r="O2161" i="33"/>
  <c r="O2183" i="33"/>
  <c r="O2184" i="33"/>
  <c r="O2185" i="33"/>
  <c r="O2204" i="33"/>
  <c r="O2205" i="33"/>
  <c r="O2222" i="33"/>
  <c r="O2260" i="33"/>
  <c r="O2307" i="33"/>
  <c r="O2334" i="33"/>
  <c r="O2357" i="33"/>
  <c r="O2358" i="33"/>
  <c r="O2371" i="33"/>
  <c r="O2372" i="33"/>
  <c r="O2398" i="33"/>
  <c r="O2410" i="33"/>
  <c r="O2412" i="33"/>
  <c r="O2415" i="33"/>
  <c r="O2467" i="33"/>
  <c r="O2477" i="33"/>
  <c r="O2478" i="33"/>
  <c r="O2479" i="33"/>
  <c r="O2480" i="33"/>
  <c r="O2481" i="33"/>
  <c r="O2496" i="33"/>
  <c r="O2507" i="33"/>
  <c r="O2532" i="33"/>
  <c r="O2608" i="33"/>
  <c r="O2645" i="33"/>
  <c r="O2767" i="33"/>
  <c r="O2768" i="33"/>
  <c r="O2772" i="33"/>
  <c r="O2773" i="33"/>
  <c r="O2802" i="33"/>
  <c r="O2816" i="33"/>
  <c r="O2830" i="33"/>
  <c r="O2831" i="33"/>
  <c r="O2832" i="33"/>
  <c r="O2833" i="33"/>
  <c r="O2845" i="33"/>
  <c r="O2903" i="33"/>
  <c r="O2904" i="33"/>
  <c r="O2905" i="33"/>
  <c r="O2906" i="33"/>
  <c r="O2907" i="33"/>
  <c r="O2943" i="33"/>
  <c r="O2970" i="33"/>
  <c r="O2991" i="33"/>
  <c r="O3001" i="33"/>
  <c r="O3002" i="33"/>
  <c r="O3003" i="33"/>
  <c r="O3004" i="33"/>
  <c r="O3005" i="33"/>
  <c r="O3006" i="33"/>
  <c r="O3061" i="33"/>
  <c r="O3062" i="33"/>
  <c r="O3063" i="33"/>
  <c r="O3064" i="33"/>
  <c r="O3065" i="33"/>
  <c r="O3105" i="33"/>
  <c r="O3106" i="33"/>
  <c r="O3107" i="33"/>
  <c r="O3228" i="33"/>
  <c r="O3229" i="33"/>
  <c r="O3230" i="33"/>
  <c r="O3231" i="33"/>
  <c r="O3315" i="33"/>
  <c r="O3563" i="33"/>
  <c r="N3309" i="33"/>
  <c r="M1409" i="33"/>
  <c r="M1721" i="33"/>
  <c r="M2353" i="33"/>
  <c r="M2354" i="33"/>
  <c r="M2355" i="33"/>
  <c r="M2356" i="33"/>
  <c r="M2492" i="33"/>
  <c r="M2493" i="33"/>
  <c r="M2494" i="33"/>
  <c r="M2573" i="33"/>
  <c r="M2574" i="33"/>
  <c r="M2575" i="33"/>
  <c r="M2850" i="33"/>
  <c r="M2851" i="33"/>
  <c r="M2908" i="33"/>
  <c r="M2909" i="33"/>
  <c r="M2910" i="33"/>
  <c r="M3260" i="33"/>
  <c r="M3364" i="33"/>
  <c r="M3365" i="33"/>
  <c r="G21" i="33"/>
  <c r="G27" i="33"/>
  <c r="G29" i="33"/>
  <c r="G31" i="33"/>
  <c r="G773" i="33"/>
  <c r="E3715" i="33"/>
  <c r="B3715" i="33"/>
  <c r="E3714" i="33"/>
  <c r="B3714" i="33"/>
  <c r="E3713" i="33"/>
  <c r="B3713" i="33"/>
  <c r="E3712" i="33"/>
  <c r="B3712" i="33"/>
  <c r="E3711" i="33"/>
  <c r="B3711" i="33"/>
  <c r="E3710" i="33"/>
  <c r="B3710" i="33"/>
  <c r="E3709" i="33"/>
  <c r="B3709" i="33"/>
  <c r="E3708" i="33"/>
  <c r="B3708" i="33"/>
  <c r="E3707" i="33"/>
  <c r="B3707" i="33"/>
  <c r="E3706" i="33"/>
  <c r="B3706" i="33"/>
  <c r="E3705" i="33"/>
  <c r="B3705" i="33"/>
  <c r="E3704" i="33"/>
  <c r="B3704" i="33"/>
  <c r="E3703" i="33"/>
  <c r="B3703" i="33"/>
  <c r="E3702" i="33"/>
  <c r="B3702" i="33"/>
  <c r="E3701" i="33"/>
  <c r="B3701" i="33"/>
  <c r="E3700" i="33"/>
  <c r="B3700" i="33"/>
  <c r="E3699" i="33"/>
  <c r="B3699" i="33"/>
  <c r="E3698" i="33"/>
  <c r="B3698" i="33"/>
  <c r="B3697" i="33"/>
  <c r="B3696" i="33"/>
  <c r="B3695" i="33"/>
  <c r="B3694" i="33"/>
  <c r="B3693" i="33"/>
  <c r="B3692" i="33"/>
  <c r="B3691" i="33"/>
  <c r="B3690" i="33"/>
  <c r="B3689" i="33"/>
  <c r="B3688" i="33"/>
  <c r="B3687" i="33"/>
  <c r="B3686" i="33"/>
  <c r="B3685" i="33"/>
  <c r="B3684" i="33"/>
  <c r="B3683" i="33"/>
  <c r="B3682" i="33"/>
  <c r="B3681" i="33"/>
  <c r="B3680" i="33"/>
  <c r="B3679" i="33"/>
  <c r="B3678" i="33"/>
  <c r="B3677" i="33"/>
  <c r="B3676" i="33"/>
  <c r="B3675" i="33"/>
  <c r="B3674" i="33"/>
  <c r="B3673" i="33"/>
  <c r="B3672" i="33"/>
  <c r="U3671" i="33"/>
  <c r="B3671" i="33"/>
  <c r="U3670" i="33"/>
  <c r="B3670" i="33"/>
  <c r="U3669" i="33"/>
  <c r="P3669" i="33"/>
  <c r="K3669" i="33"/>
  <c r="J3669" i="33"/>
  <c r="I3669" i="33"/>
  <c r="B3669" i="33"/>
  <c r="U3668" i="33"/>
  <c r="P3668" i="33"/>
  <c r="K3668" i="33"/>
  <c r="J3668" i="33"/>
  <c r="I3668" i="33"/>
  <c r="B3668" i="33"/>
  <c r="U3667" i="33"/>
  <c r="P3667" i="33"/>
  <c r="K3667" i="33"/>
  <c r="J3667" i="33"/>
  <c r="I3667" i="33"/>
  <c r="B3667" i="33"/>
  <c r="U3666" i="33"/>
  <c r="P3666" i="33"/>
  <c r="K3666" i="33"/>
  <c r="J3666" i="33"/>
  <c r="I3666" i="33"/>
  <c r="B3666" i="33"/>
  <c r="U3665" i="33"/>
  <c r="P3665" i="33"/>
  <c r="K3665" i="33"/>
  <c r="J3665" i="33"/>
  <c r="I3665" i="33"/>
  <c r="B3665" i="33"/>
  <c r="U3664" i="33"/>
  <c r="P3664" i="33"/>
  <c r="K3664" i="33"/>
  <c r="J3664" i="33"/>
  <c r="I3664" i="33"/>
  <c r="B3664" i="33"/>
  <c r="U3663" i="33"/>
  <c r="P3663" i="33"/>
  <c r="K3663" i="33"/>
  <c r="J3663" i="33"/>
  <c r="I3663" i="33"/>
  <c r="B3663" i="33"/>
  <c r="U3662" i="33"/>
  <c r="P3662" i="33"/>
  <c r="K3662" i="33"/>
  <c r="J3662" i="33"/>
  <c r="I3662" i="33"/>
  <c r="B3662" i="33"/>
  <c r="U3661" i="33"/>
  <c r="P3661" i="33"/>
  <c r="K3661" i="33"/>
  <c r="J3661" i="33"/>
  <c r="I3661" i="33"/>
  <c r="B3661" i="33"/>
  <c r="U3660" i="33"/>
  <c r="B3660" i="33"/>
  <c r="U3659" i="33"/>
  <c r="B3659" i="33"/>
  <c r="U3658" i="33"/>
  <c r="B3658" i="33"/>
  <c r="U3657" i="33"/>
  <c r="Y1402" i="1"/>
  <c r="P1402" i="1"/>
  <c r="K3657" i="33" s="1"/>
  <c r="Q1402" i="1"/>
  <c r="R1402" i="1"/>
  <c r="AT1402" i="1" s="1"/>
  <c r="B3657" i="33"/>
  <c r="U3656" i="33"/>
  <c r="Y1287" i="1"/>
  <c r="P1287" i="1"/>
  <c r="K94" i="6" s="1"/>
  <c r="Q1287" i="1"/>
  <c r="J94" i="6" s="1"/>
  <c r="R1287" i="1"/>
  <c r="B3656" i="33"/>
  <c r="U3655" i="33"/>
  <c r="B3655" i="33"/>
  <c r="U3654" i="33"/>
  <c r="Y1225" i="1"/>
  <c r="P1225" i="1"/>
  <c r="Q1225" i="1"/>
  <c r="J3653" i="33" s="1"/>
  <c r="R1225" i="1"/>
  <c r="B3654" i="33"/>
  <c r="U3653" i="33"/>
  <c r="B3653" i="33"/>
  <c r="U3652" i="33"/>
  <c r="B3652" i="33"/>
  <c r="U3651" i="33"/>
  <c r="Y1356" i="1"/>
  <c r="P1356" i="1"/>
  <c r="Q1356" i="1"/>
  <c r="R1356" i="1"/>
  <c r="B3651" i="33"/>
  <c r="U3650" i="33"/>
  <c r="B3650" i="33"/>
  <c r="U3649" i="33"/>
  <c r="B3649" i="33"/>
  <c r="U3648" i="33"/>
  <c r="B3648" i="33"/>
  <c r="U3647" i="33"/>
  <c r="B3647" i="33"/>
  <c r="U3646" i="33"/>
  <c r="Y1339" i="1"/>
  <c r="AO1339" i="1" s="1"/>
  <c r="AQ1339" i="1" s="1"/>
  <c r="P1339" i="1"/>
  <c r="K3644" i="33" s="1"/>
  <c r="Q1339" i="1"/>
  <c r="J3643" i="33" s="1"/>
  <c r="R1339" i="1"/>
  <c r="B3646" i="33"/>
  <c r="U3645" i="33"/>
  <c r="B3645" i="33"/>
  <c r="U3644" i="33"/>
  <c r="B3644" i="33"/>
  <c r="U3643" i="33"/>
  <c r="B3643" i="33"/>
  <c r="U3642" i="33"/>
  <c r="B3642" i="33"/>
  <c r="U3641" i="33"/>
  <c r="Y1330" i="1"/>
  <c r="AO1330" i="1" s="1"/>
  <c r="P1330" i="1"/>
  <c r="K3641" i="33" s="1"/>
  <c r="Q1330" i="1"/>
  <c r="R1330" i="1"/>
  <c r="I3641" i="33" s="1"/>
  <c r="B3641" i="33"/>
  <c r="U3640" i="33"/>
  <c r="Y1039" i="1"/>
  <c r="P1039" i="1"/>
  <c r="K3640" i="33" s="1"/>
  <c r="Q1039" i="1"/>
  <c r="J3636" i="33" s="1"/>
  <c r="R1039" i="1"/>
  <c r="I3635" i="33" s="1"/>
  <c r="B3640" i="33"/>
  <c r="U3639" i="33"/>
  <c r="B3639" i="33"/>
  <c r="U3638" i="33"/>
  <c r="B3638" i="33"/>
  <c r="U3637" i="33"/>
  <c r="B3637" i="33"/>
  <c r="U3636" i="33"/>
  <c r="B3636" i="33"/>
  <c r="U3635" i="33"/>
  <c r="B3635" i="33"/>
  <c r="U3634" i="33"/>
  <c r="Y1331" i="1"/>
  <c r="P3634" i="33" s="1"/>
  <c r="P1331" i="1"/>
  <c r="K3634" i="33" s="1"/>
  <c r="Q1331" i="1"/>
  <c r="R1331" i="1"/>
  <c r="B3634" i="33"/>
  <c r="U3633" i="33"/>
  <c r="Y1258" i="1"/>
  <c r="P1258" i="1"/>
  <c r="Q1258" i="1"/>
  <c r="J3628" i="33" s="1"/>
  <c r="I3633" i="33"/>
  <c r="B3633" i="33"/>
  <c r="U3632" i="33"/>
  <c r="I3632" i="33"/>
  <c r="B3632" i="33"/>
  <c r="U3631" i="33"/>
  <c r="I3631" i="33"/>
  <c r="B3631" i="33"/>
  <c r="U3630" i="33"/>
  <c r="I3630" i="33"/>
  <c r="B3630" i="33"/>
  <c r="U3629" i="33"/>
  <c r="I3629" i="33"/>
  <c r="B3629" i="33"/>
  <c r="U3628" i="33"/>
  <c r="I3628" i="33"/>
  <c r="B3628" i="33"/>
  <c r="U3627" i="33"/>
  <c r="Y1315" i="1"/>
  <c r="P3626" i="33" s="1"/>
  <c r="P1315" i="1"/>
  <c r="Q1315" i="1"/>
  <c r="R1315" i="1"/>
  <c r="B3627" i="33"/>
  <c r="U3626" i="33"/>
  <c r="B3626" i="33"/>
  <c r="U3625" i="33"/>
  <c r="B3625" i="33"/>
  <c r="U3624" i="33"/>
  <c r="B3624" i="33"/>
  <c r="U3623" i="33"/>
  <c r="B3623" i="33"/>
  <c r="U3622" i="33"/>
  <c r="Y1309" i="1"/>
  <c r="P3621" i="33" s="1"/>
  <c r="P1309" i="1"/>
  <c r="Q1309" i="1"/>
  <c r="R1309" i="1"/>
  <c r="B3622" i="33"/>
  <c r="U3621" i="33"/>
  <c r="B3621" i="33"/>
  <c r="U3620" i="33"/>
  <c r="B3620" i="33"/>
  <c r="U3619" i="33"/>
  <c r="B3619" i="33"/>
  <c r="U3618" i="33"/>
  <c r="B3618" i="33"/>
  <c r="U3617" i="33"/>
  <c r="Y1319" i="1"/>
  <c r="P1319" i="1"/>
  <c r="K3617" i="33" s="1"/>
  <c r="Q1319" i="1"/>
  <c r="AU1319" i="1" s="1"/>
  <c r="R1319" i="1"/>
  <c r="I3617" i="33" s="1"/>
  <c r="B3617" i="33"/>
  <c r="U3616" i="33"/>
  <c r="Y1217" i="1"/>
  <c r="P1217" i="1"/>
  <c r="Q1217" i="1"/>
  <c r="R1217" i="1"/>
  <c r="B3616" i="33"/>
  <c r="U3615" i="33"/>
  <c r="B3615" i="33"/>
  <c r="U3614" i="33"/>
  <c r="B3614" i="33"/>
  <c r="U3613" i="33"/>
  <c r="B3613" i="33"/>
  <c r="U3612" i="33"/>
  <c r="B3612" i="33"/>
  <c r="U3611" i="33"/>
  <c r="B3611" i="33"/>
  <c r="U3610" i="33"/>
  <c r="B3610" i="33"/>
  <c r="U3609" i="33"/>
  <c r="B3609" i="33"/>
  <c r="U3608" i="33"/>
  <c r="B3608" i="33"/>
  <c r="U3607" i="33"/>
  <c r="B3607" i="33"/>
  <c r="U3606" i="33"/>
  <c r="B3606" i="33"/>
  <c r="U3605" i="33"/>
  <c r="B3605" i="33"/>
  <c r="U3604" i="33"/>
  <c r="B3604" i="33"/>
  <c r="U3603" i="33"/>
  <c r="B3603" i="33"/>
  <c r="U3602" i="33"/>
  <c r="B3602" i="33"/>
  <c r="U3601" i="33"/>
  <c r="B3601" i="33"/>
  <c r="U3600" i="33"/>
  <c r="B3600" i="33"/>
  <c r="U3599" i="33"/>
  <c r="B3599" i="33"/>
  <c r="U3598" i="33"/>
  <c r="B3598" i="33"/>
  <c r="U3597" i="33"/>
  <c r="B3597" i="33"/>
  <c r="U3596" i="33"/>
  <c r="B3596" i="33"/>
  <c r="U3595" i="33"/>
  <c r="B3595" i="33"/>
  <c r="U3594" i="33"/>
  <c r="B3594" i="33"/>
  <c r="U3593" i="33"/>
  <c r="B3593" i="33"/>
  <c r="U3592" i="33"/>
  <c r="B3592" i="33"/>
  <c r="U3591" i="33"/>
  <c r="B3591" i="33"/>
  <c r="U3590" i="33"/>
  <c r="B3590" i="33"/>
  <c r="U3589" i="33"/>
  <c r="B3589" i="33"/>
  <c r="U3588" i="33"/>
  <c r="B3588" i="33"/>
  <c r="U3587" i="33"/>
  <c r="B3587" i="33"/>
  <c r="U3586" i="33"/>
  <c r="B3586" i="33"/>
  <c r="U3585" i="33"/>
  <c r="B3585" i="33"/>
  <c r="U3584" i="33"/>
  <c r="Y1276" i="1"/>
  <c r="P3658" i="33" s="1"/>
  <c r="P1276" i="1"/>
  <c r="Q1276" i="1"/>
  <c r="R1276" i="1"/>
  <c r="B3584" i="33"/>
  <c r="U3583" i="33"/>
  <c r="B3583" i="33"/>
  <c r="U3582" i="33"/>
  <c r="B3582" i="33"/>
  <c r="U3581" i="33"/>
  <c r="B3581" i="33"/>
  <c r="U3580" i="33"/>
  <c r="B3580" i="33"/>
  <c r="U3579" i="33"/>
  <c r="B3579" i="33"/>
  <c r="U3578" i="33"/>
  <c r="Y1215" i="1"/>
  <c r="P3576" i="33" s="1"/>
  <c r="P1215" i="1"/>
  <c r="K3576" i="33" s="1"/>
  <c r="Q1215" i="1"/>
  <c r="J3576" i="33" s="1"/>
  <c r="R1215" i="1"/>
  <c r="B3578" i="33"/>
  <c r="U3577" i="33"/>
  <c r="B3577" i="33"/>
  <c r="U3576" i="33"/>
  <c r="B3576" i="33"/>
  <c r="U3575" i="33"/>
  <c r="B3575" i="33"/>
  <c r="U3574" i="33"/>
  <c r="Y1020" i="1"/>
  <c r="AO1020" i="1" s="1"/>
  <c r="P1020" i="1"/>
  <c r="K3574" i="33" s="1"/>
  <c r="Q1020" i="1"/>
  <c r="R1020" i="1"/>
  <c r="B3574" i="33"/>
  <c r="U3573" i="33"/>
  <c r="Y1229" i="1"/>
  <c r="P1229" i="1"/>
  <c r="K3573" i="33" s="1"/>
  <c r="Q1229" i="1"/>
  <c r="J3573" i="33" s="1"/>
  <c r="R1229" i="1"/>
  <c r="I3573" i="33" s="1"/>
  <c r="B3573" i="33"/>
  <c r="U3572" i="33"/>
  <c r="B3572" i="33"/>
  <c r="U3571" i="33"/>
  <c r="B3571" i="33"/>
  <c r="U3570" i="33"/>
  <c r="B3570" i="33"/>
  <c r="U3569" i="33"/>
  <c r="B3569" i="33"/>
  <c r="U3568" i="33"/>
  <c r="Y1394" i="1"/>
  <c r="P3568" i="33" s="1"/>
  <c r="P1394" i="1"/>
  <c r="Q1394" i="1"/>
  <c r="J3564" i="33" s="1"/>
  <c r="R1394" i="1"/>
  <c r="B3568" i="33"/>
  <c r="U3567" i="33"/>
  <c r="B3567" i="33"/>
  <c r="U3566" i="33"/>
  <c r="B3566" i="33"/>
  <c r="U3565" i="33"/>
  <c r="B3565" i="33"/>
  <c r="U3564" i="33"/>
  <c r="B3564" i="33"/>
  <c r="U3563" i="33"/>
  <c r="Y1311" i="1"/>
  <c r="AO1311" i="1" s="1"/>
  <c r="P1311" i="1"/>
  <c r="K3563" i="33" s="1"/>
  <c r="Q1311" i="1"/>
  <c r="R1311" i="1"/>
  <c r="B3563" i="33"/>
  <c r="U3562" i="33"/>
  <c r="B3562" i="33"/>
  <c r="U3561" i="33"/>
  <c r="B3561" i="33"/>
  <c r="U3560" i="33"/>
  <c r="B3560" i="33"/>
  <c r="U3559" i="33"/>
  <c r="B3559" i="33"/>
  <c r="U3558" i="33"/>
  <c r="B3558" i="33"/>
  <c r="U3557" i="33"/>
  <c r="B3557" i="33"/>
  <c r="U3556" i="33"/>
  <c r="B3556" i="33"/>
  <c r="U3555" i="33"/>
  <c r="Y1257" i="1"/>
  <c r="P3555" i="33" s="1"/>
  <c r="P1257" i="1"/>
  <c r="Q1257" i="1"/>
  <c r="J3553" i="33" s="1"/>
  <c r="R1257" i="1"/>
  <c r="B3555" i="33"/>
  <c r="U3554" i="33"/>
  <c r="B3554" i="33"/>
  <c r="U3553" i="33"/>
  <c r="B3553" i="33"/>
  <c r="U3552" i="33"/>
  <c r="B3552" i="33"/>
  <c r="U3551" i="33"/>
  <c r="B3551" i="33"/>
  <c r="U3550" i="33"/>
  <c r="B3550" i="33"/>
  <c r="U3549" i="33"/>
  <c r="B3549" i="33"/>
  <c r="U3548" i="33"/>
  <c r="B3548" i="33"/>
  <c r="U3547" i="33"/>
  <c r="B3547" i="33"/>
  <c r="U3546" i="33"/>
  <c r="B3546" i="33"/>
  <c r="U3545" i="33"/>
  <c r="B3545" i="33"/>
  <c r="U3544" i="33"/>
  <c r="B3544" i="33"/>
  <c r="U3543" i="33"/>
  <c r="B3543" i="33"/>
  <c r="U3542" i="33"/>
  <c r="B3542" i="33"/>
  <c r="U3541" i="33"/>
  <c r="B3541" i="33"/>
  <c r="U3540" i="33"/>
  <c r="Y1269" i="1"/>
  <c r="AO1269" i="1" s="1"/>
  <c r="P1269" i="1"/>
  <c r="Q1269" i="1"/>
  <c r="R1269" i="1"/>
  <c r="I3539" i="33" s="1"/>
  <c r="B3540" i="33"/>
  <c r="U3539" i="33"/>
  <c r="B3539" i="33"/>
  <c r="U3538" i="33"/>
  <c r="B3538" i="33"/>
  <c r="U3537" i="33"/>
  <c r="B3537" i="33"/>
  <c r="U3536" i="33"/>
  <c r="B3536" i="33"/>
  <c r="U3535" i="33"/>
  <c r="Y1214" i="1"/>
  <c r="P1214" i="1"/>
  <c r="Q1214" i="1"/>
  <c r="AU1214" i="1" s="1"/>
  <c r="R1214" i="1"/>
  <c r="B3535" i="33"/>
  <c r="U3534" i="33"/>
  <c r="B3534" i="33"/>
  <c r="U3533" i="33"/>
  <c r="Y1365" i="1"/>
  <c r="AO1365" i="1" s="1"/>
  <c r="P1365" i="1"/>
  <c r="Q1365" i="1"/>
  <c r="AU1365" i="1" s="1"/>
  <c r="R1365" i="1"/>
  <c r="AT1365" i="1" s="1"/>
  <c r="B3533" i="33"/>
  <c r="U3532" i="33"/>
  <c r="B3532" i="33"/>
  <c r="U3531" i="33"/>
  <c r="B3531" i="33"/>
  <c r="U3530" i="33"/>
  <c r="B3530" i="33"/>
  <c r="U3529" i="33"/>
  <c r="B3529" i="33"/>
  <c r="U3528" i="33"/>
  <c r="B3528" i="33"/>
  <c r="U3527" i="33"/>
  <c r="Y1228" i="1"/>
  <c r="P1228" i="1"/>
  <c r="K3527" i="33" s="1"/>
  <c r="Q1228" i="1"/>
  <c r="AU1228" i="1" s="1"/>
  <c r="R1228" i="1"/>
  <c r="B3527" i="33"/>
  <c r="U3526" i="33"/>
  <c r="Y626" i="1"/>
  <c r="AO626" i="1" s="1"/>
  <c r="P626" i="1"/>
  <c r="K3526" i="33" s="1"/>
  <c r="Q626" i="1"/>
  <c r="R626" i="1"/>
  <c r="B3526" i="33"/>
  <c r="U3525" i="33"/>
  <c r="Y1183" i="1"/>
  <c r="P1183" i="1"/>
  <c r="Q1183" i="1"/>
  <c r="J3523" i="33" s="1"/>
  <c r="R1183" i="1"/>
  <c r="B3525" i="33"/>
  <c r="U3524" i="33"/>
  <c r="B3524" i="33"/>
  <c r="U3523" i="33"/>
  <c r="B3523" i="33"/>
  <c r="U3522" i="33"/>
  <c r="Y1329" i="1"/>
  <c r="P3520" i="33" s="1"/>
  <c r="P1329" i="1"/>
  <c r="Q1329" i="1"/>
  <c r="J3520" i="33" s="1"/>
  <c r="R1329" i="1"/>
  <c r="B3522" i="33"/>
  <c r="U3521" i="33"/>
  <c r="B3521" i="33"/>
  <c r="U3520" i="33"/>
  <c r="B3520" i="33"/>
  <c r="U3519" i="33"/>
  <c r="B3519" i="33"/>
  <c r="U3518" i="33"/>
  <c r="B3518" i="33"/>
  <c r="U3517" i="33"/>
  <c r="B3517" i="33"/>
  <c r="U3516" i="33"/>
  <c r="B3516" i="33"/>
  <c r="U3515" i="33"/>
  <c r="B3515" i="33"/>
  <c r="U3514" i="33"/>
  <c r="B3514" i="33"/>
  <c r="U3513" i="33"/>
  <c r="B3513" i="33"/>
  <c r="U3512" i="33"/>
  <c r="B3512" i="33"/>
  <c r="U3511" i="33"/>
  <c r="B3511" i="33"/>
  <c r="U3510" i="33"/>
  <c r="B3510" i="33"/>
  <c r="U3509" i="33"/>
  <c r="B3509" i="33"/>
  <c r="U3508" i="33"/>
  <c r="B3508" i="33"/>
  <c r="U3507" i="33"/>
  <c r="Y1153" i="1"/>
  <c r="AO1153" i="1" s="1"/>
  <c r="P1153" i="1"/>
  <c r="Q1153" i="1"/>
  <c r="R1153" i="1"/>
  <c r="B3507" i="33"/>
  <c r="U3506" i="33"/>
  <c r="B3506" i="33"/>
  <c r="U3505" i="33"/>
  <c r="Y1342" i="1"/>
  <c r="AO1342" i="1" s="1"/>
  <c r="P1342" i="1"/>
  <c r="Q1342" i="1"/>
  <c r="AU1342" i="1" s="1"/>
  <c r="R1342" i="1"/>
  <c r="AT1342" i="1" s="1"/>
  <c r="B3505" i="33"/>
  <c r="U3504" i="33"/>
  <c r="B3504" i="33"/>
  <c r="U3503" i="33"/>
  <c r="B3503" i="33"/>
  <c r="U3502" i="33"/>
  <c r="Y1201" i="1"/>
  <c r="AO1201" i="1" s="1"/>
  <c r="P1201" i="1"/>
  <c r="Q1201" i="1"/>
  <c r="R1201" i="1"/>
  <c r="B3502" i="33"/>
  <c r="U3501" i="33"/>
  <c r="B3501" i="33"/>
  <c r="U3500" i="33"/>
  <c r="Y1140" i="1"/>
  <c r="AO1140" i="1" s="1"/>
  <c r="P1140" i="1"/>
  <c r="Q1140" i="1"/>
  <c r="R1140" i="1"/>
  <c r="B3500" i="33"/>
  <c r="U3499" i="33"/>
  <c r="B3499" i="33"/>
  <c r="U3498" i="33"/>
  <c r="Y1165" i="1"/>
  <c r="P1165" i="1"/>
  <c r="K3498" i="33" s="1"/>
  <c r="Q1165" i="1"/>
  <c r="R1165" i="1"/>
  <c r="B3498" i="33"/>
  <c r="U3497" i="33"/>
  <c r="Y1327" i="1"/>
  <c r="P1327" i="1"/>
  <c r="Q1327" i="1"/>
  <c r="J3496" i="33" s="1"/>
  <c r="R1327" i="1"/>
  <c r="I3497" i="33" s="1"/>
  <c r="B3497" i="33"/>
  <c r="U3496" i="33"/>
  <c r="B3496" i="33"/>
  <c r="U3495" i="33"/>
  <c r="Y1164" i="1"/>
  <c r="P1164" i="1"/>
  <c r="K3495" i="33" s="1"/>
  <c r="Q1164" i="1"/>
  <c r="AU1164" i="1" s="1"/>
  <c r="R1164" i="1"/>
  <c r="B3495" i="33"/>
  <c r="U3494" i="33"/>
  <c r="Y1226" i="1"/>
  <c r="P3493" i="33" s="1"/>
  <c r="P1226" i="1"/>
  <c r="Q1226" i="1"/>
  <c r="J3494" i="33" s="1"/>
  <c r="R1226" i="1"/>
  <c r="B3494" i="33"/>
  <c r="U3493" i="33"/>
  <c r="B3493" i="33"/>
  <c r="U3492" i="33"/>
  <c r="B3492" i="33"/>
  <c r="U3491" i="33"/>
  <c r="B3491" i="33"/>
  <c r="U3490" i="33"/>
  <c r="B3490" i="33"/>
  <c r="U3489" i="33"/>
  <c r="B3489" i="33"/>
  <c r="U3488" i="33"/>
  <c r="B3488" i="33"/>
  <c r="U3487" i="33"/>
  <c r="B3487" i="33"/>
  <c r="U3486" i="33"/>
  <c r="B3486" i="33"/>
  <c r="U3485" i="33"/>
  <c r="B3485" i="33"/>
  <c r="U3484" i="33"/>
  <c r="B3484" i="33"/>
  <c r="U3483" i="33"/>
  <c r="B3483" i="33"/>
  <c r="U3482" i="33"/>
  <c r="B3482" i="33"/>
  <c r="U3481" i="33"/>
  <c r="B3481" i="33"/>
  <c r="U3480" i="33"/>
  <c r="B3480" i="33"/>
  <c r="U3479" i="33"/>
  <c r="B3479" i="33"/>
  <c r="U3478" i="33"/>
  <c r="B3478" i="33"/>
  <c r="U3477" i="33"/>
  <c r="B3477" i="33"/>
  <c r="U3476" i="33"/>
  <c r="B3476" i="33"/>
  <c r="U3475" i="33"/>
  <c r="B3475" i="33"/>
  <c r="U3474" i="33"/>
  <c r="B3474" i="33"/>
  <c r="U3473" i="33"/>
  <c r="B3473" i="33"/>
  <c r="U3472" i="33"/>
  <c r="B3472" i="33"/>
  <c r="U3471" i="33"/>
  <c r="Y1152" i="1"/>
  <c r="P3469" i="33" s="1"/>
  <c r="P1152" i="1"/>
  <c r="Q1152" i="1"/>
  <c r="AU1152" i="1" s="1"/>
  <c r="R1152" i="1"/>
  <c r="B3471" i="33"/>
  <c r="U3470" i="33"/>
  <c r="B3470" i="33"/>
  <c r="U3469" i="33"/>
  <c r="B3469" i="33"/>
  <c r="U3468" i="33"/>
  <c r="Y1260" i="1"/>
  <c r="P3467" i="33" s="1"/>
  <c r="P1260" i="1"/>
  <c r="Q1260" i="1"/>
  <c r="R1260" i="1"/>
  <c r="B3468" i="33"/>
  <c r="U3467" i="33"/>
  <c r="B3467" i="33"/>
  <c r="U3466" i="33"/>
  <c r="B3466" i="33"/>
  <c r="U3465" i="33"/>
  <c r="B3465" i="33"/>
  <c r="U3464" i="33"/>
  <c r="Y1096" i="1"/>
  <c r="AO1096" i="1" s="1"/>
  <c r="P1096" i="1"/>
  <c r="K3464" i="33" s="1"/>
  <c r="Q1096" i="1"/>
  <c r="R1096" i="1"/>
  <c r="B3464" i="33"/>
  <c r="U3463" i="33"/>
  <c r="P3463" i="33"/>
  <c r="B3463" i="33"/>
  <c r="U3462" i="33"/>
  <c r="P3462" i="33"/>
  <c r="B3462" i="33"/>
  <c r="Y1410" i="1"/>
  <c r="AO1410" i="1" s="1"/>
  <c r="P1410" i="1"/>
  <c r="Q1410" i="1"/>
  <c r="AU1410" i="1" s="1"/>
  <c r="R1410" i="1"/>
  <c r="AT1410" i="1" s="1"/>
  <c r="B3461" i="33"/>
  <c r="B3460" i="33"/>
  <c r="B3459" i="33"/>
  <c r="B3458" i="33"/>
  <c r="B3457" i="33"/>
  <c r="B3456" i="33"/>
  <c r="B3455" i="33"/>
  <c r="U3454" i="33"/>
  <c r="Y1347" i="1"/>
  <c r="P179" i="6" s="1"/>
  <c r="P1347" i="1"/>
  <c r="Q1347" i="1"/>
  <c r="J178" i="6" s="1"/>
  <c r="R1347" i="1"/>
  <c r="B3454" i="33"/>
  <c r="U3453" i="33"/>
  <c r="B3453" i="33"/>
  <c r="U3452" i="33"/>
  <c r="B3452" i="33"/>
  <c r="U3451" i="33"/>
  <c r="B3451" i="33"/>
  <c r="U3450" i="33"/>
  <c r="B3450" i="33"/>
  <c r="U3449" i="33"/>
  <c r="Y1138" i="1"/>
  <c r="P1138" i="1"/>
  <c r="Q1138" i="1"/>
  <c r="R1138" i="1"/>
  <c r="I3448" i="33" s="1"/>
  <c r="B3449" i="33"/>
  <c r="U3448" i="33"/>
  <c r="B3448" i="33"/>
  <c r="U3447" i="33"/>
  <c r="Y1390" i="1"/>
  <c r="AO1390" i="1" s="1"/>
  <c r="AQ1390" i="1" s="1"/>
  <c r="P1390" i="1"/>
  <c r="Q1390" i="1"/>
  <c r="R1390" i="1"/>
  <c r="AT1390" i="1" s="1"/>
  <c r="B3447" i="33"/>
  <c r="U3446" i="33"/>
  <c r="Y1193" i="1"/>
  <c r="P1193" i="1"/>
  <c r="Q1193" i="1"/>
  <c r="J3445" i="33" s="1"/>
  <c r="R1193" i="1"/>
  <c r="I3446" i="33" s="1"/>
  <c r="B3446" i="33"/>
  <c r="U3445" i="33"/>
  <c r="B3445" i="33"/>
  <c r="U3444" i="33"/>
  <c r="B3444" i="33"/>
  <c r="U3443" i="33"/>
  <c r="B3443" i="33"/>
  <c r="U3442" i="33"/>
  <c r="B3442" i="33"/>
  <c r="U3441" i="33"/>
  <c r="B3441" i="33"/>
  <c r="U3440" i="33"/>
  <c r="B3440" i="33"/>
  <c r="U3439" i="33"/>
  <c r="B3439" i="33"/>
  <c r="U3438" i="33"/>
  <c r="B3438" i="33"/>
  <c r="U3437" i="33"/>
  <c r="B3437" i="33"/>
  <c r="U3436" i="33"/>
  <c r="P3436" i="33"/>
  <c r="K3436" i="33"/>
  <c r="J3436" i="33"/>
  <c r="I3436" i="33"/>
  <c r="B3436" i="33"/>
  <c r="U3435" i="33"/>
  <c r="P3435" i="33"/>
  <c r="K3435" i="33"/>
  <c r="J3435" i="33"/>
  <c r="I3435" i="33"/>
  <c r="B3435" i="33"/>
  <c r="U3434" i="33"/>
  <c r="P3434" i="33"/>
  <c r="K3434" i="33"/>
  <c r="J3434" i="33"/>
  <c r="I3434" i="33"/>
  <c r="B3434" i="33"/>
  <c r="U3433" i="33"/>
  <c r="P3433" i="33"/>
  <c r="K3433" i="33"/>
  <c r="J3433" i="33"/>
  <c r="I3433" i="33"/>
  <c r="B3433" i="33"/>
  <c r="U3432" i="33"/>
  <c r="Y1150" i="1"/>
  <c r="P3431" i="33" s="1"/>
  <c r="P1150" i="1"/>
  <c r="K3432" i="33" s="1"/>
  <c r="Q1150" i="1"/>
  <c r="R1150" i="1"/>
  <c r="B3432" i="33"/>
  <c r="U3431" i="33"/>
  <c r="B3431" i="33"/>
  <c r="U3430" i="33"/>
  <c r="B3430" i="33"/>
  <c r="U3429" i="33"/>
  <c r="Y1040" i="1"/>
  <c r="P3427" i="33" s="1"/>
  <c r="P1040" i="1"/>
  <c r="K3427" i="33" s="1"/>
  <c r="Q1040" i="1"/>
  <c r="R1040" i="1"/>
  <c r="B3429" i="33"/>
  <c r="U3428" i="33"/>
  <c r="B3428" i="33"/>
  <c r="U3427" i="33"/>
  <c r="B3427" i="33"/>
  <c r="U3426" i="33"/>
  <c r="Y1162" i="1"/>
  <c r="P1162" i="1"/>
  <c r="K3426" i="33" s="1"/>
  <c r="Q1162" i="1"/>
  <c r="J3425" i="33" s="1"/>
  <c r="R1162" i="1"/>
  <c r="I3425" i="33" s="1"/>
  <c r="B3426" i="33"/>
  <c r="U3425" i="33"/>
  <c r="B3425" i="33"/>
  <c r="U3424" i="33"/>
  <c r="B3424" i="33"/>
  <c r="U3423" i="33"/>
  <c r="B3423" i="33"/>
  <c r="U3422" i="33"/>
  <c r="B3422" i="33"/>
  <c r="U3421" i="33"/>
  <c r="B3421" i="33"/>
  <c r="U3420" i="33"/>
  <c r="B3420" i="33"/>
  <c r="U3419" i="33"/>
  <c r="B3419" i="33"/>
  <c r="U3418" i="33"/>
  <c r="B3418" i="33"/>
  <c r="U3417" i="33"/>
  <c r="B3417" i="33"/>
  <c r="U3416" i="33"/>
  <c r="Y1041" i="1"/>
  <c r="P1041" i="1"/>
  <c r="K3415" i="33" s="1"/>
  <c r="Q1041" i="1"/>
  <c r="R1041" i="1"/>
  <c r="I3415" i="33" s="1"/>
  <c r="B3416" i="33"/>
  <c r="U3415" i="33"/>
  <c r="B3415" i="33"/>
  <c r="U3414" i="33"/>
  <c r="Y1178" i="1"/>
  <c r="P3412" i="33" s="1"/>
  <c r="P1178" i="1"/>
  <c r="Q1178" i="1"/>
  <c r="R1178" i="1"/>
  <c r="B3414" i="33"/>
  <c r="U3413" i="33"/>
  <c r="B3413" i="33"/>
  <c r="U3412" i="33"/>
  <c r="B3412" i="33"/>
  <c r="U3411" i="33"/>
  <c r="Y1246" i="1"/>
  <c r="P3411" i="33" s="1"/>
  <c r="P1246" i="1"/>
  <c r="Q1246" i="1"/>
  <c r="R1246" i="1"/>
  <c r="B3411" i="33"/>
  <c r="U3410" i="33"/>
  <c r="B3410" i="33"/>
  <c r="U3409" i="33"/>
  <c r="Y1237" i="1"/>
  <c r="P1237" i="1"/>
  <c r="K3409" i="33" s="1"/>
  <c r="Q1237" i="1"/>
  <c r="R1237" i="1"/>
  <c r="AT1237" i="1" s="1"/>
  <c r="B3409" i="33"/>
  <c r="U3408" i="33"/>
  <c r="B3408" i="33"/>
  <c r="U3407" i="33"/>
  <c r="B3407" i="33"/>
  <c r="U3406" i="33"/>
  <c r="B3406" i="33"/>
  <c r="U3405" i="33"/>
  <c r="B3405" i="33"/>
  <c r="U3404" i="33"/>
  <c r="B3404" i="33"/>
  <c r="U3403" i="33"/>
  <c r="Y1157" i="1"/>
  <c r="P1157" i="1"/>
  <c r="Q1157" i="1"/>
  <c r="R1157" i="1"/>
  <c r="AT1157" i="1" s="1"/>
  <c r="B3403" i="33"/>
  <c r="U3402" i="33"/>
  <c r="B3402" i="33"/>
  <c r="U3401" i="33"/>
  <c r="P3401" i="33"/>
  <c r="B3401" i="33"/>
  <c r="U3400" i="33"/>
  <c r="Y1278" i="1"/>
  <c r="AO1278" i="1" s="1"/>
  <c r="AQ1278" i="1" s="1"/>
  <c r="P1278" i="1"/>
  <c r="Q1278" i="1"/>
  <c r="AU1278" i="1" s="1"/>
  <c r="R1278" i="1"/>
  <c r="AT1278" i="1" s="1"/>
  <c r="B3400" i="33"/>
  <c r="U3399" i="33"/>
  <c r="B3399" i="33"/>
  <c r="U3398" i="33"/>
  <c r="B3398" i="33"/>
  <c r="U3397" i="33"/>
  <c r="B3397" i="33"/>
  <c r="U3396" i="33"/>
  <c r="B3396" i="33"/>
  <c r="U3395" i="33"/>
  <c r="B3395" i="33"/>
  <c r="U3394" i="33"/>
  <c r="B3394" i="33"/>
  <c r="U3393" i="33"/>
  <c r="B3393" i="33"/>
  <c r="U3392" i="33"/>
  <c r="Y1034" i="1"/>
  <c r="P1034" i="1"/>
  <c r="Q1034" i="1"/>
  <c r="R1034" i="1"/>
  <c r="B3392" i="33"/>
  <c r="U3391" i="33"/>
  <c r="B3391" i="33"/>
  <c r="U3390" i="33"/>
  <c r="B3390" i="33"/>
  <c r="U3389" i="33"/>
  <c r="B3389" i="33"/>
  <c r="U3388" i="33"/>
  <c r="Y1036" i="1"/>
  <c r="P3388" i="33" s="1"/>
  <c r="P1036" i="1"/>
  <c r="Q1036" i="1"/>
  <c r="R1036" i="1"/>
  <c r="B3388" i="33"/>
  <c r="U3387" i="33"/>
  <c r="B3387" i="33"/>
  <c r="U3386" i="33"/>
  <c r="B3386" i="33"/>
  <c r="U3385" i="33"/>
  <c r="Y1174" i="1"/>
  <c r="P3383" i="33" s="1"/>
  <c r="P1174" i="1"/>
  <c r="Q1174" i="1"/>
  <c r="J3381" i="33" s="1"/>
  <c r="R1174" i="1"/>
  <c r="B3385" i="33"/>
  <c r="U3384" i="33"/>
  <c r="B3384" i="33"/>
  <c r="U3383" i="33"/>
  <c r="B3383" i="33"/>
  <c r="U3382" i="33"/>
  <c r="B3382" i="33"/>
  <c r="U3381" i="33"/>
  <c r="B3381" i="33"/>
  <c r="U3380" i="33"/>
  <c r="Y1238" i="1"/>
  <c r="AO1238" i="1" s="1"/>
  <c r="AQ1238" i="1" s="1"/>
  <c r="P1238" i="1"/>
  <c r="K3379" i="33" s="1"/>
  <c r="Q1238" i="1"/>
  <c r="R1238" i="1"/>
  <c r="B3380" i="33"/>
  <c r="U3379" i="33"/>
  <c r="B3379" i="33"/>
  <c r="U3378" i="33"/>
  <c r="Y1033" i="1"/>
  <c r="P3377" i="33" s="1"/>
  <c r="P1033" i="1"/>
  <c r="Q1033" i="1"/>
  <c r="R1033" i="1"/>
  <c r="B3378" i="33"/>
  <c r="U3377" i="33"/>
  <c r="B3377" i="33"/>
  <c r="U3376" i="33"/>
  <c r="B3376" i="33"/>
  <c r="U3375" i="33"/>
  <c r="Y1042" i="1"/>
  <c r="P1042" i="1"/>
  <c r="Q1042" i="1"/>
  <c r="R1042" i="1"/>
  <c r="I3372" i="33" s="1"/>
  <c r="B3375" i="33"/>
  <c r="U3374" i="33"/>
  <c r="B3374" i="33"/>
  <c r="U3373" i="33"/>
  <c r="B3373" i="33"/>
  <c r="U3372" i="33"/>
  <c r="B3372" i="33"/>
  <c r="U3371" i="33"/>
  <c r="Y1168" i="1"/>
  <c r="P1168" i="1"/>
  <c r="K3370" i="33" s="1"/>
  <c r="Q1168" i="1"/>
  <c r="AU1168" i="1" s="1"/>
  <c r="R1168" i="1"/>
  <c r="I3370" i="33" s="1"/>
  <c r="B3371" i="33"/>
  <c r="U3370" i="33"/>
  <c r="B3370" i="33"/>
  <c r="U3369" i="33"/>
  <c r="B3369" i="33"/>
  <c r="U3368" i="33"/>
  <c r="Y999" i="1"/>
  <c r="P999" i="1"/>
  <c r="K3366" i="33" s="1"/>
  <c r="Q999" i="1"/>
  <c r="R999" i="1"/>
  <c r="B3368" i="33"/>
  <c r="U3367" i="33"/>
  <c r="B3367" i="33"/>
  <c r="U3366" i="33"/>
  <c r="B3366" i="33"/>
  <c r="U3365" i="33"/>
  <c r="B3365" i="33"/>
  <c r="U3364" i="33"/>
  <c r="B3364" i="33"/>
  <c r="Y1160" i="1"/>
  <c r="P1160" i="1"/>
  <c r="Q1160" i="1"/>
  <c r="R1160" i="1"/>
  <c r="B3363" i="33"/>
  <c r="B3362" i="33"/>
  <c r="B3361" i="33"/>
  <c r="B3360" i="33"/>
  <c r="U3359" i="33"/>
  <c r="B3359" i="33"/>
  <c r="U3358" i="33"/>
  <c r="B3358" i="33"/>
  <c r="U3357" i="33"/>
  <c r="B3357" i="33"/>
  <c r="U3356" i="33"/>
  <c r="Y1155" i="1"/>
  <c r="P1155" i="1"/>
  <c r="K3355" i="33" s="1"/>
  <c r="Q1155" i="1"/>
  <c r="J3354" i="33" s="1"/>
  <c r="R1155" i="1"/>
  <c r="B3356" i="33"/>
  <c r="U3355" i="33"/>
  <c r="B3355" i="33"/>
  <c r="U3354" i="33"/>
  <c r="B3354" i="33"/>
  <c r="U3353" i="33"/>
  <c r="Y1172" i="1"/>
  <c r="AO1172" i="1" s="1"/>
  <c r="P1172" i="1"/>
  <c r="K3353" i="33" s="1"/>
  <c r="Q1172" i="1"/>
  <c r="J3353" i="33" s="1"/>
  <c r="R1172" i="1"/>
  <c r="I3353" i="33" s="1"/>
  <c r="B3353" i="33"/>
  <c r="U3352" i="33"/>
  <c r="B3352" i="33"/>
  <c r="U3351" i="33"/>
  <c r="Y1108" i="1"/>
  <c r="P3348" i="33" s="1"/>
  <c r="P1108" i="1"/>
  <c r="Q1108" i="1"/>
  <c r="J3351" i="33" s="1"/>
  <c r="R1108" i="1"/>
  <c r="I3349" i="33" s="1"/>
  <c r="B3351" i="33"/>
  <c r="U3350" i="33"/>
  <c r="B3350" i="33"/>
  <c r="U3349" i="33"/>
  <c r="B3349" i="33"/>
  <c r="U3348" i="33"/>
  <c r="B3348" i="33"/>
  <c r="U3347" i="33"/>
  <c r="B3347" i="33"/>
  <c r="U3346" i="33"/>
  <c r="B3346" i="33"/>
  <c r="U3345" i="33"/>
  <c r="B3345" i="33"/>
  <c r="U3344" i="33"/>
  <c r="Y1115" i="1"/>
  <c r="AO1115" i="1" s="1"/>
  <c r="P1115" i="1"/>
  <c r="K3344" i="33" s="1"/>
  <c r="Q1115" i="1"/>
  <c r="R1115" i="1"/>
  <c r="AT1115" i="1" s="1"/>
  <c r="B3344" i="33"/>
  <c r="U3343" i="33"/>
  <c r="Y1118" i="1"/>
  <c r="P3342" i="33" s="1"/>
  <c r="P1118" i="1"/>
  <c r="Q1118" i="1"/>
  <c r="AU1118" i="1" s="1"/>
  <c r="R1118" i="1"/>
  <c r="B3343" i="33"/>
  <c r="U3342" i="33"/>
  <c r="B3342" i="33"/>
  <c r="U3341" i="33"/>
  <c r="B3341" i="33"/>
  <c r="U3340" i="33"/>
  <c r="B3340" i="33"/>
  <c r="U3339" i="33"/>
  <c r="Y1043" i="1"/>
  <c r="P1043" i="1"/>
  <c r="K3338" i="33" s="1"/>
  <c r="Q1043" i="1"/>
  <c r="AU1043" i="1" s="1"/>
  <c r="R1043" i="1"/>
  <c r="I3338" i="33" s="1"/>
  <c r="B3339" i="33"/>
  <c r="U3338" i="33"/>
  <c r="B3338" i="33"/>
  <c r="U3337" i="33"/>
  <c r="B3337" i="33"/>
  <c r="U3336" i="33"/>
  <c r="Y1148" i="1"/>
  <c r="P1148" i="1"/>
  <c r="K3334" i="33" s="1"/>
  <c r="Q1148" i="1"/>
  <c r="R1148" i="1"/>
  <c r="B3336" i="33"/>
  <c r="U3335" i="33"/>
  <c r="B3335" i="33"/>
  <c r="U3334" i="33"/>
  <c r="B3334" i="33"/>
  <c r="U3333" i="33"/>
  <c r="B3333" i="33"/>
  <c r="U3332" i="33"/>
  <c r="B3332" i="33"/>
  <c r="U3331" i="33"/>
  <c r="B3331" i="33"/>
  <c r="U3330" i="33"/>
  <c r="B3330" i="33"/>
  <c r="U3329" i="33"/>
  <c r="Y1080" i="1"/>
  <c r="P3326" i="33" s="1"/>
  <c r="P1080" i="1"/>
  <c r="K3329" i="33" s="1"/>
  <c r="Q1080" i="1"/>
  <c r="J3328" i="33" s="1"/>
  <c r="R1080" i="1"/>
  <c r="I3328" i="33" s="1"/>
  <c r="B3329" i="33"/>
  <c r="U3328" i="33"/>
  <c r="B3328" i="33"/>
  <c r="U3327" i="33"/>
  <c r="B3327" i="33"/>
  <c r="U3326" i="33"/>
  <c r="B3326" i="33"/>
  <c r="U3325" i="33"/>
  <c r="B3325" i="33"/>
  <c r="U3324" i="33"/>
  <c r="Y996" i="1"/>
  <c r="P996" i="1"/>
  <c r="K3324" i="33" s="1"/>
  <c r="Q996" i="1"/>
  <c r="R996" i="1"/>
  <c r="B3324" i="33"/>
  <c r="U3323" i="33"/>
  <c r="B3323" i="33"/>
  <c r="U3322" i="33"/>
  <c r="Y1024" i="1"/>
  <c r="AO1024" i="1" s="1"/>
  <c r="P1024" i="1"/>
  <c r="K3322" i="33" s="1"/>
  <c r="Q1024" i="1"/>
  <c r="R1024" i="1"/>
  <c r="B3322" i="33"/>
  <c r="U3321" i="33"/>
  <c r="Y1216" i="1"/>
  <c r="P1216" i="1"/>
  <c r="Q1216" i="1"/>
  <c r="R1216" i="1"/>
  <c r="B3321" i="33"/>
  <c r="U3320" i="33"/>
  <c r="B3320" i="33"/>
  <c r="U3319" i="33"/>
  <c r="B3319" i="33"/>
  <c r="U3318" i="33"/>
  <c r="Y1023" i="1"/>
  <c r="AO1023" i="1" s="1"/>
  <c r="P1023" i="1"/>
  <c r="K3318" i="33" s="1"/>
  <c r="Q1023" i="1"/>
  <c r="R1023" i="1"/>
  <c r="B3318" i="33"/>
  <c r="U3317" i="33"/>
  <c r="B3317" i="33"/>
  <c r="U3316" i="33"/>
  <c r="B3316" i="33"/>
  <c r="U3315" i="33"/>
  <c r="B3315" i="33"/>
  <c r="U3314" i="33"/>
  <c r="Y1022" i="1"/>
  <c r="AO1022" i="1" s="1"/>
  <c r="AQ1022" i="1" s="1"/>
  <c r="P1022" i="1"/>
  <c r="K3314" i="33" s="1"/>
  <c r="Q1022" i="1"/>
  <c r="J3314" i="33" s="1"/>
  <c r="R1022" i="1"/>
  <c r="B3314" i="33"/>
  <c r="U3313" i="33"/>
  <c r="Y1050" i="1"/>
  <c r="P1050" i="1"/>
  <c r="Q1050" i="1"/>
  <c r="J3311" i="33" s="1"/>
  <c r="R1050" i="1"/>
  <c r="B3313" i="33"/>
  <c r="U3312" i="33"/>
  <c r="B3312" i="33"/>
  <c r="U3311" i="33"/>
  <c r="B3311" i="33"/>
  <c r="U3310" i="33"/>
  <c r="B3310" i="33"/>
  <c r="U3309" i="33"/>
  <c r="B3309" i="33"/>
  <c r="U3308" i="33"/>
  <c r="Y1029" i="1"/>
  <c r="P1029" i="1"/>
  <c r="K3308" i="33" s="1"/>
  <c r="Q1029" i="1"/>
  <c r="R1029" i="1"/>
  <c r="B3308" i="33"/>
  <c r="U3307" i="33"/>
  <c r="B3307" i="33"/>
  <c r="U3306" i="33"/>
  <c r="Y1166" i="1"/>
  <c r="P1166" i="1"/>
  <c r="K3306" i="33" s="1"/>
  <c r="Q1166" i="1"/>
  <c r="R1166" i="1"/>
  <c r="B3306" i="33"/>
  <c r="U3305" i="33"/>
  <c r="Y1248" i="1"/>
  <c r="P3303" i="33" s="1"/>
  <c r="P1248" i="1"/>
  <c r="Q1248" i="1"/>
  <c r="J3303" i="33" s="1"/>
  <c r="R1248" i="1"/>
  <c r="I3303" i="33" s="1"/>
  <c r="B3305" i="33"/>
  <c r="U3304" i="33"/>
  <c r="B3304" i="33"/>
  <c r="U3303" i="33"/>
  <c r="B3303" i="33"/>
  <c r="U3302" i="33"/>
  <c r="B3302" i="33"/>
  <c r="U3301" i="33"/>
  <c r="B3301" i="33"/>
  <c r="U3300" i="33"/>
  <c r="B3300" i="33"/>
  <c r="U3299" i="33"/>
  <c r="B3299" i="33"/>
  <c r="U3298" i="33"/>
  <c r="B3298" i="33"/>
  <c r="U3297" i="33"/>
  <c r="B3297" i="33"/>
  <c r="U3296" i="33"/>
  <c r="Y1255" i="1"/>
  <c r="P3296" i="33" s="1"/>
  <c r="P1255" i="1"/>
  <c r="Q1255" i="1"/>
  <c r="R1255" i="1"/>
  <c r="I3294" i="33" s="1"/>
  <c r="B3296" i="33"/>
  <c r="U3295" i="33"/>
  <c r="B3295" i="33"/>
  <c r="U3294" i="33"/>
  <c r="B3294" i="33"/>
  <c r="U3293" i="33"/>
  <c r="B3293" i="33"/>
  <c r="U3292" i="33"/>
  <c r="Y1045" i="1"/>
  <c r="P1045" i="1"/>
  <c r="K3291" i="33" s="1"/>
  <c r="Q1045" i="1"/>
  <c r="R1045" i="1"/>
  <c r="B3292" i="33"/>
  <c r="U3291" i="33"/>
  <c r="B3291" i="33"/>
  <c r="U3290" i="33"/>
  <c r="B3290" i="33"/>
  <c r="U3289" i="33"/>
  <c r="B3289" i="33"/>
  <c r="U3288" i="33"/>
  <c r="B3288" i="33"/>
  <c r="U3287" i="33"/>
  <c r="Y1031" i="1"/>
  <c r="P1031" i="1"/>
  <c r="Q1031" i="1"/>
  <c r="R1031" i="1"/>
  <c r="B3287" i="33"/>
  <c r="U3286" i="33"/>
  <c r="B3286" i="33"/>
  <c r="U3285" i="33"/>
  <c r="B3285" i="33"/>
  <c r="U3284" i="33"/>
  <c r="B3284" i="33"/>
  <c r="U3283" i="33"/>
  <c r="Y978" i="1"/>
  <c r="AO978" i="1" s="1"/>
  <c r="AQ978" i="1" s="1"/>
  <c r="P978" i="1"/>
  <c r="Q978" i="1"/>
  <c r="AU978" i="1" s="1"/>
  <c r="R978" i="1"/>
  <c r="I3282" i="33" s="1"/>
  <c r="B3283" i="33"/>
  <c r="U3282" i="33"/>
  <c r="B3282" i="33"/>
  <c r="U3281" i="33"/>
  <c r="B3281" i="33"/>
  <c r="U3280" i="33"/>
  <c r="Y1095" i="1"/>
  <c r="AO1095" i="1" s="1"/>
  <c r="P1095" i="1"/>
  <c r="K3277" i="33" s="1"/>
  <c r="Q1095" i="1"/>
  <c r="J3278" i="33" s="1"/>
  <c r="R1095" i="1"/>
  <c r="B3280" i="33"/>
  <c r="U3279" i="33"/>
  <c r="B3279" i="33"/>
  <c r="U3278" i="33"/>
  <c r="B3278" i="33"/>
  <c r="U3277" i="33"/>
  <c r="B3277" i="33"/>
  <c r="U3276" i="33"/>
  <c r="Y1131" i="1"/>
  <c r="P3274" i="33" s="1"/>
  <c r="P1131" i="1"/>
  <c r="Q1131" i="1"/>
  <c r="J3274" i="33" s="1"/>
  <c r="R1131" i="1"/>
  <c r="B3276" i="33"/>
  <c r="U3275" i="33"/>
  <c r="B3275" i="33"/>
  <c r="U3274" i="33"/>
  <c r="B3274" i="33"/>
  <c r="U3273" i="33"/>
  <c r="Y1044" i="1"/>
  <c r="P3264" i="33" s="1"/>
  <c r="P1044" i="1"/>
  <c r="Q1044" i="1"/>
  <c r="J3273" i="33" s="1"/>
  <c r="R1044" i="1"/>
  <c r="I3264" i="33" s="1"/>
  <c r="B3273" i="33"/>
  <c r="U3272" i="33"/>
  <c r="B3272" i="33"/>
  <c r="U3271" i="33"/>
  <c r="B3271" i="33"/>
  <c r="U3270" i="33"/>
  <c r="B3270" i="33"/>
  <c r="U3269" i="33"/>
  <c r="B3269" i="33"/>
  <c r="U3268" i="33"/>
  <c r="B3268" i="33"/>
  <c r="U3267" i="33"/>
  <c r="B3267" i="33"/>
  <c r="U3266" i="33"/>
  <c r="B3266" i="33"/>
  <c r="U3265" i="33"/>
  <c r="B3265" i="33"/>
  <c r="U3264" i="33"/>
  <c r="B3264" i="33"/>
  <c r="U3263" i="33"/>
  <c r="B3263" i="33"/>
  <c r="U3262" i="33"/>
  <c r="B3262" i="33"/>
  <c r="U3261" i="33"/>
  <c r="B3261" i="33"/>
  <c r="U3260" i="33"/>
  <c r="B3260" i="33"/>
  <c r="U3259" i="33"/>
  <c r="B3259" i="33"/>
  <c r="U3258" i="33"/>
  <c r="B3258" i="33"/>
  <c r="U3257" i="33"/>
  <c r="Y1414" i="1"/>
  <c r="AO1414" i="1" s="1"/>
  <c r="P1414" i="1"/>
  <c r="K3257" i="33"/>
  <c r="Q1414" i="1"/>
  <c r="AU1414" i="1" s="1"/>
  <c r="R1414" i="1"/>
  <c r="AT1414" i="1" s="1"/>
  <c r="B3257" i="33"/>
  <c r="U3256" i="33"/>
  <c r="B3256" i="33"/>
  <c r="U3255" i="33"/>
  <c r="B3255" i="33"/>
  <c r="U3254" i="33"/>
  <c r="Y979" i="1"/>
  <c r="P979" i="1"/>
  <c r="Q979" i="1"/>
  <c r="R979" i="1"/>
  <c r="I3254" i="33" s="1"/>
  <c r="B3254" i="33"/>
  <c r="U3253" i="33"/>
  <c r="B3253" i="33"/>
  <c r="U3252" i="33"/>
  <c r="B3252" i="33"/>
  <c r="U3251" i="33"/>
  <c r="Y1047" i="1"/>
  <c r="P3248" i="33" s="1"/>
  <c r="P1047" i="1"/>
  <c r="Q1047" i="1"/>
  <c r="R1047" i="1"/>
  <c r="B3251" i="33"/>
  <c r="U3250" i="33"/>
  <c r="B3250" i="33"/>
  <c r="U3249" i="33"/>
  <c r="B3249" i="33"/>
  <c r="U3248" i="33"/>
  <c r="B3248" i="33"/>
  <c r="U3247" i="33"/>
  <c r="Y983" i="1"/>
  <c r="P3246" i="33" s="1"/>
  <c r="P983" i="1"/>
  <c r="Q983" i="1"/>
  <c r="R983" i="1"/>
  <c r="B3247" i="33"/>
  <c r="U3246" i="33"/>
  <c r="B3246" i="33"/>
  <c r="U3245" i="33"/>
  <c r="B3245" i="33"/>
  <c r="U3244" i="33"/>
  <c r="B3244" i="33"/>
  <c r="U3243" i="33"/>
  <c r="B3243" i="33"/>
  <c r="U3242" i="33"/>
  <c r="B3242" i="33"/>
  <c r="U3241" i="33"/>
  <c r="B3241" i="33"/>
  <c r="U3240" i="33"/>
  <c r="B3240" i="33"/>
  <c r="U3239" i="33"/>
  <c r="B3239" i="33"/>
  <c r="U3238" i="33"/>
  <c r="B3238" i="33"/>
  <c r="U3237" i="33"/>
  <c r="B3237" i="33"/>
  <c r="U3236" i="33"/>
  <c r="B3236" i="33"/>
  <c r="U3235" i="33"/>
  <c r="B3235" i="33"/>
  <c r="U3234" i="33"/>
  <c r="B3234" i="33"/>
  <c r="U3233" i="33"/>
  <c r="B3233" i="33"/>
  <c r="U3232" i="33"/>
  <c r="B3232" i="33"/>
  <c r="U3231" i="33"/>
  <c r="Y1068" i="1"/>
  <c r="P1068" i="1"/>
  <c r="K3231" i="33" s="1"/>
  <c r="Q1068" i="1"/>
  <c r="J3228" i="33" s="1"/>
  <c r="R1068" i="1"/>
  <c r="B3231" i="33"/>
  <c r="U3230" i="33"/>
  <c r="B3230" i="33"/>
  <c r="U3229" i="33"/>
  <c r="B3229" i="33"/>
  <c r="U3228" i="33"/>
  <c r="B3228" i="33"/>
  <c r="U3227" i="33"/>
  <c r="B3227" i="33"/>
  <c r="U3226" i="33"/>
  <c r="B3226" i="33"/>
  <c r="U3225" i="33"/>
  <c r="B3225" i="33"/>
  <c r="U3224" i="33"/>
  <c r="B3224" i="33"/>
  <c r="U3223" i="33"/>
  <c r="Y969" i="1"/>
  <c r="P969" i="1"/>
  <c r="Q969" i="1"/>
  <c r="R969" i="1"/>
  <c r="B3223" i="33"/>
  <c r="U3222" i="33"/>
  <c r="B3222" i="33"/>
  <c r="U3221" i="33"/>
  <c r="B3221" i="33"/>
  <c r="U3220" i="33"/>
  <c r="B3220" i="33"/>
  <c r="U3219" i="33"/>
  <c r="B3219" i="33"/>
  <c r="U3218" i="33"/>
  <c r="B3218" i="33"/>
  <c r="U3217" i="33"/>
  <c r="Y1061" i="1"/>
  <c r="P3217" i="33" s="1"/>
  <c r="P1061" i="1"/>
  <c r="K3211" i="33" s="1"/>
  <c r="Q1061" i="1"/>
  <c r="J3216" i="33" s="1"/>
  <c r="R1061" i="1"/>
  <c r="B3217" i="33"/>
  <c r="U3216" i="33"/>
  <c r="B3216" i="33"/>
  <c r="U3215" i="33"/>
  <c r="B3215" i="33"/>
  <c r="U3214" i="33"/>
  <c r="B3214" i="33"/>
  <c r="U3213" i="33"/>
  <c r="B3213" i="33"/>
  <c r="U3212" i="33"/>
  <c r="B3212" i="33"/>
  <c r="U3211" i="33"/>
  <c r="B3211" i="33"/>
  <c r="U3210" i="33"/>
  <c r="B3210" i="33"/>
  <c r="U3209" i="33"/>
  <c r="Y1107" i="1"/>
  <c r="P1107" i="1"/>
  <c r="K3209" i="33" s="1"/>
  <c r="Q1107" i="1"/>
  <c r="R1107" i="1"/>
  <c r="B3209" i="33"/>
  <c r="U3208" i="33"/>
  <c r="Y970" i="1"/>
  <c r="P970" i="1"/>
  <c r="Q970" i="1"/>
  <c r="R970" i="1"/>
  <c r="B3208" i="33"/>
  <c r="U3207" i="33"/>
  <c r="B3207" i="33"/>
  <c r="U3206" i="33"/>
  <c r="Y1032" i="1"/>
  <c r="P1032" i="1"/>
  <c r="Q1032" i="1"/>
  <c r="R1032" i="1"/>
  <c r="I3204" i="33" s="1"/>
  <c r="B3206" i="33"/>
  <c r="U3205" i="33"/>
  <c r="B3205" i="33"/>
  <c r="U3204" i="33"/>
  <c r="B3204" i="33"/>
  <c r="U3203" i="33"/>
  <c r="B3203" i="33"/>
  <c r="U3202" i="33"/>
  <c r="B3202" i="33"/>
  <c r="U3201" i="33"/>
  <c r="Y1139" i="1"/>
  <c r="P3200" i="33" s="1"/>
  <c r="P1139" i="1"/>
  <c r="Q1139" i="1"/>
  <c r="R1139" i="1"/>
  <c r="B3201" i="33"/>
  <c r="U3200" i="33"/>
  <c r="B3200" i="33"/>
  <c r="U3199" i="33"/>
  <c r="Y1038" i="1"/>
  <c r="P1038" i="1"/>
  <c r="K3199" i="33" s="1"/>
  <c r="Q1038" i="1"/>
  <c r="J3196" i="33" s="1"/>
  <c r="R1038" i="1"/>
  <c r="I3197" i="33" s="1"/>
  <c r="B3199" i="33"/>
  <c r="U3198" i="33"/>
  <c r="B3198" i="33"/>
  <c r="U3197" i="33"/>
  <c r="B3197" i="33"/>
  <c r="U3196" i="33"/>
  <c r="B3196" i="33"/>
  <c r="U3195" i="33"/>
  <c r="Y1345" i="1"/>
  <c r="AO1345" i="1" s="1"/>
  <c r="P1345" i="1"/>
  <c r="Q1345" i="1"/>
  <c r="AU1345" i="1" s="1"/>
  <c r="R1345" i="1"/>
  <c r="AT1345" i="1" s="1"/>
  <c r="B3195" i="33"/>
  <c r="U3194" i="33"/>
  <c r="B3194" i="33"/>
  <c r="U3193" i="33"/>
  <c r="B3193" i="33"/>
  <c r="U3192" i="33"/>
  <c r="B3192" i="33"/>
  <c r="U3191" i="33"/>
  <c r="B3191" i="33"/>
  <c r="U3190" i="33"/>
  <c r="Y909" i="1"/>
  <c r="P909" i="1"/>
  <c r="Q909" i="1"/>
  <c r="R909" i="1"/>
  <c r="I3190" i="33" s="1"/>
  <c r="B3190" i="33"/>
  <c r="U3189" i="33"/>
  <c r="B3189" i="33"/>
  <c r="U3188" i="33"/>
  <c r="B3188" i="33"/>
  <c r="U3187" i="33"/>
  <c r="B3187" i="33"/>
  <c r="U3186" i="33"/>
  <c r="B3186" i="33"/>
  <c r="U3185" i="33"/>
  <c r="Y1104" i="1"/>
  <c r="P3184" i="33" s="1"/>
  <c r="P1104" i="1"/>
  <c r="K3184" i="33" s="1"/>
  <c r="Q1104" i="1"/>
  <c r="J3184" i="33" s="1"/>
  <c r="R1104" i="1"/>
  <c r="B3185" i="33"/>
  <c r="U3184" i="33"/>
  <c r="B3184" i="33"/>
  <c r="U3183" i="33"/>
  <c r="B3183" i="33"/>
  <c r="U3182" i="33"/>
  <c r="B3182" i="33"/>
  <c r="U3181" i="33"/>
  <c r="B3181" i="33"/>
  <c r="U3180" i="33"/>
  <c r="B3180" i="33"/>
  <c r="U3179" i="33"/>
  <c r="B3179" i="33"/>
  <c r="U3178" i="33"/>
  <c r="B3178" i="33"/>
  <c r="U3177" i="33"/>
  <c r="Y1019" i="1"/>
  <c r="P1019" i="1"/>
  <c r="K3177" i="33" s="1"/>
  <c r="Q1019" i="1"/>
  <c r="R1019" i="1"/>
  <c r="B3177" i="33"/>
  <c r="U3176" i="33"/>
  <c r="B3176" i="33"/>
  <c r="U3175" i="33"/>
  <c r="Y1053" i="1"/>
  <c r="P1053" i="1"/>
  <c r="K3175" i="33" s="1"/>
  <c r="Q1053" i="1"/>
  <c r="R1053" i="1"/>
  <c r="B3175" i="33"/>
  <c r="U3174" i="33"/>
  <c r="Y1101" i="1"/>
  <c r="P1101" i="1"/>
  <c r="K3174" i="33" s="1"/>
  <c r="Q1101" i="1"/>
  <c r="R1101" i="1"/>
  <c r="B3174" i="33"/>
  <c r="U3173" i="33"/>
  <c r="Y915" i="1"/>
  <c r="P915" i="1"/>
  <c r="K3173" i="33" s="1"/>
  <c r="Q915" i="1"/>
  <c r="AU915" i="1" s="1"/>
  <c r="R915" i="1"/>
  <c r="B3173" i="33"/>
  <c r="U3172" i="33"/>
  <c r="B3172" i="33"/>
  <c r="U3171" i="33"/>
  <c r="B3171" i="33"/>
  <c r="U3170" i="33"/>
  <c r="B3170" i="33"/>
  <c r="U3169" i="33"/>
  <c r="B3169" i="33"/>
  <c r="U3168" i="33"/>
  <c r="B3168" i="33"/>
  <c r="U3167" i="33"/>
  <c r="B3167" i="33"/>
  <c r="U3166" i="33"/>
  <c r="B3166" i="33"/>
  <c r="U3165" i="33"/>
  <c r="P3165" i="33"/>
  <c r="B3165" i="33"/>
  <c r="U3164" i="33"/>
  <c r="Y778" i="1"/>
  <c r="P778" i="1"/>
  <c r="Q778" i="1"/>
  <c r="R778" i="1"/>
  <c r="B3164" i="33"/>
  <c r="U3163" i="33"/>
  <c r="B3163" i="33"/>
  <c r="U3162" i="33"/>
  <c r="Y1084" i="1"/>
  <c r="P3162" i="33" s="1"/>
  <c r="P1084" i="1"/>
  <c r="Q1084" i="1"/>
  <c r="R1084" i="1"/>
  <c r="I3158" i="33" s="1"/>
  <c r="B3162" i="33"/>
  <c r="U3161" i="33"/>
  <c r="B3161" i="33"/>
  <c r="U3160" i="33"/>
  <c r="B3160" i="33"/>
  <c r="U3159" i="33"/>
  <c r="B3159" i="33"/>
  <c r="U3158" i="33"/>
  <c r="B3158" i="33"/>
  <c r="U3157" i="33"/>
  <c r="B3157" i="33"/>
  <c r="U3156" i="33"/>
  <c r="B3156" i="33"/>
  <c r="U3155" i="33"/>
  <c r="Y1064" i="1"/>
  <c r="P1064" i="1"/>
  <c r="Q1064" i="1"/>
  <c r="R1064" i="1"/>
  <c r="B3155" i="33"/>
  <c r="U3154" i="33"/>
  <c r="B3154" i="33"/>
  <c r="U3153" i="33"/>
  <c r="B3153" i="33"/>
  <c r="U3152" i="33"/>
  <c r="B3152" i="33"/>
  <c r="U3151" i="33"/>
  <c r="B3151" i="33"/>
  <c r="U3150" i="33"/>
  <c r="B3150" i="33"/>
  <c r="U3149" i="33"/>
  <c r="B3149" i="33"/>
  <c r="U3148" i="33"/>
  <c r="Y962" i="1"/>
  <c r="P962" i="1"/>
  <c r="Q962" i="1"/>
  <c r="AU962" i="1" s="1"/>
  <c r="R962" i="1"/>
  <c r="B3148" i="33"/>
  <c r="U3147" i="33"/>
  <c r="B3147" i="33"/>
  <c r="U3146" i="33"/>
  <c r="Y963" i="1"/>
  <c r="P963" i="1"/>
  <c r="K3146" i="33" s="1"/>
  <c r="Q963" i="1"/>
  <c r="AU963" i="1" s="1"/>
  <c r="R963" i="1"/>
  <c r="B3146" i="33"/>
  <c r="U3145" i="33"/>
  <c r="B3145" i="33"/>
  <c r="U3144" i="33"/>
  <c r="B3144" i="33"/>
  <c r="U3143" i="33"/>
  <c r="B3143" i="33"/>
  <c r="U3142" i="33"/>
  <c r="P3142" i="33"/>
  <c r="B3142" i="33"/>
  <c r="U3141" i="33"/>
  <c r="P3141" i="33"/>
  <c r="B3141" i="33"/>
  <c r="U3140" i="33"/>
  <c r="B3140" i="33"/>
  <c r="U3139" i="33"/>
  <c r="Y980" i="1"/>
  <c r="P980" i="1"/>
  <c r="K3139" i="33" s="1"/>
  <c r="Q980" i="1"/>
  <c r="R980" i="1"/>
  <c r="B3139" i="33"/>
  <c r="Y716" i="1"/>
  <c r="P716" i="1"/>
  <c r="K2853" i="33" s="1"/>
  <c r="Q716" i="1"/>
  <c r="R716" i="1"/>
  <c r="U3138" i="33"/>
  <c r="B3138" i="33"/>
  <c r="U3137" i="33"/>
  <c r="B3137" i="33"/>
  <c r="U3136" i="33"/>
  <c r="B3136" i="33"/>
  <c r="U3135" i="33"/>
  <c r="B3135" i="33"/>
  <c r="U3134" i="33"/>
  <c r="B3134" i="33"/>
  <c r="U3133" i="33"/>
  <c r="B3133" i="33"/>
  <c r="U3132" i="33"/>
  <c r="Y1082" i="1"/>
  <c r="P1082" i="1"/>
  <c r="K3132" i="33" s="1"/>
  <c r="Q1082" i="1"/>
  <c r="R1082" i="1"/>
  <c r="AT1082" i="1" s="1"/>
  <c r="B3132" i="33"/>
  <c r="U3131" i="33"/>
  <c r="B3131" i="33"/>
  <c r="U3130" i="33"/>
  <c r="B3130" i="33"/>
  <c r="U3129" i="33"/>
  <c r="Y1017" i="1"/>
  <c r="P1017" i="1"/>
  <c r="K3129" i="33" s="1"/>
  <c r="Q1017" i="1"/>
  <c r="AU1017" i="1" s="1"/>
  <c r="R1017" i="1"/>
  <c r="I3128" i="33" s="1"/>
  <c r="B3129" i="33"/>
  <c r="U3128" i="33"/>
  <c r="B3128" i="33"/>
  <c r="U3127" i="33"/>
  <c r="B3127" i="33"/>
  <c r="U3126" i="33"/>
  <c r="Y1016" i="1"/>
  <c r="P3125" i="33" s="1"/>
  <c r="P1016" i="1"/>
  <c r="Q1016" i="1"/>
  <c r="J3125" i="33" s="1"/>
  <c r="R1016" i="1"/>
  <c r="I3124" i="33" s="1"/>
  <c r="B3126" i="33"/>
  <c r="U3125" i="33"/>
  <c r="B3125" i="33"/>
  <c r="U3124" i="33"/>
  <c r="B3124" i="33"/>
  <c r="U3123" i="33"/>
  <c r="B3123" i="33"/>
  <c r="U3122" i="33"/>
  <c r="Y1211" i="1"/>
  <c r="AO1211" i="1" s="1"/>
  <c r="P1211" i="1"/>
  <c r="Q1211" i="1"/>
  <c r="R1211" i="1"/>
  <c r="B3122" i="33"/>
  <c r="U3121" i="33"/>
  <c r="B3121" i="33"/>
  <c r="U3120" i="33"/>
  <c r="B3120" i="33"/>
  <c r="U3119" i="33"/>
  <c r="B3119" i="33"/>
  <c r="U3118" i="33"/>
  <c r="Y976" i="1"/>
  <c r="P976" i="1"/>
  <c r="K3118" i="33" s="1"/>
  <c r="Q976" i="1"/>
  <c r="J3118" i="33" s="1"/>
  <c r="R976" i="1"/>
  <c r="AT976" i="1" s="1"/>
  <c r="B3118" i="33"/>
  <c r="U3117" i="33"/>
  <c r="B3117" i="33"/>
  <c r="U3116" i="33"/>
  <c r="B3116" i="33"/>
  <c r="U3115" i="33"/>
  <c r="B3115" i="33"/>
  <c r="U3114" i="33"/>
  <c r="B3114" i="33"/>
  <c r="U3113" i="33"/>
  <c r="B3113" i="33"/>
  <c r="U3112" i="33"/>
  <c r="B3112" i="33"/>
  <c r="U3111" i="33"/>
  <c r="Y1343" i="1"/>
  <c r="P1343" i="1"/>
  <c r="Q1343" i="1"/>
  <c r="AU1343" i="1" s="1"/>
  <c r="R1343" i="1"/>
  <c r="I212" i="6" s="1"/>
  <c r="B3111" i="33"/>
  <c r="U3110" i="33"/>
  <c r="B3110" i="33"/>
  <c r="U3109" i="33"/>
  <c r="B3109" i="33"/>
  <c r="U3108" i="33"/>
  <c r="B3108" i="33"/>
  <c r="U3107" i="33"/>
  <c r="Y944" i="1"/>
  <c r="P944" i="1"/>
  <c r="Q944" i="1"/>
  <c r="J3098" i="33" s="1"/>
  <c r="R944" i="1"/>
  <c r="I3104" i="33" s="1"/>
  <c r="B3107" i="33"/>
  <c r="U3106" i="33"/>
  <c r="B3106" i="33"/>
  <c r="U3105" i="33"/>
  <c r="B3105" i="33"/>
  <c r="U3104" i="33"/>
  <c r="B3104" i="33"/>
  <c r="U3103" i="33"/>
  <c r="B3103" i="33"/>
  <c r="U3102" i="33"/>
  <c r="B3102" i="33"/>
  <c r="U3101" i="33"/>
  <c r="B3101" i="33"/>
  <c r="U3100" i="33"/>
  <c r="B3100" i="33"/>
  <c r="U3099" i="33"/>
  <c r="B3099" i="33"/>
  <c r="U3098" i="33"/>
  <c r="B3098" i="33"/>
  <c r="U3097" i="33"/>
  <c r="B3097" i="33"/>
  <c r="U3096" i="33"/>
  <c r="B3096" i="33"/>
  <c r="U3095" i="33"/>
  <c r="Y1018" i="1"/>
  <c r="P1018" i="1"/>
  <c r="Q1018" i="1"/>
  <c r="AU1018" i="1" s="1"/>
  <c r="R1018" i="1"/>
  <c r="I3093" i="33" s="1"/>
  <c r="B3095" i="33"/>
  <c r="U3094" i="33"/>
  <c r="B3094" i="33"/>
  <c r="U3093" i="33"/>
  <c r="B3093" i="33"/>
  <c r="U3092" i="33"/>
  <c r="B3092" i="33"/>
  <c r="U3091" i="33"/>
  <c r="Y884" i="1"/>
  <c r="P884" i="1"/>
  <c r="Q884" i="1"/>
  <c r="J3088" i="33" s="1"/>
  <c r="R884" i="1"/>
  <c r="B3091" i="33"/>
  <c r="U3090" i="33"/>
  <c r="B3090" i="33"/>
  <c r="U3089" i="33"/>
  <c r="B3089" i="33"/>
  <c r="U3088" i="33"/>
  <c r="B3088" i="33"/>
  <c r="U3087" i="33"/>
  <c r="Y1011" i="1"/>
  <c r="P1011" i="1"/>
  <c r="Q1011" i="1"/>
  <c r="R1011" i="1"/>
  <c r="B3087" i="33"/>
  <c r="U3086" i="33"/>
  <c r="B3086" i="33"/>
  <c r="U3085" i="33"/>
  <c r="B3085" i="33"/>
  <c r="U3084" i="33"/>
  <c r="Y1074" i="1"/>
  <c r="P3081" i="33" s="1"/>
  <c r="P1074" i="1"/>
  <c r="Q1074" i="1"/>
  <c r="J3081" i="33" s="1"/>
  <c r="R1074" i="1"/>
  <c r="B3084" i="33"/>
  <c r="U3083" i="33"/>
  <c r="B3083" i="33"/>
  <c r="U3082" i="33"/>
  <c r="B3082" i="33"/>
  <c r="U3081" i="33"/>
  <c r="B3081" i="33"/>
  <c r="U3080" i="33"/>
  <c r="B3080" i="33"/>
  <c r="U3079" i="33"/>
  <c r="B3079" i="33"/>
  <c r="U3078" i="33"/>
  <c r="B3078" i="33"/>
  <c r="U3077" i="33"/>
  <c r="Y990" i="1"/>
  <c r="P990" i="1"/>
  <c r="K3071" i="33" s="1"/>
  <c r="Q990" i="1"/>
  <c r="J3071" i="33" s="1"/>
  <c r="R990" i="1"/>
  <c r="B3077" i="33"/>
  <c r="U3076" i="33"/>
  <c r="B3076" i="33"/>
  <c r="U3075" i="33"/>
  <c r="B3075" i="33"/>
  <c r="U3074" i="33"/>
  <c r="B3074" i="33"/>
  <c r="U3073" i="33"/>
  <c r="B3073" i="33"/>
  <c r="U3072" i="33"/>
  <c r="B3072" i="33"/>
  <c r="U3071" i="33"/>
  <c r="B3071" i="33"/>
  <c r="U3070" i="33"/>
  <c r="B3070" i="33"/>
  <c r="U3069" i="33"/>
  <c r="B3069" i="33"/>
  <c r="U3068" i="33"/>
  <c r="B3068" i="33"/>
  <c r="U3067" i="33"/>
  <c r="B3067" i="33"/>
  <c r="U3066" i="33"/>
  <c r="B3066" i="33"/>
  <c r="U3065" i="33"/>
  <c r="Y965" i="1"/>
  <c r="P3059" i="33" s="1"/>
  <c r="P965" i="1"/>
  <c r="Q965" i="1"/>
  <c r="AU965" i="1" s="1"/>
  <c r="R965" i="1"/>
  <c r="I3060" i="33" s="1"/>
  <c r="B3065" i="33"/>
  <c r="U3064" i="33"/>
  <c r="B3064" i="33"/>
  <c r="U3063" i="33"/>
  <c r="B3063" i="33"/>
  <c r="U3062" i="33"/>
  <c r="B3062" i="33"/>
  <c r="U3061" i="33"/>
  <c r="B3061" i="33"/>
  <c r="U3060" i="33"/>
  <c r="B3060" i="33"/>
  <c r="U3059" i="33"/>
  <c r="B3059" i="33"/>
  <c r="U3058" i="33"/>
  <c r="B3058" i="33"/>
  <c r="U3057" i="33"/>
  <c r="B3057" i="33"/>
  <c r="U3056" i="33"/>
  <c r="B3056" i="33"/>
  <c r="U3055" i="33"/>
  <c r="Y1102" i="1"/>
  <c r="P1102" i="1"/>
  <c r="Q1102" i="1"/>
  <c r="AU1102" i="1" s="1"/>
  <c r="R1102" i="1"/>
  <c r="B3055" i="33"/>
  <c r="U3054" i="33"/>
  <c r="B3054" i="33"/>
  <c r="U3053" i="33"/>
  <c r="Y987" i="1"/>
  <c r="AO987" i="1" s="1"/>
  <c r="P987" i="1"/>
  <c r="Q987" i="1"/>
  <c r="AU987" i="1" s="1"/>
  <c r="R987" i="1"/>
  <c r="I3052" i="33" s="1"/>
  <c r="B3053" i="33"/>
  <c r="U3052" i="33"/>
  <c r="B3052" i="33"/>
  <c r="U3051" i="33"/>
  <c r="B3051" i="33"/>
  <c r="U3050" i="33"/>
  <c r="B3050" i="33"/>
  <c r="U3049" i="33"/>
  <c r="B3049" i="33"/>
  <c r="U3048" i="33"/>
  <c r="Y921" i="1"/>
  <c r="P3045" i="33" s="1"/>
  <c r="P921" i="1"/>
  <c r="K3043" i="33" s="1"/>
  <c r="Q921" i="1"/>
  <c r="J3043" i="33" s="1"/>
  <c r="R921" i="1"/>
  <c r="I3044" i="33" s="1"/>
  <c r="B3048" i="33"/>
  <c r="U3047" i="33"/>
  <c r="B3047" i="33"/>
  <c r="U3046" i="33"/>
  <c r="B3046" i="33"/>
  <c r="U3045" i="33"/>
  <c r="B3045" i="33"/>
  <c r="U3044" i="33"/>
  <c r="B3044" i="33"/>
  <c r="U3043" i="33"/>
  <c r="B3043" i="33"/>
  <c r="U3042" i="33"/>
  <c r="Y961" i="1"/>
  <c r="P961" i="1"/>
  <c r="Q961" i="1"/>
  <c r="R961" i="1"/>
  <c r="I3041" i="33" s="1"/>
  <c r="B3042" i="33"/>
  <c r="U3041" i="33"/>
  <c r="B3041" i="33"/>
  <c r="U3040" i="33"/>
  <c r="B3040" i="33"/>
  <c r="U3039" i="33"/>
  <c r="Y802" i="1"/>
  <c r="P802" i="1"/>
  <c r="Q802" i="1"/>
  <c r="AU802" i="1" s="1"/>
  <c r="R802" i="1"/>
  <c r="I3039" i="33" s="1"/>
  <c r="B3039" i="33"/>
  <c r="U3038" i="33"/>
  <c r="B3038" i="33"/>
  <c r="U3037" i="33"/>
  <c r="B3037" i="33"/>
  <c r="U3036" i="33"/>
  <c r="B3036" i="33"/>
  <c r="U3035" i="33"/>
  <c r="Y1007" i="1"/>
  <c r="P1007" i="1"/>
  <c r="Q1007" i="1"/>
  <c r="AU1007" i="1" s="1"/>
  <c r="R1007" i="1"/>
  <c r="I3032" i="33" s="1"/>
  <c r="B3035" i="33"/>
  <c r="U3034" i="33"/>
  <c r="B3034" i="33"/>
  <c r="U3033" i="33"/>
  <c r="B3033" i="33"/>
  <c r="U3032" i="33"/>
  <c r="B3032" i="33"/>
  <c r="U3031" i="33"/>
  <c r="Y862" i="1"/>
  <c r="P862" i="1"/>
  <c r="Q862" i="1"/>
  <c r="AU862" i="1" s="1"/>
  <c r="R862" i="1"/>
  <c r="I3030" i="33" s="1"/>
  <c r="B3031" i="33"/>
  <c r="U3030" i="33"/>
  <c r="B3030" i="33"/>
  <c r="U3029" i="33"/>
  <c r="Y1090" i="1"/>
  <c r="P3029" i="33" s="1"/>
  <c r="P1090" i="1"/>
  <c r="K3027" i="33" s="1"/>
  <c r="Q1090" i="1"/>
  <c r="AU1090" i="1" s="1"/>
  <c r="R1090" i="1"/>
  <c r="AT1090" i="1" s="1"/>
  <c r="B3029" i="33"/>
  <c r="U3028" i="33"/>
  <c r="B3028" i="33"/>
  <c r="U3027" i="33"/>
  <c r="B3027" i="33"/>
  <c r="U3026" i="33"/>
  <c r="Y922" i="1"/>
  <c r="P922" i="1"/>
  <c r="K3026" i="33" s="1"/>
  <c r="Q922" i="1"/>
  <c r="R922" i="1"/>
  <c r="B3026" i="33"/>
  <c r="U3025" i="33"/>
  <c r="Y853" i="1"/>
  <c r="P853" i="1"/>
  <c r="K3024" i="33" s="1"/>
  <c r="Q853" i="1"/>
  <c r="R853" i="1"/>
  <c r="B3025" i="33"/>
  <c r="U3024" i="33"/>
  <c r="B3024" i="33"/>
  <c r="U3023" i="33"/>
  <c r="B3023" i="33"/>
  <c r="U3022" i="33"/>
  <c r="B3022" i="33"/>
  <c r="U3021" i="33"/>
  <c r="Y988" i="1"/>
  <c r="P988" i="1"/>
  <c r="K3021" i="33" s="1"/>
  <c r="Q988" i="1"/>
  <c r="AU988" i="1" s="1"/>
  <c r="R988" i="1"/>
  <c r="B3021" i="33"/>
  <c r="U3020" i="33"/>
  <c r="B3020" i="33"/>
  <c r="U3019" i="33"/>
  <c r="Y1010" i="1"/>
  <c r="P1010" i="1"/>
  <c r="K3019" i="33" s="1"/>
  <c r="Q1010" i="1"/>
  <c r="R1010" i="1"/>
  <c r="I3019" i="33" s="1"/>
  <c r="B3019" i="33"/>
  <c r="U3018" i="33"/>
  <c r="B3018" i="33"/>
  <c r="U3017" i="33"/>
  <c r="B3017" i="33"/>
  <c r="U3016" i="33"/>
  <c r="B3016" i="33"/>
  <c r="U3015" i="33"/>
  <c r="B3015" i="33"/>
  <c r="U3014" i="33"/>
  <c r="B3014" i="33"/>
  <c r="U3013" i="33"/>
  <c r="B3013" i="33"/>
  <c r="U3012" i="33"/>
  <c r="B3012" i="33"/>
  <c r="U3011" i="33"/>
  <c r="B3011" i="33"/>
  <c r="U3010" i="33"/>
  <c r="B3010" i="33"/>
  <c r="U3009" i="33"/>
  <c r="Y895" i="1"/>
  <c r="P895" i="1"/>
  <c r="Q895" i="1"/>
  <c r="AU895" i="1" s="1"/>
  <c r="R895" i="1"/>
  <c r="B3009" i="33"/>
  <c r="U3008" i="33"/>
  <c r="B3008" i="33"/>
  <c r="U3007" i="33"/>
  <c r="B3007" i="33"/>
  <c r="U3006" i="33"/>
  <c r="Y977" i="1"/>
  <c r="AO977" i="1" s="1"/>
  <c r="P977" i="1"/>
  <c r="K2994" i="33" s="1"/>
  <c r="Q977" i="1"/>
  <c r="J2997" i="33" s="1"/>
  <c r="R977" i="1"/>
  <c r="B3006" i="33"/>
  <c r="U3005" i="33"/>
  <c r="B3005" i="33"/>
  <c r="U3004" i="33"/>
  <c r="B3004" i="33"/>
  <c r="U3003" i="33"/>
  <c r="B3003" i="33"/>
  <c r="U3002" i="33"/>
  <c r="B3002" i="33"/>
  <c r="U3001" i="33"/>
  <c r="B3001" i="33"/>
  <c r="U3000" i="33"/>
  <c r="B3000" i="33"/>
  <c r="U2999" i="33"/>
  <c r="B2999" i="33"/>
  <c r="U2998" i="33"/>
  <c r="B2998" i="33"/>
  <c r="U2997" i="33"/>
  <c r="B2997" i="33"/>
  <c r="U2996" i="33"/>
  <c r="B2996" i="33"/>
  <c r="U2995" i="33"/>
  <c r="B2995" i="33"/>
  <c r="U2994" i="33"/>
  <c r="B2994" i="33"/>
  <c r="U2993" i="33"/>
  <c r="B2993" i="33"/>
  <c r="U2992" i="33"/>
  <c r="Y1060" i="1"/>
  <c r="P2988" i="33" s="1"/>
  <c r="P1060" i="1"/>
  <c r="K2989" i="33" s="1"/>
  <c r="Q1060" i="1"/>
  <c r="R1060" i="1"/>
  <c r="B2992" i="33"/>
  <c r="U2991" i="33"/>
  <c r="B2991" i="33"/>
  <c r="U2990" i="33"/>
  <c r="B2990" i="33"/>
  <c r="U2989" i="33"/>
  <c r="B2989" i="33"/>
  <c r="U2988" i="33"/>
  <c r="B2988" i="33"/>
  <c r="U2987" i="33"/>
  <c r="B2987" i="33"/>
  <c r="U2986" i="33"/>
  <c r="P808" i="1"/>
  <c r="K2986" i="33" s="1"/>
  <c r="Q808" i="1"/>
  <c r="AU808" i="1" s="1"/>
  <c r="R808" i="1"/>
  <c r="B2986" i="33"/>
  <c r="U2985" i="33"/>
  <c r="Y863" i="1"/>
  <c r="P863" i="1"/>
  <c r="K2985" i="33" s="1"/>
  <c r="Q863" i="1"/>
  <c r="R863" i="1"/>
  <c r="AT863" i="1" s="1"/>
  <c r="B2985" i="33"/>
  <c r="U2984" i="33"/>
  <c r="B2984" i="33"/>
  <c r="U2983" i="33"/>
  <c r="B2983" i="33"/>
  <c r="U2982" i="33"/>
  <c r="B2982" i="33"/>
  <c r="U2981" i="33"/>
  <c r="B2981" i="33"/>
  <c r="U2980" i="33"/>
  <c r="B2980" i="33"/>
  <c r="U2979" i="33"/>
  <c r="B2979" i="33"/>
  <c r="U2978" i="33"/>
  <c r="B2978" i="33"/>
  <c r="U2977" i="33"/>
  <c r="B2977" i="33"/>
  <c r="U2976" i="33"/>
  <c r="B2976" i="33"/>
  <c r="U2975" i="33"/>
  <c r="B2975" i="33"/>
  <c r="U2974" i="33"/>
  <c r="B2974" i="33"/>
  <c r="U2973" i="33"/>
  <c r="B2973" i="33"/>
  <c r="U2972" i="33"/>
  <c r="B2972" i="33"/>
  <c r="U2971" i="33"/>
  <c r="Y896" i="1"/>
  <c r="P896" i="1"/>
  <c r="K2971" i="33" s="1"/>
  <c r="Q896" i="1"/>
  <c r="R896" i="1"/>
  <c r="B2971" i="33"/>
  <c r="U2970" i="33"/>
  <c r="Y1009" i="1"/>
  <c r="P1009" i="1"/>
  <c r="Q1009" i="1"/>
  <c r="R1009" i="1"/>
  <c r="B2970" i="33"/>
  <c r="U2969" i="33"/>
  <c r="B2969" i="33"/>
  <c r="U2968" i="33"/>
  <c r="B2968" i="33"/>
  <c r="U2967" i="33"/>
  <c r="Y959" i="1"/>
  <c r="P2967" i="33" s="1"/>
  <c r="P959" i="1"/>
  <c r="Q959" i="1"/>
  <c r="R959" i="1"/>
  <c r="I2966" i="33" s="1"/>
  <c r="B2967" i="33"/>
  <c r="U2966" i="33"/>
  <c r="B2966" i="33"/>
  <c r="U2965" i="33"/>
  <c r="B2965" i="33"/>
  <c r="U2964" i="33"/>
  <c r="Y991" i="1"/>
  <c r="P2963" i="33" s="1"/>
  <c r="P991" i="1"/>
  <c r="K2964" i="33" s="1"/>
  <c r="Q991" i="1"/>
  <c r="R991" i="1"/>
  <c r="B2964" i="33"/>
  <c r="U2963" i="33"/>
  <c r="B2963" i="33"/>
  <c r="U2962" i="33"/>
  <c r="B2962" i="33"/>
  <c r="U2961" i="33"/>
  <c r="B2961" i="33"/>
  <c r="U2960" i="33"/>
  <c r="B2960" i="33"/>
  <c r="U2959" i="33"/>
  <c r="Y1006" i="1"/>
  <c r="P1006" i="1"/>
  <c r="K2959" i="33" s="1"/>
  <c r="Q1006" i="1"/>
  <c r="R1006" i="1"/>
  <c r="I2959" i="33" s="1"/>
  <c r="B2959" i="33"/>
  <c r="U2958" i="33"/>
  <c r="Y890" i="1"/>
  <c r="P890" i="1"/>
  <c r="Q890" i="1"/>
  <c r="R890" i="1"/>
  <c r="B2958" i="33"/>
  <c r="U2957" i="33"/>
  <c r="B2957" i="33"/>
  <c r="U2956" i="33"/>
  <c r="B2956" i="33"/>
  <c r="U2955" i="33"/>
  <c r="B2955" i="33"/>
  <c r="U2954" i="33"/>
  <c r="B2954" i="33"/>
  <c r="U2953" i="33"/>
  <c r="B2953" i="33"/>
  <c r="U2952" i="33"/>
  <c r="B2952" i="33"/>
  <c r="U2951" i="33"/>
  <c r="B2951" i="33"/>
  <c r="U2950" i="33"/>
  <c r="B2950" i="33"/>
  <c r="U2949" i="33"/>
  <c r="B2949" i="33"/>
  <c r="U2948" i="33"/>
  <c r="B2948" i="33"/>
  <c r="U2947" i="33"/>
  <c r="B2947" i="33"/>
  <c r="U2946" i="33"/>
  <c r="Y943" i="1"/>
  <c r="P2945" i="33" s="1"/>
  <c r="P943" i="1"/>
  <c r="K2946" i="33" s="1"/>
  <c r="Q943" i="1"/>
  <c r="J2945" i="33" s="1"/>
  <c r="R943" i="1"/>
  <c r="I2945" i="33" s="1"/>
  <c r="B2946" i="33"/>
  <c r="U2945" i="33"/>
  <c r="B2945" i="33"/>
  <c r="U2944" i="33"/>
  <c r="Y1192" i="1"/>
  <c r="P2942" i="33" s="1"/>
  <c r="P1192" i="1"/>
  <c r="K2944" i="33" s="1"/>
  <c r="Q1192" i="1"/>
  <c r="R1192" i="1"/>
  <c r="I2943" i="33" s="1"/>
  <c r="B2944" i="33"/>
  <c r="U2943" i="33"/>
  <c r="B2943" i="33"/>
  <c r="U2942" i="33"/>
  <c r="B2942" i="33"/>
  <c r="U2941" i="33"/>
  <c r="Y793" i="1"/>
  <c r="P2939" i="33" s="1"/>
  <c r="P793" i="1"/>
  <c r="Q793" i="1"/>
  <c r="R793" i="1"/>
  <c r="I2941" i="33" s="1"/>
  <c r="B2941" i="33"/>
  <c r="U2940" i="33"/>
  <c r="B2940" i="33"/>
  <c r="U2939" i="33"/>
  <c r="B2939" i="33"/>
  <c r="U2938" i="33"/>
  <c r="B2938" i="33"/>
  <c r="U2937" i="33"/>
  <c r="B2937" i="33"/>
  <c r="U2936" i="33"/>
  <c r="B2936" i="33"/>
  <c r="U2935" i="33"/>
  <c r="B2935" i="33"/>
  <c r="U2934" i="33"/>
  <c r="B2934" i="33"/>
  <c r="U2933" i="33"/>
  <c r="B2933" i="33"/>
  <c r="U2932" i="33"/>
  <c r="B2932" i="33"/>
  <c r="U2931" i="33"/>
  <c r="B2931" i="33"/>
  <c r="U2930" i="33"/>
  <c r="B2930" i="33"/>
  <c r="U2929" i="33"/>
  <c r="B2929" i="33"/>
  <c r="U2928" i="33"/>
  <c r="Y947" i="1"/>
  <c r="P947" i="1"/>
  <c r="Q947" i="1"/>
  <c r="J2928" i="33" s="1"/>
  <c r="R947" i="1"/>
  <c r="B2928" i="33"/>
  <c r="U2927" i="33"/>
  <c r="B2927" i="33"/>
  <c r="U2926" i="33"/>
  <c r="Y850" i="1"/>
  <c r="P2925" i="33" s="1"/>
  <c r="P850" i="1"/>
  <c r="K2926" i="33" s="1"/>
  <c r="Q850" i="1"/>
  <c r="R850" i="1"/>
  <c r="B2926" i="33"/>
  <c r="U2925" i="33"/>
  <c r="B2925" i="33"/>
  <c r="U2924" i="33"/>
  <c r="Y848" i="1"/>
  <c r="P848" i="1"/>
  <c r="K2924" i="33" s="1"/>
  <c r="Q848" i="1"/>
  <c r="R848" i="1"/>
  <c r="B2924" i="33"/>
  <c r="U2923" i="33"/>
  <c r="B2923" i="33"/>
  <c r="U2922" i="33"/>
  <c r="B2922" i="33"/>
  <c r="U2921" i="33"/>
  <c r="Y806" i="1"/>
  <c r="P2920" i="33" s="1"/>
  <c r="P806" i="1"/>
  <c r="Q806" i="1"/>
  <c r="J2920" i="33" s="1"/>
  <c r="R806" i="1"/>
  <c r="I2920" i="33" s="1"/>
  <c r="B2921" i="33"/>
  <c r="U2920" i="33"/>
  <c r="B2920" i="33"/>
  <c r="U2919" i="33"/>
  <c r="Y927" i="1"/>
  <c r="P927" i="1"/>
  <c r="K2919" i="33" s="1"/>
  <c r="Q927" i="1"/>
  <c r="R927" i="1"/>
  <c r="B2919" i="33"/>
  <c r="U2918" i="33"/>
  <c r="B2918" i="33"/>
  <c r="U2917" i="33"/>
  <c r="Y939" i="1"/>
  <c r="AO939" i="1" s="1"/>
  <c r="AQ939" i="1" s="1"/>
  <c r="P939" i="1"/>
  <c r="Q939" i="1"/>
  <c r="R939" i="1"/>
  <c r="AT939" i="1" s="1"/>
  <c r="B2917" i="33"/>
  <c r="U2916" i="33"/>
  <c r="B2916" i="33"/>
  <c r="U2915" i="33"/>
  <c r="Y685" i="1"/>
  <c r="P685" i="1"/>
  <c r="K2915" i="33" s="1"/>
  <c r="Q685" i="1"/>
  <c r="R685" i="1"/>
  <c r="AT685" i="1" s="1"/>
  <c r="B2915" i="33"/>
  <c r="U2914" i="33"/>
  <c r="Y1071" i="1"/>
  <c r="P2911" i="33" s="1"/>
  <c r="P1071" i="1"/>
  <c r="K2912" i="33" s="1"/>
  <c r="Q1071" i="1"/>
  <c r="R1071" i="1"/>
  <c r="I2910" i="33" s="1"/>
  <c r="B2914" i="33"/>
  <c r="U2913" i="33"/>
  <c r="B2913" i="33"/>
  <c r="U2912" i="33"/>
  <c r="B2912" i="33"/>
  <c r="U2911" i="33"/>
  <c r="B2911" i="33"/>
  <c r="U2910" i="33"/>
  <c r="B2910" i="33"/>
  <c r="U2909" i="33"/>
  <c r="B2909" i="33"/>
  <c r="U2908" i="33"/>
  <c r="B2908" i="33"/>
  <c r="U2907" i="33"/>
  <c r="Y906" i="1"/>
  <c r="P2898" i="33" s="1"/>
  <c r="P906" i="1"/>
  <c r="K2907" i="33" s="1"/>
  <c r="Q906" i="1"/>
  <c r="R906" i="1"/>
  <c r="I2894" i="33" s="1"/>
  <c r="B2907" i="33"/>
  <c r="U2906" i="33"/>
  <c r="B2906" i="33"/>
  <c r="U2905" i="33"/>
  <c r="B2905" i="33"/>
  <c r="U2904" i="33"/>
  <c r="B2904" i="33"/>
  <c r="U2903" i="33"/>
  <c r="B2903" i="33"/>
  <c r="U2902" i="33"/>
  <c r="B2902" i="33"/>
  <c r="U2901" i="33"/>
  <c r="B2901" i="33"/>
  <c r="U2900" i="33"/>
  <c r="B2900" i="33"/>
  <c r="U2899" i="33"/>
  <c r="B2899" i="33"/>
  <c r="U2898" i="33"/>
  <c r="B2898" i="33"/>
  <c r="U2897" i="33"/>
  <c r="B2897" i="33"/>
  <c r="U2896" i="33"/>
  <c r="B2896" i="33"/>
  <c r="U2895" i="33"/>
  <c r="B2895" i="33"/>
  <c r="U2894" i="33"/>
  <c r="B2894" i="33"/>
  <c r="U2893" i="33"/>
  <c r="Y1146" i="1"/>
  <c r="AO1146" i="1" s="1"/>
  <c r="AQ1146" i="1" s="1"/>
  <c r="P1146" i="1"/>
  <c r="K2893" i="33" s="1"/>
  <c r="Q1146" i="1"/>
  <c r="R1146" i="1"/>
  <c r="I2893" i="33" s="1"/>
  <c r="B2893" i="33"/>
  <c r="U2892" i="33"/>
  <c r="Y684" i="1"/>
  <c r="P684" i="1"/>
  <c r="K2892" i="33" s="1"/>
  <c r="Q684" i="1"/>
  <c r="R684" i="1"/>
  <c r="B2892" i="33"/>
  <c r="U2891" i="33"/>
  <c r="Y865" i="1"/>
  <c r="P2891" i="33" s="1"/>
  <c r="P865" i="1"/>
  <c r="Q865" i="1"/>
  <c r="J2890" i="33" s="1"/>
  <c r="R865" i="1"/>
  <c r="B2891" i="33"/>
  <c r="U2890" i="33"/>
  <c r="B2890" i="33"/>
  <c r="U2889" i="33"/>
  <c r="B2889" i="33"/>
  <c r="U2888" i="33"/>
  <c r="Y1388" i="1"/>
  <c r="AO1388" i="1" s="1"/>
  <c r="P1388" i="1"/>
  <c r="K2887" i="33"/>
  <c r="Q1388" i="1"/>
  <c r="AU1388" i="1" s="1"/>
  <c r="R1388" i="1"/>
  <c r="AT1388" i="1" s="1"/>
  <c r="B2888" i="33"/>
  <c r="U2887" i="33"/>
  <c r="B2887" i="33"/>
  <c r="U2886" i="33"/>
  <c r="Y1422" i="1"/>
  <c r="AO1422" i="1" s="1"/>
  <c r="AQ1422" i="1" s="1"/>
  <c r="P1422" i="1"/>
  <c r="Q1422" i="1"/>
  <c r="AU1422" i="1" s="1"/>
  <c r="R1422" i="1"/>
  <c r="AT1422" i="1" s="1"/>
  <c r="B2886" i="33"/>
  <c r="U2885" i="33"/>
  <c r="B2885" i="33"/>
  <c r="U2884" i="33"/>
  <c r="Y1087" i="1"/>
  <c r="P1087" i="1"/>
  <c r="Q1087" i="1"/>
  <c r="R1087" i="1"/>
  <c r="B2884" i="33"/>
  <c r="U2883" i="33"/>
  <c r="B2883" i="33"/>
  <c r="U2882" i="33"/>
  <c r="B2882" i="33"/>
  <c r="U2881" i="33"/>
  <c r="Y1078" i="1"/>
  <c r="P2876" i="33" s="1"/>
  <c r="P1078" i="1"/>
  <c r="Q1078" i="1"/>
  <c r="R1078" i="1"/>
  <c r="B2881" i="33"/>
  <c r="U2880" i="33"/>
  <c r="B2880" i="33"/>
  <c r="U2879" i="33"/>
  <c r="B2879" i="33"/>
  <c r="U2878" i="33"/>
  <c r="B2878" i="33"/>
  <c r="U2877" i="33"/>
  <c r="B2877" i="33"/>
  <c r="U2876" i="33"/>
  <c r="B2876" i="33"/>
  <c r="U2875" i="33"/>
  <c r="Y810" i="1"/>
  <c r="P810" i="1"/>
  <c r="Q810" i="1"/>
  <c r="J2874" i="33" s="1"/>
  <c r="R810" i="1"/>
  <c r="B2875" i="33"/>
  <c r="U2874" i="33"/>
  <c r="B2874" i="33"/>
  <c r="U2873" i="33"/>
  <c r="B2873" i="33"/>
  <c r="U2872" i="33"/>
  <c r="Y849" i="1"/>
  <c r="AO849" i="1" s="1"/>
  <c r="P849" i="1"/>
  <c r="K2869" i="33" s="1"/>
  <c r="Q849" i="1"/>
  <c r="R849" i="1"/>
  <c r="B2872" i="33"/>
  <c r="U2871" i="33"/>
  <c r="B2871" i="33"/>
  <c r="U2870" i="33"/>
  <c r="B2870" i="33"/>
  <c r="U2869" i="33"/>
  <c r="B2869" i="33"/>
  <c r="U2868" i="33"/>
  <c r="Y740" i="1"/>
  <c r="P2868" i="33" s="1"/>
  <c r="P740" i="1"/>
  <c r="K2867" i="33" s="1"/>
  <c r="Q740" i="1"/>
  <c r="R740" i="1"/>
  <c r="I2868" i="33" s="1"/>
  <c r="B2868" i="33"/>
  <c r="U2867" i="33"/>
  <c r="B2867" i="33"/>
  <c r="U2866" i="33"/>
  <c r="Y889" i="1"/>
  <c r="AO889" i="1" s="1"/>
  <c r="P889" i="1"/>
  <c r="K2866" i="33" s="1"/>
  <c r="Q889" i="1"/>
  <c r="R889" i="1"/>
  <c r="B2866" i="33"/>
  <c r="U2865" i="33"/>
  <c r="Y905" i="1"/>
  <c r="P905" i="1"/>
  <c r="K2865" i="33" s="1"/>
  <c r="Q905" i="1"/>
  <c r="R905" i="1"/>
  <c r="I2862" i="33" s="1"/>
  <c r="B2865" i="33"/>
  <c r="U2864" i="33"/>
  <c r="B2864" i="33"/>
  <c r="U2863" i="33"/>
  <c r="B2863" i="33"/>
  <c r="U2862" i="33"/>
  <c r="B2862" i="33"/>
  <c r="U2861" i="33"/>
  <c r="Y886" i="1"/>
  <c r="P886" i="1"/>
  <c r="Q886" i="1"/>
  <c r="J2860" i="33" s="1"/>
  <c r="R886" i="1"/>
  <c r="B2861" i="33"/>
  <c r="U2860" i="33"/>
  <c r="B2860" i="33"/>
  <c r="U2859" i="33"/>
  <c r="B2859" i="33"/>
  <c r="U2858" i="33"/>
  <c r="B2858" i="33"/>
  <c r="U2857" i="33"/>
  <c r="B2857" i="33"/>
  <c r="U2856" i="33"/>
  <c r="B2856" i="33"/>
  <c r="U2855" i="33"/>
  <c r="B2855" i="33"/>
  <c r="U2854" i="33"/>
  <c r="Y770" i="1"/>
  <c r="AO770" i="1" s="1"/>
  <c r="P770" i="1"/>
  <c r="K2854" i="33" s="1"/>
  <c r="Q770" i="1"/>
  <c r="R770" i="1"/>
  <c r="B2854" i="33"/>
  <c r="U2853" i="33"/>
  <c r="B2853" i="33"/>
  <c r="U2852" i="33"/>
  <c r="Y871" i="1"/>
  <c r="P2850" i="33" s="1"/>
  <c r="P871" i="1"/>
  <c r="Q871" i="1"/>
  <c r="R871" i="1"/>
  <c r="B2852" i="33"/>
  <c r="U2851" i="33"/>
  <c r="B2851" i="33"/>
  <c r="U2850" i="33"/>
  <c r="B2850" i="33"/>
  <c r="U2849" i="33"/>
  <c r="B2849" i="33"/>
  <c r="U2848" i="33"/>
  <c r="B2848" i="33"/>
  <c r="U2847" i="33"/>
  <c r="Y923" i="1"/>
  <c r="P2847" i="33" s="1"/>
  <c r="P923" i="1"/>
  <c r="Q923" i="1"/>
  <c r="AU923" i="1" s="1"/>
  <c r="R923" i="1"/>
  <c r="I2846" i="33" s="1"/>
  <c r="B2847" i="33"/>
  <c r="U2846" i="33"/>
  <c r="B2846" i="33"/>
  <c r="U2845" i="33"/>
  <c r="Y861" i="1"/>
  <c r="P861" i="1"/>
  <c r="Q861" i="1"/>
  <c r="AU861" i="1" s="1"/>
  <c r="R861" i="1"/>
  <c r="I2412" i="33" s="1"/>
  <c r="B2845" i="33"/>
  <c r="U2844" i="33"/>
  <c r="B2844" i="33"/>
  <c r="U2843" i="33"/>
  <c r="Y795" i="1"/>
  <c r="AO795" i="1" s="1"/>
  <c r="P795" i="1"/>
  <c r="Q795" i="1"/>
  <c r="J2842" i="33" s="1"/>
  <c r="R795" i="1"/>
  <c r="B2843" i="33"/>
  <c r="U2842" i="33"/>
  <c r="B2842" i="33"/>
  <c r="U2841" i="33"/>
  <c r="Y919" i="1"/>
  <c r="P2840" i="33" s="1"/>
  <c r="P919" i="1"/>
  <c r="Q919" i="1"/>
  <c r="J2839" i="33" s="1"/>
  <c r="R919" i="1"/>
  <c r="B2841" i="33"/>
  <c r="U2840" i="33"/>
  <c r="B2840" i="33"/>
  <c r="U2839" i="33"/>
  <c r="B2839" i="33"/>
  <c r="U2838" i="33"/>
  <c r="Y1055" i="1"/>
  <c r="P2835" i="33" s="1"/>
  <c r="P1055" i="1"/>
  <c r="K2836" i="33" s="1"/>
  <c r="Q1055" i="1"/>
  <c r="R1055" i="1"/>
  <c r="I2838" i="33" s="1"/>
  <c r="B2838" i="33"/>
  <c r="U2837" i="33"/>
  <c r="B2837" i="33"/>
  <c r="U2836" i="33"/>
  <c r="B2836" i="33"/>
  <c r="U2835" i="33"/>
  <c r="B2835" i="33"/>
  <c r="U2834" i="33"/>
  <c r="B2834" i="33"/>
  <c r="U2833" i="33"/>
  <c r="Y975" i="1"/>
  <c r="P2826" i="33" s="1"/>
  <c r="P975" i="1"/>
  <c r="Q975" i="1"/>
  <c r="R975" i="1"/>
  <c r="I2829" i="33" s="1"/>
  <c r="B2833" i="33"/>
  <c r="U2832" i="33"/>
  <c r="B2832" i="33"/>
  <c r="U2831" i="33"/>
  <c r="B2831" i="33"/>
  <c r="U2830" i="33"/>
  <c r="B2830" i="33"/>
  <c r="U2829" i="33"/>
  <c r="B2829" i="33"/>
  <c r="U2828" i="33"/>
  <c r="B2828" i="33"/>
  <c r="U2827" i="33"/>
  <c r="B2827" i="33"/>
  <c r="U2826" i="33"/>
  <c r="B2826" i="33"/>
  <c r="U2825" i="33"/>
  <c r="Y1058" i="1"/>
  <c r="P1058" i="1"/>
  <c r="K2824" i="33" s="1"/>
  <c r="Q1058" i="1"/>
  <c r="R1058" i="1"/>
  <c r="I2820" i="33" s="1"/>
  <c r="B2825" i="33"/>
  <c r="U2824" i="33"/>
  <c r="B2824" i="33"/>
  <c r="U2823" i="33"/>
  <c r="B2823" i="33"/>
  <c r="U2822" i="33"/>
  <c r="B2822" i="33"/>
  <c r="U2821" i="33"/>
  <c r="B2821" i="33"/>
  <c r="U2820" i="33"/>
  <c r="B2820" i="33"/>
  <c r="U2819" i="33"/>
  <c r="Y687" i="1"/>
  <c r="P687" i="1"/>
  <c r="K2819" i="33" s="1"/>
  <c r="Q687" i="1"/>
  <c r="R687" i="1"/>
  <c r="I2818" i="33" s="1"/>
  <c r="B2819" i="33"/>
  <c r="U2818" i="33"/>
  <c r="B2818" i="33"/>
  <c r="U2817" i="33"/>
  <c r="B2817" i="33"/>
  <c r="U2816" i="33"/>
  <c r="Y940" i="1"/>
  <c r="P2812" i="33" s="1"/>
  <c r="P940" i="1"/>
  <c r="K2815" i="33" s="1"/>
  <c r="Q940" i="1"/>
  <c r="R940" i="1"/>
  <c r="I2814" i="33" s="1"/>
  <c r="B2816" i="33"/>
  <c r="U2815" i="33"/>
  <c r="B2815" i="33"/>
  <c r="U2814" i="33"/>
  <c r="B2814" i="33"/>
  <c r="U2813" i="33"/>
  <c r="B2813" i="33"/>
  <c r="U2812" i="33"/>
  <c r="B2812" i="33"/>
  <c r="U2811" i="33"/>
  <c r="B2811" i="33"/>
  <c r="U2810" i="33"/>
  <c r="B2810" i="33"/>
  <c r="U2809" i="33"/>
  <c r="B2809" i="33"/>
  <c r="U2808" i="33"/>
  <c r="Y981" i="1"/>
  <c r="P2804" i="33" s="1"/>
  <c r="P981" i="1"/>
  <c r="K2803" i="33" s="1"/>
  <c r="Q981" i="1"/>
  <c r="R981" i="1"/>
  <c r="B2808" i="33"/>
  <c r="U2807" i="33"/>
  <c r="B2807" i="33"/>
  <c r="U2806" i="33"/>
  <c r="B2806" i="33"/>
  <c r="U2805" i="33"/>
  <c r="B2805" i="33"/>
  <c r="U2804" i="33"/>
  <c r="B2804" i="33"/>
  <c r="U2803" i="33"/>
  <c r="B2803" i="33"/>
  <c r="U2802" i="33"/>
  <c r="B2802" i="33"/>
  <c r="U2801" i="33"/>
  <c r="B2801" i="33"/>
  <c r="U2800" i="33"/>
  <c r="B2800" i="33"/>
  <c r="U2799" i="33"/>
  <c r="Y837" i="1"/>
  <c r="P837" i="1"/>
  <c r="Q837" i="1"/>
  <c r="AU837" i="1" s="1"/>
  <c r="R837" i="1"/>
  <c r="I2799" i="33" s="1"/>
  <c r="B2799" i="33"/>
  <c r="U2798" i="33"/>
  <c r="B2798" i="33"/>
  <c r="U2797" i="33"/>
  <c r="B2797" i="33"/>
  <c r="U2796" i="33"/>
  <c r="B2796" i="33"/>
  <c r="U2795" i="33"/>
  <c r="B2795" i="33"/>
  <c r="U2794" i="33"/>
  <c r="Y1421" i="1"/>
  <c r="AO1421" i="1" s="1"/>
  <c r="P1421" i="1"/>
  <c r="Q1421" i="1"/>
  <c r="R1421" i="1"/>
  <c r="B2794" i="33"/>
  <c r="U2793" i="33"/>
  <c r="B2793" i="33"/>
  <c r="U2792" i="33"/>
  <c r="B2792" i="33"/>
  <c r="U2791" i="33"/>
  <c r="B2791" i="33"/>
  <c r="U2790" i="33"/>
  <c r="P877" i="1"/>
  <c r="K2790" i="33" s="1"/>
  <c r="Q877" i="1"/>
  <c r="J2790" i="33" s="1"/>
  <c r="R877" i="1"/>
  <c r="B2790" i="33"/>
  <c r="U2789" i="33"/>
  <c r="B2789" i="33"/>
  <c r="U2788" i="33"/>
  <c r="B2788" i="33"/>
  <c r="U2787" i="33"/>
  <c r="B2787" i="33"/>
  <c r="U2786" i="33"/>
  <c r="B2786" i="33"/>
  <c r="U2785" i="33"/>
  <c r="Y883" i="1"/>
  <c r="P883" i="1"/>
  <c r="K2783" i="33" s="1"/>
  <c r="Q883" i="1"/>
  <c r="R883" i="1"/>
  <c r="I2783" i="33" s="1"/>
  <c r="B2785" i="33"/>
  <c r="U2784" i="33"/>
  <c r="B2784" i="33"/>
  <c r="U2783" i="33"/>
  <c r="B2783" i="33"/>
  <c r="U2782" i="33"/>
  <c r="Y952" i="1"/>
  <c r="P952" i="1"/>
  <c r="K2778" i="33" s="1"/>
  <c r="Q952" i="1"/>
  <c r="R952" i="1"/>
  <c r="B2782" i="33"/>
  <c r="U2781" i="33"/>
  <c r="B2781" i="33"/>
  <c r="U2780" i="33"/>
  <c r="B2780" i="33"/>
  <c r="U2779" i="33"/>
  <c r="B2779" i="33"/>
  <c r="U2778" i="33"/>
  <c r="B2778" i="33"/>
  <c r="U2777" i="33"/>
  <c r="B2777" i="33"/>
  <c r="U2776" i="33"/>
  <c r="B2776" i="33"/>
  <c r="U2775" i="33"/>
  <c r="Y762" i="1"/>
  <c r="P762" i="1"/>
  <c r="Q762" i="1"/>
  <c r="AU762" i="1" s="1"/>
  <c r="R762" i="1"/>
  <c r="AT762" i="1" s="1"/>
  <c r="B2775" i="33"/>
  <c r="U2774" i="33"/>
  <c r="B2774" i="33"/>
  <c r="U2773" i="33"/>
  <c r="Y799" i="1"/>
  <c r="P2769" i="33" s="1"/>
  <c r="P799" i="1"/>
  <c r="Q799" i="1"/>
  <c r="J2769" i="33" s="1"/>
  <c r="R799" i="1"/>
  <c r="I2771" i="33" s="1"/>
  <c r="B2773" i="33"/>
  <c r="U2772" i="33"/>
  <c r="B2772" i="33"/>
  <c r="U2771" i="33"/>
  <c r="B2771" i="33"/>
  <c r="U2770" i="33"/>
  <c r="B2770" i="33"/>
  <c r="U2769" i="33"/>
  <c r="B2769" i="33"/>
  <c r="U2768" i="33"/>
  <c r="Y797" i="1"/>
  <c r="P797" i="1"/>
  <c r="Q797" i="1"/>
  <c r="R797" i="1"/>
  <c r="B2768" i="33"/>
  <c r="U2767" i="33"/>
  <c r="B2767" i="33"/>
  <c r="U2766" i="33"/>
  <c r="B2766" i="33"/>
  <c r="U2765" i="33"/>
  <c r="B2765" i="33"/>
  <c r="U2764" i="33"/>
  <c r="B2764" i="33"/>
  <c r="U2763" i="33"/>
  <c r="B2763" i="33"/>
  <c r="U2762" i="33"/>
  <c r="Y796" i="1"/>
  <c r="P796" i="1"/>
  <c r="K2760" i="33" s="1"/>
  <c r="Q796" i="1"/>
  <c r="R796" i="1"/>
  <c r="B2762" i="33"/>
  <c r="U2761" i="33"/>
  <c r="B2761" i="33"/>
  <c r="U2760" i="33"/>
  <c r="B2760" i="33"/>
  <c r="U2759" i="33"/>
  <c r="B2759" i="33"/>
  <c r="U2758" i="33"/>
  <c r="Y805" i="1"/>
  <c r="P805" i="1"/>
  <c r="K2758" i="33" s="1"/>
  <c r="Q805" i="1"/>
  <c r="J2758" i="33" s="1"/>
  <c r="R805" i="1"/>
  <c r="I2758" i="33" s="1"/>
  <c r="B2758" i="33"/>
  <c r="U2757" i="33"/>
  <c r="Y846" i="1"/>
  <c r="P846" i="1"/>
  <c r="K2757" i="33" s="1"/>
  <c r="Q846" i="1"/>
  <c r="R846" i="1"/>
  <c r="I2757" i="33" s="1"/>
  <c r="B2757" i="33"/>
  <c r="U2756" i="33"/>
  <c r="Y777" i="1"/>
  <c r="P777" i="1"/>
  <c r="K2756" i="33" s="1"/>
  <c r="Q777" i="1"/>
  <c r="J2752" i="33" s="1"/>
  <c r="R777" i="1"/>
  <c r="B2756" i="33"/>
  <c r="U2755" i="33"/>
  <c r="B2755" i="33"/>
  <c r="U2754" i="33"/>
  <c r="B2754" i="33"/>
  <c r="U2753" i="33"/>
  <c r="B2753" i="33"/>
  <c r="U2752" i="33"/>
  <c r="B2752" i="33"/>
  <c r="U2751" i="33"/>
  <c r="B2751" i="33"/>
  <c r="U2750" i="33"/>
  <c r="Y822" i="1"/>
  <c r="P2749" i="33" s="1"/>
  <c r="P822" i="1"/>
  <c r="K2750" i="33" s="1"/>
  <c r="Q822" i="1"/>
  <c r="R822" i="1"/>
  <c r="B2750" i="33"/>
  <c r="U2749" i="33"/>
  <c r="B2749" i="33"/>
  <c r="U2748" i="33"/>
  <c r="Y767" i="1"/>
  <c r="P767" i="1"/>
  <c r="K2748" i="33" s="1"/>
  <c r="Q767" i="1"/>
  <c r="J2748" i="33" s="1"/>
  <c r="R767" i="1"/>
  <c r="B2748" i="33"/>
  <c r="U2747" i="33"/>
  <c r="B2747" i="33"/>
  <c r="U2746" i="33"/>
  <c r="B2746" i="33"/>
  <c r="U2745" i="33"/>
  <c r="Y792" i="1"/>
  <c r="P792" i="1"/>
  <c r="K2745" i="33" s="1"/>
  <c r="Q792" i="1"/>
  <c r="R792" i="1"/>
  <c r="B2745" i="33"/>
  <c r="U2744" i="33"/>
  <c r="Y807" i="1"/>
  <c r="P807" i="1"/>
  <c r="K2742" i="33" s="1"/>
  <c r="Q807" i="1"/>
  <c r="J2744" i="33" s="1"/>
  <c r="R807" i="1"/>
  <c r="B2744" i="33"/>
  <c r="U2743" i="33"/>
  <c r="B2743" i="33"/>
  <c r="U2742" i="33"/>
  <c r="B2742" i="33"/>
  <c r="U2741" i="33"/>
  <c r="Y875" i="1"/>
  <c r="P875" i="1"/>
  <c r="Q875" i="1"/>
  <c r="J2740" i="33" s="1"/>
  <c r="R875" i="1"/>
  <c r="AT875" i="1" s="1"/>
  <c r="B2741" i="33"/>
  <c r="U2740" i="33"/>
  <c r="B2740" i="33"/>
  <c r="U2739" i="33"/>
  <c r="Y686" i="1"/>
  <c r="P2738" i="33" s="1"/>
  <c r="P686" i="1"/>
  <c r="Q686" i="1"/>
  <c r="R686" i="1"/>
  <c r="B2739" i="33"/>
  <c r="U2738" i="33"/>
  <c r="B2738" i="33"/>
  <c r="U2737" i="33"/>
  <c r="B2737" i="33"/>
  <c r="U2736" i="33"/>
  <c r="Y1392" i="1"/>
  <c r="AO1392" i="1" s="1"/>
  <c r="P1392" i="1"/>
  <c r="Q1392" i="1"/>
  <c r="AU1392" i="1" s="1"/>
  <c r="R1392" i="1"/>
  <c r="AT1392" i="1" s="1"/>
  <c r="B2736" i="33"/>
  <c r="U2735" i="33"/>
  <c r="B2735" i="33"/>
  <c r="U2734" i="33"/>
  <c r="B2734" i="33"/>
  <c r="U2733" i="33"/>
  <c r="Y708" i="1"/>
  <c r="P2727" i="33" s="1"/>
  <c r="P708" i="1"/>
  <c r="K2727" i="33" s="1"/>
  <c r="Q708" i="1"/>
  <c r="R708" i="1"/>
  <c r="I2732" i="33" s="1"/>
  <c r="B2733" i="33"/>
  <c r="U2732" i="33"/>
  <c r="B2732" i="33"/>
  <c r="U2731" i="33"/>
  <c r="B2731" i="33"/>
  <c r="U2730" i="33"/>
  <c r="B2730" i="33"/>
  <c r="U2729" i="33"/>
  <c r="B2729" i="33"/>
  <c r="U2728" i="33"/>
  <c r="B2728" i="33"/>
  <c r="U2727" i="33"/>
  <c r="B2727" i="33"/>
  <c r="U2726" i="33"/>
  <c r="Y669" i="1"/>
  <c r="P669" i="1"/>
  <c r="Q669" i="1"/>
  <c r="J2725" i="33" s="1"/>
  <c r="R669" i="1"/>
  <c r="B2726" i="33"/>
  <c r="U2725" i="33"/>
  <c r="B2725" i="33"/>
  <c r="U2724" i="33"/>
  <c r="B2724" i="33"/>
  <c r="U2723" i="33"/>
  <c r="B2723" i="33"/>
  <c r="U2722" i="33"/>
  <c r="B2722" i="33"/>
  <c r="U2721" i="33"/>
  <c r="B2721" i="33"/>
  <c r="U2720" i="33"/>
  <c r="Y645" i="1"/>
  <c r="P645" i="1"/>
  <c r="Q645" i="1"/>
  <c r="R645" i="1"/>
  <c r="B2720" i="33"/>
  <c r="U2719" i="33"/>
  <c r="B2719" i="33"/>
  <c r="U2718" i="33"/>
  <c r="Y679" i="1"/>
  <c r="P679" i="1"/>
  <c r="K2716" i="33" s="1"/>
  <c r="Q679" i="1"/>
  <c r="J2717" i="33" s="1"/>
  <c r="R679" i="1"/>
  <c r="I2717" i="33" s="1"/>
  <c r="B2718" i="33"/>
  <c r="U2717" i="33"/>
  <c r="B2717" i="33"/>
  <c r="U2716" i="33"/>
  <c r="B2716" i="33"/>
  <c r="U2715" i="33"/>
  <c r="B2715" i="33"/>
  <c r="U2714" i="33"/>
  <c r="Y791" i="1"/>
  <c r="P2713" i="33" s="1"/>
  <c r="P791" i="1"/>
  <c r="Q791" i="1"/>
  <c r="R791" i="1"/>
  <c r="I2710" i="33" s="1"/>
  <c r="B2714" i="33"/>
  <c r="U2713" i="33"/>
  <c r="B2713" i="33"/>
  <c r="U2712" i="33"/>
  <c r="B2712" i="33"/>
  <c r="U2711" i="33"/>
  <c r="B2711" i="33"/>
  <c r="U2710" i="33"/>
  <c r="B2710" i="33"/>
  <c r="U2709" i="33"/>
  <c r="B2709" i="33"/>
  <c r="U2708" i="33"/>
  <c r="B2708" i="33"/>
  <c r="U2707" i="33"/>
  <c r="B2707" i="33"/>
  <c r="U2706" i="33"/>
  <c r="B2706" i="33"/>
  <c r="U2705" i="33"/>
  <c r="B2705" i="33"/>
  <c r="U2704" i="33"/>
  <c r="B2704" i="33"/>
  <c r="U2703" i="33"/>
  <c r="Y677" i="1"/>
  <c r="P677" i="1"/>
  <c r="K2703" i="33" s="1"/>
  <c r="Q677" i="1"/>
  <c r="R677" i="1"/>
  <c r="I2703" i="33" s="1"/>
  <c r="B2703" i="33"/>
  <c r="U2702" i="33"/>
  <c r="B2702" i="33"/>
  <c r="U2701" i="33"/>
  <c r="Y838" i="1"/>
  <c r="P838" i="1"/>
  <c r="Q838" i="1"/>
  <c r="R838" i="1"/>
  <c r="AT838" i="1" s="1"/>
  <c r="B2701" i="33"/>
  <c r="U2700" i="33"/>
  <c r="B2700" i="33"/>
  <c r="U2699" i="33"/>
  <c r="B2699" i="33"/>
  <c r="U2698" i="33"/>
  <c r="B2698" i="33"/>
  <c r="U2697" i="33"/>
  <c r="Y691" i="1"/>
  <c r="P2697" i="33" s="1"/>
  <c r="P691" i="1"/>
  <c r="Q691" i="1"/>
  <c r="R691" i="1"/>
  <c r="B2697" i="33"/>
  <c r="U2696" i="33"/>
  <c r="B2696" i="33"/>
  <c r="U2695" i="33"/>
  <c r="Y782" i="1"/>
  <c r="P782" i="1"/>
  <c r="K2695" i="33" s="1"/>
  <c r="Q782" i="1"/>
  <c r="R782" i="1"/>
  <c r="B2695" i="33"/>
  <c r="U2694" i="33"/>
  <c r="Y1085" i="1"/>
  <c r="P1085" i="1"/>
  <c r="K2689" i="33" s="1"/>
  <c r="Q1085" i="1"/>
  <c r="R1085" i="1"/>
  <c r="B2694" i="33"/>
  <c r="U2693" i="33"/>
  <c r="B2693" i="33"/>
  <c r="U2692" i="33"/>
  <c r="B2692" i="33"/>
  <c r="U2691" i="33"/>
  <c r="B2691" i="33"/>
  <c r="U2690" i="33"/>
  <c r="B2690" i="33"/>
  <c r="U2689" i="33"/>
  <c r="B2689" i="33"/>
  <c r="U2688" i="33"/>
  <c r="B2688" i="33"/>
  <c r="U2687" i="33"/>
  <c r="B2687" i="33"/>
  <c r="U2686" i="33"/>
  <c r="Y938" i="1"/>
  <c r="P938" i="1"/>
  <c r="Q938" i="1"/>
  <c r="J2685" i="33" s="1"/>
  <c r="R938" i="1"/>
  <c r="B2686" i="33"/>
  <c r="U2685" i="33"/>
  <c r="B2685" i="33"/>
  <c r="U2684" i="33"/>
  <c r="B2684" i="33"/>
  <c r="U2683" i="33"/>
  <c r="B2683" i="33"/>
  <c r="U2682" i="33"/>
  <c r="Y809" i="1"/>
  <c r="P809" i="1"/>
  <c r="K2682" i="33" s="1"/>
  <c r="Q809" i="1"/>
  <c r="R809" i="1"/>
  <c r="B2682" i="33"/>
  <c r="U2681" i="33"/>
  <c r="B2681" i="33"/>
  <c r="U2680" i="33"/>
  <c r="Y670" i="1"/>
  <c r="P670" i="1"/>
  <c r="K2678" i="33" s="1"/>
  <c r="Q670" i="1"/>
  <c r="J2678" i="33" s="1"/>
  <c r="R670" i="1"/>
  <c r="B2680" i="33"/>
  <c r="U2679" i="33"/>
  <c r="B2679" i="33"/>
  <c r="U2678" i="33"/>
  <c r="B2678" i="33"/>
  <c r="U2677" i="33"/>
  <c r="Y840" i="1"/>
  <c r="P2676" i="33" s="1"/>
  <c r="P840" i="1"/>
  <c r="Q840" i="1"/>
  <c r="R840" i="1"/>
  <c r="I2675" i="33" s="1"/>
  <c r="B2677" i="33"/>
  <c r="U2676" i="33"/>
  <c r="B2676" i="33"/>
  <c r="U2675" i="33"/>
  <c r="B2675" i="33"/>
  <c r="U2674" i="33"/>
  <c r="B2674" i="33"/>
  <c r="U2673" i="33"/>
  <c r="B2673" i="33"/>
  <c r="U2672" i="33"/>
  <c r="Y817" i="1"/>
  <c r="P817" i="1"/>
  <c r="Q817" i="1"/>
  <c r="R817" i="1"/>
  <c r="B2672" i="33"/>
  <c r="U2671" i="33"/>
  <c r="B2671" i="33"/>
  <c r="U2670" i="33"/>
  <c r="B2670" i="33"/>
  <c r="U2669" i="33"/>
  <c r="Y789" i="1"/>
  <c r="P2668" i="33" s="1"/>
  <c r="P789" i="1"/>
  <c r="Q789" i="1"/>
  <c r="R789" i="1"/>
  <c r="AT789" i="1" s="1"/>
  <c r="B2669" i="33"/>
  <c r="U2668" i="33"/>
  <c r="B2668" i="33"/>
  <c r="U2667" i="33"/>
  <c r="Y745" i="1"/>
  <c r="P2666" i="33" s="1"/>
  <c r="P745" i="1"/>
  <c r="Q745" i="1"/>
  <c r="R745" i="1"/>
  <c r="I2667" i="33" s="1"/>
  <c r="B2667" i="33"/>
  <c r="U2666" i="33"/>
  <c r="B2666" i="33"/>
  <c r="U2665" i="33"/>
  <c r="B2665" i="33"/>
  <c r="U2664" i="33"/>
  <c r="B2664" i="33"/>
  <c r="U2663" i="33"/>
  <c r="Y760" i="1"/>
  <c r="P760" i="1"/>
  <c r="K2663" i="33" s="1"/>
  <c r="Q760" i="1"/>
  <c r="R760" i="1"/>
  <c r="AT760" i="1" s="1"/>
  <c r="B2663" i="33"/>
  <c r="U2662" i="33"/>
  <c r="B2662" i="33"/>
  <c r="U2661" i="33"/>
  <c r="Y755" i="1"/>
  <c r="P755" i="1"/>
  <c r="K2661" i="33" s="1"/>
  <c r="Q755" i="1"/>
  <c r="R755" i="1"/>
  <c r="I2661" i="33" s="1"/>
  <c r="B2661" i="33"/>
  <c r="U2660" i="33"/>
  <c r="B2660" i="33"/>
  <c r="U2659" i="33"/>
  <c r="B2659" i="33"/>
  <c r="U2658" i="33"/>
  <c r="B2658" i="33"/>
  <c r="U2657" i="33"/>
  <c r="Y776" i="1"/>
  <c r="P2657" i="33" s="1"/>
  <c r="P776" i="1"/>
  <c r="Q776" i="1"/>
  <c r="J2656" i="33" s="1"/>
  <c r="R776" i="1"/>
  <c r="AT776" i="1" s="1"/>
  <c r="B2657" i="33"/>
  <c r="U2656" i="33"/>
  <c r="B2656" i="33"/>
  <c r="U2655" i="33"/>
  <c r="Y697" i="1"/>
  <c r="P2654" i="33" s="1"/>
  <c r="P697" i="1"/>
  <c r="K2654" i="33" s="1"/>
  <c r="Q697" i="1"/>
  <c r="R697" i="1"/>
  <c r="I2653" i="33" s="1"/>
  <c r="B2655" i="33"/>
  <c r="U2654" i="33"/>
  <c r="B2654" i="33"/>
  <c r="U2653" i="33"/>
  <c r="B2653" i="33"/>
  <c r="U2652" i="33"/>
  <c r="Y756" i="1"/>
  <c r="P2649" i="33" s="1"/>
  <c r="P756" i="1"/>
  <c r="Q756" i="1"/>
  <c r="J2651" i="33" s="1"/>
  <c r="R756" i="1"/>
  <c r="B2652" i="33"/>
  <c r="U2651" i="33"/>
  <c r="B2651" i="33"/>
  <c r="U2650" i="33"/>
  <c r="B2650" i="33"/>
  <c r="U2649" i="33"/>
  <c r="B2649" i="33"/>
  <c r="U2648" i="33"/>
  <c r="B2648" i="33"/>
  <c r="U2647" i="33"/>
  <c r="Y637" i="1"/>
  <c r="P2646" i="33" s="1"/>
  <c r="P637" i="1"/>
  <c r="Q637" i="1"/>
  <c r="J2646" i="33" s="1"/>
  <c r="R637" i="1"/>
  <c r="I2646" i="33" s="1"/>
  <c r="B2647" i="33"/>
  <c r="U2646" i="33"/>
  <c r="B2646" i="33"/>
  <c r="U2645" i="33"/>
  <c r="B2645" i="33"/>
  <c r="U2644" i="33"/>
  <c r="B2644" i="33"/>
  <c r="U2643" i="33"/>
  <c r="B2643" i="33"/>
  <c r="U2642" i="33"/>
  <c r="B2642" i="33"/>
  <c r="U2641" i="33"/>
  <c r="B2641" i="33"/>
  <c r="U2640" i="33"/>
  <c r="B2640" i="33"/>
  <c r="U2639" i="33"/>
  <c r="B2639" i="33"/>
  <c r="U2638" i="33"/>
  <c r="Y628" i="1"/>
  <c r="P628" i="1"/>
  <c r="K2637" i="33" s="1"/>
  <c r="Q628" i="1"/>
  <c r="J2637" i="33" s="1"/>
  <c r="R628" i="1"/>
  <c r="B2638" i="33"/>
  <c r="U2637" i="33"/>
  <c r="B2637" i="33"/>
  <c r="U2636" i="33"/>
  <c r="B2636" i="33"/>
  <c r="U2635" i="33"/>
  <c r="B2635" i="33"/>
  <c r="U2634" i="33"/>
  <c r="B2634" i="33"/>
  <c r="U2633" i="33"/>
  <c r="B2633" i="33"/>
  <c r="U2632" i="33"/>
  <c r="B2632" i="33"/>
  <c r="U2631" i="33"/>
  <c r="B2631" i="33"/>
  <c r="U2630" i="33"/>
  <c r="B2630" i="33"/>
  <c r="U2629" i="33"/>
  <c r="B2629" i="33"/>
  <c r="U2628" i="33"/>
  <c r="B2628" i="33"/>
  <c r="U2627" i="33"/>
  <c r="B2627" i="33"/>
  <c r="U2626" i="33"/>
  <c r="B2626" i="33"/>
  <c r="U2625" i="33"/>
  <c r="Y773" i="1"/>
  <c r="P2624" i="33" s="1"/>
  <c r="P773" i="1"/>
  <c r="Q773" i="1"/>
  <c r="R773" i="1"/>
  <c r="B2625" i="33"/>
  <c r="U2624" i="33"/>
  <c r="B2624" i="33"/>
  <c r="U2623" i="33"/>
  <c r="B2623" i="33"/>
  <c r="U2622" i="33"/>
  <c r="Y640" i="1"/>
  <c r="AO640" i="1" s="1"/>
  <c r="P640" i="1"/>
  <c r="Q640" i="1"/>
  <c r="J2622" i="33" s="1"/>
  <c r="R640" i="1"/>
  <c r="B2622" i="33"/>
  <c r="U2621" i="33"/>
  <c r="B2621" i="33"/>
  <c r="U2620" i="33"/>
  <c r="Y709" i="1"/>
  <c r="P709" i="1"/>
  <c r="K2620" i="33" s="1"/>
  <c r="Q709" i="1"/>
  <c r="R709" i="1"/>
  <c r="B2620" i="33"/>
  <c r="U2619" i="33"/>
  <c r="Y714" i="1"/>
  <c r="P714" i="1"/>
  <c r="K2619" i="33" s="1"/>
  <c r="Q714" i="1"/>
  <c r="R714" i="1"/>
  <c r="I2619" i="33" s="1"/>
  <c r="B2619" i="33"/>
  <c r="U2618" i="33"/>
  <c r="B2618" i="33"/>
  <c r="U2617" i="33"/>
  <c r="B2617" i="33"/>
  <c r="U2616" i="33"/>
  <c r="B2616" i="33"/>
  <c r="U2615" i="33"/>
  <c r="B2615" i="33"/>
  <c r="U2614" i="33"/>
  <c r="Y734" i="1"/>
  <c r="P734" i="1"/>
  <c r="Q734" i="1"/>
  <c r="J2612" i="33" s="1"/>
  <c r="R734" i="1"/>
  <c r="I2613" i="33" s="1"/>
  <c r="B2614" i="33"/>
  <c r="U2613" i="33"/>
  <c r="B2613" i="33"/>
  <c r="U2612" i="33"/>
  <c r="B2612" i="33"/>
  <c r="U2611" i="33"/>
  <c r="Y758" i="1"/>
  <c r="AO758" i="1" s="1"/>
  <c r="P758" i="1"/>
  <c r="K2611" i="33" s="1"/>
  <c r="Q758" i="1"/>
  <c r="R758" i="1"/>
  <c r="B2611" i="33"/>
  <c r="U2610" i="33"/>
  <c r="Y695" i="1"/>
  <c r="P695" i="1"/>
  <c r="K2604" i="33" s="1"/>
  <c r="Q695" i="1"/>
  <c r="J2607" i="33" s="1"/>
  <c r="R695" i="1"/>
  <c r="I2609" i="33" s="1"/>
  <c r="B2610" i="33"/>
  <c r="U2609" i="33"/>
  <c r="B2609" i="33"/>
  <c r="U2608" i="33"/>
  <c r="B2608" i="33"/>
  <c r="U2607" i="33"/>
  <c r="B2607" i="33"/>
  <c r="U2606" i="33"/>
  <c r="B2606" i="33"/>
  <c r="U2605" i="33"/>
  <c r="B2605" i="33"/>
  <c r="U2604" i="33"/>
  <c r="B2604" i="33"/>
  <c r="U2603" i="33"/>
  <c r="B2603" i="33"/>
  <c r="U2602" i="33"/>
  <c r="Y1083" i="1"/>
  <c r="P1083" i="1"/>
  <c r="Q1083" i="1"/>
  <c r="J2599" i="33" s="1"/>
  <c r="R1083" i="1"/>
  <c r="B2602" i="33"/>
  <c r="U2601" i="33"/>
  <c r="B2601" i="33"/>
  <c r="U2600" i="33"/>
  <c r="B2600" i="33"/>
  <c r="U2599" i="33"/>
  <c r="B2599" i="33"/>
  <c r="U2598" i="33"/>
  <c r="B2598" i="33"/>
  <c r="U2597" i="33"/>
  <c r="B2597" i="33"/>
  <c r="U2596" i="33"/>
  <c r="Y739" i="1"/>
  <c r="P739" i="1"/>
  <c r="K2596" i="33" s="1"/>
  <c r="Q739" i="1"/>
  <c r="J2595" i="33" s="1"/>
  <c r="R739" i="1"/>
  <c r="B2596" i="33"/>
  <c r="U2595" i="33"/>
  <c r="B2595" i="33"/>
  <c r="U2594" i="33"/>
  <c r="Y680" i="1"/>
  <c r="P680" i="1"/>
  <c r="K2593" i="33" s="1"/>
  <c r="Q680" i="1"/>
  <c r="J2594" i="33" s="1"/>
  <c r="R680" i="1"/>
  <c r="B2594" i="33"/>
  <c r="U2593" i="33"/>
  <c r="B2593" i="33"/>
  <c r="U2592" i="33"/>
  <c r="B2592" i="33"/>
  <c r="U2591" i="33"/>
  <c r="B2591" i="33"/>
  <c r="U2590" i="33"/>
  <c r="B2590" i="33"/>
  <c r="U2589" i="33"/>
  <c r="B2589" i="33"/>
  <c r="U2588" i="33"/>
  <c r="B2588" i="33"/>
  <c r="U2587" i="33"/>
  <c r="B2587" i="33"/>
  <c r="U2586" i="33"/>
  <c r="B2586" i="33"/>
  <c r="U2585" i="33"/>
  <c r="B2585" i="33"/>
  <c r="U2584" i="33"/>
  <c r="B2584" i="33"/>
  <c r="U2583" i="33"/>
  <c r="B2583" i="33"/>
  <c r="U2582" i="33"/>
  <c r="B2582" i="33"/>
  <c r="U2581" i="33"/>
  <c r="Y699" i="1"/>
  <c r="P2580" i="33" s="1"/>
  <c r="P699" i="1"/>
  <c r="K2580" i="33" s="1"/>
  <c r="Q699" i="1"/>
  <c r="AU699" i="1" s="1"/>
  <c r="R699" i="1"/>
  <c r="B2581" i="33"/>
  <c r="U2580" i="33"/>
  <c r="B2580" i="33"/>
  <c r="U2579" i="33"/>
  <c r="B2579" i="33"/>
  <c r="U2578" i="33"/>
  <c r="B2578" i="33"/>
  <c r="U2577" i="33"/>
  <c r="B2577" i="33"/>
  <c r="U2576" i="33"/>
  <c r="Y542" i="1"/>
  <c r="P542" i="1"/>
  <c r="Q542" i="1"/>
  <c r="J2567" i="33" s="1"/>
  <c r="R542" i="1"/>
  <c r="I2568" i="33" s="1"/>
  <c r="B2576" i="33"/>
  <c r="U2575" i="33"/>
  <c r="B2575" i="33"/>
  <c r="U2574" i="33"/>
  <c r="B2574" i="33"/>
  <c r="U2573" i="33"/>
  <c r="B2573" i="33"/>
  <c r="U2572" i="33"/>
  <c r="B2572" i="33"/>
  <c r="U2571" i="33"/>
  <c r="B2571" i="33"/>
  <c r="U2570" i="33"/>
  <c r="B2570" i="33"/>
  <c r="U2569" i="33"/>
  <c r="B2569" i="33"/>
  <c r="U2568" i="33"/>
  <c r="B2568" i="33"/>
  <c r="U2567" i="33"/>
  <c r="B2567" i="33"/>
  <c r="U2566" i="33"/>
  <c r="Y728" i="1"/>
  <c r="P728" i="1"/>
  <c r="K2566" i="33" s="1"/>
  <c r="Q728" i="1"/>
  <c r="R728" i="1"/>
  <c r="B2566" i="33"/>
  <c r="U2565" i="33"/>
  <c r="B2565" i="33"/>
  <c r="U2564" i="33"/>
  <c r="B2564" i="33"/>
  <c r="U2563" i="33"/>
  <c r="Y673" i="1"/>
  <c r="P2561" i="33" s="1"/>
  <c r="P673" i="1"/>
  <c r="K2561" i="33" s="1"/>
  <c r="Q673" i="1"/>
  <c r="R673" i="1"/>
  <c r="B2563" i="33"/>
  <c r="U2562" i="33"/>
  <c r="B2562" i="33"/>
  <c r="U2561" i="33"/>
  <c r="B2561" i="33"/>
  <c r="U2560" i="33"/>
  <c r="B2560" i="33"/>
  <c r="U2559" i="33"/>
  <c r="B2559" i="33"/>
  <c r="U2558" i="33"/>
  <c r="B2558" i="33"/>
  <c r="U2557" i="33"/>
  <c r="Y735" i="1"/>
  <c r="P735" i="1"/>
  <c r="Q735" i="1"/>
  <c r="R735" i="1"/>
  <c r="AT735" i="1" s="1"/>
  <c r="B2557" i="33"/>
  <c r="U2556" i="33"/>
  <c r="B2556" i="33"/>
  <c r="U2555" i="33"/>
  <c r="B2555" i="33"/>
  <c r="U2554" i="33"/>
  <c r="B2554" i="33"/>
  <c r="U2553" i="33"/>
  <c r="B2553" i="33"/>
  <c r="U2552" i="33"/>
  <c r="Y737" i="1"/>
  <c r="P737" i="1"/>
  <c r="K2550" i="33" s="1"/>
  <c r="Q737" i="1"/>
  <c r="J2552" i="33" s="1"/>
  <c r="R737" i="1"/>
  <c r="I2551" i="33" s="1"/>
  <c r="B2552" i="33"/>
  <c r="U2551" i="33"/>
  <c r="B2551" i="33"/>
  <c r="U2550" i="33"/>
  <c r="B2550" i="33"/>
  <c r="U2549" i="33"/>
  <c r="B2549" i="33"/>
  <c r="U2548" i="33"/>
  <c r="B2548" i="33"/>
  <c r="U2547" i="33"/>
  <c r="B2547" i="33"/>
  <c r="U2546" i="33"/>
  <c r="B2546" i="33"/>
  <c r="U2545" i="33"/>
  <c r="Y643" i="1"/>
  <c r="P2545" i="33" s="1"/>
  <c r="P643" i="1"/>
  <c r="K2544" i="33" s="1"/>
  <c r="Q643" i="1"/>
  <c r="R643" i="1"/>
  <c r="I2544" i="33" s="1"/>
  <c r="B2545" i="33"/>
  <c r="U2544" i="33"/>
  <c r="B2544" i="33"/>
  <c r="U2543" i="33"/>
  <c r="B2543" i="33"/>
  <c r="U2542" i="33"/>
  <c r="B2542" i="33"/>
  <c r="U2541" i="33"/>
  <c r="B2541" i="33"/>
  <c r="U2540" i="33"/>
  <c r="B2540" i="33"/>
  <c r="U2539" i="33"/>
  <c r="B2539" i="33"/>
  <c r="U2538" i="33"/>
  <c r="B2538" i="33"/>
  <c r="U2537" i="33"/>
  <c r="B2537" i="33"/>
  <c r="U2536" i="33"/>
  <c r="B2536" i="33"/>
  <c r="U2535" i="33"/>
  <c r="Y698" i="1"/>
  <c r="P698" i="1"/>
  <c r="K2534" i="33" s="1"/>
  <c r="Q698" i="1"/>
  <c r="R698" i="1"/>
  <c r="AT698" i="1" s="1"/>
  <c r="B2535" i="33"/>
  <c r="U2534" i="33"/>
  <c r="B2534" i="33"/>
  <c r="U2533" i="33"/>
  <c r="B2533" i="33"/>
  <c r="U2532" i="33"/>
  <c r="B2532" i="33"/>
  <c r="U2531" i="33"/>
  <c r="Y665" i="1"/>
  <c r="P665" i="1"/>
  <c r="K2531" i="33" s="1"/>
  <c r="Q665" i="1"/>
  <c r="R665" i="1"/>
  <c r="B2531" i="33"/>
  <c r="U2530" i="33"/>
  <c r="Y657" i="1"/>
  <c r="P657" i="1"/>
  <c r="K2527" i="33" s="1"/>
  <c r="Q657" i="1"/>
  <c r="J2527" i="33" s="1"/>
  <c r="R657" i="1"/>
  <c r="B2530" i="33"/>
  <c r="U2529" i="33"/>
  <c r="B2529" i="33"/>
  <c r="U2528" i="33"/>
  <c r="B2528" i="33"/>
  <c r="U2527" i="33"/>
  <c r="B2527" i="33"/>
  <c r="U2526" i="33"/>
  <c r="B2526" i="33"/>
  <c r="U2525" i="33"/>
  <c r="B2525" i="33"/>
  <c r="U2524" i="33"/>
  <c r="B2524" i="33"/>
  <c r="U2523" i="33"/>
  <c r="B2523" i="33"/>
  <c r="U2522" i="33"/>
  <c r="B2522" i="33"/>
  <c r="U2521" i="33"/>
  <c r="B2521" i="33"/>
  <c r="U2520" i="33"/>
  <c r="B2520" i="33"/>
  <c r="U2519" i="33"/>
  <c r="B2519" i="33"/>
  <c r="U2518" i="33"/>
  <c r="B2518" i="33"/>
  <c r="U2517" i="33"/>
  <c r="B2517" i="33"/>
  <c r="U2516" i="33"/>
  <c r="Y584" i="1"/>
  <c r="AO584" i="1" s="1"/>
  <c r="P584" i="1"/>
  <c r="K2516" i="33" s="1"/>
  <c r="Q584" i="1"/>
  <c r="R584" i="1"/>
  <c r="B2516" i="33"/>
  <c r="U2515" i="33"/>
  <c r="Y620" i="1"/>
  <c r="AO620" i="1" s="1"/>
  <c r="P620" i="1"/>
  <c r="Q620" i="1"/>
  <c r="R620" i="1"/>
  <c r="I2515" i="33" s="1"/>
  <c r="B2515" i="33"/>
  <c r="U2514" i="33"/>
  <c r="B2514" i="33"/>
  <c r="U2513" i="33"/>
  <c r="Y552" i="1"/>
  <c r="P2511" i="33" s="1"/>
  <c r="P552" i="1"/>
  <c r="K2510" i="33" s="1"/>
  <c r="Q552" i="1"/>
  <c r="R552" i="1"/>
  <c r="I2512" i="33" s="1"/>
  <c r="B2513" i="33"/>
  <c r="U2512" i="33"/>
  <c r="B2512" i="33"/>
  <c r="U2511" i="33"/>
  <c r="B2511" i="33"/>
  <c r="U2510" i="33"/>
  <c r="B2510" i="33"/>
  <c r="U2509" i="33"/>
  <c r="Y601" i="1"/>
  <c r="P2506" i="33" s="1"/>
  <c r="P601" i="1"/>
  <c r="Q601" i="1"/>
  <c r="R601" i="1"/>
  <c r="I2507" i="33" s="1"/>
  <c r="B2509" i="33"/>
  <c r="U2508" i="33"/>
  <c r="B2508" i="33"/>
  <c r="U2507" i="33"/>
  <c r="B2507" i="33"/>
  <c r="U2506" i="33"/>
  <c r="B2506" i="33"/>
  <c r="U2505" i="33"/>
  <c r="Y676" i="1"/>
  <c r="P2503" i="33" s="1"/>
  <c r="P676" i="1"/>
  <c r="K2504" i="33" s="1"/>
  <c r="Q676" i="1"/>
  <c r="R676" i="1"/>
  <c r="I2503" i="33" s="1"/>
  <c r="B2505" i="33"/>
  <c r="U2504" i="33"/>
  <c r="B2504" i="33"/>
  <c r="U2503" i="33"/>
  <c r="B2503" i="33"/>
  <c r="U2502" i="33"/>
  <c r="B2502" i="33"/>
  <c r="U2501" i="33"/>
  <c r="B2501" i="33"/>
  <c r="U2500" i="33"/>
  <c r="Y934" i="1"/>
  <c r="P934" i="1"/>
  <c r="Q934" i="1"/>
  <c r="J2495" i="33" s="1"/>
  <c r="R934" i="1"/>
  <c r="B2500" i="33"/>
  <c r="U2499" i="33"/>
  <c r="B2499" i="33"/>
  <c r="U2498" i="33"/>
  <c r="B2498" i="33"/>
  <c r="U2497" i="33"/>
  <c r="B2497" i="33"/>
  <c r="U2496" i="33"/>
  <c r="B2496" i="33"/>
  <c r="U2495" i="33"/>
  <c r="B2495" i="33"/>
  <c r="U2494" i="33"/>
  <c r="B2494" i="33"/>
  <c r="U2493" i="33"/>
  <c r="B2493" i="33"/>
  <c r="U2492" i="33"/>
  <c r="B2492" i="33"/>
  <c r="U2491" i="33"/>
  <c r="B2491" i="33"/>
  <c r="U2490" i="33"/>
  <c r="Y587" i="1"/>
  <c r="P587" i="1"/>
  <c r="K2490" i="33" s="1"/>
  <c r="Q587" i="1"/>
  <c r="R587" i="1"/>
  <c r="B2490" i="33"/>
  <c r="U2489" i="33"/>
  <c r="B2489" i="33"/>
  <c r="U2488" i="33"/>
  <c r="Y631" i="1"/>
  <c r="P631" i="1"/>
  <c r="Q631" i="1"/>
  <c r="R631" i="1"/>
  <c r="I2488" i="33" s="1"/>
  <c r="B2488" i="33"/>
  <c r="U2487" i="33"/>
  <c r="B2487" i="33"/>
  <c r="U2486" i="33"/>
  <c r="B2486" i="33"/>
  <c r="U2485" i="33"/>
  <c r="Y610" i="1"/>
  <c r="P2485" i="33" s="1"/>
  <c r="P610" i="1"/>
  <c r="K2485" i="33" s="1"/>
  <c r="Q610" i="1"/>
  <c r="AU610" i="1" s="1"/>
  <c r="R610" i="1"/>
  <c r="I2485" i="33" s="1"/>
  <c r="B2485" i="33"/>
  <c r="U2484" i="33"/>
  <c r="B2484" i="33"/>
  <c r="U2483" i="33"/>
  <c r="Y650" i="1"/>
  <c r="AO650" i="1" s="1"/>
  <c r="P650" i="1"/>
  <c r="Q650" i="1"/>
  <c r="R650" i="1"/>
  <c r="AT650" i="1" s="1"/>
  <c r="B2483" i="33"/>
  <c r="U2482" i="33"/>
  <c r="B2482" i="33"/>
  <c r="U2481" i="33"/>
  <c r="Y639" i="1"/>
  <c r="P2473" i="33" s="1"/>
  <c r="P639" i="1"/>
  <c r="K2479" i="33" s="1"/>
  <c r="Q639" i="1"/>
  <c r="R639" i="1"/>
  <c r="I2470" i="33" s="1"/>
  <c r="B2481" i="33"/>
  <c r="U2480" i="33"/>
  <c r="B2480" i="33"/>
  <c r="U2479" i="33"/>
  <c r="B2479" i="33"/>
  <c r="U2478" i="33"/>
  <c r="B2478" i="33"/>
  <c r="U2477" i="33"/>
  <c r="B2477" i="33"/>
  <c r="U2476" i="33"/>
  <c r="B2476" i="33"/>
  <c r="U2475" i="33"/>
  <c r="B2475" i="33"/>
  <c r="U2474" i="33"/>
  <c r="U2473" i="33"/>
  <c r="B2473" i="33"/>
  <c r="U2472" i="33"/>
  <c r="B2472" i="33"/>
  <c r="U2471" i="33"/>
  <c r="B2471" i="33"/>
  <c r="U2470" i="33"/>
  <c r="B2470" i="33"/>
  <c r="U2469" i="33"/>
  <c r="B2469" i="33"/>
  <c r="U2468" i="33"/>
  <c r="B2468" i="33"/>
  <c r="U2467" i="33"/>
  <c r="Y616" i="1"/>
  <c r="P2464" i="33" s="1"/>
  <c r="P616" i="1"/>
  <c r="K2466" i="33" s="1"/>
  <c r="Q616" i="1"/>
  <c r="R616" i="1"/>
  <c r="B2467" i="33"/>
  <c r="U2466" i="33"/>
  <c r="B2466" i="33"/>
  <c r="U2465" i="33"/>
  <c r="B2465" i="33"/>
  <c r="U2464" i="33"/>
  <c r="B2464" i="33"/>
  <c r="U2463" i="33"/>
  <c r="Y662" i="1"/>
  <c r="P2463" i="33" s="1"/>
  <c r="P662" i="1"/>
  <c r="Q662" i="1"/>
  <c r="R662" i="1"/>
  <c r="I2463" i="33" s="1"/>
  <c r="B2463" i="33"/>
  <c r="U2462" i="33"/>
  <c r="B2462" i="33"/>
  <c r="U2461" i="33"/>
  <c r="Y613" i="1"/>
  <c r="AO613" i="1" s="1"/>
  <c r="P613" i="1"/>
  <c r="K2459" i="33" s="1"/>
  <c r="Q613" i="1"/>
  <c r="J2458" i="33" s="1"/>
  <c r="R613" i="1"/>
  <c r="B2461" i="33"/>
  <c r="U2460" i="33"/>
  <c r="B2460" i="33"/>
  <c r="U2459" i="33"/>
  <c r="B2459" i="33"/>
  <c r="U2458" i="33"/>
  <c r="B2458" i="33"/>
  <c r="U2457" i="33"/>
  <c r="B2457" i="33"/>
  <c r="U2456" i="33"/>
  <c r="B2456" i="33"/>
  <c r="U2455" i="33"/>
  <c r="B2455" i="33"/>
  <c r="U2454" i="33"/>
  <c r="B2454" i="33"/>
  <c r="U2453" i="33"/>
  <c r="B2453" i="33"/>
  <c r="U2452" i="33"/>
  <c r="B2452" i="33"/>
  <c r="U2451" i="33"/>
  <c r="B2451" i="33"/>
  <c r="U2450" i="33"/>
  <c r="B2450" i="33"/>
  <c r="U2449" i="33"/>
  <c r="B2449" i="33"/>
  <c r="U2448" i="33"/>
  <c r="B2448" i="33"/>
  <c r="U2447" i="33"/>
  <c r="Y557" i="1"/>
  <c r="P2447" i="33" s="1"/>
  <c r="P557" i="1"/>
  <c r="K2447" i="33" s="1"/>
  <c r="Q557" i="1"/>
  <c r="R557" i="1"/>
  <c r="B2447" i="33"/>
  <c r="U2446" i="33"/>
  <c r="B2446" i="33"/>
  <c r="U2445" i="33"/>
  <c r="B2445" i="33"/>
  <c r="U2444" i="33"/>
  <c r="Y634" i="1"/>
  <c r="P634" i="1"/>
  <c r="Q634" i="1"/>
  <c r="AU634" i="1" s="1"/>
  <c r="R634" i="1"/>
  <c r="I2444" i="33" s="1"/>
  <c r="B2444" i="33"/>
  <c r="U2443" i="33"/>
  <c r="B2443" i="33"/>
  <c r="U2442" i="33"/>
  <c r="B2442" i="33"/>
  <c r="U2441" i="33"/>
  <c r="B2441" i="33"/>
  <c r="U2440" i="33"/>
  <c r="Y668" i="1"/>
  <c r="P668" i="1"/>
  <c r="K2440" i="33" s="1"/>
  <c r="Q668" i="1"/>
  <c r="J2440" i="33" s="1"/>
  <c r="R668" i="1"/>
  <c r="B2440" i="33"/>
  <c r="U2439" i="33"/>
  <c r="B2439" i="33"/>
  <c r="U2438" i="33"/>
  <c r="B2438" i="33"/>
  <c r="U2437" i="33"/>
  <c r="Y608" i="1"/>
  <c r="P2436" i="33" s="1"/>
  <c r="P608" i="1"/>
  <c r="Q608" i="1"/>
  <c r="J2437" i="33" s="1"/>
  <c r="R608" i="1"/>
  <c r="B2437" i="33"/>
  <c r="U2436" i="33"/>
  <c r="B2436" i="33"/>
  <c r="U2435" i="33"/>
  <c r="Y514" i="1"/>
  <c r="P2435" i="33" s="1"/>
  <c r="P514" i="1"/>
  <c r="K2435" i="33" s="1"/>
  <c r="Q514" i="1"/>
  <c r="R514" i="1"/>
  <c r="B2435" i="33"/>
  <c r="U2434" i="33"/>
  <c r="B2434" i="33"/>
  <c r="U2433" i="33"/>
  <c r="B2433" i="33"/>
  <c r="U2432" i="33"/>
  <c r="B2432" i="33"/>
  <c r="U2431" i="33"/>
  <c r="B2431" i="33"/>
  <c r="U2430" i="33"/>
  <c r="B2430" i="33"/>
  <c r="U2429" i="33"/>
  <c r="B2429" i="33"/>
  <c r="U2428" i="33"/>
  <c r="B2428" i="33"/>
  <c r="U2427" i="33"/>
  <c r="B2427" i="33"/>
  <c r="U2426" i="33"/>
  <c r="B2426" i="33"/>
  <c r="U2425" i="33"/>
  <c r="B2425" i="33"/>
  <c r="U2424" i="33"/>
  <c r="B2424" i="33"/>
  <c r="U2423" i="33"/>
  <c r="B2423" i="33"/>
  <c r="Y623" i="1"/>
  <c r="AO623" i="1" s="1"/>
  <c r="P623" i="1"/>
  <c r="Q623" i="1"/>
  <c r="AU623" i="1" s="1"/>
  <c r="R623" i="1"/>
  <c r="AT623" i="1" s="1"/>
  <c r="U2422" i="33"/>
  <c r="Y632" i="1"/>
  <c r="P2422" i="33" s="1"/>
  <c r="P632" i="1"/>
  <c r="Q632" i="1"/>
  <c r="J2422" i="33" s="1"/>
  <c r="R632" i="1"/>
  <c r="I2422" i="33" s="1"/>
  <c r="B2422" i="33"/>
  <c r="U2421" i="33"/>
  <c r="B2421" i="33"/>
  <c r="U2420" i="33"/>
  <c r="Y448" i="1"/>
  <c r="P448" i="1"/>
  <c r="K2417" i="33" s="1"/>
  <c r="Q448" i="1"/>
  <c r="J2420" i="33" s="1"/>
  <c r="R448" i="1"/>
  <c r="I2417" i="33" s="1"/>
  <c r="B2420" i="33"/>
  <c r="U2419" i="33"/>
  <c r="B2419" i="33"/>
  <c r="U2418" i="33"/>
  <c r="B2418" i="33"/>
  <c r="U2417" i="33"/>
  <c r="B2417" i="33"/>
  <c r="U2416" i="33"/>
  <c r="B2416" i="33"/>
  <c r="U2415" i="33"/>
  <c r="Y611" i="1"/>
  <c r="P611" i="1"/>
  <c r="Q611" i="1"/>
  <c r="R611" i="1"/>
  <c r="B2415" i="33"/>
  <c r="U2414" i="33"/>
  <c r="B2414" i="33"/>
  <c r="U2413" i="33"/>
  <c r="B2413" i="33"/>
  <c r="U2412" i="33"/>
  <c r="B2412" i="33"/>
  <c r="U2411" i="33"/>
  <c r="Y621" i="1"/>
  <c r="P2411" i="33" s="1"/>
  <c r="P621" i="1"/>
  <c r="Q621" i="1"/>
  <c r="J2411" i="33" s="1"/>
  <c r="R621" i="1"/>
  <c r="B2411" i="33"/>
  <c r="U2410" i="33"/>
  <c r="B2410" i="33"/>
  <c r="U2409" i="33"/>
  <c r="B2409" i="33"/>
  <c r="U2408" i="33"/>
  <c r="B2408" i="33"/>
  <c r="U2407" i="33"/>
  <c r="Y636" i="1"/>
  <c r="AO636" i="1" s="1"/>
  <c r="P636" i="1"/>
  <c r="K2406" i="33" s="1"/>
  <c r="Q636" i="1"/>
  <c r="R636" i="1"/>
  <c r="B2407" i="33"/>
  <c r="U2406" i="33"/>
  <c r="B2406" i="33"/>
  <c r="U2405" i="33"/>
  <c r="B2405" i="33"/>
  <c r="U2404" i="33"/>
  <c r="B2404" i="33"/>
  <c r="U2403" i="33"/>
  <c r="B2403" i="33"/>
  <c r="U2402" i="33"/>
  <c r="B2402" i="33"/>
  <c r="U2401" i="33"/>
  <c r="Y590" i="1"/>
  <c r="P590" i="1"/>
  <c r="Q590" i="1"/>
  <c r="R590" i="1"/>
  <c r="I2399" i="33" s="1"/>
  <c r="B2401" i="33"/>
  <c r="U2400" i="33"/>
  <c r="B2400" i="33"/>
  <c r="U2399" i="33"/>
  <c r="B2399" i="33"/>
  <c r="U2398" i="33"/>
  <c r="Y633" i="1"/>
  <c r="P633" i="1"/>
  <c r="Q633" i="1"/>
  <c r="AU633" i="1" s="1"/>
  <c r="R633" i="1"/>
  <c r="B2398" i="33"/>
  <c r="U2397" i="33"/>
  <c r="B2397" i="33"/>
  <c r="U2396" i="33"/>
  <c r="B2396" i="33"/>
  <c r="U2395" i="33"/>
  <c r="B2395" i="33"/>
  <c r="U2394" i="33"/>
  <c r="B2394" i="33"/>
  <c r="U2393" i="33"/>
  <c r="Y520" i="1"/>
  <c r="P520" i="1"/>
  <c r="K2393" i="33" s="1"/>
  <c r="Q520" i="1"/>
  <c r="R520" i="1"/>
  <c r="B2393" i="33"/>
  <c r="U2392" i="33"/>
  <c r="Y586" i="1"/>
  <c r="P586" i="1"/>
  <c r="K2392" i="33" s="1"/>
  <c r="Q586" i="1"/>
  <c r="J2392" i="33" s="1"/>
  <c r="R586" i="1"/>
  <c r="B2392" i="33"/>
  <c r="U2391" i="33"/>
  <c r="Y723" i="1"/>
  <c r="P723" i="1"/>
  <c r="Q723" i="1"/>
  <c r="R723" i="1"/>
  <c r="B2391" i="33"/>
  <c r="U2390" i="33"/>
  <c r="B2390" i="33"/>
  <c r="U2389" i="33"/>
  <c r="B2389" i="33"/>
  <c r="U2388" i="33"/>
  <c r="Y642" i="1"/>
  <c r="P642" i="1"/>
  <c r="Q642" i="1"/>
  <c r="R642" i="1"/>
  <c r="I2388" i="33" s="1"/>
  <c r="B2388" i="33"/>
  <c r="U2387" i="33"/>
  <c r="B2387" i="33"/>
  <c r="U2386" i="33"/>
  <c r="B2386" i="33"/>
  <c r="U2385" i="33"/>
  <c r="B2385" i="33"/>
  <c r="U2384" i="33"/>
  <c r="Y494" i="1"/>
  <c r="P494" i="1"/>
  <c r="K2384" i="33" s="1"/>
  <c r="Q494" i="1"/>
  <c r="AU494" i="1" s="1"/>
  <c r="R494" i="1"/>
  <c r="B2384" i="33"/>
  <c r="U2383" i="33"/>
  <c r="B2383" i="33"/>
  <c r="U2382" i="33"/>
  <c r="Y501" i="1"/>
  <c r="P501" i="1"/>
  <c r="K2382" i="33" s="1"/>
  <c r="Q501" i="1"/>
  <c r="J2382" i="33" s="1"/>
  <c r="R501" i="1"/>
  <c r="B2382" i="33"/>
  <c r="U2381" i="33"/>
  <c r="B2381" i="33"/>
  <c r="U2380" i="33"/>
  <c r="B2380" i="33"/>
  <c r="U2379" i="33"/>
  <c r="B2379" i="33"/>
  <c r="U2378" i="33"/>
  <c r="Y568" i="1"/>
  <c r="P568" i="1"/>
  <c r="Q568" i="1"/>
  <c r="AU568" i="1" s="1"/>
  <c r="R568" i="1"/>
  <c r="I2377" i="33" s="1"/>
  <c r="B2378" i="33"/>
  <c r="U2377" i="33"/>
  <c r="B2377" i="33"/>
  <c r="U2376" i="33"/>
  <c r="Y588" i="1"/>
  <c r="AO588" i="1" s="1"/>
  <c r="P588" i="1"/>
  <c r="Q588" i="1"/>
  <c r="AU588" i="1" s="1"/>
  <c r="R588" i="1"/>
  <c r="B2376" i="33"/>
  <c r="U2375" i="33"/>
  <c r="B2375" i="33"/>
  <c r="U2374" i="33"/>
  <c r="Y580" i="1"/>
  <c r="P2371" i="33" s="1"/>
  <c r="P580" i="1"/>
  <c r="K2372" i="33" s="1"/>
  <c r="Q580" i="1"/>
  <c r="R580" i="1"/>
  <c r="I2372" i="33" s="1"/>
  <c r="B2374" i="33"/>
  <c r="U2373" i="33"/>
  <c r="B2373" i="33"/>
  <c r="U2372" i="33"/>
  <c r="B2372" i="33"/>
  <c r="U2371" i="33"/>
  <c r="B2371" i="33"/>
  <c r="U2370" i="33"/>
  <c r="B2370" i="33"/>
  <c r="U2369" i="33"/>
  <c r="B2369" i="33"/>
  <c r="U2368" i="33"/>
  <c r="Y593" i="1"/>
  <c r="P593" i="1"/>
  <c r="K2366" i="33" s="1"/>
  <c r="Q593" i="1"/>
  <c r="R593" i="1"/>
  <c r="B2368" i="33"/>
  <c r="U2367" i="33"/>
  <c r="B2367" i="33"/>
  <c r="U2366" i="33"/>
  <c r="B2366" i="33"/>
  <c r="U2365" i="33"/>
  <c r="B2365" i="33"/>
  <c r="U2364" i="33"/>
  <c r="B2364" i="33"/>
  <c r="U2363" i="33"/>
  <c r="B2363" i="33"/>
  <c r="U2362" i="33"/>
  <c r="B2362" i="33"/>
  <c r="U2361" i="33"/>
  <c r="B2361" i="33"/>
  <c r="U2360" i="33"/>
  <c r="Y612" i="1"/>
  <c r="P612" i="1"/>
  <c r="K2357" i="33" s="1"/>
  <c r="Q612" i="1"/>
  <c r="R612" i="1"/>
  <c r="I2358" i="33" s="1"/>
  <c r="B2360" i="33"/>
  <c r="U2359" i="33"/>
  <c r="B2359" i="33"/>
  <c r="U2358" i="33"/>
  <c r="B2358" i="33"/>
  <c r="U2357" i="33"/>
  <c r="B2357" i="33"/>
  <c r="U2356" i="33"/>
  <c r="Y882" i="1"/>
  <c r="P2354" i="33" s="1"/>
  <c r="P882" i="1"/>
  <c r="Q882" i="1"/>
  <c r="J2349" i="33" s="1"/>
  <c r="R882" i="1"/>
  <c r="I2350" i="33" s="1"/>
  <c r="B2356" i="33"/>
  <c r="U2355" i="33"/>
  <c r="B2355" i="33"/>
  <c r="U2354" i="33"/>
  <c r="B2354" i="33"/>
  <c r="U2353" i="33"/>
  <c r="B2353" i="33"/>
  <c r="U2352" i="33"/>
  <c r="B2352" i="33"/>
  <c r="U2351" i="33"/>
  <c r="B2351" i="33"/>
  <c r="U2350" i="33"/>
  <c r="B2350" i="33"/>
  <c r="U2349" i="33"/>
  <c r="B2349" i="33"/>
  <c r="U2348" i="33"/>
  <c r="Y527" i="1"/>
  <c r="P527" i="1"/>
  <c r="K2348" i="33" s="1"/>
  <c r="Q527" i="1"/>
  <c r="R527" i="1"/>
  <c r="B2348" i="33"/>
  <c r="U2347" i="33"/>
  <c r="Y589" i="1"/>
  <c r="P2342" i="33" s="1"/>
  <c r="P589" i="1"/>
  <c r="K2342" i="33" s="1"/>
  <c r="Q589" i="1"/>
  <c r="R589" i="1"/>
  <c r="B2347" i="33"/>
  <c r="U2346" i="33"/>
  <c r="B2346" i="33"/>
  <c r="U2345" i="33"/>
  <c r="B2345" i="33"/>
  <c r="U2344" i="33"/>
  <c r="B2344" i="33"/>
  <c r="U2343" i="33"/>
  <c r="B2343" i="33"/>
  <c r="U2342" i="33"/>
  <c r="B2342" i="33"/>
  <c r="U2341" i="33"/>
  <c r="Y566" i="1"/>
  <c r="P566" i="1"/>
  <c r="K2341" i="33" s="1"/>
  <c r="Q566" i="1"/>
  <c r="R566" i="1"/>
  <c r="B2341" i="33"/>
  <c r="U2340" i="33"/>
  <c r="B2340" i="33"/>
  <c r="U2339" i="33"/>
  <c r="B2339" i="33"/>
  <c r="U2338" i="33"/>
  <c r="B2338" i="33"/>
  <c r="U2337" i="33"/>
  <c r="Y575" i="1"/>
  <c r="P2337" i="33" s="1"/>
  <c r="P575" i="1"/>
  <c r="K2337" i="33" s="1"/>
  <c r="Q575" i="1"/>
  <c r="R575" i="1"/>
  <c r="AT575" i="1" s="1"/>
  <c r="B2337" i="33"/>
  <c r="U2336" i="33"/>
  <c r="Y531" i="1"/>
  <c r="P531" i="1"/>
  <c r="K2330" i="33" s="1"/>
  <c r="Q531" i="1"/>
  <c r="J2331" i="33" s="1"/>
  <c r="R531" i="1"/>
  <c r="I2331" i="33" s="1"/>
  <c r="B2336" i="33"/>
  <c r="U2335" i="33"/>
  <c r="B2335" i="33"/>
  <c r="U2334" i="33"/>
  <c r="B2334" i="33"/>
  <c r="U2333" i="33"/>
  <c r="B2333" i="33"/>
  <c r="U2332" i="33"/>
  <c r="B2332" i="33"/>
  <c r="U2331" i="33"/>
  <c r="B2331" i="33"/>
  <c r="U2330" i="33"/>
  <c r="B2330" i="33"/>
  <c r="U2329" i="33"/>
  <c r="B2329" i="33"/>
  <c r="U2328" i="33"/>
  <c r="Y537" i="1"/>
  <c r="P537" i="1"/>
  <c r="Q537" i="1"/>
  <c r="AU537" i="1" s="1"/>
  <c r="R537" i="1"/>
  <c r="B2328" i="33"/>
  <c r="U2327" i="33"/>
  <c r="B2327" i="33"/>
  <c r="U2326" i="33"/>
  <c r="B2326" i="33"/>
  <c r="U2325" i="33"/>
  <c r="B2325" i="33"/>
  <c r="U2324" i="33"/>
  <c r="B2324" i="33"/>
  <c r="U2323" i="33"/>
  <c r="Y560" i="1"/>
  <c r="P560" i="1"/>
  <c r="Q560" i="1"/>
  <c r="J2321" i="33" s="1"/>
  <c r="R560" i="1"/>
  <c r="B2323" i="33"/>
  <c r="U2322" i="33"/>
  <c r="B2322" i="33"/>
  <c r="U2321" i="33"/>
  <c r="B2321" i="33"/>
  <c r="U2320" i="33"/>
  <c r="B2320" i="33"/>
  <c r="U2319" i="33"/>
  <c r="B2319" i="33"/>
  <c r="U2318" i="33"/>
  <c r="B2318" i="33"/>
  <c r="U2317" i="33"/>
  <c r="B2317" i="33"/>
  <c r="U2316" i="33"/>
  <c r="Y572" i="1"/>
  <c r="P2316" i="33" s="1"/>
  <c r="P572" i="1"/>
  <c r="Q572" i="1"/>
  <c r="J2314" i="33" s="1"/>
  <c r="R572" i="1"/>
  <c r="B2316" i="33"/>
  <c r="U2315" i="33"/>
  <c r="B2315" i="33"/>
  <c r="U2314" i="33"/>
  <c r="B2314" i="33"/>
  <c r="U2313" i="33"/>
  <c r="B2313" i="33"/>
  <c r="U2312" i="33"/>
  <c r="B2312" i="33"/>
  <c r="U2311" i="33"/>
  <c r="B2311" i="33"/>
  <c r="U2310" i="33"/>
  <c r="Y582" i="1"/>
  <c r="P2308" i="33" s="1"/>
  <c r="P582" i="1"/>
  <c r="K2310" i="33" s="1"/>
  <c r="Q582" i="1"/>
  <c r="J2308" i="33" s="1"/>
  <c r="R582" i="1"/>
  <c r="I2310" i="33" s="1"/>
  <c r="B2310" i="33"/>
  <c r="U2309" i="33"/>
  <c r="B2309" i="33"/>
  <c r="U2308" i="33"/>
  <c r="B2308" i="33"/>
  <c r="U2307" i="33"/>
  <c r="B2307" i="33"/>
  <c r="U2306" i="33"/>
  <c r="Y554" i="1"/>
  <c r="P554" i="1"/>
  <c r="K2306" i="33" s="1"/>
  <c r="Q554" i="1"/>
  <c r="AU554" i="1" s="1"/>
  <c r="R554" i="1"/>
  <c r="I2306" i="33" s="1"/>
  <c r="B2306" i="33"/>
  <c r="U2305" i="33"/>
  <c r="Y577" i="1"/>
  <c r="AO577" i="1" s="1"/>
  <c r="P577" i="1"/>
  <c r="K2305" i="33" s="1"/>
  <c r="Q577" i="1"/>
  <c r="R577" i="1"/>
  <c r="B2305" i="33"/>
  <c r="U2304" i="33"/>
  <c r="B2304" i="33"/>
  <c r="U2303" i="33"/>
  <c r="B2303" i="33"/>
  <c r="U2302" i="33"/>
  <c r="B2302" i="33"/>
  <c r="U2301" i="33"/>
  <c r="B2301" i="33"/>
  <c r="U2300" i="33"/>
  <c r="B2300" i="33"/>
  <c r="U2299" i="33"/>
  <c r="B2299" i="33"/>
  <c r="U2298" i="33"/>
  <c r="B2298" i="33"/>
  <c r="U2297" i="33"/>
  <c r="B2297" i="33"/>
  <c r="U2296" i="33"/>
  <c r="Y530" i="1"/>
  <c r="P530" i="1"/>
  <c r="K2291" i="33" s="1"/>
  <c r="Q530" i="1"/>
  <c r="R530" i="1"/>
  <c r="B2296" i="33"/>
  <c r="U2295" i="33"/>
  <c r="B2295" i="33"/>
  <c r="U2294" i="33"/>
  <c r="B2294" i="33"/>
  <c r="U2293" i="33"/>
  <c r="B2293" i="33"/>
  <c r="U2292" i="33"/>
  <c r="B2292" i="33"/>
  <c r="U2291" i="33"/>
  <c r="B2291" i="33"/>
  <c r="U2290" i="33"/>
  <c r="Y563" i="1"/>
  <c r="P2290" i="33" s="1"/>
  <c r="P563" i="1"/>
  <c r="Q563" i="1"/>
  <c r="AU563" i="1" s="1"/>
  <c r="R563" i="1"/>
  <c r="I2290" i="33" s="1"/>
  <c r="B2290" i="33"/>
  <c r="U2289" i="33"/>
  <c r="B2289" i="33"/>
  <c r="U2288" i="33"/>
  <c r="Y347" i="1"/>
  <c r="P347" i="1"/>
  <c r="Q347" i="1"/>
  <c r="AU347" i="1" s="1"/>
  <c r="R347" i="1"/>
  <c r="I1874" i="33" s="1"/>
  <c r="B2288" i="33"/>
  <c r="U2287" i="33"/>
  <c r="B2287" i="33"/>
  <c r="U2286" i="33"/>
  <c r="Y526" i="1"/>
  <c r="P526" i="1"/>
  <c r="Q526" i="1"/>
  <c r="J2284" i="33" s="1"/>
  <c r="R526" i="1"/>
  <c r="B2286" i="33"/>
  <c r="U2285" i="33"/>
  <c r="B2285" i="33"/>
  <c r="U2284" i="33"/>
  <c r="B2284" i="33"/>
  <c r="U2283" i="33"/>
  <c r="Y508" i="1"/>
  <c r="P508" i="1"/>
  <c r="K2280" i="33" s="1"/>
  <c r="Q508" i="1"/>
  <c r="J2274" i="33" s="1"/>
  <c r="R508" i="1"/>
  <c r="I2276" i="33" s="1"/>
  <c r="B2283" i="33"/>
  <c r="U2282" i="33"/>
  <c r="B2282" i="33"/>
  <c r="U2281" i="33"/>
  <c r="B2281" i="33"/>
  <c r="U2280" i="33"/>
  <c r="B2280" i="33"/>
  <c r="U2279" i="33"/>
  <c r="B2279" i="33"/>
  <c r="U2278" i="33"/>
  <c r="B2278" i="33"/>
  <c r="U2277" i="33"/>
  <c r="B2277" i="33"/>
  <c r="U2276" i="33"/>
  <c r="B2276" i="33"/>
  <c r="U2275" i="33"/>
  <c r="B2275" i="33"/>
  <c r="U2274" i="33"/>
  <c r="B2274" i="33"/>
  <c r="U2273" i="33"/>
  <c r="B2273" i="33"/>
  <c r="U2272" i="33"/>
  <c r="Y522" i="1"/>
  <c r="P2270" i="33" s="1"/>
  <c r="P522" i="1"/>
  <c r="K2271" i="33" s="1"/>
  <c r="Q522" i="1"/>
  <c r="R522" i="1"/>
  <c r="I2269" i="33" s="1"/>
  <c r="B2272" i="33"/>
  <c r="U2271" i="33"/>
  <c r="B2271" i="33"/>
  <c r="U2270" i="33"/>
  <c r="B2270" i="33"/>
  <c r="U2269" i="33"/>
  <c r="B2269" i="33"/>
  <c r="U2268" i="33"/>
  <c r="B2268" i="33"/>
  <c r="U2267" i="33"/>
  <c r="Y480" i="1"/>
  <c r="P480" i="1"/>
  <c r="K2267" i="33" s="1"/>
  <c r="Q480" i="1"/>
  <c r="R480" i="1"/>
  <c r="B2267" i="33"/>
  <c r="U2266" i="33"/>
  <c r="B2266" i="33"/>
  <c r="U2265" i="33"/>
  <c r="B2265" i="33"/>
  <c r="U2264" i="33"/>
  <c r="Y540" i="1"/>
  <c r="P540" i="1"/>
  <c r="Q540" i="1"/>
  <c r="R540" i="1"/>
  <c r="I2264" i="33" s="1"/>
  <c r="B2264" i="33"/>
  <c r="U2263" i="33"/>
  <c r="B2263" i="33"/>
  <c r="U2262" i="33"/>
  <c r="B2262" i="33"/>
  <c r="U2261" i="33"/>
  <c r="B2261" i="33"/>
  <c r="U2260" i="33"/>
  <c r="Y551" i="1"/>
  <c r="P551" i="1"/>
  <c r="K2259" i="33" s="1"/>
  <c r="Q551" i="1"/>
  <c r="J2260" i="33" s="1"/>
  <c r="R551" i="1"/>
  <c r="B2260" i="33"/>
  <c r="U2259" i="33"/>
  <c r="B2259" i="33"/>
  <c r="U2258" i="33"/>
  <c r="B2258" i="33"/>
  <c r="U2257" i="33"/>
  <c r="Y465" i="1"/>
  <c r="P2256" i="33" s="1"/>
  <c r="P465" i="1"/>
  <c r="K2256" i="33" s="1"/>
  <c r="Q465" i="1"/>
  <c r="R465" i="1"/>
  <c r="I2256" i="33" s="1"/>
  <c r="B2257" i="33"/>
  <c r="U2256" i="33"/>
  <c r="B2256" i="33"/>
  <c r="U2255" i="33"/>
  <c r="B2255" i="33"/>
  <c r="U2254" i="33"/>
  <c r="B2254" i="33"/>
  <c r="U2253" i="33"/>
  <c r="B2253" i="33"/>
  <c r="U2252" i="33"/>
  <c r="B2252" i="33"/>
  <c r="U2251" i="33"/>
  <c r="B2251" i="33"/>
  <c r="U2250" i="33"/>
  <c r="B2250" i="33"/>
  <c r="U2249" i="33"/>
  <c r="B2249" i="33"/>
  <c r="U2248" i="33"/>
  <c r="B2248" i="33"/>
  <c r="U2247" i="33"/>
  <c r="B2247" i="33"/>
  <c r="U2246" i="33"/>
  <c r="B2246" i="33"/>
  <c r="U2245" i="33"/>
  <c r="B2245" i="33"/>
  <c r="U2244" i="33"/>
  <c r="B2244" i="33"/>
  <c r="U2243" i="33"/>
  <c r="B2243" i="33"/>
  <c r="U2242" i="33"/>
  <c r="B2242" i="33"/>
  <c r="U2241" i="33"/>
  <c r="Y478" i="1"/>
  <c r="P2236" i="33" s="1"/>
  <c r="P478" i="1"/>
  <c r="K2241" i="33" s="1"/>
  <c r="Q478" i="1"/>
  <c r="J2236" i="33" s="1"/>
  <c r="R478" i="1"/>
  <c r="I2241" i="33" s="1"/>
  <c r="B2241" i="33"/>
  <c r="U2240" i="33"/>
  <c r="B2240" i="33"/>
  <c r="U2239" i="33"/>
  <c r="B2239" i="33"/>
  <c r="U2238" i="33"/>
  <c r="B2238" i="33"/>
  <c r="U2237" i="33"/>
  <c r="B2237" i="33"/>
  <c r="U2236" i="33"/>
  <c r="B2236" i="33"/>
  <c r="U2235" i="33"/>
  <c r="Y524" i="1"/>
  <c r="P2233" i="33" s="1"/>
  <c r="P524" i="1"/>
  <c r="K2234" i="33" s="1"/>
  <c r="Q524" i="1"/>
  <c r="J2232" i="33" s="1"/>
  <c r="R524" i="1"/>
  <c r="B2235" i="33"/>
  <c r="U2234" i="33"/>
  <c r="B2234" i="33"/>
  <c r="U2233" i="33"/>
  <c r="B2233" i="33"/>
  <c r="U2232" i="33"/>
  <c r="B2232" i="33"/>
  <c r="U2231" i="33"/>
  <c r="B2231" i="33"/>
  <c r="U2230" i="33"/>
  <c r="Y553" i="1"/>
  <c r="P553" i="1"/>
  <c r="Q553" i="1"/>
  <c r="R553" i="1"/>
  <c r="I2230" i="33" s="1"/>
  <c r="B2230" i="33"/>
  <c r="U2229" i="33"/>
  <c r="B2229" i="33"/>
  <c r="U2228" i="33"/>
  <c r="B2228" i="33"/>
  <c r="U2227" i="33"/>
  <c r="B2227" i="33"/>
  <c r="U2226" i="33"/>
  <c r="B2226" i="33"/>
  <c r="U2225" i="33"/>
  <c r="Y519" i="1"/>
  <c r="P519" i="1"/>
  <c r="K2224" i="33" s="1"/>
  <c r="Q519" i="1"/>
  <c r="R519" i="1"/>
  <c r="B2225" i="33"/>
  <c r="U2224" i="33"/>
  <c r="B2224" i="33"/>
  <c r="U2223" i="33"/>
  <c r="Y499" i="1"/>
  <c r="P2223" i="33" s="1"/>
  <c r="P499" i="1"/>
  <c r="Q499" i="1"/>
  <c r="AU499" i="1" s="1"/>
  <c r="R499" i="1"/>
  <c r="B2223" i="33"/>
  <c r="U2222" i="33"/>
  <c r="B2222" i="33"/>
  <c r="U2221" i="33"/>
  <c r="B2221" i="33"/>
  <c r="U2220" i="33"/>
  <c r="Y538" i="1"/>
  <c r="P538" i="1"/>
  <c r="Q538" i="1"/>
  <c r="J2219" i="33" s="1"/>
  <c r="R538" i="1"/>
  <c r="I2218" i="33" s="1"/>
  <c r="B2220" i="33"/>
  <c r="U2219" i="33"/>
  <c r="B2219" i="33"/>
  <c r="U2218" i="33"/>
  <c r="B2218" i="33"/>
  <c r="U2217" i="33"/>
  <c r="B2217" i="33"/>
  <c r="U2216" i="33"/>
  <c r="B2216" i="33"/>
  <c r="U2215" i="33"/>
  <c r="B2215" i="33"/>
  <c r="U2214" i="33"/>
  <c r="Y461" i="1"/>
  <c r="P461" i="1"/>
  <c r="K2214" i="33" s="1"/>
  <c r="Q461" i="1"/>
  <c r="AU461" i="1" s="1"/>
  <c r="R461" i="1"/>
  <c r="I2214" i="33" s="1"/>
  <c r="B2214" i="33"/>
  <c r="U2213" i="33"/>
  <c r="Y547" i="1"/>
  <c r="P547" i="1"/>
  <c r="K2209" i="33" s="1"/>
  <c r="Q547" i="1"/>
  <c r="R547" i="1"/>
  <c r="I2213" i="33" s="1"/>
  <c r="B2213" i="33"/>
  <c r="U2212" i="33"/>
  <c r="B2212" i="33"/>
  <c r="U2211" i="33"/>
  <c r="B2211" i="33"/>
  <c r="U2210" i="33"/>
  <c r="B2210" i="33"/>
  <c r="U2209" i="33"/>
  <c r="B2209" i="33"/>
  <c r="U2208" i="33"/>
  <c r="B2208" i="33"/>
  <c r="U2207" i="33"/>
  <c r="B2207" i="33"/>
  <c r="U2206" i="33"/>
  <c r="Y535" i="1"/>
  <c r="P535" i="1"/>
  <c r="K2206" i="33" s="1"/>
  <c r="Q535" i="1"/>
  <c r="R535" i="1"/>
  <c r="B2206" i="33"/>
  <c r="U2205" i="33"/>
  <c r="Y549" i="1"/>
  <c r="AO549" i="1" s="1"/>
  <c r="P549" i="1"/>
  <c r="K2201" i="33" s="1"/>
  <c r="Q549" i="1"/>
  <c r="R549" i="1"/>
  <c r="B2205" i="33"/>
  <c r="U2204" i="33"/>
  <c r="B2204" i="33"/>
  <c r="U2203" i="33"/>
  <c r="B2203" i="33"/>
  <c r="U2202" i="33"/>
  <c r="B2202" i="33"/>
  <c r="U2201" i="33"/>
  <c r="B2201" i="33"/>
  <c r="U2200" i="33"/>
  <c r="Y565" i="1"/>
  <c r="P565" i="1"/>
  <c r="K2199" i="33" s="1"/>
  <c r="Q565" i="1"/>
  <c r="AU565" i="1" s="1"/>
  <c r="R565" i="1"/>
  <c r="I2199" i="33" s="1"/>
  <c r="B2200" i="33"/>
  <c r="U2199" i="33"/>
  <c r="B2199" i="33"/>
  <c r="U2198" i="33"/>
  <c r="B2198" i="33"/>
  <c r="U2197" i="33"/>
  <c r="B2197" i="33"/>
  <c r="U2196" i="33"/>
  <c r="B2196" i="33"/>
  <c r="U2195" i="33"/>
  <c r="B2195" i="33"/>
  <c r="U2194" i="33"/>
  <c r="Y500" i="1"/>
  <c r="P2193" i="33" s="1"/>
  <c r="P500" i="1"/>
  <c r="Q500" i="1"/>
  <c r="J2194" i="33" s="1"/>
  <c r="R500" i="1"/>
  <c r="I2194" i="33" s="1"/>
  <c r="B2194" i="33"/>
  <c r="U2193" i="33"/>
  <c r="B2193" i="33"/>
  <c r="U2192" i="33"/>
  <c r="B2192" i="33"/>
  <c r="U2191" i="33"/>
  <c r="Y485" i="1"/>
  <c r="P2191" i="33" s="1"/>
  <c r="P485" i="1"/>
  <c r="K2191" i="33" s="1"/>
  <c r="Q485" i="1"/>
  <c r="R485" i="1"/>
  <c r="B2191" i="33"/>
  <c r="U2190" i="33"/>
  <c r="Y775" i="1"/>
  <c r="P2188" i="33" s="1"/>
  <c r="P775" i="1"/>
  <c r="Q775" i="1"/>
  <c r="J2188" i="33" s="1"/>
  <c r="R775" i="1"/>
  <c r="I2188" i="33" s="1"/>
  <c r="B2190" i="33"/>
  <c r="U2189" i="33"/>
  <c r="B2189" i="33"/>
  <c r="U2188" i="33"/>
  <c r="B2188" i="33"/>
  <c r="U2187" i="33"/>
  <c r="Y489" i="1"/>
  <c r="P2187" i="33" s="1"/>
  <c r="P489" i="1"/>
  <c r="K2187" i="33" s="1"/>
  <c r="Q489" i="1"/>
  <c r="R489" i="1"/>
  <c r="AT489" i="1" s="1"/>
  <c r="B2187" i="33"/>
  <c r="U2186" i="33"/>
  <c r="B2186" i="33"/>
  <c r="U2185" i="33"/>
  <c r="Y474" i="1"/>
  <c r="P2181" i="33" s="1"/>
  <c r="P474" i="1"/>
  <c r="K2183" i="33" s="1"/>
  <c r="Q474" i="1"/>
  <c r="R474" i="1"/>
  <c r="B2185" i="33"/>
  <c r="U2184" i="33"/>
  <c r="B2184" i="33"/>
  <c r="U2183" i="33"/>
  <c r="B2183" i="33"/>
  <c r="U2182" i="33"/>
  <c r="B2182" i="33"/>
  <c r="U2181" i="33"/>
  <c r="B2181" i="33"/>
  <c r="U2180" i="33"/>
  <c r="B2180" i="33"/>
  <c r="U2179" i="33"/>
  <c r="Y457" i="1"/>
  <c r="P2179" i="33" s="1"/>
  <c r="P457" i="1"/>
  <c r="Q457" i="1"/>
  <c r="R457" i="1"/>
  <c r="I2177" i="33" s="1"/>
  <c r="B2179" i="33"/>
  <c r="U2178" i="33"/>
  <c r="B2178" i="33"/>
  <c r="U2177" i="33"/>
  <c r="B2177" i="33"/>
  <c r="U2176" i="33"/>
  <c r="Y492" i="1"/>
  <c r="P492" i="1"/>
  <c r="Q492" i="1"/>
  <c r="J2173" i="33" s="1"/>
  <c r="R492" i="1"/>
  <c r="B2176" i="33"/>
  <c r="U2175" i="33"/>
  <c r="B2175" i="33"/>
  <c r="U2174" i="33"/>
  <c r="B2174" i="33"/>
  <c r="U2173" i="33"/>
  <c r="B2173" i="33"/>
  <c r="U2172" i="33"/>
  <c r="B2172" i="33"/>
  <c r="U2171" i="33"/>
  <c r="B2171" i="33"/>
  <c r="U2170" i="33"/>
  <c r="B2170" i="33"/>
  <c r="U2169" i="33"/>
  <c r="B2169" i="33"/>
  <c r="U2168" i="33"/>
  <c r="B2168" i="33"/>
  <c r="U2167" i="33"/>
  <c r="B2167" i="33"/>
  <c r="U2166" i="33"/>
  <c r="Y476" i="1"/>
  <c r="P476" i="1"/>
  <c r="Q476" i="1"/>
  <c r="AU476" i="1" s="1"/>
  <c r="R476" i="1"/>
  <c r="AT476" i="1" s="1"/>
  <c r="B2166" i="33"/>
  <c r="U2165" i="33"/>
  <c r="B2165" i="33"/>
  <c r="U2164" i="33"/>
  <c r="Y451" i="1"/>
  <c r="P451" i="1"/>
  <c r="Q451" i="1"/>
  <c r="R451" i="1"/>
  <c r="B2164" i="33"/>
  <c r="U2163" i="33"/>
  <c r="B2163" i="33"/>
  <c r="U2162" i="33"/>
  <c r="Y490" i="1"/>
  <c r="P490" i="1"/>
  <c r="K2162" i="33" s="1"/>
  <c r="Q490" i="1"/>
  <c r="AU490" i="1" s="1"/>
  <c r="R490" i="1"/>
  <c r="B2162" i="33"/>
  <c r="U2161" i="33"/>
  <c r="Y439" i="1"/>
  <c r="P439" i="1"/>
  <c r="Q439" i="1"/>
  <c r="R439" i="1"/>
  <c r="I2161" i="33" s="1"/>
  <c r="B2161" i="33"/>
  <c r="U2160" i="33"/>
  <c r="B2160" i="33"/>
  <c r="U2159" i="33"/>
  <c r="B2159" i="33"/>
  <c r="U2158" i="33"/>
  <c r="B2158" i="33"/>
  <c r="U2157" i="33"/>
  <c r="B2157" i="33"/>
  <c r="U2156" i="33"/>
  <c r="Y484" i="1"/>
  <c r="P2156" i="33" s="1"/>
  <c r="P484" i="1"/>
  <c r="Q484" i="1"/>
  <c r="AU484" i="1" s="1"/>
  <c r="R484" i="1"/>
  <c r="B2156" i="33"/>
  <c r="U2155" i="33"/>
  <c r="B2155" i="33"/>
  <c r="U2154" i="33"/>
  <c r="Y497" i="1"/>
  <c r="P497" i="1"/>
  <c r="Q497" i="1"/>
  <c r="R497" i="1"/>
  <c r="B2154" i="33"/>
  <c r="U2153" i="33"/>
  <c r="B2153" i="33"/>
  <c r="U2152" i="33"/>
  <c r="Y458" i="1"/>
  <c r="P458" i="1"/>
  <c r="Q458" i="1"/>
  <c r="AU458" i="1" s="1"/>
  <c r="R458" i="1"/>
  <c r="I2151" i="33" s="1"/>
  <c r="B2152" i="33"/>
  <c r="U2151" i="33"/>
  <c r="B2151" i="33"/>
  <c r="U2150" i="33"/>
  <c r="Y472" i="1"/>
  <c r="P2146" i="33" s="1"/>
  <c r="P472" i="1"/>
  <c r="Q472" i="1"/>
  <c r="J2149" i="33" s="1"/>
  <c r="R472" i="1"/>
  <c r="I2145" i="33" s="1"/>
  <c r="B2150" i="33"/>
  <c r="U2149" i="33"/>
  <c r="B2149" i="33"/>
  <c r="U2148" i="33"/>
  <c r="B2148" i="33"/>
  <c r="U2147" i="33"/>
  <c r="B2147" i="33"/>
  <c r="U2146" i="33"/>
  <c r="B2146" i="33"/>
  <c r="U2145" i="33"/>
  <c r="B2145" i="33"/>
  <c r="U2144" i="33"/>
  <c r="B2144" i="33"/>
  <c r="U2143" i="33"/>
  <c r="B2143" i="33"/>
  <c r="U2142" i="33"/>
  <c r="Y441" i="1"/>
  <c r="P441" i="1"/>
  <c r="Q441" i="1"/>
  <c r="R441" i="1"/>
  <c r="B2142" i="33"/>
  <c r="U2141" i="33"/>
  <c r="B2141" i="33"/>
  <c r="U2140" i="33"/>
  <c r="B2140" i="33"/>
  <c r="U2139" i="33"/>
  <c r="B2139" i="33"/>
  <c r="U2138" i="33"/>
  <c r="B2138" i="33"/>
  <c r="U2137" i="33"/>
  <c r="B2137" i="33"/>
  <c r="U2136" i="33"/>
  <c r="Y517" i="1"/>
  <c r="P517" i="1"/>
  <c r="Q517" i="1"/>
  <c r="R517" i="1"/>
  <c r="I2134" i="33" s="1"/>
  <c r="B2136" i="33"/>
  <c r="U2135" i="33"/>
  <c r="B2135" i="33"/>
  <c r="U2134" i="33"/>
  <c r="B2134" i="33"/>
  <c r="U2133" i="33"/>
  <c r="B2133" i="33"/>
  <c r="U2132" i="33"/>
  <c r="B2132" i="33"/>
  <c r="U2131" i="33"/>
  <c r="B2131" i="33"/>
  <c r="U2130" i="33"/>
  <c r="B2130" i="33"/>
  <c r="U2129" i="33"/>
  <c r="Y447" i="1"/>
  <c r="P447" i="1"/>
  <c r="Q447" i="1"/>
  <c r="R447" i="1"/>
  <c r="B2129" i="33"/>
  <c r="U2128" i="33"/>
  <c r="B2128" i="33"/>
  <c r="U2127" i="33"/>
  <c r="B2127" i="33"/>
  <c r="U2126" i="33"/>
  <c r="Y455" i="1"/>
  <c r="P455" i="1"/>
  <c r="Q455" i="1"/>
  <c r="AU455" i="1" s="1"/>
  <c r="R455" i="1"/>
  <c r="I2125" i="33" s="1"/>
  <c r="B2126" i="33"/>
  <c r="U2125" i="33"/>
  <c r="B2125" i="33"/>
  <c r="U2124" i="33"/>
  <c r="B2124" i="33"/>
  <c r="U2123" i="33"/>
  <c r="Y438" i="1"/>
  <c r="P2119" i="33" s="1"/>
  <c r="P438" i="1"/>
  <c r="Q438" i="1"/>
  <c r="R438" i="1"/>
  <c r="I2121" i="33" s="1"/>
  <c r="B2123" i="33"/>
  <c r="U2122" i="33"/>
  <c r="B2122" i="33"/>
  <c r="U2121" i="33"/>
  <c r="B2121" i="33"/>
  <c r="U2120" i="33"/>
  <c r="B2120" i="33"/>
  <c r="U2119" i="33"/>
  <c r="B2119" i="33"/>
  <c r="U2118" i="33"/>
  <c r="Y430" i="1"/>
  <c r="P430" i="1"/>
  <c r="Q430" i="1"/>
  <c r="AU430" i="1" s="1"/>
  <c r="R430" i="1"/>
  <c r="I2118" i="33" s="1"/>
  <c r="B2118" i="33"/>
  <c r="U2117" i="33"/>
  <c r="B2117" i="33"/>
  <c r="U2116" i="33"/>
  <c r="Y450" i="1"/>
  <c r="P450" i="1"/>
  <c r="Q450" i="1"/>
  <c r="AU450" i="1" s="1"/>
  <c r="R450" i="1"/>
  <c r="I2113" i="33" s="1"/>
  <c r="B2116" i="33"/>
  <c r="U2115" i="33"/>
  <c r="B2115" i="33"/>
  <c r="U2114" i="33"/>
  <c r="B2114" i="33"/>
  <c r="U2113" i="33"/>
  <c r="B2113" i="33"/>
  <c r="U2112" i="33"/>
  <c r="B2112" i="33"/>
  <c r="U2111" i="33"/>
  <c r="B2111" i="33"/>
  <c r="U2110" i="33"/>
  <c r="B2110" i="33"/>
  <c r="U2109" i="33"/>
  <c r="B2109" i="33"/>
  <c r="U2108" i="33"/>
  <c r="B2108" i="33"/>
  <c r="U2107" i="33"/>
  <c r="B2107" i="33"/>
  <c r="U2106" i="33"/>
  <c r="B2106" i="33"/>
  <c r="U2105" i="33"/>
  <c r="B2105" i="33"/>
  <c r="U2104" i="33"/>
  <c r="B2104" i="33"/>
  <c r="U2103" i="33"/>
  <c r="Y443" i="1"/>
  <c r="P2103" i="33" s="1"/>
  <c r="P443" i="1"/>
  <c r="K2103" i="33" s="1"/>
  <c r="Q443" i="1"/>
  <c r="R443" i="1"/>
  <c r="B2103" i="33"/>
  <c r="U2102" i="33"/>
  <c r="B2102" i="33"/>
  <c r="U2101" i="33"/>
  <c r="B2101" i="33"/>
  <c r="U2100" i="33"/>
  <c r="B2100" i="33"/>
  <c r="U2099" i="33"/>
  <c r="Y428" i="1"/>
  <c r="P2099" i="33" s="1"/>
  <c r="P428" i="1"/>
  <c r="K2099" i="33" s="1"/>
  <c r="Q428" i="1"/>
  <c r="R428" i="1"/>
  <c r="B2099" i="33"/>
  <c r="U2098" i="33"/>
  <c r="Y459" i="1"/>
  <c r="P459" i="1"/>
  <c r="Q459" i="1"/>
  <c r="R459" i="1"/>
  <c r="B2098" i="33"/>
  <c r="U2097" i="33"/>
  <c r="B2097" i="33"/>
  <c r="U2096" i="33"/>
  <c r="B2096" i="33"/>
  <c r="U2095" i="33"/>
  <c r="Y446" i="1"/>
  <c r="P446" i="1"/>
  <c r="K2095" i="33" s="1"/>
  <c r="Q446" i="1"/>
  <c r="R446" i="1"/>
  <c r="B2095" i="33"/>
  <c r="U2094" i="33"/>
  <c r="Y452" i="1"/>
  <c r="P2094" i="33" s="1"/>
  <c r="P452" i="1"/>
  <c r="Q452" i="1"/>
  <c r="J2090" i="33" s="1"/>
  <c r="R452" i="1"/>
  <c r="I2094" i="33" s="1"/>
  <c r="B2094" i="33"/>
  <c r="U2093" i="33"/>
  <c r="B2093" i="33"/>
  <c r="U2092" i="33"/>
  <c r="B2092" i="33"/>
  <c r="U2091" i="33"/>
  <c r="B2091" i="33"/>
  <c r="U2090" i="33"/>
  <c r="B2090" i="33"/>
  <c r="U2089" i="33"/>
  <c r="Y418" i="1"/>
  <c r="P418" i="1"/>
  <c r="K2086" i="33" s="1"/>
  <c r="Q418" i="1"/>
  <c r="J2088" i="33" s="1"/>
  <c r="R418" i="1"/>
  <c r="B2089" i="33"/>
  <c r="U2088" i="33"/>
  <c r="B2088" i="33"/>
  <c r="U2087" i="33"/>
  <c r="B2087" i="33"/>
  <c r="U2086" i="33"/>
  <c r="B2086" i="33"/>
  <c r="U2085" i="33"/>
  <c r="Y471" i="1"/>
  <c r="P471" i="1"/>
  <c r="K2085" i="33" s="1"/>
  <c r="Q471" i="1"/>
  <c r="R471" i="1"/>
  <c r="B2085" i="33"/>
  <c r="U2084" i="33"/>
  <c r="B2084" i="33"/>
  <c r="U2083" i="33"/>
  <c r="Y440" i="1"/>
  <c r="P2082" i="33" s="1"/>
  <c r="P440" i="1"/>
  <c r="Q440" i="1"/>
  <c r="R440" i="1"/>
  <c r="B2083" i="33"/>
  <c r="U2082" i="33"/>
  <c r="B2082" i="33"/>
  <c r="U2081" i="33"/>
  <c r="B2081" i="33"/>
  <c r="U2080" i="33"/>
  <c r="B2080" i="33"/>
  <c r="U2079" i="33"/>
  <c r="B2079" i="33"/>
  <c r="U2078" i="33"/>
  <c r="B2078" i="33"/>
  <c r="U2077" i="33"/>
  <c r="B2077" i="33"/>
  <c r="U2076" i="33"/>
  <c r="B2076" i="33"/>
  <c r="U2075" i="33"/>
  <c r="B2075" i="33"/>
  <c r="U2074" i="33"/>
  <c r="B2074" i="33"/>
  <c r="U2073" i="33"/>
  <c r="Y437" i="1"/>
  <c r="AO437" i="1" s="1"/>
  <c r="P437" i="1"/>
  <c r="K2072" i="33" s="1"/>
  <c r="Q437" i="1"/>
  <c r="R437" i="1"/>
  <c r="B2073" i="33"/>
  <c r="U2072" i="33"/>
  <c r="B2072" i="33"/>
  <c r="U2071" i="33"/>
  <c r="B2071" i="33"/>
  <c r="U2070" i="33"/>
  <c r="B2070" i="33"/>
  <c r="U2069" i="33"/>
  <c r="Y436" i="1"/>
  <c r="AO436" i="1" s="1"/>
  <c r="P436" i="1"/>
  <c r="K2069" i="33" s="1"/>
  <c r="Q436" i="1"/>
  <c r="R436" i="1"/>
  <c r="B2069" i="33"/>
  <c r="U2068" i="33"/>
  <c r="B2068" i="33"/>
  <c r="U2067" i="33"/>
  <c r="B2067" i="33"/>
  <c r="U2066" i="33"/>
  <c r="B2066" i="33"/>
  <c r="U2065" i="33"/>
  <c r="B2065" i="33"/>
  <c r="U2064" i="33"/>
  <c r="B2064" i="33"/>
  <c r="U2063" i="33"/>
  <c r="B2063" i="33"/>
  <c r="U2062" i="33"/>
  <c r="B2062" i="33"/>
  <c r="U2061" i="33"/>
  <c r="Y416" i="1"/>
  <c r="P416" i="1"/>
  <c r="K2061" i="33" s="1"/>
  <c r="Q416" i="1"/>
  <c r="R416" i="1"/>
  <c r="B2061" i="33"/>
  <c r="U2060" i="33"/>
  <c r="Y417" i="1"/>
  <c r="P417" i="1"/>
  <c r="Q417" i="1"/>
  <c r="AU417" i="1" s="1"/>
  <c r="R417" i="1"/>
  <c r="B2060" i="33"/>
  <c r="U2059" i="33"/>
  <c r="B2059" i="33"/>
  <c r="U2058" i="33"/>
  <c r="B2058" i="33"/>
  <c r="U2057" i="33"/>
  <c r="B2057" i="33"/>
  <c r="U2056" i="33"/>
  <c r="Y324" i="1"/>
  <c r="P324" i="1"/>
  <c r="Q324" i="1"/>
  <c r="AU324" i="1" s="1"/>
  <c r="R324" i="1"/>
  <c r="B2056" i="33"/>
  <c r="U2055" i="33"/>
  <c r="B2055" i="33"/>
  <c r="U2054" i="33"/>
  <c r="B2054" i="33"/>
  <c r="U2053" i="33"/>
  <c r="B2053" i="33"/>
  <c r="U2052" i="33"/>
  <c r="B2052" i="33"/>
  <c r="U2051" i="33"/>
  <c r="Y390" i="1"/>
  <c r="P2051" i="33" s="1"/>
  <c r="P390" i="1"/>
  <c r="K2048" i="33" s="1"/>
  <c r="Q390" i="1"/>
  <c r="R390" i="1"/>
  <c r="B2051" i="33"/>
  <c r="U2050" i="33"/>
  <c r="B2050" i="33"/>
  <c r="U2049" i="33"/>
  <c r="B2049" i="33"/>
  <c r="U2048" i="33"/>
  <c r="B2048" i="33"/>
  <c r="U2047" i="33"/>
  <c r="B2047" i="33"/>
  <c r="U2046" i="33"/>
  <c r="B2046" i="33"/>
  <c r="U2045" i="33"/>
  <c r="B2045" i="33"/>
  <c r="U2044" i="33"/>
  <c r="B2044" i="33"/>
  <c r="U2043" i="33"/>
  <c r="B2043" i="33"/>
  <c r="U2042" i="33"/>
  <c r="B2042" i="33"/>
  <c r="U2041" i="33"/>
  <c r="B2041" i="33"/>
  <c r="U2040" i="33"/>
  <c r="B2040" i="33"/>
  <c r="U2039" i="33"/>
  <c r="B2039" i="33"/>
  <c r="U2038" i="33"/>
  <c r="Y415" i="1"/>
  <c r="P2038" i="33" s="1"/>
  <c r="P415" i="1"/>
  <c r="Q415" i="1"/>
  <c r="J2037" i="33" s="1"/>
  <c r="R415" i="1"/>
  <c r="B2038" i="33"/>
  <c r="U2037" i="33"/>
  <c r="B2037" i="33"/>
  <c r="U2036" i="33"/>
  <c r="B2036" i="33"/>
  <c r="U2035" i="33"/>
  <c r="B2035" i="33"/>
  <c r="U2034" i="33"/>
  <c r="B2034" i="33"/>
  <c r="U2033" i="33"/>
  <c r="B2033" i="33"/>
  <c r="U2032" i="33"/>
  <c r="B2032" i="33"/>
  <c r="U2031" i="33"/>
  <c r="Y467" i="1"/>
  <c r="AO467" i="1" s="1"/>
  <c r="P467" i="1"/>
  <c r="Q467" i="1"/>
  <c r="J2029" i="33" s="1"/>
  <c r="R467" i="1"/>
  <c r="I2028" i="33" s="1"/>
  <c r="B2031" i="33"/>
  <c r="U2030" i="33"/>
  <c r="B2030" i="33"/>
  <c r="U2029" i="33"/>
  <c r="B2029" i="33"/>
  <c r="U2028" i="33"/>
  <c r="B2028" i="33"/>
  <c r="U2027" i="33"/>
  <c r="B2027" i="33"/>
  <c r="U2026" i="33"/>
  <c r="B2026" i="33"/>
  <c r="U2025" i="33"/>
  <c r="B2025" i="33"/>
  <c r="U2024" i="33"/>
  <c r="Y421" i="1"/>
  <c r="P421" i="1"/>
  <c r="Q421" i="1"/>
  <c r="R421" i="1"/>
  <c r="B2024" i="33"/>
  <c r="U2023" i="33"/>
  <c r="B2023" i="33"/>
  <c r="U2022" i="33"/>
  <c r="B2022" i="33"/>
  <c r="U2021" i="33"/>
  <c r="B2021" i="33"/>
  <c r="U2020" i="33"/>
  <c r="B2020" i="33"/>
  <c r="U2019" i="33"/>
  <c r="B2019" i="33"/>
  <c r="U2018" i="33"/>
  <c r="Y397" i="1"/>
  <c r="P397" i="1"/>
  <c r="Q397" i="1"/>
  <c r="AU397" i="1" s="1"/>
  <c r="R397" i="1"/>
  <c r="I2018" i="33" s="1"/>
  <c r="B2018" i="33"/>
  <c r="U2017" i="33"/>
  <c r="B2017" i="33"/>
  <c r="U2016" i="33"/>
  <c r="B2016" i="33"/>
  <c r="U2015" i="33"/>
  <c r="B2015" i="33"/>
  <c r="U2014" i="33"/>
  <c r="B2014" i="33"/>
  <c r="U2013" i="33"/>
  <c r="B2013" i="33"/>
  <c r="U2012" i="33"/>
  <c r="B2012" i="33"/>
  <c r="U2011" i="33"/>
  <c r="B2011" i="33"/>
  <c r="U2010" i="33"/>
  <c r="B2010" i="33"/>
  <c r="U2009" i="33"/>
  <c r="B2009" i="33"/>
  <c r="U2008" i="33"/>
  <c r="Y355" i="1"/>
  <c r="P355" i="1"/>
  <c r="K2008" i="33" s="1"/>
  <c r="Q355" i="1"/>
  <c r="AU355" i="1" s="1"/>
  <c r="R355" i="1"/>
  <c r="B2008" i="33"/>
  <c r="U2007" i="33"/>
  <c r="B2007" i="33"/>
  <c r="U2006" i="33"/>
  <c r="Y413" i="1"/>
  <c r="P413" i="1"/>
  <c r="Q413" i="1"/>
  <c r="R413" i="1"/>
  <c r="I2004" i="33" s="1"/>
  <c r="B2006" i="33"/>
  <c r="U2005" i="33"/>
  <c r="B2005" i="33"/>
  <c r="U2004" i="33"/>
  <c r="B2004" i="33"/>
  <c r="U2003" i="33"/>
  <c r="Y403" i="1"/>
  <c r="P2003" i="33" s="1"/>
  <c r="P403" i="1"/>
  <c r="K2002" i="33" s="1"/>
  <c r="Q403" i="1"/>
  <c r="R403" i="1"/>
  <c r="B2003" i="33"/>
  <c r="U2002" i="33"/>
  <c r="B2002" i="33"/>
  <c r="U2001" i="33"/>
  <c r="B2001" i="33"/>
  <c r="U2000" i="33"/>
  <c r="B2000" i="33"/>
  <c r="U1999" i="33"/>
  <c r="B1999" i="33"/>
  <c r="U1998" i="33"/>
  <c r="B1998" i="33"/>
  <c r="U1997" i="33"/>
  <c r="B1997" i="33"/>
  <c r="U1996" i="33"/>
  <c r="B1996" i="33"/>
  <c r="U1995" i="33"/>
  <c r="P375" i="1"/>
  <c r="K1995" i="33" s="1"/>
  <c r="Q375" i="1"/>
  <c r="R375" i="1"/>
  <c r="B1995" i="33"/>
  <c r="U1994" i="33"/>
  <c r="B1994" i="33"/>
  <c r="U1993" i="33"/>
  <c r="B1993" i="33"/>
  <c r="U1992" i="33"/>
  <c r="B1992" i="33"/>
  <c r="U1991" i="33"/>
  <c r="B1991" i="33"/>
  <c r="U1990" i="33"/>
  <c r="B1990" i="33"/>
  <c r="U1989" i="33"/>
  <c r="B1989" i="33"/>
  <c r="U1988" i="33"/>
  <c r="Y396" i="1"/>
  <c r="P1986" i="33" s="1"/>
  <c r="P396" i="1"/>
  <c r="Q396" i="1"/>
  <c r="R396" i="1"/>
  <c r="B1988" i="33"/>
  <c r="U1987" i="33"/>
  <c r="B1987" i="33"/>
  <c r="U1986" i="33"/>
  <c r="B1986" i="33"/>
  <c r="U1985" i="33"/>
  <c r="B1985" i="33"/>
  <c r="U1984" i="33"/>
  <c r="Y392" i="1"/>
  <c r="P1984" i="33" s="1"/>
  <c r="P392" i="1"/>
  <c r="Q392" i="1"/>
  <c r="R392" i="1"/>
  <c r="AT392" i="1" s="1"/>
  <c r="B1984" i="33"/>
  <c r="U1983" i="33"/>
  <c r="B1983" i="33"/>
  <c r="U1982" i="33"/>
  <c r="B1982" i="33"/>
  <c r="U1981" i="33"/>
  <c r="Y376" i="1"/>
  <c r="P376" i="1"/>
  <c r="Q376" i="1"/>
  <c r="R376" i="1"/>
  <c r="B1981" i="33"/>
  <c r="U1980" i="33"/>
  <c r="B1980" i="33"/>
  <c r="U1979" i="33"/>
  <c r="B1979" i="33"/>
  <c r="U1978" i="33"/>
  <c r="Y322" i="1"/>
  <c r="P1976" i="33" s="1"/>
  <c r="P322" i="1"/>
  <c r="K1974" i="33" s="1"/>
  <c r="Q322" i="1"/>
  <c r="R322" i="1"/>
  <c r="B1978" i="33"/>
  <c r="U1977" i="33"/>
  <c r="B1977" i="33"/>
  <c r="U1976" i="33"/>
  <c r="B1976" i="33"/>
  <c r="U1975" i="33"/>
  <c r="B1975" i="33"/>
  <c r="U1974" i="33"/>
  <c r="B1974" i="33"/>
  <c r="U1973" i="33"/>
  <c r="Y323" i="1"/>
  <c r="P323" i="1"/>
  <c r="K1970" i="33" s="1"/>
  <c r="Q323" i="1"/>
  <c r="J1969" i="33" s="1"/>
  <c r="R323" i="1"/>
  <c r="B1973" i="33"/>
  <c r="U1972" i="33"/>
  <c r="B1972" i="33"/>
  <c r="U1971" i="33"/>
  <c r="B1971" i="33"/>
  <c r="U1970" i="33"/>
  <c r="B1970" i="33"/>
  <c r="U1969" i="33"/>
  <c r="B1969" i="33"/>
  <c r="U1968" i="33"/>
  <c r="Y420" i="1"/>
  <c r="P1966" i="33" s="1"/>
  <c r="P420" i="1"/>
  <c r="K1965" i="33" s="1"/>
  <c r="Q420" i="1"/>
  <c r="R420" i="1"/>
  <c r="B1968" i="33"/>
  <c r="U1967" i="33"/>
  <c r="B1967" i="33"/>
  <c r="U1966" i="33"/>
  <c r="B1966" i="33"/>
  <c r="U1965" i="33"/>
  <c r="B1965" i="33"/>
  <c r="U1964" i="33"/>
  <c r="B1964" i="33"/>
  <c r="U1963" i="33"/>
  <c r="Y385" i="1"/>
  <c r="P385" i="1"/>
  <c r="K1963" i="33" s="1"/>
  <c r="Q385" i="1"/>
  <c r="J1963" i="33" s="1"/>
  <c r="R385" i="1"/>
  <c r="B1963" i="33"/>
  <c r="U1962" i="33"/>
  <c r="Y398" i="1"/>
  <c r="P1961" i="33" s="1"/>
  <c r="P398" i="1"/>
  <c r="K1961" i="33" s="1"/>
  <c r="Q398" i="1"/>
  <c r="AU398" i="1" s="1"/>
  <c r="R398" i="1"/>
  <c r="B1962" i="33"/>
  <c r="U1961" i="33"/>
  <c r="B1961" i="33"/>
  <c r="U1960" i="33"/>
  <c r="B1960" i="33"/>
  <c r="U1959" i="33"/>
  <c r="B1959" i="33"/>
  <c r="U1958" i="33"/>
  <c r="B1958" i="33"/>
  <c r="U1957" i="33"/>
  <c r="B1957" i="33"/>
  <c r="U1956" i="33"/>
  <c r="B1956" i="33"/>
  <c r="U1955" i="33"/>
  <c r="B1955" i="33"/>
  <c r="U1954" i="33"/>
  <c r="B1954" i="33"/>
  <c r="U1953" i="33"/>
  <c r="B1953" i="33"/>
  <c r="U1952" i="33"/>
  <c r="B1952" i="33"/>
  <c r="U1951" i="33"/>
  <c r="B1951" i="33"/>
  <c r="U1950" i="33"/>
  <c r="B1950" i="33"/>
  <c r="U1949" i="33"/>
  <c r="Y345" i="1"/>
  <c r="P345" i="1"/>
  <c r="K1948" i="33" s="1"/>
  <c r="Q345" i="1"/>
  <c r="J1948" i="33" s="1"/>
  <c r="R345" i="1"/>
  <c r="B1949" i="33"/>
  <c r="U1948" i="33"/>
  <c r="B1948" i="33"/>
  <c r="U1947" i="33"/>
  <c r="B1947" i="33"/>
  <c r="U1946" i="33"/>
  <c r="B1946" i="33"/>
  <c r="U1945" i="33"/>
  <c r="B1945" i="33"/>
  <c r="U1944" i="33"/>
  <c r="B1944" i="33"/>
  <c r="U1943" i="33"/>
  <c r="B1943" i="33"/>
  <c r="U1942" i="33"/>
  <c r="B1942" i="33"/>
  <c r="U1941" i="33"/>
  <c r="Y382" i="1"/>
  <c r="P382" i="1"/>
  <c r="Q382" i="1"/>
  <c r="J1938" i="33" s="1"/>
  <c r="R382" i="1"/>
  <c r="I1940" i="33" s="1"/>
  <c r="B1941" i="33"/>
  <c r="U1940" i="33"/>
  <c r="B1940" i="33"/>
  <c r="U1939" i="33"/>
  <c r="B1939" i="33"/>
  <c r="U1938" i="33"/>
  <c r="B1938" i="33"/>
  <c r="U1937" i="33"/>
  <c r="B1937" i="33"/>
  <c r="U1936" i="33"/>
  <c r="B1936" i="33"/>
  <c r="U1935" i="33"/>
  <c r="B1935" i="33"/>
  <c r="U1934" i="33"/>
  <c r="B1934" i="33"/>
  <c r="U1933" i="33"/>
  <c r="B1933" i="33"/>
  <c r="U1932" i="33"/>
  <c r="B1932" i="33"/>
  <c r="U1931" i="33"/>
  <c r="Y308" i="1"/>
  <c r="AO308" i="1" s="1"/>
  <c r="P308" i="1"/>
  <c r="K1931" i="33" s="1"/>
  <c r="Q308" i="1"/>
  <c r="R308" i="1"/>
  <c r="B1931" i="33"/>
  <c r="U1930" i="33"/>
  <c r="Y344" i="1"/>
  <c r="P344" i="1"/>
  <c r="Q344" i="1"/>
  <c r="J1929" i="33" s="1"/>
  <c r="R344" i="1"/>
  <c r="I1929" i="33" s="1"/>
  <c r="B1930" i="33"/>
  <c r="U1929" i="33"/>
  <c r="B1929" i="33"/>
  <c r="U1928" i="33"/>
  <c r="Y377" i="1"/>
  <c r="P377" i="1"/>
  <c r="K1925" i="33" s="1"/>
  <c r="Q377" i="1"/>
  <c r="J1926" i="33" s="1"/>
  <c r="R377" i="1"/>
  <c r="I1928" i="33" s="1"/>
  <c r="B1928" i="33"/>
  <c r="U1927" i="33"/>
  <c r="B1927" i="33"/>
  <c r="U1926" i="33"/>
  <c r="B1926" i="33"/>
  <c r="U1925" i="33"/>
  <c r="B1925" i="33"/>
  <c r="U1924" i="33"/>
  <c r="B1924" i="33"/>
  <c r="U1923" i="33"/>
  <c r="Y383" i="1"/>
  <c r="P1923" i="33" s="1"/>
  <c r="P383" i="1"/>
  <c r="K1923" i="33" s="1"/>
  <c r="Q383" i="1"/>
  <c r="J1921" i="33" s="1"/>
  <c r="R383" i="1"/>
  <c r="B1923" i="33"/>
  <c r="U1922" i="33"/>
  <c r="B1922" i="33"/>
  <c r="U1921" i="33"/>
  <c r="B1921" i="33"/>
  <c r="U1920" i="33"/>
  <c r="B1920" i="33"/>
  <c r="U1919" i="33"/>
  <c r="B1919" i="33"/>
  <c r="U1918" i="33"/>
  <c r="B1918" i="33"/>
  <c r="U1917" i="33"/>
  <c r="B1917" i="33"/>
  <c r="U1916" i="33"/>
  <c r="B1916" i="33"/>
  <c r="U1915" i="33"/>
  <c r="Y422" i="1"/>
  <c r="P422" i="1"/>
  <c r="K1915" i="33" s="1"/>
  <c r="Q422" i="1"/>
  <c r="AU422" i="1" s="1"/>
  <c r="R422" i="1"/>
  <c r="B1915" i="33"/>
  <c r="U1914" i="33"/>
  <c r="Y391" i="1"/>
  <c r="P391" i="1"/>
  <c r="Q391" i="1"/>
  <c r="J1912" i="33" s="1"/>
  <c r="R391" i="1"/>
  <c r="B1914" i="33"/>
  <c r="U1913" i="33"/>
  <c r="B1913" i="33"/>
  <c r="U1912" i="33"/>
  <c r="B1912" i="33"/>
  <c r="U1911" i="33"/>
  <c r="B1911" i="33"/>
  <c r="U1910" i="33"/>
  <c r="Y394" i="1"/>
  <c r="P1909" i="33" s="1"/>
  <c r="P394" i="1"/>
  <c r="Q394" i="1"/>
  <c r="R394" i="1"/>
  <c r="I1910" i="33" s="1"/>
  <c r="B1910" i="33"/>
  <c r="U1909" i="33"/>
  <c r="B1909" i="33"/>
  <c r="U1908" i="33"/>
  <c r="B1908" i="33"/>
  <c r="U1907" i="33"/>
  <c r="B1907" i="33"/>
  <c r="U1906" i="33"/>
  <c r="B1906" i="33"/>
  <c r="U1905" i="33"/>
  <c r="B1905" i="33"/>
  <c r="U1904" i="33"/>
  <c r="B1904" i="33"/>
  <c r="U1903" i="33"/>
  <c r="B1903" i="33"/>
  <c r="U1902" i="33"/>
  <c r="B1902" i="33"/>
  <c r="U1901" i="33"/>
  <c r="B1901" i="33"/>
  <c r="U1900" i="33"/>
  <c r="B1900" i="33"/>
  <c r="U1899" i="33"/>
  <c r="Y410" i="1"/>
  <c r="P410" i="1"/>
  <c r="K1899" i="33" s="1"/>
  <c r="Q410" i="1"/>
  <c r="R410" i="1"/>
  <c r="B1899" i="33"/>
  <c r="U1898" i="33"/>
  <c r="B1898" i="33"/>
  <c r="U1897" i="33"/>
  <c r="Y359" i="1"/>
  <c r="P1897" i="33" s="1"/>
  <c r="P359" i="1"/>
  <c r="K1896" i="33" s="1"/>
  <c r="Q359" i="1"/>
  <c r="R359" i="1"/>
  <c r="B1897" i="33"/>
  <c r="U1896" i="33"/>
  <c r="B1896" i="33"/>
  <c r="U1895" i="33"/>
  <c r="B1895" i="33"/>
  <c r="U1894" i="33"/>
  <c r="B1894" i="33"/>
  <c r="U1893" i="33"/>
  <c r="B1893" i="33"/>
  <c r="U1892" i="33"/>
  <c r="B1892" i="33"/>
  <c r="U1891" i="33"/>
  <c r="B1891" i="33"/>
  <c r="U1890" i="33"/>
  <c r="B1890" i="33"/>
  <c r="U1889" i="33"/>
  <c r="B1889" i="33"/>
  <c r="U1888" i="33"/>
  <c r="B1888" i="33"/>
  <c r="U1887" i="33"/>
  <c r="B1887" i="33"/>
  <c r="U1886" i="33"/>
  <c r="B1886" i="33"/>
  <c r="U1885" i="33"/>
  <c r="B1885" i="33"/>
  <c r="U1884" i="33"/>
  <c r="Y357" i="1"/>
  <c r="P357" i="1"/>
  <c r="K1881" i="33" s="1"/>
  <c r="Q357" i="1"/>
  <c r="R357" i="1"/>
  <c r="AT357" i="1" s="1"/>
  <c r="B1884" i="33"/>
  <c r="U1883" i="33"/>
  <c r="B1883" i="33"/>
  <c r="U1882" i="33"/>
  <c r="B1882" i="33"/>
  <c r="U1881" i="33"/>
  <c r="B1881" i="33"/>
  <c r="U1880" i="33"/>
  <c r="Y318" i="1"/>
  <c r="P318" i="1"/>
  <c r="Q318" i="1"/>
  <c r="R318" i="1"/>
  <c r="I1879" i="33" s="1"/>
  <c r="B1880" i="33"/>
  <c r="U1879" i="33"/>
  <c r="B1879" i="33"/>
  <c r="U1878" i="33"/>
  <c r="Y371" i="1"/>
  <c r="P371" i="1"/>
  <c r="Q371" i="1"/>
  <c r="R371" i="1"/>
  <c r="B1878" i="33"/>
  <c r="U1877" i="33"/>
  <c r="B1877" i="33"/>
  <c r="U1876" i="33"/>
  <c r="B1876" i="33"/>
  <c r="U1875" i="33"/>
  <c r="B1875" i="33"/>
  <c r="U1874" i="33"/>
  <c r="B1874" i="33"/>
  <c r="U1873" i="33"/>
  <c r="B1873" i="33"/>
  <c r="U1872" i="33"/>
  <c r="B1872" i="33"/>
  <c r="U1871" i="33"/>
  <c r="B1871" i="33"/>
  <c r="U1870" i="33"/>
  <c r="B1870" i="33"/>
  <c r="U1869" i="33"/>
  <c r="Y327" i="1"/>
  <c r="P327" i="1"/>
  <c r="K1869" i="33" s="1"/>
  <c r="Q327" i="1"/>
  <c r="R327" i="1"/>
  <c r="B1869" i="33"/>
  <c r="U1868" i="33"/>
  <c r="B1868" i="33"/>
  <c r="U1867" i="33"/>
  <c r="B1867" i="33"/>
  <c r="U1866" i="33"/>
  <c r="Y309" i="1"/>
  <c r="P309" i="1"/>
  <c r="Q309" i="1"/>
  <c r="R309" i="1"/>
  <c r="I1866" i="33" s="1"/>
  <c r="B1866" i="33"/>
  <c r="U1865" i="33"/>
  <c r="B1865" i="33"/>
  <c r="U1864" i="33"/>
  <c r="B1864" i="33"/>
  <c r="U1863" i="33"/>
  <c r="B1863" i="33"/>
  <c r="U1862" i="33"/>
  <c r="B1862" i="33"/>
  <c r="U1861" i="33"/>
  <c r="B1861" i="33"/>
  <c r="U1860" i="33"/>
  <c r="B1860" i="33"/>
  <c r="U1859" i="33"/>
  <c r="B1859" i="33"/>
  <c r="U1858" i="33"/>
  <c r="B1858" i="33"/>
  <c r="U1857" i="33"/>
  <c r="Y409" i="1"/>
  <c r="P409" i="1"/>
  <c r="K1857" i="33" s="1"/>
  <c r="Q409" i="1"/>
  <c r="J1857" i="33" s="1"/>
  <c r="R409" i="1"/>
  <c r="B1857" i="33"/>
  <c r="U1856" i="33"/>
  <c r="B1856" i="33"/>
  <c r="U1855" i="33"/>
  <c r="B1855" i="33"/>
  <c r="U1854" i="33"/>
  <c r="Y348" i="1"/>
  <c r="P348" i="1"/>
  <c r="Q348" i="1"/>
  <c r="R348" i="1"/>
  <c r="B1854" i="33"/>
  <c r="U1853" i="33"/>
  <c r="B1853" i="33"/>
  <c r="U1852" i="33"/>
  <c r="B1852" i="33"/>
  <c r="U1851" i="33"/>
  <c r="B1851" i="33"/>
  <c r="U1850" i="33"/>
  <c r="Y351" i="1"/>
  <c r="P351" i="1"/>
  <c r="K1850" i="33" s="1"/>
  <c r="Q351" i="1"/>
  <c r="R351" i="1"/>
  <c r="AT351" i="1" s="1"/>
  <c r="B1850" i="33"/>
  <c r="U1849" i="33"/>
  <c r="B1849" i="33"/>
  <c r="U1848" i="33"/>
  <c r="Y387" i="1"/>
  <c r="P387" i="1"/>
  <c r="K1846" i="33" s="1"/>
  <c r="Q387" i="1"/>
  <c r="R387" i="1"/>
  <c r="AT387" i="1" s="1"/>
  <c r="B1848" i="33"/>
  <c r="U1847" i="33"/>
  <c r="B1847" i="33"/>
  <c r="U1846" i="33"/>
  <c r="B1846" i="33"/>
  <c r="U1845" i="33"/>
  <c r="Y381" i="1"/>
  <c r="P381" i="1"/>
  <c r="K1844" i="33" s="1"/>
  <c r="Q381" i="1"/>
  <c r="J1845" i="33" s="1"/>
  <c r="R381" i="1"/>
  <c r="I1845" i="33" s="1"/>
  <c r="B1845" i="33"/>
  <c r="U1844" i="33"/>
  <c r="B1844" i="33"/>
  <c r="U1843" i="33"/>
  <c r="B1843" i="33"/>
  <c r="U1842" i="33"/>
  <c r="Y7" i="1"/>
  <c r="P7" i="1"/>
  <c r="K1842" i="33" s="1"/>
  <c r="Q7" i="1"/>
  <c r="R7" i="1"/>
  <c r="B1842" i="33"/>
  <c r="U1841" i="33"/>
  <c r="Y306" i="1"/>
  <c r="P306" i="1"/>
  <c r="Q306" i="1"/>
  <c r="J1841" i="33" s="1"/>
  <c r="R306" i="1"/>
  <c r="B1841" i="33"/>
  <c r="U1840" i="33"/>
  <c r="B1840" i="33"/>
  <c r="U1839" i="33"/>
  <c r="B1839" i="33"/>
  <c r="U1838" i="33"/>
  <c r="Y354" i="1"/>
  <c r="P354" i="1"/>
  <c r="K1838" i="33" s="1"/>
  <c r="Q354" i="1"/>
  <c r="R354" i="1"/>
  <c r="AT354" i="1" s="1"/>
  <c r="B1838" i="33"/>
  <c r="U1837" i="33"/>
  <c r="Y304" i="1"/>
  <c r="P304" i="1"/>
  <c r="K1836" i="33" s="1"/>
  <c r="Q304" i="1"/>
  <c r="J1836" i="33" s="1"/>
  <c r="R304" i="1"/>
  <c r="B1837" i="33"/>
  <c r="U1836" i="33"/>
  <c r="B1836" i="33"/>
  <c r="U1835" i="33"/>
  <c r="B1835" i="33"/>
  <c r="U1834" i="33"/>
  <c r="B1834" i="33"/>
  <c r="U1833" i="33"/>
  <c r="B1833" i="33"/>
  <c r="U1832" i="33"/>
  <c r="B1832" i="33"/>
  <c r="U1831" i="33"/>
  <c r="B1831" i="33"/>
  <c r="U1830" i="33"/>
  <c r="B1830" i="33"/>
  <c r="U1829" i="33"/>
  <c r="B1829" i="33"/>
  <c r="U1828" i="33"/>
  <c r="B1828" i="33"/>
  <c r="U1827" i="33"/>
  <c r="Y342" i="1"/>
  <c r="P342" i="1"/>
  <c r="K1825" i="33" s="1"/>
  <c r="Q342" i="1"/>
  <c r="J1827" i="33" s="1"/>
  <c r="R342" i="1"/>
  <c r="B1827" i="33"/>
  <c r="U1826" i="33"/>
  <c r="B1826" i="33"/>
  <c r="U1825" i="33"/>
  <c r="B1825" i="33"/>
  <c r="U1824" i="33"/>
  <c r="Y367" i="1"/>
  <c r="P367" i="1"/>
  <c r="K1824" i="33" s="1"/>
  <c r="Q367" i="1"/>
  <c r="R367" i="1"/>
  <c r="B1824" i="33"/>
  <c r="U1823" i="33"/>
  <c r="Y536" i="1"/>
  <c r="P536" i="1"/>
  <c r="K1821" i="33" s="1"/>
  <c r="Q536" i="1"/>
  <c r="J1820" i="33" s="1"/>
  <c r="R536" i="1"/>
  <c r="B1823" i="33"/>
  <c r="U1822" i="33"/>
  <c r="B1822" i="33"/>
  <c r="U1821" i="33"/>
  <c r="B1821" i="33"/>
  <c r="U1820" i="33"/>
  <c r="B1820" i="33"/>
  <c r="U1819" i="33"/>
  <c r="B1819" i="33"/>
  <c r="U1818" i="33"/>
  <c r="B1818" i="33"/>
  <c r="U1817" i="33"/>
  <c r="B1817" i="33"/>
  <c r="U1816" i="33"/>
  <c r="B1816" i="33"/>
  <c r="U1815" i="33"/>
  <c r="B1815" i="33"/>
  <c r="U1814" i="33"/>
  <c r="B1814" i="33"/>
  <c r="U1813" i="33"/>
  <c r="B1813" i="33"/>
  <c r="U1812" i="33"/>
  <c r="Y313" i="1"/>
  <c r="P1810" i="33" s="1"/>
  <c r="P313" i="1"/>
  <c r="Q313" i="1"/>
  <c r="R313" i="1"/>
  <c r="B1812" i="33"/>
  <c r="U1811" i="33"/>
  <c r="B1811" i="33"/>
  <c r="U1810" i="33"/>
  <c r="B1810" i="33"/>
  <c r="U1809" i="33"/>
  <c r="B1809" i="33"/>
  <c r="U1808" i="33"/>
  <c r="B1808" i="33"/>
  <c r="U1807" i="33"/>
  <c r="B1807" i="33"/>
  <c r="U1806" i="33"/>
  <c r="B1806" i="33"/>
  <c r="U1805" i="33"/>
  <c r="B1805" i="33"/>
  <c r="U1804" i="33"/>
  <c r="B1804" i="33"/>
  <c r="U1803" i="33"/>
  <c r="B1803" i="33"/>
  <c r="U1802" i="33"/>
  <c r="B1802" i="33"/>
  <c r="U1801" i="33"/>
  <c r="B1801" i="33"/>
  <c r="U1800" i="33"/>
  <c r="Y373" i="1"/>
  <c r="P373" i="1"/>
  <c r="K1800" i="33" s="1"/>
  <c r="Q373" i="1"/>
  <c r="R373" i="1"/>
  <c r="I1800" i="33" s="1"/>
  <c r="B1800" i="33"/>
  <c r="U1799" i="33"/>
  <c r="B1799" i="33"/>
  <c r="U1798" i="33"/>
  <c r="Y337" i="1"/>
  <c r="P337" i="1"/>
  <c r="Q337" i="1"/>
  <c r="R337" i="1"/>
  <c r="AT337" i="1" s="1"/>
  <c r="B1798" i="33"/>
  <c r="U1797" i="33"/>
  <c r="B1797" i="33"/>
  <c r="U1796" i="33"/>
  <c r="B1796" i="33"/>
  <c r="U1795" i="33"/>
  <c r="Y379" i="1"/>
  <c r="P379" i="1"/>
  <c r="K1793" i="33" s="1"/>
  <c r="Q379" i="1"/>
  <c r="R379" i="1"/>
  <c r="I1793" i="33" s="1"/>
  <c r="B1795" i="33"/>
  <c r="U1794" i="33"/>
  <c r="B1794" i="33"/>
  <c r="U1793" i="33"/>
  <c r="B1793" i="33"/>
  <c r="U1792" i="33"/>
  <c r="B1792" i="33"/>
  <c r="U1791" i="33"/>
  <c r="B1791" i="33"/>
  <c r="U1790" i="33"/>
  <c r="B1790" i="33"/>
  <c r="U1789" i="33"/>
  <c r="B1789" i="33"/>
  <c r="U1788" i="33"/>
  <c r="Y360" i="1"/>
  <c r="P1786" i="33" s="1"/>
  <c r="P360" i="1"/>
  <c r="Q360" i="1"/>
  <c r="J1786" i="33" s="1"/>
  <c r="R360" i="1"/>
  <c r="B1788" i="33"/>
  <c r="U1787" i="33"/>
  <c r="B1787" i="33"/>
  <c r="U1786" i="33"/>
  <c r="B1786" i="33"/>
  <c r="U1785" i="33"/>
  <c r="Y180" i="1"/>
  <c r="P180" i="1"/>
  <c r="K1785" i="33" s="1"/>
  <c r="Q180" i="1"/>
  <c r="R180" i="1"/>
  <c r="B1785" i="33"/>
  <c r="U1784" i="33"/>
  <c r="Y273" i="1"/>
  <c r="P273" i="1"/>
  <c r="Q273" i="1"/>
  <c r="J1783" i="33" s="1"/>
  <c r="R273" i="1"/>
  <c r="B1784" i="33"/>
  <c r="U1783" i="33"/>
  <c r="B1783" i="33"/>
  <c r="U1782" i="33"/>
  <c r="B1782" i="33"/>
  <c r="U1781" i="33"/>
  <c r="B1781" i="33"/>
  <c r="U1780" i="33"/>
  <c r="B1780" i="33"/>
  <c r="U1779" i="33"/>
  <c r="B1779" i="33"/>
  <c r="U1778" i="33"/>
  <c r="B1778" i="33"/>
  <c r="U1777" i="33"/>
  <c r="B1777" i="33"/>
  <c r="U1776" i="33"/>
  <c r="Y276" i="1"/>
  <c r="AO276" i="1" s="1"/>
  <c r="P276" i="1"/>
  <c r="K1776" i="33" s="1"/>
  <c r="Q276" i="1"/>
  <c r="J1775" i="33" s="1"/>
  <c r="R276" i="1"/>
  <c r="AT276" i="1" s="1"/>
  <c r="B1776" i="33"/>
  <c r="U1775" i="33"/>
  <c r="B1775" i="33"/>
  <c r="U1774" i="33"/>
  <c r="B1774" i="33"/>
  <c r="U1773" i="33"/>
  <c r="B1773" i="33"/>
  <c r="U1772" i="33"/>
  <c r="B1772" i="33"/>
  <c r="U1771" i="33"/>
  <c r="B1771" i="33"/>
  <c r="U1770" i="33"/>
  <c r="B1770" i="33"/>
  <c r="U1769" i="33"/>
  <c r="B1769" i="33"/>
  <c r="U1768" i="33"/>
  <c r="B1768" i="33"/>
  <c r="U1767" i="33"/>
  <c r="Y325" i="1"/>
  <c r="P1765" i="33" s="1"/>
  <c r="P325" i="1"/>
  <c r="Q325" i="1"/>
  <c r="J1765" i="33" s="1"/>
  <c r="R325" i="1"/>
  <c r="I1765" i="33" s="1"/>
  <c r="B1767" i="33"/>
  <c r="U1766" i="33"/>
  <c r="B1766" i="33"/>
  <c r="U1765" i="33"/>
  <c r="B1765" i="33"/>
  <c r="U1764" i="33"/>
  <c r="Y2" i="1"/>
  <c r="AO2" i="1" s="1"/>
  <c r="AQ2" i="1" s="1"/>
  <c r="P2" i="1"/>
  <c r="K1764" i="33" s="1"/>
  <c r="Q2" i="1"/>
  <c r="J1764" i="33" s="1"/>
  <c r="R2" i="1"/>
  <c r="I1764" i="33" s="1"/>
  <c r="B1764" i="33"/>
  <c r="U1763" i="33"/>
  <c r="B1763" i="33"/>
  <c r="U1762" i="33"/>
  <c r="B1762" i="33"/>
  <c r="U1761" i="33"/>
  <c r="B1761" i="33"/>
  <c r="U1760" i="33"/>
  <c r="B1760" i="33"/>
  <c r="U1759" i="33"/>
  <c r="Y331" i="1"/>
  <c r="P1759" i="33" s="1"/>
  <c r="P331" i="1"/>
  <c r="K1758" i="33" s="1"/>
  <c r="Q331" i="1"/>
  <c r="R331" i="1"/>
  <c r="B1759" i="33"/>
  <c r="U1758" i="33"/>
  <c r="B1758" i="33"/>
  <c r="U1757" i="33"/>
  <c r="Y272" i="1"/>
  <c r="P272" i="1"/>
  <c r="K1757" i="33" s="1"/>
  <c r="Q272" i="1"/>
  <c r="J1755" i="33" s="1"/>
  <c r="R272" i="1"/>
  <c r="B1757" i="33"/>
  <c r="U1756" i="33"/>
  <c r="B1756" i="33"/>
  <c r="U1755" i="33"/>
  <c r="B1755" i="33"/>
  <c r="U1754" i="33"/>
  <c r="B1754" i="33"/>
  <c r="U1753" i="33"/>
  <c r="Y294" i="1"/>
  <c r="P294" i="1"/>
  <c r="K1753" i="33" s="1"/>
  <c r="Q294" i="1"/>
  <c r="R294" i="1"/>
  <c r="B1753" i="33"/>
  <c r="U1752" i="33"/>
  <c r="B1752" i="33"/>
  <c r="U1751" i="33"/>
  <c r="B1751" i="33"/>
  <c r="U1750" i="33"/>
  <c r="B1750" i="33"/>
  <c r="U1749" i="33"/>
  <c r="B1749" i="33"/>
  <c r="U1748" i="33"/>
  <c r="B1748" i="33"/>
  <c r="U1747" i="33"/>
  <c r="B1747" i="33"/>
  <c r="U1746" i="33"/>
  <c r="B1746" i="33"/>
  <c r="U1745" i="33"/>
  <c r="B1745" i="33"/>
  <c r="U1744" i="33"/>
  <c r="B1744" i="33"/>
  <c r="U1743" i="33"/>
  <c r="B1743" i="33"/>
  <c r="U1742" i="33"/>
  <c r="B1742" i="33"/>
  <c r="U1741" i="33"/>
  <c r="B1741" i="33"/>
  <c r="U1740" i="33"/>
  <c r="Y295" i="1"/>
  <c r="P295" i="1"/>
  <c r="Q295" i="1"/>
  <c r="R295" i="1"/>
  <c r="AT295" i="1" s="1"/>
  <c r="B1740" i="33"/>
  <c r="U1739" i="33"/>
  <c r="B1739" i="33"/>
  <c r="U1738" i="33"/>
  <c r="B1738" i="33"/>
  <c r="U1737" i="33"/>
  <c r="Y330" i="1"/>
  <c r="P330" i="1"/>
  <c r="K1734" i="33" s="1"/>
  <c r="Q330" i="1"/>
  <c r="R330" i="1"/>
  <c r="B1737" i="33"/>
  <c r="U1736" i="33"/>
  <c r="B1736" i="33"/>
  <c r="U1735" i="33"/>
  <c r="B1735" i="33"/>
  <c r="U1734" i="33"/>
  <c r="B1734" i="33"/>
  <c r="U1733" i="33"/>
  <c r="B1733" i="33"/>
  <c r="U1732" i="33"/>
  <c r="B1732" i="33"/>
  <c r="U1731" i="33"/>
  <c r="Y311" i="1"/>
  <c r="P311" i="1"/>
  <c r="K1731" i="33" s="1"/>
  <c r="Q311" i="1"/>
  <c r="R311" i="1"/>
  <c r="B1731" i="33"/>
  <c r="U1730" i="33"/>
  <c r="B1730" i="33"/>
  <c r="U1729" i="33"/>
  <c r="B1729" i="33"/>
  <c r="U1728" i="33"/>
  <c r="B1728" i="33"/>
  <c r="U1727" i="33"/>
  <c r="B1727" i="33"/>
  <c r="U1726" i="33"/>
  <c r="B1726" i="33"/>
  <c r="U1725" i="33"/>
  <c r="B1725" i="33"/>
  <c r="U1724" i="33"/>
  <c r="B1724" i="33"/>
  <c r="U1723" i="33"/>
  <c r="Y332" i="1"/>
  <c r="AO332" i="1" s="1"/>
  <c r="P332" i="1"/>
  <c r="K1721" i="33" s="1"/>
  <c r="Q332" i="1"/>
  <c r="R332" i="1"/>
  <c r="B1723" i="33"/>
  <c r="U1722" i="33"/>
  <c r="B1722" i="33"/>
  <c r="U1721" i="33"/>
  <c r="B1721" i="33"/>
  <c r="U1720" i="33"/>
  <c r="Y316" i="1"/>
  <c r="P1720" i="33" s="1"/>
  <c r="P316" i="1"/>
  <c r="K1718" i="33" s="1"/>
  <c r="Q316" i="1"/>
  <c r="R316" i="1"/>
  <c r="B1720" i="33"/>
  <c r="U1719" i="33"/>
  <c r="B1719" i="33"/>
  <c r="U1718" i="33"/>
  <c r="B1718" i="33"/>
  <c r="U1717" i="33"/>
  <c r="B1717" i="33"/>
  <c r="U1716" i="33"/>
  <c r="Y320" i="1"/>
  <c r="P1714" i="33" s="1"/>
  <c r="P320" i="1"/>
  <c r="Q320" i="1"/>
  <c r="J1714" i="33" s="1"/>
  <c r="R320" i="1"/>
  <c r="B1716" i="33"/>
  <c r="U1715" i="33"/>
  <c r="B1715" i="33"/>
  <c r="U1714" i="33"/>
  <c r="B1714" i="33"/>
  <c r="U1713" i="33"/>
  <c r="B1713" i="33"/>
  <c r="U1712" i="33"/>
  <c r="B1712" i="33"/>
  <c r="U1711" i="33"/>
  <c r="Y279" i="1"/>
  <c r="P279" i="1"/>
  <c r="K1710" i="33" s="1"/>
  <c r="Q279" i="1"/>
  <c r="R279" i="1"/>
  <c r="B1711" i="33"/>
  <c r="U1710" i="33"/>
  <c r="B1710" i="33"/>
  <c r="U1709" i="33"/>
  <c r="Y296" i="1"/>
  <c r="P296" i="1"/>
  <c r="K1709" i="33" s="1"/>
  <c r="Q296" i="1"/>
  <c r="R296" i="1"/>
  <c r="B1709" i="33"/>
  <c r="U1708" i="33"/>
  <c r="B1708" i="33"/>
  <c r="U1707" i="33"/>
  <c r="B1707" i="33"/>
  <c r="U1706" i="33"/>
  <c r="B1706" i="33"/>
  <c r="U1705" i="33"/>
  <c r="Y227" i="1"/>
  <c r="P227" i="1"/>
  <c r="Q227" i="1"/>
  <c r="J1705" i="33" s="1"/>
  <c r="R227" i="1"/>
  <c r="I1703" i="33" s="1"/>
  <c r="B1705" i="33"/>
  <c r="U1704" i="33"/>
  <c r="B1704" i="33"/>
  <c r="U1703" i="33"/>
  <c r="B1703" i="33"/>
  <c r="U1702" i="33"/>
  <c r="B1702" i="33"/>
  <c r="U1701" i="33"/>
  <c r="B1701" i="33"/>
  <c r="U1700" i="33"/>
  <c r="B1700" i="33"/>
  <c r="U1699" i="33"/>
  <c r="B1699" i="33"/>
  <c r="U1698" i="33"/>
  <c r="B1698" i="33"/>
  <c r="U1697" i="33"/>
  <c r="B1697" i="33"/>
  <c r="U1696" i="33"/>
  <c r="Y235" i="1"/>
  <c r="AO235" i="1" s="1"/>
  <c r="P235" i="1"/>
  <c r="K1696" i="33" s="1"/>
  <c r="Q235" i="1"/>
  <c r="R235" i="1"/>
  <c r="AT235" i="1" s="1"/>
  <c r="B1696" i="33"/>
  <c r="U1695" i="33"/>
  <c r="B1695" i="33"/>
  <c r="U1694" i="33"/>
  <c r="B1694" i="33"/>
  <c r="U1693" i="33"/>
  <c r="B1693" i="33"/>
  <c r="U1692" i="33"/>
  <c r="B1692" i="33"/>
  <c r="U1691" i="33"/>
  <c r="B1691" i="33"/>
  <c r="U1690" i="33"/>
  <c r="B1690" i="33"/>
  <c r="U1689" i="33"/>
  <c r="Y264" i="1"/>
  <c r="P1689" i="33" s="1"/>
  <c r="P264" i="1"/>
  <c r="K1689" i="33" s="1"/>
  <c r="Q264" i="1"/>
  <c r="R264" i="1"/>
  <c r="B1689" i="33"/>
  <c r="U1688" i="33"/>
  <c r="B1688" i="33"/>
  <c r="U1687" i="33"/>
  <c r="B1687" i="33"/>
  <c r="U1686" i="33"/>
  <c r="Y266" i="1"/>
  <c r="AO266" i="1" s="1"/>
  <c r="P266" i="1"/>
  <c r="Q266" i="1"/>
  <c r="R266" i="1"/>
  <c r="I1686" i="33" s="1"/>
  <c r="B1686" i="33"/>
  <c r="U1685" i="33"/>
  <c r="B1685" i="33"/>
  <c r="U1684" i="33"/>
  <c r="B1684" i="33"/>
  <c r="U1683" i="33"/>
  <c r="Y233" i="1"/>
  <c r="P233" i="1"/>
  <c r="K1683" i="33" s="1"/>
  <c r="Q233" i="1"/>
  <c r="R233" i="1"/>
  <c r="B1683" i="33"/>
  <c r="U1682" i="33"/>
  <c r="Y177" i="1"/>
  <c r="P177" i="1"/>
  <c r="K1679" i="33" s="1"/>
  <c r="Q177" i="1"/>
  <c r="R177" i="1"/>
  <c r="I1680" i="33" s="1"/>
  <c r="B1682" i="33"/>
  <c r="U1681" i="33"/>
  <c r="B1681" i="33"/>
  <c r="U1680" i="33"/>
  <c r="B1680" i="33"/>
  <c r="U1679" i="33"/>
  <c r="B1679" i="33"/>
  <c r="U1678" i="33"/>
  <c r="B1678" i="33"/>
  <c r="U1677" i="33"/>
  <c r="B1677" i="33"/>
  <c r="U1676" i="33"/>
  <c r="B1676" i="33"/>
  <c r="U1675" i="33"/>
  <c r="B1675" i="33"/>
  <c r="U1674" i="33"/>
  <c r="B1674" i="33"/>
  <c r="U1673" i="33"/>
  <c r="B1673" i="33"/>
  <c r="U1672" i="33"/>
  <c r="Y109" i="1"/>
  <c r="P1670" i="33" s="1"/>
  <c r="P109" i="1"/>
  <c r="Q109" i="1"/>
  <c r="R109" i="1"/>
  <c r="AT109" i="1" s="1"/>
  <c r="B1672" i="33"/>
  <c r="U1671" i="33"/>
  <c r="B1671" i="33"/>
  <c r="U1670" i="33"/>
  <c r="B1670" i="33"/>
  <c r="U1669" i="33"/>
  <c r="B1669" i="33"/>
  <c r="U1668" i="33"/>
  <c r="B1668" i="33"/>
  <c r="U1667" i="33"/>
  <c r="Y163" i="1"/>
  <c r="P163" i="1"/>
  <c r="K1667" i="33" s="1"/>
  <c r="Q163" i="1"/>
  <c r="AU163" i="1" s="1"/>
  <c r="R163" i="1"/>
  <c r="AT163" i="1" s="1"/>
  <c r="B1667" i="33"/>
  <c r="U1666" i="33"/>
  <c r="B1666" i="33"/>
  <c r="U1665" i="33"/>
  <c r="B1665" i="33"/>
  <c r="U1664" i="33"/>
  <c r="B1664" i="33"/>
  <c r="U1663" i="33"/>
  <c r="Y281" i="1"/>
  <c r="P1662" i="33" s="1"/>
  <c r="P281" i="1"/>
  <c r="K1663" i="33" s="1"/>
  <c r="Q281" i="1"/>
  <c r="J1662" i="33" s="1"/>
  <c r="R281" i="1"/>
  <c r="B1663" i="33"/>
  <c r="U1662" i="33"/>
  <c r="B1662" i="33"/>
  <c r="U1661" i="33"/>
  <c r="B1661" i="33"/>
  <c r="U1660" i="33"/>
  <c r="B1660" i="33"/>
  <c r="U1659" i="33"/>
  <c r="B1659" i="33"/>
  <c r="U1658" i="33"/>
  <c r="B1658" i="33"/>
  <c r="U1657" i="33"/>
  <c r="B1657" i="33"/>
  <c r="U1656" i="33"/>
  <c r="Y269" i="1"/>
  <c r="AO269" i="1" s="1"/>
  <c r="P269" i="1"/>
  <c r="K1656" i="33" s="1"/>
  <c r="Q269" i="1"/>
  <c r="R269" i="1"/>
  <c r="AT269" i="1" s="1"/>
  <c r="B1656" i="33"/>
  <c r="U1655" i="33"/>
  <c r="Y257" i="1"/>
  <c r="P257" i="1"/>
  <c r="K1655" i="33" s="1"/>
  <c r="Q257" i="1"/>
  <c r="R257" i="1"/>
  <c r="B1655" i="33"/>
  <c r="U1654" i="33"/>
  <c r="B1654" i="33"/>
  <c r="U1653" i="33"/>
  <c r="B1653" i="33"/>
  <c r="U1652" i="33"/>
  <c r="B1652" i="33"/>
  <c r="U1651" i="33"/>
  <c r="B1651" i="33"/>
  <c r="U1650" i="33"/>
  <c r="Y63" i="1"/>
  <c r="P1647" i="33" s="1"/>
  <c r="P63" i="1"/>
  <c r="K1650" i="33" s="1"/>
  <c r="Q63" i="1"/>
  <c r="R63" i="1"/>
  <c r="AT63" i="1" s="1"/>
  <c r="B1650" i="33"/>
  <c r="U1649" i="33"/>
  <c r="B1649" i="33"/>
  <c r="U1648" i="33"/>
  <c r="B1648" i="33"/>
  <c r="U1647" i="33"/>
  <c r="B1647" i="33"/>
  <c r="U1646" i="33"/>
  <c r="B1646" i="33"/>
  <c r="U1645" i="33"/>
  <c r="B1645" i="33"/>
  <c r="U1644" i="33"/>
  <c r="B1644" i="33"/>
  <c r="U1643" i="33"/>
  <c r="B1643" i="33"/>
  <c r="U1642" i="33"/>
  <c r="B1642" i="33"/>
  <c r="U1641" i="33"/>
  <c r="B1641" i="33"/>
  <c r="U1640" i="33"/>
  <c r="B1640" i="33"/>
  <c r="U1639" i="33"/>
  <c r="Y237" i="1"/>
  <c r="P237" i="1"/>
  <c r="K1639" i="33" s="1"/>
  <c r="Q237" i="1"/>
  <c r="R237" i="1"/>
  <c r="B1639" i="33"/>
  <c r="U1638" i="33"/>
  <c r="B1638" i="33"/>
  <c r="U1637" i="33"/>
  <c r="B1637" i="33"/>
  <c r="U1636" i="33"/>
  <c r="B1636" i="33"/>
  <c r="U1635" i="33"/>
  <c r="Y188" i="1"/>
  <c r="P1635" i="33" s="1"/>
  <c r="P188" i="1"/>
  <c r="Q188" i="1"/>
  <c r="R188" i="1"/>
  <c r="B1635" i="33"/>
  <c r="U1634" i="33"/>
  <c r="B1634" i="33"/>
  <c r="U1633" i="33"/>
  <c r="B1633" i="33"/>
  <c r="U1632" i="33"/>
  <c r="Y62" i="1"/>
  <c r="P1631" i="33" s="1"/>
  <c r="P62" i="1"/>
  <c r="Q62" i="1"/>
  <c r="R62" i="1"/>
  <c r="AT62" i="1" s="1"/>
  <c r="B1632" i="33"/>
  <c r="U1631" i="33"/>
  <c r="B1631" i="33"/>
  <c r="U1630" i="33"/>
  <c r="B1630" i="33"/>
  <c r="U1629" i="33"/>
  <c r="B1629" i="33"/>
  <c r="U1628" i="33"/>
  <c r="B1628" i="33"/>
  <c r="U1627" i="33"/>
  <c r="B1627" i="33"/>
  <c r="U1626" i="33"/>
  <c r="B1626" i="33"/>
  <c r="U1625" i="33"/>
  <c r="Y280" i="1"/>
  <c r="P280" i="1"/>
  <c r="K1620" i="33" s="1"/>
  <c r="Q280" i="1"/>
  <c r="J1625" i="33" s="1"/>
  <c r="R280" i="1"/>
  <c r="B1625" i="33"/>
  <c r="U1624" i="33"/>
  <c r="B1624" i="33"/>
  <c r="U1623" i="33"/>
  <c r="B1623" i="33"/>
  <c r="U1622" i="33"/>
  <c r="B1622" i="33"/>
  <c r="U1621" i="33"/>
  <c r="B1621" i="33"/>
  <c r="U1620" i="33"/>
  <c r="B1620" i="33"/>
  <c r="U1619" i="33"/>
  <c r="B1619" i="33"/>
  <c r="U1618" i="33"/>
  <c r="B1618" i="33"/>
  <c r="U1617" i="33"/>
  <c r="B1617" i="33"/>
  <c r="U1616" i="33"/>
  <c r="B1616" i="33"/>
  <c r="U1615" i="33"/>
  <c r="B1615" i="33"/>
  <c r="U1614" i="33"/>
  <c r="B1614" i="33"/>
  <c r="U1613" i="33"/>
  <c r="B1613" i="33"/>
  <c r="U1612" i="33"/>
  <c r="B1612" i="33"/>
  <c r="U1611" i="33"/>
  <c r="Y182" i="1"/>
  <c r="P182" i="1"/>
  <c r="K1611" i="33" s="1"/>
  <c r="Q182" i="1"/>
  <c r="R182" i="1"/>
  <c r="B1611" i="33"/>
  <c r="U1610" i="33"/>
  <c r="B1610" i="33"/>
  <c r="U1609" i="33"/>
  <c r="Y232" i="1"/>
  <c r="P232" i="1"/>
  <c r="K1609" i="33" s="1"/>
  <c r="Q232" i="1"/>
  <c r="R232" i="1"/>
  <c r="I1609" i="33" s="1"/>
  <c r="B1609" i="33"/>
  <c r="U1608" i="33"/>
  <c r="B1608" i="33"/>
  <c r="U1607" i="33"/>
  <c r="Y244" i="1"/>
  <c r="P244" i="1"/>
  <c r="K1605" i="33" s="1"/>
  <c r="Q244" i="1"/>
  <c r="R244" i="1"/>
  <c r="B1607" i="33"/>
  <c r="U1606" i="33"/>
  <c r="B1606" i="33"/>
  <c r="U1605" i="33"/>
  <c r="B1605" i="33"/>
  <c r="U1604" i="33"/>
  <c r="Y202" i="1"/>
  <c r="P202" i="1"/>
  <c r="Q202" i="1"/>
  <c r="J1604" i="33" s="1"/>
  <c r="R202" i="1"/>
  <c r="B1604" i="33"/>
  <c r="U1603" i="33"/>
  <c r="B1603" i="33"/>
  <c r="U1602" i="33"/>
  <c r="B1602" i="33"/>
  <c r="U1601" i="33"/>
  <c r="Y164" i="1"/>
  <c r="P164" i="1"/>
  <c r="K1600" i="33" s="1"/>
  <c r="Q164" i="1"/>
  <c r="J1598" i="33" s="1"/>
  <c r="R164" i="1"/>
  <c r="I1600" i="33" s="1"/>
  <c r="B1601" i="33"/>
  <c r="U1600" i="33"/>
  <c r="B1600" i="33"/>
  <c r="U1599" i="33"/>
  <c r="B1599" i="33"/>
  <c r="U1598" i="33"/>
  <c r="B1598" i="33"/>
  <c r="U1597" i="33"/>
  <c r="B1597" i="33"/>
  <c r="U1596" i="33"/>
  <c r="B1596" i="33"/>
  <c r="U1595" i="33"/>
  <c r="B1595" i="33"/>
  <c r="U1594" i="33"/>
  <c r="B1594" i="33"/>
  <c r="U1593" i="33"/>
  <c r="B1593" i="33"/>
  <c r="U1592" i="33"/>
  <c r="Y258" i="1"/>
  <c r="P1590" i="33" s="1"/>
  <c r="P258" i="1"/>
  <c r="Q258" i="1"/>
  <c r="J1590" i="33" s="1"/>
  <c r="R258" i="1"/>
  <c r="B1592" i="33"/>
  <c r="U1591" i="33"/>
  <c r="B1591" i="33"/>
  <c r="U1590" i="33"/>
  <c r="B1590" i="33"/>
  <c r="U1589" i="33"/>
  <c r="B1589" i="33"/>
  <c r="U1588" i="33"/>
  <c r="Y199" i="1"/>
  <c r="AO199" i="1" s="1"/>
  <c r="AQ199" i="1" s="1"/>
  <c r="P199" i="1"/>
  <c r="Q199" i="1"/>
  <c r="R199" i="1"/>
  <c r="I1586" i="33" s="1"/>
  <c r="B1588" i="33"/>
  <c r="U1587" i="33"/>
  <c r="B1587" i="33"/>
  <c r="U1586" i="33"/>
  <c r="B1586" i="33"/>
  <c r="U1585" i="33"/>
  <c r="B1585" i="33"/>
  <c r="U1584" i="33"/>
  <c r="B1584" i="33"/>
  <c r="U1583" i="33"/>
  <c r="B1583" i="33"/>
  <c r="U1582" i="33"/>
  <c r="B1582" i="33"/>
  <c r="U1581" i="33"/>
  <c r="B1581" i="33"/>
  <c r="U1580" i="33"/>
  <c r="B1580" i="33"/>
  <c r="U1579" i="33"/>
  <c r="Y178" i="1"/>
  <c r="P178" i="1"/>
  <c r="Q178" i="1"/>
  <c r="J1579" i="33" s="1"/>
  <c r="R178" i="1"/>
  <c r="I1579" i="33" s="1"/>
  <c r="B1579" i="33"/>
  <c r="U1578" i="33"/>
  <c r="B1578" i="33"/>
  <c r="U1577" i="33"/>
  <c r="B1577" i="33"/>
  <c r="U1576" i="33"/>
  <c r="Y341" i="1"/>
  <c r="P1575" i="33" s="1"/>
  <c r="P341" i="1"/>
  <c r="Q341" i="1"/>
  <c r="R341" i="1"/>
  <c r="AT341" i="1" s="1"/>
  <c r="B1576" i="33"/>
  <c r="U1575" i="33"/>
  <c r="B1575" i="33"/>
  <c r="U1574" i="33"/>
  <c r="B1574" i="33"/>
  <c r="U1573" i="33"/>
  <c r="B1573" i="33"/>
  <c r="U1572" i="33"/>
  <c r="B1572" i="33"/>
  <c r="U1571" i="33"/>
  <c r="B1571" i="33"/>
  <c r="U1570" i="33"/>
  <c r="B1570" i="33"/>
  <c r="U1569" i="33"/>
  <c r="B1569" i="33"/>
  <c r="U1568" i="33"/>
  <c r="P72" i="1"/>
  <c r="Q72" i="1"/>
  <c r="J1568" i="33" s="1"/>
  <c r="R72" i="1"/>
  <c r="I1568" i="33" s="1"/>
  <c r="U1567" i="33"/>
  <c r="B1567" i="33"/>
  <c r="U1566" i="33"/>
  <c r="B1566" i="33"/>
  <c r="U1565" i="33"/>
  <c r="B1565" i="33"/>
  <c r="U1564" i="33"/>
  <c r="B1564" i="33"/>
  <c r="U1563" i="33"/>
  <c r="B1563" i="33"/>
  <c r="U1562" i="33"/>
  <c r="B1562" i="33"/>
  <c r="U1561" i="33"/>
  <c r="B1561" i="33"/>
  <c r="U1560" i="33"/>
  <c r="B1560" i="33"/>
  <c r="U1559" i="33"/>
  <c r="B1559" i="33"/>
  <c r="U1558" i="33"/>
  <c r="B1558" i="33"/>
  <c r="U1557" i="33"/>
  <c r="B1557" i="33"/>
  <c r="U1556" i="33"/>
  <c r="B1556" i="33"/>
  <c r="U1555" i="33"/>
  <c r="B1555" i="33"/>
  <c r="U1554" i="33"/>
  <c r="Y15" i="1"/>
  <c r="AO15" i="1" s="1"/>
  <c r="AQ15" i="1" s="1"/>
  <c r="P15" i="1"/>
  <c r="K1551" i="33" s="1"/>
  <c r="Q15" i="1"/>
  <c r="R15" i="1"/>
  <c r="B1554" i="33"/>
  <c r="U1553" i="33"/>
  <c r="B1553" i="33"/>
  <c r="U1552" i="33"/>
  <c r="B1552" i="33"/>
  <c r="U1551" i="33"/>
  <c r="B1551" i="33"/>
  <c r="U1550" i="33"/>
  <c r="B1550" i="33"/>
  <c r="U1549" i="33"/>
  <c r="B1549" i="33"/>
  <c r="U1548" i="33"/>
  <c r="B1548" i="33"/>
  <c r="U1547" i="33"/>
  <c r="Y224" i="1"/>
  <c r="P224" i="1"/>
  <c r="K1547" i="33" s="1"/>
  <c r="Q224" i="1"/>
  <c r="R224" i="1"/>
  <c r="I1547" i="33" s="1"/>
  <c r="B1547" i="33"/>
  <c r="U1546" i="33"/>
  <c r="Y204" i="1"/>
  <c r="P204" i="1"/>
  <c r="K1543" i="33" s="1"/>
  <c r="Q204" i="1"/>
  <c r="R204" i="1"/>
  <c r="I1546" i="33" s="1"/>
  <c r="B1546" i="33"/>
  <c r="U1545" i="33"/>
  <c r="B1545" i="33"/>
  <c r="U1544" i="33"/>
  <c r="B1544" i="33"/>
  <c r="U1543" i="33"/>
  <c r="B1543" i="33"/>
  <c r="U1542" i="33"/>
  <c r="B1542" i="33"/>
  <c r="U1541" i="33"/>
  <c r="B1541" i="33"/>
  <c r="U1540" i="33"/>
  <c r="Y174" i="1"/>
  <c r="P174" i="1"/>
  <c r="K1539" i="33" s="1"/>
  <c r="Q174" i="1"/>
  <c r="J1539" i="33" s="1"/>
  <c r="R174" i="1"/>
  <c r="B1540" i="33"/>
  <c r="U1539" i="33"/>
  <c r="B1539" i="33"/>
  <c r="U1538" i="33"/>
  <c r="B1538" i="33"/>
  <c r="U1537" i="33"/>
  <c r="Y252" i="1"/>
  <c r="P1532" i="33" s="1"/>
  <c r="P252" i="1"/>
  <c r="Q252" i="1"/>
  <c r="R252" i="1"/>
  <c r="B1537" i="33"/>
  <c r="U1536" i="33"/>
  <c r="E1536" i="33"/>
  <c r="D1536" i="33"/>
  <c r="B1536" i="33"/>
  <c r="U1535" i="33"/>
  <c r="B1535" i="33"/>
  <c r="U1534" i="33"/>
  <c r="B1534" i="33"/>
  <c r="U1533" i="33"/>
  <c r="B1533" i="33"/>
  <c r="U1532" i="33"/>
  <c r="B1532" i="33"/>
  <c r="U1531" i="33"/>
  <c r="B1531" i="33"/>
  <c r="U1530" i="33"/>
  <c r="B1530" i="33"/>
  <c r="U1529" i="33"/>
  <c r="B1529" i="33"/>
  <c r="U1528" i="33"/>
  <c r="B1528" i="33"/>
  <c r="U1527" i="33"/>
  <c r="B1527" i="33"/>
  <c r="U1526" i="33"/>
  <c r="Y179" i="1"/>
  <c r="P1522" i="33" s="1"/>
  <c r="P179" i="1"/>
  <c r="Q179" i="1"/>
  <c r="R179" i="1"/>
  <c r="B1526" i="33"/>
  <c r="U1525" i="33"/>
  <c r="B1525" i="33"/>
  <c r="U1524" i="33"/>
  <c r="B1524" i="33"/>
  <c r="U1523" i="33"/>
  <c r="B1523" i="33"/>
  <c r="U1522" i="33"/>
  <c r="B1522" i="33"/>
  <c r="U1521" i="33"/>
  <c r="B1521" i="33"/>
  <c r="U1520" i="33"/>
  <c r="B1520" i="33"/>
  <c r="U1519" i="33"/>
  <c r="B1519" i="33"/>
  <c r="U1518" i="33"/>
  <c r="B1518" i="33"/>
  <c r="U1517" i="33"/>
  <c r="B1517" i="33"/>
  <c r="U1516" i="33"/>
  <c r="B1516" i="33"/>
  <c r="U1515" i="33"/>
  <c r="Y165" i="1"/>
  <c r="P165" i="1"/>
  <c r="K1515" i="33" s="1"/>
  <c r="Q165" i="1"/>
  <c r="R165" i="1"/>
  <c r="B1515" i="33"/>
  <c r="U1514" i="33"/>
  <c r="Y69" i="1"/>
  <c r="P69" i="1"/>
  <c r="K1514" i="33" s="1"/>
  <c r="Q69" i="1"/>
  <c r="R69" i="1"/>
  <c r="B1514" i="33"/>
  <c r="U1513" i="33"/>
  <c r="Y185" i="1"/>
  <c r="P1511" i="33" s="1"/>
  <c r="P185" i="1"/>
  <c r="K1513" i="33" s="1"/>
  <c r="Q185" i="1"/>
  <c r="R185" i="1"/>
  <c r="I1511" i="33" s="1"/>
  <c r="B1513" i="33"/>
  <c r="U1512" i="33"/>
  <c r="B1512" i="33"/>
  <c r="U1511" i="33"/>
  <c r="B1511" i="33"/>
  <c r="U1510" i="33"/>
  <c r="Y267" i="1"/>
  <c r="AO267" i="1" s="1"/>
  <c r="AQ267" i="1" s="1"/>
  <c r="P267" i="1"/>
  <c r="Q267" i="1"/>
  <c r="R267" i="1"/>
  <c r="I1509" i="33" s="1"/>
  <c r="B1510" i="33"/>
  <c r="U1509" i="33"/>
  <c r="B1509" i="33"/>
  <c r="U1508" i="33"/>
  <c r="B1508" i="33"/>
  <c r="U1507" i="33"/>
  <c r="B1507" i="33"/>
  <c r="U1506" i="33"/>
  <c r="B1506" i="33"/>
  <c r="U1505" i="33"/>
  <c r="Y211" i="1"/>
  <c r="P211" i="1"/>
  <c r="K1505" i="33" s="1"/>
  <c r="Q211" i="1"/>
  <c r="R211" i="1"/>
  <c r="I1505" i="33" s="1"/>
  <c r="B1505" i="33"/>
  <c r="U1504" i="33"/>
  <c r="B1504" i="33"/>
  <c r="U1503" i="33"/>
  <c r="B1503" i="33"/>
  <c r="U1502" i="33"/>
  <c r="Y166" i="1"/>
  <c r="P1502" i="33" s="1"/>
  <c r="P166" i="1"/>
  <c r="K1502" i="33" s="1"/>
  <c r="Q166" i="1"/>
  <c r="R166" i="1"/>
  <c r="B1502" i="33"/>
  <c r="U1501" i="33"/>
  <c r="B1501" i="33"/>
  <c r="U1500" i="33"/>
  <c r="Y67" i="1"/>
  <c r="P1499" i="33" s="1"/>
  <c r="P67" i="1"/>
  <c r="K1499" i="33" s="1"/>
  <c r="Q67" i="1"/>
  <c r="J1500" i="33" s="1"/>
  <c r="R67" i="1"/>
  <c r="B1500" i="33"/>
  <c r="U1499" i="33"/>
  <c r="B1499" i="33"/>
  <c r="U1498" i="33"/>
  <c r="B1498" i="33"/>
  <c r="U1497" i="33"/>
  <c r="B1497" i="33"/>
  <c r="U1496" i="33"/>
  <c r="B1496" i="33"/>
  <c r="U1495" i="33"/>
  <c r="Y120" i="1"/>
  <c r="P1494" i="33" s="1"/>
  <c r="P120" i="1"/>
  <c r="K1495" i="33" s="1"/>
  <c r="Q120" i="1"/>
  <c r="R120" i="1"/>
  <c r="B1495" i="33"/>
  <c r="U1494" i="33"/>
  <c r="B1494" i="33"/>
  <c r="U1493" i="33"/>
  <c r="B1493" i="33"/>
  <c r="U1492" i="33"/>
  <c r="B1492" i="33"/>
  <c r="U1491" i="33"/>
  <c r="B1491" i="33"/>
  <c r="U1490" i="33"/>
  <c r="B1490" i="33"/>
  <c r="U1489" i="33"/>
  <c r="B1489" i="33"/>
  <c r="U1488" i="33"/>
  <c r="B1488" i="33"/>
  <c r="U1487" i="33"/>
  <c r="B1487" i="33"/>
  <c r="U1486" i="33"/>
  <c r="B1486" i="33"/>
  <c r="U1485" i="33"/>
  <c r="B1485" i="33"/>
  <c r="U1484" i="33"/>
  <c r="B1484" i="33"/>
  <c r="U1483" i="33"/>
  <c r="B1483" i="33"/>
  <c r="U1482" i="33"/>
  <c r="B1482" i="33"/>
  <c r="U1481" i="33"/>
  <c r="B1481" i="33"/>
  <c r="U1480" i="33"/>
  <c r="B1480" i="33"/>
  <c r="U1479" i="33"/>
  <c r="B1479" i="33"/>
  <c r="U1478" i="33"/>
  <c r="B1478" i="33"/>
  <c r="U1477" i="33"/>
  <c r="B1477" i="33"/>
  <c r="U1476" i="33"/>
  <c r="B1476" i="33"/>
  <c r="U1475" i="33"/>
  <c r="B1475" i="33"/>
  <c r="U1474" i="33"/>
  <c r="B1474" i="33"/>
  <c r="U1473" i="33"/>
  <c r="B1473" i="33"/>
  <c r="U1472" i="33"/>
  <c r="Y171" i="1"/>
  <c r="P1468" i="33" s="1"/>
  <c r="P171" i="1"/>
  <c r="Q171" i="1"/>
  <c r="R171" i="1"/>
  <c r="AT171" i="1" s="1"/>
  <c r="B1472" i="33"/>
  <c r="U1471" i="33"/>
  <c r="B1471" i="33"/>
  <c r="U1470" i="33"/>
  <c r="B1470" i="33"/>
  <c r="U1469" i="33"/>
  <c r="B1469" i="33"/>
  <c r="U1468" i="33"/>
  <c r="B1468" i="33"/>
  <c r="U1467" i="33"/>
  <c r="Y87" i="1"/>
  <c r="P87" i="1"/>
  <c r="Q87" i="1"/>
  <c r="J1466" i="33" s="1"/>
  <c r="R87" i="1"/>
  <c r="AT87" i="1" s="1"/>
  <c r="B1467" i="33"/>
  <c r="U1466" i="33"/>
  <c r="B1466" i="33"/>
  <c r="U1465" i="33"/>
  <c r="B1465" i="33"/>
  <c r="U1464" i="33"/>
  <c r="B1464" i="33"/>
  <c r="U1463" i="33"/>
  <c r="Y168" i="1"/>
  <c r="P168" i="1"/>
  <c r="K1463" i="33" s="1"/>
  <c r="Q168" i="1"/>
  <c r="R168" i="1"/>
  <c r="B1463" i="33"/>
  <c r="U1462" i="33"/>
  <c r="B1462" i="33"/>
  <c r="U1461" i="33"/>
  <c r="B1461" i="33"/>
  <c r="U1460" i="33"/>
  <c r="Y187" i="1"/>
  <c r="AO187" i="1" s="1"/>
  <c r="P187" i="1"/>
  <c r="Q187" i="1"/>
  <c r="R187" i="1"/>
  <c r="AT187" i="1" s="1"/>
  <c r="B1460" i="33"/>
  <c r="U1459" i="33"/>
  <c r="B1459" i="33"/>
  <c r="U1458" i="33"/>
  <c r="Y83" i="1"/>
  <c r="AO83" i="1" s="1"/>
  <c r="P83" i="1"/>
  <c r="K1458" i="33" s="1"/>
  <c r="Q83" i="1"/>
  <c r="J1458" i="33" s="1"/>
  <c r="R83" i="1"/>
  <c r="I1457" i="33" s="1"/>
  <c r="B1458" i="33"/>
  <c r="U1457" i="33"/>
  <c r="B1457" i="33"/>
  <c r="U1456" i="33"/>
  <c r="B1456" i="33"/>
  <c r="U1455" i="33"/>
  <c r="B1455" i="33"/>
  <c r="U1454" i="33"/>
  <c r="B1454" i="33"/>
  <c r="U1453" i="33"/>
  <c r="B1453" i="33"/>
  <c r="U1452" i="33"/>
  <c r="B1452" i="33"/>
  <c r="U1451" i="33"/>
  <c r="B1451" i="33"/>
  <c r="U1450" i="33"/>
  <c r="B1450" i="33"/>
  <c r="U1449" i="33"/>
  <c r="B1449" i="33"/>
  <c r="U1448" i="33"/>
  <c r="Y155" i="1"/>
  <c r="P1423" i="33" s="1"/>
  <c r="P155" i="1"/>
  <c r="K1419" i="33" s="1"/>
  <c r="Q155" i="1"/>
  <c r="R155" i="1"/>
  <c r="I1447" i="33" s="1"/>
  <c r="B1448" i="33"/>
  <c r="U1447" i="33"/>
  <c r="B1447" i="33"/>
  <c r="U1446" i="33"/>
  <c r="B1446" i="33"/>
  <c r="U1445" i="33"/>
  <c r="B1445" i="33"/>
  <c r="U1444" i="33"/>
  <c r="B1444" i="33"/>
  <c r="U1443" i="33"/>
  <c r="B1443" i="33"/>
  <c r="U1442" i="33"/>
  <c r="Y84" i="1"/>
  <c r="P1441" i="33" s="1"/>
  <c r="P84" i="1"/>
  <c r="Q84" i="1"/>
  <c r="R84" i="1"/>
  <c r="I1441" i="33" s="1"/>
  <c r="B1442" i="33"/>
  <c r="U1441" i="33"/>
  <c r="B1441" i="33"/>
  <c r="U1440" i="33"/>
  <c r="B1440" i="33"/>
  <c r="U1439" i="33"/>
  <c r="Y247" i="1"/>
  <c r="P247" i="1"/>
  <c r="Q247" i="1"/>
  <c r="J1437" i="33" s="1"/>
  <c r="R247" i="1"/>
  <c r="I1438" i="33" s="1"/>
  <c r="B1439" i="33"/>
  <c r="U1438" i="33"/>
  <c r="B1438" i="33"/>
  <c r="U1437" i="33"/>
  <c r="B1437" i="33"/>
  <c r="U1436" i="33"/>
  <c r="Y173" i="1"/>
  <c r="P173" i="1"/>
  <c r="Q173" i="1"/>
  <c r="R173" i="1"/>
  <c r="B1436" i="33"/>
  <c r="U1435" i="33"/>
  <c r="B1435" i="33"/>
  <c r="U1434" i="33"/>
  <c r="B1434" i="33"/>
  <c r="U1433" i="33"/>
  <c r="B1433" i="33"/>
  <c r="U1432" i="33"/>
  <c r="Y226" i="1"/>
  <c r="P1431" i="33" s="1"/>
  <c r="P226" i="1"/>
  <c r="Q226" i="1"/>
  <c r="R226" i="1"/>
  <c r="AT226" i="1" s="1"/>
  <c r="B1432" i="33"/>
  <c r="U1431" i="33"/>
  <c r="B1431" i="33"/>
  <c r="U1430" i="33"/>
  <c r="B1430" i="33"/>
  <c r="U1429" i="33"/>
  <c r="B1429" i="33"/>
  <c r="U1428" i="33"/>
  <c r="B1428" i="33"/>
  <c r="U1427" i="33"/>
  <c r="B1427" i="33"/>
  <c r="U1426" i="33"/>
  <c r="B1426" i="33"/>
  <c r="U1425" i="33"/>
  <c r="Y275" i="1"/>
  <c r="P275" i="1"/>
  <c r="Q275" i="1"/>
  <c r="J1357" i="33" s="1"/>
  <c r="R275" i="1"/>
  <c r="B1425" i="33"/>
  <c r="U1424" i="33"/>
  <c r="B1424" i="33"/>
  <c r="U1423" i="33"/>
  <c r="B1423" i="33"/>
  <c r="U1422" i="33"/>
  <c r="B1422" i="33"/>
  <c r="U1421" i="33"/>
  <c r="B1421" i="33"/>
  <c r="U1420" i="33"/>
  <c r="B1420" i="33"/>
  <c r="U1419" i="33"/>
  <c r="B1419" i="33"/>
  <c r="U1418" i="33"/>
  <c r="B1418" i="33"/>
  <c r="U1417" i="33"/>
  <c r="Y183" i="1"/>
  <c r="P183" i="1"/>
  <c r="K1417" i="33" s="1"/>
  <c r="Q183" i="1"/>
  <c r="R183" i="1"/>
  <c r="B1417" i="33"/>
  <c r="U1416" i="33"/>
  <c r="Y170" i="1"/>
  <c r="P1416" i="33" s="1"/>
  <c r="P170" i="1"/>
  <c r="Q170" i="1"/>
  <c r="J1416" i="33" s="1"/>
  <c r="R170" i="1"/>
  <c r="AT170" i="1" s="1"/>
  <c r="B1416" i="33"/>
  <c r="U1415" i="33"/>
  <c r="B1415" i="33"/>
  <c r="U1414" i="33"/>
  <c r="B1414" i="33"/>
  <c r="U1413" i="33"/>
  <c r="B1413" i="33"/>
  <c r="U1412" i="33"/>
  <c r="B1412" i="33"/>
  <c r="U1411" i="33"/>
  <c r="Y198" i="1"/>
  <c r="P198" i="1"/>
  <c r="Q198" i="1"/>
  <c r="J1411" i="33" s="1"/>
  <c r="R198" i="1"/>
  <c r="B1411" i="33"/>
  <c r="U1410" i="33"/>
  <c r="B1410" i="33"/>
  <c r="U1409" i="33"/>
  <c r="B1409" i="33"/>
  <c r="U1408" i="33"/>
  <c r="B1408" i="33"/>
  <c r="U1407" i="33"/>
  <c r="Y150" i="1"/>
  <c r="P150" i="1"/>
  <c r="K1407" i="33" s="1"/>
  <c r="Q150" i="1"/>
  <c r="R150" i="1"/>
  <c r="B1407" i="33"/>
  <c r="U1406" i="33"/>
  <c r="B1406" i="33"/>
  <c r="U1405" i="33"/>
  <c r="B1405" i="33"/>
  <c r="U1404" i="33"/>
  <c r="Y135" i="1"/>
  <c r="AO135" i="1" s="1"/>
  <c r="AQ135" i="1" s="1"/>
  <c r="P135" i="1"/>
  <c r="Q135" i="1"/>
  <c r="R135" i="1"/>
  <c r="B1404" i="33"/>
  <c r="U1403" i="33"/>
  <c r="B1403" i="33"/>
  <c r="U1402" i="33"/>
  <c r="Y110" i="1"/>
  <c r="P110" i="1"/>
  <c r="Q110" i="1"/>
  <c r="AU110" i="1" s="1"/>
  <c r="R110" i="1"/>
  <c r="I1401" i="33" s="1"/>
  <c r="B1402" i="33"/>
  <c r="U1401" i="33"/>
  <c r="B1401" i="33"/>
  <c r="U1400" i="33"/>
  <c r="B1400" i="33"/>
  <c r="U1399" i="33"/>
  <c r="B1399" i="33"/>
  <c r="U1398" i="33"/>
  <c r="B1398" i="33"/>
  <c r="U1397" i="33"/>
  <c r="B1397" i="33"/>
  <c r="U1396" i="33"/>
  <c r="Y151" i="1"/>
  <c r="P151" i="1"/>
  <c r="K1396" i="33" s="1"/>
  <c r="Q151" i="1"/>
  <c r="J1395" i="33" s="1"/>
  <c r="R151" i="1"/>
  <c r="B1396" i="33"/>
  <c r="U1395" i="33"/>
  <c r="B1395" i="33"/>
  <c r="U1394" i="33"/>
  <c r="B1394" i="33"/>
  <c r="U1393" i="33"/>
  <c r="B1393" i="33"/>
  <c r="U1392" i="33"/>
  <c r="B1392" i="33"/>
  <c r="U1391" i="33"/>
  <c r="B1391" i="33"/>
  <c r="U1390" i="33"/>
  <c r="Y128" i="1"/>
  <c r="P128" i="1"/>
  <c r="Q128" i="1"/>
  <c r="R128" i="1"/>
  <c r="I1389" i="33" s="1"/>
  <c r="B1390" i="33"/>
  <c r="U1389" i="33"/>
  <c r="B1389" i="33"/>
  <c r="U1388" i="33"/>
  <c r="B1388" i="33"/>
  <c r="U1387" i="33"/>
  <c r="Y186" i="1"/>
  <c r="P186" i="1"/>
  <c r="K1385" i="33" s="1"/>
  <c r="Q186" i="1"/>
  <c r="J1384" i="33" s="1"/>
  <c r="R186" i="1"/>
  <c r="I1386" i="33" s="1"/>
  <c r="B1387" i="33"/>
  <c r="U1386" i="33"/>
  <c r="B1386" i="33"/>
  <c r="U1385" i="33"/>
  <c r="B1385" i="33"/>
  <c r="U1384" i="33"/>
  <c r="B1384" i="33"/>
  <c r="U1383" i="33"/>
  <c r="Y47" i="1"/>
  <c r="P47" i="1"/>
  <c r="K1383" i="33" s="1"/>
  <c r="Q47" i="1"/>
  <c r="R47" i="1"/>
  <c r="B1383" i="33"/>
  <c r="U1382" i="33"/>
  <c r="B1382" i="33"/>
  <c r="U1381" i="33"/>
  <c r="Y127" i="1"/>
  <c r="AO127" i="1" s="1"/>
  <c r="P127" i="1"/>
  <c r="K1381" i="33" s="1"/>
  <c r="Q127" i="1"/>
  <c r="R127" i="1"/>
  <c r="B1381" i="33"/>
  <c r="U1380" i="33"/>
  <c r="B1380" i="33"/>
  <c r="U1379" i="33"/>
  <c r="B1379" i="33"/>
  <c r="U1378" i="33"/>
  <c r="Y49" i="1"/>
  <c r="P1378" i="33" s="1"/>
  <c r="P49" i="1"/>
  <c r="K1376" i="33" s="1"/>
  <c r="Q49" i="1"/>
  <c r="J1376" i="33" s="1"/>
  <c r="R49" i="1"/>
  <c r="U1377" i="33"/>
  <c r="B1377" i="33"/>
  <c r="U1376" i="33"/>
  <c r="B1376" i="33"/>
  <c r="U1375" i="33"/>
  <c r="B1375" i="33"/>
  <c r="U1374" i="33"/>
  <c r="Y149" i="1"/>
  <c r="P149" i="1"/>
  <c r="Q149" i="1"/>
  <c r="R149" i="1"/>
  <c r="B1374" i="33"/>
  <c r="U1373" i="33"/>
  <c r="B1373" i="33"/>
  <c r="U1372" i="33"/>
  <c r="B1372" i="33"/>
  <c r="U1371" i="33"/>
  <c r="Y133" i="1"/>
  <c r="P133" i="1"/>
  <c r="Q133" i="1"/>
  <c r="AU133" i="1" s="1"/>
  <c r="R133" i="1"/>
  <c r="I1369" i="33" s="1"/>
  <c r="B1371" i="33"/>
  <c r="U1370" i="33"/>
  <c r="B1370" i="33"/>
  <c r="U1369" i="33"/>
  <c r="B1369" i="33"/>
  <c r="U1368" i="33"/>
  <c r="Y34" i="1"/>
  <c r="AO34" i="1" s="1"/>
  <c r="P34" i="1"/>
  <c r="K1367" i="33" s="1"/>
  <c r="Q34" i="1"/>
  <c r="R34" i="1"/>
  <c r="B1368" i="33"/>
  <c r="U1367" i="33"/>
  <c r="B1367" i="33"/>
  <c r="U1366" i="33"/>
  <c r="Y33" i="1"/>
  <c r="AO33" i="1" s="1"/>
  <c r="P33" i="1"/>
  <c r="Q33" i="1"/>
  <c r="R33" i="1"/>
  <c r="B1366" i="33"/>
  <c r="U1365" i="33"/>
  <c r="B1365" i="33"/>
  <c r="U1364" i="33"/>
  <c r="Y48" i="1"/>
  <c r="P48" i="1"/>
  <c r="K1363" i="33" s="1"/>
  <c r="Q48" i="1"/>
  <c r="R48" i="1"/>
  <c r="B1364" i="33"/>
  <c r="U1363" i="33"/>
  <c r="B1363" i="33"/>
  <c r="U1362" i="33"/>
  <c r="B1362" i="33"/>
  <c r="U1361" i="33"/>
  <c r="B1361" i="33"/>
  <c r="U1360" i="33"/>
  <c r="B1360" i="33"/>
  <c r="U1359" i="33"/>
  <c r="B1359" i="33"/>
  <c r="U1358" i="33"/>
  <c r="B1358" i="33"/>
  <c r="U1357" i="33"/>
  <c r="B1357" i="33"/>
  <c r="U1356" i="33"/>
  <c r="Y108" i="1"/>
  <c r="P108" i="1"/>
  <c r="K1351" i="33" s="1"/>
  <c r="Q108" i="1"/>
  <c r="R108" i="1"/>
  <c r="B1356" i="33"/>
  <c r="U1355" i="33"/>
  <c r="B1355" i="33"/>
  <c r="U1354" i="33"/>
  <c r="B1354" i="33"/>
  <c r="U1353" i="33"/>
  <c r="B1353" i="33"/>
  <c r="U1352" i="33"/>
  <c r="B1352" i="33"/>
  <c r="U1351" i="33"/>
  <c r="B1351" i="33"/>
  <c r="U1350" i="33"/>
  <c r="B1350" i="33"/>
  <c r="U1349" i="33"/>
  <c r="B1349" i="33"/>
  <c r="U1348" i="33"/>
  <c r="B1348" i="33"/>
  <c r="U1347" i="33"/>
  <c r="B1347" i="33"/>
  <c r="U1346" i="33"/>
  <c r="B1346" i="33"/>
  <c r="U1345" i="33"/>
  <c r="B1345" i="33"/>
  <c r="U1344" i="33"/>
  <c r="B1344" i="33"/>
  <c r="U1343" i="33"/>
  <c r="B1343" i="33"/>
  <c r="U1342" i="33"/>
  <c r="B1342" i="33"/>
  <c r="U1341" i="33"/>
  <c r="Y55" i="1"/>
  <c r="P55" i="1"/>
  <c r="Q55" i="1"/>
  <c r="R55" i="1"/>
  <c r="I1338" i="33" s="1"/>
  <c r="B1341" i="33"/>
  <c r="U1340" i="33"/>
  <c r="Y73" i="1"/>
  <c r="P73" i="1"/>
  <c r="Q73" i="1"/>
  <c r="R73" i="1"/>
  <c r="B1340" i="33"/>
  <c r="U1339" i="33"/>
  <c r="B1339" i="33"/>
  <c r="U1338" i="33"/>
  <c r="B1338" i="33"/>
  <c r="U1337" i="33"/>
  <c r="Y195" i="1"/>
  <c r="P195" i="1"/>
  <c r="Q195" i="1"/>
  <c r="R195" i="1"/>
  <c r="I1335" i="33" s="1"/>
  <c r="B1337" i="33"/>
  <c r="U1336" i="33"/>
  <c r="B1336" i="33"/>
  <c r="U1335" i="33"/>
  <c r="B1335" i="33"/>
  <c r="U1334" i="33"/>
  <c r="B1334" i="33"/>
  <c r="U1333" i="33"/>
  <c r="B1333" i="33"/>
  <c r="U1332" i="33"/>
  <c r="B1332" i="33"/>
  <c r="U1331" i="33"/>
  <c r="B1331" i="33"/>
  <c r="U1330" i="33"/>
  <c r="Y119" i="1"/>
  <c r="AO119" i="1" s="1"/>
  <c r="P119" i="1"/>
  <c r="K1328" i="33" s="1"/>
  <c r="Q119" i="1"/>
  <c r="R119" i="1"/>
  <c r="B1330" i="33"/>
  <c r="U1329" i="33"/>
  <c r="B1329" i="33"/>
  <c r="U1328" i="33"/>
  <c r="B1328" i="33"/>
  <c r="U1327" i="33"/>
  <c r="Y193" i="1"/>
  <c r="P193" i="1"/>
  <c r="Q193" i="1"/>
  <c r="R193" i="1"/>
  <c r="I1326" i="33" s="1"/>
  <c r="E1327" i="33"/>
  <c r="B1327" i="33"/>
  <c r="U1326" i="33"/>
  <c r="E1326" i="33"/>
  <c r="B1326" i="33"/>
  <c r="U1325" i="33"/>
  <c r="Y88" i="1"/>
  <c r="P88" i="1"/>
  <c r="Q88" i="1"/>
  <c r="R88" i="1"/>
  <c r="E1325" i="33"/>
  <c r="B1325" i="33"/>
  <c r="U1324" i="33"/>
  <c r="E1324" i="33"/>
  <c r="B1324" i="33"/>
  <c r="U1323" i="33"/>
  <c r="E1323" i="33"/>
  <c r="B1323" i="33"/>
  <c r="U1322" i="33"/>
  <c r="Y85" i="1"/>
  <c r="P85" i="1"/>
  <c r="K1322" i="33" s="1"/>
  <c r="Q85" i="1"/>
  <c r="AU85" i="1" s="1"/>
  <c r="R85" i="1"/>
  <c r="I1322" i="33" s="1"/>
  <c r="E1322" i="33"/>
  <c r="B1322" i="33"/>
  <c r="U1321" i="33"/>
  <c r="Y103" i="1"/>
  <c r="P1182" i="33" s="1"/>
  <c r="P103" i="1"/>
  <c r="K1179" i="33" s="1"/>
  <c r="Q103" i="1"/>
  <c r="R103" i="1"/>
  <c r="E1321" i="33"/>
  <c r="B1321" i="33"/>
  <c r="U1320" i="33"/>
  <c r="B1320" i="33"/>
  <c r="U1319" i="33"/>
  <c r="B1319" i="33"/>
  <c r="U1318" i="33"/>
  <c r="Y40" i="1"/>
  <c r="P1317" i="33" s="1"/>
  <c r="P40" i="1"/>
  <c r="Q40" i="1"/>
  <c r="J1317" i="33" s="1"/>
  <c r="R40" i="1"/>
  <c r="AT40" i="1" s="1"/>
  <c r="B1318" i="33"/>
  <c r="U1317" i="33"/>
  <c r="B1317" i="33"/>
  <c r="U1316" i="33"/>
  <c r="B1316" i="33"/>
  <c r="U1315" i="33"/>
  <c r="B1315" i="33"/>
  <c r="U1314" i="33"/>
  <c r="B1314" i="33"/>
  <c r="U1313" i="33"/>
  <c r="B1313" i="33"/>
  <c r="U1312" i="33"/>
  <c r="B1312" i="33"/>
  <c r="U1311" i="33"/>
  <c r="B1311" i="33"/>
  <c r="U1310" i="33"/>
  <c r="B1310" i="33"/>
  <c r="U1309" i="33"/>
  <c r="B1309" i="33"/>
  <c r="U1308" i="33"/>
  <c r="B1308" i="33"/>
  <c r="U1307" i="33"/>
  <c r="Y117" i="1"/>
  <c r="P117" i="1"/>
  <c r="K1307" i="33" s="1"/>
  <c r="Q117" i="1"/>
  <c r="R117" i="1"/>
  <c r="I1307" i="33" s="1"/>
  <c r="B1307" i="33"/>
  <c r="U1306" i="33"/>
  <c r="B1306" i="33"/>
  <c r="U1305" i="33"/>
  <c r="B1305" i="33"/>
  <c r="U1304" i="33"/>
  <c r="B1304" i="33"/>
  <c r="U1303" i="33"/>
  <c r="B1303" i="33"/>
  <c r="U1302" i="33"/>
  <c r="Y76" i="1"/>
  <c r="P76" i="1"/>
  <c r="Q76" i="1"/>
  <c r="R76" i="1"/>
  <c r="I1302" i="33" s="1"/>
  <c r="B1302" i="33"/>
  <c r="U1301" i="33"/>
  <c r="B1301" i="33"/>
  <c r="U1300" i="33"/>
  <c r="B1300" i="33"/>
  <c r="U1299" i="33"/>
  <c r="B1299" i="33"/>
  <c r="U1298" i="33"/>
  <c r="Y44" i="1"/>
  <c r="P1297" i="33" s="1"/>
  <c r="P44" i="1"/>
  <c r="K1298" i="33" s="1"/>
  <c r="Q44" i="1"/>
  <c r="R44" i="1"/>
  <c r="B1298" i="33"/>
  <c r="U1297" i="33"/>
  <c r="B1297" i="33"/>
  <c r="U1296" i="33"/>
  <c r="B1296" i="33"/>
  <c r="U1295" i="33"/>
  <c r="B1295" i="33"/>
  <c r="U1294" i="33"/>
  <c r="Y74" i="1"/>
  <c r="AO74" i="1" s="1"/>
  <c r="P74" i="1"/>
  <c r="K1292" i="33" s="1"/>
  <c r="Q74" i="1"/>
  <c r="J1294" i="33" s="1"/>
  <c r="R74" i="1"/>
  <c r="I1292" i="33" s="1"/>
  <c r="B1294" i="33"/>
  <c r="U1293" i="33"/>
  <c r="B1293" i="33"/>
  <c r="U1292" i="33"/>
  <c r="B1292" i="33"/>
  <c r="U1291" i="33"/>
  <c r="Y81" i="1"/>
  <c r="AO81" i="1" s="1"/>
  <c r="P81" i="1"/>
  <c r="K1291" i="33" s="1"/>
  <c r="Q81" i="1"/>
  <c r="R81" i="1"/>
  <c r="I1291" i="33" s="1"/>
  <c r="B1291" i="33"/>
  <c r="U1290" i="33"/>
  <c r="Y75" i="1"/>
  <c r="P75" i="1"/>
  <c r="K1288" i="33" s="1"/>
  <c r="Q75" i="1"/>
  <c r="J1288" i="33" s="1"/>
  <c r="R75" i="1"/>
  <c r="B1290" i="33"/>
  <c r="U1289" i="33"/>
  <c r="B1289" i="33"/>
  <c r="U1288" i="33"/>
  <c r="B1288" i="33"/>
  <c r="U1287" i="33"/>
  <c r="Y159" i="1"/>
  <c r="P159" i="1"/>
  <c r="Q159" i="1"/>
  <c r="R159" i="1"/>
  <c r="I1284" i="33" s="1"/>
  <c r="B1287" i="33"/>
  <c r="U1286" i="33"/>
  <c r="B1286" i="33"/>
  <c r="U1285" i="33"/>
  <c r="B1285" i="33"/>
  <c r="U1284" i="33"/>
  <c r="B1284" i="33"/>
  <c r="U1283" i="33"/>
  <c r="Y102" i="1"/>
  <c r="P102" i="1"/>
  <c r="Q102" i="1"/>
  <c r="R102" i="1"/>
  <c r="B1283" i="33"/>
  <c r="U1282" i="33"/>
  <c r="B1282" i="33"/>
  <c r="U1281" i="33"/>
  <c r="B1281" i="33"/>
  <c r="U1280" i="33"/>
  <c r="B1280" i="33"/>
  <c r="U1279" i="33"/>
  <c r="B1279" i="33"/>
  <c r="U1278" i="33"/>
  <c r="B1278" i="33"/>
  <c r="U1277" i="33"/>
  <c r="B1277" i="33"/>
  <c r="U1276" i="33"/>
  <c r="B1276" i="33"/>
  <c r="U1275" i="33"/>
  <c r="B1275" i="33"/>
  <c r="U1274" i="33"/>
  <c r="B1274" i="33"/>
  <c r="U1273" i="33"/>
  <c r="B1273" i="33"/>
  <c r="U1272" i="33"/>
  <c r="B1272" i="33"/>
  <c r="U1271" i="33"/>
  <c r="B1271" i="33"/>
  <c r="U1270" i="33"/>
  <c r="B1270" i="33"/>
  <c r="U1269" i="33"/>
  <c r="B1269" i="33"/>
  <c r="U1268" i="33"/>
  <c r="B1268" i="33"/>
  <c r="U1267" i="33"/>
  <c r="E1267" i="33"/>
  <c r="B1267" i="33"/>
  <c r="U1266" i="33"/>
  <c r="E1266" i="33"/>
  <c r="B1266" i="33"/>
  <c r="U1265" i="33"/>
  <c r="E1265" i="33"/>
  <c r="B1265" i="33"/>
  <c r="U1264" i="33"/>
  <c r="Y22" i="1"/>
  <c r="P22" i="1"/>
  <c r="Q22" i="1"/>
  <c r="R22" i="1"/>
  <c r="I1262" i="33" s="1"/>
  <c r="E1264" i="33"/>
  <c r="B1264" i="33"/>
  <c r="U1263" i="33"/>
  <c r="E1263" i="33"/>
  <c r="B1263" i="33"/>
  <c r="U1262" i="33"/>
  <c r="E1262" i="33"/>
  <c r="B1262" i="33"/>
  <c r="U1261" i="33"/>
  <c r="E1261" i="33"/>
  <c r="B1261" i="33"/>
  <c r="U1260" i="33"/>
  <c r="E1260" i="33"/>
  <c r="B1260" i="33"/>
  <c r="U1259" i="33"/>
  <c r="Y113" i="1"/>
  <c r="P1257" i="33" s="1"/>
  <c r="P113" i="1"/>
  <c r="K1255" i="33" s="1"/>
  <c r="Q113" i="1"/>
  <c r="J1255" i="33" s="1"/>
  <c r="R113" i="1"/>
  <c r="I1258" i="33" s="1"/>
  <c r="B1259" i="33"/>
  <c r="U1258" i="33"/>
  <c r="E1258" i="33"/>
  <c r="B1258" i="33"/>
  <c r="U1257" i="33"/>
  <c r="E1257" i="33"/>
  <c r="B1257" i="33"/>
  <c r="U1256" i="33"/>
  <c r="E1256" i="33"/>
  <c r="B1256" i="33"/>
  <c r="U1255" i="33"/>
  <c r="E1255" i="33"/>
  <c r="B1255" i="33"/>
  <c r="U1254" i="33"/>
  <c r="Y105" i="1"/>
  <c r="P105" i="1"/>
  <c r="K1251" i="33" s="1"/>
  <c r="Q105" i="1"/>
  <c r="J1252" i="33" s="1"/>
  <c r="R105" i="1"/>
  <c r="E1254" i="33"/>
  <c r="B1254" i="33"/>
  <c r="U1253" i="33"/>
  <c r="E1253" i="33"/>
  <c r="B1253" i="33"/>
  <c r="U1252" i="33"/>
  <c r="B1252" i="33"/>
  <c r="U1251" i="33"/>
  <c r="E1251" i="33"/>
  <c r="B1251" i="33"/>
  <c r="U1250" i="33"/>
  <c r="E1250" i="33"/>
  <c r="B1250" i="33"/>
  <c r="U1249" i="33"/>
  <c r="E1249" i="33"/>
  <c r="B1249" i="33"/>
  <c r="U1248" i="33"/>
  <c r="Y80" i="1"/>
  <c r="P1248" i="33" s="1"/>
  <c r="P80" i="1"/>
  <c r="K1248" i="33" s="1"/>
  <c r="Q80" i="1"/>
  <c r="R80" i="1"/>
  <c r="E1248" i="33"/>
  <c r="B1248" i="33"/>
  <c r="U1247" i="33"/>
  <c r="Y45" i="1"/>
  <c r="P1245" i="33" s="1"/>
  <c r="P45" i="1"/>
  <c r="K1244" i="33" s="1"/>
  <c r="Q45" i="1"/>
  <c r="J1247" i="33" s="1"/>
  <c r="R45" i="1"/>
  <c r="E1247" i="33"/>
  <c r="B1247" i="33"/>
  <c r="U1246" i="33"/>
  <c r="E1246" i="33"/>
  <c r="B1246" i="33"/>
  <c r="U1245" i="33"/>
  <c r="E1245" i="33"/>
  <c r="B1245" i="33"/>
  <c r="U1244" i="33"/>
  <c r="E1244" i="33"/>
  <c r="B1244" i="33"/>
  <c r="U1243" i="33"/>
  <c r="Y23" i="1"/>
  <c r="P23" i="1"/>
  <c r="K1242" i="33" s="1"/>
  <c r="Q23" i="1"/>
  <c r="R23" i="1"/>
  <c r="E1243" i="33"/>
  <c r="B1243" i="33"/>
  <c r="U1242" i="33"/>
  <c r="E1242" i="33"/>
  <c r="B1242" i="33"/>
  <c r="U1241" i="33"/>
  <c r="E1241" i="33"/>
  <c r="B1241" i="33"/>
  <c r="U1240" i="33"/>
  <c r="E1240" i="33"/>
  <c r="B1240" i="33"/>
  <c r="U1239" i="33"/>
  <c r="Y8" i="1"/>
  <c r="P8" i="1"/>
  <c r="Q8" i="1"/>
  <c r="J1235" i="33" s="1"/>
  <c r="R8" i="1"/>
  <c r="E1239" i="33"/>
  <c r="B1239" i="33"/>
  <c r="U1238" i="33"/>
  <c r="E1238" i="33"/>
  <c r="B1238" i="33"/>
  <c r="U1237" i="33"/>
  <c r="E1237" i="33"/>
  <c r="B1237" i="33"/>
  <c r="U1236" i="33"/>
  <c r="E1236" i="33"/>
  <c r="B1236" i="33"/>
  <c r="U1235" i="33"/>
  <c r="E1235" i="33"/>
  <c r="B1235" i="33"/>
  <c r="U1234" i="33"/>
  <c r="E1234" i="33"/>
  <c r="B1234" i="33"/>
  <c r="U1233" i="33"/>
  <c r="Y138" i="1"/>
  <c r="P1232" i="33" s="1"/>
  <c r="P138" i="1"/>
  <c r="Q138" i="1"/>
  <c r="J1232" i="33" s="1"/>
  <c r="R138" i="1"/>
  <c r="I1230" i="33" s="1"/>
  <c r="E1233" i="33"/>
  <c r="B1233" i="33"/>
  <c r="U1232" i="33"/>
  <c r="E1232" i="33"/>
  <c r="B1232" i="33"/>
  <c r="U1231" i="33"/>
  <c r="E1231" i="33"/>
  <c r="B1231" i="33"/>
  <c r="U1230" i="33"/>
  <c r="E1230" i="33"/>
  <c r="B1230" i="33"/>
  <c r="U1229" i="33"/>
  <c r="E1229" i="33"/>
  <c r="B1229" i="33"/>
  <c r="U1228" i="33"/>
  <c r="B1228" i="33"/>
  <c r="U1227" i="33"/>
  <c r="E1227" i="33"/>
  <c r="B1227" i="33"/>
  <c r="U1226" i="33"/>
  <c r="B1226" i="33"/>
  <c r="U1225" i="33"/>
  <c r="B1225" i="33"/>
  <c r="U1224" i="33"/>
  <c r="B1224" i="33"/>
  <c r="U1223" i="33"/>
  <c r="B1223" i="33"/>
  <c r="U1222" i="33"/>
  <c r="B1222" i="33"/>
  <c r="U1221" i="33"/>
  <c r="E1221" i="33"/>
  <c r="B1221" i="33"/>
  <c r="U1220" i="33"/>
  <c r="Y71" i="1"/>
  <c r="P71" i="1"/>
  <c r="K1220" i="33" s="1"/>
  <c r="Q71" i="1"/>
  <c r="R71" i="1"/>
  <c r="E1220" i="33"/>
  <c r="B1220" i="33"/>
  <c r="U1219" i="33"/>
  <c r="Y5" i="1"/>
  <c r="P5" i="1"/>
  <c r="K1219" i="33" s="1"/>
  <c r="Q5" i="1"/>
  <c r="R5" i="1"/>
  <c r="E1219" i="33"/>
  <c r="B1219" i="33"/>
  <c r="U1218" i="33"/>
  <c r="E1218" i="33"/>
  <c r="B1218" i="33"/>
  <c r="U1217" i="33"/>
  <c r="E1217" i="33"/>
  <c r="B1217" i="33"/>
  <c r="U1216" i="33"/>
  <c r="Y98" i="1"/>
  <c r="P98" i="1"/>
  <c r="K1177" i="33" s="1"/>
  <c r="Q98" i="1"/>
  <c r="J1174" i="33" s="1"/>
  <c r="R98" i="1"/>
  <c r="I1214" i="33" s="1"/>
  <c r="E1216" i="33"/>
  <c r="B1216" i="33"/>
  <c r="U1215" i="33"/>
  <c r="E1215" i="33"/>
  <c r="B1215" i="33"/>
  <c r="U1214" i="33"/>
  <c r="E1214" i="33"/>
  <c r="B1214" i="33"/>
  <c r="U1213" i="33"/>
  <c r="E1213" i="33"/>
  <c r="B1213" i="33"/>
  <c r="U1212" i="33"/>
  <c r="Y93" i="1"/>
  <c r="P1150" i="33" s="1"/>
  <c r="P93" i="1"/>
  <c r="K1212" i="33" s="1"/>
  <c r="Q93" i="1"/>
  <c r="J1150" i="33" s="1"/>
  <c r="R93" i="1"/>
  <c r="AT93" i="1" s="1"/>
  <c r="E1212" i="33"/>
  <c r="B1212" i="33"/>
  <c r="U1211" i="33"/>
  <c r="E1211" i="33"/>
  <c r="B1211" i="33"/>
  <c r="U1210" i="33"/>
  <c r="E1210" i="33"/>
  <c r="B1210" i="33"/>
  <c r="U1209" i="33"/>
  <c r="Y112" i="1"/>
  <c r="P112" i="1"/>
  <c r="K1208" i="33" s="1"/>
  <c r="Q112" i="1"/>
  <c r="R112" i="1"/>
  <c r="AT112" i="1" s="1"/>
  <c r="E1209" i="33"/>
  <c r="B1209" i="33"/>
  <c r="U1208" i="33"/>
  <c r="E1208" i="33"/>
  <c r="B1208" i="33"/>
  <c r="U1207" i="33"/>
  <c r="E1207" i="33"/>
  <c r="B1207" i="33"/>
  <c r="U1206" i="33"/>
  <c r="Y35" i="1"/>
  <c r="P1204" i="33" s="1"/>
  <c r="P35" i="1"/>
  <c r="K1205" i="33" s="1"/>
  <c r="Q35" i="1"/>
  <c r="R35" i="1"/>
  <c r="I1205" i="33" s="1"/>
  <c r="E1206" i="33"/>
  <c r="B1206" i="33"/>
  <c r="U1205" i="33"/>
  <c r="E1205" i="33"/>
  <c r="B1205" i="33"/>
  <c r="U1204" i="33"/>
  <c r="E1204" i="33"/>
  <c r="B1204" i="33"/>
  <c r="U1203" i="33"/>
  <c r="Y77" i="1"/>
  <c r="P77" i="1"/>
  <c r="Q77" i="1"/>
  <c r="R77" i="1"/>
  <c r="I1199" i="33" s="1"/>
  <c r="E1203" i="33"/>
  <c r="B1203" i="33"/>
  <c r="U1202" i="33"/>
  <c r="E1202" i="33"/>
  <c r="B1202" i="33"/>
  <c r="U1201" i="33"/>
  <c r="E1201" i="33"/>
  <c r="B1201" i="33"/>
  <c r="U1200" i="33"/>
  <c r="E1200" i="33"/>
  <c r="B1200" i="33"/>
  <c r="U1199" i="33"/>
  <c r="E1199" i="33"/>
  <c r="B1199" i="33"/>
  <c r="U1198" i="33"/>
  <c r="E1198" i="33"/>
  <c r="B1198" i="33"/>
  <c r="U1197" i="33"/>
  <c r="E1197" i="33"/>
  <c r="B1197" i="33"/>
  <c r="U1196" i="33"/>
  <c r="E1196" i="33"/>
  <c r="B1196" i="33"/>
  <c r="U1195" i="33"/>
  <c r="Y3" i="1"/>
  <c r="P1194" i="33" s="1"/>
  <c r="P3" i="1"/>
  <c r="Q3" i="1"/>
  <c r="J1194" i="33" s="1"/>
  <c r="R3" i="1"/>
  <c r="AT3" i="1" s="1"/>
  <c r="E1195" i="33"/>
  <c r="B1195" i="33"/>
  <c r="U1194" i="33"/>
  <c r="E1194" i="33"/>
  <c r="B1194" i="33"/>
  <c r="U1193" i="33"/>
  <c r="Y94" i="1"/>
  <c r="P1191" i="33" s="1"/>
  <c r="P94" i="1"/>
  <c r="K1192" i="33" s="1"/>
  <c r="Q94" i="1"/>
  <c r="R94" i="1"/>
  <c r="B1193" i="33"/>
  <c r="U1192" i="33"/>
  <c r="B1192" i="33"/>
  <c r="U1191" i="33"/>
  <c r="B1191" i="33"/>
  <c r="U1190" i="33"/>
  <c r="Y72" i="1"/>
  <c r="P1188" i="33" s="1"/>
  <c r="E1190" i="33"/>
  <c r="B1190" i="33"/>
  <c r="U1189" i="33"/>
  <c r="E1189" i="33"/>
  <c r="B1189" i="33"/>
  <c r="U1188" i="33"/>
  <c r="E1188" i="33"/>
  <c r="B1188" i="33"/>
  <c r="U1187" i="33"/>
  <c r="Y58" i="1"/>
  <c r="P58" i="1"/>
  <c r="K1184" i="33" s="1"/>
  <c r="Q58" i="1"/>
  <c r="J1185" i="33" s="1"/>
  <c r="R58" i="1"/>
  <c r="E1187" i="33"/>
  <c r="B1187" i="33"/>
  <c r="U1186" i="33"/>
  <c r="E1186" i="33"/>
  <c r="B1186" i="33"/>
  <c r="U1185" i="33"/>
  <c r="E1185" i="33"/>
  <c r="B1185" i="33"/>
  <c r="U1184" i="33"/>
  <c r="E1184" i="33"/>
  <c r="B1184" i="33"/>
  <c r="U1183" i="33"/>
  <c r="E1183" i="33"/>
  <c r="B1183" i="33"/>
  <c r="U1182" i="33"/>
  <c r="E1182" i="33"/>
  <c r="B1182" i="33"/>
  <c r="U1181" i="33"/>
  <c r="E1181" i="33"/>
  <c r="B1181" i="33"/>
  <c r="U1180" i="33"/>
  <c r="E1180" i="33"/>
  <c r="B1180" i="33"/>
  <c r="U1179" i="33"/>
  <c r="E1179" i="33"/>
  <c r="B1179" i="33"/>
  <c r="U1178" i="33"/>
  <c r="E1178" i="33"/>
  <c r="B1178" i="33"/>
  <c r="U1177" i="33"/>
  <c r="E1177" i="33"/>
  <c r="B1177" i="33"/>
  <c r="U1176" i="33"/>
  <c r="E1176" i="33"/>
  <c r="B1176" i="33"/>
  <c r="U1175" i="33"/>
  <c r="E1175" i="33"/>
  <c r="B1175" i="33"/>
  <c r="U1174" i="33"/>
  <c r="E1174" i="33"/>
  <c r="B1174" i="33"/>
  <c r="U1173" i="33"/>
  <c r="Y60" i="1"/>
  <c r="P60" i="1"/>
  <c r="Q60" i="1"/>
  <c r="R60" i="1"/>
  <c r="I1171" i="33" s="1"/>
  <c r="E1173" i="33"/>
  <c r="B1173" i="33"/>
  <c r="U1172" i="33"/>
  <c r="E1172" i="33"/>
  <c r="B1172" i="33"/>
  <c r="U1171" i="33"/>
  <c r="E1171" i="33"/>
  <c r="B1171" i="33"/>
  <c r="U1170" i="33"/>
  <c r="E1170" i="33"/>
  <c r="B1170" i="33"/>
  <c r="U1169" i="33"/>
  <c r="Y101" i="1"/>
  <c r="P101" i="1"/>
  <c r="K1169" i="33" s="1"/>
  <c r="Q101" i="1"/>
  <c r="R101" i="1"/>
  <c r="E1169" i="33"/>
  <c r="B1169" i="33"/>
  <c r="U1168" i="33"/>
  <c r="Y24" i="1"/>
  <c r="AO24" i="1" s="1"/>
  <c r="P24" i="1"/>
  <c r="K1167" i="33" s="1"/>
  <c r="Q24" i="1"/>
  <c r="R24" i="1"/>
  <c r="E1168" i="33"/>
  <c r="B1168" i="33"/>
  <c r="U1167" i="33"/>
  <c r="E1167" i="33"/>
  <c r="B1167" i="33"/>
  <c r="U1166" i="33"/>
  <c r="E1166" i="33"/>
  <c r="B1166" i="33"/>
  <c r="U1165" i="33"/>
  <c r="Y26" i="1"/>
  <c r="P26" i="1"/>
  <c r="K1165" i="33" s="1"/>
  <c r="Q26" i="1"/>
  <c r="R26" i="1"/>
  <c r="I1165" i="33" s="1"/>
  <c r="E1165" i="33"/>
  <c r="B1165" i="33"/>
  <c r="U1164" i="33"/>
  <c r="Y29" i="1"/>
  <c r="P1164" i="33" s="1"/>
  <c r="P29" i="1"/>
  <c r="Q29" i="1"/>
  <c r="R29" i="1"/>
  <c r="I1164" i="33" s="1"/>
  <c r="E1164" i="33"/>
  <c r="B1164" i="33"/>
  <c r="U1163" i="33"/>
  <c r="E1163" i="33"/>
  <c r="B1163" i="33"/>
  <c r="U1162" i="33"/>
  <c r="E1162" i="33"/>
  <c r="B1162" i="33"/>
  <c r="U1161" i="33"/>
  <c r="Y130" i="1"/>
  <c r="P1130" i="33" s="1"/>
  <c r="P130" i="1"/>
  <c r="K1129" i="33" s="1"/>
  <c r="Q130" i="1"/>
  <c r="J1129" i="33" s="1"/>
  <c r="R130" i="1"/>
  <c r="I1130" i="33" s="1"/>
  <c r="E1161" i="33"/>
  <c r="B1161" i="33"/>
  <c r="U1160" i="33"/>
  <c r="E1160" i="33"/>
  <c r="B1160" i="33"/>
  <c r="U1159" i="33"/>
  <c r="E1159" i="33"/>
  <c r="B1159" i="33"/>
  <c r="U1158" i="33"/>
  <c r="E1158" i="33"/>
  <c r="B1158" i="33"/>
  <c r="U1157" i="33"/>
  <c r="Y79" i="1"/>
  <c r="P79" i="1"/>
  <c r="K1154" i="33" s="1"/>
  <c r="Q79" i="1"/>
  <c r="R79" i="1"/>
  <c r="I1155" i="33" s="1"/>
  <c r="E1157" i="33"/>
  <c r="B1157" i="33"/>
  <c r="U1156" i="33"/>
  <c r="E1156" i="33"/>
  <c r="B1156" i="33"/>
  <c r="U1155" i="33"/>
  <c r="E1155" i="33"/>
  <c r="B1155" i="33"/>
  <c r="U1154" i="33"/>
  <c r="E1154" i="33"/>
  <c r="B1154" i="33"/>
  <c r="U1153" i="33"/>
  <c r="E1153" i="33"/>
  <c r="B1153" i="33"/>
  <c r="U1152" i="33"/>
  <c r="E1152" i="33"/>
  <c r="B1152" i="33"/>
  <c r="U1151" i="33"/>
  <c r="B1151" i="33"/>
  <c r="U1150" i="33"/>
  <c r="E1150" i="33"/>
  <c r="B1150" i="33"/>
  <c r="U1149" i="33"/>
  <c r="Y100" i="1"/>
  <c r="P1147" i="33" s="1"/>
  <c r="P100" i="1"/>
  <c r="K1147" i="33" s="1"/>
  <c r="Q100" i="1"/>
  <c r="R100" i="1"/>
  <c r="E1149" i="33"/>
  <c r="B1149" i="33"/>
  <c r="U1148" i="33"/>
  <c r="E1148" i="33"/>
  <c r="B1148" i="33"/>
  <c r="U1147" i="33"/>
  <c r="E1147" i="33"/>
  <c r="B1147" i="33"/>
  <c r="U1146" i="33"/>
  <c r="E1146" i="33"/>
  <c r="B1146" i="33"/>
  <c r="U1145" i="33"/>
  <c r="Y50" i="1"/>
  <c r="P50" i="1"/>
  <c r="K1143" i="33" s="1"/>
  <c r="Q50" i="1"/>
  <c r="R50" i="1"/>
  <c r="I1144" i="33" s="1"/>
  <c r="E1145" i="33"/>
  <c r="B1145" i="33"/>
  <c r="U1144" i="33"/>
  <c r="E1144" i="33"/>
  <c r="B1144" i="33"/>
  <c r="U1143" i="33"/>
  <c r="E1143" i="33"/>
  <c r="B1143" i="33"/>
  <c r="U1142" i="33"/>
  <c r="Y16" i="1"/>
  <c r="P1138" i="33" s="1"/>
  <c r="P16" i="1"/>
  <c r="K1139" i="33" s="1"/>
  <c r="Q16" i="1"/>
  <c r="R16" i="1"/>
  <c r="AT16" i="1" s="1"/>
  <c r="E1142" i="33"/>
  <c r="B1142" i="33"/>
  <c r="U1141" i="33"/>
  <c r="E1141" i="33"/>
  <c r="B1141" i="33"/>
  <c r="U1140" i="33"/>
  <c r="E1140" i="33"/>
  <c r="B1140" i="33"/>
  <c r="U1139" i="33"/>
  <c r="E1139" i="33"/>
  <c r="B1139" i="33"/>
  <c r="U1138" i="33"/>
  <c r="E1138" i="33"/>
  <c r="B1138" i="33"/>
  <c r="U1137" i="33"/>
  <c r="Y19" i="1"/>
  <c r="P1137" i="33" s="1"/>
  <c r="P19" i="1"/>
  <c r="Q19" i="1"/>
  <c r="R19" i="1"/>
  <c r="I1134" i="33" s="1"/>
  <c r="E1137" i="33"/>
  <c r="B1137" i="33"/>
  <c r="U1136" i="33"/>
  <c r="E1136" i="33"/>
  <c r="B1136" i="33"/>
  <c r="U1135" i="33"/>
  <c r="E1135" i="33"/>
  <c r="B1135" i="33"/>
  <c r="U1134" i="33"/>
  <c r="E1134" i="33"/>
  <c r="D1134" i="33"/>
  <c r="B1134" i="33"/>
  <c r="U1133" i="33"/>
  <c r="Y10" i="1"/>
  <c r="P1132" i="33" s="1"/>
  <c r="P10" i="1"/>
  <c r="Q10" i="1"/>
  <c r="J1133" i="33" s="1"/>
  <c r="R10" i="1"/>
  <c r="AT10" i="1" s="1"/>
  <c r="E1133" i="33"/>
  <c r="D1133" i="33"/>
  <c r="B1133" i="33"/>
  <c r="U1132" i="33"/>
  <c r="E1132" i="33"/>
  <c r="D1132" i="33"/>
  <c r="B1132" i="33"/>
  <c r="U1131" i="33"/>
  <c r="E1131" i="33"/>
  <c r="D1131" i="33"/>
  <c r="B1131" i="33"/>
  <c r="U1130" i="33"/>
  <c r="E1130" i="33"/>
  <c r="D1130" i="33"/>
  <c r="B1130" i="33"/>
  <c r="U1129" i="33"/>
  <c r="E1129" i="33"/>
  <c r="D1129" i="33"/>
  <c r="B1129" i="33"/>
  <c r="U1128" i="33"/>
  <c r="E1128" i="33"/>
  <c r="D1128" i="33"/>
  <c r="B1128" i="33"/>
  <c r="U1127" i="33"/>
  <c r="E1127" i="33"/>
  <c r="D1127" i="33"/>
  <c r="B1127" i="33"/>
  <c r="U1126" i="33"/>
  <c r="E1126" i="33"/>
  <c r="D1126" i="33"/>
  <c r="B1126" i="33"/>
  <c r="U1125" i="33"/>
  <c r="E1125" i="33"/>
  <c r="D1125" i="33"/>
  <c r="B1125" i="33"/>
  <c r="U1124" i="33"/>
  <c r="E1124" i="33"/>
  <c r="D1124" i="33"/>
  <c r="B1124" i="33"/>
  <c r="U1123" i="33"/>
  <c r="E1123" i="33"/>
  <c r="D1123" i="33"/>
  <c r="B1123" i="33"/>
  <c r="U1122" i="33"/>
  <c r="E1122" i="33"/>
  <c r="D1122" i="33"/>
  <c r="B1122" i="33"/>
  <c r="U1121" i="33"/>
  <c r="E1121" i="33"/>
  <c r="D1121" i="33"/>
  <c r="B1121" i="33"/>
  <c r="U1120" i="33"/>
  <c r="E1120" i="33"/>
  <c r="D1120" i="33"/>
  <c r="B1120" i="33"/>
  <c r="U1119" i="33"/>
  <c r="E1119" i="33"/>
  <c r="D1119" i="33"/>
  <c r="B1119" i="33"/>
  <c r="U1118" i="33"/>
  <c r="E1118" i="33"/>
  <c r="D1118" i="33"/>
  <c r="B1118" i="33"/>
  <c r="U1117" i="33"/>
  <c r="E1117" i="33"/>
  <c r="D1117" i="33"/>
  <c r="B1117" i="33"/>
  <c r="U1116" i="33"/>
  <c r="E1116" i="33"/>
  <c r="D1116" i="33"/>
  <c r="B1116" i="33"/>
  <c r="U1115" i="33"/>
  <c r="E1115" i="33"/>
  <c r="D1115" i="33"/>
  <c r="B1115" i="33"/>
  <c r="U1114" i="33"/>
  <c r="Y27" i="1"/>
  <c r="P27" i="1"/>
  <c r="Q27" i="1"/>
  <c r="J1114" i="33" s="1"/>
  <c r="R27" i="1"/>
  <c r="E1114" i="33"/>
  <c r="D1114" i="33"/>
  <c r="B1114" i="33"/>
  <c r="U1113" i="33"/>
  <c r="E1113" i="33"/>
  <c r="D1113" i="33"/>
  <c r="B1113" i="33"/>
  <c r="U1112" i="33"/>
  <c r="E1112" i="33"/>
  <c r="D1112" i="33"/>
  <c r="B1112" i="33"/>
  <c r="U1111" i="33"/>
  <c r="E1111" i="33"/>
  <c r="D1111" i="33"/>
  <c r="B1111" i="33"/>
  <c r="U1110" i="33"/>
  <c r="E1110" i="33"/>
  <c r="D1110" i="33"/>
  <c r="B1110" i="33"/>
  <c r="U1109" i="33"/>
  <c r="E1109" i="33"/>
  <c r="D1109" i="33"/>
  <c r="B1109" i="33"/>
  <c r="U1108" i="33"/>
  <c r="E1108" i="33"/>
  <c r="D1108" i="33"/>
  <c r="B1108" i="33"/>
  <c r="U1107" i="33"/>
  <c r="E1107" i="33"/>
  <c r="D1107" i="33"/>
  <c r="B1107" i="33"/>
  <c r="E1106" i="33"/>
  <c r="D1106" i="33"/>
  <c r="B1106" i="33"/>
  <c r="E1105" i="33"/>
  <c r="D1105" i="33"/>
  <c r="B1105" i="33"/>
  <c r="E1104" i="33"/>
  <c r="D1104" i="33"/>
  <c r="B1104" i="33"/>
  <c r="E1103" i="33"/>
  <c r="D1103" i="33"/>
  <c r="B1103" i="33"/>
  <c r="E1102" i="33"/>
  <c r="D1102" i="33"/>
  <c r="B1102" i="33"/>
  <c r="E1101" i="33"/>
  <c r="D1101" i="33"/>
  <c r="B1101" i="33"/>
  <c r="E1100" i="33"/>
  <c r="D1100" i="33"/>
  <c r="B1100" i="33"/>
  <c r="E1099" i="33"/>
  <c r="D1099" i="33"/>
  <c r="B1099" i="33"/>
  <c r="E1098" i="33"/>
  <c r="D1098" i="33"/>
  <c r="B1098" i="33"/>
  <c r="E1097" i="33"/>
  <c r="D1097" i="33"/>
  <c r="B1097" i="33"/>
  <c r="U1096" i="33"/>
  <c r="B1096" i="33"/>
  <c r="U1095" i="33"/>
  <c r="B1095" i="33"/>
  <c r="U1094" i="33"/>
  <c r="B1094" i="33"/>
  <c r="U1093" i="33"/>
  <c r="B1093" i="33"/>
  <c r="U1092" i="33"/>
  <c r="B1092" i="33"/>
  <c r="U1091" i="33"/>
  <c r="B1091" i="33"/>
  <c r="U1090" i="33"/>
  <c r="B1090" i="33"/>
  <c r="U1089" i="33"/>
  <c r="B1089" i="33"/>
  <c r="B1088" i="33"/>
  <c r="U1087" i="33"/>
  <c r="B1087" i="33"/>
  <c r="U1086" i="33"/>
  <c r="B1086" i="33"/>
  <c r="U1085" i="33"/>
  <c r="B1085" i="33"/>
  <c r="U1084" i="33"/>
  <c r="B1084" i="33"/>
  <c r="U1083" i="33"/>
  <c r="B1083" i="33"/>
  <c r="U1082" i="33"/>
  <c r="B1082" i="33"/>
  <c r="U1081" i="33"/>
  <c r="B1081" i="33"/>
  <c r="U1080" i="33"/>
  <c r="B1080" i="33"/>
  <c r="U1079" i="33"/>
  <c r="B1079" i="33"/>
  <c r="U1078" i="33"/>
  <c r="B1078" i="33"/>
  <c r="U1077" i="33"/>
  <c r="B1077" i="33"/>
  <c r="U1076" i="33"/>
  <c r="B1076" i="33"/>
  <c r="U1075" i="33"/>
  <c r="B1075" i="33"/>
  <c r="U1074" i="33"/>
  <c r="B1074" i="33"/>
  <c r="U1073" i="33"/>
  <c r="B1073" i="33"/>
  <c r="U1072" i="33"/>
  <c r="B1072" i="33"/>
  <c r="U1071" i="33"/>
  <c r="B1071" i="33"/>
  <c r="U1070" i="33"/>
  <c r="B1070" i="33"/>
  <c r="U1069" i="33"/>
  <c r="B1069" i="33"/>
  <c r="U1068" i="33"/>
  <c r="B1068" i="33"/>
  <c r="U1067" i="33"/>
  <c r="B1067" i="33"/>
  <c r="B1066" i="33"/>
  <c r="B1065" i="33"/>
  <c r="B1064" i="33"/>
  <c r="E1063" i="33"/>
  <c r="D1063" i="33"/>
  <c r="B1063" i="33"/>
  <c r="E1062" i="33"/>
  <c r="D1062" i="33"/>
  <c r="B1062" i="33"/>
  <c r="E1061" i="33"/>
  <c r="D1061" i="33"/>
  <c r="B1061" i="33"/>
  <c r="E1060" i="33"/>
  <c r="D1060" i="33"/>
  <c r="B1060" i="33"/>
  <c r="E1059" i="33"/>
  <c r="D1059" i="33"/>
  <c r="B1059" i="33"/>
  <c r="B1058" i="33"/>
  <c r="B1057" i="33"/>
  <c r="B1056" i="33"/>
  <c r="B1055" i="33"/>
  <c r="B1054" i="33"/>
  <c r="B1053" i="33"/>
  <c r="B1052" i="33"/>
  <c r="B1051" i="33"/>
  <c r="B1050" i="33"/>
  <c r="B1049" i="33"/>
  <c r="B1048" i="33"/>
  <c r="B1047" i="33"/>
  <c r="B1046" i="33"/>
  <c r="B1045" i="33"/>
  <c r="B1044" i="33"/>
  <c r="B1043" i="33"/>
  <c r="B1042" i="33"/>
  <c r="B1041" i="33"/>
  <c r="B1040" i="33"/>
  <c r="B1039" i="33"/>
  <c r="B1038" i="33"/>
  <c r="B1037" i="33"/>
  <c r="B1036" i="33"/>
  <c r="B1035" i="33"/>
  <c r="B1034" i="33"/>
  <c r="B1033" i="33"/>
  <c r="B1032" i="33"/>
  <c r="B1031" i="33"/>
  <c r="B1030" i="33"/>
  <c r="B1029" i="33"/>
  <c r="B1028" i="33"/>
  <c r="B1027" i="33"/>
  <c r="E1026" i="33"/>
  <c r="D1026" i="33"/>
  <c r="B1026" i="33"/>
  <c r="E1025" i="33"/>
  <c r="D1025" i="33"/>
  <c r="B1025" i="33"/>
  <c r="E1024" i="33"/>
  <c r="D1024" i="33"/>
  <c r="B1024" i="33"/>
  <c r="B1023" i="33"/>
  <c r="B1022" i="33"/>
  <c r="B1021" i="33"/>
  <c r="B1020" i="33"/>
  <c r="B1019" i="33"/>
  <c r="B1018" i="33"/>
  <c r="B1017" i="33"/>
  <c r="B1016" i="33"/>
  <c r="B1015" i="33"/>
  <c r="B1014" i="33"/>
  <c r="B1013" i="33"/>
  <c r="E1012" i="33"/>
  <c r="D1012" i="33"/>
  <c r="B1012" i="33"/>
  <c r="E1011" i="33"/>
  <c r="D1011" i="33"/>
  <c r="B1011" i="33"/>
  <c r="E1010" i="33"/>
  <c r="D1010" i="33"/>
  <c r="B1010" i="33"/>
  <c r="E1009" i="33"/>
  <c r="D1009" i="33"/>
  <c r="B1009" i="33"/>
  <c r="E1008" i="33"/>
  <c r="D1008" i="33"/>
  <c r="B1008" i="33"/>
  <c r="E1007" i="33"/>
  <c r="D1007" i="33"/>
  <c r="B1007" i="33"/>
  <c r="E1006" i="33"/>
  <c r="D1006" i="33"/>
  <c r="B1006" i="33"/>
  <c r="E1005" i="33"/>
  <c r="D1005" i="33"/>
  <c r="B1005" i="33"/>
  <c r="E1004" i="33"/>
  <c r="D1004" i="33"/>
  <c r="B1004" i="33"/>
  <c r="E1003" i="33"/>
  <c r="D1003" i="33"/>
  <c r="B1003" i="33"/>
  <c r="E1002" i="33"/>
  <c r="D1002" i="33"/>
  <c r="B1002" i="33"/>
  <c r="E1001" i="33"/>
  <c r="D1001" i="33"/>
  <c r="B1001" i="33"/>
  <c r="E1000" i="33"/>
  <c r="D1000" i="33"/>
  <c r="B1000" i="33"/>
  <c r="E999" i="33"/>
  <c r="D999" i="33"/>
  <c r="B999" i="33"/>
  <c r="E998" i="33"/>
  <c r="D998" i="33"/>
  <c r="B998" i="33"/>
  <c r="E997" i="33"/>
  <c r="D997" i="33"/>
  <c r="B997" i="33"/>
  <c r="E996" i="33"/>
  <c r="D996" i="33"/>
  <c r="B996" i="33"/>
  <c r="B995" i="33"/>
  <c r="B994" i="33"/>
  <c r="B993" i="33"/>
  <c r="B992" i="33"/>
  <c r="B991" i="33"/>
  <c r="B990" i="33"/>
  <c r="B989" i="33"/>
  <c r="B988" i="33"/>
  <c r="B987" i="33"/>
  <c r="E986" i="33"/>
  <c r="D986" i="33"/>
  <c r="B986" i="33"/>
  <c r="E985" i="33"/>
  <c r="D985" i="33"/>
  <c r="B985" i="33"/>
  <c r="E984" i="33"/>
  <c r="D984" i="33"/>
  <c r="B984" i="33"/>
  <c r="E983" i="33"/>
  <c r="D983" i="33"/>
  <c r="B983" i="33"/>
  <c r="E982" i="33"/>
  <c r="D982" i="33"/>
  <c r="B982" i="33"/>
  <c r="E981" i="33"/>
  <c r="D981" i="33"/>
  <c r="B981" i="33"/>
  <c r="E980" i="33"/>
  <c r="D980" i="33"/>
  <c r="B980" i="33"/>
  <c r="E979" i="33"/>
  <c r="D979" i="33"/>
  <c r="B979" i="33"/>
  <c r="E978" i="33"/>
  <c r="D978" i="33"/>
  <c r="B978" i="33"/>
  <c r="E977" i="33"/>
  <c r="D977" i="33"/>
  <c r="B977" i="33"/>
  <c r="E976" i="33"/>
  <c r="D976" i="33"/>
  <c r="B976" i="33"/>
  <c r="E975" i="33"/>
  <c r="D975" i="33"/>
  <c r="B975" i="33"/>
  <c r="E974" i="33"/>
  <c r="D974" i="33"/>
  <c r="B974" i="33"/>
  <c r="E973" i="33"/>
  <c r="D973" i="33"/>
  <c r="B973" i="33"/>
  <c r="E972" i="33"/>
  <c r="D972" i="33"/>
  <c r="B972" i="33"/>
  <c r="B971" i="33"/>
  <c r="B970" i="33"/>
  <c r="B969" i="33"/>
  <c r="B968" i="33"/>
  <c r="E967" i="33"/>
  <c r="D967" i="33"/>
  <c r="B967" i="33"/>
  <c r="E966" i="33"/>
  <c r="D966" i="33"/>
  <c r="B966" i="33"/>
  <c r="E965" i="33"/>
  <c r="D965" i="33"/>
  <c r="B965" i="33"/>
  <c r="E964" i="33"/>
  <c r="D964" i="33"/>
  <c r="B964" i="33"/>
  <c r="E963" i="33"/>
  <c r="D963" i="33"/>
  <c r="B963" i="33"/>
  <c r="E962" i="33"/>
  <c r="D962" i="33"/>
  <c r="B962" i="33"/>
  <c r="E961" i="33"/>
  <c r="D961" i="33"/>
  <c r="B961" i="33"/>
  <c r="E960" i="33"/>
  <c r="D960" i="33"/>
  <c r="B960" i="33"/>
  <c r="E959" i="33"/>
  <c r="D959" i="33"/>
  <c r="B959" i="33"/>
  <c r="E958" i="33"/>
  <c r="D958" i="33"/>
  <c r="B958" i="33"/>
  <c r="E957" i="33"/>
  <c r="D957" i="33"/>
  <c r="B957" i="33"/>
  <c r="E956" i="33"/>
  <c r="D956" i="33"/>
  <c r="B956" i="33"/>
  <c r="E955" i="33"/>
  <c r="D955" i="33"/>
  <c r="B955" i="33"/>
  <c r="E954" i="33"/>
  <c r="D954" i="33"/>
  <c r="B954" i="33"/>
  <c r="E953" i="33"/>
  <c r="D953" i="33"/>
  <c r="B953" i="33"/>
  <c r="E952" i="33"/>
  <c r="D952" i="33"/>
  <c r="B952" i="33"/>
  <c r="E951" i="33"/>
  <c r="D951" i="33"/>
  <c r="B951" i="33"/>
  <c r="E950" i="33"/>
  <c r="D950" i="33"/>
  <c r="B950" i="33"/>
  <c r="E949" i="33"/>
  <c r="D949" i="33"/>
  <c r="B949" i="33"/>
  <c r="E948" i="33"/>
  <c r="D948" i="33"/>
  <c r="B948" i="33"/>
  <c r="E947" i="33"/>
  <c r="D947" i="33"/>
  <c r="B947" i="33"/>
  <c r="E946" i="33"/>
  <c r="D946" i="33"/>
  <c r="B946" i="33"/>
  <c r="E945" i="33"/>
  <c r="D945" i="33"/>
  <c r="B945" i="33"/>
  <c r="E944" i="33"/>
  <c r="D944" i="33"/>
  <c r="B944" i="33"/>
  <c r="E943" i="33"/>
  <c r="D943" i="33"/>
  <c r="B943" i="33"/>
  <c r="E942" i="33"/>
  <c r="D942" i="33"/>
  <c r="B942" i="33"/>
  <c r="E941" i="33"/>
  <c r="D941" i="33"/>
  <c r="B941" i="33"/>
  <c r="E940" i="33"/>
  <c r="D940" i="33"/>
  <c r="B940" i="33"/>
  <c r="E939" i="33"/>
  <c r="D939" i="33"/>
  <c r="B939" i="33"/>
  <c r="E938" i="33"/>
  <c r="D938" i="33"/>
  <c r="B938" i="33"/>
  <c r="E937" i="33"/>
  <c r="D937" i="33"/>
  <c r="B937" i="33"/>
  <c r="E936" i="33"/>
  <c r="D936" i="33"/>
  <c r="B936" i="33"/>
  <c r="E935" i="33"/>
  <c r="D935" i="33"/>
  <c r="B935" i="33"/>
  <c r="E934" i="33"/>
  <c r="D934" i="33"/>
  <c r="B934" i="33"/>
  <c r="E933" i="33"/>
  <c r="D933" i="33"/>
  <c r="B933" i="33"/>
  <c r="E932" i="33"/>
  <c r="D932" i="33"/>
  <c r="B932" i="33"/>
  <c r="E931" i="33"/>
  <c r="D931" i="33"/>
  <c r="B931" i="33"/>
  <c r="E930" i="33"/>
  <c r="D930" i="33"/>
  <c r="B930" i="33"/>
  <c r="E929" i="33"/>
  <c r="D929" i="33"/>
  <c r="B929" i="33"/>
  <c r="E928" i="33"/>
  <c r="D928" i="33"/>
  <c r="B928" i="33"/>
  <c r="E927" i="33"/>
  <c r="D927" i="33"/>
  <c r="B927" i="33"/>
  <c r="E926" i="33"/>
  <c r="D926" i="33"/>
  <c r="B926" i="33"/>
  <c r="E925" i="33"/>
  <c r="D925" i="33"/>
  <c r="B925" i="33"/>
  <c r="E924" i="33"/>
  <c r="D924" i="33"/>
  <c r="B924" i="33"/>
  <c r="E923" i="33"/>
  <c r="D923" i="33"/>
  <c r="B923" i="33"/>
  <c r="E922" i="33"/>
  <c r="D922" i="33"/>
  <c r="B922" i="33"/>
  <c r="E921" i="33"/>
  <c r="D921" i="33"/>
  <c r="B921" i="33"/>
  <c r="E920" i="33"/>
  <c r="D920" i="33"/>
  <c r="B920" i="33"/>
  <c r="E919" i="33"/>
  <c r="D919" i="33"/>
  <c r="B919" i="33"/>
  <c r="E918" i="33"/>
  <c r="D918" i="33"/>
  <c r="B918" i="33"/>
  <c r="E917" i="33"/>
  <c r="D917" i="33"/>
  <c r="B917" i="33"/>
  <c r="E916" i="33"/>
  <c r="D916" i="33"/>
  <c r="B916" i="33"/>
  <c r="B915" i="33"/>
  <c r="B914" i="33"/>
  <c r="B913" i="33"/>
  <c r="B912" i="33"/>
  <c r="B911" i="33"/>
  <c r="B910" i="33"/>
  <c r="B909" i="33"/>
  <c r="B908" i="33"/>
  <c r="B907" i="33"/>
  <c r="B906" i="33"/>
  <c r="B905" i="33"/>
  <c r="B904" i="33"/>
  <c r="E903" i="33"/>
  <c r="D903" i="33"/>
  <c r="B903" i="33"/>
  <c r="B902" i="33"/>
  <c r="B901" i="33"/>
  <c r="B900" i="33"/>
  <c r="B899" i="33"/>
  <c r="B898" i="33"/>
  <c r="E897" i="33"/>
  <c r="D897" i="33"/>
  <c r="B897" i="33"/>
  <c r="E896" i="33"/>
  <c r="D896" i="33"/>
  <c r="B896" i="33"/>
  <c r="E895" i="33"/>
  <c r="D895" i="33"/>
  <c r="B895" i="33"/>
  <c r="E894" i="33"/>
  <c r="D894" i="33"/>
  <c r="B894" i="33"/>
  <c r="E893" i="33"/>
  <c r="D893" i="33"/>
  <c r="B893" i="33"/>
  <c r="E892" i="33"/>
  <c r="D892" i="33"/>
  <c r="B892" i="33"/>
  <c r="E891" i="33"/>
  <c r="D891" i="33"/>
  <c r="B891" i="33"/>
  <c r="E890" i="33"/>
  <c r="D890" i="33"/>
  <c r="B890" i="33"/>
  <c r="E889" i="33"/>
  <c r="D889" i="33"/>
  <c r="B889" i="33"/>
  <c r="E888" i="33"/>
  <c r="D888" i="33"/>
  <c r="B888" i="33"/>
  <c r="E887" i="33"/>
  <c r="D887" i="33"/>
  <c r="B887" i="33"/>
  <c r="E886" i="33"/>
  <c r="D886" i="33"/>
  <c r="B886" i="33"/>
  <c r="E885" i="33"/>
  <c r="D885" i="33"/>
  <c r="B885" i="33"/>
  <c r="E884" i="33"/>
  <c r="D884" i="33"/>
  <c r="B884" i="33"/>
  <c r="E883" i="33"/>
  <c r="D883" i="33"/>
  <c r="B883" i="33"/>
  <c r="E882" i="33"/>
  <c r="D882" i="33"/>
  <c r="B882" i="33"/>
  <c r="E881" i="33"/>
  <c r="D881" i="33"/>
  <c r="B881" i="33"/>
  <c r="E880" i="33"/>
  <c r="D880" i="33"/>
  <c r="B880" i="33"/>
  <c r="E879" i="33"/>
  <c r="D879" i="33"/>
  <c r="B879" i="33"/>
  <c r="E878" i="33"/>
  <c r="D878" i="33"/>
  <c r="B878" i="33"/>
  <c r="E877" i="33"/>
  <c r="D877" i="33"/>
  <c r="B877" i="33"/>
  <c r="E876" i="33"/>
  <c r="D876" i="33"/>
  <c r="B876" i="33"/>
  <c r="E875" i="33"/>
  <c r="D875" i="33"/>
  <c r="B875" i="33"/>
  <c r="E874" i="33"/>
  <c r="D874" i="33"/>
  <c r="B874" i="33"/>
  <c r="E873" i="33"/>
  <c r="D873" i="33"/>
  <c r="B873" i="33"/>
  <c r="E872" i="33"/>
  <c r="D872" i="33"/>
  <c r="B872" i="33"/>
  <c r="E871" i="33"/>
  <c r="D871" i="33"/>
  <c r="B871" i="33"/>
  <c r="E870" i="33"/>
  <c r="D870" i="33"/>
  <c r="B870" i="33"/>
  <c r="E869" i="33"/>
  <c r="D869" i="33"/>
  <c r="B869" i="33"/>
  <c r="E868" i="33"/>
  <c r="D868" i="33"/>
  <c r="B868" i="33"/>
  <c r="E867" i="33"/>
  <c r="D867" i="33"/>
  <c r="B867" i="33"/>
  <c r="E866" i="33"/>
  <c r="D866" i="33"/>
  <c r="B866" i="33"/>
  <c r="E865" i="33"/>
  <c r="D865" i="33"/>
  <c r="B865" i="33"/>
  <c r="E864" i="33"/>
  <c r="D864" i="33"/>
  <c r="B864" i="33"/>
  <c r="E863" i="33"/>
  <c r="D863" i="33"/>
  <c r="B863" i="33"/>
  <c r="B862" i="33"/>
  <c r="B861" i="33"/>
  <c r="B860" i="33"/>
  <c r="B859" i="33"/>
  <c r="B858" i="33"/>
  <c r="E857" i="33"/>
  <c r="D857" i="33"/>
  <c r="B857" i="33"/>
  <c r="E856" i="33"/>
  <c r="D856" i="33"/>
  <c r="B856" i="33"/>
  <c r="E855" i="33"/>
  <c r="D855" i="33"/>
  <c r="B855" i="33"/>
  <c r="E854" i="33"/>
  <c r="D854" i="33"/>
  <c r="B854" i="33"/>
  <c r="E853" i="33"/>
  <c r="D853" i="33"/>
  <c r="B853" i="33"/>
  <c r="E852" i="33"/>
  <c r="D852" i="33"/>
  <c r="B852" i="33"/>
  <c r="E851" i="33"/>
  <c r="D851" i="33"/>
  <c r="B851" i="33"/>
  <c r="E850" i="33"/>
  <c r="D850" i="33"/>
  <c r="B850" i="33"/>
  <c r="E849" i="33"/>
  <c r="D849" i="33"/>
  <c r="B849" i="33"/>
  <c r="E848" i="33"/>
  <c r="D848" i="33"/>
  <c r="B848" i="33"/>
  <c r="E847" i="33"/>
  <c r="D847" i="33"/>
  <c r="B847" i="33"/>
  <c r="E846" i="33"/>
  <c r="D846" i="33"/>
  <c r="B846" i="33"/>
  <c r="E845" i="33"/>
  <c r="D845" i="33"/>
  <c r="B845" i="33"/>
  <c r="E844" i="33"/>
  <c r="D844" i="33"/>
  <c r="B844" i="33"/>
  <c r="E843" i="33"/>
  <c r="D843" i="33"/>
  <c r="B843" i="33"/>
  <c r="E842" i="33"/>
  <c r="D842" i="33"/>
  <c r="B842" i="33"/>
  <c r="E841" i="33"/>
  <c r="D841" i="33"/>
  <c r="B841" i="33"/>
  <c r="E840" i="33"/>
  <c r="D840" i="33"/>
  <c r="B840" i="33"/>
  <c r="E839" i="33"/>
  <c r="D839" i="33"/>
  <c r="B839" i="33"/>
  <c r="E838" i="33"/>
  <c r="D838" i="33"/>
  <c r="B838" i="33"/>
  <c r="E837" i="33"/>
  <c r="D837" i="33"/>
  <c r="B837" i="33"/>
  <c r="E836" i="33"/>
  <c r="D836" i="33"/>
  <c r="B836" i="33"/>
  <c r="E835" i="33"/>
  <c r="D835" i="33"/>
  <c r="B835" i="33"/>
  <c r="E834" i="33"/>
  <c r="D834" i="33"/>
  <c r="B834" i="33"/>
  <c r="E833" i="33"/>
  <c r="D833" i="33"/>
  <c r="B833" i="33"/>
  <c r="E832" i="33"/>
  <c r="D832" i="33"/>
  <c r="B832" i="33"/>
  <c r="E831" i="33"/>
  <c r="D831" i="33"/>
  <c r="B831" i="33"/>
  <c r="E830" i="33"/>
  <c r="D830" i="33"/>
  <c r="B830" i="33"/>
  <c r="E829" i="33"/>
  <c r="D829" i="33"/>
  <c r="B829" i="33"/>
  <c r="E828" i="33"/>
  <c r="D828" i="33"/>
  <c r="B828" i="33"/>
  <c r="E827" i="33"/>
  <c r="D827" i="33"/>
  <c r="B827" i="33"/>
  <c r="E826" i="33"/>
  <c r="D826" i="33"/>
  <c r="B826" i="33"/>
  <c r="E825" i="33"/>
  <c r="D825" i="33"/>
  <c r="B825" i="33"/>
  <c r="E824" i="33"/>
  <c r="D824" i="33"/>
  <c r="B824" i="33"/>
  <c r="E823" i="33"/>
  <c r="D823" i="33"/>
  <c r="B823" i="33"/>
  <c r="E822" i="33"/>
  <c r="D822" i="33"/>
  <c r="B822" i="33"/>
  <c r="E821" i="33"/>
  <c r="D821" i="33"/>
  <c r="B821" i="33"/>
  <c r="E820" i="33"/>
  <c r="D820" i="33"/>
  <c r="B820" i="33"/>
  <c r="E819" i="33"/>
  <c r="D819" i="33"/>
  <c r="B819" i="33"/>
  <c r="E818" i="33"/>
  <c r="D818" i="33"/>
  <c r="B818" i="33"/>
  <c r="E817" i="33"/>
  <c r="D817" i="33"/>
  <c r="B817" i="33"/>
  <c r="E816" i="33"/>
  <c r="D816" i="33"/>
  <c r="B816" i="33"/>
  <c r="E815" i="33"/>
  <c r="D815" i="33"/>
  <c r="B815" i="33"/>
  <c r="E814" i="33"/>
  <c r="D814" i="33"/>
  <c r="B814" i="33"/>
  <c r="E813" i="33"/>
  <c r="D813" i="33"/>
  <c r="B813" i="33"/>
  <c r="B812" i="33"/>
  <c r="E811" i="33"/>
  <c r="D811" i="33"/>
  <c r="B811" i="33"/>
  <c r="E810" i="33"/>
  <c r="D810" i="33"/>
  <c r="B810" i="33"/>
  <c r="E809" i="33"/>
  <c r="D809" i="33"/>
  <c r="B809" i="33"/>
  <c r="E808" i="33"/>
  <c r="D808" i="33"/>
  <c r="B808" i="33"/>
  <c r="E807" i="33"/>
  <c r="D807" i="33"/>
  <c r="B807" i="33"/>
  <c r="E806" i="33"/>
  <c r="D806" i="33"/>
  <c r="B806" i="33"/>
  <c r="E805" i="33"/>
  <c r="D805" i="33"/>
  <c r="B805" i="33"/>
  <c r="E804" i="33"/>
  <c r="D804" i="33"/>
  <c r="B804" i="33"/>
  <c r="E803" i="33"/>
  <c r="D803" i="33"/>
  <c r="B803" i="33"/>
  <c r="E802" i="33"/>
  <c r="D802" i="33"/>
  <c r="B802" i="33"/>
  <c r="E801" i="33"/>
  <c r="D801" i="33"/>
  <c r="B801" i="33"/>
  <c r="E800" i="33"/>
  <c r="D800" i="33"/>
  <c r="B800" i="33"/>
  <c r="E799" i="33"/>
  <c r="D799" i="33"/>
  <c r="B799" i="33"/>
  <c r="E798" i="33"/>
  <c r="D798" i="33"/>
  <c r="B798" i="33"/>
  <c r="E797" i="33"/>
  <c r="D797" i="33"/>
  <c r="B797" i="33"/>
  <c r="E796" i="33"/>
  <c r="D796" i="33"/>
  <c r="B796" i="33"/>
  <c r="E795" i="33"/>
  <c r="D795" i="33"/>
  <c r="B795" i="33"/>
  <c r="E794" i="33"/>
  <c r="D794" i="33"/>
  <c r="B794" i="33"/>
  <c r="E793" i="33"/>
  <c r="D793" i="33"/>
  <c r="B793" i="33"/>
  <c r="E792" i="33"/>
  <c r="D792" i="33"/>
  <c r="B792" i="33"/>
  <c r="E791" i="33"/>
  <c r="D791" i="33"/>
  <c r="B791" i="33"/>
  <c r="E790" i="33"/>
  <c r="D790" i="33"/>
  <c r="B790" i="33"/>
  <c r="E789" i="33"/>
  <c r="D789" i="33"/>
  <c r="B789" i="33"/>
  <c r="E788" i="33"/>
  <c r="D788" i="33"/>
  <c r="B788" i="33"/>
  <c r="E787" i="33"/>
  <c r="D787" i="33"/>
  <c r="B787" i="33"/>
  <c r="E786" i="33"/>
  <c r="D786" i="33"/>
  <c r="B786" i="33"/>
  <c r="E785" i="33"/>
  <c r="D785" i="33"/>
  <c r="B785" i="33"/>
  <c r="E784" i="33"/>
  <c r="D784" i="33"/>
  <c r="B784" i="33"/>
  <c r="E783" i="33"/>
  <c r="D783" i="33"/>
  <c r="B783" i="33"/>
  <c r="E782" i="33"/>
  <c r="D782" i="33"/>
  <c r="B782" i="33"/>
  <c r="E781" i="33"/>
  <c r="D781" i="33"/>
  <c r="B781" i="33"/>
  <c r="E780" i="33"/>
  <c r="D780" i="33"/>
  <c r="B780" i="33"/>
  <c r="E779" i="33"/>
  <c r="D779" i="33"/>
  <c r="B779" i="33"/>
  <c r="E778" i="33"/>
  <c r="D778" i="33"/>
  <c r="B778" i="33"/>
  <c r="E777" i="33"/>
  <c r="D777" i="33"/>
  <c r="B777" i="33"/>
  <c r="B776" i="33"/>
  <c r="B775" i="33"/>
  <c r="B774" i="33"/>
  <c r="B773" i="33"/>
  <c r="B772" i="33"/>
  <c r="B771" i="33"/>
  <c r="E770" i="33"/>
  <c r="D770" i="33"/>
  <c r="B770" i="33"/>
  <c r="E769" i="33"/>
  <c r="D769" i="33"/>
  <c r="B769" i="33"/>
  <c r="E768" i="33"/>
  <c r="D768" i="33"/>
  <c r="B768" i="33"/>
  <c r="E767" i="33"/>
  <c r="D767" i="33"/>
  <c r="B767" i="33"/>
  <c r="E766" i="33"/>
  <c r="D766" i="33"/>
  <c r="B766" i="33"/>
  <c r="E765" i="33"/>
  <c r="D765" i="33"/>
  <c r="B765" i="33"/>
  <c r="E764" i="33"/>
  <c r="D764" i="33"/>
  <c r="B764" i="33"/>
  <c r="E763" i="33"/>
  <c r="D763" i="33"/>
  <c r="B763" i="33"/>
  <c r="E762" i="33"/>
  <c r="D762" i="33"/>
  <c r="B762" i="33"/>
  <c r="E761" i="33"/>
  <c r="D761" i="33"/>
  <c r="B761" i="33"/>
  <c r="E760" i="33"/>
  <c r="D760" i="33"/>
  <c r="B760" i="33"/>
  <c r="E759" i="33"/>
  <c r="D759" i="33"/>
  <c r="B759" i="33"/>
  <c r="E758" i="33"/>
  <c r="D758" i="33"/>
  <c r="B758" i="33"/>
  <c r="E757" i="33"/>
  <c r="D757" i="33"/>
  <c r="B757" i="33"/>
  <c r="E756" i="33"/>
  <c r="D756" i="33"/>
  <c r="B756" i="33"/>
  <c r="E755" i="33"/>
  <c r="D755" i="33"/>
  <c r="B755" i="33"/>
  <c r="E754" i="33"/>
  <c r="D754" i="33"/>
  <c r="B754" i="33"/>
  <c r="E753" i="33"/>
  <c r="D753" i="33"/>
  <c r="B753" i="33"/>
  <c r="E752" i="33"/>
  <c r="D752" i="33"/>
  <c r="B752" i="33"/>
  <c r="E751" i="33"/>
  <c r="D751" i="33"/>
  <c r="B751" i="33"/>
  <c r="E750" i="33"/>
  <c r="D750" i="33"/>
  <c r="B750" i="33"/>
  <c r="E749" i="33"/>
  <c r="D749" i="33"/>
  <c r="B749" i="33"/>
  <c r="E748" i="33"/>
  <c r="D748" i="33"/>
  <c r="B748" i="33"/>
  <c r="E747" i="33"/>
  <c r="D747" i="33"/>
  <c r="B747" i="33"/>
  <c r="E746" i="33"/>
  <c r="D746" i="33"/>
  <c r="B746" i="33"/>
  <c r="E745" i="33"/>
  <c r="D745" i="33"/>
  <c r="B745" i="33"/>
  <c r="E744" i="33"/>
  <c r="D744" i="33"/>
  <c r="B744" i="33"/>
  <c r="E743" i="33"/>
  <c r="D743" i="33"/>
  <c r="B743" i="33"/>
  <c r="E742" i="33"/>
  <c r="D742" i="33"/>
  <c r="B742" i="33"/>
  <c r="E741" i="33"/>
  <c r="D741" i="33"/>
  <c r="B741" i="33"/>
  <c r="E740" i="33"/>
  <c r="D740" i="33"/>
  <c r="B740" i="33"/>
  <c r="E739" i="33"/>
  <c r="D739" i="33"/>
  <c r="B739" i="33"/>
  <c r="E738" i="33"/>
  <c r="D738" i="33"/>
  <c r="B738" i="33"/>
  <c r="E737" i="33"/>
  <c r="D737" i="33"/>
  <c r="B737" i="33"/>
  <c r="E736" i="33"/>
  <c r="D736" i="33"/>
  <c r="B736" i="33"/>
  <c r="E735" i="33"/>
  <c r="D735" i="33"/>
  <c r="B735" i="33"/>
  <c r="B734" i="33"/>
  <c r="B733" i="33"/>
  <c r="B732" i="33"/>
  <c r="B731" i="33"/>
  <c r="B730" i="33"/>
  <c r="B729" i="33"/>
  <c r="E728" i="33"/>
  <c r="D728" i="33"/>
  <c r="B728" i="33"/>
  <c r="E727" i="33"/>
  <c r="D727" i="33"/>
  <c r="B727" i="33"/>
  <c r="E726" i="33"/>
  <c r="D726" i="33"/>
  <c r="B726" i="33"/>
  <c r="E725" i="33"/>
  <c r="D725" i="33"/>
  <c r="B725" i="33"/>
  <c r="E724" i="33"/>
  <c r="D724" i="33"/>
  <c r="B724" i="33"/>
  <c r="E723" i="33"/>
  <c r="D723" i="33"/>
  <c r="B723" i="33"/>
  <c r="E722" i="33"/>
  <c r="D722" i="33"/>
  <c r="B722" i="33"/>
  <c r="E721" i="33"/>
  <c r="D721" i="33"/>
  <c r="B721" i="33"/>
  <c r="E720" i="33"/>
  <c r="D720" i="33"/>
  <c r="B720" i="33"/>
  <c r="E719" i="33"/>
  <c r="D719" i="33"/>
  <c r="B719" i="33"/>
  <c r="E718" i="33"/>
  <c r="D718" i="33"/>
  <c r="B718" i="33"/>
  <c r="E717" i="33"/>
  <c r="D717" i="33"/>
  <c r="B717" i="33"/>
  <c r="E716" i="33"/>
  <c r="D716" i="33"/>
  <c r="B716" i="33"/>
  <c r="B715" i="33"/>
  <c r="B714" i="33"/>
  <c r="B713" i="33"/>
  <c r="B712" i="33"/>
  <c r="E711" i="33"/>
  <c r="D711" i="33"/>
  <c r="B711" i="33"/>
  <c r="E710" i="33"/>
  <c r="D710" i="33"/>
  <c r="B710" i="33"/>
  <c r="E709" i="33"/>
  <c r="D709" i="33"/>
  <c r="B709" i="33"/>
  <c r="E708" i="33"/>
  <c r="D708" i="33"/>
  <c r="B708" i="33"/>
  <c r="E707" i="33"/>
  <c r="D707" i="33"/>
  <c r="B707" i="33"/>
  <c r="E706" i="33"/>
  <c r="D706" i="33"/>
  <c r="B706" i="33"/>
  <c r="E705" i="33"/>
  <c r="D705" i="33"/>
  <c r="B705" i="33"/>
  <c r="E704" i="33"/>
  <c r="D704" i="33"/>
  <c r="B704" i="33"/>
  <c r="E703" i="33"/>
  <c r="D703" i="33"/>
  <c r="B703" i="33"/>
  <c r="E702" i="33"/>
  <c r="D702" i="33"/>
  <c r="B702" i="33"/>
  <c r="E701" i="33"/>
  <c r="D701" i="33"/>
  <c r="B701" i="33"/>
  <c r="E700" i="33"/>
  <c r="D700" i="33"/>
  <c r="B700" i="33"/>
  <c r="E699" i="33"/>
  <c r="D699" i="33"/>
  <c r="B699" i="33"/>
  <c r="E698" i="33"/>
  <c r="D698" i="33"/>
  <c r="B698" i="33"/>
  <c r="E697" i="33"/>
  <c r="D697" i="33"/>
  <c r="B697" i="33"/>
  <c r="E696" i="33"/>
  <c r="D696" i="33"/>
  <c r="B696" i="33"/>
  <c r="E695" i="33"/>
  <c r="D695" i="33"/>
  <c r="B695" i="33"/>
  <c r="E694" i="33"/>
  <c r="D694" i="33"/>
  <c r="B694" i="33"/>
  <c r="E693" i="33"/>
  <c r="D693" i="33"/>
  <c r="B693" i="33"/>
  <c r="E692" i="33"/>
  <c r="D692" i="33"/>
  <c r="B692" i="33"/>
  <c r="E691" i="33"/>
  <c r="D691" i="33"/>
  <c r="B691" i="33"/>
  <c r="E690" i="33"/>
  <c r="D690" i="33"/>
  <c r="B690" i="33"/>
  <c r="B689" i="33"/>
  <c r="B688" i="33"/>
  <c r="B687" i="33"/>
  <c r="B686" i="33"/>
  <c r="B685" i="33"/>
  <c r="E684" i="33"/>
  <c r="B684" i="33"/>
  <c r="E683" i="33"/>
  <c r="B683" i="33"/>
  <c r="E682" i="33"/>
  <c r="D682" i="33"/>
  <c r="B682" i="33"/>
  <c r="E681" i="33"/>
  <c r="D681" i="33"/>
  <c r="B681" i="33"/>
  <c r="E680" i="33"/>
  <c r="D680" i="33"/>
  <c r="B680" i="33"/>
  <c r="E679" i="33"/>
  <c r="D679" i="33"/>
  <c r="B679" i="33"/>
  <c r="E678" i="33"/>
  <c r="D678" i="33"/>
  <c r="B678" i="33"/>
  <c r="E677" i="33"/>
  <c r="D677" i="33"/>
  <c r="B677" i="33"/>
  <c r="E676" i="33"/>
  <c r="D676" i="33"/>
  <c r="B676" i="33"/>
  <c r="E675" i="33"/>
  <c r="D675" i="33"/>
  <c r="B675" i="33"/>
  <c r="E674" i="33"/>
  <c r="D674" i="33"/>
  <c r="B674" i="33"/>
  <c r="E673" i="33"/>
  <c r="D673" i="33"/>
  <c r="B673" i="33"/>
  <c r="E672" i="33"/>
  <c r="D672" i="33"/>
  <c r="B672" i="33"/>
  <c r="B671" i="33"/>
  <c r="B670" i="33"/>
  <c r="B669" i="33"/>
  <c r="B668" i="33"/>
  <c r="B667" i="33"/>
  <c r="B666" i="33"/>
  <c r="B665" i="33"/>
  <c r="B664" i="33"/>
  <c r="B663" i="33"/>
  <c r="B662" i="33"/>
  <c r="B661" i="33"/>
  <c r="B660" i="33"/>
  <c r="B659" i="33"/>
  <c r="B658" i="33"/>
  <c r="B657" i="33"/>
  <c r="B656" i="33"/>
  <c r="B655" i="33"/>
  <c r="B654" i="33"/>
  <c r="B653" i="33"/>
  <c r="B652" i="33"/>
  <c r="B651" i="33"/>
  <c r="B650" i="33"/>
  <c r="B649" i="33"/>
  <c r="E648" i="33"/>
  <c r="D648" i="33"/>
  <c r="B648" i="33"/>
  <c r="E647" i="33"/>
  <c r="D647" i="33"/>
  <c r="B647" i="33"/>
  <c r="E646" i="33"/>
  <c r="D646" i="33"/>
  <c r="B646" i="33"/>
  <c r="B645" i="33"/>
  <c r="B644" i="33"/>
  <c r="B643" i="33"/>
  <c r="B642" i="33"/>
  <c r="B641" i="33"/>
  <c r="B640" i="33"/>
  <c r="B639" i="33"/>
  <c r="B638" i="33"/>
  <c r="B637" i="33"/>
  <c r="B636" i="33"/>
  <c r="B635" i="33"/>
  <c r="B634" i="33"/>
  <c r="B633" i="33"/>
  <c r="B632" i="33"/>
  <c r="B631" i="33"/>
  <c r="B630" i="33"/>
  <c r="B629" i="33"/>
  <c r="B628" i="33"/>
  <c r="E627" i="33"/>
  <c r="D627" i="33"/>
  <c r="B627" i="33"/>
  <c r="E626" i="33"/>
  <c r="D626" i="33"/>
  <c r="B626" i="33"/>
  <c r="E625" i="33"/>
  <c r="D625" i="33"/>
  <c r="B625" i="33"/>
  <c r="E624" i="33"/>
  <c r="D624" i="33"/>
  <c r="B624" i="33"/>
  <c r="E623" i="33"/>
  <c r="D623" i="33"/>
  <c r="B623" i="33"/>
  <c r="E622" i="33"/>
  <c r="D622" i="33"/>
  <c r="B622" i="33"/>
  <c r="E621" i="33"/>
  <c r="D621" i="33"/>
  <c r="B621" i="33"/>
  <c r="E620" i="33"/>
  <c r="D620" i="33"/>
  <c r="B620" i="33"/>
  <c r="E619" i="33"/>
  <c r="D619" i="33"/>
  <c r="B619" i="33"/>
  <c r="E618" i="33"/>
  <c r="D618" i="33"/>
  <c r="B618" i="33"/>
  <c r="E617" i="33"/>
  <c r="D617" i="33"/>
  <c r="B617" i="33"/>
  <c r="B616" i="33"/>
  <c r="B615" i="33"/>
  <c r="B614" i="33"/>
  <c r="B613" i="33"/>
  <c r="E612" i="33"/>
  <c r="D612" i="33"/>
  <c r="B612" i="33"/>
  <c r="E611" i="33"/>
  <c r="D611" i="33"/>
  <c r="B611" i="33"/>
  <c r="E610" i="33"/>
  <c r="D610" i="33"/>
  <c r="B610" i="33"/>
  <c r="E609" i="33"/>
  <c r="D609" i="33"/>
  <c r="B609" i="33"/>
  <c r="E608" i="33"/>
  <c r="D608" i="33"/>
  <c r="B608" i="33"/>
  <c r="E607" i="33"/>
  <c r="D607" i="33"/>
  <c r="B607" i="33"/>
  <c r="E606" i="33"/>
  <c r="D606" i="33"/>
  <c r="B606" i="33"/>
  <c r="E605" i="33"/>
  <c r="D605" i="33"/>
  <c r="B605" i="33"/>
  <c r="E604" i="33"/>
  <c r="D604" i="33"/>
  <c r="B604" i="33"/>
  <c r="E603" i="33"/>
  <c r="D603" i="33"/>
  <c r="B603" i="33"/>
  <c r="E602" i="33"/>
  <c r="D602" i="33"/>
  <c r="B602" i="33"/>
  <c r="B601" i="33"/>
  <c r="B600" i="33"/>
  <c r="E599" i="33"/>
  <c r="D599" i="33"/>
  <c r="B599" i="33"/>
  <c r="E598" i="33"/>
  <c r="D598" i="33"/>
  <c r="B598" i="33"/>
  <c r="E597" i="33"/>
  <c r="D597" i="33"/>
  <c r="B597" i="33"/>
  <c r="E596" i="33"/>
  <c r="D596" i="33"/>
  <c r="B596" i="33"/>
  <c r="E595" i="33"/>
  <c r="D595" i="33"/>
  <c r="B595" i="33"/>
  <c r="E594" i="33"/>
  <c r="D594" i="33"/>
  <c r="B594" i="33"/>
  <c r="E593" i="33"/>
  <c r="D593" i="33"/>
  <c r="B593" i="33"/>
  <c r="B592" i="33"/>
  <c r="B591" i="33"/>
  <c r="B590" i="33"/>
  <c r="B589" i="33"/>
  <c r="B588" i="33"/>
  <c r="B587" i="33"/>
  <c r="E586" i="33"/>
  <c r="D586" i="33"/>
  <c r="B586" i="33"/>
  <c r="E585" i="33"/>
  <c r="D585" i="33"/>
  <c r="B585" i="33"/>
  <c r="E584" i="33"/>
  <c r="D584" i="33"/>
  <c r="B584" i="33"/>
  <c r="E583" i="33"/>
  <c r="D583" i="33"/>
  <c r="B583" i="33"/>
  <c r="E582" i="33"/>
  <c r="D582" i="33"/>
  <c r="B582" i="33"/>
  <c r="E581" i="33"/>
  <c r="D581" i="33"/>
  <c r="B581" i="33"/>
  <c r="E580" i="33"/>
  <c r="D580" i="33"/>
  <c r="B580" i="33"/>
  <c r="E579" i="33"/>
  <c r="D579" i="33"/>
  <c r="B579" i="33"/>
  <c r="E578" i="33"/>
  <c r="D578" i="33"/>
  <c r="B578" i="33"/>
  <c r="E577" i="33"/>
  <c r="D577" i="33"/>
  <c r="B577" i="33"/>
  <c r="E576" i="33"/>
  <c r="D576" i="33"/>
  <c r="B576" i="33"/>
  <c r="B575" i="33"/>
  <c r="B574" i="33"/>
  <c r="B573" i="33"/>
  <c r="B572" i="33"/>
  <c r="E571" i="33"/>
  <c r="D571" i="33"/>
  <c r="B571" i="33"/>
  <c r="E570" i="33"/>
  <c r="D570" i="33"/>
  <c r="B570" i="33"/>
  <c r="E569" i="33"/>
  <c r="D569" i="33"/>
  <c r="B569" i="33"/>
  <c r="E568" i="33"/>
  <c r="D568" i="33"/>
  <c r="B568" i="33"/>
  <c r="E567" i="33"/>
  <c r="D567" i="33"/>
  <c r="B567" i="33"/>
  <c r="E566" i="33"/>
  <c r="D566" i="33"/>
  <c r="B566" i="33"/>
  <c r="E565" i="33"/>
  <c r="D565" i="33"/>
  <c r="B565" i="33"/>
  <c r="E564" i="33"/>
  <c r="D564" i="33"/>
  <c r="B564" i="33"/>
  <c r="E563" i="33"/>
  <c r="D563" i="33"/>
  <c r="B563" i="33"/>
  <c r="E562" i="33"/>
  <c r="D562" i="33"/>
  <c r="B562" i="33"/>
  <c r="E561" i="33"/>
  <c r="D561" i="33"/>
  <c r="B561" i="33"/>
  <c r="E560" i="33"/>
  <c r="D560" i="33"/>
  <c r="B560" i="33"/>
  <c r="E559" i="33"/>
  <c r="D559" i="33"/>
  <c r="B559" i="33"/>
  <c r="E558" i="33"/>
  <c r="D558" i="33"/>
  <c r="B558" i="33"/>
  <c r="E557" i="33"/>
  <c r="D557" i="33"/>
  <c r="B557" i="33"/>
  <c r="E556" i="33"/>
  <c r="D556" i="33"/>
  <c r="B556" i="33"/>
  <c r="E555" i="33"/>
  <c r="D555" i="33"/>
  <c r="B555" i="33"/>
  <c r="E554" i="33"/>
  <c r="D554" i="33"/>
  <c r="B554" i="33"/>
  <c r="E553" i="33"/>
  <c r="D553" i="33"/>
  <c r="B553" i="33"/>
  <c r="E552" i="33"/>
  <c r="D552" i="33"/>
  <c r="B552" i="33"/>
  <c r="E551" i="33"/>
  <c r="D551" i="33"/>
  <c r="B551" i="33"/>
  <c r="E550" i="33"/>
  <c r="D550" i="33"/>
  <c r="B550" i="33"/>
  <c r="E549" i="33"/>
  <c r="D549" i="33"/>
  <c r="B549" i="33"/>
  <c r="E548" i="33"/>
  <c r="D548" i="33"/>
  <c r="B548" i="33"/>
  <c r="E547" i="33"/>
  <c r="D547" i="33"/>
  <c r="B547" i="33"/>
  <c r="E546" i="33"/>
  <c r="D546" i="33"/>
  <c r="B546" i="33"/>
  <c r="E545" i="33"/>
  <c r="D545" i="33"/>
  <c r="B545" i="33"/>
  <c r="E544" i="33"/>
  <c r="D544" i="33"/>
  <c r="B544" i="33"/>
  <c r="E543" i="33"/>
  <c r="D543" i="33"/>
  <c r="B543" i="33"/>
  <c r="E542" i="33"/>
  <c r="D542" i="33"/>
  <c r="B542" i="33"/>
  <c r="E541" i="33"/>
  <c r="D541" i="33"/>
  <c r="B541" i="33"/>
  <c r="E540" i="33"/>
  <c r="D540" i="33"/>
  <c r="B540" i="33"/>
  <c r="E539" i="33"/>
  <c r="D539" i="33"/>
  <c r="B539" i="33"/>
  <c r="E538" i="33"/>
  <c r="D538" i="33"/>
  <c r="B538" i="33"/>
  <c r="E537" i="33"/>
  <c r="D537" i="33"/>
  <c r="B537" i="33"/>
  <c r="E536" i="33"/>
  <c r="D536" i="33"/>
  <c r="B536" i="33"/>
  <c r="E535" i="33"/>
  <c r="D535" i="33"/>
  <c r="B535" i="33"/>
  <c r="E534" i="33"/>
  <c r="D534" i="33"/>
  <c r="B534" i="33"/>
  <c r="E533" i="33"/>
  <c r="D533" i="33"/>
  <c r="B533" i="33"/>
  <c r="E532" i="33"/>
  <c r="D532" i="33"/>
  <c r="B532" i="33"/>
  <c r="E531" i="33"/>
  <c r="D531" i="33"/>
  <c r="B531" i="33"/>
  <c r="E530" i="33"/>
  <c r="D530" i="33"/>
  <c r="B530" i="33"/>
  <c r="E529" i="33"/>
  <c r="D529" i="33"/>
  <c r="B529" i="33"/>
  <c r="E528" i="33"/>
  <c r="D528" i="33"/>
  <c r="B528" i="33"/>
  <c r="E527" i="33"/>
  <c r="D527" i="33"/>
  <c r="B527" i="33"/>
  <c r="E526" i="33"/>
  <c r="D526" i="33"/>
  <c r="B526" i="33"/>
  <c r="E525" i="33"/>
  <c r="D525" i="33"/>
  <c r="B525" i="33"/>
  <c r="E524" i="33"/>
  <c r="D524" i="33"/>
  <c r="B524" i="33"/>
  <c r="E523" i="33"/>
  <c r="D523" i="33"/>
  <c r="B523" i="33"/>
  <c r="B522" i="33"/>
  <c r="B521" i="33"/>
  <c r="B520" i="33"/>
  <c r="B519" i="33"/>
  <c r="B518" i="33"/>
  <c r="B517" i="33"/>
  <c r="B516" i="33"/>
  <c r="B515" i="33"/>
  <c r="B514" i="33"/>
  <c r="B513" i="33"/>
  <c r="B512" i="33"/>
  <c r="E511" i="33"/>
  <c r="D511" i="33"/>
  <c r="B511" i="33"/>
  <c r="E510" i="33"/>
  <c r="D510" i="33"/>
  <c r="B510" i="33"/>
  <c r="E509" i="33"/>
  <c r="D509" i="33"/>
  <c r="B509" i="33"/>
  <c r="E508" i="33"/>
  <c r="D508" i="33"/>
  <c r="B508" i="33"/>
  <c r="E507" i="33"/>
  <c r="D507" i="33"/>
  <c r="B507" i="33"/>
  <c r="E506" i="33"/>
  <c r="D506" i="33"/>
  <c r="B506" i="33"/>
  <c r="E505" i="33"/>
  <c r="D505" i="33"/>
  <c r="B505" i="33"/>
  <c r="E504" i="33"/>
  <c r="D504" i="33"/>
  <c r="B504" i="33"/>
  <c r="E503" i="33"/>
  <c r="D503" i="33"/>
  <c r="B503" i="33"/>
  <c r="E502" i="33"/>
  <c r="D502" i="33"/>
  <c r="B502" i="33"/>
  <c r="E501" i="33"/>
  <c r="D501" i="33"/>
  <c r="B501" i="33"/>
  <c r="E500" i="33"/>
  <c r="D500" i="33"/>
  <c r="B500" i="33"/>
  <c r="E499" i="33"/>
  <c r="D499" i="33"/>
  <c r="B499" i="33"/>
  <c r="E498" i="33"/>
  <c r="D498" i="33"/>
  <c r="B498" i="33"/>
  <c r="E497" i="33"/>
  <c r="D497" i="33"/>
  <c r="B497" i="33"/>
  <c r="E496" i="33"/>
  <c r="D496" i="33"/>
  <c r="B496" i="33"/>
  <c r="E495" i="33"/>
  <c r="D495" i="33"/>
  <c r="B495" i="33"/>
  <c r="E494" i="33"/>
  <c r="D494" i="33"/>
  <c r="B494" i="33"/>
  <c r="E493" i="33"/>
  <c r="D493" i="33"/>
  <c r="B493" i="33"/>
  <c r="E492" i="33"/>
  <c r="D492" i="33"/>
  <c r="B492" i="33"/>
  <c r="E491" i="33"/>
  <c r="D491" i="33"/>
  <c r="B491" i="33"/>
  <c r="E490" i="33"/>
  <c r="D490" i="33"/>
  <c r="B490" i="33"/>
  <c r="B489" i="33"/>
  <c r="B488" i="33"/>
  <c r="B487" i="33"/>
  <c r="E486" i="33"/>
  <c r="D486" i="33"/>
  <c r="B486" i="33"/>
  <c r="E485" i="33"/>
  <c r="D485" i="33"/>
  <c r="B485" i="33"/>
  <c r="E484" i="33"/>
  <c r="D484" i="33"/>
  <c r="B484" i="33"/>
  <c r="E483" i="33"/>
  <c r="D483" i="33"/>
  <c r="B483" i="33"/>
  <c r="E482" i="33"/>
  <c r="D482" i="33"/>
  <c r="B482" i="33"/>
  <c r="E481" i="33"/>
  <c r="D481" i="33"/>
  <c r="B481" i="33"/>
  <c r="E480" i="33"/>
  <c r="D480" i="33"/>
  <c r="B480" i="33"/>
  <c r="E479" i="33"/>
  <c r="D479" i="33"/>
  <c r="B479" i="33"/>
  <c r="E478" i="33"/>
  <c r="D478" i="33"/>
  <c r="B478" i="33"/>
  <c r="E477" i="33"/>
  <c r="D477" i="33"/>
  <c r="B477" i="33"/>
  <c r="E476" i="33"/>
  <c r="D476" i="33"/>
  <c r="B476" i="33"/>
  <c r="E475" i="33"/>
  <c r="D475" i="33"/>
  <c r="B475" i="33"/>
  <c r="B474" i="33"/>
  <c r="B473" i="33"/>
  <c r="B472" i="33"/>
  <c r="B471" i="33"/>
  <c r="B470" i="33"/>
  <c r="B469" i="33"/>
  <c r="B468" i="33"/>
  <c r="B467" i="33"/>
  <c r="B466" i="33"/>
  <c r="B465" i="33"/>
  <c r="B464" i="33"/>
  <c r="B463" i="33"/>
  <c r="E462" i="33"/>
  <c r="D462" i="33"/>
  <c r="B462" i="33"/>
  <c r="E461" i="33"/>
  <c r="D461" i="33"/>
  <c r="B461" i="33"/>
  <c r="E460" i="33"/>
  <c r="D460" i="33"/>
  <c r="B460" i="33"/>
  <c r="E459" i="33"/>
  <c r="D459" i="33"/>
  <c r="B459" i="33"/>
  <c r="E458" i="33"/>
  <c r="D458" i="33"/>
  <c r="B458" i="33"/>
  <c r="E457" i="33"/>
  <c r="D457" i="33"/>
  <c r="B457" i="33"/>
  <c r="E456" i="33"/>
  <c r="D456" i="33"/>
  <c r="B456" i="33"/>
  <c r="E455" i="33"/>
  <c r="D455" i="33"/>
  <c r="B455" i="33"/>
  <c r="E454" i="33"/>
  <c r="D454" i="33"/>
  <c r="B454" i="33"/>
  <c r="E453" i="33"/>
  <c r="D453" i="33"/>
  <c r="B453" i="33"/>
  <c r="E452" i="33"/>
  <c r="D452" i="33"/>
  <c r="B452" i="33"/>
  <c r="E451" i="33"/>
  <c r="D451" i="33"/>
  <c r="B451" i="33"/>
  <c r="E450" i="33"/>
  <c r="D450" i="33"/>
  <c r="B450" i="33"/>
  <c r="E449" i="33"/>
  <c r="D449" i="33"/>
  <c r="B449" i="33"/>
  <c r="E448" i="33"/>
  <c r="D448" i="33"/>
  <c r="B448" i="33"/>
  <c r="B447" i="33"/>
  <c r="B446" i="33"/>
  <c r="B445" i="33"/>
  <c r="B444" i="33"/>
  <c r="B443" i="33"/>
  <c r="E442" i="33"/>
  <c r="D442" i="33"/>
  <c r="B442" i="33"/>
  <c r="E441" i="33"/>
  <c r="D441" i="33"/>
  <c r="B441" i="33"/>
  <c r="E440" i="33"/>
  <c r="D440" i="33"/>
  <c r="B440" i="33"/>
  <c r="E439" i="33"/>
  <c r="D439" i="33"/>
  <c r="B439" i="33"/>
  <c r="E438" i="33"/>
  <c r="D438" i="33"/>
  <c r="B438" i="33"/>
  <c r="E437" i="33"/>
  <c r="D437" i="33"/>
  <c r="B437" i="33"/>
  <c r="E436" i="33"/>
  <c r="D436" i="33"/>
  <c r="B436" i="33"/>
  <c r="E435" i="33"/>
  <c r="D435" i="33"/>
  <c r="B435" i="33"/>
  <c r="E434" i="33"/>
  <c r="D434" i="33"/>
  <c r="B434" i="33"/>
  <c r="E433" i="33"/>
  <c r="D433" i="33"/>
  <c r="B433" i="33"/>
  <c r="E432" i="33"/>
  <c r="D432" i="33"/>
  <c r="B432" i="33"/>
  <c r="B431" i="33"/>
  <c r="B430" i="33"/>
  <c r="E429" i="33"/>
  <c r="D429" i="33"/>
  <c r="B429" i="33"/>
  <c r="E428" i="33"/>
  <c r="D428" i="33"/>
  <c r="B428" i="33"/>
  <c r="E427" i="33"/>
  <c r="D427" i="33"/>
  <c r="B427" i="33"/>
  <c r="E426" i="33"/>
  <c r="D426" i="33"/>
  <c r="B426" i="33"/>
  <c r="E425" i="33"/>
  <c r="D425" i="33"/>
  <c r="B425" i="33"/>
  <c r="E424" i="33"/>
  <c r="D424" i="33"/>
  <c r="B424" i="33"/>
  <c r="E423" i="33"/>
  <c r="D423" i="33"/>
  <c r="B423" i="33"/>
  <c r="B422" i="33"/>
  <c r="B421" i="33"/>
  <c r="B420" i="33"/>
  <c r="B419" i="33"/>
  <c r="B418" i="33"/>
  <c r="B417" i="33"/>
  <c r="B416" i="33"/>
  <c r="B415" i="33"/>
  <c r="B414" i="33"/>
  <c r="B413" i="33"/>
  <c r="E412" i="33"/>
  <c r="D412" i="33"/>
  <c r="B412" i="33"/>
  <c r="B411" i="33"/>
  <c r="B410" i="33"/>
  <c r="E409" i="33"/>
  <c r="D409" i="33"/>
  <c r="B409" i="33"/>
  <c r="E408" i="33"/>
  <c r="D408" i="33"/>
  <c r="B408" i="33"/>
  <c r="E407" i="33"/>
  <c r="D407" i="33"/>
  <c r="B407" i="33"/>
  <c r="E406" i="33"/>
  <c r="D406" i="33"/>
  <c r="B406" i="33"/>
  <c r="E405" i="33"/>
  <c r="D405" i="33"/>
  <c r="B405" i="33"/>
  <c r="E404" i="33"/>
  <c r="D404" i="33"/>
  <c r="B404" i="33"/>
  <c r="E403" i="33"/>
  <c r="D403" i="33"/>
  <c r="B403" i="33"/>
  <c r="E402" i="33"/>
  <c r="D402" i="33"/>
  <c r="B402" i="33"/>
  <c r="E401" i="33"/>
  <c r="D401" i="33"/>
  <c r="B401" i="33"/>
  <c r="E400" i="33"/>
  <c r="D400" i="33"/>
  <c r="B400" i="33"/>
  <c r="E399" i="33"/>
  <c r="D399" i="33"/>
  <c r="B399" i="33"/>
  <c r="E398" i="33"/>
  <c r="D398" i="33"/>
  <c r="B398" i="33"/>
  <c r="E397" i="33"/>
  <c r="D397" i="33"/>
  <c r="B397" i="33"/>
  <c r="B396" i="33"/>
  <c r="B395" i="33"/>
  <c r="B394" i="33"/>
  <c r="B393" i="33"/>
  <c r="B392" i="33"/>
  <c r="E391" i="33"/>
  <c r="D391" i="33"/>
  <c r="B391" i="33"/>
  <c r="E390" i="33"/>
  <c r="D390" i="33"/>
  <c r="B390" i="33"/>
  <c r="E389" i="33"/>
  <c r="D389" i="33"/>
  <c r="B389" i="33"/>
  <c r="E388" i="33"/>
  <c r="D388" i="33"/>
  <c r="B388" i="33"/>
  <c r="E387" i="33"/>
  <c r="D387" i="33"/>
  <c r="B387" i="33"/>
  <c r="E386" i="33"/>
  <c r="D386" i="33"/>
  <c r="B386" i="33"/>
  <c r="B385" i="33"/>
  <c r="E384" i="33"/>
  <c r="D384" i="33"/>
  <c r="B384" i="33"/>
  <c r="E383" i="33"/>
  <c r="D383" i="33"/>
  <c r="B383" i="33"/>
  <c r="E382" i="33"/>
  <c r="D382" i="33"/>
  <c r="B382" i="33"/>
  <c r="E381" i="33"/>
  <c r="D381" i="33"/>
  <c r="B381" i="33"/>
  <c r="E380" i="33"/>
  <c r="D380" i="33"/>
  <c r="B380" i="33"/>
  <c r="E379" i="33"/>
  <c r="D379" i="33"/>
  <c r="B379" i="33"/>
  <c r="B378" i="33"/>
  <c r="B377" i="33"/>
  <c r="B376" i="33"/>
  <c r="E375" i="33"/>
  <c r="D375" i="33"/>
  <c r="B375" i="33"/>
  <c r="E374" i="33"/>
  <c r="D374" i="33"/>
  <c r="B374" i="33"/>
  <c r="E373" i="33"/>
  <c r="D373" i="33"/>
  <c r="B373" i="33"/>
  <c r="B372" i="33"/>
  <c r="B371" i="33"/>
  <c r="B370" i="33"/>
  <c r="E369" i="33"/>
  <c r="D369" i="33"/>
  <c r="B369" i="33"/>
  <c r="E368" i="33"/>
  <c r="D368" i="33"/>
  <c r="B368" i="33"/>
  <c r="E367" i="33"/>
  <c r="D367" i="33"/>
  <c r="B367" i="33"/>
  <c r="E366" i="33"/>
  <c r="D366" i="33"/>
  <c r="B366" i="33"/>
  <c r="E365" i="33"/>
  <c r="D365" i="33"/>
  <c r="B365" i="33"/>
  <c r="B364" i="33"/>
  <c r="B363" i="33"/>
  <c r="B362" i="33"/>
  <c r="B361" i="33"/>
  <c r="B360" i="33"/>
  <c r="B359" i="33"/>
  <c r="B358" i="33"/>
  <c r="E357" i="33"/>
  <c r="D357" i="33"/>
  <c r="B357" i="33"/>
  <c r="E356" i="33"/>
  <c r="D356" i="33"/>
  <c r="B356" i="33"/>
  <c r="E355" i="33"/>
  <c r="D355" i="33"/>
  <c r="B355" i="33"/>
  <c r="E354" i="33"/>
  <c r="D354" i="33"/>
  <c r="B354" i="33"/>
  <c r="E353" i="33"/>
  <c r="D353" i="33"/>
  <c r="B353" i="33"/>
  <c r="B352" i="33"/>
  <c r="B351" i="33"/>
  <c r="B350" i="33"/>
  <c r="B349" i="33"/>
  <c r="E348" i="33"/>
  <c r="D348" i="33"/>
  <c r="B348" i="33"/>
  <c r="E347" i="33"/>
  <c r="D347" i="33"/>
  <c r="B347" i="33"/>
  <c r="E346" i="33"/>
  <c r="D346" i="33"/>
  <c r="B346" i="33"/>
  <c r="E345" i="33"/>
  <c r="D345" i="33"/>
  <c r="B345" i="33"/>
  <c r="E344" i="33"/>
  <c r="D344" i="33"/>
  <c r="B344" i="33"/>
  <c r="E343" i="33"/>
  <c r="D343" i="33"/>
  <c r="B343" i="33"/>
  <c r="B342" i="33"/>
  <c r="B341" i="33"/>
  <c r="B340" i="33"/>
  <c r="B339" i="33"/>
  <c r="E338" i="33"/>
  <c r="D338" i="33"/>
  <c r="B338" i="33"/>
  <c r="E337" i="33"/>
  <c r="D337" i="33"/>
  <c r="B337" i="33"/>
  <c r="E336" i="33"/>
  <c r="D336" i="33"/>
  <c r="B336" i="33"/>
  <c r="E335" i="33"/>
  <c r="D335" i="33"/>
  <c r="B335" i="33"/>
  <c r="B334" i="33"/>
  <c r="B333" i="33"/>
  <c r="B332" i="33"/>
  <c r="B331" i="33"/>
  <c r="B330" i="33"/>
  <c r="B329" i="33"/>
  <c r="B328" i="33"/>
  <c r="B327" i="33"/>
  <c r="B326" i="33"/>
  <c r="B325" i="33"/>
  <c r="E324" i="33"/>
  <c r="D324" i="33"/>
  <c r="B324" i="33"/>
  <c r="B323" i="33"/>
  <c r="E322" i="33"/>
  <c r="D322" i="33"/>
  <c r="B322" i="33"/>
  <c r="E321" i="33"/>
  <c r="D321" i="33"/>
  <c r="B321" i="33"/>
  <c r="E320" i="33"/>
  <c r="D320" i="33"/>
  <c r="B320" i="33"/>
  <c r="B319" i="33"/>
  <c r="B318" i="33"/>
  <c r="B317" i="33"/>
  <c r="B316" i="33"/>
  <c r="B315" i="33"/>
  <c r="B314" i="33"/>
  <c r="E313" i="33"/>
  <c r="D313" i="33"/>
  <c r="B313" i="33"/>
  <c r="E312" i="33"/>
  <c r="D312" i="33"/>
  <c r="B312" i="33"/>
  <c r="E311" i="33"/>
  <c r="D311" i="33"/>
  <c r="B311" i="33"/>
  <c r="E310" i="33"/>
  <c r="D310" i="33"/>
  <c r="B310" i="33"/>
  <c r="E309" i="33"/>
  <c r="D309" i="33"/>
  <c r="B309" i="33"/>
  <c r="E308" i="33"/>
  <c r="D308" i="33"/>
  <c r="B308" i="33"/>
  <c r="E307" i="33"/>
  <c r="D307" i="33"/>
  <c r="B307" i="33"/>
  <c r="E306" i="33"/>
  <c r="D306" i="33"/>
  <c r="B306" i="33"/>
  <c r="E305" i="33"/>
  <c r="D305" i="33"/>
  <c r="B305" i="33"/>
  <c r="B304" i="33"/>
  <c r="B303" i="33"/>
  <c r="B302" i="33"/>
  <c r="E301" i="33"/>
  <c r="D301" i="33"/>
  <c r="B301" i="33"/>
  <c r="E300" i="33"/>
  <c r="D300" i="33"/>
  <c r="B300" i="33"/>
  <c r="E299" i="33"/>
  <c r="D299" i="33"/>
  <c r="B299" i="33"/>
  <c r="E298" i="33"/>
  <c r="D298" i="33"/>
  <c r="B298" i="33"/>
  <c r="E297" i="33"/>
  <c r="D297" i="33"/>
  <c r="B297" i="33"/>
  <c r="E296" i="33"/>
  <c r="D296" i="33"/>
  <c r="B296" i="33"/>
  <c r="E295" i="33"/>
  <c r="D295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E277" i="33"/>
  <c r="D277" i="33"/>
  <c r="B277" i="33"/>
  <c r="E276" i="33"/>
  <c r="D276" i="33"/>
  <c r="B276" i="33"/>
  <c r="E275" i="33"/>
  <c r="D275" i="33"/>
  <c r="B275" i="33"/>
  <c r="E274" i="33"/>
  <c r="D274" i="33"/>
  <c r="B274" i="33"/>
  <c r="E273" i="33"/>
  <c r="D273" i="33"/>
  <c r="B273" i="33"/>
  <c r="E272" i="33"/>
  <c r="D272" i="33"/>
  <c r="B272" i="33"/>
  <c r="E271" i="33"/>
  <c r="D271" i="33"/>
  <c r="B271" i="33"/>
  <c r="E270" i="33"/>
  <c r="D270" i="33"/>
  <c r="B270" i="33"/>
  <c r="E269" i="33"/>
  <c r="D269" i="33"/>
  <c r="B269" i="33"/>
  <c r="E268" i="33"/>
  <c r="D268" i="33"/>
  <c r="B268" i="33"/>
  <c r="E267" i="33"/>
  <c r="D267" i="33"/>
  <c r="B267" i="33"/>
  <c r="E266" i="33"/>
  <c r="D266" i="33"/>
  <c r="B266" i="33"/>
  <c r="E265" i="33"/>
  <c r="D265" i="33"/>
  <c r="B265" i="33"/>
  <c r="B264" i="33"/>
  <c r="B263" i="33"/>
  <c r="E262" i="33"/>
  <c r="D262" i="33"/>
  <c r="B262" i="33"/>
  <c r="B261" i="33"/>
  <c r="B260" i="33"/>
  <c r="B259" i="33"/>
  <c r="B258" i="33"/>
  <c r="E257" i="33"/>
  <c r="D257" i="33"/>
  <c r="B257" i="33"/>
  <c r="E256" i="33"/>
  <c r="D256" i="33"/>
  <c r="B256" i="33"/>
  <c r="E255" i="33"/>
  <c r="D255" i="33"/>
  <c r="B255" i="33"/>
  <c r="E254" i="33"/>
  <c r="D254" i="33"/>
  <c r="B254" i="33"/>
  <c r="E253" i="33"/>
  <c r="D253" i="33"/>
  <c r="B253" i="33"/>
  <c r="E252" i="33"/>
  <c r="D252" i="33"/>
  <c r="B252" i="33"/>
  <c r="E251" i="33"/>
  <c r="D251" i="33"/>
  <c r="B251" i="33"/>
  <c r="E250" i="33"/>
  <c r="D250" i="33"/>
  <c r="B250" i="33"/>
  <c r="E249" i="33"/>
  <c r="D249" i="33"/>
  <c r="B249" i="33"/>
  <c r="E248" i="33"/>
  <c r="D248" i="33"/>
  <c r="B248" i="33"/>
  <c r="E247" i="33"/>
  <c r="D247" i="33"/>
  <c r="B247" i="33"/>
  <c r="E246" i="33"/>
  <c r="D246" i="33"/>
  <c r="B246" i="33"/>
  <c r="B245" i="33"/>
  <c r="B244" i="33"/>
  <c r="B243" i="33"/>
  <c r="B242" i="33"/>
  <c r="B241" i="33"/>
  <c r="E240" i="33"/>
  <c r="D240" i="33"/>
  <c r="B240" i="33"/>
  <c r="E239" i="33"/>
  <c r="D239" i="33"/>
  <c r="B239" i="33"/>
  <c r="E238" i="33"/>
  <c r="D238" i="33"/>
  <c r="B238" i="33"/>
  <c r="E237" i="33"/>
  <c r="D237" i="33"/>
  <c r="B237" i="33"/>
  <c r="E236" i="33"/>
  <c r="D236" i="33"/>
  <c r="B236" i="33"/>
  <c r="E235" i="33"/>
  <c r="D235" i="33"/>
  <c r="B235" i="33"/>
  <c r="B234" i="33"/>
  <c r="B233" i="33"/>
  <c r="E232" i="33"/>
  <c r="D232" i="33"/>
  <c r="B232" i="33"/>
  <c r="E231" i="33"/>
  <c r="D231" i="33"/>
  <c r="B231" i="33"/>
  <c r="E230" i="33"/>
  <c r="D230" i="33"/>
  <c r="B230" i="33"/>
  <c r="E229" i="33"/>
  <c r="D229" i="33"/>
  <c r="B229" i="33"/>
  <c r="E228" i="33"/>
  <c r="D228" i="33"/>
  <c r="B228" i="33"/>
  <c r="B227" i="33"/>
  <c r="B226" i="33"/>
  <c r="B225" i="33"/>
  <c r="B224" i="33"/>
  <c r="B223" i="33"/>
  <c r="E222" i="33"/>
  <c r="D222" i="33"/>
  <c r="B222" i="33"/>
  <c r="E221" i="33"/>
  <c r="D221" i="33"/>
  <c r="B221" i="33"/>
  <c r="E220" i="33"/>
  <c r="D220" i="33"/>
  <c r="B220" i="33"/>
  <c r="B219" i="33"/>
  <c r="B218" i="33"/>
  <c r="B217" i="33"/>
  <c r="B216" i="33"/>
  <c r="B215" i="33"/>
  <c r="B214" i="33"/>
  <c r="B213" i="33"/>
  <c r="E212" i="33"/>
  <c r="D212" i="33"/>
  <c r="B212" i="33"/>
  <c r="E211" i="33"/>
  <c r="D211" i="33"/>
  <c r="B211" i="33"/>
  <c r="B210" i="33"/>
  <c r="B209" i="33"/>
  <c r="B208" i="33"/>
  <c r="B207" i="33"/>
  <c r="B206" i="33"/>
  <c r="B205" i="33"/>
  <c r="B204" i="33"/>
  <c r="E203" i="33"/>
  <c r="D203" i="33"/>
  <c r="B203" i="33"/>
  <c r="B202" i="33"/>
  <c r="B201" i="33"/>
  <c r="B200" i="33"/>
  <c r="B199" i="33"/>
  <c r="B198" i="33"/>
  <c r="B197" i="33"/>
  <c r="B196" i="33"/>
  <c r="B195" i="33"/>
  <c r="B194" i="33"/>
  <c r="E193" i="33"/>
  <c r="D193" i="33"/>
  <c r="B193" i="33"/>
  <c r="E192" i="33"/>
  <c r="D192" i="33"/>
  <c r="B192" i="33"/>
  <c r="E191" i="33"/>
  <c r="D191" i="33"/>
  <c r="B191" i="33"/>
  <c r="E190" i="33"/>
  <c r="D190" i="33"/>
  <c r="B190" i="33"/>
  <c r="E189" i="33"/>
  <c r="D189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E175" i="33"/>
  <c r="D175" i="33"/>
  <c r="B175" i="33"/>
  <c r="E174" i="33"/>
  <c r="D174" i="33"/>
  <c r="B174" i="33"/>
  <c r="E173" i="33"/>
  <c r="D173" i="33"/>
  <c r="B173" i="33"/>
  <c r="E172" i="33"/>
  <c r="D172" i="33"/>
  <c r="B172" i="33"/>
  <c r="B171" i="33"/>
  <c r="B170" i="33"/>
  <c r="B169" i="33"/>
  <c r="B168" i="33"/>
  <c r="B167" i="33"/>
  <c r="B166" i="33"/>
  <c r="B165" i="33"/>
  <c r="B164" i="33"/>
  <c r="B163" i="33"/>
  <c r="E162" i="33"/>
  <c r="D162" i="33"/>
  <c r="B162" i="33"/>
  <c r="E161" i="33"/>
  <c r="D161" i="33"/>
  <c r="B161" i="33"/>
  <c r="E160" i="33"/>
  <c r="D160" i="33"/>
  <c r="B160" i="33"/>
  <c r="E159" i="33"/>
  <c r="D159" i="33"/>
  <c r="B159" i="33"/>
  <c r="E158" i="33"/>
  <c r="D158" i="33"/>
  <c r="B158" i="33"/>
  <c r="E157" i="33"/>
  <c r="D157" i="33"/>
  <c r="B157" i="33"/>
  <c r="E156" i="33"/>
  <c r="D156" i="33"/>
  <c r="B156" i="33"/>
  <c r="E155" i="33"/>
  <c r="D155" i="33"/>
  <c r="B155" i="33"/>
  <c r="E154" i="33"/>
  <c r="D154" i="33"/>
  <c r="B154" i="33"/>
  <c r="E153" i="33"/>
  <c r="D153" i="33"/>
  <c r="B153" i="33"/>
  <c r="E152" i="33"/>
  <c r="D152" i="33"/>
  <c r="B152" i="33"/>
  <c r="E151" i="33"/>
  <c r="D151" i="33"/>
  <c r="B151" i="33"/>
  <c r="E150" i="33"/>
  <c r="D150" i="33"/>
  <c r="B150" i="33"/>
  <c r="E149" i="33"/>
  <c r="D149" i="33"/>
  <c r="B149" i="33"/>
  <c r="E148" i="33"/>
  <c r="D148" i="33"/>
  <c r="B148" i="33"/>
  <c r="E147" i="33"/>
  <c r="D147" i="33"/>
  <c r="B147" i="33"/>
  <c r="E146" i="33"/>
  <c r="D146" i="33"/>
  <c r="B146" i="33"/>
  <c r="E145" i="33"/>
  <c r="D145" i="33"/>
  <c r="B145" i="33"/>
  <c r="E144" i="33"/>
  <c r="D144" i="33"/>
  <c r="B144" i="33"/>
  <c r="E143" i="33"/>
  <c r="D143" i="33"/>
  <c r="B143" i="33"/>
  <c r="E142" i="33"/>
  <c r="D142" i="33"/>
  <c r="B142" i="33"/>
  <c r="E141" i="33"/>
  <c r="D141" i="33"/>
  <c r="B141" i="33"/>
  <c r="E140" i="33"/>
  <c r="D140" i="33"/>
  <c r="B140" i="33"/>
  <c r="E139" i="33"/>
  <c r="D139" i="33"/>
  <c r="B139" i="33"/>
  <c r="E138" i="33"/>
  <c r="D138" i="33"/>
  <c r="B138" i="33"/>
  <c r="E137" i="33"/>
  <c r="D137" i="33"/>
  <c r="B137" i="33"/>
  <c r="E136" i="33"/>
  <c r="D136" i="33"/>
  <c r="B136" i="33"/>
  <c r="E135" i="33"/>
  <c r="D135" i="33"/>
  <c r="B135" i="33"/>
  <c r="E134" i="33"/>
  <c r="D134" i="33"/>
  <c r="B134" i="33"/>
  <c r="E133" i="33"/>
  <c r="D133" i="33"/>
  <c r="B133" i="33"/>
  <c r="E132" i="33"/>
  <c r="D132" i="33"/>
  <c r="B132" i="33"/>
  <c r="E131" i="33"/>
  <c r="D131" i="33"/>
  <c r="B131" i="33"/>
  <c r="E130" i="33"/>
  <c r="D130" i="33"/>
  <c r="B130" i="33"/>
  <c r="E129" i="33"/>
  <c r="D129" i="33"/>
  <c r="B129" i="33"/>
  <c r="E128" i="33"/>
  <c r="D128" i="33"/>
  <c r="B128" i="33"/>
  <c r="E127" i="33"/>
  <c r="D127" i="33"/>
  <c r="B127" i="33"/>
  <c r="E126" i="33"/>
  <c r="D126" i="33"/>
  <c r="B126" i="33"/>
  <c r="E125" i="33"/>
  <c r="D125" i="33"/>
  <c r="B125" i="33"/>
  <c r="E124" i="33"/>
  <c r="D124" i="33"/>
  <c r="B124" i="33"/>
  <c r="E123" i="33"/>
  <c r="D123" i="33"/>
  <c r="B123" i="33"/>
  <c r="E122" i="33"/>
  <c r="D122" i="33"/>
  <c r="B122" i="33"/>
  <c r="E121" i="33"/>
  <c r="D121" i="33"/>
  <c r="B121" i="33"/>
  <c r="E120" i="33"/>
  <c r="D120" i="33"/>
  <c r="B120" i="33"/>
  <c r="E119" i="33"/>
  <c r="D119" i="33"/>
  <c r="B119" i="33"/>
  <c r="E118" i="33"/>
  <c r="D118" i="33"/>
  <c r="B118" i="33"/>
  <c r="E117" i="33"/>
  <c r="D117" i="33"/>
  <c r="B117" i="33"/>
  <c r="E116" i="33"/>
  <c r="D116" i="33"/>
  <c r="B116" i="33"/>
  <c r="E115" i="33"/>
  <c r="D115" i="33"/>
  <c r="B115" i="33"/>
  <c r="E114" i="33"/>
  <c r="D114" i="33"/>
  <c r="B114" i="33"/>
  <c r="E113" i="33"/>
  <c r="D113" i="33"/>
  <c r="B113" i="33"/>
  <c r="E112" i="33"/>
  <c r="D112" i="33"/>
  <c r="B112" i="33"/>
  <c r="E111" i="33"/>
  <c r="D111" i="33"/>
  <c r="B111" i="33"/>
  <c r="E110" i="33"/>
  <c r="D110" i="33"/>
  <c r="B110" i="33"/>
  <c r="E109" i="33"/>
  <c r="D109" i="33"/>
  <c r="B109" i="33"/>
  <c r="E108" i="33"/>
  <c r="D108" i="33"/>
  <c r="B108" i="33"/>
  <c r="E107" i="33"/>
  <c r="D107" i="33"/>
  <c r="B107" i="33"/>
  <c r="E106" i="33"/>
  <c r="D106" i="33"/>
  <c r="B106" i="33"/>
  <c r="E105" i="33"/>
  <c r="D105" i="33"/>
  <c r="B105" i="33"/>
  <c r="E104" i="33"/>
  <c r="D104" i="33"/>
  <c r="B104" i="33"/>
  <c r="B103" i="33"/>
  <c r="B102" i="33"/>
  <c r="B101" i="33"/>
  <c r="B100" i="33"/>
  <c r="B99" i="33"/>
  <c r="B98" i="33"/>
  <c r="B97" i="33"/>
  <c r="E96" i="33"/>
  <c r="D96" i="33"/>
  <c r="B96" i="33"/>
  <c r="E95" i="33"/>
  <c r="D95" i="33"/>
  <c r="B95" i="33"/>
  <c r="E94" i="33"/>
  <c r="D94" i="33"/>
  <c r="B94" i="33"/>
  <c r="E93" i="33"/>
  <c r="D93" i="33"/>
  <c r="B93" i="33"/>
  <c r="E92" i="33"/>
  <c r="D92" i="33"/>
  <c r="B92" i="33"/>
  <c r="E91" i="33"/>
  <c r="D91" i="33"/>
  <c r="B91" i="33"/>
  <c r="E90" i="33"/>
  <c r="D90" i="33"/>
  <c r="B90" i="33"/>
  <c r="E89" i="33"/>
  <c r="D89" i="33"/>
  <c r="B89" i="33"/>
  <c r="E88" i="33"/>
  <c r="D88" i="33"/>
  <c r="B88" i="33"/>
  <c r="E87" i="33"/>
  <c r="D87" i="33"/>
  <c r="B87" i="33"/>
  <c r="E86" i="33"/>
  <c r="D86" i="33"/>
  <c r="B86" i="33"/>
  <c r="E85" i="33"/>
  <c r="D85" i="33"/>
  <c r="B85" i="33"/>
  <c r="E84" i="33"/>
  <c r="D84" i="33"/>
  <c r="B84" i="33"/>
  <c r="E83" i="33"/>
  <c r="D83" i="33"/>
  <c r="B83" i="33"/>
  <c r="E82" i="33"/>
  <c r="D82" i="33"/>
  <c r="B82" i="33"/>
  <c r="E81" i="33"/>
  <c r="D81" i="33"/>
  <c r="B81" i="33"/>
  <c r="E80" i="33"/>
  <c r="D80" i="33"/>
  <c r="B80" i="33"/>
  <c r="E79" i="33"/>
  <c r="D79" i="33"/>
  <c r="B79" i="33"/>
  <c r="E78" i="33"/>
  <c r="D78" i="33"/>
  <c r="B78" i="33"/>
  <c r="E77" i="33"/>
  <c r="D77" i="33"/>
  <c r="B77" i="33"/>
  <c r="E76" i="33"/>
  <c r="D76" i="33"/>
  <c r="B76" i="33"/>
  <c r="E75" i="33"/>
  <c r="D75" i="33"/>
  <c r="B75" i="33"/>
  <c r="E74" i="33"/>
  <c r="D74" i="33"/>
  <c r="B74" i="33"/>
  <c r="B73" i="33"/>
  <c r="B72" i="33"/>
  <c r="B71" i="33"/>
  <c r="B70" i="33"/>
  <c r="B69" i="33"/>
  <c r="B68" i="33"/>
  <c r="B67" i="33"/>
  <c r="B66" i="33"/>
  <c r="B65" i="33"/>
  <c r="B64" i="33"/>
  <c r="E63" i="33"/>
  <c r="D63" i="33"/>
  <c r="B63" i="33"/>
  <c r="E62" i="33"/>
  <c r="D62" i="33"/>
  <c r="B62" i="33"/>
  <c r="E61" i="33"/>
  <c r="D61" i="33"/>
  <c r="B61" i="33"/>
  <c r="E60" i="33"/>
  <c r="D60" i="33"/>
  <c r="B60" i="33"/>
  <c r="E59" i="33"/>
  <c r="D59" i="33"/>
  <c r="B59" i="33"/>
  <c r="B58" i="33"/>
  <c r="E57" i="33"/>
  <c r="D57" i="33"/>
  <c r="B57" i="33"/>
  <c r="E56" i="33"/>
  <c r="D56" i="33"/>
  <c r="B56" i="33"/>
  <c r="E55" i="33"/>
  <c r="D55" i="33"/>
  <c r="B55" i="33"/>
  <c r="E54" i="33"/>
  <c r="D54" i="33"/>
  <c r="B54" i="33"/>
  <c r="E53" i="33"/>
  <c r="D53" i="33"/>
  <c r="B53" i="33"/>
  <c r="E52" i="33"/>
  <c r="D52" i="33"/>
  <c r="B52" i="33"/>
  <c r="E51" i="33"/>
  <c r="D51" i="33"/>
  <c r="B51" i="33"/>
  <c r="E50" i="33"/>
  <c r="D50" i="33"/>
  <c r="B50" i="33"/>
  <c r="E49" i="33"/>
  <c r="D49" i="33"/>
  <c r="B49" i="33"/>
  <c r="E48" i="33"/>
  <c r="D48" i="33"/>
  <c r="B48" i="33"/>
  <c r="E47" i="33"/>
  <c r="D47" i="33"/>
  <c r="B47" i="33"/>
  <c r="E46" i="33"/>
  <c r="D46" i="33"/>
  <c r="B46" i="33"/>
  <c r="E45" i="33"/>
  <c r="D45" i="33"/>
  <c r="B45" i="33"/>
  <c r="E44" i="33"/>
  <c r="D44" i="33"/>
  <c r="B44" i="33"/>
  <c r="E43" i="33"/>
  <c r="D43" i="33"/>
  <c r="B43" i="33"/>
  <c r="E42" i="33"/>
  <c r="D42" i="33"/>
  <c r="B42" i="33"/>
  <c r="E41" i="33"/>
  <c r="D41" i="33"/>
  <c r="B41" i="33"/>
  <c r="E40" i="33"/>
  <c r="D40" i="33"/>
  <c r="B40" i="33"/>
  <c r="E39" i="33"/>
  <c r="D39" i="33"/>
  <c r="B39" i="33"/>
  <c r="E38" i="33"/>
  <c r="D38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D25" i="33"/>
  <c r="B25" i="33"/>
  <c r="D24" i="33"/>
  <c r="B24" i="33"/>
  <c r="D23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U94" i="6"/>
  <c r="T1285" i="1"/>
  <c r="S1285" i="1"/>
  <c r="R1285" i="1"/>
  <c r="I3460" i="33" s="1"/>
  <c r="Q1285" i="1"/>
  <c r="P1285" i="1"/>
  <c r="K3460" i="33" s="1"/>
  <c r="Y1279" i="1"/>
  <c r="AO1279" i="1" s="1"/>
  <c r="AQ1279" i="1" s="1"/>
  <c r="P1279" i="1"/>
  <c r="Q1279" i="1"/>
  <c r="AU1279" i="1" s="1"/>
  <c r="R1279" i="1"/>
  <c r="AT1279" i="1" s="1"/>
  <c r="U92" i="6"/>
  <c r="B92" i="6"/>
  <c r="Y1603" i="1"/>
  <c r="AO1603" i="1" s="1"/>
  <c r="X1603" i="1"/>
  <c r="T1603" i="1"/>
  <c r="U1603" i="1"/>
  <c r="S1603" i="1"/>
  <c r="R1603" i="1"/>
  <c r="AT1603" i="1" s="1"/>
  <c r="Q1603" i="1"/>
  <c r="AU1603" i="1" s="1"/>
  <c r="P1603" i="1"/>
  <c r="U93" i="6"/>
  <c r="B93" i="6"/>
  <c r="P1429" i="1"/>
  <c r="K206" i="6" s="1"/>
  <c r="Q1429" i="1"/>
  <c r="J183" i="6" s="1"/>
  <c r="R1429" i="1"/>
  <c r="I137" i="6" s="1"/>
  <c r="Y1429" i="1"/>
  <c r="Y1441" i="1"/>
  <c r="X1441" i="1"/>
  <c r="W1441" i="1"/>
  <c r="T1441" i="1"/>
  <c r="U1441" i="1"/>
  <c r="S1441" i="1"/>
  <c r="R1441" i="1"/>
  <c r="AT1441" i="1" s="1"/>
  <c r="Q1441" i="1"/>
  <c r="P1441" i="1"/>
  <c r="K168" i="6" s="1"/>
  <c r="Y1431" i="1"/>
  <c r="AO1431" i="1" s="1"/>
  <c r="AQ1431" i="1" s="1"/>
  <c r="X1431" i="1"/>
  <c r="W1431" i="1"/>
  <c r="T1431" i="1"/>
  <c r="U1431" i="1"/>
  <c r="S1431" i="1"/>
  <c r="R1431" i="1"/>
  <c r="AT1431" i="1" s="1"/>
  <c r="Q1431" i="1"/>
  <c r="AU1431" i="1" s="1"/>
  <c r="P1431" i="1"/>
  <c r="Y1430" i="1"/>
  <c r="AO1430" i="1" s="1"/>
  <c r="AQ1430" i="1" s="1"/>
  <c r="X1430" i="1"/>
  <c r="W1430" i="1"/>
  <c r="T1430" i="1"/>
  <c r="U1430" i="1"/>
  <c r="S1430" i="1"/>
  <c r="R1430" i="1"/>
  <c r="AT1430" i="1" s="1"/>
  <c r="Q1430" i="1"/>
  <c r="AU1430" i="1" s="1"/>
  <c r="P1430" i="1"/>
  <c r="X1429" i="1"/>
  <c r="W1429" i="1"/>
  <c r="T1429" i="1"/>
  <c r="U1429" i="1"/>
  <c r="S1429" i="1"/>
  <c r="Y1428" i="1"/>
  <c r="AO1428" i="1" s="1"/>
  <c r="X1428" i="1"/>
  <c r="W1428" i="1"/>
  <c r="T1428" i="1"/>
  <c r="U1428" i="1"/>
  <c r="S1428" i="1"/>
  <c r="R1428" i="1"/>
  <c r="AT1428" i="1" s="1"/>
  <c r="Q1428" i="1"/>
  <c r="AU1428" i="1" s="1"/>
  <c r="P1428" i="1"/>
  <c r="Y1427" i="1"/>
  <c r="X1427" i="1"/>
  <c r="W1427" i="1"/>
  <c r="T1427" i="1"/>
  <c r="U1427" i="1"/>
  <c r="S1427" i="1"/>
  <c r="R1427" i="1"/>
  <c r="Q1427" i="1"/>
  <c r="J221" i="6" s="1"/>
  <c r="P1427" i="1"/>
  <c r="Y1426" i="1"/>
  <c r="AO1426" i="1" s="1"/>
  <c r="X1426" i="1"/>
  <c r="W1426" i="1"/>
  <c r="T1426" i="1"/>
  <c r="U1426" i="1"/>
  <c r="S1426" i="1"/>
  <c r="R1426" i="1"/>
  <c r="Q1426" i="1"/>
  <c r="AU1426" i="1" s="1"/>
  <c r="P1426" i="1"/>
  <c r="K280" i="6" s="1"/>
  <c r="Y1425" i="1"/>
  <c r="AO1425" i="1" s="1"/>
  <c r="X1425" i="1"/>
  <c r="W1425" i="1"/>
  <c r="T1425" i="1"/>
  <c r="U1425" i="1"/>
  <c r="S1425" i="1"/>
  <c r="R1425" i="1"/>
  <c r="AT1425" i="1" s="1"/>
  <c r="Q1425" i="1"/>
  <c r="AU1425" i="1" s="1"/>
  <c r="P1425" i="1"/>
  <c r="Y1424" i="1"/>
  <c r="P3193" i="33" s="1"/>
  <c r="X1424" i="1"/>
  <c r="W1424" i="1"/>
  <c r="T1424" i="1"/>
  <c r="U1424" i="1"/>
  <c r="S1424" i="1"/>
  <c r="R1424" i="1"/>
  <c r="AT1424" i="1" s="1"/>
  <c r="Q1424" i="1"/>
  <c r="J3195" i="33" s="1"/>
  <c r="P1424" i="1"/>
  <c r="K3192" i="33" s="1"/>
  <c r="Y1423" i="1"/>
  <c r="X1423" i="1"/>
  <c r="W1423" i="1"/>
  <c r="T1423" i="1"/>
  <c r="U1423" i="1"/>
  <c r="S1423" i="1"/>
  <c r="R1423" i="1"/>
  <c r="Q1423" i="1"/>
  <c r="AU1423" i="1" s="1"/>
  <c r="P1423" i="1"/>
  <c r="K269" i="6" s="1"/>
  <c r="X1422" i="1"/>
  <c r="W1422" i="1"/>
  <c r="T1422" i="1"/>
  <c r="U1422" i="1"/>
  <c r="S1422" i="1"/>
  <c r="X1421" i="1"/>
  <c r="W1421" i="1"/>
  <c r="T1421" i="1"/>
  <c r="U1421" i="1"/>
  <c r="S1421" i="1"/>
  <c r="Y1420" i="1"/>
  <c r="AO1420" i="1" s="1"/>
  <c r="X1420" i="1"/>
  <c r="W1420" i="1"/>
  <c r="T1420" i="1"/>
  <c r="U1420" i="1"/>
  <c r="S1420" i="1"/>
  <c r="R1420" i="1"/>
  <c r="AT1420" i="1" s="1"/>
  <c r="Q1420" i="1"/>
  <c r="AU1420" i="1" s="1"/>
  <c r="P1420" i="1"/>
  <c r="Y1310" i="1"/>
  <c r="AO1310" i="1" s="1"/>
  <c r="AQ1310" i="1" s="1"/>
  <c r="P1310" i="1"/>
  <c r="Q1310" i="1"/>
  <c r="AU1310" i="1" s="1"/>
  <c r="R1310" i="1"/>
  <c r="AT1310" i="1" s="1"/>
  <c r="B14" i="6"/>
  <c r="B13" i="6"/>
  <c r="B12" i="6"/>
  <c r="B11" i="6"/>
  <c r="U527" i="6"/>
  <c r="P527" i="6"/>
  <c r="K527" i="6"/>
  <c r="J527" i="6"/>
  <c r="I527" i="6"/>
  <c r="B527" i="6"/>
  <c r="Q1283" i="1"/>
  <c r="AU1283" i="1" s="1"/>
  <c r="Q1284" i="1"/>
  <c r="AU1284" i="1" s="1"/>
  <c r="Y1399" i="1"/>
  <c r="AO1399" i="1" s="1"/>
  <c r="AQ1399" i="1" s="1"/>
  <c r="Y1400" i="1"/>
  <c r="AO1400" i="1" s="1"/>
  <c r="Y1401" i="1"/>
  <c r="AO1401" i="1" s="1"/>
  <c r="X1398" i="1"/>
  <c r="X1399" i="1"/>
  <c r="X1400" i="1"/>
  <c r="X1401" i="1"/>
  <c r="W1398" i="1"/>
  <c r="W1399" i="1"/>
  <c r="W1400" i="1"/>
  <c r="W1401" i="1"/>
  <c r="U1400" i="1"/>
  <c r="T1399" i="1"/>
  <c r="T1400" i="1"/>
  <c r="S1399" i="1"/>
  <c r="S1400" i="1"/>
  <c r="R1399" i="1"/>
  <c r="AT1399" i="1" s="1"/>
  <c r="R1400" i="1"/>
  <c r="AT1400" i="1" s="1"/>
  <c r="Q1399" i="1"/>
  <c r="AU1399" i="1" s="1"/>
  <c r="Q1400" i="1"/>
  <c r="AU1400" i="1" s="1"/>
  <c r="P1399" i="1"/>
  <c r="P1400" i="1"/>
  <c r="P1318" i="1"/>
  <c r="Q1318" i="1"/>
  <c r="AU1318" i="1" s="1"/>
  <c r="R1318" i="1"/>
  <c r="AT1318" i="1" s="1"/>
  <c r="S1390" i="1"/>
  <c r="T1390" i="1"/>
  <c r="U1390" i="1"/>
  <c r="W1390" i="1"/>
  <c r="X1390" i="1"/>
  <c r="Y1318" i="1"/>
  <c r="AO1318" i="1" s="1"/>
  <c r="P1391" i="1"/>
  <c r="K223" i="6" s="1"/>
  <c r="Q1391" i="1"/>
  <c r="AU1391" i="1" s="1"/>
  <c r="R1391" i="1"/>
  <c r="S1391" i="1"/>
  <c r="T1391" i="1"/>
  <c r="U1391" i="1"/>
  <c r="W1391" i="1"/>
  <c r="X1391" i="1"/>
  <c r="Y1391" i="1"/>
  <c r="P223" i="6" s="1"/>
  <c r="S1392" i="1"/>
  <c r="T1392" i="1"/>
  <c r="U1392" i="1"/>
  <c r="W1392" i="1"/>
  <c r="X1392" i="1"/>
  <c r="P1386" i="1"/>
  <c r="Q1386" i="1"/>
  <c r="AU1386" i="1" s="1"/>
  <c r="R1386" i="1"/>
  <c r="AT1386" i="1" s="1"/>
  <c r="S1386" i="1"/>
  <c r="T1386" i="1"/>
  <c r="U1386" i="1"/>
  <c r="W1386" i="1"/>
  <c r="X1386" i="1"/>
  <c r="Y1386" i="1"/>
  <c r="AO1386" i="1" s="1"/>
  <c r="P1387" i="1"/>
  <c r="K176" i="6" s="1"/>
  <c r="Q1387" i="1"/>
  <c r="R1387" i="1"/>
  <c r="AT1387" i="1" s="1"/>
  <c r="S1387" i="1"/>
  <c r="T1387" i="1"/>
  <c r="U1387" i="1"/>
  <c r="W1387" i="1"/>
  <c r="X1387" i="1"/>
  <c r="Y1387" i="1"/>
  <c r="S1388" i="1"/>
  <c r="T1388" i="1"/>
  <c r="U1388" i="1"/>
  <c r="W1388" i="1"/>
  <c r="X1388" i="1"/>
  <c r="P1389" i="1"/>
  <c r="Q1389" i="1"/>
  <c r="AU1389" i="1" s="1"/>
  <c r="R1389" i="1"/>
  <c r="AT1389" i="1" s="1"/>
  <c r="S1389" i="1"/>
  <c r="T1389" i="1"/>
  <c r="U1389" i="1"/>
  <c r="W1389" i="1"/>
  <c r="X1389" i="1"/>
  <c r="Y1389" i="1"/>
  <c r="AO1389" i="1" s="1"/>
  <c r="P1393" i="1"/>
  <c r="Q1393" i="1"/>
  <c r="AU1393" i="1" s="1"/>
  <c r="R1393" i="1"/>
  <c r="AT1393" i="1" s="1"/>
  <c r="S1393" i="1"/>
  <c r="T1393" i="1"/>
  <c r="U1393" i="1"/>
  <c r="W1393" i="1"/>
  <c r="X1393" i="1"/>
  <c r="Y1393" i="1"/>
  <c r="AO1393" i="1" s="1"/>
  <c r="S1394" i="1"/>
  <c r="T1394" i="1"/>
  <c r="U1394" i="1"/>
  <c r="W1394" i="1"/>
  <c r="X1394" i="1"/>
  <c r="P1395" i="1"/>
  <c r="Q1395" i="1"/>
  <c r="AU1395" i="1" s="1"/>
  <c r="R1395" i="1"/>
  <c r="AT1395" i="1" s="1"/>
  <c r="S1395" i="1"/>
  <c r="T1395" i="1"/>
  <c r="U1395" i="1"/>
  <c r="W1395" i="1"/>
  <c r="X1395" i="1"/>
  <c r="Y1395" i="1"/>
  <c r="AO1395" i="1" s="1"/>
  <c r="P1396" i="1"/>
  <c r="Q1396" i="1"/>
  <c r="AU1396" i="1" s="1"/>
  <c r="R1396" i="1"/>
  <c r="AT1396" i="1" s="1"/>
  <c r="S1396" i="1"/>
  <c r="T1396" i="1"/>
  <c r="U1396" i="1"/>
  <c r="W1396" i="1"/>
  <c r="X1396" i="1"/>
  <c r="Y1396" i="1"/>
  <c r="AO1396" i="1" s="1"/>
  <c r="P1397" i="1"/>
  <c r="Q1397" i="1"/>
  <c r="R1397" i="1"/>
  <c r="S1397" i="1"/>
  <c r="T1397" i="1"/>
  <c r="U1397" i="1"/>
  <c r="W1397" i="1"/>
  <c r="X1397" i="1"/>
  <c r="Y1397" i="1"/>
  <c r="P1398" i="1"/>
  <c r="Q1398" i="1"/>
  <c r="AU1398" i="1" s="1"/>
  <c r="R1398" i="1"/>
  <c r="AT1398" i="1" s="1"/>
  <c r="S1398" i="1"/>
  <c r="T1398" i="1"/>
  <c r="U1398" i="1"/>
  <c r="Y1398" i="1"/>
  <c r="AO1398" i="1" s="1"/>
  <c r="AQ1398" i="1" s="1"/>
  <c r="U1399" i="1"/>
  <c r="B28" i="6"/>
  <c r="B27" i="6"/>
  <c r="E89" i="6"/>
  <c r="D89" i="6"/>
  <c r="B89" i="6"/>
  <c r="B29" i="6"/>
  <c r="Y1418" i="1"/>
  <c r="AO1418" i="1" s="1"/>
  <c r="X1418" i="1"/>
  <c r="W1418" i="1"/>
  <c r="U1418" i="1"/>
  <c r="T1418" i="1"/>
  <c r="S1418" i="1"/>
  <c r="R1418" i="1"/>
  <c r="AT1418" i="1" s="1"/>
  <c r="Q1418" i="1"/>
  <c r="AU1418" i="1" s="1"/>
  <c r="P1418" i="1"/>
  <c r="Y1417" i="1"/>
  <c r="X1417" i="1"/>
  <c r="W1417" i="1"/>
  <c r="U1417" i="1"/>
  <c r="T1417" i="1"/>
  <c r="S1417" i="1"/>
  <c r="R1417" i="1"/>
  <c r="AT1417" i="1" s="1"/>
  <c r="Q1417" i="1"/>
  <c r="J374" i="6" s="1"/>
  <c r="P1417" i="1"/>
  <c r="Y1416" i="1"/>
  <c r="AO1416" i="1" s="1"/>
  <c r="X1416" i="1"/>
  <c r="W1416" i="1"/>
  <c r="U1416" i="1"/>
  <c r="T1416" i="1"/>
  <c r="S1416" i="1"/>
  <c r="R1416" i="1"/>
  <c r="AT1416" i="1" s="1"/>
  <c r="Q1416" i="1"/>
  <c r="AU1416" i="1" s="1"/>
  <c r="P1416" i="1"/>
  <c r="Y1415" i="1"/>
  <c r="X1415" i="1"/>
  <c r="W1415" i="1"/>
  <c r="U1415" i="1"/>
  <c r="T1415" i="1"/>
  <c r="S1415" i="1"/>
  <c r="R1415" i="1"/>
  <c r="Q1415" i="1"/>
  <c r="J327" i="6" s="1"/>
  <c r="P1415" i="1"/>
  <c r="K328" i="6" s="1"/>
  <c r="X1414" i="1"/>
  <c r="W1414" i="1"/>
  <c r="U1414" i="1"/>
  <c r="T1414" i="1"/>
  <c r="S1414" i="1"/>
  <c r="Y1413" i="1"/>
  <c r="AO1413" i="1" s="1"/>
  <c r="X1413" i="1"/>
  <c r="W1413" i="1"/>
  <c r="U1413" i="1"/>
  <c r="T1413" i="1"/>
  <c r="S1413" i="1"/>
  <c r="R1413" i="1"/>
  <c r="AT1413" i="1" s="1"/>
  <c r="Q1413" i="1"/>
  <c r="AU1413" i="1" s="1"/>
  <c r="P1413" i="1"/>
  <c r="Y1412" i="1"/>
  <c r="AO1412" i="1" s="1"/>
  <c r="X1412" i="1"/>
  <c r="W1412" i="1"/>
  <c r="U1412" i="1"/>
  <c r="T1412" i="1"/>
  <c r="S1412" i="1"/>
  <c r="R1412" i="1"/>
  <c r="AT1412" i="1" s="1"/>
  <c r="Q1412" i="1"/>
  <c r="AU1412" i="1" s="1"/>
  <c r="P1412" i="1"/>
  <c r="Y1411" i="1"/>
  <c r="AO1411" i="1" s="1"/>
  <c r="X1411" i="1"/>
  <c r="W1411" i="1"/>
  <c r="U1411" i="1"/>
  <c r="T1411" i="1"/>
  <c r="S1411" i="1"/>
  <c r="R1411" i="1"/>
  <c r="AT1411" i="1" s="1"/>
  <c r="Q1411" i="1"/>
  <c r="AU1411" i="1" s="1"/>
  <c r="P1411" i="1"/>
  <c r="X1410" i="1"/>
  <c r="W1410" i="1"/>
  <c r="U1410" i="1"/>
  <c r="T1410" i="1"/>
  <c r="S1410" i="1"/>
  <c r="Y1409" i="1"/>
  <c r="AO1409" i="1" s="1"/>
  <c r="X1409" i="1"/>
  <c r="W1409" i="1"/>
  <c r="U1409" i="1"/>
  <c r="T1409" i="1"/>
  <c r="S1409" i="1"/>
  <c r="R1409" i="1"/>
  <c r="AT1409" i="1" s="1"/>
  <c r="Q1409" i="1"/>
  <c r="AU1409" i="1" s="1"/>
  <c r="P1409" i="1"/>
  <c r="Y1408" i="1"/>
  <c r="X1408" i="1"/>
  <c r="W1408" i="1"/>
  <c r="U1408" i="1"/>
  <c r="T1408" i="1"/>
  <c r="S1408" i="1"/>
  <c r="R1408" i="1"/>
  <c r="Q1408" i="1"/>
  <c r="P1408" i="1"/>
  <c r="K165" i="6" s="1"/>
  <c r="Y1407" i="1"/>
  <c r="AO1407" i="1" s="1"/>
  <c r="X1407" i="1"/>
  <c r="W1407" i="1"/>
  <c r="U1407" i="1"/>
  <c r="T1407" i="1"/>
  <c r="S1407" i="1"/>
  <c r="R1407" i="1"/>
  <c r="AT1407" i="1" s="1"/>
  <c r="Q1407" i="1"/>
  <c r="P1407" i="1"/>
  <c r="K297" i="6" s="1"/>
  <c r="Y1406" i="1"/>
  <c r="AO1406" i="1" s="1"/>
  <c r="AQ1406" i="1" s="1"/>
  <c r="X1406" i="1"/>
  <c r="W1406" i="1"/>
  <c r="U1406" i="1"/>
  <c r="T1406" i="1"/>
  <c r="S1406" i="1"/>
  <c r="R1406" i="1"/>
  <c r="AT1406" i="1" s="1"/>
  <c r="Q1406" i="1"/>
  <c r="AU1406" i="1" s="1"/>
  <c r="P1406" i="1"/>
  <c r="Y1405" i="1"/>
  <c r="AO1405" i="1" s="1"/>
  <c r="X1405" i="1"/>
  <c r="W1405" i="1"/>
  <c r="U1405" i="1"/>
  <c r="T1405" i="1"/>
  <c r="S1405" i="1"/>
  <c r="R1405" i="1"/>
  <c r="AT1405" i="1" s="1"/>
  <c r="Q1405" i="1"/>
  <c r="AU1405" i="1" s="1"/>
  <c r="P1405" i="1"/>
  <c r="Y1419" i="1"/>
  <c r="X1419" i="1"/>
  <c r="W1419" i="1"/>
  <c r="U1419" i="1"/>
  <c r="T1419" i="1"/>
  <c r="S1419" i="1"/>
  <c r="R1419" i="1"/>
  <c r="Q1419" i="1"/>
  <c r="P1419" i="1"/>
  <c r="K304" i="6" s="1"/>
  <c r="Y1385" i="1"/>
  <c r="AO1385" i="1" s="1"/>
  <c r="X1385" i="1"/>
  <c r="W1385" i="1"/>
  <c r="U1385" i="1"/>
  <c r="T1385" i="1"/>
  <c r="S1385" i="1"/>
  <c r="R1385" i="1"/>
  <c r="AT1385" i="1" s="1"/>
  <c r="Q1385" i="1"/>
  <c r="AU1385" i="1" s="1"/>
  <c r="P1385" i="1"/>
  <c r="Q1601" i="1"/>
  <c r="AU1601" i="1" s="1"/>
  <c r="W1363" i="1"/>
  <c r="W1362" i="1"/>
  <c r="W1361" i="1"/>
  <c r="W1360" i="1"/>
  <c r="W1359" i="1"/>
  <c r="W1358" i="1"/>
  <c r="W1357" i="1"/>
  <c r="W1356" i="1"/>
  <c r="W1355" i="1"/>
  <c r="W1354" i="1"/>
  <c r="W1348" i="1"/>
  <c r="W1347" i="1"/>
  <c r="W1346" i="1"/>
  <c r="W1345" i="1"/>
  <c r="W1344" i="1"/>
  <c r="W1343" i="1"/>
  <c r="W1372" i="1"/>
  <c r="W1371" i="1"/>
  <c r="W1370" i="1"/>
  <c r="W1369" i="1"/>
  <c r="W1353" i="1"/>
  <c r="W1352" i="1"/>
  <c r="W1351" i="1"/>
  <c r="W1350" i="1"/>
  <c r="W1349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42" i="1"/>
  <c r="W1341" i="1"/>
  <c r="W1340" i="1"/>
  <c r="W1368" i="1"/>
  <c r="W1367" i="1"/>
  <c r="W1366" i="1"/>
  <c r="W1365" i="1"/>
  <c r="W1364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4" i="1"/>
  <c r="W1233" i="1"/>
  <c r="Y1363" i="1"/>
  <c r="AO1363" i="1" s="1"/>
  <c r="X1363" i="1"/>
  <c r="U1363" i="1"/>
  <c r="T1363" i="1"/>
  <c r="S1363" i="1"/>
  <c r="R1363" i="1"/>
  <c r="AT1363" i="1" s="1"/>
  <c r="Q1363" i="1"/>
  <c r="AU1363" i="1" s="1"/>
  <c r="P1363" i="1"/>
  <c r="Y1362" i="1"/>
  <c r="AO1362" i="1" s="1"/>
  <c r="X1362" i="1"/>
  <c r="U1362" i="1"/>
  <c r="T1362" i="1"/>
  <c r="S1362" i="1"/>
  <c r="R1362" i="1"/>
  <c r="AT1362" i="1" s="1"/>
  <c r="Q1362" i="1"/>
  <c r="AU1362" i="1" s="1"/>
  <c r="P1362" i="1"/>
  <c r="Y1361" i="1"/>
  <c r="AO1361" i="1" s="1"/>
  <c r="X1361" i="1"/>
  <c r="U1361" i="1"/>
  <c r="T1361" i="1"/>
  <c r="S1361" i="1"/>
  <c r="R1361" i="1"/>
  <c r="AT1361" i="1" s="1"/>
  <c r="Q1361" i="1"/>
  <c r="AU1361" i="1" s="1"/>
  <c r="P1361" i="1"/>
  <c r="Y1360" i="1"/>
  <c r="AO1360" i="1" s="1"/>
  <c r="X1360" i="1"/>
  <c r="U1360" i="1"/>
  <c r="T1360" i="1"/>
  <c r="S1360" i="1"/>
  <c r="R1360" i="1"/>
  <c r="AT1360" i="1" s="1"/>
  <c r="Q1360" i="1"/>
  <c r="AU1360" i="1" s="1"/>
  <c r="P1360" i="1"/>
  <c r="Y1359" i="1"/>
  <c r="AO1359" i="1" s="1"/>
  <c r="AQ1359" i="1" s="1"/>
  <c r="X1359" i="1"/>
  <c r="U1359" i="1"/>
  <c r="T1359" i="1"/>
  <c r="S1359" i="1"/>
  <c r="R1359" i="1"/>
  <c r="AT1359" i="1" s="1"/>
  <c r="Q1359" i="1"/>
  <c r="AU1359" i="1" s="1"/>
  <c r="P1359" i="1"/>
  <c r="Y1358" i="1"/>
  <c r="AO1358" i="1" s="1"/>
  <c r="AQ1358" i="1" s="1"/>
  <c r="X1358" i="1"/>
  <c r="U1358" i="1"/>
  <c r="T1358" i="1"/>
  <c r="S1358" i="1"/>
  <c r="R1358" i="1"/>
  <c r="AT1358" i="1" s="1"/>
  <c r="Q1358" i="1"/>
  <c r="AU1358" i="1" s="1"/>
  <c r="P1358" i="1"/>
  <c r="Y1357" i="1"/>
  <c r="AO1357" i="1" s="1"/>
  <c r="X1357" i="1"/>
  <c r="U1357" i="1"/>
  <c r="T1357" i="1"/>
  <c r="S1357" i="1"/>
  <c r="R1357" i="1"/>
  <c r="AT1357" i="1" s="1"/>
  <c r="Q1357" i="1"/>
  <c r="AU1357" i="1" s="1"/>
  <c r="P1357" i="1"/>
  <c r="X1356" i="1"/>
  <c r="U1356" i="1"/>
  <c r="T1356" i="1"/>
  <c r="S1356" i="1"/>
  <c r="Y1355" i="1"/>
  <c r="AO1355" i="1" s="1"/>
  <c r="AQ1355" i="1" s="1"/>
  <c r="X1355" i="1"/>
  <c r="U1355" i="1"/>
  <c r="T1355" i="1"/>
  <c r="S1355" i="1"/>
  <c r="R1355" i="1"/>
  <c r="AT1355" i="1" s="1"/>
  <c r="Q1355" i="1"/>
  <c r="AU1355" i="1" s="1"/>
  <c r="P1355" i="1"/>
  <c r="Y1354" i="1"/>
  <c r="AO1354" i="1" s="1"/>
  <c r="X1354" i="1"/>
  <c r="U1354" i="1"/>
  <c r="T1354" i="1"/>
  <c r="S1354" i="1"/>
  <c r="R1354" i="1"/>
  <c r="AT1354" i="1" s="1"/>
  <c r="Q1354" i="1"/>
  <c r="AU1354" i="1" s="1"/>
  <c r="P1354" i="1"/>
  <c r="Y1600" i="1"/>
  <c r="AO1600" i="1" s="1"/>
  <c r="AQ1600" i="1" s="1"/>
  <c r="U1600" i="1"/>
  <c r="T1600" i="1"/>
  <c r="S1600" i="1"/>
  <c r="R1600" i="1"/>
  <c r="AT1600" i="1" s="1"/>
  <c r="Q1600" i="1"/>
  <c r="AU1600" i="1" s="1"/>
  <c r="P1600" i="1"/>
  <c r="Y1348" i="1"/>
  <c r="AO1348" i="1" s="1"/>
  <c r="X1348" i="1"/>
  <c r="U1348" i="1"/>
  <c r="T1348" i="1"/>
  <c r="S1348" i="1"/>
  <c r="R1348" i="1"/>
  <c r="Q1348" i="1"/>
  <c r="AU1348" i="1" s="1"/>
  <c r="P1348" i="1"/>
  <c r="K213" i="6" s="1"/>
  <c r="X1347" i="1"/>
  <c r="U1347" i="1"/>
  <c r="T1347" i="1"/>
  <c r="S1347" i="1"/>
  <c r="Y1346" i="1"/>
  <c r="X1346" i="1"/>
  <c r="U1346" i="1"/>
  <c r="T1346" i="1"/>
  <c r="S1346" i="1"/>
  <c r="R1346" i="1"/>
  <c r="Q1346" i="1"/>
  <c r="P1346" i="1"/>
  <c r="K210" i="6" s="1"/>
  <c r="X1345" i="1"/>
  <c r="U1345" i="1"/>
  <c r="T1345" i="1"/>
  <c r="S1345" i="1"/>
  <c r="Y1344" i="1"/>
  <c r="AO1344" i="1" s="1"/>
  <c r="X1344" i="1"/>
  <c r="U1344" i="1"/>
  <c r="T1344" i="1"/>
  <c r="S1344" i="1"/>
  <c r="R1344" i="1"/>
  <c r="AT1344" i="1" s="1"/>
  <c r="Q1344" i="1"/>
  <c r="AU1344" i="1" s="1"/>
  <c r="P1344" i="1"/>
  <c r="X1343" i="1"/>
  <c r="U1343" i="1"/>
  <c r="T1343" i="1"/>
  <c r="S1343" i="1"/>
  <c r="Y1372" i="1"/>
  <c r="AO1372" i="1" s="1"/>
  <c r="X1372" i="1"/>
  <c r="U1372" i="1"/>
  <c r="T1372" i="1"/>
  <c r="S1372" i="1"/>
  <c r="R1372" i="1"/>
  <c r="AT1372" i="1" s="1"/>
  <c r="Q1372" i="1"/>
  <c r="AU1372" i="1" s="1"/>
  <c r="P1372" i="1"/>
  <c r="Y1371" i="1"/>
  <c r="AO1371" i="1" s="1"/>
  <c r="X1371" i="1"/>
  <c r="U1371" i="1"/>
  <c r="T1371" i="1"/>
  <c r="S1371" i="1"/>
  <c r="R1371" i="1"/>
  <c r="AT1371" i="1" s="1"/>
  <c r="Q1371" i="1"/>
  <c r="AU1371" i="1" s="1"/>
  <c r="P1371" i="1"/>
  <c r="Y1370" i="1"/>
  <c r="AO1370" i="1" s="1"/>
  <c r="X1370" i="1"/>
  <c r="U1370" i="1"/>
  <c r="T1370" i="1"/>
  <c r="S1370" i="1"/>
  <c r="R1370" i="1"/>
  <c r="AT1370" i="1" s="1"/>
  <c r="Q1370" i="1"/>
  <c r="AU1370" i="1" s="1"/>
  <c r="P1370" i="1"/>
  <c r="Y1369" i="1"/>
  <c r="AO1369" i="1" s="1"/>
  <c r="X1369" i="1"/>
  <c r="Y1353" i="1"/>
  <c r="AO1353" i="1" s="1"/>
  <c r="X1353" i="1"/>
  <c r="U1353" i="1"/>
  <c r="T1353" i="1"/>
  <c r="S1353" i="1"/>
  <c r="R1353" i="1"/>
  <c r="Q1353" i="1"/>
  <c r="P1353" i="1"/>
  <c r="K146" i="6" s="1"/>
  <c r="Y1352" i="1"/>
  <c r="AO1352" i="1" s="1"/>
  <c r="X1352" i="1"/>
  <c r="U1352" i="1"/>
  <c r="T1352" i="1"/>
  <c r="S1352" i="1"/>
  <c r="R1352" i="1"/>
  <c r="Q1352" i="1"/>
  <c r="P1352" i="1"/>
  <c r="K215" i="6" s="1"/>
  <c r="Y1351" i="1"/>
  <c r="AO1351" i="1" s="1"/>
  <c r="X1351" i="1"/>
  <c r="U1351" i="1"/>
  <c r="T1351" i="1"/>
  <c r="S1351" i="1"/>
  <c r="R1351" i="1"/>
  <c r="AT1351" i="1" s="1"/>
  <c r="Q1351" i="1"/>
  <c r="AU1351" i="1" s="1"/>
  <c r="P1351" i="1"/>
  <c r="Y1350" i="1"/>
  <c r="AO1350" i="1" s="1"/>
  <c r="AQ1350" i="1" s="1"/>
  <c r="X1350" i="1"/>
  <c r="U1350" i="1"/>
  <c r="T1350" i="1"/>
  <c r="S1350" i="1"/>
  <c r="R1350" i="1"/>
  <c r="AT1350" i="1" s="1"/>
  <c r="Q1350" i="1"/>
  <c r="AU1350" i="1" s="1"/>
  <c r="P1350" i="1"/>
  <c r="Y1349" i="1"/>
  <c r="AO1349" i="1" s="1"/>
  <c r="X1349" i="1"/>
  <c r="U1349" i="1"/>
  <c r="T1349" i="1"/>
  <c r="S1349" i="1"/>
  <c r="R1349" i="1"/>
  <c r="AT1349" i="1" s="1"/>
  <c r="Q1349" i="1"/>
  <c r="AU1349" i="1" s="1"/>
  <c r="P1349" i="1"/>
  <c r="Y1384" i="1"/>
  <c r="AO1384" i="1" s="1"/>
  <c r="X1384" i="1"/>
  <c r="U1384" i="1"/>
  <c r="T1384" i="1"/>
  <c r="S1384" i="1"/>
  <c r="R1384" i="1"/>
  <c r="AT1384" i="1" s="1"/>
  <c r="Q1384" i="1"/>
  <c r="AU1384" i="1" s="1"/>
  <c r="P1384" i="1"/>
  <c r="Y1383" i="1"/>
  <c r="AO1383" i="1" s="1"/>
  <c r="X1383" i="1"/>
  <c r="U1383" i="1"/>
  <c r="T1383" i="1"/>
  <c r="S1383" i="1"/>
  <c r="R1383" i="1"/>
  <c r="AT1383" i="1" s="1"/>
  <c r="Q1383" i="1"/>
  <c r="AU1383" i="1" s="1"/>
  <c r="P1383" i="1"/>
  <c r="S1331" i="1"/>
  <c r="T1331" i="1"/>
  <c r="U1331" i="1"/>
  <c r="X1331" i="1"/>
  <c r="P1332" i="1"/>
  <c r="Q1332" i="1"/>
  <c r="AU1332" i="1" s="1"/>
  <c r="R1332" i="1"/>
  <c r="AT1332" i="1" s="1"/>
  <c r="S1332" i="1"/>
  <c r="T1332" i="1"/>
  <c r="U1332" i="1"/>
  <c r="X1332" i="1"/>
  <c r="Y1332" i="1"/>
  <c r="AO1332" i="1" s="1"/>
  <c r="P1333" i="1"/>
  <c r="Q1333" i="1"/>
  <c r="AU1333" i="1" s="1"/>
  <c r="R1333" i="1"/>
  <c r="AT1333" i="1" s="1"/>
  <c r="S1333" i="1"/>
  <c r="T1333" i="1"/>
  <c r="U1333" i="1"/>
  <c r="X1333" i="1"/>
  <c r="Y1333" i="1"/>
  <c r="AO1333" i="1" s="1"/>
  <c r="P1334" i="1"/>
  <c r="K149" i="6" s="1"/>
  <c r="Q1334" i="1"/>
  <c r="J148" i="6" s="1"/>
  <c r="R1334" i="1"/>
  <c r="AT1334" i="1" s="1"/>
  <c r="S1334" i="1"/>
  <c r="T1334" i="1"/>
  <c r="U1334" i="1"/>
  <c r="X1334" i="1"/>
  <c r="Y1334" i="1"/>
  <c r="AO1334" i="1" s="1"/>
  <c r="AQ1334" i="1" s="1"/>
  <c r="P1335" i="1"/>
  <c r="K161" i="6" s="1"/>
  <c r="Q1335" i="1"/>
  <c r="R1335" i="1"/>
  <c r="AT1335" i="1" s="1"/>
  <c r="S1335" i="1"/>
  <c r="T1335" i="1"/>
  <c r="U1335" i="1"/>
  <c r="X1335" i="1"/>
  <c r="Y1335" i="1"/>
  <c r="AO1335" i="1" s="1"/>
  <c r="AQ1335" i="1" s="1"/>
  <c r="S1336" i="1"/>
  <c r="T1336" i="1"/>
  <c r="U1336" i="1"/>
  <c r="X1336" i="1"/>
  <c r="P1337" i="1"/>
  <c r="Q1337" i="1"/>
  <c r="AU1337" i="1" s="1"/>
  <c r="R1337" i="1"/>
  <c r="AT1337" i="1" s="1"/>
  <c r="S1337" i="1"/>
  <c r="T1337" i="1"/>
  <c r="U1337" i="1"/>
  <c r="X1337" i="1"/>
  <c r="Y1337" i="1"/>
  <c r="AO1337" i="1" s="1"/>
  <c r="P1338" i="1"/>
  <c r="Q1338" i="1"/>
  <c r="AU1338" i="1" s="1"/>
  <c r="R1338" i="1"/>
  <c r="AT1338" i="1" s="1"/>
  <c r="S1338" i="1"/>
  <c r="T1338" i="1"/>
  <c r="U1338" i="1"/>
  <c r="X1338" i="1"/>
  <c r="Y1338" i="1"/>
  <c r="AO1338" i="1" s="1"/>
  <c r="AQ1338" i="1" s="1"/>
  <c r="S1339" i="1"/>
  <c r="T1339" i="1"/>
  <c r="U1339" i="1"/>
  <c r="X1339" i="1"/>
  <c r="B90" i="6"/>
  <c r="D90" i="6"/>
  <c r="E90" i="6"/>
  <c r="P1368" i="1"/>
  <c r="Q1368" i="1"/>
  <c r="AU1368" i="1" s="1"/>
  <c r="R1368" i="1"/>
  <c r="AT1368" i="1" s="1"/>
  <c r="S1368" i="1"/>
  <c r="T1368" i="1"/>
  <c r="U1368" i="1"/>
  <c r="X1368" i="1"/>
  <c r="Y1368" i="1"/>
  <c r="AO1368" i="1" s="1"/>
  <c r="P1340" i="1"/>
  <c r="Q1340" i="1"/>
  <c r="AU1340" i="1" s="1"/>
  <c r="R1340" i="1"/>
  <c r="AT1340" i="1" s="1"/>
  <c r="S1340" i="1"/>
  <c r="T1340" i="1"/>
  <c r="U1340" i="1"/>
  <c r="X1340" i="1"/>
  <c r="Y1340" i="1"/>
  <c r="AO1340" i="1" s="1"/>
  <c r="P1341" i="1"/>
  <c r="Q1341" i="1"/>
  <c r="AU1341" i="1" s="1"/>
  <c r="R1341" i="1"/>
  <c r="AT1341" i="1" s="1"/>
  <c r="S1341" i="1"/>
  <c r="T1341" i="1"/>
  <c r="U1341" i="1"/>
  <c r="X1341" i="1"/>
  <c r="Y1341" i="1"/>
  <c r="AO1341" i="1" s="1"/>
  <c r="S1342" i="1"/>
  <c r="T1342" i="1"/>
  <c r="U1342" i="1"/>
  <c r="X1342" i="1"/>
  <c r="P1373" i="1"/>
  <c r="K3584" i="33" s="1"/>
  <c r="Q1373" i="1"/>
  <c r="R1373" i="1"/>
  <c r="S1373" i="1"/>
  <c r="T1373" i="1"/>
  <c r="U1373" i="1"/>
  <c r="X1373" i="1"/>
  <c r="Y1373" i="1"/>
  <c r="P3583" i="33" s="1"/>
  <c r="X1374" i="1"/>
  <c r="Y1374" i="1"/>
  <c r="P1375" i="1"/>
  <c r="Q1375" i="1"/>
  <c r="AU1375" i="1" s="1"/>
  <c r="R1375" i="1"/>
  <c r="AT1375" i="1" s="1"/>
  <c r="S1375" i="1"/>
  <c r="T1375" i="1"/>
  <c r="U1375" i="1"/>
  <c r="X1375" i="1"/>
  <c r="Y1375" i="1"/>
  <c r="AO1375" i="1" s="1"/>
  <c r="P1376" i="1"/>
  <c r="K3400" i="33"/>
  <c r="Q1376" i="1"/>
  <c r="AU1376" i="1" s="1"/>
  <c r="J3399" i="33"/>
  <c r="R1376" i="1"/>
  <c r="I3400" i="33"/>
  <c r="S1376" i="1"/>
  <c r="T1376" i="1"/>
  <c r="U1376" i="1"/>
  <c r="X1376" i="1"/>
  <c r="Y1376" i="1"/>
  <c r="P3400" i="33"/>
  <c r="P1377" i="1"/>
  <c r="Q1377" i="1"/>
  <c r="AU1377" i="1" s="1"/>
  <c r="R1377" i="1"/>
  <c r="AT1377" i="1" s="1"/>
  <c r="S1377" i="1"/>
  <c r="T1377" i="1"/>
  <c r="U1377" i="1"/>
  <c r="X1377" i="1"/>
  <c r="Y1377" i="1"/>
  <c r="AO1377" i="1" s="1"/>
  <c r="P1378" i="1"/>
  <c r="Q1378" i="1"/>
  <c r="AU1378" i="1" s="1"/>
  <c r="R1378" i="1"/>
  <c r="AT1378" i="1" s="1"/>
  <c r="S1378" i="1"/>
  <c r="T1378" i="1"/>
  <c r="U1378" i="1"/>
  <c r="X1378" i="1"/>
  <c r="Y1378" i="1"/>
  <c r="AO1378" i="1" s="1"/>
  <c r="P1379" i="1"/>
  <c r="Q1379" i="1"/>
  <c r="AU1379" i="1" s="1"/>
  <c r="R1379" i="1"/>
  <c r="AT1379" i="1" s="1"/>
  <c r="S1379" i="1"/>
  <c r="T1379" i="1"/>
  <c r="U1379" i="1"/>
  <c r="X1379" i="1"/>
  <c r="Y1379" i="1"/>
  <c r="AO1379" i="1" s="1"/>
  <c r="P1380" i="1"/>
  <c r="K296" i="6" s="1"/>
  <c r="Q1380" i="1"/>
  <c r="R1380" i="1"/>
  <c r="AT1380" i="1" s="1"/>
  <c r="S1380" i="1"/>
  <c r="T1380" i="1"/>
  <c r="U1380" i="1"/>
  <c r="X1380" i="1"/>
  <c r="Y1380" i="1"/>
  <c r="AO1380" i="1" s="1"/>
  <c r="P1381" i="1"/>
  <c r="K424" i="6" s="1"/>
  <c r="Q1381" i="1"/>
  <c r="AU1381" i="1" s="1"/>
  <c r="R1381" i="1"/>
  <c r="I424" i="6" s="1"/>
  <c r="S1381" i="1"/>
  <c r="T1381" i="1"/>
  <c r="U1381" i="1"/>
  <c r="X1381" i="1"/>
  <c r="Y1381" i="1"/>
  <c r="AO1381" i="1" s="1"/>
  <c r="Y1366" i="1"/>
  <c r="AO1366" i="1" s="1"/>
  <c r="AQ1366" i="1" s="1"/>
  <c r="X1366" i="1"/>
  <c r="U1366" i="1"/>
  <c r="T1366" i="1"/>
  <c r="S1366" i="1"/>
  <c r="R1366" i="1"/>
  <c r="AT1366" i="1" s="1"/>
  <c r="Q1366" i="1"/>
  <c r="AU1366" i="1" s="1"/>
  <c r="P1366" i="1"/>
  <c r="X1365" i="1"/>
  <c r="U1365" i="1"/>
  <c r="T1365" i="1"/>
  <c r="S1365" i="1"/>
  <c r="Y1364" i="1"/>
  <c r="AO1364" i="1" s="1"/>
  <c r="X1364" i="1"/>
  <c r="U1364" i="1"/>
  <c r="T1364" i="1"/>
  <c r="S1364" i="1"/>
  <c r="R1364" i="1"/>
  <c r="AT1364" i="1" s="1"/>
  <c r="Q1364" i="1"/>
  <c r="AU1364" i="1" s="1"/>
  <c r="P1364" i="1"/>
  <c r="Y1367" i="1"/>
  <c r="AO1367" i="1" s="1"/>
  <c r="X1367" i="1"/>
  <c r="U1367" i="1"/>
  <c r="T1367" i="1"/>
  <c r="S1367" i="1"/>
  <c r="R1367" i="1"/>
  <c r="AT1367" i="1" s="1"/>
  <c r="Q1367" i="1"/>
  <c r="AU1367" i="1" s="1"/>
  <c r="P1367" i="1"/>
  <c r="Y1296" i="1"/>
  <c r="P171" i="6" s="1"/>
  <c r="X1296" i="1"/>
  <c r="U1296" i="1"/>
  <c r="T1296" i="1"/>
  <c r="S1296" i="1"/>
  <c r="R1296" i="1"/>
  <c r="AT1296" i="1" s="1"/>
  <c r="Q1296" i="1"/>
  <c r="J170" i="6" s="1"/>
  <c r="P1296" i="1"/>
  <c r="K170" i="6" s="1"/>
  <c r="Y1295" i="1"/>
  <c r="X1295" i="1"/>
  <c r="U1295" i="1"/>
  <c r="T1295" i="1"/>
  <c r="S1295" i="1"/>
  <c r="R1295" i="1"/>
  <c r="AT1295" i="1" s="1"/>
  <c r="Q1295" i="1"/>
  <c r="AU1295" i="1" s="1"/>
  <c r="P1295" i="1"/>
  <c r="K163" i="6" s="1"/>
  <c r="Y1294" i="1"/>
  <c r="AO1294" i="1" s="1"/>
  <c r="X1294" i="1"/>
  <c r="U1294" i="1"/>
  <c r="T1294" i="1"/>
  <c r="S1294" i="1"/>
  <c r="R1294" i="1"/>
  <c r="AT1294" i="1" s="1"/>
  <c r="Q1294" i="1"/>
  <c r="AU1294" i="1" s="1"/>
  <c r="P1294" i="1"/>
  <c r="Y1293" i="1"/>
  <c r="AO1293" i="1" s="1"/>
  <c r="X1293" i="1"/>
  <c r="U1293" i="1"/>
  <c r="T1293" i="1"/>
  <c r="S1293" i="1"/>
  <c r="R1293" i="1"/>
  <c r="AT1293" i="1" s="1"/>
  <c r="Q1293" i="1"/>
  <c r="AU1293" i="1" s="1"/>
  <c r="P1293" i="1"/>
  <c r="Y1291" i="1"/>
  <c r="P267" i="6" s="1"/>
  <c r="X1291" i="1"/>
  <c r="U1291" i="1"/>
  <c r="T1291" i="1"/>
  <c r="S1291" i="1"/>
  <c r="R1291" i="1"/>
  <c r="Q1291" i="1"/>
  <c r="J268" i="6" s="1"/>
  <c r="P1291" i="1"/>
  <c r="Y1290" i="1"/>
  <c r="P257" i="6" s="1"/>
  <c r="X1290" i="1"/>
  <c r="U1290" i="1"/>
  <c r="T1290" i="1"/>
  <c r="S1290" i="1"/>
  <c r="R1290" i="1"/>
  <c r="I258" i="6" s="1"/>
  <c r="Q1290" i="1"/>
  <c r="J258" i="6" s="1"/>
  <c r="P1290" i="1"/>
  <c r="Y1289" i="1"/>
  <c r="X1289" i="1"/>
  <c r="U1289" i="1"/>
  <c r="T1289" i="1"/>
  <c r="S1289" i="1"/>
  <c r="R1289" i="1"/>
  <c r="Q1289" i="1"/>
  <c r="P1289" i="1"/>
  <c r="K147" i="6" s="1"/>
  <c r="Y1288" i="1"/>
  <c r="X1288" i="1"/>
  <c r="U1288" i="1"/>
  <c r="T1288" i="1"/>
  <c r="S1288" i="1"/>
  <c r="R1288" i="1"/>
  <c r="I193" i="6" s="1"/>
  <c r="T160" i="7" s="1"/>
  <c r="U160" i="7" s="1"/>
  <c r="Q1288" i="1"/>
  <c r="J186" i="6" s="1"/>
  <c r="P1288" i="1"/>
  <c r="X1287" i="1"/>
  <c r="U1287" i="1"/>
  <c r="T1287" i="1"/>
  <c r="S1287" i="1"/>
  <c r="Y1275" i="1"/>
  <c r="AO1275" i="1" s="1"/>
  <c r="X1275" i="1"/>
  <c r="U1275" i="1"/>
  <c r="T1275" i="1"/>
  <c r="S1275" i="1"/>
  <c r="R1275" i="1"/>
  <c r="AT1275" i="1" s="1"/>
  <c r="Q1275" i="1"/>
  <c r="AU1275" i="1" s="1"/>
  <c r="P1275" i="1"/>
  <c r="Y1308" i="1"/>
  <c r="X1308" i="1"/>
  <c r="U1308" i="1"/>
  <c r="T1308" i="1"/>
  <c r="S1308" i="1"/>
  <c r="R1308" i="1"/>
  <c r="Q1308" i="1"/>
  <c r="P1308" i="1"/>
  <c r="K209" i="6" s="1"/>
  <c r="Y1307" i="1"/>
  <c r="X1307" i="1"/>
  <c r="U1307" i="1"/>
  <c r="T1307" i="1"/>
  <c r="S1307" i="1"/>
  <c r="R1307" i="1"/>
  <c r="AT1307" i="1" s="1"/>
  <c r="Q1307" i="1"/>
  <c r="AU1307" i="1" s="1"/>
  <c r="P1307" i="1"/>
  <c r="K208" i="6" s="1"/>
  <c r="Y1306" i="1"/>
  <c r="X1306" i="1"/>
  <c r="U1306" i="1"/>
  <c r="T1306" i="1"/>
  <c r="S1306" i="1"/>
  <c r="R1306" i="1"/>
  <c r="I175" i="6" s="1"/>
  <c r="Q1306" i="1"/>
  <c r="P1306" i="1"/>
  <c r="K172" i="6" s="1"/>
  <c r="Y1305" i="1"/>
  <c r="AO1305" i="1" s="1"/>
  <c r="X1305" i="1"/>
  <c r="U1305" i="1"/>
  <c r="T1305" i="1"/>
  <c r="S1305" i="1"/>
  <c r="R1305" i="1"/>
  <c r="AT1305" i="1" s="1"/>
  <c r="Q1305" i="1"/>
  <c r="AU1305" i="1" s="1"/>
  <c r="P1305" i="1"/>
  <c r="Y1324" i="1"/>
  <c r="AO1324" i="1" s="1"/>
  <c r="X1324" i="1"/>
  <c r="U1324" i="1"/>
  <c r="T1324" i="1"/>
  <c r="S1324" i="1"/>
  <c r="R1324" i="1"/>
  <c r="AT1324" i="1" s="1"/>
  <c r="Q1324" i="1"/>
  <c r="AU1324" i="1" s="1"/>
  <c r="P1324" i="1"/>
  <c r="Y1282" i="1"/>
  <c r="AO1282" i="1" s="1"/>
  <c r="X1282" i="1"/>
  <c r="U1282" i="1"/>
  <c r="T1282" i="1"/>
  <c r="S1282" i="1"/>
  <c r="R1282" i="1"/>
  <c r="AT1282" i="1" s="1"/>
  <c r="Q1282" i="1"/>
  <c r="AU1282" i="1" s="1"/>
  <c r="P1282" i="1"/>
  <c r="Y1281" i="1"/>
  <c r="X1281" i="1"/>
  <c r="U1281" i="1"/>
  <c r="T1281" i="1"/>
  <c r="S1281" i="1"/>
  <c r="Q1281" i="1"/>
  <c r="P1281" i="1"/>
  <c r="Y1280" i="1"/>
  <c r="AO1280" i="1" s="1"/>
  <c r="X1280" i="1"/>
  <c r="U1280" i="1"/>
  <c r="T1280" i="1"/>
  <c r="V1280" i="1" s="1"/>
  <c r="S1280" i="1"/>
  <c r="R1280" i="1"/>
  <c r="AT1280" i="1" s="1"/>
  <c r="Q1280" i="1"/>
  <c r="AU1280" i="1" s="1"/>
  <c r="P1280" i="1"/>
  <c r="Y1277" i="1"/>
  <c r="AO1277" i="1" s="1"/>
  <c r="X1277" i="1"/>
  <c r="U1277" i="1"/>
  <c r="T1277" i="1"/>
  <c r="S1277" i="1"/>
  <c r="R1277" i="1"/>
  <c r="AT1277" i="1" s="1"/>
  <c r="Q1277" i="1"/>
  <c r="AU1277" i="1" s="1"/>
  <c r="P1277" i="1"/>
  <c r="X1276" i="1"/>
  <c r="U1276" i="1"/>
  <c r="T1276" i="1"/>
  <c r="S1276" i="1"/>
  <c r="X1279" i="1"/>
  <c r="U1279" i="1"/>
  <c r="T1279" i="1"/>
  <c r="S1279" i="1"/>
  <c r="X1278" i="1"/>
  <c r="U1278" i="1"/>
  <c r="T1278" i="1"/>
  <c r="S1278" i="1"/>
  <c r="Y1274" i="1"/>
  <c r="X1274" i="1"/>
  <c r="X1273" i="1"/>
  <c r="U1273" i="1"/>
  <c r="T1273" i="1"/>
  <c r="S1273" i="1"/>
  <c r="Y1320" i="1"/>
  <c r="AO1320" i="1" s="1"/>
  <c r="X1320" i="1"/>
  <c r="U1320" i="1"/>
  <c r="T1320" i="1"/>
  <c r="S1320" i="1"/>
  <c r="R1320" i="1"/>
  <c r="AT1320" i="1" s="1"/>
  <c r="Q1320" i="1"/>
  <c r="AU1320" i="1" s="1"/>
  <c r="P1320" i="1"/>
  <c r="X1319" i="1"/>
  <c r="U1319" i="1"/>
  <c r="T1319" i="1"/>
  <c r="S1319" i="1"/>
  <c r="X1330" i="1"/>
  <c r="U1330" i="1"/>
  <c r="T1330" i="1"/>
  <c r="S1330" i="1"/>
  <c r="Y1323" i="1"/>
  <c r="AO1323" i="1" s="1"/>
  <c r="X1323" i="1"/>
  <c r="U1323" i="1"/>
  <c r="T1323" i="1"/>
  <c r="S1323" i="1"/>
  <c r="R1323" i="1"/>
  <c r="AT1323" i="1" s="1"/>
  <c r="Q1323" i="1"/>
  <c r="AU1323" i="1" s="1"/>
  <c r="P1323" i="1"/>
  <c r="Y1322" i="1"/>
  <c r="AO1322" i="1" s="1"/>
  <c r="X1322" i="1"/>
  <c r="U1322" i="1"/>
  <c r="T1322" i="1"/>
  <c r="S1322" i="1"/>
  <c r="Q1322" i="1"/>
  <c r="AU1322" i="1" s="1"/>
  <c r="P1322" i="1"/>
  <c r="Y1321" i="1"/>
  <c r="AO1321" i="1" s="1"/>
  <c r="X1321" i="1"/>
  <c r="U1321" i="1"/>
  <c r="T1321" i="1"/>
  <c r="S1321" i="1"/>
  <c r="R1321" i="1"/>
  <c r="AT1321" i="1" s="1"/>
  <c r="Q1321" i="1"/>
  <c r="AU1321" i="1" s="1"/>
  <c r="P1321" i="1"/>
  <c r="Y1326" i="1"/>
  <c r="AO1326" i="1" s="1"/>
  <c r="X1326" i="1"/>
  <c r="U1326" i="1"/>
  <c r="T1326" i="1"/>
  <c r="S1326" i="1"/>
  <c r="R1326" i="1"/>
  <c r="AT1326" i="1" s="1"/>
  <c r="Q1326" i="1"/>
  <c r="AU1326" i="1" s="1"/>
  <c r="P1326" i="1"/>
  <c r="Y1325" i="1"/>
  <c r="AO1325" i="1" s="1"/>
  <c r="X1325" i="1"/>
  <c r="U1325" i="1"/>
  <c r="T1325" i="1"/>
  <c r="S1325" i="1"/>
  <c r="R1325" i="1"/>
  <c r="AT1325" i="1" s="1"/>
  <c r="Q1325" i="1"/>
  <c r="AU1325" i="1" s="1"/>
  <c r="P1325" i="1"/>
  <c r="X1329" i="1"/>
  <c r="U1329" i="1"/>
  <c r="T1329" i="1"/>
  <c r="S1329" i="1"/>
  <c r="Y1314" i="1"/>
  <c r="AO1314" i="1" s="1"/>
  <c r="X1314" i="1"/>
  <c r="U1314" i="1"/>
  <c r="T1314" i="1"/>
  <c r="S1314" i="1"/>
  <c r="R1314" i="1"/>
  <c r="AT1314" i="1" s="1"/>
  <c r="Q1314" i="1"/>
  <c r="AU1314" i="1" s="1"/>
  <c r="P1314" i="1"/>
  <c r="Y1313" i="1"/>
  <c r="X1313" i="1"/>
  <c r="U1313" i="1"/>
  <c r="T1313" i="1"/>
  <c r="S1313" i="1"/>
  <c r="R1313" i="1"/>
  <c r="I128" i="6" s="1"/>
  <c r="Q1313" i="1"/>
  <c r="P1313" i="1"/>
  <c r="K127" i="6" s="1"/>
  <c r="Y1328" i="1"/>
  <c r="AO1328" i="1" s="1"/>
  <c r="X1328" i="1"/>
  <c r="U1328" i="1"/>
  <c r="T1328" i="1"/>
  <c r="S1328" i="1"/>
  <c r="R1328" i="1"/>
  <c r="AT1328" i="1" s="1"/>
  <c r="Q1328" i="1"/>
  <c r="AU1328" i="1" s="1"/>
  <c r="P1328" i="1"/>
  <c r="Q1177" i="1"/>
  <c r="AU1177" i="1" s="1"/>
  <c r="T1178" i="1"/>
  <c r="X1258" i="1"/>
  <c r="U1258" i="1"/>
  <c r="T1258" i="1"/>
  <c r="S1258" i="1"/>
  <c r="X1257" i="1"/>
  <c r="U1257" i="1"/>
  <c r="T1257" i="1"/>
  <c r="S1257" i="1"/>
  <c r="Y1256" i="1"/>
  <c r="AO1256" i="1" s="1"/>
  <c r="X1256" i="1"/>
  <c r="U1256" i="1"/>
  <c r="T1256" i="1"/>
  <c r="S1256" i="1"/>
  <c r="R1256" i="1"/>
  <c r="AT1256" i="1" s="1"/>
  <c r="Q1256" i="1"/>
  <c r="AU1256" i="1" s="1"/>
  <c r="P1256" i="1"/>
  <c r="X1255" i="1"/>
  <c r="U1255" i="1"/>
  <c r="T1255" i="1"/>
  <c r="S1255" i="1"/>
  <c r="Y1254" i="1"/>
  <c r="AO1254" i="1" s="1"/>
  <c r="X1254" i="1"/>
  <c r="U1254" i="1"/>
  <c r="T1254" i="1"/>
  <c r="S1254" i="1"/>
  <c r="R1254" i="1"/>
  <c r="AT1254" i="1" s="1"/>
  <c r="Q1254" i="1"/>
  <c r="AU1254" i="1" s="1"/>
  <c r="P1254" i="1"/>
  <c r="Y1250" i="1"/>
  <c r="AO1250" i="1" s="1"/>
  <c r="X1250" i="1"/>
  <c r="U1250" i="1"/>
  <c r="T1250" i="1"/>
  <c r="S1250" i="1"/>
  <c r="R1250" i="1"/>
  <c r="AT1250" i="1" s="1"/>
  <c r="Q1250" i="1"/>
  <c r="AU1250" i="1" s="1"/>
  <c r="P1250" i="1"/>
  <c r="Y1249" i="1"/>
  <c r="AO1249" i="1" s="1"/>
  <c r="X1249" i="1"/>
  <c r="U1249" i="1"/>
  <c r="T1249" i="1"/>
  <c r="S1249" i="1"/>
  <c r="R1249" i="1"/>
  <c r="AT1249" i="1" s="1"/>
  <c r="Q1249" i="1"/>
  <c r="AU1249" i="1" s="1"/>
  <c r="P1249" i="1"/>
  <c r="X1248" i="1"/>
  <c r="U1248" i="1"/>
  <c r="T1248" i="1"/>
  <c r="S1248" i="1"/>
  <c r="Y1247" i="1"/>
  <c r="AO1247" i="1" s="1"/>
  <c r="AQ1247" i="1" s="1"/>
  <c r="X1247" i="1"/>
  <c r="U1247" i="1"/>
  <c r="T1247" i="1"/>
  <c r="S1247" i="1"/>
  <c r="R1247" i="1"/>
  <c r="AT1247" i="1" s="1"/>
  <c r="Q1247" i="1"/>
  <c r="AU1247" i="1" s="1"/>
  <c r="P1247" i="1"/>
  <c r="X1246" i="1"/>
  <c r="U1246" i="1"/>
  <c r="T1246" i="1"/>
  <c r="S1246" i="1"/>
  <c r="Y1262" i="1"/>
  <c r="AO1262" i="1" s="1"/>
  <c r="AQ1262" i="1" s="1"/>
  <c r="X1262" i="1"/>
  <c r="U1262" i="1"/>
  <c r="T1262" i="1"/>
  <c r="S1262" i="1"/>
  <c r="R1262" i="1"/>
  <c r="AT1262" i="1" s="1"/>
  <c r="Q1262" i="1"/>
  <c r="AU1262" i="1" s="1"/>
  <c r="P1262" i="1"/>
  <c r="Y1261" i="1"/>
  <c r="AO1261" i="1" s="1"/>
  <c r="X1261" i="1"/>
  <c r="U1261" i="1"/>
  <c r="T1261" i="1"/>
  <c r="S1261" i="1"/>
  <c r="R1261" i="1"/>
  <c r="AT1261" i="1" s="1"/>
  <c r="Q1261" i="1"/>
  <c r="AU1261" i="1" s="1"/>
  <c r="P1261" i="1"/>
  <c r="Y1271" i="1"/>
  <c r="AO1271" i="1" s="1"/>
  <c r="AQ1271" i="1" s="1"/>
  <c r="X1271" i="1"/>
  <c r="U1271" i="1"/>
  <c r="T1271" i="1"/>
  <c r="S1271" i="1"/>
  <c r="R1271" i="1"/>
  <c r="AT1271" i="1" s="1"/>
  <c r="Q1271" i="1"/>
  <c r="AU1271" i="1" s="1"/>
  <c r="P1271" i="1"/>
  <c r="Y1270" i="1"/>
  <c r="AO1270" i="1" s="1"/>
  <c r="AQ1270" i="1" s="1"/>
  <c r="X1270" i="1"/>
  <c r="U1270" i="1"/>
  <c r="T1270" i="1"/>
  <c r="S1270" i="1"/>
  <c r="R1270" i="1"/>
  <c r="AT1270" i="1" s="1"/>
  <c r="Q1270" i="1"/>
  <c r="AU1270" i="1" s="1"/>
  <c r="P1270" i="1"/>
  <c r="X1269" i="1"/>
  <c r="U1269" i="1"/>
  <c r="T1269" i="1"/>
  <c r="S1269" i="1"/>
  <c r="Y1268" i="1"/>
  <c r="AO1268" i="1" s="1"/>
  <c r="X1268" i="1"/>
  <c r="U1268" i="1"/>
  <c r="T1268" i="1"/>
  <c r="S1268" i="1"/>
  <c r="R1268" i="1"/>
  <c r="AT1268" i="1" s="1"/>
  <c r="Q1268" i="1"/>
  <c r="AU1268" i="1" s="1"/>
  <c r="P1268" i="1"/>
  <c r="Y1267" i="1"/>
  <c r="AO1267" i="1" s="1"/>
  <c r="X1267" i="1"/>
  <c r="U1267" i="1"/>
  <c r="T1267" i="1"/>
  <c r="S1267" i="1"/>
  <c r="R1267" i="1"/>
  <c r="AT1267" i="1" s="1"/>
  <c r="Q1267" i="1"/>
  <c r="AU1267" i="1" s="1"/>
  <c r="P1267" i="1"/>
  <c r="Y1266" i="1"/>
  <c r="AO1266" i="1" s="1"/>
  <c r="X1266" i="1"/>
  <c r="U1266" i="1"/>
  <c r="T1266" i="1"/>
  <c r="S1266" i="1"/>
  <c r="R1266" i="1"/>
  <c r="AT1266" i="1" s="1"/>
  <c r="Q1266" i="1"/>
  <c r="AU1266" i="1" s="1"/>
  <c r="P1266" i="1"/>
  <c r="Y1265" i="1"/>
  <c r="AO1265" i="1" s="1"/>
  <c r="X1265" i="1"/>
  <c r="U1265" i="1"/>
  <c r="T1265" i="1"/>
  <c r="S1265" i="1"/>
  <c r="R1265" i="1"/>
  <c r="AT1265" i="1" s="1"/>
  <c r="Q1265" i="1"/>
  <c r="AU1265" i="1" s="1"/>
  <c r="P1265" i="1"/>
  <c r="Y1264" i="1"/>
  <c r="AO1264" i="1" s="1"/>
  <c r="X1264" i="1"/>
  <c r="U1264" i="1"/>
  <c r="T1264" i="1"/>
  <c r="S1264" i="1"/>
  <c r="R1264" i="1"/>
  <c r="AT1264" i="1" s="1"/>
  <c r="Q1264" i="1"/>
  <c r="AU1264" i="1" s="1"/>
  <c r="P1264" i="1"/>
  <c r="X1260" i="1"/>
  <c r="U1260" i="1"/>
  <c r="T1260" i="1"/>
  <c r="S1260" i="1"/>
  <c r="Y1259" i="1"/>
  <c r="AO1259" i="1" s="1"/>
  <c r="AQ1259" i="1" s="1"/>
  <c r="X1259" i="1"/>
  <c r="U1259" i="1"/>
  <c r="T1259" i="1"/>
  <c r="S1259" i="1"/>
  <c r="R1259" i="1"/>
  <c r="AT1259" i="1" s="1"/>
  <c r="Q1259" i="1"/>
  <c r="AU1259" i="1" s="1"/>
  <c r="P1259" i="1"/>
  <c r="Y1272" i="1"/>
  <c r="AO1272" i="1" s="1"/>
  <c r="X1272" i="1"/>
  <c r="U1272" i="1"/>
  <c r="T1272" i="1"/>
  <c r="S1272" i="1"/>
  <c r="R1272" i="1"/>
  <c r="AT1272" i="1" s="1"/>
  <c r="Q1272" i="1"/>
  <c r="AU1272" i="1" s="1"/>
  <c r="P1272" i="1"/>
  <c r="Y1263" i="1"/>
  <c r="X1263" i="1"/>
  <c r="U1263" i="1"/>
  <c r="T1263" i="1"/>
  <c r="S1263" i="1"/>
  <c r="R1263" i="1"/>
  <c r="Q1263" i="1"/>
  <c r="J159" i="6" s="1"/>
  <c r="P1263" i="1"/>
  <c r="K159" i="6" s="1"/>
  <c r="Y1245" i="1"/>
  <c r="AO1245" i="1" s="1"/>
  <c r="X1245" i="1"/>
  <c r="U1245" i="1"/>
  <c r="T1245" i="1"/>
  <c r="S1245" i="1"/>
  <c r="R1245" i="1"/>
  <c r="AT1245" i="1" s="1"/>
  <c r="P1245" i="1"/>
  <c r="Y1244" i="1"/>
  <c r="AO1244" i="1" s="1"/>
  <c r="X1244" i="1"/>
  <c r="U1244" i="1"/>
  <c r="T1244" i="1"/>
  <c r="S1244" i="1"/>
  <c r="R1244" i="1"/>
  <c r="AT1244" i="1" s="1"/>
  <c r="Q1244" i="1"/>
  <c r="AU1244" i="1" s="1"/>
  <c r="P1244" i="1"/>
  <c r="Y1243" i="1"/>
  <c r="AO1243" i="1" s="1"/>
  <c r="X1243" i="1"/>
  <c r="U1243" i="1"/>
  <c r="T1243" i="1"/>
  <c r="S1243" i="1"/>
  <c r="R1243" i="1"/>
  <c r="AT1243" i="1" s="1"/>
  <c r="Q1243" i="1"/>
  <c r="AU1243" i="1" s="1"/>
  <c r="P1243" i="1"/>
  <c r="Y1253" i="1"/>
  <c r="P181" i="6" s="1"/>
  <c r="X1253" i="1"/>
  <c r="U1253" i="1"/>
  <c r="T1253" i="1"/>
  <c r="S1253" i="1"/>
  <c r="R1253" i="1"/>
  <c r="I185" i="6" s="1"/>
  <c r="Q1253" i="1"/>
  <c r="AU1253" i="1" s="1"/>
  <c r="P1253" i="1"/>
  <c r="Y1252" i="1"/>
  <c r="AO1252" i="1" s="1"/>
  <c r="X1252" i="1"/>
  <c r="U1252" i="1"/>
  <c r="T1252" i="1"/>
  <c r="S1252" i="1"/>
  <c r="R1252" i="1"/>
  <c r="AT1252" i="1" s="1"/>
  <c r="Q1252" i="1"/>
  <c r="AU1252" i="1" s="1"/>
  <c r="P1252" i="1"/>
  <c r="Y1251" i="1"/>
  <c r="AO1251" i="1" s="1"/>
  <c r="X1251" i="1"/>
  <c r="U1251" i="1"/>
  <c r="T1251" i="1"/>
  <c r="S1251" i="1"/>
  <c r="R1251" i="1"/>
  <c r="AT1251" i="1" s="1"/>
  <c r="Q1251" i="1"/>
  <c r="AU1251" i="1" s="1"/>
  <c r="P1251" i="1"/>
  <c r="X1310" i="1"/>
  <c r="U1310" i="1"/>
  <c r="T1310" i="1"/>
  <c r="S1310" i="1"/>
  <c r="X1309" i="1"/>
  <c r="U1309" i="1"/>
  <c r="T1309" i="1"/>
  <c r="S1309" i="1"/>
  <c r="X1318" i="1"/>
  <c r="U1318" i="1"/>
  <c r="T1318" i="1"/>
  <c r="S1318" i="1"/>
  <c r="Y1317" i="1"/>
  <c r="AO1317" i="1" s="1"/>
  <c r="X1317" i="1"/>
  <c r="U1317" i="1"/>
  <c r="T1317" i="1"/>
  <c r="S1317" i="1"/>
  <c r="R1317" i="1"/>
  <c r="AT1317" i="1" s="1"/>
  <c r="Q1317" i="1"/>
  <c r="AU1317" i="1" s="1"/>
  <c r="P1317" i="1"/>
  <c r="Y1316" i="1"/>
  <c r="AO1316" i="1" s="1"/>
  <c r="X1316" i="1"/>
  <c r="U1316" i="1"/>
  <c r="T1316" i="1"/>
  <c r="S1316" i="1"/>
  <c r="R1316" i="1"/>
  <c r="AT1316" i="1" s="1"/>
  <c r="Q1316" i="1"/>
  <c r="AU1316" i="1" s="1"/>
  <c r="P1316" i="1"/>
  <c r="X1315" i="1"/>
  <c r="U1315" i="1"/>
  <c r="T1315" i="1"/>
  <c r="S1315" i="1"/>
  <c r="Y1382" i="1"/>
  <c r="AO1382" i="1" s="1"/>
  <c r="AQ1382" i="1" s="1"/>
  <c r="X1382" i="1"/>
  <c r="U1382" i="1"/>
  <c r="T1382" i="1"/>
  <c r="S1382" i="1"/>
  <c r="R1382" i="1"/>
  <c r="Q1382" i="1"/>
  <c r="AU1382" i="1" s="1"/>
  <c r="P1382" i="1"/>
  <c r="K329" i="6" s="1"/>
  <c r="Y1292" i="1"/>
  <c r="AO1292" i="1" s="1"/>
  <c r="X1292" i="1"/>
  <c r="U1292" i="1"/>
  <c r="T1292" i="1"/>
  <c r="S1292" i="1"/>
  <c r="R1292" i="1"/>
  <c r="AT1292" i="1" s="1"/>
  <c r="Q1292" i="1"/>
  <c r="AU1292" i="1" s="1"/>
  <c r="P1292" i="1"/>
  <c r="X1327" i="1"/>
  <c r="U1327" i="1"/>
  <c r="T1327" i="1"/>
  <c r="S1327" i="1"/>
  <c r="Y1312" i="1"/>
  <c r="AO1312" i="1" s="1"/>
  <c r="X1312" i="1"/>
  <c r="U1312" i="1"/>
  <c r="T1312" i="1"/>
  <c r="S1312" i="1"/>
  <c r="R1312" i="1"/>
  <c r="AT1312" i="1" s="1"/>
  <c r="Q1312" i="1"/>
  <c r="AU1312" i="1" s="1"/>
  <c r="P1312" i="1"/>
  <c r="X1311" i="1"/>
  <c r="U1311" i="1"/>
  <c r="T1311" i="1"/>
  <c r="S1311" i="1"/>
  <c r="Y1300" i="1"/>
  <c r="AO1300" i="1" s="1"/>
  <c r="X1300" i="1"/>
  <c r="U1300" i="1"/>
  <c r="T1300" i="1"/>
  <c r="S1300" i="1"/>
  <c r="R1300" i="1"/>
  <c r="AT1300" i="1" s="1"/>
  <c r="Q1300" i="1"/>
  <c r="AU1300" i="1" s="1"/>
  <c r="P1300" i="1"/>
  <c r="Y1299" i="1"/>
  <c r="AO1299" i="1" s="1"/>
  <c r="X1299" i="1"/>
  <c r="U1299" i="1"/>
  <c r="T1299" i="1"/>
  <c r="S1299" i="1"/>
  <c r="R1299" i="1"/>
  <c r="AT1299" i="1" s="1"/>
  <c r="Q1299" i="1"/>
  <c r="AU1299" i="1" s="1"/>
  <c r="P1299" i="1"/>
  <c r="Y1298" i="1"/>
  <c r="AO1298" i="1" s="1"/>
  <c r="X1298" i="1"/>
  <c r="U1298" i="1"/>
  <c r="T1298" i="1"/>
  <c r="S1298" i="1"/>
  <c r="R1298" i="1"/>
  <c r="AT1298" i="1" s="1"/>
  <c r="Q1298" i="1"/>
  <c r="AU1298" i="1" s="1"/>
  <c r="P1298" i="1"/>
  <c r="Y1297" i="1"/>
  <c r="AO1297" i="1" s="1"/>
  <c r="X1297" i="1"/>
  <c r="U1297" i="1"/>
  <c r="T1297" i="1"/>
  <c r="S1297" i="1"/>
  <c r="R1297" i="1"/>
  <c r="AT1297" i="1" s="1"/>
  <c r="Q1297" i="1"/>
  <c r="AU1297" i="1" s="1"/>
  <c r="P1297" i="1"/>
  <c r="X1238" i="1"/>
  <c r="W1238" i="1"/>
  <c r="U1238" i="1"/>
  <c r="T1238" i="1"/>
  <c r="S1238" i="1"/>
  <c r="X1237" i="1"/>
  <c r="W1237" i="1"/>
  <c r="U1237" i="1"/>
  <c r="T1237" i="1"/>
  <c r="S1237" i="1"/>
  <c r="Y1231" i="1"/>
  <c r="AO1231" i="1" s="1"/>
  <c r="X1231" i="1"/>
  <c r="U1231" i="1"/>
  <c r="T1231" i="1"/>
  <c r="S1231" i="1"/>
  <c r="R1231" i="1"/>
  <c r="AT1231" i="1" s="1"/>
  <c r="Q1231" i="1"/>
  <c r="AU1231" i="1" s="1"/>
  <c r="P1231" i="1"/>
  <c r="Y1230" i="1"/>
  <c r="AO1230" i="1" s="1"/>
  <c r="X1230" i="1"/>
  <c r="W1230" i="1"/>
  <c r="U1230" i="1"/>
  <c r="T1230" i="1"/>
  <c r="S1230" i="1"/>
  <c r="R1230" i="1"/>
  <c r="AT1230" i="1" s="1"/>
  <c r="Q1230" i="1"/>
  <c r="AU1230" i="1" s="1"/>
  <c r="P1230" i="1"/>
  <c r="X1229" i="1"/>
  <c r="W1229" i="1"/>
  <c r="U1229" i="1"/>
  <c r="T1229" i="1"/>
  <c r="S1229" i="1"/>
  <c r="Y1212" i="1"/>
  <c r="AO1212" i="1" s="1"/>
  <c r="X1212" i="1"/>
  <c r="W1212" i="1"/>
  <c r="U1212" i="1"/>
  <c r="T1212" i="1"/>
  <c r="S1212" i="1"/>
  <c r="R1212" i="1"/>
  <c r="AT1212" i="1" s="1"/>
  <c r="Q1212" i="1"/>
  <c r="AU1212" i="1" s="1"/>
  <c r="P1212" i="1"/>
  <c r="Y1286" i="1"/>
  <c r="AO1286" i="1" s="1"/>
  <c r="AQ1286" i="1" s="1"/>
  <c r="X1286" i="1"/>
  <c r="U1286" i="1"/>
  <c r="T1286" i="1"/>
  <c r="S1286" i="1"/>
  <c r="R1286" i="1"/>
  <c r="AT1286" i="1" s="1"/>
  <c r="Q1286" i="1"/>
  <c r="AU1286" i="1" s="1"/>
  <c r="P1286" i="1"/>
  <c r="Y1285" i="1"/>
  <c r="X1285" i="1"/>
  <c r="U1285" i="1"/>
  <c r="Y1284" i="1"/>
  <c r="AO1284" i="1" s="1"/>
  <c r="X1284" i="1"/>
  <c r="U1284" i="1"/>
  <c r="T1284" i="1"/>
  <c r="S1284" i="1"/>
  <c r="R1284" i="1"/>
  <c r="AT1284" i="1" s="1"/>
  <c r="P1284" i="1"/>
  <c r="Y1283" i="1"/>
  <c r="AO1283" i="1" s="1"/>
  <c r="X1283" i="1"/>
  <c r="U1283" i="1"/>
  <c r="T1283" i="1"/>
  <c r="S1283" i="1"/>
  <c r="R1283" i="1"/>
  <c r="AT1283" i="1" s="1"/>
  <c r="P1283" i="1"/>
  <c r="U126" i="20"/>
  <c r="U127" i="20"/>
  <c r="U128" i="20"/>
  <c r="U129" i="20"/>
  <c r="U130" i="20"/>
  <c r="U131" i="20"/>
  <c r="U132" i="20"/>
  <c r="U133" i="20"/>
  <c r="U134" i="20"/>
  <c r="U135" i="20"/>
  <c r="U136" i="20"/>
  <c r="W117" i="20"/>
  <c r="W118" i="20"/>
  <c r="W119" i="20"/>
  <c r="W120" i="20"/>
  <c r="W121" i="20"/>
  <c r="W122" i="20"/>
  <c r="W123" i="20"/>
  <c r="W124" i="20"/>
  <c r="W125" i="20"/>
  <c r="W107" i="20"/>
  <c r="W110" i="20"/>
  <c r="W111" i="20"/>
  <c r="W112" i="20"/>
  <c r="W113" i="20"/>
  <c r="W114" i="20"/>
  <c r="W115" i="20"/>
  <c r="W116" i="20"/>
  <c r="W109" i="20"/>
  <c r="P1602" i="1"/>
  <c r="K2885" i="33" s="1"/>
  <c r="Q1602" i="1"/>
  <c r="AU1602" i="1" s="1"/>
  <c r="R1602" i="1"/>
  <c r="I2886" i="33" s="1"/>
  <c r="S1602" i="1"/>
  <c r="T1602" i="1"/>
  <c r="U1602" i="1"/>
  <c r="X1602" i="1"/>
  <c r="Y1602" i="1"/>
  <c r="R208" i="1"/>
  <c r="AT208" i="1" s="1"/>
  <c r="Y1302" i="1"/>
  <c r="AO1302" i="1" s="1"/>
  <c r="AQ1302" i="1" s="1"/>
  <c r="X1302" i="1"/>
  <c r="U1302" i="1"/>
  <c r="T1302" i="1"/>
  <c r="S1302" i="1"/>
  <c r="R1302" i="1"/>
  <c r="AT1302" i="1" s="1"/>
  <c r="Q1302" i="1"/>
  <c r="AU1302" i="1" s="1"/>
  <c r="P1302" i="1"/>
  <c r="Y1301" i="1"/>
  <c r="AO1301" i="1" s="1"/>
  <c r="X1301" i="1"/>
  <c r="U1301" i="1"/>
  <c r="T1301" i="1"/>
  <c r="S1301" i="1"/>
  <c r="R1301" i="1"/>
  <c r="AT1301" i="1" s="1"/>
  <c r="Q1301" i="1"/>
  <c r="AU1301" i="1" s="1"/>
  <c r="P1301" i="1"/>
  <c r="Y1234" i="1"/>
  <c r="AO1234" i="1" s="1"/>
  <c r="X1234" i="1"/>
  <c r="U1234" i="1"/>
  <c r="T1234" i="1"/>
  <c r="S1234" i="1"/>
  <c r="R1234" i="1"/>
  <c r="AT1234" i="1" s="1"/>
  <c r="Q1234" i="1"/>
  <c r="AU1234" i="1" s="1"/>
  <c r="P1234" i="1"/>
  <c r="Y1233" i="1"/>
  <c r="AO1233" i="1" s="1"/>
  <c r="X1233" i="1"/>
  <c r="X1211" i="1"/>
  <c r="W1211" i="1"/>
  <c r="U1211" i="1"/>
  <c r="T1211" i="1"/>
  <c r="S1211" i="1"/>
  <c r="X1217" i="1"/>
  <c r="W1217" i="1"/>
  <c r="U1217" i="1"/>
  <c r="T1217" i="1"/>
  <c r="S1217" i="1"/>
  <c r="X1216" i="1"/>
  <c r="W1216" i="1"/>
  <c r="U1216" i="1"/>
  <c r="T1216" i="1"/>
  <c r="S1216" i="1"/>
  <c r="X1215" i="1"/>
  <c r="W1215" i="1"/>
  <c r="U1215" i="1"/>
  <c r="T1215" i="1"/>
  <c r="S1215" i="1"/>
  <c r="X1214" i="1"/>
  <c r="W1214" i="1"/>
  <c r="U1214" i="1"/>
  <c r="T1214" i="1"/>
  <c r="S1214" i="1"/>
  <c r="X1225" i="1"/>
  <c r="W1225" i="1"/>
  <c r="U1225" i="1"/>
  <c r="T1225" i="1"/>
  <c r="S1225" i="1"/>
  <c r="Y1224" i="1"/>
  <c r="AO1224" i="1" s="1"/>
  <c r="X1224" i="1"/>
  <c r="W1224" i="1"/>
  <c r="U1224" i="1"/>
  <c r="T1224" i="1"/>
  <c r="S1224" i="1"/>
  <c r="R1224" i="1"/>
  <c r="AT1224" i="1" s="1"/>
  <c r="Q1224" i="1"/>
  <c r="AU1224" i="1" s="1"/>
  <c r="P1224" i="1"/>
  <c r="Y1213" i="1"/>
  <c r="AO1213" i="1" s="1"/>
  <c r="X1213" i="1"/>
  <c r="W1213" i="1"/>
  <c r="U1213" i="1"/>
  <c r="T1213" i="1"/>
  <c r="S1213" i="1"/>
  <c r="R1213" i="1"/>
  <c r="AT1213" i="1" s="1"/>
  <c r="Q1213" i="1"/>
  <c r="AU1213" i="1" s="1"/>
  <c r="P1213" i="1"/>
  <c r="Y1210" i="1"/>
  <c r="AO1210" i="1" s="1"/>
  <c r="X1210" i="1"/>
  <c r="W1210" i="1"/>
  <c r="U1210" i="1"/>
  <c r="T1210" i="1"/>
  <c r="S1210" i="1"/>
  <c r="R1210" i="1"/>
  <c r="AT1210" i="1" s="1"/>
  <c r="Q1210" i="1"/>
  <c r="AU1210" i="1" s="1"/>
  <c r="P1210" i="1"/>
  <c r="Y1209" i="1"/>
  <c r="AO1209" i="1" s="1"/>
  <c r="X1209" i="1"/>
  <c r="W1209" i="1"/>
  <c r="U1209" i="1"/>
  <c r="T1209" i="1"/>
  <c r="S1209" i="1"/>
  <c r="R1209" i="1"/>
  <c r="AT1209" i="1" s="1"/>
  <c r="Q1209" i="1"/>
  <c r="AU1209" i="1" s="1"/>
  <c r="P1209" i="1"/>
  <c r="Y1223" i="1"/>
  <c r="AO1223" i="1" s="1"/>
  <c r="X1223" i="1"/>
  <c r="W1223" i="1"/>
  <c r="U1223" i="1"/>
  <c r="T1223" i="1"/>
  <c r="S1223" i="1"/>
  <c r="R1223" i="1"/>
  <c r="AT1223" i="1" s="1"/>
  <c r="Q1223" i="1"/>
  <c r="AU1223" i="1" s="1"/>
  <c r="P1223" i="1"/>
  <c r="Y1222" i="1"/>
  <c r="AO1222" i="1" s="1"/>
  <c r="AQ1222" i="1" s="1"/>
  <c r="X1222" i="1"/>
  <c r="W1222" i="1"/>
  <c r="U1222" i="1"/>
  <c r="T1222" i="1"/>
  <c r="S1222" i="1"/>
  <c r="R1222" i="1"/>
  <c r="AT1222" i="1" s="1"/>
  <c r="Q1222" i="1"/>
  <c r="AU1222" i="1" s="1"/>
  <c r="P1222" i="1"/>
  <c r="P1175" i="1"/>
  <c r="Q1175" i="1"/>
  <c r="AU1175" i="1" s="1"/>
  <c r="R1175" i="1"/>
  <c r="AT1175" i="1" s="1"/>
  <c r="S1175" i="1"/>
  <c r="T1175" i="1"/>
  <c r="U1175" i="1"/>
  <c r="P1177" i="1"/>
  <c r="R1177" i="1"/>
  <c r="AT1177" i="1" s="1"/>
  <c r="S1177" i="1"/>
  <c r="T1177" i="1"/>
  <c r="U1177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402" i="1"/>
  <c r="W1024" i="1"/>
  <c r="W1025" i="1"/>
  <c r="W1026" i="1"/>
  <c r="W1027" i="1"/>
  <c r="W1028" i="1"/>
  <c r="W1403" i="1"/>
  <c r="W1404" i="1"/>
  <c r="W1029" i="1"/>
  <c r="W1030" i="1"/>
  <c r="W1031" i="1"/>
  <c r="W1032" i="1"/>
  <c r="W1033" i="1"/>
  <c r="W1034" i="1"/>
  <c r="W1035" i="1"/>
  <c r="W1036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21" i="1"/>
  <c r="W1122" i="1"/>
  <c r="W1123" i="1"/>
  <c r="W1124" i="1"/>
  <c r="W1125" i="1"/>
  <c r="W1126" i="1"/>
  <c r="W1113" i="1"/>
  <c r="W1114" i="1"/>
  <c r="W1115" i="1"/>
  <c r="W1116" i="1"/>
  <c r="W1117" i="1"/>
  <c r="W1127" i="1"/>
  <c r="W1128" i="1"/>
  <c r="W1118" i="1"/>
  <c r="W1119" i="1"/>
  <c r="W1120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8" i="1"/>
  <c r="W1144" i="1"/>
  <c r="W1149" i="1"/>
  <c r="W1145" i="1"/>
  <c r="W1146" i="1"/>
  <c r="W1147" i="1"/>
  <c r="W1185" i="1"/>
  <c r="W1186" i="1"/>
  <c r="W1187" i="1"/>
  <c r="W1188" i="1"/>
  <c r="W1189" i="1"/>
  <c r="W1190" i="1"/>
  <c r="W1205" i="1"/>
  <c r="W1206" i="1"/>
  <c r="W1207" i="1"/>
  <c r="W1208" i="1"/>
  <c r="W1150" i="1"/>
  <c r="W1151" i="1"/>
  <c r="W1155" i="1"/>
  <c r="W1156" i="1"/>
  <c r="W1157" i="1"/>
  <c r="W1158" i="1"/>
  <c r="W1152" i="1"/>
  <c r="W1153" i="1"/>
  <c r="W1154" i="1"/>
  <c r="W1159" i="1"/>
  <c r="W1191" i="1"/>
  <c r="W1176" i="1"/>
  <c r="W1192" i="1"/>
  <c r="W1174" i="1"/>
  <c r="W1175" i="1"/>
  <c r="W1177" i="1"/>
  <c r="W1178" i="1"/>
  <c r="W1179" i="1"/>
  <c r="W1193" i="1"/>
  <c r="W1173" i="1"/>
  <c r="W1164" i="1"/>
  <c r="W1165" i="1"/>
  <c r="W1196" i="1"/>
  <c r="W1183" i="1"/>
  <c r="W1184" i="1"/>
  <c r="W1169" i="1"/>
  <c r="W1170" i="1"/>
  <c r="W1171" i="1"/>
  <c r="W1172" i="1"/>
  <c r="W1198" i="1"/>
  <c r="W1199" i="1"/>
  <c r="W1194" i="1"/>
  <c r="W1195" i="1"/>
  <c r="W1161" i="1"/>
  <c r="W1162" i="1"/>
  <c r="W1163" i="1"/>
  <c r="W1160" i="1"/>
  <c r="W1200" i="1"/>
  <c r="W1201" i="1"/>
  <c r="W1232" i="1"/>
  <c r="W1166" i="1"/>
  <c r="W1167" i="1"/>
  <c r="W1168" i="1"/>
  <c r="W1239" i="1"/>
  <c r="W1202" i="1"/>
  <c r="W1203" i="1"/>
  <c r="W1204" i="1"/>
  <c r="W1197" i="1"/>
  <c r="W1180" i="1"/>
  <c r="W1181" i="1"/>
  <c r="W1182" i="1"/>
  <c r="W1235" i="1"/>
  <c r="W1236" i="1"/>
  <c r="W1226" i="1"/>
  <c r="W1227" i="1"/>
  <c r="W1228" i="1"/>
  <c r="W1218" i="1"/>
  <c r="W1219" i="1"/>
  <c r="W1220" i="1"/>
  <c r="W1221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2" i="1"/>
  <c r="X1178" i="1"/>
  <c r="S1178" i="1"/>
  <c r="U1178" i="1"/>
  <c r="Q1179" i="1"/>
  <c r="AU1179" i="1" s="1"/>
  <c r="Q1173" i="1"/>
  <c r="AU1173" i="1" s="1"/>
  <c r="Q1196" i="1"/>
  <c r="AU1196" i="1" s="1"/>
  <c r="Q1184" i="1"/>
  <c r="AU1184" i="1" s="1"/>
  <c r="Q1169" i="1"/>
  <c r="AU1169" i="1" s="1"/>
  <c r="Q1170" i="1"/>
  <c r="AU1170" i="1" s="1"/>
  <c r="Q1171" i="1"/>
  <c r="AU1171" i="1" s="1"/>
  <c r="Q1198" i="1"/>
  <c r="AU1198" i="1" s="1"/>
  <c r="Q1199" i="1"/>
  <c r="AU1199" i="1" s="1"/>
  <c r="Q1194" i="1"/>
  <c r="AU1194" i="1" s="1"/>
  <c r="Q1195" i="1"/>
  <c r="AU1195" i="1" s="1"/>
  <c r="Q1161" i="1"/>
  <c r="AU1161" i="1" s="1"/>
  <c r="Q1163" i="1"/>
  <c r="AU1163" i="1" s="1"/>
  <c r="Q1200" i="1"/>
  <c r="AU1200" i="1" s="1"/>
  <c r="Q1232" i="1"/>
  <c r="J238" i="6" s="1"/>
  <c r="Q1167" i="1"/>
  <c r="AU1167" i="1" s="1"/>
  <c r="Q1239" i="1"/>
  <c r="AU1239" i="1" s="1"/>
  <c r="Q1202" i="1"/>
  <c r="AU1202" i="1" s="1"/>
  <c r="Q1203" i="1"/>
  <c r="AU1203" i="1" s="1"/>
  <c r="Q1204" i="1"/>
  <c r="AU1204" i="1" s="1"/>
  <c r="Q1197" i="1"/>
  <c r="AU1197" i="1" s="1"/>
  <c r="Q1180" i="1"/>
  <c r="AU1180" i="1" s="1"/>
  <c r="Q1181" i="1"/>
  <c r="AU1181" i="1" s="1"/>
  <c r="Q1182" i="1"/>
  <c r="AU1182" i="1" s="1"/>
  <c r="Q1240" i="1"/>
  <c r="AU1240" i="1" s="1"/>
  <c r="Q1241" i="1"/>
  <c r="Q1242" i="1"/>
  <c r="AU1242" i="1" s="1"/>
  <c r="Q1235" i="1"/>
  <c r="AU1235" i="1" s="1"/>
  <c r="Q1236" i="1"/>
  <c r="AU1236" i="1" s="1"/>
  <c r="Q1227" i="1"/>
  <c r="AU1227" i="1" s="1"/>
  <c r="Q1218" i="1"/>
  <c r="AU1218" i="1" s="1"/>
  <c r="Q1219" i="1"/>
  <c r="AU1219" i="1" s="1"/>
  <c r="Q1220" i="1"/>
  <c r="AU1220" i="1" s="1"/>
  <c r="Q1221" i="1"/>
  <c r="AU1221" i="1" s="1"/>
  <c r="Q1303" i="1"/>
  <c r="AU1303" i="1" s="1"/>
  <c r="Q1304" i="1"/>
  <c r="AU1304" i="1" s="1"/>
  <c r="Y1304" i="1"/>
  <c r="AO1304" i="1" s="1"/>
  <c r="X1304" i="1"/>
  <c r="U1304" i="1"/>
  <c r="T1304" i="1"/>
  <c r="S1304" i="1"/>
  <c r="R1304" i="1"/>
  <c r="AT1304" i="1" s="1"/>
  <c r="P1304" i="1"/>
  <c r="Y1303" i="1"/>
  <c r="AO1303" i="1" s="1"/>
  <c r="X1303" i="1"/>
  <c r="U1303" i="1"/>
  <c r="T1303" i="1"/>
  <c r="S1303" i="1"/>
  <c r="R1303" i="1"/>
  <c r="AT1303" i="1" s="1"/>
  <c r="P1303" i="1"/>
  <c r="Y1221" i="1"/>
  <c r="AO1221" i="1" s="1"/>
  <c r="X1221" i="1"/>
  <c r="U1221" i="1"/>
  <c r="T1221" i="1"/>
  <c r="S1221" i="1"/>
  <c r="R1221" i="1"/>
  <c r="AT1221" i="1" s="1"/>
  <c r="P1221" i="1"/>
  <c r="Y1220" i="1"/>
  <c r="AO1220" i="1" s="1"/>
  <c r="X1220" i="1"/>
  <c r="U1220" i="1"/>
  <c r="T1220" i="1"/>
  <c r="S1220" i="1"/>
  <c r="R1220" i="1"/>
  <c r="AT1220" i="1" s="1"/>
  <c r="P1220" i="1"/>
  <c r="Y1219" i="1"/>
  <c r="AO1219" i="1" s="1"/>
  <c r="X1219" i="1"/>
  <c r="U1219" i="1"/>
  <c r="T1219" i="1"/>
  <c r="S1219" i="1"/>
  <c r="R1219" i="1"/>
  <c r="AT1219" i="1" s="1"/>
  <c r="P1219" i="1"/>
  <c r="Y1218" i="1"/>
  <c r="AO1218" i="1" s="1"/>
  <c r="X1218" i="1"/>
  <c r="U1218" i="1"/>
  <c r="T1218" i="1"/>
  <c r="S1218" i="1"/>
  <c r="R1218" i="1"/>
  <c r="AT1218" i="1" s="1"/>
  <c r="P1218" i="1"/>
  <c r="X1228" i="1"/>
  <c r="U1228" i="1"/>
  <c r="T1228" i="1"/>
  <c r="S1228" i="1"/>
  <c r="Y1227" i="1"/>
  <c r="AO1227" i="1" s="1"/>
  <c r="X1227" i="1"/>
  <c r="U1227" i="1"/>
  <c r="T1227" i="1"/>
  <c r="S1227" i="1"/>
  <c r="R1227" i="1"/>
  <c r="AT1227" i="1" s="1"/>
  <c r="P1227" i="1"/>
  <c r="X1226" i="1"/>
  <c r="U1226" i="1"/>
  <c r="T1226" i="1"/>
  <c r="S1226" i="1"/>
  <c r="Y1236" i="1"/>
  <c r="AO1236" i="1" s="1"/>
  <c r="X1236" i="1"/>
  <c r="U1236" i="1"/>
  <c r="T1236" i="1"/>
  <c r="S1236" i="1"/>
  <c r="R1236" i="1"/>
  <c r="AT1236" i="1" s="1"/>
  <c r="P1236" i="1"/>
  <c r="Y1235" i="1"/>
  <c r="AO1235" i="1" s="1"/>
  <c r="X1235" i="1"/>
  <c r="U1235" i="1"/>
  <c r="T1235" i="1"/>
  <c r="S1235" i="1"/>
  <c r="R1235" i="1"/>
  <c r="AT1235" i="1" s="1"/>
  <c r="P1235" i="1"/>
  <c r="Y1242" i="1"/>
  <c r="AO1242" i="1" s="1"/>
  <c r="X1242" i="1"/>
  <c r="U1242" i="1"/>
  <c r="T1242" i="1"/>
  <c r="S1242" i="1"/>
  <c r="R1242" i="1"/>
  <c r="AT1242" i="1" s="1"/>
  <c r="P1242" i="1"/>
  <c r="Y1241" i="1"/>
  <c r="AO1241" i="1" s="1"/>
  <c r="X1241" i="1"/>
  <c r="U1241" i="1"/>
  <c r="T1241" i="1"/>
  <c r="S1241" i="1"/>
  <c r="R1241" i="1"/>
  <c r="P1241" i="1"/>
  <c r="K153" i="6" s="1"/>
  <c r="Y1240" i="1"/>
  <c r="AO1240" i="1" s="1"/>
  <c r="X1240" i="1"/>
  <c r="U1240" i="1"/>
  <c r="T1240" i="1"/>
  <c r="S1240" i="1"/>
  <c r="R1240" i="1"/>
  <c r="AT1240" i="1" s="1"/>
  <c r="P1240" i="1"/>
  <c r="Y1182" i="1"/>
  <c r="AO1182" i="1" s="1"/>
  <c r="AQ1182" i="1" s="1"/>
  <c r="X1182" i="1"/>
  <c r="U1182" i="1"/>
  <c r="T1182" i="1"/>
  <c r="S1182" i="1"/>
  <c r="R1182" i="1"/>
  <c r="AT1182" i="1" s="1"/>
  <c r="P1182" i="1"/>
  <c r="Y1181" i="1"/>
  <c r="AO1181" i="1" s="1"/>
  <c r="X1181" i="1"/>
  <c r="U1181" i="1"/>
  <c r="T1181" i="1"/>
  <c r="S1181" i="1"/>
  <c r="R1181" i="1"/>
  <c r="AT1181" i="1" s="1"/>
  <c r="P1181" i="1"/>
  <c r="Y1180" i="1"/>
  <c r="AO1180" i="1" s="1"/>
  <c r="X1180" i="1"/>
  <c r="U1180" i="1"/>
  <c r="T1180" i="1"/>
  <c r="S1180" i="1"/>
  <c r="R1180" i="1"/>
  <c r="AT1180" i="1" s="1"/>
  <c r="P1180" i="1"/>
  <c r="Y1197" i="1"/>
  <c r="AO1197" i="1" s="1"/>
  <c r="X1197" i="1"/>
  <c r="U1197" i="1"/>
  <c r="T1197" i="1"/>
  <c r="S1197" i="1"/>
  <c r="R1197" i="1"/>
  <c r="AT1197" i="1" s="1"/>
  <c r="P1197" i="1"/>
  <c r="Y1194" i="1"/>
  <c r="AO1194" i="1" s="1"/>
  <c r="X1194" i="1"/>
  <c r="U1194" i="1"/>
  <c r="T1194" i="1"/>
  <c r="S1194" i="1"/>
  <c r="R1194" i="1"/>
  <c r="AT1194" i="1" s="1"/>
  <c r="P1194" i="1"/>
  <c r="X1172" i="1"/>
  <c r="U1172" i="1"/>
  <c r="T1172" i="1"/>
  <c r="S1172" i="1"/>
  <c r="Y1199" i="1"/>
  <c r="AO1199" i="1" s="1"/>
  <c r="X1199" i="1"/>
  <c r="U1199" i="1"/>
  <c r="T1199" i="1"/>
  <c r="S1199" i="1"/>
  <c r="R1199" i="1"/>
  <c r="AT1199" i="1" s="1"/>
  <c r="P1199" i="1"/>
  <c r="Y1198" i="1"/>
  <c r="AO1198" i="1" s="1"/>
  <c r="AQ1198" i="1" s="1"/>
  <c r="X1198" i="1"/>
  <c r="U1198" i="1"/>
  <c r="T1198" i="1"/>
  <c r="S1198" i="1"/>
  <c r="R1198" i="1"/>
  <c r="AT1198" i="1" s="1"/>
  <c r="P1198" i="1"/>
  <c r="Y1171" i="1"/>
  <c r="AO1171" i="1" s="1"/>
  <c r="X1171" i="1"/>
  <c r="U1171" i="1"/>
  <c r="T1171" i="1"/>
  <c r="S1171" i="1"/>
  <c r="R1171" i="1"/>
  <c r="AT1171" i="1" s="1"/>
  <c r="P1171" i="1"/>
  <c r="Y1170" i="1"/>
  <c r="AO1170" i="1" s="1"/>
  <c r="AQ1170" i="1" s="1"/>
  <c r="X1170" i="1"/>
  <c r="U1170" i="1"/>
  <c r="T1170" i="1"/>
  <c r="S1170" i="1"/>
  <c r="R1170" i="1"/>
  <c r="AT1170" i="1" s="1"/>
  <c r="P1170" i="1"/>
  <c r="Y1169" i="1"/>
  <c r="AO1169" i="1" s="1"/>
  <c r="X1169" i="1"/>
  <c r="U1169" i="1"/>
  <c r="T1169" i="1"/>
  <c r="S1169" i="1"/>
  <c r="R1169" i="1"/>
  <c r="AT1169" i="1" s="1"/>
  <c r="P1169" i="1"/>
  <c r="Y1184" i="1"/>
  <c r="AO1184" i="1" s="1"/>
  <c r="X1184" i="1"/>
  <c r="U1184" i="1"/>
  <c r="T1184" i="1"/>
  <c r="S1184" i="1"/>
  <c r="R1184" i="1"/>
  <c r="AT1184" i="1" s="1"/>
  <c r="P1184" i="1"/>
  <c r="X1183" i="1"/>
  <c r="U1183" i="1"/>
  <c r="T1183" i="1"/>
  <c r="S1183" i="1"/>
  <c r="Y1196" i="1"/>
  <c r="AO1196" i="1" s="1"/>
  <c r="X1196" i="1"/>
  <c r="U1196" i="1"/>
  <c r="T1196" i="1"/>
  <c r="S1196" i="1"/>
  <c r="R1196" i="1"/>
  <c r="AT1196" i="1" s="1"/>
  <c r="P1196" i="1"/>
  <c r="X1165" i="1"/>
  <c r="U1165" i="1"/>
  <c r="T1165" i="1"/>
  <c r="S1165" i="1"/>
  <c r="X1164" i="1"/>
  <c r="U1164" i="1"/>
  <c r="T1164" i="1"/>
  <c r="S1164" i="1"/>
  <c r="Y1173" i="1"/>
  <c r="AO1173" i="1" s="1"/>
  <c r="X1173" i="1"/>
  <c r="U1173" i="1"/>
  <c r="T1173" i="1"/>
  <c r="S1173" i="1"/>
  <c r="R1173" i="1"/>
  <c r="AT1173" i="1" s="1"/>
  <c r="P1173" i="1"/>
  <c r="X1193" i="1"/>
  <c r="U1193" i="1"/>
  <c r="T1193" i="1"/>
  <c r="S1193" i="1"/>
  <c r="Y1179" i="1"/>
  <c r="AO1179" i="1" s="1"/>
  <c r="X1179" i="1"/>
  <c r="U1179" i="1"/>
  <c r="T1179" i="1"/>
  <c r="S1179" i="1"/>
  <c r="R1179" i="1"/>
  <c r="AT1179" i="1" s="1"/>
  <c r="P1179" i="1"/>
  <c r="Y1177" i="1"/>
  <c r="AO1177" i="1" s="1"/>
  <c r="X1177" i="1"/>
  <c r="Y1175" i="1"/>
  <c r="AO1175" i="1" s="1"/>
  <c r="X1175" i="1"/>
  <c r="X1174" i="1"/>
  <c r="U1174" i="1"/>
  <c r="T1174" i="1"/>
  <c r="S1174" i="1"/>
  <c r="X1192" i="1"/>
  <c r="U1192" i="1"/>
  <c r="T1192" i="1"/>
  <c r="S1192" i="1"/>
  <c r="Y1176" i="1"/>
  <c r="AO1176" i="1" s="1"/>
  <c r="X1176" i="1"/>
  <c r="U1176" i="1"/>
  <c r="T1176" i="1"/>
  <c r="S1176" i="1"/>
  <c r="R1176" i="1"/>
  <c r="AT1176" i="1" s="1"/>
  <c r="Q1176" i="1"/>
  <c r="AU1176" i="1" s="1"/>
  <c r="P1176" i="1"/>
  <c r="Y1191" i="1"/>
  <c r="AO1191" i="1" s="1"/>
  <c r="X1191" i="1"/>
  <c r="Y1147" i="1"/>
  <c r="AO1147" i="1" s="1"/>
  <c r="X1147" i="1"/>
  <c r="U1147" i="1"/>
  <c r="T1147" i="1"/>
  <c r="S1147" i="1"/>
  <c r="R1147" i="1"/>
  <c r="AT1147" i="1" s="1"/>
  <c r="Q1147" i="1"/>
  <c r="AU1147" i="1" s="1"/>
  <c r="P1147" i="1"/>
  <c r="X1146" i="1"/>
  <c r="U1146" i="1"/>
  <c r="T1146" i="1"/>
  <c r="S1146" i="1"/>
  <c r="Y1145" i="1"/>
  <c r="AO1145" i="1" s="1"/>
  <c r="X1145" i="1"/>
  <c r="U1145" i="1"/>
  <c r="T1145" i="1"/>
  <c r="S1145" i="1"/>
  <c r="R1145" i="1"/>
  <c r="AT1145" i="1" s="1"/>
  <c r="Q1145" i="1"/>
  <c r="AU1145" i="1" s="1"/>
  <c r="P1145" i="1"/>
  <c r="Y1149" i="1"/>
  <c r="AO1149" i="1" s="1"/>
  <c r="X1149" i="1"/>
  <c r="U1149" i="1"/>
  <c r="T1149" i="1"/>
  <c r="S1149" i="1"/>
  <c r="R1149" i="1"/>
  <c r="AT1149" i="1" s="1"/>
  <c r="Q1149" i="1"/>
  <c r="AU1149" i="1" s="1"/>
  <c r="P1149" i="1"/>
  <c r="Y1144" i="1"/>
  <c r="AO1144" i="1" s="1"/>
  <c r="X1144" i="1"/>
  <c r="U1144" i="1"/>
  <c r="T1144" i="1"/>
  <c r="S1144" i="1"/>
  <c r="R1144" i="1"/>
  <c r="AT1144" i="1" s="1"/>
  <c r="Q1144" i="1"/>
  <c r="AU1144" i="1" s="1"/>
  <c r="P1144" i="1"/>
  <c r="X1148" i="1"/>
  <c r="U1148" i="1"/>
  <c r="T1148" i="1"/>
  <c r="S1148" i="1"/>
  <c r="Y1143" i="1"/>
  <c r="AO1143" i="1" s="1"/>
  <c r="X1143" i="1"/>
  <c r="U1143" i="1"/>
  <c r="T1143" i="1"/>
  <c r="S1143" i="1"/>
  <c r="R1143" i="1"/>
  <c r="AT1143" i="1" s="1"/>
  <c r="Q1143" i="1"/>
  <c r="AU1143" i="1" s="1"/>
  <c r="P1143" i="1"/>
  <c r="Y1141" i="1"/>
  <c r="AO1141" i="1" s="1"/>
  <c r="X1141" i="1"/>
  <c r="U1141" i="1"/>
  <c r="T1141" i="1"/>
  <c r="S1141" i="1"/>
  <c r="R1141" i="1"/>
  <c r="AT1141" i="1" s="1"/>
  <c r="Q1141" i="1"/>
  <c r="AU1141" i="1" s="1"/>
  <c r="P1141" i="1"/>
  <c r="Y1132" i="1"/>
  <c r="AO1132" i="1" s="1"/>
  <c r="X1132" i="1"/>
  <c r="U1132" i="1"/>
  <c r="T1132" i="1"/>
  <c r="S1132" i="1"/>
  <c r="R1132" i="1"/>
  <c r="AT1132" i="1" s="1"/>
  <c r="Q1132" i="1"/>
  <c r="AU1132" i="1" s="1"/>
  <c r="P1132" i="1"/>
  <c r="Y1137" i="1"/>
  <c r="AO1137" i="1" s="1"/>
  <c r="X1137" i="1"/>
  <c r="U1137" i="1"/>
  <c r="T1137" i="1"/>
  <c r="S1137" i="1"/>
  <c r="R1137" i="1"/>
  <c r="AT1137" i="1" s="1"/>
  <c r="Q1137" i="1"/>
  <c r="AU1137" i="1" s="1"/>
  <c r="P1137" i="1"/>
  <c r="Y1136" i="1"/>
  <c r="AO1136" i="1" s="1"/>
  <c r="X1136" i="1"/>
  <c r="U1136" i="1"/>
  <c r="T1136" i="1"/>
  <c r="S1136" i="1"/>
  <c r="R1136" i="1"/>
  <c r="AT1136" i="1" s="1"/>
  <c r="Q1136" i="1"/>
  <c r="AU1136" i="1" s="1"/>
  <c r="P1136" i="1"/>
  <c r="X1131" i="1"/>
  <c r="U1131" i="1"/>
  <c r="T1131" i="1"/>
  <c r="S1131" i="1"/>
  <c r="P1190" i="1"/>
  <c r="Q1190" i="1"/>
  <c r="AU1190" i="1" s="1"/>
  <c r="R1190" i="1"/>
  <c r="AT1190" i="1" s="1"/>
  <c r="S1190" i="1"/>
  <c r="T1190" i="1"/>
  <c r="U1190" i="1"/>
  <c r="X1190" i="1"/>
  <c r="Y1190" i="1"/>
  <c r="AO1190" i="1" s="1"/>
  <c r="AQ1190" i="1" s="1"/>
  <c r="P1205" i="1"/>
  <c r="Q1205" i="1"/>
  <c r="AU1205" i="1" s="1"/>
  <c r="R1205" i="1"/>
  <c r="AT1205" i="1" s="1"/>
  <c r="S1205" i="1"/>
  <c r="T1205" i="1"/>
  <c r="U1205" i="1"/>
  <c r="X1205" i="1"/>
  <c r="Y1205" i="1"/>
  <c r="AO1205" i="1" s="1"/>
  <c r="P1206" i="1"/>
  <c r="Q1206" i="1"/>
  <c r="AU1206" i="1" s="1"/>
  <c r="R1206" i="1"/>
  <c r="AT1206" i="1" s="1"/>
  <c r="S1206" i="1"/>
  <c r="T1206" i="1"/>
  <c r="U1206" i="1"/>
  <c r="X1206" i="1"/>
  <c r="Y1206" i="1"/>
  <c r="AO1206" i="1" s="1"/>
  <c r="P1207" i="1"/>
  <c r="Q1207" i="1"/>
  <c r="AU1207" i="1" s="1"/>
  <c r="R1207" i="1"/>
  <c r="AT1207" i="1" s="1"/>
  <c r="S1207" i="1"/>
  <c r="T1207" i="1"/>
  <c r="U1207" i="1"/>
  <c r="X1207" i="1"/>
  <c r="Y1207" i="1"/>
  <c r="AO1207" i="1" s="1"/>
  <c r="P1208" i="1"/>
  <c r="Q1208" i="1"/>
  <c r="AU1208" i="1" s="1"/>
  <c r="R1208" i="1"/>
  <c r="AT1208" i="1" s="1"/>
  <c r="S1208" i="1"/>
  <c r="T1208" i="1"/>
  <c r="U1208" i="1"/>
  <c r="X1208" i="1"/>
  <c r="Y1208" i="1"/>
  <c r="AO1208" i="1" s="1"/>
  <c r="S1150" i="1"/>
  <c r="T1150" i="1"/>
  <c r="U1150" i="1"/>
  <c r="X1150" i="1"/>
  <c r="P1151" i="1"/>
  <c r="Q1151" i="1"/>
  <c r="AU1151" i="1" s="1"/>
  <c r="R1151" i="1"/>
  <c r="AT1151" i="1" s="1"/>
  <c r="S1151" i="1"/>
  <c r="T1151" i="1"/>
  <c r="U1151" i="1"/>
  <c r="X1151" i="1"/>
  <c r="Y1151" i="1"/>
  <c r="AO1151" i="1" s="1"/>
  <c r="AQ1151" i="1" s="1"/>
  <c r="S1155" i="1"/>
  <c r="T1155" i="1"/>
  <c r="U1155" i="1"/>
  <c r="X1155" i="1"/>
  <c r="P1156" i="1"/>
  <c r="Q1156" i="1"/>
  <c r="AU1156" i="1" s="1"/>
  <c r="R1156" i="1"/>
  <c r="AT1156" i="1" s="1"/>
  <c r="S1156" i="1"/>
  <c r="T1156" i="1"/>
  <c r="U1156" i="1"/>
  <c r="X1156" i="1"/>
  <c r="Y1156" i="1"/>
  <c r="AO1156" i="1" s="1"/>
  <c r="S1157" i="1"/>
  <c r="T1157" i="1"/>
  <c r="U1157" i="1"/>
  <c r="X1157" i="1"/>
  <c r="P1187" i="1"/>
  <c r="Q1187" i="1"/>
  <c r="AU1187" i="1" s="1"/>
  <c r="R1187" i="1"/>
  <c r="AT1187" i="1" s="1"/>
  <c r="S1187" i="1"/>
  <c r="T1187" i="1"/>
  <c r="U1187" i="1"/>
  <c r="X1187" i="1"/>
  <c r="Y1187" i="1"/>
  <c r="AO1187" i="1" s="1"/>
  <c r="P1188" i="1"/>
  <c r="Q1188" i="1"/>
  <c r="AU1188" i="1" s="1"/>
  <c r="R1188" i="1"/>
  <c r="AT1188" i="1" s="1"/>
  <c r="S1188" i="1"/>
  <c r="T1188" i="1"/>
  <c r="U1188" i="1"/>
  <c r="X1188" i="1"/>
  <c r="Y1188" i="1"/>
  <c r="AO1188" i="1" s="1"/>
  <c r="P1189" i="1"/>
  <c r="Q1189" i="1"/>
  <c r="AU1189" i="1" s="1"/>
  <c r="R1189" i="1"/>
  <c r="AT1189" i="1" s="1"/>
  <c r="S1189" i="1"/>
  <c r="T1189" i="1"/>
  <c r="U1189" i="1"/>
  <c r="X1189" i="1"/>
  <c r="Y1189" i="1"/>
  <c r="AO1189" i="1" s="1"/>
  <c r="AQ1189" i="1" s="1"/>
  <c r="P1158" i="1"/>
  <c r="Q1158" i="1"/>
  <c r="AU1158" i="1" s="1"/>
  <c r="R1158" i="1"/>
  <c r="AT1158" i="1" s="1"/>
  <c r="S1158" i="1"/>
  <c r="T1158" i="1"/>
  <c r="U1158" i="1"/>
  <c r="X1158" i="1"/>
  <c r="Y1158" i="1"/>
  <c r="AO1158" i="1" s="1"/>
  <c r="S1152" i="1"/>
  <c r="T1152" i="1"/>
  <c r="U1152" i="1"/>
  <c r="X1152" i="1"/>
  <c r="S1153" i="1"/>
  <c r="T1153" i="1"/>
  <c r="U1153" i="1"/>
  <c r="X1153" i="1"/>
  <c r="P1154" i="1"/>
  <c r="Q1154" i="1"/>
  <c r="AU1154" i="1" s="1"/>
  <c r="R1154" i="1"/>
  <c r="AT1154" i="1" s="1"/>
  <c r="S1154" i="1"/>
  <c r="T1154" i="1"/>
  <c r="U1154" i="1"/>
  <c r="X1154" i="1"/>
  <c r="Y1154" i="1"/>
  <c r="AO1154" i="1" s="1"/>
  <c r="X1112" i="1"/>
  <c r="Y1112" i="1"/>
  <c r="AO1112" i="1" s="1"/>
  <c r="P1112" i="1"/>
  <c r="Q1112" i="1"/>
  <c r="AU1112" i="1" s="1"/>
  <c r="R1112" i="1"/>
  <c r="AT1112" i="1" s="1"/>
  <c r="S1112" i="1"/>
  <c r="T1112" i="1"/>
  <c r="U1112" i="1"/>
  <c r="P1111" i="1"/>
  <c r="Q1111" i="1"/>
  <c r="AU1111" i="1" s="1"/>
  <c r="R1111" i="1"/>
  <c r="AT1111" i="1" s="1"/>
  <c r="S1111" i="1"/>
  <c r="T1111" i="1"/>
  <c r="U1111" i="1"/>
  <c r="X1111" i="1"/>
  <c r="Y1111" i="1"/>
  <c r="AO1111" i="1" s="1"/>
  <c r="P1185" i="1"/>
  <c r="Q1185" i="1"/>
  <c r="AU1185" i="1" s="1"/>
  <c r="R1185" i="1"/>
  <c r="AT1185" i="1" s="1"/>
  <c r="S1185" i="1"/>
  <c r="T1185" i="1"/>
  <c r="U1185" i="1"/>
  <c r="X1185" i="1"/>
  <c r="Y1185" i="1"/>
  <c r="AO1185" i="1" s="1"/>
  <c r="P1186" i="1"/>
  <c r="Q1186" i="1"/>
  <c r="AU1186" i="1" s="1"/>
  <c r="R1186" i="1"/>
  <c r="AT1186" i="1" s="1"/>
  <c r="S1186" i="1"/>
  <c r="T1186" i="1"/>
  <c r="U1186" i="1"/>
  <c r="X1186" i="1"/>
  <c r="Y1186" i="1"/>
  <c r="AO1186" i="1" s="1"/>
  <c r="P1091" i="1"/>
  <c r="Q1091" i="1"/>
  <c r="AU1091" i="1" s="1"/>
  <c r="R1091" i="1"/>
  <c r="AT1091" i="1" s="1"/>
  <c r="S1091" i="1"/>
  <c r="T1091" i="1"/>
  <c r="U1091" i="1"/>
  <c r="X1091" i="1"/>
  <c r="Y1091" i="1"/>
  <c r="AO1091" i="1" s="1"/>
  <c r="P1092" i="1"/>
  <c r="Q1092" i="1"/>
  <c r="AU1092" i="1" s="1"/>
  <c r="R1092" i="1"/>
  <c r="AT1092" i="1" s="1"/>
  <c r="S1092" i="1"/>
  <c r="T1092" i="1"/>
  <c r="U1092" i="1"/>
  <c r="X1092" i="1"/>
  <c r="Y1092" i="1"/>
  <c r="AO1092" i="1" s="1"/>
  <c r="P1129" i="1"/>
  <c r="Q1129" i="1"/>
  <c r="AU1129" i="1" s="1"/>
  <c r="R1129" i="1"/>
  <c r="S1129" i="1"/>
  <c r="T1129" i="1"/>
  <c r="U1129" i="1"/>
  <c r="X1129" i="1"/>
  <c r="Y1129" i="1"/>
  <c r="P1130" i="1"/>
  <c r="Q1130" i="1"/>
  <c r="AU1130" i="1" s="1"/>
  <c r="R1130" i="1"/>
  <c r="AT1130" i="1" s="1"/>
  <c r="S1130" i="1"/>
  <c r="T1130" i="1"/>
  <c r="U1130" i="1"/>
  <c r="X1130" i="1"/>
  <c r="Y1130" i="1"/>
  <c r="AO1130" i="1" s="1"/>
  <c r="P1110" i="1"/>
  <c r="Q1110" i="1"/>
  <c r="AU1110" i="1" s="1"/>
  <c r="R1110" i="1"/>
  <c r="AT1110" i="1" s="1"/>
  <c r="S1110" i="1"/>
  <c r="T1110" i="1"/>
  <c r="U1110" i="1"/>
  <c r="X1110" i="1"/>
  <c r="Y1110" i="1"/>
  <c r="AO1110" i="1" s="1"/>
  <c r="P1159" i="1"/>
  <c r="Q1159" i="1"/>
  <c r="AU1159" i="1" s="1"/>
  <c r="R1159" i="1"/>
  <c r="AT1159" i="1" s="1"/>
  <c r="S1159" i="1"/>
  <c r="T1159" i="1"/>
  <c r="U1159" i="1"/>
  <c r="X1159" i="1"/>
  <c r="Y1159" i="1"/>
  <c r="AO1159" i="1" s="1"/>
  <c r="X1109" i="1"/>
  <c r="Y1109" i="1"/>
  <c r="AO1109" i="1" s="1"/>
  <c r="P1109" i="1"/>
  <c r="Q1109" i="1"/>
  <c r="AU1109" i="1" s="1"/>
  <c r="R1109" i="1"/>
  <c r="AT1109" i="1" s="1"/>
  <c r="S1109" i="1"/>
  <c r="T1109" i="1"/>
  <c r="U1109" i="1"/>
  <c r="Y1121" i="1"/>
  <c r="AO1121" i="1" s="1"/>
  <c r="Y1122" i="1"/>
  <c r="AO1122" i="1" s="1"/>
  <c r="Y1123" i="1"/>
  <c r="AO1123" i="1" s="1"/>
  <c r="Y1124" i="1"/>
  <c r="AO1124" i="1" s="1"/>
  <c r="Y1125" i="1"/>
  <c r="AO1125" i="1" s="1"/>
  <c r="Y1126" i="1"/>
  <c r="AO1126" i="1" s="1"/>
  <c r="X1119" i="1"/>
  <c r="X1120" i="1"/>
  <c r="X1121" i="1"/>
  <c r="X1122" i="1"/>
  <c r="X1123" i="1"/>
  <c r="X1124" i="1"/>
  <c r="X1125" i="1"/>
  <c r="X1126" i="1"/>
  <c r="U1121" i="1"/>
  <c r="U1122" i="1"/>
  <c r="U1123" i="1"/>
  <c r="U1124" i="1"/>
  <c r="U1125" i="1"/>
  <c r="U1126" i="1"/>
  <c r="T1121" i="1"/>
  <c r="T1122" i="1"/>
  <c r="T1123" i="1"/>
  <c r="T1124" i="1"/>
  <c r="T1125" i="1"/>
  <c r="T1126" i="1"/>
  <c r="S1121" i="1"/>
  <c r="S1122" i="1"/>
  <c r="S1123" i="1"/>
  <c r="S1124" i="1"/>
  <c r="S1125" i="1"/>
  <c r="S1126" i="1"/>
  <c r="R1120" i="1"/>
  <c r="AT1120" i="1" s="1"/>
  <c r="R1121" i="1"/>
  <c r="AT1121" i="1" s="1"/>
  <c r="R1122" i="1"/>
  <c r="AT1122" i="1" s="1"/>
  <c r="R1123" i="1"/>
  <c r="AT1123" i="1" s="1"/>
  <c r="R1124" i="1"/>
  <c r="AT1124" i="1" s="1"/>
  <c r="R1125" i="1"/>
  <c r="AT1125" i="1" s="1"/>
  <c r="R1126" i="1"/>
  <c r="AT1126" i="1" s="1"/>
  <c r="Q1121" i="1"/>
  <c r="AU1121" i="1" s="1"/>
  <c r="Q1122" i="1"/>
  <c r="AU1122" i="1" s="1"/>
  <c r="Q1123" i="1"/>
  <c r="AU1123" i="1" s="1"/>
  <c r="Q1124" i="1"/>
  <c r="AU1124" i="1" s="1"/>
  <c r="Q1125" i="1"/>
  <c r="AU1125" i="1" s="1"/>
  <c r="Q1126" i="1"/>
  <c r="AU1126" i="1" s="1"/>
  <c r="P1089" i="1"/>
  <c r="P1127" i="1"/>
  <c r="P1119" i="1"/>
  <c r="P1120" i="1"/>
  <c r="P1121" i="1"/>
  <c r="P1122" i="1"/>
  <c r="P1123" i="1"/>
  <c r="P1124" i="1"/>
  <c r="P1125" i="1"/>
  <c r="P1126" i="1"/>
  <c r="Y1030" i="1"/>
  <c r="AO1030" i="1" s="1"/>
  <c r="AQ1030" i="1" s="1"/>
  <c r="X1030" i="1"/>
  <c r="U1030" i="1"/>
  <c r="T1030" i="1"/>
  <c r="S1030" i="1"/>
  <c r="R1030" i="1"/>
  <c r="AT1030" i="1" s="1"/>
  <c r="Q1030" i="1"/>
  <c r="AU1030" i="1" s="1"/>
  <c r="P1030" i="1"/>
  <c r="X1029" i="1"/>
  <c r="U1029" i="1"/>
  <c r="T1029" i="1"/>
  <c r="S1029" i="1"/>
  <c r="Y1404" i="1"/>
  <c r="AO1404" i="1" s="1"/>
  <c r="X1404" i="1"/>
  <c r="U1404" i="1"/>
  <c r="T1404" i="1"/>
  <c r="S1404" i="1"/>
  <c r="R1404" i="1"/>
  <c r="AT1404" i="1" s="1"/>
  <c r="Q1404" i="1"/>
  <c r="AU1404" i="1" s="1"/>
  <c r="P1404" i="1"/>
  <c r="Y1403" i="1"/>
  <c r="AO1403" i="1" s="1"/>
  <c r="X1403" i="1"/>
  <c r="U1403" i="1"/>
  <c r="T1403" i="1"/>
  <c r="S1403" i="1"/>
  <c r="R1403" i="1"/>
  <c r="AT1403" i="1" s="1"/>
  <c r="Q1403" i="1"/>
  <c r="AU1403" i="1" s="1"/>
  <c r="P1403" i="1"/>
  <c r="Y1027" i="1"/>
  <c r="AO1027" i="1" s="1"/>
  <c r="X1027" i="1"/>
  <c r="U1027" i="1"/>
  <c r="T1027" i="1"/>
  <c r="S1027" i="1"/>
  <c r="R1027" i="1"/>
  <c r="AT1027" i="1" s="1"/>
  <c r="Q1027" i="1"/>
  <c r="AU1027" i="1" s="1"/>
  <c r="P1027" i="1"/>
  <c r="Y1026" i="1"/>
  <c r="AO1026" i="1" s="1"/>
  <c r="X1026" i="1"/>
  <c r="U1026" i="1"/>
  <c r="T1026" i="1"/>
  <c r="S1026" i="1"/>
  <c r="R1026" i="1"/>
  <c r="AT1026" i="1" s="1"/>
  <c r="Q1026" i="1"/>
  <c r="AU1026" i="1" s="1"/>
  <c r="P1026" i="1"/>
  <c r="Y1025" i="1"/>
  <c r="AO1025" i="1" s="1"/>
  <c r="X1025" i="1"/>
  <c r="U1025" i="1"/>
  <c r="T1025" i="1"/>
  <c r="S1025" i="1"/>
  <c r="R1025" i="1"/>
  <c r="AT1025" i="1" s="1"/>
  <c r="Q1025" i="1"/>
  <c r="AU1025" i="1" s="1"/>
  <c r="P1025" i="1"/>
  <c r="X1024" i="1"/>
  <c r="U1024" i="1"/>
  <c r="T1024" i="1"/>
  <c r="S1024" i="1"/>
  <c r="X1108" i="1"/>
  <c r="U1108" i="1"/>
  <c r="T1108" i="1"/>
  <c r="S1108" i="1"/>
  <c r="Y1028" i="1"/>
  <c r="AO1028" i="1" s="1"/>
  <c r="X1028" i="1"/>
  <c r="U1028" i="1"/>
  <c r="T1028" i="1"/>
  <c r="S1028" i="1"/>
  <c r="R1028" i="1"/>
  <c r="AT1028" i="1" s="1"/>
  <c r="Q1028" i="1"/>
  <c r="AU1028" i="1" s="1"/>
  <c r="P1028" i="1"/>
  <c r="X1139" i="1"/>
  <c r="U1139" i="1"/>
  <c r="T1139" i="1"/>
  <c r="S1139" i="1"/>
  <c r="X1138" i="1"/>
  <c r="U1138" i="1"/>
  <c r="T1138" i="1"/>
  <c r="S1138" i="1"/>
  <c r="X1402" i="1"/>
  <c r="U1402" i="1"/>
  <c r="T1402" i="1"/>
  <c r="S1402" i="1"/>
  <c r="X1023" i="1"/>
  <c r="U1023" i="1"/>
  <c r="T1023" i="1"/>
  <c r="S1023" i="1"/>
  <c r="X1022" i="1"/>
  <c r="U1022" i="1"/>
  <c r="T1022" i="1"/>
  <c r="S1022" i="1"/>
  <c r="P1097" i="1"/>
  <c r="Q1097" i="1"/>
  <c r="AU1097" i="1" s="1"/>
  <c r="R1097" i="1"/>
  <c r="AT1097" i="1" s="1"/>
  <c r="S1097" i="1"/>
  <c r="T1097" i="1"/>
  <c r="U1097" i="1"/>
  <c r="X1097" i="1"/>
  <c r="Y1097" i="1"/>
  <c r="AO1097" i="1" s="1"/>
  <c r="P1093" i="1"/>
  <c r="Q1093" i="1"/>
  <c r="AU1093" i="1" s="1"/>
  <c r="R1093" i="1"/>
  <c r="AT1093" i="1" s="1"/>
  <c r="S1093" i="1"/>
  <c r="T1093" i="1"/>
  <c r="U1093" i="1"/>
  <c r="X1093" i="1"/>
  <c r="Y1093" i="1"/>
  <c r="AO1093" i="1" s="1"/>
  <c r="P1098" i="1"/>
  <c r="Q1098" i="1"/>
  <c r="AU1098" i="1" s="1"/>
  <c r="R1098" i="1"/>
  <c r="AT1098" i="1" s="1"/>
  <c r="S1098" i="1"/>
  <c r="T1098" i="1"/>
  <c r="U1098" i="1"/>
  <c r="X1098" i="1"/>
  <c r="Y1098" i="1"/>
  <c r="AO1098" i="1" s="1"/>
  <c r="AQ1098" i="1" s="1"/>
  <c r="P1094" i="1"/>
  <c r="Q1094" i="1"/>
  <c r="AU1094" i="1" s="1"/>
  <c r="R1094" i="1"/>
  <c r="AT1094" i="1" s="1"/>
  <c r="S1094" i="1"/>
  <c r="T1094" i="1"/>
  <c r="U1094" i="1"/>
  <c r="X1094" i="1"/>
  <c r="Y1094" i="1"/>
  <c r="AO1094" i="1" s="1"/>
  <c r="AQ1094" i="1" s="1"/>
  <c r="P1099" i="1"/>
  <c r="Q1099" i="1"/>
  <c r="AU1099" i="1" s="1"/>
  <c r="R1099" i="1"/>
  <c r="AT1099" i="1" s="1"/>
  <c r="S1099" i="1"/>
  <c r="T1099" i="1"/>
  <c r="U1099" i="1"/>
  <c r="X1099" i="1"/>
  <c r="Y1099" i="1"/>
  <c r="AO1099" i="1" s="1"/>
  <c r="S1095" i="1"/>
  <c r="T1095" i="1"/>
  <c r="U1095" i="1"/>
  <c r="X1095" i="1"/>
  <c r="P1100" i="1"/>
  <c r="Q1100" i="1"/>
  <c r="AU1100" i="1" s="1"/>
  <c r="R1100" i="1"/>
  <c r="AT1100" i="1" s="1"/>
  <c r="S1100" i="1"/>
  <c r="T1100" i="1"/>
  <c r="U1100" i="1"/>
  <c r="X1100" i="1"/>
  <c r="Y1100" i="1"/>
  <c r="AO1100" i="1" s="1"/>
  <c r="S1101" i="1"/>
  <c r="T1101" i="1"/>
  <c r="U1101" i="1"/>
  <c r="X1101" i="1"/>
  <c r="S1102" i="1"/>
  <c r="T1102" i="1"/>
  <c r="U1102" i="1"/>
  <c r="X1102" i="1"/>
  <c r="P1113" i="1"/>
  <c r="Q1113" i="1"/>
  <c r="AU1113" i="1" s="1"/>
  <c r="R1113" i="1"/>
  <c r="AT1113" i="1" s="1"/>
  <c r="S1113" i="1"/>
  <c r="T1113" i="1"/>
  <c r="U1113" i="1"/>
  <c r="X1113" i="1"/>
  <c r="Y1113" i="1"/>
  <c r="AO1113" i="1" s="1"/>
  <c r="P1114" i="1"/>
  <c r="Q1114" i="1"/>
  <c r="AU1114" i="1" s="1"/>
  <c r="R1114" i="1"/>
  <c r="AT1114" i="1" s="1"/>
  <c r="S1114" i="1"/>
  <c r="T1114" i="1"/>
  <c r="U1114" i="1"/>
  <c r="X1114" i="1"/>
  <c r="Y1114" i="1"/>
  <c r="AO1114" i="1" s="1"/>
  <c r="P1103" i="1"/>
  <c r="Q1103" i="1"/>
  <c r="AU1103" i="1" s="1"/>
  <c r="R1103" i="1"/>
  <c r="AT1103" i="1" s="1"/>
  <c r="S1103" i="1"/>
  <c r="T1103" i="1"/>
  <c r="U1103" i="1"/>
  <c r="X1103" i="1"/>
  <c r="Y1103" i="1"/>
  <c r="AO1103" i="1" s="1"/>
  <c r="S1104" i="1"/>
  <c r="T1104" i="1"/>
  <c r="U1104" i="1"/>
  <c r="X1104" i="1"/>
  <c r="P1105" i="1"/>
  <c r="Q1105" i="1"/>
  <c r="AU1105" i="1" s="1"/>
  <c r="R1105" i="1"/>
  <c r="AT1105" i="1" s="1"/>
  <c r="S1105" i="1"/>
  <c r="T1105" i="1"/>
  <c r="U1105" i="1"/>
  <c r="X1105" i="1"/>
  <c r="Y1105" i="1"/>
  <c r="AO1105" i="1" s="1"/>
  <c r="P1106" i="1"/>
  <c r="Q1106" i="1"/>
  <c r="AU1106" i="1" s="1"/>
  <c r="R1106" i="1"/>
  <c r="AT1106" i="1" s="1"/>
  <c r="S1106" i="1"/>
  <c r="T1106" i="1"/>
  <c r="U1106" i="1"/>
  <c r="X1106" i="1"/>
  <c r="Y1106" i="1"/>
  <c r="AO1106" i="1" s="1"/>
  <c r="AQ1106" i="1" s="1"/>
  <c r="S1107" i="1"/>
  <c r="T1107" i="1"/>
  <c r="U1107" i="1"/>
  <c r="X1107" i="1"/>
  <c r="S1090" i="1"/>
  <c r="T1090" i="1"/>
  <c r="U1090" i="1"/>
  <c r="X1090" i="1"/>
  <c r="Q1089" i="1"/>
  <c r="AU1089" i="1" s="1"/>
  <c r="R1089" i="1"/>
  <c r="AT1089" i="1" s="1"/>
  <c r="S1089" i="1"/>
  <c r="T1089" i="1"/>
  <c r="U1089" i="1"/>
  <c r="X1089" i="1"/>
  <c r="Y1089" i="1"/>
  <c r="AO1089" i="1" s="1"/>
  <c r="Q1127" i="1"/>
  <c r="AU1127" i="1" s="1"/>
  <c r="R1127" i="1"/>
  <c r="AT1127" i="1" s="1"/>
  <c r="S1127" i="1"/>
  <c r="T1127" i="1"/>
  <c r="U1127" i="1"/>
  <c r="X1127" i="1"/>
  <c r="Y1127" i="1"/>
  <c r="AO1127" i="1" s="1"/>
  <c r="S1140" i="1"/>
  <c r="T1140" i="1"/>
  <c r="U1140" i="1"/>
  <c r="X1140" i="1"/>
  <c r="P1088" i="1"/>
  <c r="Q1088" i="1"/>
  <c r="AU1088" i="1" s="1"/>
  <c r="R1088" i="1"/>
  <c r="AT1088" i="1" s="1"/>
  <c r="S1088" i="1"/>
  <c r="T1088" i="1"/>
  <c r="U1088" i="1"/>
  <c r="X1088" i="1"/>
  <c r="Y1088" i="1"/>
  <c r="AO1088" i="1" s="1"/>
  <c r="S1096" i="1"/>
  <c r="T1096" i="1"/>
  <c r="U1096" i="1"/>
  <c r="X1096" i="1"/>
  <c r="P1142" i="1"/>
  <c r="Q1142" i="1"/>
  <c r="AU1142" i="1" s="1"/>
  <c r="R1142" i="1"/>
  <c r="AT1142" i="1" s="1"/>
  <c r="S1142" i="1"/>
  <c r="T1142" i="1"/>
  <c r="U1142" i="1"/>
  <c r="X1142" i="1"/>
  <c r="Y1142" i="1"/>
  <c r="AO1142" i="1" s="1"/>
  <c r="AQ1142" i="1" s="1"/>
  <c r="P1049" i="1"/>
  <c r="Q1049" i="1"/>
  <c r="AU1049" i="1" s="1"/>
  <c r="R1049" i="1"/>
  <c r="AT1049" i="1" s="1"/>
  <c r="S1049" i="1"/>
  <c r="T1049" i="1"/>
  <c r="U1049" i="1"/>
  <c r="X1049" i="1"/>
  <c r="Y1049" i="1"/>
  <c r="AO1049" i="1" s="1"/>
  <c r="S1080" i="1"/>
  <c r="T1080" i="1"/>
  <c r="U1080" i="1"/>
  <c r="X1080" i="1"/>
  <c r="P1086" i="1"/>
  <c r="Q1086" i="1"/>
  <c r="AU1086" i="1" s="1"/>
  <c r="R1086" i="1"/>
  <c r="AT1086" i="1" s="1"/>
  <c r="S1086" i="1"/>
  <c r="T1086" i="1"/>
  <c r="U1086" i="1"/>
  <c r="X1086" i="1"/>
  <c r="Y1086" i="1"/>
  <c r="AO1086" i="1" s="1"/>
  <c r="AQ1086" i="1" s="1"/>
  <c r="S1064" i="1"/>
  <c r="T1064" i="1"/>
  <c r="U1064" i="1"/>
  <c r="X1064" i="1"/>
  <c r="S1087" i="1"/>
  <c r="T1087" i="1"/>
  <c r="U1087" i="1"/>
  <c r="X1087" i="1"/>
  <c r="P1076" i="1"/>
  <c r="Q1076" i="1"/>
  <c r="AU1076" i="1" s="1"/>
  <c r="R1076" i="1"/>
  <c r="AT1076" i="1" s="1"/>
  <c r="S1076" i="1"/>
  <c r="T1076" i="1"/>
  <c r="U1076" i="1"/>
  <c r="X1076" i="1"/>
  <c r="Y1076" i="1"/>
  <c r="AO1076" i="1" s="1"/>
  <c r="P1077" i="1"/>
  <c r="Q1077" i="1"/>
  <c r="AU1077" i="1" s="1"/>
  <c r="R1077" i="1"/>
  <c r="AT1077" i="1" s="1"/>
  <c r="S1077" i="1"/>
  <c r="T1077" i="1"/>
  <c r="U1077" i="1"/>
  <c r="X1077" i="1"/>
  <c r="Y1077" i="1"/>
  <c r="AO1077" i="1" s="1"/>
  <c r="X1075" i="1"/>
  <c r="Y1075" i="1"/>
  <c r="AO1075" i="1" s="1"/>
  <c r="P1075" i="1"/>
  <c r="Q1075" i="1"/>
  <c r="AU1075" i="1" s="1"/>
  <c r="R1075" i="1"/>
  <c r="AT1075" i="1" s="1"/>
  <c r="S1075" i="1"/>
  <c r="T1075" i="1"/>
  <c r="U1075" i="1"/>
  <c r="X1078" i="1"/>
  <c r="S1078" i="1"/>
  <c r="T1078" i="1"/>
  <c r="U1078" i="1"/>
  <c r="X1034" i="1"/>
  <c r="U1034" i="1"/>
  <c r="T1034" i="1"/>
  <c r="S1034" i="1"/>
  <c r="X1058" i="1"/>
  <c r="Y1057" i="1"/>
  <c r="AO1057" i="1" s="1"/>
  <c r="X1057" i="1"/>
  <c r="Y1056" i="1"/>
  <c r="AO1056" i="1" s="1"/>
  <c r="X1056" i="1"/>
  <c r="Y1021" i="1"/>
  <c r="AO1021" i="1" s="1"/>
  <c r="X1021" i="1"/>
  <c r="X1020" i="1"/>
  <c r="Y1035" i="1"/>
  <c r="AO1035" i="1" s="1"/>
  <c r="X1035" i="1"/>
  <c r="X1032" i="1"/>
  <c r="X1031" i="1"/>
  <c r="X1033" i="1"/>
  <c r="U1033" i="1"/>
  <c r="U1031" i="1"/>
  <c r="U1032" i="1"/>
  <c r="U1035" i="1"/>
  <c r="T1035" i="1"/>
  <c r="U1020" i="1"/>
  <c r="U1021" i="1"/>
  <c r="U1056" i="1"/>
  <c r="T1056" i="1"/>
  <c r="U1057" i="1"/>
  <c r="U1058" i="1"/>
  <c r="U1059" i="1"/>
  <c r="U1069" i="1"/>
  <c r="T1033" i="1"/>
  <c r="T1031" i="1"/>
  <c r="T1032" i="1"/>
  <c r="T1020" i="1"/>
  <c r="T1021" i="1"/>
  <c r="T1057" i="1"/>
  <c r="T1058" i="1"/>
  <c r="T1059" i="1"/>
  <c r="S1033" i="1"/>
  <c r="S1031" i="1"/>
  <c r="S1032" i="1"/>
  <c r="S1035" i="1"/>
  <c r="S1020" i="1"/>
  <c r="S1021" i="1"/>
  <c r="S1056" i="1"/>
  <c r="S1057" i="1"/>
  <c r="S1058" i="1"/>
  <c r="S1059" i="1"/>
  <c r="R1035" i="1"/>
  <c r="AT1035" i="1" s="1"/>
  <c r="R1021" i="1"/>
  <c r="AT1021" i="1" s="1"/>
  <c r="R1056" i="1"/>
  <c r="AT1056" i="1" s="1"/>
  <c r="R1057" i="1"/>
  <c r="AT1057" i="1" s="1"/>
  <c r="Q1035" i="1"/>
  <c r="AU1035" i="1" s="1"/>
  <c r="Q1021" i="1"/>
  <c r="AU1021" i="1" s="1"/>
  <c r="Q1056" i="1"/>
  <c r="AU1056" i="1" s="1"/>
  <c r="Q1057" i="1"/>
  <c r="AU1057" i="1" s="1"/>
  <c r="P1035" i="1"/>
  <c r="P1021" i="1"/>
  <c r="P1056" i="1"/>
  <c r="P1057" i="1"/>
  <c r="P1059" i="1"/>
  <c r="Y1062" i="1"/>
  <c r="AO1062" i="1" s="1"/>
  <c r="AQ1062" i="1" s="1"/>
  <c r="X1062" i="1"/>
  <c r="X1061" i="1"/>
  <c r="X1060" i="1"/>
  <c r="Y1070" i="1"/>
  <c r="AO1070" i="1" s="1"/>
  <c r="X1070" i="1"/>
  <c r="Y1069" i="1"/>
  <c r="AO1069" i="1" s="1"/>
  <c r="X1069" i="1"/>
  <c r="Y1059" i="1"/>
  <c r="AO1059" i="1" s="1"/>
  <c r="X1059" i="1"/>
  <c r="Y997" i="1"/>
  <c r="AO997" i="1" s="1"/>
  <c r="X997" i="1"/>
  <c r="X996" i="1"/>
  <c r="Y995" i="1"/>
  <c r="AO995" i="1" s="1"/>
  <c r="X995" i="1"/>
  <c r="Y994" i="1"/>
  <c r="AO994" i="1" s="1"/>
  <c r="X994" i="1"/>
  <c r="U1062" i="1"/>
  <c r="T1062" i="1"/>
  <c r="S1062" i="1"/>
  <c r="R1062" i="1"/>
  <c r="AT1062" i="1" s="1"/>
  <c r="Q1062" i="1"/>
  <c r="AU1062" i="1" s="1"/>
  <c r="P1062" i="1"/>
  <c r="U1061" i="1"/>
  <c r="T1061" i="1"/>
  <c r="S1061" i="1"/>
  <c r="U1060" i="1"/>
  <c r="T1060" i="1"/>
  <c r="S1060" i="1"/>
  <c r="U1070" i="1"/>
  <c r="T1070" i="1"/>
  <c r="S1070" i="1"/>
  <c r="R1070" i="1"/>
  <c r="AT1070" i="1" s="1"/>
  <c r="Q1070" i="1"/>
  <c r="AU1070" i="1" s="1"/>
  <c r="P1070" i="1"/>
  <c r="T1069" i="1"/>
  <c r="S1069" i="1"/>
  <c r="R1069" i="1"/>
  <c r="AT1069" i="1" s="1"/>
  <c r="Q1069" i="1"/>
  <c r="AU1069" i="1" s="1"/>
  <c r="P1069" i="1"/>
  <c r="R1059" i="1"/>
  <c r="AT1059" i="1" s="1"/>
  <c r="Q1059" i="1"/>
  <c r="AU1059" i="1" s="1"/>
  <c r="U997" i="1"/>
  <c r="T997" i="1"/>
  <c r="S997" i="1"/>
  <c r="R997" i="1"/>
  <c r="AT997" i="1" s="1"/>
  <c r="Q997" i="1"/>
  <c r="AU997" i="1" s="1"/>
  <c r="P997" i="1"/>
  <c r="U996" i="1"/>
  <c r="T996" i="1"/>
  <c r="S996" i="1"/>
  <c r="U995" i="1"/>
  <c r="T995" i="1"/>
  <c r="S995" i="1"/>
  <c r="R995" i="1"/>
  <c r="AT995" i="1" s="1"/>
  <c r="Q995" i="1"/>
  <c r="AU995" i="1" s="1"/>
  <c r="P995" i="1"/>
  <c r="U994" i="1"/>
  <c r="T994" i="1"/>
  <c r="S994" i="1"/>
  <c r="R994" i="1"/>
  <c r="AT994" i="1" s="1"/>
  <c r="Q994" i="1"/>
  <c r="AU994" i="1" s="1"/>
  <c r="P994" i="1"/>
  <c r="Y1048" i="1"/>
  <c r="AO1048" i="1" s="1"/>
  <c r="AQ1048" i="1" s="1"/>
  <c r="X1048" i="1"/>
  <c r="X1047" i="1"/>
  <c r="X1044" i="1"/>
  <c r="Y1046" i="1"/>
  <c r="AO1046" i="1" s="1"/>
  <c r="X1046" i="1"/>
  <c r="X1045" i="1"/>
  <c r="X1043" i="1"/>
  <c r="X1042" i="1"/>
  <c r="X1041" i="1"/>
  <c r="U1048" i="1"/>
  <c r="T1048" i="1"/>
  <c r="S1048" i="1"/>
  <c r="R1048" i="1"/>
  <c r="AT1048" i="1" s="1"/>
  <c r="Q1048" i="1"/>
  <c r="AU1048" i="1" s="1"/>
  <c r="P1048" i="1"/>
  <c r="U1047" i="1"/>
  <c r="T1047" i="1"/>
  <c r="S1047" i="1"/>
  <c r="U1044" i="1"/>
  <c r="T1044" i="1"/>
  <c r="S1044" i="1"/>
  <c r="U1046" i="1"/>
  <c r="T1046" i="1"/>
  <c r="S1046" i="1"/>
  <c r="R1046" i="1"/>
  <c r="AT1046" i="1" s="1"/>
  <c r="Q1046" i="1"/>
  <c r="AU1046" i="1" s="1"/>
  <c r="P1046" i="1"/>
  <c r="U1045" i="1"/>
  <c r="T1045" i="1"/>
  <c r="S1045" i="1"/>
  <c r="U1043" i="1"/>
  <c r="T1043" i="1"/>
  <c r="S1043" i="1"/>
  <c r="U1042" i="1"/>
  <c r="T1042" i="1"/>
  <c r="S1042" i="1"/>
  <c r="U1041" i="1"/>
  <c r="T1041" i="1"/>
  <c r="S1041" i="1"/>
  <c r="X1040" i="1"/>
  <c r="U1040" i="1"/>
  <c r="T1040" i="1"/>
  <c r="S1040" i="1"/>
  <c r="X1055" i="1"/>
  <c r="U1055" i="1"/>
  <c r="T1055" i="1"/>
  <c r="S1055" i="1"/>
  <c r="Y1054" i="1"/>
  <c r="AO1054" i="1" s="1"/>
  <c r="X1054" i="1"/>
  <c r="U1054" i="1"/>
  <c r="T1054" i="1"/>
  <c r="S1054" i="1"/>
  <c r="R1054" i="1"/>
  <c r="AT1054" i="1" s="1"/>
  <c r="Q1054" i="1"/>
  <c r="AU1054" i="1" s="1"/>
  <c r="P1054" i="1"/>
  <c r="Y1052" i="1"/>
  <c r="AO1052" i="1" s="1"/>
  <c r="X1052" i="1"/>
  <c r="U1052" i="1"/>
  <c r="T1052" i="1"/>
  <c r="S1052" i="1"/>
  <c r="R1052" i="1"/>
  <c r="AT1052" i="1" s="1"/>
  <c r="Q1052" i="1"/>
  <c r="AU1052" i="1" s="1"/>
  <c r="P1052" i="1"/>
  <c r="Y1051" i="1"/>
  <c r="AO1051" i="1" s="1"/>
  <c r="X1051" i="1"/>
  <c r="U1051" i="1"/>
  <c r="T1051" i="1"/>
  <c r="S1051" i="1"/>
  <c r="R1051" i="1"/>
  <c r="AT1051" i="1" s="1"/>
  <c r="Q1051" i="1"/>
  <c r="AU1051" i="1" s="1"/>
  <c r="P1051" i="1"/>
  <c r="X1019" i="1"/>
  <c r="U1019" i="1"/>
  <c r="T1019" i="1"/>
  <c r="S1019" i="1"/>
  <c r="X1018" i="1"/>
  <c r="U1018" i="1"/>
  <c r="T1018" i="1"/>
  <c r="S1018" i="1"/>
  <c r="X1017" i="1"/>
  <c r="U1017" i="1"/>
  <c r="T1017" i="1"/>
  <c r="S1017" i="1"/>
  <c r="X1050" i="1"/>
  <c r="U1050" i="1"/>
  <c r="T1050" i="1"/>
  <c r="S1050" i="1"/>
  <c r="X1074" i="1"/>
  <c r="U1074" i="1"/>
  <c r="T1074" i="1"/>
  <c r="S1074" i="1"/>
  <c r="Y1063" i="1"/>
  <c r="AO1063" i="1" s="1"/>
  <c r="AQ1063" i="1" s="1"/>
  <c r="X1063" i="1"/>
  <c r="U1063" i="1"/>
  <c r="T1063" i="1"/>
  <c r="S1063" i="1"/>
  <c r="R1063" i="1"/>
  <c r="AT1063" i="1" s="1"/>
  <c r="Q1063" i="1"/>
  <c r="AU1063" i="1" s="1"/>
  <c r="P1063" i="1"/>
  <c r="Y1037" i="1"/>
  <c r="AO1037" i="1" s="1"/>
  <c r="X1036" i="1"/>
  <c r="U1036" i="1"/>
  <c r="T1036" i="1"/>
  <c r="S1036" i="1"/>
  <c r="X1016" i="1"/>
  <c r="U1016" i="1"/>
  <c r="T1016" i="1"/>
  <c r="S1016" i="1"/>
  <c r="X1039" i="1"/>
  <c r="U1039" i="1"/>
  <c r="T1039" i="1"/>
  <c r="S1039" i="1"/>
  <c r="Y1013" i="1"/>
  <c r="AO1013" i="1" s="1"/>
  <c r="X1013" i="1"/>
  <c r="U1013" i="1"/>
  <c r="T1013" i="1"/>
  <c r="S1013" i="1"/>
  <c r="R1013" i="1"/>
  <c r="AT1013" i="1" s="1"/>
  <c r="Q1013" i="1"/>
  <c r="AU1013" i="1" s="1"/>
  <c r="P1013" i="1"/>
  <c r="Y1012" i="1"/>
  <c r="AO1012" i="1" s="1"/>
  <c r="X1012" i="1"/>
  <c r="U1012" i="1"/>
  <c r="T1012" i="1"/>
  <c r="S1012" i="1"/>
  <c r="R1012" i="1"/>
  <c r="AT1012" i="1" s="1"/>
  <c r="Q1012" i="1"/>
  <c r="AU1012" i="1" s="1"/>
  <c r="P1012" i="1"/>
  <c r="X1011" i="1"/>
  <c r="U1011" i="1"/>
  <c r="T1011" i="1"/>
  <c r="S1011" i="1"/>
  <c r="X1010" i="1"/>
  <c r="U1010" i="1"/>
  <c r="T1010" i="1"/>
  <c r="S1010" i="1"/>
  <c r="V1037" i="1"/>
  <c r="Y982" i="1"/>
  <c r="AO982" i="1" s="1"/>
  <c r="AQ982" i="1" s="1"/>
  <c r="X982" i="1"/>
  <c r="U982" i="1"/>
  <c r="T982" i="1"/>
  <c r="S982" i="1"/>
  <c r="R982" i="1"/>
  <c r="AT982" i="1" s="1"/>
  <c r="Q982" i="1"/>
  <c r="AU982" i="1" s="1"/>
  <c r="P982" i="1"/>
  <c r="X981" i="1"/>
  <c r="U981" i="1"/>
  <c r="T981" i="1"/>
  <c r="S981" i="1"/>
  <c r="X980" i="1"/>
  <c r="U980" i="1"/>
  <c r="T980" i="1"/>
  <c r="S980" i="1"/>
  <c r="X979" i="1"/>
  <c r="U979" i="1"/>
  <c r="T979" i="1"/>
  <c r="S979" i="1"/>
  <c r="Y986" i="1"/>
  <c r="AO986" i="1" s="1"/>
  <c r="X986" i="1"/>
  <c r="U986" i="1"/>
  <c r="T986" i="1"/>
  <c r="S986" i="1"/>
  <c r="R986" i="1"/>
  <c r="AT986" i="1" s="1"/>
  <c r="Q986" i="1"/>
  <c r="AU986" i="1" s="1"/>
  <c r="P986" i="1"/>
  <c r="Y985" i="1"/>
  <c r="AO985" i="1" s="1"/>
  <c r="X985" i="1"/>
  <c r="U985" i="1"/>
  <c r="T985" i="1"/>
  <c r="S985" i="1"/>
  <c r="R985" i="1"/>
  <c r="AT985" i="1" s="1"/>
  <c r="Q985" i="1"/>
  <c r="AU985" i="1" s="1"/>
  <c r="P985" i="1"/>
  <c r="Y984" i="1"/>
  <c r="AO984" i="1" s="1"/>
  <c r="X984" i="1"/>
  <c r="U984" i="1"/>
  <c r="T984" i="1"/>
  <c r="S984" i="1"/>
  <c r="R984" i="1"/>
  <c r="AT984" i="1" s="1"/>
  <c r="Q984" i="1"/>
  <c r="AU984" i="1" s="1"/>
  <c r="P984" i="1"/>
  <c r="X983" i="1"/>
  <c r="U983" i="1"/>
  <c r="T983" i="1"/>
  <c r="S983" i="1"/>
  <c r="P989" i="1"/>
  <c r="Q989" i="1"/>
  <c r="AU989" i="1" s="1"/>
  <c r="R989" i="1"/>
  <c r="AT989" i="1" s="1"/>
  <c r="S989" i="1"/>
  <c r="T989" i="1"/>
  <c r="U989" i="1"/>
  <c r="X989" i="1"/>
  <c r="Y989" i="1"/>
  <c r="AO989" i="1" s="1"/>
  <c r="S990" i="1"/>
  <c r="T990" i="1"/>
  <c r="U990" i="1"/>
  <c r="X990" i="1"/>
  <c r="U528" i="6"/>
  <c r="U529" i="6"/>
  <c r="X969" i="1"/>
  <c r="U969" i="1"/>
  <c r="T969" i="1"/>
  <c r="S969" i="1"/>
  <c r="Y1008" i="1"/>
  <c r="AO1008" i="1" s="1"/>
  <c r="X1008" i="1"/>
  <c r="U1008" i="1"/>
  <c r="T1008" i="1"/>
  <c r="S1008" i="1"/>
  <c r="R1008" i="1"/>
  <c r="AT1008" i="1" s="1"/>
  <c r="Q1008" i="1"/>
  <c r="AU1008" i="1" s="1"/>
  <c r="P1008" i="1"/>
  <c r="X1007" i="1"/>
  <c r="U1007" i="1"/>
  <c r="T1007" i="1"/>
  <c r="S1007" i="1"/>
  <c r="X1006" i="1"/>
  <c r="U1006" i="1"/>
  <c r="T1006" i="1"/>
  <c r="S1006" i="1"/>
  <c r="Y972" i="1"/>
  <c r="AO972" i="1" s="1"/>
  <c r="X972" i="1"/>
  <c r="U972" i="1"/>
  <c r="T972" i="1"/>
  <c r="S972" i="1"/>
  <c r="R972" i="1"/>
  <c r="AT972" i="1" s="1"/>
  <c r="Q972" i="1"/>
  <c r="AU972" i="1" s="1"/>
  <c r="P972" i="1"/>
  <c r="Y971" i="1"/>
  <c r="AO971" i="1" s="1"/>
  <c r="AQ971" i="1" s="1"/>
  <c r="X971" i="1"/>
  <c r="U971" i="1"/>
  <c r="T971" i="1"/>
  <c r="S971" i="1"/>
  <c r="R971" i="1"/>
  <c r="AT971" i="1" s="1"/>
  <c r="Q971" i="1"/>
  <c r="AU971" i="1" s="1"/>
  <c r="P971" i="1"/>
  <c r="X1053" i="1"/>
  <c r="U1053" i="1"/>
  <c r="T1053" i="1"/>
  <c r="S1053" i="1"/>
  <c r="X988" i="1"/>
  <c r="U988" i="1"/>
  <c r="T988" i="1"/>
  <c r="S988" i="1"/>
  <c r="X987" i="1"/>
  <c r="U987" i="1"/>
  <c r="T987" i="1"/>
  <c r="S987" i="1"/>
  <c r="X991" i="1"/>
  <c r="U991" i="1"/>
  <c r="T991" i="1"/>
  <c r="S991" i="1"/>
  <c r="Y993" i="1"/>
  <c r="AO993" i="1" s="1"/>
  <c r="X993" i="1"/>
  <c r="U993" i="1"/>
  <c r="T993" i="1"/>
  <c r="S993" i="1"/>
  <c r="R993" i="1"/>
  <c r="AT993" i="1" s="1"/>
  <c r="Q993" i="1"/>
  <c r="AU993" i="1" s="1"/>
  <c r="P993" i="1"/>
  <c r="Y992" i="1"/>
  <c r="AO992" i="1" s="1"/>
  <c r="X992" i="1"/>
  <c r="U992" i="1"/>
  <c r="T992" i="1"/>
  <c r="S992" i="1"/>
  <c r="R992" i="1"/>
  <c r="AT992" i="1" s="1"/>
  <c r="Q992" i="1"/>
  <c r="AU992" i="1" s="1"/>
  <c r="P992" i="1"/>
  <c r="X978" i="1"/>
  <c r="U978" i="1"/>
  <c r="T978" i="1"/>
  <c r="S978" i="1"/>
  <c r="X1038" i="1"/>
  <c r="U1038" i="1"/>
  <c r="T1038" i="1"/>
  <c r="S1038" i="1"/>
  <c r="X1009" i="1"/>
  <c r="U1009" i="1"/>
  <c r="T1009" i="1"/>
  <c r="S1009" i="1"/>
  <c r="X977" i="1"/>
  <c r="U977" i="1"/>
  <c r="T977" i="1"/>
  <c r="S977" i="1"/>
  <c r="Y968" i="1"/>
  <c r="AO968" i="1" s="1"/>
  <c r="X968" i="1"/>
  <c r="U968" i="1"/>
  <c r="T968" i="1"/>
  <c r="S968" i="1"/>
  <c r="R968" i="1"/>
  <c r="AT968" i="1" s="1"/>
  <c r="Q968" i="1"/>
  <c r="AU968" i="1" s="1"/>
  <c r="P968" i="1"/>
  <c r="Y954" i="1"/>
  <c r="AO954" i="1" s="1"/>
  <c r="X954" i="1"/>
  <c r="U954" i="1"/>
  <c r="T954" i="1"/>
  <c r="S954" i="1"/>
  <c r="R954" i="1"/>
  <c r="AT954" i="1" s="1"/>
  <c r="Q954" i="1"/>
  <c r="AU954" i="1" s="1"/>
  <c r="P954" i="1"/>
  <c r="X970" i="1"/>
  <c r="U970" i="1"/>
  <c r="T970" i="1"/>
  <c r="S970" i="1"/>
  <c r="X976" i="1"/>
  <c r="U976" i="1"/>
  <c r="T976" i="1"/>
  <c r="S976" i="1"/>
  <c r="X975" i="1"/>
  <c r="U975" i="1"/>
  <c r="T975" i="1"/>
  <c r="S975" i="1"/>
  <c r="Y974" i="1"/>
  <c r="AO974" i="1" s="1"/>
  <c r="X974" i="1"/>
  <c r="U974" i="1"/>
  <c r="T974" i="1"/>
  <c r="S974" i="1"/>
  <c r="R974" i="1"/>
  <c r="AT974" i="1" s="1"/>
  <c r="Q974" i="1"/>
  <c r="AU974" i="1" s="1"/>
  <c r="P974" i="1"/>
  <c r="Y973" i="1"/>
  <c r="X973" i="1"/>
  <c r="U973" i="1"/>
  <c r="T973" i="1"/>
  <c r="S973" i="1"/>
  <c r="R973" i="1"/>
  <c r="AT973" i="1" s="1"/>
  <c r="Q973" i="1"/>
  <c r="AU973" i="1" s="1"/>
  <c r="P973" i="1"/>
  <c r="Y966" i="1"/>
  <c r="AO966" i="1" s="1"/>
  <c r="X966" i="1"/>
  <c r="U966" i="1"/>
  <c r="T966" i="1"/>
  <c r="S966" i="1"/>
  <c r="R966" i="1"/>
  <c r="AT966" i="1" s="1"/>
  <c r="Q966" i="1"/>
  <c r="AU966" i="1" s="1"/>
  <c r="P966" i="1"/>
  <c r="X965" i="1"/>
  <c r="U965" i="1"/>
  <c r="T965" i="1"/>
  <c r="S965" i="1"/>
  <c r="Y967" i="1"/>
  <c r="AO967" i="1" s="1"/>
  <c r="AQ967" i="1" s="1"/>
  <c r="X967" i="1"/>
  <c r="U967" i="1"/>
  <c r="T967" i="1"/>
  <c r="S967" i="1"/>
  <c r="R967" i="1"/>
  <c r="AT967" i="1" s="1"/>
  <c r="Q967" i="1"/>
  <c r="AU967" i="1" s="1"/>
  <c r="P967" i="1"/>
  <c r="Y964" i="1"/>
  <c r="AO964" i="1" s="1"/>
  <c r="X964" i="1"/>
  <c r="U964" i="1"/>
  <c r="T964" i="1"/>
  <c r="S964" i="1"/>
  <c r="R964" i="1"/>
  <c r="AT964" i="1" s="1"/>
  <c r="Q964" i="1"/>
  <c r="AU964" i="1" s="1"/>
  <c r="P964" i="1"/>
  <c r="X963" i="1"/>
  <c r="U963" i="1"/>
  <c r="T963" i="1"/>
  <c r="S963" i="1"/>
  <c r="Y958" i="1"/>
  <c r="AO958" i="1" s="1"/>
  <c r="AQ958" i="1" s="1"/>
  <c r="X958" i="1"/>
  <c r="U958" i="1"/>
  <c r="T958" i="1"/>
  <c r="S958" i="1"/>
  <c r="R958" i="1"/>
  <c r="AT958" i="1" s="1"/>
  <c r="Q958" i="1"/>
  <c r="AU958" i="1" s="1"/>
  <c r="P958" i="1"/>
  <c r="Y957" i="1"/>
  <c r="AO957" i="1" s="1"/>
  <c r="X957" i="1"/>
  <c r="U957" i="1"/>
  <c r="T957" i="1"/>
  <c r="S957" i="1"/>
  <c r="R957" i="1"/>
  <c r="AT957" i="1" s="1"/>
  <c r="Q957" i="1"/>
  <c r="AU957" i="1" s="1"/>
  <c r="P957" i="1"/>
  <c r="Y956" i="1"/>
  <c r="AO956" i="1" s="1"/>
  <c r="X956" i="1"/>
  <c r="U956" i="1"/>
  <c r="T956" i="1"/>
  <c r="S956" i="1"/>
  <c r="R956" i="1"/>
  <c r="AT956" i="1" s="1"/>
  <c r="Q956" i="1"/>
  <c r="AU956" i="1" s="1"/>
  <c r="P956" i="1"/>
  <c r="Y955" i="1"/>
  <c r="AO955" i="1" s="1"/>
  <c r="X955" i="1"/>
  <c r="U955" i="1"/>
  <c r="T955" i="1"/>
  <c r="S955" i="1"/>
  <c r="R955" i="1"/>
  <c r="AT955" i="1" s="1"/>
  <c r="Q955" i="1"/>
  <c r="AU955" i="1" s="1"/>
  <c r="P955" i="1"/>
  <c r="Y960" i="1"/>
  <c r="AO960" i="1" s="1"/>
  <c r="X960" i="1"/>
  <c r="U960" i="1"/>
  <c r="T960" i="1"/>
  <c r="S960" i="1"/>
  <c r="R960" i="1"/>
  <c r="AT960" i="1" s="1"/>
  <c r="Q960" i="1"/>
  <c r="AU960" i="1" s="1"/>
  <c r="P960" i="1"/>
  <c r="X959" i="1"/>
  <c r="U959" i="1"/>
  <c r="T959" i="1"/>
  <c r="S959" i="1"/>
  <c r="X919" i="1"/>
  <c r="U919" i="1"/>
  <c r="T919" i="1"/>
  <c r="S919" i="1"/>
  <c r="Y1003" i="1"/>
  <c r="AO1003" i="1" s="1"/>
  <c r="Y1004" i="1"/>
  <c r="AO1004" i="1" s="1"/>
  <c r="Y918" i="1"/>
  <c r="AO918" i="1" s="1"/>
  <c r="AQ918" i="1" s="1"/>
  <c r="X1003" i="1"/>
  <c r="X1004" i="1"/>
  <c r="X918" i="1"/>
  <c r="U1003" i="1"/>
  <c r="U1004" i="1"/>
  <c r="U918" i="1"/>
  <c r="U961" i="1"/>
  <c r="T1003" i="1"/>
  <c r="T1004" i="1"/>
  <c r="T918" i="1"/>
  <c r="T961" i="1"/>
  <c r="S1120" i="1"/>
  <c r="S1003" i="1"/>
  <c r="S1004" i="1"/>
  <c r="S918" i="1"/>
  <c r="S961" i="1"/>
  <c r="R1003" i="1"/>
  <c r="AT1003" i="1" s="1"/>
  <c r="R1004" i="1"/>
  <c r="AT1004" i="1" s="1"/>
  <c r="R918" i="1"/>
  <c r="AT918" i="1" s="1"/>
  <c r="Q1003" i="1"/>
  <c r="AU1003" i="1" s="1"/>
  <c r="Q1004" i="1"/>
  <c r="AU1004" i="1" s="1"/>
  <c r="Q918" i="1"/>
  <c r="AU918" i="1" s="1"/>
  <c r="P1003" i="1"/>
  <c r="P1004" i="1"/>
  <c r="P918" i="1"/>
  <c r="Y1120" i="1"/>
  <c r="AO1120" i="1" s="1"/>
  <c r="U1120" i="1"/>
  <c r="T1120" i="1"/>
  <c r="Q1120" i="1"/>
  <c r="AU1120" i="1" s="1"/>
  <c r="Y1119" i="1"/>
  <c r="AO1119" i="1" s="1"/>
  <c r="AQ1119" i="1" s="1"/>
  <c r="U1119" i="1"/>
  <c r="T1119" i="1"/>
  <c r="S1119" i="1"/>
  <c r="R1119" i="1"/>
  <c r="AT1119" i="1" s="1"/>
  <c r="Q1119" i="1"/>
  <c r="AU1119" i="1" s="1"/>
  <c r="X1118" i="1"/>
  <c r="U1118" i="1"/>
  <c r="T1118" i="1"/>
  <c r="S1118" i="1"/>
  <c r="Y1000" i="1"/>
  <c r="AO1000" i="1" s="1"/>
  <c r="X1000" i="1"/>
  <c r="U1000" i="1"/>
  <c r="T1000" i="1"/>
  <c r="S1000" i="1"/>
  <c r="R1000" i="1"/>
  <c r="AT1000" i="1" s="1"/>
  <c r="Q1000" i="1"/>
  <c r="AU1000" i="1" s="1"/>
  <c r="P1000" i="1"/>
  <c r="X999" i="1"/>
  <c r="U999" i="1"/>
  <c r="T999" i="1"/>
  <c r="S999" i="1"/>
  <c r="Y998" i="1"/>
  <c r="AO998" i="1" s="1"/>
  <c r="AQ998" i="1" s="1"/>
  <c r="X998" i="1"/>
  <c r="U998" i="1"/>
  <c r="T998" i="1"/>
  <c r="S998" i="1"/>
  <c r="R998" i="1"/>
  <c r="AT998" i="1" s="1"/>
  <c r="Q998" i="1"/>
  <c r="AU998" i="1" s="1"/>
  <c r="P998" i="1"/>
  <c r="X962" i="1"/>
  <c r="U962" i="1"/>
  <c r="T962" i="1"/>
  <c r="S962" i="1"/>
  <c r="X961" i="1"/>
  <c r="Y917" i="1"/>
  <c r="AO917" i="1" s="1"/>
  <c r="X917" i="1"/>
  <c r="U917" i="1"/>
  <c r="T917" i="1"/>
  <c r="S917" i="1"/>
  <c r="R917" i="1"/>
  <c r="AT917" i="1" s="1"/>
  <c r="Q917" i="1"/>
  <c r="AU917" i="1" s="1"/>
  <c r="P917" i="1"/>
  <c r="Y916" i="1"/>
  <c r="AO916" i="1" s="1"/>
  <c r="X916" i="1"/>
  <c r="U916" i="1"/>
  <c r="T916" i="1"/>
  <c r="S916" i="1"/>
  <c r="R916" i="1"/>
  <c r="AT916" i="1" s="1"/>
  <c r="Q916" i="1"/>
  <c r="AU916" i="1" s="1"/>
  <c r="P916" i="1"/>
  <c r="X915" i="1"/>
  <c r="U915" i="1"/>
  <c r="T915" i="1"/>
  <c r="S915" i="1"/>
  <c r="Y933" i="1"/>
  <c r="AO933" i="1" s="1"/>
  <c r="X933" i="1"/>
  <c r="U933" i="1"/>
  <c r="T933" i="1"/>
  <c r="S933" i="1"/>
  <c r="R933" i="1"/>
  <c r="AT933" i="1" s="1"/>
  <c r="Q933" i="1"/>
  <c r="AU933" i="1" s="1"/>
  <c r="P933" i="1"/>
  <c r="Y932" i="1"/>
  <c r="AO932" i="1" s="1"/>
  <c r="X932" i="1"/>
  <c r="U932" i="1"/>
  <c r="T932" i="1"/>
  <c r="S932" i="1"/>
  <c r="R932" i="1"/>
  <c r="AT932" i="1" s="1"/>
  <c r="Q932" i="1"/>
  <c r="AU932" i="1" s="1"/>
  <c r="P932" i="1"/>
  <c r="Y931" i="1"/>
  <c r="AO931" i="1" s="1"/>
  <c r="AQ931" i="1" s="1"/>
  <c r="X931" i="1"/>
  <c r="U931" i="1"/>
  <c r="T931" i="1"/>
  <c r="S931" i="1"/>
  <c r="R931" i="1"/>
  <c r="AT931" i="1" s="1"/>
  <c r="Q931" i="1"/>
  <c r="AU931" i="1" s="1"/>
  <c r="P931" i="1"/>
  <c r="Y930" i="1"/>
  <c r="AO930" i="1" s="1"/>
  <c r="X930" i="1"/>
  <c r="U930" i="1"/>
  <c r="T930" i="1"/>
  <c r="S930" i="1"/>
  <c r="R930" i="1"/>
  <c r="AT930" i="1" s="1"/>
  <c r="Q930" i="1"/>
  <c r="AU930" i="1" s="1"/>
  <c r="P930" i="1"/>
  <c r="Y929" i="1"/>
  <c r="AO929" i="1" s="1"/>
  <c r="X929" i="1"/>
  <c r="U929" i="1"/>
  <c r="T929" i="1"/>
  <c r="S929" i="1"/>
  <c r="R929" i="1"/>
  <c r="AT929" i="1" s="1"/>
  <c r="Q929" i="1"/>
  <c r="AU929" i="1" s="1"/>
  <c r="P929" i="1"/>
  <c r="Y928" i="1"/>
  <c r="AO928" i="1" s="1"/>
  <c r="X928" i="1"/>
  <c r="U928" i="1"/>
  <c r="T928" i="1"/>
  <c r="S928" i="1"/>
  <c r="R928" i="1"/>
  <c r="AT928" i="1" s="1"/>
  <c r="Q928" i="1"/>
  <c r="AU928" i="1" s="1"/>
  <c r="P928" i="1"/>
  <c r="X684" i="1"/>
  <c r="Y1601" i="1"/>
  <c r="AO1601" i="1" s="1"/>
  <c r="AQ1601" i="1" s="1"/>
  <c r="X1601" i="1"/>
  <c r="X909" i="1"/>
  <c r="Y908" i="1"/>
  <c r="AO908" i="1" s="1"/>
  <c r="X908" i="1"/>
  <c r="Y907" i="1"/>
  <c r="AO907" i="1" s="1"/>
  <c r="X907" i="1"/>
  <c r="X906" i="1"/>
  <c r="Y914" i="1"/>
  <c r="AO914" i="1" s="1"/>
  <c r="X914" i="1"/>
  <c r="Y913" i="1"/>
  <c r="AO913" i="1" s="1"/>
  <c r="X913" i="1"/>
  <c r="Y880" i="1"/>
  <c r="AO880" i="1" s="1"/>
  <c r="X880" i="1"/>
  <c r="Y879" i="1"/>
  <c r="AO879" i="1" s="1"/>
  <c r="AQ879" i="1" s="1"/>
  <c r="X879" i="1"/>
  <c r="Y912" i="1"/>
  <c r="AO912" i="1" s="1"/>
  <c r="X912" i="1"/>
  <c r="Y878" i="1"/>
  <c r="AO878" i="1" s="1"/>
  <c r="AQ878" i="1" s="1"/>
  <c r="X878" i="1"/>
  <c r="Y1232" i="1"/>
  <c r="P240" i="6" s="1"/>
  <c r="X1232" i="1"/>
  <c r="X1201" i="1"/>
  <c r="Y1200" i="1"/>
  <c r="AO1200" i="1" s="1"/>
  <c r="X1200" i="1"/>
  <c r="X938" i="1"/>
  <c r="Y937" i="1"/>
  <c r="AO937" i="1" s="1"/>
  <c r="X937" i="1"/>
  <c r="Y936" i="1"/>
  <c r="AO936" i="1" s="1"/>
  <c r="X936" i="1"/>
  <c r="Y935" i="1"/>
  <c r="AO935" i="1" s="1"/>
  <c r="AQ935" i="1" s="1"/>
  <c r="X935" i="1"/>
  <c r="X934" i="1"/>
  <c r="Y946" i="1"/>
  <c r="AO946" i="1" s="1"/>
  <c r="AQ946" i="1" s="1"/>
  <c r="X946" i="1"/>
  <c r="Y945" i="1"/>
  <c r="AO945" i="1" s="1"/>
  <c r="X945" i="1"/>
  <c r="Y926" i="1"/>
  <c r="AO926" i="1" s="1"/>
  <c r="AQ926" i="1" s="1"/>
  <c r="X926" i="1"/>
  <c r="Y925" i="1"/>
  <c r="AO925" i="1" s="1"/>
  <c r="X925" i="1"/>
  <c r="Y924" i="1"/>
  <c r="AO924" i="1" s="1"/>
  <c r="X924" i="1"/>
  <c r="X923" i="1"/>
  <c r="X922" i="1"/>
  <c r="X921" i="1"/>
  <c r="Y920" i="1"/>
  <c r="AO920" i="1" s="1"/>
  <c r="X920" i="1"/>
  <c r="Y887" i="1"/>
  <c r="AO887" i="1" s="1"/>
  <c r="AQ887" i="1" s="1"/>
  <c r="X887" i="1"/>
  <c r="X886" i="1"/>
  <c r="Y885" i="1"/>
  <c r="AO885" i="1" s="1"/>
  <c r="X885" i="1"/>
  <c r="X884" i="1"/>
  <c r="X883" i="1"/>
  <c r="X882" i="1"/>
  <c r="Y881" i="1"/>
  <c r="AO881" i="1" s="1"/>
  <c r="X881" i="1"/>
  <c r="Y897" i="1"/>
  <c r="AO897" i="1" s="1"/>
  <c r="X897" i="1"/>
  <c r="Y911" i="1"/>
  <c r="AO911" i="1" s="1"/>
  <c r="AQ911" i="1" s="1"/>
  <c r="X911" i="1"/>
  <c r="Y910" i="1"/>
  <c r="AO910" i="1" s="1"/>
  <c r="AQ910" i="1" s="1"/>
  <c r="X910" i="1"/>
  <c r="Y1204" i="1"/>
  <c r="AO1204" i="1" s="1"/>
  <c r="X1204" i="1"/>
  <c r="Y1203" i="1"/>
  <c r="AO1203" i="1" s="1"/>
  <c r="X1203" i="1"/>
  <c r="Y1202" i="1"/>
  <c r="AO1202" i="1" s="1"/>
  <c r="X1202" i="1"/>
  <c r="Y1015" i="1"/>
  <c r="AO1015" i="1" s="1"/>
  <c r="AQ1015" i="1" s="1"/>
  <c r="X1015" i="1"/>
  <c r="Y1014" i="1"/>
  <c r="AO1014" i="1" s="1"/>
  <c r="AQ1014" i="1" s="1"/>
  <c r="X1014" i="1"/>
  <c r="Y892" i="1"/>
  <c r="AO892" i="1" s="1"/>
  <c r="X892" i="1"/>
  <c r="Y891" i="1"/>
  <c r="AO891" i="1" s="1"/>
  <c r="AQ891" i="1" s="1"/>
  <c r="X891" i="1"/>
  <c r="X890" i="1"/>
  <c r="X889" i="1"/>
  <c r="Y888" i="1"/>
  <c r="AO888" i="1" s="1"/>
  <c r="X888" i="1"/>
  <c r="Y1128" i="1"/>
  <c r="AO1128" i="1" s="1"/>
  <c r="X1128" i="1"/>
  <c r="X944" i="1"/>
  <c r="X943" i="1"/>
  <c r="Y942" i="1"/>
  <c r="AO942" i="1" s="1"/>
  <c r="AQ942" i="1" s="1"/>
  <c r="X942" i="1"/>
  <c r="Y941" i="1"/>
  <c r="AO941" i="1" s="1"/>
  <c r="X941" i="1"/>
  <c r="X940" i="1"/>
  <c r="Y1239" i="1"/>
  <c r="AO1239" i="1" s="1"/>
  <c r="X1239" i="1"/>
  <c r="X1168" i="1"/>
  <c r="Y1167" i="1"/>
  <c r="AO1167" i="1" s="1"/>
  <c r="AQ1167" i="1" s="1"/>
  <c r="X1167" i="1"/>
  <c r="X1166" i="1"/>
  <c r="Y1135" i="1"/>
  <c r="AO1135" i="1" s="1"/>
  <c r="X1135" i="1"/>
  <c r="Y1134" i="1"/>
  <c r="AO1134" i="1" s="1"/>
  <c r="AQ1134" i="1" s="1"/>
  <c r="X1134" i="1"/>
  <c r="Y1133" i="1"/>
  <c r="AO1133" i="1" s="1"/>
  <c r="X1133" i="1"/>
  <c r="X1084" i="1"/>
  <c r="X1083" i="1"/>
  <c r="Y1081" i="1"/>
  <c r="AO1081" i="1" s="1"/>
  <c r="X1081" i="1"/>
  <c r="X1082" i="1"/>
  <c r="Y953" i="1"/>
  <c r="AO953" i="1" s="1"/>
  <c r="X953" i="1"/>
  <c r="X952" i="1"/>
  <c r="Y1073" i="1"/>
  <c r="AO1073" i="1" s="1"/>
  <c r="X1073" i="1"/>
  <c r="Y1072" i="1"/>
  <c r="AO1072" i="1" s="1"/>
  <c r="X1072" i="1"/>
  <c r="X1071" i="1"/>
  <c r="Y1163" i="1"/>
  <c r="AO1163" i="1" s="1"/>
  <c r="AQ1163" i="1" s="1"/>
  <c r="X1163" i="1"/>
  <c r="X1162" i="1"/>
  <c r="Y1161" i="1"/>
  <c r="AO1161" i="1" s="1"/>
  <c r="X1161" i="1"/>
  <c r="Y1195" i="1"/>
  <c r="AO1195" i="1" s="1"/>
  <c r="X1195" i="1"/>
  <c r="X1068" i="1"/>
  <c r="Y1067" i="1"/>
  <c r="AO1067" i="1" s="1"/>
  <c r="AQ1067" i="1" s="1"/>
  <c r="X1067" i="1"/>
  <c r="Y1079" i="1"/>
  <c r="AO1079" i="1" s="1"/>
  <c r="AQ1079" i="1" s="1"/>
  <c r="X1079" i="1"/>
  <c r="X1085" i="1"/>
  <c r="Y951" i="1"/>
  <c r="AO951" i="1" s="1"/>
  <c r="X951" i="1"/>
  <c r="Y950" i="1"/>
  <c r="AO950" i="1" s="1"/>
  <c r="AQ950" i="1" s="1"/>
  <c r="X950" i="1"/>
  <c r="Y949" i="1"/>
  <c r="AO949" i="1" s="1"/>
  <c r="X949" i="1"/>
  <c r="Y948" i="1"/>
  <c r="AO948" i="1" s="1"/>
  <c r="X948" i="1"/>
  <c r="X947" i="1"/>
  <c r="X939" i="1"/>
  <c r="X905" i="1"/>
  <c r="Y904" i="1"/>
  <c r="AO904" i="1" s="1"/>
  <c r="X904" i="1"/>
  <c r="Y903" i="1"/>
  <c r="AO903" i="1" s="1"/>
  <c r="AQ903" i="1" s="1"/>
  <c r="X903" i="1"/>
  <c r="Y902" i="1"/>
  <c r="AO902" i="1" s="1"/>
  <c r="X902" i="1"/>
  <c r="Y1005" i="1"/>
  <c r="AO1005" i="1" s="1"/>
  <c r="X1005" i="1"/>
  <c r="Y1002" i="1"/>
  <c r="AO1002" i="1" s="1"/>
  <c r="X1002" i="1"/>
  <c r="Y1001" i="1"/>
  <c r="AO1001" i="1" s="1"/>
  <c r="X1001" i="1"/>
  <c r="X1160" i="1"/>
  <c r="Y1117" i="1"/>
  <c r="AO1117" i="1" s="1"/>
  <c r="X1117" i="1"/>
  <c r="Y1116" i="1"/>
  <c r="AO1116" i="1" s="1"/>
  <c r="X1116" i="1"/>
  <c r="X1115" i="1"/>
  <c r="Y1066" i="1"/>
  <c r="AO1066" i="1" s="1"/>
  <c r="X1066" i="1"/>
  <c r="Y1065" i="1"/>
  <c r="AO1065" i="1" s="1"/>
  <c r="X1065" i="1"/>
  <c r="X896" i="1"/>
  <c r="X895" i="1"/>
  <c r="Y894" i="1"/>
  <c r="AO894" i="1" s="1"/>
  <c r="AQ894" i="1" s="1"/>
  <c r="X894" i="1"/>
  <c r="Y893" i="1"/>
  <c r="AO893" i="1" s="1"/>
  <c r="AQ893" i="1" s="1"/>
  <c r="X893" i="1"/>
  <c r="X863" i="1"/>
  <c r="X862" i="1"/>
  <c r="X861" i="1"/>
  <c r="Y900" i="1"/>
  <c r="AO900" i="1" s="1"/>
  <c r="X900" i="1"/>
  <c r="Y860" i="1"/>
  <c r="AO860" i="1" s="1"/>
  <c r="X860" i="1"/>
  <c r="Y899" i="1"/>
  <c r="AO899" i="1" s="1"/>
  <c r="AQ899" i="1" s="1"/>
  <c r="X899" i="1"/>
  <c r="Y898" i="1"/>
  <c r="AO898" i="1" s="1"/>
  <c r="X898" i="1"/>
  <c r="Y873" i="1"/>
  <c r="AO873" i="1" s="1"/>
  <c r="X873" i="1"/>
  <c r="Y872" i="1"/>
  <c r="AO872" i="1" s="1"/>
  <c r="X872" i="1"/>
  <c r="X871" i="1"/>
  <c r="Y870" i="1"/>
  <c r="AO870" i="1" s="1"/>
  <c r="AQ870" i="1" s="1"/>
  <c r="X870" i="1"/>
  <c r="Y869" i="1"/>
  <c r="AO869" i="1" s="1"/>
  <c r="X869" i="1"/>
  <c r="Y868" i="1"/>
  <c r="AO868" i="1" s="1"/>
  <c r="X868" i="1"/>
  <c r="Y867" i="1"/>
  <c r="AO867" i="1" s="1"/>
  <c r="AQ867" i="1" s="1"/>
  <c r="X867" i="1"/>
  <c r="Y866" i="1"/>
  <c r="AO866" i="1" s="1"/>
  <c r="X866" i="1"/>
  <c r="X865" i="1"/>
  <c r="Y864" i="1"/>
  <c r="AO864" i="1" s="1"/>
  <c r="X864" i="1"/>
  <c r="Y836" i="1"/>
  <c r="AO836" i="1" s="1"/>
  <c r="X836" i="1"/>
  <c r="Y835" i="1"/>
  <c r="AO835" i="1" s="1"/>
  <c r="AQ835" i="1" s="1"/>
  <c r="X835" i="1"/>
  <c r="Y834" i="1"/>
  <c r="AO834" i="1" s="1"/>
  <c r="AQ834" i="1" s="1"/>
  <c r="X834" i="1"/>
  <c r="Y833" i="1"/>
  <c r="AO833" i="1" s="1"/>
  <c r="X833" i="1"/>
  <c r="Y832" i="1"/>
  <c r="AO832" i="1" s="1"/>
  <c r="X832" i="1"/>
  <c r="Y831" i="1"/>
  <c r="AO831" i="1" s="1"/>
  <c r="X831" i="1"/>
  <c r="Y830" i="1"/>
  <c r="AO830" i="1" s="1"/>
  <c r="AQ830" i="1" s="1"/>
  <c r="X830" i="1"/>
  <c r="Y829" i="1"/>
  <c r="AO829" i="1" s="1"/>
  <c r="X829" i="1"/>
  <c r="Y828" i="1"/>
  <c r="AO828" i="1" s="1"/>
  <c r="X828" i="1"/>
  <c r="Y827" i="1"/>
  <c r="AO827" i="1" s="1"/>
  <c r="AQ827" i="1" s="1"/>
  <c r="X827" i="1"/>
  <c r="Y826" i="1"/>
  <c r="AO826" i="1" s="1"/>
  <c r="X826" i="1"/>
  <c r="Y825" i="1"/>
  <c r="AO825" i="1" s="1"/>
  <c r="X825" i="1"/>
  <c r="Y824" i="1"/>
  <c r="AO824" i="1" s="1"/>
  <c r="X824" i="1"/>
  <c r="Y823" i="1"/>
  <c r="AO823" i="1" s="1"/>
  <c r="X823" i="1"/>
  <c r="X822" i="1"/>
  <c r="Y813" i="1"/>
  <c r="AO813" i="1" s="1"/>
  <c r="X813" i="1"/>
  <c r="Y812" i="1"/>
  <c r="AO812" i="1" s="1"/>
  <c r="X812" i="1"/>
  <c r="Y811" i="1"/>
  <c r="AO811" i="1" s="1"/>
  <c r="AQ811" i="1" s="1"/>
  <c r="X811" i="1"/>
  <c r="Y821" i="1"/>
  <c r="AO821" i="1" s="1"/>
  <c r="X821" i="1"/>
  <c r="Y820" i="1"/>
  <c r="AO820" i="1" s="1"/>
  <c r="X820" i="1"/>
  <c r="Y819" i="1"/>
  <c r="AO819" i="1" s="1"/>
  <c r="AQ819" i="1" s="1"/>
  <c r="X819" i="1"/>
  <c r="Y818" i="1"/>
  <c r="AO818" i="1" s="1"/>
  <c r="X818" i="1"/>
  <c r="X817" i="1"/>
  <c r="Y844" i="1"/>
  <c r="AO844" i="1" s="1"/>
  <c r="X844" i="1"/>
  <c r="X927" i="1"/>
  <c r="Y877" i="1"/>
  <c r="AO877" i="1" s="1"/>
  <c r="X877" i="1"/>
  <c r="Y876" i="1"/>
  <c r="AO876" i="1" s="1"/>
  <c r="X876" i="1"/>
  <c r="X875" i="1"/>
  <c r="Y874" i="1"/>
  <c r="AO874" i="1" s="1"/>
  <c r="X874" i="1"/>
  <c r="Y845" i="1"/>
  <c r="AO845" i="1" s="1"/>
  <c r="X845" i="1"/>
  <c r="Y843" i="1"/>
  <c r="AO843" i="1" s="1"/>
  <c r="X843" i="1"/>
  <c r="Y842" i="1"/>
  <c r="AO842" i="1" s="1"/>
  <c r="X842" i="1"/>
  <c r="Y841" i="1"/>
  <c r="AO841" i="1" s="1"/>
  <c r="X841" i="1"/>
  <c r="X840" i="1"/>
  <c r="Y901" i="1"/>
  <c r="AO901" i="1" s="1"/>
  <c r="X901" i="1"/>
  <c r="Y839" i="1"/>
  <c r="AO839" i="1" s="1"/>
  <c r="AQ839" i="1" s="1"/>
  <c r="X839" i="1"/>
  <c r="X838" i="1"/>
  <c r="X837" i="1"/>
  <c r="X805" i="1"/>
  <c r="Y804" i="1"/>
  <c r="AO804" i="1" s="1"/>
  <c r="X804" i="1"/>
  <c r="Y803" i="1"/>
  <c r="AO803" i="1" s="1"/>
  <c r="X803" i="1"/>
  <c r="X802" i="1"/>
  <c r="X810" i="1"/>
  <c r="X809" i="1"/>
  <c r="Y808" i="1"/>
  <c r="AO808" i="1" s="1"/>
  <c r="X808" i="1"/>
  <c r="X807" i="1"/>
  <c r="X806" i="1"/>
  <c r="Y857" i="1"/>
  <c r="AO857" i="1" s="1"/>
  <c r="X857" i="1"/>
  <c r="Y856" i="1"/>
  <c r="AO856" i="1" s="1"/>
  <c r="X856" i="1"/>
  <c r="Y855" i="1"/>
  <c r="AO855" i="1" s="1"/>
  <c r="X855" i="1"/>
  <c r="Y816" i="1"/>
  <c r="AO816" i="1" s="1"/>
  <c r="X816" i="1"/>
  <c r="Y815" i="1"/>
  <c r="AO815" i="1" s="1"/>
  <c r="AQ815" i="1" s="1"/>
  <c r="X815" i="1"/>
  <c r="Y814" i="1"/>
  <c r="AO814" i="1" s="1"/>
  <c r="AQ814" i="1" s="1"/>
  <c r="X814" i="1"/>
  <c r="Y854" i="1"/>
  <c r="AO854" i="1" s="1"/>
  <c r="AQ854" i="1" s="1"/>
  <c r="X854" i="1"/>
  <c r="X853" i="1"/>
  <c r="Y852" i="1"/>
  <c r="AO852" i="1" s="1"/>
  <c r="X852" i="1"/>
  <c r="Y851" i="1"/>
  <c r="AO851" i="1" s="1"/>
  <c r="AQ851" i="1" s="1"/>
  <c r="X851" i="1"/>
  <c r="X850" i="1"/>
  <c r="X849" i="1"/>
  <c r="X848" i="1"/>
  <c r="Y847" i="1"/>
  <c r="AO847" i="1" s="1"/>
  <c r="AQ847" i="1" s="1"/>
  <c r="X847" i="1"/>
  <c r="X846" i="1"/>
  <c r="Y859" i="1"/>
  <c r="AO859" i="1" s="1"/>
  <c r="AQ859" i="1" s="1"/>
  <c r="X859" i="1"/>
  <c r="Y858" i="1"/>
  <c r="AO858" i="1" s="1"/>
  <c r="X858" i="1"/>
  <c r="Y801" i="1"/>
  <c r="AO801" i="1" s="1"/>
  <c r="X801" i="1"/>
  <c r="Y800" i="1"/>
  <c r="AO800" i="1" s="1"/>
  <c r="X800" i="1"/>
  <c r="X799" i="1"/>
  <c r="Y798" i="1"/>
  <c r="AO798" i="1" s="1"/>
  <c r="AQ798" i="1" s="1"/>
  <c r="X798" i="1"/>
  <c r="X797" i="1"/>
  <c r="X796" i="1"/>
  <c r="X795" i="1"/>
  <c r="Y794" i="1"/>
  <c r="AO794" i="1" s="1"/>
  <c r="AQ794" i="1" s="1"/>
  <c r="X794" i="1"/>
  <c r="X793" i="1"/>
  <c r="X792" i="1"/>
  <c r="X791" i="1"/>
  <c r="Y790" i="1"/>
  <c r="AO790" i="1" s="1"/>
  <c r="AQ790" i="1" s="1"/>
  <c r="X790" i="1"/>
  <c r="X789" i="1"/>
  <c r="Y788" i="1"/>
  <c r="AO788" i="1" s="1"/>
  <c r="X788" i="1"/>
  <c r="Y787" i="1"/>
  <c r="AO787" i="1" s="1"/>
  <c r="AQ787" i="1" s="1"/>
  <c r="X787" i="1"/>
  <c r="Y786" i="1"/>
  <c r="AO786" i="1" s="1"/>
  <c r="X786" i="1"/>
  <c r="Y785" i="1"/>
  <c r="AO785" i="1" s="1"/>
  <c r="X785" i="1"/>
  <c r="Y784" i="1"/>
  <c r="AO784" i="1" s="1"/>
  <c r="X784" i="1"/>
  <c r="Y783" i="1"/>
  <c r="AO783" i="1" s="1"/>
  <c r="X783" i="1"/>
  <c r="X782" i="1"/>
  <c r="Y781" i="1"/>
  <c r="AO781" i="1" s="1"/>
  <c r="X781" i="1"/>
  <c r="Y780" i="1"/>
  <c r="AO780" i="1" s="1"/>
  <c r="X780" i="1"/>
  <c r="Y779" i="1"/>
  <c r="AO779" i="1" s="1"/>
  <c r="AQ779" i="1" s="1"/>
  <c r="X779" i="1"/>
  <c r="X778" i="1"/>
  <c r="X777" i="1"/>
  <c r="X776" i="1"/>
  <c r="X775" i="1"/>
  <c r="Y774" i="1"/>
  <c r="AO774" i="1" s="1"/>
  <c r="AQ774" i="1" s="1"/>
  <c r="X774" i="1"/>
  <c r="X773" i="1"/>
  <c r="Y772" i="1"/>
  <c r="AO772" i="1" s="1"/>
  <c r="X772" i="1"/>
  <c r="Y771" i="1"/>
  <c r="AO771" i="1" s="1"/>
  <c r="X771" i="1"/>
  <c r="X770" i="1"/>
  <c r="Y769" i="1"/>
  <c r="AO769" i="1" s="1"/>
  <c r="X769" i="1"/>
  <c r="Y768" i="1"/>
  <c r="AO768" i="1" s="1"/>
  <c r="X768" i="1"/>
  <c r="X767" i="1"/>
  <c r="Y766" i="1"/>
  <c r="AO766" i="1" s="1"/>
  <c r="AQ766" i="1" s="1"/>
  <c r="X766" i="1"/>
  <c r="Y765" i="1"/>
  <c r="AO765" i="1" s="1"/>
  <c r="X765" i="1"/>
  <c r="Y753" i="1"/>
  <c r="AO753" i="1" s="1"/>
  <c r="X753" i="1"/>
  <c r="X752" i="1"/>
  <c r="Y751" i="1"/>
  <c r="AO751" i="1" s="1"/>
  <c r="AQ751" i="1" s="1"/>
  <c r="X751" i="1"/>
  <c r="Y750" i="1"/>
  <c r="AO750" i="1" s="1"/>
  <c r="AQ750" i="1" s="1"/>
  <c r="X750" i="1"/>
  <c r="Y749" i="1"/>
  <c r="AO749" i="1" s="1"/>
  <c r="X749" i="1"/>
  <c r="Y748" i="1"/>
  <c r="AO748" i="1" s="1"/>
  <c r="X748" i="1"/>
  <c r="Y747" i="1"/>
  <c r="AO747" i="1" s="1"/>
  <c r="X747" i="1"/>
  <c r="Y746" i="1"/>
  <c r="AO746" i="1" s="1"/>
  <c r="X746" i="1"/>
  <c r="X745" i="1"/>
  <c r="Y744" i="1"/>
  <c r="AO744" i="1" s="1"/>
  <c r="X744" i="1"/>
  <c r="Y764" i="1"/>
  <c r="AO764" i="1" s="1"/>
  <c r="X764" i="1"/>
  <c r="Y763" i="1"/>
  <c r="AO763" i="1" s="1"/>
  <c r="X763" i="1"/>
  <c r="X762" i="1"/>
  <c r="Y761" i="1"/>
  <c r="AO761" i="1" s="1"/>
  <c r="X761" i="1"/>
  <c r="X760" i="1"/>
  <c r="Y759" i="1"/>
  <c r="AO759" i="1" s="1"/>
  <c r="X759" i="1"/>
  <c r="X758" i="1"/>
  <c r="Y757" i="1"/>
  <c r="AO757" i="1" s="1"/>
  <c r="X757" i="1"/>
  <c r="X756" i="1"/>
  <c r="X755" i="1"/>
  <c r="Y754" i="1"/>
  <c r="AO754" i="1" s="1"/>
  <c r="X754" i="1"/>
  <c r="Y743" i="1"/>
  <c r="AO743" i="1" s="1"/>
  <c r="AQ743" i="1" s="1"/>
  <c r="X743" i="1"/>
  <c r="Y742" i="1"/>
  <c r="AO742" i="1" s="1"/>
  <c r="AQ742" i="1" s="1"/>
  <c r="X742" i="1"/>
  <c r="Y741" i="1"/>
  <c r="AO741" i="1" s="1"/>
  <c r="X741" i="1"/>
  <c r="X740" i="1"/>
  <c r="Y736" i="1"/>
  <c r="AO736" i="1" s="1"/>
  <c r="X736" i="1"/>
  <c r="Y721" i="1"/>
  <c r="AO721" i="1" s="1"/>
  <c r="X721" i="1"/>
  <c r="X716" i="1"/>
  <c r="X708" i="1"/>
  <c r="Y707" i="1"/>
  <c r="AO707" i="1" s="1"/>
  <c r="X707" i="1"/>
  <c r="Y706" i="1"/>
  <c r="AO706" i="1" s="1"/>
  <c r="X706" i="1"/>
  <c r="Y704" i="1"/>
  <c r="AO704" i="1" s="1"/>
  <c r="AQ704" i="1" s="1"/>
  <c r="X704" i="1"/>
  <c r="Y703" i="1"/>
  <c r="AO703" i="1" s="1"/>
  <c r="X703" i="1"/>
  <c r="Y700" i="1"/>
  <c r="AO700" i="1" s="1"/>
  <c r="X700" i="1"/>
  <c r="X698" i="1"/>
  <c r="Y696" i="1"/>
  <c r="AO696" i="1" s="1"/>
  <c r="X696" i="1"/>
  <c r="Y693" i="1"/>
  <c r="AO693" i="1" s="1"/>
  <c r="X693" i="1"/>
  <c r="Y692" i="1"/>
  <c r="AO692" i="1" s="1"/>
  <c r="X692" i="1"/>
  <c r="X691" i="1"/>
  <c r="X686" i="1"/>
  <c r="X685" i="1"/>
  <c r="Y683" i="1"/>
  <c r="AO683" i="1" s="1"/>
  <c r="X683" i="1"/>
  <c r="Y682" i="1"/>
  <c r="AO682" i="1" s="1"/>
  <c r="X682" i="1"/>
  <c r="X680" i="1"/>
  <c r="X679" i="1"/>
  <c r="Y678" i="1"/>
  <c r="AO678" i="1" s="1"/>
  <c r="AQ678" i="1" s="1"/>
  <c r="X678" i="1"/>
  <c r="X677" i="1"/>
  <c r="Y664" i="1"/>
  <c r="AO664" i="1" s="1"/>
  <c r="X664" i="1"/>
  <c r="Y663" i="1"/>
  <c r="AO663" i="1" s="1"/>
  <c r="AQ663" i="1" s="1"/>
  <c r="X663" i="1"/>
  <c r="Y661" i="1"/>
  <c r="AO661" i="1" s="1"/>
  <c r="AQ661" i="1" s="1"/>
  <c r="X661" i="1"/>
  <c r="Y660" i="1"/>
  <c r="AO660" i="1" s="1"/>
  <c r="X660" i="1"/>
  <c r="Y656" i="1"/>
  <c r="AO656" i="1" s="1"/>
  <c r="X656" i="1"/>
  <c r="X645" i="1"/>
  <c r="U684" i="1"/>
  <c r="T684" i="1"/>
  <c r="S684" i="1"/>
  <c r="U1601" i="1"/>
  <c r="T1601" i="1"/>
  <c r="S1601" i="1"/>
  <c r="R1601" i="1"/>
  <c r="AT1601" i="1" s="1"/>
  <c r="P1601" i="1"/>
  <c r="U909" i="1"/>
  <c r="T909" i="1"/>
  <c r="S909" i="1"/>
  <c r="U908" i="1"/>
  <c r="T908" i="1"/>
  <c r="S908" i="1"/>
  <c r="R908" i="1"/>
  <c r="AT908" i="1" s="1"/>
  <c r="Q908" i="1"/>
  <c r="AU908" i="1" s="1"/>
  <c r="P908" i="1"/>
  <c r="U907" i="1"/>
  <c r="T907" i="1"/>
  <c r="S907" i="1"/>
  <c r="R907" i="1"/>
  <c r="AT907" i="1" s="1"/>
  <c r="Q907" i="1"/>
  <c r="AU907" i="1" s="1"/>
  <c r="P907" i="1"/>
  <c r="U906" i="1"/>
  <c r="T906" i="1"/>
  <c r="S906" i="1"/>
  <c r="U914" i="1"/>
  <c r="T914" i="1"/>
  <c r="S914" i="1"/>
  <c r="R914" i="1"/>
  <c r="AT914" i="1" s="1"/>
  <c r="Q914" i="1"/>
  <c r="AU914" i="1" s="1"/>
  <c r="P914" i="1"/>
  <c r="U913" i="1"/>
  <c r="T913" i="1"/>
  <c r="S913" i="1"/>
  <c r="R913" i="1"/>
  <c r="AT913" i="1" s="1"/>
  <c r="Q913" i="1"/>
  <c r="AU913" i="1" s="1"/>
  <c r="P913" i="1"/>
  <c r="U880" i="1"/>
  <c r="T880" i="1"/>
  <c r="S880" i="1"/>
  <c r="R880" i="1"/>
  <c r="AT880" i="1" s="1"/>
  <c r="Q880" i="1"/>
  <c r="AU880" i="1" s="1"/>
  <c r="P880" i="1"/>
  <c r="U879" i="1"/>
  <c r="T879" i="1"/>
  <c r="S879" i="1"/>
  <c r="R879" i="1"/>
  <c r="AT879" i="1" s="1"/>
  <c r="Q879" i="1"/>
  <c r="AU879" i="1" s="1"/>
  <c r="P879" i="1"/>
  <c r="U912" i="1"/>
  <c r="T912" i="1"/>
  <c r="S912" i="1"/>
  <c r="R912" i="1"/>
  <c r="AT912" i="1" s="1"/>
  <c r="Q912" i="1"/>
  <c r="AU912" i="1" s="1"/>
  <c r="P912" i="1"/>
  <c r="U878" i="1"/>
  <c r="T878" i="1"/>
  <c r="S878" i="1"/>
  <c r="R878" i="1"/>
  <c r="AT878" i="1" s="1"/>
  <c r="Q878" i="1"/>
  <c r="AU878" i="1" s="1"/>
  <c r="P878" i="1"/>
  <c r="U1232" i="1"/>
  <c r="T1232" i="1"/>
  <c r="S1232" i="1"/>
  <c r="R1232" i="1"/>
  <c r="I241" i="6" s="1"/>
  <c r="P1232" i="1"/>
  <c r="U1201" i="1"/>
  <c r="T1201" i="1"/>
  <c r="S1201" i="1"/>
  <c r="U1200" i="1"/>
  <c r="T1200" i="1"/>
  <c r="S1200" i="1"/>
  <c r="R1200" i="1"/>
  <c r="AT1200" i="1" s="1"/>
  <c r="P1200" i="1"/>
  <c r="U938" i="1"/>
  <c r="T938" i="1"/>
  <c r="S938" i="1"/>
  <c r="U937" i="1"/>
  <c r="T937" i="1"/>
  <c r="S937" i="1"/>
  <c r="R937" i="1"/>
  <c r="AT937" i="1" s="1"/>
  <c r="Q937" i="1"/>
  <c r="AU937" i="1" s="1"/>
  <c r="P937" i="1"/>
  <c r="U936" i="1"/>
  <c r="T936" i="1"/>
  <c r="S936" i="1"/>
  <c r="R936" i="1"/>
  <c r="AT936" i="1" s="1"/>
  <c r="Q936" i="1"/>
  <c r="AU936" i="1" s="1"/>
  <c r="P936" i="1"/>
  <c r="U935" i="1"/>
  <c r="T935" i="1"/>
  <c r="S935" i="1"/>
  <c r="R935" i="1"/>
  <c r="AT935" i="1" s="1"/>
  <c r="Q935" i="1"/>
  <c r="AU935" i="1" s="1"/>
  <c r="P935" i="1"/>
  <c r="U934" i="1"/>
  <c r="T934" i="1"/>
  <c r="S934" i="1"/>
  <c r="U946" i="1"/>
  <c r="T946" i="1"/>
  <c r="S946" i="1"/>
  <c r="R946" i="1"/>
  <c r="AT946" i="1" s="1"/>
  <c r="Q946" i="1"/>
  <c r="AU946" i="1" s="1"/>
  <c r="P946" i="1"/>
  <c r="U945" i="1"/>
  <c r="T945" i="1"/>
  <c r="S945" i="1"/>
  <c r="R945" i="1"/>
  <c r="AT945" i="1" s="1"/>
  <c r="Q945" i="1"/>
  <c r="AU945" i="1" s="1"/>
  <c r="P945" i="1"/>
  <c r="U926" i="1"/>
  <c r="T926" i="1"/>
  <c r="S926" i="1"/>
  <c r="R926" i="1"/>
  <c r="AT926" i="1" s="1"/>
  <c r="Q926" i="1"/>
  <c r="AU926" i="1" s="1"/>
  <c r="P926" i="1"/>
  <c r="U925" i="1"/>
  <c r="T925" i="1"/>
  <c r="S925" i="1"/>
  <c r="R925" i="1"/>
  <c r="AT925" i="1" s="1"/>
  <c r="Q925" i="1"/>
  <c r="AU925" i="1" s="1"/>
  <c r="P925" i="1"/>
  <c r="U924" i="1"/>
  <c r="T924" i="1"/>
  <c r="S924" i="1"/>
  <c r="R924" i="1"/>
  <c r="AT924" i="1" s="1"/>
  <c r="Q924" i="1"/>
  <c r="AU924" i="1" s="1"/>
  <c r="P924" i="1"/>
  <c r="U923" i="1"/>
  <c r="T923" i="1"/>
  <c r="S923" i="1"/>
  <c r="U922" i="1"/>
  <c r="T922" i="1"/>
  <c r="S922" i="1"/>
  <c r="U921" i="1"/>
  <c r="T921" i="1"/>
  <c r="S921" i="1"/>
  <c r="U920" i="1"/>
  <c r="T920" i="1"/>
  <c r="S920" i="1"/>
  <c r="R920" i="1"/>
  <c r="AT920" i="1" s="1"/>
  <c r="Q920" i="1"/>
  <c r="AU920" i="1" s="1"/>
  <c r="P920" i="1"/>
  <c r="U887" i="1"/>
  <c r="T887" i="1"/>
  <c r="S887" i="1"/>
  <c r="R887" i="1"/>
  <c r="AT887" i="1" s="1"/>
  <c r="Q887" i="1"/>
  <c r="AU887" i="1" s="1"/>
  <c r="P887" i="1"/>
  <c r="U886" i="1"/>
  <c r="T886" i="1"/>
  <c r="S886" i="1"/>
  <c r="U885" i="1"/>
  <c r="T885" i="1"/>
  <c r="S885" i="1"/>
  <c r="R885" i="1"/>
  <c r="AT885" i="1" s="1"/>
  <c r="Q885" i="1"/>
  <c r="AU885" i="1" s="1"/>
  <c r="P885" i="1"/>
  <c r="U884" i="1"/>
  <c r="T884" i="1"/>
  <c r="S884" i="1"/>
  <c r="U883" i="1"/>
  <c r="T883" i="1"/>
  <c r="S883" i="1"/>
  <c r="U882" i="1"/>
  <c r="T882" i="1"/>
  <c r="S882" i="1"/>
  <c r="U881" i="1"/>
  <c r="T881" i="1"/>
  <c r="S881" i="1"/>
  <c r="R881" i="1"/>
  <c r="AT881" i="1" s="1"/>
  <c r="Q881" i="1"/>
  <c r="AU881" i="1" s="1"/>
  <c r="P881" i="1"/>
  <c r="U897" i="1"/>
  <c r="T897" i="1"/>
  <c r="S897" i="1"/>
  <c r="R897" i="1"/>
  <c r="AT897" i="1" s="1"/>
  <c r="Q897" i="1"/>
  <c r="AU897" i="1" s="1"/>
  <c r="P897" i="1"/>
  <c r="U911" i="1"/>
  <c r="T911" i="1"/>
  <c r="S911" i="1"/>
  <c r="R911" i="1"/>
  <c r="AT911" i="1" s="1"/>
  <c r="Q911" i="1"/>
  <c r="AU911" i="1" s="1"/>
  <c r="P911" i="1"/>
  <c r="U910" i="1"/>
  <c r="T910" i="1"/>
  <c r="S910" i="1"/>
  <c r="R910" i="1"/>
  <c r="AT910" i="1" s="1"/>
  <c r="Q910" i="1"/>
  <c r="AU910" i="1" s="1"/>
  <c r="P910" i="1"/>
  <c r="U1204" i="1"/>
  <c r="T1204" i="1"/>
  <c r="S1204" i="1"/>
  <c r="R1204" i="1"/>
  <c r="AT1204" i="1" s="1"/>
  <c r="P1204" i="1"/>
  <c r="U1203" i="1"/>
  <c r="T1203" i="1"/>
  <c r="S1203" i="1"/>
  <c r="R1203" i="1"/>
  <c r="AT1203" i="1" s="1"/>
  <c r="P1203" i="1"/>
  <c r="U1202" i="1"/>
  <c r="T1202" i="1"/>
  <c r="S1202" i="1"/>
  <c r="R1202" i="1"/>
  <c r="AT1202" i="1" s="1"/>
  <c r="P1202" i="1"/>
  <c r="U1015" i="1"/>
  <c r="T1015" i="1"/>
  <c r="S1015" i="1"/>
  <c r="R1015" i="1"/>
  <c r="AT1015" i="1" s="1"/>
  <c r="Q1015" i="1"/>
  <c r="AU1015" i="1" s="1"/>
  <c r="P1015" i="1"/>
  <c r="U1014" i="1"/>
  <c r="T1014" i="1"/>
  <c r="S1014" i="1"/>
  <c r="R1014" i="1"/>
  <c r="AT1014" i="1" s="1"/>
  <c r="Q1014" i="1"/>
  <c r="AU1014" i="1" s="1"/>
  <c r="P1014" i="1"/>
  <c r="U892" i="1"/>
  <c r="T892" i="1"/>
  <c r="S892" i="1"/>
  <c r="R892" i="1"/>
  <c r="AT892" i="1" s="1"/>
  <c r="Q892" i="1"/>
  <c r="AU892" i="1" s="1"/>
  <c r="P892" i="1"/>
  <c r="U891" i="1"/>
  <c r="T891" i="1"/>
  <c r="S891" i="1"/>
  <c r="R891" i="1"/>
  <c r="AT891" i="1" s="1"/>
  <c r="Q891" i="1"/>
  <c r="AU891" i="1" s="1"/>
  <c r="P891" i="1"/>
  <c r="U890" i="1"/>
  <c r="T890" i="1"/>
  <c r="S890" i="1"/>
  <c r="U889" i="1"/>
  <c r="T889" i="1"/>
  <c r="S889" i="1"/>
  <c r="U888" i="1"/>
  <c r="T888" i="1"/>
  <c r="S888" i="1"/>
  <c r="R888" i="1"/>
  <c r="AT888" i="1" s="1"/>
  <c r="Q888" i="1"/>
  <c r="AU888" i="1" s="1"/>
  <c r="P888" i="1"/>
  <c r="U1128" i="1"/>
  <c r="T1128" i="1"/>
  <c r="S1128" i="1"/>
  <c r="R1128" i="1"/>
  <c r="AT1128" i="1" s="1"/>
  <c r="Q1128" i="1"/>
  <c r="AU1128" i="1" s="1"/>
  <c r="P1128" i="1"/>
  <c r="U944" i="1"/>
  <c r="T944" i="1"/>
  <c r="S944" i="1"/>
  <c r="U943" i="1"/>
  <c r="T943" i="1"/>
  <c r="S943" i="1"/>
  <c r="U942" i="1"/>
  <c r="T942" i="1"/>
  <c r="S942" i="1"/>
  <c r="R942" i="1"/>
  <c r="AT942" i="1" s="1"/>
  <c r="Q942" i="1"/>
  <c r="AU942" i="1" s="1"/>
  <c r="P942" i="1"/>
  <c r="U941" i="1"/>
  <c r="T941" i="1"/>
  <c r="S941" i="1"/>
  <c r="R941" i="1"/>
  <c r="AT941" i="1" s="1"/>
  <c r="Q941" i="1"/>
  <c r="AU941" i="1" s="1"/>
  <c r="P941" i="1"/>
  <c r="U940" i="1"/>
  <c r="T940" i="1"/>
  <c r="S940" i="1"/>
  <c r="U1239" i="1"/>
  <c r="T1239" i="1"/>
  <c r="S1239" i="1"/>
  <c r="R1239" i="1"/>
  <c r="AT1239" i="1" s="1"/>
  <c r="P1239" i="1"/>
  <c r="U1168" i="1"/>
  <c r="T1168" i="1"/>
  <c r="S1168" i="1"/>
  <c r="U1167" i="1"/>
  <c r="T1167" i="1"/>
  <c r="S1167" i="1"/>
  <c r="R1167" i="1"/>
  <c r="AT1167" i="1" s="1"/>
  <c r="P1167" i="1"/>
  <c r="U1166" i="1"/>
  <c r="T1166" i="1"/>
  <c r="S1166" i="1"/>
  <c r="U1135" i="1"/>
  <c r="T1135" i="1"/>
  <c r="S1135" i="1"/>
  <c r="R1135" i="1"/>
  <c r="AT1135" i="1" s="1"/>
  <c r="Q1135" i="1"/>
  <c r="AU1135" i="1" s="1"/>
  <c r="P1135" i="1"/>
  <c r="U1134" i="1"/>
  <c r="T1134" i="1"/>
  <c r="S1134" i="1"/>
  <c r="R1134" i="1"/>
  <c r="AT1134" i="1" s="1"/>
  <c r="Q1134" i="1"/>
  <c r="AU1134" i="1" s="1"/>
  <c r="P1134" i="1"/>
  <c r="U1133" i="1"/>
  <c r="T1133" i="1"/>
  <c r="S1133" i="1"/>
  <c r="R1133" i="1"/>
  <c r="AT1133" i="1" s="1"/>
  <c r="Q1133" i="1"/>
  <c r="AU1133" i="1" s="1"/>
  <c r="P1133" i="1"/>
  <c r="U1084" i="1"/>
  <c r="T1084" i="1"/>
  <c r="S1084" i="1"/>
  <c r="U1083" i="1"/>
  <c r="T1083" i="1"/>
  <c r="S1083" i="1"/>
  <c r="U1081" i="1"/>
  <c r="T1081" i="1"/>
  <c r="S1081" i="1"/>
  <c r="R1081" i="1"/>
  <c r="AT1081" i="1" s="1"/>
  <c r="Q1081" i="1"/>
  <c r="AU1081" i="1" s="1"/>
  <c r="P1081" i="1"/>
  <c r="U1082" i="1"/>
  <c r="T1082" i="1"/>
  <c r="S1082" i="1"/>
  <c r="U953" i="1"/>
  <c r="T953" i="1"/>
  <c r="S953" i="1"/>
  <c r="R953" i="1"/>
  <c r="AT953" i="1" s="1"/>
  <c r="Q953" i="1"/>
  <c r="AU953" i="1" s="1"/>
  <c r="P953" i="1"/>
  <c r="U952" i="1"/>
  <c r="T952" i="1"/>
  <c r="S952" i="1"/>
  <c r="U1073" i="1"/>
  <c r="T1073" i="1"/>
  <c r="S1073" i="1"/>
  <c r="R1073" i="1"/>
  <c r="AT1073" i="1" s="1"/>
  <c r="Q1073" i="1"/>
  <c r="AU1073" i="1" s="1"/>
  <c r="P1073" i="1"/>
  <c r="U1072" i="1"/>
  <c r="T1072" i="1"/>
  <c r="S1072" i="1"/>
  <c r="R1072" i="1"/>
  <c r="AT1072" i="1" s="1"/>
  <c r="Q1072" i="1"/>
  <c r="AU1072" i="1" s="1"/>
  <c r="P1072" i="1"/>
  <c r="U1071" i="1"/>
  <c r="T1071" i="1"/>
  <c r="S1071" i="1"/>
  <c r="U1163" i="1"/>
  <c r="T1163" i="1"/>
  <c r="S1163" i="1"/>
  <c r="R1163" i="1"/>
  <c r="AT1163" i="1" s="1"/>
  <c r="P1163" i="1"/>
  <c r="U1162" i="1"/>
  <c r="T1162" i="1"/>
  <c r="S1162" i="1"/>
  <c r="U1161" i="1"/>
  <c r="T1161" i="1"/>
  <c r="S1161" i="1"/>
  <c r="R1161" i="1"/>
  <c r="AT1161" i="1" s="1"/>
  <c r="P1161" i="1"/>
  <c r="U1195" i="1"/>
  <c r="T1195" i="1"/>
  <c r="S1195" i="1"/>
  <c r="R1195" i="1"/>
  <c r="AT1195" i="1" s="1"/>
  <c r="P1195" i="1"/>
  <c r="U1068" i="1"/>
  <c r="T1068" i="1"/>
  <c r="S1068" i="1"/>
  <c r="U1067" i="1"/>
  <c r="T1067" i="1"/>
  <c r="S1067" i="1"/>
  <c r="R1067" i="1"/>
  <c r="AT1067" i="1" s="1"/>
  <c r="Q1067" i="1"/>
  <c r="AU1067" i="1" s="1"/>
  <c r="P1067" i="1"/>
  <c r="U1079" i="1"/>
  <c r="T1079" i="1"/>
  <c r="S1079" i="1"/>
  <c r="R1079" i="1"/>
  <c r="AT1079" i="1" s="1"/>
  <c r="Q1079" i="1"/>
  <c r="AU1079" i="1" s="1"/>
  <c r="P1079" i="1"/>
  <c r="U1085" i="1"/>
  <c r="T1085" i="1"/>
  <c r="S1085" i="1"/>
  <c r="U951" i="1"/>
  <c r="T951" i="1"/>
  <c r="S951" i="1"/>
  <c r="R951" i="1"/>
  <c r="AT951" i="1" s="1"/>
  <c r="Q951" i="1"/>
  <c r="AU951" i="1" s="1"/>
  <c r="P951" i="1"/>
  <c r="U950" i="1"/>
  <c r="T950" i="1"/>
  <c r="S950" i="1"/>
  <c r="R950" i="1"/>
  <c r="AT950" i="1" s="1"/>
  <c r="Q950" i="1"/>
  <c r="AU950" i="1" s="1"/>
  <c r="P950" i="1"/>
  <c r="U949" i="1"/>
  <c r="T949" i="1"/>
  <c r="S949" i="1"/>
  <c r="R949" i="1"/>
  <c r="AT949" i="1" s="1"/>
  <c r="Q949" i="1"/>
  <c r="AU949" i="1" s="1"/>
  <c r="P949" i="1"/>
  <c r="U948" i="1"/>
  <c r="T948" i="1"/>
  <c r="S948" i="1"/>
  <c r="R948" i="1"/>
  <c r="AT948" i="1" s="1"/>
  <c r="Q948" i="1"/>
  <c r="AU948" i="1" s="1"/>
  <c r="P948" i="1"/>
  <c r="U947" i="1"/>
  <c r="T947" i="1"/>
  <c r="S947" i="1"/>
  <c r="U939" i="1"/>
  <c r="T939" i="1"/>
  <c r="S939" i="1"/>
  <c r="U905" i="1"/>
  <c r="T905" i="1"/>
  <c r="S905" i="1"/>
  <c r="U904" i="1"/>
  <c r="T904" i="1"/>
  <c r="S904" i="1"/>
  <c r="R904" i="1"/>
  <c r="AT904" i="1" s="1"/>
  <c r="Q904" i="1"/>
  <c r="AU904" i="1" s="1"/>
  <c r="P904" i="1"/>
  <c r="U903" i="1"/>
  <c r="T903" i="1"/>
  <c r="S903" i="1"/>
  <c r="R903" i="1"/>
  <c r="AT903" i="1" s="1"/>
  <c r="Q903" i="1"/>
  <c r="AU903" i="1" s="1"/>
  <c r="P903" i="1"/>
  <c r="U902" i="1"/>
  <c r="T902" i="1"/>
  <c r="S902" i="1"/>
  <c r="R902" i="1"/>
  <c r="AT902" i="1" s="1"/>
  <c r="Q902" i="1"/>
  <c r="AU902" i="1" s="1"/>
  <c r="P902" i="1"/>
  <c r="U1005" i="1"/>
  <c r="T1005" i="1"/>
  <c r="S1005" i="1"/>
  <c r="R1005" i="1"/>
  <c r="AT1005" i="1" s="1"/>
  <c r="Q1005" i="1"/>
  <c r="AU1005" i="1" s="1"/>
  <c r="P1005" i="1"/>
  <c r="U1002" i="1"/>
  <c r="T1002" i="1"/>
  <c r="S1002" i="1"/>
  <c r="R1002" i="1"/>
  <c r="AT1002" i="1" s="1"/>
  <c r="Q1002" i="1"/>
  <c r="AU1002" i="1" s="1"/>
  <c r="P1002" i="1"/>
  <c r="U1001" i="1"/>
  <c r="T1001" i="1"/>
  <c r="S1001" i="1"/>
  <c r="R1001" i="1"/>
  <c r="AT1001" i="1" s="1"/>
  <c r="Q1001" i="1"/>
  <c r="AU1001" i="1" s="1"/>
  <c r="P1001" i="1"/>
  <c r="U1160" i="1"/>
  <c r="T1160" i="1"/>
  <c r="S1160" i="1"/>
  <c r="U1117" i="1"/>
  <c r="T1117" i="1"/>
  <c r="S1117" i="1"/>
  <c r="R1117" i="1"/>
  <c r="AT1117" i="1" s="1"/>
  <c r="Q1117" i="1"/>
  <c r="AU1117" i="1" s="1"/>
  <c r="P1117" i="1"/>
  <c r="U1116" i="1"/>
  <c r="T1116" i="1"/>
  <c r="S1116" i="1"/>
  <c r="R1116" i="1"/>
  <c r="AT1116" i="1" s="1"/>
  <c r="Q1116" i="1"/>
  <c r="AU1116" i="1" s="1"/>
  <c r="P1116" i="1"/>
  <c r="U1115" i="1"/>
  <c r="T1115" i="1"/>
  <c r="S1115" i="1"/>
  <c r="U1066" i="1"/>
  <c r="T1066" i="1"/>
  <c r="S1066" i="1"/>
  <c r="R1066" i="1"/>
  <c r="AT1066" i="1" s="1"/>
  <c r="Q1066" i="1"/>
  <c r="AU1066" i="1" s="1"/>
  <c r="P1066" i="1"/>
  <c r="U1065" i="1"/>
  <c r="T1065" i="1"/>
  <c r="S1065" i="1"/>
  <c r="R1065" i="1"/>
  <c r="AT1065" i="1" s="1"/>
  <c r="Q1065" i="1"/>
  <c r="AU1065" i="1" s="1"/>
  <c r="P1065" i="1"/>
  <c r="U896" i="1"/>
  <c r="T896" i="1"/>
  <c r="S896" i="1"/>
  <c r="U895" i="1"/>
  <c r="T895" i="1"/>
  <c r="S895" i="1"/>
  <c r="U894" i="1"/>
  <c r="T894" i="1"/>
  <c r="S894" i="1"/>
  <c r="R894" i="1"/>
  <c r="AT894" i="1" s="1"/>
  <c r="Q894" i="1"/>
  <c r="AU894" i="1" s="1"/>
  <c r="P894" i="1"/>
  <c r="U893" i="1"/>
  <c r="T893" i="1"/>
  <c r="S893" i="1"/>
  <c r="R893" i="1"/>
  <c r="AT893" i="1" s="1"/>
  <c r="Q893" i="1"/>
  <c r="AU893" i="1" s="1"/>
  <c r="P893" i="1"/>
  <c r="U863" i="1"/>
  <c r="T863" i="1"/>
  <c r="S863" i="1"/>
  <c r="U862" i="1"/>
  <c r="T862" i="1"/>
  <c r="S862" i="1"/>
  <c r="U861" i="1"/>
  <c r="T861" i="1"/>
  <c r="S861" i="1"/>
  <c r="U900" i="1"/>
  <c r="T900" i="1"/>
  <c r="S900" i="1"/>
  <c r="R900" i="1"/>
  <c r="AT900" i="1" s="1"/>
  <c r="Q900" i="1"/>
  <c r="AU900" i="1" s="1"/>
  <c r="P900" i="1"/>
  <c r="U860" i="1"/>
  <c r="T860" i="1"/>
  <c r="S860" i="1"/>
  <c r="R860" i="1"/>
  <c r="AT860" i="1" s="1"/>
  <c r="Q860" i="1"/>
  <c r="AU860" i="1" s="1"/>
  <c r="P860" i="1"/>
  <c r="U899" i="1"/>
  <c r="T899" i="1"/>
  <c r="S899" i="1"/>
  <c r="R899" i="1"/>
  <c r="AT899" i="1" s="1"/>
  <c r="Q899" i="1"/>
  <c r="AU899" i="1" s="1"/>
  <c r="P899" i="1"/>
  <c r="U898" i="1"/>
  <c r="T898" i="1"/>
  <c r="S898" i="1"/>
  <c r="R898" i="1"/>
  <c r="AT898" i="1" s="1"/>
  <c r="Q898" i="1"/>
  <c r="AU898" i="1" s="1"/>
  <c r="P898" i="1"/>
  <c r="U873" i="1"/>
  <c r="T873" i="1"/>
  <c r="S873" i="1"/>
  <c r="R873" i="1"/>
  <c r="AT873" i="1" s="1"/>
  <c r="Q873" i="1"/>
  <c r="AU873" i="1" s="1"/>
  <c r="P873" i="1"/>
  <c r="U872" i="1"/>
  <c r="T872" i="1"/>
  <c r="S872" i="1"/>
  <c r="R872" i="1"/>
  <c r="AT872" i="1" s="1"/>
  <c r="Q872" i="1"/>
  <c r="AU872" i="1" s="1"/>
  <c r="P872" i="1"/>
  <c r="U871" i="1"/>
  <c r="T871" i="1"/>
  <c r="S871" i="1"/>
  <c r="U870" i="1"/>
  <c r="T870" i="1"/>
  <c r="S870" i="1"/>
  <c r="R870" i="1"/>
  <c r="AT870" i="1" s="1"/>
  <c r="Q870" i="1"/>
  <c r="AU870" i="1" s="1"/>
  <c r="P870" i="1"/>
  <c r="U869" i="1"/>
  <c r="T869" i="1"/>
  <c r="S869" i="1"/>
  <c r="R869" i="1"/>
  <c r="AT869" i="1" s="1"/>
  <c r="Q869" i="1"/>
  <c r="AU869" i="1" s="1"/>
  <c r="P869" i="1"/>
  <c r="U868" i="1"/>
  <c r="T868" i="1"/>
  <c r="S868" i="1"/>
  <c r="R868" i="1"/>
  <c r="AT868" i="1" s="1"/>
  <c r="Q868" i="1"/>
  <c r="AU868" i="1" s="1"/>
  <c r="P868" i="1"/>
  <c r="U867" i="1"/>
  <c r="T867" i="1"/>
  <c r="S867" i="1"/>
  <c r="R867" i="1"/>
  <c r="AT867" i="1" s="1"/>
  <c r="Q867" i="1"/>
  <c r="AU867" i="1" s="1"/>
  <c r="P867" i="1"/>
  <c r="U866" i="1"/>
  <c r="T866" i="1"/>
  <c r="S866" i="1"/>
  <c r="R866" i="1"/>
  <c r="AT866" i="1" s="1"/>
  <c r="Q866" i="1"/>
  <c r="AU866" i="1" s="1"/>
  <c r="P866" i="1"/>
  <c r="U865" i="1"/>
  <c r="T865" i="1"/>
  <c r="S865" i="1"/>
  <c r="U864" i="1"/>
  <c r="T864" i="1"/>
  <c r="S864" i="1"/>
  <c r="R864" i="1"/>
  <c r="AT864" i="1" s="1"/>
  <c r="Q864" i="1"/>
  <c r="AU864" i="1" s="1"/>
  <c r="P864" i="1"/>
  <c r="U836" i="1"/>
  <c r="T836" i="1"/>
  <c r="S836" i="1"/>
  <c r="R836" i="1"/>
  <c r="AT836" i="1" s="1"/>
  <c r="Q836" i="1"/>
  <c r="AU836" i="1" s="1"/>
  <c r="P836" i="1"/>
  <c r="U835" i="1"/>
  <c r="T835" i="1"/>
  <c r="S835" i="1"/>
  <c r="R835" i="1"/>
  <c r="AT835" i="1" s="1"/>
  <c r="Q835" i="1"/>
  <c r="AU835" i="1" s="1"/>
  <c r="P835" i="1"/>
  <c r="U834" i="1"/>
  <c r="T834" i="1"/>
  <c r="S834" i="1"/>
  <c r="R834" i="1"/>
  <c r="AT834" i="1" s="1"/>
  <c r="Q834" i="1"/>
  <c r="AU834" i="1" s="1"/>
  <c r="P834" i="1"/>
  <c r="U833" i="1"/>
  <c r="T833" i="1"/>
  <c r="S833" i="1"/>
  <c r="R833" i="1"/>
  <c r="AT833" i="1" s="1"/>
  <c r="Q833" i="1"/>
  <c r="AU833" i="1" s="1"/>
  <c r="P833" i="1"/>
  <c r="U832" i="1"/>
  <c r="T832" i="1"/>
  <c r="S832" i="1"/>
  <c r="R832" i="1"/>
  <c r="AT832" i="1" s="1"/>
  <c r="Q832" i="1"/>
  <c r="AU832" i="1" s="1"/>
  <c r="P832" i="1"/>
  <c r="U831" i="1"/>
  <c r="T831" i="1"/>
  <c r="S831" i="1"/>
  <c r="R831" i="1"/>
  <c r="AT831" i="1" s="1"/>
  <c r="Q831" i="1"/>
  <c r="AU831" i="1" s="1"/>
  <c r="P831" i="1"/>
  <c r="U830" i="1"/>
  <c r="T830" i="1"/>
  <c r="S830" i="1"/>
  <c r="R830" i="1"/>
  <c r="AT830" i="1" s="1"/>
  <c r="Q830" i="1"/>
  <c r="AU830" i="1" s="1"/>
  <c r="P830" i="1"/>
  <c r="U829" i="1"/>
  <c r="T829" i="1"/>
  <c r="S829" i="1"/>
  <c r="R829" i="1"/>
  <c r="AT829" i="1" s="1"/>
  <c r="Q829" i="1"/>
  <c r="AU829" i="1" s="1"/>
  <c r="P829" i="1"/>
  <c r="U828" i="1"/>
  <c r="T828" i="1"/>
  <c r="S828" i="1"/>
  <c r="R828" i="1"/>
  <c r="AT828" i="1" s="1"/>
  <c r="Q828" i="1"/>
  <c r="AU828" i="1" s="1"/>
  <c r="P828" i="1"/>
  <c r="U827" i="1"/>
  <c r="T827" i="1"/>
  <c r="S827" i="1"/>
  <c r="R827" i="1"/>
  <c r="AT827" i="1" s="1"/>
  <c r="Q827" i="1"/>
  <c r="AU827" i="1" s="1"/>
  <c r="P827" i="1"/>
  <c r="U826" i="1"/>
  <c r="T826" i="1"/>
  <c r="S826" i="1"/>
  <c r="R826" i="1"/>
  <c r="AT826" i="1" s="1"/>
  <c r="Q826" i="1"/>
  <c r="AU826" i="1" s="1"/>
  <c r="P826" i="1"/>
  <c r="U825" i="1"/>
  <c r="T825" i="1"/>
  <c r="S825" i="1"/>
  <c r="R825" i="1"/>
  <c r="AT825" i="1" s="1"/>
  <c r="Q825" i="1"/>
  <c r="AU825" i="1" s="1"/>
  <c r="P825" i="1"/>
  <c r="U824" i="1"/>
  <c r="T824" i="1"/>
  <c r="S824" i="1"/>
  <c r="R824" i="1"/>
  <c r="AT824" i="1" s="1"/>
  <c r="Q824" i="1"/>
  <c r="AU824" i="1" s="1"/>
  <c r="P824" i="1"/>
  <c r="U823" i="1"/>
  <c r="T823" i="1"/>
  <c r="S823" i="1"/>
  <c r="R823" i="1"/>
  <c r="AT823" i="1" s="1"/>
  <c r="Q823" i="1"/>
  <c r="AU823" i="1" s="1"/>
  <c r="P823" i="1"/>
  <c r="U822" i="1"/>
  <c r="T822" i="1"/>
  <c r="S822" i="1"/>
  <c r="U813" i="1"/>
  <c r="T813" i="1"/>
  <c r="S813" i="1"/>
  <c r="R813" i="1"/>
  <c r="AT813" i="1" s="1"/>
  <c r="Q813" i="1"/>
  <c r="AU813" i="1" s="1"/>
  <c r="P813" i="1"/>
  <c r="U812" i="1"/>
  <c r="T812" i="1"/>
  <c r="S812" i="1"/>
  <c r="R812" i="1"/>
  <c r="AT812" i="1" s="1"/>
  <c r="Q812" i="1"/>
  <c r="AU812" i="1" s="1"/>
  <c r="P812" i="1"/>
  <c r="U811" i="1"/>
  <c r="T811" i="1"/>
  <c r="S811" i="1"/>
  <c r="R811" i="1"/>
  <c r="AT811" i="1" s="1"/>
  <c r="Q811" i="1"/>
  <c r="AU811" i="1" s="1"/>
  <c r="P811" i="1"/>
  <c r="U821" i="1"/>
  <c r="T821" i="1"/>
  <c r="S821" i="1"/>
  <c r="R821" i="1"/>
  <c r="AT821" i="1" s="1"/>
  <c r="Q821" i="1"/>
  <c r="AU821" i="1" s="1"/>
  <c r="P821" i="1"/>
  <c r="U820" i="1"/>
  <c r="T820" i="1"/>
  <c r="S820" i="1"/>
  <c r="R820" i="1"/>
  <c r="AT820" i="1" s="1"/>
  <c r="Q820" i="1"/>
  <c r="AU820" i="1" s="1"/>
  <c r="P820" i="1"/>
  <c r="U819" i="1"/>
  <c r="T819" i="1"/>
  <c r="S819" i="1"/>
  <c r="R819" i="1"/>
  <c r="AT819" i="1" s="1"/>
  <c r="Q819" i="1"/>
  <c r="AU819" i="1" s="1"/>
  <c r="P819" i="1"/>
  <c r="U818" i="1"/>
  <c r="T818" i="1"/>
  <c r="S818" i="1"/>
  <c r="R818" i="1"/>
  <c r="AT818" i="1" s="1"/>
  <c r="Q818" i="1"/>
  <c r="AU818" i="1" s="1"/>
  <c r="P818" i="1"/>
  <c r="U817" i="1"/>
  <c r="T817" i="1"/>
  <c r="S817" i="1"/>
  <c r="U844" i="1"/>
  <c r="T844" i="1"/>
  <c r="S844" i="1"/>
  <c r="R844" i="1"/>
  <c r="AT844" i="1" s="1"/>
  <c r="Q844" i="1"/>
  <c r="AU844" i="1" s="1"/>
  <c r="P844" i="1"/>
  <c r="U927" i="1"/>
  <c r="T927" i="1"/>
  <c r="S927" i="1"/>
  <c r="U877" i="1"/>
  <c r="T877" i="1"/>
  <c r="S877" i="1"/>
  <c r="U876" i="1"/>
  <c r="T876" i="1"/>
  <c r="S876" i="1"/>
  <c r="R876" i="1"/>
  <c r="AT876" i="1" s="1"/>
  <c r="Q876" i="1"/>
  <c r="AU876" i="1" s="1"/>
  <c r="P876" i="1"/>
  <c r="U875" i="1"/>
  <c r="T875" i="1"/>
  <c r="S875" i="1"/>
  <c r="U874" i="1"/>
  <c r="T874" i="1"/>
  <c r="S874" i="1"/>
  <c r="R874" i="1"/>
  <c r="AT874" i="1" s="1"/>
  <c r="Q874" i="1"/>
  <c r="AU874" i="1" s="1"/>
  <c r="P874" i="1"/>
  <c r="U845" i="1"/>
  <c r="T845" i="1"/>
  <c r="S845" i="1"/>
  <c r="R845" i="1"/>
  <c r="AT845" i="1" s="1"/>
  <c r="Q845" i="1"/>
  <c r="AU845" i="1" s="1"/>
  <c r="P845" i="1"/>
  <c r="U843" i="1"/>
  <c r="T843" i="1"/>
  <c r="S843" i="1"/>
  <c r="R843" i="1"/>
  <c r="AT843" i="1" s="1"/>
  <c r="Q843" i="1"/>
  <c r="AU843" i="1" s="1"/>
  <c r="P843" i="1"/>
  <c r="U842" i="1"/>
  <c r="T842" i="1"/>
  <c r="S842" i="1"/>
  <c r="R842" i="1"/>
  <c r="AT842" i="1" s="1"/>
  <c r="Q842" i="1"/>
  <c r="AU842" i="1" s="1"/>
  <c r="P842" i="1"/>
  <c r="U841" i="1"/>
  <c r="T841" i="1"/>
  <c r="S841" i="1"/>
  <c r="R841" i="1"/>
  <c r="AT841" i="1" s="1"/>
  <c r="Q841" i="1"/>
  <c r="AU841" i="1" s="1"/>
  <c r="P841" i="1"/>
  <c r="U840" i="1"/>
  <c r="T840" i="1"/>
  <c r="S840" i="1"/>
  <c r="U901" i="1"/>
  <c r="T901" i="1"/>
  <c r="S901" i="1"/>
  <c r="R901" i="1"/>
  <c r="AT901" i="1" s="1"/>
  <c r="Q901" i="1"/>
  <c r="AU901" i="1" s="1"/>
  <c r="P901" i="1"/>
  <c r="U839" i="1"/>
  <c r="T839" i="1"/>
  <c r="S839" i="1"/>
  <c r="R839" i="1"/>
  <c r="AT839" i="1" s="1"/>
  <c r="Q839" i="1"/>
  <c r="AU839" i="1" s="1"/>
  <c r="P839" i="1"/>
  <c r="U838" i="1"/>
  <c r="T838" i="1"/>
  <c r="S838" i="1"/>
  <c r="U837" i="1"/>
  <c r="T837" i="1"/>
  <c r="S837" i="1"/>
  <c r="U805" i="1"/>
  <c r="T805" i="1"/>
  <c r="S805" i="1"/>
  <c r="U804" i="1"/>
  <c r="T804" i="1"/>
  <c r="S804" i="1"/>
  <c r="R804" i="1"/>
  <c r="AT804" i="1" s="1"/>
  <c r="Q804" i="1"/>
  <c r="AU804" i="1" s="1"/>
  <c r="P804" i="1"/>
  <c r="U803" i="1"/>
  <c r="T803" i="1"/>
  <c r="S803" i="1"/>
  <c r="R803" i="1"/>
  <c r="AT803" i="1" s="1"/>
  <c r="Q803" i="1"/>
  <c r="AU803" i="1" s="1"/>
  <c r="P803" i="1"/>
  <c r="U802" i="1"/>
  <c r="T802" i="1"/>
  <c r="S802" i="1"/>
  <c r="U810" i="1"/>
  <c r="T810" i="1"/>
  <c r="S810" i="1"/>
  <c r="U809" i="1"/>
  <c r="T809" i="1"/>
  <c r="S809" i="1"/>
  <c r="U808" i="1"/>
  <c r="T808" i="1"/>
  <c r="S808" i="1"/>
  <c r="U807" i="1"/>
  <c r="T807" i="1"/>
  <c r="S807" i="1"/>
  <c r="U806" i="1"/>
  <c r="T806" i="1"/>
  <c r="S806" i="1"/>
  <c r="U857" i="1"/>
  <c r="T857" i="1"/>
  <c r="S857" i="1"/>
  <c r="R857" i="1"/>
  <c r="AT857" i="1" s="1"/>
  <c r="Q857" i="1"/>
  <c r="AU857" i="1" s="1"/>
  <c r="P857" i="1"/>
  <c r="U856" i="1"/>
  <c r="T856" i="1"/>
  <c r="S856" i="1"/>
  <c r="R856" i="1"/>
  <c r="AT856" i="1" s="1"/>
  <c r="Q856" i="1"/>
  <c r="AU856" i="1" s="1"/>
  <c r="P856" i="1"/>
  <c r="U855" i="1"/>
  <c r="T855" i="1"/>
  <c r="S855" i="1"/>
  <c r="R855" i="1"/>
  <c r="AT855" i="1" s="1"/>
  <c r="Q855" i="1"/>
  <c r="AU855" i="1" s="1"/>
  <c r="P855" i="1"/>
  <c r="U816" i="1"/>
  <c r="T816" i="1"/>
  <c r="S816" i="1"/>
  <c r="R816" i="1"/>
  <c r="AT816" i="1" s="1"/>
  <c r="Q816" i="1"/>
  <c r="AU816" i="1" s="1"/>
  <c r="P816" i="1"/>
  <c r="U815" i="1"/>
  <c r="T815" i="1"/>
  <c r="S815" i="1"/>
  <c r="R815" i="1"/>
  <c r="AT815" i="1" s="1"/>
  <c r="Q815" i="1"/>
  <c r="AU815" i="1" s="1"/>
  <c r="P815" i="1"/>
  <c r="U814" i="1"/>
  <c r="T814" i="1"/>
  <c r="S814" i="1"/>
  <c r="R814" i="1"/>
  <c r="AT814" i="1" s="1"/>
  <c r="Q814" i="1"/>
  <c r="AU814" i="1" s="1"/>
  <c r="P814" i="1"/>
  <c r="U854" i="1"/>
  <c r="T854" i="1"/>
  <c r="S854" i="1"/>
  <c r="R854" i="1"/>
  <c r="AT854" i="1" s="1"/>
  <c r="Q854" i="1"/>
  <c r="AU854" i="1" s="1"/>
  <c r="P854" i="1"/>
  <c r="U853" i="1"/>
  <c r="T853" i="1"/>
  <c r="S853" i="1"/>
  <c r="U852" i="1"/>
  <c r="T852" i="1"/>
  <c r="S852" i="1"/>
  <c r="R852" i="1"/>
  <c r="AT852" i="1" s="1"/>
  <c r="Q852" i="1"/>
  <c r="AU852" i="1" s="1"/>
  <c r="P852" i="1"/>
  <c r="U851" i="1"/>
  <c r="T851" i="1"/>
  <c r="S851" i="1"/>
  <c r="R851" i="1"/>
  <c r="AT851" i="1" s="1"/>
  <c r="Q851" i="1"/>
  <c r="AU851" i="1" s="1"/>
  <c r="P851" i="1"/>
  <c r="U850" i="1"/>
  <c r="T850" i="1"/>
  <c r="S850" i="1"/>
  <c r="U849" i="1"/>
  <c r="T849" i="1"/>
  <c r="S849" i="1"/>
  <c r="U848" i="1"/>
  <c r="T848" i="1"/>
  <c r="S848" i="1"/>
  <c r="U847" i="1"/>
  <c r="T847" i="1"/>
  <c r="S847" i="1"/>
  <c r="R847" i="1"/>
  <c r="AT847" i="1" s="1"/>
  <c r="Q847" i="1"/>
  <c r="AU847" i="1" s="1"/>
  <c r="P847" i="1"/>
  <c r="U846" i="1"/>
  <c r="T846" i="1"/>
  <c r="S846" i="1"/>
  <c r="U859" i="1"/>
  <c r="T859" i="1"/>
  <c r="S859" i="1"/>
  <c r="R859" i="1"/>
  <c r="AT859" i="1" s="1"/>
  <c r="Q859" i="1"/>
  <c r="AU859" i="1" s="1"/>
  <c r="P859" i="1"/>
  <c r="U858" i="1"/>
  <c r="T858" i="1"/>
  <c r="S858" i="1"/>
  <c r="R858" i="1"/>
  <c r="AT858" i="1" s="1"/>
  <c r="Q858" i="1"/>
  <c r="AU858" i="1" s="1"/>
  <c r="P858" i="1"/>
  <c r="U801" i="1"/>
  <c r="T801" i="1"/>
  <c r="S801" i="1"/>
  <c r="R801" i="1"/>
  <c r="AT801" i="1" s="1"/>
  <c r="Q801" i="1"/>
  <c r="AU801" i="1" s="1"/>
  <c r="P801" i="1"/>
  <c r="U800" i="1"/>
  <c r="T800" i="1"/>
  <c r="S800" i="1"/>
  <c r="R800" i="1"/>
  <c r="AT800" i="1" s="1"/>
  <c r="Q800" i="1"/>
  <c r="AU800" i="1" s="1"/>
  <c r="P800" i="1"/>
  <c r="U799" i="1"/>
  <c r="T799" i="1"/>
  <c r="S799" i="1"/>
  <c r="U798" i="1"/>
  <c r="T798" i="1"/>
  <c r="S798" i="1"/>
  <c r="R798" i="1"/>
  <c r="AT798" i="1" s="1"/>
  <c r="Q798" i="1"/>
  <c r="AU798" i="1" s="1"/>
  <c r="P798" i="1"/>
  <c r="U797" i="1"/>
  <c r="T797" i="1"/>
  <c r="S797" i="1"/>
  <c r="U796" i="1"/>
  <c r="T796" i="1"/>
  <c r="S796" i="1"/>
  <c r="U795" i="1"/>
  <c r="T795" i="1"/>
  <c r="S795" i="1"/>
  <c r="U794" i="1"/>
  <c r="T794" i="1"/>
  <c r="S794" i="1"/>
  <c r="R794" i="1"/>
  <c r="AT794" i="1" s="1"/>
  <c r="Q794" i="1"/>
  <c r="AU794" i="1" s="1"/>
  <c r="P794" i="1"/>
  <c r="U793" i="1"/>
  <c r="T793" i="1"/>
  <c r="S793" i="1"/>
  <c r="U792" i="1"/>
  <c r="T792" i="1"/>
  <c r="S792" i="1"/>
  <c r="U791" i="1"/>
  <c r="T791" i="1"/>
  <c r="S791" i="1"/>
  <c r="U790" i="1"/>
  <c r="T790" i="1"/>
  <c r="S790" i="1"/>
  <c r="R790" i="1"/>
  <c r="AT790" i="1" s="1"/>
  <c r="Q790" i="1"/>
  <c r="AU790" i="1" s="1"/>
  <c r="P790" i="1"/>
  <c r="U789" i="1"/>
  <c r="T789" i="1"/>
  <c r="S789" i="1"/>
  <c r="U788" i="1"/>
  <c r="T788" i="1"/>
  <c r="S788" i="1"/>
  <c r="R788" i="1"/>
  <c r="AT788" i="1" s="1"/>
  <c r="Q788" i="1"/>
  <c r="AU788" i="1" s="1"/>
  <c r="P788" i="1"/>
  <c r="U787" i="1"/>
  <c r="T787" i="1"/>
  <c r="S787" i="1"/>
  <c r="R787" i="1"/>
  <c r="AT787" i="1" s="1"/>
  <c r="Q787" i="1"/>
  <c r="AU787" i="1" s="1"/>
  <c r="P787" i="1"/>
  <c r="U786" i="1"/>
  <c r="T786" i="1"/>
  <c r="S786" i="1"/>
  <c r="R786" i="1"/>
  <c r="AT786" i="1" s="1"/>
  <c r="Q786" i="1"/>
  <c r="AU786" i="1" s="1"/>
  <c r="P786" i="1"/>
  <c r="U785" i="1"/>
  <c r="T785" i="1"/>
  <c r="S785" i="1"/>
  <c r="R785" i="1"/>
  <c r="AT785" i="1" s="1"/>
  <c r="Q785" i="1"/>
  <c r="AU785" i="1" s="1"/>
  <c r="P785" i="1"/>
  <c r="U784" i="1"/>
  <c r="T784" i="1"/>
  <c r="S784" i="1"/>
  <c r="R784" i="1"/>
  <c r="AT784" i="1" s="1"/>
  <c r="Q784" i="1"/>
  <c r="AU784" i="1" s="1"/>
  <c r="P784" i="1"/>
  <c r="U783" i="1"/>
  <c r="T783" i="1"/>
  <c r="S783" i="1"/>
  <c r="R783" i="1"/>
  <c r="AT783" i="1" s="1"/>
  <c r="Q783" i="1"/>
  <c r="AU783" i="1" s="1"/>
  <c r="P783" i="1"/>
  <c r="U782" i="1"/>
  <c r="T782" i="1"/>
  <c r="S782" i="1"/>
  <c r="U781" i="1"/>
  <c r="T781" i="1"/>
  <c r="S781" i="1"/>
  <c r="R781" i="1"/>
  <c r="AT781" i="1" s="1"/>
  <c r="Q781" i="1"/>
  <c r="AU781" i="1" s="1"/>
  <c r="P781" i="1"/>
  <c r="U780" i="1"/>
  <c r="T780" i="1"/>
  <c r="S780" i="1"/>
  <c r="R780" i="1"/>
  <c r="AT780" i="1" s="1"/>
  <c r="Q780" i="1"/>
  <c r="AU780" i="1" s="1"/>
  <c r="P780" i="1"/>
  <c r="U779" i="1"/>
  <c r="T779" i="1"/>
  <c r="S779" i="1"/>
  <c r="R779" i="1"/>
  <c r="AT779" i="1" s="1"/>
  <c r="Q779" i="1"/>
  <c r="AU779" i="1" s="1"/>
  <c r="P779" i="1"/>
  <c r="U778" i="1"/>
  <c r="T778" i="1"/>
  <c r="S778" i="1"/>
  <c r="U777" i="1"/>
  <c r="T777" i="1"/>
  <c r="S777" i="1"/>
  <c r="U776" i="1"/>
  <c r="T776" i="1"/>
  <c r="S776" i="1"/>
  <c r="U775" i="1"/>
  <c r="T775" i="1"/>
  <c r="S775" i="1"/>
  <c r="U774" i="1"/>
  <c r="T774" i="1"/>
  <c r="S774" i="1"/>
  <c r="R774" i="1"/>
  <c r="AT774" i="1" s="1"/>
  <c r="Q774" i="1"/>
  <c r="AU774" i="1" s="1"/>
  <c r="P774" i="1"/>
  <c r="U773" i="1"/>
  <c r="T773" i="1"/>
  <c r="S773" i="1"/>
  <c r="U772" i="1"/>
  <c r="T772" i="1"/>
  <c r="S772" i="1"/>
  <c r="R772" i="1"/>
  <c r="AT772" i="1" s="1"/>
  <c r="Q772" i="1"/>
  <c r="AU772" i="1" s="1"/>
  <c r="P772" i="1"/>
  <c r="U771" i="1"/>
  <c r="T771" i="1"/>
  <c r="S771" i="1"/>
  <c r="R771" i="1"/>
  <c r="AT771" i="1" s="1"/>
  <c r="Q771" i="1"/>
  <c r="AU771" i="1" s="1"/>
  <c r="P771" i="1"/>
  <c r="U770" i="1"/>
  <c r="T770" i="1"/>
  <c r="S770" i="1"/>
  <c r="U769" i="1"/>
  <c r="T769" i="1"/>
  <c r="S769" i="1"/>
  <c r="R769" i="1"/>
  <c r="AT769" i="1" s="1"/>
  <c r="Q769" i="1"/>
  <c r="AU769" i="1" s="1"/>
  <c r="P769" i="1"/>
  <c r="U768" i="1"/>
  <c r="T768" i="1"/>
  <c r="S768" i="1"/>
  <c r="R768" i="1"/>
  <c r="AT768" i="1" s="1"/>
  <c r="Q768" i="1"/>
  <c r="AU768" i="1" s="1"/>
  <c r="P768" i="1"/>
  <c r="U767" i="1"/>
  <c r="T767" i="1"/>
  <c r="S767" i="1"/>
  <c r="U765" i="1"/>
  <c r="T765" i="1"/>
  <c r="S765" i="1"/>
  <c r="R765" i="1"/>
  <c r="AT765" i="1" s="1"/>
  <c r="Q765" i="1"/>
  <c r="AU765" i="1" s="1"/>
  <c r="P765" i="1"/>
  <c r="U753" i="1"/>
  <c r="T753" i="1"/>
  <c r="S753" i="1"/>
  <c r="R753" i="1"/>
  <c r="AT753" i="1" s="1"/>
  <c r="Q753" i="1"/>
  <c r="AU753" i="1" s="1"/>
  <c r="P753" i="1"/>
  <c r="U751" i="1"/>
  <c r="T751" i="1"/>
  <c r="S751" i="1"/>
  <c r="R751" i="1"/>
  <c r="AT751" i="1" s="1"/>
  <c r="Q751" i="1"/>
  <c r="AU751" i="1" s="1"/>
  <c r="P751" i="1"/>
  <c r="U750" i="1"/>
  <c r="T750" i="1"/>
  <c r="S750" i="1"/>
  <c r="R750" i="1"/>
  <c r="AT750" i="1" s="1"/>
  <c r="Q750" i="1"/>
  <c r="AU750" i="1" s="1"/>
  <c r="P750" i="1"/>
  <c r="U749" i="1"/>
  <c r="T749" i="1"/>
  <c r="S749" i="1"/>
  <c r="R749" i="1"/>
  <c r="AT749" i="1" s="1"/>
  <c r="Q749" i="1"/>
  <c r="AU749" i="1" s="1"/>
  <c r="P749" i="1"/>
  <c r="U748" i="1"/>
  <c r="T748" i="1"/>
  <c r="S748" i="1"/>
  <c r="R748" i="1"/>
  <c r="AT748" i="1" s="1"/>
  <c r="Q748" i="1"/>
  <c r="AU748" i="1" s="1"/>
  <c r="P748" i="1"/>
  <c r="U747" i="1"/>
  <c r="T747" i="1"/>
  <c r="S747" i="1"/>
  <c r="R747" i="1"/>
  <c r="AT747" i="1" s="1"/>
  <c r="Q747" i="1"/>
  <c r="AU747" i="1" s="1"/>
  <c r="P747" i="1"/>
  <c r="U746" i="1"/>
  <c r="T746" i="1"/>
  <c r="S746" i="1"/>
  <c r="R746" i="1"/>
  <c r="AT746" i="1" s="1"/>
  <c r="Q746" i="1"/>
  <c r="AU746" i="1" s="1"/>
  <c r="P746" i="1"/>
  <c r="U745" i="1"/>
  <c r="T745" i="1"/>
  <c r="S745" i="1"/>
  <c r="U744" i="1"/>
  <c r="T744" i="1"/>
  <c r="S744" i="1"/>
  <c r="R744" i="1"/>
  <c r="AT744" i="1" s="1"/>
  <c r="Q744" i="1"/>
  <c r="AU744" i="1" s="1"/>
  <c r="P744" i="1"/>
  <c r="U764" i="1"/>
  <c r="T764" i="1"/>
  <c r="S764" i="1"/>
  <c r="R764" i="1"/>
  <c r="AT764" i="1" s="1"/>
  <c r="Q764" i="1"/>
  <c r="AU764" i="1" s="1"/>
  <c r="P764" i="1"/>
  <c r="U763" i="1"/>
  <c r="T763" i="1"/>
  <c r="S763" i="1"/>
  <c r="R763" i="1"/>
  <c r="AT763" i="1" s="1"/>
  <c r="Q763" i="1"/>
  <c r="AU763" i="1" s="1"/>
  <c r="P763" i="1"/>
  <c r="U762" i="1"/>
  <c r="T762" i="1"/>
  <c r="S762" i="1"/>
  <c r="U761" i="1"/>
  <c r="T761" i="1"/>
  <c r="S761" i="1"/>
  <c r="R761" i="1"/>
  <c r="AT761" i="1" s="1"/>
  <c r="Q761" i="1"/>
  <c r="AU761" i="1" s="1"/>
  <c r="P761" i="1"/>
  <c r="U760" i="1"/>
  <c r="T760" i="1"/>
  <c r="S760" i="1"/>
  <c r="U759" i="1"/>
  <c r="T759" i="1"/>
  <c r="S759" i="1"/>
  <c r="R759" i="1"/>
  <c r="AT759" i="1" s="1"/>
  <c r="Q759" i="1"/>
  <c r="AU759" i="1" s="1"/>
  <c r="P759" i="1"/>
  <c r="U758" i="1"/>
  <c r="T758" i="1"/>
  <c r="S758" i="1"/>
  <c r="U757" i="1"/>
  <c r="T757" i="1"/>
  <c r="S757" i="1"/>
  <c r="R757" i="1"/>
  <c r="AT757" i="1" s="1"/>
  <c r="Q757" i="1"/>
  <c r="AU757" i="1" s="1"/>
  <c r="P757" i="1"/>
  <c r="U756" i="1"/>
  <c r="T756" i="1"/>
  <c r="S756" i="1"/>
  <c r="U755" i="1"/>
  <c r="T755" i="1"/>
  <c r="S755" i="1"/>
  <c r="U754" i="1"/>
  <c r="T754" i="1"/>
  <c r="S754" i="1"/>
  <c r="R754" i="1"/>
  <c r="AT754" i="1" s="1"/>
  <c r="Q754" i="1"/>
  <c r="AU754" i="1" s="1"/>
  <c r="P754" i="1"/>
  <c r="U743" i="1"/>
  <c r="T743" i="1"/>
  <c r="S743" i="1"/>
  <c r="R743" i="1"/>
  <c r="AT743" i="1" s="1"/>
  <c r="Q743" i="1"/>
  <c r="AU743" i="1" s="1"/>
  <c r="P743" i="1"/>
  <c r="U742" i="1"/>
  <c r="T742" i="1"/>
  <c r="S742" i="1"/>
  <c r="R742" i="1"/>
  <c r="AT742" i="1" s="1"/>
  <c r="Q742" i="1"/>
  <c r="AU742" i="1" s="1"/>
  <c r="P742" i="1"/>
  <c r="U741" i="1"/>
  <c r="T741" i="1"/>
  <c r="S741" i="1"/>
  <c r="R741" i="1"/>
  <c r="AT741" i="1" s="1"/>
  <c r="Q741" i="1"/>
  <c r="AU741" i="1" s="1"/>
  <c r="P741" i="1"/>
  <c r="U740" i="1"/>
  <c r="T740" i="1"/>
  <c r="S740" i="1"/>
  <c r="U736" i="1"/>
  <c r="T736" i="1"/>
  <c r="S736" i="1"/>
  <c r="R736" i="1"/>
  <c r="AT736" i="1" s="1"/>
  <c r="Q736" i="1"/>
  <c r="AU736" i="1" s="1"/>
  <c r="P736" i="1"/>
  <c r="U721" i="1"/>
  <c r="T721" i="1"/>
  <c r="S721" i="1"/>
  <c r="R721" i="1"/>
  <c r="AT721" i="1" s="1"/>
  <c r="Q721" i="1"/>
  <c r="AU721" i="1" s="1"/>
  <c r="P721" i="1"/>
  <c r="U716" i="1"/>
  <c r="T716" i="1"/>
  <c r="S716" i="1"/>
  <c r="U708" i="1"/>
  <c r="T708" i="1"/>
  <c r="S708" i="1"/>
  <c r="U707" i="1"/>
  <c r="T707" i="1"/>
  <c r="S707" i="1"/>
  <c r="R707" i="1"/>
  <c r="AT707" i="1" s="1"/>
  <c r="Q707" i="1"/>
  <c r="AU707" i="1" s="1"/>
  <c r="P707" i="1"/>
  <c r="U706" i="1"/>
  <c r="T706" i="1"/>
  <c r="S706" i="1"/>
  <c r="R706" i="1"/>
  <c r="AT706" i="1" s="1"/>
  <c r="Q706" i="1"/>
  <c r="AU706" i="1" s="1"/>
  <c r="P706" i="1"/>
  <c r="U704" i="1"/>
  <c r="T704" i="1"/>
  <c r="S704" i="1"/>
  <c r="R704" i="1"/>
  <c r="AT704" i="1" s="1"/>
  <c r="Q704" i="1"/>
  <c r="AU704" i="1" s="1"/>
  <c r="P704" i="1"/>
  <c r="U703" i="1"/>
  <c r="T703" i="1"/>
  <c r="S703" i="1"/>
  <c r="R703" i="1"/>
  <c r="AT703" i="1" s="1"/>
  <c r="Q703" i="1"/>
  <c r="AU703" i="1" s="1"/>
  <c r="P703" i="1"/>
  <c r="U700" i="1"/>
  <c r="T700" i="1"/>
  <c r="S700" i="1"/>
  <c r="R700" i="1"/>
  <c r="AT700" i="1" s="1"/>
  <c r="Q700" i="1"/>
  <c r="AU700" i="1" s="1"/>
  <c r="P700" i="1"/>
  <c r="U698" i="1"/>
  <c r="T698" i="1"/>
  <c r="S698" i="1"/>
  <c r="U696" i="1"/>
  <c r="T696" i="1"/>
  <c r="S696" i="1"/>
  <c r="R696" i="1"/>
  <c r="AT696" i="1" s="1"/>
  <c r="Q696" i="1"/>
  <c r="AU696" i="1" s="1"/>
  <c r="P696" i="1"/>
  <c r="U693" i="1"/>
  <c r="T693" i="1"/>
  <c r="S693" i="1"/>
  <c r="R693" i="1"/>
  <c r="AT693" i="1" s="1"/>
  <c r="Q693" i="1"/>
  <c r="AU693" i="1" s="1"/>
  <c r="P693" i="1"/>
  <c r="U692" i="1"/>
  <c r="T692" i="1"/>
  <c r="S692" i="1"/>
  <c r="R692" i="1"/>
  <c r="AT692" i="1" s="1"/>
  <c r="Q692" i="1"/>
  <c r="AU692" i="1" s="1"/>
  <c r="P692" i="1"/>
  <c r="U691" i="1"/>
  <c r="T691" i="1"/>
  <c r="S691" i="1"/>
  <c r="U686" i="1"/>
  <c r="T686" i="1"/>
  <c r="S686" i="1"/>
  <c r="U685" i="1"/>
  <c r="T685" i="1"/>
  <c r="S685" i="1"/>
  <c r="U683" i="1"/>
  <c r="T683" i="1"/>
  <c r="S683" i="1"/>
  <c r="R683" i="1"/>
  <c r="AT683" i="1" s="1"/>
  <c r="Q683" i="1"/>
  <c r="AU683" i="1" s="1"/>
  <c r="P683" i="1"/>
  <c r="U682" i="1"/>
  <c r="T682" i="1"/>
  <c r="S682" i="1"/>
  <c r="R682" i="1"/>
  <c r="AT682" i="1" s="1"/>
  <c r="Q682" i="1"/>
  <c r="AU682" i="1" s="1"/>
  <c r="P682" i="1"/>
  <c r="U680" i="1"/>
  <c r="T680" i="1"/>
  <c r="S680" i="1"/>
  <c r="U679" i="1"/>
  <c r="T679" i="1"/>
  <c r="S679" i="1"/>
  <c r="U678" i="1"/>
  <c r="T678" i="1"/>
  <c r="S678" i="1"/>
  <c r="R678" i="1"/>
  <c r="AT678" i="1" s="1"/>
  <c r="Q678" i="1"/>
  <c r="AU678" i="1" s="1"/>
  <c r="P678" i="1"/>
  <c r="U677" i="1"/>
  <c r="T677" i="1"/>
  <c r="S677" i="1"/>
  <c r="U664" i="1"/>
  <c r="T664" i="1"/>
  <c r="S664" i="1"/>
  <c r="R664" i="1"/>
  <c r="AT664" i="1" s="1"/>
  <c r="Q664" i="1"/>
  <c r="AU664" i="1" s="1"/>
  <c r="P664" i="1"/>
  <c r="U663" i="1"/>
  <c r="T663" i="1"/>
  <c r="S663" i="1"/>
  <c r="R663" i="1"/>
  <c r="AT663" i="1" s="1"/>
  <c r="Q663" i="1"/>
  <c r="AU663" i="1" s="1"/>
  <c r="P663" i="1"/>
  <c r="U661" i="1"/>
  <c r="T661" i="1"/>
  <c r="S661" i="1"/>
  <c r="R661" i="1"/>
  <c r="AT661" i="1" s="1"/>
  <c r="Q661" i="1"/>
  <c r="AU661" i="1" s="1"/>
  <c r="P661" i="1"/>
  <c r="U660" i="1"/>
  <c r="T660" i="1"/>
  <c r="S660" i="1"/>
  <c r="R660" i="1"/>
  <c r="AT660" i="1" s="1"/>
  <c r="Q660" i="1"/>
  <c r="AU660" i="1" s="1"/>
  <c r="P660" i="1"/>
  <c r="U656" i="1"/>
  <c r="T656" i="1"/>
  <c r="S656" i="1"/>
  <c r="R656" i="1"/>
  <c r="AT656" i="1" s="1"/>
  <c r="U645" i="1"/>
  <c r="T645" i="1"/>
  <c r="S645" i="1"/>
  <c r="Y555" i="1"/>
  <c r="AO555" i="1" s="1"/>
  <c r="X555" i="1"/>
  <c r="U555" i="1"/>
  <c r="T555" i="1"/>
  <c r="S555" i="1"/>
  <c r="R555" i="1"/>
  <c r="AT555" i="1" s="1"/>
  <c r="Q555" i="1"/>
  <c r="AU555" i="1" s="1"/>
  <c r="P555" i="1"/>
  <c r="X739" i="1"/>
  <c r="Y738" i="1"/>
  <c r="AO738" i="1" s="1"/>
  <c r="X738" i="1"/>
  <c r="X737" i="1"/>
  <c r="X735" i="1"/>
  <c r="X734" i="1"/>
  <c r="Y733" i="1"/>
  <c r="AO733" i="1" s="1"/>
  <c r="X733" i="1"/>
  <c r="Y732" i="1"/>
  <c r="AO732" i="1" s="1"/>
  <c r="X732" i="1"/>
  <c r="Y731" i="1"/>
  <c r="AO731" i="1" s="1"/>
  <c r="X731" i="1"/>
  <c r="Y730" i="1"/>
  <c r="AO730" i="1" s="1"/>
  <c r="X730" i="1"/>
  <c r="Y729" i="1"/>
  <c r="AO729" i="1" s="1"/>
  <c r="X729" i="1"/>
  <c r="X728" i="1"/>
  <c r="Y727" i="1"/>
  <c r="AO727" i="1" s="1"/>
  <c r="AQ727" i="1" s="1"/>
  <c r="X727" i="1"/>
  <c r="Y726" i="1"/>
  <c r="AO726" i="1" s="1"/>
  <c r="AQ726" i="1" s="1"/>
  <c r="X726" i="1"/>
  <c r="Y725" i="1"/>
  <c r="AO725" i="1" s="1"/>
  <c r="X725" i="1"/>
  <c r="Y724" i="1"/>
  <c r="AO724" i="1" s="1"/>
  <c r="X724" i="1"/>
  <c r="X723" i="1"/>
  <c r="Y722" i="1"/>
  <c r="AO722" i="1" s="1"/>
  <c r="AQ722" i="1" s="1"/>
  <c r="X722" i="1"/>
  <c r="Y720" i="1"/>
  <c r="AO720" i="1" s="1"/>
  <c r="X720" i="1"/>
  <c r="Y719" i="1"/>
  <c r="AO719" i="1" s="1"/>
  <c r="X719" i="1"/>
  <c r="Y718" i="1"/>
  <c r="AO718" i="1" s="1"/>
  <c r="AQ718" i="1" s="1"/>
  <c r="X718" i="1"/>
  <c r="Y717" i="1"/>
  <c r="AO717" i="1" s="1"/>
  <c r="X717" i="1"/>
  <c r="Y715" i="1"/>
  <c r="AO715" i="1" s="1"/>
  <c r="AQ715" i="1" s="1"/>
  <c r="X715" i="1"/>
  <c r="X714" i="1"/>
  <c r="Y713" i="1"/>
  <c r="AO713" i="1" s="1"/>
  <c r="AQ713" i="1" s="1"/>
  <c r="X713" i="1"/>
  <c r="Y712" i="1"/>
  <c r="AO712" i="1" s="1"/>
  <c r="X712" i="1"/>
  <c r="Y711" i="1"/>
  <c r="AO711" i="1" s="1"/>
  <c r="AQ711" i="1" s="1"/>
  <c r="X711" i="1"/>
  <c r="Y710" i="1"/>
  <c r="AO710" i="1" s="1"/>
  <c r="AQ710" i="1" s="1"/>
  <c r="X710" i="1"/>
  <c r="X709" i="1"/>
  <c r="Y705" i="1"/>
  <c r="AO705" i="1" s="1"/>
  <c r="X705" i="1"/>
  <c r="Y702" i="1"/>
  <c r="AO702" i="1" s="1"/>
  <c r="AQ702" i="1" s="1"/>
  <c r="X702" i="1"/>
  <c r="Y701" i="1"/>
  <c r="AO701" i="1" s="1"/>
  <c r="X701" i="1"/>
  <c r="X699" i="1"/>
  <c r="X697" i="1"/>
  <c r="X695" i="1"/>
  <c r="Y694" i="1"/>
  <c r="AO694" i="1" s="1"/>
  <c r="X694" i="1"/>
  <c r="Y690" i="1"/>
  <c r="AO690" i="1" s="1"/>
  <c r="X690" i="1"/>
  <c r="Y689" i="1"/>
  <c r="AO689" i="1" s="1"/>
  <c r="X689" i="1"/>
  <c r="Y688" i="1"/>
  <c r="AO688" i="1" s="1"/>
  <c r="X688" i="1"/>
  <c r="X687" i="1"/>
  <c r="Y681" i="1"/>
  <c r="AO681" i="1" s="1"/>
  <c r="X681" i="1"/>
  <c r="X676" i="1"/>
  <c r="Y675" i="1"/>
  <c r="AO675" i="1" s="1"/>
  <c r="X675" i="1"/>
  <c r="Y674" i="1"/>
  <c r="AO674" i="1" s="1"/>
  <c r="X674" i="1"/>
  <c r="X673" i="1"/>
  <c r="Y672" i="1"/>
  <c r="AO672" i="1" s="1"/>
  <c r="X672" i="1"/>
  <c r="Y671" i="1"/>
  <c r="AO671" i="1" s="1"/>
  <c r="AQ671" i="1" s="1"/>
  <c r="X671" i="1"/>
  <c r="X670" i="1"/>
  <c r="X669" i="1"/>
  <c r="X668" i="1"/>
  <c r="Y667" i="1"/>
  <c r="AO667" i="1" s="1"/>
  <c r="AQ667" i="1" s="1"/>
  <c r="X667" i="1"/>
  <c r="Y666" i="1"/>
  <c r="AO666" i="1" s="1"/>
  <c r="X666" i="1"/>
  <c r="X665" i="1"/>
  <c r="X662" i="1"/>
  <c r="Y659" i="1"/>
  <c r="AO659" i="1" s="1"/>
  <c r="X659" i="1"/>
  <c r="Y658" i="1"/>
  <c r="AO658" i="1" s="1"/>
  <c r="X658" i="1"/>
  <c r="X657" i="1"/>
  <c r="Y655" i="1"/>
  <c r="AO655" i="1" s="1"/>
  <c r="AQ655" i="1" s="1"/>
  <c r="X655" i="1"/>
  <c r="Y654" i="1"/>
  <c r="AO654" i="1" s="1"/>
  <c r="AQ654" i="1" s="1"/>
  <c r="X654" i="1"/>
  <c r="Y653" i="1"/>
  <c r="AO653" i="1" s="1"/>
  <c r="X653" i="1"/>
  <c r="Y652" i="1"/>
  <c r="AO652" i="1" s="1"/>
  <c r="X652" i="1"/>
  <c r="Y651" i="1"/>
  <c r="AO651" i="1" s="1"/>
  <c r="AQ651" i="1" s="1"/>
  <c r="X651" i="1"/>
  <c r="X650" i="1"/>
  <c r="Y649" i="1"/>
  <c r="AO649" i="1" s="1"/>
  <c r="AQ649" i="1" s="1"/>
  <c r="X649" i="1"/>
  <c r="Y648" i="1"/>
  <c r="AO648" i="1" s="1"/>
  <c r="X648" i="1"/>
  <c r="Y647" i="1"/>
  <c r="AO647" i="1" s="1"/>
  <c r="AQ647" i="1" s="1"/>
  <c r="X647" i="1"/>
  <c r="Y646" i="1"/>
  <c r="AO646" i="1" s="1"/>
  <c r="AQ646" i="1" s="1"/>
  <c r="X646" i="1"/>
  <c r="Y644" i="1"/>
  <c r="AO644" i="1" s="1"/>
  <c r="X644" i="1"/>
  <c r="X643" i="1"/>
  <c r="X642" i="1"/>
  <c r="Y641" i="1"/>
  <c r="AO641" i="1" s="1"/>
  <c r="X641" i="1"/>
  <c r="X640" i="1"/>
  <c r="X639" i="1"/>
  <c r="Y638" i="1"/>
  <c r="AO638" i="1" s="1"/>
  <c r="AQ638" i="1" s="1"/>
  <c r="X638" i="1"/>
  <c r="X637" i="1"/>
  <c r="X636" i="1"/>
  <c r="Y635" i="1"/>
  <c r="AO635" i="1" s="1"/>
  <c r="AQ635" i="1" s="1"/>
  <c r="X635" i="1"/>
  <c r="X634" i="1"/>
  <c r="X633" i="1"/>
  <c r="X632" i="1"/>
  <c r="X631" i="1"/>
  <c r="Y630" i="1"/>
  <c r="AO630" i="1" s="1"/>
  <c r="AQ630" i="1" s="1"/>
  <c r="X630" i="1"/>
  <c r="Y629" i="1"/>
  <c r="AO629" i="1" s="1"/>
  <c r="AQ629" i="1" s="1"/>
  <c r="X629" i="1"/>
  <c r="X628" i="1"/>
  <c r="Y627" i="1"/>
  <c r="AO627" i="1" s="1"/>
  <c r="X627" i="1"/>
  <c r="X626" i="1"/>
  <c r="Y625" i="1"/>
  <c r="AO625" i="1" s="1"/>
  <c r="X625" i="1"/>
  <c r="Y624" i="1"/>
  <c r="AO624" i="1" s="1"/>
  <c r="X624" i="1"/>
  <c r="X623" i="1"/>
  <c r="Y622" i="1"/>
  <c r="AO622" i="1" s="1"/>
  <c r="AQ622" i="1" s="1"/>
  <c r="X622" i="1"/>
  <c r="X621" i="1"/>
  <c r="X620" i="1"/>
  <c r="Y619" i="1"/>
  <c r="AO619" i="1" s="1"/>
  <c r="X619" i="1"/>
  <c r="Y618" i="1"/>
  <c r="AO618" i="1" s="1"/>
  <c r="X618" i="1"/>
  <c r="Y617" i="1"/>
  <c r="AO617" i="1" s="1"/>
  <c r="X617" i="1"/>
  <c r="X616" i="1"/>
  <c r="Y615" i="1"/>
  <c r="AO615" i="1" s="1"/>
  <c r="AQ615" i="1" s="1"/>
  <c r="X615" i="1"/>
  <c r="Y614" i="1"/>
  <c r="AO614" i="1" s="1"/>
  <c r="AQ614" i="1" s="1"/>
  <c r="X614" i="1"/>
  <c r="X613" i="1"/>
  <c r="X612" i="1"/>
  <c r="X611" i="1"/>
  <c r="X610" i="1"/>
  <c r="Y609" i="1"/>
  <c r="AO609" i="1" s="1"/>
  <c r="X609" i="1"/>
  <c r="X608" i="1"/>
  <c r="Y607" i="1"/>
  <c r="AO607" i="1" s="1"/>
  <c r="AQ607" i="1" s="1"/>
  <c r="X607" i="1"/>
  <c r="Y606" i="1"/>
  <c r="AO606" i="1" s="1"/>
  <c r="AQ606" i="1" s="1"/>
  <c r="X606" i="1"/>
  <c r="Y605" i="1"/>
  <c r="AO605" i="1" s="1"/>
  <c r="X605" i="1"/>
  <c r="Y604" i="1"/>
  <c r="AO604" i="1" s="1"/>
  <c r="X604" i="1"/>
  <c r="Y603" i="1"/>
  <c r="AO603" i="1" s="1"/>
  <c r="AQ603" i="1" s="1"/>
  <c r="X603" i="1"/>
  <c r="Y602" i="1"/>
  <c r="AO602" i="1" s="1"/>
  <c r="X602" i="1"/>
  <c r="X601" i="1"/>
  <c r="Y600" i="1"/>
  <c r="AO600" i="1" s="1"/>
  <c r="AQ600" i="1" s="1"/>
  <c r="X600" i="1"/>
  <c r="Y599" i="1"/>
  <c r="AO599" i="1" s="1"/>
  <c r="AQ599" i="1" s="1"/>
  <c r="X599" i="1"/>
  <c r="Y598" i="1"/>
  <c r="AO598" i="1" s="1"/>
  <c r="AQ598" i="1" s="1"/>
  <c r="X598" i="1"/>
  <c r="Y597" i="1"/>
  <c r="AO597" i="1" s="1"/>
  <c r="X597" i="1"/>
  <c r="Y596" i="1"/>
  <c r="AO596" i="1" s="1"/>
  <c r="X596" i="1"/>
  <c r="Y595" i="1"/>
  <c r="AO595" i="1" s="1"/>
  <c r="AQ595" i="1" s="1"/>
  <c r="X595" i="1"/>
  <c r="Y594" i="1"/>
  <c r="AO594" i="1" s="1"/>
  <c r="X594" i="1"/>
  <c r="X593" i="1"/>
  <c r="Y592" i="1"/>
  <c r="AO592" i="1" s="1"/>
  <c r="X592" i="1"/>
  <c r="Y591" i="1"/>
  <c r="AO591" i="1" s="1"/>
  <c r="X591" i="1"/>
  <c r="X590" i="1"/>
  <c r="X589" i="1"/>
  <c r="X588" i="1"/>
  <c r="X587" i="1"/>
  <c r="X586" i="1"/>
  <c r="Y585" i="1"/>
  <c r="AO585" i="1" s="1"/>
  <c r="X585" i="1"/>
  <c r="X584" i="1"/>
  <c r="Y583" i="1"/>
  <c r="AO583" i="1" s="1"/>
  <c r="AQ583" i="1" s="1"/>
  <c r="X583" i="1"/>
  <c r="X582" i="1"/>
  <c r="Y581" i="1"/>
  <c r="AO581" i="1" s="1"/>
  <c r="X581" i="1"/>
  <c r="X580" i="1"/>
  <c r="Y579" i="1"/>
  <c r="AO579" i="1" s="1"/>
  <c r="X579" i="1"/>
  <c r="Y578" i="1"/>
  <c r="AO578" i="1" s="1"/>
  <c r="X578" i="1"/>
  <c r="X577" i="1"/>
  <c r="Y576" i="1"/>
  <c r="AO576" i="1" s="1"/>
  <c r="X576" i="1"/>
  <c r="X575" i="1"/>
  <c r="Y574" i="1"/>
  <c r="AO574" i="1" s="1"/>
  <c r="AQ574" i="1" s="1"/>
  <c r="X574" i="1"/>
  <c r="Y573" i="1"/>
  <c r="AO573" i="1" s="1"/>
  <c r="X573" i="1"/>
  <c r="X572" i="1"/>
  <c r="Y571" i="1"/>
  <c r="AO571" i="1" s="1"/>
  <c r="X571" i="1"/>
  <c r="Y570" i="1"/>
  <c r="AO570" i="1" s="1"/>
  <c r="X570" i="1"/>
  <c r="Y569" i="1"/>
  <c r="AO569" i="1" s="1"/>
  <c r="X569" i="1"/>
  <c r="X568" i="1"/>
  <c r="Y567" i="1"/>
  <c r="AO567" i="1" s="1"/>
  <c r="X567" i="1"/>
  <c r="X566" i="1"/>
  <c r="X565" i="1"/>
  <c r="Y564" i="1"/>
  <c r="AO564" i="1" s="1"/>
  <c r="X564" i="1"/>
  <c r="X563" i="1"/>
  <c r="Y562" i="1"/>
  <c r="AO562" i="1" s="1"/>
  <c r="X562" i="1"/>
  <c r="Y561" i="1"/>
  <c r="AO561" i="1" s="1"/>
  <c r="AQ561" i="1" s="1"/>
  <c r="X561" i="1"/>
  <c r="X560" i="1"/>
  <c r="Y559" i="1"/>
  <c r="AO559" i="1" s="1"/>
  <c r="X559" i="1"/>
  <c r="Y558" i="1"/>
  <c r="AO558" i="1" s="1"/>
  <c r="AQ558" i="1" s="1"/>
  <c r="X558" i="1"/>
  <c r="X557" i="1"/>
  <c r="Y556" i="1"/>
  <c r="AO556" i="1" s="1"/>
  <c r="X556" i="1"/>
  <c r="X554" i="1"/>
  <c r="X553" i="1"/>
  <c r="X552" i="1"/>
  <c r="X551" i="1"/>
  <c r="Y550" i="1"/>
  <c r="AO550" i="1" s="1"/>
  <c r="AQ550" i="1" s="1"/>
  <c r="X550" i="1"/>
  <c r="X549" i="1"/>
  <c r="Y548" i="1"/>
  <c r="AO548" i="1" s="1"/>
  <c r="X548" i="1"/>
  <c r="X547" i="1"/>
  <c r="Y546" i="1"/>
  <c r="AO546" i="1" s="1"/>
  <c r="X546" i="1"/>
  <c r="Y545" i="1"/>
  <c r="AO545" i="1" s="1"/>
  <c r="X545" i="1"/>
  <c r="Y544" i="1"/>
  <c r="AO544" i="1" s="1"/>
  <c r="X544" i="1"/>
  <c r="Y543" i="1"/>
  <c r="AO543" i="1" s="1"/>
  <c r="AQ543" i="1" s="1"/>
  <c r="X543" i="1"/>
  <c r="X542" i="1"/>
  <c r="Y541" i="1"/>
  <c r="AO541" i="1" s="1"/>
  <c r="X541" i="1"/>
  <c r="X540" i="1"/>
  <c r="Y539" i="1"/>
  <c r="AO539" i="1" s="1"/>
  <c r="X539" i="1"/>
  <c r="X538" i="1"/>
  <c r="X537" i="1"/>
  <c r="X536" i="1"/>
  <c r="X535" i="1"/>
  <c r="Y534" i="1"/>
  <c r="AO534" i="1" s="1"/>
  <c r="AQ534" i="1" s="1"/>
  <c r="X534" i="1"/>
  <c r="Y533" i="1"/>
  <c r="AO533" i="1" s="1"/>
  <c r="X533" i="1"/>
  <c r="Y532" i="1"/>
  <c r="AO532" i="1" s="1"/>
  <c r="X532" i="1"/>
  <c r="X531" i="1"/>
  <c r="X530" i="1"/>
  <c r="Y529" i="1"/>
  <c r="AO529" i="1" s="1"/>
  <c r="X529" i="1"/>
  <c r="Y528" i="1"/>
  <c r="AO528" i="1" s="1"/>
  <c r="X528" i="1"/>
  <c r="X527" i="1"/>
  <c r="X526" i="1"/>
  <c r="Y525" i="1"/>
  <c r="AO525" i="1" s="1"/>
  <c r="AQ525" i="1" s="1"/>
  <c r="X525" i="1"/>
  <c r="X524" i="1"/>
  <c r="Y523" i="1"/>
  <c r="AO523" i="1" s="1"/>
  <c r="X523" i="1"/>
  <c r="X522" i="1"/>
  <c r="Y521" i="1"/>
  <c r="AO521" i="1" s="1"/>
  <c r="X521" i="1"/>
  <c r="X520" i="1"/>
  <c r="X519" i="1"/>
  <c r="Y518" i="1"/>
  <c r="AO518" i="1" s="1"/>
  <c r="AQ518" i="1" s="1"/>
  <c r="X518" i="1"/>
  <c r="X517" i="1"/>
  <c r="Y516" i="1"/>
  <c r="AO516" i="1" s="1"/>
  <c r="X516" i="1"/>
  <c r="Y515" i="1"/>
  <c r="AO515" i="1" s="1"/>
  <c r="X515" i="1"/>
  <c r="X514" i="1"/>
  <c r="Y513" i="1"/>
  <c r="AO513" i="1" s="1"/>
  <c r="X513" i="1"/>
  <c r="Y512" i="1"/>
  <c r="AO512" i="1" s="1"/>
  <c r="X512" i="1"/>
  <c r="Y511" i="1"/>
  <c r="AO511" i="1" s="1"/>
  <c r="AQ511" i="1" s="1"/>
  <c r="X511" i="1"/>
  <c r="Y510" i="1"/>
  <c r="AO510" i="1" s="1"/>
  <c r="AQ510" i="1" s="1"/>
  <c r="X510" i="1"/>
  <c r="Y509" i="1"/>
  <c r="AO509" i="1" s="1"/>
  <c r="X509" i="1"/>
  <c r="X508" i="1"/>
  <c r="Y507" i="1"/>
  <c r="AO507" i="1" s="1"/>
  <c r="X507" i="1"/>
  <c r="Y506" i="1"/>
  <c r="AO506" i="1" s="1"/>
  <c r="AQ506" i="1" s="1"/>
  <c r="X506" i="1"/>
  <c r="Y505" i="1"/>
  <c r="AO505" i="1" s="1"/>
  <c r="X505" i="1"/>
  <c r="Y504" i="1"/>
  <c r="AO504" i="1" s="1"/>
  <c r="X504" i="1"/>
  <c r="Y503" i="1"/>
  <c r="AO503" i="1" s="1"/>
  <c r="X503" i="1"/>
  <c r="Y502" i="1"/>
  <c r="AO502" i="1" s="1"/>
  <c r="AQ502" i="1" s="1"/>
  <c r="X502" i="1"/>
  <c r="X501" i="1"/>
  <c r="X500" i="1"/>
  <c r="X499" i="1"/>
  <c r="Y498" i="1"/>
  <c r="AO498" i="1" s="1"/>
  <c r="X498" i="1"/>
  <c r="X497" i="1"/>
  <c r="Y496" i="1"/>
  <c r="AO496" i="1" s="1"/>
  <c r="X496" i="1"/>
  <c r="Y495" i="1"/>
  <c r="AO495" i="1" s="1"/>
  <c r="AQ495" i="1" s="1"/>
  <c r="X495" i="1"/>
  <c r="X494" i="1"/>
  <c r="Y493" i="1"/>
  <c r="AO493" i="1" s="1"/>
  <c r="X493" i="1"/>
  <c r="X492" i="1"/>
  <c r="Y491" i="1"/>
  <c r="AO491" i="1" s="1"/>
  <c r="X491" i="1"/>
  <c r="X490" i="1"/>
  <c r="X489" i="1"/>
  <c r="Y488" i="1"/>
  <c r="AO488" i="1" s="1"/>
  <c r="X488" i="1"/>
  <c r="Y487" i="1"/>
  <c r="AO487" i="1" s="1"/>
  <c r="X487" i="1"/>
  <c r="Y486" i="1"/>
  <c r="AO486" i="1" s="1"/>
  <c r="AQ486" i="1" s="1"/>
  <c r="X486" i="1"/>
  <c r="X485" i="1"/>
  <c r="X484" i="1"/>
  <c r="Y483" i="1"/>
  <c r="AO483" i="1" s="1"/>
  <c r="X483" i="1"/>
  <c r="Y482" i="1"/>
  <c r="AO482" i="1" s="1"/>
  <c r="X482" i="1"/>
  <c r="Y481" i="1"/>
  <c r="AO481" i="1" s="1"/>
  <c r="X481" i="1"/>
  <c r="X480" i="1"/>
  <c r="Y479" i="1"/>
  <c r="AO479" i="1" s="1"/>
  <c r="AQ479" i="1" s="1"/>
  <c r="X479" i="1"/>
  <c r="X478" i="1"/>
  <c r="Y477" i="1"/>
  <c r="AO477" i="1" s="1"/>
  <c r="X477" i="1"/>
  <c r="X476" i="1"/>
  <c r="Y475" i="1"/>
  <c r="AO475" i="1" s="1"/>
  <c r="AQ475" i="1" s="1"/>
  <c r="X475" i="1"/>
  <c r="X474" i="1"/>
  <c r="Y473" i="1"/>
  <c r="AO473" i="1" s="1"/>
  <c r="X473" i="1"/>
  <c r="X472" i="1"/>
  <c r="X471" i="1"/>
  <c r="Y470" i="1"/>
  <c r="AO470" i="1" s="1"/>
  <c r="X470" i="1"/>
  <c r="Y469" i="1"/>
  <c r="AO469" i="1" s="1"/>
  <c r="X469" i="1"/>
  <c r="Y468" i="1"/>
  <c r="AO468" i="1" s="1"/>
  <c r="X468" i="1"/>
  <c r="X467" i="1"/>
  <c r="Y466" i="1"/>
  <c r="AO466" i="1" s="1"/>
  <c r="X466" i="1"/>
  <c r="X465" i="1"/>
  <c r="Y464" i="1"/>
  <c r="AO464" i="1" s="1"/>
  <c r="X464" i="1"/>
  <c r="Y463" i="1"/>
  <c r="AO463" i="1" s="1"/>
  <c r="X463" i="1"/>
  <c r="Y462" i="1"/>
  <c r="AO462" i="1" s="1"/>
  <c r="X462" i="1"/>
  <c r="X461" i="1"/>
  <c r="Y460" i="1"/>
  <c r="AO460" i="1" s="1"/>
  <c r="X460" i="1"/>
  <c r="X459" i="1"/>
  <c r="X458" i="1"/>
  <c r="X457" i="1"/>
  <c r="Y456" i="1"/>
  <c r="AO456" i="1" s="1"/>
  <c r="X456" i="1"/>
  <c r="X455" i="1"/>
  <c r="Y454" i="1"/>
  <c r="AO454" i="1" s="1"/>
  <c r="AQ454" i="1" s="1"/>
  <c r="X454" i="1"/>
  <c r="Y453" i="1"/>
  <c r="AO453" i="1" s="1"/>
  <c r="X453" i="1"/>
  <c r="X452" i="1"/>
  <c r="X451" i="1"/>
  <c r="X450" i="1"/>
  <c r="Y449" i="1"/>
  <c r="AO449" i="1" s="1"/>
  <c r="X449" i="1"/>
  <c r="X448" i="1"/>
  <c r="X447" i="1"/>
  <c r="X446" i="1"/>
  <c r="Y445" i="1"/>
  <c r="AO445" i="1" s="1"/>
  <c r="X445" i="1"/>
  <c r="Y444" i="1"/>
  <c r="AO444" i="1" s="1"/>
  <c r="X444" i="1"/>
  <c r="X443" i="1"/>
  <c r="Y442" i="1"/>
  <c r="AO442" i="1" s="1"/>
  <c r="X442" i="1"/>
  <c r="X441" i="1"/>
  <c r="X440" i="1"/>
  <c r="X439" i="1"/>
  <c r="X438" i="1"/>
  <c r="X437" i="1"/>
  <c r="X436" i="1"/>
  <c r="Y435" i="1"/>
  <c r="AO435" i="1" s="1"/>
  <c r="AQ435" i="1" s="1"/>
  <c r="X435" i="1"/>
  <c r="Y434" i="1"/>
  <c r="AO434" i="1" s="1"/>
  <c r="X434" i="1"/>
  <c r="Y433" i="1"/>
  <c r="AO433" i="1" s="1"/>
  <c r="X433" i="1"/>
  <c r="Y432" i="1"/>
  <c r="AO432" i="1" s="1"/>
  <c r="X432" i="1"/>
  <c r="Y431" i="1"/>
  <c r="AO431" i="1" s="1"/>
  <c r="AQ431" i="1" s="1"/>
  <c r="X431" i="1"/>
  <c r="X430" i="1"/>
  <c r="Y429" i="1"/>
  <c r="AO429" i="1" s="1"/>
  <c r="X429" i="1"/>
  <c r="X428" i="1"/>
  <c r="Y427" i="1"/>
  <c r="AO427" i="1" s="1"/>
  <c r="X427" i="1"/>
  <c r="Y426" i="1"/>
  <c r="AO426" i="1" s="1"/>
  <c r="X426" i="1"/>
  <c r="Y425" i="1"/>
  <c r="AO425" i="1" s="1"/>
  <c r="X425" i="1"/>
  <c r="Y424" i="1"/>
  <c r="AO424" i="1" s="1"/>
  <c r="AQ424" i="1" s="1"/>
  <c r="X424" i="1"/>
  <c r="Y423" i="1"/>
  <c r="AO423" i="1" s="1"/>
  <c r="X423" i="1"/>
  <c r="X422" i="1"/>
  <c r="X421" i="1"/>
  <c r="X420" i="1"/>
  <c r="Y419" i="1"/>
  <c r="AO419" i="1" s="1"/>
  <c r="X419" i="1"/>
  <c r="X418" i="1"/>
  <c r="X417" i="1"/>
  <c r="X416" i="1"/>
  <c r="X415" i="1"/>
  <c r="Y414" i="1"/>
  <c r="AO414" i="1" s="1"/>
  <c r="AQ414" i="1" s="1"/>
  <c r="X414" i="1"/>
  <c r="X413" i="1"/>
  <c r="Y412" i="1"/>
  <c r="AO412" i="1" s="1"/>
  <c r="X412" i="1"/>
  <c r="Y411" i="1"/>
  <c r="AO411" i="1" s="1"/>
  <c r="X411" i="1"/>
  <c r="X410" i="1"/>
  <c r="X409" i="1"/>
  <c r="Y408" i="1"/>
  <c r="AO408" i="1" s="1"/>
  <c r="X408" i="1"/>
  <c r="Y407" i="1"/>
  <c r="AO407" i="1" s="1"/>
  <c r="X407" i="1"/>
  <c r="Y406" i="1"/>
  <c r="AO406" i="1" s="1"/>
  <c r="AQ406" i="1" s="1"/>
  <c r="X406" i="1"/>
  <c r="Y405" i="1"/>
  <c r="AO405" i="1" s="1"/>
  <c r="X405" i="1"/>
  <c r="Y404" i="1"/>
  <c r="AO404" i="1" s="1"/>
  <c r="X404" i="1"/>
  <c r="X403" i="1"/>
  <c r="Y402" i="1"/>
  <c r="AO402" i="1" s="1"/>
  <c r="X402" i="1"/>
  <c r="Y401" i="1"/>
  <c r="AO401" i="1" s="1"/>
  <c r="X401" i="1"/>
  <c r="Y400" i="1"/>
  <c r="AO400" i="1" s="1"/>
  <c r="X400" i="1"/>
  <c r="Y399" i="1"/>
  <c r="AO399" i="1" s="1"/>
  <c r="X399" i="1"/>
  <c r="X398" i="1"/>
  <c r="X397" i="1"/>
  <c r="X396" i="1"/>
  <c r="Y395" i="1"/>
  <c r="AO395" i="1" s="1"/>
  <c r="AQ395" i="1" s="1"/>
  <c r="X395" i="1"/>
  <c r="X394" i="1"/>
  <c r="Y393" i="1"/>
  <c r="AO393" i="1" s="1"/>
  <c r="AQ393" i="1" s="1"/>
  <c r="X393" i="1"/>
  <c r="X392" i="1"/>
  <c r="X391" i="1"/>
  <c r="X390" i="1"/>
  <c r="Y389" i="1"/>
  <c r="AO389" i="1" s="1"/>
  <c r="X389" i="1"/>
  <c r="Y388" i="1"/>
  <c r="AO388" i="1" s="1"/>
  <c r="X388" i="1"/>
  <c r="X387" i="1"/>
  <c r="Y386" i="1"/>
  <c r="AO386" i="1" s="1"/>
  <c r="X386" i="1"/>
  <c r="X385" i="1"/>
  <c r="Y384" i="1"/>
  <c r="AO384" i="1" s="1"/>
  <c r="AQ384" i="1" s="1"/>
  <c r="X384" i="1"/>
  <c r="X383" i="1"/>
  <c r="X382" i="1"/>
  <c r="X381" i="1"/>
  <c r="Y380" i="1"/>
  <c r="AO380" i="1" s="1"/>
  <c r="X380" i="1"/>
  <c r="X379" i="1"/>
  <c r="Y378" i="1"/>
  <c r="AO378" i="1" s="1"/>
  <c r="X378" i="1"/>
  <c r="X377" i="1"/>
  <c r="X376" i="1"/>
  <c r="Y375" i="1"/>
  <c r="AO375" i="1" s="1"/>
  <c r="X375" i="1"/>
  <c r="Y374" i="1"/>
  <c r="AO374" i="1" s="1"/>
  <c r="AQ374" i="1" s="1"/>
  <c r="X374" i="1"/>
  <c r="X373" i="1"/>
  <c r="Y372" i="1"/>
  <c r="AO372" i="1" s="1"/>
  <c r="X372" i="1"/>
  <c r="X371" i="1"/>
  <c r="Y370" i="1"/>
  <c r="AO370" i="1" s="1"/>
  <c r="X370" i="1"/>
  <c r="Y369" i="1"/>
  <c r="AO369" i="1" s="1"/>
  <c r="X369" i="1"/>
  <c r="Y368" i="1"/>
  <c r="AO368" i="1" s="1"/>
  <c r="X368" i="1"/>
  <c r="X367" i="1"/>
  <c r="Y366" i="1"/>
  <c r="AO366" i="1" s="1"/>
  <c r="AQ366" i="1" s="1"/>
  <c r="X366" i="1"/>
  <c r="Y365" i="1"/>
  <c r="AO365" i="1" s="1"/>
  <c r="X365" i="1"/>
  <c r="Y364" i="1"/>
  <c r="AO364" i="1" s="1"/>
  <c r="X364" i="1"/>
  <c r="Y363" i="1"/>
  <c r="AO363" i="1" s="1"/>
  <c r="X363" i="1"/>
  <c r="Y362" i="1"/>
  <c r="AO362" i="1" s="1"/>
  <c r="X362" i="1"/>
  <c r="Y361" i="1"/>
  <c r="AO361" i="1" s="1"/>
  <c r="X361" i="1"/>
  <c r="X360" i="1"/>
  <c r="X359" i="1"/>
  <c r="Y358" i="1"/>
  <c r="AO358" i="1" s="1"/>
  <c r="AQ358" i="1" s="1"/>
  <c r="X358" i="1"/>
  <c r="X357" i="1"/>
  <c r="Y356" i="1"/>
  <c r="AO356" i="1" s="1"/>
  <c r="X356" i="1"/>
  <c r="X355" i="1"/>
  <c r="X354" i="1"/>
  <c r="Y353" i="1"/>
  <c r="AO353" i="1" s="1"/>
  <c r="X353" i="1"/>
  <c r="Y352" i="1"/>
  <c r="AO352" i="1" s="1"/>
  <c r="X352" i="1"/>
  <c r="X351" i="1"/>
  <c r="Y350" i="1"/>
  <c r="AO350" i="1" s="1"/>
  <c r="X350" i="1"/>
  <c r="Y349" i="1"/>
  <c r="AO349" i="1" s="1"/>
  <c r="AQ349" i="1" s="1"/>
  <c r="X349" i="1"/>
  <c r="X348" i="1"/>
  <c r="X347" i="1"/>
  <c r="Y346" i="1"/>
  <c r="AO346" i="1" s="1"/>
  <c r="X346" i="1"/>
  <c r="X345" i="1"/>
  <c r="X344" i="1"/>
  <c r="Y343" i="1"/>
  <c r="AO343" i="1" s="1"/>
  <c r="AQ343" i="1" s="1"/>
  <c r="X343" i="1"/>
  <c r="X342" i="1"/>
  <c r="X341" i="1"/>
  <c r="Y340" i="1"/>
  <c r="AO340" i="1" s="1"/>
  <c r="X340" i="1"/>
  <c r="Y339" i="1"/>
  <c r="AO339" i="1" s="1"/>
  <c r="AQ339" i="1" s="1"/>
  <c r="X339" i="1"/>
  <c r="Y338" i="1"/>
  <c r="AO338" i="1" s="1"/>
  <c r="X338" i="1"/>
  <c r="X337" i="1"/>
  <c r="Y336" i="1"/>
  <c r="AO336" i="1" s="1"/>
  <c r="X336" i="1"/>
  <c r="Y335" i="1"/>
  <c r="AO335" i="1" s="1"/>
  <c r="X335" i="1"/>
  <c r="Y334" i="1"/>
  <c r="AO334" i="1" s="1"/>
  <c r="AQ334" i="1" s="1"/>
  <c r="X334" i="1"/>
  <c r="Y333" i="1"/>
  <c r="AO333" i="1" s="1"/>
  <c r="X333" i="1"/>
  <c r="X332" i="1"/>
  <c r="X331" i="1"/>
  <c r="X330" i="1"/>
  <c r="Y329" i="1"/>
  <c r="AO329" i="1" s="1"/>
  <c r="X329" i="1"/>
  <c r="Y328" i="1"/>
  <c r="AO328" i="1" s="1"/>
  <c r="X328" i="1"/>
  <c r="X327" i="1"/>
  <c r="Y326" i="1"/>
  <c r="AO326" i="1" s="1"/>
  <c r="AQ326" i="1" s="1"/>
  <c r="X326" i="1"/>
  <c r="X325" i="1"/>
  <c r="X324" i="1"/>
  <c r="X323" i="1"/>
  <c r="X322" i="1"/>
  <c r="Y321" i="1"/>
  <c r="AO321" i="1" s="1"/>
  <c r="X321" i="1"/>
  <c r="X320" i="1"/>
  <c r="Y319" i="1"/>
  <c r="AO319" i="1" s="1"/>
  <c r="X319" i="1"/>
  <c r="X318" i="1"/>
  <c r="Y317" i="1"/>
  <c r="AO317" i="1" s="1"/>
  <c r="X317" i="1"/>
  <c r="X316" i="1"/>
  <c r="Y315" i="1"/>
  <c r="AO315" i="1" s="1"/>
  <c r="X315" i="1"/>
  <c r="Y314" i="1"/>
  <c r="AO314" i="1" s="1"/>
  <c r="X314" i="1"/>
  <c r="X313" i="1"/>
  <c r="Y312" i="1"/>
  <c r="AO312" i="1" s="1"/>
  <c r="X312" i="1"/>
  <c r="X311" i="1"/>
  <c r="Y310" i="1"/>
  <c r="AO310" i="1" s="1"/>
  <c r="AQ310" i="1" s="1"/>
  <c r="X310" i="1"/>
  <c r="X309" i="1"/>
  <c r="X308" i="1"/>
  <c r="Y307" i="1"/>
  <c r="AO307" i="1" s="1"/>
  <c r="AQ307" i="1" s="1"/>
  <c r="X307" i="1"/>
  <c r="X306" i="1"/>
  <c r="Y305" i="1"/>
  <c r="AO305" i="1" s="1"/>
  <c r="X305" i="1"/>
  <c r="X304" i="1"/>
  <c r="Y303" i="1"/>
  <c r="AO303" i="1" s="1"/>
  <c r="X303" i="1"/>
  <c r="Y302" i="1"/>
  <c r="AO302" i="1" s="1"/>
  <c r="AQ302" i="1" s="1"/>
  <c r="X302" i="1"/>
  <c r="Y301" i="1"/>
  <c r="AO301" i="1" s="1"/>
  <c r="AQ301" i="1" s="1"/>
  <c r="X301" i="1"/>
  <c r="Y300" i="1"/>
  <c r="AO300" i="1" s="1"/>
  <c r="X300" i="1"/>
  <c r="Y299" i="1"/>
  <c r="AO299" i="1" s="1"/>
  <c r="X299" i="1"/>
  <c r="Y298" i="1"/>
  <c r="AO298" i="1" s="1"/>
  <c r="X298" i="1"/>
  <c r="Y297" i="1"/>
  <c r="AO297" i="1" s="1"/>
  <c r="X297" i="1"/>
  <c r="X296" i="1"/>
  <c r="X295" i="1"/>
  <c r="X294" i="1"/>
  <c r="Y293" i="1"/>
  <c r="AO293" i="1" s="1"/>
  <c r="X293" i="1"/>
  <c r="Y292" i="1"/>
  <c r="AO292" i="1" s="1"/>
  <c r="X292" i="1"/>
  <c r="Y291" i="1"/>
  <c r="AO291" i="1" s="1"/>
  <c r="AQ291" i="1" s="1"/>
  <c r="X291" i="1"/>
  <c r="Y290" i="1"/>
  <c r="AO290" i="1" s="1"/>
  <c r="X290" i="1"/>
  <c r="Y289" i="1"/>
  <c r="AO289" i="1" s="1"/>
  <c r="X289" i="1"/>
  <c r="Y288" i="1"/>
  <c r="AO288" i="1" s="1"/>
  <c r="X288" i="1"/>
  <c r="Y287" i="1"/>
  <c r="AO287" i="1" s="1"/>
  <c r="AQ287" i="1" s="1"/>
  <c r="X287" i="1"/>
  <c r="Y286" i="1"/>
  <c r="AO286" i="1" s="1"/>
  <c r="AQ286" i="1" s="1"/>
  <c r="X286" i="1"/>
  <c r="Y285" i="1"/>
  <c r="AO285" i="1" s="1"/>
  <c r="X285" i="1"/>
  <c r="Y284" i="1"/>
  <c r="AO284" i="1" s="1"/>
  <c r="X284" i="1"/>
  <c r="Y283" i="1"/>
  <c r="AO283" i="1" s="1"/>
  <c r="AQ283" i="1" s="1"/>
  <c r="X283" i="1"/>
  <c r="Y282" i="1"/>
  <c r="AO282" i="1" s="1"/>
  <c r="X282" i="1"/>
  <c r="X281" i="1"/>
  <c r="X280" i="1"/>
  <c r="X279" i="1"/>
  <c r="Y278" i="1"/>
  <c r="AO278" i="1" s="1"/>
  <c r="AQ278" i="1" s="1"/>
  <c r="X278" i="1"/>
  <c r="Y277" i="1"/>
  <c r="AO277" i="1" s="1"/>
  <c r="X277" i="1"/>
  <c r="X276" i="1"/>
  <c r="X275" i="1"/>
  <c r="Y274" i="1"/>
  <c r="AO274" i="1" s="1"/>
  <c r="X274" i="1"/>
  <c r="X273" i="1"/>
  <c r="X272" i="1"/>
  <c r="Y271" i="1"/>
  <c r="AO271" i="1" s="1"/>
  <c r="AQ271" i="1" s="1"/>
  <c r="X271" i="1"/>
  <c r="Y270" i="1"/>
  <c r="AO270" i="1" s="1"/>
  <c r="AQ270" i="1" s="1"/>
  <c r="X270" i="1"/>
  <c r="X269" i="1"/>
  <c r="Y268" i="1"/>
  <c r="AO268" i="1" s="1"/>
  <c r="X268" i="1"/>
  <c r="X267" i="1"/>
  <c r="X266" i="1"/>
  <c r="Y265" i="1"/>
  <c r="AO265" i="1" s="1"/>
  <c r="X265" i="1"/>
  <c r="X264" i="1"/>
  <c r="Y263" i="1"/>
  <c r="AO263" i="1" s="1"/>
  <c r="AQ263" i="1" s="1"/>
  <c r="X263" i="1"/>
  <c r="Y262" i="1"/>
  <c r="AO262" i="1" s="1"/>
  <c r="AQ262" i="1" s="1"/>
  <c r="X262" i="1"/>
  <c r="Y261" i="1"/>
  <c r="AO261" i="1" s="1"/>
  <c r="X261" i="1"/>
  <c r="Y260" i="1"/>
  <c r="AO260" i="1" s="1"/>
  <c r="X260" i="1"/>
  <c r="Y259" i="1"/>
  <c r="AO259" i="1" s="1"/>
  <c r="AQ259" i="1" s="1"/>
  <c r="X259" i="1"/>
  <c r="X258" i="1"/>
  <c r="X257" i="1"/>
  <c r="Y256" i="1"/>
  <c r="AO256" i="1" s="1"/>
  <c r="X256" i="1"/>
  <c r="Y255" i="1"/>
  <c r="AO255" i="1" s="1"/>
  <c r="X255" i="1"/>
  <c r="Y254" i="1"/>
  <c r="AO254" i="1" s="1"/>
  <c r="AQ254" i="1" s="1"/>
  <c r="X254" i="1"/>
  <c r="Y253" i="1"/>
  <c r="AO253" i="1" s="1"/>
  <c r="AQ253" i="1" s="1"/>
  <c r="X253" i="1"/>
  <c r="X252" i="1"/>
  <c r="Y251" i="1"/>
  <c r="AO251" i="1" s="1"/>
  <c r="X251" i="1"/>
  <c r="Y250" i="1"/>
  <c r="AO250" i="1" s="1"/>
  <c r="X250" i="1"/>
  <c r="Y249" i="1"/>
  <c r="AO249" i="1" s="1"/>
  <c r="X249" i="1"/>
  <c r="Y248" i="1"/>
  <c r="AO248" i="1" s="1"/>
  <c r="X248" i="1"/>
  <c r="X247" i="1"/>
  <c r="Y246" i="1"/>
  <c r="AO246" i="1" s="1"/>
  <c r="AQ246" i="1" s="1"/>
  <c r="X246" i="1"/>
  <c r="Y245" i="1"/>
  <c r="AO245" i="1" s="1"/>
  <c r="X245" i="1"/>
  <c r="X244" i="1"/>
  <c r="Y243" i="1"/>
  <c r="AO243" i="1" s="1"/>
  <c r="AQ243" i="1" s="1"/>
  <c r="X243" i="1"/>
  <c r="Y242" i="1"/>
  <c r="AO242" i="1" s="1"/>
  <c r="X242" i="1"/>
  <c r="Y241" i="1"/>
  <c r="AO241" i="1" s="1"/>
  <c r="X241" i="1"/>
  <c r="Y240" i="1"/>
  <c r="AO240" i="1" s="1"/>
  <c r="X240" i="1"/>
  <c r="Y239" i="1"/>
  <c r="AO239" i="1" s="1"/>
  <c r="AQ239" i="1" s="1"/>
  <c r="X239" i="1"/>
  <c r="Y238" i="1"/>
  <c r="AO238" i="1" s="1"/>
  <c r="AQ238" i="1" s="1"/>
  <c r="X238" i="1"/>
  <c r="X237" i="1"/>
  <c r="Y236" i="1"/>
  <c r="AO236" i="1" s="1"/>
  <c r="X236" i="1"/>
  <c r="X235" i="1"/>
  <c r="Y234" i="1"/>
  <c r="AO234" i="1" s="1"/>
  <c r="X234" i="1"/>
  <c r="X233" i="1"/>
  <c r="X232" i="1"/>
  <c r="Y231" i="1"/>
  <c r="AO231" i="1" s="1"/>
  <c r="X231" i="1"/>
  <c r="Y230" i="1"/>
  <c r="AO230" i="1" s="1"/>
  <c r="X230" i="1"/>
  <c r="Y229" i="1"/>
  <c r="AO229" i="1" s="1"/>
  <c r="X229" i="1"/>
  <c r="Y228" i="1"/>
  <c r="AO228" i="1" s="1"/>
  <c r="X228" i="1"/>
  <c r="X227" i="1"/>
  <c r="X226" i="1"/>
  <c r="Y225" i="1"/>
  <c r="AO225" i="1" s="1"/>
  <c r="X225" i="1"/>
  <c r="X224" i="1"/>
  <c r="Y223" i="1"/>
  <c r="AO223" i="1" s="1"/>
  <c r="AQ223" i="1" s="1"/>
  <c r="X223" i="1"/>
  <c r="Y222" i="1"/>
  <c r="AO222" i="1" s="1"/>
  <c r="AQ222" i="1" s="1"/>
  <c r="X222" i="1"/>
  <c r="Y221" i="1"/>
  <c r="AO221" i="1" s="1"/>
  <c r="X221" i="1"/>
  <c r="Y220" i="1"/>
  <c r="AO220" i="1" s="1"/>
  <c r="X220" i="1"/>
  <c r="Y219" i="1"/>
  <c r="AO219" i="1" s="1"/>
  <c r="X219" i="1"/>
  <c r="Y218" i="1"/>
  <c r="AO218" i="1" s="1"/>
  <c r="X218" i="1"/>
  <c r="Y217" i="1"/>
  <c r="AO217" i="1" s="1"/>
  <c r="X217" i="1"/>
  <c r="Y216" i="1"/>
  <c r="AO216" i="1" s="1"/>
  <c r="X216" i="1"/>
  <c r="Y215" i="1"/>
  <c r="AO215" i="1" s="1"/>
  <c r="AQ215" i="1" s="1"/>
  <c r="X215" i="1"/>
  <c r="Y214" i="1"/>
  <c r="AO214" i="1" s="1"/>
  <c r="AQ214" i="1" s="1"/>
  <c r="X214" i="1"/>
  <c r="Y213" i="1"/>
  <c r="AO213" i="1" s="1"/>
  <c r="X213" i="1"/>
  <c r="Y212" i="1"/>
  <c r="AO212" i="1" s="1"/>
  <c r="X212" i="1"/>
  <c r="X211" i="1"/>
  <c r="Y210" i="1"/>
  <c r="AO210" i="1" s="1"/>
  <c r="X210" i="1"/>
  <c r="Y209" i="1"/>
  <c r="AO209" i="1" s="1"/>
  <c r="X209" i="1"/>
  <c r="Y208" i="1"/>
  <c r="AO208" i="1" s="1"/>
  <c r="X208" i="1"/>
  <c r="Y207" i="1"/>
  <c r="AO207" i="1" s="1"/>
  <c r="AQ207" i="1" s="1"/>
  <c r="X207" i="1"/>
  <c r="Y206" i="1"/>
  <c r="AO206" i="1" s="1"/>
  <c r="AQ206" i="1" s="1"/>
  <c r="X206" i="1"/>
  <c r="Y205" i="1"/>
  <c r="AO205" i="1" s="1"/>
  <c r="X205" i="1"/>
  <c r="X204" i="1"/>
  <c r="Y203" i="1"/>
  <c r="AO203" i="1" s="1"/>
  <c r="AQ203" i="1" s="1"/>
  <c r="X203" i="1"/>
  <c r="X202" i="1"/>
  <c r="Y201" i="1"/>
  <c r="AO201" i="1" s="1"/>
  <c r="X201" i="1"/>
  <c r="Y200" i="1"/>
  <c r="AO200" i="1" s="1"/>
  <c r="X200" i="1"/>
  <c r="X199" i="1"/>
  <c r="X198" i="1"/>
  <c r="Y197" i="1"/>
  <c r="AO197" i="1" s="1"/>
  <c r="X197" i="1"/>
  <c r="Y196" i="1"/>
  <c r="AO196" i="1" s="1"/>
  <c r="X196" i="1"/>
  <c r="X195" i="1"/>
  <c r="Y194" i="1"/>
  <c r="AO194" i="1" s="1"/>
  <c r="X194" i="1"/>
  <c r="X193" i="1"/>
  <c r="Y192" i="1"/>
  <c r="AO192" i="1" s="1"/>
  <c r="X192" i="1"/>
  <c r="Y191" i="1"/>
  <c r="AO191" i="1" s="1"/>
  <c r="X191" i="1"/>
  <c r="Y190" i="1"/>
  <c r="AO190" i="1" s="1"/>
  <c r="AQ190" i="1" s="1"/>
  <c r="X190" i="1"/>
  <c r="Y189" i="1"/>
  <c r="AO189" i="1" s="1"/>
  <c r="X189" i="1"/>
  <c r="X188" i="1"/>
  <c r="X187" i="1"/>
  <c r="X186" i="1"/>
  <c r="X185" i="1"/>
  <c r="Y184" i="1"/>
  <c r="AO184" i="1" s="1"/>
  <c r="X184" i="1"/>
  <c r="X183" i="1"/>
  <c r="X182" i="1"/>
  <c r="Y181" i="1"/>
  <c r="AO181" i="1" s="1"/>
  <c r="X181" i="1"/>
  <c r="X180" i="1"/>
  <c r="X179" i="1"/>
  <c r="X178" i="1"/>
  <c r="X177" i="1"/>
  <c r="Y176" i="1"/>
  <c r="AO176" i="1" s="1"/>
  <c r="X176" i="1"/>
  <c r="Y175" i="1"/>
  <c r="AO175" i="1" s="1"/>
  <c r="AQ175" i="1" s="1"/>
  <c r="X175" i="1"/>
  <c r="X174" i="1"/>
  <c r="X173" i="1"/>
  <c r="Y172" i="1"/>
  <c r="AO172" i="1" s="1"/>
  <c r="X172" i="1"/>
  <c r="X171" i="1"/>
  <c r="X170" i="1"/>
  <c r="Y169" i="1"/>
  <c r="AO169" i="1" s="1"/>
  <c r="X169" i="1"/>
  <c r="X168" i="1"/>
  <c r="Y167" i="1"/>
  <c r="AO167" i="1" s="1"/>
  <c r="X167" i="1"/>
  <c r="X166" i="1"/>
  <c r="X165" i="1"/>
  <c r="X164" i="1"/>
  <c r="X163" i="1"/>
  <c r="Y162" i="1"/>
  <c r="AO162" i="1" s="1"/>
  <c r="X162" i="1"/>
  <c r="Y161" i="1"/>
  <c r="AO161" i="1" s="1"/>
  <c r="AQ161" i="1" s="1"/>
  <c r="X161" i="1"/>
  <c r="Y160" i="1"/>
  <c r="AO160" i="1" s="1"/>
  <c r="X160" i="1"/>
  <c r="X159" i="1"/>
  <c r="Y158" i="1"/>
  <c r="X158" i="1"/>
  <c r="Y157" i="1"/>
  <c r="AO157" i="1" s="1"/>
  <c r="X157" i="1"/>
  <c r="Y156" i="1"/>
  <c r="AO156" i="1" s="1"/>
  <c r="X156" i="1"/>
  <c r="X155" i="1"/>
  <c r="Y154" i="1"/>
  <c r="AO154" i="1" s="1"/>
  <c r="X154" i="1"/>
  <c r="Y153" i="1"/>
  <c r="AO153" i="1" s="1"/>
  <c r="X153" i="1"/>
  <c r="Y152" i="1"/>
  <c r="AO152" i="1" s="1"/>
  <c r="X152" i="1"/>
  <c r="X151" i="1"/>
  <c r="X150" i="1"/>
  <c r="X149" i="1"/>
  <c r="Y148" i="1"/>
  <c r="AO148" i="1" s="1"/>
  <c r="X148" i="1"/>
  <c r="Y147" i="1"/>
  <c r="AO147" i="1" s="1"/>
  <c r="X147" i="1"/>
  <c r="Y146" i="1"/>
  <c r="AO146" i="1" s="1"/>
  <c r="X146" i="1"/>
  <c r="Y145" i="1"/>
  <c r="AO145" i="1" s="1"/>
  <c r="X145" i="1"/>
  <c r="Y144" i="1"/>
  <c r="AO144" i="1" s="1"/>
  <c r="AQ144" i="1" s="1"/>
  <c r="X144" i="1"/>
  <c r="Y143" i="1"/>
  <c r="AO143" i="1" s="1"/>
  <c r="X143" i="1"/>
  <c r="Y142" i="1"/>
  <c r="AO142" i="1" s="1"/>
  <c r="X142" i="1"/>
  <c r="Y141" i="1"/>
  <c r="AO141" i="1" s="1"/>
  <c r="X141" i="1"/>
  <c r="Y140" i="1"/>
  <c r="AO140" i="1" s="1"/>
  <c r="X140" i="1"/>
  <c r="Y139" i="1"/>
  <c r="AO139" i="1" s="1"/>
  <c r="X139" i="1"/>
  <c r="X138" i="1"/>
  <c r="Y137" i="1"/>
  <c r="AO137" i="1" s="1"/>
  <c r="X137" i="1"/>
  <c r="Y136" i="1"/>
  <c r="AO136" i="1" s="1"/>
  <c r="X136" i="1"/>
  <c r="X135" i="1"/>
  <c r="Y134" i="1"/>
  <c r="AO134" i="1" s="1"/>
  <c r="AQ134" i="1" s="1"/>
  <c r="X134" i="1"/>
  <c r="X133" i="1"/>
  <c r="Y132" i="1"/>
  <c r="AO132" i="1" s="1"/>
  <c r="X132" i="1"/>
  <c r="Y131" i="1"/>
  <c r="AO131" i="1" s="1"/>
  <c r="AQ131" i="1" s="1"/>
  <c r="X131" i="1"/>
  <c r="X130" i="1"/>
  <c r="Y129" i="1"/>
  <c r="AO129" i="1" s="1"/>
  <c r="X129" i="1"/>
  <c r="X128" i="1"/>
  <c r="X127" i="1"/>
  <c r="Y126" i="1"/>
  <c r="AO126" i="1" s="1"/>
  <c r="AQ126" i="1" s="1"/>
  <c r="X126" i="1"/>
  <c r="Y125" i="1"/>
  <c r="AO125" i="1" s="1"/>
  <c r="X125" i="1"/>
  <c r="Y124" i="1"/>
  <c r="AO124" i="1" s="1"/>
  <c r="X124" i="1"/>
  <c r="Y123" i="1"/>
  <c r="AO123" i="1" s="1"/>
  <c r="X123" i="1"/>
  <c r="Y122" i="1"/>
  <c r="AO122" i="1" s="1"/>
  <c r="AQ122" i="1" s="1"/>
  <c r="X122" i="1"/>
  <c r="Y121" i="1"/>
  <c r="AO121" i="1" s="1"/>
  <c r="X121" i="1"/>
  <c r="X120" i="1"/>
  <c r="X119" i="1"/>
  <c r="Y118" i="1"/>
  <c r="AO118" i="1" s="1"/>
  <c r="AQ118" i="1" s="1"/>
  <c r="X118" i="1"/>
  <c r="X117" i="1"/>
  <c r="Y116" i="1"/>
  <c r="AO116" i="1" s="1"/>
  <c r="X116" i="1"/>
  <c r="Y115" i="1"/>
  <c r="AO115" i="1" s="1"/>
  <c r="AQ115" i="1" s="1"/>
  <c r="X115" i="1"/>
  <c r="Y114" i="1"/>
  <c r="AO114" i="1" s="1"/>
  <c r="X114" i="1"/>
  <c r="X113" i="1"/>
  <c r="X112" i="1"/>
  <c r="Y111" i="1"/>
  <c r="AO111" i="1" s="1"/>
  <c r="AQ111" i="1" s="1"/>
  <c r="X111" i="1"/>
  <c r="X110" i="1"/>
  <c r="X109" i="1"/>
  <c r="X108" i="1"/>
  <c r="Y107" i="1"/>
  <c r="AO107" i="1" s="1"/>
  <c r="X107" i="1"/>
  <c r="Y106" i="1"/>
  <c r="AO106" i="1" s="1"/>
  <c r="AQ106" i="1" s="1"/>
  <c r="X106" i="1"/>
  <c r="X105" i="1"/>
  <c r="Y104" i="1"/>
  <c r="AO104" i="1" s="1"/>
  <c r="X104" i="1"/>
  <c r="X103" i="1"/>
  <c r="X102" i="1"/>
  <c r="X101" i="1"/>
  <c r="X100" i="1"/>
  <c r="Y99" i="1"/>
  <c r="AO99" i="1" s="1"/>
  <c r="AQ99" i="1" s="1"/>
  <c r="X99" i="1"/>
  <c r="X98" i="1"/>
  <c r="Y97" i="1"/>
  <c r="AO97" i="1" s="1"/>
  <c r="X97" i="1"/>
  <c r="Y96" i="1"/>
  <c r="AO96" i="1" s="1"/>
  <c r="X96" i="1"/>
  <c r="Y95" i="1"/>
  <c r="AO95" i="1" s="1"/>
  <c r="X95" i="1"/>
  <c r="X94" i="1"/>
  <c r="X93" i="1"/>
  <c r="Y92" i="1"/>
  <c r="AO92" i="1" s="1"/>
  <c r="X92" i="1"/>
  <c r="Y91" i="1"/>
  <c r="AO91" i="1" s="1"/>
  <c r="X91" i="1"/>
  <c r="Y90" i="1"/>
  <c r="AO90" i="1" s="1"/>
  <c r="AQ90" i="1" s="1"/>
  <c r="X90" i="1"/>
  <c r="Y89" i="1"/>
  <c r="AO89" i="1" s="1"/>
  <c r="X89" i="1"/>
  <c r="X88" i="1"/>
  <c r="X87" i="1"/>
  <c r="Y86" i="1"/>
  <c r="AO86" i="1" s="1"/>
  <c r="X86" i="1"/>
  <c r="X85" i="1"/>
  <c r="X84" i="1"/>
  <c r="X83" i="1"/>
  <c r="Y82" i="1"/>
  <c r="AO82" i="1" s="1"/>
  <c r="X82" i="1"/>
  <c r="X81" i="1"/>
  <c r="X80" i="1"/>
  <c r="X79" i="1"/>
  <c r="Y78" i="1"/>
  <c r="AO78" i="1" s="1"/>
  <c r="AQ78" i="1" s="1"/>
  <c r="X78" i="1"/>
  <c r="X77" i="1"/>
  <c r="X76" i="1"/>
  <c r="X75" i="1"/>
  <c r="X74" i="1"/>
  <c r="X73" i="1"/>
  <c r="X72" i="1"/>
  <c r="X71" i="1"/>
  <c r="Y70" i="1"/>
  <c r="AO70" i="1" s="1"/>
  <c r="AQ70" i="1" s="1"/>
  <c r="X70" i="1"/>
  <c r="X69" i="1"/>
  <c r="Y68" i="1"/>
  <c r="AO68" i="1" s="1"/>
  <c r="X68" i="1"/>
  <c r="X67" i="1"/>
  <c r="Y66" i="1"/>
  <c r="AO66" i="1" s="1"/>
  <c r="AQ66" i="1" s="1"/>
  <c r="X66" i="1"/>
  <c r="Y65" i="1"/>
  <c r="AO65" i="1" s="1"/>
  <c r="X65" i="1"/>
  <c r="Y64" i="1"/>
  <c r="AO64" i="1" s="1"/>
  <c r="X64" i="1"/>
  <c r="X63" i="1"/>
  <c r="X62" i="1"/>
  <c r="Y61" i="1"/>
  <c r="AO61" i="1" s="1"/>
  <c r="X61" i="1"/>
  <c r="X60" i="1"/>
  <c r="Y59" i="1"/>
  <c r="AO59" i="1" s="1"/>
  <c r="AQ59" i="1" s="1"/>
  <c r="X59" i="1"/>
  <c r="X58" i="1"/>
  <c r="Y57" i="1"/>
  <c r="AO57" i="1" s="1"/>
  <c r="AQ57" i="1" s="1"/>
  <c r="X57" i="1"/>
  <c r="Y56" i="1"/>
  <c r="AO56" i="1" s="1"/>
  <c r="AQ56" i="1" s="1"/>
  <c r="X56" i="1"/>
  <c r="X55" i="1"/>
  <c r="Y54" i="1"/>
  <c r="AO54" i="1" s="1"/>
  <c r="X54" i="1"/>
  <c r="Y53" i="1"/>
  <c r="AO53" i="1" s="1"/>
  <c r="X53" i="1"/>
  <c r="Y52" i="1"/>
  <c r="AO52" i="1" s="1"/>
  <c r="X52" i="1"/>
  <c r="Y51" i="1"/>
  <c r="AO51" i="1" s="1"/>
  <c r="AQ51" i="1" s="1"/>
  <c r="X51" i="1"/>
  <c r="X50" i="1"/>
  <c r="X49" i="1"/>
  <c r="X48" i="1"/>
  <c r="X47" i="1"/>
  <c r="Y46" i="1"/>
  <c r="AO46" i="1" s="1"/>
  <c r="X46" i="1"/>
  <c r="X45" i="1"/>
  <c r="X44" i="1"/>
  <c r="Y43" i="1"/>
  <c r="AO43" i="1" s="1"/>
  <c r="AQ43" i="1" s="1"/>
  <c r="X43" i="1"/>
  <c r="Y42" i="1"/>
  <c r="AO42" i="1" s="1"/>
  <c r="X42" i="1"/>
  <c r="Y41" i="1"/>
  <c r="AO41" i="1" s="1"/>
  <c r="X41" i="1"/>
  <c r="X40" i="1"/>
  <c r="Y39" i="1"/>
  <c r="AO39" i="1" s="1"/>
  <c r="AQ39" i="1" s="1"/>
  <c r="X39" i="1"/>
  <c r="Y38" i="1"/>
  <c r="AO38" i="1" s="1"/>
  <c r="AQ38" i="1" s="1"/>
  <c r="X38" i="1"/>
  <c r="Y37" i="1"/>
  <c r="AO37" i="1" s="1"/>
  <c r="X37" i="1"/>
  <c r="Y36" i="1"/>
  <c r="AO36" i="1" s="1"/>
  <c r="X36" i="1"/>
  <c r="X35" i="1"/>
  <c r="X34" i="1"/>
  <c r="X33" i="1"/>
  <c r="Y32" i="1"/>
  <c r="AO32" i="1" s="1"/>
  <c r="X32" i="1"/>
  <c r="Y31" i="1"/>
  <c r="AO31" i="1" s="1"/>
  <c r="X31" i="1"/>
  <c r="Y30" i="1"/>
  <c r="AO30" i="1" s="1"/>
  <c r="X30" i="1"/>
  <c r="X29" i="1"/>
  <c r="Y28" i="1"/>
  <c r="AO28" i="1" s="1"/>
  <c r="X28" i="1"/>
  <c r="X27" i="1"/>
  <c r="X26" i="1"/>
  <c r="Y25" i="1"/>
  <c r="AO25" i="1" s="1"/>
  <c r="X25" i="1"/>
  <c r="X24" i="1"/>
  <c r="X23" i="1"/>
  <c r="X22" i="1"/>
  <c r="Y21" i="1"/>
  <c r="AO21" i="1" s="1"/>
  <c r="X21" i="1"/>
  <c r="Y20" i="1"/>
  <c r="AO20" i="1" s="1"/>
  <c r="X20" i="1"/>
  <c r="X19" i="1"/>
  <c r="Y18" i="1"/>
  <c r="AO18" i="1" s="1"/>
  <c r="X18" i="1"/>
  <c r="Y17" i="1"/>
  <c r="AO17" i="1" s="1"/>
  <c r="X17" i="1"/>
  <c r="X16" i="1"/>
  <c r="X15" i="1"/>
  <c r="Y14" i="1"/>
  <c r="AO14" i="1" s="1"/>
  <c r="AQ14" i="1" s="1"/>
  <c r="X14" i="1"/>
  <c r="Y13" i="1"/>
  <c r="AO13" i="1" s="1"/>
  <c r="AQ13" i="1" s="1"/>
  <c r="X13" i="1"/>
  <c r="Y12" i="1"/>
  <c r="AO12" i="1" s="1"/>
  <c r="X12" i="1"/>
  <c r="Y11" i="1"/>
  <c r="AO11" i="1" s="1"/>
  <c r="X11" i="1"/>
  <c r="X10" i="1"/>
  <c r="Y9" i="1"/>
  <c r="AO9" i="1" s="1"/>
  <c r="X9" i="1"/>
  <c r="X8" i="1"/>
  <c r="X7" i="1"/>
  <c r="Y6" i="1"/>
  <c r="AO6" i="1" s="1"/>
  <c r="X6" i="1"/>
  <c r="X5" i="1"/>
  <c r="Y4" i="1"/>
  <c r="AO4" i="1" s="1"/>
  <c r="X4" i="1"/>
  <c r="X3" i="1"/>
  <c r="U739" i="1"/>
  <c r="T739" i="1"/>
  <c r="S739" i="1"/>
  <c r="U738" i="1"/>
  <c r="T738" i="1"/>
  <c r="S738" i="1"/>
  <c r="R738" i="1"/>
  <c r="AT738" i="1" s="1"/>
  <c r="Q738" i="1"/>
  <c r="AU738" i="1" s="1"/>
  <c r="P738" i="1"/>
  <c r="U737" i="1"/>
  <c r="T737" i="1"/>
  <c r="S737" i="1"/>
  <c r="U735" i="1"/>
  <c r="T735" i="1"/>
  <c r="S735" i="1"/>
  <c r="U734" i="1"/>
  <c r="T734" i="1"/>
  <c r="S734" i="1"/>
  <c r="U733" i="1"/>
  <c r="T733" i="1"/>
  <c r="S733" i="1"/>
  <c r="R733" i="1"/>
  <c r="AT733" i="1" s="1"/>
  <c r="Q733" i="1"/>
  <c r="AU733" i="1" s="1"/>
  <c r="P733" i="1"/>
  <c r="U732" i="1"/>
  <c r="T732" i="1"/>
  <c r="S732" i="1"/>
  <c r="R732" i="1"/>
  <c r="AT732" i="1" s="1"/>
  <c r="Q732" i="1"/>
  <c r="AU732" i="1" s="1"/>
  <c r="P732" i="1"/>
  <c r="U731" i="1"/>
  <c r="T731" i="1"/>
  <c r="S731" i="1"/>
  <c r="R731" i="1"/>
  <c r="AT731" i="1" s="1"/>
  <c r="Q731" i="1"/>
  <c r="AU731" i="1" s="1"/>
  <c r="P731" i="1"/>
  <c r="U730" i="1"/>
  <c r="T730" i="1"/>
  <c r="S730" i="1"/>
  <c r="R730" i="1"/>
  <c r="AT730" i="1" s="1"/>
  <c r="Q730" i="1"/>
  <c r="AU730" i="1" s="1"/>
  <c r="P730" i="1"/>
  <c r="U729" i="1"/>
  <c r="T729" i="1"/>
  <c r="S729" i="1"/>
  <c r="R729" i="1"/>
  <c r="AT729" i="1" s="1"/>
  <c r="Q729" i="1"/>
  <c r="AU729" i="1" s="1"/>
  <c r="P729" i="1"/>
  <c r="U728" i="1"/>
  <c r="T728" i="1"/>
  <c r="S728" i="1"/>
  <c r="U727" i="1"/>
  <c r="T727" i="1"/>
  <c r="S727" i="1"/>
  <c r="R727" i="1"/>
  <c r="AT727" i="1" s="1"/>
  <c r="Q727" i="1"/>
  <c r="AU727" i="1" s="1"/>
  <c r="P727" i="1"/>
  <c r="U726" i="1"/>
  <c r="T726" i="1"/>
  <c r="S726" i="1"/>
  <c r="R726" i="1"/>
  <c r="AT726" i="1" s="1"/>
  <c r="Q726" i="1"/>
  <c r="AU726" i="1" s="1"/>
  <c r="P726" i="1"/>
  <c r="U725" i="1"/>
  <c r="T725" i="1"/>
  <c r="S725" i="1"/>
  <c r="R725" i="1"/>
  <c r="AT725" i="1" s="1"/>
  <c r="Q725" i="1"/>
  <c r="AU725" i="1" s="1"/>
  <c r="P725" i="1"/>
  <c r="U724" i="1"/>
  <c r="T724" i="1"/>
  <c r="S724" i="1"/>
  <c r="R724" i="1"/>
  <c r="AT724" i="1" s="1"/>
  <c r="Q724" i="1"/>
  <c r="AU724" i="1" s="1"/>
  <c r="P724" i="1"/>
  <c r="U723" i="1"/>
  <c r="T723" i="1"/>
  <c r="S723" i="1"/>
  <c r="U722" i="1"/>
  <c r="T722" i="1"/>
  <c r="S722" i="1"/>
  <c r="R722" i="1"/>
  <c r="AT722" i="1" s="1"/>
  <c r="Q722" i="1"/>
  <c r="AU722" i="1" s="1"/>
  <c r="P722" i="1"/>
  <c r="U720" i="1"/>
  <c r="T720" i="1"/>
  <c r="S720" i="1"/>
  <c r="R720" i="1"/>
  <c r="AT720" i="1" s="1"/>
  <c r="Q720" i="1"/>
  <c r="AU720" i="1" s="1"/>
  <c r="P720" i="1"/>
  <c r="U719" i="1"/>
  <c r="T719" i="1"/>
  <c r="S719" i="1"/>
  <c r="R719" i="1"/>
  <c r="AT719" i="1" s="1"/>
  <c r="Q719" i="1"/>
  <c r="AU719" i="1" s="1"/>
  <c r="P719" i="1"/>
  <c r="U718" i="1"/>
  <c r="T718" i="1"/>
  <c r="S718" i="1"/>
  <c r="R718" i="1"/>
  <c r="AT718" i="1" s="1"/>
  <c r="Q718" i="1"/>
  <c r="AU718" i="1" s="1"/>
  <c r="P718" i="1"/>
  <c r="U717" i="1"/>
  <c r="T717" i="1"/>
  <c r="S717" i="1"/>
  <c r="R717" i="1"/>
  <c r="AT717" i="1" s="1"/>
  <c r="Q717" i="1"/>
  <c r="AU717" i="1" s="1"/>
  <c r="P717" i="1"/>
  <c r="U715" i="1"/>
  <c r="T715" i="1"/>
  <c r="S715" i="1"/>
  <c r="R715" i="1"/>
  <c r="AT715" i="1" s="1"/>
  <c r="Q715" i="1"/>
  <c r="AU715" i="1" s="1"/>
  <c r="P715" i="1"/>
  <c r="U714" i="1"/>
  <c r="T714" i="1"/>
  <c r="S714" i="1"/>
  <c r="U713" i="1"/>
  <c r="T713" i="1"/>
  <c r="S713" i="1"/>
  <c r="R713" i="1"/>
  <c r="AT713" i="1" s="1"/>
  <c r="Q713" i="1"/>
  <c r="AU713" i="1" s="1"/>
  <c r="P713" i="1"/>
  <c r="U712" i="1"/>
  <c r="T712" i="1"/>
  <c r="S712" i="1"/>
  <c r="R712" i="1"/>
  <c r="AT712" i="1" s="1"/>
  <c r="Q712" i="1"/>
  <c r="AU712" i="1" s="1"/>
  <c r="P712" i="1"/>
  <c r="U711" i="1"/>
  <c r="T711" i="1"/>
  <c r="S711" i="1"/>
  <c r="R711" i="1"/>
  <c r="AT711" i="1" s="1"/>
  <c r="Q711" i="1"/>
  <c r="AU711" i="1" s="1"/>
  <c r="P711" i="1"/>
  <c r="U710" i="1"/>
  <c r="T710" i="1"/>
  <c r="S710" i="1"/>
  <c r="R710" i="1"/>
  <c r="AT710" i="1" s="1"/>
  <c r="Q710" i="1"/>
  <c r="AU710" i="1" s="1"/>
  <c r="P710" i="1"/>
  <c r="U709" i="1"/>
  <c r="T709" i="1"/>
  <c r="S709" i="1"/>
  <c r="U705" i="1"/>
  <c r="T705" i="1"/>
  <c r="S705" i="1"/>
  <c r="R705" i="1"/>
  <c r="AT705" i="1" s="1"/>
  <c r="Q705" i="1"/>
  <c r="AU705" i="1" s="1"/>
  <c r="P705" i="1"/>
  <c r="U699" i="1"/>
  <c r="T699" i="1"/>
  <c r="S699" i="1"/>
  <c r="U697" i="1"/>
  <c r="T697" i="1"/>
  <c r="S697" i="1"/>
  <c r="U695" i="1"/>
  <c r="T695" i="1"/>
  <c r="S695" i="1"/>
  <c r="U694" i="1"/>
  <c r="T694" i="1"/>
  <c r="S694" i="1"/>
  <c r="R694" i="1"/>
  <c r="AT694" i="1" s="1"/>
  <c r="Q694" i="1"/>
  <c r="AU694" i="1" s="1"/>
  <c r="P694" i="1"/>
  <c r="U690" i="1"/>
  <c r="T690" i="1"/>
  <c r="S690" i="1"/>
  <c r="R690" i="1"/>
  <c r="AT690" i="1" s="1"/>
  <c r="Q690" i="1"/>
  <c r="AU690" i="1" s="1"/>
  <c r="P690" i="1"/>
  <c r="U689" i="1"/>
  <c r="T689" i="1"/>
  <c r="S689" i="1"/>
  <c r="R689" i="1"/>
  <c r="AT689" i="1" s="1"/>
  <c r="Q689" i="1"/>
  <c r="AU689" i="1" s="1"/>
  <c r="P689" i="1"/>
  <c r="U688" i="1"/>
  <c r="T688" i="1"/>
  <c r="S688" i="1"/>
  <c r="R688" i="1"/>
  <c r="AT688" i="1" s="1"/>
  <c r="Q688" i="1"/>
  <c r="AU688" i="1" s="1"/>
  <c r="P688" i="1"/>
  <c r="U687" i="1"/>
  <c r="T687" i="1"/>
  <c r="S687" i="1"/>
  <c r="U681" i="1"/>
  <c r="T681" i="1"/>
  <c r="S681" i="1"/>
  <c r="R681" i="1"/>
  <c r="AT681" i="1" s="1"/>
  <c r="Q681" i="1"/>
  <c r="AU681" i="1" s="1"/>
  <c r="P681" i="1"/>
  <c r="U676" i="1"/>
  <c r="T676" i="1"/>
  <c r="S676" i="1"/>
  <c r="U675" i="1"/>
  <c r="T675" i="1"/>
  <c r="S675" i="1"/>
  <c r="R675" i="1"/>
  <c r="AT675" i="1" s="1"/>
  <c r="Q675" i="1"/>
  <c r="AU675" i="1" s="1"/>
  <c r="P675" i="1"/>
  <c r="U674" i="1"/>
  <c r="T674" i="1"/>
  <c r="S674" i="1"/>
  <c r="R674" i="1"/>
  <c r="AT674" i="1" s="1"/>
  <c r="Q674" i="1"/>
  <c r="AU674" i="1" s="1"/>
  <c r="P674" i="1"/>
  <c r="U673" i="1"/>
  <c r="T673" i="1"/>
  <c r="S673" i="1"/>
  <c r="U672" i="1"/>
  <c r="T672" i="1"/>
  <c r="S672" i="1"/>
  <c r="R672" i="1"/>
  <c r="AT672" i="1" s="1"/>
  <c r="Q672" i="1"/>
  <c r="AU672" i="1" s="1"/>
  <c r="P672" i="1"/>
  <c r="U671" i="1"/>
  <c r="T671" i="1"/>
  <c r="S671" i="1"/>
  <c r="R671" i="1"/>
  <c r="AT671" i="1" s="1"/>
  <c r="Q671" i="1"/>
  <c r="AU671" i="1" s="1"/>
  <c r="P671" i="1"/>
  <c r="U670" i="1"/>
  <c r="T670" i="1"/>
  <c r="S670" i="1"/>
  <c r="U669" i="1"/>
  <c r="T669" i="1"/>
  <c r="S669" i="1"/>
  <c r="U668" i="1"/>
  <c r="T668" i="1"/>
  <c r="S668" i="1"/>
  <c r="U667" i="1"/>
  <c r="T667" i="1"/>
  <c r="S667" i="1"/>
  <c r="R667" i="1"/>
  <c r="AT667" i="1" s="1"/>
  <c r="Q667" i="1"/>
  <c r="AU667" i="1" s="1"/>
  <c r="P667" i="1"/>
  <c r="U666" i="1"/>
  <c r="T666" i="1"/>
  <c r="S666" i="1"/>
  <c r="R666" i="1"/>
  <c r="AT666" i="1" s="1"/>
  <c r="Q666" i="1"/>
  <c r="AU666" i="1" s="1"/>
  <c r="P666" i="1"/>
  <c r="U665" i="1"/>
  <c r="T665" i="1"/>
  <c r="S665" i="1"/>
  <c r="U662" i="1"/>
  <c r="T662" i="1"/>
  <c r="S662" i="1"/>
  <c r="U659" i="1"/>
  <c r="T659" i="1"/>
  <c r="S659" i="1"/>
  <c r="R659" i="1"/>
  <c r="AT659" i="1" s="1"/>
  <c r="Q659" i="1"/>
  <c r="AU659" i="1" s="1"/>
  <c r="P659" i="1"/>
  <c r="U658" i="1"/>
  <c r="T658" i="1"/>
  <c r="S658" i="1"/>
  <c r="R658" i="1"/>
  <c r="AT658" i="1" s="1"/>
  <c r="Q658" i="1"/>
  <c r="AU658" i="1" s="1"/>
  <c r="P658" i="1"/>
  <c r="U657" i="1"/>
  <c r="T657" i="1"/>
  <c r="S657" i="1"/>
  <c r="U655" i="1"/>
  <c r="T655" i="1"/>
  <c r="S655" i="1"/>
  <c r="R655" i="1"/>
  <c r="AT655" i="1" s="1"/>
  <c r="U654" i="1"/>
  <c r="T654" i="1"/>
  <c r="S654" i="1"/>
  <c r="R654" i="1"/>
  <c r="AT654" i="1" s="1"/>
  <c r="Q654" i="1"/>
  <c r="AU654" i="1" s="1"/>
  <c r="P654" i="1"/>
  <c r="U653" i="1"/>
  <c r="T653" i="1"/>
  <c r="S653" i="1"/>
  <c r="R653" i="1"/>
  <c r="AT653" i="1" s="1"/>
  <c r="Q653" i="1"/>
  <c r="AU653" i="1" s="1"/>
  <c r="P653" i="1"/>
  <c r="U652" i="1"/>
  <c r="T652" i="1"/>
  <c r="S652" i="1"/>
  <c r="R652" i="1"/>
  <c r="AT652" i="1" s="1"/>
  <c r="Q652" i="1"/>
  <c r="AU652" i="1" s="1"/>
  <c r="P652" i="1"/>
  <c r="U651" i="1"/>
  <c r="T651" i="1"/>
  <c r="S651" i="1"/>
  <c r="R651" i="1"/>
  <c r="AT651" i="1" s="1"/>
  <c r="Q651" i="1"/>
  <c r="AU651" i="1" s="1"/>
  <c r="P651" i="1"/>
  <c r="U650" i="1"/>
  <c r="T650" i="1"/>
  <c r="S650" i="1"/>
  <c r="U649" i="1"/>
  <c r="T649" i="1"/>
  <c r="S649" i="1"/>
  <c r="R649" i="1"/>
  <c r="AT649" i="1" s="1"/>
  <c r="Q649" i="1"/>
  <c r="AU649" i="1" s="1"/>
  <c r="P649" i="1"/>
  <c r="U648" i="1"/>
  <c r="T648" i="1"/>
  <c r="S648" i="1"/>
  <c r="R648" i="1"/>
  <c r="AT648" i="1" s="1"/>
  <c r="Q648" i="1"/>
  <c r="AU648" i="1" s="1"/>
  <c r="P648" i="1"/>
  <c r="U647" i="1"/>
  <c r="T647" i="1"/>
  <c r="S647" i="1"/>
  <c r="R647" i="1"/>
  <c r="AT647" i="1" s="1"/>
  <c r="Q647" i="1"/>
  <c r="AU647" i="1" s="1"/>
  <c r="P647" i="1"/>
  <c r="U646" i="1"/>
  <c r="T646" i="1"/>
  <c r="S646" i="1"/>
  <c r="R646" i="1"/>
  <c r="AT646" i="1" s="1"/>
  <c r="Q646" i="1"/>
  <c r="AU646" i="1" s="1"/>
  <c r="P646" i="1"/>
  <c r="U644" i="1"/>
  <c r="T644" i="1"/>
  <c r="S644" i="1"/>
  <c r="R644" i="1"/>
  <c r="AT644" i="1" s="1"/>
  <c r="Q644" i="1"/>
  <c r="AU644" i="1" s="1"/>
  <c r="P644" i="1"/>
  <c r="U643" i="1"/>
  <c r="T643" i="1"/>
  <c r="S643" i="1"/>
  <c r="U642" i="1"/>
  <c r="T642" i="1"/>
  <c r="S642" i="1"/>
  <c r="U641" i="1"/>
  <c r="T641" i="1"/>
  <c r="S641" i="1"/>
  <c r="R641" i="1"/>
  <c r="AT641" i="1" s="1"/>
  <c r="Q641" i="1"/>
  <c r="AU641" i="1" s="1"/>
  <c r="P641" i="1"/>
  <c r="U640" i="1"/>
  <c r="T640" i="1"/>
  <c r="S640" i="1"/>
  <c r="U639" i="1"/>
  <c r="T639" i="1"/>
  <c r="S639" i="1"/>
  <c r="U638" i="1"/>
  <c r="T638" i="1"/>
  <c r="S638" i="1"/>
  <c r="R638" i="1"/>
  <c r="AT638" i="1" s="1"/>
  <c r="Q638" i="1"/>
  <c r="AU638" i="1" s="1"/>
  <c r="P638" i="1"/>
  <c r="U637" i="1"/>
  <c r="T637" i="1"/>
  <c r="S637" i="1"/>
  <c r="U636" i="1"/>
  <c r="T636" i="1"/>
  <c r="S636" i="1"/>
  <c r="U635" i="1"/>
  <c r="T635" i="1"/>
  <c r="S635" i="1"/>
  <c r="R635" i="1"/>
  <c r="AT635" i="1" s="1"/>
  <c r="Q635" i="1"/>
  <c r="AU635" i="1" s="1"/>
  <c r="P635" i="1"/>
  <c r="U634" i="1"/>
  <c r="T634" i="1"/>
  <c r="S634" i="1"/>
  <c r="U633" i="1"/>
  <c r="T633" i="1"/>
  <c r="S633" i="1"/>
  <c r="U632" i="1"/>
  <c r="T632" i="1"/>
  <c r="S632" i="1"/>
  <c r="U631" i="1"/>
  <c r="T631" i="1"/>
  <c r="S631" i="1"/>
  <c r="U630" i="1"/>
  <c r="T630" i="1"/>
  <c r="S630" i="1"/>
  <c r="R630" i="1"/>
  <c r="AT630" i="1" s="1"/>
  <c r="Q630" i="1"/>
  <c r="AU630" i="1" s="1"/>
  <c r="P630" i="1"/>
  <c r="U629" i="1"/>
  <c r="T629" i="1"/>
  <c r="S629" i="1"/>
  <c r="R629" i="1"/>
  <c r="AT629" i="1" s="1"/>
  <c r="Q629" i="1"/>
  <c r="AU629" i="1" s="1"/>
  <c r="P629" i="1"/>
  <c r="U628" i="1"/>
  <c r="T628" i="1"/>
  <c r="S628" i="1"/>
  <c r="U627" i="1"/>
  <c r="T627" i="1"/>
  <c r="S627" i="1"/>
  <c r="R627" i="1"/>
  <c r="AT627" i="1" s="1"/>
  <c r="Q627" i="1"/>
  <c r="AU627" i="1" s="1"/>
  <c r="P627" i="1"/>
  <c r="U626" i="1"/>
  <c r="T626" i="1"/>
  <c r="S626" i="1"/>
  <c r="U625" i="1"/>
  <c r="T625" i="1"/>
  <c r="S625" i="1"/>
  <c r="R625" i="1"/>
  <c r="AT625" i="1" s="1"/>
  <c r="Q625" i="1"/>
  <c r="AU625" i="1" s="1"/>
  <c r="P625" i="1"/>
  <c r="U624" i="1"/>
  <c r="T624" i="1"/>
  <c r="S624" i="1"/>
  <c r="R624" i="1"/>
  <c r="AT624" i="1" s="1"/>
  <c r="Q624" i="1"/>
  <c r="AU624" i="1" s="1"/>
  <c r="P624" i="1"/>
  <c r="U623" i="1"/>
  <c r="T623" i="1"/>
  <c r="S623" i="1"/>
  <c r="U622" i="1"/>
  <c r="T622" i="1"/>
  <c r="S622" i="1"/>
  <c r="R622" i="1"/>
  <c r="AT622" i="1" s="1"/>
  <c r="Q622" i="1"/>
  <c r="AU622" i="1" s="1"/>
  <c r="P622" i="1"/>
  <c r="U621" i="1"/>
  <c r="T621" i="1"/>
  <c r="S621" i="1"/>
  <c r="U620" i="1"/>
  <c r="T620" i="1"/>
  <c r="S620" i="1"/>
  <c r="U619" i="1"/>
  <c r="T619" i="1"/>
  <c r="S619" i="1"/>
  <c r="R619" i="1"/>
  <c r="AT619" i="1" s="1"/>
  <c r="Q619" i="1"/>
  <c r="AU619" i="1" s="1"/>
  <c r="P619" i="1"/>
  <c r="U618" i="1"/>
  <c r="T618" i="1"/>
  <c r="S618" i="1"/>
  <c r="R618" i="1"/>
  <c r="AT618" i="1" s="1"/>
  <c r="Q618" i="1"/>
  <c r="AU618" i="1" s="1"/>
  <c r="P618" i="1"/>
  <c r="U617" i="1"/>
  <c r="T617" i="1"/>
  <c r="S617" i="1"/>
  <c r="R617" i="1"/>
  <c r="AT617" i="1" s="1"/>
  <c r="Q617" i="1"/>
  <c r="AU617" i="1" s="1"/>
  <c r="P617" i="1"/>
  <c r="U616" i="1"/>
  <c r="T616" i="1"/>
  <c r="S616" i="1"/>
  <c r="U615" i="1"/>
  <c r="T615" i="1"/>
  <c r="S615" i="1"/>
  <c r="R615" i="1"/>
  <c r="AT615" i="1" s="1"/>
  <c r="Q615" i="1"/>
  <c r="AU615" i="1" s="1"/>
  <c r="P615" i="1"/>
  <c r="U614" i="1"/>
  <c r="T614" i="1"/>
  <c r="S614" i="1"/>
  <c r="R614" i="1"/>
  <c r="AT614" i="1" s="1"/>
  <c r="Q614" i="1"/>
  <c r="AU614" i="1" s="1"/>
  <c r="P614" i="1"/>
  <c r="U613" i="1"/>
  <c r="T613" i="1"/>
  <c r="S613" i="1"/>
  <c r="U612" i="1"/>
  <c r="T612" i="1"/>
  <c r="S612" i="1"/>
  <c r="U611" i="1"/>
  <c r="T611" i="1"/>
  <c r="S611" i="1"/>
  <c r="U610" i="1"/>
  <c r="T610" i="1"/>
  <c r="S610" i="1"/>
  <c r="U609" i="1"/>
  <c r="T609" i="1"/>
  <c r="S609" i="1"/>
  <c r="R609" i="1"/>
  <c r="AT609" i="1" s="1"/>
  <c r="Q609" i="1"/>
  <c r="AU609" i="1" s="1"/>
  <c r="P609" i="1"/>
  <c r="U608" i="1"/>
  <c r="T608" i="1"/>
  <c r="S608" i="1"/>
  <c r="U607" i="1"/>
  <c r="T607" i="1"/>
  <c r="S607" i="1"/>
  <c r="R607" i="1"/>
  <c r="AT607" i="1" s="1"/>
  <c r="Q607" i="1"/>
  <c r="AU607" i="1" s="1"/>
  <c r="P607" i="1"/>
  <c r="U606" i="1"/>
  <c r="T606" i="1"/>
  <c r="S606" i="1"/>
  <c r="R606" i="1"/>
  <c r="AT606" i="1" s="1"/>
  <c r="Q606" i="1"/>
  <c r="AU606" i="1" s="1"/>
  <c r="P606" i="1"/>
  <c r="U605" i="1"/>
  <c r="T605" i="1"/>
  <c r="S605" i="1"/>
  <c r="R605" i="1"/>
  <c r="AT605" i="1" s="1"/>
  <c r="Q605" i="1"/>
  <c r="AU605" i="1" s="1"/>
  <c r="P605" i="1"/>
  <c r="U604" i="1"/>
  <c r="T604" i="1"/>
  <c r="S604" i="1"/>
  <c r="R604" i="1"/>
  <c r="AT604" i="1" s="1"/>
  <c r="Q604" i="1"/>
  <c r="AU604" i="1" s="1"/>
  <c r="P604" i="1"/>
  <c r="U603" i="1"/>
  <c r="T603" i="1"/>
  <c r="S603" i="1"/>
  <c r="R603" i="1"/>
  <c r="AT603" i="1" s="1"/>
  <c r="Q603" i="1"/>
  <c r="AU603" i="1" s="1"/>
  <c r="P603" i="1"/>
  <c r="U602" i="1"/>
  <c r="T602" i="1"/>
  <c r="S602" i="1"/>
  <c r="R602" i="1"/>
  <c r="AT602" i="1" s="1"/>
  <c r="Q602" i="1"/>
  <c r="AU602" i="1" s="1"/>
  <c r="P602" i="1"/>
  <c r="U601" i="1"/>
  <c r="T601" i="1"/>
  <c r="S601" i="1"/>
  <c r="U600" i="1"/>
  <c r="T600" i="1"/>
  <c r="S600" i="1"/>
  <c r="R600" i="1"/>
  <c r="AT600" i="1" s="1"/>
  <c r="Q600" i="1"/>
  <c r="AU600" i="1" s="1"/>
  <c r="P600" i="1"/>
  <c r="U599" i="1"/>
  <c r="T599" i="1"/>
  <c r="S599" i="1"/>
  <c r="R599" i="1"/>
  <c r="AT599" i="1" s="1"/>
  <c r="Q599" i="1"/>
  <c r="AU599" i="1" s="1"/>
  <c r="P599" i="1"/>
  <c r="U598" i="1"/>
  <c r="T598" i="1"/>
  <c r="S598" i="1"/>
  <c r="R598" i="1"/>
  <c r="AT598" i="1" s="1"/>
  <c r="Q598" i="1"/>
  <c r="AU598" i="1" s="1"/>
  <c r="P598" i="1"/>
  <c r="U597" i="1"/>
  <c r="T597" i="1"/>
  <c r="S597" i="1"/>
  <c r="R597" i="1"/>
  <c r="AT597" i="1" s="1"/>
  <c r="Q597" i="1"/>
  <c r="AU597" i="1" s="1"/>
  <c r="P597" i="1"/>
  <c r="U596" i="1"/>
  <c r="T596" i="1"/>
  <c r="S596" i="1"/>
  <c r="R596" i="1"/>
  <c r="AT596" i="1" s="1"/>
  <c r="Q596" i="1"/>
  <c r="AU596" i="1" s="1"/>
  <c r="P596" i="1"/>
  <c r="U595" i="1"/>
  <c r="T595" i="1"/>
  <c r="S595" i="1"/>
  <c r="R595" i="1"/>
  <c r="AT595" i="1" s="1"/>
  <c r="Q595" i="1"/>
  <c r="AU595" i="1" s="1"/>
  <c r="P595" i="1"/>
  <c r="U594" i="1"/>
  <c r="T594" i="1"/>
  <c r="S594" i="1"/>
  <c r="R594" i="1"/>
  <c r="AT594" i="1" s="1"/>
  <c r="Q594" i="1"/>
  <c r="AU594" i="1" s="1"/>
  <c r="P594" i="1"/>
  <c r="U593" i="1"/>
  <c r="T593" i="1"/>
  <c r="S593" i="1"/>
  <c r="U592" i="1"/>
  <c r="T592" i="1"/>
  <c r="S592" i="1"/>
  <c r="R592" i="1"/>
  <c r="AT592" i="1" s="1"/>
  <c r="Q592" i="1"/>
  <c r="AU592" i="1" s="1"/>
  <c r="P592" i="1"/>
  <c r="U591" i="1"/>
  <c r="T591" i="1"/>
  <c r="S591" i="1"/>
  <c r="R591" i="1"/>
  <c r="AT591" i="1" s="1"/>
  <c r="Q591" i="1"/>
  <c r="AU591" i="1" s="1"/>
  <c r="P591" i="1"/>
  <c r="U590" i="1"/>
  <c r="T590" i="1"/>
  <c r="S590" i="1"/>
  <c r="U589" i="1"/>
  <c r="T589" i="1"/>
  <c r="S589" i="1"/>
  <c r="U588" i="1"/>
  <c r="T588" i="1"/>
  <c r="S588" i="1"/>
  <c r="U587" i="1"/>
  <c r="T587" i="1"/>
  <c r="S587" i="1"/>
  <c r="U586" i="1"/>
  <c r="T586" i="1"/>
  <c r="S586" i="1"/>
  <c r="U585" i="1"/>
  <c r="T585" i="1"/>
  <c r="S585" i="1"/>
  <c r="R585" i="1"/>
  <c r="AT585" i="1" s="1"/>
  <c r="Q585" i="1"/>
  <c r="AU585" i="1" s="1"/>
  <c r="P585" i="1"/>
  <c r="U584" i="1"/>
  <c r="T584" i="1"/>
  <c r="S584" i="1"/>
  <c r="U583" i="1"/>
  <c r="T583" i="1"/>
  <c r="S583" i="1"/>
  <c r="R583" i="1"/>
  <c r="AT583" i="1" s="1"/>
  <c r="Q583" i="1"/>
  <c r="AU583" i="1" s="1"/>
  <c r="P583" i="1"/>
  <c r="U582" i="1"/>
  <c r="T582" i="1"/>
  <c r="S582" i="1"/>
  <c r="U581" i="1"/>
  <c r="T581" i="1"/>
  <c r="S581" i="1"/>
  <c r="R581" i="1"/>
  <c r="AT581" i="1" s="1"/>
  <c r="Q581" i="1"/>
  <c r="AU581" i="1" s="1"/>
  <c r="P581" i="1"/>
  <c r="U580" i="1"/>
  <c r="T580" i="1"/>
  <c r="S580" i="1"/>
  <c r="U579" i="1"/>
  <c r="T579" i="1"/>
  <c r="S579" i="1"/>
  <c r="R579" i="1"/>
  <c r="AT579" i="1" s="1"/>
  <c r="Q579" i="1"/>
  <c r="AU579" i="1" s="1"/>
  <c r="P579" i="1"/>
  <c r="U578" i="1"/>
  <c r="T578" i="1"/>
  <c r="S578" i="1"/>
  <c r="R578" i="1"/>
  <c r="AT578" i="1" s="1"/>
  <c r="Q578" i="1"/>
  <c r="AU578" i="1" s="1"/>
  <c r="P578" i="1"/>
  <c r="U577" i="1"/>
  <c r="T577" i="1"/>
  <c r="S577" i="1"/>
  <c r="U576" i="1"/>
  <c r="T576" i="1"/>
  <c r="S576" i="1"/>
  <c r="R576" i="1"/>
  <c r="AT576" i="1" s="1"/>
  <c r="Q576" i="1"/>
  <c r="AU576" i="1" s="1"/>
  <c r="P576" i="1"/>
  <c r="U575" i="1"/>
  <c r="T575" i="1"/>
  <c r="S575" i="1"/>
  <c r="U574" i="1"/>
  <c r="T574" i="1"/>
  <c r="S574" i="1"/>
  <c r="R574" i="1"/>
  <c r="AT574" i="1" s="1"/>
  <c r="Q574" i="1"/>
  <c r="AU574" i="1" s="1"/>
  <c r="P574" i="1"/>
  <c r="U573" i="1"/>
  <c r="T573" i="1"/>
  <c r="S573" i="1"/>
  <c r="R573" i="1"/>
  <c r="AT573" i="1" s="1"/>
  <c r="Q573" i="1"/>
  <c r="AU573" i="1" s="1"/>
  <c r="P573" i="1"/>
  <c r="U572" i="1"/>
  <c r="T572" i="1"/>
  <c r="S572" i="1"/>
  <c r="U570" i="1"/>
  <c r="T570" i="1"/>
  <c r="S570" i="1"/>
  <c r="R570" i="1"/>
  <c r="AT570" i="1" s="1"/>
  <c r="Q570" i="1"/>
  <c r="AU570" i="1" s="1"/>
  <c r="P570" i="1"/>
  <c r="U569" i="1"/>
  <c r="T569" i="1"/>
  <c r="S569" i="1"/>
  <c r="R569" i="1"/>
  <c r="AT569" i="1" s="1"/>
  <c r="Q569" i="1"/>
  <c r="AU569" i="1" s="1"/>
  <c r="P569" i="1"/>
  <c r="U568" i="1"/>
  <c r="T568" i="1"/>
  <c r="S568" i="1"/>
  <c r="U567" i="1"/>
  <c r="T567" i="1"/>
  <c r="S567" i="1"/>
  <c r="R567" i="1"/>
  <c r="AT567" i="1" s="1"/>
  <c r="Q567" i="1"/>
  <c r="AU567" i="1" s="1"/>
  <c r="P567" i="1"/>
  <c r="U566" i="1"/>
  <c r="T566" i="1"/>
  <c r="S566" i="1"/>
  <c r="U565" i="1"/>
  <c r="T565" i="1"/>
  <c r="S565" i="1"/>
  <c r="U564" i="1"/>
  <c r="T564" i="1"/>
  <c r="S564" i="1"/>
  <c r="R564" i="1"/>
  <c r="AT564" i="1" s="1"/>
  <c r="Q564" i="1"/>
  <c r="AU564" i="1" s="1"/>
  <c r="P564" i="1"/>
  <c r="U563" i="1"/>
  <c r="T563" i="1"/>
  <c r="S563" i="1"/>
  <c r="U562" i="1"/>
  <c r="T562" i="1"/>
  <c r="S562" i="1"/>
  <c r="R562" i="1"/>
  <c r="AT562" i="1" s="1"/>
  <c r="Q562" i="1"/>
  <c r="AU562" i="1" s="1"/>
  <c r="P562" i="1"/>
  <c r="U561" i="1"/>
  <c r="T561" i="1"/>
  <c r="S561" i="1"/>
  <c r="R561" i="1"/>
  <c r="AT561" i="1" s="1"/>
  <c r="Q561" i="1"/>
  <c r="AU561" i="1" s="1"/>
  <c r="P561" i="1"/>
  <c r="U560" i="1"/>
  <c r="T560" i="1"/>
  <c r="S560" i="1"/>
  <c r="U559" i="1"/>
  <c r="T559" i="1"/>
  <c r="S559" i="1"/>
  <c r="R559" i="1"/>
  <c r="AT559" i="1" s="1"/>
  <c r="Q559" i="1"/>
  <c r="AU559" i="1" s="1"/>
  <c r="P559" i="1"/>
  <c r="U558" i="1"/>
  <c r="T558" i="1"/>
  <c r="S558" i="1"/>
  <c r="R558" i="1"/>
  <c r="AT558" i="1" s="1"/>
  <c r="Q558" i="1"/>
  <c r="AU558" i="1" s="1"/>
  <c r="P558" i="1"/>
  <c r="U557" i="1"/>
  <c r="T557" i="1"/>
  <c r="S557" i="1"/>
  <c r="U556" i="1"/>
  <c r="T556" i="1"/>
  <c r="S556" i="1"/>
  <c r="R556" i="1"/>
  <c r="AT556" i="1" s="1"/>
  <c r="Q556" i="1"/>
  <c r="AU556" i="1" s="1"/>
  <c r="P556" i="1"/>
  <c r="U554" i="1"/>
  <c r="T554" i="1"/>
  <c r="S554" i="1"/>
  <c r="U553" i="1"/>
  <c r="T553" i="1"/>
  <c r="S553" i="1"/>
  <c r="U552" i="1"/>
  <c r="T552" i="1"/>
  <c r="S552" i="1"/>
  <c r="U551" i="1"/>
  <c r="T551" i="1"/>
  <c r="S551" i="1"/>
  <c r="U550" i="1"/>
  <c r="T550" i="1"/>
  <c r="S550" i="1"/>
  <c r="R550" i="1"/>
  <c r="AT550" i="1" s="1"/>
  <c r="Q550" i="1"/>
  <c r="AU550" i="1" s="1"/>
  <c r="P550" i="1"/>
  <c r="U549" i="1"/>
  <c r="T549" i="1"/>
  <c r="S549" i="1"/>
  <c r="U548" i="1"/>
  <c r="T548" i="1"/>
  <c r="S548" i="1"/>
  <c r="R548" i="1"/>
  <c r="AT548" i="1" s="1"/>
  <c r="Q548" i="1"/>
  <c r="AU548" i="1" s="1"/>
  <c r="P548" i="1"/>
  <c r="U547" i="1"/>
  <c r="T547" i="1"/>
  <c r="S547" i="1"/>
  <c r="U546" i="1"/>
  <c r="T546" i="1"/>
  <c r="S546" i="1"/>
  <c r="R546" i="1"/>
  <c r="AT546" i="1" s="1"/>
  <c r="Q546" i="1"/>
  <c r="AU546" i="1" s="1"/>
  <c r="P546" i="1"/>
  <c r="U545" i="1"/>
  <c r="T545" i="1"/>
  <c r="S545" i="1"/>
  <c r="R545" i="1"/>
  <c r="AT545" i="1" s="1"/>
  <c r="Q545" i="1"/>
  <c r="AU545" i="1" s="1"/>
  <c r="P545" i="1"/>
  <c r="U544" i="1"/>
  <c r="T544" i="1"/>
  <c r="S544" i="1"/>
  <c r="R544" i="1"/>
  <c r="AT544" i="1" s="1"/>
  <c r="Q544" i="1"/>
  <c r="AU544" i="1" s="1"/>
  <c r="P544" i="1"/>
  <c r="U543" i="1"/>
  <c r="T543" i="1"/>
  <c r="S543" i="1"/>
  <c r="R543" i="1"/>
  <c r="AT543" i="1" s="1"/>
  <c r="Q543" i="1"/>
  <c r="AU543" i="1" s="1"/>
  <c r="P543" i="1"/>
  <c r="U542" i="1"/>
  <c r="T542" i="1"/>
  <c r="S542" i="1"/>
  <c r="U541" i="1"/>
  <c r="T541" i="1"/>
  <c r="S541" i="1"/>
  <c r="R541" i="1"/>
  <c r="AT541" i="1" s="1"/>
  <c r="Q541" i="1"/>
  <c r="AU541" i="1" s="1"/>
  <c r="P541" i="1"/>
  <c r="U540" i="1"/>
  <c r="T540" i="1"/>
  <c r="S540" i="1"/>
  <c r="U539" i="1"/>
  <c r="T539" i="1"/>
  <c r="S539" i="1"/>
  <c r="R539" i="1"/>
  <c r="AT539" i="1" s="1"/>
  <c r="Q539" i="1"/>
  <c r="AU539" i="1" s="1"/>
  <c r="P539" i="1"/>
  <c r="U538" i="1"/>
  <c r="T538" i="1"/>
  <c r="S538" i="1"/>
  <c r="U537" i="1"/>
  <c r="T537" i="1"/>
  <c r="S537" i="1"/>
  <c r="U536" i="1"/>
  <c r="T536" i="1"/>
  <c r="S536" i="1"/>
  <c r="U535" i="1"/>
  <c r="T535" i="1"/>
  <c r="S535" i="1"/>
  <c r="U534" i="1"/>
  <c r="T534" i="1"/>
  <c r="S534" i="1"/>
  <c r="R534" i="1"/>
  <c r="AT534" i="1" s="1"/>
  <c r="Q534" i="1"/>
  <c r="AU534" i="1" s="1"/>
  <c r="P534" i="1"/>
  <c r="U533" i="1"/>
  <c r="T533" i="1"/>
  <c r="S533" i="1"/>
  <c r="R533" i="1"/>
  <c r="AT533" i="1" s="1"/>
  <c r="Q533" i="1"/>
  <c r="AU533" i="1" s="1"/>
  <c r="P533" i="1"/>
  <c r="U532" i="1"/>
  <c r="T532" i="1"/>
  <c r="S532" i="1"/>
  <c r="R532" i="1"/>
  <c r="AT532" i="1" s="1"/>
  <c r="Q532" i="1"/>
  <c r="AU532" i="1" s="1"/>
  <c r="P532" i="1"/>
  <c r="U531" i="1"/>
  <c r="T531" i="1"/>
  <c r="S531" i="1"/>
  <c r="U530" i="1"/>
  <c r="T530" i="1"/>
  <c r="S530" i="1"/>
  <c r="U529" i="1"/>
  <c r="T529" i="1"/>
  <c r="S529" i="1"/>
  <c r="R529" i="1"/>
  <c r="AT529" i="1" s="1"/>
  <c r="Q529" i="1"/>
  <c r="AU529" i="1" s="1"/>
  <c r="P529" i="1"/>
  <c r="U528" i="1"/>
  <c r="T528" i="1"/>
  <c r="S528" i="1"/>
  <c r="R528" i="1"/>
  <c r="AT528" i="1" s="1"/>
  <c r="Q528" i="1"/>
  <c r="AU528" i="1" s="1"/>
  <c r="P528" i="1"/>
  <c r="U527" i="1"/>
  <c r="T527" i="1"/>
  <c r="S527" i="1"/>
  <c r="U526" i="1"/>
  <c r="T526" i="1"/>
  <c r="S526" i="1"/>
  <c r="U525" i="1"/>
  <c r="T525" i="1"/>
  <c r="S525" i="1"/>
  <c r="R525" i="1"/>
  <c r="AT525" i="1" s="1"/>
  <c r="Q525" i="1"/>
  <c r="AU525" i="1" s="1"/>
  <c r="P525" i="1"/>
  <c r="U524" i="1"/>
  <c r="T524" i="1"/>
  <c r="S524" i="1"/>
  <c r="U523" i="1"/>
  <c r="T523" i="1"/>
  <c r="S523" i="1"/>
  <c r="R523" i="1"/>
  <c r="AT523" i="1" s="1"/>
  <c r="Q523" i="1"/>
  <c r="AU523" i="1" s="1"/>
  <c r="P523" i="1"/>
  <c r="U522" i="1"/>
  <c r="T522" i="1"/>
  <c r="S522" i="1"/>
  <c r="U521" i="1"/>
  <c r="T521" i="1"/>
  <c r="S521" i="1"/>
  <c r="R521" i="1"/>
  <c r="AT521" i="1" s="1"/>
  <c r="Q521" i="1"/>
  <c r="AU521" i="1" s="1"/>
  <c r="P521" i="1"/>
  <c r="U520" i="1"/>
  <c r="T520" i="1"/>
  <c r="S520" i="1"/>
  <c r="U519" i="1"/>
  <c r="T519" i="1"/>
  <c r="S519" i="1"/>
  <c r="U518" i="1"/>
  <c r="T518" i="1"/>
  <c r="S518" i="1"/>
  <c r="R518" i="1"/>
  <c r="AT518" i="1" s="1"/>
  <c r="Q518" i="1"/>
  <c r="AU518" i="1" s="1"/>
  <c r="P518" i="1"/>
  <c r="U517" i="1"/>
  <c r="T517" i="1"/>
  <c r="S517" i="1"/>
  <c r="U516" i="1"/>
  <c r="T516" i="1"/>
  <c r="S516" i="1"/>
  <c r="R516" i="1"/>
  <c r="AT516" i="1" s="1"/>
  <c r="Q516" i="1"/>
  <c r="AU516" i="1" s="1"/>
  <c r="P516" i="1"/>
  <c r="U515" i="1"/>
  <c r="T515" i="1"/>
  <c r="S515" i="1"/>
  <c r="R515" i="1"/>
  <c r="AT515" i="1" s="1"/>
  <c r="Q515" i="1"/>
  <c r="AU515" i="1" s="1"/>
  <c r="P515" i="1"/>
  <c r="U514" i="1"/>
  <c r="T514" i="1"/>
  <c r="S514" i="1"/>
  <c r="U513" i="1"/>
  <c r="T513" i="1"/>
  <c r="S513" i="1"/>
  <c r="R513" i="1"/>
  <c r="AT513" i="1" s="1"/>
  <c r="Q513" i="1"/>
  <c r="AU513" i="1" s="1"/>
  <c r="P513" i="1"/>
  <c r="U512" i="1"/>
  <c r="T512" i="1"/>
  <c r="S512" i="1"/>
  <c r="R512" i="1"/>
  <c r="AT512" i="1" s="1"/>
  <c r="Q512" i="1"/>
  <c r="AU512" i="1" s="1"/>
  <c r="P512" i="1"/>
  <c r="U511" i="1"/>
  <c r="T511" i="1"/>
  <c r="S511" i="1"/>
  <c r="R511" i="1"/>
  <c r="AT511" i="1" s="1"/>
  <c r="Q511" i="1"/>
  <c r="AU511" i="1" s="1"/>
  <c r="P511" i="1"/>
  <c r="U510" i="1"/>
  <c r="T510" i="1"/>
  <c r="S510" i="1"/>
  <c r="R510" i="1"/>
  <c r="AT510" i="1" s="1"/>
  <c r="Q510" i="1"/>
  <c r="AU510" i="1" s="1"/>
  <c r="P510" i="1"/>
  <c r="U509" i="1"/>
  <c r="T509" i="1"/>
  <c r="S509" i="1"/>
  <c r="R509" i="1"/>
  <c r="AT509" i="1" s="1"/>
  <c r="Q509" i="1"/>
  <c r="AU509" i="1" s="1"/>
  <c r="P509" i="1"/>
  <c r="U508" i="1"/>
  <c r="T508" i="1"/>
  <c r="S508" i="1"/>
  <c r="U507" i="1"/>
  <c r="T507" i="1"/>
  <c r="S507" i="1"/>
  <c r="R507" i="1"/>
  <c r="AT507" i="1" s="1"/>
  <c r="Q507" i="1"/>
  <c r="AU507" i="1" s="1"/>
  <c r="P507" i="1"/>
  <c r="U506" i="1"/>
  <c r="T506" i="1"/>
  <c r="S506" i="1"/>
  <c r="R506" i="1"/>
  <c r="AT506" i="1" s="1"/>
  <c r="Q506" i="1"/>
  <c r="AU506" i="1" s="1"/>
  <c r="P506" i="1"/>
  <c r="U505" i="1"/>
  <c r="T505" i="1"/>
  <c r="S505" i="1"/>
  <c r="R505" i="1"/>
  <c r="AT505" i="1" s="1"/>
  <c r="Q505" i="1"/>
  <c r="AU505" i="1" s="1"/>
  <c r="P505" i="1"/>
  <c r="U504" i="1"/>
  <c r="T504" i="1"/>
  <c r="S504" i="1"/>
  <c r="R504" i="1"/>
  <c r="AT504" i="1" s="1"/>
  <c r="Q504" i="1"/>
  <c r="AU504" i="1" s="1"/>
  <c r="P504" i="1"/>
  <c r="U503" i="1"/>
  <c r="T503" i="1"/>
  <c r="S503" i="1"/>
  <c r="R503" i="1"/>
  <c r="AT503" i="1" s="1"/>
  <c r="Q503" i="1"/>
  <c r="AU503" i="1" s="1"/>
  <c r="P503" i="1"/>
  <c r="U502" i="1"/>
  <c r="T502" i="1"/>
  <c r="S502" i="1"/>
  <c r="R502" i="1"/>
  <c r="AT502" i="1" s="1"/>
  <c r="Q502" i="1"/>
  <c r="AU502" i="1" s="1"/>
  <c r="P502" i="1"/>
  <c r="U501" i="1"/>
  <c r="T501" i="1"/>
  <c r="S501" i="1"/>
  <c r="U500" i="1"/>
  <c r="T500" i="1"/>
  <c r="S500" i="1"/>
  <c r="U499" i="1"/>
  <c r="T499" i="1"/>
  <c r="S499" i="1"/>
  <c r="U498" i="1"/>
  <c r="T498" i="1"/>
  <c r="S498" i="1"/>
  <c r="R498" i="1"/>
  <c r="AT498" i="1" s="1"/>
  <c r="Q498" i="1"/>
  <c r="AU498" i="1" s="1"/>
  <c r="P498" i="1"/>
  <c r="U497" i="1"/>
  <c r="T497" i="1"/>
  <c r="S497" i="1"/>
  <c r="U496" i="1"/>
  <c r="T496" i="1"/>
  <c r="S496" i="1"/>
  <c r="R496" i="1"/>
  <c r="AT496" i="1" s="1"/>
  <c r="Q496" i="1"/>
  <c r="AU496" i="1" s="1"/>
  <c r="P496" i="1"/>
  <c r="U495" i="1"/>
  <c r="T495" i="1"/>
  <c r="S495" i="1"/>
  <c r="R495" i="1"/>
  <c r="AT495" i="1" s="1"/>
  <c r="Q495" i="1"/>
  <c r="AU495" i="1" s="1"/>
  <c r="P495" i="1"/>
  <c r="U494" i="1"/>
  <c r="T494" i="1"/>
  <c r="S494" i="1"/>
  <c r="U493" i="1"/>
  <c r="T493" i="1"/>
  <c r="S493" i="1"/>
  <c r="R493" i="1"/>
  <c r="AT493" i="1" s="1"/>
  <c r="Q493" i="1"/>
  <c r="AU493" i="1" s="1"/>
  <c r="P493" i="1"/>
  <c r="U492" i="1"/>
  <c r="T492" i="1"/>
  <c r="S492" i="1"/>
  <c r="U491" i="1"/>
  <c r="T491" i="1"/>
  <c r="S491" i="1"/>
  <c r="R491" i="1"/>
  <c r="AT491" i="1" s="1"/>
  <c r="Q491" i="1"/>
  <c r="AU491" i="1" s="1"/>
  <c r="P491" i="1"/>
  <c r="U490" i="1"/>
  <c r="T490" i="1"/>
  <c r="S490" i="1"/>
  <c r="U489" i="1"/>
  <c r="T489" i="1"/>
  <c r="S489" i="1"/>
  <c r="U488" i="1"/>
  <c r="T488" i="1"/>
  <c r="S488" i="1"/>
  <c r="R488" i="1"/>
  <c r="AT488" i="1" s="1"/>
  <c r="Q488" i="1"/>
  <c r="AU488" i="1" s="1"/>
  <c r="P488" i="1"/>
  <c r="U487" i="1"/>
  <c r="T487" i="1"/>
  <c r="S487" i="1"/>
  <c r="R487" i="1"/>
  <c r="AT487" i="1" s="1"/>
  <c r="Q487" i="1"/>
  <c r="AU487" i="1" s="1"/>
  <c r="P487" i="1"/>
  <c r="U486" i="1"/>
  <c r="T486" i="1"/>
  <c r="S486" i="1"/>
  <c r="R486" i="1"/>
  <c r="AT486" i="1" s="1"/>
  <c r="Q486" i="1"/>
  <c r="AU486" i="1" s="1"/>
  <c r="P486" i="1"/>
  <c r="U485" i="1"/>
  <c r="T485" i="1"/>
  <c r="S485" i="1"/>
  <c r="U484" i="1"/>
  <c r="T484" i="1"/>
  <c r="S484" i="1"/>
  <c r="U483" i="1"/>
  <c r="T483" i="1"/>
  <c r="S483" i="1"/>
  <c r="R483" i="1"/>
  <c r="AT483" i="1" s="1"/>
  <c r="Q483" i="1"/>
  <c r="AU483" i="1" s="1"/>
  <c r="P483" i="1"/>
  <c r="U482" i="1"/>
  <c r="T482" i="1"/>
  <c r="S482" i="1"/>
  <c r="R482" i="1"/>
  <c r="AT482" i="1" s="1"/>
  <c r="Q482" i="1"/>
  <c r="AU482" i="1" s="1"/>
  <c r="P482" i="1"/>
  <c r="U481" i="1"/>
  <c r="T481" i="1"/>
  <c r="S481" i="1"/>
  <c r="R481" i="1"/>
  <c r="AT481" i="1" s="1"/>
  <c r="Q481" i="1"/>
  <c r="AU481" i="1" s="1"/>
  <c r="P481" i="1"/>
  <c r="U480" i="1"/>
  <c r="T480" i="1"/>
  <c r="S480" i="1"/>
  <c r="U479" i="1"/>
  <c r="T479" i="1"/>
  <c r="S479" i="1"/>
  <c r="R479" i="1"/>
  <c r="AT479" i="1" s="1"/>
  <c r="Q479" i="1"/>
  <c r="AU479" i="1" s="1"/>
  <c r="P479" i="1"/>
  <c r="U478" i="1"/>
  <c r="T478" i="1"/>
  <c r="S478" i="1"/>
  <c r="U477" i="1"/>
  <c r="T477" i="1"/>
  <c r="S477" i="1"/>
  <c r="R477" i="1"/>
  <c r="AT477" i="1" s="1"/>
  <c r="Q477" i="1"/>
  <c r="AU477" i="1" s="1"/>
  <c r="P477" i="1"/>
  <c r="U476" i="1"/>
  <c r="T476" i="1"/>
  <c r="S476" i="1"/>
  <c r="U475" i="1"/>
  <c r="T475" i="1"/>
  <c r="S475" i="1"/>
  <c r="R475" i="1"/>
  <c r="AT475" i="1" s="1"/>
  <c r="Q475" i="1"/>
  <c r="AU475" i="1" s="1"/>
  <c r="P475" i="1"/>
  <c r="U474" i="1"/>
  <c r="T474" i="1"/>
  <c r="S474" i="1"/>
  <c r="U473" i="1"/>
  <c r="T473" i="1"/>
  <c r="S473" i="1"/>
  <c r="R473" i="1"/>
  <c r="AT473" i="1" s="1"/>
  <c r="Q473" i="1"/>
  <c r="AU473" i="1" s="1"/>
  <c r="P473" i="1"/>
  <c r="U472" i="1"/>
  <c r="T472" i="1"/>
  <c r="S472" i="1"/>
  <c r="U471" i="1"/>
  <c r="T471" i="1"/>
  <c r="S471" i="1"/>
  <c r="U470" i="1"/>
  <c r="T470" i="1"/>
  <c r="S470" i="1"/>
  <c r="R470" i="1"/>
  <c r="AT470" i="1" s="1"/>
  <c r="Q470" i="1"/>
  <c r="AU470" i="1" s="1"/>
  <c r="P470" i="1"/>
  <c r="U469" i="1"/>
  <c r="T469" i="1"/>
  <c r="S469" i="1"/>
  <c r="R469" i="1"/>
  <c r="AT469" i="1" s="1"/>
  <c r="Q469" i="1"/>
  <c r="AU469" i="1" s="1"/>
  <c r="P469" i="1"/>
  <c r="U468" i="1"/>
  <c r="T468" i="1"/>
  <c r="S468" i="1"/>
  <c r="R468" i="1"/>
  <c r="AT468" i="1" s="1"/>
  <c r="Q468" i="1"/>
  <c r="AU468" i="1" s="1"/>
  <c r="P468" i="1"/>
  <c r="U467" i="1"/>
  <c r="T467" i="1"/>
  <c r="S467" i="1"/>
  <c r="U466" i="1"/>
  <c r="T466" i="1"/>
  <c r="S466" i="1"/>
  <c r="R466" i="1"/>
  <c r="AT466" i="1" s="1"/>
  <c r="Q466" i="1"/>
  <c r="AU466" i="1" s="1"/>
  <c r="P466" i="1"/>
  <c r="U465" i="1"/>
  <c r="T465" i="1"/>
  <c r="S465" i="1"/>
  <c r="U464" i="1"/>
  <c r="T464" i="1"/>
  <c r="S464" i="1"/>
  <c r="R464" i="1"/>
  <c r="AT464" i="1" s="1"/>
  <c r="Q464" i="1"/>
  <c r="AU464" i="1" s="1"/>
  <c r="P464" i="1"/>
  <c r="U463" i="1"/>
  <c r="T463" i="1"/>
  <c r="S463" i="1"/>
  <c r="R463" i="1"/>
  <c r="AT463" i="1" s="1"/>
  <c r="Q463" i="1"/>
  <c r="AU463" i="1" s="1"/>
  <c r="P463" i="1"/>
  <c r="U462" i="1"/>
  <c r="T462" i="1"/>
  <c r="S462" i="1"/>
  <c r="R462" i="1"/>
  <c r="AT462" i="1" s="1"/>
  <c r="Q462" i="1"/>
  <c r="AU462" i="1" s="1"/>
  <c r="P462" i="1"/>
  <c r="U461" i="1"/>
  <c r="T461" i="1"/>
  <c r="S461" i="1"/>
  <c r="U460" i="1"/>
  <c r="T460" i="1"/>
  <c r="S460" i="1"/>
  <c r="R460" i="1"/>
  <c r="AT460" i="1" s="1"/>
  <c r="Q460" i="1"/>
  <c r="AU460" i="1" s="1"/>
  <c r="P460" i="1"/>
  <c r="U459" i="1"/>
  <c r="T459" i="1"/>
  <c r="S459" i="1"/>
  <c r="U458" i="1"/>
  <c r="T458" i="1"/>
  <c r="S458" i="1"/>
  <c r="U457" i="1"/>
  <c r="T457" i="1"/>
  <c r="S457" i="1"/>
  <c r="U456" i="1"/>
  <c r="T456" i="1"/>
  <c r="S456" i="1"/>
  <c r="R456" i="1"/>
  <c r="AT456" i="1" s="1"/>
  <c r="Q456" i="1"/>
  <c r="AU456" i="1" s="1"/>
  <c r="P456" i="1"/>
  <c r="U455" i="1"/>
  <c r="T455" i="1"/>
  <c r="S455" i="1"/>
  <c r="U454" i="1"/>
  <c r="T454" i="1"/>
  <c r="S454" i="1"/>
  <c r="R454" i="1"/>
  <c r="AT454" i="1" s="1"/>
  <c r="Q454" i="1"/>
  <c r="AU454" i="1" s="1"/>
  <c r="P454" i="1"/>
  <c r="U453" i="1"/>
  <c r="T453" i="1"/>
  <c r="S453" i="1"/>
  <c r="R453" i="1"/>
  <c r="AT453" i="1" s="1"/>
  <c r="Q453" i="1"/>
  <c r="AU453" i="1" s="1"/>
  <c r="P453" i="1"/>
  <c r="U452" i="1"/>
  <c r="T452" i="1"/>
  <c r="S452" i="1"/>
  <c r="U451" i="1"/>
  <c r="T451" i="1"/>
  <c r="S451" i="1"/>
  <c r="U450" i="1"/>
  <c r="T450" i="1"/>
  <c r="S450" i="1"/>
  <c r="U449" i="1"/>
  <c r="T449" i="1"/>
  <c r="S449" i="1"/>
  <c r="R449" i="1"/>
  <c r="AT449" i="1" s="1"/>
  <c r="Q449" i="1"/>
  <c r="AU449" i="1" s="1"/>
  <c r="P449" i="1"/>
  <c r="U448" i="1"/>
  <c r="T448" i="1"/>
  <c r="S448" i="1"/>
  <c r="U447" i="1"/>
  <c r="T447" i="1"/>
  <c r="S447" i="1"/>
  <c r="U446" i="1"/>
  <c r="T446" i="1"/>
  <c r="S446" i="1"/>
  <c r="U445" i="1"/>
  <c r="T445" i="1"/>
  <c r="S445" i="1"/>
  <c r="R445" i="1"/>
  <c r="AT445" i="1" s="1"/>
  <c r="Q445" i="1"/>
  <c r="AU445" i="1" s="1"/>
  <c r="P445" i="1"/>
  <c r="U444" i="1"/>
  <c r="T444" i="1"/>
  <c r="S444" i="1"/>
  <c r="R444" i="1"/>
  <c r="AT444" i="1" s="1"/>
  <c r="Q444" i="1"/>
  <c r="AU444" i="1" s="1"/>
  <c r="P444" i="1"/>
  <c r="U443" i="1"/>
  <c r="T443" i="1"/>
  <c r="S443" i="1"/>
  <c r="U442" i="1"/>
  <c r="T442" i="1"/>
  <c r="S442" i="1"/>
  <c r="R442" i="1"/>
  <c r="AT442" i="1" s="1"/>
  <c r="Q442" i="1"/>
  <c r="AU442" i="1" s="1"/>
  <c r="P442" i="1"/>
  <c r="U441" i="1"/>
  <c r="T441" i="1"/>
  <c r="S441" i="1"/>
  <c r="U440" i="1"/>
  <c r="T440" i="1"/>
  <c r="S440" i="1"/>
  <c r="U439" i="1"/>
  <c r="T439" i="1"/>
  <c r="S439" i="1"/>
  <c r="U438" i="1"/>
  <c r="T438" i="1"/>
  <c r="S438" i="1"/>
  <c r="U437" i="1"/>
  <c r="T437" i="1"/>
  <c r="S437" i="1"/>
  <c r="U436" i="1"/>
  <c r="T436" i="1"/>
  <c r="S436" i="1"/>
  <c r="U435" i="1"/>
  <c r="T435" i="1"/>
  <c r="S435" i="1"/>
  <c r="R435" i="1"/>
  <c r="AT435" i="1" s="1"/>
  <c r="Q435" i="1"/>
  <c r="AU435" i="1" s="1"/>
  <c r="P435" i="1"/>
  <c r="U434" i="1"/>
  <c r="T434" i="1"/>
  <c r="S434" i="1"/>
  <c r="R434" i="1"/>
  <c r="AT434" i="1" s="1"/>
  <c r="Q434" i="1"/>
  <c r="AU434" i="1" s="1"/>
  <c r="P434" i="1"/>
  <c r="U433" i="1"/>
  <c r="T433" i="1"/>
  <c r="S433" i="1"/>
  <c r="R433" i="1"/>
  <c r="AT433" i="1" s="1"/>
  <c r="Q433" i="1"/>
  <c r="AU433" i="1" s="1"/>
  <c r="P433" i="1"/>
  <c r="U432" i="1"/>
  <c r="T432" i="1"/>
  <c r="S432" i="1"/>
  <c r="R432" i="1"/>
  <c r="AT432" i="1" s="1"/>
  <c r="Q432" i="1"/>
  <c r="AU432" i="1" s="1"/>
  <c r="P432" i="1"/>
  <c r="U431" i="1"/>
  <c r="T431" i="1"/>
  <c r="S431" i="1"/>
  <c r="R431" i="1"/>
  <c r="AT431" i="1" s="1"/>
  <c r="Q431" i="1"/>
  <c r="AU431" i="1" s="1"/>
  <c r="P431" i="1"/>
  <c r="U430" i="1"/>
  <c r="T430" i="1"/>
  <c r="S430" i="1"/>
  <c r="U429" i="1"/>
  <c r="T429" i="1"/>
  <c r="S429" i="1"/>
  <c r="R429" i="1"/>
  <c r="AT429" i="1" s="1"/>
  <c r="Q429" i="1"/>
  <c r="AU429" i="1" s="1"/>
  <c r="P429" i="1"/>
  <c r="U428" i="1"/>
  <c r="T428" i="1"/>
  <c r="S428" i="1"/>
  <c r="U427" i="1"/>
  <c r="T427" i="1"/>
  <c r="S427" i="1"/>
  <c r="R427" i="1"/>
  <c r="AT427" i="1" s="1"/>
  <c r="Q427" i="1"/>
  <c r="AU427" i="1" s="1"/>
  <c r="P427" i="1"/>
  <c r="U426" i="1"/>
  <c r="T426" i="1"/>
  <c r="S426" i="1"/>
  <c r="R426" i="1"/>
  <c r="AT426" i="1" s="1"/>
  <c r="Q426" i="1"/>
  <c r="AU426" i="1" s="1"/>
  <c r="P426" i="1"/>
  <c r="U425" i="1"/>
  <c r="T425" i="1"/>
  <c r="S425" i="1"/>
  <c r="R425" i="1"/>
  <c r="AT425" i="1" s="1"/>
  <c r="Q425" i="1"/>
  <c r="AU425" i="1" s="1"/>
  <c r="P425" i="1"/>
  <c r="U424" i="1"/>
  <c r="T424" i="1"/>
  <c r="S424" i="1"/>
  <c r="R424" i="1"/>
  <c r="AT424" i="1" s="1"/>
  <c r="Q424" i="1"/>
  <c r="AU424" i="1" s="1"/>
  <c r="P424" i="1"/>
  <c r="U423" i="1"/>
  <c r="T423" i="1"/>
  <c r="S423" i="1"/>
  <c r="R423" i="1"/>
  <c r="AT423" i="1" s="1"/>
  <c r="Q423" i="1"/>
  <c r="AU423" i="1" s="1"/>
  <c r="P423" i="1"/>
  <c r="U422" i="1"/>
  <c r="T422" i="1"/>
  <c r="S422" i="1"/>
  <c r="U421" i="1"/>
  <c r="T421" i="1"/>
  <c r="S421" i="1"/>
  <c r="U420" i="1"/>
  <c r="T420" i="1"/>
  <c r="S420" i="1"/>
  <c r="U419" i="1"/>
  <c r="T419" i="1"/>
  <c r="S419" i="1"/>
  <c r="R419" i="1"/>
  <c r="AT419" i="1" s="1"/>
  <c r="Q419" i="1"/>
  <c r="AU419" i="1" s="1"/>
  <c r="P419" i="1"/>
  <c r="U418" i="1"/>
  <c r="T418" i="1"/>
  <c r="S418" i="1"/>
  <c r="U417" i="1"/>
  <c r="T417" i="1"/>
  <c r="S417" i="1"/>
  <c r="U416" i="1"/>
  <c r="T416" i="1"/>
  <c r="S416" i="1"/>
  <c r="U415" i="1"/>
  <c r="T415" i="1"/>
  <c r="S415" i="1"/>
  <c r="U414" i="1"/>
  <c r="T414" i="1"/>
  <c r="S414" i="1"/>
  <c r="R414" i="1"/>
  <c r="AT414" i="1" s="1"/>
  <c r="Q414" i="1"/>
  <c r="AU414" i="1" s="1"/>
  <c r="P414" i="1"/>
  <c r="U413" i="1"/>
  <c r="T413" i="1"/>
  <c r="S413" i="1"/>
  <c r="U412" i="1"/>
  <c r="T412" i="1"/>
  <c r="S412" i="1"/>
  <c r="R412" i="1"/>
  <c r="AT412" i="1" s="1"/>
  <c r="Q412" i="1"/>
  <c r="AU412" i="1" s="1"/>
  <c r="P412" i="1"/>
  <c r="U411" i="1"/>
  <c r="T411" i="1"/>
  <c r="S411" i="1"/>
  <c r="R411" i="1"/>
  <c r="AT411" i="1" s="1"/>
  <c r="Q411" i="1"/>
  <c r="AU411" i="1" s="1"/>
  <c r="P411" i="1"/>
  <c r="U410" i="1"/>
  <c r="T410" i="1"/>
  <c r="S410" i="1"/>
  <c r="U409" i="1"/>
  <c r="T409" i="1"/>
  <c r="S409" i="1"/>
  <c r="U408" i="1"/>
  <c r="T408" i="1"/>
  <c r="S408" i="1"/>
  <c r="R408" i="1"/>
  <c r="AT408" i="1" s="1"/>
  <c r="Q408" i="1"/>
  <c r="AU408" i="1" s="1"/>
  <c r="P408" i="1"/>
  <c r="U407" i="1"/>
  <c r="T407" i="1"/>
  <c r="S407" i="1"/>
  <c r="R407" i="1"/>
  <c r="AT407" i="1" s="1"/>
  <c r="Q407" i="1"/>
  <c r="AU407" i="1" s="1"/>
  <c r="P407" i="1"/>
  <c r="U406" i="1"/>
  <c r="T406" i="1"/>
  <c r="S406" i="1"/>
  <c r="R406" i="1"/>
  <c r="AT406" i="1" s="1"/>
  <c r="Q406" i="1"/>
  <c r="AU406" i="1" s="1"/>
  <c r="P406" i="1"/>
  <c r="U405" i="1"/>
  <c r="T405" i="1"/>
  <c r="S405" i="1"/>
  <c r="R405" i="1"/>
  <c r="AT405" i="1" s="1"/>
  <c r="Q405" i="1"/>
  <c r="AU405" i="1" s="1"/>
  <c r="P405" i="1"/>
  <c r="U404" i="1"/>
  <c r="T404" i="1"/>
  <c r="S404" i="1"/>
  <c r="R404" i="1"/>
  <c r="AT404" i="1" s="1"/>
  <c r="Q404" i="1"/>
  <c r="AU404" i="1" s="1"/>
  <c r="P404" i="1"/>
  <c r="U403" i="1"/>
  <c r="T403" i="1"/>
  <c r="S403" i="1"/>
  <c r="U402" i="1"/>
  <c r="T402" i="1"/>
  <c r="S402" i="1"/>
  <c r="R402" i="1"/>
  <c r="AT402" i="1" s="1"/>
  <c r="Q402" i="1"/>
  <c r="AU402" i="1" s="1"/>
  <c r="P402" i="1"/>
  <c r="U401" i="1"/>
  <c r="T401" i="1"/>
  <c r="S401" i="1"/>
  <c r="R401" i="1"/>
  <c r="AT401" i="1" s="1"/>
  <c r="Q401" i="1"/>
  <c r="AU401" i="1" s="1"/>
  <c r="P401" i="1"/>
  <c r="U400" i="1"/>
  <c r="T400" i="1"/>
  <c r="S400" i="1"/>
  <c r="R400" i="1"/>
  <c r="AT400" i="1" s="1"/>
  <c r="Q400" i="1"/>
  <c r="AU400" i="1" s="1"/>
  <c r="P400" i="1"/>
  <c r="U399" i="1"/>
  <c r="T399" i="1"/>
  <c r="S399" i="1"/>
  <c r="R399" i="1"/>
  <c r="AT399" i="1" s="1"/>
  <c r="Q399" i="1"/>
  <c r="AU399" i="1" s="1"/>
  <c r="P399" i="1"/>
  <c r="U398" i="1"/>
  <c r="T398" i="1"/>
  <c r="S398" i="1"/>
  <c r="U397" i="1"/>
  <c r="T397" i="1"/>
  <c r="S397" i="1"/>
  <c r="U396" i="1"/>
  <c r="T396" i="1"/>
  <c r="S396" i="1"/>
  <c r="U395" i="1"/>
  <c r="T395" i="1"/>
  <c r="S395" i="1"/>
  <c r="R395" i="1"/>
  <c r="AT395" i="1" s="1"/>
  <c r="Q395" i="1"/>
  <c r="AU395" i="1" s="1"/>
  <c r="P395" i="1"/>
  <c r="U394" i="1"/>
  <c r="T394" i="1"/>
  <c r="S394" i="1"/>
  <c r="U393" i="1"/>
  <c r="T393" i="1"/>
  <c r="S393" i="1"/>
  <c r="R393" i="1"/>
  <c r="AT393" i="1" s="1"/>
  <c r="Q393" i="1"/>
  <c r="AU393" i="1" s="1"/>
  <c r="P393" i="1"/>
  <c r="U392" i="1"/>
  <c r="T392" i="1"/>
  <c r="S392" i="1"/>
  <c r="U391" i="1"/>
  <c r="T391" i="1"/>
  <c r="S391" i="1"/>
  <c r="U390" i="1"/>
  <c r="T390" i="1"/>
  <c r="S390" i="1"/>
  <c r="U389" i="1"/>
  <c r="T389" i="1"/>
  <c r="S389" i="1"/>
  <c r="R389" i="1"/>
  <c r="AT389" i="1" s="1"/>
  <c r="Q389" i="1"/>
  <c r="AU389" i="1" s="1"/>
  <c r="P389" i="1"/>
  <c r="U388" i="1"/>
  <c r="T388" i="1"/>
  <c r="S388" i="1"/>
  <c r="R388" i="1"/>
  <c r="AT388" i="1" s="1"/>
  <c r="Q388" i="1"/>
  <c r="AU388" i="1" s="1"/>
  <c r="P388" i="1"/>
  <c r="U387" i="1"/>
  <c r="T387" i="1"/>
  <c r="S387" i="1"/>
  <c r="U386" i="1"/>
  <c r="T386" i="1"/>
  <c r="S386" i="1"/>
  <c r="R386" i="1"/>
  <c r="AT386" i="1" s="1"/>
  <c r="Q386" i="1"/>
  <c r="AU386" i="1" s="1"/>
  <c r="P386" i="1"/>
  <c r="U385" i="1"/>
  <c r="T385" i="1"/>
  <c r="S385" i="1"/>
  <c r="U384" i="1"/>
  <c r="T384" i="1"/>
  <c r="S384" i="1"/>
  <c r="R384" i="1"/>
  <c r="AT384" i="1" s="1"/>
  <c r="Q384" i="1"/>
  <c r="AU384" i="1" s="1"/>
  <c r="P384" i="1"/>
  <c r="U383" i="1"/>
  <c r="T383" i="1"/>
  <c r="S383" i="1"/>
  <c r="U382" i="1"/>
  <c r="T382" i="1"/>
  <c r="S382" i="1"/>
  <c r="U381" i="1"/>
  <c r="T381" i="1"/>
  <c r="S381" i="1"/>
  <c r="U380" i="1"/>
  <c r="T380" i="1"/>
  <c r="S380" i="1"/>
  <c r="R380" i="1"/>
  <c r="AT380" i="1" s="1"/>
  <c r="Q380" i="1"/>
  <c r="AU380" i="1" s="1"/>
  <c r="P380" i="1"/>
  <c r="U379" i="1"/>
  <c r="T379" i="1"/>
  <c r="S379" i="1"/>
  <c r="U378" i="1"/>
  <c r="T378" i="1"/>
  <c r="S378" i="1"/>
  <c r="R378" i="1"/>
  <c r="AT378" i="1" s="1"/>
  <c r="Q378" i="1"/>
  <c r="AU378" i="1" s="1"/>
  <c r="P378" i="1"/>
  <c r="U377" i="1"/>
  <c r="T377" i="1"/>
  <c r="S377" i="1"/>
  <c r="U376" i="1"/>
  <c r="T376" i="1"/>
  <c r="S376" i="1"/>
  <c r="U375" i="1"/>
  <c r="T375" i="1"/>
  <c r="S375" i="1"/>
  <c r="U374" i="1"/>
  <c r="T374" i="1"/>
  <c r="S374" i="1"/>
  <c r="R374" i="1"/>
  <c r="AT374" i="1" s="1"/>
  <c r="Q374" i="1"/>
  <c r="AU374" i="1" s="1"/>
  <c r="P374" i="1"/>
  <c r="U373" i="1"/>
  <c r="T373" i="1"/>
  <c r="S373" i="1"/>
  <c r="U372" i="1"/>
  <c r="T372" i="1"/>
  <c r="S372" i="1"/>
  <c r="R372" i="1"/>
  <c r="AT372" i="1" s="1"/>
  <c r="Q372" i="1"/>
  <c r="AU372" i="1" s="1"/>
  <c r="P372" i="1"/>
  <c r="U371" i="1"/>
  <c r="T371" i="1"/>
  <c r="S371" i="1"/>
  <c r="U370" i="1"/>
  <c r="T370" i="1"/>
  <c r="S370" i="1"/>
  <c r="R370" i="1"/>
  <c r="AT370" i="1" s="1"/>
  <c r="Q370" i="1"/>
  <c r="AU370" i="1" s="1"/>
  <c r="P370" i="1"/>
  <c r="U369" i="1"/>
  <c r="T369" i="1"/>
  <c r="S369" i="1"/>
  <c r="R369" i="1"/>
  <c r="AT369" i="1" s="1"/>
  <c r="Q369" i="1"/>
  <c r="AU369" i="1" s="1"/>
  <c r="P369" i="1"/>
  <c r="U368" i="1"/>
  <c r="T368" i="1"/>
  <c r="S368" i="1"/>
  <c r="R368" i="1"/>
  <c r="AT368" i="1" s="1"/>
  <c r="Q368" i="1"/>
  <c r="AU368" i="1" s="1"/>
  <c r="P368" i="1"/>
  <c r="U367" i="1"/>
  <c r="T367" i="1"/>
  <c r="S367" i="1"/>
  <c r="U366" i="1"/>
  <c r="T366" i="1"/>
  <c r="S366" i="1"/>
  <c r="R366" i="1"/>
  <c r="AT366" i="1" s="1"/>
  <c r="Q366" i="1"/>
  <c r="AU366" i="1" s="1"/>
  <c r="P366" i="1"/>
  <c r="U365" i="1"/>
  <c r="T365" i="1"/>
  <c r="S365" i="1"/>
  <c r="R365" i="1"/>
  <c r="AT365" i="1" s="1"/>
  <c r="Q365" i="1"/>
  <c r="AU365" i="1" s="1"/>
  <c r="P365" i="1"/>
  <c r="U364" i="1"/>
  <c r="T364" i="1"/>
  <c r="S364" i="1"/>
  <c r="R364" i="1"/>
  <c r="AT364" i="1" s="1"/>
  <c r="Q364" i="1"/>
  <c r="AU364" i="1" s="1"/>
  <c r="P364" i="1"/>
  <c r="U363" i="1"/>
  <c r="T363" i="1"/>
  <c r="S363" i="1"/>
  <c r="R363" i="1"/>
  <c r="AT363" i="1" s="1"/>
  <c r="Q363" i="1"/>
  <c r="AU363" i="1" s="1"/>
  <c r="P363" i="1"/>
  <c r="U362" i="1"/>
  <c r="T362" i="1"/>
  <c r="S362" i="1"/>
  <c r="R362" i="1"/>
  <c r="AT362" i="1" s="1"/>
  <c r="Q362" i="1"/>
  <c r="AU362" i="1" s="1"/>
  <c r="P362" i="1"/>
  <c r="U361" i="1"/>
  <c r="T361" i="1"/>
  <c r="S361" i="1"/>
  <c r="R361" i="1"/>
  <c r="AT361" i="1" s="1"/>
  <c r="Q361" i="1"/>
  <c r="AU361" i="1" s="1"/>
  <c r="P361" i="1"/>
  <c r="U360" i="1"/>
  <c r="T360" i="1"/>
  <c r="S360" i="1"/>
  <c r="U359" i="1"/>
  <c r="T359" i="1"/>
  <c r="S359" i="1"/>
  <c r="U358" i="1"/>
  <c r="T358" i="1"/>
  <c r="S358" i="1"/>
  <c r="R358" i="1"/>
  <c r="AT358" i="1" s="1"/>
  <c r="Q358" i="1"/>
  <c r="AU358" i="1" s="1"/>
  <c r="P358" i="1"/>
  <c r="U357" i="1"/>
  <c r="T357" i="1"/>
  <c r="S357" i="1"/>
  <c r="U356" i="1"/>
  <c r="T356" i="1"/>
  <c r="S356" i="1"/>
  <c r="R356" i="1"/>
  <c r="AT356" i="1" s="1"/>
  <c r="Q356" i="1"/>
  <c r="AU356" i="1" s="1"/>
  <c r="P356" i="1"/>
  <c r="U355" i="1"/>
  <c r="T355" i="1"/>
  <c r="S355" i="1"/>
  <c r="U354" i="1"/>
  <c r="T354" i="1"/>
  <c r="S354" i="1"/>
  <c r="U353" i="1"/>
  <c r="T353" i="1"/>
  <c r="S353" i="1"/>
  <c r="R353" i="1"/>
  <c r="AT353" i="1" s="1"/>
  <c r="Q353" i="1"/>
  <c r="AU353" i="1" s="1"/>
  <c r="P353" i="1"/>
  <c r="U352" i="1"/>
  <c r="T352" i="1"/>
  <c r="S352" i="1"/>
  <c r="R352" i="1"/>
  <c r="AT352" i="1" s="1"/>
  <c r="Q352" i="1"/>
  <c r="AU352" i="1" s="1"/>
  <c r="P352" i="1"/>
  <c r="U351" i="1"/>
  <c r="T351" i="1"/>
  <c r="S351" i="1"/>
  <c r="U350" i="1"/>
  <c r="T350" i="1"/>
  <c r="S350" i="1"/>
  <c r="R350" i="1"/>
  <c r="AT350" i="1" s="1"/>
  <c r="Q350" i="1"/>
  <c r="AU350" i="1" s="1"/>
  <c r="P350" i="1"/>
  <c r="U349" i="1"/>
  <c r="T349" i="1"/>
  <c r="S349" i="1"/>
  <c r="R349" i="1"/>
  <c r="AT349" i="1" s="1"/>
  <c r="Q349" i="1"/>
  <c r="AU349" i="1" s="1"/>
  <c r="P349" i="1"/>
  <c r="U348" i="1"/>
  <c r="T348" i="1"/>
  <c r="S348" i="1"/>
  <c r="U347" i="1"/>
  <c r="T347" i="1"/>
  <c r="S347" i="1"/>
  <c r="U346" i="1"/>
  <c r="T346" i="1"/>
  <c r="S346" i="1"/>
  <c r="R346" i="1"/>
  <c r="AT346" i="1" s="1"/>
  <c r="Q346" i="1"/>
  <c r="AU346" i="1" s="1"/>
  <c r="P346" i="1"/>
  <c r="U345" i="1"/>
  <c r="T345" i="1"/>
  <c r="S345" i="1"/>
  <c r="U344" i="1"/>
  <c r="T344" i="1"/>
  <c r="S344" i="1"/>
  <c r="U343" i="1"/>
  <c r="T343" i="1"/>
  <c r="S343" i="1"/>
  <c r="R343" i="1"/>
  <c r="AT343" i="1" s="1"/>
  <c r="Q343" i="1"/>
  <c r="AU343" i="1" s="1"/>
  <c r="P343" i="1"/>
  <c r="U342" i="1"/>
  <c r="T342" i="1"/>
  <c r="S342" i="1"/>
  <c r="U341" i="1"/>
  <c r="T341" i="1"/>
  <c r="S341" i="1"/>
  <c r="U340" i="1"/>
  <c r="T340" i="1"/>
  <c r="S340" i="1"/>
  <c r="R340" i="1"/>
  <c r="AT340" i="1" s="1"/>
  <c r="Q340" i="1"/>
  <c r="AU340" i="1" s="1"/>
  <c r="P340" i="1"/>
  <c r="U339" i="1"/>
  <c r="T339" i="1"/>
  <c r="S339" i="1"/>
  <c r="R339" i="1"/>
  <c r="AT339" i="1" s="1"/>
  <c r="Q339" i="1"/>
  <c r="AU339" i="1" s="1"/>
  <c r="P339" i="1"/>
  <c r="U338" i="1"/>
  <c r="T338" i="1"/>
  <c r="S338" i="1"/>
  <c r="R338" i="1"/>
  <c r="AT338" i="1" s="1"/>
  <c r="Q338" i="1"/>
  <c r="AU338" i="1" s="1"/>
  <c r="P338" i="1"/>
  <c r="U337" i="1"/>
  <c r="T337" i="1"/>
  <c r="S337" i="1"/>
  <c r="U336" i="1"/>
  <c r="T336" i="1"/>
  <c r="S336" i="1"/>
  <c r="R336" i="1"/>
  <c r="AT336" i="1" s="1"/>
  <c r="Q336" i="1"/>
  <c r="AU336" i="1" s="1"/>
  <c r="P336" i="1"/>
  <c r="U335" i="1"/>
  <c r="T335" i="1"/>
  <c r="S335" i="1"/>
  <c r="R335" i="1"/>
  <c r="AT335" i="1" s="1"/>
  <c r="Q335" i="1"/>
  <c r="AU335" i="1" s="1"/>
  <c r="P335" i="1"/>
  <c r="U334" i="1"/>
  <c r="T334" i="1"/>
  <c r="S334" i="1"/>
  <c r="R334" i="1"/>
  <c r="AT334" i="1" s="1"/>
  <c r="Q334" i="1"/>
  <c r="AU334" i="1" s="1"/>
  <c r="P334" i="1"/>
  <c r="U333" i="1"/>
  <c r="T333" i="1"/>
  <c r="S333" i="1"/>
  <c r="R333" i="1"/>
  <c r="AT333" i="1" s="1"/>
  <c r="Q333" i="1"/>
  <c r="AU333" i="1" s="1"/>
  <c r="P333" i="1"/>
  <c r="U332" i="1"/>
  <c r="T332" i="1"/>
  <c r="S332" i="1"/>
  <c r="U331" i="1"/>
  <c r="T331" i="1"/>
  <c r="S331" i="1"/>
  <c r="U330" i="1"/>
  <c r="T330" i="1"/>
  <c r="S330" i="1"/>
  <c r="U329" i="1"/>
  <c r="T329" i="1"/>
  <c r="S329" i="1"/>
  <c r="R329" i="1"/>
  <c r="AT329" i="1" s="1"/>
  <c r="Q329" i="1"/>
  <c r="AU329" i="1" s="1"/>
  <c r="P329" i="1"/>
  <c r="U328" i="1"/>
  <c r="T328" i="1"/>
  <c r="S328" i="1"/>
  <c r="R328" i="1"/>
  <c r="AT328" i="1" s="1"/>
  <c r="Q328" i="1"/>
  <c r="AU328" i="1" s="1"/>
  <c r="P328" i="1"/>
  <c r="U327" i="1"/>
  <c r="T327" i="1"/>
  <c r="S327" i="1"/>
  <c r="U326" i="1"/>
  <c r="T326" i="1"/>
  <c r="S326" i="1"/>
  <c r="R326" i="1"/>
  <c r="AT326" i="1" s="1"/>
  <c r="Q326" i="1"/>
  <c r="AU326" i="1" s="1"/>
  <c r="P326" i="1"/>
  <c r="U325" i="1"/>
  <c r="T325" i="1"/>
  <c r="S325" i="1"/>
  <c r="U324" i="1"/>
  <c r="T324" i="1"/>
  <c r="S324" i="1"/>
  <c r="U323" i="1"/>
  <c r="T323" i="1"/>
  <c r="S323" i="1"/>
  <c r="U322" i="1"/>
  <c r="T322" i="1"/>
  <c r="S322" i="1"/>
  <c r="U321" i="1"/>
  <c r="T321" i="1"/>
  <c r="S321" i="1"/>
  <c r="R321" i="1"/>
  <c r="AT321" i="1" s="1"/>
  <c r="Q321" i="1"/>
  <c r="AU321" i="1" s="1"/>
  <c r="P321" i="1"/>
  <c r="U320" i="1"/>
  <c r="T320" i="1"/>
  <c r="S320" i="1"/>
  <c r="U319" i="1"/>
  <c r="T319" i="1"/>
  <c r="S319" i="1"/>
  <c r="R319" i="1"/>
  <c r="AT319" i="1" s="1"/>
  <c r="Q319" i="1"/>
  <c r="AU319" i="1" s="1"/>
  <c r="P319" i="1"/>
  <c r="U318" i="1"/>
  <c r="T318" i="1"/>
  <c r="S318" i="1"/>
  <c r="U317" i="1"/>
  <c r="T317" i="1"/>
  <c r="S317" i="1"/>
  <c r="R317" i="1"/>
  <c r="AT317" i="1" s="1"/>
  <c r="Q317" i="1"/>
  <c r="AU317" i="1" s="1"/>
  <c r="P317" i="1"/>
  <c r="U316" i="1"/>
  <c r="T316" i="1"/>
  <c r="S316" i="1"/>
  <c r="U315" i="1"/>
  <c r="T315" i="1"/>
  <c r="S315" i="1"/>
  <c r="R315" i="1"/>
  <c r="AT315" i="1" s="1"/>
  <c r="Q315" i="1"/>
  <c r="AU315" i="1" s="1"/>
  <c r="P315" i="1"/>
  <c r="U314" i="1"/>
  <c r="T314" i="1"/>
  <c r="S314" i="1"/>
  <c r="R314" i="1"/>
  <c r="AT314" i="1" s="1"/>
  <c r="Q314" i="1"/>
  <c r="AU314" i="1" s="1"/>
  <c r="P314" i="1"/>
  <c r="U313" i="1"/>
  <c r="T313" i="1"/>
  <c r="S313" i="1"/>
  <c r="U312" i="1"/>
  <c r="T312" i="1"/>
  <c r="S312" i="1"/>
  <c r="R312" i="1"/>
  <c r="AT312" i="1" s="1"/>
  <c r="Q312" i="1"/>
  <c r="AU312" i="1" s="1"/>
  <c r="P312" i="1"/>
  <c r="U311" i="1"/>
  <c r="T311" i="1"/>
  <c r="S311" i="1"/>
  <c r="U310" i="1"/>
  <c r="T310" i="1"/>
  <c r="S310" i="1"/>
  <c r="R310" i="1"/>
  <c r="AT310" i="1" s="1"/>
  <c r="Q310" i="1"/>
  <c r="AU310" i="1" s="1"/>
  <c r="P310" i="1"/>
  <c r="U309" i="1"/>
  <c r="T309" i="1"/>
  <c r="S309" i="1"/>
  <c r="U308" i="1"/>
  <c r="T308" i="1"/>
  <c r="S308" i="1"/>
  <c r="U307" i="1"/>
  <c r="T307" i="1"/>
  <c r="S307" i="1"/>
  <c r="R307" i="1"/>
  <c r="AT307" i="1" s="1"/>
  <c r="Q307" i="1"/>
  <c r="AU307" i="1" s="1"/>
  <c r="P307" i="1"/>
  <c r="U306" i="1"/>
  <c r="T306" i="1"/>
  <c r="S306" i="1"/>
  <c r="U305" i="1"/>
  <c r="T305" i="1"/>
  <c r="S305" i="1"/>
  <c r="R305" i="1"/>
  <c r="AT305" i="1" s="1"/>
  <c r="Q305" i="1"/>
  <c r="AU305" i="1" s="1"/>
  <c r="P305" i="1"/>
  <c r="U304" i="1"/>
  <c r="T304" i="1"/>
  <c r="S304" i="1"/>
  <c r="U303" i="1"/>
  <c r="T303" i="1"/>
  <c r="S303" i="1"/>
  <c r="R303" i="1"/>
  <c r="AT303" i="1" s="1"/>
  <c r="Q303" i="1"/>
  <c r="AU303" i="1" s="1"/>
  <c r="P303" i="1"/>
  <c r="U302" i="1"/>
  <c r="T302" i="1"/>
  <c r="S302" i="1"/>
  <c r="R302" i="1"/>
  <c r="AT302" i="1" s="1"/>
  <c r="Q302" i="1"/>
  <c r="AU302" i="1" s="1"/>
  <c r="P302" i="1"/>
  <c r="U301" i="1"/>
  <c r="T301" i="1"/>
  <c r="S301" i="1"/>
  <c r="R301" i="1"/>
  <c r="AT301" i="1" s="1"/>
  <c r="Q301" i="1"/>
  <c r="AU301" i="1" s="1"/>
  <c r="P301" i="1"/>
  <c r="U300" i="1"/>
  <c r="T300" i="1"/>
  <c r="S300" i="1"/>
  <c r="R300" i="1"/>
  <c r="AT300" i="1" s="1"/>
  <c r="Q300" i="1"/>
  <c r="AU300" i="1" s="1"/>
  <c r="P300" i="1"/>
  <c r="U299" i="1"/>
  <c r="T299" i="1"/>
  <c r="S299" i="1"/>
  <c r="R299" i="1"/>
  <c r="AT299" i="1" s="1"/>
  <c r="Q299" i="1"/>
  <c r="AU299" i="1" s="1"/>
  <c r="P299" i="1"/>
  <c r="U298" i="1"/>
  <c r="T298" i="1"/>
  <c r="S298" i="1"/>
  <c r="R298" i="1"/>
  <c r="AT298" i="1" s="1"/>
  <c r="Q298" i="1"/>
  <c r="AU298" i="1" s="1"/>
  <c r="P298" i="1"/>
  <c r="U297" i="1"/>
  <c r="T297" i="1"/>
  <c r="S297" i="1"/>
  <c r="R297" i="1"/>
  <c r="AT297" i="1" s="1"/>
  <c r="Q297" i="1"/>
  <c r="AU297" i="1" s="1"/>
  <c r="P297" i="1"/>
  <c r="U296" i="1"/>
  <c r="T296" i="1"/>
  <c r="S296" i="1"/>
  <c r="U295" i="1"/>
  <c r="T295" i="1"/>
  <c r="S295" i="1"/>
  <c r="U294" i="1"/>
  <c r="T294" i="1"/>
  <c r="S294" i="1"/>
  <c r="U293" i="1"/>
  <c r="T293" i="1"/>
  <c r="S293" i="1"/>
  <c r="R293" i="1"/>
  <c r="AT293" i="1" s="1"/>
  <c r="Q293" i="1"/>
  <c r="AU293" i="1" s="1"/>
  <c r="P293" i="1"/>
  <c r="U292" i="1"/>
  <c r="T292" i="1"/>
  <c r="S292" i="1"/>
  <c r="R292" i="1"/>
  <c r="AT292" i="1" s="1"/>
  <c r="Q292" i="1"/>
  <c r="AU292" i="1" s="1"/>
  <c r="P292" i="1"/>
  <c r="U291" i="1"/>
  <c r="T291" i="1"/>
  <c r="S291" i="1"/>
  <c r="R291" i="1"/>
  <c r="AT291" i="1" s="1"/>
  <c r="Q291" i="1"/>
  <c r="AU291" i="1" s="1"/>
  <c r="P291" i="1"/>
  <c r="U290" i="1"/>
  <c r="T290" i="1"/>
  <c r="S290" i="1"/>
  <c r="R290" i="1"/>
  <c r="AT290" i="1" s="1"/>
  <c r="Q290" i="1"/>
  <c r="AU290" i="1" s="1"/>
  <c r="P290" i="1"/>
  <c r="U289" i="1"/>
  <c r="T289" i="1"/>
  <c r="S289" i="1"/>
  <c r="R289" i="1"/>
  <c r="AT289" i="1" s="1"/>
  <c r="Q289" i="1"/>
  <c r="AU289" i="1" s="1"/>
  <c r="P289" i="1"/>
  <c r="U288" i="1"/>
  <c r="T288" i="1"/>
  <c r="S288" i="1"/>
  <c r="R288" i="1"/>
  <c r="AT288" i="1" s="1"/>
  <c r="Q288" i="1"/>
  <c r="AU288" i="1" s="1"/>
  <c r="P288" i="1"/>
  <c r="U287" i="1"/>
  <c r="T287" i="1"/>
  <c r="S287" i="1"/>
  <c r="R287" i="1"/>
  <c r="AT287" i="1" s="1"/>
  <c r="Q287" i="1"/>
  <c r="AU287" i="1" s="1"/>
  <c r="P287" i="1"/>
  <c r="U286" i="1"/>
  <c r="T286" i="1"/>
  <c r="S286" i="1"/>
  <c r="R286" i="1"/>
  <c r="AT286" i="1" s="1"/>
  <c r="Q286" i="1"/>
  <c r="AU286" i="1" s="1"/>
  <c r="P286" i="1"/>
  <c r="U285" i="1"/>
  <c r="T285" i="1"/>
  <c r="S285" i="1"/>
  <c r="R285" i="1"/>
  <c r="AT285" i="1" s="1"/>
  <c r="Q285" i="1"/>
  <c r="AU285" i="1" s="1"/>
  <c r="P285" i="1"/>
  <c r="U284" i="1"/>
  <c r="T284" i="1"/>
  <c r="S284" i="1"/>
  <c r="R284" i="1"/>
  <c r="AT284" i="1" s="1"/>
  <c r="Q284" i="1"/>
  <c r="AU284" i="1" s="1"/>
  <c r="P284" i="1"/>
  <c r="U283" i="1"/>
  <c r="T283" i="1"/>
  <c r="S283" i="1"/>
  <c r="R283" i="1"/>
  <c r="AT283" i="1" s="1"/>
  <c r="Q283" i="1"/>
  <c r="AU283" i="1" s="1"/>
  <c r="P283" i="1"/>
  <c r="U282" i="1"/>
  <c r="T282" i="1"/>
  <c r="S282" i="1"/>
  <c r="R282" i="1"/>
  <c r="AT282" i="1" s="1"/>
  <c r="Q282" i="1"/>
  <c r="AU282" i="1" s="1"/>
  <c r="P282" i="1"/>
  <c r="U281" i="1"/>
  <c r="T281" i="1"/>
  <c r="S281" i="1"/>
  <c r="U280" i="1"/>
  <c r="T280" i="1"/>
  <c r="S280" i="1"/>
  <c r="U279" i="1"/>
  <c r="T279" i="1"/>
  <c r="S279" i="1"/>
  <c r="U278" i="1"/>
  <c r="T278" i="1"/>
  <c r="S278" i="1"/>
  <c r="R278" i="1"/>
  <c r="AT278" i="1" s="1"/>
  <c r="Q278" i="1"/>
  <c r="AU278" i="1" s="1"/>
  <c r="P278" i="1"/>
  <c r="U277" i="1"/>
  <c r="T277" i="1"/>
  <c r="S277" i="1"/>
  <c r="R277" i="1"/>
  <c r="AT277" i="1" s="1"/>
  <c r="Q277" i="1"/>
  <c r="AU277" i="1" s="1"/>
  <c r="P277" i="1"/>
  <c r="U276" i="1"/>
  <c r="T276" i="1"/>
  <c r="S276" i="1"/>
  <c r="U275" i="1"/>
  <c r="T275" i="1"/>
  <c r="S275" i="1"/>
  <c r="U274" i="1"/>
  <c r="T274" i="1"/>
  <c r="S274" i="1"/>
  <c r="R274" i="1"/>
  <c r="AT274" i="1" s="1"/>
  <c r="Q274" i="1"/>
  <c r="AU274" i="1" s="1"/>
  <c r="P274" i="1"/>
  <c r="U273" i="1"/>
  <c r="T273" i="1"/>
  <c r="S273" i="1"/>
  <c r="U272" i="1"/>
  <c r="T272" i="1"/>
  <c r="S272" i="1"/>
  <c r="U271" i="1"/>
  <c r="T271" i="1"/>
  <c r="S271" i="1"/>
  <c r="R271" i="1"/>
  <c r="AT271" i="1" s="1"/>
  <c r="Q271" i="1"/>
  <c r="AU271" i="1" s="1"/>
  <c r="P271" i="1"/>
  <c r="U270" i="1"/>
  <c r="T270" i="1"/>
  <c r="S270" i="1"/>
  <c r="R270" i="1"/>
  <c r="AT270" i="1" s="1"/>
  <c r="Q270" i="1"/>
  <c r="AU270" i="1" s="1"/>
  <c r="P270" i="1"/>
  <c r="U269" i="1"/>
  <c r="T269" i="1"/>
  <c r="S269" i="1"/>
  <c r="U268" i="1"/>
  <c r="T268" i="1"/>
  <c r="S268" i="1"/>
  <c r="R268" i="1"/>
  <c r="AT268" i="1" s="1"/>
  <c r="Q268" i="1"/>
  <c r="AU268" i="1" s="1"/>
  <c r="P268" i="1"/>
  <c r="U267" i="1"/>
  <c r="T267" i="1"/>
  <c r="S267" i="1"/>
  <c r="U266" i="1"/>
  <c r="T266" i="1"/>
  <c r="S266" i="1"/>
  <c r="U265" i="1"/>
  <c r="T265" i="1"/>
  <c r="S265" i="1"/>
  <c r="R265" i="1"/>
  <c r="AT265" i="1" s="1"/>
  <c r="Q265" i="1"/>
  <c r="AU265" i="1" s="1"/>
  <c r="P265" i="1"/>
  <c r="U264" i="1"/>
  <c r="T264" i="1"/>
  <c r="S264" i="1"/>
  <c r="U263" i="1"/>
  <c r="T263" i="1"/>
  <c r="S263" i="1"/>
  <c r="R263" i="1"/>
  <c r="AT263" i="1" s="1"/>
  <c r="Q263" i="1"/>
  <c r="AU263" i="1" s="1"/>
  <c r="P263" i="1"/>
  <c r="U262" i="1"/>
  <c r="T262" i="1"/>
  <c r="S262" i="1"/>
  <c r="R262" i="1"/>
  <c r="AT262" i="1" s="1"/>
  <c r="Q262" i="1"/>
  <c r="AU262" i="1" s="1"/>
  <c r="P262" i="1"/>
  <c r="U261" i="1"/>
  <c r="T261" i="1"/>
  <c r="S261" i="1"/>
  <c r="R261" i="1"/>
  <c r="AT261" i="1" s="1"/>
  <c r="Q261" i="1"/>
  <c r="AU261" i="1" s="1"/>
  <c r="P261" i="1"/>
  <c r="U260" i="1"/>
  <c r="T260" i="1"/>
  <c r="S260" i="1"/>
  <c r="R260" i="1"/>
  <c r="AT260" i="1" s="1"/>
  <c r="Q260" i="1"/>
  <c r="AU260" i="1" s="1"/>
  <c r="P260" i="1"/>
  <c r="U259" i="1"/>
  <c r="T259" i="1"/>
  <c r="S259" i="1"/>
  <c r="R259" i="1"/>
  <c r="AT259" i="1" s="1"/>
  <c r="Q259" i="1"/>
  <c r="AU259" i="1" s="1"/>
  <c r="P259" i="1"/>
  <c r="U258" i="1"/>
  <c r="T258" i="1"/>
  <c r="S258" i="1"/>
  <c r="U257" i="1"/>
  <c r="T257" i="1"/>
  <c r="S257" i="1"/>
  <c r="U256" i="1"/>
  <c r="T256" i="1"/>
  <c r="S256" i="1"/>
  <c r="R256" i="1"/>
  <c r="AT256" i="1" s="1"/>
  <c r="Q256" i="1"/>
  <c r="AU256" i="1" s="1"/>
  <c r="P256" i="1"/>
  <c r="U255" i="1"/>
  <c r="T255" i="1"/>
  <c r="S255" i="1"/>
  <c r="R255" i="1"/>
  <c r="AT255" i="1" s="1"/>
  <c r="Q255" i="1"/>
  <c r="AU255" i="1" s="1"/>
  <c r="P255" i="1"/>
  <c r="U254" i="1"/>
  <c r="T254" i="1"/>
  <c r="S254" i="1"/>
  <c r="R254" i="1"/>
  <c r="AT254" i="1" s="1"/>
  <c r="Q254" i="1"/>
  <c r="AU254" i="1" s="1"/>
  <c r="P254" i="1"/>
  <c r="U253" i="1"/>
  <c r="T253" i="1"/>
  <c r="S253" i="1"/>
  <c r="R253" i="1"/>
  <c r="AT253" i="1" s="1"/>
  <c r="Q253" i="1"/>
  <c r="AU253" i="1" s="1"/>
  <c r="P253" i="1"/>
  <c r="U252" i="1"/>
  <c r="T252" i="1"/>
  <c r="S252" i="1"/>
  <c r="U251" i="1"/>
  <c r="T251" i="1"/>
  <c r="S251" i="1"/>
  <c r="R251" i="1"/>
  <c r="AT251" i="1" s="1"/>
  <c r="Q251" i="1"/>
  <c r="AU251" i="1" s="1"/>
  <c r="P251" i="1"/>
  <c r="U250" i="1"/>
  <c r="T250" i="1"/>
  <c r="S250" i="1"/>
  <c r="R250" i="1"/>
  <c r="AT250" i="1" s="1"/>
  <c r="Q250" i="1"/>
  <c r="AU250" i="1" s="1"/>
  <c r="P250" i="1"/>
  <c r="U249" i="1"/>
  <c r="T249" i="1"/>
  <c r="S249" i="1"/>
  <c r="R249" i="1"/>
  <c r="AT249" i="1" s="1"/>
  <c r="Q249" i="1"/>
  <c r="AU249" i="1" s="1"/>
  <c r="P249" i="1"/>
  <c r="U248" i="1"/>
  <c r="T248" i="1"/>
  <c r="S248" i="1"/>
  <c r="R248" i="1"/>
  <c r="AT248" i="1" s="1"/>
  <c r="Q248" i="1"/>
  <c r="AU248" i="1" s="1"/>
  <c r="P248" i="1"/>
  <c r="U247" i="1"/>
  <c r="T247" i="1"/>
  <c r="S247" i="1"/>
  <c r="U246" i="1"/>
  <c r="T246" i="1"/>
  <c r="S246" i="1"/>
  <c r="R246" i="1"/>
  <c r="AT246" i="1" s="1"/>
  <c r="Q246" i="1"/>
  <c r="AU246" i="1" s="1"/>
  <c r="P246" i="1"/>
  <c r="U245" i="1"/>
  <c r="T245" i="1"/>
  <c r="S245" i="1"/>
  <c r="R245" i="1"/>
  <c r="AT245" i="1" s="1"/>
  <c r="Q245" i="1"/>
  <c r="AU245" i="1" s="1"/>
  <c r="P245" i="1"/>
  <c r="U244" i="1"/>
  <c r="T244" i="1"/>
  <c r="S244" i="1"/>
  <c r="U243" i="1"/>
  <c r="T243" i="1"/>
  <c r="S243" i="1"/>
  <c r="R243" i="1"/>
  <c r="AT243" i="1" s="1"/>
  <c r="Q243" i="1"/>
  <c r="AU243" i="1" s="1"/>
  <c r="P243" i="1"/>
  <c r="U242" i="1"/>
  <c r="T242" i="1"/>
  <c r="S242" i="1"/>
  <c r="R242" i="1"/>
  <c r="AT242" i="1" s="1"/>
  <c r="Q242" i="1"/>
  <c r="AU242" i="1" s="1"/>
  <c r="P242" i="1"/>
  <c r="U241" i="1"/>
  <c r="T241" i="1"/>
  <c r="S241" i="1"/>
  <c r="R241" i="1"/>
  <c r="AT241" i="1" s="1"/>
  <c r="Q241" i="1"/>
  <c r="AU241" i="1" s="1"/>
  <c r="P241" i="1"/>
  <c r="U240" i="1"/>
  <c r="T240" i="1"/>
  <c r="S240" i="1"/>
  <c r="R240" i="1"/>
  <c r="AT240" i="1" s="1"/>
  <c r="Q240" i="1"/>
  <c r="AU240" i="1" s="1"/>
  <c r="P240" i="1"/>
  <c r="U239" i="1"/>
  <c r="T239" i="1"/>
  <c r="S239" i="1"/>
  <c r="R239" i="1"/>
  <c r="AT239" i="1" s="1"/>
  <c r="Q239" i="1"/>
  <c r="AU239" i="1" s="1"/>
  <c r="P239" i="1"/>
  <c r="U238" i="1"/>
  <c r="T238" i="1"/>
  <c r="S238" i="1"/>
  <c r="R238" i="1"/>
  <c r="AT238" i="1" s="1"/>
  <c r="Q238" i="1"/>
  <c r="AU238" i="1" s="1"/>
  <c r="P238" i="1"/>
  <c r="U237" i="1"/>
  <c r="T237" i="1"/>
  <c r="S237" i="1"/>
  <c r="U236" i="1"/>
  <c r="T236" i="1"/>
  <c r="S236" i="1"/>
  <c r="R236" i="1"/>
  <c r="AT236" i="1" s="1"/>
  <c r="Q236" i="1"/>
  <c r="AU236" i="1" s="1"/>
  <c r="P236" i="1"/>
  <c r="U235" i="1"/>
  <c r="T235" i="1"/>
  <c r="S235" i="1"/>
  <c r="U234" i="1"/>
  <c r="T234" i="1"/>
  <c r="S234" i="1"/>
  <c r="R234" i="1"/>
  <c r="AT234" i="1" s="1"/>
  <c r="Q234" i="1"/>
  <c r="AU234" i="1" s="1"/>
  <c r="P234" i="1"/>
  <c r="U233" i="1"/>
  <c r="T233" i="1"/>
  <c r="S233" i="1"/>
  <c r="U232" i="1"/>
  <c r="T232" i="1"/>
  <c r="S232" i="1"/>
  <c r="U231" i="1"/>
  <c r="T231" i="1"/>
  <c r="S231" i="1"/>
  <c r="R231" i="1"/>
  <c r="AT231" i="1" s="1"/>
  <c r="Q231" i="1"/>
  <c r="AU231" i="1" s="1"/>
  <c r="P231" i="1"/>
  <c r="U230" i="1"/>
  <c r="T230" i="1"/>
  <c r="S230" i="1"/>
  <c r="R230" i="1"/>
  <c r="AT230" i="1" s="1"/>
  <c r="Q230" i="1"/>
  <c r="AU230" i="1" s="1"/>
  <c r="P230" i="1"/>
  <c r="U229" i="1"/>
  <c r="T229" i="1"/>
  <c r="S229" i="1"/>
  <c r="R229" i="1"/>
  <c r="AT229" i="1" s="1"/>
  <c r="Q229" i="1"/>
  <c r="AU229" i="1" s="1"/>
  <c r="P229" i="1"/>
  <c r="U228" i="1"/>
  <c r="T228" i="1"/>
  <c r="S228" i="1"/>
  <c r="R228" i="1"/>
  <c r="AT228" i="1" s="1"/>
  <c r="Q228" i="1"/>
  <c r="AU228" i="1" s="1"/>
  <c r="P228" i="1"/>
  <c r="U227" i="1"/>
  <c r="T227" i="1"/>
  <c r="S227" i="1"/>
  <c r="U226" i="1"/>
  <c r="T226" i="1"/>
  <c r="S226" i="1"/>
  <c r="U225" i="1"/>
  <c r="T225" i="1"/>
  <c r="S225" i="1"/>
  <c r="R225" i="1"/>
  <c r="AT225" i="1" s="1"/>
  <c r="Q225" i="1"/>
  <c r="AU225" i="1" s="1"/>
  <c r="P225" i="1"/>
  <c r="U224" i="1"/>
  <c r="T224" i="1"/>
  <c r="S224" i="1"/>
  <c r="U223" i="1"/>
  <c r="T223" i="1"/>
  <c r="S223" i="1"/>
  <c r="R223" i="1"/>
  <c r="AT223" i="1" s="1"/>
  <c r="Q223" i="1"/>
  <c r="AU223" i="1" s="1"/>
  <c r="P223" i="1"/>
  <c r="U222" i="1"/>
  <c r="T222" i="1"/>
  <c r="S222" i="1"/>
  <c r="R222" i="1"/>
  <c r="AT222" i="1" s="1"/>
  <c r="Q222" i="1"/>
  <c r="AU222" i="1" s="1"/>
  <c r="P222" i="1"/>
  <c r="U221" i="1"/>
  <c r="T221" i="1"/>
  <c r="S221" i="1"/>
  <c r="R221" i="1"/>
  <c r="AT221" i="1" s="1"/>
  <c r="Q221" i="1"/>
  <c r="AU221" i="1" s="1"/>
  <c r="P221" i="1"/>
  <c r="U220" i="1"/>
  <c r="T220" i="1"/>
  <c r="S220" i="1"/>
  <c r="R220" i="1"/>
  <c r="AT220" i="1" s="1"/>
  <c r="Q220" i="1"/>
  <c r="AU220" i="1" s="1"/>
  <c r="P220" i="1"/>
  <c r="U219" i="1"/>
  <c r="T219" i="1"/>
  <c r="S219" i="1"/>
  <c r="R219" i="1"/>
  <c r="AT219" i="1" s="1"/>
  <c r="Q219" i="1"/>
  <c r="AU219" i="1" s="1"/>
  <c r="P219" i="1"/>
  <c r="U218" i="1"/>
  <c r="T218" i="1"/>
  <c r="S218" i="1"/>
  <c r="R218" i="1"/>
  <c r="AT218" i="1" s="1"/>
  <c r="Q218" i="1"/>
  <c r="AU218" i="1" s="1"/>
  <c r="P218" i="1"/>
  <c r="U217" i="1"/>
  <c r="T217" i="1"/>
  <c r="S217" i="1"/>
  <c r="R217" i="1"/>
  <c r="AT217" i="1" s="1"/>
  <c r="Q217" i="1"/>
  <c r="AU217" i="1" s="1"/>
  <c r="P217" i="1"/>
  <c r="U216" i="1"/>
  <c r="T216" i="1"/>
  <c r="S216" i="1"/>
  <c r="R216" i="1"/>
  <c r="AT216" i="1" s="1"/>
  <c r="Q216" i="1"/>
  <c r="AU216" i="1" s="1"/>
  <c r="P216" i="1"/>
  <c r="U215" i="1"/>
  <c r="T215" i="1"/>
  <c r="S215" i="1"/>
  <c r="R215" i="1"/>
  <c r="AT215" i="1" s="1"/>
  <c r="Q215" i="1"/>
  <c r="AU215" i="1" s="1"/>
  <c r="P215" i="1"/>
  <c r="U214" i="1"/>
  <c r="T214" i="1"/>
  <c r="S214" i="1"/>
  <c r="R214" i="1"/>
  <c r="AT214" i="1" s="1"/>
  <c r="Q214" i="1"/>
  <c r="AU214" i="1" s="1"/>
  <c r="P214" i="1"/>
  <c r="U213" i="1"/>
  <c r="T213" i="1"/>
  <c r="S213" i="1"/>
  <c r="R213" i="1"/>
  <c r="AT213" i="1" s="1"/>
  <c r="Q213" i="1"/>
  <c r="AU213" i="1" s="1"/>
  <c r="P213" i="1"/>
  <c r="U212" i="1"/>
  <c r="T212" i="1"/>
  <c r="S212" i="1"/>
  <c r="R212" i="1"/>
  <c r="AT212" i="1" s="1"/>
  <c r="Q212" i="1"/>
  <c r="AU212" i="1" s="1"/>
  <c r="P212" i="1"/>
  <c r="U211" i="1"/>
  <c r="T211" i="1"/>
  <c r="S211" i="1"/>
  <c r="U210" i="1"/>
  <c r="T210" i="1"/>
  <c r="S210" i="1"/>
  <c r="R210" i="1"/>
  <c r="AT210" i="1" s="1"/>
  <c r="Q210" i="1"/>
  <c r="AU210" i="1" s="1"/>
  <c r="P210" i="1"/>
  <c r="U209" i="1"/>
  <c r="T209" i="1"/>
  <c r="S209" i="1"/>
  <c r="R209" i="1"/>
  <c r="AT209" i="1" s="1"/>
  <c r="Q209" i="1"/>
  <c r="AU209" i="1" s="1"/>
  <c r="P209" i="1"/>
  <c r="U208" i="1"/>
  <c r="T208" i="1"/>
  <c r="S208" i="1"/>
  <c r="Q208" i="1"/>
  <c r="AU208" i="1" s="1"/>
  <c r="P208" i="1"/>
  <c r="U207" i="1"/>
  <c r="T207" i="1"/>
  <c r="S207" i="1"/>
  <c r="R207" i="1"/>
  <c r="AT207" i="1" s="1"/>
  <c r="Q207" i="1"/>
  <c r="AU207" i="1" s="1"/>
  <c r="P207" i="1"/>
  <c r="U206" i="1"/>
  <c r="T206" i="1"/>
  <c r="S206" i="1"/>
  <c r="R206" i="1"/>
  <c r="AT206" i="1" s="1"/>
  <c r="Q206" i="1"/>
  <c r="AU206" i="1" s="1"/>
  <c r="P206" i="1"/>
  <c r="U205" i="1"/>
  <c r="T205" i="1"/>
  <c r="S205" i="1"/>
  <c r="R205" i="1"/>
  <c r="AT205" i="1" s="1"/>
  <c r="Q205" i="1"/>
  <c r="AU205" i="1" s="1"/>
  <c r="P205" i="1"/>
  <c r="U204" i="1"/>
  <c r="T204" i="1"/>
  <c r="S204" i="1"/>
  <c r="U203" i="1"/>
  <c r="T203" i="1"/>
  <c r="S203" i="1"/>
  <c r="R203" i="1"/>
  <c r="AT203" i="1" s="1"/>
  <c r="Q203" i="1"/>
  <c r="AU203" i="1" s="1"/>
  <c r="P203" i="1"/>
  <c r="U202" i="1"/>
  <c r="T202" i="1"/>
  <c r="S202" i="1"/>
  <c r="U201" i="1"/>
  <c r="T201" i="1"/>
  <c r="S201" i="1"/>
  <c r="R201" i="1"/>
  <c r="AT201" i="1" s="1"/>
  <c r="Q201" i="1"/>
  <c r="AU201" i="1" s="1"/>
  <c r="P201" i="1"/>
  <c r="U200" i="1"/>
  <c r="T200" i="1"/>
  <c r="S200" i="1"/>
  <c r="R200" i="1"/>
  <c r="AT200" i="1" s="1"/>
  <c r="Q200" i="1"/>
  <c r="AU200" i="1" s="1"/>
  <c r="P200" i="1"/>
  <c r="U199" i="1"/>
  <c r="T199" i="1"/>
  <c r="S199" i="1"/>
  <c r="U198" i="1"/>
  <c r="T198" i="1"/>
  <c r="S198" i="1"/>
  <c r="U197" i="1"/>
  <c r="T197" i="1"/>
  <c r="S197" i="1"/>
  <c r="R197" i="1"/>
  <c r="AT197" i="1" s="1"/>
  <c r="Q197" i="1"/>
  <c r="AU197" i="1" s="1"/>
  <c r="P197" i="1"/>
  <c r="U196" i="1"/>
  <c r="T196" i="1"/>
  <c r="S196" i="1"/>
  <c r="R196" i="1"/>
  <c r="AT196" i="1" s="1"/>
  <c r="Q196" i="1"/>
  <c r="AU196" i="1" s="1"/>
  <c r="P196" i="1"/>
  <c r="U195" i="1"/>
  <c r="T195" i="1"/>
  <c r="S195" i="1"/>
  <c r="U194" i="1"/>
  <c r="T194" i="1"/>
  <c r="S194" i="1"/>
  <c r="R194" i="1"/>
  <c r="AT194" i="1" s="1"/>
  <c r="Q194" i="1"/>
  <c r="AU194" i="1" s="1"/>
  <c r="P194" i="1"/>
  <c r="U193" i="1"/>
  <c r="T193" i="1"/>
  <c r="S193" i="1"/>
  <c r="U192" i="1"/>
  <c r="T192" i="1"/>
  <c r="S192" i="1"/>
  <c r="R192" i="1"/>
  <c r="AT192" i="1" s="1"/>
  <c r="Q192" i="1"/>
  <c r="AU192" i="1" s="1"/>
  <c r="P192" i="1"/>
  <c r="U191" i="1"/>
  <c r="T191" i="1"/>
  <c r="S191" i="1"/>
  <c r="R191" i="1"/>
  <c r="AT191" i="1" s="1"/>
  <c r="Q191" i="1"/>
  <c r="AU191" i="1" s="1"/>
  <c r="P191" i="1"/>
  <c r="U190" i="1"/>
  <c r="T190" i="1"/>
  <c r="S190" i="1"/>
  <c r="R190" i="1"/>
  <c r="AT190" i="1" s="1"/>
  <c r="Q190" i="1"/>
  <c r="AU190" i="1" s="1"/>
  <c r="P190" i="1"/>
  <c r="U189" i="1"/>
  <c r="T189" i="1"/>
  <c r="S189" i="1"/>
  <c r="R189" i="1"/>
  <c r="AT189" i="1" s="1"/>
  <c r="Q189" i="1"/>
  <c r="AU189" i="1" s="1"/>
  <c r="P189" i="1"/>
  <c r="U188" i="1"/>
  <c r="T188" i="1"/>
  <c r="S188" i="1"/>
  <c r="U187" i="1"/>
  <c r="T187" i="1"/>
  <c r="S187" i="1"/>
  <c r="U186" i="1"/>
  <c r="T186" i="1"/>
  <c r="S186" i="1"/>
  <c r="U185" i="1"/>
  <c r="T185" i="1"/>
  <c r="S185" i="1"/>
  <c r="U184" i="1"/>
  <c r="T184" i="1"/>
  <c r="S184" i="1"/>
  <c r="R184" i="1"/>
  <c r="AT184" i="1" s="1"/>
  <c r="Q184" i="1"/>
  <c r="AU184" i="1" s="1"/>
  <c r="P184" i="1"/>
  <c r="U183" i="1"/>
  <c r="T183" i="1"/>
  <c r="S183" i="1"/>
  <c r="U182" i="1"/>
  <c r="T182" i="1"/>
  <c r="S182" i="1"/>
  <c r="U181" i="1"/>
  <c r="T181" i="1"/>
  <c r="S181" i="1"/>
  <c r="R181" i="1"/>
  <c r="AT181" i="1" s="1"/>
  <c r="Q181" i="1"/>
  <c r="AU181" i="1" s="1"/>
  <c r="P181" i="1"/>
  <c r="U180" i="1"/>
  <c r="T180" i="1"/>
  <c r="S180" i="1"/>
  <c r="U179" i="1"/>
  <c r="T179" i="1"/>
  <c r="S179" i="1"/>
  <c r="U178" i="1"/>
  <c r="T178" i="1"/>
  <c r="S178" i="1"/>
  <c r="U177" i="1"/>
  <c r="T177" i="1"/>
  <c r="S177" i="1"/>
  <c r="U176" i="1"/>
  <c r="T176" i="1"/>
  <c r="S176" i="1"/>
  <c r="R176" i="1"/>
  <c r="AT176" i="1" s="1"/>
  <c r="Q176" i="1"/>
  <c r="AU176" i="1" s="1"/>
  <c r="P176" i="1"/>
  <c r="U175" i="1"/>
  <c r="T175" i="1"/>
  <c r="S175" i="1"/>
  <c r="R175" i="1"/>
  <c r="AT175" i="1" s="1"/>
  <c r="Q175" i="1"/>
  <c r="AU175" i="1" s="1"/>
  <c r="P175" i="1"/>
  <c r="U174" i="1"/>
  <c r="T174" i="1"/>
  <c r="S174" i="1"/>
  <c r="U173" i="1"/>
  <c r="T173" i="1"/>
  <c r="S173" i="1"/>
  <c r="U172" i="1"/>
  <c r="T172" i="1"/>
  <c r="S172" i="1"/>
  <c r="R172" i="1"/>
  <c r="AT172" i="1" s="1"/>
  <c r="Q172" i="1"/>
  <c r="AU172" i="1" s="1"/>
  <c r="P172" i="1"/>
  <c r="U171" i="1"/>
  <c r="T171" i="1"/>
  <c r="S171" i="1"/>
  <c r="U170" i="1"/>
  <c r="T170" i="1"/>
  <c r="S170" i="1"/>
  <c r="U169" i="1"/>
  <c r="T169" i="1"/>
  <c r="S169" i="1"/>
  <c r="R169" i="1"/>
  <c r="AT169" i="1" s="1"/>
  <c r="Q169" i="1"/>
  <c r="AU169" i="1" s="1"/>
  <c r="P169" i="1"/>
  <c r="U168" i="1"/>
  <c r="T168" i="1"/>
  <c r="S168" i="1"/>
  <c r="U167" i="1"/>
  <c r="T167" i="1"/>
  <c r="S167" i="1"/>
  <c r="R167" i="1"/>
  <c r="AT167" i="1" s="1"/>
  <c r="Q167" i="1"/>
  <c r="AU167" i="1" s="1"/>
  <c r="P167" i="1"/>
  <c r="U166" i="1"/>
  <c r="T166" i="1"/>
  <c r="S166" i="1"/>
  <c r="U165" i="1"/>
  <c r="T165" i="1"/>
  <c r="S165" i="1"/>
  <c r="U164" i="1"/>
  <c r="T164" i="1"/>
  <c r="S164" i="1"/>
  <c r="U163" i="1"/>
  <c r="T163" i="1"/>
  <c r="S163" i="1"/>
  <c r="U162" i="1"/>
  <c r="T162" i="1"/>
  <c r="S162" i="1"/>
  <c r="R162" i="1"/>
  <c r="AT162" i="1" s="1"/>
  <c r="Q162" i="1"/>
  <c r="AU162" i="1" s="1"/>
  <c r="P162" i="1"/>
  <c r="U161" i="1"/>
  <c r="T161" i="1"/>
  <c r="S161" i="1"/>
  <c r="R161" i="1"/>
  <c r="AT161" i="1" s="1"/>
  <c r="Q161" i="1"/>
  <c r="AU161" i="1" s="1"/>
  <c r="P161" i="1"/>
  <c r="U160" i="1"/>
  <c r="T160" i="1"/>
  <c r="S160" i="1"/>
  <c r="R160" i="1"/>
  <c r="AT160" i="1" s="1"/>
  <c r="Q160" i="1"/>
  <c r="AU160" i="1" s="1"/>
  <c r="P160" i="1"/>
  <c r="U159" i="1"/>
  <c r="T159" i="1"/>
  <c r="S159" i="1"/>
  <c r="U158" i="1"/>
  <c r="T158" i="1"/>
  <c r="S158" i="1"/>
  <c r="R158" i="1"/>
  <c r="AT158" i="1" s="1"/>
  <c r="Q158" i="1"/>
  <c r="AU158" i="1" s="1"/>
  <c r="P158" i="1"/>
  <c r="U157" i="1"/>
  <c r="T157" i="1"/>
  <c r="S157" i="1"/>
  <c r="R157" i="1"/>
  <c r="AT157" i="1" s="1"/>
  <c r="Q157" i="1"/>
  <c r="AU157" i="1" s="1"/>
  <c r="P157" i="1"/>
  <c r="U156" i="1"/>
  <c r="T156" i="1"/>
  <c r="S156" i="1"/>
  <c r="R156" i="1"/>
  <c r="AT156" i="1" s="1"/>
  <c r="Q156" i="1"/>
  <c r="AU156" i="1" s="1"/>
  <c r="P156" i="1"/>
  <c r="U155" i="1"/>
  <c r="T155" i="1"/>
  <c r="S155" i="1"/>
  <c r="U154" i="1"/>
  <c r="T154" i="1"/>
  <c r="S154" i="1"/>
  <c r="R154" i="1"/>
  <c r="AT154" i="1" s="1"/>
  <c r="Q154" i="1"/>
  <c r="AU154" i="1" s="1"/>
  <c r="P154" i="1"/>
  <c r="U153" i="1"/>
  <c r="T153" i="1"/>
  <c r="S153" i="1"/>
  <c r="R153" i="1"/>
  <c r="AT153" i="1" s="1"/>
  <c r="Q153" i="1"/>
  <c r="AU153" i="1" s="1"/>
  <c r="P153" i="1"/>
  <c r="U152" i="1"/>
  <c r="T152" i="1"/>
  <c r="S152" i="1"/>
  <c r="R152" i="1"/>
  <c r="AT152" i="1" s="1"/>
  <c r="Q152" i="1"/>
  <c r="AU152" i="1" s="1"/>
  <c r="P152" i="1"/>
  <c r="U151" i="1"/>
  <c r="T151" i="1"/>
  <c r="S151" i="1"/>
  <c r="U150" i="1"/>
  <c r="T150" i="1"/>
  <c r="S150" i="1"/>
  <c r="U149" i="1"/>
  <c r="T149" i="1"/>
  <c r="S149" i="1"/>
  <c r="U148" i="1"/>
  <c r="T148" i="1"/>
  <c r="S148" i="1"/>
  <c r="R148" i="1"/>
  <c r="AT148" i="1" s="1"/>
  <c r="Q148" i="1"/>
  <c r="AU148" i="1" s="1"/>
  <c r="P148" i="1"/>
  <c r="U147" i="1"/>
  <c r="T147" i="1"/>
  <c r="S147" i="1"/>
  <c r="R147" i="1"/>
  <c r="AT147" i="1" s="1"/>
  <c r="Q147" i="1"/>
  <c r="AU147" i="1" s="1"/>
  <c r="P147" i="1"/>
  <c r="U146" i="1"/>
  <c r="T146" i="1"/>
  <c r="S146" i="1"/>
  <c r="R146" i="1"/>
  <c r="AT146" i="1" s="1"/>
  <c r="Q146" i="1"/>
  <c r="AU146" i="1" s="1"/>
  <c r="P146" i="1"/>
  <c r="U145" i="1"/>
  <c r="T145" i="1"/>
  <c r="S145" i="1"/>
  <c r="R145" i="1"/>
  <c r="AT145" i="1" s="1"/>
  <c r="Q145" i="1"/>
  <c r="AU145" i="1" s="1"/>
  <c r="P145" i="1"/>
  <c r="U144" i="1"/>
  <c r="T144" i="1"/>
  <c r="S144" i="1"/>
  <c r="R144" i="1"/>
  <c r="AT144" i="1" s="1"/>
  <c r="Q144" i="1"/>
  <c r="AU144" i="1" s="1"/>
  <c r="P144" i="1"/>
  <c r="U143" i="1"/>
  <c r="T143" i="1"/>
  <c r="S143" i="1"/>
  <c r="R143" i="1"/>
  <c r="AT143" i="1" s="1"/>
  <c r="Q143" i="1"/>
  <c r="AU143" i="1" s="1"/>
  <c r="P143" i="1"/>
  <c r="U142" i="1"/>
  <c r="T142" i="1"/>
  <c r="S142" i="1"/>
  <c r="R142" i="1"/>
  <c r="AT142" i="1" s="1"/>
  <c r="Q142" i="1"/>
  <c r="AU142" i="1" s="1"/>
  <c r="P142" i="1"/>
  <c r="U141" i="1"/>
  <c r="T141" i="1"/>
  <c r="S141" i="1"/>
  <c r="R141" i="1"/>
  <c r="AT141" i="1" s="1"/>
  <c r="Q141" i="1"/>
  <c r="AU141" i="1" s="1"/>
  <c r="P141" i="1"/>
  <c r="U140" i="1"/>
  <c r="T140" i="1"/>
  <c r="S140" i="1"/>
  <c r="R140" i="1"/>
  <c r="AT140" i="1" s="1"/>
  <c r="Q140" i="1"/>
  <c r="AU140" i="1" s="1"/>
  <c r="P140" i="1"/>
  <c r="U139" i="1"/>
  <c r="T139" i="1"/>
  <c r="S139" i="1"/>
  <c r="R139" i="1"/>
  <c r="AT139" i="1" s="1"/>
  <c r="Q139" i="1"/>
  <c r="AU139" i="1" s="1"/>
  <c r="P139" i="1"/>
  <c r="U138" i="1"/>
  <c r="T138" i="1"/>
  <c r="S138" i="1"/>
  <c r="U137" i="1"/>
  <c r="T137" i="1"/>
  <c r="S137" i="1"/>
  <c r="R137" i="1"/>
  <c r="AT137" i="1" s="1"/>
  <c r="Q137" i="1"/>
  <c r="AU137" i="1" s="1"/>
  <c r="P137" i="1"/>
  <c r="U136" i="1"/>
  <c r="T136" i="1"/>
  <c r="S136" i="1"/>
  <c r="R136" i="1"/>
  <c r="AT136" i="1" s="1"/>
  <c r="Q136" i="1"/>
  <c r="AU136" i="1" s="1"/>
  <c r="P136" i="1"/>
  <c r="U135" i="1"/>
  <c r="T135" i="1"/>
  <c r="S135" i="1"/>
  <c r="U134" i="1"/>
  <c r="T134" i="1"/>
  <c r="S134" i="1"/>
  <c r="R134" i="1"/>
  <c r="AT134" i="1" s="1"/>
  <c r="Q134" i="1"/>
  <c r="AU134" i="1" s="1"/>
  <c r="P134" i="1"/>
  <c r="U133" i="1"/>
  <c r="T133" i="1"/>
  <c r="S133" i="1"/>
  <c r="U132" i="1"/>
  <c r="T132" i="1"/>
  <c r="S132" i="1"/>
  <c r="R132" i="1"/>
  <c r="AT132" i="1" s="1"/>
  <c r="Q132" i="1"/>
  <c r="AU132" i="1" s="1"/>
  <c r="P132" i="1"/>
  <c r="U131" i="1"/>
  <c r="T131" i="1"/>
  <c r="S131" i="1"/>
  <c r="R131" i="1"/>
  <c r="AT131" i="1" s="1"/>
  <c r="Q131" i="1"/>
  <c r="AU131" i="1" s="1"/>
  <c r="P131" i="1"/>
  <c r="U130" i="1"/>
  <c r="T130" i="1"/>
  <c r="S130" i="1"/>
  <c r="U129" i="1"/>
  <c r="T129" i="1"/>
  <c r="S129" i="1"/>
  <c r="R129" i="1"/>
  <c r="AT129" i="1" s="1"/>
  <c r="Q129" i="1"/>
  <c r="AU129" i="1" s="1"/>
  <c r="P129" i="1"/>
  <c r="U128" i="1"/>
  <c r="T128" i="1"/>
  <c r="S128" i="1"/>
  <c r="U127" i="1"/>
  <c r="T127" i="1"/>
  <c r="S127" i="1"/>
  <c r="U126" i="1"/>
  <c r="T126" i="1"/>
  <c r="S126" i="1"/>
  <c r="R126" i="1"/>
  <c r="AT126" i="1" s="1"/>
  <c r="Q126" i="1"/>
  <c r="AU126" i="1" s="1"/>
  <c r="P126" i="1"/>
  <c r="U125" i="1"/>
  <c r="T125" i="1"/>
  <c r="S125" i="1"/>
  <c r="R125" i="1"/>
  <c r="AT125" i="1" s="1"/>
  <c r="Q125" i="1"/>
  <c r="AU125" i="1" s="1"/>
  <c r="P125" i="1"/>
  <c r="U124" i="1"/>
  <c r="T124" i="1"/>
  <c r="S124" i="1"/>
  <c r="R124" i="1"/>
  <c r="AT124" i="1" s="1"/>
  <c r="Q124" i="1"/>
  <c r="AU124" i="1" s="1"/>
  <c r="P124" i="1"/>
  <c r="U123" i="1"/>
  <c r="T123" i="1"/>
  <c r="S123" i="1"/>
  <c r="R123" i="1"/>
  <c r="AT123" i="1" s="1"/>
  <c r="Q123" i="1"/>
  <c r="AU123" i="1" s="1"/>
  <c r="P123" i="1"/>
  <c r="U122" i="1"/>
  <c r="T122" i="1"/>
  <c r="S122" i="1"/>
  <c r="R122" i="1"/>
  <c r="AT122" i="1" s="1"/>
  <c r="Q122" i="1"/>
  <c r="AU122" i="1" s="1"/>
  <c r="P122" i="1"/>
  <c r="U121" i="1"/>
  <c r="T121" i="1"/>
  <c r="S121" i="1"/>
  <c r="R121" i="1"/>
  <c r="AT121" i="1" s="1"/>
  <c r="Q121" i="1"/>
  <c r="AU121" i="1" s="1"/>
  <c r="P121" i="1"/>
  <c r="U120" i="1"/>
  <c r="T120" i="1"/>
  <c r="S120" i="1"/>
  <c r="U119" i="1"/>
  <c r="T119" i="1"/>
  <c r="S119" i="1"/>
  <c r="U118" i="1"/>
  <c r="T118" i="1"/>
  <c r="S118" i="1"/>
  <c r="R118" i="1"/>
  <c r="AT118" i="1" s="1"/>
  <c r="Q118" i="1"/>
  <c r="AU118" i="1" s="1"/>
  <c r="P118" i="1"/>
  <c r="U117" i="1"/>
  <c r="T117" i="1"/>
  <c r="S117" i="1"/>
  <c r="U116" i="1"/>
  <c r="T116" i="1"/>
  <c r="S116" i="1"/>
  <c r="R116" i="1"/>
  <c r="AT116" i="1" s="1"/>
  <c r="Q116" i="1"/>
  <c r="AU116" i="1" s="1"/>
  <c r="P116" i="1"/>
  <c r="U115" i="1"/>
  <c r="T115" i="1"/>
  <c r="S115" i="1"/>
  <c r="R115" i="1"/>
  <c r="AT115" i="1" s="1"/>
  <c r="Q115" i="1"/>
  <c r="AU115" i="1" s="1"/>
  <c r="P115" i="1"/>
  <c r="U114" i="1"/>
  <c r="T114" i="1"/>
  <c r="S114" i="1"/>
  <c r="R114" i="1"/>
  <c r="AT114" i="1" s="1"/>
  <c r="Q114" i="1"/>
  <c r="AU114" i="1" s="1"/>
  <c r="P114" i="1"/>
  <c r="U113" i="1"/>
  <c r="T113" i="1"/>
  <c r="S113" i="1"/>
  <c r="U112" i="1"/>
  <c r="T112" i="1"/>
  <c r="S112" i="1"/>
  <c r="U111" i="1"/>
  <c r="T111" i="1"/>
  <c r="S111" i="1"/>
  <c r="R111" i="1"/>
  <c r="AT111" i="1" s="1"/>
  <c r="Q111" i="1"/>
  <c r="AU111" i="1" s="1"/>
  <c r="P111" i="1"/>
  <c r="U110" i="1"/>
  <c r="T110" i="1"/>
  <c r="S110" i="1"/>
  <c r="U109" i="1"/>
  <c r="T109" i="1"/>
  <c r="S109" i="1"/>
  <c r="U108" i="1"/>
  <c r="T108" i="1"/>
  <c r="S108" i="1"/>
  <c r="U107" i="1"/>
  <c r="T107" i="1"/>
  <c r="S107" i="1"/>
  <c r="R107" i="1"/>
  <c r="AT107" i="1" s="1"/>
  <c r="Q107" i="1"/>
  <c r="AU107" i="1" s="1"/>
  <c r="P107" i="1"/>
  <c r="U106" i="1"/>
  <c r="T106" i="1"/>
  <c r="S106" i="1"/>
  <c r="R106" i="1"/>
  <c r="AT106" i="1" s="1"/>
  <c r="Q106" i="1"/>
  <c r="AU106" i="1" s="1"/>
  <c r="P106" i="1"/>
  <c r="U105" i="1"/>
  <c r="T105" i="1"/>
  <c r="S105" i="1"/>
  <c r="U104" i="1"/>
  <c r="T104" i="1"/>
  <c r="S104" i="1"/>
  <c r="R104" i="1"/>
  <c r="AT104" i="1" s="1"/>
  <c r="Q104" i="1"/>
  <c r="AU104" i="1" s="1"/>
  <c r="P104" i="1"/>
  <c r="U103" i="1"/>
  <c r="T103" i="1"/>
  <c r="S103" i="1"/>
  <c r="U102" i="1"/>
  <c r="T102" i="1"/>
  <c r="S102" i="1"/>
  <c r="U101" i="1"/>
  <c r="T101" i="1"/>
  <c r="S101" i="1"/>
  <c r="U100" i="1"/>
  <c r="T100" i="1"/>
  <c r="S100" i="1"/>
  <c r="U99" i="1"/>
  <c r="T99" i="1"/>
  <c r="S99" i="1"/>
  <c r="R99" i="1"/>
  <c r="AT99" i="1" s="1"/>
  <c r="Q99" i="1"/>
  <c r="AU99" i="1" s="1"/>
  <c r="P99" i="1"/>
  <c r="U98" i="1"/>
  <c r="T98" i="1"/>
  <c r="S98" i="1"/>
  <c r="U97" i="1"/>
  <c r="T97" i="1"/>
  <c r="S97" i="1"/>
  <c r="R97" i="1"/>
  <c r="AT97" i="1" s="1"/>
  <c r="Q97" i="1"/>
  <c r="AU97" i="1" s="1"/>
  <c r="P97" i="1"/>
  <c r="U96" i="1"/>
  <c r="T96" i="1"/>
  <c r="S96" i="1"/>
  <c r="R96" i="1"/>
  <c r="AT96" i="1" s="1"/>
  <c r="Q96" i="1"/>
  <c r="AU96" i="1" s="1"/>
  <c r="P96" i="1"/>
  <c r="U95" i="1"/>
  <c r="T95" i="1"/>
  <c r="S95" i="1"/>
  <c r="R95" i="1"/>
  <c r="AT95" i="1" s="1"/>
  <c r="Q95" i="1"/>
  <c r="AU95" i="1" s="1"/>
  <c r="P95" i="1"/>
  <c r="U94" i="1"/>
  <c r="T94" i="1"/>
  <c r="S94" i="1"/>
  <c r="U93" i="1"/>
  <c r="T93" i="1"/>
  <c r="S93" i="1"/>
  <c r="U92" i="1"/>
  <c r="T92" i="1"/>
  <c r="S92" i="1"/>
  <c r="R92" i="1"/>
  <c r="AT92" i="1" s="1"/>
  <c r="Q92" i="1"/>
  <c r="AU92" i="1" s="1"/>
  <c r="P92" i="1"/>
  <c r="U91" i="1"/>
  <c r="T91" i="1"/>
  <c r="S91" i="1"/>
  <c r="R91" i="1"/>
  <c r="AT91" i="1" s="1"/>
  <c r="Q91" i="1"/>
  <c r="AU91" i="1" s="1"/>
  <c r="P91" i="1"/>
  <c r="U90" i="1"/>
  <c r="T90" i="1"/>
  <c r="S90" i="1"/>
  <c r="R90" i="1"/>
  <c r="AT90" i="1" s="1"/>
  <c r="Q90" i="1"/>
  <c r="AU90" i="1" s="1"/>
  <c r="P90" i="1"/>
  <c r="U89" i="1"/>
  <c r="T89" i="1"/>
  <c r="S89" i="1"/>
  <c r="R89" i="1"/>
  <c r="AT89" i="1" s="1"/>
  <c r="Q89" i="1"/>
  <c r="AU89" i="1" s="1"/>
  <c r="P89" i="1"/>
  <c r="U88" i="1"/>
  <c r="T88" i="1"/>
  <c r="S88" i="1"/>
  <c r="U87" i="1"/>
  <c r="T87" i="1"/>
  <c r="S87" i="1"/>
  <c r="U86" i="1"/>
  <c r="T86" i="1"/>
  <c r="S86" i="1"/>
  <c r="R86" i="1"/>
  <c r="AT86" i="1" s="1"/>
  <c r="Q86" i="1"/>
  <c r="AU86" i="1" s="1"/>
  <c r="P86" i="1"/>
  <c r="U85" i="1"/>
  <c r="T85" i="1"/>
  <c r="S85" i="1"/>
  <c r="U84" i="1"/>
  <c r="T84" i="1"/>
  <c r="S84" i="1"/>
  <c r="U83" i="1"/>
  <c r="T83" i="1"/>
  <c r="S83" i="1"/>
  <c r="U82" i="1"/>
  <c r="T82" i="1"/>
  <c r="S82" i="1"/>
  <c r="R82" i="1"/>
  <c r="AT82" i="1" s="1"/>
  <c r="Q82" i="1"/>
  <c r="AU82" i="1" s="1"/>
  <c r="P82" i="1"/>
  <c r="U81" i="1"/>
  <c r="T81" i="1"/>
  <c r="S81" i="1"/>
  <c r="U80" i="1"/>
  <c r="T80" i="1"/>
  <c r="S80" i="1"/>
  <c r="U79" i="1"/>
  <c r="T79" i="1"/>
  <c r="S79" i="1"/>
  <c r="U78" i="1"/>
  <c r="T78" i="1"/>
  <c r="S78" i="1"/>
  <c r="R78" i="1"/>
  <c r="AT78" i="1" s="1"/>
  <c r="Q78" i="1"/>
  <c r="AU78" i="1" s="1"/>
  <c r="P78" i="1"/>
  <c r="U77" i="1"/>
  <c r="T77" i="1"/>
  <c r="S77" i="1"/>
  <c r="U76" i="1"/>
  <c r="T76" i="1"/>
  <c r="S76" i="1"/>
  <c r="U75" i="1"/>
  <c r="T75" i="1"/>
  <c r="S75" i="1"/>
  <c r="U74" i="1"/>
  <c r="T74" i="1"/>
  <c r="S74" i="1"/>
  <c r="U73" i="1"/>
  <c r="T73" i="1"/>
  <c r="S73" i="1"/>
  <c r="U72" i="1"/>
  <c r="T72" i="1"/>
  <c r="S72" i="1"/>
  <c r="U71" i="1"/>
  <c r="T71" i="1"/>
  <c r="S71" i="1"/>
  <c r="U70" i="1"/>
  <c r="T70" i="1"/>
  <c r="S70" i="1"/>
  <c r="R70" i="1"/>
  <c r="AT70" i="1" s="1"/>
  <c r="Q70" i="1"/>
  <c r="AU70" i="1" s="1"/>
  <c r="P70" i="1"/>
  <c r="U69" i="1"/>
  <c r="T69" i="1"/>
  <c r="S69" i="1"/>
  <c r="U68" i="1"/>
  <c r="T68" i="1"/>
  <c r="S68" i="1"/>
  <c r="R68" i="1"/>
  <c r="AT68" i="1" s="1"/>
  <c r="Q68" i="1"/>
  <c r="AU68" i="1" s="1"/>
  <c r="P68" i="1"/>
  <c r="U67" i="1"/>
  <c r="T67" i="1"/>
  <c r="S67" i="1"/>
  <c r="U66" i="1"/>
  <c r="T66" i="1"/>
  <c r="S66" i="1"/>
  <c r="R66" i="1"/>
  <c r="AT66" i="1" s="1"/>
  <c r="Q66" i="1"/>
  <c r="AU66" i="1" s="1"/>
  <c r="P66" i="1"/>
  <c r="U65" i="1"/>
  <c r="T65" i="1"/>
  <c r="S65" i="1"/>
  <c r="R65" i="1"/>
  <c r="AT65" i="1" s="1"/>
  <c r="Q65" i="1"/>
  <c r="AU65" i="1" s="1"/>
  <c r="P65" i="1"/>
  <c r="U64" i="1"/>
  <c r="T64" i="1"/>
  <c r="S64" i="1"/>
  <c r="R64" i="1"/>
  <c r="AT64" i="1" s="1"/>
  <c r="Q64" i="1"/>
  <c r="AU64" i="1" s="1"/>
  <c r="P64" i="1"/>
  <c r="U63" i="1"/>
  <c r="T63" i="1"/>
  <c r="S63" i="1"/>
  <c r="U62" i="1"/>
  <c r="T62" i="1"/>
  <c r="S62" i="1"/>
  <c r="U61" i="1"/>
  <c r="T61" i="1"/>
  <c r="S61" i="1"/>
  <c r="R61" i="1"/>
  <c r="AT61" i="1" s="1"/>
  <c r="Q61" i="1"/>
  <c r="AU61" i="1" s="1"/>
  <c r="P61" i="1"/>
  <c r="U60" i="1"/>
  <c r="T60" i="1"/>
  <c r="S60" i="1"/>
  <c r="U59" i="1"/>
  <c r="T59" i="1"/>
  <c r="S59" i="1"/>
  <c r="R59" i="1"/>
  <c r="AT59" i="1" s="1"/>
  <c r="Q59" i="1"/>
  <c r="AU59" i="1" s="1"/>
  <c r="P59" i="1"/>
  <c r="U58" i="1"/>
  <c r="T58" i="1"/>
  <c r="S58" i="1"/>
  <c r="U57" i="1"/>
  <c r="T57" i="1"/>
  <c r="S57" i="1"/>
  <c r="R57" i="1"/>
  <c r="AT57" i="1" s="1"/>
  <c r="Q57" i="1"/>
  <c r="AU57" i="1" s="1"/>
  <c r="P57" i="1"/>
  <c r="U56" i="1"/>
  <c r="T56" i="1"/>
  <c r="S56" i="1"/>
  <c r="R56" i="1"/>
  <c r="AT56" i="1" s="1"/>
  <c r="Q56" i="1"/>
  <c r="AU56" i="1" s="1"/>
  <c r="P56" i="1"/>
  <c r="U55" i="1"/>
  <c r="T55" i="1"/>
  <c r="S55" i="1"/>
  <c r="U54" i="1"/>
  <c r="T54" i="1"/>
  <c r="S54" i="1"/>
  <c r="R54" i="1"/>
  <c r="AT54" i="1" s="1"/>
  <c r="Q54" i="1"/>
  <c r="AU54" i="1" s="1"/>
  <c r="P54" i="1"/>
  <c r="U53" i="1"/>
  <c r="T53" i="1"/>
  <c r="S53" i="1"/>
  <c r="R53" i="1"/>
  <c r="AT53" i="1" s="1"/>
  <c r="Q53" i="1"/>
  <c r="AU53" i="1" s="1"/>
  <c r="P53" i="1"/>
  <c r="U52" i="1"/>
  <c r="T52" i="1"/>
  <c r="S52" i="1"/>
  <c r="R52" i="1"/>
  <c r="AT52" i="1" s="1"/>
  <c r="Q52" i="1"/>
  <c r="AU52" i="1" s="1"/>
  <c r="P52" i="1"/>
  <c r="U51" i="1"/>
  <c r="T51" i="1"/>
  <c r="S51" i="1"/>
  <c r="R51" i="1"/>
  <c r="AT51" i="1" s="1"/>
  <c r="Q51" i="1"/>
  <c r="AU51" i="1" s="1"/>
  <c r="P51" i="1"/>
  <c r="U50" i="1"/>
  <c r="T50" i="1"/>
  <c r="S50" i="1"/>
  <c r="U49" i="1"/>
  <c r="T49" i="1"/>
  <c r="S49" i="1"/>
  <c r="U48" i="1"/>
  <c r="T48" i="1"/>
  <c r="S48" i="1"/>
  <c r="U47" i="1"/>
  <c r="T47" i="1"/>
  <c r="S47" i="1"/>
  <c r="U46" i="1"/>
  <c r="T46" i="1"/>
  <c r="S46" i="1"/>
  <c r="R46" i="1"/>
  <c r="AT46" i="1" s="1"/>
  <c r="Q46" i="1"/>
  <c r="AU46" i="1" s="1"/>
  <c r="P46" i="1"/>
  <c r="U45" i="1"/>
  <c r="T45" i="1"/>
  <c r="S45" i="1"/>
  <c r="U44" i="1"/>
  <c r="T44" i="1"/>
  <c r="S44" i="1"/>
  <c r="U43" i="1"/>
  <c r="T43" i="1"/>
  <c r="S43" i="1"/>
  <c r="R43" i="1"/>
  <c r="AT43" i="1" s="1"/>
  <c r="Q43" i="1"/>
  <c r="AU43" i="1" s="1"/>
  <c r="P43" i="1"/>
  <c r="U42" i="1"/>
  <c r="T42" i="1"/>
  <c r="S42" i="1"/>
  <c r="R42" i="1"/>
  <c r="AT42" i="1" s="1"/>
  <c r="Q42" i="1"/>
  <c r="AU42" i="1" s="1"/>
  <c r="P42" i="1"/>
  <c r="U41" i="1"/>
  <c r="T41" i="1"/>
  <c r="S41" i="1"/>
  <c r="R41" i="1"/>
  <c r="AT41" i="1" s="1"/>
  <c r="Q41" i="1"/>
  <c r="AU41" i="1" s="1"/>
  <c r="P41" i="1"/>
  <c r="U40" i="1"/>
  <c r="T40" i="1"/>
  <c r="S40" i="1"/>
  <c r="U39" i="1"/>
  <c r="T39" i="1"/>
  <c r="S39" i="1"/>
  <c r="R39" i="1"/>
  <c r="AT39" i="1" s="1"/>
  <c r="Q39" i="1"/>
  <c r="AU39" i="1" s="1"/>
  <c r="P39" i="1"/>
  <c r="U38" i="1"/>
  <c r="T38" i="1"/>
  <c r="S38" i="1"/>
  <c r="R38" i="1"/>
  <c r="AT38" i="1" s="1"/>
  <c r="Q38" i="1"/>
  <c r="AU38" i="1" s="1"/>
  <c r="P38" i="1"/>
  <c r="U37" i="1"/>
  <c r="T37" i="1"/>
  <c r="S37" i="1"/>
  <c r="R37" i="1"/>
  <c r="AT37" i="1" s="1"/>
  <c r="Q37" i="1"/>
  <c r="AU37" i="1" s="1"/>
  <c r="P37" i="1"/>
  <c r="U36" i="1"/>
  <c r="T36" i="1"/>
  <c r="S36" i="1"/>
  <c r="R36" i="1"/>
  <c r="AT36" i="1" s="1"/>
  <c r="Q36" i="1"/>
  <c r="AU36" i="1" s="1"/>
  <c r="P36" i="1"/>
  <c r="U35" i="1"/>
  <c r="T35" i="1"/>
  <c r="S35" i="1"/>
  <c r="U34" i="1"/>
  <c r="T34" i="1"/>
  <c r="S34" i="1"/>
  <c r="U33" i="1"/>
  <c r="T33" i="1"/>
  <c r="S33" i="1"/>
  <c r="U32" i="1"/>
  <c r="T32" i="1"/>
  <c r="S32" i="1"/>
  <c r="R32" i="1"/>
  <c r="AT32" i="1" s="1"/>
  <c r="Q32" i="1"/>
  <c r="AU32" i="1" s="1"/>
  <c r="P32" i="1"/>
  <c r="U31" i="1"/>
  <c r="T31" i="1"/>
  <c r="S31" i="1"/>
  <c r="R31" i="1"/>
  <c r="AT31" i="1" s="1"/>
  <c r="Q31" i="1"/>
  <c r="AU31" i="1" s="1"/>
  <c r="P31" i="1"/>
  <c r="U30" i="1"/>
  <c r="T30" i="1"/>
  <c r="S30" i="1"/>
  <c r="R30" i="1"/>
  <c r="AT30" i="1" s="1"/>
  <c r="Q30" i="1"/>
  <c r="AU30" i="1" s="1"/>
  <c r="P30" i="1"/>
  <c r="U29" i="1"/>
  <c r="T29" i="1"/>
  <c r="S29" i="1"/>
  <c r="U28" i="1"/>
  <c r="T28" i="1"/>
  <c r="S28" i="1"/>
  <c r="R28" i="1"/>
  <c r="AT28" i="1" s="1"/>
  <c r="Q28" i="1"/>
  <c r="AU28" i="1" s="1"/>
  <c r="P28" i="1"/>
  <c r="U27" i="1"/>
  <c r="T27" i="1"/>
  <c r="S27" i="1"/>
  <c r="U26" i="1"/>
  <c r="T26" i="1"/>
  <c r="S26" i="1"/>
  <c r="U25" i="1"/>
  <c r="T25" i="1"/>
  <c r="S25" i="1"/>
  <c r="R25" i="1"/>
  <c r="AT25" i="1" s="1"/>
  <c r="Q25" i="1"/>
  <c r="AU25" i="1" s="1"/>
  <c r="P25" i="1"/>
  <c r="U24" i="1"/>
  <c r="T24" i="1"/>
  <c r="S24" i="1"/>
  <c r="U23" i="1"/>
  <c r="T23" i="1"/>
  <c r="S23" i="1"/>
  <c r="U22" i="1"/>
  <c r="T22" i="1"/>
  <c r="S22" i="1"/>
  <c r="U21" i="1"/>
  <c r="T21" i="1"/>
  <c r="S21" i="1"/>
  <c r="R21" i="1"/>
  <c r="AT21" i="1" s="1"/>
  <c r="Q21" i="1"/>
  <c r="AU21" i="1" s="1"/>
  <c r="P21" i="1"/>
  <c r="U20" i="1"/>
  <c r="T20" i="1"/>
  <c r="S20" i="1"/>
  <c r="R20" i="1"/>
  <c r="AT20" i="1" s="1"/>
  <c r="Q20" i="1"/>
  <c r="AU20" i="1" s="1"/>
  <c r="P20" i="1"/>
  <c r="U19" i="1"/>
  <c r="T19" i="1"/>
  <c r="S19" i="1"/>
  <c r="U18" i="1"/>
  <c r="T18" i="1"/>
  <c r="S18" i="1"/>
  <c r="R18" i="1"/>
  <c r="AT18" i="1" s="1"/>
  <c r="Q18" i="1"/>
  <c r="AU18" i="1" s="1"/>
  <c r="P18" i="1"/>
  <c r="U17" i="1"/>
  <c r="T17" i="1"/>
  <c r="S17" i="1"/>
  <c r="R17" i="1"/>
  <c r="AT17" i="1" s="1"/>
  <c r="Q17" i="1"/>
  <c r="AU17" i="1" s="1"/>
  <c r="P17" i="1"/>
  <c r="U16" i="1"/>
  <c r="T16" i="1"/>
  <c r="S16" i="1"/>
  <c r="U15" i="1"/>
  <c r="T15" i="1"/>
  <c r="S15" i="1"/>
  <c r="U14" i="1"/>
  <c r="T14" i="1"/>
  <c r="S14" i="1"/>
  <c r="R14" i="1"/>
  <c r="AT14" i="1" s="1"/>
  <c r="Q14" i="1"/>
  <c r="AU14" i="1" s="1"/>
  <c r="P14" i="1"/>
  <c r="U13" i="1"/>
  <c r="T13" i="1"/>
  <c r="S13" i="1"/>
  <c r="R13" i="1"/>
  <c r="AT13" i="1" s="1"/>
  <c r="Q13" i="1"/>
  <c r="AU13" i="1" s="1"/>
  <c r="P13" i="1"/>
  <c r="U12" i="1"/>
  <c r="T12" i="1"/>
  <c r="S12" i="1"/>
  <c r="R12" i="1"/>
  <c r="AT12" i="1" s="1"/>
  <c r="Q12" i="1"/>
  <c r="AU12" i="1" s="1"/>
  <c r="P12" i="1"/>
  <c r="U11" i="1"/>
  <c r="T11" i="1"/>
  <c r="S11" i="1"/>
  <c r="R11" i="1"/>
  <c r="AT11" i="1" s="1"/>
  <c r="Q11" i="1"/>
  <c r="AU11" i="1" s="1"/>
  <c r="P11" i="1"/>
  <c r="U10" i="1"/>
  <c r="T10" i="1"/>
  <c r="S10" i="1"/>
  <c r="U9" i="1"/>
  <c r="T9" i="1"/>
  <c r="S9" i="1"/>
  <c r="R9" i="1"/>
  <c r="AT9" i="1" s="1"/>
  <c r="Q9" i="1"/>
  <c r="AU9" i="1" s="1"/>
  <c r="P9" i="1"/>
  <c r="U8" i="1"/>
  <c r="T8" i="1"/>
  <c r="S8" i="1"/>
  <c r="U7" i="1"/>
  <c r="T7" i="1"/>
  <c r="S7" i="1"/>
  <c r="U6" i="1"/>
  <c r="T6" i="1"/>
  <c r="S6" i="1"/>
  <c r="R6" i="1"/>
  <c r="AT6" i="1" s="1"/>
  <c r="Q6" i="1"/>
  <c r="AU6" i="1" s="1"/>
  <c r="P6" i="1"/>
  <c r="U5" i="1"/>
  <c r="T5" i="1"/>
  <c r="S5" i="1"/>
  <c r="U4" i="1"/>
  <c r="T4" i="1"/>
  <c r="S4" i="1"/>
  <c r="R4" i="1"/>
  <c r="AT4" i="1" s="1"/>
  <c r="Q4" i="1"/>
  <c r="AU4" i="1" s="1"/>
  <c r="P4" i="1"/>
  <c r="U3" i="1"/>
  <c r="T3" i="1"/>
  <c r="S3" i="1"/>
  <c r="X2" i="1"/>
  <c r="U2" i="1"/>
  <c r="T2" i="1"/>
  <c r="S2" i="1"/>
  <c r="B528" i="6"/>
  <c r="N528" i="6"/>
  <c r="B529" i="6"/>
  <c r="N529" i="6"/>
  <c r="N530" i="6"/>
  <c r="N544" i="6"/>
  <c r="N533" i="6"/>
  <c r="N532" i="6"/>
  <c r="N531" i="6"/>
  <c r="N546" i="6"/>
  <c r="N545" i="6"/>
  <c r="N543" i="6"/>
  <c r="N542" i="6"/>
  <c r="V752" i="1"/>
  <c r="V766" i="1"/>
  <c r="E570" i="6"/>
  <c r="B570" i="6"/>
  <c r="E574" i="6"/>
  <c r="B574" i="6"/>
  <c r="E577" i="6"/>
  <c r="B577" i="6"/>
  <c r="E562" i="6"/>
  <c r="B562" i="6"/>
  <c r="E565" i="6"/>
  <c r="B565" i="6"/>
  <c r="E568" i="6"/>
  <c r="B568" i="6"/>
  <c r="V701" i="1"/>
  <c r="V702" i="1"/>
  <c r="V571" i="1"/>
  <c r="J34" i="7"/>
  <c r="G78" i="7" s="1"/>
  <c r="I34" i="7"/>
  <c r="J78" i="7" s="1"/>
  <c r="H33" i="7"/>
  <c r="D78" i="7" s="1"/>
  <c r="H32" i="7"/>
  <c r="D97" i="7" s="1"/>
  <c r="G33" i="7"/>
  <c r="C78" i="7"/>
  <c r="E34" i="7"/>
  <c r="F78" i="7" s="1"/>
  <c r="D34" i="7"/>
  <c r="I78" i="7" s="1"/>
  <c r="B91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66" i="6"/>
  <c r="B567" i="6"/>
  <c r="B563" i="6"/>
  <c r="B564" i="6"/>
  <c r="B560" i="6"/>
  <c r="B561" i="6"/>
  <c r="B575" i="6"/>
  <c r="B576" i="6"/>
  <c r="B572" i="6"/>
  <c r="B573" i="6"/>
  <c r="B569" i="6"/>
  <c r="B571" i="6"/>
  <c r="D91" i="6"/>
  <c r="E91" i="6"/>
  <c r="E13" i="7"/>
  <c r="F73" i="7" s="1"/>
  <c r="E560" i="6"/>
  <c r="E561" i="6"/>
  <c r="N5" i="12"/>
  <c r="N6" i="12"/>
  <c r="L5" i="12"/>
  <c r="L6" i="12"/>
  <c r="M5" i="12"/>
  <c r="E575" i="6"/>
  <c r="E576" i="6"/>
  <c r="E572" i="6"/>
  <c r="E573" i="6"/>
  <c r="E564" i="6"/>
  <c r="E563" i="6"/>
  <c r="J62" i="7"/>
  <c r="G85" i="7" s="1"/>
  <c r="J58" i="7"/>
  <c r="G84" i="7" s="1"/>
  <c r="E58" i="7"/>
  <c r="F84" i="7" s="1"/>
  <c r="J54" i="7"/>
  <c r="G83" i="7" s="1"/>
  <c r="J50" i="7"/>
  <c r="G82" i="7" s="1"/>
  <c r="J46" i="7"/>
  <c r="G81" i="7" s="1"/>
  <c r="J42" i="7"/>
  <c r="G80" i="7" s="1"/>
  <c r="J38" i="7"/>
  <c r="G79" i="7" s="1"/>
  <c r="J29" i="7"/>
  <c r="G77" i="7" s="1"/>
  <c r="E62" i="7"/>
  <c r="F85" i="7" s="1"/>
  <c r="E54" i="7"/>
  <c r="F83" i="7" s="1"/>
  <c r="E50" i="7"/>
  <c r="F82" i="7" s="1"/>
  <c r="E46" i="7"/>
  <c r="F81" i="7" s="1"/>
  <c r="E42" i="7"/>
  <c r="F80" i="7" s="1"/>
  <c r="E38" i="7"/>
  <c r="F79" i="7" s="1"/>
  <c r="E29" i="7"/>
  <c r="F77" i="7" s="1"/>
  <c r="E25" i="7"/>
  <c r="F76" i="7" s="1"/>
  <c r="E21" i="7"/>
  <c r="F75" i="7" s="1"/>
  <c r="E17" i="7"/>
  <c r="F74" i="7" s="1"/>
  <c r="E9" i="7"/>
  <c r="F72" i="7" s="1"/>
  <c r="E5" i="7"/>
  <c r="F71" i="7" s="1"/>
  <c r="D5" i="7"/>
  <c r="I71" i="7" s="1"/>
  <c r="E566" i="6"/>
  <c r="E567" i="6"/>
  <c r="E569" i="6"/>
  <c r="E571" i="6"/>
  <c r="I62" i="7"/>
  <c r="J85" i="7" s="1"/>
  <c r="I58" i="7"/>
  <c r="J84" i="7" s="1"/>
  <c r="I54" i="7"/>
  <c r="J83" i="7" s="1"/>
  <c r="I50" i="7"/>
  <c r="J82" i="7" s="1"/>
  <c r="I46" i="7"/>
  <c r="J81" i="7" s="1"/>
  <c r="I42" i="7"/>
  <c r="J80" i="7" s="1"/>
  <c r="I38" i="7"/>
  <c r="J79" i="7" s="1"/>
  <c r="I29" i="7"/>
  <c r="J77" i="7" s="1"/>
  <c r="I25" i="7"/>
  <c r="J76" i="7" s="1"/>
  <c r="I21" i="7"/>
  <c r="J75" i="7" s="1"/>
  <c r="I17" i="7"/>
  <c r="J74" i="7" s="1"/>
  <c r="H61" i="7"/>
  <c r="D85" i="7" s="1"/>
  <c r="H60" i="7"/>
  <c r="D104" i="7" s="1"/>
  <c r="H57" i="7"/>
  <c r="H56" i="7"/>
  <c r="D103" i="7" s="1"/>
  <c r="H53" i="7"/>
  <c r="D83" i="7" s="1"/>
  <c r="H52" i="7"/>
  <c r="D102" i="7" s="1"/>
  <c r="H49" i="7"/>
  <c r="H48" i="7"/>
  <c r="D101" i="7" s="1"/>
  <c r="H45" i="7"/>
  <c r="D81" i="7" s="1"/>
  <c r="H44" i="7"/>
  <c r="D100" i="7" s="1"/>
  <c r="H41" i="7"/>
  <c r="D80" i="7" s="1"/>
  <c r="H40" i="7"/>
  <c r="D99" i="7" s="1"/>
  <c r="H37" i="7"/>
  <c r="D79" i="7" s="1"/>
  <c r="H36" i="7"/>
  <c r="D98" i="7" s="1"/>
  <c r="H28" i="7"/>
  <c r="D77" i="7" s="1"/>
  <c r="H27" i="7"/>
  <c r="D96" i="7" s="1"/>
  <c r="H24" i="7"/>
  <c r="D76" i="7" s="1"/>
  <c r="H23" i="7"/>
  <c r="D95" i="7" s="1"/>
  <c r="H20" i="7"/>
  <c r="D75" i="7" s="1"/>
  <c r="H19" i="7"/>
  <c r="H16" i="7"/>
  <c r="H15" i="7"/>
  <c r="D93" i="7" s="1"/>
  <c r="H11" i="7"/>
  <c r="D92" i="7" s="1"/>
  <c r="H7" i="7"/>
  <c r="D91" i="7" s="1"/>
  <c r="H3" i="7"/>
  <c r="D90" i="7" s="1"/>
  <c r="G61" i="7"/>
  <c r="C85" i="7" s="1"/>
  <c r="G57" i="7"/>
  <c r="C84" i="7" s="1"/>
  <c r="G53" i="7"/>
  <c r="C83" i="7" s="1"/>
  <c r="G49" i="7"/>
  <c r="C82" i="7" s="1"/>
  <c r="G45" i="7"/>
  <c r="C81" i="7" s="1"/>
  <c r="G41" i="7"/>
  <c r="C80" i="7" s="1"/>
  <c r="G37" i="7"/>
  <c r="C79" i="7" s="1"/>
  <c r="G28" i="7"/>
  <c r="C77" i="7" s="1"/>
  <c r="G24" i="7"/>
  <c r="C76" i="7" s="1"/>
  <c r="G20" i="7"/>
  <c r="C75" i="7" s="1"/>
  <c r="G16" i="7"/>
  <c r="C74" i="7" s="1"/>
  <c r="G12" i="7"/>
  <c r="C73" i="7" s="1"/>
  <c r="G8" i="7"/>
  <c r="C72" i="7" s="1"/>
  <c r="G4" i="7"/>
  <c r="C71" i="7" s="1"/>
  <c r="D62" i="7"/>
  <c r="I85" i="7" s="1"/>
  <c r="D58" i="7"/>
  <c r="I84" i="7" s="1"/>
  <c r="D54" i="7"/>
  <c r="I83" i="7" s="1"/>
  <c r="D50" i="7"/>
  <c r="I82" i="7" s="1"/>
  <c r="D46" i="7"/>
  <c r="I81" i="7" s="1"/>
  <c r="D42" i="7"/>
  <c r="D38" i="7"/>
  <c r="I79" i="7" s="1"/>
  <c r="D29" i="7"/>
  <c r="I77" i="7" s="1"/>
  <c r="D25" i="7"/>
  <c r="I76" i="7" s="1"/>
  <c r="D21" i="7"/>
  <c r="I75" i="7" s="1"/>
  <c r="D17" i="7"/>
  <c r="I74" i="7" s="1"/>
  <c r="D13" i="7"/>
  <c r="I73" i="7" s="1"/>
  <c r="D9" i="7"/>
  <c r="I72" i="7" s="1"/>
  <c r="O578" i="6"/>
  <c r="M578" i="6"/>
  <c r="G578" i="6"/>
  <c r="V1191" i="1"/>
  <c r="V1369" i="1"/>
  <c r="O3716" i="33"/>
  <c r="M3716" i="33"/>
  <c r="G3716" i="33"/>
  <c r="N3722" i="33"/>
  <c r="N3716" i="33"/>
  <c r="I3399" i="33"/>
  <c r="I3398" i="33"/>
  <c r="J3398" i="33"/>
  <c r="J3400" i="33"/>
  <c r="K3398" i="33"/>
  <c r="K3399" i="33"/>
  <c r="P3399" i="33"/>
  <c r="P3398" i="33"/>
  <c r="AO158" i="1"/>
  <c r="AQ158" i="1" s="1"/>
  <c r="AO973" i="1"/>
  <c r="AQ973" i="1" s="1"/>
  <c r="I3505" i="33"/>
  <c r="AO73" i="1"/>
  <c r="AT49" i="1"/>
  <c r="AT128" i="1"/>
  <c r="I1440" i="33"/>
  <c r="AT84" i="1"/>
  <c r="I1420" i="33"/>
  <c r="I1656" i="33"/>
  <c r="I1786" i="33"/>
  <c r="I1838" i="33"/>
  <c r="AT309" i="1"/>
  <c r="AT371" i="1"/>
  <c r="AT377" i="1"/>
  <c r="AT344" i="1"/>
  <c r="I1962" i="33"/>
  <c r="J2017" i="33"/>
  <c r="J2056" i="33"/>
  <c r="AO443" i="1"/>
  <c r="AQ443" i="1" s="1"/>
  <c r="J2142" i="33"/>
  <c r="J2162" i="33"/>
  <c r="AU492" i="1"/>
  <c r="J2214" i="33"/>
  <c r="AO478" i="1"/>
  <c r="J2263" i="33"/>
  <c r="J2330" i="33"/>
  <c r="AO575" i="1"/>
  <c r="AQ575" i="1" s="1"/>
  <c r="J2360" i="33"/>
  <c r="AU612" i="1"/>
  <c r="AU632" i="1"/>
  <c r="AO616" i="1"/>
  <c r="AT637" i="1"/>
  <c r="I2657" i="33"/>
  <c r="I2668" i="33"/>
  <c r="AT840" i="1"/>
  <c r="I2696" i="33"/>
  <c r="AT686" i="1"/>
  <c r="AT846" i="1"/>
  <c r="I2775" i="33"/>
  <c r="J2825" i="33"/>
  <c r="J2863" i="33"/>
  <c r="AO740" i="1"/>
  <c r="J3504" i="33"/>
  <c r="I3350" i="33"/>
  <c r="AU1044" i="1"/>
  <c r="J3370" i="33"/>
  <c r="AO1036" i="1"/>
  <c r="J3495" i="33"/>
  <c r="AO309" i="1"/>
  <c r="AQ309" i="1" s="1"/>
  <c r="AU657" i="1"/>
  <c r="I2860" i="33"/>
  <c r="I2915" i="33"/>
  <c r="AT806" i="1"/>
  <c r="AU853" i="1"/>
  <c r="J3028" i="33"/>
  <c r="AO80" i="1"/>
  <c r="AT159" i="1"/>
  <c r="AT81" i="1"/>
  <c r="I1416" i="33"/>
  <c r="I1514" i="33"/>
  <c r="AT69" i="1"/>
  <c r="I1631" i="33"/>
  <c r="AT2" i="1"/>
  <c r="I1775" i="33"/>
  <c r="I1850" i="33"/>
  <c r="AU415" i="1"/>
  <c r="AO416" i="1"/>
  <c r="AO440" i="1"/>
  <c r="AO446" i="1"/>
  <c r="J2098" i="33"/>
  <c r="AO438" i="1"/>
  <c r="AQ438" i="1" s="1"/>
  <c r="AU775" i="1"/>
  <c r="AO485" i="1"/>
  <c r="J2200" i="33"/>
  <c r="AO499" i="1"/>
  <c r="AO519" i="1"/>
  <c r="AQ519" i="1" s="1"/>
  <c r="AU526" i="1"/>
  <c r="J1874" i="33"/>
  <c r="AU572" i="1"/>
  <c r="J2325" i="33"/>
  <c r="AO566" i="1"/>
  <c r="AQ566" i="1" s="1"/>
  <c r="J2378" i="33"/>
  <c r="AO520" i="1"/>
  <c r="AO590" i="1"/>
  <c r="AQ590" i="1" s="1"/>
  <c r="AO514" i="1"/>
  <c r="AT639" i="1"/>
  <c r="I2513" i="33"/>
  <c r="AT552" i="1"/>
  <c r="AT620" i="1"/>
  <c r="AT673" i="1"/>
  <c r="AT755" i="1"/>
  <c r="I2699" i="33"/>
  <c r="AT883" i="1"/>
  <c r="J2797" i="33"/>
  <c r="J2826" i="33"/>
  <c r="AU919" i="1"/>
  <c r="AU795" i="1"/>
  <c r="J2875" i="33"/>
  <c r="AU810" i="1"/>
  <c r="J424" i="6"/>
  <c r="I2888" i="33"/>
  <c r="J3256" i="33"/>
  <c r="AO1131" i="1"/>
  <c r="AU1248" i="1"/>
  <c r="AO1166" i="1"/>
  <c r="AQ1166" i="1" s="1"/>
  <c r="J3319" i="33"/>
  <c r="AO1148" i="1"/>
  <c r="J3375" i="33"/>
  <c r="AT1138" i="1"/>
  <c r="AO1226" i="1"/>
  <c r="AO1329" i="1"/>
  <c r="AO1215" i="1"/>
  <c r="AO1276" i="1"/>
  <c r="AO1309" i="1"/>
  <c r="I3657" i="33"/>
  <c r="AO316" i="1"/>
  <c r="I2971" i="33"/>
  <c r="AT896" i="1"/>
  <c r="I2985" i="33"/>
  <c r="AU1010" i="1"/>
  <c r="J3020" i="33"/>
  <c r="AO961" i="1"/>
  <c r="AO976" i="1"/>
  <c r="AO1016" i="1"/>
  <c r="J3139" i="33"/>
  <c r="AU980" i="1"/>
  <c r="J3158" i="33"/>
  <c r="P1366" i="33"/>
  <c r="P2100" i="33"/>
  <c r="P2341" i="33"/>
  <c r="P2466" i="33"/>
  <c r="P2854" i="33"/>
  <c r="P2866" i="33"/>
  <c r="P2888" i="33"/>
  <c r="P3306" i="33"/>
  <c r="P3464" i="33"/>
  <c r="P1348" i="33"/>
  <c r="P2061" i="33"/>
  <c r="P2095" i="33"/>
  <c r="P2234" i="33"/>
  <c r="P2320" i="33"/>
  <c r="P2407" i="33"/>
  <c r="P2870" i="33"/>
  <c r="P3277" i="33"/>
  <c r="P3293" i="33"/>
  <c r="P3322" i="33"/>
  <c r="P3526" i="33"/>
  <c r="P2992" i="33"/>
  <c r="P3042" i="33"/>
  <c r="P3084" i="33"/>
  <c r="P1325" i="33"/>
  <c r="P2393" i="33"/>
  <c r="P2815" i="33"/>
  <c r="P2836" i="33"/>
  <c r="P3256" i="33"/>
  <c r="P3314" i="33"/>
  <c r="P3318" i="33"/>
  <c r="P3344" i="33"/>
  <c r="P3499" i="33"/>
  <c r="P3539" i="33"/>
  <c r="P3619" i="33"/>
  <c r="P3504" i="33"/>
  <c r="P1404" i="33"/>
  <c r="P3006" i="33"/>
  <c r="P3124" i="33"/>
  <c r="P336" i="6"/>
  <c r="I377" i="6"/>
  <c r="P3660" i="33"/>
  <c r="K142" i="6"/>
  <c r="I143" i="6"/>
  <c r="I375" i="6"/>
  <c r="P2794" i="33"/>
  <c r="J349" i="6"/>
  <c r="J348" i="6"/>
  <c r="K2792" i="33"/>
  <c r="K347" i="6"/>
  <c r="I3506" i="33"/>
  <c r="K254" i="6"/>
  <c r="K255" i="6"/>
  <c r="K3637" i="33"/>
  <c r="H12" i="7"/>
  <c r="D73" i="7" s="1"/>
  <c r="H4" i="7"/>
  <c r="D71" i="7" s="1"/>
  <c r="I9" i="7"/>
  <c r="J72" i="7" s="1"/>
  <c r="P219" i="6"/>
  <c r="I3649" i="33"/>
  <c r="P3521" i="33"/>
  <c r="I3647" i="33"/>
  <c r="K3639" i="33"/>
  <c r="P3622" i="33"/>
  <c r="I3410" i="33"/>
  <c r="J3270" i="33"/>
  <c r="J2828" i="33"/>
  <c r="K3194" i="33"/>
  <c r="J196" i="6"/>
  <c r="J197" i="6"/>
  <c r="J195" i="6"/>
  <c r="J198" i="6"/>
  <c r="J3447" i="33"/>
  <c r="I3447" i="33"/>
  <c r="J25" i="7"/>
  <c r="G76" i="7" s="1"/>
  <c r="P3447" i="33"/>
  <c r="I3532" i="33"/>
  <c r="K3447" i="33"/>
  <c r="K3533" i="33"/>
  <c r="I3533" i="33"/>
  <c r="I3531" i="33"/>
  <c r="I3405" i="33"/>
  <c r="K3531" i="33"/>
  <c r="J3065" i="33"/>
  <c r="I2938" i="33"/>
  <c r="J3056" i="33"/>
  <c r="P2884" i="33"/>
  <c r="J21" i="7"/>
  <c r="G75" i="7" s="1"/>
  <c r="P2088" i="33"/>
  <c r="I1390" i="33"/>
  <c r="P3565" i="33"/>
  <c r="J3257" i="33"/>
  <c r="P3577" i="33"/>
  <c r="K3413" i="33"/>
  <c r="I3449" i="33"/>
  <c r="P2806" i="33"/>
  <c r="J173" i="6"/>
  <c r="K179" i="6"/>
  <c r="I2482" i="33"/>
  <c r="J2152" i="33"/>
  <c r="P2210" i="33"/>
  <c r="K2523" i="33"/>
  <c r="J2412" i="33"/>
  <c r="J2413" i="33"/>
  <c r="I1718" i="33"/>
  <c r="J2126" i="33"/>
  <c r="K2670" i="33"/>
  <c r="K2672" i="33"/>
  <c r="K2781" i="33"/>
  <c r="P2848" i="33"/>
  <c r="J1873" i="33"/>
  <c r="I3257" i="33"/>
  <c r="I3256" i="33"/>
  <c r="J2873" i="33"/>
  <c r="I2701" i="33"/>
  <c r="I2553" i="33"/>
  <c r="K2636" i="33"/>
  <c r="K2638" i="33"/>
  <c r="K2680" i="33"/>
  <c r="J2847" i="33"/>
  <c r="J2846" i="33"/>
  <c r="I2702" i="33"/>
  <c r="K1839" i="33"/>
  <c r="I2887" i="33"/>
  <c r="I1575" i="33"/>
  <c r="P2458" i="33"/>
  <c r="P2808" i="33"/>
  <c r="K2747" i="33"/>
  <c r="K137" i="6"/>
  <c r="I2793" i="33"/>
  <c r="I2792" i="33"/>
  <c r="I2728" i="33"/>
  <c r="P2403" i="33"/>
  <c r="J2841" i="33"/>
  <c r="I2556" i="33"/>
  <c r="J2093" i="33"/>
  <c r="K2749" i="33"/>
  <c r="J1370" i="33"/>
  <c r="J1369" i="33"/>
  <c r="I1524" i="33"/>
  <c r="K1540" i="33"/>
  <c r="I2733" i="33"/>
  <c r="J2833" i="33"/>
  <c r="P2209" i="33"/>
  <c r="P3046" i="33"/>
  <c r="I3163" i="33"/>
  <c r="K3416" i="33"/>
  <c r="H8" i="7"/>
  <c r="D72" i="7" s="1"/>
  <c r="J17" i="7"/>
  <c r="G74" i="7" s="1"/>
  <c r="I13" i="7"/>
  <c r="J73" i="7" s="1"/>
  <c r="K1897" i="33"/>
  <c r="I2474" i="33"/>
  <c r="K2722" i="33"/>
  <c r="J2799" i="33"/>
  <c r="J2798" i="33"/>
  <c r="P3289" i="33"/>
  <c r="P3290" i="33"/>
  <c r="K2743" i="33"/>
  <c r="J3249" i="33"/>
  <c r="J3269" i="33"/>
  <c r="J3268" i="33"/>
  <c r="J3325" i="33"/>
  <c r="I3409" i="33"/>
  <c r="J3148" i="33"/>
  <c r="J3057" i="33"/>
  <c r="I2939" i="33"/>
  <c r="J3027" i="33"/>
  <c r="J3054" i="33"/>
  <c r="I2937" i="33"/>
  <c r="I2940" i="33"/>
  <c r="J3023" i="33"/>
  <c r="P2677" i="33"/>
  <c r="I2898" i="33"/>
  <c r="P1460" i="33"/>
  <c r="J3024" i="33"/>
  <c r="I3253" i="33"/>
  <c r="J2184" i="33"/>
  <c r="J3310" i="33"/>
  <c r="J3313" i="33"/>
  <c r="J3340" i="33"/>
  <c r="J3341" i="33"/>
  <c r="J3348" i="33"/>
  <c r="K97" i="6"/>
  <c r="J3281" i="33"/>
  <c r="P3280" i="33"/>
  <c r="I3363" i="33"/>
  <c r="P3501" i="33"/>
  <c r="P3502" i="33"/>
  <c r="J3506" i="33"/>
  <c r="J3531" i="33"/>
  <c r="J3533" i="33"/>
  <c r="J3532" i="33"/>
  <c r="P3538" i="33"/>
  <c r="P3536" i="33"/>
  <c r="P3615" i="33"/>
  <c r="K3643" i="33"/>
  <c r="K3642" i="33"/>
  <c r="K3646" i="33"/>
  <c r="K3645" i="33"/>
  <c r="P3537" i="33"/>
  <c r="J3346" i="33"/>
  <c r="P3500" i="33"/>
  <c r="J2791" i="33"/>
  <c r="J2793" i="33"/>
  <c r="J2792" i="33"/>
  <c r="J2887" i="33"/>
  <c r="J2888" i="33"/>
  <c r="J2911" i="33"/>
  <c r="K3149" i="33"/>
  <c r="J3200" i="33"/>
  <c r="P3252" i="33"/>
  <c r="P3275" i="33"/>
  <c r="J3285" i="33"/>
  <c r="J3284" i="33"/>
  <c r="J3320" i="33"/>
  <c r="J3339" i="33"/>
  <c r="P3354" i="33"/>
  <c r="J3372" i="33"/>
  <c r="J3385" i="33"/>
  <c r="J3382" i="33"/>
  <c r="P3389" i="33"/>
  <c r="P3392" i="33"/>
  <c r="I3428" i="33"/>
  <c r="I3427" i="33"/>
  <c r="K3452" i="33"/>
  <c r="J3267" i="33"/>
  <c r="J3265" i="33"/>
  <c r="J3272" i="33"/>
  <c r="J3264" i="33"/>
  <c r="J3327" i="33"/>
  <c r="P3380" i="33"/>
  <c r="P3379" i="33"/>
  <c r="I3407" i="33"/>
  <c r="I3406" i="33"/>
  <c r="I3404" i="33"/>
  <c r="K3431" i="33"/>
  <c r="K3430" i="33"/>
  <c r="J3534" i="33"/>
  <c r="J3535" i="33"/>
  <c r="J3623" i="33"/>
  <c r="J3627" i="33"/>
  <c r="J3624" i="33"/>
  <c r="J3625" i="33"/>
  <c r="K3656" i="33"/>
  <c r="K93" i="6"/>
  <c r="K3655" i="33"/>
  <c r="J1245" i="33"/>
  <c r="J3343" i="33"/>
  <c r="I3361" i="33"/>
  <c r="J3342" i="33"/>
  <c r="P3152" i="33"/>
  <c r="P3279" i="33"/>
  <c r="P3278" i="33"/>
  <c r="P3294" i="33"/>
  <c r="P3367" i="33"/>
  <c r="P3366" i="33"/>
  <c r="J3469" i="33"/>
  <c r="J3470" i="33"/>
  <c r="K3654" i="33"/>
  <c r="K95" i="6"/>
  <c r="J3266" i="33"/>
  <c r="I3055" i="33"/>
  <c r="J3554" i="33"/>
  <c r="P3368" i="33"/>
  <c r="P3386" i="33"/>
  <c r="J3271" i="33"/>
  <c r="I3362" i="33"/>
  <c r="J3350" i="33"/>
  <c r="J3471" i="33"/>
  <c r="I3062" i="33"/>
  <c r="I3402" i="33"/>
  <c r="J3345" i="33"/>
  <c r="K2913" i="33"/>
  <c r="J3371" i="33"/>
  <c r="J2794" i="33"/>
  <c r="P2735" i="33"/>
  <c r="P2736" i="33"/>
  <c r="P2734" i="33"/>
  <c r="P3073" i="33"/>
  <c r="I3343" i="33"/>
  <c r="K3466" i="33"/>
  <c r="I2917" i="33"/>
  <c r="I2916" i="33"/>
  <c r="K2956" i="33"/>
  <c r="K2958" i="33"/>
  <c r="K2957" i="33"/>
  <c r="K2968" i="33"/>
  <c r="J3052" i="33"/>
  <c r="J3061" i="33"/>
  <c r="J3058" i="33"/>
  <c r="J3060" i="33"/>
  <c r="J3087" i="33"/>
  <c r="J3085" i="33"/>
  <c r="I3208" i="33"/>
  <c r="I2921" i="33"/>
  <c r="J3038" i="33"/>
  <c r="I2919" i="33"/>
  <c r="J3093" i="33"/>
  <c r="J3092" i="33"/>
  <c r="J3095" i="33"/>
  <c r="P3120" i="33"/>
  <c r="P3122" i="33"/>
  <c r="P3132" i="33"/>
  <c r="P3130" i="33"/>
  <c r="J3146" i="33"/>
  <c r="J3145" i="33"/>
  <c r="K3227" i="33"/>
  <c r="K3226" i="33"/>
  <c r="K3225" i="33"/>
  <c r="K3229" i="33"/>
  <c r="K3248" i="33"/>
  <c r="K3250" i="33"/>
  <c r="K3251" i="33"/>
  <c r="K3249" i="33"/>
  <c r="J3062" i="33"/>
  <c r="K3532" i="33"/>
  <c r="P3494" i="33"/>
  <c r="J3525" i="33"/>
  <c r="P3567" i="33"/>
  <c r="P3566" i="33"/>
  <c r="P3618" i="33"/>
  <c r="K3635" i="33"/>
  <c r="K3638" i="33"/>
  <c r="P1283" i="33"/>
  <c r="K1607" i="33"/>
  <c r="I1669" i="33"/>
  <c r="K1792" i="33"/>
  <c r="K1820" i="33"/>
  <c r="K1969" i="33"/>
  <c r="K1973" i="33"/>
  <c r="I1984" i="33"/>
  <c r="I1982" i="33"/>
  <c r="J2058" i="33"/>
  <c r="J2059" i="33"/>
  <c r="J2117" i="33"/>
  <c r="J2118" i="33"/>
  <c r="J2192" i="33"/>
  <c r="P2203" i="33"/>
  <c r="P2205" i="33"/>
  <c r="J2316" i="33"/>
  <c r="J2315" i="33"/>
  <c r="I2581" i="33"/>
  <c r="K2599" i="33"/>
  <c r="K2601" i="33"/>
  <c r="K2598" i="33"/>
  <c r="I2663" i="33"/>
  <c r="K2718" i="33"/>
  <c r="K2715" i="33"/>
  <c r="K2717" i="33"/>
  <c r="I2785" i="33"/>
  <c r="I2784" i="33"/>
  <c r="K2787" i="33"/>
  <c r="K2788" i="33"/>
  <c r="J2831" i="33"/>
  <c r="J2829" i="33"/>
  <c r="J2830" i="33"/>
  <c r="P2871" i="33"/>
  <c r="P2869" i="33"/>
  <c r="P3532" i="33"/>
  <c r="P3531" i="33"/>
  <c r="P3533" i="33"/>
  <c r="I2698" i="33"/>
  <c r="J2288" i="33"/>
  <c r="I1508" i="33"/>
  <c r="J2880" i="33"/>
  <c r="P2872" i="33"/>
  <c r="J2845" i="33"/>
  <c r="I1965" i="33"/>
  <c r="J2862" i="33"/>
  <c r="J2861" i="33"/>
  <c r="J2827" i="33"/>
  <c r="J2366" i="33"/>
  <c r="K1545" i="33"/>
  <c r="K2744" i="33"/>
  <c r="I2700" i="33"/>
  <c r="K2592" i="33"/>
  <c r="J2350" i="33"/>
  <c r="P2303" i="33"/>
  <c r="P2202" i="33"/>
  <c r="K1921" i="33"/>
  <c r="I2477" i="33"/>
  <c r="I1847" i="33"/>
  <c r="K1856" i="33"/>
  <c r="P2073" i="33"/>
  <c r="P2072" i="33"/>
  <c r="J2094" i="33"/>
  <c r="J2092" i="33"/>
  <c r="P2123" i="33"/>
  <c r="P2122" i="33"/>
  <c r="J2145" i="33"/>
  <c r="P2184" i="33"/>
  <c r="P2180" i="33"/>
  <c r="P2182" i="33"/>
  <c r="J2190" i="33"/>
  <c r="J2189" i="33"/>
  <c r="P2221" i="33"/>
  <c r="P2222" i="33"/>
  <c r="P2278" i="33"/>
  <c r="P2275" i="33"/>
  <c r="P2274" i="33"/>
  <c r="J2307" i="33"/>
  <c r="J2309" i="33"/>
  <c r="J2328" i="33"/>
  <c r="J2327" i="33"/>
  <c r="P2344" i="33"/>
  <c r="P2345" i="33"/>
  <c r="J2373" i="33"/>
  <c r="J2372" i="33"/>
  <c r="J2374" i="33"/>
  <c r="P2406" i="33"/>
  <c r="P2405" i="33"/>
  <c r="I2535" i="33"/>
  <c r="I2533" i="33"/>
  <c r="I2534" i="33"/>
  <c r="K2622" i="33"/>
  <c r="K2621" i="33"/>
  <c r="K2691" i="33"/>
  <c r="K2692" i="33"/>
  <c r="K2720" i="33"/>
  <c r="K2719" i="33"/>
  <c r="K2755" i="33"/>
  <c r="K2754" i="33"/>
  <c r="K2752" i="33"/>
  <c r="K2753" i="33"/>
  <c r="K2780" i="33"/>
  <c r="K2779" i="33"/>
  <c r="P2807" i="33"/>
  <c r="P2800" i="33"/>
  <c r="P2803" i="33"/>
  <c r="P2805" i="33"/>
  <c r="P2837" i="33"/>
  <c r="P2838" i="33"/>
  <c r="I144" i="6"/>
  <c r="J2377" i="33"/>
  <c r="I145" i="6"/>
  <c r="J2199" i="33"/>
  <c r="P2851" i="33"/>
  <c r="J2843" i="33"/>
  <c r="P2158" i="33"/>
  <c r="P2253" i="33"/>
  <c r="K2776" i="33"/>
  <c r="K2694" i="33"/>
  <c r="I2579" i="33"/>
  <c r="I2514" i="33"/>
  <c r="P2404" i="33"/>
  <c r="P2201" i="33"/>
  <c r="K1895" i="33"/>
  <c r="I1671" i="33"/>
  <c r="P1329" i="33"/>
  <c r="K1625" i="33"/>
  <c r="I1646" i="33"/>
  <c r="I1648" i="33"/>
  <c r="K1661" i="33"/>
  <c r="K1711" i="33"/>
  <c r="I1719" i="33"/>
  <c r="K1733" i="33"/>
  <c r="K1736" i="33"/>
  <c r="I1740" i="33"/>
  <c r="I1882" i="33"/>
  <c r="I1883" i="33"/>
  <c r="K1981" i="33"/>
  <c r="K1980" i="33"/>
  <c r="P2046" i="33"/>
  <c r="P2049" i="33"/>
  <c r="J2115" i="33"/>
  <c r="J2116" i="33"/>
  <c r="J2113" i="33"/>
  <c r="P2224" i="33"/>
  <c r="P2225" i="33"/>
  <c r="J2286" i="33"/>
  <c r="J2285" i="33"/>
  <c r="J2295" i="33"/>
  <c r="J2294" i="33"/>
  <c r="J2354" i="33"/>
  <c r="J2352" i="33"/>
  <c r="J2385" i="33"/>
  <c r="J2387" i="33"/>
  <c r="P2399" i="33"/>
  <c r="P2400" i="33"/>
  <c r="P2415" i="33"/>
  <c r="P2461" i="33"/>
  <c r="I2469" i="33"/>
  <c r="I2480" i="33"/>
  <c r="I2481" i="33"/>
  <c r="I2476" i="33"/>
  <c r="I2505" i="33"/>
  <c r="I2501" i="33"/>
  <c r="I2511" i="33"/>
  <c r="I2510" i="33"/>
  <c r="I2563" i="33"/>
  <c r="I2559" i="33"/>
  <c r="K2724" i="33"/>
  <c r="K2723" i="33"/>
  <c r="I2532" i="33"/>
  <c r="I2729" i="33"/>
  <c r="I2730" i="33"/>
  <c r="K2767" i="33"/>
  <c r="K2763" i="33"/>
  <c r="K2766" i="33"/>
  <c r="K1835" i="33"/>
  <c r="I2560" i="33"/>
  <c r="J2877" i="33"/>
  <c r="I2504" i="33"/>
  <c r="J2114" i="33"/>
  <c r="P2802" i="33"/>
  <c r="P2460" i="33"/>
  <c r="K1898" i="33"/>
  <c r="I2727" i="33"/>
  <c r="K2679" i="33"/>
  <c r="I2618" i="33"/>
  <c r="I2561" i="33"/>
  <c r="I2472" i="33"/>
  <c r="P2401" i="33"/>
  <c r="P2343" i="33"/>
  <c r="P2048" i="33"/>
  <c r="K1827" i="33"/>
  <c r="I1632" i="33"/>
  <c r="J2296" i="33"/>
  <c r="J2398" i="33"/>
  <c r="I2773" i="33"/>
  <c r="K1462" i="33"/>
  <c r="I2554" i="33"/>
  <c r="P2402" i="33"/>
  <c r="K1845" i="33"/>
  <c r="J2878" i="33"/>
  <c r="J2840" i="33"/>
  <c r="P1265" i="33"/>
  <c r="J2355" i="33"/>
  <c r="K2759" i="33"/>
  <c r="K2721" i="33"/>
  <c r="K2671" i="33"/>
  <c r="K2597" i="33"/>
  <c r="J2326" i="33"/>
  <c r="J2258" i="33"/>
  <c r="J2147" i="33"/>
  <c r="K1814" i="33"/>
  <c r="K2746" i="33"/>
  <c r="J2112" i="33"/>
  <c r="P3659" i="33"/>
  <c r="P123" i="6"/>
  <c r="I5" i="7"/>
  <c r="J71" i="7" s="1"/>
  <c r="I151" i="6"/>
  <c r="J2334" i="33"/>
  <c r="P2887" i="33"/>
  <c r="J2135" i="33"/>
  <c r="P3257" i="33"/>
  <c r="K2496" i="33"/>
  <c r="J2443" i="33"/>
  <c r="J2163" i="33"/>
  <c r="I1423" i="33"/>
  <c r="I2647" i="33"/>
  <c r="P1347" i="33"/>
  <c r="K2572" i="33"/>
  <c r="I2665" i="33"/>
  <c r="J2358" i="33"/>
  <c r="J2227" i="33"/>
  <c r="P2240" i="33"/>
  <c r="J2018" i="33"/>
  <c r="K2498" i="33"/>
  <c r="J2864" i="33"/>
  <c r="J2264" i="33"/>
  <c r="I1988" i="33"/>
  <c r="K1359" i="33"/>
  <c r="J2335" i="33"/>
  <c r="P2101" i="33"/>
  <c r="K2575" i="33"/>
  <c r="K1494" i="33"/>
  <c r="K1723" i="33"/>
  <c r="K1358" i="33"/>
  <c r="K1666" i="33"/>
  <c r="J2419" i="33"/>
  <c r="J2820" i="33"/>
  <c r="K1939" i="33"/>
  <c r="I2669" i="33"/>
  <c r="J2174" i="33"/>
  <c r="I1975" i="33"/>
  <c r="I1400" i="33"/>
  <c r="I1911" i="33"/>
  <c r="K2574" i="33"/>
  <c r="J2272" i="33"/>
  <c r="I1865" i="33"/>
  <c r="P2391" i="33"/>
  <c r="K1704" i="33"/>
  <c r="J2230" i="33"/>
  <c r="K1386" i="33"/>
  <c r="K2497" i="33"/>
  <c r="I1787" i="33"/>
  <c r="K1467" i="33"/>
  <c r="J2141" i="33"/>
  <c r="I1535" i="33"/>
  <c r="I1376" i="33"/>
  <c r="J2333" i="33"/>
  <c r="I1421" i="33"/>
  <c r="J2822" i="33"/>
  <c r="K2488" i="33"/>
  <c r="I2774" i="33"/>
  <c r="K1599" i="33"/>
  <c r="J1327" i="33"/>
  <c r="J2021" i="33"/>
  <c r="I1446" i="33"/>
  <c r="J3365" i="33"/>
  <c r="K2568" i="33"/>
  <c r="K2603" i="33"/>
  <c r="K1410" i="33"/>
  <c r="I1713" i="33"/>
  <c r="J2172" i="33"/>
  <c r="P3505" i="33"/>
  <c r="P3503" i="33"/>
  <c r="P1372" i="33"/>
  <c r="K1504" i="33"/>
  <c r="K1511" i="33"/>
  <c r="K1766" i="33"/>
  <c r="K1767" i="33"/>
  <c r="I1783" i="33"/>
  <c r="J2165" i="33"/>
  <c r="J2166" i="33"/>
  <c r="P2237" i="33"/>
  <c r="J2383" i="33"/>
  <c r="J2384" i="33"/>
  <c r="K2711" i="33"/>
  <c r="K2713" i="33"/>
  <c r="I2738" i="33"/>
  <c r="P2810" i="33"/>
  <c r="J2329" i="33"/>
  <c r="K1937" i="33"/>
  <c r="K1598" i="33"/>
  <c r="K3107" i="33"/>
  <c r="P1356" i="33"/>
  <c r="P2811" i="33"/>
  <c r="K2714" i="33"/>
  <c r="I1388" i="33"/>
  <c r="P2791" i="33"/>
  <c r="J2005" i="33"/>
  <c r="I1715" i="33"/>
  <c r="I1432" i="33"/>
  <c r="P2231" i="33"/>
  <c r="P2465" i="33"/>
  <c r="I1810" i="33"/>
  <c r="J2421" i="33"/>
  <c r="K1464" i="33"/>
  <c r="I1418" i="33"/>
  <c r="P2792" i="33"/>
  <c r="P1351" i="33"/>
  <c r="K1317" i="33"/>
  <c r="K2564" i="33"/>
  <c r="K2489" i="33"/>
  <c r="K2686" i="33"/>
  <c r="K2570" i="33"/>
  <c r="K2500" i="33"/>
  <c r="K1512" i="33"/>
  <c r="K1722" i="33"/>
  <c r="J2417" i="33"/>
  <c r="P2127" i="33"/>
  <c r="P2239" i="33"/>
  <c r="K1360" i="33"/>
  <c r="K1438" i="33"/>
  <c r="I1976" i="33"/>
  <c r="K1635" i="33"/>
  <c r="J2055" i="33"/>
  <c r="J2271" i="33"/>
  <c r="P2816" i="33"/>
  <c r="P2793" i="33"/>
  <c r="I1537" i="33"/>
  <c r="J2176" i="33"/>
  <c r="I1977" i="33"/>
  <c r="J2332" i="33"/>
  <c r="J2336" i="33"/>
  <c r="K2685" i="33"/>
  <c r="K2610" i="33"/>
  <c r="K1765" i="33"/>
  <c r="P2002" i="33"/>
  <c r="I2740" i="33"/>
  <c r="I1523" i="33"/>
  <c r="I1499" i="33"/>
  <c r="P1180" i="33"/>
  <c r="I1434" i="33"/>
  <c r="I1468" i="33"/>
  <c r="J2091" i="33"/>
  <c r="J2060" i="33"/>
  <c r="P2029" i="33"/>
  <c r="I1967" i="33"/>
  <c r="K1855" i="33"/>
  <c r="K1817" i="33"/>
  <c r="K1795" i="33"/>
  <c r="I1681" i="33"/>
  <c r="K1662" i="33"/>
  <c r="I1848" i="33"/>
  <c r="P1320" i="33"/>
  <c r="I1507" i="33"/>
  <c r="K1623" i="33"/>
  <c r="K1461" i="33"/>
  <c r="J2148" i="33"/>
  <c r="I1501" i="33"/>
  <c r="K1541" i="33"/>
  <c r="J2153" i="33"/>
  <c r="K1544" i="33"/>
  <c r="K1606" i="33"/>
  <c r="I1510" i="33"/>
  <c r="J2291" i="33"/>
  <c r="J2259" i="33"/>
  <c r="P2212" i="33"/>
  <c r="P2183" i="33"/>
  <c r="J2155" i="33"/>
  <c r="P2120" i="33"/>
  <c r="J2096" i="33"/>
  <c r="P2047" i="33"/>
  <c r="P2028" i="33"/>
  <c r="I1968" i="33"/>
  <c r="I1881" i="33"/>
  <c r="K1819" i="33"/>
  <c r="I1739" i="33"/>
  <c r="K1730" i="33"/>
  <c r="P2160" i="33"/>
  <c r="P2280" i="33"/>
  <c r="I1647" i="33"/>
  <c r="K1654" i="33"/>
  <c r="K1382" i="33"/>
  <c r="P1367" i="33"/>
  <c r="K1979" i="33"/>
  <c r="K1791" i="33"/>
  <c r="P1362" i="33"/>
  <c r="K1553" i="33"/>
  <c r="P2050" i="33"/>
  <c r="K1823" i="33"/>
  <c r="J1336" i="33"/>
  <c r="P2276" i="33"/>
  <c r="P2045" i="33"/>
  <c r="I1884" i="33"/>
  <c r="K1826" i="33"/>
  <c r="K1816" i="33"/>
  <c r="I1649" i="33"/>
  <c r="K1621" i="33"/>
  <c r="J2293" i="33"/>
  <c r="P1363" i="33"/>
  <c r="J1333" i="33"/>
  <c r="P1365" i="33"/>
  <c r="P1361" i="33"/>
  <c r="I1796" i="33"/>
  <c r="K1818" i="33"/>
  <c r="K1735" i="33"/>
  <c r="I1670" i="33"/>
  <c r="K1608" i="33"/>
  <c r="J1371" i="33"/>
  <c r="I1797" i="33"/>
  <c r="K1542" i="33"/>
  <c r="P2283" i="33"/>
  <c r="J2150" i="33"/>
  <c r="K1822" i="33"/>
  <c r="I3504" i="33"/>
  <c r="I3503" i="33"/>
  <c r="K3505" i="33"/>
  <c r="K3503" i="33"/>
  <c r="K1240" i="33"/>
  <c r="J1922" i="33"/>
  <c r="K2049" i="33"/>
  <c r="K2281" i="33"/>
  <c r="K1295" i="33"/>
  <c r="K1297" i="33"/>
  <c r="J1737" i="33"/>
  <c r="K2160" i="33"/>
  <c r="I2375" i="33"/>
  <c r="I2098" i="33"/>
  <c r="J1711" i="33"/>
  <c r="K2073" i="33"/>
  <c r="I2901" i="33"/>
  <c r="P1136" i="33"/>
  <c r="I1161" i="33"/>
  <c r="K1368" i="33"/>
  <c r="J1543" i="33"/>
  <c r="K2121" i="33"/>
  <c r="I1200" i="33"/>
  <c r="I2900" i="33"/>
  <c r="I1286" i="33"/>
  <c r="I1287" i="33"/>
  <c r="I1285" i="33"/>
  <c r="P1402" i="33"/>
  <c r="I2037" i="33"/>
  <c r="I2896" i="33"/>
  <c r="K2178" i="33"/>
  <c r="K3504" i="33"/>
  <c r="P2772" i="33"/>
  <c r="P1396" i="33"/>
  <c r="J1264" i="33"/>
  <c r="I2352" i="33"/>
  <c r="I2904" i="33"/>
  <c r="P1144" i="33"/>
  <c r="P1145" i="33"/>
  <c r="K1185" i="33"/>
  <c r="P1421" i="33"/>
  <c r="P1978" i="33"/>
  <c r="I2154" i="33"/>
  <c r="I2292" i="33"/>
  <c r="J1608" i="33"/>
  <c r="I1228" i="33"/>
  <c r="I2895" i="33"/>
  <c r="J2691" i="33"/>
  <c r="P1988" i="33"/>
  <c r="K1241" i="33"/>
  <c r="J1622" i="33"/>
  <c r="J1151" i="33"/>
  <c r="I1156" i="33"/>
  <c r="I1152" i="33"/>
  <c r="I2058" i="33"/>
  <c r="P2696" i="33"/>
  <c r="I2907" i="33"/>
  <c r="I2905" i="33"/>
  <c r="I2903" i="33"/>
  <c r="I2906" i="33"/>
  <c r="I2897" i="33"/>
  <c r="K2159" i="33"/>
  <c r="I1337" i="33"/>
  <c r="J2760" i="33"/>
  <c r="P1148" i="33"/>
  <c r="J1215" i="33"/>
  <c r="J1216" i="33"/>
  <c r="J1731" i="33"/>
  <c r="I2326" i="33"/>
  <c r="J2529" i="33"/>
  <c r="K2804" i="33"/>
  <c r="K2852" i="33"/>
  <c r="J1605" i="33"/>
  <c r="K1234" i="33"/>
  <c r="J1822" i="33"/>
  <c r="I1142" i="33"/>
  <c r="J1816" i="33"/>
  <c r="K1296" i="33"/>
  <c r="P2675" i="33"/>
  <c r="J133" i="6"/>
  <c r="J2399" i="33"/>
  <c r="I1174" i="33"/>
  <c r="I1151" i="33"/>
  <c r="J1237" i="33"/>
  <c r="I150" i="6"/>
  <c r="V1233" i="1"/>
  <c r="I1132" i="33"/>
  <c r="K1207" i="33"/>
  <c r="K2943" i="33"/>
  <c r="K2942" i="33"/>
  <c r="J3035" i="33"/>
  <c r="J3033" i="33"/>
  <c r="K3200" i="33"/>
  <c r="K3201" i="33"/>
  <c r="K3256" i="33"/>
  <c r="K3246" i="33"/>
  <c r="I1113" i="33"/>
  <c r="K1289" i="33"/>
  <c r="P2554" i="33"/>
  <c r="P2991" i="33"/>
  <c r="P2990" i="33"/>
  <c r="P3155" i="33"/>
  <c r="P3154" i="33"/>
  <c r="P3153" i="33"/>
  <c r="K3221" i="33"/>
  <c r="P3000" i="33"/>
  <c r="P3041" i="33"/>
  <c r="P3001" i="33"/>
  <c r="K3216" i="33"/>
  <c r="J3097" i="33"/>
  <c r="P1167" i="33"/>
  <c r="P2512" i="33"/>
  <c r="K2813" i="33"/>
  <c r="K3198" i="33"/>
  <c r="K3223" i="33"/>
  <c r="P3040" i="33"/>
  <c r="P3150" i="33"/>
  <c r="J3159" i="33"/>
  <c r="P2471" i="33"/>
  <c r="J3021" i="33"/>
  <c r="J3428" i="33"/>
  <c r="I1257" i="33"/>
  <c r="I1256" i="33"/>
  <c r="I2823" i="33"/>
  <c r="P3043" i="33"/>
  <c r="P3048" i="33"/>
  <c r="P3126" i="33"/>
  <c r="J3161" i="33"/>
  <c r="J3157" i="33"/>
  <c r="J3156" i="33"/>
  <c r="J3162" i="33"/>
  <c r="K3212" i="33"/>
  <c r="K3213" i="33"/>
  <c r="K3217" i="33"/>
  <c r="K3218" i="33"/>
  <c r="P2995" i="33"/>
  <c r="K2909" i="33"/>
  <c r="K3215" i="33"/>
  <c r="K1193" i="33"/>
  <c r="K2908" i="33"/>
  <c r="K2914" i="33"/>
  <c r="K2923" i="33"/>
  <c r="P3002" i="33"/>
  <c r="P2997" i="33"/>
  <c r="P2999" i="33"/>
  <c r="P3003" i="33"/>
  <c r="P2994" i="33"/>
  <c r="J3072" i="33"/>
  <c r="P3047" i="33"/>
  <c r="J2564" i="33"/>
  <c r="K3185" i="33"/>
  <c r="P3004" i="33"/>
  <c r="P2996" i="33"/>
  <c r="K2945" i="33"/>
  <c r="K2888" i="33"/>
  <c r="K3214" i="33"/>
  <c r="I1282" i="33"/>
  <c r="I1283" i="33"/>
  <c r="P2699" i="33"/>
  <c r="J3107" i="33"/>
  <c r="J3096" i="33"/>
  <c r="J3102" i="33"/>
  <c r="J3099" i="33"/>
  <c r="J3103" i="33"/>
  <c r="J3104" i="33"/>
  <c r="J3105" i="33"/>
  <c r="K3247" i="33"/>
  <c r="P3149" i="33"/>
  <c r="P3453" i="33"/>
  <c r="I2965" i="33"/>
  <c r="K1299" i="33"/>
  <c r="K1290" i="33"/>
  <c r="P3005" i="33"/>
  <c r="J3075" i="33"/>
  <c r="J3076" i="33"/>
  <c r="K3245" i="33"/>
  <c r="K1249" i="33"/>
  <c r="K1254" i="33"/>
  <c r="K1250" i="33"/>
  <c r="K1252" i="33"/>
  <c r="I2174" i="33"/>
  <c r="P2702" i="33"/>
  <c r="K2794" i="33"/>
  <c r="K2793" i="33"/>
  <c r="K2791" i="33"/>
  <c r="I2864" i="33"/>
  <c r="K2925" i="33"/>
  <c r="J3007" i="33"/>
  <c r="J3008" i="33"/>
  <c r="J3009" i="33"/>
  <c r="J3091" i="33"/>
  <c r="J3089" i="33"/>
  <c r="K3339" i="33"/>
  <c r="P3450" i="33"/>
  <c r="P3451" i="33"/>
  <c r="P3116" i="33"/>
  <c r="P3454" i="33"/>
  <c r="P3044" i="33"/>
  <c r="J3074" i="33"/>
  <c r="J2613" i="33"/>
  <c r="K1302" i="33"/>
  <c r="P1168" i="33"/>
  <c r="I1259" i="33"/>
  <c r="K3196" i="33"/>
  <c r="I2164" i="33"/>
  <c r="P1355" i="33"/>
  <c r="J3503" i="33"/>
  <c r="J3505" i="33"/>
  <c r="I3189" i="33"/>
  <c r="I3188" i="33"/>
  <c r="I3203" i="33"/>
  <c r="I3205" i="33"/>
  <c r="K1293" i="33"/>
  <c r="K1971" i="33"/>
  <c r="K2529" i="33"/>
  <c r="K2530" i="33"/>
  <c r="K2522" i="33"/>
  <c r="K2526" i="33"/>
  <c r="J2819" i="33"/>
  <c r="P2867" i="33"/>
  <c r="I1213" i="33"/>
  <c r="J2290" i="33"/>
  <c r="J2289" i="33"/>
  <c r="I2850" i="33"/>
  <c r="P3194" i="33"/>
  <c r="I1854" i="33"/>
  <c r="J3030" i="33"/>
  <c r="J3031" i="33"/>
  <c r="J3129" i="33"/>
  <c r="J3128" i="33"/>
  <c r="P1330" i="33"/>
  <c r="I1472" i="33"/>
  <c r="I2092" i="33"/>
  <c r="I1470" i="33"/>
  <c r="P2532" i="33"/>
  <c r="J2736" i="33"/>
  <c r="I2794" i="33"/>
  <c r="I2791" i="33"/>
  <c r="K3445" i="33"/>
  <c r="K3446" i="33"/>
  <c r="I1471" i="33"/>
  <c r="K1687" i="33"/>
  <c r="K2963" i="33"/>
  <c r="K1688" i="33"/>
  <c r="J2735" i="33"/>
  <c r="I2473" i="33"/>
  <c r="P2729" i="33"/>
  <c r="J2380" i="33"/>
  <c r="J2379" i="33"/>
  <c r="P192" i="36"/>
  <c r="M192" i="36"/>
  <c r="K2962" i="33" l="1"/>
  <c r="K1294" i="33"/>
  <c r="P2998" i="33"/>
  <c r="I1194" i="33"/>
  <c r="K3183" i="33"/>
  <c r="J3077" i="33"/>
  <c r="J3073" i="33"/>
  <c r="K3210" i="33"/>
  <c r="J3032" i="33"/>
  <c r="K3197" i="33"/>
  <c r="P2989" i="33"/>
  <c r="J3034" i="33"/>
  <c r="K1601" i="33"/>
  <c r="P2235" i="33"/>
  <c r="J2218" i="33"/>
  <c r="I1459" i="33"/>
  <c r="I1419" i="33"/>
  <c r="P2467" i="33"/>
  <c r="P2102" i="33"/>
  <c r="P124" i="6"/>
  <c r="K3425" i="33"/>
  <c r="J3338" i="33"/>
  <c r="P3522" i="33"/>
  <c r="P3492" i="33"/>
  <c r="J2444" i="33"/>
  <c r="J2008" i="33"/>
  <c r="I1696" i="33"/>
  <c r="V1206" i="1"/>
  <c r="V1394" i="1"/>
  <c r="K2545" i="33"/>
  <c r="K133" i="6"/>
  <c r="I163" i="6"/>
  <c r="K1191" i="33"/>
  <c r="K1209" i="33"/>
  <c r="J132" i="6"/>
  <c r="I189" i="6"/>
  <c r="AQ1204" i="1"/>
  <c r="V1590" i="1"/>
  <c r="I1133" i="33"/>
  <c r="K1206" i="33"/>
  <c r="J1947" i="33"/>
  <c r="I2413" i="33"/>
  <c r="P1403" i="33"/>
  <c r="J2789" i="33"/>
  <c r="P3340" i="33"/>
  <c r="AT965" i="1"/>
  <c r="AQ167" i="1"/>
  <c r="AQ255" i="1"/>
  <c r="AQ303" i="1"/>
  <c r="AQ319" i="1"/>
  <c r="AQ399" i="1"/>
  <c r="AQ855" i="1"/>
  <c r="AQ1207" i="1"/>
  <c r="AQ1199" i="1"/>
  <c r="I518" i="6"/>
  <c r="J519" i="6"/>
  <c r="K2807" i="33"/>
  <c r="J2601" i="33"/>
  <c r="K2814" i="33"/>
  <c r="P2483" i="33"/>
  <c r="J2604" i="33"/>
  <c r="K3193" i="33"/>
  <c r="I2373" i="33"/>
  <c r="J1624" i="33"/>
  <c r="P2739" i="33"/>
  <c r="P2773" i="33"/>
  <c r="J1971" i="33"/>
  <c r="P1293" i="33"/>
  <c r="K3018" i="33"/>
  <c r="P185" i="6"/>
  <c r="J1289" i="33"/>
  <c r="AO691" i="1"/>
  <c r="AQ691" i="1" s="1"/>
  <c r="K1149" i="33"/>
  <c r="P1535" i="33"/>
  <c r="K2835" i="33"/>
  <c r="I1333" i="33"/>
  <c r="I2193" i="33"/>
  <c r="P1592" i="33"/>
  <c r="I2091" i="33"/>
  <c r="I2307" i="33"/>
  <c r="J2754" i="33"/>
  <c r="K3368" i="33"/>
  <c r="J3426" i="33"/>
  <c r="K135" i="6"/>
  <c r="K3332" i="33"/>
  <c r="I170" i="6"/>
  <c r="K3004" i="33"/>
  <c r="I191" i="6"/>
  <c r="I127" i="6"/>
  <c r="P1962" i="33"/>
  <c r="AT1319" i="1"/>
  <c r="AT1229" i="1"/>
  <c r="K1168" i="33"/>
  <c r="I1211" i="33"/>
  <c r="I131" i="6"/>
  <c r="J2569" i="33"/>
  <c r="J1184" i="33"/>
  <c r="J1843" i="33"/>
  <c r="I2148" i="33"/>
  <c r="K2343" i="33"/>
  <c r="K2213" i="33"/>
  <c r="J1817" i="33"/>
  <c r="P1292" i="33"/>
  <c r="J2491" i="33"/>
  <c r="P2904" i="33"/>
  <c r="AQ1293" i="1"/>
  <c r="I2270" i="33"/>
  <c r="K2237" i="33"/>
  <c r="P1526" i="33"/>
  <c r="J2576" i="33"/>
  <c r="I2226" i="33"/>
  <c r="K2239" i="33"/>
  <c r="I2822" i="33"/>
  <c r="I2332" i="33"/>
  <c r="P2893" i="33"/>
  <c r="K1355" i="33"/>
  <c r="I2863" i="33"/>
  <c r="K1354" i="33"/>
  <c r="K2868" i="33"/>
  <c r="I2227" i="33"/>
  <c r="AQ219" i="1"/>
  <c r="AQ315" i="1"/>
  <c r="AQ363" i="1"/>
  <c r="AQ675" i="1"/>
  <c r="AQ747" i="1"/>
  <c r="AQ1003" i="1"/>
  <c r="AQ955" i="1"/>
  <c r="AQ1051" i="1"/>
  <c r="AQ1035" i="1"/>
  <c r="AQ1171" i="1"/>
  <c r="AQ1267" i="1"/>
  <c r="AQ1363" i="1"/>
  <c r="P3584" i="33"/>
  <c r="J2885" i="33"/>
  <c r="K3195" i="33"/>
  <c r="I190" i="6"/>
  <c r="V1274" i="1"/>
  <c r="V1232" i="1"/>
  <c r="I1154" i="33"/>
  <c r="J1213" i="33"/>
  <c r="I1223" i="33"/>
  <c r="I1231" i="33"/>
  <c r="I1233" i="33"/>
  <c r="K1243" i="33"/>
  <c r="AQ485" i="1"/>
  <c r="AQ61" i="1"/>
  <c r="AQ213" i="1"/>
  <c r="AQ221" i="1"/>
  <c r="AQ245" i="1"/>
  <c r="AQ365" i="1"/>
  <c r="AQ1333" i="1"/>
  <c r="I1221" i="33"/>
  <c r="I1140" i="33"/>
  <c r="K1187" i="33"/>
  <c r="J1214" i="33"/>
  <c r="AQ897" i="1"/>
  <c r="AQ937" i="1"/>
  <c r="AQ913" i="1"/>
  <c r="AQ1025" i="1"/>
  <c r="AQ1321" i="1"/>
  <c r="AQ1305" i="1"/>
  <c r="AQ1401" i="1"/>
  <c r="V307" i="1"/>
  <c r="V324" i="1"/>
  <c r="V1239" i="1"/>
  <c r="V853" i="1"/>
  <c r="V1081" i="1"/>
  <c r="V886" i="1"/>
  <c r="V880" i="1"/>
  <c r="V990" i="1"/>
  <c r="V1013" i="1"/>
  <c r="V1044" i="1"/>
  <c r="V1104" i="1"/>
  <c r="V1139" i="1"/>
  <c r="V1092" i="1"/>
  <c r="V1091" i="1"/>
  <c r="V1154" i="1"/>
  <c r="V1384" i="1"/>
  <c r="V1350" i="1"/>
  <c r="V1351" i="1"/>
  <c r="V1353" i="1"/>
  <c r="V1391" i="1"/>
  <c r="V1603" i="1"/>
  <c r="P1472" i="33"/>
  <c r="K128" i="6"/>
  <c r="J1186" i="33"/>
  <c r="J1257" i="33"/>
  <c r="P3195" i="33"/>
  <c r="AQ1425" i="1"/>
  <c r="V927" i="1"/>
  <c r="V950" i="1"/>
  <c r="V1068" i="1"/>
  <c r="V891" i="1"/>
  <c r="V993" i="1"/>
  <c r="V972" i="1"/>
  <c r="V1063" i="1"/>
  <c r="V1100" i="1"/>
  <c r="V1224" i="1"/>
  <c r="V1215" i="1"/>
  <c r="V1212" i="1"/>
  <c r="V1245" i="1"/>
  <c r="V1271" i="1"/>
  <c r="V1261" i="1"/>
  <c r="V1249" i="1"/>
  <c r="V1250" i="1"/>
  <c r="V1279" i="1"/>
  <c r="V1380" i="1"/>
  <c r="V1379" i="1"/>
  <c r="V1378" i="1"/>
  <c r="V1377" i="1"/>
  <c r="V1336" i="1"/>
  <c r="V1354" i="1"/>
  <c r="V1355" i="1"/>
  <c r="V1385" i="1"/>
  <c r="V428" i="1"/>
  <c r="I160" i="6"/>
  <c r="J1599" i="33"/>
  <c r="V649" i="1"/>
  <c r="J218" i="6"/>
  <c r="AT538" i="1"/>
  <c r="J1666" i="33"/>
  <c r="P1775" i="33"/>
  <c r="I161" i="6"/>
  <c r="J1940" i="33"/>
  <c r="J220" i="6"/>
  <c r="AU382" i="1"/>
  <c r="V378" i="1"/>
  <c r="V792" i="1"/>
  <c r="V842" i="1"/>
  <c r="V910" i="1"/>
  <c r="V883" i="1"/>
  <c r="V962" i="1"/>
  <c r="V1221" i="1"/>
  <c r="V1213" i="1"/>
  <c r="V1231" i="1"/>
  <c r="V1287" i="1"/>
  <c r="V1418" i="1"/>
  <c r="V1423" i="1"/>
  <c r="J1577" i="33"/>
  <c r="I2220" i="33"/>
  <c r="I3102" i="33"/>
  <c r="P1764" i="33"/>
  <c r="AU1038" i="1"/>
  <c r="J2614" i="33"/>
  <c r="P1685" i="33"/>
  <c r="P2475" i="33"/>
  <c r="P1649" i="33"/>
  <c r="J2608" i="33"/>
  <c r="P2476" i="33"/>
  <c r="P2469" i="33"/>
  <c r="P1585" i="33"/>
  <c r="AQ11" i="1"/>
  <c r="AQ445" i="1"/>
  <c r="AQ533" i="1"/>
  <c r="AQ571" i="1"/>
  <c r="AQ581" i="1"/>
  <c r="AQ1203" i="1"/>
  <c r="AQ1403" i="1"/>
  <c r="P1525" i="33"/>
  <c r="I2017" i="33"/>
  <c r="P1967" i="33"/>
  <c r="K3045" i="33"/>
  <c r="AQ37" i="1"/>
  <c r="AQ299" i="1"/>
  <c r="AQ419" i="1"/>
  <c r="AQ429" i="1"/>
  <c r="AQ493" i="1"/>
  <c r="AQ539" i="1"/>
  <c r="AQ659" i="1"/>
  <c r="AQ1027" i="1"/>
  <c r="AQ1179" i="1"/>
  <c r="AQ1275" i="1"/>
  <c r="P2468" i="33"/>
  <c r="P2625" i="33"/>
  <c r="P2513" i="33"/>
  <c r="J1941" i="33"/>
  <c r="J2570" i="33"/>
  <c r="I162" i="6"/>
  <c r="I1222" i="33"/>
  <c r="I1225" i="33"/>
  <c r="I1232" i="33"/>
  <c r="I2826" i="33"/>
  <c r="P1534" i="33"/>
  <c r="K1362" i="33"/>
  <c r="I3458" i="33"/>
  <c r="I3283" i="33"/>
  <c r="J96" i="6"/>
  <c r="AU805" i="1"/>
  <c r="AQ1309" i="1"/>
  <c r="AQ499" i="1"/>
  <c r="I1469" i="33"/>
  <c r="I1334" i="33"/>
  <c r="AQ83" i="1"/>
  <c r="AQ187" i="1"/>
  <c r="AQ235" i="1"/>
  <c r="AQ1507" i="1"/>
  <c r="K3380" i="33"/>
  <c r="K3583" i="33"/>
  <c r="J1234" i="33"/>
  <c r="P1812" i="33"/>
  <c r="K2205" i="33"/>
  <c r="J1972" i="33"/>
  <c r="K2185" i="33"/>
  <c r="J2638" i="33"/>
  <c r="I2371" i="33"/>
  <c r="I2797" i="33"/>
  <c r="I2828" i="33"/>
  <c r="K2046" i="33"/>
  <c r="P2515" i="33"/>
  <c r="J281" i="6"/>
  <c r="P1696" i="33"/>
  <c r="J2986" i="33"/>
  <c r="AT1346" i="1"/>
  <c r="I210" i="6"/>
  <c r="P1154" i="33"/>
  <c r="P1152" i="33"/>
  <c r="AO60" i="1"/>
  <c r="AQ60" i="1" s="1"/>
  <c r="P1170" i="33"/>
  <c r="P1200" i="33"/>
  <c r="AO77" i="1"/>
  <c r="AQ77" i="1" s="1"/>
  <c r="P1202" i="33"/>
  <c r="P1201" i="33"/>
  <c r="AU112" i="1"/>
  <c r="J1207" i="33"/>
  <c r="J1208" i="33"/>
  <c r="AT71" i="1"/>
  <c r="I1220" i="33"/>
  <c r="P1225" i="33"/>
  <c r="P1224" i="33"/>
  <c r="P1226" i="33"/>
  <c r="P1231" i="33"/>
  <c r="P1227" i="33"/>
  <c r="P1221" i="33"/>
  <c r="P1222" i="33"/>
  <c r="J1254" i="33"/>
  <c r="J1250" i="33"/>
  <c r="AU105" i="1"/>
  <c r="J1251" i="33"/>
  <c r="AO159" i="1"/>
  <c r="AQ159" i="1" s="1"/>
  <c r="P1284" i="33"/>
  <c r="P1287" i="33"/>
  <c r="P1285" i="33"/>
  <c r="P1286" i="33"/>
  <c r="K2882" i="33"/>
  <c r="K2884" i="33"/>
  <c r="AU684" i="1"/>
  <c r="J2892" i="33"/>
  <c r="AU850" i="1"/>
  <c r="J2926" i="33"/>
  <c r="J2925" i="33"/>
  <c r="I3157" i="33"/>
  <c r="I3160" i="33"/>
  <c r="I3161" i="33"/>
  <c r="I3159" i="33"/>
  <c r="I3156" i="33"/>
  <c r="I3164" i="33"/>
  <c r="AT778" i="1"/>
  <c r="AU1104" i="1"/>
  <c r="J3183" i="33"/>
  <c r="J3185" i="33"/>
  <c r="P3188" i="33"/>
  <c r="P3190" i="33"/>
  <c r="P3189" i="33"/>
  <c r="AO909" i="1"/>
  <c r="AQ909" i="1" s="1"/>
  <c r="AU1139" i="1"/>
  <c r="J3201" i="33"/>
  <c r="AO970" i="1"/>
  <c r="AQ970" i="1" s="1"/>
  <c r="P3208" i="33"/>
  <c r="J3221" i="33"/>
  <c r="J3218" i="33"/>
  <c r="AU969" i="1"/>
  <c r="J3223" i="33"/>
  <c r="J3222" i="33"/>
  <c r="J3220" i="33"/>
  <c r="AO979" i="1"/>
  <c r="AQ979" i="1" s="1"/>
  <c r="P3253" i="33"/>
  <c r="P3254" i="33"/>
  <c r="J152" i="6"/>
  <c r="J154" i="6"/>
  <c r="J155" i="6"/>
  <c r="J156" i="6"/>
  <c r="P1140" i="33"/>
  <c r="P1142" i="33"/>
  <c r="P1141" i="33"/>
  <c r="AO101" i="1"/>
  <c r="P1169" i="33"/>
  <c r="J1191" i="33"/>
  <c r="J1192" i="33"/>
  <c r="AU94" i="1"/>
  <c r="J1299" i="33"/>
  <c r="J1300" i="33"/>
  <c r="J1301" i="33"/>
  <c r="J1316" i="33"/>
  <c r="J1318" i="33"/>
  <c r="K1325" i="33"/>
  <c r="K1324" i="33"/>
  <c r="AT193" i="1"/>
  <c r="I1327" i="33"/>
  <c r="K1340" i="33"/>
  <c r="K1339" i="33"/>
  <c r="K1344" i="33"/>
  <c r="K1349" i="33"/>
  <c r="K1350" i="33"/>
  <c r="K1352" i="33"/>
  <c r="K1356" i="33"/>
  <c r="K1347" i="33"/>
  <c r="K1348" i="33"/>
  <c r="K1353" i="33"/>
  <c r="K1346" i="33"/>
  <c r="K1345" i="33"/>
  <c r="K1373" i="33"/>
  <c r="K1372" i="33"/>
  <c r="AU186" i="1"/>
  <c r="J1385" i="33"/>
  <c r="J1387" i="33"/>
  <c r="AU198" i="1"/>
  <c r="J1409" i="33"/>
  <c r="P1415" i="33"/>
  <c r="AO170" i="1"/>
  <c r="AQ170" i="1" s="1"/>
  <c r="AU275" i="1"/>
  <c r="J1359" i="33"/>
  <c r="J1358" i="33"/>
  <c r="J1360" i="33"/>
  <c r="J1425" i="33"/>
  <c r="P1436" i="33"/>
  <c r="AO173" i="1"/>
  <c r="AQ173" i="1" s="1"/>
  <c r="P1435" i="33"/>
  <c r="AU87" i="1"/>
  <c r="J1465" i="33"/>
  <c r="J1467" i="33"/>
  <c r="J1464" i="33"/>
  <c r="P1469" i="33"/>
  <c r="P1470" i="33"/>
  <c r="J1494" i="33"/>
  <c r="J1495" i="33"/>
  <c r="P1500" i="33"/>
  <c r="AO67" i="1"/>
  <c r="AQ67" i="1" s="1"/>
  <c r="J1504" i="33"/>
  <c r="J1505" i="33"/>
  <c r="AU211" i="1"/>
  <c r="P1510" i="33"/>
  <c r="P1509" i="33"/>
  <c r="P1508" i="33"/>
  <c r="P1507" i="33"/>
  <c r="AU185" i="1"/>
  <c r="J1512" i="33"/>
  <c r="J1513" i="33"/>
  <c r="AO69" i="1"/>
  <c r="AQ69" i="1" s="1"/>
  <c r="P1514" i="33"/>
  <c r="P1524" i="33"/>
  <c r="P1523" i="33"/>
  <c r="AO179" i="1"/>
  <c r="AQ179" i="1" s="1"/>
  <c r="P1587" i="33"/>
  <c r="P1588" i="33"/>
  <c r="AU164" i="1"/>
  <c r="J1601" i="33"/>
  <c r="J1600" i="33"/>
  <c r="AO62" i="1"/>
  <c r="AQ62" i="1" s="1"/>
  <c r="P1632" i="33"/>
  <c r="P1630" i="33"/>
  <c r="J1633" i="33"/>
  <c r="AU188" i="1"/>
  <c r="J1635" i="33"/>
  <c r="J1634" i="33"/>
  <c r="P1650" i="33"/>
  <c r="AO63" i="1"/>
  <c r="AQ63" i="1" s="1"/>
  <c r="P1648" i="33"/>
  <c r="AO109" i="1"/>
  <c r="AQ109" i="1" s="1"/>
  <c r="P1669" i="33"/>
  <c r="P1671" i="33"/>
  <c r="P1672" i="33"/>
  <c r="AO177" i="1"/>
  <c r="AQ177" i="1" s="1"/>
  <c r="P1678" i="33"/>
  <c r="P1677" i="33"/>
  <c r="P1680" i="33"/>
  <c r="P1682" i="33"/>
  <c r="J1689" i="33"/>
  <c r="AU264" i="1"/>
  <c r="J1688" i="33"/>
  <c r="J1687" i="33"/>
  <c r="AU227" i="1"/>
  <c r="J1704" i="33"/>
  <c r="J1703" i="33"/>
  <c r="P1717" i="33"/>
  <c r="P1719" i="33"/>
  <c r="AU332" i="1"/>
  <c r="J1722" i="33"/>
  <c r="J1723" i="33"/>
  <c r="J1721" i="33"/>
  <c r="AO295" i="1"/>
  <c r="P1740" i="33"/>
  <c r="P1738" i="33"/>
  <c r="P1739" i="33"/>
  <c r="AU272" i="1"/>
  <c r="J1757" i="33"/>
  <c r="J1754" i="33"/>
  <c r="J1759" i="33"/>
  <c r="AU331" i="1"/>
  <c r="J1758" i="33"/>
  <c r="AU325" i="1"/>
  <c r="J1766" i="33"/>
  <c r="AU180" i="1"/>
  <c r="J1785" i="33"/>
  <c r="AO337" i="1"/>
  <c r="AQ337" i="1" s="1"/>
  <c r="P1797" i="33"/>
  <c r="P1798" i="33"/>
  <c r="AO373" i="1"/>
  <c r="AQ373" i="1" s="1"/>
  <c r="P1800" i="33"/>
  <c r="P1846" i="33"/>
  <c r="AO387" i="1"/>
  <c r="AQ387" i="1" s="1"/>
  <c r="P1847" i="33"/>
  <c r="AO351" i="1"/>
  <c r="AQ351" i="1" s="1"/>
  <c r="P1850" i="33"/>
  <c r="P1882" i="33"/>
  <c r="P1884" i="33"/>
  <c r="P1883" i="33"/>
  <c r="P1881" i="33"/>
  <c r="AO394" i="1"/>
  <c r="AQ394" i="1" s="1"/>
  <c r="P1910" i="33"/>
  <c r="AU308" i="1"/>
  <c r="J1931" i="33"/>
  <c r="J1939" i="33"/>
  <c r="J1937" i="33"/>
  <c r="J1936" i="33"/>
  <c r="AO420" i="1"/>
  <c r="AQ420" i="1" s="1"/>
  <c r="P1964" i="33"/>
  <c r="P1965" i="33"/>
  <c r="AO392" i="1"/>
  <c r="AQ392" i="1" s="1"/>
  <c r="P1983" i="33"/>
  <c r="P1982" i="33"/>
  <c r="AT413" i="1"/>
  <c r="I2006" i="33"/>
  <c r="AT355" i="1"/>
  <c r="I2008" i="33"/>
  <c r="AT421" i="1"/>
  <c r="I2024" i="33"/>
  <c r="I2023" i="33"/>
  <c r="AT324" i="1"/>
  <c r="I2056" i="33"/>
  <c r="K2088" i="33"/>
  <c r="K2087" i="33"/>
  <c r="K2089" i="33"/>
  <c r="K2102" i="33"/>
  <c r="K2101" i="33"/>
  <c r="K2100" i="33"/>
  <c r="K2128" i="33"/>
  <c r="K2127" i="33"/>
  <c r="AT517" i="1"/>
  <c r="I2136" i="33"/>
  <c r="AT441" i="1"/>
  <c r="I2140" i="33"/>
  <c r="I2141" i="33"/>
  <c r="AT490" i="1"/>
  <c r="I2162" i="33"/>
  <c r="AT451" i="1"/>
  <c r="I2163" i="33"/>
  <c r="I2175" i="33"/>
  <c r="I2176" i="33"/>
  <c r="AT535" i="1"/>
  <c r="I2206" i="33"/>
  <c r="I2217" i="33"/>
  <c r="I2219" i="33"/>
  <c r="AT553" i="1"/>
  <c r="I2228" i="33"/>
  <c r="K2232" i="33"/>
  <c r="K2231" i="33"/>
  <c r="K2235" i="33"/>
  <c r="K2233" i="33"/>
  <c r="K2238" i="33"/>
  <c r="K2236" i="33"/>
  <c r="AT540" i="1"/>
  <c r="I2263" i="33"/>
  <c r="I2262" i="33"/>
  <c r="AT522" i="1"/>
  <c r="I2272" i="33"/>
  <c r="I2271" i="33"/>
  <c r="K2320" i="33"/>
  <c r="K2321" i="33"/>
  <c r="K2322" i="33"/>
  <c r="K2323" i="33"/>
  <c r="AT531" i="1"/>
  <c r="I2334" i="33"/>
  <c r="I2333" i="33"/>
  <c r="I2335" i="33"/>
  <c r="I2336" i="33"/>
  <c r="AT527" i="1"/>
  <c r="I2348" i="33"/>
  <c r="AT612" i="1"/>
  <c r="I2360" i="33"/>
  <c r="I2380" i="33"/>
  <c r="I2381" i="33"/>
  <c r="I2379" i="33"/>
  <c r="I2382" i="33"/>
  <c r="AT494" i="1"/>
  <c r="I2383" i="33"/>
  <c r="K2391" i="33"/>
  <c r="K2390" i="33"/>
  <c r="I2397" i="33"/>
  <c r="I2398" i="33"/>
  <c r="K2408" i="33"/>
  <c r="K2409" i="33"/>
  <c r="K2410" i="33"/>
  <c r="AT448" i="1"/>
  <c r="I2419" i="33"/>
  <c r="I2420" i="33"/>
  <c r="I2416" i="33"/>
  <c r="AT634" i="1"/>
  <c r="I2443" i="33"/>
  <c r="K2465" i="33"/>
  <c r="K2467" i="33"/>
  <c r="P2478" i="33"/>
  <c r="AO639" i="1"/>
  <c r="AQ639" i="1" s="1"/>
  <c r="P2472" i="33"/>
  <c r="P2470" i="33"/>
  <c r="P2480" i="33"/>
  <c r="AU631" i="1"/>
  <c r="J2486" i="33"/>
  <c r="J2488" i="33"/>
  <c r="J2489" i="33"/>
  <c r="J2490" i="33"/>
  <c r="J2498" i="33"/>
  <c r="J2499" i="33"/>
  <c r="J2493" i="33"/>
  <c r="J2496" i="33"/>
  <c r="J2500" i="33"/>
  <c r="AO676" i="1"/>
  <c r="P2505" i="33"/>
  <c r="P2501" i="33"/>
  <c r="P2504" i="33"/>
  <c r="AO552" i="1"/>
  <c r="AQ552" i="1" s="1"/>
  <c r="P2510" i="33"/>
  <c r="P2533" i="33"/>
  <c r="P2535" i="33"/>
  <c r="J2550" i="33"/>
  <c r="J2549" i="33"/>
  <c r="J2551" i="33"/>
  <c r="AO735" i="1"/>
  <c r="AQ735" i="1" s="1"/>
  <c r="P2557" i="33"/>
  <c r="P2556" i="33"/>
  <c r="P2553" i="33"/>
  <c r="P2555" i="33"/>
  <c r="P2558" i="33"/>
  <c r="AO673" i="1"/>
  <c r="AQ673" i="1" s="1"/>
  <c r="P2562" i="33"/>
  <c r="P2563" i="33"/>
  <c r="P2560" i="33"/>
  <c r="J2566" i="33"/>
  <c r="J2565" i="33"/>
  <c r="AU542" i="1"/>
  <c r="J2573" i="33"/>
  <c r="J2571" i="33"/>
  <c r="J2575" i="33"/>
  <c r="J2568" i="33"/>
  <c r="AO699" i="1"/>
  <c r="AQ699" i="1" s="1"/>
  <c r="P2579" i="33"/>
  <c r="AU695" i="1"/>
  <c r="J2610" i="33"/>
  <c r="J2609" i="33"/>
  <c r="J2605" i="33"/>
  <c r="P2618" i="33"/>
  <c r="AO714" i="1"/>
  <c r="AQ714" i="1" s="1"/>
  <c r="P2619" i="33"/>
  <c r="AO773" i="1"/>
  <c r="AQ773" i="1" s="1"/>
  <c r="P2623" i="33"/>
  <c r="AU756" i="1"/>
  <c r="J2648" i="33"/>
  <c r="J2650" i="33"/>
  <c r="P2662" i="33"/>
  <c r="AO760" i="1"/>
  <c r="AQ760" i="1" s="1"/>
  <c r="P2663" i="33"/>
  <c r="AU938" i="1"/>
  <c r="J2686" i="33"/>
  <c r="J2684" i="33"/>
  <c r="J2683" i="33"/>
  <c r="P2698" i="33"/>
  <c r="P2700" i="33"/>
  <c r="AO677" i="1"/>
  <c r="AQ677" i="1" s="1"/>
  <c r="P2703" i="33"/>
  <c r="AU791" i="1"/>
  <c r="J2710" i="33"/>
  <c r="J2713" i="33"/>
  <c r="J2714" i="33"/>
  <c r="P2730" i="33"/>
  <c r="P2731" i="33"/>
  <c r="AO708" i="1"/>
  <c r="AQ708" i="1" s="1"/>
  <c r="P2732" i="33"/>
  <c r="P2733" i="33"/>
  <c r="P2785" i="33"/>
  <c r="P2784" i="33"/>
  <c r="P2783" i="33"/>
  <c r="AO883" i="1"/>
  <c r="AQ883" i="1" s="1"/>
  <c r="K337" i="6"/>
  <c r="K336" i="6"/>
  <c r="K2810" i="33"/>
  <c r="K2812" i="33"/>
  <c r="K2811" i="33"/>
  <c r="K2816" i="33"/>
  <c r="I2817" i="33"/>
  <c r="AT687" i="1"/>
  <c r="I2819" i="33"/>
  <c r="AT1058" i="1"/>
  <c r="I2821" i="33"/>
  <c r="I2824" i="33"/>
  <c r="I2865" i="33"/>
  <c r="AT905" i="1"/>
  <c r="P2907" i="33"/>
  <c r="P2901" i="33"/>
  <c r="P2905" i="33"/>
  <c r="P2902" i="33"/>
  <c r="AO906" i="1"/>
  <c r="AQ906" i="1" s="1"/>
  <c r="P2897" i="33"/>
  <c r="P2896" i="33"/>
  <c r="P2895" i="33"/>
  <c r="P2894" i="33"/>
  <c r="P2903" i="33"/>
  <c r="P2899" i="33"/>
  <c r="P2906" i="33"/>
  <c r="AU1071" i="1"/>
  <c r="J2909" i="33"/>
  <c r="J2908" i="33"/>
  <c r="J2914" i="33"/>
  <c r="J2912" i="33"/>
  <c r="J2913" i="33"/>
  <c r="AO685" i="1"/>
  <c r="AQ685" i="1" s="1"/>
  <c r="P2915" i="33"/>
  <c r="AO927" i="1"/>
  <c r="AQ927" i="1" s="1"/>
  <c r="P2918" i="33"/>
  <c r="AU848" i="1"/>
  <c r="J2923" i="33"/>
  <c r="J2924" i="33"/>
  <c r="AU947" i="1"/>
  <c r="J2927" i="33"/>
  <c r="P2937" i="33"/>
  <c r="P2940" i="33"/>
  <c r="P2938" i="33"/>
  <c r="P2941" i="33"/>
  <c r="AO793" i="1"/>
  <c r="J2944" i="33"/>
  <c r="AU1192" i="1"/>
  <c r="J2943" i="33"/>
  <c r="J2942" i="33"/>
  <c r="AU991" i="1"/>
  <c r="J2963" i="33"/>
  <c r="K2992" i="33"/>
  <c r="K2990" i="33"/>
  <c r="K2991" i="33"/>
  <c r="K2988" i="33"/>
  <c r="K3000" i="33"/>
  <c r="K2999" i="33"/>
  <c r="K2995" i="33"/>
  <c r="K2998" i="33"/>
  <c r="K3005" i="33"/>
  <c r="K3001" i="33"/>
  <c r="K3002" i="33"/>
  <c r="K3006" i="33"/>
  <c r="AT895" i="1"/>
  <c r="I3007" i="33"/>
  <c r="I3009" i="33"/>
  <c r="I3008" i="33"/>
  <c r="AT988" i="1"/>
  <c r="I3020" i="33"/>
  <c r="I3021" i="33"/>
  <c r="I3033" i="33"/>
  <c r="I3035" i="33"/>
  <c r="I3034" i="33"/>
  <c r="AT1007" i="1"/>
  <c r="K3041" i="33"/>
  <c r="K3040" i="33"/>
  <c r="K3042" i="33"/>
  <c r="K3047" i="33"/>
  <c r="K3048" i="33"/>
  <c r="K3044" i="33"/>
  <c r="K3046" i="33"/>
  <c r="I3076" i="33"/>
  <c r="I3075" i="33"/>
  <c r="I3077" i="33"/>
  <c r="I3070" i="33"/>
  <c r="I3072" i="33"/>
  <c r="I3071" i="33"/>
  <c r="I3090" i="33"/>
  <c r="AT884" i="1"/>
  <c r="I3091" i="33"/>
  <c r="I3088" i="33"/>
  <c r="I3089" i="33"/>
  <c r="I3099" i="33"/>
  <c r="I3096" i="33"/>
  <c r="I3105" i="33"/>
  <c r="I3100" i="33"/>
  <c r="I3103" i="33"/>
  <c r="AT944" i="1"/>
  <c r="I3097" i="33"/>
  <c r="I3107" i="33"/>
  <c r="I3106" i="33"/>
  <c r="I3098" i="33"/>
  <c r="K3117" i="33"/>
  <c r="K3116" i="33"/>
  <c r="K3125" i="33"/>
  <c r="K3126" i="33"/>
  <c r="K3124" i="33"/>
  <c r="I3139" i="33"/>
  <c r="AT980" i="1"/>
  <c r="K3151" i="33"/>
  <c r="K3154" i="33"/>
  <c r="K3152" i="33"/>
  <c r="K3150" i="33"/>
  <c r="K3153" i="33"/>
  <c r="AO1101" i="1"/>
  <c r="AQ1101" i="1" s="1"/>
  <c r="P3174" i="33"/>
  <c r="AO1032" i="1"/>
  <c r="P3205" i="33"/>
  <c r="P3206" i="33"/>
  <c r="P3204" i="33"/>
  <c r="P3203" i="33"/>
  <c r="J3214" i="33"/>
  <c r="J3210" i="33"/>
  <c r="AU1061" i="1"/>
  <c r="J3211" i="33"/>
  <c r="J3213" i="33"/>
  <c r="AU983" i="1"/>
  <c r="J3244" i="33"/>
  <c r="J3246" i="33"/>
  <c r="J3247" i="33"/>
  <c r="J3245" i="33"/>
  <c r="K3274" i="33"/>
  <c r="K3275" i="33"/>
  <c r="K3276" i="33"/>
  <c r="AT1031" i="1"/>
  <c r="I3285" i="33"/>
  <c r="I3286" i="33"/>
  <c r="I3284" i="33"/>
  <c r="I3287" i="33"/>
  <c r="K3289" i="33"/>
  <c r="K3292" i="33"/>
  <c r="K3290" i="33"/>
  <c r="AT1248" i="1"/>
  <c r="I3304" i="33"/>
  <c r="I3305" i="33"/>
  <c r="I3302" i="33"/>
  <c r="I3320" i="33"/>
  <c r="I3319" i="33"/>
  <c r="I3321" i="33"/>
  <c r="AT1216" i="1"/>
  <c r="P3361" i="33"/>
  <c r="P3363" i="33"/>
  <c r="I3373" i="33"/>
  <c r="I3375" i="33"/>
  <c r="AT1174" i="1"/>
  <c r="I3385" i="33"/>
  <c r="I3384" i="33"/>
  <c r="I3383" i="33"/>
  <c r="I3382" i="33"/>
  <c r="I3381" i="33"/>
  <c r="K3389" i="33"/>
  <c r="K3390" i="33"/>
  <c r="P3403" i="33"/>
  <c r="AO1157" i="1"/>
  <c r="AQ1157" i="1" s="1"/>
  <c r="P3402" i="33"/>
  <c r="P3404" i="33"/>
  <c r="P3409" i="33"/>
  <c r="AO1237" i="1"/>
  <c r="AQ1237" i="1" s="1"/>
  <c r="P3406" i="33"/>
  <c r="P3405" i="33"/>
  <c r="J3414" i="33"/>
  <c r="J3412" i="33"/>
  <c r="AU1178" i="1"/>
  <c r="J3413" i="33"/>
  <c r="J3416" i="33"/>
  <c r="AU1041" i="1"/>
  <c r="J3415" i="33"/>
  <c r="AU1347" i="1"/>
  <c r="J179" i="6"/>
  <c r="J177" i="6"/>
  <c r="K3521" i="33"/>
  <c r="K3522" i="33"/>
  <c r="K3520" i="33"/>
  <c r="I3523" i="33"/>
  <c r="AT1183" i="1"/>
  <c r="I3524" i="33"/>
  <c r="I3525" i="33"/>
  <c r="I3563" i="33"/>
  <c r="AT1311" i="1"/>
  <c r="K3567" i="33"/>
  <c r="K3564" i="33"/>
  <c r="K3566" i="33"/>
  <c r="K3565" i="33"/>
  <c r="K3658" i="33"/>
  <c r="K3659" i="33"/>
  <c r="K3618" i="33"/>
  <c r="K3620" i="33"/>
  <c r="K3622" i="33"/>
  <c r="K3619" i="33"/>
  <c r="AU1331" i="1"/>
  <c r="J3634" i="33"/>
  <c r="J3638" i="33"/>
  <c r="J3637" i="33"/>
  <c r="J140" i="6"/>
  <c r="J139" i="6"/>
  <c r="J141" i="6"/>
  <c r="AU1448" i="1"/>
  <c r="J255" i="6"/>
  <c r="J254" i="6"/>
  <c r="K195" i="6"/>
  <c r="K199" i="6"/>
  <c r="K198" i="6"/>
  <c r="K196" i="6"/>
  <c r="J1756" i="33"/>
  <c r="I2329" i="33"/>
  <c r="J2487" i="33"/>
  <c r="J2497" i="33"/>
  <c r="P2474" i="33"/>
  <c r="J1667" i="33"/>
  <c r="P1686" i="33"/>
  <c r="K2809" i="33"/>
  <c r="P2502" i="33"/>
  <c r="P1796" i="33"/>
  <c r="K1323" i="33"/>
  <c r="P2559" i="33"/>
  <c r="K2411" i="33"/>
  <c r="K2389" i="33"/>
  <c r="J1410" i="33"/>
  <c r="K2129" i="33"/>
  <c r="P1718" i="33"/>
  <c r="P1646" i="33"/>
  <c r="I2330" i="33"/>
  <c r="K2304" i="33"/>
  <c r="J1661" i="33"/>
  <c r="K2211" i="33"/>
  <c r="J1132" i="33"/>
  <c r="P2477" i="33"/>
  <c r="K3155" i="33"/>
  <c r="K3003" i="33"/>
  <c r="P2900" i="33"/>
  <c r="P1229" i="33"/>
  <c r="J3197" i="33"/>
  <c r="K3391" i="33"/>
  <c r="K3392" i="33"/>
  <c r="J191" i="6"/>
  <c r="K3660" i="33"/>
  <c r="K3568" i="33"/>
  <c r="J97" i="6"/>
  <c r="P1459" i="33"/>
  <c r="J2652" i="33"/>
  <c r="AU40" i="1"/>
  <c r="AO1263" i="1"/>
  <c r="AQ1263" i="1" s="1"/>
  <c r="P159" i="6"/>
  <c r="P158" i="6"/>
  <c r="J127" i="6"/>
  <c r="J129" i="6"/>
  <c r="J126" i="6"/>
  <c r="P3461" i="33"/>
  <c r="AO1285" i="1"/>
  <c r="AQ1285" i="1" s="1"/>
  <c r="I166" i="6"/>
  <c r="I167" i="6"/>
  <c r="AO1423" i="1"/>
  <c r="AQ1423" i="1" s="1"/>
  <c r="P269" i="6"/>
  <c r="J135" i="6"/>
  <c r="J206" i="6"/>
  <c r="J134" i="6"/>
  <c r="J136" i="6"/>
  <c r="K3582" i="33"/>
  <c r="P1252" i="33"/>
  <c r="P1251" i="33"/>
  <c r="I1320" i="33"/>
  <c r="I1321" i="33"/>
  <c r="K1326" i="33"/>
  <c r="K1327" i="33"/>
  <c r="AU187" i="1"/>
  <c r="J1459" i="33"/>
  <c r="P1938" i="33"/>
  <c r="P1941" i="33"/>
  <c r="I2051" i="33"/>
  <c r="I2048" i="33"/>
  <c r="P2497" i="33"/>
  <c r="P2492" i="33"/>
  <c r="P2609" i="33"/>
  <c r="P2605" i="33"/>
  <c r="P2923" i="33"/>
  <c r="AO848" i="1"/>
  <c r="J2967" i="33"/>
  <c r="J2966" i="33"/>
  <c r="K3009" i="33"/>
  <c r="K3008" i="33"/>
  <c r="K3034" i="33"/>
  <c r="K3032" i="33"/>
  <c r="K3100" i="33"/>
  <c r="K3103" i="33"/>
  <c r="K3104" i="33"/>
  <c r="K3161" i="33"/>
  <c r="K3157" i="33"/>
  <c r="K3162" i="33"/>
  <c r="I3277" i="33"/>
  <c r="I3278" i="33"/>
  <c r="K3284" i="33"/>
  <c r="K3285" i="33"/>
  <c r="K3372" i="33"/>
  <c r="K3374" i="33"/>
  <c r="P1129" i="33"/>
  <c r="J1439" i="33"/>
  <c r="J2492" i="33"/>
  <c r="I2172" i="33"/>
  <c r="K2883" i="33"/>
  <c r="J2649" i="33"/>
  <c r="K2240" i="33"/>
  <c r="P1471" i="33"/>
  <c r="P1848" i="33"/>
  <c r="P2482" i="33"/>
  <c r="K1374" i="33"/>
  <c r="I2055" i="33"/>
  <c r="P2534" i="33"/>
  <c r="P2481" i="33"/>
  <c r="I2384" i="33"/>
  <c r="P1586" i="33"/>
  <c r="I2135" i="33"/>
  <c r="J2679" i="33"/>
  <c r="P1985" i="33"/>
  <c r="K2303" i="33"/>
  <c r="J3654" i="33"/>
  <c r="J3219" i="33"/>
  <c r="I3101" i="33"/>
  <c r="J2962" i="33"/>
  <c r="P1160" i="33"/>
  <c r="K1204" i="33"/>
  <c r="P3360" i="33"/>
  <c r="P3410" i="33"/>
  <c r="K3621" i="33"/>
  <c r="K197" i="6"/>
  <c r="P1291" i="33"/>
  <c r="I2166" i="33"/>
  <c r="J3243" i="33"/>
  <c r="AO1246" i="1"/>
  <c r="AQ1246" i="1" s="1"/>
  <c r="AO398" i="1"/>
  <c r="AQ398" i="1" s="1"/>
  <c r="I2115" i="33"/>
  <c r="I2116" i="33"/>
  <c r="I2114" i="33"/>
  <c r="AT775" i="1"/>
  <c r="I2190" i="33"/>
  <c r="I2189" i="33"/>
  <c r="I2200" i="33"/>
  <c r="AT565" i="1"/>
  <c r="AT551" i="1"/>
  <c r="I2260" i="33"/>
  <c r="I2259" i="33"/>
  <c r="I2258" i="33"/>
  <c r="K246" i="6"/>
  <c r="K247" i="6"/>
  <c r="AU1306" i="1"/>
  <c r="J174" i="6"/>
  <c r="J172" i="6"/>
  <c r="AO1376" i="1"/>
  <c r="P271" i="6"/>
  <c r="AT1348" i="1"/>
  <c r="I214" i="6"/>
  <c r="I213" i="6"/>
  <c r="AT1419" i="1"/>
  <c r="I304" i="6"/>
  <c r="K220" i="6"/>
  <c r="K218" i="6"/>
  <c r="P218" i="6"/>
  <c r="P222" i="6"/>
  <c r="J3459" i="33"/>
  <c r="J3458" i="33"/>
  <c r="J3461" i="33"/>
  <c r="J3460" i="33"/>
  <c r="AO27" i="1"/>
  <c r="AQ27" i="1" s="1"/>
  <c r="P1114" i="33"/>
  <c r="AO10" i="1"/>
  <c r="P1131" i="33"/>
  <c r="P1133" i="33"/>
  <c r="K1134" i="33"/>
  <c r="K1135" i="33"/>
  <c r="K1137" i="33"/>
  <c r="K1136" i="33"/>
  <c r="K1145" i="33"/>
  <c r="K1144" i="33"/>
  <c r="K1164" i="33"/>
  <c r="K1163" i="33"/>
  <c r="K1162" i="33"/>
  <c r="J1183" i="33"/>
  <c r="AU58" i="1"/>
  <c r="J1187" i="33"/>
  <c r="AO3" i="1"/>
  <c r="AQ3" i="1" s="1"/>
  <c r="P1195" i="33"/>
  <c r="I1176" i="33"/>
  <c r="I1175" i="33"/>
  <c r="I1177" i="33"/>
  <c r="I1215" i="33"/>
  <c r="P1219" i="33"/>
  <c r="AO5" i="1"/>
  <c r="AQ5" i="1" s="1"/>
  <c r="J1236" i="33"/>
  <c r="J1238" i="33"/>
  <c r="AU23" i="1"/>
  <c r="J1243" i="33"/>
  <c r="J1242" i="33"/>
  <c r="J1241" i="33"/>
  <c r="J1240" i="33"/>
  <c r="AU45" i="1"/>
  <c r="J1244" i="33"/>
  <c r="J1246" i="33"/>
  <c r="AO113" i="1"/>
  <c r="AQ113" i="1" s="1"/>
  <c r="P1255" i="33"/>
  <c r="P1256" i="33"/>
  <c r="P1259" i="33"/>
  <c r="P1258" i="33"/>
  <c r="AT22" i="1"/>
  <c r="I1264" i="33"/>
  <c r="I1263" i="33"/>
  <c r="AO102" i="1"/>
  <c r="AQ102" i="1" s="1"/>
  <c r="P1281" i="33"/>
  <c r="P1282" i="33"/>
  <c r="AU44" i="1"/>
  <c r="J1296" i="33"/>
  <c r="J1297" i="33"/>
  <c r="J1295" i="33"/>
  <c r="J1298" i="33"/>
  <c r="K1182" i="33"/>
  <c r="K1265" i="33"/>
  <c r="K1178" i="33"/>
  <c r="K1180" i="33"/>
  <c r="AO85" i="1"/>
  <c r="AQ85" i="1" s="1"/>
  <c r="P1322" i="33"/>
  <c r="K1329" i="33"/>
  <c r="K1330" i="33"/>
  <c r="AT195" i="1"/>
  <c r="I1332" i="33"/>
  <c r="I1336" i="33"/>
  <c r="AT55" i="1"/>
  <c r="I1341" i="33"/>
  <c r="K1364" i="33"/>
  <c r="K1361" i="33"/>
  <c r="K1365" i="33"/>
  <c r="K1366" i="33"/>
  <c r="AT133" i="1"/>
  <c r="I1371" i="33"/>
  <c r="I1370" i="33"/>
  <c r="AO49" i="1"/>
  <c r="AQ49" i="1" s="1"/>
  <c r="P1376" i="33"/>
  <c r="P1377" i="33"/>
  <c r="J1381" i="33"/>
  <c r="AU127" i="1"/>
  <c r="AU47" i="1"/>
  <c r="J1383" i="33"/>
  <c r="J1382" i="33"/>
  <c r="AO128" i="1"/>
  <c r="AQ128" i="1" s="1"/>
  <c r="P1388" i="33"/>
  <c r="P1390" i="33"/>
  <c r="P1389" i="33"/>
  <c r="AO151" i="1"/>
  <c r="AQ151" i="1" s="1"/>
  <c r="P1395" i="33"/>
  <c r="P1392" i="33"/>
  <c r="P1394" i="33"/>
  <c r="AO110" i="1"/>
  <c r="P1400" i="33"/>
  <c r="AU150" i="1"/>
  <c r="J1407" i="33"/>
  <c r="AO226" i="1"/>
  <c r="AQ226" i="1" s="1"/>
  <c r="P1432" i="33"/>
  <c r="P1430" i="33"/>
  <c r="AO84" i="1"/>
  <c r="AQ84" i="1" s="1"/>
  <c r="P1440" i="33"/>
  <c r="P1442" i="33"/>
  <c r="P1448" i="33"/>
  <c r="P1419" i="33"/>
  <c r="P1447" i="33"/>
  <c r="P1446" i="33"/>
  <c r="P1418" i="33"/>
  <c r="P1422" i="33"/>
  <c r="P1458" i="33"/>
  <c r="P1457" i="33"/>
  <c r="AU168" i="1"/>
  <c r="J1462" i="33"/>
  <c r="J1463" i="33"/>
  <c r="J1461" i="33"/>
  <c r="AO252" i="1"/>
  <c r="AQ252" i="1" s="1"/>
  <c r="P1531" i="33"/>
  <c r="P1533" i="33"/>
  <c r="P1537" i="33"/>
  <c r="AU174" i="1"/>
  <c r="J1538" i="33"/>
  <c r="J1540" i="33"/>
  <c r="AU204" i="1"/>
  <c r="J1545" i="33"/>
  <c r="J1541" i="33"/>
  <c r="J1546" i="33"/>
  <c r="J1542" i="33"/>
  <c r="AO224" i="1"/>
  <c r="P1547" i="33"/>
  <c r="AU15" i="1"/>
  <c r="J1551" i="33"/>
  <c r="J1554" i="33"/>
  <c r="J1553" i="33"/>
  <c r="K1189" i="33"/>
  <c r="K1188" i="33"/>
  <c r="K1190" i="33"/>
  <c r="AO202" i="1"/>
  <c r="P1603" i="33"/>
  <c r="P1604" i="33"/>
  <c r="AU244" i="1"/>
  <c r="J1607" i="33"/>
  <c r="J1606" i="33"/>
  <c r="AU182" i="1"/>
  <c r="J1611" i="33"/>
  <c r="J1610" i="33"/>
  <c r="AU280" i="1"/>
  <c r="J1620" i="33"/>
  <c r="J1623" i="33"/>
  <c r="J1621" i="33"/>
  <c r="J1639" i="33"/>
  <c r="AU237" i="1"/>
  <c r="AU257" i="1"/>
  <c r="J1655" i="33"/>
  <c r="J1654" i="33"/>
  <c r="AU281" i="1"/>
  <c r="J1663" i="33"/>
  <c r="AU296" i="1"/>
  <c r="J1709" i="33"/>
  <c r="P1716" i="33"/>
  <c r="P1712" i="33"/>
  <c r="AU311" i="1"/>
  <c r="J1730" i="33"/>
  <c r="AU330" i="1"/>
  <c r="J1733" i="33"/>
  <c r="J1735" i="33"/>
  <c r="J1736" i="33"/>
  <c r="J1734" i="33"/>
  <c r="J1753" i="33"/>
  <c r="AU294" i="1"/>
  <c r="AO360" i="1"/>
  <c r="AQ360" i="1" s="1"/>
  <c r="P1788" i="33"/>
  <c r="J1794" i="33"/>
  <c r="J1795" i="33"/>
  <c r="J1791" i="33"/>
  <c r="J1793" i="33"/>
  <c r="J1792" i="33"/>
  <c r="AO313" i="1"/>
  <c r="P1811" i="33"/>
  <c r="J1821" i="33"/>
  <c r="AU536" i="1"/>
  <c r="J1819" i="33"/>
  <c r="J1815" i="33"/>
  <c r="J1818" i="33"/>
  <c r="J1823" i="33"/>
  <c r="J1813" i="33"/>
  <c r="AO367" i="1"/>
  <c r="AQ367" i="1" s="1"/>
  <c r="P1824" i="33"/>
  <c r="AU342" i="1"/>
  <c r="J1826" i="33"/>
  <c r="J1825" i="33"/>
  <c r="AO354" i="1"/>
  <c r="AQ354" i="1" s="1"/>
  <c r="P1838" i="33"/>
  <c r="AU306" i="1"/>
  <c r="J1840" i="33"/>
  <c r="J1839" i="33"/>
  <c r="AO7" i="1"/>
  <c r="AQ7" i="1" s="1"/>
  <c r="P1842" i="33"/>
  <c r="AU381" i="1"/>
  <c r="J1844" i="33"/>
  <c r="AO348" i="1"/>
  <c r="P1854" i="33"/>
  <c r="P1853" i="33"/>
  <c r="J1855" i="33"/>
  <c r="J1856" i="33"/>
  <c r="P1865" i="33"/>
  <c r="P1866" i="33"/>
  <c r="J1869" i="33"/>
  <c r="AU327" i="1"/>
  <c r="AO371" i="1"/>
  <c r="AQ371" i="1" s="1"/>
  <c r="P1878" i="33"/>
  <c r="P1877" i="33"/>
  <c r="AO318" i="1"/>
  <c r="AQ318" i="1" s="1"/>
  <c r="P1879" i="33"/>
  <c r="P1880" i="33"/>
  <c r="AU359" i="1"/>
  <c r="J1896" i="33"/>
  <c r="J1895" i="33"/>
  <c r="J1897" i="33"/>
  <c r="J1899" i="33"/>
  <c r="AU410" i="1"/>
  <c r="J1898" i="33"/>
  <c r="AO391" i="1"/>
  <c r="AQ391" i="1" s="1"/>
  <c r="P1911" i="33"/>
  <c r="P1912" i="33"/>
  <c r="P1913" i="33"/>
  <c r="P1914" i="33"/>
  <c r="AU383" i="1"/>
  <c r="J1923" i="33"/>
  <c r="AO377" i="1"/>
  <c r="AQ377" i="1" s="1"/>
  <c r="P1927" i="33"/>
  <c r="P1926" i="33"/>
  <c r="P1925" i="33"/>
  <c r="P1928" i="33"/>
  <c r="AO344" i="1"/>
  <c r="AQ344" i="1" s="1"/>
  <c r="P1930" i="33"/>
  <c r="P1929" i="33"/>
  <c r="AU323" i="1"/>
  <c r="J1973" i="33"/>
  <c r="J1970" i="33"/>
  <c r="AO322" i="1"/>
  <c r="P1975" i="33"/>
  <c r="P1977" i="33"/>
  <c r="J1981" i="33"/>
  <c r="J1980" i="33"/>
  <c r="J1979" i="33"/>
  <c r="AO396" i="1"/>
  <c r="AQ396" i="1" s="1"/>
  <c r="P1987" i="33"/>
  <c r="K2031" i="33"/>
  <c r="K2029" i="33"/>
  <c r="K2028" i="33"/>
  <c r="AT415" i="1"/>
  <c r="I2038" i="33"/>
  <c r="K2050" i="33"/>
  <c r="K2047" i="33"/>
  <c r="K2045" i="33"/>
  <c r="K2051" i="33"/>
  <c r="AT417" i="1"/>
  <c r="I2059" i="33"/>
  <c r="I2060" i="33"/>
  <c r="K2083" i="33"/>
  <c r="K2082" i="33"/>
  <c r="K2081" i="33"/>
  <c r="AT452" i="1"/>
  <c r="I2093" i="33"/>
  <c r="I2090" i="33"/>
  <c r="I2097" i="33"/>
  <c r="I2096" i="33"/>
  <c r="AT459" i="1"/>
  <c r="K2120" i="33"/>
  <c r="K2122" i="33"/>
  <c r="K2123" i="33"/>
  <c r="AT455" i="1"/>
  <c r="I2126" i="33"/>
  <c r="I2124" i="33"/>
  <c r="AT472" i="1"/>
  <c r="I2150" i="33"/>
  <c r="I2147" i="33"/>
  <c r="I2146" i="33"/>
  <c r="AT497" i="1"/>
  <c r="I2153" i="33"/>
  <c r="AT484" i="1"/>
  <c r="I2155" i="33"/>
  <c r="K2161" i="33"/>
  <c r="K2158" i="33"/>
  <c r="K2177" i="33"/>
  <c r="K2179" i="33"/>
  <c r="K2184" i="33"/>
  <c r="K2180" i="33"/>
  <c r="K2182" i="33"/>
  <c r="K2181" i="33"/>
  <c r="AT500" i="1"/>
  <c r="I2192" i="33"/>
  <c r="K2202" i="33"/>
  <c r="K2203" i="33"/>
  <c r="K2204" i="33"/>
  <c r="K2210" i="33"/>
  <c r="K2212" i="33"/>
  <c r="K2222" i="33"/>
  <c r="K2223" i="33"/>
  <c r="K2221" i="33"/>
  <c r="K2255" i="33"/>
  <c r="K2257" i="33"/>
  <c r="K2253" i="33"/>
  <c r="K2254" i="33"/>
  <c r="K2282" i="33"/>
  <c r="K2277" i="33"/>
  <c r="K2283" i="33"/>
  <c r="K2276" i="33"/>
  <c r="K2278" i="33"/>
  <c r="K2279" i="33"/>
  <c r="K2274" i="33"/>
  <c r="AT526" i="1"/>
  <c r="I2284" i="33"/>
  <c r="I2286" i="33"/>
  <c r="AT347" i="1"/>
  <c r="I2288" i="33"/>
  <c r="I2295" i="33"/>
  <c r="AT530" i="1"/>
  <c r="I2296" i="33"/>
  <c r="I2293" i="33"/>
  <c r="I2294" i="33"/>
  <c r="I2291" i="33"/>
  <c r="AT582" i="1"/>
  <c r="I2309" i="33"/>
  <c r="I2308" i="33"/>
  <c r="AT572" i="1"/>
  <c r="I2316" i="33"/>
  <c r="I2315" i="33"/>
  <c r="I2314" i="33"/>
  <c r="AT537" i="1"/>
  <c r="I2327" i="33"/>
  <c r="I2325" i="33"/>
  <c r="I2328" i="33"/>
  <c r="K2347" i="33"/>
  <c r="K2345" i="33"/>
  <c r="K2346" i="33"/>
  <c r="K2344" i="33"/>
  <c r="AT882" i="1"/>
  <c r="I2356" i="33"/>
  <c r="I2349" i="33"/>
  <c r="I2354" i="33"/>
  <c r="I2353" i="33"/>
  <c r="I2351" i="33"/>
  <c r="I2355" i="33"/>
  <c r="I2367" i="33"/>
  <c r="I2366" i="33"/>
  <c r="I2368" i="33"/>
  <c r="AT588" i="1"/>
  <c r="I2376" i="33"/>
  <c r="AT568" i="1"/>
  <c r="I2378" i="33"/>
  <c r="I2387" i="33"/>
  <c r="I2386" i="33"/>
  <c r="I2392" i="33"/>
  <c r="AT586" i="1"/>
  <c r="K2401" i="33"/>
  <c r="K2400" i="33"/>
  <c r="K2399" i="33"/>
  <c r="K2407" i="33"/>
  <c r="K2402" i="33"/>
  <c r="K2404" i="33"/>
  <c r="K2403" i="33"/>
  <c r="K2415" i="33"/>
  <c r="K2414" i="33"/>
  <c r="K2436" i="33"/>
  <c r="K2437" i="33"/>
  <c r="I2440" i="33"/>
  <c r="AT668" i="1"/>
  <c r="K2457" i="33"/>
  <c r="K2458" i="33"/>
  <c r="K2461" i="33"/>
  <c r="K2460" i="33"/>
  <c r="K2463" i="33"/>
  <c r="K2462" i="33"/>
  <c r="AO601" i="1"/>
  <c r="AQ601" i="1" s="1"/>
  <c r="P2509" i="33"/>
  <c r="P2508" i="33"/>
  <c r="P2507" i="33"/>
  <c r="J2522" i="33"/>
  <c r="J2530" i="33"/>
  <c r="J2524" i="33"/>
  <c r="J2528" i="33"/>
  <c r="J2526" i="33"/>
  <c r="J2525" i="33"/>
  <c r="J2523" i="33"/>
  <c r="P2531" i="33"/>
  <c r="AO665" i="1"/>
  <c r="AQ665" i="1" s="1"/>
  <c r="J2593" i="33"/>
  <c r="J2592" i="33"/>
  <c r="AU739" i="1"/>
  <c r="J2596" i="33"/>
  <c r="J2598" i="33"/>
  <c r="J2600" i="33"/>
  <c r="J2597" i="33"/>
  <c r="AU640" i="1"/>
  <c r="J2621" i="33"/>
  <c r="AO637" i="1"/>
  <c r="AQ637" i="1" s="1"/>
  <c r="P2647" i="33"/>
  <c r="AO697" i="1"/>
  <c r="AQ697" i="1" s="1"/>
  <c r="P2653" i="33"/>
  <c r="P2655" i="33"/>
  <c r="AO776" i="1"/>
  <c r="AQ776" i="1" s="1"/>
  <c r="P2656" i="33"/>
  <c r="P2665" i="33"/>
  <c r="P2667" i="33"/>
  <c r="AO745" i="1"/>
  <c r="AQ745" i="1" s="1"/>
  <c r="AO789" i="1"/>
  <c r="AQ789" i="1" s="1"/>
  <c r="P2669" i="33"/>
  <c r="J2670" i="33"/>
  <c r="AU817" i="1"/>
  <c r="J2671" i="33"/>
  <c r="J2672" i="33"/>
  <c r="AO840" i="1"/>
  <c r="AQ840" i="1" s="1"/>
  <c r="P2674" i="33"/>
  <c r="AU809" i="1"/>
  <c r="J2682" i="33"/>
  <c r="AU1085" i="1"/>
  <c r="J2693" i="33"/>
  <c r="J2690" i="33"/>
  <c r="J2692" i="33"/>
  <c r="J2689" i="33"/>
  <c r="J2694" i="33"/>
  <c r="AO782" i="1"/>
  <c r="AQ782" i="1" s="1"/>
  <c r="P2695" i="33"/>
  <c r="J2716" i="33"/>
  <c r="J2715" i="33"/>
  <c r="AU645" i="1"/>
  <c r="J2719" i="33"/>
  <c r="J2720" i="33"/>
  <c r="AU669" i="1"/>
  <c r="J2726" i="33"/>
  <c r="J2722" i="33"/>
  <c r="J2724" i="33"/>
  <c r="J2723" i="33"/>
  <c r="J2721" i="33"/>
  <c r="AO686" i="1"/>
  <c r="AQ686" i="1" s="1"/>
  <c r="P2737" i="33"/>
  <c r="AO875" i="1"/>
  <c r="AQ875" i="1" s="1"/>
  <c r="P2741" i="33"/>
  <c r="P2740" i="33"/>
  <c r="J2742" i="33"/>
  <c r="J2743" i="33"/>
  <c r="J2747" i="33"/>
  <c r="AU767" i="1"/>
  <c r="J2746" i="33"/>
  <c r="J2749" i="33"/>
  <c r="J2750" i="33"/>
  <c r="AU777" i="1"/>
  <c r="J2756" i="33"/>
  <c r="J2755" i="33"/>
  <c r="AO846" i="1"/>
  <c r="AQ846" i="1" s="1"/>
  <c r="P2757" i="33"/>
  <c r="J2762" i="33"/>
  <c r="J2761" i="33"/>
  <c r="J2763" i="33"/>
  <c r="J2767" i="33"/>
  <c r="J2765" i="33"/>
  <c r="J2764" i="33"/>
  <c r="AO799" i="1"/>
  <c r="AQ799" i="1" s="1"/>
  <c r="P2770" i="33"/>
  <c r="P2771" i="33"/>
  <c r="AO762" i="1"/>
  <c r="AQ762" i="1" s="1"/>
  <c r="P2775" i="33"/>
  <c r="P2774" i="33"/>
  <c r="AU952" i="1"/>
  <c r="J2777" i="33"/>
  <c r="J2779" i="33"/>
  <c r="J2776" i="33"/>
  <c r="J2778" i="33"/>
  <c r="J2780" i="33"/>
  <c r="J2782" i="33"/>
  <c r="J2788" i="33"/>
  <c r="J2787" i="33"/>
  <c r="K2805" i="33"/>
  <c r="K2806" i="33"/>
  <c r="K2808" i="33"/>
  <c r="K2802" i="33"/>
  <c r="K2801" i="33"/>
  <c r="AT975" i="1"/>
  <c r="I2832" i="33"/>
  <c r="I2833" i="33"/>
  <c r="I2827" i="33"/>
  <c r="I2830" i="33"/>
  <c r="I2831" i="33"/>
  <c r="K2834" i="33"/>
  <c r="K2837" i="33"/>
  <c r="K2838" i="33"/>
  <c r="AT919" i="1"/>
  <c r="I2841" i="33"/>
  <c r="I2839" i="33"/>
  <c r="I2840" i="33"/>
  <c r="AT795" i="1"/>
  <c r="I2842" i="33"/>
  <c r="I2843" i="33"/>
  <c r="AT861" i="1"/>
  <c r="I2845" i="33"/>
  <c r="AT923" i="1"/>
  <c r="I2847" i="33"/>
  <c r="K2849" i="33"/>
  <c r="K2850" i="33"/>
  <c r="K2848" i="33"/>
  <c r="AT886" i="1"/>
  <c r="I2861" i="33"/>
  <c r="K2870" i="33"/>
  <c r="K2872" i="33"/>
  <c r="K2871" i="33"/>
  <c r="AT810" i="1"/>
  <c r="I2874" i="33"/>
  <c r="I2873" i="33"/>
  <c r="I2875" i="33"/>
  <c r="AT1078" i="1"/>
  <c r="I2881" i="33"/>
  <c r="I2880" i="33"/>
  <c r="I2877" i="33"/>
  <c r="I2878" i="33"/>
  <c r="I2879" i="33"/>
  <c r="AO865" i="1"/>
  <c r="AQ865" i="1" s="1"/>
  <c r="P2890" i="33"/>
  <c r="P2889" i="33"/>
  <c r="J2957" i="33"/>
  <c r="J2956" i="33"/>
  <c r="AO1006" i="1"/>
  <c r="AQ1006" i="1" s="1"/>
  <c r="P2959" i="33"/>
  <c r="P2966" i="33"/>
  <c r="AO959" i="1"/>
  <c r="AQ959" i="1" s="1"/>
  <c r="P2965" i="33"/>
  <c r="J2968" i="33"/>
  <c r="J2970" i="33"/>
  <c r="AO896" i="1"/>
  <c r="P2971" i="33"/>
  <c r="AO863" i="1"/>
  <c r="AQ863" i="1" s="1"/>
  <c r="P2985" i="33"/>
  <c r="AT853" i="1"/>
  <c r="I3023" i="33"/>
  <c r="I3024" i="33"/>
  <c r="I3025" i="33"/>
  <c r="I3022" i="33"/>
  <c r="I3029" i="33"/>
  <c r="I3027" i="33"/>
  <c r="I3028" i="33"/>
  <c r="AT802" i="1"/>
  <c r="I3038" i="33"/>
  <c r="AT1102" i="1"/>
  <c r="I3054" i="33"/>
  <c r="I3061" i="33"/>
  <c r="I3056" i="33"/>
  <c r="I3064" i="33"/>
  <c r="I3065" i="33"/>
  <c r="I3059" i="33"/>
  <c r="I3058" i="33"/>
  <c r="I3063" i="33"/>
  <c r="K3082" i="33"/>
  <c r="K3081" i="33"/>
  <c r="K3083" i="33"/>
  <c r="K3084" i="33"/>
  <c r="I3087" i="33"/>
  <c r="I3086" i="33"/>
  <c r="I3094" i="33"/>
  <c r="I3092" i="33"/>
  <c r="K3122" i="33"/>
  <c r="K3120" i="33"/>
  <c r="K3121" i="33"/>
  <c r="K3130" i="33"/>
  <c r="K3131" i="33"/>
  <c r="I3146" i="33"/>
  <c r="AT963" i="1"/>
  <c r="I3145" i="33"/>
  <c r="AU1053" i="1"/>
  <c r="J3175" i="33"/>
  <c r="AU1107" i="1"/>
  <c r="J3209" i="33"/>
  <c r="J3224" i="33"/>
  <c r="J3230" i="33"/>
  <c r="J3227" i="33"/>
  <c r="J3225" i="33"/>
  <c r="J3231" i="33"/>
  <c r="J3226" i="33"/>
  <c r="AU1047" i="1"/>
  <c r="J3250" i="33"/>
  <c r="J3248" i="33"/>
  <c r="J3251" i="33"/>
  <c r="AT1044" i="1"/>
  <c r="I3270" i="33"/>
  <c r="I3267" i="33"/>
  <c r="I3269" i="33"/>
  <c r="I3268" i="33"/>
  <c r="I3265" i="33"/>
  <c r="I3271" i="33"/>
  <c r="I3266" i="33"/>
  <c r="I3273" i="33"/>
  <c r="I3272" i="33"/>
  <c r="K3278" i="33"/>
  <c r="K3279" i="33"/>
  <c r="K3280" i="33"/>
  <c r="AT978" i="1"/>
  <c r="I3281" i="33"/>
  <c r="K3293" i="33"/>
  <c r="K3294" i="33"/>
  <c r="I3309" i="33"/>
  <c r="I3311" i="33"/>
  <c r="I3312" i="33"/>
  <c r="I3313" i="33"/>
  <c r="I3325" i="33"/>
  <c r="I3329" i="33"/>
  <c r="I3326" i="33"/>
  <c r="I3341" i="33"/>
  <c r="I3342" i="33"/>
  <c r="I3340" i="33"/>
  <c r="AT1108" i="1"/>
  <c r="I3346" i="33"/>
  <c r="I3347" i="33"/>
  <c r="I3351" i="33"/>
  <c r="I3345" i="33"/>
  <c r="I3348" i="33"/>
  <c r="K3367" i="33"/>
  <c r="K3364" i="33"/>
  <c r="K3365" i="33"/>
  <c r="AT1168" i="1"/>
  <c r="I3371" i="33"/>
  <c r="K3377" i="33"/>
  <c r="K3378" i="33"/>
  <c r="K3388" i="33"/>
  <c r="K3387" i="33"/>
  <c r="K3386" i="33"/>
  <c r="P3429" i="33"/>
  <c r="AO1040" i="1"/>
  <c r="AQ1040" i="1" s="1"/>
  <c r="P3428" i="33"/>
  <c r="J3432" i="33"/>
  <c r="J3431" i="33"/>
  <c r="J3430" i="33"/>
  <c r="AU1150" i="1"/>
  <c r="P150" i="6"/>
  <c r="P151" i="6"/>
  <c r="AO1138" i="1"/>
  <c r="AQ1138" i="1" s="1"/>
  <c r="P3449" i="33"/>
  <c r="K3467" i="33"/>
  <c r="K3468" i="33"/>
  <c r="I3471" i="33"/>
  <c r="AT1152" i="1"/>
  <c r="I3469" i="33"/>
  <c r="I3470" i="33"/>
  <c r="AT1327" i="1"/>
  <c r="I3496" i="33"/>
  <c r="K3499" i="33"/>
  <c r="K3500" i="33"/>
  <c r="K3501" i="33"/>
  <c r="K3502" i="33"/>
  <c r="AT1153" i="1"/>
  <c r="I3507" i="33"/>
  <c r="I3527" i="33"/>
  <c r="AT1228" i="1"/>
  <c r="K3537" i="33"/>
  <c r="K3539" i="33"/>
  <c r="K3538" i="33"/>
  <c r="I3553" i="33"/>
  <c r="I3555" i="33"/>
  <c r="K3615" i="33"/>
  <c r="K3616" i="33"/>
  <c r="I3627" i="33"/>
  <c r="I3624" i="33"/>
  <c r="I3626" i="33"/>
  <c r="AO1258" i="1"/>
  <c r="AQ1258" i="1" s="1"/>
  <c r="P3629" i="33"/>
  <c r="P3628" i="33"/>
  <c r="P3631" i="33"/>
  <c r="P3632" i="33"/>
  <c r="P3633" i="33"/>
  <c r="P3630" i="33"/>
  <c r="AU1339" i="1"/>
  <c r="J3645" i="33"/>
  <c r="J3644" i="33"/>
  <c r="J3642" i="33"/>
  <c r="J3646" i="33"/>
  <c r="P3648" i="33"/>
  <c r="P3650" i="33"/>
  <c r="P3651" i="33"/>
  <c r="AU1287" i="1"/>
  <c r="J3655" i="33"/>
  <c r="J3656" i="33"/>
  <c r="J93" i="6"/>
  <c r="P3657" i="33"/>
  <c r="AO1402" i="1"/>
  <c r="AQ1402" i="1" s="1"/>
  <c r="AO1273" i="1"/>
  <c r="AQ1273" i="1" s="1"/>
  <c r="P143" i="6"/>
  <c r="P145" i="6"/>
  <c r="AO1604" i="1"/>
  <c r="P3111" i="33"/>
  <c r="P3110" i="33"/>
  <c r="P3109" i="33"/>
  <c r="P3108" i="33"/>
  <c r="P2728" i="33"/>
  <c r="K2800" i="33"/>
  <c r="I1212" i="33"/>
  <c r="I2165" i="33"/>
  <c r="P1679" i="33"/>
  <c r="J2574" i="33"/>
  <c r="J1767" i="33"/>
  <c r="P2479" i="33"/>
  <c r="J2606" i="33"/>
  <c r="I2142" i="33"/>
  <c r="K2003" i="33"/>
  <c r="J1511" i="33"/>
  <c r="I2133" i="33"/>
  <c r="I2359" i="33"/>
  <c r="I2022" i="33"/>
  <c r="I2825" i="33"/>
  <c r="I2021" i="33"/>
  <c r="P2581" i="33"/>
  <c r="J2712" i="33"/>
  <c r="P1968" i="33"/>
  <c r="P1681" i="33"/>
  <c r="I2229" i="33"/>
  <c r="J1386" i="33"/>
  <c r="K2464" i="33"/>
  <c r="I2005" i="33"/>
  <c r="P1113" i="33"/>
  <c r="P148" i="6"/>
  <c r="I2313" i="33"/>
  <c r="K2851" i="33"/>
  <c r="K2405" i="33"/>
  <c r="P1393" i="33"/>
  <c r="J2766" i="33"/>
  <c r="K1568" i="33"/>
  <c r="I1873" i="33"/>
  <c r="J2781" i="33"/>
  <c r="K2225" i="33"/>
  <c r="P1420" i="33"/>
  <c r="K2030" i="33"/>
  <c r="I2876" i="33"/>
  <c r="P1591" i="33"/>
  <c r="P1715" i="33"/>
  <c r="J1814" i="33"/>
  <c r="J1544" i="33"/>
  <c r="I2385" i="33"/>
  <c r="J2753" i="33"/>
  <c r="I2285" i="33"/>
  <c r="K2275" i="33"/>
  <c r="I3554" i="33"/>
  <c r="P3448" i="33"/>
  <c r="P1434" i="33"/>
  <c r="I3057" i="33"/>
  <c r="P3207" i="33"/>
  <c r="I3073" i="33"/>
  <c r="P2919" i="33"/>
  <c r="J3456" i="33"/>
  <c r="J3212" i="33"/>
  <c r="J138" i="6"/>
  <c r="P1787" i="33"/>
  <c r="P3641" i="33"/>
  <c r="AO357" i="1"/>
  <c r="AQ357" i="1" s="1"/>
  <c r="J3173" i="33"/>
  <c r="AU822" i="1"/>
  <c r="AU379" i="1"/>
  <c r="V16" i="1"/>
  <c r="V27" i="1"/>
  <c r="V37" i="1"/>
  <c r="V47" i="1"/>
  <c r="V57" i="1"/>
  <c r="V63" i="1"/>
  <c r="V87" i="1"/>
  <c r="V103" i="1"/>
  <c r="V108" i="1"/>
  <c r="V114" i="1"/>
  <c r="V224" i="1"/>
  <c r="V229" i="1"/>
  <c r="V234" i="1"/>
  <c r="V239" i="1"/>
  <c r="V243" i="1"/>
  <c r="V248" i="1"/>
  <c r="V257" i="1"/>
  <c r="V267" i="1"/>
  <c r="V283" i="1"/>
  <c r="V287" i="1"/>
  <c r="V291" i="1"/>
  <c r="V316" i="1"/>
  <c r="V321" i="1"/>
  <c r="V333" i="1"/>
  <c r="V353" i="1"/>
  <c r="V359" i="1"/>
  <c r="V368" i="1"/>
  <c r="V373" i="1"/>
  <c r="V379" i="1"/>
  <c r="V385" i="1"/>
  <c r="V390" i="1"/>
  <c r="AQ89" i="1"/>
  <c r="AQ121" i="1"/>
  <c r="AQ125" i="1"/>
  <c r="AQ169" i="1"/>
  <c r="AQ181" i="1"/>
  <c r="AQ305" i="1"/>
  <c r="AQ321" i="1"/>
  <c r="AQ353" i="1"/>
  <c r="V1156" i="1"/>
  <c r="AQ1269" i="1"/>
  <c r="V396" i="1"/>
  <c r="V401" i="1"/>
  <c r="V542" i="1"/>
  <c r="V666" i="1"/>
  <c r="V690" i="1"/>
  <c r="V724" i="1"/>
  <c r="AQ95" i="1"/>
  <c r="AQ141" i="1"/>
  <c r="AQ189" i="1"/>
  <c r="AQ317" i="1"/>
  <c r="AQ411" i="1"/>
  <c r="AQ423" i="1"/>
  <c r="AQ427" i="1"/>
  <c r="AQ491" i="1"/>
  <c r="AQ515" i="1"/>
  <c r="AQ559" i="1"/>
  <c r="AQ579" i="1"/>
  <c r="AQ591" i="1"/>
  <c r="AQ619" i="1"/>
  <c r="AQ717" i="1"/>
  <c r="AQ731" i="1"/>
  <c r="V656" i="1"/>
  <c r="V664" i="1"/>
  <c r="V693" i="1"/>
  <c r="V742" i="1"/>
  <c r="V757" i="1"/>
  <c r="V750" i="1"/>
  <c r="V772" i="1"/>
  <c r="V783" i="1"/>
  <c r="V799" i="1"/>
  <c r="V859" i="1"/>
  <c r="V851" i="1"/>
  <c r="V839" i="1"/>
  <c r="V828" i="1"/>
  <c r="V836" i="1"/>
  <c r="V1115" i="1"/>
  <c r="V949" i="1"/>
  <c r="V1161" i="1"/>
  <c r="V1163" i="1"/>
  <c r="V953" i="1"/>
  <c r="V890" i="1"/>
  <c r="V1015" i="1"/>
  <c r="V884" i="1"/>
  <c r="V921" i="1"/>
  <c r="V926" i="1"/>
  <c r="AQ707" i="1"/>
  <c r="AQ803" i="1"/>
  <c r="AQ843" i="1"/>
  <c r="AQ949" i="1"/>
  <c r="AQ1133" i="1"/>
  <c r="AQ907" i="1"/>
  <c r="V915" i="1"/>
  <c r="V1000" i="1"/>
  <c r="V982" i="1"/>
  <c r="V1045" i="1"/>
  <c r="V995" i="1"/>
  <c r="V1056" i="1"/>
  <c r="AQ1021" i="1"/>
  <c r="V1076" i="1"/>
  <c r="V1086" i="1"/>
  <c r="V1088" i="1"/>
  <c r="AQ1099" i="1"/>
  <c r="AQ1093" i="1"/>
  <c r="V1028" i="1"/>
  <c r="V1025" i="1"/>
  <c r="V1026" i="1"/>
  <c r="V1027" i="1"/>
  <c r="V1403" i="1"/>
  <c r="V1404" i="1"/>
  <c r="V1153" i="1"/>
  <c r="V1150" i="1"/>
  <c r="AQ1191" i="1"/>
  <c r="V1179" i="1"/>
  <c r="V1199" i="1"/>
  <c r="V1181" i="1"/>
  <c r="AQ1227" i="1"/>
  <c r="V1218" i="1"/>
  <c r="V1217" i="1"/>
  <c r="AQ1231" i="1"/>
  <c r="AQ1375" i="1"/>
  <c r="V1399" i="1"/>
  <c r="V1421" i="1"/>
  <c r="V1426" i="1"/>
  <c r="V1429" i="1"/>
  <c r="V1430" i="1"/>
  <c r="I2468" i="33"/>
  <c r="I149" i="6"/>
  <c r="K1972" i="33"/>
  <c r="I2902" i="33"/>
  <c r="I1173" i="33"/>
  <c r="P1162" i="33"/>
  <c r="K1815" i="33"/>
  <c r="I1685" i="33"/>
  <c r="P2257" i="33"/>
  <c r="I1678" i="33"/>
  <c r="P2081" i="33"/>
  <c r="P2121" i="33"/>
  <c r="K1737" i="33"/>
  <c r="J2125" i="33"/>
  <c r="I3461" i="33"/>
  <c r="J2038" i="33"/>
  <c r="K1552" i="33"/>
  <c r="I3457" i="33"/>
  <c r="P2177" i="33"/>
  <c r="P2801" i="33"/>
  <c r="I2731" i="33"/>
  <c r="P2459" i="33"/>
  <c r="P2083" i="33"/>
  <c r="I1776" i="33"/>
  <c r="J2146" i="33"/>
  <c r="K2528" i="33"/>
  <c r="K2789" i="33"/>
  <c r="I2662" i="33"/>
  <c r="J2313" i="33"/>
  <c r="I1983" i="33"/>
  <c r="P3121" i="33"/>
  <c r="J3064" i="33"/>
  <c r="J3094" i="33"/>
  <c r="P3083" i="33"/>
  <c r="J3053" i="33"/>
  <c r="J3347" i="33"/>
  <c r="P3540" i="33"/>
  <c r="P3468" i="33"/>
  <c r="J3029" i="33"/>
  <c r="I3206" i="33"/>
  <c r="P3387" i="33"/>
  <c r="P2030" i="33"/>
  <c r="I3252" i="33"/>
  <c r="P3466" i="33"/>
  <c r="AQ1131" i="1"/>
  <c r="AT677" i="1"/>
  <c r="AO557" i="1"/>
  <c r="AQ557" i="1" s="1"/>
  <c r="J2156" i="33"/>
  <c r="I1798" i="33"/>
  <c r="AT117" i="1"/>
  <c r="J3039" i="33"/>
  <c r="AQ139" i="1"/>
  <c r="AQ147" i="1"/>
  <c r="AQ201" i="1"/>
  <c r="AQ251" i="1"/>
  <c r="AQ483" i="1"/>
  <c r="AQ523" i="1"/>
  <c r="AQ567" i="1"/>
  <c r="AQ627" i="1"/>
  <c r="AQ719" i="1"/>
  <c r="AQ683" i="1"/>
  <c r="AQ763" i="1"/>
  <c r="AQ771" i="1"/>
  <c r="AQ951" i="1"/>
  <c r="AQ1195" i="1"/>
  <c r="AQ1135" i="1"/>
  <c r="AQ1059" i="1"/>
  <c r="AQ1075" i="1"/>
  <c r="AQ1103" i="1"/>
  <c r="AQ1123" i="1"/>
  <c r="AQ1379" i="1"/>
  <c r="AQ759" i="1"/>
  <c r="AQ831" i="1"/>
  <c r="AQ1143" i="1"/>
  <c r="AQ1147" i="1"/>
  <c r="AQ1235" i="1"/>
  <c r="AU1352" i="1"/>
  <c r="J217" i="6"/>
  <c r="AQ1371" i="1"/>
  <c r="AQ1411" i="1"/>
  <c r="AO1441" i="1"/>
  <c r="P168" i="6"/>
  <c r="AT101" i="1"/>
  <c r="I1169" i="33"/>
  <c r="AQ119" i="1"/>
  <c r="AO48" i="1"/>
  <c r="AQ48" i="1" s="1"/>
  <c r="P1364" i="33"/>
  <c r="I1436" i="33"/>
  <c r="I1435" i="33"/>
  <c r="AT67" i="1"/>
  <c r="I1500" i="33"/>
  <c r="AT166" i="1"/>
  <c r="I1502" i="33"/>
  <c r="AT177" i="1"/>
  <c r="I1677" i="33"/>
  <c r="AT316" i="1"/>
  <c r="I1720" i="33"/>
  <c r="K1840" i="33"/>
  <c r="K1841" i="33"/>
  <c r="K1949" i="33"/>
  <c r="K1947" i="33"/>
  <c r="AT420" i="1"/>
  <c r="I1966" i="33"/>
  <c r="I1964" i="33"/>
  <c r="AQ467" i="1"/>
  <c r="AO471" i="1"/>
  <c r="AQ471" i="1" s="1"/>
  <c r="P2085" i="33"/>
  <c r="J2154" i="33"/>
  <c r="AU497" i="1"/>
  <c r="P2159" i="33"/>
  <c r="P2161" i="33"/>
  <c r="AO457" i="1"/>
  <c r="AQ457" i="1" s="1"/>
  <c r="P2178" i="33"/>
  <c r="AO474" i="1"/>
  <c r="P2185" i="33"/>
  <c r="AO547" i="1"/>
  <c r="AQ547" i="1" s="1"/>
  <c r="P2213" i="33"/>
  <c r="P2254" i="33"/>
  <c r="AO465" i="1"/>
  <c r="P2255" i="33"/>
  <c r="AO480" i="1"/>
  <c r="AQ480" i="1" s="1"/>
  <c r="P2267" i="33"/>
  <c r="P2277" i="33"/>
  <c r="P2279" i="33"/>
  <c r="P2281" i="33"/>
  <c r="J2292" i="33"/>
  <c r="AU530" i="1"/>
  <c r="AO589" i="1"/>
  <c r="AQ589" i="1" s="1"/>
  <c r="P2346" i="33"/>
  <c r="J2351" i="33"/>
  <c r="J2356" i="33"/>
  <c r="J2367" i="33"/>
  <c r="AU593" i="1"/>
  <c r="AU642" i="1"/>
  <c r="J2388" i="33"/>
  <c r="AO611" i="1"/>
  <c r="AQ611" i="1" s="1"/>
  <c r="P2414" i="33"/>
  <c r="AO608" i="1"/>
  <c r="P2437" i="33"/>
  <c r="I2471" i="33"/>
  <c r="I2475" i="33"/>
  <c r="I2479" i="33"/>
  <c r="I2502" i="33"/>
  <c r="AT676" i="1"/>
  <c r="I2558" i="33"/>
  <c r="I2562" i="33"/>
  <c r="AT699" i="1"/>
  <c r="I2580" i="33"/>
  <c r="K2602" i="33"/>
  <c r="K2600" i="33"/>
  <c r="AT758" i="1"/>
  <c r="I2611" i="33"/>
  <c r="I2625" i="33"/>
  <c r="I2623" i="33"/>
  <c r="I2624" i="33"/>
  <c r="K2693" i="33"/>
  <c r="K2690" i="33"/>
  <c r="K2725" i="33"/>
  <c r="K2726" i="33"/>
  <c r="K2762" i="33"/>
  <c r="K2761" i="33"/>
  <c r="K2768" i="33"/>
  <c r="K2765" i="33"/>
  <c r="K2764" i="33"/>
  <c r="K2782" i="33"/>
  <c r="K2777" i="33"/>
  <c r="AU975" i="1"/>
  <c r="J2832" i="33"/>
  <c r="AO1055" i="1"/>
  <c r="AQ1055" i="1" s="1"/>
  <c r="P2834" i="33"/>
  <c r="AO871" i="1"/>
  <c r="AQ871" i="1" s="1"/>
  <c r="P2852" i="33"/>
  <c r="P2849" i="33"/>
  <c r="J2876" i="33"/>
  <c r="J2881" i="33"/>
  <c r="AT927" i="1"/>
  <c r="I2918" i="33"/>
  <c r="K2970" i="33"/>
  <c r="K2969" i="33"/>
  <c r="J3025" i="33"/>
  <c r="J3022" i="33"/>
  <c r="P3026" i="33"/>
  <c r="AO922" i="1"/>
  <c r="AQ922" i="1" s="1"/>
  <c r="AO1074" i="1"/>
  <c r="AQ1074" i="1" s="1"/>
  <c r="P3082" i="33"/>
  <c r="AU1011" i="1"/>
  <c r="J3086" i="33"/>
  <c r="AQ1211" i="1"/>
  <c r="AO1082" i="1"/>
  <c r="AQ1082" i="1" s="1"/>
  <c r="P3131" i="33"/>
  <c r="K3228" i="33"/>
  <c r="K3230" i="33"/>
  <c r="K3224" i="33"/>
  <c r="AQ1095" i="1"/>
  <c r="AO1255" i="1"/>
  <c r="AQ1255" i="1" s="1"/>
  <c r="P3295" i="33"/>
  <c r="J3309" i="33"/>
  <c r="AU1050" i="1"/>
  <c r="J3312" i="33"/>
  <c r="AU1080" i="1"/>
  <c r="J3326" i="33"/>
  <c r="AQ1115" i="1"/>
  <c r="AU1108" i="1"/>
  <c r="J3349" i="33"/>
  <c r="AO999" i="1"/>
  <c r="AQ999" i="1" s="1"/>
  <c r="P3365" i="33"/>
  <c r="P3364" i="33"/>
  <c r="AO1033" i="1"/>
  <c r="AQ1033" i="1" s="1"/>
  <c r="P3378" i="33"/>
  <c r="AU1327" i="1"/>
  <c r="J3497" i="33"/>
  <c r="AO1165" i="1"/>
  <c r="AQ1165" i="1" s="1"/>
  <c r="P3498" i="33"/>
  <c r="AU1153" i="1"/>
  <c r="J3507" i="33"/>
  <c r="AO1217" i="1"/>
  <c r="AQ1217" i="1" s="1"/>
  <c r="P3616" i="33"/>
  <c r="AU1315" i="1"/>
  <c r="J3626" i="33"/>
  <c r="K96" i="6"/>
  <c r="K3653" i="33"/>
  <c r="K3652" i="33"/>
  <c r="AU1456" i="1"/>
  <c r="J377" i="6"/>
  <c r="AQ795" i="1"/>
  <c r="AQ987" i="1"/>
  <c r="AQ1215" i="1"/>
  <c r="AQ31" i="1"/>
  <c r="AQ41" i="1"/>
  <c r="AQ91" i="1"/>
  <c r="AQ107" i="1"/>
  <c r="AQ123" i="1"/>
  <c r="AQ209" i="1"/>
  <c r="AQ231" i="1"/>
  <c r="AQ241" i="1"/>
  <c r="AQ289" i="1"/>
  <c r="AQ335" i="1"/>
  <c r="AQ375" i="1"/>
  <c r="AQ407" i="1"/>
  <c r="AQ487" i="1"/>
  <c r="AQ503" i="1"/>
  <c r="AQ507" i="1"/>
  <c r="AQ555" i="1"/>
  <c r="AQ703" i="1"/>
  <c r="AQ1251" i="1"/>
  <c r="AQ1243" i="1"/>
  <c r="AQ1323" i="1"/>
  <c r="AQ1395" i="1"/>
  <c r="AQ1023" i="1"/>
  <c r="AQ1221" i="1"/>
  <c r="AQ1413" i="1"/>
  <c r="AQ741" i="1"/>
  <c r="AQ877" i="1"/>
  <c r="AQ1213" i="1"/>
  <c r="AQ1261" i="1"/>
  <c r="AQ1389" i="1"/>
  <c r="AQ749" i="1"/>
  <c r="AQ901" i="1"/>
  <c r="AQ1037" i="1"/>
  <c r="AQ1245" i="1"/>
  <c r="AQ101" i="1"/>
  <c r="P1199" i="33"/>
  <c r="J1193" i="33"/>
  <c r="I180" i="6"/>
  <c r="AQ205" i="1"/>
  <c r="AQ285" i="1"/>
  <c r="AQ293" i="1"/>
  <c r="AQ477" i="1"/>
  <c r="AQ605" i="1"/>
  <c r="AQ653" i="1"/>
  <c r="AQ765" i="1"/>
  <c r="AQ845" i="1"/>
  <c r="AQ829" i="1"/>
  <c r="AQ885" i="1"/>
  <c r="AQ917" i="1"/>
  <c r="AQ997" i="1"/>
  <c r="I3118" i="33"/>
  <c r="AQ813" i="1"/>
  <c r="AQ1325" i="1"/>
  <c r="K1175" i="33"/>
  <c r="P260" i="6"/>
  <c r="AQ597" i="1"/>
  <c r="AQ693" i="1"/>
  <c r="AQ757" i="1"/>
  <c r="AQ781" i="1"/>
  <c r="AQ869" i="1"/>
  <c r="AQ1005" i="1"/>
  <c r="AQ1205" i="1"/>
  <c r="AQ1181" i="1"/>
  <c r="P161" i="6"/>
  <c r="P1171" i="33"/>
  <c r="K3371" i="33"/>
  <c r="AQ261" i="1"/>
  <c r="AQ277" i="1"/>
  <c r="AQ453" i="1"/>
  <c r="AQ509" i="1"/>
  <c r="AQ725" i="1"/>
  <c r="V893" i="1"/>
  <c r="AQ821" i="1"/>
  <c r="AQ941" i="1"/>
  <c r="AQ957" i="1"/>
  <c r="AQ1109" i="1"/>
  <c r="AQ1197" i="1"/>
  <c r="AQ1357" i="1"/>
  <c r="K3326" i="33"/>
  <c r="AQ197" i="1"/>
  <c r="AQ229" i="1"/>
  <c r="AQ333" i="1"/>
  <c r="AQ389" i="1"/>
  <c r="AQ405" i="1"/>
  <c r="AQ469" i="1"/>
  <c r="AQ541" i="1"/>
  <c r="AQ573" i="1"/>
  <c r="AQ701" i="1"/>
  <c r="AQ925" i="1"/>
  <c r="AQ933" i="1"/>
  <c r="AQ1069" i="1"/>
  <c r="AQ1077" i="1"/>
  <c r="AQ1141" i="1"/>
  <c r="AQ1173" i="1"/>
  <c r="AQ1317" i="1"/>
  <c r="AQ1341" i="1"/>
  <c r="AO1408" i="1"/>
  <c r="AQ1408" i="1" s="1"/>
  <c r="P165" i="6"/>
  <c r="P164" i="6"/>
  <c r="P166" i="6"/>
  <c r="AU101" i="1"/>
  <c r="J1169" i="33"/>
  <c r="P1236" i="33"/>
  <c r="P1235" i="33"/>
  <c r="P1234" i="33"/>
  <c r="P1237" i="33"/>
  <c r="P1239" i="33"/>
  <c r="I1324" i="33"/>
  <c r="I1325" i="33"/>
  <c r="AT88" i="1"/>
  <c r="J1526" i="33"/>
  <c r="J1524" i="33"/>
  <c r="J1525" i="33"/>
  <c r="J1522" i="33"/>
  <c r="J1588" i="33"/>
  <c r="J1586" i="33"/>
  <c r="J1587" i="33"/>
  <c r="AU199" i="1"/>
  <c r="J1585" i="33"/>
  <c r="J1632" i="33"/>
  <c r="AU62" i="1"/>
  <c r="J1630" i="33"/>
  <c r="J1631" i="33"/>
  <c r="P1654" i="33"/>
  <c r="AO257" i="1"/>
  <c r="AQ257" i="1" s="1"/>
  <c r="AU266" i="1"/>
  <c r="J1686" i="33"/>
  <c r="J1685" i="33"/>
  <c r="P1816" i="33"/>
  <c r="AO536" i="1"/>
  <c r="P1815" i="33"/>
  <c r="P1818" i="33"/>
  <c r="P1823" i="33"/>
  <c r="P1821" i="33"/>
  <c r="P1814" i="33"/>
  <c r="P1822" i="33"/>
  <c r="P1817" i="33"/>
  <c r="AU387" i="1"/>
  <c r="J1846" i="33"/>
  <c r="J1848" i="33"/>
  <c r="J1847" i="33"/>
  <c r="P1980" i="33"/>
  <c r="P1979" i="33"/>
  <c r="K2125" i="33"/>
  <c r="K2124" i="33"/>
  <c r="K2126" i="33"/>
  <c r="K2285" i="33"/>
  <c r="K2284" i="33"/>
  <c r="K2286" i="33"/>
  <c r="I2320" i="33"/>
  <c r="I2321" i="33"/>
  <c r="K2377" i="33"/>
  <c r="K2378" i="33"/>
  <c r="AT621" i="1"/>
  <c r="I2411" i="33"/>
  <c r="I2408" i="33"/>
  <c r="I2410" i="33"/>
  <c r="AT616" i="1"/>
  <c r="I2466" i="33"/>
  <c r="I2464" i="33"/>
  <c r="I2467" i="33"/>
  <c r="I2465" i="33"/>
  <c r="J2473" i="33"/>
  <c r="J2478" i="33"/>
  <c r="J2472" i="33"/>
  <c r="J2470" i="33"/>
  <c r="J2479" i="33"/>
  <c r="J2480" i="33"/>
  <c r="J2471" i="33"/>
  <c r="J2475" i="33"/>
  <c r="J2474" i="33"/>
  <c r="J2469" i="33"/>
  <c r="J2477" i="33"/>
  <c r="J2481" i="33"/>
  <c r="J2476" i="33"/>
  <c r="J2483" i="33"/>
  <c r="J2482" i="33"/>
  <c r="AU650" i="1"/>
  <c r="J2502" i="33"/>
  <c r="J2501" i="33"/>
  <c r="J2505" i="33"/>
  <c r="J2510" i="33"/>
  <c r="J2512" i="33"/>
  <c r="AU552" i="1"/>
  <c r="J2513" i="33"/>
  <c r="J2511" i="33"/>
  <c r="AU620" i="1"/>
  <c r="J2515" i="33"/>
  <c r="J2514" i="33"/>
  <c r="P2527" i="33"/>
  <c r="P2524" i="33"/>
  <c r="AO657" i="1"/>
  <c r="AQ657" i="1" s="1"/>
  <c r="P2530" i="33"/>
  <c r="P2526" i="33"/>
  <c r="P2522" i="33"/>
  <c r="P2525" i="33"/>
  <c r="P2529" i="33"/>
  <c r="AU698" i="1"/>
  <c r="J2533" i="33"/>
  <c r="J2534" i="33"/>
  <c r="J2535" i="33"/>
  <c r="AU643" i="1"/>
  <c r="J2544" i="33"/>
  <c r="J2545" i="33"/>
  <c r="AU735" i="1"/>
  <c r="J2556" i="33"/>
  <c r="J2555" i="33"/>
  <c r="J2553" i="33"/>
  <c r="J2563" i="33"/>
  <c r="J2562" i="33"/>
  <c r="J2560" i="33"/>
  <c r="AO680" i="1"/>
  <c r="AQ680" i="1" s="1"/>
  <c r="P2592" i="33"/>
  <c r="P2593" i="33"/>
  <c r="P2594" i="33"/>
  <c r="AO739" i="1"/>
  <c r="AQ739" i="1" s="1"/>
  <c r="P2596" i="33"/>
  <c r="P2599" i="33"/>
  <c r="P2601" i="33"/>
  <c r="P2602" i="33"/>
  <c r="P2598" i="33"/>
  <c r="AO1083" i="1"/>
  <c r="AQ1083" i="1" s="1"/>
  <c r="P2597" i="33"/>
  <c r="P2600" i="33"/>
  <c r="AU758" i="1"/>
  <c r="J2611" i="33"/>
  <c r="J2619" i="33"/>
  <c r="J2618" i="33"/>
  <c r="AU714" i="1"/>
  <c r="J2623" i="33"/>
  <c r="J2624" i="33"/>
  <c r="P2637" i="33"/>
  <c r="P2638" i="33"/>
  <c r="AO628" i="1"/>
  <c r="AQ628" i="1" s="1"/>
  <c r="P2636" i="33"/>
  <c r="J2661" i="33"/>
  <c r="AU755" i="1"/>
  <c r="AU760" i="1"/>
  <c r="J2663" i="33"/>
  <c r="J2662" i="33"/>
  <c r="AO817" i="1"/>
  <c r="AQ817" i="1" s="1"/>
  <c r="P2672" i="33"/>
  <c r="P2670" i="33"/>
  <c r="P2671" i="33"/>
  <c r="AO670" i="1"/>
  <c r="AQ670" i="1" s="1"/>
  <c r="P2680" i="33"/>
  <c r="P2679" i="33"/>
  <c r="P2682" i="33"/>
  <c r="AO809" i="1"/>
  <c r="AQ809" i="1" s="1"/>
  <c r="P2694" i="33"/>
  <c r="P2692" i="33"/>
  <c r="P2689" i="33"/>
  <c r="AU838" i="1"/>
  <c r="J2698" i="33"/>
  <c r="J2699" i="33"/>
  <c r="J2701" i="33"/>
  <c r="J2700" i="33"/>
  <c r="AU677" i="1"/>
  <c r="J2703" i="33"/>
  <c r="AO679" i="1"/>
  <c r="AQ679" i="1" s="1"/>
  <c r="P2716" i="33"/>
  <c r="P2717" i="33"/>
  <c r="P2715" i="33"/>
  <c r="P2718" i="33"/>
  <c r="AO645" i="1"/>
  <c r="AQ645" i="1" s="1"/>
  <c r="P2720" i="33"/>
  <c r="P2719" i="33"/>
  <c r="P2722" i="33"/>
  <c r="AO669" i="1"/>
  <c r="AQ669" i="1" s="1"/>
  <c r="P2726" i="33"/>
  <c r="P2723" i="33"/>
  <c r="P2721" i="33"/>
  <c r="J2532" i="33"/>
  <c r="J2728" i="33"/>
  <c r="J2731" i="33"/>
  <c r="J2730" i="33"/>
  <c r="J2729" i="33"/>
  <c r="J2733" i="33"/>
  <c r="P2743" i="33"/>
  <c r="P2742" i="33"/>
  <c r="AO807" i="1"/>
  <c r="AQ807" i="1" s="1"/>
  <c r="P2744" i="33"/>
  <c r="AO777" i="1"/>
  <c r="AQ777" i="1" s="1"/>
  <c r="P2753" i="33"/>
  <c r="P2756" i="33"/>
  <c r="P2752" i="33"/>
  <c r="P2759" i="33"/>
  <c r="P2761" i="33"/>
  <c r="P2760" i="33"/>
  <c r="AO797" i="1"/>
  <c r="AQ797" i="1" s="1"/>
  <c r="P2766" i="33"/>
  <c r="P2763" i="33"/>
  <c r="P2768" i="33"/>
  <c r="P2765" i="33"/>
  <c r="P2767" i="33"/>
  <c r="P2764" i="33"/>
  <c r="P2779" i="33"/>
  <c r="P2782" i="33"/>
  <c r="P2778" i="33"/>
  <c r="P2777" i="33"/>
  <c r="P2776" i="33"/>
  <c r="P2780" i="33"/>
  <c r="J2783" i="33"/>
  <c r="AU883" i="1"/>
  <c r="J2784" i="33"/>
  <c r="J2785" i="33"/>
  <c r="AT1421" i="1"/>
  <c r="I337" i="6"/>
  <c r="K2799" i="33"/>
  <c r="K2798" i="33"/>
  <c r="K2797" i="33"/>
  <c r="I2810" i="33"/>
  <c r="I2813" i="33"/>
  <c r="I2809" i="33"/>
  <c r="I2816" i="33"/>
  <c r="I2812" i="33"/>
  <c r="K2826" i="33"/>
  <c r="K2831" i="33"/>
  <c r="K2832" i="33"/>
  <c r="K2828" i="33"/>
  <c r="K2839" i="33"/>
  <c r="K2841" i="33"/>
  <c r="K2840" i="33"/>
  <c r="K2843" i="33"/>
  <c r="K2842" i="33"/>
  <c r="K2845" i="33"/>
  <c r="K2412" i="33"/>
  <c r="K2847" i="33"/>
  <c r="K2846" i="33"/>
  <c r="K2861" i="33"/>
  <c r="K2860" i="33"/>
  <c r="I2866" i="33"/>
  <c r="AT889" i="1"/>
  <c r="K2873" i="33"/>
  <c r="K2874" i="33"/>
  <c r="K2875" i="33"/>
  <c r="K2880" i="33"/>
  <c r="K2876" i="33"/>
  <c r="K2879" i="33"/>
  <c r="K2881" i="33"/>
  <c r="K2878" i="33"/>
  <c r="K2877" i="33"/>
  <c r="I2882" i="33"/>
  <c r="AT1087" i="1"/>
  <c r="I2884" i="33"/>
  <c r="J2897" i="33"/>
  <c r="J2896" i="33"/>
  <c r="J2898" i="33"/>
  <c r="J2895" i="33"/>
  <c r="J2903" i="33"/>
  <c r="J2901" i="33"/>
  <c r="J2906" i="33"/>
  <c r="J2904" i="33"/>
  <c r="J2902" i="33"/>
  <c r="J2899" i="33"/>
  <c r="J2900" i="33"/>
  <c r="J2894" i="33"/>
  <c r="AU685" i="1"/>
  <c r="J2915" i="33"/>
  <c r="J2916" i="33"/>
  <c r="AU939" i="1"/>
  <c r="J2917" i="33"/>
  <c r="J2919" i="33"/>
  <c r="AU927" i="1"/>
  <c r="J2918" i="33"/>
  <c r="J2939" i="33"/>
  <c r="J2941" i="33"/>
  <c r="J2938" i="33"/>
  <c r="J2940" i="33"/>
  <c r="J2937" i="33"/>
  <c r="AO890" i="1"/>
  <c r="P2956" i="33"/>
  <c r="P2958" i="33"/>
  <c r="P2969" i="33"/>
  <c r="P2970" i="33"/>
  <c r="I2988" i="33"/>
  <c r="I2990" i="33"/>
  <c r="I2991" i="33"/>
  <c r="I2989" i="33"/>
  <c r="I3001" i="33"/>
  <c r="I3000" i="33"/>
  <c r="I3005" i="33"/>
  <c r="I2997" i="33"/>
  <c r="I3002" i="33"/>
  <c r="I2998" i="33"/>
  <c r="I3004" i="33"/>
  <c r="I2995" i="33"/>
  <c r="I2996" i="33"/>
  <c r="I3003" i="33"/>
  <c r="K3025" i="33"/>
  <c r="K3022" i="33"/>
  <c r="K3023" i="33"/>
  <c r="K3030" i="33"/>
  <c r="K3031" i="33"/>
  <c r="K3038" i="33"/>
  <c r="K3039" i="33"/>
  <c r="AT921" i="1"/>
  <c r="I3047" i="33"/>
  <c r="I3048" i="33"/>
  <c r="I3043" i="33"/>
  <c r="I3045" i="33"/>
  <c r="K3053" i="33"/>
  <c r="K3052" i="33"/>
  <c r="K3055" i="33"/>
  <c r="K3054" i="33"/>
  <c r="K3057" i="33"/>
  <c r="K3059" i="33"/>
  <c r="K3058" i="33"/>
  <c r="K3064" i="33"/>
  <c r="K3063" i="33"/>
  <c r="K3060" i="33"/>
  <c r="K3061" i="33"/>
  <c r="K3056" i="33"/>
  <c r="K3065" i="33"/>
  <c r="K3062" i="33"/>
  <c r="K3086" i="33"/>
  <c r="K3085" i="33"/>
  <c r="K3087" i="33"/>
  <c r="K3095" i="33"/>
  <c r="K3094" i="33"/>
  <c r="K3093" i="33"/>
  <c r="K3092" i="33"/>
  <c r="K211" i="6"/>
  <c r="K212" i="6"/>
  <c r="AO716" i="1"/>
  <c r="AQ716" i="1" s="1"/>
  <c r="P2853" i="33"/>
  <c r="K3147" i="33"/>
  <c r="K3148" i="33"/>
  <c r="AT1064" i="1"/>
  <c r="I3151" i="33"/>
  <c r="I3152" i="33"/>
  <c r="I3153" i="33"/>
  <c r="I3154" i="33"/>
  <c r="I3150" i="33"/>
  <c r="I3155" i="33"/>
  <c r="AU1101" i="1"/>
  <c r="J3174" i="33"/>
  <c r="P3175" i="33"/>
  <c r="AO1053" i="1"/>
  <c r="AQ1053" i="1" s="1"/>
  <c r="J3190" i="33"/>
  <c r="J3188" i="33"/>
  <c r="J3206" i="33"/>
  <c r="J3203" i="33"/>
  <c r="J3204" i="33"/>
  <c r="AU970" i="1"/>
  <c r="J3208" i="33"/>
  <c r="P3209" i="33"/>
  <c r="AO1107" i="1"/>
  <c r="AQ1107" i="1" s="1"/>
  <c r="AO1068" i="1"/>
  <c r="AQ1068" i="1" s="1"/>
  <c r="P3230" i="33"/>
  <c r="P3231" i="33"/>
  <c r="P3224" i="33"/>
  <c r="P3226" i="33"/>
  <c r="P3228" i="33"/>
  <c r="P3225" i="33"/>
  <c r="AO1047" i="1"/>
  <c r="AQ1047" i="1" s="1"/>
  <c r="P3251" i="33"/>
  <c r="P3250" i="33"/>
  <c r="P3249" i="33"/>
  <c r="AU979" i="1"/>
  <c r="J3253" i="33"/>
  <c r="J3254" i="33"/>
  <c r="J3252" i="33"/>
  <c r="K3273" i="33"/>
  <c r="K3267" i="33"/>
  <c r="K3266" i="33"/>
  <c r="K3272" i="33"/>
  <c r="K3264" i="33"/>
  <c r="K3271" i="33"/>
  <c r="K3269" i="33"/>
  <c r="I3275" i="33"/>
  <c r="I3276" i="33"/>
  <c r="K3282" i="33"/>
  <c r="K3283" i="33"/>
  <c r="K3281" i="33"/>
  <c r="AT1045" i="1"/>
  <c r="I3289" i="33"/>
  <c r="I3291" i="33"/>
  <c r="I3292" i="33"/>
  <c r="I3290" i="33"/>
  <c r="I3308" i="33"/>
  <c r="AT1029" i="1"/>
  <c r="K3309" i="33"/>
  <c r="K3310" i="33"/>
  <c r="K3312" i="33"/>
  <c r="I3318" i="33"/>
  <c r="AT1023" i="1"/>
  <c r="I3335" i="33"/>
  <c r="I3336" i="33"/>
  <c r="AT1148" i="1"/>
  <c r="K3341" i="33"/>
  <c r="K3340" i="33"/>
  <c r="K3342" i="33"/>
  <c r="K3343" i="33"/>
  <c r="K3350" i="33"/>
  <c r="K3346" i="33"/>
  <c r="K3345" i="33"/>
  <c r="K3347" i="33"/>
  <c r="K3348" i="33"/>
  <c r="I3355" i="33"/>
  <c r="AT1155" i="1"/>
  <c r="I3354" i="33"/>
  <c r="I3356" i="33"/>
  <c r="J3363" i="33"/>
  <c r="J3361" i="33"/>
  <c r="J3362" i="33"/>
  <c r="AT1034" i="1"/>
  <c r="I3391" i="33"/>
  <c r="I3390" i="33"/>
  <c r="J3408" i="33"/>
  <c r="J3404" i="33"/>
  <c r="J3407" i="33"/>
  <c r="P3446" i="33"/>
  <c r="P3445" i="33"/>
  <c r="AO1193" i="1"/>
  <c r="AQ1193" i="1" s="1"/>
  <c r="AT1096" i="1"/>
  <c r="I3464" i="33"/>
  <c r="K3470" i="33"/>
  <c r="K3469" i="33"/>
  <c r="K3471" i="33"/>
  <c r="AT1226" i="1"/>
  <c r="I3494" i="33"/>
  <c r="K3497" i="33"/>
  <c r="K3496" i="33"/>
  <c r="K3506" i="33"/>
  <c r="K3507" i="33"/>
  <c r="AT1329" i="1"/>
  <c r="I3521" i="33"/>
  <c r="I3520" i="33"/>
  <c r="I3522" i="33"/>
  <c r="K3534" i="33"/>
  <c r="K3535" i="33"/>
  <c r="K3553" i="33"/>
  <c r="K3555" i="33"/>
  <c r="AT1394" i="1"/>
  <c r="I3568" i="33"/>
  <c r="I3564" i="33"/>
  <c r="I3567" i="33"/>
  <c r="I3566" i="33"/>
  <c r="I3565" i="33"/>
  <c r="AT1215" i="1"/>
  <c r="I3577" i="33"/>
  <c r="I3578" i="33"/>
  <c r="AT1276" i="1"/>
  <c r="I3660" i="33"/>
  <c r="I3658" i="33"/>
  <c r="I3659" i="33"/>
  <c r="I3126" i="33"/>
  <c r="I3046" i="33"/>
  <c r="I3117" i="33"/>
  <c r="J2485" i="33"/>
  <c r="P268" i="6"/>
  <c r="AO1291" i="1"/>
  <c r="AQ1291" i="1" s="1"/>
  <c r="AT1427" i="1"/>
  <c r="I220" i="6"/>
  <c r="I222" i="6"/>
  <c r="I219" i="6"/>
  <c r="I221" i="6"/>
  <c r="I218" i="6"/>
  <c r="P136" i="6"/>
  <c r="P183" i="6"/>
  <c r="P206" i="6"/>
  <c r="P133" i="6"/>
  <c r="P132" i="6"/>
  <c r="P137" i="6"/>
  <c r="P135" i="6"/>
  <c r="J1140" i="33"/>
  <c r="J1142" i="33"/>
  <c r="J1139" i="33"/>
  <c r="J1138" i="33"/>
  <c r="AU16" i="1"/>
  <c r="AT24" i="1"/>
  <c r="I1167" i="33"/>
  <c r="I1166" i="33"/>
  <c r="I1168" i="33"/>
  <c r="AO58" i="1"/>
  <c r="AQ58" i="1" s="1"/>
  <c r="P1187" i="33"/>
  <c r="P1184" i="33"/>
  <c r="P1185" i="33"/>
  <c r="P1186" i="33"/>
  <c r="P1243" i="33"/>
  <c r="P1241" i="33"/>
  <c r="P1242" i="33"/>
  <c r="AU159" i="1"/>
  <c r="J1285" i="33"/>
  <c r="J1284" i="33"/>
  <c r="J1286" i="33"/>
  <c r="J1287" i="33"/>
  <c r="K1332" i="33"/>
  <c r="K1336" i="33"/>
  <c r="K1333" i="33"/>
  <c r="J1472" i="33"/>
  <c r="J1469" i="33"/>
  <c r="J1468" i="33"/>
  <c r="J1470" i="33"/>
  <c r="AU69" i="1"/>
  <c r="J1514" i="33"/>
  <c r="P1540" i="33"/>
  <c r="AO174" i="1"/>
  <c r="AQ174" i="1" s="1"/>
  <c r="P1539" i="33"/>
  <c r="P1538" i="33"/>
  <c r="AO232" i="1"/>
  <c r="AQ232" i="1" s="1"/>
  <c r="P1609" i="33"/>
  <c r="P1608" i="33"/>
  <c r="J1647" i="33"/>
  <c r="J1650" i="33"/>
  <c r="J1648" i="33"/>
  <c r="J1649" i="33"/>
  <c r="AO233" i="1"/>
  <c r="AQ233" i="1" s="1"/>
  <c r="P1683" i="33"/>
  <c r="AO311" i="1"/>
  <c r="AQ311" i="1" s="1"/>
  <c r="P1730" i="33"/>
  <c r="P1731" i="33"/>
  <c r="P1736" i="33"/>
  <c r="P1735" i="33"/>
  <c r="P1733" i="33"/>
  <c r="P1792" i="33"/>
  <c r="P1794" i="33"/>
  <c r="P1793" i="33"/>
  <c r="P1837" i="33"/>
  <c r="AO304" i="1"/>
  <c r="AQ304" i="1" s="1"/>
  <c r="P1836" i="33"/>
  <c r="P1835" i="33"/>
  <c r="J1850" i="33"/>
  <c r="AU351" i="1"/>
  <c r="J1881" i="33"/>
  <c r="AU357" i="1"/>
  <c r="J1883" i="33"/>
  <c r="AO345" i="1"/>
  <c r="AQ345" i="1" s="1"/>
  <c r="P1947" i="33"/>
  <c r="P1949" i="33"/>
  <c r="J1983" i="33"/>
  <c r="J1984" i="33"/>
  <c r="I2086" i="33"/>
  <c r="AT418" i="1"/>
  <c r="I2089" i="33"/>
  <c r="I2101" i="33"/>
  <c r="I2102" i="33"/>
  <c r="I2100" i="33"/>
  <c r="K2152" i="33"/>
  <c r="K2151" i="33"/>
  <c r="K2194" i="33"/>
  <c r="K2192" i="33"/>
  <c r="K2193" i="33"/>
  <c r="I2238" i="33"/>
  <c r="I2236" i="33"/>
  <c r="I2237" i="33"/>
  <c r="K1874" i="33"/>
  <c r="K1873" i="33"/>
  <c r="K2288" i="33"/>
  <c r="K2316" i="33"/>
  <c r="K2315" i="33"/>
  <c r="K2313" i="33"/>
  <c r="K2376" i="33"/>
  <c r="K2375" i="33"/>
  <c r="AT723" i="1"/>
  <c r="I2390" i="33"/>
  <c r="I2389" i="33"/>
  <c r="P2747" i="33"/>
  <c r="AO767" i="1"/>
  <c r="AQ767" i="1" s="1"/>
  <c r="P2746" i="33"/>
  <c r="K1334" i="33"/>
  <c r="K3145" i="33"/>
  <c r="I3149" i="33"/>
  <c r="P3430" i="33"/>
  <c r="I3334" i="33"/>
  <c r="P167" i="6"/>
  <c r="K2413" i="33"/>
  <c r="AO1289" i="1"/>
  <c r="P147" i="6"/>
  <c r="AO1295" i="1"/>
  <c r="AQ1295" i="1" s="1"/>
  <c r="P163" i="6"/>
  <c r="I215" i="6"/>
  <c r="I216" i="6"/>
  <c r="J346" i="6"/>
  <c r="J343" i="6"/>
  <c r="J1155" i="33"/>
  <c r="J1152" i="33"/>
  <c r="J1153" i="33"/>
  <c r="J1154" i="33"/>
  <c r="J1156" i="33"/>
  <c r="J1228" i="33"/>
  <c r="J1224" i="33"/>
  <c r="J1229" i="33"/>
  <c r="J1225" i="33"/>
  <c r="J1231" i="33"/>
  <c r="J1227" i="33"/>
  <c r="AU138" i="1"/>
  <c r="J1226" i="33"/>
  <c r="J1233" i="33"/>
  <c r="J1222" i="33"/>
  <c r="J1230" i="33"/>
  <c r="I1339" i="33"/>
  <c r="AT73" i="1"/>
  <c r="K1370" i="33"/>
  <c r="K1369" i="33"/>
  <c r="K1371" i="33"/>
  <c r="P1462" i="33"/>
  <c r="P1463" i="33"/>
  <c r="AO204" i="1"/>
  <c r="AQ204" i="1" s="1"/>
  <c r="P1542" i="33"/>
  <c r="P1541" i="33"/>
  <c r="P1545" i="33"/>
  <c r="P1543" i="33"/>
  <c r="P1622" i="33"/>
  <c r="P1620" i="33"/>
  <c r="P1623" i="33"/>
  <c r="AO280" i="1"/>
  <c r="AQ280" i="1" s="1"/>
  <c r="J1669" i="33"/>
  <c r="J1670" i="33"/>
  <c r="J1671" i="33"/>
  <c r="P1753" i="33"/>
  <c r="AO294" i="1"/>
  <c r="AQ294" i="1" s="1"/>
  <c r="AU337" i="1"/>
  <c r="J1796" i="33"/>
  <c r="J1797" i="33"/>
  <c r="P1971" i="33"/>
  <c r="AO323" i="1"/>
  <c r="AQ323" i="1" s="1"/>
  <c r="P1970" i="33"/>
  <c r="P1972" i="33"/>
  <c r="AT436" i="1"/>
  <c r="I2069" i="33"/>
  <c r="K2096" i="33"/>
  <c r="K2098" i="33"/>
  <c r="K2118" i="33"/>
  <c r="K2117" i="33"/>
  <c r="K2156" i="33"/>
  <c r="K2155" i="33"/>
  <c r="K2188" i="33"/>
  <c r="K2190" i="33"/>
  <c r="K2189" i="33"/>
  <c r="K2258" i="33"/>
  <c r="K2260" i="33"/>
  <c r="K2353" i="33"/>
  <c r="K2356" i="33"/>
  <c r="K2349" i="33"/>
  <c r="K2351" i="33"/>
  <c r="I3006" i="33"/>
  <c r="I3576" i="33"/>
  <c r="J3405" i="33"/>
  <c r="J2559" i="33"/>
  <c r="K2097" i="33"/>
  <c r="P2693" i="33"/>
  <c r="P2748" i="33"/>
  <c r="AO1313" i="1"/>
  <c r="AQ1313" i="1" s="1"/>
  <c r="P129" i="6"/>
  <c r="P131" i="6"/>
  <c r="P128" i="6"/>
  <c r="P126" i="6"/>
  <c r="P127" i="6"/>
  <c r="P130" i="6"/>
  <c r="I3583" i="33"/>
  <c r="I3582" i="33"/>
  <c r="AU1335" i="1"/>
  <c r="J161" i="6"/>
  <c r="J160" i="6"/>
  <c r="J162" i="6"/>
  <c r="K167" i="6"/>
  <c r="K164" i="6"/>
  <c r="K166" i="6"/>
  <c r="AU130" i="1"/>
  <c r="J1161" i="33"/>
  <c r="J1160" i="33"/>
  <c r="J1130" i="33"/>
  <c r="J1158" i="33"/>
  <c r="J1172" i="33"/>
  <c r="J1173" i="33"/>
  <c r="J1171" i="33"/>
  <c r="AU77" i="1"/>
  <c r="J1202" i="33"/>
  <c r="J1200" i="33"/>
  <c r="J1198" i="33"/>
  <c r="J1203" i="33"/>
  <c r="J1201" i="33"/>
  <c r="J1199" i="33"/>
  <c r="K1213" i="33"/>
  <c r="K1216" i="33"/>
  <c r="K1176" i="33"/>
  <c r="K1174" i="33"/>
  <c r="K1215" i="33"/>
  <c r="K1214" i="33"/>
  <c r="K1264" i="33"/>
  <c r="K1263" i="33"/>
  <c r="K1262" i="33"/>
  <c r="I1350" i="33"/>
  <c r="I1351" i="33"/>
  <c r="I1344" i="33"/>
  <c r="I1352" i="33"/>
  <c r="I1355" i="33"/>
  <c r="I1347" i="33"/>
  <c r="I1349" i="33"/>
  <c r="AO47" i="1"/>
  <c r="AQ47" i="1" s="1"/>
  <c r="P1383" i="33"/>
  <c r="J1435" i="33"/>
  <c r="J1436" i="33"/>
  <c r="J1509" i="33"/>
  <c r="J1507" i="33"/>
  <c r="P1551" i="33"/>
  <c r="P1552" i="33"/>
  <c r="P1554" i="33"/>
  <c r="P1553" i="33"/>
  <c r="P1611" i="33"/>
  <c r="AO182" i="1"/>
  <c r="AQ182" i="1" s="1"/>
  <c r="P1610" i="33"/>
  <c r="P1663" i="33"/>
  <c r="AO281" i="1"/>
  <c r="AQ281" i="1" s="1"/>
  <c r="P1661" i="33"/>
  <c r="J1720" i="33"/>
  <c r="J1719" i="33"/>
  <c r="J1717" i="33"/>
  <c r="J1738" i="33"/>
  <c r="J1740" i="33"/>
  <c r="J1739" i="33"/>
  <c r="AU295" i="1"/>
  <c r="AO306" i="1"/>
  <c r="AQ306" i="1" s="1"/>
  <c r="P1841" i="33"/>
  <c r="P1840" i="33"/>
  <c r="P1839" i="33"/>
  <c r="P1857" i="33"/>
  <c r="P1856" i="33"/>
  <c r="P1921" i="33"/>
  <c r="P1922" i="33"/>
  <c r="P1920" i="33"/>
  <c r="I2002" i="33"/>
  <c r="AT403" i="1"/>
  <c r="I2003" i="33"/>
  <c r="K2060" i="33"/>
  <c r="K2058" i="33"/>
  <c r="AT447" i="1"/>
  <c r="I2129" i="33"/>
  <c r="I2128" i="33"/>
  <c r="I2127" i="33"/>
  <c r="K2149" i="33"/>
  <c r="K2148" i="33"/>
  <c r="K2147" i="33"/>
  <c r="K2146" i="33"/>
  <c r="K2295" i="33"/>
  <c r="K2296" i="33"/>
  <c r="K2294" i="33"/>
  <c r="K2292" i="33"/>
  <c r="K2326" i="33"/>
  <c r="K2325" i="33"/>
  <c r="K2385" i="33"/>
  <c r="K2387" i="33"/>
  <c r="K2388" i="33"/>
  <c r="K2386" i="33"/>
  <c r="P2755" i="33"/>
  <c r="J1221" i="33"/>
  <c r="J1223" i="33"/>
  <c r="P1296" i="33"/>
  <c r="J1159" i="33"/>
  <c r="K3554" i="33"/>
  <c r="J3406" i="33"/>
  <c r="P1791" i="33"/>
  <c r="I2883" i="33"/>
  <c r="P2691" i="33"/>
  <c r="P1896" i="33"/>
  <c r="K2352" i="33"/>
  <c r="I2811" i="33"/>
  <c r="P1382" i="33"/>
  <c r="P224" i="6"/>
  <c r="AO1129" i="1"/>
  <c r="AT1353" i="1"/>
  <c r="I146" i="6"/>
  <c r="P176" i="6"/>
  <c r="AO1387" i="1"/>
  <c r="AQ1387" i="1" s="1"/>
  <c r="K1150" i="33"/>
  <c r="K1151" i="33"/>
  <c r="K1211" i="33"/>
  <c r="P1244" i="33"/>
  <c r="AO45" i="1"/>
  <c r="AQ45" i="1" s="1"/>
  <c r="P1246" i="33"/>
  <c r="P1247" i="33"/>
  <c r="K1341" i="33"/>
  <c r="K1338" i="33"/>
  <c r="I1373" i="33"/>
  <c r="I1372" i="33"/>
  <c r="AO150" i="1"/>
  <c r="P1407" i="33"/>
  <c r="J1501" i="33"/>
  <c r="J1502" i="33"/>
  <c r="AU166" i="1"/>
  <c r="AU341" i="1"/>
  <c r="J1575" i="33"/>
  <c r="AO244" i="1"/>
  <c r="AQ244" i="1" s="1"/>
  <c r="P1607" i="33"/>
  <c r="P1605" i="33"/>
  <c r="P1606" i="33"/>
  <c r="AO237" i="1"/>
  <c r="AQ237" i="1" s="1"/>
  <c r="P1639" i="33"/>
  <c r="J1682" i="33"/>
  <c r="J1681" i="33"/>
  <c r="J1679" i="33"/>
  <c r="J1677" i="33"/>
  <c r="AO279" i="1"/>
  <c r="AQ279" i="1" s="1"/>
  <c r="P1710" i="33"/>
  <c r="P1711" i="33"/>
  <c r="AO342" i="1"/>
  <c r="P1827" i="33"/>
  <c r="P1826" i="33"/>
  <c r="P1845" i="33"/>
  <c r="P1844" i="33"/>
  <c r="J1910" i="33"/>
  <c r="J1909" i="33"/>
  <c r="AU394" i="1"/>
  <c r="J1966" i="33"/>
  <c r="J1967" i="33"/>
  <c r="J1964" i="33"/>
  <c r="J1968" i="33"/>
  <c r="K2038" i="33"/>
  <c r="K2037" i="33"/>
  <c r="K2092" i="33"/>
  <c r="K2090" i="33"/>
  <c r="K2091" i="33"/>
  <c r="K2093" i="33"/>
  <c r="K2114" i="33"/>
  <c r="K2112" i="33"/>
  <c r="K2116" i="33"/>
  <c r="K2113" i="33"/>
  <c r="K2115" i="33"/>
  <c r="K2153" i="33"/>
  <c r="K2154" i="33"/>
  <c r="I2231" i="33"/>
  <c r="I2232" i="33"/>
  <c r="I2233" i="33"/>
  <c r="AT524" i="1"/>
  <c r="I2235" i="33"/>
  <c r="K2289" i="33"/>
  <c r="K2290" i="33"/>
  <c r="K2373" i="33"/>
  <c r="K2371" i="33"/>
  <c r="K2374" i="33"/>
  <c r="P2754" i="33"/>
  <c r="AU2" i="1"/>
  <c r="J1141" i="33"/>
  <c r="J3207" i="33"/>
  <c r="K3327" i="33"/>
  <c r="J2732" i="33"/>
  <c r="K2059" i="33"/>
  <c r="P1544" i="33"/>
  <c r="P1734" i="33"/>
  <c r="I1323" i="33"/>
  <c r="AO1288" i="1"/>
  <c r="AQ1288" i="1" s="1"/>
  <c r="P193" i="6"/>
  <c r="P191" i="6"/>
  <c r="P192" i="6"/>
  <c r="P1295" i="33"/>
  <c r="J2905" i="33"/>
  <c r="K3265" i="33"/>
  <c r="I2391" i="33"/>
  <c r="K2145" i="33"/>
  <c r="P1948" i="33"/>
  <c r="K2200" i="33"/>
  <c r="I3622" i="33"/>
  <c r="I3619" i="33"/>
  <c r="K3626" i="33"/>
  <c r="K3623" i="33"/>
  <c r="K3625" i="33"/>
  <c r="K3624" i="33"/>
  <c r="P3646" i="33"/>
  <c r="P3642" i="33"/>
  <c r="P3645" i="33"/>
  <c r="P3654" i="33"/>
  <c r="P3652" i="33"/>
  <c r="P94" i="6"/>
  <c r="P93" i="6"/>
  <c r="AT1609" i="1"/>
  <c r="I3454" i="33"/>
  <c r="I3450" i="33"/>
  <c r="I3451" i="33"/>
  <c r="I3452" i="33"/>
  <c r="V916" i="1"/>
  <c r="V917" i="1"/>
  <c r="V1120" i="1"/>
  <c r="V963" i="1"/>
  <c r="V975" i="1"/>
  <c r="V970" i="1"/>
  <c r="V1009" i="1"/>
  <c r="V987" i="1"/>
  <c r="V1053" i="1"/>
  <c r="V1007" i="1"/>
  <c r="I3621" i="33"/>
  <c r="V90" i="1"/>
  <c r="V155" i="1"/>
  <c r="V199" i="1"/>
  <c r="V222" i="1"/>
  <c r="V270" i="1"/>
  <c r="V346" i="1"/>
  <c r="V366" i="1"/>
  <c r="V388" i="1"/>
  <c r="V722" i="1"/>
  <c r="V731" i="1"/>
  <c r="V555" i="1"/>
  <c r="V854" i="1"/>
  <c r="V837" i="1"/>
  <c r="V870" i="1"/>
  <c r="V1160" i="1"/>
  <c r="P3653" i="33"/>
  <c r="V30" i="1"/>
  <c r="V100" i="1"/>
  <c r="V126" i="1"/>
  <c r="V204" i="1"/>
  <c r="V260" i="1"/>
  <c r="V303" i="1"/>
  <c r="V340" i="1"/>
  <c r="V377" i="1"/>
  <c r="V408" i="1"/>
  <c r="V755" i="1"/>
  <c r="V790" i="1"/>
  <c r="V849" i="1"/>
  <c r="V809" i="1"/>
  <c r="V874" i="1"/>
  <c r="V1073" i="1"/>
  <c r="V887" i="1"/>
  <c r="P96" i="6"/>
  <c r="P3655" i="33"/>
  <c r="V122" i="1"/>
  <c r="V145" i="1"/>
  <c r="V294" i="1"/>
  <c r="V299" i="1"/>
  <c r="V331" i="1"/>
  <c r="V362" i="1"/>
  <c r="V394" i="1"/>
  <c r="V404" i="1"/>
  <c r="V680" i="1"/>
  <c r="V707" i="1"/>
  <c r="V744" i="1"/>
  <c r="V781" i="1"/>
  <c r="V797" i="1"/>
  <c r="V1085" i="1"/>
  <c r="V1084" i="1"/>
  <c r="V934" i="1"/>
  <c r="V909" i="1"/>
  <c r="P3644" i="33"/>
  <c r="V51" i="1"/>
  <c r="V95" i="1"/>
  <c r="V171" i="1"/>
  <c r="V232" i="1"/>
  <c r="V314" i="1"/>
  <c r="V319" i="1"/>
  <c r="V383" i="1"/>
  <c r="V700" i="1"/>
  <c r="V776" i="1"/>
  <c r="V841" i="1"/>
  <c r="V821" i="1"/>
  <c r="V913" i="1"/>
  <c r="V684" i="1"/>
  <c r="P3643" i="33"/>
  <c r="K3627" i="33"/>
  <c r="I3620" i="33"/>
  <c r="I349" i="6"/>
  <c r="P377" i="6"/>
  <c r="AO1225" i="1"/>
  <c r="AQ1225" i="1" s="1"/>
  <c r="V1050" i="1"/>
  <c r="V1018" i="1"/>
  <c r="V1055" i="1"/>
  <c r="V1034" i="1"/>
  <c r="V1080" i="1"/>
  <c r="V1140" i="1"/>
  <c r="V1109" i="1"/>
  <c r="V1112" i="1"/>
  <c r="V1144" i="1"/>
  <c r="V1149" i="1"/>
  <c r="V1145" i="1"/>
  <c r="V1183" i="1"/>
  <c r="V1182" i="1"/>
  <c r="V1226" i="1"/>
  <c r="V1175" i="1"/>
  <c r="V1234" i="1"/>
  <c r="V1301" i="1"/>
  <c r="V1302" i="1"/>
  <c r="V1238" i="1"/>
  <c r="V1297" i="1"/>
  <c r="V1298" i="1"/>
  <c r="V1299" i="1"/>
  <c r="V1300" i="1"/>
  <c r="V1292" i="1"/>
  <c r="V1382" i="1"/>
  <c r="V1251" i="1"/>
  <c r="V1252" i="1"/>
  <c r="V1253" i="1"/>
  <c r="V1243" i="1"/>
  <c r="V1244" i="1"/>
  <c r="V1269" i="1"/>
  <c r="V1248" i="1"/>
  <c r="V1257" i="1"/>
  <c r="V1322" i="1"/>
  <c r="V1323" i="1"/>
  <c r="V1320" i="1"/>
  <c r="V1376" i="1"/>
  <c r="V1338" i="1"/>
  <c r="V1337" i="1"/>
  <c r="V1344" i="1"/>
  <c r="V1348" i="1"/>
  <c r="V1600" i="1"/>
  <c r="V1419" i="1"/>
  <c r="V230" i="1"/>
  <c r="V249" i="1"/>
  <c r="V466" i="1"/>
  <c r="V1272" i="1"/>
  <c r="V1254" i="1"/>
  <c r="V1425" i="1"/>
  <c r="V1285" i="1"/>
  <c r="V1122" i="1"/>
  <c r="V254" i="1"/>
  <c r="V298" i="1"/>
  <c r="V1031" i="1"/>
  <c r="V1021" i="1"/>
  <c r="V1024" i="1"/>
  <c r="V1329" i="1"/>
  <c r="K1166" i="33"/>
  <c r="P1157" i="33"/>
  <c r="P162" i="6"/>
  <c r="P160" i="6"/>
  <c r="P1173" i="33"/>
  <c r="P1233" i="33"/>
  <c r="J1209" i="33"/>
  <c r="P1156" i="33"/>
  <c r="J175" i="6"/>
  <c r="P180" i="6"/>
  <c r="J193" i="6"/>
  <c r="I148" i="6"/>
  <c r="P1776" i="33"/>
  <c r="AU385" i="1"/>
  <c r="AO171" i="1"/>
  <c r="AQ171" i="1" s="1"/>
  <c r="V673" i="1"/>
  <c r="V784" i="1"/>
  <c r="V907" i="1"/>
  <c r="V1075" i="1"/>
  <c r="V1262" i="1"/>
  <c r="AQ1365" i="1"/>
  <c r="V1374" i="1"/>
  <c r="AQ1445" i="1"/>
  <c r="AQ1541" i="1"/>
  <c r="AQ1557" i="1"/>
  <c r="AQ1421" i="1"/>
  <c r="AQ1477" i="1"/>
  <c r="AQ1469" i="1"/>
  <c r="AQ1599" i="1"/>
  <c r="V3" i="1"/>
  <c r="V13" i="1"/>
  <c r="V44" i="1"/>
  <c r="V65" i="1"/>
  <c r="V116" i="1"/>
  <c r="V149" i="1"/>
  <c r="V154" i="1"/>
  <c r="V164" i="1"/>
  <c r="V209" i="1"/>
  <c r="V231" i="1"/>
  <c r="V237" i="1"/>
  <c r="V250" i="1"/>
  <c r="V264" i="1"/>
  <c r="V281" i="1"/>
  <c r="V289" i="1"/>
  <c r="V308" i="1"/>
  <c r="V325" i="1"/>
  <c r="V330" i="1"/>
  <c r="V335" i="1"/>
  <c r="V351" i="1"/>
  <c r="V356" i="1"/>
  <c r="V370" i="1"/>
  <c r="V376" i="1"/>
  <c r="V382" i="1"/>
  <c r="V393" i="1"/>
  <c r="V399" i="1"/>
  <c r="V419" i="1"/>
  <c r="V440" i="1"/>
  <c r="V445" i="1"/>
  <c r="V452" i="1"/>
  <c r="V478" i="1"/>
  <c r="V498" i="1"/>
  <c r="V512" i="1"/>
  <c r="V528" i="1"/>
  <c r="V533" i="1"/>
  <c r="V556" i="1"/>
  <c r="V594" i="1"/>
  <c r="V598" i="1"/>
  <c r="V613" i="1"/>
  <c r="V623" i="1"/>
  <c r="V640" i="1"/>
  <c r="V646" i="1"/>
  <c r="V659" i="1"/>
  <c r="V669" i="1"/>
  <c r="V674" i="1"/>
  <c r="AQ21" i="1"/>
  <c r="AQ53" i="1"/>
  <c r="AQ157" i="1"/>
  <c r="AQ733" i="1"/>
  <c r="V679" i="1"/>
  <c r="V691" i="1"/>
  <c r="V754" i="1"/>
  <c r="V760" i="1"/>
  <c r="V753" i="1"/>
  <c r="V775" i="1"/>
  <c r="V808" i="1"/>
  <c r="V805" i="1"/>
  <c r="V826" i="1"/>
  <c r="V830" i="1"/>
  <c r="V898" i="1"/>
  <c r="V862" i="1"/>
  <c r="V1117" i="1"/>
  <c r="V951" i="1"/>
  <c r="V1083" i="1"/>
  <c r="V1166" i="1"/>
  <c r="V1168" i="1"/>
  <c r="V940" i="1"/>
  <c r="V892" i="1"/>
  <c r="V924" i="1"/>
  <c r="V946" i="1"/>
  <c r="V1201" i="1"/>
  <c r="V908" i="1"/>
  <c r="V1601" i="1"/>
  <c r="AQ1117" i="1"/>
  <c r="V998" i="1"/>
  <c r="AQ989" i="1"/>
  <c r="AQ1013" i="1"/>
  <c r="V1127" i="1"/>
  <c r="V1315" i="1"/>
  <c r="AQ1277" i="1"/>
  <c r="V1293" i="1"/>
  <c r="AQ1381" i="1"/>
  <c r="AQ1349" i="1"/>
  <c r="AQ1405" i="1"/>
  <c r="AQ1311" i="1"/>
  <c r="AQ269" i="1"/>
  <c r="AQ1453" i="1"/>
  <c r="AQ1501" i="1"/>
  <c r="AQ437" i="1"/>
  <c r="AQ549" i="1"/>
  <c r="AQ613" i="1"/>
  <c r="V242" i="1"/>
  <c r="V286" i="1"/>
  <c r="I186" i="6"/>
  <c r="J269" i="6"/>
  <c r="V1159" i="1"/>
  <c r="V1130" i="1"/>
  <c r="V1158" i="1"/>
  <c r="V1189" i="1"/>
  <c r="V1427" i="1"/>
  <c r="V1431" i="1"/>
  <c r="V1375" i="1"/>
  <c r="V1360" i="1"/>
  <c r="AT100" i="1"/>
  <c r="I1148" i="33"/>
  <c r="I1149" i="33"/>
  <c r="I1146" i="33"/>
  <c r="P1209" i="33"/>
  <c r="P1207" i="33"/>
  <c r="P1357" i="33"/>
  <c r="P1359" i="33"/>
  <c r="P1360" i="33"/>
  <c r="P1358" i="33"/>
  <c r="AO275" i="1"/>
  <c r="AQ275" i="1" s="1"/>
  <c r="J1418" i="33"/>
  <c r="J1447" i="33"/>
  <c r="J1448" i="33"/>
  <c r="J1422" i="33"/>
  <c r="J1423" i="33"/>
  <c r="J1421" i="33"/>
  <c r="J1535" i="33"/>
  <c r="J1532" i="33"/>
  <c r="J1533" i="33"/>
  <c r="J1531" i="33"/>
  <c r="J1537" i="33"/>
  <c r="AO178" i="1"/>
  <c r="AQ178" i="1" s="1"/>
  <c r="P1577" i="33"/>
  <c r="P1578" i="33"/>
  <c r="P1756" i="33"/>
  <c r="P1757" i="33"/>
  <c r="P1755" i="33"/>
  <c r="K2006" i="33"/>
  <c r="K2004" i="33"/>
  <c r="K2164" i="33"/>
  <c r="K2163" i="33"/>
  <c r="I2180" i="33"/>
  <c r="I2181" i="33"/>
  <c r="I2184" i="33"/>
  <c r="I2223" i="33"/>
  <c r="I2221" i="33"/>
  <c r="K2358" i="33"/>
  <c r="K2359" i="33"/>
  <c r="K2360" i="33"/>
  <c r="AT611" i="1"/>
  <c r="I2415" i="33"/>
  <c r="J2697" i="33"/>
  <c r="J2696" i="33"/>
  <c r="AO805" i="1"/>
  <c r="AQ805" i="1" s="1"/>
  <c r="P2758" i="33"/>
  <c r="AT981" i="1"/>
  <c r="I2805" i="33"/>
  <c r="I2807" i="33"/>
  <c r="I2801" i="33"/>
  <c r="I2806" i="33"/>
  <c r="I2800" i="33"/>
  <c r="I2848" i="33"/>
  <c r="I2849" i="33"/>
  <c r="AT871" i="1"/>
  <c r="AO915" i="1"/>
  <c r="AQ915" i="1" s="1"/>
  <c r="P3173" i="33"/>
  <c r="P3210" i="33"/>
  <c r="P3214" i="33"/>
  <c r="P3216" i="33"/>
  <c r="P3213" i="33"/>
  <c r="AO1061" i="1"/>
  <c r="AQ1061" i="1" s="1"/>
  <c r="P3215" i="33"/>
  <c r="I3314" i="33"/>
  <c r="AT1022" i="1"/>
  <c r="J3449" i="33"/>
  <c r="AU1138" i="1"/>
  <c r="J3448" i="33"/>
  <c r="K3525" i="33"/>
  <c r="K3524" i="33"/>
  <c r="P142" i="6"/>
  <c r="P140" i="6"/>
  <c r="P138" i="6"/>
  <c r="AO1336" i="1"/>
  <c r="AQ1336" i="1" s="1"/>
  <c r="P3414" i="33"/>
  <c r="K3156" i="33"/>
  <c r="V6" i="1"/>
  <c r="V32" i="1"/>
  <c r="V157" i="1"/>
  <c r="V196" i="1"/>
  <c r="V476" i="1"/>
  <c r="AQ729" i="1"/>
  <c r="V1002" i="1"/>
  <c r="AQ1081" i="1"/>
  <c r="V1173" i="1"/>
  <c r="AT34" i="1"/>
  <c r="I1367" i="33"/>
  <c r="AU128" i="1"/>
  <c r="J1389" i="33"/>
  <c r="J1388" i="33"/>
  <c r="J1390" i="33"/>
  <c r="AO247" i="1"/>
  <c r="AQ247" i="1" s="1"/>
  <c r="P1439" i="33"/>
  <c r="P1465" i="33"/>
  <c r="P1467" i="33"/>
  <c r="P1464" i="33"/>
  <c r="AO87" i="1"/>
  <c r="AQ87" i="1" s="1"/>
  <c r="J1842" i="33"/>
  <c r="AU7" i="1"/>
  <c r="J1880" i="33"/>
  <c r="J1879" i="33"/>
  <c r="AT446" i="1"/>
  <c r="I2095" i="33"/>
  <c r="K2173" i="33"/>
  <c r="K2174" i="33"/>
  <c r="K2175" i="33"/>
  <c r="I2267" i="33"/>
  <c r="AT480" i="1"/>
  <c r="AO631" i="1"/>
  <c r="AQ631" i="1" s="1"/>
  <c r="P2488" i="33"/>
  <c r="P2571" i="33"/>
  <c r="AO542" i="1"/>
  <c r="AQ542" i="1" s="1"/>
  <c r="P2576" i="33"/>
  <c r="P2575" i="33"/>
  <c r="P2574" i="33"/>
  <c r="P2573" i="33"/>
  <c r="P2570" i="33"/>
  <c r="P2568" i="33"/>
  <c r="P2572" i="33"/>
  <c r="J2654" i="33"/>
  <c r="AU697" i="1"/>
  <c r="AU782" i="1"/>
  <c r="J2695" i="33"/>
  <c r="J2741" i="33"/>
  <c r="AU875" i="1"/>
  <c r="AO947" i="1"/>
  <c r="AQ947" i="1" s="1"/>
  <c r="P2927" i="33"/>
  <c r="P2928" i="33"/>
  <c r="I3084" i="33"/>
  <c r="AT1074" i="1"/>
  <c r="I3083" i="33"/>
  <c r="I3081" i="33"/>
  <c r="I3082" i="33"/>
  <c r="K3304" i="33"/>
  <c r="K3303" i="33"/>
  <c r="P3425" i="33"/>
  <c r="AO1162" i="1"/>
  <c r="AQ1162" i="1" s="1"/>
  <c r="P3424" i="33"/>
  <c r="P3426" i="33"/>
  <c r="AT1260" i="1"/>
  <c r="I3466" i="33"/>
  <c r="I3467" i="33"/>
  <c r="I3468" i="33"/>
  <c r="AT1165" i="1"/>
  <c r="I3498" i="33"/>
  <c r="J3657" i="33"/>
  <c r="AU1402" i="1"/>
  <c r="K2331" i="33"/>
  <c r="J143" i="6"/>
  <c r="P1438" i="33"/>
  <c r="V174" i="1"/>
  <c r="V258" i="1"/>
  <c r="V616" i="1"/>
  <c r="V977" i="1"/>
  <c r="P1688" i="33"/>
  <c r="I2804" i="33"/>
  <c r="K3101" i="33"/>
  <c r="P3185" i="33"/>
  <c r="J1402" i="33"/>
  <c r="K3020" i="33"/>
  <c r="K2734" i="33"/>
  <c r="I3132" i="33"/>
  <c r="K2172" i="33"/>
  <c r="I3131" i="33"/>
  <c r="I2803" i="33"/>
  <c r="K2335" i="33"/>
  <c r="I2182" i="33"/>
  <c r="K2005" i="33"/>
  <c r="J1715" i="33"/>
  <c r="I1265" i="33"/>
  <c r="J145" i="6"/>
  <c r="J2655" i="33"/>
  <c r="I2185" i="33"/>
  <c r="J2653" i="33"/>
  <c r="P1437" i="33"/>
  <c r="AO1331" i="1"/>
  <c r="AQ1331" i="1" s="1"/>
  <c r="AU113" i="1"/>
  <c r="J1259" i="33"/>
  <c r="J1256" i="33"/>
  <c r="J1258" i="33"/>
  <c r="AO75" i="1"/>
  <c r="AQ75" i="1" s="1"/>
  <c r="P1288" i="33"/>
  <c r="I1329" i="33"/>
  <c r="I1328" i="33"/>
  <c r="AU151" i="1"/>
  <c r="J1396" i="33"/>
  <c r="J1394" i="33"/>
  <c r="AT72" i="1"/>
  <c r="I1188" i="33"/>
  <c r="I1189" i="33"/>
  <c r="AU309" i="1"/>
  <c r="J1866" i="33"/>
  <c r="J1865" i="33"/>
  <c r="AO422" i="1"/>
  <c r="AQ422" i="1" s="1"/>
  <c r="P1915" i="33"/>
  <c r="AU322" i="1"/>
  <c r="J1974" i="33"/>
  <c r="J1975" i="33"/>
  <c r="J1978" i="33"/>
  <c r="J1976" i="33"/>
  <c r="J1977" i="33"/>
  <c r="AT390" i="1"/>
  <c r="I2047" i="33"/>
  <c r="I2049" i="33"/>
  <c r="I2046" i="33"/>
  <c r="I2045" i="33"/>
  <c r="I2050" i="33"/>
  <c r="AT438" i="1"/>
  <c r="I2122" i="33"/>
  <c r="I2119" i="33"/>
  <c r="AT519" i="1"/>
  <c r="I2225" i="33"/>
  <c r="I2278" i="33"/>
  <c r="I2275" i="33"/>
  <c r="I2281" i="33"/>
  <c r="I2341" i="33"/>
  <c r="AT566" i="1"/>
  <c r="K2398" i="33"/>
  <c r="K2397" i="33"/>
  <c r="AT662" i="1"/>
  <c r="I2462" i="33"/>
  <c r="AO737" i="1"/>
  <c r="AQ737" i="1" s="1"/>
  <c r="P2552" i="33"/>
  <c r="P2549" i="33"/>
  <c r="P2612" i="33"/>
  <c r="P2613" i="33"/>
  <c r="AO734" i="1"/>
  <c r="AQ734" i="1" s="1"/>
  <c r="P2614" i="33"/>
  <c r="AU840" i="1"/>
  <c r="J2675" i="33"/>
  <c r="J2677" i="33"/>
  <c r="J2673" i="33"/>
  <c r="J2676" i="33"/>
  <c r="J2674" i="33"/>
  <c r="K2817" i="33"/>
  <c r="K2818" i="33"/>
  <c r="K2862" i="33"/>
  <c r="K2864" i="33"/>
  <c r="K2863" i="33"/>
  <c r="K3088" i="33"/>
  <c r="K3090" i="33"/>
  <c r="K3089" i="33"/>
  <c r="K3091" i="33"/>
  <c r="I3368" i="33"/>
  <c r="I3367" i="33"/>
  <c r="I3364" i="33"/>
  <c r="I3365" i="33"/>
  <c r="I3388" i="33"/>
  <c r="AT1036" i="1"/>
  <c r="J3429" i="33"/>
  <c r="AU1040" i="1"/>
  <c r="J3427" i="33"/>
  <c r="AT1201" i="1"/>
  <c r="I3502" i="33"/>
  <c r="I3615" i="33"/>
  <c r="AT1217" i="1"/>
  <c r="P3638" i="33"/>
  <c r="P3636" i="33"/>
  <c r="I200" i="6"/>
  <c r="I196" i="6"/>
  <c r="I197" i="6"/>
  <c r="I198" i="6"/>
  <c r="I195" i="6"/>
  <c r="I199" i="6"/>
  <c r="J1419" i="33"/>
  <c r="I2187" i="33"/>
  <c r="V201" i="1"/>
  <c r="V220" i="1"/>
  <c r="V349" i="1"/>
  <c r="V846" i="1"/>
  <c r="V1017" i="1"/>
  <c r="AQ1057" i="1"/>
  <c r="V1096" i="1"/>
  <c r="I2836" i="33"/>
  <c r="K3523" i="33"/>
  <c r="K3375" i="33"/>
  <c r="J3633" i="33"/>
  <c r="K2176" i="33"/>
  <c r="I1206" i="33"/>
  <c r="J1400" i="33"/>
  <c r="J2891" i="33"/>
  <c r="K2379" i="33"/>
  <c r="I3130" i="33"/>
  <c r="P2569" i="33"/>
  <c r="K2418" i="33"/>
  <c r="K2336" i="33"/>
  <c r="I2179" i="33"/>
  <c r="J1392" i="33"/>
  <c r="I2274" i="33"/>
  <c r="P178" i="6"/>
  <c r="I2280" i="33"/>
  <c r="AT999" i="1"/>
  <c r="I1190" i="33"/>
  <c r="AO105" i="1"/>
  <c r="AQ105" i="1" s="1"/>
  <c r="P1250" i="33"/>
  <c r="P1254" i="33"/>
  <c r="P1249" i="33"/>
  <c r="I1366" i="33"/>
  <c r="AT33" i="1"/>
  <c r="AO163" i="1"/>
  <c r="AQ163" i="1" s="1"/>
  <c r="P1667" i="33"/>
  <c r="P1666" i="33"/>
  <c r="P1723" i="33"/>
  <c r="P1721" i="33"/>
  <c r="P1722" i="33"/>
  <c r="AO180" i="1"/>
  <c r="AQ180" i="1" s="1"/>
  <c r="P1785" i="33"/>
  <c r="AU348" i="1"/>
  <c r="J1854" i="33"/>
  <c r="J1853" i="33"/>
  <c r="J1927" i="33"/>
  <c r="J1928" i="33"/>
  <c r="J1985" i="33"/>
  <c r="J1986" i="33"/>
  <c r="K2023" i="33"/>
  <c r="K2024" i="33"/>
  <c r="K2021" i="33"/>
  <c r="K2136" i="33"/>
  <c r="K2135" i="33"/>
  <c r="K2133" i="33"/>
  <c r="AT439" i="1"/>
  <c r="I2159" i="33"/>
  <c r="K2219" i="33"/>
  <c r="K2217" i="33"/>
  <c r="K2218" i="33"/>
  <c r="K2220" i="33"/>
  <c r="K2264" i="33"/>
  <c r="K2262" i="33"/>
  <c r="K2263" i="33"/>
  <c r="AT577" i="1"/>
  <c r="I2303" i="33"/>
  <c r="I2304" i="33"/>
  <c r="I2305" i="33"/>
  <c r="AT589" i="1"/>
  <c r="I2346" i="33"/>
  <c r="I2344" i="33"/>
  <c r="I2342" i="33"/>
  <c r="I2345" i="33"/>
  <c r="I2347" i="33"/>
  <c r="AT636" i="1"/>
  <c r="I2403" i="33"/>
  <c r="I2407" i="33"/>
  <c r="I2406" i="33"/>
  <c r="I2405" i="33"/>
  <c r="AT608" i="1"/>
  <c r="I2437" i="33"/>
  <c r="I2436" i="33"/>
  <c r="AT613" i="1"/>
  <c r="I2459" i="33"/>
  <c r="I2461" i="33"/>
  <c r="I2458" i="33"/>
  <c r="I2460" i="33"/>
  <c r="I2457" i="33"/>
  <c r="P2493" i="33"/>
  <c r="P2500" i="33"/>
  <c r="P2498" i="33"/>
  <c r="P2499" i="33"/>
  <c r="AO934" i="1"/>
  <c r="AQ934" i="1" s="1"/>
  <c r="P2494" i="33"/>
  <c r="P2495" i="33"/>
  <c r="P2491" i="33"/>
  <c r="AO695" i="1"/>
  <c r="AQ695" i="1" s="1"/>
  <c r="P2608" i="33"/>
  <c r="P2610" i="33"/>
  <c r="P2606" i="33"/>
  <c r="P2604" i="33"/>
  <c r="P2607" i="33"/>
  <c r="P2603" i="33"/>
  <c r="J2667" i="33"/>
  <c r="J2666" i="33"/>
  <c r="J2757" i="33"/>
  <c r="AU846" i="1"/>
  <c r="AO1192" i="1"/>
  <c r="AQ1192" i="1" s="1"/>
  <c r="P2944" i="33"/>
  <c r="P2943" i="33"/>
  <c r="K3033" i="33"/>
  <c r="K3035" i="33"/>
  <c r="K3160" i="33"/>
  <c r="K3159" i="33"/>
  <c r="K3158" i="33"/>
  <c r="P3220" i="33"/>
  <c r="P3219" i="33"/>
  <c r="AO969" i="1"/>
  <c r="AQ969" i="1" s="1"/>
  <c r="P3221" i="33"/>
  <c r="P3222" i="33"/>
  <c r="I3279" i="33"/>
  <c r="AT1095" i="1"/>
  <c r="K3319" i="33"/>
  <c r="K3320" i="33"/>
  <c r="I3378" i="33"/>
  <c r="AT1033" i="1"/>
  <c r="I3377" i="33"/>
  <c r="AT1269" i="1"/>
  <c r="I3540" i="33"/>
  <c r="I3536" i="33"/>
  <c r="P3640" i="33"/>
  <c r="J1401" i="33"/>
  <c r="P3223" i="33"/>
  <c r="I1180" i="33"/>
  <c r="AO1039" i="1"/>
  <c r="AQ1039" i="1" s="1"/>
  <c r="V186" i="1"/>
  <c r="V244" i="1"/>
  <c r="V253" i="1"/>
  <c r="V491" i="1"/>
  <c r="AQ721" i="1"/>
  <c r="AQ1113" i="1"/>
  <c r="AQ1177" i="1"/>
  <c r="K3305" i="33"/>
  <c r="I3537" i="33"/>
  <c r="I2254" i="33"/>
  <c r="J1131" i="33"/>
  <c r="I1145" i="33"/>
  <c r="P1289" i="33"/>
  <c r="K2383" i="33"/>
  <c r="P1425" i="33"/>
  <c r="I2343" i="33"/>
  <c r="P2567" i="33"/>
  <c r="I2414" i="33"/>
  <c r="I2257" i="33"/>
  <c r="J1913" i="33"/>
  <c r="J1393" i="33"/>
  <c r="P1318" i="33"/>
  <c r="J2775" i="33"/>
  <c r="J1420" i="33"/>
  <c r="P139" i="6"/>
  <c r="I3344" i="33"/>
  <c r="AU27" i="1"/>
  <c r="P1193" i="33"/>
  <c r="AO94" i="1"/>
  <c r="AQ94" i="1" s="1"/>
  <c r="P1192" i="33"/>
  <c r="AU5" i="1"/>
  <c r="J1219" i="33"/>
  <c r="AO76" i="1"/>
  <c r="AQ76" i="1" s="1"/>
  <c r="P1299" i="33"/>
  <c r="P1302" i="33"/>
  <c r="I1361" i="33"/>
  <c r="I1363" i="33"/>
  <c r="I1362" i="33"/>
  <c r="AO186" i="1"/>
  <c r="AQ186" i="1" s="1"/>
  <c r="P1387" i="33"/>
  <c r="P1384" i="33"/>
  <c r="P1385" i="33"/>
  <c r="P1386" i="33"/>
  <c r="J1430" i="33"/>
  <c r="J1432" i="33"/>
  <c r="AU258" i="1"/>
  <c r="J1591" i="33"/>
  <c r="J1589" i="33"/>
  <c r="AU320" i="1"/>
  <c r="J1712" i="33"/>
  <c r="AU313" i="1"/>
  <c r="J1811" i="33"/>
  <c r="J1812" i="33"/>
  <c r="AU371" i="1"/>
  <c r="J1877" i="33"/>
  <c r="J1878" i="33"/>
  <c r="P1939" i="33"/>
  <c r="P1937" i="33"/>
  <c r="P1936" i="33"/>
  <c r="K2018" i="33"/>
  <c r="K2017" i="33"/>
  <c r="K2016" i="33"/>
  <c r="I2085" i="33"/>
  <c r="AT471" i="1"/>
  <c r="K2142" i="33"/>
  <c r="K2140" i="33"/>
  <c r="K2141" i="33"/>
  <c r="I2204" i="33"/>
  <c r="I2201" i="33"/>
  <c r="I2205" i="33"/>
  <c r="K2230" i="33"/>
  <c r="K2228" i="33"/>
  <c r="K2229" i="33"/>
  <c r="K2227" i="33"/>
  <c r="P2489" i="33"/>
  <c r="AO587" i="1"/>
  <c r="AQ587" i="1" s="1"/>
  <c r="P2564" i="33"/>
  <c r="P2566" i="33"/>
  <c r="AU789" i="1"/>
  <c r="J2668" i="33"/>
  <c r="J2669" i="33"/>
  <c r="K2823" i="33"/>
  <c r="K2821" i="33"/>
  <c r="AO850" i="1"/>
  <c r="AQ850" i="1" s="1"/>
  <c r="P2926" i="33"/>
  <c r="AO991" i="1"/>
  <c r="AQ991" i="1" s="1"/>
  <c r="P2964" i="33"/>
  <c r="P2962" i="33"/>
  <c r="AO1038" i="1"/>
  <c r="AQ1038" i="1" s="1"/>
  <c r="P3196" i="33"/>
  <c r="K3383" i="33"/>
  <c r="K3385" i="33"/>
  <c r="K3384" i="33"/>
  <c r="K3382" i="33"/>
  <c r="K3381" i="33"/>
  <c r="AO1041" i="1"/>
  <c r="AQ1041" i="1" s="1"/>
  <c r="P3416" i="33"/>
  <c r="J3649" i="33"/>
  <c r="J3648" i="33"/>
  <c r="P1294" i="33"/>
  <c r="J1988" i="33"/>
  <c r="J1713" i="33"/>
  <c r="V168" i="1"/>
  <c r="V397" i="1"/>
  <c r="V449" i="1"/>
  <c r="V621" i="1"/>
  <c r="V773" i="1"/>
  <c r="V976" i="1"/>
  <c r="V1089" i="1"/>
  <c r="K3007" i="33"/>
  <c r="P3415" i="33"/>
  <c r="J3629" i="33"/>
  <c r="P3639" i="33"/>
  <c r="K2822" i="33"/>
  <c r="K3321" i="33"/>
  <c r="I3616" i="33"/>
  <c r="K3287" i="33"/>
  <c r="I2852" i="33"/>
  <c r="P1253" i="33"/>
  <c r="P3212" i="33"/>
  <c r="J1962" i="33"/>
  <c r="I2160" i="33"/>
  <c r="I2283" i="33"/>
  <c r="P2551" i="33"/>
  <c r="I2402" i="33"/>
  <c r="K2134" i="33"/>
  <c r="J1911" i="33"/>
  <c r="J1592" i="33"/>
  <c r="J1378" i="33"/>
  <c r="P2486" i="33"/>
  <c r="P1466" i="33"/>
  <c r="P141" i="6"/>
  <c r="I1248" i="33"/>
  <c r="AT80" i="1"/>
  <c r="P1409" i="33"/>
  <c r="P1410" i="33"/>
  <c r="AU84" i="1"/>
  <c r="J1440" i="33"/>
  <c r="J1441" i="33"/>
  <c r="J1442" i="33"/>
  <c r="AO211" i="1"/>
  <c r="AQ211" i="1" s="1"/>
  <c r="P1505" i="33"/>
  <c r="AO164" i="1"/>
  <c r="AQ164" i="1" s="1"/>
  <c r="P1601" i="33"/>
  <c r="P1599" i="33"/>
  <c r="P1598" i="33"/>
  <c r="AO227" i="1"/>
  <c r="AQ227" i="1" s="1"/>
  <c r="P1704" i="33"/>
  <c r="P1705" i="33"/>
  <c r="P1703" i="33"/>
  <c r="AO325" i="1"/>
  <c r="AQ325" i="1" s="1"/>
  <c r="P1767" i="33"/>
  <c r="P1766" i="33"/>
  <c r="AT467" i="1"/>
  <c r="I2031" i="33"/>
  <c r="I2030" i="33"/>
  <c r="I2029" i="33"/>
  <c r="K2056" i="33"/>
  <c r="K2055" i="33"/>
  <c r="AT440" i="1"/>
  <c r="I2081" i="33"/>
  <c r="I2082" i="33"/>
  <c r="I2083" i="33"/>
  <c r="AT457" i="1"/>
  <c r="I2178" i="33"/>
  <c r="I2210" i="33"/>
  <c r="AT547" i="1"/>
  <c r="I2209" i="33"/>
  <c r="I2212" i="33"/>
  <c r="K2272" i="33"/>
  <c r="K2269" i="33"/>
  <c r="K2270" i="33"/>
  <c r="K2419" i="33"/>
  <c r="K2420" i="33"/>
  <c r="K2416" i="33"/>
  <c r="J2506" i="33"/>
  <c r="J2508" i="33"/>
  <c r="AU637" i="1"/>
  <c r="J2647" i="33"/>
  <c r="P2685" i="33"/>
  <c r="P2686" i="33"/>
  <c r="P2683" i="33"/>
  <c r="P2684" i="33"/>
  <c r="AO938" i="1"/>
  <c r="AQ938" i="1" s="1"/>
  <c r="AU686" i="1"/>
  <c r="J2738" i="33"/>
  <c r="J2737" i="33"/>
  <c r="AU799" i="1"/>
  <c r="J2772" i="33"/>
  <c r="J2771" i="33"/>
  <c r="J2773" i="33"/>
  <c r="J2770" i="33"/>
  <c r="I2834" i="33"/>
  <c r="I2835" i="33"/>
  <c r="AO684" i="1"/>
  <c r="AQ684" i="1" s="1"/>
  <c r="P2892" i="33"/>
  <c r="K3106" i="33"/>
  <c r="K3098" i="33"/>
  <c r="K3096" i="33"/>
  <c r="K3099" i="33"/>
  <c r="K3105" i="33"/>
  <c r="K3097" i="33"/>
  <c r="K3127" i="33"/>
  <c r="K3128" i="33"/>
  <c r="K3164" i="33"/>
  <c r="K3163" i="33"/>
  <c r="AO983" i="1"/>
  <c r="AQ983" i="1" s="1"/>
  <c r="P3244" i="33"/>
  <c r="P3247" i="33"/>
  <c r="P3245" i="33"/>
  <c r="P3243" i="33"/>
  <c r="AT1255" i="1"/>
  <c r="I3296" i="33"/>
  <c r="I3295" i="33"/>
  <c r="AO1178" i="1"/>
  <c r="AQ1178" i="1" s="1"/>
  <c r="P3413" i="33"/>
  <c r="AT1140" i="1"/>
  <c r="I3500" i="33"/>
  <c r="I3574" i="33"/>
  <c r="AT1020" i="1"/>
  <c r="I3366" i="33"/>
  <c r="P3218" i="33"/>
  <c r="P2924" i="33"/>
  <c r="I2202" i="33"/>
  <c r="J144" i="6"/>
  <c r="P2487" i="33"/>
  <c r="V191" i="1"/>
  <c r="V235" i="1"/>
  <c r="V391" i="1"/>
  <c r="V526" i="1"/>
  <c r="V1082" i="1"/>
  <c r="V932" i="1"/>
  <c r="P3637" i="33"/>
  <c r="I3386" i="33"/>
  <c r="I3501" i="33"/>
  <c r="P3635" i="33"/>
  <c r="I3499" i="33"/>
  <c r="P1301" i="33"/>
  <c r="K3102" i="33"/>
  <c r="P3197" i="33"/>
  <c r="J1961" i="33"/>
  <c r="P3199" i="33"/>
  <c r="I2851" i="33"/>
  <c r="J2739" i="33"/>
  <c r="I1365" i="33"/>
  <c r="I2282" i="33"/>
  <c r="J3647" i="33"/>
  <c r="P2550" i="33"/>
  <c r="K2381" i="33"/>
  <c r="I2224" i="33"/>
  <c r="I2120" i="33"/>
  <c r="J1810" i="33"/>
  <c r="P1579" i="33"/>
  <c r="I2279" i="33"/>
  <c r="P1504" i="33"/>
  <c r="K2022" i="33"/>
  <c r="P1931" i="33"/>
  <c r="J2774" i="33"/>
  <c r="I1136" i="33"/>
  <c r="I1137" i="33"/>
  <c r="J1282" i="33"/>
  <c r="J1283" i="33"/>
  <c r="I1178" i="33"/>
  <c r="AT103" i="1"/>
  <c r="I1182" i="33"/>
  <c r="I1179" i="33"/>
  <c r="I1181" i="33"/>
  <c r="AU49" i="1"/>
  <c r="J1377" i="33"/>
  <c r="AU135" i="1"/>
  <c r="J1403" i="33"/>
  <c r="J1404" i="33"/>
  <c r="AU224" i="1"/>
  <c r="J1547" i="33"/>
  <c r="AO188" i="1"/>
  <c r="AQ188" i="1" s="1"/>
  <c r="P1633" i="33"/>
  <c r="P1634" i="33"/>
  <c r="P1687" i="33"/>
  <c r="AO264" i="1"/>
  <c r="AQ264" i="1" s="1"/>
  <c r="J1788" i="33"/>
  <c r="AU360" i="1"/>
  <c r="AT437" i="1"/>
  <c r="I2073" i="33"/>
  <c r="I2072" i="33"/>
  <c r="AT428" i="1"/>
  <c r="I2099" i="33"/>
  <c r="AT465" i="1"/>
  <c r="I2255" i="33"/>
  <c r="K2333" i="33"/>
  <c r="K2329" i="33"/>
  <c r="K2332" i="33"/>
  <c r="AT590" i="1"/>
  <c r="I2400" i="33"/>
  <c r="I2401" i="33"/>
  <c r="K2422" i="33"/>
  <c r="K2421" i="33"/>
  <c r="K2444" i="33"/>
  <c r="K2443" i="33"/>
  <c r="J2531" i="33"/>
  <c r="AU665" i="1"/>
  <c r="AO756" i="1"/>
  <c r="AQ756" i="1" s="1"/>
  <c r="P2651" i="33"/>
  <c r="P2652" i="33"/>
  <c r="P2648" i="33"/>
  <c r="P2711" i="33"/>
  <c r="P2712" i="33"/>
  <c r="P2714" i="33"/>
  <c r="I2872" i="33"/>
  <c r="AT849" i="1"/>
  <c r="I2869" i="33"/>
  <c r="I2871" i="33"/>
  <c r="I2870" i="33"/>
  <c r="AO1071" i="1"/>
  <c r="AQ1071" i="1" s="1"/>
  <c r="P2909" i="33"/>
  <c r="P2913" i="33"/>
  <c r="P2914" i="33"/>
  <c r="P2910" i="33"/>
  <c r="P2908" i="33"/>
  <c r="AO943" i="1"/>
  <c r="AQ943" i="1" s="1"/>
  <c r="P2946" i="33"/>
  <c r="AT922" i="1"/>
  <c r="I3026" i="33"/>
  <c r="K3076" i="33"/>
  <c r="K3073" i="33"/>
  <c r="K3070" i="33"/>
  <c r="AT1211" i="1"/>
  <c r="I3121" i="33"/>
  <c r="I3122" i="33"/>
  <c r="I3120" i="33"/>
  <c r="AO1104" i="1"/>
  <c r="AQ1104" i="1" s="1"/>
  <c r="P3183" i="33"/>
  <c r="AT1238" i="1"/>
  <c r="I3380" i="33"/>
  <c r="I3379" i="33"/>
  <c r="AU1390" i="1"/>
  <c r="J150" i="6"/>
  <c r="J151" i="6"/>
  <c r="J3630" i="33"/>
  <c r="J3632" i="33"/>
  <c r="K3302" i="33"/>
  <c r="K3075" i="33"/>
  <c r="I2802" i="33"/>
  <c r="J1446" i="33"/>
  <c r="V180" i="1"/>
  <c r="V406" i="1"/>
  <c r="V943" i="1"/>
  <c r="AQ841" i="1"/>
  <c r="K2820" i="33"/>
  <c r="K2226" i="33"/>
  <c r="I2808" i="33"/>
  <c r="K2825" i="33"/>
  <c r="K3286" i="33"/>
  <c r="I3280" i="33"/>
  <c r="I3387" i="33"/>
  <c r="K3373" i="33"/>
  <c r="I3538" i="33"/>
  <c r="I3293" i="33"/>
  <c r="I2253" i="33"/>
  <c r="I1147" i="33"/>
  <c r="K3072" i="33"/>
  <c r="P3211" i="33"/>
  <c r="P1600" i="33"/>
  <c r="P3198" i="33"/>
  <c r="J1113" i="33"/>
  <c r="I1162" i="33"/>
  <c r="P2912" i="33"/>
  <c r="K2334" i="33"/>
  <c r="P2496" i="33"/>
  <c r="J3650" i="33"/>
  <c r="P2650" i="33"/>
  <c r="J2509" i="33"/>
  <c r="K2380" i="33"/>
  <c r="I2211" i="33"/>
  <c r="I2123" i="33"/>
  <c r="J1787" i="33"/>
  <c r="J1460" i="33"/>
  <c r="I1368" i="33"/>
  <c r="P2490" i="33"/>
  <c r="J1716" i="33"/>
  <c r="P1513" i="33"/>
  <c r="AU691" i="1"/>
  <c r="AQ1377" i="1"/>
  <c r="AQ1353" i="1"/>
  <c r="AQ1603" i="1"/>
  <c r="J1321" i="33"/>
  <c r="J1178" i="33"/>
  <c r="AQ961" i="1"/>
  <c r="AQ505" i="1"/>
  <c r="AQ1129" i="1"/>
  <c r="AQ1329" i="1"/>
  <c r="AQ793" i="1"/>
  <c r="AQ465" i="1"/>
  <c r="V151" i="1"/>
  <c r="V210" i="1"/>
  <c r="V282" i="1"/>
  <c r="V332" i="1"/>
  <c r="V336" i="1"/>
  <c r="V624" i="1"/>
  <c r="V80" i="1"/>
  <c r="V172" i="1"/>
  <c r="V252" i="1"/>
  <c r="V405" i="1"/>
  <c r="V480" i="1"/>
  <c r="V530" i="1"/>
  <c r="V636" i="1"/>
  <c r="AQ17" i="1"/>
  <c r="AQ153" i="1"/>
  <c r="AQ513" i="1"/>
  <c r="AQ529" i="1"/>
  <c r="AQ545" i="1"/>
  <c r="AQ689" i="1"/>
  <c r="V1202" i="1"/>
  <c r="AQ1065" i="1"/>
  <c r="AQ881" i="1"/>
  <c r="V1211" i="1"/>
  <c r="AQ1265" i="1"/>
  <c r="AQ1337" i="1"/>
  <c r="AQ1361" i="1"/>
  <c r="AQ313" i="1"/>
  <c r="AQ1073" i="1"/>
  <c r="AQ1121" i="1"/>
  <c r="AQ1137" i="1"/>
  <c r="AQ1369" i="1"/>
  <c r="AQ33" i="1"/>
  <c r="AQ577" i="1"/>
  <c r="AQ608" i="1"/>
  <c r="AQ849" i="1"/>
  <c r="AQ73" i="1"/>
  <c r="AQ65" i="1"/>
  <c r="AQ297" i="1"/>
  <c r="AQ401" i="1"/>
  <c r="AQ569" i="1"/>
  <c r="AQ641" i="1"/>
  <c r="AQ857" i="1"/>
  <c r="AQ1001" i="1"/>
  <c r="AQ985" i="1"/>
  <c r="AQ1185" i="1"/>
  <c r="AQ1169" i="1"/>
  <c r="AQ1209" i="1"/>
  <c r="AQ1289" i="1"/>
  <c r="V475" i="1"/>
  <c r="V648" i="1"/>
  <c r="AQ9" i="1"/>
  <c r="AQ225" i="1"/>
  <c r="AQ449" i="1"/>
  <c r="AQ681" i="1"/>
  <c r="V906" i="1"/>
  <c r="AQ753" i="1"/>
  <c r="V1033" i="1"/>
  <c r="AQ1105" i="1"/>
  <c r="AQ1097" i="1"/>
  <c r="V1121" i="1"/>
  <c r="AQ1241" i="1"/>
  <c r="V1327" i="1"/>
  <c r="V1318" i="1"/>
  <c r="V1310" i="1"/>
  <c r="V1325" i="1"/>
  <c r="V1326" i="1"/>
  <c r="V1321" i="1"/>
  <c r="V1281" i="1"/>
  <c r="V1282" i="1"/>
  <c r="V1324" i="1"/>
  <c r="V1306" i="1"/>
  <c r="V1307" i="1"/>
  <c r="V1308" i="1"/>
  <c r="V1366" i="1"/>
  <c r="V1341" i="1"/>
  <c r="V1340" i="1"/>
  <c r="V1368" i="1"/>
  <c r="V1343" i="1"/>
  <c r="V1347" i="1"/>
  <c r="V1405" i="1"/>
  <c r="AQ1409" i="1"/>
  <c r="V1400" i="1"/>
  <c r="AQ1153" i="1"/>
  <c r="AQ1345" i="1"/>
  <c r="V59" i="1"/>
  <c r="V221" i="1"/>
  <c r="V245" i="1"/>
  <c r="V269" i="1"/>
  <c r="V345" i="1"/>
  <c r="V365" i="1"/>
  <c r="V387" i="1"/>
  <c r="V412" i="1"/>
  <c r="V467" i="1"/>
  <c r="V472" i="1"/>
  <c r="V482" i="1"/>
  <c r="V602" i="1"/>
  <c r="V639" i="1"/>
  <c r="V668" i="1"/>
  <c r="V715" i="1"/>
  <c r="AQ25" i="1"/>
  <c r="AQ137" i="1"/>
  <c r="AQ217" i="1"/>
  <c r="AQ329" i="1"/>
  <c r="AQ361" i="1"/>
  <c r="AQ521" i="1"/>
  <c r="AQ585" i="1"/>
  <c r="AQ609" i="1"/>
  <c r="AQ625" i="1"/>
  <c r="V764" i="1"/>
  <c r="V780" i="1"/>
  <c r="V813" i="1"/>
  <c r="V869" i="1"/>
  <c r="V939" i="1"/>
  <c r="V1072" i="1"/>
  <c r="V1135" i="1"/>
  <c r="V1167" i="1"/>
  <c r="V937" i="1"/>
  <c r="AQ761" i="1"/>
  <c r="AQ769" i="1"/>
  <c r="AQ953" i="1"/>
  <c r="V918" i="1"/>
  <c r="AQ993" i="1"/>
  <c r="V979" i="1"/>
  <c r="V1012" i="1"/>
  <c r="V997" i="1"/>
  <c r="V1060" i="1"/>
  <c r="V1032" i="1"/>
  <c r="AQ1089" i="1"/>
  <c r="V1402" i="1"/>
  <c r="V1110" i="1"/>
  <c r="V1198" i="1"/>
  <c r="V1222" i="1"/>
  <c r="V1214" i="1"/>
  <c r="AQ1249" i="1"/>
  <c r="V1352" i="1"/>
  <c r="V1406" i="1"/>
  <c r="AQ81" i="1"/>
  <c r="AQ433" i="1"/>
  <c r="AQ705" i="1"/>
  <c r="V899" i="1"/>
  <c r="V1011" i="1"/>
  <c r="AQ1049" i="1"/>
  <c r="V1264" i="1"/>
  <c r="V1390" i="1"/>
  <c r="AQ889" i="1"/>
  <c r="AQ977" i="1"/>
  <c r="AQ1024" i="1"/>
  <c r="AQ1596" i="1"/>
  <c r="V1595" i="1"/>
  <c r="AQ1589" i="1"/>
  <c r="V1586" i="1"/>
  <c r="AT947" i="1"/>
  <c r="I2928" i="33"/>
  <c r="P3458" i="33"/>
  <c r="P3460" i="33"/>
  <c r="K2487" i="33"/>
  <c r="K2486" i="33"/>
  <c r="I2509" i="33"/>
  <c r="I2506" i="33"/>
  <c r="AT601" i="1"/>
  <c r="I2531" i="33"/>
  <c r="AT665" i="1"/>
  <c r="K2549" i="33"/>
  <c r="K2552" i="33"/>
  <c r="K2576" i="33"/>
  <c r="K2567" i="33"/>
  <c r="K2571" i="33"/>
  <c r="K2613" i="33"/>
  <c r="K2612" i="33"/>
  <c r="K2614" i="33"/>
  <c r="K2651" i="33"/>
  <c r="K2648" i="33"/>
  <c r="K2649" i="33"/>
  <c r="AT697" i="1"/>
  <c r="I2654" i="33"/>
  <c r="I2655" i="33"/>
  <c r="I2673" i="33"/>
  <c r="I2677" i="33"/>
  <c r="I2674" i="33"/>
  <c r="I2676" i="33"/>
  <c r="K2683" i="33"/>
  <c r="K2684" i="33"/>
  <c r="I2695" i="33"/>
  <c r="AT782" i="1"/>
  <c r="AT691" i="1"/>
  <c r="I2697" i="33"/>
  <c r="K2712" i="33"/>
  <c r="K2710" i="33"/>
  <c r="I2737" i="33"/>
  <c r="I2739" i="33"/>
  <c r="I2745" i="33"/>
  <c r="AT792" i="1"/>
  <c r="AT799" i="1"/>
  <c r="I2772" i="33"/>
  <c r="I2769" i="33"/>
  <c r="AO940" i="1"/>
  <c r="AQ940" i="1" s="1"/>
  <c r="P2813" i="33"/>
  <c r="J2818" i="33"/>
  <c r="J2817" i="33"/>
  <c r="AU1058" i="1"/>
  <c r="J2824" i="33"/>
  <c r="J2821" i="33"/>
  <c r="J2865" i="33"/>
  <c r="AU905" i="1"/>
  <c r="AO1087" i="1"/>
  <c r="AQ1087" i="1" s="1"/>
  <c r="P2882" i="33"/>
  <c r="AT865" i="1"/>
  <c r="I2890" i="33"/>
  <c r="I2891" i="33"/>
  <c r="K2910" i="33"/>
  <c r="K2911" i="33"/>
  <c r="K2927" i="33"/>
  <c r="K2928" i="33"/>
  <c r="I2967" i="33"/>
  <c r="AT959" i="1"/>
  <c r="J3019" i="33"/>
  <c r="J3018" i="33"/>
  <c r="J3070" i="33"/>
  <c r="AU990" i="1"/>
  <c r="AU884" i="1"/>
  <c r="J3090" i="33"/>
  <c r="J3106" i="33"/>
  <c r="AU944" i="1"/>
  <c r="J3101" i="33"/>
  <c r="J3100" i="33"/>
  <c r="P3118" i="33"/>
  <c r="P3117" i="33"/>
  <c r="AO1064" i="1"/>
  <c r="AQ1064" i="1" s="1"/>
  <c r="P3151" i="33"/>
  <c r="AU1084" i="1"/>
  <c r="J3160" i="33"/>
  <c r="J3164" i="33"/>
  <c r="J3163" i="33"/>
  <c r="K3220" i="33"/>
  <c r="K3219" i="33"/>
  <c r="K3222" i="33"/>
  <c r="K3243" i="33"/>
  <c r="K3244" i="33"/>
  <c r="AU1031" i="1"/>
  <c r="J3287" i="33"/>
  <c r="J3286" i="33"/>
  <c r="P3292" i="33"/>
  <c r="AO1045" i="1"/>
  <c r="AQ1045" i="1" s="1"/>
  <c r="P3291" i="33"/>
  <c r="J3305" i="33"/>
  <c r="J3302" i="33"/>
  <c r="AO1029" i="1"/>
  <c r="AQ1029" i="1" s="1"/>
  <c r="P3308" i="33"/>
  <c r="AU1216" i="1"/>
  <c r="J3321" i="33"/>
  <c r="AO996" i="1"/>
  <c r="AQ996" i="1" s="1"/>
  <c r="P3324" i="33"/>
  <c r="P3334" i="33"/>
  <c r="P3332" i="33"/>
  <c r="P3335" i="33"/>
  <c r="P3356" i="33"/>
  <c r="AO1155" i="1"/>
  <c r="AQ1155" i="1" s="1"/>
  <c r="AU1042" i="1"/>
  <c r="J3374" i="33"/>
  <c r="AU1174" i="1"/>
  <c r="J3383" i="33"/>
  <c r="P3391" i="33"/>
  <c r="P3390" i="33"/>
  <c r="K3412" i="33"/>
  <c r="K3414" i="33"/>
  <c r="AT1040" i="1"/>
  <c r="I3429" i="33"/>
  <c r="K177" i="6"/>
  <c r="K178" i="6"/>
  <c r="AU1183" i="1"/>
  <c r="J3524" i="33"/>
  <c r="J3563" i="33"/>
  <c r="AU1311" i="1"/>
  <c r="J3492" i="33"/>
  <c r="P2375" i="33"/>
  <c r="P2842" i="33"/>
  <c r="V1101" i="1"/>
  <c r="V1186" i="1"/>
  <c r="AO1253" i="1"/>
  <c r="AQ1253" i="1" s="1"/>
  <c r="P184" i="6"/>
  <c r="P182" i="6"/>
  <c r="AT1313" i="1"/>
  <c r="I130" i="6"/>
  <c r="AT1288" i="1"/>
  <c r="I192" i="6"/>
  <c r="T152" i="7" s="1"/>
  <c r="U152" i="7" s="1"/>
  <c r="AT1289" i="1"/>
  <c r="I147" i="6"/>
  <c r="AT1290" i="1"/>
  <c r="I260" i="6"/>
  <c r="AT1291" i="1"/>
  <c r="I267" i="6"/>
  <c r="I266" i="6"/>
  <c r="AU1380" i="1"/>
  <c r="J296" i="6"/>
  <c r="P3582" i="33"/>
  <c r="AO1373" i="1"/>
  <c r="AQ1373" i="1" s="1"/>
  <c r="P213" i="6"/>
  <c r="P214" i="6"/>
  <c r="AO1424" i="1"/>
  <c r="AQ1424" i="1" s="1"/>
  <c r="P3192" i="33"/>
  <c r="K183" i="6"/>
  <c r="K134" i="6"/>
  <c r="K132" i="6"/>
  <c r="K136" i="6"/>
  <c r="I1114" i="33"/>
  <c r="AT27" i="1"/>
  <c r="I1219" i="33"/>
  <c r="AT5" i="1"/>
  <c r="AU71" i="1"/>
  <c r="J1220" i="33"/>
  <c r="AT113" i="1"/>
  <c r="I1255" i="33"/>
  <c r="AT102" i="1"/>
  <c r="I1281" i="33"/>
  <c r="K1301" i="33"/>
  <c r="K1300" i="33"/>
  <c r="K1318" i="33"/>
  <c r="K1316" i="33"/>
  <c r="AO88" i="1"/>
  <c r="AQ88" i="1" s="1"/>
  <c r="P1323" i="33"/>
  <c r="P1340" i="33"/>
  <c r="P1339" i="33"/>
  <c r="AO108" i="1"/>
  <c r="AQ108" i="1" s="1"/>
  <c r="P1346" i="33"/>
  <c r="P1345" i="33"/>
  <c r="P1352" i="33"/>
  <c r="P1344" i="33"/>
  <c r="P1353" i="33"/>
  <c r="P1354" i="33"/>
  <c r="AO149" i="1"/>
  <c r="AQ149" i="1" s="1"/>
  <c r="P1374" i="33"/>
  <c r="P1373" i="33"/>
  <c r="I1377" i="33"/>
  <c r="I1378" i="33"/>
  <c r="K1387" i="33"/>
  <c r="K1384" i="33"/>
  <c r="I1394" i="33"/>
  <c r="AT151" i="1"/>
  <c r="I1395" i="33"/>
  <c r="I1393" i="33"/>
  <c r="I1396" i="33"/>
  <c r="I1404" i="33"/>
  <c r="I1403" i="33"/>
  <c r="K1409" i="33"/>
  <c r="K1411" i="33"/>
  <c r="K1425" i="33"/>
  <c r="K1357" i="33"/>
  <c r="K1439" i="33"/>
  <c r="K1437" i="33"/>
  <c r="AT155" i="1"/>
  <c r="I1424" i="33"/>
  <c r="I1422" i="33"/>
  <c r="I1448" i="33"/>
  <c r="K1465" i="33"/>
  <c r="K1466" i="33"/>
  <c r="I1532" i="33"/>
  <c r="AT252" i="1"/>
  <c r="I1533" i="33"/>
  <c r="I1534" i="33"/>
  <c r="K1577" i="33"/>
  <c r="K1578" i="33"/>
  <c r="K1579" i="33"/>
  <c r="AT258" i="1"/>
  <c r="I1590" i="33"/>
  <c r="I1589" i="33"/>
  <c r="I1591" i="33"/>
  <c r="AT202" i="1"/>
  <c r="I1603" i="33"/>
  <c r="I1604" i="33"/>
  <c r="K1633" i="33"/>
  <c r="K1634" i="33"/>
  <c r="K1705" i="33"/>
  <c r="K1703" i="33"/>
  <c r="I1714" i="33"/>
  <c r="I1712" i="33"/>
  <c r="K1756" i="33"/>
  <c r="K1754" i="33"/>
  <c r="K1755" i="33"/>
  <c r="AT273" i="1"/>
  <c r="I1784" i="33"/>
  <c r="AT360" i="1"/>
  <c r="I1788" i="33"/>
  <c r="I1812" i="33"/>
  <c r="I1811" i="33"/>
  <c r="AT7" i="1"/>
  <c r="I1842" i="33"/>
  <c r="AT348" i="1"/>
  <c r="I1853" i="33"/>
  <c r="I1878" i="33"/>
  <c r="I1877" i="33"/>
  <c r="I1913" i="33"/>
  <c r="I1912" i="33"/>
  <c r="AT391" i="1"/>
  <c r="I1927" i="33"/>
  <c r="I1926" i="33"/>
  <c r="K1941" i="33"/>
  <c r="K1938" i="33"/>
  <c r="K1936" i="33"/>
  <c r="AT398" i="1"/>
  <c r="I1961" i="33"/>
  <c r="I1978" i="33"/>
  <c r="AT322" i="1"/>
  <c r="I1986" i="33"/>
  <c r="I1985" i="33"/>
  <c r="I1987" i="33"/>
  <c r="AT396" i="1"/>
  <c r="AU413" i="1"/>
  <c r="J2006" i="33"/>
  <c r="J2004" i="33"/>
  <c r="AU421" i="1"/>
  <c r="J2023" i="33"/>
  <c r="J2024" i="33"/>
  <c r="AO418" i="1"/>
  <c r="AQ418" i="1" s="1"/>
  <c r="P2086" i="33"/>
  <c r="P2087" i="33"/>
  <c r="AO447" i="1"/>
  <c r="AQ447" i="1" s="1"/>
  <c r="P2128" i="33"/>
  <c r="J2133" i="33"/>
  <c r="J2134" i="33"/>
  <c r="AU517" i="1"/>
  <c r="AU441" i="1"/>
  <c r="J2140" i="33"/>
  <c r="AU535" i="1"/>
  <c r="J2206" i="33"/>
  <c r="AU538" i="1"/>
  <c r="J2217" i="33"/>
  <c r="J2220" i="33"/>
  <c r="J2228" i="33"/>
  <c r="J2229" i="33"/>
  <c r="AU553" i="1"/>
  <c r="J2226" i="33"/>
  <c r="AU540" i="1"/>
  <c r="J2262" i="33"/>
  <c r="AU522" i="1"/>
  <c r="J2269" i="33"/>
  <c r="J2270" i="33"/>
  <c r="AO560" i="1"/>
  <c r="P2321" i="33"/>
  <c r="P2322" i="33"/>
  <c r="P2323" i="33"/>
  <c r="AU527" i="1"/>
  <c r="J2348" i="33"/>
  <c r="J2357" i="33"/>
  <c r="J2359" i="33"/>
  <c r="P2389" i="33"/>
  <c r="AO723" i="1"/>
  <c r="AQ723" i="1" s="1"/>
  <c r="P2390" i="33"/>
  <c r="P2408" i="33"/>
  <c r="P2410" i="33"/>
  <c r="P2409" i="33"/>
  <c r="AU448" i="1"/>
  <c r="J2418" i="33"/>
  <c r="J2416" i="33"/>
  <c r="K2495" i="33"/>
  <c r="K2499" i="33"/>
  <c r="K2492" i="33"/>
  <c r="K2491" i="33"/>
  <c r="K2494" i="33"/>
  <c r="J2886" i="33"/>
  <c r="K1253" i="33"/>
  <c r="P1166" i="33"/>
  <c r="I1531" i="33"/>
  <c r="P2238" i="33"/>
  <c r="P1324" i="33"/>
  <c r="I1930" i="33"/>
  <c r="I2508" i="33"/>
  <c r="K1759" i="33"/>
  <c r="I1974" i="33"/>
  <c r="P2809" i="33"/>
  <c r="P2241" i="33"/>
  <c r="I1592" i="33"/>
  <c r="P2232" i="33"/>
  <c r="P2089" i="33"/>
  <c r="J2175" i="33"/>
  <c r="J2823" i="33"/>
  <c r="K2573" i="33"/>
  <c r="K2605" i="33"/>
  <c r="K2606" i="33"/>
  <c r="I1925" i="33"/>
  <c r="J2381" i="33"/>
  <c r="I2666" i="33"/>
  <c r="J2397" i="33"/>
  <c r="I2889" i="33"/>
  <c r="K3424" i="33"/>
  <c r="J3373" i="33"/>
  <c r="P3276" i="33"/>
  <c r="P2189" i="33"/>
  <c r="P3333" i="33"/>
  <c r="P3578" i="33"/>
  <c r="I2656" i="33"/>
  <c r="P3456" i="33"/>
  <c r="I188" i="6"/>
  <c r="P3355" i="33"/>
  <c r="P2069" i="33"/>
  <c r="P3564" i="33"/>
  <c r="P2129" i="33"/>
  <c r="AU778" i="1"/>
  <c r="AO921" i="1"/>
  <c r="AQ921" i="1" s="1"/>
  <c r="AT1006" i="1"/>
  <c r="AO1394" i="1"/>
  <c r="AQ1394" i="1" s="1"/>
  <c r="I2741" i="33"/>
  <c r="AU531" i="1"/>
  <c r="AO403" i="1"/>
  <c r="AQ403" i="1" s="1"/>
  <c r="AT313" i="1"/>
  <c r="I1431" i="33"/>
  <c r="AQ68" i="1"/>
  <c r="AQ92" i="1"/>
  <c r="AQ124" i="1"/>
  <c r="AQ196" i="1"/>
  <c r="AQ228" i="1"/>
  <c r="AQ388" i="1"/>
  <c r="AQ404" i="1"/>
  <c r="AQ468" i="1"/>
  <c r="AQ924" i="1"/>
  <c r="AQ1004" i="1"/>
  <c r="AT1604" i="1"/>
  <c r="I3109" i="33"/>
  <c r="K1717" i="33"/>
  <c r="K1160" i="33"/>
  <c r="I2650" i="33"/>
  <c r="I2649" i="33"/>
  <c r="K156" i="6"/>
  <c r="I1467" i="33"/>
  <c r="I259" i="6"/>
  <c r="AQ140" i="1"/>
  <c r="AQ764" i="1"/>
  <c r="AQ772" i="1"/>
  <c r="AQ948" i="1"/>
  <c r="AQ932" i="1"/>
  <c r="V1190" i="1"/>
  <c r="J1356" i="33"/>
  <c r="J1354" i="33"/>
  <c r="AO459" i="1"/>
  <c r="AQ459" i="1" s="1"/>
  <c r="P2098" i="33"/>
  <c r="AT587" i="1"/>
  <c r="I2490" i="33"/>
  <c r="J3454" i="33"/>
  <c r="J3452" i="33"/>
  <c r="J3450" i="33"/>
  <c r="K2918" i="33"/>
  <c r="J2996" i="33"/>
  <c r="AU1215" i="1"/>
  <c r="I129" i="6"/>
  <c r="AQ148" i="1"/>
  <c r="K158" i="6"/>
  <c r="I126" i="6"/>
  <c r="P1349" i="33"/>
  <c r="I1195" i="33"/>
  <c r="I1131" i="33"/>
  <c r="I3111" i="33"/>
  <c r="K2551" i="33"/>
  <c r="I1442" i="33"/>
  <c r="K2609" i="33"/>
  <c r="J2022" i="33"/>
  <c r="I2770" i="33"/>
  <c r="K2569" i="33"/>
  <c r="P2814" i="33"/>
  <c r="I1392" i="33"/>
  <c r="P1350" i="33"/>
  <c r="K2493" i="33"/>
  <c r="J2136" i="33"/>
  <c r="I1460" i="33"/>
  <c r="I1880" i="33"/>
  <c r="I1716" i="33"/>
  <c r="K1940" i="33"/>
  <c r="K2652" i="33"/>
  <c r="I1914" i="33"/>
  <c r="K2565" i="33"/>
  <c r="K2650" i="33"/>
  <c r="K2607" i="33"/>
  <c r="J2016" i="33"/>
  <c r="I1430" i="33"/>
  <c r="I1458" i="33"/>
  <c r="K2608" i="33"/>
  <c r="J3384" i="33"/>
  <c r="P3336" i="33"/>
  <c r="I2571" i="33"/>
  <c r="P2883" i="33"/>
  <c r="I256" i="6"/>
  <c r="I3108" i="33"/>
  <c r="I171" i="6"/>
  <c r="P337" i="6"/>
  <c r="J3127" i="33"/>
  <c r="AO1060" i="1"/>
  <c r="AQ1060" i="1" s="1"/>
  <c r="AO1034" i="1"/>
  <c r="AQ1034" i="1" s="1"/>
  <c r="J3304" i="33"/>
  <c r="AQ636" i="1"/>
  <c r="AU687" i="1"/>
  <c r="AO621" i="1"/>
  <c r="AQ621" i="1" s="1"/>
  <c r="AO524" i="1"/>
  <c r="AQ524" i="1" s="1"/>
  <c r="AT318" i="1"/>
  <c r="AT224" i="1"/>
  <c r="AT85" i="1"/>
  <c r="J131" i="6"/>
  <c r="J128" i="6"/>
  <c r="V1383" i="1"/>
  <c r="P1139" i="33"/>
  <c r="AO16" i="1"/>
  <c r="AQ16" i="1" s="1"/>
  <c r="P1158" i="33"/>
  <c r="AO130" i="1"/>
  <c r="P1159" i="33"/>
  <c r="P1198" i="33"/>
  <c r="P1203" i="33"/>
  <c r="AU75" i="1"/>
  <c r="J1290" i="33"/>
  <c r="AU74" i="1"/>
  <c r="J1293" i="33"/>
  <c r="J1292" i="33"/>
  <c r="I3648" i="33"/>
  <c r="AT1356" i="1"/>
  <c r="I3650" i="33"/>
  <c r="K138" i="6"/>
  <c r="K141" i="6"/>
  <c r="AO1447" i="1"/>
  <c r="AQ1447" i="1" s="1"/>
  <c r="P348" i="6"/>
  <c r="P125" i="6"/>
  <c r="K3636" i="33"/>
  <c r="K140" i="6"/>
  <c r="J188" i="6"/>
  <c r="J199" i="6"/>
  <c r="P3620" i="33"/>
  <c r="J347" i="6"/>
  <c r="V513" i="1"/>
  <c r="V1210" i="1"/>
  <c r="AU1285" i="1"/>
  <c r="J3455" i="33"/>
  <c r="AU8" i="1"/>
  <c r="J1239" i="33"/>
  <c r="K1320" i="33"/>
  <c r="K1181" i="33"/>
  <c r="K1321" i="33"/>
  <c r="AO50" i="1"/>
  <c r="AQ50" i="1" s="1"/>
  <c r="P1143" i="33"/>
  <c r="K1186" i="33"/>
  <c r="K1183" i="33"/>
  <c r="I1224" i="33"/>
  <c r="I1226" i="33"/>
  <c r="K1236" i="33"/>
  <c r="K1235" i="33"/>
  <c r="K1247" i="33"/>
  <c r="K1245" i="33"/>
  <c r="J1262" i="33"/>
  <c r="J1263" i="33"/>
  <c r="AO103" i="1"/>
  <c r="AQ103" i="1" s="1"/>
  <c r="P1181" i="33"/>
  <c r="AU195" i="1"/>
  <c r="J1337" i="33"/>
  <c r="J1338" i="33"/>
  <c r="AU55" i="1"/>
  <c r="AT179" i="1"/>
  <c r="I1522" i="33"/>
  <c r="I1526" i="33"/>
  <c r="AQ1284" i="1"/>
  <c r="J247" i="6"/>
  <c r="J242" i="6"/>
  <c r="AQ1340" i="1"/>
  <c r="K1148" i="33"/>
  <c r="K1246" i="33"/>
  <c r="I1153" i="33"/>
  <c r="I1229" i="33"/>
  <c r="I1159" i="33"/>
  <c r="K1239" i="33"/>
  <c r="K1146" i="33"/>
  <c r="P1172" i="33"/>
  <c r="I3651" i="33"/>
  <c r="J3457" i="33"/>
  <c r="J208" i="6"/>
  <c r="K221" i="6"/>
  <c r="J272" i="6"/>
  <c r="K348" i="6"/>
  <c r="P349" i="6"/>
  <c r="P1161" i="33"/>
  <c r="J3617" i="33"/>
  <c r="I3339" i="33"/>
  <c r="AT1043" i="1"/>
  <c r="AU1083" i="1"/>
  <c r="J2602" i="33"/>
  <c r="AU796" i="1"/>
  <c r="J2759" i="33"/>
  <c r="I3031" i="33"/>
  <c r="AT862" i="1"/>
  <c r="I1588" i="33"/>
  <c r="I1587" i="33"/>
  <c r="AT394" i="1"/>
  <c r="I1909" i="33"/>
  <c r="J2097" i="33"/>
  <c r="AU459" i="1"/>
  <c r="AU500" i="1"/>
  <c r="J2193" i="33"/>
  <c r="AU580" i="1"/>
  <c r="J2371" i="33"/>
  <c r="P2462" i="33"/>
  <c r="AO662" i="1"/>
  <c r="AQ662" i="1" s="1"/>
  <c r="AU1078" i="1"/>
  <c r="J2879" i="33"/>
  <c r="I2899" i="33"/>
  <c r="AT906" i="1"/>
  <c r="I3174" i="33"/>
  <c r="AT1101" i="1"/>
  <c r="K1554" i="33"/>
  <c r="K1624" i="33"/>
  <c r="K1538" i="33"/>
  <c r="K1622" i="33"/>
  <c r="I1630" i="33"/>
  <c r="I1585" i="33"/>
  <c r="I1738" i="33"/>
  <c r="I1846" i="33"/>
  <c r="I1672" i="33"/>
  <c r="K2119" i="33"/>
  <c r="P2457" i="33"/>
  <c r="I2555" i="33"/>
  <c r="J2151" i="33"/>
  <c r="P2673" i="33"/>
  <c r="P1974" i="33"/>
  <c r="P1656" i="33"/>
  <c r="P1401" i="33"/>
  <c r="P2031" i="33"/>
  <c r="J2711" i="33"/>
  <c r="I2418" i="33"/>
  <c r="J1915" i="33"/>
  <c r="AU120" i="1"/>
  <c r="AT1017" i="1"/>
  <c r="J2964" i="33"/>
  <c r="J2910" i="33"/>
  <c r="AT714" i="1"/>
  <c r="J2368" i="33"/>
  <c r="AU551" i="1"/>
  <c r="AO390" i="1"/>
  <c r="AQ390" i="1" s="1"/>
  <c r="AT642" i="1"/>
  <c r="I2149" i="33"/>
  <c r="J1552" i="33"/>
  <c r="AQ1443" i="1"/>
  <c r="AT1118" i="1"/>
  <c r="V104" i="1"/>
  <c r="V554" i="1"/>
  <c r="V587" i="1"/>
  <c r="V852" i="1"/>
  <c r="V901" i="1"/>
  <c r="AQ920" i="1"/>
  <c r="V964" i="1"/>
  <c r="AQ995" i="1"/>
  <c r="V1057" i="1"/>
  <c r="AQ1159" i="1"/>
  <c r="AQ1110" i="1"/>
  <c r="AQ1091" i="1"/>
  <c r="AQ1111" i="1"/>
  <c r="AQ1158" i="1"/>
  <c r="AQ1187" i="1"/>
  <c r="AQ1283" i="1"/>
  <c r="AQ1367" i="1"/>
  <c r="AQ1318" i="1"/>
  <c r="AQ150" i="1"/>
  <c r="AQ584" i="1"/>
  <c r="AQ640" i="1"/>
  <c r="AQ1474" i="1"/>
  <c r="AQ1555" i="1"/>
  <c r="K192" i="6"/>
  <c r="K193" i="6"/>
  <c r="K191" i="6"/>
  <c r="K187" i="6"/>
  <c r="K189" i="6"/>
  <c r="K188" i="6"/>
  <c r="AT1415" i="1"/>
  <c r="I327" i="6"/>
  <c r="P1341" i="33"/>
  <c r="P1338" i="33"/>
  <c r="I1357" i="33"/>
  <c r="I1360" i="33"/>
  <c r="I1358" i="33"/>
  <c r="AT275" i="1"/>
  <c r="I1359" i="33"/>
  <c r="AT120" i="1"/>
  <c r="I1494" i="33"/>
  <c r="K1525" i="33"/>
  <c r="K1523" i="33"/>
  <c r="K1670" i="33"/>
  <c r="K1671" i="33"/>
  <c r="K1672" i="33"/>
  <c r="K1669" i="33"/>
  <c r="K1797" i="33"/>
  <c r="K1796" i="33"/>
  <c r="AT422" i="1"/>
  <c r="I1915" i="33"/>
  <c r="K1984" i="33"/>
  <c r="K1983" i="33"/>
  <c r="K1982" i="33"/>
  <c r="P2114" i="33"/>
  <c r="P2112" i="33"/>
  <c r="P2116" i="33"/>
  <c r="AO450" i="1"/>
  <c r="AQ450" i="1" s="1"/>
  <c r="P2153" i="33"/>
  <c r="AO497" i="1"/>
  <c r="AQ497" i="1" s="1"/>
  <c r="P2154" i="33"/>
  <c r="AO347" i="1"/>
  <c r="AQ347" i="1" s="1"/>
  <c r="P2288" i="33"/>
  <c r="P2315" i="33"/>
  <c r="AO572" i="1"/>
  <c r="AQ572" i="1" s="1"/>
  <c r="AO593" i="1"/>
  <c r="AQ593" i="1" s="1"/>
  <c r="P2366" i="33"/>
  <c r="P2368" i="33"/>
  <c r="P2367" i="33"/>
  <c r="P2392" i="33"/>
  <c r="AO586" i="1"/>
  <c r="AQ586" i="1" s="1"/>
  <c r="K2556" i="33"/>
  <c r="K2555" i="33"/>
  <c r="K2553" i="33"/>
  <c r="K2554" i="33"/>
  <c r="K2557" i="33"/>
  <c r="I2909" i="33"/>
  <c r="AT1071" i="1"/>
  <c r="I2911" i="33"/>
  <c r="I2914" i="33"/>
  <c r="I2913" i="33"/>
  <c r="J3000" i="33"/>
  <c r="J2998" i="33"/>
  <c r="AU977" i="1"/>
  <c r="J3006" i="33"/>
  <c r="J2995" i="33"/>
  <c r="J3005" i="33"/>
  <c r="J2994" i="33"/>
  <c r="J3002" i="33"/>
  <c r="J3001" i="33"/>
  <c r="AU921" i="1"/>
  <c r="J3045" i="33"/>
  <c r="J3047" i="33"/>
  <c r="J3044" i="33"/>
  <c r="J3048" i="33"/>
  <c r="AU1016" i="1"/>
  <c r="J3126" i="33"/>
  <c r="I3184" i="33"/>
  <c r="AT1104" i="1"/>
  <c r="I3185" i="33"/>
  <c r="I3183" i="33"/>
  <c r="AT969" i="1"/>
  <c r="I3219" i="33"/>
  <c r="I3221" i="33"/>
  <c r="I3222" i="33"/>
  <c r="I3218" i="33"/>
  <c r="I3220" i="33"/>
  <c r="AU1045" i="1"/>
  <c r="J3292" i="33"/>
  <c r="J3291" i="33"/>
  <c r="J3332" i="33"/>
  <c r="J3335" i="33"/>
  <c r="J3333" i="33"/>
  <c r="J3334" i="33"/>
  <c r="AU1148" i="1"/>
  <c r="P3370" i="33"/>
  <c r="P3371" i="33"/>
  <c r="AT1162" i="1"/>
  <c r="I3424" i="33"/>
  <c r="AO1214" i="1"/>
  <c r="AQ1214" i="1" s="1"/>
  <c r="P3534" i="33"/>
  <c r="P3535" i="33"/>
  <c r="P3623" i="33"/>
  <c r="AO1315" i="1"/>
  <c r="AQ1315" i="1" s="1"/>
  <c r="P3625" i="33"/>
  <c r="P3624" i="33"/>
  <c r="J3046" i="33"/>
  <c r="K3405" i="33"/>
  <c r="J3275" i="33"/>
  <c r="P3627" i="33"/>
  <c r="P3554" i="33"/>
  <c r="I3426" i="33"/>
  <c r="J1351" i="33"/>
  <c r="P2831" i="33"/>
  <c r="K2477" i="33"/>
  <c r="J1350" i="33"/>
  <c r="I1495" i="33"/>
  <c r="I1425" i="33"/>
  <c r="J3124" i="33"/>
  <c r="I140" i="6"/>
  <c r="I2912" i="33"/>
  <c r="I1207" i="33"/>
  <c r="I2927" i="33"/>
  <c r="P3353" i="33"/>
  <c r="AO55" i="1"/>
  <c r="AQ55" i="1" s="1"/>
  <c r="AO1168" i="1"/>
  <c r="AQ1168" i="1" s="1"/>
  <c r="K268" i="6"/>
  <c r="K266" i="6"/>
  <c r="K267" i="6"/>
  <c r="K1130" i="33"/>
  <c r="K1159" i="33"/>
  <c r="AO98" i="1"/>
  <c r="AQ98" i="1" s="1"/>
  <c r="P1176" i="33"/>
  <c r="P1177" i="33"/>
  <c r="P1174" i="33"/>
  <c r="K1286" i="33"/>
  <c r="K1285" i="33"/>
  <c r="K1287" i="33"/>
  <c r="K1284" i="33"/>
  <c r="P1333" i="33"/>
  <c r="AO195" i="1"/>
  <c r="AQ195" i="1" s="1"/>
  <c r="P1336" i="33"/>
  <c r="P1334" i="33"/>
  <c r="P1335" i="33"/>
  <c r="P1337" i="33"/>
  <c r="P1332" i="33"/>
  <c r="AT198" i="1"/>
  <c r="I1410" i="33"/>
  <c r="I1411" i="33"/>
  <c r="I1409" i="33"/>
  <c r="AT178" i="1"/>
  <c r="I1578" i="33"/>
  <c r="I1577" i="33"/>
  <c r="K1685" i="33"/>
  <c r="K1686" i="33"/>
  <c r="AT272" i="1"/>
  <c r="I1755" i="33"/>
  <c r="I1754" i="33"/>
  <c r="I1756" i="33"/>
  <c r="I1941" i="33"/>
  <c r="I1937" i="33"/>
  <c r="I1939" i="33"/>
  <c r="AT382" i="1"/>
  <c r="I1936" i="33"/>
  <c r="AO417" i="1"/>
  <c r="AQ417" i="1" s="1"/>
  <c r="P2060" i="33"/>
  <c r="AU447" i="1"/>
  <c r="J2127" i="33"/>
  <c r="P2190" i="33"/>
  <c r="AO775" i="1"/>
  <c r="AQ775" i="1" s="1"/>
  <c r="AO526" i="1"/>
  <c r="AQ526" i="1" s="1"/>
  <c r="P2285" i="33"/>
  <c r="P2284" i="33"/>
  <c r="AU575" i="1"/>
  <c r="J2337" i="33"/>
  <c r="AU723" i="1"/>
  <c r="J2391" i="33"/>
  <c r="J2466" i="33"/>
  <c r="J2465" i="33"/>
  <c r="AU616" i="1"/>
  <c r="AT934" i="1"/>
  <c r="I2497" i="33"/>
  <c r="I2492" i="33"/>
  <c r="I2499" i="33"/>
  <c r="I2496" i="33"/>
  <c r="I2493" i="33"/>
  <c r="I2491" i="33"/>
  <c r="I2494" i="33"/>
  <c r="I2500" i="33"/>
  <c r="AT737" i="1"/>
  <c r="I2549" i="33"/>
  <c r="I2550" i="33"/>
  <c r="AT542" i="1"/>
  <c r="I2575" i="33"/>
  <c r="I2574" i="33"/>
  <c r="I2572" i="33"/>
  <c r="I2570" i="33"/>
  <c r="I2573" i="33"/>
  <c r="AT756" i="1"/>
  <c r="I2652" i="33"/>
  <c r="I2651" i="33"/>
  <c r="K2701" i="33"/>
  <c r="K2698" i="33"/>
  <c r="K2785" i="33"/>
  <c r="K2784" i="33"/>
  <c r="J2866" i="33"/>
  <c r="AU889" i="1"/>
  <c r="AT850" i="1"/>
  <c r="I2926" i="33"/>
  <c r="J2989" i="33"/>
  <c r="AU1060" i="1"/>
  <c r="J2992" i="33"/>
  <c r="J3040" i="33"/>
  <c r="AU961" i="1"/>
  <c r="J3042" i="33"/>
  <c r="J3041" i="33"/>
  <c r="P3086" i="33"/>
  <c r="P3085" i="33"/>
  <c r="P3087" i="33"/>
  <c r="AO1011" i="1"/>
  <c r="AQ1011" i="1" s="1"/>
  <c r="P3147" i="33"/>
  <c r="AO962" i="1"/>
  <c r="K3206" i="33"/>
  <c r="K3204" i="33"/>
  <c r="K3205" i="33"/>
  <c r="K3203" i="33"/>
  <c r="K3252" i="33"/>
  <c r="K3253" i="33"/>
  <c r="AO1050" i="1"/>
  <c r="AQ1050" i="1" s="1"/>
  <c r="P3309" i="33"/>
  <c r="P3311" i="33"/>
  <c r="P3310" i="33"/>
  <c r="P3312" i="33"/>
  <c r="AO1118" i="1"/>
  <c r="AQ1118" i="1" s="1"/>
  <c r="P3343" i="33"/>
  <c r="K3410" i="33"/>
  <c r="K3411" i="33"/>
  <c r="AO1164" i="1"/>
  <c r="AQ1164" i="1" s="1"/>
  <c r="P3495" i="33"/>
  <c r="P3527" i="33"/>
  <c r="AO1228" i="1"/>
  <c r="AQ1228" i="1" s="1"/>
  <c r="I1465" i="33"/>
  <c r="I1466" i="33"/>
  <c r="K162" i="6"/>
  <c r="P2878" i="33"/>
  <c r="K2562" i="33"/>
  <c r="J2464" i="33"/>
  <c r="P2356" i="33"/>
  <c r="P2148" i="33"/>
  <c r="K1884" i="33"/>
  <c r="K1522" i="33"/>
  <c r="I1318" i="33"/>
  <c r="K1142" i="33"/>
  <c r="K1158" i="33"/>
  <c r="I3198" i="33"/>
  <c r="J3289" i="33"/>
  <c r="P374" i="6"/>
  <c r="AO1417" i="1"/>
  <c r="AQ1417" i="1" s="1"/>
  <c r="P375" i="6"/>
  <c r="P376" i="6"/>
  <c r="AT94" i="1"/>
  <c r="I1192" i="33"/>
  <c r="I1191" i="33"/>
  <c r="P1263" i="33"/>
  <c r="P1262" i="33"/>
  <c r="P1264" i="33"/>
  <c r="AO22" i="1"/>
  <c r="AQ22" i="1" s="1"/>
  <c r="AU149" i="1"/>
  <c r="J1373" i="33"/>
  <c r="K1508" i="33"/>
  <c r="K1507" i="33"/>
  <c r="K1510" i="33"/>
  <c r="K1509" i="33"/>
  <c r="K1630" i="33"/>
  <c r="K1631" i="33"/>
  <c r="K1681" i="33"/>
  <c r="K1680" i="33"/>
  <c r="K1677" i="33"/>
  <c r="K1682" i="33"/>
  <c r="AT332" i="1"/>
  <c r="I1721" i="33"/>
  <c r="I1722" i="33"/>
  <c r="AT325" i="1"/>
  <c r="I1766" i="33"/>
  <c r="K1910" i="33"/>
  <c r="K1909" i="33"/>
  <c r="AU403" i="1"/>
  <c r="J2002" i="33"/>
  <c r="J2003" i="33"/>
  <c r="AO452" i="1"/>
  <c r="AQ452" i="1" s="1"/>
  <c r="P2090" i="33"/>
  <c r="P2092" i="33"/>
  <c r="P2091" i="33"/>
  <c r="P2093" i="33"/>
  <c r="P2125" i="33"/>
  <c r="AO455" i="1"/>
  <c r="AQ455" i="1" s="1"/>
  <c r="P2126" i="33"/>
  <c r="P2124" i="33"/>
  <c r="AO565" i="1"/>
  <c r="AQ565" i="1" s="1"/>
  <c r="P2200" i="33"/>
  <c r="P2199" i="33"/>
  <c r="AU478" i="1"/>
  <c r="J2240" i="33"/>
  <c r="J2239" i="33"/>
  <c r="J2238" i="33"/>
  <c r="P2328" i="33"/>
  <c r="P2325" i="33"/>
  <c r="P2326" i="33"/>
  <c r="P2327" i="33"/>
  <c r="AO568" i="1"/>
  <c r="AQ568" i="1" s="1"/>
  <c r="P2378" i="33"/>
  <c r="AO668" i="1"/>
  <c r="AQ668" i="1" s="1"/>
  <c r="P2440" i="33"/>
  <c r="K2513" i="33"/>
  <c r="K2512" i="33"/>
  <c r="I2604" i="33"/>
  <c r="I2606" i="33"/>
  <c r="I2608" i="33"/>
  <c r="AT695" i="1"/>
  <c r="I2603" i="33"/>
  <c r="I2711" i="33"/>
  <c r="AT791" i="1"/>
  <c r="I2713" i="33"/>
  <c r="I2714" i="33"/>
  <c r="I2712" i="33"/>
  <c r="J2812" i="33"/>
  <c r="J2816" i="33"/>
  <c r="J2814" i="33"/>
  <c r="J2810" i="33"/>
  <c r="J2815" i="33"/>
  <c r="AO886" i="1"/>
  <c r="AQ886" i="1" s="1"/>
  <c r="P2861" i="33"/>
  <c r="P2860" i="33"/>
  <c r="K2916" i="33"/>
  <c r="K2917" i="33"/>
  <c r="AT943" i="1"/>
  <c r="I2946" i="33"/>
  <c r="AO802" i="1"/>
  <c r="AQ802" i="1" s="1"/>
  <c r="P3039" i="33"/>
  <c r="P212" i="6"/>
  <c r="P211" i="6"/>
  <c r="AO1343" i="1"/>
  <c r="AQ1343" i="1" s="1"/>
  <c r="I3173" i="33"/>
  <c r="AT915" i="1"/>
  <c r="I3212" i="33"/>
  <c r="I3217" i="33"/>
  <c r="I3214" i="33"/>
  <c r="I3216" i="33"/>
  <c r="I3215" i="33"/>
  <c r="AT1061" i="1"/>
  <c r="I3211" i="33"/>
  <c r="I3210" i="33"/>
  <c r="I3213" i="33"/>
  <c r="AO1044" i="1"/>
  <c r="AQ1044" i="1" s="1"/>
  <c r="P3265" i="33"/>
  <c r="P3268" i="33"/>
  <c r="P3267" i="33"/>
  <c r="P3266" i="33"/>
  <c r="P3270" i="33"/>
  <c r="P3273" i="33"/>
  <c r="P3269" i="33"/>
  <c r="P3272" i="33"/>
  <c r="J3318" i="33"/>
  <c r="AU1023" i="1"/>
  <c r="K3402" i="33"/>
  <c r="K3403" i="33"/>
  <c r="AT1347" i="1"/>
  <c r="I179" i="6"/>
  <c r="I178" i="6"/>
  <c r="I177" i="6"/>
  <c r="AO1327" i="1"/>
  <c r="AQ1327" i="1" s="1"/>
  <c r="P3497" i="33"/>
  <c r="P3496" i="33"/>
  <c r="AU1394" i="1"/>
  <c r="J3565" i="33"/>
  <c r="J3567" i="33"/>
  <c r="J3566" i="33"/>
  <c r="J3568" i="33"/>
  <c r="AT1331" i="1"/>
  <c r="I3634" i="33"/>
  <c r="AT1448" i="1"/>
  <c r="I254" i="6"/>
  <c r="I255" i="6"/>
  <c r="K148" i="6"/>
  <c r="P3028" i="33"/>
  <c r="I2944" i="33"/>
  <c r="I1767" i="33"/>
  <c r="J2410" i="33"/>
  <c r="J1355" i="33"/>
  <c r="J3336" i="33"/>
  <c r="I1757" i="33"/>
  <c r="P2877" i="33"/>
  <c r="J2809" i="33"/>
  <c r="K2702" i="33"/>
  <c r="I2607" i="33"/>
  <c r="K2563" i="33"/>
  <c r="K2511" i="33"/>
  <c r="J2467" i="33"/>
  <c r="P2351" i="33"/>
  <c r="P1874" i="33"/>
  <c r="P2059" i="33"/>
  <c r="K1678" i="33"/>
  <c r="K1524" i="33"/>
  <c r="J1374" i="33"/>
  <c r="I1316" i="33"/>
  <c r="I2908" i="33"/>
  <c r="J3004" i="33"/>
  <c r="K2618" i="33"/>
  <c r="K1138" i="33"/>
  <c r="AO923" i="1"/>
  <c r="AQ923" i="1" s="1"/>
  <c r="K129" i="6"/>
  <c r="K126" i="6"/>
  <c r="P343" i="6"/>
  <c r="P345" i="6"/>
  <c r="P346" i="6"/>
  <c r="K1152" i="33"/>
  <c r="K1155" i="33"/>
  <c r="K1198" i="33"/>
  <c r="K1200" i="33"/>
  <c r="K1202" i="33"/>
  <c r="AO133" i="1"/>
  <c r="AQ133" i="1" s="1"/>
  <c r="P1371" i="33"/>
  <c r="P1369" i="33"/>
  <c r="K1470" i="33"/>
  <c r="K1469" i="33"/>
  <c r="K1468" i="33"/>
  <c r="K1472" i="33"/>
  <c r="AT211" i="1"/>
  <c r="I1504" i="33"/>
  <c r="I1599" i="33"/>
  <c r="I1601" i="33"/>
  <c r="AT164" i="1"/>
  <c r="AT264" i="1"/>
  <c r="I1688" i="33"/>
  <c r="I1687" i="33"/>
  <c r="I1689" i="33"/>
  <c r="K1882" i="33"/>
  <c r="K1883" i="33"/>
  <c r="AO430" i="1"/>
  <c r="AQ430" i="1" s="1"/>
  <c r="P2118" i="33"/>
  <c r="P2117" i="33"/>
  <c r="AO484" i="1"/>
  <c r="AQ484" i="1" s="1"/>
  <c r="P2155" i="33"/>
  <c r="AO530" i="1"/>
  <c r="AQ530" i="1" s="1"/>
  <c r="P2292" i="33"/>
  <c r="P2294" i="33"/>
  <c r="P2293" i="33"/>
  <c r="P2295" i="33"/>
  <c r="P2296" i="33"/>
  <c r="P2291" i="33"/>
  <c r="AO580" i="1"/>
  <c r="AQ580" i="1" s="1"/>
  <c r="P2373" i="33"/>
  <c r="P2374" i="33"/>
  <c r="P2372" i="33"/>
  <c r="K2471" i="33"/>
  <c r="K2476" i="33"/>
  <c r="K2472" i="33"/>
  <c r="K2473" i="33"/>
  <c r="K2475" i="33"/>
  <c r="K2469" i="33"/>
  <c r="K2468" i="33"/>
  <c r="K2480" i="33"/>
  <c r="K2474" i="33"/>
  <c r="K2478" i="33"/>
  <c r="K2481" i="33"/>
  <c r="K2502" i="33"/>
  <c r="K2501" i="33"/>
  <c r="AT728" i="1"/>
  <c r="I2566" i="33"/>
  <c r="I2564" i="33"/>
  <c r="I2565" i="33"/>
  <c r="K2729" i="33"/>
  <c r="K2532" i="33"/>
  <c r="K2728" i="33"/>
  <c r="K2733" i="33"/>
  <c r="K2730" i="33"/>
  <c r="K2731" i="33"/>
  <c r="P2832" i="33"/>
  <c r="P2827" i="33"/>
  <c r="P2829" i="33"/>
  <c r="P2828" i="33"/>
  <c r="P2830" i="33"/>
  <c r="P2833" i="33"/>
  <c r="AO975" i="1"/>
  <c r="AQ975" i="1" s="1"/>
  <c r="AU740" i="1"/>
  <c r="J2867" i="33"/>
  <c r="K2941" i="33"/>
  <c r="K2940" i="33"/>
  <c r="K2939" i="33"/>
  <c r="K2937" i="33"/>
  <c r="P3022" i="33"/>
  <c r="P3025" i="33"/>
  <c r="AO853" i="1"/>
  <c r="AQ853" i="1" s="1"/>
  <c r="P3024" i="33"/>
  <c r="P3023" i="33"/>
  <c r="P3054" i="33"/>
  <c r="AO1102" i="1"/>
  <c r="AQ1102" i="1" s="1"/>
  <c r="P3055" i="33"/>
  <c r="K3208" i="33"/>
  <c r="K3207" i="33"/>
  <c r="AU1131" i="1"/>
  <c r="J3276" i="33"/>
  <c r="J3322" i="33"/>
  <c r="AU1024" i="1"/>
  <c r="J3356" i="33"/>
  <c r="AU1155" i="1"/>
  <c r="AT1178" i="1"/>
  <c r="I3414" i="33"/>
  <c r="I3412" i="33"/>
  <c r="I3413" i="33"/>
  <c r="P3471" i="33"/>
  <c r="AO1152" i="1"/>
  <c r="AQ1152" i="1" s="1"/>
  <c r="P3470" i="33"/>
  <c r="AU1276" i="1"/>
  <c r="J3658" i="33"/>
  <c r="J3659" i="33"/>
  <c r="J3660" i="33"/>
  <c r="J2241" i="33"/>
  <c r="J3355" i="33"/>
  <c r="P3282" i="33"/>
  <c r="J2813" i="33"/>
  <c r="J2811" i="33"/>
  <c r="K2700" i="33"/>
  <c r="I2605" i="33"/>
  <c r="K2559" i="33"/>
  <c r="K2505" i="33"/>
  <c r="J2389" i="33"/>
  <c r="P1873" i="33"/>
  <c r="J2128" i="33"/>
  <c r="P2058" i="33"/>
  <c r="K1848" i="33"/>
  <c r="K1526" i="33"/>
  <c r="J1372" i="33"/>
  <c r="I1317" i="33"/>
  <c r="I1723" i="33"/>
  <c r="J2988" i="33"/>
  <c r="K2470" i="33"/>
  <c r="K1775" i="33"/>
  <c r="P1214" i="33"/>
  <c r="I1293" i="33"/>
  <c r="P262" i="6"/>
  <c r="P261" i="6"/>
  <c r="P265" i="6"/>
  <c r="I1253" i="33"/>
  <c r="I1250" i="33"/>
  <c r="I1251" i="33"/>
  <c r="I1252" i="33"/>
  <c r="AT105" i="1"/>
  <c r="I1249" i="33"/>
  <c r="I1289" i="33"/>
  <c r="I1290" i="33"/>
  <c r="I1288" i="33"/>
  <c r="AT75" i="1"/>
  <c r="AU73" i="1"/>
  <c r="J1339" i="33"/>
  <c r="J1340" i="33"/>
  <c r="K1416" i="33"/>
  <c r="K1415" i="33"/>
  <c r="K1586" i="33"/>
  <c r="K1588" i="33"/>
  <c r="K1585" i="33"/>
  <c r="K1649" i="33"/>
  <c r="K1646" i="33"/>
  <c r="K1647" i="33"/>
  <c r="AT227" i="1"/>
  <c r="I1704" i="33"/>
  <c r="I1705" i="33"/>
  <c r="I1759" i="33"/>
  <c r="I1758" i="33"/>
  <c r="AT331" i="1"/>
  <c r="AT180" i="1"/>
  <c r="I1785" i="33"/>
  <c r="K1964" i="33"/>
  <c r="K1968" i="33"/>
  <c r="AU418" i="1"/>
  <c r="J2086" i="33"/>
  <c r="J2089" i="33"/>
  <c r="J2087" i="33"/>
  <c r="AO472" i="1"/>
  <c r="AQ472" i="1" s="1"/>
  <c r="P2149" i="33"/>
  <c r="P2150" i="33"/>
  <c r="P2145" i="33"/>
  <c r="P2147" i="33"/>
  <c r="P2258" i="33"/>
  <c r="P2259" i="33"/>
  <c r="AO551" i="1"/>
  <c r="AQ551" i="1" s="1"/>
  <c r="P2260" i="33"/>
  <c r="P2350" i="33"/>
  <c r="AO882" i="1"/>
  <c r="AQ882" i="1" s="1"/>
  <c r="P2353" i="33"/>
  <c r="P2355" i="33"/>
  <c r="P2349" i="33"/>
  <c r="I2683" i="33"/>
  <c r="I2684" i="33"/>
  <c r="I2685" i="33"/>
  <c r="I2686" i="33"/>
  <c r="AO837" i="1"/>
  <c r="AQ837" i="1" s="1"/>
  <c r="P2798" i="33"/>
  <c r="P2799" i="33"/>
  <c r="P2797" i="33"/>
  <c r="P2841" i="33"/>
  <c r="AO919" i="1"/>
  <c r="AQ919" i="1" s="1"/>
  <c r="P2839" i="33"/>
  <c r="P2875" i="33"/>
  <c r="P2873" i="33"/>
  <c r="AO810" i="1"/>
  <c r="AQ810" i="1" s="1"/>
  <c r="P2874" i="33"/>
  <c r="I2942" i="33"/>
  <c r="AT1192" i="1"/>
  <c r="AO862" i="1"/>
  <c r="AQ862" i="1" s="1"/>
  <c r="P3031" i="33"/>
  <c r="P3030" i="33"/>
  <c r="P3060" i="33"/>
  <c r="P3064" i="33"/>
  <c r="P3061" i="33"/>
  <c r="P3062" i="33"/>
  <c r="P3065" i="33"/>
  <c r="P3056" i="33"/>
  <c r="AO965" i="1"/>
  <c r="AQ965" i="1" s="1"/>
  <c r="P3058" i="33"/>
  <c r="P3057" i="33"/>
  <c r="J3150" i="33"/>
  <c r="AU1064" i="1"/>
  <c r="J3154" i="33"/>
  <c r="J3151" i="33"/>
  <c r="J3155" i="33"/>
  <c r="J3149" i="33"/>
  <c r="J3152" i="33"/>
  <c r="J3153" i="33"/>
  <c r="K3189" i="33"/>
  <c r="K3188" i="33"/>
  <c r="I3247" i="33"/>
  <c r="I3243" i="33"/>
  <c r="AT983" i="1"/>
  <c r="I3244" i="33"/>
  <c r="I3245" i="33"/>
  <c r="I3246" i="33"/>
  <c r="J3308" i="33"/>
  <c r="AU1029" i="1"/>
  <c r="AO1108" i="1"/>
  <c r="AQ1108" i="1" s="1"/>
  <c r="P3349" i="33"/>
  <c r="P3350" i="33"/>
  <c r="P3351" i="33"/>
  <c r="P3345" i="33"/>
  <c r="K3406" i="33"/>
  <c r="K3404" i="33"/>
  <c r="K3408" i="33"/>
  <c r="K3407" i="33"/>
  <c r="J3464" i="33"/>
  <c r="AU1096" i="1"/>
  <c r="AU1329" i="1"/>
  <c r="J3521" i="33"/>
  <c r="J3522" i="33"/>
  <c r="P3553" i="33"/>
  <c r="AO1257" i="1"/>
  <c r="AQ1257" i="1" s="1"/>
  <c r="J3620" i="33"/>
  <c r="J3622" i="33"/>
  <c r="AU1309" i="1"/>
  <c r="J3621" i="33"/>
  <c r="J3619" i="33"/>
  <c r="J3618" i="33"/>
  <c r="I1938" i="33"/>
  <c r="J2408" i="33"/>
  <c r="J2999" i="33"/>
  <c r="K1587" i="33"/>
  <c r="J2237" i="33"/>
  <c r="J3003" i="33"/>
  <c r="P3341" i="33"/>
  <c r="P3281" i="33"/>
  <c r="P2846" i="33"/>
  <c r="K2699" i="33"/>
  <c r="I2610" i="33"/>
  <c r="I2495" i="33"/>
  <c r="J2390" i="33"/>
  <c r="P2352" i="33"/>
  <c r="P2286" i="33"/>
  <c r="J2129" i="33"/>
  <c r="P2037" i="33"/>
  <c r="K1847" i="33"/>
  <c r="K1648" i="33"/>
  <c r="P1370" i="33"/>
  <c r="P2113" i="33"/>
  <c r="J2990" i="33"/>
  <c r="J2868" i="33"/>
  <c r="K3190" i="33"/>
  <c r="I3223" i="33"/>
  <c r="I1254" i="33"/>
  <c r="AO537" i="1"/>
  <c r="AQ537" i="1" s="1"/>
  <c r="AU1408" i="1"/>
  <c r="J166" i="6"/>
  <c r="J167" i="6"/>
  <c r="J164" i="6"/>
  <c r="K375" i="6"/>
  <c r="K376" i="6"/>
  <c r="K374" i="6"/>
  <c r="J1166" i="33"/>
  <c r="AU24" i="1"/>
  <c r="J1167" i="33"/>
  <c r="K1230" i="33"/>
  <c r="K1229" i="33"/>
  <c r="K1225" i="33"/>
  <c r="K1233" i="33"/>
  <c r="K1228" i="33"/>
  <c r="K1227" i="33"/>
  <c r="AT76" i="1"/>
  <c r="I1300" i="33"/>
  <c r="I1301" i="33"/>
  <c r="I1299" i="33"/>
  <c r="J1352" i="33"/>
  <c r="J1348" i="33"/>
  <c r="J1344" i="33"/>
  <c r="AU108" i="1"/>
  <c r="J1345" i="33"/>
  <c r="J1347" i="33"/>
  <c r="J1346" i="33"/>
  <c r="K1435" i="33"/>
  <c r="K1434" i="33"/>
  <c r="K1436" i="33"/>
  <c r="AT188" i="1"/>
  <c r="I1634" i="33"/>
  <c r="I1633" i="33"/>
  <c r="I1635" i="33"/>
  <c r="I1963" i="33"/>
  <c r="AT385" i="1"/>
  <c r="AU436" i="1"/>
  <c r="J2069" i="33"/>
  <c r="AU443" i="1"/>
  <c r="J2103" i="33"/>
  <c r="J2100" i="33"/>
  <c r="J2101" i="33"/>
  <c r="J2102" i="33"/>
  <c r="AO500" i="1"/>
  <c r="AQ500" i="1" s="1"/>
  <c r="P2192" i="33"/>
  <c r="P2194" i="33"/>
  <c r="AO563" i="1"/>
  <c r="AQ563" i="1" s="1"/>
  <c r="P2289" i="33"/>
  <c r="J2322" i="33"/>
  <c r="J2320" i="33"/>
  <c r="J2323" i="33"/>
  <c r="AU560" i="1"/>
  <c r="P2385" i="33"/>
  <c r="AO642" i="1"/>
  <c r="AQ642" i="1" s="1"/>
  <c r="P2386" i="33"/>
  <c r="P2388" i="33"/>
  <c r="P2387" i="33"/>
  <c r="K2482" i="33"/>
  <c r="K2483" i="33"/>
  <c r="K2514" i="33"/>
  <c r="K2515" i="33"/>
  <c r="K2558" i="33"/>
  <c r="K2560" i="33"/>
  <c r="AT734" i="1"/>
  <c r="I2612" i="33"/>
  <c r="I2614" i="33"/>
  <c r="AO861" i="1"/>
  <c r="AQ861" i="1" s="1"/>
  <c r="P2413" i="33"/>
  <c r="P2845" i="33"/>
  <c r="AO1078" i="1"/>
  <c r="AQ1078" i="1" s="1"/>
  <c r="P2879" i="33"/>
  <c r="P2881" i="33"/>
  <c r="P2880" i="33"/>
  <c r="AT684" i="1"/>
  <c r="I2892" i="33"/>
  <c r="AT848" i="1"/>
  <c r="I2924" i="33"/>
  <c r="I2986" i="33"/>
  <c r="AT808" i="1"/>
  <c r="J3116" i="33"/>
  <c r="AU976" i="1"/>
  <c r="J3117" i="33"/>
  <c r="AT1139" i="1"/>
  <c r="I3201" i="33"/>
  <c r="I3200" i="33"/>
  <c r="J3324" i="33"/>
  <c r="AU996" i="1"/>
  <c r="K3362" i="33"/>
  <c r="K3361" i="33"/>
  <c r="K3363" i="33"/>
  <c r="K3360" i="33"/>
  <c r="AT1041" i="1"/>
  <c r="I3416" i="33"/>
  <c r="P3573" i="33"/>
  <c r="AO1229" i="1"/>
  <c r="AQ1229" i="1" s="1"/>
  <c r="I3640" i="33"/>
  <c r="I3637" i="33"/>
  <c r="I3638" i="33"/>
  <c r="AT1039" i="1"/>
  <c r="I3636" i="33"/>
  <c r="I3639" i="33"/>
  <c r="K1501" i="33"/>
  <c r="P3053" i="33"/>
  <c r="P3347" i="33"/>
  <c r="P3506" i="33"/>
  <c r="P3271" i="33"/>
  <c r="P2412" i="33"/>
  <c r="K2662" i="33"/>
  <c r="I2552" i="33"/>
  <c r="I2498" i="33"/>
  <c r="P2377" i="33"/>
  <c r="P2314" i="33"/>
  <c r="J2234" i="33"/>
  <c r="P2097" i="33"/>
  <c r="K1967" i="33"/>
  <c r="K1719" i="33"/>
  <c r="K1632" i="33"/>
  <c r="K1471" i="33"/>
  <c r="J1349" i="33"/>
  <c r="P2115" i="33"/>
  <c r="J2991" i="33"/>
  <c r="P1213" i="33"/>
  <c r="J165" i="6"/>
  <c r="I2567" i="33"/>
  <c r="P3346" i="33"/>
  <c r="K3254" i="33"/>
  <c r="P3313" i="33"/>
  <c r="AO1274" i="1"/>
  <c r="AQ1274" i="1" s="1"/>
  <c r="P196" i="6"/>
  <c r="P201" i="6"/>
  <c r="P200" i="6"/>
  <c r="P202" i="6"/>
  <c r="P198" i="6"/>
  <c r="K258" i="6"/>
  <c r="K260" i="6"/>
  <c r="K257" i="6"/>
  <c r="K259" i="6"/>
  <c r="AU1373" i="1"/>
  <c r="J3584" i="33"/>
  <c r="J3582" i="33"/>
  <c r="K346" i="6"/>
  <c r="K344" i="6"/>
  <c r="K343" i="6"/>
  <c r="AT1429" i="1"/>
  <c r="I135" i="6"/>
  <c r="I132" i="6"/>
  <c r="I134" i="6"/>
  <c r="I133" i="6"/>
  <c r="I136" i="6"/>
  <c r="I183" i="6"/>
  <c r="K1170" i="33"/>
  <c r="K1171" i="33"/>
  <c r="K1173" i="33"/>
  <c r="K1172" i="33"/>
  <c r="P1211" i="33"/>
  <c r="P1151" i="33"/>
  <c r="AO93" i="1"/>
  <c r="AQ93" i="1" s="1"/>
  <c r="P1212" i="33"/>
  <c r="AT74" i="1"/>
  <c r="I1294" i="33"/>
  <c r="J1323" i="33"/>
  <c r="AU88" i="1"/>
  <c r="J1325" i="33"/>
  <c r="J1324" i="33"/>
  <c r="AT186" i="1"/>
  <c r="I1387" i="33"/>
  <c r="I1385" i="33"/>
  <c r="I1384" i="33"/>
  <c r="I1439" i="33"/>
  <c r="AT247" i="1"/>
  <c r="I1437" i="33"/>
  <c r="AT185" i="1"/>
  <c r="I1512" i="33"/>
  <c r="I1513" i="33"/>
  <c r="K1576" i="33"/>
  <c r="K1575" i="33"/>
  <c r="I1666" i="33"/>
  <c r="I1667" i="33"/>
  <c r="K1738" i="33"/>
  <c r="K1740" i="33"/>
  <c r="K1739" i="33"/>
  <c r="AT308" i="1"/>
  <c r="I1931" i="33"/>
  <c r="P2151" i="33"/>
  <c r="AO458" i="1"/>
  <c r="AQ458" i="1" s="1"/>
  <c r="J2231" i="33"/>
  <c r="J2233" i="33"/>
  <c r="AU524" i="1"/>
  <c r="P2307" i="33"/>
  <c r="P2309" i="33"/>
  <c r="AO582" i="1"/>
  <c r="AQ582" i="1" s="1"/>
  <c r="P2310" i="33"/>
  <c r="AU621" i="1"/>
  <c r="J2409" i="33"/>
  <c r="AT631" i="1"/>
  <c r="I2487" i="33"/>
  <c r="I2486" i="33"/>
  <c r="K2533" i="33"/>
  <c r="K2535" i="33"/>
  <c r="K2579" i="33"/>
  <c r="K2581" i="33"/>
  <c r="K2624" i="33"/>
  <c r="K2625" i="33"/>
  <c r="K2623" i="33"/>
  <c r="AU1421" i="1"/>
  <c r="J337" i="6"/>
  <c r="AU1087" i="1"/>
  <c r="J2884" i="33"/>
  <c r="J2883" i="33"/>
  <c r="J2882" i="33"/>
  <c r="K2901" i="33"/>
  <c r="K2903" i="33"/>
  <c r="K2896" i="33"/>
  <c r="K2899" i="33"/>
  <c r="K2906" i="33"/>
  <c r="K2904" i="33"/>
  <c r="K2897" i="33"/>
  <c r="K2902" i="33"/>
  <c r="K2898" i="33"/>
  <c r="K2900" i="33"/>
  <c r="K2895" i="33"/>
  <c r="K2905" i="33"/>
  <c r="K2894" i="33"/>
  <c r="K2920" i="33"/>
  <c r="K2921" i="33"/>
  <c r="I2963" i="33"/>
  <c r="I2962" i="33"/>
  <c r="I2964" i="33"/>
  <c r="AT991" i="1"/>
  <c r="AO1090" i="1"/>
  <c r="AQ1090" i="1" s="1"/>
  <c r="P3027" i="33"/>
  <c r="P3095" i="33"/>
  <c r="AO1018" i="1"/>
  <c r="AQ1018" i="1" s="1"/>
  <c r="P3094" i="33"/>
  <c r="P3093" i="33"/>
  <c r="P3092" i="33"/>
  <c r="P3146" i="33"/>
  <c r="P3145" i="33"/>
  <c r="AT1038" i="1"/>
  <c r="I3199" i="33"/>
  <c r="I3196" i="33"/>
  <c r="AU1166" i="1"/>
  <c r="J3306" i="33"/>
  <c r="P3325" i="33"/>
  <c r="AO1080" i="1"/>
  <c r="AQ1080" i="1" s="1"/>
  <c r="P3328" i="33"/>
  <c r="P3327" i="33"/>
  <c r="P3329" i="33"/>
  <c r="AU1034" i="1"/>
  <c r="J3390" i="33"/>
  <c r="J3392" i="33"/>
  <c r="J3391" i="33"/>
  <c r="J3389" i="33"/>
  <c r="J3493" i="33"/>
  <c r="AU1226" i="1"/>
  <c r="AU626" i="1"/>
  <c r="J3526" i="33"/>
  <c r="J3578" i="33"/>
  <c r="J3577" i="33"/>
  <c r="AT1336" i="1"/>
  <c r="I139" i="6"/>
  <c r="I142" i="6"/>
  <c r="I141" i="6"/>
  <c r="K2503" i="33"/>
  <c r="P3052" i="33"/>
  <c r="K160" i="6"/>
  <c r="P3283" i="33"/>
  <c r="J3290" i="33"/>
  <c r="P3507" i="33"/>
  <c r="K1500" i="33"/>
  <c r="P2843" i="33"/>
  <c r="I2648" i="33"/>
  <c r="I2569" i="33"/>
  <c r="I2489" i="33"/>
  <c r="P2376" i="33"/>
  <c r="P2313" i="33"/>
  <c r="J2235" i="33"/>
  <c r="P2096" i="33"/>
  <c r="K1966" i="33"/>
  <c r="K1720" i="33"/>
  <c r="I1598" i="33"/>
  <c r="I1464" i="33"/>
  <c r="J1353" i="33"/>
  <c r="K1798" i="33"/>
  <c r="P3148" i="33"/>
  <c r="P1215" i="33"/>
  <c r="P2152" i="33"/>
  <c r="I2576" i="33"/>
  <c r="P3063" i="33"/>
  <c r="K1201" i="33"/>
  <c r="P3038" i="33"/>
  <c r="K2938" i="33"/>
  <c r="I297" i="6"/>
  <c r="AO415" i="1"/>
  <c r="AQ415" i="1" s="1"/>
  <c r="AO963" i="1"/>
  <c r="AQ963" i="1" s="1"/>
  <c r="V214" i="1"/>
  <c r="V276" i="1"/>
  <c r="V357" i="1"/>
  <c r="V371" i="1"/>
  <c r="AU1609" i="1"/>
  <c r="J3453" i="33"/>
  <c r="P515" i="6"/>
  <c r="P513" i="6"/>
  <c r="P241" i="6"/>
  <c r="AO1232" i="1"/>
  <c r="AQ1232" i="1" s="1"/>
  <c r="P238" i="6"/>
  <c r="P239" i="6"/>
  <c r="AU1241" i="1"/>
  <c r="J157" i="6"/>
  <c r="AT1602" i="1"/>
  <c r="I2885" i="33"/>
  <c r="P3455" i="33"/>
  <c r="P3457" i="33"/>
  <c r="P3459" i="33"/>
  <c r="AU1288" i="1"/>
  <c r="J189" i="6"/>
  <c r="J192" i="6"/>
  <c r="AU1289" i="1"/>
  <c r="J147" i="6"/>
  <c r="J256" i="6"/>
  <c r="J260" i="6"/>
  <c r="AU1291" i="1"/>
  <c r="J267" i="6"/>
  <c r="J266" i="6"/>
  <c r="AU1608" i="1"/>
  <c r="J2734" i="33"/>
  <c r="AO1609" i="1"/>
  <c r="AQ1609" i="1" s="1"/>
  <c r="P3452" i="33"/>
  <c r="V653" i="1"/>
  <c r="V1069" i="1"/>
  <c r="P266" i="6"/>
  <c r="P225" i="6"/>
  <c r="P226" i="6"/>
  <c r="P189" i="6"/>
  <c r="P187" i="6"/>
  <c r="P186" i="6"/>
  <c r="P190" i="6"/>
  <c r="P188" i="6"/>
  <c r="P259" i="6"/>
  <c r="AO1290" i="1"/>
  <c r="AQ1290" i="1" s="1"/>
  <c r="P256" i="6"/>
  <c r="P258" i="6"/>
  <c r="AO1296" i="1"/>
  <c r="AQ1296" i="1" s="1"/>
  <c r="P170" i="6"/>
  <c r="K272" i="6"/>
  <c r="K271" i="6"/>
  <c r="AT1352" i="1"/>
  <c r="I217" i="6"/>
  <c r="AU1407" i="1"/>
  <c r="J297" i="6"/>
  <c r="AU1415" i="1"/>
  <c r="J328" i="6"/>
  <c r="AU1397" i="1"/>
  <c r="J345" i="6"/>
  <c r="J344" i="6"/>
  <c r="AU1441" i="1"/>
  <c r="J168" i="6"/>
  <c r="AO1429" i="1"/>
  <c r="AQ1429" i="1" s="1"/>
  <c r="P134" i="6"/>
  <c r="J1157" i="33"/>
  <c r="AU79" i="1"/>
  <c r="AO8" i="1"/>
  <c r="AQ8" i="1" s="1"/>
  <c r="P1238" i="33"/>
  <c r="P1240" i="33"/>
  <c r="AO23" i="1"/>
  <c r="AQ23" i="1" s="1"/>
  <c r="P1298" i="33"/>
  <c r="AO44" i="1"/>
  <c r="AQ44" i="1" s="1"/>
  <c r="J1307" i="33"/>
  <c r="AU117" i="1"/>
  <c r="AT19" i="1"/>
  <c r="I1135" i="33"/>
  <c r="AT50" i="1"/>
  <c r="I1143" i="33"/>
  <c r="J1165" i="33"/>
  <c r="AU26" i="1"/>
  <c r="AU3" i="1"/>
  <c r="J1195" i="33"/>
  <c r="AT35" i="1"/>
  <c r="I1204" i="33"/>
  <c r="AO112" i="1"/>
  <c r="AQ112" i="1" s="1"/>
  <c r="P1208" i="33"/>
  <c r="AU102" i="1"/>
  <c r="J1281" i="33"/>
  <c r="P1316" i="33"/>
  <c r="AO40" i="1"/>
  <c r="AQ40" i="1" s="1"/>
  <c r="AT119" i="1"/>
  <c r="I1330" i="33"/>
  <c r="I1364" i="33"/>
  <c r="AT48" i="1"/>
  <c r="AO198" i="1"/>
  <c r="AQ198" i="1" s="1"/>
  <c r="P1411" i="33"/>
  <c r="AU226" i="1"/>
  <c r="J1431" i="33"/>
  <c r="AU155" i="1"/>
  <c r="J1424" i="33"/>
  <c r="J1457" i="33"/>
  <c r="AU83" i="1"/>
  <c r="P1495" i="33"/>
  <c r="AO120" i="1"/>
  <c r="AQ120" i="1" s="1"/>
  <c r="P1512" i="33"/>
  <c r="AO185" i="1"/>
  <c r="AQ185" i="1" s="1"/>
  <c r="J1534" i="33"/>
  <c r="AU252" i="1"/>
  <c r="J1603" i="33"/>
  <c r="AU202" i="1"/>
  <c r="AU269" i="1"/>
  <c r="J1656" i="33"/>
  <c r="AU235" i="1"/>
  <c r="J1696" i="33"/>
  <c r="AO272" i="1"/>
  <c r="AQ272" i="1" s="1"/>
  <c r="P1754" i="33"/>
  <c r="P1758" i="33"/>
  <c r="AO331" i="1"/>
  <c r="AQ331" i="1" s="1"/>
  <c r="J1784" i="33"/>
  <c r="AU273" i="1"/>
  <c r="AU367" i="1"/>
  <c r="J1824" i="33"/>
  <c r="AU354" i="1"/>
  <c r="J1838" i="33"/>
  <c r="AU391" i="1"/>
  <c r="J1914" i="33"/>
  <c r="AU377" i="1"/>
  <c r="J1925" i="33"/>
  <c r="J1930" i="33"/>
  <c r="AU344" i="1"/>
  <c r="P1940" i="33"/>
  <c r="AO382" i="1"/>
  <c r="AQ382" i="1" s="1"/>
  <c r="AO385" i="1"/>
  <c r="AQ385" i="1" s="1"/>
  <c r="P1963" i="33"/>
  <c r="J1987" i="33"/>
  <c r="AU396" i="1"/>
  <c r="AT416" i="1"/>
  <c r="I2061" i="33"/>
  <c r="K2165" i="33"/>
  <c r="K2166" i="33"/>
  <c r="AT474" i="1"/>
  <c r="I2183" i="33"/>
  <c r="AT485" i="1"/>
  <c r="I2191" i="33"/>
  <c r="AT549" i="1"/>
  <c r="I2203" i="33"/>
  <c r="I2222" i="33"/>
  <c r="AT499" i="1"/>
  <c r="AT508" i="1"/>
  <c r="I2277" i="33"/>
  <c r="AT520" i="1"/>
  <c r="I2393" i="33"/>
  <c r="AT514" i="1"/>
  <c r="I2435" i="33"/>
  <c r="I2447" i="33"/>
  <c r="AT557" i="1"/>
  <c r="J2507" i="33"/>
  <c r="AU601" i="1"/>
  <c r="AO728" i="1"/>
  <c r="AQ728" i="1" s="1"/>
  <c r="P2565" i="33"/>
  <c r="AU776" i="1"/>
  <c r="J2657" i="33"/>
  <c r="J2665" i="33"/>
  <c r="AU745" i="1"/>
  <c r="AO791" i="1"/>
  <c r="AQ791" i="1" s="1"/>
  <c r="P2710" i="33"/>
  <c r="J2745" i="33"/>
  <c r="AU792" i="1"/>
  <c r="I2837" i="33"/>
  <c r="AT1055" i="1"/>
  <c r="AT770" i="1"/>
  <c r="I2854" i="33"/>
  <c r="J2889" i="33"/>
  <c r="AU865" i="1"/>
  <c r="AU1006" i="1"/>
  <c r="J2959" i="33"/>
  <c r="J2965" i="33"/>
  <c r="AU959" i="1"/>
  <c r="AU896" i="1"/>
  <c r="J2971" i="33"/>
  <c r="J2985" i="33"/>
  <c r="AU863" i="1"/>
  <c r="K3077" i="33"/>
  <c r="K3074" i="33"/>
  <c r="V1356" i="1"/>
  <c r="AT1382" i="1"/>
  <c r="I329" i="6"/>
  <c r="AT1253" i="1"/>
  <c r="I181" i="6"/>
  <c r="K243" i="6"/>
  <c r="K242" i="6"/>
  <c r="AU1308" i="1"/>
  <c r="J209" i="6"/>
  <c r="K217" i="6"/>
  <c r="K216" i="6"/>
  <c r="K2094" i="33"/>
  <c r="P1813" i="33"/>
  <c r="I2409" i="33"/>
  <c r="I1356" i="33"/>
  <c r="K2150" i="33"/>
  <c r="P1820" i="33"/>
  <c r="K2293" i="33"/>
  <c r="I2234" i="33"/>
  <c r="J1798" i="33"/>
  <c r="I1340" i="33"/>
  <c r="P2595" i="33"/>
  <c r="K2314" i="33"/>
  <c r="P1655" i="33"/>
  <c r="P2678" i="33"/>
  <c r="P1825" i="33"/>
  <c r="J2702" i="33"/>
  <c r="P1819" i="33"/>
  <c r="P1546" i="33"/>
  <c r="I336" i="6"/>
  <c r="P1300" i="33"/>
  <c r="P2516" i="33"/>
  <c r="P1381" i="33"/>
  <c r="P1290" i="33"/>
  <c r="I2337" i="33"/>
  <c r="AO383" i="1"/>
  <c r="AQ383" i="1" s="1"/>
  <c r="J1576" i="33"/>
  <c r="I3116" i="33"/>
  <c r="I2404" i="33"/>
  <c r="I2158" i="33"/>
  <c r="AU318" i="1"/>
  <c r="J1322" i="33"/>
  <c r="I1348" i="33"/>
  <c r="I1345" i="33"/>
  <c r="AT149" i="1"/>
  <c r="I1374" i="33"/>
  <c r="J1415" i="33"/>
  <c r="AU170" i="1"/>
  <c r="P1417" i="33"/>
  <c r="AO183" i="1"/>
  <c r="AQ183" i="1" s="1"/>
  <c r="J1434" i="33"/>
  <c r="AU173" i="1"/>
  <c r="AU267" i="1"/>
  <c r="J1510" i="33"/>
  <c r="J1508" i="33"/>
  <c r="AO165" i="1"/>
  <c r="AQ165" i="1" s="1"/>
  <c r="P1515" i="33"/>
  <c r="AU179" i="1"/>
  <c r="J1523" i="33"/>
  <c r="P1624" i="33"/>
  <c r="P1625" i="33"/>
  <c r="P1621" i="33"/>
  <c r="AU63" i="1"/>
  <c r="J1646" i="33"/>
  <c r="AU109" i="1"/>
  <c r="J1672" i="33"/>
  <c r="J1680" i="33"/>
  <c r="AU177" i="1"/>
  <c r="J1678" i="33"/>
  <c r="P1709" i="33"/>
  <c r="AO296" i="1"/>
  <c r="AQ296" i="1" s="1"/>
  <c r="AU316" i="1"/>
  <c r="J1718" i="33"/>
  <c r="AO330" i="1"/>
  <c r="AQ330" i="1" s="1"/>
  <c r="P1737" i="33"/>
  <c r="AU276" i="1"/>
  <c r="J1776" i="33"/>
  <c r="P1795" i="33"/>
  <c r="AO379" i="1"/>
  <c r="AQ379" i="1" s="1"/>
  <c r="J1800" i="33"/>
  <c r="AU373" i="1"/>
  <c r="AO381" i="1"/>
  <c r="AQ381" i="1" s="1"/>
  <c r="P1843" i="33"/>
  <c r="AO409" i="1"/>
  <c r="AQ409" i="1" s="1"/>
  <c r="P1855" i="33"/>
  <c r="AO327" i="1"/>
  <c r="AQ327" i="1" s="1"/>
  <c r="P1869" i="33"/>
  <c r="J1882" i="33"/>
  <c r="J1884" i="33"/>
  <c r="P1895" i="33"/>
  <c r="AO359" i="1"/>
  <c r="AQ359" i="1" s="1"/>
  <c r="AO410" i="1"/>
  <c r="AQ410" i="1" s="1"/>
  <c r="P1898" i="33"/>
  <c r="P1899" i="33"/>
  <c r="AU420" i="1"/>
  <c r="J1965" i="33"/>
  <c r="P1973" i="33"/>
  <c r="P1969" i="33"/>
  <c r="AO376" i="1"/>
  <c r="AQ376" i="1" s="1"/>
  <c r="P1981" i="33"/>
  <c r="AU392" i="1"/>
  <c r="J1982" i="33"/>
  <c r="I2087" i="33"/>
  <c r="I2088" i="33"/>
  <c r="AT443" i="1"/>
  <c r="I2103" i="33"/>
  <c r="AT478" i="1"/>
  <c r="I2239" i="33"/>
  <c r="I2240" i="33"/>
  <c r="K2309" i="33"/>
  <c r="K2308" i="33"/>
  <c r="K2307" i="33"/>
  <c r="AT560" i="1"/>
  <c r="I2323" i="33"/>
  <c r="I2322" i="33"/>
  <c r="K2327" i="33"/>
  <c r="K2328" i="33"/>
  <c r="K2350" i="33"/>
  <c r="K2354" i="33"/>
  <c r="K2355" i="33"/>
  <c r="K2368" i="33"/>
  <c r="K2367" i="33"/>
  <c r="J2468" i="33"/>
  <c r="AU639" i="1"/>
  <c r="AU676" i="1"/>
  <c r="J2504" i="33"/>
  <c r="J2503" i="33"/>
  <c r="P2528" i="33"/>
  <c r="P2523" i="33"/>
  <c r="J2554" i="33"/>
  <c r="J2557" i="33"/>
  <c r="AU673" i="1"/>
  <c r="J2561" i="33"/>
  <c r="J2558" i="33"/>
  <c r="J2580" i="33"/>
  <c r="J2581" i="33"/>
  <c r="J2579" i="33"/>
  <c r="AO709" i="1"/>
  <c r="AQ709" i="1" s="1"/>
  <c r="P2620" i="33"/>
  <c r="P2622" i="33"/>
  <c r="P2621" i="33"/>
  <c r="AU773" i="1"/>
  <c r="J2625" i="33"/>
  <c r="AO1085" i="1"/>
  <c r="AQ1085" i="1" s="1"/>
  <c r="P2690" i="33"/>
  <c r="P2724" i="33"/>
  <c r="P2725" i="33"/>
  <c r="AU708" i="1"/>
  <c r="J2727" i="33"/>
  <c r="AO822" i="1"/>
  <c r="AQ822" i="1" s="1"/>
  <c r="P2750" i="33"/>
  <c r="P2762" i="33"/>
  <c r="AO796" i="1"/>
  <c r="AQ796" i="1" s="1"/>
  <c r="AO952" i="1"/>
  <c r="AQ952" i="1" s="1"/>
  <c r="P2781" i="33"/>
  <c r="AT940" i="1"/>
  <c r="I2815" i="33"/>
  <c r="K2830" i="33"/>
  <c r="K2833" i="33"/>
  <c r="K2827" i="33"/>
  <c r="K2829" i="33"/>
  <c r="AT740" i="1"/>
  <c r="I2867" i="33"/>
  <c r="J2893" i="33"/>
  <c r="AU1146" i="1"/>
  <c r="AU906" i="1"/>
  <c r="J2907" i="33"/>
  <c r="J2921" i="33"/>
  <c r="AU806" i="1"/>
  <c r="P2968" i="33"/>
  <c r="AO1009" i="1"/>
  <c r="AQ1009" i="1" s="1"/>
  <c r="AT977" i="1"/>
  <c r="I2999" i="33"/>
  <c r="K3029" i="33"/>
  <c r="K3028" i="33"/>
  <c r="AT961" i="1"/>
  <c r="I3042" i="33"/>
  <c r="AO1019" i="1"/>
  <c r="AQ1019" i="1" s="1"/>
  <c r="P3177" i="33"/>
  <c r="J3189" i="33"/>
  <c r="AU909" i="1"/>
  <c r="P3227" i="33"/>
  <c r="P3229" i="33"/>
  <c r="K3268" i="33"/>
  <c r="K3270" i="33"/>
  <c r="I3274" i="33"/>
  <c r="AT1131" i="1"/>
  <c r="I3306" i="33"/>
  <c r="AT1166" i="1"/>
  <c r="AT1024" i="1"/>
  <c r="I3322" i="33"/>
  <c r="I3324" i="33"/>
  <c r="AT996" i="1"/>
  <c r="I3332" i="33"/>
  <c r="I3333" i="33"/>
  <c r="AU1160" i="1"/>
  <c r="J3360" i="33"/>
  <c r="I3392" i="33"/>
  <c r="I3389" i="33"/>
  <c r="J3403" i="33"/>
  <c r="J3402" i="33"/>
  <c r="AU1157" i="1"/>
  <c r="J3409" i="33"/>
  <c r="AU1237" i="1"/>
  <c r="AU1246" i="1"/>
  <c r="J3410" i="33"/>
  <c r="J3411" i="33"/>
  <c r="AO1150" i="1"/>
  <c r="AQ1150" i="1" s="1"/>
  <c r="P3432" i="33"/>
  <c r="I3492" i="33"/>
  <c r="I3493" i="33"/>
  <c r="AT1309" i="1"/>
  <c r="I3618" i="33"/>
  <c r="P97" i="6"/>
  <c r="P95" i="6"/>
  <c r="AO1287" i="1"/>
  <c r="AQ1287" i="1" s="1"/>
  <c r="P3656" i="33"/>
  <c r="AT1447" i="1"/>
  <c r="I347" i="6"/>
  <c r="AO79" i="1"/>
  <c r="AQ79" i="1" s="1"/>
  <c r="P1153" i="33"/>
  <c r="P1155" i="33"/>
  <c r="P1190" i="33"/>
  <c r="AO72" i="1"/>
  <c r="AQ72" i="1" s="1"/>
  <c r="P1189" i="33"/>
  <c r="P1228" i="33"/>
  <c r="P1223" i="33"/>
  <c r="P1230" i="33"/>
  <c r="J1253" i="33"/>
  <c r="J1249" i="33"/>
  <c r="AU76" i="1"/>
  <c r="J1302" i="33"/>
  <c r="P1307" i="33"/>
  <c r="AO117" i="1"/>
  <c r="AQ117" i="1" s="1"/>
  <c r="AU247" i="1"/>
  <c r="J1438" i="33"/>
  <c r="AO166" i="1"/>
  <c r="AQ166" i="1" s="1"/>
  <c r="P1501" i="33"/>
  <c r="AO341" i="1"/>
  <c r="AQ341" i="1" s="1"/>
  <c r="P1576" i="33"/>
  <c r="AU178" i="1"/>
  <c r="J1578" i="33"/>
  <c r="AT397" i="1"/>
  <c r="I2016" i="33"/>
  <c r="I2173" i="33"/>
  <c r="AT492" i="1"/>
  <c r="AT632" i="1"/>
  <c r="I2421" i="33"/>
  <c r="AU934" i="1"/>
  <c r="J2494" i="33"/>
  <c r="P2544" i="33"/>
  <c r="AO643" i="1"/>
  <c r="AQ643" i="1" s="1"/>
  <c r="AO838" i="1"/>
  <c r="AQ838" i="1" s="1"/>
  <c r="P2701" i="33"/>
  <c r="P2916" i="33"/>
  <c r="P2917" i="33"/>
  <c r="AO806" i="1"/>
  <c r="AQ806" i="1" s="1"/>
  <c r="P2921" i="33"/>
  <c r="J2946" i="33"/>
  <c r="AU943" i="1"/>
  <c r="K2996" i="33"/>
  <c r="K2997" i="33"/>
  <c r="AT1010" i="1"/>
  <c r="I3018" i="33"/>
  <c r="I3074" i="33"/>
  <c r="AT990" i="1"/>
  <c r="I3129" i="33"/>
  <c r="I3127" i="33"/>
  <c r="AT1084" i="1"/>
  <c r="I3162" i="33"/>
  <c r="J3198" i="33"/>
  <c r="J3199" i="33"/>
  <c r="J3215" i="33"/>
  <c r="J3217" i="33"/>
  <c r="K3336" i="33"/>
  <c r="K3333" i="33"/>
  <c r="K3335" i="33"/>
  <c r="K3356" i="33"/>
  <c r="K3354" i="33"/>
  <c r="AO1160" i="1"/>
  <c r="AQ1160" i="1" s="1"/>
  <c r="P3362" i="33"/>
  <c r="I3374" i="33"/>
  <c r="AT1042" i="1"/>
  <c r="P3407" i="33"/>
  <c r="P3408" i="33"/>
  <c r="AU1162" i="1"/>
  <c r="J3424" i="33"/>
  <c r="K3492" i="33"/>
  <c r="K3494" i="33"/>
  <c r="K3493" i="33"/>
  <c r="K3577" i="33"/>
  <c r="K3578" i="33"/>
  <c r="J3640" i="33"/>
  <c r="J3639" i="33"/>
  <c r="AU1039" i="1"/>
  <c r="J3635" i="33"/>
  <c r="AU1336" i="1"/>
  <c r="J142" i="6"/>
  <c r="AO1448" i="1"/>
  <c r="AQ1448" i="1" s="1"/>
  <c r="P255" i="6"/>
  <c r="AO1139" i="1"/>
  <c r="AQ1139" i="1" s="1"/>
  <c r="P3201" i="33"/>
  <c r="AO1347" i="1"/>
  <c r="AQ1347" i="1" s="1"/>
  <c r="P177" i="6"/>
  <c r="AU1258" i="1"/>
  <c r="J3631" i="33"/>
  <c r="J3651" i="33"/>
  <c r="AU1356" i="1"/>
  <c r="J3574" i="33"/>
  <c r="AU1020" i="1"/>
  <c r="K222" i="6"/>
  <c r="K219" i="6"/>
  <c r="P220" i="6"/>
  <c r="P221" i="6"/>
  <c r="AO26" i="1"/>
  <c r="AQ26" i="1" s="1"/>
  <c r="P1165" i="33"/>
  <c r="I1216" i="33"/>
  <c r="AT98" i="1"/>
  <c r="AU183" i="1"/>
  <c r="J1417" i="33"/>
  <c r="P1424" i="33"/>
  <c r="AO155" i="1"/>
  <c r="AQ155" i="1" s="1"/>
  <c r="AU165" i="1"/>
  <c r="J1515" i="33"/>
  <c r="P1589" i="33"/>
  <c r="AO258" i="1"/>
  <c r="AQ258" i="1" s="1"/>
  <c r="J1609" i="33"/>
  <c r="AU232" i="1"/>
  <c r="AU233" i="1"/>
  <c r="J1683" i="33"/>
  <c r="J1710" i="33"/>
  <c r="AU279" i="1"/>
  <c r="AO320" i="1"/>
  <c r="AQ320" i="1" s="1"/>
  <c r="P1713" i="33"/>
  <c r="AO273" i="1"/>
  <c r="AQ273" i="1" s="1"/>
  <c r="P1783" i="33"/>
  <c r="P1784" i="33"/>
  <c r="AU304" i="1"/>
  <c r="J1835" i="33"/>
  <c r="J1837" i="33"/>
  <c r="J1949" i="33"/>
  <c r="AU345" i="1"/>
  <c r="AU375" i="1"/>
  <c r="J1995" i="33"/>
  <c r="AT450" i="1"/>
  <c r="I2112" i="33"/>
  <c r="I2117" i="33"/>
  <c r="AT430" i="1"/>
  <c r="I2152" i="33"/>
  <c r="AT458" i="1"/>
  <c r="AT563" i="1"/>
  <c r="I2289" i="33"/>
  <c r="AT580" i="1"/>
  <c r="I2374" i="33"/>
  <c r="J2516" i="33"/>
  <c r="AU584" i="1"/>
  <c r="J2620" i="33"/>
  <c r="AU709" i="1"/>
  <c r="AU628" i="1"/>
  <c r="J2636" i="33"/>
  <c r="AU670" i="1"/>
  <c r="J2680" i="33"/>
  <c r="AU679" i="1"/>
  <c r="J2718" i="33"/>
  <c r="P2745" i="33"/>
  <c r="AO792" i="1"/>
  <c r="AQ792" i="1" s="1"/>
  <c r="AU797" i="1"/>
  <c r="J2768" i="33"/>
  <c r="AT837" i="1"/>
  <c r="I2798" i="33"/>
  <c r="AU890" i="1"/>
  <c r="J2958" i="33"/>
  <c r="J2969" i="33"/>
  <c r="AU1009" i="1"/>
  <c r="AT987" i="1"/>
  <c r="I3053" i="33"/>
  <c r="AT1011" i="1"/>
  <c r="I3085" i="33"/>
  <c r="AT1018" i="1"/>
  <c r="I3095" i="33"/>
  <c r="AT1343" i="1"/>
  <c r="I211" i="6"/>
  <c r="AU716" i="1"/>
  <c r="J2853" i="33"/>
  <c r="I3148" i="33"/>
  <c r="I3147" i="33"/>
  <c r="AT962" i="1"/>
  <c r="AU1019" i="1"/>
  <c r="J3177" i="33"/>
  <c r="AU1068" i="1"/>
  <c r="J3229" i="33"/>
  <c r="K3296" i="33"/>
  <c r="K3295" i="33"/>
  <c r="AT1050" i="1"/>
  <c r="I3310" i="33"/>
  <c r="AT1080" i="1"/>
  <c r="I3327" i="33"/>
  <c r="J3446" i="33"/>
  <c r="AU1193" i="1"/>
  <c r="I3495" i="33"/>
  <c r="AT1164" i="1"/>
  <c r="AT1214" i="1"/>
  <c r="I3534" i="33"/>
  <c r="I3535" i="33"/>
  <c r="K3536" i="33"/>
  <c r="K3540" i="33"/>
  <c r="I3625" i="33"/>
  <c r="I3623" i="33"/>
  <c r="AT1315" i="1"/>
  <c r="AO1356" i="1"/>
  <c r="AQ1356" i="1" s="1"/>
  <c r="P3647" i="33"/>
  <c r="P3649" i="33"/>
  <c r="AU1225" i="1"/>
  <c r="J95" i="6"/>
  <c r="J3652" i="33"/>
  <c r="AU877" i="1"/>
  <c r="AU807" i="1"/>
  <c r="AU680" i="1"/>
  <c r="AT593" i="1"/>
  <c r="I2156" i="33"/>
  <c r="AU376" i="1"/>
  <c r="AU409" i="1"/>
  <c r="I1150" i="33"/>
  <c r="AT1257" i="1"/>
  <c r="AT1172" i="1"/>
  <c r="R105" i="36"/>
  <c r="R106" i="36"/>
  <c r="V7" i="1"/>
  <c r="V28" i="1"/>
  <c r="V82" i="1"/>
  <c r="V93" i="1"/>
  <c r="V162" i="1"/>
  <c r="V225" i="1"/>
  <c r="V279" i="1"/>
  <c r="V284" i="1"/>
  <c r="V292" i="1"/>
  <c r="V317" i="1"/>
  <c r="V344" i="1"/>
  <c r="V418" i="1"/>
  <c r="V438" i="1"/>
  <c r="V444" i="1"/>
  <c r="V450" i="1"/>
  <c r="V471" i="1"/>
  <c r="V492" i="1"/>
  <c r="V497" i="1"/>
  <c r="V511" i="1"/>
  <c r="V521" i="1"/>
  <c r="V527" i="1"/>
  <c r="V532" i="1"/>
  <c r="V538" i="1"/>
  <c r="V543" i="1"/>
  <c r="V560" i="1"/>
  <c r="V565" i="1"/>
  <c r="V217" i="1"/>
  <c r="V226" i="1"/>
  <c r="V233" i="1"/>
  <c r="V259" i="1"/>
  <c r="V280" i="1"/>
  <c r="V290" i="1"/>
  <c r="V313" i="1"/>
  <c r="V329" i="1"/>
  <c r="V341" i="1"/>
  <c r="V350" i="1"/>
  <c r="V361" i="1"/>
  <c r="V381" i="1"/>
  <c r="V400" i="1"/>
  <c r="V403" i="1"/>
  <c r="V424" i="1"/>
  <c r="V451" i="1"/>
  <c r="V456" i="1"/>
  <c r="V477" i="1"/>
  <c r="V503" i="1"/>
  <c r="V516" i="1"/>
  <c r="V524" i="1"/>
  <c r="V545" i="1"/>
  <c r="V548" i="1"/>
  <c r="V566" i="1"/>
  <c r="V572" i="1"/>
  <c r="V577" i="1"/>
  <c r="V582" i="1"/>
  <c r="V588" i="1"/>
  <c r="V595" i="1"/>
  <c r="V606" i="1"/>
  <c r="V622" i="1"/>
  <c r="V627" i="1"/>
  <c r="V633" i="1"/>
  <c r="V654" i="1"/>
  <c r="V695" i="1"/>
  <c r="V720" i="1"/>
  <c r="V730" i="1"/>
  <c r="V735" i="1"/>
  <c r="V678" i="1"/>
  <c r="V686" i="1"/>
  <c r="V698" i="1"/>
  <c r="V706" i="1"/>
  <c r="V759" i="1"/>
  <c r="V745" i="1"/>
  <c r="V765" i="1"/>
  <c r="V769" i="1"/>
  <c r="V774" i="1"/>
  <c r="V777" i="1"/>
  <c r="V789" i="1"/>
  <c r="V795" i="1"/>
  <c r="V816" i="1"/>
  <c r="V804" i="1"/>
  <c r="V838" i="1"/>
  <c r="V823" i="1"/>
  <c r="V865" i="1"/>
  <c r="V861" i="1"/>
  <c r="V896" i="1"/>
  <c r="V1005" i="1"/>
  <c r="V897" i="1"/>
  <c r="V1200" i="1"/>
  <c r="V999" i="1"/>
  <c r="V981" i="1"/>
  <c r="V1051" i="1"/>
  <c r="V1048" i="1"/>
  <c r="V1062" i="1"/>
  <c r="V1090" i="1"/>
  <c r="V1022" i="1"/>
  <c r="V1129" i="1"/>
  <c r="V1185" i="1"/>
  <c r="K574" i="6"/>
  <c r="N574" i="6" s="1"/>
  <c r="V570" i="1"/>
  <c r="V576" i="1"/>
  <c r="V581" i="1"/>
  <c r="V593" i="1"/>
  <c r="V597" i="1"/>
  <c r="V611" i="1"/>
  <c r="V632" i="1"/>
  <c r="V638" i="1"/>
  <c r="V644" i="1"/>
  <c r="V658" i="1"/>
  <c r="V667" i="1"/>
  <c r="V687" i="1"/>
  <c r="V694" i="1"/>
  <c r="V710" i="1"/>
  <c r="V725" i="1"/>
  <c r="V734" i="1"/>
  <c r="V660" i="1"/>
  <c r="V685" i="1"/>
  <c r="V696" i="1"/>
  <c r="V703" i="1"/>
  <c r="V743" i="1"/>
  <c r="V762" i="1"/>
  <c r="V747" i="1"/>
  <c r="V751" i="1"/>
  <c r="V767" i="1"/>
  <c r="V788" i="1"/>
  <c r="V794" i="1"/>
  <c r="V798" i="1"/>
  <c r="V800" i="1"/>
  <c r="V814" i="1"/>
  <c r="V856" i="1"/>
  <c r="V806" i="1"/>
  <c r="V818" i="1"/>
  <c r="V811" i="1"/>
  <c r="V825" i="1"/>
  <c r="V829" i="1"/>
  <c r="V833" i="1"/>
  <c r="V864" i="1"/>
  <c r="V873" i="1"/>
  <c r="V900" i="1"/>
  <c r="V895" i="1"/>
  <c r="V1116" i="1"/>
  <c r="V1001" i="1"/>
  <c r="V905" i="1"/>
  <c r="V1079" i="1"/>
  <c r="V1133" i="1"/>
  <c r="V944" i="1"/>
  <c r="V923" i="1"/>
  <c r="V935" i="1"/>
  <c r="V967" i="1"/>
  <c r="V968" i="1"/>
  <c r="V992" i="1"/>
  <c r="V1008" i="1"/>
  <c r="V989" i="1"/>
  <c r="V1010" i="1"/>
  <c r="V1039" i="1"/>
  <c r="V1036" i="1"/>
  <c r="V1046" i="1"/>
  <c r="V1070" i="1"/>
  <c r="V1103" i="1"/>
  <c r="V1114" i="1"/>
  <c r="V1113" i="1"/>
  <c r="V1102" i="1"/>
  <c r="V1208" i="1"/>
  <c r="V1205" i="1"/>
  <c r="V1174" i="1"/>
  <c r="V1184" i="1"/>
  <c r="V1240" i="1"/>
  <c r="V1241" i="1"/>
  <c r="V1227" i="1"/>
  <c r="V1220" i="1"/>
  <c r="V1602" i="1"/>
  <c r="V1286" i="1"/>
  <c r="V1263" i="1"/>
  <c r="V1259" i="1"/>
  <c r="V1270" i="1"/>
  <c r="V1381" i="1"/>
  <c r="V1395" i="1"/>
  <c r="V1422" i="1"/>
  <c r="V1424" i="1"/>
  <c r="L149" i="20"/>
  <c r="K1259" i="33"/>
  <c r="V15" i="1"/>
  <c r="V86" i="1"/>
  <c r="V102" i="1"/>
  <c r="V123" i="1"/>
  <c r="V142" i="1"/>
  <c r="V200" i="1"/>
  <c r="V211" i="1"/>
  <c r="V271" i="1"/>
  <c r="V315" i="1"/>
  <c r="V342" i="1"/>
  <c r="V363" i="1"/>
  <c r="V384" i="1"/>
  <c r="V415" i="1"/>
  <c r="V514" i="1"/>
  <c r="V541" i="1"/>
  <c r="V619" i="1"/>
  <c r="V652" i="1"/>
  <c r="V676" i="1"/>
  <c r="V705" i="1"/>
  <c r="V728" i="1"/>
  <c r="V739" i="1"/>
  <c r="V46" i="1"/>
  <c r="V52" i="1"/>
  <c r="V107" i="1"/>
  <c r="V156" i="1"/>
  <c r="V277" i="1"/>
  <c r="V296" i="1"/>
  <c r="V348" i="1"/>
  <c r="V431" i="1"/>
  <c r="V442" i="1"/>
  <c r="V551" i="1"/>
  <c r="V574" i="1"/>
  <c r="V579" i="1"/>
  <c r="K130" i="6"/>
  <c r="K131" i="6"/>
  <c r="K1221" i="33"/>
  <c r="P1175" i="33"/>
  <c r="K1161" i="33"/>
  <c r="J1168" i="33"/>
  <c r="K1232" i="33"/>
  <c r="K1224" i="33"/>
  <c r="K1140" i="33"/>
  <c r="K1153" i="33"/>
  <c r="K1203" i="33"/>
  <c r="K1156" i="33"/>
  <c r="K186" i="6"/>
  <c r="I206" i="6"/>
  <c r="I328" i="6"/>
  <c r="P344" i="6"/>
  <c r="P204" i="6"/>
  <c r="I168" i="6"/>
  <c r="AO1397" i="1"/>
  <c r="AQ1397" i="1" s="1"/>
  <c r="P156" i="6"/>
  <c r="J3583" i="33"/>
  <c r="K1222" i="33"/>
  <c r="I1193" i="33"/>
  <c r="K1231" i="33"/>
  <c r="I1208" i="33"/>
  <c r="K1223" i="33"/>
  <c r="P1216" i="33"/>
  <c r="K1199" i="33"/>
  <c r="P264" i="6"/>
  <c r="K171" i="6"/>
  <c r="I1791" i="33"/>
  <c r="K1226" i="33"/>
  <c r="I1209" i="33"/>
  <c r="K190" i="6"/>
  <c r="P195" i="6"/>
  <c r="K256" i="6"/>
  <c r="P263" i="6"/>
  <c r="K345" i="6"/>
  <c r="P203" i="6"/>
  <c r="AO1374" i="1"/>
  <c r="AQ1374" i="1" s="1"/>
  <c r="K1133" i="33"/>
  <c r="K1131" i="33"/>
  <c r="J1149" i="33"/>
  <c r="J1146" i="33"/>
  <c r="P1220" i="33"/>
  <c r="AO71" i="1"/>
  <c r="AQ71" i="1" s="1"/>
  <c r="K1281" i="33"/>
  <c r="K1282" i="33"/>
  <c r="K1283" i="33"/>
  <c r="AO193" i="1"/>
  <c r="AQ193" i="1" s="1"/>
  <c r="P1326" i="33"/>
  <c r="AU33" i="1"/>
  <c r="J1366" i="33"/>
  <c r="J1365" i="33"/>
  <c r="K1394" i="33"/>
  <c r="K1393" i="33"/>
  <c r="K1392" i="33"/>
  <c r="K1395" i="33"/>
  <c r="I1417" i="33"/>
  <c r="AT183" i="1"/>
  <c r="I1463" i="33"/>
  <c r="I1461" i="33"/>
  <c r="K1537" i="33"/>
  <c r="K1534" i="33"/>
  <c r="K1533" i="33"/>
  <c r="K1535" i="33"/>
  <c r="K1532" i="33"/>
  <c r="K1531" i="33"/>
  <c r="I1605" i="33"/>
  <c r="AT244" i="1"/>
  <c r="I1607" i="33"/>
  <c r="I1661" i="33"/>
  <c r="I1663" i="33"/>
  <c r="AT281" i="1"/>
  <c r="I1662" i="33"/>
  <c r="AT311" i="1"/>
  <c r="I1730" i="33"/>
  <c r="AT306" i="1"/>
  <c r="I1841" i="33"/>
  <c r="I1840" i="33"/>
  <c r="I1839" i="33"/>
  <c r="I1869" i="33"/>
  <c r="AT327" i="1"/>
  <c r="AT383" i="1"/>
  <c r="I1921" i="33"/>
  <c r="I1922" i="33"/>
  <c r="I1923" i="33"/>
  <c r="I1920" i="33"/>
  <c r="I1972" i="33"/>
  <c r="AT323" i="1"/>
  <c r="I1969" i="33"/>
  <c r="I1971" i="33"/>
  <c r="I1973" i="33"/>
  <c r="I1970" i="33"/>
  <c r="AO413" i="1"/>
  <c r="AQ413" i="1" s="1"/>
  <c r="P2005" i="33"/>
  <c r="P2006" i="33"/>
  <c r="P2004" i="33"/>
  <c r="AO324" i="1"/>
  <c r="AQ324" i="1" s="1"/>
  <c r="P2055" i="33"/>
  <c r="P2056" i="33"/>
  <c r="AU446" i="1"/>
  <c r="J2095" i="33"/>
  <c r="AU439" i="1"/>
  <c r="J2161" i="33"/>
  <c r="J2159" i="33"/>
  <c r="J2160" i="33"/>
  <c r="AU474" i="1"/>
  <c r="J2181" i="33"/>
  <c r="J2180" i="33"/>
  <c r="J2185" i="33"/>
  <c r="J2182" i="33"/>
  <c r="J2212" i="33"/>
  <c r="J2209" i="33"/>
  <c r="AU547" i="1"/>
  <c r="J2211" i="33"/>
  <c r="J2210" i="33"/>
  <c r="J2213" i="33"/>
  <c r="AU465" i="1"/>
  <c r="J2254" i="33"/>
  <c r="J2255" i="33"/>
  <c r="J2253" i="33"/>
  <c r="J2257" i="33"/>
  <c r="AU577" i="1"/>
  <c r="J2305" i="33"/>
  <c r="J2303" i="33"/>
  <c r="J2304" i="33"/>
  <c r="AO527" i="1"/>
  <c r="AQ527" i="1" s="1"/>
  <c r="P2348" i="33"/>
  <c r="AU590" i="1"/>
  <c r="J2401" i="33"/>
  <c r="J2400" i="33"/>
  <c r="J2435" i="33"/>
  <c r="AU514" i="1"/>
  <c r="I2516" i="33"/>
  <c r="AT584" i="1"/>
  <c r="AT680" i="1"/>
  <c r="I2594" i="33"/>
  <c r="I2592" i="33"/>
  <c r="I2593" i="33"/>
  <c r="K2647" i="33"/>
  <c r="K2646" i="33"/>
  <c r="K2676" i="33"/>
  <c r="K2673" i="33"/>
  <c r="K2675" i="33"/>
  <c r="K2677" i="33"/>
  <c r="K2696" i="33"/>
  <c r="K2697" i="33"/>
  <c r="AT807" i="1"/>
  <c r="I2743" i="33"/>
  <c r="I2744" i="33"/>
  <c r="AT796" i="1"/>
  <c r="I2759" i="33"/>
  <c r="I2762" i="33"/>
  <c r="I2760" i="33"/>
  <c r="I2761" i="33"/>
  <c r="K2775" i="33"/>
  <c r="K2774" i="33"/>
  <c r="AU770" i="1"/>
  <c r="J2854" i="33"/>
  <c r="K2967" i="33"/>
  <c r="K2965" i="33"/>
  <c r="K2966" i="33"/>
  <c r="P3018" i="33"/>
  <c r="AO1010" i="1"/>
  <c r="AQ1010" i="1" s="1"/>
  <c r="P3019" i="33"/>
  <c r="AO944" i="1"/>
  <c r="AQ944" i="1" s="1"/>
  <c r="P3099" i="33"/>
  <c r="P3100" i="33"/>
  <c r="P3106" i="33"/>
  <c r="P3101" i="33"/>
  <c r="P3107" i="33"/>
  <c r="P3104" i="33"/>
  <c r="P3102" i="33"/>
  <c r="P3105" i="33"/>
  <c r="P3103" i="33"/>
  <c r="P3097" i="33"/>
  <c r="P3098" i="33"/>
  <c r="AO778" i="1"/>
  <c r="P3163" i="33"/>
  <c r="AU1255" i="1"/>
  <c r="J3296" i="33"/>
  <c r="J3293" i="33"/>
  <c r="J3295" i="33"/>
  <c r="J3294" i="33"/>
  <c r="J3367" i="33"/>
  <c r="AU999" i="1"/>
  <c r="J3364" i="33"/>
  <c r="J3366" i="33"/>
  <c r="K3649" i="33"/>
  <c r="K3647" i="33"/>
  <c r="K3650" i="33"/>
  <c r="K3648" i="33"/>
  <c r="K3651" i="33"/>
  <c r="K143" i="6"/>
  <c r="K144" i="6"/>
  <c r="K145" i="6"/>
  <c r="I1795" i="33"/>
  <c r="J3277" i="33"/>
  <c r="I2742" i="33"/>
  <c r="AU1022" i="1"/>
  <c r="J1134" i="33"/>
  <c r="AU19" i="1"/>
  <c r="J1137" i="33"/>
  <c r="J1136" i="33"/>
  <c r="J1135" i="33"/>
  <c r="J1164" i="33"/>
  <c r="AU29" i="1"/>
  <c r="J1163" i="33"/>
  <c r="J1162" i="33"/>
  <c r="I1238" i="33"/>
  <c r="I1237" i="33"/>
  <c r="I1234" i="33"/>
  <c r="AT8" i="1"/>
  <c r="I1236" i="33"/>
  <c r="I1235" i="33"/>
  <c r="I1239" i="33"/>
  <c r="J1248" i="33"/>
  <c r="AU80" i="1"/>
  <c r="AU119" i="1"/>
  <c r="J1330" i="33"/>
  <c r="J1329" i="33"/>
  <c r="J1328" i="33"/>
  <c r="K1390" i="33"/>
  <c r="K1388" i="33"/>
  <c r="K1389" i="33"/>
  <c r="AT174" i="1"/>
  <c r="I1538" i="33"/>
  <c r="I1540" i="33"/>
  <c r="I1539" i="33"/>
  <c r="K1591" i="33"/>
  <c r="K1590" i="33"/>
  <c r="K1592" i="33"/>
  <c r="K1589" i="33"/>
  <c r="I1639" i="33"/>
  <c r="AT237" i="1"/>
  <c r="AT233" i="1"/>
  <c r="I1683" i="33"/>
  <c r="K1714" i="33"/>
  <c r="K1715" i="33"/>
  <c r="K1713" i="33"/>
  <c r="K1716" i="33"/>
  <c r="K1712" i="33"/>
  <c r="K1812" i="33"/>
  <c r="K1810" i="33"/>
  <c r="I1857" i="33"/>
  <c r="AT409" i="1"/>
  <c r="I1856" i="33"/>
  <c r="I1899" i="33"/>
  <c r="AT410" i="1"/>
  <c r="I1898" i="33"/>
  <c r="I1947" i="33"/>
  <c r="I1949" i="33"/>
  <c r="I1948" i="33"/>
  <c r="AT345" i="1"/>
  <c r="K1988" i="33"/>
  <c r="K1987" i="33"/>
  <c r="K1986" i="33"/>
  <c r="K1985" i="33"/>
  <c r="AO397" i="1"/>
  <c r="AQ397" i="1" s="1"/>
  <c r="P2017" i="33"/>
  <c r="P2018" i="33"/>
  <c r="P2016" i="33"/>
  <c r="J2072" i="33"/>
  <c r="J2073" i="33"/>
  <c r="P2135" i="33"/>
  <c r="AO517" i="1"/>
  <c r="AQ517" i="1" s="1"/>
  <c r="P2133" i="33"/>
  <c r="P2134" i="33"/>
  <c r="P2136" i="33"/>
  <c r="AO451" i="1"/>
  <c r="AQ451" i="1" s="1"/>
  <c r="P2164" i="33"/>
  <c r="P2163" i="33"/>
  <c r="J2191" i="33"/>
  <c r="AU485" i="1"/>
  <c r="AO538" i="1"/>
  <c r="AQ538" i="1" s="1"/>
  <c r="P2217" i="33"/>
  <c r="P2220" i="33"/>
  <c r="P2218" i="33"/>
  <c r="P2219" i="33"/>
  <c r="P2262" i="33"/>
  <c r="AO540" i="1"/>
  <c r="AQ540" i="1" s="1"/>
  <c r="P2264" i="33"/>
  <c r="P2263" i="33"/>
  <c r="P2336" i="33"/>
  <c r="P2335" i="33"/>
  <c r="AO531" i="1"/>
  <c r="AQ531" i="1" s="1"/>
  <c r="P2333" i="33"/>
  <c r="P2329" i="33"/>
  <c r="P2332" i="33"/>
  <c r="P2334" i="33"/>
  <c r="P2331" i="33"/>
  <c r="P2384" i="33"/>
  <c r="AO494" i="1"/>
  <c r="AQ494" i="1" s="1"/>
  <c r="P2383" i="33"/>
  <c r="P2416" i="33"/>
  <c r="P2418" i="33"/>
  <c r="AO448" i="1"/>
  <c r="AQ448" i="1" s="1"/>
  <c r="P2420" i="33"/>
  <c r="P2419" i="33"/>
  <c r="P2417" i="33"/>
  <c r="AT628" i="1"/>
  <c r="I2638" i="33"/>
  <c r="I2637" i="33"/>
  <c r="I2636" i="33"/>
  <c r="AT817" i="1"/>
  <c r="I2672" i="33"/>
  <c r="I2670" i="33"/>
  <c r="I2671" i="33"/>
  <c r="I2689" i="33"/>
  <c r="I2694" i="33"/>
  <c r="I2692" i="33"/>
  <c r="I2693" i="33"/>
  <c r="I2690" i="33"/>
  <c r="I2691" i="33"/>
  <c r="AT1085" i="1"/>
  <c r="K2738" i="33"/>
  <c r="K2739" i="33"/>
  <c r="K2737" i="33"/>
  <c r="AT822" i="1"/>
  <c r="I2749" i="33"/>
  <c r="I2750" i="33"/>
  <c r="K2769" i="33"/>
  <c r="K2773" i="33"/>
  <c r="K2771" i="33"/>
  <c r="K2770" i="33"/>
  <c r="K2772" i="33"/>
  <c r="P2818" i="33"/>
  <c r="AO687" i="1"/>
  <c r="AQ687" i="1" s="1"/>
  <c r="P2817" i="33"/>
  <c r="P2819" i="33"/>
  <c r="J2852" i="33"/>
  <c r="J2851" i="33"/>
  <c r="J2850" i="33"/>
  <c r="AU871" i="1"/>
  <c r="J2849" i="33"/>
  <c r="J2848" i="33"/>
  <c r="AU922" i="1"/>
  <c r="J3026" i="33"/>
  <c r="AT716" i="1"/>
  <c r="I2853" i="33"/>
  <c r="I3177" i="33"/>
  <c r="AT1019" i="1"/>
  <c r="AO1042" i="1"/>
  <c r="AQ1042" i="1" s="1"/>
  <c r="P3373" i="33"/>
  <c r="P3372" i="33"/>
  <c r="P3375" i="33"/>
  <c r="K3429" i="33"/>
  <c r="K3428" i="33"/>
  <c r="K3449" i="33"/>
  <c r="K3448" i="33"/>
  <c r="J3499" i="33"/>
  <c r="J3500" i="33"/>
  <c r="AU1140" i="1"/>
  <c r="J3616" i="33"/>
  <c r="J3615" i="33"/>
  <c r="AU1217" i="1"/>
  <c r="I1855" i="33"/>
  <c r="K2674" i="33"/>
  <c r="P3096" i="33"/>
  <c r="AT1129" i="1"/>
  <c r="I224" i="6"/>
  <c r="I226" i="6"/>
  <c r="I225" i="6"/>
  <c r="AU1419" i="1"/>
  <c r="J304" i="6"/>
  <c r="J1206" i="33"/>
  <c r="AU35" i="1"/>
  <c r="J1205" i="33"/>
  <c r="J1204" i="33"/>
  <c r="I1241" i="33"/>
  <c r="I1242" i="33"/>
  <c r="AT23" i="1"/>
  <c r="I1243" i="33"/>
  <c r="AU103" i="1"/>
  <c r="J1179" i="33"/>
  <c r="J1180" i="33"/>
  <c r="J1265" i="33"/>
  <c r="J1320" i="33"/>
  <c r="J1182" i="33"/>
  <c r="J1181" i="33"/>
  <c r="J1368" i="33"/>
  <c r="AU34" i="1"/>
  <c r="J1367" i="33"/>
  <c r="K1400" i="33"/>
  <c r="K1402" i="33"/>
  <c r="K1401" i="33"/>
  <c r="K1441" i="33"/>
  <c r="K1442" i="33"/>
  <c r="K1440" i="33"/>
  <c r="AT182" i="1"/>
  <c r="I1611" i="33"/>
  <c r="I1610" i="33"/>
  <c r="AT330" i="1"/>
  <c r="I1733" i="33"/>
  <c r="I1734" i="33"/>
  <c r="I1737" i="33"/>
  <c r="I1736" i="33"/>
  <c r="I1735" i="33"/>
  <c r="K1784" i="33"/>
  <c r="K1783" i="33"/>
  <c r="I1826" i="33"/>
  <c r="AT342" i="1"/>
  <c r="I1825" i="33"/>
  <c r="I1827" i="33"/>
  <c r="AT304" i="1"/>
  <c r="I1836" i="33"/>
  <c r="I1837" i="33"/>
  <c r="I1835" i="33"/>
  <c r="K1854" i="33"/>
  <c r="K1853" i="33"/>
  <c r="K1880" i="33"/>
  <c r="K1879" i="33"/>
  <c r="K1912" i="33"/>
  <c r="K1911" i="33"/>
  <c r="K1913" i="33"/>
  <c r="K1914" i="33"/>
  <c r="AT376" i="1"/>
  <c r="I1979" i="33"/>
  <c r="I1981" i="33"/>
  <c r="I1980" i="33"/>
  <c r="AU467" i="1"/>
  <c r="J2028" i="33"/>
  <c r="J2030" i="33"/>
  <c r="AU471" i="1"/>
  <c r="J2085" i="33"/>
  <c r="AO441" i="1"/>
  <c r="AQ441" i="1" s="1"/>
  <c r="P2142" i="33"/>
  <c r="P2141" i="33"/>
  <c r="P2140" i="33"/>
  <c r="P2172" i="33"/>
  <c r="P2174" i="33"/>
  <c r="P2175" i="33"/>
  <c r="P2173" i="33"/>
  <c r="P2176" i="33"/>
  <c r="AO492" i="1"/>
  <c r="AQ492" i="1" s="1"/>
  <c r="P2206" i="33"/>
  <c r="AO535" i="1"/>
  <c r="AQ535" i="1" s="1"/>
  <c r="P2227" i="33"/>
  <c r="P2230" i="33"/>
  <c r="AO553" i="1"/>
  <c r="AQ553" i="1" s="1"/>
  <c r="P2228" i="33"/>
  <c r="P2229" i="33"/>
  <c r="P2226" i="33"/>
  <c r="P2306" i="33"/>
  <c r="AO554" i="1"/>
  <c r="AQ554" i="1" s="1"/>
  <c r="AU566" i="1"/>
  <c r="J2341" i="33"/>
  <c r="AU636" i="1"/>
  <c r="J2403" i="33"/>
  <c r="J2404" i="33"/>
  <c r="J2402" i="33"/>
  <c r="J2407" i="33"/>
  <c r="J2406" i="33"/>
  <c r="J2405" i="33"/>
  <c r="AU608" i="1"/>
  <c r="J2436" i="33"/>
  <c r="AU662" i="1"/>
  <c r="J2462" i="33"/>
  <c r="J2463" i="33"/>
  <c r="AT1083" i="1"/>
  <c r="I2600" i="33"/>
  <c r="I2599" i="33"/>
  <c r="I2598" i="33"/>
  <c r="I2602" i="33"/>
  <c r="I2601" i="33"/>
  <c r="K2655" i="33"/>
  <c r="K2653" i="33"/>
  <c r="I2763" i="33"/>
  <c r="I2764" i="33"/>
  <c r="I2765" i="33"/>
  <c r="AT797" i="1"/>
  <c r="I2766" i="33"/>
  <c r="I2768" i="33"/>
  <c r="I2767" i="33"/>
  <c r="AT877" i="1"/>
  <c r="I2790" i="33"/>
  <c r="I2787" i="33"/>
  <c r="I2788" i="33"/>
  <c r="I2789" i="33"/>
  <c r="J2871" i="33"/>
  <c r="J2872" i="33"/>
  <c r="J2870" i="33"/>
  <c r="AU849" i="1"/>
  <c r="P3072" i="33"/>
  <c r="P3076" i="33"/>
  <c r="P3077" i="33"/>
  <c r="P3070" i="33"/>
  <c r="AO990" i="1"/>
  <c r="AQ990" i="1" s="1"/>
  <c r="P3074" i="33"/>
  <c r="P3071" i="33"/>
  <c r="P3075" i="33"/>
  <c r="J3122" i="33"/>
  <c r="AU1211" i="1"/>
  <c r="J3121" i="33"/>
  <c r="J3120" i="33"/>
  <c r="AO980" i="1"/>
  <c r="AQ980" i="1" s="1"/>
  <c r="P3139" i="33"/>
  <c r="AT1107" i="1"/>
  <c r="I3209" i="33"/>
  <c r="AO1031" i="1"/>
  <c r="AQ1031" i="1" s="1"/>
  <c r="P3287" i="33"/>
  <c r="P3284" i="33"/>
  <c r="P3286" i="33"/>
  <c r="P3285" i="33"/>
  <c r="P3320" i="33"/>
  <c r="AO1216" i="1"/>
  <c r="P3321" i="33"/>
  <c r="P3319" i="33"/>
  <c r="J3377" i="33"/>
  <c r="AU1033" i="1"/>
  <c r="AT1150" i="1"/>
  <c r="I3431" i="33"/>
  <c r="I3432" i="33"/>
  <c r="I3430" i="33"/>
  <c r="AO1319" i="1"/>
  <c r="AQ1319" i="1" s="1"/>
  <c r="P3617" i="33"/>
  <c r="AT1225" i="1"/>
  <c r="I3654" i="33"/>
  <c r="I3652" i="33"/>
  <c r="I96" i="6"/>
  <c r="I97" i="6"/>
  <c r="I3653" i="33"/>
  <c r="J2256" i="33"/>
  <c r="J3378" i="33"/>
  <c r="P3374" i="33"/>
  <c r="K1114" i="33"/>
  <c r="K1113" i="33"/>
  <c r="K1194" i="33"/>
  <c r="K1195" i="33"/>
  <c r="AT45" i="1"/>
  <c r="I1247" i="33"/>
  <c r="I1245" i="33"/>
  <c r="I1246" i="33"/>
  <c r="I1244" i="33"/>
  <c r="AT44" i="1"/>
  <c r="I1295" i="33"/>
  <c r="I1297" i="33"/>
  <c r="I1296" i="33"/>
  <c r="I1298" i="33"/>
  <c r="I1381" i="33"/>
  <c r="AT127" i="1"/>
  <c r="K1432" i="33"/>
  <c r="K1430" i="33"/>
  <c r="K1431" i="33"/>
  <c r="I1515" i="33"/>
  <c r="AT165" i="1"/>
  <c r="I1551" i="33"/>
  <c r="I1554" i="33"/>
  <c r="AT15" i="1"/>
  <c r="I1552" i="33"/>
  <c r="AT232" i="1"/>
  <c r="I1608" i="33"/>
  <c r="I1655" i="33"/>
  <c r="I1654" i="33"/>
  <c r="AT257" i="1"/>
  <c r="I1753" i="33"/>
  <c r="AT294" i="1"/>
  <c r="AT536" i="1"/>
  <c r="I1818" i="33"/>
  <c r="I1814" i="33"/>
  <c r="I1817" i="33"/>
  <c r="I1816" i="33"/>
  <c r="I1813" i="33"/>
  <c r="I1822" i="33"/>
  <c r="I1819" i="33"/>
  <c r="I1820" i="33"/>
  <c r="I1821" i="33"/>
  <c r="I1823" i="33"/>
  <c r="I1815" i="33"/>
  <c r="I1843" i="33"/>
  <c r="I1844" i="33"/>
  <c r="P2021" i="33"/>
  <c r="P2022" i="33"/>
  <c r="P2023" i="33"/>
  <c r="AO421" i="1"/>
  <c r="AQ421" i="1" s="1"/>
  <c r="P2024" i="33"/>
  <c r="AU440" i="1"/>
  <c r="J2082" i="33"/>
  <c r="J2083" i="33"/>
  <c r="J2081" i="33"/>
  <c r="P2162" i="33"/>
  <c r="AO490" i="1"/>
  <c r="AQ490" i="1" s="1"/>
  <c r="AU457" i="1"/>
  <c r="J2177" i="33"/>
  <c r="J2179" i="33"/>
  <c r="P2214" i="33"/>
  <c r="AO461" i="1"/>
  <c r="AQ461" i="1" s="1"/>
  <c r="J2267" i="33"/>
  <c r="AU480" i="1"/>
  <c r="AO612" i="1"/>
  <c r="AQ612" i="1" s="1"/>
  <c r="P2357" i="33"/>
  <c r="P2360" i="33"/>
  <c r="P2358" i="33"/>
  <c r="P2359" i="33"/>
  <c r="P2398" i="33"/>
  <c r="AO633" i="1"/>
  <c r="AQ633" i="1" s="1"/>
  <c r="P2397" i="33"/>
  <c r="AO634" i="1"/>
  <c r="AQ634" i="1" s="1"/>
  <c r="P2444" i="33"/>
  <c r="P2443" i="33"/>
  <c r="K2506" i="33"/>
  <c r="K2507" i="33"/>
  <c r="K2509" i="33"/>
  <c r="I2620" i="33"/>
  <c r="AT709" i="1"/>
  <c r="K2666" i="33"/>
  <c r="K2665" i="33"/>
  <c r="K2667" i="33"/>
  <c r="AT809" i="1"/>
  <c r="I2682" i="33"/>
  <c r="I2722" i="33"/>
  <c r="I2725" i="33"/>
  <c r="AT669" i="1"/>
  <c r="I2726" i="33"/>
  <c r="I2721" i="33"/>
  <c r="I2724" i="33"/>
  <c r="I2723" i="33"/>
  <c r="I2747" i="33"/>
  <c r="I2748" i="33"/>
  <c r="I2746" i="33"/>
  <c r="AT767" i="1"/>
  <c r="J2804" i="33"/>
  <c r="AU981" i="1"/>
  <c r="J2808" i="33"/>
  <c r="J2806" i="33"/>
  <c r="J2802" i="33"/>
  <c r="J2805" i="33"/>
  <c r="J2807" i="33"/>
  <c r="J2803" i="33"/>
  <c r="J2800" i="33"/>
  <c r="J2801" i="33"/>
  <c r="P2864" i="33"/>
  <c r="P2863" i="33"/>
  <c r="AO905" i="1"/>
  <c r="AQ905" i="1" s="1"/>
  <c r="P2862" i="33"/>
  <c r="P2865" i="33"/>
  <c r="AT890" i="1"/>
  <c r="I2957" i="33"/>
  <c r="I2956" i="33"/>
  <c r="I2958" i="33"/>
  <c r="P3035" i="33"/>
  <c r="P3032" i="33"/>
  <c r="P3033" i="33"/>
  <c r="AO1007" i="1"/>
  <c r="AQ1007" i="1" s="1"/>
  <c r="P3034" i="33"/>
  <c r="J3132" i="33"/>
  <c r="AU1082" i="1"/>
  <c r="J3131" i="33"/>
  <c r="J3130" i="33"/>
  <c r="AT1053" i="1"/>
  <c r="I3175" i="33"/>
  <c r="AT1047" i="1"/>
  <c r="I3250" i="33"/>
  <c r="I3249" i="33"/>
  <c r="I3248" i="33"/>
  <c r="I3251" i="33"/>
  <c r="AO1043" i="1"/>
  <c r="AQ1043" i="1" s="1"/>
  <c r="P3339" i="33"/>
  <c r="AO1174" i="1"/>
  <c r="AQ1174" i="1" s="1"/>
  <c r="P3381" i="33"/>
  <c r="P3384" i="33"/>
  <c r="P3385" i="33"/>
  <c r="P3382" i="33"/>
  <c r="J3467" i="33"/>
  <c r="AU1260" i="1"/>
  <c r="J3468" i="33"/>
  <c r="J3466" i="33"/>
  <c r="AO1183" i="1"/>
  <c r="AQ1183" i="1" s="1"/>
  <c r="P3524" i="33"/>
  <c r="P3523" i="33"/>
  <c r="P3525" i="33"/>
  <c r="AT1339" i="1"/>
  <c r="I3643" i="33"/>
  <c r="I3646" i="33"/>
  <c r="I3642" i="33"/>
  <c r="I3645" i="33"/>
  <c r="I3644" i="33"/>
  <c r="J2183" i="33"/>
  <c r="J1147" i="33"/>
  <c r="K1457" i="33"/>
  <c r="K1811" i="33"/>
  <c r="I2597" i="33"/>
  <c r="I1731" i="33"/>
  <c r="J1148" i="33"/>
  <c r="I95" i="6"/>
  <c r="AU437" i="1"/>
  <c r="AT1263" i="1"/>
  <c r="I159" i="6"/>
  <c r="J1144" i="33"/>
  <c r="J1143" i="33"/>
  <c r="AU50" i="1"/>
  <c r="J1145" i="33"/>
  <c r="K1257" i="33"/>
  <c r="K1258" i="33"/>
  <c r="K1256" i="33"/>
  <c r="AU48" i="1"/>
  <c r="J1361" i="33"/>
  <c r="J1364" i="33"/>
  <c r="J1363" i="33"/>
  <c r="J1362" i="33"/>
  <c r="I1383" i="33"/>
  <c r="AT47" i="1"/>
  <c r="I1382" i="33"/>
  <c r="AT150" i="1"/>
  <c r="I1407" i="33"/>
  <c r="K1418" i="33"/>
  <c r="K1423" i="33"/>
  <c r="K1447" i="33"/>
  <c r="K1446" i="33"/>
  <c r="K1422" i="33"/>
  <c r="K1448" i="33"/>
  <c r="K1424" i="33"/>
  <c r="K1421" i="33"/>
  <c r="I1545" i="33"/>
  <c r="AT204" i="1"/>
  <c r="I1544" i="33"/>
  <c r="I1542" i="33"/>
  <c r="K1604" i="33"/>
  <c r="K1603" i="33"/>
  <c r="AT279" i="1"/>
  <c r="I1710" i="33"/>
  <c r="I1711" i="33"/>
  <c r="AT379" i="1"/>
  <c r="I1792" i="33"/>
  <c r="I1794" i="33"/>
  <c r="K1865" i="33"/>
  <c r="K1866" i="33"/>
  <c r="I1896" i="33"/>
  <c r="AT359" i="1"/>
  <c r="I1895" i="33"/>
  <c r="K1930" i="33"/>
  <c r="K1929" i="33"/>
  <c r="K1976" i="33"/>
  <c r="K1978" i="33"/>
  <c r="K1975" i="33"/>
  <c r="K1977" i="33"/>
  <c r="AO355" i="1"/>
  <c r="AQ355" i="1" s="1"/>
  <c r="P2008" i="33"/>
  <c r="AU416" i="1"/>
  <c r="J2061" i="33"/>
  <c r="J2121" i="33"/>
  <c r="AU438" i="1"/>
  <c r="J2123" i="33"/>
  <c r="J2120" i="33"/>
  <c r="J2119" i="33"/>
  <c r="J2122" i="33"/>
  <c r="AO476" i="1"/>
  <c r="AQ476" i="1" s="1"/>
  <c r="P2166" i="33"/>
  <c r="P2165" i="33"/>
  <c r="AU549" i="1"/>
  <c r="J2205" i="33"/>
  <c r="J2201" i="33"/>
  <c r="J2202" i="33"/>
  <c r="J2203" i="33"/>
  <c r="AU519" i="1"/>
  <c r="J2225" i="33"/>
  <c r="J2224" i="33"/>
  <c r="AU508" i="1"/>
  <c r="J2283" i="33"/>
  <c r="J2278" i="33"/>
  <c r="J2277" i="33"/>
  <c r="J2282" i="33"/>
  <c r="J2281" i="33"/>
  <c r="J2275" i="33"/>
  <c r="J2276" i="33"/>
  <c r="J2280" i="33"/>
  <c r="J2346" i="33"/>
  <c r="J2343" i="33"/>
  <c r="AU589" i="1"/>
  <c r="J2342" i="33"/>
  <c r="J2347" i="33"/>
  <c r="J2345" i="33"/>
  <c r="J2344" i="33"/>
  <c r="AU520" i="1"/>
  <c r="J2393" i="33"/>
  <c r="P2421" i="33"/>
  <c r="AO632" i="1"/>
  <c r="AU613" i="1"/>
  <c r="J2460" i="33"/>
  <c r="J2461" i="33"/>
  <c r="J2457" i="33"/>
  <c r="AT657" i="1"/>
  <c r="I2524" i="33"/>
  <c r="I2529" i="33"/>
  <c r="I2527" i="33"/>
  <c r="I2525" i="33"/>
  <c r="I2522" i="33"/>
  <c r="I2523" i="33"/>
  <c r="I2528" i="33"/>
  <c r="I2526" i="33"/>
  <c r="AT739" i="1"/>
  <c r="I2595" i="33"/>
  <c r="I2596" i="33"/>
  <c r="K2657" i="33"/>
  <c r="K2656" i="33"/>
  <c r="AT670" i="1"/>
  <c r="I2678" i="33"/>
  <c r="I2679" i="33"/>
  <c r="I2680" i="33"/>
  <c r="AT645" i="1"/>
  <c r="I2720" i="33"/>
  <c r="I2719" i="33"/>
  <c r="K2741" i="33"/>
  <c r="K2740" i="33"/>
  <c r="I2752" i="33"/>
  <c r="AT777" i="1"/>
  <c r="I2754" i="33"/>
  <c r="I2755" i="33"/>
  <c r="AT952" i="1"/>
  <c r="I2779" i="33"/>
  <c r="I2781" i="33"/>
  <c r="I2778" i="33"/>
  <c r="I2780" i="33"/>
  <c r="I2777" i="33"/>
  <c r="I2776" i="33"/>
  <c r="I2782" i="33"/>
  <c r="AU1055" i="1"/>
  <c r="J2837" i="33"/>
  <c r="J2838" i="33"/>
  <c r="J2834" i="33"/>
  <c r="J2836" i="33"/>
  <c r="J2835" i="33"/>
  <c r="K2889" i="33"/>
  <c r="K2890" i="33"/>
  <c r="K2891" i="33"/>
  <c r="I2970" i="33"/>
  <c r="AT1009" i="1"/>
  <c r="I2968" i="33"/>
  <c r="I2969" i="33"/>
  <c r="P3021" i="33"/>
  <c r="AO988" i="1"/>
  <c r="AQ988" i="1" s="1"/>
  <c r="P3020" i="33"/>
  <c r="AU1074" i="1"/>
  <c r="J3082" i="33"/>
  <c r="J3084" i="33"/>
  <c r="J3083" i="33"/>
  <c r="AO1017" i="1"/>
  <c r="AQ1017" i="1" s="1"/>
  <c r="P3129" i="33"/>
  <c r="P3127" i="33"/>
  <c r="AU1095" i="1"/>
  <c r="J3279" i="33"/>
  <c r="J3280" i="33"/>
  <c r="J3344" i="33"/>
  <c r="AU1115" i="1"/>
  <c r="J3379" i="33"/>
  <c r="J3380" i="33"/>
  <c r="AU1238" i="1"/>
  <c r="K150" i="6"/>
  <c r="K151" i="6"/>
  <c r="J3498" i="33"/>
  <c r="AU1165" i="1"/>
  <c r="J3540" i="33"/>
  <c r="J3538" i="33"/>
  <c r="J3536" i="33"/>
  <c r="J3537" i="33"/>
  <c r="AU1269" i="1"/>
  <c r="J3539" i="33"/>
  <c r="K3628" i="33"/>
  <c r="K3631" i="33"/>
  <c r="K3633" i="33"/>
  <c r="K3632" i="33"/>
  <c r="K3630" i="33"/>
  <c r="K3629" i="33"/>
  <c r="I2753" i="33"/>
  <c r="J3368" i="33"/>
  <c r="J2178" i="33"/>
  <c r="I1553" i="33"/>
  <c r="I1240" i="33"/>
  <c r="I1541" i="33"/>
  <c r="K2508" i="33"/>
  <c r="J2869" i="33"/>
  <c r="P3563" i="33"/>
  <c r="P3338" i="33"/>
  <c r="AT381" i="1"/>
  <c r="K3455" i="33"/>
  <c r="K3457" i="33"/>
  <c r="K3458" i="33"/>
  <c r="K3461" i="33"/>
  <c r="K3456" i="33"/>
  <c r="K3459" i="33"/>
  <c r="I1186" i="33"/>
  <c r="I1185" i="33"/>
  <c r="AT58" i="1"/>
  <c r="I1183" i="33"/>
  <c r="I1187" i="33"/>
  <c r="K1377" i="33"/>
  <c r="K1378" i="33"/>
  <c r="K1403" i="33"/>
  <c r="K1404" i="33"/>
  <c r="K1460" i="33"/>
  <c r="K1459" i="33"/>
  <c r="J1188" i="33"/>
  <c r="J1189" i="33"/>
  <c r="AU72" i="1"/>
  <c r="J1190" i="33"/>
  <c r="I1620" i="33"/>
  <c r="AT280" i="1"/>
  <c r="I1623" i="33"/>
  <c r="I1624" i="33"/>
  <c r="I1625" i="33"/>
  <c r="I1622" i="33"/>
  <c r="I1709" i="33"/>
  <c r="AT296" i="1"/>
  <c r="K1786" i="33"/>
  <c r="K1787" i="33"/>
  <c r="K1788" i="33"/>
  <c r="K1877" i="33"/>
  <c r="K1878" i="33"/>
  <c r="K1926" i="33"/>
  <c r="K1928" i="33"/>
  <c r="K1927" i="33"/>
  <c r="I1995" i="33"/>
  <c r="AT375" i="1"/>
  <c r="J2046" i="33"/>
  <c r="J2050" i="33"/>
  <c r="J2048" i="33"/>
  <c r="J2051" i="33"/>
  <c r="J2047" i="33"/>
  <c r="J2045" i="33"/>
  <c r="AU390" i="1"/>
  <c r="J2049" i="33"/>
  <c r="AU428" i="1"/>
  <c r="J2099" i="33"/>
  <c r="AU489" i="1"/>
  <c r="J2187" i="33"/>
  <c r="J2222" i="33"/>
  <c r="J2221" i="33"/>
  <c r="P2269" i="33"/>
  <c r="P2271" i="33"/>
  <c r="AO522" i="1"/>
  <c r="AQ522" i="1" s="1"/>
  <c r="P2272" i="33"/>
  <c r="P2380" i="33"/>
  <c r="P2381" i="33"/>
  <c r="P2382" i="33"/>
  <c r="AO501" i="1"/>
  <c r="AQ501" i="1" s="1"/>
  <c r="P2379" i="33"/>
  <c r="J2415" i="33"/>
  <c r="J2414" i="33"/>
  <c r="AU611" i="1"/>
  <c r="AU557" i="1"/>
  <c r="J2447" i="33"/>
  <c r="AT640" i="1"/>
  <c r="I2622" i="33"/>
  <c r="I2621" i="33"/>
  <c r="K2669" i="33"/>
  <c r="K2668" i="33"/>
  <c r="AT679" i="1"/>
  <c r="I2716" i="33"/>
  <c r="I2715" i="33"/>
  <c r="I2718" i="33"/>
  <c r="P2823" i="33"/>
  <c r="P2821" i="33"/>
  <c r="P2824" i="33"/>
  <c r="AO1058" i="1"/>
  <c r="AQ1058" i="1" s="1"/>
  <c r="P2825" i="33"/>
  <c r="P2822" i="33"/>
  <c r="AO895" i="1"/>
  <c r="AQ895" i="1" s="1"/>
  <c r="P3008" i="33"/>
  <c r="P3007" i="33"/>
  <c r="P3009" i="33"/>
  <c r="P3089" i="33"/>
  <c r="AO884" i="1"/>
  <c r="AQ884" i="1" s="1"/>
  <c r="P3088" i="33"/>
  <c r="P3091" i="33"/>
  <c r="P3090" i="33"/>
  <c r="P3161" i="33"/>
  <c r="AO1084" i="1"/>
  <c r="AQ1084" i="1" s="1"/>
  <c r="P3157" i="33"/>
  <c r="P3158" i="33"/>
  <c r="P3160" i="33"/>
  <c r="P3156" i="33"/>
  <c r="P3159" i="33"/>
  <c r="I3229" i="33"/>
  <c r="I3227" i="33"/>
  <c r="I3225" i="33"/>
  <c r="AT1068" i="1"/>
  <c r="I3228" i="33"/>
  <c r="I3230" i="33"/>
  <c r="I3231" i="33"/>
  <c r="I3226" i="33"/>
  <c r="I3224" i="33"/>
  <c r="AO1248" i="1"/>
  <c r="AQ1248" i="1" s="1"/>
  <c r="P3302" i="33"/>
  <c r="P3304" i="33"/>
  <c r="P3305" i="33"/>
  <c r="J3386" i="33"/>
  <c r="AU1036" i="1"/>
  <c r="J3388" i="33"/>
  <c r="J3387" i="33"/>
  <c r="AU1201" i="1"/>
  <c r="J3502" i="33"/>
  <c r="AT1287" i="1"/>
  <c r="I93" i="6"/>
  <c r="I94" i="6"/>
  <c r="I3656" i="33"/>
  <c r="I3655" i="33"/>
  <c r="I1543" i="33"/>
  <c r="I1621" i="33"/>
  <c r="P2330" i="33"/>
  <c r="I1184" i="33"/>
  <c r="I2530" i="33"/>
  <c r="J2031" i="33"/>
  <c r="I1462" i="33"/>
  <c r="P3164" i="33"/>
  <c r="J2279" i="33"/>
  <c r="I2756" i="33"/>
  <c r="AT168" i="1"/>
  <c r="I3445" i="33"/>
  <c r="AT1193" i="1"/>
  <c r="I1606" i="33"/>
  <c r="J2158" i="33"/>
  <c r="K1132" i="33"/>
  <c r="K1420" i="33"/>
  <c r="I1897" i="33"/>
  <c r="J3501" i="33"/>
  <c r="P1327" i="33"/>
  <c r="P3128" i="33"/>
  <c r="P2820" i="33"/>
  <c r="K1962" i="33"/>
  <c r="J2204" i="33"/>
  <c r="J2223" i="33"/>
  <c r="J2459" i="33"/>
  <c r="AU100" i="1"/>
  <c r="V1125" i="1"/>
  <c r="V961" i="1"/>
  <c r="AQ1610" i="1"/>
  <c r="K501" i="6"/>
  <c r="K577" i="6"/>
  <c r="N577" i="6" s="1"/>
  <c r="L139" i="36"/>
  <c r="J497" i="6"/>
  <c r="AT1608" i="1"/>
  <c r="I2734" i="33"/>
  <c r="I2736" i="33"/>
  <c r="K3451" i="33"/>
  <c r="K3450" i="33"/>
  <c r="K3454" i="33"/>
  <c r="AQ812" i="1"/>
  <c r="AQ436" i="1"/>
  <c r="K239" i="6"/>
  <c r="K241" i="6"/>
  <c r="K226" i="6"/>
  <c r="K224" i="6"/>
  <c r="AU1281" i="1"/>
  <c r="J244" i="6"/>
  <c r="J246" i="6"/>
  <c r="J243" i="6"/>
  <c r="AT1306" i="1"/>
  <c r="I172" i="6"/>
  <c r="AT1308" i="1"/>
  <c r="I209" i="6"/>
  <c r="AO1346" i="1"/>
  <c r="AQ1346" i="1" s="1"/>
  <c r="P210" i="6"/>
  <c r="P327" i="6"/>
  <c r="P328" i="6"/>
  <c r="AT1397" i="1"/>
  <c r="I343" i="6"/>
  <c r="AU1387" i="1"/>
  <c r="J176" i="6"/>
  <c r="I3456" i="33"/>
  <c r="I3459" i="33"/>
  <c r="AO19" i="1"/>
  <c r="AQ19" i="1" s="1"/>
  <c r="P1135" i="33"/>
  <c r="I1141" i="33"/>
  <c r="I1139" i="33"/>
  <c r="P1146" i="33"/>
  <c r="P1149" i="33"/>
  <c r="AO100" i="1"/>
  <c r="AQ100" i="1" s="1"/>
  <c r="AT79" i="1"/>
  <c r="I1157" i="33"/>
  <c r="I1160" i="33"/>
  <c r="I1158" i="33"/>
  <c r="I1129" i="33"/>
  <c r="AO29" i="1"/>
  <c r="AQ29" i="1" s="1"/>
  <c r="P1163" i="33"/>
  <c r="I1172" i="33"/>
  <c r="AT60" i="1"/>
  <c r="I1170" i="33"/>
  <c r="AT77" i="1"/>
  <c r="I1202" i="33"/>
  <c r="I1201" i="33"/>
  <c r="I1198" i="33"/>
  <c r="I1203" i="33"/>
  <c r="AO35" i="1"/>
  <c r="AQ35" i="1" s="1"/>
  <c r="P1205" i="33"/>
  <c r="P1206" i="33"/>
  <c r="AU93" i="1"/>
  <c r="J1212" i="33"/>
  <c r="J1211" i="33"/>
  <c r="J1175" i="33"/>
  <c r="J1177" i="33"/>
  <c r="AU98" i="1"/>
  <c r="J1176" i="33"/>
  <c r="J216" i="6"/>
  <c r="P297" i="6"/>
  <c r="AQ332" i="1"/>
  <c r="AO1415" i="1"/>
  <c r="AQ1415" i="1" s="1"/>
  <c r="AQ748" i="1"/>
  <c r="AQ268" i="1"/>
  <c r="AQ284" i="1"/>
  <c r="AQ292" i="1"/>
  <c r="AQ564" i="1"/>
  <c r="AQ604" i="1"/>
  <c r="AQ652" i="1"/>
  <c r="I174" i="6"/>
  <c r="I2735" i="33"/>
  <c r="I208" i="6"/>
  <c r="J215" i="6"/>
  <c r="I207" i="6"/>
  <c r="AQ1036" i="1"/>
  <c r="AQ1412" i="1"/>
  <c r="K3108" i="33"/>
  <c r="I173" i="6"/>
  <c r="AQ1148" i="1"/>
  <c r="AQ588" i="1"/>
  <c r="K3110" i="33"/>
  <c r="K3109" i="33"/>
  <c r="K225" i="6"/>
  <c r="K327" i="6"/>
  <c r="AQ692" i="1"/>
  <c r="I1682" i="33"/>
  <c r="P1328" i="33"/>
  <c r="K1794" i="33"/>
  <c r="P1178" i="33"/>
  <c r="K1546" i="33"/>
  <c r="I2478" i="33"/>
  <c r="I2545" i="33"/>
  <c r="I1525" i="33"/>
  <c r="K1843" i="33"/>
  <c r="I1576" i="33"/>
  <c r="K2525" i="33"/>
  <c r="I1717" i="33"/>
  <c r="P2211" i="33"/>
  <c r="I2483" i="33"/>
  <c r="J2310" i="33"/>
  <c r="P2304" i="33"/>
  <c r="P1368" i="33"/>
  <c r="P2204" i="33"/>
  <c r="AQ316" i="1"/>
  <c r="AQ1172" i="1"/>
  <c r="AO981" i="1"/>
  <c r="AQ981" i="1" s="1"/>
  <c r="AO439" i="1"/>
  <c r="AQ439" i="1" s="1"/>
  <c r="AO428" i="1"/>
  <c r="AQ428" i="1" s="1"/>
  <c r="AT199" i="1"/>
  <c r="AT138" i="1"/>
  <c r="AQ308" i="1"/>
  <c r="V9" i="1"/>
  <c r="V38" i="1"/>
  <c r="V45" i="1"/>
  <c r="V78" i="1"/>
  <c r="V85" i="1"/>
  <c r="V130" i="1"/>
  <c r="V141" i="1"/>
  <c r="V165" i="1"/>
  <c r="V176" i="1"/>
  <c r="V208" i="1"/>
  <c r="V240" i="1"/>
  <c r="V246" i="1"/>
  <c r="V255" i="1"/>
  <c r="V288" i="1"/>
  <c r="V309" i="1"/>
  <c r="AQ116" i="1"/>
  <c r="AQ212" i="1"/>
  <c r="AQ220" i="1"/>
  <c r="AQ364" i="1"/>
  <c r="AQ460" i="1"/>
  <c r="AQ876" i="1"/>
  <c r="AQ700" i="1"/>
  <c r="AQ788" i="1"/>
  <c r="AQ852" i="1"/>
  <c r="AQ828" i="1"/>
  <c r="AQ836" i="1"/>
  <c r="AQ860" i="1"/>
  <c r="V1123" i="1"/>
  <c r="J2386" i="33"/>
  <c r="J2124" i="33"/>
  <c r="J2353" i="33"/>
  <c r="K2524" i="33"/>
  <c r="I1679" i="33"/>
  <c r="AQ276" i="1"/>
  <c r="AQ724" i="1"/>
  <c r="AQ1276" i="1"/>
  <c r="AQ596" i="1"/>
  <c r="AU668" i="1"/>
  <c r="AU586" i="1"/>
  <c r="AU882" i="1"/>
  <c r="AU582" i="1"/>
  <c r="AU452" i="1"/>
  <c r="AT373" i="1"/>
  <c r="AT266" i="1"/>
  <c r="AT267" i="1"/>
  <c r="AT173" i="1"/>
  <c r="J1341" i="33"/>
  <c r="AQ1396" i="1"/>
  <c r="J3147" i="33"/>
  <c r="AQ348" i="1"/>
  <c r="AQ740" i="1"/>
  <c r="V236" i="1"/>
  <c r="V302" i="1"/>
  <c r="V305" i="1"/>
  <c r="V311" i="1"/>
  <c r="I1227" i="33"/>
  <c r="K1237" i="33"/>
  <c r="P1321" i="33"/>
  <c r="J1334" i="33"/>
  <c r="P1179" i="33"/>
  <c r="I1650" i="33"/>
  <c r="K1813" i="33"/>
  <c r="J1335" i="33"/>
  <c r="P2282" i="33"/>
  <c r="I2557" i="33"/>
  <c r="K1922" i="33"/>
  <c r="J2376" i="33"/>
  <c r="K2595" i="33"/>
  <c r="K1610" i="33"/>
  <c r="J211" i="6"/>
  <c r="P2347" i="33"/>
  <c r="AQ1404" i="1"/>
  <c r="AQ380" i="1"/>
  <c r="AQ1348" i="1"/>
  <c r="AU886" i="1"/>
  <c r="AT708" i="1"/>
  <c r="AT773" i="1"/>
  <c r="AT643" i="1"/>
  <c r="AT610" i="1"/>
  <c r="AO508" i="1"/>
  <c r="AQ508" i="1" s="1"/>
  <c r="AO489" i="1"/>
  <c r="AQ489" i="1" s="1"/>
  <c r="AU472" i="1"/>
  <c r="AU22" i="1"/>
  <c r="AT793" i="1"/>
  <c r="AT1146" i="1"/>
  <c r="AQ1140" i="1"/>
  <c r="AQ1188" i="1"/>
  <c r="AQ20" i="1"/>
  <c r="AQ52" i="1"/>
  <c r="AQ156" i="1"/>
  <c r="AQ172" i="1"/>
  <c r="AQ356" i="1"/>
  <c r="AQ412" i="1"/>
  <c r="AQ516" i="1"/>
  <c r="AQ548" i="1"/>
  <c r="AQ732" i="1"/>
  <c r="K1238" i="33"/>
  <c r="I1415" i="33"/>
  <c r="J1332" i="33"/>
  <c r="P2305" i="33"/>
  <c r="K1837" i="33"/>
  <c r="K2594" i="33"/>
  <c r="J2375" i="33"/>
  <c r="AQ1100" i="1"/>
  <c r="AQ532" i="1"/>
  <c r="AQ972" i="1"/>
  <c r="AQ780" i="1"/>
  <c r="V58" i="1"/>
  <c r="V177" i="1"/>
  <c r="V216" i="1"/>
  <c r="V238" i="1"/>
  <c r="V423" i="1"/>
  <c r="V427" i="1"/>
  <c r="V432" i="1"/>
  <c r="V437" i="1"/>
  <c r="AQ1092" i="1"/>
  <c r="I474" i="6"/>
  <c r="E117" i="7"/>
  <c r="K573" i="6"/>
  <c r="N573" i="6" s="1"/>
  <c r="K576" i="6"/>
  <c r="N576" i="6" s="1"/>
  <c r="AQ4" i="1"/>
  <c r="AQ36" i="1"/>
  <c r="AQ132" i="1"/>
  <c r="AQ236" i="1"/>
  <c r="AQ444" i="1"/>
  <c r="AQ868" i="1"/>
  <c r="AQ964" i="1"/>
  <c r="AQ1220" i="1"/>
  <c r="AQ1332" i="1"/>
  <c r="AQ676" i="1"/>
  <c r="AQ620" i="1"/>
  <c r="AQ1492" i="1"/>
  <c r="AQ804" i="1"/>
  <c r="AQ900" i="1"/>
  <c r="AQ1116" i="1"/>
  <c r="AQ908" i="1"/>
  <c r="AQ916" i="1"/>
  <c r="V1004" i="1"/>
  <c r="AQ1212" i="1"/>
  <c r="AQ1300" i="1"/>
  <c r="AQ1292" i="1"/>
  <c r="AQ1252" i="1"/>
  <c r="AQ1244" i="1"/>
  <c r="V455" i="1"/>
  <c r="V461" i="1"/>
  <c r="V470" i="1"/>
  <c r="V486" i="1"/>
  <c r="V496" i="1"/>
  <c r="V502" i="1"/>
  <c r="V506" i="1"/>
  <c r="V515" i="1"/>
  <c r="V537" i="1"/>
  <c r="V559" i="1"/>
  <c r="V564" i="1"/>
  <c r="V586" i="1"/>
  <c r="V592" i="1"/>
  <c r="V601" i="1"/>
  <c r="V605" i="1"/>
  <c r="V626" i="1"/>
  <c r="V631" i="1"/>
  <c r="V672" i="1"/>
  <c r="V681" i="1"/>
  <c r="V714" i="1"/>
  <c r="V719" i="1"/>
  <c r="V729" i="1"/>
  <c r="V733" i="1"/>
  <c r="AQ260" i="1"/>
  <c r="AQ340" i="1"/>
  <c r="AQ556" i="1"/>
  <c r="AQ644" i="1"/>
  <c r="V677" i="1"/>
  <c r="V683" i="1"/>
  <c r="V704" i="1"/>
  <c r="V721" i="1"/>
  <c r="V758" i="1"/>
  <c r="V763" i="1"/>
  <c r="V815" i="1"/>
  <c r="V857" i="1"/>
  <c r="V803" i="1"/>
  <c r="V843" i="1"/>
  <c r="V877" i="1"/>
  <c r="V819" i="1"/>
  <c r="V812" i="1"/>
  <c r="V868" i="1"/>
  <c r="V894" i="1"/>
  <c r="V904" i="1"/>
  <c r="V1067" i="1"/>
  <c r="V1195" i="1"/>
  <c r="V1162" i="1"/>
  <c r="V1071" i="1"/>
  <c r="V1134" i="1"/>
  <c r="V911" i="1"/>
  <c r="V922" i="1"/>
  <c r="V936" i="1"/>
  <c r="V879" i="1"/>
  <c r="AQ820" i="1"/>
  <c r="AQ892" i="1"/>
  <c r="V928" i="1"/>
  <c r="V929" i="1"/>
  <c r="V930" i="1"/>
  <c r="V931" i="1"/>
  <c r="V933" i="1"/>
  <c r="V1119" i="1"/>
  <c r="V1003" i="1"/>
  <c r="V959" i="1"/>
  <c r="V965" i="1"/>
  <c r="V1038" i="1"/>
  <c r="V991" i="1"/>
  <c r="V988" i="1"/>
  <c r="V1006" i="1"/>
  <c r="V969" i="1"/>
  <c r="V1074" i="1"/>
  <c r="V1019" i="1"/>
  <c r="V1040" i="1"/>
  <c r="V996" i="1"/>
  <c r="V1064" i="1"/>
  <c r="AQ1028" i="1"/>
  <c r="AQ1124" i="1"/>
  <c r="AQ1156" i="1"/>
  <c r="V1141" i="1"/>
  <c r="V1178" i="1"/>
  <c r="AQ1324" i="1"/>
  <c r="V1332" i="1"/>
  <c r="V1408" i="1"/>
  <c r="AQ1388" i="1"/>
  <c r="AQ1468" i="1"/>
  <c r="AQ844" i="1"/>
  <c r="V26" i="1"/>
  <c r="V41" i="1"/>
  <c r="V96" i="1"/>
  <c r="V190" i="1"/>
  <c r="V195" i="1"/>
  <c r="V205" i="1"/>
  <c r="V219" i="1"/>
  <c r="V256" i="1"/>
  <c r="AQ12" i="1"/>
  <c r="AQ28" i="1"/>
  <c r="AQ300" i="1"/>
  <c r="AQ372" i="1"/>
  <c r="AQ660" i="1"/>
  <c r="AQ956" i="1"/>
  <c r="AQ1052" i="1"/>
  <c r="AQ1196" i="1"/>
  <c r="AQ1236" i="1"/>
  <c r="AQ1268" i="1"/>
  <c r="B84" i="7"/>
  <c r="B72" i="7"/>
  <c r="P155" i="6"/>
  <c r="K2736" i="33"/>
  <c r="K575" i="6"/>
  <c r="N575" i="6" s="1"/>
  <c r="AQ74" i="1"/>
  <c r="AU1493" i="1"/>
  <c r="J426" i="6"/>
  <c r="AQ130" i="1"/>
  <c r="AQ1330" i="1"/>
  <c r="AQ370" i="1"/>
  <c r="AQ482" i="1"/>
  <c r="AQ682" i="1"/>
  <c r="K157" i="6"/>
  <c r="K152" i="6"/>
  <c r="AO1559" i="1"/>
  <c r="AQ1559" i="1" s="1"/>
  <c r="F115" i="7"/>
  <c r="AQ826" i="1"/>
  <c r="E115" i="7"/>
  <c r="P152" i="6"/>
  <c r="AQ474" i="1"/>
  <c r="V414" i="1"/>
  <c r="V421" i="1"/>
  <c r="V447" i="1"/>
  <c r="V453" i="1"/>
  <c r="V459" i="1"/>
  <c r="V474" i="1"/>
  <c r="V479" i="1"/>
  <c r="V518" i="1"/>
  <c r="V534" i="1"/>
  <c r="V550" i="1"/>
  <c r="V568" i="1"/>
  <c r="V584" i="1"/>
  <c r="V599" i="1"/>
  <c r="V629" i="1"/>
  <c r="V635" i="1"/>
  <c r="V641" i="1"/>
  <c r="V665" i="1"/>
  <c r="V689" i="1"/>
  <c r="V723" i="1"/>
  <c r="V738" i="1"/>
  <c r="AQ114" i="1"/>
  <c r="AQ218" i="1"/>
  <c r="AQ314" i="1"/>
  <c r="AQ346" i="1"/>
  <c r="AQ362" i="1"/>
  <c r="AQ498" i="1"/>
  <c r="AQ674" i="1"/>
  <c r="V663" i="1"/>
  <c r="V692" i="1"/>
  <c r="V708" i="1"/>
  <c r="V741" i="1"/>
  <c r="V756" i="1"/>
  <c r="V761" i="1"/>
  <c r="AQ146" i="1"/>
  <c r="AQ250" i="1"/>
  <c r="AQ1226" i="1"/>
  <c r="AQ322" i="1"/>
  <c r="AQ730" i="1"/>
  <c r="AQ234" i="1"/>
  <c r="V301" i="1"/>
  <c r="V306" i="1"/>
  <c r="V322" i="1"/>
  <c r="V338" i="1"/>
  <c r="V343" i="1"/>
  <c r="V354" i="1"/>
  <c r="V360" i="1"/>
  <c r="V364" i="1"/>
  <c r="AQ42" i="1"/>
  <c r="AQ434" i="1"/>
  <c r="AQ546" i="1"/>
  <c r="P153" i="6"/>
  <c r="K154" i="6"/>
  <c r="AQ962" i="1"/>
  <c r="AQ34" i="1"/>
  <c r="AQ1242" i="1"/>
  <c r="P157" i="6"/>
  <c r="AQ626" i="1"/>
  <c r="AQ1410" i="1"/>
  <c r="AQ1386" i="1"/>
  <c r="AQ378" i="1"/>
  <c r="AQ426" i="1"/>
  <c r="AQ442" i="1"/>
  <c r="AQ578" i="1"/>
  <c r="AQ618" i="1"/>
  <c r="P154" i="6"/>
  <c r="AQ266" i="1"/>
  <c r="AQ898" i="1"/>
  <c r="AQ282" i="1"/>
  <c r="AQ986" i="1"/>
  <c r="I187" i="6"/>
  <c r="I374" i="6"/>
  <c r="AQ954" i="1"/>
  <c r="AQ386" i="1"/>
  <c r="AQ778" i="1"/>
  <c r="AT745" i="1"/>
  <c r="AU501" i="1"/>
  <c r="J2306" i="33"/>
  <c r="AT320" i="1"/>
  <c r="AT83" i="1"/>
  <c r="AQ1234" i="1"/>
  <c r="AQ1298" i="1"/>
  <c r="AQ1322" i="1"/>
  <c r="AU193" i="1"/>
  <c r="J1326" i="33"/>
  <c r="AU451" i="1"/>
  <c r="J2164" i="33"/>
  <c r="V858" i="1"/>
  <c r="V831" i="1"/>
  <c r="V835" i="1"/>
  <c r="V871" i="1"/>
  <c r="V948" i="1"/>
  <c r="V952" i="1"/>
  <c r="V941" i="1"/>
  <c r="V888" i="1"/>
  <c r="V1014" i="1"/>
  <c r="V1203" i="1"/>
  <c r="V882" i="1"/>
  <c r="V925" i="1"/>
  <c r="AQ746" i="1"/>
  <c r="V960" i="1"/>
  <c r="V955" i="1"/>
  <c r="V956" i="1"/>
  <c r="V957" i="1"/>
  <c r="V958" i="1"/>
  <c r="V966" i="1"/>
  <c r="V973" i="1"/>
  <c r="V974" i="1"/>
  <c r="V1016" i="1"/>
  <c r="V1052" i="1"/>
  <c r="V1054" i="1"/>
  <c r="V1042" i="1"/>
  <c r="V994" i="1"/>
  <c r="V1020" i="1"/>
  <c r="V1078" i="1"/>
  <c r="V1106" i="1"/>
  <c r="V1105" i="1"/>
  <c r="V1099" i="1"/>
  <c r="V1094" i="1"/>
  <c r="V1098" i="1"/>
  <c r="V1093" i="1"/>
  <c r="V1097" i="1"/>
  <c r="AQ1026" i="1"/>
  <c r="V1171" i="1"/>
  <c r="V1236" i="1"/>
  <c r="AQ1218" i="1"/>
  <c r="V1177" i="1"/>
  <c r="V1223" i="1"/>
  <c r="V1237" i="1"/>
  <c r="V1265" i="1"/>
  <c r="V1266" i="1"/>
  <c r="V1267" i="1"/>
  <c r="V1268" i="1"/>
  <c r="V1247" i="1"/>
  <c r="V1256" i="1"/>
  <c r="V1278" i="1"/>
  <c r="V1276" i="1"/>
  <c r="AQ1282" i="1"/>
  <c r="V1339" i="1"/>
  <c r="V1331" i="1"/>
  <c r="V1357" i="1"/>
  <c r="V1358" i="1"/>
  <c r="V1359" i="1"/>
  <c r="V1361" i="1"/>
  <c r="V1362" i="1"/>
  <c r="V1363" i="1"/>
  <c r="P305" i="6"/>
  <c r="AO1419" i="1"/>
  <c r="AQ1419" i="1" s="1"/>
  <c r="V1407" i="1"/>
  <c r="V1410" i="1"/>
  <c r="V1411" i="1"/>
  <c r="V1414" i="1"/>
  <c r="V1415" i="1"/>
  <c r="V1398" i="1"/>
  <c r="V1387" i="1"/>
  <c r="V1420" i="1"/>
  <c r="V1428" i="1"/>
  <c r="V1441" i="1"/>
  <c r="I1163" i="33"/>
  <c r="AT29" i="1"/>
  <c r="AQ202" i="1"/>
  <c r="V18" i="1"/>
  <c r="V131" i="1"/>
  <c r="V159" i="1"/>
  <c r="V285" i="1"/>
  <c r="AQ242" i="1"/>
  <c r="AQ290" i="1"/>
  <c r="AQ858" i="1"/>
  <c r="AQ1114" i="1"/>
  <c r="AQ210" i="1"/>
  <c r="V300" i="1"/>
  <c r="V310" i="1"/>
  <c r="V312" i="1"/>
  <c r="V334" i="1"/>
  <c r="V337" i="1"/>
  <c r="V355" i="1"/>
  <c r="V369" i="1"/>
  <c r="V372" i="1"/>
  <c r="V374" i="1"/>
  <c r="V386" i="1"/>
  <c r="V392" i="1"/>
  <c r="V395" i="1"/>
  <c r="V398" i="1"/>
  <c r="V402" i="1"/>
  <c r="V410" i="1"/>
  <c r="V413" i="1"/>
  <c r="V422" i="1"/>
  <c r="V426" i="1"/>
  <c r="V429" i="1"/>
  <c r="V435" i="1"/>
  <c r="V448" i="1"/>
  <c r="V457" i="1"/>
  <c r="V464" i="1"/>
  <c r="V469" i="1"/>
  <c r="V485" i="1"/>
  <c r="V490" i="1"/>
  <c r="V493" i="1"/>
  <c r="V495" i="1"/>
  <c r="V501" i="1"/>
  <c r="V505" i="1"/>
  <c r="V508" i="1"/>
  <c r="V517" i="1"/>
  <c r="V519" i="1"/>
  <c r="AQ706" i="1"/>
  <c r="AQ842" i="1"/>
  <c r="AQ930" i="1"/>
  <c r="AQ1194" i="1"/>
  <c r="AQ1370" i="1"/>
  <c r="I257" i="6"/>
  <c r="I268" i="6"/>
  <c r="I376" i="6"/>
  <c r="AQ874" i="1"/>
  <c r="AQ602" i="1"/>
  <c r="AQ770" i="1"/>
  <c r="AQ514" i="1"/>
  <c r="AQ1210" i="1"/>
  <c r="AT135" i="1"/>
  <c r="AQ1490" i="1"/>
  <c r="AQ786" i="1"/>
  <c r="AQ1378" i="1"/>
  <c r="AQ1426" i="1"/>
  <c r="AQ1434" i="1"/>
  <c r="AQ1450" i="1"/>
  <c r="AQ1561" i="1"/>
  <c r="V535" i="1"/>
  <c r="V539" i="1"/>
  <c r="V544" i="1"/>
  <c r="V549" i="1"/>
  <c r="V558" i="1"/>
  <c r="V561" i="1"/>
  <c r="V563" i="1"/>
  <c r="V589" i="1"/>
  <c r="V591" i="1"/>
  <c r="V604" i="1"/>
  <c r="V628" i="1"/>
  <c r="V634" i="1"/>
  <c r="V642" i="1"/>
  <c r="V655" i="1"/>
  <c r="V671" i="1"/>
  <c r="V688" i="1"/>
  <c r="V697" i="1"/>
  <c r="V711" i="1"/>
  <c r="V718" i="1"/>
  <c r="V732" i="1"/>
  <c r="AQ82" i="1"/>
  <c r="AQ162" i="1"/>
  <c r="AQ562" i="1"/>
  <c r="AQ594" i="1"/>
  <c r="V682" i="1"/>
  <c r="V716" i="1"/>
  <c r="V740" i="1"/>
  <c r="V748" i="1"/>
  <c r="V770" i="1"/>
  <c r="V778" i="1"/>
  <c r="V785" i="1"/>
  <c r="V796" i="1"/>
  <c r="V801" i="1"/>
  <c r="V848" i="1"/>
  <c r="V802" i="1"/>
  <c r="V844" i="1"/>
  <c r="V822" i="1"/>
  <c r="V834" i="1"/>
  <c r="V1066" i="1"/>
  <c r="V903" i="1"/>
  <c r="V947" i="1"/>
  <c r="V1128" i="1"/>
  <c r="V920" i="1"/>
  <c r="V938" i="1"/>
  <c r="V912" i="1"/>
  <c r="V914" i="1"/>
  <c r="AQ866" i="1"/>
  <c r="AQ914" i="1"/>
  <c r="V984" i="1"/>
  <c r="V985" i="1"/>
  <c r="V986" i="1"/>
  <c r="V1047" i="1"/>
  <c r="V1061" i="1"/>
  <c r="AQ994" i="1"/>
  <c r="V1059" i="1"/>
  <c r="V1035" i="1"/>
  <c r="V1049" i="1"/>
  <c r="V1142" i="1"/>
  <c r="V1030" i="1"/>
  <c r="AQ1122" i="1"/>
  <c r="V1207" i="1"/>
  <c r="V1146" i="1"/>
  <c r="V1176" i="1"/>
  <c r="V1193" i="1"/>
  <c r="V1172" i="1"/>
  <c r="AQ1266" i="1"/>
  <c r="AQ1362" i="1"/>
  <c r="AQ1497" i="1"/>
  <c r="AQ18" i="1"/>
  <c r="AQ154" i="1"/>
  <c r="AQ338" i="1"/>
  <c r="AQ666" i="1"/>
  <c r="AQ690" i="1"/>
  <c r="AQ754" i="1"/>
  <c r="AQ818" i="1"/>
  <c r="AQ1066" i="1"/>
  <c r="AQ1130" i="1"/>
  <c r="AQ1186" i="1"/>
  <c r="AQ1154" i="1"/>
  <c r="AQ1314" i="1"/>
  <c r="AQ890" i="1"/>
  <c r="AQ738" i="1"/>
  <c r="AQ10" i="1"/>
  <c r="AQ1202" i="1"/>
  <c r="V318" i="1"/>
  <c r="V407" i="1"/>
  <c r="V580" i="1"/>
  <c r="AQ194" i="1"/>
  <c r="AQ274" i="1"/>
  <c r="AQ298" i="1"/>
  <c r="AQ402" i="1"/>
  <c r="AQ466" i="1"/>
  <c r="AQ570" i="1"/>
  <c r="AQ658" i="1"/>
  <c r="V787" i="1"/>
  <c r="V793" i="1"/>
  <c r="AQ1002" i="1"/>
  <c r="V1187" i="1"/>
  <c r="AQ1250" i="1"/>
  <c r="V1277" i="1"/>
  <c r="V1365" i="1"/>
  <c r="V1349" i="1"/>
  <c r="AQ1354" i="1"/>
  <c r="AQ1418" i="1"/>
  <c r="AQ650" i="1"/>
  <c r="AQ758" i="1"/>
  <c r="P454" i="6"/>
  <c r="AO1307" i="1"/>
  <c r="AQ1307" i="1" s="1"/>
  <c r="P207" i="6"/>
  <c r="AT1423" i="1"/>
  <c r="I269" i="6"/>
  <c r="AU1424" i="1"/>
  <c r="J3193" i="33"/>
  <c r="K184" i="6"/>
  <c r="K180" i="6"/>
  <c r="K182" i="6"/>
  <c r="AU1263" i="1"/>
  <c r="J158" i="6"/>
  <c r="P246" i="6"/>
  <c r="P244" i="6"/>
  <c r="AO1281" i="1"/>
  <c r="AQ1281" i="1" s="1"/>
  <c r="P247" i="6"/>
  <c r="P243" i="6"/>
  <c r="AO1306" i="1"/>
  <c r="AQ1306" i="1" s="1"/>
  <c r="P175" i="6"/>
  <c r="AO1308" i="1"/>
  <c r="AQ1308" i="1" s="1"/>
  <c r="P209" i="6"/>
  <c r="P173" i="6"/>
  <c r="AT1241" i="1"/>
  <c r="I155" i="6"/>
  <c r="AT1376" i="1"/>
  <c r="I272" i="6"/>
  <c r="I157" i="6"/>
  <c r="I153" i="6"/>
  <c r="K185" i="6"/>
  <c r="P242" i="6"/>
  <c r="K305" i="6"/>
  <c r="P208" i="6"/>
  <c r="P304" i="6"/>
  <c r="I156" i="6"/>
  <c r="I154" i="6"/>
  <c r="P174" i="6"/>
  <c r="K181" i="6"/>
  <c r="P245" i="6"/>
  <c r="P172" i="6"/>
  <c r="I271" i="6"/>
  <c r="J3192" i="33"/>
  <c r="J3194" i="33"/>
  <c r="K2886" i="33"/>
  <c r="K214" i="6"/>
  <c r="K244" i="6"/>
  <c r="J207" i="6"/>
  <c r="AU10" i="1"/>
  <c r="I397" i="6"/>
  <c r="AT1538" i="1"/>
  <c r="I184" i="6"/>
  <c r="J271" i="6"/>
  <c r="AO1427" i="1"/>
  <c r="AQ1427" i="1" s="1"/>
  <c r="I182" i="6"/>
  <c r="K245" i="6"/>
  <c r="J280" i="6"/>
  <c r="V23" i="1"/>
  <c r="V29" i="1"/>
  <c r="V34" i="1"/>
  <c r="V43" i="1"/>
  <c r="V50" i="1"/>
  <c r="V77" i="1"/>
  <c r="V83" i="1"/>
  <c r="V89" i="1"/>
  <c r="V105" i="1"/>
  <c r="V125" i="1"/>
  <c r="V169" i="1"/>
  <c r="V181" i="1"/>
  <c r="V197" i="1"/>
  <c r="V207" i="1"/>
  <c r="V263" i="1"/>
  <c r="V855" i="1"/>
  <c r="V876" i="1"/>
  <c r="V824" i="1"/>
  <c r="V832" i="1"/>
  <c r="V942" i="1"/>
  <c r="V1204" i="1"/>
  <c r="V881" i="1"/>
  <c r="V878" i="1"/>
  <c r="V919" i="1"/>
  <c r="V978" i="1"/>
  <c r="V1041" i="1"/>
  <c r="V1077" i="1"/>
  <c r="V1087" i="1"/>
  <c r="V1148" i="1"/>
  <c r="V1219" i="1"/>
  <c r="I176" i="6"/>
  <c r="J223" i="6"/>
  <c r="V24" i="1"/>
  <c r="V35" i="1"/>
  <c r="V39" i="1"/>
  <c r="V48" i="1"/>
  <c r="V55" i="1"/>
  <c r="V60" i="1"/>
  <c r="V68" i="1"/>
  <c r="V70" i="1"/>
  <c r="V75" i="1"/>
  <c r="V84" i="1"/>
  <c r="V92" i="1"/>
  <c r="V99" i="1"/>
  <c r="V109" i="1"/>
  <c r="V111" i="1"/>
  <c r="V120" i="1"/>
  <c r="V124" i="1"/>
  <c r="V134" i="1"/>
  <c r="V136" i="1"/>
  <c r="V139" i="1"/>
  <c r="V143" i="1"/>
  <c r="V170" i="1"/>
  <c r="V182" i="1"/>
  <c r="V193" i="1"/>
  <c r="V198" i="1"/>
  <c r="V203" i="1"/>
  <c r="V212" i="1"/>
  <c r="V227" i="1"/>
  <c r="V241" i="1"/>
  <c r="V262" i="1"/>
  <c r="V273" i="1"/>
  <c r="V275" i="1"/>
  <c r="V293" i="1"/>
  <c r="V297" i="1"/>
  <c r="V320" i="1"/>
  <c r="V328" i="1"/>
  <c r="V352" i="1"/>
  <c r="V367" i="1"/>
  <c r="V409" i="1"/>
  <c r="V439" i="1"/>
  <c r="V484" i="1"/>
  <c r="V487" i="1"/>
  <c r="V489" i="1"/>
  <c r="V562" i="1"/>
  <c r="V608" i="1"/>
  <c r="V675" i="1"/>
  <c r="V736" i="1"/>
  <c r="AT110" i="1"/>
  <c r="I1402" i="33"/>
  <c r="AT367" i="1"/>
  <c r="I1824" i="33"/>
  <c r="P205" i="6"/>
  <c r="AQ1517" i="1"/>
  <c r="V1527" i="1"/>
  <c r="AQ1529" i="1"/>
  <c r="K561" i="6"/>
  <c r="N561" i="6" s="1"/>
  <c r="AQ145" i="1"/>
  <c r="AQ249" i="1"/>
  <c r="AQ369" i="1"/>
  <c r="AQ481" i="1"/>
  <c r="AQ783" i="1"/>
  <c r="AQ823" i="1"/>
  <c r="AQ1161" i="1"/>
  <c r="AQ929" i="1"/>
  <c r="AQ1441" i="1"/>
  <c r="AT1432" i="1"/>
  <c r="K59" i="36"/>
  <c r="AQ1473" i="1"/>
  <c r="AQ1525" i="1"/>
  <c r="AQ1531" i="1"/>
  <c r="AQ1547" i="1"/>
  <c r="AQ1201" i="1"/>
  <c r="AQ1481" i="1"/>
  <c r="AQ1521" i="1"/>
  <c r="AQ1505" i="1"/>
  <c r="AQ2522" i="1"/>
  <c r="AQ1393" i="1"/>
  <c r="AQ127" i="1"/>
  <c r="AQ1437" i="1"/>
  <c r="AQ1467" i="1"/>
  <c r="AQ1461" i="1"/>
  <c r="AQ1533" i="1"/>
  <c r="AQ1551" i="1"/>
  <c r="AQ1433" i="1"/>
  <c r="V12" i="1"/>
  <c r="V17" i="1"/>
  <c r="V22" i="1"/>
  <c r="V33" i="1"/>
  <c r="V49" i="1"/>
  <c r="V64" i="1"/>
  <c r="V69" i="1"/>
  <c r="V76" i="1"/>
  <c r="V98" i="1"/>
  <c r="V110" i="1"/>
  <c r="V115" i="1"/>
  <c r="V135" i="1"/>
  <c r="V153" i="1"/>
  <c r="V187" i="1"/>
  <c r="V202" i="1"/>
  <c r="V268" i="1"/>
  <c r="V327" i="1"/>
  <c r="V358" i="1"/>
  <c r="V389" i="1"/>
  <c r="AQ97" i="1"/>
  <c r="AQ129" i="1"/>
  <c r="AQ143" i="1"/>
  <c r="AQ191" i="1"/>
  <c r="AQ265" i="1"/>
  <c r="AQ425" i="1"/>
  <c r="AQ463" i="1"/>
  <c r="AQ473" i="1"/>
  <c r="AQ617" i="1"/>
  <c r="V768" i="1"/>
  <c r="V779" i="1"/>
  <c r="V850" i="1"/>
  <c r="V810" i="1"/>
  <c r="V875" i="1"/>
  <c r="V827" i="1"/>
  <c r="AQ785" i="1"/>
  <c r="AQ801" i="1"/>
  <c r="AQ825" i="1"/>
  <c r="AQ833" i="1"/>
  <c r="AQ873" i="1"/>
  <c r="AQ1239" i="1"/>
  <c r="AQ945" i="1"/>
  <c r="AQ1127" i="1"/>
  <c r="AQ1125" i="1"/>
  <c r="AQ1149" i="1"/>
  <c r="AQ1145" i="1"/>
  <c r="AQ1175" i="1"/>
  <c r="AQ1219" i="1"/>
  <c r="AQ1233" i="1"/>
  <c r="AQ1301" i="1"/>
  <c r="AQ1297" i="1"/>
  <c r="AQ1299" i="1"/>
  <c r="AQ1385" i="1"/>
  <c r="AQ295" i="1"/>
  <c r="AQ623" i="1"/>
  <c r="V1472" i="1"/>
  <c r="V1464" i="1"/>
  <c r="V1465" i="1"/>
  <c r="P307" i="6"/>
  <c r="M83" i="36"/>
  <c r="AQ1509" i="1"/>
  <c r="AQ1605" i="1"/>
  <c r="AQ1565" i="1"/>
  <c r="V4" i="1"/>
  <c r="V10" i="1"/>
  <c r="V14" i="1"/>
  <c r="V25" i="1"/>
  <c r="V36" i="1"/>
  <c r="V56" i="1"/>
  <c r="V61" i="1"/>
  <c r="V66" i="1"/>
  <c r="V72" i="1"/>
  <c r="V79" i="1"/>
  <c r="V101" i="1"/>
  <c r="V127" i="1"/>
  <c r="V160" i="1"/>
  <c r="V166" i="1"/>
  <c r="V194" i="1"/>
  <c r="V228" i="1"/>
  <c r="V247" i="1"/>
  <c r="V251" i="1"/>
  <c r="V265" i="1"/>
  <c r="AT1285" i="1"/>
  <c r="I3455" i="33"/>
  <c r="V21" i="1"/>
  <c r="V42" i="1"/>
  <c r="V53" i="1"/>
  <c r="V88" i="1"/>
  <c r="V97" i="1"/>
  <c r="V129" i="1"/>
  <c r="V147" i="1"/>
  <c r="V206" i="1"/>
  <c r="V278" i="1"/>
  <c r="V304" i="1"/>
  <c r="V326" i="1"/>
  <c r="V347" i="1"/>
  <c r="V433" i="1"/>
  <c r="V462" i="1"/>
  <c r="V507" i="1"/>
  <c r="V522" i="1"/>
  <c r="V612" i="1"/>
  <c r="V617" i="1"/>
  <c r="V650" i="1"/>
  <c r="V5" i="1"/>
  <c r="V20" i="1"/>
  <c r="V31" i="1"/>
  <c r="V62" i="1"/>
  <c r="V67" i="1"/>
  <c r="V73" i="1"/>
  <c r="V91" i="1"/>
  <c r="V118" i="1"/>
  <c r="V128" i="1"/>
  <c r="V133" i="1"/>
  <c r="V138" i="1"/>
  <c r="V146" i="1"/>
  <c r="V178" i="1"/>
  <c r="V184" i="1"/>
  <c r="V215" i="1"/>
  <c r="V223" i="1"/>
  <c r="J392" i="6"/>
  <c r="J393" i="6"/>
  <c r="P392" i="6"/>
  <c r="AO1538" i="1"/>
  <c r="AQ1538" i="1" s="1"/>
  <c r="P393" i="6"/>
  <c r="I472" i="6"/>
  <c r="AT1484" i="1"/>
  <c r="I473" i="6"/>
  <c r="V1157" i="1"/>
  <c r="V1164" i="1"/>
  <c r="V1319" i="1"/>
  <c r="V1305" i="1"/>
  <c r="V1275" i="1"/>
  <c r="K204" i="6"/>
  <c r="K202" i="6"/>
  <c r="J394" i="6"/>
  <c r="V261" i="1"/>
  <c r="V266" i="1"/>
  <c r="P396" i="6"/>
  <c r="I1138" i="33"/>
  <c r="K513" i="6"/>
  <c r="K514" i="6"/>
  <c r="P1134" i="33"/>
  <c r="P197" i="6"/>
  <c r="P199" i="6"/>
  <c r="P347" i="6"/>
  <c r="AT130" i="1"/>
  <c r="AU1563" i="1"/>
  <c r="J513" i="6"/>
  <c r="M117" i="36"/>
  <c r="K453" i="6"/>
  <c r="J308" i="6"/>
  <c r="AQ1012" i="1"/>
  <c r="V1136" i="1"/>
  <c r="V1137" i="1"/>
  <c r="V1132" i="1"/>
  <c r="V1143" i="1"/>
  <c r="V1147" i="1"/>
  <c r="V1170" i="1"/>
  <c r="V1194" i="1"/>
  <c r="AQ1180" i="1"/>
  <c r="V1235" i="1"/>
  <c r="V1304" i="1"/>
  <c r="V1209" i="1"/>
  <c r="V1216" i="1"/>
  <c r="V1284" i="1"/>
  <c r="V1312" i="1"/>
  <c r="V1316" i="1"/>
  <c r="V1317" i="1"/>
  <c r="V1260" i="1"/>
  <c r="V1246" i="1"/>
  <c r="V1255" i="1"/>
  <c r="V1258" i="1"/>
  <c r="AQ1280" i="1"/>
  <c r="AQ1380" i="1"/>
  <c r="V1342" i="1"/>
  <c r="V1335" i="1"/>
  <c r="V1334" i="1"/>
  <c r="V1333" i="1"/>
  <c r="AQ1383" i="1"/>
  <c r="AQ1351" i="1"/>
  <c r="V1370" i="1"/>
  <c r="V1371" i="1"/>
  <c r="V1372" i="1"/>
  <c r="V1346" i="1"/>
  <c r="V1412" i="1"/>
  <c r="V1416" i="1"/>
  <c r="V1397" i="1"/>
  <c r="V1393" i="1"/>
  <c r="V1386" i="1"/>
  <c r="V1392" i="1"/>
  <c r="AQ1452" i="1"/>
  <c r="AQ1549" i="1"/>
  <c r="V274" i="1"/>
  <c r="V416" i="1"/>
  <c r="V420" i="1"/>
  <c r="V425" i="1"/>
  <c r="V430" i="1"/>
  <c r="V434" i="1"/>
  <c r="V436" i="1"/>
  <c r="V441" i="1"/>
  <c r="V443" i="1"/>
  <c r="V446" i="1"/>
  <c r="V454" i="1"/>
  <c r="V458" i="1"/>
  <c r="V460" i="1"/>
  <c r="V463" i="1"/>
  <c r="V465" i="1"/>
  <c r="V468" i="1"/>
  <c r="V473" i="1"/>
  <c r="V483" i="1"/>
  <c r="V488" i="1"/>
  <c r="V494" i="1"/>
  <c r="V499" i="1"/>
  <c r="V504" i="1"/>
  <c r="V510" i="1"/>
  <c r="V520" i="1"/>
  <c r="V523" i="1"/>
  <c r="V525" i="1"/>
  <c r="V531" i="1"/>
  <c r="V536" i="1"/>
  <c r="V540" i="1"/>
  <c r="V546" i="1"/>
  <c r="V552" i="1"/>
  <c r="V557" i="1"/>
  <c r="V567" i="1"/>
  <c r="V569" i="1"/>
  <c r="V573" i="1"/>
  <c r="V575" i="1"/>
  <c r="V578" i="1"/>
  <c r="V583" i="1"/>
  <c r="V585" i="1"/>
  <c r="V590" i="1"/>
  <c r="V596" i="1"/>
  <c r="V600" i="1"/>
  <c r="V603" i="1"/>
  <c r="V607" i="1"/>
  <c r="V609" i="1"/>
  <c r="V615" i="1"/>
  <c r="V618" i="1"/>
  <c r="V620" i="1"/>
  <c r="V625" i="1"/>
  <c r="V630" i="1"/>
  <c r="V637" i="1"/>
  <c r="V643" i="1"/>
  <c r="V651" i="1"/>
  <c r="V657" i="1"/>
  <c r="V662" i="1"/>
  <c r="V670" i="1"/>
  <c r="V699" i="1"/>
  <c r="V709" i="1"/>
  <c r="V713" i="1"/>
  <c r="V717" i="1"/>
  <c r="AQ240" i="1"/>
  <c r="AQ312" i="1"/>
  <c r="AQ672" i="1"/>
  <c r="V867" i="1"/>
  <c r="V889" i="1"/>
  <c r="V1118" i="1"/>
  <c r="AQ1076" i="1"/>
  <c r="AQ1132" i="1"/>
  <c r="AQ1223" i="1"/>
  <c r="AQ1316" i="1"/>
  <c r="AQ1372" i="1"/>
  <c r="AQ1407" i="1"/>
  <c r="AQ1420" i="1"/>
  <c r="AQ1428" i="1"/>
  <c r="J169" i="6"/>
  <c r="I205" i="6"/>
  <c r="I201" i="6"/>
  <c r="K134" i="36"/>
  <c r="V1446" i="1"/>
  <c r="I393" i="6"/>
  <c r="K563" i="6"/>
  <c r="N563" i="6" s="1"/>
  <c r="AQ1527" i="1"/>
  <c r="AQ1537" i="1"/>
  <c r="J453" i="6"/>
  <c r="AQ1479" i="1"/>
  <c r="AQ1508" i="1"/>
  <c r="I396" i="6"/>
  <c r="I502" i="6"/>
  <c r="AQ1455" i="1"/>
  <c r="V1452" i="1"/>
  <c r="V1470" i="1"/>
  <c r="V1463" i="1"/>
  <c r="V1531" i="1"/>
  <c r="AT1408" i="1"/>
  <c r="I164" i="6"/>
  <c r="I165" i="6"/>
  <c r="AU1417" i="1"/>
  <c r="J376" i="6"/>
  <c r="AU1429" i="1"/>
  <c r="J137" i="6"/>
  <c r="AU60" i="1"/>
  <c r="J1170" i="33"/>
  <c r="J1291" i="33"/>
  <c r="AU81" i="1"/>
  <c r="K1335" i="33"/>
  <c r="K1337" i="33"/>
  <c r="AT108" i="1"/>
  <c r="I1346" i="33"/>
  <c r="I1354" i="33"/>
  <c r="I1353" i="33"/>
  <c r="AO168" i="1"/>
  <c r="AQ168" i="1" s="1"/>
  <c r="P1461" i="33"/>
  <c r="J1471" i="33"/>
  <c r="AU171" i="1"/>
  <c r="AU67" i="1"/>
  <c r="J1499" i="33"/>
  <c r="I3125" i="33"/>
  <c r="AT1016" i="1"/>
  <c r="AU1032" i="1"/>
  <c r="J3205" i="33"/>
  <c r="K3311" i="33"/>
  <c r="K3313" i="33"/>
  <c r="K3325" i="33"/>
  <c r="K3328" i="33"/>
  <c r="K3351" i="33"/>
  <c r="K3349" i="33"/>
  <c r="I3526" i="33"/>
  <c r="AT626" i="1"/>
  <c r="J3641" i="33"/>
  <c r="AU1330" i="1"/>
  <c r="K1141" i="33"/>
  <c r="J190" i="6"/>
  <c r="J259" i="6"/>
  <c r="P149" i="6"/>
  <c r="AT1381" i="1"/>
  <c r="V2" i="1"/>
  <c r="V11" i="1"/>
  <c r="V19" i="1"/>
  <c r="V40" i="1"/>
  <c r="V74" i="1"/>
  <c r="V81" i="1"/>
  <c r="V106" i="1"/>
  <c r="V117" i="1"/>
  <c r="V119" i="1"/>
  <c r="J375" i="6"/>
  <c r="I296" i="6"/>
  <c r="V885" i="1"/>
  <c r="V945" i="1"/>
  <c r="V954" i="1"/>
  <c r="V971" i="1"/>
  <c r="V295" i="1"/>
  <c r="V339" i="1"/>
  <c r="V375" i="1"/>
  <c r="AT1232" i="1"/>
  <c r="I238" i="6"/>
  <c r="I239" i="6"/>
  <c r="J153" i="6"/>
  <c r="K1157" i="33"/>
  <c r="J163" i="6"/>
  <c r="J187" i="6"/>
  <c r="P1183" i="33"/>
  <c r="V150" i="1"/>
  <c r="V152" i="1"/>
  <c r="V189" i="1"/>
  <c r="V272" i="1"/>
  <c r="AO1475" i="1"/>
  <c r="AQ1475" i="1" s="1"/>
  <c r="P341" i="6"/>
  <c r="AT1563" i="1"/>
  <c r="I513" i="6"/>
  <c r="V983" i="1"/>
  <c r="V980" i="1"/>
  <c r="V1043" i="1"/>
  <c r="V1058" i="1"/>
  <c r="V1107" i="1"/>
  <c r="V1095" i="1"/>
  <c r="V1023" i="1"/>
  <c r="V1138" i="1"/>
  <c r="V1108" i="1"/>
  <c r="V1029" i="1"/>
  <c r="V1126" i="1"/>
  <c r="V1124" i="1"/>
  <c r="V1152" i="1"/>
  <c r="V1155" i="1"/>
  <c r="V1131" i="1"/>
  <c r="V1165" i="1"/>
  <c r="V1169" i="1"/>
  <c r="V1242" i="1"/>
  <c r="V1303" i="1"/>
  <c r="V1225" i="1"/>
  <c r="V1283" i="1"/>
  <c r="V1229" i="1"/>
  <c r="V1230" i="1"/>
  <c r="V1311" i="1"/>
  <c r="V1309" i="1"/>
  <c r="V1328" i="1"/>
  <c r="V1313" i="1"/>
  <c r="V1314" i="1"/>
  <c r="V1330" i="1"/>
  <c r="V1273" i="1"/>
  <c r="V1288" i="1"/>
  <c r="V1289" i="1"/>
  <c r="V1290" i="1"/>
  <c r="V1291" i="1"/>
  <c r="V1294" i="1"/>
  <c r="V1295" i="1"/>
  <c r="V1296" i="1"/>
  <c r="V1367" i="1"/>
  <c r="V1364" i="1"/>
  <c r="V1373" i="1"/>
  <c r="AQ1384" i="1"/>
  <c r="AQ1352" i="1"/>
  <c r="V1345" i="1"/>
  <c r="V1409" i="1"/>
  <c r="V1413" i="1"/>
  <c r="V1417" i="1"/>
  <c r="V1396" i="1"/>
  <c r="V1389" i="1"/>
  <c r="V1388" i="1"/>
  <c r="AQ1400" i="1"/>
  <c r="V1432" i="1"/>
  <c r="J245" i="6"/>
  <c r="P272" i="6"/>
  <c r="I305" i="6"/>
  <c r="AO1391" i="1"/>
  <c r="AQ1391" i="1" s="1"/>
  <c r="V746" i="1"/>
  <c r="V817" i="1"/>
  <c r="R152" i="36"/>
  <c r="R151" i="36"/>
  <c r="R155" i="36"/>
  <c r="P426" i="6"/>
  <c r="V1480" i="1"/>
  <c r="V411" i="1"/>
  <c r="V417" i="1"/>
  <c r="V481" i="1"/>
  <c r="V500" i="1"/>
  <c r="V509" i="1"/>
  <c r="V529" i="1"/>
  <c r="V547" i="1"/>
  <c r="V553" i="1"/>
  <c r="V610" i="1"/>
  <c r="V614" i="1"/>
  <c r="V647" i="1"/>
  <c r="V712" i="1"/>
  <c r="V727" i="1"/>
  <c r="V872" i="1"/>
  <c r="V860" i="1"/>
  <c r="AQ1070" i="1"/>
  <c r="AQ1303" i="1"/>
  <c r="AQ1294" i="1"/>
  <c r="AQ1364" i="1"/>
  <c r="AQ1442" i="1"/>
  <c r="V1433" i="1"/>
  <c r="M59" i="36"/>
  <c r="I413" i="6"/>
  <c r="P310" i="6"/>
  <c r="AQ1511" i="1"/>
  <c r="AQ1513" i="1"/>
  <c r="AQ1535" i="1"/>
  <c r="AQ1567" i="1"/>
  <c r="J338" i="6"/>
  <c r="P475" i="6"/>
  <c r="AQ1020" i="1"/>
  <c r="AQ1444" i="1"/>
  <c r="V1435" i="1"/>
  <c r="K511" i="6"/>
  <c r="AQ1487" i="1"/>
  <c r="I392" i="6"/>
  <c r="V1536" i="1"/>
  <c r="B80" i="7"/>
  <c r="H74" i="7"/>
  <c r="L57" i="7"/>
  <c r="O57" i="7" s="1"/>
  <c r="AO1602" i="1"/>
  <c r="AQ1602" i="1" s="1"/>
  <c r="P2886" i="33"/>
  <c r="I3195" i="33"/>
  <c r="J213" i="6"/>
  <c r="AQ1320" i="1"/>
  <c r="AQ1056" i="1"/>
  <c r="AQ184" i="1"/>
  <c r="AQ744" i="1"/>
  <c r="AQ368" i="1"/>
  <c r="AQ160" i="1"/>
  <c r="K240" i="6"/>
  <c r="K238" i="6"/>
  <c r="AQ1200" i="1"/>
  <c r="AQ928" i="1"/>
  <c r="AT1281" i="1"/>
  <c r="I243" i="6"/>
  <c r="K174" i="6"/>
  <c r="J185" i="6"/>
  <c r="J214" i="6"/>
  <c r="I247" i="6"/>
  <c r="E159" i="7" s="1"/>
  <c r="F159" i="7" s="1"/>
  <c r="AQ912" i="1"/>
  <c r="AQ528" i="1"/>
  <c r="AQ544" i="1"/>
  <c r="AQ808" i="1"/>
  <c r="AQ208" i="1"/>
  <c r="AQ216" i="1"/>
  <c r="AQ1216" i="1"/>
  <c r="I3193" i="33"/>
  <c r="I3194" i="33"/>
  <c r="K175" i="6"/>
  <c r="J184" i="6"/>
  <c r="P215" i="6"/>
  <c r="J224" i="6"/>
  <c r="I242" i="6"/>
  <c r="P280" i="6"/>
  <c r="AQ152" i="1"/>
  <c r="AQ488" i="1"/>
  <c r="AQ416" i="1"/>
  <c r="AQ872" i="1"/>
  <c r="AQ136" i="1"/>
  <c r="AQ512" i="1"/>
  <c r="AQ576" i="1"/>
  <c r="AQ688" i="1"/>
  <c r="J226" i="6"/>
  <c r="P217" i="6"/>
  <c r="I246" i="6"/>
  <c r="P281" i="6"/>
  <c r="P146" i="6"/>
  <c r="AQ664" i="1"/>
  <c r="AQ496" i="1"/>
  <c r="K565" i="6"/>
  <c r="N565" i="6" s="1"/>
  <c r="K564" i="6"/>
  <c r="N564" i="6" s="1"/>
  <c r="J182" i="6"/>
  <c r="J225" i="6"/>
  <c r="P216" i="6"/>
  <c r="I244" i="6"/>
  <c r="K281" i="6"/>
  <c r="P296" i="6"/>
  <c r="P424" i="6"/>
  <c r="AQ1000" i="1"/>
  <c r="AQ1240" i="1"/>
  <c r="AQ992" i="1"/>
  <c r="AQ592" i="1"/>
  <c r="AQ560" i="1"/>
  <c r="AQ736" i="1"/>
  <c r="V71" i="1"/>
  <c r="V112" i="1"/>
  <c r="V183" i="1"/>
  <c r="V218" i="1"/>
  <c r="AU1604" i="1"/>
  <c r="J3108" i="33"/>
  <c r="J3111" i="33"/>
  <c r="P2885" i="33"/>
  <c r="K173" i="6"/>
  <c r="J181" i="6"/>
  <c r="J240" i="6"/>
  <c r="K207" i="6"/>
  <c r="AQ888" i="1"/>
  <c r="AQ1032" i="1"/>
  <c r="AQ1208" i="1"/>
  <c r="AQ408" i="1"/>
  <c r="AQ288" i="1"/>
  <c r="AQ1312" i="1"/>
  <c r="AQ1264" i="1"/>
  <c r="AQ248" i="1"/>
  <c r="J3109" i="33"/>
  <c r="I158" i="6"/>
  <c r="I3192" i="33"/>
  <c r="J180" i="6"/>
  <c r="J241" i="6"/>
  <c r="J305" i="6"/>
  <c r="J329" i="6"/>
  <c r="AQ976" i="1"/>
  <c r="AQ536" i="1"/>
  <c r="AQ712" i="1"/>
  <c r="AQ1184" i="1"/>
  <c r="AQ1072" i="1"/>
  <c r="V323" i="1"/>
  <c r="V380" i="1"/>
  <c r="AQ336" i="1"/>
  <c r="AQ352" i="1"/>
  <c r="AQ768" i="1"/>
  <c r="AQ1256" i="1"/>
  <c r="R97" i="36"/>
  <c r="AO1502" i="1"/>
  <c r="AQ1502" i="1" s="1"/>
  <c r="J461" i="6"/>
  <c r="L110" i="36"/>
  <c r="AU1488" i="1"/>
  <c r="M63" i="36"/>
  <c r="M145" i="36"/>
  <c r="AQ64" i="1"/>
  <c r="AQ104" i="1"/>
  <c r="AQ256" i="1"/>
  <c r="AQ400" i="1"/>
  <c r="AQ784" i="1"/>
  <c r="AQ824" i="1"/>
  <c r="AQ832" i="1"/>
  <c r="AQ984" i="1"/>
  <c r="AQ1136" i="1"/>
  <c r="AQ1304" i="1"/>
  <c r="I240" i="6"/>
  <c r="AQ1016" i="1"/>
  <c r="J2572" i="33"/>
  <c r="I2357" i="33"/>
  <c r="AO138" i="1"/>
  <c r="AQ138" i="1" s="1"/>
  <c r="AQ856" i="1"/>
  <c r="AQ1096" i="1"/>
  <c r="AT938" i="1"/>
  <c r="AQ224" i="1"/>
  <c r="AQ816" i="1"/>
  <c r="AQ896" i="1"/>
  <c r="M167" i="36"/>
  <c r="M168" i="36"/>
  <c r="M79" i="36"/>
  <c r="AQ328" i="1"/>
  <c r="AQ624" i="1"/>
  <c r="AQ1176" i="1"/>
  <c r="AQ176" i="1"/>
  <c r="AQ432" i="1"/>
  <c r="AQ656" i="1"/>
  <c r="AQ1128" i="1"/>
  <c r="AQ648" i="1"/>
  <c r="V1111" i="1"/>
  <c r="V1188" i="1"/>
  <c r="V1151" i="1"/>
  <c r="AQ1144" i="1"/>
  <c r="V1180" i="1"/>
  <c r="AQ1224" i="1"/>
  <c r="AQ504" i="1"/>
  <c r="AQ32" i="1"/>
  <c r="AQ1344" i="1"/>
  <c r="AQ864" i="1"/>
  <c r="AQ456" i="1"/>
  <c r="AQ800" i="1"/>
  <c r="AQ24" i="1"/>
  <c r="I3207" i="33"/>
  <c r="AT970" i="1"/>
  <c r="AT1246" i="1"/>
  <c r="I3411" i="33"/>
  <c r="J3555" i="33"/>
  <c r="AU1257" i="1"/>
  <c r="L52" i="7"/>
  <c r="O52" i="7" s="1"/>
  <c r="AQ1376" i="1"/>
  <c r="I456" i="6"/>
  <c r="V1485" i="1"/>
  <c r="K496" i="6"/>
  <c r="K560" i="6"/>
  <c r="N560" i="6" s="1"/>
  <c r="AQ1368" i="1"/>
  <c r="AU1463" i="1"/>
  <c r="I309" i="6"/>
  <c r="L150" i="36"/>
  <c r="V1537" i="1"/>
  <c r="AQ440" i="1"/>
  <c r="AQ80" i="1"/>
  <c r="AQ200" i="1"/>
  <c r="AQ1416" i="1"/>
  <c r="AQ848" i="1"/>
  <c r="AQ616" i="1"/>
  <c r="AQ720" i="1"/>
  <c r="V8" i="1"/>
  <c r="V54" i="1"/>
  <c r="V94" i="1"/>
  <c r="V163" i="1"/>
  <c r="V175" i="1"/>
  <c r="V188" i="1"/>
  <c r="V192" i="1"/>
  <c r="AQ192" i="1"/>
  <c r="AQ1120" i="1"/>
  <c r="AQ968" i="1"/>
  <c r="AQ1328" i="1"/>
  <c r="P169" i="6"/>
  <c r="R136" i="36"/>
  <c r="P413" i="6"/>
  <c r="K308" i="6"/>
  <c r="P309" i="6"/>
  <c r="L107" i="36"/>
  <c r="L149" i="36"/>
  <c r="AQ1499" i="1"/>
  <c r="AQ1514" i="1"/>
  <c r="AQ1548" i="1"/>
  <c r="R135" i="36"/>
  <c r="I501" i="6"/>
  <c r="AQ1598" i="1"/>
  <c r="AQ1272" i="1"/>
  <c r="I308" i="6"/>
  <c r="K510" i="6"/>
  <c r="V1582" i="1"/>
  <c r="AQ1432" i="1"/>
  <c r="AQ520" i="1"/>
  <c r="AQ1008" i="1"/>
  <c r="AQ904" i="1"/>
  <c r="AQ632" i="1"/>
  <c r="AQ1392" i="1"/>
  <c r="AQ1360" i="1"/>
  <c r="AQ464" i="1"/>
  <c r="AQ96" i="1"/>
  <c r="AQ696" i="1"/>
  <c r="AQ960" i="1"/>
  <c r="K428" i="6"/>
  <c r="K451" i="6"/>
  <c r="I310" i="6"/>
  <c r="M153" i="7" s="1"/>
  <c r="N153" i="7" s="1"/>
  <c r="V1520" i="1"/>
  <c r="V1521" i="1"/>
  <c r="AQ1495" i="1"/>
  <c r="V1499" i="1"/>
  <c r="V1484" i="1"/>
  <c r="V1503" i="1"/>
  <c r="I395" i="6"/>
  <c r="J514" i="6"/>
  <c r="L19" i="7"/>
  <c r="O19" i="7" s="1"/>
  <c r="K73" i="7"/>
  <c r="L49" i="7"/>
  <c r="O49" i="7" s="1"/>
  <c r="M54" i="7"/>
  <c r="L60" i="7"/>
  <c r="O60" i="7" s="1"/>
  <c r="B98" i="7"/>
  <c r="E98" i="7" s="1"/>
  <c r="H75" i="7"/>
  <c r="K82" i="7"/>
  <c r="B76" i="7"/>
  <c r="E76" i="7" s="1"/>
  <c r="B103" i="7"/>
  <c r="E103" i="7" s="1"/>
  <c r="B90" i="7"/>
  <c r="E90" i="7" s="1"/>
  <c r="D84" i="7"/>
  <c r="E136" i="7" s="1"/>
  <c r="L7" i="7"/>
  <c r="O7" i="7" s="1"/>
  <c r="M17" i="7"/>
  <c r="H77" i="7"/>
  <c r="B82" i="7"/>
  <c r="B78" i="7"/>
  <c r="E78" i="7" s="1"/>
  <c r="B74" i="7"/>
  <c r="B102" i="7"/>
  <c r="E102" i="7" s="1"/>
  <c r="B99" i="7"/>
  <c r="B132" i="7" s="1"/>
  <c r="B81" i="7"/>
  <c r="E81" i="7" s="1"/>
  <c r="B95" i="7"/>
  <c r="L44" i="7"/>
  <c r="O44" i="7" s="1"/>
  <c r="M42" i="7"/>
  <c r="H83" i="7"/>
  <c r="B83" i="7"/>
  <c r="E83" i="7" s="1"/>
  <c r="B79" i="7"/>
  <c r="E79" i="7" s="1"/>
  <c r="B75" i="7"/>
  <c r="E75" i="7" s="1"/>
  <c r="L32" i="7"/>
  <c r="O32" i="7" s="1"/>
  <c r="B104" i="7"/>
  <c r="E104" i="7" s="1"/>
  <c r="B91" i="7"/>
  <c r="B124" i="7" s="1"/>
  <c r="B85" i="7"/>
  <c r="E85" i="7" s="1"/>
  <c r="L28" i="7"/>
  <c r="O28" i="7" s="1"/>
  <c r="B73" i="7"/>
  <c r="E73" i="7" s="1"/>
  <c r="L48" i="7"/>
  <c r="O48" i="7" s="1"/>
  <c r="C95" i="7"/>
  <c r="L15" i="7"/>
  <c r="O15" i="7" s="1"/>
  <c r="L40" i="7"/>
  <c r="O40" i="7" s="1"/>
  <c r="L23" i="7"/>
  <c r="O23" i="7" s="1"/>
  <c r="E65" i="7"/>
  <c r="M62" i="7"/>
  <c r="K74" i="7"/>
  <c r="K83" i="7"/>
  <c r="F86" i="7"/>
  <c r="H82" i="7"/>
  <c r="F138" i="7"/>
  <c r="D138" i="7"/>
  <c r="F65" i="7"/>
  <c r="B92" i="7"/>
  <c r="E92" i="7" s="1"/>
  <c r="L37" i="7"/>
  <c r="O37" i="7" s="1"/>
  <c r="L4" i="7"/>
  <c r="O4" i="7" s="1"/>
  <c r="I80" i="7"/>
  <c r="I86" i="7" s="1"/>
  <c r="D82" i="7"/>
  <c r="E134" i="7" s="1"/>
  <c r="L16" i="7"/>
  <c r="O16" i="7" s="1"/>
  <c r="K77" i="7"/>
  <c r="H85" i="7"/>
  <c r="K78" i="7"/>
  <c r="B96" i="7"/>
  <c r="B94" i="7"/>
  <c r="C138" i="7"/>
  <c r="C86" i="7"/>
  <c r="M29" i="7"/>
  <c r="B93" i="7"/>
  <c r="B77" i="7"/>
  <c r="E77" i="7" s="1"/>
  <c r="M77" i="7" s="1"/>
  <c r="M58" i="7"/>
  <c r="H79" i="7"/>
  <c r="H78" i="7"/>
  <c r="H84" i="7"/>
  <c r="D94" i="7"/>
  <c r="E127" i="7" s="1"/>
  <c r="B101" i="7"/>
  <c r="B71" i="7"/>
  <c r="D74" i="7"/>
  <c r="L33" i="7"/>
  <c r="O33" i="7" s="1"/>
  <c r="H76" i="7"/>
  <c r="H80" i="7"/>
  <c r="G65" i="7"/>
  <c r="C65" i="7"/>
  <c r="L20" i="7"/>
  <c r="O20" i="7" s="1"/>
  <c r="B100" i="7"/>
  <c r="E100" i="7" s="1"/>
  <c r="H81" i="7"/>
  <c r="C96" i="7"/>
  <c r="L12" i="7"/>
  <c r="O12" i="7" s="1"/>
  <c r="M25" i="7"/>
  <c r="K75" i="7"/>
  <c r="D65" i="7"/>
  <c r="L36" i="7"/>
  <c r="O36" i="7" s="1"/>
  <c r="B97" i="7"/>
  <c r="E133" i="7"/>
  <c r="L27" i="7"/>
  <c r="O27" i="7" s="1"/>
  <c r="K71" i="7"/>
  <c r="K76" i="7"/>
  <c r="K85" i="7"/>
  <c r="V161" i="1"/>
  <c r="V167" i="1"/>
  <c r="V173" i="1"/>
  <c r="V179" i="1"/>
  <c r="V185" i="1"/>
  <c r="V726" i="1"/>
  <c r="V737" i="1"/>
  <c r="V645" i="1"/>
  <c r="V661" i="1"/>
  <c r="V749" i="1"/>
  <c r="V771" i="1"/>
  <c r="V782" i="1"/>
  <c r="V786" i="1"/>
  <c r="V791" i="1"/>
  <c r="V847" i="1"/>
  <c r="V807" i="1"/>
  <c r="V840" i="1"/>
  <c r="V845" i="1"/>
  <c r="V820" i="1"/>
  <c r="V866" i="1"/>
  <c r="V863" i="1"/>
  <c r="V1065" i="1"/>
  <c r="V902" i="1"/>
  <c r="AT1160" i="1"/>
  <c r="I3360" i="33"/>
  <c r="K149" i="36"/>
  <c r="K155" i="36"/>
  <c r="K153" i="36"/>
  <c r="K65" i="36"/>
  <c r="I430" i="6"/>
  <c r="V113" i="1"/>
  <c r="V121" i="1"/>
  <c r="V132" i="1"/>
  <c r="V137" i="1"/>
  <c r="V140" i="1"/>
  <c r="V144" i="1"/>
  <c r="V148" i="1"/>
  <c r="V158" i="1"/>
  <c r="M101" i="36"/>
  <c r="K444" i="6"/>
  <c r="K445" i="6"/>
  <c r="M46" i="36"/>
  <c r="L56" i="7"/>
  <c r="O56" i="7" s="1"/>
  <c r="I152" i="6"/>
  <c r="V1535" i="1"/>
  <c r="V1192" i="1"/>
  <c r="V1196" i="1"/>
  <c r="V1197" i="1"/>
  <c r="V1228" i="1"/>
  <c r="K425" i="6"/>
  <c r="I410" i="6"/>
  <c r="I471" i="6"/>
  <c r="R150" i="36"/>
  <c r="K515" i="6"/>
  <c r="AQ1562" i="1"/>
  <c r="K562" i="6"/>
  <c r="N562" i="6" s="1"/>
  <c r="K572" i="6"/>
  <c r="N572" i="6" s="1"/>
  <c r="AQ2510" i="1"/>
  <c r="AQ2532" i="1"/>
  <c r="AQ2508" i="1"/>
  <c r="V1448" i="1"/>
  <c r="J341" i="6"/>
  <c r="P430" i="6"/>
  <c r="K136" i="36"/>
  <c r="I412" i="6"/>
  <c r="M77" i="36"/>
  <c r="AQ1498" i="1"/>
  <c r="AQ1542" i="1"/>
  <c r="AQ936" i="1"/>
  <c r="AQ880" i="1"/>
  <c r="AQ1088" i="1"/>
  <c r="AQ1112" i="1"/>
  <c r="I339" i="6"/>
  <c r="P425" i="6"/>
  <c r="L133" i="36"/>
  <c r="V1479" i="1"/>
  <c r="J309" i="6"/>
  <c r="M170" i="36"/>
  <c r="AQ1504" i="1"/>
  <c r="J515" i="6"/>
  <c r="AQ1607" i="1"/>
  <c r="AQ1606" i="1"/>
  <c r="AQ1553" i="1"/>
  <c r="V1574" i="1"/>
  <c r="AQ1472" i="1"/>
  <c r="AQ1544" i="1"/>
  <c r="K430" i="6"/>
  <c r="K473" i="6"/>
  <c r="K104" i="36"/>
  <c r="I515" i="6"/>
  <c r="AT1391" i="1"/>
  <c r="I223" i="6"/>
  <c r="P446" i="6"/>
  <c r="P447" i="6"/>
  <c r="R115" i="36"/>
  <c r="K155" i="6"/>
  <c r="K2732" i="33"/>
  <c r="I3040" i="33"/>
  <c r="I2992" i="33"/>
  <c r="I2994" i="33"/>
  <c r="J3063" i="33"/>
  <c r="P329" i="6"/>
  <c r="AO698" i="1"/>
  <c r="AQ698" i="1" s="1"/>
  <c r="AT1330" i="1"/>
  <c r="AT1373" i="1"/>
  <c r="I3584" i="33"/>
  <c r="AU1334" i="1"/>
  <c r="J149" i="6"/>
  <c r="AU1353" i="1"/>
  <c r="J146" i="6"/>
  <c r="AT1426" i="1"/>
  <c r="I280" i="6"/>
  <c r="AU1427" i="1"/>
  <c r="J219" i="6"/>
  <c r="AO755" i="1"/>
  <c r="AQ755" i="1" s="1"/>
  <c r="P2661" i="33"/>
  <c r="AO1536" i="1"/>
  <c r="AQ1536" i="1" s="1"/>
  <c r="F117" i="7"/>
  <c r="K568" i="6"/>
  <c r="N568" i="6" s="1"/>
  <c r="K566" i="6"/>
  <c r="N566" i="6" s="1"/>
  <c r="J222" i="6"/>
  <c r="AU728" i="1"/>
  <c r="AT554" i="1"/>
  <c r="AT1060" i="1"/>
  <c r="AT979" i="1"/>
  <c r="AU1229" i="1"/>
  <c r="AO1260" i="1"/>
  <c r="AQ1260" i="1" s="1"/>
  <c r="J3282" i="33"/>
  <c r="AU1313" i="1"/>
  <c r="J130" i="6"/>
  <c r="AU1290" i="1"/>
  <c r="J257" i="6"/>
  <c r="AU1296" i="1"/>
  <c r="J171" i="6"/>
  <c r="AU1346" i="1"/>
  <c r="J210" i="6"/>
  <c r="AU1232" i="1"/>
  <c r="J239" i="6"/>
  <c r="AO1460" i="1"/>
  <c r="AQ1460" i="1" s="1"/>
  <c r="P368" i="6"/>
  <c r="I2925" i="33"/>
  <c r="I2923" i="33"/>
  <c r="J3283" i="33"/>
  <c r="I345" i="6"/>
  <c r="AU734" i="1"/>
  <c r="AU587" i="1"/>
  <c r="AT633" i="1"/>
  <c r="AT461" i="1"/>
  <c r="AU940" i="1"/>
  <c r="AU793" i="1"/>
  <c r="J3059" i="33"/>
  <c r="I3408" i="33"/>
  <c r="AU1172" i="1"/>
  <c r="I281" i="6"/>
  <c r="I346" i="6"/>
  <c r="P2514" i="33"/>
  <c r="P2611" i="33"/>
  <c r="P2957" i="33"/>
  <c r="AU737" i="1"/>
  <c r="AT501" i="1"/>
  <c r="AT1032" i="1"/>
  <c r="J3055" i="33"/>
  <c r="I3403" i="33"/>
  <c r="L45" i="7"/>
  <c r="M46" i="7"/>
  <c r="L61" i="7"/>
  <c r="O61" i="7" s="1"/>
  <c r="J212" i="6"/>
  <c r="L3" i="7"/>
  <c r="O3" i="7" s="1"/>
  <c r="I344" i="6"/>
  <c r="J336" i="6"/>
  <c r="P3574" i="33"/>
  <c r="J2603" i="33"/>
  <c r="AO610" i="1"/>
  <c r="AQ610" i="1" s="1"/>
  <c r="AT805" i="1"/>
  <c r="AT909" i="1"/>
  <c r="J3527" i="33"/>
  <c r="J3329" i="33"/>
  <c r="AQ1454" i="1"/>
  <c r="L103" i="36"/>
  <c r="L101" i="36"/>
  <c r="J445" i="6"/>
  <c r="L46" i="36"/>
  <c r="K274" i="6"/>
  <c r="K273" i="6"/>
  <c r="K569" i="6"/>
  <c r="N569" i="6" s="1"/>
  <c r="AT26" i="1"/>
  <c r="AQ966" i="1"/>
  <c r="J474" i="6"/>
  <c r="L77" i="36"/>
  <c r="L78" i="36"/>
  <c r="AO1519" i="1"/>
  <c r="AQ1519" i="1" s="1"/>
  <c r="P522" i="6"/>
  <c r="M47" i="36"/>
  <c r="M106" i="36"/>
  <c r="AU1489" i="1"/>
  <c r="J505" i="6"/>
  <c r="L147" i="36"/>
  <c r="J504" i="6"/>
  <c r="AQ1510" i="1"/>
  <c r="AT1507" i="1"/>
  <c r="I512" i="6"/>
  <c r="V1517" i="1"/>
  <c r="AU1611" i="1"/>
  <c r="J502" i="6"/>
  <c r="L122" i="36"/>
  <c r="L118" i="36"/>
  <c r="J451" i="6"/>
  <c r="AO1484" i="1"/>
  <c r="AQ1484" i="1" s="1"/>
  <c r="P472" i="6"/>
  <c r="V1488" i="1"/>
  <c r="V1514" i="1"/>
  <c r="V1447" i="1"/>
  <c r="K115" i="36"/>
  <c r="I446" i="6"/>
  <c r="AT1440" i="1"/>
  <c r="AQ1446" i="1"/>
  <c r="M176" i="36"/>
  <c r="M84" i="36"/>
  <c r="M174" i="36"/>
  <c r="M82" i="36"/>
  <c r="K121" i="36"/>
  <c r="I453" i="6"/>
  <c r="K456" i="6"/>
  <c r="K455" i="6"/>
  <c r="K454" i="6"/>
  <c r="P455" i="6"/>
  <c r="AO1485" i="1"/>
  <c r="AQ1485" i="1" s="1"/>
  <c r="AQ1608" i="1"/>
  <c r="AQ1534" i="1"/>
  <c r="K567" i="6"/>
  <c r="N567" i="6" s="1"/>
  <c r="AQ1614" i="1"/>
  <c r="AO1611" i="1"/>
  <c r="AQ1611" i="1" s="1"/>
  <c r="P502" i="6"/>
  <c r="AQ902" i="1"/>
  <c r="AQ1326" i="1"/>
  <c r="AQ1206" i="1"/>
  <c r="AQ6" i="1"/>
  <c r="AQ694" i="1"/>
  <c r="AQ342" i="1"/>
  <c r="AQ1254" i="1"/>
  <c r="AQ1126" i="1"/>
  <c r="AQ86" i="1"/>
  <c r="AQ1230" i="1"/>
  <c r="AQ470" i="1"/>
  <c r="AQ30" i="1"/>
  <c r="AQ1414" i="1"/>
  <c r="AQ1054" i="1"/>
  <c r="E130" i="7"/>
  <c r="AT1442" i="1"/>
  <c r="I169" i="6"/>
  <c r="I426" i="6"/>
  <c r="J471" i="6"/>
  <c r="K485" i="6"/>
  <c r="R160" i="36"/>
  <c r="M175" i="36"/>
  <c r="V1434" i="1"/>
  <c r="I447" i="6"/>
  <c r="AQ1470" i="1"/>
  <c r="L102" i="36"/>
  <c r="K159" i="36"/>
  <c r="M173" i="36"/>
  <c r="AQ1342" i="1"/>
  <c r="AQ446" i="1"/>
  <c r="AQ1046" i="1"/>
  <c r="AQ462" i="1"/>
  <c r="AQ142" i="1"/>
  <c r="AQ46" i="1"/>
  <c r="AQ350" i="1"/>
  <c r="AQ110" i="1"/>
  <c r="AQ230" i="1"/>
  <c r="AQ478" i="1"/>
  <c r="AQ974" i="1"/>
  <c r="AQ54" i="1"/>
  <c r="V1445" i="1"/>
  <c r="R134" i="36"/>
  <c r="R138" i="36"/>
  <c r="AU1480" i="1"/>
  <c r="L145" i="36"/>
  <c r="L104" i="36"/>
  <c r="AT1493" i="1"/>
  <c r="K154" i="36"/>
  <c r="K151" i="36"/>
  <c r="I429" i="6"/>
  <c r="AQ2526" i="1"/>
  <c r="V1442" i="1"/>
  <c r="AQ1462" i="1"/>
  <c r="K310" i="6"/>
  <c r="K309" i="6"/>
  <c r="AQ1459" i="1"/>
  <c r="AQ1491" i="1"/>
  <c r="AQ1528" i="1"/>
  <c r="V1529" i="1"/>
  <c r="AQ1516" i="1"/>
  <c r="V1534" i="1"/>
  <c r="AQ1558" i="1"/>
  <c r="V1577" i="1"/>
  <c r="AQ1560" i="1"/>
  <c r="AQ1500" i="1"/>
  <c r="V1489" i="1"/>
  <c r="J395" i="6"/>
  <c r="V1543" i="1"/>
  <c r="AQ1552" i="1"/>
  <c r="AQ2516" i="1"/>
  <c r="AQ2514" i="1"/>
  <c r="AQ1435" i="1"/>
  <c r="P429" i="6"/>
  <c r="AQ1456" i="1"/>
  <c r="AQ1466" i="1"/>
  <c r="AQ1476" i="1"/>
  <c r="K504" i="6"/>
  <c r="R153" i="36"/>
  <c r="M169" i="36"/>
  <c r="AQ1494" i="1"/>
  <c r="AQ1506" i="1"/>
  <c r="P395" i="6"/>
  <c r="AQ1524" i="1"/>
  <c r="AQ1530" i="1"/>
  <c r="AQ1523" i="1"/>
  <c r="V1604" i="1"/>
  <c r="AQ1604" i="1"/>
  <c r="AQ1540" i="1"/>
  <c r="AQ1543" i="1"/>
  <c r="V1546" i="1"/>
  <c r="AQ1550" i="1"/>
  <c r="AQ1583" i="1"/>
  <c r="AQ1619" i="1"/>
  <c r="V1620" i="1"/>
  <c r="V1615" i="1"/>
  <c r="AQ2520" i="1"/>
  <c r="K315" i="6"/>
  <c r="P428" i="6"/>
  <c r="AQ1438" i="1"/>
  <c r="AQ1478" i="1"/>
  <c r="P308" i="6"/>
  <c r="K508" i="6"/>
  <c r="AQ1496" i="1"/>
  <c r="P394" i="6"/>
  <c r="AQ1526" i="1"/>
  <c r="AQ1532" i="1"/>
  <c r="I514" i="6"/>
  <c r="AQ1556" i="1"/>
  <c r="AQ1566" i="1"/>
  <c r="P340" i="6"/>
  <c r="V1471" i="1"/>
  <c r="V1462" i="1"/>
  <c r="M102" i="36"/>
  <c r="J435" i="6"/>
  <c r="K98" i="36"/>
  <c r="L65" i="36"/>
  <c r="V1550" i="1"/>
  <c r="I389" i="6"/>
  <c r="P390" i="6"/>
  <c r="K460" i="6"/>
  <c r="AQ1584" i="1"/>
  <c r="P338" i="6"/>
  <c r="K389" i="6"/>
  <c r="L58" i="36"/>
  <c r="M57" i="36"/>
  <c r="K160" i="36"/>
  <c r="M78" i="36"/>
  <c r="K507" i="6"/>
  <c r="V1500" i="1"/>
  <c r="R141" i="36"/>
  <c r="V1524" i="1"/>
  <c r="V1530" i="1"/>
  <c r="P473" i="6"/>
  <c r="R104" i="36"/>
  <c r="L62" i="36"/>
  <c r="V1491" i="1"/>
  <c r="AQ1568" i="1"/>
  <c r="V1569" i="1"/>
  <c r="AQ2531" i="1"/>
  <c r="AQ2525" i="1"/>
  <c r="AQ2519" i="1"/>
  <c r="AQ2513" i="1"/>
  <c r="AQ2507" i="1"/>
  <c r="V1566" i="1"/>
  <c r="V1616" i="1"/>
  <c r="V1614" i="1"/>
  <c r="AQ1570" i="1"/>
  <c r="AQ2530" i="1"/>
  <c r="AQ2524" i="1"/>
  <c r="AQ2518" i="1"/>
  <c r="AQ2512" i="1"/>
  <c r="AQ2506" i="1"/>
  <c r="AQ2529" i="1"/>
  <c r="AQ2523" i="1"/>
  <c r="AQ2517" i="1"/>
  <c r="AQ2511" i="1"/>
  <c r="AQ2505" i="1"/>
  <c r="V1613" i="1"/>
  <c r="AQ1575" i="1"/>
  <c r="AQ2527" i="1"/>
  <c r="AQ2521" i="1"/>
  <c r="AQ2515" i="1"/>
  <c r="AQ2509" i="1"/>
  <c r="J203" i="6"/>
  <c r="M60" i="36"/>
  <c r="V1525" i="1"/>
  <c r="K156" i="36"/>
  <c r="K99" i="36"/>
  <c r="K164" i="36"/>
  <c r="V1562" i="1"/>
  <c r="V1567" i="1"/>
  <c r="M107" i="36"/>
  <c r="M140" i="36"/>
  <c r="R142" i="36"/>
  <c r="AO1564" i="1"/>
  <c r="AQ1564" i="1" s="1"/>
  <c r="J264" i="6"/>
  <c r="J316" i="6"/>
  <c r="K340" i="6"/>
  <c r="K200" i="6"/>
  <c r="J476" i="6"/>
  <c r="M136" i="36"/>
  <c r="V1454" i="1"/>
  <c r="V1437" i="1"/>
  <c r="V1467" i="1"/>
  <c r="M139" i="36"/>
  <c r="V1501" i="1"/>
  <c r="L61" i="36"/>
  <c r="V1538" i="1"/>
  <c r="V1533" i="1"/>
  <c r="V1605" i="1"/>
  <c r="AO1512" i="1"/>
  <c r="AQ1512" i="1" s="1"/>
  <c r="R98" i="36"/>
  <c r="P458" i="6"/>
  <c r="J501" i="6"/>
  <c r="AU1564" i="1"/>
  <c r="AQ1613" i="1"/>
  <c r="J263" i="6"/>
  <c r="J315" i="6"/>
  <c r="J340" i="6"/>
  <c r="J201" i="6"/>
  <c r="P383" i="6"/>
  <c r="P389" i="6"/>
  <c r="I425" i="6"/>
  <c r="J429" i="6"/>
  <c r="J450" i="6"/>
  <c r="P477" i="6"/>
  <c r="P474" i="6"/>
  <c r="L131" i="36"/>
  <c r="K135" i="36"/>
  <c r="M138" i="36"/>
  <c r="AO1440" i="1"/>
  <c r="AQ1440" i="1" s="1"/>
  <c r="P412" i="6"/>
  <c r="J443" i="6"/>
  <c r="K452" i="6"/>
  <c r="AT1475" i="1"/>
  <c r="V1476" i="1"/>
  <c r="I270" i="6"/>
  <c r="P471" i="6"/>
  <c r="K105" i="36"/>
  <c r="L63" i="36"/>
  <c r="R148" i="36"/>
  <c r="K152" i="36"/>
  <c r="K150" i="36"/>
  <c r="M150" i="36"/>
  <c r="P512" i="6"/>
  <c r="J522" i="6"/>
  <c r="V1498" i="1"/>
  <c r="V1482" i="1"/>
  <c r="I394" i="6"/>
  <c r="P397" i="6"/>
  <c r="P518" i="6"/>
  <c r="R99" i="36"/>
  <c r="I457" i="6"/>
  <c r="V1565" i="1"/>
  <c r="E135" i="7"/>
  <c r="J265" i="6"/>
  <c r="J318" i="6"/>
  <c r="J200" i="6"/>
  <c r="K385" i="6"/>
  <c r="K475" i="6"/>
  <c r="M135" i="36"/>
  <c r="L100" i="36"/>
  <c r="V1436" i="1"/>
  <c r="V1469" i="1"/>
  <c r="V1583" i="1"/>
  <c r="J261" i="6"/>
  <c r="J204" i="6"/>
  <c r="K474" i="6"/>
  <c r="M134" i="36"/>
  <c r="V1473" i="1"/>
  <c r="V1455" i="1"/>
  <c r="V1458" i="1"/>
  <c r="M105" i="36"/>
  <c r="J506" i="6"/>
  <c r="L146" i="36"/>
  <c r="K148" i="36"/>
  <c r="I427" i="6"/>
  <c r="L169" i="36"/>
  <c r="V1495" i="1"/>
  <c r="V1502" i="1"/>
  <c r="V1483" i="1"/>
  <c r="J470" i="6"/>
  <c r="AO1503" i="1"/>
  <c r="AQ1503" i="1" s="1"/>
  <c r="V1504" i="1"/>
  <c r="V1506" i="1"/>
  <c r="P435" i="6"/>
  <c r="I519" i="6"/>
  <c r="AQ1616" i="1"/>
  <c r="V1563" i="1"/>
  <c r="V1564" i="1"/>
  <c r="P503" i="6"/>
  <c r="AQ1615" i="1"/>
  <c r="V1581" i="1"/>
  <c r="V1612" i="1"/>
  <c r="V1575" i="1"/>
  <c r="AQ1578" i="1"/>
  <c r="V1579" i="1"/>
  <c r="V1571" i="1"/>
  <c r="AQ1594" i="1"/>
  <c r="AQ1612" i="1"/>
  <c r="AQ1573" i="1"/>
  <c r="AQ1569" i="1"/>
  <c r="V1570" i="1"/>
  <c r="E123" i="7"/>
  <c r="L176" i="36"/>
  <c r="L84" i="36"/>
  <c r="AU1522" i="1"/>
  <c r="L174" i="36"/>
  <c r="J485" i="6"/>
  <c r="L173" i="36"/>
  <c r="L82" i="36"/>
  <c r="L83" i="36"/>
  <c r="AO1520" i="1"/>
  <c r="AQ1520" i="1" s="1"/>
  <c r="P509" i="6"/>
  <c r="P510" i="6"/>
  <c r="P508" i="6"/>
  <c r="I204" i="6"/>
  <c r="I202" i="6"/>
  <c r="K140" i="36"/>
  <c r="AT1486" i="1"/>
  <c r="AO1486" i="1"/>
  <c r="AQ1486" i="1" s="1"/>
  <c r="R139" i="36"/>
  <c r="P497" i="6"/>
  <c r="K110" i="36"/>
  <c r="AT1488" i="1"/>
  <c r="M115" i="36"/>
  <c r="K447" i="6"/>
  <c r="K446" i="6"/>
  <c r="K103" i="36"/>
  <c r="I445" i="6"/>
  <c r="J486" i="6"/>
  <c r="L175" i="36"/>
  <c r="I265" i="6"/>
  <c r="I261" i="6"/>
  <c r="P386" i="6"/>
  <c r="P384" i="6"/>
  <c r="P385" i="6"/>
  <c r="AT1451" i="1"/>
  <c r="I386" i="6"/>
  <c r="I385" i="6"/>
  <c r="I382" i="6"/>
  <c r="P318" i="6"/>
  <c r="P316" i="6"/>
  <c r="P317" i="6"/>
  <c r="I315" i="6"/>
  <c r="I317" i="6"/>
  <c r="K97" i="36"/>
  <c r="AT1502" i="1"/>
  <c r="R117" i="36"/>
  <c r="R123" i="36"/>
  <c r="P452" i="6"/>
  <c r="M61" i="36"/>
  <c r="K469" i="6"/>
  <c r="M144" i="36"/>
  <c r="M142" i="36"/>
  <c r="J262" i="6"/>
  <c r="J317" i="6"/>
  <c r="K341" i="6"/>
  <c r="I340" i="6"/>
  <c r="K386" i="6"/>
  <c r="J430" i="6"/>
  <c r="K429" i="6"/>
  <c r="J449" i="6"/>
  <c r="AU1439" i="1"/>
  <c r="K450" i="6"/>
  <c r="M100" i="36"/>
  <c r="K411" i="6"/>
  <c r="I454" i="6"/>
  <c r="V1460" i="1"/>
  <c r="L148" i="36"/>
  <c r="M152" i="36"/>
  <c r="AU1518" i="1"/>
  <c r="I522" i="6"/>
  <c r="V1522" i="1"/>
  <c r="V1497" i="1"/>
  <c r="AU1484" i="1"/>
  <c r="J473" i="6"/>
  <c r="I505" i="6"/>
  <c r="K63" i="36"/>
  <c r="V1490" i="1"/>
  <c r="P519" i="6"/>
  <c r="AT1516" i="1"/>
  <c r="V1606" i="1"/>
  <c r="AQ1579" i="1"/>
  <c r="K384" i="6"/>
  <c r="J389" i="6"/>
  <c r="AU1473" i="1"/>
  <c r="M155" i="36"/>
  <c r="I523" i="6"/>
  <c r="L170" i="36"/>
  <c r="L166" i="36"/>
  <c r="L154" i="36"/>
  <c r="L151" i="36"/>
  <c r="AU1486" i="1"/>
  <c r="L60" i="36"/>
  <c r="P438" i="6"/>
  <c r="P437" i="6"/>
  <c r="AT1512" i="1"/>
  <c r="I438" i="6"/>
  <c r="F116" i="7"/>
  <c r="AO1574" i="1"/>
  <c r="AQ1574" i="1" s="1"/>
  <c r="J205" i="6"/>
  <c r="K339" i="6"/>
  <c r="I338" i="6"/>
  <c r="K383" i="6"/>
  <c r="J428" i="6"/>
  <c r="K426" i="6"/>
  <c r="K449" i="6"/>
  <c r="I476" i="6"/>
  <c r="K129" i="36"/>
  <c r="V1481" i="1"/>
  <c r="K107" i="36"/>
  <c r="L140" i="36"/>
  <c r="J427" i="6"/>
  <c r="J509" i="6"/>
  <c r="K68" i="36"/>
  <c r="L168" i="36"/>
  <c r="M166" i="36"/>
  <c r="I524" i="6"/>
  <c r="V1492" i="1"/>
  <c r="V1519" i="1"/>
  <c r="P427" i="6"/>
  <c r="AO1493" i="1"/>
  <c r="AQ1493" i="1" s="1"/>
  <c r="R149" i="36"/>
  <c r="AU1483" i="1"/>
  <c r="J452" i="6"/>
  <c r="V1487" i="1"/>
  <c r="V1510" i="1"/>
  <c r="V1507" i="1"/>
  <c r="J437" i="6"/>
  <c r="AU1512" i="1"/>
  <c r="V1539" i="1"/>
  <c r="M98" i="36"/>
  <c r="M156" i="36"/>
  <c r="J310" i="6"/>
  <c r="AU1560" i="1"/>
  <c r="J492" i="6"/>
  <c r="J495" i="6"/>
  <c r="J496" i="6"/>
  <c r="V1596" i="1"/>
  <c r="V1444" i="1"/>
  <c r="J390" i="6"/>
  <c r="J425" i="6"/>
  <c r="K477" i="6"/>
  <c r="V1450" i="1"/>
  <c r="V1453" i="1"/>
  <c r="V1438" i="1"/>
  <c r="I455" i="6"/>
  <c r="P274" i="6"/>
  <c r="P273" i="6"/>
  <c r="V1461" i="1"/>
  <c r="L153" i="36"/>
  <c r="V1518" i="1"/>
  <c r="K175" i="36"/>
  <c r="I486" i="6"/>
  <c r="M104" i="36"/>
  <c r="M160" i="36"/>
  <c r="K512" i="6"/>
  <c r="V1528" i="1"/>
  <c r="I435" i="6"/>
  <c r="V1512" i="1"/>
  <c r="V1599" i="1"/>
  <c r="AO1563" i="1"/>
  <c r="AQ1563" i="1" s="1"/>
  <c r="P514" i="6"/>
  <c r="J503" i="6"/>
  <c r="AU1568" i="1"/>
  <c r="I431" i="6"/>
  <c r="AT1479" i="1"/>
  <c r="P523" i="6"/>
  <c r="P524" i="6"/>
  <c r="AU1546" i="1"/>
  <c r="L76" i="36"/>
  <c r="L161" i="36"/>
  <c r="J460" i="6"/>
  <c r="AT1568" i="1"/>
  <c r="I503" i="6"/>
  <c r="V1554" i="1"/>
  <c r="V1552" i="1"/>
  <c r="V1544" i="1"/>
  <c r="V1618" i="1"/>
  <c r="V1572" i="1"/>
  <c r="V1597" i="1"/>
  <c r="V1589" i="1"/>
  <c r="V1610" i="1"/>
  <c r="V1559" i="1"/>
  <c r="V1549" i="1"/>
  <c r="V1617" i="1"/>
  <c r="V1456" i="1"/>
  <c r="V1468" i="1"/>
  <c r="V1439" i="1"/>
  <c r="V1466" i="1"/>
  <c r="V1475" i="1"/>
  <c r="V1486" i="1"/>
  <c r="V1509" i="1"/>
  <c r="V1505" i="1"/>
  <c r="V1515" i="1"/>
  <c r="V1561" i="1"/>
  <c r="V1555" i="1"/>
  <c r="V1557" i="1"/>
  <c r="V1545" i="1"/>
  <c r="V1573" i="1"/>
  <c r="V1568" i="1"/>
  <c r="H65" i="7"/>
  <c r="M38" i="7"/>
  <c r="I65" i="7"/>
  <c r="M160" i="7"/>
  <c r="N160" i="7" s="1"/>
  <c r="L11" i="7"/>
  <c r="O11" i="7" s="1"/>
  <c r="M21" i="7"/>
  <c r="E160" i="7"/>
  <c r="F160" i="7" s="1"/>
  <c r="L41" i="7"/>
  <c r="L53" i="7"/>
  <c r="M50" i="7"/>
  <c r="L24" i="7"/>
  <c r="M34" i="7"/>
  <c r="L8" i="7"/>
  <c r="O8" i="7" s="1"/>
  <c r="E124" i="7"/>
  <c r="E72" i="7"/>
  <c r="E129" i="7"/>
  <c r="K72" i="7"/>
  <c r="J86" i="7"/>
  <c r="E131" i="7"/>
  <c r="E137" i="7"/>
  <c r="K81" i="7"/>
  <c r="E128" i="7"/>
  <c r="E132" i="7"/>
  <c r="E80" i="7"/>
  <c r="K84" i="7"/>
  <c r="K79" i="7"/>
  <c r="P194" i="6"/>
  <c r="V1443" i="1"/>
  <c r="P315" i="6"/>
  <c r="AO1449" i="1"/>
  <c r="AQ1449" i="1" s="1"/>
  <c r="I318" i="6"/>
  <c r="I316" i="6"/>
  <c r="AT1439" i="1"/>
  <c r="K100" i="36"/>
  <c r="I450" i="6"/>
  <c r="P449" i="6"/>
  <c r="P450" i="6"/>
  <c r="AO1439" i="1"/>
  <c r="AQ1439" i="1" s="1"/>
  <c r="P448" i="6"/>
  <c r="K201" i="6"/>
  <c r="K203" i="6"/>
  <c r="V1477" i="1"/>
  <c r="AT1458" i="1"/>
  <c r="I273" i="6"/>
  <c r="K438" i="6"/>
  <c r="K435" i="6"/>
  <c r="K261" i="6"/>
  <c r="K262" i="6"/>
  <c r="AU1451" i="1"/>
  <c r="J384" i="6"/>
  <c r="M131" i="36"/>
  <c r="M133" i="36"/>
  <c r="M58" i="36"/>
  <c r="AU1457" i="1"/>
  <c r="J270" i="6"/>
  <c r="K166" i="36"/>
  <c r="K168" i="36"/>
  <c r="I507" i="6"/>
  <c r="AO1518" i="1"/>
  <c r="AQ1518" i="1" s="1"/>
  <c r="R168" i="36"/>
  <c r="I508" i="6"/>
  <c r="I511" i="6"/>
  <c r="K505" i="6"/>
  <c r="M62" i="36"/>
  <c r="M146" i="36"/>
  <c r="K506" i="6"/>
  <c r="M147" i="36"/>
  <c r="K263" i="6"/>
  <c r="K316" i="6"/>
  <c r="K318" i="6"/>
  <c r="J446" i="6"/>
  <c r="J447" i="6"/>
  <c r="AT1274" i="1"/>
  <c r="I203" i="6"/>
  <c r="K102" i="36"/>
  <c r="AT1480" i="1"/>
  <c r="K46" i="36"/>
  <c r="I444" i="6"/>
  <c r="K101" i="36"/>
  <c r="P444" i="6"/>
  <c r="R101" i="36"/>
  <c r="AO1480" i="1"/>
  <c r="AQ1480" i="1" s="1"/>
  <c r="R102" i="36"/>
  <c r="P443" i="6"/>
  <c r="P445" i="6"/>
  <c r="I509" i="6"/>
  <c r="AU1436" i="1"/>
  <c r="J477" i="6"/>
  <c r="AO1463" i="1"/>
  <c r="AQ1463" i="1" s="1"/>
  <c r="R130" i="36"/>
  <c r="AT1465" i="1"/>
  <c r="K133" i="36"/>
  <c r="K132" i="36"/>
  <c r="R133" i="36"/>
  <c r="R132" i="36"/>
  <c r="AU1479" i="1"/>
  <c r="J431" i="6"/>
  <c r="J194" i="6"/>
  <c r="AU1432" i="1"/>
  <c r="J385" i="6"/>
  <c r="K130" i="36"/>
  <c r="J413" i="6"/>
  <c r="J410" i="6"/>
  <c r="K123" i="36"/>
  <c r="AT1483" i="1"/>
  <c r="I451" i="6"/>
  <c r="K57" i="36"/>
  <c r="I452" i="6"/>
  <c r="K122" i="36"/>
  <c r="K118" i="36"/>
  <c r="R122" i="36"/>
  <c r="R118" i="36"/>
  <c r="P451" i="6"/>
  <c r="R121" i="36"/>
  <c r="P453" i="6"/>
  <c r="AO1483" i="1"/>
  <c r="AQ1483" i="1" s="1"/>
  <c r="AU1485" i="1"/>
  <c r="J456" i="6"/>
  <c r="J455" i="6"/>
  <c r="M110" i="36"/>
  <c r="K461" i="6"/>
  <c r="I496" i="6"/>
  <c r="AT1554" i="1"/>
  <c r="I492" i="6"/>
  <c r="I493" i="6"/>
  <c r="I494" i="6"/>
  <c r="I495" i="6"/>
  <c r="P496" i="6"/>
  <c r="P492" i="6"/>
  <c r="AO1554" i="1"/>
  <c r="AQ1554" i="1" s="1"/>
  <c r="P495" i="6"/>
  <c r="P493" i="6"/>
  <c r="P494" i="6"/>
  <c r="AT1374" i="1"/>
  <c r="I262" i="6"/>
  <c r="I263" i="6"/>
  <c r="L135" i="36"/>
  <c r="AU1464" i="1"/>
  <c r="L138" i="36"/>
  <c r="L59" i="36"/>
  <c r="L136" i="36"/>
  <c r="L134" i="36"/>
  <c r="AU1460" i="1"/>
  <c r="J368" i="6"/>
  <c r="K143" i="36"/>
  <c r="AT1503" i="1"/>
  <c r="K144" i="36"/>
  <c r="I470" i="6"/>
  <c r="I469" i="6"/>
  <c r="K558" i="6"/>
  <c r="K397" i="6"/>
  <c r="K393" i="6"/>
  <c r="K394" i="6"/>
  <c r="K396" i="6"/>
  <c r="K392" i="6"/>
  <c r="V1451" i="1"/>
  <c r="AO1464" i="1"/>
  <c r="AQ1464" i="1" s="1"/>
  <c r="P410" i="6"/>
  <c r="I411" i="6"/>
  <c r="K443" i="6"/>
  <c r="M103" i="36"/>
  <c r="L121" i="36"/>
  <c r="P506" i="6"/>
  <c r="M151" i="36"/>
  <c r="J507" i="6"/>
  <c r="L79" i="36"/>
  <c r="L143" i="36"/>
  <c r="L57" i="36"/>
  <c r="K62" i="36"/>
  <c r="M153" i="36"/>
  <c r="L167" i="36"/>
  <c r="K522" i="6"/>
  <c r="P339" i="6"/>
  <c r="J339" i="6"/>
  <c r="J202" i="6"/>
  <c r="I384" i="6"/>
  <c r="K476" i="6"/>
  <c r="I475" i="6"/>
  <c r="L132" i="36"/>
  <c r="AT1473" i="1"/>
  <c r="V1449" i="1"/>
  <c r="V1440" i="1"/>
  <c r="P411" i="6"/>
  <c r="J444" i="6"/>
  <c r="V1474" i="1"/>
  <c r="V1478" i="1"/>
  <c r="I368" i="6"/>
  <c r="V1457" i="1"/>
  <c r="L117" i="36"/>
  <c r="I506" i="6"/>
  <c r="K147" i="36"/>
  <c r="R145" i="36"/>
  <c r="M148" i="36"/>
  <c r="V1493" i="1"/>
  <c r="V1496" i="1"/>
  <c r="J518" i="6"/>
  <c r="AU1516" i="1"/>
  <c r="M165" i="36"/>
  <c r="M164" i="36"/>
  <c r="M162" i="36"/>
  <c r="K459" i="6"/>
  <c r="K76" i="36"/>
  <c r="AT1546" i="1"/>
  <c r="K162" i="36"/>
  <c r="I458" i="6"/>
  <c r="K163" i="36"/>
  <c r="I460" i="6"/>
  <c r="I459" i="6"/>
  <c r="K161" i="36"/>
  <c r="V1459" i="1"/>
  <c r="AU1503" i="1"/>
  <c r="L144" i="36"/>
  <c r="L141" i="36"/>
  <c r="J469" i="6"/>
  <c r="E116" i="7"/>
  <c r="AO1582" i="1"/>
  <c r="AQ1582" i="1" s="1"/>
  <c r="K571" i="6"/>
  <c r="N571" i="6" s="1"/>
  <c r="K570" i="6"/>
  <c r="N570" i="6" s="1"/>
  <c r="V1494" i="1"/>
  <c r="V1511" i="1"/>
  <c r="M143" i="36"/>
  <c r="V1513" i="1"/>
  <c r="V1598" i="1"/>
  <c r="V1542" i="1"/>
  <c r="J493" i="6"/>
  <c r="AU1554" i="1"/>
  <c r="V1548" i="1"/>
  <c r="V1621" i="1"/>
  <c r="V1619" i="1"/>
  <c r="AQ1515" i="1"/>
  <c r="AQ1545" i="1"/>
  <c r="AQ1618" i="1"/>
  <c r="AQ1580" i="1"/>
  <c r="AQ1576" i="1"/>
  <c r="V1580" i="1"/>
  <c r="V1508" i="1"/>
  <c r="V1516" i="1"/>
  <c r="V1608" i="1"/>
  <c r="V1609" i="1"/>
  <c r="V1547" i="1"/>
  <c r="V1556" i="1"/>
  <c r="V1553" i="1"/>
  <c r="V1584" i="1"/>
  <c r="V1576" i="1"/>
  <c r="V1578" i="1"/>
  <c r="AQ1571" i="1"/>
  <c r="K470" i="6"/>
  <c r="M141" i="36"/>
  <c r="AQ1539" i="1"/>
  <c r="V1540" i="1"/>
  <c r="V1551" i="1"/>
  <c r="V1560" i="1"/>
  <c r="V1558" i="1"/>
  <c r="AQ1577" i="1"/>
  <c r="AQ1621" i="1"/>
  <c r="AQ1617" i="1"/>
  <c r="AQ1572" i="1"/>
  <c r="E125" i="7"/>
  <c r="I264" i="6"/>
  <c r="K265" i="6"/>
  <c r="J383" i="6"/>
  <c r="L115" i="36"/>
  <c r="AO1451" i="1"/>
  <c r="AQ1451" i="1" s="1"/>
  <c r="AT1449" i="1"/>
  <c r="AO1436" i="1"/>
  <c r="AQ1436" i="1" s="1"/>
  <c r="AO1465" i="1"/>
  <c r="AQ1465" i="1" s="1"/>
  <c r="K410" i="6"/>
  <c r="AU1474" i="1"/>
  <c r="AO1458" i="1"/>
  <c r="AQ1458" i="1" s="1"/>
  <c r="AO1457" i="1"/>
  <c r="AQ1457" i="1" s="1"/>
  <c r="P270" i="6"/>
  <c r="R159" i="36"/>
  <c r="L97" i="36"/>
  <c r="AU1520" i="1"/>
  <c r="J508" i="6"/>
  <c r="J510" i="6"/>
  <c r="AU1482" i="1"/>
  <c r="L47" i="36"/>
  <c r="L105" i="36"/>
  <c r="K412" i="6"/>
  <c r="K82" i="36"/>
  <c r="K79" i="36"/>
  <c r="AT1518" i="1"/>
  <c r="K170" i="36"/>
  <c r="K77" i="36"/>
  <c r="K167" i="36"/>
  <c r="K78" i="36"/>
  <c r="R166" i="36"/>
  <c r="R169" i="36"/>
  <c r="R167" i="36"/>
  <c r="P507" i="6"/>
  <c r="AT1520" i="1"/>
  <c r="I510" i="6"/>
  <c r="AT1482" i="1"/>
  <c r="K106" i="36"/>
  <c r="R107" i="36"/>
  <c r="AO1482" i="1"/>
  <c r="AQ1482" i="1" s="1"/>
  <c r="AO1488" i="1"/>
  <c r="AQ1488" i="1" s="1"/>
  <c r="R110" i="36"/>
  <c r="J412" i="6"/>
  <c r="P431" i="6"/>
  <c r="AU1458" i="1"/>
  <c r="J274" i="6"/>
  <c r="AU1507" i="1"/>
  <c r="J512" i="6"/>
  <c r="L159" i="36"/>
  <c r="L160" i="36"/>
  <c r="J386" i="6"/>
  <c r="I448" i="6"/>
  <c r="I477" i="6"/>
  <c r="P476" i="6"/>
  <c r="J475" i="6"/>
  <c r="K131" i="36"/>
  <c r="K137" i="36"/>
  <c r="J411" i="6"/>
  <c r="I443" i="6"/>
  <c r="I485" i="6"/>
  <c r="AU1519" i="1"/>
  <c r="J524" i="6"/>
  <c r="AT1522" i="1"/>
  <c r="K83" i="36"/>
  <c r="K173" i="36"/>
  <c r="K84" i="36"/>
  <c r="K176" i="36"/>
  <c r="R174" i="36"/>
  <c r="P486" i="6"/>
  <c r="R175" i="36"/>
  <c r="AO1522" i="1"/>
  <c r="AQ1522" i="1" s="1"/>
  <c r="P485" i="6"/>
  <c r="R173" i="36"/>
  <c r="AT1489" i="1"/>
  <c r="K145" i="36"/>
  <c r="K146" i="36"/>
  <c r="I504" i="6"/>
  <c r="P505" i="6"/>
  <c r="R146" i="36"/>
  <c r="AO1489" i="1"/>
  <c r="AQ1489" i="1" s="1"/>
  <c r="R147" i="36"/>
  <c r="M154" i="36"/>
  <c r="M181" i="36"/>
  <c r="M180" i="36"/>
  <c r="M183" i="36"/>
  <c r="M179" i="36"/>
  <c r="M178" i="36"/>
  <c r="M182" i="36"/>
  <c r="K519" i="6"/>
  <c r="K518" i="6"/>
  <c r="K437" i="6"/>
  <c r="K436" i="6"/>
  <c r="B16" i="37"/>
  <c r="O16" i="37" s="1"/>
  <c r="S5" i="37"/>
  <c r="W5" i="37" s="1"/>
  <c r="X11" i="37"/>
  <c r="X21" i="37"/>
  <c r="K472" i="6"/>
  <c r="K117" i="36"/>
  <c r="M118" i="36"/>
  <c r="M121" i="36"/>
  <c r="K139" i="36"/>
  <c r="K60" i="36"/>
  <c r="R154" i="36"/>
  <c r="L152" i="36"/>
  <c r="L155" i="36"/>
  <c r="K427" i="6"/>
  <c r="M68" i="36"/>
  <c r="K523" i="6"/>
  <c r="P469" i="6"/>
  <c r="K142" i="36"/>
  <c r="K61" i="36"/>
  <c r="R144" i="36"/>
  <c r="J397" i="6"/>
  <c r="V1526" i="1"/>
  <c r="V1532" i="1"/>
  <c r="X7" i="37"/>
  <c r="X17" i="37"/>
  <c r="B5" i="37"/>
  <c r="O5" i="37" s="1"/>
  <c r="U5" i="37"/>
  <c r="U11" i="37"/>
  <c r="B11" i="37"/>
  <c r="O11" i="37" s="1"/>
  <c r="U17" i="37"/>
  <c r="B17" i="37"/>
  <c r="O17" i="37" s="1"/>
  <c r="S10" i="37"/>
  <c r="W10" i="37" s="1"/>
  <c r="Y10" i="37"/>
  <c r="S16" i="37"/>
  <c r="W16" i="37" s="1"/>
  <c r="Y16" i="37"/>
  <c r="S22" i="37"/>
  <c r="W22" i="37" s="1"/>
  <c r="Y22" i="37"/>
  <c r="Y17" i="37"/>
  <c r="S17" i="37"/>
  <c r="M123" i="36"/>
  <c r="I497" i="6"/>
  <c r="M65" i="36"/>
  <c r="L180" i="36"/>
  <c r="L179" i="36"/>
  <c r="L178" i="36"/>
  <c r="L183" i="36"/>
  <c r="L182" i="36"/>
  <c r="L181" i="36"/>
  <c r="P470" i="6"/>
  <c r="K141" i="36"/>
  <c r="J396" i="6"/>
  <c r="J436" i="6"/>
  <c r="X8" i="37"/>
  <c r="X18" i="37"/>
  <c r="B12" i="37"/>
  <c r="O12" i="37" s="1"/>
  <c r="U12" i="37"/>
  <c r="Y11" i="37"/>
  <c r="S11" i="37"/>
  <c r="B6" i="37"/>
  <c r="O6" i="37" s="1"/>
  <c r="S18" i="37"/>
  <c r="W18" i="37" s="1"/>
  <c r="B18" i="37"/>
  <c r="O18" i="37" s="1"/>
  <c r="Y18" i="37"/>
  <c r="X14" i="37"/>
  <c r="Y20" i="37"/>
  <c r="S20" i="37"/>
  <c r="W20" i="37" s="1"/>
  <c r="I49" i="37"/>
  <c r="S50" i="37"/>
  <c r="Y21" i="37"/>
  <c r="AC41" i="37"/>
  <c r="Y12" i="37"/>
  <c r="S12" i="37"/>
  <c r="W12" i="37" s="1"/>
  <c r="K180" i="36"/>
  <c r="K179" i="36"/>
  <c r="K178" i="36"/>
  <c r="K182" i="36"/>
  <c r="K181" i="36"/>
  <c r="K183" i="36"/>
  <c r="R182" i="36"/>
  <c r="R181" i="36"/>
  <c r="R183" i="36"/>
  <c r="R180" i="36"/>
  <c r="R179" i="36"/>
  <c r="R178" i="36"/>
  <c r="AU1538" i="1"/>
  <c r="V1523" i="1"/>
  <c r="W15" i="37"/>
  <c r="X5" i="37"/>
  <c r="X15" i="37"/>
  <c r="U14" i="37"/>
  <c r="B14" i="37"/>
  <c r="O14" i="37" s="1"/>
  <c r="U13" i="37"/>
  <c r="W13" i="37" s="1"/>
  <c r="B13" i="37"/>
  <c r="O13" i="37" s="1"/>
  <c r="V1607" i="1"/>
  <c r="X10" i="37"/>
  <c r="U15" i="37"/>
  <c r="B15" i="37"/>
  <c r="O15" i="37" s="1"/>
  <c r="S14" i="37"/>
  <c r="Y14" i="37"/>
  <c r="S34" i="37"/>
  <c r="Y5" i="37"/>
  <c r="S42" i="37"/>
  <c r="Y13" i="37"/>
  <c r="AA22" i="37"/>
  <c r="AN22" i="37" s="1"/>
  <c r="AA10" i="37"/>
  <c r="AN10" i="37" s="1"/>
  <c r="B8" i="37"/>
  <c r="O8" i="37" s="1"/>
  <c r="B21" i="37"/>
  <c r="O21" i="37" s="1"/>
  <c r="B22" i="37"/>
  <c r="O22" i="37" s="1"/>
  <c r="D26" i="37"/>
  <c r="B9" i="37"/>
  <c r="O9" i="37" s="1"/>
  <c r="U16" i="37"/>
  <c r="U7" i="37"/>
  <c r="U4" i="37"/>
  <c r="T4" i="37"/>
  <c r="S33" i="37"/>
  <c r="D55" i="37"/>
  <c r="L37" i="37"/>
  <c r="S37" i="37" s="1"/>
  <c r="X55" i="37"/>
  <c r="R162" i="36"/>
  <c r="P457" i="6"/>
  <c r="R165" i="36"/>
  <c r="P459" i="6"/>
  <c r="R163" i="36"/>
  <c r="P460" i="6"/>
  <c r="AO1546" i="1"/>
  <c r="AQ1546" i="1" s="1"/>
  <c r="R164" i="36"/>
  <c r="K493" i="6"/>
  <c r="K494" i="6"/>
  <c r="K495" i="6"/>
  <c r="AA16" i="37"/>
  <c r="AN16" i="37" s="1"/>
  <c r="AA14" i="37"/>
  <c r="AN14" i="37" s="1"/>
  <c r="S19" i="37"/>
  <c r="W19" i="37" s="1"/>
  <c r="M55" i="37"/>
  <c r="S36" i="37"/>
  <c r="S44" i="37"/>
  <c r="G55" i="37"/>
  <c r="W55" i="37"/>
  <c r="V1541" i="1"/>
  <c r="Y19" i="37"/>
  <c r="AA8" i="37"/>
  <c r="AN8" i="37" s="1"/>
  <c r="AA6" i="37"/>
  <c r="AA20" i="37"/>
  <c r="AN20" i="37" s="1"/>
  <c r="V18" i="37"/>
  <c r="V26" i="37" s="1"/>
  <c r="B10" i="37"/>
  <c r="O10" i="37" s="1"/>
  <c r="U19" i="37"/>
  <c r="B4" i="37"/>
  <c r="C55" i="37"/>
  <c r="AC51" i="37"/>
  <c r="I436" i="6"/>
  <c r="AB26" i="37"/>
  <c r="C28" i="37" s="1"/>
  <c r="AA7" i="37"/>
  <c r="AN7" i="37" s="1"/>
  <c r="AA11" i="37"/>
  <c r="AN11" i="37" s="1"/>
  <c r="B36" i="37"/>
  <c r="B55" i="37" s="1"/>
  <c r="V35" i="37"/>
  <c r="AC35" i="37" s="1"/>
  <c r="L156" i="36"/>
  <c r="J459" i="6"/>
  <c r="L163" i="36"/>
  <c r="M76" i="36"/>
  <c r="V1611" i="1"/>
  <c r="L99" i="36"/>
  <c r="J458" i="6"/>
  <c r="K458" i="6"/>
  <c r="L162" i="36"/>
  <c r="M163" i="36"/>
  <c r="V33" i="37"/>
  <c r="S4" i="37" s="1"/>
  <c r="R156" i="36"/>
  <c r="L98" i="36"/>
  <c r="J457" i="6"/>
  <c r="K457" i="6"/>
  <c r="L164" i="36"/>
  <c r="AQ1581" i="1"/>
  <c r="AQ1620" i="1"/>
  <c r="G125" i="7" l="1"/>
  <c r="H125" i="7"/>
  <c r="E152" i="7"/>
  <c r="F152" i="7" s="1"/>
  <c r="M152" i="7"/>
  <c r="N152" i="7" s="1"/>
  <c r="E121" i="7"/>
  <c r="G124" i="7"/>
  <c r="T151" i="7"/>
  <c r="U151" i="7" s="1"/>
  <c r="E151" i="7"/>
  <c r="F151" i="7" s="1"/>
  <c r="M151" i="7"/>
  <c r="N151" i="7" s="1"/>
  <c r="M159" i="7"/>
  <c r="N159" i="7" s="1"/>
  <c r="J9" i="7"/>
  <c r="G72" i="7" s="1"/>
  <c r="I124" i="7"/>
  <c r="H123" i="7"/>
  <c r="K80" i="7"/>
  <c r="K86" i="7" s="1"/>
  <c r="F121" i="7"/>
  <c r="T159" i="7"/>
  <c r="U159" i="7" s="1"/>
  <c r="M85" i="7"/>
  <c r="E95" i="7"/>
  <c r="M76" i="7"/>
  <c r="M81" i="7"/>
  <c r="B134" i="7"/>
  <c r="M103" i="7" s="1"/>
  <c r="N21" i="7"/>
  <c r="L22" i="7" s="1"/>
  <c r="L96" i="7" s="1"/>
  <c r="I116" i="7"/>
  <c r="I121" i="7" s="1"/>
  <c r="I123" i="7"/>
  <c r="E153" i="7"/>
  <c r="F153" i="7" s="1"/>
  <c r="T153" i="7"/>
  <c r="U153" i="7" s="1"/>
  <c r="E91" i="7"/>
  <c r="E82" i="7"/>
  <c r="M82" i="7" s="1"/>
  <c r="M83" i="7"/>
  <c r="N46" i="7"/>
  <c r="L47" i="7" s="1"/>
  <c r="L102" i="7" s="1"/>
  <c r="D105" i="7"/>
  <c r="N62" i="7"/>
  <c r="L63" i="7" s="1"/>
  <c r="L106" i="7" s="1"/>
  <c r="B126" i="7"/>
  <c r="B135" i="7"/>
  <c r="L135" i="7" s="1"/>
  <c r="B136" i="7"/>
  <c r="L136" i="7" s="1"/>
  <c r="B128" i="7"/>
  <c r="B131" i="7"/>
  <c r="M100" i="7" s="1"/>
  <c r="E99" i="7"/>
  <c r="B137" i="7"/>
  <c r="L137" i="7" s="1"/>
  <c r="N29" i="7"/>
  <c r="L30" i="7" s="1"/>
  <c r="L98" i="7" s="1"/>
  <c r="T154" i="7"/>
  <c r="U154" i="7" s="1"/>
  <c r="E84" i="7"/>
  <c r="M84" i="7" s="1"/>
  <c r="E101" i="7"/>
  <c r="B133" i="7"/>
  <c r="M102" i="7" s="1"/>
  <c r="D86" i="7"/>
  <c r="B127" i="7"/>
  <c r="L127" i="7" s="1"/>
  <c r="N17" i="7"/>
  <c r="L18" i="7" s="1"/>
  <c r="L95" i="7" s="1"/>
  <c r="M78" i="7"/>
  <c r="I125" i="7"/>
  <c r="L125" i="7" s="1"/>
  <c r="N34" i="7"/>
  <c r="L35" i="7" s="1"/>
  <c r="L99" i="7" s="1"/>
  <c r="N9" i="7"/>
  <c r="M80" i="7"/>
  <c r="M79" i="7"/>
  <c r="D66" i="7"/>
  <c r="E96" i="7"/>
  <c r="B125" i="7"/>
  <c r="M75" i="7"/>
  <c r="M93" i="7"/>
  <c r="N58" i="7"/>
  <c r="L59" i="7" s="1"/>
  <c r="L105" i="7" s="1"/>
  <c r="E94" i="7"/>
  <c r="B129" i="7"/>
  <c r="L129" i="7" s="1"/>
  <c r="E126" i="7"/>
  <c r="E138" i="7" s="1"/>
  <c r="N50" i="7"/>
  <c r="L51" i="7" s="1"/>
  <c r="L103" i="7" s="1"/>
  <c r="E74" i="7"/>
  <c r="M74" i="7" s="1"/>
  <c r="E93" i="7"/>
  <c r="B105" i="7"/>
  <c r="B86" i="7"/>
  <c r="B123" i="7"/>
  <c r="H124" i="7"/>
  <c r="C105" i="7"/>
  <c r="N38" i="7"/>
  <c r="L39" i="7" s="1"/>
  <c r="L100" i="7" s="1"/>
  <c r="E71" i="7"/>
  <c r="B130" i="7"/>
  <c r="E97" i="7"/>
  <c r="N5" i="7"/>
  <c r="T155" i="7"/>
  <c r="U155" i="7" s="1"/>
  <c r="J13" i="7"/>
  <c r="K578" i="6"/>
  <c r="J5" i="7"/>
  <c r="G71" i="7" s="1"/>
  <c r="N13" i="7"/>
  <c r="H115" i="7"/>
  <c r="H121" i="7" s="1"/>
  <c r="O45" i="7"/>
  <c r="T150" i="7"/>
  <c r="U150" i="7" s="1"/>
  <c r="E150" i="7"/>
  <c r="F150" i="7" s="1"/>
  <c r="T147" i="7"/>
  <c r="U147" i="7" s="1"/>
  <c r="E149" i="7"/>
  <c r="F149" i="7" s="1"/>
  <c r="M146" i="7"/>
  <c r="N146" i="7" s="1"/>
  <c r="T146" i="7"/>
  <c r="U146" i="7" s="1"/>
  <c r="O53" i="7"/>
  <c r="N54" i="7"/>
  <c r="L55" i="7" s="1"/>
  <c r="L104" i="7" s="1"/>
  <c r="E146" i="7"/>
  <c r="F146" i="7" s="1"/>
  <c r="O41" i="7"/>
  <c r="N42" i="7"/>
  <c r="L43" i="7" s="1"/>
  <c r="L101" i="7" s="1"/>
  <c r="M158" i="7"/>
  <c r="N158" i="7" s="1"/>
  <c r="T158" i="7"/>
  <c r="U158" i="7" s="1"/>
  <c r="T156" i="7"/>
  <c r="U156" i="7" s="1"/>
  <c r="E158" i="7"/>
  <c r="F158" i="7" s="1"/>
  <c r="M150" i="7"/>
  <c r="N150" i="7" s="1"/>
  <c r="O24" i="7"/>
  <c r="N25" i="7"/>
  <c r="L26" i="7" s="1"/>
  <c r="L97" i="7" s="1"/>
  <c r="M155" i="7"/>
  <c r="N155" i="7" s="1"/>
  <c r="E155" i="7"/>
  <c r="F155" i="7" s="1"/>
  <c r="M101" i="7"/>
  <c r="L132" i="7"/>
  <c r="N558" i="6"/>
  <c r="G117" i="7"/>
  <c r="G121" i="7" s="1"/>
  <c r="M97" i="7"/>
  <c r="L128" i="7"/>
  <c r="M157" i="7"/>
  <c r="N157" i="7" s="1"/>
  <c r="T157" i="7"/>
  <c r="U157" i="7" s="1"/>
  <c r="E157" i="7"/>
  <c r="F157" i="7" s="1"/>
  <c r="T148" i="7"/>
  <c r="U148" i="7" s="1"/>
  <c r="E148" i="7"/>
  <c r="F148" i="7" s="1"/>
  <c r="M148" i="7"/>
  <c r="N148" i="7" s="1"/>
  <c r="W4" i="37"/>
  <c r="R7" i="37"/>
  <c r="Q18" i="37"/>
  <c r="R18" i="37"/>
  <c r="M147" i="7"/>
  <c r="N147" i="7" s="1"/>
  <c r="E147" i="7"/>
  <c r="S55" i="37"/>
  <c r="S8" i="37"/>
  <c r="W8" i="37" s="1"/>
  <c r="W17" i="37"/>
  <c r="R20" i="37"/>
  <c r="X4" i="37"/>
  <c r="X26" i="37" s="1"/>
  <c r="T26" i="37"/>
  <c r="Q22" i="37"/>
  <c r="R22" i="37"/>
  <c r="Y8" i="37"/>
  <c r="Y6" i="37"/>
  <c r="R12" i="37"/>
  <c r="Q12" i="37"/>
  <c r="Q5" i="37"/>
  <c r="R5" i="37"/>
  <c r="M149" i="7"/>
  <c r="N149" i="7" s="1"/>
  <c r="T149" i="7"/>
  <c r="M94" i="7"/>
  <c r="R10" i="37"/>
  <c r="Q10" i="37"/>
  <c r="R9" i="37"/>
  <c r="Q9" i="37"/>
  <c r="W14" i="37"/>
  <c r="AN6" i="37"/>
  <c r="AN26" i="37" s="1"/>
  <c r="AA26" i="37"/>
  <c r="R17" i="37"/>
  <c r="Q17" i="37"/>
  <c r="O4" i="37"/>
  <c r="B26" i="37"/>
  <c r="R8" i="37"/>
  <c r="Q8" i="37"/>
  <c r="Q20" i="37"/>
  <c r="S6" i="37"/>
  <c r="W6" i="37" s="1"/>
  <c r="R16" i="37"/>
  <c r="Q16" i="37"/>
  <c r="M154" i="7"/>
  <c r="N154" i="7" s="1"/>
  <c r="E154" i="7"/>
  <c r="F154" i="7" s="1"/>
  <c r="M156" i="7"/>
  <c r="N156" i="7" s="1"/>
  <c r="E156" i="7"/>
  <c r="F156" i="7" s="1"/>
  <c r="AC33" i="37"/>
  <c r="AC55" i="37" s="1"/>
  <c r="V55" i="37"/>
  <c r="Y7" i="37"/>
  <c r="I36" i="37"/>
  <c r="U26" i="37"/>
  <c r="U27" i="37" s="1"/>
  <c r="R21" i="37"/>
  <c r="Q21" i="37"/>
  <c r="Q15" i="37"/>
  <c r="R15" i="37"/>
  <c r="R13" i="37"/>
  <c r="Q13" i="37"/>
  <c r="Y4" i="37"/>
  <c r="Y26" i="37" s="1"/>
  <c r="Q14" i="37"/>
  <c r="R14" i="37"/>
  <c r="W11" i="37"/>
  <c r="Q11" i="37"/>
  <c r="R11" i="37"/>
  <c r="S7" i="37"/>
  <c r="W7" i="37" s="1"/>
  <c r="H138" i="7" l="1"/>
  <c r="M9" i="7"/>
  <c r="L10" i="7" s="1"/>
  <c r="L93" i="7" s="1"/>
  <c r="I138" i="7"/>
  <c r="J121" i="7"/>
  <c r="L131" i="7"/>
  <c r="L134" i="7"/>
  <c r="M106" i="7"/>
  <c r="M105" i="7"/>
  <c r="M104" i="7"/>
  <c r="E86" i="7"/>
  <c r="M96" i="7"/>
  <c r="L133" i="7"/>
  <c r="L124" i="7"/>
  <c r="E105" i="7"/>
  <c r="L126" i="7"/>
  <c r="M95" i="7"/>
  <c r="M98" i="7"/>
  <c r="B138" i="7"/>
  <c r="L130" i="7"/>
  <c r="M99" i="7"/>
  <c r="M92" i="7"/>
  <c r="B107" i="7"/>
  <c r="M5" i="7"/>
  <c r="L6" i="7" s="1"/>
  <c r="L92" i="7" s="1"/>
  <c r="H71" i="7"/>
  <c r="M71" i="7"/>
  <c r="J65" i="7"/>
  <c r="I66" i="7" s="1"/>
  <c r="M13" i="7"/>
  <c r="L14" i="7" s="1"/>
  <c r="L94" i="7" s="1"/>
  <c r="G73" i="7"/>
  <c r="G86" i="7" s="1"/>
  <c r="D107" i="7" s="1"/>
  <c r="N65" i="7"/>
  <c r="O66" i="7"/>
  <c r="M161" i="7"/>
  <c r="H72" i="7"/>
  <c r="M72" i="7"/>
  <c r="N578" i="6"/>
  <c r="G123" i="7"/>
  <c r="I55" i="37"/>
  <c r="Q7" i="37"/>
  <c r="Q6" i="37"/>
  <c r="N161" i="7"/>
  <c r="R6" i="37"/>
  <c r="Q4" i="37"/>
  <c r="R4" i="37"/>
  <c r="O26" i="37"/>
  <c r="U149" i="7"/>
  <c r="U161" i="7" s="1"/>
  <c r="T161" i="7"/>
  <c r="F147" i="7"/>
  <c r="F161" i="7" s="1"/>
  <c r="E161" i="7"/>
  <c r="W26" i="37"/>
  <c r="W27" i="37" s="1"/>
  <c r="S26" i="37"/>
  <c r="S27" i="37" s="1"/>
  <c r="S28" i="37" s="1"/>
  <c r="E107" i="7" l="1"/>
  <c r="M107" i="7"/>
  <c r="L107" i="7"/>
  <c r="H73" i="7"/>
  <c r="H86" i="7" s="1"/>
  <c r="M73" i="7"/>
  <c r="L65" i="7"/>
  <c r="M65" i="7"/>
  <c r="L123" i="7"/>
  <c r="L138" i="7" s="1"/>
  <c r="G138" i="7"/>
  <c r="I140" i="7" s="1"/>
  <c r="L55" i="3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SMT</author>
    <author>Amy Liu</author>
    <author>Irene Li</author>
    <author>FayWang</author>
  </authors>
  <commentList>
    <comment ref="I2" authorId="0" shapeId="0" xr:uid="{00000000-0006-0000-0100-00000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货Y44467</t>
        </r>
      </text>
    </comment>
    <comment ref="I7" authorId="0" shapeId="0" xr:uid="{00000000-0006-0000-0100-00000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系统实际pick 货Y44465</t>
        </r>
      </text>
    </comment>
    <comment ref="I23" authorId="0" shapeId="0" xr:uid="{00000000-0006-0000-0100-00000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Y48172</t>
        </r>
      </text>
    </comment>
    <comment ref="E39" authorId="0" shapeId="0" xr:uid="{00000000-0006-0000-0100-00000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用47% 折扣,深台109319</t>
        </r>
      </text>
    </comment>
    <comment ref="R40" authorId="0" shapeId="0" xr:uid="{00000000-0006-0000-0100-00000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End user:新佰浚</t>
        </r>
      </text>
    </comment>
    <comment ref="K42" authorId="0" shapeId="0" xr:uid="{00000000-0006-0000-0100-00000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43" authorId="0" shapeId="0" xr:uid="{00000000-0006-0000-0100-00000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46" authorId="0" shapeId="0" xr:uid="{00000000-0006-0000-0100-00000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47" authorId="0" shapeId="0" xr:uid="{00000000-0006-0000-0100-00000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2019-4-12拖CY</t>
        </r>
      </text>
    </comment>
    <comment ref="K48" authorId="0" shapeId="0" xr:uid="{00000000-0006-0000-0100-00000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49" authorId="0" shapeId="0" xr:uid="{00000000-0006-0000-0100-00000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52" authorId="0" shapeId="0" xr:uid="{00000000-0006-0000-0100-00000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2019-4-17转CY仓库</t>
        </r>
      </text>
    </comment>
    <comment ref="K53" authorId="0" shapeId="0" xr:uid="{00000000-0006-0000-0100-00000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2019-4-17转CY仓库</t>
        </r>
      </text>
    </comment>
    <comment ref="K54" authorId="0" shapeId="0" xr:uid="{00000000-0006-0000-0100-00000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2019-5-9拖CY</t>
        </r>
      </text>
    </comment>
    <comment ref="I57" authorId="0" shapeId="0" xr:uid="{00000000-0006-0000-0100-00000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含吸嘴</t>
        </r>
      </text>
    </comment>
    <comment ref="H62" authorId="0" shapeId="0" xr:uid="{00000000-0006-0000-0100-00001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相机已经拆除</t>
        </r>
      </text>
    </comment>
    <comment ref="H63" authorId="0" shapeId="0" xr:uid="{00000000-0006-0000-0100-00001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相机以己经拆除</t>
        </r>
      </text>
    </comment>
    <comment ref="K64" authorId="0" shapeId="0" xr:uid="{00000000-0006-0000-0100-00001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2019-5-23拖CY</t>
        </r>
      </text>
    </comment>
    <comment ref="K65" authorId="0" shapeId="0" xr:uid="{00000000-0006-0000-0100-00001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2019-5-23拖CY</t>
        </r>
      </text>
    </comment>
    <comment ref="K66" authorId="0" shapeId="0" xr:uid="{00000000-0006-0000-0100-00001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2019-4-12拖CY</t>
        </r>
      </text>
    </comment>
    <comment ref="K67" authorId="0" shapeId="0" xr:uid="{00000000-0006-0000-0100-00001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2019-6-5拖CY</t>
        </r>
      </text>
    </comment>
    <comment ref="K68" authorId="0" shapeId="0" xr:uid="{00000000-0006-0000-0100-00001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2019-6-5拖CY</t>
        </r>
      </text>
    </comment>
    <comment ref="K69" authorId="0" shapeId="0" xr:uid="{00000000-0006-0000-0100-00001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2019-6-5拖CY</t>
        </r>
      </text>
    </comment>
    <comment ref="I73" authorId="0" shapeId="0" xr:uid="{00000000-0006-0000-0100-00001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到时候系统pick 货，pick Y45171,因为格美通调货，导致系统pick 错了序列号Y45169</t>
        </r>
      </text>
    </comment>
    <comment ref="K83" authorId="0" shapeId="0" xr:uid="{00000000-0006-0000-0100-00001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2019-6-5拖CY</t>
        </r>
      </text>
    </comment>
    <comment ref="K84" authorId="0" shapeId="0" xr:uid="{00000000-0006-0000-0100-00001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2019-6-10从福保拖CY
2019-6-11 清关到力合</t>
        </r>
      </text>
    </comment>
    <comment ref="K86" authorId="0" shapeId="0" xr:uid="{00000000-0006-0000-0100-00001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2019-6-10拖CY</t>
        </r>
      </text>
    </comment>
    <comment ref="K92" authorId="0" shapeId="0" xr:uid="{00000000-0006-0000-0100-00001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2019-6-10拖CY</t>
        </r>
      </text>
    </comment>
    <comment ref="K97" authorId="0" shapeId="0" xr:uid="{00000000-0006-0000-0100-00001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2019-3-25从盐保到CY</t>
        </r>
      </text>
    </comment>
    <comment ref="K108" authorId="0" shapeId="0" xr:uid="{00000000-0006-0000-0100-00001E000000}">
      <text>
        <r>
          <rPr>
            <b/>
            <sz val="9"/>
            <color indexed="81"/>
            <rFont val="宋体"/>
            <family val="3"/>
            <charset val="134"/>
          </rPr>
          <t>SMT:
2019.4.3拖CY</t>
        </r>
      </text>
    </comment>
    <comment ref="K120" authorId="0" shapeId="0" xr:uid="{00000000-0006-0000-0100-00001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2019-6-10拖CY</t>
        </r>
      </text>
    </comment>
    <comment ref="I121" authorId="0" shapeId="0" xr:uid="{00000000-0006-0000-0100-00002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飞达平台已经清关深圳仓库。做OEF用109263价格。</t>
        </r>
      </text>
    </comment>
    <comment ref="I126" authorId="0" shapeId="0" xr:uid="{00000000-0006-0000-0100-00002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不可调动机器</t>
        </r>
      </text>
    </comment>
    <comment ref="K127" authorId="0" shapeId="0" xr:uid="{00000000-0006-0000-0100-00002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128" authorId="0" shapeId="0" xr:uid="{00000000-0006-0000-0100-00002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134" authorId="0" shapeId="0" xr:uid="{00000000-0006-0000-0100-00002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2019-4-17转CY仓库</t>
        </r>
      </text>
    </comment>
    <comment ref="K135" authorId="0" shapeId="0" xr:uid="{00000000-0006-0000-0100-00002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2019-4-12拖CY</t>
        </r>
      </text>
    </comment>
    <comment ref="K136" authorId="0" shapeId="0" xr:uid="{00000000-0006-0000-0100-00002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2019-4-12拖CY</t>
        </r>
      </text>
    </comment>
    <comment ref="K137" authorId="0" shapeId="0" xr:uid="{00000000-0006-0000-0100-00002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2019-4-17转CY仓库</t>
        </r>
      </text>
    </comment>
    <comment ref="K149" authorId="0" shapeId="0" xr:uid="{00000000-0006-0000-0100-00002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2019-5-9拖CY</t>
        </r>
      </text>
    </comment>
    <comment ref="K150" authorId="0" shapeId="0" xr:uid="{00000000-0006-0000-0100-00002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2019-5-23拖CY</t>
        </r>
      </text>
    </comment>
    <comment ref="K151" authorId="0" shapeId="0" xr:uid="{00000000-0006-0000-0100-00002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2019-4-17转CY仓库</t>
        </r>
      </text>
    </comment>
    <comment ref="K152" authorId="0" shapeId="0" xr:uid="{00000000-0006-0000-0100-00002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2019-5-23拖CY</t>
        </r>
      </text>
    </comment>
    <comment ref="K159" authorId="0" shapeId="0" xr:uid="{00000000-0006-0000-0100-00002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2019-6-10拖CY</t>
        </r>
      </text>
    </comment>
    <comment ref="K163" authorId="0" shapeId="0" xr:uid="{00000000-0006-0000-0100-00002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2019-8-21清关</t>
        </r>
      </text>
    </comment>
    <comment ref="K164" authorId="0" shapeId="0" xr:uid="{00000000-0006-0000-0100-00002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2019-8-21清关</t>
        </r>
      </text>
    </comment>
    <comment ref="K165" authorId="0" shapeId="0" xr:uid="{00000000-0006-0000-0100-00002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2019-6-26从盐保清关到力合仓库</t>
        </r>
      </text>
    </comment>
    <comment ref="K166" authorId="0" shapeId="0" xr:uid="{00000000-0006-0000-0100-00003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2019-6-26从盐保清关到力合仓库</t>
        </r>
      </text>
    </comment>
    <comment ref="K175" authorId="0" shapeId="0" xr:uid="{00000000-0006-0000-0100-00003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2019-6-10拖CY</t>
        </r>
      </text>
    </comment>
    <comment ref="K176" authorId="0" shapeId="0" xr:uid="{00000000-0006-0000-0100-00003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2019-8-22清关</t>
        </r>
      </text>
    </comment>
    <comment ref="I177" authorId="0" shapeId="0" xr:uid="{00000000-0006-0000-0100-00003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做OEF用PO#109247,价格，</t>
        </r>
      </text>
    </comment>
    <comment ref="K182" authorId="0" shapeId="0" xr:uid="{00000000-0006-0000-0100-00003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2019-8-22清关</t>
        </r>
      </text>
    </comment>
    <comment ref="K185" authorId="0" shapeId="0" xr:uid="{00000000-0006-0000-0100-00003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2019-6-26从盐保清关到力合仓库</t>
        </r>
      </text>
    </comment>
    <comment ref="K197" authorId="0" shapeId="0" xr:uid="{00000000-0006-0000-0100-00003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2019-6-5清关</t>
        </r>
      </text>
    </comment>
    <comment ref="K198" authorId="0" shapeId="0" xr:uid="{00000000-0006-0000-0100-00003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2019-6-10拖CY</t>
        </r>
      </text>
    </comment>
    <comment ref="K199" authorId="0" shapeId="0" xr:uid="{00000000-0006-0000-0100-00003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2019-8-21清关</t>
        </r>
      </text>
    </comment>
    <comment ref="I200" authorId="0" shapeId="0" xr:uid="{00000000-0006-0000-0100-00003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货Y44963</t>
        </r>
      </text>
    </comment>
    <comment ref="K201" authorId="0" shapeId="0" xr:uid="{00000000-0006-0000-0100-00003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2019-8-21清关</t>
        </r>
      </text>
    </comment>
    <comment ref="K202" authorId="0" shapeId="0" xr:uid="{00000000-0006-0000-0100-00003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2019-8-22清关</t>
        </r>
      </text>
    </comment>
    <comment ref="C205" authorId="0" shapeId="0" xr:uid="{00000000-0006-0000-0100-00003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卸吸嘴</t>
        </r>
      </text>
    </comment>
    <comment ref="C206" authorId="0" shapeId="0" xr:uid="{00000000-0006-0000-0100-00003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吸嘴</t>
        </r>
      </text>
    </comment>
    <comment ref="I213" authorId="0" shapeId="0" xr:uid="{00000000-0006-0000-0100-00003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此台机器运输过程中，有碰撞。
</t>
        </r>
      </text>
    </comment>
    <comment ref="K214" authorId="0" shapeId="0" xr:uid="{00000000-0006-0000-0100-00003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2019-8-7 清关</t>
        </r>
      </text>
    </comment>
    <comment ref="I215" authorId="0" shapeId="0" xr:uid="{00000000-0006-0000-0100-00004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看看吸嘴是否有多10pcs,因为Y 48499,Y 48504 各少10个</t>
        </r>
      </text>
    </comment>
    <comment ref="I223" authorId="0" shapeId="0" xr:uid="{00000000-0006-0000-0100-00004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看看吸嘴是否有多10pcs,因为Y 48499,Y 48504 各少10个</t>
        </r>
      </text>
    </comment>
    <comment ref="M227" authorId="0" shapeId="0" xr:uid="{00000000-0006-0000-0100-00004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做两张OEF,
1.Based project 用公司Nov.11,2019 book rate PO#09705 2.系统0.0647， PO#109602</t>
        </r>
      </text>
    </comment>
    <comment ref="M244" authorId="0" shapeId="0" xr:uid="{00000000-0006-0000-0100-00004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系统：PO#109587 Y48462
OEF:PO#109714Y49831</t>
        </r>
      </text>
    </comment>
    <comment ref="I260" authorId="0" shapeId="0" xr:uid="{00000000-0006-0000-0100-000044000000}">
      <text>
        <r>
          <rPr>
            <b/>
            <sz val="9"/>
            <color indexed="81"/>
            <rFont val="宋体"/>
            <family val="3"/>
            <charset val="134"/>
          </rPr>
          <t>SMT:
OEF 用109686价格，汇率为0.0671</t>
        </r>
      </text>
    </comment>
    <comment ref="M260" authorId="0" shapeId="0" xr:uid="{00000000-0006-0000-0100-00004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PO#109686,由于上海调了机器，所以OEF时候，用PO#109686汇率是0.0671
</t>
        </r>
      </text>
    </comment>
    <comment ref="I264" authorId="0" shapeId="0" xr:uid="{00000000-0006-0000-0100-00004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系统实际pick ,O49 Y49191</t>
        </r>
      </text>
    </comment>
    <comment ref="I267" authorId="0" shapeId="0" xr:uid="{00000000-0006-0000-0100-00004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系统实际pickY49190</t>
        </r>
      </text>
    </comment>
    <comment ref="I272" authorId="0" shapeId="0" xr:uid="{00000000-0006-0000-0100-00004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Manual 放在CN13
OEF用10925价格，汇率用0.0648
</t>
        </r>
      </text>
    </comment>
    <comment ref="M272" authorId="0" shapeId="0" xr:uid="{00000000-0006-0000-0100-00004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PO#109625,由于上海调了机器，所以OEF时候，用PO#109625汇率是0.0648</t>
        </r>
      </text>
    </comment>
    <comment ref="R272" authorId="0" shapeId="0" xr:uid="{00000000-0006-0000-0100-00004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要仿制Yamaha 料车</t>
        </r>
      </text>
    </comment>
    <comment ref="I274" authorId="0" shapeId="0" xr:uid="{00000000-0006-0000-0100-00004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Manual 放在CN 13</t>
        </r>
      </text>
    </comment>
    <comment ref="I275" authorId="0" shapeId="0" xr:uid="{00000000-0006-0000-0100-00004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Manual 放在CN13</t>
        </r>
      </text>
    </comment>
    <comment ref="I276" authorId="0" shapeId="0" xr:uid="{00000000-0006-0000-0100-00004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当时思迈退还机器的。此机器需要等外壳维修，</t>
        </r>
      </text>
    </comment>
    <comment ref="I280" authorId="0" shapeId="0" xr:uid="{00000000-0006-0000-0100-00004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做两张OEF
based prject:109721:汇率0.0657</t>
        </r>
      </text>
    </comment>
    <comment ref="I282" authorId="0" shapeId="0" xr:uid="{00000000-0006-0000-0100-00004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做两张OEF.
Based project:PO#109730,汇率0.0653 Y49698</t>
        </r>
      </text>
    </comment>
    <comment ref="I283" authorId="0" shapeId="0" xr:uid="{00000000-0006-0000-0100-00005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做两张OEF.
Based project:PO#109730,汇率0.0653 Y49699</t>
        </r>
      </text>
    </comment>
    <comment ref="I284" authorId="0" shapeId="0" xr:uid="{00000000-0006-0000-0100-00005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做两张OEF.
Based project:PO#109730,汇率0.0653 Y49700</t>
        </r>
      </text>
    </comment>
    <comment ref="M285" authorId="0" shapeId="0" xr:uid="{00000000-0006-0000-0100-00005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做两张OEF,
based project 0.0647  PO#109602</t>
        </r>
      </text>
    </comment>
    <comment ref="I299" authorId="0" shapeId="0" xr:uid="{00000000-0006-0000-0100-00005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做两张OEF.
Based project:PO#109664,汇率0.0672</t>
        </r>
      </text>
    </comment>
    <comment ref="I306" authorId="0" shapeId="0" xr:uid="{00000000-0006-0000-0100-00005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PO#109749，Y49839,
发货PO#109730 Y49694</t>
        </r>
      </text>
    </comment>
    <comment ref="I307" authorId="0" shapeId="0" xr:uid="{00000000-0006-0000-0100-00005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2、实际走货Y49700，pick PO#109750 Y49848</t>
        </r>
      </text>
    </comment>
    <comment ref="I311" authorId="0" shapeId="0" xr:uid="{00000000-0006-0000-0100-00005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做两张OEF.
Based project:PO#109705,汇率No mismatche</t>
        </r>
      </text>
    </comment>
    <comment ref="I312" authorId="0" shapeId="0" xr:uid="{00000000-0006-0000-0100-00005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做两张OEF.
Based project:PO#109705,汇率No mismatche</t>
        </r>
      </text>
    </comment>
    <comment ref="I314" authorId="0" shapeId="0" xr:uid="{00000000-0006-0000-0100-00005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pick 序列号Y49990</t>
        </r>
      </text>
    </comment>
    <comment ref="I316" authorId="0" shapeId="0" xr:uid="{00000000-0006-0000-0100-00005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系统pick Y49260</t>
        </r>
      </text>
    </comment>
    <comment ref="I317" authorId="0" shapeId="0" xr:uid="{00000000-0006-0000-0100-00005A000000}">
      <text>
        <r>
          <rPr>
            <b/>
            <sz val="9"/>
            <color indexed="81"/>
            <rFont val="宋体"/>
            <family val="3"/>
            <charset val="134"/>
          </rPr>
          <t xml:space="preserve">
实际送货Y49849，系统实际pick PO#109774 Y50067</t>
        </r>
      </text>
    </comment>
    <comment ref="I318" authorId="0" shapeId="0" xr:uid="{00000000-0006-0000-0100-00005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系统RMAY49694，
实际pickPO#109730 Y49694.
实际发货PO#109749 Y49839</t>
        </r>
      </text>
    </comment>
    <comment ref="I319" authorId="0" shapeId="0" xr:uid="{00000000-0006-0000-0100-00005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pickPO#109815 序列号Y50773
1、系统，109815，Y50773
2、BASED PROJECT，109820，</t>
        </r>
      </text>
    </comment>
    <comment ref="I321" authorId="0" shapeId="0" xr:uid="{00000000-0006-0000-0100-00005D000000}">
      <text>
        <r>
          <rPr>
            <b/>
            <sz val="9"/>
            <color indexed="81"/>
            <rFont val="宋体"/>
            <family val="3"/>
            <charset val="134"/>
          </rPr>
          <t>SMT:
实际送货Y49848，系统实际pick PO#109750 Y49849</t>
        </r>
      </text>
    </comment>
    <comment ref="M346" authorId="0" shapeId="0" xr:uid="{00000000-0006-0000-0100-00005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系统：109762，
based,109783,Y50619</t>
        </r>
      </text>
    </comment>
    <comment ref="I350" authorId="0" shapeId="0" xr:uid="{00000000-0006-0000-0100-00005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1.实际RMA Y49700
2.实际送货Y50067，系统实际pick PO#109730 Y49700
3、做两张OEF，系统PO#109730 NM，based PROJECT PO# 109705 NM  Y49363</t>
        </r>
      </text>
    </comment>
    <comment ref="I355" authorId="0" shapeId="0" xr:uid="{00000000-0006-0000-0100-00006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货Y50757</t>
        </r>
      </text>
    </comment>
    <comment ref="M355" authorId="0" shapeId="0" xr:uid="{00000000-0006-0000-0100-00006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系统和Based project 是一致，PO#109816，Y50757. 最后发货是Y50071</t>
        </r>
      </text>
    </comment>
    <comment ref="I365" authorId="0" shapeId="0" xr:uid="{00000000-0006-0000-0100-00006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OEF 用PO 109587 Y48462</t>
        </r>
      </text>
    </comment>
    <comment ref="M365" authorId="0" shapeId="0" xr:uid="{00000000-0006-0000-0100-00006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系统：PO#109714 Y49831
OEF:PO#Y50620</t>
        </r>
      </text>
    </comment>
    <comment ref="I366" authorId="0" shapeId="0" xr:uid="{00000000-0006-0000-0100-00006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pickPO#109723 序列号Y49759</t>
        </r>
      </text>
    </comment>
    <comment ref="I377" authorId="0" shapeId="0" xr:uid="{00000000-0006-0000-0100-00006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系统pick 货Y50849 PO#109855</t>
        </r>
      </text>
    </comment>
    <comment ref="M377" authorId="0" shapeId="0" xr:uid="{00000000-0006-0000-0100-00006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1、实际发货Y50755
2、系统pick 货Y50849
OEF和系统一致得</t>
        </r>
      </text>
    </comment>
    <comment ref="I383" authorId="0" shapeId="0" xr:uid="{00000000-0006-0000-0100-00006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实际pick货 PO#109856 Y51294</t>
        </r>
      </text>
    </comment>
    <comment ref="M383" authorId="0" shapeId="0" xr:uid="{00000000-0006-0000-0100-00006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OEF PO#109856 Y51294
OEF和系统一致</t>
        </r>
      </text>
    </comment>
    <comment ref="H384" authorId="0" shapeId="0" xr:uid="{00000000-0006-0000-0100-00006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海星报关时候，系统不体现YSM20相机，之前已经系统做了</t>
        </r>
      </text>
    </comment>
    <comment ref="I385" authorId="0" shapeId="0" xr:uid="{00000000-0006-0000-0100-00006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Y49634</t>
        </r>
      </text>
    </comment>
    <comment ref="M385" authorId="0" shapeId="0" xr:uid="{00000000-0006-0000-0100-00006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1、系统 价格，49F103362，Y49634 rate 0.0658
2、based project 109762,Y49992  rate 0.0654</t>
        </r>
      </text>
    </comment>
    <comment ref="I386" authorId="0" shapeId="0" xr:uid="{00000000-0006-0000-0100-00006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Y49635</t>
        </r>
      </text>
    </comment>
    <comment ref="M386" authorId="0" shapeId="0" xr:uid="{00000000-0006-0000-0100-00006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1、系统 价格，49F103362，Y49635 rate 0.0658
2、based project 109587,Y48462 rate 0.0648</t>
        </r>
      </text>
    </comment>
    <comment ref="I391" authorId="0" shapeId="0" xr:uid="{00000000-0006-0000-0100-00006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系统pick 货PO#109806,Y51205</t>
        </r>
      </text>
    </comment>
    <comment ref="M391" authorId="0" shapeId="0" xr:uid="{00000000-0006-0000-0100-00006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OEF PO#109806 Y51205
OEF和系统一致</t>
        </r>
      </text>
    </comment>
    <comment ref="M392" authorId="0" shapeId="0" xr:uid="{00000000-0006-0000-0100-00007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系统和Based project 是一致，PO#109820，Y50948. 
</t>
        </r>
      </text>
    </comment>
    <comment ref="I397" authorId="0" shapeId="0" xr:uid="{00000000-0006-0000-0100-00007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系统pick Y50755 PO#109816</t>
        </r>
      </text>
    </comment>
    <comment ref="M397" authorId="0" shapeId="0" xr:uid="{00000000-0006-0000-0100-00007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1、实际发货Y50849
2、系统pick 货Y50755 PO#109816
OEF和系统一致得</t>
        </r>
      </text>
    </comment>
    <comment ref="I403" authorId="0" shapeId="0" xr:uid="{00000000-0006-0000-0100-00007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系统pickPO#109820 Y50947</t>
        </r>
      </text>
    </comment>
    <comment ref="M403" authorId="0" shapeId="0" xr:uid="{00000000-0006-0000-0100-00007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系统和Based project 是一致，PO#109820，Y50947.</t>
        </r>
      </text>
    </comment>
    <comment ref="I404" authorId="0" shapeId="0" xr:uid="{00000000-0006-0000-0100-00007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实际pick货PO#109775 Y50071</t>
        </r>
      </text>
    </comment>
    <comment ref="M404" authorId="0" shapeId="0" xr:uid="{00000000-0006-0000-0100-00007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系统和Based project 是一致，PO#109775，Y50071. </t>
        </r>
      </text>
    </comment>
    <comment ref="I408" authorId="0" shapeId="0" xr:uid="{00000000-0006-0000-0100-00007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 实际pick Y50619</t>
        </r>
      </text>
    </comment>
    <comment ref="M408" authorId="0" shapeId="0" xr:uid="{00000000-0006-0000-0100-00007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1、系统 价格，109783，Y50619 NM
2、based project 49F103362,Y 49634 rate 0.0658</t>
        </r>
      </text>
    </comment>
    <comment ref="I409" authorId="0" shapeId="0" xr:uid="{00000000-0006-0000-0100-00007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 50620 </t>
        </r>
      </text>
    </comment>
    <comment ref="M409" authorId="0" shapeId="0" xr:uid="{00000000-0006-0000-0100-00007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1、系统 价格，109783，Y50620 NM
2、based project 49F103362,Y49635 rate 0.0658</t>
        </r>
      </text>
    </comment>
    <comment ref="M415" authorId="0" shapeId="0" xr:uid="{00000000-0006-0000-0100-00007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OEF，价格PO 109889,rate 0.067，
由于109889和109858价格一样，所以机器走货和实际pick 货一致得</t>
        </r>
      </text>
    </comment>
    <comment ref="M416" authorId="0" shapeId="0" xr:uid="{00000000-0006-0000-0100-00007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OEF，价格PO 109858,rate NM(CR:0.0679)由于109889和109858价格一样，所以机器走货和实际pick 货一致得</t>
        </r>
      </text>
    </comment>
    <comment ref="I422" authorId="0" shapeId="0" xr:uid="{00000000-0006-0000-0100-00007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Y51548</t>
        </r>
      </text>
    </comment>
    <comment ref="M427" authorId="0" shapeId="0" xr:uid="{00000000-0006-0000-0100-00007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109891,109925价格相同，拆分PO的。</t>
        </r>
      </text>
    </comment>
    <comment ref="M428" authorId="0" shapeId="0" xr:uid="{00000000-0006-0000-0100-00007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109891,109925价格相同，拆分PO的。</t>
        </r>
      </text>
    </comment>
    <comment ref="M429" authorId="0" shapeId="0" xr:uid="{00000000-0006-0000-0100-00008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109891,109925价格相同，拆分PO的。</t>
        </r>
      </text>
    </comment>
    <comment ref="M432" authorId="0" shapeId="0" xr:uid="{00000000-0006-0000-0100-00008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109925，109891价格想统，拆分PO。</t>
        </r>
      </text>
    </comment>
    <comment ref="M433" authorId="0" shapeId="0" xr:uid="{00000000-0006-0000-0100-00008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109925，109891价格想统，拆分PO。</t>
        </r>
      </text>
    </comment>
    <comment ref="M434" authorId="0" shapeId="0" xr:uid="{00000000-0006-0000-0100-00008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109925，109891价格想统，拆分PO。</t>
        </r>
      </text>
    </comment>
    <comment ref="I438" authorId="0" shapeId="0" xr:uid="{00000000-0006-0000-0100-00008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实际pickY51453</t>
        </r>
      </text>
    </comment>
    <comment ref="M447" authorId="0" shapeId="0" xr:uid="{00000000-0006-0000-0100-00008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之前book 的rate是0.0656，调到给PO11000</t>
        </r>
      </text>
    </comment>
    <comment ref="M448" authorId="0" shapeId="0" xr:uid="{00000000-0006-0000-0100-00008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之前book 的rate是0.0656，调到给PO11000</t>
        </r>
      </text>
    </comment>
    <comment ref="M449" authorId="0" shapeId="0" xr:uid="{00000000-0006-0000-0100-00008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之前book 的rate是0.0661，调到给PO109954</t>
        </r>
      </text>
    </comment>
    <comment ref="M450" authorId="0" shapeId="0" xr:uid="{00000000-0006-0000-0100-00008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之前book 的rate是0.0661，调到给PO109954</t>
        </r>
      </text>
    </comment>
    <comment ref="M451" authorId="0" shapeId="0" xr:uid="{00000000-0006-0000-0100-00008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之前book 的rate是0.0661，调到给PO109954</t>
        </r>
      </text>
    </comment>
    <comment ref="I455" authorId="0" shapeId="0" xr:uid="{00000000-0006-0000-0100-00008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货Y51905</t>
        </r>
      </text>
    </comment>
    <comment ref="M465" authorId="0" shapeId="0" xr:uid="{00000000-0006-0000-0100-00008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1、系统：109933，rate NM Y51966
2、based project :109999,rate0.0655 Y52101</t>
        </r>
      </text>
    </comment>
    <comment ref="I474" authorId="0" shapeId="0" xr:uid="{00000000-0006-0000-0100-00008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此机器不能调动，已经给了序列号给海纳科</t>
        </r>
      </text>
    </comment>
    <comment ref="M475" authorId="0" shapeId="0" xr:uid="{00000000-0006-0000-0100-00008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1、based project：109977，rate 0.0655 Y52281
2、系统 :109957,rate NM Y52111</t>
        </r>
      </text>
    </comment>
    <comment ref="I487" authorId="0" shapeId="0" xr:uid="{00000000-0006-0000-0100-00008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实际系统pick Y52104</t>
        </r>
      </text>
    </comment>
    <comment ref="M487" authorId="0" shapeId="0" xr:uid="{00000000-0006-0000-0100-00008F000000}">
      <text>
        <r>
          <rPr>
            <b/>
            <sz val="9"/>
            <color indexed="81"/>
            <rFont val="宋体"/>
            <family val="3"/>
            <charset val="134"/>
          </rPr>
          <t>SMT:
1、</t>
        </r>
        <r>
          <rPr>
            <sz val="9"/>
            <color indexed="81"/>
            <rFont val="宋体"/>
            <family val="3"/>
            <charset val="134"/>
          </rPr>
          <t>系统：109999，rate 0.0655 Y52101
2、based project :109933,rate NM Y51966</t>
        </r>
      </text>
    </comment>
    <comment ref="I488" authorId="0" shapeId="0" xr:uid="{00000000-0006-0000-0100-00009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实际系统pick Y52105</t>
        </r>
      </text>
    </comment>
    <comment ref="M489" authorId="0" shapeId="0" xr:uid="{00000000-0006-0000-0100-00009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109917 book 的rate</t>
        </r>
      </text>
    </comment>
    <comment ref="I490" authorId="0" shapeId="0" xr:uid="{00000000-0006-0000-0100-00009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实际系统pick Y52101</t>
        </r>
      </text>
    </comment>
    <comment ref="M490" authorId="0" shapeId="0" xr:uid="{00000000-0006-0000-0100-00009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109917book 的rate</t>
        </r>
      </text>
    </comment>
    <comment ref="I491" authorId="0" shapeId="0" xr:uid="{00000000-0006-0000-0100-00009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实际系统pick Y52102</t>
        </r>
      </text>
    </comment>
    <comment ref="M491" authorId="0" shapeId="0" xr:uid="{00000000-0006-0000-0100-00009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109963 book 的rate </t>
        </r>
      </text>
    </comment>
    <comment ref="M493" authorId="0" shapeId="0" xr:uid="{00000000-0006-0000-0100-00009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109963 book 的rate </t>
        </r>
      </text>
    </comment>
    <comment ref="H501" authorId="0" shapeId="0" xr:uid="{00000000-0006-0000-0100-00009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带原装废料箱子</t>
        </r>
      </text>
    </comment>
    <comment ref="H502" authorId="0" shapeId="0" xr:uid="{00000000-0006-0000-0100-00009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带原装废料箱</t>
        </r>
      </text>
    </comment>
    <comment ref="I523" authorId="0" shapeId="0" xr:uid="{00000000-0006-0000-0100-00009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Y52376</t>
        </r>
      </text>
    </comment>
    <comment ref="M523" authorId="0" shapeId="0" xr:uid="{00000000-0006-0000-0100-00009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用PO 110121的价格</t>
        </r>
      </text>
    </comment>
    <comment ref="I525" authorId="1" shapeId="0" xr:uid="{00000000-0006-0000-0100-00009C00000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Y53572</t>
        </r>
      </text>
    </comment>
    <comment ref="I536" authorId="0" shapeId="0" xr:uid="{00000000-0006-0000-0100-00009D000000}">
      <text>
        <r>
          <rPr>
            <b/>
            <sz val="9"/>
            <color indexed="81"/>
            <rFont val="宋体"/>
            <family val="3"/>
            <charset val="134"/>
          </rPr>
          <t>SMT:
实际pick Y52391</t>
        </r>
      </text>
    </comment>
    <comment ref="I539" authorId="0" shapeId="0" xr:uid="{00000000-0006-0000-0100-00009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Y52388</t>
        </r>
      </text>
    </comment>
    <comment ref="I542" authorId="0" shapeId="0" xr:uid="{00000000-0006-0000-0100-00009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 Y52394</t>
        </r>
      </text>
    </comment>
    <comment ref="M542" authorId="0" shapeId="0" xr:uid="{00000000-0006-0000-0100-0000A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用PO 109995</t>
        </r>
      </text>
    </comment>
    <comment ref="H543" authorId="1" shapeId="0" xr:uid="{43A62E40-7870-4C4E-8377-E99B14153DF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其中的ATS要在ESSZ本出货，已经卖到了ESSZ本</t>
        </r>
      </text>
    </comment>
    <comment ref="I570" authorId="1" shapeId="0" xr:uid="{227A4EF5-5C45-4837-BB00-D836CC0B467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货Y53170</t>
        </r>
      </text>
    </comment>
    <comment ref="I571" authorId="1" shapeId="0" xr:uid="{6A5B6BD1-B92D-49D7-821B-B290AA2DB60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货Y53169</t>
        </r>
      </text>
    </comment>
    <comment ref="K589" authorId="0" shapeId="0" xr:uid="{00000000-0006-0000-0100-0000A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最后一天多CY仓库</t>
        </r>
      </text>
    </comment>
    <comment ref="I606" authorId="1" shapeId="0" xr:uid="{00000000-0006-0000-0100-0000A300000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Y52830</t>
        </r>
      </text>
    </comment>
    <comment ref="D608" authorId="2" shapeId="0" xr:uid="{00000000-0006-0000-0100-0000A4000000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110097拆分</t>
        </r>
      </text>
    </comment>
    <comment ref="D609" authorId="2" shapeId="0" xr:uid="{00000000-0006-0000-0100-0000A5000000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110097拆分</t>
        </r>
      </text>
    </comment>
    <comment ref="M609" authorId="1" shapeId="0" xr:uid="{1BE278B8-D6CD-46DA-ABC1-E849BF53455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两张OEF，
1.系统：NM，PO110181
2.based,0.0638,PO 110208</t>
        </r>
      </text>
    </comment>
    <comment ref="M614" authorId="1" shapeId="0" xr:uid="{796264EB-2B8F-446F-AC9D-F1B3EC0F723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两张OEF，
1.系统：TBA，PO110159
2.based,NM,PO 110181</t>
        </r>
      </text>
    </comment>
    <comment ref="D615" authorId="2" shapeId="0" xr:uid="{00000000-0006-0000-0100-0000A6000000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110044拆分。</t>
        </r>
      </text>
    </comment>
    <comment ref="M636" authorId="1" shapeId="0" xr:uid="{E27C66AD-7DF6-4C05-8143-8662DF9B3CB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两张OEF，
1.based project ：TBA，PO11081
2.系统,0.0638,PO 110208</t>
        </r>
      </text>
    </comment>
    <comment ref="T645" authorId="1" shapeId="0" xr:uid="{94065769-7487-400E-93FB-5ABDB719C65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2021-2-6 Spring 电邮通知方向改为L-&gt;R</t>
        </r>
      </text>
    </comment>
    <comment ref="F658" authorId="1" shapeId="0" xr:uid="{34F1D789-3611-4B31-93EB-C23924772A5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可能会带键盘</t>
        </r>
      </text>
    </comment>
    <comment ref="F660" authorId="1" shapeId="0" xr:uid="{D84F8FB3-326A-483C-9AA9-A6A00EA4898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可能会带键盘</t>
        </r>
      </text>
    </comment>
    <comment ref="F661" authorId="1" shapeId="0" xr:uid="{8F85B14D-186E-4C85-84F9-05EF0870FA0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可能带键盘
</t>
        </r>
      </text>
    </comment>
    <comment ref="D663" authorId="0" shapeId="0" xr:uid="{00000000-0006-0000-0100-0000A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110123 po 拆分</t>
        </r>
      </text>
    </comment>
    <comment ref="D664" authorId="0" shapeId="0" xr:uid="{00000000-0006-0000-0100-0000A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110123 po 拆分</t>
        </r>
      </text>
    </comment>
    <comment ref="D665" authorId="0" shapeId="0" xr:uid="{00000000-0006-0000-0100-0000A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110123 po 拆分</t>
        </r>
      </text>
    </comment>
    <comment ref="D666" authorId="0" shapeId="0" xr:uid="{00000000-0006-0000-0100-0000A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110123 po 拆分</t>
        </r>
      </text>
    </comment>
    <comment ref="H666" authorId="0" shapeId="0" xr:uid="{00000000-0006-0000-0100-0000A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实际合同是要YSM10的相机</t>
        </r>
      </text>
    </comment>
    <comment ref="D733" authorId="1" shapeId="0" xr:uid="{B6BAEE2B-7838-40F6-9AD6-CEC805981BA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110152 拆分PO</t>
        </r>
      </text>
    </comment>
    <comment ref="I741" authorId="1" shapeId="0" xr:uid="{5CDDF5C1-58D1-4AB1-BC74-165ED4244DC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做OEF时候不要单独列出相机，用PO110287</t>
        </r>
      </text>
    </comment>
    <comment ref="I742" authorId="1" shapeId="0" xr:uid="{FD960D1D-089F-46C3-B34D-AD05B577E50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做OEF时候不要单独列出相机，用PO110287</t>
        </r>
      </text>
    </comment>
    <comment ref="I743" authorId="1" shapeId="0" xr:uid="{4AA79E5E-2C86-4189-8BA1-194F4226FDB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做OEF时候不要单独列出相机，用PO110287</t>
        </r>
      </text>
    </comment>
    <comment ref="I753" authorId="1" shapeId="0" xr:uid="{5C5A34E0-C722-4E72-9183-BD2D40F8FF1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Y57064</t>
        </r>
      </text>
    </comment>
    <comment ref="I778" authorId="1" shapeId="0" xr:uid="{C9382B11-715A-472C-B65A-3D74388D8696}">
      <text>
        <r>
          <rPr>
            <b/>
            <sz val="9"/>
            <color indexed="81"/>
            <rFont val="宋体"/>
            <family val="3"/>
            <charset val="134"/>
          </rPr>
          <t>Amy Liu
实际pick Y56421,PO110365</t>
        </r>
      </text>
    </comment>
    <comment ref="D786" authorId="1" shapeId="0" xr:uid="{47043FB8-60F3-4D77-A143-F975CD120FA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与PO110333拼柜</t>
        </r>
      </text>
    </comment>
    <comment ref="D801" authorId="1" shapeId="0" xr:uid="{340EB331-8004-4572-B82E-B266FE4BFCD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与110271拼柜</t>
        </r>
      </text>
    </comment>
    <comment ref="I813" authorId="1" shapeId="0" xr:uid="{6CAF91B3-A0C8-44B1-B1EC-8018FFD872B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系统pickY55595</t>
        </r>
      </text>
    </comment>
    <comment ref="I818" authorId="1" shapeId="0" xr:uid="{8FBFF435-A92D-4FC0-A7DC-F41A5C9AB92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系统pickY55175</t>
        </r>
      </text>
    </comment>
    <comment ref="D837" authorId="1" shapeId="0" xr:uid="{67A223A5-2FE8-4379-A619-FC8ED4FEFBF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38" authorId="1" shapeId="0" xr:uid="{C98BAC51-52AD-47D0-B9BB-53FB71EDB71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39" authorId="1" shapeId="0" xr:uid="{E0EEAB8D-4363-452D-97E4-97EF4E496C0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0" authorId="1" shapeId="0" xr:uid="{55017ADC-A6A7-4C5D-986D-84385AF7CE1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1" authorId="1" shapeId="0" xr:uid="{84777CAC-0895-4792-A668-C595B61E539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2" authorId="1" shapeId="0" xr:uid="{54013704-512F-407B-AC58-6159A85C782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3" authorId="1" shapeId="0" xr:uid="{CF7AADBF-595A-47D1-9453-FAEDAC1FB28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4" authorId="1" shapeId="0" xr:uid="{4A4E8211-ED4B-44CF-B017-780E7351653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5" authorId="1" shapeId="0" xr:uid="{787CFE38-A35D-4CEE-998D-B236284125E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I870" authorId="1" shapeId="0" xr:uid="{8322DE24-DEA1-4728-A295-D0D671D010A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实际pick货56422</t>
        </r>
      </text>
    </comment>
    <comment ref="I876" authorId="1" shapeId="0" xr:uid="{4D98A52D-58CD-4E1B-8D14-7C41617794A1}">
      <text>
        <r>
          <rPr>
            <b/>
            <sz val="9"/>
            <color indexed="81"/>
            <rFont val="宋体"/>
            <family val="3"/>
            <charset val="134"/>
          </rPr>
          <t>Amy Liu:
实际pick Y55699，PO110272</t>
        </r>
      </text>
    </comment>
    <comment ref="I877" authorId="1" shapeId="0" xr:uid="{FB11D504-A83C-4EDB-A326-F787FE2EE75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货55083</t>
        </r>
      </text>
    </comment>
    <comment ref="D893" authorId="1" shapeId="0" xr:uid="{DC4112CB-5923-44DF-AC4C-4D530BC45C7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1104366拆单</t>
        </r>
      </text>
    </comment>
    <comment ref="D894" authorId="1" shapeId="0" xr:uid="{ABE6EC0A-AFBB-41A7-B69A-76B753DC5D8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1104366拆单</t>
        </r>
      </text>
    </comment>
    <comment ref="D895" authorId="1" shapeId="0" xr:uid="{40C7EBF3-3967-4147-9F70-790F93E57F5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1104366拆单</t>
        </r>
      </text>
    </comment>
    <comment ref="D896" authorId="1" shapeId="0" xr:uid="{6536EC5F-3C0F-4B99-BC23-891678E8AAB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1104366拆单</t>
        </r>
      </text>
    </comment>
    <comment ref="D900" authorId="1" shapeId="0" xr:uid="{9EC681F9-71DC-4110-9AB5-5A0F157916C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D920" authorId="1" shapeId="0" xr:uid="{356FECE4-EC4F-42F2-A69F-77709F2CEC3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1" authorId="1" shapeId="0" xr:uid="{1F7A3212-E8F7-4873-AF54-D737575761A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2" authorId="1" shapeId="0" xr:uid="{EF7403BA-08D4-4F11-A173-7F30F032409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3" authorId="1" shapeId="0" xr:uid="{F5BE3D1A-347C-48EE-929E-E5A731C204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4" authorId="1" shapeId="0" xr:uid="{BDDF8469-F18A-4E8E-A8F8-8FFC95365E5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5" authorId="1" shapeId="0" xr:uid="{BF234AB0-8003-4F9F-900C-765C0204B70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6" authorId="1" shapeId="0" xr:uid="{E0FD7605-B1E8-4ADE-9924-EDB72B3991A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I938" authorId="1" shapeId="0" xr:uid="{0674DCEC-C8DE-4059-975C-246FBF3F48C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Y54957.用鑫华峰名义报关进来</t>
        </r>
      </text>
    </comment>
    <comment ref="D945" authorId="1" shapeId="0" xr:uid="{09E3D8FB-775C-43F7-8C5A-BA8E85776FE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46" authorId="1" shapeId="0" xr:uid="{0606B1DB-9991-47A9-9F3A-C28370110CB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I947" authorId="1" shapeId="0" xr:uid="{7638A686-3549-46CD-B00C-91948B7F529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实际系统pick Y58712</t>
        </r>
      </text>
    </comment>
    <comment ref="I961" authorId="1" shapeId="0" xr:uid="{6B079803-08B8-4C2E-BAFE-2A02C6EC921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实际系统pick Y58826
</t>
        </r>
      </text>
    </comment>
    <comment ref="I966" authorId="1" shapeId="0" xr:uid="{FCC94BC9-B897-4B16-AD46-73858173AB4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Y59645,OEF用PO110693</t>
        </r>
      </text>
    </comment>
    <comment ref="I971" authorId="1" shapeId="0" xr:uid="{C3C9A2B9-2249-4C1C-B2A2-FBA9A8725D3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Y59066 OEF 110620,rate NM</t>
        </r>
      </text>
    </comment>
    <comment ref="I972" authorId="1" shapeId="0" xr:uid="{DB09C3BE-7BE9-49FA-B644-42AE98A233F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Y59067,OEF 110620,rate NM</t>
        </r>
      </text>
    </comment>
    <comment ref="I978" authorId="1" shapeId="0" xr:uid="{47FA9D8A-4945-4999-B560-6BE59FC198F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深圳仓库系统pick Y58990 OEF 49F104054,Yamaha RMB 成本</t>
        </r>
      </text>
    </comment>
    <comment ref="I979" authorId="1" shapeId="0" xr:uid="{66AE0123-5435-4555-9C2B-98061417D3D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实际系统pick Y57094 ,用百纳海名义清关归还</t>
        </r>
      </text>
    </comment>
    <comment ref="M979" authorId="1" shapeId="0" xr:uid="{EB0BC0D2-62C6-4C3F-9A14-D58C16E0ED1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以太美亚名义清关</t>
        </r>
      </text>
    </comment>
    <comment ref="I980" authorId="1" shapeId="0" xr:uid="{C0D5B15B-C153-4D9B-AAA6-AD58C055008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Y58991 OEF 49F104054,Yamaha RMB 成本</t>
        </r>
      </text>
    </comment>
    <comment ref="M980" authorId="1" shapeId="0" xr:uid="{72E9CFAF-08A1-444A-8A58-AC52D90DE59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以太美亚名义清关</t>
        </r>
      </text>
    </comment>
    <comment ref="I987" authorId="1" shapeId="0" xr:uid="{56637063-2BD3-4298-95A2-088B2C57AC0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Y59183</t>
        </r>
      </text>
    </comment>
    <comment ref="I988" authorId="1" shapeId="0" xr:uid="{F369D991-95DF-40AA-BB93-E46895FBC6D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Y59184</t>
        </r>
      </text>
    </comment>
    <comment ref="I995" authorId="1" shapeId="0" xr:uid="{30A5EF7D-54D6-4E58-A438-EE8125033E9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货Y59644，OEF，110693</t>
        </r>
      </text>
    </comment>
    <comment ref="I996" authorId="1" shapeId="0" xr:uid="{0BBEEE51-2B86-4B91-A774-C1BEB41E53A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Y58208,OEF 110670</t>
        </r>
      </text>
    </comment>
    <comment ref="I997" authorId="1" shapeId="0" xr:uid="{1387A1A3-155E-433E-AB9E-59FF46F77FD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货Y58719，OEF，110580</t>
        </r>
      </text>
    </comment>
    <comment ref="I1014" authorId="1" shapeId="0" xr:uid="{C0F1EA8D-1145-4D3B-A803-59FA43D1A38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Y58088,OEF PO#110775</t>
        </r>
      </text>
    </comment>
    <comment ref="M1014" authorId="1" shapeId="0" xr:uid="{BD496088-8AA0-4AC0-8468-8D39416A9A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,渝溢三甲名义报关归还</t>
        </r>
      </text>
    </comment>
    <comment ref="I1016" authorId="1" shapeId="0" xr:uid="{83F925BC-DD9C-4DF4-8341-4AA8C730A99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系统pickY60000,OEF PO 110770</t>
        </r>
      </text>
    </comment>
    <comment ref="E1020" authorId="1" shapeId="0" xr:uid="{A1DC0198-08B2-4D87-9965-3F5D83298EC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原来新亚胜名义下单，后来改为正邦名义</t>
        </r>
      </text>
    </comment>
    <comment ref="I1020" authorId="1" shapeId="0" xr:uid="{5A758B45-0777-4E39-8BA7-BBAEE232A81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没有吸嘴</t>
        </r>
      </text>
    </comment>
    <comment ref="E1021" authorId="1" shapeId="0" xr:uid="{61766E31-91D9-4668-AF3A-663D16F4E0E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原来新亚胜名义下单，后来改为正邦名义</t>
        </r>
      </text>
    </comment>
    <comment ref="E1029" authorId="1" shapeId="0" xr:uid="{2E78A230-F780-41B3-B2B6-EC8088881DF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原来是正邦名义下单，2022-2-16改为新亚胜下单</t>
        </r>
      </text>
    </comment>
    <comment ref="E1030" authorId="1" shapeId="0" xr:uid="{895295EC-BD8F-4AD2-B5E7-D9067056B1E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原来是正邦名义下单，2022-2-16改为新亚胜下单</t>
        </r>
      </text>
    </comment>
    <comment ref="I1033" authorId="1" shapeId="0" xr:uid="{B04163C3-F71D-4FBD-99FE-A2404C491BF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系统pickY59959,OEF 110734</t>
        </r>
      </text>
    </comment>
    <comment ref="I1034" authorId="1" shapeId="0" xr:uid="{26EE2EA1-F661-4F4B-8AE0-940BDFA64B5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Y56514,PO 110800</t>
        </r>
      </text>
    </comment>
    <comment ref="I1035" authorId="1" shapeId="0" xr:uid="{B57D9A18-3758-4939-AE50-11331FD45DD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Y57568,PO 110771</t>
        </r>
      </text>
    </comment>
    <comment ref="M1039" authorId="1" shapeId="0" xr:uid="{B16D0C42-A590-4E95-9426-D5FC107C519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与Y61453平均了汇率，原来是NM</t>
        </r>
      </text>
    </comment>
    <comment ref="I1040" authorId="1" shapeId="0" xr:uid="{218313E6-372A-43A5-8F8E-C7826948ED4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实际pickY58909，OEF用49F104087 RMB单.用益田名义清关归还yamaha RMB单</t>
        </r>
      </text>
    </comment>
    <comment ref="I1041" authorId="1" shapeId="0" xr:uid="{F0BB6993-8784-4CD8-8125-1E8C998BD69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实际pickY58472，OEF用49F104088 RMB单.用益田名义清关归还yamaha RMB单</t>
        </r>
      </text>
    </comment>
    <comment ref="M1041" authorId="1" shapeId="0" xr:uid="{3C759910-F9F2-4960-95C5-468DF3585C7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达锂名义报关</t>
        </r>
      </text>
    </comment>
    <comment ref="I1049" authorId="1" shapeId="0" xr:uid="{73908843-9AA0-41B7-BF39-74DD01BCF87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系统pickY61441 ,OEF 110865</t>
        </r>
      </text>
    </comment>
    <comment ref="M1049" authorId="1" shapeId="0" xr:uid="{5BCF90C6-B28D-47E0-BEBB-59AD857C97E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乐凡名义清关</t>
        </r>
      </text>
    </comment>
    <comment ref="D1065" authorId="1" shapeId="0" xr:uid="{95398C60-1169-4752-9ACF-8AB409C9B32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I1065" authorId="1" shapeId="0" xr:uid="{9EB6F097-6E6E-477E-93B2-A21E0AA5BFA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Y56516,PO 110812</t>
        </r>
      </text>
    </comment>
    <comment ref="D1066" authorId="1" shapeId="0" xr:uid="{B19C7CEA-958F-4199-ABB3-F59E301100E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I1067" authorId="1" shapeId="0" xr:uid="{084D7272-354E-4CC3-A452-0005CA829046}">
      <text>
        <r>
          <rPr>
            <b/>
            <sz val="9"/>
            <color indexed="81"/>
            <rFont val="宋体"/>
            <family val="3"/>
            <charset val="134"/>
          </rPr>
          <t>Amy Liu:
系统pickY59949,OEF PO 110730</t>
        </r>
      </text>
    </comment>
    <comment ref="I1068" authorId="1" shapeId="0" xr:uid="{6FCEC7A7-C3D9-462D-A1C2-C62C322EE9E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Y60994,OEF PO 110827</t>
        </r>
      </text>
    </comment>
    <comment ref="I1071" authorId="1" shapeId="0" xr:uid="{A0F56210-C243-412B-AFE2-CC0D9D3C1E6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系统pickY60230, OEF用 PO 110762</t>
        </r>
      </text>
    </comment>
    <comment ref="I1072" authorId="1" shapeId="0" xr:uid="{A4681792-306B-4908-BCBE-2FEE7CCB5F8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Y60238,OEF 用PO#110756</t>
        </r>
      </text>
    </comment>
    <comment ref="I1073" authorId="1" shapeId="0" xr:uid="{34550534-48CC-4ED6-AA21-2A742F7ADFB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Y60239,OEF 用PO#110756</t>
        </r>
      </text>
    </comment>
    <comment ref="I1077" authorId="1" shapeId="0" xr:uid="{C464B660-45B6-4621-AEE3-479E06DC5479}">
      <text>
        <r>
          <rPr>
            <b/>
            <sz val="9"/>
            <color indexed="81"/>
            <rFont val="宋体"/>
            <family val="3"/>
            <charset val="134"/>
          </rPr>
          <t>Amy Liu:
系统pickY57567,OEF PO110771</t>
        </r>
      </text>
    </comment>
    <comment ref="I1080" authorId="1" shapeId="0" xr:uid="{A2D204DB-FD32-4A8E-BFE2-24CEA8DCBAE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Y60283,OEF PO 110767</t>
        </r>
      </text>
    </comment>
    <comment ref="I1082" authorId="1" shapeId="0" xr:uid="{20FF8C4D-3AA8-4D78-BB40-668F0608313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Y60993,OEF  PO110833</t>
        </r>
      </text>
    </comment>
    <comment ref="M1082" authorId="1" shapeId="0" xr:uid="{C359CEA6-5CB4-4E55-8A43-511542DFBA8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英拓邦名义报关归还RMB</t>
        </r>
      </text>
    </comment>
    <comment ref="I1085" authorId="1" shapeId="0" xr:uid="{D296EB95-06AC-4FF7-AF47-31E1D9B9A4D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此台机器，如果JPY客户送出，要用此客户的名义清关归还英特莱，英特莱再归还给到RMB单</t>
        </r>
      </text>
    </comment>
    <comment ref="M1085" authorId="1" shapeId="0" xr:uid="{6915C3D3-1E94-42B4-A826-62272CB39DA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用英特莱名义清关</t>
        </r>
      </text>
    </comment>
    <comment ref="I1087" authorId="1" shapeId="0" xr:uid="{D08FFE6D-D1B7-4E7D-BF41-C8C94D564B4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Y57571,OEF用PO#110472</t>
        </r>
      </text>
    </comment>
    <comment ref="I1088" authorId="1" shapeId="0" xr:uid="{855F7909-49CC-40A4-AFAC-BFCC8C48CA1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:
系统pick Y57569,OEF用PO#110472</t>
        </r>
      </text>
    </comment>
    <comment ref="I1089" authorId="1" shapeId="0" xr:uid="{2491F04A-B1EC-4A86-A96B-ACFEBF45D52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Y59426
 PO#110708</t>
        </r>
      </text>
    </comment>
    <comment ref="I1095" authorId="1" shapeId="0" xr:uid="{6128C1B8-C73F-498C-99AA-D1DEB7E1B6F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 Y57570, OEF用 PO 110472</t>
        </r>
      </text>
    </comment>
    <comment ref="I1098" authorId="1" shapeId="0" xr:uid="{75D04126-4850-47F0-B44C-6DDAD17D70A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Y60996,PO 110826</t>
        </r>
      </text>
    </comment>
    <comment ref="I1100" authorId="1" shapeId="0" xr:uid="{3CD92ECF-0A7B-4DFA-B1F9-C5A959C8935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pick Y60282</t>
        </r>
      </text>
    </comment>
    <comment ref="I1102" authorId="1" shapeId="0" xr:uid="{D1BE6174-2F61-4DA6-A76B-533F0835C66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pickY60280</t>
        </r>
      </text>
    </comment>
    <comment ref="I1105" authorId="1" shapeId="0" xr:uid="{1516108B-1AF4-4E72-A4E9-67E8C61B2E3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Y59985,OEF PO110737</t>
        </r>
      </text>
    </comment>
    <comment ref="M1105" authorId="1" shapeId="0" xr:uid="{F075B35B-8644-4F3D-A716-4CAD6D09C679}">
      <text>
        <r>
          <rPr>
            <b/>
            <sz val="9"/>
            <color indexed="81"/>
            <rFont val="宋体"/>
            <family val="3"/>
            <charset val="134"/>
          </rPr>
          <t>Amy Liu:
益田名义报关，还给达锂</t>
        </r>
      </text>
    </comment>
    <comment ref="D1115" authorId="1" shapeId="0" xr:uid="{673E9B34-0B55-443E-AAE7-0AD760538BE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I1115" authorId="1" shapeId="0" xr:uid="{D49E1C7E-C697-4104-AAEA-E0DA32F45C2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Y60229,OEF PO 110759.</t>
        </r>
      </text>
    </comment>
    <comment ref="M1115" authorId="1" shapeId="0" xr:uid="{689D07A0-422F-46B8-B092-90701EBDC3B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益田名义清关归还YAMAHA RMB 单</t>
        </r>
      </text>
    </comment>
    <comment ref="D1116" authorId="1" shapeId="0" xr:uid="{F20FAA8B-9059-45F4-A3C8-1740591BE39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D1117" authorId="1" shapeId="0" xr:uid="{A26DFA42-8092-4E2A-A8F6-4C843BCF5F5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I1138" authorId="1" shapeId="0" xr:uid="{12D526F3-259D-4B52-9DEB-0FA73140561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Y60562，OEF PO#110810</t>
        </r>
      </text>
    </comment>
    <comment ref="M1138" authorId="1" shapeId="0" xr:uid="{C7962BF0-C2EE-456C-819C-124AAB8ACB4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乐凡名义清关，归还Yamaha RMB单</t>
        </r>
      </text>
    </comment>
    <comment ref="I1139" authorId="1" shapeId="0" xr:uid="{61BE0448-5C75-430F-949D-3774D646A09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Y61001,PO 110828</t>
        </r>
      </text>
    </comment>
    <comment ref="M1139" authorId="1" shapeId="0" xr:uid="{E93F6B72-E2FE-409D-9EF2-EE06ED33BDF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乐凡名义清关，归还Yamaha RMB单</t>
        </r>
      </text>
    </comment>
    <comment ref="I1140" authorId="1" shapeId="0" xr:uid="{9753F10B-8C51-4A85-81A1-9D347A759B2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Y60560,   PO 110810</t>
        </r>
      </text>
    </comment>
    <comment ref="M1140" authorId="1" shapeId="0" xr:uid="{E97249B2-B4E8-4A43-BB23-1D79A567D05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广恒名义报关归还RMB单</t>
        </r>
      </text>
    </comment>
    <comment ref="I1143" authorId="1" shapeId="0" xr:uid="{67A2935B-0F5F-4251-A3C2-4FF9F0A99D4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Y58989,OEF 49F104087</t>
        </r>
      </text>
    </comment>
    <comment ref="M1143" authorId="1" shapeId="0" xr:uid="{64F01809-A4C2-4E44-8ABC-339C0CA55DD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捷舜诚名义清关归还</t>
        </r>
      </text>
    </comment>
    <comment ref="I1146" authorId="1" shapeId="0" xr:uid="{C298BC2A-4646-4B30-8952-87FEE8F7119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Y58095,OEF PO 110882</t>
        </r>
      </text>
    </comment>
    <comment ref="I1147" authorId="1" shapeId="0" xr:uid="{4F90193A-E5E7-49AC-9500-0DE9A565186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Y58096,OEF PO 110882</t>
        </r>
      </text>
    </comment>
    <comment ref="I1150" authorId="1" shapeId="0" xr:uid="{8F12F838-B572-4894-A726-BEBF0AFADBE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Y61444,PO 110872</t>
        </r>
      </text>
    </comment>
    <comment ref="I1151" authorId="1" shapeId="0" xr:uid="{CFE6D0BD-B1FB-4D22-8721-B8474668613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Y61445,PO 110872</t>
        </r>
      </text>
    </comment>
    <comment ref="I1152" authorId="1" shapeId="0" xr:uid="{57177158-511A-47C8-917F-CE85A116F7E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Y61437，OEF PO110871</t>
        </r>
      </text>
    </comment>
    <comment ref="I1153" authorId="1" shapeId="0" xr:uid="{272A7F4F-E5C0-4FC2-8D8C-8F6290DBB70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Y56519,OEF 110436</t>
        </r>
      </text>
    </comment>
    <comment ref="I1159" authorId="1" shapeId="0" xr:uid="{3F71A4A2-EC4F-42EB-B145-9A75B5F9A81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Y60553，OEF PO110810 拆分PO110913</t>
        </r>
      </text>
    </comment>
    <comment ref="D1160" authorId="1" shapeId="0" xr:uid="{7B92E8E2-619C-4FED-96B5-13019876892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I1160" authorId="1" shapeId="0" xr:uid="{D543A974-8C4E-4DFB-8EE4-E3181EF63BC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系统pick,Y61567，OEF 110883</t>
        </r>
      </text>
    </comment>
    <comment ref="M1161" authorId="1" shapeId="0" xr:uid="{38A62E5A-E9F2-4196-8AA9-F18423DB3F9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用汇海通达20210198DZ名义清关，货给广恒20210142DZ</t>
        </r>
      </text>
    </comment>
    <comment ref="I1166" authorId="1" shapeId="0" xr:uid="{A9FFE93C-F47F-4D69-A6A6-5280EDCCD9B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Y61017,OEF PO 110838</t>
        </r>
      </text>
    </comment>
    <comment ref="I1167" authorId="1" shapeId="0" xr:uid="{7B4DEB86-D0D6-4CB2-82D6-7DCF00B79CF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Y61018,OEF PO 110838</t>
        </r>
      </text>
    </comment>
    <comment ref="I1168" authorId="1" shapeId="0" xr:uid="{AA406177-B764-4399-B019-77C2A58FC46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Y61439,PO 110868</t>
        </r>
      </text>
    </comment>
    <comment ref="I1169" authorId="1" shapeId="0" xr:uid="{B6516448-BA51-4150-A331-EF41917FBA4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Y62028,PO 110920</t>
        </r>
      </text>
    </comment>
    <comment ref="I1170" authorId="1" shapeId="0" xr:uid="{0C8A1147-0415-41BC-98CE-FA4569BF4B3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Y62552 ,PO110998</t>
        </r>
      </text>
    </comment>
    <comment ref="M1171" authorId="1" shapeId="0" xr:uid="{073F4ED3-EF54-4226-8F6C-DD435047F49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要用拓普艾名义清关进来。</t>
        </r>
      </text>
    </comment>
    <comment ref="I1182" authorId="1" shapeId="0" xr:uid="{01622BD4-1212-40CC-88E7-26A097D3272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系统pick,Y60554，OEF 110810拆分PO110913</t>
        </r>
      </text>
    </comment>
    <comment ref="I1183" authorId="1" shapeId="0" xr:uid="{DF20106A-BA17-4E4D-A0C9-557A9DF6661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Y60559,OEF 110810</t>
        </r>
      </text>
    </comment>
    <comment ref="M1183" authorId="1" shapeId="0" xr:uid="{30521F52-526C-40BB-9E36-131AB01B11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恒磊名义报关，归还RMB单</t>
        </r>
      </text>
    </comment>
    <comment ref="I1184" authorId="1" shapeId="0" xr:uid="{70788C26-D988-4989-AB21-884EA99727B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Y57566 PO 110910
</t>
        </r>
      </text>
    </comment>
    <comment ref="M1184" authorId="1" shapeId="0" xr:uid="{06ED2565-E3D7-4220-80F7-08824B161DB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恒磊名义报关，归还RMB单</t>
        </r>
      </text>
    </comment>
    <comment ref="I1186" authorId="1" shapeId="0" xr:uid="{856390D4-99B6-43CE-BA3F-9941924AE26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Y61377，PO110873 NM </t>
        </r>
      </text>
    </comment>
    <comment ref="I1187" authorId="1" shapeId="0" xr:uid="{90DDF3F6-B947-4C8A-91E5-C74CB132564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Y61378,PO110873</t>
        </r>
      </text>
    </comment>
    <comment ref="I1188" authorId="1" shapeId="0" xr:uid="{BCA21C1D-5206-4FFB-9FE0-680573038D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Y62550,PO110995</t>
        </r>
      </text>
    </comment>
    <comment ref="I1189" authorId="1" shapeId="0" xr:uid="{1193C251-50DC-49AB-83E9-3555720B864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Y62551,PO110995</t>
        </r>
      </text>
    </comment>
    <comment ref="M1191" authorId="1" shapeId="0" xr:uid="{8D9FDC08-6B88-4A74-9449-12B9CBCC81A9}">
      <text>
        <r>
          <rPr>
            <sz val="9"/>
            <color indexed="81"/>
            <rFont val="宋体"/>
            <family val="3"/>
            <charset val="134"/>
          </rPr>
          <t xml:space="preserve">和Y59431平均了汇率，原来是0.0502
</t>
        </r>
      </text>
    </comment>
    <comment ref="I1192" authorId="1" shapeId="0" xr:uid="{459BEA21-DD4B-4A71-AEFB-F4F2A2454DF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Y58209,OEF110949 STK</t>
        </r>
      </text>
    </comment>
    <comment ref="M1192" authorId="1" shapeId="0" xr:uid="{C542815C-3952-4BB2-91BE-8A18CB8CA61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伯莱科名义报关</t>
        </r>
      </text>
    </comment>
    <comment ref="I1193" authorId="1" shapeId="0" xr:uid="{91B8825E-67EB-4A85-B017-2B9813927A1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Y58097,PO 110882 STOCK</t>
        </r>
      </text>
    </comment>
    <comment ref="M1193" authorId="1" shapeId="0" xr:uid="{32E7FF3F-DBD8-4089-AF09-A2F31FF79BB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钧溢名义报关</t>
        </r>
      </text>
    </comment>
    <comment ref="I1195" authorId="1" shapeId="0" xr:uid="{2909FC6D-1A2E-4833-800E-BB052611C55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Y57067 PO 110965 STK NM</t>
        </r>
      </text>
    </comment>
    <comment ref="M1195" authorId="1" shapeId="0" xr:uid="{E3A83589-A05B-4A0B-AB21-73F6D8EC1AE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骏孚名义报关归还YAMAHA RMB</t>
        </r>
      </text>
    </comment>
    <comment ref="I1196" authorId="1" shapeId="0" xr:uid="{2BA33D3E-96DC-471A-82C6-7F3EC3155CB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Y59703,OEF49F104105
</t>
        </r>
      </text>
    </comment>
    <comment ref="M1196" authorId="1" shapeId="0" xr:uid="{EC60E4BC-5646-42D7-B379-E7C2FA9E53D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鑫天泰20220056EC名义报关</t>
        </r>
      </text>
    </comment>
    <comment ref="I1198" authorId="1" shapeId="0" xr:uid="{EF4D0CF9-C88E-4F1A-86C0-D0607ADA0E7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Y62310 ，PO 110951</t>
        </r>
      </text>
    </comment>
    <comment ref="I1199" authorId="1" shapeId="0" xr:uid="{2E10D92B-3FE4-436B-A96C-EFE0BD9C7C7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Y62311,PO110951</t>
        </r>
      </text>
    </comment>
    <comment ref="I1200" authorId="1" shapeId="0" xr:uid="{B6ACEF8D-7B4B-47F2-B85E-0CF541670B3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Y62312,PO110951</t>
        </r>
      </text>
    </comment>
    <comment ref="I1204" authorId="1" shapeId="0" xr:uid="{9CA2F896-FEBF-48A0-8F48-958769BEB5B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系统pickY62344,OEF 0.0492，RMB清关 110962（拆单111022）</t>
        </r>
      </text>
    </comment>
    <comment ref="M1204" authorId="1" shapeId="0" xr:uid="{ADF236CF-D1BF-4EEC-9919-48CD7B124D1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精德鸿20210118RJY 名义清关</t>
        </r>
      </text>
    </comment>
    <comment ref="I1211" authorId="1" shapeId="0" xr:uid="{55D5AAA5-B6C8-49BC-81EB-B86530A32AD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Y62325,PO110954
</t>
        </r>
      </text>
    </comment>
    <comment ref="I1213" authorId="1" shapeId="0" xr:uid="{DE00E39C-4C1E-464A-A0E6-97ABD3F4A90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Y62598,PO 110997</t>
        </r>
      </text>
    </comment>
    <comment ref="I1216" authorId="1" shapeId="0" xr:uid="{9CD18561-047A-4F76-B51E-807925E586C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Y62327,PO#110956</t>
        </r>
      </text>
    </comment>
    <comment ref="I1221" authorId="1" shapeId="0" xr:uid="{81E21328-094F-4946-8208-F943D428390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Y62595,PO#110996</t>
        </r>
      </text>
    </comment>
    <comment ref="I1222" authorId="1" shapeId="0" xr:uid="{184AC5AA-3583-417C-B6D0-CA4ABF29D0F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Y62596,PO#110996</t>
        </r>
      </text>
    </comment>
    <comment ref="I1223" authorId="1" shapeId="0" xr:uid="{0E91B151-7535-4AFE-8880-113FA98378A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Y62634,PO#111002</t>
        </r>
      </text>
    </comment>
    <comment ref="I1225" authorId="1" shapeId="0" xr:uid="{D2173461-6FBF-4CC7-A6DD-811E7F3BBF2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Y62599 PO 110997</t>
        </r>
      </text>
    </comment>
    <comment ref="M1228" authorId="1" shapeId="0" xr:uid="{38586CBB-1CC2-4135-9F59-563C57D088C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实际用中润互联名义清关</t>
        </r>
      </text>
    </comment>
    <comment ref="I1231" authorId="1" shapeId="0" xr:uid="{CB6223BD-0B34-49A8-9809-870330561E4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Y63525,PO#111095</t>
        </r>
      </text>
    </comment>
    <comment ref="I1232" authorId="1" shapeId="0" xr:uid="{E6E6AA51-BC72-4CC7-A52F-A94F747A48F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Y59704 PO 49F104103</t>
        </r>
      </text>
    </comment>
    <comment ref="M1232" authorId="1" shapeId="0" xr:uid="{42582346-227B-4508-929C-B8D5D5FB583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骏孚名义清关</t>
        </r>
      </text>
    </comment>
    <comment ref="I1233" authorId="1" shapeId="0" xr:uid="{0E275431-59E2-4812-99D7-45DD0CADA76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Y60578,PO110896,0.0502</t>
        </r>
      </text>
    </comment>
    <comment ref="M1237" authorId="1" shapeId="0" xr:uid="{889626F4-E946-41F0-ABA6-F6384504576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实际是RMB清关</t>
        </r>
      </text>
    </comment>
    <comment ref="I1243" authorId="1" shapeId="0" xr:uid="{B0091F00-E64D-4343-9939-B228BE646BD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Y61446，PO 110875(拆单110975）</t>
        </r>
      </text>
    </comment>
    <comment ref="I1244" authorId="1" shapeId="0" xr:uid="{F206BBED-8711-4D64-BF44-4593D32E9EA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Y61447,PO110875</t>
        </r>
      </text>
    </comment>
    <comment ref="I1245" authorId="1" shapeId="0" xr:uid="{83DB2673-AF61-410C-8B77-87108536DDB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Y57065,PO110935</t>
        </r>
      </text>
    </comment>
    <comment ref="M1249" authorId="1" shapeId="0" xr:uid="{3D4F813E-0FD1-490D-BCD4-CE59BEA291A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快宇20220046JL名义清关</t>
        </r>
      </text>
    </comment>
    <comment ref="I1250" authorId="1" shapeId="0" xr:uid="{41402DBF-95B5-4157-B118-20BBA6A2476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系统pickY59781,OEF49F104103</t>
        </r>
      </text>
    </comment>
    <comment ref="M1250" authorId="1" shapeId="0" xr:uid="{EEC760EE-28AD-4CBB-9BD3-2E27CE7099E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用RMB单清关进来，汇率0.0492</t>
        </r>
      </text>
    </comment>
    <comment ref="M1251" authorId="1" shapeId="0" xr:uid="{A15D405E-6FE5-473C-B6E5-1825A7C524B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快宇名义清关20220046JL</t>
        </r>
      </text>
    </comment>
    <comment ref="I1254" authorId="1" shapeId="0" xr:uid="{0899E909-3B6B-4145-9903-22184F4CD22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Y62340 110960(拆单111038)</t>
        </r>
      </text>
    </comment>
    <comment ref="M1254" authorId="1" shapeId="0" xr:uid="{C2578632-CA36-436E-943F-55F8AD2C415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魔乐视20210215MZ名义清关</t>
        </r>
      </text>
    </comment>
    <comment ref="I1256" authorId="1" shapeId="0" xr:uid="{54A362F4-68F6-4654-AD98-FAADBDC28AE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Y62600,PO#110988</t>
        </r>
      </text>
    </comment>
    <comment ref="M1256" authorId="1" shapeId="0" xr:uid="{5FDA7F86-E277-4FE0-BF36-D68FA7C83F8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RMB名义清关</t>
        </r>
      </text>
    </comment>
    <comment ref="I1259" authorId="1" shapeId="0" xr:uid="{5C37B8F5-9E81-43FE-9A2E-871C24ADB9C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Y61977,PO 110921</t>
        </r>
      </text>
    </comment>
    <comment ref="M1259" authorId="1" shapeId="0" xr:uid="{D902A956-CC55-4EBB-B696-3B3C5C00F34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以三丽名义清关20210173AY</t>
        </r>
      </text>
    </comment>
    <comment ref="M1261" authorId="1" shapeId="0" xr:uid="{3F194E7B-AF1F-4E44-BA2F-B1A2DA6EAF5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诺亚兴20220051DZ名义清关</t>
        </r>
      </text>
    </comment>
    <comment ref="I1263" authorId="1" shapeId="0" xr:uid="{5367D865-17AA-4DA2-96B7-F747CFB8421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Y61970 PO#110922</t>
        </r>
      </text>
    </comment>
    <comment ref="M1263" authorId="1" shapeId="0" xr:uid="{08C3D876-0BE2-4A7C-9AE9-AA88E678975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恒泰创新20220004EC名义报关，归还RMB单。</t>
        </r>
      </text>
    </comment>
    <comment ref="I1273" authorId="1" shapeId="0" xr:uid="{BB9C0AF9-C09E-418D-913F-187B57642FA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Y60580,但系统入错，所以是pickY50580 PO 110896</t>
        </r>
      </text>
    </comment>
    <comment ref="M1273" authorId="1" shapeId="0" xr:uid="{0594F764-5343-4224-911F-948F6743F9F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魔乐视名义清关</t>
        </r>
      </text>
    </comment>
    <comment ref="I1274" authorId="1" shapeId="0" xr:uid="{44C17065-6F24-45C5-ABD0-83C4DFC5016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Y60581,但系统入错为Y50581 PO 110896</t>
        </r>
      </text>
    </comment>
    <comment ref="M1274" authorId="1" shapeId="0" xr:uid="{428612EE-4AAC-49C6-BC93-C3601B3E4DD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魔乐视名义清关</t>
        </r>
      </text>
    </comment>
    <comment ref="I1275" authorId="1" shapeId="0" xr:uid="{70238CE6-9FE9-4F01-B0F1-DB9913C908B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Y62359,PO110929</t>
        </r>
      </text>
    </comment>
    <comment ref="M1275" authorId="1" shapeId="0" xr:uid="{E652D864-BAFF-44A6-B060-F50989C3AA0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拓普艾20220033JL名义清关，归还。</t>
        </r>
      </text>
    </comment>
    <comment ref="I1276" authorId="1" shapeId="0" xr:uid="{CF73040A-C17E-472C-9D74-6AF6AA21E06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Y62025,PO#110919(拆单110927）</t>
        </r>
      </text>
    </comment>
    <comment ref="M1276" authorId="1" shapeId="0" xr:uid="{D9A6BF51-8679-4530-BB09-6F086F77370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倍斯特名义20220096JL清关，归还深圳机器</t>
        </r>
      </text>
    </comment>
    <comment ref="I1277" authorId="1" shapeId="0" xr:uid="{119E8C3A-661A-44EA-A591-F65871679D3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Y62026,PO#110919</t>
        </r>
      </text>
    </comment>
    <comment ref="M1277" authorId="1" shapeId="0" xr:uid="{FBDF77BC-B7C2-413C-9078-68D748F40D2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倍斯特名义20220096JL清关，归还深圳机器</t>
        </r>
      </text>
    </comment>
    <comment ref="I1278" authorId="1" shapeId="0" xr:uid="{3DBF104D-3998-456B-815C-C2DEE1EF772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Y61962,PO110924。
Inter co ESEL  实际pick Y62322</t>
        </r>
      </text>
    </comment>
    <comment ref="I1279" authorId="1" shapeId="0" xr:uid="{28B033AB-3E7A-4386-8A45-EBFF2126FA4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Y61979 PO 110923</t>
        </r>
      </text>
    </comment>
    <comment ref="H1281" authorId="1" shapeId="0" xr:uid="{5F0A79A8-967D-4BC1-B976-7B6F55FEF9E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扣除12pcs,7205 吸嘴，PO#110894采购了吸嘴，同时在Yamaha 的订单111004减除了这个63990的金额</t>
        </r>
      </text>
    </comment>
    <comment ref="I1281" authorId="3" shapeId="0" xr:uid="{4CBFD8A8-708C-4046-9514-1C356A89A569}">
      <text>
        <r>
          <rPr>
            <b/>
            <sz val="9"/>
            <color indexed="81"/>
            <rFont val="宋体"/>
            <family val="3"/>
            <charset val="134"/>
          </rPr>
          <t>FayWang:</t>
        </r>
        <r>
          <rPr>
            <sz val="9"/>
            <color indexed="81"/>
            <rFont val="宋体"/>
            <family val="3"/>
            <charset val="134"/>
          </rPr>
          <t xml:space="preserve">
在伯莱科名下</t>
        </r>
      </text>
    </comment>
    <comment ref="H1282" authorId="1" shapeId="0" xr:uid="{05AC539C-B0F3-4A88-9E45-61F82041477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扣除12pcs,7205 吸嘴，PO#110894采购了吸嘴，同时在Yamaha 的订单111004减除了这个63990的金额</t>
        </r>
      </text>
    </comment>
    <comment ref="I1282" authorId="3" shapeId="0" xr:uid="{EBA87EFF-6E1B-4B7A-800E-37672047832B}">
      <text>
        <r>
          <rPr>
            <b/>
            <sz val="9"/>
            <color indexed="81"/>
            <rFont val="宋体"/>
            <family val="3"/>
            <charset val="134"/>
          </rPr>
          <t>FayWang:</t>
        </r>
        <r>
          <rPr>
            <sz val="9"/>
            <color indexed="81"/>
            <rFont val="宋体"/>
            <family val="3"/>
            <charset val="134"/>
          </rPr>
          <t xml:space="preserve">
在伯莱科名下</t>
        </r>
      </text>
    </comment>
    <comment ref="I1283" authorId="1" shapeId="0" xr:uid="{66B206B7-A0ED-4F71-992B-A80AB1BFEC3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Y60579,但系统入错为Y50579 PO110896.做OEF时候，ANC的金额已经算到朗特20220084DZ合同中，所以提取此台机器的客户，可以不要计算ANCcost </t>
        </r>
      </text>
    </comment>
    <comment ref="M1283" authorId="1" shapeId="0" xr:uid="{96D328ED-72B1-4031-BB61-6AE636AEE00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朗特20220084DZ名义清关，归还RMB单</t>
        </r>
      </text>
    </comment>
    <comment ref="I1284" authorId="1" shapeId="0" xr:uid="{534EB7EE-30B5-4C95-B2FE-C694D3B07D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Y62608,PO#110986</t>
        </r>
      </text>
    </comment>
    <comment ref="H1288" authorId="1" shapeId="0" xr:uid="{81B1A1C8-115F-4336-ABE5-88A4CD9EE7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扣除12pcs,7205 吸嘴，PO#110894采购了吸嘴，同时在Yamaha 的订单111006减除了这个63990的金额</t>
        </r>
      </text>
    </comment>
    <comment ref="H1290" authorId="1" shapeId="0" xr:uid="{96F79027-92A7-4AAA-93FD-2E2B1BAF260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扣除12pcs,7205 吸嘴，PO#110894采购了吸嘴，同时在Yamaha 的订单111006减除了这个63990的金额</t>
        </r>
      </text>
    </comment>
    <comment ref="H1291" authorId="1" shapeId="0" xr:uid="{48913934-22B6-4A6D-814C-0E11E1981FD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扣除12pcs,7205 吸嘴，PO#110894采购了吸嘴，同时在Yamaha 的订单111006减除了这个63990的金额</t>
        </r>
      </text>
    </comment>
    <comment ref="I1310" authorId="1" shapeId="0" xr:uid="{2A096B67-D92C-4183-AB22-15A510014D5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Y62628 PO#110990</t>
        </r>
      </text>
    </comment>
    <comment ref="I1311" authorId="1" shapeId="0" xr:uid="{8AFC03EF-67E5-4A6B-B7A6-158DD6FF2D2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Y62360 ,PO#110929</t>
        </r>
      </text>
    </comment>
    <comment ref="I1313" authorId="1" shapeId="0" xr:uid="{4BFB26D1-545B-437D-8AA5-E3A101E923B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Y62636,PO#110991</t>
        </r>
      </text>
    </comment>
    <comment ref="I1317" authorId="1" shapeId="0" xr:uid="{962F8074-F7AB-42E0-B504-8A2C1CEAC1CC}">
      <text>
        <r>
          <rPr>
            <b/>
            <sz val="9"/>
            <color indexed="81"/>
            <rFont val="宋体"/>
            <family val="3"/>
            <charset val="134"/>
          </rPr>
          <t>Amy Liu:
系统pick Y62345 PO 110961（拆单111023）</t>
        </r>
      </text>
    </comment>
    <comment ref="I1320" authorId="1" shapeId="0" xr:uid="{9D779D0D-D18B-4C84-9173-0633AEAD68E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Y62607,PO#110987</t>
        </r>
      </text>
    </comment>
    <comment ref="I1321" authorId="1" shapeId="0" xr:uid="{A92BE817-F718-4E35-844F-483C51E89A9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Y62027,PO#110919</t>
        </r>
      </text>
    </comment>
    <comment ref="I1329" authorId="1" shapeId="0" xr:uid="{1661E290-32DC-4E56-98E0-CED1A179DCF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Y62604,PO#110992
</t>
        </r>
      </text>
    </comment>
    <comment ref="I1335" authorId="1" shapeId="0" xr:uid="{24075EE4-72E6-4D29-9437-6B92D11EAED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Y63075,PO111051</t>
        </r>
      </text>
    </comment>
    <comment ref="I1345" authorId="1" shapeId="0" xr:uid="{DA80A313-85B4-4477-9993-DF5F8B58970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Y63076,PO#111051</t>
        </r>
      </text>
    </comment>
    <comment ref="I1346" authorId="1" shapeId="0" xr:uid="{6DFFF318-AD08-486A-BD3B-3F53B4D44C2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Y63531,PO#111096</t>
        </r>
      </text>
    </comment>
    <comment ref="I1348" authorId="1" shapeId="0" xr:uid="{001FC818-7DA2-4F5A-9E09-531B3174A1C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Y63059,PO#111048改49F104339</t>
        </r>
      </text>
    </comment>
    <comment ref="H1349" authorId="1" shapeId="0" xr:uid="{4A11FDD9-CB19-4D95-8952-716474F128D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少采购1pc Feeder set up station,用库存，系统pick YS系列的Feeder Set up station</t>
        </r>
      </text>
    </comment>
    <comment ref="H1350" authorId="1" shapeId="0" xr:uid="{787D707E-4710-4358-A622-345CE009844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少采购1pc Feeder set up station,用库存，系统pick YS系列的Feeder Set up station</t>
        </r>
      </text>
    </comment>
    <comment ref="H1351" authorId="1" shapeId="0" xr:uid="{290F851B-73C3-41CD-9613-62DE89DE82C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少采购1pc Feeder set up station,用库存，系统pick YS系列的Feeder Set up station</t>
        </r>
      </text>
    </comment>
    <comment ref="H1352" authorId="1" shapeId="0" xr:uid="{204EC7C8-0D1A-4655-BE3A-EFF6C10F014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少采购1pc Feeder set up station,用库存，系统pick YS系列的Feeder Set up station</t>
        </r>
      </text>
    </comment>
    <comment ref="I1352" authorId="1" shapeId="0" xr:uid="{6A21B902-0366-4DAD-B3DC-94CABC0C0DC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Y63078,PO#111051
</t>
        </r>
      </text>
    </comment>
    <comment ref="H1353" authorId="1" shapeId="0" xr:uid="{C02C420B-088D-4CB5-BE80-C59A5D3027F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少采购1pc Feeder set up station,用库存，系统pick YS系列的Feeder Set up station</t>
        </r>
      </text>
    </comment>
    <comment ref="I1362" authorId="1" shapeId="0" xr:uid="{F5E25B70-1247-49AC-9A40-FCCB3310A75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Y63536,PO#111096</t>
        </r>
      </text>
    </comment>
    <comment ref="I1374" authorId="1" shapeId="0" xr:uid="{1AB04D37-010B-4CFC-B7F3-77FD16DE291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Y64065,平均价OEF</t>
        </r>
      </text>
    </comment>
    <comment ref="I1377" authorId="1" shapeId="0" xr:uid="{1764C166-0B69-4039-84AF-44BAE835CDE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系统已经先pick 了，华烨客户需要发票。实际pick Y63521</t>
        </r>
      </text>
    </comment>
    <comment ref="I1378" authorId="1" shapeId="0" xr:uid="{19DDA0F5-F121-4718-A0AF-519D3F49A55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Y64061，OEF平均价</t>
        </r>
      </text>
    </comment>
    <comment ref="I1383" authorId="1" shapeId="0" xr:uid="{FDE34949-1674-4E35-B31B-3D9B8A7E91B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Y63523</t>
        </r>
      </text>
    </comment>
    <comment ref="I1384" authorId="1" shapeId="0" xr:uid="{6FF847EC-F71B-46CD-8CBC-AA193EBC40E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Y63524</t>
        </r>
      </text>
    </comment>
    <comment ref="I1387" authorId="1" shapeId="0" xr:uid="{373742E7-DBDA-4DB4-AD31-8B75CB525F7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系统pickY63064，PO#111049改49F104342</t>
        </r>
      </text>
    </comment>
    <comment ref="I1388" authorId="1" shapeId="0" xr:uid="{5263EFAB-06F5-4058-8C87-A95176130C2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Y64012, PO#111131
</t>
        </r>
      </text>
    </comment>
    <comment ref="I1390" authorId="1" shapeId="0" xr:uid="{70E2F93D-9D3B-4A2B-B5A4-EFC8D0AF614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Y62878 PO#111020</t>
        </r>
      </text>
    </comment>
    <comment ref="I1392" authorId="1" shapeId="0" xr:uid="{F71ED7E5-4ABF-4D0B-BA9D-F2DA6C125A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Y63533 ，OEF Y63987
，PO111134</t>
        </r>
      </text>
    </comment>
    <comment ref="I1395" authorId="1" shapeId="0" xr:uid="{9DCC8C05-19BA-40D9-BE12-1C54774CE21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实际pickY64064</t>
        </r>
      </text>
    </comment>
    <comment ref="I1397" authorId="1" shapeId="0" xr:uid="{A162F078-C3D4-4378-A641-0B12DBFAD53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Y63155, 威力斯名义清关</t>
        </r>
      </text>
    </comment>
    <comment ref="I1398" authorId="1" shapeId="0" xr:uid="{B6252A1D-6543-4F51-B801-969EB85C015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Y63156, 威力斯名义清关</t>
        </r>
      </text>
    </comment>
    <comment ref="I1399" authorId="1" shapeId="0" xr:uid="{5B33E80E-7F86-4698-8F13-D0EC0FCE60B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Y62071,PO#110932</t>
        </r>
      </text>
    </comment>
    <comment ref="I1406" authorId="1" shapeId="0" xr:uid="{408D682A-C8BF-455D-9F65-FD2A352FF9B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Y65161</t>
        </r>
      </text>
    </comment>
    <comment ref="I1407" authorId="1" shapeId="0" xr:uid="{565C49CF-3950-4FC2-AA13-B8769D28CAA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Y63150，OEF平均价</t>
        </r>
      </text>
    </comment>
    <comment ref="K1407" authorId="1" shapeId="0" xr:uid="{A600D9F9-8E73-43D6-AD5B-0BF9246C5C9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宇翔名义清关进来</t>
        </r>
      </text>
    </comment>
    <comment ref="I1409" authorId="1" shapeId="0" xr:uid="{691C0F40-DD2C-428F-8607-BAEC7221AAB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Y63145,OEF 平均价</t>
        </r>
      </text>
    </comment>
    <comment ref="K1409" authorId="1" shapeId="0" xr:uid="{4A6D2FD3-EAA2-4F7D-AB2E-1D76622D89A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格第名义清关进来</t>
        </r>
      </text>
    </comment>
    <comment ref="I1410" authorId="1" shapeId="0" xr:uid="{902FD5CE-B30E-4829-8B4C-D44EE33AF00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Y63537 PO#111096</t>
        </r>
      </text>
    </comment>
    <comment ref="I1423" authorId="1" shapeId="0" xr:uid="{96B96C55-B04E-49E5-BC6B-A1DFF331BF7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Y63986，OEF Y63533，PO#111096</t>
        </r>
      </text>
    </comment>
    <comment ref="I1424" authorId="1" shapeId="0" xr:uid="{B36BD7DA-6A59-466A-A7F6-561F2AC762D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系统pickY63987， OEF Y63986，PO111134</t>
        </r>
      </text>
    </comment>
    <comment ref="I1436" authorId="1" shapeId="0" xr:uid="{F63C2505-789B-4562-94EA-E0BAB2B48ED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PO 111277 系统pick Y65759</t>
        </r>
      </text>
    </comment>
    <comment ref="I1464" authorId="1" shapeId="0" xr:uid="{1F840969-D0D1-45CC-A33C-95761855E11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Y66817,PO#111341</t>
        </r>
      </text>
    </comment>
    <comment ref="I1493" authorId="1" shapeId="0" xr:uid="{18AAA1BB-64D7-48D5-9466-548463E53A5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Y67126 PO#111361</t>
        </r>
      </text>
    </comment>
    <comment ref="I1511" authorId="1" shapeId="0" xr:uid="{B7FB45D9-DDA4-4B31-9C5A-59F24714DB9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Y63144           实际pickY63149。但华烨20220091MZ提前开票，所以系统已经pick 走。到最后，实际pick 货是跟着华烨实际走的序号序号pickY63144 。友艺名义清关归还深圳.
1、2023-11-21机器Y65161 锐诚20230120 SX 名义清关，转了完税.
2、 2024-1-25 Y66817 柏星20230143SX名义清关归还RMB单，力合仓库</t>
        </r>
      </text>
    </comment>
    <comment ref="I1516" authorId="1" shapeId="0" xr:uid="{43A0FA74-C5A3-4232-B5C1-0AA5065C651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Y66221,PO#111309(拆分PO111373) 兴开泰20230111SX名义报关归还RMB</t>
        </r>
      </text>
    </comment>
    <comment ref="I1518" authorId="1" shapeId="0" xr:uid="{C74D5B5F-C8F2-4369-8BD7-AC426CA1774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Y68129,PO#111464</t>
        </r>
      </text>
    </comment>
    <comment ref="I1520" authorId="1" shapeId="0" xr:uid="{ABFB53A0-3FC0-4499-9A09-31AA098EFFB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Y68130,PO#111464</t>
        </r>
      </text>
    </comment>
    <comment ref="I1534" authorId="1" shapeId="0" xr:uid="{BA812EFF-6CC4-4BD2-8F3D-AEE77F63FD3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Y67128,PO#111362</t>
        </r>
      </text>
    </comment>
    <comment ref="I1535" authorId="1" shapeId="0" xr:uid="{4B8EE90B-02E6-4170-9051-032ABEFD66A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Y67130,PO#111362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Amy Liu</author>
    <author>SMT</author>
  </authors>
  <commentList>
    <comment ref="G2" authorId="0" shapeId="0" xr:uid="{8801280D-66CA-45DF-A1CD-350D44C64BF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实际盘点是3276pcs, 把辉拓20220049JY 30pcs 也加了进去，为了后面扣数平</t>
        </r>
      </text>
    </comment>
    <comment ref="G65" authorId="0" shapeId="0" xr:uid="{7F206FCC-40C3-4DA2-8F12-8DF3127C228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实际没货清关，只是走系统</t>
        </r>
      </text>
    </comment>
    <comment ref="M210" authorId="0" shapeId="0" xr:uid="{EC412B61-96BB-4CC8-8EBC-CF7D27774D8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此货实际是发给蓝极光</t>
        </r>
      </text>
    </comment>
    <comment ref="M353" authorId="0" shapeId="0" xr:uid="{E013BB46-FDD4-4033-BFEF-B53D01B4F83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实际没货清关，只是走系统</t>
        </r>
      </text>
    </comment>
    <comment ref="O417" authorId="0" shapeId="0" xr:uid="{98C0D187-9EDD-42E5-BAE5-06F1B02410E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已经还货</t>
        </r>
      </text>
    </comment>
    <comment ref="O418" authorId="0" shapeId="0" xr:uid="{157BA376-6E96-45FE-B5F2-5DFB7B86C2F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2023-12-20归还</t>
        </r>
      </text>
    </comment>
    <comment ref="S486" authorId="0" shapeId="0" xr:uid="{9A874E71-381C-4DC4-881A-EAB9D9045D7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2024-2-23</t>
        </r>
      </text>
    </comment>
    <comment ref="N528" authorId="1" shapeId="0" xr:uid="{00000000-0006-0000-0200-00004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2020-12-9 400改为500</t>
        </r>
      </text>
    </comment>
    <comment ref="N529" authorId="1" shapeId="0" xr:uid="{00000000-0006-0000-0200-00004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2020-12-9日从50个调整为100个，Ken 电话沟通后
</t>
        </r>
      </text>
    </comment>
    <comment ref="N535" authorId="1" shapeId="0" xr:uid="{00000000-0006-0000-0200-00004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2020-12-19 从100改到200</t>
        </r>
      </text>
    </comment>
    <comment ref="N542" authorId="1" shapeId="0" xr:uid="{00000000-0006-0000-0200-00004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N543" authorId="1" shapeId="0" xr:uid="{00000000-0006-0000-0200-00004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N549" authorId="0" shapeId="0" xr:uid="{BF1D380C-AFAB-4ED7-837F-06D2435737D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N550" authorId="0" shapeId="0" xr:uid="{13CAA26C-69AF-4CDB-89C5-86C85AF40BE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D559" authorId="1" shapeId="0" xr:uid="{A7A4D559-FBDD-476F-A86F-AE9545F9F9F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YSM10&amp;YSM20机器平均Feeder修改</t>
        </r>
      </text>
    </comment>
    <comment ref="D566" authorId="1" shapeId="0" xr:uid="{00000000-0006-0000-0200-00004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YSM10&amp;YSM20机器平均Feeder修改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Amy Liu</author>
    <author>SMT</author>
  </authors>
  <commentList>
    <comment ref="B98" authorId="0" shapeId="0" xr:uid="{4B8A1526-0E3B-4632-A4D3-5ADAAE81464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30pcs demo Feeder ,其中20pcs 可以开正式VAT发票</t>
        </r>
      </text>
    </comment>
    <comment ref="K123" authorId="1" shapeId="0" xr:uid="{A34FDE1E-E8FB-4339-B101-51077A55D26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K124" authorId="1" shapeId="0" xr:uid="{9DD27069-CAAA-4723-9034-72D3EE5E2BA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K131" authorId="0" shapeId="0" xr:uid="{BE65BAFF-A288-4454-AC72-22BFB63C30B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K132" authorId="0" shapeId="0" xr:uid="{10F40274-67B3-4A9C-8C7B-9C82F355C88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B146" authorId="1" shapeId="0" xr:uid="{A2D11A06-2F55-4CFB-B6E8-AD7DAA74D7A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J146" authorId="1" shapeId="0" xr:uid="{726B08DF-A663-4A00-A559-B9CFF8AAF91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Q146" authorId="1" shapeId="0" xr:uid="{B5C34C65-C98F-4902-B0D6-F89D292CDC1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B147" authorId="1" shapeId="0" xr:uid="{09C3A085-07E4-4255-B13E-84CC8FCCE16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J147" authorId="1" shapeId="0" xr:uid="{55B37BC2-63F8-44C9-BC67-80105BCF18A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Q147" authorId="1" shapeId="0" xr:uid="{73F3FDF5-4B23-459A-B8EA-0ECABBF6E98B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B154" authorId="0" shapeId="0" xr:uid="{2466831F-092B-4E24-8505-5596A069DD9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J154" authorId="0" shapeId="0" xr:uid="{07C1FE61-B066-4E1A-8757-13853EBFE8B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Q154" authorId="0" shapeId="0" xr:uid="{B2875332-DC33-4419-B9FD-3D38778F97F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B155" authorId="0" shapeId="0" xr:uid="{A9153FCA-938E-4BD5-A165-45914C2C99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J155" authorId="0" shapeId="0" xr:uid="{40B56ABB-2B1B-4352-9A38-BC992CF3A98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Q155" authorId="0" shapeId="0" xr:uid="{E5EA2880-AEE2-437A-93E8-F3B03A272E0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SMT</author>
    <author>Amy Liu</author>
    <author>Irene Li</author>
  </authors>
  <commentList>
    <comment ref="C353" authorId="0" shapeId="0" xr:uid="{07D41ED0-E9FE-4C7B-A1B3-7CE2E5797F2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4" authorId="0" shapeId="0" xr:uid="{75880BB8-53D3-4C24-BDBC-4EF79846DC3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5" authorId="0" shapeId="0" xr:uid="{96DC4ED8-FCF5-403E-B025-4A4CBE03ECA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6" authorId="0" shapeId="0" xr:uid="{2ADCAEF3-51EE-4F6C-9A1E-2D141EF8A56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7" authorId="0" shapeId="0" xr:uid="{0910B3BE-583E-4A6C-9566-1D736E756C8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65" authorId="0" shapeId="0" xr:uid="{F0CCA631-A82F-401F-B4F5-A180BE99000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6" authorId="0" shapeId="0" xr:uid="{0AB4DE88-E0FC-4075-BF2F-9A6E37A5519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7" authorId="0" shapeId="0" xr:uid="{1CE10BCA-A81F-4558-A35C-B5BED207F48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8" authorId="0" shapeId="0" xr:uid="{4B706716-4057-4015-B475-E794A6A0213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9" authorId="0" shapeId="0" xr:uid="{49F55787-64B6-409A-A206-81382BD4EA9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75" authorId="0" shapeId="0" xr:uid="{C76F8BE2-5DB6-458D-A450-DEA6D52BA4F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Ken 电邮告知要下600ZS8mm Feeder </t>
        </r>
      </text>
    </comment>
    <comment ref="G376" authorId="0" shapeId="0" xr:uid="{9BB49455-0B42-4820-8C2B-8C5C80B0E57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实际清关20pcs,3pcs 是英拓邦JPY归还深圳办</t>
        </r>
      </text>
    </comment>
    <comment ref="G377" authorId="0" shapeId="0" xr:uid="{8E94CF37-1C52-4881-B93A-D5D2180312D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实际清关5pcs, 2pcs 朗特JPY 单已经pick 货
</t>
        </r>
      </text>
    </comment>
    <comment ref="E396" authorId="0" shapeId="0" xr:uid="{1167B9FE-F1BB-4217-8ACC-83AD424D313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系统在2020-7-30日做的</t>
        </r>
      </text>
    </comment>
    <comment ref="G573" authorId="1" shapeId="0" xr:uid="{EF3B1E32-73C9-480D-92E2-AAEF69BCE683}">
      <text>
        <r>
          <rPr>
            <b/>
            <sz val="9"/>
            <color indexed="81"/>
            <rFont val="宋体"/>
            <family val="3"/>
            <charset val="134"/>
          </rPr>
          <t>Amy Liu:实际入库130pcs, 44 pcs 益田归还深圳办</t>
        </r>
      </text>
    </comment>
    <comment ref="G600" authorId="1" shapeId="0" xr:uid="{C959A0CC-81EB-47B1-8B68-80434FA44B3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实际清关200pcs,32pcs 归还深圳办，捷舜诚借货.合进高20pcs</t>
        </r>
      </text>
    </comment>
    <comment ref="G601" authorId="1" shapeId="0" xr:uid="{320D74C0-BE7C-4ECA-A5FB-42BD25FF925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实际报关60个，因为有14个要还深圳办（海纳科借货8pcs,崧盛206借货6pcs）的。</t>
        </r>
      </text>
    </comment>
    <comment ref="G615" authorId="1" shapeId="0" xr:uid="{1B371302-CBB2-496A-A2F3-B155FCBC12D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实际清关10pcs,还货健科1pc,新智杰2pcs, 东陆1pc,可祁2pcs</t>
        </r>
      </text>
    </comment>
    <comment ref="G616" authorId="1" shapeId="0" xr:uid="{9023B535-5F8A-47DC-9483-E8E2152FC07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实际清关5pcs.还货博实结3pc,健科1pc</t>
        </r>
      </text>
    </comment>
    <comment ref="G660" authorId="1" shapeId="0" xr:uid="{DF25E337-4A9F-4200-A78A-35640C1D40E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 50pcs ,清关时候，系统要少走5pcs,补星辰宇修改合同得Feeder</t>
        </r>
      </text>
    </comment>
    <comment ref="G661" authorId="1" shapeId="0" xr:uid="{F736637F-3E8B-46F2-A5A9-5CA4FB99C00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 清关时，系统少走4pcs, 补旭日发错货的。</t>
        </r>
      </text>
    </comment>
    <comment ref="G662" authorId="1" shapeId="0" xr:uid="{1C7B68B4-239A-4E1E-B0CF-984A440C74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实际清关2pcs, 英拓邦发货的</t>
        </r>
      </text>
    </comment>
    <comment ref="G729" authorId="1" shapeId="0" xr:uid="{92456580-001A-497E-B6F0-4A0A40DE535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实际清关50pcs, 系统走48pcs, 其中2pcs 金晟晖PO#C66SZ21248REV1 归还</t>
        </r>
      </text>
    </comment>
    <comment ref="G733" authorId="1" shapeId="0" xr:uid="{327EDBB5-47C1-47A2-AF14-4AF6A47A2E5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 系统走9pcs, 其中1pc狂热者PO#C66SZ21417 归还</t>
        </r>
      </text>
    </comment>
    <comment ref="G773" authorId="1" shapeId="0" xr:uid="{9A31166A-FAC0-4760-BBB9-13E517FCB71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实际清关20pcs, 13Pcs 是一票DAP多清关的13pcs的，填补这个系统</t>
        </r>
      </text>
    </comment>
    <comment ref="G812" authorId="1" shapeId="0" xr:uid="{501D3079-FD90-458A-9793-5ADE74ED0FE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实际没清关货物，系统调账走数，随YSD机器走系统数量</t>
        </r>
      </text>
    </comment>
    <comment ref="G898" authorId="1" shapeId="0" xr:uid="{97A0F4EC-D2FF-4E1D-905D-8C56AFC6807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实际清关80pcs</t>
        </r>
      </text>
    </comment>
    <comment ref="L1123" authorId="0" shapeId="0" xr:uid="{C05420B3-CCC2-4835-9F85-B7F9E18936A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2018年月底发了10pcs,另外17pcs 发货</t>
        </r>
      </text>
    </comment>
    <comment ref="O1123" authorId="0" shapeId="0" xr:uid="{1A1CC05D-C806-4557-A8B5-9809EC8029E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2020-4-28 展华名义报关进来
</t>
        </r>
      </text>
    </comment>
    <comment ref="O1129" authorId="0" shapeId="0" xr:uid="{304C0EBA-9867-45C7-8DD9-5A2516D7926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2019-3-20归还</t>
        </r>
      </text>
    </comment>
    <comment ref="O1130" authorId="0" shapeId="0" xr:uid="{F02D0B75-CD5F-40FB-ACEA-5C79F6C4534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2019-3-20 归还</t>
        </r>
      </text>
    </comment>
    <comment ref="O1211" authorId="0" shapeId="0" xr:uid="{3FCC3D54-6399-475F-8749-56EE36D73D1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2018-12-24归还</t>
        </r>
      </text>
    </comment>
    <comment ref="O1212" authorId="0" shapeId="0" xr:uid="{3F5EA523-8CEA-45F5-B529-FD82BCA707F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2018-12-24归还</t>
        </r>
      </text>
    </comment>
    <comment ref="O1213" authorId="0" shapeId="0" xr:uid="{08B01BEF-2A91-4A2E-9B22-6B0807229F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2019-1-8 归还</t>
        </r>
      </text>
    </comment>
    <comment ref="O1214" authorId="0" shapeId="0" xr:uid="{53E36112-8298-44B8-95D6-537E2A91014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2019-1-8 归还</t>
        </r>
      </text>
    </comment>
    <comment ref="O1215" authorId="0" shapeId="0" xr:uid="{63EB4B19-7FFF-45ED-82FE-0EDC57DE141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2019-1-8 归还</t>
        </r>
      </text>
    </comment>
    <comment ref="O1216" authorId="0" shapeId="0" xr:uid="{986F652A-1526-4EF7-9522-8398A2F2385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2019-1-8 归还</t>
        </r>
      </text>
    </comment>
    <comment ref="M1229" authorId="0" shapeId="0" xr:uid="{2BD338EE-3BAE-41E9-8B37-D3E6A341C03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实际发货永顺创175SX</t>
        </r>
      </text>
    </comment>
    <comment ref="O1265" authorId="0" shapeId="0" xr:uid="{051CCE5D-3F4A-4585-A649-5FA31AF1963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2019-2-25归还</t>
        </r>
      </text>
    </comment>
    <comment ref="O1319" authorId="0" shapeId="0" xr:uid="{9DEA1B28-A4A9-475C-842A-AEECD4C15BC2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2018-3-5归还</t>
        </r>
      </text>
    </comment>
    <comment ref="M1409" authorId="0" shapeId="0" xr:uid="{BFA2392F-7E92-4442-A040-37D223BAD68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含0041JL的8pcs 的8mm Feeder</t>
        </r>
      </text>
    </comment>
    <comment ref="O1425" authorId="0" shapeId="0" xr:uid="{580FF3E1-E7A9-44FF-991B-C3FEA9C81CB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2019-12-12归还给到深圳办</t>
        </r>
      </text>
    </comment>
    <comment ref="O1446" authorId="0" shapeId="0" xr:uid="{6FE863F4-F11E-49E9-AEB7-D2C2765643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2019-7-10已经还货</t>
        </r>
      </text>
    </comment>
    <comment ref="O1447" authorId="0" shapeId="0" xr:uid="{83249400-C146-42C4-AB31-0E593EEF963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2019-7-10已经还货</t>
        </r>
      </text>
    </comment>
    <comment ref="O1448" authorId="0" shapeId="0" xr:uid="{8970B80E-A7B5-48E5-9C77-5392C03A692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2019-7-10已经还货</t>
        </r>
      </text>
    </comment>
    <comment ref="M1459" authorId="0" shapeId="0" xr:uid="{8B5C25C6-F4F1-419D-BE8A-FB8EE871738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直接盐保清关</t>
        </r>
      </text>
    </comment>
    <comment ref="M1522" authorId="0" shapeId="0" xr:uid="{C33BCF53-AB3A-434A-935E-2929118DDD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40+35 分批发货</t>
        </r>
      </text>
    </comment>
    <comment ref="L1536" authorId="0" shapeId="0" xr:uid="{EB719405-4BD0-4113-AF83-52FF190B20C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2018年月底发了10pcs,另外17pcs 发货</t>
        </r>
      </text>
    </comment>
    <comment ref="O1536" authorId="0" shapeId="0" xr:uid="{338A52F6-CBC2-4A18-A316-1D79D6F866B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SMT:
此Feeder有可能不还，如果客户不要机器，就直接Mis-out 出了，Mis-in 香港本</t>
        </r>
      </text>
    </comment>
    <comment ref="M1538" authorId="0" shapeId="0" xr:uid="{D489BDA3-5C15-4C1E-AE28-3AA598C483C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直接盐保清关</t>
        </r>
      </text>
    </comment>
    <comment ref="M1539" authorId="0" shapeId="0" xr:uid="{C7A75CB1-FB08-4FE6-82F7-1DABEA36C6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直接盐保清关</t>
        </r>
      </text>
    </comment>
    <comment ref="M1540" authorId="0" shapeId="0" xr:uid="{FC20C236-D93A-4B6B-AA59-BBDD40D99E2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直接盐保清关</t>
        </r>
      </text>
    </comment>
    <comment ref="M1575" authorId="0" shapeId="0" xr:uid="{9477D205-C0EA-4342-8BBE-22163C392B5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因为和安林换Feeder了实际发货15pcs</t>
        </r>
      </text>
    </comment>
    <comment ref="M1576" authorId="0" shapeId="0" xr:uid="{A6ADDD6B-A7B2-4B8E-AD62-8A126629A88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因为和安林换Feeder了实际发货6pcs</t>
        </r>
      </text>
    </comment>
    <comment ref="M1630" authorId="0" shapeId="0" xr:uid="{6CB34521-880F-4FCA-93AB-B6FCFFAF5D4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其中10pcs 发了给介绍的客户创荣发</t>
        </r>
      </text>
    </comment>
    <comment ref="M1717" authorId="0" shapeId="0" xr:uid="{68FE8B9C-88DF-49A9-AB15-C972E682843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实际发了115个，只是系统pick 100个，另外得15个放在-2合同pick</t>
        </r>
      </text>
    </comment>
    <comment ref="L1718" authorId="0" shapeId="0" xr:uid="{869AFC7A-DD67-4159-A654-61FE8DA21F0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2020-2-24号送了5pcs，
2019-12-24送了10pcs</t>
        </r>
      </text>
    </comment>
    <comment ref="L1719" authorId="0" shapeId="0" xr:uid="{336D0DB9-E879-4228-BD1C-C90589C94F1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2019-12-24 送了2pcs
2020-2-24送了3pcs</t>
        </r>
      </text>
    </comment>
    <comment ref="M1721" authorId="0" shapeId="0" xr:uid="{2527632B-8E5F-449B-8ABE-447B02C8E27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实际发货125个，多pick 了15个，是-01上次发货没pick 完得</t>
        </r>
      </text>
    </comment>
    <comment ref="M1731" authorId="0" shapeId="0" xr:uid="{C22A9CDE-5FC6-4A1B-8687-26826C42FC6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2019-12-23先用深圳库存，然后锘铧机器2020-2-20报关进来后，还深圳办</t>
        </r>
      </text>
    </comment>
    <comment ref="O1818" authorId="0" shapeId="0" xr:uid="{C7963046-4377-45FF-A9FB-390CC4C7D1A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19" authorId="0" shapeId="0" xr:uid="{D2BD70B4-5334-41DA-A418-2EB32511B07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0" authorId="0" shapeId="0" xr:uid="{2F7C56FD-12C2-40C2-B363-A62564352A4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1" authorId="0" shapeId="0" xr:uid="{DC5E07AF-EAF9-4100-B8FC-EF75C98AA87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2" authorId="0" shapeId="0" xr:uid="{5B408FBB-F598-42D1-98DC-1335585F77D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3" authorId="0" shapeId="0" xr:uid="{61E72C4A-7F75-4A19-91C1-92CB6BCE426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J1849" authorId="0" shapeId="0" xr:uid="{7035060A-EECD-4638-9CFC-7EFD1E7FE05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借用Feeder测试看可否解决问题</t>
        </r>
      </text>
    </comment>
    <comment ref="O1892" authorId="0" shapeId="0" xr:uid="{B49224D8-D9A5-43C5-B440-075A6F4BB80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2020-4-13作为博星发货了
</t>
        </r>
      </text>
    </comment>
    <comment ref="O1955" authorId="0" shapeId="0" xr:uid="{576D0864-4A11-428B-8BEA-AA565DFB702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归还时间待定
</t>
        </r>
      </text>
    </comment>
    <comment ref="O2160" authorId="0" shapeId="0" xr:uid="{48F41324-13FB-4A22-A86E-1160623D53A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2020-9-22归还
</t>
        </r>
      </text>
    </comment>
    <comment ref="O2161" authorId="0" shapeId="0" xr:uid="{14D5D14D-6223-4116-BC39-27D0AA58088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2020-9-22归还</t>
        </r>
      </text>
    </comment>
    <comment ref="M2169" authorId="0" shapeId="0" xr:uid="{6F0E7670-4732-418F-AB95-1C6768A0C9D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实际报关20pcs， 因为3pcs 给了JPY英拓邦客户pick 货，归还深圳办</t>
        </r>
      </text>
    </comment>
    <comment ref="M2170" authorId="0" shapeId="0" xr:uid="{6A6F086B-28CD-407D-9C92-A7B7D65D717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实际报关5pcs, 因为2pcs 给了JPY 朗特单pick 货
</t>
        </r>
      </text>
    </comment>
    <comment ref="O2183" authorId="2" shapeId="0" xr:uid="{E9F61CDC-7B05-429C-90DF-880A0D2821D9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2020-11-3归还</t>
        </r>
      </text>
    </comment>
    <comment ref="O2184" authorId="2" shapeId="0" xr:uid="{E8D0F2BB-8CCB-4AC7-9520-8BD2D4240A44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2020-11-3归还</t>
        </r>
      </text>
    </comment>
    <comment ref="O2185" authorId="2" shapeId="0" xr:uid="{A3893E33-2C7C-4BE6-9F35-56E4238C1353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2020-11-3归还</t>
        </r>
      </text>
    </comment>
    <comment ref="O2204" authorId="2" shapeId="0" xr:uid="{B4491083-7B92-4C76-A893-4C23A98A5AFC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2020-11-4归还</t>
        </r>
      </text>
    </comment>
    <comment ref="O2205" authorId="2" shapeId="0" xr:uid="{3A54A165-CF56-4850-A63B-75F7DF598239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2020-11-4归还</t>
        </r>
      </text>
    </comment>
    <comment ref="O2222" authorId="0" shapeId="0" xr:uid="{8E81422C-8201-4B11-A714-6C6A6FE3FDC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2020-9-29归还</t>
        </r>
      </text>
    </comment>
    <comment ref="J2250" authorId="0" shapeId="0" xr:uid="{D99E5557-4D88-40F9-9782-E762D3C65602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系统在2020-7-30日做的</t>
        </r>
      </text>
    </comment>
    <comment ref="O2260" authorId="2" shapeId="0" xr:uid="{011ABC96-D3FD-479A-BC78-49784DE1DC77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2020-11-4归还</t>
        </r>
      </text>
    </comment>
    <comment ref="J2266" authorId="0" shapeId="0" xr:uid="{8818E2C7-BADB-476C-99CE-19BB74F8061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系统在2020-7-30日做的</t>
        </r>
      </text>
    </comment>
    <comment ref="O2307" authorId="0" shapeId="0" xr:uid="{90EEDEE8-895D-4C7D-963B-B379C89E52C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2020-11-26归还</t>
        </r>
      </text>
    </comment>
    <comment ref="O2334" authorId="1" shapeId="0" xr:uid="{8458CBA8-FC95-459C-BE5E-8C49A35FDDF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2020-12-24清关130个，其中归还44pcs深圳办, 86个实际系统走</t>
        </r>
      </text>
    </comment>
    <comment ref="O2357" authorId="1" shapeId="0" xr:uid="{10FFF19F-2DD4-4142-839E-DF438ED95A6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2020-12-31 清关直接送客户，然后归还力合</t>
        </r>
      </text>
    </comment>
    <comment ref="O2358" authorId="1" shapeId="0" xr:uid="{14AA3A15-6783-4082-A866-4C664AB952F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2020-12-31归还
</t>
        </r>
      </text>
    </comment>
    <comment ref="O2371" authorId="0" shapeId="0" xr:uid="{585EB874-6046-44E4-82E6-27D86A47CC9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2020-11-25归还</t>
        </r>
      </text>
    </comment>
    <comment ref="O2372" authorId="0" shapeId="0" xr:uid="{1280C2CF-5BC4-4EE0-B12D-12F9CEE8A69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2020-11-25归还</t>
        </r>
      </text>
    </comment>
    <comment ref="O2398" authorId="1" shapeId="0" xr:uid="{A3F96261-2CE8-417E-B1BB-94C91ED8FDF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2021-1-21归还</t>
        </r>
      </text>
    </comment>
    <comment ref="O2412" authorId="1" shapeId="0" xr:uid="{70E31C1F-4815-4C10-966B-5335B09EB78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之前是0058JL合同借的Feeder，后来0058JL合同取消。换到这个20210056JL这合同
2021-5-24清关后归还</t>
        </r>
      </text>
    </comment>
    <comment ref="O2415" authorId="1" shapeId="0" xr:uid="{47A531E8-5953-40F0-9F97-9AFB9947862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2020-12-25归还20pcs</t>
        </r>
      </text>
    </comment>
    <comment ref="M2458" authorId="1" shapeId="0" xr:uid="{3051DA7D-1B2F-45E5-B18E-DE1FE735607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力通为退回的 2pcs 的12/16mm 一起给到鑫亿特。一共发10pcs 给到鑫亿特</t>
        </r>
      </text>
    </comment>
    <comment ref="M2461" authorId="1" shapeId="0" xr:uid="{D0815B3D-DEB2-4F85-89DC-E0EC5B0D22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和力通威的 2pcs 12/16mm 换 1 pc SS44mm.实际发货发1pc 给力通威，1pc 给鑫亿特</t>
        </r>
      </text>
    </comment>
    <comment ref="M2475" authorId="1" shapeId="0" xr:uid="{24E8250E-CD54-4E9E-8D2D-04991C41E08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系统调账，1pc在盐保发货，但实际系统走数是深圳走。新明海名义清关进来后，归还深圳办</t>
        </r>
      </text>
    </comment>
    <comment ref="M2476" authorId="1" shapeId="0" xr:uid="{ED4D558D-2A03-4B95-86B6-BA53190D044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pick 多了1pc, 所以同创20200211SX少pick 1pc</t>
        </r>
      </text>
    </comment>
    <comment ref="O2477" authorId="1" shapeId="0" xr:uid="{8A163BAC-9CE2-4B7E-A468-993E28E7A56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2021-1-7归还25
2021-1-22归还25pcs</t>
        </r>
      </text>
    </comment>
    <comment ref="O2478" authorId="1" shapeId="0" xr:uid="{1FBC0541-1161-4189-84E6-7DDCD5A196C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2021-1-7归还7pcs
2021-1-22归还7pcs</t>
        </r>
      </text>
    </comment>
    <comment ref="O2479" authorId="1" shapeId="0" xr:uid="{64F8F7F7-6BD8-4CCB-AC26-1C1A1AF8BF2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2021-1-7归还4pcs 2021-1-22归还4pcs</t>
        </r>
      </text>
    </comment>
    <comment ref="O2480" authorId="1" shapeId="0" xr:uid="{1D23F1F4-34DF-42C4-8B22-00AEBB03DC3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2021.1.22 归还1pc
</t>
        </r>
      </text>
    </comment>
    <comment ref="O2481" authorId="1" shapeId="0" xr:uid="{6E8692D2-BAF8-4565-88A8-0F5BCC6BCD2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2021.1.22 归还1pc</t>
        </r>
      </text>
    </comment>
    <comment ref="O2496" authorId="1" shapeId="0" xr:uid="{806F0D1A-6D95-4B89-BE35-F879F5F96FD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2021-8-17归还
</t>
        </r>
      </text>
    </comment>
    <comment ref="M2505" authorId="1" shapeId="0" xr:uid="{E34FE4F5-84FD-4A41-BAA0-DE1E085F74A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系统不pick 货，因为新明海pick了2次，一次ESEL pick 1pc, 一次ESSZ pick 1pc.</t>
        </r>
      </text>
    </comment>
    <comment ref="O2608" authorId="1" shapeId="0" xr:uid="{F8B71BD3-9B57-45D6-BF69-07CF06366FC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2021-6-5归还</t>
        </r>
      </text>
    </comment>
    <comment ref="M2626" authorId="1" shapeId="0" xr:uid="{2615B0CD-CCF5-48C7-B49F-11C10E17C98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实际清关130pcs, 44pcs 归还深圳办，深圳益田借货</t>
        </r>
      </text>
    </comment>
    <comment ref="O2645" authorId="1" shapeId="0" xr:uid="{322D6D42-F02C-4158-894D-04508BBFE1D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2021-4-19 上海归还</t>
        </r>
      </text>
    </comment>
    <comment ref="M2695" authorId="1" shapeId="0" xr:uid="{5B645BD6-267A-40A5-9257-B01DD75AF77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实际发了88pcs, 英文i有20pcs 是yamaha免费赠送</t>
        </r>
      </text>
    </comment>
    <comment ref="M2704" authorId="1" shapeId="0" xr:uid="{3F6388E8-56A0-4353-9778-66A16A64BAC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实际清关200pcs,32pcs 归还深圳办，捷舜诚借货. 合进高20pcs</t>
        </r>
      </text>
    </comment>
    <comment ref="M2705" authorId="1" shapeId="0" xr:uid="{5741A4DA-3EDD-4157-B6DA-96B79BD9BF3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实际报关60个，因为有14个要还深圳办（海纳科借货8pcs,崧盛206借货6pcs）的。</t>
        </r>
      </text>
    </comment>
    <comment ref="O2767" authorId="1" shapeId="0" xr:uid="{5AAC8284-DAF3-495C-AF86-A1D52D367CD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2022-7-5归还</t>
        </r>
      </text>
    </comment>
    <comment ref="O2768" authorId="1" shapeId="0" xr:uid="{51703D5C-18D3-4F97-B293-93EEB025666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2022-7-5归还</t>
        </r>
      </text>
    </comment>
    <comment ref="O2772" authorId="1" shapeId="0" xr:uid="{32E58AE3-6169-413C-826A-152ACBB1B1D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2021-8-13归还
</t>
        </r>
      </text>
    </comment>
    <comment ref="O2773" authorId="1" shapeId="0" xr:uid="{FFB187A2-A91E-4B83-AE09-73E40660738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2021-8-13归还</t>
        </r>
      </text>
    </comment>
    <comment ref="O2802" authorId="1" shapeId="0" xr:uid="{344E5586-7719-4625-A436-8A4C85843D7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2021-12-6归还</t>
        </r>
      </text>
    </comment>
    <comment ref="O2816" authorId="1" shapeId="0" xr:uid="{0A71F045-803B-4C0D-BA6F-A00AF7DB21B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2021-8-20归还</t>
        </r>
      </text>
    </comment>
    <comment ref="M2821" authorId="1" shapeId="0" xr:uid="{D8433BAB-DF17-4A3C-98B2-5979A04E3A3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M2822" authorId="1" shapeId="0" xr:uid="{1FD4C575-7E02-4B21-9681-E04023B2D76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M2823" authorId="1" shapeId="0" xr:uid="{F9CB5BB0-C6D9-4D2B-A176-3B72B45690B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 在乐凡中OEF体现</t>
        </r>
      </text>
    </comment>
    <comment ref="M2824" authorId="1" shapeId="0" xr:uid="{B2D4C1CF-8286-4D54-82BB-2C1BC5DBAC2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M2825" authorId="1" shapeId="0" xr:uid="{D0319508-FF43-49BD-963F-BA30B6472A7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O2830" authorId="1" shapeId="0" xr:uid="{A029FE5F-948B-4754-9710-C5126F98889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另外10pcs 是2021-8-27借出.2021-11-10归还</t>
        </r>
      </text>
    </comment>
    <comment ref="O2831" authorId="1" shapeId="0" xr:uid="{B801F5E8-57EA-4202-8F5F-413B28A7241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2021-11-10归还</t>
        </r>
      </text>
    </comment>
    <comment ref="O2832" authorId="1" shapeId="0" xr:uid="{EC4A85D9-A443-4FA3-9D70-53528D2D8EA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2021-11-10归还</t>
        </r>
      </text>
    </comment>
    <comment ref="O2833" authorId="1" shapeId="0" xr:uid="{D9A88482-554B-4FE5-88A9-9B30AF23ABB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2021-11-10归还</t>
        </r>
      </text>
    </comment>
    <comment ref="M2835" authorId="1" shapeId="0" xr:uid="{71A95598-10D0-4140-AD2C-A5C943FFE06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M2836" authorId="1" shapeId="0" xr:uid="{8641A3EE-BFB6-486F-A816-B5F04DD7983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M2837" authorId="1" shapeId="0" xr:uid="{48B24432-4463-40A0-A8DB-4DF0CF33A1F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M2838" authorId="1" shapeId="0" xr:uid="{1FF81285-D687-4B29-B290-EB9FA8EB05C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O2845" authorId="1" shapeId="0" xr:uid="{FA87A07A-1BA6-4A64-A1A4-3B0828C6C62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2021-5-24清关后归还</t>
        </r>
      </text>
    </comment>
    <comment ref="M2858" authorId="1" shapeId="0" xr:uid="{328E84E4-2943-400F-B9DC-763EAEECAF8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实际清关10pcs,换货健科1pc,新智杰2pcs, 东陆1pc,可祁2pcs</t>
        </r>
      </text>
    </comment>
    <comment ref="M2859" authorId="1" shapeId="0" xr:uid="{B93590B9-184A-4BF8-BA4C-AE99BB57846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实际清关5pcs.还货博实结3pc,健科1pc</t>
        </r>
      </text>
    </comment>
    <comment ref="O2903" authorId="1" shapeId="0" xr:uid="{0212D14C-C841-447E-BAEC-A5245396A26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2021-7-22归还深圳办</t>
        </r>
      </text>
    </comment>
    <comment ref="O2904" authorId="1" shapeId="0" xr:uid="{4866389A-FB7D-450B-B99F-288C1EBB3BA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2021-7-22归还深圳办</t>
        </r>
      </text>
    </comment>
    <comment ref="O2905" authorId="1" shapeId="0" xr:uid="{E332FE1A-9056-44E0-BC79-94FDE830A45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2021-8-18归还</t>
        </r>
      </text>
    </comment>
    <comment ref="O2906" authorId="1" shapeId="0" xr:uid="{07A1F148-9A15-41E1-9CE2-D4CA5A8F834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2021-8-18归还</t>
        </r>
      </text>
    </comment>
    <comment ref="O2907" authorId="1" shapeId="0" xr:uid="{A6535EB6-85C9-46D1-A744-F8DC0FFD61E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2021-8-18归还</t>
        </r>
      </text>
    </comment>
    <comment ref="M2942" authorId="1" shapeId="0" xr:uid="{C1A2D76C-B228-4AD8-B43F-125CD690748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实际清关45pcs,实际发货也是45个。系统pick 90个。 2022-12-8日用太美亚名义清关归还了深圳办。</t>
        </r>
      </text>
    </comment>
    <comment ref="O2943" authorId="1" shapeId="0" xr:uid="{4E200D42-D391-4CA4-81B2-86C035082AB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2022-12-28用太美亚洲名义清关归还50pcs 到深圳办</t>
        </r>
      </text>
    </comment>
    <comment ref="O2970" authorId="1" shapeId="0" xr:uid="{AE318AD5-8A46-46A6-9834-843452E8FE0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2022-1-7归还</t>
        </r>
      </text>
    </comment>
    <comment ref="O2991" authorId="1" shapeId="0" xr:uid="{C4E36A6B-0FC7-4A02-A856-7E110374D6F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2022-3-28归还</t>
        </r>
      </text>
    </comment>
    <comment ref="M2994" authorId="1" shapeId="0" xr:uid="{5BA2AF40-E94E-4780-990E-35802DCE0F2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2022-12-28太美亚名义清关30pcs, 归还深圳办。朗讯不需要清关.也不需要送货给朗讯</t>
        </r>
      </text>
    </comment>
    <comment ref="M2998" authorId="1" shapeId="0" xr:uid="{35C42A53-5B6E-431F-B783-B4C62F08B36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系统先pick货，归还20pcs 给深圳办 .Amy Liu:
Amy Liu:
2022-12-28太美亚名义清关20pcs, 归还深圳办。朗讯不需要清关.也不需要送货给朗讯</t>
        </r>
      </text>
    </comment>
    <comment ref="M2999" authorId="1" shapeId="0" xr:uid="{64A6DF55-070C-4478-8F9E-0300119EB80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系统先pick货，给深圳办</t>
        </r>
      </text>
    </comment>
    <comment ref="M3000" authorId="1" shapeId="0" xr:uid="{57018BF7-007F-4CF5-B157-24024007E14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系统先pick货，给深圳办</t>
        </r>
      </text>
    </comment>
    <comment ref="O3001" authorId="1" shapeId="0" xr:uid="{381178BF-7A43-4B28-B01C-21366EFCAA2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2022-12-28太美亚名义清关20pcs, 归还深圳办。朗讯不需要清关</t>
        </r>
      </text>
    </comment>
    <comment ref="O3002" authorId="1" shapeId="0" xr:uid="{60B78322-DFE2-4F55-BDC0-9419DB789FB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由于疫情，Feeder按照ESEL和ESSZ总数来核对</t>
        </r>
      </text>
    </comment>
    <comment ref="O3003" authorId="1" shapeId="0" xr:uid="{7205DEDA-2ECB-4A5E-B63F-358F10F012F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由于疫情，Feeder按照ESEL和ESSZ总数来核对</t>
        </r>
      </text>
    </comment>
    <comment ref="O3004" authorId="1" shapeId="0" xr:uid="{505D7735-23D3-4951-9E03-F5795FE766B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2022-12-28太美亚名义清关30pcs, 归还深圳办。朗讯不需要清关</t>
        </r>
      </text>
    </comment>
    <comment ref="O3005" authorId="1" shapeId="0" xr:uid="{D4733C7E-8D87-4D11-9428-770F8544CF4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由于疫情，Feeder按照ESEL和ESSZ总数来核对</t>
        </r>
      </text>
    </comment>
    <comment ref="O3006" authorId="1" shapeId="0" xr:uid="{2C4C982E-4C1A-4FAF-815F-90868C90307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由于疫情，Feeder按照ESEL和ESSZ总数来核对</t>
        </r>
      </text>
    </comment>
    <comment ref="M3012" authorId="1" shapeId="0" xr:uid="{D3071FBF-74D3-40DA-BB82-1FC6810F773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 50pcs ,清关时候，系统要少走5pcs,补星辰宇修改合同得Feeder</t>
        </r>
      </text>
    </comment>
    <comment ref="M3013" authorId="1" shapeId="0" xr:uid="{1ABC37DE-B9BF-4005-8638-73F6F34AAE8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 清关时，系统少走4pcs, 补旭日发错货的。</t>
        </r>
      </text>
    </comment>
    <comment ref="M3014" authorId="1" shapeId="0" xr:uid="{893D08DD-BD4E-453A-AB71-714ACC44E1C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实际清关2pcs, 英拓邦发货的</t>
        </r>
      </text>
    </comment>
    <comment ref="O3061" authorId="1" shapeId="0" xr:uid="{2AF874B1-AE43-4B2C-A2B3-EF3EF4889BB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2021-11-26归还</t>
        </r>
      </text>
    </comment>
    <comment ref="O3062" authorId="1" shapeId="0" xr:uid="{125BB57C-6D03-4049-828F-316BC7252AE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2021-11-26归还</t>
        </r>
      </text>
    </comment>
    <comment ref="O3063" authorId="1" shapeId="0" xr:uid="{BEAD9E6F-3737-4113-874F-225658F39F1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2021-11-26归还</t>
        </r>
      </text>
    </comment>
    <comment ref="O3064" authorId="1" shapeId="0" xr:uid="{3B807AA2-DC92-46D4-8421-9FFE57FE4F4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2021-11-26归还</t>
        </r>
      </text>
    </comment>
    <comment ref="O3065" authorId="1" shapeId="0" xr:uid="{196FEE30-A123-4D54-8EA1-0ACF9310A17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2021-11-26归还</t>
        </r>
      </text>
    </comment>
    <comment ref="M3102" authorId="1" shapeId="0" xr:uid="{08E513BC-6F12-41C3-82A1-A772C1B015E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系统先pick货，货深圳办借用</t>
        </r>
      </text>
    </comment>
    <comment ref="M3103" authorId="1" shapeId="0" xr:uid="{8E53C5AC-95CD-4139-9796-C1EA4520301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系统先pick货，货深圳办借用</t>
        </r>
      </text>
    </comment>
    <comment ref="M3104" authorId="1" shapeId="0" xr:uid="{B2D85AC4-2021-4AB5-BB48-EB431730F49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系统先pick货，货深圳办借用</t>
        </r>
      </text>
    </comment>
    <comment ref="O3105" authorId="1" shapeId="0" xr:uid="{A4C94DE6-C46C-4CC0-8C2A-0160F1BAC85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2022-12-28归还</t>
        </r>
      </text>
    </comment>
    <comment ref="O3106" authorId="1" shapeId="0" xr:uid="{1F10F2CD-5441-4DF4-9215-F76DF394052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2022-12-28归还</t>
        </r>
      </text>
    </comment>
    <comment ref="O3107" authorId="1" shapeId="0" xr:uid="{66D5CF6F-8264-4837-AF31-4CD3DE24FEC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2022-12-28归还</t>
        </r>
      </text>
    </comment>
    <comment ref="O3228" authorId="1" shapeId="0" xr:uid="{92FE886D-255F-4153-B5E4-6CFA52A9E4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O3229" authorId="1" shapeId="0" xr:uid="{0F9877AA-6C04-48CF-9FFF-A88F8B2C437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O3230" authorId="1" shapeId="0" xr:uid="{9AC50115-C326-48F1-B119-2FB291323EF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O3231" authorId="1" shapeId="0" xr:uid="{CF681910-FE27-4144-83E8-81E8037DE09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M3237" authorId="1" shapeId="0" xr:uid="{5A4AF3EC-3FFC-428F-99B2-E895FA6A44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实际清关50pcs, 系统走48pcs, 其中2pcs 金晟晖PO#C66SZ21248REV1 归还</t>
        </r>
      </text>
    </comment>
    <comment ref="M3241" authorId="1" shapeId="0" xr:uid="{EF42FEFA-03B6-4E13-B3CC-97690D3A8E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 系统走9pcs, 其中1pc狂热者PO#C66SZ21417 归还</t>
        </r>
      </text>
    </comment>
    <comment ref="M3260" authorId="1" shapeId="0" xr:uid="{6466F1ED-A5B9-40B7-A9CF-2C52F68BE45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实际清关20pcs, 13Pcs 是一票DAP多清关的13pcs的，填补这个系统</t>
        </r>
      </text>
    </comment>
    <comment ref="M3307" authorId="1" shapeId="0" xr:uid="{6036CAF0-1B7F-4BBF-8BFD-13C5AFFE02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实际没清关，随着YSD机器调账走系统</t>
        </r>
      </text>
    </comment>
    <comment ref="J3352" authorId="1" shapeId="0" xr:uid="{558B13BE-1291-4CD8-98D4-96F81B1B318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前海保税直接清关的</t>
        </r>
      </text>
    </comment>
    <comment ref="L3364" authorId="1" shapeId="0" xr:uid="{50AB4AD0-95C9-4395-B423-71EFEB7DBDD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2022-6-7</t>
        </r>
      </text>
    </comment>
    <comment ref="L3365" authorId="1" shapeId="0" xr:uid="{5EC2E90B-9970-41DA-86DB-D3E6191D5C1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2022-6-7
</t>
        </r>
      </text>
    </comment>
    <comment ref="M3373" authorId="1" shapeId="0" xr:uid="{81F03057-F398-4986-9382-ED27FC714A6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欠客户9pcs, 归还上海12pcs</t>
        </r>
      </text>
    </comment>
    <comment ref="M3381" authorId="1" shapeId="0" xr:uid="{9E874F92-9C1E-42C3-85C7-C8AFA72AE48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实际发货60pcs, 有1pc 是晨鑫达退回</t>
        </r>
      </text>
    </comment>
    <comment ref="M3384" authorId="1" shapeId="0" xr:uid="{05B61C0B-F8C7-4FF1-91DE-D8040F6C5B7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 5pcs, 有1pc 是晨鑫达退回</t>
        </r>
      </text>
    </comment>
    <comment ref="M3385" authorId="1" shapeId="0" xr:uid="{524BD2A9-8C98-4CD2-A01F-283E58791CB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实际发货给到晨鑫达。骏仁达不要货。</t>
        </r>
      </text>
    </comment>
    <comment ref="M3396" authorId="1" shapeId="0" xr:uid="{CCFF4DD1-AD52-4049-B12F-C171D00C0BD0}">
      <text>
        <r>
          <rPr>
            <b/>
            <sz val="9"/>
            <color indexed="81"/>
            <rFont val="宋体"/>
            <family val="3"/>
            <charset val="134"/>
          </rPr>
          <t>Amy Liu:
实际清关45pcs，扣除了祥弘瑞9pcs和世启纳13pcs</t>
        </r>
      </text>
    </comment>
    <comment ref="M3419" authorId="1" shapeId="0" xr:uid="{EF226118-67C3-4C36-B98E-AC17449CE91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实际清关80个</t>
        </r>
      </text>
    </comment>
    <comment ref="O3563" authorId="1" shapeId="0" xr:uid="{3A813274-4C3E-4426-9683-676F4D5B1F8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2022-9-27归还</t>
        </r>
      </text>
    </comment>
    <comment ref="L3622" authorId="1" shapeId="0" xr:uid="{862557E6-B6DD-450F-81B4-2B1C656C047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实际发货给岚新，不发货给锐诚</t>
        </r>
      </text>
    </comment>
    <comment ref="N3670" authorId="0" shapeId="0" xr:uid="{7E055407-0205-41D8-9514-A43D57A071F6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2020-12-9 400改为500</t>
        </r>
      </text>
    </comment>
    <comment ref="N3671" authorId="0" shapeId="0" xr:uid="{E1F4090A-70B1-4464-B571-E8E0060D39E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2020-12-9日从50个调整为100个，Ken 电话沟通后
</t>
        </r>
      </text>
    </comment>
    <comment ref="N3677" authorId="0" shapeId="0" xr:uid="{2B13E549-7CB9-409C-A972-17E136FC03D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2020-12-19 从100改到200</t>
        </r>
      </text>
    </comment>
    <comment ref="N3684" authorId="0" shapeId="0" xr:uid="{465C2B06-AF7B-4297-9C0F-86244EFEBF2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N3685" authorId="0" shapeId="0" xr:uid="{40EE9857-65FC-41EE-8D7C-95481101F67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N3691" authorId="1" shapeId="0" xr:uid="{7C6A0FB8-BD22-4D07-8016-B238502C162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N3692" authorId="1" shapeId="0" xr:uid="{051A4F50-505D-4C33-BB65-BAB3BB555BA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D3698" authorId="0" shapeId="0" xr:uid="{EB74F432-0FBB-433F-B548-A17B6C3DB56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YSM10&amp;YSM20机器平均Feeder修改</t>
        </r>
      </text>
    </comment>
    <comment ref="K3704" authorId="0" shapeId="0" xr:uid="{C00F26F7-0C92-4258-AFCE-18DA40D4363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含没下单2020-7-10 12
台</t>
        </r>
      </text>
    </comment>
  </commentList>
</comments>
</file>

<file path=xl/sharedStrings.xml><?xml version="1.0" encoding="utf-8"?>
<sst xmlns="http://schemas.openxmlformats.org/spreadsheetml/2006/main" count="36368" uniqueCount="4455">
  <si>
    <t xml:space="preserve">Org. </t>
  </si>
  <si>
    <t>Customer name or STK</t>
  </si>
  <si>
    <t>Item</t>
  </si>
  <si>
    <t>Direction</t>
  </si>
  <si>
    <t>Item w config</t>
  </si>
  <si>
    <t>ETA HK</t>
  </si>
  <si>
    <t>Delivery schedule</t>
  </si>
  <si>
    <t>Currency</t>
  </si>
  <si>
    <t>Customer Reserved Contract No.</t>
  </si>
  <si>
    <t>Customer Reserved</t>
  </si>
  <si>
    <t>Item2</t>
  </si>
  <si>
    <t>Config Match</t>
  </si>
  <si>
    <t>Date of reservation</t>
  </si>
  <si>
    <t>Expired date</t>
  </si>
  <si>
    <t>FEB 21</t>
  </si>
  <si>
    <t>C49</t>
  </si>
  <si>
    <t>Stock order</t>
  </si>
  <si>
    <t>YSM10</t>
  </si>
  <si>
    <t>R-&gt;L</t>
  </si>
  <si>
    <t>ATS15</t>
  </si>
  <si>
    <t>TBA</t>
  </si>
  <si>
    <t>JPY</t>
  </si>
  <si>
    <t>C49SZX20200239JL</t>
  </si>
  <si>
    <t>博实结</t>
  </si>
  <si>
    <t>L-&gt;R</t>
  </si>
  <si>
    <t>Yes</t>
  </si>
  <si>
    <t>No</t>
  </si>
  <si>
    <t>MVC</t>
  </si>
  <si>
    <t>MAR 21</t>
  </si>
  <si>
    <t>C49SZX20200212SX</t>
  </si>
  <si>
    <t>博科通</t>
  </si>
  <si>
    <t>C49SZX20200162CY</t>
  </si>
  <si>
    <t>景硕电子</t>
  </si>
  <si>
    <t>玥芯通名义下单</t>
  </si>
  <si>
    <t>MVC+ATS15</t>
  </si>
  <si>
    <t>Y53570</t>
  </si>
  <si>
    <t>RMB</t>
  </si>
  <si>
    <t>Y53569</t>
  </si>
  <si>
    <t>Stock order(reserved by Leader Tech)</t>
  </si>
  <si>
    <t>C49SZX20200230JY</t>
  </si>
  <si>
    <t>海凌科达</t>
  </si>
  <si>
    <t>C49SZX20200228JZ</t>
  </si>
  <si>
    <t>新明海</t>
  </si>
  <si>
    <t>C49SZX20200231SX</t>
  </si>
  <si>
    <t>可祁</t>
  </si>
  <si>
    <t>C49SZX20200201JY</t>
  </si>
  <si>
    <t>英拓邦</t>
  </si>
  <si>
    <t>众鑫科名义</t>
  </si>
  <si>
    <t>MVC F&amp;R+ATS15</t>
  </si>
  <si>
    <t>C49SZX20200243DZ</t>
  </si>
  <si>
    <t>朗特</t>
  </si>
  <si>
    <t>C49SZX20200213MX</t>
  </si>
  <si>
    <t>音品</t>
  </si>
  <si>
    <t>C49SZX20200222SS</t>
  </si>
  <si>
    <t>盈通恒翼</t>
  </si>
  <si>
    <t>C49SZX20200230SS</t>
  </si>
  <si>
    <t>C49SZX20200237SX</t>
  </si>
  <si>
    <t>岚新</t>
  </si>
  <si>
    <t>YSM20R-2</t>
  </si>
  <si>
    <t>C49SZX20200233JL</t>
  </si>
  <si>
    <t>瑞福联</t>
  </si>
  <si>
    <t>C49SZX20200240JL</t>
  </si>
  <si>
    <t>金睿通</t>
  </si>
  <si>
    <t>C49SZX20200246MX</t>
  </si>
  <si>
    <t>华耘</t>
  </si>
  <si>
    <t>C49SZX20200210RSX</t>
  </si>
  <si>
    <t>众鑫科</t>
  </si>
  <si>
    <t>C49SZX20200198JZ</t>
  </si>
  <si>
    <t>阿里兄妹</t>
  </si>
  <si>
    <t>C49SZX20200221MZ</t>
  </si>
  <si>
    <t>腾拓</t>
  </si>
  <si>
    <t>C49SZX20200080DY</t>
  </si>
  <si>
    <t>富源晟</t>
  </si>
  <si>
    <t>C49SZX20200240MZ</t>
  </si>
  <si>
    <t>鑫金鸿</t>
  </si>
  <si>
    <t>已经到货</t>
  </si>
  <si>
    <t>STK</t>
  </si>
  <si>
    <t xml:space="preserve">96 FEEDER PLATE (YSM10) </t>
  </si>
  <si>
    <t>CY仓库</t>
  </si>
  <si>
    <t>音品名义下单</t>
  </si>
  <si>
    <t>NM</t>
  </si>
  <si>
    <t>盐保仓库</t>
  </si>
  <si>
    <t>华日仓库中转</t>
  </si>
  <si>
    <t>Y54207</t>
  </si>
  <si>
    <t>Y54205</t>
  </si>
  <si>
    <t>力合中转仓</t>
  </si>
  <si>
    <t>C49SZX20200227MZ</t>
  </si>
  <si>
    <t>程氏松哥</t>
  </si>
  <si>
    <t>Y54203</t>
  </si>
  <si>
    <t>模鑫</t>
  </si>
  <si>
    <t>APR 21</t>
  </si>
  <si>
    <t>C49SZX20200257JY</t>
  </si>
  <si>
    <t>精德鸿</t>
  </si>
  <si>
    <t>Y53568</t>
  </si>
  <si>
    <t>正创名义下单</t>
  </si>
  <si>
    <t>江西络鑫</t>
  </si>
  <si>
    <t>JUN 21</t>
  </si>
  <si>
    <t>JUL 21</t>
  </si>
  <si>
    <t>C49SZX20210052JY</t>
  </si>
  <si>
    <t>C49SZX20210083SS</t>
  </si>
  <si>
    <t>世启纳</t>
  </si>
  <si>
    <t>超思维名义下单</t>
  </si>
  <si>
    <t>MVC F&amp;R</t>
  </si>
  <si>
    <t>捷舜诚</t>
  </si>
  <si>
    <t xml:space="preserve">MVC+96 FEEDER PLATE (YSM10) </t>
  </si>
  <si>
    <t>C49SZX20210073AY</t>
  </si>
  <si>
    <t>铣米</t>
  </si>
  <si>
    <t>崧盛</t>
  </si>
  <si>
    <t>C49SZX20210071SS</t>
  </si>
  <si>
    <t>泓凯</t>
  </si>
  <si>
    <t>MAY 21</t>
  </si>
  <si>
    <t>C49SZX20210072SS</t>
  </si>
  <si>
    <t>祥弘瑞</t>
  </si>
  <si>
    <t>C49SZX20200176SX</t>
  </si>
  <si>
    <t>兴开泰</t>
  </si>
  <si>
    <t>锘铧名义下单</t>
  </si>
  <si>
    <t>C49SZX20210015SS</t>
  </si>
  <si>
    <t>保凌</t>
  </si>
  <si>
    <t>C49SZX20210043AY</t>
  </si>
  <si>
    <t>正宏兴</t>
  </si>
  <si>
    <t>泰润</t>
  </si>
  <si>
    <t>Y55432</t>
  </si>
  <si>
    <t>Y55430</t>
  </si>
  <si>
    <t>Y55429</t>
  </si>
  <si>
    <t>狂热者</t>
  </si>
  <si>
    <t>Y55428</t>
  </si>
  <si>
    <t>Y55175</t>
  </si>
  <si>
    <t>Y55169</t>
  </si>
  <si>
    <t>C49SZX20210031SX</t>
  </si>
  <si>
    <t>益田科技</t>
  </si>
  <si>
    <t>Y55168</t>
  </si>
  <si>
    <t>赛美达</t>
  </si>
  <si>
    <t>Y55167</t>
  </si>
  <si>
    <t>Y55166</t>
  </si>
  <si>
    <t>Y55165</t>
  </si>
  <si>
    <t>Y55164</t>
  </si>
  <si>
    <t>品诚伟创</t>
  </si>
  <si>
    <t>Y55162</t>
  </si>
  <si>
    <t>精德鸿名义下单</t>
  </si>
  <si>
    <t>Y55696</t>
  </si>
  <si>
    <t>Y55695</t>
  </si>
  <si>
    <t>Y55694</t>
  </si>
  <si>
    <t>Y55693</t>
  </si>
  <si>
    <t>C49SZX20200248SX</t>
  </si>
  <si>
    <t>悦之彩</t>
  </si>
  <si>
    <t>百益晟</t>
  </si>
  <si>
    <t>Y55172</t>
  </si>
  <si>
    <t>Y55176</t>
  </si>
  <si>
    <t>龙大名义下单</t>
  </si>
  <si>
    <t>YSM40R-4</t>
  </si>
  <si>
    <t>龙大光电</t>
  </si>
  <si>
    <t>平方兆赫名义下单</t>
  </si>
  <si>
    <t>平方兆赫</t>
  </si>
  <si>
    <t>SIGMA-G5S2</t>
  </si>
  <si>
    <t>YSM20WR-2</t>
  </si>
  <si>
    <t>志华鑫名义下单</t>
  </si>
  <si>
    <t>C49SZX20210082MZ</t>
  </si>
  <si>
    <t>C49SZX20210057DZ</t>
  </si>
  <si>
    <t>优品</t>
  </si>
  <si>
    <t>cATS10+MVC+special layout</t>
  </si>
  <si>
    <t>斯迈电子</t>
  </si>
  <si>
    <t>MVC(F&amp;R)+10pallet for cATS10+交换台车</t>
  </si>
  <si>
    <t>嘉裕</t>
  </si>
  <si>
    <t>cATS30+MVC(F&amp;R)+10pallet for cATS30+交换台车</t>
  </si>
  <si>
    <t>海松微</t>
  </si>
  <si>
    <t>利速达</t>
  </si>
  <si>
    <t>优派芯</t>
  </si>
  <si>
    <t>嘉普达</t>
  </si>
  <si>
    <t>Y55407</t>
  </si>
  <si>
    <t>Y55406</t>
  </si>
  <si>
    <t>Y55405</t>
  </si>
  <si>
    <t>Y55404</t>
  </si>
  <si>
    <t>Y55700</t>
  </si>
  <si>
    <t>Y55699</t>
  </si>
  <si>
    <t>Y55402</t>
  </si>
  <si>
    <t>赛维显示</t>
  </si>
  <si>
    <t>cATS10+special layout</t>
  </si>
  <si>
    <t>名商</t>
  </si>
  <si>
    <t>Y55398</t>
  </si>
  <si>
    <t>Y54983</t>
  </si>
  <si>
    <t>C49SZX20200232SX</t>
  </si>
  <si>
    <t>永顺创</t>
  </si>
  <si>
    <t>Y54981</t>
  </si>
  <si>
    <t>Y54979</t>
  </si>
  <si>
    <t>航特</t>
  </si>
  <si>
    <t>Y54978</t>
  </si>
  <si>
    <t>Y54977</t>
  </si>
  <si>
    <t>Y54976</t>
  </si>
  <si>
    <t>Y54975</t>
  </si>
  <si>
    <t>Y55692</t>
  </si>
  <si>
    <t>Y55690</t>
  </si>
  <si>
    <t>Y55689</t>
  </si>
  <si>
    <t>Y55688</t>
  </si>
  <si>
    <t>Y55686</t>
  </si>
  <si>
    <t>吉鑫凯</t>
  </si>
  <si>
    <t>Y55685</t>
  </si>
  <si>
    <t>Y55684</t>
  </si>
  <si>
    <t>C49SZX20200249SX</t>
  </si>
  <si>
    <t>凌鑫</t>
  </si>
  <si>
    <t>Y55683</t>
  </si>
  <si>
    <t>奕东名义下单</t>
  </si>
  <si>
    <t>YSi-V</t>
  </si>
  <si>
    <t>C28SZX20200081KC</t>
  </si>
  <si>
    <t>鸿通宇</t>
  </si>
  <si>
    <t>汇总</t>
  </si>
  <si>
    <t>OCT 22</t>
  </si>
  <si>
    <t>#N/A</t>
  </si>
  <si>
    <t>(空白)</t>
  </si>
  <si>
    <t>NOV 22</t>
  </si>
  <si>
    <t>东莞鸿楠</t>
  </si>
  <si>
    <t>C49SZX20210223MZ</t>
  </si>
  <si>
    <t>辉拓</t>
  </si>
  <si>
    <t>C49SZX20220049JY</t>
  </si>
  <si>
    <t>C49SZX20210169VG</t>
  </si>
  <si>
    <t>总计</t>
  </si>
  <si>
    <t>JAN 23</t>
  </si>
  <si>
    <t>MAR 23</t>
  </si>
  <si>
    <t>FEB 23</t>
  </si>
  <si>
    <t>C49SZX20220130SX</t>
  </si>
  <si>
    <t>SEP 22</t>
  </si>
  <si>
    <t>DEC 22</t>
  </si>
  <si>
    <t>AUG 22</t>
  </si>
  <si>
    <t>永诺精密</t>
  </si>
  <si>
    <t>百纳海</t>
  </si>
  <si>
    <t>C49SZX20220082MX</t>
  </si>
  <si>
    <t>宇翔</t>
  </si>
  <si>
    <t>APR 23</t>
  </si>
  <si>
    <t>C49SZX20220091MZ</t>
  </si>
  <si>
    <t>华烨(end user:华煜）</t>
  </si>
  <si>
    <t>SNFPC-CG-2022-008</t>
  </si>
  <si>
    <t>康佳</t>
  </si>
  <si>
    <t>(多项)</t>
  </si>
  <si>
    <t>计数项:Customer Reserved</t>
  </si>
  <si>
    <t>列标签</t>
  </si>
  <si>
    <t>行标签</t>
  </si>
  <si>
    <t>Item</t>
    <phoneticPr fontId="3" type="noConversion"/>
  </si>
  <si>
    <t>STK</t>
    <phoneticPr fontId="3" type="noConversion"/>
  </si>
  <si>
    <t xml:space="preserve">Incoming </t>
    <phoneticPr fontId="3" type="noConversion"/>
  </si>
  <si>
    <t>Not reserved</t>
    <phoneticPr fontId="3" type="noConversion"/>
  </si>
  <si>
    <t>Reserved</t>
    <phoneticPr fontId="3" type="noConversion"/>
  </si>
  <si>
    <t>Received deposit</t>
    <phoneticPr fontId="3" type="noConversion"/>
  </si>
  <si>
    <t>YSM10</t>
    <phoneticPr fontId="3" type="noConversion"/>
  </si>
  <si>
    <t xml:space="preserve"> </t>
    <phoneticPr fontId="3" type="noConversion"/>
  </si>
  <si>
    <t>YSM20R(SV)-2</t>
    <phoneticPr fontId="3" type="noConversion"/>
  </si>
  <si>
    <t>Total</t>
    <phoneticPr fontId="3" type="noConversion"/>
  </si>
  <si>
    <t xml:space="preserve">YSM 10 </t>
    <phoneticPr fontId="3" type="noConversion"/>
  </si>
  <si>
    <t>South</t>
  </si>
  <si>
    <t>East</t>
  </si>
  <si>
    <t>Reserved</t>
  </si>
  <si>
    <t>Non-Res</t>
  </si>
  <si>
    <t>IN STOCK</t>
  </si>
  <si>
    <t>ETA JUN</t>
  </si>
  <si>
    <t>Total</t>
  </si>
  <si>
    <t>Reserved (stock + incoming)</t>
  </si>
  <si>
    <t>Non-Reserved (stock + incoming)</t>
  </si>
  <si>
    <t>YSM20R</t>
    <phoneticPr fontId="3" type="noConversion"/>
  </si>
  <si>
    <t>YSM20R(SV)-2</t>
  </si>
  <si>
    <t>No mismatch</t>
    <phoneticPr fontId="3" type="noConversion"/>
  </si>
  <si>
    <t>TBA</t>
    <phoneticPr fontId="3" type="noConversion"/>
  </si>
  <si>
    <r>
      <rPr>
        <b/>
        <sz val="8"/>
        <rFont val="Arial Unicode MS"/>
        <family val="2"/>
        <charset val="134"/>
      </rPr>
      <t>序号</t>
    </r>
    <phoneticPr fontId="3" type="noConversion"/>
  </si>
  <si>
    <t xml:space="preserve">Org. </t>
    <phoneticPr fontId="3" type="noConversion"/>
  </si>
  <si>
    <t>PO Number</t>
    <phoneticPr fontId="3" type="noConversion"/>
  </si>
  <si>
    <t>Customer name or STK</t>
    <phoneticPr fontId="3" type="noConversion"/>
  </si>
  <si>
    <t>SN</t>
    <phoneticPr fontId="3" type="noConversion"/>
  </si>
  <si>
    <t>QTY</t>
    <phoneticPr fontId="3" type="noConversion"/>
  </si>
  <si>
    <t>Warehouse</t>
    <phoneticPr fontId="3" type="noConversion"/>
  </si>
  <si>
    <r>
      <t>Rate (JPY/CNY</t>
    </r>
    <r>
      <rPr>
        <b/>
        <sz val="8"/>
        <rFont val="Arial Unicode MS"/>
        <family val="2"/>
        <charset val="134"/>
      </rPr>
      <t>）</t>
    </r>
    <phoneticPr fontId="3" type="noConversion"/>
  </si>
  <si>
    <t>Delivery schedule</t>
    <phoneticPr fontId="3" type="noConversion"/>
  </si>
  <si>
    <r>
      <rPr>
        <b/>
        <sz val="8"/>
        <rFont val="Arial Unicode MS"/>
        <family val="2"/>
        <charset val="134"/>
      </rPr>
      <t>生产日期</t>
    </r>
    <phoneticPr fontId="3" type="noConversion"/>
  </si>
  <si>
    <t>Currency</t>
    <phoneticPr fontId="3" type="noConversion"/>
  </si>
  <si>
    <t>Customer Reserved Contract No.</t>
    <phoneticPr fontId="3" type="noConversion"/>
  </si>
  <si>
    <t>Direction</t>
    <phoneticPr fontId="3" type="noConversion"/>
  </si>
  <si>
    <t>Item w config</t>
    <phoneticPr fontId="3" type="noConversion"/>
  </si>
  <si>
    <t>Delivery  terms</t>
    <phoneticPr fontId="3" type="noConversion"/>
  </si>
  <si>
    <t>Contract date</t>
    <phoneticPr fontId="3" type="noConversion"/>
  </si>
  <si>
    <t>Deposit received?</t>
    <phoneticPr fontId="3" type="noConversion"/>
  </si>
  <si>
    <t>Queuing</t>
    <phoneticPr fontId="3" type="noConversion"/>
  </si>
  <si>
    <r>
      <t xml:space="preserve">stock information </t>
    </r>
    <r>
      <rPr>
        <b/>
        <sz val="8"/>
        <color theme="0"/>
        <rFont val="Arial Unicode MS"/>
        <family val="2"/>
        <charset val="134"/>
      </rPr>
      <t>是否已发</t>
    </r>
    <phoneticPr fontId="3" type="noConversion"/>
  </si>
  <si>
    <r>
      <rPr>
        <sz val="8"/>
        <color theme="1"/>
        <rFont val="Arial Unicode MS"/>
        <family val="2"/>
        <charset val="134"/>
      </rPr>
      <t>随机</t>
    </r>
    <r>
      <rPr>
        <sz val="8"/>
        <color theme="1"/>
        <rFont val="Arial"/>
        <family val="2"/>
      </rPr>
      <t>Nozzle TYPE</t>
    </r>
    <phoneticPr fontId="3" type="noConversion"/>
  </si>
  <si>
    <r>
      <rPr>
        <b/>
        <sz val="8"/>
        <color theme="0"/>
        <rFont val="微软雅黑"/>
        <family val="2"/>
        <charset val="134"/>
      </rPr>
      <t>机器是否有异像，一年内搬动机器</t>
    </r>
    <phoneticPr fontId="3" type="noConversion"/>
  </si>
  <si>
    <r>
      <rPr>
        <sz val="10"/>
        <color theme="1"/>
        <rFont val="Arial Unicode MS"/>
        <family val="2"/>
        <charset val="134"/>
      </rPr>
      <t>已发货</t>
    </r>
  </si>
  <si>
    <t>C49</t>
    <phoneticPr fontId="3" type="noConversion"/>
  </si>
  <si>
    <t>EASTER</t>
    <phoneticPr fontId="3" type="noConversion"/>
  </si>
  <si>
    <t>NO</t>
  </si>
  <si>
    <t>Y44465</t>
    <phoneticPr fontId="3" type="noConversion"/>
  </si>
  <si>
    <r>
      <rPr>
        <sz val="10"/>
        <color theme="1"/>
        <rFont val="Arial Unicode MS"/>
        <family val="2"/>
        <charset val="134"/>
      </rPr>
      <t>福保仓库</t>
    </r>
  </si>
  <si>
    <t>DEC 19</t>
  </si>
  <si>
    <t>C200537294</t>
    <phoneticPr fontId="3" type="noConversion"/>
  </si>
  <si>
    <t>Y44481</t>
    <phoneticPr fontId="3" type="noConversion"/>
  </si>
  <si>
    <t>DEC 18</t>
  </si>
  <si>
    <t>Na</t>
  </si>
  <si>
    <t>Yes</t>
    <phoneticPr fontId="3" type="noConversion"/>
  </si>
  <si>
    <t>MVC+ATS15</t>
    <phoneticPr fontId="3" type="noConversion"/>
  </si>
  <si>
    <t>Y44483</t>
    <phoneticPr fontId="3" type="noConversion"/>
  </si>
  <si>
    <t>Y44464</t>
    <phoneticPr fontId="3" type="noConversion"/>
  </si>
  <si>
    <r>
      <rPr>
        <sz val="10"/>
        <color theme="1"/>
        <rFont val="Arial Unicode MS"/>
        <family val="2"/>
        <charset val="134"/>
      </rPr>
      <t>力合仓库</t>
    </r>
    <r>
      <rPr>
        <sz val="10"/>
        <color theme="1"/>
        <rFont val="Arial"/>
        <family val="2"/>
      </rPr>
      <t>(</t>
    </r>
    <r>
      <rPr>
        <sz val="10"/>
        <color theme="1"/>
        <rFont val="Arial Unicode MS"/>
        <family val="2"/>
        <charset val="134"/>
      </rPr>
      <t>已经清关</t>
    </r>
    <r>
      <rPr>
        <sz val="10"/>
        <color theme="1"/>
        <rFont val="Arial"/>
        <family val="2"/>
      </rPr>
      <t>)</t>
    </r>
  </si>
  <si>
    <t>JAN 19</t>
  </si>
  <si>
    <t>Y45399</t>
    <phoneticPr fontId="3" type="noConversion"/>
  </si>
  <si>
    <t>YSM40R-4</t>
    <phoneticPr fontId="3" type="noConversion"/>
  </si>
  <si>
    <t>Y44467</t>
  </si>
  <si>
    <t>JUL 20</t>
  </si>
  <si>
    <t>C171030457</t>
    <phoneticPr fontId="3" type="noConversion"/>
  </si>
  <si>
    <r>
      <rPr>
        <sz val="10"/>
        <color theme="1"/>
        <rFont val="Arial Unicode MS"/>
        <family val="2"/>
        <charset val="134"/>
      </rPr>
      <t>比泰利</t>
    </r>
    <phoneticPr fontId="3" type="noConversion"/>
  </si>
  <si>
    <t>YS12</t>
  </si>
  <si>
    <t>Y41087</t>
    <phoneticPr fontId="3" type="noConversion"/>
  </si>
  <si>
    <r>
      <t xml:space="preserve">WKK HK </t>
    </r>
    <r>
      <rPr>
        <sz val="10"/>
        <color theme="1"/>
        <rFont val="Arial Unicode MS"/>
        <family val="2"/>
        <charset val="134"/>
      </rPr>
      <t>仓库</t>
    </r>
  </si>
  <si>
    <r>
      <t xml:space="preserve">Wkk </t>
    </r>
    <r>
      <rPr>
        <sz val="10"/>
        <color theme="1"/>
        <rFont val="Arial Unicode MS"/>
        <family val="2"/>
        <charset val="134"/>
      </rPr>
      <t>仓库</t>
    </r>
    <phoneticPr fontId="3" type="noConversion"/>
  </si>
  <si>
    <t>No</t>
    <phoneticPr fontId="3" type="noConversion"/>
  </si>
  <si>
    <t>Y42858</t>
    <phoneticPr fontId="3" type="noConversion"/>
  </si>
  <si>
    <r>
      <rPr>
        <sz val="10"/>
        <color theme="1"/>
        <rFont val="Arial Unicode MS"/>
        <family val="2"/>
        <charset val="134"/>
      </rPr>
      <t>易而达</t>
    </r>
    <phoneticPr fontId="3" type="noConversion"/>
  </si>
  <si>
    <t>Y46512</t>
    <phoneticPr fontId="3" type="noConversion"/>
  </si>
  <si>
    <r>
      <t>CY</t>
    </r>
    <r>
      <rPr>
        <sz val="10"/>
        <color theme="1"/>
        <rFont val="Arial Unicode MS"/>
        <family val="2"/>
        <charset val="134"/>
      </rPr>
      <t>仓库</t>
    </r>
  </si>
  <si>
    <r>
      <rPr>
        <sz val="10"/>
        <color theme="1"/>
        <rFont val="Arial Unicode MS"/>
        <family val="2"/>
        <charset val="134"/>
      </rPr>
      <t>已经发货</t>
    </r>
    <phoneticPr fontId="3" type="noConversion"/>
  </si>
  <si>
    <t>OCT 18</t>
  </si>
  <si>
    <t>Y46511</t>
    <phoneticPr fontId="3" type="noConversion"/>
  </si>
  <si>
    <r>
      <rPr>
        <sz val="10"/>
        <color theme="1"/>
        <rFont val="Arial Unicode MS"/>
        <family val="2"/>
        <charset val="134"/>
      </rPr>
      <t>立昇</t>
    </r>
    <phoneticPr fontId="3" type="noConversion"/>
  </si>
  <si>
    <t>Y45374</t>
    <phoneticPr fontId="3" type="noConversion"/>
  </si>
  <si>
    <t>Y45375</t>
    <phoneticPr fontId="3" type="noConversion"/>
  </si>
  <si>
    <r>
      <rPr>
        <sz val="10"/>
        <color theme="1"/>
        <rFont val="Arial Unicode MS"/>
        <family val="2"/>
        <charset val="134"/>
      </rPr>
      <t>此台机器预留了上海的</t>
    </r>
    <r>
      <rPr>
        <sz val="10"/>
        <color theme="1"/>
        <rFont val="Arial"/>
        <family val="2"/>
      </rPr>
      <t xml:space="preserve">Y48836 </t>
    </r>
    <phoneticPr fontId="3" type="noConversion"/>
  </si>
  <si>
    <t>Y48836</t>
    <phoneticPr fontId="3" type="noConversion"/>
  </si>
  <si>
    <t>SEP 19</t>
  </si>
  <si>
    <t>C170529430</t>
    <phoneticPr fontId="3" type="noConversion"/>
  </si>
  <si>
    <t>YS24X</t>
  </si>
  <si>
    <t>sATSII</t>
  </si>
  <si>
    <t>Y44428</t>
  </si>
  <si>
    <t>JUL 19</t>
  </si>
  <si>
    <t>C180331577</t>
    <phoneticPr fontId="3" type="noConversion"/>
  </si>
  <si>
    <r>
      <rPr>
        <sz val="10"/>
        <color theme="1"/>
        <rFont val="Arial Unicode MS"/>
        <family val="2"/>
        <charset val="134"/>
      </rPr>
      <t>上达</t>
    </r>
    <phoneticPr fontId="3" type="noConversion"/>
  </si>
  <si>
    <t>Y45234</t>
  </si>
  <si>
    <t>Na</t>
    <phoneticPr fontId="3" type="noConversion"/>
  </si>
  <si>
    <t>Y45235</t>
  </si>
  <si>
    <t>Y44479</t>
    <phoneticPr fontId="3" type="noConversion"/>
  </si>
  <si>
    <t>Y44468</t>
    <phoneticPr fontId="3" type="noConversion"/>
  </si>
  <si>
    <t>Y44961</t>
  </si>
  <si>
    <t>MAR 19</t>
  </si>
  <si>
    <t>Y44962</t>
  </si>
  <si>
    <t>Y44960</t>
  </si>
  <si>
    <t>Y44963</t>
  </si>
  <si>
    <t>C181133465</t>
    <phoneticPr fontId="3" type="noConversion"/>
  </si>
  <si>
    <t>SIGMA-G5S2</t>
    <phoneticPr fontId="3" type="noConversion"/>
  </si>
  <si>
    <t>Y44956</t>
  </si>
  <si>
    <t>APR 19</t>
  </si>
  <si>
    <r>
      <rPr>
        <sz val="10"/>
        <color theme="1"/>
        <rFont val="Arial Unicode MS"/>
        <family val="2"/>
        <charset val="134"/>
      </rPr>
      <t>中润互联</t>
    </r>
    <phoneticPr fontId="3" type="noConversion"/>
  </si>
  <si>
    <t>YSM20-2</t>
  </si>
  <si>
    <t>Y44214</t>
    <phoneticPr fontId="3" type="noConversion"/>
  </si>
  <si>
    <t>NOV 18</t>
  </si>
  <si>
    <t>Y46126</t>
  </si>
  <si>
    <r>
      <t>CY</t>
    </r>
    <r>
      <rPr>
        <sz val="10"/>
        <color theme="1"/>
        <rFont val="Arial Unicode MS"/>
        <family val="2"/>
        <charset val="134"/>
      </rPr>
      <t>仓库</t>
    </r>
    <phoneticPr fontId="3" type="noConversion"/>
  </si>
  <si>
    <t>Y46124</t>
  </si>
  <si>
    <t>Y44970</t>
    <phoneticPr fontId="3" type="noConversion"/>
  </si>
  <si>
    <t>Y44971</t>
    <phoneticPr fontId="3" type="noConversion"/>
  </si>
  <si>
    <t>Y44973</t>
    <phoneticPr fontId="3" type="noConversion"/>
  </si>
  <si>
    <t>Y44974</t>
  </si>
  <si>
    <r>
      <rPr>
        <sz val="10"/>
        <color theme="1"/>
        <rFont val="Arial Unicode MS"/>
        <family val="2"/>
        <charset val="134"/>
      </rPr>
      <t>康佳</t>
    </r>
    <phoneticPr fontId="3" type="noConversion"/>
  </si>
  <si>
    <t>Y45141</t>
  </si>
  <si>
    <t>Y45142</t>
  </si>
  <si>
    <t>Y45138</t>
    <phoneticPr fontId="3" type="noConversion"/>
  </si>
  <si>
    <t>Y45140</t>
  </si>
  <si>
    <t>Y45797</t>
  </si>
  <si>
    <t>Y45798</t>
    <phoneticPr fontId="3" type="noConversion"/>
  </si>
  <si>
    <t>Y45799</t>
    <phoneticPr fontId="3" type="noConversion"/>
  </si>
  <si>
    <t xml:space="preserve">Y45139 </t>
  </si>
  <si>
    <t>Y44952</t>
    <phoneticPr fontId="3" type="noConversion"/>
  </si>
  <si>
    <t>FEB 19</t>
  </si>
  <si>
    <t>Y44953</t>
  </si>
  <si>
    <t>Y46111</t>
  </si>
  <si>
    <t>Y46112</t>
  </si>
  <si>
    <t>Y44983</t>
  </si>
  <si>
    <r>
      <t>2019.4.3</t>
    </r>
    <r>
      <rPr>
        <sz val="10"/>
        <color theme="1"/>
        <rFont val="Arial Unicode MS"/>
        <family val="2"/>
        <charset val="134"/>
      </rPr>
      <t>拖</t>
    </r>
    <r>
      <rPr>
        <sz val="10"/>
        <color theme="1"/>
        <rFont val="Arial"/>
        <family val="2"/>
      </rPr>
      <t>CY</t>
    </r>
  </si>
  <si>
    <t>Y44984</t>
    <phoneticPr fontId="3" type="noConversion"/>
  </si>
  <si>
    <t>Y44985</t>
  </si>
  <si>
    <r>
      <t xml:space="preserve">Yes end user </t>
    </r>
    <r>
      <rPr>
        <sz val="10"/>
        <color theme="1"/>
        <rFont val="Arial Unicode MS"/>
        <family val="2"/>
        <charset val="134"/>
      </rPr>
      <t>拓普塞特</t>
    </r>
    <phoneticPr fontId="3" type="noConversion"/>
  </si>
  <si>
    <t>Y44986</t>
  </si>
  <si>
    <t>C180131261</t>
    <phoneticPr fontId="3" type="noConversion"/>
  </si>
  <si>
    <t>Y44979</t>
  </si>
  <si>
    <t>Y44981</t>
  </si>
  <si>
    <t>Y44980</t>
    <phoneticPr fontId="3" type="noConversion"/>
  </si>
  <si>
    <t>Y44982</t>
  </si>
  <si>
    <t>Y44975</t>
  </si>
  <si>
    <t>Y44976</t>
  </si>
  <si>
    <t>Y44977</t>
  </si>
  <si>
    <t>MAY 19</t>
  </si>
  <si>
    <r>
      <t xml:space="preserve">Yes,end user </t>
    </r>
    <r>
      <rPr>
        <sz val="10"/>
        <color theme="1"/>
        <rFont val="Arial Unicode MS"/>
        <family val="2"/>
        <charset val="134"/>
      </rPr>
      <t>昶达</t>
    </r>
    <phoneticPr fontId="3" type="noConversion"/>
  </si>
  <si>
    <t>Y44978</t>
  </si>
  <si>
    <t>Y46673</t>
    <phoneticPr fontId="3" type="noConversion"/>
  </si>
  <si>
    <t>Y46674</t>
  </si>
  <si>
    <r>
      <rPr>
        <sz val="10"/>
        <color theme="1"/>
        <rFont val="Arial Unicode MS"/>
        <family val="2"/>
        <charset val="134"/>
      </rPr>
      <t>永顺创</t>
    </r>
    <phoneticPr fontId="3" type="noConversion"/>
  </si>
  <si>
    <t>Y46418</t>
    <phoneticPr fontId="3" type="noConversion"/>
  </si>
  <si>
    <r>
      <rPr>
        <sz val="10"/>
        <color theme="1"/>
        <rFont val="Arial Unicode MS"/>
        <family val="2"/>
        <charset val="134"/>
      </rPr>
      <t>码头</t>
    </r>
  </si>
  <si>
    <r>
      <t>OEF</t>
    </r>
    <r>
      <rPr>
        <sz val="8"/>
        <color theme="1"/>
        <rFont val="Arial Unicode MS"/>
        <family val="2"/>
        <charset val="134"/>
      </rPr>
      <t>已做</t>
    </r>
    <phoneticPr fontId="3" type="noConversion"/>
  </si>
  <si>
    <t>Y46419</t>
    <phoneticPr fontId="3" type="noConversion"/>
  </si>
  <si>
    <r>
      <rPr>
        <sz val="10"/>
        <color theme="1"/>
        <rFont val="Arial Unicode MS"/>
        <family val="2"/>
        <charset val="134"/>
      </rPr>
      <t>亿联</t>
    </r>
    <phoneticPr fontId="3" type="noConversion"/>
  </si>
  <si>
    <t>Y45637</t>
    <phoneticPr fontId="3" type="noConversion"/>
  </si>
  <si>
    <t>Y45638</t>
    <phoneticPr fontId="3" type="noConversion"/>
  </si>
  <si>
    <r>
      <rPr>
        <sz val="10"/>
        <color theme="1"/>
        <rFont val="Arial Unicode MS"/>
        <family val="2"/>
        <charset val="134"/>
      </rPr>
      <t>英拓邦</t>
    </r>
    <phoneticPr fontId="3" type="noConversion"/>
  </si>
  <si>
    <t>Y45850</t>
    <phoneticPr fontId="3" type="noConversion"/>
  </si>
  <si>
    <t>C190935664</t>
    <phoneticPr fontId="3" type="noConversion"/>
  </si>
  <si>
    <t>Y45851</t>
  </si>
  <si>
    <t>C190434452</t>
    <phoneticPr fontId="3" type="noConversion"/>
  </si>
  <si>
    <t>Y45751</t>
    <phoneticPr fontId="3" type="noConversion"/>
  </si>
  <si>
    <t>C180331587</t>
    <phoneticPr fontId="3" type="noConversion"/>
  </si>
  <si>
    <t>Y45752</t>
    <phoneticPr fontId="3" type="noConversion"/>
  </si>
  <si>
    <r>
      <rPr>
        <sz val="9"/>
        <color theme="1"/>
        <rFont val="Arial Unicode MS"/>
        <family val="2"/>
        <charset val="134"/>
      </rPr>
      <t>咸阳宇迪</t>
    </r>
    <phoneticPr fontId="3" type="noConversion"/>
  </si>
  <si>
    <t>Y45753</t>
    <phoneticPr fontId="3" type="noConversion"/>
  </si>
  <si>
    <t>JUN 19</t>
  </si>
  <si>
    <t>C111110870</t>
    <phoneticPr fontId="3" type="noConversion"/>
  </si>
  <si>
    <t>Y45754</t>
    <phoneticPr fontId="3" type="noConversion"/>
  </si>
  <si>
    <t>C180131115</t>
    <phoneticPr fontId="3" type="noConversion"/>
  </si>
  <si>
    <t>Y45755</t>
    <phoneticPr fontId="3" type="noConversion"/>
  </si>
  <si>
    <t>Y45756</t>
    <phoneticPr fontId="3" type="noConversion"/>
  </si>
  <si>
    <t>C181233636</t>
    <phoneticPr fontId="3" type="noConversion"/>
  </si>
  <si>
    <t>YS24</t>
  </si>
  <si>
    <t>Y45172</t>
    <phoneticPr fontId="3" type="noConversion"/>
  </si>
  <si>
    <r>
      <rPr>
        <sz val="10"/>
        <color theme="1"/>
        <rFont val="Arial Unicode MS"/>
        <family val="2"/>
        <charset val="134"/>
      </rPr>
      <t>前海福源</t>
    </r>
    <r>
      <rPr>
        <sz val="10"/>
        <color theme="1"/>
        <rFont val="Arial"/>
        <family val="2"/>
      </rPr>
      <t xml:space="preserve"> </t>
    </r>
    <phoneticPr fontId="3" type="noConversion"/>
  </si>
  <si>
    <t>Y45171</t>
    <phoneticPr fontId="3" type="noConversion"/>
  </si>
  <si>
    <r>
      <rPr>
        <sz val="8"/>
        <color theme="1"/>
        <rFont val="Arial Unicode MS"/>
        <family val="2"/>
        <charset val="134"/>
      </rPr>
      <t>此台机器做了</t>
    </r>
    <r>
      <rPr>
        <sz val="8"/>
        <color theme="1"/>
        <rFont val="Arial"/>
        <family val="2"/>
      </rPr>
      <t>OEF</t>
    </r>
    <r>
      <rPr>
        <sz val="8"/>
        <color theme="1"/>
        <rFont val="Arial Unicode MS"/>
        <family val="2"/>
        <charset val="134"/>
      </rPr>
      <t>（鼎鸿</t>
    </r>
    <r>
      <rPr>
        <sz val="8"/>
        <color theme="1"/>
        <rFont val="Arial"/>
        <family val="2"/>
      </rPr>
      <t>20180033GL</t>
    </r>
    <r>
      <rPr>
        <sz val="8"/>
        <color theme="1"/>
        <rFont val="Arial Unicode MS"/>
        <family val="2"/>
        <charset val="134"/>
      </rPr>
      <t>）</t>
    </r>
    <phoneticPr fontId="3" type="noConversion"/>
  </si>
  <si>
    <t>Y45170</t>
    <phoneticPr fontId="3" type="noConversion"/>
  </si>
  <si>
    <t>AUG 19</t>
  </si>
  <si>
    <t>C180331607</t>
    <phoneticPr fontId="3" type="noConversion"/>
  </si>
  <si>
    <t>Y45169</t>
    <phoneticPr fontId="3" type="noConversion"/>
  </si>
  <si>
    <t>Y45174</t>
    <phoneticPr fontId="3" type="noConversion"/>
  </si>
  <si>
    <t>Y45173</t>
    <phoneticPr fontId="3" type="noConversion"/>
  </si>
  <si>
    <t>Y45802</t>
    <phoneticPr fontId="3" type="noConversion"/>
  </si>
  <si>
    <r>
      <rPr>
        <sz val="10"/>
        <rFont val="Arial Unicode MS"/>
        <family val="2"/>
        <charset val="134"/>
      </rPr>
      <t>上达名义</t>
    </r>
    <phoneticPr fontId="3" type="noConversion"/>
  </si>
  <si>
    <t>Y45144</t>
    <phoneticPr fontId="3" type="noConversion"/>
  </si>
  <si>
    <r>
      <t>CY</t>
    </r>
    <r>
      <rPr>
        <sz val="10"/>
        <rFont val="Arial Unicode MS"/>
        <family val="2"/>
        <charset val="134"/>
      </rPr>
      <t>仓库</t>
    </r>
  </si>
  <si>
    <t>Y46177</t>
    <phoneticPr fontId="3" type="noConversion"/>
  </si>
  <si>
    <t>Y45145</t>
    <phoneticPr fontId="3" type="noConversion"/>
  </si>
  <si>
    <t>Y45796</t>
    <phoneticPr fontId="3" type="noConversion"/>
  </si>
  <si>
    <t>Y45800</t>
    <phoneticPr fontId="3" type="noConversion"/>
  </si>
  <si>
    <t>Y45801</t>
    <phoneticPr fontId="3" type="noConversion"/>
  </si>
  <si>
    <t>Y45758</t>
  </si>
  <si>
    <t>C180532090</t>
    <phoneticPr fontId="3" type="noConversion"/>
  </si>
  <si>
    <r>
      <t xml:space="preserve">MVC+Rear </t>
    </r>
    <r>
      <rPr>
        <sz val="10"/>
        <color theme="1"/>
        <rFont val="Arial Unicode MS"/>
        <family val="2"/>
        <charset val="134"/>
      </rPr>
      <t>站位</t>
    </r>
  </si>
  <si>
    <t>Y45759</t>
    <phoneticPr fontId="3" type="noConversion"/>
  </si>
  <si>
    <t>C120111315</t>
    <phoneticPr fontId="3" type="noConversion"/>
  </si>
  <si>
    <t>Y45763</t>
  </si>
  <si>
    <r>
      <rPr>
        <sz val="10"/>
        <color theme="1"/>
        <rFont val="Arial Unicode MS"/>
        <family val="2"/>
        <charset val="134"/>
      </rPr>
      <t>盐保仓库</t>
    </r>
  </si>
  <si>
    <t>Y45764</t>
  </si>
  <si>
    <t>C190434453</t>
    <phoneticPr fontId="3" type="noConversion"/>
  </si>
  <si>
    <t>Y45765</t>
  </si>
  <si>
    <t>C180431966</t>
    <phoneticPr fontId="3" type="noConversion"/>
  </si>
  <si>
    <t>Y45766</t>
  </si>
  <si>
    <t>C120111425</t>
    <phoneticPr fontId="3" type="noConversion"/>
  </si>
  <si>
    <t>Y45760</t>
  </si>
  <si>
    <t>na</t>
    <phoneticPr fontId="3" type="noConversion"/>
  </si>
  <si>
    <t>Y45761</t>
  </si>
  <si>
    <t>Y45762</t>
    <phoneticPr fontId="3" type="noConversion"/>
  </si>
  <si>
    <t>C150122206</t>
    <phoneticPr fontId="3" type="noConversion"/>
  </si>
  <si>
    <t>Y45177</t>
    <phoneticPr fontId="3" type="noConversion"/>
  </si>
  <si>
    <t>Y45165</t>
    <phoneticPr fontId="3" type="noConversion"/>
  </si>
  <si>
    <t>Y45166</t>
    <phoneticPr fontId="3" type="noConversion"/>
  </si>
  <si>
    <t>Y45156</t>
    <phoneticPr fontId="3" type="noConversion"/>
  </si>
  <si>
    <t>Y45159</t>
    <phoneticPr fontId="3" type="noConversion"/>
  </si>
  <si>
    <r>
      <rPr>
        <sz val="10"/>
        <color theme="1"/>
        <rFont val="Arial Unicode MS"/>
        <family val="2"/>
        <charset val="134"/>
      </rPr>
      <t>朗特名义</t>
    </r>
    <phoneticPr fontId="3" type="noConversion"/>
  </si>
  <si>
    <t>Y44944</t>
    <phoneticPr fontId="3" type="noConversion"/>
  </si>
  <si>
    <r>
      <rPr>
        <sz val="8"/>
        <color theme="1"/>
        <rFont val="Arial Unicode MS"/>
        <family val="2"/>
        <charset val="134"/>
      </rPr>
      <t>此台机器做了</t>
    </r>
    <r>
      <rPr>
        <sz val="8"/>
        <color theme="1"/>
        <rFont val="Arial"/>
        <family val="2"/>
      </rPr>
      <t>OEF</t>
    </r>
    <r>
      <rPr>
        <sz val="8"/>
        <color theme="1"/>
        <rFont val="Arial Unicode MS"/>
        <family val="2"/>
        <charset val="134"/>
      </rPr>
      <t>（朗特</t>
    </r>
    <r>
      <rPr>
        <sz val="8"/>
        <color theme="1"/>
        <rFont val="Arial"/>
        <family val="2"/>
      </rPr>
      <t>20180078DZ</t>
    </r>
    <r>
      <rPr>
        <sz val="8"/>
        <color theme="1"/>
        <rFont val="Arial Unicode MS"/>
        <family val="2"/>
        <charset val="134"/>
      </rPr>
      <t>）</t>
    </r>
    <phoneticPr fontId="3" type="noConversion"/>
  </si>
  <si>
    <t>Y44945</t>
    <phoneticPr fontId="3" type="noConversion"/>
  </si>
  <si>
    <t>Y45178</t>
    <phoneticPr fontId="3" type="noConversion"/>
  </si>
  <si>
    <r>
      <rPr>
        <sz val="8"/>
        <color theme="1"/>
        <rFont val="Arial Unicode MS"/>
        <family val="2"/>
        <charset val="134"/>
      </rPr>
      <t>此台机器做了</t>
    </r>
    <r>
      <rPr>
        <sz val="8"/>
        <color theme="1"/>
        <rFont val="Arial"/>
        <family val="2"/>
      </rPr>
      <t>OEF</t>
    </r>
    <r>
      <rPr>
        <sz val="8"/>
        <color theme="1"/>
        <rFont val="Arial Unicode MS"/>
        <family val="2"/>
        <charset val="134"/>
      </rPr>
      <t>（恒润</t>
    </r>
    <r>
      <rPr>
        <sz val="8"/>
        <color theme="1"/>
        <rFont val="Arial"/>
        <family val="2"/>
      </rPr>
      <t>20180105JY</t>
    </r>
    <r>
      <rPr>
        <sz val="8"/>
        <color theme="1"/>
        <rFont val="Arial Unicode MS"/>
        <family val="2"/>
        <charset val="134"/>
      </rPr>
      <t>）</t>
    </r>
    <phoneticPr fontId="3" type="noConversion"/>
  </si>
  <si>
    <r>
      <rPr>
        <sz val="10"/>
        <color theme="1"/>
        <rFont val="Arial Unicode MS"/>
        <family val="2"/>
        <charset val="134"/>
      </rPr>
      <t>英拓邦名义</t>
    </r>
    <phoneticPr fontId="3" type="noConversion"/>
  </si>
  <si>
    <t>Y45853</t>
    <phoneticPr fontId="3" type="noConversion"/>
  </si>
  <si>
    <t>Y45852</t>
    <phoneticPr fontId="3" type="noConversion"/>
  </si>
  <si>
    <t>yes</t>
    <phoneticPr fontId="3" type="noConversion"/>
  </si>
  <si>
    <r>
      <rPr>
        <sz val="10"/>
        <color theme="1"/>
        <rFont val="Arial Unicode MS"/>
        <family val="2"/>
        <charset val="134"/>
      </rPr>
      <t>小耳朵名义，</t>
    </r>
    <r>
      <rPr>
        <sz val="10"/>
        <color theme="1"/>
        <rFont val="Arial"/>
        <family val="2"/>
      </rPr>
      <t>IND</t>
    </r>
    <phoneticPr fontId="3" type="noConversion"/>
  </si>
  <si>
    <t>cATS30+MVC+special layout</t>
  </si>
  <si>
    <t>Y46916</t>
    <phoneticPr fontId="3" type="noConversion"/>
  </si>
  <si>
    <t>IND order</t>
    <phoneticPr fontId="3" type="noConversion"/>
  </si>
  <si>
    <t>Y44946</t>
    <phoneticPr fontId="3" type="noConversion"/>
  </si>
  <si>
    <t>Y44947</t>
    <phoneticPr fontId="3" type="noConversion"/>
  </si>
  <si>
    <t>Y45803</t>
    <phoneticPr fontId="3" type="noConversion"/>
  </si>
  <si>
    <t>Y45804</t>
    <phoneticPr fontId="3" type="noConversion"/>
  </si>
  <si>
    <t>Y45805</t>
    <phoneticPr fontId="3" type="noConversion"/>
  </si>
  <si>
    <r>
      <rPr>
        <sz val="10"/>
        <color theme="1"/>
        <rFont val="Arial Unicode MS"/>
        <family val="2"/>
        <charset val="134"/>
      </rPr>
      <t>易而达名义</t>
    </r>
    <phoneticPr fontId="3" type="noConversion"/>
  </si>
  <si>
    <t>Y46530</t>
    <phoneticPr fontId="3" type="noConversion"/>
  </si>
  <si>
    <t>OCT 19</t>
  </si>
  <si>
    <t>C190835446</t>
    <phoneticPr fontId="3" type="noConversion"/>
  </si>
  <si>
    <t>Y46529</t>
    <phoneticPr fontId="3" type="noConversion"/>
  </si>
  <si>
    <r>
      <rPr>
        <sz val="10"/>
        <rFont val="Arial Unicode MS"/>
        <family val="2"/>
        <charset val="134"/>
      </rPr>
      <t>丰硕名义</t>
    </r>
    <phoneticPr fontId="3" type="noConversion"/>
  </si>
  <si>
    <t>Y44573</t>
    <phoneticPr fontId="3" type="noConversion"/>
  </si>
  <si>
    <r>
      <rPr>
        <sz val="10"/>
        <color theme="1"/>
        <rFont val="Arial Unicode MS"/>
        <family val="2"/>
        <charset val="134"/>
      </rPr>
      <t>丰硕名义</t>
    </r>
    <phoneticPr fontId="3" type="noConversion"/>
  </si>
  <si>
    <t>Y44574</t>
    <phoneticPr fontId="3" type="noConversion"/>
  </si>
  <si>
    <t>Y44571</t>
    <phoneticPr fontId="3" type="noConversion"/>
  </si>
  <si>
    <t>Y44572</t>
    <phoneticPr fontId="3" type="noConversion"/>
  </si>
  <si>
    <t>Y45143</t>
    <phoneticPr fontId="3" type="noConversion"/>
  </si>
  <si>
    <r>
      <rPr>
        <sz val="10"/>
        <color theme="1"/>
        <rFont val="Arial Unicode MS"/>
        <family val="2"/>
        <charset val="134"/>
      </rPr>
      <t>上达名义</t>
    </r>
    <phoneticPr fontId="3" type="noConversion"/>
  </si>
  <si>
    <t>Y45146</t>
    <phoneticPr fontId="3" type="noConversion"/>
  </si>
  <si>
    <t>Y45147</t>
    <phoneticPr fontId="3" type="noConversion"/>
  </si>
  <si>
    <r>
      <rPr>
        <sz val="10"/>
        <color theme="1"/>
        <rFont val="Arial Unicode MS"/>
        <family val="2"/>
        <charset val="134"/>
      </rPr>
      <t>安嘉名义</t>
    </r>
    <phoneticPr fontId="3" type="noConversion"/>
  </si>
  <si>
    <t>Y46853</t>
    <phoneticPr fontId="3" type="noConversion"/>
  </si>
  <si>
    <t>Y46852</t>
    <phoneticPr fontId="3" type="noConversion"/>
  </si>
  <si>
    <r>
      <rPr>
        <sz val="10"/>
        <color theme="1"/>
        <rFont val="Arial Unicode MS"/>
        <family val="2"/>
        <charset val="134"/>
      </rPr>
      <t>栩骊名义</t>
    </r>
    <phoneticPr fontId="3" type="noConversion"/>
  </si>
  <si>
    <t>Y45093</t>
    <phoneticPr fontId="3" type="noConversion"/>
  </si>
  <si>
    <t>C181233616</t>
    <phoneticPr fontId="3" type="noConversion"/>
  </si>
  <si>
    <r>
      <rPr>
        <sz val="9"/>
        <color theme="1"/>
        <rFont val="Arial Unicode MS"/>
        <family val="2"/>
        <charset val="134"/>
      </rPr>
      <t>浙江金子星</t>
    </r>
    <phoneticPr fontId="3" type="noConversion"/>
  </si>
  <si>
    <t>Y45087</t>
    <phoneticPr fontId="3" type="noConversion"/>
  </si>
  <si>
    <r>
      <rPr>
        <sz val="10"/>
        <color theme="1"/>
        <rFont val="Arial Unicode MS"/>
        <family val="2"/>
        <charset val="134"/>
      </rPr>
      <t>力合中转仓</t>
    </r>
  </si>
  <si>
    <t xml:space="preserve">Na </t>
    <phoneticPr fontId="3" type="noConversion"/>
  </si>
  <si>
    <t>C191035928</t>
    <phoneticPr fontId="3" type="noConversion"/>
  </si>
  <si>
    <t>Y45090</t>
    <phoneticPr fontId="3" type="noConversion"/>
  </si>
  <si>
    <t>Y45091</t>
    <phoneticPr fontId="3" type="noConversion"/>
  </si>
  <si>
    <t>Y45092</t>
    <phoneticPr fontId="3" type="noConversion"/>
  </si>
  <si>
    <t>Y45086</t>
    <phoneticPr fontId="3" type="noConversion"/>
  </si>
  <si>
    <t>Y46872</t>
    <phoneticPr fontId="3" type="noConversion"/>
  </si>
  <si>
    <t>NOV 19</t>
  </si>
  <si>
    <t>C190133789</t>
    <phoneticPr fontId="3" type="noConversion"/>
  </si>
  <si>
    <t>Y45089</t>
    <phoneticPr fontId="3" type="noConversion"/>
  </si>
  <si>
    <t>Y45094</t>
    <phoneticPr fontId="3" type="noConversion"/>
  </si>
  <si>
    <r>
      <rPr>
        <sz val="10"/>
        <color theme="1"/>
        <rFont val="Arial Unicode MS"/>
        <family val="2"/>
        <charset val="134"/>
      </rPr>
      <t>瑞福联名义</t>
    </r>
    <phoneticPr fontId="3" type="noConversion"/>
  </si>
  <si>
    <t>Y46848</t>
    <phoneticPr fontId="3" type="noConversion"/>
  </si>
  <si>
    <t>Y46849</t>
    <phoneticPr fontId="3" type="noConversion"/>
  </si>
  <si>
    <t>Y46850</t>
  </si>
  <si>
    <t>Y46851</t>
  </si>
  <si>
    <r>
      <rPr>
        <sz val="10"/>
        <color theme="1"/>
        <rFont val="Arial Unicode MS"/>
        <family val="2"/>
        <charset val="134"/>
      </rPr>
      <t>深台名义</t>
    </r>
    <phoneticPr fontId="3" type="noConversion"/>
  </si>
  <si>
    <t>Y45958</t>
    <phoneticPr fontId="3" type="noConversion"/>
  </si>
  <si>
    <r>
      <rPr>
        <sz val="10"/>
        <color theme="1"/>
        <rFont val="Arial Unicode MS"/>
        <family val="2"/>
        <charset val="134"/>
      </rPr>
      <t>立昇名义</t>
    </r>
    <phoneticPr fontId="3" type="noConversion"/>
  </si>
  <si>
    <t>Y45376</t>
    <phoneticPr fontId="3" type="noConversion"/>
  </si>
  <si>
    <t>Y45377</t>
    <phoneticPr fontId="3" type="noConversion"/>
  </si>
  <si>
    <r>
      <rPr>
        <sz val="10"/>
        <color theme="1"/>
        <rFont val="Arial Unicode MS"/>
        <family val="2"/>
        <charset val="134"/>
      </rPr>
      <t>通通旺名义</t>
    </r>
    <phoneticPr fontId="3" type="noConversion"/>
  </si>
  <si>
    <t>Y46846</t>
    <phoneticPr fontId="3" type="noConversion"/>
  </si>
  <si>
    <t>Y46847</t>
    <phoneticPr fontId="3" type="noConversion"/>
  </si>
  <si>
    <t>Y47271</t>
    <phoneticPr fontId="3" type="noConversion"/>
  </si>
  <si>
    <t>Y47279</t>
    <phoneticPr fontId="3" type="noConversion"/>
  </si>
  <si>
    <t>Y47272</t>
    <phoneticPr fontId="3" type="noConversion"/>
  </si>
  <si>
    <t>Y47273</t>
    <phoneticPr fontId="3" type="noConversion"/>
  </si>
  <si>
    <t>Y47274</t>
    <phoneticPr fontId="3" type="noConversion"/>
  </si>
  <si>
    <t>MVC+Fixed feeder plate 24 positions</t>
  </si>
  <si>
    <t>Y47280</t>
    <phoneticPr fontId="3" type="noConversion"/>
  </si>
  <si>
    <t>Y47281</t>
    <phoneticPr fontId="3" type="noConversion"/>
  </si>
  <si>
    <t>Y47275</t>
    <phoneticPr fontId="3" type="noConversion"/>
  </si>
  <si>
    <t>Y47276</t>
    <phoneticPr fontId="3" type="noConversion"/>
  </si>
  <si>
    <t>Y47277</t>
    <phoneticPr fontId="3" type="noConversion"/>
  </si>
  <si>
    <t>Y47278</t>
    <phoneticPr fontId="3" type="noConversion"/>
  </si>
  <si>
    <r>
      <t>BBS</t>
    </r>
    <r>
      <rPr>
        <sz val="10"/>
        <color theme="1"/>
        <rFont val="Arial Unicode MS"/>
        <family val="2"/>
        <charset val="134"/>
      </rPr>
      <t>名义下单</t>
    </r>
    <phoneticPr fontId="3" type="noConversion"/>
  </si>
  <si>
    <t>Y46160</t>
    <phoneticPr fontId="3" type="noConversion"/>
  </si>
  <si>
    <t>Y46161</t>
    <phoneticPr fontId="3" type="noConversion"/>
  </si>
  <si>
    <t>C150523509</t>
    <phoneticPr fontId="3" type="noConversion"/>
  </si>
  <si>
    <t>Y46159</t>
    <phoneticPr fontId="3" type="noConversion"/>
  </si>
  <si>
    <t>Y46162</t>
    <phoneticPr fontId="3" type="noConversion"/>
  </si>
  <si>
    <t>Y46163</t>
    <phoneticPr fontId="3" type="noConversion"/>
  </si>
  <si>
    <t>C190534655</t>
    <phoneticPr fontId="3" type="noConversion"/>
  </si>
  <si>
    <t>Y46164</t>
    <phoneticPr fontId="3" type="noConversion"/>
  </si>
  <si>
    <t>Y46165</t>
    <phoneticPr fontId="3" type="noConversion"/>
  </si>
  <si>
    <t>Y46166</t>
    <phoneticPr fontId="3" type="noConversion"/>
  </si>
  <si>
    <t>Y46167</t>
    <phoneticPr fontId="3" type="noConversion"/>
  </si>
  <si>
    <t>C141021043</t>
    <phoneticPr fontId="3" type="noConversion"/>
  </si>
  <si>
    <t>Y46168</t>
    <phoneticPr fontId="3" type="noConversion"/>
  </si>
  <si>
    <r>
      <rPr>
        <sz val="10"/>
        <rFont val="Arial Unicode MS"/>
        <family val="2"/>
        <charset val="134"/>
      </rPr>
      <t>拓普艾名义</t>
    </r>
    <phoneticPr fontId="3" type="noConversion"/>
  </si>
  <si>
    <t>Y45688</t>
    <phoneticPr fontId="3" type="noConversion"/>
  </si>
  <si>
    <t>Y45689</t>
    <phoneticPr fontId="3" type="noConversion"/>
  </si>
  <si>
    <r>
      <rPr>
        <sz val="9"/>
        <color theme="1"/>
        <rFont val="Arial Unicode MS"/>
        <family val="2"/>
        <charset val="134"/>
      </rPr>
      <t>浙江金子星</t>
    </r>
    <r>
      <rPr>
        <sz val="9"/>
        <color theme="1"/>
        <rFont val="Arial"/>
        <family val="2"/>
      </rPr>
      <t>-1</t>
    </r>
    <phoneticPr fontId="3" type="noConversion"/>
  </si>
  <si>
    <t>YCP10</t>
  </si>
  <si>
    <t>Y47728</t>
    <phoneticPr fontId="3" type="noConversion"/>
  </si>
  <si>
    <t>Y47729</t>
    <phoneticPr fontId="3" type="noConversion"/>
  </si>
  <si>
    <t>APR 20</t>
  </si>
  <si>
    <t>C200336888</t>
    <phoneticPr fontId="3" type="noConversion"/>
  </si>
  <si>
    <r>
      <rPr>
        <sz val="10"/>
        <color theme="1"/>
        <rFont val="Arial Unicode MS"/>
        <family val="2"/>
        <charset val="134"/>
      </rPr>
      <t>拓普艾名义</t>
    </r>
    <phoneticPr fontId="3" type="noConversion"/>
  </si>
  <si>
    <t>Y45690</t>
    <phoneticPr fontId="3" type="noConversion"/>
  </si>
  <si>
    <r>
      <t xml:space="preserve">C190434540, </t>
    </r>
    <r>
      <rPr>
        <sz val="10"/>
        <color theme="1"/>
        <rFont val="Arial Unicode MS"/>
        <family val="2"/>
        <charset val="134"/>
      </rPr>
      <t>前海福源</t>
    </r>
    <phoneticPr fontId="3" type="noConversion"/>
  </si>
  <si>
    <t>Y45691</t>
    <phoneticPr fontId="3" type="noConversion"/>
  </si>
  <si>
    <t>Y46281</t>
    <phoneticPr fontId="3" type="noConversion"/>
  </si>
  <si>
    <t>C180532243</t>
    <phoneticPr fontId="3" type="noConversion"/>
  </si>
  <si>
    <t>Y46275</t>
    <phoneticPr fontId="3" type="noConversion"/>
  </si>
  <si>
    <t>C180231291</t>
    <phoneticPr fontId="3" type="noConversion"/>
  </si>
  <si>
    <t>Y46272</t>
    <phoneticPr fontId="3" type="noConversion"/>
  </si>
  <si>
    <t>C190133876</t>
    <phoneticPr fontId="3" type="noConversion"/>
  </si>
  <si>
    <t>Y46273</t>
    <phoneticPr fontId="3" type="noConversion"/>
  </si>
  <si>
    <t>Y46274</t>
    <phoneticPr fontId="3" type="noConversion"/>
  </si>
  <si>
    <t>Y46277</t>
    <phoneticPr fontId="3" type="noConversion"/>
  </si>
  <si>
    <t>C180331720</t>
    <phoneticPr fontId="3" type="noConversion"/>
  </si>
  <si>
    <t>Y46280</t>
    <phoneticPr fontId="3" type="noConversion"/>
  </si>
  <si>
    <t>C190634898</t>
    <phoneticPr fontId="3" type="noConversion"/>
  </si>
  <si>
    <t>Y46276</t>
    <phoneticPr fontId="3" type="noConversion"/>
  </si>
  <si>
    <t>C4910434452</t>
    <phoneticPr fontId="3" type="noConversion"/>
  </si>
  <si>
    <t>Y46278</t>
    <phoneticPr fontId="3" type="noConversion"/>
  </si>
  <si>
    <t>C171030541</t>
    <phoneticPr fontId="3" type="noConversion"/>
  </si>
  <si>
    <t>Y46279</t>
    <phoneticPr fontId="3" type="noConversion"/>
  </si>
  <si>
    <r>
      <rPr>
        <sz val="10"/>
        <color theme="1"/>
        <rFont val="Arial Unicode MS"/>
        <family val="2"/>
        <charset val="134"/>
      </rPr>
      <t>龙腾名义</t>
    </r>
    <phoneticPr fontId="3" type="noConversion"/>
  </si>
  <si>
    <t>Y45340</t>
    <phoneticPr fontId="3" type="noConversion"/>
  </si>
  <si>
    <t>Y45794</t>
    <phoneticPr fontId="3" type="noConversion"/>
  </si>
  <si>
    <t>Y45341</t>
    <phoneticPr fontId="3" type="noConversion"/>
  </si>
  <si>
    <t>Y45792</t>
    <phoneticPr fontId="3" type="noConversion"/>
  </si>
  <si>
    <t>Y45793</t>
    <phoneticPr fontId="3" type="noConversion"/>
  </si>
  <si>
    <t>C180732678</t>
    <phoneticPr fontId="3" type="noConversion"/>
  </si>
  <si>
    <r>
      <t xml:space="preserve">Yamaha </t>
    </r>
    <r>
      <rPr>
        <sz val="10"/>
        <color theme="1"/>
        <rFont val="Arial Unicode MS"/>
        <family val="2"/>
        <charset val="134"/>
      </rPr>
      <t>归还</t>
    </r>
    <phoneticPr fontId="3" type="noConversion"/>
  </si>
  <si>
    <t xml:space="preserve">Yamaha </t>
    <phoneticPr fontId="3" type="noConversion"/>
  </si>
  <si>
    <t>Y46227</t>
    <phoneticPr fontId="3" type="noConversion"/>
  </si>
  <si>
    <r>
      <rPr>
        <sz val="10"/>
        <color theme="1"/>
        <rFont val="Arial Unicode MS"/>
        <family val="2"/>
        <charset val="134"/>
      </rPr>
      <t>亿联名义</t>
    </r>
    <phoneticPr fontId="3" type="noConversion"/>
  </si>
  <si>
    <t>Y45639</t>
    <phoneticPr fontId="3" type="noConversion"/>
  </si>
  <si>
    <t>C190935541</t>
    <phoneticPr fontId="3" type="noConversion"/>
  </si>
  <si>
    <t>Y45640</t>
    <phoneticPr fontId="3" type="noConversion"/>
  </si>
  <si>
    <t>C170629716</t>
    <phoneticPr fontId="3" type="noConversion"/>
  </si>
  <si>
    <t>Y45641</t>
    <phoneticPr fontId="3" type="noConversion"/>
  </si>
  <si>
    <t>Na</t>
    <phoneticPr fontId="12" type="noConversion"/>
  </si>
  <si>
    <t>C190534702</t>
    <phoneticPr fontId="3" type="noConversion"/>
  </si>
  <si>
    <t>Y45642</t>
    <phoneticPr fontId="3" type="noConversion"/>
  </si>
  <si>
    <r>
      <rPr>
        <sz val="10"/>
        <color theme="1"/>
        <rFont val="Arial Unicode MS"/>
        <family val="2"/>
        <charset val="134"/>
      </rPr>
      <t>永顺创名义</t>
    </r>
    <phoneticPr fontId="3" type="noConversion"/>
  </si>
  <si>
    <t>Y47328</t>
    <phoneticPr fontId="3" type="noConversion"/>
  </si>
  <si>
    <t>C190434451</t>
    <phoneticPr fontId="3" type="noConversion"/>
  </si>
  <si>
    <t>Y47327</t>
    <phoneticPr fontId="3" type="noConversion"/>
  </si>
  <si>
    <t>Y47329</t>
    <phoneticPr fontId="3" type="noConversion"/>
  </si>
  <si>
    <t>C190735084</t>
    <phoneticPr fontId="3" type="noConversion"/>
  </si>
  <si>
    <t>Y48037</t>
    <phoneticPr fontId="3" type="noConversion"/>
  </si>
  <si>
    <t>C190735079</t>
    <phoneticPr fontId="3" type="noConversion"/>
  </si>
  <si>
    <t>Y48035</t>
    <phoneticPr fontId="3" type="noConversion"/>
  </si>
  <si>
    <r>
      <rPr>
        <sz val="10"/>
        <color theme="1"/>
        <rFont val="Arial Unicode MS"/>
        <family val="2"/>
        <charset val="134"/>
      </rPr>
      <t>盐保仓库</t>
    </r>
    <r>
      <rPr>
        <sz val="10"/>
        <color theme="1"/>
        <rFont val="Arial"/>
        <family val="2"/>
      </rPr>
      <t>-&gt;</t>
    </r>
    <r>
      <rPr>
        <sz val="10"/>
        <color theme="1"/>
        <rFont val="Arial Unicode MS"/>
        <family val="2"/>
        <charset val="134"/>
      </rPr>
      <t>准备清关</t>
    </r>
  </si>
  <si>
    <t>C190935620</t>
    <phoneticPr fontId="3" type="noConversion"/>
  </si>
  <si>
    <t>Y48036</t>
    <phoneticPr fontId="3" type="noConversion"/>
  </si>
  <si>
    <t>Y48038</t>
    <phoneticPr fontId="3" type="noConversion"/>
  </si>
  <si>
    <t>Y48039</t>
    <phoneticPr fontId="3" type="noConversion"/>
  </si>
  <si>
    <t>Y48040</t>
    <phoneticPr fontId="3" type="noConversion"/>
  </si>
  <si>
    <t>Y48041</t>
    <phoneticPr fontId="3" type="noConversion"/>
  </si>
  <si>
    <t>Y48042</t>
    <phoneticPr fontId="3" type="noConversion"/>
  </si>
  <si>
    <t>C190133805</t>
    <phoneticPr fontId="3" type="noConversion"/>
  </si>
  <si>
    <t>Y48044</t>
    <phoneticPr fontId="3" type="noConversion"/>
  </si>
  <si>
    <t>C190234048</t>
    <phoneticPr fontId="3" type="noConversion"/>
  </si>
  <si>
    <t>Y48043</t>
    <phoneticPr fontId="3" type="noConversion"/>
  </si>
  <si>
    <r>
      <rPr>
        <sz val="10"/>
        <color theme="1"/>
        <rFont val="Arial Unicode MS"/>
        <family val="2"/>
        <charset val="134"/>
      </rPr>
      <t>魔乐视名义</t>
    </r>
    <phoneticPr fontId="3" type="noConversion"/>
  </si>
  <si>
    <t>Y48162</t>
    <phoneticPr fontId="3" type="noConversion"/>
  </si>
  <si>
    <t>Special price</t>
    <phoneticPr fontId="3" type="noConversion"/>
  </si>
  <si>
    <t>Y48171</t>
  </si>
  <si>
    <t>C161128121</t>
    <phoneticPr fontId="3" type="noConversion"/>
  </si>
  <si>
    <t>Y48172</t>
  </si>
  <si>
    <t>Y48175</t>
  </si>
  <si>
    <t>Y48176</t>
  </si>
  <si>
    <t>C190534573</t>
    <phoneticPr fontId="3" type="noConversion"/>
  </si>
  <si>
    <t>Y48178</t>
  </si>
  <si>
    <t>Y48160</t>
    <phoneticPr fontId="3" type="noConversion"/>
  </si>
  <si>
    <t>Y48161</t>
    <phoneticPr fontId="3" type="noConversion"/>
  </si>
  <si>
    <t>Y48173</t>
  </si>
  <si>
    <t>Y48174</t>
  </si>
  <si>
    <t>Y48179</t>
  </si>
  <si>
    <t>Y48180</t>
    <phoneticPr fontId="3" type="noConversion"/>
  </si>
  <si>
    <t>Y48177</t>
  </si>
  <si>
    <r>
      <t>IND,WKK</t>
    </r>
    <r>
      <rPr>
        <sz val="10"/>
        <color theme="1"/>
        <rFont val="Arial Unicode MS"/>
        <family val="2"/>
        <charset val="134"/>
      </rPr>
      <t>（</t>
    </r>
    <r>
      <rPr>
        <sz val="10"/>
        <color theme="1"/>
        <rFont val="Arial"/>
        <family val="2"/>
      </rPr>
      <t xml:space="preserve">End user </t>
    </r>
    <r>
      <rPr>
        <sz val="10"/>
        <color theme="1"/>
        <rFont val="Arial Unicode MS"/>
        <family val="2"/>
        <charset val="134"/>
      </rPr>
      <t>崧盛）</t>
    </r>
    <phoneticPr fontId="3" type="noConversion"/>
  </si>
  <si>
    <t>Y43839</t>
    <phoneticPr fontId="3" type="noConversion"/>
  </si>
  <si>
    <r>
      <t xml:space="preserve">WKK HK </t>
    </r>
    <r>
      <rPr>
        <sz val="10"/>
        <color theme="1"/>
        <rFont val="Arial Unicode MS"/>
        <family val="2"/>
        <charset val="134"/>
      </rPr>
      <t>仓库</t>
    </r>
    <phoneticPr fontId="3" type="noConversion"/>
  </si>
  <si>
    <t>C190635053</t>
    <phoneticPr fontId="3" type="noConversion"/>
  </si>
  <si>
    <t>Y43840</t>
    <phoneticPr fontId="3" type="noConversion"/>
  </si>
  <si>
    <r>
      <t>Y48293</t>
    </r>
    <r>
      <rPr>
        <sz val="10"/>
        <color theme="1"/>
        <rFont val="Arial Unicode MS"/>
        <family val="2"/>
        <charset val="134"/>
      </rPr>
      <t>（此台机运输中有碰撞</t>
    </r>
    <r>
      <rPr>
        <sz val="10"/>
        <color theme="1"/>
        <rFont val="Arial"/>
        <family val="2"/>
      </rPr>
      <t>)</t>
    </r>
    <phoneticPr fontId="3" type="noConversion"/>
  </si>
  <si>
    <t>1</t>
    <phoneticPr fontId="3" type="noConversion"/>
  </si>
  <si>
    <r>
      <t xml:space="preserve">Yamaha Demo </t>
    </r>
    <r>
      <rPr>
        <sz val="10"/>
        <color theme="1"/>
        <rFont val="Arial Unicode MS"/>
        <family val="2"/>
        <charset val="134"/>
      </rPr>
      <t>中心</t>
    </r>
  </si>
  <si>
    <t>Y48291</t>
    <phoneticPr fontId="3" type="noConversion"/>
  </si>
  <si>
    <t>C4190334188</t>
    <phoneticPr fontId="3" type="noConversion"/>
  </si>
  <si>
    <t>Special package</t>
    <phoneticPr fontId="3" type="noConversion"/>
  </si>
  <si>
    <t>Y48547</t>
    <phoneticPr fontId="3" type="noConversion"/>
  </si>
  <si>
    <t>Y48295</t>
  </si>
  <si>
    <t>Y48296</t>
  </si>
  <si>
    <t>Y48297</t>
  </si>
  <si>
    <t>Y48288</t>
  </si>
  <si>
    <t>Y48289</t>
  </si>
  <si>
    <t>Y48290</t>
  </si>
  <si>
    <t>Y48292</t>
  </si>
  <si>
    <t>Y48502</t>
    <phoneticPr fontId="3" type="noConversion"/>
  </si>
  <si>
    <t>C11048457</t>
    <phoneticPr fontId="3" type="noConversion"/>
  </si>
  <si>
    <t>Y48499</t>
    <phoneticPr fontId="3" type="noConversion"/>
  </si>
  <si>
    <t>C190735184</t>
    <phoneticPr fontId="3" type="noConversion"/>
  </si>
  <si>
    <t>Y48504</t>
    <phoneticPr fontId="3" type="noConversion"/>
  </si>
  <si>
    <t>Y48294</t>
  </si>
  <si>
    <t>C190534797</t>
    <phoneticPr fontId="3" type="noConversion"/>
  </si>
  <si>
    <t>Y48509</t>
    <phoneticPr fontId="3" type="noConversion"/>
  </si>
  <si>
    <r>
      <rPr>
        <sz val="10"/>
        <color theme="1"/>
        <rFont val="Arial Unicode MS"/>
        <family val="2"/>
        <charset val="134"/>
      </rPr>
      <t>辉记中转仓</t>
    </r>
  </si>
  <si>
    <t>C190935542</t>
    <phoneticPr fontId="3" type="noConversion"/>
  </si>
  <si>
    <t>Y48549</t>
    <phoneticPr fontId="3" type="noConversion"/>
  </si>
  <si>
    <t>Y48550</t>
    <phoneticPr fontId="3" type="noConversion"/>
  </si>
  <si>
    <t>C190534660</t>
    <phoneticPr fontId="3" type="noConversion"/>
  </si>
  <si>
    <t>Y48508</t>
    <phoneticPr fontId="3" type="noConversion"/>
  </si>
  <si>
    <t>Y48506</t>
    <phoneticPr fontId="3" type="noConversion"/>
  </si>
  <si>
    <t>Y48510</t>
    <phoneticPr fontId="3" type="noConversion"/>
  </si>
  <si>
    <t>C190835457</t>
    <phoneticPr fontId="3" type="noConversion"/>
  </si>
  <si>
    <t>Y48511</t>
    <phoneticPr fontId="3" type="noConversion"/>
  </si>
  <si>
    <t>C191035983</t>
    <phoneticPr fontId="3" type="noConversion"/>
  </si>
  <si>
    <t>Y48546</t>
    <phoneticPr fontId="3" type="noConversion"/>
  </si>
  <si>
    <t>C191035936</t>
    <phoneticPr fontId="3" type="noConversion"/>
  </si>
  <si>
    <t>Y48512</t>
    <phoneticPr fontId="3" type="noConversion"/>
  </si>
  <si>
    <t>C170929728</t>
    <phoneticPr fontId="3" type="noConversion"/>
  </si>
  <si>
    <r>
      <rPr>
        <sz val="10"/>
        <color theme="1"/>
        <rFont val="Arial Unicode MS"/>
        <family val="2"/>
        <charset val="134"/>
      </rPr>
      <t>长沙健科名义</t>
    </r>
    <phoneticPr fontId="3" type="noConversion"/>
  </si>
  <si>
    <t>Y48648</t>
    <phoneticPr fontId="3" type="noConversion"/>
  </si>
  <si>
    <t xml:space="preserve">IND order </t>
    <phoneticPr fontId="3" type="noConversion"/>
  </si>
  <si>
    <t>Y48548</t>
    <phoneticPr fontId="3" type="noConversion"/>
  </si>
  <si>
    <t>C191035869</t>
    <phoneticPr fontId="3" type="noConversion"/>
  </si>
  <si>
    <t>Y48513</t>
    <phoneticPr fontId="3" type="noConversion"/>
  </si>
  <si>
    <r>
      <t xml:space="preserve">IND,APT </t>
    </r>
    <r>
      <rPr>
        <sz val="10"/>
        <color theme="1"/>
        <rFont val="Arial Unicode MS"/>
        <family val="2"/>
        <charset val="134"/>
      </rPr>
      <t>名义</t>
    </r>
    <phoneticPr fontId="3" type="noConversion"/>
  </si>
  <si>
    <t>Y48792</t>
    <phoneticPr fontId="3" type="noConversion"/>
  </si>
  <si>
    <t>Y48793</t>
    <phoneticPr fontId="3" type="noConversion"/>
  </si>
  <si>
    <t>Y48463</t>
    <phoneticPr fontId="3" type="noConversion"/>
  </si>
  <si>
    <t>C190434540</t>
    <phoneticPr fontId="3" type="noConversion"/>
  </si>
  <si>
    <t>Y48459</t>
    <phoneticPr fontId="3" type="noConversion"/>
  </si>
  <si>
    <t>Y48461</t>
    <phoneticPr fontId="3" type="noConversion"/>
  </si>
  <si>
    <t>Y48462</t>
    <phoneticPr fontId="3" type="noConversion"/>
  </si>
  <si>
    <t>Y48465</t>
    <phoneticPr fontId="3" type="noConversion"/>
  </si>
  <si>
    <t>Y48467</t>
    <phoneticPr fontId="3" type="noConversion"/>
  </si>
  <si>
    <t>C190935701</t>
    <phoneticPr fontId="3" type="noConversion"/>
  </si>
  <si>
    <t>Y48464</t>
    <phoneticPr fontId="3" type="noConversion"/>
  </si>
  <si>
    <t>Y48468</t>
    <phoneticPr fontId="3" type="noConversion"/>
  </si>
  <si>
    <t>C190735224</t>
    <phoneticPr fontId="3" type="noConversion"/>
  </si>
  <si>
    <t>Y48460</t>
  </si>
  <si>
    <t>C190935643</t>
    <phoneticPr fontId="3" type="noConversion"/>
  </si>
  <si>
    <t>Y48466</t>
    <phoneticPr fontId="3" type="noConversion"/>
  </si>
  <si>
    <r>
      <t xml:space="preserve">IND, </t>
    </r>
    <r>
      <rPr>
        <sz val="10"/>
        <color theme="1"/>
        <rFont val="Arial Unicode MS"/>
        <family val="2"/>
        <charset val="134"/>
      </rPr>
      <t>科士达</t>
    </r>
    <phoneticPr fontId="3" type="noConversion"/>
  </si>
  <si>
    <t>YSD</t>
  </si>
  <si>
    <t>Y48943</t>
    <phoneticPr fontId="3" type="noConversion"/>
  </si>
  <si>
    <t>Y48797</t>
    <phoneticPr fontId="3" type="noConversion"/>
  </si>
  <si>
    <t>C190735272</t>
    <phoneticPr fontId="3" type="noConversion"/>
  </si>
  <si>
    <t>Y48798</t>
    <phoneticPr fontId="3" type="noConversion"/>
  </si>
  <si>
    <t>Y48771</t>
    <phoneticPr fontId="3" type="noConversion"/>
  </si>
  <si>
    <t>Y48772</t>
    <phoneticPr fontId="3" type="noConversion"/>
  </si>
  <si>
    <t>Y48769</t>
    <phoneticPr fontId="3" type="noConversion"/>
  </si>
  <si>
    <t>Y48800</t>
    <phoneticPr fontId="3" type="noConversion"/>
  </si>
  <si>
    <t>Y48799</t>
    <phoneticPr fontId="3" type="noConversion"/>
  </si>
  <si>
    <t>Y48802</t>
    <phoneticPr fontId="3" type="noConversion"/>
  </si>
  <si>
    <r>
      <rPr>
        <sz val="9"/>
        <color theme="1"/>
        <rFont val="Arial Unicode MS"/>
        <family val="2"/>
        <charset val="134"/>
      </rPr>
      <t>福建泉盛</t>
    </r>
    <phoneticPr fontId="3" type="noConversion"/>
  </si>
  <si>
    <t>Y48770</t>
    <phoneticPr fontId="3" type="noConversion"/>
  </si>
  <si>
    <t>C190334217</t>
    <phoneticPr fontId="3" type="noConversion"/>
  </si>
  <si>
    <t>Y48801</t>
    <phoneticPr fontId="3" type="noConversion"/>
  </si>
  <si>
    <t>Y49277</t>
    <phoneticPr fontId="3" type="noConversion"/>
  </si>
  <si>
    <t>Y49276</t>
    <phoneticPr fontId="3" type="noConversion"/>
  </si>
  <si>
    <t>Y49190</t>
    <phoneticPr fontId="3" type="noConversion"/>
  </si>
  <si>
    <t>Y49189</t>
    <phoneticPr fontId="3" type="noConversion"/>
  </si>
  <si>
    <t>Y49188</t>
    <phoneticPr fontId="3" type="noConversion"/>
  </si>
  <si>
    <t>C180732624</t>
    <phoneticPr fontId="3" type="noConversion"/>
  </si>
  <si>
    <t>HM5</t>
  </si>
  <si>
    <t>Y49191</t>
    <phoneticPr fontId="3" type="noConversion"/>
  </si>
  <si>
    <t>Fixed feeder plate 24 positions</t>
    <phoneticPr fontId="3" type="noConversion"/>
  </si>
  <si>
    <t>Y49192</t>
    <phoneticPr fontId="3" type="noConversion"/>
  </si>
  <si>
    <t>C170930284</t>
    <phoneticPr fontId="3" type="noConversion"/>
  </si>
  <si>
    <t>Y49187</t>
    <phoneticPr fontId="3" type="noConversion"/>
  </si>
  <si>
    <t>C170729777</t>
    <phoneticPr fontId="3" type="noConversion"/>
  </si>
  <si>
    <t>Y49251</t>
    <phoneticPr fontId="3" type="noConversion"/>
  </si>
  <si>
    <t>Y49250</t>
    <phoneticPr fontId="3" type="noConversion"/>
  </si>
  <si>
    <t>Y49260</t>
    <phoneticPr fontId="3" type="noConversion"/>
  </si>
  <si>
    <t>JAN 20</t>
  </si>
  <si>
    <r>
      <t>C161128121,</t>
    </r>
    <r>
      <rPr>
        <sz val="10"/>
        <color theme="1"/>
        <rFont val="Arial Unicode MS"/>
        <family val="2"/>
        <charset val="134"/>
      </rPr>
      <t>货实际送给锘铧客户</t>
    </r>
    <phoneticPr fontId="3" type="noConversion"/>
  </si>
  <si>
    <t>Y49252</t>
    <phoneticPr fontId="3" type="noConversion"/>
  </si>
  <si>
    <t>C190935522</t>
    <phoneticPr fontId="3" type="noConversion"/>
  </si>
  <si>
    <t>Y49258</t>
    <phoneticPr fontId="3" type="noConversion"/>
  </si>
  <si>
    <t>C190434446</t>
    <phoneticPr fontId="3" type="noConversion"/>
  </si>
  <si>
    <t>Y49259</t>
    <phoneticPr fontId="3" type="noConversion"/>
  </si>
  <si>
    <t>Y49068</t>
    <phoneticPr fontId="3" type="noConversion"/>
  </si>
  <si>
    <r>
      <t xml:space="preserve">No mismatch  </t>
    </r>
    <r>
      <rPr>
        <sz val="8"/>
        <color rgb="FFFF0000"/>
        <rFont val="Arial Unicode MS"/>
        <family val="2"/>
        <charset val="134"/>
      </rPr>
      <t>（</t>
    </r>
    <r>
      <rPr>
        <sz val="8"/>
        <color rgb="FFFF0000"/>
        <rFont val="Arial"/>
        <family val="2"/>
      </rPr>
      <t>Cooper rate:0.0676)</t>
    </r>
    <phoneticPr fontId="3" type="noConversion"/>
  </si>
  <si>
    <t>C191236410</t>
    <phoneticPr fontId="3" type="noConversion"/>
  </si>
  <si>
    <t>Y49070</t>
  </si>
  <si>
    <t>Y49071</t>
  </si>
  <si>
    <t>Y49069</t>
    <phoneticPr fontId="3" type="noConversion"/>
  </si>
  <si>
    <t>Y49322</t>
    <phoneticPr fontId="3" type="noConversion"/>
  </si>
  <si>
    <t>Y49323</t>
    <phoneticPr fontId="3" type="noConversion"/>
  </si>
  <si>
    <r>
      <rPr>
        <sz val="10"/>
        <color theme="1"/>
        <rFont val="Arial Unicode MS"/>
        <family val="2"/>
        <charset val="134"/>
      </rPr>
      <t>码头</t>
    </r>
    <r>
      <rPr>
        <sz val="10"/>
        <color theme="1"/>
        <rFont val="Arial"/>
        <family val="2"/>
      </rPr>
      <t>-&gt;</t>
    </r>
    <r>
      <rPr>
        <sz val="10"/>
        <color theme="1"/>
        <rFont val="Arial Unicode MS"/>
        <family val="2"/>
        <charset val="134"/>
      </rPr>
      <t>准备清关</t>
    </r>
  </si>
  <si>
    <t>C191035866</t>
    <phoneticPr fontId="3" type="noConversion"/>
  </si>
  <si>
    <t>Y49361</t>
    <phoneticPr fontId="3" type="noConversion"/>
  </si>
  <si>
    <t>Y49362</t>
    <phoneticPr fontId="3" type="noConversion"/>
  </si>
  <si>
    <t>Y49363</t>
    <phoneticPr fontId="3" type="noConversion"/>
  </si>
  <si>
    <t>Y49364</t>
    <phoneticPr fontId="3" type="noConversion"/>
  </si>
  <si>
    <r>
      <rPr>
        <sz val="10"/>
        <rFont val="Arial Unicode MS"/>
        <family val="2"/>
        <charset val="134"/>
      </rPr>
      <t>已发货</t>
    </r>
  </si>
  <si>
    <t>Y49324</t>
    <phoneticPr fontId="3" type="noConversion"/>
  </si>
  <si>
    <r>
      <rPr>
        <sz val="10"/>
        <rFont val="Arial Unicode MS"/>
        <family val="2"/>
        <charset val="134"/>
      </rPr>
      <t>锘铧清关，送宽宏</t>
    </r>
  </si>
  <si>
    <t>C190634944</t>
    <phoneticPr fontId="3" type="noConversion"/>
  </si>
  <si>
    <t>Y49326</t>
    <phoneticPr fontId="3" type="noConversion"/>
  </si>
  <si>
    <t>Y49255</t>
    <phoneticPr fontId="3" type="noConversion"/>
  </si>
  <si>
    <t>C191136234</t>
    <phoneticPr fontId="3" type="noConversion"/>
  </si>
  <si>
    <t>Y49256</t>
    <phoneticPr fontId="3" type="noConversion"/>
  </si>
  <si>
    <t>Y49257</t>
    <phoneticPr fontId="3" type="noConversion"/>
  </si>
  <si>
    <t>Y49311</t>
    <phoneticPr fontId="3" type="noConversion"/>
  </si>
  <si>
    <t>C180131071</t>
    <phoneticPr fontId="3" type="noConversion"/>
  </si>
  <si>
    <t>Y49312</t>
    <phoneticPr fontId="3" type="noConversion"/>
  </si>
  <si>
    <t>Y49313</t>
    <phoneticPr fontId="3" type="noConversion"/>
  </si>
  <si>
    <t>Y49327</t>
    <phoneticPr fontId="3" type="noConversion"/>
  </si>
  <si>
    <t>C190634955</t>
    <phoneticPr fontId="3" type="noConversion"/>
  </si>
  <si>
    <t>Y49314</t>
    <phoneticPr fontId="3" type="noConversion"/>
  </si>
  <si>
    <t>C190434487</t>
    <phoneticPr fontId="3" type="noConversion"/>
  </si>
  <si>
    <t>Y49325</t>
    <phoneticPr fontId="3" type="noConversion"/>
  </si>
  <si>
    <t>C180431770</t>
    <phoneticPr fontId="3" type="noConversion"/>
  </si>
  <si>
    <t>Y49253</t>
    <phoneticPr fontId="3" type="noConversion"/>
  </si>
  <si>
    <t>C191136061</t>
    <phoneticPr fontId="3" type="noConversion"/>
  </si>
  <si>
    <t>Y49254</t>
    <phoneticPr fontId="3" type="noConversion"/>
  </si>
  <si>
    <t>Y49584</t>
    <phoneticPr fontId="3" type="noConversion"/>
  </si>
  <si>
    <t>Y49585</t>
    <phoneticPr fontId="3" type="noConversion"/>
  </si>
  <si>
    <t>Y49586</t>
    <phoneticPr fontId="3" type="noConversion"/>
  </si>
  <si>
    <t>Y49587</t>
    <phoneticPr fontId="3" type="noConversion"/>
  </si>
  <si>
    <t>Y49588</t>
    <phoneticPr fontId="3" type="noConversion"/>
  </si>
  <si>
    <t>Y49589</t>
    <phoneticPr fontId="3" type="noConversion"/>
  </si>
  <si>
    <r>
      <rPr>
        <sz val="10"/>
        <color theme="1"/>
        <rFont val="Arial Unicode MS"/>
        <family val="2"/>
        <charset val="134"/>
      </rPr>
      <t>博星名义下单</t>
    </r>
    <phoneticPr fontId="3" type="noConversion"/>
  </si>
  <si>
    <t>Y49696</t>
    <phoneticPr fontId="3" type="noConversion"/>
  </si>
  <si>
    <t>C200337005</t>
    <phoneticPr fontId="3" type="noConversion"/>
  </si>
  <si>
    <t>Y49694</t>
    <phoneticPr fontId="3" type="noConversion"/>
  </si>
  <si>
    <r>
      <rPr>
        <sz val="10"/>
        <color theme="1"/>
        <rFont val="Arial Unicode MS"/>
        <family val="2"/>
        <charset val="134"/>
      </rPr>
      <t>力合仓库有货，系统没货</t>
    </r>
  </si>
  <si>
    <t>MAR 20</t>
  </si>
  <si>
    <t>C200136543</t>
    <phoneticPr fontId="3" type="noConversion"/>
  </si>
  <si>
    <t>Y49700</t>
    <phoneticPr fontId="3" type="noConversion"/>
  </si>
  <si>
    <r>
      <t xml:space="preserve">   NM(CR:0.0657)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 xml:space="preserve">PO#109750         </t>
    </r>
    <phoneticPr fontId="3" type="noConversion"/>
  </si>
  <si>
    <t>FEB 20</t>
  </si>
  <si>
    <t>Y49697</t>
    <phoneticPr fontId="3" type="noConversion"/>
  </si>
  <si>
    <t>Y49695</t>
    <phoneticPr fontId="3" type="noConversion"/>
  </si>
  <si>
    <t>Y49693</t>
    <phoneticPr fontId="3" type="noConversion"/>
  </si>
  <si>
    <t>Y49698</t>
    <phoneticPr fontId="3" type="noConversion"/>
  </si>
  <si>
    <t>Y49699</t>
    <phoneticPr fontId="3" type="noConversion"/>
  </si>
  <si>
    <t>Y49758</t>
    <phoneticPr fontId="3" type="noConversion"/>
  </si>
  <si>
    <t>Y49759</t>
    <phoneticPr fontId="3" type="noConversion"/>
  </si>
  <si>
    <r>
      <t>0.0654(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PO#109759)</t>
    </r>
    <phoneticPr fontId="3" type="noConversion"/>
  </si>
  <si>
    <t>Y49761</t>
    <phoneticPr fontId="3" type="noConversion"/>
  </si>
  <si>
    <t>Y49760</t>
    <phoneticPr fontId="3" type="noConversion"/>
  </si>
  <si>
    <r>
      <rPr>
        <sz val="10"/>
        <color theme="1"/>
        <rFont val="Arial Unicode MS"/>
        <family val="2"/>
        <charset val="134"/>
      </rPr>
      <t>锘铧清关，送宽宏</t>
    </r>
  </si>
  <si>
    <r>
      <t>C190636944.</t>
    </r>
    <r>
      <rPr>
        <sz val="10"/>
        <color theme="1"/>
        <rFont val="Arial Unicode MS"/>
        <family val="2"/>
        <charset val="134"/>
      </rPr>
      <t>实际送货给宽宏客户</t>
    </r>
    <phoneticPr fontId="3" type="noConversion"/>
  </si>
  <si>
    <r>
      <rPr>
        <sz val="10"/>
        <color theme="1"/>
        <rFont val="Arial Unicode MS"/>
        <family val="2"/>
        <charset val="134"/>
      </rPr>
      <t>锘铧名义下单</t>
    </r>
    <phoneticPr fontId="3" type="noConversion"/>
  </si>
  <si>
    <t>Y49849</t>
    <phoneticPr fontId="3" type="noConversion"/>
  </si>
  <si>
    <r>
      <t>NM(CR:0.0655</t>
    </r>
    <r>
      <rPr>
        <sz val="8"/>
        <color rgb="FFFF0000"/>
        <rFont val="Arial Unicode MS"/>
        <family val="2"/>
        <charset val="134"/>
      </rPr>
      <t>）价格用</t>
    </r>
    <r>
      <rPr>
        <sz val="8"/>
        <color rgb="FFFF0000"/>
        <rFont val="Arial"/>
        <family val="2"/>
      </rPr>
      <t>PO#109774</t>
    </r>
    <phoneticPr fontId="3" type="noConversion"/>
  </si>
  <si>
    <t>C200336922</t>
    <phoneticPr fontId="3" type="noConversion"/>
  </si>
  <si>
    <t>Y49839</t>
    <phoneticPr fontId="3" type="noConversion"/>
  </si>
  <si>
    <t>C180933040</t>
    <phoneticPr fontId="3" type="noConversion"/>
  </si>
  <si>
    <r>
      <rPr>
        <sz val="10"/>
        <color theme="1"/>
        <rFont val="Arial Unicode MS"/>
        <family val="2"/>
        <charset val="134"/>
      </rPr>
      <t>灿明名义下单</t>
    </r>
    <phoneticPr fontId="3" type="noConversion"/>
  </si>
  <si>
    <t>Y49990</t>
  </si>
  <si>
    <r>
      <t>NM(CR:0.0658</t>
    </r>
    <r>
      <rPr>
        <sz val="8"/>
        <color theme="1"/>
        <rFont val="Arial Unicode MS"/>
        <family val="2"/>
        <charset val="134"/>
      </rPr>
      <t>）价格用</t>
    </r>
    <r>
      <rPr>
        <sz val="8"/>
        <color theme="1"/>
        <rFont val="Arial"/>
        <family val="2"/>
      </rPr>
      <t>PO#109820</t>
    </r>
    <phoneticPr fontId="3" type="noConversion"/>
  </si>
  <si>
    <t>Y49842</t>
    <phoneticPr fontId="3" type="noConversion"/>
  </si>
  <si>
    <r>
      <rPr>
        <sz val="10"/>
        <color theme="1"/>
        <rFont val="Arial Unicode MS"/>
        <family val="2"/>
        <charset val="134"/>
      </rPr>
      <t>力合仓库</t>
    </r>
    <r>
      <rPr>
        <sz val="10"/>
        <color theme="1"/>
        <rFont val="Arial"/>
        <family val="2"/>
      </rPr>
      <t>(</t>
    </r>
    <r>
      <rPr>
        <sz val="10"/>
        <color theme="1"/>
        <rFont val="Arial Unicode MS"/>
        <family val="2"/>
        <charset val="134"/>
      </rPr>
      <t>已经清关</t>
    </r>
    <r>
      <rPr>
        <sz val="10"/>
        <color theme="1"/>
        <rFont val="Arial"/>
        <family val="2"/>
      </rPr>
      <t>)</t>
    </r>
    <phoneticPr fontId="3" type="noConversion"/>
  </si>
  <si>
    <t>C191136156</t>
    <phoneticPr fontId="3" type="noConversion"/>
  </si>
  <si>
    <t>Y49848</t>
    <phoneticPr fontId="3" type="noConversion"/>
  </si>
  <si>
    <r>
      <t xml:space="preserve">   NM(CR:0.0657)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 xml:space="preserve">PO#109750  </t>
    </r>
    <phoneticPr fontId="3" type="noConversion"/>
  </si>
  <si>
    <t>Y49858</t>
    <phoneticPr fontId="3" type="noConversion"/>
  </si>
  <si>
    <r>
      <t>NM(CR:0.0657</t>
    </r>
    <r>
      <rPr>
        <sz val="8"/>
        <color theme="1"/>
        <rFont val="Arial Unicode MS"/>
        <family val="2"/>
        <charset val="134"/>
      </rPr>
      <t>）</t>
    </r>
    <phoneticPr fontId="3" type="noConversion"/>
  </si>
  <si>
    <t>MAY 20</t>
  </si>
  <si>
    <t>Y49859</t>
    <phoneticPr fontId="3" type="noConversion"/>
  </si>
  <si>
    <r>
      <rPr>
        <sz val="10"/>
        <color theme="1"/>
        <rFont val="Arial Unicode MS"/>
        <family val="2"/>
        <charset val="134"/>
      </rPr>
      <t>华日仓库中转</t>
    </r>
  </si>
  <si>
    <t>C200437240</t>
    <phoneticPr fontId="3" type="noConversion"/>
  </si>
  <si>
    <t>Y49860</t>
    <phoneticPr fontId="3" type="noConversion"/>
  </si>
  <si>
    <t>C180832783</t>
    <phoneticPr fontId="3" type="noConversion"/>
  </si>
  <si>
    <t>Y49850</t>
    <phoneticPr fontId="3" type="noConversion"/>
  </si>
  <si>
    <t>C191236378</t>
    <phoneticPr fontId="3" type="noConversion"/>
  </si>
  <si>
    <t>Y49851</t>
    <phoneticPr fontId="3" type="noConversion"/>
  </si>
  <si>
    <t>Y49852</t>
    <phoneticPr fontId="3" type="noConversion"/>
  </si>
  <si>
    <t>C200336874</t>
    <phoneticPr fontId="3" type="noConversion"/>
  </si>
  <si>
    <t>Y49856</t>
    <phoneticPr fontId="3" type="noConversion"/>
  </si>
  <si>
    <r>
      <t>NM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PO#109783)</t>
    </r>
    <phoneticPr fontId="3" type="noConversion"/>
  </si>
  <si>
    <t>C191236445</t>
    <phoneticPr fontId="3" type="noConversion"/>
  </si>
  <si>
    <t>Y49857</t>
    <phoneticPr fontId="3" type="noConversion"/>
  </si>
  <si>
    <t>Y49837</t>
    <phoneticPr fontId="3" type="noConversion"/>
  </si>
  <si>
    <t>C180933045</t>
    <phoneticPr fontId="3" type="noConversion"/>
  </si>
  <si>
    <t>Y49838</t>
    <phoneticPr fontId="3" type="noConversion"/>
  </si>
  <si>
    <t>C191236282</t>
    <phoneticPr fontId="3" type="noConversion"/>
  </si>
  <si>
    <t>Y49853</t>
    <phoneticPr fontId="3" type="noConversion"/>
  </si>
  <si>
    <r>
      <t>NM(CR:0.0657</t>
    </r>
    <r>
      <rPr>
        <sz val="8"/>
        <color rgb="FFFF0000"/>
        <rFont val="Arial Unicode MS"/>
        <family val="2"/>
        <charset val="134"/>
      </rPr>
      <t>）（价格用</t>
    </r>
    <r>
      <rPr>
        <sz val="8"/>
        <color rgb="FFFF0000"/>
        <rFont val="Arial"/>
        <family val="2"/>
      </rPr>
      <t>PO#109750)</t>
    </r>
    <phoneticPr fontId="3" type="noConversion"/>
  </si>
  <si>
    <t>Y49854</t>
    <phoneticPr fontId="3" type="noConversion"/>
  </si>
  <si>
    <t>Y49855</t>
    <phoneticPr fontId="3" type="noConversion"/>
  </si>
  <si>
    <t>Y49843</t>
    <phoneticPr fontId="3" type="noConversion"/>
  </si>
  <si>
    <t>C191236443</t>
    <phoneticPr fontId="3" type="noConversion"/>
  </si>
  <si>
    <t>Y49844</t>
    <phoneticPr fontId="3" type="noConversion"/>
  </si>
  <si>
    <t>Y49845</t>
    <phoneticPr fontId="3" type="noConversion"/>
  </si>
  <si>
    <t>Y49846</t>
    <phoneticPr fontId="3" type="noConversion"/>
  </si>
  <si>
    <t>Y49847</t>
    <phoneticPr fontId="3" type="noConversion"/>
  </si>
  <si>
    <t>Y49987</t>
    <phoneticPr fontId="3" type="noConversion"/>
  </si>
  <si>
    <t>Y49988</t>
  </si>
  <si>
    <t>C190835365</t>
    <phoneticPr fontId="3" type="noConversion"/>
  </si>
  <si>
    <t>Y49989</t>
  </si>
  <si>
    <t>Y49991</t>
  </si>
  <si>
    <t>Y49840</t>
    <phoneticPr fontId="3" type="noConversion"/>
  </si>
  <si>
    <t>Y49841</t>
    <phoneticPr fontId="3" type="noConversion"/>
  </si>
  <si>
    <t>C200437154</t>
    <phoneticPr fontId="3" type="noConversion"/>
  </si>
  <si>
    <t>Y49992</t>
  </si>
  <si>
    <t>Y49993</t>
    <phoneticPr fontId="3" type="noConversion"/>
  </si>
  <si>
    <t>Y49994</t>
  </si>
  <si>
    <t>C200235776</t>
    <phoneticPr fontId="3" type="noConversion"/>
  </si>
  <si>
    <t>Y49995</t>
  </si>
  <si>
    <t>Y50067</t>
  </si>
  <si>
    <r>
      <t xml:space="preserve">NM   (CR :0.0662) 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PO#109705</t>
    </r>
    <phoneticPr fontId="3" type="noConversion"/>
  </si>
  <si>
    <t>C200136594</t>
    <phoneticPr fontId="3" type="noConversion"/>
  </si>
  <si>
    <t>Y50068</t>
    <phoneticPr fontId="3" type="noConversion"/>
  </si>
  <si>
    <t>Y50211</t>
  </si>
  <si>
    <r>
      <t>NM(CR:0.0655</t>
    </r>
    <r>
      <rPr>
        <sz val="8"/>
        <color theme="1"/>
        <rFont val="Arial Unicode MS"/>
        <family val="2"/>
        <charset val="134"/>
      </rPr>
      <t>）</t>
    </r>
    <phoneticPr fontId="3" type="noConversion"/>
  </si>
  <si>
    <t>C190835342</t>
    <phoneticPr fontId="3" type="noConversion"/>
  </si>
  <si>
    <t>Y50212</t>
  </si>
  <si>
    <t>Y50069</t>
  </si>
  <si>
    <t>C200136544</t>
    <phoneticPr fontId="3" type="noConversion"/>
  </si>
  <si>
    <t>Y50071</t>
  </si>
  <si>
    <t>NM(CR:0.0672)</t>
    <phoneticPr fontId="3" type="noConversion"/>
  </si>
  <si>
    <t>Y50072</t>
    <phoneticPr fontId="3" type="noConversion"/>
  </si>
  <si>
    <t>Y50073</t>
  </si>
  <si>
    <t>Y50070</t>
  </si>
  <si>
    <t>cATS10+MVC+special layout</t>
    <phoneticPr fontId="3" type="noConversion"/>
  </si>
  <si>
    <t>Y50210</t>
    <phoneticPr fontId="3" type="noConversion"/>
  </si>
  <si>
    <t>C171030531</t>
    <phoneticPr fontId="3" type="noConversion"/>
  </si>
  <si>
    <r>
      <rPr>
        <sz val="10"/>
        <color theme="1"/>
        <rFont val="Arial Unicode MS"/>
        <family val="2"/>
        <charset val="134"/>
      </rPr>
      <t>博睿通名义下单</t>
    </r>
    <phoneticPr fontId="3" type="noConversion"/>
  </si>
  <si>
    <t>Y50417</t>
  </si>
  <si>
    <t>Y50418</t>
  </si>
  <si>
    <t>Y50419</t>
  </si>
  <si>
    <t>Y50420</t>
  </si>
  <si>
    <t>Y50421</t>
    <phoneticPr fontId="3" type="noConversion"/>
  </si>
  <si>
    <t>Pro-tec</t>
    <phoneticPr fontId="3" type="noConversion"/>
  </si>
  <si>
    <t>Y49831</t>
    <phoneticPr fontId="3" type="noConversion"/>
  </si>
  <si>
    <t>Stock order</t>
    <phoneticPr fontId="3" type="noConversion"/>
  </si>
  <si>
    <t>Y50773</t>
  </si>
  <si>
    <r>
      <t>0.0654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PO#109723)</t>
    </r>
    <phoneticPr fontId="3" type="noConversion"/>
  </si>
  <si>
    <r>
      <rPr>
        <sz val="10"/>
        <color theme="1"/>
        <rFont val="Arial Unicode MS"/>
        <family val="2"/>
        <charset val="134"/>
      </rPr>
      <t>耕创名义下单</t>
    </r>
    <phoneticPr fontId="3" type="noConversion"/>
  </si>
  <si>
    <t>Y50496</t>
    <phoneticPr fontId="3" type="noConversion"/>
  </si>
  <si>
    <t>C191035971</t>
    <phoneticPr fontId="3" type="noConversion"/>
  </si>
  <si>
    <t>Y50497</t>
    <phoneticPr fontId="3" type="noConversion"/>
  </si>
  <si>
    <t>Y50769</t>
    <phoneticPr fontId="64"/>
  </si>
  <si>
    <r>
      <t>NM(CR:0.0658</t>
    </r>
    <r>
      <rPr>
        <sz val="8"/>
        <color rgb="FFFF0000"/>
        <rFont val="Arial Unicode MS"/>
        <family val="2"/>
        <charset val="134"/>
      </rPr>
      <t>）价格用</t>
    </r>
    <r>
      <rPr>
        <sz val="8"/>
        <color rgb="FFFF0000"/>
        <rFont val="Arial"/>
        <family val="2"/>
      </rPr>
      <t>PO#109815</t>
    </r>
    <r>
      <rPr>
        <sz val="8"/>
        <color rgb="FFFF0000"/>
        <rFont val="Arial Unicode MS"/>
        <family val="2"/>
        <charset val="134"/>
      </rPr>
      <t>，</t>
    </r>
    <r>
      <rPr>
        <sz val="8"/>
        <color rgb="FFFF0000"/>
        <rFont val="Arial"/>
        <family val="2"/>
      </rPr>
      <t xml:space="preserve">rate 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109820</t>
    </r>
    <phoneticPr fontId="3" type="noConversion"/>
  </si>
  <si>
    <t>C200337023</t>
    <phoneticPr fontId="3" type="noConversion"/>
  </si>
  <si>
    <t>Y50770</t>
  </si>
  <si>
    <t>Y50771</t>
  </si>
  <si>
    <t>Y50772</t>
  </si>
  <si>
    <r>
      <rPr>
        <sz val="10"/>
        <color theme="1"/>
        <rFont val="Arial Unicode MS"/>
        <family val="2"/>
        <charset val="134"/>
      </rPr>
      <t>龙大名义下单</t>
    </r>
    <phoneticPr fontId="3" type="noConversion"/>
  </si>
  <si>
    <t>Y50681</t>
    <phoneticPr fontId="3" type="noConversion"/>
  </si>
  <si>
    <t>Y50682</t>
    <phoneticPr fontId="3" type="noConversion"/>
  </si>
  <si>
    <t>Y50754</t>
  </si>
  <si>
    <t>JUN 20</t>
  </si>
  <si>
    <t>C191236395</t>
    <phoneticPr fontId="3" type="noConversion"/>
  </si>
  <si>
    <t>Y50756</t>
  </si>
  <si>
    <t>NM</t>
    <phoneticPr fontId="3" type="noConversion"/>
  </si>
  <si>
    <t>Y50755</t>
  </si>
  <si>
    <r>
      <t>0.0656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PO#109855)</t>
    </r>
    <phoneticPr fontId="3" type="noConversion"/>
  </si>
  <si>
    <t>C150824767</t>
    <phoneticPr fontId="3" type="noConversion"/>
  </si>
  <si>
    <t>Y50752</t>
  </si>
  <si>
    <t>Y50759</t>
  </si>
  <si>
    <t>Y50760</t>
  </si>
  <si>
    <t>Y50753</t>
  </si>
  <si>
    <t>Y50758</t>
  </si>
  <si>
    <t>C200437179</t>
    <phoneticPr fontId="3" type="noConversion"/>
  </si>
  <si>
    <t>Y50757</t>
  </si>
  <si>
    <t>Y50751</t>
  </si>
  <si>
    <t>SEP 20</t>
  </si>
  <si>
    <t>C190635038</t>
    <phoneticPr fontId="3" type="noConversion"/>
  </si>
  <si>
    <t>Y50619</t>
  </si>
  <si>
    <r>
      <rPr>
        <sz val="10"/>
        <color theme="1"/>
        <rFont val="Arial Unicode MS"/>
        <family val="2"/>
        <charset val="134"/>
      </rPr>
      <t>盐保仓库</t>
    </r>
    <phoneticPr fontId="3" type="noConversion"/>
  </si>
  <si>
    <r>
      <t>0.0654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PO#109762)</t>
    </r>
    <phoneticPr fontId="3" type="noConversion"/>
  </si>
  <si>
    <t>Y50620</t>
  </si>
  <si>
    <r>
      <t xml:space="preserve">0.0648                  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PO#109587</t>
    </r>
    <phoneticPr fontId="3" type="noConversion"/>
  </si>
  <si>
    <t>Y50618</t>
    <phoneticPr fontId="3" type="noConversion"/>
  </si>
  <si>
    <r>
      <t>0.0654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PO#109759)</t>
    </r>
    <phoneticPr fontId="3" type="noConversion"/>
  </si>
  <si>
    <r>
      <rPr>
        <sz val="10"/>
        <color theme="1"/>
        <rFont val="Arial Unicode MS"/>
        <family val="2"/>
        <charset val="134"/>
      </rPr>
      <t>已发货</t>
    </r>
    <phoneticPr fontId="3" type="noConversion"/>
  </si>
  <si>
    <t>Y50621</t>
    <phoneticPr fontId="3" type="noConversion"/>
  </si>
  <si>
    <r>
      <t>0.0654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PO#109749)</t>
    </r>
    <phoneticPr fontId="3" type="noConversion"/>
  </si>
  <si>
    <t>AUG 20</t>
  </si>
  <si>
    <t>C200737734</t>
    <phoneticPr fontId="3" type="noConversion"/>
  </si>
  <si>
    <t>Y50622</t>
    <phoneticPr fontId="3" type="noConversion"/>
  </si>
  <si>
    <t>C190534728</t>
    <phoneticPr fontId="3" type="noConversion"/>
  </si>
  <si>
    <t>ATS15</t>
    <phoneticPr fontId="3" type="noConversion"/>
  </si>
  <si>
    <t>Y50623</t>
    <phoneticPr fontId="3" type="noConversion"/>
  </si>
  <si>
    <t>C200637604</t>
    <phoneticPr fontId="3" type="noConversion"/>
  </si>
  <si>
    <t>Y50947</t>
    <phoneticPr fontId="3" type="noConversion"/>
  </si>
  <si>
    <r>
      <rPr>
        <sz val="10"/>
        <color theme="1"/>
        <rFont val="Arial Unicode MS"/>
        <family val="2"/>
        <charset val="134"/>
      </rPr>
      <t>乐凡清关，送力合仓库</t>
    </r>
  </si>
  <si>
    <t>NM(CR:0.0679)</t>
    <phoneticPr fontId="3" type="noConversion"/>
  </si>
  <si>
    <t>C191136105</t>
    <phoneticPr fontId="3" type="noConversion"/>
  </si>
  <si>
    <t>Y50948</t>
  </si>
  <si>
    <r>
      <t>0.0640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PO#109820</t>
    </r>
    <r>
      <rPr>
        <sz val="8"/>
        <color rgb="FFFF0000"/>
        <rFont val="Arial Unicode MS"/>
        <family val="2"/>
        <charset val="134"/>
      </rPr>
      <t>，</t>
    </r>
    <r>
      <rPr>
        <sz val="8"/>
        <color rgb="FFFF0000"/>
        <rFont val="Arial"/>
        <family val="2"/>
      </rPr>
      <t xml:space="preserve">rate 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109815)</t>
    </r>
    <phoneticPr fontId="3" type="noConversion"/>
  </si>
  <si>
    <t>C180832776</t>
    <phoneticPr fontId="3" type="noConversion"/>
  </si>
  <si>
    <t>Y50949</t>
  </si>
  <si>
    <t>C200437235</t>
    <phoneticPr fontId="3" type="noConversion"/>
  </si>
  <si>
    <t>Y50950</t>
  </si>
  <si>
    <t>C200437238</t>
    <phoneticPr fontId="3" type="noConversion"/>
  </si>
  <si>
    <t>Y50843</t>
    <phoneticPr fontId="3" type="noConversion"/>
  </si>
  <si>
    <t>Y50848</t>
    <phoneticPr fontId="3" type="noConversion"/>
  </si>
  <si>
    <t>Y50849</t>
    <phoneticPr fontId="3" type="noConversion"/>
  </si>
  <si>
    <r>
      <t>NM(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PO#109816</t>
    </r>
    <r>
      <rPr>
        <sz val="8"/>
        <color rgb="FFFF0000"/>
        <rFont val="Arial Unicode MS"/>
        <family val="2"/>
        <charset val="134"/>
      </rPr>
      <t>）</t>
    </r>
    <phoneticPr fontId="3" type="noConversion"/>
  </si>
  <si>
    <t>Y50850</t>
    <phoneticPr fontId="3" type="noConversion"/>
  </si>
  <si>
    <t>C200537339</t>
    <phoneticPr fontId="3" type="noConversion"/>
  </si>
  <si>
    <t>Y50851</t>
    <phoneticPr fontId="3" type="noConversion"/>
  </si>
  <si>
    <t>Y50852</t>
    <phoneticPr fontId="3" type="noConversion"/>
  </si>
  <si>
    <t>Y50866</t>
    <phoneticPr fontId="3" type="noConversion"/>
  </si>
  <si>
    <t>Y50702</t>
    <phoneticPr fontId="3" type="noConversion"/>
  </si>
  <si>
    <t>Y51205</t>
    <phoneticPr fontId="3" type="noConversion"/>
  </si>
  <si>
    <r>
      <rPr>
        <sz val="10"/>
        <color theme="1"/>
        <rFont val="Arial Unicode MS"/>
        <family val="2"/>
        <charset val="134"/>
      </rPr>
      <t>钧溢清关，送力合仓库</t>
    </r>
  </si>
  <si>
    <t>C200537332</t>
    <phoneticPr fontId="3" type="noConversion"/>
  </si>
  <si>
    <t>Y51294</t>
    <phoneticPr fontId="3" type="noConversion"/>
  </si>
  <si>
    <r>
      <rPr>
        <sz val="10"/>
        <color theme="1"/>
        <rFont val="Arial Unicode MS"/>
        <family val="2"/>
        <charset val="134"/>
      </rPr>
      <t>乐上清关，送力合仓库</t>
    </r>
  </si>
  <si>
    <t>Y51295</t>
    <phoneticPr fontId="3" type="noConversion"/>
  </si>
  <si>
    <t>Y51296</t>
    <phoneticPr fontId="3" type="noConversion"/>
  </si>
  <si>
    <t>C190634939</t>
    <phoneticPr fontId="3" type="noConversion"/>
  </si>
  <si>
    <t>Y51297</t>
    <phoneticPr fontId="3" type="noConversion"/>
  </si>
  <si>
    <t>49F103362</t>
    <phoneticPr fontId="3" type="noConversion"/>
  </si>
  <si>
    <r>
      <rPr>
        <sz val="10"/>
        <color theme="1"/>
        <rFont val="Arial Unicode MS"/>
        <family val="2"/>
        <charset val="134"/>
      </rPr>
      <t>上海机器</t>
    </r>
    <phoneticPr fontId="3" type="noConversion"/>
  </si>
  <si>
    <t>Y49634</t>
    <phoneticPr fontId="3" type="noConversion"/>
  </si>
  <si>
    <t>C200236762</t>
    <phoneticPr fontId="3" type="noConversion"/>
  </si>
  <si>
    <t>Y49635</t>
    <phoneticPr fontId="3" type="noConversion"/>
  </si>
  <si>
    <r>
      <rPr>
        <sz val="10"/>
        <color theme="1"/>
        <rFont val="Arial Unicode MS"/>
        <family val="2"/>
        <charset val="134"/>
      </rPr>
      <t>安林名义下单</t>
    </r>
    <phoneticPr fontId="3" type="noConversion"/>
  </si>
  <si>
    <t>Y51332</t>
    <phoneticPr fontId="3" type="noConversion"/>
  </si>
  <si>
    <r>
      <rPr>
        <sz val="10"/>
        <color theme="1"/>
        <rFont val="Arial Unicode MS"/>
        <family val="2"/>
        <charset val="134"/>
      </rPr>
      <t>奕东名义下单</t>
    </r>
    <phoneticPr fontId="3" type="noConversion"/>
  </si>
  <si>
    <t>Y51333</t>
    <phoneticPr fontId="3" type="noConversion"/>
  </si>
  <si>
    <t>Y51334</t>
    <phoneticPr fontId="3" type="noConversion"/>
  </si>
  <si>
    <t>Y51335</t>
    <phoneticPr fontId="3" type="noConversion"/>
  </si>
  <si>
    <t>C190735271</t>
    <phoneticPr fontId="3" type="noConversion"/>
  </si>
  <si>
    <t>Y51336</t>
    <phoneticPr fontId="3" type="noConversion"/>
  </si>
  <si>
    <t>Y51337</t>
    <phoneticPr fontId="3" type="noConversion"/>
  </si>
  <si>
    <t>C190835366</t>
    <phoneticPr fontId="3" type="noConversion"/>
  </si>
  <si>
    <t>Y51338</t>
    <phoneticPr fontId="3" type="noConversion"/>
  </si>
  <si>
    <t>Y51339</t>
    <phoneticPr fontId="3" type="noConversion"/>
  </si>
  <si>
    <t>C180732715</t>
    <phoneticPr fontId="3" type="noConversion"/>
  </si>
  <si>
    <t>Y51340</t>
    <phoneticPr fontId="3" type="noConversion"/>
  </si>
  <si>
    <r>
      <rPr>
        <sz val="10"/>
        <color theme="1"/>
        <rFont val="Arial Unicode MS"/>
        <family val="2"/>
        <charset val="134"/>
      </rPr>
      <t>晶科名义下单</t>
    </r>
    <phoneticPr fontId="3" type="noConversion"/>
  </si>
  <si>
    <t>Y51486</t>
    <phoneticPr fontId="3" type="noConversion"/>
  </si>
  <si>
    <t>Y51469</t>
  </si>
  <si>
    <t>Y51452</t>
  </si>
  <si>
    <t>Y51453</t>
  </si>
  <si>
    <t>Y51454</t>
  </si>
  <si>
    <t>C190935664</t>
  </si>
  <si>
    <t>Y51455</t>
  </si>
  <si>
    <t>Y51456</t>
  </si>
  <si>
    <r>
      <rPr>
        <sz val="10"/>
        <color theme="1"/>
        <rFont val="Arial Unicode MS"/>
        <family val="2"/>
        <charset val="134"/>
      </rPr>
      <t>海星名义下单</t>
    </r>
    <phoneticPr fontId="3" type="noConversion"/>
  </si>
  <si>
    <t>Y51546</t>
    <phoneticPr fontId="3" type="noConversion"/>
  </si>
  <si>
    <r>
      <t>109891(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PO109925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</si>
  <si>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Y51616</t>
    <phoneticPr fontId="3" type="noConversion"/>
  </si>
  <si>
    <r>
      <t>0.0661(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PO#109891)</t>
    </r>
    <phoneticPr fontId="3" type="noConversion"/>
  </si>
  <si>
    <t>C200737778</t>
    <phoneticPr fontId="3" type="noConversion"/>
  </si>
  <si>
    <t>Y51617</t>
    <phoneticPr fontId="3" type="noConversion"/>
  </si>
  <si>
    <t>Y51618</t>
    <phoneticPr fontId="3" type="noConversion"/>
  </si>
  <si>
    <t>Y51619</t>
    <phoneticPr fontId="3" type="noConversion"/>
  </si>
  <si>
    <t>Y51620</t>
    <phoneticPr fontId="3" type="noConversion"/>
  </si>
  <si>
    <t>C200637456</t>
    <phoneticPr fontId="3" type="noConversion"/>
  </si>
  <si>
    <t>Y51621</t>
    <phoneticPr fontId="3" type="noConversion"/>
  </si>
  <si>
    <r>
      <t>0.0665(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PO#109925)</t>
    </r>
    <phoneticPr fontId="3" type="noConversion"/>
  </si>
  <si>
    <t>Y51622</t>
    <phoneticPr fontId="3" type="noConversion"/>
  </si>
  <si>
    <t>Y51623</t>
    <phoneticPr fontId="3" type="noConversion"/>
  </si>
  <si>
    <t>Y51624</t>
    <phoneticPr fontId="3" type="noConversion"/>
  </si>
  <si>
    <t>C191236409</t>
    <phoneticPr fontId="3" type="noConversion"/>
  </si>
  <si>
    <t>R-&gt;L</t>
    <phoneticPr fontId="3" type="noConversion"/>
  </si>
  <si>
    <t>Y51625</t>
    <phoneticPr fontId="3" type="noConversion"/>
  </si>
  <si>
    <t>Y51547</t>
  </si>
  <si>
    <t>C200637625</t>
    <phoneticPr fontId="3" type="noConversion"/>
  </si>
  <si>
    <t>Y51548</t>
  </si>
  <si>
    <r>
      <t>0.0667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PO#109868)</t>
    </r>
    <phoneticPr fontId="3" type="noConversion"/>
  </si>
  <si>
    <t>Y51549</t>
  </si>
  <si>
    <t>Y51554</t>
    <phoneticPr fontId="3" type="noConversion"/>
  </si>
  <si>
    <t>Y51555</t>
    <phoneticPr fontId="3" type="noConversion"/>
  </si>
  <si>
    <r>
      <t>109886(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PO109947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</si>
  <si>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Y51552</t>
  </si>
  <si>
    <t>C121114462</t>
    <phoneticPr fontId="3" type="noConversion"/>
  </si>
  <si>
    <t>Y51553</t>
  </si>
  <si>
    <t>Y51550</t>
  </si>
  <si>
    <t>Y51551</t>
  </si>
  <si>
    <t>Y51556</t>
  </si>
  <si>
    <r>
      <t>109917</t>
    </r>
    <r>
      <rPr>
        <sz val="9"/>
        <color theme="1"/>
        <rFont val="Arial Unicode MS"/>
        <family val="2"/>
        <charset val="134"/>
      </rPr>
      <t>新建</t>
    </r>
    <r>
      <rPr>
        <sz val="9"/>
        <color theme="1"/>
        <rFont val="Arial"/>
        <family val="2"/>
      </rPr>
      <t>PO110003</t>
    </r>
    <phoneticPr fontId="3" type="noConversion"/>
  </si>
  <si>
    <t>Y51841</t>
  </si>
  <si>
    <t>NM(CR:0.0670)</t>
    <phoneticPr fontId="3" type="noConversion"/>
  </si>
  <si>
    <t>Y51842</t>
  </si>
  <si>
    <t>OCT 20</t>
  </si>
  <si>
    <t>C200537323</t>
    <phoneticPr fontId="3" type="noConversion"/>
  </si>
  <si>
    <r>
      <t>109917(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PO109963</t>
    </r>
    <r>
      <rPr>
        <sz val="9"/>
        <color theme="1"/>
        <rFont val="Arial Unicode MS"/>
        <family val="2"/>
        <charset val="134"/>
      </rPr>
      <t>，新建</t>
    </r>
    <r>
      <rPr>
        <sz val="9"/>
        <color theme="1"/>
        <rFont val="Arial"/>
        <family val="2"/>
      </rPr>
      <t>PO110004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</si>
  <si>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Y51840</t>
  </si>
  <si>
    <t>Y51843</t>
  </si>
  <si>
    <t>Y51844</t>
    <phoneticPr fontId="3" type="noConversion"/>
  </si>
  <si>
    <t>C200737853</t>
    <phoneticPr fontId="3" type="noConversion"/>
  </si>
  <si>
    <r>
      <t>109917(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PO109998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</si>
  <si>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Y51845</t>
  </si>
  <si>
    <t>Y51907</t>
    <phoneticPr fontId="3" type="noConversion"/>
  </si>
  <si>
    <t>Y51904</t>
  </si>
  <si>
    <t>Y51909</t>
    <phoneticPr fontId="3" type="noConversion"/>
  </si>
  <si>
    <t>C170629555</t>
    <phoneticPr fontId="3" type="noConversion"/>
  </si>
  <si>
    <t>Y51906</t>
  </si>
  <si>
    <t>C180131148</t>
    <phoneticPr fontId="3" type="noConversion"/>
  </si>
  <si>
    <r>
      <t>109924(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PO109962)</t>
    </r>
    <phoneticPr fontId="3" type="noConversion"/>
  </si>
  <si>
    <t>Y51903</t>
    <phoneticPr fontId="3" type="noConversion"/>
  </si>
  <si>
    <t>C141021119</t>
    <phoneticPr fontId="3" type="noConversion"/>
  </si>
  <si>
    <t>Y51908</t>
  </si>
  <si>
    <t>Y51905</t>
    <phoneticPr fontId="3" type="noConversion"/>
  </si>
  <si>
    <t>Y51910</t>
  </si>
  <si>
    <t>C170930142</t>
    <phoneticPr fontId="3" type="noConversion"/>
  </si>
  <si>
    <t>49F103569</t>
    <phoneticPr fontId="3" type="noConversion"/>
  </si>
  <si>
    <t>Y51940</t>
  </si>
  <si>
    <r>
      <rPr>
        <sz val="10"/>
        <color theme="1"/>
        <rFont val="Arial Unicode MS"/>
        <family val="2"/>
        <charset val="134"/>
      </rPr>
      <t>上海仓库</t>
    </r>
  </si>
  <si>
    <t>C200537351</t>
    <phoneticPr fontId="3" type="noConversion"/>
  </si>
  <si>
    <r>
      <rPr>
        <sz val="10"/>
        <color theme="1"/>
        <rFont val="Arial Unicode MS"/>
        <family val="2"/>
        <charset val="134"/>
      </rPr>
      <t>智序名义下单</t>
    </r>
    <phoneticPr fontId="3" type="noConversion"/>
  </si>
  <si>
    <t>Y51972</t>
    <phoneticPr fontId="3" type="noConversion"/>
  </si>
  <si>
    <t>Y51973</t>
    <phoneticPr fontId="3" type="noConversion"/>
  </si>
  <si>
    <t>NM(CR:0.0685)</t>
    <phoneticPr fontId="3" type="noConversion"/>
  </si>
  <si>
    <t>C200838030</t>
    <phoneticPr fontId="3" type="noConversion"/>
  </si>
  <si>
    <t>Y51983</t>
    <phoneticPr fontId="3" type="noConversion"/>
  </si>
  <si>
    <t>C200637437</t>
    <phoneticPr fontId="3" type="noConversion"/>
  </si>
  <si>
    <t>Y51966</t>
    <phoneticPr fontId="3" type="noConversion"/>
  </si>
  <si>
    <r>
      <t>0.0655(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PO109999</t>
    </r>
    <r>
      <rPr>
        <sz val="8"/>
        <color rgb="FFFF0000"/>
        <rFont val="Arial Unicode MS"/>
        <family val="2"/>
        <charset val="134"/>
      </rPr>
      <t>）</t>
    </r>
    <phoneticPr fontId="3" type="noConversion"/>
  </si>
  <si>
    <t>Y51967</t>
    <phoneticPr fontId="3" type="noConversion"/>
  </si>
  <si>
    <t>Y51968</t>
    <phoneticPr fontId="3" type="noConversion"/>
  </si>
  <si>
    <t>Y51969</t>
    <phoneticPr fontId="3" type="noConversion"/>
  </si>
  <si>
    <t>Y51970</t>
    <phoneticPr fontId="3" type="noConversion"/>
  </si>
  <si>
    <t>Y51971</t>
    <phoneticPr fontId="3" type="noConversion"/>
  </si>
  <si>
    <r>
      <rPr>
        <sz val="10"/>
        <rFont val="Arial Unicode MS"/>
        <family val="2"/>
        <charset val="134"/>
      </rPr>
      <t>已发货</t>
    </r>
    <phoneticPr fontId="3" type="noConversion"/>
  </si>
  <si>
    <t>49J103603</t>
    <phoneticPr fontId="3" type="noConversion"/>
  </si>
  <si>
    <r>
      <rPr>
        <sz val="10"/>
        <rFont val="Arial Unicode MS"/>
        <family val="2"/>
        <charset val="134"/>
      </rPr>
      <t>正邦名义下单</t>
    </r>
    <phoneticPr fontId="3" type="noConversion"/>
  </si>
  <si>
    <t>Y50716</t>
    <phoneticPr fontId="3" type="noConversion"/>
  </si>
  <si>
    <r>
      <t xml:space="preserve">Yamaha </t>
    </r>
    <r>
      <rPr>
        <sz val="10"/>
        <rFont val="Arial Unicode MS"/>
        <family val="2"/>
        <charset val="134"/>
      </rPr>
      <t>大浪仓</t>
    </r>
  </si>
  <si>
    <t xml:space="preserve">NM </t>
    <phoneticPr fontId="3" type="noConversion"/>
  </si>
  <si>
    <t>Y52108</t>
  </si>
  <si>
    <t>C200737827</t>
    <phoneticPr fontId="3" type="noConversion"/>
  </si>
  <si>
    <t>Y52109</t>
  </si>
  <si>
    <r>
      <t>Y52110</t>
    </r>
    <r>
      <rPr>
        <sz val="10"/>
        <color theme="1"/>
        <rFont val="Arial Unicode MS"/>
        <family val="2"/>
        <charset val="134"/>
      </rPr>
      <t>（不能调动机器，序列号提供给了客户）</t>
    </r>
    <phoneticPr fontId="3" type="noConversion"/>
  </si>
  <si>
    <t>C200838012</t>
    <phoneticPr fontId="3" type="noConversion"/>
  </si>
  <si>
    <t>Y52111</t>
  </si>
  <si>
    <r>
      <t>0.0655(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PO109977</t>
    </r>
    <r>
      <rPr>
        <sz val="8"/>
        <color rgb="FFFF0000"/>
        <rFont val="Arial Unicode MS"/>
        <family val="2"/>
        <charset val="134"/>
      </rPr>
      <t>）</t>
    </r>
    <phoneticPr fontId="3" type="noConversion"/>
  </si>
  <si>
    <t>Y52112</t>
  </si>
  <si>
    <t>Y52113</t>
  </si>
  <si>
    <t>Y52114</t>
  </si>
  <si>
    <t>C200737845</t>
    <phoneticPr fontId="3" type="noConversion"/>
  </si>
  <si>
    <r>
      <rPr>
        <sz val="10"/>
        <color theme="1"/>
        <rFont val="Arial Unicode MS"/>
        <family val="2"/>
        <charset val="134"/>
      </rPr>
      <t>德劲名义下单</t>
    </r>
    <phoneticPr fontId="3" type="noConversion"/>
  </si>
  <si>
    <t>Y51103</t>
    <phoneticPr fontId="3" type="noConversion"/>
  </si>
  <si>
    <r>
      <t>109981(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PO110029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</si>
  <si>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Y51203</t>
    <phoneticPr fontId="3" type="noConversion"/>
  </si>
  <si>
    <t>C200938128</t>
    <phoneticPr fontId="3" type="noConversion"/>
  </si>
  <si>
    <t>Y52115</t>
  </si>
  <si>
    <t>Y52116</t>
  </si>
  <si>
    <t>Y52117</t>
  </si>
  <si>
    <t>Y52118</t>
  </si>
  <si>
    <t>Y52119</t>
  </si>
  <si>
    <t>C200737736</t>
    <phoneticPr fontId="3" type="noConversion"/>
  </si>
  <si>
    <r>
      <t>109954(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PO109999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</si>
  <si>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Y52100</t>
  </si>
  <si>
    <t>C150222316</t>
    <phoneticPr fontId="3" type="noConversion"/>
  </si>
  <si>
    <t>Y52101</t>
  </si>
  <si>
    <r>
      <t>NM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PO#109933)</t>
    </r>
    <phoneticPr fontId="3" type="noConversion"/>
  </si>
  <si>
    <t>C200837985</t>
    <phoneticPr fontId="3" type="noConversion"/>
  </si>
  <si>
    <t>Y52102</t>
  </si>
  <si>
    <r>
      <t>109954(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PO110000)</t>
    </r>
    <phoneticPr fontId="3" type="noConversion"/>
  </si>
  <si>
    <t>Y52103</t>
  </si>
  <si>
    <t>C170128496</t>
    <phoneticPr fontId="3" type="noConversion"/>
  </si>
  <si>
    <t>Y52104</t>
  </si>
  <si>
    <t>Y52105</t>
  </si>
  <si>
    <t>Y52106</t>
  </si>
  <si>
    <t>Y52107</t>
  </si>
  <si>
    <t>Y52275</t>
    <phoneticPr fontId="3" type="noConversion"/>
  </si>
  <si>
    <t>C170930271</t>
    <phoneticPr fontId="3" type="noConversion"/>
  </si>
  <si>
    <t>Y52276</t>
    <phoneticPr fontId="3" type="noConversion"/>
  </si>
  <si>
    <t>Y52277</t>
    <phoneticPr fontId="3" type="noConversion"/>
  </si>
  <si>
    <t>Y52278</t>
    <phoneticPr fontId="3" type="noConversion"/>
  </si>
  <si>
    <t>Y52279</t>
    <phoneticPr fontId="3" type="noConversion"/>
  </si>
  <si>
    <t>Y52295</t>
    <phoneticPr fontId="3" type="noConversion"/>
  </si>
  <si>
    <t>C200838017</t>
    <phoneticPr fontId="3" type="noConversion"/>
  </si>
  <si>
    <t>Y52294</t>
    <phoneticPr fontId="3" type="noConversion"/>
  </si>
  <si>
    <t>Y52288</t>
    <phoneticPr fontId="3" type="noConversion"/>
  </si>
  <si>
    <t>DEC 20</t>
  </si>
  <si>
    <t>已发货</t>
  </si>
  <si>
    <t>Y52289</t>
    <phoneticPr fontId="3" type="noConversion"/>
  </si>
  <si>
    <t>JAN 21</t>
  </si>
  <si>
    <t>C180832785</t>
    <phoneticPr fontId="3" type="noConversion"/>
  </si>
  <si>
    <t>Y52290</t>
    <phoneticPr fontId="3" type="noConversion"/>
  </si>
  <si>
    <t>Y52291</t>
    <phoneticPr fontId="3" type="noConversion"/>
  </si>
  <si>
    <t>Y52292</t>
    <phoneticPr fontId="3" type="noConversion"/>
  </si>
  <si>
    <t>Y52293</t>
    <phoneticPr fontId="3" type="noConversion"/>
  </si>
  <si>
    <t>Y52280</t>
    <phoneticPr fontId="3" type="noConversion"/>
  </si>
  <si>
    <t>Y52281</t>
    <phoneticPr fontId="3" type="noConversion"/>
  </si>
  <si>
    <t>Y52282</t>
    <phoneticPr fontId="3" type="noConversion"/>
  </si>
  <si>
    <t>Y52283</t>
    <phoneticPr fontId="3" type="noConversion"/>
  </si>
  <si>
    <t>Y52284</t>
    <phoneticPr fontId="3" type="noConversion"/>
  </si>
  <si>
    <t>Y52285</t>
    <phoneticPr fontId="3" type="noConversion"/>
  </si>
  <si>
    <t>Y52286</t>
    <phoneticPr fontId="3" type="noConversion"/>
  </si>
  <si>
    <r>
      <rPr>
        <sz val="10"/>
        <color theme="1"/>
        <rFont val="Arial Unicode MS"/>
        <family val="2"/>
        <charset val="134"/>
      </rPr>
      <t>平方兆赫名义下单</t>
    </r>
    <r>
      <rPr>
        <sz val="10"/>
        <color theme="1"/>
        <rFont val="Arial"/>
        <family val="2"/>
      </rPr>
      <t xml:space="preserve">        </t>
    </r>
    <phoneticPr fontId="3" type="noConversion"/>
  </si>
  <si>
    <t>Y52763</t>
    <phoneticPr fontId="3" type="noConversion"/>
  </si>
  <si>
    <t>NOV 20</t>
  </si>
  <si>
    <t>C201138560</t>
    <phoneticPr fontId="3" type="noConversion"/>
  </si>
  <si>
    <t>Y52318</t>
  </si>
  <si>
    <t>Y52319</t>
  </si>
  <si>
    <t>Y52320</t>
    <phoneticPr fontId="3" type="noConversion"/>
  </si>
  <si>
    <t>Y52321</t>
  </si>
  <si>
    <t>Y52322</t>
    <phoneticPr fontId="3" type="noConversion"/>
  </si>
  <si>
    <t>Y52323</t>
    <phoneticPr fontId="3" type="noConversion"/>
  </si>
  <si>
    <t>C170629728</t>
    <phoneticPr fontId="3" type="noConversion"/>
  </si>
  <si>
    <t>Y52654</t>
    <phoneticPr fontId="3" type="noConversion"/>
  </si>
  <si>
    <r>
      <t>109995(</t>
    </r>
    <r>
      <rPr>
        <sz val="9"/>
        <color theme="1"/>
        <rFont val="Arial Unicode MS"/>
        <family val="2"/>
        <charset val="134"/>
      </rPr>
      <t>拆单</t>
    </r>
    <r>
      <rPr>
        <sz val="9"/>
        <color theme="1"/>
        <rFont val="Arial"/>
        <family val="2"/>
      </rPr>
      <t>110118)</t>
    </r>
    <phoneticPr fontId="3" type="noConversion"/>
  </si>
  <si>
    <t>Y52393</t>
    <phoneticPr fontId="3" type="noConversion"/>
  </si>
  <si>
    <t>2020.10.</t>
    <phoneticPr fontId="3" type="noConversion"/>
  </si>
  <si>
    <t>C200938204</t>
    <phoneticPr fontId="3" type="noConversion"/>
  </si>
  <si>
    <t>Y52394</t>
  </si>
  <si>
    <r>
      <t>0.0638</t>
    </r>
    <r>
      <rPr>
        <sz val="8"/>
        <color rgb="FFFF0000"/>
        <rFont val="Arial Unicode MS"/>
        <family val="2"/>
        <charset val="134"/>
      </rPr>
      <t>，价格</t>
    </r>
    <r>
      <rPr>
        <sz val="8"/>
        <color rgb="FFFF0000"/>
        <rFont val="Arial"/>
        <family val="2"/>
      </rPr>
      <t>PO110121</t>
    </r>
    <phoneticPr fontId="3" type="noConversion"/>
  </si>
  <si>
    <t>C201038384</t>
    <phoneticPr fontId="3" type="noConversion"/>
  </si>
  <si>
    <t>Y52395</t>
    <phoneticPr fontId="3" type="noConversion"/>
  </si>
  <si>
    <r>
      <rPr>
        <sz val="10"/>
        <color theme="1"/>
        <rFont val="Arial Unicode MS"/>
        <family val="2"/>
        <charset val="134"/>
      </rPr>
      <t>斯迈名义下单</t>
    </r>
    <phoneticPr fontId="3" type="noConversion"/>
  </si>
  <si>
    <t>Y52830</t>
  </si>
  <si>
    <r>
      <t>TBA</t>
    </r>
    <r>
      <rPr>
        <sz val="8"/>
        <color rgb="FFFF0000"/>
        <rFont val="Arial Unicode MS"/>
        <family val="2"/>
        <charset val="134"/>
      </rPr>
      <t>（</t>
    </r>
    <r>
      <rPr>
        <sz val="8"/>
        <color rgb="FFFF0000"/>
        <rFont val="Arial"/>
        <family val="2"/>
      </rPr>
      <t>PO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110097</t>
    </r>
    <r>
      <rPr>
        <sz val="8"/>
        <color rgb="FFFF0000"/>
        <rFont val="Arial Unicode MS"/>
        <family val="2"/>
        <charset val="134"/>
      </rPr>
      <t>）</t>
    </r>
    <phoneticPr fontId="3" type="noConversion"/>
  </si>
  <si>
    <t>YSM20R-2</t>
    <phoneticPr fontId="3" type="noConversion"/>
  </si>
  <si>
    <t>Y52831</t>
    <phoneticPr fontId="3" type="noConversion"/>
  </si>
  <si>
    <t>C200637592</t>
    <phoneticPr fontId="3" type="noConversion"/>
  </si>
  <si>
    <t>Y52832</t>
    <phoneticPr fontId="3" type="noConversion"/>
  </si>
  <si>
    <t>C201038374</t>
    <phoneticPr fontId="3" type="noConversion"/>
  </si>
  <si>
    <t>Y52833</t>
  </si>
  <si>
    <t>Y52834</t>
  </si>
  <si>
    <t>Y52835</t>
    <phoneticPr fontId="3" type="noConversion"/>
  </si>
  <si>
    <t>Y52836</t>
  </si>
  <si>
    <t>C200938214</t>
    <phoneticPr fontId="3" type="noConversion"/>
  </si>
  <si>
    <t>Y52837</t>
  </si>
  <si>
    <t>Y52838</t>
  </si>
  <si>
    <t>Y52839</t>
  </si>
  <si>
    <t>Y52387</t>
    <phoneticPr fontId="3" type="noConversion"/>
  </si>
  <si>
    <t>Y52388</t>
    <phoneticPr fontId="3" type="noConversion"/>
  </si>
  <si>
    <t>C201038333</t>
    <phoneticPr fontId="3" type="noConversion"/>
  </si>
  <si>
    <t>Y52389</t>
    <phoneticPr fontId="3" type="noConversion"/>
  </si>
  <si>
    <t>C201038403</t>
    <phoneticPr fontId="3" type="noConversion"/>
  </si>
  <si>
    <t>Y52390</t>
    <phoneticPr fontId="3" type="noConversion"/>
  </si>
  <si>
    <t>C180231415</t>
    <phoneticPr fontId="3" type="noConversion"/>
  </si>
  <si>
    <r>
      <t>109996</t>
    </r>
    <r>
      <rPr>
        <sz val="9"/>
        <color theme="1"/>
        <rFont val="Arial Unicode MS"/>
        <family val="2"/>
        <charset val="134"/>
      </rPr>
      <t>（拆分</t>
    </r>
    <r>
      <rPr>
        <sz val="9"/>
        <color theme="1"/>
        <rFont val="Arial"/>
        <family val="2"/>
      </rPr>
      <t>PO110071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</si>
  <si>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Y52391</t>
    <phoneticPr fontId="3" type="noConversion"/>
  </si>
  <si>
    <t>C200938211</t>
    <phoneticPr fontId="3" type="noConversion"/>
  </si>
  <si>
    <t>Y52392</t>
    <phoneticPr fontId="3" type="noConversion"/>
  </si>
  <si>
    <t>C200938163</t>
    <phoneticPr fontId="3" type="noConversion"/>
  </si>
  <si>
    <t>Y52375</t>
    <phoneticPr fontId="3" type="noConversion"/>
  </si>
  <si>
    <r>
      <t>109991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110121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</si>
  <si>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Y52376</t>
    <phoneticPr fontId="3" type="noConversion"/>
  </si>
  <si>
    <r>
      <t>NM</t>
    </r>
    <r>
      <rPr>
        <sz val="8"/>
        <color rgb="FFFF0000"/>
        <rFont val="Arial Unicode MS"/>
        <family val="2"/>
        <charset val="134"/>
      </rPr>
      <t>，价格</t>
    </r>
    <r>
      <rPr>
        <sz val="8"/>
        <color rgb="FFFF0000"/>
        <rFont val="Arial"/>
        <family val="2"/>
      </rPr>
      <t>PO109995</t>
    </r>
    <phoneticPr fontId="3" type="noConversion"/>
  </si>
  <si>
    <r>
      <t>109991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110128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</si>
  <si>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Y52377</t>
  </si>
  <si>
    <t>C201238817</t>
    <phoneticPr fontId="3" type="noConversion"/>
  </si>
  <si>
    <t>Y52378</t>
  </si>
  <si>
    <t>Y52379</t>
  </si>
  <si>
    <r>
      <rPr>
        <sz val="10"/>
        <color theme="1"/>
        <rFont val="Arial Unicode MS"/>
        <family val="2"/>
        <charset val="134"/>
      </rPr>
      <t>阿克西姆名义下单</t>
    </r>
    <phoneticPr fontId="3" type="noConversion"/>
  </si>
  <si>
    <t>Y52690</t>
    <phoneticPr fontId="3" type="noConversion"/>
  </si>
  <si>
    <r>
      <rPr>
        <sz val="10"/>
        <color theme="1"/>
        <rFont val="Arial Unicode MS"/>
        <family val="2"/>
        <charset val="134"/>
      </rPr>
      <t>银宝名义下单</t>
    </r>
    <phoneticPr fontId="3" type="noConversion"/>
  </si>
  <si>
    <t>cATS10</t>
  </si>
  <si>
    <t>Y52689</t>
    <phoneticPr fontId="3" type="noConversion"/>
  </si>
  <si>
    <t>Y52804</t>
    <phoneticPr fontId="3" type="noConversion"/>
  </si>
  <si>
    <t>Y52381</t>
    <phoneticPr fontId="3" type="noConversion"/>
  </si>
  <si>
    <t>C180331698</t>
    <phoneticPr fontId="3" type="noConversion"/>
  </si>
  <si>
    <t>Y52382</t>
  </si>
  <si>
    <t>Y52383</t>
  </si>
  <si>
    <r>
      <t>109992</t>
    </r>
    <r>
      <rPr>
        <sz val="9"/>
        <color theme="1"/>
        <rFont val="Arial Unicode MS"/>
        <family val="2"/>
        <charset val="134"/>
      </rPr>
      <t>（拆分</t>
    </r>
    <r>
      <rPr>
        <sz val="9"/>
        <color theme="1"/>
        <rFont val="Arial"/>
        <family val="2"/>
      </rPr>
      <t>PO110072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</si>
  <si>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r>
      <t>Stock order</t>
    </r>
    <r>
      <rPr>
        <sz val="10"/>
        <color theme="1"/>
        <rFont val="Arial Unicode MS"/>
        <family val="2"/>
        <charset val="134"/>
      </rPr>
      <t>（序列号已给客户，不可调）</t>
    </r>
    <phoneticPr fontId="3" type="noConversion"/>
  </si>
  <si>
    <t>Y52384</t>
    <phoneticPr fontId="3" type="noConversion"/>
  </si>
  <si>
    <r>
      <rPr>
        <sz val="10"/>
        <color theme="1"/>
        <rFont val="Arial Unicode MS"/>
        <family val="2"/>
        <charset val="134"/>
      </rPr>
      <t>码头</t>
    </r>
    <r>
      <rPr>
        <sz val="10"/>
        <color theme="1"/>
        <rFont val="Arial"/>
        <family val="2"/>
      </rPr>
      <t>-&gt;</t>
    </r>
    <r>
      <rPr>
        <sz val="10"/>
        <color theme="1"/>
        <rFont val="Arial Unicode MS"/>
        <family val="2"/>
        <charset val="134"/>
      </rPr>
      <t>准备清关</t>
    </r>
    <phoneticPr fontId="3" type="noConversion"/>
  </si>
  <si>
    <t>Y52385</t>
    <phoneticPr fontId="3" type="noConversion"/>
  </si>
  <si>
    <t>Y52386</t>
    <phoneticPr fontId="3" type="noConversion"/>
  </si>
  <si>
    <t>C180231406</t>
    <phoneticPr fontId="3" type="noConversion"/>
  </si>
  <si>
    <r>
      <rPr>
        <sz val="10"/>
        <color theme="1"/>
        <rFont val="Arial Unicode MS"/>
        <family val="2"/>
        <charset val="134"/>
      </rPr>
      <t>平方兆赫名义下单</t>
    </r>
    <phoneticPr fontId="3" type="noConversion"/>
  </si>
  <si>
    <t>Y52688</t>
    <phoneticPr fontId="3" type="noConversion"/>
  </si>
  <si>
    <t>YES</t>
    <phoneticPr fontId="3" type="noConversion"/>
  </si>
  <si>
    <t>HM5+MVC+ATS15</t>
  </si>
  <si>
    <t>Y53085</t>
    <phoneticPr fontId="3" type="noConversion"/>
  </si>
  <si>
    <t>C120612523</t>
    <phoneticPr fontId="3" type="noConversion"/>
  </si>
  <si>
    <t>Y52847</t>
    <phoneticPr fontId="3" type="noConversion"/>
  </si>
  <si>
    <t>Y52848</t>
    <phoneticPr fontId="3" type="noConversion"/>
  </si>
  <si>
    <t>Y52849</t>
    <phoneticPr fontId="3" type="noConversion"/>
  </si>
  <si>
    <t>C200938065</t>
    <phoneticPr fontId="3" type="noConversion"/>
  </si>
  <si>
    <t>Y52843</t>
    <phoneticPr fontId="3" type="noConversion"/>
  </si>
  <si>
    <t>Y52844</t>
    <phoneticPr fontId="3" type="noConversion"/>
  </si>
  <si>
    <t>Y53182</t>
    <phoneticPr fontId="3" type="noConversion"/>
  </si>
  <si>
    <t>C200537348</t>
    <phoneticPr fontId="3" type="noConversion"/>
  </si>
  <si>
    <t>Y53183</t>
    <phoneticPr fontId="3" type="noConversion"/>
  </si>
  <si>
    <t>C180732632</t>
    <phoneticPr fontId="3" type="noConversion"/>
  </si>
  <si>
    <t>Y53184</t>
    <phoneticPr fontId="3" type="noConversion"/>
  </si>
  <si>
    <r>
      <t>110025(</t>
    </r>
    <r>
      <rPr>
        <sz val="9"/>
        <color theme="1"/>
        <rFont val="Arial Unicode MS"/>
        <family val="2"/>
        <charset val="134"/>
      </rPr>
      <t>拆单</t>
    </r>
    <r>
      <rPr>
        <sz val="9"/>
        <color theme="1"/>
        <rFont val="Arial"/>
        <family val="2"/>
      </rPr>
      <t>110117)</t>
    </r>
    <phoneticPr fontId="3" type="noConversion"/>
  </si>
  <si>
    <t>Y53185</t>
    <phoneticPr fontId="3" type="noConversion"/>
  </si>
  <si>
    <r>
      <t>NM</t>
    </r>
    <r>
      <rPr>
        <sz val="8"/>
        <color rgb="FFFF0000"/>
        <rFont val="Arial Unicode MS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110043</t>
    </r>
    <phoneticPr fontId="3" type="noConversion"/>
  </si>
  <si>
    <t>Y53186</t>
    <phoneticPr fontId="3" type="noConversion"/>
  </si>
  <si>
    <t>49F103708</t>
    <phoneticPr fontId="3" type="noConversion"/>
  </si>
  <si>
    <r>
      <rPr>
        <sz val="10"/>
        <color theme="1"/>
        <rFont val="Arial Unicode MS"/>
        <family val="2"/>
        <charset val="134"/>
      </rPr>
      <t>皇家显示名义下单</t>
    </r>
    <phoneticPr fontId="3" type="noConversion"/>
  </si>
  <si>
    <t>Y52766</t>
    <phoneticPr fontId="3" type="noConversion"/>
  </si>
  <si>
    <r>
      <rPr>
        <sz val="10"/>
        <color theme="1"/>
        <rFont val="Arial Unicode MS"/>
        <family val="2"/>
        <charset val="134"/>
      </rPr>
      <t>深圳仓库</t>
    </r>
  </si>
  <si>
    <t>Y52765</t>
    <phoneticPr fontId="3" type="noConversion"/>
  </si>
  <si>
    <t>Y52685</t>
    <phoneticPr fontId="3" type="noConversion"/>
  </si>
  <si>
    <t>C28</t>
    <phoneticPr fontId="3" type="noConversion"/>
  </si>
  <si>
    <t>Y53169</t>
    <phoneticPr fontId="3" type="noConversion"/>
  </si>
  <si>
    <r>
      <t>C180933101</t>
    </r>
    <r>
      <rPr>
        <sz val="10"/>
        <color theme="1"/>
        <rFont val="Arial Unicode MS"/>
        <family val="2"/>
        <charset val="134"/>
      </rPr>
      <t>，客户的安贸一直没更新，用鑫联科名字做的安贸</t>
    </r>
    <phoneticPr fontId="3" type="noConversion"/>
  </si>
  <si>
    <t>上海预留.</t>
    <phoneticPr fontId="3" type="noConversion"/>
  </si>
  <si>
    <t>Y53170</t>
    <phoneticPr fontId="3" type="noConversion"/>
  </si>
  <si>
    <t>RMB</t>
    <phoneticPr fontId="3" type="noConversion"/>
  </si>
  <si>
    <t>C49SHA20210115/LYJ</t>
    <phoneticPr fontId="3" type="noConversion"/>
  </si>
  <si>
    <t>中科朗恩</t>
    <phoneticPr fontId="3" type="noConversion"/>
  </si>
  <si>
    <t>C180231281</t>
    <phoneticPr fontId="3" type="noConversion"/>
  </si>
  <si>
    <t>Y52850</t>
    <phoneticPr fontId="3" type="noConversion"/>
  </si>
  <si>
    <t>Y52851</t>
    <phoneticPr fontId="3" type="noConversion"/>
  </si>
  <si>
    <r>
      <t>110050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110179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</si>
  <si>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Y52852</t>
    <phoneticPr fontId="3" type="noConversion"/>
  </si>
  <si>
    <t>Y53235</t>
    <phoneticPr fontId="3" type="noConversion"/>
  </si>
  <si>
    <t>Y53236</t>
    <phoneticPr fontId="3" type="noConversion"/>
  </si>
  <si>
    <r>
      <t xml:space="preserve">0.0638,PO 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110117</t>
    </r>
    <phoneticPr fontId="3" type="noConversion"/>
  </si>
  <si>
    <t>C180532024</t>
    <phoneticPr fontId="3" type="noConversion"/>
  </si>
  <si>
    <t>Y53237</t>
    <phoneticPr fontId="3" type="noConversion"/>
  </si>
  <si>
    <t>C171230831</t>
    <phoneticPr fontId="3" type="noConversion"/>
  </si>
  <si>
    <r>
      <t>110043(</t>
    </r>
    <r>
      <rPr>
        <sz val="10"/>
        <color theme="1"/>
        <rFont val="Arial Unicode MS"/>
        <family val="2"/>
        <charset val="134"/>
      </rPr>
      <t>拆单</t>
    </r>
    <r>
      <rPr>
        <sz val="10"/>
        <color theme="1"/>
        <rFont val="Arial"/>
        <family val="2"/>
      </rPr>
      <t>110140)</t>
    </r>
    <phoneticPr fontId="3" type="noConversion"/>
  </si>
  <si>
    <t>Y53265</t>
    <phoneticPr fontId="3" type="noConversion"/>
  </si>
  <si>
    <t>Y53240</t>
    <phoneticPr fontId="3" type="noConversion"/>
  </si>
  <si>
    <t>Y53439</t>
    <phoneticPr fontId="3" type="noConversion"/>
  </si>
  <si>
    <t>C200637625</t>
  </si>
  <si>
    <t>Y53440</t>
    <phoneticPr fontId="3" type="noConversion"/>
  </si>
  <si>
    <r>
      <rPr>
        <sz val="10"/>
        <color theme="1"/>
        <rFont val="Arial Unicode MS"/>
        <family val="2"/>
        <charset val="134"/>
      </rPr>
      <t>旭晟名义下单</t>
    </r>
    <phoneticPr fontId="3" type="noConversion"/>
  </si>
  <si>
    <t>Y53174</t>
    <phoneticPr fontId="3" type="noConversion"/>
  </si>
  <si>
    <r>
      <t>110026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110178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</si>
  <si>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Y53187</t>
    <phoneticPr fontId="3" type="noConversion"/>
  </si>
  <si>
    <t>Y53188</t>
    <phoneticPr fontId="3" type="noConversion"/>
  </si>
  <si>
    <t>C201238746</t>
    <phoneticPr fontId="3" type="noConversion"/>
  </si>
  <si>
    <r>
      <t>110026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110182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</si>
  <si>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Y53189</t>
    <phoneticPr fontId="3" type="noConversion"/>
  </si>
  <si>
    <t>C201238776</t>
    <phoneticPr fontId="3" type="noConversion"/>
  </si>
  <si>
    <t>Y53190</t>
    <phoneticPr fontId="3" type="noConversion"/>
  </si>
  <si>
    <t>Y53191</t>
    <phoneticPr fontId="3" type="noConversion"/>
  </si>
  <si>
    <t>C170429073</t>
    <phoneticPr fontId="3" type="noConversion"/>
  </si>
  <si>
    <t>Y53192</t>
    <phoneticPr fontId="3" type="noConversion"/>
  </si>
  <si>
    <t>Y53193</t>
    <phoneticPr fontId="3" type="noConversion"/>
  </si>
  <si>
    <r>
      <t>110044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110207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</si>
  <si>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Y53266</t>
    <phoneticPr fontId="3" type="noConversion"/>
  </si>
  <si>
    <t>C201238803</t>
  </si>
  <si>
    <t>Y53267</t>
    <phoneticPr fontId="3" type="noConversion"/>
  </si>
  <si>
    <t>Y53268</t>
    <phoneticPr fontId="3" type="noConversion"/>
  </si>
  <si>
    <t>Y53269</t>
    <phoneticPr fontId="3" type="noConversion"/>
  </si>
  <si>
    <t>Y53238</t>
    <phoneticPr fontId="3" type="noConversion"/>
  </si>
  <si>
    <t>Y53239</t>
    <phoneticPr fontId="3" type="noConversion"/>
  </si>
  <si>
    <t>Y53443</t>
  </si>
  <si>
    <t>Y53444</t>
    <phoneticPr fontId="3" type="noConversion"/>
  </si>
  <si>
    <t>Y53445</t>
  </si>
  <si>
    <t>Y53446</t>
  </si>
  <si>
    <t>Y53447</t>
  </si>
  <si>
    <t>Y52845</t>
    <phoneticPr fontId="3" type="noConversion"/>
  </si>
  <si>
    <r>
      <t>110110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110180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</si>
  <si>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Y52846</t>
    <phoneticPr fontId="3" type="noConversion"/>
  </si>
  <si>
    <t>Y53442</t>
    <phoneticPr fontId="3" type="noConversion"/>
  </si>
  <si>
    <t>C201138627</t>
    <phoneticPr fontId="3" type="noConversion"/>
  </si>
  <si>
    <t>Y53441</t>
    <phoneticPr fontId="3" type="noConversion"/>
  </si>
  <si>
    <r>
      <t>110097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110192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</si>
  <si>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r>
      <rPr>
        <sz val="10"/>
        <color theme="1"/>
        <rFont val="Arial Unicode MS"/>
        <family val="2"/>
        <charset val="134"/>
      </rPr>
      <t>玥芯通名义下单</t>
    </r>
    <phoneticPr fontId="3" type="noConversion"/>
  </si>
  <si>
    <t>Y53571</t>
    <phoneticPr fontId="3" type="noConversion"/>
  </si>
  <si>
    <t>Y53572</t>
    <phoneticPr fontId="3" type="noConversion"/>
  </si>
  <si>
    <r>
      <t>0.065(PO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110047</t>
    </r>
    <r>
      <rPr>
        <sz val="8"/>
        <color rgb="FFFF0000"/>
        <rFont val="Arial Unicode MS"/>
        <family val="2"/>
        <charset val="134"/>
      </rPr>
      <t>）</t>
    </r>
    <phoneticPr fontId="3" type="noConversion"/>
  </si>
  <si>
    <t>Y53573</t>
    <phoneticPr fontId="3" type="noConversion"/>
  </si>
  <si>
    <r>
      <t>110181(</t>
    </r>
    <r>
      <rPr>
        <sz val="9"/>
        <color theme="1"/>
        <rFont val="Arial Unicode MS"/>
        <family val="2"/>
        <charset val="134"/>
      </rPr>
      <t>拆单</t>
    </r>
    <r>
      <rPr>
        <sz val="9"/>
        <color theme="1"/>
        <rFont val="Arial"/>
        <family val="2"/>
      </rPr>
      <t>110214)</t>
    </r>
    <phoneticPr fontId="3" type="noConversion"/>
  </si>
  <si>
    <t>Y53574</t>
    <phoneticPr fontId="3" type="noConversion"/>
  </si>
  <si>
    <t>C201138594</t>
    <phoneticPr fontId="3" type="noConversion"/>
  </si>
  <si>
    <t>Y53575</t>
    <phoneticPr fontId="3" type="noConversion"/>
  </si>
  <si>
    <r>
      <t>0.0638 PO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110208</t>
    </r>
    <phoneticPr fontId="3" type="noConversion"/>
  </si>
  <si>
    <r>
      <rPr>
        <sz val="10"/>
        <color theme="1"/>
        <rFont val="Arial Unicode MS"/>
        <family val="2"/>
        <charset val="134"/>
      </rPr>
      <t>捷舜诚名义</t>
    </r>
    <phoneticPr fontId="3" type="noConversion"/>
  </si>
  <si>
    <t>Y53922</t>
    <phoneticPr fontId="3" type="noConversion"/>
  </si>
  <si>
    <t>Y53923</t>
    <phoneticPr fontId="3" type="noConversion"/>
  </si>
  <si>
    <t>C180331713</t>
    <phoneticPr fontId="3" type="noConversion"/>
  </si>
  <si>
    <t>Y53961</t>
    <phoneticPr fontId="3" type="noConversion"/>
  </si>
  <si>
    <t>C190434559</t>
    <phoneticPr fontId="3" type="noConversion"/>
  </si>
  <si>
    <t>Y53924</t>
    <phoneticPr fontId="3" type="noConversion"/>
  </si>
  <si>
    <t>C201238798</t>
    <phoneticPr fontId="3" type="noConversion"/>
  </si>
  <si>
    <t>Y53925</t>
    <phoneticPr fontId="3" type="noConversion"/>
  </si>
  <si>
    <r>
      <t>NM PO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110158</t>
    </r>
    <phoneticPr fontId="3" type="noConversion"/>
  </si>
  <si>
    <t>Y53241</t>
    <phoneticPr fontId="3" type="noConversion"/>
  </si>
  <si>
    <r>
      <rPr>
        <sz val="10"/>
        <color theme="1"/>
        <rFont val="Arial Unicode MS"/>
        <family val="2"/>
        <charset val="134"/>
      </rPr>
      <t>志华鑫名义下单</t>
    </r>
    <phoneticPr fontId="3" type="noConversion"/>
  </si>
  <si>
    <t>Y53846</t>
    <phoneticPr fontId="3" type="noConversion"/>
  </si>
  <si>
    <t>Y53848</t>
    <phoneticPr fontId="3" type="noConversion"/>
  </si>
  <si>
    <t>Y53849</t>
    <phoneticPr fontId="3" type="noConversion"/>
  </si>
  <si>
    <t>Y53618</t>
    <phoneticPr fontId="3" type="noConversion"/>
  </si>
  <si>
    <t>Y53619</t>
    <phoneticPr fontId="3" type="noConversion"/>
  </si>
  <si>
    <r>
      <t>Y53613</t>
    </r>
    <r>
      <rPr>
        <sz val="10"/>
        <color theme="1"/>
        <rFont val="宋体"/>
        <family val="2"/>
        <charset val="134"/>
      </rPr>
      <t>不能调动机器</t>
    </r>
    <phoneticPr fontId="3" type="noConversion"/>
  </si>
  <si>
    <r>
      <t>Y53614</t>
    </r>
    <r>
      <rPr>
        <sz val="10"/>
        <color theme="1"/>
        <rFont val="宋体"/>
        <family val="2"/>
        <charset val="134"/>
      </rPr>
      <t>不能调动机器</t>
    </r>
    <phoneticPr fontId="3" type="noConversion"/>
  </si>
  <si>
    <t>Y53615</t>
    <phoneticPr fontId="3" type="noConversion"/>
  </si>
  <si>
    <t>Y53616</t>
    <phoneticPr fontId="3" type="noConversion"/>
  </si>
  <si>
    <t>Y53617</t>
    <phoneticPr fontId="3" type="noConversion"/>
  </si>
  <si>
    <t>Y53620</t>
    <phoneticPr fontId="3" type="noConversion"/>
  </si>
  <si>
    <t>C210139194</t>
  </si>
  <si>
    <t>Y53621</t>
    <phoneticPr fontId="3" type="noConversion"/>
  </si>
  <si>
    <t>Y53622</t>
    <phoneticPr fontId="3" type="noConversion"/>
  </si>
  <si>
    <r>
      <t>Y53623</t>
    </r>
    <r>
      <rPr>
        <sz val="10"/>
        <color theme="1"/>
        <rFont val="宋体"/>
        <family val="2"/>
        <charset val="134"/>
      </rPr>
      <t>（不能调动)</t>
    </r>
    <phoneticPr fontId="3" type="noConversion"/>
  </si>
  <si>
    <t>AUG 21</t>
  </si>
  <si>
    <t>C210740713</t>
    <phoneticPr fontId="3" type="noConversion"/>
  </si>
  <si>
    <r>
      <rPr>
        <sz val="10"/>
        <color theme="1"/>
        <rFont val="Arial Unicode MS"/>
        <family val="2"/>
        <charset val="134"/>
      </rPr>
      <t>鸿通宇名义</t>
    </r>
    <phoneticPr fontId="3" type="noConversion"/>
  </si>
  <si>
    <r>
      <rPr>
        <sz val="10"/>
        <color theme="1"/>
        <rFont val="Arial Unicode MS"/>
        <family val="2"/>
        <charset val="134"/>
      </rPr>
      <t>益田名义下单</t>
    </r>
    <phoneticPr fontId="3" type="noConversion"/>
  </si>
  <si>
    <t>Y53630</t>
    <phoneticPr fontId="3" type="noConversion"/>
  </si>
  <si>
    <t>Y53631</t>
  </si>
  <si>
    <t>C200737853</t>
  </si>
  <si>
    <t>Y53632</t>
    <phoneticPr fontId="3" type="noConversion"/>
  </si>
  <si>
    <t>Y53633</t>
    <phoneticPr fontId="3" type="noConversion"/>
  </si>
  <si>
    <r>
      <t>110106 (</t>
    </r>
    <r>
      <rPr>
        <sz val="9"/>
        <color theme="1"/>
        <rFont val="Arial Unicode MS"/>
        <family val="2"/>
        <charset val="134"/>
      </rPr>
      <t>拆单</t>
    </r>
    <r>
      <rPr>
        <sz val="9"/>
        <color theme="1"/>
        <rFont val="Arial"/>
        <family val="2"/>
      </rPr>
      <t>110215)</t>
    </r>
    <phoneticPr fontId="3" type="noConversion"/>
  </si>
  <si>
    <t>Y53634</t>
    <phoneticPr fontId="3" type="noConversion"/>
  </si>
  <si>
    <r>
      <t>110106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110208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</si>
  <si>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Y53635</t>
    <phoneticPr fontId="3" type="noConversion"/>
  </si>
  <si>
    <r>
      <t xml:space="preserve">TBA Po </t>
    </r>
    <r>
      <rPr>
        <sz val="8"/>
        <color rgb="FFFF0000"/>
        <rFont val="Arial Unicode MS"/>
        <family val="2"/>
      </rPr>
      <t>用</t>
    </r>
    <r>
      <rPr>
        <sz val="8"/>
        <color rgb="FFFF0000"/>
        <rFont val="Arial"/>
        <family val="2"/>
      </rPr>
      <t>110181</t>
    </r>
    <phoneticPr fontId="3" type="noConversion"/>
  </si>
  <si>
    <t>Y53636</t>
    <phoneticPr fontId="3" type="noConversion"/>
  </si>
  <si>
    <t>C210239227</t>
    <phoneticPr fontId="106" type="noConversion"/>
  </si>
  <si>
    <t>Y53637</t>
  </si>
  <si>
    <t>C171030541</t>
  </si>
  <si>
    <t>Y53842</t>
    <phoneticPr fontId="3" type="noConversion"/>
  </si>
  <si>
    <r>
      <rPr>
        <sz val="10"/>
        <color theme="1"/>
        <rFont val="Arial Unicode MS"/>
        <family val="2"/>
        <charset val="134"/>
      </rPr>
      <t>华彩鑫名义</t>
    </r>
    <phoneticPr fontId="3" type="noConversion"/>
  </si>
  <si>
    <t>Y54173</t>
    <phoneticPr fontId="3" type="noConversion"/>
  </si>
  <si>
    <t>码头-&gt;准备清关</t>
  </si>
  <si>
    <t>C210239202</t>
  </si>
  <si>
    <t>Y54174</t>
    <phoneticPr fontId="3" type="noConversion"/>
  </si>
  <si>
    <t>Y53843</t>
    <phoneticPr fontId="3" type="noConversion"/>
  </si>
  <si>
    <t>Y53844</t>
    <phoneticPr fontId="3" type="noConversion"/>
  </si>
  <si>
    <t>C200838017</t>
  </si>
  <si>
    <r>
      <t>110107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110209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</si>
  <si>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Y53845</t>
    <phoneticPr fontId="3" type="noConversion"/>
  </si>
  <si>
    <t>Y53847</t>
    <phoneticPr fontId="3" type="noConversion"/>
  </si>
  <si>
    <t>C210339637</t>
  </si>
  <si>
    <t>Y53962</t>
    <phoneticPr fontId="3" type="noConversion"/>
  </si>
  <si>
    <t>C190635053</t>
  </si>
  <si>
    <t>Y53963</t>
    <phoneticPr fontId="3" type="noConversion"/>
  </si>
  <si>
    <t>Y53964</t>
    <phoneticPr fontId="3" type="noConversion"/>
  </si>
  <si>
    <t>C210239281</t>
    <phoneticPr fontId="3" type="noConversion"/>
  </si>
  <si>
    <t>Y53965</t>
    <phoneticPr fontId="3" type="noConversion"/>
  </si>
  <si>
    <t>C200437242</t>
  </si>
  <si>
    <t>Y53966</t>
    <phoneticPr fontId="3" type="noConversion"/>
  </si>
  <si>
    <t>Y53624</t>
    <phoneticPr fontId="3" type="noConversion"/>
  </si>
  <si>
    <t>C210139067</t>
    <phoneticPr fontId="3" type="noConversion"/>
  </si>
  <si>
    <t>R0625L</t>
  </si>
  <si>
    <r>
      <rPr>
        <sz val="9"/>
        <color theme="1"/>
        <rFont val="Arial Unicode MS"/>
        <family val="2"/>
        <charset val="134"/>
      </rPr>
      <t>力丰</t>
    </r>
    <phoneticPr fontId="3" type="noConversion"/>
  </si>
  <si>
    <t>力丰</t>
    <phoneticPr fontId="3" type="noConversion"/>
  </si>
  <si>
    <t>HK 仓库</t>
  </si>
  <si>
    <t>上海客户</t>
    <phoneticPr fontId="3" type="noConversion"/>
  </si>
  <si>
    <t>Y53564</t>
    <phoneticPr fontId="3" type="noConversion"/>
  </si>
  <si>
    <r>
      <t>110096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110241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</si>
  <si>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Y53565</t>
  </si>
  <si>
    <t>Y53566</t>
  </si>
  <si>
    <t xml:space="preserve">C200336910 </t>
    <phoneticPr fontId="3" type="noConversion"/>
  </si>
  <si>
    <t>Y53567</t>
    <phoneticPr fontId="3" type="noConversion"/>
  </si>
  <si>
    <t>C210139127</t>
  </si>
  <si>
    <t>C210439957</t>
  </si>
  <si>
    <t>Y54026</t>
    <phoneticPr fontId="3" type="noConversion"/>
  </si>
  <si>
    <r>
      <t>110235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110242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</si>
  <si>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Y54024</t>
    <phoneticPr fontId="3" type="noConversion"/>
  </si>
  <si>
    <t>C200637621</t>
    <phoneticPr fontId="3" type="noConversion"/>
  </si>
  <si>
    <t>Y54025</t>
    <phoneticPr fontId="3" type="noConversion"/>
  </si>
  <si>
    <t>Y54027</t>
    <phoneticPr fontId="3" type="noConversion"/>
  </si>
  <si>
    <t>C210339459</t>
    <phoneticPr fontId="3" type="noConversion"/>
  </si>
  <si>
    <t>Y54028</t>
    <phoneticPr fontId="3" type="noConversion"/>
  </si>
  <si>
    <t>Y54102</t>
  </si>
  <si>
    <t>C150422959</t>
    <phoneticPr fontId="3" type="noConversion"/>
  </si>
  <si>
    <t>Y54103</t>
  </si>
  <si>
    <t>Y54104</t>
  </si>
  <si>
    <t>Y54105</t>
  </si>
  <si>
    <t>C210239208</t>
    <phoneticPr fontId="3" type="noConversion"/>
  </si>
  <si>
    <t>Y54198</t>
    <phoneticPr fontId="3" type="noConversion"/>
  </si>
  <si>
    <t>C180431829</t>
    <phoneticPr fontId="3" type="noConversion"/>
  </si>
  <si>
    <t>Y54199</t>
    <phoneticPr fontId="3" type="noConversion"/>
  </si>
  <si>
    <t>C210139111</t>
    <phoneticPr fontId="3" type="noConversion"/>
  </si>
  <si>
    <t>Y54200</t>
    <phoneticPr fontId="3" type="noConversion"/>
  </si>
  <si>
    <t>Y54201</t>
    <phoneticPr fontId="3" type="noConversion"/>
  </si>
  <si>
    <t>Y54202</t>
    <phoneticPr fontId="3" type="noConversion"/>
  </si>
  <si>
    <t>Y54106</t>
    <phoneticPr fontId="3" type="noConversion"/>
  </si>
  <si>
    <t>Y54107</t>
    <phoneticPr fontId="3" type="noConversion"/>
  </si>
  <si>
    <t>Y54108</t>
    <phoneticPr fontId="3" type="noConversion"/>
  </si>
  <si>
    <t>C180532243</t>
  </si>
  <si>
    <t>Y54109</t>
    <phoneticPr fontId="3" type="noConversion"/>
  </si>
  <si>
    <t>C200236775</t>
  </si>
  <si>
    <t>Y54110</t>
    <phoneticPr fontId="3" type="noConversion"/>
  </si>
  <si>
    <t>力合仓库(已经清关)</t>
  </si>
  <si>
    <r>
      <t>0.0599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宋体"/>
        <family val="2"/>
        <charset val="134"/>
      </rPr>
      <t>用110407</t>
    </r>
    <phoneticPr fontId="3" type="noConversion"/>
  </si>
  <si>
    <t>C210139036</t>
  </si>
  <si>
    <r>
      <rPr>
        <sz val="10"/>
        <color theme="1"/>
        <rFont val="Arial Unicode MS"/>
        <family val="2"/>
        <charset val="134"/>
      </rPr>
      <t>众鑫科名义</t>
    </r>
    <phoneticPr fontId="3" type="noConversion"/>
  </si>
  <si>
    <t>Y54554</t>
    <phoneticPr fontId="3" type="noConversion"/>
  </si>
  <si>
    <t>C210339539</t>
    <phoneticPr fontId="3" type="noConversion"/>
  </si>
  <si>
    <t>Y54555</t>
    <phoneticPr fontId="3" type="noConversion"/>
  </si>
  <si>
    <t>C170429029</t>
  </si>
  <si>
    <t>Y54556</t>
    <phoneticPr fontId="3" type="noConversion"/>
  </si>
  <si>
    <t>C161027838</t>
  </si>
  <si>
    <t>上海货</t>
    <phoneticPr fontId="3" type="noConversion"/>
  </si>
  <si>
    <t>Y55488</t>
    <phoneticPr fontId="3" type="noConversion"/>
  </si>
  <si>
    <t>Y54557</t>
    <phoneticPr fontId="3" type="noConversion"/>
  </si>
  <si>
    <t>Stock order(reserved by Leader Tech)</t>
    <phoneticPr fontId="3" type="noConversion"/>
  </si>
  <si>
    <t>Y54386</t>
    <phoneticPr fontId="3" type="noConversion"/>
  </si>
  <si>
    <t>2021-2-20</t>
    <phoneticPr fontId="71"/>
  </si>
  <si>
    <t>C190434451</t>
  </si>
  <si>
    <t>Y54387</t>
    <phoneticPr fontId="3" type="noConversion"/>
  </si>
  <si>
    <t>C210540156</t>
    <phoneticPr fontId="3" type="noConversion"/>
  </si>
  <si>
    <t>Y54388</t>
    <phoneticPr fontId="3" type="noConversion"/>
  </si>
  <si>
    <t>Y54389</t>
    <phoneticPr fontId="3" type="noConversion"/>
  </si>
  <si>
    <t>Y54390</t>
    <phoneticPr fontId="3" type="noConversion"/>
  </si>
  <si>
    <t>Y54381</t>
    <phoneticPr fontId="3" type="noConversion"/>
  </si>
  <si>
    <t>C210339453</t>
  </si>
  <si>
    <t>Y54382</t>
    <phoneticPr fontId="3" type="noConversion"/>
  </si>
  <si>
    <t>Y54383</t>
    <phoneticPr fontId="3" type="noConversion"/>
  </si>
  <si>
    <t>C210239312</t>
  </si>
  <si>
    <t>Y54384</t>
    <phoneticPr fontId="3" type="noConversion"/>
  </si>
  <si>
    <t>Y54385</t>
    <phoneticPr fontId="3" type="noConversion"/>
  </si>
  <si>
    <t>Y54204</t>
    <phoneticPr fontId="3" type="noConversion"/>
  </si>
  <si>
    <t>C210239322</t>
    <phoneticPr fontId="106" type="noConversion"/>
  </si>
  <si>
    <t>C210239433</t>
  </si>
  <si>
    <t>Y54206</t>
  </si>
  <si>
    <t>C210139192</t>
    <phoneticPr fontId="3" type="noConversion"/>
  </si>
  <si>
    <r>
      <rPr>
        <sz val="9"/>
        <color theme="1"/>
        <rFont val="Arial Unicode MS"/>
        <family val="2"/>
        <charset val="134"/>
      </rPr>
      <t>上海预留</t>
    </r>
    <phoneticPr fontId="3" type="noConversion"/>
  </si>
  <si>
    <t>C49BJS20201218ZX</t>
    <phoneticPr fontId="3" type="noConversion"/>
  </si>
  <si>
    <t>怡德发（固安）电子</t>
    <phoneticPr fontId="3" type="noConversion"/>
  </si>
  <si>
    <r>
      <rPr>
        <sz val="9"/>
        <color theme="1"/>
        <rFont val="Arial Unicode MS"/>
        <family val="2"/>
        <charset val="134"/>
      </rPr>
      <t>上海预留。</t>
    </r>
    <phoneticPr fontId="3" type="noConversion"/>
  </si>
  <si>
    <t>Y54689</t>
    <phoneticPr fontId="3" type="noConversion"/>
  </si>
  <si>
    <t>Y54690</t>
    <phoneticPr fontId="3" type="noConversion"/>
  </si>
  <si>
    <t>Y54691</t>
    <phoneticPr fontId="3" type="noConversion"/>
  </si>
  <si>
    <t>C210239298</t>
    <phoneticPr fontId="3" type="noConversion"/>
  </si>
  <si>
    <t>Y54692</t>
    <phoneticPr fontId="3" type="noConversion"/>
  </si>
  <si>
    <t>Y54693</t>
    <phoneticPr fontId="3" type="noConversion"/>
  </si>
  <si>
    <t>C170729808</t>
    <phoneticPr fontId="3" type="noConversion"/>
  </si>
  <si>
    <r>
      <t>110287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110276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</si>
  <si>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Y54558</t>
    <phoneticPr fontId="3" type="noConversion"/>
  </si>
  <si>
    <t>Y54559</t>
    <phoneticPr fontId="3" type="noConversion"/>
  </si>
  <si>
    <t>Y54560</t>
    <phoneticPr fontId="3" type="noConversion"/>
  </si>
  <si>
    <t>Y54561</t>
    <phoneticPr fontId="3" type="noConversion"/>
  </si>
  <si>
    <r>
      <t>110172</t>
    </r>
    <r>
      <rPr>
        <sz val="9"/>
        <color theme="1"/>
        <rFont val="Arial Unicode MS"/>
        <family val="2"/>
        <charset val="134"/>
      </rPr>
      <t>（拆分</t>
    </r>
    <r>
      <rPr>
        <sz val="9"/>
        <color theme="1"/>
        <rFont val="Arial"/>
        <family val="2"/>
      </rPr>
      <t>PO110275)</t>
    </r>
    <phoneticPr fontId="3" type="noConversion"/>
  </si>
  <si>
    <t>Y54662</t>
    <phoneticPr fontId="3" type="noConversion"/>
  </si>
  <si>
    <t>Y54663</t>
    <phoneticPr fontId="3" type="noConversion"/>
  </si>
  <si>
    <t>Y54664</t>
    <phoneticPr fontId="3" type="noConversion"/>
  </si>
  <si>
    <t>Y54665</t>
    <phoneticPr fontId="3" type="noConversion"/>
  </si>
  <si>
    <t>C190735224</t>
  </si>
  <si>
    <t>Y54666</t>
    <phoneticPr fontId="3" type="noConversion"/>
  </si>
  <si>
    <t>C210439795</t>
    <phoneticPr fontId="3" type="noConversion"/>
  </si>
  <si>
    <t>Y54667</t>
    <phoneticPr fontId="3" type="noConversion"/>
  </si>
  <si>
    <t>C210540156</t>
  </si>
  <si>
    <t>Y54668</t>
    <phoneticPr fontId="3" type="noConversion"/>
  </si>
  <si>
    <t>Y54669</t>
    <phoneticPr fontId="3" type="noConversion"/>
  </si>
  <si>
    <t>Y54670</t>
    <phoneticPr fontId="3" type="noConversion"/>
  </si>
  <si>
    <t>Y54671</t>
    <phoneticPr fontId="3" type="noConversion"/>
  </si>
  <si>
    <r>
      <t>110151(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110270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</si>
  <si>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Y54696</t>
    <phoneticPr fontId="3" type="noConversion"/>
  </si>
  <si>
    <t>Y54697</t>
    <phoneticPr fontId="3" type="noConversion"/>
  </si>
  <si>
    <t>Y54694</t>
    <phoneticPr fontId="3" type="noConversion"/>
  </si>
  <si>
    <t>Y54695</t>
    <phoneticPr fontId="3" type="noConversion"/>
  </si>
  <si>
    <t>C210239201</t>
    <phoneticPr fontId="3" type="noConversion"/>
  </si>
  <si>
    <t>Y54698</t>
    <phoneticPr fontId="3" type="noConversion"/>
  </si>
  <si>
    <r>
      <rPr>
        <sz val="10"/>
        <color theme="1"/>
        <rFont val="Arial Unicode MS"/>
        <family val="2"/>
        <charset val="134"/>
      </rPr>
      <t>音品名义下单</t>
    </r>
    <phoneticPr fontId="3" type="noConversion"/>
  </si>
  <si>
    <t>Y55072</t>
    <phoneticPr fontId="3" type="noConversion"/>
  </si>
  <si>
    <t>C181133399</t>
    <phoneticPr fontId="3" type="noConversion"/>
  </si>
  <si>
    <t>Y55073</t>
    <phoneticPr fontId="3" type="noConversion"/>
  </si>
  <si>
    <t>Y55074</t>
    <phoneticPr fontId="3" type="noConversion"/>
  </si>
  <si>
    <t>Y55075</t>
    <phoneticPr fontId="3" type="noConversion"/>
  </si>
  <si>
    <t>Y55076</t>
    <phoneticPr fontId="3" type="noConversion"/>
  </si>
  <si>
    <t>Y54855</t>
    <phoneticPr fontId="3" type="noConversion"/>
  </si>
  <si>
    <t>Y54974</t>
    <phoneticPr fontId="3" type="noConversion"/>
  </si>
  <si>
    <t>Y54391</t>
    <phoneticPr fontId="3" type="noConversion"/>
  </si>
  <si>
    <t>C210339444</t>
    <phoneticPr fontId="3" type="noConversion"/>
  </si>
  <si>
    <t>Y54392</t>
    <phoneticPr fontId="3" type="noConversion"/>
  </si>
  <si>
    <t>Y54393</t>
    <phoneticPr fontId="3" type="noConversion"/>
  </si>
  <si>
    <t>Y54394</t>
    <phoneticPr fontId="3" type="noConversion"/>
  </si>
  <si>
    <t>Y54395</t>
    <phoneticPr fontId="3" type="noConversion"/>
  </si>
  <si>
    <t>C210139083</t>
    <phoneticPr fontId="3" type="noConversion"/>
  </si>
  <si>
    <t>Y55289</t>
    <phoneticPr fontId="3" type="noConversion"/>
  </si>
  <si>
    <t>C210239270</t>
  </si>
  <si>
    <t>Y55163</t>
    <phoneticPr fontId="3" type="noConversion"/>
  </si>
  <si>
    <t>C210439784</t>
  </si>
  <si>
    <t>C210439993</t>
  </si>
  <si>
    <t>上海预留..</t>
    <phoneticPr fontId="3" type="noConversion"/>
  </si>
  <si>
    <t>Y55174</t>
    <phoneticPr fontId="3" type="noConversion"/>
  </si>
  <si>
    <t>NM(CR:0.0621</t>
    <phoneticPr fontId="3" type="noConversion"/>
  </si>
  <si>
    <t>C49SHA20210326</t>
    <phoneticPr fontId="3" type="noConversion"/>
  </si>
  <si>
    <t>上海多越</t>
    <phoneticPr fontId="3" type="noConversion"/>
  </si>
  <si>
    <t>L-&gt;R</t>
    <phoneticPr fontId="3" type="noConversion"/>
  </si>
  <si>
    <r>
      <t>0.0606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宋体"/>
        <family val="2"/>
        <charset val="134"/>
      </rPr>
      <t>用110430</t>
    </r>
    <phoneticPr fontId="3" type="noConversion"/>
  </si>
  <si>
    <t>C210740683</t>
  </si>
  <si>
    <t>Y54980</t>
    <phoneticPr fontId="3" type="noConversion"/>
  </si>
  <si>
    <t>Y54982</t>
    <phoneticPr fontId="3" type="noConversion"/>
  </si>
  <si>
    <t>C210440011</t>
  </si>
  <si>
    <t>C210139105</t>
  </si>
  <si>
    <t>Y55399</t>
    <phoneticPr fontId="3" type="noConversion"/>
  </si>
  <si>
    <r>
      <t>Y55400</t>
    </r>
    <r>
      <rPr>
        <sz val="10"/>
        <color theme="1"/>
        <rFont val="宋体"/>
        <family val="2"/>
        <charset val="134"/>
      </rPr>
      <t>，不能调动</t>
    </r>
    <phoneticPr fontId="3" type="noConversion"/>
  </si>
  <si>
    <t>C190334211</t>
  </si>
  <si>
    <t>Y55401</t>
    <phoneticPr fontId="3" type="noConversion"/>
  </si>
  <si>
    <t>Y55403</t>
    <phoneticPr fontId="3" type="noConversion"/>
  </si>
  <si>
    <t>C200437179</t>
  </si>
  <si>
    <t>Y55170</t>
    <phoneticPr fontId="3" type="noConversion"/>
  </si>
  <si>
    <t>C190434521</t>
  </si>
  <si>
    <t>上海预留…</t>
    <phoneticPr fontId="3" type="noConversion"/>
  </si>
  <si>
    <t>C49SHA20210422/ZQR</t>
    <phoneticPr fontId="3" type="noConversion"/>
  </si>
  <si>
    <t>上海项如电子科技有限公司</t>
    <phoneticPr fontId="3" type="noConversion"/>
  </si>
  <si>
    <r>
      <t>110348(</t>
    </r>
    <r>
      <rPr>
        <sz val="9"/>
        <color theme="1"/>
        <rFont val="Microsoft YaHei UI"/>
        <family val="2"/>
        <charset val="134"/>
      </rPr>
      <t>拆单</t>
    </r>
    <r>
      <rPr>
        <sz val="9"/>
        <color theme="1"/>
        <rFont val="Arial"/>
        <family val="2"/>
      </rPr>
      <t>110364)</t>
    </r>
    <phoneticPr fontId="3" type="noConversion"/>
  </si>
  <si>
    <t>Y55171</t>
    <phoneticPr fontId="3" type="noConversion"/>
  </si>
  <si>
    <r>
      <t>NM PO</t>
    </r>
    <r>
      <rPr>
        <sz val="8"/>
        <color rgb="FFFF0000"/>
        <rFont val="宋体"/>
        <family val="2"/>
        <charset val="134"/>
      </rPr>
      <t>用</t>
    </r>
    <r>
      <rPr>
        <sz val="8"/>
        <color rgb="FFFF0000"/>
        <rFont val="Arial"/>
        <family val="2"/>
      </rPr>
      <t>110347</t>
    </r>
    <phoneticPr fontId="3" type="noConversion"/>
  </si>
  <si>
    <t>C210439739</t>
  </si>
  <si>
    <t>Y55173</t>
    <phoneticPr fontId="3" type="noConversion"/>
  </si>
  <si>
    <r>
      <t>110347(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110339)</t>
    </r>
    <phoneticPr fontId="3" type="noConversion"/>
  </si>
  <si>
    <t>Y55423</t>
    <phoneticPr fontId="3" type="noConversion"/>
  </si>
  <si>
    <r>
      <t>NM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宋体"/>
        <family val="2"/>
        <charset val="134"/>
      </rPr>
      <t>用110348</t>
    </r>
    <phoneticPr fontId="3" type="noConversion"/>
  </si>
  <si>
    <t>C210439833</t>
  </si>
  <si>
    <t>Y55424</t>
    <phoneticPr fontId="3" type="noConversion"/>
  </si>
  <si>
    <r>
      <t>0.0605  PO</t>
    </r>
    <r>
      <rPr>
        <sz val="8"/>
        <color rgb="FFFF0000"/>
        <rFont val="宋体"/>
        <family val="2"/>
        <charset val="134"/>
      </rPr>
      <t>用110364</t>
    </r>
    <phoneticPr fontId="3" type="noConversion"/>
  </si>
  <si>
    <r>
      <t>110347(</t>
    </r>
    <r>
      <rPr>
        <sz val="9"/>
        <color theme="1"/>
        <rFont val="宋体"/>
        <family val="2"/>
        <charset val="134"/>
      </rPr>
      <t>拆单110337)</t>
    </r>
    <phoneticPr fontId="3" type="noConversion"/>
  </si>
  <si>
    <t>Y55425</t>
    <phoneticPr fontId="3" type="noConversion"/>
  </si>
  <si>
    <t>Y55426</t>
    <phoneticPr fontId="3" type="noConversion"/>
  </si>
  <si>
    <t>C191035936</t>
  </si>
  <si>
    <r>
      <t>110347(</t>
    </r>
    <r>
      <rPr>
        <sz val="9"/>
        <color theme="1"/>
        <rFont val="微软雅黑"/>
        <family val="2"/>
        <charset val="134"/>
      </rPr>
      <t>拆单</t>
    </r>
    <r>
      <rPr>
        <sz val="9"/>
        <color theme="1"/>
        <rFont val="Arial"/>
        <family val="2"/>
      </rPr>
      <t>110339)</t>
    </r>
    <phoneticPr fontId="3" type="noConversion"/>
  </si>
  <si>
    <t>Y55427</t>
    <phoneticPr fontId="3" type="noConversion"/>
  </si>
  <si>
    <t>Y55408</t>
    <phoneticPr fontId="3" type="noConversion"/>
  </si>
  <si>
    <r>
      <rPr>
        <sz val="10"/>
        <color theme="1"/>
        <rFont val="Arial Unicode MS"/>
        <family val="2"/>
        <charset val="134"/>
      </rPr>
      <t>精德鸿名义下单</t>
    </r>
    <phoneticPr fontId="3" type="noConversion"/>
  </si>
  <si>
    <t>Y55697</t>
    <phoneticPr fontId="3" type="noConversion"/>
  </si>
  <si>
    <t>C180732624</t>
  </si>
  <si>
    <r>
      <t>Y55698</t>
    </r>
    <r>
      <rPr>
        <sz val="10"/>
        <color theme="1"/>
        <rFont val="宋体"/>
        <family val="2"/>
        <charset val="134"/>
      </rPr>
      <t>，不能调动</t>
    </r>
    <phoneticPr fontId="3" type="noConversion"/>
  </si>
  <si>
    <r>
      <t>0.0605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PO</t>
    </r>
    <r>
      <rPr>
        <sz val="8"/>
        <color theme="1"/>
        <rFont val="宋体"/>
        <family val="2"/>
        <charset val="134"/>
      </rPr>
      <t>用110365</t>
    </r>
    <phoneticPr fontId="3" type="noConversion"/>
  </si>
  <si>
    <t>C210640335</t>
    <phoneticPr fontId="3" type="noConversion"/>
  </si>
  <si>
    <t>C210439928</t>
    <phoneticPr fontId="3" type="noConversion"/>
  </si>
  <si>
    <r>
      <t>110272(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110428)</t>
    </r>
    <phoneticPr fontId="3" type="noConversion"/>
  </si>
  <si>
    <t>Y55701</t>
    <phoneticPr fontId="3" type="noConversion"/>
  </si>
  <si>
    <r>
      <t>110272(</t>
    </r>
    <r>
      <rPr>
        <sz val="9"/>
        <color theme="1"/>
        <rFont val="宋体"/>
        <family val="2"/>
        <charset val="134"/>
      </rPr>
      <t>拆单110407)</t>
    </r>
    <phoneticPr fontId="3" type="noConversion"/>
  </si>
  <si>
    <t>Y55702</t>
    <phoneticPr fontId="3" type="noConversion"/>
  </si>
  <si>
    <r>
      <t>NM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宋体"/>
        <family val="2"/>
        <charset val="134"/>
      </rPr>
      <t>用110133</t>
    </r>
    <phoneticPr fontId="3" type="noConversion"/>
  </si>
  <si>
    <t>龙大名义下单</t>
    <phoneticPr fontId="3" type="noConversion"/>
  </si>
  <si>
    <t>Y55746</t>
    <phoneticPr fontId="3" type="noConversion"/>
  </si>
  <si>
    <t>72GD</t>
  </si>
  <si>
    <t>Y55747</t>
    <phoneticPr fontId="3" type="noConversion"/>
  </si>
  <si>
    <t>Y55748</t>
    <phoneticPr fontId="3" type="noConversion"/>
  </si>
  <si>
    <t>Y55749</t>
    <phoneticPr fontId="3" type="noConversion"/>
  </si>
  <si>
    <t>嘉裕名义下单</t>
    <phoneticPr fontId="3" type="noConversion"/>
  </si>
  <si>
    <t>Y54770</t>
    <phoneticPr fontId="3" type="noConversion"/>
  </si>
  <si>
    <r>
      <t>CY</t>
    </r>
    <r>
      <rPr>
        <sz val="10"/>
        <color theme="1"/>
        <rFont val="微软雅黑"/>
        <family val="2"/>
        <charset val="134"/>
      </rPr>
      <t>仓库</t>
    </r>
    <phoneticPr fontId="3" type="noConversion"/>
  </si>
  <si>
    <r>
      <t>110245</t>
    </r>
    <r>
      <rPr>
        <sz val="9"/>
        <color theme="1"/>
        <rFont val="宋体"/>
        <family val="2"/>
        <charset val="134"/>
      </rPr>
      <t>（拆单110361）</t>
    </r>
    <phoneticPr fontId="3" type="noConversion"/>
  </si>
  <si>
    <t>C200136594</t>
  </si>
  <si>
    <t>Y55687</t>
    <phoneticPr fontId="3" type="noConversion"/>
  </si>
  <si>
    <t>C200337000</t>
  </si>
  <si>
    <t>Y55691</t>
    <phoneticPr fontId="3" type="noConversion"/>
  </si>
  <si>
    <t>C210540263</t>
    <phoneticPr fontId="3" type="noConversion"/>
  </si>
  <si>
    <t>C210439747</t>
  </si>
  <si>
    <t>奕东名义下单</t>
    <phoneticPr fontId="3" type="noConversion"/>
  </si>
  <si>
    <t>Y55393</t>
    <phoneticPr fontId="3" type="noConversion"/>
  </si>
  <si>
    <t>C210439741</t>
  </si>
  <si>
    <r>
      <t>110346(</t>
    </r>
    <r>
      <rPr>
        <sz val="9"/>
        <color theme="1"/>
        <rFont val="宋体"/>
        <family val="2"/>
        <charset val="134"/>
      </rPr>
      <t>拆单110340)</t>
    </r>
    <phoneticPr fontId="3" type="noConversion"/>
  </si>
  <si>
    <r>
      <t>110346(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110409)</t>
    </r>
    <phoneticPr fontId="3" type="noConversion"/>
  </si>
  <si>
    <t>Y55431</t>
    <phoneticPr fontId="3" type="noConversion"/>
  </si>
  <si>
    <t>C210540191</t>
  </si>
  <si>
    <r>
      <t>110227</t>
    </r>
    <r>
      <rPr>
        <sz val="9"/>
        <color theme="1"/>
        <rFont val="宋体"/>
        <family val="2"/>
        <charset val="134"/>
      </rPr>
      <t>（拆单110362）</t>
    </r>
    <phoneticPr fontId="3" type="noConversion"/>
  </si>
  <si>
    <t>Y54955</t>
    <phoneticPr fontId="3" type="noConversion"/>
  </si>
  <si>
    <r>
      <rPr>
        <sz val="8"/>
        <color rgb="FFFF0000"/>
        <rFont val="Arial"/>
        <family val="2"/>
      </rPr>
      <t>0.0599 PO</t>
    </r>
    <r>
      <rPr>
        <sz val="8"/>
        <color rgb="FFFF0000"/>
        <rFont val="宋体"/>
        <family val="2"/>
        <charset val="134"/>
      </rPr>
      <t>用</t>
    </r>
    <r>
      <rPr>
        <sz val="8"/>
        <color rgb="FFFF0000"/>
        <rFont val="Arial"/>
        <family val="2"/>
      </rPr>
      <t>110408</t>
    </r>
    <phoneticPr fontId="3" type="noConversion"/>
  </si>
  <si>
    <t>Y54956</t>
    <phoneticPr fontId="3" type="noConversion"/>
  </si>
  <si>
    <t>Y54957</t>
    <phoneticPr fontId="3" type="noConversion"/>
  </si>
  <si>
    <r>
      <t>NM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宋体"/>
        <family val="2"/>
        <charset val="134"/>
      </rPr>
      <t>用110238</t>
    </r>
    <phoneticPr fontId="3" type="noConversion"/>
  </si>
  <si>
    <t>Y55550</t>
  </si>
  <si>
    <t>C210440026</t>
  </si>
  <si>
    <t>Y55551</t>
  </si>
  <si>
    <t>Y55555</t>
  </si>
  <si>
    <t>Y55594</t>
  </si>
  <si>
    <t>C210239252</t>
  </si>
  <si>
    <t>Y55595</t>
  </si>
  <si>
    <t>Y55596</t>
  </si>
  <si>
    <t>Y55597</t>
  </si>
  <si>
    <t>Y55598</t>
  </si>
  <si>
    <t>C150222453</t>
    <phoneticPr fontId="3" type="noConversion"/>
  </si>
  <si>
    <r>
      <t>110228(</t>
    </r>
    <r>
      <rPr>
        <sz val="9"/>
        <color theme="1"/>
        <rFont val="宋体"/>
        <family val="2"/>
        <charset val="134"/>
      </rPr>
      <t>拆单110338)</t>
    </r>
    <phoneticPr fontId="3" type="noConversion"/>
  </si>
  <si>
    <t>Y54940</t>
  </si>
  <si>
    <t>Y54941</t>
  </si>
  <si>
    <t>Y54942</t>
  </si>
  <si>
    <t>Y54943</t>
    <phoneticPr fontId="3" type="noConversion"/>
  </si>
  <si>
    <t>C210440018</t>
  </si>
  <si>
    <t>Y54944</t>
  </si>
  <si>
    <t>Y54945</t>
  </si>
  <si>
    <t>Y54946</t>
  </si>
  <si>
    <t>Nm</t>
    <phoneticPr fontId="3" type="noConversion"/>
  </si>
  <si>
    <t>Y54947</t>
  </si>
  <si>
    <t>Y54948</t>
  </si>
  <si>
    <t>Y54949</t>
  </si>
  <si>
    <t>Y54950</t>
  </si>
  <si>
    <t>Y54951</t>
  </si>
  <si>
    <t>Y54952</t>
  </si>
  <si>
    <t>Y54953</t>
    <phoneticPr fontId="3" type="noConversion"/>
  </si>
  <si>
    <t>Y54954</t>
  </si>
  <si>
    <t>Y56411</t>
  </si>
  <si>
    <t>C200537332</t>
  </si>
  <si>
    <t>Y56412</t>
  </si>
  <si>
    <t>Y56413</t>
  </si>
  <si>
    <t>Y56414</t>
  </si>
  <si>
    <t>Y56415</t>
  </si>
  <si>
    <t>Y56416</t>
  </si>
  <si>
    <t>Y56417</t>
  </si>
  <si>
    <t>Y56261</t>
  </si>
  <si>
    <t>Y56418</t>
  </si>
  <si>
    <r>
      <t>110248(</t>
    </r>
    <r>
      <rPr>
        <sz val="9"/>
        <color theme="1"/>
        <rFont val="宋体"/>
        <family val="2"/>
        <charset val="134"/>
      </rPr>
      <t>拆单110408)</t>
    </r>
    <phoneticPr fontId="3" type="noConversion"/>
  </si>
  <si>
    <t>Y55552</t>
    <phoneticPr fontId="3" type="noConversion"/>
  </si>
  <si>
    <r>
      <t>0.0605 PO</t>
    </r>
    <r>
      <rPr>
        <sz val="8"/>
        <color rgb="FFFF0000"/>
        <rFont val="宋体"/>
        <family val="2"/>
        <charset val="134"/>
      </rPr>
      <t>用</t>
    </r>
    <r>
      <rPr>
        <sz val="8"/>
        <color rgb="FFFF0000"/>
        <rFont val="Arial"/>
        <family val="2"/>
      </rPr>
      <t>110362</t>
    </r>
    <phoneticPr fontId="3" type="noConversion"/>
  </si>
  <si>
    <t>C210640498</t>
    <phoneticPr fontId="3" type="noConversion"/>
  </si>
  <si>
    <t>Y55553</t>
    <phoneticPr fontId="3" type="noConversion"/>
  </si>
  <si>
    <t>Y55554</t>
    <phoneticPr fontId="3" type="noConversion"/>
  </si>
  <si>
    <t>C210440019</t>
  </si>
  <si>
    <t>Y55543</t>
  </si>
  <si>
    <r>
      <t>110248(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110465)</t>
    </r>
    <phoneticPr fontId="3" type="noConversion"/>
  </si>
  <si>
    <t>Y55544</t>
    <phoneticPr fontId="3" type="noConversion"/>
  </si>
  <si>
    <t>C210640328</t>
    <phoneticPr fontId="3" type="noConversion"/>
  </si>
  <si>
    <t>Y55545</t>
    <phoneticPr fontId="3" type="noConversion"/>
  </si>
  <si>
    <t>C210640305</t>
  </si>
  <si>
    <t>Y55556</t>
  </si>
  <si>
    <t>Y55547</t>
  </si>
  <si>
    <t>C210640437</t>
    <phoneticPr fontId="3" type="noConversion"/>
  </si>
  <si>
    <t>Y55548</t>
  </si>
  <si>
    <t>C190735079</t>
  </si>
  <si>
    <t>Y55549</t>
  </si>
  <si>
    <t>Y55546</t>
  </si>
  <si>
    <t>Y55557</t>
  </si>
  <si>
    <t>鸿通宇名义</t>
    <phoneticPr fontId="3" type="noConversion"/>
  </si>
  <si>
    <t>Y55797</t>
    <phoneticPr fontId="3" type="noConversion"/>
  </si>
  <si>
    <t>Y55798</t>
    <phoneticPr fontId="3" type="noConversion"/>
  </si>
  <si>
    <t>Y56505</t>
    <phoneticPr fontId="3" type="noConversion"/>
  </si>
  <si>
    <t>Y56507</t>
    <phoneticPr fontId="3" type="noConversion"/>
  </si>
  <si>
    <t>Y56508</t>
    <phoneticPr fontId="3" type="noConversion"/>
  </si>
  <si>
    <t>C210640373</t>
    <phoneticPr fontId="3" type="noConversion"/>
  </si>
  <si>
    <t>Y56509</t>
    <phoneticPr fontId="3" type="noConversion"/>
  </si>
  <si>
    <t>Y55077</t>
  </si>
  <si>
    <t>C120712916</t>
    <phoneticPr fontId="3" type="noConversion"/>
  </si>
  <si>
    <t>Y55078</t>
  </si>
  <si>
    <t>Y55079</t>
  </si>
  <si>
    <t>Y55080</t>
  </si>
  <si>
    <r>
      <t>Y55081,</t>
    </r>
    <r>
      <rPr>
        <sz val="10"/>
        <color theme="1"/>
        <rFont val="宋体"/>
        <family val="2"/>
        <charset val="134"/>
      </rPr>
      <t>机器不能调动</t>
    </r>
    <phoneticPr fontId="3" type="noConversion"/>
  </si>
  <si>
    <t>C210540119</t>
    <phoneticPr fontId="3" type="noConversion"/>
  </si>
  <si>
    <r>
      <t>110236</t>
    </r>
    <r>
      <rPr>
        <sz val="9"/>
        <color theme="1"/>
        <rFont val="宋体"/>
        <family val="2"/>
        <charset val="134"/>
      </rPr>
      <t>（拆单110363）</t>
    </r>
    <phoneticPr fontId="3" type="noConversion"/>
  </si>
  <si>
    <t>Y55082</t>
  </si>
  <si>
    <t>C200437262</t>
    <phoneticPr fontId="3" type="noConversion"/>
  </si>
  <si>
    <t>Y55083</t>
  </si>
  <si>
    <t>Y55084</t>
  </si>
  <si>
    <t>Y55085</t>
  </si>
  <si>
    <r>
      <t>110236(</t>
    </r>
    <r>
      <rPr>
        <sz val="9"/>
        <color theme="1"/>
        <rFont val="宋体"/>
        <family val="2"/>
        <charset val="134"/>
      </rPr>
      <t>拆单110475)</t>
    </r>
    <phoneticPr fontId="3" type="noConversion"/>
  </si>
  <si>
    <t>Y55086</t>
    <phoneticPr fontId="3" type="noConversion"/>
  </si>
  <si>
    <t>C210640498</t>
  </si>
  <si>
    <t>Y56419</t>
    <phoneticPr fontId="3" type="noConversion"/>
  </si>
  <si>
    <r>
      <t>110437(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110410)</t>
    </r>
    <phoneticPr fontId="3" type="noConversion"/>
  </si>
  <si>
    <t>Y56420</t>
  </si>
  <si>
    <t>C210339473</t>
  </si>
  <si>
    <r>
      <t>110437(</t>
    </r>
    <r>
      <rPr>
        <sz val="9"/>
        <color theme="1"/>
        <rFont val="宋体"/>
        <family val="2"/>
        <charset val="134"/>
      </rPr>
      <t>拆单110365）</t>
    </r>
    <phoneticPr fontId="3" type="noConversion"/>
  </si>
  <si>
    <t>Y56421</t>
    <phoneticPr fontId="3" type="noConversion"/>
  </si>
  <si>
    <r>
      <t>NM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PO</t>
    </r>
    <r>
      <rPr>
        <sz val="8"/>
        <color theme="1"/>
        <rFont val="宋体"/>
        <family val="2"/>
        <charset val="134"/>
      </rPr>
      <t>用1102</t>
    </r>
    <r>
      <rPr>
        <sz val="8"/>
        <color theme="1"/>
        <rFont val="Arial"/>
        <family val="2"/>
      </rPr>
      <t>72</t>
    </r>
    <phoneticPr fontId="3" type="noConversion"/>
  </si>
  <si>
    <r>
      <t>110437(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110365</t>
    </r>
    <r>
      <rPr>
        <sz val="9"/>
        <color theme="1"/>
        <rFont val="宋体"/>
        <family val="2"/>
        <charset val="134"/>
      </rPr>
      <t>）</t>
    </r>
    <phoneticPr fontId="3" type="noConversion"/>
  </si>
  <si>
    <t>Y56422</t>
  </si>
  <si>
    <t>杉川名义</t>
    <phoneticPr fontId="3" type="noConversion"/>
  </si>
  <si>
    <t>cATS10+MVC(F&amp;R)+Feeder Carriage</t>
    <phoneticPr fontId="3" type="noConversion"/>
  </si>
  <si>
    <t>Y57133</t>
    <phoneticPr fontId="3" type="noConversion"/>
  </si>
  <si>
    <t>Y57131</t>
    <phoneticPr fontId="3" type="noConversion"/>
  </si>
  <si>
    <t>Y57132</t>
    <phoneticPr fontId="3" type="noConversion"/>
  </si>
  <si>
    <t>正创名义下单</t>
    <phoneticPr fontId="3" type="noConversion"/>
  </si>
  <si>
    <t>Y56656</t>
  </si>
  <si>
    <t>C210540191</t>
    <phoneticPr fontId="3" type="noConversion"/>
  </si>
  <si>
    <t>Y56657</t>
  </si>
  <si>
    <t>C140518616</t>
  </si>
  <si>
    <t>Y56658</t>
  </si>
  <si>
    <t>Y56659</t>
  </si>
  <si>
    <t>C190735075</t>
    <phoneticPr fontId="3" type="noConversion"/>
  </si>
  <si>
    <t>Y56660</t>
  </si>
  <si>
    <t>Y56661</t>
  </si>
  <si>
    <t>C210440016</t>
  </si>
  <si>
    <t>Y56662</t>
    <phoneticPr fontId="3" type="noConversion"/>
  </si>
  <si>
    <t>Y57236</t>
    <phoneticPr fontId="3" type="noConversion"/>
  </si>
  <si>
    <t>Y57237</t>
    <phoneticPr fontId="3" type="noConversion"/>
  </si>
  <si>
    <t>Y57238</t>
    <phoneticPr fontId="3" type="noConversion"/>
  </si>
  <si>
    <t>C210540181</t>
    <phoneticPr fontId="3" type="noConversion"/>
  </si>
  <si>
    <r>
      <t>110450(</t>
    </r>
    <r>
      <rPr>
        <sz val="9"/>
        <color theme="1"/>
        <rFont val="宋体"/>
        <family val="2"/>
        <charset val="134"/>
      </rPr>
      <t>拆单110430)</t>
    </r>
    <phoneticPr fontId="3" type="noConversion"/>
  </si>
  <si>
    <t>Y57239</t>
    <phoneticPr fontId="3" type="noConversion"/>
  </si>
  <si>
    <r>
      <t xml:space="preserve">NM, PO </t>
    </r>
    <r>
      <rPr>
        <sz val="8"/>
        <color rgb="FFFF0000"/>
        <rFont val="宋体"/>
        <family val="2"/>
        <charset val="134"/>
      </rPr>
      <t>用110227</t>
    </r>
    <phoneticPr fontId="3" type="noConversion"/>
  </si>
  <si>
    <r>
      <t>110450(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110430)</t>
    </r>
    <phoneticPr fontId="3" type="noConversion"/>
  </si>
  <si>
    <t>Y57240</t>
    <phoneticPr fontId="3" type="noConversion"/>
  </si>
  <si>
    <t>Y56510</t>
    <phoneticPr fontId="3" type="noConversion"/>
  </si>
  <si>
    <t>C150122206</t>
  </si>
  <si>
    <t>Y56511</t>
    <phoneticPr fontId="3" type="noConversion"/>
  </si>
  <si>
    <t>Y56512</t>
    <phoneticPr fontId="3" type="noConversion"/>
  </si>
  <si>
    <t>C190133876</t>
  </si>
  <si>
    <t>Y56513</t>
    <phoneticPr fontId="3" type="noConversion"/>
  </si>
  <si>
    <t>晶科名义下单</t>
    <phoneticPr fontId="3" type="noConversion"/>
  </si>
  <si>
    <t>Y55599</t>
    <phoneticPr fontId="3" type="noConversion"/>
  </si>
  <si>
    <t>Y55600</t>
    <phoneticPr fontId="3" type="noConversion"/>
  </si>
  <si>
    <t>Y55601</t>
    <phoneticPr fontId="3" type="noConversion"/>
  </si>
  <si>
    <t>Y56506</t>
    <phoneticPr fontId="3" type="noConversion"/>
  </si>
  <si>
    <t>C210440022</t>
    <phoneticPr fontId="3" type="noConversion"/>
  </si>
  <si>
    <t>Y56425</t>
    <phoneticPr fontId="3" type="noConversion"/>
  </si>
  <si>
    <t>Y57089</t>
    <phoneticPr fontId="3" type="noConversion"/>
  </si>
  <si>
    <t>C210540145</t>
    <phoneticPr fontId="3" type="noConversion"/>
  </si>
  <si>
    <t>Y57090</t>
    <phoneticPr fontId="3" type="noConversion"/>
  </si>
  <si>
    <t>Y57091</t>
    <phoneticPr fontId="3" type="noConversion"/>
  </si>
  <si>
    <t>C191236328</t>
    <phoneticPr fontId="3" type="noConversion"/>
  </si>
  <si>
    <t>Y57092</t>
    <phoneticPr fontId="3" type="noConversion"/>
  </si>
  <si>
    <r>
      <t>Y57169,</t>
    </r>
    <r>
      <rPr>
        <sz val="10"/>
        <color theme="1"/>
        <rFont val="宋体"/>
        <family val="2"/>
        <charset val="134"/>
      </rPr>
      <t>机器不能调动</t>
    </r>
    <phoneticPr fontId="3" type="noConversion"/>
  </si>
  <si>
    <t>前海保税区</t>
  </si>
  <si>
    <r>
      <t>Y57208,</t>
    </r>
    <r>
      <rPr>
        <sz val="10"/>
        <color theme="1"/>
        <rFont val="宋体"/>
        <family val="2"/>
        <charset val="134"/>
      </rPr>
      <t>机器不能调动</t>
    </r>
    <phoneticPr fontId="3" type="noConversion"/>
  </si>
  <si>
    <r>
      <t>Y57209,</t>
    </r>
    <r>
      <rPr>
        <sz val="10"/>
        <color theme="1"/>
        <rFont val="宋体"/>
        <family val="2"/>
        <charset val="134"/>
      </rPr>
      <t>机器不能调动</t>
    </r>
    <phoneticPr fontId="3" type="noConversion"/>
  </si>
  <si>
    <t>Y57170</t>
    <phoneticPr fontId="3" type="noConversion"/>
  </si>
  <si>
    <t>OCT 21</t>
  </si>
  <si>
    <t>R-0625L</t>
    <phoneticPr fontId="3" type="noConversion"/>
  </si>
  <si>
    <t>R-0625L</t>
  </si>
  <si>
    <t>c28</t>
    <phoneticPr fontId="3" type="noConversion"/>
  </si>
  <si>
    <t>cATS10+MVC(F&amp;R)+Feeder Carriage</t>
  </si>
  <si>
    <t>Y57302</t>
    <phoneticPr fontId="3" type="noConversion"/>
  </si>
  <si>
    <t>Y57300</t>
    <phoneticPr fontId="3" type="noConversion"/>
  </si>
  <si>
    <t>Y57301</t>
    <phoneticPr fontId="3" type="noConversion"/>
  </si>
  <si>
    <t>49F103948</t>
    <phoneticPr fontId="3" type="noConversion"/>
  </si>
  <si>
    <t>拓新伟业名义下单</t>
    <phoneticPr fontId="3" type="noConversion"/>
  </si>
  <si>
    <t>YSM40R-4(DEMO)</t>
  </si>
  <si>
    <t>Y45659</t>
    <phoneticPr fontId="3" type="noConversion"/>
  </si>
  <si>
    <r>
      <t xml:space="preserve">Yamaha </t>
    </r>
    <r>
      <rPr>
        <sz val="10"/>
        <color theme="1"/>
        <rFont val="宋体"/>
        <family val="2"/>
        <charset val="134"/>
      </rPr>
      <t>深圳仓库</t>
    </r>
    <phoneticPr fontId="3" type="noConversion"/>
  </si>
  <si>
    <t>Y44996</t>
    <phoneticPr fontId="3" type="noConversion"/>
  </si>
  <si>
    <t>Y48100</t>
    <phoneticPr fontId="3" type="noConversion"/>
  </si>
  <si>
    <r>
      <rPr>
        <sz val="10"/>
        <color theme="1"/>
        <rFont val="宋体"/>
        <family val="2"/>
        <charset val="134"/>
      </rPr>
      <t>富洛</t>
    </r>
    <r>
      <rPr>
        <sz val="10"/>
        <color theme="1"/>
        <rFont val="Arial"/>
        <family val="2"/>
      </rPr>
      <t>Supplier (stk)</t>
    </r>
    <phoneticPr fontId="3" type="noConversion"/>
  </si>
  <si>
    <t>Y57156</t>
    <phoneticPr fontId="3" type="noConversion"/>
  </si>
  <si>
    <t>C210439739</t>
    <phoneticPr fontId="3" type="noConversion"/>
  </si>
  <si>
    <t>Y57157</t>
    <phoneticPr fontId="3" type="noConversion"/>
  </si>
  <si>
    <t>Y56663</t>
  </si>
  <si>
    <t>C201238817</t>
  </si>
  <si>
    <t>Y56664</t>
  </si>
  <si>
    <t>Y56665</t>
    <phoneticPr fontId="3" type="noConversion"/>
  </si>
  <si>
    <t>Y56666</t>
  </si>
  <si>
    <t>Y56667</t>
  </si>
  <si>
    <t>Y56668</t>
  </si>
  <si>
    <t>Y56669</t>
  </si>
  <si>
    <t>Y55593</t>
  </si>
  <si>
    <t>C210640439</t>
    <phoneticPr fontId="3" type="noConversion"/>
  </si>
  <si>
    <t>Y57381</t>
    <phoneticPr fontId="3" type="noConversion"/>
  </si>
  <si>
    <t>Y57382</t>
    <phoneticPr fontId="3" type="noConversion"/>
  </si>
  <si>
    <t>Y57377</t>
    <phoneticPr fontId="3" type="noConversion"/>
  </si>
  <si>
    <t>Y57378</t>
    <phoneticPr fontId="3" type="noConversion"/>
  </si>
  <si>
    <t>Y57379</t>
    <phoneticPr fontId="3" type="noConversion"/>
  </si>
  <si>
    <t>Y57380</t>
    <phoneticPr fontId="3" type="noConversion"/>
  </si>
  <si>
    <t>Y57060</t>
  </si>
  <si>
    <t>Y57061</t>
  </si>
  <si>
    <t>C210439777</t>
    <phoneticPr fontId="3" type="noConversion"/>
  </si>
  <si>
    <t>Y57062</t>
  </si>
  <si>
    <t>Y57063</t>
    <phoneticPr fontId="3" type="noConversion"/>
  </si>
  <si>
    <t>C140518616</t>
    <phoneticPr fontId="3" type="noConversion"/>
  </si>
  <si>
    <r>
      <t>110383(</t>
    </r>
    <r>
      <rPr>
        <sz val="9"/>
        <color theme="1"/>
        <rFont val="宋体"/>
        <family val="2"/>
        <charset val="134"/>
      </rPr>
      <t>拆单110406)</t>
    </r>
    <phoneticPr fontId="3" type="noConversion"/>
  </si>
  <si>
    <t>Y57064</t>
    <phoneticPr fontId="3" type="noConversion"/>
  </si>
  <si>
    <t>C130615715</t>
    <phoneticPr fontId="3" type="noConversion"/>
  </si>
  <si>
    <t>Y57093</t>
    <phoneticPr fontId="3" type="noConversion"/>
  </si>
  <si>
    <t>C210640447</t>
    <phoneticPr fontId="3" type="noConversion"/>
  </si>
  <si>
    <t>Y57106</t>
    <phoneticPr fontId="3" type="noConversion"/>
  </si>
  <si>
    <t>C210640294</t>
    <phoneticPr fontId="3" type="noConversion"/>
  </si>
  <si>
    <t>Y57107</t>
    <phoneticPr fontId="3" type="noConversion"/>
  </si>
  <si>
    <t>Y57108</t>
    <phoneticPr fontId="3" type="noConversion"/>
  </si>
  <si>
    <t>Y57109</t>
    <phoneticPr fontId="3" type="noConversion"/>
  </si>
  <si>
    <t>Y57110</t>
    <phoneticPr fontId="3" type="noConversion"/>
  </si>
  <si>
    <t>Y56670</t>
    <phoneticPr fontId="3" type="noConversion"/>
  </si>
  <si>
    <t>Y56671</t>
    <phoneticPr fontId="3" type="noConversion"/>
  </si>
  <si>
    <r>
      <t>Y57094</t>
    </r>
    <r>
      <rPr>
        <sz val="10"/>
        <color theme="1"/>
        <rFont val="宋体"/>
        <family val="2"/>
        <charset val="134"/>
      </rPr>
      <t>，之前预留给博新的，已经清关，需要预留</t>
    </r>
    <r>
      <rPr>
        <sz val="10"/>
        <color theme="1"/>
        <rFont val="Arial"/>
        <family val="2"/>
      </rPr>
      <t>RMB</t>
    </r>
    <r>
      <rPr>
        <sz val="10"/>
        <color theme="1"/>
        <rFont val="宋体"/>
        <family val="2"/>
        <charset val="134"/>
      </rPr>
      <t>单</t>
    </r>
    <phoneticPr fontId="3" type="noConversion"/>
  </si>
  <si>
    <t>Y57095</t>
  </si>
  <si>
    <t>C191236327</t>
    <phoneticPr fontId="3" type="noConversion"/>
  </si>
  <si>
    <t>Y57096</t>
  </si>
  <si>
    <t>Y57097</t>
  </si>
  <si>
    <t>Y57098</t>
  </si>
  <si>
    <t>C210640274</t>
    <phoneticPr fontId="3" type="noConversion"/>
  </si>
  <si>
    <t>Y58086</t>
    <phoneticPr fontId="3" type="noConversion"/>
  </si>
  <si>
    <t>SEP 21</t>
  </si>
  <si>
    <t>Y58087</t>
    <phoneticPr fontId="3" type="noConversion"/>
  </si>
  <si>
    <t>C210640474</t>
    <phoneticPr fontId="3" type="noConversion"/>
  </si>
  <si>
    <r>
      <t xml:space="preserve">Cowell </t>
    </r>
    <r>
      <rPr>
        <sz val="10"/>
        <color theme="1"/>
        <rFont val="宋体"/>
        <family val="2"/>
        <charset val="134"/>
      </rPr>
      <t>名义下单</t>
    </r>
    <phoneticPr fontId="3" type="noConversion"/>
  </si>
  <si>
    <t>Y58827</t>
    <phoneticPr fontId="3" type="noConversion"/>
  </si>
  <si>
    <t>C210439777</t>
  </si>
  <si>
    <t>49F103968</t>
    <phoneticPr fontId="3" type="noConversion"/>
  </si>
  <si>
    <t>Y58464</t>
    <phoneticPr fontId="3" type="noConversion"/>
  </si>
  <si>
    <t>Yamaha 深圳仓库</t>
  </si>
  <si>
    <r>
      <t xml:space="preserve">RMB </t>
    </r>
    <r>
      <rPr>
        <sz val="8"/>
        <color theme="1"/>
        <rFont val="宋体"/>
        <family val="2"/>
        <charset val="134"/>
      </rPr>
      <t>单</t>
    </r>
    <phoneticPr fontId="3" type="noConversion"/>
  </si>
  <si>
    <t>Y58465</t>
    <phoneticPr fontId="3" type="noConversion"/>
  </si>
  <si>
    <t>Y58466</t>
    <phoneticPr fontId="3" type="noConversion"/>
  </si>
  <si>
    <t>Y58467</t>
    <phoneticPr fontId="3" type="noConversion"/>
  </si>
  <si>
    <t>健科名义下单</t>
    <phoneticPr fontId="3" type="noConversion"/>
  </si>
  <si>
    <t>Y58568</t>
    <phoneticPr fontId="3" type="noConversion"/>
  </si>
  <si>
    <t>Y58569</t>
    <phoneticPr fontId="3" type="noConversion"/>
  </si>
  <si>
    <t>兴开泰名义下单</t>
    <phoneticPr fontId="3" type="noConversion"/>
  </si>
  <si>
    <t>Y58712</t>
    <phoneticPr fontId="3" type="noConversion"/>
  </si>
  <si>
    <t>NOV 21</t>
  </si>
  <si>
    <t>C210439993</t>
    <phoneticPr fontId="3" type="noConversion"/>
  </si>
  <si>
    <t>Y58713</t>
  </si>
  <si>
    <t>DEC 21</t>
  </si>
  <si>
    <t>C200337000</t>
    <phoneticPr fontId="3" type="noConversion"/>
  </si>
  <si>
    <t>Feeder Carriage</t>
    <phoneticPr fontId="3" type="noConversion"/>
  </si>
  <si>
    <t>Y58626</t>
    <phoneticPr fontId="3" type="noConversion"/>
  </si>
  <si>
    <t>Feeder Carriage</t>
  </si>
  <si>
    <t>Y58627</t>
    <phoneticPr fontId="3" type="noConversion"/>
  </si>
  <si>
    <t>洛伦兹技术名义下单</t>
    <phoneticPr fontId="3" type="noConversion"/>
  </si>
  <si>
    <t>Y58718</t>
  </si>
  <si>
    <t>Y58719</t>
    <phoneticPr fontId="3" type="noConversion"/>
  </si>
  <si>
    <t>MAR 22</t>
  </si>
  <si>
    <t>C220242164</t>
    <phoneticPr fontId="3" type="noConversion"/>
  </si>
  <si>
    <t>格隆名义下单</t>
    <phoneticPr fontId="3" type="noConversion"/>
  </si>
  <si>
    <t>Y58717</t>
    <phoneticPr fontId="3" type="noConversion"/>
  </si>
  <si>
    <t>C210640313</t>
    <phoneticPr fontId="3" type="noConversion"/>
  </si>
  <si>
    <t>MVC F&amp;R+ATS15</t>
    <phoneticPr fontId="3" type="noConversion"/>
  </si>
  <si>
    <t>Y58771</t>
    <phoneticPr fontId="3" type="noConversion"/>
  </si>
  <si>
    <t>新明海名义下单</t>
    <phoneticPr fontId="3" type="noConversion"/>
  </si>
  <si>
    <t>Y58861</t>
    <phoneticPr fontId="3" type="noConversion"/>
  </si>
  <si>
    <t>Y58862</t>
    <phoneticPr fontId="3" type="noConversion"/>
  </si>
  <si>
    <t>C211141389</t>
    <phoneticPr fontId="3" type="noConversion"/>
  </si>
  <si>
    <t>49F104054</t>
    <phoneticPr fontId="3" type="noConversion"/>
  </si>
  <si>
    <t>太美亚名义下单</t>
    <phoneticPr fontId="3" type="noConversion"/>
  </si>
  <si>
    <t>Y58990</t>
    <phoneticPr fontId="3" type="noConversion"/>
  </si>
  <si>
    <r>
      <t>2021/10/30,Yamaha</t>
    </r>
    <r>
      <rPr>
        <sz val="10"/>
        <color theme="1"/>
        <rFont val="宋体"/>
        <family val="2"/>
        <charset val="134"/>
      </rPr>
      <t>清关</t>
    </r>
    <phoneticPr fontId="3" type="noConversion"/>
  </si>
  <si>
    <t>Y58991</t>
    <phoneticPr fontId="3" type="noConversion"/>
  </si>
  <si>
    <t>深圳上达名义下单</t>
    <phoneticPr fontId="3" type="noConversion"/>
  </si>
  <si>
    <t>Y58723</t>
    <phoneticPr fontId="3" type="noConversion"/>
  </si>
  <si>
    <t>Y58724</t>
    <phoneticPr fontId="3" type="noConversion"/>
  </si>
  <si>
    <t>Y58864</t>
    <phoneticPr fontId="3" type="noConversion"/>
  </si>
  <si>
    <t>C210640464</t>
  </si>
  <si>
    <r>
      <t>110581(</t>
    </r>
    <r>
      <rPr>
        <sz val="9"/>
        <color theme="1"/>
        <rFont val="宋体"/>
        <family val="2"/>
        <charset val="134"/>
      </rPr>
      <t>拆单110652)</t>
    </r>
    <phoneticPr fontId="3" type="noConversion"/>
  </si>
  <si>
    <t>Y58865</t>
    <phoneticPr fontId="3" type="noConversion"/>
  </si>
  <si>
    <t>Y58825</t>
    <phoneticPr fontId="3" type="noConversion"/>
  </si>
  <si>
    <t>Y58826</t>
    <phoneticPr fontId="3" type="noConversion"/>
  </si>
  <si>
    <r>
      <t>0.0563</t>
    </r>
    <r>
      <rPr>
        <sz val="8"/>
        <color theme="1"/>
        <rFont val="宋体"/>
        <family val="2"/>
        <charset val="134"/>
      </rPr>
      <t>，已经清关，尽量预留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单</t>
    </r>
    <phoneticPr fontId="3" type="noConversion"/>
  </si>
  <si>
    <t>C210439747</t>
    <phoneticPr fontId="3" type="noConversion"/>
  </si>
  <si>
    <r>
      <t>110635(</t>
    </r>
    <r>
      <rPr>
        <sz val="9"/>
        <color theme="1"/>
        <rFont val="宋体"/>
        <family val="2"/>
        <charset val="134"/>
      </rPr>
      <t>拆单110656）</t>
    </r>
    <phoneticPr fontId="3" type="noConversion"/>
  </si>
  <si>
    <t>以络鑫名义下单</t>
    <phoneticPr fontId="3" type="noConversion"/>
  </si>
  <si>
    <t>Y59183</t>
    <phoneticPr fontId="3" type="noConversion"/>
  </si>
  <si>
    <r>
      <t>Yamaha RMB</t>
    </r>
    <r>
      <rPr>
        <sz val="8"/>
        <color theme="1"/>
        <rFont val="微软雅黑"/>
        <family val="2"/>
        <charset val="134"/>
      </rPr>
      <t>单</t>
    </r>
    <phoneticPr fontId="3" type="noConversion"/>
  </si>
  <si>
    <t>C211141608</t>
    <phoneticPr fontId="3" type="noConversion"/>
  </si>
  <si>
    <t>Y59184</t>
  </si>
  <si>
    <r>
      <rPr>
        <sz val="8"/>
        <color theme="1"/>
        <rFont val="Arial"/>
        <family val="2"/>
      </rPr>
      <t xml:space="preserve">Yamaha </t>
    </r>
    <r>
      <rPr>
        <sz val="8"/>
        <color theme="1"/>
        <rFont val="Arial"/>
        <family val="2"/>
        <charset val="134"/>
      </rPr>
      <t>RMB</t>
    </r>
    <r>
      <rPr>
        <sz val="8"/>
        <color theme="1"/>
        <rFont val="微软雅黑"/>
        <family val="2"/>
        <charset val="134"/>
      </rPr>
      <t>单</t>
    </r>
    <phoneticPr fontId="3" type="noConversion"/>
  </si>
  <si>
    <t>C200938198</t>
    <phoneticPr fontId="3" type="noConversion"/>
  </si>
  <si>
    <t>Y59185</t>
    <phoneticPr fontId="3" type="noConversion"/>
  </si>
  <si>
    <t>Y59186</t>
    <phoneticPr fontId="3" type="noConversion"/>
  </si>
  <si>
    <r>
      <t>110634(</t>
    </r>
    <r>
      <rPr>
        <sz val="9"/>
        <color theme="1"/>
        <rFont val="宋体"/>
        <family val="2"/>
        <charset val="134"/>
      </rPr>
      <t>拆单110662)</t>
    </r>
    <phoneticPr fontId="3" type="noConversion"/>
  </si>
  <si>
    <t>Y59179</t>
    <phoneticPr fontId="3" type="noConversion"/>
  </si>
  <si>
    <t>C170930167</t>
    <phoneticPr fontId="3" type="noConversion"/>
  </si>
  <si>
    <r>
      <t>110634(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110662)</t>
    </r>
    <phoneticPr fontId="3" type="noConversion"/>
  </si>
  <si>
    <t>Y59180</t>
    <phoneticPr fontId="3" type="noConversion"/>
  </si>
  <si>
    <t>Y59181</t>
    <phoneticPr fontId="3" type="noConversion"/>
  </si>
  <si>
    <t>Y59182</t>
    <phoneticPr fontId="3" type="noConversion"/>
  </si>
  <si>
    <t>络鑫名义下单</t>
    <phoneticPr fontId="3" type="noConversion"/>
  </si>
  <si>
    <t>Y59066</t>
    <phoneticPr fontId="3" type="noConversion"/>
  </si>
  <si>
    <t>C210740721</t>
    <phoneticPr fontId="3" type="noConversion"/>
  </si>
  <si>
    <t>Y59067</t>
    <phoneticPr fontId="3" type="noConversion"/>
  </si>
  <si>
    <t>C161128062</t>
    <phoneticPr fontId="3" type="noConversion"/>
  </si>
  <si>
    <t>比泰利名义下单</t>
    <phoneticPr fontId="3" type="noConversion"/>
  </si>
  <si>
    <t>Y59083</t>
    <phoneticPr fontId="3" type="noConversion"/>
  </si>
  <si>
    <t>cATS30+MVC(F&amp;R)+15pallet for cATS30+交换台车</t>
  </si>
  <si>
    <t>Y59084</t>
    <phoneticPr fontId="3" type="noConversion"/>
  </si>
  <si>
    <t>天邦达名义下单</t>
    <phoneticPr fontId="3" type="noConversion"/>
  </si>
  <si>
    <t>Y59062</t>
    <phoneticPr fontId="3" type="noConversion"/>
  </si>
  <si>
    <t>力通威名义下单</t>
    <phoneticPr fontId="3" type="noConversion"/>
  </si>
  <si>
    <t xml:space="preserve">MVC(F&amp;R)+96 FEEDER PLATE (YSM10) </t>
  </si>
  <si>
    <t>Y59086</t>
  </si>
  <si>
    <t>Y59087</t>
  </si>
  <si>
    <t>49F104089</t>
    <phoneticPr fontId="3" type="noConversion"/>
  </si>
  <si>
    <t>深圳格隆</t>
    <phoneticPr fontId="3" type="noConversion"/>
  </si>
  <si>
    <t>Y58471</t>
    <phoneticPr fontId="3" type="noConversion"/>
  </si>
  <si>
    <t>FEB 22</t>
  </si>
  <si>
    <t>C210941086</t>
    <phoneticPr fontId="3" type="noConversion"/>
  </si>
  <si>
    <t>49F104087</t>
    <phoneticPr fontId="3" type="noConversion"/>
  </si>
  <si>
    <t>广东晶科</t>
    <phoneticPr fontId="3" type="noConversion"/>
  </si>
  <si>
    <t>Y58909</t>
    <phoneticPr fontId="3" type="noConversion"/>
  </si>
  <si>
    <t>JAN 22</t>
  </si>
  <si>
    <t>Y58989</t>
    <phoneticPr fontId="3" type="noConversion"/>
  </si>
  <si>
    <t>C220141927</t>
    <phoneticPr fontId="3" type="noConversion"/>
  </si>
  <si>
    <t>49F104088</t>
    <phoneticPr fontId="3" type="noConversion"/>
  </si>
  <si>
    <t>深圳宝捷信</t>
    <phoneticPr fontId="3" type="noConversion"/>
  </si>
  <si>
    <t>Y58472</t>
    <phoneticPr fontId="3" type="noConversion"/>
  </si>
  <si>
    <t>海红天远名义下单</t>
    <phoneticPr fontId="3" type="noConversion"/>
  </si>
  <si>
    <t>Y58009</t>
    <phoneticPr fontId="3" type="noConversion"/>
  </si>
  <si>
    <t>MAY 22</t>
  </si>
  <si>
    <t>Y58007</t>
    <phoneticPr fontId="3" type="noConversion"/>
  </si>
  <si>
    <t>Y58008</t>
    <phoneticPr fontId="3" type="noConversion"/>
  </si>
  <si>
    <r>
      <t>110669(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110366</t>
    </r>
    <r>
      <rPr>
        <sz val="9"/>
        <color theme="1"/>
        <rFont val="宋体"/>
        <family val="2"/>
        <charset val="134"/>
      </rPr>
      <t>）</t>
    </r>
    <phoneticPr fontId="3" type="noConversion"/>
  </si>
  <si>
    <t>Y57086</t>
    <phoneticPr fontId="3" type="noConversion"/>
  </si>
  <si>
    <t>Y57087</t>
    <phoneticPr fontId="3" type="noConversion"/>
  </si>
  <si>
    <r>
      <t xml:space="preserve">Kstar </t>
    </r>
    <r>
      <rPr>
        <sz val="10"/>
        <color theme="1"/>
        <rFont val="宋体"/>
        <family val="2"/>
        <charset val="134"/>
      </rPr>
      <t>名义下单</t>
    </r>
  </si>
  <si>
    <t>Y59057</t>
    <phoneticPr fontId="3" type="noConversion"/>
  </si>
  <si>
    <r>
      <t xml:space="preserve">Kstar </t>
    </r>
    <r>
      <rPr>
        <sz val="10"/>
        <color theme="1"/>
        <rFont val="宋体"/>
        <family val="2"/>
        <charset val="134"/>
      </rPr>
      <t>名义下单</t>
    </r>
    <phoneticPr fontId="3" type="noConversion"/>
  </si>
  <si>
    <t>Y59058</t>
    <phoneticPr fontId="3" type="noConversion"/>
  </si>
  <si>
    <t>Y57246</t>
    <phoneticPr fontId="3" type="noConversion"/>
  </si>
  <si>
    <t>Stock order(54%)</t>
    <phoneticPr fontId="3" type="noConversion"/>
  </si>
  <si>
    <t>Y59418</t>
  </si>
  <si>
    <t>C210640438</t>
    <phoneticPr fontId="3" type="noConversion"/>
  </si>
  <si>
    <t>MVC F&amp;R+ATS15+大板相机</t>
  </si>
  <si>
    <t>Y59419</t>
  </si>
  <si>
    <t>MVC F&amp;R+大板相机</t>
  </si>
  <si>
    <t>Y59421</t>
  </si>
  <si>
    <t>Y59424</t>
    <phoneticPr fontId="3" type="noConversion"/>
  </si>
  <si>
    <t>Y59425</t>
  </si>
  <si>
    <t>C210640541</t>
    <phoneticPr fontId="3" type="noConversion"/>
  </si>
  <si>
    <t>Y59420</t>
  </si>
  <si>
    <t>C210941180</t>
    <phoneticPr fontId="3" type="noConversion"/>
  </si>
  <si>
    <t>Y59422</t>
  </si>
  <si>
    <t>C160526717</t>
    <phoneticPr fontId="3" type="noConversion"/>
  </si>
  <si>
    <t>Y59423</t>
  </si>
  <si>
    <t>Y58207</t>
    <phoneticPr fontId="3" type="noConversion"/>
  </si>
  <si>
    <t>APR 22</t>
  </si>
  <si>
    <t>C211241741</t>
    <phoneticPr fontId="3" type="noConversion"/>
  </si>
  <si>
    <t>Y58208</t>
    <phoneticPr fontId="3" type="noConversion"/>
  </si>
  <si>
    <t>C200437242</t>
    <phoneticPr fontId="3" type="noConversion"/>
  </si>
  <si>
    <t>Stock order(51%)</t>
    <phoneticPr fontId="3" type="noConversion"/>
  </si>
  <si>
    <t>Y59426</t>
    <phoneticPr fontId="3" type="noConversion"/>
  </si>
  <si>
    <t>前海保税区</t>
    <phoneticPr fontId="3" type="noConversion"/>
  </si>
  <si>
    <t>Y59427</t>
  </si>
  <si>
    <t>Y59428</t>
  </si>
  <si>
    <t>Y59429</t>
  </si>
  <si>
    <t>C220141918</t>
    <phoneticPr fontId="3" type="noConversion"/>
  </si>
  <si>
    <t>49F104131</t>
  </si>
  <si>
    <t>正邦名义下单</t>
    <phoneticPr fontId="3" type="noConversion"/>
  </si>
  <si>
    <t>Y57508</t>
    <phoneticPr fontId="3" type="noConversion"/>
  </si>
  <si>
    <t>C220843546</t>
    <phoneticPr fontId="3" type="noConversion"/>
  </si>
  <si>
    <t>49F104131</t>
    <phoneticPr fontId="3" type="noConversion"/>
  </si>
  <si>
    <t>Y57509</t>
    <phoneticPr fontId="3" type="noConversion"/>
  </si>
  <si>
    <t>49F104147</t>
    <phoneticPr fontId="3" type="noConversion"/>
  </si>
  <si>
    <t>快宇名义下单</t>
    <phoneticPr fontId="3" type="noConversion"/>
  </si>
  <si>
    <t>Y58302</t>
    <phoneticPr fontId="3" type="noConversion"/>
  </si>
  <si>
    <t>Yamaha 仓库</t>
  </si>
  <si>
    <t>IND</t>
    <phoneticPr fontId="3" type="noConversion"/>
  </si>
  <si>
    <t>49F104157</t>
    <phoneticPr fontId="3" type="noConversion"/>
  </si>
  <si>
    <t>世达威名义下单</t>
    <phoneticPr fontId="3" type="noConversion"/>
  </si>
  <si>
    <t>Y58295</t>
    <phoneticPr fontId="3" type="noConversion"/>
  </si>
  <si>
    <t>49F104161</t>
    <phoneticPr fontId="3" type="noConversion"/>
  </si>
  <si>
    <t>Y58296</t>
    <phoneticPr fontId="3" type="noConversion"/>
  </si>
  <si>
    <t>Y58297</t>
  </si>
  <si>
    <t>Y58298</t>
  </si>
  <si>
    <t>Y58299</t>
  </si>
  <si>
    <t>Y58300</t>
  </si>
  <si>
    <t>49F104167</t>
    <phoneticPr fontId="3" type="noConversion"/>
  </si>
  <si>
    <t>新亚胜名义下单</t>
  </si>
  <si>
    <t>Y58305</t>
    <phoneticPr fontId="3" type="noConversion"/>
  </si>
  <si>
    <t>Yamaha 苏州仓库</t>
  </si>
  <si>
    <t>Y58306</t>
    <phoneticPr fontId="3" type="noConversion"/>
  </si>
  <si>
    <t>49F104104</t>
  </si>
  <si>
    <t>易通名义下单</t>
  </si>
  <si>
    <t>Y59701</t>
    <phoneticPr fontId="3" type="noConversion"/>
  </si>
  <si>
    <t>49F104105</t>
  </si>
  <si>
    <t>英托邦名义下单</t>
  </si>
  <si>
    <t xml:space="preserve">Y59702 </t>
    <phoneticPr fontId="3" type="noConversion"/>
  </si>
  <si>
    <t>C151225623</t>
    <phoneticPr fontId="3" type="noConversion"/>
  </si>
  <si>
    <t>49F104103</t>
  </si>
  <si>
    <t>勃旭名义下单</t>
  </si>
  <si>
    <t xml:space="preserve">Y59781 </t>
  </si>
  <si>
    <t>C220342344</t>
    <phoneticPr fontId="3" type="noConversion"/>
  </si>
  <si>
    <t xml:space="preserve">Y59704 </t>
    <phoneticPr fontId="3" type="noConversion"/>
  </si>
  <si>
    <t>Y59703</t>
    <phoneticPr fontId="3" type="noConversion"/>
  </si>
  <si>
    <t>STOCK order</t>
    <phoneticPr fontId="3" type="noConversion"/>
  </si>
  <si>
    <t>Repair Station+P-Tool AOI</t>
  </si>
  <si>
    <t>Y59610</t>
    <phoneticPr fontId="3" type="noConversion"/>
  </si>
  <si>
    <t>JUN 22</t>
  </si>
  <si>
    <t>C220543032</t>
    <phoneticPr fontId="3" type="noConversion"/>
  </si>
  <si>
    <t>上海禾川预留</t>
    <phoneticPr fontId="3" type="noConversion"/>
  </si>
  <si>
    <t>Y59611</t>
    <phoneticPr fontId="3" type="noConversion"/>
  </si>
  <si>
    <t>C49SHA20220306/LQM</t>
  </si>
  <si>
    <t>浙江禾川</t>
    <phoneticPr fontId="3" type="noConversion"/>
  </si>
  <si>
    <r>
      <t xml:space="preserve">DDP </t>
    </r>
    <r>
      <rPr>
        <sz val="10"/>
        <color theme="1"/>
        <rFont val="宋体"/>
        <family val="2"/>
        <charset val="134"/>
      </rPr>
      <t>浙江</t>
    </r>
    <phoneticPr fontId="3" type="noConversion"/>
  </si>
  <si>
    <t>C211141465</t>
    <phoneticPr fontId="3" type="noConversion"/>
  </si>
  <si>
    <r>
      <t>110665(</t>
    </r>
    <r>
      <rPr>
        <sz val="9"/>
        <color theme="1"/>
        <rFont val="宋体"/>
        <family val="2"/>
        <charset val="134"/>
      </rPr>
      <t>拆单110801）</t>
    </r>
    <phoneticPr fontId="3" type="noConversion"/>
  </si>
  <si>
    <t>Y59430</t>
    <phoneticPr fontId="3" type="noConversion"/>
  </si>
  <si>
    <t>Y59431</t>
    <phoneticPr fontId="3" type="noConversion"/>
  </si>
  <si>
    <t>C211141606</t>
    <phoneticPr fontId="3" type="noConversion"/>
  </si>
  <si>
    <t>深圳领德创下单</t>
    <phoneticPr fontId="3" type="noConversion"/>
  </si>
  <si>
    <t>Y59644</t>
    <phoneticPr fontId="3" type="noConversion"/>
  </si>
  <si>
    <r>
      <t>Yamaha RMB</t>
    </r>
    <r>
      <rPr>
        <sz val="8"/>
        <color theme="1"/>
        <rFont val="微软雅黑"/>
        <family val="2"/>
        <charset val="134"/>
      </rPr>
      <t>单，</t>
    </r>
    <r>
      <rPr>
        <sz val="8"/>
        <color theme="1"/>
        <rFont val="Arial"/>
        <family val="2"/>
      </rPr>
      <t>Y57088</t>
    </r>
    <r>
      <rPr>
        <sz val="8"/>
        <color theme="1"/>
        <rFont val="微软雅黑"/>
        <family val="2"/>
        <charset val="134"/>
      </rPr>
      <t>益田名义报关</t>
    </r>
    <phoneticPr fontId="3" type="noConversion"/>
  </si>
  <si>
    <t>C220442699</t>
    <phoneticPr fontId="3" type="noConversion"/>
  </si>
  <si>
    <t>Y59645</t>
    <phoneticPr fontId="3" type="noConversion"/>
  </si>
  <si>
    <r>
      <t>Yamaha RMB</t>
    </r>
    <r>
      <rPr>
        <sz val="8"/>
        <color theme="1"/>
        <rFont val="宋体"/>
        <family val="2"/>
        <charset val="134"/>
      </rPr>
      <t>单</t>
    </r>
    <phoneticPr fontId="3" type="noConversion"/>
  </si>
  <si>
    <t xml:space="preserve"> C220442618 </t>
    <phoneticPr fontId="3" type="noConversion"/>
  </si>
  <si>
    <r>
      <t xml:space="preserve">SZ </t>
    </r>
    <r>
      <rPr>
        <sz val="10"/>
        <color theme="1"/>
        <rFont val="宋体"/>
        <family val="3"/>
        <charset val="134"/>
      </rPr>
      <t>聚亮兴业</t>
    </r>
  </si>
  <si>
    <t>Y59650</t>
    <phoneticPr fontId="3" type="noConversion"/>
  </si>
  <si>
    <r>
      <t>0.0568,RMB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</si>
  <si>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C210239202</t>
    <phoneticPr fontId="3" type="noConversion"/>
  </si>
  <si>
    <r>
      <t xml:space="preserve">SZ </t>
    </r>
    <r>
      <rPr>
        <sz val="10"/>
        <color theme="1"/>
        <rFont val="宋体"/>
        <family val="3"/>
        <charset val="134"/>
      </rPr>
      <t>狂热者</t>
    </r>
  </si>
  <si>
    <t>Y59654</t>
    <phoneticPr fontId="3" type="noConversion"/>
  </si>
  <si>
    <r>
      <t xml:space="preserve">SZ </t>
    </r>
    <r>
      <rPr>
        <sz val="10"/>
        <color theme="1"/>
        <rFont val="宋体"/>
        <family val="3"/>
        <charset val="134"/>
      </rPr>
      <t>融创新合</t>
    </r>
    <phoneticPr fontId="3" type="noConversion"/>
  </si>
  <si>
    <t>Y59662</t>
    <phoneticPr fontId="3" type="noConversion"/>
  </si>
  <si>
    <r>
      <t xml:space="preserve">SZ </t>
    </r>
    <r>
      <rPr>
        <sz val="10"/>
        <color theme="1"/>
        <rFont val="宋体"/>
        <family val="3"/>
        <charset val="134"/>
      </rPr>
      <t>晨鑫达</t>
    </r>
  </si>
  <si>
    <t>Y59655</t>
  </si>
  <si>
    <t>C220342452</t>
    <phoneticPr fontId="3" type="noConversion"/>
  </si>
  <si>
    <t>Y59656</t>
  </si>
  <si>
    <r>
      <t xml:space="preserve">SZ </t>
    </r>
    <r>
      <rPr>
        <sz val="10"/>
        <color theme="1"/>
        <rFont val="宋体"/>
        <family val="3"/>
        <charset val="134"/>
      </rPr>
      <t>魔乐视</t>
    </r>
  </si>
  <si>
    <t>Y59657</t>
  </si>
  <si>
    <t>C200737683</t>
    <phoneticPr fontId="3" type="noConversion"/>
  </si>
  <si>
    <t>Y59658</t>
  </si>
  <si>
    <r>
      <t xml:space="preserve">SZ </t>
    </r>
    <r>
      <rPr>
        <sz val="10"/>
        <color theme="1"/>
        <rFont val="Arial Unicode MS"/>
        <family val="2"/>
        <charset val="134"/>
      </rPr>
      <t>正讯</t>
    </r>
    <phoneticPr fontId="3" type="noConversion"/>
  </si>
  <si>
    <t>Y59959</t>
    <phoneticPr fontId="3" type="noConversion"/>
  </si>
  <si>
    <t>NM 110865</t>
    <phoneticPr fontId="3" type="noConversion"/>
  </si>
  <si>
    <t>深圳傲尔</t>
    <phoneticPr fontId="3" type="noConversion"/>
  </si>
  <si>
    <t>Y59950</t>
    <phoneticPr fontId="3" type="noConversion"/>
  </si>
  <si>
    <t>C220242115</t>
    <phoneticPr fontId="3" type="noConversion"/>
  </si>
  <si>
    <t>Y59643</t>
    <phoneticPr fontId="3" type="noConversion"/>
  </si>
  <si>
    <t>狂热者下单</t>
    <phoneticPr fontId="3" type="noConversion"/>
  </si>
  <si>
    <t>Y59653</t>
    <phoneticPr fontId="3" type="noConversion"/>
  </si>
  <si>
    <t>YRH10</t>
  </si>
  <si>
    <t>Y59216</t>
    <phoneticPr fontId="3" type="noConversion"/>
  </si>
  <si>
    <t>方案集下单</t>
    <phoneticPr fontId="3" type="noConversion"/>
  </si>
  <si>
    <t>Y59648</t>
    <phoneticPr fontId="3" type="noConversion"/>
  </si>
  <si>
    <t>已发货</t>
    <phoneticPr fontId="3" type="noConversion"/>
  </si>
  <si>
    <t>祥弘瑞下单</t>
    <phoneticPr fontId="3" type="noConversion"/>
  </si>
  <si>
    <t>Y59646</t>
    <phoneticPr fontId="3" type="noConversion"/>
  </si>
  <si>
    <t>河南融创</t>
    <phoneticPr fontId="3" type="noConversion"/>
  </si>
  <si>
    <t>Y59930</t>
  </si>
  <si>
    <t>Y59931</t>
  </si>
  <si>
    <r>
      <t xml:space="preserve">SZ </t>
    </r>
    <r>
      <rPr>
        <sz val="10"/>
        <color theme="1"/>
        <rFont val="宋体"/>
        <family val="3"/>
        <charset val="134"/>
      </rPr>
      <t>海凌科达</t>
    </r>
  </si>
  <si>
    <t>Y59932</t>
  </si>
  <si>
    <t>C210640351</t>
    <phoneticPr fontId="3" type="noConversion"/>
  </si>
  <si>
    <t>Y59933</t>
  </si>
  <si>
    <r>
      <t xml:space="preserve">SZ </t>
    </r>
    <r>
      <rPr>
        <sz val="10"/>
        <color theme="1"/>
        <rFont val="宋体"/>
        <family val="2"/>
        <charset val="134"/>
      </rPr>
      <t>鸿南电子</t>
    </r>
    <phoneticPr fontId="3" type="noConversion"/>
  </si>
  <si>
    <t>Y59936</t>
    <phoneticPr fontId="3" type="noConversion"/>
  </si>
  <si>
    <t>C210640305</t>
    <phoneticPr fontId="3" type="noConversion"/>
  </si>
  <si>
    <t>Y59937</t>
    <phoneticPr fontId="3" type="noConversion"/>
  </si>
  <si>
    <t>Y59934</t>
    <phoneticPr fontId="3" type="noConversion"/>
  </si>
  <si>
    <t>Y59935</t>
    <phoneticPr fontId="3" type="noConversion"/>
  </si>
  <si>
    <t>珠海派诺</t>
    <phoneticPr fontId="3" type="noConversion"/>
  </si>
  <si>
    <t>Y59956</t>
  </si>
  <si>
    <t>C210540203</t>
  </si>
  <si>
    <t>Y56514</t>
    <phoneticPr fontId="3" type="noConversion"/>
  </si>
  <si>
    <t>Y56515</t>
    <phoneticPr fontId="3" type="noConversion"/>
  </si>
  <si>
    <t>Y57567</t>
    <phoneticPr fontId="3" type="noConversion"/>
  </si>
  <si>
    <t>Y57568</t>
    <phoneticPr fontId="3" type="noConversion"/>
  </si>
  <si>
    <t>C210840857</t>
    <phoneticPr fontId="3" type="noConversion"/>
  </si>
  <si>
    <r>
      <t xml:space="preserve">SZ </t>
    </r>
    <r>
      <rPr>
        <sz val="10"/>
        <color theme="1"/>
        <rFont val="宋体"/>
        <family val="2"/>
        <charset val="134"/>
      </rPr>
      <t>恒泰创新</t>
    </r>
    <phoneticPr fontId="3" type="noConversion"/>
  </si>
  <si>
    <t>Y59927</t>
    <phoneticPr fontId="3" type="noConversion"/>
  </si>
  <si>
    <r>
      <t>Yamaha RMB</t>
    </r>
    <r>
      <rPr>
        <sz val="8"/>
        <color theme="1"/>
        <rFont val="微软雅黑"/>
        <family val="2"/>
        <charset val="134"/>
      </rPr>
      <t>单49</t>
    </r>
    <r>
      <rPr>
        <sz val="8"/>
        <color theme="1"/>
        <rFont val="Arial"/>
        <family val="2"/>
      </rPr>
      <t>F104105</t>
    </r>
    <phoneticPr fontId="3" type="noConversion"/>
  </si>
  <si>
    <t>Y59928</t>
  </si>
  <si>
    <t>C211241741</t>
  </si>
  <si>
    <t>Y57570</t>
  </si>
  <si>
    <t>Y57571</t>
  </si>
  <si>
    <t>Y57569</t>
  </si>
  <si>
    <r>
      <t xml:space="preserve">SZ </t>
    </r>
    <r>
      <rPr>
        <sz val="10"/>
        <color theme="1"/>
        <rFont val="宋体"/>
        <family val="2"/>
        <charset val="134"/>
      </rPr>
      <t>魔乐视</t>
    </r>
    <phoneticPr fontId="3" type="noConversion"/>
  </si>
  <si>
    <t>Y59946</t>
  </si>
  <si>
    <t>Y59947</t>
  </si>
  <si>
    <t>Y59948</t>
  </si>
  <si>
    <t>Y59949</t>
  </si>
  <si>
    <r>
      <t>NM</t>
    </r>
    <r>
      <rPr>
        <sz val="8"/>
        <color theme="1"/>
        <rFont val="宋体"/>
        <family val="2"/>
        <charset val="134"/>
      </rPr>
      <t>，要</t>
    </r>
    <r>
      <rPr>
        <sz val="8"/>
        <color theme="1"/>
        <rFont val="Arial"/>
        <family val="2"/>
      </rPr>
      <t>DAP</t>
    </r>
    <r>
      <rPr>
        <sz val="8"/>
        <color theme="1"/>
        <rFont val="宋体"/>
        <family val="2"/>
        <charset val="134"/>
      </rPr>
      <t>合同走货带</t>
    </r>
    <r>
      <rPr>
        <sz val="8"/>
        <color theme="1"/>
        <rFont val="Arial"/>
        <family val="2"/>
      </rPr>
      <t>ATS15</t>
    </r>
    <phoneticPr fontId="3" type="noConversion"/>
  </si>
  <si>
    <t>C220141989</t>
    <phoneticPr fontId="3" type="noConversion"/>
  </si>
  <si>
    <r>
      <t xml:space="preserve">SZ </t>
    </r>
    <r>
      <rPr>
        <sz val="10"/>
        <color theme="1"/>
        <rFont val="Arial Unicode MS"/>
        <family val="2"/>
        <charset val="134"/>
      </rPr>
      <t>宝捷时计</t>
    </r>
    <phoneticPr fontId="3" type="noConversion"/>
  </si>
  <si>
    <t>Y59951</t>
    <phoneticPr fontId="3" type="noConversion"/>
  </si>
  <si>
    <t>力合中转仓</t>
    <phoneticPr fontId="3" type="noConversion"/>
  </si>
  <si>
    <t>C220342350</t>
    <phoneticPr fontId="3" type="noConversion"/>
  </si>
  <si>
    <t>Y57247</t>
    <phoneticPr fontId="3" type="noConversion"/>
  </si>
  <si>
    <r>
      <t xml:space="preserve">SZ </t>
    </r>
    <r>
      <rPr>
        <sz val="10"/>
        <color theme="1"/>
        <rFont val="Arial Unicode MS"/>
        <family val="2"/>
        <charset val="134"/>
      </rPr>
      <t>英拓邦</t>
    </r>
    <phoneticPr fontId="3" type="noConversion"/>
  </si>
  <si>
    <t>Y59985</t>
    <phoneticPr fontId="3" type="noConversion"/>
  </si>
  <si>
    <t>Y58089</t>
  </si>
  <si>
    <t>Y58088</t>
  </si>
  <si>
    <t>Y58090</t>
  </si>
  <si>
    <t>C220242050</t>
    <phoneticPr fontId="3" type="noConversion"/>
  </si>
  <si>
    <t>Y58091</t>
  </si>
  <si>
    <t>Y57088</t>
    <phoneticPr fontId="3" type="noConversion"/>
  </si>
  <si>
    <r>
      <t>NM</t>
    </r>
    <r>
      <rPr>
        <sz val="8"/>
        <color theme="1"/>
        <rFont val="宋体"/>
        <family val="2"/>
        <charset val="134"/>
      </rPr>
      <t>，</t>
    </r>
    <phoneticPr fontId="3" type="noConversion"/>
  </si>
  <si>
    <r>
      <t xml:space="preserve">DG </t>
    </r>
    <r>
      <rPr>
        <sz val="10"/>
        <color theme="1"/>
        <rFont val="等线"/>
        <family val="2"/>
        <charset val="134"/>
      </rPr>
      <t>维益</t>
    </r>
    <phoneticPr fontId="3" type="noConversion"/>
  </si>
  <si>
    <t>Y60236</t>
    <phoneticPr fontId="3" type="noConversion"/>
  </si>
  <si>
    <r>
      <t xml:space="preserve">HZ </t>
    </r>
    <r>
      <rPr>
        <sz val="10"/>
        <color theme="1"/>
        <rFont val="等线"/>
        <family val="2"/>
        <charset val="134"/>
      </rPr>
      <t>朗迅</t>
    </r>
    <phoneticPr fontId="3" type="noConversion"/>
  </si>
  <si>
    <t>Y60238</t>
    <phoneticPr fontId="3" type="noConversion"/>
  </si>
  <si>
    <t>Y60239</t>
  </si>
  <si>
    <r>
      <t xml:space="preserve">SZ </t>
    </r>
    <r>
      <rPr>
        <sz val="10"/>
        <color theme="1"/>
        <rFont val="宋体"/>
        <family val="2"/>
        <charset val="134"/>
      </rPr>
      <t>鸿通宇（</t>
    </r>
    <r>
      <rPr>
        <sz val="10"/>
        <color theme="1"/>
        <rFont val="Arial Unicode MS"/>
        <family val="2"/>
        <charset val="134"/>
      </rPr>
      <t>有补差额</t>
    </r>
    <r>
      <rPr>
        <sz val="10"/>
        <color theme="1"/>
        <rFont val="Arial"/>
        <family val="2"/>
      </rPr>
      <t>)</t>
    </r>
    <phoneticPr fontId="3" type="noConversion"/>
  </si>
  <si>
    <t>Y60000</t>
    <phoneticPr fontId="3" type="noConversion"/>
  </si>
  <si>
    <r>
      <t>0.0536</t>
    </r>
    <r>
      <rPr>
        <sz val="8"/>
        <color theme="1"/>
        <rFont val="宋体"/>
        <family val="2"/>
        <charset val="134"/>
      </rPr>
      <t>，此台机器清关进来后要和鸿通宇的机器调换</t>
    </r>
    <phoneticPr fontId="3" type="noConversion"/>
  </si>
  <si>
    <t>SZ 魔乐视</t>
    <phoneticPr fontId="3" type="noConversion"/>
  </si>
  <si>
    <t>Y60289</t>
    <phoneticPr fontId="3" type="noConversion"/>
  </si>
  <si>
    <t>深圳晶昌鸿业</t>
    <phoneticPr fontId="3" type="noConversion"/>
  </si>
  <si>
    <t>Y60589</t>
    <phoneticPr fontId="3" type="noConversion"/>
  </si>
  <si>
    <t>C190133829</t>
    <phoneticPr fontId="3" type="noConversion"/>
  </si>
  <si>
    <t>Y60590</t>
  </si>
  <si>
    <t>深圳正讯</t>
    <phoneticPr fontId="3" type="noConversion"/>
  </si>
  <si>
    <t>Y60237</t>
    <phoneticPr fontId="3" type="noConversion"/>
  </si>
  <si>
    <t>深圳恒创兴（有补差额）</t>
    <phoneticPr fontId="3" type="noConversion"/>
  </si>
  <si>
    <t>Y60297</t>
    <phoneticPr fontId="3" type="noConversion"/>
  </si>
  <si>
    <t>深圳清禾</t>
    <phoneticPr fontId="3" type="noConversion"/>
  </si>
  <si>
    <t>Y60230</t>
    <phoneticPr fontId="3" type="noConversion"/>
  </si>
  <si>
    <t>C220442611</t>
    <phoneticPr fontId="3" type="noConversion"/>
  </si>
  <si>
    <t>深圳晶昌鸿业(有补差额)</t>
    <phoneticPr fontId="3" type="noConversion"/>
  </si>
  <si>
    <t>Y60293</t>
    <phoneticPr fontId="3" type="noConversion"/>
  </si>
  <si>
    <t>Y60294</t>
  </si>
  <si>
    <r>
      <t xml:space="preserve">SZ </t>
    </r>
    <r>
      <rPr>
        <sz val="10"/>
        <color theme="1"/>
        <rFont val="等线"/>
        <family val="2"/>
        <charset val="134"/>
      </rPr>
      <t>驰电</t>
    </r>
    <phoneticPr fontId="3" type="noConversion"/>
  </si>
  <si>
    <t>Y60229</t>
    <phoneticPr fontId="3" type="noConversion"/>
  </si>
  <si>
    <t>深圳海松微（有补差额)</t>
    <phoneticPr fontId="3" type="noConversion"/>
  </si>
  <si>
    <t>Y60295</t>
    <phoneticPr fontId="3" type="noConversion"/>
  </si>
  <si>
    <t>Y60280</t>
    <phoneticPr fontId="3" type="noConversion"/>
  </si>
  <si>
    <t>C210840934</t>
    <phoneticPr fontId="3" type="noConversion"/>
  </si>
  <si>
    <t>Y60281</t>
    <phoneticPr fontId="3" type="noConversion"/>
  </si>
  <si>
    <t>Y60282</t>
  </si>
  <si>
    <r>
      <t>0.0536</t>
    </r>
    <r>
      <rPr>
        <sz val="8"/>
        <color theme="1"/>
        <rFont val="宋体"/>
        <family val="2"/>
        <charset val="134"/>
      </rPr>
      <t>，用魔乐视名义清关归还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单</t>
    </r>
    <phoneticPr fontId="3" type="noConversion"/>
  </si>
  <si>
    <t>C220442563</t>
    <phoneticPr fontId="3" type="noConversion"/>
  </si>
  <si>
    <r>
      <t xml:space="preserve">SZ </t>
    </r>
    <r>
      <rPr>
        <sz val="10"/>
        <color theme="1"/>
        <rFont val="宋体"/>
        <family val="2"/>
        <charset val="134"/>
      </rPr>
      <t>巨能</t>
    </r>
    <phoneticPr fontId="3" type="noConversion"/>
  </si>
  <si>
    <t>Y60291</t>
    <phoneticPr fontId="3" type="noConversion"/>
  </si>
  <si>
    <r>
      <t>0.0536</t>
    </r>
    <r>
      <rPr>
        <sz val="8"/>
        <color theme="1"/>
        <rFont val="宋体"/>
        <family val="2"/>
        <charset val="134"/>
      </rPr>
      <t>，用益田名义报关，给捷舜诚</t>
    </r>
    <phoneticPr fontId="3" type="noConversion"/>
  </si>
  <si>
    <t>SZ 巨能</t>
    <phoneticPr fontId="3" type="noConversion"/>
  </si>
  <si>
    <t>Y60292</t>
  </si>
  <si>
    <r>
      <t>0.0536</t>
    </r>
    <r>
      <rPr>
        <sz val="8"/>
        <color theme="1"/>
        <rFont val="宋体"/>
        <family val="2"/>
        <charset val="134"/>
      </rPr>
      <t>，用懿美莱名义清关归还给正讯</t>
    </r>
    <phoneticPr fontId="3" type="noConversion"/>
  </si>
  <si>
    <t>C220442556</t>
    <phoneticPr fontId="3" type="noConversion"/>
  </si>
  <si>
    <t>SZ 深圳傲尔</t>
    <phoneticPr fontId="3" type="noConversion"/>
  </si>
  <si>
    <t>Y60283</t>
    <phoneticPr fontId="3" type="noConversion"/>
  </si>
  <si>
    <t>Y60284</t>
  </si>
  <si>
    <t>SZ 益田科技</t>
    <phoneticPr fontId="3" type="noConversion"/>
  </si>
  <si>
    <t>Y60240</t>
  </si>
  <si>
    <t>C211241805</t>
    <phoneticPr fontId="3" type="noConversion"/>
  </si>
  <si>
    <r>
      <t>110808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F104206</t>
    </r>
    <phoneticPr fontId="3" type="noConversion"/>
  </si>
  <si>
    <t>Dongguan Yidong</t>
  </si>
  <si>
    <t>Y60548</t>
  </si>
  <si>
    <r>
      <t>2022/4/3</t>
    </r>
    <r>
      <rPr>
        <sz val="10"/>
        <color theme="1"/>
        <rFont val="宋体"/>
        <family val="2"/>
        <charset val="134"/>
      </rPr>
      <t>深圳盐田港</t>
    </r>
    <phoneticPr fontId="3" type="noConversion"/>
  </si>
  <si>
    <t>C170930167</t>
  </si>
  <si>
    <t>Dongguan Yidong</t>
    <phoneticPr fontId="3" type="noConversion"/>
  </si>
  <si>
    <t>Y60549</t>
  </si>
  <si>
    <t>Y60550</t>
  </si>
  <si>
    <t>Y60551</t>
  </si>
  <si>
    <t>Y60552</t>
  </si>
  <si>
    <t>深圳魔乐视</t>
    <phoneticPr fontId="3" type="noConversion"/>
  </si>
  <si>
    <t>Y60288</t>
    <phoneticPr fontId="3" type="noConversion"/>
  </si>
  <si>
    <t>SZ 三丽</t>
    <phoneticPr fontId="3" type="noConversion"/>
  </si>
  <si>
    <t>Y60231</t>
    <phoneticPr fontId="3" type="noConversion"/>
  </si>
  <si>
    <t>C220242116</t>
    <phoneticPr fontId="3" type="noConversion"/>
  </si>
  <si>
    <t>Y56516</t>
  </si>
  <si>
    <r>
      <t>0.0536 PO 110759</t>
    </r>
    <r>
      <rPr>
        <sz val="8"/>
        <color theme="1"/>
        <rFont val="微软雅黑"/>
        <family val="2"/>
        <charset val="134"/>
      </rPr>
      <t>。</t>
    </r>
    <phoneticPr fontId="3" type="noConversion"/>
  </si>
  <si>
    <t>C220242128</t>
    <phoneticPr fontId="3" type="noConversion"/>
  </si>
  <si>
    <t>Y56517</t>
  </si>
  <si>
    <t>Y56518</t>
  </si>
  <si>
    <t xml:space="preserve">SINRI Supplier </t>
    <phoneticPr fontId="3" type="noConversion"/>
  </si>
  <si>
    <t>Y60220</t>
    <phoneticPr fontId="3" type="noConversion"/>
  </si>
  <si>
    <t>Y60221</t>
    <phoneticPr fontId="3" type="noConversion"/>
  </si>
  <si>
    <t>Y60219</t>
    <phoneticPr fontId="3" type="noConversion"/>
  </si>
  <si>
    <t>广东微观名义下单</t>
    <phoneticPr fontId="3" type="noConversion"/>
  </si>
  <si>
    <t>Y60594</t>
    <phoneticPr fontId="3" type="noConversion"/>
  </si>
  <si>
    <t>4月15日到盐田港</t>
  </si>
  <si>
    <t>Y60595</t>
    <phoneticPr fontId="3" type="noConversion"/>
  </si>
  <si>
    <t>Y60596</t>
    <phoneticPr fontId="3" type="noConversion"/>
  </si>
  <si>
    <t>Y60597</t>
    <phoneticPr fontId="3" type="noConversion"/>
  </si>
  <si>
    <t>Y60598</t>
    <phoneticPr fontId="3" type="noConversion"/>
  </si>
  <si>
    <t>Y60599</t>
    <phoneticPr fontId="3" type="noConversion"/>
  </si>
  <si>
    <t>鸿楠名义下单</t>
    <phoneticPr fontId="3" type="noConversion"/>
  </si>
  <si>
    <t>Y60443</t>
    <phoneticPr fontId="3" type="noConversion"/>
  </si>
  <si>
    <t>Y57101</t>
    <phoneticPr fontId="3" type="noConversion"/>
  </si>
  <si>
    <t>Shenzhen 力通威</t>
    <phoneticPr fontId="3" type="noConversion"/>
  </si>
  <si>
    <t>Y60840</t>
    <phoneticPr fontId="3" type="noConversion"/>
  </si>
  <si>
    <r>
      <t>0.0512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单清关</t>
    </r>
    <phoneticPr fontId="3" type="noConversion"/>
  </si>
  <si>
    <t xml:space="preserve">MVC+96 FEEDER PLATE (YSM10) </t>
    <phoneticPr fontId="3" type="noConversion"/>
  </si>
  <si>
    <t>Y60841</t>
    <phoneticPr fontId="3" type="noConversion"/>
  </si>
  <si>
    <t>Shenzhen 清禾</t>
    <phoneticPr fontId="3" type="noConversion"/>
  </si>
  <si>
    <t>Y60826</t>
    <phoneticPr fontId="3" type="noConversion"/>
  </si>
  <si>
    <r>
      <t xml:space="preserve">Shenzhen </t>
    </r>
    <r>
      <rPr>
        <sz val="10"/>
        <color theme="1"/>
        <rFont val="宋体"/>
        <family val="2"/>
        <charset val="134"/>
      </rPr>
      <t>驰电</t>
    </r>
    <phoneticPr fontId="3" type="noConversion"/>
  </si>
  <si>
    <t>Y60825</t>
    <phoneticPr fontId="3" type="noConversion"/>
  </si>
  <si>
    <t>C220342453</t>
    <phoneticPr fontId="3" type="noConversion"/>
  </si>
  <si>
    <t>Y58092</t>
    <phoneticPr fontId="3" type="noConversion"/>
  </si>
  <si>
    <t>Y58093</t>
    <phoneticPr fontId="3" type="noConversion"/>
  </si>
  <si>
    <t>Y58094</t>
    <phoneticPr fontId="3" type="noConversion"/>
  </si>
  <si>
    <t>Shenzhen 狂热者（有补差额，折扣约55.3%)</t>
    <phoneticPr fontId="3" type="noConversion"/>
  </si>
  <si>
    <t>Y60982</t>
  </si>
  <si>
    <t>C220342453</t>
  </si>
  <si>
    <t>Y60983</t>
  </si>
  <si>
    <t>Guangzhou 骏孚（有补差额，折扣约55.3%)</t>
    <phoneticPr fontId="3" type="noConversion"/>
  </si>
  <si>
    <t>Y60996</t>
    <phoneticPr fontId="3" type="noConversion"/>
  </si>
  <si>
    <r>
      <t>0.0502</t>
    </r>
    <r>
      <rPr>
        <sz val="8"/>
        <color theme="1"/>
        <rFont val="微软雅黑"/>
        <family val="2"/>
        <charset val="134"/>
      </rPr>
      <t>，</t>
    </r>
    <r>
      <rPr>
        <sz val="8"/>
        <color theme="1"/>
        <rFont val="Arial"/>
        <family val="2"/>
      </rPr>
      <t>PO110810</t>
    </r>
    <phoneticPr fontId="3" type="noConversion"/>
  </si>
  <si>
    <r>
      <t xml:space="preserve">Jinxi </t>
    </r>
    <r>
      <rPr>
        <sz val="10"/>
        <color theme="1"/>
        <rFont val="宋体"/>
        <family val="2"/>
        <charset val="134"/>
      </rPr>
      <t>昌大（有补差额，折扣约</t>
    </r>
    <r>
      <rPr>
        <sz val="10"/>
        <color theme="1"/>
        <rFont val="Arial"/>
        <family val="2"/>
      </rPr>
      <t>55.3%)</t>
    </r>
    <phoneticPr fontId="3" type="noConversion"/>
  </si>
  <si>
    <t>Y60994</t>
    <phoneticPr fontId="3" type="noConversion"/>
  </si>
  <si>
    <t>NM 110828</t>
    <phoneticPr fontId="3" type="noConversion"/>
  </si>
  <si>
    <t>Shenzhen 恒泰创新（有补差额，折扣约55.3%)</t>
    <phoneticPr fontId="3" type="noConversion"/>
  </si>
  <si>
    <t>Y61001</t>
  </si>
  <si>
    <r>
      <rPr>
        <sz val="8"/>
        <color theme="1"/>
        <rFont val="Arial"/>
        <family val="2"/>
      </rPr>
      <t>0.0502 RMB</t>
    </r>
    <r>
      <rPr>
        <sz val="8"/>
        <color theme="1"/>
        <rFont val="宋体"/>
        <family val="2"/>
        <charset val="134"/>
      </rPr>
      <t xml:space="preserve">清关 </t>
    </r>
    <r>
      <rPr>
        <sz val="8"/>
        <color theme="1"/>
        <rFont val="Arial"/>
        <family val="2"/>
      </rPr>
      <t>110810</t>
    </r>
    <phoneticPr fontId="3" type="noConversion"/>
  </si>
  <si>
    <t>傲尔（有补差额，折扣约55.3%)</t>
    <phoneticPr fontId="3" type="noConversion"/>
  </si>
  <si>
    <t>Y60998</t>
  </si>
  <si>
    <t>Y60999</t>
  </si>
  <si>
    <r>
      <t xml:space="preserve">SZ </t>
    </r>
    <r>
      <rPr>
        <sz val="10"/>
        <color theme="1"/>
        <rFont val="宋体"/>
        <family val="2"/>
        <charset val="134"/>
      </rPr>
      <t>乐凡电子</t>
    </r>
    <phoneticPr fontId="3" type="noConversion"/>
  </si>
  <si>
    <t>Y60993</t>
  </si>
  <si>
    <r>
      <t>YamahaRMB</t>
    </r>
    <r>
      <rPr>
        <sz val="8"/>
        <color theme="1"/>
        <rFont val="宋体"/>
        <family val="2"/>
        <charset val="134"/>
      </rPr>
      <t>单49</t>
    </r>
    <r>
      <rPr>
        <sz val="8"/>
        <color theme="1"/>
        <rFont val="Arial"/>
        <family val="2"/>
      </rPr>
      <t>F104087,</t>
    </r>
    <phoneticPr fontId="3" type="noConversion"/>
  </si>
  <si>
    <r>
      <t xml:space="preserve">SZ </t>
    </r>
    <r>
      <rPr>
        <sz val="10"/>
        <color theme="1"/>
        <rFont val="宋体"/>
        <family val="2"/>
        <charset val="134"/>
      </rPr>
      <t>捷舜诚</t>
    </r>
    <phoneticPr fontId="3" type="noConversion"/>
  </si>
  <si>
    <t>Y61013</t>
  </si>
  <si>
    <t>SZ 海红天远</t>
    <phoneticPr fontId="3" type="noConversion"/>
  </si>
  <si>
    <t>Y61016</t>
  </si>
  <si>
    <r>
      <t xml:space="preserve">SZ </t>
    </r>
    <r>
      <rPr>
        <sz val="10"/>
        <color theme="1"/>
        <rFont val="宋体"/>
        <family val="2"/>
        <charset val="134"/>
      </rPr>
      <t>蓝极光</t>
    </r>
    <phoneticPr fontId="3" type="noConversion"/>
  </si>
  <si>
    <t>Y61017</t>
  </si>
  <si>
    <t>C220442711</t>
    <phoneticPr fontId="3" type="noConversion"/>
  </si>
  <si>
    <t>Y61018</t>
  </si>
  <si>
    <t>SZ 博新</t>
    <phoneticPr fontId="3" type="noConversion"/>
  </si>
  <si>
    <t>Y61012</t>
    <phoneticPr fontId="3" type="noConversion"/>
  </si>
  <si>
    <t>C200737827</t>
  </si>
  <si>
    <r>
      <t xml:space="preserve">SZ </t>
    </r>
    <r>
      <rPr>
        <sz val="10"/>
        <color theme="1"/>
        <rFont val="宋体"/>
        <family val="2"/>
        <charset val="134"/>
      </rPr>
      <t>易通</t>
    </r>
    <phoneticPr fontId="3" type="noConversion"/>
  </si>
  <si>
    <t>Y61014</t>
  </si>
  <si>
    <r>
      <t xml:space="preserve">110810 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PO110913</t>
    </r>
    <phoneticPr fontId="3" type="noConversion"/>
  </si>
  <si>
    <t>Y60553</t>
  </si>
  <si>
    <t>NM 110872</t>
    <phoneticPr fontId="3" type="noConversion"/>
  </si>
  <si>
    <t>Y60554</t>
  </si>
  <si>
    <t>Y60559</t>
  </si>
  <si>
    <t>NM 110871</t>
    <phoneticPr fontId="3" type="noConversion"/>
  </si>
  <si>
    <t>C190334130</t>
    <phoneticPr fontId="3" type="noConversion"/>
  </si>
  <si>
    <t>Y60560</t>
  </si>
  <si>
    <r>
      <t>0.0502,</t>
    </r>
    <r>
      <rPr>
        <sz val="8"/>
        <color theme="1"/>
        <rFont val="等线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等线"/>
        <family val="2"/>
        <charset val="134"/>
      </rPr>
      <t>清关</t>
    </r>
    <r>
      <rPr>
        <sz val="8"/>
        <color theme="1"/>
        <rFont val="Arial"/>
        <family val="2"/>
      </rPr>
      <t xml:space="preserve"> PO110436</t>
    </r>
    <phoneticPr fontId="3" type="noConversion"/>
  </si>
  <si>
    <t>Y60561</t>
  </si>
  <si>
    <r>
      <t>0.0502 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</si>
  <si>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Y60555</t>
  </si>
  <si>
    <t>C220342284</t>
    <phoneticPr fontId="3" type="noConversion"/>
  </si>
  <si>
    <t>Y60556</t>
  </si>
  <si>
    <t>Y60557</t>
  </si>
  <si>
    <t>C220442573</t>
    <phoneticPr fontId="3" type="noConversion"/>
  </si>
  <si>
    <t>Y60558</t>
  </si>
  <si>
    <t>Y60562</t>
  </si>
  <si>
    <r>
      <t>NM PO110810</t>
    </r>
    <r>
      <rPr>
        <sz val="8"/>
        <color theme="1"/>
        <rFont val="宋体"/>
        <family val="2"/>
        <charset val="134"/>
      </rPr>
      <t>拆分</t>
    </r>
    <r>
      <rPr>
        <sz val="8"/>
        <color theme="1"/>
        <rFont val="Arial"/>
        <family val="2"/>
      </rPr>
      <t>PO110913</t>
    </r>
    <phoneticPr fontId="3" type="noConversion"/>
  </si>
  <si>
    <t>Y56519</t>
    <phoneticPr fontId="3" type="noConversion"/>
  </si>
  <si>
    <t>NM PO 110883</t>
    <phoneticPr fontId="3" type="noConversion"/>
  </si>
  <si>
    <t>JUL 22</t>
  </si>
  <si>
    <t>Y57572</t>
  </si>
  <si>
    <t>Y57573</t>
  </si>
  <si>
    <t>C220442577</t>
    <phoneticPr fontId="3" type="noConversion"/>
  </si>
  <si>
    <t>Y57574</t>
  </si>
  <si>
    <t>Dongguan 岚新</t>
    <phoneticPr fontId="3" type="noConversion"/>
  </si>
  <si>
    <t>Y61435</t>
  </si>
  <si>
    <t>Y61436</t>
  </si>
  <si>
    <r>
      <rPr>
        <sz val="10"/>
        <color theme="1"/>
        <rFont val="微软雅黑"/>
        <family val="2"/>
        <charset val="134"/>
      </rPr>
      <t>力合仓库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已经清关</t>
    </r>
    <r>
      <rPr>
        <sz val="10"/>
        <color theme="1"/>
        <rFont val="Arial"/>
        <family val="2"/>
      </rPr>
      <t>)</t>
    </r>
    <phoneticPr fontId="3" type="noConversion"/>
  </si>
  <si>
    <t>Y58095</t>
  </si>
  <si>
    <r>
      <t>NM</t>
    </r>
    <r>
      <rPr>
        <sz val="8"/>
        <color theme="1"/>
        <rFont val="宋体"/>
        <family val="2"/>
        <charset val="134"/>
      </rPr>
      <t>，110838</t>
    </r>
    <phoneticPr fontId="3" type="noConversion"/>
  </si>
  <si>
    <t>C220242133</t>
    <phoneticPr fontId="3" type="noConversion"/>
  </si>
  <si>
    <t>Y58096</t>
  </si>
  <si>
    <r>
      <t>NM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110838</t>
    </r>
    <phoneticPr fontId="3" type="noConversion"/>
  </si>
  <si>
    <t>Y58097</t>
  </si>
  <si>
    <t>NM 110868</t>
    <phoneticPr fontId="3" type="noConversion"/>
  </si>
  <si>
    <t>C211241704</t>
    <phoneticPr fontId="3" type="noConversion"/>
  </si>
  <si>
    <t>Shenzhen Longtech</t>
    <phoneticPr fontId="3" type="noConversion"/>
  </si>
  <si>
    <t>Y61377</t>
  </si>
  <si>
    <r>
      <t xml:space="preserve">NM </t>
    </r>
    <r>
      <rPr>
        <sz val="8"/>
        <color theme="1"/>
        <rFont val="微软雅黑"/>
        <family val="2"/>
        <charset val="134"/>
      </rPr>
      <t xml:space="preserve"> </t>
    </r>
    <r>
      <rPr>
        <sz val="8"/>
        <color theme="1"/>
        <rFont val="Arial"/>
        <family val="2"/>
      </rPr>
      <t>PO110920</t>
    </r>
    <phoneticPr fontId="3" type="noConversion"/>
  </si>
  <si>
    <t>C220442711</t>
  </si>
  <si>
    <t>Y61378</t>
  </si>
  <si>
    <t>NM,PO 110998</t>
    <phoneticPr fontId="3" type="noConversion"/>
  </si>
  <si>
    <t>Y61379</t>
  </si>
  <si>
    <t>C220442706</t>
    <phoneticPr fontId="3" type="noConversion"/>
  </si>
  <si>
    <r>
      <t xml:space="preserve">Shenzhen </t>
    </r>
    <r>
      <rPr>
        <sz val="10"/>
        <color theme="1"/>
        <rFont val="等线"/>
        <family val="2"/>
        <charset val="134"/>
      </rPr>
      <t>伯莱科</t>
    </r>
    <phoneticPr fontId="3" type="noConversion"/>
  </si>
  <si>
    <t>Y61440</t>
  </si>
  <si>
    <t>通达科信</t>
    <phoneticPr fontId="3" type="noConversion"/>
  </si>
  <si>
    <t>cATS10+MVC+6pcs special layout</t>
  </si>
  <si>
    <t>Y61330</t>
  </si>
  <si>
    <r>
      <t xml:space="preserve">DG </t>
    </r>
    <r>
      <rPr>
        <sz val="10"/>
        <color theme="1"/>
        <rFont val="Arial Unicode MS"/>
        <family val="2"/>
        <charset val="134"/>
      </rPr>
      <t>普德新星</t>
    </r>
    <phoneticPr fontId="3" type="noConversion"/>
  </si>
  <si>
    <t>Y61448</t>
  </si>
  <si>
    <t>C180431793</t>
    <phoneticPr fontId="3" type="noConversion"/>
  </si>
  <si>
    <t>Y61449</t>
  </si>
  <si>
    <r>
      <t xml:space="preserve">SZ </t>
    </r>
    <r>
      <rPr>
        <sz val="10"/>
        <color theme="1"/>
        <rFont val="Arial Unicode MS"/>
        <family val="2"/>
        <charset val="134"/>
      </rPr>
      <t>骏仁达</t>
    </r>
    <phoneticPr fontId="3" type="noConversion"/>
  </si>
  <si>
    <t>Y61438</t>
  </si>
  <si>
    <t>Y61004</t>
  </si>
  <si>
    <r>
      <t>0.0521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</si>
  <si>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Y61375</t>
  </si>
  <si>
    <t>C220342243</t>
    <phoneticPr fontId="3" type="noConversion"/>
  </si>
  <si>
    <t>Y61376</t>
    <phoneticPr fontId="3" type="noConversion"/>
  </si>
  <si>
    <t>拓普艾名义</t>
    <phoneticPr fontId="3" type="noConversion"/>
  </si>
  <si>
    <t>Y61539</t>
  </si>
  <si>
    <t>Y61540</t>
  </si>
  <si>
    <t>Y61567</t>
  </si>
  <si>
    <r>
      <t>NM PO 110810</t>
    </r>
    <r>
      <rPr>
        <sz val="8"/>
        <color theme="1"/>
        <rFont val="宋体"/>
        <family val="3"/>
        <charset val="134"/>
      </rPr>
      <t>拆分</t>
    </r>
    <r>
      <rPr>
        <sz val="8"/>
        <color theme="1"/>
        <rFont val="Arial"/>
        <family val="2"/>
      </rPr>
      <t>PO110913</t>
    </r>
  </si>
  <si>
    <t>恒磊</t>
    <phoneticPr fontId="3" type="noConversion"/>
  </si>
  <si>
    <t>Y61444</t>
  </si>
  <si>
    <r>
      <t xml:space="preserve"> 0.0502 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 xml:space="preserve"> 110810</t>
    </r>
    <phoneticPr fontId="3" type="noConversion"/>
  </si>
  <si>
    <t>Y61445</t>
  </si>
  <si>
    <t>NM PO110910 STK</t>
    <phoneticPr fontId="3" type="noConversion"/>
  </si>
  <si>
    <t>Y60577</t>
  </si>
  <si>
    <r>
      <t>0.0502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</si>
  <si>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Y60578</t>
    <phoneticPr fontId="3" type="noConversion"/>
  </si>
  <si>
    <t>NM,PO 110873</t>
    <phoneticPr fontId="3" type="noConversion"/>
  </si>
  <si>
    <t>Y60579</t>
  </si>
  <si>
    <t>NM,PO110873</t>
    <phoneticPr fontId="3" type="noConversion"/>
  </si>
  <si>
    <t>C180632532</t>
    <phoneticPr fontId="3" type="noConversion"/>
  </si>
  <si>
    <t>Y60580</t>
    <phoneticPr fontId="3" type="noConversion"/>
  </si>
  <si>
    <t>NM PO110995</t>
    <phoneticPr fontId="3" type="noConversion"/>
  </si>
  <si>
    <t>Y60581</t>
  </si>
  <si>
    <t>Y60582</t>
  </si>
  <si>
    <t>上海预留</t>
    <phoneticPr fontId="3" type="noConversion"/>
  </si>
  <si>
    <t>深圳比泰利</t>
    <phoneticPr fontId="3" type="noConversion"/>
  </si>
  <si>
    <t>Y61453</t>
  </si>
  <si>
    <r>
      <t>0.05345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</si>
  <si>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C49CTUSHA20221203/FZM</t>
    <phoneticPr fontId="3" type="noConversion"/>
  </si>
  <si>
    <r>
      <rPr>
        <sz val="10"/>
        <color theme="1"/>
        <rFont val="宋体"/>
        <family val="2"/>
        <charset val="134"/>
      </rPr>
      <t>四川乃迁科技有限公司</t>
    </r>
    <r>
      <rPr>
        <sz val="10"/>
        <color theme="1"/>
        <rFont val="Arial"/>
        <family val="2"/>
      </rPr>
      <t xml:space="preserve"> LogBook.xlsx]Raw data'!$B:$Z,3,FALSE)</t>
    </r>
    <phoneticPr fontId="3" type="noConversion"/>
  </si>
  <si>
    <r>
      <t>SHA</t>
    </r>
    <r>
      <rPr>
        <sz val="10"/>
        <color theme="1"/>
        <rFont val="宋体"/>
        <family val="2"/>
        <charset val="134"/>
      </rPr>
      <t>客户</t>
    </r>
    <phoneticPr fontId="3" type="noConversion"/>
  </si>
  <si>
    <r>
      <t xml:space="preserve">SZ </t>
    </r>
    <r>
      <rPr>
        <sz val="10"/>
        <color theme="1"/>
        <rFont val="Arial Unicode MS"/>
        <family val="2"/>
        <charset val="134"/>
      </rPr>
      <t>伯莱科</t>
    </r>
    <phoneticPr fontId="3" type="noConversion"/>
  </si>
  <si>
    <t>Y61441</t>
  </si>
  <si>
    <t>NM PO110949 STK</t>
    <phoneticPr fontId="3" type="noConversion"/>
  </si>
  <si>
    <r>
      <t xml:space="preserve">SZ </t>
    </r>
    <r>
      <rPr>
        <sz val="10"/>
        <color theme="1"/>
        <rFont val="Arial Unicode MS"/>
        <family val="2"/>
        <charset val="134"/>
      </rPr>
      <t>盈通恒翼</t>
    </r>
    <phoneticPr fontId="3" type="noConversion"/>
  </si>
  <si>
    <t>Y61439</t>
  </si>
  <si>
    <t>NM 110882 STOCK</t>
    <phoneticPr fontId="3" type="noConversion"/>
  </si>
  <si>
    <t>C220141863</t>
    <phoneticPr fontId="3" type="noConversion"/>
  </si>
  <si>
    <t>Y61691</t>
    <phoneticPr fontId="3" type="noConversion"/>
  </si>
  <si>
    <t>Y57566</t>
    <phoneticPr fontId="3" type="noConversion"/>
  </si>
  <si>
    <t xml:space="preserve">NM 110965 STK </t>
    <phoneticPr fontId="3" type="noConversion"/>
  </si>
  <si>
    <t>SZ 骏仁达</t>
    <phoneticPr fontId="3" type="noConversion"/>
  </si>
  <si>
    <t>Y61437</t>
  </si>
  <si>
    <r>
      <t>Yamaha RMB</t>
    </r>
    <r>
      <rPr>
        <sz val="8"/>
        <color theme="1"/>
        <rFont val="宋体"/>
        <family val="2"/>
        <charset val="134"/>
      </rPr>
      <t>单</t>
    </r>
    <r>
      <rPr>
        <sz val="8"/>
        <color theme="1"/>
        <rFont val="Arial"/>
        <family val="2"/>
      </rPr>
      <t>49F104105</t>
    </r>
    <phoneticPr fontId="3" type="noConversion"/>
  </si>
  <si>
    <t>C220543035</t>
    <phoneticPr fontId="3" type="noConversion"/>
  </si>
  <si>
    <t>Y61568</t>
  </si>
  <si>
    <r>
      <t>CY</t>
    </r>
    <r>
      <rPr>
        <sz val="10"/>
        <color theme="1"/>
        <rFont val="宋体"/>
        <family val="2"/>
        <charset val="134"/>
      </rPr>
      <t>仓库</t>
    </r>
    <phoneticPr fontId="3" type="noConversion"/>
  </si>
  <si>
    <r>
      <t>110875(</t>
    </r>
    <r>
      <rPr>
        <sz val="9"/>
        <color theme="1"/>
        <rFont val="宋体"/>
        <family val="2"/>
        <charset val="134"/>
      </rPr>
      <t>拆单110975）</t>
    </r>
    <phoneticPr fontId="3" type="noConversion"/>
  </si>
  <si>
    <t>DG 普德新星</t>
    <phoneticPr fontId="3" type="noConversion"/>
  </si>
  <si>
    <t>Y61446</t>
  </si>
  <si>
    <r>
      <t>0.0512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JPY PO 110951</t>
    </r>
    <phoneticPr fontId="3" type="noConversion"/>
  </si>
  <si>
    <t>Y61447</t>
  </si>
  <si>
    <t>正创名义下单 CD#03946</t>
    <phoneticPr fontId="3" type="noConversion"/>
  </si>
  <si>
    <t>Y57065</t>
    <phoneticPr fontId="3" type="noConversion"/>
  </si>
  <si>
    <t>Y57066</t>
    <phoneticPr fontId="3" type="noConversion"/>
  </si>
  <si>
    <r>
      <t>0.0527,RMB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</si>
  <si>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C220643152</t>
    <phoneticPr fontId="3" type="noConversion"/>
  </si>
  <si>
    <t>Y58205</t>
    <phoneticPr fontId="3" type="noConversion"/>
  </si>
  <si>
    <t>Y58206</t>
    <phoneticPr fontId="3" type="noConversion"/>
  </si>
  <si>
    <t>Y58209</t>
    <phoneticPr fontId="3" type="noConversion"/>
  </si>
  <si>
    <r>
      <t>0.0492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 xml:space="preserve"> 110962</t>
    </r>
    <r>
      <rPr>
        <sz val="8"/>
        <color theme="1"/>
        <rFont val="宋体"/>
        <family val="2"/>
        <charset val="134"/>
      </rPr>
      <t>（拆单</t>
    </r>
    <r>
      <rPr>
        <sz val="8"/>
        <color theme="1"/>
        <rFont val="Arial"/>
        <family val="2"/>
      </rPr>
      <t>111022</t>
    </r>
    <r>
      <rPr>
        <sz val="8"/>
        <color theme="1"/>
        <rFont val="宋体"/>
        <family val="2"/>
        <charset val="134"/>
      </rPr>
      <t>）</t>
    </r>
    <phoneticPr fontId="3" type="noConversion"/>
  </si>
  <si>
    <t>Y60583</t>
    <phoneticPr fontId="3" type="noConversion"/>
  </si>
  <si>
    <r>
      <t>0.0503,RMB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</si>
  <si>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Y60584</t>
  </si>
  <si>
    <t>Y60585</t>
  </si>
  <si>
    <t>C210740701</t>
    <phoneticPr fontId="3" type="noConversion"/>
  </si>
  <si>
    <t>Y60586</t>
  </si>
  <si>
    <t>C190534728</t>
  </si>
  <si>
    <t>魔乐视</t>
    <phoneticPr fontId="3" type="noConversion"/>
  </si>
  <si>
    <t>Y61975</t>
    <phoneticPr fontId="3" type="noConversion"/>
  </si>
  <si>
    <r>
      <t>0.0498,RMB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</si>
  <si>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Y61976</t>
    <phoneticPr fontId="3" type="noConversion"/>
  </si>
  <si>
    <t>和创永泰</t>
    <phoneticPr fontId="3" type="noConversion"/>
  </si>
  <si>
    <t>Y61977</t>
    <phoneticPr fontId="3" type="noConversion"/>
  </si>
  <si>
    <t>NM PO 110954</t>
    <phoneticPr fontId="3" type="noConversion"/>
  </si>
  <si>
    <t>C220843506</t>
    <phoneticPr fontId="3" type="noConversion"/>
  </si>
  <si>
    <t>辉拓</t>
    <phoneticPr fontId="3" type="noConversion"/>
  </si>
  <si>
    <t>Y62066</t>
  </si>
  <si>
    <r>
      <rPr>
        <sz val="10"/>
        <color theme="1"/>
        <rFont val="Arial Unicode MS"/>
        <family val="2"/>
        <charset val="134"/>
      </rPr>
      <t>深圳顺禾</t>
    </r>
    <r>
      <rPr>
        <sz val="10"/>
        <color theme="1"/>
        <rFont val="Arial"/>
        <family val="2"/>
      </rPr>
      <t xml:space="preserve"> </t>
    </r>
    <phoneticPr fontId="3" type="noConversion"/>
  </si>
  <si>
    <t>Y61962</t>
    <phoneticPr fontId="3" type="noConversion"/>
  </si>
  <si>
    <r>
      <t>0.0512,JPY</t>
    </r>
    <r>
      <rPr>
        <sz val="8"/>
        <color theme="1"/>
        <rFont val="宋体"/>
        <family val="2"/>
        <charset val="134"/>
      </rPr>
      <t>单</t>
    </r>
    <r>
      <rPr>
        <sz val="8"/>
        <color theme="1"/>
        <rFont val="Arial"/>
        <family val="2"/>
      </rPr>
      <t>PO110997</t>
    </r>
    <phoneticPr fontId="3" type="noConversion"/>
  </si>
  <si>
    <t>东莞鸿楠</t>
    <phoneticPr fontId="3" type="noConversion"/>
  </si>
  <si>
    <r>
      <t>Y61968,</t>
    </r>
    <r>
      <rPr>
        <sz val="10"/>
        <color rgb="FFFF0000"/>
        <rFont val="宋体"/>
        <family val="3"/>
        <charset val="134"/>
      </rPr>
      <t>机器不能调动</t>
    </r>
    <phoneticPr fontId="3" type="noConversion"/>
  </si>
  <si>
    <t>Y61969</t>
  </si>
  <si>
    <t>C220943712</t>
    <phoneticPr fontId="3" type="noConversion"/>
  </si>
  <si>
    <t>Y61970</t>
  </si>
  <si>
    <t>NM PO#110956</t>
    <phoneticPr fontId="3" type="noConversion"/>
  </si>
  <si>
    <t>C220342280</t>
    <phoneticPr fontId="3" type="noConversion"/>
  </si>
  <si>
    <t>Y61971</t>
    <phoneticPr fontId="3" type="noConversion"/>
  </si>
  <si>
    <t>深圳朗特</t>
    <phoneticPr fontId="3" type="noConversion"/>
  </si>
  <si>
    <t>Y62022</t>
    <phoneticPr fontId="3" type="noConversion"/>
  </si>
  <si>
    <r>
      <t>0.0513,RMB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</si>
  <si>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Y62023</t>
  </si>
  <si>
    <t>Y62024</t>
  </si>
  <si>
    <r>
      <t>110919(</t>
    </r>
    <r>
      <rPr>
        <sz val="9"/>
        <color theme="1"/>
        <rFont val="宋体"/>
        <family val="2"/>
        <charset val="134"/>
      </rPr>
      <t>拆单110927）</t>
    </r>
    <phoneticPr fontId="3" type="noConversion"/>
  </si>
  <si>
    <t>Y62025</t>
  </si>
  <si>
    <r>
      <t>0.0503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JPY</t>
    </r>
    <r>
      <rPr>
        <sz val="8"/>
        <color theme="1"/>
        <rFont val="宋体"/>
        <family val="2"/>
        <charset val="134"/>
      </rPr>
      <t>单</t>
    </r>
    <r>
      <rPr>
        <sz val="8"/>
        <color theme="1"/>
        <rFont val="Arial"/>
        <family val="2"/>
      </rPr>
      <t>PO#110996</t>
    </r>
    <phoneticPr fontId="3" type="noConversion"/>
  </si>
  <si>
    <t>C200837908</t>
  </si>
  <si>
    <t>Y62026</t>
  </si>
  <si>
    <t>Y62027</t>
  </si>
  <si>
    <t>NM,PO#111002</t>
    <phoneticPr fontId="3" type="noConversion"/>
  </si>
  <si>
    <t>芯联鑫</t>
    <phoneticPr fontId="3" type="noConversion"/>
  </si>
  <si>
    <t>Y61978</t>
  </si>
  <si>
    <t>Y61979</t>
    <phoneticPr fontId="3" type="noConversion"/>
  </si>
  <si>
    <r>
      <t>0.0512,RMB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>PO#110997</t>
    </r>
    <phoneticPr fontId="3" type="noConversion"/>
  </si>
  <si>
    <t>C210640541</t>
  </si>
  <si>
    <t>Y61972</t>
  </si>
  <si>
    <t>Y61973</t>
    <phoneticPr fontId="3" type="noConversion"/>
  </si>
  <si>
    <t>Y61974</t>
  </si>
  <si>
    <t>快宇</t>
    <phoneticPr fontId="3" type="noConversion"/>
  </si>
  <si>
    <t>Y62067</t>
  </si>
  <si>
    <r>
      <t>Y62068</t>
    </r>
    <r>
      <rPr>
        <sz val="10"/>
        <color rgb="FFFF0000"/>
        <rFont val="宋体"/>
        <family val="3"/>
        <charset val="134"/>
      </rPr>
      <t>，机器不能调动</t>
    </r>
    <phoneticPr fontId="3" type="noConversion"/>
  </si>
  <si>
    <t>赛美达</t>
    <phoneticPr fontId="3" type="noConversion"/>
  </si>
  <si>
    <r>
      <t>Y62071</t>
    </r>
    <r>
      <rPr>
        <sz val="10"/>
        <color theme="1"/>
        <rFont val="宋体"/>
        <family val="2"/>
        <charset val="134"/>
      </rPr>
      <t>（拆除1个相机，放在力合）</t>
    </r>
    <phoneticPr fontId="3" type="noConversion"/>
  </si>
  <si>
    <t>NM PO 111095</t>
    <phoneticPr fontId="3" type="noConversion"/>
  </si>
  <si>
    <t>C221043971</t>
  </si>
  <si>
    <t>Y57067</t>
    <phoneticPr fontId="3" type="noConversion"/>
  </si>
  <si>
    <r>
      <t xml:space="preserve">Yamaha RMB </t>
    </r>
    <r>
      <rPr>
        <sz val="8"/>
        <color theme="1"/>
        <rFont val="微软雅黑"/>
        <family val="2"/>
        <charset val="134"/>
      </rPr>
      <t>单</t>
    </r>
    <r>
      <rPr>
        <sz val="8"/>
        <color theme="1"/>
        <rFont val="Arial"/>
        <family val="2"/>
      </rPr>
      <t>49F104103</t>
    </r>
    <phoneticPr fontId="3" type="noConversion"/>
  </si>
  <si>
    <t>C210640335</t>
  </si>
  <si>
    <t>博睿通</t>
    <phoneticPr fontId="3" type="noConversion"/>
  </si>
  <si>
    <r>
      <t>Y62028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</si>
  <si>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0.0502</t>
    </r>
    <r>
      <rPr>
        <sz val="8"/>
        <color theme="1"/>
        <rFont val="微软雅黑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微软雅黑"/>
        <family val="2"/>
        <charset val="134"/>
      </rPr>
      <t>清关</t>
    </r>
    <r>
      <rPr>
        <sz val="8"/>
        <color theme="1"/>
        <rFont val="Arial"/>
        <family val="2"/>
      </rPr>
      <t xml:space="preserve"> PO110896</t>
    </r>
    <phoneticPr fontId="3" type="noConversion"/>
  </si>
  <si>
    <r>
      <t>苏州朋协智控科技有限公司</t>
    </r>
    <r>
      <rPr>
        <sz val="10.5"/>
        <color rgb="FF000000"/>
        <rFont val="Calibri"/>
        <family val="2"/>
      </rPr>
      <t xml:space="preserve"> </t>
    </r>
    <phoneticPr fontId="3" type="noConversion"/>
  </si>
  <si>
    <r>
      <t>苏州朋协智控科技有限公司</t>
    </r>
    <r>
      <rPr>
        <sz val="10.5"/>
        <color rgb="FF000000"/>
        <rFont val="Calibri"/>
        <family val="2"/>
      </rPr>
      <t xml:space="preserve"> </t>
    </r>
  </si>
  <si>
    <t>Y62029</t>
  </si>
  <si>
    <t>C200236775</t>
    <phoneticPr fontId="3" type="noConversion"/>
  </si>
  <si>
    <t xml:space="preserve"> SZ 中润互联</t>
    <phoneticPr fontId="3" type="noConversion"/>
  </si>
  <si>
    <t>Y61966</t>
  </si>
  <si>
    <r>
      <t xml:space="preserve"> SZ </t>
    </r>
    <r>
      <rPr>
        <sz val="10"/>
        <color theme="1"/>
        <rFont val="微软雅黑"/>
        <family val="2"/>
        <charset val="134"/>
      </rPr>
      <t>中润互联</t>
    </r>
    <phoneticPr fontId="3" type="noConversion"/>
  </si>
  <si>
    <t>Y61967</t>
  </si>
  <si>
    <r>
      <rPr>
        <sz val="10"/>
        <color theme="1"/>
        <rFont val="等线"/>
        <family val="2"/>
        <charset val="134"/>
      </rPr>
      <t>诺亚兴</t>
    </r>
    <r>
      <rPr>
        <sz val="10"/>
        <color theme="1"/>
        <rFont val="Arial"/>
        <family val="2"/>
      </rPr>
      <t xml:space="preserve"> </t>
    </r>
    <phoneticPr fontId="3" type="noConversion"/>
  </si>
  <si>
    <t>Y62072</t>
  </si>
  <si>
    <t>友艺</t>
    <phoneticPr fontId="3" type="noConversion"/>
  </si>
  <si>
    <t>Y62073</t>
  </si>
  <si>
    <t>Y58098</t>
    <phoneticPr fontId="3" type="noConversion"/>
  </si>
  <si>
    <t>C220242050</t>
  </si>
  <si>
    <t>比泰利</t>
    <phoneticPr fontId="3" type="noConversion"/>
  </si>
  <si>
    <t>Y61963</t>
  </si>
  <si>
    <t>前海仓库-&gt;准备清关</t>
  </si>
  <si>
    <t>C230244908</t>
  </si>
  <si>
    <t>Y61964</t>
  </si>
  <si>
    <t>cATS10+MVC+Feeder Carriage</t>
  </si>
  <si>
    <t>Y61965</t>
  </si>
  <si>
    <t>中润互联</t>
    <phoneticPr fontId="3" type="noConversion"/>
  </si>
  <si>
    <t>MVC F&amp;R</t>
    <phoneticPr fontId="3" type="noConversion"/>
  </si>
  <si>
    <r>
      <t>Y62310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</si>
  <si>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 xml:space="preserve"> 0.0527,RMB</t>
    </r>
    <r>
      <rPr>
        <sz val="8"/>
        <color theme="1"/>
        <rFont val="微软雅黑"/>
        <family val="2"/>
        <charset val="134"/>
      </rPr>
      <t xml:space="preserve">清关 </t>
    </r>
    <r>
      <rPr>
        <sz val="8"/>
        <color theme="1"/>
        <rFont val="Arial"/>
        <family val="2"/>
      </rPr>
      <t>PO#110875(</t>
    </r>
    <r>
      <rPr>
        <sz val="8"/>
        <color theme="1"/>
        <rFont val="微软雅黑"/>
        <family val="2"/>
        <charset val="134"/>
      </rPr>
      <t>拆单</t>
    </r>
    <r>
      <rPr>
        <sz val="8"/>
        <color theme="1"/>
        <rFont val="Arial"/>
        <family val="2"/>
      </rPr>
      <t>110975</t>
    </r>
    <r>
      <rPr>
        <sz val="8"/>
        <color theme="1"/>
        <rFont val="微软雅黑"/>
        <family val="2"/>
        <charset val="134"/>
      </rPr>
      <t>）</t>
    </r>
    <phoneticPr fontId="3" type="noConversion"/>
  </si>
  <si>
    <r>
      <t>Y62311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</si>
  <si>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0.050,RMB</t>
    </r>
    <r>
      <rPr>
        <sz val="8"/>
        <color theme="1"/>
        <rFont val="微软雅黑"/>
        <family val="2"/>
        <charset val="134"/>
      </rPr>
      <t xml:space="preserve">清关 </t>
    </r>
    <r>
      <rPr>
        <sz val="8"/>
        <color theme="1"/>
        <rFont val="Arial"/>
        <family val="2"/>
      </rPr>
      <t>PO110875</t>
    </r>
    <phoneticPr fontId="3" type="noConversion"/>
  </si>
  <si>
    <t xml:space="preserve">           </t>
    <phoneticPr fontId="3" type="noConversion"/>
  </si>
  <si>
    <r>
      <t>Y62312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</si>
  <si>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0.0527,RMB</t>
    </r>
    <r>
      <rPr>
        <sz val="8"/>
        <color theme="1"/>
        <rFont val="微软雅黑"/>
        <family val="2"/>
        <charset val="134"/>
      </rPr>
      <t>清关</t>
    </r>
    <r>
      <rPr>
        <sz val="8"/>
        <color theme="1"/>
        <rFont val="Arial"/>
        <family val="2"/>
      </rPr>
      <t xml:space="preserve"> PO110935</t>
    </r>
    <phoneticPr fontId="3" type="noConversion"/>
  </si>
  <si>
    <t>Y62315</t>
    <phoneticPr fontId="3" type="noConversion"/>
  </si>
  <si>
    <t>Y62314</t>
  </si>
  <si>
    <t>Y62313</t>
    <phoneticPr fontId="3" type="noConversion"/>
  </si>
  <si>
    <t>骏仁达</t>
    <phoneticPr fontId="3" type="noConversion"/>
  </si>
  <si>
    <t>Y62343</t>
  </si>
  <si>
    <t>C181233587</t>
    <phoneticPr fontId="3" type="noConversion"/>
  </si>
  <si>
    <r>
      <t>110962</t>
    </r>
    <r>
      <rPr>
        <sz val="9"/>
        <color theme="1"/>
        <rFont val="宋体"/>
        <family val="2"/>
        <charset val="134"/>
      </rPr>
      <t>（拆单111022）</t>
    </r>
    <phoneticPr fontId="3" type="noConversion"/>
  </si>
  <si>
    <r>
      <t>Y62344</t>
    </r>
    <r>
      <rPr>
        <sz val="10"/>
        <color theme="1"/>
        <rFont val="宋体"/>
        <family val="2"/>
        <charset val="134"/>
      </rPr>
      <t>，</t>
    </r>
    <r>
      <rPr>
        <sz val="10"/>
        <color rgb="FFFF0000"/>
        <rFont val="宋体"/>
        <family val="3"/>
        <charset val="134"/>
      </rPr>
      <t>抽中调离商检</t>
    </r>
    <phoneticPr fontId="3" type="noConversion"/>
  </si>
  <si>
    <r>
      <t xml:space="preserve"> Yamaha RMB</t>
    </r>
    <r>
      <rPr>
        <sz val="8"/>
        <color theme="1"/>
        <rFont val="微软雅黑"/>
        <family val="2"/>
        <charset val="134"/>
      </rPr>
      <t>单</t>
    </r>
    <r>
      <rPr>
        <sz val="8"/>
        <color theme="1"/>
        <rFont val="Arial"/>
        <family val="2"/>
      </rPr>
      <t xml:space="preserve"> 49F104103</t>
    </r>
    <phoneticPr fontId="3" type="noConversion"/>
  </si>
  <si>
    <t>C221043973</t>
    <phoneticPr fontId="3" type="noConversion"/>
  </si>
  <si>
    <t>志华鑫名义下单</t>
    <phoneticPr fontId="3" type="noConversion"/>
  </si>
  <si>
    <t>Y62322</t>
  </si>
  <si>
    <r>
      <t>Y62323</t>
    </r>
    <r>
      <rPr>
        <sz val="10"/>
        <color theme="1"/>
        <rFont val="宋体"/>
        <family val="2"/>
        <charset val="134"/>
      </rPr>
      <t>，</t>
    </r>
    <r>
      <rPr>
        <sz val="10"/>
        <color rgb="FFFF0000"/>
        <rFont val="宋体"/>
        <family val="3"/>
        <charset val="134"/>
      </rPr>
      <t>抽中调离商检</t>
    </r>
    <phoneticPr fontId="3" type="noConversion"/>
  </si>
  <si>
    <t>利速达</t>
    <phoneticPr fontId="3" type="noConversion"/>
  </si>
  <si>
    <r>
      <t>Y62324</t>
    </r>
    <r>
      <rPr>
        <sz val="10"/>
        <color rgb="FFFF0000"/>
        <rFont val="宋体"/>
        <family val="3"/>
        <charset val="134"/>
      </rPr>
      <t>，抽中调离商检</t>
    </r>
    <phoneticPr fontId="3" type="noConversion"/>
  </si>
  <si>
    <t>C220342243</t>
  </si>
  <si>
    <r>
      <t>110961</t>
    </r>
    <r>
      <rPr>
        <sz val="9"/>
        <color theme="1"/>
        <rFont val="宋体"/>
        <family val="2"/>
        <charset val="134"/>
      </rPr>
      <t>（拆单111023）</t>
    </r>
    <phoneticPr fontId="3" type="noConversion"/>
  </si>
  <si>
    <t>钧溢</t>
    <phoneticPr fontId="3" type="noConversion"/>
  </si>
  <si>
    <t>Y62345</t>
    <phoneticPr fontId="3" type="noConversion"/>
  </si>
  <si>
    <r>
      <t>NM 110960(</t>
    </r>
    <r>
      <rPr>
        <sz val="8"/>
        <color theme="1"/>
        <rFont val="宋体"/>
        <family val="2"/>
        <charset val="134"/>
      </rPr>
      <t>拆单</t>
    </r>
    <r>
      <rPr>
        <sz val="8"/>
        <color theme="1"/>
        <rFont val="Arial"/>
        <family val="2"/>
      </rPr>
      <t>111038)</t>
    </r>
    <phoneticPr fontId="3" type="noConversion"/>
  </si>
  <si>
    <t>Y62346</t>
    <phoneticPr fontId="3" type="noConversion"/>
  </si>
  <si>
    <r>
      <t>110960(</t>
    </r>
    <r>
      <rPr>
        <sz val="9"/>
        <color theme="1"/>
        <rFont val="宋体"/>
        <family val="2"/>
        <charset val="134"/>
      </rPr>
      <t>拆单111038)</t>
    </r>
    <phoneticPr fontId="3" type="noConversion"/>
  </si>
  <si>
    <t>Y62340</t>
  </si>
  <si>
    <t>NM,PO 110988</t>
    <phoneticPr fontId="3" type="noConversion"/>
  </si>
  <si>
    <t>C210440011</t>
    <phoneticPr fontId="3" type="noConversion"/>
  </si>
  <si>
    <t>Y62341</t>
  </si>
  <si>
    <t>C151125547</t>
    <phoneticPr fontId="3" type="noConversion"/>
  </si>
  <si>
    <t>Y62342</t>
  </si>
  <si>
    <r>
      <t>银杏（虽然机器安装在银杏，但是给到</t>
    </r>
    <r>
      <rPr>
        <sz val="10"/>
        <color theme="1"/>
        <rFont val="Arial"/>
        <family val="2"/>
      </rPr>
      <t>Yamaha</t>
    </r>
    <r>
      <rPr>
        <sz val="10"/>
        <color theme="1"/>
        <rFont val="宋体"/>
        <family val="3"/>
        <charset val="134"/>
      </rPr>
      <t>的资料都是三才）</t>
    </r>
  </si>
  <si>
    <t>C221144426</t>
  </si>
  <si>
    <t>Y62325</t>
  </si>
  <si>
    <r>
      <t>0.0498,RMB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 xml:space="preserve"> PO110921</t>
    </r>
    <phoneticPr fontId="3" type="noConversion"/>
  </si>
  <si>
    <t>C200938204</t>
  </si>
  <si>
    <r>
      <t>Y62326</t>
    </r>
    <r>
      <rPr>
        <sz val="10"/>
        <color rgb="FFFF0000"/>
        <rFont val="宋体"/>
        <family val="3"/>
        <charset val="134"/>
      </rPr>
      <t>，机器不能调动</t>
    </r>
    <phoneticPr fontId="3" type="noConversion"/>
  </si>
  <si>
    <t xml:space="preserve">C180732624 </t>
    <phoneticPr fontId="3" type="noConversion"/>
  </si>
  <si>
    <t>伯莱科</t>
    <phoneticPr fontId="3" type="noConversion"/>
  </si>
  <si>
    <t>Y62328</t>
  </si>
  <si>
    <r>
      <t>Y62329</t>
    </r>
    <r>
      <rPr>
        <sz val="10"/>
        <color rgb="FFFF0000"/>
        <rFont val="宋体"/>
        <family val="3"/>
        <charset val="134"/>
      </rPr>
      <t>，机器不能调动</t>
    </r>
    <phoneticPr fontId="3" type="noConversion"/>
  </si>
  <si>
    <t>鑫天泰</t>
    <phoneticPr fontId="3" type="noConversion"/>
  </si>
  <si>
    <r>
      <t>Y62327(</t>
    </r>
    <r>
      <rPr>
        <sz val="10"/>
        <color theme="1"/>
        <rFont val="宋体"/>
        <family val="2"/>
        <charset val="134"/>
      </rPr>
      <t>拆相机放在力合）</t>
    </r>
    <phoneticPr fontId="3" type="noConversion"/>
  </si>
  <si>
    <r>
      <t>0.0503,RMB</t>
    </r>
    <r>
      <rPr>
        <sz val="8"/>
        <color theme="1"/>
        <rFont val="宋体"/>
        <family val="2"/>
        <charset val="134"/>
      </rPr>
      <t xml:space="preserve">清关 </t>
    </r>
    <r>
      <rPr>
        <sz val="8"/>
        <color theme="1"/>
        <rFont val="Arial"/>
        <family val="2"/>
      </rPr>
      <t>PO#110922</t>
    </r>
    <phoneticPr fontId="3" type="noConversion"/>
  </si>
  <si>
    <t>Y62389</t>
  </si>
  <si>
    <t>Y62392</t>
  </si>
  <si>
    <t>Y62393</t>
  </si>
  <si>
    <t>Y62394</t>
  </si>
  <si>
    <t>Y62387</t>
    <phoneticPr fontId="3" type="noConversion"/>
  </si>
  <si>
    <t>Y62388</t>
  </si>
  <si>
    <t>Y62390</t>
  </si>
  <si>
    <r>
      <t>110959</t>
    </r>
    <r>
      <rPr>
        <sz val="9"/>
        <color theme="1"/>
        <rFont val="宋体"/>
        <family val="2"/>
        <charset val="134"/>
      </rPr>
      <t>（拆单111021）</t>
    </r>
    <phoneticPr fontId="3" type="noConversion"/>
  </si>
  <si>
    <t>Y62391</t>
  </si>
  <si>
    <t>Y62339</t>
  </si>
  <si>
    <r>
      <t>110995</t>
    </r>
    <r>
      <rPr>
        <sz val="9"/>
        <color theme="1"/>
        <rFont val="宋体"/>
        <family val="2"/>
        <charset val="134"/>
      </rPr>
      <t>（</t>
    </r>
    <r>
      <rPr>
        <sz val="9"/>
        <color theme="1"/>
        <rFont val="Arial"/>
        <family val="2"/>
      </rPr>
      <t>TT</t>
    </r>
    <r>
      <rPr>
        <sz val="9"/>
        <color theme="1"/>
        <rFont val="宋体"/>
        <family val="2"/>
        <charset val="134"/>
      </rPr>
      <t>）</t>
    </r>
    <phoneticPr fontId="3" type="noConversion"/>
  </si>
  <si>
    <r>
      <t xml:space="preserve"> SZ </t>
    </r>
    <r>
      <rPr>
        <sz val="10"/>
        <color theme="1"/>
        <rFont val="宋体"/>
        <family val="2"/>
        <charset val="134"/>
      </rPr>
      <t>奥祺</t>
    </r>
    <r>
      <rPr>
        <sz val="10"/>
        <color theme="1"/>
        <rFont val="Arial"/>
        <family val="2"/>
      </rPr>
      <t>(Special)</t>
    </r>
    <phoneticPr fontId="3" type="noConversion"/>
  </si>
  <si>
    <t>Y62550</t>
  </si>
  <si>
    <r>
      <t>0.0502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 xml:space="preserve">清关 </t>
    </r>
    <r>
      <rPr>
        <sz val="8"/>
        <color theme="1"/>
        <rFont val="Arial"/>
        <family val="2"/>
      </rPr>
      <t>PO110896</t>
    </r>
    <phoneticPr fontId="3" type="noConversion"/>
  </si>
  <si>
    <t>C200236762</t>
  </si>
  <si>
    <t>Y62551</t>
  </si>
  <si>
    <t xml:space="preserve">C230345148 </t>
  </si>
  <si>
    <r>
      <t>110998</t>
    </r>
    <r>
      <rPr>
        <sz val="9"/>
        <color theme="1"/>
        <rFont val="宋体"/>
        <family val="2"/>
        <charset val="134"/>
      </rPr>
      <t>（</t>
    </r>
    <r>
      <rPr>
        <sz val="9"/>
        <color theme="1"/>
        <rFont val="Arial"/>
        <family val="2"/>
      </rPr>
      <t>TT</t>
    </r>
    <r>
      <rPr>
        <sz val="9"/>
        <color theme="1"/>
        <rFont val="宋体"/>
        <family val="2"/>
        <charset val="134"/>
      </rPr>
      <t>）</t>
    </r>
    <phoneticPr fontId="3" type="noConversion"/>
  </si>
  <si>
    <t>精德鸿(Special)</t>
    <phoneticPr fontId="3" type="noConversion"/>
  </si>
  <si>
    <t>Y62552</t>
  </si>
  <si>
    <r>
      <t>0.0527,JPY</t>
    </r>
    <r>
      <rPr>
        <sz val="8"/>
        <color theme="1"/>
        <rFont val="宋体"/>
        <family val="2"/>
        <charset val="134"/>
      </rPr>
      <t>单</t>
    </r>
    <r>
      <rPr>
        <sz val="8"/>
        <color theme="1"/>
        <rFont val="Arial"/>
        <family val="2"/>
      </rPr>
      <t>PO110929</t>
    </r>
    <phoneticPr fontId="3" type="noConversion"/>
  </si>
  <si>
    <r>
      <t>110996</t>
    </r>
    <r>
      <rPr>
        <sz val="9"/>
        <color theme="1"/>
        <rFont val="宋体"/>
        <family val="2"/>
        <charset val="134"/>
      </rPr>
      <t>（</t>
    </r>
    <r>
      <rPr>
        <sz val="9"/>
        <color theme="1"/>
        <rFont val="Arial"/>
        <family val="2"/>
      </rPr>
      <t>TT)</t>
    </r>
    <phoneticPr fontId="3" type="noConversion"/>
  </si>
  <si>
    <t>比尔乔(Special)</t>
    <phoneticPr fontId="3" type="noConversion"/>
  </si>
  <si>
    <r>
      <t>Y62595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</si>
  <si>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0.0498,RMB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>PO#110919(</t>
    </r>
    <r>
      <rPr>
        <sz val="8"/>
        <color theme="1"/>
        <rFont val="宋体"/>
        <family val="2"/>
        <charset val="134"/>
      </rPr>
      <t>拆单</t>
    </r>
    <r>
      <rPr>
        <sz val="8"/>
        <color theme="1"/>
        <rFont val="Arial"/>
        <family val="2"/>
      </rPr>
      <t>110927</t>
    </r>
    <r>
      <rPr>
        <sz val="8"/>
        <color theme="1"/>
        <rFont val="宋体"/>
        <family val="2"/>
        <charset val="134"/>
      </rPr>
      <t>）</t>
    </r>
    <phoneticPr fontId="3" type="noConversion"/>
  </si>
  <si>
    <t>110996 (TT)</t>
    <phoneticPr fontId="3" type="noConversion"/>
  </si>
  <si>
    <r>
      <t>Y62596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</si>
  <si>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0.0513,RMB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>PO#110919</t>
    </r>
    <phoneticPr fontId="3" type="noConversion"/>
  </si>
  <si>
    <t>C200938214</t>
  </si>
  <si>
    <t>瑞福联名义(Special)</t>
    <phoneticPr fontId="3" type="noConversion"/>
  </si>
  <si>
    <r>
      <t>Y62598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</si>
  <si>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0.0513 RMB</t>
    </r>
    <r>
      <rPr>
        <sz val="8"/>
        <color theme="1"/>
        <rFont val="宋体"/>
        <family val="2"/>
        <charset val="134"/>
      </rPr>
      <t>单清关，</t>
    </r>
    <r>
      <rPr>
        <sz val="8"/>
        <color theme="1"/>
        <rFont val="Arial"/>
        <family val="2"/>
      </rPr>
      <t>PO110924</t>
    </r>
    <phoneticPr fontId="3" type="noConversion"/>
  </si>
  <si>
    <r>
      <t>Y62599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</si>
  <si>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0.0498,RMB</t>
    </r>
    <r>
      <rPr>
        <sz val="8"/>
        <color theme="1"/>
        <rFont val="等线"/>
        <family val="2"/>
        <charset val="134"/>
      </rPr>
      <t>清关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PO#110923</t>
    </r>
    <phoneticPr fontId="3" type="noConversion"/>
  </si>
  <si>
    <t>惠州莫斯特</t>
    <phoneticPr fontId="3" type="noConversion"/>
  </si>
  <si>
    <r>
      <t>Y62561</t>
    </r>
    <r>
      <rPr>
        <sz val="10"/>
        <color theme="1"/>
        <rFont val="宋体"/>
        <family val="2"/>
        <charset val="134"/>
      </rPr>
      <t>（拆相机放在力合）</t>
    </r>
    <phoneticPr fontId="3" type="noConversion"/>
  </si>
  <si>
    <t>Y62563</t>
  </si>
  <si>
    <t>Suining konka</t>
    <phoneticPr fontId="3" type="noConversion"/>
  </si>
  <si>
    <t>MVC+ATS15+ANC+IT option+TOK 1154</t>
  </si>
  <si>
    <t>Y62359</t>
  </si>
  <si>
    <t>MAY 23</t>
  </si>
  <si>
    <t>Y62360</t>
  </si>
  <si>
    <t>MVC+IT option+TOK 1154 +</t>
  </si>
  <si>
    <t>Y62361</t>
  </si>
  <si>
    <t>Y62362</t>
  </si>
  <si>
    <r>
      <t>111006(</t>
    </r>
    <r>
      <rPr>
        <sz val="9"/>
        <color theme="1"/>
        <rFont val="宋体"/>
        <family val="2"/>
        <charset val="134"/>
      </rPr>
      <t>拆单111039)</t>
    </r>
    <phoneticPr fontId="3" type="noConversion"/>
  </si>
  <si>
    <r>
      <t>#04403</t>
    </r>
    <r>
      <rPr>
        <sz val="10"/>
        <color theme="1"/>
        <rFont val="宋体"/>
        <family val="2"/>
        <charset val="134"/>
      </rPr>
      <t>奕东</t>
    </r>
    <phoneticPr fontId="3" type="noConversion"/>
  </si>
  <si>
    <t>MVC +大板相机</t>
  </si>
  <si>
    <r>
      <t>Y62576</t>
    </r>
    <r>
      <rPr>
        <sz val="10"/>
        <color theme="1"/>
        <rFont val="等线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等线"/>
        <family val="2"/>
        <charset val="134"/>
      </rPr>
      <t>个相机，放在力合）</t>
    </r>
    <phoneticPr fontId="3" type="noConversion"/>
  </si>
  <si>
    <t>C221244461</t>
  </si>
  <si>
    <t>Y62577</t>
  </si>
  <si>
    <r>
      <t>Y62578</t>
    </r>
    <r>
      <rPr>
        <sz val="10"/>
        <color theme="1"/>
        <rFont val="宋体"/>
        <family val="2"/>
        <charset val="134"/>
      </rPr>
      <t>（拆大板相机放在力合）</t>
    </r>
    <phoneticPr fontId="3" type="noConversion"/>
  </si>
  <si>
    <t xml:space="preserve">C230144833 </t>
  </si>
  <si>
    <t>Y62579</t>
  </si>
  <si>
    <t>Y62580</t>
  </si>
  <si>
    <t>Y62581</t>
    <phoneticPr fontId="3" type="noConversion"/>
  </si>
  <si>
    <t>C180231291</t>
  </si>
  <si>
    <t>Y62582</t>
  </si>
  <si>
    <r>
      <t>Y62583</t>
    </r>
    <r>
      <rPr>
        <sz val="10"/>
        <color theme="1"/>
        <rFont val="宋体"/>
        <family val="2"/>
        <charset val="134"/>
      </rPr>
      <t>（拆相机放在力合）</t>
    </r>
    <phoneticPr fontId="3" type="noConversion"/>
  </si>
  <si>
    <t>Y62584</t>
  </si>
  <si>
    <t>Y62585</t>
  </si>
  <si>
    <t>C230245070</t>
  </si>
  <si>
    <t>Y62110</t>
    <phoneticPr fontId="3" type="noConversion"/>
  </si>
  <si>
    <t>Y62111</t>
    <phoneticPr fontId="3" type="noConversion"/>
  </si>
  <si>
    <t>Y62108</t>
    <phoneticPr fontId="3" type="noConversion"/>
  </si>
  <si>
    <t>Y62109</t>
    <phoneticPr fontId="3" type="noConversion"/>
  </si>
  <si>
    <t>Y62476</t>
  </si>
  <si>
    <t>Y62477</t>
  </si>
  <si>
    <t>Y62478</t>
  </si>
  <si>
    <t>Y62479</t>
  </si>
  <si>
    <t>Y62614</t>
  </si>
  <si>
    <t>C200938163</t>
  </si>
  <si>
    <t>Y62615</t>
  </si>
  <si>
    <t>金睿通(Special)</t>
    <phoneticPr fontId="3" type="noConversion"/>
  </si>
  <si>
    <r>
      <t>Y62610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</si>
  <si>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t>C220442563</t>
  </si>
  <si>
    <r>
      <t>Y62611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</si>
  <si>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t>C230345221</t>
  </si>
  <si>
    <r>
      <t xml:space="preserve"> SZ </t>
    </r>
    <r>
      <rPr>
        <sz val="10"/>
        <color theme="1"/>
        <rFont val="Arial Unicode MS"/>
        <family val="2"/>
        <charset val="134"/>
      </rPr>
      <t>精德鸿</t>
    </r>
    <r>
      <rPr>
        <sz val="10"/>
        <color theme="1"/>
        <rFont val="Arial"/>
        <family val="2"/>
      </rPr>
      <t>(Special)</t>
    </r>
    <phoneticPr fontId="3" type="noConversion"/>
  </si>
  <si>
    <t>Y62606</t>
  </si>
  <si>
    <t>Y62607</t>
  </si>
  <si>
    <r>
      <t xml:space="preserve"> SZ </t>
    </r>
    <r>
      <rPr>
        <sz val="10"/>
        <color theme="1"/>
        <rFont val="Arial Unicode MS"/>
        <family val="2"/>
        <charset val="134"/>
      </rPr>
      <t>奥祺</t>
    </r>
    <r>
      <rPr>
        <sz val="10"/>
        <color theme="1"/>
        <rFont val="Arial"/>
        <family val="2"/>
      </rPr>
      <t>(Special)</t>
    </r>
    <phoneticPr fontId="3" type="noConversion"/>
  </si>
  <si>
    <t>Y62608</t>
  </si>
  <si>
    <t>Y62609</t>
  </si>
  <si>
    <r>
      <t xml:space="preserve"> SZ</t>
    </r>
    <r>
      <rPr>
        <sz val="10"/>
        <color theme="1"/>
        <rFont val="宋体"/>
        <family val="3"/>
        <charset val="134"/>
      </rPr>
      <t>欣华</t>
    </r>
  </si>
  <si>
    <t>Y62604</t>
  </si>
  <si>
    <t>Y62605</t>
  </si>
  <si>
    <t>C200336938</t>
    <phoneticPr fontId="3" type="noConversion"/>
  </si>
  <si>
    <r>
      <t xml:space="preserve"> SZ </t>
    </r>
    <r>
      <rPr>
        <sz val="10"/>
        <color theme="1"/>
        <rFont val="Arial Unicode MS"/>
        <family val="2"/>
        <charset val="134"/>
      </rPr>
      <t>金睿通</t>
    </r>
    <r>
      <rPr>
        <sz val="10"/>
        <color theme="1"/>
        <rFont val="Arial"/>
        <family val="2"/>
      </rPr>
      <t>(Special)</t>
    </r>
    <phoneticPr fontId="3" type="noConversion"/>
  </si>
  <si>
    <t>Y62612</t>
  </si>
  <si>
    <t>Y62613</t>
  </si>
  <si>
    <r>
      <t xml:space="preserve"> SZ </t>
    </r>
    <r>
      <rPr>
        <sz val="10"/>
        <color theme="1"/>
        <rFont val="Arial Unicode MS"/>
        <family val="2"/>
        <charset val="134"/>
      </rPr>
      <t>瑞福联</t>
    </r>
    <r>
      <rPr>
        <sz val="10"/>
        <color theme="1"/>
        <rFont val="Arial"/>
        <family val="2"/>
      </rPr>
      <t>(Special)</t>
    </r>
    <phoneticPr fontId="3" type="noConversion"/>
  </si>
  <si>
    <t>Y62600</t>
  </si>
  <si>
    <t>Y62601</t>
  </si>
  <si>
    <t>C230144717</t>
  </si>
  <si>
    <r>
      <t xml:space="preserve"> SZ</t>
    </r>
    <r>
      <rPr>
        <sz val="10"/>
        <color theme="1"/>
        <rFont val="Arial Unicode MS"/>
        <family val="2"/>
        <charset val="134"/>
      </rPr>
      <t>正讯</t>
    </r>
    <phoneticPr fontId="3" type="noConversion"/>
  </si>
  <si>
    <t>Y62627</t>
  </si>
  <si>
    <t xml:space="preserve"> SZ正讯</t>
    <phoneticPr fontId="3" type="noConversion"/>
  </si>
  <si>
    <t>Y62628</t>
  </si>
  <si>
    <t>欣华</t>
    <phoneticPr fontId="3" type="noConversion"/>
  </si>
  <si>
    <t>Y62634</t>
    <phoneticPr fontId="3" type="noConversion"/>
  </si>
  <si>
    <t>C220643122</t>
    <phoneticPr fontId="3" type="noConversion"/>
  </si>
  <si>
    <t>Y62603</t>
  </si>
  <si>
    <t>思迈</t>
    <phoneticPr fontId="3" type="noConversion"/>
  </si>
  <si>
    <t>Y62602</t>
    <phoneticPr fontId="3" type="noConversion"/>
  </si>
  <si>
    <t>Y62635</t>
  </si>
  <si>
    <t>正讯</t>
    <phoneticPr fontId="3" type="noConversion"/>
  </si>
  <si>
    <t>Y62625</t>
  </si>
  <si>
    <t>C210640313</t>
  </si>
  <si>
    <t>Y62626</t>
  </si>
  <si>
    <t>110993(TT)</t>
    <phoneticPr fontId="3" type="noConversion"/>
  </si>
  <si>
    <r>
      <t xml:space="preserve"> SZ</t>
    </r>
    <r>
      <rPr>
        <sz val="10"/>
        <color theme="1"/>
        <rFont val="Arial Unicode MS"/>
        <family val="2"/>
        <charset val="134"/>
      </rPr>
      <t>斯迈拓</t>
    </r>
    <phoneticPr fontId="3" type="noConversion"/>
  </si>
  <si>
    <t>Y62629</t>
  </si>
  <si>
    <t>Y62630</t>
  </si>
  <si>
    <r>
      <t xml:space="preserve"> SZ</t>
    </r>
    <r>
      <rPr>
        <sz val="10"/>
        <color theme="1"/>
        <rFont val="微软雅黑"/>
        <family val="2"/>
        <charset val="134"/>
      </rPr>
      <t>朗迅</t>
    </r>
    <phoneticPr fontId="3" type="noConversion"/>
  </si>
  <si>
    <t>Y62636</t>
  </si>
  <si>
    <t>C220643250</t>
    <phoneticPr fontId="3" type="noConversion"/>
  </si>
  <si>
    <r>
      <t xml:space="preserve"> SZ</t>
    </r>
    <r>
      <rPr>
        <sz val="10"/>
        <color theme="1"/>
        <rFont val="宋体"/>
        <family val="3"/>
        <charset val="134"/>
      </rPr>
      <t>朗迅</t>
    </r>
  </si>
  <si>
    <t>Y62637</t>
  </si>
  <si>
    <t>C210239322</t>
    <phoneticPr fontId="3" type="noConversion"/>
  </si>
  <si>
    <t>惠州新明海</t>
    <phoneticPr fontId="3" type="noConversion"/>
  </si>
  <si>
    <t>Y62873</t>
  </si>
  <si>
    <t>C221044184</t>
    <phoneticPr fontId="3" type="noConversion"/>
  </si>
  <si>
    <t>Y62874</t>
  </si>
  <si>
    <t>Y62876</t>
  </si>
  <si>
    <t>Y62877</t>
  </si>
  <si>
    <t>Y62878</t>
  </si>
  <si>
    <t>Y62872</t>
  </si>
  <si>
    <t>Y62875</t>
  </si>
  <si>
    <t>C220242133</t>
  </si>
  <si>
    <t>Y62879</t>
  </si>
  <si>
    <t>Y62880</t>
  </si>
  <si>
    <t>力通威(sepcial)</t>
    <phoneticPr fontId="3" type="noConversion"/>
  </si>
  <si>
    <t>Y63137</t>
  </si>
  <si>
    <t>Y63138</t>
  </si>
  <si>
    <t>C220743421</t>
  </si>
  <si>
    <t>Y63139</t>
  </si>
  <si>
    <t>Y63079</t>
  </si>
  <si>
    <t>C220542973</t>
  </si>
  <si>
    <t>Y63080</t>
  </si>
  <si>
    <t>Y63075</t>
  </si>
  <si>
    <t>前海仓库(已经清关)</t>
  </si>
  <si>
    <t>Y63076</t>
  </si>
  <si>
    <t>C220543035</t>
  </si>
  <si>
    <t>Y63077</t>
  </si>
  <si>
    <t>Y63078</t>
  </si>
  <si>
    <r>
      <t>111048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F104339</t>
    </r>
    <phoneticPr fontId="3" type="noConversion"/>
  </si>
  <si>
    <t>络鑫#03625(special)</t>
    <phoneticPr fontId="3" type="noConversion"/>
  </si>
  <si>
    <t>Y63056</t>
  </si>
  <si>
    <r>
      <t>2022/10/2,</t>
    </r>
    <r>
      <rPr>
        <sz val="10"/>
        <color theme="1"/>
        <rFont val="宋体"/>
        <family val="2"/>
        <charset val="134"/>
      </rPr>
      <t>蛇口港</t>
    </r>
    <phoneticPr fontId="3" type="noConversion"/>
  </si>
  <si>
    <t>Y63057</t>
  </si>
  <si>
    <t>Y63058</t>
  </si>
  <si>
    <t>Y63059</t>
  </si>
  <si>
    <t>C200537294</t>
  </si>
  <si>
    <t>Y63060</t>
  </si>
  <si>
    <r>
      <t>111050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F104341</t>
    </r>
    <phoneticPr fontId="3" type="noConversion"/>
  </si>
  <si>
    <r>
      <rPr>
        <sz val="10"/>
        <color theme="1"/>
        <rFont val="微软雅黑"/>
        <family val="2"/>
        <charset val="134"/>
      </rPr>
      <t>朗特</t>
    </r>
    <r>
      <rPr>
        <sz val="10"/>
        <color theme="1"/>
        <rFont val="Arial"/>
        <family val="2"/>
      </rPr>
      <t>#06890(special)</t>
    </r>
    <phoneticPr fontId="3" type="noConversion"/>
  </si>
  <si>
    <t>Y63066</t>
  </si>
  <si>
    <t>Y63067</t>
  </si>
  <si>
    <t>Y63068</t>
  </si>
  <si>
    <t>Y63069</t>
  </si>
  <si>
    <t>Y63070</t>
  </si>
  <si>
    <r>
      <t>111049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F104342</t>
    </r>
    <phoneticPr fontId="3" type="noConversion"/>
  </si>
  <si>
    <t>创荣发(sepcial)</t>
    <phoneticPr fontId="3" type="noConversion"/>
  </si>
  <si>
    <t>Y63061</t>
  </si>
  <si>
    <t>Y63062</t>
  </si>
  <si>
    <t>Y63063</t>
  </si>
  <si>
    <t>Y63064</t>
  </si>
  <si>
    <t>NM,                        PO111096</t>
    <phoneticPr fontId="3" type="noConversion"/>
  </si>
  <si>
    <t>Y63065</t>
  </si>
  <si>
    <r>
      <t>111052</t>
    </r>
    <r>
      <rPr>
        <sz val="9"/>
        <color theme="1"/>
        <rFont val="宋体"/>
        <family val="2"/>
        <charset val="134"/>
      </rPr>
      <t>改49F104334</t>
    </r>
    <phoneticPr fontId="3" type="noConversion"/>
  </si>
  <si>
    <r>
      <t>Y63081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</si>
  <si>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2022/11/7,</t>
    </r>
    <r>
      <rPr>
        <sz val="10"/>
        <color theme="1"/>
        <rFont val="宋体"/>
        <family val="2"/>
        <charset val="134"/>
      </rPr>
      <t>蛇口港</t>
    </r>
    <phoneticPr fontId="3" type="noConversion"/>
  </si>
  <si>
    <r>
      <t>Y63082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</si>
  <si>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Y63083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</si>
  <si>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Y63084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</si>
  <si>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Y63085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</si>
  <si>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111047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F104340</t>
    </r>
    <phoneticPr fontId="3" type="noConversion"/>
  </si>
  <si>
    <t>世启纳</t>
    <phoneticPr fontId="3" type="noConversion"/>
  </si>
  <si>
    <t>Y63071</t>
  </si>
  <si>
    <t>C49XMN20221122/LYX</t>
    <phoneticPr fontId="3" type="noConversion"/>
  </si>
  <si>
    <t>福建凯思达</t>
    <phoneticPr fontId="3" type="noConversion"/>
  </si>
  <si>
    <t>已转上海客户</t>
    <phoneticPr fontId="3" type="noConversion"/>
  </si>
  <si>
    <t>Y63072</t>
    <phoneticPr fontId="3" type="noConversion"/>
  </si>
  <si>
    <t>Y63073</t>
  </si>
  <si>
    <t>Y63074</t>
  </si>
  <si>
    <r>
      <t>111054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F104337</t>
    </r>
    <phoneticPr fontId="3" type="noConversion"/>
  </si>
  <si>
    <r>
      <rPr>
        <sz val="10"/>
        <color theme="1"/>
        <rFont val="等线"/>
        <family val="2"/>
        <charset val="134"/>
      </rPr>
      <t>朗特</t>
    </r>
    <r>
      <rPr>
        <sz val="10"/>
        <color theme="1"/>
        <rFont val="Arial"/>
        <family val="2"/>
      </rPr>
      <t>#06890</t>
    </r>
    <r>
      <rPr>
        <sz val="10"/>
        <color theme="1"/>
        <rFont val="Arial"/>
        <family val="2"/>
        <charset val="134"/>
      </rPr>
      <t>(special)</t>
    </r>
    <phoneticPr fontId="3" type="noConversion"/>
  </si>
  <si>
    <t>Y63146</t>
  </si>
  <si>
    <r>
      <t>111055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F104335</t>
    </r>
    <phoneticPr fontId="3" type="noConversion"/>
  </si>
  <si>
    <r>
      <t>Y63149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</si>
  <si>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t>Y63152</t>
    <phoneticPr fontId="3" type="noConversion"/>
  </si>
  <si>
    <r>
      <t>111056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F104336</t>
    </r>
    <phoneticPr fontId="3" type="noConversion"/>
  </si>
  <si>
    <t>东莞铭翔(special)</t>
    <phoneticPr fontId="3" type="noConversion"/>
  </si>
  <si>
    <t>Y63517</t>
  </si>
  <si>
    <r>
      <t>#04235</t>
    </r>
    <r>
      <rPr>
        <sz val="10"/>
        <color theme="1"/>
        <rFont val="宋体"/>
        <family val="2"/>
        <charset val="134"/>
      </rPr>
      <t>博睿通(special）</t>
    </r>
    <phoneticPr fontId="3" type="noConversion"/>
  </si>
  <si>
    <t>Y63535</t>
    <phoneticPr fontId="3" type="noConversion"/>
  </si>
  <si>
    <t>Y63536</t>
    <phoneticPr fontId="3" type="noConversion"/>
  </si>
  <si>
    <r>
      <t>0.0512 PO#111049</t>
    </r>
    <r>
      <rPr>
        <sz val="8"/>
        <color theme="1"/>
        <rFont val="宋体"/>
        <family val="2"/>
        <charset val="134"/>
      </rPr>
      <t>改</t>
    </r>
    <r>
      <rPr>
        <sz val="8"/>
        <color theme="1"/>
        <rFont val="Arial"/>
        <family val="2"/>
      </rPr>
      <t>49F104342</t>
    </r>
    <phoneticPr fontId="3" type="noConversion"/>
  </si>
  <si>
    <t>Y63537</t>
    <phoneticPr fontId="3" type="noConversion"/>
  </si>
  <si>
    <t>NM coper rate 0.0501</t>
    <phoneticPr fontId="3" type="noConversion"/>
  </si>
  <si>
    <t>Y63534</t>
    <phoneticPr fontId="3" type="noConversion"/>
  </si>
  <si>
    <t>Y63531</t>
    <phoneticPr fontId="3" type="noConversion"/>
  </si>
  <si>
    <t>0.0485 PO#111020</t>
    <phoneticPr fontId="3" type="noConversion"/>
  </si>
  <si>
    <t>C230244984</t>
  </si>
  <si>
    <t>Y63532</t>
  </si>
  <si>
    <t>Y63533</t>
  </si>
  <si>
    <t>宝捷时计（special WKK-IND)</t>
    <phoneticPr fontId="3" type="noConversion"/>
  </si>
  <si>
    <t>Y63526</t>
  </si>
  <si>
    <t>码头</t>
  </si>
  <si>
    <t>C221044011</t>
    <phoneticPr fontId="3" type="noConversion"/>
  </si>
  <si>
    <t>cATS30+MVC+Feeder Carriage</t>
  </si>
  <si>
    <t>Y63527</t>
  </si>
  <si>
    <t xml:space="preserve"> #18542斯迈(Special）</t>
    <phoneticPr fontId="3" type="noConversion"/>
  </si>
  <si>
    <t>Y63521</t>
  </si>
  <si>
    <t>Y63522</t>
  </si>
  <si>
    <t>Y63523</t>
  </si>
  <si>
    <t>Y63524</t>
  </si>
  <si>
    <r>
      <t>0.0527,RMB</t>
    </r>
    <r>
      <rPr>
        <sz val="8"/>
        <color theme="1"/>
        <rFont val="宋体"/>
        <family val="2"/>
        <charset val="134"/>
      </rPr>
      <t>清关,</t>
    </r>
    <r>
      <rPr>
        <sz val="8"/>
        <color theme="1"/>
        <rFont val="Arial"/>
        <family val="2"/>
      </rPr>
      <t>PO110932</t>
    </r>
    <phoneticPr fontId="3" type="noConversion"/>
  </si>
  <si>
    <t>28L104351</t>
    <phoneticPr fontId="3" type="noConversion"/>
  </si>
  <si>
    <t>上海下单STK</t>
    <phoneticPr fontId="3" type="noConversion"/>
  </si>
  <si>
    <t>Y63515</t>
    <phoneticPr fontId="3" type="noConversion"/>
  </si>
  <si>
    <r>
      <t>2022-10-24,</t>
    </r>
    <r>
      <rPr>
        <sz val="10"/>
        <color theme="1"/>
        <rFont val="宋体"/>
        <family val="2"/>
        <charset val="134"/>
      </rPr>
      <t>上海港</t>
    </r>
    <phoneticPr fontId="3" type="noConversion"/>
  </si>
  <si>
    <t>Y63516</t>
    <phoneticPr fontId="3" type="noConversion"/>
  </si>
  <si>
    <r>
      <rPr>
        <sz val="10"/>
        <color theme="1"/>
        <rFont val="宋体"/>
        <family val="2"/>
        <charset val="134"/>
      </rPr>
      <t>留给上海做</t>
    </r>
    <r>
      <rPr>
        <sz val="10"/>
        <color theme="1"/>
        <rFont val="Arial"/>
        <family val="2"/>
      </rPr>
      <t>STK</t>
    </r>
    <r>
      <rPr>
        <sz val="10"/>
        <color theme="1"/>
        <rFont val="宋体"/>
        <family val="2"/>
        <charset val="134"/>
      </rPr>
      <t>，有客户要</t>
    </r>
    <phoneticPr fontId="3" type="noConversion"/>
  </si>
  <si>
    <t>Ysi-V</t>
    <phoneticPr fontId="3" type="noConversion"/>
  </si>
  <si>
    <t>L-R</t>
    <phoneticPr fontId="3" type="noConversion"/>
  </si>
  <si>
    <t>OK</t>
    <phoneticPr fontId="3" type="noConversion"/>
  </si>
  <si>
    <r>
      <rPr>
        <sz val="10"/>
        <color theme="1"/>
        <rFont val="宋体"/>
        <family val="2"/>
        <charset val="134"/>
      </rPr>
      <t>上海</t>
    </r>
    <r>
      <rPr>
        <sz val="10"/>
        <color theme="1"/>
        <rFont val="Arial"/>
        <family val="2"/>
      </rPr>
      <t>STK</t>
    </r>
    <phoneticPr fontId="3" type="noConversion"/>
  </si>
  <si>
    <t>49F104436</t>
    <phoneticPr fontId="3" type="noConversion"/>
  </si>
  <si>
    <t>Y58301</t>
  </si>
  <si>
    <t>Y58699</t>
    <phoneticPr fontId="3" type="noConversion"/>
  </si>
  <si>
    <t>Y58700</t>
    <phoneticPr fontId="3" type="noConversion"/>
  </si>
  <si>
    <t>创荣发(Special）</t>
    <phoneticPr fontId="3" type="noConversion"/>
  </si>
  <si>
    <t>Y64062</t>
  </si>
  <si>
    <t>Y64064</t>
  </si>
  <si>
    <t>Y64061</t>
  </si>
  <si>
    <t>Y64063</t>
  </si>
  <si>
    <t>Y64065</t>
  </si>
  <si>
    <t>Y64012</t>
  </si>
  <si>
    <t>Y64013</t>
  </si>
  <si>
    <t>Y63997</t>
  </si>
  <si>
    <t>Y64079</t>
  </si>
  <si>
    <t>Y64010</t>
  </si>
  <si>
    <t>倍斯特</t>
    <phoneticPr fontId="3" type="noConversion"/>
  </si>
  <si>
    <t>Y64060</t>
  </si>
  <si>
    <t>倍斯特(Special）</t>
    <phoneticPr fontId="3" type="noConversion"/>
  </si>
  <si>
    <t>Y64059</t>
  </si>
  <si>
    <t>新明海</t>
    <phoneticPr fontId="3" type="noConversion"/>
  </si>
  <si>
    <t>Y64011</t>
  </si>
  <si>
    <t>Y64053</t>
  </si>
  <si>
    <t>Y64054</t>
  </si>
  <si>
    <t>Y64055</t>
  </si>
  <si>
    <t>Y64056</t>
  </si>
  <si>
    <t>锐诚电子</t>
    <phoneticPr fontId="3" type="noConversion"/>
  </si>
  <si>
    <t>Y63986</t>
  </si>
  <si>
    <t>Y64080</t>
  </si>
  <si>
    <t>Y64002</t>
  </si>
  <si>
    <t>Y64003</t>
  </si>
  <si>
    <t>海红天远</t>
    <phoneticPr fontId="3" type="noConversion"/>
  </si>
  <si>
    <t>Y64550</t>
  </si>
  <si>
    <t>Y64551</t>
  </si>
  <si>
    <t>Y64552</t>
  </si>
  <si>
    <t>雷特名义</t>
    <phoneticPr fontId="3" type="noConversion"/>
  </si>
  <si>
    <t>耕创名义下单</t>
    <phoneticPr fontId="3" type="noConversion"/>
  </si>
  <si>
    <t>SZ Longda</t>
  </si>
  <si>
    <t>Part number</t>
    <phoneticPr fontId="3" type="noConversion"/>
  </si>
  <si>
    <t xml:space="preserve">PO </t>
    <phoneticPr fontId="3" type="noConversion"/>
  </si>
  <si>
    <t>ETA</t>
    <phoneticPr fontId="3" type="noConversion"/>
  </si>
  <si>
    <t xml:space="preserve">
IN QTY</t>
  </si>
  <si>
    <r>
      <rPr>
        <b/>
        <sz val="8"/>
        <rFont val="华文楷体"/>
        <family val="3"/>
        <charset val="134"/>
      </rPr>
      <t>序号</t>
    </r>
    <phoneticPr fontId="3" type="noConversion"/>
  </si>
  <si>
    <t>Reserved Customer</t>
    <phoneticPr fontId="3" type="noConversion"/>
  </si>
  <si>
    <t>Reserved Customer Contract No.</t>
    <phoneticPr fontId="3" type="noConversion"/>
  </si>
  <si>
    <r>
      <rPr>
        <b/>
        <sz val="9"/>
        <rFont val="华文楷体"/>
        <family val="3"/>
        <charset val="134"/>
      </rPr>
      <t>发货日期</t>
    </r>
    <phoneticPr fontId="3" type="noConversion"/>
  </si>
  <si>
    <r>
      <rPr>
        <b/>
        <sz val="8"/>
        <rFont val="华文楷体"/>
        <family val="3"/>
        <charset val="134"/>
      </rPr>
      <t>已经发货数</t>
    </r>
    <phoneticPr fontId="3" type="noConversion"/>
  </si>
  <si>
    <r>
      <rPr>
        <b/>
        <sz val="8"/>
        <rFont val="华文楷体"/>
        <family val="3"/>
        <charset val="134"/>
      </rPr>
      <t>预留</t>
    </r>
    <r>
      <rPr>
        <b/>
        <sz val="8"/>
        <rFont val="Arial"/>
        <family val="2"/>
      </rPr>
      <t>Feeder</t>
    </r>
    <r>
      <rPr>
        <b/>
        <sz val="8"/>
        <rFont val="华文楷体"/>
        <family val="3"/>
        <charset val="134"/>
      </rPr>
      <t>数</t>
    </r>
    <phoneticPr fontId="3" type="noConversion"/>
  </si>
  <si>
    <t>borrowed QTY</t>
    <phoneticPr fontId="3" type="noConversion"/>
  </si>
  <si>
    <r>
      <rPr>
        <b/>
        <sz val="9"/>
        <rFont val="华文楷体"/>
        <family val="3"/>
        <charset val="134"/>
      </rPr>
      <t>是否支付定金</t>
    </r>
    <phoneticPr fontId="3" type="noConversion"/>
  </si>
  <si>
    <r>
      <rPr>
        <b/>
        <sz val="8"/>
        <rFont val="华文楷体"/>
        <family val="3"/>
        <charset val="134"/>
      </rPr>
      <t>实际合同</t>
    </r>
    <r>
      <rPr>
        <b/>
        <sz val="8"/>
        <rFont val="Arial"/>
        <family val="2"/>
      </rPr>
      <t>Feeder</t>
    </r>
    <r>
      <rPr>
        <b/>
        <sz val="8"/>
        <rFont val="华文楷体"/>
        <family val="3"/>
        <charset val="134"/>
      </rPr>
      <t>数</t>
    </r>
    <phoneticPr fontId="3" type="noConversion"/>
  </si>
  <si>
    <t>extra QTY</t>
    <phoneticPr fontId="3" type="noConversion"/>
  </si>
  <si>
    <r>
      <rPr>
        <b/>
        <sz val="8"/>
        <color rgb="FFFF0000"/>
        <rFont val="华文楷体"/>
        <family val="3"/>
        <charset val="134"/>
      </rPr>
      <t>系统扣数</t>
    </r>
    <phoneticPr fontId="3" type="noConversion"/>
  </si>
  <si>
    <r>
      <rPr>
        <b/>
        <sz val="8"/>
        <color rgb="FFFF0000"/>
        <rFont val="华文楷体"/>
        <family val="3"/>
        <charset val="134"/>
      </rPr>
      <t>扣数客户名字</t>
    </r>
    <phoneticPr fontId="3" type="noConversion"/>
  </si>
  <si>
    <t>SS 8mm</t>
  </si>
  <si>
    <r>
      <t>2022-12-29</t>
    </r>
    <r>
      <rPr>
        <sz val="8"/>
        <rFont val="宋体"/>
        <family val="2"/>
        <charset val="134"/>
      </rPr>
      <t>盘点</t>
    </r>
    <phoneticPr fontId="3" type="noConversion"/>
  </si>
  <si>
    <t>盘点</t>
    <phoneticPr fontId="3" type="noConversion"/>
  </si>
  <si>
    <t>SS 12/16mm</t>
  </si>
  <si>
    <t>SS 24mm</t>
  </si>
  <si>
    <t>SS 32mm</t>
  </si>
  <si>
    <t>SS 44mm</t>
  </si>
  <si>
    <t>SS 56mm</t>
  </si>
  <si>
    <t>SS 72mm</t>
  </si>
  <si>
    <t>深圳仓库</t>
  </si>
  <si>
    <t>ZS 4mm</t>
  </si>
  <si>
    <t>ZS 8mm</t>
  </si>
  <si>
    <t>ZS 12/16mm</t>
  </si>
  <si>
    <t>ZS 24mm</t>
  </si>
  <si>
    <t>ZS 32mm</t>
  </si>
  <si>
    <t>ZS 44mm</t>
  </si>
  <si>
    <t>ZS 56mm</t>
  </si>
  <si>
    <t>ZS 72mm</t>
  </si>
  <si>
    <t>Incoming</t>
  </si>
  <si>
    <t>KHJ-MC100-00</t>
  </si>
  <si>
    <t>KHJ-MC200-00</t>
  </si>
  <si>
    <t>KHJ-MC400-00</t>
  </si>
  <si>
    <t>聚亮兴业</t>
  </si>
  <si>
    <t>C49SZX20210101JD</t>
  </si>
  <si>
    <t>SS 8mm</t>
    <phoneticPr fontId="3" type="noConversion"/>
  </si>
  <si>
    <t>KHJ-MC500-00</t>
  </si>
  <si>
    <t>KLJ-MC100-00</t>
  </si>
  <si>
    <t>KLJ-MC200-00</t>
  </si>
  <si>
    <t>KLJ-MCN00-20</t>
  </si>
  <si>
    <r>
      <rPr>
        <sz val="8"/>
        <rFont val="华文楷体"/>
        <family val="3"/>
        <charset val="134"/>
      </rPr>
      <t>深圳仓库</t>
    </r>
  </si>
  <si>
    <t>KHJ-MC600-00</t>
  </si>
  <si>
    <t>KHJ-MC700-00</t>
  </si>
  <si>
    <t>C49SZX20220110SS</t>
  </si>
  <si>
    <t>SS 24mm</t>
    <phoneticPr fontId="3" type="noConversion"/>
  </si>
  <si>
    <t>已经扣数</t>
    <phoneticPr fontId="3" type="noConversion"/>
  </si>
  <si>
    <r>
      <rPr>
        <sz val="8"/>
        <color rgb="FFFF0000"/>
        <rFont val="宋体"/>
        <family val="2"/>
        <charset val="134"/>
      </rPr>
      <t>徕芬</t>
    </r>
    <r>
      <rPr>
        <sz val="8"/>
        <color rgb="FFFF0000"/>
        <rFont val="Arial"/>
        <family val="2"/>
      </rPr>
      <t>C49SZX20230018MX</t>
    </r>
    <phoneticPr fontId="3" type="noConversion"/>
  </si>
  <si>
    <r>
      <rPr>
        <sz val="8"/>
        <color rgb="FFFF0000"/>
        <rFont val="宋体"/>
        <family val="2"/>
        <charset val="134"/>
      </rPr>
      <t>和创永泰</t>
    </r>
    <r>
      <rPr>
        <sz val="8"/>
        <color rgb="FFFF0000"/>
        <rFont val="Arial"/>
        <family val="2"/>
      </rPr>
      <t>C49SZX20230030JY</t>
    </r>
    <phoneticPr fontId="3" type="noConversion"/>
  </si>
  <si>
    <t>系统销数</t>
    <phoneticPr fontId="3" type="noConversion"/>
  </si>
  <si>
    <r>
      <rPr>
        <sz val="8"/>
        <color rgb="FFFF0000"/>
        <rFont val="宋体"/>
        <family val="2"/>
        <charset val="134"/>
      </rPr>
      <t>斯路迅</t>
    </r>
    <r>
      <rPr>
        <sz val="8"/>
        <color rgb="FFFF0000"/>
        <rFont val="Arial"/>
        <family val="2"/>
      </rPr>
      <t>C49SZX20230024MZ</t>
    </r>
    <phoneticPr fontId="3" type="noConversion"/>
  </si>
  <si>
    <r>
      <rPr>
        <b/>
        <sz val="8"/>
        <color rgb="FFFF0000"/>
        <rFont val="华文楷体"/>
        <family val="3"/>
        <charset val="134"/>
      </rPr>
      <t>有交期</t>
    </r>
  </si>
  <si>
    <t>C49 buffer</t>
    <phoneticPr fontId="3" type="noConversion"/>
  </si>
  <si>
    <r>
      <rPr>
        <b/>
        <sz val="8"/>
        <color theme="4" tint="-0.249977111117893"/>
        <rFont val="华文楷体"/>
        <family val="3"/>
        <charset val="134"/>
      </rPr>
      <t>有交期</t>
    </r>
  </si>
  <si>
    <t>C66 buffer</t>
    <phoneticPr fontId="3" type="noConversion"/>
  </si>
  <si>
    <r>
      <rPr>
        <b/>
        <sz val="9"/>
        <color rgb="FFFF0000"/>
        <rFont val="华文楷体"/>
        <family val="3"/>
        <charset val="134"/>
      </rPr>
      <t>没有预留机器</t>
    </r>
    <phoneticPr fontId="3" type="noConversion"/>
  </si>
  <si>
    <t xml:space="preserve">YSM10 </t>
    <phoneticPr fontId="3" type="noConversion"/>
  </si>
  <si>
    <r>
      <t xml:space="preserve">HK </t>
    </r>
    <r>
      <rPr>
        <b/>
        <sz val="8"/>
        <color rgb="FFFF0000"/>
        <rFont val="华文楷体"/>
        <family val="3"/>
        <charset val="134"/>
      </rPr>
      <t>仓库</t>
    </r>
  </si>
  <si>
    <t>YSM20</t>
    <phoneticPr fontId="3" type="noConversion"/>
  </si>
  <si>
    <t>buffer</t>
    <phoneticPr fontId="3" type="noConversion"/>
  </si>
  <si>
    <r>
      <t>YSM10</t>
    </r>
    <r>
      <rPr>
        <b/>
        <sz val="9"/>
        <color theme="4" tint="-0.249977111117893"/>
        <rFont val="华文楷体"/>
        <family val="3"/>
        <charset val="134"/>
      </rPr>
      <t>相机</t>
    </r>
  </si>
  <si>
    <t>Tune-up station</t>
  </si>
  <si>
    <t>Additional fiducial camera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</si>
  <si>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3" type="noConversion"/>
  </si>
  <si>
    <t xml:space="preserve">Coming </t>
    <phoneticPr fontId="3" type="noConversion"/>
  </si>
  <si>
    <t>Incoming</t>
    <phoneticPr fontId="3" type="noConversion"/>
  </si>
  <si>
    <t>有交期</t>
    <phoneticPr fontId="3" type="noConversion"/>
  </si>
  <si>
    <t>Shipped</t>
    <phoneticPr fontId="3" type="noConversion"/>
  </si>
  <si>
    <t>Borrowed</t>
    <phoneticPr fontId="3" type="noConversion"/>
  </si>
  <si>
    <t>Stock Reserved</t>
    <phoneticPr fontId="3" type="noConversion"/>
  </si>
  <si>
    <t>Incoming Reserved</t>
    <phoneticPr fontId="3" type="noConversion"/>
  </si>
  <si>
    <r>
      <rPr>
        <sz val="11"/>
        <rFont val="宋体"/>
        <family val="3"/>
        <charset val="134"/>
      </rPr>
      <t>有交期</t>
    </r>
    <r>
      <rPr>
        <sz val="11"/>
        <rFont val="Arial"/>
        <family val="2"/>
      </rPr>
      <t xml:space="preserve"> Reserved</t>
    </r>
    <phoneticPr fontId="3" type="noConversion"/>
  </si>
  <si>
    <t>Stock(available)</t>
    <phoneticPr fontId="3" type="noConversion"/>
  </si>
  <si>
    <t xml:space="preserve">Incoming(available) </t>
    <phoneticPr fontId="3" type="noConversion"/>
  </si>
  <si>
    <t>系统数</t>
    <phoneticPr fontId="3" type="noConversion"/>
  </si>
  <si>
    <t xml:space="preserve">SS 8mm      </t>
    <phoneticPr fontId="3" type="noConversion"/>
  </si>
  <si>
    <r>
      <t xml:space="preserve">SS 8mm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</si>
  <si>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12/16mm</t>
    <phoneticPr fontId="3" type="noConversion"/>
  </si>
  <si>
    <r>
      <t xml:space="preserve">SS 12/16mm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</si>
  <si>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t xml:space="preserve">SS 24mm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</si>
  <si>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32mm</t>
    <phoneticPr fontId="3" type="noConversion"/>
  </si>
  <si>
    <r>
      <t xml:space="preserve">SS 32mm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</si>
  <si>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44mm</t>
    <phoneticPr fontId="3" type="noConversion"/>
  </si>
  <si>
    <r>
      <t xml:space="preserve">SS 44mm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</si>
  <si>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56mm</t>
    <phoneticPr fontId="3" type="noConversion"/>
  </si>
  <si>
    <r>
      <t xml:space="preserve">SS 56 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</si>
  <si>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72mm</t>
    <phoneticPr fontId="3" type="noConversion"/>
  </si>
  <si>
    <r>
      <t xml:space="preserve">SS 72 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</si>
  <si>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4mm      </t>
    </r>
    <phoneticPr fontId="3" type="noConversion"/>
  </si>
  <si>
    <r>
      <rPr>
        <b/>
        <sz val="11"/>
        <color rgb="FFFF0000"/>
        <rFont val="Arial"/>
        <family val="2"/>
      </rPr>
      <t xml:space="preserve">ZS </t>
    </r>
    <r>
      <rPr>
        <b/>
        <sz val="11"/>
        <color theme="1"/>
        <rFont val="Arial"/>
        <family val="2"/>
      </rPr>
      <t xml:space="preserve">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</si>
  <si>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8mm      </t>
    </r>
    <phoneticPr fontId="3" type="noConversion"/>
  </si>
  <si>
    <r>
      <rPr>
        <b/>
        <sz val="11"/>
        <color rgb="FFFF0000"/>
        <rFont val="Arial"/>
        <family val="2"/>
      </rPr>
      <t xml:space="preserve">ZS </t>
    </r>
    <r>
      <rPr>
        <b/>
        <sz val="11"/>
        <color theme="1"/>
        <rFont val="Arial"/>
        <family val="2"/>
      </rPr>
      <t xml:space="preserve">8mm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</si>
  <si>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12/16mm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</si>
  <si>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12/16mm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</si>
  <si>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 xml:space="preserve">ZS </t>
    </r>
    <r>
      <rPr>
        <sz val="11"/>
        <color theme="1"/>
        <rFont val="Arial"/>
        <family val="2"/>
      </rPr>
      <t>24mm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</si>
  <si>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24mm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</si>
  <si>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32mm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</si>
  <si>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32mm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</si>
  <si>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44mm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</si>
  <si>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44mm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</si>
  <si>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56mm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</si>
  <si>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56 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</si>
  <si>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72mm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</si>
  <si>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72 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</si>
  <si>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STK borrowed</t>
    <phoneticPr fontId="3" type="noConversion"/>
  </si>
  <si>
    <t>STK reserved</t>
    <phoneticPr fontId="3" type="noConversion"/>
  </si>
  <si>
    <t>STK avaible</t>
    <phoneticPr fontId="3" type="noConversion"/>
  </si>
  <si>
    <t>有交期(PO IN)</t>
    <phoneticPr fontId="3" type="noConversion"/>
  </si>
  <si>
    <r>
      <rPr>
        <b/>
        <sz val="11"/>
        <color theme="1"/>
        <rFont val="宋体"/>
        <family val="3"/>
        <charset val="134"/>
      </rPr>
      <t>有交期</t>
    </r>
    <r>
      <rPr>
        <b/>
        <sz val="11"/>
        <color theme="1"/>
        <rFont val="Arial"/>
        <family val="2"/>
      </rPr>
      <t xml:space="preserve"> reserved</t>
    </r>
    <phoneticPr fontId="3" type="noConversion"/>
  </si>
  <si>
    <t>有交期available</t>
    <phoneticPr fontId="3" type="noConversion"/>
  </si>
  <si>
    <t>TBA(PO IN)</t>
    <phoneticPr fontId="3" type="noConversion"/>
  </si>
  <si>
    <t>TBA reserved</t>
    <phoneticPr fontId="3" type="noConversion"/>
  </si>
  <si>
    <t xml:space="preserve">TBA available </t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</si>
  <si>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4mm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</si>
  <si>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8mm</t>
    </r>
    <phoneticPr fontId="3" type="noConversion"/>
  </si>
  <si>
    <t>深圳仓库</t>
    <phoneticPr fontId="3" type="noConversion"/>
  </si>
  <si>
    <t xml:space="preserve">STK </t>
    <phoneticPr fontId="3" type="noConversion"/>
  </si>
  <si>
    <t xml:space="preserve"> SS 12/16mm</t>
    <phoneticPr fontId="3" type="noConversion"/>
  </si>
  <si>
    <r>
      <rPr>
        <sz val="11"/>
        <color rgb="FFFF0000"/>
        <rFont val="Arial"/>
        <family val="2"/>
      </rPr>
      <t xml:space="preserve"> ZS</t>
    </r>
    <r>
      <rPr>
        <sz val="11"/>
        <color theme="1"/>
        <rFont val="Arial"/>
        <family val="2"/>
      </rPr>
      <t xml:space="preserve"> 12/16mm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</si>
  <si>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24mm</t>
    </r>
    <phoneticPr fontId="3" type="noConversion"/>
  </si>
  <si>
    <t>Org</t>
    <phoneticPr fontId="3" type="noConversion"/>
  </si>
  <si>
    <t>C66</t>
    <phoneticPr fontId="3" type="noConversion"/>
  </si>
  <si>
    <t xml:space="preserve">STK on hand </t>
    <phoneticPr fontId="3" type="noConversion"/>
  </si>
  <si>
    <t xml:space="preserve">额外多出Feeder </t>
    <phoneticPr fontId="3" type="noConversion"/>
  </si>
  <si>
    <r>
      <t>2018-9-30</t>
    </r>
    <r>
      <rPr>
        <sz val="8"/>
        <rFont val="华文楷体"/>
        <family val="3"/>
        <charset val="134"/>
      </rPr>
      <t>盘点</t>
    </r>
    <phoneticPr fontId="3" type="noConversion"/>
  </si>
  <si>
    <r>
      <rPr>
        <sz val="8"/>
        <rFont val="华文楷体"/>
        <family val="3"/>
        <charset val="134"/>
      </rPr>
      <t>深圳仓库</t>
    </r>
    <phoneticPr fontId="3" type="noConversion"/>
  </si>
  <si>
    <t>ZS 12/16mm</t>
    <phoneticPr fontId="3" type="noConversion"/>
  </si>
  <si>
    <r>
      <t>2018-10-23</t>
    </r>
    <r>
      <rPr>
        <sz val="8"/>
        <rFont val="华文楷体"/>
        <family val="3"/>
        <charset val="134"/>
      </rPr>
      <t>清关</t>
    </r>
    <phoneticPr fontId="3" type="noConversion"/>
  </si>
  <si>
    <r>
      <t xml:space="preserve">HK </t>
    </r>
    <r>
      <rPr>
        <sz val="8"/>
        <rFont val="华文楷体"/>
        <family val="3"/>
        <charset val="134"/>
      </rPr>
      <t>仓库</t>
    </r>
    <phoneticPr fontId="3" type="noConversion"/>
  </si>
  <si>
    <r>
      <t xml:space="preserve">HK </t>
    </r>
    <r>
      <rPr>
        <sz val="8"/>
        <rFont val="华文楷体"/>
        <family val="3"/>
        <charset val="134"/>
      </rPr>
      <t>仓库</t>
    </r>
  </si>
  <si>
    <r>
      <rPr>
        <sz val="8"/>
        <rFont val="华文楷体"/>
        <family val="3"/>
        <charset val="134"/>
      </rPr>
      <t>从</t>
    </r>
    <r>
      <rPr>
        <sz val="8"/>
        <rFont val="Arial"/>
        <family val="2"/>
      </rPr>
      <t>C66</t>
    </r>
    <r>
      <rPr>
        <sz val="8"/>
        <rFont val="华文楷体"/>
        <family val="3"/>
        <charset val="134"/>
      </rPr>
      <t>转库</t>
    </r>
    <phoneticPr fontId="3" type="noConversion"/>
  </si>
  <si>
    <r>
      <t>2018-12-7</t>
    </r>
    <r>
      <rPr>
        <sz val="8"/>
        <rFont val="华文楷体"/>
        <family val="3"/>
        <charset val="134"/>
      </rPr>
      <t>清关</t>
    </r>
    <phoneticPr fontId="3" type="noConversion"/>
  </si>
  <si>
    <r>
      <t>2019-1-25</t>
    </r>
    <r>
      <rPr>
        <sz val="8"/>
        <rFont val="华文楷体"/>
        <family val="3"/>
        <charset val="134"/>
      </rPr>
      <t>清关</t>
    </r>
    <phoneticPr fontId="3" type="noConversion"/>
  </si>
  <si>
    <r>
      <t>2019-2-25</t>
    </r>
    <r>
      <rPr>
        <sz val="8"/>
        <rFont val="华文楷体"/>
        <family val="3"/>
        <charset val="134"/>
      </rPr>
      <t>清关</t>
    </r>
    <phoneticPr fontId="3" type="noConversion"/>
  </si>
  <si>
    <r>
      <t>2019-4-15 66N</t>
    </r>
    <r>
      <rPr>
        <sz val="8"/>
        <rFont val="华文楷体"/>
        <family val="3"/>
        <charset val="134"/>
      </rPr>
      <t>转库</t>
    </r>
    <r>
      <rPr>
        <sz val="8"/>
        <rFont val="Arial"/>
        <family val="2"/>
      </rPr>
      <t>49N</t>
    </r>
    <phoneticPr fontId="3" type="noConversion"/>
  </si>
  <si>
    <r>
      <t>2019-5-20</t>
    </r>
    <r>
      <rPr>
        <sz val="8"/>
        <rFont val="华文楷体"/>
        <family val="3"/>
        <charset val="134"/>
      </rPr>
      <t>清关</t>
    </r>
    <phoneticPr fontId="3" type="noConversion"/>
  </si>
  <si>
    <r>
      <t>2019-5-30</t>
    </r>
    <r>
      <rPr>
        <sz val="8"/>
        <rFont val="华文楷体"/>
        <family val="3"/>
        <charset val="134"/>
      </rPr>
      <t>清关</t>
    </r>
    <phoneticPr fontId="3" type="noConversion"/>
  </si>
  <si>
    <r>
      <t>2019-6-5</t>
    </r>
    <r>
      <rPr>
        <sz val="8"/>
        <rFont val="华文楷体"/>
        <family val="3"/>
        <charset val="134"/>
      </rPr>
      <t>清关</t>
    </r>
    <phoneticPr fontId="3" type="noConversion"/>
  </si>
  <si>
    <r>
      <t>2019-6-18</t>
    </r>
    <r>
      <rPr>
        <sz val="8"/>
        <rFont val="华文楷体"/>
        <family val="3"/>
        <charset val="134"/>
      </rPr>
      <t>清关</t>
    </r>
    <phoneticPr fontId="3" type="noConversion"/>
  </si>
  <si>
    <r>
      <t>2019-6-11</t>
    </r>
    <r>
      <rPr>
        <sz val="8"/>
        <rFont val="华文楷体"/>
        <family val="3"/>
        <charset val="134"/>
      </rPr>
      <t>清关</t>
    </r>
  </si>
  <si>
    <r>
      <t>2019-6-26</t>
    </r>
    <r>
      <rPr>
        <sz val="8"/>
        <rFont val="华文楷体"/>
        <family val="3"/>
        <charset val="134"/>
      </rPr>
      <t>清关</t>
    </r>
    <phoneticPr fontId="3" type="noConversion"/>
  </si>
  <si>
    <r>
      <t>2019-7-16</t>
    </r>
    <r>
      <rPr>
        <sz val="8"/>
        <rFont val="华文楷体"/>
        <family val="3"/>
        <charset val="134"/>
      </rPr>
      <t>清关</t>
    </r>
    <phoneticPr fontId="3" type="noConversion"/>
  </si>
  <si>
    <r>
      <t>2019-7-18</t>
    </r>
    <r>
      <rPr>
        <sz val="8"/>
        <rFont val="华文楷体"/>
        <family val="3"/>
        <charset val="134"/>
      </rPr>
      <t>清关</t>
    </r>
    <phoneticPr fontId="3" type="noConversion"/>
  </si>
  <si>
    <r>
      <t>2019-7-19</t>
    </r>
    <r>
      <rPr>
        <sz val="8"/>
        <rFont val="华文楷体"/>
        <family val="3"/>
        <charset val="134"/>
      </rPr>
      <t>清关</t>
    </r>
    <phoneticPr fontId="3" type="noConversion"/>
  </si>
  <si>
    <r>
      <t>2019-8-7</t>
    </r>
    <r>
      <rPr>
        <sz val="8"/>
        <rFont val="华文楷体"/>
        <family val="3"/>
        <charset val="134"/>
      </rPr>
      <t>清关</t>
    </r>
    <phoneticPr fontId="3" type="noConversion"/>
  </si>
  <si>
    <r>
      <rPr>
        <sz val="8"/>
        <rFont val="华文楷体"/>
        <family val="3"/>
        <charset val="134"/>
      </rPr>
      <t>借用上海办</t>
    </r>
    <phoneticPr fontId="3" type="noConversion"/>
  </si>
  <si>
    <r>
      <t>2019-8-12</t>
    </r>
    <r>
      <rPr>
        <sz val="8"/>
        <rFont val="华文楷体"/>
        <family val="3"/>
        <charset val="134"/>
      </rPr>
      <t>清关</t>
    </r>
    <phoneticPr fontId="3" type="noConversion"/>
  </si>
  <si>
    <r>
      <t>2019-8-21</t>
    </r>
    <r>
      <rPr>
        <sz val="8"/>
        <rFont val="华文楷体"/>
        <family val="3"/>
        <charset val="134"/>
      </rPr>
      <t>清关</t>
    </r>
  </si>
  <si>
    <r>
      <t>2019-8-22</t>
    </r>
    <r>
      <rPr>
        <sz val="8"/>
        <rFont val="华文楷体"/>
        <family val="3"/>
        <charset val="134"/>
      </rPr>
      <t>清关</t>
    </r>
  </si>
  <si>
    <r>
      <t>2019-8-30</t>
    </r>
    <r>
      <rPr>
        <sz val="8"/>
        <rFont val="华文楷体"/>
        <family val="3"/>
        <charset val="134"/>
      </rPr>
      <t>借用上海办</t>
    </r>
    <phoneticPr fontId="3" type="noConversion"/>
  </si>
  <si>
    <r>
      <t>2019-9-5</t>
    </r>
    <r>
      <rPr>
        <sz val="8"/>
        <rFont val="华文楷体"/>
        <family val="3"/>
        <charset val="134"/>
      </rPr>
      <t>清关</t>
    </r>
  </si>
  <si>
    <r>
      <t>2019-9-20</t>
    </r>
    <r>
      <rPr>
        <sz val="8"/>
        <rFont val="华文楷体"/>
        <family val="3"/>
        <charset val="134"/>
      </rPr>
      <t>清关</t>
    </r>
    <phoneticPr fontId="3" type="noConversion"/>
  </si>
  <si>
    <r>
      <t>2019-9-24</t>
    </r>
    <r>
      <rPr>
        <sz val="8"/>
        <rFont val="华文楷体"/>
        <family val="3"/>
        <charset val="134"/>
      </rPr>
      <t>借用上海办</t>
    </r>
    <phoneticPr fontId="3" type="noConversion"/>
  </si>
  <si>
    <r>
      <t>2019-9-27</t>
    </r>
    <r>
      <rPr>
        <sz val="8"/>
        <rFont val="华文楷体"/>
        <family val="3"/>
        <charset val="134"/>
      </rPr>
      <t>清关</t>
    </r>
    <phoneticPr fontId="3" type="noConversion"/>
  </si>
  <si>
    <r>
      <t>2019-9-29</t>
    </r>
    <r>
      <rPr>
        <sz val="8"/>
        <rFont val="华文楷体"/>
        <family val="3"/>
        <charset val="134"/>
      </rPr>
      <t>清关</t>
    </r>
    <phoneticPr fontId="3" type="noConversion"/>
  </si>
  <si>
    <r>
      <t>2019-10-11</t>
    </r>
    <r>
      <rPr>
        <sz val="8"/>
        <rFont val="华文楷体"/>
        <family val="3"/>
        <charset val="134"/>
      </rPr>
      <t>借用上海办</t>
    </r>
    <phoneticPr fontId="3" type="noConversion"/>
  </si>
  <si>
    <r>
      <t>2019-10-18</t>
    </r>
    <r>
      <rPr>
        <sz val="8"/>
        <rFont val="华文楷体"/>
        <family val="3"/>
        <charset val="134"/>
      </rPr>
      <t>清关</t>
    </r>
    <phoneticPr fontId="3" type="noConversion"/>
  </si>
  <si>
    <r>
      <t>2019-10-30</t>
    </r>
    <r>
      <rPr>
        <sz val="8"/>
        <rFont val="华文楷体"/>
        <family val="3"/>
        <charset val="134"/>
      </rPr>
      <t>清关</t>
    </r>
    <phoneticPr fontId="3" type="noConversion"/>
  </si>
  <si>
    <r>
      <t>2019-11-6</t>
    </r>
    <r>
      <rPr>
        <sz val="8"/>
        <rFont val="华文楷体"/>
        <family val="3"/>
        <charset val="134"/>
      </rPr>
      <t>清关</t>
    </r>
    <phoneticPr fontId="3" type="noConversion"/>
  </si>
  <si>
    <r>
      <t>2019-11-8</t>
    </r>
    <r>
      <rPr>
        <sz val="8"/>
        <rFont val="华文楷体"/>
        <family val="3"/>
        <charset val="134"/>
      </rPr>
      <t>清关</t>
    </r>
    <phoneticPr fontId="3" type="noConversion"/>
  </si>
  <si>
    <r>
      <t>2019-11-21</t>
    </r>
    <r>
      <rPr>
        <sz val="8"/>
        <rFont val="华文楷体"/>
        <family val="3"/>
        <charset val="134"/>
      </rPr>
      <t>清关</t>
    </r>
    <phoneticPr fontId="3" type="noConversion"/>
  </si>
  <si>
    <r>
      <t>2019-12-12</t>
    </r>
    <r>
      <rPr>
        <sz val="8"/>
        <rFont val="华文楷体"/>
        <family val="3"/>
        <charset val="134"/>
      </rPr>
      <t>清关</t>
    </r>
    <phoneticPr fontId="3" type="noConversion"/>
  </si>
  <si>
    <r>
      <t>2019-12-31</t>
    </r>
    <r>
      <rPr>
        <sz val="8"/>
        <rFont val="华文楷体"/>
        <family val="3"/>
        <charset val="134"/>
      </rPr>
      <t>清关</t>
    </r>
    <phoneticPr fontId="3" type="noConversion"/>
  </si>
  <si>
    <r>
      <t>2019-12-30</t>
    </r>
    <r>
      <rPr>
        <sz val="8"/>
        <rFont val="华文楷体"/>
        <family val="3"/>
        <charset val="134"/>
      </rPr>
      <t>清关</t>
    </r>
    <phoneticPr fontId="3" type="noConversion"/>
  </si>
  <si>
    <r>
      <t>2020-1-16</t>
    </r>
    <r>
      <rPr>
        <sz val="8"/>
        <rFont val="华文楷体"/>
        <family val="3"/>
        <charset val="134"/>
      </rPr>
      <t>清关</t>
    </r>
    <phoneticPr fontId="3" type="noConversion"/>
  </si>
  <si>
    <r>
      <t>2020-3-20</t>
    </r>
    <r>
      <rPr>
        <sz val="8"/>
        <rFont val="华文楷体"/>
        <family val="3"/>
        <charset val="134"/>
      </rPr>
      <t>清关</t>
    </r>
    <phoneticPr fontId="3" type="noConversion"/>
  </si>
  <si>
    <r>
      <t>2020-3-13</t>
    </r>
    <r>
      <rPr>
        <sz val="8"/>
        <rFont val="华文楷体"/>
        <family val="3"/>
        <charset val="134"/>
      </rPr>
      <t>清关</t>
    </r>
    <phoneticPr fontId="3" type="noConversion"/>
  </si>
  <si>
    <r>
      <t>2020-4-9</t>
    </r>
    <r>
      <rPr>
        <sz val="8"/>
        <rFont val="华文楷体"/>
        <family val="3"/>
        <charset val="134"/>
      </rPr>
      <t>清关</t>
    </r>
    <phoneticPr fontId="3" type="noConversion"/>
  </si>
  <si>
    <r>
      <t>2020-4-20</t>
    </r>
    <r>
      <rPr>
        <sz val="8"/>
        <rFont val="华文楷体"/>
        <family val="3"/>
        <charset val="134"/>
      </rPr>
      <t>清关</t>
    </r>
    <phoneticPr fontId="3" type="noConversion"/>
  </si>
  <si>
    <t xml:space="preserve">Storck order </t>
    <phoneticPr fontId="3" type="noConversion"/>
  </si>
  <si>
    <r>
      <t>2020-4-28</t>
    </r>
    <r>
      <rPr>
        <sz val="8"/>
        <rFont val="华文楷体"/>
        <family val="3"/>
        <charset val="134"/>
      </rPr>
      <t>清关</t>
    </r>
    <phoneticPr fontId="3" type="noConversion"/>
  </si>
  <si>
    <r>
      <t>2020-5-8</t>
    </r>
    <r>
      <rPr>
        <sz val="8"/>
        <rFont val="华文楷体"/>
        <family val="3"/>
        <charset val="134"/>
      </rPr>
      <t>清关</t>
    </r>
    <phoneticPr fontId="3" type="noConversion"/>
  </si>
  <si>
    <r>
      <t>2020-5-11</t>
    </r>
    <r>
      <rPr>
        <sz val="8"/>
        <rFont val="华文楷体"/>
        <family val="3"/>
        <charset val="134"/>
      </rPr>
      <t>清关</t>
    </r>
    <phoneticPr fontId="3" type="noConversion"/>
  </si>
  <si>
    <r>
      <t>2020-5-15</t>
    </r>
    <r>
      <rPr>
        <sz val="8"/>
        <rFont val="华文楷体"/>
        <family val="3"/>
        <charset val="134"/>
      </rPr>
      <t>清关</t>
    </r>
    <phoneticPr fontId="3" type="noConversion"/>
  </si>
  <si>
    <r>
      <t>109917</t>
    </r>
    <r>
      <rPr>
        <sz val="9"/>
        <color theme="1"/>
        <rFont val="华文楷体"/>
        <family val="3"/>
        <charset val="134"/>
      </rPr>
      <t>新建</t>
    </r>
    <r>
      <rPr>
        <sz val="9"/>
        <color theme="1"/>
        <rFont val="Arial"/>
        <family val="2"/>
      </rPr>
      <t>PO110003</t>
    </r>
    <phoneticPr fontId="3" type="noConversion"/>
  </si>
  <si>
    <r>
      <t>2020-6-2</t>
    </r>
    <r>
      <rPr>
        <sz val="8"/>
        <rFont val="华文楷体"/>
        <family val="3"/>
        <charset val="134"/>
      </rPr>
      <t>清关</t>
    </r>
    <phoneticPr fontId="3" type="noConversion"/>
  </si>
  <si>
    <r>
      <t>2020-6-16</t>
    </r>
    <r>
      <rPr>
        <sz val="8"/>
        <rFont val="华文楷体"/>
        <family val="3"/>
        <charset val="134"/>
      </rPr>
      <t>清关</t>
    </r>
    <phoneticPr fontId="3" type="noConversion"/>
  </si>
  <si>
    <r>
      <t>2020-6-24</t>
    </r>
    <r>
      <rPr>
        <sz val="8"/>
        <rFont val="华文楷体"/>
        <family val="3"/>
        <charset val="134"/>
      </rPr>
      <t>清关</t>
    </r>
    <phoneticPr fontId="3" type="noConversion"/>
  </si>
  <si>
    <r>
      <rPr>
        <sz val="8"/>
        <rFont val="华文楷体"/>
        <family val="3"/>
        <charset val="134"/>
      </rPr>
      <t>正邦名义下单</t>
    </r>
    <phoneticPr fontId="3" type="noConversion"/>
  </si>
  <si>
    <r>
      <t>2020-7-1</t>
    </r>
    <r>
      <rPr>
        <sz val="8"/>
        <rFont val="华文楷体"/>
        <family val="3"/>
        <charset val="134"/>
      </rPr>
      <t>清关</t>
    </r>
    <phoneticPr fontId="3" type="noConversion"/>
  </si>
  <si>
    <r>
      <t>2020-7-6</t>
    </r>
    <r>
      <rPr>
        <sz val="8"/>
        <rFont val="华文楷体"/>
        <family val="3"/>
        <charset val="134"/>
      </rPr>
      <t>清关</t>
    </r>
    <phoneticPr fontId="3" type="noConversion"/>
  </si>
  <si>
    <r>
      <t>2020-7-22</t>
    </r>
    <r>
      <rPr>
        <sz val="8"/>
        <rFont val="华文楷体"/>
        <family val="3"/>
        <charset val="134"/>
      </rPr>
      <t>清关</t>
    </r>
    <phoneticPr fontId="3" type="noConversion"/>
  </si>
  <si>
    <t>109995|110118</t>
    <phoneticPr fontId="3" type="noConversion"/>
  </si>
  <si>
    <r>
      <rPr>
        <sz val="8"/>
        <rFont val="华文楷体"/>
        <family val="3"/>
        <charset val="134"/>
      </rPr>
      <t>瑞福联名义</t>
    </r>
    <phoneticPr fontId="3" type="noConversion"/>
  </si>
  <si>
    <r>
      <t>2020-7-27</t>
    </r>
    <r>
      <rPr>
        <sz val="8"/>
        <rFont val="华文楷体"/>
        <family val="3"/>
        <charset val="134"/>
      </rPr>
      <t>清关</t>
    </r>
    <phoneticPr fontId="3" type="noConversion"/>
  </si>
  <si>
    <r>
      <t>2020-8-5</t>
    </r>
    <r>
      <rPr>
        <sz val="8"/>
        <rFont val="华文楷体"/>
        <family val="3"/>
        <charset val="134"/>
      </rPr>
      <t>清关</t>
    </r>
    <phoneticPr fontId="3" type="noConversion"/>
  </si>
  <si>
    <r>
      <t>2020-8-27</t>
    </r>
    <r>
      <rPr>
        <sz val="8"/>
        <rFont val="华文楷体"/>
        <family val="3"/>
        <charset val="134"/>
      </rPr>
      <t>清关</t>
    </r>
    <phoneticPr fontId="3" type="noConversion"/>
  </si>
  <si>
    <r>
      <t>2020-9-1</t>
    </r>
    <r>
      <rPr>
        <sz val="8"/>
        <rFont val="华文楷体"/>
        <family val="3"/>
        <charset val="134"/>
      </rPr>
      <t>清关</t>
    </r>
    <phoneticPr fontId="3" type="noConversion"/>
  </si>
  <si>
    <r>
      <rPr>
        <sz val="8"/>
        <rFont val="华文楷体"/>
        <family val="3"/>
        <charset val="134"/>
      </rPr>
      <t>奕东名义下单</t>
    </r>
    <phoneticPr fontId="3" type="noConversion"/>
  </si>
  <si>
    <t>SS 88mm</t>
  </si>
  <si>
    <r>
      <t>2020-9-16</t>
    </r>
    <r>
      <rPr>
        <sz val="8"/>
        <rFont val="华文楷体"/>
        <family val="3"/>
        <charset val="134"/>
      </rPr>
      <t>清关</t>
    </r>
    <phoneticPr fontId="3" type="noConversion"/>
  </si>
  <si>
    <r>
      <t>2020-9-22</t>
    </r>
    <r>
      <rPr>
        <sz val="8"/>
        <rFont val="华文楷体"/>
        <family val="3"/>
        <charset val="134"/>
      </rPr>
      <t>清关</t>
    </r>
    <phoneticPr fontId="3" type="noConversion"/>
  </si>
  <si>
    <r>
      <t>2020-9-28</t>
    </r>
    <r>
      <rPr>
        <sz val="8"/>
        <rFont val="华文楷体"/>
        <family val="3"/>
        <charset val="134"/>
      </rPr>
      <t>清关</t>
    </r>
    <phoneticPr fontId="3" type="noConversion"/>
  </si>
  <si>
    <r>
      <t>2020-10-23</t>
    </r>
    <r>
      <rPr>
        <sz val="8"/>
        <rFont val="华文楷体"/>
        <family val="3"/>
        <charset val="134"/>
      </rPr>
      <t>清关</t>
    </r>
    <phoneticPr fontId="3" type="noConversion"/>
  </si>
  <si>
    <r>
      <t>2020-10-27</t>
    </r>
    <r>
      <rPr>
        <sz val="8"/>
        <rFont val="华文楷体"/>
        <family val="3"/>
        <charset val="134"/>
      </rPr>
      <t>清关</t>
    </r>
    <phoneticPr fontId="3" type="noConversion"/>
  </si>
  <si>
    <r>
      <t>2020-11-2</t>
    </r>
    <r>
      <rPr>
        <sz val="8"/>
        <rFont val="华文楷体"/>
        <family val="3"/>
        <charset val="134"/>
      </rPr>
      <t>清关</t>
    </r>
    <phoneticPr fontId="3" type="noConversion"/>
  </si>
  <si>
    <r>
      <t>2020-11-10</t>
    </r>
    <r>
      <rPr>
        <sz val="9"/>
        <rFont val="华文楷体"/>
        <family val="3"/>
        <charset val="134"/>
      </rPr>
      <t>清关</t>
    </r>
    <phoneticPr fontId="3" type="noConversion"/>
  </si>
  <si>
    <r>
      <t>2020-11-20</t>
    </r>
    <r>
      <rPr>
        <sz val="9"/>
        <rFont val="华文楷体"/>
        <family val="3"/>
        <charset val="134"/>
      </rPr>
      <t>清关</t>
    </r>
    <phoneticPr fontId="3" type="noConversion"/>
  </si>
  <si>
    <r>
      <t>2020-11-30</t>
    </r>
    <r>
      <rPr>
        <sz val="9"/>
        <rFont val="华文楷体"/>
        <family val="3"/>
        <charset val="134"/>
      </rPr>
      <t>清关</t>
    </r>
    <phoneticPr fontId="3" type="noConversion"/>
  </si>
  <si>
    <r>
      <t>110247(</t>
    </r>
    <r>
      <rPr>
        <sz val="8"/>
        <rFont val="宋体"/>
        <family val="2"/>
        <charset val="134"/>
      </rPr>
      <t>拆单110506）</t>
    </r>
    <phoneticPr fontId="3" type="noConversion"/>
  </si>
  <si>
    <r>
      <t>110452(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PO110471)</t>
    </r>
    <phoneticPr fontId="3" type="noConversion"/>
  </si>
  <si>
    <r>
      <t>2020-12-9</t>
    </r>
    <r>
      <rPr>
        <sz val="8"/>
        <rFont val="华文楷体"/>
        <family val="3"/>
        <charset val="134"/>
      </rPr>
      <t>清关</t>
    </r>
    <phoneticPr fontId="3" type="noConversion"/>
  </si>
  <si>
    <r>
      <t>2020-12-24</t>
    </r>
    <r>
      <rPr>
        <sz val="9"/>
        <rFont val="华文楷体"/>
        <family val="3"/>
        <charset val="134"/>
      </rPr>
      <t>清关</t>
    </r>
    <phoneticPr fontId="3" type="noConversion"/>
  </si>
  <si>
    <r>
      <t xml:space="preserve">HK </t>
    </r>
    <r>
      <rPr>
        <sz val="8"/>
        <rFont val="微软雅黑"/>
        <family val="2"/>
        <charset val="134"/>
      </rPr>
      <t>仓库</t>
    </r>
    <phoneticPr fontId="3" type="noConversion"/>
  </si>
  <si>
    <r>
      <t>110153(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110286)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</si>
  <si>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PO110230</t>
    </r>
    <phoneticPr fontId="3" type="noConversion"/>
  </si>
  <si>
    <r>
      <t>100</t>
    </r>
    <r>
      <rPr>
        <sz val="8"/>
        <rFont val="宋体"/>
        <family val="2"/>
        <charset val="134"/>
      </rPr>
      <t>个放到110153一起出货</t>
    </r>
    <phoneticPr fontId="3" type="noConversion"/>
  </si>
  <si>
    <r>
      <t>110150(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PO110288)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</si>
  <si>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PO110150</t>
    </r>
    <phoneticPr fontId="3" type="noConversion"/>
  </si>
  <si>
    <r>
      <t>150</t>
    </r>
    <r>
      <rPr>
        <sz val="8"/>
        <rFont val="宋体"/>
        <family val="2"/>
        <charset val="134"/>
      </rPr>
      <t>个放到110348一起出货</t>
    </r>
    <phoneticPr fontId="3" type="noConversion"/>
  </si>
  <si>
    <r>
      <t>110153(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PO110290</t>
    </r>
    <r>
      <rPr>
        <sz val="8"/>
        <rFont val="宋体"/>
        <family val="2"/>
        <charset val="134"/>
      </rPr>
      <t>）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</si>
  <si>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PO110130</t>
    </r>
    <phoneticPr fontId="3" type="noConversion"/>
  </si>
  <si>
    <r>
      <t>110153</t>
    </r>
    <r>
      <rPr>
        <sz val="8"/>
        <rFont val="宋体"/>
        <family val="2"/>
        <charset val="134"/>
      </rPr>
      <t>（拆分</t>
    </r>
    <r>
      <rPr>
        <sz val="8"/>
        <rFont val="Arial"/>
        <family val="2"/>
      </rPr>
      <t>PO110291</t>
    </r>
    <r>
      <rPr>
        <sz val="8"/>
        <rFont val="宋体"/>
        <family val="2"/>
        <charset val="134"/>
      </rPr>
      <t>）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</si>
  <si>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PO110131</t>
    </r>
    <phoneticPr fontId="3" type="noConversion"/>
  </si>
  <si>
    <r>
      <t>110153</t>
    </r>
    <r>
      <rPr>
        <sz val="8"/>
        <rFont val="宋体"/>
        <family val="2"/>
        <charset val="134"/>
      </rPr>
      <t>（拆分</t>
    </r>
    <r>
      <rPr>
        <sz val="8"/>
        <rFont val="Arial"/>
        <family val="2"/>
      </rPr>
      <t>PO110292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</si>
  <si>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PO110133</t>
    </r>
    <phoneticPr fontId="3" type="noConversion"/>
  </si>
  <si>
    <r>
      <t>150</t>
    </r>
    <r>
      <rPr>
        <sz val="8"/>
        <rFont val="宋体"/>
        <family val="2"/>
        <charset val="134"/>
      </rPr>
      <t>个放到</t>
    </r>
    <r>
      <rPr>
        <sz val="8"/>
        <rFont val="Arial"/>
        <family val="2"/>
      </rPr>
      <t>110153</t>
    </r>
    <r>
      <rPr>
        <sz val="8"/>
        <rFont val="宋体"/>
        <family val="2"/>
        <charset val="134"/>
      </rPr>
      <t>一起出货</t>
    </r>
    <phoneticPr fontId="3" type="noConversion"/>
  </si>
  <si>
    <r>
      <t>2021-1-14</t>
    </r>
    <r>
      <rPr>
        <sz val="8"/>
        <rFont val="华文楷体"/>
        <family val="3"/>
        <charset val="134"/>
      </rPr>
      <t>清关</t>
    </r>
    <phoneticPr fontId="3" type="noConversion"/>
  </si>
  <si>
    <r>
      <t>110314(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PO110543)</t>
    </r>
    <phoneticPr fontId="3" type="noConversion"/>
  </si>
  <si>
    <r>
      <t>2021-2-1</t>
    </r>
    <r>
      <rPr>
        <sz val="9"/>
        <rFont val="华文楷体"/>
        <family val="3"/>
        <charset val="134"/>
      </rPr>
      <t>清关</t>
    </r>
    <phoneticPr fontId="3" type="noConversion"/>
  </si>
  <si>
    <r>
      <t>2021-3-4</t>
    </r>
    <r>
      <rPr>
        <sz val="9"/>
        <rFont val="华文楷体"/>
        <family val="3"/>
        <charset val="134"/>
      </rPr>
      <t>清关</t>
    </r>
    <phoneticPr fontId="3" type="noConversion"/>
  </si>
  <si>
    <r>
      <t>110413(</t>
    </r>
    <r>
      <rPr>
        <sz val="8"/>
        <rFont val="宋体"/>
        <family val="2"/>
        <charset val="134"/>
      </rPr>
      <t>拆单110496)</t>
    </r>
    <phoneticPr fontId="3" type="noConversion"/>
  </si>
  <si>
    <r>
      <t>2021-2-25</t>
    </r>
    <r>
      <rPr>
        <sz val="8"/>
        <rFont val="宋体"/>
        <family val="2"/>
        <charset val="134"/>
      </rPr>
      <t>清关</t>
    </r>
    <phoneticPr fontId="3" type="noConversion"/>
  </si>
  <si>
    <r>
      <t>2021-4-9</t>
    </r>
    <r>
      <rPr>
        <sz val="8"/>
        <rFont val="宋体"/>
        <family val="2"/>
        <charset val="134"/>
      </rPr>
      <t>清关</t>
    </r>
    <phoneticPr fontId="3" type="noConversion"/>
  </si>
  <si>
    <r>
      <t>2021-4-19</t>
    </r>
    <r>
      <rPr>
        <sz val="8"/>
        <rFont val="宋体"/>
        <family val="2"/>
        <charset val="134"/>
      </rPr>
      <t>清关</t>
    </r>
    <phoneticPr fontId="3" type="noConversion"/>
  </si>
  <si>
    <r>
      <t>2021-4-22</t>
    </r>
    <r>
      <rPr>
        <sz val="8"/>
        <rFont val="宋体"/>
        <family val="2"/>
        <charset val="134"/>
      </rPr>
      <t>清关</t>
    </r>
    <phoneticPr fontId="3" type="noConversion"/>
  </si>
  <si>
    <r>
      <t>2021-4-26</t>
    </r>
    <r>
      <rPr>
        <sz val="8"/>
        <rFont val="宋体"/>
        <family val="2"/>
        <charset val="134"/>
      </rPr>
      <t>清关</t>
    </r>
    <phoneticPr fontId="3" type="noConversion"/>
  </si>
  <si>
    <t>2021-5-6清关</t>
  </si>
  <si>
    <t>2021-5-11清关</t>
  </si>
  <si>
    <r>
      <t>2021-5-21</t>
    </r>
    <r>
      <rPr>
        <sz val="8"/>
        <rFont val="微软雅黑"/>
        <family val="2"/>
        <charset val="134"/>
      </rPr>
      <t>清关</t>
    </r>
    <phoneticPr fontId="3" type="noConversion"/>
  </si>
  <si>
    <r>
      <t>2021-5-25</t>
    </r>
    <r>
      <rPr>
        <sz val="8"/>
        <rFont val="微软雅黑"/>
        <family val="2"/>
        <charset val="134"/>
      </rPr>
      <t>清关</t>
    </r>
    <phoneticPr fontId="3" type="noConversion"/>
  </si>
  <si>
    <r>
      <t>2021-6-1</t>
    </r>
    <r>
      <rPr>
        <sz val="8"/>
        <rFont val="宋体"/>
        <family val="2"/>
        <charset val="134"/>
      </rPr>
      <t>清关</t>
    </r>
    <phoneticPr fontId="3" type="noConversion"/>
  </si>
  <si>
    <r>
      <t>2021-6-22</t>
    </r>
    <r>
      <rPr>
        <sz val="8"/>
        <rFont val="宋体"/>
        <family val="2"/>
        <charset val="134"/>
      </rPr>
      <t>清关</t>
    </r>
    <phoneticPr fontId="3" type="noConversion"/>
  </si>
  <si>
    <r>
      <t>2021-7-26 C66</t>
    </r>
    <r>
      <rPr>
        <sz val="8"/>
        <rFont val="宋体"/>
        <family val="2"/>
        <charset val="134"/>
      </rPr>
      <t>自己清关</t>
    </r>
    <phoneticPr fontId="3" type="noConversion"/>
  </si>
  <si>
    <r>
      <t>2021-8-10</t>
    </r>
    <r>
      <rPr>
        <sz val="8"/>
        <rFont val="宋体"/>
        <family val="2"/>
        <charset val="134"/>
      </rPr>
      <t>盘点调账</t>
    </r>
    <phoneticPr fontId="3" type="noConversion"/>
  </si>
  <si>
    <r>
      <t>2021-8-5</t>
    </r>
    <r>
      <rPr>
        <sz val="8"/>
        <rFont val="宋体"/>
        <family val="2"/>
        <charset val="134"/>
      </rPr>
      <t>清关</t>
    </r>
    <phoneticPr fontId="3" type="noConversion"/>
  </si>
  <si>
    <r>
      <t>2021-9-16</t>
    </r>
    <r>
      <rPr>
        <sz val="8"/>
        <rFont val="宋体"/>
        <family val="2"/>
        <charset val="134"/>
      </rPr>
      <t>清关</t>
    </r>
    <phoneticPr fontId="3" type="noConversion"/>
  </si>
  <si>
    <t>2021-11-9清关</t>
  </si>
  <si>
    <r>
      <t>2021-11-29</t>
    </r>
    <r>
      <rPr>
        <sz val="8"/>
        <rFont val="微软雅黑"/>
        <family val="2"/>
        <charset val="134"/>
      </rPr>
      <t>清关</t>
    </r>
    <phoneticPr fontId="3" type="noConversion"/>
  </si>
  <si>
    <r>
      <t>2021-12-28</t>
    </r>
    <r>
      <rPr>
        <sz val="8"/>
        <rFont val="宋体"/>
        <family val="2"/>
        <charset val="134"/>
      </rPr>
      <t>清关</t>
    </r>
    <phoneticPr fontId="3" type="noConversion"/>
  </si>
  <si>
    <r>
      <t>110808</t>
    </r>
    <r>
      <rPr>
        <sz val="8"/>
        <rFont val="宋体"/>
        <family val="2"/>
        <charset val="134"/>
      </rPr>
      <t>改</t>
    </r>
    <r>
      <rPr>
        <sz val="8"/>
        <rFont val="Arial"/>
        <family val="2"/>
      </rPr>
      <t>49F104206</t>
    </r>
    <phoneticPr fontId="3" type="noConversion"/>
  </si>
  <si>
    <r>
      <t>2022-2-15</t>
    </r>
    <r>
      <rPr>
        <sz val="8"/>
        <rFont val="宋体"/>
        <family val="2"/>
        <charset val="134"/>
      </rPr>
      <t>清关</t>
    </r>
    <phoneticPr fontId="3" type="noConversion"/>
  </si>
  <si>
    <r>
      <t>2022-2-22</t>
    </r>
    <r>
      <rPr>
        <sz val="8"/>
        <rFont val="宋体"/>
        <family val="2"/>
        <charset val="134"/>
      </rPr>
      <t>清关</t>
    </r>
    <phoneticPr fontId="3" type="noConversion"/>
  </si>
  <si>
    <r>
      <t>2022-3-22</t>
    </r>
    <r>
      <rPr>
        <sz val="8"/>
        <rFont val="宋体"/>
        <family val="2"/>
        <charset val="134"/>
      </rPr>
      <t>清关</t>
    </r>
    <phoneticPr fontId="3" type="noConversion"/>
  </si>
  <si>
    <t>49F104232/49F104231</t>
    <phoneticPr fontId="3" type="noConversion"/>
  </si>
  <si>
    <t>上海单</t>
    <phoneticPr fontId="3" type="noConversion"/>
  </si>
  <si>
    <t>ex work June</t>
    <phoneticPr fontId="3" type="noConversion"/>
  </si>
  <si>
    <t>有交期</t>
  </si>
  <si>
    <r>
      <t>2022-4-6</t>
    </r>
    <r>
      <rPr>
        <sz val="8"/>
        <rFont val="宋体"/>
        <family val="2"/>
        <charset val="134"/>
      </rPr>
      <t>清关</t>
    </r>
    <phoneticPr fontId="3" type="noConversion"/>
  </si>
  <si>
    <r>
      <t>2022-4-18</t>
    </r>
    <r>
      <rPr>
        <sz val="8"/>
        <rFont val="宋体"/>
        <family val="2"/>
        <charset val="134"/>
      </rPr>
      <t>清关</t>
    </r>
    <phoneticPr fontId="3" type="noConversion"/>
  </si>
  <si>
    <r>
      <t>2022-5-11</t>
    </r>
    <r>
      <rPr>
        <sz val="8"/>
        <rFont val="宋体"/>
        <family val="2"/>
        <charset val="134"/>
      </rPr>
      <t>清关</t>
    </r>
    <phoneticPr fontId="3" type="noConversion"/>
  </si>
  <si>
    <r>
      <t>2022-5-14</t>
    </r>
    <r>
      <rPr>
        <sz val="8"/>
        <rFont val="宋体"/>
        <family val="2"/>
        <charset val="134"/>
      </rPr>
      <t>清关</t>
    </r>
    <phoneticPr fontId="3" type="noConversion"/>
  </si>
  <si>
    <r>
      <t>2022-5-20</t>
    </r>
    <r>
      <rPr>
        <sz val="8"/>
        <rFont val="宋体"/>
        <family val="2"/>
        <charset val="134"/>
      </rPr>
      <t>清关</t>
    </r>
    <phoneticPr fontId="3" type="noConversion"/>
  </si>
  <si>
    <r>
      <t>2022-6-8</t>
    </r>
    <r>
      <rPr>
        <sz val="8"/>
        <rFont val="宋体"/>
        <family val="2"/>
        <charset val="134"/>
      </rPr>
      <t>清关</t>
    </r>
    <phoneticPr fontId="3" type="noConversion"/>
  </si>
  <si>
    <r>
      <t>2022-6-9</t>
    </r>
    <r>
      <rPr>
        <sz val="8"/>
        <rFont val="宋体"/>
        <family val="2"/>
        <charset val="134"/>
      </rPr>
      <t>清关</t>
    </r>
    <phoneticPr fontId="3" type="noConversion"/>
  </si>
  <si>
    <r>
      <t>2022-6-16</t>
    </r>
    <r>
      <rPr>
        <sz val="8"/>
        <rFont val="宋体"/>
        <family val="2"/>
        <charset val="134"/>
      </rPr>
      <t>清关</t>
    </r>
    <phoneticPr fontId="3" type="noConversion"/>
  </si>
  <si>
    <t>上海办帮忙采购</t>
    <phoneticPr fontId="3" type="noConversion"/>
  </si>
  <si>
    <r>
      <t>2022-7-4</t>
    </r>
    <r>
      <rPr>
        <sz val="9"/>
        <rFont val="宋体"/>
        <family val="2"/>
        <charset val="134"/>
      </rPr>
      <t>清关</t>
    </r>
    <phoneticPr fontId="3" type="noConversion"/>
  </si>
  <si>
    <r>
      <t>2022-7-8</t>
    </r>
    <r>
      <rPr>
        <sz val="9"/>
        <rFont val="宋体"/>
        <family val="2"/>
        <charset val="134"/>
      </rPr>
      <t>清关</t>
    </r>
    <phoneticPr fontId="3" type="noConversion"/>
  </si>
  <si>
    <r>
      <t>2022-7-21</t>
    </r>
    <r>
      <rPr>
        <sz val="9"/>
        <rFont val="宋体"/>
        <family val="2"/>
        <charset val="134"/>
      </rPr>
      <t>清关</t>
    </r>
    <phoneticPr fontId="3" type="noConversion"/>
  </si>
  <si>
    <r>
      <t>2022-8-2</t>
    </r>
    <r>
      <rPr>
        <sz val="9"/>
        <rFont val="宋体"/>
        <family val="2"/>
        <charset val="134"/>
      </rPr>
      <t>清关</t>
    </r>
    <phoneticPr fontId="3" type="noConversion"/>
  </si>
  <si>
    <r>
      <t>2022-8-5</t>
    </r>
    <r>
      <rPr>
        <sz val="9"/>
        <rFont val="宋体"/>
        <family val="2"/>
        <charset val="134"/>
      </rPr>
      <t>清关</t>
    </r>
    <phoneticPr fontId="3" type="noConversion"/>
  </si>
  <si>
    <r>
      <t>2022-8-16</t>
    </r>
    <r>
      <rPr>
        <sz val="9"/>
        <rFont val="宋体"/>
        <family val="2"/>
        <charset val="134"/>
      </rPr>
      <t>清关</t>
    </r>
    <phoneticPr fontId="3" type="noConversion"/>
  </si>
  <si>
    <r>
      <t>2022-8-17</t>
    </r>
    <r>
      <rPr>
        <sz val="9"/>
        <rFont val="宋体"/>
        <family val="2"/>
        <charset val="134"/>
      </rPr>
      <t>清关</t>
    </r>
    <phoneticPr fontId="3" type="noConversion"/>
  </si>
  <si>
    <r>
      <t>2022-8-18</t>
    </r>
    <r>
      <rPr>
        <sz val="9"/>
        <rFont val="宋体"/>
        <family val="2"/>
        <charset val="134"/>
      </rPr>
      <t>清关</t>
    </r>
    <phoneticPr fontId="3" type="noConversion"/>
  </si>
  <si>
    <r>
      <t>2022-8-30</t>
    </r>
    <r>
      <rPr>
        <sz val="9"/>
        <rFont val="宋体"/>
        <family val="2"/>
        <charset val="134"/>
      </rPr>
      <t>清关</t>
    </r>
    <phoneticPr fontId="3" type="noConversion"/>
  </si>
  <si>
    <r>
      <t>20229-15</t>
    </r>
    <r>
      <rPr>
        <sz val="9"/>
        <rFont val="宋体"/>
        <family val="2"/>
        <charset val="134"/>
      </rPr>
      <t>清关</t>
    </r>
    <phoneticPr fontId="3" type="noConversion"/>
  </si>
  <si>
    <r>
      <t>2022-9-21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</si>
  <si>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精益强</t>
    </r>
    <phoneticPr fontId="3" type="noConversion"/>
  </si>
  <si>
    <t>C49SZX20180082JL</t>
    <phoneticPr fontId="3" type="noConversion"/>
  </si>
  <si>
    <t>JPY</t>
    <phoneticPr fontId="3" type="noConversion"/>
  </si>
  <si>
    <r>
      <rPr>
        <sz val="8"/>
        <color rgb="FFFF0000"/>
        <rFont val="华文楷体"/>
        <family val="3"/>
        <charset val="134"/>
      </rPr>
      <t>已经扣数</t>
    </r>
    <phoneticPr fontId="3" type="noConversion"/>
  </si>
  <si>
    <r>
      <rPr>
        <sz val="8"/>
        <color rgb="FFFF0000"/>
        <rFont val="华文楷体"/>
        <family val="3"/>
        <charset val="134"/>
      </rPr>
      <t>上达</t>
    </r>
    <r>
      <rPr>
        <sz val="8"/>
        <color rgb="FFFF0000"/>
        <rFont val="Arial"/>
        <family val="2"/>
      </rPr>
      <t xml:space="preserve"> SDPUR-20180047 11100280</t>
    </r>
    <phoneticPr fontId="3" type="noConversion"/>
  </si>
  <si>
    <r>
      <rPr>
        <sz val="9"/>
        <rFont val="华文楷体"/>
        <family val="3"/>
        <charset val="134"/>
      </rPr>
      <t>中禾旭</t>
    </r>
    <phoneticPr fontId="3" type="noConversion"/>
  </si>
  <si>
    <t>C49SZX080095SS</t>
    <phoneticPr fontId="3" type="noConversion"/>
  </si>
  <si>
    <r>
      <rPr>
        <sz val="8"/>
        <color rgb="FFFF0000"/>
        <rFont val="华文楷体"/>
        <family val="3"/>
        <charset val="134"/>
      </rPr>
      <t>深台</t>
    </r>
    <r>
      <rPr>
        <sz val="8"/>
        <color rgb="FFFF0000"/>
        <rFont val="Arial"/>
        <family val="2"/>
      </rPr>
      <t xml:space="preserve"> C49SZX20180058KW</t>
    </r>
    <phoneticPr fontId="3" type="noConversion"/>
  </si>
  <si>
    <t>已发</t>
    <phoneticPr fontId="3" type="noConversion"/>
  </si>
  <si>
    <r>
      <rPr>
        <sz val="8"/>
        <color rgb="FFFF0000"/>
        <rFont val="华文楷体"/>
        <family val="3"/>
        <charset val="134"/>
      </rPr>
      <t>安林</t>
    </r>
    <r>
      <rPr>
        <sz val="8"/>
        <color rgb="FFFF0000"/>
        <rFont val="Arial"/>
        <family val="2"/>
      </rPr>
      <t>C49SZX20190011SX</t>
    </r>
    <phoneticPr fontId="3" type="noConversion"/>
  </si>
  <si>
    <r>
      <rPr>
        <sz val="9"/>
        <rFont val="华文楷体"/>
        <family val="3"/>
        <charset val="134"/>
      </rPr>
      <t>维益</t>
    </r>
    <phoneticPr fontId="3" type="noConversion"/>
  </si>
  <si>
    <t>C49SZX20180030SS</t>
    <phoneticPr fontId="3" type="noConversion"/>
  </si>
  <si>
    <r>
      <rPr>
        <sz val="8"/>
        <color rgb="FFFF0000"/>
        <rFont val="华文楷体"/>
        <family val="3"/>
        <charset val="134"/>
      </rPr>
      <t>安林</t>
    </r>
    <r>
      <rPr>
        <sz val="8"/>
        <color rgb="FFFF0000"/>
        <rFont val="Arial"/>
        <family val="2"/>
      </rPr>
      <t>C49SZX20190005SX</t>
    </r>
    <phoneticPr fontId="3" type="noConversion"/>
  </si>
  <si>
    <r>
      <rPr>
        <sz val="9"/>
        <rFont val="华文楷体"/>
        <family val="3"/>
        <charset val="134"/>
      </rPr>
      <t>声谊</t>
    </r>
    <phoneticPr fontId="3" type="noConversion"/>
  </si>
  <si>
    <r>
      <t>2019/3/26</t>
    </r>
    <r>
      <rPr>
        <sz val="9"/>
        <color theme="1"/>
        <rFont val="华文楷体"/>
        <family val="3"/>
        <charset val="134"/>
      </rPr>
      <t>前</t>
    </r>
    <phoneticPr fontId="3" type="noConversion"/>
  </si>
  <si>
    <r>
      <rPr>
        <sz val="9"/>
        <rFont val="华文楷体"/>
        <family val="3"/>
        <charset val="134"/>
      </rPr>
      <t>清关</t>
    </r>
    <phoneticPr fontId="3" type="noConversion"/>
  </si>
  <si>
    <r>
      <t>2018-10-23</t>
    </r>
    <r>
      <rPr>
        <sz val="9"/>
        <rFont val="华文楷体"/>
        <family val="3"/>
        <charset val="134"/>
      </rPr>
      <t>清关</t>
    </r>
    <phoneticPr fontId="3" type="noConversion"/>
  </si>
  <si>
    <r>
      <t>C66(</t>
    </r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)</t>
    </r>
    <phoneticPr fontId="3" type="noConversion"/>
  </si>
  <si>
    <r>
      <t>C66</t>
    </r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)</t>
    </r>
    <phoneticPr fontId="3" type="noConversion"/>
  </si>
  <si>
    <r>
      <t>C66(</t>
    </r>
    <r>
      <rPr>
        <sz val="9"/>
        <rFont val="华文楷体"/>
        <family val="3"/>
        <charset val="134"/>
      </rPr>
      <t>丰硕</t>
    </r>
    <r>
      <rPr>
        <sz val="9"/>
        <rFont val="Arial"/>
        <family val="2"/>
      </rPr>
      <t>,</t>
    </r>
    <r>
      <rPr>
        <sz val="9"/>
        <rFont val="华文楷体"/>
        <family val="3"/>
        <charset val="134"/>
      </rPr>
      <t>上海办）</t>
    </r>
    <phoneticPr fontId="3" type="noConversion"/>
  </si>
  <si>
    <r>
      <rPr>
        <sz val="9"/>
        <rFont val="华文楷体"/>
        <family val="3"/>
        <charset val="134"/>
      </rPr>
      <t>展华</t>
    </r>
    <r>
      <rPr>
        <sz val="9"/>
        <rFont val="Arial"/>
        <family val="2"/>
      </rPr>
      <t>PO#C66SZ20080</t>
    </r>
  </si>
  <si>
    <r>
      <rPr>
        <sz val="9"/>
        <rFont val="华文楷体"/>
        <family val="3"/>
        <charset val="134"/>
      </rPr>
      <t>栩骊</t>
    </r>
    <r>
      <rPr>
        <sz val="9"/>
        <rFont val="Arial"/>
        <family val="2"/>
      </rPr>
      <t>C49SZX20180008ZX</t>
    </r>
    <phoneticPr fontId="3" type="noConversion"/>
  </si>
  <si>
    <r>
      <t>11100324</t>
    </r>
    <r>
      <rPr>
        <sz val="8"/>
        <color rgb="FFFF0000"/>
        <rFont val="华文楷体"/>
        <family val="3"/>
        <charset val="134"/>
      </rPr>
      <t>太美亚</t>
    </r>
    <r>
      <rPr>
        <sz val="8"/>
        <color rgb="FFFF0000"/>
        <rFont val="Arial"/>
        <family val="2"/>
      </rPr>
      <t>C49SZX20190119SX</t>
    </r>
    <phoneticPr fontId="3" type="noConversion"/>
  </si>
  <si>
    <r>
      <rPr>
        <sz val="8"/>
        <color rgb="FFFF0000"/>
        <rFont val="华文楷体"/>
        <family val="3"/>
        <charset val="134"/>
      </rPr>
      <t>科诚达</t>
    </r>
    <r>
      <rPr>
        <sz val="8"/>
        <color rgb="FFFF0000"/>
        <rFont val="Arial"/>
        <family val="2"/>
      </rPr>
      <t xml:space="preserve"> C49SZX20190006ZX</t>
    </r>
    <phoneticPr fontId="3" type="noConversion"/>
  </si>
  <si>
    <r>
      <rPr>
        <sz val="9"/>
        <color theme="1"/>
        <rFont val="华文楷体"/>
        <family val="3"/>
        <charset val="134"/>
      </rPr>
      <t>已发</t>
    </r>
    <phoneticPr fontId="3" type="noConversion"/>
  </si>
  <si>
    <r>
      <rPr>
        <sz val="8"/>
        <color rgb="FFFF0000"/>
        <rFont val="华文楷体"/>
        <family val="3"/>
        <charset val="134"/>
      </rPr>
      <t>鹏鑫达</t>
    </r>
    <r>
      <rPr>
        <sz val="8"/>
        <color rgb="FFFF0000"/>
        <rFont val="Arial"/>
        <family val="2"/>
      </rPr>
      <t>C49SZX20190085JL</t>
    </r>
    <phoneticPr fontId="3" type="noConversion"/>
  </si>
  <si>
    <r>
      <t>2019-3-31</t>
    </r>
    <r>
      <rPr>
        <sz val="9"/>
        <color theme="1"/>
        <rFont val="华文楷体"/>
        <family val="3"/>
        <charset val="134"/>
      </rPr>
      <t>前发</t>
    </r>
    <phoneticPr fontId="3" type="noConversion"/>
  </si>
  <si>
    <r>
      <t>2018-10-29</t>
    </r>
    <r>
      <rPr>
        <sz val="9"/>
        <rFont val="华文楷体"/>
        <family val="3"/>
        <charset val="134"/>
      </rPr>
      <t>提货</t>
    </r>
    <phoneticPr fontId="3" type="noConversion"/>
  </si>
  <si>
    <r>
      <t>2018-10-29C66</t>
    </r>
    <r>
      <rPr>
        <sz val="9"/>
        <rFont val="华文楷体"/>
        <family val="3"/>
        <charset val="134"/>
      </rPr>
      <t>转库</t>
    </r>
    <phoneticPr fontId="3" type="noConversion"/>
  </si>
  <si>
    <r>
      <rPr>
        <sz val="9"/>
        <rFont val="华文楷体"/>
        <family val="3"/>
        <charset val="134"/>
      </rPr>
      <t>美谷</t>
    </r>
    <r>
      <rPr>
        <sz val="9"/>
        <rFont val="Arial"/>
        <family val="2"/>
      </rPr>
      <t>2018-10-25</t>
    </r>
    <phoneticPr fontId="3" type="noConversion"/>
  </si>
  <si>
    <r>
      <rPr>
        <sz val="9"/>
        <rFont val="华文楷体"/>
        <family val="3"/>
        <charset val="134"/>
      </rPr>
      <t>世达威</t>
    </r>
    <r>
      <rPr>
        <sz val="9"/>
        <rFont val="Arial"/>
        <family val="2"/>
      </rPr>
      <t>2018-11-12</t>
    </r>
    <phoneticPr fontId="3" type="noConversion"/>
  </si>
  <si>
    <r>
      <t>11100332</t>
    </r>
    <r>
      <rPr>
        <sz val="8"/>
        <color rgb="FFFF0000"/>
        <rFont val="华文楷体"/>
        <family val="3"/>
        <charset val="134"/>
      </rPr>
      <t>鼎鸿</t>
    </r>
    <r>
      <rPr>
        <sz val="8"/>
        <color rgb="FFFF0000"/>
        <rFont val="Arial"/>
        <family val="2"/>
      </rPr>
      <t>C49SZX20190118SS</t>
    </r>
    <phoneticPr fontId="3" type="noConversion"/>
  </si>
  <si>
    <r>
      <t>11100355</t>
    </r>
    <r>
      <rPr>
        <sz val="8"/>
        <color rgb="FFFF0000"/>
        <rFont val="华文楷体"/>
        <family val="3"/>
        <charset val="134"/>
      </rPr>
      <t>博星</t>
    </r>
    <r>
      <rPr>
        <sz val="8"/>
        <color rgb="FFFF0000"/>
        <rFont val="Arial"/>
        <family val="2"/>
      </rPr>
      <t>C49SZX20190129DZ</t>
    </r>
    <phoneticPr fontId="3" type="noConversion"/>
  </si>
  <si>
    <r>
      <t>11100331</t>
    </r>
    <r>
      <rPr>
        <sz val="8"/>
        <color rgb="FFFF0000"/>
        <rFont val="华文楷体"/>
        <family val="3"/>
        <charset val="134"/>
      </rPr>
      <t>君泽</t>
    </r>
    <r>
      <rPr>
        <sz val="8"/>
        <color rgb="FFFF0000"/>
        <rFont val="Arial"/>
        <family val="2"/>
      </rPr>
      <t>C49SZX20190123SX</t>
    </r>
    <phoneticPr fontId="3" type="noConversion"/>
  </si>
  <si>
    <r>
      <t>11100329</t>
    </r>
    <r>
      <rPr>
        <sz val="8"/>
        <color rgb="FFFF0000"/>
        <rFont val="华文楷体"/>
        <family val="3"/>
        <charset val="134"/>
      </rPr>
      <t>迅丰</t>
    </r>
    <r>
      <rPr>
        <sz val="8"/>
        <color rgb="FFFF0000"/>
        <rFont val="Arial"/>
        <family val="2"/>
      </rPr>
      <t>C49SZX20190135SX</t>
    </r>
    <phoneticPr fontId="3" type="noConversion"/>
  </si>
  <si>
    <r>
      <t>11100326</t>
    </r>
    <r>
      <rPr>
        <sz val="8"/>
        <color rgb="FFFF0000"/>
        <rFont val="华文楷体"/>
        <family val="3"/>
        <charset val="134"/>
      </rPr>
      <t>海松微</t>
    </r>
    <r>
      <rPr>
        <sz val="8"/>
        <color rgb="FFFF0000"/>
        <rFont val="Arial"/>
        <family val="2"/>
      </rPr>
      <t>C49SZX20190127JY</t>
    </r>
    <phoneticPr fontId="3" type="noConversion"/>
  </si>
  <si>
    <r>
      <rPr>
        <sz val="8"/>
        <color rgb="FFFF0000"/>
        <rFont val="华文楷体"/>
        <family val="3"/>
        <charset val="134"/>
      </rPr>
      <t>深台</t>
    </r>
    <r>
      <rPr>
        <sz val="8"/>
        <color rgb="FFFF0000"/>
        <rFont val="Arial"/>
        <family val="2"/>
      </rPr>
      <t xml:space="preserve"> C49SZX20180058KW</t>
    </r>
  </si>
  <si>
    <r>
      <t>11100328</t>
    </r>
    <r>
      <rPr>
        <sz val="8"/>
        <color rgb="FFFF0000"/>
        <rFont val="华文楷体"/>
        <family val="3"/>
        <charset val="134"/>
      </rPr>
      <t>建航</t>
    </r>
    <r>
      <rPr>
        <sz val="8"/>
        <color rgb="FFFF0000"/>
        <rFont val="Arial"/>
        <family val="2"/>
      </rPr>
      <t>C49SZX20190121JY</t>
    </r>
    <phoneticPr fontId="3" type="noConversion"/>
  </si>
  <si>
    <r>
      <rPr>
        <sz val="9"/>
        <rFont val="华文楷体"/>
        <family val="3"/>
        <charset val="134"/>
      </rPr>
      <t>库存</t>
    </r>
    <r>
      <rPr>
        <sz val="9"/>
        <rFont val="Arial"/>
        <family val="2"/>
      </rPr>
      <t>2018-11-26</t>
    </r>
    <r>
      <rPr>
        <sz val="9"/>
        <rFont val="华文楷体"/>
        <family val="3"/>
        <charset val="134"/>
      </rPr>
      <t>发货</t>
    </r>
    <phoneticPr fontId="3" type="noConversion"/>
  </si>
  <si>
    <r>
      <rPr>
        <sz val="9"/>
        <rFont val="华文楷体"/>
        <family val="3"/>
        <charset val="134"/>
      </rPr>
      <t>华悦美</t>
    </r>
    <r>
      <rPr>
        <sz val="9"/>
        <rFont val="Arial"/>
        <family val="2"/>
      </rPr>
      <t>PO#C66SZ180467</t>
    </r>
    <phoneticPr fontId="3" type="noConversion"/>
  </si>
  <si>
    <r>
      <t>2018-12-7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</si>
  <si>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北京办王军客户</t>
    </r>
    <phoneticPr fontId="3" type="noConversion"/>
  </si>
  <si>
    <r>
      <t xml:space="preserve">2018-12-6 </t>
    </r>
    <r>
      <rPr>
        <sz val="9"/>
        <rFont val="华文楷体"/>
        <family val="3"/>
        <charset val="134"/>
      </rPr>
      <t>发陕西精测</t>
    </r>
    <phoneticPr fontId="3" type="noConversion"/>
  </si>
  <si>
    <r>
      <rPr>
        <sz val="9"/>
        <rFont val="华文楷体"/>
        <family val="3"/>
        <charset val="134"/>
      </rPr>
      <t>宁夏龙基本</t>
    </r>
    <phoneticPr fontId="3" type="noConversion"/>
  </si>
  <si>
    <r>
      <t>2018-12-18</t>
    </r>
    <r>
      <rPr>
        <sz val="9"/>
        <rFont val="华文楷体"/>
        <family val="3"/>
        <charset val="134"/>
      </rPr>
      <t>发货泉盛电子</t>
    </r>
    <phoneticPr fontId="3" type="noConversion"/>
  </si>
  <si>
    <r>
      <t>2019-1-14</t>
    </r>
    <r>
      <rPr>
        <sz val="9"/>
        <rFont val="华文楷体"/>
        <family val="3"/>
        <charset val="134"/>
      </rPr>
      <t>日发货恒康佳业</t>
    </r>
    <phoneticPr fontId="3" type="noConversion"/>
  </si>
  <si>
    <r>
      <t xml:space="preserve">2019-1-9 </t>
    </r>
    <r>
      <rPr>
        <sz val="9"/>
        <rFont val="华文楷体"/>
        <family val="3"/>
        <charset val="134"/>
      </rPr>
      <t>海星</t>
    </r>
    <phoneticPr fontId="3" type="noConversion"/>
  </si>
  <si>
    <r>
      <t>11100292,</t>
    </r>
    <r>
      <rPr>
        <sz val="8"/>
        <color rgb="FFFF0000"/>
        <rFont val="华文楷体"/>
        <family val="3"/>
        <charset val="134"/>
      </rPr>
      <t>安林</t>
    </r>
    <r>
      <rPr>
        <sz val="8"/>
        <color rgb="FFFF0000"/>
        <rFont val="Arial"/>
        <family val="2"/>
      </rPr>
      <t>C49SZX20190077SX</t>
    </r>
    <phoneticPr fontId="3" type="noConversion"/>
  </si>
  <si>
    <r>
      <t>2019-1-25</t>
    </r>
    <r>
      <rPr>
        <sz val="9"/>
        <rFont val="华文楷体"/>
        <family val="3"/>
        <charset val="134"/>
      </rPr>
      <t>清关</t>
    </r>
    <phoneticPr fontId="3" type="noConversion"/>
  </si>
  <si>
    <r>
      <t>2019/1/28</t>
    </r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FRC-KD-2019-001</t>
    </r>
    <phoneticPr fontId="3" type="noConversion"/>
  </si>
  <si>
    <r>
      <t>2019-2-25</t>
    </r>
    <r>
      <rPr>
        <sz val="9"/>
        <rFont val="华文楷体"/>
        <family val="3"/>
        <charset val="134"/>
      </rPr>
      <t>清关</t>
    </r>
    <phoneticPr fontId="3" type="noConversion"/>
  </si>
  <si>
    <r>
      <t>2019-1-28C66</t>
    </r>
    <r>
      <rPr>
        <sz val="9"/>
        <rFont val="华文楷体"/>
        <family val="3"/>
        <charset val="134"/>
      </rPr>
      <t>库存</t>
    </r>
    <phoneticPr fontId="3" type="noConversion"/>
  </si>
  <si>
    <r>
      <t xml:space="preserve">2019-2-19 </t>
    </r>
    <r>
      <rPr>
        <sz val="9"/>
        <rFont val="华文楷体"/>
        <family val="3"/>
        <charset val="134"/>
      </rPr>
      <t>鑫天泰损坏要先发一只赔偿，</t>
    </r>
    <r>
      <rPr>
        <sz val="9"/>
        <rFont val="Arial"/>
        <family val="2"/>
      </rPr>
      <t>C66</t>
    </r>
    <r>
      <rPr>
        <sz val="9"/>
        <rFont val="华文楷体"/>
        <family val="3"/>
        <charset val="134"/>
      </rPr>
      <t>维修好后归还</t>
    </r>
    <phoneticPr fontId="3" type="noConversion"/>
  </si>
  <si>
    <t xml:space="preserve">Yes </t>
    <phoneticPr fontId="3" type="noConversion"/>
  </si>
  <si>
    <t>KKJ-M7310-01</t>
  </si>
  <si>
    <r>
      <t>11100283</t>
    </r>
    <r>
      <rPr>
        <sz val="8"/>
        <color rgb="FFFF0000"/>
        <rFont val="华文楷体"/>
        <family val="3"/>
        <charset val="134"/>
      </rPr>
      <t>，美斯特</t>
    </r>
    <r>
      <rPr>
        <sz val="8"/>
        <color rgb="FFFF0000"/>
        <rFont val="Arial"/>
        <family val="2"/>
      </rPr>
      <t xml:space="preserve"> C49SZX20190006ZX</t>
    </r>
    <phoneticPr fontId="3" type="noConversion"/>
  </si>
  <si>
    <t>KHL-M441H-33X</t>
  </si>
  <si>
    <r>
      <t>11100295,</t>
    </r>
    <r>
      <rPr>
        <sz val="8"/>
        <color rgb="FFFF0000"/>
        <rFont val="华文楷体"/>
        <family val="3"/>
        <charset val="134"/>
      </rPr>
      <t>派诺</t>
    </r>
    <r>
      <rPr>
        <sz val="8"/>
        <color rgb="FFFF0000"/>
        <rFont val="Arial"/>
        <family val="2"/>
      </rPr>
      <t>C49SZX20190066MZ</t>
    </r>
    <phoneticPr fontId="3" type="noConversion"/>
  </si>
  <si>
    <r>
      <t>2019-3-13</t>
    </r>
    <r>
      <rPr>
        <sz val="9"/>
        <rFont val="华文楷体"/>
        <family val="3"/>
        <charset val="134"/>
      </rPr>
      <t>发</t>
    </r>
    <r>
      <rPr>
        <sz val="9"/>
        <rFont val="Arial"/>
        <family val="2"/>
      </rPr>
      <t>C66</t>
    </r>
    <r>
      <rPr>
        <sz val="9"/>
        <rFont val="华文楷体"/>
        <family val="3"/>
        <charset val="134"/>
      </rPr>
      <t>漳州新麒麟</t>
    </r>
    <phoneticPr fontId="3" type="noConversion"/>
  </si>
  <si>
    <r>
      <t>YSM10</t>
    </r>
    <r>
      <rPr>
        <sz val="9"/>
        <rFont val="华文楷体"/>
        <family val="3"/>
        <charset val="134"/>
      </rPr>
      <t>相机</t>
    </r>
  </si>
  <si>
    <r>
      <t>2019-3-19</t>
    </r>
    <r>
      <rPr>
        <sz val="9"/>
        <rFont val="华文楷体"/>
        <family val="3"/>
        <charset val="134"/>
      </rPr>
      <t>发</t>
    </r>
    <r>
      <rPr>
        <sz val="9"/>
        <rFont val="Arial"/>
        <family val="2"/>
      </rPr>
      <t>C66</t>
    </r>
    <r>
      <rPr>
        <sz val="9"/>
        <rFont val="华文楷体"/>
        <family val="3"/>
        <charset val="134"/>
      </rPr>
      <t>咸阳宇迪</t>
    </r>
    <phoneticPr fontId="3" type="noConversion"/>
  </si>
  <si>
    <r>
      <t>11100339</t>
    </r>
    <r>
      <rPr>
        <sz val="8"/>
        <color rgb="FFFF0000"/>
        <rFont val="华文楷体"/>
        <family val="3"/>
        <charset val="134"/>
      </rPr>
      <t>嘉兴</t>
    </r>
    <r>
      <rPr>
        <sz val="8"/>
        <color rgb="FFFF0000"/>
        <rFont val="Arial"/>
        <family val="2"/>
      </rPr>
      <t>C49SZX20190076SS</t>
    </r>
    <phoneticPr fontId="3" type="noConversion"/>
  </si>
  <si>
    <r>
      <t>11100337</t>
    </r>
    <r>
      <rPr>
        <sz val="8"/>
        <color rgb="FFFF0000"/>
        <rFont val="华文楷体"/>
        <family val="3"/>
        <charset val="134"/>
      </rPr>
      <t>海川伟业</t>
    </r>
    <r>
      <rPr>
        <sz val="8"/>
        <color rgb="FFFF0000"/>
        <rFont val="Arial"/>
        <family val="2"/>
      </rPr>
      <t>C49SZX20190133MX</t>
    </r>
    <phoneticPr fontId="3" type="noConversion"/>
  </si>
  <si>
    <r>
      <t>11100335</t>
    </r>
    <r>
      <rPr>
        <sz val="8"/>
        <color rgb="FFFF0000"/>
        <rFont val="华文楷体"/>
        <family val="3"/>
        <charset val="134"/>
      </rPr>
      <t>太美亚</t>
    </r>
    <r>
      <rPr>
        <sz val="8"/>
        <color rgb="FFFF0000"/>
        <rFont val="Arial"/>
        <family val="2"/>
      </rPr>
      <t>C49SZX20190139SX</t>
    </r>
    <phoneticPr fontId="3" type="noConversion"/>
  </si>
  <si>
    <r>
      <t>11100340</t>
    </r>
    <r>
      <rPr>
        <sz val="8"/>
        <color rgb="FFFF0000"/>
        <rFont val="华文楷体"/>
        <family val="3"/>
        <charset val="134"/>
      </rPr>
      <t>妙琪</t>
    </r>
    <r>
      <rPr>
        <sz val="8"/>
        <color rgb="FFFF0000"/>
        <rFont val="Arial"/>
        <family val="2"/>
      </rPr>
      <t>C49SZX20190120DY</t>
    </r>
    <phoneticPr fontId="3" type="noConversion"/>
  </si>
  <si>
    <r>
      <t>11100342</t>
    </r>
    <r>
      <rPr>
        <sz val="8"/>
        <color rgb="FFFF0000"/>
        <rFont val="华文楷体"/>
        <family val="3"/>
        <charset val="134"/>
      </rPr>
      <t>中润互联</t>
    </r>
    <r>
      <rPr>
        <sz val="8"/>
        <color rgb="FFFF0000"/>
        <rFont val="Arial"/>
        <family val="2"/>
      </rPr>
      <t xml:space="preserve"> C49SZX20190140SX</t>
    </r>
    <phoneticPr fontId="3" type="noConversion"/>
  </si>
  <si>
    <r>
      <t>11100343</t>
    </r>
    <r>
      <rPr>
        <sz val="8"/>
        <color rgb="FFFF0000"/>
        <rFont val="华文楷体"/>
        <family val="3"/>
        <charset val="134"/>
      </rPr>
      <t>首航</t>
    </r>
    <r>
      <rPr>
        <sz val="8"/>
        <color rgb="FFFF0000"/>
        <rFont val="Arial"/>
        <family val="2"/>
      </rPr>
      <t xml:space="preserve"> C49SZX20190113LC</t>
    </r>
    <phoneticPr fontId="3" type="noConversion"/>
  </si>
  <si>
    <r>
      <t>11100315</t>
    </r>
    <r>
      <rPr>
        <sz val="8"/>
        <color rgb="FFFF0000"/>
        <rFont val="华文楷体"/>
        <family val="3"/>
        <charset val="134"/>
      </rPr>
      <t>玮芯</t>
    </r>
    <r>
      <rPr>
        <sz val="8"/>
        <color rgb="FFFF0000"/>
        <rFont val="Arial"/>
        <family val="2"/>
      </rPr>
      <t>C49SZX20190117SX</t>
    </r>
    <phoneticPr fontId="3" type="noConversion"/>
  </si>
  <si>
    <r>
      <t>11100317</t>
    </r>
    <r>
      <rPr>
        <sz val="8"/>
        <color rgb="FFFF0000"/>
        <rFont val="华文楷体"/>
        <family val="3"/>
        <charset val="134"/>
      </rPr>
      <t>锘铧</t>
    </r>
    <r>
      <rPr>
        <sz val="8"/>
        <color rgb="FFFF0000"/>
        <rFont val="Arial"/>
        <family val="2"/>
      </rPr>
      <t>C49SZX20190110ZX</t>
    </r>
    <phoneticPr fontId="3" type="noConversion"/>
  </si>
  <si>
    <r>
      <t>11100320</t>
    </r>
    <r>
      <rPr>
        <sz val="8"/>
        <color rgb="FFFF0000"/>
        <rFont val="华文楷体"/>
        <family val="3"/>
        <charset val="134"/>
      </rPr>
      <t>正创</t>
    </r>
    <r>
      <rPr>
        <sz val="8"/>
        <color rgb="FFFF0000"/>
        <rFont val="Arial"/>
        <family val="2"/>
      </rPr>
      <t>/</t>
    </r>
    <r>
      <rPr>
        <sz val="8"/>
        <color rgb="FFFF0000"/>
        <rFont val="华文楷体"/>
        <family val="3"/>
        <charset val="134"/>
      </rPr>
      <t>世启纳</t>
    </r>
    <r>
      <rPr>
        <sz val="8"/>
        <color rgb="FFFF0000"/>
        <rFont val="Arial"/>
        <family val="2"/>
      </rPr>
      <t>C49SZX20190115SS</t>
    </r>
    <phoneticPr fontId="3" type="noConversion"/>
  </si>
  <si>
    <r>
      <t>11100313</t>
    </r>
    <r>
      <rPr>
        <sz val="8"/>
        <color rgb="FFFF0000"/>
        <rFont val="华文楷体"/>
        <family val="3"/>
        <charset val="134"/>
      </rPr>
      <t>鼎鸿</t>
    </r>
    <r>
      <rPr>
        <sz val="8"/>
        <color rgb="FFFF0000"/>
        <rFont val="Arial"/>
        <family val="2"/>
      </rPr>
      <t>C49SZX20190118SS</t>
    </r>
    <phoneticPr fontId="3" type="noConversion"/>
  </si>
  <si>
    <r>
      <t>11100314</t>
    </r>
    <r>
      <rPr>
        <sz val="8"/>
        <color rgb="FFFF0000"/>
        <rFont val="华文楷体"/>
        <family val="3"/>
        <charset val="134"/>
      </rPr>
      <t>天星创展</t>
    </r>
    <r>
      <rPr>
        <sz val="8"/>
        <color rgb="FFFF0000"/>
        <rFont val="Arial"/>
        <family val="2"/>
      </rPr>
      <t>C49SZX20190126MZ</t>
    </r>
    <phoneticPr fontId="3" type="noConversion"/>
  </si>
  <si>
    <r>
      <t>11100301</t>
    </r>
    <r>
      <rPr>
        <sz val="8"/>
        <color rgb="FFFF0000"/>
        <rFont val="华文楷体"/>
        <family val="3"/>
        <charset val="134"/>
      </rPr>
      <t>，恒泰创新</t>
    </r>
    <r>
      <rPr>
        <sz val="8"/>
        <color rgb="FFFF0000"/>
        <rFont val="Arial"/>
        <family val="2"/>
      </rPr>
      <t>C49SZX20190095ZX</t>
    </r>
    <phoneticPr fontId="3" type="noConversion"/>
  </si>
  <si>
    <r>
      <t>11100307</t>
    </r>
    <r>
      <rPr>
        <sz val="8"/>
        <color rgb="FFFF0000"/>
        <rFont val="华文楷体"/>
        <family val="3"/>
        <charset val="134"/>
      </rPr>
      <t>帝泰克</t>
    </r>
    <r>
      <rPr>
        <sz val="8"/>
        <color rgb="FFFF0000"/>
        <rFont val="Arial"/>
        <family val="2"/>
      </rPr>
      <t>C49SZX20190108ZX</t>
    </r>
    <phoneticPr fontId="3" type="noConversion"/>
  </si>
  <si>
    <t>ZS 8mm</t>
    <phoneticPr fontId="3" type="noConversion"/>
  </si>
  <si>
    <r>
      <t>11100305</t>
    </r>
    <r>
      <rPr>
        <sz val="8"/>
        <color rgb="FFFF0000"/>
        <rFont val="华文楷体"/>
        <family val="3"/>
        <charset val="134"/>
      </rPr>
      <t>永顺创</t>
    </r>
    <r>
      <rPr>
        <sz val="8"/>
        <color rgb="FFFF0000"/>
        <rFont val="Arial"/>
        <family val="2"/>
      </rPr>
      <t>C49SZX20190100SX</t>
    </r>
    <phoneticPr fontId="3" type="noConversion"/>
  </si>
  <si>
    <r>
      <t>2019-3-27</t>
    </r>
    <r>
      <rPr>
        <sz val="9"/>
        <rFont val="华文楷体"/>
        <family val="3"/>
        <charset val="134"/>
      </rPr>
      <t>铭翔</t>
    </r>
    <r>
      <rPr>
        <sz val="9"/>
        <rFont val="Arial"/>
        <family val="2"/>
      </rPr>
      <t>PO#C66SZ191804REV</t>
    </r>
    <phoneticPr fontId="3" type="noConversion"/>
  </si>
  <si>
    <t>ESSZ Mis out</t>
    <phoneticPr fontId="3" type="noConversion"/>
  </si>
  <si>
    <r>
      <t>11100310</t>
    </r>
    <r>
      <rPr>
        <sz val="8"/>
        <color rgb="FFFF0000"/>
        <rFont val="华文楷体"/>
        <family val="3"/>
        <charset val="134"/>
      </rPr>
      <t>恒康佳业</t>
    </r>
    <r>
      <rPr>
        <sz val="8"/>
        <color rgb="FFFF0000"/>
        <rFont val="Arial"/>
        <family val="2"/>
      </rPr>
      <t>C49SZX20190072ZX</t>
    </r>
    <phoneticPr fontId="3" type="noConversion"/>
  </si>
  <si>
    <r>
      <t>11100299</t>
    </r>
    <r>
      <rPr>
        <sz val="8"/>
        <color rgb="FFFF0000"/>
        <rFont val="华文楷体"/>
        <family val="3"/>
        <charset val="134"/>
      </rPr>
      <t>，柏星</t>
    </r>
    <r>
      <rPr>
        <sz val="8"/>
        <color rgb="FFFF0000"/>
        <rFont val="Arial"/>
        <family val="2"/>
      </rPr>
      <t>C49SZX20190099SX</t>
    </r>
    <phoneticPr fontId="3" type="noConversion"/>
  </si>
  <si>
    <t>YMCT|KMG-M7300-21</t>
    <phoneticPr fontId="3" type="noConversion"/>
  </si>
  <si>
    <r>
      <t>11100297</t>
    </r>
    <r>
      <rPr>
        <sz val="8"/>
        <color rgb="FFFF0000"/>
        <rFont val="华文楷体"/>
        <family val="3"/>
        <charset val="134"/>
      </rPr>
      <t>，名佳</t>
    </r>
    <r>
      <rPr>
        <sz val="8"/>
        <color rgb="FFFF0000"/>
        <rFont val="Arial"/>
        <family val="2"/>
      </rPr>
      <t>C49SZX20190021JL</t>
    </r>
    <phoneticPr fontId="3" type="noConversion"/>
  </si>
  <si>
    <r>
      <t xml:space="preserve">2019-4-1 </t>
    </r>
    <r>
      <rPr>
        <sz val="9"/>
        <rFont val="华文楷体"/>
        <family val="3"/>
        <charset val="134"/>
      </rPr>
      <t>无锡卓思</t>
    </r>
    <phoneticPr fontId="3" type="noConversion"/>
  </si>
  <si>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PO#FRC-KD-2019-004</t>
    </r>
    <phoneticPr fontId="3" type="noConversion"/>
  </si>
  <si>
    <r>
      <t>11100304</t>
    </r>
    <r>
      <rPr>
        <sz val="8"/>
        <color rgb="FFFF0000"/>
        <rFont val="华文楷体"/>
        <family val="3"/>
        <charset val="134"/>
      </rPr>
      <t>锐诚</t>
    </r>
    <r>
      <rPr>
        <sz val="8"/>
        <color rgb="FFFF0000"/>
        <rFont val="Arial"/>
        <family val="2"/>
      </rPr>
      <t>C49SZX20190090SX</t>
    </r>
    <phoneticPr fontId="3" type="noConversion"/>
  </si>
  <si>
    <r>
      <t xml:space="preserve">2019-7-17 </t>
    </r>
    <r>
      <rPr>
        <sz val="9"/>
        <rFont val="华文楷体"/>
        <family val="3"/>
        <charset val="134"/>
      </rPr>
      <t>北京鼎和信</t>
    </r>
    <phoneticPr fontId="3" type="noConversion"/>
  </si>
  <si>
    <t>inter-co</t>
    <phoneticPr fontId="3" type="noConversion"/>
  </si>
  <si>
    <r>
      <t xml:space="preserve">2019-4-22 </t>
    </r>
    <r>
      <rPr>
        <sz val="9"/>
        <rFont val="华文楷体"/>
        <family val="3"/>
        <charset val="134"/>
      </rPr>
      <t>乐清创影</t>
    </r>
    <phoneticPr fontId="3" type="noConversion"/>
  </si>
  <si>
    <r>
      <t>2019-4-30</t>
    </r>
    <r>
      <rPr>
        <sz val="9"/>
        <rFont val="华文楷体"/>
        <family val="3"/>
        <charset val="134"/>
      </rPr>
      <t>中润互联</t>
    </r>
    <r>
      <rPr>
        <sz val="9"/>
        <rFont val="Arial"/>
        <family val="2"/>
      </rPr>
      <t>C66SZ109015REV.1</t>
    </r>
    <phoneticPr fontId="3" type="noConversion"/>
  </si>
  <si>
    <r>
      <t>11100303,</t>
    </r>
    <r>
      <rPr>
        <sz val="8"/>
        <color rgb="FFFF0000"/>
        <rFont val="华文楷体"/>
        <family val="3"/>
        <charset val="134"/>
      </rPr>
      <t>微力创</t>
    </r>
    <r>
      <rPr>
        <sz val="8"/>
        <color rgb="FFFF0000"/>
        <rFont val="Arial"/>
        <family val="2"/>
      </rPr>
      <t>C28SZX20190047YY</t>
    </r>
    <phoneticPr fontId="3" type="noConversion"/>
  </si>
  <si>
    <r>
      <t>2019/5/5</t>
    </r>
    <r>
      <rPr>
        <sz val="9"/>
        <rFont val="华文楷体"/>
        <family val="3"/>
        <charset val="134"/>
      </rPr>
      <t>金晟晖</t>
    </r>
    <r>
      <rPr>
        <sz val="9"/>
        <rFont val="Arial"/>
        <family val="2"/>
      </rPr>
      <t>PO#SZC49Q20191312</t>
    </r>
    <phoneticPr fontId="3" type="noConversion"/>
  </si>
  <si>
    <r>
      <t xml:space="preserve">2019-4-28 </t>
    </r>
    <r>
      <rPr>
        <sz val="9"/>
        <rFont val="华文楷体"/>
        <family val="3"/>
        <charset val="134"/>
      </rPr>
      <t>存封</t>
    </r>
    <r>
      <rPr>
        <sz val="9"/>
        <rFont val="Arial"/>
        <family val="2"/>
      </rPr>
      <t>PO#C66SZ190144</t>
    </r>
    <phoneticPr fontId="3" type="noConversion"/>
  </si>
  <si>
    <r>
      <t xml:space="preserve">11100309 </t>
    </r>
    <r>
      <rPr>
        <sz val="8"/>
        <color rgb="FFFF0000"/>
        <rFont val="华文楷体"/>
        <family val="3"/>
        <charset val="134"/>
      </rPr>
      <t>凯瑞丰</t>
    </r>
    <r>
      <rPr>
        <sz val="8"/>
        <color rgb="FFFF0000"/>
        <rFont val="Arial"/>
        <family val="2"/>
      </rPr>
      <t>C49SZX20190102SX</t>
    </r>
    <phoneticPr fontId="3" type="noConversion"/>
  </si>
  <si>
    <t>66N</t>
    <phoneticPr fontId="3" type="noConversion"/>
  </si>
  <si>
    <r>
      <t xml:space="preserve">2019-5-9 </t>
    </r>
    <r>
      <rPr>
        <sz val="9"/>
        <rFont val="华文楷体"/>
        <family val="3"/>
        <charset val="134"/>
      </rPr>
      <t>品泰</t>
    </r>
    <r>
      <rPr>
        <sz val="9"/>
        <rFont val="Arial"/>
        <family val="2"/>
      </rPr>
      <t>PO#6830181814</t>
    </r>
    <phoneticPr fontId="3" type="noConversion"/>
  </si>
  <si>
    <r>
      <rPr>
        <sz val="9"/>
        <rFont val="华文楷体"/>
        <family val="3"/>
        <charset val="134"/>
      </rPr>
      <t>科诚达</t>
    </r>
    <r>
      <rPr>
        <sz val="9"/>
        <rFont val="Arial"/>
        <family val="2"/>
      </rPr>
      <t>PO#KCD2019050701A</t>
    </r>
    <phoneticPr fontId="3" type="noConversion"/>
  </si>
  <si>
    <r>
      <t xml:space="preserve">2019-5-13 </t>
    </r>
    <r>
      <rPr>
        <sz val="9"/>
        <rFont val="华文楷体"/>
        <family val="3"/>
        <charset val="134"/>
      </rPr>
      <t>富士电机</t>
    </r>
    <r>
      <rPr>
        <sz val="9"/>
        <rFont val="Arial"/>
        <family val="2"/>
      </rPr>
      <t>PO#4500116951</t>
    </r>
    <phoneticPr fontId="3" type="noConversion"/>
  </si>
  <si>
    <r>
      <rPr>
        <sz val="9"/>
        <rFont val="华文楷体"/>
        <family val="3"/>
        <charset val="134"/>
      </rPr>
      <t>丽晶</t>
    </r>
    <r>
      <rPr>
        <sz val="9"/>
        <rFont val="Arial"/>
        <family val="2"/>
      </rPr>
      <t>PO#CG19050236</t>
    </r>
    <phoneticPr fontId="3" type="noConversion"/>
  </si>
  <si>
    <r>
      <t>2019-5-20</t>
    </r>
    <r>
      <rPr>
        <sz val="9"/>
        <rFont val="华文楷体"/>
        <family val="3"/>
        <charset val="134"/>
      </rPr>
      <t>清关</t>
    </r>
    <phoneticPr fontId="3" type="noConversion"/>
  </si>
  <si>
    <t>66F</t>
    <phoneticPr fontId="3" type="noConversion"/>
  </si>
  <si>
    <r>
      <rPr>
        <sz val="9"/>
        <rFont val="华文楷体"/>
        <family val="3"/>
        <charset val="134"/>
      </rPr>
      <t>上海安费诺</t>
    </r>
    <r>
      <rPr>
        <sz val="9"/>
        <rFont val="Arial"/>
        <family val="2"/>
      </rPr>
      <t>Q19SHGST023</t>
    </r>
    <phoneticPr fontId="3" type="noConversion"/>
  </si>
  <si>
    <r>
      <rPr>
        <sz val="9"/>
        <rFont val="华文楷体"/>
        <family val="3"/>
        <charset val="134"/>
      </rPr>
      <t>上海科特</t>
    </r>
    <r>
      <rPr>
        <sz val="9"/>
        <rFont val="Arial"/>
        <family val="2"/>
      </rPr>
      <t>Q19SHGST028R2</t>
    </r>
    <phoneticPr fontId="3" type="noConversion"/>
  </si>
  <si>
    <r>
      <rPr>
        <sz val="9"/>
        <rFont val="华文楷体"/>
        <family val="3"/>
        <charset val="134"/>
      </rPr>
      <t>浙江鉴丰</t>
    </r>
    <r>
      <rPr>
        <sz val="9"/>
        <rFont val="Arial"/>
        <family val="2"/>
      </rPr>
      <t>Q19SHGST030R</t>
    </r>
    <phoneticPr fontId="3" type="noConversion"/>
  </si>
  <si>
    <r>
      <rPr>
        <sz val="9"/>
        <rFont val="华文楷体"/>
        <family val="3"/>
        <charset val="134"/>
      </rPr>
      <t>东莞森本</t>
    </r>
    <r>
      <rPr>
        <sz val="9"/>
        <rFont val="Arial"/>
        <family val="2"/>
      </rPr>
      <t>C66SZ190179</t>
    </r>
    <phoneticPr fontId="3" type="noConversion"/>
  </si>
  <si>
    <r>
      <rPr>
        <sz val="9"/>
        <rFont val="华文楷体"/>
        <family val="3"/>
        <charset val="134"/>
      </rPr>
      <t>世达威</t>
    </r>
    <r>
      <rPr>
        <sz val="9"/>
        <rFont val="Arial"/>
        <family val="2"/>
      </rPr>
      <t>201905210037</t>
    </r>
    <phoneticPr fontId="3" type="noConversion"/>
  </si>
  <si>
    <t xml:space="preserve">66N </t>
    <phoneticPr fontId="3" type="noConversion"/>
  </si>
  <si>
    <r>
      <rPr>
        <sz val="9"/>
        <rFont val="华文楷体"/>
        <family val="3"/>
        <charset val="134"/>
      </rPr>
      <t>深台科</t>
    </r>
    <r>
      <rPr>
        <sz val="9"/>
        <rFont val="Arial"/>
        <family val="2"/>
      </rPr>
      <t>PO#C66SZ190176REV.2</t>
    </r>
    <phoneticPr fontId="3" type="noConversion"/>
  </si>
  <si>
    <r>
      <t>11100294,</t>
    </r>
    <r>
      <rPr>
        <sz val="8"/>
        <color rgb="FFFF0000"/>
        <rFont val="华文楷体"/>
        <family val="3"/>
        <charset val="134"/>
      </rPr>
      <t>力通威</t>
    </r>
    <r>
      <rPr>
        <sz val="8"/>
        <color rgb="FFFF0000"/>
        <rFont val="Arial"/>
        <family val="2"/>
      </rPr>
      <t>C49SZX20190073JL</t>
    </r>
    <phoneticPr fontId="3" type="noConversion"/>
  </si>
  <si>
    <r>
      <rPr>
        <sz val="9"/>
        <rFont val="华文楷体"/>
        <family val="3"/>
        <charset val="134"/>
      </rPr>
      <t>昌大</t>
    </r>
    <r>
      <rPr>
        <sz val="9"/>
        <rFont val="Arial"/>
        <family val="2"/>
      </rPr>
      <t>PO#CN19041139C</t>
    </r>
    <phoneticPr fontId="3" type="noConversion"/>
  </si>
  <si>
    <r>
      <rPr>
        <sz val="9"/>
        <rFont val="华文楷体"/>
        <family val="3"/>
        <charset val="134"/>
      </rPr>
      <t>德兰明海</t>
    </r>
    <r>
      <rPr>
        <sz val="9"/>
        <rFont val="Arial"/>
        <family val="2"/>
      </rPr>
      <t>PO#DL-PO19050401</t>
    </r>
  </si>
  <si>
    <r>
      <rPr>
        <sz val="9"/>
        <rFont val="华文楷体"/>
        <family val="3"/>
        <charset val="134"/>
      </rPr>
      <t>无锡麦道</t>
    </r>
    <r>
      <rPr>
        <sz val="9"/>
        <rFont val="Arial"/>
        <family val="2"/>
      </rPr>
      <t>C66-SHA-20190520R1</t>
    </r>
    <phoneticPr fontId="3" type="noConversion"/>
  </si>
  <si>
    <r>
      <t>2019-5-30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</si>
  <si>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江苏中科</t>
    </r>
    <r>
      <rPr>
        <sz val="9"/>
        <rFont val="Arial"/>
        <family val="2"/>
      </rPr>
      <t>Q19SHGST033</t>
    </r>
    <phoneticPr fontId="3" type="noConversion"/>
  </si>
  <si>
    <r>
      <t>2019-6-5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</si>
  <si>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青岛天发</t>
    </r>
    <r>
      <rPr>
        <sz val="9"/>
        <rFont val="Arial"/>
        <family val="2"/>
      </rPr>
      <t>20190528</t>
    </r>
    <phoneticPr fontId="3" type="noConversion"/>
  </si>
  <si>
    <t>66A</t>
    <phoneticPr fontId="3" type="noConversion"/>
  </si>
  <si>
    <r>
      <rPr>
        <sz val="9"/>
        <rFont val="华文楷体"/>
        <family val="3"/>
        <charset val="134"/>
      </rPr>
      <t>青岛天发</t>
    </r>
    <r>
      <rPr>
        <sz val="9"/>
        <rFont val="Arial"/>
        <family val="2"/>
      </rPr>
      <t>20190610</t>
    </r>
    <phoneticPr fontId="3" type="noConversion"/>
  </si>
  <si>
    <t>2019-6-11 Mis-out</t>
    <phoneticPr fontId="3" type="noConversion"/>
  </si>
  <si>
    <r>
      <rPr>
        <sz val="9"/>
        <rFont val="华文楷体"/>
        <family val="3"/>
        <charset val="134"/>
      </rPr>
      <t>恒泰创新</t>
    </r>
    <r>
      <rPr>
        <sz val="9"/>
        <rFont val="Arial"/>
        <family val="2"/>
      </rPr>
      <t>PO#C66SZ190187&amp;OEF</t>
    </r>
    <phoneticPr fontId="3" type="noConversion"/>
  </si>
  <si>
    <r>
      <t>11100349</t>
    </r>
    <r>
      <rPr>
        <sz val="8"/>
        <color rgb="FFFF0000"/>
        <rFont val="华文楷体"/>
        <family val="3"/>
        <charset val="134"/>
      </rPr>
      <t>耕创</t>
    </r>
    <r>
      <rPr>
        <sz val="8"/>
        <color rgb="FFFF0000"/>
        <rFont val="Arial"/>
        <family val="2"/>
      </rPr>
      <t>C49SZX20190145DZ</t>
    </r>
    <phoneticPr fontId="3" type="noConversion"/>
  </si>
  <si>
    <r>
      <t>2019-6-18</t>
    </r>
    <r>
      <rPr>
        <sz val="9"/>
        <rFont val="华文楷体"/>
        <family val="3"/>
        <charset val="134"/>
      </rPr>
      <t>清关</t>
    </r>
    <phoneticPr fontId="3" type="noConversion"/>
  </si>
  <si>
    <r>
      <t>2019-6-11</t>
    </r>
    <r>
      <rPr>
        <sz val="9"/>
        <rFont val="华文楷体"/>
        <family val="3"/>
        <charset val="134"/>
      </rPr>
      <t>清关</t>
    </r>
    <phoneticPr fontId="3" type="noConversion"/>
  </si>
  <si>
    <r>
      <t>2019-6-26</t>
    </r>
    <r>
      <rPr>
        <sz val="9"/>
        <rFont val="华文楷体"/>
        <family val="3"/>
        <charset val="134"/>
      </rPr>
      <t>清关</t>
    </r>
    <phoneticPr fontId="3" type="noConversion"/>
  </si>
  <si>
    <t xml:space="preserve">RMB </t>
    <phoneticPr fontId="3" type="noConversion"/>
  </si>
  <si>
    <r>
      <t>11100373</t>
    </r>
    <r>
      <rPr>
        <sz val="8"/>
        <color rgb="FFFF0000"/>
        <rFont val="华文楷体"/>
        <family val="3"/>
        <charset val="134"/>
      </rPr>
      <t>龙大</t>
    </r>
    <r>
      <rPr>
        <sz val="8"/>
        <color rgb="FFFF0000"/>
        <rFont val="Arial"/>
        <family val="2"/>
      </rPr>
      <t>C49SZX2020</t>
    </r>
    <phoneticPr fontId="3" type="noConversion"/>
  </si>
  <si>
    <r>
      <rPr>
        <sz val="9"/>
        <rFont val="华文楷体"/>
        <family val="3"/>
        <charset val="134"/>
      </rPr>
      <t>永顺创</t>
    </r>
    <r>
      <rPr>
        <sz val="9"/>
        <rFont val="Arial"/>
        <family val="2"/>
      </rPr>
      <t>PO#C66SZ190237</t>
    </r>
  </si>
  <si>
    <t xml:space="preserve">2019-7-9 Mis out </t>
    <phoneticPr fontId="3" type="noConversion"/>
  </si>
  <si>
    <r>
      <rPr>
        <sz val="9"/>
        <rFont val="华文楷体"/>
        <family val="3"/>
        <charset val="134"/>
      </rPr>
      <t>金华易途</t>
    </r>
    <r>
      <rPr>
        <sz val="9"/>
        <rFont val="Arial"/>
        <family val="2"/>
      </rPr>
      <t>C66-SHA-20190705</t>
    </r>
    <phoneticPr fontId="3" type="noConversion"/>
  </si>
  <si>
    <r>
      <rPr>
        <sz val="9"/>
        <rFont val="华文楷体"/>
        <family val="3"/>
        <charset val="134"/>
      </rPr>
      <t>旭日伟光</t>
    </r>
    <r>
      <rPr>
        <sz val="9"/>
        <rFont val="Arial"/>
        <family val="2"/>
      </rPr>
      <t>PO#C66SZ190245REV.1</t>
    </r>
  </si>
  <si>
    <t xml:space="preserve">2019-7-12 Mis-out </t>
    <phoneticPr fontId="3" type="noConversion"/>
  </si>
  <si>
    <r>
      <t>2019-7-16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</si>
  <si>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北京恒立信通</t>
    </r>
    <r>
      <rPr>
        <sz val="9"/>
        <rFont val="Arial"/>
        <family val="2"/>
      </rPr>
      <t>20190712</t>
    </r>
    <phoneticPr fontId="3" type="noConversion"/>
  </si>
  <si>
    <t>2019-7-12 Mis-out</t>
    <phoneticPr fontId="3" type="noConversion"/>
  </si>
  <si>
    <r>
      <rPr>
        <sz val="9"/>
        <rFont val="华文楷体"/>
        <family val="3"/>
        <charset val="134"/>
      </rPr>
      <t>天邦达</t>
    </r>
    <r>
      <rPr>
        <sz val="9"/>
        <rFont val="Arial"/>
        <family val="2"/>
      </rPr>
      <t>PO#20190700006</t>
    </r>
  </si>
  <si>
    <r>
      <rPr>
        <sz val="9"/>
        <rFont val="华文楷体"/>
        <family val="3"/>
        <charset val="134"/>
      </rPr>
      <t>济南本安</t>
    </r>
    <r>
      <rPr>
        <sz val="9"/>
        <rFont val="Arial"/>
        <family val="2"/>
      </rPr>
      <t>20190708R1</t>
    </r>
  </si>
  <si>
    <t>66H</t>
    <phoneticPr fontId="3" type="noConversion"/>
  </si>
  <si>
    <r>
      <rPr>
        <sz val="9"/>
        <rFont val="华文楷体"/>
        <family val="3"/>
        <charset val="134"/>
      </rPr>
      <t>四川蓝景</t>
    </r>
    <r>
      <rPr>
        <sz val="9"/>
        <rFont val="Arial"/>
        <family val="2"/>
      </rPr>
      <t xml:space="preserve">20190716 </t>
    </r>
  </si>
  <si>
    <r>
      <t xml:space="preserve">11100995 </t>
    </r>
    <r>
      <rPr>
        <sz val="8"/>
        <color rgb="FFFF0000"/>
        <rFont val="华文楷体"/>
        <family val="3"/>
        <charset val="134"/>
      </rPr>
      <t>四川蓝景</t>
    </r>
    <phoneticPr fontId="3" type="noConversion"/>
  </si>
  <si>
    <r>
      <t>2019-7-18</t>
    </r>
    <r>
      <rPr>
        <sz val="9"/>
        <rFont val="华文楷体"/>
        <family val="3"/>
        <charset val="134"/>
      </rPr>
      <t>清关</t>
    </r>
    <phoneticPr fontId="3" type="noConversion"/>
  </si>
  <si>
    <t>66J</t>
    <phoneticPr fontId="3" type="noConversion"/>
  </si>
  <si>
    <r>
      <rPr>
        <sz val="9"/>
        <rFont val="华文楷体"/>
        <family val="3"/>
        <charset val="134"/>
      </rPr>
      <t>深圳龙高</t>
    </r>
    <phoneticPr fontId="3" type="noConversion"/>
  </si>
  <si>
    <r>
      <rPr>
        <sz val="9"/>
        <rFont val="华文楷体"/>
        <family val="3"/>
        <charset val="134"/>
      </rPr>
      <t>梵想</t>
    </r>
    <r>
      <rPr>
        <sz val="9"/>
        <rFont val="Arial"/>
        <family val="2"/>
      </rPr>
      <t>PO#C66SZ190241</t>
    </r>
  </si>
  <si>
    <r>
      <rPr>
        <sz val="9"/>
        <rFont val="华文楷体"/>
        <family val="3"/>
        <charset val="134"/>
      </rPr>
      <t>锐诚</t>
    </r>
    <r>
      <rPr>
        <sz val="9"/>
        <rFont val="Arial"/>
        <family val="2"/>
      </rPr>
      <t>PO#C66SZ190256</t>
    </r>
  </si>
  <si>
    <r>
      <t>2019-7-19</t>
    </r>
    <r>
      <rPr>
        <sz val="9"/>
        <rFont val="华文楷体"/>
        <family val="3"/>
        <charset val="134"/>
      </rPr>
      <t>清关</t>
    </r>
    <phoneticPr fontId="3" type="noConversion"/>
  </si>
  <si>
    <t>PO#H164790-BET-190725</t>
  </si>
  <si>
    <r>
      <rPr>
        <sz val="9"/>
        <rFont val="华文楷体"/>
        <family val="3"/>
        <charset val="134"/>
      </rPr>
      <t>和盛</t>
    </r>
    <r>
      <rPr>
        <sz val="9"/>
        <rFont val="Arial"/>
        <family val="2"/>
      </rPr>
      <t>PO#C66SZ190237</t>
    </r>
  </si>
  <si>
    <r>
      <t>2019-8-28</t>
    </r>
    <r>
      <rPr>
        <sz val="8"/>
        <color rgb="FFFF0000"/>
        <rFont val="华文楷体"/>
        <family val="3"/>
        <charset val="134"/>
      </rPr>
      <t>通知做</t>
    </r>
    <r>
      <rPr>
        <sz val="8"/>
        <color rgb="FFFF0000"/>
        <rFont val="Arial"/>
        <family val="2"/>
      </rPr>
      <t xml:space="preserve">Mis-out </t>
    </r>
    <phoneticPr fontId="3" type="noConversion"/>
  </si>
  <si>
    <r>
      <rPr>
        <sz val="9"/>
        <rFont val="华文楷体"/>
        <family val="3"/>
        <charset val="134"/>
      </rPr>
      <t>福建凯斯达</t>
    </r>
    <r>
      <rPr>
        <sz val="9"/>
        <rFont val="Arial"/>
        <family val="2"/>
      </rPr>
      <t>KSD20192066</t>
    </r>
    <phoneticPr fontId="3" type="noConversion"/>
  </si>
  <si>
    <r>
      <t>2019-8-7</t>
    </r>
    <r>
      <rPr>
        <sz val="9"/>
        <rFont val="华文楷体"/>
        <family val="3"/>
        <charset val="134"/>
      </rPr>
      <t>清关</t>
    </r>
    <phoneticPr fontId="3" type="noConversion"/>
  </si>
  <si>
    <r>
      <t>2019-8-12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</si>
  <si>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PO#C66SZ190279</t>
    </r>
    <phoneticPr fontId="3" type="noConversion"/>
  </si>
  <si>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PO#C66SZ190258REV.1</t>
    </r>
  </si>
  <si>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PO#C66SZ190285</t>
    </r>
  </si>
  <si>
    <t>2019-8-19 Mis-out</t>
    <phoneticPr fontId="3" type="noConversion"/>
  </si>
  <si>
    <r>
      <rPr>
        <sz val="9"/>
        <rFont val="华文楷体"/>
        <family val="3"/>
        <charset val="134"/>
      </rPr>
      <t>埃迪</t>
    </r>
    <r>
      <rPr>
        <sz val="9"/>
        <rFont val="Arial"/>
        <family val="2"/>
      </rPr>
      <t>PO#C66SZ190303REV.1</t>
    </r>
  </si>
  <si>
    <r>
      <rPr>
        <sz val="9"/>
        <rFont val="华文楷体"/>
        <family val="3"/>
        <charset val="134"/>
      </rPr>
      <t>博实结</t>
    </r>
    <r>
      <rPr>
        <sz val="9"/>
        <rFont val="Arial"/>
        <family val="2"/>
      </rPr>
      <t>PO#C66SZ190290REV.1</t>
    </r>
    <phoneticPr fontId="3" type="noConversion"/>
  </si>
  <si>
    <r>
      <rPr>
        <sz val="9"/>
        <rFont val="华文楷体"/>
        <family val="3"/>
        <charset val="134"/>
      </rPr>
      <t>胜亚</t>
    </r>
    <r>
      <rPr>
        <sz val="9"/>
        <rFont val="Arial"/>
        <family val="2"/>
      </rPr>
      <t>PO#20190816</t>
    </r>
  </si>
  <si>
    <r>
      <t>2019-8-21</t>
    </r>
    <r>
      <rPr>
        <sz val="9"/>
        <rFont val="华文楷体"/>
        <family val="3"/>
        <charset val="134"/>
      </rPr>
      <t>清关</t>
    </r>
    <phoneticPr fontId="3" type="noConversion"/>
  </si>
  <si>
    <r>
      <t>2019-8-22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</si>
  <si>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兆驰</t>
    </r>
    <r>
      <rPr>
        <sz val="9"/>
        <rFont val="Arial"/>
        <family val="2"/>
      </rPr>
      <t>PO#4820022705</t>
    </r>
    <phoneticPr fontId="3" type="noConversion"/>
  </si>
  <si>
    <r>
      <rPr>
        <sz val="9"/>
        <rFont val="华文楷体"/>
        <family val="3"/>
        <charset val="134"/>
      </rPr>
      <t>广视通达</t>
    </r>
    <r>
      <rPr>
        <sz val="9"/>
        <rFont val="Arial"/>
        <family val="2"/>
      </rPr>
      <t>TD20190801833</t>
    </r>
    <phoneticPr fontId="3" type="noConversion"/>
  </si>
  <si>
    <r>
      <t>2019-9-5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</si>
  <si>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厦门金易合</t>
    </r>
    <r>
      <rPr>
        <sz val="9"/>
        <rFont val="Arial"/>
        <family val="2"/>
      </rPr>
      <t>Q19SHGST114</t>
    </r>
    <phoneticPr fontId="3" type="noConversion"/>
  </si>
  <si>
    <r>
      <rPr>
        <sz val="9"/>
        <rFont val="华文楷体"/>
        <family val="3"/>
        <charset val="134"/>
      </rPr>
      <t>建航</t>
    </r>
    <r>
      <rPr>
        <sz val="9"/>
        <rFont val="Arial"/>
        <family val="2"/>
      </rPr>
      <t>PO#C66SZ190322&amp;OEF</t>
    </r>
  </si>
  <si>
    <t>2019-9-11Mis-out</t>
    <phoneticPr fontId="3" type="noConversion"/>
  </si>
  <si>
    <r>
      <rPr>
        <sz val="9"/>
        <rFont val="华文楷体"/>
        <family val="3"/>
        <charset val="134"/>
      </rPr>
      <t>胜亚</t>
    </r>
    <r>
      <rPr>
        <sz val="9"/>
        <rFont val="Arial"/>
        <family val="2"/>
      </rPr>
      <t>PO#C66SZ190350</t>
    </r>
  </si>
  <si>
    <r>
      <t>Q19SHGST118</t>
    </r>
    <r>
      <rPr>
        <sz val="9"/>
        <rFont val="华文楷体"/>
        <family val="3"/>
        <charset val="134"/>
      </rPr>
      <t>余姚灵通</t>
    </r>
    <phoneticPr fontId="3" type="noConversion"/>
  </si>
  <si>
    <r>
      <t>Q19SHGST119</t>
    </r>
    <r>
      <rPr>
        <sz val="9"/>
        <rFont val="华文楷体"/>
        <family val="3"/>
        <charset val="134"/>
      </rPr>
      <t>宿州市泰华</t>
    </r>
    <phoneticPr fontId="3" type="noConversion"/>
  </si>
  <si>
    <r>
      <t>Q19SHGST093</t>
    </r>
    <r>
      <rPr>
        <sz val="9"/>
        <rFont val="华文楷体"/>
        <family val="3"/>
        <charset val="134"/>
      </rPr>
      <t>宿州市泰华</t>
    </r>
    <phoneticPr fontId="3" type="noConversion"/>
  </si>
  <si>
    <r>
      <rPr>
        <sz val="9"/>
        <rFont val="华文楷体"/>
        <family val="3"/>
        <charset val="134"/>
      </rPr>
      <t>维众</t>
    </r>
    <r>
      <rPr>
        <sz val="9"/>
        <rFont val="Arial"/>
        <family val="2"/>
      </rPr>
      <t>PO#C66SZ190345REV.1</t>
    </r>
    <phoneticPr fontId="3" type="noConversion"/>
  </si>
  <si>
    <r>
      <t>2019-9-20</t>
    </r>
    <r>
      <rPr>
        <sz val="9"/>
        <rFont val="华文楷体"/>
        <family val="3"/>
        <charset val="134"/>
      </rPr>
      <t>清关</t>
    </r>
    <phoneticPr fontId="3" type="noConversion"/>
  </si>
  <si>
    <r>
      <t>2019-9-27</t>
    </r>
    <r>
      <rPr>
        <sz val="9"/>
        <rFont val="华文楷体"/>
        <family val="3"/>
        <charset val="134"/>
      </rPr>
      <t>清关</t>
    </r>
    <phoneticPr fontId="3" type="noConversion"/>
  </si>
  <si>
    <r>
      <t>2019-9-29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</si>
  <si>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丽晶</t>
    </r>
    <r>
      <rPr>
        <sz val="9"/>
        <rFont val="Arial"/>
        <family val="2"/>
      </rPr>
      <t>PO#CG19090932</t>
    </r>
    <phoneticPr fontId="3" type="noConversion"/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</si>
  <si>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PO#LXD190927</t>
    </r>
  </si>
  <si>
    <r>
      <rPr>
        <sz val="9"/>
        <rFont val="华文楷体"/>
        <family val="3"/>
        <charset val="134"/>
      </rPr>
      <t>保凌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</si>
  <si>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PO#C66SZ190364</t>
    </r>
    <phoneticPr fontId="3" type="noConversion"/>
  </si>
  <si>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PO#C66SZ190368</t>
    </r>
  </si>
  <si>
    <r>
      <t>11100358</t>
    </r>
    <r>
      <rPr>
        <sz val="8"/>
        <color rgb="FFFF0000"/>
        <rFont val="华文楷体"/>
        <family val="3"/>
        <charset val="134"/>
      </rPr>
      <t>名佳</t>
    </r>
    <r>
      <rPr>
        <sz val="8"/>
        <color rgb="FFFF0000"/>
        <rFont val="Arial"/>
        <family val="2"/>
      </rPr>
      <t>C49SZX20190168JL</t>
    </r>
    <phoneticPr fontId="3" type="noConversion"/>
  </si>
  <si>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PO#FRC-KD-2019-040</t>
    </r>
    <phoneticPr fontId="3" type="noConversion"/>
  </si>
  <si>
    <r>
      <t>2019-10-18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</si>
  <si>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崧盛</t>
    </r>
    <r>
      <rPr>
        <sz val="9"/>
        <rFont val="Arial"/>
        <family val="2"/>
      </rPr>
      <t>PO#C66SZ190373REV.2</t>
    </r>
  </si>
  <si>
    <r>
      <rPr>
        <sz val="9"/>
        <rFont val="华文楷体"/>
        <family val="3"/>
        <charset val="134"/>
      </rPr>
      <t>名佳</t>
    </r>
    <r>
      <rPr>
        <sz val="9"/>
        <rFont val="Arial"/>
        <family val="2"/>
      </rPr>
      <t>PO#C66SZ190376REV.2</t>
    </r>
    <phoneticPr fontId="3" type="noConversion"/>
  </si>
  <si>
    <r>
      <rPr>
        <sz val="9"/>
        <rFont val="华文楷体"/>
        <family val="3"/>
        <charset val="134"/>
      </rPr>
      <t>安林</t>
    </r>
    <r>
      <rPr>
        <sz val="9"/>
        <rFont val="Arial"/>
        <family val="2"/>
      </rPr>
      <t>PO#C66SZ190409</t>
    </r>
    <phoneticPr fontId="3" type="noConversion"/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</si>
  <si>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20191017</t>
    </r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</si>
  <si>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20191017</t>
    </r>
    <phoneticPr fontId="3" type="noConversion"/>
  </si>
  <si>
    <r>
      <rPr>
        <sz val="9"/>
        <rFont val="华文楷体"/>
        <family val="3"/>
        <charset val="134"/>
      </rPr>
      <t>杭州芯欣</t>
    </r>
    <r>
      <rPr>
        <sz val="9"/>
        <rFont val="Arial"/>
        <family val="2"/>
      </rPr>
      <t>Q19SHGST060</t>
    </r>
    <phoneticPr fontId="3" type="noConversion"/>
  </si>
  <si>
    <r>
      <rPr>
        <sz val="9"/>
        <rFont val="华文楷体"/>
        <family val="3"/>
        <charset val="134"/>
      </rPr>
      <t>达迪</t>
    </r>
    <r>
      <rPr>
        <sz val="9"/>
        <rFont val="Arial"/>
        <family val="2"/>
      </rPr>
      <t>PO#C66SZ190397REV.1</t>
    </r>
  </si>
  <si>
    <r>
      <t>2019-10-30</t>
    </r>
    <r>
      <rPr>
        <sz val="9"/>
        <rFont val="华文楷体"/>
        <family val="3"/>
        <charset val="134"/>
      </rPr>
      <t>清关</t>
    </r>
    <phoneticPr fontId="3" type="noConversion"/>
  </si>
  <si>
    <r>
      <t>2019-11-6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</si>
  <si>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鑫高翔</t>
    </r>
    <r>
      <rPr>
        <sz val="9"/>
        <rFont val="Arial"/>
        <family val="2"/>
      </rPr>
      <t>PO#C66SZ190420</t>
    </r>
  </si>
  <si>
    <r>
      <t>2019-11-8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</si>
  <si>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旭日伟光</t>
    </r>
    <r>
      <rPr>
        <sz val="9"/>
        <rFont val="Arial"/>
        <family val="2"/>
      </rPr>
      <t>PO#C66SZ190428</t>
    </r>
  </si>
  <si>
    <t>2019-11-11 Misc-out</t>
    <phoneticPr fontId="3" type="noConversion"/>
  </si>
  <si>
    <r>
      <rPr>
        <sz val="9"/>
        <rFont val="华文楷体"/>
        <family val="3"/>
        <charset val="134"/>
      </rPr>
      <t>宿州市泰华仪表有限公司（</t>
    </r>
    <r>
      <rPr>
        <sz val="9"/>
        <rFont val="Arial"/>
        <family val="2"/>
      </rPr>
      <t>C66SHA19065</t>
    </r>
  </si>
  <si>
    <r>
      <rPr>
        <sz val="9"/>
        <rFont val="华文楷体"/>
        <family val="3"/>
        <charset val="134"/>
      </rPr>
      <t>浙江德捷电子科技有限公司（</t>
    </r>
    <r>
      <rPr>
        <sz val="9"/>
        <rFont val="Arial"/>
        <family val="2"/>
      </rPr>
      <t>C66SHA19070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</si>
  <si>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海龙智通</t>
    </r>
    <r>
      <rPr>
        <sz val="9"/>
        <rFont val="Arial"/>
        <family val="2"/>
      </rPr>
      <t>PO#C66SZ190434</t>
    </r>
  </si>
  <si>
    <r>
      <rPr>
        <sz val="9"/>
        <rFont val="华文楷体"/>
        <family val="3"/>
        <charset val="134"/>
      </rPr>
      <t>宁波汉浦工具有限公司（</t>
    </r>
    <r>
      <rPr>
        <sz val="9"/>
        <rFont val="Arial"/>
        <family val="2"/>
      </rPr>
      <t>C66SHA19072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</si>
  <si>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南京悦之恒机电科技有限公司</t>
    </r>
    <r>
      <rPr>
        <sz val="9"/>
        <rFont val="Arial"/>
        <family val="2"/>
      </rPr>
      <t xml:space="preserve"> (C66SHA19068)</t>
    </r>
  </si>
  <si>
    <r>
      <t>2019-11-21</t>
    </r>
    <r>
      <rPr>
        <sz val="9"/>
        <rFont val="华文楷体"/>
        <family val="3"/>
        <charset val="134"/>
      </rPr>
      <t>清关</t>
    </r>
    <phoneticPr fontId="3" type="noConversion"/>
  </si>
  <si>
    <t>66X</t>
    <phoneticPr fontId="3" type="noConversion"/>
  </si>
  <si>
    <r>
      <rPr>
        <sz val="9"/>
        <rFont val="华文楷体"/>
        <family val="3"/>
        <charset val="134"/>
      </rPr>
      <t>陕西银河电力</t>
    </r>
    <r>
      <rPr>
        <sz val="9"/>
        <rFont val="Arial"/>
        <family val="2"/>
      </rPr>
      <t>20191109R1</t>
    </r>
  </si>
  <si>
    <r>
      <rPr>
        <sz val="9"/>
        <rFont val="华文楷体"/>
        <family val="3"/>
        <charset val="134"/>
      </rPr>
      <t>乐电</t>
    </r>
    <r>
      <rPr>
        <sz val="9"/>
        <rFont val="Arial"/>
        <family val="2"/>
      </rPr>
      <t>PO#C66SZ190456</t>
    </r>
  </si>
  <si>
    <r>
      <rPr>
        <sz val="9"/>
        <rFont val="华文楷体"/>
        <family val="3"/>
        <charset val="134"/>
      </rPr>
      <t>青岛科荣达</t>
    </r>
    <r>
      <rPr>
        <sz val="9"/>
        <rFont val="Arial"/>
        <family val="2"/>
      </rPr>
      <t xml:space="preserve">20191120 </t>
    </r>
  </si>
  <si>
    <r>
      <rPr>
        <sz val="9"/>
        <rFont val="华文楷体"/>
        <family val="3"/>
        <charset val="134"/>
      </rPr>
      <t>丽晶</t>
    </r>
    <r>
      <rPr>
        <sz val="9"/>
        <rFont val="Arial"/>
        <family val="2"/>
      </rPr>
      <t>PO#CG19110742</t>
    </r>
  </si>
  <si>
    <r>
      <rPr>
        <sz val="9"/>
        <rFont val="华文楷体"/>
        <family val="3"/>
        <charset val="134"/>
      </rPr>
      <t>柏星</t>
    </r>
    <r>
      <rPr>
        <sz val="9"/>
        <rFont val="Arial"/>
        <family val="2"/>
      </rPr>
      <t>PO#C66SZ190456</t>
    </r>
  </si>
  <si>
    <r>
      <rPr>
        <sz val="9"/>
        <rFont val="华文楷体"/>
        <family val="3"/>
        <charset val="134"/>
      </rPr>
      <t>洲明</t>
    </r>
    <r>
      <rPr>
        <sz val="9"/>
        <rFont val="Arial"/>
        <family val="2"/>
      </rPr>
      <t>PO#L5000302791-</t>
    </r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</si>
  <si>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PO#C66SZ190450</t>
    </r>
  </si>
  <si>
    <r>
      <rPr>
        <sz val="9"/>
        <rFont val="华文楷体"/>
        <family val="3"/>
        <charset val="134"/>
      </rPr>
      <t>硕泰克（</t>
    </r>
    <r>
      <rPr>
        <sz val="9"/>
        <rFont val="Arial"/>
        <family val="2"/>
      </rPr>
      <t xml:space="preserve"> </t>
    </r>
    <r>
      <rPr>
        <sz val="9"/>
        <rFont val="华文楷体"/>
        <family val="3"/>
        <charset val="134"/>
      </rPr>
      <t>铭翔）</t>
    </r>
    <r>
      <rPr>
        <sz val="9"/>
        <rFont val="Arial"/>
        <family val="2"/>
      </rPr>
      <t>PO#C66SZ190433-</t>
    </r>
    <phoneticPr fontId="3" type="noConversion"/>
  </si>
  <si>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PO#C66SZ190492REV.1</t>
    </r>
  </si>
  <si>
    <r>
      <rPr>
        <sz val="9"/>
        <rFont val="华文楷体"/>
        <family val="3"/>
        <charset val="134"/>
      </rPr>
      <t>归还上海办</t>
    </r>
    <phoneticPr fontId="3" type="noConversion"/>
  </si>
  <si>
    <r>
      <t>2019-12-12</t>
    </r>
    <r>
      <rPr>
        <sz val="9"/>
        <rFont val="华文楷体"/>
        <family val="3"/>
        <charset val="134"/>
      </rPr>
      <t>清关</t>
    </r>
    <phoneticPr fontId="3" type="noConversion"/>
  </si>
  <si>
    <r>
      <t>11100369</t>
    </r>
    <r>
      <rPr>
        <sz val="8"/>
        <color rgb="FFFF0000"/>
        <rFont val="华文楷体"/>
        <family val="3"/>
        <charset val="134"/>
      </rPr>
      <t>杰森泰</t>
    </r>
    <r>
      <rPr>
        <sz val="8"/>
        <color rgb="FFFF0000"/>
        <rFont val="Arial"/>
        <family val="2"/>
      </rPr>
      <t>C49SZX20190181DY</t>
    </r>
    <phoneticPr fontId="3" type="noConversion"/>
  </si>
  <si>
    <r>
      <rPr>
        <sz val="9"/>
        <rFont val="华文楷体"/>
        <family val="3"/>
        <charset val="134"/>
      </rPr>
      <t>江门恒之源</t>
    </r>
    <r>
      <rPr>
        <sz val="9"/>
        <rFont val="Arial"/>
        <family val="2"/>
      </rPr>
      <t>PO#33JM-191211001</t>
    </r>
  </si>
  <si>
    <r>
      <rPr>
        <sz val="9"/>
        <rFont val="华文楷体"/>
        <family val="3"/>
        <charset val="134"/>
      </rPr>
      <t>城宇</t>
    </r>
    <r>
      <rPr>
        <sz val="9"/>
        <rFont val="Arial"/>
        <family val="2"/>
      </rPr>
      <t>PO#C66SZ190351REV.1</t>
    </r>
  </si>
  <si>
    <r>
      <t xml:space="preserve"> </t>
    </r>
    <r>
      <rPr>
        <sz val="9"/>
        <rFont val="华文楷体"/>
        <family val="3"/>
        <charset val="134"/>
      </rPr>
      <t>鑫高翔</t>
    </r>
    <r>
      <rPr>
        <sz val="9"/>
        <rFont val="Arial"/>
        <family val="2"/>
      </rPr>
      <t>PO#C66SZ190506REV.1</t>
    </r>
  </si>
  <si>
    <r>
      <rPr>
        <sz val="9"/>
        <rFont val="华文楷体"/>
        <family val="3"/>
        <charset val="134"/>
      </rPr>
      <t>博星</t>
    </r>
    <r>
      <rPr>
        <sz val="9"/>
        <rFont val="Arial"/>
        <family val="2"/>
      </rPr>
      <t>PO#C66SZ190508REV.1</t>
    </r>
  </si>
  <si>
    <r>
      <rPr>
        <sz val="9"/>
        <rFont val="华文楷体"/>
        <family val="3"/>
        <charset val="134"/>
      </rPr>
      <t>派诺</t>
    </r>
    <r>
      <rPr>
        <sz val="9"/>
        <rFont val="Arial"/>
        <family val="2"/>
      </rPr>
      <t>PO#C66SZ190482REV.3</t>
    </r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</si>
  <si>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PO#LXD191219</t>
    </r>
  </si>
  <si>
    <r>
      <rPr>
        <sz val="9"/>
        <rFont val="华文楷体"/>
        <family val="3"/>
        <charset val="134"/>
      </rPr>
      <t>绵光</t>
    </r>
    <r>
      <rPr>
        <sz val="9"/>
        <rFont val="Arial"/>
        <family val="2"/>
      </rPr>
      <t>PO#C66SZ190525REV.1</t>
    </r>
  </si>
  <si>
    <r>
      <t>2019-12-31</t>
    </r>
    <r>
      <rPr>
        <sz val="9"/>
        <rFont val="华文楷体"/>
        <family val="3"/>
        <charset val="134"/>
      </rPr>
      <t>清关</t>
    </r>
    <phoneticPr fontId="3" type="noConversion"/>
  </si>
  <si>
    <r>
      <t>2019-12-30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</si>
  <si>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北大青鸟环宇消防</t>
    </r>
    <r>
      <rPr>
        <sz val="9"/>
        <rFont val="Arial"/>
        <family val="2"/>
      </rPr>
      <t>.2020-6-23</t>
    </r>
    <r>
      <rPr>
        <sz val="9"/>
        <rFont val="华文楷体"/>
        <family val="3"/>
        <charset val="134"/>
      </rPr>
      <t>通知王军，此货转到</t>
    </r>
    <r>
      <rPr>
        <sz val="9"/>
        <rFont val="Arial"/>
        <family val="2"/>
      </rPr>
      <t>66A</t>
    </r>
    <r>
      <rPr>
        <sz val="9"/>
        <rFont val="华文楷体"/>
        <family val="3"/>
        <charset val="134"/>
      </rPr>
      <t>库存，</t>
    </r>
    <r>
      <rPr>
        <sz val="9"/>
        <rFont val="Arial"/>
        <family val="2"/>
      </rPr>
      <t>66A</t>
    </r>
    <r>
      <rPr>
        <sz val="9"/>
        <rFont val="华文楷体"/>
        <family val="3"/>
        <charset val="134"/>
      </rPr>
      <t>找客户打折销售出去</t>
    </r>
    <phoneticPr fontId="3" type="noConversion"/>
  </si>
  <si>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PO#FRC-KD-2020-001</t>
    </r>
  </si>
  <si>
    <r>
      <rPr>
        <sz val="9"/>
        <rFont val="华文楷体"/>
        <family val="3"/>
        <charset val="134"/>
      </rPr>
      <t>博新</t>
    </r>
    <r>
      <rPr>
        <sz val="9"/>
        <rFont val="Arial"/>
        <family val="2"/>
      </rPr>
      <t>PO#C66SZ190508REV.1</t>
    </r>
  </si>
  <si>
    <t>Q19SHGST198R</t>
  </si>
  <si>
    <r>
      <t>2020-1-16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</si>
  <si>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中润互联</t>
    </r>
    <r>
      <rPr>
        <sz val="9"/>
        <rFont val="Arial"/>
        <family val="2"/>
      </rPr>
      <t>PO#C66SZ20037</t>
    </r>
  </si>
  <si>
    <r>
      <rPr>
        <sz val="9"/>
        <rFont val="华文楷体"/>
        <family val="3"/>
        <charset val="134"/>
      </rPr>
      <t>东莞妙琪</t>
    </r>
    <r>
      <rPr>
        <sz val="9"/>
        <rFont val="Arial"/>
        <family val="2"/>
      </rPr>
      <t>PO#C66SZ20042</t>
    </r>
  </si>
  <si>
    <r>
      <rPr>
        <sz val="9"/>
        <rFont val="华文楷体"/>
        <family val="3"/>
        <charset val="134"/>
      </rPr>
      <t>青岛科荣达</t>
    </r>
    <r>
      <rPr>
        <sz val="9"/>
        <rFont val="Arial"/>
        <family val="2"/>
      </rPr>
      <t>20200303</t>
    </r>
  </si>
  <si>
    <r>
      <rPr>
        <sz val="9"/>
        <rFont val="华文楷体"/>
        <family val="3"/>
        <charset val="134"/>
      </rPr>
      <t>青岛科荣达</t>
    </r>
    <r>
      <rPr>
        <sz val="9"/>
        <rFont val="Arial"/>
        <family val="2"/>
      </rPr>
      <t>20200303</t>
    </r>
    <phoneticPr fontId="3" type="noConversion"/>
  </si>
  <si>
    <r>
      <rPr>
        <sz val="9"/>
        <rFont val="华文楷体"/>
        <family val="3"/>
        <charset val="134"/>
      </rPr>
      <t>裕达盛</t>
    </r>
    <r>
      <rPr>
        <sz val="9"/>
        <rFont val="Arial"/>
        <family val="2"/>
      </rPr>
      <t>PO#C66SZ20050REV.2</t>
    </r>
  </si>
  <si>
    <r>
      <rPr>
        <sz val="9"/>
        <rFont val="华文楷体"/>
        <family val="3"/>
        <charset val="134"/>
      </rPr>
      <t>美斯特</t>
    </r>
    <r>
      <rPr>
        <sz val="9"/>
        <rFont val="Arial"/>
        <family val="2"/>
      </rPr>
      <t>PO#PO2003051</t>
    </r>
  </si>
  <si>
    <r>
      <t xml:space="preserve"> </t>
    </r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PO#C66SZ2005</t>
    </r>
  </si>
  <si>
    <t>66x</t>
    <phoneticPr fontId="3" type="noConversion"/>
  </si>
  <si>
    <r>
      <rPr>
        <sz val="9"/>
        <rFont val="华文楷体"/>
        <family val="3"/>
        <charset val="134"/>
      </rPr>
      <t>西安晶捷电子技术有限公司</t>
    </r>
    <r>
      <rPr>
        <sz val="9"/>
        <rFont val="Arial"/>
        <family val="2"/>
      </rPr>
      <t>_C66BJS20200316</t>
    </r>
    <phoneticPr fontId="3" type="noConversion"/>
  </si>
  <si>
    <r>
      <rPr>
        <sz val="9"/>
        <rFont val="华文楷体"/>
        <family val="3"/>
        <charset val="134"/>
      </rPr>
      <t>自贡兴川</t>
    </r>
    <r>
      <rPr>
        <sz val="9"/>
        <rFont val="Arial"/>
        <family val="2"/>
      </rPr>
      <t>2019-XCGD-KNMY-0146</t>
    </r>
    <phoneticPr fontId="3" type="noConversion"/>
  </si>
  <si>
    <r>
      <t>2020-3-20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</si>
  <si>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借用</t>
    </r>
    <phoneticPr fontId="3" type="noConversion"/>
  </si>
  <si>
    <r>
      <rPr>
        <sz val="9"/>
        <rFont val="华文楷体"/>
        <family val="3"/>
        <charset val="134"/>
      </rPr>
      <t>百益晟</t>
    </r>
    <r>
      <rPr>
        <sz val="9"/>
        <rFont val="Arial"/>
        <family val="2"/>
      </rPr>
      <t>PO#C66SZ190401REV.1</t>
    </r>
  </si>
  <si>
    <r>
      <rPr>
        <sz val="9"/>
        <rFont val="华文楷体"/>
        <family val="3"/>
        <charset val="134"/>
      </rPr>
      <t>杰森泰</t>
    </r>
    <r>
      <rPr>
        <sz val="9"/>
        <rFont val="Arial"/>
        <family val="2"/>
      </rPr>
      <t>PO#C66SZ20069</t>
    </r>
  </si>
  <si>
    <r>
      <t>Q19SHGST219</t>
    </r>
    <r>
      <rPr>
        <sz val="9"/>
        <rFont val="华文楷体"/>
        <family val="3"/>
        <charset val="134"/>
      </rPr>
      <t>上海多越</t>
    </r>
    <phoneticPr fontId="3" type="noConversion"/>
  </si>
  <si>
    <r>
      <t xml:space="preserve"> </t>
    </r>
    <r>
      <rPr>
        <sz val="9"/>
        <rFont val="华文楷体"/>
        <family val="3"/>
        <charset val="134"/>
      </rPr>
      <t>博星</t>
    </r>
    <r>
      <rPr>
        <sz val="9"/>
        <rFont val="Arial"/>
        <family val="2"/>
      </rPr>
      <t>PO#C66SZ20065REV.5</t>
    </r>
    <phoneticPr fontId="3" type="noConversion"/>
  </si>
  <si>
    <r>
      <rPr>
        <sz val="9"/>
        <rFont val="华文楷体"/>
        <family val="3"/>
        <charset val="134"/>
      </rPr>
      <t>兴开泰</t>
    </r>
    <r>
      <rPr>
        <sz val="9"/>
        <rFont val="Arial"/>
        <family val="2"/>
      </rPr>
      <t>PO#P470032119</t>
    </r>
  </si>
  <si>
    <r>
      <rPr>
        <sz val="9"/>
        <rFont val="华文楷体"/>
        <family val="3"/>
        <charset val="134"/>
      </rPr>
      <t>秋田</t>
    </r>
    <r>
      <rPr>
        <sz val="9"/>
        <rFont val="Arial"/>
        <family val="2"/>
      </rPr>
      <t>PO#C66SZ20053REV.2</t>
    </r>
  </si>
  <si>
    <r>
      <rPr>
        <sz val="9"/>
        <rFont val="华文楷体"/>
        <family val="3"/>
        <charset val="134"/>
      </rPr>
      <t>赛美达</t>
    </r>
    <r>
      <rPr>
        <sz val="9"/>
        <rFont val="Arial"/>
        <family val="2"/>
      </rPr>
      <t>PO#C66SZ20075</t>
    </r>
  </si>
  <si>
    <r>
      <t>2020-3-13</t>
    </r>
    <r>
      <rPr>
        <sz val="9"/>
        <rFont val="华文楷体"/>
        <family val="3"/>
        <charset val="134"/>
      </rPr>
      <t>清关</t>
    </r>
    <phoneticPr fontId="3" type="noConversion"/>
  </si>
  <si>
    <r>
      <t>2020-3-26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</si>
  <si>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锐诚</t>
    </r>
    <r>
      <rPr>
        <sz val="9"/>
        <rFont val="Arial"/>
        <family val="2"/>
      </rPr>
      <t>PO#C66SZ20051REV.1-</t>
    </r>
  </si>
  <si>
    <r>
      <rPr>
        <sz val="9"/>
        <rFont val="华文楷体"/>
        <family val="3"/>
        <charset val="134"/>
      </rPr>
      <t>彩熠</t>
    </r>
    <r>
      <rPr>
        <sz val="9"/>
        <rFont val="Arial"/>
        <family val="2"/>
      </rPr>
      <t>PO#C66SZ20078REV.1&amp;C66SZ20079REV.2</t>
    </r>
    <phoneticPr fontId="3" type="noConversion"/>
  </si>
  <si>
    <r>
      <rPr>
        <sz val="9"/>
        <rFont val="华文楷体"/>
        <family val="3"/>
        <charset val="134"/>
      </rPr>
      <t>彩熠</t>
    </r>
    <r>
      <rPr>
        <sz val="9"/>
        <rFont val="Arial"/>
        <family val="2"/>
      </rPr>
      <t>PO#C66SZ20078REV.1&amp;C66SZ20079REV.2</t>
    </r>
  </si>
  <si>
    <t>C49SZX20200007SS</t>
    <phoneticPr fontId="3" type="noConversion"/>
  </si>
  <si>
    <r>
      <t>Q19SHGST223</t>
    </r>
    <r>
      <rPr>
        <sz val="9"/>
        <rFont val="华文楷体"/>
        <family val="3"/>
        <charset val="134"/>
      </rPr>
      <t>上海米岑</t>
    </r>
    <phoneticPr fontId="3" type="noConversion"/>
  </si>
  <si>
    <r>
      <rPr>
        <sz val="9"/>
        <rFont val="华文楷体"/>
        <family val="3"/>
        <charset val="134"/>
      </rPr>
      <t>深圳恒之源</t>
    </r>
    <r>
      <rPr>
        <sz val="9"/>
        <rFont val="Arial"/>
        <family val="2"/>
      </rPr>
      <t>PO#3301-200325018</t>
    </r>
  </si>
  <si>
    <r>
      <rPr>
        <sz val="9"/>
        <rFont val="华文楷体"/>
        <family val="3"/>
        <charset val="134"/>
      </rPr>
      <t>索赔</t>
    </r>
    <phoneticPr fontId="3" type="noConversion"/>
  </si>
  <si>
    <r>
      <rPr>
        <sz val="9"/>
        <rFont val="华文楷体"/>
        <family val="3"/>
        <charset val="134"/>
      </rPr>
      <t>保险索赔</t>
    </r>
    <phoneticPr fontId="3" type="noConversion"/>
  </si>
  <si>
    <r>
      <rPr>
        <sz val="8"/>
        <color rgb="FFFF0000"/>
        <rFont val="华文楷体"/>
        <family val="3"/>
        <charset val="134"/>
      </rPr>
      <t>海星</t>
    </r>
    <r>
      <rPr>
        <sz val="8"/>
        <color rgb="FFFF0000"/>
        <rFont val="Arial"/>
        <family val="2"/>
      </rPr>
      <t>C49SZX20200048DZ</t>
    </r>
    <phoneticPr fontId="3" type="noConversion"/>
  </si>
  <si>
    <r>
      <rPr>
        <sz val="9"/>
        <rFont val="华文楷体"/>
        <family val="3"/>
        <charset val="134"/>
      </rPr>
      <t>龙高</t>
    </r>
    <r>
      <rPr>
        <sz val="9"/>
        <rFont val="Arial"/>
        <family val="2"/>
      </rPr>
      <t>PO#D2004001</t>
    </r>
  </si>
  <si>
    <r>
      <rPr>
        <sz val="9"/>
        <rFont val="华文楷体"/>
        <family val="3"/>
        <charset val="134"/>
      </rPr>
      <t>恒泰创新</t>
    </r>
    <r>
      <rPr>
        <sz val="9"/>
        <rFont val="Arial"/>
        <family val="2"/>
      </rPr>
      <t>PO#C66SZ20102REV.2</t>
    </r>
  </si>
  <si>
    <r>
      <rPr>
        <sz val="9"/>
        <rFont val="华文楷体"/>
        <family val="3"/>
        <charset val="134"/>
      </rPr>
      <t>浙江金子星电子有限公司</t>
    </r>
  </si>
  <si>
    <r>
      <rPr>
        <sz val="9"/>
        <rFont val="华文楷体"/>
        <family val="3"/>
        <charset val="134"/>
      </rPr>
      <t>耕创</t>
    </r>
    <r>
      <rPr>
        <sz val="9"/>
        <rFont val="Arial"/>
        <family val="2"/>
      </rPr>
      <t>PO#3301-200325018</t>
    </r>
    <phoneticPr fontId="3" type="noConversion"/>
  </si>
  <si>
    <r>
      <t>2020-4-9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</si>
  <si>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中研</t>
    </r>
    <r>
      <rPr>
        <sz val="9"/>
        <rFont val="Arial"/>
        <family val="2"/>
      </rPr>
      <t>PO#C66SZ20115</t>
    </r>
  </si>
  <si>
    <r>
      <rPr>
        <sz val="9"/>
        <rFont val="华文楷体"/>
        <family val="3"/>
        <charset val="134"/>
      </rPr>
      <t>赛维</t>
    </r>
    <r>
      <rPr>
        <sz val="9"/>
        <rFont val="Arial"/>
        <family val="2"/>
      </rPr>
      <t>PO#C66SZ20122REV.1</t>
    </r>
  </si>
  <si>
    <r>
      <rPr>
        <sz val="9"/>
        <rFont val="华文楷体"/>
        <family val="3"/>
        <charset val="134"/>
      </rPr>
      <t>福建泉盛电子</t>
    </r>
    <r>
      <rPr>
        <sz val="9"/>
        <rFont val="Arial"/>
        <family val="2"/>
      </rPr>
      <t xml:space="preserve"> C66SHA20009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</si>
  <si>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福建泉盛电子</t>
    </r>
    <r>
      <rPr>
        <sz val="9"/>
        <rFont val="Arial"/>
        <family val="2"/>
      </rPr>
      <t xml:space="preserve"> C66SHA20009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</si>
  <si>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亮程</t>
    </r>
    <r>
      <rPr>
        <sz val="9"/>
        <rFont val="Arial"/>
        <family val="2"/>
      </rPr>
      <t>PO#C66SZ20136</t>
    </r>
  </si>
  <si>
    <r>
      <t>2020-4-20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</si>
  <si>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西安神西电气有限责任公司</t>
    </r>
    <r>
      <rPr>
        <sz val="9"/>
        <rFont val="Arial"/>
        <family val="2"/>
      </rPr>
      <t>(C66SHA20015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</si>
  <si>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西安神西电气有限责任公司</t>
    </r>
    <r>
      <rPr>
        <sz val="9"/>
        <rFont val="Arial"/>
        <family val="2"/>
      </rPr>
      <t>(C66SHA20015</t>
    </r>
    <r>
      <rPr>
        <sz val="9"/>
        <rFont val="华文楷体"/>
        <family val="3"/>
        <charset val="134"/>
      </rPr>
      <t>）</t>
    </r>
  </si>
  <si>
    <r>
      <t>2020-4-28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</si>
  <si>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西安博康电子有限公司</t>
    </r>
  </si>
  <si>
    <r>
      <t xml:space="preserve">11100403 </t>
    </r>
    <r>
      <rPr>
        <sz val="8"/>
        <color rgb="FFFF0000"/>
        <rFont val="华文楷体"/>
        <family val="3"/>
        <charset val="134"/>
      </rPr>
      <t>金海智控</t>
    </r>
    <r>
      <rPr>
        <sz val="8"/>
        <color rgb="FFFF0000"/>
        <rFont val="Arial"/>
        <family val="2"/>
      </rPr>
      <t xml:space="preserve"> C49SZX20200031DZ</t>
    </r>
    <phoneticPr fontId="3" type="noConversion"/>
  </si>
  <si>
    <r>
      <t xml:space="preserve">11100430 </t>
    </r>
    <r>
      <rPr>
        <sz val="8"/>
        <color rgb="FFFF0000"/>
        <rFont val="华文楷体"/>
        <family val="3"/>
        <charset val="134"/>
      </rPr>
      <t>金海智控</t>
    </r>
    <r>
      <rPr>
        <sz val="8"/>
        <color rgb="FFFF0000"/>
        <rFont val="Arial"/>
        <family val="2"/>
      </rPr>
      <t xml:space="preserve"> C49SZX20200031DZ</t>
    </r>
    <phoneticPr fontId="3" type="noConversion"/>
  </si>
  <si>
    <r>
      <rPr>
        <sz val="9"/>
        <rFont val="华文楷体"/>
        <family val="3"/>
        <charset val="134"/>
      </rPr>
      <t>宁波万芯诚电子科技有限公司</t>
    </r>
  </si>
  <si>
    <r>
      <t>2020-5-8</t>
    </r>
    <r>
      <rPr>
        <sz val="9"/>
        <rFont val="华文楷体"/>
        <family val="3"/>
        <charset val="134"/>
      </rPr>
      <t>清关</t>
    </r>
    <phoneticPr fontId="3" type="noConversion"/>
  </si>
  <si>
    <r>
      <t>2020-5-11</t>
    </r>
    <r>
      <rPr>
        <sz val="9"/>
        <rFont val="华文楷体"/>
        <family val="3"/>
        <charset val="134"/>
      </rPr>
      <t>清关</t>
    </r>
    <phoneticPr fontId="3" type="noConversion"/>
  </si>
  <si>
    <r>
      <t>2020-5-15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</si>
  <si>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博星</t>
    </r>
    <r>
      <rPr>
        <sz val="9"/>
        <rFont val="Arial"/>
        <family val="2"/>
      </rPr>
      <t>PO#C66SZ20177-</t>
    </r>
  </si>
  <si>
    <r>
      <rPr>
        <sz val="9"/>
        <rFont val="华文楷体"/>
        <family val="3"/>
        <charset val="134"/>
      </rPr>
      <t>嘉裕</t>
    </r>
    <r>
      <rPr>
        <sz val="9"/>
        <rFont val="Arial"/>
        <family val="2"/>
      </rPr>
      <t>PO#146928-AET-200512</t>
    </r>
  </si>
  <si>
    <r>
      <rPr>
        <sz val="9"/>
        <rFont val="华文楷体"/>
        <family val="3"/>
        <charset val="134"/>
      </rPr>
      <t>宁波中车时代传感技术有限公司</t>
    </r>
    <r>
      <rPr>
        <sz val="9"/>
        <rFont val="Arial"/>
        <family val="2"/>
      </rPr>
      <t>(C66SHA20023)</t>
    </r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</si>
  <si>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20200507</t>
    </r>
    <phoneticPr fontId="3" type="noConversion"/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</si>
  <si>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20200507</t>
    </r>
  </si>
  <si>
    <r>
      <rPr>
        <sz val="9"/>
        <rFont val="华文楷体"/>
        <family val="3"/>
        <charset val="134"/>
      </rPr>
      <t>康腾</t>
    </r>
    <r>
      <rPr>
        <sz val="9"/>
        <rFont val="Arial"/>
        <family val="2"/>
      </rPr>
      <t>PO#C66SZ20186</t>
    </r>
  </si>
  <si>
    <r>
      <rPr>
        <sz val="9"/>
        <rFont val="华文楷体"/>
        <family val="3"/>
        <charset val="134"/>
      </rPr>
      <t>思迈</t>
    </r>
    <r>
      <rPr>
        <sz val="9"/>
        <rFont val="Arial"/>
        <family val="2"/>
      </rPr>
      <t>PO#C66SZ20185</t>
    </r>
  </si>
  <si>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PO#C66SZ20189REV.1</t>
    </r>
    <phoneticPr fontId="3" type="noConversion"/>
  </si>
  <si>
    <t>49F</t>
    <phoneticPr fontId="3" type="noConversion"/>
  </si>
  <si>
    <r>
      <t xml:space="preserve"> </t>
    </r>
    <r>
      <rPr>
        <sz val="9"/>
        <rFont val="华文楷体"/>
        <family val="3"/>
        <charset val="134"/>
      </rPr>
      <t>福建泉盛电子</t>
    </r>
    <r>
      <rPr>
        <sz val="9"/>
        <rFont val="Arial"/>
        <family val="2"/>
      </rPr>
      <t>C49XMN20200601/CZK</t>
    </r>
    <phoneticPr fontId="3" type="noConversion"/>
  </si>
  <si>
    <r>
      <t>2020-6-2</t>
    </r>
    <r>
      <rPr>
        <sz val="9"/>
        <rFont val="华文楷体"/>
        <family val="3"/>
        <charset val="134"/>
      </rPr>
      <t>清关</t>
    </r>
    <phoneticPr fontId="3" type="noConversion"/>
  </si>
  <si>
    <r>
      <t>Q20SHGST047R1</t>
    </r>
    <r>
      <rPr>
        <sz val="9"/>
        <rFont val="华文楷体"/>
        <family val="3"/>
        <charset val="134"/>
      </rPr>
      <t>河南紫联</t>
    </r>
    <phoneticPr fontId="3" type="noConversion"/>
  </si>
  <si>
    <t>49A</t>
    <phoneticPr fontId="3" type="noConversion"/>
  </si>
  <si>
    <r>
      <rPr>
        <sz val="9"/>
        <rFont val="华文楷体"/>
        <family val="3"/>
        <charset val="134"/>
      </rPr>
      <t>盘锦国鼎</t>
    </r>
    <r>
      <rPr>
        <sz val="9"/>
        <rFont val="Arial"/>
        <family val="2"/>
      </rPr>
      <t xml:space="preserve"> C49BJS20200410LHR</t>
    </r>
    <phoneticPr fontId="3" type="noConversion"/>
  </si>
  <si>
    <r>
      <rPr>
        <sz val="8"/>
        <color rgb="FFFF0000"/>
        <rFont val="华文楷体"/>
        <family val="3"/>
        <charset val="134"/>
      </rPr>
      <t>中润互联</t>
    </r>
    <r>
      <rPr>
        <sz val="8"/>
        <color rgb="FFFF0000"/>
        <rFont val="Arial"/>
        <family val="2"/>
      </rPr>
      <t>C49SZX20200063SS</t>
    </r>
    <phoneticPr fontId="3" type="noConversion"/>
  </si>
  <si>
    <r>
      <t>2020-6-16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</si>
  <si>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存封</t>
    </r>
    <r>
      <rPr>
        <sz val="9"/>
        <rFont val="Arial"/>
        <family val="2"/>
      </rPr>
      <t>PO#C66SZ20223</t>
    </r>
    <phoneticPr fontId="3" type="noConversion"/>
  </si>
  <si>
    <r>
      <rPr>
        <sz val="9"/>
        <rFont val="华文楷体"/>
        <family val="3"/>
        <charset val="134"/>
      </rPr>
      <t>西安益登电子科技有限公司（</t>
    </r>
    <r>
      <rPr>
        <sz val="9"/>
        <rFont val="Arial"/>
        <family val="2"/>
      </rPr>
      <t>C66SHA20035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</si>
  <si>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富士电机</t>
    </r>
    <r>
      <rPr>
        <sz val="9"/>
        <rFont val="Arial"/>
        <family val="2"/>
      </rPr>
      <t>PO#4500126420</t>
    </r>
  </si>
  <si>
    <r>
      <t xml:space="preserve"> </t>
    </r>
    <r>
      <rPr>
        <sz val="9"/>
        <rFont val="华文楷体"/>
        <family val="3"/>
        <charset val="134"/>
      </rPr>
      <t>勇启</t>
    </r>
    <r>
      <rPr>
        <sz val="9"/>
        <rFont val="Arial"/>
        <family val="2"/>
      </rPr>
      <t>PO#PO2020061601-LJV</t>
    </r>
  </si>
  <si>
    <r>
      <rPr>
        <sz val="9"/>
        <rFont val="华文楷体"/>
        <family val="3"/>
        <charset val="134"/>
      </rPr>
      <t>常州市常鹰电子有限公司</t>
    </r>
  </si>
  <si>
    <r>
      <t xml:space="preserve">Q20SHGST069 </t>
    </r>
    <r>
      <rPr>
        <sz val="9"/>
        <rFont val="华文楷体"/>
        <family val="3"/>
        <charset val="134"/>
      </rPr>
      <t>福建泉盛电子</t>
    </r>
    <phoneticPr fontId="3" type="noConversion"/>
  </si>
  <si>
    <r>
      <rPr>
        <sz val="9"/>
        <rFont val="华文楷体"/>
        <family val="3"/>
        <charset val="134"/>
      </rPr>
      <t>江阴东瑞</t>
    </r>
    <r>
      <rPr>
        <sz val="9"/>
        <rFont val="Arial"/>
        <family val="2"/>
      </rPr>
      <t>C49SHA20200515/JXD</t>
    </r>
    <phoneticPr fontId="3" type="noConversion"/>
  </si>
  <si>
    <r>
      <rPr>
        <sz val="9"/>
        <rFont val="华文楷体"/>
        <family val="3"/>
        <charset val="134"/>
      </rPr>
      <t>江苏信利电子常州有限公司（</t>
    </r>
    <r>
      <rPr>
        <sz val="9"/>
        <rFont val="Arial"/>
        <family val="2"/>
      </rPr>
      <t>C66SHA20042</t>
    </r>
    <r>
      <rPr>
        <sz val="9"/>
        <rFont val="华文楷体"/>
        <family val="3"/>
        <charset val="134"/>
      </rPr>
      <t>）</t>
    </r>
  </si>
  <si>
    <r>
      <t>2020-6-24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</si>
  <si>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鑫天泰</t>
    </r>
    <r>
      <rPr>
        <sz val="9"/>
        <rFont val="Arial"/>
        <family val="2"/>
      </rPr>
      <t>PO#20200623001</t>
    </r>
    <phoneticPr fontId="3" type="noConversion"/>
  </si>
  <si>
    <r>
      <rPr>
        <sz val="9"/>
        <rFont val="华文楷体"/>
        <family val="3"/>
        <charset val="134"/>
      </rPr>
      <t>鑫天泰</t>
    </r>
    <r>
      <rPr>
        <sz val="9"/>
        <rFont val="Arial"/>
        <family val="2"/>
      </rPr>
      <t>PO#20200623001</t>
    </r>
  </si>
  <si>
    <r>
      <rPr>
        <sz val="8"/>
        <color rgb="FFFF0000"/>
        <rFont val="华文楷体"/>
        <family val="3"/>
        <charset val="134"/>
      </rPr>
      <t>中润互联</t>
    </r>
    <r>
      <rPr>
        <sz val="8"/>
        <color rgb="FFFF0000"/>
        <rFont val="Arial"/>
        <family val="2"/>
      </rPr>
      <t>C49SZX20200058SS</t>
    </r>
    <phoneticPr fontId="3" type="noConversion"/>
  </si>
  <si>
    <r>
      <t>2020-7-1</t>
    </r>
    <r>
      <rPr>
        <sz val="9"/>
        <rFont val="华文楷体"/>
        <family val="3"/>
        <charset val="134"/>
      </rPr>
      <t>清关</t>
    </r>
    <phoneticPr fontId="3" type="noConversion"/>
  </si>
  <si>
    <r>
      <t>2020-7-6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</si>
  <si>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8"/>
        <rFont val="华文楷体"/>
        <family val="3"/>
        <charset val="134"/>
      </rPr>
      <t>借货上海，</t>
    </r>
    <r>
      <rPr>
        <sz val="8"/>
        <rFont val="Arial"/>
        <family val="2"/>
      </rPr>
      <t>2020-11-12</t>
    </r>
    <r>
      <rPr>
        <sz val="8"/>
        <rFont val="华文楷体"/>
        <family val="3"/>
        <charset val="134"/>
      </rPr>
      <t>归还上海</t>
    </r>
    <phoneticPr fontId="3" type="noConversion"/>
  </si>
  <si>
    <r>
      <t>11100440</t>
    </r>
    <r>
      <rPr>
        <sz val="8"/>
        <color rgb="FFFF0000"/>
        <rFont val="华文楷体"/>
        <family val="3"/>
        <charset val="134"/>
      </rPr>
      <t>银保山新</t>
    </r>
    <r>
      <rPr>
        <sz val="8"/>
        <color rgb="FFFF0000"/>
        <rFont val="Arial"/>
        <family val="2"/>
      </rPr>
      <t xml:space="preserve"> BS-SZGZ20071306-ZB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</si>
  <si>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PO#C66SZ20242REV.2</t>
    </r>
  </si>
  <si>
    <r>
      <rPr>
        <sz val="9"/>
        <rFont val="华文楷体"/>
        <family val="3"/>
        <charset val="134"/>
      </rPr>
      <t>好立泰</t>
    </r>
    <r>
      <rPr>
        <sz val="9"/>
        <rFont val="Arial"/>
        <family val="2"/>
      </rPr>
      <t>PO#C66SZ20259</t>
    </r>
  </si>
  <si>
    <r>
      <t xml:space="preserve"> </t>
    </r>
    <r>
      <rPr>
        <sz val="9"/>
        <rFont val="华文楷体"/>
        <family val="3"/>
        <charset val="134"/>
      </rPr>
      <t>西安青松新瑞（西安海龙）</t>
    </r>
    <r>
      <rPr>
        <sz val="9"/>
        <rFont val="Arial"/>
        <family val="2"/>
      </rPr>
      <t>C49XIY20200619/LJY</t>
    </r>
  </si>
  <si>
    <r>
      <rPr>
        <sz val="8"/>
        <color rgb="FFFF0000"/>
        <rFont val="华文楷体"/>
        <family val="3"/>
        <charset val="134"/>
      </rPr>
      <t>海星</t>
    </r>
    <r>
      <rPr>
        <sz val="8"/>
        <color rgb="FFFF0000"/>
        <rFont val="Arial"/>
        <family val="2"/>
      </rPr>
      <t>C49SZX20200087DZ</t>
    </r>
    <phoneticPr fontId="3" type="noConversion"/>
  </si>
  <si>
    <r>
      <rPr>
        <sz val="9"/>
        <rFont val="华文楷体"/>
        <family val="3"/>
        <charset val="134"/>
      </rPr>
      <t>海星</t>
    </r>
    <r>
      <rPr>
        <sz val="9"/>
        <rFont val="Arial"/>
        <family val="2"/>
      </rPr>
      <t>PO#H175294-BET-200702-</t>
    </r>
  </si>
  <si>
    <r>
      <rPr>
        <sz val="9"/>
        <rFont val="华文楷体"/>
        <family val="3"/>
        <charset val="134"/>
      </rPr>
      <t>河南辉煌</t>
    </r>
    <r>
      <rPr>
        <sz val="9"/>
        <rFont val="Arial"/>
        <family val="2"/>
      </rPr>
      <t>C49XIY20200622J/LJY</t>
    </r>
  </si>
  <si>
    <r>
      <rPr>
        <sz val="9"/>
        <rFont val="华文楷体"/>
        <family val="3"/>
        <charset val="134"/>
      </rPr>
      <t>兴开泰</t>
    </r>
    <r>
      <rPr>
        <sz val="9"/>
        <rFont val="Arial"/>
        <family val="2"/>
      </rPr>
      <t>PO#P580071717</t>
    </r>
  </si>
  <si>
    <r>
      <rPr>
        <sz val="9"/>
        <rFont val="华文楷体"/>
        <family val="3"/>
        <charset val="134"/>
      </rPr>
      <t>海星</t>
    </r>
    <r>
      <rPr>
        <sz val="9"/>
        <rFont val="Arial"/>
        <family val="2"/>
      </rPr>
      <t>PO#H175998-BET-200715</t>
    </r>
    <phoneticPr fontId="3" type="noConversion"/>
  </si>
  <si>
    <r>
      <t>2020-7-22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</si>
  <si>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江阴东瑞电气有限公司（</t>
    </r>
    <r>
      <rPr>
        <sz val="9"/>
        <rFont val="Arial"/>
        <family val="2"/>
      </rPr>
      <t>C66SHA20054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</si>
  <si>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成景</t>
    </r>
    <r>
      <rPr>
        <sz val="9"/>
        <rFont val="Arial"/>
        <family val="2"/>
      </rPr>
      <t>PO#C66SZ20282REV.2</t>
    </r>
  </si>
  <si>
    <r>
      <rPr>
        <sz val="8"/>
        <color rgb="FFFF0000"/>
        <rFont val="华文楷体"/>
        <family val="3"/>
        <charset val="134"/>
      </rPr>
      <t>成景</t>
    </r>
    <r>
      <rPr>
        <sz val="8"/>
        <color rgb="FFFF0000"/>
        <rFont val="Arial"/>
        <family val="2"/>
      </rPr>
      <t>C49SZX20200157SX</t>
    </r>
    <phoneticPr fontId="3" type="noConversion"/>
  </si>
  <si>
    <r>
      <rPr>
        <sz val="9"/>
        <rFont val="华文楷体"/>
        <family val="3"/>
        <charset val="134"/>
      </rPr>
      <t>百施达</t>
    </r>
    <r>
      <rPr>
        <sz val="9"/>
        <rFont val="Arial"/>
        <family val="2"/>
      </rPr>
      <t>PO#C66SZ20300</t>
    </r>
  </si>
  <si>
    <r>
      <rPr>
        <sz val="9"/>
        <rFont val="华文楷体"/>
        <family val="3"/>
        <charset val="134"/>
      </rPr>
      <t>江阴东瑞电气有限公司（</t>
    </r>
    <r>
      <rPr>
        <sz val="9"/>
        <rFont val="Arial"/>
        <family val="2"/>
      </rPr>
      <t>C66SHA20059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</si>
  <si>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海凌科达</t>
    </r>
    <r>
      <rPr>
        <sz val="9"/>
        <rFont val="Arial"/>
        <family val="2"/>
      </rPr>
      <t>PO#C66SZ20289</t>
    </r>
    <phoneticPr fontId="3" type="noConversion"/>
  </si>
  <si>
    <r>
      <rPr>
        <sz val="9"/>
        <rFont val="华文楷体"/>
        <family val="3"/>
        <charset val="134"/>
      </rPr>
      <t>上海多越</t>
    </r>
    <phoneticPr fontId="3" type="noConversion"/>
  </si>
  <si>
    <r>
      <t>11100444</t>
    </r>
    <r>
      <rPr>
        <sz val="8"/>
        <color rgb="FFFF0000"/>
        <rFont val="华文楷体"/>
        <family val="3"/>
        <charset val="134"/>
      </rPr>
      <t>通通旺</t>
    </r>
    <r>
      <rPr>
        <sz val="8"/>
        <color rgb="FFFF0000"/>
        <rFont val="Arial"/>
        <family val="2"/>
      </rPr>
      <t>C49SZX20200133JL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</si>
  <si>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PO#C66SZ20318REV.1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</si>
  <si>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PO#C66SZ20318REV.1</t>
    </r>
  </si>
  <si>
    <r>
      <rPr>
        <sz val="9"/>
        <rFont val="华文楷体"/>
        <family val="3"/>
        <charset val="134"/>
      </rPr>
      <t>兴丰源</t>
    </r>
    <r>
      <rPr>
        <sz val="9"/>
        <rFont val="Arial"/>
        <family val="2"/>
      </rPr>
      <t>PO#C66SZ20321-</t>
    </r>
    <phoneticPr fontId="3" type="noConversion"/>
  </si>
  <si>
    <r>
      <rPr>
        <sz val="9"/>
        <rFont val="华文楷体"/>
        <family val="3"/>
        <charset val="134"/>
      </rPr>
      <t>铭华永兴</t>
    </r>
    <r>
      <rPr>
        <sz val="9"/>
        <rFont val="Arial"/>
        <family val="2"/>
      </rPr>
      <t>PO#C66SZ20326REV.1</t>
    </r>
    <phoneticPr fontId="3" type="noConversion"/>
  </si>
  <si>
    <r>
      <t>2020-7-27</t>
    </r>
    <r>
      <rPr>
        <sz val="9"/>
        <rFont val="华文楷体"/>
        <family val="3"/>
        <charset val="134"/>
      </rPr>
      <t>清关</t>
    </r>
    <phoneticPr fontId="3" type="noConversion"/>
  </si>
  <si>
    <r>
      <t>2020-8-5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</si>
  <si>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领德创</t>
    </r>
    <r>
      <rPr>
        <sz val="9"/>
        <rFont val="Arial"/>
        <family val="2"/>
      </rPr>
      <t>PO#C66SZ20240REV.2</t>
    </r>
  </si>
  <si>
    <r>
      <rPr>
        <sz val="9"/>
        <rFont val="华文楷体"/>
        <family val="3"/>
        <charset val="134"/>
      </rPr>
      <t>晨日</t>
    </r>
    <r>
      <rPr>
        <sz val="9"/>
        <rFont val="Arial"/>
        <family val="2"/>
      </rPr>
      <t>PO#C66SZ20335REV.1</t>
    </r>
    <phoneticPr fontId="3" type="noConversion"/>
  </si>
  <si>
    <r>
      <rPr>
        <sz val="9"/>
        <rFont val="华文楷体"/>
        <family val="3"/>
        <charset val="134"/>
      </rPr>
      <t>中润互联</t>
    </r>
    <r>
      <rPr>
        <sz val="9"/>
        <rFont val="Arial"/>
        <family val="2"/>
      </rPr>
      <t>PO#C66SZ20340</t>
    </r>
  </si>
  <si>
    <r>
      <t>2020-8-27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</si>
  <si>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西安华科光</t>
    </r>
    <r>
      <rPr>
        <sz val="9"/>
        <rFont val="Arial"/>
        <family val="2"/>
      </rPr>
      <t>C66-SHA-20200824</t>
    </r>
    <phoneticPr fontId="3" type="noConversion"/>
  </si>
  <si>
    <t>还货上海</t>
    <phoneticPr fontId="3" type="noConversion"/>
  </si>
  <si>
    <r>
      <rPr>
        <sz val="9"/>
        <rFont val="华文楷体"/>
        <family val="3"/>
        <charset val="134"/>
      </rPr>
      <t>优品</t>
    </r>
    <r>
      <rPr>
        <sz val="9"/>
        <rFont val="Arial"/>
        <family val="2"/>
      </rPr>
      <t>PO#183477</t>
    </r>
  </si>
  <si>
    <r>
      <rPr>
        <sz val="9"/>
        <rFont val="华文楷体"/>
        <family val="3"/>
        <charset val="134"/>
      </rPr>
      <t>辉拓</t>
    </r>
    <r>
      <rPr>
        <sz val="9"/>
        <rFont val="Arial"/>
        <family val="2"/>
      </rPr>
      <t>PO#C66SZ20359</t>
    </r>
    <phoneticPr fontId="3" type="noConversion"/>
  </si>
  <si>
    <r>
      <rPr>
        <sz val="8"/>
        <color rgb="FFFF0000"/>
        <rFont val="华文楷体"/>
        <family val="3"/>
        <charset val="134"/>
      </rPr>
      <t>海星</t>
    </r>
    <r>
      <rPr>
        <sz val="8"/>
        <color rgb="FFFF0000"/>
        <rFont val="Arial"/>
        <family val="2"/>
      </rPr>
      <t>C49SZX20200123DZ</t>
    </r>
    <phoneticPr fontId="3" type="noConversion"/>
  </si>
  <si>
    <r>
      <t>2020-9-1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</si>
  <si>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南京昌德成</t>
    </r>
    <r>
      <rPr>
        <sz val="9"/>
        <rFont val="Arial"/>
        <family val="2"/>
      </rPr>
      <t>Q20SHGST147</t>
    </r>
  </si>
  <si>
    <r>
      <rPr>
        <sz val="9"/>
        <rFont val="华文楷体"/>
        <family val="3"/>
        <charset val="134"/>
      </rPr>
      <t>南京昌德成</t>
    </r>
    <r>
      <rPr>
        <sz val="9"/>
        <rFont val="Arial"/>
        <family val="2"/>
      </rPr>
      <t>Q20SHGST147</t>
    </r>
    <phoneticPr fontId="3" type="noConversion"/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</si>
  <si>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PO#LXD200916-</t>
    </r>
    <phoneticPr fontId="3" type="noConversion"/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</si>
  <si>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PO#LXD200916-</t>
    </r>
  </si>
  <si>
    <r>
      <rPr>
        <sz val="9"/>
        <rFont val="华文楷体"/>
        <family val="3"/>
        <charset val="134"/>
      </rPr>
      <t>首航</t>
    </r>
    <r>
      <rPr>
        <sz val="9"/>
        <rFont val="Arial"/>
        <family val="2"/>
      </rPr>
      <t>PO#C66SZ20336REV.1-</t>
    </r>
  </si>
  <si>
    <r>
      <rPr>
        <sz val="9"/>
        <rFont val="华文楷体"/>
        <family val="3"/>
        <charset val="134"/>
      </rPr>
      <t>天津金博信</t>
    </r>
    <r>
      <rPr>
        <sz val="9"/>
        <rFont val="Arial"/>
        <family val="2"/>
      </rPr>
      <t>20200910</t>
    </r>
  </si>
  <si>
    <r>
      <rPr>
        <sz val="8"/>
        <color rgb="FFFF0000"/>
        <rFont val="华文楷体"/>
        <family val="3"/>
        <charset val="134"/>
      </rPr>
      <t>刻锐</t>
    </r>
    <r>
      <rPr>
        <sz val="8"/>
        <color rgb="FFFF0000"/>
        <rFont val="Arial"/>
        <family val="2"/>
      </rPr>
      <t>C49SZX20200121JL</t>
    </r>
  </si>
  <si>
    <r>
      <rPr>
        <sz val="8"/>
        <color rgb="FFFF0000"/>
        <rFont val="华文楷体"/>
        <family val="3"/>
        <charset val="134"/>
      </rPr>
      <t>志华鑫</t>
    </r>
    <r>
      <rPr>
        <sz val="8"/>
        <color rgb="FFFF0000"/>
        <rFont val="Arial"/>
        <family val="2"/>
      </rPr>
      <t xml:space="preserve">C49SZX20200155JD </t>
    </r>
    <phoneticPr fontId="3" type="noConversion"/>
  </si>
  <si>
    <r>
      <rPr>
        <sz val="9"/>
        <rFont val="华文楷体"/>
        <family val="3"/>
        <charset val="134"/>
      </rPr>
      <t>兆晖</t>
    </r>
    <r>
      <rPr>
        <sz val="9"/>
        <rFont val="Arial"/>
        <family val="2"/>
      </rPr>
      <t>PO#C66SZ20370REV.1</t>
    </r>
  </si>
  <si>
    <r>
      <t>2020-9-16</t>
    </r>
    <r>
      <rPr>
        <sz val="9"/>
        <rFont val="华文楷体"/>
        <family val="3"/>
        <charset val="134"/>
      </rPr>
      <t>清关</t>
    </r>
    <phoneticPr fontId="3" type="noConversion"/>
  </si>
  <si>
    <r>
      <t>2020-9-22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</si>
  <si>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8"/>
        <color rgb="FFFF0000"/>
        <rFont val="华文楷体"/>
        <family val="3"/>
        <charset val="134"/>
      </rPr>
      <t>日东</t>
    </r>
    <r>
      <rPr>
        <sz val="8"/>
        <color rgb="FFFF0000"/>
        <rFont val="Arial"/>
        <family val="2"/>
      </rPr>
      <t>C49SZX20200173MX</t>
    </r>
  </si>
  <si>
    <r>
      <t>2020-9-28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</si>
  <si>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泉盛电子</t>
    </r>
    <phoneticPr fontId="3" type="noConversion"/>
  </si>
  <si>
    <r>
      <t>11100446</t>
    </r>
    <r>
      <rPr>
        <sz val="8"/>
        <color rgb="FFFF0000"/>
        <rFont val="华文楷体"/>
        <family val="3"/>
        <charset val="134"/>
      </rPr>
      <t>利速达</t>
    </r>
    <r>
      <rPr>
        <sz val="8"/>
        <color rgb="FFFF0000"/>
        <rFont val="Arial"/>
        <family val="2"/>
      </rPr>
      <t>C49SZX20200168SX</t>
    </r>
    <phoneticPr fontId="3" type="noConversion"/>
  </si>
  <si>
    <r>
      <rPr>
        <sz val="9"/>
        <rFont val="华文楷体"/>
        <family val="3"/>
        <charset val="134"/>
      </rPr>
      <t>崧盛</t>
    </r>
    <r>
      <rPr>
        <sz val="9"/>
        <rFont val="Arial"/>
        <family val="2"/>
      </rPr>
      <t>SOS-QF-ST-06/A</t>
    </r>
    <phoneticPr fontId="3" type="noConversion"/>
  </si>
  <si>
    <r>
      <rPr>
        <sz val="9"/>
        <rFont val="华文楷体"/>
        <family val="3"/>
        <charset val="134"/>
      </rPr>
      <t>南京傲屹电子有限公司（</t>
    </r>
    <r>
      <rPr>
        <sz val="9"/>
        <rFont val="Arial"/>
        <family val="2"/>
      </rPr>
      <t>C66SHA20089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</si>
  <si>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南京傲屹电子有限公司（</t>
    </r>
    <r>
      <rPr>
        <sz val="9"/>
        <rFont val="Arial"/>
        <family val="2"/>
      </rPr>
      <t>C66SHA20089</t>
    </r>
    <r>
      <rPr>
        <sz val="9"/>
        <rFont val="华文楷体"/>
        <family val="3"/>
        <charset val="134"/>
      </rPr>
      <t>）</t>
    </r>
  </si>
  <si>
    <r>
      <t>2020-10-23</t>
    </r>
    <r>
      <rPr>
        <sz val="9"/>
        <rFont val="华文楷体"/>
        <family val="3"/>
        <charset val="134"/>
      </rPr>
      <t>清关</t>
    </r>
    <phoneticPr fontId="3" type="noConversion"/>
  </si>
  <si>
    <r>
      <t>2020-10-27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</si>
  <si>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维众</t>
    </r>
    <r>
      <rPr>
        <sz val="9"/>
        <rFont val="Arial"/>
        <family val="2"/>
      </rPr>
      <t>PO#C66SZ20019REV.3</t>
    </r>
    <phoneticPr fontId="3" type="noConversion"/>
  </si>
  <si>
    <r>
      <t xml:space="preserve"> </t>
    </r>
    <r>
      <rPr>
        <sz val="9"/>
        <rFont val="华文楷体"/>
        <family val="3"/>
        <charset val="134"/>
      </rPr>
      <t>斯路迅</t>
    </r>
    <r>
      <rPr>
        <sz val="9"/>
        <rFont val="Arial"/>
        <family val="2"/>
      </rPr>
      <t>PO#C66SZ20427REV.2</t>
    </r>
    <phoneticPr fontId="3" type="noConversion"/>
  </si>
  <si>
    <r>
      <rPr>
        <sz val="8"/>
        <color rgb="FFFF0000"/>
        <rFont val="宋体"/>
        <family val="2"/>
        <charset val="134"/>
      </rPr>
      <t>拓新伟业</t>
    </r>
    <r>
      <rPr>
        <sz val="8"/>
        <color rgb="FFFF0000"/>
        <rFont val="Arial"/>
        <family val="2"/>
      </rPr>
      <t>C49SZX20200220SX</t>
    </r>
    <phoneticPr fontId="3" type="noConversion"/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</si>
  <si>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PO#C66SZ20435</t>
    </r>
    <phoneticPr fontId="3" type="noConversion"/>
  </si>
  <si>
    <r>
      <rPr>
        <sz val="9"/>
        <rFont val="华文楷体"/>
        <family val="3"/>
        <charset val="134"/>
      </rPr>
      <t>晨鑫达</t>
    </r>
    <r>
      <rPr>
        <sz val="9"/>
        <rFont val="Arial"/>
        <family val="2"/>
      </rPr>
      <t>PO#C66SZ20425</t>
    </r>
    <phoneticPr fontId="3" type="noConversion"/>
  </si>
  <si>
    <r>
      <t>2020-11-2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</si>
  <si>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崧盛</t>
    </r>
    <r>
      <rPr>
        <sz val="9"/>
        <rFont val="Arial"/>
        <family val="2"/>
      </rPr>
      <t>PO#C66SZ20412</t>
    </r>
    <phoneticPr fontId="3" type="noConversion"/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</si>
  <si>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PO#C66SZ20401REV.2</t>
    </r>
    <phoneticPr fontId="3" type="noConversion"/>
  </si>
  <si>
    <r>
      <rPr>
        <sz val="9"/>
        <rFont val="华文楷体"/>
        <family val="3"/>
        <charset val="134"/>
      </rPr>
      <t>南京傲屹电子有限公司（</t>
    </r>
    <r>
      <rPr>
        <sz val="9"/>
        <rFont val="Arial"/>
        <family val="2"/>
      </rPr>
      <t>C66SHA20096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</si>
  <si>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8"/>
        <color rgb="FFFF0000"/>
        <rFont val="宋体"/>
        <family val="2"/>
        <charset val="134"/>
      </rPr>
      <t>嘉普达</t>
    </r>
    <r>
      <rPr>
        <sz val="8"/>
        <color rgb="FFFF0000"/>
        <rFont val="Arial"/>
        <family val="2"/>
      </rPr>
      <t>C49SZX20200140RSX</t>
    </r>
    <phoneticPr fontId="3" type="noConversion"/>
  </si>
  <si>
    <r>
      <rPr>
        <sz val="8"/>
        <rFont val="宋体"/>
        <family val="2"/>
        <charset val="134"/>
      </rPr>
      <t>系统多</t>
    </r>
    <r>
      <rPr>
        <sz val="8"/>
        <rFont val="Arial"/>
        <family val="2"/>
      </rPr>
      <t>pick 1pc</t>
    </r>
    <phoneticPr fontId="3" type="noConversion"/>
  </si>
  <si>
    <r>
      <rPr>
        <sz val="8"/>
        <color rgb="FFFF0000"/>
        <rFont val="华文楷体"/>
        <family val="3"/>
        <charset val="134"/>
      </rPr>
      <t>亿莱</t>
    </r>
    <r>
      <rPr>
        <sz val="8"/>
        <color rgb="FFFF0000"/>
        <rFont val="Arial"/>
        <family val="2"/>
      </rPr>
      <t>C49SZX20200187SX</t>
    </r>
    <phoneticPr fontId="3" type="noConversion"/>
  </si>
  <si>
    <r>
      <rPr>
        <sz val="8"/>
        <color rgb="FFFF0000"/>
        <rFont val="华文楷体"/>
        <family val="3"/>
        <charset val="134"/>
      </rPr>
      <t>刻锐</t>
    </r>
    <r>
      <rPr>
        <sz val="8"/>
        <color rgb="FFFF0000"/>
        <rFont val="Arial"/>
        <family val="2"/>
      </rPr>
      <t>C49SZX20200121JL</t>
    </r>
    <phoneticPr fontId="3" type="noConversion"/>
  </si>
  <si>
    <r>
      <rPr>
        <sz val="9"/>
        <rFont val="华文楷体"/>
        <family val="3"/>
        <charset val="134"/>
      </rPr>
      <t>乐清市启程电气有限公司</t>
    </r>
    <r>
      <rPr>
        <sz val="9"/>
        <rFont val="Arial"/>
        <family val="2"/>
      </rPr>
      <t>Q20SHGST200R</t>
    </r>
    <phoneticPr fontId="3" type="noConversion"/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</si>
  <si>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C66SHA20106</t>
    </r>
    <phoneticPr fontId="3" type="noConversion"/>
  </si>
  <si>
    <r>
      <rPr>
        <sz val="9"/>
        <rFont val="华文楷体"/>
        <family val="3"/>
        <charset val="134"/>
      </rPr>
      <t>利速达</t>
    </r>
    <r>
      <rPr>
        <sz val="9"/>
        <rFont val="Arial"/>
        <family val="2"/>
      </rPr>
      <t>PO#C66SZ20458REV.1</t>
    </r>
    <phoneticPr fontId="3" type="noConversion"/>
  </si>
  <si>
    <r>
      <rPr>
        <sz val="9"/>
        <rFont val="华文楷体"/>
        <family val="3"/>
        <charset val="134"/>
      </rPr>
      <t>利速达</t>
    </r>
    <r>
      <rPr>
        <sz val="9"/>
        <rFont val="Arial"/>
        <family val="2"/>
      </rPr>
      <t>PO#C66SZ20458REV.1</t>
    </r>
  </si>
  <si>
    <r>
      <rPr>
        <sz val="9"/>
        <rFont val="华文楷体"/>
        <family val="3"/>
        <charset val="134"/>
      </rPr>
      <t>保凌</t>
    </r>
    <r>
      <rPr>
        <sz val="9"/>
        <rFont val="Arial"/>
        <family val="2"/>
      </rPr>
      <t>PO#C66SZ20464</t>
    </r>
    <phoneticPr fontId="3" type="noConversion"/>
  </si>
  <si>
    <r>
      <rPr>
        <sz val="9"/>
        <rFont val="华文楷体"/>
        <family val="3"/>
        <charset val="134"/>
      </rPr>
      <t>昊亮迪</t>
    </r>
    <r>
      <rPr>
        <sz val="9"/>
        <rFont val="Arial"/>
        <family val="2"/>
      </rPr>
      <t>PO#C66SZ20370REV.1</t>
    </r>
    <phoneticPr fontId="3" type="noConversion"/>
  </si>
  <si>
    <r>
      <rPr>
        <sz val="9"/>
        <rFont val="华文楷体"/>
        <family val="3"/>
        <charset val="134"/>
      </rPr>
      <t>灿明</t>
    </r>
    <r>
      <rPr>
        <sz val="9"/>
        <rFont val="Arial"/>
        <family val="2"/>
      </rPr>
      <t>PO#C66SZ20479</t>
    </r>
  </si>
  <si>
    <r>
      <rPr>
        <sz val="9"/>
        <rFont val="华文楷体"/>
        <family val="3"/>
        <charset val="134"/>
      </rPr>
      <t>飞业泰</t>
    </r>
    <r>
      <rPr>
        <sz val="9"/>
        <rFont val="Arial"/>
        <family val="2"/>
      </rPr>
      <t>PO#C66SZ20462REV.1-</t>
    </r>
  </si>
  <si>
    <r>
      <rPr>
        <sz val="8"/>
        <color rgb="FFFF0000"/>
        <rFont val="宋体"/>
        <family val="2"/>
        <charset val="134"/>
      </rPr>
      <t>惠宇</t>
    </r>
    <r>
      <rPr>
        <sz val="8"/>
        <color rgb="FFFF0000"/>
        <rFont val="Arial"/>
        <family val="2"/>
      </rPr>
      <t>20210040DY</t>
    </r>
    <phoneticPr fontId="3" type="noConversion"/>
  </si>
  <si>
    <t>欧科讯20210085JL</t>
    <phoneticPr fontId="3" type="noConversion"/>
  </si>
  <si>
    <r>
      <rPr>
        <sz val="9"/>
        <rFont val="华文楷体"/>
        <family val="3"/>
        <charset val="134"/>
      </rPr>
      <t>江苏中科朗恩斯车辆科技有限公司（</t>
    </r>
    <r>
      <rPr>
        <sz val="9"/>
        <rFont val="Arial"/>
        <family val="2"/>
      </rPr>
      <t>C66SHA20111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</si>
  <si>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PO#C66SZ20495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</si>
  <si>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PO#C66SZ20496</t>
    </r>
    <phoneticPr fontId="3" type="noConversion"/>
  </si>
  <si>
    <r>
      <rPr>
        <sz val="9"/>
        <rFont val="华文楷体"/>
        <family val="3"/>
        <charset val="134"/>
      </rPr>
      <t>宏威创</t>
    </r>
    <r>
      <rPr>
        <sz val="9"/>
        <rFont val="Arial"/>
        <family val="2"/>
      </rPr>
      <t>PO#C66SZ20484REV.1</t>
    </r>
    <phoneticPr fontId="3" type="noConversion"/>
  </si>
  <si>
    <r>
      <rPr>
        <sz val="9"/>
        <rFont val="华文楷体"/>
        <family val="3"/>
        <charset val="134"/>
      </rPr>
      <t>宏威创</t>
    </r>
    <r>
      <rPr>
        <sz val="9"/>
        <rFont val="Arial"/>
        <family val="2"/>
      </rPr>
      <t>PO#C66SZ20484REV.1</t>
    </r>
  </si>
  <si>
    <r>
      <rPr>
        <sz val="9"/>
        <rFont val="华文楷体"/>
        <family val="3"/>
        <charset val="134"/>
      </rPr>
      <t>营口新山鹰</t>
    </r>
    <r>
      <rPr>
        <sz val="9"/>
        <rFont val="Arial"/>
        <family val="2"/>
      </rPr>
      <t xml:space="preserve">20201125-1 </t>
    </r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</si>
  <si>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C66SHA20115</t>
    </r>
    <r>
      <rPr>
        <sz val="9"/>
        <rFont val="华文楷体"/>
        <family val="3"/>
        <charset val="134"/>
      </rPr>
      <t>）</t>
    </r>
    <phoneticPr fontId="3" type="noConversion"/>
  </si>
  <si>
    <t>惠宇20210040DY</t>
    <phoneticPr fontId="3" type="noConversion"/>
  </si>
  <si>
    <r>
      <rPr>
        <sz val="9"/>
        <rFont val="华文楷体"/>
        <family val="3"/>
        <charset val="134"/>
      </rPr>
      <t>光瑞兴</t>
    </r>
    <r>
      <rPr>
        <sz val="9"/>
        <rFont val="Arial"/>
        <family val="2"/>
      </rPr>
      <t>PO#C66SZ20515</t>
    </r>
  </si>
  <si>
    <r>
      <t>2020-12-9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</si>
  <si>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达人</t>
    </r>
    <r>
      <rPr>
        <sz val="9"/>
        <rFont val="Arial"/>
        <family val="2"/>
      </rPr>
      <t>PO#C66SZ20529-</t>
    </r>
  </si>
  <si>
    <r>
      <rPr>
        <sz val="9"/>
        <rFont val="华文楷体"/>
        <family val="3"/>
        <charset val="134"/>
      </rPr>
      <t>达人</t>
    </r>
    <r>
      <rPr>
        <sz val="9"/>
        <rFont val="Arial"/>
        <family val="2"/>
      </rPr>
      <t>PO#C66SZ20529-</t>
    </r>
    <phoneticPr fontId="3" type="noConversion"/>
  </si>
  <si>
    <r>
      <rPr>
        <sz val="9"/>
        <color theme="1"/>
        <rFont val="华文楷体"/>
        <family val="3"/>
        <charset val="134"/>
      </rPr>
      <t>还没发货</t>
    </r>
    <phoneticPr fontId="3" type="noConversion"/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</si>
  <si>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C66SHA20121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</si>
  <si>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余姚市灵通电器有限公司</t>
    </r>
    <r>
      <rPr>
        <sz val="9"/>
        <rFont val="Arial"/>
        <family val="2"/>
      </rPr>
      <t xml:space="preserve"> </t>
    </r>
    <r>
      <rPr>
        <sz val="9"/>
        <rFont val="华文楷体"/>
        <family val="3"/>
        <charset val="134"/>
      </rPr>
      <t>（</t>
    </r>
    <r>
      <rPr>
        <sz val="9"/>
        <rFont val="Arial"/>
        <family val="2"/>
      </rPr>
      <t>C66SHA20123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</si>
  <si>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博尔鑫</t>
    </r>
    <r>
      <rPr>
        <sz val="9"/>
        <rFont val="Arial"/>
        <family val="2"/>
      </rPr>
      <t>PO#C66SZ20519</t>
    </r>
  </si>
  <si>
    <t>Misc=out</t>
    <phoneticPr fontId="3" type="noConversion"/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</si>
  <si>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C66SHA20113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</si>
  <si>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福建泉盛电子（</t>
    </r>
    <r>
      <rPr>
        <sz val="9"/>
        <rFont val="Arial"/>
        <family val="2"/>
      </rPr>
      <t>C66SHA20118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</si>
  <si>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上海办借用</t>
    </r>
    <phoneticPr fontId="3" type="noConversion"/>
  </si>
  <si>
    <r>
      <rPr>
        <sz val="8"/>
        <color rgb="FFFF0000"/>
        <rFont val="宋体"/>
        <family val="2"/>
        <charset val="134"/>
      </rPr>
      <t>拓新伟业</t>
    </r>
    <r>
      <rPr>
        <sz val="8"/>
        <color rgb="FFFF0000"/>
        <rFont val="Arial"/>
        <family val="2"/>
      </rPr>
      <t>C49SZX20210175SX</t>
    </r>
    <phoneticPr fontId="3" type="noConversion"/>
  </si>
  <si>
    <t>蓝泰翔C49SZX20210110SS</t>
    <phoneticPr fontId="3" type="noConversion"/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</si>
  <si>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PO#C66SZ20107REV.3</t>
    </r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</si>
  <si>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C66SHA20130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</si>
  <si>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杭州利嘉城电气有限公司（</t>
    </r>
    <r>
      <rPr>
        <sz val="9"/>
        <rFont val="Arial"/>
        <family val="2"/>
      </rPr>
      <t>C66SHA20128</t>
    </r>
    <r>
      <rPr>
        <sz val="9"/>
        <rFont val="华文楷体"/>
        <family val="3"/>
        <charset val="134"/>
      </rPr>
      <t>）</t>
    </r>
  </si>
  <si>
    <t>保凌20210015SS</t>
    <phoneticPr fontId="3" type="noConversion"/>
  </si>
  <si>
    <r>
      <rPr>
        <sz val="9"/>
        <rFont val="微软雅黑"/>
        <family val="2"/>
        <charset val="134"/>
      </rPr>
      <t>上海和贤电子科技有限公司（</t>
    </r>
    <r>
      <rPr>
        <sz val="9"/>
        <rFont val="Arial"/>
        <family val="2"/>
      </rPr>
      <t>C66SHA20135</t>
    </r>
    <phoneticPr fontId="3" type="noConversion"/>
  </si>
  <si>
    <t>清关</t>
    <phoneticPr fontId="3" type="noConversion"/>
  </si>
  <si>
    <r>
      <t>2021-1-14</t>
    </r>
    <r>
      <rPr>
        <sz val="9"/>
        <rFont val="宋体"/>
        <family val="2"/>
        <charset val="134"/>
      </rPr>
      <t>清关</t>
    </r>
    <phoneticPr fontId="3" type="noConversion"/>
  </si>
  <si>
    <r>
      <t>福建泉盛</t>
    </r>
    <r>
      <rPr>
        <sz val="9"/>
        <rFont val="Arial"/>
        <family val="2"/>
      </rPr>
      <t>Q20SHGST158R1</t>
    </r>
  </si>
  <si>
    <r>
      <t>2021-2-25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</si>
  <si>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8"/>
        <color rgb="FFFF0000"/>
        <rFont val="宋体"/>
        <family val="2"/>
        <charset val="134"/>
      </rPr>
      <t>美田20210048</t>
    </r>
    <r>
      <rPr>
        <sz val="8"/>
        <color rgb="FFFF0000"/>
        <rFont val="Arial"/>
        <family val="2"/>
      </rPr>
      <t>SS</t>
    </r>
    <phoneticPr fontId="3" type="noConversion"/>
  </si>
  <si>
    <r>
      <rPr>
        <sz val="8"/>
        <color rgb="FFFF0000"/>
        <rFont val="宋体"/>
        <family val="2"/>
        <charset val="134"/>
      </rPr>
      <t>嘉裕202100161</t>
    </r>
    <r>
      <rPr>
        <sz val="8"/>
        <color rgb="FFFF0000"/>
        <rFont val="Arial"/>
        <family val="2"/>
      </rPr>
      <t>DZ</t>
    </r>
    <phoneticPr fontId="3" type="noConversion"/>
  </si>
  <si>
    <t>西安海通广电设备有限公司（C66SHA20140）</t>
    <phoneticPr fontId="3" type="noConversion"/>
  </si>
  <si>
    <r>
      <t xml:space="preserve"> </t>
    </r>
    <r>
      <rPr>
        <sz val="9"/>
        <rFont val="宋体"/>
        <family val="3"/>
        <charset val="134"/>
      </rPr>
      <t>钧溢</t>
    </r>
    <r>
      <rPr>
        <sz val="9"/>
        <rFont val="Arial"/>
        <family val="2"/>
      </rPr>
      <t>PO#C66SZ21067</t>
    </r>
    <phoneticPr fontId="3" type="noConversion"/>
  </si>
  <si>
    <r>
      <t>东莞埃迪</t>
    </r>
    <r>
      <rPr>
        <sz val="9"/>
        <rFont val="Arial"/>
        <family val="2"/>
      </rPr>
      <t>PO#C66SZ21073</t>
    </r>
  </si>
  <si>
    <t>还没发货</t>
    <phoneticPr fontId="3" type="noConversion"/>
  </si>
  <si>
    <r>
      <t>凌鑫</t>
    </r>
    <r>
      <rPr>
        <sz val="9"/>
        <rFont val="Arial"/>
        <family val="2"/>
      </rPr>
      <t>PO#LXD210312025</t>
    </r>
    <phoneticPr fontId="3" type="noConversion"/>
  </si>
  <si>
    <t>耕创PO#GCL21030154</t>
    <phoneticPr fontId="3" type="noConversion"/>
  </si>
  <si>
    <r>
      <rPr>
        <sz val="9"/>
        <rFont val="微软雅黑"/>
        <family val="2"/>
        <charset val="134"/>
      </rPr>
      <t>无锡莱顿电子有限公司（</t>
    </r>
    <r>
      <rPr>
        <sz val="9"/>
        <rFont val="Arial"/>
        <family val="2"/>
      </rPr>
      <t>C66SHA21008</t>
    </r>
    <r>
      <rPr>
        <sz val="9"/>
        <rFont val="微软雅黑"/>
        <family val="2"/>
        <charset val="134"/>
      </rPr>
      <t>）</t>
    </r>
    <phoneticPr fontId="3" type="noConversion"/>
  </si>
  <si>
    <r>
      <rPr>
        <sz val="9"/>
        <rFont val="微软雅黑"/>
        <family val="2"/>
        <charset val="134"/>
      </rPr>
      <t>宁波万芯诚</t>
    </r>
    <r>
      <rPr>
        <sz val="9"/>
        <rFont val="Arial"/>
        <family val="2"/>
      </rPr>
      <t>(C66SHA21002</t>
    </r>
    <r>
      <rPr>
        <sz val="9"/>
        <rFont val="微软雅黑"/>
        <family val="2"/>
        <charset val="134"/>
      </rPr>
      <t>）</t>
    </r>
    <phoneticPr fontId="3" type="noConversion"/>
  </si>
  <si>
    <r>
      <rPr>
        <sz val="9"/>
        <rFont val="宋体"/>
        <family val="2"/>
        <charset val="134"/>
      </rPr>
      <t>东之鸣（台州）电子科技有限公司（</t>
    </r>
    <r>
      <rPr>
        <sz val="9"/>
        <rFont val="Arial"/>
        <family val="2"/>
      </rPr>
      <t>C66SHA21001</t>
    </r>
    <r>
      <rPr>
        <sz val="9"/>
        <rFont val="宋体"/>
        <family val="2"/>
        <charset val="134"/>
      </rPr>
      <t>）</t>
    </r>
    <phoneticPr fontId="3" type="noConversion"/>
  </si>
  <si>
    <t>宁波朗能电子有限公司Q21SHGST003</t>
    <phoneticPr fontId="3" type="noConversion"/>
  </si>
  <si>
    <r>
      <t>2021-4-9</t>
    </r>
    <r>
      <rPr>
        <sz val="9"/>
        <rFont val="华文楷体"/>
        <family val="3"/>
        <charset val="134"/>
      </rPr>
      <t>清关</t>
    </r>
    <phoneticPr fontId="3" type="noConversion"/>
  </si>
  <si>
    <r>
      <t>2021-4-19</t>
    </r>
    <r>
      <rPr>
        <sz val="9"/>
        <rFont val="华文楷体"/>
        <family val="3"/>
        <charset val="134"/>
      </rPr>
      <t>清关</t>
    </r>
    <phoneticPr fontId="3" type="noConversion"/>
  </si>
  <si>
    <r>
      <t>2021-4-22</t>
    </r>
    <r>
      <rPr>
        <sz val="9"/>
        <rFont val="华文楷体"/>
        <family val="3"/>
        <charset val="134"/>
      </rPr>
      <t>清关</t>
    </r>
    <phoneticPr fontId="3" type="noConversion"/>
  </si>
  <si>
    <r>
      <t>2021-4-26</t>
    </r>
    <r>
      <rPr>
        <sz val="9"/>
        <rFont val="华文楷体"/>
        <family val="3"/>
        <charset val="134"/>
      </rPr>
      <t>清关</t>
    </r>
    <phoneticPr fontId="3" type="noConversion"/>
  </si>
  <si>
    <r>
      <t>上海多越</t>
    </r>
    <r>
      <rPr>
        <sz val="9"/>
        <rFont val="Arial"/>
        <family val="2"/>
      </rPr>
      <t>C49SHA20210326</t>
    </r>
  </si>
  <si>
    <t>宁波汉浦工具有限公司（C66SHA21013）</t>
  </si>
  <si>
    <r>
      <rPr>
        <sz val="9"/>
        <rFont val="宋体"/>
        <family val="2"/>
        <charset val="134"/>
      </rPr>
      <t>达人高科</t>
    </r>
    <r>
      <rPr>
        <sz val="9"/>
        <rFont val="Arial"/>
        <family val="2"/>
      </rPr>
      <t>PO#3301 20210507010</t>
    </r>
    <phoneticPr fontId="3" type="noConversion"/>
  </si>
  <si>
    <r>
      <t>2021-5-6</t>
    </r>
    <r>
      <rPr>
        <sz val="9"/>
        <rFont val="华文楷体"/>
        <family val="3"/>
        <charset val="134"/>
      </rPr>
      <t>清关</t>
    </r>
    <phoneticPr fontId="3" type="noConversion"/>
  </si>
  <si>
    <r>
      <t>2021-5-11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</si>
  <si>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微软雅黑"/>
        <family val="2"/>
        <charset val="134"/>
      </rPr>
      <t>惠州城宇</t>
    </r>
    <r>
      <rPr>
        <sz val="9"/>
        <rFont val="Arial"/>
        <family val="2"/>
      </rPr>
      <t>PO#C66SZ21196REV1</t>
    </r>
    <phoneticPr fontId="3" type="noConversion"/>
  </si>
  <si>
    <r>
      <t>派诺</t>
    </r>
    <r>
      <rPr>
        <sz val="9"/>
        <rFont val="Arial"/>
        <family val="2"/>
      </rPr>
      <t>PO#CGDD21050036</t>
    </r>
    <phoneticPr fontId="3" type="noConversion"/>
  </si>
  <si>
    <r>
      <rPr>
        <sz val="9"/>
        <rFont val="宋体"/>
        <family val="2"/>
        <charset val="134"/>
      </rPr>
      <t>岚新城宇</t>
    </r>
    <r>
      <rPr>
        <sz val="9"/>
        <rFont val="Arial"/>
        <family val="2"/>
      </rPr>
      <t>-PO#C66SZ21214REV1</t>
    </r>
    <phoneticPr fontId="3" type="noConversion"/>
  </si>
  <si>
    <r>
      <t>2021-5-21</t>
    </r>
    <r>
      <rPr>
        <sz val="9"/>
        <rFont val="华文楷体"/>
        <family val="3"/>
        <charset val="134"/>
      </rPr>
      <t>清关</t>
    </r>
    <phoneticPr fontId="3" type="noConversion"/>
  </si>
  <si>
    <t>上海项如电子科技有限公司 （C66SHA21022）</t>
  </si>
  <si>
    <r>
      <rPr>
        <sz val="9"/>
        <rFont val="微软雅黑"/>
        <family val="2"/>
        <charset val="134"/>
      </rPr>
      <t>上海项如电子科技有限公司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C66SHA21022</t>
    </r>
    <r>
      <rPr>
        <sz val="9"/>
        <rFont val="微软雅黑"/>
        <family val="2"/>
        <charset val="134"/>
      </rPr>
      <t>）</t>
    </r>
    <phoneticPr fontId="3" type="noConversion"/>
  </si>
  <si>
    <r>
      <rPr>
        <sz val="9"/>
        <rFont val="宋体"/>
        <family val="2"/>
        <charset val="134"/>
      </rPr>
      <t>上海科特新材料股份有限公司</t>
    </r>
    <r>
      <rPr>
        <sz val="9"/>
        <rFont val="Arial"/>
        <family val="2"/>
      </rPr>
      <t xml:space="preserve"> </t>
    </r>
    <r>
      <rPr>
        <sz val="9"/>
        <rFont val="宋体"/>
        <family val="2"/>
        <charset val="134"/>
      </rPr>
      <t>（</t>
    </r>
    <r>
      <rPr>
        <sz val="9"/>
        <rFont val="Arial"/>
        <family val="2"/>
      </rPr>
      <t>C66SHA21021</t>
    </r>
    <r>
      <rPr>
        <sz val="9"/>
        <rFont val="宋体"/>
        <family val="2"/>
        <charset val="134"/>
      </rPr>
      <t>）</t>
    </r>
    <phoneticPr fontId="3" type="noConversion"/>
  </si>
  <si>
    <r>
      <t>2021-5-25</t>
    </r>
    <r>
      <rPr>
        <sz val="9"/>
        <rFont val="华文楷体"/>
        <family val="3"/>
        <charset val="134"/>
      </rPr>
      <t>清关</t>
    </r>
    <phoneticPr fontId="3" type="noConversion"/>
  </si>
  <si>
    <r>
      <t>2021-6-1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</si>
  <si>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宋体"/>
        <family val="2"/>
        <charset val="134"/>
      </rPr>
      <t>铁甲</t>
    </r>
    <r>
      <rPr>
        <sz val="9"/>
        <rFont val="Arial"/>
        <family val="2"/>
      </rPr>
      <t>PO#C66SZ21227REV1</t>
    </r>
    <phoneticPr fontId="3" type="noConversion"/>
  </si>
  <si>
    <r>
      <rPr>
        <sz val="9"/>
        <rFont val="宋体"/>
        <family val="2"/>
        <charset val="134"/>
      </rPr>
      <t>安费诺永亿（海盐）（</t>
    </r>
    <r>
      <rPr>
        <sz val="9"/>
        <rFont val="Arial"/>
        <family val="2"/>
      </rPr>
      <t>C66SHA21024</t>
    </r>
    <phoneticPr fontId="3" type="noConversion"/>
  </si>
  <si>
    <r>
      <rPr>
        <sz val="9"/>
        <rFont val="宋体"/>
        <family val="2"/>
        <charset val="134"/>
      </rPr>
      <t>西安海龙（</t>
    </r>
    <r>
      <rPr>
        <sz val="9"/>
        <rFont val="Arial"/>
        <family val="2"/>
      </rPr>
      <t>C66SHA21028</t>
    </r>
    <phoneticPr fontId="3" type="noConversion"/>
  </si>
  <si>
    <r>
      <rPr>
        <sz val="8"/>
        <color rgb="FFFF0000"/>
        <rFont val="宋体"/>
        <family val="2"/>
        <charset val="134"/>
      </rPr>
      <t>湖北奕宏</t>
    </r>
    <r>
      <rPr>
        <sz val="8"/>
        <color rgb="FFFF0000"/>
        <rFont val="Arial"/>
        <family val="2"/>
      </rPr>
      <t xml:space="preserve"> C49SZX20210199SS</t>
    </r>
    <phoneticPr fontId="3" type="noConversion"/>
  </si>
  <si>
    <r>
      <rPr>
        <sz val="9"/>
        <rFont val="宋体"/>
        <family val="2"/>
        <charset val="134"/>
      </rPr>
      <t>江苏华骋</t>
    </r>
    <r>
      <rPr>
        <sz val="9"/>
        <rFont val="Arial"/>
        <family val="2"/>
      </rPr>
      <t>(C66SHA21033)</t>
    </r>
    <phoneticPr fontId="3" type="noConversion"/>
  </si>
  <si>
    <t xml:space="preserve">66F </t>
    <phoneticPr fontId="3" type="noConversion"/>
  </si>
  <si>
    <r>
      <rPr>
        <sz val="9"/>
        <rFont val="宋体"/>
        <family val="2"/>
        <charset val="134"/>
      </rPr>
      <t>江苏镭通智能制造有限公司</t>
    </r>
    <r>
      <rPr>
        <sz val="9"/>
        <rFont val="Arial"/>
        <family val="2"/>
      </rPr>
      <t>(C66SHA21030)</t>
    </r>
    <phoneticPr fontId="3" type="noConversion"/>
  </si>
  <si>
    <r>
      <t xml:space="preserve"> </t>
    </r>
    <r>
      <rPr>
        <sz val="9"/>
        <rFont val="宋体"/>
        <family val="2"/>
        <charset val="134"/>
      </rPr>
      <t>北京恒立信</t>
    </r>
    <r>
      <rPr>
        <sz val="9"/>
        <rFont val="Arial"/>
        <family val="2"/>
      </rPr>
      <t xml:space="preserve"> C49BJS20210518LHR</t>
    </r>
    <phoneticPr fontId="3" type="noConversion"/>
  </si>
  <si>
    <t xml:space="preserve">  </t>
    <phoneticPr fontId="3" type="noConversion"/>
  </si>
  <si>
    <r>
      <rPr>
        <sz val="9"/>
        <rFont val="宋体"/>
        <family val="2"/>
        <charset val="134"/>
      </rPr>
      <t>金晟晖</t>
    </r>
    <r>
      <rPr>
        <sz val="9"/>
        <rFont val="Arial"/>
        <family val="2"/>
      </rPr>
      <t>PO#C66SZ21248REV1</t>
    </r>
    <phoneticPr fontId="3" type="noConversion"/>
  </si>
  <si>
    <r>
      <t>2021-6-22</t>
    </r>
    <r>
      <rPr>
        <sz val="9"/>
        <rFont val="华文楷体"/>
        <family val="3"/>
        <charset val="134"/>
      </rPr>
      <t>清关</t>
    </r>
    <phoneticPr fontId="3" type="noConversion"/>
  </si>
  <si>
    <r>
      <t>秋田微</t>
    </r>
    <r>
      <rPr>
        <sz val="9"/>
        <rFont val="Arial"/>
        <family val="2"/>
      </rPr>
      <t>PO#FW21060056</t>
    </r>
    <phoneticPr fontId="3" type="noConversion"/>
  </si>
  <si>
    <r>
      <rPr>
        <sz val="9"/>
        <rFont val="宋体"/>
        <family val="2"/>
        <charset val="134"/>
      </rPr>
      <t>江苏华骋科技有限公司</t>
    </r>
    <r>
      <rPr>
        <sz val="9"/>
        <rFont val="Arial"/>
        <family val="2"/>
      </rPr>
      <t>(C66SHA21041)</t>
    </r>
    <phoneticPr fontId="3" type="noConversion"/>
  </si>
  <si>
    <r>
      <t>巴科飞达</t>
    </r>
    <r>
      <rPr>
        <sz val="9"/>
        <rFont val="Arial"/>
        <family val="2"/>
      </rPr>
      <t>PO#C66SZ21282</t>
    </r>
    <phoneticPr fontId="3" type="noConversion"/>
  </si>
  <si>
    <r>
      <t>巴科飞达</t>
    </r>
    <r>
      <rPr>
        <sz val="9"/>
        <rFont val="Arial"/>
        <family val="2"/>
      </rPr>
      <t>PO#C66SZ21282</t>
    </r>
  </si>
  <si>
    <t>东之鸣（台州）电子科技有限公司（C66SHA21047）</t>
    <phoneticPr fontId="3" type="noConversion"/>
  </si>
  <si>
    <r>
      <rPr>
        <sz val="9"/>
        <rFont val="微软雅黑"/>
        <family val="2"/>
        <charset val="134"/>
      </rPr>
      <t>安徽乐图电子科技有限公司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C66SHA21042</t>
    </r>
    <r>
      <rPr>
        <sz val="9"/>
        <rFont val="微软雅黑"/>
        <family val="2"/>
        <charset val="134"/>
      </rPr>
      <t>）</t>
    </r>
    <phoneticPr fontId="3" type="noConversion"/>
  </si>
  <si>
    <r>
      <t>兆驰</t>
    </r>
    <r>
      <rPr>
        <sz val="9"/>
        <rFont val="Arial"/>
        <family val="2"/>
      </rPr>
      <t>PO#4500567781</t>
    </r>
    <phoneticPr fontId="3" type="noConversion"/>
  </si>
  <si>
    <t>北京办公室</t>
    <phoneticPr fontId="3" type="noConversion"/>
  </si>
  <si>
    <r>
      <rPr>
        <sz val="9"/>
        <rFont val="Arial"/>
        <family val="2"/>
      </rPr>
      <t>C66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</si>
  <si>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9"/>
        <rFont val="宋体"/>
        <family val="2"/>
        <charset val="134"/>
      </rPr>
      <t>郑州市锦飞汽车电气系统有限公司</t>
    </r>
    <r>
      <rPr>
        <sz val="9"/>
        <rFont val="Arial"/>
        <family val="2"/>
      </rPr>
      <t>(C66SHA21055)</t>
    </r>
    <phoneticPr fontId="3" type="noConversion"/>
  </si>
  <si>
    <t>调账</t>
    <phoneticPr fontId="3" type="noConversion"/>
  </si>
  <si>
    <r>
      <t>2021-8-10</t>
    </r>
    <r>
      <rPr>
        <sz val="9"/>
        <rFont val="宋体"/>
        <family val="2"/>
        <charset val="134"/>
      </rPr>
      <t>盘点调账</t>
    </r>
    <phoneticPr fontId="3" type="noConversion"/>
  </si>
  <si>
    <r>
      <t>2021-8-5</t>
    </r>
    <r>
      <rPr>
        <sz val="9"/>
        <rFont val="宋体"/>
        <family val="2"/>
        <charset val="134"/>
      </rPr>
      <t>清关</t>
    </r>
    <phoneticPr fontId="3" type="noConversion"/>
  </si>
  <si>
    <r>
      <t>思迈</t>
    </r>
    <r>
      <rPr>
        <sz val="9"/>
        <rFont val="Arial"/>
        <family val="2"/>
      </rPr>
      <t>PO#C66SZ21367</t>
    </r>
  </si>
  <si>
    <r>
      <t>昌大</t>
    </r>
    <r>
      <rPr>
        <sz val="9"/>
        <rFont val="Arial"/>
        <family val="2"/>
      </rPr>
      <t>PO#CN21080020C</t>
    </r>
    <phoneticPr fontId="3" type="noConversion"/>
  </si>
  <si>
    <t>黄骅市交大思诺</t>
    <phoneticPr fontId="3" type="noConversion"/>
  </si>
  <si>
    <r>
      <t>狂热者</t>
    </r>
    <r>
      <rPr>
        <sz val="9"/>
        <rFont val="Arial"/>
        <family val="2"/>
      </rPr>
      <t>PO#C66SZ21417</t>
    </r>
    <phoneticPr fontId="3" type="noConversion"/>
  </si>
  <si>
    <r>
      <t>2021-9-16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</si>
  <si>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9"/>
        <rFont val="微软雅黑"/>
        <family val="2"/>
        <charset val="134"/>
      </rPr>
      <t>宁波汉浦工具有限公司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C66SHA21068</t>
    </r>
    <phoneticPr fontId="3" type="noConversion"/>
  </si>
  <si>
    <r>
      <rPr>
        <sz val="9"/>
        <rFont val="微软雅黑"/>
        <family val="2"/>
        <charset val="134"/>
      </rPr>
      <t>江西安缔诺科技有限公司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C66SHA21045</t>
    </r>
    <r>
      <rPr>
        <sz val="9"/>
        <rFont val="微软雅黑"/>
        <family val="2"/>
        <charset val="134"/>
      </rPr>
      <t>）</t>
    </r>
    <phoneticPr fontId="3" type="noConversion"/>
  </si>
  <si>
    <r>
      <t>兆驰</t>
    </r>
    <r>
      <rPr>
        <sz val="9"/>
        <rFont val="Arial"/>
        <family val="2"/>
      </rPr>
      <t>56mm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PO#4500571829</t>
    </r>
  </si>
  <si>
    <t xml:space="preserve">                                                                                                                                                                                                                           </t>
    <phoneticPr fontId="3" type="noConversion"/>
  </si>
  <si>
    <r>
      <rPr>
        <sz val="9"/>
        <rFont val="宋体"/>
        <family val="2"/>
        <charset val="134"/>
      </rPr>
      <t>银盈堡飞达</t>
    </r>
    <r>
      <rPr>
        <sz val="9"/>
        <rFont val="Arial"/>
        <family val="2"/>
      </rPr>
      <t>PO#JD-2021-11-01-00025</t>
    </r>
    <phoneticPr fontId="3" type="noConversion"/>
  </si>
  <si>
    <r>
      <t>览众</t>
    </r>
    <r>
      <rPr>
        <sz val="9"/>
        <rFont val="Arial"/>
        <family val="2"/>
      </rPr>
      <t>PO#C66SZ21472</t>
    </r>
    <phoneticPr fontId="3" type="noConversion"/>
  </si>
  <si>
    <r>
      <rPr>
        <sz val="9"/>
        <rFont val="宋体"/>
        <family val="2"/>
        <charset val="134"/>
      </rPr>
      <t>海凌科达</t>
    </r>
    <r>
      <rPr>
        <sz val="9"/>
        <rFont val="Arial"/>
        <family val="2"/>
      </rPr>
      <t>PO#C66SZ21468REV1</t>
    </r>
    <phoneticPr fontId="3" type="noConversion"/>
  </si>
  <si>
    <r>
      <t>2021-11-9</t>
    </r>
    <r>
      <rPr>
        <sz val="9"/>
        <rFont val="华文楷体"/>
        <family val="3"/>
        <charset val="134"/>
      </rPr>
      <t>清关</t>
    </r>
    <phoneticPr fontId="3" type="noConversion"/>
  </si>
  <si>
    <r>
      <t>狂热者</t>
    </r>
    <r>
      <rPr>
        <sz val="9"/>
        <rFont val="Arial"/>
        <family val="2"/>
      </rPr>
      <t>56mm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PO#C66SZ21472</t>
    </r>
  </si>
  <si>
    <r>
      <t>2021-11-29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</si>
  <si>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宋体"/>
        <family val="2"/>
        <charset val="134"/>
      </rPr>
      <t>科雅光电（镇江）有限公司</t>
    </r>
    <r>
      <rPr>
        <sz val="9"/>
        <rFont val="Arial"/>
        <family val="2"/>
      </rPr>
      <t>(C66SHA21098)</t>
    </r>
    <phoneticPr fontId="3" type="noConversion"/>
  </si>
  <si>
    <r>
      <t>杉川</t>
    </r>
    <r>
      <rPr>
        <sz val="9"/>
        <rFont val="Arial"/>
        <family val="2"/>
      </rPr>
      <t>PO#C66SZ21506REV7</t>
    </r>
  </si>
  <si>
    <r>
      <rPr>
        <sz val="9"/>
        <rFont val="宋体"/>
        <family val="2"/>
        <charset val="134"/>
      </rPr>
      <t>上海办</t>
    </r>
    <r>
      <rPr>
        <sz val="9"/>
        <rFont val="Arial"/>
        <family val="2"/>
      </rPr>
      <t>C49</t>
    </r>
    <r>
      <rPr>
        <sz val="9"/>
        <rFont val="宋体"/>
        <family val="2"/>
        <charset val="134"/>
      </rPr>
      <t>要货</t>
    </r>
    <phoneticPr fontId="3" type="noConversion"/>
  </si>
  <si>
    <t>鹤壁市联明电器有限公司(C66SHA21099)</t>
  </si>
  <si>
    <t>66F</t>
  </si>
  <si>
    <r>
      <rPr>
        <sz val="9"/>
        <rFont val="微软雅黑"/>
        <family val="2"/>
        <charset val="134"/>
      </rPr>
      <t>鹤壁市联明电器有限公司</t>
    </r>
    <r>
      <rPr>
        <sz val="9"/>
        <rFont val="Arial"/>
        <family val="2"/>
      </rPr>
      <t>(C66SHA21099)</t>
    </r>
    <phoneticPr fontId="3" type="noConversion"/>
  </si>
  <si>
    <r>
      <t>2021-12-28</t>
    </r>
    <r>
      <rPr>
        <sz val="9"/>
        <rFont val="宋体"/>
        <family val="2"/>
        <charset val="134"/>
      </rPr>
      <t>清关</t>
    </r>
    <phoneticPr fontId="3" type="noConversion"/>
  </si>
  <si>
    <r>
      <t xml:space="preserve">66N </t>
    </r>
    <r>
      <rPr>
        <sz val="9"/>
        <rFont val="宋体"/>
        <family val="2"/>
        <charset val="134"/>
      </rPr>
      <t>借用</t>
    </r>
    <phoneticPr fontId="3" type="noConversion"/>
  </si>
  <si>
    <t>安费诺永亿（海盐）通讯电子有限公司(C66SHA21104)</t>
    <phoneticPr fontId="3" type="noConversion"/>
  </si>
  <si>
    <r>
      <t>东之鸣（台州）电子科技有限公司（</t>
    </r>
    <r>
      <rPr>
        <sz val="10"/>
        <color theme="1"/>
        <rFont val="微软雅黑"/>
        <family val="2"/>
        <charset val="134"/>
      </rPr>
      <t>C66SHA21106</t>
    </r>
    <r>
      <rPr>
        <sz val="10"/>
        <color rgb="FF000000"/>
        <rFont val="微软雅黑"/>
        <family val="2"/>
        <charset val="134"/>
      </rPr>
      <t>）</t>
    </r>
    <phoneticPr fontId="3" type="noConversion"/>
  </si>
  <si>
    <r>
      <t>同方泰德</t>
    </r>
    <r>
      <rPr>
        <sz val="9"/>
        <rFont val="Arial"/>
        <family val="2"/>
      </rPr>
      <t>C66BJS20211213R2</t>
    </r>
    <phoneticPr fontId="3" type="noConversion"/>
  </si>
  <si>
    <r>
      <t>众华</t>
    </r>
    <r>
      <rPr>
        <sz val="9"/>
        <rFont val="Arial"/>
        <family val="2"/>
      </rPr>
      <t>PO#C66SZ22015REV1</t>
    </r>
  </si>
  <si>
    <r>
      <rPr>
        <sz val="9"/>
        <rFont val="微软雅黑"/>
        <family val="2"/>
        <charset val="134"/>
      </rPr>
      <t>黄山市昌维</t>
    </r>
    <r>
      <rPr>
        <sz val="9"/>
        <rFont val="Arial"/>
        <family val="2"/>
      </rPr>
      <t>C66SHA21111</t>
    </r>
    <phoneticPr fontId="3" type="noConversion"/>
  </si>
  <si>
    <t>常州通宝光电股份有限公司（C66SHA21113）</t>
  </si>
  <si>
    <r>
      <t>2022-2-15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</si>
  <si>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9"/>
        <rFont val="微软雅黑"/>
        <family val="2"/>
        <charset val="134"/>
      </rPr>
      <t>西安海龙电子科技有限公司</t>
    </r>
    <r>
      <rPr>
        <sz val="9"/>
        <rFont val="Arial"/>
        <family val="2"/>
      </rPr>
      <t>C66SHA21117</t>
    </r>
    <phoneticPr fontId="3" type="noConversion"/>
  </si>
  <si>
    <r>
      <rPr>
        <sz val="9"/>
        <rFont val="宋体"/>
        <family val="2"/>
        <charset val="134"/>
      </rPr>
      <t>祥弘瑞</t>
    </r>
    <r>
      <rPr>
        <sz val="9"/>
        <rFont val="Arial"/>
        <family val="2"/>
      </rPr>
      <t>PO#C66SZ22055&amp;PO</t>
    </r>
    <phoneticPr fontId="3" type="noConversion"/>
  </si>
  <si>
    <r>
      <t>Q21SHGST232/Q21SHGST232R</t>
    </r>
    <r>
      <rPr>
        <sz val="9"/>
        <rFont val="宋体"/>
        <family val="2"/>
        <charset val="134"/>
      </rPr>
      <t>东之鸣（台州）电子科技有限公司</t>
    </r>
    <phoneticPr fontId="3" type="noConversion"/>
  </si>
  <si>
    <r>
      <t>维众飞达</t>
    </r>
    <r>
      <rPr>
        <sz val="9"/>
        <rFont val="Arial"/>
        <family val="2"/>
      </rPr>
      <t>PO#C66SZ22071</t>
    </r>
    <phoneticPr fontId="3" type="noConversion"/>
  </si>
  <si>
    <r>
      <t>2022-2-22</t>
    </r>
    <r>
      <rPr>
        <sz val="9"/>
        <rFont val="宋体"/>
        <family val="2"/>
        <charset val="134"/>
      </rPr>
      <t>清关</t>
    </r>
    <phoneticPr fontId="3" type="noConversion"/>
  </si>
  <si>
    <r>
      <t>北京无仪美达</t>
    </r>
    <r>
      <rPr>
        <sz val="9"/>
        <rFont val="宋体"/>
        <family val="2"/>
        <charset val="134"/>
      </rPr>
      <t>20220222</t>
    </r>
    <phoneticPr fontId="3" type="noConversion"/>
  </si>
  <si>
    <r>
      <rPr>
        <sz val="9"/>
        <rFont val="宋体"/>
        <family val="2"/>
        <charset val="134"/>
      </rPr>
      <t>上海</t>
    </r>
    <r>
      <rPr>
        <sz val="9"/>
        <rFont val="Arial"/>
        <family val="2"/>
      </rPr>
      <t>Ellen</t>
    </r>
    <r>
      <rPr>
        <sz val="9"/>
        <rFont val="宋体"/>
        <family val="2"/>
        <charset val="134"/>
      </rPr>
      <t>单</t>
    </r>
    <phoneticPr fontId="3" type="noConversion"/>
  </si>
  <si>
    <r>
      <t>2022-3-22</t>
    </r>
    <r>
      <rPr>
        <sz val="9"/>
        <rFont val="宋体"/>
        <family val="2"/>
        <charset val="134"/>
      </rPr>
      <t>清关</t>
    </r>
    <phoneticPr fontId="3" type="noConversion"/>
  </si>
  <si>
    <r>
      <t xml:space="preserve">PO#C66SZ22103REV3 </t>
    </r>
    <r>
      <rPr>
        <sz val="9"/>
        <rFont val="宋体"/>
        <family val="2"/>
        <charset val="134"/>
      </rPr>
      <t>新明海</t>
    </r>
    <phoneticPr fontId="3" type="noConversion"/>
  </si>
  <si>
    <r>
      <rPr>
        <sz val="9"/>
        <rFont val="宋体"/>
        <family val="2"/>
        <charset val="134"/>
      </rPr>
      <t>凌鑫</t>
    </r>
    <r>
      <rPr>
        <sz val="9"/>
        <rFont val="Arial"/>
        <family val="2"/>
      </rPr>
      <t>SS8MM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C66SZ22129REV1</t>
    </r>
    <phoneticPr fontId="3" type="noConversion"/>
  </si>
  <si>
    <r>
      <t>2022-4-6</t>
    </r>
    <r>
      <rPr>
        <sz val="9"/>
        <rFont val="宋体"/>
        <family val="2"/>
        <charset val="134"/>
      </rPr>
      <t>清关</t>
    </r>
    <phoneticPr fontId="3" type="noConversion"/>
  </si>
  <si>
    <r>
      <t>2022-4-18</t>
    </r>
    <r>
      <rPr>
        <sz val="9"/>
        <rFont val="宋体"/>
        <family val="2"/>
        <charset val="134"/>
      </rPr>
      <t>清关</t>
    </r>
    <phoneticPr fontId="3" type="noConversion"/>
  </si>
  <si>
    <r>
      <t>祥弘瑞</t>
    </r>
    <r>
      <rPr>
        <sz val="9"/>
        <rFont val="Arial"/>
        <family val="2"/>
      </rPr>
      <t>PO#C66SZ22145REV3</t>
    </r>
  </si>
  <si>
    <r>
      <t xml:space="preserve">38832 </t>
    </r>
    <r>
      <rPr>
        <sz val="9"/>
        <rFont val="宋体"/>
        <family val="2"/>
        <charset val="134"/>
      </rPr>
      <t>威海宝尔电器有限公司</t>
    </r>
    <r>
      <rPr>
        <sz val="9"/>
        <rFont val="Arial"/>
        <family val="2"/>
      </rPr>
      <t xml:space="preserve"> &lt;</t>
    </r>
    <r>
      <rPr>
        <sz val="9"/>
        <rFont val="宋体"/>
        <family val="2"/>
        <charset val="134"/>
      </rPr>
      <t>合同编号：</t>
    </r>
    <r>
      <rPr>
        <sz val="9"/>
        <rFont val="Arial"/>
        <family val="2"/>
      </rPr>
      <t xml:space="preserve">BR20220427-5&gt; - </t>
    </r>
    <phoneticPr fontId="3" type="noConversion"/>
  </si>
  <si>
    <r>
      <rPr>
        <sz val="9"/>
        <rFont val="宋体"/>
        <family val="2"/>
        <charset val="134"/>
      </rPr>
      <t>湖南鹰飞</t>
    </r>
    <r>
      <rPr>
        <sz val="9"/>
        <rFont val="Arial"/>
        <family val="2"/>
      </rPr>
      <t>1216mm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PO#C66SZ22173</t>
    </r>
    <phoneticPr fontId="3" type="noConversion"/>
  </si>
  <si>
    <r>
      <t>2022-5-11</t>
    </r>
    <r>
      <rPr>
        <sz val="9"/>
        <rFont val="宋体"/>
        <family val="2"/>
        <charset val="134"/>
      </rPr>
      <t>清关</t>
    </r>
    <phoneticPr fontId="3" type="noConversion"/>
  </si>
  <si>
    <r>
      <t>2022-5-14</t>
    </r>
    <r>
      <rPr>
        <sz val="9"/>
        <rFont val="宋体"/>
        <family val="2"/>
        <charset val="134"/>
      </rPr>
      <t>清关</t>
    </r>
    <phoneticPr fontId="3" type="noConversion"/>
  </si>
  <si>
    <r>
      <t>2022-5-20</t>
    </r>
    <r>
      <rPr>
        <sz val="9"/>
        <rFont val="宋体"/>
        <family val="2"/>
        <charset val="134"/>
      </rPr>
      <t>清关</t>
    </r>
    <phoneticPr fontId="3" type="noConversion"/>
  </si>
  <si>
    <r>
      <t>2022-5-24</t>
    </r>
    <r>
      <rPr>
        <sz val="9"/>
        <rFont val="宋体"/>
        <family val="2"/>
        <charset val="134"/>
      </rPr>
      <t>转库</t>
    </r>
    <r>
      <rPr>
        <sz val="9"/>
        <rFont val="Arial"/>
        <family val="2"/>
      </rPr>
      <t>66N</t>
    </r>
    <phoneticPr fontId="3" type="noConversion"/>
  </si>
  <si>
    <r>
      <t>锂动力飞达</t>
    </r>
    <r>
      <rPr>
        <sz val="9"/>
        <rFont val="Arial"/>
        <family val="2"/>
      </rPr>
      <t>PO#C66SZ22249REV</t>
    </r>
    <phoneticPr fontId="3" type="noConversion"/>
  </si>
  <si>
    <r>
      <t>2022-6-8</t>
    </r>
    <r>
      <rPr>
        <sz val="9"/>
        <rFont val="宋体"/>
        <family val="2"/>
        <charset val="134"/>
      </rPr>
      <t>清关</t>
    </r>
    <phoneticPr fontId="3" type="noConversion"/>
  </si>
  <si>
    <r>
      <t>2022-6-9</t>
    </r>
    <r>
      <rPr>
        <sz val="9"/>
        <rFont val="宋体"/>
        <family val="2"/>
        <charset val="134"/>
      </rPr>
      <t>清关</t>
    </r>
    <phoneticPr fontId="3" type="noConversion"/>
  </si>
  <si>
    <r>
      <t>2022-6-16</t>
    </r>
    <r>
      <rPr>
        <sz val="9"/>
        <rFont val="宋体"/>
        <family val="2"/>
        <charset val="134"/>
      </rPr>
      <t>清关</t>
    </r>
    <phoneticPr fontId="3" type="noConversion"/>
  </si>
  <si>
    <r>
      <t>2022-6-28</t>
    </r>
    <r>
      <rPr>
        <sz val="9"/>
        <rFont val="宋体"/>
        <family val="2"/>
        <charset val="134"/>
      </rPr>
      <t>清关</t>
    </r>
    <phoneticPr fontId="3" type="noConversion"/>
  </si>
  <si>
    <r>
      <t>-C66SZ23197-</t>
    </r>
    <r>
      <rPr>
        <sz val="9"/>
        <rFont val="宋体"/>
        <family val="3"/>
        <charset val="134"/>
      </rPr>
      <t>铭华永兴</t>
    </r>
  </si>
  <si>
    <t xml:space="preserve">JPY </t>
    <phoneticPr fontId="3" type="noConversion"/>
  </si>
  <si>
    <t>100IND order</t>
    <phoneticPr fontId="3" type="noConversion"/>
  </si>
  <si>
    <t>40IND order</t>
  </si>
  <si>
    <t>12IND order</t>
    <phoneticPr fontId="3" type="noConversion"/>
  </si>
  <si>
    <t>3IND order</t>
  </si>
  <si>
    <r>
      <rPr>
        <sz val="9"/>
        <rFont val="微软雅黑"/>
        <family val="2"/>
        <charset val="134"/>
      </rPr>
      <t>聚合信</t>
    </r>
    <r>
      <rPr>
        <sz val="9"/>
        <rFont val="Arial"/>
        <family val="2"/>
      </rPr>
      <t>PO#C66SZ23277</t>
    </r>
    <phoneticPr fontId="3" type="noConversion"/>
  </si>
  <si>
    <r>
      <t>2022-9-15</t>
    </r>
    <r>
      <rPr>
        <sz val="9"/>
        <rFont val="宋体"/>
        <family val="2"/>
        <charset val="134"/>
      </rPr>
      <t>清关</t>
    </r>
    <phoneticPr fontId="3" type="noConversion"/>
  </si>
  <si>
    <t>TYPE                 (To supplier)</t>
  </si>
  <si>
    <t>(全部)</t>
  </si>
  <si>
    <t xml:space="preserve">Period                </t>
  </si>
  <si>
    <t>DEPT</t>
  </si>
  <si>
    <t>值</t>
  </si>
  <si>
    <t>PO#                             (To Supplier)</t>
  </si>
  <si>
    <t>PO  Date</t>
  </si>
  <si>
    <t>ITEM NUMBER</t>
  </si>
  <si>
    <t>DESC</t>
  </si>
  <si>
    <t xml:space="preserve">求和项:Qty </t>
  </si>
  <si>
    <t xml:space="preserve">求和项: Total price (JPY) </t>
  </si>
  <si>
    <t>泉州名义下单（上海单）</t>
  </si>
  <si>
    <t>斯迈名义下单</t>
  </si>
  <si>
    <t>Ysi-V</t>
  </si>
  <si>
    <t>益田名义下单</t>
  </si>
  <si>
    <t>鸿通宇名义下单</t>
  </si>
  <si>
    <t>健科名义下单</t>
  </si>
  <si>
    <t>海红天远名义下单</t>
  </si>
  <si>
    <t>比泰利名义下单</t>
  </si>
  <si>
    <t>力通威名义下单</t>
  </si>
  <si>
    <t>快宇名义下单</t>
  </si>
  <si>
    <t>STK名义下单（加价价格)</t>
  </si>
  <si>
    <t>领德创名义下单</t>
  </si>
  <si>
    <t>聚亮兴业名义下单</t>
  </si>
  <si>
    <t>狂热者名义下单</t>
  </si>
  <si>
    <t>融创新合名义下单</t>
  </si>
  <si>
    <t>晨鑫达名义下单</t>
  </si>
  <si>
    <t>魔乐视名义下单</t>
  </si>
  <si>
    <t>正讯名义下单</t>
  </si>
  <si>
    <t>傲尔名义下单</t>
  </si>
  <si>
    <t>方案集名义下单</t>
  </si>
  <si>
    <t>祥弘瑞名义下单</t>
  </si>
  <si>
    <t>河南融创名义下单</t>
  </si>
  <si>
    <t>海凌科达名义下单</t>
  </si>
  <si>
    <t>鸿南名义下单</t>
  </si>
  <si>
    <t>恒泰创新名义下单</t>
  </si>
  <si>
    <t>英拓邦名义下单</t>
  </si>
  <si>
    <t>保捷时计名义下单</t>
  </si>
  <si>
    <t>珠海派诺名义下单</t>
  </si>
  <si>
    <t>维益名义下单</t>
  </si>
  <si>
    <t>朗讯名义下单</t>
  </si>
  <si>
    <t>晶昌名义下单</t>
  </si>
  <si>
    <t>弛电名义下单</t>
  </si>
  <si>
    <t>恒创兴名义下单</t>
  </si>
  <si>
    <t>海松微名义下单</t>
  </si>
  <si>
    <t>清禾名义下单</t>
  </si>
  <si>
    <t>魔乐视义下单</t>
  </si>
  <si>
    <t>三丽名义下单</t>
  </si>
  <si>
    <t>聚能名义下单</t>
  </si>
  <si>
    <t>鸿楠名义下单</t>
  </si>
  <si>
    <t>广东微观名义下单</t>
  </si>
  <si>
    <t>骏孚名义下单</t>
  </si>
  <si>
    <t>昌大名义下单</t>
  </si>
  <si>
    <t>驰电名义下单</t>
  </si>
  <si>
    <t>乐凡名义下单</t>
  </si>
  <si>
    <t>博新名义下单</t>
  </si>
  <si>
    <t>捷舜城名义下单</t>
  </si>
  <si>
    <t>蓝极光名义下单</t>
  </si>
  <si>
    <t>岚新名名义下单</t>
  </si>
  <si>
    <t>伯莱科名义下单</t>
  </si>
  <si>
    <t>朗特名义下单</t>
  </si>
  <si>
    <t>通达科信名义下单</t>
  </si>
  <si>
    <t>普德新星名义下单</t>
  </si>
  <si>
    <t>拓普艾名义下单</t>
  </si>
  <si>
    <t>骏仁达名义下单</t>
  </si>
  <si>
    <t>恒磊名义下单</t>
  </si>
  <si>
    <t>盈通恒翼名义下单</t>
  </si>
  <si>
    <t>49F104206</t>
  </si>
  <si>
    <t>中润互联名义下单</t>
  </si>
  <si>
    <t>东莞鸿楠名义下单</t>
  </si>
  <si>
    <t>博睿通名义下单</t>
  </si>
  <si>
    <t>和创永泰名义下单</t>
  </si>
  <si>
    <t>芯联鑫名义下单</t>
  </si>
  <si>
    <t>顺禾名义下单</t>
  </si>
  <si>
    <t>KONKA名义下单</t>
  </si>
  <si>
    <t>辉拓名义下单</t>
  </si>
  <si>
    <t>赛美达名义下单</t>
  </si>
  <si>
    <t>诺亚兴名义下单</t>
  </si>
  <si>
    <t>友艺名义下单</t>
  </si>
  <si>
    <t>钧溢名义下单</t>
  </si>
  <si>
    <t>伯莱科 名义下单</t>
  </si>
  <si>
    <t>鑫天泰 名义下单</t>
  </si>
  <si>
    <t>志华鑫  名义下单</t>
  </si>
  <si>
    <t>利速达  名义下单</t>
  </si>
  <si>
    <t>恒磊  名义下单</t>
  </si>
  <si>
    <t>辉拓  名义下单</t>
  </si>
  <si>
    <t>奥祺 名义下单（54%）</t>
  </si>
  <si>
    <t>精德鸿  名义下单（54%）</t>
  </si>
  <si>
    <t>瑞福联 名义下单（54%）</t>
  </si>
  <si>
    <t>金睿通 名义下单（54%）</t>
  </si>
  <si>
    <t>正讯 名义下单 51%</t>
  </si>
  <si>
    <t>朗迅 名义下单 51%</t>
  </si>
  <si>
    <t>欣华 名义下单 51%</t>
  </si>
  <si>
    <t>斯迈拓 名义下单 51%</t>
  </si>
  <si>
    <t>奥祺 名义下单 57%</t>
  </si>
  <si>
    <t>比尔乔 57%</t>
  </si>
  <si>
    <t>瑞福联 名义下单 57%</t>
  </si>
  <si>
    <t>精德鸿  名义下单 57%</t>
  </si>
  <si>
    <t>金睿通  名义下单 57%</t>
  </si>
  <si>
    <t>芯联鑫 名义下单 54%</t>
  </si>
  <si>
    <t>斯迈 名义下单 54%</t>
  </si>
  <si>
    <t>欣华 名义下单 54%</t>
  </si>
  <si>
    <t>正讯 名义下单 54%</t>
  </si>
  <si>
    <t xml:space="preserve">莫思特 名义下单 54% </t>
  </si>
  <si>
    <t>YIDONG 名义下单</t>
  </si>
  <si>
    <t>VENDOR</t>
  </si>
  <si>
    <t xml:space="preserve">ETD </t>
  </si>
  <si>
    <t>SIGMA-G5S2 汇总</t>
  </si>
  <si>
    <t>YCP10 汇总</t>
  </si>
  <si>
    <t>28L104351</t>
  </si>
  <si>
    <t>上海下单STK</t>
  </si>
  <si>
    <t>Ysi-V 汇总</t>
  </si>
  <si>
    <t>49F104334</t>
  </si>
  <si>
    <t>惠州市创荣发名义下单</t>
  </si>
  <si>
    <t>49F104337</t>
  </si>
  <si>
    <t>49F104335</t>
  </si>
  <si>
    <t>东莞市络鑫名义下单</t>
  </si>
  <si>
    <t>49F104336</t>
  </si>
  <si>
    <t>铭翔名义下单</t>
  </si>
  <si>
    <t>YSM10 汇总</t>
  </si>
  <si>
    <t>惠州新明海 名义下单</t>
  </si>
  <si>
    <t>49F104340</t>
  </si>
  <si>
    <t>世启纳名义下单</t>
  </si>
  <si>
    <t>49F104339</t>
  </si>
  <si>
    <t>49F104342</t>
  </si>
  <si>
    <t>49F104341</t>
  </si>
  <si>
    <t>宝捷时计名义下单</t>
  </si>
  <si>
    <t>YSM20R-2 汇总</t>
  </si>
  <si>
    <t>YRH10 汇总</t>
  </si>
  <si>
    <t>求和项:QTY</t>
  </si>
  <si>
    <t>深圳健科</t>
  </si>
  <si>
    <t>C49SZX20200218JZ</t>
  </si>
  <si>
    <t>豫龙辉</t>
  </si>
  <si>
    <t>C49SZX20200229JY</t>
  </si>
  <si>
    <t>C49SZX20200182JY</t>
  </si>
  <si>
    <t>博睿通</t>
  </si>
  <si>
    <t>C49SZX20200191SS</t>
  </si>
  <si>
    <t>东陆</t>
  </si>
  <si>
    <t>C49SZX20200180SX</t>
  </si>
  <si>
    <t>海纳科</t>
  </si>
  <si>
    <t>C49SZX20200183JY</t>
  </si>
  <si>
    <t>合进高</t>
  </si>
  <si>
    <t>C49SZX20200192SS</t>
  </si>
  <si>
    <t>鸿南</t>
  </si>
  <si>
    <t>C49SZX20200199MZ</t>
  </si>
  <si>
    <t>C49SZX20200140RSX</t>
  </si>
  <si>
    <t>钧溢电子</t>
  </si>
  <si>
    <t>C49SZX20200219SS</t>
  </si>
  <si>
    <t>C49SZX20200242DZ</t>
  </si>
  <si>
    <t>派勤</t>
  </si>
  <si>
    <t>C49SZX20200113SS</t>
  </si>
  <si>
    <t>C49SZX20200158JL</t>
  </si>
  <si>
    <t>C49SZX20200206MZ</t>
  </si>
  <si>
    <t>C49SZX20200207MZ</t>
  </si>
  <si>
    <t>拓新伟业</t>
  </si>
  <si>
    <t>C49SZX20200220SX</t>
  </si>
  <si>
    <t>泰鑫荣</t>
  </si>
  <si>
    <t>C49SZX20200195SS</t>
  </si>
  <si>
    <t>同创</t>
  </si>
  <si>
    <t>C49SZX20200211SX</t>
  </si>
  <si>
    <t>C49SZX20200205JZ</t>
  </si>
  <si>
    <t>鑫亿特</t>
  </si>
  <si>
    <t>C49SZX20200142SX</t>
  </si>
  <si>
    <t>易而达</t>
  </si>
  <si>
    <t>C49SZX20200145JL</t>
  </si>
  <si>
    <t>昊亮迪</t>
  </si>
  <si>
    <t>C49SZX20200255JY</t>
  </si>
  <si>
    <t>C49SZX20200247MZ</t>
  </si>
  <si>
    <t>新智杰光电</t>
  </si>
  <si>
    <t>C49SZX20200245MZ</t>
  </si>
  <si>
    <t>C49SZX20200260LC</t>
  </si>
  <si>
    <t xml:space="preserve"> ETA Month</t>
    <phoneticPr fontId="3" type="noConversion"/>
  </si>
  <si>
    <r>
      <rPr>
        <sz val="11"/>
        <color theme="1"/>
        <rFont val="宋体"/>
        <family val="3"/>
        <charset val="134"/>
      </rPr>
      <t>已经到货</t>
    </r>
    <phoneticPr fontId="3" type="noConversion"/>
  </si>
  <si>
    <t>L-&gt;R</t>
    <phoneticPr fontId="15" type="noConversion"/>
  </si>
  <si>
    <r>
      <t xml:space="preserve">MVC+Rear </t>
    </r>
    <r>
      <rPr>
        <sz val="11"/>
        <color theme="1"/>
        <rFont val="宋体"/>
        <family val="3"/>
        <charset val="134"/>
      </rPr>
      <t>站位</t>
    </r>
    <phoneticPr fontId="3" type="noConversion"/>
  </si>
  <si>
    <t>R-&gt;L</t>
    <phoneticPr fontId="15" type="noConversion"/>
  </si>
  <si>
    <t>YSM20-2</t>
    <phoneticPr fontId="3" type="noConversion"/>
  </si>
  <si>
    <t>NO</t>
    <phoneticPr fontId="3" type="noConversion"/>
  </si>
  <si>
    <t>sATSII</t>
    <phoneticPr fontId="3" type="noConversion"/>
  </si>
  <si>
    <t>JAN 23</t>
    <phoneticPr fontId="3" type="noConversion"/>
  </si>
  <si>
    <t>MVC</t>
    <phoneticPr fontId="15" type="noConversion"/>
  </si>
  <si>
    <t>FEB 23</t>
    <phoneticPr fontId="3" type="noConversion"/>
  </si>
  <si>
    <t>MAR 23</t>
    <phoneticPr fontId="3" type="noConversion"/>
  </si>
  <si>
    <t>cATS30+MVC+Feeder Carriage</t>
    <phoneticPr fontId="3" type="noConversion"/>
  </si>
  <si>
    <t>APR 23</t>
    <phoneticPr fontId="3" type="noConversion"/>
  </si>
  <si>
    <t>KHJ-MC100-00</t>
    <phoneticPr fontId="3" type="noConversion"/>
  </si>
  <si>
    <t>MAY 23</t>
    <phoneticPr fontId="3" type="noConversion"/>
  </si>
  <si>
    <t>KHJ-MC200-00</t>
    <phoneticPr fontId="3" type="noConversion"/>
  </si>
  <si>
    <t>JUN 23</t>
    <phoneticPr fontId="3" type="noConversion"/>
  </si>
  <si>
    <t>KHJ-MC400-00</t>
    <phoneticPr fontId="3" type="noConversion"/>
  </si>
  <si>
    <t>JUL 23</t>
    <phoneticPr fontId="3" type="noConversion"/>
  </si>
  <si>
    <t xml:space="preserve">96 FEEDER PLATE (YSM10) </t>
    <phoneticPr fontId="3" type="noConversion"/>
  </si>
  <si>
    <r>
      <t xml:space="preserve">HK </t>
    </r>
    <r>
      <rPr>
        <sz val="11"/>
        <color theme="1"/>
        <rFont val="宋体"/>
        <family val="3"/>
        <charset val="134"/>
      </rPr>
      <t>仓库</t>
    </r>
    <phoneticPr fontId="3" type="noConversion"/>
  </si>
  <si>
    <t>KHJ-MC500-00</t>
    <phoneticPr fontId="3" type="noConversion"/>
  </si>
  <si>
    <t>AUG 23</t>
    <phoneticPr fontId="3" type="noConversion"/>
  </si>
  <si>
    <t>cATS10+special layout</t>
    <phoneticPr fontId="3" type="noConversion"/>
  </si>
  <si>
    <t>KHJ-MC600-00</t>
    <phoneticPr fontId="3" type="noConversion"/>
  </si>
  <si>
    <t>SEP 23</t>
    <phoneticPr fontId="3" type="noConversion"/>
  </si>
  <si>
    <t>HM5</t>
    <phoneticPr fontId="3" type="noConversion"/>
  </si>
  <si>
    <t>KHJ-MC700-00</t>
    <phoneticPr fontId="3" type="noConversion"/>
  </si>
  <si>
    <t>OCT 23</t>
    <phoneticPr fontId="3" type="noConversion"/>
  </si>
  <si>
    <r>
      <t>MVC F&amp;R+</t>
    </r>
    <r>
      <rPr>
        <sz val="11"/>
        <color theme="1"/>
        <rFont val="宋体"/>
        <family val="2"/>
        <charset val="134"/>
      </rPr>
      <t>大板相机</t>
    </r>
    <phoneticPr fontId="3" type="noConversion"/>
  </si>
  <si>
    <t>KHJ-MC800-00</t>
    <phoneticPr fontId="3" type="noConversion"/>
  </si>
  <si>
    <t>cATS10</t>
    <phoneticPr fontId="3" type="noConversion"/>
  </si>
  <si>
    <t>KLJ-MCN00-20</t>
    <phoneticPr fontId="3" type="noConversion"/>
  </si>
  <si>
    <t>HM5+MVC+ATS15</t>
    <phoneticPr fontId="3" type="noConversion"/>
  </si>
  <si>
    <t>KLJ-MC100-00</t>
    <phoneticPr fontId="3" type="noConversion"/>
  </si>
  <si>
    <r>
      <rPr>
        <sz val="11"/>
        <color theme="1"/>
        <rFont val="宋体"/>
        <family val="2"/>
        <charset val="134"/>
      </rPr>
      <t>有交期</t>
    </r>
    <phoneticPr fontId="3" type="noConversion"/>
  </si>
  <si>
    <r>
      <t xml:space="preserve">Yamaha Demo </t>
    </r>
    <r>
      <rPr>
        <sz val="11"/>
        <color theme="1"/>
        <rFont val="宋体"/>
        <family val="3"/>
        <charset val="134"/>
      </rPr>
      <t>中心</t>
    </r>
    <phoneticPr fontId="3" type="noConversion"/>
  </si>
  <si>
    <t>KLJ-MC200-00</t>
    <phoneticPr fontId="3" type="noConversion"/>
  </si>
  <si>
    <t>MVC+ANC</t>
    <phoneticPr fontId="3" type="noConversion"/>
  </si>
  <si>
    <t>KLJ-MC400-00</t>
    <phoneticPr fontId="3" type="noConversion"/>
  </si>
  <si>
    <r>
      <t>MVC F&amp;R+ATS15+</t>
    </r>
    <r>
      <rPr>
        <sz val="11"/>
        <color theme="1"/>
        <rFont val="宋体"/>
        <family val="2"/>
        <charset val="134"/>
      </rPr>
      <t>大板相机</t>
    </r>
    <phoneticPr fontId="3" type="noConversion"/>
  </si>
  <si>
    <t>KLJ-MC500-00</t>
    <phoneticPr fontId="3" type="noConversion"/>
  </si>
  <si>
    <r>
      <rPr>
        <sz val="11"/>
        <color theme="1"/>
        <rFont val="宋体"/>
        <family val="3"/>
        <charset val="134"/>
      </rPr>
      <t>力合中转仓</t>
    </r>
    <phoneticPr fontId="3" type="noConversion"/>
  </si>
  <si>
    <t>KLJ-MC600-00</t>
    <phoneticPr fontId="3" type="noConversion"/>
  </si>
  <si>
    <r>
      <t>cATS30+MVC(F&amp;R)+10pallet for cATS30+</t>
    </r>
    <r>
      <rPr>
        <sz val="11"/>
        <color theme="1"/>
        <rFont val="宋体"/>
        <family val="2"/>
        <charset val="134"/>
      </rPr>
      <t>交换台车</t>
    </r>
    <phoneticPr fontId="3" type="noConversion"/>
  </si>
  <si>
    <t>KLJ-MC700-00</t>
    <phoneticPr fontId="3" type="noConversion"/>
  </si>
  <si>
    <r>
      <t>MVC(F&amp;R)+10pallet for cATS10+</t>
    </r>
    <r>
      <rPr>
        <sz val="11"/>
        <color theme="1"/>
        <rFont val="宋体"/>
        <family val="2"/>
        <charset val="134"/>
      </rPr>
      <t>交换台车</t>
    </r>
    <phoneticPr fontId="3" type="noConversion"/>
  </si>
  <si>
    <t>KLJ-MC800-00</t>
    <phoneticPr fontId="3" type="noConversion"/>
  </si>
  <si>
    <t>YS12</t>
    <phoneticPr fontId="3" type="noConversion"/>
  </si>
  <si>
    <t>YCP10</t>
    <phoneticPr fontId="3" type="noConversion"/>
  </si>
  <si>
    <t>KKJ-M7310-01</t>
    <phoneticPr fontId="3" type="noConversion"/>
  </si>
  <si>
    <r>
      <t>cATS30+MVC(F&amp;R)+15pallet for cATS30+</t>
    </r>
    <r>
      <rPr>
        <sz val="11"/>
        <color theme="1"/>
        <rFont val="宋体"/>
        <family val="2"/>
        <charset val="134"/>
      </rPr>
      <t>交换台车</t>
    </r>
    <phoneticPr fontId="3" type="noConversion"/>
  </si>
  <si>
    <r>
      <rPr>
        <sz val="11"/>
        <color theme="1"/>
        <rFont val="宋体"/>
        <family val="3"/>
        <charset val="134"/>
      </rPr>
      <t>上海仓库</t>
    </r>
    <phoneticPr fontId="3" type="noConversion"/>
  </si>
  <si>
    <t>KHL-M441H-33X</t>
    <phoneticPr fontId="3" type="noConversion"/>
  </si>
  <si>
    <t>cATS10+MVC(F&amp;R)</t>
    <phoneticPr fontId="3" type="noConversion"/>
  </si>
  <si>
    <r>
      <rPr>
        <sz val="11"/>
        <color theme="1"/>
        <rFont val="宋体"/>
        <family val="3"/>
        <charset val="134"/>
      </rPr>
      <t>华日仓库中转</t>
    </r>
    <phoneticPr fontId="3" type="noConversion"/>
  </si>
  <si>
    <r>
      <t>YSM10</t>
    </r>
    <r>
      <rPr>
        <sz val="11"/>
        <color theme="1"/>
        <rFont val="宋体"/>
        <family val="3"/>
        <charset val="134"/>
      </rPr>
      <t>相机</t>
    </r>
    <phoneticPr fontId="3" type="noConversion"/>
  </si>
  <si>
    <t xml:space="preserve">MVC(F&amp;R)+96 FEEDER PLATE (YSM10) </t>
    <phoneticPr fontId="3" type="noConversion"/>
  </si>
  <si>
    <r>
      <t>YSM20</t>
    </r>
    <r>
      <rPr>
        <sz val="11"/>
        <color theme="1"/>
        <rFont val="宋体"/>
        <family val="3"/>
        <charset val="134"/>
      </rPr>
      <t>相机</t>
    </r>
    <phoneticPr fontId="3" type="noConversion"/>
  </si>
  <si>
    <t>Repair Station+P-Tool AOI</t>
    <phoneticPr fontId="3" type="noConversion"/>
  </si>
  <si>
    <t>cATS10+MVC</t>
    <phoneticPr fontId="3" type="noConversion"/>
  </si>
  <si>
    <r>
      <t xml:space="preserve">Yamaha </t>
    </r>
    <r>
      <rPr>
        <sz val="11"/>
        <color theme="1"/>
        <rFont val="宋体"/>
        <family val="2"/>
        <charset val="134"/>
      </rPr>
      <t>苏州</t>
    </r>
    <r>
      <rPr>
        <sz val="11"/>
        <color theme="1"/>
        <rFont val="宋体"/>
        <family val="3"/>
        <charset val="134"/>
      </rPr>
      <t>仓库</t>
    </r>
    <phoneticPr fontId="3" type="noConversion"/>
  </si>
  <si>
    <t>cATS10+MVC+6pcs special layout</t>
    <phoneticPr fontId="3" type="noConversion"/>
  </si>
  <si>
    <r>
      <t xml:space="preserve">Yamaha </t>
    </r>
    <r>
      <rPr>
        <sz val="11"/>
        <color theme="1"/>
        <rFont val="宋体"/>
        <family val="2"/>
        <charset val="134"/>
      </rPr>
      <t>深圳</t>
    </r>
    <r>
      <rPr>
        <sz val="11"/>
        <color theme="1"/>
        <rFont val="宋体"/>
        <family val="3"/>
        <charset val="134"/>
      </rPr>
      <t>仓库</t>
    </r>
    <phoneticPr fontId="3" type="noConversion"/>
  </si>
  <si>
    <t>MVC+ATS15+ANC+IT option+TOK 1154</t>
    <phoneticPr fontId="3" type="noConversion"/>
  </si>
  <si>
    <r>
      <t>MVC +</t>
    </r>
    <r>
      <rPr>
        <sz val="11"/>
        <color theme="1"/>
        <rFont val="宋体"/>
        <family val="2"/>
        <charset val="134"/>
      </rPr>
      <t>大板相机</t>
    </r>
    <phoneticPr fontId="3" type="noConversion"/>
  </si>
  <si>
    <t>cATS10+MVC+Feeder Carriage</t>
    <phoneticPr fontId="3" type="noConversion"/>
  </si>
  <si>
    <t>cATS10+MVC(F&amp;R)+ special layout</t>
    <phoneticPr fontId="3" type="noConversion"/>
  </si>
  <si>
    <t>MVC+IT option+TOK 1154 +</t>
    <phoneticPr fontId="3" type="noConversion"/>
  </si>
  <si>
    <t>YSD</t>
    <phoneticPr fontId="3" type="noConversion"/>
  </si>
  <si>
    <t>YSM20WR-2</t>
    <phoneticPr fontId="3" type="noConversion"/>
  </si>
  <si>
    <t>R-0925P</t>
    <phoneticPr fontId="3" type="noConversion"/>
  </si>
  <si>
    <t>72GD</t>
    <phoneticPr fontId="3" type="noConversion"/>
  </si>
  <si>
    <t>YSM40R-4(DEMO)</t>
    <phoneticPr fontId="3" type="noConversion"/>
  </si>
  <si>
    <t>YRH10</t>
    <phoneticPr fontId="3" type="noConversion"/>
  </si>
  <si>
    <t>Tune-up station</t>
    <phoneticPr fontId="3" type="noConversion"/>
  </si>
  <si>
    <t>预留Feeder数</t>
    <phoneticPr fontId="3" type="noConversion"/>
  </si>
  <si>
    <t>Delivery month</t>
    <phoneticPr fontId="3" type="noConversion"/>
  </si>
  <si>
    <t>求和项:预留Feeder数</t>
  </si>
  <si>
    <t>C49SZX20210097JL</t>
  </si>
  <si>
    <t>C49SZX20210125DZ</t>
  </si>
  <si>
    <t>懿美莱</t>
  </si>
  <si>
    <t>C49SZX20210092MZ</t>
  </si>
  <si>
    <t>乘扬</t>
  </si>
  <si>
    <t>C49SZX20210091SS</t>
  </si>
  <si>
    <t>C49SZX20210106JY</t>
  </si>
  <si>
    <t>杉川</t>
  </si>
  <si>
    <t>C49SZX20210096JL</t>
  </si>
  <si>
    <t>恒创兴</t>
  </si>
  <si>
    <t>C49SZX20210111DZ</t>
  </si>
  <si>
    <t>蓝泰翔</t>
  </si>
  <si>
    <t>C49SZX20210110SS</t>
  </si>
  <si>
    <t>捷盛达</t>
  </si>
  <si>
    <t>C49SZX20210108MZ</t>
  </si>
  <si>
    <t>星原</t>
  </si>
  <si>
    <t>C49SZX20210114MZ</t>
  </si>
  <si>
    <t>C49SZX20210113SX</t>
  </si>
  <si>
    <t>C49SZX20210118JY</t>
  </si>
  <si>
    <t>C49SZX20210120JY</t>
  </si>
  <si>
    <t>嘉兴</t>
  </si>
  <si>
    <t>C49SZX20210128SS</t>
  </si>
  <si>
    <t>睿昌</t>
  </si>
  <si>
    <t>C49SZX20210132VG</t>
  </si>
  <si>
    <t>炑炑明</t>
  </si>
  <si>
    <t>C49SZX20210129SS</t>
  </si>
  <si>
    <t>C49SZX20210131SX</t>
  </si>
  <si>
    <t>广恒创新（enduser:深圳比尔乔）</t>
  </si>
  <si>
    <t>C49SZX20210142DZ</t>
  </si>
  <si>
    <t>鑫华锋</t>
  </si>
  <si>
    <t>C49SZX20210144VG</t>
  </si>
  <si>
    <t>众华</t>
  </si>
  <si>
    <t>C49SZX20210167MW</t>
  </si>
  <si>
    <t>太美亚</t>
  </si>
  <si>
    <t>C49SZX20210152SX</t>
  </si>
  <si>
    <t>科华/End user 美斯特</t>
  </si>
  <si>
    <t>C49SZX20210172EC</t>
  </si>
  <si>
    <r>
      <rPr>
        <sz val="8"/>
        <rFont val="华文楷体"/>
        <family val="3"/>
        <charset val="134"/>
      </rPr>
      <t>有交期</t>
    </r>
  </si>
  <si>
    <t>2021-2-3等Shen回复</t>
  </si>
  <si>
    <t xml:space="preserve">PO </t>
  </si>
  <si>
    <t>ETA</t>
  </si>
  <si>
    <t>Ex-work 1/20</t>
  </si>
  <si>
    <t>ex work 1/21</t>
  </si>
  <si>
    <t>ex work 2021/2/8</t>
  </si>
  <si>
    <t>ex work 2021/2/2</t>
  </si>
  <si>
    <t>ex work 2021/2/10</t>
  </si>
  <si>
    <t>2021/2/3，船期没book</t>
  </si>
  <si>
    <t>ex work 1/20</t>
  </si>
  <si>
    <t>ex work 2/4</t>
  </si>
  <si>
    <t>ex work 2021/1/21</t>
  </si>
  <si>
    <t>KLJ-MC400-00</t>
  </si>
  <si>
    <t>KLJ-MC500-00</t>
  </si>
  <si>
    <t>KLJ-MC600-00</t>
  </si>
  <si>
    <t>KHY-M7710-A4 Nozzle 311</t>
    <phoneticPr fontId="3" type="noConversion"/>
  </si>
  <si>
    <t>KHY-M7730-A2 Nozzle 313</t>
    <phoneticPr fontId="3" type="noConversion"/>
  </si>
  <si>
    <t>KHN-M7720-A3 Nozzle 302</t>
    <phoneticPr fontId="3" type="noConversion"/>
  </si>
  <si>
    <t>KHY-M7720-A3 Nozzle 312</t>
    <phoneticPr fontId="3" type="noConversion"/>
  </si>
  <si>
    <t>KHY-M7740-A0 Nozzle 303</t>
    <phoneticPr fontId="3" type="noConversion"/>
  </si>
  <si>
    <t>KHN-M7710-A4 Nozzle 301</t>
    <phoneticPr fontId="3" type="noConversion"/>
  </si>
  <si>
    <t>KHY-M7750-A0 Nozzle 304</t>
    <phoneticPr fontId="3" type="noConversion"/>
  </si>
  <si>
    <t>KHY-M7760-A0 Nozzle 305</t>
    <phoneticPr fontId="3" type="noConversion"/>
  </si>
  <si>
    <t>KHY-M7770-A0</t>
    <phoneticPr fontId="3" type="noConversion"/>
  </si>
  <si>
    <t>NOZZLE 306A/317A AS.</t>
  </si>
  <si>
    <t>KHY-M77A0-A0 Nozzle 310</t>
    <phoneticPr fontId="3" type="noConversion"/>
  </si>
  <si>
    <t>KHY-M7770-A0 Nozzle 306</t>
    <phoneticPr fontId="3" type="noConversion"/>
  </si>
  <si>
    <t>Nozzle 311</t>
    <phoneticPr fontId="3" type="noConversion"/>
  </si>
  <si>
    <t>Nozzle 313</t>
    <phoneticPr fontId="3" type="noConversion"/>
  </si>
  <si>
    <t>Nozzle 302</t>
    <phoneticPr fontId="3" type="noConversion"/>
  </si>
  <si>
    <t>Nozzle 312</t>
    <phoneticPr fontId="3" type="noConversion"/>
  </si>
  <si>
    <t>Nozzle 303</t>
    <phoneticPr fontId="3" type="noConversion"/>
  </si>
  <si>
    <t>Nozzle 301</t>
    <phoneticPr fontId="3" type="noConversion"/>
  </si>
  <si>
    <t>Nozzle 304</t>
    <phoneticPr fontId="3" type="noConversion"/>
  </si>
  <si>
    <t>Nozzle 305</t>
    <phoneticPr fontId="3" type="noConversion"/>
  </si>
  <si>
    <t>Nozzle 310</t>
    <phoneticPr fontId="3" type="noConversion"/>
  </si>
  <si>
    <r>
      <t>2023-3-22</t>
    </r>
    <r>
      <rPr>
        <sz val="8"/>
        <rFont val="宋体"/>
        <family val="2"/>
        <charset val="134"/>
      </rPr>
      <t>清关</t>
    </r>
    <phoneticPr fontId="3" type="noConversion"/>
  </si>
  <si>
    <r>
      <rPr>
        <sz val="9"/>
        <rFont val="宋体"/>
        <family val="2"/>
        <charset val="134"/>
      </rPr>
      <t>北京环宇广泽</t>
    </r>
    <r>
      <rPr>
        <sz val="9"/>
        <rFont val="Arial"/>
        <family val="2"/>
      </rPr>
      <t xml:space="preserve"> [C66BJ23048] </t>
    </r>
    <phoneticPr fontId="3" type="noConversion"/>
  </si>
  <si>
    <r>
      <t>2023-3-22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</si>
  <si>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10"/>
        <color theme="0"/>
        <rFont val="Arial"/>
        <family val="2"/>
      </rPr>
      <t>C49buffer</t>
    </r>
    <r>
      <rPr>
        <sz val="11"/>
        <color theme="0"/>
        <rFont val="Arial"/>
        <family val="2"/>
      </rPr>
      <t xml:space="preserve">                    </t>
    </r>
    <phoneticPr fontId="3" type="noConversion"/>
  </si>
  <si>
    <r>
      <rPr>
        <sz val="10"/>
        <color theme="0"/>
        <rFont val="Arial"/>
        <family val="2"/>
      </rPr>
      <t>C66buffer</t>
    </r>
    <r>
      <rPr>
        <sz val="11"/>
        <color theme="0"/>
        <rFont val="Arial"/>
        <family val="2"/>
      </rPr>
      <t xml:space="preserve">                     </t>
    </r>
    <phoneticPr fontId="3" type="noConversion"/>
  </si>
  <si>
    <t>没有预留机器</t>
    <phoneticPr fontId="3" type="noConversion"/>
  </si>
  <si>
    <r>
      <rPr>
        <sz val="9"/>
        <rFont val="宋体"/>
        <family val="2"/>
        <charset val="134"/>
      </rPr>
      <t>贵阳永青</t>
    </r>
    <r>
      <rPr>
        <sz val="9"/>
        <rFont val="Arial"/>
        <family val="2"/>
      </rPr>
      <t>C49CTU20230328/FZM</t>
    </r>
    <phoneticPr fontId="3" type="noConversion"/>
  </si>
  <si>
    <r>
      <rPr>
        <sz val="11"/>
        <color theme="1"/>
        <rFont val="宋体"/>
        <family val="2"/>
        <charset val="134"/>
      </rPr>
      <t>已经到货</t>
    </r>
    <phoneticPr fontId="3" type="noConversion"/>
  </si>
  <si>
    <t xml:space="preserve">Incoming   </t>
    <phoneticPr fontId="3" type="noConversion"/>
  </si>
  <si>
    <t xml:space="preserve">TBA                     </t>
    <phoneticPr fontId="3" type="noConversion"/>
  </si>
  <si>
    <t>buffer</t>
  </si>
  <si>
    <t>NOV 23</t>
    <phoneticPr fontId="3" type="noConversion"/>
  </si>
  <si>
    <t>DEC 23</t>
    <phoneticPr fontId="3" type="noConversion"/>
  </si>
  <si>
    <t>已经到货</t>
    <phoneticPr fontId="3" type="noConversion"/>
  </si>
  <si>
    <r>
      <rPr>
        <sz val="11"/>
        <color theme="1"/>
        <rFont val="宋体"/>
        <family val="2"/>
        <charset val="134"/>
      </rPr>
      <t>机器台数</t>
    </r>
    <phoneticPr fontId="3" type="noConversion"/>
  </si>
  <si>
    <r>
      <t xml:space="preserve">deposit </t>
    </r>
    <r>
      <rPr>
        <sz val="11"/>
        <color theme="0"/>
        <rFont val="宋体"/>
        <family val="2"/>
        <charset val="134"/>
      </rPr>
      <t>合同</t>
    </r>
    <r>
      <rPr>
        <sz val="11"/>
        <color theme="0"/>
        <rFont val="Arial"/>
        <family val="2"/>
      </rPr>
      <t xml:space="preserve">    </t>
    </r>
    <phoneticPr fontId="3" type="noConversion"/>
  </si>
  <si>
    <r>
      <t xml:space="preserve">No deposit </t>
    </r>
    <r>
      <rPr>
        <sz val="11"/>
        <color theme="0"/>
        <rFont val="宋体"/>
        <family val="2"/>
        <charset val="134"/>
      </rPr>
      <t>合同</t>
    </r>
    <r>
      <rPr>
        <sz val="11"/>
        <color theme="0"/>
        <rFont val="Arial"/>
        <family val="2"/>
      </rPr>
      <t xml:space="preserve">     </t>
    </r>
    <phoneticPr fontId="3" type="noConversion"/>
  </si>
  <si>
    <t>STK机</t>
    <phoneticPr fontId="3" type="noConversion"/>
  </si>
  <si>
    <t xml:space="preserve">TBA                          </t>
    <phoneticPr fontId="3" type="noConversion"/>
  </si>
  <si>
    <r>
      <t xml:space="preserve">deposit </t>
    </r>
    <r>
      <rPr>
        <b/>
        <sz val="11"/>
        <rFont val="宋体"/>
        <family val="2"/>
        <charset val="134"/>
      </rPr>
      <t>合同</t>
    </r>
    <phoneticPr fontId="3" type="noConversion"/>
  </si>
  <si>
    <r>
      <t xml:space="preserve">No deposit </t>
    </r>
    <r>
      <rPr>
        <b/>
        <sz val="11"/>
        <rFont val="宋体"/>
        <family val="2"/>
        <charset val="134"/>
      </rPr>
      <t>合同</t>
    </r>
    <phoneticPr fontId="3" type="noConversion"/>
  </si>
  <si>
    <r>
      <t>STK</t>
    </r>
    <r>
      <rPr>
        <b/>
        <sz val="11"/>
        <rFont val="宋体"/>
        <family val="2"/>
        <charset val="134"/>
      </rPr>
      <t>机</t>
    </r>
    <phoneticPr fontId="3" type="noConversion"/>
  </si>
  <si>
    <r>
      <t>Incoming</t>
    </r>
    <r>
      <rPr>
        <b/>
        <sz val="11"/>
        <rFont val="宋体"/>
        <family val="2"/>
        <charset val="134"/>
      </rPr>
      <t xml:space="preserve"> </t>
    </r>
    <phoneticPr fontId="3" type="noConversion"/>
  </si>
  <si>
    <r>
      <t>Reserved</t>
    </r>
    <r>
      <rPr>
        <b/>
        <sz val="11"/>
        <rFont val="宋体"/>
        <family val="2"/>
        <charset val="134"/>
      </rPr>
      <t>（机器台数)</t>
    </r>
    <phoneticPr fontId="3" type="noConversion"/>
  </si>
  <si>
    <r>
      <t>No Reserved</t>
    </r>
    <r>
      <rPr>
        <b/>
        <sz val="11"/>
        <rFont val="宋体"/>
        <family val="2"/>
        <charset val="134"/>
      </rPr>
      <t>（机器台数）</t>
    </r>
    <phoneticPr fontId="3" type="noConversion"/>
  </si>
  <si>
    <t>Y64933</t>
  </si>
  <si>
    <t>Y65176</t>
  </si>
  <si>
    <t>Y65177</t>
  </si>
  <si>
    <t>Y65178</t>
  </si>
  <si>
    <t>Y65179</t>
  </si>
  <si>
    <t>C230345279</t>
  </si>
  <si>
    <t>Y62562</t>
    <phoneticPr fontId="3" type="noConversion"/>
  </si>
  <si>
    <t>C230345258</t>
  </si>
  <si>
    <t>C230345120</t>
  </si>
  <si>
    <t>NM, Coper rate 0.0530 PO#111134</t>
    <phoneticPr fontId="3" type="noConversion"/>
  </si>
  <si>
    <t xml:space="preserve">NM,Coper rate 0.0530 </t>
    <phoneticPr fontId="3" type="noConversion"/>
  </si>
  <si>
    <t>NM,Coper rate 0.0530 PO#111134</t>
    <phoneticPr fontId="3" type="noConversion"/>
  </si>
  <si>
    <t>NM,Coper rate 0.0501 PO#111096</t>
    <phoneticPr fontId="3" type="noConversion"/>
  </si>
  <si>
    <r>
      <t>华彩鑫</t>
    </r>
    <r>
      <rPr>
        <sz val="9"/>
        <rFont val="Arial"/>
        <family val="2"/>
      </rPr>
      <t>-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po#C66SZ24020&amp;PO</t>
    </r>
  </si>
  <si>
    <t>C170128496</t>
  </si>
  <si>
    <t>C230445648</t>
  </si>
  <si>
    <t>2023-4-18清关</t>
    <phoneticPr fontId="3" type="noConversion"/>
  </si>
  <si>
    <t>C221144409</t>
  </si>
  <si>
    <t>C230345373</t>
    <phoneticPr fontId="3" type="noConversion"/>
  </si>
  <si>
    <t>NM coper rate 0.0501,PO#111096</t>
    <phoneticPr fontId="3" type="noConversion"/>
  </si>
  <si>
    <t>NM,Coper rate 0.0530 PO#111131</t>
    <phoneticPr fontId="3" type="noConversion"/>
  </si>
  <si>
    <t>Y63145</t>
    <phoneticPr fontId="3" type="noConversion"/>
  </si>
  <si>
    <r>
      <t xml:space="preserve"> 0.0502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 xml:space="preserve"> </t>
    </r>
    <phoneticPr fontId="3" type="noConversion"/>
  </si>
  <si>
    <r>
      <t>0.0527,RMB</t>
    </r>
    <r>
      <rPr>
        <sz val="8"/>
        <color theme="1"/>
        <rFont val="宋体"/>
        <family val="2"/>
        <charset val="134"/>
      </rPr>
      <t>清关,</t>
    </r>
    <phoneticPr fontId="3" type="noConversion"/>
  </si>
  <si>
    <t>0.0512 ,</t>
    <phoneticPr fontId="3" type="noConversion"/>
  </si>
  <si>
    <t>NM,</t>
    <phoneticPr fontId="3" type="noConversion"/>
  </si>
  <si>
    <r>
      <t>111277(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PO111305)</t>
    </r>
    <phoneticPr fontId="3" type="noConversion"/>
  </si>
  <si>
    <r>
      <t>111278(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PO111304)</t>
    </r>
    <phoneticPr fontId="3" type="noConversion"/>
  </si>
  <si>
    <t>宁夏隆基宁光仪表股份有限公司</t>
  </si>
  <si>
    <t>66F(service)</t>
    <phoneticPr fontId="3" type="noConversion"/>
  </si>
  <si>
    <r>
      <rPr>
        <sz val="9"/>
        <rFont val="宋体"/>
        <family val="2"/>
        <charset val="134"/>
      </rPr>
      <t>华彩鑫</t>
    </r>
    <r>
      <rPr>
        <sz val="9"/>
        <rFont val="Arial"/>
        <family val="2"/>
      </rPr>
      <t>ZS 1216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PO#C66SZ24028</t>
    </r>
    <phoneticPr fontId="3" type="noConversion"/>
  </si>
  <si>
    <r>
      <rPr>
        <sz val="9"/>
        <rFont val="宋体"/>
        <family val="2"/>
        <charset val="134"/>
      </rPr>
      <t>上海科特新材料股份有限公司（</t>
    </r>
    <r>
      <rPr>
        <sz val="9"/>
        <rFont val="Arial"/>
        <family val="2"/>
      </rPr>
      <t>C66SHA230007</t>
    </r>
    <r>
      <rPr>
        <sz val="9"/>
        <rFont val="宋体"/>
        <family val="2"/>
        <charset val="134"/>
      </rPr>
      <t>）</t>
    </r>
    <phoneticPr fontId="3" type="noConversion"/>
  </si>
  <si>
    <t>Y65157</t>
  </si>
  <si>
    <t>Y65158</t>
  </si>
  <si>
    <t>Y65159</t>
  </si>
  <si>
    <t>Y65160</t>
  </si>
  <si>
    <t>Y65161</t>
  </si>
  <si>
    <t>Y65163</t>
  </si>
  <si>
    <t>Y65164</t>
  </si>
  <si>
    <t>Y65165</t>
  </si>
  <si>
    <t>Y65376</t>
  </si>
  <si>
    <t>Y65377</t>
  </si>
  <si>
    <t>Y60261</t>
  </si>
  <si>
    <t>Y60940</t>
  </si>
  <si>
    <t>Y61086</t>
  </si>
  <si>
    <t>Y62075</t>
  </si>
  <si>
    <t>Y62432</t>
  </si>
  <si>
    <r>
      <t>49A104191(</t>
    </r>
    <r>
      <rPr>
        <sz val="9"/>
        <color theme="1"/>
        <rFont val="宋体"/>
        <family val="2"/>
        <charset val="134"/>
      </rPr>
      <t>北京单采购)</t>
    </r>
    <phoneticPr fontId="3" type="noConversion"/>
  </si>
  <si>
    <r>
      <t>49A104204(</t>
    </r>
    <r>
      <rPr>
        <sz val="9"/>
        <color theme="1"/>
        <rFont val="宋体"/>
        <family val="2"/>
        <charset val="134"/>
      </rPr>
      <t>北京单采购</t>
    </r>
    <r>
      <rPr>
        <sz val="9"/>
        <color theme="1"/>
        <rFont val="Arial"/>
        <family val="2"/>
      </rPr>
      <t>)</t>
    </r>
    <phoneticPr fontId="3" type="noConversion"/>
  </si>
  <si>
    <r>
      <t>49A104234(</t>
    </r>
    <r>
      <rPr>
        <sz val="9"/>
        <color theme="1"/>
        <rFont val="宋体"/>
        <family val="2"/>
        <charset val="134"/>
      </rPr>
      <t>北京单采购</t>
    </r>
    <r>
      <rPr>
        <sz val="9"/>
        <color theme="1"/>
        <rFont val="Arial"/>
        <family val="2"/>
      </rPr>
      <t>)</t>
    </r>
    <phoneticPr fontId="3" type="noConversion"/>
  </si>
  <si>
    <r>
      <t>49A104251(</t>
    </r>
    <r>
      <rPr>
        <sz val="9"/>
        <color theme="1"/>
        <rFont val="宋体"/>
        <family val="2"/>
        <charset val="134"/>
      </rPr>
      <t>北京单采购</t>
    </r>
    <r>
      <rPr>
        <sz val="9"/>
        <color theme="1"/>
        <rFont val="Arial"/>
        <family val="2"/>
      </rPr>
      <t>)</t>
    </r>
    <phoneticPr fontId="3" type="noConversion"/>
  </si>
  <si>
    <r>
      <t>49A104149(</t>
    </r>
    <r>
      <rPr>
        <sz val="9"/>
        <color theme="1"/>
        <rFont val="宋体"/>
        <family val="2"/>
        <charset val="134"/>
      </rPr>
      <t>北京单采购)</t>
    </r>
    <phoneticPr fontId="3" type="noConversion"/>
  </si>
  <si>
    <t>平均价</t>
    <phoneticPr fontId="3" type="noConversion"/>
  </si>
  <si>
    <t>C230445790</t>
  </si>
  <si>
    <t>Y65217</t>
  </si>
  <si>
    <t>Y65218</t>
  </si>
  <si>
    <t>Y65219</t>
  </si>
  <si>
    <t>Y65220</t>
  </si>
  <si>
    <t>Y65221</t>
  </si>
  <si>
    <t>Y65222</t>
  </si>
  <si>
    <t>Y65223</t>
  </si>
  <si>
    <t>Y65224</t>
  </si>
  <si>
    <t>Y65225</t>
  </si>
  <si>
    <r>
      <rPr>
        <sz val="9"/>
        <rFont val="宋体"/>
        <family val="2"/>
        <charset val="134"/>
      </rPr>
      <t>铁城信息科技（台州）</t>
    </r>
    <r>
      <rPr>
        <sz val="9"/>
        <rFont val="Arial"/>
        <family val="2"/>
      </rPr>
      <t>C66SHA202304018</t>
    </r>
    <phoneticPr fontId="3" type="noConversion"/>
  </si>
  <si>
    <t>C230445645</t>
  </si>
  <si>
    <t>C210540263</t>
  </si>
  <si>
    <r>
      <t>2023-5-11</t>
    </r>
    <r>
      <rPr>
        <sz val="8"/>
        <rFont val="宋体"/>
        <family val="2"/>
        <charset val="134"/>
      </rPr>
      <t>清关</t>
    </r>
    <phoneticPr fontId="3" type="noConversion"/>
  </si>
  <si>
    <r>
      <t>2023-5-11</t>
    </r>
    <r>
      <rPr>
        <sz val="9"/>
        <rFont val="微软雅黑"/>
        <family val="2"/>
        <charset val="134"/>
      </rPr>
      <t>清关</t>
    </r>
    <phoneticPr fontId="3" type="noConversion"/>
  </si>
  <si>
    <t>清关（单独)</t>
    <phoneticPr fontId="3" type="noConversion"/>
  </si>
  <si>
    <t>C230545853</t>
  </si>
  <si>
    <r>
      <t>2023-5-11</t>
    </r>
    <r>
      <rPr>
        <sz val="9"/>
        <rFont val="宋体"/>
        <family val="2"/>
        <charset val="134"/>
      </rPr>
      <t>清关</t>
    </r>
    <phoneticPr fontId="3" type="noConversion"/>
  </si>
  <si>
    <r>
      <t>2023-5-15</t>
    </r>
    <r>
      <rPr>
        <sz val="9"/>
        <rFont val="宋体"/>
        <family val="2"/>
        <charset val="134"/>
      </rPr>
      <t>清关</t>
    </r>
    <phoneticPr fontId="3" type="noConversion"/>
  </si>
  <si>
    <t>Y63150</t>
    <phoneticPr fontId="3" type="noConversion"/>
  </si>
  <si>
    <t>Y63987</t>
    <phoneticPr fontId="3" type="noConversion"/>
  </si>
  <si>
    <t>C221144350</t>
  </si>
  <si>
    <r>
      <t xml:space="preserve">2021-12-7 Yamaha </t>
    </r>
    <r>
      <rPr>
        <sz val="10"/>
        <color theme="1"/>
        <rFont val="宋体"/>
        <family val="2"/>
        <charset val="134"/>
      </rPr>
      <t>仓库</t>
    </r>
    <phoneticPr fontId="3" type="noConversion"/>
  </si>
  <si>
    <r>
      <t xml:space="preserve">2021-12-7Yamaha </t>
    </r>
    <r>
      <rPr>
        <sz val="10"/>
        <color theme="1"/>
        <rFont val="宋体"/>
        <family val="2"/>
        <charset val="134"/>
      </rPr>
      <t>仓库</t>
    </r>
    <phoneticPr fontId="3" type="noConversion"/>
  </si>
  <si>
    <r>
      <rPr>
        <sz val="10"/>
        <color theme="1"/>
        <rFont val="宋体"/>
        <family val="2"/>
        <charset val="134"/>
      </rPr>
      <t>2021-</t>
    </r>
    <r>
      <rPr>
        <sz val="10"/>
        <color theme="1"/>
        <rFont val="Arial"/>
        <family val="2"/>
      </rPr>
      <t xml:space="preserve"> 9</t>
    </r>
    <r>
      <rPr>
        <sz val="10"/>
        <color theme="1"/>
        <rFont val="宋体"/>
        <family val="2"/>
        <charset val="134"/>
      </rPr>
      <t>月中下旬苏州仓库</t>
    </r>
    <phoneticPr fontId="3" type="noConversion"/>
  </si>
  <si>
    <t>2022-1-17Yamaha 仓库</t>
  </si>
  <si>
    <t>2022-1-17Yamaha 仓库</t>
    <phoneticPr fontId="3" type="noConversion"/>
  </si>
  <si>
    <t>2022-8-9Yamaha 仓库</t>
    <phoneticPr fontId="3" type="noConversion"/>
  </si>
  <si>
    <r>
      <rPr>
        <sz val="10"/>
        <color theme="1"/>
        <rFont val="宋体"/>
        <family val="2"/>
        <charset val="134"/>
      </rPr>
      <t>2021-7-21富洛</t>
    </r>
    <r>
      <rPr>
        <sz val="10"/>
        <color theme="1"/>
        <rFont val="Arial"/>
        <family val="2"/>
      </rPr>
      <t>HK</t>
    </r>
    <r>
      <rPr>
        <sz val="10"/>
        <color theme="1"/>
        <rFont val="宋体"/>
        <family val="2"/>
        <charset val="134"/>
      </rPr>
      <t>仓库</t>
    </r>
    <phoneticPr fontId="3" type="noConversion"/>
  </si>
  <si>
    <t>2022/4/15 北京单</t>
    <phoneticPr fontId="3" type="noConversion"/>
  </si>
  <si>
    <t>2022-7-25北京单</t>
    <phoneticPr fontId="3" type="noConversion"/>
  </si>
  <si>
    <t>C230545984</t>
  </si>
  <si>
    <t>JUN 23</t>
  </si>
  <si>
    <t>Y65757</t>
  </si>
  <si>
    <t>Y65759</t>
  </si>
  <si>
    <t>Y65760</t>
  </si>
  <si>
    <t>Y65761</t>
  </si>
  <si>
    <t>Y65762</t>
  </si>
  <si>
    <t>Y65763</t>
  </si>
  <si>
    <t>Y65764</t>
  </si>
  <si>
    <t>Y65765</t>
  </si>
  <si>
    <t>Y65766</t>
  </si>
  <si>
    <t>Y65768</t>
  </si>
  <si>
    <t>Y65769</t>
  </si>
  <si>
    <t>Y65770</t>
  </si>
  <si>
    <t>Y65771</t>
  </si>
  <si>
    <t>Y65772</t>
  </si>
  <si>
    <t>Y65773</t>
  </si>
  <si>
    <t>Y65774</t>
  </si>
  <si>
    <t>Y65775</t>
  </si>
  <si>
    <t>Y65776</t>
  </si>
  <si>
    <t>Y65777</t>
  </si>
  <si>
    <t>宁夏隆基宁光仪表股份有限公司</t>
    <phoneticPr fontId="3" type="noConversion"/>
  </si>
  <si>
    <r>
      <rPr>
        <sz val="9"/>
        <rFont val="宋体"/>
        <family val="2"/>
        <charset val="134"/>
      </rPr>
      <t>徕芬</t>
    </r>
    <r>
      <rPr>
        <sz val="9"/>
        <rFont val="Arial"/>
        <family val="2"/>
      </rPr>
      <t>-C66SZ24088REV1</t>
    </r>
    <phoneticPr fontId="3" type="noConversion"/>
  </si>
  <si>
    <r>
      <rPr>
        <sz val="9"/>
        <rFont val="宋体"/>
        <family val="2"/>
        <charset val="134"/>
      </rPr>
      <t>德润通</t>
    </r>
    <r>
      <rPr>
        <sz val="9"/>
        <rFont val="Arial"/>
        <family val="2"/>
      </rPr>
      <t>PO#C66SZ24075</t>
    </r>
    <phoneticPr fontId="3" type="noConversion"/>
  </si>
  <si>
    <r>
      <t xml:space="preserve">2023-4-25 66N </t>
    </r>
    <r>
      <rPr>
        <sz val="8"/>
        <rFont val="宋体"/>
        <family val="2"/>
        <charset val="134"/>
      </rPr>
      <t>转49</t>
    </r>
    <r>
      <rPr>
        <sz val="8"/>
        <rFont val="Arial"/>
        <family val="2"/>
      </rPr>
      <t>N</t>
    </r>
    <phoneticPr fontId="3" type="noConversion"/>
  </si>
  <si>
    <t>C230545954</t>
  </si>
  <si>
    <t>JUL 23</t>
  </si>
  <si>
    <r>
      <rPr>
        <sz val="9"/>
        <rFont val="宋体"/>
        <family val="2"/>
        <charset val="134"/>
      </rPr>
      <t>彩熠</t>
    </r>
    <r>
      <rPr>
        <sz val="9"/>
        <rFont val="Arial"/>
        <family val="2"/>
      </rPr>
      <t>PO#C66SZ24035REV5</t>
    </r>
    <phoneticPr fontId="3" type="noConversion"/>
  </si>
  <si>
    <r>
      <t>彩熠</t>
    </r>
    <r>
      <rPr>
        <sz val="9"/>
        <rFont val="Arial"/>
        <family val="2"/>
      </rPr>
      <t>C66SZ24101REV2</t>
    </r>
    <phoneticPr fontId="3" type="noConversion"/>
  </si>
  <si>
    <r>
      <t>Y63147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</si>
  <si>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Y63151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</si>
  <si>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t>C230545868</t>
  </si>
  <si>
    <t>C201238798</t>
  </si>
  <si>
    <t>C220743320</t>
  </si>
  <si>
    <t>苏州晶台光电有限  PO23060010</t>
    <phoneticPr fontId="3" type="noConversion"/>
  </si>
  <si>
    <r>
      <rPr>
        <sz val="9"/>
        <rFont val="宋体"/>
        <family val="2"/>
        <charset val="134"/>
      </rPr>
      <t>宝庭</t>
    </r>
    <r>
      <rPr>
        <sz val="9"/>
        <rFont val="Arial"/>
        <family val="2"/>
      </rPr>
      <t>C66SZ24104</t>
    </r>
    <phoneticPr fontId="3" type="noConversion"/>
  </si>
  <si>
    <r>
      <t>泉州南安特易通（深圳合进高）</t>
    </r>
    <r>
      <rPr>
        <sz val="9"/>
        <rFont val="Arial"/>
        <family val="2"/>
      </rPr>
      <t>C49XMN20230615LYX</t>
    </r>
  </si>
  <si>
    <t>AUG 23</t>
  </si>
  <si>
    <t>众华C66S224118</t>
  </si>
  <si>
    <r>
      <t>2023-6-26</t>
    </r>
    <r>
      <rPr>
        <sz val="9"/>
        <rFont val="微软雅黑"/>
        <family val="2"/>
        <charset val="134"/>
      </rPr>
      <t>清关</t>
    </r>
    <phoneticPr fontId="3" type="noConversion"/>
  </si>
  <si>
    <t>2023-6-26清关</t>
    <phoneticPr fontId="3" type="noConversion"/>
  </si>
  <si>
    <t>28L104577</t>
    <phoneticPr fontId="3" type="noConversion"/>
  </si>
  <si>
    <t>成景名义下单（上海下单)</t>
    <phoneticPr fontId="3" type="noConversion"/>
  </si>
  <si>
    <r>
      <rPr>
        <sz val="9"/>
        <rFont val="宋体"/>
        <family val="2"/>
        <charset val="134"/>
      </rPr>
      <t>顺禾飞达</t>
    </r>
    <r>
      <rPr>
        <sz val="9"/>
        <rFont val="Arial"/>
        <family val="2"/>
      </rPr>
      <t>PO#C66SZ24002REV1</t>
    </r>
    <phoneticPr fontId="3" type="noConversion"/>
  </si>
  <si>
    <t>SS Feeder</t>
    <phoneticPr fontId="3" type="noConversion"/>
  </si>
  <si>
    <t>ZS Feeder</t>
    <phoneticPr fontId="3" type="noConversion"/>
  </si>
  <si>
    <t>C28.</t>
  </si>
  <si>
    <t>C28.</t>
    <phoneticPr fontId="3" type="noConversion"/>
  </si>
  <si>
    <t>C220743436</t>
  </si>
  <si>
    <t>Qty</t>
  </si>
  <si>
    <t>Month</t>
    <phoneticPr fontId="3" type="noConversion"/>
  </si>
  <si>
    <t>OCT 22</t>
    <phoneticPr fontId="3" type="noConversion"/>
  </si>
  <si>
    <t>Feeder 类型</t>
    <phoneticPr fontId="3" type="noConversion"/>
  </si>
  <si>
    <t>SS Feeder</t>
  </si>
  <si>
    <t>ZS Feeder</t>
  </si>
  <si>
    <t xml:space="preserve">MVC+ATS15(with 5 heads) </t>
  </si>
  <si>
    <t xml:space="preserve">MVC+ATS15(with 5 heads) </t>
    <phoneticPr fontId="3" type="noConversion"/>
  </si>
  <si>
    <r>
      <rPr>
        <sz val="9"/>
        <rFont val="Arial"/>
        <family val="2"/>
      </rPr>
      <t>66N</t>
    </r>
    <r>
      <rPr>
        <sz val="9"/>
        <rFont val="宋体"/>
        <family val="2"/>
        <charset val="134"/>
      </rPr>
      <t>顺禾</t>
    </r>
    <r>
      <rPr>
        <sz val="9"/>
        <rFont val="Arial"/>
        <family val="2"/>
      </rPr>
      <t>C66SZ24145REV1</t>
    </r>
    <phoneticPr fontId="3" type="noConversion"/>
  </si>
  <si>
    <t>剩余可用库存</t>
    <phoneticPr fontId="3" type="noConversion"/>
  </si>
  <si>
    <r>
      <t>Y63144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</si>
  <si>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111361(</t>
    </r>
    <r>
      <rPr>
        <sz val="9"/>
        <color theme="1"/>
        <rFont val="宋体"/>
        <family val="2"/>
        <charset val="134"/>
      </rPr>
      <t>拆单111364）</t>
    </r>
    <phoneticPr fontId="3" type="noConversion"/>
  </si>
  <si>
    <r>
      <t>2023/8/7,</t>
    </r>
    <r>
      <rPr>
        <sz val="10"/>
        <color theme="1"/>
        <rFont val="宋体"/>
        <family val="2"/>
        <charset val="134"/>
      </rPr>
      <t>上海港</t>
    </r>
    <phoneticPr fontId="3" type="noConversion"/>
  </si>
  <si>
    <r>
      <t xml:space="preserve">JPY/HKD:0.0568,USD/HKD </t>
    </r>
    <r>
      <rPr>
        <sz val="8"/>
        <color theme="1"/>
        <rFont val="微软雅黑"/>
        <family val="2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</si>
  <si>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r>
      <rPr>
        <sz val="9"/>
        <rFont val="微软雅黑"/>
        <family val="2"/>
        <charset val="134"/>
      </rPr>
      <t>汉旗电子科技（固安）</t>
    </r>
    <r>
      <rPr>
        <sz val="9"/>
        <rFont val="Arial"/>
        <family val="2"/>
      </rPr>
      <t>C49BJS20230713ZX</t>
    </r>
    <phoneticPr fontId="3" type="noConversion"/>
  </si>
  <si>
    <r>
      <rPr>
        <sz val="9"/>
        <rFont val="宋体"/>
        <family val="2"/>
        <charset val="134"/>
      </rPr>
      <t>上海边光（合同编号：</t>
    </r>
    <r>
      <rPr>
        <sz val="9"/>
        <rFont val="Arial"/>
        <family val="2"/>
      </rPr>
      <t>C49SUZ20230504/SZS</t>
    </r>
    <r>
      <rPr>
        <sz val="9"/>
        <rFont val="宋体"/>
        <family val="2"/>
        <charset val="134"/>
      </rPr>
      <t>）</t>
    </r>
    <phoneticPr fontId="3" type="noConversion"/>
  </si>
  <si>
    <t>浙江中孚</t>
    <phoneticPr fontId="3" type="noConversion"/>
  </si>
  <si>
    <r>
      <t>2023-7-25</t>
    </r>
    <r>
      <rPr>
        <sz val="9"/>
        <rFont val="微软雅黑"/>
        <family val="2"/>
        <charset val="134"/>
      </rPr>
      <t>清关</t>
    </r>
    <phoneticPr fontId="3" type="noConversion"/>
  </si>
  <si>
    <r>
      <t>2023-7-25</t>
    </r>
    <r>
      <rPr>
        <sz val="8"/>
        <rFont val="微软雅黑"/>
        <family val="2"/>
        <charset val="134"/>
      </rPr>
      <t>清关</t>
    </r>
    <phoneticPr fontId="3" type="noConversion"/>
  </si>
  <si>
    <t>清关</t>
  </si>
  <si>
    <r>
      <t>2023-7-31</t>
    </r>
    <r>
      <rPr>
        <sz val="9"/>
        <rFont val="宋体"/>
        <family val="2"/>
        <charset val="134"/>
      </rPr>
      <t>清关</t>
    </r>
    <phoneticPr fontId="3" type="noConversion"/>
  </si>
  <si>
    <r>
      <t>111310(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PO111374)</t>
    </r>
    <phoneticPr fontId="3" type="noConversion"/>
  </si>
  <si>
    <r>
      <t>111309(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PO111373)</t>
    </r>
    <phoneticPr fontId="3" type="noConversion"/>
  </si>
  <si>
    <t>C220943714</t>
  </si>
  <si>
    <t>C230646271</t>
  </si>
  <si>
    <t>Y66231</t>
  </si>
  <si>
    <t>Y66232</t>
  </si>
  <si>
    <t>Y66234</t>
  </si>
  <si>
    <t>Y66235</t>
  </si>
  <si>
    <t>Y66236</t>
  </si>
  <si>
    <t>Y66238</t>
  </si>
  <si>
    <t>Y66239</t>
  </si>
  <si>
    <t>Y66240</t>
  </si>
  <si>
    <t>前海（完税）仓</t>
  </si>
  <si>
    <r>
      <t>ESHL</t>
    </r>
    <r>
      <rPr>
        <sz val="11"/>
        <rFont val="宋体"/>
        <family val="2"/>
        <charset val="134"/>
      </rPr>
      <t>上海本</t>
    </r>
    <phoneticPr fontId="3" type="noConversion"/>
  </si>
  <si>
    <t>72GC</t>
    <phoneticPr fontId="3" type="noConversion"/>
  </si>
  <si>
    <t>Unit cost</t>
    <phoneticPr fontId="3" type="noConversion"/>
  </si>
  <si>
    <t>Total cost</t>
    <phoneticPr fontId="3" type="noConversion"/>
  </si>
  <si>
    <t>型号</t>
    <phoneticPr fontId="3" type="noConversion"/>
  </si>
  <si>
    <t>Exchange to</t>
    <phoneticPr fontId="3" type="noConversion"/>
  </si>
  <si>
    <r>
      <t>Y63155</t>
    </r>
    <r>
      <rPr>
        <sz val="10"/>
        <color theme="1"/>
        <rFont val="等线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等线"/>
        <family val="2"/>
        <charset val="134"/>
      </rPr>
      <t>个相机，放在力合）</t>
    </r>
    <phoneticPr fontId="3" type="noConversion"/>
  </si>
  <si>
    <r>
      <t>Y63156</t>
    </r>
    <r>
      <rPr>
        <sz val="10"/>
        <color theme="1"/>
        <rFont val="等线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等线"/>
        <family val="2"/>
        <charset val="134"/>
      </rPr>
      <t>个相机，放在力合）</t>
    </r>
    <phoneticPr fontId="3" type="noConversion"/>
  </si>
  <si>
    <r>
      <t>Y63154</t>
    </r>
    <r>
      <rPr>
        <sz val="10"/>
        <color theme="1"/>
        <rFont val="等线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等线"/>
        <family val="2"/>
        <charset val="134"/>
      </rPr>
      <t>个相机，放在力合）</t>
    </r>
    <phoneticPr fontId="3" type="noConversion"/>
  </si>
  <si>
    <t>B28111390</t>
    <phoneticPr fontId="3" type="noConversion"/>
  </si>
  <si>
    <r>
      <t>乐迪泰</t>
    </r>
    <r>
      <rPr>
        <sz val="9"/>
        <rFont val="Arial"/>
        <family val="2"/>
      </rPr>
      <t>C66SZ24211</t>
    </r>
    <phoneticPr fontId="3" type="noConversion"/>
  </si>
  <si>
    <t>Y66222</t>
  </si>
  <si>
    <t>Y66223</t>
  </si>
  <si>
    <t>Y66225</t>
  </si>
  <si>
    <t>Y66226</t>
  </si>
  <si>
    <t>Y66227</t>
  </si>
  <si>
    <t>Y66228</t>
  </si>
  <si>
    <t>Y66229</t>
  </si>
  <si>
    <t>Y66230</t>
  </si>
  <si>
    <t>Y66709</t>
  </si>
  <si>
    <t>Misc-out</t>
    <phoneticPr fontId="3" type="noConversion"/>
  </si>
  <si>
    <t>SZX</t>
    <phoneticPr fontId="3" type="noConversion"/>
  </si>
  <si>
    <t>SHA</t>
    <phoneticPr fontId="3" type="noConversion"/>
  </si>
  <si>
    <t xml:space="preserve">金华苏夏C66SHA24102R  </t>
    <phoneticPr fontId="3" type="noConversion"/>
  </si>
  <si>
    <t>C220242115</t>
  </si>
  <si>
    <t>C230746645</t>
  </si>
  <si>
    <t xml:space="preserve">C230746574 </t>
  </si>
  <si>
    <r>
      <t>Y65226,</t>
    </r>
    <r>
      <rPr>
        <sz val="10"/>
        <color theme="1"/>
        <rFont val="宋体"/>
        <family val="2"/>
        <charset val="134"/>
      </rPr>
      <t>标签变红</t>
    </r>
    <phoneticPr fontId="3" type="noConversion"/>
  </si>
  <si>
    <r>
      <t>北京启奥昕科技有限公司</t>
    </r>
    <r>
      <rPr>
        <sz val="9"/>
        <rFont val="Arial"/>
        <family val="2"/>
      </rPr>
      <t xml:space="preserve"> &lt;Contract No. C49BJS20230725ZX</t>
    </r>
  </si>
  <si>
    <t>C230445485</t>
    <phoneticPr fontId="3" type="noConversion"/>
  </si>
  <si>
    <r>
      <rPr>
        <sz val="9"/>
        <rFont val="微软雅黑"/>
        <family val="2"/>
        <charset val="134"/>
      </rPr>
      <t>晶品</t>
    </r>
    <r>
      <rPr>
        <sz val="9"/>
        <rFont val="Arial"/>
        <family val="2"/>
      </rPr>
      <t>PO#C66SZ24227PO</t>
    </r>
    <phoneticPr fontId="3" type="noConversion"/>
  </si>
  <si>
    <r>
      <t>Yes</t>
    </r>
    <r>
      <rPr>
        <sz val="9"/>
        <color theme="1"/>
        <rFont val="宋体"/>
        <family val="2"/>
        <charset val="134"/>
      </rPr>
      <t>不含税</t>
    </r>
    <phoneticPr fontId="3" type="noConversion"/>
  </si>
  <si>
    <r>
      <t>Yes</t>
    </r>
    <r>
      <rPr>
        <sz val="9"/>
        <color theme="1"/>
        <rFont val="宋体"/>
        <family val="2"/>
        <charset val="134"/>
      </rPr>
      <t>含税</t>
    </r>
    <phoneticPr fontId="3" type="noConversion"/>
  </si>
  <si>
    <t>莫思特SZC49Q20230804-1</t>
    <phoneticPr fontId="3" type="noConversion"/>
  </si>
  <si>
    <r>
      <rPr>
        <sz val="9"/>
        <rFont val="宋体"/>
        <family val="2"/>
        <charset val="134"/>
      </rPr>
      <t>徕芬</t>
    </r>
    <r>
      <rPr>
        <sz val="9"/>
        <rFont val="Arial"/>
        <family val="2"/>
      </rPr>
      <t>PO#LF23080375</t>
    </r>
    <phoneticPr fontId="3" type="noConversion"/>
  </si>
  <si>
    <t>C220542822</t>
    <phoneticPr fontId="3" type="noConversion"/>
  </si>
  <si>
    <r>
      <t>2023-8-24</t>
    </r>
    <r>
      <rPr>
        <sz val="9"/>
        <rFont val="宋体"/>
        <family val="2"/>
        <charset val="134"/>
      </rPr>
      <t>清关</t>
    </r>
    <phoneticPr fontId="3" type="noConversion"/>
  </si>
  <si>
    <t>NM,Coper rate 0.0514</t>
    <phoneticPr fontId="3" type="noConversion"/>
  </si>
  <si>
    <r>
      <rPr>
        <sz val="9"/>
        <rFont val="微软雅黑"/>
        <family val="2"/>
        <charset val="134"/>
      </rPr>
      <t>赛朗斯</t>
    </r>
    <r>
      <rPr>
        <sz val="9"/>
        <rFont val="Arial"/>
        <family val="2"/>
      </rPr>
      <t xml:space="preserve"> C66SZ24237</t>
    </r>
    <phoneticPr fontId="3" type="noConversion"/>
  </si>
  <si>
    <r>
      <rPr>
        <sz val="9"/>
        <rFont val="微软雅黑"/>
        <family val="2"/>
        <charset val="134"/>
      </rPr>
      <t>德润通</t>
    </r>
    <r>
      <rPr>
        <sz val="9"/>
        <rFont val="Arial"/>
        <family val="2"/>
      </rPr>
      <t>PO#C66SZ24242</t>
    </r>
    <phoneticPr fontId="3" type="noConversion"/>
  </si>
  <si>
    <t>C230846864</t>
    <phoneticPr fontId="3" type="noConversion"/>
  </si>
  <si>
    <t>Y66815</t>
  </si>
  <si>
    <t>Y66816</t>
  </si>
  <si>
    <t>Y66817</t>
  </si>
  <si>
    <t>Y66818</t>
  </si>
  <si>
    <t>Y66762</t>
  </si>
  <si>
    <t>Y66763</t>
  </si>
  <si>
    <t>Y66764</t>
  </si>
  <si>
    <t>Y66765</t>
  </si>
  <si>
    <r>
      <rPr>
        <sz val="9"/>
        <rFont val="宋体"/>
        <family val="2"/>
        <charset val="134"/>
      </rPr>
      <t>无锡南杰</t>
    </r>
    <r>
      <rPr>
        <sz val="9"/>
        <rFont val="Arial"/>
        <family val="2"/>
      </rPr>
      <t>HZ-202308-015</t>
    </r>
    <phoneticPr fontId="3" type="noConversion"/>
  </si>
  <si>
    <t>求和项:Qty</t>
  </si>
  <si>
    <t>Warehouse</t>
  </si>
  <si>
    <t>Month</t>
  </si>
  <si>
    <t>Y64058</t>
    <phoneticPr fontId="3" type="noConversion"/>
  </si>
  <si>
    <t>C230746747</t>
    <phoneticPr fontId="3" type="noConversion"/>
  </si>
  <si>
    <t>SEP 23</t>
  </si>
  <si>
    <r>
      <rPr>
        <sz val="9"/>
        <rFont val="宋体"/>
        <family val="2"/>
        <charset val="134"/>
      </rPr>
      <t>乐迪泰</t>
    </r>
    <r>
      <rPr>
        <sz val="9"/>
        <rFont val="Arial"/>
        <family val="2"/>
      </rPr>
      <t>C66SZ24259</t>
    </r>
    <phoneticPr fontId="3" type="noConversion"/>
  </si>
  <si>
    <t>中关村硬创(烟台)</t>
    <phoneticPr fontId="3" type="noConversion"/>
  </si>
  <si>
    <t xml:space="preserve">MVC(with 5 heads) </t>
    <phoneticPr fontId="3" type="noConversion"/>
  </si>
  <si>
    <t xml:space="preserve">MVC(with 5 heads) </t>
  </si>
  <si>
    <t>Y67123</t>
  </si>
  <si>
    <t>Y67124</t>
  </si>
  <si>
    <t>Y67125</t>
  </si>
  <si>
    <t>Y67126</t>
  </si>
  <si>
    <t>Y67127</t>
  </si>
  <si>
    <r>
      <t>2023-9-15</t>
    </r>
    <r>
      <rPr>
        <sz val="9"/>
        <rFont val="宋体"/>
        <family val="2"/>
        <charset val="134"/>
      </rPr>
      <t>清关</t>
    </r>
    <phoneticPr fontId="3" type="noConversion"/>
  </si>
  <si>
    <t>C230847021</t>
  </si>
  <si>
    <t>OCT 23</t>
  </si>
  <si>
    <t>C230947198</t>
  </si>
  <si>
    <t>YMCT|KMB-M7720-A0</t>
    <phoneticPr fontId="3" type="noConversion"/>
  </si>
  <si>
    <t>NOZZLE 7202A ASSY.</t>
    <phoneticPr fontId="3" type="noConversion"/>
  </si>
  <si>
    <t>YMCT|KMB-M7730-A0</t>
    <phoneticPr fontId="3" type="noConversion"/>
  </si>
  <si>
    <t>NOZZLE 7203A ASSY.</t>
    <phoneticPr fontId="3" type="noConversion"/>
  </si>
  <si>
    <t>YMCT|KMB-M7740-A0</t>
    <phoneticPr fontId="3" type="noConversion"/>
  </si>
  <si>
    <t>NOZZLE 7204A ASSY.</t>
    <phoneticPr fontId="3" type="noConversion"/>
  </si>
  <si>
    <t>YMCT|KMB-M7750-A0</t>
    <phoneticPr fontId="3" type="noConversion"/>
  </si>
  <si>
    <t>NOZZLE 7205A ASSY.</t>
    <phoneticPr fontId="3" type="noConversion"/>
  </si>
  <si>
    <t>YMCT|KMB-M7760-A0</t>
    <phoneticPr fontId="3" type="noConversion"/>
  </si>
  <si>
    <t>NOZZLE 7206A ASSY.</t>
    <phoneticPr fontId="3" type="noConversion"/>
  </si>
  <si>
    <t>YMCT|KMB-M77GD-A0</t>
    <phoneticPr fontId="3" type="noConversion"/>
  </si>
  <si>
    <t>NOZZLE 72GDA ASSY.</t>
    <phoneticPr fontId="3" type="noConversion"/>
  </si>
  <si>
    <r>
      <t>CY</t>
    </r>
    <r>
      <rPr>
        <sz val="11"/>
        <color theme="1"/>
        <rFont val="宋体"/>
        <family val="3"/>
        <charset val="134"/>
      </rPr>
      <t>仓库</t>
    </r>
    <phoneticPr fontId="3" type="noConversion"/>
  </si>
  <si>
    <r>
      <rPr>
        <sz val="11"/>
        <color theme="1"/>
        <rFont val="宋体"/>
        <family val="3"/>
        <charset val="134"/>
      </rPr>
      <t>力合仓库</t>
    </r>
    <r>
      <rPr>
        <sz val="11"/>
        <color theme="1"/>
        <rFont val="Arial Nova"/>
        <family val="2"/>
      </rPr>
      <t>(</t>
    </r>
    <r>
      <rPr>
        <sz val="11"/>
        <color theme="1"/>
        <rFont val="宋体"/>
        <family val="3"/>
        <charset val="134"/>
      </rPr>
      <t>已经清关</t>
    </r>
    <r>
      <rPr>
        <sz val="11"/>
        <color theme="1"/>
        <rFont val="Arial Nova"/>
        <family val="2"/>
      </rPr>
      <t>)</t>
    </r>
    <phoneticPr fontId="3" type="noConversion"/>
  </si>
  <si>
    <r>
      <rPr>
        <sz val="11"/>
        <color theme="1"/>
        <rFont val="宋体"/>
        <family val="3"/>
        <charset val="134"/>
      </rPr>
      <t>前海保税区</t>
    </r>
    <phoneticPr fontId="3" type="noConversion"/>
  </si>
  <si>
    <r>
      <rPr>
        <sz val="11"/>
        <color theme="1"/>
        <rFont val="宋体"/>
        <family val="3"/>
        <charset val="134"/>
      </rPr>
      <t>柴湾仓库</t>
    </r>
    <phoneticPr fontId="3" type="noConversion"/>
  </si>
  <si>
    <r>
      <rPr>
        <sz val="11"/>
        <color theme="1"/>
        <rFont val="宋体"/>
        <family val="3"/>
        <charset val="134"/>
      </rPr>
      <t>已经发货</t>
    </r>
    <phoneticPr fontId="3" type="noConversion"/>
  </si>
  <si>
    <r>
      <rPr>
        <sz val="11"/>
        <color theme="1"/>
        <rFont val="宋体"/>
        <family val="3"/>
        <charset val="134"/>
      </rPr>
      <t>码头</t>
    </r>
    <phoneticPr fontId="3" type="noConversion"/>
  </si>
  <si>
    <r>
      <rPr>
        <sz val="11"/>
        <color theme="1"/>
        <rFont val="宋体"/>
        <family val="3"/>
        <charset val="134"/>
      </rPr>
      <t>深圳仓库</t>
    </r>
    <phoneticPr fontId="3" type="noConversion"/>
  </si>
  <si>
    <r>
      <rPr>
        <sz val="11"/>
        <color theme="1"/>
        <rFont val="宋体"/>
        <family val="3"/>
        <charset val="134"/>
      </rPr>
      <t>有交期</t>
    </r>
    <phoneticPr fontId="3" type="noConversion"/>
  </si>
  <si>
    <r>
      <rPr>
        <sz val="11"/>
        <color theme="1"/>
        <rFont val="宋体"/>
        <family val="3"/>
        <charset val="134"/>
      </rPr>
      <t>前海仓库</t>
    </r>
    <r>
      <rPr>
        <sz val="11"/>
        <color theme="1"/>
        <rFont val="Arial Nova"/>
        <family val="2"/>
      </rPr>
      <t>-&gt;</t>
    </r>
    <r>
      <rPr>
        <sz val="11"/>
        <color theme="1"/>
        <rFont val="宋体"/>
        <family val="3"/>
        <charset val="134"/>
      </rPr>
      <t>准备清关</t>
    </r>
    <phoneticPr fontId="3" type="noConversion"/>
  </si>
  <si>
    <r>
      <t>5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Arial Nova"/>
        <family val="2"/>
      </rPr>
      <t>27</t>
    </r>
    <r>
      <rPr>
        <sz val="11"/>
        <color theme="1"/>
        <rFont val="宋体"/>
        <family val="3"/>
        <charset val="134"/>
      </rPr>
      <t>日盐田港转前海保税区</t>
    </r>
    <phoneticPr fontId="3" type="noConversion"/>
  </si>
  <si>
    <r>
      <rPr>
        <sz val="11"/>
        <color theme="1"/>
        <rFont val="宋体"/>
        <family val="3"/>
        <charset val="134"/>
      </rPr>
      <t>前海（完税）仓</t>
    </r>
    <phoneticPr fontId="3" type="noConversion"/>
  </si>
  <si>
    <r>
      <rPr>
        <sz val="11"/>
        <color theme="1"/>
        <rFont val="宋体"/>
        <family val="3"/>
        <charset val="134"/>
      </rPr>
      <t>前海仓库</t>
    </r>
    <r>
      <rPr>
        <sz val="11"/>
        <color theme="1"/>
        <rFont val="Arial Nova"/>
        <family val="2"/>
      </rPr>
      <t>(</t>
    </r>
    <r>
      <rPr>
        <sz val="11"/>
        <color theme="1"/>
        <rFont val="宋体"/>
        <family val="2"/>
        <charset val="134"/>
      </rPr>
      <t>已经清关</t>
    </r>
    <r>
      <rPr>
        <sz val="11"/>
        <color theme="1"/>
        <rFont val="Arial Nova"/>
        <family val="2"/>
      </rPr>
      <t>)</t>
    </r>
    <phoneticPr fontId="3" type="noConversion"/>
  </si>
  <si>
    <r>
      <rPr>
        <sz val="11"/>
        <color theme="1"/>
        <rFont val="宋体"/>
        <family val="3"/>
        <charset val="134"/>
      </rPr>
      <t>钧溢清关，送力合仓库</t>
    </r>
    <phoneticPr fontId="3" type="noConversion"/>
  </si>
  <si>
    <r>
      <rPr>
        <sz val="11"/>
        <color theme="1"/>
        <rFont val="宋体"/>
        <family val="3"/>
        <charset val="134"/>
      </rPr>
      <t>乐上清关，送力合仓库</t>
    </r>
    <phoneticPr fontId="3" type="noConversion"/>
  </si>
  <si>
    <t>C66 SZX TBA</t>
    <phoneticPr fontId="3" type="noConversion"/>
  </si>
  <si>
    <r>
      <t xml:space="preserve">C66 SZX </t>
    </r>
    <r>
      <rPr>
        <sz val="11"/>
        <color theme="1"/>
        <rFont val="宋体"/>
        <family val="2"/>
        <charset val="134"/>
      </rPr>
      <t>有交期</t>
    </r>
    <phoneticPr fontId="3" type="noConversion"/>
  </si>
  <si>
    <t>C66 BJS TBA</t>
    <phoneticPr fontId="3" type="noConversion"/>
  </si>
  <si>
    <r>
      <t xml:space="preserve">C66 BJS </t>
    </r>
    <r>
      <rPr>
        <sz val="11"/>
        <color theme="1"/>
        <rFont val="宋体"/>
        <family val="2"/>
        <charset val="134"/>
      </rPr>
      <t>有交期</t>
    </r>
    <phoneticPr fontId="3" type="noConversion"/>
  </si>
  <si>
    <t>C66 SHA TBA</t>
    <phoneticPr fontId="3" type="noConversion"/>
  </si>
  <si>
    <r>
      <t xml:space="preserve">C66 SHA </t>
    </r>
    <r>
      <rPr>
        <sz val="11"/>
        <color theme="1"/>
        <rFont val="宋体"/>
        <family val="2"/>
        <charset val="134"/>
      </rPr>
      <t>有交期</t>
    </r>
    <phoneticPr fontId="3" type="noConversion"/>
  </si>
  <si>
    <r>
      <t xml:space="preserve">C66 SZX </t>
    </r>
    <r>
      <rPr>
        <sz val="11"/>
        <color theme="1"/>
        <rFont val="宋体"/>
        <family val="2"/>
        <charset val="134"/>
      </rPr>
      <t>库存</t>
    </r>
    <r>
      <rPr>
        <sz val="11"/>
        <color theme="1"/>
        <rFont val="Arial"/>
        <family val="2"/>
      </rPr>
      <t>(2023-7-13</t>
    </r>
    <r>
      <rPr>
        <sz val="11"/>
        <color theme="1"/>
        <rFont val="宋体"/>
        <family val="2"/>
        <charset val="134"/>
      </rPr>
      <t>开始）</t>
    </r>
    <phoneticPr fontId="3" type="noConversion"/>
  </si>
  <si>
    <t>KMV-MC100-00</t>
  </si>
  <si>
    <t>ZSR 8mm</t>
    <phoneticPr fontId="3" type="noConversion"/>
  </si>
  <si>
    <r>
      <t>111421(</t>
    </r>
    <r>
      <rPr>
        <sz val="9"/>
        <color theme="1"/>
        <rFont val="宋体"/>
        <family val="2"/>
        <charset val="134"/>
      </rPr>
      <t>拆单111434)</t>
    </r>
    <phoneticPr fontId="3" type="noConversion"/>
  </si>
  <si>
    <r>
      <rPr>
        <sz val="9"/>
        <rFont val="宋体"/>
        <family val="2"/>
        <charset val="134"/>
      </rPr>
      <t>派诺</t>
    </r>
    <r>
      <rPr>
        <sz val="9"/>
        <rFont val="Arial"/>
        <family val="2"/>
      </rPr>
      <t>PO#CGDD23090052</t>
    </r>
    <phoneticPr fontId="3" type="noConversion"/>
  </si>
  <si>
    <r>
      <t>2023-9-19</t>
    </r>
    <r>
      <rPr>
        <sz val="9"/>
        <rFont val="宋体"/>
        <family val="2"/>
        <charset val="134"/>
      </rPr>
      <t>清关</t>
    </r>
    <phoneticPr fontId="3" type="noConversion"/>
  </si>
  <si>
    <t>益田C49SZX20230093SX</t>
    <phoneticPr fontId="3" type="noConversion"/>
  </si>
  <si>
    <r>
      <t xml:space="preserve">JPY/HKD:0.0533,USD/HKD </t>
    </r>
    <r>
      <rPr>
        <sz val="8"/>
        <color theme="1"/>
        <rFont val="微软雅黑"/>
        <family val="2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</si>
  <si>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t>C230947211</t>
  </si>
  <si>
    <r>
      <rPr>
        <sz val="9"/>
        <rFont val="宋体"/>
        <family val="2"/>
        <charset val="134"/>
      </rPr>
      <t>湖南众华</t>
    </r>
    <r>
      <rPr>
        <sz val="9"/>
        <rFont val="Arial"/>
        <family val="2"/>
      </rPr>
      <t xml:space="preserve"> C66SZ24295</t>
    </r>
    <phoneticPr fontId="3" type="noConversion"/>
  </si>
  <si>
    <t>S20</t>
    <phoneticPr fontId="3" type="noConversion"/>
  </si>
  <si>
    <t>康佳名义下单</t>
    <phoneticPr fontId="3" type="noConversion"/>
  </si>
  <si>
    <t>S20</t>
  </si>
  <si>
    <t>C230846961</t>
  </si>
  <si>
    <t>JAN 24</t>
    <phoneticPr fontId="3" type="noConversion"/>
  </si>
  <si>
    <t>FEB 24</t>
    <phoneticPr fontId="3" type="noConversion"/>
  </si>
  <si>
    <t>MAR 24</t>
    <phoneticPr fontId="3" type="noConversion"/>
  </si>
  <si>
    <t>APR 24</t>
    <phoneticPr fontId="3" type="noConversion"/>
  </si>
  <si>
    <t>MAY 24</t>
    <phoneticPr fontId="3" type="noConversion"/>
  </si>
  <si>
    <t>JUN 24</t>
    <phoneticPr fontId="3" type="noConversion"/>
  </si>
  <si>
    <t>JUL 24</t>
    <phoneticPr fontId="3" type="noConversion"/>
  </si>
  <si>
    <t>AUG 24</t>
    <phoneticPr fontId="3" type="noConversion"/>
  </si>
  <si>
    <t>KHY-M7710-A4</t>
  </si>
  <si>
    <t>KHY-M7730-A2</t>
  </si>
  <si>
    <t>KHN-M7720-A3</t>
    <phoneticPr fontId="3" type="noConversion"/>
  </si>
  <si>
    <t>KHY-M7720-A3</t>
    <phoneticPr fontId="3" type="noConversion"/>
  </si>
  <si>
    <t>KHY-M7740-A0</t>
    <phoneticPr fontId="3" type="noConversion"/>
  </si>
  <si>
    <t>KHN-M7710-A4</t>
    <phoneticPr fontId="3" type="noConversion"/>
  </si>
  <si>
    <t>KHY-M7750-A0</t>
    <phoneticPr fontId="3" type="noConversion"/>
  </si>
  <si>
    <t>KHY-M7760-A0</t>
  </si>
  <si>
    <t>KHY-M77A0-A0</t>
  </si>
  <si>
    <t>C66SZX</t>
    <phoneticPr fontId="3" type="noConversion"/>
  </si>
  <si>
    <t>C66BJS</t>
    <phoneticPr fontId="3" type="noConversion"/>
  </si>
  <si>
    <t>C66SHA</t>
    <phoneticPr fontId="3" type="noConversion"/>
  </si>
  <si>
    <t>吸嘴类型</t>
    <phoneticPr fontId="3" type="noConversion"/>
  </si>
  <si>
    <t>随机</t>
  </si>
  <si>
    <t>随机</t>
    <phoneticPr fontId="3" type="noConversion"/>
  </si>
  <si>
    <t>additional</t>
  </si>
  <si>
    <t>additional</t>
    <phoneticPr fontId="3" type="noConversion"/>
  </si>
  <si>
    <t>Book</t>
    <phoneticPr fontId="3" type="noConversion"/>
  </si>
  <si>
    <t>ESSZ</t>
  </si>
  <si>
    <t>ESSZ</t>
    <phoneticPr fontId="3" type="noConversion"/>
  </si>
  <si>
    <t>ESEL</t>
    <phoneticPr fontId="3" type="noConversion"/>
  </si>
  <si>
    <t>Buffer</t>
    <phoneticPr fontId="3" type="noConversion"/>
  </si>
  <si>
    <t>warehouse</t>
    <phoneticPr fontId="3" type="noConversion"/>
  </si>
  <si>
    <t>Nozzle warehouse</t>
    <phoneticPr fontId="3" type="noConversion"/>
  </si>
  <si>
    <t>Y67128</t>
  </si>
  <si>
    <t>Y67130</t>
  </si>
  <si>
    <t>Y67131</t>
  </si>
  <si>
    <t>Y67132</t>
  </si>
  <si>
    <t>ESEL</t>
  </si>
  <si>
    <r>
      <rPr>
        <sz val="9"/>
        <rFont val="宋体"/>
        <family val="2"/>
        <charset val="134"/>
      </rPr>
      <t>湖南众华</t>
    </r>
    <r>
      <rPr>
        <sz val="9"/>
        <rFont val="Arial"/>
        <family val="2"/>
      </rPr>
      <t>C66SZ24304</t>
    </r>
    <phoneticPr fontId="3" type="noConversion"/>
  </si>
  <si>
    <r>
      <t xml:space="preserve"> C66SZ24305-</t>
    </r>
    <r>
      <rPr>
        <sz val="9"/>
        <rFont val="宋体"/>
        <family val="2"/>
        <charset val="134"/>
      </rPr>
      <t>兴原星</t>
    </r>
    <phoneticPr fontId="3" type="noConversion"/>
  </si>
  <si>
    <t>更换</t>
    <phoneticPr fontId="3" type="noConversion"/>
  </si>
  <si>
    <t xml:space="preserve"> 随机</t>
    <phoneticPr fontId="3" type="noConversion"/>
  </si>
  <si>
    <t xml:space="preserve"> additional </t>
    <phoneticPr fontId="3" type="noConversion"/>
  </si>
  <si>
    <r>
      <t>2023-9-28</t>
    </r>
    <r>
      <rPr>
        <b/>
        <sz val="14"/>
        <rFont val="宋体"/>
        <family val="2"/>
        <charset val="134"/>
      </rPr>
      <t>盘点数</t>
    </r>
    <phoneticPr fontId="3" type="noConversion"/>
  </si>
  <si>
    <r>
      <rPr>
        <b/>
        <sz val="14"/>
        <rFont val="宋体"/>
        <family val="2"/>
        <charset val="134"/>
      </rPr>
      <t>已发货</t>
    </r>
    <r>
      <rPr>
        <b/>
        <sz val="14"/>
        <rFont val="Arial"/>
        <family val="2"/>
      </rPr>
      <t xml:space="preserve"> </t>
    </r>
    <phoneticPr fontId="3" type="noConversion"/>
  </si>
  <si>
    <r>
      <t xml:space="preserve">                          </t>
    </r>
    <r>
      <rPr>
        <b/>
        <sz val="11"/>
        <color theme="0"/>
        <rFont val="宋体"/>
        <family val="2"/>
        <charset val="134"/>
      </rPr>
      <t>随机</t>
    </r>
    <phoneticPr fontId="3" type="noConversion"/>
  </si>
  <si>
    <t xml:space="preserve"> additional</t>
    <phoneticPr fontId="3" type="noConversion"/>
  </si>
  <si>
    <r>
      <t xml:space="preserve">                        </t>
    </r>
    <r>
      <rPr>
        <b/>
        <sz val="11"/>
        <color theme="0"/>
        <rFont val="宋体"/>
        <family val="2"/>
        <charset val="134"/>
      </rPr>
      <t>随机</t>
    </r>
    <phoneticPr fontId="3" type="noConversion"/>
  </si>
  <si>
    <r>
      <t xml:space="preserve">                         </t>
    </r>
    <r>
      <rPr>
        <b/>
        <sz val="11"/>
        <color theme="0"/>
        <rFont val="宋体"/>
        <family val="2"/>
        <charset val="134"/>
      </rPr>
      <t>随机</t>
    </r>
    <phoneticPr fontId="3" type="noConversion"/>
  </si>
  <si>
    <t xml:space="preserve">STK       </t>
    <phoneticPr fontId="3" type="noConversion"/>
  </si>
  <si>
    <t>Total  on hand</t>
    <phoneticPr fontId="3" type="noConversion"/>
  </si>
  <si>
    <t xml:space="preserve">incoming </t>
    <phoneticPr fontId="3" type="noConversion"/>
  </si>
  <si>
    <t>预留</t>
    <phoneticPr fontId="3" type="noConversion"/>
  </si>
  <si>
    <t>安全库存</t>
    <phoneticPr fontId="3" type="noConversion"/>
  </si>
  <si>
    <r>
      <t>2023-9-28</t>
    </r>
    <r>
      <rPr>
        <b/>
        <sz val="11"/>
        <color theme="0"/>
        <rFont val="宋体"/>
        <family val="2"/>
        <charset val="134"/>
      </rPr>
      <t>盘点数</t>
    </r>
    <phoneticPr fontId="3" type="noConversion"/>
  </si>
  <si>
    <t>C49 ESEL</t>
    <phoneticPr fontId="3" type="noConversion"/>
  </si>
  <si>
    <t>C49 ESSZ</t>
    <phoneticPr fontId="3" type="noConversion"/>
  </si>
  <si>
    <t>C66SZX ESEL</t>
    <phoneticPr fontId="3" type="noConversion"/>
  </si>
  <si>
    <t>C66SHA ESEL</t>
    <phoneticPr fontId="3" type="noConversion"/>
  </si>
  <si>
    <t>C220943914</t>
  </si>
  <si>
    <r>
      <t xml:space="preserve">ESEL+ESSZ  </t>
    </r>
    <r>
      <rPr>
        <b/>
        <sz val="11"/>
        <color theme="1"/>
        <rFont val="宋体"/>
        <family val="2"/>
        <charset val="134"/>
      </rPr>
      <t>随机吸嘴</t>
    </r>
    <phoneticPr fontId="3" type="noConversion"/>
  </si>
  <si>
    <r>
      <t>徕芬</t>
    </r>
    <r>
      <rPr>
        <sz val="9"/>
        <rFont val="Arial"/>
        <family val="2"/>
      </rPr>
      <t>ZS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LF-23100079</t>
    </r>
  </si>
  <si>
    <t>C66BJS ESEL</t>
    <phoneticPr fontId="3" type="noConversion"/>
  </si>
  <si>
    <r>
      <rPr>
        <sz val="9"/>
        <rFont val="宋体"/>
        <family val="2"/>
        <charset val="134"/>
      </rPr>
      <t>晨鑫达</t>
    </r>
    <r>
      <rPr>
        <sz val="9"/>
        <rFont val="Arial"/>
        <family val="2"/>
      </rPr>
      <t>LXCG00002935</t>
    </r>
    <phoneticPr fontId="3" type="noConversion"/>
  </si>
  <si>
    <r>
      <t>ESEL</t>
    </r>
    <r>
      <rPr>
        <b/>
        <sz val="11"/>
        <color theme="0"/>
        <rFont val="微软雅黑"/>
        <family val="2"/>
        <charset val="134"/>
      </rPr>
      <t xml:space="preserve"> </t>
    </r>
    <r>
      <rPr>
        <b/>
        <sz val="11"/>
        <color theme="0"/>
        <rFont val="Arial"/>
        <family val="2"/>
      </rPr>
      <t xml:space="preserve">additional </t>
    </r>
    <phoneticPr fontId="3" type="noConversion"/>
  </si>
  <si>
    <r>
      <t>ESSZ</t>
    </r>
    <r>
      <rPr>
        <b/>
        <sz val="11"/>
        <color theme="0"/>
        <rFont val="微软雅黑"/>
        <family val="2"/>
        <charset val="134"/>
      </rPr>
      <t xml:space="preserve"> </t>
    </r>
    <r>
      <rPr>
        <b/>
        <sz val="11"/>
        <color theme="0"/>
        <rFont val="Arial"/>
        <family val="2"/>
      </rPr>
      <t>additional</t>
    </r>
    <phoneticPr fontId="3" type="noConversion"/>
  </si>
  <si>
    <r>
      <t xml:space="preserve">ESEL    </t>
    </r>
    <r>
      <rPr>
        <b/>
        <sz val="11"/>
        <color theme="0"/>
        <rFont val="微软雅黑"/>
        <family val="2"/>
        <charset val="134"/>
      </rPr>
      <t xml:space="preserve"> 随机</t>
    </r>
    <phoneticPr fontId="3" type="noConversion"/>
  </si>
  <si>
    <r>
      <t xml:space="preserve">ESSZ              </t>
    </r>
    <r>
      <rPr>
        <b/>
        <sz val="11"/>
        <color theme="0"/>
        <rFont val="微软雅黑"/>
        <family val="2"/>
        <charset val="134"/>
      </rPr>
      <t xml:space="preserve"> 随机</t>
    </r>
    <phoneticPr fontId="3" type="noConversion"/>
  </si>
  <si>
    <r>
      <t>ESEL 系统数             （随机+</t>
    </r>
    <r>
      <rPr>
        <b/>
        <sz val="11"/>
        <color theme="0"/>
        <rFont val="宋体"/>
        <family val="2"/>
        <charset val="134"/>
      </rPr>
      <t>ad)</t>
    </r>
    <phoneticPr fontId="3" type="noConversion"/>
  </si>
  <si>
    <r>
      <t>ESSZ 系统数             （随机+</t>
    </r>
    <r>
      <rPr>
        <b/>
        <sz val="11"/>
        <color theme="0"/>
        <rFont val="宋体"/>
        <family val="2"/>
        <charset val="134"/>
      </rPr>
      <t>ad)</t>
    </r>
    <phoneticPr fontId="3" type="noConversion"/>
  </si>
  <si>
    <t>&amp;&amp;&amp;&amp;</t>
    <phoneticPr fontId="3" type="noConversion"/>
  </si>
  <si>
    <t>C230846913</t>
    <phoneticPr fontId="3" type="noConversion"/>
  </si>
  <si>
    <r>
      <t>和</t>
    </r>
    <r>
      <rPr>
        <b/>
        <sz val="11"/>
        <color theme="0"/>
        <rFont val="宋体"/>
        <family val="2"/>
        <charset val="134"/>
      </rPr>
      <t>Fay 库存表一致 ad</t>
    </r>
    <phoneticPr fontId="3" type="noConversion"/>
  </si>
  <si>
    <t>C220342318</t>
    <phoneticPr fontId="3" type="noConversion"/>
  </si>
  <si>
    <r>
      <rPr>
        <sz val="9"/>
        <rFont val="宋体"/>
        <family val="2"/>
        <charset val="134"/>
      </rPr>
      <t>鉴丰</t>
    </r>
    <r>
      <rPr>
        <sz val="9"/>
        <rFont val="Arial"/>
        <family val="2"/>
      </rPr>
      <t>C66SHA24141</t>
    </r>
    <phoneticPr fontId="3" type="noConversion"/>
  </si>
  <si>
    <t>下单时候参考数据(Ad)</t>
    <phoneticPr fontId="3" type="noConversion"/>
  </si>
  <si>
    <t>下单时候参考数据(随机+AD)</t>
    <phoneticPr fontId="3" type="noConversion"/>
  </si>
  <si>
    <t>NOV 23</t>
  </si>
  <si>
    <r>
      <rPr>
        <sz val="9"/>
        <rFont val="微软雅黑"/>
        <family val="2"/>
        <charset val="134"/>
      </rPr>
      <t>江西优控</t>
    </r>
    <r>
      <rPr>
        <sz val="9"/>
        <rFont val="Arial"/>
        <family val="2"/>
      </rPr>
      <t>SZC49Q20231916&amp;PO</t>
    </r>
    <phoneticPr fontId="3" type="noConversion"/>
  </si>
  <si>
    <t>TBA.</t>
  </si>
  <si>
    <t>TBA.</t>
    <phoneticPr fontId="3" type="noConversion"/>
  </si>
  <si>
    <r>
      <t>Y65758,</t>
    </r>
    <r>
      <rPr>
        <sz val="10"/>
        <color rgb="FFFF0000"/>
        <rFont val="宋体"/>
        <family val="3"/>
        <charset val="134"/>
      </rPr>
      <t>标签变红</t>
    </r>
    <phoneticPr fontId="3" type="noConversion"/>
  </si>
  <si>
    <r>
      <t>Y66224,</t>
    </r>
    <r>
      <rPr>
        <sz val="10"/>
        <color rgb="FFFF0000"/>
        <rFont val="微软雅黑"/>
        <family val="2"/>
        <charset val="134"/>
      </rPr>
      <t>标签变红</t>
    </r>
    <phoneticPr fontId="3" type="noConversion"/>
  </si>
  <si>
    <r>
      <rPr>
        <sz val="9"/>
        <rFont val="宋体"/>
        <family val="2"/>
        <charset val="134"/>
      </rPr>
      <t>铭翔</t>
    </r>
    <r>
      <rPr>
        <sz val="9"/>
        <rFont val="Arial"/>
        <family val="2"/>
      </rPr>
      <t>C66SZ24278REV1</t>
    </r>
    <phoneticPr fontId="3" type="noConversion"/>
  </si>
  <si>
    <r>
      <t>Yes</t>
    </r>
    <r>
      <rPr>
        <sz val="9"/>
        <color theme="1"/>
        <rFont val="宋体"/>
        <family val="2"/>
        <charset val="134"/>
      </rPr>
      <t>维修费</t>
    </r>
    <phoneticPr fontId="3" type="noConversion"/>
  </si>
  <si>
    <r>
      <t>C49</t>
    </r>
    <r>
      <rPr>
        <sz val="9"/>
        <rFont val="宋体"/>
        <family val="2"/>
        <charset val="134"/>
      </rPr>
      <t>借货</t>
    </r>
    <phoneticPr fontId="3" type="noConversion"/>
  </si>
  <si>
    <t>德赛威斯(Demo 评估)</t>
    <phoneticPr fontId="3" type="noConversion"/>
  </si>
  <si>
    <r>
      <rPr>
        <sz val="9"/>
        <rFont val="宋体"/>
        <family val="2"/>
        <charset val="134"/>
      </rPr>
      <t>顺禾</t>
    </r>
    <r>
      <rPr>
        <sz val="9"/>
        <rFont val="Arial"/>
        <family val="2"/>
      </rPr>
      <t>C66SZ24345REV2</t>
    </r>
    <phoneticPr fontId="3" type="noConversion"/>
  </si>
  <si>
    <t>BJS</t>
    <phoneticPr fontId="3" type="noConversion"/>
  </si>
  <si>
    <r>
      <t xml:space="preserve">199618 </t>
    </r>
    <r>
      <rPr>
        <sz val="9"/>
        <rFont val="宋体"/>
        <family val="2"/>
        <charset val="134"/>
      </rPr>
      <t>北京新成科技有限公司</t>
    </r>
    <r>
      <rPr>
        <sz val="9"/>
        <rFont val="Arial"/>
        <family val="2"/>
      </rPr>
      <t xml:space="preserve"> [C66BJ24029]</t>
    </r>
    <phoneticPr fontId="3" type="noConversion"/>
  </si>
  <si>
    <r>
      <t xml:space="preserve"> </t>
    </r>
    <r>
      <rPr>
        <sz val="9"/>
        <rFont val="宋体"/>
        <family val="2"/>
        <charset val="134"/>
      </rPr>
      <t>恒磊</t>
    </r>
    <r>
      <rPr>
        <sz val="9"/>
        <rFont val="Arial"/>
        <family val="2"/>
      </rPr>
      <t>C66SZ24353</t>
    </r>
    <phoneticPr fontId="3" type="noConversion"/>
  </si>
  <si>
    <t>Y67378</t>
    <phoneticPr fontId="3" type="noConversion"/>
  </si>
  <si>
    <r>
      <t>111465(</t>
    </r>
    <r>
      <rPr>
        <sz val="9"/>
        <color theme="1"/>
        <rFont val="宋体"/>
        <family val="2"/>
        <charset val="134"/>
      </rPr>
      <t>拆单111471)</t>
    </r>
    <phoneticPr fontId="3" type="noConversion"/>
  </si>
  <si>
    <r>
      <t xml:space="preserve">JPY/HKD:0.0525,USD/HKD </t>
    </r>
    <r>
      <rPr>
        <sz val="8"/>
        <color theme="1"/>
        <rFont val="微软雅黑"/>
        <family val="2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</si>
  <si>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t>JAN 24</t>
  </si>
  <si>
    <r>
      <rPr>
        <b/>
        <sz val="8"/>
        <rFont val="华文楷体"/>
        <family val="3"/>
        <charset val="134"/>
      </rPr>
      <t>预留/借</t>
    </r>
    <r>
      <rPr>
        <b/>
        <sz val="8"/>
        <rFont val="Arial"/>
        <family val="2"/>
      </rPr>
      <t xml:space="preserve">Nozzle </t>
    </r>
    <r>
      <rPr>
        <b/>
        <sz val="8"/>
        <rFont val="华文楷体"/>
        <family val="3"/>
        <charset val="134"/>
      </rPr>
      <t>数</t>
    </r>
    <phoneticPr fontId="3" type="noConversion"/>
  </si>
  <si>
    <r>
      <t>Reserved/</t>
    </r>
    <r>
      <rPr>
        <b/>
        <sz val="11"/>
        <color theme="0"/>
        <rFont val="宋体"/>
        <family val="2"/>
        <charset val="134"/>
      </rPr>
      <t>借货</t>
    </r>
    <phoneticPr fontId="3" type="noConversion"/>
  </si>
  <si>
    <t>C230345373</t>
  </si>
  <si>
    <t>C230345230</t>
  </si>
  <si>
    <r>
      <t>Y63153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</si>
  <si>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Y63525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</si>
  <si>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t>C231147614</t>
    <phoneticPr fontId="3" type="noConversion"/>
  </si>
  <si>
    <t>C230846815</t>
  </si>
  <si>
    <t>cATS10+ANC+MVC+special layout</t>
  </si>
  <si>
    <t>cATS10+ANC+MVC+special layout</t>
    <phoneticPr fontId="3" type="noConversion"/>
  </si>
  <si>
    <r>
      <rPr>
        <sz val="9"/>
        <rFont val="宋体"/>
        <family val="2"/>
        <charset val="134"/>
      </rPr>
      <t>雅鑫特</t>
    </r>
    <r>
      <rPr>
        <sz val="9"/>
        <rFont val="Arial"/>
        <family val="2"/>
      </rPr>
      <t>-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C66SZ24375</t>
    </r>
    <phoneticPr fontId="3" type="noConversion"/>
  </si>
  <si>
    <r>
      <rPr>
        <sz val="8"/>
        <color rgb="FFFF0000"/>
        <rFont val="宋体"/>
        <family val="2"/>
        <charset val="134"/>
      </rPr>
      <t>随</t>
    </r>
    <r>
      <rPr>
        <sz val="8"/>
        <color rgb="FFFF0000"/>
        <rFont val="Arial"/>
        <family val="2"/>
      </rPr>
      <t>DAP</t>
    </r>
    <r>
      <rPr>
        <sz val="8"/>
        <color rgb="FFFF0000"/>
        <rFont val="宋体"/>
        <family val="2"/>
        <charset val="134"/>
      </rPr>
      <t>客户走货</t>
    </r>
    <phoneticPr fontId="3" type="noConversion"/>
  </si>
  <si>
    <r>
      <rPr>
        <sz val="9"/>
        <rFont val="宋体"/>
        <family val="2"/>
        <charset val="134"/>
      </rPr>
      <t>帝泰克飞达</t>
    </r>
    <r>
      <rPr>
        <sz val="9"/>
        <rFont val="Arial"/>
        <family val="2"/>
      </rPr>
      <t>C66SZ24374</t>
    </r>
    <phoneticPr fontId="3" type="noConversion"/>
  </si>
  <si>
    <t>C200737683</t>
  </si>
  <si>
    <t>Y65162</t>
    <phoneticPr fontId="3" type="noConversion"/>
  </si>
  <si>
    <t>Y67715</t>
  </si>
  <si>
    <t>Y67716</t>
  </si>
  <si>
    <t>Y67717</t>
  </si>
  <si>
    <t>Y67718</t>
  </si>
  <si>
    <r>
      <rPr>
        <sz val="8"/>
        <color rgb="FFFF0000"/>
        <rFont val="宋体"/>
        <family val="2"/>
        <charset val="134"/>
      </rPr>
      <t xml:space="preserve">2023-11-23 </t>
    </r>
    <r>
      <rPr>
        <sz val="8"/>
        <color rgb="FFFF0000"/>
        <rFont val="Arial"/>
        <family val="2"/>
      </rPr>
      <t xml:space="preserve">Misc out </t>
    </r>
    <phoneticPr fontId="3" type="noConversion"/>
  </si>
  <si>
    <t>Misc out</t>
    <phoneticPr fontId="3" type="noConversion"/>
  </si>
  <si>
    <r>
      <rPr>
        <sz val="9"/>
        <rFont val="宋体"/>
        <family val="2"/>
        <charset val="134"/>
      </rPr>
      <t>常州璟上</t>
    </r>
    <r>
      <rPr>
        <sz val="9"/>
        <rFont val="Arial"/>
        <family val="2"/>
      </rPr>
      <t>C66SHA24163R1</t>
    </r>
    <phoneticPr fontId="3" type="noConversion"/>
  </si>
  <si>
    <t>B28111487</t>
    <phoneticPr fontId="3" type="noConversion"/>
  </si>
  <si>
    <t>DEC 23</t>
  </si>
  <si>
    <t>B28111489</t>
    <phoneticPr fontId="3" type="noConversion"/>
  </si>
  <si>
    <t>2023-11-30清关</t>
    <phoneticPr fontId="3" type="noConversion"/>
  </si>
  <si>
    <t>锐诚名义下单</t>
    <phoneticPr fontId="3" type="noConversion"/>
  </si>
  <si>
    <t>C211241732</t>
    <phoneticPr fontId="3" type="noConversion"/>
  </si>
  <si>
    <t>C220342318</t>
  </si>
  <si>
    <t>C220442692</t>
  </si>
  <si>
    <t>C231147835</t>
  </si>
  <si>
    <t>Y67983</t>
  </si>
  <si>
    <t>Y67984</t>
  </si>
  <si>
    <t>Y67980</t>
  </si>
  <si>
    <t>Y67981</t>
  </si>
  <si>
    <t>Y67982</t>
  </si>
  <si>
    <t>FEB 24</t>
  </si>
  <si>
    <t>高伟名义下单</t>
    <phoneticPr fontId="3" type="noConversion"/>
  </si>
  <si>
    <t>Y66237</t>
    <phoneticPr fontId="3" type="noConversion"/>
  </si>
  <si>
    <r>
      <t xml:space="preserve">JPY/HKD:0.0538,USD/HKD </t>
    </r>
    <r>
      <rPr>
        <sz val="8"/>
        <color theme="1"/>
        <rFont val="宋体"/>
        <family val="2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</si>
  <si>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r>
      <t xml:space="preserve">JPY/HKD:0.0545,USD/HKD </t>
    </r>
    <r>
      <rPr>
        <sz val="8"/>
        <color theme="1"/>
        <rFont val="宋体"/>
        <family val="2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</si>
  <si>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r>
      <t>ex-work 24</t>
    </r>
    <r>
      <rPr>
        <sz val="10"/>
        <color theme="1"/>
        <rFont val="宋体"/>
        <family val="2"/>
        <charset val="134"/>
      </rPr>
      <t>年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  <charset val="134"/>
      </rPr>
      <t>月</t>
    </r>
    <phoneticPr fontId="3" type="noConversion"/>
  </si>
  <si>
    <t>徕芬名义下单</t>
    <phoneticPr fontId="3" type="noConversion"/>
  </si>
  <si>
    <t>SZX</t>
  </si>
  <si>
    <r>
      <rPr>
        <sz val="9"/>
        <rFont val="宋体"/>
        <family val="2"/>
        <charset val="134"/>
      </rPr>
      <t>越南皓吉达</t>
    </r>
    <r>
      <rPr>
        <sz val="9"/>
        <rFont val="Arial"/>
        <family val="2"/>
      </rPr>
      <t>C66SZ24387</t>
    </r>
    <phoneticPr fontId="3" type="noConversion"/>
  </si>
  <si>
    <t>越南皓吉达C66SZ24387</t>
  </si>
  <si>
    <t>Yes不含税</t>
  </si>
  <si>
    <r>
      <rPr>
        <sz val="9"/>
        <rFont val="宋体"/>
        <family val="2"/>
        <charset val="134"/>
      </rPr>
      <t>光瑞新</t>
    </r>
    <r>
      <rPr>
        <sz val="9"/>
        <rFont val="Arial"/>
        <family val="2"/>
      </rPr>
      <t>C66SZ24380</t>
    </r>
    <phoneticPr fontId="3" type="noConversion"/>
  </si>
  <si>
    <r>
      <t>202312-5</t>
    </r>
    <r>
      <rPr>
        <sz val="8"/>
        <rFont val="宋体"/>
        <family val="2"/>
        <charset val="134"/>
      </rPr>
      <t>盘点</t>
    </r>
    <phoneticPr fontId="3" type="noConversion"/>
  </si>
  <si>
    <r>
      <rPr>
        <sz val="9"/>
        <rFont val="宋体"/>
        <family val="2"/>
        <charset val="134"/>
      </rPr>
      <t>河南皓泽</t>
    </r>
    <r>
      <rPr>
        <sz val="9"/>
        <rFont val="Arial"/>
        <family val="2"/>
      </rPr>
      <t>20231202</t>
    </r>
    <phoneticPr fontId="3" type="noConversion"/>
  </si>
  <si>
    <r>
      <rPr>
        <sz val="9"/>
        <rFont val="微软雅黑"/>
        <family val="2"/>
        <charset val="134"/>
      </rPr>
      <t>世达威</t>
    </r>
    <r>
      <rPr>
        <sz val="9"/>
        <rFont val="Arial"/>
        <family val="2"/>
      </rPr>
      <t>C66SZ24370REV1</t>
    </r>
    <phoneticPr fontId="3" type="noConversion"/>
  </si>
  <si>
    <r>
      <t xml:space="preserve">Y66233 </t>
    </r>
    <r>
      <rPr>
        <sz val="10"/>
        <color theme="1"/>
        <rFont val="宋体"/>
        <family val="2"/>
        <charset val="134"/>
      </rPr>
      <t>给倍美斯</t>
    </r>
    <phoneticPr fontId="3" type="noConversion"/>
  </si>
  <si>
    <r>
      <rPr>
        <sz val="8"/>
        <color rgb="FFFF0000"/>
        <rFont val="宋体"/>
        <family val="2"/>
        <charset val="134"/>
      </rPr>
      <t>皓吉达</t>
    </r>
    <r>
      <rPr>
        <sz val="8"/>
        <color rgb="FFFF0000"/>
        <rFont val="Arial"/>
        <family val="2"/>
      </rPr>
      <t>C49SZX20230129JL</t>
    </r>
    <phoneticPr fontId="3" type="noConversion"/>
  </si>
  <si>
    <t>ex-work 24年2月</t>
  </si>
  <si>
    <t>锐诚名义下单</t>
  </si>
  <si>
    <t>雷特名义下单</t>
  </si>
  <si>
    <t>耕创名义下单</t>
  </si>
  <si>
    <t>C66配件</t>
  </si>
  <si>
    <t>IND 康佳名义下单</t>
  </si>
  <si>
    <t>ex work end of  Dec</t>
  </si>
  <si>
    <t>ex work end of  Jan,2024</t>
  </si>
  <si>
    <t>高伟名义下单</t>
  </si>
  <si>
    <t>徕芬名义下单</t>
  </si>
  <si>
    <t>ex work end of  Feb,2024</t>
  </si>
  <si>
    <t>NM,Coper rate 0.0495</t>
    <phoneticPr fontId="3" type="noConversion"/>
  </si>
  <si>
    <t>2023-12-20清关</t>
    <phoneticPr fontId="3" type="noConversion"/>
  </si>
  <si>
    <t>C66SHA</t>
  </si>
  <si>
    <t>铁城信息 C66SHA230067</t>
    <phoneticPr fontId="3" type="noConversion"/>
  </si>
  <si>
    <t>Y68432</t>
  </si>
  <si>
    <t>C201138627</t>
  </si>
  <si>
    <t>C231247971</t>
  </si>
  <si>
    <r>
      <rPr>
        <sz val="9"/>
        <rFont val="宋体"/>
        <family val="2"/>
        <charset val="134"/>
      </rPr>
      <t>长虹三杰新能源</t>
    </r>
    <r>
      <rPr>
        <sz val="9"/>
        <rFont val="Arial"/>
        <family val="2"/>
      </rPr>
      <t>C66SHA24176</t>
    </r>
    <phoneticPr fontId="3" type="noConversion"/>
  </si>
  <si>
    <r>
      <t>2023-12-28</t>
    </r>
    <r>
      <rPr>
        <sz val="8"/>
        <rFont val="宋体"/>
        <family val="2"/>
        <charset val="134"/>
      </rPr>
      <t>盘点调数</t>
    </r>
    <phoneticPr fontId="3" type="noConversion"/>
  </si>
  <si>
    <r>
      <t>2023-12-28</t>
    </r>
    <r>
      <rPr>
        <sz val="9"/>
        <rFont val="宋体"/>
        <family val="2"/>
        <charset val="134"/>
      </rPr>
      <t>盘点调数</t>
    </r>
    <phoneticPr fontId="3" type="noConversion"/>
  </si>
  <si>
    <t>Y68129</t>
  </si>
  <si>
    <t>Y68130</t>
  </si>
  <si>
    <t>Y68131</t>
  </si>
  <si>
    <t>Y67969</t>
  </si>
  <si>
    <t>Y68128</t>
  </si>
  <si>
    <t>Y68124</t>
  </si>
  <si>
    <t>Y68125</t>
  </si>
  <si>
    <t>Y68126</t>
  </si>
  <si>
    <r>
      <t>2024-1-3</t>
    </r>
    <r>
      <rPr>
        <sz val="8"/>
        <rFont val="宋体"/>
        <family val="2"/>
        <charset val="134"/>
      </rPr>
      <t>清关</t>
    </r>
    <phoneticPr fontId="3" type="noConversion"/>
  </si>
  <si>
    <t>浙江佳奔电子C66SHA24173R1</t>
    <phoneticPr fontId="3" type="noConversion"/>
  </si>
  <si>
    <t>上海创鹏C66SHA24215</t>
    <phoneticPr fontId="3" type="noConversion"/>
  </si>
  <si>
    <r>
      <t>2024-1-3</t>
    </r>
    <r>
      <rPr>
        <sz val="9"/>
        <rFont val="宋体"/>
        <family val="2"/>
        <charset val="134"/>
      </rPr>
      <t>清关</t>
    </r>
    <phoneticPr fontId="3" type="noConversion"/>
  </si>
  <si>
    <t>Deposit</t>
  </si>
  <si>
    <t>SHA</t>
  </si>
  <si>
    <t>C66SZX</t>
  </si>
  <si>
    <r>
      <rPr>
        <sz val="9"/>
        <rFont val="宋体"/>
        <family val="2"/>
        <charset val="134"/>
      </rPr>
      <t>网是订单</t>
    </r>
    <r>
      <rPr>
        <sz val="9"/>
        <rFont val="Arial"/>
        <family val="2"/>
      </rPr>
      <t>YYKJ-KD-20231219002</t>
    </r>
    <phoneticPr fontId="3" type="noConversion"/>
  </si>
  <si>
    <t>Res</t>
    <phoneticPr fontId="3" type="noConversion"/>
  </si>
  <si>
    <t>Y66814</t>
    <phoneticPr fontId="3" type="noConversion"/>
  </si>
  <si>
    <t>Y66221</t>
    <phoneticPr fontId="3" type="noConversion"/>
  </si>
  <si>
    <t>PO 111277,rate 0.0516</t>
    <phoneticPr fontId="3" type="noConversion"/>
  </si>
  <si>
    <t>Y67714</t>
    <phoneticPr fontId="3" type="noConversion"/>
  </si>
  <si>
    <t>C230746633</t>
    <phoneticPr fontId="3" type="noConversion"/>
  </si>
  <si>
    <t>Y68127</t>
    <phoneticPr fontId="3" type="noConversion"/>
  </si>
  <si>
    <t>C231247955</t>
    <phoneticPr fontId="3" type="noConversion"/>
  </si>
  <si>
    <t>C231147763</t>
    <phoneticPr fontId="3" type="noConversion"/>
  </si>
  <si>
    <r>
      <t>C66SZ24450REV1-</t>
    </r>
    <r>
      <rPr>
        <sz val="9"/>
        <rFont val="微软雅黑"/>
        <family val="2"/>
        <charset val="134"/>
      </rPr>
      <t>晶品</t>
    </r>
    <r>
      <rPr>
        <sz val="9"/>
        <rFont val="Arial"/>
        <family val="2"/>
      </rPr>
      <t>-</t>
    </r>
    <phoneticPr fontId="3" type="noConversion"/>
  </si>
  <si>
    <r>
      <t>PO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111341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Rate 0.0503</t>
    </r>
    <phoneticPr fontId="3" type="noConversion"/>
  </si>
  <si>
    <r>
      <t>PO</t>
    </r>
    <r>
      <rPr>
        <sz val="8"/>
        <color rgb="FFFF0000"/>
        <rFont val="等线"/>
        <family val="2"/>
        <charset val="134"/>
      </rPr>
      <t>，</t>
    </r>
    <r>
      <rPr>
        <sz val="8"/>
        <color rgb="FFFF0000"/>
        <rFont val="Arial"/>
        <family val="2"/>
      </rPr>
      <t>111054</t>
    </r>
    <r>
      <rPr>
        <sz val="8"/>
        <color rgb="FFFF0000"/>
        <rFont val="等线"/>
        <family val="2"/>
        <charset val="134"/>
      </rPr>
      <t>改</t>
    </r>
    <r>
      <rPr>
        <sz val="8"/>
        <color rgb="FFFF0000"/>
        <rFont val="Arial"/>
        <family val="2"/>
      </rPr>
      <t>49F104337</t>
    </r>
    <r>
      <rPr>
        <sz val="8"/>
        <color rgb="FFFF0000"/>
        <rFont val="等线"/>
        <family val="2"/>
        <charset val="134"/>
      </rPr>
      <t>，</t>
    </r>
    <r>
      <rPr>
        <sz val="8"/>
        <color rgb="FFFF0000"/>
        <rFont val="Arial"/>
        <family val="2"/>
      </rPr>
      <t>Rate:0.0488</t>
    </r>
    <phoneticPr fontId="3" type="noConversion"/>
  </si>
  <si>
    <r>
      <t xml:space="preserve">C66SHA20240111                            </t>
    </r>
    <r>
      <rPr>
        <sz val="9"/>
        <rFont val="宋体"/>
        <family val="2"/>
        <charset val="134"/>
      </rPr>
      <t>西安华科</t>
    </r>
    <phoneticPr fontId="3" type="noConversion"/>
  </si>
  <si>
    <r>
      <t>111522(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PO111535)</t>
    </r>
    <phoneticPr fontId="3" type="noConversion"/>
  </si>
  <si>
    <r>
      <t>111521(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PO111534)</t>
    </r>
    <phoneticPr fontId="3" type="noConversion"/>
  </si>
  <si>
    <t>NM,Coper rate 0.0512</t>
    <phoneticPr fontId="3" type="noConversion"/>
  </si>
  <si>
    <t>MAR 24</t>
  </si>
  <si>
    <r>
      <rPr>
        <sz val="9"/>
        <rFont val="微软雅黑"/>
        <family val="2"/>
        <charset val="134"/>
      </rPr>
      <t>瑞钊</t>
    </r>
    <r>
      <rPr>
        <sz val="9"/>
        <rFont val="Arial"/>
        <family val="2"/>
      </rPr>
      <t>C66SZ24459</t>
    </r>
    <phoneticPr fontId="3" type="noConversion"/>
  </si>
  <si>
    <r>
      <rPr>
        <sz val="9"/>
        <rFont val="宋体"/>
        <family val="2"/>
        <charset val="134"/>
      </rPr>
      <t>万赢丰</t>
    </r>
    <r>
      <rPr>
        <sz val="9"/>
        <rFont val="Arial"/>
        <family val="2"/>
      </rPr>
      <t>C66SZ24462</t>
    </r>
    <phoneticPr fontId="3" type="noConversion"/>
  </si>
  <si>
    <r>
      <t>111309(</t>
    </r>
    <r>
      <rPr>
        <sz val="8"/>
        <color rgb="FFFF0000"/>
        <rFont val="宋体"/>
        <family val="2"/>
        <charset val="134"/>
      </rPr>
      <t>拆分</t>
    </r>
    <r>
      <rPr>
        <sz val="8"/>
        <color rgb="FFFF0000"/>
        <rFont val="Arial"/>
        <family val="2"/>
      </rPr>
      <t>PO111373) Rate:0.0508</t>
    </r>
    <phoneticPr fontId="3" type="noConversion"/>
  </si>
  <si>
    <t>PO 111361 Rate:0.050</t>
    <phoneticPr fontId="3" type="noConversion"/>
  </si>
  <si>
    <t>MVC+Coplanarity checker</t>
  </si>
  <si>
    <t>MVC+Coplanarity checker</t>
    <phoneticPr fontId="3" type="noConversion"/>
  </si>
  <si>
    <t>49F104695</t>
    <phoneticPr fontId="3" type="noConversion"/>
  </si>
  <si>
    <t>盟思拓名义下单</t>
    <phoneticPr fontId="3" type="noConversion"/>
  </si>
  <si>
    <r>
      <rPr>
        <sz val="8"/>
        <color rgb="FFFF0000"/>
        <rFont val="宋体"/>
        <family val="2"/>
        <charset val="134"/>
      </rPr>
      <t>等待</t>
    </r>
    <r>
      <rPr>
        <sz val="8"/>
        <color rgb="FFFF0000"/>
        <rFont val="Arial"/>
        <family val="2"/>
      </rPr>
      <t>RMB</t>
    </r>
    <r>
      <rPr>
        <sz val="8"/>
        <color rgb="FFFF0000"/>
        <rFont val="宋体"/>
        <family val="2"/>
        <charset val="134"/>
      </rPr>
      <t>单</t>
    </r>
    <r>
      <rPr>
        <sz val="8"/>
        <color rgb="FFFF0000"/>
        <rFont val="Arial"/>
        <family val="2"/>
      </rPr>
      <t xml:space="preserve">pick </t>
    </r>
    <r>
      <rPr>
        <sz val="8"/>
        <color rgb="FFFF0000"/>
        <rFont val="宋体"/>
        <family val="2"/>
        <charset val="134"/>
      </rPr>
      <t>货</t>
    </r>
    <phoneticPr fontId="3" type="noConversion"/>
  </si>
  <si>
    <t>B28111537</t>
    <phoneticPr fontId="3" type="noConversion"/>
  </si>
  <si>
    <t>C240148193</t>
    <phoneticPr fontId="3" type="noConversion"/>
  </si>
  <si>
    <t>C231247960</t>
    <phoneticPr fontId="3" type="noConversion"/>
  </si>
  <si>
    <t>C210139067</t>
  </si>
  <si>
    <t>C240148218</t>
  </si>
  <si>
    <r>
      <t>111536(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PO111542)</t>
    </r>
    <phoneticPr fontId="3" type="noConversion"/>
  </si>
  <si>
    <r>
      <t xml:space="preserve">JPY/HKD:0.0533,USD/HKD </t>
    </r>
    <r>
      <rPr>
        <sz val="8"/>
        <color theme="1"/>
        <rFont val="宋体"/>
        <family val="3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</si>
  <si>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t>Y68505</t>
  </si>
  <si>
    <t>Y68506</t>
  </si>
  <si>
    <t>Y68427</t>
  </si>
  <si>
    <t>日照品特裕华纺织[C66BJS20240115]</t>
  </si>
  <si>
    <t>日照品特裕华纺织科技有限公司 [C66BJ24040]</t>
  </si>
  <si>
    <r>
      <t>RMB</t>
    </r>
    <r>
      <rPr>
        <sz val="8"/>
        <color theme="1"/>
        <rFont val="宋体"/>
        <family val="2"/>
        <charset val="134"/>
      </rPr>
      <t>单</t>
    </r>
    <phoneticPr fontId="3" type="noConversion"/>
  </si>
  <si>
    <t>2024-2-6调账</t>
    <phoneticPr fontId="3" type="noConversion"/>
  </si>
  <si>
    <r>
      <t>ex-work 24</t>
    </r>
    <r>
      <rPr>
        <sz val="10"/>
        <color theme="1"/>
        <rFont val="宋体"/>
        <family val="2"/>
        <charset val="134"/>
      </rPr>
      <t>年</t>
    </r>
    <r>
      <rPr>
        <sz val="10"/>
        <color theme="1"/>
        <rFont val="Arial"/>
        <family val="2"/>
      </rPr>
      <t>3</t>
    </r>
    <r>
      <rPr>
        <sz val="10"/>
        <color theme="1"/>
        <rFont val="宋体"/>
        <family val="2"/>
        <charset val="134"/>
      </rPr>
      <t>月</t>
    </r>
    <phoneticPr fontId="3" type="noConversion"/>
  </si>
  <si>
    <t>ex-work 24年3月</t>
  </si>
  <si>
    <t>调账</t>
  </si>
  <si>
    <t>2024-2-6调账</t>
  </si>
  <si>
    <r>
      <t>111546(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PO111551)</t>
    </r>
    <phoneticPr fontId="3" type="noConversion"/>
  </si>
  <si>
    <r>
      <t>111547(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PO111552)</t>
    </r>
    <phoneticPr fontId="3" type="noConversion"/>
  </si>
  <si>
    <t>Y68524</t>
  </si>
  <si>
    <t>Y68525</t>
  </si>
  <si>
    <t>NM,Coper rate 0.0512 PO#111464</t>
    <phoneticPr fontId="3" type="noConversion"/>
  </si>
  <si>
    <t>0.05 PO#111362</t>
    <phoneticPr fontId="3" type="noConversion"/>
  </si>
  <si>
    <t>Delivery_Status</t>
  </si>
  <si>
    <t>Stock_Status</t>
  </si>
  <si>
    <r>
      <t>Y68132,</t>
    </r>
    <r>
      <rPr>
        <sz val="10"/>
        <color rgb="FFFF0000"/>
        <rFont val="宋体"/>
        <family val="2"/>
        <charset val="134"/>
      </rPr>
      <t>有</t>
    </r>
    <r>
      <rPr>
        <sz val="10"/>
        <color rgb="FFFF0000"/>
        <rFont val="Arial"/>
        <family val="2"/>
      </rPr>
      <t>C66</t>
    </r>
    <r>
      <rPr>
        <sz val="10"/>
        <color rgb="FFFF0000"/>
        <rFont val="宋体"/>
        <family val="2"/>
        <charset val="134"/>
      </rPr>
      <t>的货</t>
    </r>
    <phoneticPr fontId="3" type="noConversion"/>
  </si>
  <si>
    <t>客戶送貨期</t>
    <phoneticPr fontId="3" type="noConversion"/>
  </si>
  <si>
    <t>YAMAHA交期</t>
    <phoneticPr fontId="3" type="noConversion"/>
  </si>
  <si>
    <t>YSi-V(SL)</t>
  </si>
  <si>
    <t>YSi-V(SL)</t>
    <phoneticPr fontId="3" type="noConversion"/>
  </si>
  <si>
    <t>YSi-V(DL)</t>
  </si>
  <si>
    <t>YSi-V(DL)</t>
    <phoneticPr fontId="3" type="noConversion"/>
  </si>
  <si>
    <t>Y68493</t>
    <phoneticPr fontId="3" type="noConversion"/>
  </si>
  <si>
    <t>Y68494</t>
    <phoneticPr fontId="3" type="noConversion"/>
  </si>
  <si>
    <t>Customer_Reserved</t>
  </si>
  <si>
    <t>ETA_Month</t>
  </si>
  <si>
    <t>ETA_HK</t>
    <phoneticPr fontId="3" type="noConversion"/>
  </si>
  <si>
    <t>Customer_Reserved_Contract_No.</t>
    <phoneticPr fontId="3" type="noConversion"/>
  </si>
  <si>
    <t>Customer Reserved</t>
    <phoneticPr fontId="3" type="noConversion"/>
  </si>
  <si>
    <t>Machine_QTY</t>
    <phoneticPr fontId="3" type="noConversion"/>
  </si>
  <si>
    <t>ETA HK</t>
    <phoneticPr fontId="3" type="noConversion"/>
  </si>
  <si>
    <t>Y66768</t>
    <phoneticPr fontId="3" type="noConversion"/>
  </si>
  <si>
    <t>Y67129</t>
    <phoneticPr fontId="3" type="noConversion"/>
  </si>
  <si>
    <t>计数项:Machine_QTY</t>
  </si>
  <si>
    <t>Y66403</t>
    <phoneticPr fontId="3" type="noConversion"/>
  </si>
  <si>
    <t>Y66404</t>
    <phoneticPr fontId="3" type="noConversion"/>
  </si>
  <si>
    <r>
      <t>2024-3-1</t>
    </r>
    <r>
      <rPr>
        <sz val="9"/>
        <rFont val="宋体"/>
        <family val="2"/>
        <charset val="134"/>
      </rPr>
      <t>清关</t>
    </r>
    <phoneticPr fontId="3" type="noConversion"/>
  </si>
  <si>
    <r>
      <t>2024-3-1</t>
    </r>
    <r>
      <rPr>
        <sz val="8"/>
        <rFont val="宋体"/>
        <family val="2"/>
        <charset val="134"/>
      </rPr>
      <t>清关</t>
    </r>
    <phoneticPr fontId="3" type="noConversion"/>
  </si>
  <si>
    <r>
      <t>STK</t>
    </r>
    <r>
      <rPr>
        <sz val="9"/>
        <rFont val="宋体"/>
        <family val="2"/>
        <charset val="134"/>
      </rPr>
      <t>清关</t>
    </r>
    <phoneticPr fontId="3" type="noConversion"/>
  </si>
  <si>
    <r>
      <t>2024-2-23</t>
    </r>
    <r>
      <rPr>
        <sz val="8"/>
        <rFont val="宋体"/>
        <family val="2"/>
        <charset val="134"/>
      </rPr>
      <t>清关</t>
    </r>
    <phoneticPr fontId="3" type="noConversion"/>
  </si>
  <si>
    <r>
      <t xml:space="preserve">C66 SHA </t>
    </r>
    <r>
      <rPr>
        <sz val="11"/>
        <color theme="1"/>
        <rFont val="宋体"/>
        <family val="2"/>
        <charset val="134"/>
      </rPr>
      <t>库存</t>
    </r>
    <phoneticPr fontId="3" type="noConversion"/>
  </si>
  <si>
    <r>
      <t xml:space="preserve">C66 BJS </t>
    </r>
    <r>
      <rPr>
        <sz val="11"/>
        <color theme="1"/>
        <rFont val="宋体"/>
        <family val="2"/>
        <charset val="134"/>
      </rPr>
      <t>库存</t>
    </r>
    <phoneticPr fontId="3" type="noConversion"/>
  </si>
  <si>
    <r>
      <t>诺亚兴</t>
    </r>
    <r>
      <rPr>
        <sz val="9"/>
        <rFont val="宋体"/>
        <family val="2"/>
        <charset val="134"/>
      </rPr>
      <t>C66-CAN-24060-</t>
    </r>
    <phoneticPr fontId="3" type="noConversion"/>
  </si>
  <si>
    <r>
      <rPr>
        <sz val="9"/>
        <rFont val="宋体"/>
        <family val="2"/>
        <charset val="134"/>
      </rPr>
      <t>徕芬</t>
    </r>
    <r>
      <rPr>
        <sz val="9"/>
        <rFont val="Arial"/>
        <family val="2"/>
      </rPr>
      <t>LF-24020431</t>
    </r>
    <phoneticPr fontId="3" type="noConversion"/>
  </si>
  <si>
    <t>待清关</t>
    <phoneticPr fontId="3" type="noConversion"/>
  </si>
  <si>
    <r>
      <rPr>
        <sz val="8"/>
        <color rgb="FFFF0000"/>
        <rFont val="宋体"/>
        <family val="2"/>
        <charset val="134"/>
      </rPr>
      <t>盟思拓20240015</t>
    </r>
    <r>
      <rPr>
        <sz val="8"/>
        <color rgb="FFFF0000"/>
        <rFont val="Arial"/>
        <family val="2"/>
      </rPr>
      <t>DXpick</t>
    </r>
    <phoneticPr fontId="3" type="noConversion"/>
  </si>
  <si>
    <t>Y68691</t>
    <phoneticPr fontId="3" type="noConversion"/>
  </si>
  <si>
    <t>Y68692</t>
    <phoneticPr fontId="3" type="noConversion"/>
  </si>
  <si>
    <t>Y68693</t>
    <phoneticPr fontId="3" type="noConversion"/>
  </si>
  <si>
    <t>Y68694</t>
    <phoneticPr fontId="3" type="noConversion"/>
  </si>
  <si>
    <t>Y68695</t>
    <phoneticPr fontId="3" type="noConversion"/>
  </si>
  <si>
    <t>Y68696</t>
    <phoneticPr fontId="3" type="noConversion"/>
  </si>
  <si>
    <t>Y68697</t>
    <phoneticPr fontId="3" type="noConversion"/>
  </si>
  <si>
    <t>Y68698</t>
    <phoneticPr fontId="3" type="noConversion"/>
  </si>
  <si>
    <t>Y68699</t>
    <phoneticPr fontId="3" type="noConversion"/>
  </si>
  <si>
    <t>Y68700</t>
    <phoneticPr fontId="3" type="noConversion"/>
  </si>
  <si>
    <t>Y68701</t>
    <phoneticPr fontId="3" type="noConversion"/>
  </si>
  <si>
    <t>Y68702</t>
    <phoneticPr fontId="3" type="noConversion"/>
  </si>
  <si>
    <t xml:space="preserve"> 随徕芬204009pick</t>
    <phoneticPr fontId="3" type="noConversion"/>
  </si>
  <si>
    <t>保税仓库</t>
    <phoneticPr fontId="3" type="noConversion"/>
  </si>
  <si>
    <t>保税仓库+                深圳仓库（Total)</t>
    <phoneticPr fontId="3" type="noConversion"/>
  </si>
  <si>
    <t>APR 24</t>
  </si>
  <si>
    <t>S20 汇总</t>
  </si>
  <si>
    <t>YSi-V 汇总</t>
  </si>
  <si>
    <t>已经到货 汇总</t>
  </si>
  <si>
    <t>YSi-V(SL) 汇总</t>
  </si>
  <si>
    <t>YSi-V(DL) 汇总</t>
  </si>
  <si>
    <t>有交期 汇总</t>
  </si>
  <si>
    <t>TBA. 汇总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</si>
</sst>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6" formatCode="&quot;¥&quot;#,##0;[Red]&quot;¥&quot;\-#,##0"/>
    <numFmt numFmtId="41" formatCode="_ * #,##0_ ;_ * \-#,##0_ ;_ * &quot;-&quot;_ ;_ @_ "/>
    <numFmt numFmtId="43" formatCode="_ * #,##0.00_ ;_ * \-#,##0.00_ ;_ * &quot;-&quot;??_ ;_ @_ "/>
    <numFmt numFmtId="176" formatCode="m/d;@"/>
    <numFmt numFmtId="177" formatCode="0_);[Red]\(0\)"/>
    <numFmt numFmtId="178" formatCode="0_ ;[Red]\-0\ "/>
    <numFmt numFmtId="179" formatCode="[$-409]d\-mmm;@"/>
    <numFmt numFmtId="180" formatCode="[$-F800]dddd\,\ mmmm\ dd\,\ yyyy"/>
    <numFmt numFmtId="181" formatCode="[$-409]mmm\-yy;@"/>
    <numFmt numFmtId="182" formatCode="_ * #,##0_ ;_ * \-#,##0_ ;_ * &quot;-&quot;??_ ;_ @_ "/>
    <numFmt numFmtId="183" formatCode="yyyy&quot;年&quot;m&quot;月&quot;;@"/>
    <numFmt numFmtId="184" formatCode="\¥#,##0;[Red]\¥\-#,##0"/>
  </numFmts>
  <fonts count="183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Arial"/>
      <family val="2"/>
    </font>
    <font>
      <sz val="9"/>
      <name val="宋体"/>
      <family val="2"/>
      <charset val="134"/>
      <scheme val="minor"/>
    </font>
    <font>
      <sz val="11"/>
      <color theme="0"/>
      <name val="Arial"/>
      <family val="2"/>
    </font>
    <font>
      <sz val="9"/>
      <color theme="1"/>
      <name val="Arial Unicode MS"/>
      <family val="2"/>
      <charset val="134"/>
    </font>
    <font>
      <b/>
      <sz val="8"/>
      <color theme="0"/>
      <name val="Arial Unicode MS"/>
      <family val="2"/>
      <charset val="134"/>
    </font>
    <font>
      <sz val="11"/>
      <color theme="1"/>
      <name val="宋体"/>
      <family val="3"/>
      <charset val="134"/>
    </font>
    <font>
      <sz val="8"/>
      <color theme="1"/>
      <name val="Arial Unicode MS"/>
      <family val="2"/>
      <charset val="134"/>
    </font>
    <font>
      <sz val="9"/>
      <color theme="1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  <font>
      <sz val="10"/>
      <color theme="1"/>
      <name val="宋体"/>
      <family val="3"/>
      <charset val="134"/>
    </font>
    <font>
      <sz val="10"/>
      <name val="Arial Unicode MS"/>
      <family val="2"/>
      <charset val="134"/>
    </font>
    <font>
      <sz val="10"/>
      <name val="Arial"/>
      <family val="2"/>
    </font>
    <font>
      <sz val="9"/>
      <name val="宋体"/>
      <family val="3"/>
      <charset val="134"/>
      <scheme val="minor"/>
    </font>
    <font>
      <sz val="11"/>
      <color rgb="FFFF0000"/>
      <name val="Arial"/>
      <family val="2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8"/>
      <color rgb="FFFF0000"/>
      <name val="Arial Unicode MS"/>
      <family val="2"/>
      <charset val="134"/>
    </font>
    <font>
      <b/>
      <sz val="8"/>
      <name val="Arial Unicode MS"/>
      <family val="2"/>
      <charset val="134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b/>
      <sz val="11"/>
      <color theme="1"/>
      <name val="宋体"/>
      <family val="3"/>
      <charset val="134"/>
    </font>
    <font>
      <sz val="11"/>
      <color rgb="FF00B0F0"/>
      <name val="Arial"/>
      <family val="2"/>
    </font>
    <font>
      <b/>
      <sz val="11"/>
      <color rgb="FF00B0F0"/>
      <name val="Arial"/>
      <family val="2"/>
    </font>
    <font>
      <sz val="9"/>
      <name val="Arial"/>
      <family val="2"/>
    </font>
    <font>
      <b/>
      <sz val="9"/>
      <color rgb="FFFF0000"/>
      <name val="Arial"/>
      <family val="2"/>
    </font>
    <font>
      <b/>
      <sz val="9"/>
      <color theme="4" tint="-0.249977111117893"/>
      <name val="Arial"/>
      <family val="2"/>
    </font>
    <font>
      <sz val="11"/>
      <color theme="0"/>
      <name val="宋体"/>
      <family val="3"/>
      <charset val="134"/>
    </font>
    <font>
      <sz val="10"/>
      <color theme="1"/>
      <name val="Arial Unicode MS"/>
      <family val="2"/>
      <charset val="134"/>
    </font>
    <font>
      <b/>
      <sz val="12"/>
      <color theme="1"/>
      <name val="Arial"/>
      <family val="2"/>
    </font>
    <font>
      <sz val="11"/>
      <name val="Arial"/>
      <family val="2"/>
    </font>
    <font>
      <sz val="11"/>
      <name val="宋体"/>
      <family val="3"/>
      <charset val="134"/>
    </font>
    <font>
      <b/>
      <sz val="11"/>
      <name val="Arial"/>
      <family val="2"/>
    </font>
    <font>
      <b/>
      <sz val="14"/>
      <color theme="1"/>
      <name val="Arial"/>
      <family val="2"/>
    </font>
    <font>
      <b/>
      <sz val="14"/>
      <color theme="1"/>
      <name val="宋体"/>
      <family val="3"/>
      <charset val="134"/>
    </font>
    <font>
      <b/>
      <sz val="14"/>
      <name val="Arial"/>
      <family val="2"/>
    </font>
    <font>
      <b/>
      <sz val="11"/>
      <color theme="0"/>
      <name val="宋体"/>
      <family val="3"/>
      <charset val="134"/>
    </font>
    <font>
      <b/>
      <sz val="11"/>
      <name val="宋体"/>
      <family val="3"/>
      <charset val="134"/>
    </font>
    <font>
      <sz val="11"/>
      <color theme="8"/>
      <name val="Arial"/>
      <family val="2"/>
    </font>
    <font>
      <b/>
      <sz val="11"/>
      <color theme="8"/>
      <name val="Arial"/>
      <family val="2"/>
    </font>
    <font>
      <sz val="11"/>
      <color rgb="FF000000"/>
      <name val="Calibri"/>
      <family val="2"/>
    </font>
    <font>
      <sz val="10"/>
      <color theme="1"/>
      <name val="Times New Roman"/>
      <family val="1"/>
    </font>
    <font>
      <b/>
      <sz val="11"/>
      <color rgb="FF000000"/>
      <name val="Calibri"/>
      <family val="2"/>
    </font>
    <font>
      <sz val="11"/>
      <color theme="1"/>
      <name val="宋体"/>
      <family val="2"/>
      <charset val="128"/>
      <scheme val="minor"/>
    </font>
    <font>
      <sz val="11"/>
      <name val="ＭＳ Ｐゴシック"/>
      <family val="3"/>
      <charset val="128"/>
    </font>
    <font>
      <sz val="14"/>
      <name val="ＭＳ 明朝"/>
      <family val="1"/>
      <charset val="128"/>
    </font>
    <font>
      <sz val="11"/>
      <color indexed="10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8"/>
      <color indexed="6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6"/>
      <name val="宋体"/>
      <family val="2"/>
      <charset val="128"/>
      <scheme val="minor"/>
    </font>
    <font>
      <sz val="11"/>
      <color theme="1"/>
      <name val="宋体"/>
      <family val="2"/>
      <scheme val="minor"/>
    </font>
    <font>
      <sz val="12"/>
      <name val="宋体"/>
      <family val="3"/>
      <charset val="134"/>
    </font>
    <font>
      <sz val="12"/>
      <name val="リュウミンライト－ＫＬ"/>
      <family val="3"/>
    </font>
    <font>
      <u/>
      <sz val="11"/>
      <color theme="10"/>
      <name val="宋体"/>
      <family val="2"/>
      <scheme val="minor"/>
    </font>
    <font>
      <sz val="8"/>
      <color rgb="FFFF0000"/>
      <name val="Arial Unicode MS"/>
      <family val="2"/>
    </font>
    <font>
      <sz val="11"/>
      <name val="ＭＳ 明朝"/>
      <family val="1"/>
      <charset val="128"/>
    </font>
    <font>
      <sz val="6"/>
      <name val="宋体"/>
      <family val="3"/>
      <charset val="128"/>
      <scheme val="minor"/>
    </font>
    <font>
      <b/>
      <sz val="8"/>
      <color theme="0"/>
      <name val="微软雅黑"/>
      <family val="2"/>
      <charset val="134"/>
    </font>
    <font>
      <b/>
      <sz val="8"/>
      <name val="华文楷体"/>
      <family val="3"/>
      <charset val="134"/>
    </font>
    <font>
      <b/>
      <sz val="9"/>
      <name val="华文楷体"/>
      <family val="3"/>
      <charset val="134"/>
    </font>
    <font>
      <b/>
      <sz val="8"/>
      <color rgb="FFFF0000"/>
      <name val="华文楷体"/>
      <family val="3"/>
      <charset val="134"/>
    </font>
    <font>
      <sz val="9"/>
      <name val="华文楷体"/>
      <family val="3"/>
      <charset val="134"/>
    </font>
    <font>
      <sz val="8"/>
      <name val="华文楷体"/>
      <family val="3"/>
      <charset val="134"/>
    </font>
    <font>
      <sz val="8"/>
      <color rgb="FFFF0000"/>
      <name val="华文楷体"/>
      <family val="3"/>
      <charset val="134"/>
    </font>
    <font>
      <sz val="9"/>
      <color theme="1"/>
      <name val="华文楷体"/>
      <family val="3"/>
      <charset val="134"/>
    </font>
    <font>
      <b/>
      <sz val="9"/>
      <color rgb="FFFF0000"/>
      <name val="华文楷体"/>
      <family val="3"/>
      <charset val="134"/>
    </font>
    <font>
      <b/>
      <sz val="9"/>
      <color theme="4" tint="-0.249977111117893"/>
      <name val="华文楷体"/>
      <family val="3"/>
      <charset val="134"/>
    </font>
    <font>
      <b/>
      <sz val="8"/>
      <color theme="4" tint="-0.249977111117893"/>
      <name val="华文楷体"/>
      <family val="3"/>
      <charset val="134"/>
    </font>
    <font>
      <b/>
      <sz val="9"/>
      <color theme="0"/>
      <name val="Arial"/>
      <family val="2"/>
    </font>
    <font>
      <b/>
      <sz val="8"/>
      <color theme="0"/>
      <name val="Arial"/>
      <family val="2"/>
    </font>
    <font>
      <b/>
      <sz val="8"/>
      <name val="Arial"/>
      <family val="2"/>
    </font>
    <font>
      <b/>
      <sz val="9"/>
      <name val="Arial"/>
      <family val="2"/>
    </font>
    <font>
      <b/>
      <sz val="8"/>
      <color rgb="FFFF0000"/>
      <name val="Arial"/>
      <family val="2"/>
    </font>
    <font>
      <sz val="8"/>
      <color rgb="FFFF0000"/>
      <name val="Arial"/>
      <family val="2"/>
    </font>
    <font>
      <sz val="8"/>
      <color theme="1"/>
      <name val="Arial"/>
      <family val="2"/>
    </font>
    <font>
      <b/>
      <sz val="8"/>
      <color theme="4" tint="-0.249977111117893"/>
      <name val="Arial"/>
      <family val="2"/>
    </font>
    <font>
      <b/>
      <sz val="11"/>
      <color theme="4" tint="-0.249977111117893"/>
      <name val="Arial"/>
      <family val="2"/>
    </font>
    <font>
      <sz val="9"/>
      <color theme="1"/>
      <name val="宋体"/>
      <family val="2"/>
      <charset val="134"/>
    </font>
    <font>
      <sz val="10"/>
      <color rgb="FFFF0000"/>
      <name val="Arial"/>
      <family val="2"/>
    </font>
    <font>
      <sz val="10"/>
      <color theme="1"/>
      <name val="宋体"/>
      <family val="2"/>
      <charset val="134"/>
    </font>
    <font>
      <sz val="8"/>
      <name val="宋体"/>
      <family val="2"/>
      <charset val="134"/>
    </font>
    <font>
      <sz val="8"/>
      <name val="Arial"/>
      <family val="2"/>
      <charset val="134"/>
    </font>
    <font>
      <sz val="8"/>
      <color rgb="FFFF0000"/>
      <name val="宋体"/>
      <family val="2"/>
      <charset val="134"/>
    </font>
    <font>
      <sz val="8"/>
      <color rgb="FFFF0000"/>
      <name val="Arial"/>
      <family val="2"/>
      <charset val="134"/>
    </font>
    <font>
      <sz val="11"/>
      <name val="明朝"/>
      <family val="1"/>
      <charset val="128"/>
    </font>
    <font>
      <sz val="9"/>
      <name val="微软雅黑"/>
      <family val="2"/>
      <charset val="134"/>
    </font>
    <font>
      <sz val="9"/>
      <name val="Arial"/>
      <family val="2"/>
      <charset val="134"/>
    </font>
    <font>
      <sz val="9"/>
      <name val="宋体"/>
      <family val="3"/>
      <charset val="134"/>
    </font>
    <font>
      <sz val="9"/>
      <name val="宋体"/>
      <family val="2"/>
      <charset val="134"/>
    </font>
    <font>
      <sz val="9"/>
      <color rgb="FFFF0000"/>
      <name val="Arial"/>
      <family val="2"/>
    </font>
    <font>
      <sz val="10"/>
      <name val="宋体"/>
      <family val="3"/>
      <charset val="134"/>
    </font>
    <font>
      <sz val="9"/>
      <name val="FangSong_GB2312"/>
      <family val="3"/>
      <charset val="134"/>
    </font>
    <font>
      <b/>
      <sz val="9"/>
      <name val="华文细黑"/>
      <family val="3"/>
      <charset val="134"/>
    </font>
    <font>
      <b/>
      <sz val="8"/>
      <name val="华文细黑"/>
      <family val="3"/>
      <charset val="134"/>
    </font>
    <font>
      <sz val="11"/>
      <color theme="1"/>
      <name val="华文细黑"/>
      <family val="3"/>
      <charset val="134"/>
    </font>
    <font>
      <sz val="9"/>
      <color theme="1"/>
      <name val="Microsoft YaHei UI"/>
      <family val="2"/>
      <charset val="134"/>
    </font>
    <font>
      <b/>
      <sz val="11"/>
      <color theme="0"/>
      <name val="Arial"/>
      <family val="2"/>
    </font>
    <font>
      <sz val="11"/>
      <color theme="1"/>
      <name val="宋体"/>
      <family val="2"/>
      <charset val="134"/>
    </font>
    <font>
      <sz val="10"/>
      <color theme="1"/>
      <name val="微软雅黑"/>
      <family val="2"/>
      <charset val="134"/>
    </font>
    <font>
      <sz val="11"/>
      <name val="ＭＳ Ｐゴシック"/>
      <family val="2"/>
      <charset val="128"/>
    </font>
    <font>
      <sz val="10"/>
      <name val="宋体"/>
      <family val="2"/>
      <charset val="134"/>
    </font>
    <font>
      <sz val="9"/>
      <color theme="1"/>
      <name val="微软雅黑"/>
      <family val="2"/>
      <charset val="134"/>
    </font>
    <font>
      <sz val="8"/>
      <name val="微软雅黑"/>
      <family val="2"/>
      <charset val="134"/>
    </font>
    <font>
      <sz val="8"/>
      <color theme="1"/>
      <name val="宋体"/>
      <family val="2"/>
      <charset val="134"/>
    </font>
    <font>
      <sz val="10"/>
      <color theme="1"/>
      <name val="Arial"/>
      <family val="2"/>
      <charset val="134"/>
    </font>
    <font>
      <sz val="10"/>
      <color theme="0"/>
      <name val="Arial"/>
      <family val="2"/>
    </font>
    <font>
      <sz val="8"/>
      <color theme="1"/>
      <name val="Arial"/>
      <family val="2"/>
      <charset val="134"/>
    </font>
    <font>
      <sz val="8"/>
      <color theme="1"/>
      <name val="微软雅黑"/>
      <family val="2"/>
      <charset val="134"/>
    </font>
    <font>
      <sz val="10"/>
      <color theme="1"/>
      <name val="Arial Unicode MS"/>
      <family val="2"/>
    </font>
    <font>
      <sz val="10"/>
      <color theme="1"/>
      <name val="等线"/>
      <family val="2"/>
      <charset val="134"/>
    </font>
    <font>
      <sz val="6"/>
      <color theme="1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0"/>
      <color theme="1"/>
      <name val="等线"/>
      <family val="3"/>
      <charset val="134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theme="1"/>
      <name val="宋体"/>
      <family val="3"/>
      <charset val="134"/>
      <scheme val="minor"/>
    </font>
    <font>
      <sz val="11"/>
      <color theme="1"/>
      <name val="Calibri"/>
      <family val="2"/>
    </font>
    <font>
      <b/>
      <sz val="11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</font>
    <font>
      <sz val="8"/>
      <color theme="1"/>
      <name val="等线"/>
      <family val="2"/>
      <charset val="134"/>
    </font>
    <font>
      <sz val="10"/>
      <color rgb="FFFF0000"/>
      <name val="宋体"/>
      <family val="3"/>
      <charset val="134"/>
    </font>
    <font>
      <sz val="10"/>
      <color theme="1"/>
      <name val="等线"/>
      <family val="3"/>
    </font>
    <font>
      <sz val="9"/>
      <color theme="1"/>
      <name val="Arial"/>
      <family val="2"/>
      <charset val="134"/>
    </font>
    <font>
      <sz val="10.5"/>
      <color rgb="FF000000"/>
      <name val="微软雅黑"/>
      <family val="2"/>
      <charset val="134"/>
    </font>
    <font>
      <sz val="10.5"/>
      <color rgb="FF000000"/>
      <name val="Calibri"/>
      <family val="2"/>
    </font>
    <font>
      <sz val="11"/>
      <color theme="0"/>
      <name val="宋体"/>
      <family val="2"/>
      <charset val="134"/>
    </font>
    <font>
      <b/>
      <sz val="16"/>
      <color theme="1"/>
      <name val="Arial"/>
      <family val="2"/>
    </font>
    <font>
      <sz val="11"/>
      <name val="宋体"/>
      <family val="2"/>
      <charset val="134"/>
    </font>
    <font>
      <b/>
      <sz val="11"/>
      <name val="宋体"/>
      <family val="2"/>
      <charset val="134"/>
    </font>
    <font>
      <sz val="11"/>
      <color theme="1"/>
      <name val="宋体"/>
      <family val="2"/>
      <charset val="136"/>
      <scheme val="minor"/>
    </font>
    <font>
      <sz val="11"/>
      <name val="宋体"/>
      <family val="2"/>
      <charset val="136"/>
      <scheme val="minor"/>
    </font>
    <font>
      <sz val="11"/>
      <color theme="1"/>
      <name val="宋体"/>
      <family val="3"/>
    </font>
    <font>
      <sz val="11"/>
      <color theme="0"/>
      <name val="宋体"/>
      <family val="2"/>
      <charset val="134"/>
      <scheme val="minor"/>
    </font>
    <font>
      <sz val="11"/>
      <color theme="0"/>
      <name val="宋体"/>
      <family val="3"/>
      <charset val="134"/>
      <scheme val="minor"/>
    </font>
    <font>
      <sz val="10"/>
      <color theme="1"/>
      <name val="宋体"/>
      <family val="3"/>
      <charset val="134"/>
    </font>
    <font>
      <sz val="11"/>
      <color theme="0"/>
      <name val="Arial Nova"/>
      <family val="2"/>
    </font>
    <font>
      <sz val="11"/>
      <color theme="1"/>
      <name val="Arial Nova"/>
      <family val="2"/>
    </font>
    <font>
      <b/>
      <sz val="9"/>
      <color theme="0"/>
      <name val="宋体"/>
      <family val="2"/>
      <charset val="134"/>
    </font>
    <font>
      <b/>
      <sz val="8"/>
      <name val="Arial"/>
      <family val="3"/>
      <charset val="134"/>
    </font>
    <font>
      <b/>
      <sz val="11"/>
      <color theme="1"/>
      <name val="宋体"/>
      <family val="2"/>
      <charset val="134"/>
    </font>
    <font>
      <b/>
      <sz val="14"/>
      <color theme="0"/>
      <name val="Arial"/>
      <family val="2"/>
    </font>
    <font>
      <b/>
      <sz val="11"/>
      <color theme="0"/>
      <name val="宋体"/>
      <family val="2"/>
      <charset val="134"/>
    </font>
    <font>
      <b/>
      <sz val="16"/>
      <color theme="0"/>
      <name val="宋体"/>
      <family val="3"/>
      <charset val="134"/>
    </font>
    <font>
      <b/>
      <sz val="14"/>
      <name val="宋体"/>
      <family val="2"/>
      <charset val="134"/>
    </font>
    <font>
      <sz val="9"/>
      <color theme="0"/>
      <name val="Arial"/>
      <family val="2"/>
    </font>
    <font>
      <b/>
      <sz val="16"/>
      <color theme="0"/>
      <name val="宋体"/>
      <family val="3"/>
    </font>
    <font>
      <b/>
      <sz val="11"/>
      <color theme="0"/>
      <name val="微软雅黑"/>
      <family val="2"/>
      <charset val="134"/>
    </font>
    <font>
      <b/>
      <sz val="14"/>
      <color rgb="FFFF0000"/>
      <name val="Arial"/>
      <family val="2"/>
    </font>
    <font>
      <sz val="10"/>
      <color rgb="FFFF0000"/>
      <name val="微软雅黑"/>
      <family val="2"/>
      <charset val="134"/>
    </font>
    <font>
      <sz val="10.5"/>
      <color theme="1"/>
      <name val="等线"/>
      <family val="3"/>
      <charset val="134"/>
    </font>
    <font>
      <sz val="8"/>
      <color rgb="FFFF0000"/>
      <name val="等线"/>
      <family val="2"/>
      <charset val="134"/>
    </font>
    <font>
      <sz val="10"/>
      <color rgb="FFFF0000"/>
      <name val="宋体"/>
      <family val="2"/>
      <charset val="134"/>
    </font>
    <font>
      <b/>
      <sz val="11"/>
      <color theme="0"/>
      <name val="宋体"/>
      <family val="3"/>
    </font>
  </fonts>
  <fills count="66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45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55"/>
      </patternFill>
    </fill>
    <fill>
      <patternFill patternType="solid">
        <fgColor indexed="46"/>
      </patternFill>
    </fill>
    <fill>
      <patternFill patternType="solid">
        <fgColor indexed="9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1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6"/>
        <bgColor indexed="64"/>
      </patternFill>
    </fill>
  </fills>
  <borders count="9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/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FF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/>
      <diagonal/>
    </border>
    <border>
      <left style="thin">
        <color indexed="64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/>
      <right/>
      <top style="thin">
        <color indexed="64"/>
      </top>
      <bottom style="medium">
        <color rgb="FFFF0000"/>
      </bottom>
      <diagonal/>
    </border>
    <border>
      <left/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198">
    <xf numFmtId="0" fontId="0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179" fontId="45" fillId="0" borderId="0">
      <alignment vertical="center"/>
    </xf>
    <xf numFmtId="179" fontId="46" fillId="0" borderId="0"/>
    <xf numFmtId="179" fontId="50" fillId="15" borderId="0" applyNumberFormat="0" applyBorder="0" applyAlignment="0" applyProtection="0">
      <alignment vertical="center"/>
    </xf>
    <xf numFmtId="179" fontId="50" fillId="16" borderId="0" applyNumberFormat="0" applyBorder="0" applyAlignment="0" applyProtection="0">
      <alignment vertical="center"/>
    </xf>
    <xf numFmtId="179" fontId="50" fillId="17" borderId="0" applyNumberFormat="0" applyBorder="0" applyAlignment="0" applyProtection="0">
      <alignment vertical="center"/>
    </xf>
    <xf numFmtId="179" fontId="50" fillId="18" borderId="0" applyNumberFormat="0" applyBorder="0" applyAlignment="0" applyProtection="0">
      <alignment vertical="center"/>
    </xf>
    <xf numFmtId="179" fontId="50" fillId="19" borderId="0" applyNumberFormat="0" applyBorder="0" applyAlignment="0" applyProtection="0">
      <alignment vertical="center"/>
    </xf>
    <xf numFmtId="179" fontId="50" fillId="17" borderId="0" applyNumberFormat="0" applyBorder="0" applyAlignment="0" applyProtection="0">
      <alignment vertical="center"/>
    </xf>
    <xf numFmtId="179" fontId="50" fillId="19" borderId="0" applyNumberFormat="0" applyBorder="0" applyAlignment="0" applyProtection="0">
      <alignment vertical="center"/>
    </xf>
    <xf numFmtId="179" fontId="50" fillId="16" borderId="0" applyNumberFormat="0" applyBorder="0" applyAlignment="0" applyProtection="0">
      <alignment vertical="center"/>
    </xf>
    <xf numFmtId="179" fontId="50" fillId="20" borderId="0" applyNumberFormat="0" applyBorder="0" applyAlignment="0" applyProtection="0">
      <alignment vertical="center"/>
    </xf>
    <xf numFmtId="179" fontId="50" fillId="21" borderId="0" applyNumberFormat="0" applyBorder="0" applyAlignment="0" applyProtection="0">
      <alignment vertical="center"/>
    </xf>
    <xf numFmtId="179" fontId="50" fillId="19" borderId="0" applyNumberFormat="0" applyBorder="0" applyAlignment="0" applyProtection="0">
      <alignment vertical="center"/>
    </xf>
    <xf numFmtId="179" fontId="50" fillId="17" borderId="0" applyNumberFormat="0" applyBorder="0" applyAlignment="0" applyProtection="0">
      <alignment vertical="center"/>
    </xf>
    <xf numFmtId="179" fontId="51" fillId="19" borderId="0" applyNumberFormat="0" applyBorder="0" applyAlignment="0" applyProtection="0">
      <alignment vertical="center"/>
    </xf>
    <xf numFmtId="179" fontId="51" fillId="22" borderId="0" applyNumberFormat="0" applyBorder="0" applyAlignment="0" applyProtection="0">
      <alignment vertical="center"/>
    </xf>
    <xf numFmtId="179" fontId="51" fillId="23" borderId="0" applyNumberFormat="0" applyBorder="0" applyAlignment="0" applyProtection="0">
      <alignment vertical="center"/>
    </xf>
    <xf numFmtId="179" fontId="51" fillId="21" borderId="0" applyNumberFormat="0" applyBorder="0" applyAlignment="0" applyProtection="0">
      <alignment vertical="center"/>
    </xf>
    <xf numFmtId="179" fontId="51" fillId="19" borderId="0" applyNumberFormat="0" applyBorder="0" applyAlignment="0" applyProtection="0">
      <alignment vertical="center"/>
    </xf>
    <xf numFmtId="179" fontId="51" fillId="16" borderId="0" applyNumberFormat="0" applyBorder="0" applyAlignment="0" applyProtection="0">
      <alignment vertical="center"/>
    </xf>
    <xf numFmtId="179" fontId="51" fillId="24" borderId="0" applyNumberFormat="0" applyBorder="0" applyAlignment="0" applyProtection="0">
      <alignment vertical="center"/>
    </xf>
    <xf numFmtId="179" fontId="51" fillId="22" borderId="0" applyNumberFormat="0" applyBorder="0" applyAlignment="0" applyProtection="0">
      <alignment vertical="center"/>
    </xf>
    <xf numFmtId="179" fontId="51" fillId="23" borderId="0" applyNumberFormat="0" applyBorder="0" applyAlignment="0" applyProtection="0">
      <alignment vertical="center"/>
    </xf>
    <xf numFmtId="179" fontId="51" fillId="25" borderId="0" applyNumberFormat="0" applyBorder="0" applyAlignment="0" applyProtection="0">
      <alignment vertical="center"/>
    </xf>
    <xf numFmtId="179" fontId="51" fillId="26" borderId="0" applyNumberFormat="0" applyBorder="0" applyAlignment="0" applyProtection="0">
      <alignment vertical="center"/>
    </xf>
    <xf numFmtId="179" fontId="51" fillId="27" borderId="0" applyNumberFormat="0" applyBorder="0" applyAlignment="0" applyProtection="0">
      <alignment vertical="center"/>
    </xf>
    <xf numFmtId="179" fontId="52" fillId="0" borderId="0" applyNumberFormat="0" applyFill="0" applyBorder="0" applyAlignment="0" applyProtection="0">
      <alignment vertical="center"/>
    </xf>
    <xf numFmtId="179" fontId="53" fillId="28" borderId="52" applyNumberFormat="0" applyAlignment="0" applyProtection="0">
      <alignment vertical="center"/>
    </xf>
    <xf numFmtId="179" fontId="54" fillId="20" borderId="0" applyNumberFormat="0" applyBorder="0" applyAlignment="0" applyProtection="0">
      <alignment vertical="center"/>
    </xf>
    <xf numFmtId="179" fontId="46" fillId="17" borderId="53" applyNumberFormat="0" applyFont="0" applyAlignment="0" applyProtection="0">
      <alignment vertical="center"/>
    </xf>
    <xf numFmtId="179" fontId="48" fillId="0" borderId="54" applyNumberFormat="0" applyFill="0" applyAlignment="0" applyProtection="0">
      <alignment vertical="center"/>
    </xf>
    <xf numFmtId="179" fontId="55" fillId="29" borderId="0" applyNumberFormat="0" applyBorder="0" applyAlignment="0" applyProtection="0">
      <alignment vertical="center"/>
    </xf>
    <xf numFmtId="179" fontId="49" fillId="30" borderId="55" applyNumberFormat="0" applyAlignment="0" applyProtection="0">
      <alignment vertical="center"/>
    </xf>
    <xf numFmtId="179" fontId="48" fillId="0" borderId="0" applyNumberFormat="0" applyFill="0" applyBorder="0" applyAlignment="0" applyProtection="0">
      <alignment vertical="center"/>
    </xf>
    <xf numFmtId="179" fontId="56" fillId="0" borderId="56" applyNumberFormat="0" applyFill="0" applyAlignment="0" applyProtection="0">
      <alignment vertical="center"/>
    </xf>
    <xf numFmtId="179" fontId="57" fillId="0" borderId="57" applyNumberFormat="0" applyFill="0" applyAlignment="0" applyProtection="0">
      <alignment vertical="center"/>
    </xf>
    <xf numFmtId="179" fontId="58" fillId="0" borderId="58" applyNumberFormat="0" applyFill="0" applyAlignment="0" applyProtection="0">
      <alignment vertical="center"/>
    </xf>
    <xf numFmtId="179" fontId="58" fillId="0" borderId="0" applyNumberFormat="0" applyFill="0" applyBorder="0" applyAlignment="0" applyProtection="0">
      <alignment vertical="center"/>
    </xf>
    <xf numFmtId="179" fontId="59" fillId="0" borderId="59" applyNumberFormat="0" applyFill="0" applyAlignment="0" applyProtection="0">
      <alignment vertical="center"/>
    </xf>
    <xf numFmtId="179" fontId="60" fillId="30" borderId="60" applyNumberFormat="0" applyAlignment="0" applyProtection="0">
      <alignment vertical="center"/>
    </xf>
    <xf numFmtId="179" fontId="61" fillId="0" borderId="0" applyNumberFormat="0" applyFill="0" applyBorder="0" applyAlignment="0" applyProtection="0">
      <alignment vertical="center"/>
    </xf>
    <xf numFmtId="6" fontId="46" fillId="0" borderId="0" applyFont="0" applyFill="0" applyBorder="0" applyAlignment="0" applyProtection="0"/>
    <xf numFmtId="179" fontId="62" fillId="20" borderId="55" applyNumberFormat="0" applyAlignment="0" applyProtection="0">
      <alignment vertical="center"/>
    </xf>
    <xf numFmtId="179" fontId="47" fillId="0" borderId="0"/>
    <xf numFmtId="179" fontId="63" fillId="19" borderId="0" applyNumberFormat="0" applyBorder="0" applyAlignment="0" applyProtection="0">
      <alignment vertical="center"/>
    </xf>
    <xf numFmtId="179" fontId="14" fillId="0" borderId="0"/>
    <xf numFmtId="179" fontId="1" fillId="0" borderId="0">
      <alignment vertical="center"/>
    </xf>
    <xf numFmtId="180" fontId="65" fillId="0" borderId="0"/>
    <xf numFmtId="180" fontId="66" fillId="0" borderId="0">
      <alignment vertical="center"/>
    </xf>
    <xf numFmtId="180" fontId="67" fillId="0" borderId="0"/>
    <xf numFmtId="180" fontId="68" fillId="0" borderId="0" applyNumberFormat="0" applyFill="0" applyBorder="0" applyAlignment="0" applyProtection="0"/>
    <xf numFmtId="0" fontId="70" fillId="0" borderId="0"/>
    <xf numFmtId="0" fontId="45" fillId="0" borderId="0">
      <alignment vertical="center"/>
    </xf>
    <xf numFmtId="0" fontId="46" fillId="0" borderId="0"/>
    <xf numFmtId="0" fontId="50" fillId="1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0" fillId="18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20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3" borderId="0" applyNumberFormat="0" applyBorder="0" applyAlignment="0" applyProtection="0">
      <alignment vertical="center"/>
    </xf>
    <xf numFmtId="0" fontId="51" fillId="21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6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3" fillId="28" borderId="52" applyNumberFormat="0" applyAlignment="0" applyProtection="0">
      <alignment vertical="center"/>
    </xf>
    <xf numFmtId="0" fontId="54" fillId="20" borderId="0" applyNumberFormat="0" applyBorder="0" applyAlignment="0" applyProtection="0">
      <alignment vertical="center"/>
    </xf>
    <xf numFmtId="0" fontId="46" fillId="17" borderId="53" applyNumberFormat="0" applyFont="0" applyAlignment="0" applyProtection="0">
      <alignment vertical="center"/>
    </xf>
    <xf numFmtId="0" fontId="48" fillId="0" borderId="54" applyNumberFormat="0" applyFill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49" fillId="30" borderId="55" applyNumberFormat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56" fillId="0" borderId="56" applyNumberFormat="0" applyFill="0" applyAlignment="0" applyProtection="0">
      <alignment vertical="center"/>
    </xf>
    <xf numFmtId="0" fontId="57" fillId="0" borderId="57" applyNumberFormat="0" applyFill="0" applyAlignment="0" applyProtection="0">
      <alignment vertical="center"/>
    </xf>
    <xf numFmtId="0" fontId="58" fillId="0" borderId="58" applyNumberFormat="0" applyFill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9" fillId="0" borderId="59" applyNumberFormat="0" applyFill="0" applyAlignment="0" applyProtection="0">
      <alignment vertical="center"/>
    </xf>
    <xf numFmtId="0" fontId="60" fillId="30" borderId="60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6" fontId="46" fillId="0" borderId="0" applyFont="0" applyFill="0" applyBorder="0" applyAlignment="0" applyProtection="0"/>
    <xf numFmtId="0" fontId="62" fillId="20" borderId="55" applyNumberFormat="0" applyAlignment="0" applyProtection="0">
      <alignment vertical="center"/>
    </xf>
    <xf numFmtId="0" fontId="47" fillId="0" borderId="0"/>
    <xf numFmtId="0" fontId="63" fillId="19" borderId="0" applyNumberFormat="0" applyBorder="0" applyAlignment="0" applyProtection="0">
      <alignment vertical="center"/>
    </xf>
    <xf numFmtId="0" fontId="99" fillId="0" borderId="0"/>
    <xf numFmtId="38" fontId="46" fillId="0" borderId="0" applyFont="0" applyFill="0" applyBorder="0" applyAlignment="0" applyProtection="0"/>
    <xf numFmtId="38" fontId="99" fillId="0" borderId="0" applyFont="0" applyFill="0" applyBorder="0" applyAlignment="0" applyProtection="0"/>
    <xf numFmtId="6" fontId="46" fillId="0" borderId="0" applyFont="0" applyFill="0" applyBorder="0" applyAlignment="0" applyProtection="0"/>
    <xf numFmtId="6" fontId="46" fillId="0" borderId="0" applyFont="0" applyFill="0" applyBorder="0" applyAlignment="0" applyProtection="0"/>
    <xf numFmtId="6" fontId="46" fillId="0" borderId="0" applyFont="0" applyFill="0" applyBorder="0" applyAlignment="0" applyProtection="0"/>
    <xf numFmtId="0" fontId="14" fillId="0" borderId="0"/>
    <xf numFmtId="0" fontId="114" fillId="0" borderId="0"/>
    <xf numFmtId="0" fontId="99" fillId="0" borderId="0"/>
    <xf numFmtId="0" fontId="1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6" fontId="46" fillId="0" borderId="0" applyFont="0" applyFill="0" applyBorder="0" applyAlignment="0" applyProtection="0"/>
    <xf numFmtId="6" fontId="46" fillId="0" borderId="0" applyFont="0" applyFill="0" applyBorder="0" applyAlignment="0" applyProtection="0"/>
    <xf numFmtId="0" fontId="114" fillId="0" borderId="0">
      <alignment vertical="center"/>
    </xf>
    <xf numFmtId="0" fontId="128" fillId="36" borderId="0" applyNumberFormat="0" applyBorder="0" applyAlignment="0" applyProtection="0"/>
    <xf numFmtId="0" fontId="128" fillId="21" borderId="0" applyNumberFormat="0" applyBorder="0" applyAlignment="0" applyProtection="0"/>
    <xf numFmtId="0" fontId="128" fillId="37" borderId="0" applyNumberFormat="0" applyBorder="0" applyAlignment="0" applyProtection="0"/>
    <xf numFmtId="0" fontId="128" fillId="29" borderId="0" applyNumberFormat="0" applyBorder="0" applyAlignment="0" applyProtection="0"/>
    <xf numFmtId="0" fontId="128" fillId="19" borderId="0" applyNumberFormat="0" applyBorder="0" applyAlignment="0" applyProtection="0"/>
    <xf numFmtId="0" fontId="128" fillId="18" borderId="0" applyNumberFormat="0" applyBorder="0" applyAlignment="0" applyProtection="0"/>
    <xf numFmtId="0" fontId="128" fillId="15" borderId="0" applyNumberFormat="0" applyBorder="0" applyAlignment="0" applyProtection="0"/>
    <xf numFmtId="0" fontId="128" fillId="16" borderId="0" applyNumberFormat="0" applyBorder="0" applyAlignment="0" applyProtection="0"/>
    <xf numFmtId="0" fontId="128" fillId="38" borderId="0" applyNumberFormat="0" applyBorder="0" applyAlignment="0" applyProtection="0"/>
    <xf numFmtId="0" fontId="128" fillId="29" borderId="0" applyNumberFormat="0" applyBorder="0" applyAlignment="0" applyProtection="0"/>
    <xf numFmtId="0" fontId="128" fillId="15" borderId="0" applyNumberFormat="0" applyBorder="0" applyAlignment="0" applyProtection="0"/>
    <xf numFmtId="0" fontId="128" fillId="23" borderId="0" applyNumberFormat="0" applyBorder="0" applyAlignment="0" applyProtection="0"/>
    <xf numFmtId="0" fontId="129" fillId="39" borderId="0" applyNumberFormat="0" applyBorder="0" applyAlignment="0" applyProtection="0"/>
    <xf numFmtId="0" fontId="129" fillId="16" borderId="0" applyNumberFormat="0" applyBorder="0" applyAlignment="0" applyProtection="0"/>
    <xf numFmtId="0" fontId="129" fillId="38" borderId="0" applyNumberFormat="0" applyBorder="0" applyAlignment="0" applyProtection="0"/>
    <xf numFmtId="0" fontId="129" fillId="40" borderId="0" applyNumberFormat="0" applyBorder="0" applyAlignment="0" applyProtection="0"/>
    <xf numFmtId="0" fontId="129" fillId="26" borderId="0" applyNumberFormat="0" applyBorder="0" applyAlignment="0" applyProtection="0"/>
    <xf numFmtId="0" fontId="129" fillId="41" borderId="0" applyNumberFormat="0" applyBorder="0" applyAlignment="0" applyProtection="0"/>
    <xf numFmtId="0" fontId="129" fillId="42" borderId="0" applyNumberFormat="0" applyBorder="0" applyAlignment="0" applyProtection="0"/>
    <xf numFmtId="0" fontId="129" fillId="27" borderId="0" applyNumberFormat="0" applyBorder="0" applyAlignment="0" applyProtection="0"/>
    <xf numFmtId="0" fontId="129" fillId="43" borderId="0" applyNumberFormat="0" applyBorder="0" applyAlignment="0" applyProtection="0"/>
    <xf numFmtId="0" fontId="129" fillId="40" borderId="0" applyNumberFormat="0" applyBorder="0" applyAlignment="0" applyProtection="0"/>
    <xf numFmtId="0" fontId="129" fillId="26" borderId="0" applyNumberFormat="0" applyBorder="0" applyAlignment="0" applyProtection="0"/>
    <xf numFmtId="0" fontId="129" fillId="22" borderId="0" applyNumberFormat="0" applyBorder="0" applyAlignment="0" applyProtection="0"/>
    <xf numFmtId="0" fontId="130" fillId="21" borderId="0" applyNumberFormat="0" applyBorder="0" applyAlignment="0" applyProtection="0"/>
    <xf numFmtId="0" fontId="131" fillId="44" borderId="55" applyNumberFormat="0" applyAlignment="0" applyProtection="0"/>
    <xf numFmtId="0" fontId="132" fillId="28" borderId="52" applyNumberFormat="0" applyAlignment="0" applyProtection="0"/>
    <xf numFmtId="0" fontId="133" fillId="0" borderId="0" applyNumberFormat="0" applyFill="0" applyBorder="0" applyAlignment="0" applyProtection="0"/>
    <xf numFmtId="0" fontId="134" fillId="37" borderId="0" applyNumberFormat="0" applyBorder="0" applyAlignment="0" applyProtection="0"/>
    <xf numFmtId="0" fontId="135" fillId="0" borderId="76" applyNumberFormat="0" applyFill="0" applyAlignment="0" applyProtection="0"/>
    <xf numFmtId="0" fontId="136" fillId="0" borderId="77" applyNumberFormat="0" applyFill="0" applyAlignment="0" applyProtection="0"/>
    <xf numFmtId="0" fontId="137" fillId="0" borderId="78" applyNumberFormat="0" applyFill="0" applyAlignment="0" applyProtection="0"/>
    <xf numFmtId="0" fontId="137" fillId="0" borderId="0" applyNumberFormat="0" applyFill="0" applyBorder="0" applyAlignment="0" applyProtection="0"/>
    <xf numFmtId="0" fontId="138" fillId="18" borderId="55" applyNumberFormat="0" applyAlignment="0" applyProtection="0"/>
    <xf numFmtId="0" fontId="139" fillId="0" borderId="79" applyNumberFormat="0" applyFill="0" applyAlignment="0" applyProtection="0"/>
    <xf numFmtId="0" fontId="140" fillId="20" borderId="0" applyNumberFormat="0" applyBorder="0" applyAlignment="0" applyProtection="0"/>
    <xf numFmtId="0" fontId="14" fillId="17" borderId="53" applyNumberFormat="0" applyFont="0" applyAlignment="0" applyProtection="0"/>
    <xf numFmtId="0" fontId="141" fillId="44" borderId="60" applyNumberFormat="0" applyAlignment="0" applyProtection="0"/>
    <xf numFmtId="0" fontId="142" fillId="0" borderId="0" applyNumberFormat="0" applyFill="0" applyBorder="0" applyAlignment="0" applyProtection="0"/>
    <xf numFmtId="0" fontId="143" fillId="0" borderId="80" applyNumberFormat="0" applyFill="0" applyAlignment="0" applyProtection="0"/>
    <xf numFmtId="0" fontId="144" fillId="0" borderId="0" applyNumberFormat="0" applyFill="0" applyBorder="0" applyAlignment="0" applyProtection="0"/>
    <xf numFmtId="9" fontId="145" fillId="0" borderId="0" applyFont="0" applyFill="0" applyBorder="0" applyAlignment="0" applyProtection="0"/>
    <xf numFmtId="0" fontId="14" fillId="0" borderId="0"/>
    <xf numFmtId="41" fontId="14" fillId="0" borderId="0" applyFont="0" applyFill="0" applyBorder="0" applyAlignment="0" applyProtection="0"/>
    <xf numFmtId="0" fontId="159" fillId="0" borderId="0"/>
    <xf numFmtId="0" fontId="145" fillId="0" borderId="0">
      <alignment vertical="center"/>
    </xf>
    <xf numFmtId="0" fontId="51" fillId="52" borderId="0" applyNumberFormat="0" applyBorder="0" applyAlignment="0" applyProtection="0">
      <alignment vertical="center"/>
    </xf>
    <xf numFmtId="0" fontId="51" fillId="55" borderId="0" applyNumberFormat="0" applyBorder="0" applyAlignment="0" applyProtection="0">
      <alignment vertical="center"/>
    </xf>
    <xf numFmtId="0" fontId="50" fillId="53" borderId="0" applyNumberFormat="0" applyBorder="0" applyAlignment="0" applyProtection="0">
      <alignment vertical="center"/>
    </xf>
    <xf numFmtId="0" fontId="51" fillId="50" borderId="0" applyNumberFormat="0" applyBorder="0" applyAlignment="0" applyProtection="0">
      <alignment vertical="center"/>
    </xf>
    <xf numFmtId="0" fontId="54" fillId="54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60" fillId="58" borderId="60" applyNumberFormat="0" applyAlignment="0" applyProtection="0">
      <alignment vertical="center"/>
    </xf>
    <xf numFmtId="0" fontId="50" fillId="51" borderId="0" applyNumberFormat="0" applyBorder="0" applyAlignment="0" applyProtection="0">
      <alignment vertical="center"/>
    </xf>
    <xf numFmtId="0" fontId="50" fillId="51" borderId="0" applyNumberFormat="0" applyBorder="0" applyAlignment="0" applyProtection="0">
      <alignment vertical="center"/>
    </xf>
    <xf numFmtId="0" fontId="50" fillId="53" borderId="0" applyNumberFormat="0" applyBorder="0" applyAlignment="0" applyProtection="0">
      <alignment vertical="center"/>
    </xf>
    <xf numFmtId="0" fontId="50" fillId="51" borderId="0" applyNumberFormat="0" applyBorder="0" applyAlignment="0" applyProtection="0">
      <alignment vertical="center"/>
    </xf>
    <xf numFmtId="0" fontId="51" fillId="51" borderId="0" applyNumberFormat="0" applyBorder="0" applyAlignment="0" applyProtection="0">
      <alignment vertical="center"/>
    </xf>
    <xf numFmtId="0" fontId="50" fillId="57" borderId="0" applyNumberFormat="0" applyBorder="0" applyAlignment="0" applyProtection="0">
      <alignment vertical="center"/>
    </xf>
    <xf numFmtId="0" fontId="50" fillId="55" borderId="0" applyNumberFormat="0" applyBorder="0" applyAlignment="0" applyProtection="0">
      <alignment vertical="center"/>
    </xf>
    <xf numFmtId="0" fontId="50" fillId="53" borderId="0" applyNumberFormat="0" applyBorder="0" applyAlignment="0" applyProtection="0">
      <alignment vertical="center"/>
    </xf>
    <xf numFmtId="0" fontId="50" fillId="59" borderId="0" applyNumberFormat="0" applyBorder="0" applyAlignment="0" applyProtection="0">
      <alignment vertical="center"/>
    </xf>
    <xf numFmtId="0" fontId="50" fillId="55" borderId="0" applyNumberFormat="0" applyBorder="0" applyAlignment="0" applyProtection="0">
      <alignment vertical="center"/>
    </xf>
    <xf numFmtId="0" fontId="50" fillId="54" borderId="0" applyNumberFormat="0" applyBorder="0" applyAlignment="0" applyProtection="0">
      <alignment vertical="center"/>
    </xf>
    <xf numFmtId="0" fontId="50" fillId="60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60" borderId="0" applyNumberFormat="0" applyBorder="0" applyAlignment="0" applyProtection="0">
      <alignment vertical="center"/>
    </xf>
    <xf numFmtId="0" fontId="51" fillId="51" borderId="0" applyNumberFormat="0" applyBorder="0" applyAlignment="0" applyProtection="0">
      <alignment vertical="center"/>
    </xf>
    <xf numFmtId="0" fontId="51" fillId="61" borderId="0" applyNumberFormat="0" applyBorder="0" applyAlignment="0" applyProtection="0">
      <alignment vertical="center"/>
    </xf>
    <xf numFmtId="0" fontId="51" fillId="50" borderId="0" applyNumberFormat="0" applyBorder="0" applyAlignment="0" applyProtection="0">
      <alignment vertical="center"/>
    </xf>
    <xf numFmtId="0" fontId="51" fillId="62" borderId="0" applyNumberFormat="0" applyBorder="0" applyAlignment="0" applyProtection="0">
      <alignment vertical="center"/>
    </xf>
    <xf numFmtId="0" fontId="51" fillId="63" borderId="0" applyNumberFormat="0" applyBorder="0" applyAlignment="0" applyProtection="0">
      <alignment vertical="center"/>
    </xf>
    <xf numFmtId="0" fontId="53" fillId="64" borderId="52" applyNumberFormat="0" applyAlignment="0" applyProtection="0">
      <alignment vertical="center"/>
    </xf>
    <xf numFmtId="0" fontId="62" fillId="54" borderId="55" applyNumberFormat="0" applyAlignment="0" applyProtection="0">
      <alignment vertical="center"/>
    </xf>
    <xf numFmtId="0" fontId="46" fillId="53" borderId="53" applyNumberFormat="0" applyFont="0" applyAlignment="0" applyProtection="0">
      <alignment vertical="center"/>
    </xf>
    <xf numFmtId="0" fontId="55" fillId="65" borderId="0" applyNumberFormat="0" applyBorder="0" applyAlignment="0" applyProtection="0">
      <alignment vertical="center"/>
    </xf>
    <xf numFmtId="0" fontId="49" fillId="58" borderId="55" applyNumberFormat="0" applyAlignment="0" applyProtection="0">
      <alignment vertical="center"/>
    </xf>
    <xf numFmtId="184" fontId="46" fillId="0" borderId="0" applyFont="0" applyFill="0" applyBorder="0" applyAlignment="0" applyProtection="0"/>
    <xf numFmtId="0" fontId="63" fillId="51" borderId="0" applyNumberFormat="0" applyBorder="0" applyAlignment="0" applyProtection="0">
      <alignment vertical="center"/>
    </xf>
    <xf numFmtId="0" fontId="45" fillId="0" borderId="0">
      <alignment vertical="center"/>
    </xf>
  </cellStyleXfs>
  <cellXfs count="892">
    <xf numFmtId="0" fontId="0" fillId="0" borderId="0" xfId="0">
      <alignment vertical="center"/>
    </xf>
    <xf numFmtId="179" fontId="2" fillId="0" borderId="0" xfId="0" applyNumberFormat="1" applyFont="1">
      <alignment vertical="center"/>
    </xf>
    <xf numFmtId="179" fontId="4" fillId="2" borderId="0" xfId="0" applyNumberFormat="1" applyFont="1" applyFill="1">
      <alignment vertical="center"/>
    </xf>
    <xf numFmtId="179" fontId="7" fillId="0" borderId="0" xfId="0" applyNumberFormat="1" applyFont="1">
      <alignment vertical="center"/>
    </xf>
    <xf numFmtId="14" fontId="9" fillId="0" borderId="2" xfId="0" applyNumberFormat="1" applyFont="1" applyBorder="1" applyAlignment="1">
      <alignment horizontal="left" vertical="center"/>
    </xf>
    <xf numFmtId="179" fontId="11" fillId="0" borderId="2" xfId="0" applyNumberFormat="1" applyFont="1" applyBorder="1" applyAlignment="1">
      <alignment horizontal="center"/>
    </xf>
    <xf numFmtId="14" fontId="14" fillId="0" borderId="2" xfId="0" applyNumberFormat="1" applyFont="1" applyBorder="1" applyAlignment="1">
      <alignment horizontal="left" vertical="center"/>
    </xf>
    <xf numFmtId="179" fontId="16" fillId="0" borderId="0" xfId="0" applyNumberFormat="1" applyFont="1">
      <alignment vertical="center"/>
    </xf>
    <xf numFmtId="14" fontId="9" fillId="0" borderId="11" xfId="0" applyNumberFormat="1" applyFont="1" applyBorder="1" applyAlignment="1">
      <alignment horizontal="left" vertical="center"/>
    </xf>
    <xf numFmtId="14" fontId="27" fillId="0" borderId="2" xfId="0" applyNumberFormat="1" applyFont="1" applyBorder="1" applyAlignment="1">
      <alignment horizontal="left" vertical="center"/>
    </xf>
    <xf numFmtId="14" fontId="28" fillId="0" borderId="2" xfId="0" applyNumberFormat="1" applyFont="1" applyBorder="1" applyAlignment="1">
      <alignment horizontal="left" vertical="center"/>
    </xf>
    <xf numFmtId="14" fontId="27" fillId="0" borderId="11" xfId="0" applyNumberFormat="1" applyFont="1" applyBorder="1" applyAlignment="1">
      <alignment horizontal="left" vertical="center"/>
    </xf>
    <xf numFmtId="14" fontId="9" fillId="0" borderId="3" xfId="0" applyNumberFormat="1" applyFont="1" applyBorder="1" applyAlignment="1">
      <alignment horizontal="left" vertical="center"/>
    </xf>
    <xf numFmtId="179" fontId="2" fillId="0" borderId="0" xfId="0" quotePrefix="1" applyNumberFormat="1" applyFont="1">
      <alignment vertical="center"/>
    </xf>
    <xf numFmtId="14" fontId="26" fillId="0" borderId="2" xfId="0" applyNumberFormat="1" applyFont="1" applyBorder="1" applyAlignment="1">
      <alignment horizontal="left" vertical="center"/>
    </xf>
    <xf numFmtId="179" fontId="0" fillId="0" borderId="0" xfId="0" applyNumberFormat="1" applyAlignment="1"/>
    <xf numFmtId="179" fontId="0" fillId="0" borderId="0" xfId="0" pivotButton="1" applyNumberFormat="1">
      <alignment vertical="center"/>
    </xf>
    <xf numFmtId="4" fontId="0" fillId="0" borderId="0" xfId="0" applyNumberFormat="1">
      <alignment vertical="center"/>
    </xf>
    <xf numFmtId="179" fontId="2" fillId="0" borderId="0" xfId="0" applyNumberFormat="1" applyFont="1" applyAlignment="1">
      <alignment horizontal="right" vertical="center"/>
    </xf>
    <xf numFmtId="179" fontId="21" fillId="9" borderId="2" xfId="0" applyNumberFormat="1" applyFont="1" applyFill="1" applyBorder="1" applyAlignment="1">
      <alignment horizontal="right" vertical="center"/>
    </xf>
    <xf numFmtId="179" fontId="21" fillId="10" borderId="2" xfId="0" applyNumberFormat="1" applyFont="1" applyFill="1" applyBorder="1">
      <alignment vertical="center"/>
    </xf>
    <xf numFmtId="179" fontId="21" fillId="11" borderId="2" xfId="0" applyNumberFormat="1" applyFont="1" applyFill="1" applyBorder="1">
      <alignment vertical="center"/>
    </xf>
    <xf numFmtId="179" fontId="2" fillId="9" borderId="2" xfId="0" applyNumberFormat="1" applyFont="1" applyFill="1" applyBorder="1" applyAlignment="1">
      <alignment horizontal="right" vertical="center"/>
    </xf>
    <xf numFmtId="179" fontId="2" fillId="10" borderId="2" xfId="0" applyNumberFormat="1" applyFont="1" applyFill="1" applyBorder="1" applyAlignment="1">
      <alignment horizontal="right" vertical="center"/>
    </xf>
    <xf numFmtId="179" fontId="2" fillId="11" borderId="2" xfId="0" applyNumberFormat="1" applyFont="1" applyFill="1" applyBorder="1" applyAlignment="1">
      <alignment horizontal="right" vertical="center"/>
    </xf>
    <xf numFmtId="179" fontId="2" fillId="9" borderId="22" xfId="0" applyNumberFormat="1" applyFont="1" applyFill="1" applyBorder="1" applyAlignment="1">
      <alignment horizontal="right" vertical="center"/>
    </xf>
    <xf numFmtId="179" fontId="21" fillId="9" borderId="21" xfId="0" applyNumberFormat="1" applyFont="1" applyFill="1" applyBorder="1" applyAlignment="1">
      <alignment horizontal="right" vertical="center"/>
    </xf>
    <xf numFmtId="179" fontId="21" fillId="9" borderId="23" xfId="0" applyNumberFormat="1" applyFont="1" applyFill="1" applyBorder="1" applyAlignment="1">
      <alignment horizontal="right" vertical="center"/>
    </xf>
    <xf numFmtId="179" fontId="21" fillId="10" borderId="22" xfId="0" applyNumberFormat="1" applyFont="1" applyFill="1" applyBorder="1" applyAlignment="1">
      <alignment horizontal="right" vertical="center"/>
    </xf>
    <xf numFmtId="179" fontId="21" fillId="10" borderId="23" xfId="0" applyNumberFormat="1" applyFont="1" applyFill="1" applyBorder="1" applyAlignment="1">
      <alignment horizontal="right" vertical="center"/>
    </xf>
    <xf numFmtId="179" fontId="21" fillId="11" borderId="18" xfId="0" applyNumberFormat="1" applyFont="1" applyFill="1" applyBorder="1" applyAlignment="1">
      <alignment horizontal="right" vertical="center"/>
    </xf>
    <xf numFmtId="179" fontId="2" fillId="9" borderId="15" xfId="0" applyNumberFormat="1" applyFont="1" applyFill="1" applyBorder="1">
      <alignment vertical="center"/>
    </xf>
    <xf numFmtId="179" fontId="31" fillId="11" borderId="3" xfId="0" applyNumberFormat="1" applyFont="1" applyFill="1" applyBorder="1" applyAlignment="1">
      <alignment horizontal="center" vertical="center"/>
    </xf>
    <xf numFmtId="179" fontId="43" fillId="0" borderId="0" xfId="0" applyNumberFormat="1" applyFont="1" applyAlignment="1"/>
    <xf numFmtId="179" fontId="42" fillId="0" borderId="40" xfId="0" applyNumberFormat="1" applyFont="1" applyBorder="1" applyAlignment="1">
      <alignment horizontal="center" vertical="center"/>
    </xf>
    <xf numFmtId="179" fontId="42" fillId="0" borderId="39" xfId="0" applyNumberFormat="1" applyFont="1" applyBorder="1" applyAlignment="1">
      <alignment horizontal="left" vertical="center"/>
    </xf>
    <xf numFmtId="179" fontId="44" fillId="0" borderId="41" xfId="0" applyNumberFormat="1" applyFont="1" applyBorder="1" applyAlignment="1">
      <alignment horizontal="center" vertical="center"/>
    </xf>
    <xf numFmtId="179" fontId="44" fillId="0" borderId="40" xfId="0" applyNumberFormat="1" applyFont="1" applyBorder="1" applyAlignment="1">
      <alignment horizontal="center" vertical="center"/>
    </xf>
    <xf numFmtId="179" fontId="42" fillId="0" borderId="42" xfId="0" applyNumberFormat="1" applyFont="1" applyBorder="1" applyAlignment="1">
      <alignment horizontal="left" vertical="center"/>
    </xf>
    <xf numFmtId="179" fontId="42" fillId="0" borderId="43" xfId="0" applyNumberFormat="1" applyFont="1" applyBorder="1" applyAlignment="1">
      <alignment horizontal="center" vertical="center"/>
    </xf>
    <xf numFmtId="179" fontId="44" fillId="7" borderId="41" xfId="0" applyNumberFormat="1" applyFont="1" applyFill="1" applyBorder="1" applyAlignment="1">
      <alignment horizontal="center" vertical="center"/>
    </xf>
    <xf numFmtId="179" fontId="42" fillId="0" borderId="47" xfId="0" applyNumberFormat="1" applyFont="1" applyBorder="1" applyAlignment="1">
      <alignment horizontal="center" vertical="center"/>
    </xf>
    <xf numFmtId="179" fontId="42" fillId="0" borderId="49" xfId="0" applyNumberFormat="1" applyFont="1" applyBorder="1" applyAlignment="1">
      <alignment horizontal="left" vertical="center"/>
    </xf>
    <xf numFmtId="179" fontId="42" fillId="0" borderId="50" xfId="0" applyNumberFormat="1" applyFont="1" applyBorder="1" applyAlignment="1">
      <alignment horizontal="left" vertical="center"/>
    </xf>
    <xf numFmtId="179" fontId="2" fillId="12" borderId="0" xfId="0" applyNumberFormat="1" applyFont="1" applyFill="1">
      <alignment vertical="center"/>
    </xf>
    <xf numFmtId="179" fontId="2" fillId="7" borderId="0" xfId="0" applyNumberFormat="1" applyFont="1" applyFill="1">
      <alignment vertical="center"/>
    </xf>
    <xf numFmtId="179" fontId="2" fillId="4" borderId="0" xfId="0" applyNumberFormat="1" applyFont="1" applyFill="1">
      <alignment vertical="center"/>
    </xf>
    <xf numFmtId="179" fontId="2" fillId="0" borderId="2" xfId="0" applyNumberFormat="1" applyFont="1" applyBorder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11" fillId="0" borderId="2" xfId="0" applyFont="1" applyBorder="1" applyAlignment="1">
      <alignment horizontal="center"/>
    </xf>
    <xf numFmtId="0" fontId="9" fillId="0" borderId="2" xfId="0" applyFont="1" applyBorder="1" applyAlignment="1">
      <alignment horizontal="left" vertical="center"/>
    </xf>
    <xf numFmtId="0" fontId="4" fillId="2" borderId="0" xfId="0" applyFont="1" applyFill="1">
      <alignment vertical="center"/>
    </xf>
    <xf numFmtId="0" fontId="29" fillId="2" borderId="0" xfId="0" applyFont="1" applyFill="1">
      <alignment vertical="center"/>
    </xf>
    <xf numFmtId="0" fontId="16" fillId="0" borderId="0" xfId="0" applyFont="1">
      <alignment vertical="center"/>
    </xf>
    <xf numFmtId="0" fontId="2" fillId="7" borderId="0" xfId="0" applyFont="1" applyFill="1">
      <alignment vertical="center"/>
    </xf>
    <xf numFmtId="0" fontId="2" fillId="4" borderId="0" xfId="0" applyFont="1" applyFill="1">
      <alignment vertical="center"/>
    </xf>
    <xf numFmtId="0" fontId="2" fillId="12" borderId="0" xfId="0" applyFont="1" applyFill="1">
      <alignment vertical="center"/>
    </xf>
    <xf numFmtId="0" fontId="21" fillId="0" borderId="16" xfId="0" applyFont="1" applyBorder="1">
      <alignment vertical="center"/>
    </xf>
    <xf numFmtId="0" fontId="21" fillId="9" borderId="2" xfId="0" applyFont="1" applyFill="1" applyBorder="1">
      <alignment vertical="center"/>
    </xf>
    <xf numFmtId="0" fontId="2" fillId="9" borderId="2" xfId="0" applyFont="1" applyFill="1" applyBorder="1">
      <alignment vertical="center"/>
    </xf>
    <xf numFmtId="0" fontId="21" fillId="9" borderId="27" xfId="0" applyFont="1" applyFill="1" applyBorder="1">
      <alignment vertical="center"/>
    </xf>
    <xf numFmtId="0" fontId="40" fillId="9" borderId="2" xfId="0" applyFont="1" applyFill="1" applyBorder="1">
      <alignment vertical="center"/>
    </xf>
    <xf numFmtId="0" fontId="21" fillId="0" borderId="27" xfId="0" applyFont="1" applyBorder="1">
      <alignment vertical="center"/>
    </xf>
    <xf numFmtId="0" fontId="41" fillId="0" borderId="27" xfId="0" applyFont="1" applyBorder="1">
      <alignment vertical="center"/>
    </xf>
    <xf numFmtId="0" fontId="2" fillId="0" borderId="0" xfId="0" applyFont="1" applyAlignment="1">
      <alignment horizontal="right" vertical="center"/>
    </xf>
    <xf numFmtId="0" fontId="24" fillId="0" borderId="0" xfId="0" applyFont="1">
      <alignment vertical="center"/>
    </xf>
    <xf numFmtId="0" fontId="32" fillId="3" borderId="0" xfId="0" applyFont="1" applyFill="1">
      <alignment vertical="center"/>
    </xf>
    <xf numFmtId="0" fontId="24" fillId="7" borderId="0" xfId="0" applyFont="1" applyFill="1">
      <alignment vertical="center"/>
    </xf>
    <xf numFmtId="0" fontId="24" fillId="4" borderId="0" xfId="0" applyFont="1" applyFill="1">
      <alignment vertical="center"/>
    </xf>
    <xf numFmtId="0" fontId="24" fillId="12" borderId="0" xfId="0" applyFont="1" applyFill="1">
      <alignment vertical="center"/>
    </xf>
    <xf numFmtId="0" fontId="21" fillId="0" borderId="0" xfId="0" applyFont="1">
      <alignment vertical="center"/>
    </xf>
    <xf numFmtId="0" fontId="25" fillId="0" borderId="0" xfId="0" applyFont="1">
      <alignment vertical="center"/>
    </xf>
    <xf numFmtId="0" fontId="23" fillId="12" borderId="2" xfId="0" applyFont="1" applyFill="1" applyBorder="1">
      <alignment vertical="center"/>
    </xf>
    <xf numFmtId="0" fontId="21" fillId="12" borderId="2" xfId="0" applyFont="1" applyFill="1" applyBorder="1">
      <alignment vertical="center"/>
    </xf>
    <xf numFmtId="0" fontId="39" fillId="12" borderId="2" xfId="0" applyFont="1" applyFill="1" applyBorder="1">
      <alignment vertical="center"/>
    </xf>
    <xf numFmtId="0" fontId="34" fillId="11" borderId="2" xfId="0" applyFont="1" applyFill="1" applyBorder="1">
      <alignment vertical="center"/>
    </xf>
    <xf numFmtId="0" fontId="21" fillId="12" borderId="27" xfId="0" applyFont="1" applyFill="1" applyBorder="1">
      <alignment vertical="center"/>
    </xf>
    <xf numFmtId="0" fontId="34" fillId="12" borderId="27" xfId="0" applyFont="1" applyFill="1" applyBorder="1">
      <alignment vertical="center"/>
    </xf>
    <xf numFmtId="0" fontId="34" fillId="11" borderId="27" xfId="0" applyFont="1" applyFill="1" applyBorder="1">
      <alignment vertical="center"/>
    </xf>
    <xf numFmtId="0" fontId="7" fillId="0" borderId="0" xfId="0" applyFont="1">
      <alignment vertical="center"/>
    </xf>
    <xf numFmtId="0" fontId="33" fillId="0" borderId="0" xfId="0" applyFont="1">
      <alignment vertical="center"/>
    </xf>
    <xf numFmtId="0" fontId="32" fillId="0" borderId="0" xfId="0" applyFont="1">
      <alignment vertical="center"/>
    </xf>
    <xf numFmtId="0" fontId="32" fillId="3" borderId="0" xfId="0" applyFont="1" applyFill="1" applyAlignment="1">
      <alignment horizontal="right" vertical="center"/>
    </xf>
    <xf numFmtId="0" fontId="16" fillId="0" borderId="0" xfId="0" applyFont="1" applyAlignment="1">
      <alignment horizontal="right" vertical="center"/>
    </xf>
    <xf numFmtId="0" fontId="21" fillId="7" borderId="0" xfId="0" applyFont="1" applyFill="1" applyAlignment="1">
      <alignment horizontal="right" vertical="center"/>
    </xf>
    <xf numFmtId="0" fontId="2" fillId="4" borderId="0" xfId="0" applyFont="1" applyFill="1" applyAlignment="1">
      <alignment horizontal="right" vertical="center"/>
    </xf>
    <xf numFmtId="0" fontId="21" fillId="0" borderId="0" xfId="0" applyFont="1" applyAlignment="1">
      <alignment horizontal="right" vertical="center"/>
    </xf>
    <xf numFmtId="0" fontId="34" fillId="11" borderId="27" xfId="0" applyFont="1" applyFill="1" applyBorder="1" applyAlignment="1">
      <alignment horizontal="right" vertical="center"/>
    </xf>
    <xf numFmtId="0" fontId="2" fillId="0" borderId="16" xfId="0" applyFont="1" applyBorder="1" applyAlignment="1">
      <alignment horizontal="right" vertical="center"/>
    </xf>
    <xf numFmtId="0" fontId="21" fillId="7" borderId="0" xfId="0" applyFont="1" applyFill="1">
      <alignment vertical="center"/>
    </xf>
    <xf numFmtId="0" fontId="2" fillId="0" borderId="16" xfId="0" applyFont="1" applyBorder="1">
      <alignment vertical="center"/>
    </xf>
    <xf numFmtId="0" fontId="9" fillId="0" borderId="3" xfId="0" applyFont="1" applyBorder="1" applyAlignment="1">
      <alignment horizontal="left" vertical="center"/>
    </xf>
    <xf numFmtId="0" fontId="27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7" fillId="0" borderId="11" xfId="0" applyFont="1" applyBorder="1" applyAlignment="1">
      <alignment horizontal="left" vertical="center"/>
    </xf>
    <xf numFmtId="179" fontId="0" fillId="0" borderId="0" xfId="0" applyNumberFormat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179" fontId="83" fillId="2" borderId="5" xfId="1" applyFont="1" applyFill="1" applyBorder="1" applyAlignment="1">
      <alignment horizontal="left" vertical="center" wrapText="1"/>
    </xf>
    <xf numFmtId="179" fontId="83" fillId="2" borderId="28" xfId="1" applyFont="1" applyFill="1" applyBorder="1" applyAlignment="1">
      <alignment horizontal="left" vertical="center" wrapText="1"/>
    </xf>
    <xf numFmtId="0" fontId="84" fillId="2" borderId="6" xfId="1" applyNumberFormat="1" applyFont="1" applyFill="1" applyBorder="1" applyAlignment="1">
      <alignment horizontal="left" vertical="center" wrapText="1"/>
    </xf>
    <xf numFmtId="14" fontId="84" fillId="2" borderId="6" xfId="1" applyNumberFormat="1" applyFont="1" applyFill="1" applyBorder="1" applyAlignment="1">
      <alignment horizontal="left" vertical="center" wrapText="1"/>
    </xf>
    <xf numFmtId="176" fontId="84" fillId="2" borderId="6" xfId="1" applyNumberFormat="1" applyFont="1" applyFill="1" applyBorder="1" applyAlignment="1">
      <alignment horizontal="left" vertical="center" wrapText="1"/>
    </xf>
    <xf numFmtId="0" fontId="85" fillId="3" borderId="6" xfId="1" applyNumberFormat="1" applyFont="1" applyFill="1" applyBorder="1" applyAlignment="1">
      <alignment horizontal="center" vertical="center" wrapText="1"/>
    </xf>
    <xf numFmtId="179" fontId="86" fillId="3" borderId="6" xfId="1" applyFont="1" applyFill="1" applyBorder="1" applyAlignment="1">
      <alignment horizontal="center" vertical="center" wrapText="1"/>
    </xf>
    <xf numFmtId="0" fontId="86" fillId="3" borderId="6" xfId="1" applyNumberFormat="1" applyFont="1" applyFill="1" applyBorder="1" applyAlignment="1">
      <alignment horizontal="center" vertical="center" wrapText="1"/>
    </xf>
    <xf numFmtId="14" fontId="86" fillId="3" borderId="6" xfId="1" applyNumberFormat="1" applyFont="1" applyFill="1" applyBorder="1" applyAlignment="1">
      <alignment horizontal="center" vertical="center" wrapText="1"/>
    </xf>
    <xf numFmtId="177" fontId="86" fillId="3" borderId="6" xfId="1" applyNumberFormat="1" applyFont="1" applyFill="1" applyBorder="1" applyAlignment="1">
      <alignment horizontal="center" vertical="center" wrapText="1"/>
    </xf>
    <xf numFmtId="178" fontId="85" fillId="3" borderId="6" xfId="1" applyNumberFormat="1" applyFont="1" applyFill="1" applyBorder="1" applyAlignment="1">
      <alignment horizontal="center" vertical="center" wrapText="1"/>
    </xf>
    <xf numFmtId="177" fontId="87" fillId="3" borderId="6" xfId="1" applyNumberFormat="1" applyFont="1" applyFill="1" applyBorder="1" applyAlignment="1">
      <alignment horizontal="center" vertical="center" wrapText="1"/>
    </xf>
    <xf numFmtId="179" fontId="87" fillId="3" borderId="7" xfId="1" applyFont="1" applyFill="1" applyBorder="1" applyAlignment="1">
      <alignment horizontal="center" vertical="center" wrapText="1"/>
    </xf>
    <xf numFmtId="0" fontId="4" fillId="0" borderId="4" xfId="1" applyNumberFormat="1" applyFont="1" applyBorder="1" applyAlignment="1">
      <alignment horizontal="center" vertical="center"/>
    </xf>
    <xf numFmtId="179" fontId="4" fillId="0" borderId="2" xfId="1" applyFont="1" applyBorder="1" applyAlignment="1">
      <alignment horizontal="center" vertical="center"/>
    </xf>
    <xf numFmtId="179" fontId="26" fillId="6" borderId="8" xfId="1" applyFont="1" applyFill="1" applyBorder="1" applyAlignment="1">
      <alignment horizontal="left" vertical="center" wrapText="1"/>
    </xf>
    <xf numFmtId="179" fontId="26" fillId="6" borderId="4" xfId="1" applyFont="1" applyFill="1" applyBorder="1" applyAlignment="1">
      <alignment horizontal="left" vertical="center" wrapText="1"/>
    </xf>
    <xf numFmtId="0" fontId="11" fillId="6" borderId="2" xfId="1" applyNumberFormat="1" applyFont="1" applyFill="1" applyBorder="1" applyAlignment="1">
      <alignment horizontal="left" vertical="center" wrapText="1"/>
    </xf>
    <xf numFmtId="176" fontId="11" fillId="6" borderId="2" xfId="1" applyNumberFormat="1" applyFont="1" applyFill="1" applyBorder="1" applyAlignment="1">
      <alignment horizontal="left" vertical="center" wrapText="1"/>
    </xf>
    <xf numFmtId="0" fontId="11" fillId="6" borderId="2" xfId="1" applyNumberFormat="1" applyFont="1" applyFill="1" applyBorder="1" applyAlignment="1">
      <alignment horizontal="left" vertical="center"/>
    </xf>
    <xf numFmtId="0" fontId="88" fillId="3" borderId="2" xfId="1" applyNumberFormat="1" applyFont="1" applyFill="1" applyBorder="1" applyAlignment="1">
      <alignment horizontal="center" vertical="center"/>
    </xf>
    <xf numFmtId="179" fontId="16" fillId="0" borderId="2" xfId="1" applyFont="1" applyBorder="1" applyAlignment="1">
      <alignment horizontal="center" vertical="center"/>
    </xf>
    <xf numFmtId="0" fontId="16" fillId="0" borderId="2" xfId="1" applyNumberFormat="1" applyFont="1" applyBorder="1" applyAlignment="1">
      <alignment horizontal="center" vertical="center"/>
    </xf>
    <xf numFmtId="14" fontId="16" fillId="0" borderId="2" xfId="1" applyNumberFormat="1" applyFont="1" applyBorder="1" applyAlignment="1">
      <alignment horizontal="center" vertical="center"/>
    </xf>
    <xf numFmtId="0" fontId="88" fillId="0" borderId="2" xfId="1" applyNumberFormat="1" applyFont="1" applyBorder="1" applyAlignment="1">
      <alignment horizontal="center" vertical="center"/>
    </xf>
    <xf numFmtId="179" fontId="88" fillId="0" borderId="2" xfId="1" applyFont="1" applyBorder="1" applyAlignment="1">
      <alignment horizontal="center" vertical="center"/>
    </xf>
    <xf numFmtId="178" fontId="88" fillId="0" borderId="2" xfId="1" applyNumberFormat="1" applyFont="1" applyBorder="1" applyAlignment="1">
      <alignment horizontal="center" vertical="center"/>
    </xf>
    <xf numFmtId="179" fontId="16" fillId="0" borderId="9" xfId="1" applyFont="1" applyBorder="1" applyAlignment="1">
      <alignment horizontal="center" vertical="center"/>
    </xf>
    <xf numFmtId="0" fontId="16" fillId="0" borderId="4" xfId="1" applyNumberFormat="1" applyFont="1" applyBorder="1" applyAlignment="1">
      <alignment horizontal="center" vertical="center"/>
    </xf>
    <xf numFmtId="179" fontId="26" fillId="6" borderId="8" xfId="1" applyFont="1" applyFill="1" applyBorder="1" applyAlignment="1">
      <alignment horizontal="left" vertical="center"/>
    </xf>
    <xf numFmtId="0" fontId="11" fillId="3" borderId="2" xfId="1" applyNumberFormat="1" applyFont="1" applyFill="1" applyBorder="1" applyAlignment="1">
      <alignment horizontal="center" vertical="center"/>
    </xf>
    <xf numFmtId="179" fontId="32" fillId="0" borderId="2" xfId="1" applyFont="1" applyBorder="1" applyAlignment="1">
      <alignment horizontal="center" vertical="center"/>
    </xf>
    <xf numFmtId="0" fontId="32" fillId="0" borderId="2" xfId="1" applyNumberFormat="1" applyFont="1" applyBorder="1" applyAlignment="1">
      <alignment horizontal="center" vertical="center"/>
    </xf>
    <xf numFmtId="14" fontId="32" fillId="0" borderId="2" xfId="1" applyNumberFormat="1" applyFont="1" applyBorder="1" applyAlignment="1">
      <alignment horizontal="center" vertical="center"/>
    </xf>
    <xf numFmtId="0" fontId="11" fillId="0" borderId="2" xfId="1" applyNumberFormat="1" applyFont="1" applyBorder="1" applyAlignment="1">
      <alignment horizontal="center" vertical="center"/>
    </xf>
    <xf numFmtId="179" fontId="11" fillId="0" borderId="2" xfId="1" applyFont="1" applyBorder="1" applyAlignment="1">
      <alignment horizontal="center" vertical="center"/>
    </xf>
    <xf numFmtId="178" fontId="11" fillId="0" borderId="2" xfId="1" applyNumberFormat="1" applyFont="1" applyBorder="1" applyAlignment="1">
      <alignment horizontal="center" vertical="center"/>
    </xf>
    <xf numFmtId="179" fontId="32" fillId="0" borderId="9" xfId="1" applyFont="1" applyBorder="1" applyAlignment="1">
      <alignment horizontal="center" vertical="center"/>
    </xf>
    <xf numFmtId="0" fontId="32" fillId="0" borderId="4" xfId="1" applyNumberFormat="1" applyFont="1" applyBorder="1" applyAlignment="1">
      <alignment horizontal="center" vertical="center"/>
    </xf>
    <xf numFmtId="14" fontId="32" fillId="6" borderId="2" xfId="1" applyNumberFormat="1" applyFont="1" applyFill="1" applyBorder="1" applyAlignment="1">
      <alignment horizontal="center" vertical="center"/>
    </xf>
    <xf numFmtId="0" fontId="11" fillId="3" borderId="2" xfId="1" applyNumberFormat="1" applyFont="1" applyFill="1" applyBorder="1" applyAlignment="1">
      <alignment horizontal="center" vertical="center" wrapText="1"/>
    </xf>
    <xf numFmtId="179" fontId="26" fillId="0" borderId="2" xfId="1" applyFont="1" applyBorder="1" applyAlignment="1">
      <alignment horizontal="center" vertical="center" wrapText="1"/>
    </xf>
    <xf numFmtId="0" fontId="26" fillId="0" borderId="2" xfId="1" applyNumberFormat="1" applyFont="1" applyBorder="1" applyAlignment="1">
      <alignment horizontal="center" vertical="center" wrapText="1"/>
    </xf>
    <xf numFmtId="14" fontId="26" fillId="0" borderId="2" xfId="1" applyNumberFormat="1" applyFont="1" applyBorder="1" applyAlignment="1">
      <alignment horizontal="center" vertical="center" wrapText="1"/>
    </xf>
    <xf numFmtId="177" fontId="32" fillId="0" borderId="2" xfId="1" applyNumberFormat="1" applyFont="1" applyBorder="1" applyAlignment="1">
      <alignment horizontal="center" vertical="center"/>
    </xf>
    <xf numFmtId="177" fontId="11" fillId="0" borderId="2" xfId="1" applyNumberFormat="1" applyFont="1" applyBorder="1" applyAlignment="1">
      <alignment horizontal="center" vertical="center"/>
    </xf>
    <xf numFmtId="179" fontId="88" fillId="0" borderId="9" xfId="1" applyFont="1" applyBorder="1" applyAlignment="1">
      <alignment horizontal="center" vertical="center"/>
    </xf>
    <xf numFmtId="0" fontId="2" fillId="0" borderId="4" xfId="1" applyNumberFormat="1" applyFont="1" applyBorder="1" applyAlignment="1">
      <alignment horizontal="center" vertical="center"/>
    </xf>
    <xf numFmtId="179" fontId="2" fillId="0" borderId="2" xfId="1" applyFont="1" applyBorder="1" applyAlignment="1">
      <alignment horizontal="center" vertical="center"/>
    </xf>
    <xf numFmtId="14" fontId="11" fillId="6" borderId="2" xfId="1" applyNumberFormat="1" applyFont="1" applyFill="1" applyBorder="1" applyAlignment="1">
      <alignment horizontal="left" vertical="center" wrapText="1"/>
    </xf>
    <xf numFmtId="0" fontId="89" fillId="3" borderId="2" xfId="1" applyNumberFormat="1" applyFont="1" applyFill="1" applyBorder="1" applyAlignment="1">
      <alignment horizontal="center" vertical="center"/>
    </xf>
    <xf numFmtId="0" fontId="2" fillId="0" borderId="2" xfId="1" applyNumberFormat="1" applyFont="1" applyBorder="1" applyAlignment="1">
      <alignment horizontal="center" vertical="center"/>
    </xf>
    <xf numFmtId="14" fontId="2" fillId="0" borderId="2" xfId="1" applyNumberFormat="1" applyFont="1" applyBorder="1" applyAlignment="1">
      <alignment horizontal="center" vertical="center"/>
    </xf>
    <xf numFmtId="0" fontId="89" fillId="0" borderId="2" xfId="1" applyNumberFormat="1" applyFont="1" applyBorder="1" applyAlignment="1">
      <alignment horizontal="center" vertical="center"/>
    </xf>
    <xf numFmtId="179" fontId="89" fillId="0" borderId="2" xfId="1" applyFont="1" applyBorder="1" applyAlignment="1">
      <alignment horizontal="center" vertical="center"/>
    </xf>
    <xf numFmtId="178" fontId="89" fillId="0" borderId="2" xfId="1" applyNumberFormat="1" applyFont="1" applyBorder="1" applyAlignment="1">
      <alignment horizontal="center" vertical="center"/>
    </xf>
    <xf numFmtId="179" fontId="2" fillId="0" borderId="9" xfId="1" applyFont="1" applyBorder="1" applyAlignment="1">
      <alignment horizontal="center" vertical="center"/>
    </xf>
    <xf numFmtId="179" fontId="26" fillId="0" borderId="8" xfId="1" applyFont="1" applyBorder="1" applyAlignment="1">
      <alignment horizontal="left" vertical="center" wrapText="1"/>
    </xf>
    <xf numFmtId="0" fontId="11" fillId="0" borderId="2" xfId="1" applyNumberFormat="1" applyFont="1" applyBorder="1" applyAlignment="1">
      <alignment horizontal="left" vertical="center" wrapText="1"/>
    </xf>
    <xf numFmtId="176" fontId="11" fillId="0" borderId="2" xfId="1" applyNumberFormat="1" applyFont="1" applyBorder="1" applyAlignment="1">
      <alignment horizontal="left" vertical="center" wrapText="1"/>
    </xf>
    <xf numFmtId="0" fontId="11" fillId="0" borderId="2" xfId="1" applyNumberFormat="1" applyFont="1" applyBorder="1" applyAlignment="1">
      <alignment horizontal="left" vertical="center"/>
    </xf>
    <xf numFmtId="179" fontId="26" fillId="0" borderId="8" xfId="1" applyFont="1" applyBorder="1" applyAlignment="1">
      <alignment horizontal="left" vertical="center"/>
    </xf>
    <xf numFmtId="14" fontId="11" fillId="0" borderId="2" xfId="1" applyNumberFormat="1" applyFont="1" applyBorder="1" applyAlignment="1">
      <alignment horizontal="left" vertical="center" wrapText="1"/>
    </xf>
    <xf numFmtId="0" fontId="11" fillId="8" borderId="2" xfId="1" applyNumberFormat="1" applyFont="1" applyFill="1" applyBorder="1" applyAlignment="1">
      <alignment horizontal="left" vertical="center" wrapText="1"/>
    </xf>
    <xf numFmtId="176" fontId="11" fillId="8" borderId="2" xfId="1" applyNumberFormat="1" applyFont="1" applyFill="1" applyBorder="1" applyAlignment="1">
      <alignment horizontal="left" vertical="center" wrapText="1"/>
    </xf>
    <xf numFmtId="0" fontId="11" fillId="8" borderId="2" xfId="1" applyNumberFormat="1" applyFont="1" applyFill="1" applyBorder="1" applyAlignment="1">
      <alignment horizontal="left" vertical="center"/>
    </xf>
    <xf numFmtId="0" fontId="9" fillId="0" borderId="1" xfId="0" applyFont="1" applyBorder="1" applyAlignment="1">
      <alignment horizontal="left" vertical="center"/>
    </xf>
    <xf numFmtId="0" fontId="11" fillId="32" borderId="2" xfId="1" applyNumberFormat="1" applyFont="1" applyFill="1" applyBorder="1" applyAlignment="1">
      <alignment horizontal="left" vertical="center" wrapText="1"/>
    </xf>
    <xf numFmtId="176" fontId="11" fillId="32" borderId="2" xfId="1" applyNumberFormat="1" applyFont="1" applyFill="1" applyBorder="1" applyAlignment="1">
      <alignment horizontal="left" vertical="center" wrapText="1"/>
    </xf>
    <xf numFmtId="0" fontId="11" fillId="32" borderId="2" xfId="1" applyNumberFormat="1" applyFont="1" applyFill="1" applyBorder="1" applyAlignment="1">
      <alignment horizontal="left" vertical="center"/>
    </xf>
    <xf numFmtId="3" fontId="11" fillId="0" borderId="2" xfId="1" applyNumberFormat="1" applyFont="1" applyBorder="1" applyAlignment="1">
      <alignment horizontal="left" vertical="center" wrapText="1"/>
    </xf>
    <xf numFmtId="0" fontId="11" fillId="0" borderId="1" xfId="1" applyNumberFormat="1" applyFont="1" applyBorder="1" applyAlignment="1">
      <alignment horizontal="left" vertical="center" wrapText="1"/>
    </xf>
    <xf numFmtId="176" fontId="11" fillId="0" borderId="1" xfId="1" applyNumberFormat="1" applyFont="1" applyBorder="1" applyAlignment="1">
      <alignment horizontal="left" vertical="center" wrapText="1"/>
    </xf>
    <xf numFmtId="0" fontId="11" fillId="0" borderId="1" xfId="1" applyNumberFormat="1" applyFont="1" applyBorder="1" applyAlignment="1">
      <alignment horizontal="left" vertical="center"/>
    </xf>
    <xf numFmtId="0" fontId="89" fillId="3" borderId="1" xfId="1" applyNumberFormat="1" applyFont="1" applyFill="1" applyBorder="1" applyAlignment="1">
      <alignment horizontal="center" vertical="center"/>
    </xf>
    <xf numFmtId="179" fontId="2" fillId="0" borderId="1" xfId="1" applyFont="1" applyBorder="1" applyAlignment="1">
      <alignment horizontal="center" vertical="center"/>
    </xf>
    <xf numFmtId="0" fontId="2" fillId="0" borderId="1" xfId="1" applyNumberFormat="1" applyFont="1" applyBorder="1" applyAlignment="1">
      <alignment horizontal="center" vertical="center"/>
    </xf>
    <xf numFmtId="14" fontId="2" fillId="0" borderId="1" xfId="1" applyNumberFormat="1" applyFont="1" applyBorder="1" applyAlignment="1">
      <alignment horizontal="center" vertical="center"/>
    </xf>
    <xf numFmtId="0" fontId="89" fillId="0" borderId="1" xfId="1" applyNumberFormat="1" applyFont="1" applyBorder="1" applyAlignment="1">
      <alignment horizontal="center" vertical="center"/>
    </xf>
    <xf numFmtId="179" fontId="89" fillId="0" borderId="1" xfId="1" applyFont="1" applyBorder="1" applyAlignment="1">
      <alignment horizontal="center" vertical="center"/>
    </xf>
    <xf numFmtId="178" fontId="89" fillId="0" borderId="1" xfId="1" applyNumberFormat="1" applyFont="1" applyBorder="1" applyAlignment="1">
      <alignment horizontal="center" vertical="center"/>
    </xf>
    <xf numFmtId="179" fontId="2" fillId="0" borderId="68" xfId="1" applyFont="1" applyBorder="1" applyAlignment="1">
      <alignment horizontal="center" vertical="center"/>
    </xf>
    <xf numFmtId="179" fontId="26" fillId="0" borderId="67" xfId="1" applyFont="1" applyBorder="1" applyAlignment="1">
      <alignment horizontal="left" vertical="center" wrapText="1"/>
    </xf>
    <xf numFmtId="179" fontId="26" fillId="0" borderId="67" xfId="1" applyFont="1" applyBorder="1" applyAlignment="1">
      <alignment horizontal="left" vertical="center"/>
    </xf>
    <xf numFmtId="179" fontId="26" fillId="0" borderId="31" xfId="1" applyFont="1" applyBorder="1" applyAlignment="1">
      <alignment horizontal="left" vertical="center" wrapText="1"/>
    </xf>
    <xf numFmtId="179" fontId="26" fillId="6" borderId="32" xfId="1" applyFont="1" applyFill="1" applyBorder="1" applyAlignment="1">
      <alignment horizontal="left" vertical="center" wrapText="1"/>
    </xf>
    <xf numFmtId="0" fontId="11" fillId="0" borderId="33" xfId="1" applyNumberFormat="1" applyFont="1" applyBorder="1" applyAlignment="1">
      <alignment horizontal="left" vertical="center" wrapText="1"/>
    </xf>
    <xf numFmtId="176" fontId="11" fillId="0" borderId="33" xfId="1" applyNumberFormat="1" applyFont="1" applyBorder="1" applyAlignment="1">
      <alignment horizontal="left" vertical="center" wrapText="1"/>
    </xf>
    <xf numFmtId="0" fontId="11" fillId="0" borderId="33" xfId="1" applyNumberFormat="1" applyFont="1" applyBorder="1" applyAlignment="1">
      <alignment horizontal="left" vertical="center"/>
    </xf>
    <xf numFmtId="0" fontId="89" fillId="3" borderId="33" xfId="1" applyNumberFormat="1" applyFont="1" applyFill="1" applyBorder="1" applyAlignment="1">
      <alignment horizontal="center" vertical="center"/>
    </xf>
    <xf numFmtId="179" fontId="2" fillId="0" borderId="33" xfId="1" applyFont="1" applyBorder="1" applyAlignment="1">
      <alignment horizontal="center" vertical="center"/>
    </xf>
    <xf numFmtId="0" fontId="2" fillId="0" borderId="33" xfId="1" applyNumberFormat="1" applyFont="1" applyBorder="1" applyAlignment="1">
      <alignment horizontal="center" vertical="center"/>
    </xf>
    <xf numFmtId="14" fontId="2" fillId="0" borderId="33" xfId="1" applyNumberFormat="1" applyFont="1" applyBorder="1" applyAlignment="1">
      <alignment horizontal="center" vertical="center"/>
    </xf>
    <xf numFmtId="0" fontId="89" fillId="0" borderId="33" xfId="1" applyNumberFormat="1" applyFont="1" applyBorder="1" applyAlignment="1">
      <alignment horizontal="center" vertical="center"/>
    </xf>
    <xf numFmtId="179" fontId="89" fillId="0" borderId="33" xfId="1" applyFont="1" applyBorder="1" applyAlignment="1">
      <alignment horizontal="center" vertical="center"/>
    </xf>
    <xf numFmtId="178" fontId="89" fillId="0" borderId="33" xfId="1" applyNumberFormat="1" applyFont="1" applyBorder="1" applyAlignment="1">
      <alignment horizontal="center" vertical="center"/>
    </xf>
    <xf numFmtId="179" fontId="2" fillId="0" borderId="34" xfId="1" applyFont="1" applyBorder="1" applyAlignment="1">
      <alignment horizontal="center" vertical="center"/>
    </xf>
    <xf numFmtId="179" fontId="26" fillId="0" borderId="29" xfId="1" applyFont="1" applyBorder="1" applyAlignment="1">
      <alignment horizontal="left" vertical="center" wrapText="1"/>
    </xf>
    <xf numFmtId="179" fontId="26" fillId="6" borderId="17" xfId="1" applyFont="1" applyFill="1" applyBorder="1" applyAlignment="1">
      <alignment horizontal="left" vertical="center" wrapText="1"/>
    </xf>
    <xf numFmtId="0" fontId="11" fillId="0" borderId="3" xfId="1" applyNumberFormat="1" applyFont="1" applyBorder="1" applyAlignment="1">
      <alignment horizontal="left" vertical="center" wrapText="1"/>
    </xf>
    <xf numFmtId="176" fontId="11" fillId="0" borderId="3" xfId="1" applyNumberFormat="1" applyFont="1" applyBorder="1" applyAlignment="1">
      <alignment horizontal="left" vertical="center" wrapText="1"/>
    </xf>
    <xf numFmtId="0" fontId="11" fillId="0" borderId="3" xfId="1" applyNumberFormat="1" applyFont="1" applyBorder="1" applyAlignment="1">
      <alignment horizontal="center" vertical="center"/>
    </xf>
    <xf numFmtId="0" fontId="11" fillId="3" borderId="3" xfId="1" applyNumberFormat="1" applyFont="1" applyFill="1" applyBorder="1" applyAlignment="1">
      <alignment horizontal="center" vertical="center" wrapText="1"/>
    </xf>
    <xf numFmtId="179" fontId="26" fillId="0" borderId="3" xfId="1" applyFont="1" applyBorder="1" applyAlignment="1">
      <alignment horizontal="center" vertical="center" wrapText="1"/>
    </xf>
    <xf numFmtId="177" fontId="11" fillId="0" borderId="3" xfId="1" applyNumberFormat="1" applyFont="1" applyBorder="1" applyAlignment="1">
      <alignment horizontal="center" vertical="center"/>
    </xf>
    <xf numFmtId="179" fontId="88" fillId="0" borderId="3" xfId="1" applyFont="1" applyBorder="1" applyAlignment="1">
      <alignment horizontal="center" vertical="center"/>
    </xf>
    <xf numFmtId="179" fontId="88" fillId="0" borderId="30" xfId="1" applyFont="1" applyBorder="1" applyAlignment="1">
      <alignment horizontal="left" vertical="center"/>
    </xf>
    <xf numFmtId="179" fontId="88" fillId="0" borderId="9" xfId="1" applyFont="1" applyBorder="1" applyAlignment="1">
      <alignment horizontal="left" vertical="center"/>
    </xf>
    <xf numFmtId="0" fontId="32" fillId="0" borderId="2" xfId="1" applyNumberFormat="1" applyFont="1" applyBorder="1" applyAlignment="1">
      <alignment horizontal="center" vertical="center" wrapText="1"/>
    </xf>
    <xf numFmtId="0" fontId="11" fillId="0" borderId="2" xfId="1" applyNumberFormat="1" applyFont="1" applyBorder="1" applyAlignment="1">
      <alignment horizontal="center" vertical="center" wrapText="1"/>
    </xf>
    <xf numFmtId="179" fontId="11" fillId="0" borderId="2" xfId="1" applyFont="1" applyBorder="1" applyAlignment="1">
      <alignment horizontal="center" vertical="center" wrapText="1"/>
    </xf>
    <xf numFmtId="0" fontId="11" fillId="8" borderId="2" xfId="1" applyNumberFormat="1" applyFont="1" applyFill="1" applyBorder="1" applyAlignment="1">
      <alignment horizontal="center" vertical="center" wrapText="1"/>
    </xf>
    <xf numFmtId="179" fontId="27" fillId="0" borderId="8" xfId="1" applyFont="1" applyBorder="1" applyAlignment="1">
      <alignment horizontal="left" vertical="center"/>
    </xf>
    <xf numFmtId="0" fontId="87" fillId="0" borderId="2" xfId="1" applyNumberFormat="1" applyFont="1" applyBorder="1" applyAlignment="1">
      <alignment horizontal="left" vertical="center" wrapText="1"/>
    </xf>
    <xf numFmtId="0" fontId="22" fillId="0" borderId="2" xfId="1" applyNumberFormat="1" applyFont="1" applyBorder="1" applyAlignment="1">
      <alignment horizontal="center" vertical="center" wrapText="1"/>
    </xf>
    <xf numFmtId="176" fontId="87" fillId="0" borderId="2" xfId="1" applyNumberFormat="1" applyFont="1" applyBorder="1" applyAlignment="1">
      <alignment horizontal="left" vertical="center" wrapText="1"/>
    </xf>
    <xf numFmtId="0" fontId="87" fillId="0" borderId="2" xfId="1" applyNumberFormat="1" applyFont="1" applyBorder="1" applyAlignment="1">
      <alignment horizontal="center" vertical="center"/>
    </xf>
    <xf numFmtId="0" fontId="87" fillId="3" borderId="2" xfId="1" applyNumberFormat="1" applyFont="1" applyFill="1" applyBorder="1" applyAlignment="1">
      <alignment horizontal="center" vertical="center" wrapText="1"/>
    </xf>
    <xf numFmtId="179" fontId="27" fillId="0" borderId="2" xfId="1" applyFont="1" applyBorder="1" applyAlignment="1">
      <alignment horizontal="center" vertical="center" wrapText="1"/>
    </xf>
    <xf numFmtId="0" fontId="27" fillId="0" borderId="2" xfId="1" applyNumberFormat="1" applyFont="1" applyBorder="1" applyAlignment="1">
      <alignment horizontal="center" vertical="center" wrapText="1"/>
    </xf>
    <xf numFmtId="179" fontId="28" fillId="0" borderId="8" xfId="1" applyFont="1" applyBorder="1" applyAlignment="1">
      <alignment horizontal="left" vertical="center"/>
    </xf>
    <xf numFmtId="0" fontId="90" fillId="0" borderId="2" xfId="1" applyNumberFormat="1" applyFont="1" applyBorder="1" applyAlignment="1">
      <alignment horizontal="left" vertical="center" wrapText="1"/>
    </xf>
    <xf numFmtId="0" fontId="91" fillId="0" borderId="2" xfId="1" applyNumberFormat="1" applyFont="1" applyBorder="1" applyAlignment="1">
      <alignment horizontal="center" vertical="center" wrapText="1"/>
    </xf>
    <xf numFmtId="176" fontId="90" fillId="0" borderId="2" xfId="1" applyNumberFormat="1" applyFont="1" applyBorder="1" applyAlignment="1">
      <alignment horizontal="left" vertical="center" wrapText="1"/>
    </xf>
    <xf numFmtId="0" fontId="90" fillId="0" borderId="2" xfId="1" applyNumberFormat="1" applyFont="1" applyBorder="1" applyAlignment="1">
      <alignment horizontal="center" vertical="center"/>
    </xf>
    <xf numFmtId="0" fontId="90" fillId="3" borderId="2" xfId="1" applyNumberFormat="1" applyFont="1" applyFill="1" applyBorder="1" applyAlignment="1">
      <alignment horizontal="center" vertical="center" wrapText="1"/>
    </xf>
    <xf numFmtId="179" fontId="28" fillId="0" borderId="2" xfId="1" applyFont="1" applyBorder="1" applyAlignment="1">
      <alignment horizontal="center" vertical="center" wrapText="1"/>
    </xf>
    <xf numFmtId="0" fontId="28" fillId="0" borderId="2" xfId="1" applyNumberFormat="1" applyFont="1" applyBorder="1" applyAlignment="1">
      <alignment horizontal="center" vertical="center" wrapText="1"/>
    </xf>
    <xf numFmtId="179" fontId="27" fillId="0" borderId="10" xfId="1" applyFont="1" applyBorder="1" applyAlignment="1">
      <alignment horizontal="left" vertical="center"/>
    </xf>
    <xf numFmtId="179" fontId="87" fillId="0" borderId="11" xfId="1" applyFont="1" applyBorder="1" applyAlignment="1">
      <alignment horizontal="left" vertical="center" wrapText="1"/>
    </xf>
    <xf numFmtId="0" fontId="87" fillId="0" borderId="11" xfId="1" applyNumberFormat="1" applyFont="1" applyBorder="1" applyAlignment="1">
      <alignment horizontal="left" vertical="center" wrapText="1"/>
    </xf>
    <xf numFmtId="0" fontId="22" fillId="0" borderId="11" xfId="1" applyNumberFormat="1" applyFont="1" applyBorder="1" applyAlignment="1">
      <alignment horizontal="center" vertical="center" wrapText="1"/>
    </xf>
    <xf numFmtId="176" fontId="87" fillId="0" borderId="11" xfId="1" applyNumberFormat="1" applyFont="1" applyBorder="1" applyAlignment="1">
      <alignment horizontal="left" vertical="center" wrapText="1"/>
    </xf>
    <xf numFmtId="0" fontId="87" fillId="0" borderId="11" xfId="1" applyNumberFormat="1" applyFont="1" applyBorder="1" applyAlignment="1">
      <alignment horizontal="center" vertical="center"/>
    </xf>
    <xf numFmtId="0" fontId="87" fillId="3" borderId="11" xfId="1" applyNumberFormat="1" applyFont="1" applyFill="1" applyBorder="1" applyAlignment="1">
      <alignment horizontal="center" vertical="center" wrapText="1"/>
    </xf>
    <xf numFmtId="179" fontId="27" fillId="0" borderId="11" xfId="1" applyFont="1" applyBorder="1" applyAlignment="1">
      <alignment horizontal="center" vertical="center" wrapText="1"/>
    </xf>
    <xf numFmtId="0" fontId="27" fillId="0" borderId="11" xfId="1" applyNumberFormat="1" applyFont="1" applyBorder="1" applyAlignment="1">
      <alignment horizontal="center" vertical="center" wrapText="1"/>
    </xf>
    <xf numFmtId="0" fontId="88" fillId="0" borderId="11" xfId="1" applyNumberFormat="1" applyFont="1" applyBorder="1" applyAlignment="1">
      <alignment horizontal="center" vertical="center"/>
    </xf>
    <xf numFmtId="177" fontId="11" fillId="0" borderId="11" xfId="1" applyNumberFormat="1" applyFont="1" applyBorder="1" applyAlignment="1">
      <alignment horizontal="center" vertical="center"/>
    </xf>
    <xf numFmtId="178" fontId="11" fillId="0" borderId="11" xfId="1" applyNumberFormat="1" applyFont="1" applyBorder="1" applyAlignment="1">
      <alignment horizontal="center" vertical="center"/>
    </xf>
    <xf numFmtId="179" fontId="88" fillId="0" borderId="11" xfId="1" applyFont="1" applyBorder="1" applyAlignment="1">
      <alignment horizontal="center" vertical="center"/>
    </xf>
    <xf numFmtId="179" fontId="88" fillId="0" borderId="12" xfId="1" applyFont="1" applyBorder="1" applyAlignment="1">
      <alignment horizontal="center" vertical="center"/>
    </xf>
    <xf numFmtId="0" fontId="2" fillId="0" borderId="19" xfId="1" applyNumberFormat="1" applyFont="1" applyBorder="1" applyAlignment="1">
      <alignment horizontal="center" vertical="center"/>
    </xf>
    <xf numFmtId="179" fontId="2" fillId="0" borderId="11" xfId="1" applyFont="1" applyBorder="1" applyAlignment="1">
      <alignment horizontal="center" vertical="center"/>
    </xf>
    <xf numFmtId="179" fontId="26" fillId="0" borderId="3" xfId="1" applyFont="1" applyBorder="1" applyAlignment="1">
      <alignment horizontal="left" vertical="center"/>
    </xf>
    <xf numFmtId="0" fontId="32" fillId="0" borderId="3" xfId="1" applyNumberFormat="1" applyFont="1" applyBorder="1" applyAlignment="1">
      <alignment horizontal="center" vertical="center" wrapText="1"/>
    </xf>
    <xf numFmtId="0" fontId="85" fillId="0" borderId="3" xfId="1" applyNumberFormat="1" applyFont="1" applyBorder="1" applyAlignment="1">
      <alignment horizontal="center" vertical="center"/>
    </xf>
    <xf numFmtId="0" fontId="26" fillId="0" borderId="3" xfId="1" applyNumberFormat="1" applyFont="1" applyBorder="1" applyAlignment="1">
      <alignment horizontal="center" vertical="center" wrapText="1"/>
    </xf>
    <xf numFmtId="14" fontId="26" fillId="0" borderId="3" xfId="1" applyNumberFormat="1" applyFont="1" applyBorder="1" applyAlignment="1">
      <alignment horizontal="center" vertical="center" wrapText="1"/>
    </xf>
    <xf numFmtId="0" fontId="86" fillId="0" borderId="3" xfId="1" applyNumberFormat="1" applyFont="1" applyBorder="1" applyAlignment="1">
      <alignment horizontal="center" vertical="center" wrapText="1"/>
    </xf>
    <xf numFmtId="177" fontId="32" fillId="0" borderId="3" xfId="1" applyNumberFormat="1" applyFont="1" applyBorder="1" applyAlignment="1">
      <alignment horizontal="center" vertical="center"/>
    </xf>
    <xf numFmtId="178" fontId="11" fillId="0" borderId="3" xfId="1" applyNumberFormat="1" applyFont="1" applyBorder="1" applyAlignment="1">
      <alignment horizontal="center" vertical="center"/>
    </xf>
    <xf numFmtId="0" fontId="2" fillId="0" borderId="3" xfId="1" applyNumberFormat="1" applyFont="1" applyBorder="1" applyAlignment="1">
      <alignment horizontal="center" vertical="center"/>
    </xf>
    <xf numFmtId="179" fontId="2" fillId="0" borderId="3" xfId="1" applyFont="1" applyBorder="1" applyAlignment="1">
      <alignment horizontal="center" vertical="center"/>
    </xf>
    <xf numFmtId="179" fontId="26" fillId="0" borderId="2" xfId="1" applyFont="1" applyBorder="1" applyAlignment="1">
      <alignment horizontal="left" vertical="center"/>
    </xf>
    <xf numFmtId="0" fontId="26" fillId="0" borderId="2" xfId="1" applyNumberFormat="1" applyFont="1" applyBorder="1" applyAlignment="1">
      <alignment horizontal="right" vertical="center" wrapText="1"/>
    </xf>
    <xf numFmtId="179" fontId="28" fillId="0" borderId="4" xfId="1" applyFont="1" applyBorder="1" applyAlignment="1">
      <alignment horizontal="left" vertical="center"/>
    </xf>
    <xf numFmtId="14" fontId="90" fillId="0" borderId="2" xfId="1" applyNumberFormat="1" applyFont="1" applyBorder="1" applyAlignment="1">
      <alignment horizontal="left" vertical="center" wrapText="1"/>
    </xf>
    <xf numFmtId="14" fontId="0" fillId="0" borderId="0" xfId="0" applyNumberFormat="1">
      <alignment vertical="center"/>
    </xf>
    <xf numFmtId="14" fontId="92" fillId="8" borderId="2" xfId="0" applyNumberFormat="1" applyFont="1" applyFill="1" applyBorder="1" applyAlignment="1">
      <alignment horizontal="left" vertical="center"/>
    </xf>
    <xf numFmtId="0" fontId="9" fillId="4" borderId="2" xfId="0" applyFont="1" applyFill="1" applyBorder="1" applyAlignment="1">
      <alignment horizontal="left" vertical="center"/>
    </xf>
    <xf numFmtId="179" fontId="10" fillId="0" borderId="0" xfId="0" applyNumberFormat="1" applyFont="1" applyAlignment="1">
      <alignment horizontal="left" vertical="center"/>
    </xf>
    <xf numFmtId="179" fontId="10" fillId="4" borderId="0" xfId="0" applyNumberFormat="1" applyFont="1" applyFill="1" applyAlignment="1">
      <alignment horizontal="left" vertical="center"/>
    </xf>
    <xf numFmtId="0" fontId="9" fillId="14" borderId="2" xfId="0" applyFont="1" applyFill="1" applyBorder="1" applyAlignment="1">
      <alignment horizontal="left" vertical="center"/>
    </xf>
    <xf numFmtId="0" fontId="0" fillId="0" borderId="0" xfId="0" pivotButton="1">
      <alignment vertical="center"/>
    </xf>
    <xf numFmtId="0" fontId="0" fillId="4" borderId="0" xfId="0" applyFill="1">
      <alignment vertical="center"/>
    </xf>
    <xf numFmtId="0" fontId="0" fillId="8" borderId="0" xfId="0" applyFill="1">
      <alignment vertical="center"/>
    </xf>
    <xf numFmtId="0" fontId="96" fillId="0" borderId="2" xfId="1" applyNumberFormat="1" applyFont="1" applyBorder="1" applyAlignment="1">
      <alignment horizontal="left" vertical="center" wrapText="1"/>
    </xf>
    <xf numFmtId="179" fontId="98" fillId="0" borderId="9" xfId="1" applyFont="1" applyBorder="1" applyAlignment="1">
      <alignment horizontal="center" vertical="center"/>
    </xf>
    <xf numFmtId="179" fontId="101" fillId="0" borderId="2" xfId="1" applyFont="1" applyBorder="1" applyAlignment="1">
      <alignment horizontal="center" vertical="center" wrapText="1"/>
    </xf>
    <xf numFmtId="179" fontId="97" fillId="0" borderId="2" xfId="1" applyFont="1" applyBorder="1" applyAlignment="1">
      <alignment horizontal="center" vertical="center"/>
    </xf>
    <xf numFmtId="179" fontId="103" fillId="0" borderId="2" xfId="1" applyFont="1" applyBorder="1" applyAlignment="1">
      <alignment horizontal="center" vertical="center" wrapText="1"/>
    </xf>
    <xf numFmtId="179" fontId="102" fillId="0" borderId="2" xfId="1" applyFont="1" applyBorder="1" applyAlignment="1">
      <alignment horizontal="center" vertical="center" wrapText="1"/>
    </xf>
    <xf numFmtId="177" fontId="96" fillId="0" borderId="2" xfId="1" applyNumberFormat="1" applyFont="1" applyBorder="1" applyAlignment="1">
      <alignment horizontal="center" vertical="center" wrapText="1"/>
    </xf>
    <xf numFmtId="179" fontId="107" fillId="0" borderId="6" xfId="1" applyFont="1" applyBorder="1" applyAlignment="1">
      <alignment horizontal="center" vertical="center" wrapText="1"/>
    </xf>
    <xf numFmtId="0" fontId="107" fillId="0" borderId="6" xfId="1" applyNumberFormat="1" applyFont="1" applyBorder="1" applyAlignment="1">
      <alignment horizontal="center" vertical="center" wrapText="1"/>
    </xf>
    <xf numFmtId="0" fontId="108" fillId="0" borderId="6" xfId="1" applyNumberFormat="1" applyFont="1" applyBorder="1" applyAlignment="1">
      <alignment horizontal="center" vertical="center" wrapText="1"/>
    </xf>
    <xf numFmtId="179" fontId="109" fillId="0" borderId="0" xfId="0" applyNumberFormat="1" applyFont="1">
      <alignment vertical="center"/>
    </xf>
    <xf numFmtId="0" fontId="109" fillId="0" borderId="0" xfId="0" applyFont="1">
      <alignment vertical="center"/>
    </xf>
    <xf numFmtId="179" fontId="109" fillId="0" borderId="0" xfId="0" applyNumberFormat="1" applyFont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0" borderId="0" xfId="0" applyFont="1" applyAlignment="1">
      <alignment horizontal="left" vertical="center" indent="1"/>
    </xf>
    <xf numFmtId="179" fontId="26" fillId="0" borderId="4" xfId="1" applyFont="1" applyBorder="1" applyAlignment="1">
      <alignment horizontal="left" vertical="center" wrapText="1"/>
    </xf>
    <xf numFmtId="14" fontId="11" fillId="0" borderId="1" xfId="1" applyNumberFormat="1" applyFont="1" applyBorder="1" applyAlignment="1">
      <alignment horizontal="left" vertical="center" wrapText="1"/>
    </xf>
    <xf numFmtId="0" fontId="11" fillId="4" borderId="1" xfId="1" applyNumberFormat="1" applyFont="1" applyFill="1" applyBorder="1" applyAlignment="1">
      <alignment horizontal="left" vertical="center"/>
    </xf>
    <xf numFmtId="0" fontId="11" fillId="4" borderId="2" xfId="1" applyNumberFormat="1" applyFont="1" applyFill="1" applyBorder="1" applyAlignment="1">
      <alignment horizontal="center" vertical="center"/>
    </xf>
    <xf numFmtId="179" fontId="97" fillId="0" borderId="9" xfId="1" applyFont="1" applyBorder="1" applyAlignment="1">
      <alignment horizontal="center" vertical="center"/>
    </xf>
    <xf numFmtId="179" fontId="26" fillId="4" borderId="2" xfId="1" applyFont="1" applyFill="1" applyBorder="1" applyAlignment="1">
      <alignment horizontal="center" vertical="center" wrapText="1"/>
    </xf>
    <xf numFmtId="14" fontId="9" fillId="4" borderId="2" xfId="0" applyNumberFormat="1" applyFont="1" applyFill="1" applyBorder="1" applyAlignment="1">
      <alignment horizontal="left" vertical="center"/>
    </xf>
    <xf numFmtId="0" fontId="14" fillId="0" borderId="2" xfId="112" applyBorder="1" applyAlignment="1">
      <alignment horizontal="center"/>
    </xf>
    <xf numFmtId="177" fontId="11" fillId="4" borderId="2" xfId="1" applyNumberFormat="1" applyFont="1" applyFill="1" applyBorder="1" applyAlignment="1">
      <alignment horizontal="center" vertical="center"/>
    </xf>
    <xf numFmtId="0" fontId="26" fillId="4" borderId="2" xfId="1" applyNumberFormat="1" applyFont="1" applyFill="1" applyBorder="1" applyAlignment="1">
      <alignment horizontal="center" vertical="center" wrapText="1"/>
    </xf>
    <xf numFmtId="14" fontId="92" fillId="0" borderId="2" xfId="0" applyNumberFormat="1" applyFont="1" applyBorder="1" applyAlignment="1">
      <alignment horizontal="left" vertical="center"/>
    </xf>
    <xf numFmtId="179" fontId="26" fillId="14" borderId="67" xfId="1" applyFont="1" applyFill="1" applyBorder="1" applyAlignment="1">
      <alignment horizontal="left" vertical="center"/>
    </xf>
    <xf numFmtId="179" fontId="26" fillId="14" borderId="4" xfId="1" applyFont="1" applyFill="1" applyBorder="1" applyAlignment="1">
      <alignment horizontal="left" vertical="center" wrapText="1"/>
    </xf>
    <xf numFmtId="0" fontId="11" fillId="14" borderId="1" xfId="1" applyNumberFormat="1" applyFont="1" applyFill="1" applyBorder="1" applyAlignment="1">
      <alignment horizontal="left" vertical="center" wrapText="1"/>
    </xf>
    <xf numFmtId="176" fontId="11" fillId="14" borderId="1" xfId="1" applyNumberFormat="1" applyFont="1" applyFill="1" applyBorder="1" applyAlignment="1">
      <alignment horizontal="left" vertical="center" wrapText="1"/>
    </xf>
    <xf numFmtId="0" fontId="11" fillId="14" borderId="1" xfId="1" applyNumberFormat="1" applyFont="1" applyFill="1" applyBorder="1" applyAlignment="1">
      <alignment horizontal="left" vertical="center"/>
    </xf>
    <xf numFmtId="179" fontId="103" fillId="14" borderId="2" xfId="1" applyFont="1" applyFill="1" applyBorder="1" applyAlignment="1">
      <alignment horizontal="center" vertical="center" wrapText="1"/>
    </xf>
    <xf numFmtId="179" fontId="26" fillId="14" borderId="2" xfId="1" applyFont="1" applyFill="1" applyBorder="1" applyAlignment="1">
      <alignment horizontal="center" vertical="center" wrapText="1"/>
    </xf>
    <xf numFmtId="14" fontId="9" fillId="14" borderId="2" xfId="0" applyNumberFormat="1" applyFont="1" applyFill="1" applyBorder="1" applyAlignment="1">
      <alignment horizontal="left" vertical="center"/>
    </xf>
    <xf numFmtId="0" fontId="26" fillId="14" borderId="2" xfId="1" applyNumberFormat="1" applyFont="1" applyFill="1" applyBorder="1" applyAlignment="1">
      <alignment horizontal="center" vertical="center" wrapText="1"/>
    </xf>
    <xf numFmtId="14" fontId="16" fillId="6" borderId="2" xfId="1" applyNumberFormat="1" applyFont="1" applyFill="1" applyBorder="1" applyAlignment="1">
      <alignment horizontal="center" vertical="center"/>
    </xf>
    <xf numFmtId="14" fontId="11" fillId="8" borderId="2" xfId="1" applyNumberFormat="1" applyFont="1" applyFill="1" applyBorder="1" applyAlignment="1">
      <alignment horizontal="left" vertical="center" wrapText="1"/>
    </xf>
    <xf numFmtId="14" fontId="11" fillId="32" borderId="2" xfId="1" applyNumberFormat="1" applyFont="1" applyFill="1" applyBorder="1" applyAlignment="1">
      <alignment horizontal="left" vertical="center" wrapText="1"/>
    </xf>
    <xf numFmtId="14" fontId="11" fillId="14" borderId="1" xfId="1" applyNumberFormat="1" applyFont="1" applyFill="1" applyBorder="1" applyAlignment="1">
      <alignment horizontal="left" vertical="center" wrapText="1"/>
    </xf>
    <xf numFmtId="14" fontId="11" fillId="0" borderId="33" xfId="1" applyNumberFormat="1" applyFont="1" applyBorder="1" applyAlignment="1">
      <alignment horizontal="left" vertical="center" wrapText="1"/>
    </xf>
    <xf numFmtId="14" fontId="11" fillId="0" borderId="3" xfId="1" applyNumberFormat="1" applyFont="1" applyBorder="1" applyAlignment="1">
      <alignment horizontal="left" vertical="center" wrapText="1"/>
    </xf>
    <xf numFmtId="14" fontId="87" fillId="0" borderId="2" xfId="1" applyNumberFormat="1" applyFont="1" applyBorder="1" applyAlignment="1">
      <alignment horizontal="left" vertical="center" wrapText="1"/>
    </xf>
    <xf numFmtId="14" fontId="87" fillId="0" borderId="11" xfId="1" applyNumberFormat="1" applyFont="1" applyBorder="1" applyAlignment="1">
      <alignment horizontal="left" vertical="center" wrapText="1"/>
    </xf>
    <xf numFmtId="0" fontId="10" fillId="0" borderId="2" xfId="0" applyFont="1" applyBorder="1" applyAlignment="1">
      <alignment horizontal="center" vertical="center"/>
    </xf>
    <xf numFmtId="179" fontId="125" fillId="0" borderId="0" xfId="0" applyNumberFormat="1" applyFont="1" applyAlignment="1">
      <alignment vertical="center" wrapText="1"/>
    </xf>
    <xf numFmtId="181" fontId="0" fillId="0" borderId="0" xfId="0" applyNumberFormat="1">
      <alignment vertical="center"/>
    </xf>
    <xf numFmtId="0" fontId="95" fillId="0" borderId="1" xfId="1" applyNumberFormat="1" applyFont="1" applyBorder="1" applyAlignment="1">
      <alignment horizontal="left" vertical="center" wrapText="1"/>
    </xf>
    <xf numFmtId="179" fontId="146" fillId="0" borderId="0" xfId="0" applyNumberFormat="1" applyFont="1">
      <alignment vertical="center"/>
    </xf>
    <xf numFmtId="0" fontId="0" fillId="0" borderId="2" xfId="0" applyBorder="1">
      <alignment vertical="center"/>
    </xf>
    <xf numFmtId="179" fontId="9" fillId="0" borderId="2" xfId="2" applyFont="1" applyBorder="1" applyAlignment="1">
      <alignment horizontal="right"/>
    </xf>
    <xf numFmtId="0" fontId="147" fillId="0" borderId="2" xfId="0" applyFont="1" applyBorder="1">
      <alignment vertical="center"/>
    </xf>
    <xf numFmtId="43" fontId="9" fillId="0" borderId="2" xfId="3" applyFont="1" applyBorder="1" applyAlignment="1"/>
    <xf numFmtId="179" fontId="9" fillId="0" borderId="2" xfId="2" applyFont="1" applyBorder="1" applyAlignment="1"/>
    <xf numFmtId="179" fontId="9" fillId="0" borderId="20" xfId="2" applyFont="1" applyBorder="1" applyAlignment="1">
      <alignment horizontal="right"/>
    </xf>
    <xf numFmtId="43" fontId="9" fillId="0" borderId="20" xfId="3" applyFont="1" applyBorder="1" applyAlignment="1"/>
    <xf numFmtId="0" fontId="11" fillId="8" borderId="2" xfId="1" applyNumberFormat="1" applyFont="1" applyFill="1" applyBorder="1" applyAlignment="1">
      <alignment horizontal="center" vertical="center"/>
    </xf>
    <xf numFmtId="0" fontId="26" fillId="0" borderId="2" xfId="1" applyNumberFormat="1" applyFont="1" applyBorder="1" applyAlignment="1">
      <alignment horizontal="left" vertical="center" wrapText="1"/>
    </xf>
    <xf numFmtId="14" fontId="0" fillId="0" borderId="0" xfId="0" pivotButton="1" applyNumberFormat="1">
      <alignment vertical="center"/>
    </xf>
    <xf numFmtId="179" fontId="0" fillId="4" borderId="0" xfId="0" applyNumberFormat="1" applyFill="1">
      <alignment vertical="center"/>
    </xf>
    <xf numFmtId="4" fontId="0" fillId="4" borderId="0" xfId="0" applyNumberFormat="1" applyFill="1">
      <alignment vertical="center"/>
    </xf>
    <xf numFmtId="14" fontId="0" fillId="4" borderId="0" xfId="0" applyNumberFormat="1" applyFill="1">
      <alignment vertical="center"/>
    </xf>
    <xf numFmtId="14" fontId="152" fillId="0" borderId="2" xfId="0" applyNumberFormat="1" applyFont="1" applyBorder="1" applyAlignment="1">
      <alignment horizontal="left" vertical="center"/>
    </xf>
    <xf numFmtId="0" fontId="101" fillId="0" borderId="2" xfId="1" applyNumberFormat="1" applyFont="1" applyBorder="1" applyAlignment="1">
      <alignment horizontal="center" vertical="center" wrapText="1"/>
    </xf>
    <xf numFmtId="0" fontId="2" fillId="0" borderId="0" xfId="0" pivotButton="1" applyFont="1">
      <alignment vertical="center"/>
    </xf>
    <xf numFmtId="0" fontId="2" fillId="3" borderId="0" xfId="0" applyFont="1" applyFill="1">
      <alignment vertical="center"/>
    </xf>
    <xf numFmtId="0" fontId="0" fillId="0" borderId="0" xfId="0" applyAlignment="1">
      <alignment horizontal="left" vertical="center"/>
    </xf>
    <xf numFmtId="177" fontId="96" fillId="0" borderId="2" xfId="1" applyNumberFormat="1" applyFont="1" applyBorder="1" applyAlignment="1">
      <alignment horizontal="center" vertical="center"/>
    </xf>
    <xf numFmtId="179" fontId="26" fillId="35" borderId="2" xfId="1" applyFont="1" applyFill="1" applyBorder="1" applyAlignment="1">
      <alignment horizontal="center" vertical="center" wrapText="1"/>
    </xf>
    <xf numFmtId="0" fontId="9" fillId="35" borderId="2" xfId="0" applyFont="1" applyFill="1" applyBorder="1" applyAlignment="1">
      <alignment horizontal="left" vertical="center"/>
    </xf>
    <xf numFmtId="14" fontId="92" fillId="35" borderId="2" xfId="0" applyNumberFormat="1" applyFont="1" applyFill="1" applyBorder="1" applyAlignment="1">
      <alignment horizontal="left" vertical="center"/>
    </xf>
    <xf numFmtId="0" fontId="26" fillId="35" borderId="2" xfId="1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 indent="2"/>
    </xf>
    <xf numFmtId="0" fontId="7" fillId="0" borderId="0" xfId="0" applyFont="1" applyAlignment="1">
      <alignment horizontal="center" vertical="center"/>
    </xf>
    <xf numFmtId="0" fontId="2" fillId="0" borderId="0" xfId="3" applyNumberFormat="1" applyFont="1" applyBorder="1">
      <alignment vertical="center"/>
    </xf>
    <xf numFmtId="0" fontId="112" fillId="0" borderId="0" xfId="0" applyFont="1">
      <alignment vertical="center"/>
    </xf>
    <xf numFmtId="0" fontId="87" fillId="8" borderId="2" xfId="1" applyNumberFormat="1" applyFont="1" applyFill="1" applyBorder="1" applyAlignment="1">
      <alignment horizontal="center" vertical="center"/>
    </xf>
    <xf numFmtId="0" fontId="90" fillId="8" borderId="2" xfId="1" applyNumberFormat="1" applyFont="1" applyFill="1" applyBorder="1" applyAlignment="1">
      <alignment horizontal="center" vertical="center"/>
    </xf>
    <xf numFmtId="14" fontId="2" fillId="0" borderId="0" xfId="0" applyNumberFormat="1" applyFont="1">
      <alignment vertical="center"/>
    </xf>
    <xf numFmtId="0" fontId="2" fillId="0" borderId="2" xfId="0" applyFont="1" applyBorder="1">
      <alignment vertical="center"/>
    </xf>
    <xf numFmtId="179" fontId="0" fillId="0" borderId="2" xfId="0" applyNumberFormat="1" applyBorder="1">
      <alignment vertical="center"/>
    </xf>
    <xf numFmtId="179" fontId="26" fillId="0" borderId="17" xfId="1" applyFont="1" applyBorder="1" applyAlignment="1">
      <alignment horizontal="left" vertical="center"/>
    </xf>
    <xf numFmtId="0" fontId="2" fillId="0" borderId="0" xfId="0" applyFont="1" applyAlignment="1">
      <alignment horizontal="center" vertical="center"/>
    </xf>
    <xf numFmtId="179" fontId="2" fillId="0" borderId="0" xfId="0" applyNumberFormat="1" applyFont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179" fontId="4" fillId="2" borderId="2" xfId="0" applyNumberFormat="1" applyFont="1" applyFill="1" applyBorder="1" applyAlignment="1">
      <alignment horizontal="center" vertical="center"/>
    </xf>
    <xf numFmtId="0" fontId="111" fillId="2" borderId="2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9" borderId="2" xfId="0" applyFont="1" applyFill="1" applyBorder="1" applyAlignment="1">
      <alignment horizontal="center" vertical="center"/>
    </xf>
    <xf numFmtId="0" fontId="156" fillId="0" borderId="21" xfId="0" applyFont="1" applyBorder="1" applyAlignment="1">
      <alignment horizontal="center" vertical="center"/>
    </xf>
    <xf numFmtId="0" fontId="157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4" fillId="3" borderId="2" xfId="0" applyFont="1" applyFill="1" applyBorder="1" applyAlignment="1">
      <alignment horizontal="center" vertical="center"/>
    </xf>
    <xf numFmtId="0" fontId="34" fillId="45" borderId="2" xfId="0" applyFont="1" applyFill="1" applyBorder="1" applyAlignment="1">
      <alignment horizontal="center" vertical="center"/>
    </xf>
    <xf numFmtId="0" fontId="21" fillId="8" borderId="2" xfId="0" applyFont="1" applyFill="1" applyBorder="1" applyAlignment="1">
      <alignment horizontal="center" vertical="center"/>
    </xf>
    <xf numFmtId="179" fontId="2" fillId="0" borderId="2" xfId="0" applyNumberFormat="1" applyFont="1" applyBorder="1" applyAlignment="1">
      <alignment horizontal="left" vertical="center"/>
    </xf>
    <xf numFmtId="179" fontId="27" fillId="0" borderId="29" xfId="1" applyFont="1" applyBorder="1" applyAlignment="1">
      <alignment horizontal="left" vertical="center"/>
    </xf>
    <xf numFmtId="0" fontId="87" fillId="0" borderId="3" xfId="1" applyNumberFormat="1" applyFont="1" applyBorder="1" applyAlignment="1">
      <alignment horizontal="left" vertical="center" wrapText="1"/>
    </xf>
    <xf numFmtId="0" fontId="22" fillId="0" borderId="3" xfId="1" applyNumberFormat="1" applyFont="1" applyBorder="1" applyAlignment="1">
      <alignment horizontal="center" vertical="center" wrapText="1"/>
    </xf>
    <xf numFmtId="14" fontId="87" fillId="0" borderId="3" xfId="1" applyNumberFormat="1" applyFont="1" applyBorder="1" applyAlignment="1">
      <alignment horizontal="left" vertical="center" wrapText="1"/>
    </xf>
    <xf numFmtId="176" fontId="87" fillId="0" borderId="3" xfId="1" applyNumberFormat="1" applyFont="1" applyBorder="1" applyAlignment="1">
      <alignment horizontal="left" vertical="center" wrapText="1"/>
    </xf>
    <xf numFmtId="0" fontId="87" fillId="0" borderId="3" xfId="1" applyNumberFormat="1" applyFont="1" applyBorder="1" applyAlignment="1">
      <alignment horizontal="center" vertical="center"/>
    </xf>
    <xf numFmtId="0" fontId="87" fillId="3" borderId="3" xfId="1" applyNumberFormat="1" applyFont="1" applyFill="1" applyBorder="1" applyAlignment="1">
      <alignment horizontal="center" vertical="center" wrapText="1"/>
    </xf>
    <xf numFmtId="179" fontId="27" fillId="0" borderId="3" xfId="1" applyFont="1" applyBorder="1" applyAlignment="1">
      <alignment horizontal="center" vertical="center" wrapText="1"/>
    </xf>
    <xf numFmtId="0" fontId="27" fillId="0" borderId="3" xfId="0" applyFont="1" applyBorder="1" applyAlignment="1">
      <alignment horizontal="left" vertical="center"/>
    </xf>
    <xf numFmtId="14" fontId="27" fillId="0" borderId="3" xfId="0" applyNumberFormat="1" applyFont="1" applyBorder="1" applyAlignment="1">
      <alignment horizontal="left" vertical="center"/>
    </xf>
    <xf numFmtId="0" fontId="27" fillId="0" borderId="3" xfId="1" applyNumberFormat="1" applyFont="1" applyBorder="1" applyAlignment="1">
      <alignment horizontal="center" vertical="center" wrapText="1"/>
    </xf>
    <xf numFmtId="0" fontId="88" fillId="0" borderId="3" xfId="1" applyNumberFormat="1" applyFont="1" applyBorder="1" applyAlignment="1">
      <alignment horizontal="center" vertical="center"/>
    </xf>
    <xf numFmtId="0" fontId="2" fillId="0" borderId="3" xfId="0" applyFont="1" applyBorder="1">
      <alignment vertical="center"/>
    </xf>
    <xf numFmtId="0" fontId="2" fillId="0" borderId="17" xfId="1" applyNumberFormat="1" applyFont="1" applyBorder="1" applyAlignment="1">
      <alignment horizontal="center" vertical="center"/>
    </xf>
    <xf numFmtId="179" fontId="27" fillId="0" borderId="2" xfId="1" applyFont="1" applyBorder="1" applyAlignment="1">
      <alignment horizontal="left" vertical="center"/>
    </xf>
    <xf numFmtId="179" fontId="26" fillId="6" borderId="19" xfId="1" applyFont="1" applyFill="1" applyBorder="1" applyAlignment="1">
      <alignment horizontal="left" vertical="center" wrapText="1"/>
    </xf>
    <xf numFmtId="179" fontId="0" fillId="0" borderId="11" xfId="0" applyNumberFormat="1" applyBorder="1">
      <alignment vertical="center"/>
    </xf>
    <xf numFmtId="179" fontId="26" fillId="6" borderId="2" xfId="1" applyFont="1" applyFill="1" applyBorder="1" applyAlignment="1">
      <alignment horizontal="left" vertical="center" wrapText="1"/>
    </xf>
    <xf numFmtId="179" fontId="100" fillId="0" borderId="2" xfId="1" applyFont="1" applyBorder="1" applyAlignment="1">
      <alignment horizontal="center" vertical="center" wrapText="1"/>
    </xf>
    <xf numFmtId="14" fontId="0" fillId="0" borderId="0" xfId="0" applyNumberFormat="1" applyAlignment="1">
      <alignment horizontal="right" vertical="center"/>
    </xf>
    <xf numFmtId="14" fontId="2" fillId="0" borderId="0" xfId="0" applyNumberFormat="1" applyFont="1" applyAlignment="1">
      <alignment horizontal="right" vertical="center"/>
    </xf>
    <xf numFmtId="0" fontId="160" fillId="0" borderId="0" xfId="162" applyFont="1"/>
    <xf numFmtId="0" fontId="2" fillId="0" borderId="0" xfId="0" quotePrefix="1" applyFont="1">
      <alignment vertical="center"/>
    </xf>
    <xf numFmtId="0" fontId="161" fillId="0" borderId="0" xfId="0" applyFont="1">
      <alignment vertical="center"/>
    </xf>
    <xf numFmtId="0" fontId="2" fillId="0" borderId="0" xfId="3" applyNumberFormat="1" applyFont="1">
      <alignment vertical="center"/>
    </xf>
    <xf numFmtId="0" fontId="26" fillId="0" borderId="2" xfId="1" applyNumberFormat="1" applyFont="1" applyBorder="1" applyAlignment="1">
      <alignment horizontal="center" vertical="center"/>
    </xf>
    <xf numFmtId="0" fontId="103" fillId="0" borderId="2" xfId="1" applyNumberFormat="1" applyFont="1" applyBorder="1" applyAlignment="1">
      <alignment horizontal="center" vertical="center" wrapText="1"/>
    </xf>
    <xf numFmtId="0" fontId="80" fillId="0" borderId="2" xfId="1" applyNumberFormat="1" applyFont="1" applyBorder="1" applyAlignment="1">
      <alignment horizontal="center" vertical="center" wrapText="1"/>
    </xf>
    <xf numFmtId="0" fontId="38" fillId="2" borderId="2" xfId="0" applyFont="1" applyFill="1" applyBorder="1" applyAlignment="1">
      <alignment horizontal="center" vertical="center" wrapText="1"/>
    </xf>
    <xf numFmtId="14" fontId="11" fillId="8" borderId="1" xfId="1" applyNumberFormat="1" applyFont="1" applyFill="1" applyBorder="1" applyAlignment="1">
      <alignment horizontal="left" vertical="center" wrapText="1"/>
    </xf>
    <xf numFmtId="176" fontId="11" fillId="8" borderId="1" xfId="1" applyNumberFormat="1" applyFont="1" applyFill="1" applyBorder="1" applyAlignment="1">
      <alignment horizontal="left" vertical="center" wrapText="1"/>
    </xf>
    <xf numFmtId="0" fontId="11" fillId="8" borderId="1" xfId="1" applyNumberFormat="1" applyFont="1" applyFill="1" applyBorder="1" applyAlignment="1">
      <alignment horizontal="left" vertical="center"/>
    </xf>
    <xf numFmtId="0" fontId="32" fillId="8" borderId="2" xfId="1" applyNumberFormat="1" applyFont="1" applyFill="1" applyBorder="1" applyAlignment="1">
      <alignment horizontal="center" vertical="center" wrapText="1"/>
    </xf>
    <xf numFmtId="0" fontId="0" fillId="0" borderId="2" xfId="0" applyBorder="1" applyAlignment="1">
      <alignment horizontal="right" vertical="center"/>
    </xf>
    <xf numFmtId="182" fontId="0" fillId="0" borderId="2" xfId="3" applyNumberFormat="1" applyFont="1" applyBorder="1">
      <alignment vertical="center"/>
    </xf>
    <xf numFmtId="182" fontId="0" fillId="0" borderId="0" xfId="3" applyNumberFormat="1" applyFont="1">
      <alignment vertical="center"/>
    </xf>
    <xf numFmtId="0" fontId="162" fillId="46" borderId="2" xfId="0" applyFont="1" applyFill="1" applyBorder="1">
      <alignment vertical="center"/>
    </xf>
    <xf numFmtId="0" fontId="163" fillId="46" borderId="2" xfId="0" applyFont="1" applyFill="1" applyBorder="1">
      <alignment vertical="center"/>
    </xf>
    <xf numFmtId="182" fontId="147" fillId="0" borderId="0" xfId="3" applyNumberFormat="1" applyFont="1">
      <alignment vertical="center"/>
    </xf>
    <xf numFmtId="0" fontId="147" fillId="0" borderId="0" xfId="0" applyFont="1">
      <alignment vertical="center"/>
    </xf>
    <xf numFmtId="179" fontId="164" fillId="0" borderId="2" xfId="1" applyFont="1" applyBorder="1" applyAlignment="1">
      <alignment horizontal="center" vertical="center" wrapText="1"/>
    </xf>
    <xf numFmtId="179" fontId="26" fillId="0" borderId="2" xfId="1" applyFont="1" applyBorder="1" applyAlignment="1">
      <alignment horizontal="left" vertical="center" wrapText="1"/>
    </xf>
    <xf numFmtId="183" fontId="160" fillId="0" borderId="0" xfId="162" applyNumberFormat="1" applyFont="1"/>
    <xf numFmtId="0" fontId="11" fillId="3" borderId="1" xfId="1" applyNumberFormat="1" applyFont="1" applyFill="1" applyBorder="1" applyAlignment="1">
      <alignment horizontal="center" vertical="center" wrapText="1"/>
    </xf>
    <xf numFmtId="0" fontId="103" fillId="0" borderId="1" xfId="1" applyNumberFormat="1" applyFont="1" applyBorder="1" applyAlignment="1">
      <alignment horizontal="center" vertical="center" wrapText="1"/>
    </xf>
    <xf numFmtId="179" fontId="26" fillId="0" borderId="1" xfId="1" applyFont="1" applyBorder="1" applyAlignment="1">
      <alignment horizontal="center" vertical="center" wrapText="1"/>
    </xf>
    <xf numFmtId="14" fontId="9" fillId="0" borderId="1" xfId="0" applyNumberFormat="1" applyFont="1" applyBorder="1" applyAlignment="1">
      <alignment horizontal="left" vertical="center"/>
    </xf>
    <xf numFmtId="0" fontId="26" fillId="0" borderId="1" xfId="1" applyNumberFormat="1" applyFont="1" applyBorder="1" applyAlignment="1">
      <alignment horizontal="center" vertical="center" wrapText="1"/>
    </xf>
    <xf numFmtId="0" fontId="11" fillId="0" borderId="1" xfId="1" applyNumberFormat="1" applyFont="1" applyBorder="1" applyAlignment="1">
      <alignment horizontal="center" vertical="center"/>
    </xf>
    <xf numFmtId="177" fontId="11" fillId="0" borderId="1" xfId="1" applyNumberFormat="1" applyFont="1" applyBorder="1" applyAlignment="1">
      <alignment horizontal="center" vertical="center"/>
    </xf>
    <xf numFmtId="178" fontId="11" fillId="0" borderId="1" xfId="1" applyNumberFormat="1" applyFont="1" applyBorder="1" applyAlignment="1">
      <alignment horizontal="center" vertical="center"/>
    </xf>
    <xf numFmtId="179" fontId="88" fillId="0" borderId="1" xfId="1" applyFont="1" applyBorder="1" applyAlignment="1">
      <alignment horizontal="center" vertical="center"/>
    </xf>
    <xf numFmtId="179" fontId="88" fillId="0" borderId="68" xfId="1" applyFont="1" applyBorder="1" applyAlignment="1">
      <alignment horizontal="center" vertical="center"/>
    </xf>
    <xf numFmtId="179" fontId="165" fillId="2" borderId="0" xfId="0" applyNumberFormat="1" applyFont="1" applyFill="1">
      <alignment vertical="center"/>
    </xf>
    <xf numFmtId="179" fontId="166" fillId="0" borderId="0" xfId="0" applyNumberFormat="1" applyFont="1">
      <alignment vertical="center"/>
    </xf>
    <xf numFmtId="179" fontId="166" fillId="0" borderId="0" xfId="0" quotePrefix="1" applyNumberFormat="1" applyFont="1">
      <alignment vertical="center"/>
    </xf>
    <xf numFmtId="179" fontId="2" fillId="4" borderId="2" xfId="0" applyNumberFormat="1" applyFont="1" applyFill="1" applyBorder="1">
      <alignment vertical="center"/>
    </xf>
    <xf numFmtId="179" fontId="88" fillId="0" borderId="51" xfId="1" applyFont="1" applyBorder="1" applyAlignment="1">
      <alignment horizontal="center" vertical="center"/>
    </xf>
    <xf numFmtId="179" fontId="27" fillId="9" borderId="2" xfId="1" applyFont="1" applyFill="1" applyBorder="1" applyAlignment="1">
      <alignment horizontal="center" vertical="center" wrapText="1"/>
    </xf>
    <xf numFmtId="179" fontId="27" fillId="35" borderId="2" xfId="1" applyFont="1" applyFill="1" applyBorder="1" applyAlignment="1">
      <alignment horizontal="center" vertical="center" wrapText="1"/>
    </xf>
    <xf numFmtId="0" fontId="27" fillId="35" borderId="2" xfId="0" applyFont="1" applyFill="1" applyBorder="1" applyAlignment="1">
      <alignment horizontal="left" vertical="center"/>
    </xf>
    <xf numFmtId="0" fontId="83" fillId="2" borderId="28" xfId="1" applyNumberFormat="1" applyFont="1" applyFill="1" applyBorder="1" applyAlignment="1">
      <alignment horizontal="left" vertical="center" wrapText="1"/>
    </xf>
    <xf numFmtId="0" fontId="26" fillId="6" borderId="4" xfId="1" applyNumberFormat="1" applyFont="1" applyFill="1" applyBorder="1" applyAlignment="1">
      <alignment horizontal="left" vertical="center" wrapText="1"/>
    </xf>
    <xf numFmtId="0" fontId="26" fillId="6" borderId="32" xfId="1" applyNumberFormat="1" applyFont="1" applyFill="1" applyBorder="1" applyAlignment="1">
      <alignment horizontal="left" vertical="center" wrapText="1"/>
    </xf>
    <xf numFmtId="0" fontId="26" fillId="6" borderId="17" xfId="1" applyNumberFormat="1" applyFont="1" applyFill="1" applyBorder="1" applyAlignment="1">
      <alignment horizontal="left" vertical="center" wrapText="1"/>
    </xf>
    <xf numFmtId="0" fontId="26" fillId="6" borderId="19" xfId="1" applyNumberFormat="1" applyFont="1" applyFill="1" applyBorder="1" applyAlignment="1">
      <alignment horizontal="left" vertical="center" wrapText="1"/>
    </xf>
    <xf numFmtId="0" fontId="26" fillId="0" borderId="3" xfId="1" applyNumberFormat="1" applyFont="1" applyBorder="1" applyAlignment="1">
      <alignment horizontal="left" vertical="center"/>
    </xf>
    <xf numFmtId="0" fontId="26" fillId="0" borderId="17" xfId="1" applyNumberFormat="1" applyFont="1" applyBorder="1" applyAlignment="1">
      <alignment horizontal="left" vertical="center"/>
    </xf>
    <xf numFmtId="0" fontId="26" fillId="0" borderId="2" xfId="1" applyNumberFormat="1" applyFont="1" applyBorder="1" applyAlignment="1">
      <alignment horizontal="left" vertical="center"/>
    </xf>
    <xf numFmtId="0" fontId="28" fillId="0" borderId="4" xfId="1" applyNumberFormat="1" applyFont="1" applyBorder="1" applyAlignment="1">
      <alignment horizontal="left" vertical="center"/>
    </xf>
    <xf numFmtId="179" fontId="155" fillId="2" borderId="0" xfId="0" applyNumberFormat="1" applyFont="1" applyFill="1">
      <alignment vertical="center"/>
    </xf>
    <xf numFmtId="179" fontId="112" fillId="0" borderId="0" xfId="0" applyNumberFormat="1" applyFont="1">
      <alignment vertical="center"/>
    </xf>
    <xf numFmtId="0" fontId="168" fillId="3" borderId="6" xfId="1" applyNumberFormat="1" applyFont="1" applyFill="1" applyBorder="1" applyAlignment="1">
      <alignment horizontal="center" vertical="center" wrapText="1"/>
    </xf>
    <xf numFmtId="0" fontId="26" fillId="0" borderId="14" xfId="1" applyNumberFormat="1" applyFont="1" applyBorder="1" applyAlignment="1">
      <alignment horizontal="left" vertical="center"/>
    </xf>
    <xf numFmtId="0" fontId="26" fillId="0" borderId="32" xfId="1" applyNumberFormat="1" applyFont="1" applyBorder="1" applyAlignment="1">
      <alignment horizontal="left" vertical="center" wrapText="1"/>
    </xf>
    <xf numFmtId="0" fontId="26" fillId="0" borderId="4" xfId="1" applyNumberFormat="1" applyFont="1" applyBorder="1" applyAlignment="1">
      <alignment horizontal="left" vertical="center"/>
    </xf>
    <xf numFmtId="0" fontId="167" fillId="2" borderId="2" xfId="1" applyNumberFormat="1" applyFont="1" applyFill="1" applyBorder="1" applyAlignment="1">
      <alignment horizontal="left" vertical="center" wrapText="1"/>
    </xf>
    <xf numFmtId="0" fontId="32" fillId="0" borderId="2" xfId="0" applyFont="1" applyBorder="1" applyAlignment="1">
      <alignment horizontal="right" vertical="center"/>
    </xf>
    <xf numFmtId="0" fontId="28" fillId="0" borderId="17" xfId="1" applyNumberFormat="1" applyFont="1" applyBorder="1" applyAlignment="1">
      <alignment horizontal="left" vertical="center"/>
    </xf>
    <xf numFmtId="0" fontId="90" fillId="0" borderId="3" xfId="1" applyNumberFormat="1" applyFont="1" applyBorder="1" applyAlignment="1">
      <alignment horizontal="left" vertical="center" wrapText="1"/>
    </xf>
    <xf numFmtId="14" fontId="90" fillId="0" borderId="3" xfId="1" applyNumberFormat="1" applyFont="1" applyBorder="1" applyAlignment="1">
      <alignment horizontal="left" vertical="center" wrapText="1"/>
    </xf>
    <xf numFmtId="0" fontId="90" fillId="0" borderId="3" xfId="1" applyNumberFormat="1" applyFont="1" applyBorder="1" applyAlignment="1">
      <alignment horizontal="center" vertical="center"/>
    </xf>
    <xf numFmtId="0" fontId="90" fillId="3" borderId="3" xfId="1" applyNumberFormat="1" applyFont="1" applyFill="1" applyBorder="1" applyAlignment="1">
      <alignment horizontal="center" vertical="center" wrapText="1"/>
    </xf>
    <xf numFmtId="0" fontId="28" fillId="0" borderId="3" xfId="1" applyNumberFormat="1" applyFont="1" applyBorder="1" applyAlignment="1">
      <alignment horizontal="center" vertical="center" wrapText="1"/>
    </xf>
    <xf numFmtId="179" fontId="28" fillId="0" borderId="3" xfId="1" applyFont="1" applyBorder="1" applyAlignment="1">
      <alignment horizontal="center" vertical="center" wrapText="1"/>
    </xf>
    <xf numFmtId="0" fontId="28" fillId="0" borderId="3" xfId="0" applyFont="1" applyBorder="1" applyAlignment="1">
      <alignment horizontal="left" vertical="center"/>
    </xf>
    <xf numFmtId="14" fontId="28" fillId="0" borderId="3" xfId="0" applyNumberFormat="1" applyFont="1" applyBorder="1" applyAlignment="1">
      <alignment horizontal="left" vertical="center"/>
    </xf>
    <xf numFmtId="179" fontId="88" fillId="0" borderId="15" xfId="1" applyFont="1" applyBorder="1" applyAlignment="1">
      <alignment horizontal="center" vertical="center"/>
    </xf>
    <xf numFmtId="0" fontId="28" fillId="0" borderId="19" xfId="1" applyNumberFormat="1" applyFont="1" applyBorder="1" applyAlignment="1">
      <alignment horizontal="left" vertical="center"/>
    </xf>
    <xf numFmtId="0" fontId="90" fillId="0" borderId="11" xfId="1" applyNumberFormat="1" applyFont="1" applyBorder="1" applyAlignment="1">
      <alignment horizontal="left" vertical="center" wrapText="1"/>
    </xf>
    <xf numFmtId="14" fontId="90" fillId="0" borderId="11" xfId="1" applyNumberFormat="1" applyFont="1" applyBorder="1" applyAlignment="1">
      <alignment horizontal="left" vertical="center" wrapText="1"/>
    </xf>
    <xf numFmtId="0" fontId="90" fillId="0" borderId="11" xfId="1" applyNumberFormat="1" applyFont="1" applyBorder="1" applyAlignment="1">
      <alignment horizontal="center" vertical="center"/>
    </xf>
    <xf numFmtId="0" fontId="90" fillId="3" borderId="11" xfId="1" applyNumberFormat="1" applyFont="1" applyFill="1" applyBorder="1" applyAlignment="1">
      <alignment horizontal="center" vertical="center" wrapText="1"/>
    </xf>
    <xf numFmtId="0" fontId="11" fillId="0" borderId="11" xfId="1" applyNumberFormat="1" applyFont="1" applyBorder="1" applyAlignment="1">
      <alignment horizontal="center" vertical="center"/>
    </xf>
    <xf numFmtId="0" fontId="28" fillId="0" borderId="11" xfId="1" applyNumberFormat="1" applyFont="1" applyBorder="1" applyAlignment="1">
      <alignment horizontal="center" vertical="center" wrapText="1"/>
    </xf>
    <xf numFmtId="179" fontId="28" fillId="0" borderId="11" xfId="1" applyFont="1" applyBorder="1" applyAlignment="1">
      <alignment horizontal="center" vertical="center" wrapText="1"/>
    </xf>
    <xf numFmtId="0" fontId="28" fillId="0" borderId="11" xfId="0" applyFont="1" applyBorder="1" applyAlignment="1">
      <alignment horizontal="left" vertical="center"/>
    </xf>
    <xf numFmtId="14" fontId="28" fillId="0" borderId="11" xfId="0" applyNumberFormat="1" applyFont="1" applyBorder="1" applyAlignment="1">
      <alignment horizontal="left" vertical="center"/>
    </xf>
    <xf numFmtId="0" fontId="111" fillId="2" borderId="2" xfId="0" applyFont="1" applyFill="1" applyBorder="1" applyAlignment="1">
      <alignment vertical="center" wrapText="1"/>
    </xf>
    <xf numFmtId="0" fontId="171" fillId="2" borderId="2" xfId="0" applyFont="1" applyFill="1" applyBorder="1" applyAlignment="1">
      <alignment vertical="center" wrapText="1"/>
    </xf>
    <xf numFmtId="179" fontId="2" fillId="0" borderId="0" xfId="0" applyNumberFormat="1" applyFont="1" applyAlignment="1">
      <alignment vertical="center" wrapText="1"/>
    </xf>
    <xf numFmtId="0" fontId="35" fillId="0" borderId="1" xfId="0" applyFont="1" applyBorder="1" applyAlignment="1">
      <alignment horizontal="right" vertical="center" wrapText="1"/>
    </xf>
    <xf numFmtId="0" fontId="111" fillId="2" borderId="2" xfId="0" applyFont="1" applyFill="1" applyBorder="1" applyAlignment="1">
      <alignment horizontal="right" vertical="center" wrapText="1"/>
    </xf>
    <xf numFmtId="0" fontId="171" fillId="2" borderId="2" xfId="0" applyFont="1" applyFill="1" applyBorder="1" applyAlignment="1">
      <alignment horizontal="right" vertical="center" wrapText="1"/>
    </xf>
    <xf numFmtId="0" fontId="21" fillId="9" borderId="27" xfId="0" applyFont="1" applyFill="1" applyBorder="1" applyAlignment="1">
      <alignment horizontal="right" vertical="center"/>
    </xf>
    <xf numFmtId="0" fontId="170" fillId="2" borderId="83" xfId="0" applyFont="1" applyFill="1" applyBorder="1" applyAlignment="1">
      <alignment vertical="center" wrapText="1"/>
    </xf>
    <xf numFmtId="0" fontId="170" fillId="2" borderId="4" xfId="0" applyFont="1" applyFill="1" applyBorder="1" applyAlignment="1">
      <alignment vertical="center" wrapText="1"/>
    </xf>
    <xf numFmtId="0" fontId="37" fillId="0" borderId="2" xfId="0" applyFont="1" applyBorder="1" applyAlignment="1">
      <alignment horizontal="right" vertical="center"/>
    </xf>
    <xf numFmtId="0" fontId="171" fillId="2" borderId="2" xfId="0" applyFont="1" applyFill="1" applyBorder="1">
      <alignment vertical="center"/>
    </xf>
    <xf numFmtId="0" fontId="111" fillId="2" borderId="2" xfId="0" applyFont="1" applyFill="1" applyBorder="1">
      <alignment vertical="center"/>
    </xf>
    <xf numFmtId="0" fontId="174" fillId="2" borderId="2" xfId="1" applyNumberFormat="1" applyFont="1" applyFill="1" applyBorder="1" applyAlignment="1">
      <alignment horizontal="left" vertical="center" wrapText="1"/>
    </xf>
    <xf numFmtId="179" fontId="9" fillId="0" borderId="2" xfId="1" applyFont="1" applyBorder="1" applyAlignment="1">
      <alignment horizontal="center" vertical="center"/>
    </xf>
    <xf numFmtId="179" fontId="9" fillId="0" borderId="11" xfId="1" applyFont="1" applyBorder="1" applyAlignment="1">
      <alignment horizontal="center" vertical="center"/>
    </xf>
    <xf numFmtId="179" fontId="9" fillId="0" borderId="3" xfId="1" applyFont="1" applyBorder="1" applyAlignment="1">
      <alignment horizontal="center" vertical="center"/>
    </xf>
    <xf numFmtId="0" fontId="90" fillId="0" borderId="2" xfId="1" applyNumberFormat="1" applyFont="1" applyBorder="1" applyAlignment="1">
      <alignment horizontal="left" vertical="center"/>
    </xf>
    <xf numFmtId="0" fontId="90" fillId="0" borderId="11" xfId="1" applyNumberFormat="1" applyFont="1" applyBorder="1" applyAlignment="1">
      <alignment horizontal="left" vertical="center"/>
    </xf>
    <xf numFmtId="0" fontId="90" fillId="0" borderId="3" xfId="1" applyNumberFormat="1" applyFont="1" applyBorder="1" applyAlignment="1">
      <alignment horizontal="left" vertical="center"/>
    </xf>
    <xf numFmtId="0" fontId="85" fillId="0" borderId="3" xfId="1" applyNumberFormat="1" applyFont="1" applyBorder="1" applyAlignment="1">
      <alignment horizontal="left" vertical="center"/>
    </xf>
    <xf numFmtId="0" fontId="21" fillId="47" borderId="27" xfId="0" applyFont="1" applyFill="1" applyBorder="1" applyAlignment="1">
      <alignment horizontal="right" vertical="center" wrapText="1"/>
    </xf>
    <xf numFmtId="0" fontId="31" fillId="47" borderId="27" xfId="0" applyFont="1" applyFill="1" applyBorder="1" applyAlignment="1">
      <alignment horizontal="right" vertical="center"/>
    </xf>
    <xf numFmtId="0" fontId="38" fillId="13" borderId="2" xfId="0" applyFont="1" applyFill="1" applyBorder="1" applyAlignment="1">
      <alignment vertical="center" wrapText="1"/>
    </xf>
    <xf numFmtId="182" fontId="21" fillId="8" borderId="2" xfId="3" applyNumberFormat="1" applyFont="1" applyFill="1" applyBorder="1" applyAlignment="1">
      <alignment horizontal="right" vertical="center"/>
    </xf>
    <xf numFmtId="182" fontId="2" fillId="9" borderId="2" xfId="3" applyNumberFormat="1" applyFont="1" applyFill="1" applyBorder="1" applyAlignment="1">
      <alignment horizontal="right" vertical="center"/>
    </xf>
    <xf numFmtId="182" fontId="2" fillId="45" borderId="2" xfId="3" applyNumberFormat="1" applyFont="1" applyFill="1" applyBorder="1" applyAlignment="1">
      <alignment horizontal="right" vertical="center"/>
    </xf>
    <xf numFmtId="182" fontId="2" fillId="35" borderId="2" xfId="3" applyNumberFormat="1" applyFont="1" applyFill="1" applyBorder="1" applyAlignment="1">
      <alignment horizontal="right" vertical="center"/>
    </xf>
    <xf numFmtId="182" fontId="2" fillId="32" borderId="2" xfId="3" applyNumberFormat="1" applyFont="1" applyFill="1" applyBorder="1" applyAlignment="1">
      <alignment horizontal="right" vertical="center"/>
    </xf>
    <xf numFmtId="182" fontId="21" fillId="4" borderId="2" xfId="3" applyNumberFormat="1" applyFont="1" applyFill="1" applyBorder="1" applyAlignment="1">
      <alignment horizontal="right" vertical="center"/>
    </xf>
    <xf numFmtId="182" fontId="2" fillId="9" borderId="2" xfId="3" applyNumberFormat="1" applyFont="1" applyFill="1" applyBorder="1">
      <alignment vertical="center"/>
    </xf>
    <xf numFmtId="182" fontId="2" fillId="12" borderId="2" xfId="3" applyNumberFormat="1" applyFont="1" applyFill="1" applyBorder="1">
      <alignment vertical="center"/>
    </xf>
    <xf numFmtId="182" fontId="32" fillId="12" borderId="2" xfId="3" applyNumberFormat="1" applyFont="1" applyFill="1" applyBorder="1">
      <alignment vertical="center"/>
    </xf>
    <xf numFmtId="182" fontId="32" fillId="11" borderId="2" xfId="3" applyNumberFormat="1" applyFont="1" applyFill="1" applyBorder="1">
      <alignment vertical="center"/>
    </xf>
    <xf numFmtId="182" fontId="40" fillId="9" borderId="2" xfId="3" applyNumberFormat="1" applyFont="1" applyFill="1" applyBorder="1">
      <alignment vertical="center"/>
    </xf>
    <xf numFmtId="182" fontId="32" fillId="9" borderId="2" xfId="3" applyNumberFormat="1" applyFont="1" applyFill="1" applyBorder="1">
      <alignment vertical="center"/>
    </xf>
    <xf numFmtId="182" fontId="2" fillId="8" borderId="2" xfId="3" applyNumberFormat="1" applyFont="1" applyFill="1" applyBorder="1" applyAlignment="1">
      <alignment horizontal="center" vertical="center"/>
    </xf>
    <xf numFmtId="182" fontId="2" fillId="4" borderId="2" xfId="3" applyNumberFormat="1" applyFont="1" applyFill="1" applyBorder="1" applyAlignment="1">
      <alignment horizontal="center" vertical="center"/>
    </xf>
    <xf numFmtId="182" fontId="2" fillId="3" borderId="2" xfId="3" applyNumberFormat="1" applyFont="1" applyFill="1" applyBorder="1" applyAlignment="1">
      <alignment horizontal="center" vertical="center"/>
    </xf>
    <xf numFmtId="182" fontId="32" fillId="45" borderId="2" xfId="3" applyNumberFormat="1" applyFont="1" applyFill="1" applyBorder="1" applyAlignment="1">
      <alignment horizontal="center" vertical="center"/>
    </xf>
    <xf numFmtId="182" fontId="2" fillId="9" borderId="2" xfId="3" applyNumberFormat="1" applyFont="1" applyFill="1" applyBorder="1" applyAlignment="1">
      <alignment horizontal="center" vertical="center"/>
    </xf>
    <xf numFmtId="182" fontId="2" fillId="45" borderId="2" xfId="3" applyNumberFormat="1" applyFont="1" applyFill="1" applyBorder="1" applyAlignment="1">
      <alignment horizontal="center" vertical="center"/>
    </xf>
    <xf numFmtId="182" fontId="21" fillId="9" borderId="27" xfId="0" applyNumberFormat="1" applyFont="1" applyFill="1" applyBorder="1" applyAlignment="1">
      <alignment horizontal="right" vertical="center"/>
    </xf>
    <xf numFmtId="182" fontId="31" fillId="47" borderId="27" xfId="0" applyNumberFormat="1" applyFont="1" applyFill="1" applyBorder="1" applyAlignment="1">
      <alignment horizontal="right" vertical="center"/>
    </xf>
    <xf numFmtId="0" fontId="158" fillId="2" borderId="2" xfId="0" applyFont="1" applyFill="1" applyBorder="1" applyAlignment="1">
      <alignment horizontal="center" vertical="center" wrapText="1"/>
    </xf>
    <xf numFmtId="182" fontId="34" fillId="32" borderId="2" xfId="3" applyNumberFormat="1" applyFont="1" applyFill="1" applyBorder="1" applyAlignment="1">
      <alignment horizontal="center" vertical="center"/>
    </xf>
    <xf numFmtId="0" fontId="34" fillId="32" borderId="2" xfId="0" applyFont="1" applyFill="1" applyBorder="1" applyAlignment="1">
      <alignment horizontal="center" vertical="center"/>
    </xf>
    <xf numFmtId="0" fontId="111" fillId="2" borderId="51" xfId="0" applyFont="1" applyFill="1" applyBorder="1" applyAlignment="1">
      <alignment horizontal="right" vertical="center" wrapText="1"/>
    </xf>
    <xf numFmtId="182" fontId="2" fillId="32" borderId="51" xfId="3" applyNumberFormat="1" applyFont="1" applyFill="1" applyBorder="1" applyAlignment="1">
      <alignment horizontal="right" vertical="center"/>
    </xf>
    <xf numFmtId="0" fontId="37" fillId="0" borderId="4" xfId="0" applyFont="1" applyBorder="1" applyAlignment="1">
      <alignment horizontal="right" vertical="center"/>
    </xf>
    <xf numFmtId="0" fontId="32" fillId="0" borderId="4" xfId="0" applyFont="1" applyBorder="1" applyAlignment="1">
      <alignment horizontal="right" vertical="center"/>
    </xf>
    <xf numFmtId="0" fontId="2" fillId="0" borderId="89" xfId="0" applyFont="1" applyBorder="1" applyAlignment="1">
      <alignment horizontal="right" vertical="center"/>
    </xf>
    <xf numFmtId="0" fontId="2" fillId="0" borderId="90" xfId="0" applyFont="1" applyBorder="1" applyAlignment="1">
      <alignment horizontal="right" vertical="center"/>
    </xf>
    <xf numFmtId="0" fontId="170" fillId="0" borderId="14" xfId="0" applyFont="1" applyBorder="1" applyAlignment="1">
      <alignment vertical="center" wrapText="1"/>
    </xf>
    <xf numFmtId="0" fontId="38" fillId="2" borderId="84" xfId="0" applyFont="1" applyFill="1" applyBorder="1" applyAlignment="1">
      <alignment horizontal="right" vertical="center" wrapText="1"/>
    </xf>
    <xf numFmtId="0" fontId="38" fillId="2" borderId="85" xfId="0" applyFont="1" applyFill="1" applyBorder="1" applyAlignment="1">
      <alignment horizontal="right" vertical="center" wrapText="1"/>
    </xf>
    <xf numFmtId="0" fontId="111" fillId="2" borderId="85" xfId="0" applyFont="1" applyFill="1" applyBorder="1" applyAlignment="1">
      <alignment horizontal="right" vertical="center" wrapText="1"/>
    </xf>
    <xf numFmtId="0" fontId="38" fillId="2" borderId="86" xfId="0" applyFont="1" applyFill="1" applyBorder="1" applyAlignment="1">
      <alignment horizontal="right" vertical="center" wrapText="1"/>
    </xf>
    <xf numFmtId="182" fontId="21" fillId="47" borderId="90" xfId="0" applyNumberFormat="1" applyFont="1" applyFill="1" applyBorder="1" applyAlignment="1">
      <alignment horizontal="right" vertical="center"/>
    </xf>
    <xf numFmtId="0" fontId="21" fillId="0" borderId="90" xfId="0" applyFont="1" applyBorder="1" applyAlignment="1">
      <alignment horizontal="right" vertical="center"/>
    </xf>
    <xf numFmtId="0" fontId="21" fillId="0" borderId="91" xfId="0" applyFont="1" applyBorder="1" applyAlignment="1">
      <alignment horizontal="right" vertical="center"/>
    </xf>
    <xf numFmtId="182" fontId="32" fillId="3" borderId="2" xfId="0" applyNumberFormat="1" applyFont="1" applyFill="1" applyBorder="1" applyAlignment="1">
      <alignment horizontal="right" vertical="center"/>
    </xf>
    <xf numFmtId="0" fontId="34" fillId="3" borderId="89" xfId="0" applyFont="1" applyFill="1" applyBorder="1" applyAlignment="1">
      <alignment horizontal="right" vertical="center"/>
    </xf>
    <xf numFmtId="0" fontId="34" fillId="3" borderId="90" xfId="0" applyFont="1" applyFill="1" applyBorder="1" applyAlignment="1">
      <alignment horizontal="right" vertical="center"/>
    </xf>
    <xf numFmtId="182" fontId="34" fillId="3" borderId="92" xfId="0" applyNumberFormat="1" applyFont="1" applyFill="1" applyBorder="1" applyAlignment="1">
      <alignment horizontal="right" vertical="center"/>
    </xf>
    <xf numFmtId="182" fontId="32" fillId="49" borderId="2" xfId="0" applyNumberFormat="1" applyFont="1" applyFill="1" applyBorder="1" applyAlignment="1">
      <alignment horizontal="right" vertical="center"/>
    </xf>
    <xf numFmtId="182" fontId="32" fillId="48" borderId="2" xfId="0" applyNumberFormat="1" applyFont="1" applyFill="1" applyBorder="1" applyAlignment="1">
      <alignment horizontal="right" vertical="center"/>
    </xf>
    <xf numFmtId="182" fontId="32" fillId="48" borderId="3" xfId="0" applyNumberFormat="1" applyFont="1" applyFill="1" applyBorder="1" applyAlignment="1">
      <alignment horizontal="right" vertical="center"/>
    </xf>
    <xf numFmtId="0" fontId="170" fillId="2" borderId="87" xfId="0" applyFont="1" applyFill="1" applyBorder="1" applyAlignment="1">
      <alignment horizontal="right" vertical="center"/>
    </xf>
    <xf numFmtId="0" fontId="4" fillId="2" borderId="87" xfId="0" applyFont="1" applyFill="1" applyBorder="1" applyAlignment="1">
      <alignment horizontal="right" vertical="center"/>
    </xf>
    <xf numFmtId="0" fontId="170" fillId="0" borderId="83" xfId="0" applyFont="1" applyBorder="1" applyAlignment="1">
      <alignment vertical="center" wrapText="1"/>
    </xf>
    <xf numFmtId="0" fontId="170" fillId="0" borderId="4" xfId="0" applyFont="1" applyBorder="1" applyAlignment="1">
      <alignment vertical="center" wrapText="1"/>
    </xf>
    <xf numFmtId="182" fontId="32" fillId="49" borderId="88" xfId="0" applyNumberFormat="1" applyFont="1" applyFill="1" applyBorder="1" applyAlignment="1">
      <alignment horizontal="right" vertical="center"/>
    </xf>
    <xf numFmtId="182" fontId="34" fillId="49" borderId="93" xfId="0" applyNumberFormat="1" applyFont="1" applyFill="1" applyBorder="1" applyAlignment="1">
      <alignment horizontal="right" vertical="center"/>
    </xf>
    <xf numFmtId="182" fontId="21" fillId="0" borderId="90" xfId="0" applyNumberFormat="1" applyFont="1" applyBorder="1" applyAlignment="1">
      <alignment horizontal="right" vertical="center"/>
    </xf>
    <xf numFmtId="182" fontId="34" fillId="49" borderId="92" xfId="0" applyNumberFormat="1" applyFont="1" applyFill="1" applyBorder="1" applyAlignment="1">
      <alignment horizontal="right" vertical="center"/>
    </xf>
    <xf numFmtId="0" fontId="177" fillId="0" borderId="1" xfId="0" applyFont="1" applyBorder="1" applyAlignment="1">
      <alignment horizontal="right" vertical="center" wrapText="1"/>
    </xf>
    <xf numFmtId="14" fontId="95" fillId="0" borderId="2" xfId="1" applyNumberFormat="1" applyFont="1" applyBorder="1" applyAlignment="1">
      <alignment horizontal="left" vertical="center" wrapText="1"/>
    </xf>
    <xf numFmtId="0" fontId="9" fillId="0" borderId="1" xfId="1" applyNumberFormat="1" applyFont="1" applyBorder="1" applyAlignment="1">
      <alignment horizontal="center" vertical="center"/>
    </xf>
    <xf numFmtId="179" fontId="9" fillId="0" borderId="1" xfId="1" applyFont="1" applyBorder="1" applyAlignment="1">
      <alignment horizontal="center" vertical="center"/>
    </xf>
    <xf numFmtId="179" fontId="98" fillId="0" borderId="2" xfId="1" applyFont="1" applyBorder="1" applyAlignment="1">
      <alignment horizontal="center" vertical="center"/>
    </xf>
    <xf numFmtId="0" fontId="95" fillId="0" borderId="2" xfId="1" applyNumberFormat="1" applyFont="1" applyBorder="1" applyAlignment="1">
      <alignment horizontal="left" vertical="center" wrapText="1"/>
    </xf>
    <xf numFmtId="182" fontId="21" fillId="8" borderId="2" xfId="3" applyNumberFormat="1" applyFont="1" applyFill="1" applyBorder="1">
      <alignment vertical="center"/>
    </xf>
    <xf numFmtId="179" fontId="89" fillId="0" borderId="0" xfId="0" applyNumberFormat="1" applyFont="1" applyAlignment="1" applyProtection="1">
      <alignment horizontal="left" vertical="center"/>
      <protection locked="0"/>
    </xf>
    <xf numFmtId="179" fontId="10" fillId="0" borderId="0" xfId="0" applyNumberFormat="1" applyFont="1" applyAlignment="1" applyProtection="1">
      <alignment horizontal="left" vertical="center"/>
      <protection locked="0"/>
    </xf>
    <xf numFmtId="0" fontId="85" fillId="5" borderId="2" xfId="0" applyFont="1" applyFill="1" applyBorder="1" applyAlignment="1" applyProtection="1">
      <alignment horizontal="left" vertical="center"/>
      <protection locked="0"/>
    </xf>
    <xf numFmtId="179" fontId="85" fillId="3" borderId="2" xfId="0" applyNumberFormat="1" applyFont="1" applyFill="1" applyBorder="1" applyAlignment="1" applyProtection="1">
      <alignment horizontal="left" vertical="center"/>
      <protection locked="0"/>
    </xf>
    <xf numFmtId="179" fontId="85" fillId="3" borderId="2" xfId="0" applyNumberFormat="1" applyFont="1" applyFill="1" applyBorder="1" applyAlignment="1" applyProtection="1">
      <alignment horizontal="left" vertical="center" wrapText="1"/>
      <protection locked="0"/>
    </xf>
    <xf numFmtId="0" fontId="85" fillId="3" borderId="2" xfId="0" applyFont="1" applyFill="1" applyBorder="1" applyAlignment="1" applyProtection="1">
      <alignment horizontal="left" vertical="center"/>
      <protection locked="0"/>
    </xf>
    <xf numFmtId="14" fontId="85" fillId="3" borderId="2" xfId="0" applyNumberFormat="1" applyFont="1" applyFill="1" applyBorder="1" applyAlignment="1" applyProtection="1">
      <alignment horizontal="left" vertical="center"/>
      <protection locked="0"/>
    </xf>
    <xf numFmtId="0" fontId="85" fillId="3" borderId="2" xfId="0" applyFont="1" applyFill="1" applyBorder="1" applyAlignment="1" applyProtection="1">
      <alignment horizontal="left" vertical="center" wrapText="1"/>
      <protection locked="0"/>
    </xf>
    <xf numFmtId="179" fontId="85" fillId="4" borderId="2" xfId="0" applyNumberFormat="1" applyFont="1" applyFill="1" applyBorder="1" applyAlignment="1" applyProtection="1">
      <alignment horizontal="left" vertical="center" wrapText="1"/>
      <protection locked="0"/>
    </xf>
    <xf numFmtId="0" fontId="85" fillId="4" borderId="2" xfId="0" applyFont="1" applyFill="1" applyBorder="1" applyAlignment="1" applyProtection="1">
      <alignment horizontal="left" vertical="center" wrapText="1"/>
      <protection locked="0"/>
    </xf>
    <xf numFmtId="179" fontId="84" fillId="2" borderId="2" xfId="0" applyNumberFormat="1" applyFont="1" applyFill="1" applyBorder="1" applyAlignment="1" applyProtection="1">
      <alignment horizontal="left" vertical="center" wrapText="1"/>
      <protection locked="0"/>
    </xf>
    <xf numFmtId="179" fontId="84" fillId="2" borderId="2" xfId="0" applyNumberFormat="1" applyFont="1" applyFill="1" applyBorder="1" applyAlignment="1" applyProtection="1">
      <alignment horizontal="left" vertical="center"/>
      <protection locked="0"/>
    </xf>
    <xf numFmtId="14" fontId="84" fillId="2" borderId="2" xfId="0" applyNumberFormat="1" applyFont="1" applyFill="1" applyBorder="1" applyAlignment="1" applyProtection="1">
      <alignment horizontal="left" vertical="center" wrapText="1"/>
      <protection locked="0"/>
    </xf>
    <xf numFmtId="14" fontId="84" fillId="2" borderId="2" xfId="0" applyNumberFormat="1" applyFont="1" applyFill="1" applyBorder="1" applyAlignment="1" applyProtection="1">
      <alignment horizontal="left" vertical="center"/>
      <protection locked="0"/>
    </xf>
    <xf numFmtId="0" fontId="89" fillId="8" borderId="2" xfId="0" applyFont="1" applyFill="1" applyBorder="1" applyAlignment="1" applyProtection="1">
      <alignment horizontal="left" vertical="center" wrapText="1"/>
      <protection locked="0"/>
    </xf>
    <xf numFmtId="0" fontId="89" fillId="8" borderId="2" xfId="0" applyFont="1" applyFill="1" applyBorder="1" applyAlignment="1" applyProtection="1">
      <alignment horizontal="left" vertical="center"/>
      <protection locked="0"/>
    </xf>
    <xf numFmtId="0" fontId="89" fillId="8" borderId="51" xfId="0" applyFont="1" applyFill="1" applyBorder="1" applyAlignment="1" applyProtection="1">
      <alignment horizontal="left" vertical="center"/>
      <protection locked="0"/>
    </xf>
    <xf numFmtId="179" fontId="84" fillId="2" borderId="4" xfId="0" applyNumberFormat="1" applyFont="1" applyFill="1" applyBorder="1" applyAlignment="1" applyProtection="1">
      <alignment horizontal="left" vertical="center" wrapText="1"/>
      <protection locked="0"/>
    </xf>
    <xf numFmtId="0" fontId="9" fillId="5" borderId="2" xfId="0" applyFont="1" applyFill="1" applyBorder="1" applyAlignment="1" applyProtection="1">
      <alignment horizontal="left" vertical="center"/>
      <protection locked="0"/>
    </xf>
    <xf numFmtId="179" fontId="10" fillId="4" borderId="51" xfId="0" applyNumberFormat="1" applyFont="1" applyFill="1" applyBorder="1" applyAlignment="1" applyProtection="1">
      <alignment horizontal="left" vertical="center"/>
      <protection locked="0"/>
    </xf>
    <xf numFmtId="0" fontId="10" fillId="4" borderId="63" xfId="0" applyFont="1" applyFill="1" applyBorder="1" applyAlignment="1" applyProtection="1">
      <alignment horizontal="left" vertical="center"/>
      <protection locked="0"/>
    </xf>
    <xf numFmtId="179" fontId="10" fillId="4" borderId="4" xfId="0" applyNumberFormat="1" applyFont="1" applyFill="1" applyBorder="1" applyAlignment="1" applyProtection="1">
      <alignment horizontal="left" vertical="center"/>
      <protection locked="0"/>
    </xf>
    <xf numFmtId="179" fontId="10" fillId="4" borderId="2" xfId="0" applyNumberFormat="1" applyFont="1" applyFill="1" applyBorder="1" applyAlignment="1" applyProtection="1">
      <alignment horizontal="left" vertical="center"/>
      <protection locked="0"/>
    </xf>
    <xf numFmtId="0" fontId="10" fillId="4" borderId="2" xfId="0" applyFont="1" applyFill="1" applyBorder="1" applyAlignment="1" applyProtection="1">
      <alignment horizontal="left" vertical="center"/>
      <protection locked="0"/>
    </xf>
    <xf numFmtId="14" fontId="10" fillId="4" borderId="2" xfId="0" applyNumberFormat="1" applyFont="1" applyFill="1" applyBorder="1" applyAlignment="1" applyProtection="1">
      <alignment horizontal="left" vertical="center"/>
      <protection locked="0"/>
    </xf>
    <xf numFmtId="0" fontId="10" fillId="4" borderId="2" xfId="0" applyFont="1" applyFill="1" applyBorder="1" applyAlignment="1" applyProtection="1">
      <alignment horizontal="left" vertical="center" wrapText="1"/>
      <protection locked="0"/>
    </xf>
    <xf numFmtId="179" fontId="9" fillId="4" borderId="2" xfId="0" applyNumberFormat="1" applyFont="1" applyFill="1" applyBorder="1" applyAlignment="1" applyProtection="1">
      <alignment horizontal="left" vertical="center"/>
      <protection locked="0"/>
    </xf>
    <xf numFmtId="14" fontId="89" fillId="4" borderId="2" xfId="0" applyNumberFormat="1" applyFont="1" applyFill="1" applyBorder="1" applyAlignment="1" applyProtection="1">
      <alignment horizontal="left" vertical="center"/>
      <protection locked="0"/>
    </xf>
    <xf numFmtId="14" fontId="11" fillId="4" borderId="2" xfId="0" applyNumberFormat="1" applyFont="1" applyFill="1" applyBorder="1" applyAlignment="1" applyProtection="1">
      <alignment horizontal="left" vertical="center"/>
      <protection locked="0"/>
    </xf>
    <xf numFmtId="179" fontId="89" fillId="4" borderId="2" xfId="0" applyNumberFormat="1" applyFont="1" applyFill="1" applyBorder="1" applyAlignment="1" applyProtection="1">
      <alignment horizontal="left" vertical="center"/>
      <protection locked="0"/>
    </xf>
    <xf numFmtId="0" fontId="10" fillId="0" borderId="2" xfId="0" applyFont="1" applyBorder="1" applyAlignment="1" applyProtection="1">
      <alignment horizontal="left" vertical="center"/>
      <protection locked="0"/>
    </xf>
    <xf numFmtId="0" fontId="10" fillId="0" borderId="51" xfId="0" applyFont="1" applyBorder="1" applyAlignment="1" applyProtection="1">
      <alignment horizontal="left" vertical="center"/>
      <protection locked="0"/>
    </xf>
    <xf numFmtId="0" fontId="10" fillId="4" borderId="62" xfId="0" applyFont="1" applyFill="1" applyBorder="1" applyAlignment="1" applyProtection="1">
      <alignment horizontal="left" vertical="center"/>
      <protection locked="0"/>
    </xf>
    <xf numFmtId="179" fontId="10" fillId="4" borderId="2" xfId="0" quotePrefix="1" applyNumberFormat="1" applyFont="1" applyFill="1" applyBorder="1" applyAlignment="1" applyProtection="1">
      <alignment horizontal="left" vertical="center"/>
      <protection locked="0"/>
    </xf>
    <xf numFmtId="0" fontId="10" fillId="4" borderId="1" xfId="0" applyFont="1" applyFill="1" applyBorder="1" applyAlignment="1" applyProtection="1">
      <alignment horizontal="left" vertical="center"/>
      <protection locked="0"/>
    </xf>
    <xf numFmtId="0" fontId="89" fillId="4" borderId="2" xfId="0" applyFont="1" applyFill="1" applyBorder="1" applyAlignment="1" applyProtection="1">
      <alignment horizontal="left" vertical="center" wrapText="1"/>
      <protection locked="0"/>
    </xf>
    <xf numFmtId="14" fontId="89" fillId="33" borderId="2" xfId="0" applyNumberFormat="1" applyFont="1" applyFill="1" applyBorder="1" applyAlignment="1" applyProtection="1">
      <alignment horizontal="left" vertical="center"/>
      <protection locked="0"/>
    </xf>
    <xf numFmtId="14" fontId="11" fillId="33" borderId="2" xfId="0" applyNumberFormat="1" applyFont="1" applyFill="1" applyBorder="1" applyAlignment="1" applyProtection="1">
      <alignment horizontal="left" vertical="center"/>
      <protection locked="0"/>
    </xf>
    <xf numFmtId="179" fontId="89" fillId="33" borderId="2" xfId="0" applyNumberFormat="1" applyFont="1" applyFill="1" applyBorder="1" applyAlignment="1" applyProtection="1">
      <alignment horizontal="left" vertical="center"/>
      <protection locked="0"/>
    </xf>
    <xf numFmtId="179" fontId="10" fillId="0" borderId="4" xfId="0" applyNumberFormat="1" applyFont="1" applyBorder="1" applyAlignment="1" applyProtection="1">
      <alignment horizontal="left" vertical="center"/>
      <protection locked="0"/>
    </xf>
    <xf numFmtId="179" fontId="10" fillId="0" borderId="2" xfId="0" applyNumberFormat="1" applyFont="1" applyBorder="1" applyAlignment="1" applyProtection="1">
      <alignment horizontal="left" vertical="center"/>
      <protection locked="0"/>
    </xf>
    <xf numFmtId="179" fontId="10" fillId="14" borderId="4" xfId="0" applyNumberFormat="1" applyFont="1" applyFill="1" applyBorder="1" applyAlignment="1" applyProtection="1">
      <alignment horizontal="left" vertical="center"/>
      <protection locked="0"/>
    </xf>
    <xf numFmtId="0" fontId="10" fillId="4" borderId="3" xfId="0" applyFont="1" applyFill="1" applyBorder="1" applyAlignment="1" applyProtection="1">
      <alignment horizontal="left" vertical="center"/>
      <protection locked="0"/>
    </xf>
    <xf numFmtId="179" fontId="14" fillId="4" borderId="2" xfId="0" applyNumberFormat="1" applyFont="1" applyFill="1" applyBorder="1" applyAlignment="1" applyProtection="1">
      <alignment horizontal="left" vertical="center"/>
      <protection locked="0"/>
    </xf>
    <xf numFmtId="179" fontId="89" fillId="4" borderId="2" xfId="0" applyNumberFormat="1" applyFont="1" applyFill="1" applyBorder="1" applyAlignment="1" applyProtection="1">
      <alignment horizontal="left" vertical="center" indent="1"/>
      <protection locked="0"/>
    </xf>
    <xf numFmtId="179" fontId="14" fillId="32" borderId="0" xfId="0" applyNumberFormat="1" applyFont="1" applyFill="1" applyAlignment="1" applyProtection="1">
      <alignment horizontal="left" vertical="center"/>
      <protection locked="0"/>
    </xf>
    <xf numFmtId="0" fontId="14" fillId="4" borderId="2" xfId="0" applyFont="1" applyFill="1" applyBorder="1" applyAlignment="1" applyProtection="1">
      <alignment horizontal="left" vertical="center" wrapText="1"/>
      <protection locked="0"/>
    </xf>
    <xf numFmtId="179" fontId="14" fillId="0" borderId="0" xfId="0" applyNumberFormat="1" applyFont="1" applyAlignment="1" applyProtection="1">
      <alignment horizontal="left" vertical="center"/>
      <protection locked="0"/>
    </xf>
    <xf numFmtId="0" fontId="14" fillId="4" borderId="2" xfId="0" applyFont="1" applyFill="1" applyBorder="1" applyAlignment="1" applyProtection="1">
      <alignment horizontal="left" vertical="center"/>
      <protection locked="0"/>
    </xf>
    <xf numFmtId="14" fontId="14" fillId="4" borderId="2" xfId="0" applyNumberFormat="1" applyFont="1" applyFill="1" applyBorder="1" applyAlignment="1" applyProtection="1">
      <alignment horizontal="left" vertical="center"/>
      <protection locked="0"/>
    </xf>
    <xf numFmtId="179" fontId="11" fillId="4" borderId="2" xfId="0" applyNumberFormat="1" applyFont="1" applyFill="1" applyBorder="1" applyAlignment="1" applyProtection="1">
      <alignment horizontal="left" vertical="center"/>
      <protection locked="0"/>
    </xf>
    <xf numFmtId="0" fontId="14" fillId="0" borderId="2" xfId="0" applyFont="1" applyBorder="1" applyAlignment="1" applyProtection="1">
      <alignment horizontal="left" vertical="center"/>
      <protection locked="0"/>
    </xf>
    <xf numFmtId="0" fontId="14" fillId="0" borderId="51" xfId="0" applyFont="1" applyBorder="1" applyAlignment="1" applyProtection="1">
      <alignment horizontal="left" vertical="center"/>
      <protection locked="0"/>
    </xf>
    <xf numFmtId="179" fontId="10" fillId="14" borderId="0" xfId="0" applyNumberFormat="1" applyFont="1" applyFill="1" applyAlignment="1" applyProtection="1">
      <alignment horizontal="left" vertical="center"/>
      <protection locked="0"/>
    </xf>
    <xf numFmtId="14" fontId="89" fillId="0" borderId="2" xfId="0" applyNumberFormat="1" applyFont="1" applyBorder="1" applyAlignment="1" applyProtection="1">
      <alignment horizontal="left" vertical="center"/>
      <protection locked="0"/>
    </xf>
    <xf numFmtId="14" fontId="11" fillId="0" borderId="2" xfId="0" applyNumberFormat="1" applyFont="1" applyBorder="1" applyAlignment="1" applyProtection="1">
      <alignment horizontal="left" vertical="center"/>
      <protection locked="0"/>
    </xf>
    <xf numFmtId="179" fontId="89" fillId="0" borderId="2" xfId="0" applyNumberFormat="1" applyFont="1" applyBorder="1" applyAlignment="1" applyProtection="1">
      <alignment horizontal="left" vertical="center"/>
      <protection locked="0"/>
    </xf>
    <xf numFmtId="179" fontId="10" fillId="32" borderId="0" xfId="0" applyNumberFormat="1" applyFont="1" applyFill="1" applyAlignment="1" applyProtection="1">
      <alignment horizontal="left" vertical="center"/>
      <protection locked="0"/>
    </xf>
    <xf numFmtId="0" fontId="9" fillId="4" borderId="2" xfId="0" applyFont="1" applyFill="1" applyBorder="1" applyAlignment="1" applyProtection="1">
      <alignment horizontal="left" vertical="center"/>
      <protection locked="0"/>
    </xf>
    <xf numFmtId="0" fontId="9" fillId="4" borderId="4" xfId="0" applyFont="1" applyFill="1" applyBorder="1" applyAlignment="1" applyProtection="1">
      <alignment horizontal="left" vertical="center"/>
      <protection locked="0"/>
    </xf>
    <xf numFmtId="0" fontId="9" fillId="14" borderId="2" xfId="0" applyFont="1" applyFill="1" applyBorder="1" applyAlignment="1" applyProtection="1">
      <alignment horizontal="left" vertical="center"/>
      <protection locked="0"/>
    </xf>
    <xf numFmtId="179" fontId="10" fillId="14" borderId="51" xfId="0" applyNumberFormat="1" applyFont="1" applyFill="1" applyBorder="1" applyAlignment="1" applyProtection="1">
      <alignment horizontal="left" vertical="center"/>
      <protection locked="0"/>
    </xf>
    <xf numFmtId="0" fontId="10" fillId="4" borderId="4" xfId="0" applyFont="1" applyFill="1" applyBorder="1" applyAlignment="1" applyProtection="1">
      <alignment horizontal="left" vertical="center"/>
      <protection locked="0"/>
    </xf>
    <xf numFmtId="179" fontId="10" fillId="14" borderId="2" xfId="0" applyNumberFormat="1" applyFont="1" applyFill="1" applyBorder="1" applyAlignment="1" applyProtection="1">
      <alignment horizontal="left" vertical="center"/>
      <protection locked="0"/>
    </xf>
    <xf numFmtId="0" fontId="10" fillId="14" borderId="2" xfId="0" applyFont="1" applyFill="1" applyBorder="1" applyAlignment="1" applyProtection="1">
      <alignment horizontal="left" vertical="center" wrapText="1"/>
      <protection locked="0"/>
    </xf>
    <xf numFmtId="0" fontId="10" fillId="14" borderId="2" xfId="0" applyFont="1" applyFill="1" applyBorder="1" applyAlignment="1" applyProtection="1">
      <alignment horizontal="left" vertical="center"/>
      <protection locked="0"/>
    </xf>
    <xf numFmtId="14" fontId="10" fillId="14" borderId="2" xfId="0" applyNumberFormat="1" applyFont="1" applyFill="1" applyBorder="1" applyAlignment="1" applyProtection="1">
      <alignment horizontal="left" vertical="center"/>
      <protection locked="0"/>
    </xf>
    <xf numFmtId="179" fontId="9" fillId="14" borderId="2" xfId="0" applyNumberFormat="1" applyFont="1" applyFill="1" applyBorder="1" applyAlignment="1" applyProtection="1">
      <alignment horizontal="left" vertical="center"/>
      <protection locked="0"/>
    </xf>
    <xf numFmtId="14" fontId="89" fillId="14" borderId="2" xfId="0" applyNumberFormat="1" applyFont="1" applyFill="1" applyBorder="1" applyAlignment="1" applyProtection="1">
      <alignment horizontal="left" vertical="center"/>
      <protection locked="0"/>
    </xf>
    <xf numFmtId="14" fontId="11" fillId="14" borderId="2" xfId="0" applyNumberFormat="1" applyFont="1" applyFill="1" applyBorder="1" applyAlignment="1" applyProtection="1">
      <alignment horizontal="left" vertical="center"/>
      <protection locked="0"/>
    </xf>
    <xf numFmtId="179" fontId="89" fillId="14" borderId="2" xfId="0" applyNumberFormat="1" applyFont="1" applyFill="1" applyBorder="1" applyAlignment="1" applyProtection="1">
      <alignment horizontal="left" vertical="center"/>
      <protection locked="0"/>
    </xf>
    <xf numFmtId="0" fontId="10" fillId="14" borderId="51" xfId="0" applyFont="1" applyFill="1" applyBorder="1" applyAlignment="1" applyProtection="1">
      <alignment horizontal="left" vertical="center"/>
      <protection locked="0"/>
    </xf>
    <xf numFmtId="0" fontId="93" fillId="4" borderId="2" xfId="0" applyFont="1" applyFill="1" applyBorder="1" applyAlignment="1" applyProtection="1">
      <alignment horizontal="left" vertical="center" wrapText="1"/>
      <protection locked="0"/>
    </xf>
    <xf numFmtId="179" fontId="10" fillId="4" borderId="0" xfId="0" applyNumberFormat="1" applyFont="1" applyFill="1" applyAlignment="1" applyProtection="1">
      <alignment horizontal="left" vertical="center"/>
      <protection locked="0"/>
    </xf>
    <xf numFmtId="0" fontId="88" fillId="4" borderId="2" xfId="0" applyFont="1" applyFill="1" applyBorder="1" applyAlignment="1" applyProtection="1">
      <alignment horizontal="left" vertical="center" wrapText="1"/>
      <protection locked="0"/>
    </xf>
    <xf numFmtId="0" fontId="26" fillId="4" borderId="2" xfId="0" applyFont="1" applyFill="1" applyBorder="1" applyAlignment="1" applyProtection="1">
      <alignment horizontal="left" vertical="center"/>
      <protection locked="0"/>
    </xf>
    <xf numFmtId="0" fontId="26" fillId="4" borderId="4" xfId="0" applyFont="1" applyFill="1" applyBorder="1" applyAlignment="1" applyProtection="1">
      <alignment horizontal="left" vertical="center"/>
      <protection locked="0"/>
    </xf>
    <xf numFmtId="0" fontId="11" fillId="4" borderId="2" xfId="0" applyFont="1" applyFill="1" applyBorder="1" applyAlignment="1" applyProtection="1">
      <alignment horizontal="left" vertical="center" wrapText="1"/>
      <protection locked="0"/>
    </xf>
    <xf numFmtId="179" fontId="26" fillId="4" borderId="2" xfId="0" applyNumberFormat="1" applyFont="1" applyFill="1" applyBorder="1" applyAlignment="1" applyProtection="1">
      <alignment horizontal="left" vertical="center"/>
      <protection locked="0"/>
    </xf>
    <xf numFmtId="0" fontId="14" fillId="32" borderId="2" xfId="0" applyFont="1" applyFill="1" applyBorder="1" applyAlignment="1" applyProtection="1">
      <alignment horizontal="left" vertical="center"/>
      <protection locked="0"/>
    </xf>
    <xf numFmtId="0" fontId="14" fillId="32" borderId="51" xfId="0" applyFont="1" applyFill="1" applyBorder="1" applyAlignment="1" applyProtection="1">
      <alignment horizontal="left" vertical="center"/>
      <protection locked="0"/>
    </xf>
    <xf numFmtId="0" fontId="9" fillId="4" borderId="14" xfId="0" applyFont="1" applyFill="1" applyBorder="1" applyAlignment="1" applyProtection="1">
      <alignment horizontal="left" vertical="center"/>
      <protection locked="0"/>
    </xf>
    <xf numFmtId="0" fontId="9" fillId="4" borderId="61" xfId="0" applyFont="1" applyFill="1" applyBorder="1" applyAlignment="1" applyProtection="1">
      <alignment horizontal="left" vertical="center"/>
      <protection locked="0"/>
    </xf>
    <xf numFmtId="0" fontId="9" fillId="4" borderId="62" xfId="0" applyFont="1" applyFill="1" applyBorder="1" applyAlignment="1" applyProtection="1">
      <alignment horizontal="left" vertical="center"/>
      <protection locked="0"/>
    </xf>
    <xf numFmtId="0" fontId="9" fillId="4" borderId="63" xfId="0" applyFont="1" applyFill="1" applyBorder="1" applyAlignment="1" applyProtection="1">
      <alignment horizontal="left" vertical="center"/>
      <protection locked="0"/>
    </xf>
    <xf numFmtId="0" fontId="9" fillId="4" borderId="17" xfId="0" applyFont="1" applyFill="1" applyBorder="1" applyAlignment="1" applyProtection="1">
      <alignment horizontal="left" vertical="center"/>
      <protection locked="0"/>
    </xf>
    <xf numFmtId="0" fontId="10" fillId="4" borderId="51" xfId="0" applyFont="1" applyFill="1" applyBorder="1" applyAlignment="1" applyProtection="1">
      <alignment horizontal="left" vertical="center"/>
      <protection locked="0"/>
    </xf>
    <xf numFmtId="0" fontId="10" fillId="33" borderId="2" xfId="0" applyFont="1" applyFill="1" applyBorder="1" applyAlignment="1" applyProtection="1">
      <alignment horizontal="left" vertical="center"/>
      <protection locked="0"/>
    </xf>
    <xf numFmtId="0" fontId="9" fillId="4" borderId="64" xfId="0" applyFont="1" applyFill="1" applyBorder="1" applyAlignment="1" applyProtection="1">
      <alignment horizontal="left" vertical="center"/>
      <protection locked="0"/>
    </xf>
    <xf numFmtId="179" fontId="10" fillId="4" borderId="17" xfId="0" applyNumberFormat="1" applyFont="1" applyFill="1" applyBorder="1" applyAlignment="1" applyProtection="1">
      <alignment horizontal="left" vertical="center"/>
      <protection locked="0"/>
    </xf>
    <xf numFmtId="0" fontId="10" fillId="32" borderId="2" xfId="0" applyFont="1" applyFill="1" applyBorder="1" applyAlignment="1" applyProtection="1">
      <alignment horizontal="left" vertical="center"/>
      <protection locked="0"/>
    </xf>
    <xf numFmtId="0" fontId="10" fillId="32" borderId="51" xfId="0" applyFont="1" applyFill="1" applyBorder="1" applyAlignment="1" applyProtection="1">
      <alignment horizontal="left" vertical="center"/>
      <protection locked="0"/>
    </xf>
    <xf numFmtId="179" fontId="10" fillId="33" borderId="2" xfId="0" applyNumberFormat="1" applyFont="1" applyFill="1" applyBorder="1" applyAlignment="1" applyProtection="1">
      <alignment horizontal="left" vertical="center"/>
      <protection locked="0"/>
    </xf>
    <xf numFmtId="179" fontId="10" fillId="8" borderId="2" xfId="0" applyNumberFormat="1" applyFont="1" applyFill="1" applyBorder="1" applyAlignment="1" applyProtection="1">
      <alignment horizontal="left" vertical="center"/>
      <protection locked="0"/>
    </xf>
    <xf numFmtId="0" fontId="10" fillId="8" borderId="2" xfId="0" applyFont="1" applyFill="1" applyBorder="1" applyAlignment="1" applyProtection="1">
      <alignment horizontal="left" vertical="center"/>
      <protection locked="0"/>
    </xf>
    <xf numFmtId="14" fontId="10" fillId="8" borderId="2" xfId="0" applyNumberFormat="1" applyFont="1" applyFill="1" applyBorder="1" applyAlignment="1" applyProtection="1">
      <alignment horizontal="left" vertical="center"/>
      <protection locked="0"/>
    </xf>
    <xf numFmtId="14" fontId="89" fillId="32" borderId="2" xfId="0" applyNumberFormat="1" applyFont="1" applyFill="1" applyBorder="1" applyAlignment="1" applyProtection="1">
      <alignment horizontal="left" vertical="center"/>
      <protection locked="0"/>
    </xf>
    <xf numFmtId="14" fontId="11" fillId="32" borderId="2" xfId="0" applyNumberFormat="1" applyFont="1" applyFill="1" applyBorder="1" applyAlignment="1" applyProtection="1">
      <alignment horizontal="left" vertical="center"/>
      <protection locked="0"/>
    </xf>
    <xf numFmtId="179" fontId="89" fillId="32" borderId="2" xfId="0" applyNumberFormat="1" applyFont="1" applyFill="1" applyBorder="1" applyAlignment="1" applyProtection="1">
      <alignment horizontal="left" vertical="center"/>
      <protection locked="0"/>
    </xf>
    <xf numFmtId="0" fontId="10" fillId="4" borderId="0" xfId="0" applyFont="1" applyFill="1" applyAlignment="1" applyProtection="1">
      <alignment horizontal="left" vertical="center"/>
      <protection locked="0"/>
    </xf>
    <xf numFmtId="0" fontId="88" fillId="8" borderId="2" xfId="0" applyFont="1" applyFill="1" applyBorder="1" applyAlignment="1" applyProtection="1">
      <alignment horizontal="left" vertical="center" wrapText="1"/>
      <protection locked="0"/>
    </xf>
    <xf numFmtId="0" fontId="10" fillId="0" borderId="0" xfId="0" applyFont="1" applyAlignment="1" applyProtection="1">
      <alignment horizontal="left" vertical="center"/>
      <protection locked="0"/>
    </xf>
    <xf numFmtId="0" fontId="9" fillId="4" borderId="65" xfId="0" applyFont="1" applyFill="1" applyBorder="1" applyAlignment="1" applyProtection="1">
      <alignment horizontal="left" vertical="center"/>
      <protection locked="0"/>
    </xf>
    <xf numFmtId="0" fontId="9" fillId="4" borderId="3" xfId="0" applyFont="1" applyFill="1" applyBorder="1" applyAlignment="1" applyProtection="1">
      <alignment horizontal="left" vertical="center"/>
      <protection locked="0"/>
    </xf>
    <xf numFmtId="0" fontId="9" fillId="4" borderId="1" xfId="0" applyFont="1" applyFill="1" applyBorder="1" applyAlignment="1" applyProtection="1">
      <alignment horizontal="left" vertical="center"/>
      <protection locked="0"/>
    </xf>
    <xf numFmtId="179" fontId="10" fillId="4" borderId="14" xfId="0" applyNumberFormat="1" applyFont="1" applyFill="1" applyBorder="1" applyAlignment="1" applyProtection="1">
      <alignment horizontal="left" vertical="center"/>
      <protection locked="0"/>
    </xf>
    <xf numFmtId="179" fontId="10" fillId="4" borderId="1" xfId="0" applyNumberFormat="1" applyFont="1" applyFill="1" applyBorder="1" applyAlignment="1" applyProtection="1">
      <alignment horizontal="left" vertical="center"/>
      <protection locked="0"/>
    </xf>
    <xf numFmtId="179" fontId="10" fillId="0" borderId="16" xfId="0" applyNumberFormat="1" applyFont="1" applyBorder="1" applyAlignment="1" applyProtection="1">
      <alignment horizontal="left" vertical="center"/>
      <protection locked="0"/>
    </xf>
    <xf numFmtId="179" fontId="10" fillId="4" borderId="3" xfId="0" applyNumberFormat="1" applyFont="1" applyFill="1" applyBorder="1" applyAlignment="1" applyProtection="1">
      <alignment horizontal="left" vertical="center"/>
      <protection locked="0"/>
    </xf>
    <xf numFmtId="14" fontId="10" fillId="4" borderId="3" xfId="0" applyNumberFormat="1" applyFont="1" applyFill="1" applyBorder="1" applyAlignment="1" applyProtection="1">
      <alignment horizontal="left" vertical="center"/>
      <protection locked="0"/>
    </xf>
    <xf numFmtId="179" fontId="9" fillId="4" borderId="3" xfId="0" applyNumberFormat="1" applyFont="1" applyFill="1" applyBorder="1" applyAlignment="1" applyProtection="1">
      <alignment horizontal="left" vertical="center"/>
      <protection locked="0"/>
    </xf>
    <xf numFmtId="14" fontId="89" fillId="0" borderId="3" xfId="0" applyNumberFormat="1" applyFont="1" applyBorder="1" applyAlignment="1" applyProtection="1">
      <alignment horizontal="left" vertical="center"/>
      <protection locked="0"/>
    </xf>
    <xf numFmtId="14" fontId="11" fillId="0" borderId="3" xfId="0" applyNumberFormat="1" applyFont="1" applyBorder="1" applyAlignment="1" applyProtection="1">
      <alignment horizontal="left" vertical="center"/>
      <protection locked="0"/>
    </xf>
    <xf numFmtId="179" fontId="89" fillId="0" borderId="3" xfId="0" applyNumberFormat="1" applyFont="1" applyBorder="1" applyAlignment="1" applyProtection="1">
      <alignment horizontal="left" vertical="center"/>
      <protection locked="0"/>
    </xf>
    <xf numFmtId="0" fontId="10" fillId="0" borderId="3" xfId="0" applyFont="1" applyBorder="1" applyAlignment="1" applyProtection="1">
      <alignment horizontal="left" vertical="center"/>
      <protection locked="0"/>
    </xf>
    <xf numFmtId="0" fontId="10" fillId="0" borderId="15" xfId="0" applyFont="1" applyBorder="1" applyAlignment="1" applyProtection="1">
      <alignment horizontal="left" vertical="center"/>
      <protection locked="0"/>
    </xf>
    <xf numFmtId="14" fontId="10" fillId="4" borderId="1" xfId="0" applyNumberFormat="1" applyFont="1" applyFill="1" applyBorder="1" applyAlignment="1" applyProtection="1">
      <alignment horizontal="left" vertical="center"/>
      <protection locked="0"/>
    </xf>
    <xf numFmtId="179" fontId="9" fillId="4" borderId="1" xfId="0" applyNumberFormat="1" applyFont="1" applyFill="1" applyBorder="1" applyAlignment="1" applyProtection="1">
      <alignment horizontal="left" vertical="center"/>
      <protection locked="0"/>
    </xf>
    <xf numFmtId="14" fontId="89" fillId="0" borderId="1" xfId="0" applyNumberFormat="1" applyFont="1" applyBorder="1" applyAlignment="1" applyProtection="1">
      <alignment horizontal="left" vertical="center"/>
      <protection locked="0"/>
    </xf>
    <xf numFmtId="14" fontId="11" fillId="0" borderId="1" xfId="0" applyNumberFormat="1" applyFont="1" applyBorder="1" applyAlignment="1" applyProtection="1">
      <alignment horizontal="left" vertical="center"/>
      <protection locked="0"/>
    </xf>
    <xf numFmtId="179" fontId="89" fillId="0" borderId="1" xfId="0" applyNumberFormat="1" applyFont="1" applyBorder="1" applyAlignment="1" applyProtection="1">
      <alignment horizontal="left" vertical="center"/>
      <protection locked="0"/>
    </xf>
    <xf numFmtId="0" fontId="10" fillId="0" borderId="1" xfId="0" applyFont="1" applyBorder="1" applyAlignment="1" applyProtection="1">
      <alignment horizontal="left" vertical="center"/>
      <protection locked="0"/>
    </xf>
    <xf numFmtId="0" fontId="10" fillId="0" borderId="13" xfId="0" applyFont="1" applyBorder="1" applyAlignment="1" applyProtection="1">
      <alignment horizontal="left" vertical="center"/>
      <protection locked="0"/>
    </xf>
    <xf numFmtId="179" fontId="10" fillId="4" borderId="13" xfId="0" applyNumberFormat="1" applyFont="1" applyFill="1" applyBorder="1" applyAlignment="1" applyProtection="1">
      <alignment horizontal="left" vertical="center"/>
      <protection locked="0"/>
    </xf>
    <xf numFmtId="0" fontId="89" fillId="4" borderId="1" xfId="0" applyFont="1" applyFill="1" applyBorder="1" applyAlignment="1" applyProtection="1">
      <alignment horizontal="left" vertical="center" wrapText="1"/>
      <protection locked="0"/>
    </xf>
    <xf numFmtId="14" fontId="89" fillId="4" borderId="1" xfId="0" applyNumberFormat="1" applyFont="1" applyFill="1" applyBorder="1" applyAlignment="1" applyProtection="1">
      <alignment horizontal="left" vertical="center"/>
      <protection locked="0"/>
    </xf>
    <xf numFmtId="14" fontId="11" fillId="4" borderId="1" xfId="0" applyNumberFormat="1" applyFont="1" applyFill="1" applyBorder="1" applyAlignment="1" applyProtection="1">
      <alignment horizontal="left" vertical="center"/>
      <protection locked="0"/>
    </xf>
    <xf numFmtId="179" fontId="89" fillId="4" borderId="1" xfId="0" applyNumberFormat="1" applyFont="1" applyFill="1" applyBorder="1" applyAlignment="1" applyProtection="1">
      <alignment horizontal="left" vertical="center"/>
      <protection locked="0"/>
    </xf>
    <xf numFmtId="14" fontId="89" fillId="8" borderId="1" xfId="0" applyNumberFormat="1" applyFont="1" applyFill="1" applyBorder="1" applyAlignment="1" applyProtection="1">
      <alignment horizontal="left" vertical="center"/>
      <protection locked="0"/>
    </xf>
    <xf numFmtId="14" fontId="11" fillId="8" borderId="1" xfId="0" applyNumberFormat="1" applyFont="1" applyFill="1" applyBorder="1" applyAlignment="1" applyProtection="1">
      <alignment horizontal="left" vertical="center"/>
      <protection locked="0"/>
    </xf>
    <xf numFmtId="179" fontId="89" fillId="8" borderId="1" xfId="0" applyNumberFormat="1" applyFont="1" applyFill="1" applyBorder="1" applyAlignment="1" applyProtection="1">
      <alignment horizontal="left" vertical="center"/>
      <protection locked="0"/>
    </xf>
    <xf numFmtId="179" fontId="14" fillId="4" borderId="13" xfId="0" applyNumberFormat="1" applyFont="1" applyFill="1" applyBorder="1" applyAlignment="1" applyProtection="1">
      <alignment horizontal="left" vertical="center"/>
      <protection locked="0"/>
    </xf>
    <xf numFmtId="179" fontId="14" fillId="4" borderId="1" xfId="0" applyNumberFormat="1" applyFont="1" applyFill="1" applyBorder="1" applyAlignment="1" applyProtection="1">
      <alignment horizontal="left" vertical="center"/>
      <protection locked="0"/>
    </xf>
    <xf numFmtId="0" fontId="14" fillId="4" borderId="1" xfId="0" applyFont="1" applyFill="1" applyBorder="1" applyAlignment="1" applyProtection="1">
      <alignment horizontal="left" vertical="center"/>
      <protection locked="0"/>
    </xf>
    <xf numFmtId="14" fontId="14" fillId="4" borderId="1" xfId="0" applyNumberFormat="1" applyFont="1" applyFill="1" applyBorder="1" applyAlignment="1" applyProtection="1">
      <alignment horizontal="left" vertical="center"/>
      <protection locked="0"/>
    </xf>
    <xf numFmtId="0" fontId="11" fillId="4" borderId="1" xfId="0" applyFont="1" applyFill="1" applyBorder="1" applyAlignment="1" applyProtection="1">
      <alignment horizontal="left" vertical="center" wrapText="1"/>
      <protection locked="0"/>
    </xf>
    <xf numFmtId="179" fontId="11" fillId="4" borderId="1" xfId="0" applyNumberFormat="1" applyFont="1" applyFill="1" applyBorder="1" applyAlignment="1" applyProtection="1">
      <alignment horizontal="left" vertical="center"/>
      <protection locked="0"/>
    </xf>
    <xf numFmtId="0" fontId="88" fillId="4" borderId="1" xfId="0" applyFont="1" applyFill="1" applyBorder="1" applyAlignment="1" applyProtection="1">
      <alignment horizontal="left" vertical="center" wrapText="1"/>
      <protection locked="0"/>
    </xf>
    <xf numFmtId="0" fontId="10" fillId="4" borderId="13" xfId="0" applyFont="1" applyFill="1" applyBorder="1" applyAlignment="1" applyProtection="1">
      <alignment horizontal="left" vertical="center"/>
      <protection locked="0"/>
    </xf>
    <xf numFmtId="0" fontId="9" fillId="4" borderId="70" xfId="0" applyFont="1" applyFill="1" applyBorder="1" applyAlignment="1" applyProtection="1">
      <alignment horizontal="left" vertical="center"/>
      <protection locked="0"/>
    </xf>
    <xf numFmtId="179" fontId="10" fillId="4" borderId="6" xfId="0" applyNumberFormat="1" applyFont="1" applyFill="1" applyBorder="1" applyAlignment="1" applyProtection="1">
      <alignment horizontal="left" vertical="center"/>
      <protection locked="0"/>
    </xf>
    <xf numFmtId="179" fontId="10" fillId="4" borderId="71" xfId="0" applyNumberFormat="1" applyFont="1" applyFill="1" applyBorder="1" applyAlignment="1" applyProtection="1">
      <alignment horizontal="left" vertical="center"/>
      <protection locked="0"/>
    </xf>
    <xf numFmtId="179" fontId="10" fillId="4" borderId="72" xfId="0" applyNumberFormat="1" applyFont="1" applyFill="1" applyBorder="1" applyAlignment="1" applyProtection="1">
      <alignment horizontal="left" vertical="center"/>
      <protection locked="0"/>
    </xf>
    <xf numFmtId="0" fontId="10" fillId="4" borderId="14" xfId="0" applyFont="1" applyFill="1" applyBorder="1" applyAlignment="1" applyProtection="1">
      <alignment horizontal="left" vertical="center"/>
      <protection locked="0"/>
    </xf>
    <xf numFmtId="0" fontId="9" fillId="4" borderId="67" xfId="0" applyFont="1" applyFill="1" applyBorder="1" applyAlignment="1" applyProtection="1">
      <alignment horizontal="left" vertical="center"/>
      <protection locked="0"/>
    </xf>
    <xf numFmtId="179" fontId="10" fillId="4" borderId="68" xfId="0" applyNumberFormat="1" applyFont="1" applyFill="1" applyBorder="1" applyAlignment="1" applyProtection="1">
      <alignment horizontal="left" vertical="center"/>
      <protection locked="0"/>
    </xf>
    <xf numFmtId="0" fontId="9" fillId="4" borderId="10" xfId="0" applyFont="1" applyFill="1" applyBorder="1" applyAlignment="1" applyProtection="1">
      <alignment horizontal="left" vertical="center"/>
      <protection locked="0"/>
    </xf>
    <xf numFmtId="179" fontId="10" fillId="4" borderId="11" xfId="0" applyNumberFormat="1" applyFont="1" applyFill="1" applyBorder="1" applyAlignment="1" applyProtection="1">
      <alignment horizontal="left" vertical="center"/>
      <protection locked="0"/>
    </xf>
    <xf numFmtId="179" fontId="10" fillId="4" borderId="12" xfId="0" applyNumberFormat="1" applyFont="1" applyFill="1" applyBorder="1" applyAlignment="1" applyProtection="1">
      <alignment horizontal="left" vertical="center"/>
      <protection locked="0"/>
    </xf>
    <xf numFmtId="0" fontId="9" fillId="4" borderId="20" xfId="0" applyFont="1" applyFill="1" applyBorder="1" applyAlignment="1" applyProtection="1">
      <alignment horizontal="left" vertical="center"/>
      <protection locked="0"/>
    </xf>
    <xf numFmtId="179" fontId="10" fillId="4" borderId="69" xfId="0" applyNumberFormat="1" applyFont="1" applyFill="1" applyBorder="1" applyAlignment="1" applyProtection="1">
      <alignment horizontal="left" vertical="center"/>
      <protection locked="0"/>
    </xf>
    <xf numFmtId="179" fontId="10" fillId="4" borderId="20" xfId="0" applyNumberFormat="1" applyFont="1" applyFill="1" applyBorder="1" applyAlignment="1" applyProtection="1">
      <alignment horizontal="left" vertical="center"/>
      <protection locked="0"/>
    </xf>
    <xf numFmtId="0" fontId="10" fillId="4" borderId="20" xfId="0" applyFont="1" applyFill="1" applyBorder="1" applyAlignment="1" applyProtection="1">
      <alignment horizontal="left" vertical="center"/>
      <protection locked="0"/>
    </xf>
    <xf numFmtId="0" fontId="9" fillId="4" borderId="13" xfId="0" applyFont="1" applyFill="1" applyBorder="1" applyAlignment="1" applyProtection="1">
      <alignment horizontal="left" vertical="center"/>
      <protection locked="0"/>
    </xf>
    <xf numFmtId="179" fontId="10" fillId="4" borderId="70" xfId="0" applyNumberFormat="1" applyFont="1" applyFill="1" applyBorder="1" applyAlignment="1" applyProtection="1">
      <alignment horizontal="left" vertical="center"/>
      <protection locked="0"/>
    </xf>
    <xf numFmtId="0" fontId="10" fillId="4" borderId="72" xfId="0" applyFont="1" applyFill="1" applyBorder="1" applyAlignment="1" applyProtection="1">
      <alignment horizontal="left" vertical="center"/>
      <protection locked="0"/>
    </xf>
    <xf numFmtId="179" fontId="10" fillId="4" borderId="67" xfId="0" applyNumberFormat="1" applyFont="1" applyFill="1" applyBorder="1" applyAlignment="1" applyProtection="1">
      <alignment horizontal="left" vertical="center"/>
      <protection locked="0"/>
    </xf>
    <xf numFmtId="0" fontId="10" fillId="4" borderId="68" xfId="0" applyFont="1" applyFill="1" applyBorder="1" applyAlignment="1" applyProtection="1">
      <alignment horizontal="left" vertical="center"/>
      <protection locked="0"/>
    </xf>
    <xf numFmtId="179" fontId="10" fillId="4" borderId="10" xfId="0" applyNumberFormat="1" applyFont="1" applyFill="1" applyBorder="1" applyAlignment="1" applyProtection="1">
      <alignment horizontal="left" vertical="center"/>
      <protection locked="0"/>
    </xf>
    <xf numFmtId="0" fontId="10" fillId="4" borderId="12" xfId="0" applyFont="1" applyFill="1" applyBorder="1" applyAlignment="1" applyProtection="1">
      <alignment horizontal="left" vertical="center"/>
      <protection locked="0"/>
    </xf>
    <xf numFmtId="179" fontId="10" fillId="4" borderId="5" xfId="0" applyNumberFormat="1" applyFont="1" applyFill="1" applyBorder="1" applyAlignment="1" applyProtection="1">
      <alignment horizontal="left" vertical="center"/>
      <protection locked="0"/>
    </xf>
    <xf numFmtId="179" fontId="10" fillId="4" borderId="8" xfId="0" applyNumberFormat="1" applyFont="1" applyFill="1" applyBorder="1" applyAlignment="1" applyProtection="1">
      <alignment horizontal="left" vertical="center"/>
      <protection locked="0"/>
    </xf>
    <xf numFmtId="179" fontId="10" fillId="4" borderId="7" xfId="0" applyNumberFormat="1" applyFont="1" applyFill="1" applyBorder="1" applyAlignment="1" applyProtection="1">
      <alignment horizontal="left" vertical="center"/>
      <protection locked="0"/>
    </xf>
    <xf numFmtId="179" fontId="10" fillId="4" borderId="9" xfId="0" applyNumberFormat="1" applyFont="1" applyFill="1" applyBorder="1" applyAlignment="1" applyProtection="1">
      <alignment horizontal="left" vertical="center"/>
      <protection locked="0"/>
    </xf>
    <xf numFmtId="14" fontId="93" fillId="4" borderId="1" xfId="0" applyNumberFormat="1" applyFont="1" applyFill="1" applyBorder="1" applyAlignment="1" applyProtection="1">
      <alignment horizontal="left" vertical="center"/>
      <protection locked="0"/>
    </xf>
    <xf numFmtId="179" fontId="10" fillId="4" borderId="47" xfId="0" applyNumberFormat="1" applyFont="1" applyFill="1" applyBorder="1" applyAlignment="1" applyProtection="1">
      <alignment horizontal="left" vertical="center"/>
      <protection locked="0"/>
    </xf>
    <xf numFmtId="179" fontId="10" fillId="4" borderId="73" xfId="0" applyNumberFormat="1" applyFont="1" applyFill="1" applyBorder="1" applyAlignment="1" applyProtection="1">
      <alignment horizontal="left" vertical="center"/>
      <protection locked="0"/>
    </xf>
    <xf numFmtId="179" fontId="10" fillId="4" borderId="74" xfId="0" applyNumberFormat="1" applyFont="1" applyFill="1" applyBorder="1" applyAlignment="1" applyProtection="1">
      <alignment horizontal="left" vertical="center"/>
      <protection locked="0"/>
    </xf>
    <xf numFmtId="179" fontId="9" fillId="0" borderId="2" xfId="0" applyNumberFormat="1" applyFont="1" applyBorder="1" applyAlignment="1" applyProtection="1">
      <alignment horizontal="left" vertical="center"/>
      <protection locked="0"/>
    </xf>
    <xf numFmtId="179" fontId="10" fillId="0" borderId="1" xfId="0" applyNumberFormat="1" applyFont="1" applyBorder="1" applyAlignment="1" applyProtection="1">
      <alignment horizontal="left" vertical="center"/>
      <protection locked="0"/>
    </xf>
    <xf numFmtId="14" fontId="89" fillId="14" borderId="1" xfId="0" applyNumberFormat="1" applyFont="1" applyFill="1" applyBorder="1" applyAlignment="1" applyProtection="1">
      <alignment horizontal="left" vertical="center"/>
      <protection locked="0"/>
    </xf>
    <xf numFmtId="14" fontId="11" fillId="14" borderId="1" xfId="0" applyNumberFormat="1" applyFont="1" applyFill="1" applyBorder="1" applyAlignment="1" applyProtection="1">
      <alignment horizontal="left" vertical="center"/>
      <protection locked="0"/>
    </xf>
    <xf numFmtId="179" fontId="89" fillId="14" borderId="1" xfId="0" applyNumberFormat="1" applyFont="1" applyFill="1" applyBorder="1" applyAlignment="1" applyProtection="1">
      <alignment horizontal="left" vertical="center"/>
      <protection locked="0"/>
    </xf>
    <xf numFmtId="0" fontId="10" fillId="14" borderId="1" xfId="0" applyFont="1" applyFill="1" applyBorder="1" applyAlignment="1" applyProtection="1">
      <alignment horizontal="left" vertical="center"/>
      <protection locked="0"/>
    </xf>
    <xf numFmtId="0" fontId="10" fillId="14" borderId="13" xfId="0" applyFont="1" applyFill="1" applyBorder="1" applyAlignment="1" applyProtection="1">
      <alignment horizontal="left" vertical="center"/>
      <protection locked="0"/>
    </xf>
    <xf numFmtId="0" fontId="92" fillId="5" borderId="2" xfId="0" applyFont="1" applyFill="1" applyBorder="1" applyAlignment="1" applyProtection="1">
      <alignment horizontal="left" vertical="center"/>
      <protection locked="0"/>
    </xf>
    <xf numFmtId="0" fontId="89" fillId="0" borderId="1" xfId="0" applyFont="1" applyBorder="1" applyAlignment="1" applyProtection="1">
      <alignment horizontal="left" vertical="center" wrapText="1"/>
      <protection locked="0"/>
    </xf>
    <xf numFmtId="179" fontId="94" fillId="0" borderId="1" xfId="0" applyNumberFormat="1" applyFont="1" applyBorder="1" applyAlignment="1" applyProtection="1">
      <alignment horizontal="left" vertical="center"/>
      <protection locked="0"/>
    </xf>
    <xf numFmtId="179" fontId="10" fillId="34" borderId="1" xfId="0" applyNumberFormat="1" applyFont="1" applyFill="1" applyBorder="1" applyAlignment="1" applyProtection="1">
      <alignment horizontal="left" vertical="center"/>
      <protection locked="0"/>
    </xf>
    <xf numFmtId="179" fontId="10" fillId="14" borderId="13" xfId="0" applyNumberFormat="1" applyFont="1" applyFill="1" applyBorder="1" applyAlignment="1" applyProtection="1">
      <alignment horizontal="left" vertical="center"/>
      <protection locked="0"/>
    </xf>
    <xf numFmtId="179" fontId="10" fillId="14" borderId="1" xfId="0" applyNumberFormat="1" applyFont="1" applyFill="1" applyBorder="1" applyAlignment="1" applyProtection="1">
      <alignment horizontal="left" vertical="center"/>
      <protection locked="0"/>
    </xf>
    <xf numFmtId="14" fontId="115" fillId="14" borderId="1" xfId="0" applyNumberFormat="1" applyFont="1" applyFill="1" applyBorder="1" applyAlignment="1" applyProtection="1">
      <alignment horizontal="left" vertical="center"/>
      <protection locked="0"/>
    </xf>
    <xf numFmtId="179" fontId="105" fillId="4" borderId="0" xfId="0" applyNumberFormat="1" applyFont="1" applyFill="1" applyAlignment="1" applyProtection="1">
      <alignment horizontal="center" vertical="center"/>
      <protection locked="0"/>
    </xf>
    <xf numFmtId="179" fontId="94" fillId="4" borderId="2" xfId="0" applyNumberFormat="1" applyFont="1" applyFill="1" applyBorder="1" applyAlignment="1" applyProtection="1">
      <alignment horizontal="left" vertical="center"/>
      <protection locked="0"/>
    </xf>
    <xf numFmtId="179" fontId="94" fillId="4" borderId="1" xfId="0" applyNumberFormat="1" applyFont="1" applyFill="1" applyBorder="1" applyAlignment="1" applyProtection="1">
      <alignment horizontal="left" vertical="center"/>
      <protection locked="0"/>
    </xf>
    <xf numFmtId="14" fontId="9" fillId="4" borderId="2" xfId="55" applyNumberFormat="1" applyFont="1" applyFill="1" applyBorder="1" applyAlignment="1" applyProtection="1">
      <alignment horizontal="left"/>
      <protection locked="0"/>
    </xf>
    <xf numFmtId="0" fontId="94" fillId="4" borderId="2" xfId="0" applyFont="1" applyFill="1" applyBorder="1" applyAlignment="1" applyProtection="1">
      <alignment horizontal="left" vertical="center"/>
      <protection locked="0"/>
    </xf>
    <xf numFmtId="14" fontId="26" fillId="4" borderId="2" xfId="55" quotePrefix="1" applyNumberFormat="1" applyFont="1" applyFill="1" applyBorder="1" applyAlignment="1" applyProtection="1">
      <alignment horizontal="left" vertical="center"/>
      <protection locked="0"/>
    </xf>
    <xf numFmtId="14" fontId="104" fillId="4" borderId="2" xfId="55" quotePrefix="1" applyNumberFormat="1" applyFont="1" applyFill="1" applyBorder="1" applyAlignment="1" applyProtection="1">
      <alignment horizontal="left" vertical="center"/>
      <protection locked="0"/>
    </xf>
    <xf numFmtId="0" fontId="89" fillId="35" borderId="1" xfId="0" applyFont="1" applyFill="1" applyBorder="1" applyAlignment="1" applyProtection="1">
      <alignment horizontal="left" vertical="center" wrapText="1"/>
      <protection locked="0"/>
    </xf>
    <xf numFmtId="179" fontId="10" fillId="35" borderId="1" xfId="0" applyNumberFormat="1" applyFont="1" applyFill="1" applyBorder="1" applyAlignment="1" applyProtection="1">
      <alignment horizontal="left" vertical="center"/>
      <protection locked="0"/>
    </xf>
    <xf numFmtId="179" fontId="113" fillId="35" borderId="1" xfId="0" applyNumberFormat="1" applyFont="1" applyFill="1" applyBorder="1" applyAlignment="1" applyProtection="1">
      <alignment horizontal="left" vertical="center"/>
      <protection locked="0"/>
    </xf>
    <xf numFmtId="14" fontId="104" fillId="4" borderId="2" xfId="55" applyNumberFormat="1" applyFont="1" applyFill="1" applyBorder="1" applyAlignment="1" applyProtection="1">
      <alignment horizontal="left"/>
      <protection locked="0"/>
    </xf>
    <xf numFmtId="14" fontId="9" fillId="4" borderId="1" xfId="0" applyNumberFormat="1" applyFont="1" applyFill="1" applyBorder="1" applyAlignment="1" applyProtection="1">
      <alignment horizontal="left" vertical="center"/>
      <protection locked="0"/>
    </xf>
    <xf numFmtId="0" fontId="10" fillId="3" borderId="1" xfId="0" applyFont="1" applyFill="1" applyBorder="1" applyAlignment="1" applyProtection="1">
      <alignment horizontal="left" vertical="center"/>
      <protection locked="0"/>
    </xf>
    <xf numFmtId="179" fontId="12" fillId="4" borderId="14" xfId="0" applyNumberFormat="1" applyFont="1" applyFill="1" applyBorder="1" applyAlignment="1" applyProtection="1">
      <alignment horizontal="left" vertical="center"/>
      <protection locked="0"/>
    </xf>
    <xf numFmtId="14" fontId="89" fillId="31" borderId="1" xfId="0" applyNumberFormat="1" applyFont="1" applyFill="1" applyBorder="1" applyAlignment="1" applyProtection="1">
      <alignment horizontal="left" vertical="center"/>
      <protection locked="0"/>
    </xf>
    <xf numFmtId="14" fontId="11" fillId="31" borderId="1" xfId="0" applyNumberFormat="1" applyFont="1" applyFill="1" applyBorder="1" applyAlignment="1" applyProtection="1">
      <alignment horizontal="left" vertical="center"/>
      <protection locked="0"/>
    </xf>
    <xf numFmtId="179" fontId="89" fillId="31" borderId="1" xfId="0" applyNumberFormat="1" applyFont="1" applyFill="1" applyBorder="1" applyAlignment="1" applyProtection="1">
      <alignment horizontal="left" vertical="center"/>
      <protection locked="0"/>
    </xf>
    <xf numFmtId="0" fontId="10" fillId="31" borderId="1" xfId="0" applyFont="1" applyFill="1" applyBorder="1" applyAlignment="1" applyProtection="1">
      <alignment horizontal="left" vertical="center"/>
      <protection locked="0"/>
    </xf>
    <xf numFmtId="0" fontId="10" fillId="31" borderId="13" xfId="0" applyFont="1" applyFill="1" applyBorder="1" applyAlignment="1" applyProtection="1">
      <alignment horizontal="left" vertical="center"/>
      <protection locked="0"/>
    </xf>
    <xf numFmtId="0" fontId="10" fillId="31" borderId="2" xfId="0" applyFont="1" applyFill="1" applyBorder="1" applyAlignment="1" applyProtection="1">
      <alignment horizontal="left" vertical="center"/>
      <protection locked="0"/>
    </xf>
    <xf numFmtId="179" fontId="10" fillId="31" borderId="0" xfId="0" applyNumberFormat="1" applyFont="1" applyFill="1" applyAlignment="1" applyProtection="1">
      <alignment horizontal="left" vertical="center"/>
      <protection locked="0"/>
    </xf>
    <xf numFmtId="179" fontId="94" fillId="4" borderId="14" xfId="0" applyNumberFormat="1" applyFont="1" applyFill="1" applyBorder="1" applyAlignment="1" applyProtection="1">
      <alignment horizontal="left" vertical="center"/>
      <protection locked="0"/>
    </xf>
    <xf numFmtId="0" fontId="10" fillId="8" borderId="1" xfId="0" applyFont="1" applyFill="1" applyBorder="1" applyAlignment="1" applyProtection="1">
      <alignment horizontal="left" vertical="center"/>
      <protection locked="0"/>
    </xf>
    <xf numFmtId="0" fontId="10" fillId="4" borderId="35" xfId="0" applyFont="1" applyFill="1" applyBorder="1" applyAlignment="1" applyProtection="1">
      <alignment horizontal="left" vertical="center"/>
      <protection locked="0"/>
    </xf>
    <xf numFmtId="0" fontId="10" fillId="4" borderId="75" xfId="0" applyFont="1" applyFill="1" applyBorder="1" applyAlignment="1" applyProtection="1">
      <alignment horizontal="left" vertical="center"/>
      <protection locked="0"/>
    </xf>
    <xf numFmtId="179" fontId="119" fillId="4" borderId="14" xfId="0" applyNumberFormat="1" applyFont="1" applyFill="1" applyBorder="1" applyAlignment="1" applyProtection="1">
      <alignment horizontal="left" vertical="center"/>
      <protection locked="0"/>
    </xf>
    <xf numFmtId="14" fontId="119" fillId="4" borderId="1" xfId="0" applyNumberFormat="1" applyFont="1" applyFill="1" applyBorder="1" applyAlignment="1" applyProtection="1">
      <alignment horizontal="left" vertical="center"/>
      <protection locked="0"/>
    </xf>
    <xf numFmtId="179" fontId="12" fillId="4" borderId="2" xfId="0" applyNumberFormat="1" applyFont="1" applyFill="1" applyBorder="1" applyAlignment="1" applyProtection="1">
      <alignment horizontal="left" vertical="center"/>
      <protection locked="0"/>
    </xf>
    <xf numFmtId="0" fontId="10" fillId="4" borderId="1" xfId="0" applyFont="1" applyFill="1" applyBorder="1" applyAlignment="1" applyProtection="1">
      <alignment horizontal="left" vertical="center" wrapText="1"/>
      <protection locked="0"/>
    </xf>
    <xf numFmtId="0" fontId="119" fillId="4" borderId="1" xfId="0" applyFont="1" applyFill="1" applyBorder="1" applyAlignment="1" applyProtection="1">
      <alignment horizontal="left" vertical="center" wrapText="1"/>
      <protection locked="0"/>
    </xf>
    <xf numFmtId="0" fontId="121" fillId="4" borderId="1" xfId="0" applyFont="1" applyFill="1" applyBorder="1" applyAlignment="1" applyProtection="1">
      <alignment horizontal="left" vertical="center" wrapText="1"/>
      <protection locked="0"/>
    </xf>
    <xf numFmtId="179" fontId="94" fillId="4" borderId="4" xfId="0" applyNumberFormat="1" applyFont="1" applyFill="1" applyBorder="1" applyAlignment="1" applyProtection="1">
      <alignment horizontal="left" vertical="center"/>
      <protection locked="0"/>
    </xf>
    <xf numFmtId="0" fontId="9" fillId="4" borderId="75" xfId="0" applyFont="1" applyFill="1" applyBorder="1" applyAlignment="1" applyProtection="1">
      <alignment horizontal="left" vertical="center"/>
      <protection locked="0"/>
    </xf>
    <xf numFmtId="179" fontId="124" fillId="4" borderId="14" xfId="0" applyNumberFormat="1" applyFont="1" applyFill="1" applyBorder="1" applyAlignment="1" applyProtection="1">
      <alignment horizontal="left" vertical="center"/>
      <protection locked="0"/>
    </xf>
    <xf numFmtId="179" fontId="113" fillId="4" borderId="1" xfId="0" applyNumberFormat="1" applyFont="1" applyFill="1" applyBorder="1" applyAlignment="1" applyProtection="1">
      <alignment horizontal="left" vertical="center"/>
      <protection locked="0"/>
    </xf>
    <xf numFmtId="179" fontId="113" fillId="4" borderId="4" xfId="0" applyNumberFormat="1" applyFont="1" applyFill="1" applyBorder="1" applyAlignment="1" applyProtection="1">
      <alignment horizontal="left" vertical="center"/>
      <protection locked="0"/>
    </xf>
    <xf numFmtId="14" fontId="94" fillId="4" borderId="1" xfId="0" applyNumberFormat="1" applyFont="1" applyFill="1" applyBorder="1" applyAlignment="1" applyProtection="1">
      <alignment horizontal="left" vertical="center"/>
      <protection locked="0"/>
    </xf>
    <xf numFmtId="179" fontId="113" fillId="4" borderId="14" xfId="0" applyNumberFormat="1" applyFont="1" applyFill="1" applyBorder="1" applyAlignment="1" applyProtection="1">
      <alignment horizontal="left" vertical="center"/>
      <protection locked="0"/>
    </xf>
    <xf numFmtId="0" fontId="9" fillId="4" borderId="35" xfId="0" applyFont="1" applyFill="1" applyBorder="1" applyAlignment="1" applyProtection="1">
      <alignment horizontal="left" vertical="center"/>
      <protection locked="0"/>
    </xf>
    <xf numFmtId="0" fontId="92" fillId="4" borderId="2" xfId="0" applyFont="1" applyFill="1" applyBorder="1" applyAlignment="1" applyProtection="1">
      <alignment horizontal="left" vertical="center"/>
      <protection locked="0"/>
    </xf>
    <xf numFmtId="0" fontId="9" fillId="4" borderId="62" xfId="0" applyFont="1" applyFill="1" applyBorder="1" applyAlignment="1" applyProtection="1">
      <alignment horizontal="left" vertical="center" wrapText="1"/>
      <protection locked="0"/>
    </xf>
    <xf numFmtId="179" fontId="12" fillId="4" borderId="1" xfId="0" applyNumberFormat="1" applyFont="1" applyFill="1" applyBorder="1" applyAlignment="1" applyProtection="1">
      <alignment horizontal="left" vertical="center"/>
      <protection locked="0"/>
    </xf>
    <xf numFmtId="179" fontId="113" fillId="4" borderId="13" xfId="0" applyNumberFormat="1" applyFont="1" applyFill="1" applyBorder="1" applyAlignment="1" applyProtection="1">
      <alignment horizontal="left" vertical="center"/>
      <protection locked="0"/>
    </xf>
    <xf numFmtId="179" fontId="123" fillId="4" borderId="14" xfId="0" applyNumberFormat="1" applyFont="1" applyFill="1" applyBorder="1" applyAlignment="1" applyProtection="1">
      <alignment horizontal="left" vertical="center"/>
      <protection locked="0"/>
    </xf>
    <xf numFmtId="179" fontId="127" fillId="4" borderId="14" xfId="0" applyNumberFormat="1" applyFont="1" applyFill="1" applyBorder="1" applyAlignment="1" applyProtection="1">
      <alignment horizontal="left" vertical="center"/>
      <protection locked="0"/>
    </xf>
    <xf numFmtId="0" fontId="89" fillId="4" borderId="14" xfId="0" applyFont="1" applyFill="1" applyBorder="1" applyAlignment="1" applyProtection="1">
      <alignment horizontal="left" vertical="center" wrapText="1"/>
      <protection locked="0"/>
    </xf>
    <xf numFmtId="0" fontId="9" fillId="4" borderId="45" xfId="0" applyFont="1" applyFill="1" applyBorder="1" applyAlignment="1" applyProtection="1">
      <alignment horizontal="left" vertical="center"/>
      <protection locked="0"/>
    </xf>
    <xf numFmtId="0" fontId="9" fillId="4" borderId="82" xfId="0" applyFont="1" applyFill="1" applyBorder="1" applyAlignment="1" applyProtection="1">
      <alignment horizontal="left" vertical="center"/>
      <protection locked="0"/>
    </xf>
    <xf numFmtId="179" fontId="10" fillId="4" borderId="81" xfId="0" applyNumberFormat="1" applyFont="1" applyFill="1" applyBorder="1" applyAlignment="1" applyProtection="1">
      <alignment horizontal="left" vertical="center"/>
      <protection locked="0"/>
    </xf>
    <xf numFmtId="179" fontId="127" fillId="4" borderId="4" xfId="0" applyNumberFormat="1" applyFont="1" applyFill="1" applyBorder="1" applyAlignment="1" applyProtection="1">
      <alignment horizontal="left" vertical="center" wrapText="1"/>
      <protection locked="0"/>
    </xf>
    <xf numFmtId="179" fontId="127" fillId="4" borderId="14" xfId="0" applyNumberFormat="1" applyFont="1" applyFill="1" applyBorder="1" applyAlignment="1" applyProtection="1">
      <alignment horizontal="left" vertical="center" wrapText="1"/>
      <protection locked="0"/>
    </xf>
    <xf numFmtId="179" fontId="124" fillId="4" borderId="14" xfId="0" applyNumberFormat="1" applyFont="1" applyFill="1" applyBorder="1" applyAlignment="1" applyProtection="1">
      <alignment horizontal="left" vertical="center" wrapText="1"/>
      <protection locked="0"/>
    </xf>
    <xf numFmtId="179" fontId="10" fillId="4" borderId="14" xfId="0" applyNumberFormat="1" applyFont="1" applyFill="1" applyBorder="1" applyAlignment="1" applyProtection="1">
      <alignment horizontal="left" vertical="center" wrapText="1"/>
      <protection locked="0"/>
    </xf>
    <xf numFmtId="0" fontId="9" fillId="4" borderId="42" xfId="0" applyFont="1" applyFill="1" applyBorder="1" applyAlignment="1" applyProtection="1">
      <alignment horizontal="left" vertical="center"/>
      <protection locked="0"/>
    </xf>
    <xf numFmtId="179" fontId="94" fillId="4" borderId="14" xfId="0" applyNumberFormat="1" applyFont="1" applyFill="1" applyBorder="1" applyAlignment="1" applyProtection="1">
      <alignment horizontal="left" vertical="center" wrapText="1"/>
      <protection locked="0"/>
    </xf>
    <xf numFmtId="179" fontId="124" fillId="4" borderId="4" xfId="0" applyNumberFormat="1" applyFont="1" applyFill="1" applyBorder="1" applyAlignment="1" applyProtection="1">
      <alignment horizontal="left" vertical="center"/>
      <protection locked="0"/>
    </xf>
    <xf numFmtId="0" fontId="9" fillId="5" borderId="3" xfId="0" applyFont="1" applyFill="1" applyBorder="1" applyAlignment="1" applyProtection="1">
      <alignment horizontal="left" vertical="center"/>
      <protection locked="0"/>
    </xf>
    <xf numFmtId="179" fontId="119" fillId="4" borderId="2" xfId="0" applyNumberFormat="1" applyFont="1" applyFill="1" applyBorder="1" applyAlignment="1" applyProtection="1">
      <alignment horizontal="left" vertical="center"/>
      <protection locked="0"/>
    </xf>
    <xf numFmtId="179" fontId="119" fillId="4" borderId="1" xfId="0" applyNumberFormat="1" applyFont="1" applyFill="1" applyBorder="1" applyAlignment="1" applyProtection="1">
      <alignment horizontal="left" vertical="center"/>
      <protection locked="0"/>
    </xf>
    <xf numFmtId="0" fontId="26" fillId="4" borderId="1" xfId="0" applyFont="1" applyFill="1" applyBorder="1" applyAlignment="1" applyProtection="1">
      <alignment horizontal="left" vertical="center"/>
      <protection locked="0"/>
    </xf>
    <xf numFmtId="0" fontId="9" fillId="3" borderId="35" xfId="0" applyFont="1" applyFill="1" applyBorder="1" applyAlignment="1" applyProtection="1">
      <alignment horizontal="left" vertical="center"/>
      <protection locked="0"/>
    </xf>
    <xf numFmtId="179" fontId="119" fillId="3" borderId="14" xfId="0" applyNumberFormat="1" applyFont="1" applyFill="1" applyBorder="1" applyAlignment="1" applyProtection="1">
      <alignment horizontal="left" vertical="center"/>
      <protection locked="0"/>
    </xf>
    <xf numFmtId="179" fontId="10" fillId="3" borderId="1" xfId="0" applyNumberFormat="1" applyFont="1" applyFill="1" applyBorder="1" applyAlignment="1" applyProtection="1">
      <alignment horizontal="left" vertical="center"/>
      <protection locked="0"/>
    </xf>
    <xf numFmtId="14" fontId="119" fillId="3" borderId="1" xfId="0" applyNumberFormat="1" applyFont="1" applyFill="1" applyBorder="1" applyAlignment="1" applyProtection="1">
      <alignment horizontal="left" vertical="center"/>
      <protection locked="0"/>
    </xf>
    <xf numFmtId="0" fontId="89" fillId="3" borderId="1" xfId="0" applyFont="1" applyFill="1" applyBorder="1" applyAlignment="1" applyProtection="1">
      <alignment horizontal="left" vertical="center" wrapText="1"/>
      <protection locked="0"/>
    </xf>
    <xf numFmtId="179" fontId="30" fillId="4" borderId="14" xfId="0" applyNumberFormat="1" applyFont="1" applyFill="1" applyBorder="1" applyAlignment="1" applyProtection="1">
      <alignment horizontal="left" vertical="center"/>
      <protection locked="0"/>
    </xf>
    <xf numFmtId="0" fontId="9" fillId="4" borderId="39" xfId="0" applyFont="1" applyFill="1" applyBorder="1" applyAlignment="1" applyProtection="1">
      <alignment horizontal="left" vertical="center"/>
      <protection locked="0"/>
    </xf>
    <xf numFmtId="179" fontId="153" fillId="4" borderId="2" xfId="0" applyNumberFormat="1" applyFont="1" applyFill="1" applyBorder="1" applyProtection="1">
      <alignment vertical="center"/>
      <protection locked="0"/>
    </xf>
    <xf numFmtId="0" fontId="89" fillId="8" borderId="1" xfId="0" applyFont="1" applyFill="1" applyBorder="1" applyAlignment="1" applyProtection="1">
      <alignment horizontal="left" vertical="center" wrapText="1"/>
      <protection locked="0"/>
    </xf>
    <xf numFmtId="0" fontId="89" fillId="9" borderId="1" xfId="0" applyFont="1" applyFill="1" applyBorder="1" applyAlignment="1" applyProtection="1">
      <alignment horizontal="left" vertical="center" wrapText="1"/>
      <protection locked="0"/>
    </xf>
    <xf numFmtId="179" fontId="119" fillId="4" borderId="14" xfId="0" applyNumberFormat="1" applyFont="1" applyFill="1" applyBorder="1" applyAlignment="1" applyProtection="1">
      <alignment horizontal="left" vertical="center" wrapText="1"/>
      <protection locked="0"/>
    </xf>
    <xf numFmtId="2" fontId="10" fillId="4" borderId="1" xfId="0" applyNumberFormat="1" applyFont="1" applyFill="1" applyBorder="1" applyAlignment="1" applyProtection="1">
      <alignment horizontal="left" vertical="center"/>
      <protection locked="0"/>
    </xf>
    <xf numFmtId="179" fontId="151" fillId="4" borderId="14" xfId="0" applyNumberFormat="1" applyFont="1" applyFill="1" applyBorder="1" applyAlignment="1" applyProtection="1">
      <alignment horizontal="left" vertical="center"/>
      <protection locked="0"/>
    </xf>
    <xf numFmtId="0" fontId="179" fillId="4" borderId="0" xfId="0" applyFont="1" applyFill="1" applyProtection="1">
      <alignment vertical="center"/>
      <protection locked="0"/>
    </xf>
    <xf numFmtId="179" fontId="10" fillId="0" borderId="13" xfId="0" applyNumberFormat="1" applyFont="1" applyBorder="1" applyAlignment="1" applyProtection="1">
      <alignment horizontal="left" vertical="center"/>
      <protection locked="0"/>
    </xf>
    <xf numFmtId="0" fontId="9" fillId="0" borderId="1" xfId="0" applyFont="1" applyBorder="1" applyAlignment="1" applyProtection="1">
      <alignment horizontal="left" vertical="center"/>
      <protection locked="0"/>
    </xf>
    <xf numFmtId="179" fontId="94" fillId="0" borderId="14" xfId="0" applyNumberFormat="1" applyFont="1" applyBorder="1" applyAlignment="1" applyProtection="1">
      <alignment horizontal="left" vertical="center"/>
      <protection locked="0"/>
    </xf>
    <xf numFmtId="14" fontId="10" fillId="0" borderId="1" xfId="0" applyNumberFormat="1" applyFont="1" applyBorder="1" applyAlignment="1" applyProtection="1">
      <alignment horizontal="left" vertical="center"/>
      <protection locked="0"/>
    </xf>
    <xf numFmtId="179" fontId="10" fillId="9" borderId="2" xfId="0" applyNumberFormat="1" applyFont="1" applyFill="1" applyBorder="1" applyAlignment="1" applyProtection="1">
      <alignment horizontal="left" vertical="center"/>
      <protection locked="0"/>
    </xf>
    <xf numFmtId="0" fontId="89" fillId="32" borderId="1" xfId="0" applyFont="1" applyFill="1" applyBorder="1" applyAlignment="1" applyProtection="1">
      <alignment horizontal="left" vertical="center" wrapText="1"/>
      <protection locked="0"/>
    </xf>
    <xf numFmtId="179" fontId="10" fillId="32" borderId="1" xfId="0" applyNumberFormat="1" applyFont="1" applyFill="1" applyBorder="1" applyAlignment="1" applyProtection="1">
      <alignment horizontal="left" vertical="center"/>
      <protection locked="0"/>
    </xf>
    <xf numFmtId="0" fontId="118" fillId="4" borderId="1" xfId="0" applyFont="1" applyFill="1" applyBorder="1" applyAlignment="1" applyProtection="1">
      <alignment horizontal="left" vertical="center" wrapText="1"/>
      <protection locked="0"/>
    </xf>
    <xf numFmtId="179" fontId="10" fillId="0" borderId="14" xfId="0" applyNumberFormat="1" applyFont="1" applyBorder="1" applyAlignment="1" applyProtection="1">
      <alignment horizontal="left" vertical="center"/>
      <protection locked="0"/>
    </xf>
    <xf numFmtId="179" fontId="10" fillId="0" borderId="66" xfId="0" applyNumberFormat="1" applyFont="1" applyBorder="1" applyAlignment="1" applyProtection="1">
      <alignment horizontal="left" vertical="center"/>
      <protection locked="0"/>
    </xf>
    <xf numFmtId="0" fontId="9" fillId="0" borderId="11" xfId="0" applyFont="1" applyBorder="1" applyAlignment="1" applyProtection="1">
      <alignment horizontal="left" vertical="center"/>
      <protection locked="0"/>
    </xf>
    <xf numFmtId="179" fontId="10" fillId="0" borderId="19" xfId="0" applyNumberFormat="1" applyFont="1" applyBorder="1" applyAlignment="1" applyProtection="1">
      <alignment horizontal="left" vertical="center"/>
      <protection locked="0"/>
    </xf>
    <xf numFmtId="179" fontId="10" fillId="0" borderId="11" xfId="0" applyNumberFormat="1" applyFont="1" applyBorder="1" applyAlignment="1" applyProtection="1">
      <alignment horizontal="left" vertical="center"/>
      <protection locked="0"/>
    </xf>
    <xf numFmtId="0" fontId="10" fillId="0" borderId="11" xfId="0" applyFont="1" applyBorder="1" applyAlignment="1" applyProtection="1">
      <alignment horizontal="left" vertical="center"/>
      <protection locked="0"/>
    </xf>
    <xf numFmtId="14" fontId="10" fillId="0" borderId="11" xfId="0" applyNumberFormat="1" applyFont="1" applyBorder="1" applyAlignment="1" applyProtection="1">
      <alignment horizontal="left" vertical="center"/>
      <protection locked="0"/>
    </xf>
    <xf numFmtId="0" fontId="88" fillId="0" borderId="11" xfId="0" applyFont="1" applyBorder="1" applyAlignment="1" applyProtection="1">
      <alignment horizontal="left" vertical="center" wrapText="1"/>
      <protection locked="0"/>
    </xf>
    <xf numFmtId="0" fontId="10" fillId="4" borderId="11" xfId="0" applyFont="1" applyFill="1" applyBorder="1" applyAlignment="1" applyProtection="1">
      <alignment horizontal="left" vertical="center"/>
      <protection locked="0"/>
    </xf>
    <xf numFmtId="0" fontId="89" fillId="0" borderId="11" xfId="0" applyFont="1" applyBorder="1" applyAlignment="1" applyProtection="1">
      <alignment horizontal="left" vertical="center" wrapText="1"/>
      <protection locked="0"/>
    </xf>
    <xf numFmtId="179" fontId="9" fillId="0" borderId="11" xfId="0" applyNumberFormat="1" applyFont="1" applyBorder="1" applyAlignment="1" applyProtection="1">
      <alignment horizontal="left" vertical="center"/>
      <protection locked="0"/>
    </xf>
    <xf numFmtId="14" fontId="89" fillId="0" borderId="11" xfId="0" applyNumberFormat="1" applyFont="1" applyBorder="1" applyAlignment="1" applyProtection="1">
      <alignment horizontal="left" vertical="center"/>
      <protection locked="0"/>
    </xf>
    <xf numFmtId="14" fontId="11" fillId="0" borderId="11" xfId="0" applyNumberFormat="1" applyFont="1" applyBorder="1" applyAlignment="1" applyProtection="1">
      <alignment horizontal="left" vertical="center"/>
      <protection locked="0"/>
    </xf>
    <xf numFmtId="179" fontId="89" fillId="0" borderId="11" xfId="0" applyNumberFormat="1" applyFont="1" applyBorder="1" applyAlignment="1" applyProtection="1">
      <alignment horizontal="left" vertical="center"/>
      <protection locked="0"/>
    </xf>
    <xf numFmtId="0" fontId="10" fillId="0" borderId="66" xfId="0" applyFont="1" applyBorder="1" applyAlignment="1" applyProtection="1">
      <alignment horizontal="left" vertical="center"/>
      <protection locked="0"/>
    </xf>
    <xf numFmtId="179" fontId="10" fillId="0" borderId="50" xfId="0" applyNumberFormat="1" applyFont="1" applyBorder="1" applyAlignment="1" applyProtection="1">
      <alignment horizontal="left" vertical="center"/>
      <protection locked="0"/>
    </xf>
    <xf numFmtId="14" fontId="10" fillId="0" borderId="2" xfId="0" applyNumberFormat="1" applyFont="1" applyBorder="1" applyAlignment="1" applyProtection="1">
      <alignment horizontal="left" vertical="center"/>
      <protection locked="0"/>
    </xf>
    <xf numFmtId="0" fontId="89" fillId="0" borderId="2" xfId="0" applyFont="1" applyBorder="1" applyAlignment="1" applyProtection="1">
      <alignment horizontal="left" vertical="center" wrapText="1"/>
      <protection locked="0"/>
    </xf>
    <xf numFmtId="0" fontId="9" fillId="9" borderId="2" xfId="0" applyFont="1" applyFill="1" applyBorder="1" applyAlignment="1" applyProtection="1">
      <alignment horizontal="left" vertical="center"/>
      <protection locked="0"/>
    </xf>
    <xf numFmtId="179" fontId="10" fillId="0" borderId="0" xfId="0" applyNumberFormat="1" applyFont="1" applyAlignment="1">
      <alignment horizontal="center" vertical="center"/>
    </xf>
    <xf numFmtId="179" fontId="89" fillId="0" borderId="0" xfId="0" applyNumberFormat="1" applyFont="1" applyAlignment="1" applyProtection="1">
      <alignment horizontal="center" vertical="center"/>
      <protection locked="0"/>
    </xf>
    <xf numFmtId="0" fontId="88" fillId="0" borderId="1" xfId="0" applyFont="1" applyBorder="1" applyAlignment="1" applyProtection="1">
      <alignment horizontal="left" vertical="center" wrapText="1"/>
      <protection locked="0"/>
    </xf>
    <xf numFmtId="0" fontId="26" fillId="32" borderId="2" xfId="1" applyNumberFormat="1" applyFont="1" applyFill="1" applyBorder="1" applyAlignment="1">
      <alignment horizontal="center" vertical="center" wrapText="1"/>
    </xf>
    <xf numFmtId="179" fontId="26" fillId="32" borderId="2" xfId="1" applyFont="1" applyFill="1" applyBorder="1" applyAlignment="1">
      <alignment horizontal="center" vertical="center" wrapText="1"/>
    </xf>
    <xf numFmtId="0" fontId="9" fillId="32" borderId="2" xfId="0" applyFont="1" applyFill="1" applyBorder="1" applyAlignment="1">
      <alignment horizontal="left" vertical="center"/>
    </xf>
    <xf numFmtId="14" fontId="9" fillId="32" borderId="2" xfId="0" applyNumberFormat="1" applyFont="1" applyFill="1" applyBorder="1" applyAlignment="1">
      <alignment horizontal="left" vertical="center"/>
    </xf>
    <xf numFmtId="177" fontId="11" fillId="32" borderId="2" xfId="1" applyNumberFormat="1" applyFont="1" applyFill="1" applyBorder="1" applyAlignment="1">
      <alignment horizontal="center" vertical="center"/>
    </xf>
    <xf numFmtId="179" fontId="2" fillId="32" borderId="2" xfId="1" applyFont="1" applyFill="1" applyBorder="1" applyAlignment="1">
      <alignment horizontal="center" vertical="center"/>
    </xf>
    <xf numFmtId="0" fontId="11" fillId="32" borderId="2" xfId="1" applyNumberFormat="1" applyFont="1" applyFill="1" applyBorder="1" applyAlignment="1">
      <alignment horizontal="center" vertical="center"/>
    </xf>
    <xf numFmtId="178" fontId="11" fillId="32" borderId="2" xfId="1" applyNumberFormat="1" applyFont="1" applyFill="1" applyBorder="1" applyAlignment="1">
      <alignment horizontal="center" vertical="center"/>
    </xf>
    <xf numFmtId="179" fontId="98" fillId="32" borderId="2" xfId="1" applyFont="1" applyFill="1" applyBorder="1" applyAlignment="1">
      <alignment horizontal="center" vertical="center"/>
    </xf>
    <xf numFmtId="179" fontId="89" fillId="0" borderId="0" xfId="0" applyNumberFormat="1" applyFont="1" applyAlignment="1">
      <alignment horizontal="left" vertical="center"/>
    </xf>
    <xf numFmtId="179" fontId="14" fillId="0" borderId="0" xfId="0" applyNumberFormat="1" applyFont="1" applyAlignment="1">
      <alignment horizontal="left" vertical="center"/>
    </xf>
    <xf numFmtId="183" fontId="89" fillId="0" borderId="0" xfId="0" applyNumberFormat="1" applyFont="1" applyAlignment="1">
      <alignment horizontal="left" vertical="center"/>
    </xf>
    <xf numFmtId="183" fontId="10" fillId="0" borderId="0" xfId="0" applyNumberFormat="1" applyFont="1" applyAlignment="1">
      <alignment horizontal="left" vertical="center"/>
    </xf>
    <xf numFmtId="0" fontId="10" fillId="0" borderId="1" xfId="0" applyFont="1" applyBorder="1" applyAlignment="1" applyProtection="1">
      <alignment horizontal="left" vertical="center" wrapText="1"/>
      <protection locked="0"/>
    </xf>
    <xf numFmtId="0" fontId="11" fillId="0" borderId="1" xfId="0" applyFont="1" applyBorder="1" applyAlignment="1" applyProtection="1">
      <alignment horizontal="left" vertical="center" wrapText="1"/>
      <protection locked="0"/>
    </xf>
    <xf numFmtId="14" fontId="92" fillId="3" borderId="2" xfId="0" applyNumberFormat="1" applyFont="1" applyFill="1" applyBorder="1" applyAlignment="1">
      <alignment horizontal="left" vertical="center"/>
    </xf>
    <xf numFmtId="0" fontId="26" fillId="3" borderId="2" xfId="1" applyNumberFormat="1" applyFont="1" applyFill="1" applyBorder="1" applyAlignment="1">
      <alignment horizontal="center" vertical="center" wrapText="1"/>
    </xf>
    <xf numFmtId="179" fontId="101" fillId="3" borderId="2" xfId="1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left" vertical="center"/>
    </xf>
    <xf numFmtId="179" fontId="182" fillId="0" borderId="1" xfId="0" applyNumberFormat="1" applyFont="1" applyBorder="1">
      <alignment vertical="center"/>
    </xf>
    <xf numFmtId="179" fontId="182" fillId="13" borderId="1" xfId="0" applyNumberFormat="1" applyFont="1" applyFill="1" applyBorder="1" applyAlignment="1">
      <alignment horizontal="left" vertical="center" wrapText="1"/>
    </xf>
    <xf numFmtId="0" fontId="156" fillId="0" borderId="94" xfId="0" applyFont="1" applyBorder="1" applyAlignment="1"/>
    <xf numFmtId="0" fontId="156" fillId="0" borderId="50" xfId="0" applyFont="1" applyBorder="1" applyAlignment="1"/>
    <xf numFmtId="179" fontId="10" fillId="4" borderId="0" xfId="0" applyNumberFormat="1" applyFont="1" applyFill="1" applyAlignment="1">
      <alignment horizontal="center" vertical="center"/>
    </xf>
    <xf numFmtId="179" fontId="31" fillId="10" borderId="26" xfId="0" applyNumberFormat="1" applyFont="1" applyFill="1" applyBorder="1" applyAlignment="1">
      <alignment horizontal="center" vertical="center"/>
    </xf>
    <xf numFmtId="179" fontId="31" fillId="10" borderId="25" xfId="0" applyNumberFormat="1" applyFont="1" applyFill="1" applyBorder="1" applyAlignment="1">
      <alignment horizontal="center" vertical="center"/>
    </xf>
    <xf numFmtId="179" fontId="42" fillId="0" borderId="38" xfId="0" applyNumberFormat="1" applyFont="1" applyBorder="1" applyAlignment="1">
      <alignment horizontal="center" vertical="center"/>
    </xf>
    <xf numFmtId="179" fontId="42" fillId="0" borderId="37" xfId="0" applyNumberFormat="1" applyFont="1" applyBorder="1" applyAlignment="1">
      <alignment horizontal="center" vertical="center"/>
    </xf>
    <xf numFmtId="179" fontId="42" fillId="0" borderId="36" xfId="0" applyNumberFormat="1" applyFont="1" applyBorder="1" applyAlignment="1">
      <alignment horizontal="center" vertical="center"/>
    </xf>
    <xf numFmtId="179" fontId="42" fillId="0" borderId="35" xfId="0" applyNumberFormat="1" applyFont="1" applyBorder="1" applyAlignment="1">
      <alignment horizontal="center" vertical="center"/>
    </xf>
    <xf numFmtId="179" fontId="42" fillId="0" borderId="39" xfId="0" applyNumberFormat="1" applyFont="1" applyBorder="1" applyAlignment="1">
      <alignment horizontal="center" vertical="center"/>
    </xf>
    <xf numFmtId="179" fontId="31" fillId="9" borderId="24" xfId="0" applyNumberFormat="1" applyFont="1" applyFill="1" applyBorder="1" applyAlignment="1">
      <alignment horizontal="center" vertical="center"/>
    </xf>
    <xf numFmtId="179" fontId="31" fillId="9" borderId="25" xfId="0" applyNumberFormat="1" applyFont="1" applyFill="1" applyBorder="1" applyAlignment="1">
      <alignment horizontal="center" vertical="center"/>
    </xf>
    <xf numFmtId="179" fontId="44" fillId="7" borderId="35" xfId="0" applyNumberFormat="1" applyFont="1" applyFill="1" applyBorder="1" applyAlignment="1">
      <alignment horizontal="center" vertical="center"/>
    </xf>
    <xf numFmtId="179" fontId="44" fillId="7" borderId="44" xfId="0" applyNumberFormat="1" applyFont="1" applyFill="1" applyBorder="1" applyAlignment="1">
      <alignment horizontal="center" vertical="center"/>
    </xf>
    <xf numFmtId="179" fontId="44" fillId="7" borderId="36" xfId="0" applyNumberFormat="1" applyFont="1" applyFill="1" applyBorder="1" applyAlignment="1">
      <alignment horizontal="center" vertical="center"/>
    </xf>
    <xf numFmtId="179" fontId="44" fillId="7" borderId="41" xfId="0" applyNumberFormat="1" applyFont="1" applyFill="1" applyBorder="1" applyAlignment="1">
      <alignment horizontal="center" vertical="center"/>
    </xf>
    <xf numFmtId="179" fontId="42" fillId="0" borderId="45" xfId="0" applyNumberFormat="1" applyFont="1" applyBorder="1" applyAlignment="1">
      <alignment horizontal="left" vertical="center"/>
    </xf>
    <xf numFmtId="179" fontId="42" fillId="0" borderId="46" xfId="0" applyNumberFormat="1" applyFont="1" applyBorder="1" applyAlignment="1">
      <alignment horizontal="left" vertical="center"/>
    </xf>
    <xf numFmtId="179" fontId="42" fillId="0" borderId="48" xfId="0" applyNumberFormat="1" applyFont="1" applyBorder="1" applyAlignment="1">
      <alignment horizontal="left" vertical="center"/>
    </xf>
    <xf numFmtId="179" fontId="42" fillId="0" borderId="0" xfId="0" applyNumberFormat="1" applyFont="1" applyAlignment="1">
      <alignment horizontal="left" vertical="center"/>
    </xf>
    <xf numFmtId="179" fontId="38" fillId="13" borderId="1" xfId="0" applyNumberFormat="1" applyFont="1" applyFill="1" applyBorder="1" applyAlignment="1">
      <alignment horizontal="center" vertical="center"/>
    </xf>
    <xf numFmtId="179" fontId="7" fillId="0" borderId="0" xfId="0" applyNumberFormat="1" applyFont="1" applyAlignment="1">
      <alignment horizontal="center" vertical="center"/>
    </xf>
    <xf numFmtId="0" fontId="35" fillId="9" borderId="2" xfId="0" applyFont="1" applyFill="1" applyBorder="1" applyAlignment="1">
      <alignment horizontal="center" vertical="center" wrapText="1"/>
    </xf>
    <xf numFmtId="0" fontId="36" fillId="12" borderId="2" xfId="0" applyFont="1" applyFill="1" applyBorder="1" applyAlignment="1">
      <alignment horizontal="center" vertical="center"/>
    </xf>
    <xf numFmtId="179" fontId="37" fillId="11" borderId="2" xfId="0" applyNumberFormat="1" applyFont="1" applyFill="1" applyBorder="1" applyAlignment="1">
      <alignment horizontal="center" vertical="center"/>
    </xf>
    <xf numFmtId="0" fontId="35" fillId="9" borderId="2" xfId="0" applyFont="1" applyFill="1" applyBorder="1" applyAlignment="1">
      <alignment horizontal="center" vertical="center"/>
    </xf>
    <xf numFmtId="0" fontId="34" fillId="3" borderId="2" xfId="0" applyFont="1" applyFill="1" applyBorder="1" applyAlignment="1">
      <alignment horizontal="center" vertical="center"/>
    </xf>
    <xf numFmtId="0" fontId="34" fillId="45" borderId="2" xfId="0" applyFont="1" applyFill="1" applyBorder="1" applyAlignment="1">
      <alignment horizontal="center" vertical="center"/>
    </xf>
    <xf numFmtId="0" fontId="21" fillId="9" borderId="51" xfId="0" applyFont="1" applyFill="1" applyBorder="1" applyAlignment="1">
      <alignment horizontal="center" vertical="center"/>
    </xf>
    <xf numFmtId="0" fontId="21" fillId="9" borderId="4" xfId="0" applyFont="1" applyFill="1" applyBorder="1" applyAlignment="1">
      <alignment horizontal="center" vertical="center"/>
    </xf>
    <xf numFmtId="0" fontId="172" fillId="13" borderId="1" xfId="0" applyFont="1" applyFill="1" applyBorder="1" applyAlignment="1">
      <alignment horizontal="right" vertical="center"/>
    </xf>
    <xf numFmtId="0" fontId="175" fillId="13" borderId="1" xfId="0" applyFont="1" applyFill="1" applyBorder="1" applyAlignment="1">
      <alignment horizontal="right" vertical="center" wrapText="1"/>
    </xf>
    <xf numFmtId="0" fontId="172" fillId="13" borderId="14" xfId="0" applyFont="1" applyFill="1" applyBorder="1" applyAlignment="1">
      <alignment horizontal="right" vertical="center" wrapText="1"/>
    </xf>
    <xf numFmtId="0" fontId="34" fillId="8" borderId="51" xfId="0" applyFont="1" applyFill="1" applyBorder="1" applyAlignment="1">
      <alignment horizontal="center" vertical="center"/>
    </xf>
    <xf numFmtId="0" fontId="34" fillId="8" borderId="4" xfId="0" applyFont="1" applyFill="1" applyBorder="1" applyAlignment="1">
      <alignment horizontal="center" vertical="center"/>
    </xf>
    <xf numFmtId="0" fontId="37" fillId="4" borderId="51" xfId="0" applyFont="1" applyFill="1" applyBorder="1" applyAlignment="1">
      <alignment horizontal="center" vertical="center" wrapText="1"/>
    </xf>
    <xf numFmtId="0" fontId="37" fillId="4" borderId="83" xfId="0" applyFont="1" applyFill="1" applyBorder="1" applyAlignment="1">
      <alignment horizontal="center" vertical="center" wrapText="1"/>
    </xf>
    <xf numFmtId="0" fontId="37" fillId="4" borderId="4" xfId="0" applyFont="1" applyFill="1" applyBorder="1" applyAlignment="1">
      <alignment horizontal="center" vertical="center" wrapText="1"/>
    </xf>
    <xf numFmtId="0" fontId="147" fillId="8" borderId="1" xfId="0" applyFont="1" applyFill="1" applyBorder="1" applyAlignment="1">
      <alignment horizontal="center" vertical="center" wrapText="1"/>
    </xf>
    <xf numFmtId="0" fontId="147" fillId="8" borderId="20" xfId="0" applyFont="1" applyFill="1" applyBorder="1" applyAlignment="1">
      <alignment horizontal="center" vertical="center" wrapText="1"/>
    </xf>
    <xf numFmtId="0" fontId="147" fillId="8" borderId="3" xfId="0" applyFont="1" applyFill="1" applyBorder="1" applyAlignment="1">
      <alignment horizontal="center" vertical="center" wrapText="1"/>
    </xf>
    <xf numFmtId="0" fontId="2" fillId="0" borderId="0" xfId="0" applyNumberFormat="1" applyFont="1">
      <alignment vertical="center"/>
    </xf>
    <xf numFmtId="0" fontId="2" fillId="0" borderId="0" xfId="0" pivotButton="1" applyNumberFormat="1" applyFont="1">
      <alignment vertical="center"/>
    </xf>
    <xf numFmtId="0" fontId="2" fillId="12" borderId="0" xfId="0" applyNumberFormat="1" applyFont="1" applyFill="1">
      <alignment vertical="center"/>
    </xf>
  </cellXfs>
  <cellStyles count="198">
    <cellStyle name="20% - Accent1" xfId="118" xr:uid="{E099C5AA-7E77-416C-A467-A4AF734DB88A}"/>
    <cellStyle name="20% - Accent2" xfId="119" xr:uid="{D2746F47-13D7-4030-A3EE-10F8890ABC3C}"/>
    <cellStyle name="20% - Accent3" xfId="120" xr:uid="{C246CC86-B0E3-4216-AD3B-391F8DA41455}"/>
    <cellStyle name="20% - Accent4" xfId="121" xr:uid="{5842AA24-00F3-4051-9B1A-B985A286DB16}"/>
    <cellStyle name="20% - Accent5" xfId="122" xr:uid="{EB09ADAE-B709-4516-BB77-A77D293F282A}"/>
    <cellStyle name="20% - Accent6" xfId="123" xr:uid="{A5545EF7-8D97-4384-8F68-EACA679C5692}"/>
    <cellStyle name="20% - アクセント 1 2" xfId="6" xr:uid="{00000000-0005-0000-0000-000000000000}"/>
    <cellStyle name="20% - アクセント 1 2 2" xfId="58" xr:uid="{93B1B37B-4223-4471-8BC9-515E58924C61}"/>
    <cellStyle name="20% - アクセント 1 2 3" xfId="176" xr:uid="{F6809441-D6B7-4EE8-B972-E61ACE3DBD68}"/>
    <cellStyle name="20% - アクセント 2 2" xfId="7" xr:uid="{00000000-0005-0000-0000-000001000000}"/>
    <cellStyle name="20% - アクセント 2 2 2" xfId="59" xr:uid="{AC9FC9D4-C708-4F91-A5F2-2FD7DE6EE4E6}"/>
    <cellStyle name="20% - アクセント 2 2 3" xfId="177" xr:uid="{C76FB862-84A7-423B-B01F-CE25A1A2C59B}"/>
    <cellStyle name="20% - アクセント 3 2" xfId="8" xr:uid="{00000000-0005-0000-0000-000002000000}"/>
    <cellStyle name="20% - アクセント 3 2 2" xfId="60" xr:uid="{9BAD75F3-A84A-4583-A5AA-F68DD46F3243}"/>
    <cellStyle name="20% - アクセント 3 2 3" xfId="178" xr:uid="{EF936501-97B3-4F8F-81FA-A0EC58D11A48}"/>
    <cellStyle name="20% - アクセント 4 2" xfId="9" xr:uid="{00000000-0005-0000-0000-000003000000}"/>
    <cellStyle name="20% - アクセント 4 2 2" xfId="61" xr:uid="{62D91D3D-39E4-460F-A119-3C3198AA85E4}"/>
    <cellStyle name="20% - アクセント 4 2 3" xfId="179" xr:uid="{F801718C-4405-4690-97E9-58B05E24BCE5}"/>
    <cellStyle name="20% - アクセント 5 2" xfId="10" xr:uid="{00000000-0005-0000-0000-000004000000}"/>
    <cellStyle name="20% - アクセント 5 2 2" xfId="62" xr:uid="{F693805B-6E87-486A-8B82-DFDDD22D6EC0}"/>
    <cellStyle name="20% - アクセント 5 2 3" xfId="174" xr:uid="{12E58015-ADA9-49DE-94D2-60DE68617040}"/>
    <cellStyle name="20% - アクセント 6 2" xfId="11" xr:uid="{00000000-0005-0000-0000-000005000000}"/>
    <cellStyle name="20% - アクセント 6 2 2" xfId="63" xr:uid="{4E7BF85E-A9BB-40AC-BE0F-8CD4CB3619A2}"/>
    <cellStyle name="20% - アクセント 6 2 3" xfId="166" xr:uid="{4AC54A20-B9D2-4DF3-A6DA-52DF1F72E974}"/>
    <cellStyle name="40% - Accent1" xfId="124" xr:uid="{2C9F1776-1268-482C-8881-9A85FDC4A666}"/>
    <cellStyle name="40% - Accent2" xfId="125" xr:uid="{1607D41D-548A-4EEE-B471-3A1A954DB94F}"/>
    <cellStyle name="40% - Accent3" xfId="126" xr:uid="{D6104B9C-9F47-4FD4-94BB-C6D465B06896}"/>
    <cellStyle name="40% - Accent4" xfId="127" xr:uid="{B7A1AC06-F343-4786-8835-CA1CD1BE1A35}"/>
    <cellStyle name="40% - Accent5" xfId="128" xr:uid="{08D2BCE5-4742-458B-867D-E4FAA4AE71F0}"/>
    <cellStyle name="40% - Accent6" xfId="129" xr:uid="{DF39804E-B62C-487A-86BB-EC7F7E30B89D}"/>
    <cellStyle name="40% - アクセント 1 2" xfId="12" xr:uid="{00000000-0005-0000-0000-000006000000}"/>
    <cellStyle name="40% - アクセント 1 2 2" xfId="64" xr:uid="{BAC3ACA4-EEC3-44C3-B19E-477B74016EDF}"/>
    <cellStyle name="40% - アクセント 1 2 3" xfId="172" xr:uid="{5A9B4F31-9C79-4D76-B470-191F05A2827D}"/>
    <cellStyle name="40% - アクセント 2 2" xfId="13" xr:uid="{00000000-0005-0000-0000-000007000000}"/>
    <cellStyle name="40% - アクセント 2 2 2" xfId="65" xr:uid="{36524312-04AD-492C-B64B-C5538D23667D}"/>
    <cellStyle name="40% - アクセント 2 2 3" xfId="180" xr:uid="{9769B935-98BC-432E-BC69-1330A2BB0C72}"/>
    <cellStyle name="40% - アクセント 3 2" xfId="14" xr:uid="{00000000-0005-0000-0000-000008000000}"/>
    <cellStyle name="40% - アクセント 3 2 2" xfId="66" xr:uid="{EFD223D7-BC71-40B2-BF83-DBC879F84FAE}"/>
    <cellStyle name="40% - アクセント 3 2 3" xfId="181" xr:uid="{DE0240AE-A8F0-4EFD-8B5B-D4C33A0A0829}"/>
    <cellStyle name="40% - アクセント 4 2" xfId="15" xr:uid="{00000000-0005-0000-0000-000009000000}"/>
    <cellStyle name="40% - アクセント 4 2 2" xfId="67" xr:uid="{47DB0A52-B826-468A-B2B8-63E40DE40731}"/>
    <cellStyle name="40% - アクセント 4 2 3" xfId="182" xr:uid="{1C047BAD-3B11-4BBB-9A02-62AD45F53276}"/>
    <cellStyle name="40% - アクセント 5 2" xfId="16" xr:uid="{00000000-0005-0000-0000-00000A000000}"/>
    <cellStyle name="40% - アクセント 5 2 2" xfId="68" xr:uid="{214A9DB0-79CA-45BC-86BE-B0C2B3CC60B1}"/>
    <cellStyle name="40% - アクセント 5 2 3" xfId="171" xr:uid="{392EF259-CBE1-48FB-8240-777774849665}"/>
    <cellStyle name="40% - アクセント 6 2" xfId="17" xr:uid="{00000000-0005-0000-0000-00000B000000}"/>
    <cellStyle name="40% - アクセント 6 2 2" xfId="69" xr:uid="{A2721389-0A9B-4A8A-A42A-C070C6E5F592}"/>
    <cellStyle name="40% - アクセント 6 2 3" xfId="173" xr:uid="{67D5AEF9-3CA2-4D89-AE52-286087198F77}"/>
    <cellStyle name="60% - Accent1" xfId="130" xr:uid="{A2903695-C7FB-4D92-B11B-9094BDCC2E18}"/>
    <cellStyle name="60% - Accent2" xfId="131" xr:uid="{1F2C6682-4332-4377-AF5E-077F07C46189}"/>
    <cellStyle name="60% - Accent3" xfId="132" xr:uid="{DB0677B9-E628-465A-B1F7-2ABBC3CF037E}"/>
    <cellStyle name="60% - Accent4" xfId="133" xr:uid="{FD710D3C-D220-48E7-9CF9-B14319D18DA5}"/>
    <cellStyle name="60% - Accent5" xfId="134" xr:uid="{1D1D7A75-FCA5-44C2-8DDF-434F2E7849B4}"/>
    <cellStyle name="60% - Accent6" xfId="135" xr:uid="{C1D79A93-EA70-48D4-87CC-48BECE0EBA7A}"/>
    <cellStyle name="60% - アクセント 1 2" xfId="18" xr:uid="{00000000-0005-0000-0000-00000C000000}"/>
    <cellStyle name="60% - アクセント 1 2 2" xfId="70" xr:uid="{88A5F544-72F4-4E0B-B579-EB87882C9297}"/>
    <cellStyle name="60% - アクセント 1 2 3" xfId="175" xr:uid="{00FD31B0-54D1-48E5-9B4A-E0E109544D74}"/>
    <cellStyle name="60% - アクセント 2 2" xfId="19" xr:uid="{00000000-0005-0000-0000-00000D000000}"/>
    <cellStyle name="60% - アクセント 2 2 2" xfId="71" xr:uid="{AE8CAAEF-1436-4E32-B909-46784CC97E5E}"/>
    <cellStyle name="60% - アクセント 2 2 3" xfId="167" xr:uid="{ECDE0972-342A-4A25-AF54-F8E82BAA5391}"/>
    <cellStyle name="60% - アクセント 3 2" xfId="20" xr:uid="{00000000-0005-0000-0000-00000E000000}"/>
    <cellStyle name="60% - アクセント 3 2 2" xfId="72" xr:uid="{7B68782A-F43F-4039-BC04-089D3D12CDB9}"/>
    <cellStyle name="60% - アクセント 3 2 3" xfId="183" xr:uid="{C2B006E1-8FD1-4E42-8605-3AA95BA3CA8E}"/>
    <cellStyle name="60% - アクセント 4 2" xfId="21" xr:uid="{00000000-0005-0000-0000-00000F000000}"/>
    <cellStyle name="60% - アクセント 4 2 2" xfId="73" xr:uid="{69B0D419-0D95-4BB0-9AF6-148C00235817}"/>
    <cellStyle name="60% - アクセント 4 2 3" xfId="184" xr:uid="{0000001F-38FE-49F6-8254-27662958DAD1}"/>
    <cellStyle name="60% - アクセント 5 2" xfId="22" xr:uid="{00000000-0005-0000-0000-000010000000}"/>
    <cellStyle name="60% - アクセント 5 2 2" xfId="74" xr:uid="{E269374E-8FC2-4C0C-9972-F6D503CADEC1}"/>
    <cellStyle name="60% - アクセント 5 2 3" xfId="185" xr:uid="{474D0212-D675-4D12-B9CD-E2ACDDEA575E}"/>
    <cellStyle name="60% - アクセント 6 2" xfId="23" xr:uid="{00000000-0005-0000-0000-000011000000}"/>
    <cellStyle name="60% - アクセント 6 2 2" xfId="75" xr:uid="{4FD83FC2-0CC9-4856-BD71-88F3DC188352}"/>
    <cellStyle name="60% - アクセント 6 2 3" xfId="165" xr:uid="{0A87DF31-CABC-4CA8-B1D2-6DBCF438A203}"/>
    <cellStyle name="Accent1" xfId="136" xr:uid="{69EF44D3-7FDB-4ECF-9D40-53DCC77547EF}"/>
    <cellStyle name="Accent2" xfId="137" xr:uid="{850EEB35-1185-4C2B-AD36-B13C9C5FA6C2}"/>
    <cellStyle name="Accent3" xfId="138" xr:uid="{32C74EE7-9F9A-44AD-AC32-C172EEA2BC56}"/>
    <cellStyle name="Accent4" xfId="139" xr:uid="{6355443F-D1A2-4E84-B831-F05EC3C8AB20}"/>
    <cellStyle name="Accent5" xfId="140" xr:uid="{9478D594-F576-45CA-8F1E-4CBAFC58E20B}"/>
    <cellStyle name="Accent6" xfId="141" xr:uid="{7D661278-41DF-44E6-BBC2-71190033B1D9}"/>
    <cellStyle name="Bad" xfId="142" xr:uid="{E9C7834F-C3F2-49FD-8278-57CD159EE11D}"/>
    <cellStyle name="Calculation" xfId="143" xr:uid="{CFCC5278-8A9C-4C19-8B33-4A576B356C9A}"/>
    <cellStyle name="Check Cell" xfId="144" xr:uid="{77871CD3-7B59-454B-BCAC-3D79B0E24050}"/>
    <cellStyle name="Explanatory Text" xfId="145" xr:uid="{2C66CA10-5964-4C0C-9421-31A0B68531A0}"/>
    <cellStyle name="Good" xfId="146" xr:uid="{557703CA-6302-41EE-82A7-126425835089}"/>
    <cellStyle name="Heading 1" xfId="147" xr:uid="{B25184AC-DDBA-48AF-8175-C59C24C3C4A0}"/>
    <cellStyle name="Heading 2" xfId="148" xr:uid="{8F4F74BE-195A-4B12-BF96-8E4BCB49A9E4}"/>
    <cellStyle name="Heading 3" xfId="149" xr:uid="{64F7CB7C-C422-4C67-9BDE-83B8A921E080}"/>
    <cellStyle name="Heading 4" xfId="150" xr:uid="{5D75557F-E595-411A-AF5C-F95A68BA1BA0}"/>
    <cellStyle name="Hyperlink" xfId="54" xr:uid="{00000000-0005-0000-0000-000012000000}"/>
    <cellStyle name="Input" xfId="151" xr:uid="{806A4384-C45E-4A87-B14C-335D6E4807E9}"/>
    <cellStyle name="Linked Cell" xfId="152" xr:uid="{D262322E-8B64-41BA-ADFD-79BEB1F80873}"/>
    <cellStyle name="Neutral" xfId="153" xr:uid="{F90A6E4F-91EB-46EA-8567-87DCA55BC191}"/>
    <cellStyle name="Note" xfId="154" xr:uid="{7D9A44DA-A6F3-4ADB-8FB0-29237FABACB4}"/>
    <cellStyle name="Output" xfId="155" xr:uid="{F8F9FD85-7E48-4842-9E0F-AEBF4F28D9D6}"/>
    <cellStyle name="Title" xfId="156" xr:uid="{739910E1-FD45-4D21-AC5E-D84EFD90ADFA}"/>
    <cellStyle name="Total" xfId="157" xr:uid="{62B3CA4B-E820-44F5-80DF-B6267A8205B5}"/>
    <cellStyle name="Warning Text" xfId="158" xr:uid="{65F76EF7-78DF-4696-AF28-03C85C79A80B}"/>
    <cellStyle name="アクセント 1 2" xfId="24" xr:uid="{00000000-0005-0000-0000-000013000000}"/>
    <cellStyle name="アクセント 1 2 2" xfId="76" xr:uid="{8A2CA148-3A98-4457-999C-489EC1322780}"/>
    <cellStyle name="アクセント 1 2 3" xfId="186" xr:uid="{3ABFF7BE-415E-49E1-919A-87CCF56D27CB}"/>
    <cellStyle name="アクセント 2 2" xfId="25" xr:uid="{00000000-0005-0000-0000-000014000000}"/>
    <cellStyle name="アクセント 2 2 2" xfId="77" xr:uid="{81EDA75B-0BBD-4BA5-A228-0E1AB604C3B0}"/>
    <cellStyle name="アクセント 2 2 3" xfId="187" xr:uid="{A3499425-27CE-48D5-84BC-833B490CD9B6}"/>
    <cellStyle name="アクセント 3 2" xfId="26" xr:uid="{00000000-0005-0000-0000-000015000000}"/>
    <cellStyle name="アクセント 3 2 2" xfId="78" xr:uid="{B0727121-4DEB-4ACA-885D-BDDCCA4A709F}"/>
    <cellStyle name="アクセント 3 2 3" xfId="169" xr:uid="{A4A10172-D096-4A78-88F1-2C2371AE7692}"/>
    <cellStyle name="アクセント 4 2" xfId="27" xr:uid="{00000000-0005-0000-0000-000016000000}"/>
    <cellStyle name="アクセント 4 2 2" xfId="79" xr:uid="{6F8013C0-37DC-4F2B-9910-F03530B910C3}"/>
    <cellStyle name="アクセント 4 2 3" xfId="188" xr:uid="{25D96AA8-047F-489B-A863-3F6E07B3D292}"/>
    <cellStyle name="アクセント 5 2" xfId="28" xr:uid="{00000000-0005-0000-0000-000017000000}"/>
    <cellStyle name="アクセント 5 2 2" xfId="80" xr:uid="{E585C911-3B98-4664-A429-B3C45BA76206}"/>
    <cellStyle name="アクセント 5 2 3" xfId="164" xr:uid="{F8836CAA-E700-46B9-A65C-39DBC9405500}"/>
    <cellStyle name="アクセント 6 2" xfId="29" xr:uid="{00000000-0005-0000-0000-000018000000}"/>
    <cellStyle name="アクセント 6 2 2" xfId="81" xr:uid="{9E07A792-8415-4A0C-9479-D16A4E2E4CD0}"/>
    <cellStyle name="アクセント 6 2 3" xfId="189" xr:uid="{A19FF03A-3E4D-404A-80FF-9CAD2397AEEB}"/>
    <cellStyle name="タイトル 2" xfId="30" xr:uid="{00000000-0005-0000-0000-000019000000}"/>
    <cellStyle name="タイトル 2 2" xfId="82" xr:uid="{727D86B2-9745-4A14-B4B2-1AEBFCF029AC}"/>
    <cellStyle name="チェック セル 2" xfId="31" xr:uid="{00000000-0005-0000-0000-00001A000000}"/>
    <cellStyle name="チェック セル 2 2" xfId="83" xr:uid="{AB4D04A7-F402-4E11-9EB2-FD5739399C8B}"/>
    <cellStyle name="チェック セル 2 3" xfId="190" xr:uid="{E9729297-6C48-4D5F-AAA9-D08343AA4D46}"/>
    <cellStyle name="どちらでもない 2" xfId="32" xr:uid="{00000000-0005-0000-0000-00001B000000}"/>
    <cellStyle name="どちらでもない 2 2" xfId="84" xr:uid="{3D8FB1E7-9F50-427A-89B3-23DC0BDCC957}"/>
    <cellStyle name="どちらでもない 2 3" xfId="168" xr:uid="{898391B2-4FAB-448F-9D37-EABAFDEF3B39}"/>
    <cellStyle name="メモ 2" xfId="33" xr:uid="{00000000-0005-0000-0000-00001C000000}"/>
    <cellStyle name="メモ 2 2" xfId="85" xr:uid="{A6876E94-8521-4703-B9D5-E52C2EFA0844}"/>
    <cellStyle name="メモ 2 3" xfId="192" xr:uid="{A4497DF9-F2FD-434D-B294-14F26941CEE1}"/>
    <cellStyle name="リンク セル 2" xfId="34" xr:uid="{00000000-0005-0000-0000-00001D000000}"/>
    <cellStyle name="リンク セル 2 2" xfId="86" xr:uid="{F8AAC121-C414-4B85-AA84-4812B5D52F70}"/>
    <cellStyle name="百分比 2" xfId="159" xr:uid="{BC80739A-DF4E-4903-9152-AF3DF52BC4A6}"/>
    <cellStyle name="標準 2" xfId="5" xr:uid="{00000000-0005-0000-0000-00001E000000}"/>
    <cellStyle name="標準 2 2" xfId="101" xr:uid="{2541B414-4C8B-4078-B835-B89F559F9BA0}"/>
    <cellStyle name="標準 2 2 2" xfId="109" xr:uid="{75B83619-4791-44E3-8A6B-A288940D8AC9}"/>
    <cellStyle name="標準 2 2 2 2" xfId="110" xr:uid="{448F7802-0D8D-4E29-B34B-F4C9C3B407D0}"/>
    <cellStyle name="標準 2 2 3" xfId="108" xr:uid="{B83E9EFD-AB7A-4EEE-809A-F16BB03B66FC}"/>
    <cellStyle name="標準 2 3" xfId="57" xr:uid="{3DECF460-AA55-4C10-BBEB-D810F231115F}"/>
    <cellStyle name="標準 3" xfId="55" xr:uid="{8970CD71-4BD7-4622-B8D3-4DCB21152DFD}"/>
    <cellStyle name="標準 3 2" xfId="197" xr:uid="{2A3D8A34-90E8-4F0B-8A91-5DBEA8047319}"/>
    <cellStyle name="標準_毎月提出分（ステップ管理）" xfId="53" xr:uid="{00000000-0005-0000-0000-00001F000000}"/>
    <cellStyle name="常规" xfId="0" builtinId="0"/>
    <cellStyle name="常规 10" xfId="162" xr:uid="{CC44848C-E684-4778-B19F-02DCF817589F}"/>
    <cellStyle name="常规 11" xfId="163" xr:uid="{5218506F-C925-44F4-9253-48D0E018DC28}"/>
    <cellStyle name="常规 2" xfId="2" xr:uid="{00000000-0005-0000-0000-000021000000}"/>
    <cellStyle name="常规 2 2" xfId="49" xr:uid="{00000000-0005-0000-0000-000022000000}"/>
    <cellStyle name="常规 2 2 2" xfId="52" xr:uid="{00000000-0005-0000-0000-000023000000}"/>
    <cellStyle name="常规 2 2 3" xfId="112" xr:uid="{0A9ED52A-E1CA-46A3-8809-7DA6C6F9B70A}"/>
    <cellStyle name="常规 2 3" xfId="111" xr:uid="{E4F80272-4B4D-46CF-80EC-15D73A85A051}"/>
    <cellStyle name="常规 3" xfId="4" xr:uid="{00000000-0005-0000-0000-000024000000}"/>
    <cellStyle name="常规 3 2" xfId="160" xr:uid="{97D8608B-57A8-4BE5-AC9C-9638D0642092}"/>
    <cellStyle name="常规 4" xfId="50" xr:uid="{00000000-0005-0000-0000-000025000000}"/>
    <cellStyle name="常规 5" xfId="51" xr:uid="{00000000-0005-0000-0000-000026000000}"/>
    <cellStyle name="常规 6" xfId="1" xr:uid="{00000000-0005-0000-0000-000027000000}"/>
    <cellStyle name="常规 7" xfId="56" xr:uid="{ED19D9A9-AEA5-4DD5-AB53-6C0B93BADA64}"/>
    <cellStyle name="常规 8" xfId="107" xr:uid="{3B8B022A-612B-4F97-8F51-A60861540590}"/>
    <cellStyle name="常规 9" xfId="117" xr:uid="{1DE385F2-259E-4ACD-8133-B8424CEE23CA}"/>
    <cellStyle name="出力 2" xfId="43" xr:uid="{00000000-0005-0000-0000-000028000000}"/>
    <cellStyle name="出力 2 2" xfId="95" xr:uid="{B0258FE4-2647-4584-B045-7C4C654622EA}"/>
    <cellStyle name="出力 2 3" xfId="170" xr:uid="{A3A11DC7-E9F7-4364-ADAA-C1F84F28919B}"/>
    <cellStyle name="悪い 2" xfId="35" xr:uid="{00000000-0005-0000-0000-000029000000}"/>
    <cellStyle name="悪い 2 2" xfId="87" xr:uid="{8CE7099A-76BF-4628-ADE2-BF0EB3D64C09}"/>
    <cellStyle name="悪い 2 3" xfId="193" xr:uid="{55F5198F-C227-43FE-9247-74781A887AB6}"/>
    <cellStyle name="桁区切り 2" xfId="102" xr:uid="{C1690814-A8E1-4493-8A29-EF2A89A54E38}"/>
    <cellStyle name="桁区切り 2 2" xfId="103" xr:uid="{1EDBC876-A183-4D1B-B51C-86BC3320BA3B}"/>
    <cellStyle name="集計 2" xfId="42" xr:uid="{00000000-0005-0000-0000-00002A000000}"/>
    <cellStyle name="集計 2 2" xfId="94" xr:uid="{07517CEE-7E28-40F7-AD10-6E2FA66061C6}"/>
    <cellStyle name="計算 2" xfId="36" xr:uid="{00000000-0005-0000-0000-00002B000000}"/>
    <cellStyle name="計算 2 2" xfId="88" xr:uid="{68EC6534-5D94-4FE4-82DA-320FE64D34BD}"/>
    <cellStyle name="計算 2 3" xfId="194" xr:uid="{46DE66F2-44A0-4732-A47E-884E23D36492}"/>
    <cellStyle name="見出し 1 2" xfId="38" xr:uid="{00000000-0005-0000-0000-00002C000000}"/>
    <cellStyle name="見出し 1 2 2" xfId="90" xr:uid="{986FEF1B-EAB9-4CEB-9D6C-36159E6386F5}"/>
    <cellStyle name="見出し 2 2" xfId="39" xr:uid="{00000000-0005-0000-0000-00002D000000}"/>
    <cellStyle name="見出し 2 2 2" xfId="91" xr:uid="{EC0D8C16-7061-4CCB-AEE6-EA0BEC166C57}"/>
    <cellStyle name="見出し 3 2" xfId="40" xr:uid="{00000000-0005-0000-0000-00002E000000}"/>
    <cellStyle name="見出し 3 2 2" xfId="92" xr:uid="{B7AACF43-E557-4F8F-85FE-684B331F6FB4}"/>
    <cellStyle name="見出し 4 2" xfId="41" xr:uid="{00000000-0005-0000-0000-00002F000000}"/>
    <cellStyle name="見出し 4 2 2" xfId="93" xr:uid="{79252D49-4D92-45B7-A626-0DF278680033}"/>
    <cellStyle name="警告文 2" xfId="37" xr:uid="{00000000-0005-0000-0000-000030000000}"/>
    <cellStyle name="警告文 2 2" xfId="89" xr:uid="{7F18428B-D3B5-4BB8-898B-DEABCACE9830}"/>
    <cellStyle name="良い 2" xfId="48" xr:uid="{00000000-0005-0000-0000-000031000000}"/>
    <cellStyle name="良い 2 2" xfId="100" xr:uid="{36663336-0EA9-436E-AE51-8722F3990906}"/>
    <cellStyle name="良い 2 3" xfId="196" xr:uid="{271C0662-6998-4316-8E95-B56A7D8AF2BF}"/>
    <cellStyle name="千位分隔" xfId="3" builtinId="3"/>
    <cellStyle name="千位分隔 2" xfId="113" xr:uid="{341C43DC-8283-42F9-B65E-075DCD8FE8F2}"/>
    <cellStyle name="千位分隔 2 2" xfId="114" xr:uid="{A0C852B1-C107-4F42-BAF2-C3C7567C2A1B}"/>
    <cellStyle name="千位分隔[0] 2" xfId="161" xr:uid="{0FD64889-38E9-40BC-9B4C-B1796030BC0C}"/>
    <cellStyle name="入力 2" xfId="46" xr:uid="{00000000-0005-0000-0000-000033000000}"/>
    <cellStyle name="入力 2 2" xfId="98" xr:uid="{95D830BD-5A92-47B7-89E3-92900CAA04D5}"/>
    <cellStyle name="入力 2 3" xfId="191" xr:uid="{A2B0FF63-98FA-4B0F-B244-B0B9E3C956E8}"/>
    <cellStyle name="説明文 2" xfId="44" xr:uid="{00000000-0005-0000-0000-000034000000}"/>
    <cellStyle name="説明文 2 2" xfId="96" xr:uid="{2115F824-121A-4A33-9CE6-0C3689B698FC}"/>
    <cellStyle name="通貨 2" xfId="45" xr:uid="{00000000-0005-0000-0000-000035000000}"/>
    <cellStyle name="通貨 2 2" xfId="97" xr:uid="{C633F7A3-4F9F-404F-9F0E-508FBECFB47F}"/>
    <cellStyle name="通貨 2 3" xfId="104" xr:uid="{3D559530-BE9E-4871-AA07-5129F419DDEC}"/>
    <cellStyle name="通貨 2 4" xfId="105" xr:uid="{5C5F1318-4B4A-49A7-9C4F-DB4860191F1C}"/>
    <cellStyle name="通貨 2 5" xfId="106" xr:uid="{57B0F902-5311-4453-8500-4C1E800EA078}"/>
    <cellStyle name="通貨 2 6" xfId="115" xr:uid="{B917CC20-1825-4989-9E51-6F363E52C125}"/>
    <cellStyle name="通貨 2 7" xfId="116" xr:uid="{AAA512C6-9E14-45AD-9340-782C3102469C}"/>
    <cellStyle name="通貨 2 8" xfId="195" xr:uid="{ECD12CC4-9CEA-41AD-8F5B-FB1276B2CCBD}"/>
    <cellStyle name="未定義" xfId="47" xr:uid="{00000000-0005-0000-0000-000036000000}"/>
    <cellStyle name="未定義 2" xfId="99" xr:uid="{61609E84-049E-47EC-A2EA-D80DF99C1FAA}"/>
  </cellStyles>
  <dxfs count="2314">
    <dxf>
      <numFmt numFmtId="0" formatCode="General"/>
    </dxf>
    <dxf>
      <numFmt numFmtId="0" formatCode="General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0" formatCode="General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181" formatCode="[$-409]mmm\-yy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81" formatCode="[$-409]mmm\-yy;@"/>
    </dxf>
    <dxf>
      <numFmt numFmtId="181" formatCode="[$-409]mmm\-yy;@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0" formatCode="General"/>
    </dxf>
    <dxf>
      <numFmt numFmtId="0" formatCode="General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2313"/>
      <tableStyleElement type="headerRow" dxfId="2312"/>
    </tableStyle>
  </tableStyles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7.xml"/><Relationship Id="rId21" Type="http://schemas.openxmlformats.org/officeDocument/2006/relationships/pivotCacheDefinition" Target="pivotCache/pivotCacheDefinition2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6.xml"/><Relationship Id="rId33" Type="http://schemas.openxmlformats.org/officeDocument/2006/relationships/styles" Target="styles.xml"/><Relationship Id="rId38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29" Type="http://schemas.openxmlformats.org/officeDocument/2006/relationships/pivotCacheDefinition" Target="pivotCache/pivotCacheDefinition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5.xml"/><Relationship Id="rId32" Type="http://schemas.openxmlformats.org/officeDocument/2006/relationships/theme" Target="theme/theme1.xml"/><Relationship Id="rId37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4.xml"/><Relationship Id="rId28" Type="http://schemas.openxmlformats.org/officeDocument/2006/relationships/pivotCacheDefinition" Target="pivotCache/pivotCacheDefinition9.xml"/><Relationship Id="rId36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31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Relationship Id="rId27" Type="http://schemas.openxmlformats.org/officeDocument/2006/relationships/pivotCacheDefinition" Target="pivotCache/pivotCacheDefinition8.xml"/><Relationship Id="rId30" Type="http://schemas.microsoft.com/office/2007/relationships/slicerCache" Target="slicerCaches/slicerCache1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[stock_list.xlsx]Moving chart!数据透视表1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'Moving chart'!$B$3:$B$4</c:f>
              <c:strCache>
                <c:ptCount val="1"/>
                <c:pt idx="0">
                  <c:v>SS 8mm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chart'!$A$5:$A$18</c:f>
              <c:strCache>
                <c:ptCount val="14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  <c:pt idx="13">
                  <c:v>FEB 24</c:v>
                </c:pt>
              </c:strCache>
            </c:strRef>
          </c:cat>
          <c:val>
            <c:numRef>
              <c:f>'Moving chart'!$B$5:$B$18</c:f>
              <c:numCache>
                <c:formatCode>General</c:formatCode>
                <c:ptCount val="14"/>
                <c:pt idx="0">
                  <c:v>8575</c:v>
                </c:pt>
                <c:pt idx="1">
                  <c:v>8347</c:v>
                </c:pt>
                <c:pt idx="2">
                  <c:v>7622</c:v>
                </c:pt>
                <c:pt idx="3">
                  <c:v>6890</c:v>
                </c:pt>
                <c:pt idx="4">
                  <c:v>6068</c:v>
                </c:pt>
                <c:pt idx="5">
                  <c:v>5451</c:v>
                </c:pt>
                <c:pt idx="6">
                  <c:v>4737</c:v>
                </c:pt>
                <c:pt idx="7">
                  <c:v>4445</c:v>
                </c:pt>
                <c:pt idx="8">
                  <c:v>3665</c:v>
                </c:pt>
                <c:pt idx="9">
                  <c:v>3558</c:v>
                </c:pt>
                <c:pt idx="10">
                  <c:v>3356</c:v>
                </c:pt>
                <c:pt idx="11">
                  <c:v>3207</c:v>
                </c:pt>
                <c:pt idx="12">
                  <c:v>2749</c:v>
                </c:pt>
                <c:pt idx="13">
                  <c:v>2704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A8-40EA-81FA-9CB45AD1909B}"/>
            </c:ext>
          </c:extLst>
        </c:ser>
        <c:ser>
          <c:idx val="1"/>
          <c:order val="1"/>
          <c:tx>
            <c:strRef>
              <c:f>'Moving chart'!$C$3:$C$4</c:f>
              <c:strCache>
                <c:ptCount val="1"/>
                <c:pt idx="0">
                  <c:v>SS 12/16mm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chart'!$A$5:$A$18</c:f>
              <c:strCache>
                <c:ptCount val="14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  <c:pt idx="13">
                  <c:v>FEB 24</c:v>
                </c:pt>
              </c:strCache>
            </c:strRef>
          </c:cat>
          <c:val>
            <c:numRef>
              <c:f>'Moving chart'!$C$5:$C$18</c:f>
              <c:numCache>
                <c:formatCode>General</c:formatCode>
                <c:ptCount val="14"/>
                <c:pt idx="0">
                  <c:v>1456</c:v>
                </c:pt>
                <c:pt idx="1">
                  <c:v>1405</c:v>
                </c:pt>
                <c:pt idx="2">
                  <c:v>1338</c:v>
                </c:pt>
                <c:pt idx="3">
                  <c:v>1237</c:v>
                </c:pt>
                <c:pt idx="4">
                  <c:v>1039</c:v>
                </c:pt>
                <c:pt idx="5">
                  <c:v>1101</c:v>
                </c:pt>
                <c:pt idx="6">
                  <c:v>1068</c:v>
                </c:pt>
                <c:pt idx="7">
                  <c:v>1003</c:v>
                </c:pt>
                <c:pt idx="8">
                  <c:v>841</c:v>
                </c:pt>
                <c:pt idx="9">
                  <c:v>831</c:v>
                </c:pt>
                <c:pt idx="10">
                  <c:v>786</c:v>
                </c:pt>
                <c:pt idx="11">
                  <c:v>774</c:v>
                </c:pt>
                <c:pt idx="12">
                  <c:v>653</c:v>
                </c:pt>
                <c:pt idx="13">
                  <c:v>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67A-4239-8E48-28C33BEF2D62}"/>
            </c:ext>
          </c:extLst>
        </c:ser>
        <c:ser>
          <c:idx val="2"/>
          <c:order val="2"/>
          <c:tx>
            <c:strRef>
              <c:f>'Moving chart'!$D$3:$D$4</c:f>
              <c:strCache>
                <c:ptCount val="1"/>
                <c:pt idx="0">
                  <c:v>SS 24mm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chart'!$A$5:$A$18</c:f>
              <c:strCache>
                <c:ptCount val="14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  <c:pt idx="13">
                  <c:v>FEB 24</c:v>
                </c:pt>
              </c:strCache>
            </c:strRef>
          </c:cat>
          <c:val>
            <c:numRef>
              <c:f>'Moving chart'!$D$5:$D$18</c:f>
              <c:numCache>
                <c:formatCode>General</c:formatCode>
                <c:ptCount val="14"/>
                <c:pt idx="0">
                  <c:v>330</c:v>
                </c:pt>
                <c:pt idx="1">
                  <c:v>317</c:v>
                </c:pt>
                <c:pt idx="2">
                  <c:v>306</c:v>
                </c:pt>
                <c:pt idx="3">
                  <c:v>276</c:v>
                </c:pt>
                <c:pt idx="4">
                  <c:v>228</c:v>
                </c:pt>
                <c:pt idx="5">
                  <c:v>227</c:v>
                </c:pt>
                <c:pt idx="6">
                  <c:v>225</c:v>
                </c:pt>
                <c:pt idx="7">
                  <c:v>209</c:v>
                </c:pt>
                <c:pt idx="8">
                  <c:v>187</c:v>
                </c:pt>
                <c:pt idx="9">
                  <c:v>187</c:v>
                </c:pt>
                <c:pt idx="10">
                  <c:v>171</c:v>
                </c:pt>
                <c:pt idx="11">
                  <c:v>167</c:v>
                </c:pt>
                <c:pt idx="12">
                  <c:v>141</c:v>
                </c:pt>
                <c:pt idx="13">
                  <c:v>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67A-4239-8E48-28C33BEF2D62}"/>
            </c:ext>
          </c:extLst>
        </c:ser>
        <c:ser>
          <c:idx val="3"/>
          <c:order val="3"/>
          <c:tx>
            <c:strRef>
              <c:f>'Moving chart'!$E$3:$E$4</c:f>
              <c:strCache>
                <c:ptCount val="1"/>
                <c:pt idx="0">
                  <c:v>SS 32mm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chart'!$A$5:$A$18</c:f>
              <c:strCache>
                <c:ptCount val="14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  <c:pt idx="13">
                  <c:v>FEB 24</c:v>
                </c:pt>
              </c:strCache>
            </c:strRef>
          </c:cat>
          <c:val>
            <c:numRef>
              <c:f>'Moving chart'!$E$5:$E$18</c:f>
              <c:numCache>
                <c:formatCode>General</c:formatCode>
                <c:ptCount val="14"/>
                <c:pt idx="0">
                  <c:v>276</c:v>
                </c:pt>
                <c:pt idx="1">
                  <c:v>274</c:v>
                </c:pt>
                <c:pt idx="2">
                  <c:v>269</c:v>
                </c:pt>
                <c:pt idx="3">
                  <c:v>255</c:v>
                </c:pt>
                <c:pt idx="4">
                  <c:v>234</c:v>
                </c:pt>
                <c:pt idx="5">
                  <c:v>227</c:v>
                </c:pt>
                <c:pt idx="6">
                  <c:v>224</c:v>
                </c:pt>
                <c:pt idx="7">
                  <c:v>220</c:v>
                </c:pt>
                <c:pt idx="8">
                  <c:v>214</c:v>
                </c:pt>
                <c:pt idx="9">
                  <c:v>211</c:v>
                </c:pt>
                <c:pt idx="10">
                  <c:v>205</c:v>
                </c:pt>
                <c:pt idx="11">
                  <c:v>205</c:v>
                </c:pt>
                <c:pt idx="12">
                  <c:v>200</c:v>
                </c:pt>
                <c:pt idx="13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67A-4239-8E48-28C33BEF2D62}"/>
            </c:ext>
          </c:extLst>
        </c:ser>
        <c:ser>
          <c:idx val="4"/>
          <c:order val="4"/>
          <c:tx>
            <c:strRef>
              <c:f>'Moving chart'!$F$3:$F$4</c:f>
              <c:strCache>
                <c:ptCount val="1"/>
                <c:pt idx="0">
                  <c:v>SS 44mm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chart'!$A$5:$A$18</c:f>
              <c:strCache>
                <c:ptCount val="14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  <c:pt idx="13">
                  <c:v>FEB 24</c:v>
                </c:pt>
              </c:strCache>
            </c:strRef>
          </c:cat>
          <c:val>
            <c:numRef>
              <c:f>'Moving chart'!$F$5:$F$18</c:f>
              <c:numCache>
                <c:formatCode>General</c:formatCode>
                <c:ptCount val="14"/>
                <c:pt idx="0">
                  <c:v>107</c:v>
                </c:pt>
                <c:pt idx="1">
                  <c:v>106</c:v>
                </c:pt>
                <c:pt idx="2">
                  <c:v>104</c:v>
                </c:pt>
                <c:pt idx="3">
                  <c:v>97</c:v>
                </c:pt>
                <c:pt idx="4">
                  <c:v>69</c:v>
                </c:pt>
                <c:pt idx="5">
                  <c:v>76</c:v>
                </c:pt>
                <c:pt idx="6">
                  <c:v>72</c:v>
                </c:pt>
                <c:pt idx="7">
                  <c:v>69</c:v>
                </c:pt>
                <c:pt idx="8">
                  <c:v>68</c:v>
                </c:pt>
                <c:pt idx="9">
                  <c:v>67</c:v>
                </c:pt>
                <c:pt idx="10">
                  <c:v>66</c:v>
                </c:pt>
                <c:pt idx="11">
                  <c:v>66</c:v>
                </c:pt>
                <c:pt idx="12">
                  <c:v>62</c:v>
                </c:pt>
                <c:pt idx="13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67A-4239-8E48-28C33BEF2D62}"/>
            </c:ext>
          </c:extLst>
        </c:ser>
        <c:ser>
          <c:idx val="5"/>
          <c:order val="5"/>
          <c:tx>
            <c:strRef>
              <c:f>'Moving chart'!$G$3:$G$4</c:f>
              <c:strCache>
                <c:ptCount val="1"/>
                <c:pt idx="0">
                  <c:v>SS 56mm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chart'!$A$5:$A$18</c:f>
              <c:strCache>
                <c:ptCount val="14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  <c:pt idx="13">
                  <c:v>FEB 24</c:v>
                </c:pt>
              </c:strCache>
            </c:strRef>
          </c:cat>
          <c:val>
            <c:numRef>
              <c:f>'Moving chart'!$G$5:$G$18</c:f>
              <c:numCache>
                <c:formatCode>General</c:formatCode>
                <c:ptCount val="14"/>
                <c:pt idx="0">
                  <c:v>13</c:v>
                </c:pt>
                <c:pt idx="1">
                  <c:v>7</c:v>
                </c:pt>
                <c:pt idx="2">
                  <c:v>10</c:v>
                </c:pt>
                <c:pt idx="3">
                  <c:v>5</c:v>
                </c:pt>
                <c:pt idx="4">
                  <c:v>4</c:v>
                </c:pt>
                <c:pt idx="5">
                  <c:v>7</c:v>
                </c:pt>
                <c:pt idx="6">
                  <c:v>7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67A-4239-8E48-28C33BEF2D62}"/>
            </c:ext>
          </c:extLst>
        </c:ser>
        <c:ser>
          <c:idx val="6"/>
          <c:order val="6"/>
          <c:tx>
            <c:strRef>
              <c:f>'Moving chart'!$H$3:$H$4</c:f>
              <c:strCache>
                <c:ptCount val="1"/>
                <c:pt idx="0">
                  <c:v>SS 72mm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chart'!$A$5:$A$18</c:f>
              <c:strCache>
                <c:ptCount val="14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  <c:pt idx="13">
                  <c:v>FEB 24</c:v>
                </c:pt>
              </c:strCache>
            </c:strRef>
          </c:cat>
          <c:val>
            <c:numRef>
              <c:f>'Moving chart'!$H$5:$H$18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67A-4239-8E48-28C33BEF2D62}"/>
            </c:ext>
          </c:extLst>
        </c:ser>
        <c:ser>
          <c:idx val="7"/>
          <c:order val="7"/>
          <c:tx>
            <c:strRef>
              <c:f>'Moving chart'!$I$3:$I$4</c:f>
              <c:strCache>
                <c:ptCount val="1"/>
                <c:pt idx="0">
                  <c:v>ZS 8mm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chart'!$A$5:$A$18</c:f>
              <c:strCache>
                <c:ptCount val="14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  <c:pt idx="13">
                  <c:v>FEB 24</c:v>
                </c:pt>
              </c:strCache>
            </c:strRef>
          </c:cat>
          <c:val>
            <c:numRef>
              <c:f>'Moving chart'!$I$5:$I$18</c:f>
              <c:numCache>
                <c:formatCode>General</c:formatCode>
                <c:ptCount val="14"/>
                <c:pt idx="0">
                  <c:v>1283</c:v>
                </c:pt>
                <c:pt idx="1">
                  <c:v>1283</c:v>
                </c:pt>
                <c:pt idx="2">
                  <c:v>1283</c:v>
                </c:pt>
                <c:pt idx="3">
                  <c:v>1283</c:v>
                </c:pt>
                <c:pt idx="4">
                  <c:v>1073</c:v>
                </c:pt>
                <c:pt idx="5">
                  <c:v>982</c:v>
                </c:pt>
                <c:pt idx="6">
                  <c:v>932</c:v>
                </c:pt>
                <c:pt idx="7">
                  <c:v>929</c:v>
                </c:pt>
                <c:pt idx="8">
                  <c:v>879</c:v>
                </c:pt>
                <c:pt idx="9">
                  <c:v>820</c:v>
                </c:pt>
                <c:pt idx="10">
                  <c:v>490</c:v>
                </c:pt>
                <c:pt idx="11">
                  <c:v>313</c:v>
                </c:pt>
                <c:pt idx="12">
                  <c:v>193</c:v>
                </c:pt>
                <c:pt idx="13">
                  <c:v>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67A-4239-8E48-28C33BEF2D62}"/>
            </c:ext>
          </c:extLst>
        </c:ser>
        <c:ser>
          <c:idx val="8"/>
          <c:order val="8"/>
          <c:tx>
            <c:strRef>
              <c:f>'Moving chart'!$J$3:$J$4</c:f>
              <c:strCache>
                <c:ptCount val="1"/>
                <c:pt idx="0">
                  <c:v>ZS 12/16mm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chart'!$A$5:$A$18</c:f>
              <c:strCache>
                <c:ptCount val="14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  <c:pt idx="13">
                  <c:v>FEB 24</c:v>
                </c:pt>
              </c:strCache>
            </c:strRef>
          </c:cat>
          <c:val>
            <c:numRef>
              <c:f>'Moving chart'!$J$5:$J$18</c:f>
              <c:numCache>
                <c:formatCode>General</c:formatCode>
                <c:ptCount val="14"/>
                <c:pt idx="0">
                  <c:v>475</c:v>
                </c:pt>
                <c:pt idx="1">
                  <c:v>475</c:v>
                </c:pt>
                <c:pt idx="2">
                  <c:v>475</c:v>
                </c:pt>
                <c:pt idx="3">
                  <c:v>475</c:v>
                </c:pt>
                <c:pt idx="4">
                  <c:v>443</c:v>
                </c:pt>
                <c:pt idx="5">
                  <c:v>453</c:v>
                </c:pt>
                <c:pt idx="6">
                  <c:v>453</c:v>
                </c:pt>
                <c:pt idx="7">
                  <c:v>453</c:v>
                </c:pt>
                <c:pt idx="8">
                  <c:v>452</c:v>
                </c:pt>
                <c:pt idx="9">
                  <c:v>436</c:v>
                </c:pt>
                <c:pt idx="10">
                  <c:v>436</c:v>
                </c:pt>
                <c:pt idx="11">
                  <c:v>421</c:v>
                </c:pt>
                <c:pt idx="12">
                  <c:v>407</c:v>
                </c:pt>
                <c:pt idx="13">
                  <c:v>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67A-4239-8E48-28C33BEF2D62}"/>
            </c:ext>
          </c:extLst>
        </c:ser>
        <c:ser>
          <c:idx val="9"/>
          <c:order val="9"/>
          <c:tx>
            <c:strRef>
              <c:f>'Moving chart'!$K$3:$K$4</c:f>
              <c:strCache>
                <c:ptCount val="1"/>
                <c:pt idx="0">
                  <c:v>ZS 24mm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chart'!$A$5:$A$18</c:f>
              <c:strCache>
                <c:ptCount val="14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  <c:pt idx="13">
                  <c:v>FEB 24</c:v>
                </c:pt>
              </c:strCache>
            </c:strRef>
          </c:cat>
          <c:val>
            <c:numRef>
              <c:f>'Moving chart'!$K$5:$K$18</c:f>
              <c:numCache>
                <c:formatCode>General</c:formatCode>
                <c:ptCount val="14"/>
                <c:pt idx="0">
                  <c:v>160</c:v>
                </c:pt>
                <c:pt idx="1">
                  <c:v>160</c:v>
                </c:pt>
                <c:pt idx="2">
                  <c:v>160</c:v>
                </c:pt>
                <c:pt idx="3">
                  <c:v>160</c:v>
                </c:pt>
                <c:pt idx="4">
                  <c:v>148</c:v>
                </c:pt>
                <c:pt idx="5">
                  <c:v>148</c:v>
                </c:pt>
                <c:pt idx="6">
                  <c:v>148</c:v>
                </c:pt>
                <c:pt idx="7">
                  <c:v>148</c:v>
                </c:pt>
                <c:pt idx="8">
                  <c:v>148</c:v>
                </c:pt>
                <c:pt idx="9">
                  <c:v>135</c:v>
                </c:pt>
                <c:pt idx="10">
                  <c:v>129</c:v>
                </c:pt>
                <c:pt idx="11">
                  <c:v>126</c:v>
                </c:pt>
                <c:pt idx="12">
                  <c:v>118</c:v>
                </c:pt>
                <c:pt idx="13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67A-4239-8E48-28C33BEF2D62}"/>
            </c:ext>
          </c:extLst>
        </c:ser>
        <c:ser>
          <c:idx val="10"/>
          <c:order val="10"/>
          <c:tx>
            <c:strRef>
              <c:f>'Moving chart'!$L$3:$L$4</c:f>
              <c:strCache>
                <c:ptCount val="1"/>
                <c:pt idx="0">
                  <c:v>ZS 32mm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chart'!$A$5:$A$18</c:f>
              <c:strCache>
                <c:ptCount val="14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  <c:pt idx="13">
                  <c:v>FEB 24</c:v>
                </c:pt>
              </c:strCache>
            </c:strRef>
          </c:cat>
          <c:val>
            <c:numRef>
              <c:f>'Moving chart'!$L$5:$L$18</c:f>
              <c:numCache>
                <c:formatCode>General</c:formatCode>
                <c:ptCount val="14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51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47</c:v>
                </c:pt>
                <c:pt idx="12">
                  <c:v>42</c:v>
                </c:pt>
                <c:pt idx="13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67A-4239-8E48-28C33BEF2D62}"/>
            </c:ext>
          </c:extLst>
        </c:ser>
        <c:ser>
          <c:idx val="11"/>
          <c:order val="11"/>
          <c:tx>
            <c:strRef>
              <c:f>'Moving chart'!$M$3:$M$4</c:f>
              <c:strCache>
                <c:ptCount val="1"/>
                <c:pt idx="0">
                  <c:v>ZS 44mm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chart'!$A$5:$A$18</c:f>
              <c:strCache>
                <c:ptCount val="14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  <c:pt idx="13">
                  <c:v>FEB 24</c:v>
                </c:pt>
              </c:strCache>
            </c:strRef>
          </c:cat>
          <c:val>
            <c:numRef>
              <c:f>'Moving chart'!$M$5:$M$18</c:f>
              <c:numCache>
                <c:formatCode>General</c:formatCode>
                <c:ptCount val="14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17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15</c:v>
                </c:pt>
                <c:pt idx="11">
                  <c:v>15</c:v>
                </c:pt>
                <c:pt idx="12">
                  <c:v>11</c:v>
                </c:pt>
                <c:pt idx="13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67A-4239-8E48-28C33BEF2D62}"/>
            </c:ext>
          </c:extLst>
        </c:ser>
        <c:ser>
          <c:idx val="12"/>
          <c:order val="12"/>
          <c:tx>
            <c:strRef>
              <c:f>'Moving chart'!$N$3:$N$4</c:f>
              <c:strCache>
                <c:ptCount val="1"/>
                <c:pt idx="0">
                  <c:v>ZS 4mm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chart'!$A$5:$A$18</c:f>
              <c:strCache>
                <c:ptCount val="14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  <c:pt idx="13">
                  <c:v>FEB 24</c:v>
                </c:pt>
              </c:strCache>
            </c:strRef>
          </c:cat>
          <c:val>
            <c:numRef>
              <c:f>'Moving chart'!$N$5:$N$18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67A-4239-8E48-28C33BEF2D62}"/>
            </c:ext>
          </c:extLst>
        </c:ser>
        <c:ser>
          <c:idx val="13"/>
          <c:order val="13"/>
          <c:tx>
            <c:strRef>
              <c:f>'Moving chart'!$O$3:$O$4</c:f>
              <c:strCache>
                <c:ptCount val="1"/>
                <c:pt idx="0">
                  <c:v>ZS 56mm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chart'!$A$5:$A$18</c:f>
              <c:strCache>
                <c:ptCount val="14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  <c:pt idx="13">
                  <c:v>FEB 24</c:v>
                </c:pt>
              </c:strCache>
            </c:strRef>
          </c:cat>
          <c:val>
            <c:numRef>
              <c:f>'Moving chart'!$O$5:$O$18</c:f>
              <c:numCache>
                <c:formatCode>General</c:formatCode>
                <c:ptCount val="1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67A-4239-8E48-28C33BEF2D62}"/>
            </c:ext>
          </c:extLst>
        </c:ser>
        <c:ser>
          <c:idx val="14"/>
          <c:order val="14"/>
          <c:tx>
            <c:strRef>
              <c:f>'Moving chart'!$P$3:$P$4</c:f>
              <c:strCache>
                <c:ptCount val="1"/>
                <c:pt idx="0">
                  <c:v>ZS 72mm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chart'!$A$5:$A$18</c:f>
              <c:strCache>
                <c:ptCount val="14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  <c:pt idx="13">
                  <c:v>FEB 24</c:v>
                </c:pt>
              </c:strCache>
            </c:strRef>
          </c:cat>
          <c:val>
            <c:numRef>
              <c:f>'Moving chart'!$P$5:$P$18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67A-4239-8E48-28C33BEF2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0953112"/>
        <c:axId val="850948520"/>
      </c:lineChart>
      <c:catAx>
        <c:axId val="850953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0948520"/>
        <c:crosses val="autoZero"/>
        <c:auto val="1"/>
        <c:lblAlgn val="ctr"/>
        <c:lblOffset val="100"/>
        <c:noMultiLvlLbl val="0"/>
      </c:catAx>
      <c:valAx>
        <c:axId val="8509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0953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407987</xdr:colOff>
      <xdr:row>20</xdr:row>
      <xdr:rowOff>160337</xdr:rowOff>
    </xdr:from>
    <xdr:to>
      <xdr:col>4</xdr:col>
      <xdr:colOff>665162</xdr:colOff>
      <xdr:row>36</xdr:row>
      <xdr:rowOff>11112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666750</xdr:colOff>
      <xdr:row>21</xdr:row>
      <xdr:rowOff>28575</xdr:rowOff>
    </xdr:from>
    <xdr:to>
      <xdr:col>8</xdr:col>
      <xdr:colOff>466725</xdr:colOff>
      <xdr:row>34</xdr:row>
      <xdr:rowOff>9522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Warehouse">
              <a:extLst>
                <a:ext uri="{FF2B5EF4-FFF2-40B4-BE49-F238E27FC236}">
                  <a16:creationId xmlns:a16="http://schemas.microsoft.com/office/drawing/2014/main" id="{00000000-0008-0000-0600-000007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Warehous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00600" y="3648075"/>
              <a:ext cx="2000250" cy="22097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171450</xdr:colOff>
      <xdr:row>21</xdr:row>
      <xdr:rowOff>114300</xdr:rowOff>
    </xdr:from>
    <xdr:to>
      <xdr:col>11</xdr:col>
      <xdr:colOff>463550</xdr:colOff>
      <xdr:row>34</xdr:row>
      <xdr:rowOff>98422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Item">
              <a:extLst>
                <a:ext uri="{FF2B5EF4-FFF2-40B4-BE49-F238E27FC236}">
                  <a16:creationId xmlns:a16="http://schemas.microsoft.com/office/drawing/2014/main" id="{00000000-0008-0000-0600-000008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53275" y="3733800"/>
              <a:ext cx="2025650" cy="22129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400050</xdr:colOff>
      <xdr:row>96</xdr:row>
      <xdr:rowOff>47625</xdr:rowOff>
    </xdr:from>
    <xdr:to>
      <xdr:col>18</xdr:col>
      <xdr:colOff>189520</xdr:colOff>
      <xdr:row>106</xdr:row>
      <xdr:rowOff>152173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29575" y="18792825"/>
          <a:ext cx="7838095" cy="181904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selhk.sharepoint.com/Shared%20Documents/c49/c49szx.cs-common/NEW%20South%20China%20-%20Contract%20LogBook.xlsx" TargetMode="External"/><Relationship Id="rId1" Type="http://schemas.openxmlformats.org/officeDocument/2006/relationships/externalLinkPath" Target="NEW%20South%20China%20-%20Contract%20Log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 driveId="b!1TekH2ioW024m2CtOMJ4Imt2oe8OKTBJlLRQedoXsJwHS-zc52aPTrK7C9B-O1F3" itemId="01IWVH5ON2DYSZC4MH35G2BZ4SSHTCE7MO">
      <xxl21:absoluteUrl r:id="rId2"/>
    </xxl21:alternateUrls>
    <sheetNames>
      <sheetName val="Sheet2"/>
      <sheetName val="Raw data"/>
      <sheetName val="Sheet3"/>
      <sheetName val="Data pick list"/>
      <sheetName val="Sheet1"/>
      <sheetName val="工作表1"/>
    </sheetNames>
    <sheetDataSet>
      <sheetData sheetId="0"/>
      <sheetData sheetId="1">
        <row r="1">
          <cell r="B1" t="str">
            <v>序列</v>
          </cell>
          <cell r="C1" t="str">
            <v>Contract No.</v>
          </cell>
          <cell r="D1" t="str">
            <v>Customer name</v>
          </cell>
          <cell r="E1" t="str">
            <v>Ordered Items</v>
          </cell>
          <cell r="F1" t="str">
            <v>安贸CD code</v>
          </cell>
          <cell r="G1" t="str">
            <v>承认号</v>
          </cell>
          <cell r="H1" t="str">
            <v>到期日</v>
          </cell>
          <cell r="I1" t="str">
            <v>Direction</v>
          </cell>
          <cell r="J1" t="str">
            <v>Item w config</v>
          </cell>
          <cell r="K1" t="str">
            <v>Qty</v>
          </cell>
          <cell r="L1" t="str">
            <v>PO</v>
          </cell>
          <cell r="M1" t="str">
            <v>Delivery Schedule</v>
          </cell>
          <cell r="N1" t="str">
            <v xml:space="preserve">发货日期 </v>
          </cell>
          <cell r="O1" t="str">
            <v>INV NO.</v>
          </cell>
          <cell r="P1" t="str">
            <v>ISSUED INV AMOUNT</v>
          </cell>
          <cell r="Q1" t="str">
            <v>Invoice Month
Actual</v>
          </cell>
          <cell r="R1" t="str">
            <v>New Customer</v>
          </cell>
          <cell r="S1" t="str">
            <v>Cost Centre</v>
          </cell>
          <cell r="T1" t="str">
            <v>CHINA</v>
          </cell>
          <cell r="U1" t="str">
            <v>Location</v>
          </cell>
          <cell r="V1" t="str">
            <v>Territeries</v>
          </cell>
          <cell r="W1" t="str">
            <v>Salesman</v>
          </cell>
          <cell r="X1" t="str">
            <v>Curr</v>
          </cell>
          <cell r="Y1" t="str">
            <v>Contract 
Unit Price</v>
          </cell>
          <cell r="Z1" t="str">
            <v>VAT</v>
          </cell>
          <cell r="AA1" t="str">
            <v>Signed Contract
Amt</v>
          </cell>
          <cell r="AB1" t="str">
            <v>Rate</v>
          </cell>
          <cell r="AC1" t="str">
            <v>Before Tax
Inv Amt (HKD)</v>
          </cell>
          <cell r="AD1" t="str">
            <v>G.P.  (HKD)</v>
          </cell>
          <cell r="AE1" t="str">
            <v>G.P. %</v>
          </cell>
          <cell r="AF1" t="str">
            <v>Contract Signed Date
(YYYY/MM/DD)</v>
          </cell>
          <cell r="AG1" t="str">
            <v>Delivery Terms</v>
          </cell>
          <cell r="AH1" t="str">
            <v>Loading</v>
          </cell>
          <cell r="AI1" t="str">
            <v>臨時訂金
Amount</v>
          </cell>
          <cell r="AJ1" t="str">
            <v>臨時訂金
Rec'd/Return Date</v>
          </cell>
          <cell r="AK1" t="str">
            <v>1st
Desposit
%</v>
          </cell>
          <cell r="AL1" t="str">
            <v>Deposit
Amount</v>
          </cell>
          <cell r="AM1" t="str">
            <v>Est. 1st Deposit  Month</v>
          </cell>
          <cell r="AN1" t="str">
            <v>1 st Deposit
Rec'd Date</v>
          </cell>
          <cell r="AO1" t="str">
            <v>2nd Deposit
%</v>
          </cell>
          <cell r="AP1" t="str">
            <v>Deposit
Amount</v>
          </cell>
          <cell r="AQ1" t="str">
            <v>Est. 2nd Deposit
Month</v>
          </cell>
          <cell r="AR1" t="str">
            <v>2nd Deposit
Rec'd Date</v>
          </cell>
          <cell r="AS1" t="str">
            <v>Balance
%</v>
          </cell>
          <cell r="AT1" t="str">
            <v>Balance
Amount</v>
          </cell>
          <cell r="AU1" t="str">
            <v>Est. Balance
Month</v>
          </cell>
          <cell r="AV1" t="str">
            <v>Balance
Rec'd Date</v>
          </cell>
          <cell r="AW1" t="str">
            <v>Final Payment
Amount
(if any)</v>
          </cell>
          <cell r="AX1" t="str">
            <v>Payment Complete</v>
          </cell>
          <cell r="AY1" t="str">
            <v>OEF Approval</v>
          </cell>
          <cell r="AZ1" t="str">
            <v>Acceptance Letter
(Signed Y/ N)</v>
          </cell>
          <cell r="BA1" t="str">
            <v>Contract Completed</v>
          </cell>
          <cell r="BB1" t="str">
            <v>Remarks</v>
          </cell>
        </row>
        <row r="2">
          <cell r="B2"/>
          <cell r="C2">
            <v>158569</v>
          </cell>
          <cell r="D2" t="str">
            <v>WKK</v>
          </cell>
          <cell r="E2" t="str">
            <v>YS12F</v>
          </cell>
          <cell r="F2" t="str">
            <v>NA</v>
          </cell>
          <cell r="G2" t="e">
            <v>#REF!</v>
          </cell>
          <cell r="H2" t="e">
            <v>#REF!</v>
          </cell>
          <cell r="I2"/>
          <cell r="J2"/>
          <cell r="K2">
            <v>1</v>
          </cell>
          <cell r="L2" t="str">
            <v>已经送货</v>
          </cell>
          <cell r="M2"/>
          <cell r="N2"/>
          <cell r="O2">
            <v>11116056</v>
          </cell>
          <cell r="P2">
            <v>7050000</v>
          </cell>
          <cell r="Q2"/>
          <cell r="R2" t="str">
            <v>No</v>
          </cell>
          <cell r="S2" t="str">
            <v>C49</v>
          </cell>
          <cell r="T2" t="str">
            <v>SOUTH</v>
          </cell>
          <cell r="U2"/>
          <cell r="V2"/>
          <cell r="W2"/>
          <cell r="X2" t="str">
            <v>JPY</v>
          </cell>
          <cell r="Y2">
            <v>7050000</v>
          </cell>
          <cell r="Z2">
            <v>1</v>
          </cell>
          <cell r="AA2">
            <v>7050000</v>
          </cell>
          <cell r="AB2">
            <v>7.0300000000000001E-2</v>
          </cell>
          <cell r="AC2">
            <v>495615</v>
          </cell>
          <cell r="AD2">
            <v>59473.799999999996</v>
          </cell>
          <cell r="AE2">
            <v>0.12</v>
          </cell>
          <cell r="AF2">
            <v>43062</v>
          </cell>
          <cell r="AG2" t="str">
            <v>DAP</v>
          </cell>
          <cell r="AH2"/>
          <cell r="AI2"/>
          <cell r="AJ2"/>
          <cell r="AK2"/>
          <cell r="AL2">
            <v>0</v>
          </cell>
          <cell r="AM2"/>
          <cell r="AN2"/>
          <cell r="AO2"/>
          <cell r="AP2">
            <v>0</v>
          </cell>
          <cell r="AQ2"/>
          <cell r="AR2"/>
          <cell r="AS2"/>
          <cell r="AT2">
            <v>0</v>
          </cell>
          <cell r="AU2"/>
          <cell r="AV2"/>
          <cell r="AW2"/>
          <cell r="AX2"/>
          <cell r="AY2"/>
          <cell r="AZ2"/>
          <cell r="BA2" t="str">
            <v>Yes</v>
          </cell>
          <cell r="BB2"/>
        </row>
        <row r="3">
          <cell r="B3"/>
          <cell r="C3" t="str">
            <v>‘20180528</v>
          </cell>
          <cell r="D3" t="str">
            <v>四川艺智泓</v>
          </cell>
          <cell r="E3" t="str">
            <v>SolderStar-Lite 6</v>
          </cell>
          <cell r="F3" t="str">
            <v>NA</v>
          </cell>
          <cell r="G3" t="e">
            <v>#REF!</v>
          </cell>
          <cell r="H3" t="e">
            <v>#REF!</v>
          </cell>
          <cell r="I3"/>
          <cell r="J3"/>
          <cell r="K3">
            <v>1</v>
          </cell>
          <cell r="L3" t="str">
            <v>已经送货</v>
          </cell>
          <cell r="M3" t="str">
            <v>2018/6</v>
          </cell>
          <cell r="N3"/>
          <cell r="O3">
            <v>11100861</v>
          </cell>
          <cell r="P3">
            <v>33000</v>
          </cell>
          <cell r="Q3">
            <v>43252</v>
          </cell>
          <cell r="R3" t="str">
            <v>No</v>
          </cell>
          <cell r="S3" t="str">
            <v>C28</v>
          </cell>
          <cell r="T3" t="str">
            <v>NORTH</v>
          </cell>
          <cell r="U3" t="str">
            <v>四川</v>
          </cell>
          <cell r="V3" t="str">
            <v>SZ 深圳</v>
          </cell>
          <cell r="W3" t="str">
            <v>Li Yong</v>
          </cell>
          <cell r="X3" t="str">
            <v>RMB</v>
          </cell>
          <cell r="Y3">
            <v>33000</v>
          </cell>
          <cell r="Z3"/>
          <cell r="AA3">
            <v>33000</v>
          </cell>
          <cell r="AB3"/>
          <cell r="AC3" t="e">
            <v>#DIV/0!</v>
          </cell>
          <cell r="AD3"/>
          <cell r="AE3"/>
          <cell r="AF3">
            <v>43248</v>
          </cell>
          <cell r="AG3" t="str">
            <v>DDP 四川</v>
          </cell>
          <cell r="AH3"/>
          <cell r="AI3"/>
          <cell r="AJ3"/>
          <cell r="AK3">
            <v>0.3</v>
          </cell>
          <cell r="AL3">
            <v>9900</v>
          </cell>
          <cell r="AM3">
            <v>43221</v>
          </cell>
          <cell r="AN3" t="str">
            <v>Yes</v>
          </cell>
          <cell r="AO3">
            <v>0.6</v>
          </cell>
          <cell r="AP3">
            <v>19800</v>
          </cell>
          <cell r="AQ3">
            <v>43252</v>
          </cell>
          <cell r="AR3">
            <v>43256</v>
          </cell>
          <cell r="AS3"/>
          <cell r="AT3"/>
          <cell r="AU3"/>
          <cell r="AV3"/>
          <cell r="AW3"/>
          <cell r="AX3"/>
          <cell r="AY3"/>
          <cell r="AZ3"/>
          <cell r="BA3"/>
          <cell r="BB3"/>
        </row>
        <row r="4">
          <cell r="B4"/>
          <cell r="C4" t="str">
            <v>C28SZX20170103HC</v>
          </cell>
          <cell r="D4" t="str">
            <v>Kstar 科士达</v>
          </cell>
          <cell r="E4" t="str">
            <v>YSD</v>
          </cell>
          <cell r="F4" t="str">
            <v>NA</v>
          </cell>
          <cell r="G4" t="e">
            <v>#REF!</v>
          </cell>
          <cell r="H4" t="e">
            <v>#REF!</v>
          </cell>
          <cell r="I4"/>
          <cell r="J4"/>
          <cell r="K4">
            <v>1</v>
          </cell>
          <cell r="L4" t="str">
            <v>已经送货</v>
          </cell>
          <cell r="M4"/>
          <cell r="N4"/>
          <cell r="O4">
            <v>11100243</v>
          </cell>
          <cell r="P4">
            <v>1162000</v>
          </cell>
          <cell r="Q4">
            <v>43160</v>
          </cell>
          <cell r="R4" t="str">
            <v>No</v>
          </cell>
          <cell r="S4" t="str">
            <v>C28</v>
          </cell>
          <cell r="T4" t="str">
            <v>SOUTH</v>
          </cell>
          <cell r="U4"/>
          <cell r="V4"/>
          <cell r="W4" t="str">
            <v>HC</v>
          </cell>
          <cell r="X4"/>
          <cell r="Y4">
            <v>1162000</v>
          </cell>
          <cell r="Z4">
            <v>1</v>
          </cell>
          <cell r="AA4">
            <v>1162000</v>
          </cell>
          <cell r="AB4">
            <v>1.18</v>
          </cell>
          <cell r="AC4">
            <v>1371160</v>
          </cell>
          <cell r="AD4">
            <v>164539.19999999998</v>
          </cell>
          <cell r="AE4">
            <v>0.12</v>
          </cell>
          <cell r="AF4">
            <v>43078</v>
          </cell>
          <cell r="AG4"/>
          <cell r="AH4"/>
          <cell r="AI4"/>
          <cell r="AJ4"/>
          <cell r="AK4">
            <v>0.3</v>
          </cell>
          <cell r="AL4">
            <v>348600</v>
          </cell>
          <cell r="AM4">
            <v>43070</v>
          </cell>
          <cell r="AN4" t="str">
            <v>Yes</v>
          </cell>
          <cell r="AO4">
            <v>0.6</v>
          </cell>
          <cell r="AP4">
            <v>697200</v>
          </cell>
          <cell r="AQ4"/>
          <cell r="AR4"/>
          <cell r="AS4">
            <v>0.1</v>
          </cell>
          <cell r="AT4">
            <v>116200</v>
          </cell>
          <cell r="AU4" t="str">
            <v>2018/5</v>
          </cell>
          <cell r="AV4">
            <v>43231</v>
          </cell>
          <cell r="AW4" t="str">
            <v>complete</v>
          </cell>
          <cell r="AX4" t="str">
            <v>Yes</v>
          </cell>
          <cell r="AY4"/>
          <cell r="AZ4"/>
          <cell r="BA4" t="str">
            <v>Yes</v>
          </cell>
          <cell r="BB4"/>
        </row>
        <row r="5">
          <cell r="B5"/>
          <cell r="C5" t="str">
            <v>C28SZX20170110KC</v>
          </cell>
          <cell r="D5" t="str">
            <v>ZKT 中控</v>
          </cell>
          <cell r="E5" t="str">
            <v>Heller 1826MK5</v>
          </cell>
          <cell r="F5" t="str">
            <v>NA</v>
          </cell>
          <cell r="G5" t="e">
            <v>#REF!</v>
          </cell>
          <cell r="H5" t="e">
            <v>#REF!</v>
          </cell>
          <cell r="I5"/>
          <cell r="J5"/>
          <cell r="K5" t="str">
            <v>112020/12/</v>
          </cell>
          <cell r="L5" t="str">
            <v>已经送货</v>
          </cell>
          <cell r="M5"/>
          <cell r="N5"/>
          <cell r="O5">
            <v>11100241</v>
          </cell>
          <cell r="P5">
            <v>260000</v>
          </cell>
          <cell r="Q5"/>
          <cell r="R5" t="str">
            <v>Yes</v>
          </cell>
          <cell r="S5" t="str">
            <v>C28</v>
          </cell>
          <cell r="T5" t="str">
            <v>SOUTH</v>
          </cell>
          <cell r="U5"/>
          <cell r="V5"/>
          <cell r="W5" t="str">
            <v>HC</v>
          </cell>
          <cell r="X5" t="str">
            <v>RMB</v>
          </cell>
          <cell r="Y5">
            <v>260000</v>
          </cell>
          <cell r="Z5">
            <v>1.17</v>
          </cell>
          <cell r="AA5" t="e">
            <v>#VALUE!</v>
          </cell>
          <cell r="AB5">
            <v>1.18</v>
          </cell>
          <cell r="AC5" t="e">
            <v>#VALUE!</v>
          </cell>
          <cell r="AD5" t="e">
            <v>#VALUE!</v>
          </cell>
          <cell r="AE5">
            <v>0.12</v>
          </cell>
          <cell r="AF5">
            <v>43091</v>
          </cell>
          <cell r="AG5"/>
          <cell r="AH5"/>
          <cell r="AI5"/>
          <cell r="AJ5"/>
          <cell r="AK5">
            <v>0.3</v>
          </cell>
          <cell r="AL5" t="e">
            <v>#VALUE!</v>
          </cell>
          <cell r="AM5">
            <v>43070</v>
          </cell>
          <cell r="AN5" t="str">
            <v>Yes</v>
          </cell>
          <cell r="AO5">
            <v>0.6</v>
          </cell>
          <cell r="AP5" t="e">
            <v>#VALUE!</v>
          </cell>
          <cell r="AQ5"/>
          <cell r="AR5"/>
          <cell r="AS5">
            <v>0.1</v>
          </cell>
          <cell r="AT5" t="e">
            <v>#VALUE!</v>
          </cell>
          <cell r="AU5"/>
          <cell r="AV5"/>
          <cell r="AW5"/>
          <cell r="AX5"/>
          <cell r="AY5"/>
          <cell r="AZ5"/>
          <cell r="BA5" t="str">
            <v>Yes</v>
          </cell>
          <cell r="BB5"/>
        </row>
        <row r="6">
          <cell r="B6"/>
          <cell r="C6" t="str">
            <v>C28SZX20170115YY</v>
          </cell>
          <cell r="D6" t="str">
            <v>Boshangwei 博尚微</v>
          </cell>
          <cell r="E6" t="str">
            <v>Heller 1936MK5 N2</v>
          </cell>
          <cell r="F6" t="str">
            <v>NA</v>
          </cell>
          <cell r="G6" t="e">
            <v>#REF!</v>
          </cell>
          <cell r="H6" t="e">
            <v>#REF!</v>
          </cell>
          <cell r="I6"/>
          <cell r="J6"/>
          <cell r="K6">
            <v>1</v>
          </cell>
          <cell r="L6" t="str">
            <v>已经送货</v>
          </cell>
          <cell r="M6" t="str">
            <v>2018/3</v>
          </cell>
          <cell r="N6"/>
          <cell r="O6">
            <v>11100248</v>
          </cell>
          <cell r="P6">
            <v>350000</v>
          </cell>
          <cell r="Q6">
            <v>43191</v>
          </cell>
          <cell r="R6" t="str">
            <v>Yes</v>
          </cell>
          <cell r="S6" t="str">
            <v>C28</v>
          </cell>
          <cell r="T6" t="str">
            <v>SOUTH</v>
          </cell>
          <cell r="U6" t="str">
            <v>深圳</v>
          </cell>
          <cell r="V6" t="str">
            <v>SZ 深圳</v>
          </cell>
          <cell r="W6" t="str">
            <v>YY</v>
          </cell>
          <cell r="X6" t="str">
            <v>RMB</v>
          </cell>
          <cell r="Y6">
            <v>350000</v>
          </cell>
          <cell r="Z6">
            <v>1.17</v>
          </cell>
          <cell r="AA6">
            <v>350000</v>
          </cell>
          <cell r="AB6">
            <v>1.18</v>
          </cell>
          <cell r="AC6">
            <v>352991.452991453</v>
          </cell>
          <cell r="AD6">
            <v>42358.974358974359</v>
          </cell>
          <cell r="AE6">
            <v>0.12</v>
          </cell>
          <cell r="AF6">
            <v>43097</v>
          </cell>
          <cell r="AG6" t="str">
            <v>含税到厂</v>
          </cell>
          <cell r="AH6" t="str">
            <v>卸货一楼</v>
          </cell>
          <cell r="AI6" t="str">
            <v>Na</v>
          </cell>
          <cell r="AJ6" t="str">
            <v>Na</v>
          </cell>
          <cell r="AK6">
            <v>0.3</v>
          </cell>
          <cell r="AL6">
            <v>105000</v>
          </cell>
          <cell r="AM6">
            <v>43070</v>
          </cell>
          <cell r="AN6" t="str">
            <v>Yes</v>
          </cell>
          <cell r="AO6">
            <v>0.7</v>
          </cell>
          <cell r="AP6">
            <v>244999.99999999997</v>
          </cell>
          <cell r="AQ6">
            <v>43160</v>
          </cell>
          <cell r="AR6">
            <v>43179</v>
          </cell>
          <cell r="AS6" t="str">
            <v>Na</v>
          </cell>
          <cell r="AT6" t="str">
            <v>Na</v>
          </cell>
          <cell r="AU6"/>
          <cell r="AV6"/>
          <cell r="AW6"/>
          <cell r="AX6"/>
          <cell r="AY6" t="str">
            <v>Yes</v>
          </cell>
          <cell r="AZ6"/>
          <cell r="BA6" t="str">
            <v>Yes</v>
          </cell>
        </row>
        <row r="7">
          <cell r="B7"/>
          <cell r="C7" t="str">
            <v>C28SZX20180008YY</v>
          </cell>
          <cell r="D7" t="str">
            <v>ETA Holding</v>
          </cell>
          <cell r="E7" t="str">
            <v>Heller 1826MK5</v>
          </cell>
          <cell r="F7" t="str">
            <v>NA</v>
          </cell>
          <cell r="G7" t="e">
            <v>#REF!</v>
          </cell>
          <cell r="H7" t="e">
            <v>#REF!</v>
          </cell>
          <cell r="I7"/>
          <cell r="J7"/>
          <cell r="K7">
            <v>1</v>
          </cell>
          <cell r="L7" t="str">
            <v>已经送货</v>
          </cell>
          <cell r="M7" t="str">
            <v>2018/4</v>
          </cell>
          <cell r="N7"/>
          <cell r="O7">
            <v>11116085</v>
          </cell>
          <cell r="P7">
            <v>36000</v>
          </cell>
          <cell r="Q7">
            <v>43191</v>
          </cell>
          <cell r="R7" t="str">
            <v>Yes</v>
          </cell>
          <cell r="S7" t="str">
            <v>C28</v>
          </cell>
          <cell r="T7" t="str">
            <v>SOUTH</v>
          </cell>
          <cell r="U7" t="str">
            <v>深圳</v>
          </cell>
          <cell r="V7" t="str">
            <v>SZ 深圳</v>
          </cell>
          <cell r="W7" t="str">
            <v>YY</v>
          </cell>
          <cell r="X7" t="str">
            <v>USD</v>
          </cell>
          <cell r="Y7">
            <v>36000</v>
          </cell>
          <cell r="Z7">
            <v>1</v>
          </cell>
          <cell r="AA7">
            <v>36000</v>
          </cell>
          <cell r="AB7">
            <v>7.8</v>
          </cell>
          <cell r="AC7">
            <v>280800</v>
          </cell>
          <cell r="AD7">
            <v>33696</v>
          </cell>
          <cell r="AE7">
            <v>0.12</v>
          </cell>
          <cell r="AF7">
            <v>43122</v>
          </cell>
          <cell r="AG7" t="str">
            <v>CIF</v>
          </cell>
          <cell r="AH7" t="str">
            <v>Na</v>
          </cell>
          <cell r="AI7" t="str">
            <v>Na</v>
          </cell>
          <cell r="AJ7" t="str">
            <v>Na</v>
          </cell>
          <cell r="AK7">
            <v>0.3</v>
          </cell>
          <cell r="AL7">
            <v>10800</v>
          </cell>
          <cell r="AM7">
            <v>43101</v>
          </cell>
          <cell r="AN7" t="str">
            <v>Yes</v>
          </cell>
          <cell r="AO7">
            <v>0.7</v>
          </cell>
          <cell r="AP7">
            <v>25200</v>
          </cell>
          <cell r="AQ7">
            <v>43191</v>
          </cell>
          <cell r="AR7">
            <v>43200</v>
          </cell>
          <cell r="AS7" t="str">
            <v>Na</v>
          </cell>
          <cell r="AT7" t="str">
            <v>Na</v>
          </cell>
          <cell r="AU7"/>
          <cell r="AV7"/>
          <cell r="AW7"/>
          <cell r="AX7"/>
          <cell r="AY7" t="str">
            <v>Yes</v>
          </cell>
          <cell r="AZ7"/>
          <cell r="BA7" t="str">
            <v>Yes</v>
          </cell>
          <cell r="BB7"/>
        </row>
        <row r="8">
          <cell r="B8"/>
          <cell r="C8" t="str">
            <v>C28SZX20180015YY</v>
          </cell>
          <cell r="D8" t="str">
            <v>博尚微</v>
          </cell>
          <cell r="E8" t="str">
            <v>NUTEK 410L-500</v>
          </cell>
          <cell r="F8" t="str">
            <v>NA</v>
          </cell>
          <cell r="G8" t="e">
            <v>#REF!</v>
          </cell>
          <cell r="H8" t="e">
            <v>#REF!</v>
          </cell>
          <cell r="I8"/>
          <cell r="J8"/>
          <cell r="K8">
            <v>2</v>
          </cell>
          <cell r="L8" t="str">
            <v>已经送货</v>
          </cell>
          <cell r="M8" t="str">
            <v>2018/6</v>
          </cell>
          <cell r="N8"/>
          <cell r="O8">
            <v>11100264</v>
          </cell>
          <cell r="P8">
            <v>64840</v>
          </cell>
          <cell r="Q8">
            <v>43221</v>
          </cell>
          <cell r="R8" t="str">
            <v>Yes</v>
          </cell>
          <cell r="S8" t="str">
            <v>C28</v>
          </cell>
          <cell r="T8" t="str">
            <v>SOUTH</v>
          </cell>
          <cell r="U8" t="str">
            <v>深圳</v>
          </cell>
          <cell r="V8" t="str">
            <v>SZ 深圳</v>
          </cell>
          <cell r="W8" t="str">
            <v>YY</v>
          </cell>
          <cell r="X8" t="str">
            <v>RMB</v>
          </cell>
          <cell r="Y8">
            <v>32420</v>
          </cell>
          <cell r="Z8">
            <v>1.1599999999999999</v>
          </cell>
          <cell r="AA8">
            <v>64840</v>
          </cell>
          <cell r="AB8">
            <v>1.23</v>
          </cell>
          <cell r="AC8">
            <v>68752.758620689652</v>
          </cell>
          <cell r="AD8">
            <v>8250.3310344827587</v>
          </cell>
          <cell r="AE8">
            <v>0.12</v>
          </cell>
          <cell r="AF8">
            <v>43181</v>
          </cell>
          <cell r="AG8" t="str">
            <v>含税到厂</v>
          </cell>
          <cell r="AH8"/>
          <cell r="AI8"/>
          <cell r="AJ8"/>
          <cell r="AK8" t="str">
            <v>agree</v>
          </cell>
          <cell r="AL8">
            <v>49620</v>
          </cell>
          <cell r="AM8">
            <v>43160</v>
          </cell>
          <cell r="AN8" t="str">
            <v>Yes</v>
          </cell>
          <cell r="AO8" t="str">
            <v>agree</v>
          </cell>
          <cell r="AP8">
            <v>114360</v>
          </cell>
          <cell r="AQ8">
            <v>43221</v>
          </cell>
          <cell r="AR8">
            <v>43248</v>
          </cell>
          <cell r="AS8"/>
          <cell r="AT8">
            <v>0</v>
          </cell>
          <cell r="AU8"/>
          <cell r="AV8"/>
          <cell r="AW8"/>
          <cell r="AX8"/>
          <cell r="AY8"/>
          <cell r="AZ8"/>
          <cell r="BA8" t="str">
            <v>Yes</v>
          </cell>
          <cell r="BB8"/>
        </row>
        <row r="9">
          <cell r="B9"/>
          <cell r="C9" t="str">
            <v>C28SZX20180015YY</v>
          </cell>
          <cell r="D9" t="str">
            <v>博尚微</v>
          </cell>
          <cell r="E9" t="str">
            <v>NUTE410L-1500</v>
          </cell>
          <cell r="F9" t="str">
            <v>NA</v>
          </cell>
          <cell r="G9" t="e">
            <v>#REF!</v>
          </cell>
          <cell r="H9" t="e">
            <v>#REF!</v>
          </cell>
          <cell r="I9"/>
          <cell r="J9"/>
          <cell r="K9">
            <v>1</v>
          </cell>
          <cell r="L9" t="str">
            <v>已经送货</v>
          </cell>
          <cell r="M9" t="str">
            <v>2018/6</v>
          </cell>
          <cell r="N9"/>
          <cell r="O9">
            <v>11100264</v>
          </cell>
          <cell r="P9">
            <v>54230</v>
          </cell>
          <cell r="Q9">
            <v>43221</v>
          </cell>
          <cell r="R9" t="str">
            <v>Yes</v>
          </cell>
          <cell r="S9" t="str">
            <v>C28</v>
          </cell>
          <cell r="T9" t="str">
            <v>SOUTH</v>
          </cell>
          <cell r="U9" t="str">
            <v>深圳</v>
          </cell>
          <cell r="V9" t="str">
            <v>SZ 深圳</v>
          </cell>
          <cell r="W9" t="str">
            <v>YY</v>
          </cell>
          <cell r="X9" t="str">
            <v>RMB</v>
          </cell>
          <cell r="Y9">
            <v>54230</v>
          </cell>
          <cell r="Z9">
            <v>1.1599999999999999</v>
          </cell>
          <cell r="AA9">
            <v>54230</v>
          </cell>
          <cell r="AB9">
            <v>1.23</v>
          </cell>
          <cell r="AC9">
            <v>57502.5</v>
          </cell>
          <cell r="AD9">
            <v>6900.3</v>
          </cell>
          <cell r="AE9">
            <v>0.12</v>
          </cell>
          <cell r="AF9">
            <v>43181</v>
          </cell>
          <cell r="AG9" t="str">
            <v>含税到厂</v>
          </cell>
          <cell r="AH9"/>
          <cell r="AI9"/>
          <cell r="AJ9"/>
          <cell r="AK9" t="str">
            <v>agree</v>
          </cell>
          <cell r="AL9">
            <v>0</v>
          </cell>
          <cell r="AM9">
            <v>43160</v>
          </cell>
          <cell r="AN9" t="str">
            <v>Yes</v>
          </cell>
          <cell r="AO9" t="str">
            <v>agree</v>
          </cell>
          <cell r="AP9">
            <v>0</v>
          </cell>
          <cell r="AQ9">
            <v>43221</v>
          </cell>
          <cell r="AR9">
            <v>43248</v>
          </cell>
          <cell r="AS9"/>
          <cell r="AT9">
            <v>0</v>
          </cell>
          <cell r="AU9"/>
          <cell r="AV9"/>
          <cell r="AW9"/>
          <cell r="AX9"/>
          <cell r="AY9"/>
          <cell r="AZ9"/>
          <cell r="BA9" t="str">
            <v>Yes</v>
          </cell>
          <cell r="BB9"/>
        </row>
        <row r="10">
          <cell r="B10"/>
          <cell r="C10" t="str">
            <v>C28SZX20180015YY</v>
          </cell>
          <cell r="D10" t="str">
            <v>博尚微</v>
          </cell>
          <cell r="E10" t="str">
            <v>NUTEK 530WSL</v>
          </cell>
          <cell r="F10" t="str">
            <v>NA</v>
          </cell>
          <cell r="G10" t="e">
            <v>#REF!</v>
          </cell>
          <cell r="H10" t="e">
            <v>#REF!</v>
          </cell>
          <cell r="I10"/>
          <cell r="J10"/>
          <cell r="K10">
            <v>1</v>
          </cell>
          <cell r="L10" t="str">
            <v>已经送货</v>
          </cell>
          <cell r="M10" t="str">
            <v>2018/6</v>
          </cell>
          <cell r="N10"/>
          <cell r="O10">
            <v>11100264</v>
          </cell>
          <cell r="P10">
            <v>44910</v>
          </cell>
          <cell r="Q10">
            <v>43221</v>
          </cell>
          <cell r="R10" t="str">
            <v>Yes</v>
          </cell>
          <cell r="S10" t="str">
            <v>C28</v>
          </cell>
          <cell r="T10" t="str">
            <v>SOUTH</v>
          </cell>
          <cell r="U10" t="str">
            <v>深圳</v>
          </cell>
          <cell r="V10" t="str">
            <v>SZ 深圳</v>
          </cell>
          <cell r="W10" t="str">
            <v>YY</v>
          </cell>
          <cell r="X10" t="str">
            <v>RMB</v>
          </cell>
          <cell r="Y10">
            <v>44910</v>
          </cell>
          <cell r="Z10">
            <v>1.1599999999999999</v>
          </cell>
          <cell r="AA10">
            <v>44910</v>
          </cell>
          <cell r="AB10">
            <v>1.23</v>
          </cell>
          <cell r="AC10">
            <v>47620.086206896551</v>
          </cell>
          <cell r="AD10">
            <v>5714.4103448275855</v>
          </cell>
          <cell r="AE10">
            <v>0.12</v>
          </cell>
          <cell r="AF10">
            <v>43181</v>
          </cell>
          <cell r="AG10" t="str">
            <v>含税到厂</v>
          </cell>
          <cell r="AH10"/>
          <cell r="AI10"/>
          <cell r="AJ10"/>
          <cell r="AK10" t="str">
            <v>agree</v>
          </cell>
          <cell r="AL10">
            <v>0</v>
          </cell>
          <cell r="AM10">
            <v>43160</v>
          </cell>
          <cell r="AN10" t="str">
            <v>Yes</v>
          </cell>
          <cell r="AO10" t="str">
            <v>agree</v>
          </cell>
          <cell r="AP10">
            <v>0</v>
          </cell>
          <cell r="AQ10">
            <v>43221</v>
          </cell>
          <cell r="AR10">
            <v>43248</v>
          </cell>
          <cell r="AS10"/>
          <cell r="AT10">
            <v>0</v>
          </cell>
          <cell r="AU10"/>
          <cell r="AV10"/>
          <cell r="AW10"/>
          <cell r="AX10"/>
          <cell r="AY10"/>
          <cell r="AZ10"/>
          <cell r="BA10" t="str">
            <v>Yes</v>
          </cell>
          <cell r="BB10"/>
        </row>
        <row r="11">
          <cell r="B11"/>
          <cell r="C11" t="str">
            <v>C28SZX20180027YY</v>
          </cell>
          <cell r="D11" t="str">
            <v>得意</v>
          </cell>
          <cell r="E11" t="str">
            <v>Heller 1913MKIII N2</v>
          </cell>
          <cell r="F11" t="str">
            <v>NA</v>
          </cell>
          <cell r="G11" t="e">
            <v>#REF!</v>
          </cell>
          <cell r="H11" t="e">
            <v>#REF!</v>
          </cell>
          <cell r="I11"/>
          <cell r="J11"/>
          <cell r="K11">
            <v>1</v>
          </cell>
          <cell r="L11" t="str">
            <v>已经送货</v>
          </cell>
          <cell r="M11" t="str">
            <v>2018/6</v>
          </cell>
          <cell r="N11"/>
          <cell r="O11">
            <v>11100262</v>
          </cell>
          <cell r="P11">
            <v>490000</v>
          </cell>
          <cell r="Q11">
            <v>43252</v>
          </cell>
          <cell r="R11" t="str">
            <v>No</v>
          </cell>
          <cell r="S11" t="str">
            <v>C28</v>
          </cell>
          <cell r="T11" t="str">
            <v>PRC</v>
          </cell>
          <cell r="U11" t="str">
            <v>广州</v>
          </cell>
          <cell r="V11" t="str">
            <v>SZ 深圳</v>
          </cell>
          <cell r="W11" t="str">
            <v>YY</v>
          </cell>
          <cell r="X11" t="str">
            <v>RMB</v>
          </cell>
          <cell r="Y11">
            <v>490000</v>
          </cell>
          <cell r="Z11">
            <v>1.1599999999999999</v>
          </cell>
          <cell r="AA11">
            <v>490000</v>
          </cell>
          <cell r="AB11">
            <v>1.23</v>
          </cell>
          <cell r="AC11">
            <v>519568.96551724139</v>
          </cell>
          <cell r="AD11">
            <v>62348.275862068964</v>
          </cell>
          <cell r="AE11">
            <v>0.12</v>
          </cell>
          <cell r="AF11">
            <v>43214</v>
          </cell>
          <cell r="AG11" t="str">
            <v>含税到厂</v>
          </cell>
          <cell r="AH11"/>
          <cell r="AI11"/>
          <cell r="AJ11"/>
          <cell r="AK11">
            <v>0.3</v>
          </cell>
          <cell r="AL11">
            <v>147000</v>
          </cell>
          <cell r="AM11">
            <v>43221</v>
          </cell>
          <cell r="AN11" t="str">
            <v>Yes</v>
          </cell>
          <cell r="AO11">
            <v>0.6</v>
          </cell>
          <cell r="AP11">
            <v>294000</v>
          </cell>
          <cell r="AQ11">
            <v>43252</v>
          </cell>
          <cell r="AR11">
            <v>43272</v>
          </cell>
          <cell r="AS11">
            <v>0.1</v>
          </cell>
          <cell r="AT11">
            <v>49000</v>
          </cell>
          <cell r="AU11">
            <v>43344</v>
          </cell>
          <cell r="AV11">
            <v>43360</v>
          </cell>
          <cell r="AW11" t="str">
            <v xml:space="preserve">complete </v>
          </cell>
          <cell r="AX11" t="str">
            <v>Yes</v>
          </cell>
          <cell r="AY11"/>
          <cell r="AZ11"/>
          <cell r="BA11" t="str">
            <v>Yes</v>
          </cell>
          <cell r="BB11"/>
        </row>
        <row r="12">
          <cell r="B12"/>
          <cell r="C12" t="str">
            <v>C28SZX20180032YY</v>
          </cell>
          <cell r="D12" t="str">
            <v>Hongjing弘景光电</v>
          </cell>
          <cell r="E12" t="str">
            <v>YCP10</v>
          </cell>
          <cell r="F12" t="str">
            <v>NA</v>
          </cell>
          <cell r="G12" t="e">
            <v>#REF!</v>
          </cell>
          <cell r="H12" t="e">
            <v>#REF!</v>
          </cell>
          <cell r="I12"/>
          <cell r="J12"/>
          <cell r="K12">
            <v>2</v>
          </cell>
          <cell r="L12" t="str">
            <v>已经送货</v>
          </cell>
          <cell r="M12" t="str">
            <v>JUL 18</v>
          </cell>
          <cell r="N12"/>
          <cell r="O12">
            <v>11116157</v>
          </cell>
          <cell r="P12">
            <v>11029440</v>
          </cell>
          <cell r="Q12">
            <v>43282</v>
          </cell>
          <cell r="R12" t="str">
            <v>Yes</v>
          </cell>
          <cell r="S12" t="str">
            <v>C28</v>
          </cell>
          <cell r="T12" t="str">
            <v>SOUTH</v>
          </cell>
          <cell r="U12" t="str">
            <v>中山</v>
          </cell>
          <cell r="V12" t="str">
            <v>SZ 深圳</v>
          </cell>
          <cell r="W12" t="str">
            <v>Yann</v>
          </cell>
          <cell r="X12" t="str">
            <v>JPY</v>
          </cell>
          <cell r="Y12">
            <v>5514720</v>
          </cell>
          <cell r="Z12">
            <v>1</v>
          </cell>
          <cell r="AA12">
            <v>11029440</v>
          </cell>
          <cell r="AB12">
            <v>7.3400000000000007E-2</v>
          </cell>
          <cell r="AC12">
            <v>809560.89600000007</v>
          </cell>
          <cell r="AD12">
            <v>97147.307520000002</v>
          </cell>
          <cell r="AE12">
            <v>0.12</v>
          </cell>
          <cell r="AF12">
            <v>43230</v>
          </cell>
          <cell r="AG12" t="str">
            <v>DDP 中山</v>
          </cell>
          <cell r="AH12"/>
          <cell r="AI12"/>
          <cell r="AJ12"/>
          <cell r="AK12">
            <v>0.3</v>
          </cell>
          <cell r="AL12">
            <v>3308832</v>
          </cell>
          <cell r="AM12">
            <v>43221</v>
          </cell>
          <cell r="AN12" t="str">
            <v>Yes</v>
          </cell>
          <cell r="AO12">
            <v>0.6</v>
          </cell>
          <cell r="AP12">
            <v>6617664</v>
          </cell>
          <cell r="AQ12">
            <v>43282</v>
          </cell>
          <cell r="AR12">
            <v>43292</v>
          </cell>
          <cell r="AS12">
            <v>0.1</v>
          </cell>
          <cell r="AT12">
            <v>1102944</v>
          </cell>
          <cell r="AU12">
            <v>43344</v>
          </cell>
          <cell r="AV12">
            <v>43372</v>
          </cell>
          <cell r="AW12" t="str">
            <v>complete</v>
          </cell>
          <cell r="AX12" t="str">
            <v>Yes</v>
          </cell>
          <cell r="AY12"/>
          <cell r="AZ12" t="str">
            <v>Y</v>
          </cell>
          <cell r="BA12" t="str">
            <v>Yes</v>
          </cell>
          <cell r="BB12"/>
        </row>
        <row r="13">
          <cell r="B13"/>
          <cell r="C13" t="str">
            <v>C28SZX20180038YY</v>
          </cell>
          <cell r="D13" t="str">
            <v>Hongjing弘景光电</v>
          </cell>
          <cell r="E13" t="str">
            <v>SMX-800</v>
          </cell>
          <cell r="F13" t="str">
            <v>NA</v>
          </cell>
          <cell r="G13" t="e">
            <v>#REF!</v>
          </cell>
          <cell r="H13" t="e">
            <v>#REF!</v>
          </cell>
          <cell r="I13"/>
          <cell r="J13"/>
          <cell r="K13">
            <v>1</v>
          </cell>
          <cell r="L13" t="str">
            <v>已经送货</v>
          </cell>
          <cell r="M13" t="str">
            <v>JUL 18</v>
          </cell>
          <cell r="N13"/>
          <cell r="O13">
            <v>11100268</v>
          </cell>
          <cell r="P13">
            <v>445000</v>
          </cell>
          <cell r="Q13">
            <v>43282</v>
          </cell>
          <cell r="R13" t="str">
            <v>Yes</v>
          </cell>
          <cell r="S13" t="str">
            <v>C28</v>
          </cell>
          <cell r="T13" t="str">
            <v>SOUTH</v>
          </cell>
          <cell r="U13" t="str">
            <v>中山</v>
          </cell>
          <cell r="V13" t="str">
            <v>SZ 深圳</v>
          </cell>
          <cell r="W13" t="str">
            <v>Yann</v>
          </cell>
          <cell r="X13" t="str">
            <v>RMB</v>
          </cell>
          <cell r="Y13">
            <v>445000</v>
          </cell>
          <cell r="Z13">
            <v>1.1599999999999999</v>
          </cell>
          <cell r="AA13">
            <v>445000</v>
          </cell>
          <cell r="AB13">
            <v>1.23</v>
          </cell>
          <cell r="AC13">
            <v>471853.44827586215</v>
          </cell>
          <cell r="AD13">
            <v>56622.413793103457</v>
          </cell>
          <cell r="AE13">
            <v>0.12</v>
          </cell>
          <cell r="AF13">
            <v>43238</v>
          </cell>
          <cell r="AG13" t="str">
            <v>含税到厂</v>
          </cell>
          <cell r="AH13"/>
          <cell r="AI13"/>
          <cell r="AJ13"/>
          <cell r="AK13">
            <v>0.3</v>
          </cell>
          <cell r="AL13">
            <v>133500</v>
          </cell>
          <cell r="AM13">
            <v>43221</v>
          </cell>
          <cell r="AN13" t="str">
            <v>Yes</v>
          </cell>
          <cell r="AO13">
            <v>0.65</v>
          </cell>
          <cell r="AP13">
            <v>289250</v>
          </cell>
          <cell r="AQ13">
            <v>43282</v>
          </cell>
          <cell r="AR13">
            <v>43287</v>
          </cell>
          <cell r="AS13">
            <v>0.05</v>
          </cell>
          <cell r="AT13">
            <v>22250</v>
          </cell>
          <cell r="AU13">
            <v>43374</v>
          </cell>
          <cell r="AV13">
            <v>43398</v>
          </cell>
          <cell r="AW13" t="str">
            <v>complete</v>
          </cell>
          <cell r="AX13" t="str">
            <v>Yes</v>
          </cell>
          <cell r="AY13"/>
          <cell r="AZ13" t="str">
            <v>Y</v>
          </cell>
          <cell r="BA13" t="str">
            <v>Yes</v>
          </cell>
          <cell r="BB13"/>
        </row>
        <row r="14">
          <cell r="B14"/>
          <cell r="C14" t="str">
            <v>C28SZX2018030YY</v>
          </cell>
          <cell r="D14" t="str">
            <v>Hongjing弘景光电</v>
          </cell>
          <cell r="E14" t="str">
            <v>Heller 1826MK5</v>
          </cell>
          <cell r="F14" t="str">
            <v>NA</v>
          </cell>
          <cell r="G14" t="e">
            <v>#REF!</v>
          </cell>
          <cell r="H14" t="e">
            <v>#REF!</v>
          </cell>
          <cell r="I14"/>
          <cell r="J14"/>
          <cell r="K14">
            <v>1</v>
          </cell>
          <cell r="L14" t="str">
            <v>已经送货</v>
          </cell>
          <cell r="M14" t="str">
            <v>JUL 18</v>
          </cell>
          <cell r="N14"/>
          <cell r="O14">
            <v>11116154</v>
          </cell>
          <cell r="P14">
            <v>39500</v>
          </cell>
          <cell r="Q14">
            <v>43282</v>
          </cell>
          <cell r="R14" t="str">
            <v>Yes</v>
          </cell>
          <cell r="S14" t="str">
            <v>C28</v>
          </cell>
          <cell r="T14" t="str">
            <v>SOUTH</v>
          </cell>
          <cell r="U14" t="str">
            <v>中山</v>
          </cell>
          <cell r="V14" t="str">
            <v>SZ 深圳</v>
          </cell>
          <cell r="W14" t="str">
            <v>Yann</v>
          </cell>
          <cell r="X14" t="str">
            <v>USD</v>
          </cell>
          <cell r="Y14">
            <v>39500</v>
          </cell>
          <cell r="Z14">
            <v>1</v>
          </cell>
          <cell r="AA14">
            <v>39500</v>
          </cell>
          <cell r="AB14">
            <v>7.8</v>
          </cell>
          <cell r="AC14">
            <v>308100</v>
          </cell>
          <cell r="AD14">
            <v>36972</v>
          </cell>
          <cell r="AE14">
            <v>0.12</v>
          </cell>
          <cell r="AF14">
            <v>43230</v>
          </cell>
          <cell r="AG14" t="str">
            <v>CIF HK</v>
          </cell>
          <cell r="AH14"/>
          <cell r="AI14"/>
          <cell r="AJ14"/>
          <cell r="AK14">
            <v>0.3</v>
          </cell>
          <cell r="AL14">
            <v>11850</v>
          </cell>
          <cell r="AM14">
            <v>43221</v>
          </cell>
          <cell r="AN14" t="str">
            <v>Yes</v>
          </cell>
          <cell r="AO14" t="str">
            <v>agree</v>
          </cell>
          <cell r="AP14">
            <v>23700</v>
          </cell>
          <cell r="AQ14">
            <v>43282</v>
          </cell>
          <cell r="AR14">
            <v>43290</v>
          </cell>
          <cell r="AS14" t="str">
            <v>agree</v>
          </cell>
          <cell r="AT14" t="e">
            <v>#VALUE!</v>
          </cell>
          <cell r="AU14">
            <v>43344</v>
          </cell>
          <cell r="AV14">
            <v>43373</v>
          </cell>
          <cell r="AW14" t="str">
            <v>complete</v>
          </cell>
          <cell r="AX14" t="str">
            <v>Yes</v>
          </cell>
          <cell r="AY14"/>
          <cell r="AZ14" t="str">
            <v>Y</v>
          </cell>
          <cell r="BA14" t="str">
            <v>Yes</v>
          </cell>
          <cell r="BB14"/>
        </row>
        <row r="15">
          <cell r="B15"/>
          <cell r="C15" t="str">
            <v>C49SZX201700177JL</v>
          </cell>
          <cell r="D15" t="str">
            <v>达人</v>
          </cell>
          <cell r="E15" t="str">
            <v>YS24</v>
          </cell>
          <cell r="F15" t="str">
            <v>NA</v>
          </cell>
          <cell r="G15" t="e">
            <v>#REF!</v>
          </cell>
          <cell r="H15" t="e">
            <v>#REF!</v>
          </cell>
          <cell r="I15"/>
          <cell r="J15"/>
          <cell r="K15">
            <v>1</v>
          </cell>
          <cell r="L15" t="str">
            <v>已经送货</v>
          </cell>
          <cell r="M15"/>
          <cell r="N15"/>
          <cell r="O15">
            <v>11116050</v>
          </cell>
          <cell r="P15">
            <v>11730000</v>
          </cell>
          <cell r="Q15"/>
          <cell r="R15" t="str">
            <v>Yes</v>
          </cell>
          <cell r="S15" t="str">
            <v>C49</v>
          </cell>
          <cell r="T15" t="str">
            <v>SOUTH</v>
          </cell>
          <cell r="U15"/>
          <cell r="V15"/>
          <cell r="W15" t="str">
            <v>JL</v>
          </cell>
          <cell r="X15" t="str">
            <v>JPY</v>
          </cell>
          <cell r="Y15">
            <v>11730000</v>
          </cell>
          <cell r="Z15">
            <v>1</v>
          </cell>
          <cell r="AA15">
            <v>11730000</v>
          </cell>
          <cell r="AB15">
            <v>7.0999999999999994E-2</v>
          </cell>
          <cell r="AC15">
            <v>832829.99999999988</v>
          </cell>
          <cell r="AD15">
            <v>99939.599999999977</v>
          </cell>
          <cell r="AE15">
            <v>0.12</v>
          </cell>
          <cell r="AF15">
            <v>43070</v>
          </cell>
          <cell r="AG15" t="str">
            <v>CIF HK</v>
          </cell>
          <cell r="AH15"/>
          <cell r="AI15"/>
          <cell r="AJ15"/>
          <cell r="AK15">
            <v>0.3</v>
          </cell>
          <cell r="AL15">
            <v>3519000</v>
          </cell>
          <cell r="AM15">
            <v>43070</v>
          </cell>
          <cell r="AN15" t="str">
            <v>Yes</v>
          </cell>
          <cell r="AO15">
            <v>0.7</v>
          </cell>
          <cell r="AP15">
            <v>8210999.9999999991</v>
          </cell>
          <cell r="AQ15"/>
          <cell r="AR15"/>
          <cell r="AS15"/>
          <cell r="AT15">
            <v>0</v>
          </cell>
          <cell r="AU15"/>
          <cell r="AV15"/>
          <cell r="AW15"/>
          <cell r="AX15"/>
          <cell r="AY15"/>
          <cell r="AZ15"/>
          <cell r="BA15" t="str">
            <v>Yes</v>
          </cell>
        </row>
        <row r="16">
          <cell r="B16"/>
          <cell r="C16" t="str">
            <v>C49SZX20170038RW</v>
          </cell>
          <cell r="D16" t="str">
            <v>恒捷迅</v>
          </cell>
          <cell r="E16" t="str">
            <v>YS24</v>
          </cell>
          <cell r="F16" t="str">
            <v>NA</v>
          </cell>
          <cell r="G16" t="e">
            <v>#REF!</v>
          </cell>
          <cell r="H16" t="e">
            <v>#REF!</v>
          </cell>
          <cell r="I16"/>
          <cell r="J16"/>
          <cell r="K16">
            <v>1</v>
          </cell>
          <cell r="L16" t="str">
            <v>已经送货</v>
          </cell>
          <cell r="M16" t="str">
            <v>2018/8</v>
          </cell>
          <cell r="N16"/>
          <cell r="O16">
            <v>11116185</v>
          </cell>
          <cell r="P16">
            <v>11327150</v>
          </cell>
          <cell r="Q16">
            <v>43313</v>
          </cell>
          <cell r="R16" t="str">
            <v>Yes</v>
          </cell>
          <cell r="S16" t="str">
            <v>C49</v>
          </cell>
          <cell r="T16" t="str">
            <v>SOUTH</v>
          </cell>
          <cell r="U16"/>
          <cell r="V16" t="str">
            <v>SZ 深圳</v>
          </cell>
          <cell r="W16" t="str">
            <v>RW</v>
          </cell>
          <cell r="X16" t="str">
            <v>JPY</v>
          </cell>
          <cell r="Y16">
            <v>11327150</v>
          </cell>
          <cell r="Z16">
            <v>1</v>
          </cell>
          <cell r="AA16">
            <v>11327150</v>
          </cell>
          <cell r="AB16">
            <v>7.2900000000000006E-2</v>
          </cell>
          <cell r="AC16">
            <v>825749.2350000001</v>
          </cell>
          <cell r="AD16">
            <v>99089.908200000005</v>
          </cell>
          <cell r="AE16">
            <v>0.12</v>
          </cell>
          <cell r="AF16">
            <v>43136</v>
          </cell>
          <cell r="AG16" t="str">
            <v>DAP</v>
          </cell>
          <cell r="AH16" t="str">
            <v>电梯5楼</v>
          </cell>
          <cell r="AI16"/>
          <cell r="AJ16"/>
          <cell r="AK16">
            <v>0.2</v>
          </cell>
          <cell r="AL16">
            <v>2265430</v>
          </cell>
          <cell r="AM16">
            <v>43132</v>
          </cell>
          <cell r="AN16" t="str">
            <v>Yes</v>
          </cell>
          <cell r="AO16">
            <v>0.8</v>
          </cell>
          <cell r="AP16">
            <v>9061720</v>
          </cell>
          <cell r="AQ16">
            <v>43313</v>
          </cell>
          <cell r="AR16">
            <v>43320</v>
          </cell>
          <cell r="AS16"/>
          <cell r="AT16">
            <v>0</v>
          </cell>
          <cell r="AU16"/>
          <cell r="AV16"/>
          <cell r="AW16"/>
          <cell r="AX16"/>
          <cell r="AY16"/>
          <cell r="AZ16" t="str">
            <v>y</v>
          </cell>
          <cell r="BA16" t="str">
            <v>Yes</v>
          </cell>
          <cell r="BB16"/>
        </row>
        <row r="17">
          <cell r="B17">
            <v>1</v>
          </cell>
          <cell r="C17" t="str">
            <v>C49SZX20170083RW</v>
          </cell>
          <cell r="D17" t="str">
            <v>骏捷龙 / 鑫龙威</v>
          </cell>
          <cell r="E17" t="str">
            <v>YSM40R-4</v>
          </cell>
          <cell r="F17" t="str">
            <v>NA</v>
          </cell>
          <cell r="G17" t="e">
            <v>#REF!</v>
          </cell>
          <cell r="H17" t="e">
            <v>#REF!</v>
          </cell>
          <cell r="I17" t="str">
            <v>L-&gt;R</v>
          </cell>
          <cell r="J17" t="str">
            <v>No</v>
          </cell>
          <cell r="K17">
            <v>1</v>
          </cell>
          <cell r="L17" t="e">
            <v>#REF!</v>
          </cell>
          <cell r="M17" t="e">
            <v>#REF!</v>
          </cell>
          <cell r="N17"/>
          <cell r="O17"/>
          <cell r="P17"/>
          <cell r="Q17"/>
          <cell r="R17" t="str">
            <v>No</v>
          </cell>
          <cell r="S17" t="str">
            <v>C49</v>
          </cell>
          <cell r="T17" t="str">
            <v>SOUTH</v>
          </cell>
          <cell r="U17" t="str">
            <v>深圳</v>
          </cell>
          <cell r="V17" t="str">
            <v>SZ 深圳</v>
          </cell>
          <cell r="W17" t="str">
            <v>RW</v>
          </cell>
          <cell r="X17" t="str">
            <v>JPY</v>
          </cell>
          <cell r="Y17">
            <v>28575000</v>
          </cell>
          <cell r="Z17">
            <v>1</v>
          </cell>
          <cell r="AA17">
            <v>28575000</v>
          </cell>
          <cell r="AB17">
            <v>7.0300000000000001E-2</v>
          </cell>
          <cell r="AC17">
            <v>2008822.5</v>
          </cell>
          <cell r="AD17">
            <v>241058.69999999998</v>
          </cell>
          <cell r="AE17">
            <v>0.12</v>
          </cell>
          <cell r="AF17">
            <v>42879</v>
          </cell>
          <cell r="AG17" t="str">
            <v>CIF</v>
          </cell>
          <cell r="AH17"/>
          <cell r="AI17"/>
          <cell r="AJ17"/>
          <cell r="AK17">
            <v>0.1</v>
          </cell>
          <cell r="AL17">
            <v>2857500</v>
          </cell>
          <cell r="AM17">
            <v>42856</v>
          </cell>
          <cell r="AN17" t="str">
            <v>Yes</v>
          </cell>
          <cell r="AO17"/>
          <cell r="AP17">
            <v>0</v>
          </cell>
          <cell r="AQ17"/>
          <cell r="AR17"/>
          <cell r="AS17"/>
          <cell r="AT17">
            <v>0</v>
          </cell>
          <cell r="AU17"/>
          <cell r="AV17"/>
          <cell r="AW17"/>
          <cell r="AX17" t="str">
            <v>Cancel</v>
          </cell>
          <cell r="AY17"/>
          <cell r="AZ17"/>
          <cell r="BA17" t="str">
            <v>Cancel</v>
          </cell>
          <cell r="BB17"/>
        </row>
        <row r="18">
          <cell r="B18">
            <v>2</v>
          </cell>
          <cell r="C18" t="str">
            <v>C49SZX20170083RW</v>
          </cell>
          <cell r="D18" t="str">
            <v>骏捷龙 / 鑫龙威</v>
          </cell>
          <cell r="E18" t="str">
            <v>YSM40R-4</v>
          </cell>
          <cell r="F18" t="str">
            <v>NA</v>
          </cell>
          <cell r="G18" t="e">
            <v>#REF!</v>
          </cell>
          <cell r="H18" t="e">
            <v>#REF!</v>
          </cell>
          <cell r="I18" t="str">
            <v>R-&gt;L</v>
          </cell>
          <cell r="J18" t="str">
            <v>No</v>
          </cell>
          <cell r="K18">
            <v>1</v>
          </cell>
          <cell r="L18" t="e">
            <v>#REF!</v>
          </cell>
          <cell r="M18" t="e">
            <v>#REF!</v>
          </cell>
          <cell r="N18"/>
          <cell r="O18"/>
          <cell r="P18"/>
          <cell r="Q18"/>
          <cell r="R18" t="str">
            <v>No</v>
          </cell>
          <cell r="S18" t="str">
            <v>C49</v>
          </cell>
          <cell r="T18" t="str">
            <v>SOUTH</v>
          </cell>
          <cell r="U18" t="str">
            <v>深圳</v>
          </cell>
          <cell r="V18" t="str">
            <v>SZ 深圳</v>
          </cell>
          <cell r="W18" t="str">
            <v>RW</v>
          </cell>
          <cell r="X18" t="str">
            <v>JPY</v>
          </cell>
          <cell r="Y18">
            <v>28575000</v>
          </cell>
          <cell r="Z18">
            <v>1</v>
          </cell>
          <cell r="AA18">
            <v>28575000</v>
          </cell>
          <cell r="AB18">
            <v>7.0300000000000001E-2</v>
          </cell>
          <cell r="AC18">
            <v>2008822.5</v>
          </cell>
          <cell r="AD18">
            <v>241058.69999999998</v>
          </cell>
          <cell r="AE18">
            <v>0.12</v>
          </cell>
          <cell r="AF18">
            <v>42879</v>
          </cell>
          <cell r="AG18" t="str">
            <v>CIF</v>
          </cell>
          <cell r="AH18"/>
          <cell r="AI18"/>
          <cell r="AJ18"/>
          <cell r="AK18">
            <v>0.1</v>
          </cell>
          <cell r="AL18">
            <v>2857500</v>
          </cell>
          <cell r="AM18">
            <v>42856</v>
          </cell>
          <cell r="AN18" t="str">
            <v>Yes</v>
          </cell>
          <cell r="AO18"/>
          <cell r="AP18">
            <v>0</v>
          </cell>
          <cell r="AQ18"/>
          <cell r="AR18"/>
          <cell r="AS18"/>
          <cell r="AT18">
            <v>0</v>
          </cell>
          <cell r="AU18"/>
          <cell r="AV18"/>
          <cell r="AW18"/>
          <cell r="AX18" t="str">
            <v>Cancel</v>
          </cell>
          <cell r="AY18"/>
          <cell r="AZ18"/>
          <cell r="BA18" t="str">
            <v>Cancel</v>
          </cell>
          <cell r="BB18"/>
        </row>
        <row r="19">
          <cell r="B19">
            <v>3</v>
          </cell>
          <cell r="C19" t="str">
            <v>C49SZX20170083RW</v>
          </cell>
          <cell r="D19" t="str">
            <v>骏捷龙 / 鑫龙威</v>
          </cell>
          <cell r="E19" t="str">
            <v>YSM10</v>
          </cell>
          <cell r="F19" t="str">
            <v>NA</v>
          </cell>
          <cell r="G19" t="e">
            <v>#REF!</v>
          </cell>
          <cell r="H19" t="e">
            <v>#REF!</v>
          </cell>
          <cell r="I19" t="str">
            <v>L-&gt;R</v>
          </cell>
          <cell r="J19" t="str">
            <v>ATS15</v>
          </cell>
          <cell r="K19">
            <v>1</v>
          </cell>
          <cell r="L19" t="e">
            <v>#REF!</v>
          </cell>
          <cell r="M19" t="e">
            <v>#REF!</v>
          </cell>
          <cell r="N19"/>
          <cell r="O19"/>
          <cell r="P19"/>
          <cell r="Q19"/>
          <cell r="R19" t="str">
            <v>No</v>
          </cell>
          <cell r="S19" t="str">
            <v>C49</v>
          </cell>
          <cell r="T19" t="str">
            <v>SOUTH</v>
          </cell>
          <cell r="U19" t="str">
            <v>深圳</v>
          </cell>
          <cell r="V19" t="str">
            <v>SZ 深圳</v>
          </cell>
          <cell r="W19" t="str">
            <v>RW</v>
          </cell>
          <cell r="X19" t="str">
            <v>JPY</v>
          </cell>
          <cell r="Y19">
            <v>14585000</v>
          </cell>
          <cell r="Z19">
            <v>1</v>
          </cell>
          <cell r="AA19">
            <v>14585000</v>
          </cell>
          <cell r="AB19">
            <v>7.0300000000000001E-2</v>
          </cell>
          <cell r="AC19">
            <v>1025325.5</v>
          </cell>
          <cell r="AD19">
            <v>123039.06</v>
          </cell>
          <cell r="AE19">
            <v>0.12</v>
          </cell>
          <cell r="AF19">
            <v>42879</v>
          </cell>
          <cell r="AG19" t="str">
            <v>CIF</v>
          </cell>
          <cell r="AH19"/>
          <cell r="AI19"/>
          <cell r="AJ19"/>
          <cell r="AK19">
            <v>0.1</v>
          </cell>
          <cell r="AL19">
            <v>1458500</v>
          </cell>
          <cell r="AM19">
            <v>42856</v>
          </cell>
          <cell r="AN19" t="str">
            <v>Yes</v>
          </cell>
          <cell r="AO19"/>
          <cell r="AP19">
            <v>0</v>
          </cell>
          <cell r="AQ19"/>
          <cell r="AR19"/>
          <cell r="AS19"/>
          <cell r="AT19">
            <v>0</v>
          </cell>
          <cell r="AU19"/>
          <cell r="AV19"/>
          <cell r="AW19"/>
          <cell r="AX19" t="str">
            <v>Cancel</v>
          </cell>
          <cell r="AY19"/>
          <cell r="AZ19"/>
          <cell r="BA19" t="str">
            <v>Cancel</v>
          </cell>
          <cell r="BB19"/>
        </row>
        <row r="20">
          <cell r="B20">
            <v>4</v>
          </cell>
          <cell r="C20" t="str">
            <v>C49SZX20170083RW</v>
          </cell>
          <cell r="D20" t="str">
            <v>骏捷龙 / 鑫龙威</v>
          </cell>
          <cell r="E20" t="str">
            <v>YSM10</v>
          </cell>
          <cell r="F20" t="str">
            <v>NA</v>
          </cell>
          <cell r="G20" t="e">
            <v>#REF!</v>
          </cell>
          <cell r="H20" t="e">
            <v>#REF!</v>
          </cell>
          <cell r="I20" t="str">
            <v>R-&gt;L</v>
          </cell>
          <cell r="J20" t="str">
            <v>ATS15</v>
          </cell>
          <cell r="K20">
            <v>1</v>
          </cell>
          <cell r="L20" t="e">
            <v>#REF!</v>
          </cell>
          <cell r="M20" t="e">
            <v>#REF!</v>
          </cell>
          <cell r="N20"/>
          <cell r="O20"/>
          <cell r="P20"/>
          <cell r="Q20"/>
          <cell r="R20" t="str">
            <v>No</v>
          </cell>
          <cell r="S20" t="str">
            <v>C49</v>
          </cell>
          <cell r="T20" t="str">
            <v>SOUTH</v>
          </cell>
          <cell r="U20" t="str">
            <v>深圳</v>
          </cell>
          <cell r="V20" t="str">
            <v>SZ 深圳</v>
          </cell>
          <cell r="W20" t="str">
            <v>RW</v>
          </cell>
          <cell r="X20" t="str">
            <v>JPY</v>
          </cell>
          <cell r="Y20">
            <v>14585000</v>
          </cell>
          <cell r="Z20">
            <v>1</v>
          </cell>
          <cell r="AA20">
            <v>14585000</v>
          </cell>
          <cell r="AB20">
            <v>7.0300000000000001E-2</v>
          </cell>
          <cell r="AC20">
            <v>1025325.5</v>
          </cell>
          <cell r="AD20">
            <v>123039.06</v>
          </cell>
          <cell r="AE20">
            <v>0.12</v>
          </cell>
          <cell r="AF20">
            <v>42879</v>
          </cell>
          <cell r="AG20" t="str">
            <v>CIF</v>
          </cell>
          <cell r="AH20"/>
          <cell r="AI20"/>
          <cell r="AJ20"/>
          <cell r="AK20">
            <v>0.1</v>
          </cell>
          <cell r="AL20">
            <v>1458500</v>
          </cell>
          <cell r="AM20">
            <v>42856</v>
          </cell>
          <cell r="AN20" t="str">
            <v>Yes</v>
          </cell>
          <cell r="AO20"/>
          <cell r="AP20">
            <v>0</v>
          </cell>
          <cell r="AQ20"/>
          <cell r="AR20"/>
          <cell r="AS20"/>
          <cell r="AT20">
            <v>0</v>
          </cell>
          <cell r="AU20"/>
          <cell r="AV20"/>
          <cell r="AW20"/>
          <cell r="AX20" t="str">
            <v>Cancel</v>
          </cell>
          <cell r="AY20"/>
          <cell r="AZ20"/>
          <cell r="BA20" t="str">
            <v>Cancel</v>
          </cell>
          <cell r="BB20"/>
        </row>
        <row r="21">
          <cell r="B21"/>
          <cell r="C21" t="str">
            <v>C49SZX20170085JL </v>
          </cell>
          <cell r="D21" t="str">
            <v> Boshijie  博实结</v>
          </cell>
          <cell r="E21" t="str">
            <v>YSM40R-4</v>
          </cell>
          <cell r="F21" t="str">
            <v>NA</v>
          </cell>
          <cell r="G21" t="e">
            <v>#REF!</v>
          </cell>
          <cell r="H21" t="e">
            <v>#REF!</v>
          </cell>
          <cell r="I21"/>
          <cell r="J21"/>
          <cell r="K21">
            <v>1</v>
          </cell>
          <cell r="L21" t="str">
            <v>取消</v>
          </cell>
          <cell r="M21"/>
          <cell r="N21"/>
          <cell r="O21"/>
          <cell r="P21"/>
          <cell r="Q21"/>
          <cell r="R21" t="str">
            <v>No</v>
          </cell>
          <cell r="S21" t="str">
            <v>C49</v>
          </cell>
          <cell r="T21" t="str">
            <v>SOUTH</v>
          </cell>
          <cell r="U21" t="str">
            <v>深圳</v>
          </cell>
          <cell r="V21" t="str">
            <v>SZ 深圳</v>
          </cell>
          <cell r="W21" t="str">
            <v>JL</v>
          </cell>
          <cell r="X21" t="str">
            <v>JPY</v>
          </cell>
          <cell r="Y21">
            <v>33000000</v>
          </cell>
          <cell r="Z21">
            <v>1</v>
          </cell>
          <cell r="AA21">
            <v>33000000</v>
          </cell>
          <cell r="AB21">
            <v>7.0300000000000001E-2</v>
          </cell>
          <cell r="AC21">
            <v>2319900</v>
          </cell>
          <cell r="AD21">
            <v>278388</v>
          </cell>
          <cell r="AE21">
            <v>0.12</v>
          </cell>
          <cell r="AF21">
            <v>42880</v>
          </cell>
          <cell r="AG21" t="str">
            <v>CIF</v>
          </cell>
          <cell r="AH21"/>
          <cell r="AI21"/>
          <cell r="AJ21"/>
          <cell r="AK21">
            <v>0.3</v>
          </cell>
          <cell r="AL21">
            <v>9900000</v>
          </cell>
          <cell r="AM21"/>
          <cell r="AN21"/>
          <cell r="AO21">
            <v>0.7</v>
          </cell>
          <cell r="AP21">
            <v>23100000</v>
          </cell>
          <cell r="AQ21"/>
          <cell r="AR21"/>
          <cell r="AS21"/>
          <cell r="AT21">
            <v>0</v>
          </cell>
          <cell r="AU21"/>
          <cell r="AV21"/>
          <cell r="AW21"/>
          <cell r="AX21" t="str">
            <v>Cancel</v>
          </cell>
          <cell r="AY21"/>
          <cell r="AZ21"/>
          <cell r="BA21" t="str">
            <v>Cancel</v>
          </cell>
          <cell r="BB21"/>
        </row>
        <row r="22">
          <cell r="B22"/>
          <cell r="C22" t="str">
            <v>C49SZX20170118JY</v>
          </cell>
          <cell r="D22" t="str">
            <v>鹏博辉</v>
          </cell>
          <cell r="E22" t="str">
            <v>YS24</v>
          </cell>
          <cell r="F22" t="str">
            <v>NA</v>
          </cell>
          <cell r="G22" t="e">
            <v>#REF!</v>
          </cell>
          <cell r="H22" t="e">
            <v>#REF!</v>
          </cell>
          <cell r="I22"/>
          <cell r="J22"/>
          <cell r="K22">
            <v>1</v>
          </cell>
          <cell r="L22" t="str">
            <v>已经送货</v>
          </cell>
          <cell r="M22" t="str">
            <v>JUL 18</v>
          </cell>
          <cell r="N22"/>
          <cell r="O22">
            <v>11116166</v>
          </cell>
          <cell r="P22">
            <v>10337775</v>
          </cell>
          <cell r="Q22">
            <v>43282</v>
          </cell>
          <cell r="R22" t="str">
            <v>No</v>
          </cell>
          <cell r="S22" t="str">
            <v>C49</v>
          </cell>
          <cell r="T22" t="str">
            <v>SOUTH</v>
          </cell>
          <cell r="U22" t="str">
            <v>深圳</v>
          </cell>
          <cell r="V22" t="str">
            <v>SZ 深圳</v>
          </cell>
          <cell r="W22" t="str">
            <v>JY</v>
          </cell>
          <cell r="X22" t="str">
            <v>JPY</v>
          </cell>
          <cell r="Y22">
            <v>10337775</v>
          </cell>
          <cell r="Z22">
            <v>1</v>
          </cell>
          <cell r="AA22">
            <v>10337775</v>
          </cell>
          <cell r="AB22">
            <v>7.0300000000000001E-2</v>
          </cell>
          <cell r="AC22">
            <v>726745.58250000002</v>
          </cell>
          <cell r="AD22">
            <v>87209.469899999996</v>
          </cell>
          <cell r="AE22">
            <v>0.12</v>
          </cell>
          <cell r="AF22">
            <v>42944</v>
          </cell>
          <cell r="AG22" t="str">
            <v>DAP</v>
          </cell>
          <cell r="AH22"/>
          <cell r="AI22" t="str">
            <v>Na</v>
          </cell>
          <cell r="AJ22" t="str">
            <v>Na</v>
          </cell>
          <cell r="AK22">
            <v>0.1</v>
          </cell>
          <cell r="AL22">
            <v>1033777.5</v>
          </cell>
          <cell r="AM22">
            <v>43070</v>
          </cell>
          <cell r="AN22" t="str">
            <v>Yes</v>
          </cell>
          <cell r="AO22">
            <v>0.9</v>
          </cell>
          <cell r="AP22">
            <v>9303997.5</v>
          </cell>
          <cell r="AQ22">
            <v>43282</v>
          </cell>
          <cell r="AR22">
            <v>43307</v>
          </cell>
          <cell r="AS22"/>
          <cell r="AT22">
            <v>0</v>
          </cell>
          <cell r="AU22"/>
          <cell r="AV22"/>
          <cell r="AW22"/>
          <cell r="AX22"/>
          <cell r="AY22"/>
          <cell r="AZ22" t="str">
            <v>Y</v>
          </cell>
          <cell r="BA22" t="str">
            <v>Yes</v>
          </cell>
        </row>
        <row r="23">
          <cell r="B23"/>
          <cell r="C23" t="str">
            <v>C49SZX20170121KW</v>
          </cell>
          <cell r="D23" t="str">
            <v>明高 Nanchang Minggao</v>
          </cell>
          <cell r="E23" t="str">
            <v>YSM10</v>
          </cell>
          <cell r="F23" t="str">
            <v>NA</v>
          </cell>
          <cell r="G23" t="e">
            <v>#REF!</v>
          </cell>
          <cell r="H23" t="e">
            <v>#REF!</v>
          </cell>
          <cell r="I23"/>
          <cell r="J23"/>
          <cell r="K23">
            <v>3</v>
          </cell>
          <cell r="L23" t="str">
            <v>取消</v>
          </cell>
          <cell r="M23"/>
          <cell r="N23"/>
          <cell r="O23"/>
          <cell r="P23"/>
          <cell r="Q23"/>
          <cell r="R23" t="str">
            <v>Yes</v>
          </cell>
          <cell r="S23" t="str">
            <v>C49</v>
          </cell>
          <cell r="T23" t="str">
            <v>SOUTH</v>
          </cell>
          <cell r="U23"/>
          <cell r="V23" t="str">
            <v>SZ 深圳</v>
          </cell>
          <cell r="W23" t="str">
            <v>ZX</v>
          </cell>
          <cell r="X23" t="str">
            <v>JPY</v>
          </cell>
          <cell r="Y23">
            <v>9666667</v>
          </cell>
          <cell r="Z23">
            <v>1</v>
          </cell>
          <cell r="AA23">
            <v>29000001</v>
          </cell>
          <cell r="AB23">
            <v>7.0300000000000001E-2</v>
          </cell>
          <cell r="AC23">
            <v>2038700.0703</v>
          </cell>
          <cell r="AD23">
            <v>244644.008436</v>
          </cell>
          <cell r="AE23">
            <v>0.12</v>
          </cell>
          <cell r="AF23">
            <v>42975</v>
          </cell>
          <cell r="AG23"/>
          <cell r="AH23"/>
          <cell r="AI23"/>
          <cell r="AJ23"/>
          <cell r="AK23"/>
          <cell r="AL23">
            <v>0</v>
          </cell>
          <cell r="AM23"/>
          <cell r="AN23"/>
          <cell r="AO23"/>
          <cell r="AP23">
            <v>0</v>
          </cell>
          <cell r="AQ23"/>
          <cell r="AR23"/>
          <cell r="AS23"/>
          <cell r="AT23">
            <v>0</v>
          </cell>
          <cell r="AU23"/>
          <cell r="AV23"/>
          <cell r="AW23"/>
          <cell r="AX23" t="str">
            <v>Cancel</v>
          </cell>
          <cell r="AY23"/>
          <cell r="AZ23"/>
          <cell r="BA23" t="str">
            <v>Cancel</v>
          </cell>
          <cell r="BB23"/>
        </row>
        <row r="24">
          <cell r="B24"/>
          <cell r="C24" t="str">
            <v>C49SZX20170135RW</v>
          </cell>
          <cell r="D24" t="str">
            <v>Herotec好立泰</v>
          </cell>
          <cell r="E24" t="str">
            <v>YS12F</v>
          </cell>
          <cell r="F24" t="str">
            <v>NA</v>
          </cell>
          <cell r="G24" t="e">
            <v>#REF!</v>
          </cell>
          <cell r="H24" t="e">
            <v>#REF!</v>
          </cell>
          <cell r="I24"/>
          <cell r="J24"/>
          <cell r="K24">
            <v>4</v>
          </cell>
          <cell r="L24" t="str">
            <v>已经送货</v>
          </cell>
          <cell r="M24"/>
          <cell r="N24"/>
          <cell r="O24">
            <v>11116052</v>
          </cell>
          <cell r="P24">
            <v>28000000</v>
          </cell>
          <cell r="Q24"/>
          <cell r="R24" t="str">
            <v>Yes</v>
          </cell>
          <cell r="S24" t="str">
            <v>C49</v>
          </cell>
          <cell r="T24" t="str">
            <v>SOUTH</v>
          </cell>
          <cell r="U24"/>
          <cell r="V24"/>
          <cell r="W24" t="str">
            <v>RW</v>
          </cell>
          <cell r="X24" t="str">
            <v>JPY</v>
          </cell>
          <cell r="Y24">
            <v>7000000</v>
          </cell>
          <cell r="Z24">
            <v>1</v>
          </cell>
          <cell r="AA24">
            <v>28000000</v>
          </cell>
          <cell r="AB24">
            <v>7.0300000000000001E-2</v>
          </cell>
          <cell r="AC24">
            <v>1968400</v>
          </cell>
          <cell r="AD24">
            <v>236208</v>
          </cell>
          <cell r="AE24">
            <v>0.12</v>
          </cell>
          <cell r="AF24">
            <v>43048</v>
          </cell>
          <cell r="AG24"/>
          <cell r="AH24"/>
          <cell r="AI24"/>
          <cell r="AJ24"/>
          <cell r="AK24"/>
          <cell r="AL24">
            <v>0</v>
          </cell>
          <cell r="AM24"/>
          <cell r="AN24"/>
          <cell r="AO24"/>
          <cell r="AP24">
            <v>0</v>
          </cell>
          <cell r="AQ24"/>
          <cell r="AR24"/>
          <cell r="AS24"/>
          <cell r="AT24">
            <v>0</v>
          </cell>
          <cell r="AU24"/>
          <cell r="AV24"/>
          <cell r="AW24"/>
          <cell r="AX24"/>
          <cell r="AY24"/>
          <cell r="AZ24" t="str">
            <v>Y</v>
          </cell>
          <cell r="BA24" t="str">
            <v>Yes</v>
          </cell>
        </row>
        <row r="25">
          <cell r="B25"/>
          <cell r="C25" t="str">
            <v>C49SZX20170139SS</v>
          </cell>
          <cell r="D25" t="str">
            <v>明昌</v>
          </cell>
          <cell r="E25" t="str">
            <v>YSM40R-4</v>
          </cell>
          <cell r="F25" t="str">
            <v>NA</v>
          </cell>
          <cell r="G25" t="e">
            <v>#REF!</v>
          </cell>
          <cell r="H25" t="e">
            <v>#REF!</v>
          </cell>
          <cell r="I25"/>
          <cell r="J25"/>
          <cell r="K25">
            <v>2</v>
          </cell>
          <cell r="L25" t="str">
            <v>已经送货</v>
          </cell>
          <cell r="M25"/>
          <cell r="N25"/>
          <cell r="O25"/>
          <cell r="P25"/>
          <cell r="Q25"/>
          <cell r="R25" t="str">
            <v>No</v>
          </cell>
          <cell r="S25" t="str">
            <v>C49</v>
          </cell>
          <cell r="T25"/>
          <cell r="U25" t="str">
            <v>深圳</v>
          </cell>
          <cell r="V25" t="str">
            <v>SZ 深圳</v>
          </cell>
          <cell r="W25" t="str">
            <v>SS</v>
          </cell>
          <cell r="X25" t="str">
            <v>JPY</v>
          </cell>
          <cell r="Y25">
            <v>26000000</v>
          </cell>
          <cell r="Z25">
            <v>1</v>
          </cell>
          <cell r="AA25">
            <v>52000000</v>
          </cell>
          <cell r="AB25">
            <v>7.0300000000000001E-2</v>
          </cell>
          <cell r="AC25">
            <v>3655600</v>
          </cell>
          <cell r="AD25">
            <v>438672</v>
          </cell>
          <cell r="AE25">
            <v>0.12</v>
          </cell>
          <cell r="AF25">
            <v>43005</v>
          </cell>
          <cell r="AG25"/>
          <cell r="AH25"/>
          <cell r="AI25"/>
          <cell r="AJ25"/>
          <cell r="AK25">
            <v>0.05</v>
          </cell>
          <cell r="AL25">
            <v>2600000</v>
          </cell>
          <cell r="AM25"/>
          <cell r="AN25"/>
          <cell r="AO25">
            <v>0.85</v>
          </cell>
          <cell r="AP25">
            <v>44200000</v>
          </cell>
          <cell r="AQ25">
            <v>43101</v>
          </cell>
          <cell r="AR25">
            <v>43123</v>
          </cell>
          <cell r="AS25">
            <v>0.05</v>
          </cell>
          <cell r="AT25">
            <v>2600000</v>
          </cell>
          <cell r="AU25" t="str">
            <v>APR</v>
          </cell>
          <cell r="AV25" t="str">
            <v>20180417</v>
          </cell>
          <cell r="AW25"/>
          <cell r="AX25"/>
          <cell r="AY25"/>
          <cell r="AZ25"/>
          <cell r="BA25"/>
        </row>
        <row r="26">
          <cell r="B26"/>
          <cell r="C26" t="str">
            <v>C49SZX20170147JY, C/N.C49SZX20170147JY</v>
          </cell>
          <cell r="D26" t="str">
            <v>Zirui紫瑞</v>
          </cell>
          <cell r="E26" t="str">
            <v>YS24</v>
          </cell>
          <cell r="F26" t="str">
            <v>NA</v>
          </cell>
          <cell r="G26" t="e">
            <v>#REF!</v>
          </cell>
          <cell r="H26" t="e">
            <v>#REF!</v>
          </cell>
          <cell r="K26">
            <v>1</v>
          </cell>
          <cell r="L26" t="str">
            <v>已经送货</v>
          </cell>
          <cell r="M26" t="str">
            <v>MAY 18</v>
          </cell>
          <cell r="O26">
            <v>11116108</v>
          </cell>
          <cell r="P26">
            <v>9900000</v>
          </cell>
          <cell r="Q26">
            <v>43221</v>
          </cell>
          <cell r="R26" t="str">
            <v>No</v>
          </cell>
          <cell r="S26" t="str">
            <v>C49</v>
          </cell>
          <cell r="T26" t="str">
            <v>SOUTH</v>
          </cell>
          <cell r="U26" t="str">
            <v>深圳</v>
          </cell>
          <cell r="V26" t="str">
            <v>SZ 深圳</v>
          </cell>
          <cell r="W26" t="str">
            <v>JY</v>
          </cell>
          <cell r="X26" t="str">
            <v>JPY</v>
          </cell>
          <cell r="Y26">
            <v>9900000</v>
          </cell>
          <cell r="Z26">
            <v>1</v>
          </cell>
          <cell r="AA26">
            <v>9900000</v>
          </cell>
          <cell r="AB26">
            <v>7.0300000000000001E-2</v>
          </cell>
          <cell r="AC26">
            <v>695970</v>
          </cell>
          <cell r="AD26">
            <v>83516.399999999994</v>
          </cell>
          <cell r="AE26">
            <v>0.12</v>
          </cell>
          <cell r="AF26">
            <v>43004</v>
          </cell>
          <cell r="AG26" t="str">
            <v>DAP</v>
          </cell>
          <cell r="AH26" t="str">
            <v>电梯四楼</v>
          </cell>
          <cell r="AI26"/>
          <cell r="AJ26"/>
          <cell r="AK26">
            <v>0.1</v>
          </cell>
          <cell r="AL26">
            <v>990000</v>
          </cell>
          <cell r="AN26"/>
          <cell r="AO26">
            <v>0.9</v>
          </cell>
          <cell r="AP26">
            <v>8910000</v>
          </cell>
          <cell r="AQ26">
            <v>43221</v>
          </cell>
          <cell r="AR26">
            <v>43238</v>
          </cell>
          <cell r="AS26"/>
          <cell r="AT26">
            <v>0</v>
          </cell>
          <cell r="AV26"/>
          <cell r="AY26"/>
          <cell r="BA26" t="str">
            <v>Yes</v>
          </cell>
        </row>
        <row r="27">
          <cell r="B27"/>
          <cell r="C27" t="str">
            <v>C49SZX20170152YJ</v>
          </cell>
          <cell r="D27" t="str">
            <v>博尔鑫</v>
          </cell>
          <cell r="E27" t="str">
            <v>YS24</v>
          </cell>
          <cell r="F27" t="str">
            <v>NA</v>
          </cell>
          <cell r="G27" t="e">
            <v>#REF!</v>
          </cell>
          <cell r="H27" t="e">
            <v>#REF!</v>
          </cell>
          <cell r="I27"/>
          <cell r="J27"/>
          <cell r="K27">
            <v>1</v>
          </cell>
          <cell r="L27" t="str">
            <v>取消</v>
          </cell>
          <cell r="M27"/>
          <cell r="N27"/>
          <cell r="O27"/>
          <cell r="P27"/>
          <cell r="Q27"/>
          <cell r="R27" t="str">
            <v>No</v>
          </cell>
          <cell r="S27" t="str">
            <v>C49</v>
          </cell>
          <cell r="T27" t="str">
            <v>SOUTH</v>
          </cell>
          <cell r="U27"/>
          <cell r="V27" t="str">
            <v>SZ 深圳</v>
          </cell>
          <cell r="W27" t="str">
            <v>YJ</v>
          </cell>
          <cell r="X27" t="str">
            <v>JPY</v>
          </cell>
          <cell r="Y27">
            <v>13100000</v>
          </cell>
          <cell r="Z27">
            <v>1</v>
          </cell>
          <cell r="AA27">
            <v>13100000</v>
          </cell>
          <cell r="AB27">
            <v>7.0300000000000001E-2</v>
          </cell>
          <cell r="AC27">
            <v>920930</v>
          </cell>
          <cell r="AD27">
            <v>110511.59999999999</v>
          </cell>
          <cell r="AE27">
            <v>0.12</v>
          </cell>
          <cell r="AF27">
            <v>43003</v>
          </cell>
          <cell r="AG27"/>
          <cell r="AH27"/>
          <cell r="AI27"/>
          <cell r="AJ27"/>
          <cell r="AK27"/>
          <cell r="AL27">
            <v>0</v>
          </cell>
          <cell r="AM27"/>
          <cell r="AN27"/>
          <cell r="AO27"/>
          <cell r="AP27">
            <v>0</v>
          </cell>
          <cell r="AQ27"/>
          <cell r="AR27"/>
          <cell r="AS27"/>
          <cell r="AT27">
            <v>0</v>
          </cell>
          <cell r="AU27"/>
          <cell r="AV27"/>
          <cell r="AW27"/>
          <cell r="AX27" t="str">
            <v>Cancel</v>
          </cell>
          <cell r="AY27"/>
          <cell r="AZ27"/>
          <cell r="BA27" t="str">
            <v>Cancel</v>
          </cell>
          <cell r="BB27"/>
        </row>
        <row r="28">
          <cell r="B28"/>
          <cell r="C28" t="str">
            <v>C49SZX20170153YJ</v>
          </cell>
          <cell r="D28" t="str">
            <v>Xu sheng旭晟</v>
          </cell>
          <cell r="E28" t="str">
            <v>YSM10</v>
          </cell>
          <cell r="F28" t="str">
            <v>NA</v>
          </cell>
          <cell r="G28" t="e">
            <v>#REF!</v>
          </cell>
          <cell r="H28" t="e">
            <v>#REF!</v>
          </cell>
          <cell r="I28"/>
          <cell r="J28"/>
          <cell r="K28">
            <v>1</v>
          </cell>
          <cell r="L28" t="str">
            <v>已经送货</v>
          </cell>
          <cell r="M28"/>
          <cell r="N28"/>
          <cell r="O28">
            <v>11116038</v>
          </cell>
          <cell r="P28">
            <v>10170000</v>
          </cell>
          <cell r="Q28"/>
          <cell r="R28" t="str">
            <v>Yes</v>
          </cell>
          <cell r="S28" t="str">
            <v>C49</v>
          </cell>
          <cell r="T28" t="str">
            <v>SOUTH</v>
          </cell>
          <cell r="U28"/>
          <cell r="V28"/>
          <cell r="W28" t="str">
            <v>YJ</v>
          </cell>
          <cell r="X28" t="str">
            <v>JPY</v>
          </cell>
          <cell r="Y28">
            <v>10170000</v>
          </cell>
          <cell r="Z28">
            <v>1</v>
          </cell>
          <cell r="AA28">
            <v>10170000</v>
          </cell>
          <cell r="AB28">
            <v>7.0300000000000001E-2</v>
          </cell>
          <cell r="AC28">
            <v>714951</v>
          </cell>
          <cell r="AD28">
            <v>85794.12</v>
          </cell>
          <cell r="AE28">
            <v>0.12</v>
          </cell>
          <cell r="AF28">
            <v>43052</v>
          </cell>
          <cell r="AG28"/>
          <cell r="AH28"/>
          <cell r="AI28"/>
          <cell r="AJ28"/>
          <cell r="AK28"/>
          <cell r="AL28">
            <v>0</v>
          </cell>
          <cell r="AM28"/>
          <cell r="AN28"/>
          <cell r="AO28"/>
          <cell r="AP28">
            <v>0</v>
          </cell>
          <cell r="AQ28"/>
          <cell r="AR28"/>
          <cell r="AS28"/>
          <cell r="AT28">
            <v>0</v>
          </cell>
          <cell r="AU28"/>
          <cell r="AV28"/>
          <cell r="AW28"/>
          <cell r="AX28"/>
          <cell r="AY28"/>
          <cell r="AZ28"/>
          <cell r="BA28" t="str">
            <v>Yes</v>
          </cell>
          <cell r="BB28"/>
        </row>
        <row r="29">
          <cell r="B29"/>
          <cell r="C29" t="str">
            <v>C49SZX20170157KW</v>
          </cell>
          <cell r="D29" t="str">
            <v>Jiangheng深圳江恒</v>
          </cell>
          <cell r="E29" t="str">
            <v>YS24</v>
          </cell>
          <cell r="F29" t="str">
            <v>NA</v>
          </cell>
          <cell r="G29" t="e">
            <v>#REF!</v>
          </cell>
          <cell r="H29" t="e">
            <v>#REF!</v>
          </cell>
          <cell r="I29"/>
          <cell r="J29"/>
          <cell r="K29">
            <v>1</v>
          </cell>
          <cell r="L29" t="str">
            <v>已经送货</v>
          </cell>
          <cell r="M29" t="str">
            <v>2018/4</v>
          </cell>
          <cell r="N29"/>
          <cell r="O29">
            <v>11100250</v>
          </cell>
          <cell r="P29">
            <v>811934</v>
          </cell>
          <cell r="Q29">
            <v>43191</v>
          </cell>
          <cell r="R29" t="str">
            <v>No</v>
          </cell>
          <cell r="S29" t="str">
            <v>C49</v>
          </cell>
          <cell r="T29" t="str">
            <v>SOUTH</v>
          </cell>
          <cell r="U29" t="str">
            <v>江门</v>
          </cell>
          <cell r="V29" t="str">
            <v>SZ 深圳</v>
          </cell>
          <cell r="W29" t="str">
            <v>KW</v>
          </cell>
          <cell r="X29" t="str">
            <v>RMB</v>
          </cell>
          <cell r="Y29">
            <v>811934</v>
          </cell>
          <cell r="Z29">
            <v>1.17</v>
          </cell>
          <cell r="AA29">
            <v>811934</v>
          </cell>
          <cell r="AB29">
            <v>1.23</v>
          </cell>
          <cell r="AC29">
            <v>853571.641025641</v>
          </cell>
          <cell r="AD29">
            <v>102428.59692307691</v>
          </cell>
          <cell r="AE29">
            <v>0.12</v>
          </cell>
          <cell r="AF29">
            <v>43020</v>
          </cell>
          <cell r="AG29" t="str">
            <v>含税到厂</v>
          </cell>
          <cell r="AH29" t="str">
            <v>一楼卸货</v>
          </cell>
          <cell r="AI29" t="str">
            <v>Na</v>
          </cell>
          <cell r="AJ29" t="str">
            <v>Na</v>
          </cell>
          <cell r="AK29" t="str">
            <v>agree</v>
          </cell>
          <cell r="AL29" t="e">
            <v>#VALUE!</v>
          </cell>
          <cell r="AM29">
            <v>43132</v>
          </cell>
          <cell r="AN29" t="str">
            <v>Yes</v>
          </cell>
          <cell r="AO29" t="str">
            <v>agree</v>
          </cell>
          <cell r="AP29" t="e">
            <v>#VALUE!</v>
          </cell>
          <cell r="AQ29">
            <v>43191</v>
          </cell>
          <cell r="AR29">
            <v>43192</v>
          </cell>
          <cell r="AS29" t="str">
            <v>agree</v>
          </cell>
          <cell r="AT29" t="e">
            <v>#VALUE!</v>
          </cell>
          <cell r="AU29" t="str">
            <v>APR</v>
          </cell>
          <cell r="AV29" t="str">
            <v>20180412</v>
          </cell>
          <cell r="AW29"/>
          <cell r="AX29"/>
          <cell r="AY29"/>
          <cell r="AZ29"/>
          <cell r="BA29" t="str">
            <v>Yes</v>
          </cell>
          <cell r="BB29"/>
        </row>
        <row r="30">
          <cell r="B30"/>
          <cell r="C30" t="str">
            <v>Sunset日东</v>
          </cell>
          <cell r="D30" t="str">
            <v>HENGZHIYUAN 恒之源</v>
          </cell>
          <cell r="E30" t="str">
            <v>YS12</v>
          </cell>
          <cell r="F30" t="str">
            <v>#70902</v>
          </cell>
          <cell r="G30" t="e">
            <v>#REF!</v>
          </cell>
          <cell r="H30" t="e">
            <v>#REF!</v>
          </cell>
          <cell r="I30"/>
          <cell r="J30"/>
          <cell r="K30">
            <v>1</v>
          </cell>
          <cell r="L30" t="str">
            <v>已经送货</v>
          </cell>
          <cell r="M30"/>
          <cell r="N30"/>
          <cell r="O30">
            <v>11100236</v>
          </cell>
          <cell r="P30">
            <v>860000</v>
          </cell>
          <cell r="Q30"/>
          <cell r="R30" t="str">
            <v>No</v>
          </cell>
          <cell r="S30" t="str">
            <v>C49</v>
          </cell>
          <cell r="T30" t="str">
            <v>SOUTH</v>
          </cell>
          <cell r="U30"/>
          <cell r="V30"/>
          <cell r="W30" t="str">
            <v>JY</v>
          </cell>
          <cell r="X30" t="str">
            <v>RMB</v>
          </cell>
          <cell r="Y30">
            <v>860000</v>
          </cell>
          <cell r="Z30">
            <v>1.17</v>
          </cell>
          <cell r="AA30">
            <v>860000</v>
          </cell>
          <cell r="AB30">
            <v>1.18</v>
          </cell>
          <cell r="AC30">
            <v>867350.42735042737</v>
          </cell>
          <cell r="AD30">
            <v>104082.05128205128</v>
          </cell>
          <cell r="AE30">
            <v>0.12</v>
          </cell>
          <cell r="AF30">
            <v>43075</v>
          </cell>
          <cell r="AG30"/>
          <cell r="AH30"/>
          <cell r="AI30"/>
          <cell r="AJ30"/>
          <cell r="AK30" t="str">
            <v>agree</v>
          </cell>
          <cell r="AL30" t="e">
            <v>#VALUE!</v>
          </cell>
          <cell r="AM30">
            <v>43070</v>
          </cell>
          <cell r="AN30" t="str">
            <v>Yes</v>
          </cell>
          <cell r="AO30">
            <v>0.75</v>
          </cell>
          <cell r="AP30">
            <v>645000</v>
          </cell>
          <cell r="AQ30"/>
          <cell r="AR30"/>
          <cell r="AS30">
            <v>0.05</v>
          </cell>
          <cell r="AT30">
            <v>43000</v>
          </cell>
          <cell r="AU30"/>
          <cell r="AV30"/>
          <cell r="AW30"/>
          <cell r="AX30"/>
          <cell r="AY30"/>
          <cell r="AZ30" t="str">
            <v>Y</v>
          </cell>
          <cell r="BA30" t="str">
            <v>Yes</v>
          </cell>
        </row>
        <row r="31">
          <cell r="B31"/>
          <cell r="C31" t="str">
            <v>C49SZX20170162JY</v>
          </cell>
          <cell r="D31" t="str">
            <v>Anjia 安嘉</v>
          </cell>
          <cell r="E31" t="str">
            <v>YS24</v>
          </cell>
          <cell r="F31" t="str">
            <v>NA</v>
          </cell>
          <cell r="G31" t="e">
            <v>#REF!</v>
          </cell>
          <cell r="H31" t="e">
            <v>#REF!</v>
          </cell>
          <cell r="I31"/>
          <cell r="J31"/>
          <cell r="K31">
            <v>2</v>
          </cell>
          <cell r="L31" t="str">
            <v>已经送货</v>
          </cell>
          <cell r="M31"/>
          <cell r="N31"/>
          <cell r="O31">
            <v>11116076</v>
          </cell>
          <cell r="P31">
            <v>23000000</v>
          </cell>
          <cell r="Q31">
            <v>43160</v>
          </cell>
          <cell r="R31" t="str">
            <v>Yes</v>
          </cell>
          <cell r="S31" t="str">
            <v>C49</v>
          </cell>
          <cell r="T31" t="str">
            <v>SOUTH</v>
          </cell>
          <cell r="U31"/>
          <cell r="V31" t="str">
            <v>SZ 深圳</v>
          </cell>
          <cell r="W31" t="str">
            <v>JY</v>
          </cell>
          <cell r="X31" t="str">
            <v>JPY</v>
          </cell>
          <cell r="Y31">
            <v>11500000</v>
          </cell>
          <cell r="Z31">
            <v>1</v>
          </cell>
          <cell r="AA31">
            <v>23000000</v>
          </cell>
          <cell r="AB31">
            <v>7.0300000000000001E-2</v>
          </cell>
          <cell r="AC31">
            <v>1616900</v>
          </cell>
          <cell r="AD31">
            <v>194028</v>
          </cell>
          <cell r="AE31">
            <v>0.12</v>
          </cell>
          <cell r="AF31">
            <v>43047</v>
          </cell>
          <cell r="AG31" t="str">
            <v>DAP</v>
          </cell>
          <cell r="AH31" t="str">
            <v>吊装</v>
          </cell>
          <cell r="AI31"/>
          <cell r="AJ31"/>
          <cell r="AK31">
            <v>0.3</v>
          </cell>
          <cell r="AL31">
            <v>6900000</v>
          </cell>
          <cell r="AM31">
            <v>43160</v>
          </cell>
          <cell r="AN31" t="str">
            <v>Yes</v>
          </cell>
          <cell r="AO31">
            <v>0.7</v>
          </cell>
          <cell r="AP31">
            <v>16099999.999999998</v>
          </cell>
          <cell r="AQ31"/>
          <cell r="AR31"/>
          <cell r="AS31"/>
          <cell r="AT31">
            <v>0</v>
          </cell>
          <cell r="AU31"/>
          <cell r="AV31"/>
          <cell r="AW31"/>
          <cell r="AX31"/>
          <cell r="AY31"/>
          <cell r="AZ31"/>
          <cell r="BA31" t="str">
            <v>Yes</v>
          </cell>
        </row>
        <row r="32">
          <cell r="B32"/>
          <cell r="C32" t="str">
            <v>C49SZX20170162JY</v>
          </cell>
          <cell r="D32" t="str">
            <v>Anjia 安嘉</v>
          </cell>
          <cell r="E32" t="str">
            <v>YSM20-2</v>
          </cell>
          <cell r="F32" t="str">
            <v>NA</v>
          </cell>
          <cell r="G32" t="e">
            <v>#REF!</v>
          </cell>
          <cell r="H32" t="e">
            <v>#REF!</v>
          </cell>
          <cell r="I32"/>
          <cell r="J32"/>
          <cell r="K32">
            <v>1</v>
          </cell>
          <cell r="L32" t="str">
            <v>已经送货</v>
          </cell>
          <cell r="M32" t="str">
            <v>2018/6</v>
          </cell>
          <cell r="N32"/>
          <cell r="O32">
            <v>11116123</v>
          </cell>
          <cell r="P32">
            <v>18200000</v>
          </cell>
          <cell r="Q32">
            <v>43252</v>
          </cell>
          <cell r="R32" t="str">
            <v>-</v>
          </cell>
          <cell r="S32" t="str">
            <v>C49</v>
          </cell>
          <cell r="T32" t="str">
            <v>SOUTH</v>
          </cell>
          <cell r="U32" t="str">
            <v>深圳</v>
          </cell>
          <cell r="V32" t="str">
            <v>SZ 深圳</v>
          </cell>
          <cell r="W32" t="str">
            <v>JY</v>
          </cell>
          <cell r="X32" t="str">
            <v>JPY</v>
          </cell>
          <cell r="Y32">
            <v>18200000</v>
          </cell>
          <cell r="Z32">
            <v>1</v>
          </cell>
          <cell r="AA32">
            <v>18200000</v>
          </cell>
          <cell r="AB32">
            <v>7.0300000000000001E-2</v>
          </cell>
          <cell r="AC32">
            <v>1279460</v>
          </cell>
          <cell r="AD32">
            <v>153535.19999999998</v>
          </cell>
          <cell r="AE32">
            <v>0.12</v>
          </cell>
          <cell r="AF32">
            <v>43067</v>
          </cell>
          <cell r="AG32" t="str">
            <v>DAP</v>
          </cell>
          <cell r="AH32" t="str">
            <v>吊装</v>
          </cell>
          <cell r="AI32"/>
          <cell r="AJ32"/>
          <cell r="AK32">
            <v>0.3</v>
          </cell>
          <cell r="AL32">
            <v>5460000</v>
          </cell>
          <cell r="AM32">
            <v>43160</v>
          </cell>
          <cell r="AN32" t="str">
            <v>Yes</v>
          </cell>
          <cell r="AO32">
            <v>0.7</v>
          </cell>
          <cell r="AP32">
            <v>12740000</v>
          </cell>
          <cell r="AQ32">
            <v>43252</v>
          </cell>
          <cell r="AR32">
            <v>43271</v>
          </cell>
          <cell r="AS32"/>
          <cell r="AT32">
            <v>0</v>
          </cell>
          <cell r="AU32"/>
          <cell r="AV32"/>
          <cell r="AW32"/>
          <cell r="AX32"/>
          <cell r="AY32"/>
          <cell r="AZ32" t="str">
            <v>Y</v>
          </cell>
          <cell r="BA32" t="str">
            <v>Yes</v>
          </cell>
          <cell r="BB32"/>
        </row>
        <row r="33">
          <cell r="B33"/>
          <cell r="C33" t="str">
            <v>C49SZX20170167JY</v>
          </cell>
          <cell r="D33" t="str">
            <v>Jianhang建航</v>
          </cell>
          <cell r="E33" t="str">
            <v>YS24</v>
          </cell>
          <cell r="F33" t="str">
            <v>#72882</v>
          </cell>
          <cell r="G33" t="e">
            <v>#REF!</v>
          </cell>
          <cell r="H33" t="e">
            <v>#REF!</v>
          </cell>
          <cell r="I33"/>
          <cell r="J33"/>
          <cell r="K33">
            <v>1</v>
          </cell>
          <cell r="L33" t="str">
            <v>已经送货</v>
          </cell>
          <cell r="M33"/>
          <cell r="N33"/>
          <cell r="O33">
            <v>11116075</v>
          </cell>
          <cell r="P33">
            <v>13350000</v>
          </cell>
          <cell r="Q33"/>
          <cell r="R33" t="str">
            <v>No</v>
          </cell>
          <cell r="S33" t="str">
            <v>C49</v>
          </cell>
          <cell r="T33" t="str">
            <v>SOUTH</v>
          </cell>
          <cell r="U33"/>
          <cell r="V33" t="str">
            <v>SZ 深圳</v>
          </cell>
          <cell r="W33" t="str">
            <v>JY</v>
          </cell>
          <cell r="X33" t="str">
            <v>JPY</v>
          </cell>
          <cell r="Y33">
            <v>12000000</v>
          </cell>
          <cell r="Z33">
            <v>1</v>
          </cell>
          <cell r="AA33">
            <v>12000000</v>
          </cell>
          <cell r="AB33">
            <v>7.0300000000000001E-2</v>
          </cell>
          <cell r="AC33">
            <v>843600</v>
          </cell>
          <cell r="AD33">
            <v>101232</v>
          </cell>
          <cell r="AE33">
            <v>0.12</v>
          </cell>
          <cell r="AF33">
            <v>43047</v>
          </cell>
          <cell r="AG33"/>
          <cell r="AH33"/>
          <cell r="AI33"/>
          <cell r="AJ33"/>
          <cell r="AK33"/>
          <cell r="AL33">
            <v>0</v>
          </cell>
          <cell r="AM33"/>
          <cell r="AN33"/>
          <cell r="AO33"/>
          <cell r="AP33">
            <v>0</v>
          </cell>
          <cell r="AQ33"/>
          <cell r="AR33"/>
          <cell r="AS33"/>
          <cell r="AT33">
            <v>0</v>
          </cell>
          <cell r="AU33"/>
          <cell r="AV33"/>
          <cell r="AW33"/>
          <cell r="AX33"/>
          <cell r="AY33"/>
          <cell r="AZ33"/>
          <cell r="BA33" t="str">
            <v>Yes</v>
          </cell>
        </row>
        <row r="34">
          <cell r="B34"/>
          <cell r="C34" t="str">
            <v>C49SZX20170168ZX</v>
          </cell>
          <cell r="D34" t="str">
            <v>世达威</v>
          </cell>
          <cell r="E34" t="str">
            <v>YSM10</v>
          </cell>
          <cell r="F34" t="str">
            <v>NA</v>
          </cell>
          <cell r="G34" t="e">
            <v>#REF!</v>
          </cell>
          <cell r="H34" t="e">
            <v>#REF!</v>
          </cell>
          <cell r="I34"/>
          <cell r="J34"/>
          <cell r="K34">
            <v>1</v>
          </cell>
          <cell r="L34" t="str">
            <v>取消</v>
          </cell>
          <cell r="M34"/>
          <cell r="N34"/>
          <cell r="O34"/>
          <cell r="P34"/>
          <cell r="Q34"/>
          <cell r="R34" t="str">
            <v>No</v>
          </cell>
          <cell r="S34" t="str">
            <v>C49</v>
          </cell>
          <cell r="T34" t="str">
            <v>SOUTH</v>
          </cell>
          <cell r="U34"/>
          <cell r="V34" t="str">
            <v>SZ 深圳</v>
          </cell>
          <cell r="W34" t="str">
            <v>ZX</v>
          </cell>
          <cell r="X34" t="str">
            <v>JPY</v>
          </cell>
          <cell r="Y34">
            <v>10400000</v>
          </cell>
          <cell r="Z34">
            <v>1</v>
          </cell>
          <cell r="AA34">
            <v>10400000</v>
          </cell>
          <cell r="AB34">
            <v>7.0300000000000001E-2</v>
          </cell>
          <cell r="AC34">
            <v>731120</v>
          </cell>
          <cell r="AD34">
            <v>87734.399999999994</v>
          </cell>
          <cell r="AE34">
            <v>0.12</v>
          </cell>
          <cell r="AF34">
            <v>43041</v>
          </cell>
          <cell r="AG34"/>
          <cell r="AH34"/>
          <cell r="AI34"/>
          <cell r="AJ34"/>
          <cell r="AK34"/>
          <cell r="AL34">
            <v>0</v>
          </cell>
          <cell r="AM34"/>
          <cell r="AN34"/>
          <cell r="AO34"/>
          <cell r="AP34">
            <v>0</v>
          </cell>
          <cell r="AQ34"/>
          <cell r="AR34"/>
          <cell r="AS34"/>
          <cell r="AT34">
            <v>0</v>
          </cell>
          <cell r="AU34"/>
          <cell r="AV34"/>
          <cell r="AW34"/>
          <cell r="AX34" t="str">
            <v>Cancel</v>
          </cell>
          <cell r="AY34"/>
          <cell r="AZ34"/>
          <cell r="BA34" t="str">
            <v>Cancel</v>
          </cell>
          <cell r="BB34"/>
        </row>
        <row r="35">
          <cell r="B35"/>
          <cell r="C35" t="str">
            <v>C49SZX20170169SX</v>
          </cell>
          <cell r="D35" t="str">
            <v>Jun Ren Da 骏仁达</v>
          </cell>
          <cell r="E35" t="str">
            <v>YS24</v>
          </cell>
          <cell r="F35" t="str">
            <v>NA</v>
          </cell>
          <cell r="G35" t="e">
            <v>#REF!</v>
          </cell>
          <cell r="H35" t="e">
            <v>#REF!</v>
          </cell>
          <cell r="I35"/>
          <cell r="J35"/>
          <cell r="K35">
            <v>1</v>
          </cell>
          <cell r="L35" t="str">
            <v>已经送货</v>
          </cell>
          <cell r="M35"/>
          <cell r="N35"/>
          <cell r="O35">
            <v>11116043</v>
          </cell>
          <cell r="P35">
            <v>12129250</v>
          </cell>
          <cell r="Q35"/>
          <cell r="R35" t="str">
            <v>Yes</v>
          </cell>
          <cell r="S35" t="str">
            <v>C49</v>
          </cell>
          <cell r="T35" t="str">
            <v>SOUTH</v>
          </cell>
          <cell r="U35"/>
          <cell r="V35"/>
          <cell r="W35" t="str">
            <v>SX</v>
          </cell>
          <cell r="X35" t="str">
            <v>JPY</v>
          </cell>
          <cell r="Y35">
            <v>12129250</v>
          </cell>
          <cell r="Z35">
            <v>1</v>
          </cell>
          <cell r="AA35">
            <v>12129250</v>
          </cell>
          <cell r="AB35">
            <v>7.0300000000000001E-2</v>
          </cell>
          <cell r="AC35">
            <v>852686.27500000002</v>
          </cell>
          <cell r="AD35">
            <v>102322.353</v>
          </cell>
          <cell r="AE35">
            <v>0.12</v>
          </cell>
          <cell r="AF35">
            <v>43052</v>
          </cell>
          <cell r="AG35"/>
          <cell r="AH35"/>
          <cell r="AI35"/>
          <cell r="AJ35"/>
          <cell r="AK35"/>
          <cell r="AL35">
            <v>0</v>
          </cell>
          <cell r="AM35"/>
          <cell r="AN35"/>
          <cell r="AO35"/>
          <cell r="AP35">
            <v>0</v>
          </cell>
          <cell r="AQ35"/>
          <cell r="AR35"/>
          <cell r="AS35"/>
          <cell r="AT35">
            <v>0</v>
          </cell>
          <cell r="AU35"/>
          <cell r="AV35"/>
          <cell r="AW35"/>
          <cell r="AX35"/>
          <cell r="AY35"/>
          <cell r="AZ35"/>
          <cell r="BA35" t="str">
            <v>Yes</v>
          </cell>
        </row>
        <row r="36">
          <cell r="B36"/>
          <cell r="C36" t="str">
            <v>C49SZX20170171JL</v>
          </cell>
          <cell r="D36" t="str">
            <v>Flying 鹰飞</v>
          </cell>
          <cell r="E36" t="str">
            <v>YS24</v>
          </cell>
          <cell r="F36" t="str">
            <v>NA</v>
          </cell>
          <cell r="G36" t="e">
            <v>#REF!</v>
          </cell>
          <cell r="H36" t="e">
            <v>#REF!</v>
          </cell>
          <cell r="I36"/>
          <cell r="J36"/>
          <cell r="K36">
            <v>3</v>
          </cell>
          <cell r="L36" t="str">
            <v>已经送货</v>
          </cell>
          <cell r="M36" t="str">
            <v>2018/5</v>
          </cell>
          <cell r="N36"/>
          <cell r="O36">
            <v>11116114</v>
          </cell>
          <cell r="P36">
            <v>37200000</v>
          </cell>
          <cell r="Q36">
            <v>43221</v>
          </cell>
          <cell r="R36" t="str">
            <v>Yes</v>
          </cell>
          <cell r="S36" t="str">
            <v>C49</v>
          </cell>
          <cell r="T36" t="str">
            <v>SOUTH</v>
          </cell>
          <cell r="U36" t="str">
            <v>深圳</v>
          </cell>
          <cell r="V36" t="str">
            <v>SZ 深圳</v>
          </cell>
          <cell r="W36" t="str">
            <v>JL</v>
          </cell>
          <cell r="X36" t="str">
            <v>JPY</v>
          </cell>
          <cell r="Y36">
            <v>12400000</v>
          </cell>
          <cell r="Z36">
            <v>1</v>
          </cell>
          <cell r="AA36">
            <v>37200000</v>
          </cell>
          <cell r="AB36">
            <v>7.0300000000000001E-2</v>
          </cell>
          <cell r="AC36">
            <v>2615160</v>
          </cell>
          <cell r="AD36">
            <v>313819.2</v>
          </cell>
          <cell r="AE36">
            <v>0.12</v>
          </cell>
          <cell r="AF36">
            <v>43050</v>
          </cell>
          <cell r="AG36"/>
          <cell r="AH36"/>
          <cell r="AI36"/>
          <cell r="AJ36"/>
          <cell r="AK36">
            <v>0.1</v>
          </cell>
          <cell r="AL36">
            <v>3720000</v>
          </cell>
          <cell r="AM36">
            <v>43070</v>
          </cell>
          <cell r="AN36" t="str">
            <v>Yes</v>
          </cell>
          <cell r="AO36" t="str">
            <v>agree</v>
          </cell>
          <cell r="AP36" t="e">
            <v>#VALUE!</v>
          </cell>
          <cell r="AQ36"/>
          <cell r="AR36"/>
          <cell r="AS36"/>
          <cell r="AT36">
            <v>0</v>
          </cell>
          <cell r="AU36"/>
          <cell r="AV36"/>
          <cell r="AW36"/>
          <cell r="AX36"/>
          <cell r="AY36"/>
          <cell r="AZ36"/>
          <cell r="BA36" t="str">
            <v>Yes</v>
          </cell>
        </row>
        <row r="37">
          <cell r="B37"/>
          <cell r="C37" t="str">
            <v>C49SZX20170171JL</v>
          </cell>
          <cell r="D37" t="str">
            <v>Flying 鹰飞</v>
          </cell>
          <cell r="E37" t="str">
            <v>YS12</v>
          </cell>
          <cell r="F37" t="str">
            <v>NA</v>
          </cell>
          <cell r="G37" t="e">
            <v>#REF!</v>
          </cell>
          <cell r="H37" t="e">
            <v>#REF!</v>
          </cell>
          <cell r="I37"/>
          <cell r="J37"/>
          <cell r="K37">
            <v>3</v>
          </cell>
          <cell r="L37" t="str">
            <v>已经送货</v>
          </cell>
          <cell r="M37" t="str">
            <v>2018/5</v>
          </cell>
          <cell r="N37"/>
          <cell r="O37">
            <v>11116114</v>
          </cell>
          <cell r="P37">
            <v>22527000</v>
          </cell>
          <cell r="Q37">
            <v>43221</v>
          </cell>
          <cell r="R37" t="str">
            <v>-</v>
          </cell>
          <cell r="S37" t="str">
            <v>C49</v>
          </cell>
          <cell r="T37" t="str">
            <v>SOUTH</v>
          </cell>
          <cell r="U37" t="str">
            <v>深圳</v>
          </cell>
          <cell r="V37" t="str">
            <v>SZ 深圳</v>
          </cell>
          <cell r="W37" t="str">
            <v>JL</v>
          </cell>
          <cell r="X37" t="str">
            <v>JPY</v>
          </cell>
          <cell r="Y37">
            <v>7509000</v>
          </cell>
          <cell r="Z37">
            <v>1</v>
          </cell>
          <cell r="AA37">
            <v>22527000</v>
          </cell>
          <cell r="AB37">
            <v>7.0300000000000001E-2</v>
          </cell>
          <cell r="AC37">
            <v>1583648.1</v>
          </cell>
          <cell r="AD37">
            <v>190037.772</v>
          </cell>
          <cell r="AE37">
            <v>0.12</v>
          </cell>
          <cell r="AF37">
            <v>43050</v>
          </cell>
          <cell r="AG37"/>
          <cell r="AH37"/>
          <cell r="AI37"/>
          <cell r="AJ37"/>
          <cell r="AK37">
            <v>0.1</v>
          </cell>
          <cell r="AL37">
            <v>2252700</v>
          </cell>
          <cell r="AM37">
            <v>43070</v>
          </cell>
          <cell r="AN37" t="str">
            <v>Yes</v>
          </cell>
          <cell r="AO37" t="str">
            <v>agree</v>
          </cell>
          <cell r="AP37">
            <v>81670699</v>
          </cell>
          <cell r="AQ37">
            <v>43282</v>
          </cell>
          <cell r="AR37">
            <v>43311</v>
          </cell>
          <cell r="AS37"/>
          <cell r="AT37">
            <v>0</v>
          </cell>
          <cell r="AU37"/>
          <cell r="AV37"/>
          <cell r="AW37"/>
          <cell r="AX37"/>
          <cell r="AY37"/>
          <cell r="AZ37"/>
          <cell r="BA37" t="str">
            <v>Yes</v>
          </cell>
          <cell r="BB37"/>
        </row>
        <row r="38">
          <cell r="B38"/>
          <cell r="C38" t="str">
            <v>C49SZX20170172JL</v>
          </cell>
          <cell r="D38" t="str">
            <v>Tobiled 拓比</v>
          </cell>
          <cell r="E38" t="str">
            <v>YS12</v>
          </cell>
          <cell r="F38" t="str">
            <v>NA</v>
          </cell>
          <cell r="G38" t="e">
            <v>#REF!</v>
          </cell>
          <cell r="H38" t="e">
            <v>#REF!</v>
          </cell>
          <cell r="I38"/>
          <cell r="J38"/>
          <cell r="K38">
            <v>1</v>
          </cell>
          <cell r="L38" t="str">
            <v>已经送货</v>
          </cell>
          <cell r="M38"/>
          <cell r="N38"/>
          <cell r="O38">
            <v>11116036</v>
          </cell>
          <cell r="P38">
            <v>8800000</v>
          </cell>
          <cell r="Q38"/>
          <cell r="R38" t="str">
            <v>No</v>
          </cell>
          <cell r="S38" t="str">
            <v>C49</v>
          </cell>
          <cell r="T38" t="str">
            <v>SOUTH</v>
          </cell>
          <cell r="U38"/>
          <cell r="V38"/>
          <cell r="W38" t="str">
            <v>JL</v>
          </cell>
          <cell r="X38" t="str">
            <v>JPY</v>
          </cell>
          <cell r="Y38">
            <v>8800000</v>
          </cell>
          <cell r="Z38">
            <v>1</v>
          </cell>
          <cell r="AA38">
            <v>8800000</v>
          </cell>
          <cell r="AB38">
            <v>7.0300000000000001E-2</v>
          </cell>
          <cell r="AC38">
            <v>618640</v>
          </cell>
          <cell r="AD38">
            <v>74236.800000000003</v>
          </cell>
          <cell r="AE38">
            <v>0.12</v>
          </cell>
          <cell r="AF38">
            <v>43049</v>
          </cell>
          <cell r="AG38"/>
          <cell r="AH38"/>
          <cell r="AI38"/>
          <cell r="AJ38"/>
          <cell r="AK38"/>
          <cell r="AL38">
            <v>0</v>
          </cell>
          <cell r="AM38"/>
          <cell r="AN38"/>
          <cell r="AO38"/>
          <cell r="AP38">
            <v>0</v>
          </cell>
          <cell r="AQ38"/>
          <cell r="AR38"/>
          <cell r="AS38"/>
          <cell r="AT38">
            <v>0</v>
          </cell>
          <cell r="AU38"/>
          <cell r="AV38"/>
          <cell r="AW38"/>
          <cell r="AX38"/>
          <cell r="AY38"/>
          <cell r="AZ38"/>
          <cell r="BA38" t="str">
            <v>Yes</v>
          </cell>
        </row>
        <row r="39">
          <cell r="B39"/>
          <cell r="C39" t="str">
            <v>C49SZX20170175JY</v>
          </cell>
          <cell r="D39" t="str">
            <v>同博威</v>
          </cell>
          <cell r="E39" t="str">
            <v>YS24</v>
          </cell>
          <cell r="F39" t="str">
            <v>NA</v>
          </cell>
          <cell r="G39" t="e">
            <v>#REF!</v>
          </cell>
          <cell r="H39" t="e">
            <v>#REF!</v>
          </cell>
          <cell r="I39"/>
          <cell r="J39"/>
          <cell r="K39">
            <v>1</v>
          </cell>
          <cell r="L39" t="str">
            <v>已经送货</v>
          </cell>
          <cell r="M39"/>
          <cell r="N39"/>
          <cell r="O39">
            <v>11116069</v>
          </cell>
          <cell r="P39">
            <v>11530000</v>
          </cell>
          <cell r="Q39">
            <v>43160</v>
          </cell>
          <cell r="R39" t="str">
            <v>Yes</v>
          </cell>
          <cell r="S39" t="str">
            <v>C49</v>
          </cell>
          <cell r="T39" t="str">
            <v>SOUTH</v>
          </cell>
          <cell r="U39"/>
          <cell r="V39"/>
          <cell r="W39" t="str">
            <v>JY</v>
          </cell>
          <cell r="X39" t="str">
            <v>JPY</v>
          </cell>
          <cell r="Y39">
            <v>11530000</v>
          </cell>
          <cell r="Z39">
            <v>1</v>
          </cell>
          <cell r="AA39">
            <v>11530000</v>
          </cell>
          <cell r="AB39">
            <v>7.0300000000000001E-2</v>
          </cell>
          <cell r="AC39">
            <v>810559</v>
          </cell>
          <cell r="AD39">
            <v>97267.08</v>
          </cell>
          <cell r="AE39">
            <v>0.12</v>
          </cell>
          <cell r="AF39">
            <v>43055</v>
          </cell>
          <cell r="AG39"/>
          <cell r="AH39"/>
          <cell r="AI39"/>
          <cell r="AJ39"/>
          <cell r="AK39"/>
          <cell r="AL39">
            <v>0</v>
          </cell>
          <cell r="AM39"/>
          <cell r="AN39"/>
          <cell r="AO39"/>
          <cell r="AP39">
            <v>0</v>
          </cell>
          <cell r="AQ39"/>
          <cell r="AR39"/>
          <cell r="AS39"/>
          <cell r="AT39">
            <v>0</v>
          </cell>
          <cell r="AU39"/>
          <cell r="AV39"/>
          <cell r="AW39"/>
          <cell r="AX39"/>
          <cell r="AY39"/>
          <cell r="AZ39"/>
          <cell r="BA39" t="str">
            <v>Yes</v>
          </cell>
          <cell r="BB39"/>
        </row>
        <row r="40">
          <cell r="B40"/>
          <cell r="C40" t="str">
            <v>C49SZX20170178DZ</v>
          </cell>
          <cell r="D40" t="str">
            <v>金东方</v>
          </cell>
          <cell r="E40" t="str">
            <v>YS24</v>
          </cell>
          <cell r="F40" t="str">
            <v>NA</v>
          </cell>
          <cell r="G40" t="e">
            <v>#REF!</v>
          </cell>
          <cell r="H40" t="e">
            <v>#REF!</v>
          </cell>
          <cell r="I40"/>
          <cell r="J40"/>
          <cell r="K40">
            <v>2</v>
          </cell>
          <cell r="L40" t="str">
            <v>取消</v>
          </cell>
          <cell r="M40"/>
          <cell r="N40"/>
          <cell r="O40"/>
          <cell r="P40"/>
          <cell r="Q40"/>
          <cell r="R40" t="str">
            <v>Yes</v>
          </cell>
          <cell r="S40" t="str">
            <v>C49</v>
          </cell>
          <cell r="T40" t="str">
            <v>SOUTH</v>
          </cell>
          <cell r="U40"/>
          <cell r="V40" t="str">
            <v>SZ 深圳</v>
          </cell>
          <cell r="W40" t="str">
            <v>DZ</v>
          </cell>
          <cell r="X40" t="str">
            <v>JPY</v>
          </cell>
          <cell r="Y40">
            <v>11210000</v>
          </cell>
          <cell r="Z40">
            <v>1</v>
          </cell>
          <cell r="AA40">
            <v>22420000</v>
          </cell>
          <cell r="AB40">
            <v>7.0300000000000001E-2</v>
          </cell>
          <cell r="AC40">
            <v>1576126</v>
          </cell>
          <cell r="AD40">
            <v>189135.12</v>
          </cell>
          <cell r="AE40">
            <v>0.12</v>
          </cell>
          <cell r="AF40">
            <v>43063</v>
          </cell>
          <cell r="AG40" t="str">
            <v>CIF</v>
          </cell>
          <cell r="AH40"/>
          <cell r="AI40"/>
          <cell r="AJ40"/>
          <cell r="AK40">
            <v>0.3</v>
          </cell>
          <cell r="AL40">
            <v>6726000</v>
          </cell>
          <cell r="AM40"/>
          <cell r="AN40"/>
          <cell r="AO40">
            <v>0.65</v>
          </cell>
          <cell r="AP40">
            <v>14573000</v>
          </cell>
          <cell r="AQ40"/>
          <cell r="AR40"/>
          <cell r="AS40">
            <v>0.05</v>
          </cell>
          <cell r="AT40">
            <v>1121000</v>
          </cell>
          <cell r="AU40"/>
          <cell r="AV40"/>
          <cell r="AW40"/>
          <cell r="AX40" t="str">
            <v>Cancel</v>
          </cell>
          <cell r="AY40"/>
          <cell r="AZ40"/>
          <cell r="BA40" t="str">
            <v>Cancel</v>
          </cell>
          <cell r="BB40"/>
        </row>
        <row r="41">
          <cell r="B41"/>
          <cell r="C41" t="str">
            <v>C49SZX20170180SX</v>
          </cell>
          <cell r="D41" t="str">
            <v>Global Star(全球星)</v>
          </cell>
          <cell r="E41" t="str">
            <v>YSM20</v>
          </cell>
          <cell r="F41" t="str">
            <v>NA</v>
          </cell>
          <cell r="G41" t="e">
            <v>#REF!</v>
          </cell>
          <cell r="H41" t="e">
            <v>#REF!</v>
          </cell>
          <cell r="I41"/>
          <cell r="J41"/>
          <cell r="K41">
            <v>1</v>
          </cell>
          <cell r="L41" t="str">
            <v>已经送货</v>
          </cell>
          <cell r="M41" t="str">
            <v>2018/8</v>
          </cell>
          <cell r="N41"/>
          <cell r="O41">
            <v>11116174</v>
          </cell>
          <cell r="P41">
            <v>18426000</v>
          </cell>
          <cell r="Q41">
            <v>43313</v>
          </cell>
          <cell r="R41" t="str">
            <v>No</v>
          </cell>
          <cell r="S41" t="str">
            <v>C49</v>
          </cell>
          <cell r="T41" t="str">
            <v>SOUTH</v>
          </cell>
          <cell r="U41" t="str">
            <v>深圳</v>
          </cell>
          <cell r="V41" t="str">
            <v>SZ 深圳</v>
          </cell>
          <cell r="W41" t="str">
            <v>SX</v>
          </cell>
          <cell r="X41" t="str">
            <v>JPY</v>
          </cell>
          <cell r="Y41">
            <v>18426000</v>
          </cell>
          <cell r="Z41">
            <v>1</v>
          </cell>
          <cell r="AA41">
            <v>18426000</v>
          </cell>
          <cell r="AB41">
            <v>7.0999999999999994E-2</v>
          </cell>
          <cell r="AC41">
            <v>1308245.9999999998</v>
          </cell>
          <cell r="AD41">
            <v>156989.51999999996</v>
          </cell>
          <cell r="AE41">
            <v>0.12</v>
          </cell>
          <cell r="AF41">
            <v>43076</v>
          </cell>
          <cell r="AG41" t="str">
            <v>DAP</v>
          </cell>
          <cell r="AH41"/>
          <cell r="AI41"/>
          <cell r="AJ41"/>
          <cell r="AK41">
            <v>0.1</v>
          </cell>
          <cell r="AL41">
            <v>1842600</v>
          </cell>
          <cell r="AM41">
            <v>43070</v>
          </cell>
          <cell r="AN41" t="str">
            <v>Yes</v>
          </cell>
          <cell r="AO41">
            <v>0.85</v>
          </cell>
          <cell r="AP41">
            <v>15662100</v>
          </cell>
          <cell r="AQ41">
            <v>43313</v>
          </cell>
          <cell r="AR41">
            <v>43320</v>
          </cell>
          <cell r="AS41">
            <v>0.05</v>
          </cell>
          <cell r="AT41">
            <v>921300</v>
          </cell>
          <cell r="AU41" t="str">
            <v>2018/10</v>
          </cell>
          <cell r="AV41">
            <v>43384</v>
          </cell>
          <cell r="AW41" t="str">
            <v>complete</v>
          </cell>
          <cell r="AX41" t="str">
            <v>Yes</v>
          </cell>
          <cell r="AY41"/>
          <cell r="AZ41" t="str">
            <v>Y</v>
          </cell>
          <cell r="BA41" t="str">
            <v>Yes</v>
          </cell>
        </row>
        <row r="42">
          <cell r="B42"/>
          <cell r="C42" t="str">
            <v>C49SZX20170181RW</v>
          </cell>
          <cell r="D42" t="str">
            <v>Herotec 好立泰</v>
          </cell>
          <cell r="E42" t="str">
            <v>YS12</v>
          </cell>
          <cell r="F42" t="str">
            <v>NA</v>
          </cell>
          <cell r="G42" t="e">
            <v>#REF!</v>
          </cell>
          <cell r="H42" t="e">
            <v>#REF!</v>
          </cell>
          <cell r="I42"/>
          <cell r="J42"/>
          <cell r="K42">
            <v>2</v>
          </cell>
          <cell r="L42" t="str">
            <v>已经送货</v>
          </cell>
          <cell r="M42"/>
          <cell r="N42"/>
          <cell r="O42">
            <v>11116054</v>
          </cell>
          <cell r="P42">
            <v>16000000</v>
          </cell>
          <cell r="Q42"/>
          <cell r="R42" t="str">
            <v>No</v>
          </cell>
          <cell r="S42" t="str">
            <v>C49</v>
          </cell>
          <cell r="T42" t="str">
            <v>SOUTH</v>
          </cell>
          <cell r="U42"/>
          <cell r="V42"/>
          <cell r="W42" t="str">
            <v>RW</v>
          </cell>
          <cell r="X42" t="str">
            <v>JPY</v>
          </cell>
          <cell r="Y42">
            <v>16000000</v>
          </cell>
          <cell r="Z42">
            <v>1</v>
          </cell>
          <cell r="AA42">
            <v>32000000</v>
          </cell>
          <cell r="AB42">
            <v>7.0999999999999994E-2</v>
          </cell>
          <cell r="AC42">
            <v>2272000</v>
          </cell>
          <cell r="AD42">
            <v>272640</v>
          </cell>
          <cell r="AE42">
            <v>0.12</v>
          </cell>
          <cell r="AF42">
            <v>43087</v>
          </cell>
          <cell r="AG42"/>
          <cell r="AH42"/>
          <cell r="AI42"/>
          <cell r="AJ42"/>
          <cell r="AK42">
            <v>0.3</v>
          </cell>
          <cell r="AL42">
            <v>9600000</v>
          </cell>
          <cell r="AM42"/>
          <cell r="AN42"/>
          <cell r="AO42">
            <v>0.7</v>
          </cell>
          <cell r="AP42">
            <v>22400000</v>
          </cell>
          <cell r="AQ42"/>
          <cell r="AR42"/>
          <cell r="AS42"/>
          <cell r="AT42">
            <v>0</v>
          </cell>
          <cell r="AU42"/>
          <cell r="AV42"/>
          <cell r="AW42"/>
          <cell r="AX42"/>
          <cell r="AY42"/>
          <cell r="AZ42" t="str">
            <v>Y</v>
          </cell>
          <cell r="BA42" t="str">
            <v>Yes</v>
          </cell>
        </row>
        <row r="43">
          <cell r="B43"/>
          <cell r="C43" t="str">
            <v>C49SZX20170182DZ</v>
          </cell>
          <cell r="D43" t="str">
            <v>深圳铁甲</v>
          </cell>
          <cell r="E43" t="str">
            <v>YS24</v>
          </cell>
          <cell r="F43" t="str">
            <v>NA</v>
          </cell>
          <cell r="G43" t="e">
            <v>#REF!</v>
          </cell>
          <cell r="H43" t="e">
            <v>#REF!</v>
          </cell>
          <cell r="I43"/>
          <cell r="J43"/>
          <cell r="K43">
            <v>3</v>
          </cell>
          <cell r="L43" t="str">
            <v>已经送货</v>
          </cell>
          <cell r="M43" t="str">
            <v>2018/3</v>
          </cell>
          <cell r="N43"/>
          <cell r="O43">
            <v>11116070</v>
          </cell>
          <cell r="P43">
            <v>31764000</v>
          </cell>
          <cell r="Q43">
            <v>43160</v>
          </cell>
          <cell r="R43" t="str">
            <v>-</v>
          </cell>
          <cell r="S43" t="str">
            <v>C49</v>
          </cell>
          <cell r="T43" t="str">
            <v>SOUTH</v>
          </cell>
          <cell r="U43"/>
          <cell r="V43" t="str">
            <v>SZ 深圳</v>
          </cell>
          <cell r="W43" t="str">
            <v>DZ</v>
          </cell>
          <cell r="X43" t="str">
            <v>JPY</v>
          </cell>
          <cell r="Y43">
            <v>10588000</v>
          </cell>
          <cell r="Z43">
            <v>1</v>
          </cell>
          <cell r="AA43">
            <v>31764000</v>
          </cell>
          <cell r="AB43">
            <v>7.0300000000000001E-2</v>
          </cell>
          <cell r="AC43">
            <v>2233009.2000000002</v>
          </cell>
          <cell r="AD43">
            <v>267961.10399999999</v>
          </cell>
          <cell r="AE43">
            <v>0.12</v>
          </cell>
          <cell r="AF43">
            <v>43069</v>
          </cell>
          <cell r="AG43"/>
          <cell r="AH43"/>
          <cell r="AI43"/>
          <cell r="AJ43"/>
          <cell r="AK43"/>
          <cell r="AL43">
            <v>0</v>
          </cell>
          <cell r="AM43"/>
          <cell r="AN43"/>
          <cell r="AO43"/>
          <cell r="AP43">
            <v>0</v>
          </cell>
          <cell r="AQ43"/>
          <cell r="AR43"/>
          <cell r="AS43"/>
          <cell r="AT43">
            <v>0</v>
          </cell>
          <cell r="AU43"/>
          <cell r="AV43"/>
          <cell r="AW43"/>
          <cell r="AX43"/>
          <cell r="AY43"/>
          <cell r="AZ43"/>
          <cell r="BA43" t="str">
            <v>Yes</v>
          </cell>
        </row>
        <row r="44">
          <cell r="B44"/>
          <cell r="C44" t="str">
            <v>C49SZX20170183DZ</v>
          </cell>
          <cell r="D44" t="str">
            <v>深圳铁甲</v>
          </cell>
          <cell r="E44" t="str">
            <v>YS24</v>
          </cell>
          <cell r="F44" t="str">
            <v>NA</v>
          </cell>
          <cell r="G44" t="e">
            <v>#REF!</v>
          </cell>
          <cell r="H44" t="e">
            <v>#REF!</v>
          </cell>
          <cell r="I44"/>
          <cell r="J44"/>
          <cell r="K44">
            <v>2</v>
          </cell>
          <cell r="L44" t="str">
            <v>已经送货</v>
          </cell>
          <cell r="M44" t="str">
            <v>JUN 18</v>
          </cell>
          <cell r="N44"/>
          <cell r="O44">
            <v>11116167</v>
          </cell>
          <cell r="P44">
            <v>21158000</v>
          </cell>
          <cell r="Q44">
            <v>43282</v>
          </cell>
          <cell r="R44" t="str">
            <v>Yes</v>
          </cell>
          <cell r="S44" t="str">
            <v>C49</v>
          </cell>
          <cell r="T44" t="str">
            <v>SOUTH</v>
          </cell>
          <cell r="U44" t="str">
            <v>深圳</v>
          </cell>
          <cell r="V44" t="str">
            <v>SZ 深圳</v>
          </cell>
          <cell r="W44" t="str">
            <v>DZ</v>
          </cell>
          <cell r="X44" t="str">
            <v>JPY</v>
          </cell>
          <cell r="Y44">
            <v>10588000</v>
          </cell>
          <cell r="Z44">
            <v>1</v>
          </cell>
          <cell r="AA44">
            <v>21176000</v>
          </cell>
          <cell r="AB44">
            <v>7.0300000000000001E-2</v>
          </cell>
          <cell r="AC44">
            <v>1488672.8</v>
          </cell>
          <cell r="AD44">
            <v>178640.736</v>
          </cell>
          <cell r="AE44">
            <v>0.12</v>
          </cell>
          <cell r="AF44">
            <v>43069</v>
          </cell>
          <cell r="AG44" t="str">
            <v>CIF</v>
          </cell>
          <cell r="AH44"/>
          <cell r="AI44"/>
          <cell r="AJ44"/>
          <cell r="AK44">
            <v>0.05</v>
          </cell>
          <cell r="AL44">
            <v>1058800</v>
          </cell>
          <cell r="AM44">
            <v>43101</v>
          </cell>
          <cell r="AN44" t="str">
            <v>Yes</v>
          </cell>
          <cell r="AO44" t="str">
            <v>agree</v>
          </cell>
          <cell r="AP44">
            <v>5500000</v>
          </cell>
          <cell r="AQ44">
            <v>43282</v>
          </cell>
          <cell r="AR44">
            <v>43311</v>
          </cell>
          <cell r="AS44" t="str">
            <v>agree</v>
          </cell>
          <cell r="AT44" t="e">
            <v>#VALUE!</v>
          </cell>
          <cell r="AU44" t="str">
            <v>JUL</v>
          </cell>
          <cell r="AV44">
            <v>43311</v>
          </cell>
          <cell r="AW44"/>
          <cell r="AX44"/>
          <cell r="AY44"/>
          <cell r="AZ44" t="str">
            <v>Y</v>
          </cell>
          <cell r="BA44" t="str">
            <v>Yes</v>
          </cell>
        </row>
        <row r="45">
          <cell r="B45"/>
          <cell r="C45" t="str">
            <v>C49SZX20170186RW</v>
          </cell>
          <cell r="D45" t="str">
            <v>Hong tong  Yu 鸿通宇</v>
          </cell>
          <cell r="E45" t="str">
            <v>YS12F</v>
          </cell>
          <cell r="F45" t="str">
            <v>NA</v>
          </cell>
          <cell r="G45" t="e">
            <v>#REF!</v>
          </cell>
          <cell r="H45" t="e">
            <v>#REF!</v>
          </cell>
          <cell r="I45"/>
          <cell r="J45"/>
          <cell r="K45">
            <v>1</v>
          </cell>
          <cell r="L45" t="str">
            <v>已经送货</v>
          </cell>
          <cell r="M45" t="str">
            <v>DEC 17</v>
          </cell>
          <cell r="N45"/>
          <cell r="O45">
            <v>1100230</v>
          </cell>
          <cell r="P45">
            <v>630000</v>
          </cell>
          <cell r="Q45">
            <v>43070</v>
          </cell>
          <cell r="R45" t="str">
            <v>No</v>
          </cell>
          <cell r="S45" t="str">
            <v>C49</v>
          </cell>
          <cell r="T45" t="str">
            <v>SOUTH</v>
          </cell>
          <cell r="U45" t="str">
            <v>深圳</v>
          </cell>
          <cell r="V45" t="str">
            <v>SZ 深圳</v>
          </cell>
          <cell r="W45" t="str">
            <v>RW</v>
          </cell>
          <cell r="X45" t="str">
            <v>RMB</v>
          </cell>
          <cell r="Y45">
            <v>630000</v>
          </cell>
          <cell r="Z45">
            <v>1.17</v>
          </cell>
          <cell r="AA45">
            <v>630000</v>
          </cell>
          <cell r="AB45">
            <v>1.18</v>
          </cell>
          <cell r="AC45">
            <v>635384.61538461538</v>
          </cell>
          <cell r="AD45">
            <v>76246.153846153844</v>
          </cell>
          <cell r="AE45">
            <v>0.12</v>
          </cell>
          <cell r="AF45">
            <v>43074</v>
          </cell>
          <cell r="AG45"/>
          <cell r="AH45"/>
          <cell r="AI45"/>
          <cell r="AJ45"/>
          <cell r="AK45" t="str">
            <v>agree</v>
          </cell>
          <cell r="AL45">
            <v>200000</v>
          </cell>
          <cell r="AM45">
            <v>43070</v>
          </cell>
          <cell r="AN45" t="str">
            <v>Yes</v>
          </cell>
          <cell r="AO45"/>
          <cell r="AP45">
            <v>0</v>
          </cell>
          <cell r="AQ45"/>
          <cell r="AR45"/>
          <cell r="AS45"/>
          <cell r="AT45">
            <v>0</v>
          </cell>
          <cell r="AU45"/>
          <cell r="AV45"/>
          <cell r="AW45"/>
          <cell r="AX45"/>
          <cell r="AY45"/>
          <cell r="AZ45"/>
          <cell r="BA45" t="str">
            <v>Yes</v>
          </cell>
        </row>
        <row r="46">
          <cell r="B46"/>
          <cell r="C46" t="str">
            <v>C49SZX20170188JY</v>
          </cell>
          <cell r="D46" t="str">
            <v>TREE TECHNOLOGY 尖端</v>
          </cell>
          <cell r="E46" t="str">
            <v>YS24</v>
          </cell>
          <cell r="F46" t="str">
            <v>NA</v>
          </cell>
          <cell r="G46" t="e">
            <v>#REF!</v>
          </cell>
          <cell r="H46" t="e">
            <v>#REF!</v>
          </cell>
          <cell r="I46"/>
          <cell r="J46"/>
          <cell r="K46">
            <v>1</v>
          </cell>
          <cell r="L46" t="str">
            <v>已经送货</v>
          </cell>
          <cell r="M46" t="str">
            <v>2018/1</v>
          </cell>
          <cell r="N46"/>
          <cell r="O46">
            <v>11116049</v>
          </cell>
          <cell r="P46">
            <v>12460000</v>
          </cell>
          <cell r="Q46">
            <v>43101</v>
          </cell>
          <cell r="R46" t="str">
            <v>Yes</v>
          </cell>
          <cell r="S46" t="str">
            <v>C49</v>
          </cell>
          <cell r="T46" t="str">
            <v>SOUTH</v>
          </cell>
          <cell r="U46"/>
          <cell r="V46"/>
          <cell r="W46" t="str">
            <v>JY</v>
          </cell>
          <cell r="X46" t="str">
            <v>JPY</v>
          </cell>
          <cell r="Y46">
            <v>12460000</v>
          </cell>
          <cell r="Z46">
            <v>1</v>
          </cell>
          <cell r="AA46">
            <v>12460000</v>
          </cell>
          <cell r="AB46">
            <v>7.0999999999999994E-2</v>
          </cell>
          <cell r="AC46">
            <v>884659.99999999988</v>
          </cell>
          <cell r="AD46">
            <v>106159.19999999998</v>
          </cell>
          <cell r="AE46">
            <v>0.12</v>
          </cell>
          <cell r="AF46">
            <v>43078</v>
          </cell>
          <cell r="AG46" t="str">
            <v>CIF HK</v>
          </cell>
          <cell r="AH46"/>
          <cell r="AI46"/>
          <cell r="AJ46"/>
          <cell r="AK46">
            <v>0.1</v>
          </cell>
          <cell r="AL46">
            <v>1246000</v>
          </cell>
          <cell r="AM46">
            <v>43070</v>
          </cell>
          <cell r="AN46" t="str">
            <v>Yes</v>
          </cell>
          <cell r="AO46">
            <v>0.9</v>
          </cell>
          <cell r="AP46">
            <v>11214000</v>
          </cell>
          <cell r="AQ46"/>
          <cell r="AR46"/>
          <cell r="AS46"/>
          <cell r="AT46">
            <v>0</v>
          </cell>
          <cell r="AU46"/>
          <cell r="AV46"/>
          <cell r="AW46"/>
          <cell r="AX46"/>
          <cell r="AY46"/>
          <cell r="AZ46"/>
          <cell r="BA46" t="str">
            <v>Yes</v>
          </cell>
        </row>
        <row r="47">
          <cell r="B47"/>
          <cell r="C47" t="str">
            <v>C49SZX20170189JL</v>
          </cell>
          <cell r="D47" t="str">
            <v>Bolaike (伯莱科）</v>
          </cell>
          <cell r="E47" t="str">
            <v>YSM10</v>
          </cell>
          <cell r="F47" t="str">
            <v>NA</v>
          </cell>
          <cell r="G47" t="e">
            <v>#REF!</v>
          </cell>
          <cell r="H47" t="e">
            <v>#REF!</v>
          </cell>
          <cell r="I47"/>
          <cell r="J47"/>
          <cell r="K47">
            <v>1</v>
          </cell>
          <cell r="L47" t="str">
            <v>取消</v>
          </cell>
          <cell r="M47"/>
          <cell r="N47"/>
          <cell r="O47"/>
          <cell r="P47"/>
          <cell r="Q47"/>
          <cell r="R47" t="str">
            <v>No</v>
          </cell>
          <cell r="S47" t="str">
            <v>C49</v>
          </cell>
          <cell r="T47" t="str">
            <v>SOUTH</v>
          </cell>
          <cell r="U47" t="str">
            <v>深圳</v>
          </cell>
          <cell r="V47" t="str">
            <v>SZ 深圳</v>
          </cell>
          <cell r="W47" t="str">
            <v>JL</v>
          </cell>
          <cell r="X47" t="str">
            <v>JPY</v>
          </cell>
          <cell r="Y47">
            <v>9500000</v>
          </cell>
          <cell r="Z47">
            <v>1</v>
          </cell>
          <cell r="AA47">
            <v>9500000</v>
          </cell>
          <cell r="AB47">
            <v>7.0999999999999994E-2</v>
          </cell>
          <cell r="AC47">
            <v>674499.99999999988</v>
          </cell>
          <cell r="AD47">
            <v>80939.999999999985</v>
          </cell>
          <cell r="AE47">
            <v>0.12</v>
          </cell>
          <cell r="AF47">
            <v>43076</v>
          </cell>
          <cell r="AG47" t="str">
            <v>CIF</v>
          </cell>
          <cell r="AH47"/>
          <cell r="AI47" t="str">
            <v>CNY10,000</v>
          </cell>
          <cell r="AJ47">
            <v>43087</v>
          </cell>
          <cell r="AK47"/>
          <cell r="AL47">
            <v>0</v>
          </cell>
          <cell r="AM47">
            <v>43070</v>
          </cell>
          <cell r="AN47" t="str">
            <v>Yes</v>
          </cell>
          <cell r="AO47">
            <v>0.7</v>
          </cell>
          <cell r="AP47">
            <v>6650000</v>
          </cell>
          <cell r="AQ47"/>
          <cell r="AR47"/>
          <cell r="AS47"/>
          <cell r="AT47">
            <v>0</v>
          </cell>
          <cell r="AU47"/>
          <cell r="AV47"/>
          <cell r="AW47"/>
          <cell r="AX47" t="str">
            <v>Cancel</v>
          </cell>
          <cell r="AY47"/>
          <cell r="AZ47"/>
          <cell r="BA47" t="str">
            <v>Cancel</v>
          </cell>
          <cell r="BB47"/>
        </row>
        <row r="48">
          <cell r="B48"/>
          <cell r="C48" t="str">
            <v>C49SZX20170190JL</v>
          </cell>
          <cell r="D48" t="str">
            <v>Flying 鹰飞</v>
          </cell>
          <cell r="E48" t="str">
            <v>YS24</v>
          </cell>
          <cell r="F48" t="str">
            <v>NA</v>
          </cell>
          <cell r="G48" t="e">
            <v>#REF!</v>
          </cell>
          <cell r="H48" t="e">
            <v>#REF!</v>
          </cell>
          <cell r="I48"/>
          <cell r="J48"/>
          <cell r="K48">
            <v>1</v>
          </cell>
          <cell r="L48" t="str">
            <v>已经送货</v>
          </cell>
          <cell r="M48" t="str">
            <v>2018/5</v>
          </cell>
          <cell r="N48"/>
          <cell r="O48">
            <v>11116113</v>
          </cell>
          <cell r="P48">
            <v>12400000</v>
          </cell>
          <cell r="Q48">
            <v>43221</v>
          </cell>
          <cell r="R48" t="str">
            <v>No</v>
          </cell>
          <cell r="S48" t="str">
            <v>C49</v>
          </cell>
          <cell r="T48" t="str">
            <v>SOUTH</v>
          </cell>
          <cell r="U48" t="str">
            <v>深圳</v>
          </cell>
          <cell r="V48" t="str">
            <v>SZ 深圳</v>
          </cell>
          <cell r="W48" t="str">
            <v>JL</v>
          </cell>
          <cell r="X48" t="str">
            <v>JPY</v>
          </cell>
          <cell r="Y48">
            <v>12400000</v>
          </cell>
          <cell r="Z48">
            <v>1</v>
          </cell>
          <cell r="AA48">
            <v>12400000</v>
          </cell>
          <cell r="AB48">
            <v>7.0999999999999994E-2</v>
          </cell>
          <cell r="AC48">
            <v>880399.99999999988</v>
          </cell>
          <cell r="AD48">
            <v>105647.99999999999</v>
          </cell>
          <cell r="AE48">
            <v>0.12</v>
          </cell>
          <cell r="AF48">
            <v>43076</v>
          </cell>
          <cell r="AG48" t="str">
            <v>CIF</v>
          </cell>
          <cell r="AH48"/>
          <cell r="AI48"/>
          <cell r="AJ48"/>
          <cell r="AK48">
            <v>0.1</v>
          </cell>
          <cell r="AL48">
            <v>1240000</v>
          </cell>
          <cell r="AM48">
            <v>43070</v>
          </cell>
          <cell r="AN48" t="str">
            <v>Yes</v>
          </cell>
          <cell r="AO48" t="str">
            <v>agree</v>
          </cell>
          <cell r="AP48">
            <v>2812060</v>
          </cell>
          <cell r="AQ48">
            <v>43282</v>
          </cell>
          <cell r="AR48">
            <v>43299</v>
          </cell>
          <cell r="AS48"/>
          <cell r="AT48">
            <v>0</v>
          </cell>
          <cell r="AU48"/>
          <cell r="AV48"/>
          <cell r="AW48"/>
          <cell r="AX48"/>
          <cell r="AY48"/>
          <cell r="AZ48"/>
          <cell r="BA48" t="str">
            <v>Yes</v>
          </cell>
          <cell r="BB48"/>
        </row>
        <row r="49">
          <cell r="B49"/>
          <cell r="C49" t="str">
            <v>C49SZX20170190JL</v>
          </cell>
          <cell r="D49" t="str">
            <v>Flying 鹰飞</v>
          </cell>
          <cell r="E49" t="str">
            <v>YS24</v>
          </cell>
          <cell r="F49" t="str">
            <v>NA</v>
          </cell>
          <cell r="G49" t="e">
            <v>#REF!</v>
          </cell>
          <cell r="H49" t="e">
            <v>#REF!</v>
          </cell>
          <cell r="I49"/>
          <cell r="J49"/>
          <cell r="K49">
            <v>2</v>
          </cell>
          <cell r="L49" t="str">
            <v>已经送货</v>
          </cell>
          <cell r="M49" t="str">
            <v>MAY 18</v>
          </cell>
          <cell r="N49"/>
          <cell r="O49">
            <v>11116113</v>
          </cell>
          <cell r="P49">
            <v>24800000</v>
          </cell>
          <cell r="Q49">
            <v>43221</v>
          </cell>
          <cell r="R49" t="str">
            <v>No</v>
          </cell>
          <cell r="S49" t="str">
            <v>C49</v>
          </cell>
          <cell r="T49" t="str">
            <v>SOUTH</v>
          </cell>
          <cell r="U49" t="str">
            <v>深圳</v>
          </cell>
          <cell r="V49" t="str">
            <v>SZ 深圳</v>
          </cell>
          <cell r="W49" t="str">
            <v>JL</v>
          </cell>
          <cell r="X49" t="str">
            <v>JPY</v>
          </cell>
          <cell r="Y49">
            <v>12400000</v>
          </cell>
          <cell r="Z49">
            <v>1</v>
          </cell>
          <cell r="AA49">
            <v>24800000</v>
          </cell>
          <cell r="AB49">
            <v>7.0999999999999994E-2</v>
          </cell>
          <cell r="AC49">
            <v>2641200</v>
          </cell>
          <cell r="AD49">
            <v>316944</v>
          </cell>
          <cell r="AE49">
            <v>0.12</v>
          </cell>
          <cell r="AF49">
            <v>43076</v>
          </cell>
          <cell r="AG49" t="str">
            <v>CIF</v>
          </cell>
          <cell r="AH49"/>
          <cell r="AI49"/>
          <cell r="AJ49"/>
          <cell r="AK49">
            <v>0.1</v>
          </cell>
          <cell r="AL49">
            <v>2480000</v>
          </cell>
          <cell r="AM49">
            <v>43070</v>
          </cell>
          <cell r="AN49" t="str">
            <v>Yes</v>
          </cell>
          <cell r="AO49">
            <v>0.9</v>
          </cell>
          <cell r="AP49">
            <v>22320000</v>
          </cell>
          <cell r="AQ49">
            <v>43221</v>
          </cell>
          <cell r="AR49">
            <v>43249</v>
          </cell>
          <cell r="AS49"/>
          <cell r="AT49">
            <v>0</v>
          </cell>
          <cell r="AU49"/>
          <cell r="AV49"/>
          <cell r="AW49"/>
          <cell r="AX49"/>
          <cell r="AY49"/>
          <cell r="AZ49"/>
          <cell r="BA49" t="str">
            <v>Yes</v>
          </cell>
        </row>
        <row r="50">
          <cell r="B50"/>
          <cell r="C50" t="str">
            <v>C49SZX20170190JL</v>
          </cell>
          <cell r="D50" t="str">
            <v>Flying 鹰飞</v>
          </cell>
          <cell r="E50" t="str">
            <v>YS12</v>
          </cell>
          <cell r="F50" t="str">
            <v>NA</v>
          </cell>
          <cell r="G50" t="e">
            <v>#REF!</v>
          </cell>
          <cell r="H50" t="e">
            <v>#REF!</v>
          </cell>
          <cell r="I50"/>
          <cell r="J50"/>
          <cell r="K50">
            <v>3</v>
          </cell>
          <cell r="L50" t="str">
            <v>已经送货</v>
          </cell>
          <cell r="M50" t="str">
            <v>2018/5</v>
          </cell>
          <cell r="N50"/>
          <cell r="O50">
            <v>11116113</v>
          </cell>
          <cell r="P50">
            <v>22527000</v>
          </cell>
          <cell r="Q50">
            <v>43221</v>
          </cell>
          <cell r="R50" t="str">
            <v>No</v>
          </cell>
          <cell r="S50" t="str">
            <v>C49</v>
          </cell>
          <cell r="T50" t="str">
            <v>SOUTH</v>
          </cell>
          <cell r="U50" t="str">
            <v>深圳</v>
          </cell>
          <cell r="V50" t="str">
            <v>SZ 深圳</v>
          </cell>
          <cell r="W50" t="str">
            <v>JL</v>
          </cell>
          <cell r="X50" t="str">
            <v>JPY</v>
          </cell>
          <cell r="Y50">
            <v>7509000</v>
          </cell>
          <cell r="Z50">
            <v>1</v>
          </cell>
          <cell r="AA50">
            <v>22527000</v>
          </cell>
          <cell r="AB50">
            <v>7.0999999999999994E-2</v>
          </cell>
          <cell r="AC50">
            <v>1599416.9999999998</v>
          </cell>
          <cell r="AD50">
            <v>191930.03999999998</v>
          </cell>
          <cell r="AE50">
            <v>0.12</v>
          </cell>
          <cell r="AF50">
            <v>43076</v>
          </cell>
          <cell r="AG50" t="str">
            <v>CIF</v>
          </cell>
          <cell r="AH50"/>
          <cell r="AI50"/>
          <cell r="AJ50"/>
          <cell r="AK50">
            <v>0.1</v>
          </cell>
          <cell r="AL50">
            <v>2252700</v>
          </cell>
          <cell r="AM50">
            <v>43070</v>
          </cell>
          <cell r="AN50" t="str">
            <v>Yes</v>
          </cell>
          <cell r="AO50" t="str">
            <v>agree</v>
          </cell>
          <cell r="AP50">
            <v>705841</v>
          </cell>
          <cell r="AQ50">
            <v>43221</v>
          </cell>
          <cell r="AR50">
            <v>43231</v>
          </cell>
          <cell r="AS50"/>
          <cell r="AT50">
            <v>0</v>
          </cell>
          <cell r="AU50"/>
          <cell r="AV50" t="str">
            <v>20180529</v>
          </cell>
          <cell r="AW50"/>
          <cell r="AX50"/>
          <cell r="AY50"/>
          <cell r="AZ50"/>
          <cell r="BA50" t="str">
            <v>Yes</v>
          </cell>
        </row>
        <row r="51">
          <cell r="B51"/>
          <cell r="C51" t="str">
            <v>C49SZX20170191DZ</v>
          </cell>
          <cell r="D51" t="str">
            <v>ASSEMBLY 方案集</v>
          </cell>
          <cell r="E51" t="str">
            <v>YS24</v>
          </cell>
          <cell r="F51" t="str">
            <v>NA</v>
          </cell>
          <cell r="G51" t="e">
            <v>#REF!</v>
          </cell>
          <cell r="H51" t="e">
            <v>#REF!</v>
          </cell>
          <cell r="I51"/>
          <cell r="J51"/>
          <cell r="K51">
            <v>1</v>
          </cell>
          <cell r="L51" t="str">
            <v>已经送货</v>
          </cell>
          <cell r="M51"/>
          <cell r="N51"/>
          <cell r="O51">
            <v>11116082</v>
          </cell>
          <cell r="P51">
            <v>12200000</v>
          </cell>
          <cell r="Q51">
            <v>43160</v>
          </cell>
          <cell r="R51" t="str">
            <v>Yes</v>
          </cell>
          <cell r="S51" t="str">
            <v>C49</v>
          </cell>
          <cell r="T51" t="str">
            <v>SOUTH</v>
          </cell>
          <cell r="U51"/>
          <cell r="V51"/>
          <cell r="W51" t="str">
            <v>DZ</v>
          </cell>
          <cell r="X51" t="str">
            <v>JPY</v>
          </cell>
          <cell r="Y51">
            <v>12200000</v>
          </cell>
          <cell r="Z51">
            <v>1</v>
          </cell>
          <cell r="AA51">
            <v>12200000</v>
          </cell>
          <cell r="AB51">
            <v>7.0999999999999994E-2</v>
          </cell>
          <cell r="AC51">
            <v>866199.99999999988</v>
          </cell>
          <cell r="AD51">
            <v>103943.99999999999</v>
          </cell>
          <cell r="AE51">
            <v>0.12</v>
          </cell>
          <cell r="AF51">
            <v>43080</v>
          </cell>
          <cell r="AG51"/>
          <cell r="AH51"/>
          <cell r="AI51"/>
          <cell r="AJ51"/>
          <cell r="AK51" t="str">
            <v>agreed
40萬銀行電子滙票</v>
          </cell>
          <cell r="AL51" t="e">
            <v>#VALUE!</v>
          </cell>
          <cell r="AM51">
            <v>43070</v>
          </cell>
          <cell r="AN51" t="str">
            <v>Yes</v>
          </cell>
          <cell r="AO51">
            <v>0.7</v>
          </cell>
          <cell r="AP51">
            <v>8540000</v>
          </cell>
          <cell r="AQ51"/>
          <cell r="AR51"/>
          <cell r="AS51"/>
          <cell r="AT51">
            <v>0</v>
          </cell>
          <cell r="AU51"/>
          <cell r="AV51"/>
          <cell r="AW51"/>
          <cell r="AX51"/>
          <cell r="AY51"/>
          <cell r="AZ51"/>
          <cell r="BA51" t="str">
            <v>Yes</v>
          </cell>
        </row>
        <row r="52">
          <cell r="B52"/>
          <cell r="C52" t="str">
            <v>C49SZX20170191DZ</v>
          </cell>
          <cell r="D52" t="str">
            <v>ASSEMBLY 方案集</v>
          </cell>
          <cell r="E52" t="str">
            <v>YS12F</v>
          </cell>
          <cell r="F52" t="str">
            <v>NA</v>
          </cell>
          <cell r="G52" t="e">
            <v>#REF!</v>
          </cell>
          <cell r="H52" t="e">
            <v>#REF!</v>
          </cell>
          <cell r="I52"/>
          <cell r="J52"/>
          <cell r="K52">
            <v>1</v>
          </cell>
          <cell r="L52" t="str">
            <v>已经送货</v>
          </cell>
          <cell r="M52"/>
          <cell r="N52"/>
          <cell r="O52">
            <v>11116082</v>
          </cell>
          <cell r="P52">
            <v>10000000</v>
          </cell>
          <cell r="Q52">
            <v>43160</v>
          </cell>
          <cell r="R52" t="str">
            <v>Yes</v>
          </cell>
          <cell r="S52" t="str">
            <v>C49</v>
          </cell>
          <cell r="T52" t="str">
            <v>SOUTH</v>
          </cell>
          <cell r="U52"/>
          <cell r="V52"/>
          <cell r="W52" t="str">
            <v>DZ</v>
          </cell>
          <cell r="X52" t="str">
            <v>JPY</v>
          </cell>
          <cell r="Y52">
            <v>10000000</v>
          </cell>
          <cell r="Z52">
            <v>1</v>
          </cell>
          <cell r="AA52">
            <v>10000000</v>
          </cell>
          <cell r="AB52">
            <v>7.0999999999999994E-2</v>
          </cell>
          <cell r="AC52">
            <v>709999.99999999988</v>
          </cell>
          <cell r="AD52">
            <v>85199.999999999985</v>
          </cell>
          <cell r="AE52">
            <v>0.12</v>
          </cell>
          <cell r="AF52">
            <v>43080</v>
          </cell>
          <cell r="AG52"/>
          <cell r="AH52"/>
          <cell r="AI52"/>
          <cell r="AJ52"/>
          <cell r="AK52"/>
          <cell r="AL52">
            <v>0</v>
          </cell>
          <cell r="AM52">
            <v>43070</v>
          </cell>
          <cell r="AN52" t="str">
            <v>Yes</v>
          </cell>
          <cell r="AO52">
            <v>0.7</v>
          </cell>
          <cell r="AP52">
            <v>7000000</v>
          </cell>
          <cell r="AQ52"/>
          <cell r="AR52"/>
          <cell r="AS52"/>
          <cell r="AT52">
            <v>0</v>
          </cell>
          <cell r="AU52"/>
          <cell r="AV52"/>
          <cell r="AW52"/>
          <cell r="AX52"/>
          <cell r="AY52"/>
          <cell r="AZ52"/>
          <cell r="BA52" t="str">
            <v>Yes</v>
          </cell>
        </row>
        <row r="53">
          <cell r="B53"/>
          <cell r="C53" t="str">
            <v>C49SZX20170192ZX</v>
          </cell>
          <cell r="D53" t="str">
            <v>GeMeiTong 格美通</v>
          </cell>
          <cell r="E53" t="str">
            <v>YS24</v>
          </cell>
          <cell r="F53" t="str">
            <v>NA</v>
          </cell>
          <cell r="G53" t="e">
            <v>#REF!</v>
          </cell>
          <cell r="H53" t="e">
            <v>#REF!</v>
          </cell>
          <cell r="I53"/>
          <cell r="J53"/>
          <cell r="K53">
            <v>1</v>
          </cell>
          <cell r="L53" t="str">
            <v>已经送货</v>
          </cell>
          <cell r="M53" t="str">
            <v>2018/6</v>
          </cell>
          <cell r="N53"/>
          <cell r="O53">
            <v>11116119</v>
          </cell>
          <cell r="P53">
            <v>12500000</v>
          </cell>
          <cell r="Q53">
            <v>43252</v>
          </cell>
          <cell r="R53" t="str">
            <v>Yes</v>
          </cell>
          <cell r="S53" t="str">
            <v>C49</v>
          </cell>
          <cell r="T53" t="str">
            <v>SOUTH</v>
          </cell>
          <cell r="U53" t="str">
            <v>深圳</v>
          </cell>
          <cell r="V53" t="str">
            <v>SZ 深圳</v>
          </cell>
          <cell r="W53" t="str">
            <v>ZX</v>
          </cell>
          <cell r="X53" t="str">
            <v>JPY</v>
          </cell>
          <cell r="Y53">
            <v>12500000</v>
          </cell>
          <cell r="Z53">
            <v>1</v>
          </cell>
          <cell r="AA53">
            <v>12500000</v>
          </cell>
          <cell r="AB53">
            <v>7.0999999999999994E-2</v>
          </cell>
          <cell r="AC53">
            <v>887499.99999999988</v>
          </cell>
          <cell r="AD53">
            <v>106499.99999999999</v>
          </cell>
          <cell r="AE53">
            <v>0.12</v>
          </cell>
          <cell r="AF53">
            <v>43095</v>
          </cell>
          <cell r="AG53" t="str">
            <v>DAP</v>
          </cell>
          <cell r="AH53"/>
          <cell r="AI53" t="str">
            <v>Na</v>
          </cell>
          <cell r="AJ53" t="str">
            <v>Na</v>
          </cell>
          <cell r="AK53" t="str">
            <v>agree</v>
          </cell>
          <cell r="AL53">
            <v>1250000</v>
          </cell>
          <cell r="AM53">
            <v>43070</v>
          </cell>
          <cell r="AN53" t="str">
            <v>Yes</v>
          </cell>
          <cell r="AO53" t="str">
            <v>agree</v>
          </cell>
          <cell r="AP53">
            <v>4731175</v>
          </cell>
          <cell r="AQ53">
            <v>43252</v>
          </cell>
          <cell r="AR53">
            <v>43271</v>
          </cell>
          <cell r="AS53" t="str">
            <v>agree</v>
          </cell>
          <cell r="AT53" t="e">
            <v>#VALUE!</v>
          </cell>
          <cell r="AU53" t="str">
            <v>JUN</v>
          </cell>
          <cell r="AV53">
            <v>43272</v>
          </cell>
          <cell r="AW53"/>
          <cell r="AX53"/>
          <cell r="AY53"/>
          <cell r="AZ53" t="str">
            <v>Y</v>
          </cell>
          <cell r="BA53" t="str">
            <v>Yes</v>
          </cell>
        </row>
        <row r="54">
          <cell r="B54"/>
          <cell r="C54" t="str">
            <v>C49SZX20170193JL</v>
          </cell>
          <cell r="D54" t="str">
            <v>TTW(通通旺)</v>
          </cell>
          <cell r="E54" t="str">
            <v>YS24</v>
          </cell>
          <cell r="F54" t="str">
            <v>NA</v>
          </cell>
          <cell r="G54" t="e">
            <v>#REF!</v>
          </cell>
          <cell r="H54" t="e">
            <v>#REF!</v>
          </cell>
          <cell r="I54"/>
          <cell r="J54"/>
          <cell r="K54">
            <v>1</v>
          </cell>
          <cell r="L54" t="str">
            <v>已经送货</v>
          </cell>
          <cell r="M54" t="str">
            <v>2018/8</v>
          </cell>
          <cell r="N54"/>
          <cell r="O54">
            <v>11116177</v>
          </cell>
          <cell r="P54">
            <v>11820000</v>
          </cell>
          <cell r="Q54">
            <v>43313</v>
          </cell>
          <cell r="R54" t="str">
            <v>Yes</v>
          </cell>
          <cell r="S54" t="str">
            <v>C49</v>
          </cell>
          <cell r="T54" t="str">
            <v>SOUTH</v>
          </cell>
          <cell r="U54" t="str">
            <v>深圳</v>
          </cell>
          <cell r="V54" t="str">
            <v>SZ 深圳</v>
          </cell>
          <cell r="W54" t="str">
            <v>JL</v>
          </cell>
          <cell r="X54" t="str">
            <v>JPY</v>
          </cell>
          <cell r="Y54">
            <v>11820000</v>
          </cell>
          <cell r="Z54">
            <v>1</v>
          </cell>
          <cell r="AA54">
            <v>11820000</v>
          </cell>
          <cell r="AB54">
            <v>7.0999999999999994E-2</v>
          </cell>
          <cell r="AC54">
            <v>839219.99999999988</v>
          </cell>
          <cell r="AD54">
            <v>100706.39999999998</v>
          </cell>
          <cell r="AE54">
            <v>0.12</v>
          </cell>
          <cell r="AF54">
            <v>43090</v>
          </cell>
          <cell r="AG54" t="str">
            <v>CIF</v>
          </cell>
          <cell r="AH54"/>
          <cell r="AI54"/>
          <cell r="AJ54"/>
          <cell r="AK54" t="str">
            <v>agree</v>
          </cell>
          <cell r="AL54" t="e">
            <v>#VALUE!</v>
          </cell>
          <cell r="AM54">
            <v>43101</v>
          </cell>
          <cell r="AN54" t="str">
            <v>Yes</v>
          </cell>
          <cell r="AO54" t="str">
            <v>agree</v>
          </cell>
          <cell r="AP54">
            <v>1920000</v>
          </cell>
          <cell r="AQ54">
            <v>43160</v>
          </cell>
          <cell r="AR54">
            <v>43172</v>
          </cell>
          <cell r="AS54" t="str">
            <v>agree</v>
          </cell>
          <cell r="AT54" t="e">
            <v>#VALUE!</v>
          </cell>
          <cell r="AU54" t="str">
            <v>AUG</v>
          </cell>
          <cell r="AV54">
            <v>43321</v>
          </cell>
          <cell r="AY54"/>
          <cell r="AZ54" t="str">
            <v>Y</v>
          </cell>
          <cell r="BA54" t="str">
            <v>Yes</v>
          </cell>
          <cell r="BB54"/>
        </row>
        <row r="55">
          <cell r="B55"/>
          <cell r="C55" t="str">
            <v>C49SZX20170195JL</v>
          </cell>
          <cell r="D55" t="str">
            <v>Huarifeng 华日峰</v>
          </cell>
          <cell r="E55" t="str">
            <v>YS24</v>
          </cell>
          <cell r="F55" t="str">
            <v>NA</v>
          </cell>
          <cell r="G55" t="e">
            <v>#REF!</v>
          </cell>
          <cell r="H55" t="e">
            <v>#REF!</v>
          </cell>
          <cell r="I55"/>
          <cell r="J55"/>
          <cell r="K55">
            <v>1</v>
          </cell>
          <cell r="L55" t="str">
            <v>已经送货</v>
          </cell>
          <cell r="M55" t="str">
            <v>2018/4</v>
          </cell>
          <cell r="N55"/>
          <cell r="O55">
            <v>11100253</v>
          </cell>
          <cell r="P55">
            <v>700000</v>
          </cell>
          <cell r="Q55">
            <v>43191</v>
          </cell>
          <cell r="R55" t="str">
            <v>No</v>
          </cell>
          <cell r="S55" t="str">
            <v>C49</v>
          </cell>
          <cell r="T55" t="str">
            <v>SOUTH</v>
          </cell>
          <cell r="U55" t="str">
            <v>深圳</v>
          </cell>
          <cell r="V55" t="str">
            <v>SZ 深圳</v>
          </cell>
          <cell r="W55" t="str">
            <v>JL</v>
          </cell>
          <cell r="X55" t="str">
            <v>RMB</v>
          </cell>
          <cell r="Y55">
            <v>700000</v>
          </cell>
          <cell r="Z55">
            <v>1.17</v>
          </cell>
          <cell r="AA55">
            <v>700000</v>
          </cell>
          <cell r="AB55">
            <v>1.18</v>
          </cell>
          <cell r="AC55">
            <v>705982.905982906</v>
          </cell>
          <cell r="AD55">
            <v>84717.948717948719</v>
          </cell>
          <cell r="AE55">
            <v>0.12</v>
          </cell>
          <cell r="AF55">
            <v>43085</v>
          </cell>
          <cell r="AG55" t="str">
            <v>含税到厂</v>
          </cell>
          <cell r="AH55"/>
          <cell r="AI55" t="str">
            <v>Na</v>
          </cell>
          <cell r="AJ55" t="str">
            <v>Na</v>
          </cell>
          <cell r="AK55" t="str">
            <v>agree</v>
          </cell>
          <cell r="AL55" t="e">
            <v>#VALUE!</v>
          </cell>
          <cell r="AM55">
            <v>43070</v>
          </cell>
          <cell r="AN55" t="str">
            <v>Yes</v>
          </cell>
          <cell r="AO55" t="str">
            <v>agree</v>
          </cell>
          <cell r="AP55" t="e">
            <v>#VALUE!</v>
          </cell>
          <cell r="AQ55">
            <v>43191</v>
          </cell>
          <cell r="AR55">
            <v>43210</v>
          </cell>
          <cell r="AS55"/>
          <cell r="AT55">
            <v>0</v>
          </cell>
          <cell r="AU55"/>
          <cell r="AV55"/>
          <cell r="AW55"/>
          <cell r="AX55"/>
          <cell r="AY55" t="str">
            <v>Yes</v>
          </cell>
          <cell r="AZ55" t="str">
            <v>Y</v>
          </cell>
          <cell r="BA55" t="str">
            <v>Yes</v>
          </cell>
          <cell r="BB55"/>
        </row>
        <row r="56">
          <cell r="B56"/>
          <cell r="C56" t="str">
            <v>C49SZX20170197DZ</v>
          </cell>
          <cell r="D56" t="str">
            <v>Zhaohui(兆晖)</v>
          </cell>
          <cell r="E56" t="str">
            <v>YS24</v>
          </cell>
          <cell r="F56" t="str">
            <v>NA</v>
          </cell>
          <cell r="G56" t="e">
            <v>#REF!</v>
          </cell>
          <cell r="H56" t="e">
            <v>#REF!</v>
          </cell>
          <cell r="I56"/>
          <cell r="J56"/>
          <cell r="K56">
            <v>2</v>
          </cell>
          <cell r="L56" t="str">
            <v>已经送货</v>
          </cell>
          <cell r="M56" t="str">
            <v>2018/3</v>
          </cell>
          <cell r="N56"/>
          <cell r="O56" t="str">
            <v>11116072/11116092</v>
          </cell>
          <cell r="P56">
            <v>20360000</v>
          </cell>
          <cell r="Q56">
            <v>43160</v>
          </cell>
          <cell r="R56" t="str">
            <v>No</v>
          </cell>
          <cell r="S56" t="str">
            <v>C49</v>
          </cell>
          <cell r="T56" t="str">
            <v>SOUTH</v>
          </cell>
          <cell r="U56" t="str">
            <v>深圳</v>
          </cell>
          <cell r="V56" t="str">
            <v>SZ 深圳</v>
          </cell>
          <cell r="W56" t="str">
            <v>DZ</v>
          </cell>
          <cell r="X56" t="str">
            <v>JPY</v>
          </cell>
          <cell r="Y56">
            <v>10180000</v>
          </cell>
          <cell r="Z56">
            <v>1</v>
          </cell>
          <cell r="AA56">
            <v>20360000</v>
          </cell>
          <cell r="AB56">
            <v>7.0999999999999994E-2</v>
          </cell>
          <cell r="AC56">
            <v>1445559.9999999998</v>
          </cell>
          <cell r="AD56">
            <v>173467.19999999995</v>
          </cell>
          <cell r="AE56">
            <v>0.12</v>
          </cell>
          <cell r="AF56">
            <v>43091</v>
          </cell>
          <cell r="AG56" t="str">
            <v>CIF</v>
          </cell>
          <cell r="AH56"/>
          <cell r="AI56"/>
          <cell r="AJ56"/>
          <cell r="AK56" t="str">
            <v>agree</v>
          </cell>
          <cell r="AL56" t="e">
            <v>#VALUE!</v>
          </cell>
          <cell r="AM56">
            <v>43101</v>
          </cell>
          <cell r="AN56" t="str">
            <v>Yes</v>
          </cell>
          <cell r="AO56" t="str">
            <v>agree</v>
          </cell>
          <cell r="AP56">
            <v>3257600</v>
          </cell>
          <cell r="AQ56">
            <v>43313</v>
          </cell>
          <cell r="AR56">
            <v>43332</v>
          </cell>
          <cell r="AS56" t="str">
            <v>agree</v>
          </cell>
          <cell r="AT56" t="e">
            <v>#VALUE!</v>
          </cell>
          <cell r="AU56" t="str">
            <v>2018/3</v>
          </cell>
          <cell r="AV56">
            <v>43168</v>
          </cell>
          <cell r="AW56" t="str">
            <v>complete</v>
          </cell>
          <cell r="AX56" t="str">
            <v>Yes</v>
          </cell>
          <cell r="AY56"/>
          <cell r="AZ56" t="str">
            <v>Y</v>
          </cell>
          <cell r="BA56" t="str">
            <v>Yes</v>
          </cell>
          <cell r="BB56"/>
        </row>
        <row r="57">
          <cell r="B57"/>
          <cell r="C57" t="str">
            <v>C49SZX20170197DZ</v>
          </cell>
          <cell r="D57" t="str">
            <v>Zhaohui(兆晖)</v>
          </cell>
          <cell r="E57" t="str">
            <v>YS24</v>
          </cell>
          <cell r="F57" t="str">
            <v>NA</v>
          </cell>
          <cell r="G57" t="e">
            <v>#REF!</v>
          </cell>
          <cell r="H57" t="e">
            <v>#REF!</v>
          </cell>
          <cell r="K57">
            <v>2</v>
          </cell>
          <cell r="L57" t="str">
            <v>已经送货</v>
          </cell>
          <cell r="M57" t="str">
            <v>2018/6</v>
          </cell>
          <cell r="N57"/>
          <cell r="O57">
            <v>11116122</v>
          </cell>
          <cell r="P57">
            <v>20360000</v>
          </cell>
          <cell r="Q57">
            <v>43252</v>
          </cell>
          <cell r="R57" t="str">
            <v>-</v>
          </cell>
          <cell r="S57" t="str">
            <v>C49</v>
          </cell>
          <cell r="T57" t="str">
            <v>SOUTH</v>
          </cell>
          <cell r="U57" t="str">
            <v>深圳</v>
          </cell>
          <cell r="V57" t="str">
            <v>SZ 深圳</v>
          </cell>
          <cell r="W57" t="str">
            <v>DZ</v>
          </cell>
          <cell r="X57" t="str">
            <v>JPY</v>
          </cell>
          <cell r="Y57">
            <v>10180000</v>
          </cell>
          <cell r="Z57">
            <v>1</v>
          </cell>
          <cell r="AA57">
            <v>20360000</v>
          </cell>
          <cell r="AB57">
            <v>7.0999999999999994E-2</v>
          </cell>
          <cell r="AC57">
            <v>1445559.9999999998</v>
          </cell>
          <cell r="AD57">
            <v>173467.19999999995</v>
          </cell>
          <cell r="AE57">
            <v>0.12</v>
          </cell>
          <cell r="AF57">
            <v>43091</v>
          </cell>
          <cell r="AG57" t="str">
            <v>CIF</v>
          </cell>
          <cell r="AH57"/>
          <cell r="AI57"/>
          <cell r="AJ57"/>
          <cell r="AK57">
            <v>0.2</v>
          </cell>
          <cell r="AL57">
            <v>4072000</v>
          </cell>
          <cell r="AM57">
            <v>43101</v>
          </cell>
          <cell r="AN57" t="str">
            <v>Yes</v>
          </cell>
          <cell r="AO57">
            <v>0.72</v>
          </cell>
          <cell r="AP57">
            <v>14659200</v>
          </cell>
          <cell r="AQ57">
            <v>43252</v>
          </cell>
          <cell r="AR57">
            <v>43272</v>
          </cell>
          <cell r="AS57"/>
          <cell r="AT57">
            <v>0</v>
          </cell>
          <cell r="AV57"/>
          <cell r="AW57" t="str">
            <v>complete</v>
          </cell>
          <cell r="AX57" t="str">
            <v>Yes</v>
          </cell>
          <cell r="AY57"/>
          <cell r="AZ57" t="str">
            <v>Y</v>
          </cell>
          <cell r="BA57" t="str">
            <v>Yes</v>
          </cell>
        </row>
        <row r="58">
          <cell r="B58">
            <v>5</v>
          </cell>
          <cell r="C58" t="str">
            <v>C49SZX20180001SX</v>
          </cell>
          <cell r="D58" t="str">
            <v>Zhanhua(展华)</v>
          </cell>
          <cell r="E58" t="str">
            <v>YSM10</v>
          </cell>
          <cell r="F58" t="str">
            <v>NA</v>
          </cell>
          <cell r="G58" t="e">
            <v>#REF!</v>
          </cell>
          <cell r="H58" t="e">
            <v>#REF!</v>
          </cell>
          <cell r="I58" t="str">
            <v>L-&gt;R</v>
          </cell>
          <cell r="J58" t="str">
            <v>No</v>
          </cell>
          <cell r="K58">
            <v>1</v>
          </cell>
          <cell r="L58" t="e">
            <v>#REF!</v>
          </cell>
          <cell r="M58" t="e">
            <v>#REF!</v>
          </cell>
          <cell r="N58"/>
          <cell r="O58"/>
          <cell r="P58"/>
          <cell r="Q58"/>
          <cell r="R58" t="str">
            <v>Yes</v>
          </cell>
          <cell r="S58" t="str">
            <v>C49</v>
          </cell>
          <cell r="T58" t="str">
            <v>SOUTH</v>
          </cell>
          <cell r="U58" t="str">
            <v>深圳</v>
          </cell>
          <cell r="V58" t="str">
            <v>SZ 深圳</v>
          </cell>
          <cell r="W58" t="str">
            <v>SX</v>
          </cell>
          <cell r="X58" t="str">
            <v>JPY</v>
          </cell>
          <cell r="Y58">
            <v>9480000</v>
          </cell>
          <cell r="Z58">
            <v>1</v>
          </cell>
          <cell r="AA58">
            <v>9480000</v>
          </cell>
          <cell r="AB58">
            <v>7.0699999999999999E-2</v>
          </cell>
          <cell r="AC58">
            <v>670236</v>
          </cell>
          <cell r="AD58">
            <v>80428.319999999992</v>
          </cell>
          <cell r="AE58">
            <v>0.12</v>
          </cell>
          <cell r="AF58">
            <v>43103</v>
          </cell>
          <cell r="AG58" t="str">
            <v>DAP</v>
          </cell>
          <cell r="AH58"/>
          <cell r="AI58"/>
          <cell r="AJ58"/>
          <cell r="AK58" t="str">
            <v>agree</v>
          </cell>
          <cell r="AL58">
            <v>1706128</v>
          </cell>
          <cell r="AM58"/>
          <cell r="AN58" t="str">
            <v>Yes</v>
          </cell>
          <cell r="AO58">
            <v>0.8</v>
          </cell>
          <cell r="AP58">
            <v>7584000</v>
          </cell>
          <cell r="AQ58"/>
          <cell r="AR58"/>
          <cell r="AS58"/>
          <cell r="AT58">
            <v>0</v>
          </cell>
          <cell r="AV58"/>
          <cell r="AX58" t="str">
            <v>Cancel</v>
          </cell>
          <cell r="AY58"/>
          <cell r="AZ58"/>
          <cell r="BA58" t="str">
            <v>Cancel</v>
          </cell>
        </row>
        <row r="59">
          <cell r="B59">
            <v>6</v>
          </cell>
          <cell r="C59" t="str">
            <v>C49SZX20180001SX</v>
          </cell>
          <cell r="D59" t="str">
            <v>Zhanhua(展华)</v>
          </cell>
          <cell r="E59" t="str">
            <v>YSM10</v>
          </cell>
          <cell r="F59" t="str">
            <v>NA</v>
          </cell>
          <cell r="G59" t="e">
            <v>#REF!</v>
          </cell>
          <cell r="H59" t="e">
            <v>#REF!</v>
          </cell>
          <cell r="I59" t="str">
            <v>R-&gt;L</v>
          </cell>
          <cell r="J59" t="str">
            <v>No</v>
          </cell>
          <cell r="K59">
            <v>1</v>
          </cell>
          <cell r="L59" t="e">
            <v>#REF!</v>
          </cell>
          <cell r="M59" t="e">
            <v>#REF!</v>
          </cell>
          <cell r="N59"/>
          <cell r="O59"/>
          <cell r="P59"/>
          <cell r="Q59"/>
          <cell r="R59" t="str">
            <v>Yes</v>
          </cell>
          <cell r="S59" t="str">
            <v>C49</v>
          </cell>
          <cell r="T59" t="str">
            <v>SOUTH</v>
          </cell>
          <cell r="U59" t="str">
            <v>深圳</v>
          </cell>
          <cell r="V59" t="str">
            <v>SZ 深圳</v>
          </cell>
          <cell r="W59" t="str">
            <v>SX</v>
          </cell>
          <cell r="X59" t="str">
            <v>JPY</v>
          </cell>
          <cell r="Y59">
            <v>9480000</v>
          </cell>
          <cell r="Z59">
            <v>1</v>
          </cell>
          <cell r="AA59">
            <v>9480000</v>
          </cell>
          <cell r="AB59">
            <v>7.0699999999999999E-2</v>
          </cell>
          <cell r="AC59">
            <v>670236</v>
          </cell>
          <cell r="AD59">
            <v>80428.319999999992</v>
          </cell>
          <cell r="AE59">
            <v>0.12</v>
          </cell>
          <cell r="AF59">
            <v>43103</v>
          </cell>
          <cell r="AG59" t="str">
            <v>DAP</v>
          </cell>
          <cell r="AH59"/>
          <cell r="AI59"/>
          <cell r="AJ59"/>
          <cell r="AK59" t="str">
            <v>agree</v>
          </cell>
          <cell r="AL59">
            <v>2085872</v>
          </cell>
          <cell r="AM59"/>
          <cell r="AN59" t="str">
            <v>No</v>
          </cell>
          <cell r="AO59">
            <v>0.8</v>
          </cell>
          <cell r="AP59">
            <v>7584000</v>
          </cell>
          <cell r="AQ59"/>
          <cell r="AR59"/>
          <cell r="AS59"/>
          <cell r="AT59">
            <v>0</v>
          </cell>
          <cell r="AU59"/>
          <cell r="AV59"/>
          <cell r="AW59"/>
          <cell r="AX59" t="str">
            <v>Cancel</v>
          </cell>
          <cell r="AY59"/>
          <cell r="AZ59"/>
          <cell r="BA59" t="str">
            <v>Cancel</v>
          </cell>
          <cell r="BB59"/>
        </row>
        <row r="60">
          <cell r="B60"/>
          <cell r="C60" t="str">
            <v>C49SZX20180002JL</v>
          </cell>
          <cell r="D60" t="str">
            <v>Litongwei力通威</v>
          </cell>
          <cell r="E60" t="str">
            <v>YSM10</v>
          </cell>
          <cell r="F60" t="str">
            <v>NA</v>
          </cell>
          <cell r="G60" t="e">
            <v>#REF!</v>
          </cell>
          <cell r="H60" t="e">
            <v>#REF!</v>
          </cell>
          <cell r="K60">
            <v>2</v>
          </cell>
          <cell r="L60" t="str">
            <v>已经送货</v>
          </cell>
          <cell r="M60" t="str">
            <v>2018/4</v>
          </cell>
          <cell r="O60" t="str">
            <v>11116084/11116091/11116097</v>
          </cell>
          <cell r="P60">
            <v>18000000</v>
          </cell>
          <cell r="Q60">
            <v>43191</v>
          </cell>
          <cell r="R60" t="str">
            <v>No</v>
          </cell>
          <cell r="S60" t="str">
            <v>C49</v>
          </cell>
          <cell r="T60" t="str">
            <v>SOUTH</v>
          </cell>
          <cell r="U60" t="str">
            <v>深圳</v>
          </cell>
          <cell r="V60" t="str">
            <v>SZ 深圳</v>
          </cell>
          <cell r="W60" t="str">
            <v>JL</v>
          </cell>
          <cell r="X60" t="str">
            <v>JPY</v>
          </cell>
          <cell r="Y60">
            <v>9000000</v>
          </cell>
          <cell r="Z60">
            <v>1</v>
          </cell>
          <cell r="AA60">
            <v>18000000</v>
          </cell>
          <cell r="AB60">
            <v>7.2900000000000006E-2</v>
          </cell>
          <cell r="AC60">
            <v>1312200</v>
          </cell>
          <cell r="AD60">
            <v>157464</v>
          </cell>
          <cell r="AE60">
            <v>0.12</v>
          </cell>
          <cell r="AF60">
            <v>43132</v>
          </cell>
          <cell r="AG60" t="str">
            <v>CIF</v>
          </cell>
          <cell r="AH60" t="str">
            <v>客户卸货</v>
          </cell>
          <cell r="AI60" t="str">
            <v>Na</v>
          </cell>
          <cell r="AJ60" t="str">
            <v>Na</v>
          </cell>
          <cell r="AK60">
            <v>0.3</v>
          </cell>
          <cell r="AL60">
            <v>5400000</v>
          </cell>
          <cell r="AM60">
            <v>43160</v>
          </cell>
          <cell r="AN60" t="str">
            <v>Yes</v>
          </cell>
          <cell r="AO60">
            <v>0.6</v>
          </cell>
          <cell r="AP60">
            <v>10800000</v>
          </cell>
          <cell r="AQ60">
            <v>43191</v>
          </cell>
          <cell r="AR60">
            <v>43199</v>
          </cell>
          <cell r="AS60">
            <v>0.1</v>
          </cell>
          <cell r="AT60">
            <v>1800000</v>
          </cell>
          <cell r="AU60" t="str">
            <v>JUN</v>
          </cell>
          <cell r="AV60">
            <v>43279</v>
          </cell>
          <cell r="AY60"/>
          <cell r="BA60" t="str">
            <v>Yes</v>
          </cell>
        </row>
        <row r="61">
          <cell r="B61">
            <v>7</v>
          </cell>
          <cell r="C61" t="str">
            <v>C49SZX201800038SS</v>
          </cell>
          <cell r="D61" t="str">
            <v>祥弘瑞</v>
          </cell>
          <cell r="E61" t="str">
            <v>YS24</v>
          </cell>
          <cell r="F61" t="str">
            <v>NA</v>
          </cell>
          <cell r="G61" t="e">
            <v>#REF!</v>
          </cell>
          <cell r="H61" t="e">
            <v>#REF!</v>
          </cell>
          <cell r="I61" t="str">
            <v>R-&gt;L</v>
          </cell>
          <cell r="J61" t="str">
            <v>No</v>
          </cell>
          <cell r="K61">
            <v>1</v>
          </cell>
          <cell r="L61">
            <v>109422</v>
          </cell>
          <cell r="M61" t="str">
            <v>DEC 18</v>
          </cell>
          <cell r="N61"/>
          <cell r="O61">
            <v>11116246</v>
          </cell>
          <cell r="P61">
            <v>12280000</v>
          </cell>
          <cell r="Q61">
            <v>43435</v>
          </cell>
          <cell r="R61" t="str">
            <v>Yes</v>
          </cell>
          <cell r="S61" t="str">
            <v>C49</v>
          </cell>
          <cell r="T61" t="str">
            <v>SOUTH</v>
          </cell>
          <cell r="V61" t="str">
            <v>SZ 深圳</v>
          </cell>
          <cell r="W61" t="str">
            <v>SS</v>
          </cell>
          <cell r="X61" t="str">
            <v>JPY</v>
          </cell>
          <cell r="Y61">
            <v>12280000</v>
          </cell>
          <cell r="Z61">
            <v>1</v>
          </cell>
          <cell r="AA61">
            <v>12280000</v>
          </cell>
          <cell r="AB61">
            <v>7.2900000000000006E-2</v>
          </cell>
          <cell r="AC61">
            <v>895212.00000000012</v>
          </cell>
          <cell r="AD61">
            <v>107425.44000000002</v>
          </cell>
          <cell r="AE61">
            <v>0.12</v>
          </cell>
          <cell r="AF61">
            <v>43132</v>
          </cell>
          <cell r="AG61" t="str">
            <v>DAP</v>
          </cell>
          <cell r="AH61" t="str">
            <v>吊装4楼</v>
          </cell>
          <cell r="AI61" t="str">
            <v>CNY30,000+CNY60,000</v>
          </cell>
          <cell r="AJ61" t="str">
            <v>MAR</v>
          </cell>
          <cell r="AK61">
            <v>0.1</v>
          </cell>
          <cell r="AL61">
            <v>1228000</v>
          </cell>
          <cell r="AM61">
            <v>43160</v>
          </cell>
          <cell r="AN61" t="str">
            <v>Yes</v>
          </cell>
          <cell r="AO61">
            <v>0.1</v>
          </cell>
          <cell r="AP61">
            <v>1228000</v>
          </cell>
          <cell r="AQ61">
            <v>43344</v>
          </cell>
          <cell r="AR61">
            <v>43357</v>
          </cell>
          <cell r="AS61" t="str">
            <v>agree</v>
          </cell>
          <cell r="AT61" t="e">
            <v>#VALUE!</v>
          </cell>
          <cell r="AU61">
            <v>43435</v>
          </cell>
          <cell r="AV61">
            <v>43454</v>
          </cell>
          <cell r="AY61"/>
          <cell r="AZ61" t="str">
            <v>Y</v>
          </cell>
          <cell r="BA61" t="str">
            <v>Yes</v>
          </cell>
        </row>
        <row r="62">
          <cell r="B62"/>
          <cell r="C62" t="str">
            <v>C49SZX20180005JY</v>
          </cell>
          <cell r="D62" t="str">
            <v>Hengrun(恒润)</v>
          </cell>
          <cell r="E62" t="str">
            <v>YSM10</v>
          </cell>
          <cell r="F62" t="str">
            <v>NA</v>
          </cell>
          <cell r="G62" t="e">
            <v>#REF!</v>
          </cell>
          <cell r="H62" t="e">
            <v>#REF!</v>
          </cell>
          <cell r="K62">
            <v>1</v>
          </cell>
          <cell r="L62" t="str">
            <v>已经送货</v>
          </cell>
          <cell r="M62" t="str">
            <v>2018/4</v>
          </cell>
          <cell r="N62"/>
          <cell r="O62" t="str">
            <v>11116087/11116095</v>
          </cell>
          <cell r="P62">
            <v>13000000</v>
          </cell>
          <cell r="Q62">
            <v>43191</v>
          </cell>
          <cell r="R62" t="str">
            <v>Yes</v>
          </cell>
          <cell r="S62" t="str">
            <v>C49</v>
          </cell>
          <cell r="T62" t="str">
            <v>SOUTH</v>
          </cell>
          <cell r="U62" t="str">
            <v>東莞</v>
          </cell>
          <cell r="V62" t="str">
            <v>SZ 深圳</v>
          </cell>
          <cell r="W62" t="str">
            <v>JY</v>
          </cell>
          <cell r="X62" t="str">
            <v>JPY</v>
          </cell>
          <cell r="Y62">
            <v>13000000</v>
          </cell>
          <cell r="Z62">
            <v>1</v>
          </cell>
          <cell r="AA62">
            <v>13000000</v>
          </cell>
          <cell r="AB62">
            <v>7.0699999999999999E-2</v>
          </cell>
          <cell r="AC62">
            <v>919100</v>
          </cell>
          <cell r="AD62">
            <v>110292</v>
          </cell>
          <cell r="AE62">
            <v>0.12</v>
          </cell>
          <cell r="AF62">
            <v>43109</v>
          </cell>
          <cell r="AG62" t="str">
            <v>DAP</v>
          </cell>
          <cell r="AH62" t="str">
            <v>吊装三楼</v>
          </cell>
          <cell r="AI62"/>
          <cell r="AJ62"/>
          <cell r="AK62">
            <v>0.3</v>
          </cell>
          <cell r="AL62">
            <v>3900000</v>
          </cell>
          <cell r="AM62">
            <v>43101</v>
          </cell>
          <cell r="AN62" t="str">
            <v>Yes</v>
          </cell>
          <cell r="AO62">
            <v>0.7</v>
          </cell>
          <cell r="AP62">
            <v>9100000</v>
          </cell>
          <cell r="AQ62">
            <v>43191</v>
          </cell>
          <cell r="AR62">
            <v>43210</v>
          </cell>
          <cell r="AS62" t="str">
            <v>complete</v>
          </cell>
          <cell r="AT62" t="e">
            <v>#VALUE!</v>
          </cell>
          <cell r="AV62"/>
          <cell r="AX62" t="str">
            <v>Yes</v>
          </cell>
          <cell r="AY62" t="str">
            <v>Yes</v>
          </cell>
          <cell r="AZ62" t="str">
            <v>Y</v>
          </cell>
          <cell r="BA62" t="str">
            <v>Yes</v>
          </cell>
        </row>
        <row r="63">
          <cell r="B63"/>
          <cell r="C63" t="str">
            <v>C49SZX20180005JY</v>
          </cell>
          <cell r="D63" t="str">
            <v>Hengrun(恒润)</v>
          </cell>
          <cell r="E63" t="str">
            <v>YS24</v>
          </cell>
          <cell r="F63" t="str">
            <v>NA</v>
          </cell>
          <cell r="G63" t="e">
            <v>#REF!</v>
          </cell>
          <cell r="H63" t="e">
            <v>#REF!</v>
          </cell>
          <cell r="K63">
            <v>1</v>
          </cell>
          <cell r="L63" t="str">
            <v>已经送货</v>
          </cell>
          <cell r="M63" t="str">
            <v>2018/8</v>
          </cell>
          <cell r="N63"/>
          <cell r="O63">
            <v>11116181</v>
          </cell>
          <cell r="P63">
            <v>15000000</v>
          </cell>
          <cell r="Q63">
            <v>43313</v>
          </cell>
          <cell r="R63" t="str">
            <v>Yes</v>
          </cell>
          <cell r="S63" t="str">
            <v>C49</v>
          </cell>
          <cell r="T63" t="str">
            <v>SOUTH</v>
          </cell>
          <cell r="U63" t="str">
            <v>東莞</v>
          </cell>
          <cell r="V63" t="str">
            <v>SZ 深圳</v>
          </cell>
          <cell r="W63" t="str">
            <v>JY</v>
          </cell>
          <cell r="X63" t="str">
            <v>JPY</v>
          </cell>
          <cell r="Y63">
            <v>15000000</v>
          </cell>
          <cell r="Z63">
            <v>1</v>
          </cell>
          <cell r="AA63">
            <v>15000000</v>
          </cell>
          <cell r="AB63">
            <v>7.0699999999999999E-2</v>
          </cell>
          <cell r="AC63">
            <v>1060500</v>
          </cell>
          <cell r="AD63">
            <v>127260</v>
          </cell>
          <cell r="AE63">
            <v>0.12</v>
          </cell>
          <cell r="AF63">
            <v>43109</v>
          </cell>
          <cell r="AG63" t="str">
            <v>DAP</v>
          </cell>
          <cell r="AH63" t="str">
            <v>吊装三楼</v>
          </cell>
          <cell r="AI63"/>
          <cell r="AJ63"/>
          <cell r="AK63">
            <v>0.3</v>
          </cell>
          <cell r="AL63">
            <v>4500000</v>
          </cell>
          <cell r="AM63">
            <v>43101</v>
          </cell>
          <cell r="AN63" t="str">
            <v>Yes</v>
          </cell>
          <cell r="AO63">
            <v>0.7</v>
          </cell>
          <cell r="AP63">
            <v>10500000</v>
          </cell>
          <cell r="AQ63">
            <v>43313</v>
          </cell>
          <cell r="AR63">
            <v>43322</v>
          </cell>
          <cell r="AS63" t="str">
            <v>complete</v>
          </cell>
          <cell r="AT63" t="e">
            <v>#VALUE!</v>
          </cell>
          <cell r="AV63"/>
          <cell r="AX63" t="str">
            <v>Yes</v>
          </cell>
          <cell r="AY63" t="str">
            <v>Yes</v>
          </cell>
          <cell r="AZ63" t="str">
            <v>Y</v>
          </cell>
          <cell r="BA63" t="str">
            <v>Yes</v>
          </cell>
        </row>
        <row r="64">
          <cell r="B64"/>
          <cell r="C64" t="str">
            <v>C49SZX20180006JYR1</v>
          </cell>
          <cell r="D64" t="str">
            <v>Baishida(百施达）</v>
          </cell>
          <cell r="E64" t="str">
            <v>YS24</v>
          </cell>
          <cell r="F64" t="str">
            <v>NA</v>
          </cell>
          <cell r="G64" t="e">
            <v>#REF!</v>
          </cell>
          <cell r="H64" t="e">
            <v>#REF!</v>
          </cell>
          <cell r="K64">
            <v>1</v>
          </cell>
          <cell r="L64" t="str">
            <v>已经送货</v>
          </cell>
          <cell r="M64" t="str">
            <v>2018/8</v>
          </cell>
          <cell r="N64"/>
          <cell r="O64">
            <v>11116189</v>
          </cell>
          <cell r="P64">
            <v>13020000</v>
          </cell>
          <cell r="Q64">
            <v>43313</v>
          </cell>
          <cell r="R64" t="str">
            <v>No</v>
          </cell>
          <cell r="S64" t="str">
            <v>C49</v>
          </cell>
          <cell r="T64" t="str">
            <v>SOUTH</v>
          </cell>
          <cell r="U64" t="str">
            <v>東莞</v>
          </cell>
          <cell r="V64" t="str">
            <v>SZ 深圳</v>
          </cell>
          <cell r="W64" t="str">
            <v>JY</v>
          </cell>
          <cell r="X64" t="str">
            <v>JPY</v>
          </cell>
          <cell r="Y64">
            <v>13020000</v>
          </cell>
          <cell r="Z64">
            <v>1</v>
          </cell>
          <cell r="AA64">
            <v>13020000</v>
          </cell>
          <cell r="AB64">
            <v>7.0699999999999999E-2</v>
          </cell>
          <cell r="AC64">
            <v>920514</v>
          </cell>
          <cell r="AD64">
            <v>110461.68</v>
          </cell>
          <cell r="AE64">
            <v>0.12</v>
          </cell>
          <cell r="AF64">
            <v>43109</v>
          </cell>
          <cell r="AG64" t="str">
            <v>DAP</v>
          </cell>
          <cell r="AH64"/>
          <cell r="AI64"/>
          <cell r="AJ64"/>
          <cell r="AK64" t="str">
            <v>agree</v>
          </cell>
          <cell r="AL64">
            <v>1212000</v>
          </cell>
          <cell r="AM64">
            <v>43101</v>
          </cell>
          <cell r="AN64" t="str">
            <v>Yes</v>
          </cell>
          <cell r="AO64" t="str">
            <v>agree</v>
          </cell>
          <cell r="AP64">
            <v>11808000</v>
          </cell>
          <cell r="AQ64">
            <v>43282</v>
          </cell>
          <cell r="AR64">
            <v>43306</v>
          </cell>
          <cell r="AS64"/>
          <cell r="AT64">
            <v>0</v>
          </cell>
          <cell r="AV64"/>
          <cell r="AY64"/>
          <cell r="AZ64" t="str">
            <v>Y</v>
          </cell>
          <cell r="BA64" t="str">
            <v>Yes</v>
          </cell>
        </row>
        <row r="65">
          <cell r="B65">
            <v>8</v>
          </cell>
          <cell r="C65" t="str">
            <v>C49SZX20180008JL</v>
          </cell>
          <cell r="D65" t="str">
            <v>力通威</v>
          </cell>
          <cell r="E65" t="str">
            <v>YSM10</v>
          </cell>
          <cell r="F65" t="str">
            <v>NA</v>
          </cell>
          <cell r="G65" t="e">
            <v>#REF!</v>
          </cell>
          <cell r="H65" t="e">
            <v>#REF!</v>
          </cell>
          <cell r="I65" t="str">
            <v>L-&gt;R</v>
          </cell>
          <cell r="J65" t="str">
            <v>No</v>
          </cell>
          <cell r="K65">
            <v>1</v>
          </cell>
          <cell r="L65" t="str">
            <v>取消</v>
          </cell>
          <cell r="M65" t="e">
            <v>#N/A</v>
          </cell>
          <cell r="N65"/>
          <cell r="O65"/>
          <cell r="P65"/>
          <cell r="Q65"/>
          <cell r="R65" t="str">
            <v>No</v>
          </cell>
          <cell r="S65" t="str">
            <v>C49</v>
          </cell>
          <cell r="T65" t="str">
            <v>SOUTH</v>
          </cell>
          <cell r="U65" t="str">
            <v>深圳</v>
          </cell>
          <cell r="V65" t="str">
            <v>SZ 深圳</v>
          </cell>
          <cell r="W65" t="str">
            <v>JL</v>
          </cell>
          <cell r="X65" t="str">
            <v>JPY</v>
          </cell>
          <cell r="Y65">
            <v>9000000</v>
          </cell>
          <cell r="Z65">
            <v>1</v>
          </cell>
          <cell r="AA65">
            <v>9000000</v>
          </cell>
          <cell r="AB65">
            <v>7.2900000000000006E-2</v>
          </cell>
          <cell r="AC65">
            <v>656100</v>
          </cell>
          <cell r="AD65">
            <v>78732</v>
          </cell>
          <cell r="AE65">
            <v>0.12</v>
          </cell>
          <cell r="AF65">
            <v>43132</v>
          </cell>
          <cell r="AG65" t="str">
            <v>CIF</v>
          </cell>
          <cell r="AH65"/>
          <cell r="AI65"/>
          <cell r="AJ65"/>
          <cell r="AK65">
            <v>0.3</v>
          </cell>
          <cell r="AL65">
            <v>2700000</v>
          </cell>
          <cell r="AM65"/>
          <cell r="AN65" t="str">
            <v>No</v>
          </cell>
          <cell r="AO65">
            <v>0.6</v>
          </cell>
          <cell r="AP65">
            <v>5400000</v>
          </cell>
          <cell r="AQ65"/>
          <cell r="AR65"/>
          <cell r="AS65">
            <v>0.1</v>
          </cell>
          <cell r="AT65">
            <v>900000</v>
          </cell>
          <cell r="AV65"/>
          <cell r="AX65" t="str">
            <v>Cancel</v>
          </cell>
          <cell r="AY65"/>
          <cell r="AZ65"/>
          <cell r="BA65" t="str">
            <v>Cancel</v>
          </cell>
        </row>
        <row r="66">
          <cell r="B66">
            <v>9</v>
          </cell>
          <cell r="C66" t="str">
            <v>C49SZX20180008JL</v>
          </cell>
          <cell r="D66" t="str">
            <v>力通威</v>
          </cell>
          <cell r="E66" t="str">
            <v>YSM10</v>
          </cell>
          <cell r="F66" t="str">
            <v>NA</v>
          </cell>
          <cell r="G66" t="e">
            <v>#REF!</v>
          </cell>
          <cell r="H66" t="e">
            <v>#REF!</v>
          </cell>
          <cell r="I66" t="str">
            <v>L-&gt;R</v>
          </cell>
          <cell r="J66" t="str">
            <v>No</v>
          </cell>
          <cell r="K66">
            <v>1</v>
          </cell>
          <cell r="L66" t="str">
            <v>取消</v>
          </cell>
          <cell r="M66" t="e">
            <v>#N/A</v>
          </cell>
          <cell r="N66"/>
          <cell r="O66"/>
          <cell r="P66"/>
          <cell r="Q66"/>
          <cell r="R66" t="str">
            <v>No</v>
          </cell>
          <cell r="S66" t="str">
            <v>C49</v>
          </cell>
          <cell r="T66" t="str">
            <v>SOUTH</v>
          </cell>
          <cell r="U66" t="str">
            <v>深圳</v>
          </cell>
          <cell r="V66" t="str">
            <v>SZ 深圳</v>
          </cell>
          <cell r="W66" t="str">
            <v>JL</v>
          </cell>
          <cell r="X66" t="str">
            <v>JPY</v>
          </cell>
          <cell r="Y66">
            <v>9000000</v>
          </cell>
          <cell r="Z66">
            <v>1</v>
          </cell>
          <cell r="AA66">
            <v>9000000</v>
          </cell>
          <cell r="AB66">
            <v>7.2900000000000006E-2</v>
          </cell>
          <cell r="AC66">
            <v>656100</v>
          </cell>
          <cell r="AD66">
            <v>78732</v>
          </cell>
          <cell r="AE66">
            <v>0.12</v>
          </cell>
          <cell r="AF66">
            <v>43132</v>
          </cell>
          <cell r="AG66" t="str">
            <v>CIF</v>
          </cell>
          <cell r="AH66"/>
          <cell r="AI66"/>
          <cell r="AJ66"/>
          <cell r="AK66">
            <v>0.3</v>
          </cell>
          <cell r="AL66">
            <v>2700000</v>
          </cell>
          <cell r="AM66"/>
          <cell r="AN66" t="str">
            <v>No</v>
          </cell>
          <cell r="AO66">
            <v>0.6</v>
          </cell>
          <cell r="AP66">
            <v>5400000</v>
          </cell>
          <cell r="AQ66"/>
          <cell r="AR66"/>
          <cell r="AS66">
            <v>0.1</v>
          </cell>
          <cell r="AT66">
            <v>900000</v>
          </cell>
          <cell r="AV66"/>
          <cell r="AX66" t="str">
            <v>Cancel</v>
          </cell>
          <cell r="AY66"/>
          <cell r="AZ66"/>
          <cell r="BA66" t="str">
            <v>Cancel</v>
          </cell>
        </row>
        <row r="67">
          <cell r="B67">
            <v>10</v>
          </cell>
          <cell r="C67" t="str">
            <v>C49SZX20180008ZX</v>
          </cell>
          <cell r="D67" t="str">
            <v>栩骊</v>
          </cell>
          <cell r="E67" t="str">
            <v>YSM20-2</v>
          </cell>
          <cell r="F67" t="str">
            <v>NA</v>
          </cell>
          <cell r="G67" t="e">
            <v>#REF!</v>
          </cell>
          <cell r="H67" t="e">
            <v>#REF!</v>
          </cell>
          <cell r="I67" t="str">
            <v>L-&gt;R</v>
          </cell>
          <cell r="J67" t="str">
            <v>cATS10+MVC+special layout</v>
          </cell>
          <cell r="K67">
            <v>1</v>
          </cell>
          <cell r="L67" t="str">
            <v>取消</v>
          </cell>
          <cell r="M67" t="e">
            <v>#N/A</v>
          </cell>
          <cell r="N67"/>
          <cell r="O67"/>
          <cell r="P67"/>
          <cell r="Q67"/>
          <cell r="R67" t="str">
            <v>-</v>
          </cell>
          <cell r="S67" t="str">
            <v>C49</v>
          </cell>
          <cell r="T67" t="str">
            <v>SOUTH</v>
          </cell>
          <cell r="U67" t="str">
            <v>深圳</v>
          </cell>
          <cell r="V67" t="str">
            <v>SZ 深圳</v>
          </cell>
          <cell r="W67" t="str">
            <v>ZX</v>
          </cell>
          <cell r="X67" t="str">
            <v>JPY</v>
          </cell>
          <cell r="Y67">
            <v>15000000</v>
          </cell>
          <cell r="Z67">
            <v>1</v>
          </cell>
          <cell r="AA67">
            <v>15000000</v>
          </cell>
          <cell r="AB67">
            <v>7.0699999999999999E-2</v>
          </cell>
          <cell r="AC67">
            <v>1060500</v>
          </cell>
          <cell r="AD67">
            <v>127260</v>
          </cell>
          <cell r="AE67">
            <v>0.12</v>
          </cell>
          <cell r="AF67">
            <v>43109</v>
          </cell>
          <cell r="AG67" t="str">
            <v>DAP</v>
          </cell>
          <cell r="AH67"/>
          <cell r="AI67"/>
          <cell r="AJ67"/>
          <cell r="AK67">
            <v>0.1</v>
          </cell>
          <cell r="AL67">
            <v>1500000</v>
          </cell>
          <cell r="AM67">
            <v>43101</v>
          </cell>
          <cell r="AN67" t="str">
            <v>Yes</v>
          </cell>
          <cell r="AO67" t="str">
            <v>agree</v>
          </cell>
          <cell r="AP67">
            <v>4200000</v>
          </cell>
          <cell r="AQ67">
            <v>43221</v>
          </cell>
          <cell r="AR67">
            <v>43229</v>
          </cell>
          <cell r="AS67" t="str">
            <v>agree</v>
          </cell>
          <cell r="AT67" t="e">
            <v>#VALUE!</v>
          </cell>
          <cell r="AV67"/>
          <cell r="AX67" t="str">
            <v>Cancel</v>
          </cell>
          <cell r="AY67"/>
          <cell r="AZ67"/>
          <cell r="BA67" t="str">
            <v>Cancel</v>
          </cell>
        </row>
        <row r="68">
          <cell r="B68">
            <v>11</v>
          </cell>
          <cell r="C68" t="str">
            <v>C49SZX20180008ZX</v>
          </cell>
          <cell r="D68" t="str">
            <v>栩骊</v>
          </cell>
          <cell r="E68" t="str">
            <v>YSM20-2</v>
          </cell>
          <cell r="F68" t="str">
            <v>NA</v>
          </cell>
          <cell r="G68" t="e">
            <v>#REF!</v>
          </cell>
          <cell r="H68" t="e">
            <v>#REF!</v>
          </cell>
          <cell r="I68" t="str">
            <v>L-&gt;R</v>
          </cell>
          <cell r="J68" t="str">
            <v>No</v>
          </cell>
          <cell r="K68">
            <v>1</v>
          </cell>
          <cell r="L68" t="str">
            <v>取消</v>
          </cell>
          <cell r="M68" t="e">
            <v>#N/A</v>
          </cell>
          <cell r="N68"/>
          <cell r="O68"/>
          <cell r="P68"/>
          <cell r="Q68"/>
          <cell r="R68" t="str">
            <v>-</v>
          </cell>
          <cell r="S68" t="str">
            <v>C49</v>
          </cell>
          <cell r="T68" t="str">
            <v>SOUTH</v>
          </cell>
          <cell r="U68" t="str">
            <v>深圳</v>
          </cell>
          <cell r="V68" t="str">
            <v>SZ 深圳</v>
          </cell>
          <cell r="W68" t="str">
            <v>ZX</v>
          </cell>
          <cell r="X68" t="str">
            <v>JPY</v>
          </cell>
          <cell r="Y68">
            <v>15000000</v>
          </cell>
          <cell r="Z68">
            <v>1</v>
          </cell>
          <cell r="AA68">
            <v>15000000</v>
          </cell>
          <cell r="AB68">
            <v>7.0699999999999999E-2</v>
          </cell>
          <cell r="AC68">
            <v>1060500</v>
          </cell>
          <cell r="AD68">
            <v>127260</v>
          </cell>
          <cell r="AE68">
            <v>0.12</v>
          </cell>
          <cell r="AF68">
            <v>43109</v>
          </cell>
          <cell r="AG68" t="str">
            <v>DAP</v>
          </cell>
          <cell r="AH68"/>
          <cell r="AI68"/>
          <cell r="AJ68"/>
          <cell r="AK68">
            <v>0.1</v>
          </cell>
          <cell r="AL68">
            <v>1500000</v>
          </cell>
          <cell r="AM68">
            <v>43101</v>
          </cell>
          <cell r="AN68" t="str">
            <v>Yes</v>
          </cell>
          <cell r="AO68" t="str">
            <v>agree</v>
          </cell>
          <cell r="AP68">
            <v>4200000</v>
          </cell>
          <cell r="AQ68">
            <v>43221</v>
          </cell>
          <cell r="AR68">
            <v>43229</v>
          </cell>
          <cell r="AS68" t="str">
            <v>agree</v>
          </cell>
          <cell r="AT68" t="e">
            <v>#VALUE!</v>
          </cell>
          <cell r="AV68"/>
          <cell r="AX68" t="str">
            <v>Cancel</v>
          </cell>
          <cell r="AY68"/>
          <cell r="AZ68"/>
          <cell r="BA68" t="str">
            <v>Cancel</v>
          </cell>
        </row>
        <row r="69">
          <cell r="B69">
            <v>12</v>
          </cell>
          <cell r="C69" t="str">
            <v>C49SZX20180010DZ</v>
          </cell>
          <cell r="D69" t="str">
            <v>Baojie(宝捷)</v>
          </cell>
          <cell r="E69" t="str">
            <v>YS24</v>
          </cell>
          <cell r="F69" t="str">
            <v>NA</v>
          </cell>
          <cell r="G69" t="e">
            <v>#REF!</v>
          </cell>
          <cell r="H69" t="e">
            <v>#REF!</v>
          </cell>
          <cell r="I69" t="str">
            <v>L-&gt;R</v>
          </cell>
          <cell r="J69" t="str">
            <v>No</v>
          </cell>
          <cell r="K69">
            <v>1</v>
          </cell>
          <cell r="L69" t="e">
            <v>#N/A</v>
          </cell>
          <cell r="M69" t="e">
            <v>#N/A</v>
          </cell>
          <cell r="N69">
            <v>43678</v>
          </cell>
          <cell r="O69">
            <v>11116319</v>
          </cell>
          <cell r="P69">
            <v>12440000</v>
          </cell>
          <cell r="Q69">
            <v>43678</v>
          </cell>
          <cell r="R69" t="str">
            <v>No</v>
          </cell>
          <cell r="S69" t="str">
            <v>C49</v>
          </cell>
          <cell r="T69" t="str">
            <v>SOUTH</v>
          </cell>
          <cell r="U69" t="str">
            <v>深圳</v>
          </cell>
          <cell r="V69" t="str">
            <v>SZ 深圳</v>
          </cell>
          <cell r="W69" t="str">
            <v>DZ</v>
          </cell>
          <cell r="X69" t="str">
            <v>JPY</v>
          </cell>
          <cell r="Y69">
            <v>12440000</v>
          </cell>
          <cell r="Z69">
            <v>1</v>
          </cell>
          <cell r="AA69">
            <v>12440000</v>
          </cell>
          <cell r="AB69">
            <v>7.0699999999999999E-2</v>
          </cell>
          <cell r="AC69">
            <v>879508</v>
          </cell>
          <cell r="AD69">
            <v>105540.95999999999</v>
          </cell>
          <cell r="AE69">
            <v>0.12</v>
          </cell>
          <cell r="AF69">
            <v>43112</v>
          </cell>
          <cell r="AG69" t="str">
            <v>CIF</v>
          </cell>
          <cell r="AH69"/>
          <cell r="AI69"/>
          <cell r="AJ69"/>
          <cell r="AK69">
            <v>0.1</v>
          </cell>
          <cell r="AL69">
            <v>1244000</v>
          </cell>
          <cell r="AM69">
            <v>43497</v>
          </cell>
          <cell r="AN69" t="str">
            <v>Yes</v>
          </cell>
          <cell r="AO69" t="str">
            <v>agree</v>
          </cell>
          <cell r="AP69">
            <v>5728507</v>
          </cell>
          <cell r="AQ69">
            <v>43617</v>
          </cell>
          <cell r="AR69">
            <v>43619</v>
          </cell>
          <cell r="AS69" t="str">
            <v>agree</v>
          </cell>
          <cell r="AT69">
            <v>5467493</v>
          </cell>
          <cell r="AU69">
            <v>43678</v>
          </cell>
          <cell r="AV69">
            <v>43684</v>
          </cell>
          <cell r="AW69" t="str">
            <v>complete</v>
          </cell>
          <cell r="AX69" t="str">
            <v>Yes</v>
          </cell>
          <cell r="AY69"/>
          <cell r="AZ69"/>
          <cell r="BA69"/>
        </row>
        <row r="70">
          <cell r="B70"/>
          <cell r="C70" t="str">
            <v>C49SZX20180011ZX</v>
          </cell>
          <cell r="D70" t="str">
            <v>栩骊</v>
          </cell>
          <cell r="E70" t="str">
            <v>YSM20-2</v>
          </cell>
          <cell r="F70" t="str">
            <v>NA</v>
          </cell>
          <cell r="G70" t="e">
            <v>#REF!</v>
          </cell>
          <cell r="H70" t="e">
            <v>#REF!</v>
          </cell>
          <cell r="I70"/>
          <cell r="J70"/>
          <cell r="K70">
            <v>1</v>
          </cell>
          <cell r="L70" t="str">
            <v>取消</v>
          </cell>
          <cell r="M70"/>
          <cell r="N70"/>
          <cell r="O70"/>
          <cell r="P70"/>
          <cell r="Q70"/>
          <cell r="R70" t="str">
            <v>Yes</v>
          </cell>
          <cell r="S70" t="str">
            <v>C49</v>
          </cell>
          <cell r="T70" t="str">
            <v>SOUTH</v>
          </cell>
          <cell r="U70" t="str">
            <v>深圳</v>
          </cell>
          <cell r="V70" t="str">
            <v>SZ 深圳</v>
          </cell>
          <cell r="W70" t="str">
            <v>ZX</v>
          </cell>
          <cell r="X70" t="str">
            <v>JPY</v>
          </cell>
          <cell r="Y70">
            <v>15000000</v>
          </cell>
          <cell r="Z70">
            <v>1</v>
          </cell>
          <cell r="AA70">
            <v>15000000</v>
          </cell>
          <cell r="AB70">
            <v>7.0699999999999999E-2</v>
          </cell>
          <cell r="AC70">
            <v>1060500</v>
          </cell>
          <cell r="AD70">
            <v>127260</v>
          </cell>
          <cell r="AE70">
            <v>0.12</v>
          </cell>
          <cell r="AF70">
            <v>43109</v>
          </cell>
          <cell r="AG70" t="str">
            <v>DAP</v>
          </cell>
          <cell r="AH70"/>
          <cell r="AI70"/>
          <cell r="AJ70"/>
          <cell r="AK70">
            <v>0.1</v>
          </cell>
          <cell r="AL70">
            <v>1500000</v>
          </cell>
          <cell r="AM70"/>
          <cell r="AN70"/>
          <cell r="AO70">
            <v>0.9</v>
          </cell>
          <cell r="AP70">
            <v>13500000</v>
          </cell>
          <cell r="AQ70"/>
          <cell r="AR70"/>
          <cell r="AS70"/>
          <cell r="AT70">
            <v>0</v>
          </cell>
          <cell r="AV70"/>
          <cell r="AX70" t="str">
            <v>Cancel</v>
          </cell>
          <cell r="AY70"/>
          <cell r="AZ70"/>
          <cell r="BA70" t="str">
            <v>Cancel</v>
          </cell>
        </row>
        <row r="71">
          <cell r="B71"/>
          <cell r="C71" t="str">
            <v>C49SZX20180011ZX</v>
          </cell>
          <cell r="D71" t="str">
            <v>栩骊</v>
          </cell>
          <cell r="E71" t="str">
            <v>YSM20-2</v>
          </cell>
          <cell r="F71" t="str">
            <v>NA</v>
          </cell>
          <cell r="G71" t="e">
            <v>#REF!</v>
          </cell>
          <cell r="H71" t="e">
            <v>#REF!</v>
          </cell>
          <cell r="I71"/>
          <cell r="J71"/>
          <cell r="K71">
            <v>1</v>
          </cell>
          <cell r="L71" t="str">
            <v>取消</v>
          </cell>
          <cell r="M71"/>
          <cell r="N71"/>
          <cell r="O71"/>
          <cell r="P71"/>
          <cell r="Q71"/>
          <cell r="R71" t="str">
            <v>Yes</v>
          </cell>
          <cell r="S71" t="str">
            <v>C49</v>
          </cell>
          <cell r="T71" t="str">
            <v>SOUTH</v>
          </cell>
          <cell r="U71" t="str">
            <v>深圳</v>
          </cell>
          <cell r="V71" t="str">
            <v>SZ 深圳</v>
          </cell>
          <cell r="W71" t="str">
            <v>ZX</v>
          </cell>
          <cell r="X71" t="str">
            <v>JPY</v>
          </cell>
          <cell r="Y71">
            <v>15000000</v>
          </cell>
          <cell r="Z71">
            <v>1</v>
          </cell>
          <cell r="AA71">
            <v>15000000</v>
          </cell>
          <cell r="AB71">
            <v>7.0699999999999999E-2</v>
          </cell>
          <cell r="AC71">
            <v>1060500</v>
          </cell>
          <cell r="AD71">
            <v>127260</v>
          </cell>
          <cell r="AE71">
            <v>0.12</v>
          </cell>
          <cell r="AF71">
            <v>43109</v>
          </cell>
          <cell r="AG71" t="str">
            <v>DAP</v>
          </cell>
          <cell r="AH71"/>
          <cell r="AI71"/>
          <cell r="AJ71"/>
          <cell r="AK71">
            <v>0.1</v>
          </cell>
          <cell r="AL71">
            <v>1500000</v>
          </cell>
          <cell r="AM71"/>
          <cell r="AN71"/>
          <cell r="AO71">
            <v>0.9</v>
          </cell>
          <cell r="AP71">
            <v>13500000</v>
          </cell>
          <cell r="AQ71"/>
          <cell r="AR71"/>
          <cell r="AS71"/>
          <cell r="AT71">
            <v>0</v>
          </cell>
          <cell r="AV71"/>
          <cell r="AX71" t="str">
            <v>Cancel</v>
          </cell>
          <cell r="AY71"/>
          <cell r="AZ71"/>
          <cell r="BA71" t="str">
            <v>Cancel</v>
          </cell>
        </row>
        <row r="72">
          <cell r="B72"/>
          <cell r="C72" t="str">
            <v>C49SZX20180015SS</v>
          </cell>
          <cell r="D72" t="str">
            <v>中润互联 sales accural Jun</v>
          </cell>
          <cell r="E72" t="str">
            <v>YSM20-2</v>
          </cell>
          <cell r="F72" t="str">
            <v>#74022</v>
          </cell>
          <cell r="G72" t="e">
            <v>#REF!</v>
          </cell>
          <cell r="H72" t="e">
            <v>#REF!</v>
          </cell>
          <cell r="I72"/>
          <cell r="J72"/>
          <cell r="K72">
            <v>1</v>
          </cell>
          <cell r="L72" t="str">
            <v>已经送货</v>
          </cell>
          <cell r="M72" t="str">
            <v>2018/7</v>
          </cell>
          <cell r="N72"/>
          <cell r="O72">
            <v>11116162</v>
          </cell>
          <cell r="P72">
            <v>14333333.33</v>
          </cell>
          <cell r="Q72">
            <v>43282</v>
          </cell>
          <cell r="R72" t="str">
            <v>No</v>
          </cell>
          <cell r="S72" t="str">
            <v>C49</v>
          </cell>
          <cell r="T72" t="str">
            <v>SOUTH</v>
          </cell>
          <cell r="U72" t="str">
            <v>深圳</v>
          </cell>
          <cell r="V72" t="str">
            <v>SZ 深圳</v>
          </cell>
          <cell r="W72" t="str">
            <v>SS</v>
          </cell>
          <cell r="X72" t="str">
            <v>JPY</v>
          </cell>
          <cell r="Y72">
            <v>14333333.33</v>
          </cell>
          <cell r="Z72">
            <v>1</v>
          </cell>
          <cell r="AA72">
            <v>14333333.33</v>
          </cell>
          <cell r="AB72">
            <v>7.0699999999999999E-2</v>
          </cell>
          <cell r="AC72">
            <v>1013366.666431</v>
          </cell>
          <cell r="AD72">
            <v>121603.99997172</v>
          </cell>
          <cell r="AE72">
            <v>0.12</v>
          </cell>
          <cell r="AF72">
            <v>43127</v>
          </cell>
          <cell r="AG72" t="str">
            <v>DAP</v>
          </cell>
          <cell r="AH72"/>
          <cell r="AI72">
            <v>900000</v>
          </cell>
          <cell r="AJ72" t="str">
            <v>20180424/20180629</v>
          </cell>
          <cell r="AK72">
            <v>0.1</v>
          </cell>
          <cell r="AL72">
            <v>1433333.3330000001</v>
          </cell>
          <cell r="AM72">
            <v>43132</v>
          </cell>
          <cell r="AN72" t="str">
            <v>Yes</v>
          </cell>
          <cell r="AO72" t="str">
            <v>agree</v>
          </cell>
          <cell r="AP72">
            <v>1711829</v>
          </cell>
          <cell r="AQ72">
            <v>43191</v>
          </cell>
          <cell r="AR72">
            <v>43215</v>
          </cell>
          <cell r="AS72" t="str">
            <v>agree</v>
          </cell>
          <cell r="AT72" t="e">
            <v>#VALUE!</v>
          </cell>
          <cell r="AU72" t="str">
            <v>2018/8</v>
          </cell>
          <cell r="AV72">
            <v>43334</v>
          </cell>
          <cell r="AW72" t="str">
            <v xml:space="preserve">complete </v>
          </cell>
          <cell r="AX72" t="str">
            <v>Yes</v>
          </cell>
          <cell r="AY72"/>
          <cell r="AZ72" t="str">
            <v>Y</v>
          </cell>
          <cell r="BA72" t="str">
            <v>Yes</v>
          </cell>
          <cell r="BB72"/>
        </row>
        <row r="73">
          <cell r="B73"/>
          <cell r="C73" t="str">
            <v>C49SZX20180015SS</v>
          </cell>
          <cell r="D73" t="str">
            <v>中润互联</v>
          </cell>
          <cell r="E73" t="str">
            <v>YSM20-2</v>
          </cell>
          <cell r="F73" t="str">
            <v>#74022</v>
          </cell>
          <cell r="G73" t="e">
            <v>#REF!</v>
          </cell>
          <cell r="H73" t="e">
            <v>#REF!</v>
          </cell>
          <cell r="I73"/>
          <cell r="J73"/>
          <cell r="K73">
            <v>2</v>
          </cell>
          <cell r="L73" t="str">
            <v>已经送货</v>
          </cell>
          <cell r="M73" t="str">
            <v>SEP 18</v>
          </cell>
          <cell r="N73"/>
          <cell r="O73">
            <v>11116212</v>
          </cell>
          <cell r="P73">
            <v>28666666.66</v>
          </cell>
          <cell r="Q73">
            <v>43374</v>
          </cell>
          <cell r="R73" t="str">
            <v>No</v>
          </cell>
          <cell r="S73" t="str">
            <v>C49</v>
          </cell>
          <cell r="T73" t="str">
            <v>SOUTH</v>
          </cell>
          <cell r="U73" t="str">
            <v>深圳</v>
          </cell>
          <cell r="V73" t="str">
            <v>SZ 深圳</v>
          </cell>
          <cell r="W73" t="str">
            <v>SS</v>
          </cell>
          <cell r="X73" t="str">
            <v>JPY</v>
          </cell>
          <cell r="Y73">
            <v>14333333.33</v>
          </cell>
          <cell r="Z73">
            <v>1</v>
          </cell>
          <cell r="AA73">
            <v>28666666.66</v>
          </cell>
          <cell r="AB73">
            <v>7.0699999999999999E-2</v>
          </cell>
          <cell r="AC73">
            <v>2026733.332862</v>
          </cell>
          <cell r="AD73">
            <v>243207.99994343999</v>
          </cell>
          <cell r="AE73">
            <v>0.12</v>
          </cell>
          <cell r="AF73">
            <v>43127</v>
          </cell>
          <cell r="AG73" t="str">
            <v>DAP</v>
          </cell>
          <cell r="AH73"/>
          <cell r="AI73"/>
          <cell r="AJ73"/>
          <cell r="AK73">
            <v>0.1</v>
          </cell>
          <cell r="AL73">
            <v>2866666.6660000002</v>
          </cell>
          <cell r="AM73">
            <v>43132</v>
          </cell>
          <cell r="AN73" t="str">
            <v>Yes</v>
          </cell>
          <cell r="AO73" t="str">
            <v>agree</v>
          </cell>
          <cell r="AP73">
            <v>22683046</v>
          </cell>
          <cell r="AQ73">
            <v>43282</v>
          </cell>
          <cell r="AR73">
            <v>43301</v>
          </cell>
          <cell r="AS73" t="str">
            <v>agree</v>
          </cell>
          <cell r="AT73" t="e">
            <v>#VALUE!</v>
          </cell>
          <cell r="AU73"/>
          <cell r="AV73"/>
          <cell r="AW73" t="str">
            <v>complete</v>
          </cell>
          <cell r="AX73" t="str">
            <v>Yes</v>
          </cell>
          <cell r="AY73"/>
          <cell r="AZ73" t="str">
            <v>Y</v>
          </cell>
          <cell r="BA73" t="str">
            <v>Yes</v>
          </cell>
          <cell r="BB73"/>
        </row>
        <row r="74">
          <cell r="B74"/>
          <cell r="C74" t="str">
            <v>C49SZX20180017MZ</v>
          </cell>
          <cell r="D74" t="str">
            <v>天星创展</v>
          </cell>
          <cell r="E74" t="str">
            <v>YS24</v>
          </cell>
          <cell r="F74" t="str">
            <v>#72423</v>
          </cell>
          <cell r="G74" t="e">
            <v>#REF!</v>
          </cell>
          <cell r="H74" t="e">
            <v>#REF!</v>
          </cell>
          <cell r="I74"/>
          <cell r="J74"/>
          <cell r="K74">
            <v>1</v>
          </cell>
          <cell r="L74" t="str">
            <v>已经送货</v>
          </cell>
          <cell r="M74" t="str">
            <v>2018/8</v>
          </cell>
          <cell r="N74"/>
          <cell r="O74">
            <v>11116178</v>
          </cell>
          <cell r="P74">
            <v>10000000</v>
          </cell>
          <cell r="Q74">
            <v>43313</v>
          </cell>
          <cell r="R74" t="str">
            <v>No</v>
          </cell>
          <cell r="S74" t="str">
            <v>C49</v>
          </cell>
          <cell r="T74" t="str">
            <v>SOUTH</v>
          </cell>
          <cell r="U74" t="str">
            <v>深圳</v>
          </cell>
          <cell r="V74" t="str">
            <v>SZ 深圳</v>
          </cell>
          <cell r="W74" t="str">
            <v>MZ</v>
          </cell>
          <cell r="X74" t="str">
            <v>JPY</v>
          </cell>
          <cell r="Y74">
            <v>10000000</v>
          </cell>
          <cell r="Z74">
            <v>1</v>
          </cell>
          <cell r="AA74">
            <v>10000000</v>
          </cell>
          <cell r="AB74">
            <v>7.0699999999999999E-2</v>
          </cell>
          <cell r="AC74">
            <v>707000</v>
          </cell>
          <cell r="AD74">
            <v>84840</v>
          </cell>
          <cell r="AE74">
            <v>0.12</v>
          </cell>
          <cell r="AF74">
            <v>43112</v>
          </cell>
          <cell r="AG74" t="str">
            <v>CIF</v>
          </cell>
          <cell r="AH74"/>
          <cell r="AI74"/>
          <cell r="AJ74"/>
          <cell r="AK74">
            <v>0.3</v>
          </cell>
          <cell r="AL74">
            <v>3000000</v>
          </cell>
          <cell r="AM74">
            <v>43101</v>
          </cell>
          <cell r="AN74" t="str">
            <v>Yes</v>
          </cell>
          <cell r="AO74">
            <v>0.7</v>
          </cell>
          <cell r="AP74">
            <v>7000000</v>
          </cell>
          <cell r="AQ74">
            <v>43313</v>
          </cell>
          <cell r="AR74">
            <v>43321</v>
          </cell>
          <cell r="AS74"/>
          <cell r="AT74">
            <v>0</v>
          </cell>
          <cell r="AU74"/>
          <cell r="AV74"/>
          <cell r="AW74"/>
          <cell r="AX74"/>
          <cell r="AY74"/>
          <cell r="AZ74" t="str">
            <v>Y</v>
          </cell>
          <cell r="BA74" t="str">
            <v>Yes</v>
          </cell>
          <cell r="BB74"/>
        </row>
        <row r="75">
          <cell r="B75"/>
          <cell r="C75" t="str">
            <v>C49SZX20180019GL</v>
          </cell>
          <cell r="D75" t="str">
            <v>Cunfeng存封</v>
          </cell>
          <cell r="E75" t="str">
            <v>YS24</v>
          </cell>
          <cell r="F75" t="str">
            <v>NA</v>
          </cell>
          <cell r="G75" t="e">
            <v>#REF!</v>
          </cell>
          <cell r="H75" t="e">
            <v>#REF!</v>
          </cell>
          <cell r="K75">
            <v>1</v>
          </cell>
          <cell r="L75" t="str">
            <v>已经送货</v>
          </cell>
          <cell r="M75" t="str">
            <v>2018/8</v>
          </cell>
          <cell r="N75"/>
          <cell r="O75">
            <v>11116186</v>
          </cell>
          <cell r="P75">
            <v>11520000</v>
          </cell>
          <cell r="Q75">
            <v>43313</v>
          </cell>
          <cell r="R75" t="str">
            <v>Yes</v>
          </cell>
          <cell r="S75" t="str">
            <v>C49</v>
          </cell>
          <cell r="T75" t="str">
            <v>SOUTH</v>
          </cell>
          <cell r="U75" t="str">
            <v>東莞</v>
          </cell>
          <cell r="V75" t="str">
            <v>SZ 深圳</v>
          </cell>
          <cell r="W75" t="str">
            <v>GL</v>
          </cell>
          <cell r="X75" t="str">
            <v>JPY</v>
          </cell>
          <cell r="Y75">
            <v>11520000</v>
          </cell>
          <cell r="Z75">
            <v>1</v>
          </cell>
          <cell r="AA75">
            <v>11520000</v>
          </cell>
          <cell r="AB75">
            <v>7.0699999999999999E-2</v>
          </cell>
          <cell r="AC75">
            <v>814464</v>
          </cell>
          <cell r="AD75">
            <v>97735.679999999993</v>
          </cell>
          <cell r="AE75">
            <v>0.12</v>
          </cell>
          <cell r="AF75">
            <v>43117</v>
          </cell>
          <cell r="AG75" t="str">
            <v>DAP</v>
          </cell>
          <cell r="AH75"/>
          <cell r="AI75"/>
          <cell r="AJ75"/>
          <cell r="AK75">
            <v>0.6</v>
          </cell>
          <cell r="AL75">
            <v>6912000</v>
          </cell>
          <cell r="AM75">
            <v>43101</v>
          </cell>
          <cell r="AN75" t="str">
            <v>Yes</v>
          </cell>
          <cell r="AO75">
            <v>0.4</v>
          </cell>
          <cell r="AP75">
            <v>4608000</v>
          </cell>
          <cell r="AQ75">
            <v>43313</v>
          </cell>
          <cell r="AR75">
            <v>43326</v>
          </cell>
          <cell r="AS75" t="str">
            <v>complete</v>
          </cell>
          <cell r="AT75"/>
          <cell r="AV75"/>
          <cell r="AX75" t="str">
            <v>Yes</v>
          </cell>
          <cell r="AY75"/>
          <cell r="AZ75" t="str">
            <v>Y</v>
          </cell>
          <cell r="BA75" t="str">
            <v>Yes</v>
          </cell>
        </row>
        <row r="76">
          <cell r="B76"/>
          <cell r="C76" t="str">
            <v>C49SZX20180020-R1SX</v>
          </cell>
          <cell r="D76" t="str">
            <v>锐诚</v>
          </cell>
          <cell r="E76" t="str">
            <v>YS24</v>
          </cell>
          <cell r="F76" t="str">
            <v>NA</v>
          </cell>
          <cell r="G76" t="e">
            <v>#REF!</v>
          </cell>
          <cell r="H76" t="e">
            <v>#REF!</v>
          </cell>
          <cell r="I76"/>
          <cell r="J76"/>
          <cell r="K76">
            <v>1</v>
          </cell>
          <cell r="L76" t="str">
            <v>已经送货</v>
          </cell>
          <cell r="M76" t="str">
            <v>SEP 18</v>
          </cell>
          <cell r="N76"/>
          <cell r="O76">
            <v>11116211</v>
          </cell>
          <cell r="P76">
            <v>11819760</v>
          </cell>
          <cell r="Q76"/>
          <cell r="R76" t="str">
            <v>Yes</v>
          </cell>
          <cell r="S76" t="str">
            <v>C49</v>
          </cell>
          <cell r="T76" t="str">
            <v>SOUTH</v>
          </cell>
          <cell r="U76" t="str">
            <v>惠州</v>
          </cell>
          <cell r="V76" t="str">
            <v>SZ 深圳</v>
          </cell>
          <cell r="W76" t="str">
            <v>SX</v>
          </cell>
          <cell r="X76" t="str">
            <v>JPY</v>
          </cell>
          <cell r="Y76">
            <v>11819760</v>
          </cell>
          <cell r="Z76">
            <v>1</v>
          </cell>
          <cell r="AA76">
            <v>11819760</v>
          </cell>
          <cell r="AB76">
            <v>7.22E-2</v>
          </cell>
          <cell r="AC76">
            <v>853386.67200000002</v>
          </cell>
          <cell r="AD76">
            <v>102406.40063999999</v>
          </cell>
          <cell r="AE76">
            <v>0.12</v>
          </cell>
          <cell r="AF76">
            <v>43117</v>
          </cell>
          <cell r="AG76" t="str">
            <v>DAP</v>
          </cell>
          <cell r="AH76" t="str">
            <v>吊装三楼</v>
          </cell>
          <cell r="AI76"/>
          <cell r="AJ76"/>
          <cell r="AK76" t="str">
            <v>agree</v>
          </cell>
          <cell r="AL76">
            <v>1999200</v>
          </cell>
          <cell r="AM76">
            <v>43101</v>
          </cell>
          <cell r="AN76" t="str">
            <v>Yes</v>
          </cell>
          <cell r="AO76" t="str">
            <v>agree</v>
          </cell>
          <cell r="AP76">
            <v>9820560</v>
          </cell>
          <cell r="AQ76">
            <v>43344</v>
          </cell>
          <cell r="AR76">
            <v>43361</v>
          </cell>
          <cell r="AS76" t="str">
            <v>complete</v>
          </cell>
          <cell r="AT76" t="e">
            <v>#VALUE!</v>
          </cell>
          <cell r="AU76"/>
          <cell r="AV76"/>
          <cell r="AW76"/>
          <cell r="AX76" t="str">
            <v>Yes</v>
          </cell>
          <cell r="AY76"/>
          <cell r="AZ76" t="str">
            <v>Y</v>
          </cell>
          <cell r="BA76" t="str">
            <v>Yes</v>
          </cell>
          <cell r="BB76"/>
        </row>
        <row r="77">
          <cell r="B77"/>
          <cell r="C77" t="str">
            <v>C49SZX20180020SX</v>
          </cell>
          <cell r="D77" t="str">
            <v>锐诚</v>
          </cell>
          <cell r="E77" t="str">
            <v>YS24</v>
          </cell>
          <cell r="F77" t="str">
            <v>NA</v>
          </cell>
          <cell r="G77" t="e">
            <v>#REF!</v>
          </cell>
          <cell r="H77" t="e">
            <v>#REF!</v>
          </cell>
          <cell r="I77"/>
          <cell r="J77"/>
          <cell r="K77">
            <v>1</v>
          </cell>
          <cell r="L77" t="str">
            <v>取消</v>
          </cell>
          <cell r="M77"/>
          <cell r="N77"/>
          <cell r="O77"/>
          <cell r="P77"/>
          <cell r="Q77"/>
          <cell r="R77" t="str">
            <v>Yes</v>
          </cell>
          <cell r="S77" t="str">
            <v>C49</v>
          </cell>
          <cell r="T77" t="str">
            <v>SOUTH</v>
          </cell>
          <cell r="U77" t="str">
            <v>惠州</v>
          </cell>
          <cell r="V77" t="str">
            <v>SZ 深圳</v>
          </cell>
          <cell r="W77" t="str">
            <v>SX</v>
          </cell>
          <cell r="X77" t="str">
            <v>JPY</v>
          </cell>
          <cell r="Y77">
            <v>9996000</v>
          </cell>
          <cell r="Z77">
            <v>1</v>
          </cell>
          <cell r="AA77">
            <v>9996000</v>
          </cell>
          <cell r="AB77">
            <v>7.0699999999999999E-2</v>
          </cell>
          <cell r="AC77">
            <v>706717.2</v>
          </cell>
          <cell r="AD77">
            <v>84806.063999999998</v>
          </cell>
          <cell r="AE77">
            <v>0.12</v>
          </cell>
          <cell r="AF77">
            <v>43117</v>
          </cell>
          <cell r="AG77" t="str">
            <v>DAP</v>
          </cell>
          <cell r="AH77"/>
          <cell r="AI77"/>
          <cell r="AJ77"/>
          <cell r="AK77">
            <v>0.1</v>
          </cell>
          <cell r="AL77">
            <v>999600</v>
          </cell>
          <cell r="AM77">
            <v>43101</v>
          </cell>
          <cell r="AN77" t="str">
            <v>Yes</v>
          </cell>
          <cell r="AO77">
            <v>0.9</v>
          </cell>
          <cell r="AP77">
            <v>8996400</v>
          </cell>
          <cell r="AQ77"/>
          <cell r="AR77"/>
          <cell r="AS77"/>
          <cell r="AT77">
            <v>0</v>
          </cell>
          <cell r="AU77"/>
          <cell r="AV77"/>
          <cell r="AW77"/>
          <cell r="AX77" t="str">
            <v>Cancel</v>
          </cell>
          <cell r="AY77"/>
          <cell r="AZ77"/>
          <cell r="BA77" t="str">
            <v>Cancel</v>
          </cell>
          <cell r="BB77"/>
        </row>
        <row r="78">
          <cell r="B78"/>
          <cell r="C78" t="str">
            <v>C49SZX20180020SX</v>
          </cell>
          <cell r="D78" t="str">
            <v>锐诚</v>
          </cell>
          <cell r="E78" t="str">
            <v>YS24</v>
          </cell>
          <cell r="F78" t="str">
            <v>NA</v>
          </cell>
          <cell r="G78" t="e">
            <v>#REF!</v>
          </cell>
          <cell r="H78" t="e">
            <v>#REF!</v>
          </cell>
          <cell r="I78"/>
          <cell r="J78"/>
          <cell r="K78">
            <v>1</v>
          </cell>
          <cell r="L78" t="str">
            <v>取消</v>
          </cell>
          <cell r="M78"/>
          <cell r="N78"/>
          <cell r="P78"/>
          <cell r="Q78"/>
          <cell r="R78" t="str">
            <v>Yes</v>
          </cell>
          <cell r="S78" t="str">
            <v>C49</v>
          </cell>
          <cell r="T78" t="str">
            <v>SOUTH</v>
          </cell>
          <cell r="U78" t="str">
            <v>惠州</v>
          </cell>
          <cell r="V78" t="str">
            <v>SZ 深圳</v>
          </cell>
          <cell r="W78" t="str">
            <v>SX</v>
          </cell>
          <cell r="X78" t="str">
            <v>JPY</v>
          </cell>
          <cell r="Y78">
            <v>9996000</v>
          </cell>
          <cell r="Z78">
            <v>1</v>
          </cell>
          <cell r="AA78">
            <v>9996000</v>
          </cell>
          <cell r="AB78">
            <v>7.0699999999999999E-2</v>
          </cell>
          <cell r="AC78">
            <v>706717.2</v>
          </cell>
          <cell r="AD78">
            <v>84806.063999999998</v>
          </cell>
          <cell r="AE78">
            <v>0.12</v>
          </cell>
          <cell r="AF78">
            <v>43117</v>
          </cell>
          <cell r="AG78" t="str">
            <v>DAP</v>
          </cell>
          <cell r="AH78"/>
          <cell r="AI78"/>
          <cell r="AJ78"/>
          <cell r="AK78">
            <v>0.1</v>
          </cell>
          <cell r="AL78">
            <v>999600</v>
          </cell>
          <cell r="AM78">
            <v>43101</v>
          </cell>
          <cell r="AN78" t="str">
            <v>Yes</v>
          </cell>
          <cell r="AO78">
            <v>0.9</v>
          </cell>
          <cell r="AP78">
            <v>8996400</v>
          </cell>
          <cell r="AQ78"/>
          <cell r="AR78"/>
          <cell r="AS78"/>
          <cell r="AT78">
            <v>0</v>
          </cell>
          <cell r="AU78"/>
          <cell r="AV78"/>
          <cell r="AW78"/>
          <cell r="AX78" t="str">
            <v>Cancel</v>
          </cell>
          <cell r="AY78"/>
          <cell r="AZ78"/>
          <cell r="BA78" t="str">
            <v>Cancel</v>
          </cell>
          <cell r="BB78"/>
        </row>
        <row r="79">
          <cell r="B79"/>
          <cell r="C79" t="str">
            <v>C49SZX20180021SX</v>
          </cell>
          <cell r="D79" t="str">
            <v>丰硕Sales accural June</v>
          </cell>
          <cell r="E79" t="str">
            <v>YSM20-2</v>
          </cell>
          <cell r="F79" t="str">
            <v>NA</v>
          </cell>
          <cell r="G79" t="e">
            <v>#REF!</v>
          </cell>
          <cell r="H79" t="e">
            <v>#REF!</v>
          </cell>
          <cell r="K79">
            <v>1</v>
          </cell>
          <cell r="L79" t="str">
            <v>已经送货</v>
          </cell>
          <cell r="M79" t="str">
            <v>2018/7</v>
          </cell>
          <cell r="N79"/>
          <cell r="O79">
            <v>11116152</v>
          </cell>
          <cell r="P79">
            <v>16830000</v>
          </cell>
          <cell r="Q79">
            <v>43282</v>
          </cell>
          <cell r="R79" t="str">
            <v>-</v>
          </cell>
          <cell r="S79" t="str">
            <v>C49</v>
          </cell>
          <cell r="T79" t="str">
            <v>SOUTH</v>
          </cell>
          <cell r="U79" t="str">
            <v>恩平</v>
          </cell>
          <cell r="V79" t="str">
            <v>SZ 深圳</v>
          </cell>
          <cell r="W79" t="str">
            <v>SX</v>
          </cell>
          <cell r="X79" t="str">
            <v>JPY</v>
          </cell>
          <cell r="Y79">
            <v>16830000</v>
          </cell>
          <cell r="Z79">
            <v>1</v>
          </cell>
          <cell r="AA79">
            <v>16830000</v>
          </cell>
          <cell r="AB79">
            <v>7.0699999999999999E-2</v>
          </cell>
          <cell r="AC79">
            <v>1189881</v>
          </cell>
          <cell r="AD79">
            <v>142785.72</v>
          </cell>
          <cell r="AE79">
            <v>0.12</v>
          </cell>
          <cell r="AF79">
            <v>43123</v>
          </cell>
          <cell r="AG79" t="str">
            <v>DAP</v>
          </cell>
          <cell r="AH79"/>
          <cell r="AI79"/>
          <cell r="AJ79"/>
          <cell r="AK79">
            <v>0.3</v>
          </cell>
          <cell r="AL79">
            <v>5049000</v>
          </cell>
          <cell r="AM79">
            <v>43160</v>
          </cell>
          <cell r="AN79" t="str">
            <v>Yes</v>
          </cell>
          <cell r="AO79">
            <v>0.7</v>
          </cell>
          <cell r="AP79">
            <v>11781000</v>
          </cell>
          <cell r="AQ79">
            <v>43252</v>
          </cell>
          <cell r="AR79">
            <v>43280</v>
          </cell>
          <cell r="AS79"/>
          <cell r="AT79">
            <v>0</v>
          </cell>
          <cell r="AV79"/>
          <cell r="AY79"/>
          <cell r="AZ79" t="str">
            <v>Y</v>
          </cell>
          <cell r="BA79" t="str">
            <v>Yes</v>
          </cell>
        </row>
        <row r="80">
          <cell r="B80">
            <v>13</v>
          </cell>
          <cell r="C80" t="str">
            <v>C49SZX20180022SX</v>
          </cell>
          <cell r="D80" t="str">
            <v>丰硕</v>
          </cell>
          <cell r="E80" t="str">
            <v>YSM20-2</v>
          </cell>
          <cell r="F80" t="str">
            <v>NA</v>
          </cell>
          <cell r="G80" t="e">
            <v>#REF!</v>
          </cell>
          <cell r="H80" t="e">
            <v>#REF!</v>
          </cell>
          <cell r="I80" t="str">
            <v>L-&gt;R</v>
          </cell>
          <cell r="J80" t="str">
            <v>MVC</v>
          </cell>
          <cell r="K80">
            <v>1</v>
          </cell>
          <cell r="L80" t="str">
            <v>取消</v>
          </cell>
          <cell r="M80" t="e">
            <v>#N/A</v>
          </cell>
          <cell r="N80"/>
          <cell r="O80"/>
          <cell r="P80"/>
          <cell r="Q80"/>
          <cell r="R80" t="str">
            <v>Yes</v>
          </cell>
          <cell r="S80" t="str">
            <v>C49</v>
          </cell>
          <cell r="T80" t="str">
            <v>SOUTH</v>
          </cell>
          <cell r="U80" t="str">
            <v>恩平</v>
          </cell>
          <cell r="V80" t="str">
            <v>SZ 深圳</v>
          </cell>
          <cell r="W80" t="str">
            <v>SX</v>
          </cell>
          <cell r="X80" t="str">
            <v>JPY</v>
          </cell>
          <cell r="Y80">
            <v>16830000</v>
          </cell>
          <cell r="Z80">
            <v>1</v>
          </cell>
          <cell r="AA80">
            <v>16830000</v>
          </cell>
          <cell r="AB80">
            <v>7.0699999999999999E-2</v>
          </cell>
          <cell r="AC80">
            <v>1189881</v>
          </cell>
          <cell r="AD80">
            <v>142785.72</v>
          </cell>
          <cell r="AE80">
            <v>0.12</v>
          </cell>
          <cell r="AF80">
            <v>43123</v>
          </cell>
          <cell r="AG80" t="str">
            <v>DAP</v>
          </cell>
          <cell r="AH80"/>
          <cell r="AI80"/>
          <cell r="AJ80"/>
          <cell r="AK80">
            <v>0.3</v>
          </cell>
          <cell r="AL80">
            <v>5049000</v>
          </cell>
          <cell r="AM80"/>
          <cell r="AN80" t="str">
            <v>No</v>
          </cell>
          <cell r="AO80">
            <v>0.7</v>
          </cell>
          <cell r="AP80">
            <v>11781000</v>
          </cell>
          <cell r="AQ80"/>
          <cell r="AR80"/>
          <cell r="AS80"/>
          <cell r="AT80">
            <v>0</v>
          </cell>
          <cell r="AV80"/>
          <cell r="AX80" t="str">
            <v>Cancel</v>
          </cell>
          <cell r="AY80"/>
          <cell r="AZ80"/>
          <cell r="BA80" t="str">
            <v>Cancel</v>
          </cell>
          <cell r="BB80" t="str">
            <v>2018-10-23通知</v>
          </cell>
        </row>
        <row r="81">
          <cell r="B81">
            <v>14</v>
          </cell>
          <cell r="C81" t="str">
            <v>C49SZX20180022SX</v>
          </cell>
          <cell r="D81" t="str">
            <v>丰硕</v>
          </cell>
          <cell r="E81" t="str">
            <v>YSM20-2</v>
          </cell>
          <cell r="F81" t="str">
            <v>NA</v>
          </cell>
          <cell r="G81" t="e">
            <v>#REF!</v>
          </cell>
          <cell r="H81" t="e">
            <v>#REF!</v>
          </cell>
          <cell r="I81" t="str">
            <v>L-&gt;R</v>
          </cell>
          <cell r="J81" t="str">
            <v>MVC</v>
          </cell>
          <cell r="K81">
            <v>1</v>
          </cell>
          <cell r="L81" t="str">
            <v>取消</v>
          </cell>
          <cell r="M81" t="e">
            <v>#N/A</v>
          </cell>
          <cell r="N81"/>
          <cell r="O81"/>
          <cell r="P81"/>
          <cell r="Q81"/>
          <cell r="R81" t="str">
            <v>Yes</v>
          </cell>
          <cell r="S81" t="str">
            <v>C49</v>
          </cell>
          <cell r="T81" t="str">
            <v>SOUTH</v>
          </cell>
          <cell r="U81" t="str">
            <v>恩平</v>
          </cell>
          <cell r="V81" t="str">
            <v>SZ 深圳</v>
          </cell>
          <cell r="W81" t="str">
            <v>SX</v>
          </cell>
          <cell r="X81" t="str">
            <v>JPY</v>
          </cell>
          <cell r="Y81">
            <v>16830000</v>
          </cell>
          <cell r="Z81">
            <v>1</v>
          </cell>
          <cell r="AA81">
            <v>16830000</v>
          </cell>
          <cell r="AB81">
            <v>7.0699999999999999E-2</v>
          </cell>
          <cell r="AC81">
            <v>1189881</v>
          </cell>
          <cell r="AD81">
            <v>142785.72</v>
          </cell>
          <cell r="AE81">
            <v>0.12</v>
          </cell>
          <cell r="AF81">
            <v>43123</v>
          </cell>
          <cell r="AG81" t="str">
            <v>DAP</v>
          </cell>
          <cell r="AH81"/>
          <cell r="AI81"/>
          <cell r="AJ81"/>
          <cell r="AK81">
            <v>0.3</v>
          </cell>
          <cell r="AL81">
            <v>5049000</v>
          </cell>
          <cell r="AM81"/>
          <cell r="AN81" t="str">
            <v>No</v>
          </cell>
          <cell r="AO81">
            <v>0.7</v>
          </cell>
          <cell r="AP81">
            <v>11781000</v>
          </cell>
          <cell r="AQ81"/>
          <cell r="AR81"/>
          <cell r="AS81"/>
          <cell r="AT81">
            <v>0</v>
          </cell>
          <cell r="AV81"/>
          <cell r="AX81" t="str">
            <v>Cancel</v>
          </cell>
          <cell r="AY81"/>
          <cell r="AZ81"/>
          <cell r="BA81" t="str">
            <v>Cancel</v>
          </cell>
          <cell r="BB81" t="str">
            <v>2018-10-23通知</v>
          </cell>
        </row>
        <row r="82">
          <cell r="B82"/>
          <cell r="C82" t="str">
            <v>C49SZX20180023RW</v>
          </cell>
          <cell r="D82" t="str">
            <v>鸿通宇</v>
          </cell>
          <cell r="E82" t="str">
            <v>YS24</v>
          </cell>
          <cell r="F82" t="str">
            <v>NA</v>
          </cell>
          <cell r="G82" t="e">
            <v>#REF!</v>
          </cell>
          <cell r="H82" t="e">
            <v>#REF!</v>
          </cell>
          <cell r="I82"/>
          <cell r="J82"/>
          <cell r="K82">
            <v>2</v>
          </cell>
          <cell r="L82" t="str">
            <v>已经送货</v>
          </cell>
          <cell r="M82" t="str">
            <v>2018/9</v>
          </cell>
          <cell r="N82"/>
          <cell r="O82">
            <v>11116209</v>
          </cell>
          <cell r="P82">
            <v>21654400</v>
          </cell>
          <cell r="Q82"/>
          <cell r="R82" t="str">
            <v>No</v>
          </cell>
          <cell r="S82" t="str">
            <v>C49</v>
          </cell>
          <cell r="T82" t="str">
            <v>SOUTH</v>
          </cell>
          <cell r="U82" t="str">
            <v>深圳</v>
          </cell>
          <cell r="V82" t="str">
            <v>SZ 深圳</v>
          </cell>
          <cell r="W82" t="str">
            <v>RW</v>
          </cell>
          <cell r="X82" t="str">
            <v>JPY</v>
          </cell>
          <cell r="Y82">
            <v>10827200</v>
          </cell>
          <cell r="Z82">
            <v>1</v>
          </cell>
          <cell r="AA82">
            <v>21654400</v>
          </cell>
          <cell r="AB82">
            <v>7.0699999999999999E-2</v>
          </cell>
          <cell r="AC82">
            <v>1530966.08</v>
          </cell>
          <cell r="AD82">
            <v>183715.9296</v>
          </cell>
          <cell r="AE82">
            <v>0.12</v>
          </cell>
          <cell r="AF82">
            <v>43129</v>
          </cell>
          <cell r="AG82" t="str">
            <v>DAP</v>
          </cell>
          <cell r="AH82"/>
          <cell r="AI82" t="str">
            <v>CNY138,015</v>
          </cell>
          <cell r="AJ82" t="str">
            <v>FEB</v>
          </cell>
          <cell r="AK82">
            <v>1</v>
          </cell>
          <cell r="AL82">
            <v>21654400</v>
          </cell>
          <cell r="AM82">
            <v>43344</v>
          </cell>
          <cell r="AN82" t="str">
            <v>Yes</v>
          </cell>
          <cell r="AO82" t="str">
            <v>complete</v>
          </cell>
          <cell r="AP82"/>
          <cell r="AQ82"/>
          <cell r="AR82"/>
          <cell r="AS82"/>
          <cell r="AT82">
            <v>0</v>
          </cell>
          <cell r="AU82"/>
          <cell r="AV82"/>
          <cell r="AW82"/>
          <cell r="AX82" t="str">
            <v>Yes</v>
          </cell>
          <cell r="AY82"/>
          <cell r="AZ82"/>
          <cell r="BA82" t="str">
            <v>Yes</v>
          </cell>
          <cell r="BB82"/>
        </row>
        <row r="83">
          <cell r="B83"/>
          <cell r="C83" t="str">
            <v>C49SZX20180023RW</v>
          </cell>
          <cell r="D83" t="str">
            <v>鸿通宇</v>
          </cell>
          <cell r="E83" t="str">
            <v>YS24</v>
          </cell>
          <cell r="F83" t="str">
            <v>NA</v>
          </cell>
          <cell r="G83" t="e">
            <v>#REF!</v>
          </cell>
          <cell r="H83" t="e">
            <v>#REF!</v>
          </cell>
          <cell r="I83"/>
          <cell r="J83"/>
          <cell r="K83">
            <v>1</v>
          </cell>
          <cell r="L83" t="str">
            <v>已经送货</v>
          </cell>
          <cell r="M83" t="str">
            <v>2018/9</v>
          </cell>
          <cell r="N83"/>
          <cell r="O83">
            <v>11116209</v>
          </cell>
          <cell r="P83">
            <v>10827200</v>
          </cell>
          <cell r="Q83"/>
          <cell r="R83" t="str">
            <v>No</v>
          </cell>
          <cell r="S83" t="str">
            <v>C49</v>
          </cell>
          <cell r="T83" t="str">
            <v>SOUTH</v>
          </cell>
          <cell r="U83" t="str">
            <v>深圳</v>
          </cell>
          <cell r="V83" t="str">
            <v>SZ 深圳</v>
          </cell>
          <cell r="W83" t="str">
            <v>RW</v>
          </cell>
          <cell r="X83" t="str">
            <v>JPY</v>
          </cell>
          <cell r="Y83">
            <v>10827200</v>
          </cell>
          <cell r="Z83">
            <v>1</v>
          </cell>
          <cell r="AA83">
            <v>10827200</v>
          </cell>
          <cell r="AB83">
            <v>7.0699999999999999E-2</v>
          </cell>
          <cell r="AC83">
            <v>765483.04</v>
          </cell>
          <cell r="AD83">
            <v>91857.964800000002</v>
          </cell>
          <cell r="AE83">
            <v>0.12</v>
          </cell>
          <cell r="AF83">
            <v>43129</v>
          </cell>
          <cell r="AG83" t="str">
            <v>DAP</v>
          </cell>
          <cell r="AH83"/>
          <cell r="AI83" t="str">
            <v>CNY138,015</v>
          </cell>
          <cell r="AJ83" t="str">
            <v>FEB</v>
          </cell>
          <cell r="AK83">
            <v>1</v>
          </cell>
          <cell r="AL83">
            <v>10827200</v>
          </cell>
          <cell r="AM83">
            <v>43344</v>
          </cell>
          <cell r="AN83" t="str">
            <v>Yes</v>
          </cell>
          <cell r="AO83" t="str">
            <v>complete</v>
          </cell>
          <cell r="AP83"/>
          <cell r="AQ83"/>
          <cell r="AR83"/>
          <cell r="AS83"/>
          <cell r="AT83">
            <v>0</v>
          </cell>
          <cell r="AU83"/>
          <cell r="AV83"/>
          <cell r="AW83"/>
          <cell r="AX83" t="str">
            <v>Yes</v>
          </cell>
          <cell r="AY83"/>
          <cell r="AZ83"/>
          <cell r="BA83" t="str">
            <v>Yes</v>
          </cell>
          <cell r="BB83"/>
        </row>
        <row r="84">
          <cell r="B84"/>
          <cell r="C84" t="str">
            <v>C49SZX20180028SX</v>
          </cell>
          <cell r="D84" t="str">
            <v>百益晟</v>
          </cell>
          <cell r="E84" t="str">
            <v>YS12F</v>
          </cell>
          <cell r="F84" t="str">
            <v>NA</v>
          </cell>
          <cell r="G84" t="e">
            <v>#REF!</v>
          </cell>
          <cell r="H84" t="e">
            <v>#REF!</v>
          </cell>
          <cell r="K84">
            <v>1</v>
          </cell>
          <cell r="L84" t="str">
            <v>已经送货</v>
          </cell>
          <cell r="M84" t="str">
            <v>2018/4</v>
          </cell>
          <cell r="O84">
            <v>11116088</v>
          </cell>
          <cell r="P84">
            <v>6936000</v>
          </cell>
          <cell r="Q84">
            <v>43191</v>
          </cell>
          <cell r="R84" t="str">
            <v>No</v>
          </cell>
          <cell r="S84" t="str">
            <v>C49</v>
          </cell>
          <cell r="T84" t="str">
            <v>SOUTH</v>
          </cell>
          <cell r="U84" t="str">
            <v>深圳</v>
          </cell>
          <cell r="V84" t="str">
            <v>SZ 深圳</v>
          </cell>
          <cell r="W84" t="str">
            <v>SX</v>
          </cell>
          <cell r="X84" t="str">
            <v>JPY</v>
          </cell>
          <cell r="Y84">
            <v>6936000</v>
          </cell>
          <cell r="Z84">
            <v>1</v>
          </cell>
          <cell r="AA84">
            <v>6936000</v>
          </cell>
          <cell r="AB84">
            <v>7.2900000000000006E-2</v>
          </cell>
          <cell r="AC84">
            <v>505634.4</v>
          </cell>
          <cell r="AD84">
            <v>60676.127999999997</v>
          </cell>
          <cell r="AE84">
            <v>0.12</v>
          </cell>
          <cell r="AF84">
            <v>43132</v>
          </cell>
          <cell r="AG84" t="str">
            <v>DAP</v>
          </cell>
          <cell r="AH84" t="str">
            <v>电梯四楼</v>
          </cell>
          <cell r="AI84"/>
          <cell r="AJ84"/>
          <cell r="AK84" t="str">
            <v>agree</v>
          </cell>
          <cell r="AL84" t="e">
            <v>#VALUE!</v>
          </cell>
          <cell r="AM84">
            <v>43160</v>
          </cell>
          <cell r="AN84" t="str">
            <v>Yes</v>
          </cell>
          <cell r="AO84" t="str">
            <v>agree</v>
          </cell>
          <cell r="AP84" t="e">
            <v>#VALUE!</v>
          </cell>
          <cell r="AQ84">
            <v>43191</v>
          </cell>
          <cell r="AR84">
            <v>43194</v>
          </cell>
          <cell r="AS84" t="str">
            <v>agree</v>
          </cell>
          <cell r="AT84" t="e">
            <v>#VALUE!</v>
          </cell>
          <cell r="AU84" t="str">
            <v>APR</v>
          </cell>
          <cell r="AV84" t="str">
            <v>20180420</v>
          </cell>
          <cell r="AY84"/>
          <cell r="BA84" t="str">
            <v>Yes</v>
          </cell>
        </row>
        <row r="85">
          <cell r="B85"/>
          <cell r="C85" t="str">
            <v>C49SZX20180029SS</v>
          </cell>
          <cell r="D85" t="str">
            <v>思迈</v>
          </cell>
          <cell r="E85" t="str">
            <v>YS24</v>
          </cell>
          <cell r="F85" t="str">
            <v>NA</v>
          </cell>
          <cell r="G85" t="e">
            <v>#REF!</v>
          </cell>
          <cell r="H85" t="e">
            <v>#REF!</v>
          </cell>
          <cell r="K85">
            <v>1</v>
          </cell>
          <cell r="L85" t="str">
            <v>已经送货</v>
          </cell>
          <cell r="M85" t="str">
            <v>SEP 18</v>
          </cell>
          <cell r="N85"/>
          <cell r="O85">
            <v>11116204</v>
          </cell>
          <cell r="P85">
            <v>9800000</v>
          </cell>
          <cell r="Q85"/>
          <cell r="R85" t="str">
            <v>Yes</v>
          </cell>
          <cell r="S85" t="str">
            <v>C49</v>
          </cell>
          <cell r="T85" t="str">
            <v>SOUTH</v>
          </cell>
          <cell r="U85" t="str">
            <v>深圳</v>
          </cell>
          <cell r="V85" t="str">
            <v>SZ 深圳</v>
          </cell>
          <cell r="W85" t="str">
            <v>SS</v>
          </cell>
          <cell r="X85" t="str">
            <v>JPY</v>
          </cell>
          <cell r="Y85">
            <v>9800000</v>
          </cell>
          <cell r="Z85">
            <v>1</v>
          </cell>
          <cell r="AA85">
            <v>9800000</v>
          </cell>
          <cell r="AB85">
            <v>7.0699999999999999E-2</v>
          </cell>
          <cell r="AC85">
            <v>692860</v>
          </cell>
          <cell r="AD85">
            <v>83143.199999999997</v>
          </cell>
          <cell r="AE85">
            <v>0.12</v>
          </cell>
          <cell r="AF85">
            <v>43125</v>
          </cell>
          <cell r="AG85" t="str">
            <v>DAP</v>
          </cell>
          <cell r="AH85" t="str">
            <v>电梯</v>
          </cell>
          <cell r="AI85"/>
          <cell r="AJ85"/>
          <cell r="AK85">
            <v>0.1</v>
          </cell>
          <cell r="AL85">
            <v>980000</v>
          </cell>
          <cell r="AM85">
            <v>43132</v>
          </cell>
          <cell r="AN85" t="str">
            <v>Yes</v>
          </cell>
          <cell r="AO85">
            <v>0.9</v>
          </cell>
          <cell r="AP85">
            <v>8820000</v>
          </cell>
          <cell r="AQ85">
            <v>43344</v>
          </cell>
          <cell r="AR85">
            <v>43361</v>
          </cell>
          <cell r="AS85" t="str">
            <v>complete</v>
          </cell>
          <cell r="AT85" t="e">
            <v>#VALUE!</v>
          </cell>
          <cell r="AV85"/>
          <cell r="AX85" t="str">
            <v>Yes</v>
          </cell>
          <cell r="AY85"/>
          <cell r="AZ85" t="str">
            <v>Y</v>
          </cell>
          <cell r="BA85" t="str">
            <v>Yes</v>
          </cell>
        </row>
        <row r="86">
          <cell r="B86"/>
          <cell r="C86" t="str">
            <v>C49SZX20180030SS</v>
          </cell>
          <cell r="D86" t="str">
            <v>维益</v>
          </cell>
          <cell r="E86" t="str">
            <v>YS24</v>
          </cell>
          <cell r="F86" t="str">
            <v>NA</v>
          </cell>
          <cell r="G86" t="e">
            <v>#REF!</v>
          </cell>
          <cell r="H86" t="e">
            <v>#REF!</v>
          </cell>
          <cell r="I86"/>
          <cell r="J86"/>
          <cell r="K86">
            <v>1</v>
          </cell>
          <cell r="L86" t="str">
            <v>已经送货</v>
          </cell>
          <cell r="M86" t="str">
            <v>SEP 18</v>
          </cell>
          <cell r="N86"/>
          <cell r="O86">
            <v>11116214</v>
          </cell>
          <cell r="P86">
            <v>10140000</v>
          </cell>
          <cell r="Q86"/>
          <cell r="R86" t="str">
            <v>Yes</v>
          </cell>
          <cell r="S86" t="str">
            <v>C49</v>
          </cell>
          <cell r="T86" t="str">
            <v>SOUTH</v>
          </cell>
          <cell r="U86" t="str">
            <v>東莞</v>
          </cell>
          <cell r="V86" t="str">
            <v>SZ 深圳</v>
          </cell>
          <cell r="W86" t="str">
            <v>SS</v>
          </cell>
          <cell r="X86" t="str">
            <v>JPY</v>
          </cell>
          <cell r="Y86">
            <v>10140000</v>
          </cell>
          <cell r="Z86">
            <v>1</v>
          </cell>
          <cell r="AA86">
            <v>10140000</v>
          </cell>
          <cell r="AB86">
            <v>7.0699999999999999E-2</v>
          </cell>
          <cell r="AC86">
            <v>716898</v>
          </cell>
          <cell r="AD86">
            <v>86027.76</v>
          </cell>
          <cell r="AE86">
            <v>0.12</v>
          </cell>
          <cell r="AF86">
            <v>43127</v>
          </cell>
          <cell r="AG86" t="str">
            <v>CIF</v>
          </cell>
          <cell r="AH86" t="str">
            <v>吊装二楼</v>
          </cell>
          <cell r="AI86" t="str">
            <v>CNY30,000</v>
          </cell>
          <cell r="AJ86">
            <v>43133</v>
          </cell>
          <cell r="AK86">
            <v>0.1</v>
          </cell>
          <cell r="AL86">
            <v>1014000</v>
          </cell>
          <cell r="AM86">
            <v>43191</v>
          </cell>
          <cell r="AN86" t="str">
            <v>Yes</v>
          </cell>
          <cell r="AO86">
            <v>0.9</v>
          </cell>
          <cell r="AP86">
            <v>9126000</v>
          </cell>
          <cell r="AQ86">
            <v>43344</v>
          </cell>
          <cell r="AR86">
            <v>43361</v>
          </cell>
          <cell r="AS86" t="str">
            <v>complete</v>
          </cell>
          <cell r="AT86" t="e">
            <v>#VALUE!</v>
          </cell>
          <cell r="AU86"/>
          <cell r="AV86"/>
          <cell r="AX86" t="str">
            <v>Yes</v>
          </cell>
          <cell r="AY86"/>
          <cell r="AZ86" t="str">
            <v>Y</v>
          </cell>
          <cell r="BA86" t="str">
            <v>Yes</v>
          </cell>
          <cell r="BB86"/>
        </row>
        <row r="87">
          <cell r="B87">
            <v>15</v>
          </cell>
          <cell r="C87" t="str">
            <v>C49SZX20180033GL</v>
          </cell>
          <cell r="D87" t="str">
            <v>鼎鸿</v>
          </cell>
          <cell r="E87" t="str">
            <v>YS24</v>
          </cell>
          <cell r="F87" t="str">
            <v>NA</v>
          </cell>
          <cell r="G87" t="e">
            <v>#REF!</v>
          </cell>
          <cell r="H87" t="e">
            <v>#REF!</v>
          </cell>
          <cell r="I87" t="str">
            <v>L-&gt;R</v>
          </cell>
          <cell r="J87" t="str">
            <v>No</v>
          </cell>
          <cell r="K87">
            <v>1</v>
          </cell>
          <cell r="L87">
            <v>109421</v>
          </cell>
          <cell r="M87" t="str">
            <v>MAR 19</v>
          </cell>
          <cell r="N87"/>
          <cell r="O87">
            <v>11116256</v>
          </cell>
          <cell r="P87">
            <v>10000000</v>
          </cell>
          <cell r="Q87">
            <v>43525</v>
          </cell>
          <cell r="R87" t="str">
            <v>No</v>
          </cell>
          <cell r="S87" t="str">
            <v>C49</v>
          </cell>
          <cell r="T87" t="str">
            <v>SOUTH</v>
          </cell>
          <cell r="U87" t="str">
            <v>深圳</v>
          </cell>
          <cell r="V87" t="str">
            <v>SZ 深圳</v>
          </cell>
          <cell r="W87" t="str">
            <v>GL</v>
          </cell>
          <cell r="X87" t="str">
            <v>JPY</v>
          </cell>
          <cell r="Y87">
            <v>10000000</v>
          </cell>
          <cell r="Z87">
            <v>1</v>
          </cell>
          <cell r="AA87">
            <v>10000000</v>
          </cell>
          <cell r="AB87">
            <v>7.2900000000000006E-2</v>
          </cell>
          <cell r="AC87">
            <v>729000.00000000012</v>
          </cell>
          <cell r="AD87">
            <v>87480.000000000015</v>
          </cell>
          <cell r="AE87">
            <v>0.12</v>
          </cell>
          <cell r="AF87">
            <v>43133</v>
          </cell>
          <cell r="AG87" t="str">
            <v>CIF</v>
          </cell>
          <cell r="AH87"/>
          <cell r="AI87" t="str">
            <v>Na</v>
          </cell>
          <cell r="AJ87" t="str">
            <v>Na</v>
          </cell>
          <cell r="AK87" t="str">
            <v>agree</v>
          </cell>
          <cell r="AL87">
            <v>8999937</v>
          </cell>
          <cell r="AN87" t="str">
            <v>Yes</v>
          </cell>
          <cell r="AO87"/>
          <cell r="AP87"/>
          <cell r="AR87"/>
          <cell r="AS87"/>
          <cell r="AT87">
            <v>0</v>
          </cell>
          <cell r="AV87"/>
          <cell r="AY87"/>
          <cell r="BA87" t="str">
            <v>Yes</v>
          </cell>
        </row>
        <row r="88">
          <cell r="B88"/>
          <cell r="C88" t="str">
            <v>C49SZX20180033GL</v>
          </cell>
          <cell r="D88" t="str">
            <v>鼎鸿</v>
          </cell>
          <cell r="E88" t="str">
            <v>YS24</v>
          </cell>
          <cell r="F88" t="str">
            <v>NA</v>
          </cell>
          <cell r="G88" t="e">
            <v>#REF!</v>
          </cell>
          <cell r="H88" t="e">
            <v>#REF!</v>
          </cell>
          <cell r="I88"/>
          <cell r="J88"/>
          <cell r="K88">
            <v>1</v>
          </cell>
          <cell r="L88" t="str">
            <v>已经送货</v>
          </cell>
          <cell r="M88" t="str">
            <v>SEP 18</v>
          </cell>
          <cell r="N88"/>
          <cell r="O88">
            <v>11116216</v>
          </cell>
          <cell r="P88">
            <v>10000000</v>
          </cell>
          <cell r="Q88"/>
          <cell r="R88" t="str">
            <v>No</v>
          </cell>
          <cell r="S88" t="str">
            <v>C49</v>
          </cell>
          <cell r="T88" t="str">
            <v>SOUTH</v>
          </cell>
          <cell r="U88" t="str">
            <v>深圳</v>
          </cell>
          <cell r="V88" t="str">
            <v>SZ 深圳</v>
          </cell>
          <cell r="W88" t="str">
            <v>GL</v>
          </cell>
          <cell r="X88" t="str">
            <v>JPY</v>
          </cell>
          <cell r="Y88">
            <v>10000000</v>
          </cell>
          <cell r="Z88">
            <v>1</v>
          </cell>
          <cell r="AA88">
            <v>10000000</v>
          </cell>
          <cell r="AB88">
            <v>7.2900000000000006E-2</v>
          </cell>
          <cell r="AC88">
            <v>729000.00000000012</v>
          </cell>
          <cell r="AD88">
            <v>87480.000000000015</v>
          </cell>
          <cell r="AE88">
            <v>0.12</v>
          </cell>
          <cell r="AF88">
            <v>43133</v>
          </cell>
          <cell r="AG88" t="str">
            <v>CIF</v>
          </cell>
          <cell r="AH88"/>
          <cell r="AI88" t="str">
            <v>Na</v>
          </cell>
          <cell r="AJ88" t="str">
            <v>Na</v>
          </cell>
          <cell r="AK88" t="str">
            <v>agree</v>
          </cell>
          <cell r="AL88">
            <v>7918470</v>
          </cell>
          <cell r="AM88">
            <v>43344</v>
          </cell>
          <cell r="AN88" t="str">
            <v>Yes</v>
          </cell>
          <cell r="AO88" t="str">
            <v>complete</v>
          </cell>
          <cell r="AP88"/>
          <cell r="AQ88"/>
          <cell r="AR88"/>
          <cell r="AS88"/>
          <cell r="AT88">
            <v>0</v>
          </cell>
          <cell r="AU88"/>
          <cell r="AV88"/>
          <cell r="AW88"/>
          <cell r="AX88"/>
          <cell r="AY88"/>
          <cell r="AZ88"/>
          <cell r="BA88" t="str">
            <v>Yes</v>
          </cell>
          <cell r="BB88"/>
        </row>
        <row r="89">
          <cell r="B89"/>
          <cell r="C89" t="str">
            <v>C49SZX20180033GL</v>
          </cell>
          <cell r="D89" t="str">
            <v>鼎鸿</v>
          </cell>
          <cell r="E89" t="str">
            <v>YS24</v>
          </cell>
          <cell r="F89" t="str">
            <v>NA</v>
          </cell>
          <cell r="G89" t="e">
            <v>#REF!</v>
          </cell>
          <cell r="H89" t="e">
            <v>#REF!</v>
          </cell>
          <cell r="I89"/>
          <cell r="J89"/>
          <cell r="K89">
            <v>1</v>
          </cell>
          <cell r="L89" t="str">
            <v>已经送货</v>
          </cell>
          <cell r="M89" t="str">
            <v>SEP 18</v>
          </cell>
          <cell r="N89"/>
          <cell r="O89">
            <v>11116216</v>
          </cell>
          <cell r="P89">
            <v>10000000</v>
          </cell>
          <cell r="Q89"/>
          <cell r="R89" t="str">
            <v>No</v>
          </cell>
          <cell r="S89" t="str">
            <v>C49</v>
          </cell>
          <cell r="T89" t="str">
            <v>SOUTH</v>
          </cell>
          <cell r="U89" t="str">
            <v>深圳</v>
          </cell>
          <cell r="V89" t="str">
            <v>SZ 深圳</v>
          </cell>
          <cell r="W89" t="str">
            <v>GL</v>
          </cell>
          <cell r="X89" t="str">
            <v>JPY</v>
          </cell>
          <cell r="Y89">
            <v>10000000</v>
          </cell>
          <cell r="Z89">
            <v>1</v>
          </cell>
          <cell r="AA89">
            <v>10000000</v>
          </cell>
          <cell r="AB89">
            <v>7.2900000000000006E-2</v>
          </cell>
          <cell r="AC89">
            <v>729000.00000000012</v>
          </cell>
          <cell r="AD89">
            <v>87480.000000000015</v>
          </cell>
          <cell r="AE89">
            <v>0.12</v>
          </cell>
          <cell r="AF89">
            <v>43133</v>
          </cell>
          <cell r="AG89" t="str">
            <v>CIF</v>
          </cell>
          <cell r="AH89"/>
          <cell r="AI89" t="str">
            <v>Na</v>
          </cell>
          <cell r="AJ89" t="str">
            <v>Na</v>
          </cell>
          <cell r="AK89" t="str">
            <v>agree</v>
          </cell>
          <cell r="AL89">
            <v>9000000</v>
          </cell>
          <cell r="AM89">
            <v>43344</v>
          </cell>
          <cell r="AN89" t="str">
            <v>Yes</v>
          </cell>
          <cell r="AO89" t="str">
            <v>complete</v>
          </cell>
          <cell r="AP89"/>
          <cell r="AQ89"/>
          <cell r="AR89"/>
          <cell r="AS89"/>
          <cell r="AT89">
            <v>0</v>
          </cell>
          <cell r="AU89"/>
          <cell r="AV89"/>
          <cell r="AW89"/>
          <cell r="AX89" t="str">
            <v>Yes</v>
          </cell>
          <cell r="AY89"/>
          <cell r="AZ89"/>
          <cell r="BA89" t="str">
            <v>Yes</v>
          </cell>
          <cell r="BB89"/>
        </row>
        <row r="90">
          <cell r="B90"/>
          <cell r="C90" t="str">
            <v>C49SZX20180033GL</v>
          </cell>
          <cell r="D90" t="str">
            <v>鼎鸿</v>
          </cell>
          <cell r="E90" t="str">
            <v>YS24</v>
          </cell>
          <cell r="F90" t="str">
            <v>NA</v>
          </cell>
          <cell r="G90" t="e">
            <v>#REF!</v>
          </cell>
          <cell r="H90" t="e">
            <v>#REF!</v>
          </cell>
          <cell r="I90"/>
          <cell r="J90"/>
          <cell r="K90">
            <v>1</v>
          </cell>
          <cell r="L90" t="str">
            <v>已经送货</v>
          </cell>
          <cell r="M90" t="str">
            <v>2018/8</v>
          </cell>
          <cell r="N90"/>
          <cell r="O90">
            <v>11116190</v>
          </cell>
          <cell r="P90">
            <v>10000000</v>
          </cell>
          <cell r="Q90">
            <v>43313</v>
          </cell>
          <cell r="R90" t="str">
            <v>No</v>
          </cell>
          <cell r="S90" t="str">
            <v>C49</v>
          </cell>
          <cell r="T90" t="str">
            <v>SOUTH</v>
          </cell>
          <cell r="U90" t="str">
            <v>深圳</v>
          </cell>
          <cell r="V90" t="str">
            <v>SZ 深圳</v>
          </cell>
          <cell r="W90" t="str">
            <v>GL</v>
          </cell>
          <cell r="X90" t="str">
            <v>JPY</v>
          </cell>
          <cell r="Y90">
            <v>10000000</v>
          </cell>
          <cell r="Z90">
            <v>1</v>
          </cell>
          <cell r="AA90">
            <v>10000000</v>
          </cell>
          <cell r="AB90">
            <v>7.2900000000000006E-2</v>
          </cell>
          <cell r="AC90">
            <v>729000.00000000012</v>
          </cell>
          <cell r="AD90">
            <v>87480.000000000015</v>
          </cell>
          <cell r="AE90">
            <v>0.12</v>
          </cell>
          <cell r="AF90">
            <v>43133</v>
          </cell>
          <cell r="AG90" t="str">
            <v>CIF</v>
          </cell>
          <cell r="AH90"/>
          <cell r="AI90" t="str">
            <v>Na</v>
          </cell>
          <cell r="AJ90" t="str">
            <v>Na</v>
          </cell>
          <cell r="AK90" t="str">
            <v>agree</v>
          </cell>
          <cell r="AL90">
            <v>1212021</v>
          </cell>
          <cell r="AM90">
            <v>43132</v>
          </cell>
          <cell r="AN90" t="str">
            <v>Yes</v>
          </cell>
          <cell r="AO90" t="str">
            <v>agree</v>
          </cell>
          <cell r="AP90">
            <v>3869572</v>
          </cell>
          <cell r="AQ90">
            <v>43191</v>
          </cell>
          <cell r="AR90">
            <v>43202</v>
          </cell>
          <cell r="AS90" t="str">
            <v>agree</v>
          </cell>
          <cell r="AT90" t="e">
            <v>#VALUE!</v>
          </cell>
          <cell r="AU90">
            <v>43313</v>
          </cell>
          <cell r="AV90">
            <v>43336</v>
          </cell>
          <cell r="AW90" t="str">
            <v>complete</v>
          </cell>
          <cell r="AX90" t="str">
            <v>Yes</v>
          </cell>
          <cell r="AY90"/>
          <cell r="AZ90" t="str">
            <v>Y</v>
          </cell>
          <cell r="BA90" t="str">
            <v>Yes</v>
          </cell>
          <cell r="BB90"/>
        </row>
        <row r="91">
          <cell r="B91"/>
          <cell r="C91" t="str">
            <v>C49SZX20180035JL</v>
          </cell>
          <cell r="D91" t="str">
            <v>瑞福联</v>
          </cell>
          <cell r="E91" t="str">
            <v>YSM10</v>
          </cell>
          <cell r="F91" t="str">
            <v>NA</v>
          </cell>
          <cell r="G91" t="e">
            <v>#REF!</v>
          </cell>
          <cell r="H91" t="e">
            <v>#REF!</v>
          </cell>
          <cell r="I91"/>
          <cell r="J91"/>
          <cell r="K91">
            <v>2</v>
          </cell>
          <cell r="L91" t="str">
            <v>取消</v>
          </cell>
          <cell r="M91"/>
          <cell r="N91"/>
          <cell r="O91"/>
          <cell r="P91"/>
          <cell r="Q91"/>
          <cell r="R91" t="str">
            <v>Yes</v>
          </cell>
          <cell r="S91" t="str">
            <v>C49</v>
          </cell>
          <cell r="T91" t="str">
            <v>SOUTH</v>
          </cell>
          <cell r="U91" t="str">
            <v>深圳</v>
          </cell>
          <cell r="V91" t="str">
            <v>SZ 深圳</v>
          </cell>
          <cell r="W91" t="str">
            <v>JL</v>
          </cell>
          <cell r="X91" t="str">
            <v>JPY</v>
          </cell>
          <cell r="Y91">
            <v>10886000</v>
          </cell>
          <cell r="Z91">
            <v>1</v>
          </cell>
          <cell r="AA91">
            <v>21772000</v>
          </cell>
          <cell r="AB91">
            <v>7.0699999999999999E-2</v>
          </cell>
          <cell r="AC91">
            <v>1539280.4</v>
          </cell>
          <cell r="AD91">
            <v>184713.64799999999</v>
          </cell>
          <cell r="AE91">
            <v>0.12</v>
          </cell>
          <cell r="AF91">
            <v>43127</v>
          </cell>
          <cell r="AG91" t="str">
            <v>CIF</v>
          </cell>
          <cell r="AH91"/>
          <cell r="AI91"/>
          <cell r="AJ91"/>
          <cell r="AK91">
            <v>0.2</v>
          </cell>
          <cell r="AL91">
            <v>4354400</v>
          </cell>
          <cell r="AM91">
            <v>43160</v>
          </cell>
          <cell r="AN91" t="str">
            <v>Yes</v>
          </cell>
          <cell r="AO91">
            <v>0.8</v>
          </cell>
          <cell r="AP91">
            <v>17417600</v>
          </cell>
          <cell r="AQ91"/>
          <cell r="AR91"/>
          <cell r="AS91"/>
          <cell r="AT91">
            <v>0</v>
          </cell>
          <cell r="AU91"/>
          <cell r="AV91"/>
          <cell r="AW91"/>
          <cell r="AX91" t="str">
            <v>Cancel</v>
          </cell>
          <cell r="AY91"/>
          <cell r="AZ91"/>
          <cell r="BA91" t="str">
            <v>Cancel</v>
          </cell>
          <cell r="BB91"/>
        </row>
        <row r="92">
          <cell r="B92"/>
          <cell r="C92" t="str">
            <v>C49SZX20180035JL</v>
          </cell>
          <cell r="D92" t="str">
            <v>瑞福联</v>
          </cell>
          <cell r="E92" t="str">
            <v>YS12F</v>
          </cell>
          <cell r="F92" t="str">
            <v>NA</v>
          </cell>
          <cell r="G92" t="e">
            <v>#REF!</v>
          </cell>
          <cell r="H92" t="e">
            <v>#REF!</v>
          </cell>
          <cell r="I92"/>
          <cell r="J92"/>
          <cell r="K92">
            <v>2</v>
          </cell>
          <cell r="L92" t="str">
            <v>取消</v>
          </cell>
          <cell r="M92"/>
          <cell r="N92"/>
          <cell r="O92"/>
          <cell r="P92"/>
          <cell r="Q92"/>
          <cell r="R92" t="str">
            <v>-</v>
          </cell>
          <cell r="S92" t="str">
            <v>C49</v>
          </cell>
          <cell r="T92" t="str">
            <v>SOUTH</v>
          </cell>
          <cell r="U92" t="str">
            <v>深圳</v>
          </cell>
          <cell r="V92" t="str">
            <v>SZ 深圳</v>
          </cell>
          <cell r="W92" t="str">
            <v>JL</v>
          </cell>
          <cell r="X92" t="str">
            <v>JPY</v>
          </cell>
          <cell r="Y92">
            <v>8656000</v>
          </cell>
          <cell r="Z92">
            <v>1</v>
          </cell>
          <cell r="AA92">
            <v>17312000</v>
          </cell>
          <cell r="AB92">
            <v>7.0699999999999999E-2</v>
          </cell>
          <cell r="AC92">
            <v>1223958.3999999999</v>
          </cell>
          <cell r="AD92">
            <v>146875.00799999997</v>
          </cell>
          <cell r="AE92">
            <v>0.12</v>
          </cell>
          <cell r="AF92">
            <v>43101</v>
          </cell>
          <cell r="AG92" t="str">
            <v>CIF</v>
          </cell>
          <cell r="AH92"/>
          <cell r="AI92"/>
          <cell r="AJ92"/>
          <cell r="AK92">
            <v>0.2</v>
          </cell>
          <cell r="AL92">
            <v>3462400</v>
          </cell>
          <cell r="AM92">
            <v>43160</v>
          </cell>
          <cell r="AN92" t="str">
            <v>Yes</v>
          </cell>
          <cell r="AO92">
            <v>0.8</v>
          </cell>
          <cell r="AP92">
            <v>13849600</v>
          </cell>
          <cell r="AQ92"/>
          <cell r="AR92"/>
          <cell r="AS92"/>
          <cell r="AT92">
            <v>0</v>
          </cell>
          <cell r="AU92"/>
          <cell r="AV92"/>
          <cell r="AW92"/>
          <cell r="AX92" t="str">
            <v>Cancel</v>
          </cell>
          <cell r="AY92"/>
          <cell r="AZ92"/>
          <cell r="BA92" t="str">
            <v>Cancel</v>
          </cell>
          <cell r="BB92"/>
        </row>
        <row r="93">
          <cell r="B93"/>
          <cell r="C93" t="str">
            <v>C49SZX20180035JL</v>
          </cell>
          <cell r="D93" t="str">
            <v>瑞福联</v>
          </cell>
          <cell r="E93" t="str">
            <v>YS12F</v>
          </cell>
          <cell r="F93" t="str">
            <v>NA</v>
          </cell>
          <cell r="G93" t="e">
            <v>#REF!</v>
          </cell>
          <cell r="H93" t="e">
            <v>#REF!</v>
          </cell>
          <cell r="I93"/>
          <cell r="J93"/>
          <cell r="K93">
            <v>1</v>
          </cell>
          <cell r="L93" t="str">
            <v>取消</v>
          </cell>
          <cell r="M93"/>
          <cell r="N93"/>
          <cell r="O93"/>
          <cell r="P93"/>
          <cell r="Q93"/>
          <cell r="R93" t="str">
            <v>-</v>
          </cell>
          <cell r="S93" t="str">
            <v>C49</v>
          </cell>
          <cell r="T93" t="str">
            <v>SOUTH</v>
          </cell>
          <cell r="U93" t="str">
            <v>深圳</v>
          </cell>
          <cell r="V93" t="str">
            <v>SZ 深圳</v>
          </cell>
          <cell r="W93" t="str">
            <v>JL</v>
          </cell>
          <cell r="X93" t="str">
            <v>JPY</v>
          </cell>
          <cell r="Y93">
            <v>8656000</v>
          </cell>
          <cell r="Z93">
            <v>1</v>
          </cell>
          <cell r="AA93">
            <v>25968000</v>
          </cell>
          <cell r="AB93">
            <v>7.0699999999999999E-2</v>
          </cell>
          <cell r="AC93">
            <v>1835937.6</v>
          </cell>
          <cell r="AD93">
            <v>220312.51</v>
          </cell>
          <cell r="AE93">
            <v>0.12</v>
          </cell>
          <cell r="AF93">
            <v>43101</v>
          </cell>
          <cell r="AG93" t="str">
            <v>CIF</v>
          </cell>
          <cell r="AH93"/>
          <cell r="AI93"/>
          <cell r="AJ93"/>
          <cell r="AK93">
            <v>0.2</v>
          </cell>
          <cell r="AL93">
            <v>5193600</v>
          </cell>
          <cell r="AM93">
            <v>43160</v>
          </cell>
          <cell r="AN93" t="str">
            <v>Yes</v>
          </cell>
          <cell r="AO93">
            <v>0.8</v>
          </cell>
          <cell r="AP93">
            <v>20774400</v>
          </cell>
          <cell r="AQ93"/>
          <cell r="AR93"/>
          <cell r="AS93"/>
          <cell r="AT93">
            <v>0</v>
          </cell>
          <cell r="AU93"/>
          <cell r="AV93"/>
          <cell r="AW93"/>
          <cell r="AX93" t="str">
            <v>Cancel</v>
          </cell>
          <cell r="AY93"/>
          <cell r="AZ93"/>
          <cell r="BA93" t="str">
            <v>Cancel</v>
          </cell>
          <cell r="BB93"/>
        </row>
        <row r="94">
          <cell r="B94">
            <v>16</v>
          </cell>
          <cell r="C94" t="str">
            <v>C49SZX20180036JL</v>
          </cell>
          <cell r="D94" t="str">
            <v>瑞福联</v>
          </cell>
          <cell r="E94" t="str">
            <v>YS24</v>
          </cell>
          <cell r="F94" t="str">
            <v>NA</v>
          </cell>
          <cell r="G94" t="e">
            <v>#REF!</v>
          </cell>
          <cell r="H94" t="e">
            <v>#REF!</v>
          </cell>
          <cell r="I94" t="str">
            <v>L-&gt;R</v>
          </cell>
          <cell r="J94" t="str">
            <v>No</v>
          </cell>
          <cell r="K94">
            <v>1</v>
          </cell>
          <cell r="L94" t="str">
            <v>取消</v>
          </cell>
          <cell r="M94" t="e">
            <v>#N/A</v>
          </cell>
          <cell r="N94"/>
          <cell r="O94"/>
          <cell r="P94"/>
          <cell r="Q94"/>
          <cell r="R94" t="str">
            <v>-</v>
          </cell>
          <cell r="S94" t="str">
            <v>C49</v>
          </cell>
          <cell r="T94" t="str">
            <v>SOUTH</v>
          </cell>
          <cell r="U94" t="str">
            <v>深圳</v>
          </cell>
          <cell r="V94" t="str">
            <v>SZ 深圳</v>
          </cell>
          <cell r="W94" t="str">
            <v>JL</v>
          </cell>
          <cell r="X94" t="str">
            <v>JPY</v>
          </cell>
          <cell r="Y94">
            <v>10220000</v>
          </cell>
          <cell r="Z94">
            <v>1</v>
          </cell>
          <cell r="AA94">
            <v>10220000</v>
          </cell>
          <cell r="AB94">
            <v>7.0699999999999999E-2</v>
          </cell>
          <cell r="AC94">
            <v>722554</v>
          </cell>
          <cell r="AD94">
            <v>86706.48</v>
          </cell>
          <cell r="AE94">
            <v>0.12</v>
          </cell>
          <cell r="AF94">
            <v>43127</v>
          </cell>
          <cell r="AG94" t="str">
            <v>CIF</v>
          </cell>
          <cell r="AH94"/>
          <cell r="AI94"/>
          <cell r="AJ94"/>
          <cell r="AK94" t="str">
            <v>agree</v>
          </cell>
          <cell r="AL94">
            <v>828009</v>
          </cell>
          <cell r="AM94">
            <v>43160</v>
          </cell>
          <cell r="AN94" t="str">
            <v>Yes</v>
          </cell>
          <cell r="AO94" t="str">
            <v>agree</v>
          </cell>
          <cell r="AP94">
            <v>60491991</v>
          </cell>
          <cell r="AQ94"/>
          <cell r="AR94"/>
          <cell r="AS94"/>
          <cell r="AT94">
            <v>0</v>
          </cell>
          <cell r="AU94"/>
          <cell r="AV94"/>
          <cell r="AW94"/>
          <cell r="AX94" t="str">
            <v>Cancel</v>
          </cell>
          <cell r="AY94"/>
          <cell r="AZ94"/>
          <cell r="BA94" t="str">
            <v>Cancel</v>
          </cell>
          <cell r="BB94"/>
        </row>
        <row r="95">
          <cell r="B95">
            <v>17</v>
          </cell>
          <cell r="C95" t="str">
            <v>C49SZX20180036JL</v>
          </cell>
          <cell r="D95" t="str">
            <v>瑞福联</v>
          </cell>
          <cell r="E95" t="str">
            <v>YS24</v>
          </cell>
          <cell r="F95" t="str">
            <v>NA</v>
          </cell>
          <cell r="G95" t="e">
            <v>#REF!</v>
          </cell>
          <cell r="H95" t="e">
            <v>#REF!</v>
          </cell>
          <cell r="I95" t="str">
            <v>L-&gt;R</v>
          </cell>
          <cell r="J95" t="str">
            <v>No</v>
          </cell>
          <cell r="K95">
            <v>1</v>
          </cell>
          <cell r="L95" t="str">
            <v>取消</v>
          </cell>
          <cell r="M95" t="e">
            <v>#N/A</v>
          </cell>
          <cell r="N95"/>
          <cell r="O95"/>
          <cell r="P95"/>
          <cell r="Q95"/>
          <cell r="R95" t="str">
            <v>-</v>
          </cell>
          <cell r="S95" t="str">
            <v>C49</v>
          </cell>
          <cell r="T95" t="str">
            <v>SOUTH</v>
          </cell>
          <cell r="U95" t="str">
            <v>深圳</v>
          </cell>
          <cell r="V95" t="str">
            <v>SZ 深圳</v>
          </cell>
          <cell r="W95" t="str">
            <v>JL</v>
          </cell>
          <cell r="X95" t="str">
            <v>JPY</v>
          </cell>
          <cell r="Y95">
            <v>10220000</v>
          </cell>
          <cell r="Z95">
            <v>1</v>
          </cell>
          <cell r="AA95">
            <v>10220000</v>
          </cell>
          <cell r="AB95">
            <v>7.0699999999999999E-2</v>
          </cell>
          <cell r="AC95">
            <v>722554</v>
          </cell>
          <cell r="AD95">
            <v>86706.48</v>
          </cell>
          <cell r="AE95">
            <v>0.12</v>
          </cell>
          <cell r="AF95">
            <v>43127</v>
          </cell>
          <cell r="AG95" t="str">
            <v>CIF</v>
          </cell>
          <cell r="AH95"/>
          <cell r="AI95"/>
          <cell r="AJ95"/>
          <cell r="AK95" t="str">
            <v>agree</v>
          </cell>
          <cell r="AL95">
            <v>828009</v>
          </cell>
          <cell r="AM95">
            <v>43160</v>
          </cell>
          <cell r="AN95" t="str">
            <v>Yes</v>
          </cell>
          <cell r="AO95" t="str">
            <v>agree</v>
          </cell>
          <cell r="AP95">
            <v>60491991</v>
          </cell>
          <cell r="AQ95"/>
          <cell r="AR95"/>
          <cell r="AS95"/>
          <cell r="AT95">
            <v>0</v>
          </cell>
          <cell r="AU95"/>
          <cell r="AV95"/>
          <cell r="AW95"/>
          <cell r="AX95" t="str">
            <v>Cancel</v>
          </cell>
          <cell r="AY95"/>
          <cell r="AZ95"/>
          <cell r="BA95" t="str">
            <v>Cancel</v>
          </cell>
          <cell r="BB95"/>
        </row>
        <row r="96">
          <cell r="B96">
            <v>18</v>
          </cell>
          <cell r="C96" t="str">
            <v>C49SZX20180036JL</v>
          </cell>
          <cell r="D96" t="str">
            <v>瑞福联</v>
          </cell>
          <cell r="E96" t="str">
            <v>YS24</v>
          </cell>
          <cell r="F96" t="str">
            <v>NA</v>
          </cell>
          <cell r="G96" t="e">
            <v>#REF!</v>
          </cell>
          <cell r="H96" t="e">
            <v>#REF!</v>
          </cell>
          <cell r="I96" t="str">
            <v>L-&gt;R</v>
          </cell>
          <cell r="J96" t="str">
            <v>No</v>
          </cell>
          <cell r="K96">
            <v>1</v>
          </cell>
          <cell r="L96" t="str">
            <v>取消</v>
          </cell>
          <cell r="M96" t="e">
            <v>#N/A</v>
          </cell>
          <cell r="N96"/>
          <cell r="O96"/>
          <cell r="P96"/>
          <cell r="Q96"/>
          <cell r="R96" t="str">
            <v>-</v>
          </cell>
          <cell r="S96" t="str">
            <v>C49</v>
          </cell>
          <cell r="T96" t="str">
            <v>SOUTH</v>
          </cell>
          <cell r="U96" t="str">
            <v>深圳</v>
          </cell>
          <cell r="V96" t="str">
            <v>SZ 深圳</v>
          </cell>
          <cell r="W96" t="str">
            <v>JL</v>
          </cell>
          <cell r="X96" t="str">
            <v>JPY</v>
          </cell>
          <cell r="Y96">
            <v>10220000</v>
          </cell>
          <cell r="Z96">
            <v>1</v>
          </cell>
          <cell r="AA96">
            <v>10220000</v>
          </cell>
          <cell r="AB96">
            <v>7.0699999999999999E-2</v>
          </cell>
          <cell r="AC96">
            <v>722554</v>
          </cell>
          <cell r="AD96">
            <v>86706.48</v>
          </cell>
          <cell r="AE96">
            <v>0.12</v>
          </cell>
          <cell r="AF96">
            <v>43127</v>
          </cell>
          <cell r="AG96" t="str">
            <v>CIF</v>
          </cell>
          <cell r="AH96"/>
          <cell r="AI96"/>
          <cell r="AJ96"/>
          <cell r="AK96" t="str">
            <v>agree</v>
          </cell>
          <cell r="AL96">
            <v>828009</v>
          </cell>
          <cell r="AM96">
            <v>43160</v>
          </cell>
          <cell r="AN96" t="str">
            <v>Yes</v>
          </cell>
          <cell r="AO96" t="str">
            <v>agree</v>
          </cell>
          <cell r="AP96">
            <v>60491991</v>
          </cell>
          <cell r="AQ96"/>
          <cell r="AR96"/>
          <cell r="AS96"/>
          <cell r="AT96">
            <v>0</v>
          </cell>
          <cell r="AU96"/>
          <cell r="AV96"/>
          <cell r="AW96"/>
          <cell r="AX96" t="str">
            <v>Cancel</v>
          </cell>
          <cell r="AY96"/>
          <cell r="AZ96"/>
          <cell r="BA96" t="str">
            <v>Cancel</v>
          </cell>
          <cell r="BB96"/>
        </row>
        <row r="97">
          <cell r="B97">
            <v>19</v>
          </cell>
          <cell r="C97" t="str">
            <v>C49SZX20180036JL</v>
          </cell>
          <cell r="D97" t="str">
            <v>瑞福联</v>
          </cell>
          <cell r="E97" t="str">
            <v>YS24</v>
          </cell>
          <cell r="F97" t="str">
            <v>NA</v>
          </cell>
          <cell r="G97" t="e">
            <v>#REF!</v>
          </cell>
          <cell r="H97" t="e">
            <v>#REF!</v>
          </cell>
          <cell r="I97" t="str">
            <v>L-&gt;R</v>
          </cell>
          <cell r="J97" t="str">
            <v>No</v>
          </cell>
          <cell r="K97">
            <v>1</v>
          </cell>
          <cell r="L97" t="str">
            <v>取消</v>
          </cell>
          <cell r="M97" t="e">
            <v>#N/A</v>
          </cell>
          <cell r="N97"/>
          <cell r="O97"/>
          <cell r="P97"/>
          <cell r="Q97"/>
          <cell r="R97" t="str">
            <v>-</v>
          </cell>
          <cell r="S97" t="str">
            <v>C49</v>
          </cell>
          <cell r="T97" t="str">
            <v>SOUTH</v>
          </cell>
          <cell r="U97" t="str">
            <v>深圳</v>
          </cell>
          <cell r="V97" t="str">
            <v>SZ 深圳</v>
          </cell>
          <cell r="W97" t="str">
            <v>JL</v>
          </cell>
          <cell r="X97" t="str">
            <v>JPY</v>
          </cell>
          <cell r="Y97">
            <v>10220000</v>
          </cell>
          <cell r="Z97">
            <v>1</v>
          </cell>
          <cell r="AA97">
            <v>10220000</v>
          </cell>
          <cell r="AB97">
            <v>7.0699999999999999E-2</v>
          </cell>
          <cell r="AC97">
            <v>722554</v>
          </cell>
          <cell r="AD97">
            <v>86706.48</v>
          </cell>
          <cell r="AE97">
            <v>0.12</v>
          </cell>
          <cell r="AF97">
            <v>43127</v>
          </cell>
          <cell r="AG97" t="str">
            <v>CIF</v>
          </cell>
          <cell r="AH97"/>
          <cell r="AI97"/>
          <cell r="AJ97"/>
          <cell r="AK97" t="str">
            <v>agree</v>
          </cell>
          <cell r="AL97">
            <v>828009</v>
          </cell>
          <cell r="AM97">
            <v>43160</v>
          </cell>
          <cell r="AN97" t="str">
            <v>Yes</v>
          </cell>
          <cell r="AO97" t="str">
            <v>agree</v>
          </cell>
          <cell r="AP97">
            <v>60491991</v>
          </cell>
          <cell r="AQ97"/>
          <cell r="AR97"/>
          <cell r="AS97"/>
          <cell r="AT97">
            <v>0</v>
          </cell>
          <cell r="AU97"/>
          <cell r="AV97"/>
          <cell r="AW97"/>
          <cell r="AX97" t="str">
            <v>Cancel</v>
          </cell>
          <cell r="AY97"/>
          <cell r="AZ97"/>
          <cell r="BA97" t="str">
            <v>Cancel</v>
          </cell>
          <cell r="BB97"/>
        </row>
        <row r="98">
          <cell r="B98">
            <v>20</v>
          </cell>
          <cell r="C98" t="str">
            <v>C49SZX20180036JL</v>
          </cell>
          <cell r="D98" t="str">
            <v>瑞福联</v>
          </cell>
          <cell r="E98" t="str">
            <v>YS24</v>
          </cell>
          <cell r="F98" t="str">
            <v>NA</v>
          </cell>
          <cell r="G98" t="e">
            <v>#REF!</v>
          </cell>
          <cell r="H98" t="e">
            <v>#REF!</v>
          </cell>
          <cell r="I98" t="str">
            <v>L-&gt;R</v>
          </cell>
          <cell r="J98" t="str">
            <v>No</v>
          </cell>
          <cell r="K98">
            <v>1</v>
          </cell>
          <cell r="L98" t="str">
            <v>取消</v>
          </cell>
          <cell r="M98" t="e">
            <v>#N/A</v>
          </cell>
          <cell r="N98"/>
          <cell r="O98"/>
          <cell r="P98"/>
          <cell r="Q98"/>
          <cell r="R98" t="str">
            <v>-</v>
          </cell>
          <cell r="S98" t="str">
            <v>C49</v>
          </cell>
          <cell r="T98" t="str">
            <v>SOUTH</v>
          </cell>
          <cell r="U98" t="str">
            <v>深圳</v>
          </cell>
          <cell r="V98" t="str">
            <v>SZ 深圳</v>
          </cell>
          <cell r="W98" t="str">
            <v>JL</v>
          </cell>
          <cell r="X98" t="str">
            <v>JPY</v>
          </cell>
          <cell r="Y98">
            <v>10220000</v>
          </cell>
          <cell r="Z98">
            <v>1</v>
          </cell>
          <cell r="AA98">
            <v>10220000</v>
          </cell>
          <cell r="AB98">
            <v>7.0699999999999999E-2</v>
          </cell>
          <cell r="AC98">
            <v>722554</v>
          </cell>
          <cell r="AD98">
            <v>86706.48</v>
          </cell>
          <cell r="AE98">
            <v>0.12</v>
          </cell>
          <cell r="AF98">
            <v>43127</v>
          </cell>
          <cell r="AG98" t="str">
            <v>CIF</v>
          </cell>
          <cell r="AH98"/>
          <cell r="AI98"/>
          <cell r="AJ98"/>
          <cell r="AK98" t="str">
            <v>agree</v>
          </cell>
          <cell r="AL98">
            <v>828009</v>
          </cell>
          <cell r="AM98">
            <v>43160</v>
          </cell>
          <cell r="AN98" t="str">
            <v>Yes</v>
          </cell>
          <cell r="AO98" t="str">
            <v>agree</v>
          </cell>
          <cell r="AP98">
            <v>60491991</v>
          </cell>
          <cell r="AQ98"/>
          <cell r="AR98"/>
          <cell r="AS98"/>
          <cell r="AT98">
            <v>0</v>
          </cell>
          <cell r="AU98"/>
          <cell r="AV98"/>
          <cell r="AW98"/>
          <cell r="AX98" t="str">
            <v>Cancel</v>
          </cell>
          <cell r="AY98"/>
          <cell r="AZ98"/>
          <cell r="BA98" t="str">
            <v>Cancel</v>
          </cell>
          <cell r="BB98"/>
        </row>
        <row r="99">
          <cell r="B99">
            <v>21</v>
          </cell>
          <cell r="C99" t="str">
            <v>C49SZX20180036JL</v>
          </cell>
          <cell r="D99" t="str">
            <v>瑞福联</v>
          </cell>
          <cell r="E99" t="str">
            <v>YS24</v>
          </cell>
          <cell r="F99" t="str">
            <v>NA</v>
          </cell>
          <cell r="G99" t="e">
            <v>#REF!</v>
          </cell>
          <cell r="H99" t="e">
            <v>#REF!</v>
          </cell>
          <cell r="I99" t="str">
            <v>L-&gt;R</v>
          </cell>
          <cell r="J99" t="str">
            <v>No</v>
          </cell>
          <cell r="K99">
            <v>1</v>
          </cell>
          <cell r="L99" t="str">
            <v>取消</v>
          </cell>
          <cell r="M99" t="e">
            <v>#N/A</v>
          </cell>
          <cell r="N99"/>
          <cell r="O99"/>
          <cell r="P99"/>
          <cell r="Q99"/>
          <cell r="R99" t="str">
            <v>-</v>
          </cell>
          <cell r="S99" t="str">
            <v>C49</v>
          </cell>
          <cell r="T99" t="str">
            <v>SOUTH</v>
          </cell>
          <cell r="U99" t="str">
            <v>深圳</v>
          </cell>
          <cell r="V99" t="str">
            <v>SZ 深圳</v>
          </cell>
          <cell r="W99" t="str">
            <v>JL</v>
          </cell>
          <cell r="X99" t="str">
            <v>JPY</v>
          </cell>
          <cell r="Y99">
            <v>10220000</v>
          </cell>
          <cell r="Z99">
            <v>1</v>
          </cell>
          <cell r="AA99">
            <v>10220000</v>
          </cell>
          <cell r="AB99">
            <v>7.0699999999999999E-2</v>
          </cell>
          <cell r="AC99">
            <v>722554</v>
          </cell>
          <cell r="AD99">
            <v>86706.48</v>
          </cell>
          <cell r="AE99">
            <v>0.12</v>
          </cell>
          <cell r="AF99">
            <v>43127</v>
          </cell>
          <cell r="AG99" t="str">
            <v>CIF</v>
          </cell>
          <cell r="AH99"/>
          <cell r="AI99"/>
          <cell r="AJ99"/>
          <cell r="AK99" t="str">
            <v>agree</v>
          </cell>
          <cell r="AL99">
            <v>828009</v>
          </cell>
          <cell r="AM99">
            <v>43160</v>
          </cell>
          <cell r="AN99" t="str">
            <v>Yes</v>
          </cell>
          <cell r="AO99" t="str">
            <v>agree</v>
          </cell>
          <cell r="AP99">
            <v>60491991</v>
          </cell>
          <cell r="AQ99"/>
          <cell r="AR99"/>
          <cell r="AS99"/>
          <cell r="AT99">
            <v>0</v>
          </cell>
          <cell r="AU99"/>
          <cell r="AV99"/>
          <cell r="AW99"/>
          <cell r="AX99" t="str">
            <v>Cancel</v>
          </cell>
          <cell r="AY99"/>
          <cell r="AZ99"/>
          <cell r="BA99" t="str">
            <v>Cancel</v>
          </cell>
          <cell r="BB99"/>
        </row>
        <row r="100">
          <cell r="B100"/>
          <cell r="C100" t="str">
            <v>C49SZX20180037SS</v>
          </cell>
          <cell r="D100" t="str">
            <v>金晟晖</v>
          </cell>
          <cell r="E100" t="str">
            <v>YS24</v>
          </cell>
          <cell r="F100" t="str">
            <v>NA</v>
          </cell>
          <cell r="G100" t="e">
            <v>#REF!</v>
          </cell>
          <cell r="H100" t="e">
            <v>#REF!</v>
          </cell>
          <cell r="K100">
            <v>1</v>
          </cell>
          <cell r="L100" t="str">
            <v>已经送货</v>
          </cell>
          <cell r="M100" t="str">
            <v>2018/8</v>
          </cell>
          <cell r="N100"/>
          <cell r="O100">
            <v>11116183</v>
          </cell>
          <cell r="P100">
            <v>11380000</v>
          </cell>
          <cell r="Q100">
            <v>43313</v>
          </cell>
          <cell r="R100" t="str">
            <v>Yes</v>
          </cell>
          <cell r="S100" t="str">
            <v>C49</v>
          </cell>
          <cell r="T100" t="str">
            <v>SOUTH</v>
          </cell>
          <cell r="V100" t="str">
            <v>SZ 深圳</v>
          </cell>
          <cell r="W100" t="str">
            <v>SS</v>
          </cell>
          <cell r="X100" t="str">
            <v>JPY</v>
          </cell>
          <cell r="Y100">
            <v>11380000</v>
          </cell>
          <cell r="Z100">
            <v>1</v>
          </cell>
          <cell r="AA100">
            <v>11380000</v>
          </cell>
          <cell r="AB100">
            <v>7.2900000000000006E-2</v>
          </cell>
          <cell r="AC100">
            <v>829602.00000000012</v>
          </cell>
          <cell r="AD100">
            <v>99552.24</v>
          </cell>
          <cell r="AE100">
            <v>0.12</v>
          </cell>
          <cell r="AF100">
            <v>43132</v>
          </cell>
          <cell r="AG100" t="str">
            <v>DAP</v>
          </cell>
          <cell r="AH100" t="str">
            <v>吊装四楼</v>
          </cell>
          <cell r="AI100"/>
          <cell r="AJ100"/>
          <cell r="AK100">
            <v>0.1</v>
          </cell>
          <cell r="AL100">
            <v>1138000</v>
          </cell>
          <cell r="AM100">
            <v>43132</v>
          </cell>
          <cell r="AN100" t="str">
            <v>Yes</v>
          </cell>
          <cell r="AO100">
            <v>0.1</v>
          </cell>
          <cell r="AP100">
            <v>1138000</v>
          </cell>
          <cell r="AQ100">
            <v>43313</v>
          </cell>
          <cell r="AR100">
            <v>43326</v>
          </cell>
          <cell r="AS100">
            <v>0.8</v>
          </cell>
          <cell r="AT100">
            <v>9104000</v>
          </cell>
          <cell r="AU100">
            <v>43313</v>
          </cell>
          <cell r="AV100">
            <v>43326</v>
          </cell>
          <cell r="AW100" t="str">
            <v>complete</v>
          </cell>
          <cell r="AX100" t="str">
            <v>Yes</v>
          </cell>
          <cell r="AY100"/>
          <cell r="AZ100" t="str">
            <v>Y</v>
          </cell>
          <cell r="BA100" t="str">
            <v>Yes</v>
          </cell>
        </row>
        <row r="101">
          <cell r="B101"/>
          <cell r="C101" t="str">
            <v>C49SZX20180039JY</v>
          </cell>
          <cell r="D101" t="str">
            <v>星恩钰</v>
          </cell>
          <cell r="E101" t="str">
            <v>YS24</v>
          </cell>
          <cell r="F101" t="str">
            <v>NA</v>
          </cell>
          <cell r="G101" t="e">
            <v>#REF!</v>
          </cell>
          <cell r="H101" t="e">
            <v>#REF!</v>
          </cell>
          <cell r="K101">
            <v>1</v>
          </cell>
          <cell r="L101" t="str">
            <v>已经送货</v>
          </cell>
          <cell r="M101" t="str">
            <v>2018/5</v>
          </cell>
          <cell r="O101">
            <v>11116111</v>
          </cell>
          <cell r="P101">
            <v>12042200</v>
          </cell>
          <cell r="Q101">
            <v>43221</v>
          </cell>
          <cell r="R101" t="str">
            <v>No</v>
          </cell>
          <cell r="S101" t="str">
            <v>C49</v>
          </cell>
          <cell r="T101" t="str">
            <v>SOUTH</v>
          </cell>
          <cell r="U101" t="str">
            <v>東莞</v>
          </cell>
          <cell r="V101" t="str">
            <v>SZ 深圳</v>
          </cell>
          <cell r="W101" t="str">
            <v>JY</v>
          </cell>
          <cell r="X101" t="str">
            <v>JPY</v>
          </cell>
          <cell r="Y101">
            <v>12042200</v>
          </cell>
          <cell r="Z101">
            <v>1</v>
          </cell>
          <cell r="AA101">
            <v>12042200</v>
          </cell>
          <cell r="AB101">
            <v>7.0699999999999999E-2</v>
          </cell>
          <cell r="AC101">
            <v>851383.54</v>
          </cell>
          <cell r="AD101">
            <v>102166.0248</v>
          </cell>
          <cell r="AE101">
            <v>0.12</v>
          </cell>
          <cell r="AF101">
            <v>43131</v>
          </cell>
          <cell r="AG101" t="str">
            <v>DAP</v>
          </cell>
          <cell r="AH101" t="str">
            <v>吊装三楼</v>
          </cell>
          <cell r="AI101"/>
          <cell r="AJ101"/>
          <cell r="AK101">
            <v>0.1</v>
          </cell>
          <cell r="AL101">
            <v>1204220</v>
          </cell>
          <cell r="AM101">
            <v>43160</v>
          </cell>
          <cell r="AN101" t="str">
            <v>Yes</v>
          </cell>
          <cell r="AO101">
            <v>0.9</v>
          </cell>
          <cell r="AP101">
            <v>10837980</v>
          </cell>
          <cell r="AR101"/>
          <cell r="AS101" t="str">
            <v>agree</v>
          </cell>
          <cell r="AT101" t="e">
            <v>#VALUE!</v>
          </cell>
          <cell r="AU101" t="str">
            <v>MAY</v>
          </cell>
          <cell r="AV101" t="str">
            <v>20180518</v>
          </cell>
          <cell r="AY101"/>
          <cell r="AZ101" t="str">
            <v>Y</v>
          </cell>
          <cell r="BA101" t="str">
            <v>Yes</v>
          </cell>
        </row>
        <row r="102">
          <cell r="B102"/>
          <cell r="C102" t="str">
            <v>C49SZX20180041SX</v>
          </cell>
          <cell r="D102" t="str">
            <v>华远</v>
          </cell>
          <cell r="E102" t="str">
            <v>YSM10</v>
          </cell>
          <cell r="F102" t="str">
            <v>NA</v>
          </cell>
          <cell r="G102" t="e">
            <v>#REF!</v>
          </cell>
          <cell r="H102" t="e">
            <v>#REF!</v>
          </cell>
          <cell r="K102">
            <v>2</v>
          </cell>
          <cell r="L102" t="str">
            <v>已经送货</v>
          </cell>
          <cell r="M102" t="str">
            <v>2018/6</v>
          </cell>
          <cell r="N102"/>
          <cell r="O102">
            <v>11116121</v>
          </cell>
          <cell r="P102">
            <v>19923769</v>
          </cell>
          <cell r="Q102">
            <v>43252</v>
          </cell>
          <cell r="R102" t="str">
            <v>Yes</v>
          </cell>
          <cell r="S102" t="str">
            <v>C49</v>
          </cell>
          <cell r="T102" t="str">
            <v>SOUTH</v>
          </cell>
          <cell r="U102" t="str">
            <v>深圳</v>
          </cell>
          <cell r="V102" t="str">
            <v>SZ 深圳</v>
          </cell>
          <cell r="W102" t="str">
            <v>SX</v>
          </cell>
          <cell r="X102" t="str">
            <v>JPY</v>
          </cell>
          <cell r="Y102">
            <v>9961884.5</v>
          </cell>
          <cell r="Z102">
            <v>1</v>
          </cell>
          <cell r="AA102">
            <v>19923769</v>
          </cell>
          <cell r="AB102">
            <v>7.3200000000000001E-2</v>
          </cell>
          <cell r="AC102">
            <v>1458419.8907999999</v>
          </cell>
          <cell r="AD102">
            <v>175010.38689599998</v>
          </cell>
          <cell r="AE102">
            <v>0.12</v>
          </cell>
          <cell r="AF102">
            <v>43160</v>
          </cell>
          <cell r="AG102" t="str">
            <v>DAP</v>
          </cell>
          <cell r="AH102"/>
          <cell r="AI102"/>
          <cell r="AJ102"/>
          <cell r="AK102">
            <v>0.1</v>
          </cell>
          <cell r="AL102">
            <v>1992376.9000000001</v>
          </cell>
          <cell r="AM102">
            <v>43160</v>
          </cell>
          <cell r="AN102" t="str">
            <v>Yes</v>
          </cell>
          <cell r="AO102">
            <v>0.8</v>
          </cell>
          <cell r="AP102">
            <v>15939015.200000001</v>
          </cell>
          <cell r="AQ102">
            <v>43252</v>
          </cell>
          <cell r="AR102">
            <v>43271</v>
          </cell>
          <cell r="AS102">
            <v>0.1</v>
          </cell>
          <cell r="AT102">
            <v>1992376.9000000001</v>
          </cell>
          <cell r="AV102"/>
          <cell r="AY102"/>
          <cell r="AZ102" t="str">
            <v>Y</v>
          </cell>
          <cell r="BA102" t="str">
            <v>Yes</v>
          </cell>
        </row>
        <row r="103">
          <cell r="B103"/>
          <cell r="C103" t="str">
            <v>C49SZX20180042SX</v>
          </cell>
          <cell r="D103" t="str">
            <v>凌鑫</v>
          </cell>
          <cell r="E103" t="str">
            <v>YSM10</v>
          </cell>
          <cell r="F103" t="str">
            <v>NA</v>
          </cell>
          <cell r="G103" t="e">
            <v>#REF!</v>
          </cell>
          <cell r="H103" t="e">
            <v>#REF!</v>
          </cell>
          <cell r="K103">
            <v>1</v>
          </cell>
          <cell r="L103" t="str">
            <v>已经送货</v>
          </cell>
          <cell r="M103"/>
          <cell r="N103"/>
          <cell r="O103">
            <v>11116081</v>
          </cell>
          <cell r="P103">
            <v>9098400</v>
          </cell>
          <cell r="Q103">
            <v>43160</v>
          </cell>
          <cell r="R103" t="str">
            <v>No</v>
          </cell>
          <cell r="S103" t="str">
            <v>C49</v>
          </cell>
          <cell r="T103" t="str">
            <v>SOUTH</v>
          </cell>
          <cell r="U103" t="str">
            <v>深圳</v>
          </cell>
          <cell r="V103" t="str">
            <v>SZ 深圳</v>
          </cell>
          <cell r="W103" t="str">
            <v>SX</v>
          </cell>
          <cell r="X103" t="str">
            <v>JPY</v>
          </cell>
          <cell r="Y103">
            <v>9098400</v>
          </cell>
          <cell r="Z103">
            <v>1</v>
          </cell>
          <cell r="AA103">
            <v>9098400</v>
          </cell>
          <cell r="AB103">
            <v>7.3200000000000001E-2</v>
          </cell>
          <cell r="AC103">
            <v>666002.88</v>
          </cell>
          <cell r="AD103">
            <v>79920.345600000001</v>
          </cell>
          <cell r="AE103">
            <v>0.12</v>
          </cell>
          <cell r="AF103">
            <v>43173</v>
          </cell>
          <cell r="AG103" t="str">
            <v>DAP</v>
          </cell>
          <cell r="AH103"/>
          <cell r="AI103"/>
          <cell r="AJ103"/>
          <cell r="AK103">
            <v>1</v>
          </cell>
          <cell r="AL103">
            <v>9098400</v>
          </cell>
          <cell r="AM103">
            <v>43160</v>
          </cell>
          <cell r="AN103" t="str">
            <v>Yes</v>
          </cell>
          <cell r="AO103"/>
          <cell r="AP103">
            <v>0</v>
          </cell>
          <cell r="AR103"/>
          <cell r="AS103"/>
          <cell r="AT103">
            <v>0</v>
          </cell>
          <cell r="AV103"/>
          <cell r="AX103" t="str">
            <v>Yes</v>
          </cell>
          <cell r="AY103"/>
          <cell r="BA103" t="str">
            <v>Yes</v>
          </cell>
        </row>
        <row r="104">
          <cell r="B104"/>
          <cell r="C104" t="str">
            <v>C49SZX20180043SX</v>
          </cell>
          <cell r="D104" t="str">
            <v>凌鑫</v>
          </cell>
          <cell r="E104" t="str">
            <v>YSM10</v>
          </cell>
          <cell r="F104" t="str">
            <v>NA</v>
          </cell>
          <cell r="G104" t="e">
            <v>#REF!</v>
          </cell>
          <cell r="H104" t="e">
            <v>#REF!</v>
          </cell>
          <cell r="I104"/>
          <cell r="J104"/>
          <cell r="K104">
            <v>1</v>
          </cell>
          <cell r="L104" t="str">
            <v>取消</v>
          </cell>
          <cell r="M104"/>
          <cell r="N104"/>
          <cell r="O104"/>
          <cell r="P104"/>
          <cell r="Q104"/>
          <cell r="R104" t="str">
            <v>No</v>
          </cell>
          <cell r="S104" t="str">
            <v>C49</v>
          </cell>
          <cell r="T104" t="str">
            <v>SOUTH</v>
          </cell>
          <cell r="U104" t="str">
            <v>深圳</v>
          </cell>
          <cell r="V104" t="str">
            <v>SZ 深圳</v>
          </cell>
          <cell r="W104" t="str">
            <v>SX</v>
          </cell>
          <cell r="X104" t="str">
            <v>JPY</v>
          </cell>
          <cell r="Y104">
            <v>9098400</v>
          </cell>
          <cell r="Z104">
            <v>1</v>
          </cell>
          <cell r="AA104">
            <v>9098400</v>
          </cell>
          <cell r="AB104">
            <v>7.3200000000000001E-2</v>
          </cell>
          <cell r="AC104">
            <v>666002.88</v>
          </cell>
          <cell r="AD104">
            <v>79920.345600000001</v>
          </cell>
          <cell r="AE104">
            <v>0.12</v>
          </cell>
          <cell r="AF104">
            <v>43173</v>
          </cell>
          <cell r="AG104" t="str">
            <v>DAP</v>
          </cell>
          <cell r="AH104" t="str">
            <v>吊装四楼</v>
          </cell>
          <cell r="AI104"/>
          <cell r="AJ104"/>
          <cell r="AK104">
            <v>1</v>
          </cell>
          <cell r="AL104">
            <v>9098400</v>
          </cell>
          <cell r="AM104"/>
          <cell r="AN104"/>
          <cell r="AO104"/>
          <cell r="AP104">
            <v>0</v>
          </cell>
          <cell r="AQ104"/>
          <cell r="AR104"/>
          <cell r="AS104"/>
          <cell r="AT104">
            <v>0</v>
          </cell>
          <cell r="AU104"/>
          <cell r="AV104"/>
          <cell r="AW104"/>
          <cell r="AX104" t="str">
            <v>Cancel</v>
          </cell>
          <cell r="AY104"/>
          <cell r="AZ104"/>
          <cell r="BA104" t="str">
            <v>Cancel</v>
          </cell>
          <cell r="BB104" t="str">
            <v>2018-10-23通知</v>
          </cell>
        </row>
        <row r="105">
          <cell r="B105"/>
          <cell r="C105" t="str">
            <v>C49SZX20180045JY</v>
          </cell>
          <cell r="D105" t="str">
            <v>Huituo 辉拓</v>
          </cell>
          <cell r="E105" t="str">
            <v>YS12F</v>
          </cell>
          <cell r="F105" t="str">
            <v>NA</v>
          </cell>
          <cell r="G105" t="e">
            <v>#REF!</v>
          </cell>
          <cell r="H105" t="e">
            <v>#REF!</v>
          </cell>
          <cell r="K105">
            <v>1</v>
          </cell>
          <cell r="L105" t="str">
            <v>已经送货</v>
          </cell>
          <cell r="M105" t="str">
            <v>2018/4</v>
          </cell>
          <cell r="N105"/>
          <cell r="O105">
            <v>11116086</v>
          </cell>
          <cell r="P105">
            <v>7350000</v>
          </cell>
          <cell r="Q105">
            <v>43191</v>
          </cell>
          <cell r="R105" t="str">
            <v>No</v>
          </cell>
          <cell r="S105" t="str">
            <v>C49</v>
          </cell>
          <cell r="T105" t="str">
            <v>SOUTH</v>
          </cell>
          <cell r="U105" t="str">
            <v>深圳</v>
          </cell>
          <cell r="V105" t="str">
            <v>SZ 深圳</v>
          </cell>
          <cell r="W105" t="str">
            <v>JY</v>
          </cell>
          <cell r="X105" t="str">
            <v>JPY</v>
          </cell>
          <cell r="Y105">
            <v>7350000</v>
          </cell>
          <cell r="Z105">
            <v>1</v>
          </cell>
          <cell r="AA105">
            <v>7350000</v>
          </cell>
          <cell r="AB105">
            <v>7.3200000000000001E-2</v>
          </cell>
          <cell r="AC105">
            <v>538020</v>
          </cell>
          <cell r="AD105">
            <v>64562.399999999994</v>
          </cell>
          <cell r="AE105">
            <v>0.12</v>
          </cell>
          <cell r="AF105">
            <v>43160</v>
          </cell>
          <cell r="AG105" t="str">
            <v>DAP</v>
          </cell>
          <cell r="AH105"/>
          <cell r="AI105" t="str">
            <v>Na</v>
          </cell>
          <cell r="AJ105" t="str">
            <v>Na</v>
          </cell>
          <cell r="AK105">
            <v>0.1</v>
          </cell>
          <cell r="AL105">
            <v>735000</v>
          </cell>
          <cell r="AM105">
            <v>43160</v>
          </cell>
          <cell r="AN105" t="str">
            <v>Yes</v>
          </cell>
          <cell r="AO105" t="str">
            <v>agree</v>
          </cell>
          <cell r="AP105" t="e">
            <v>#VALUE!</v>
          </cell>
          <cell r="AQ105">
            <v>43191</v>
          </cell>
          <cell r="AR105">
            <v>43201</v>
          </cell>
          <cell r="AS105" t="str">
            <v>agree</v>
          </cell>
          <cell r="AT105" t="e">
            <v>#VALUE!</v>
          </cell>
          <cell r="AU105" t="str">
            <v>APR</v>
          </cell>
          <cell r="AV105" t="str">
            <v>20180412</v>
          </cell>
          <cell r="AY105" t="str">
            <v>Yes</v>
          </cell>
          <cell r="BA105" t="str">
            <v>Yes</v>
          </cell>
        </row>
        <row r="106">
          <cell r="B106"/>
          <cell r="C106" t="str">
            <v>C49SZX20180046SX</v>
          </cell>
          <cell r="D106" t="str">
            <v>顺弘</v>
          </cell>
          <cell r="E106" t="str">
            <v>YSM20-2</v>
          </cell>
          <cell r="F106" t="str">
            <v>NA</v>
          </cell>
          <cell r="G106" t="e">
            <v>#REF!</v>
          </cell>
          <cell r="H106" t="e">
            <v>#REF!</v>
          </cell>
          <cell r="K106">
            <v>1</v>
          </cell>
          <cell r="L106" t="str">
            <v>已经送货</v>
          </cell>
          <cell r="M106" t="str">
            <v>2018/8</v>
          </cell>
          <cell r="N106"/>
          <cell r="O106">
            <v>11116172</v>
          </cell>
          <cell r="P106">
            <v>16833680</v>
          </cell>
          <cell r="Q106">
            <v>43313</v>
          </cell>
          <cell r="R106" t="str">
            <v>No</v>
          </cell>
          <cell r="S106" t="str">
            <v>C49</v>
          </cell>
          <cell r="T106" t="str">
            <v>SOUTH</v>
          </cell>
          <cell r="U106" t="str">
            <v>東莞</v>
          </cell>
          <cell r="V106" t="str">
            <v>SZ 深圳</v>
          </cell>
          <cell r="W106" t="str">
            <v>SX</v>
          </cell>
          <cell r="X106" t="str">
            <v>JPY</v>
          </cell>
          <cell r="Y106">
            <v>16833680</v>
          </cell>
          <cell r="Z106">
            <v>1</v>
          </cell>
          <cell r="AA106">
            <v>16833680</v>
          </cell>
          <cell r="AB106">
            <v>7.3200000000000001E-2</v>
          </cell>
          <cell r="AC106">
            <v>1232225.3759999999</v>
          </cell>
          <cell r="AD106">
            <v>147867.04512</v>
          </cell>
          <cell r="AE106">
            <v>0.12</v>
          </cell>
          <cell r="AF106">
            <v>43168</v>
          </cell>
          <cell r="AG106" t="str">
            <v>CIF</v>
          </cell>
          <cell r="AH106"/>
          <cell r="AI106" t="str">
            <v>Na</v>
          </cell>
          <cell r="AJ106" t="str">
            <v>Na</v>
          </cell>
          <cell r="AK106" t="str">
            <v>agree</v>
          </cell>
          <cell r="AL106">
            <v>3391774</v>
          </cell>
          <cell r="AM106">
            <v>43191</v>
          </cell>
          <cell r="AN106" t="str">
            <v>Yes</v>
          </cell>
          <cell r="AO106" t="str">
            <v>agree</v>
          </cell>
          <cell r="AP106">
            <v>13441906</v>
          </cell>
          <cell r="AQ106">
            <v>43313</v>
          </cell>
          <cell r="AR106">
            <v>43313</v>
          </cell>
          <cell r="AS106"/>
          <cell r="AT106">
            <v>0</v>
          </cell>
          <cell r="AV106"/>
          <cell r="AY106"/>
          <cell r="AZ106" t="str">
            <v>Y</v>
          </cell>
          <cell r="BA106" t="str">
            <v>Yes</v>
          </cell>
        </row>
        <row r="107">
          <cell r="B107">
            <v>22</v>
          </cell>
          <cell r="C107" t="str">
            <v>C49SZX20180047SX</v>
          </cell>
          <cell r="D107" t="str">
            <v>顺弘</v>
          </cell>
          <cell r="E107" t="str">
            <v>YSM20-2</v>
          </cell>
          <cell r="F107" t="str">
            <v>NA</v>
          </cell>
          <cell r="G107" t="e">
            <v>#REF!</v>
          </cell>
          <cell r="H107" t="e">
            <v>#REF!</v>
          </cell>
          <cell r="I107" t="str">
            <v>L-&gt;R</v>
          </cell>
          <cell r="J107" t="str">
            <v>cATS10+MVC+special layout</v>
          </cell>
          <cell r="K107">
            <v>1</v>
          </cell>
          <cell r="L107" t="str">
            <v>取消</v>
          </cell>
          <cell r="M107" t="e">
            <v>#N/A</v>
          </cell>
          <cell r="N107"/>
          <cell r="O107"/>
          <cell r="P107"/>
          <cell r="Q107"/>
          <cell r="R107" t="str">
            <v>No</v>
          </cell>
          <cell r="S107" t="str">
            <v>C49</v>
          </cell>
          <cell r="T107" t="str">
            <v>SOUTH</v>
          </cell>
          <cell r="U107" t="str">
            <v>東莞</v>
          </cell>
          <cell r="V107" t="str">
            <v>SZ 深圳</v>
          </cell>
          <cell r="W107" t="str">
            <v>SX</v>
          </cell>
          <cell r="X107" t="str">
            <v>JPY</v>
          </cell>
          <cell r="Y107">
            <v>14820000</v>
          </cell>
          <cell r="Z107">
            <v>1</v>
          </cell>
          <cell r="AA107">
            <v>14820000</v>
          </cell>
          <cell r="AB107">
            <v>7.3200000000000001E-2</v>
          </cell>
          <cell r="AC107">
            <v>1084824</v>
          </cell>
          <cell r="AD107">
            <v>130178.87999999999</v>
          </cell>
          <cell r="AE107">
            <v>0.12</v>
          </cell>
          <cell r="AF107">
            <v>43168</v>
          </cell>
          <cell r="AG107" t="str">
            <v>CIF</v>
          </cell>
          <cell r="AH107"/>
          <cell r="AI107"/>
          <cell r="AJ107"/>
          <cell r="AK107">
            <v>0.2</v>
          </cell>
          <cell r="AL107">
            <v>2964000</v>
          </cell>
          <cell r="AM107"/>
          <cell r="AN107" t="str">
            <v>No</v>
          </cell>
          <cell r="AO107">
            <v>0.8</v>
          </cell>
          <cell r="AP107">
            <v>11856000</v>
          </cell>
          <cell r="AQ107"/>
          <cell r="AR107"/>
          <cell r="AS107"/>
          <cell r="AT107">
            <v>0</v>
          </cell>
          <cell r="AV107"/>
          <cell r="AX107" t="str">
            <v>Cancel</v>
          </cell>
          <cell r="AY107"/>
          <cell r="AZ107"/>
          <cell r="BA107" t="str">
            <v>Cancel</v>
          </cell>
        </row>
        <row r="108">
          <cell r="B108"/>
          <cell r="C108" t="str">
            <v>C49SZX20180048DZ</v>
          </cell>
          <cell r="D108" t="str">
            <v>麦驰</v>
          </cell>
          <cell r="E108" t="str">
            <v>YSM10</v>
          </cell>
          <cell r="F108" t="str">
            <v>NA</v>
          </cell>
          <cell r="G108" t="e">
            <v>#REF!</v>
          </cell>
          <cell r="H108" t="e">
            <v>#REF!</v>
          </cell>
          <cell r="K108">
            <v>1</v>
          </cell>
          <cell r="L108" t="str">
            <v>已经送货</v>
          </cell>
          <cell r="M108" t="str">
            <v>2018/4</v>
          </cell>
          <cell r="N108"/>
          <cell r="O108" t="str">
            <v>11100251/11116090</v>
          </cell>
          <cell r="P108">
            <v>800000</v>
          </cell>
          <cell r="Q108">
            <v>43191</v>
          </cell>
          <cell r="R108" t="str">
            <v>No</v>
          </cell>
          <cell r="S108" t="str">
            <v>C49</v>
          </cell>
          <cell r="T108" t="str">
            <v>SOUTH</v>
          </cell>
          <cell r="U108" t="str">
            <v>深圳</v>
          </cell>
          <cell r="V108" t="str">
            <v>SZ 深圳</v>
          </cell>
          <cell r="W108" t="str">
            <v>DZ</v>
          </cell>
          <cell r="X108" t="str">
            <v>RMB</v>
          </cell>
          <cell r="Y108">
            <v>800000</v>
          </cell>
          <cell r="Z108">
            <v>1.17</v>
          </cell>
          <cell r="AA108">
            <v>800000</v>
          </cell>
          <cell r="AB108">
            <v>1.23</v>
          </cell>
          <cell r="AC108">
            <v>841025.641025641</v>
          </cell>
          <cell r="AD108">
            <v>100923.07692307692</v>
          </cell>
          <cell r="AE108">
            <v>0.12</v>
          </cell>
          <cell r="AF108">
            <v>43178</v>
          </cell>
          <cell r="AG108" t="str">
            <v>含税到厂</v>
          </cell>
          <cell r="AH108" t="str">
            <v>电梯3楼</v>
          </cell>
          <cell r="AI108"/>
          <cell r="AJ108"/>
          <cell r="AK108">
            <v>0.3</v>
          </cell>
          <cell r="AL108">
            <v>240000</v>
          </cell>
          <cell r="AM108">
            <v>43160</v>
          </cell>
          <cell r="AN108" t="str">
            <v>Yes</v>
          </cell>
          <cell r="AO108">
            <v>0.65</v>
          </cell>
          <cell r="AP108">
            <v>520000</v>
          </cell>
          <cell r="AQ108">
            <v>43191</v>
          </cell>
          <cell r="AR108">
            <v>43202</v>
          </cell>
          <cell r="AS108">
            <v>0.05</v>
          </cell>
          <cell r="AT108">
            <v>40000</v>
          </cell>
          <cell r="AU108">
            <v>43313</v>
          </cell>
          <cell r="AV108">
            <v>43342</v>
          </cell>
          <cell r="AW108" t="str">
            <v xml:space="preserve">Complete </v>
          </cell>
          <cell r="AX108" t="str">
            <v>Yes</v>
          </cell>
          <cell r="AY108" t="str">
            <v>Yes</v>
          </cell>
          <cell r="BA108" t="str">
            <v>Yes</v>
          </cell>
        </row>
        <row r="109">
          <cell r="B109"/>
          <cell r="C109" t="str">
            <v>C49SZX20180049DZ</v>
          </cell>
          <cell r="D109" t="str">
            <v>江西晶瑞</v>
          </cell>
          <cell r="E109" t="str">
            <v>YSM10</v>
          </cell>
          <cell r="F109" t="str">
            <v>NA</v>
          </cell>
          <cell r="G109" t="e">
            <v>#REF!</v>
          </cell>
          <cell r="H109" t="e">
            <v>#REF!</v>
          </cell>
          <cell r="K109">
            <v>1</v>
          </cell>
          <cell r="L109" t="str">
            <v>已经送货</v>
          </cell>
          <cell r="M109" t="str">
            <v>2018/4</v>
          </cell>
          <cell r="N109"/>
          <cell r="O109">
            <v>11100246</v>
          </cell>
          <cell r="P109">
            <v>670000</v>
          </cell>
          <cell r="Q109">
            <v>43191</v>
          </cell>
          <cell r="R109" t="str">
            <v>No</v>
          </cell>
          <cell r="S109" t="str">
            <v>C49</v>
          </cell>
          <cell r="T109" t="str">
            <v>SOUTH</v>
          </cell>
          <cell r="U109" t="str">
            <v>江西</v>
          </cell>
          <cell r="V109" t="str">
            <v>SZ 深圳</v>
          </cell>
          <cell r="W109" t="str">
            <v>DZ</v>
          </cell>
          <cell r="X109" t="str">
            <v>RMB</v>
          </cell>
          <cell r="Y109">
            <v>670000</v>
          </cell>
          <cell r="Z109">
            <v>1.17</v>
          </cell>
          <cell r="AA109">
            <v>670000</v>
          </cell>
          <cell r="AB109">
            <v>1.23</v>
          </cell>
          <cell r="AC109">
            <v>704358.97435897437</v>
          </cell>
          <cell r="AD109">
            <v>84523.076923076922</v>
          </cell>
          <cell r="AE109">
            <v>0.12</v>
          </cell>
          <cell r="AF109">
            <v>43173</v>
          </cell>
          <cell r="AG109" t="str">
            <v>含税到厂</v>
          </cell>
          <cell r="AH109" t="str">
            <v>电梯</v>
          </cell>
          <cell r="AI109" t="str">
            <v>Na</v>
          </cell>
          <cell r="AJ109" t="str">
            <v>Na</v>
          </cell>
          <cell r="AK109">
            <v>0.5</v>
          </cell>
          <cell r="AL109">
            <v>335000</v>
          </cell>
          <cell r="AM109">
            <v>43160</v>
          </cell>
          <cell r="AN109" t="str">
            <v>Yes</v>
          </cell>
          <cell r="AO109">
            <v>0.45</v>
          </cell>
          <cell r="AP109">
            <v>301500</v>
          </cell>
          <cell r="AQ109">
            <v>43160</v>
          </cell>
          <cell r="AR109">
            <v>43186</v>
          </cell>
          <cell r="AS109">
            <v>0.05</v>
          </cell>
          <cell r="AT109">
            <v>33500</v>
          </cell>
          <cell r="AV109"/>
          <cell r="AY109"/>
          <cell r="BA109" t="str">
            <v>Yes</v>
          </cell>
        </row>
        <row r="110">
          <cell r="B110"/>
          <cell r="C110" t="str">
            <v>C49SZX20180050MZ</v>
          </cell>
          <cell r="D110" t="str">
            <v>腾拓</v>
          </cell>
          <cell r="E110" t="str">
            <v>YSM10</v>
          </cell>
          <cell r="F110" t="str">
            <v>NA</v>
          </cell>
          <cell r="G110" t="e">
            <v>#REF!</v>
          </cell>
          <cell r="H110" t="e">
            <v>#REF!</v>
          </cell>
          <cell r="K110">
            <v>4</v>
          </cell>
          <cell r="L110" t="str">
            <v>已经送货</v>
          </cell>
          <cell r="M110" t="str">
            <v>2018/5</v>
          </cell>
          <cell r="N110"/>
          <cell r="O110">
            <v>11116109</v>
          </cell>
          <cell r="P110">
            <v>38500000</v>
          </cell>
          <cell r="Q110">
            <v>43221</v>
          </cell>
          <cell r="R110" t="str">
            <v>Yes</v>
          </cell>
          <cell r="S110" t="str">
            <v>C49</v>
          </cell>
          <cell r="T110" t="str">
            <v>SOUTH</v>
          </cell>
          <cell r="U110" t="str">
            <v>東莞</v>
          </cell>
          <cell r="V110" t="str">
            <v>SZ 深圳</v>
          </cell>
          <cell r="W110" t="str">
            <v>MZ</v>
          </cell>
          <cell r="X110" t="str">
            <v>JPY</v>
          </cell>
          <cell r="Y110">
            <v>9625000</v>
          </cell>
          <cell r="Z110">
            <v>1</v>
          </cell>
          <cell r="AA110">
            <v>38500000</v>
          </cell>
          <cell r="AB110">
            <v>7.3200000000000001E-2</v>
          </cell>
          <cell r="AC110">
            <v>2818200</v>
          </cell>
          <cell r="AD110">
            <v>338184</v>
          </cell>
          <cell r="AE110">
            <v>0.12</v>
          </cell>
          <cell r="AF110">
            <v>43172</v>
          </cell>
          <cell r="AG110" t="str">
            <v>CIF</v>
          </cell>
          <cell r="AH110"/>
          <cell r="AI110"/>
          <cell r="AJ110"/>
          <cell r="AK110">
            <v>0.1</v>
          </cell>
          <cell r="AL110">
            <v>3850000</v>
          </cell>
          <cell r="AM110">
            <v>43160</v>
          </cell>
          <cell r="AN110" t="str">
            <v>Yes</v>
          </cell>
          <cell r="AO110" t="str">
            <v>agree</v>
          </cell>
          <cell r="AP110">
            <v>24891777</v>
          </cell>
          <cell r="AQ110">
            <v>43221</v>
          </cell>
          <cell r="AR110">
            <v>43243</v>
          </cell>
          <cell r="AS110" t="str">
            <v>agree</v>
          </cell>
          <cell r="AT110" t="e">
            <v>#VALUE!</v>
          </cell>
          <cell r="AV110"/>
          <cell r="AY110" t="str">
            <v>Yes</v>
          </cell>
          <cell r="AZ110" t="str">
            <v>Y</v>
          </cell>
          <cell r="BA110" t="str">
            <v>Yes</v>
          </cell>
        </row>
        <row r="111">
          <cell r="B111"/>
          <cell r="C111" t="str">
            <v>C49SZX20180051MZ</v>
          </cell>
          <cell r="D111" t="str">
            <v>腾拓</v>
          </cell>
          <cell r="E111" t="str">
            <v>YSM10</v>
          </cell>
          <cell r="F111" t="str">
            <v>NA</v>
          </cell>
          <cell r="G111" t="e">
            <v>#REF!</v>
          </cell>
          <cell r="H111" t="e">
            <v>#REF!</v>
          </cell>
          <cell r="I111"/>
          <cell r="J111"/>
          <cell r="K111">
            <v>1</v>
          </cell>
          <cell r="L111" t="str">
            <v>取消</v>
          </cell>
          <cell r="M111"/>
          <cell r="N111"/>
          <cell r="O111"/>
          <cell r="P111"/>
          <cell r="Q111"/>
          <cell r="R111" t="str">
            <v>-</v>
          </cell>
          <cell r="S111" t="str">
            <v>C49</v>
          </cell>
          <cell r="T111" t="str">
            <v>SOUTH</v>
          </cell>
          <cell r="U111" t="str">
            <v>東莞</v>
          </cell>
          <cell r="V111" t="str">
            <v>SZ 深圳</v>
          </cell>
          <cell r="W111"/>
          <cell r="X111" t="str">
            <v>JPY</v>
          </cell>
          <cell r="Y111">
            <v>9625000</v>
          </cell>
          <cell r="Z111">
            <v>1</v>
          </cell>
          <cell r="AA111">
            <v>9625000</v>
          </cell>
          <cell r="AB111">
            <v>7.3200000000000001E-2</v>
          </cell>
          <cell r="AC111">
            <v>704550</v>
          </cell>
          <cell r="AD111">
            <v>84546</v>
          </cell>
          <cell r="AE111">
            <v>0.12</v>
          </cell>
          <cell r="AF111">
            <v>43172</v>
          </cell>
          <cell r="AG111" t="str">
            <v>CIF</v>
          </cell>
          <cell r="AH111"/>
          <cell r="AI111"/>
          <cell r="AJ111"/>
          <cell r="AK111">
            <v>0.1</v>
          </cell>
          <cell r="AL111">
            <v>962500</v>
          </cell>
          <cell r="AM111"/>
          <cell r="AN111"/>
          <cell r="AO111">
            <v>0.9</v>
          </cell>
          <cell r="AP111">
            <v>8662500</v>
          </cell>
          <cell r="AQ111"/>
          <cell r="AR111"/>
          <cell r="AS111"/>
          <cell r="AT111">
            <v>0</v>
          </cell>
          <cell r="AU111"/>
          <cell r="AV111"/>
          <cell r="AW111"/>
          <cell r="AX111" t="str">
            <v>Cancel</v>
          </cell>
          <cell r="AY111"/>
          <cell r="AZ111"/>
          <cell r="BA111" t="str">
            <v>Cancel</v>
          </cell>
          <cell r="BB111"/>
        </row>
        <row r="112">
          <cell r="B112"/>
          <cell r="C112" t="str">
            <v>C49SZX20180051MZ</v>
          </cell>
          <cell r="D112" t="str">
            <v>腾拓</v>
          </cell>
          <cell r="E112" t="str">
            <v>YSM10</v>
          </cell>
          <cell r="F112" t="str">
            <v>NA</v>
          </cell>
          <cell r="G112" t="e">
            <v>#REF!</v>
          </cell>
          <cell r="H112" t="e">
            <v>#REF!</v>
          </cell>
          <cell r="I112"/>
          <cell r="J112"/>
          <cell r="K112">
            <v>1</v>
          </cell>
          <cell r="L112" t="str">
            <v>取消</v>
          </cell>
          <cell r="M112"/>
          <cell r="N112"/>
          <cell r="O112"/>
          <cell r="P112"/>
          <cell r="Q112"/>
          <cell r="R112" t="str">
            <v>-</v>
          </cell>
          <cell r="S112" t="str">
            <v>C49</v>
          </cell>
          <cell r="T112" t="str">
            <v>SOUTH</v>
          </cell>
          <cell r="U112" t="str">
            <v>東莞</v>
          </cell>
          <cell r="V112" t="str">
            <v>SZ 深圳</v>
          </cell>
          <cell r="W112"/>
          <cell r="X112" t="str">
            <v>JPY</v>
          </cell>
          <cell r="Y112">
            <v>9625000</v>
          </cell>
          <cell r="Z112">
            <v>1</v>
          </cell>
          <cell r="AA112">
            <v>9625000</v>
          </cell>
          <cell r="AB112">
            <v>7.3200000000000001E-2</v>
          </cell>
          <cell r="AC112">
            <v>704550</v>
          </cell>
          <cell r="AD112">
            <v>84546</v>
          </cell>
          <cell r="AE112">
            <v>0.12</v>
          </cell>
          <cell r="AF112">
            <v>43172</v>
          </cell>
          <cell r="AG112" t="str">
            <v>CIF</v>
          </cell>
          <cell r="AH112"/>
          <cell r="AI112"/>
          <cell r="AJ112"/>
          <cell r="AK112">
            <v>0.1</v>
          </cell>
          <cell r="AL112">
            <v>962500</v>
          </cell>
          <cell r="AM112"/>
          <cell r="AN112"/>
          <cell r="AO112">
            <v>0.9</v>
          </cell>
          <cell r="AP112">
            <v>8662500</v>
          </cell>
          <cell r="AQ112"/>
          <cell r="AR112"/>
          <cell r="AS112"/>
          <cell r="AT112">
            <v>0</v>
          </cell>
          <cell r="AU112"/>
          <cell r="AV112"/>
          <cell r="AW112"/>
          <cell r="AX112" t="str">
            <v>Cancel</v>
          </cell>
          <cell r="AY112"/>
          <cell r="AZ112"/>
          <cell r="BA112" t="str">
            <v>Cancel</v>
          </cell>
          <cell r="BB112"/>
        </row>
        <row r="113">
          <cell r="B113"/>
          <cell r="C113" t="str">
            <v>C49SZX20180051MZ</v>
          </cell>
          <cell r="D113" t="str">
            <v>腾拓</v>
          </cell>
          <cell r="E113" t="str">
            <v>YSM10</v>
          </cell>
          <cell r="F113" t="str">
            <v>NA</v>
          </cell>
          <cell r="G113" t="e">
            <v>#REF!</v>
          </cell>
          <cell r="H113" t="e">
            <v>#REF!</v>
          </cell>
          <cell r="I113"/>
          <cell r="J113"/>
          <cell r="K113">
            <v>2</v>
          </cell>
          <cell r="L113" t="str">
            <v>取消</v>
          </cell>
          <cell r="M113"/>
          <cell r="N113"/>
          <cell r="O113"/>
          <cell r="P113"/>
          <cell r="Q113"/>
          <cell r="R113" t="str">
            <v>-</v>
          </cell>
          <cell r="S113" t="str">
            <v>C49</v>
          </cell>
          <cell r="T113" t="str">
            <v>SOUTH</v>
          </cell>
          <cell r="U113" t="str">
            <v>東莞</v>
          </cell>
          <cell r="V113" t="str">
            <v>SZ 深圳</v>
          </cell>
          <cell r="W113"/>
          <cell r="X113" t="str">
            <v>JPY</v>
          </cell>
          <cell r="Y113">
            <v>9625000</v>
          </cell>
          <cell r="Z113">
            <v>1</v>
          </cell>
          <cell r="AA113">
            <v>19250000</v>
          </cell>
          <cell r="AB113">
            <v>7.3200000000000001E-2</v>
          </cell>
          <cell r="AC113">
            <v>1409100</v>
          </cell>
          <cell r="AD113">
            <v>169092</v>
          </cell>
          <cell r="AE113">
            <v>0.12</v>
          </cell>
          <cell r="AF113">
            <v>43172</v>
          </cell>
          <cell r="AG113" t="str">
            <v>CIF</v>
          </cell>
          <cell r="AH113"/>
          <cell r="AI113"/>
          <cell r="AJ113"/>
          <cell r="AK113">
            <v>0.1</v>
          </cell>
          <cell r="AL113">
            <v>1925000</v>
          </cell>
          <cell r="AM113"/>
          <cell r="AN113"/>
          <cell r="AO113">
            <v>0.9</v>
          </cell>
          <cell r="AP113">
            <v>17325000</v>
          </cell>
          <cell r="AQ113"/>
          <cell r="AR113"/>
          <cell r="AS113"/>
          <cell r="AT113">
            <v>0</v>
          </cell>
          <cell r="AU113"/>
          <cell r="AV113"/>
          <cell r="AW113"/>
          <cell r="AX113" t="str">
            <v>Cancel</v>
          </cell>
          <cell r="AY113"/>
          <cell r="AZ113"/>
          <cell r="BA113" t="str">
            <v>Cancel</v>
          </cell>
          <cell r="BB113"/>
        </row>
        <row r="114">
          <cell r="B114"/>
          <cell r="C114" t="str">
            <v>C49SZX20180052SX</v>
          </cell>
          <cell r="D114" t="str">
            <v>恒泰</v>
          </cell>
          <cell r="E114" t="str">
            <v>YSM10</v>
          </cell>
          <cell r="F114" t="str">
            <v>NA</v>
          </cell>
          <cell r="G114" t="e">
            <v>#REF!</v>
          </cell>
          <cell r="H114" t="e">
            <v>#REF!</v>
          </cell>
          <cell r="K114">
            <v>1</v>
          </cell>
          <cell r="L114" t="str">
            <v>已经送货</v>
          </cell>
          <cell r="M114" t="str">
            <v>2018/5</v>
          </cell>
          <cell r="O114">
            <v>11116112</v>
          </cell>
          <cell r="P114">
            <v>9071880</v>
          </cell>
          <cell r="Q114">
            <v>43221</v>
          </cell>
          <cell r="R114" t="str">
            <v>Yes</v>
          </cell>
          <cell r="S114" t="str">
            <v>C49</v>
          </cell>
          <cell r="T114" t="str">
            <v>SOUTH</v>
          </cell>
          <cell r="U114" t="str">
            <v>江西</v>
          </cell>
          <cell r="V114" t="str">
            <v>SZ 深圳</v>
          </cell>
          <cell r="W114" t="str">
            <v>SX</v>
          </cell>
          <cell r="X114" t="str">
            <v>JPY</v>
          </cell>
          <cell r="Y114">
            <v>9071880</v>
          </cell>
          <cell r="Z114">
            <v>1</v>
          </cell>
          <cell r="AA114">
            <v>9071880</v>
          </cell>
          <cell r="AB114">
            <v>7.3200000000000001E-2</v>
          </cell>
          <cell r="AC114">
            <v>664061.61600000004</v>
          </cell>
          <cell r="AD114">
            <v>79687.393920000002</v>
          </cell>
          <cell r="AE114">
            <v>0.12</v>
          </cell>
          <cell r="AF114">
            <v>43173</v>
          </cell>
          <cell r="AG114" t="str">
            <v>DAP</v>
          </cell>
          <cell r="AH114" t="str">
            <v>一楼卸货</v>
          </cell>
          <cell r="AI114"/>
          <cell r="AJ114"/>
          <cell r="AK114">
            <v>0.3</v>
          </cell>
          <cell r="AL114">
            <v>2721564</v>
          </cell>
          <cell r="AM114">
            <v>43160</v>
          </cell>
          <cell r="AN114" t="str">
            <v>Yes</v>
          </cell>
          <cell r="AO114">
            <v>0.7</v>
          </cell>
          <cell r="AP114">
            <v>6350316</v>
          </cell>
          <cell r="AQ114">
            <v>43191</v>
          </cell>
          <cell r="AR114">
            <v>43216</v>
          </cell>
          <cell r="AS114"/>
          <cell r="AT114">
            <v>0</v>
          </cell>
          <cell r="AV114"/>
          <cell r="AY114" t="str">
            <v>Yes</v>
          </cell>
          <cell r="BA114" t="str">
            <v>Yes</v>
          </cell>
        </row>
        <row r="115">
          <cell r="B115"/>
          <cell r="C115" t="str">
            <v>C49SZX20180052SX</v>
          </cell>
          <cell r="D115" t="str">
            <v>恒泰</v>
          </cell>
          <cell r="E115" t="str">
            <v>YSM10</v>
          </cell>
          <cell r="F115" t="str">
            <v>NA</v>
          </cell>
          <cell r="G115" t="e">
            <v>#REF!</v>
          </cell>
          <cell r="H115" t="e">
            <v>#REF!</v>
          </cell>
          <cell r="K115">
            <v>1</v>
          </cell>
          <cell r="L115" t="str">
            <v>已经送货</v>
          </cell>
          <cell r="M115" t="str">
            <v>2018/5</v>
          </cell>
          <cell r="O115">
            <v>11116112</v>
          </cell>
          <cell r="P115">
            <v>9071880</v>
          </cell>
          <cell r="Q115">
            <v>43221</v>
          </cell>
          <cell r="R115" t="str">
            <v>Yes</v>
          </cell>
          <cell r="S115" t="str">
            <v>C49</v>
          </cell>
          <cell r="T115" t="str">
            <v>SOUTH</v>
          </cell>
          <cell r="U115" t="str">
            <v>江西</v>
          </cell>
          <cell r="V115" t="str">
            <v>SZ 深圳</v>
          </cell>
          <cell r="W115" t="str">
            <v>SX</v>
          </cell>
          <cell r="X115" t="str">
            <v>JPY</v>
          </cell>
          <cell r="Y115">
            <v>9071880</v>
          </cell>
          <cell r="Z115">
            <v>1</v>
          </cell>
          <cell r="AA115">
            <v>9071880</v>
          </cell>
          <cell r="AB115">
            <v>7.3200000000000001E-2</v>
          </cell>
          <cell r="AC115">
            <v>664061.61600000004</v>
          </cell>
          <cell r="AD115">
            <v>79687.393920000002</v>
          </cell>
          <cell r="AE115">
            <v>0.12</v>
          </cell>
          <cell r="AF115">
            <v>43173</v>
          </cell>
          <cell r="AG115" t="str">
            <v>DAP</v>
          </cell>
          <cell r="AH115" t="str">
            <v>一楼卸货</v>
          </cell>
          <cell r="AI115"/>
          <cell r="AJ115"/>
          <cell r="AK115">
            <v>0.3</v>
          </cell>
          <cell r="AL115">
            <v>2721564</v>
          </cell>
          <cell r="AM115">
            <v>43160</v>
          </cell>
          <cell r="AN115" t="str">
            <v>Yes</v>
          </cell>
          <cell r="AO115">
            <v>0.7</v>
          </cell>
          <cell r="AP115">
            <v>6350316</v>
          </cell>
          <cell r="AQ115">
            <v>43191</v>
          </cell>
          <cell r="AR115">
            <v>43216</v>
          </cell>
          <cell r="AS115"/>
          <cell r="AT115">
            <v>0</v>
          </cell>
          <cell r="AV115"/>
          <cell r="AY115" t="str">
            <v>Yes</v>
          </cell>
          <cell r="BA115" t="str">
            <v>Yes</v>
          </cell>
        </row>
        <row r="116">
          <cell r="B116"/>
          <cell r="C116" t="str">
            <v>C49SZX20180053SX</v>
          </cell>
          <cell r="D116" t="str">
            <v>恒泰</v>
          </cell>
          <cell r="E116" t="str">
            <v>YSM10</v>
          </cell>
          <cell r="F116" t="str">
            <v>NA</v>
          </cell>
          <cell r="G116" t="e">
            <v>#REF!</v>
          </cell>
          <cell r="H116" t="e">
            <v>#REF!</v>
          </cell>
          <cell r="I116"/>
          <cell r="J116"/>
          <cell r="K116">
            <v>2</v>
          </cell>
          <cell r="L116" t="str">
            <v>取消</v>
          </cell>
          <cell r="M116"/>
          <cell r="N116"/>
          <cell r="O116"/>
          <cell r="P116"/>
          <cell r="Q116"/>
          <cell r="R116" t="str">
            <v>Yes</v>
          </cell>
          <cell r="S116" t="str">
            <v>C49</v>
          </cell>
          <cell r="T116" t="str">
            <v>SOUTH</v>
          </cell>
          <cell r="U116" t="str">
            <v>江西</v>
          </cell>
          <cell r="V116" t="str">
            <v>SZ 深圳</v>
          </cell>
          <cell r="W116" t="str">
            <v>SX</v>
          </cell>
          <cell r="X116" t="str">
            <v>JPY</v>
          </cell>
          <cell r="Y116">
            <v>9071880</v>
          </cell>
          <cell r="Z116">
            <v>1</v>
          </cell>
          <cell r="AA116">
            <v>18143760</v>
          </cell>
          <cell r="AB116">
            <v>7.3200000000000001E-2</v>
          </cell>
          <cell r="AC116">
            <v>1328123.2320000001</v>
          </cell>
          <cell r="AD116">
            <v>159374.78784</v>
          </cell>
          <cell r="AE116">
            <v>0.12</v>
          </cell>
          <cell r="AF116">
            <v>43173</v>
          </cell>
          <cell r="AG116" t="str">
            <v>DAP</v>
          </cell>
          <cell r="AH116" t="str">
            <v>一楼卸货</v>
          </cell>
          <cell r="AI116"/>
          <cell r="AJ116"/>
          <cell r="AK116">
            <v>0.3</v>
          </cell>
          <cell r="AL116">
            <v>5443128</v>
          </cell>
          <cell r="AM116"/>
          <cell r="AN116"/>
          <cell r="AO116">
            <v>0.7</v>
          </cell>
          <cell r="AP116">
            <v>12700632</v>
          </cell>
          <cell r="AQ116"/>
          <cell r="AR116"/>
          <cell r="AS116"/>
          <cell r="AT116">
            <v>0</v>
          </cell>
          <cell r="AU116"/>
          <cell r="AV116"/>
          <cell r="AW116"/>
          <cell r="AX116" t="str">
            <v>Cancel</v>
          </cell>
          <cell r="AY116"/>
          <cell r="AZ116"/>
          <cell r="BA116" t="str">
            <v>Cancel</v>
          </cell>
          <cell r="BB116" t="str">
            <v>2018-10-23通知</v>
          </cell>
        </row>
        <row r="117">
          <cell r="B117">
            <v>23</v>
          </cell>
          <cell r="C117" t="str">
            <v>C49SZX20180055ZX</v>
          </cell>
          <cell r="D117" t="str">
            <v>栩骊</v>
          </cell>
          <cell r="E117" t="str">
            <v>YSM20-2</v>
          </cell>
          <cell r="F117" t="str">
            <v>NA</v>
          </cell>
          <cell r="G117" t="e">
            <v>#REF!</v>
          </cell>
          <cell r="H117" t="e">
            <v>#REF!</v>
          </cell>
          <cell r="I117" t="str">
            <v>L-&gt;R</v>
          </cell>
          <cell r="J117" t="str">
            <v>No</v>
          </cell>
          <cell r="K117">
            <v>1</v>
          </cell>
          <cell r="L117" t="str">
            <v>取消</v>
          </cell>
          <cell r="M117" t="e">
            <v>#N/A</v>
          </cell>
          <cell r="N117"/>
          <cell r="O117"/>
          <cell r="P117"/>
          <cell r="Q117"/>
          <cell r="R117" t="str">
            <v>No</v>
          </cell>
          <cell r="S117" t="str">
            <v>C49</v>
          </cell>
          <cell r="T117" t="str">
            <v>SOUTH</v>
          </cell>
          <cell r="U117" t="str">
            <v>深圳</v>
          </cell>
          <cell r="V117" t="str">
            <v>SZ 深圳</v>
          </cell>
          <cell r="W117" t="str">
            <v>ZX</v>
          </cell>
          <cell r="X117" t="str">
            <v>JPY</v>
          </cell>
          <cell r="Y117">
            <v>13500000</v>
          </cell>
          <cell r="Z117">
            <v>1</v>
          </cell>
          <cell r="AA117">
            <v>13500000</v>
          </cell>
          <cell r="AB117">
            <v>7.3599999999999999E-2</v>
          </cell>
          <cell r="AC117">
            <v>993600</v>
          </cell>
          <cell r="AD117">
            <v>119232</v>
          </cell>
          <cell r="AE117">
            <v>0.12</v>
          </cell>
          <cell r="AF117">
            <v>43259</v>
          </cell>
          <cell r="AG117" t="str">
            <v>DAP SZ</v>
          </cell>
          <cell r="AH117"/>
          <cell r="AI117"/>
          <cell r="AJ117"/>
          <cell r="AK117">
            <v>0.1</v>
          </cell>
          <cell r="AL117">
            <v>1350000</v>
          </cell>
          <cell r="AM117"/>
          <cell r="AN117" t="str">
            <v>No</v>
          </cell>
          <cell r="AO117">
            <v>0.9</v>
          </cell>
          <cell r="AP117">
            <v>12150000</v>
          </cell>
          <cell r="AQ117"/>
          <cell r="AR117"/>
          <cell r="AS117">
            <v>0</v>
          </cell>
          <cell r="AT117">
            <v>0</v>
          </cell>
          <cell r="AV117"/>
          <cell r="AX117" t="str">
            <v>Cancel</v>
          </cell>
          <cell r="AY117"/>
          <cell r="AZ117"/>
          <cell r="BA117" t="str">
            <v>Cancel</v>
          </cell>
        </row>
        <row r="118">
          <cell r="B118">
            <v>24</v>
          </cell>
          <cell r="C118" t="str">
            <v>C49SZX20180055ZX</v>
          </cell>
          <cell r="D118" t="str">
            <v>栩骊</v>
          </cell>
          <cell r="E118" t="str">
            <v>YSM20-2</v>
          </cell>
          <cell r="F118" t="str">
            <v>NA</v>
          </cell>
          <cell r="G118" t="e">
            <v>#REF!</v>
          </cell>
          <cell r="H118" t="e">
            <v>#REF!</v>
          </cell>
          <cell r="I118" t="str">
            <v>L-&gt;R</v>
          </cell>
          <cell r="J118" t="str">
            <v>No</v>
          </cell>
          <cell r="K118">
            <v>1</v>
          </cell>
          <cell r="L118" t="str">
            <v>取消</v>
          </cell>
          <cell r="M118" t="e">
            <v>#N/A</v>
          </cell>
          <cell r="N118"/>
          <cell r="O118"/>
          <cell r="P118"/>
          <cell r="Q118"/>
          <cell r="R118" t="str">
            <v>No</v>
          </cell>
          <cell r="S118" t="str">
            <v>C49</v>
          </cell>
          <cell r="T118" t="str">
            <v>SOUTH</v>
          </cell>
          <cell r="U118" t="str">
            <v>深圳</v>
          </cell>
          <cell r="V118" t="str">
            <v>SZ 深圳</v>
          </cell>
          <cell r="W118" t="str">
            <v>ZX</v>
          </cell>
          <cell r="X118" t="str">
            <v>JPY</v>
          </cell>
          <cell r="Y118">
            <v>13500000</v>
          </cell>
          <cell r="Z118">
            <v>1</v>
          </cell>
          <cell r="AA118">
            <v>13500000</v>
          </cell>
          <cell r="AB118">
            <v>7.3599999999999999E-2</v>
          </cell>
          <cell r="AC118">
            <v>993600</v>
          </cell>
          <cell r="AD118">
            <v>119232</v>
          </cell>
          <cell r="AE118">
            <v>0.12</v>
          </cell>
          <cell r="AF118">
            <v>43259</v>
          </cell>
          <cell r="AG118" t="str">
            <v>DAP SZ</v>
          </cell>
          <cell r="AH118"/>
          <cell r="AI118"/>
          <cell r="AJ118"/>
          <cell r="AK118">
            <v>0.1</v>
          </cell>
          <cell r="AL118">
            <v>1350000</v>
          </cell>
          <cell r="AM118"/>
          <cell r="AN118" t="str">
            <v>No</v>
          </cell>
          <cell r="AO118">
            <v>0.9</v>
          </cell>
          <cell r="AP118">
            <v>12150000</v>
          </cell>
          <cell r="AQ118"/>
          <cell r="AR118"/>
          <cell r="AS118">
            <v>0</v>
          </cell>
          <cell r="AT118">
            <v>0</v>
          </cell>
          <cell r="AV118"/>
          <cell r="AX118" t="str">
            <v>Cancel</v>
          </cell>
          <cell r="AY118"/>
          <cell r="AZ118"/>
          <cell r="BA118" t="str">
            <v>Cancel</v>
          </cell>
        </row>
        <row r="119">
          <cell r="B119">
            <v>25</v>
          </cell>
          <cell r="C119" t="str">
            <v>C49SZX20180055ZX</v>
          </cell>
          <cell r="D119" t="str">
            <v>栩骊</v>
          </cell>
          <cell r="E119" t="str">
            <v>YSM20-2</v>
          </cell>
          <cell r="F119" t="str">
            <v>NA</v>
          </cell>
          <cell r="G119" t="e">
            <v>#REF!</v>
          </cell>
          <cell r="H119" t="e">
            <v>#REF!</v>
          </cell>
          <cell r="I119" t="str">
            <v>L-&gt;R</v>
          </cell>
          <cell r="J119" t="str">
            <v>No</v>
          </cell>
          <cell r="K119">
            <v>1</v>
          </cell>
          <cell r="L119" t="str">
            <v>取消</v>
          </cell>
          <cell r="M119" t="e">
            <v>#N/A</v>
          </cell>
          <cell r="N119"/>
          <cell r="O119"/>
          <cell r="P119"/>
          <cell r="Q119"/>
          <cell r="R119" t="str">
            <v>No</v>
          </cell>
          <cell r="S119" t="str">
            <v>C49</v>
          </cell>
          <cell r="T119" t="str">
            <v>SOUTH</v>
          </cell>
          <cell r="U119" t="str">
            <v>深圳</v>
          </cell>
          <cell r="V119" t="str">
            <v>SZ 深圳</v>
          </cell>
          <cell r="W119" t="str">
            <v>ZX</v>
          </cell>
          <cell r="X119" t="str">
            <v>JPY</v>
          </cell>
          <cell r="Y119">
            <v>13500000</v>
          </cell>
          <cell r="Z119">
            <v>1</v>
          </cell>
          <cell r="AA119">
            <v>13500000</v>
          </cell>
          <cell r="AB119">
            <v>7.3599999999999999E-2</v>
          </cell>
          <cell r="AC119">
            <v>993600</v>
          </cell>
          <cell r="AD119">
            <v>119232</v>
          </cell>
          <cell r="AE119">
            <v>0.12</v>
          </cell>
          <cell r="AF119">
            <v>43259</v>
          </cell>
          <cell r="AG119" t="str">
            <v>DAP SZ</v>
          </cell>
          <cell r="AH119"/>
          <cell r="AI119"/>
          <cell r="AJ119"/>
          <cell r="AK119">
            <v>0.1</v>
          </cell>
          <cell r="AL119">
            <v>1350000</v>
          </cell>
          <cell r="AM119"/>
          <cell r="AN119" t="str">
            <v>No</v>
          </cell>
          <cell r="AO119">
            <v>0.9</v>
          </cell>
          <cell r="AP119">
            <v>12150000</v>
          </cell>
          <cell r="AQ119"/>
          <cell r="AR119"/>
          <cell r="AS119">
            <v>0</v>
          </cell>
          <cell r="AT119">
            <v>0</v>
          </cell>
          <cell r="AV119"/>
          <cell r="AX119" t="str">
            <v>Cancel</v>
          </cell>
          <cell r="AY119"/>
          <cell r="AZ119"/>
          <cell r="BA119" t="str">
            <v>Cancel</v>
          </cell>
        </row>
        <row r="120">
          <cell r="B120">
            <v>26</v>
          </cell>
          <cell r="C120" t="str">
            <v>C49SZX20180055ZX</v>
          </cell>
          <cell r="D120" t="str">
            <v>栩骊</v>
          </cell>
          <cell r="E120" t="str">
            <v>YSM20-2</v>
          </cell>
          <cell r="F120" t="str">
            <v>NA</v>
          </cell>
          <cell r="G120" t="e">
            <v>#REF!</v>
          </cell>
          <cell r="H120" t="e">
            <v>#REF!</v>
          </cell>
          <cell r="I120" t="str">
            <v>L-&gt;R</v>
          </cell>
          <cell r="J120" t="str">
            <v>No</v>
          </cell>
          <cell r="K120">
            <v>1</v>
          </cell>
          <cell r="L120" t="str">
            <v>取消</v>
          </cell>
          <cell r="M120" t="e">
            <v>#N/A</v>
          </cell>
          <cell r="N120"/>
          <cell r="O120"/>
          <cell r="P120"/>
          <cell r="Q120"/>
          <cell r="R120" t="str">
            <v>No</v>
          </cell>
          <cell r="S120" t="str">
            <v>C49</v>
          </cell>
          <cell r="T120" t="str">
            <v>SOUTH</v>
          </cell>
          <cell r="U120" t="str">
            <v>深圳</v>
          </cell>
          <cell r="V120" t="str">
            <v>SZ 深圳</v>
          </cell>
          <cell r="W120" t="str">
            <v>ZX</v>
          </cell>
          <cell r="X120" t="str">
            <v>JPY</v>
          </cell>
          <cell r="Y120">
            <v>13500000</v>
          </cell>
          <cell r="Z120">
            <v>1</v>
          </cell>
          <cell r="AA120">
            <v>13500000</v>
          </cell>
          <cell r="AB120">
            <v>7.3599999999999999E-2</v>
          </cell>
          <cell r="AC120">
            <v>993600</v>
          </cell>
          <cell r="AD120">
            <v>119232</v>
          </cell>
          <cell r="AE120">
            <v>0.12</v>
          </cell>
          <cell r="AF120">
            <v>43259</v>
          </cell>
          <cell r="AG120" t="str">
            <v>DAP SZ</v>
          </cell>
          <cell r="AH120"/>
          <cell r="AI120"/>
          <cell r="AJ120"/>
          <cell r="AK120">
            <v>0.1</v>
          </cell>
          <cell r="AL120">
            <v>1350000</v>
          </cell>
          <cell r="AM120"/>
          <cell r="AN120" t="str">
            <v>No</v>
          </cell>
          <cell r="AO120">
            <v>0.9</v>
          </cell>
          <cell r="AP120">
            <v>12150000</v>
          </cell>
          <cell r="AQ120"/>
          <cell r="AR120"/>
          <cell r="AS120">
            <v>0</v>
          </cell>
          <cell r="AT120">
            <v>0</v>
          </cell>
          <cell r="AV120"/>
          <cell r="AX120" t="str">
            <v>Cancel</v>
          </cell>
          <cell r="AY120"/>
          <cell r="AZ120"/>
          <cell r="BA120" t="str">
            <v>Cancel</v>
          </cell>
        </row>
        <row r="121">
          <cell r="B121">
            <v>27</v>
          </cell>
          <cell r="C121" t="str">
            <v>C49SZX20180056ZX</v>
          </cell>
          <cell r="D121" t="str">
            <v>立昇</v>
          </cell>
          <cell r="E121" t="str">
            <v>YSM10</v>
          </cell>
          <cell r="F121" t="str">
            <v>NA</v>
          </cell>
          <cell r="G121" t="e">
            <v>#REF!</v>
          </cell>
          <cell r="H121" t="e">
            <v>#REF!</v>
          </cell>
          <cell r="I121" t="str">
            <v>L-&gt;R</v>
          </cell>
          <cell r="J121" t="str">
            <v>MVC+ATS15</v>
          </cell>
          <cell r="K121">
            <v>1</v>
          </cell>
          <cell r="L121" t="e">
            <v>#REF!</v>
          </cell>
          <cell r="M121" t="e">
            <v>#REF!</v>
          </cell>
          <cell r="N121"/>
          <cell r="O121"/>
          <cell r="P121"/>
          <cell r="Q121"/>
          <cell r="R121" t="str">
            <v>No</v>
          </cell>
          <cell r="S121" t="str">
            <v>C49</v>
          </cell>
          <cell r="T121" t="str">
            <v>SOUTH</v>
          </cell>
          <cell r="U121" t="str">
            <v>深圳</v>
          </cell>
          <cell r="V121" t="str">
            <v>SZ 深圳</v>
          </cell>
          <cell r="W121" t="str">
            <v>ZX</v>
          </cell>
          <cell r="X121" t="str">
            <v>JPY</v>
          </cell>
          <cell r="Y121">
            <v>9900000</v>
          </cell>
          <cell r="Z121">
            <v>1</v>
          </cell>
          <cell r="AA121">
            <v>9900000</v>
          </cell>
          <cell r="AB121">
            <v>7.4499999999999997E-2</v>
          </cell>
          <cell r="AC121">
            <v>737550</v>
          </cell>
          <cell r="AD121">
            <v>88506</v>
          </cell>
          <cell r="AE121">
            <v>0.12</v>
          </cell>
          <cell r="AF121">
            <v>43173</v>
          </cell>
          <cell r="AG121" t="str">
            <v>DAP</v>
          </cell>
          <cell r="AH121" t="str">
            <v>吊装2F</v>
          </cell>
          <cell r="AI121" t="str">
            <v>Na</v>
          </cell>
          <cell r="AJ121" t="str">
            <v>Na</v>
          </cell>
          <cell r="AK121">
            <v>0.1</v>
          </cell>
          <cell r="AL121">
            <v>990000</v>
          </cell>
          <cell r="AM121">
            <v>43191</v>
          </cell>
          <cell r="AN121" t="str">
            <v>Yes</v>
          </cell>
          <cell r="AO121">
            <v>0.9</v>
          </cell>
          <cell r="AP121">
            <v>8910000</v>
          </cell>
          <cell r="AQ121"/>
          <cell r="AR121"/>
          <cell r="AS121"/>
          <cell r="AT121">
            <v>0</v>
          </cell>
          <cell r="AV121"/>
          <cell r="AX121" t="str">
            <v>Cancel</v>
          </cell>
          <cell r="AY121"/>
          <cell r="AZ121"/>
          <cell r="BA121" t="str">
            <v>Cancel</v>
          </cell>
        </row>
        <row r="122">
          <cell r="B122">
            <v>28</v>
          </cell>
          <cell r="C122" t="str">
            <v>C49SZX20180056ZX</v>
          </cell>
          <cell r="D122" t="str">
            <v>立昇</v>
          </cell>
          <cell r="E122" t="str">
            <v>YSM20</v>
          </cell>
          <cell r="F122" t="str">
            <v>NA</v>
          </cell>
          <cell r="G122" t="e">
            <v>#REF!</v>
          </cell>
          <cell r="H122" t="e">
            <v>#REF!</v>
          </cell>
          <cell r="I122" t="str">
            <v>L-&gt;R</v>
          </cell>
          <cell r="J122" t="str">
            <v>No</v>
          </cell>
          <cell r="K122">
            <v>1</v>
          </cell>
          <cell r="L122" t="e">
            <v>#REF!</v>
          </cell>
          <cell r="M122" t="e">
            <v>#REF!</v>
          </cell>
          <cell r="N122"/>
          <cell r="O122"/>
          <cell r="P122"/>
          <cell r="Q122"/>
          <cell r="R122" t="str">
            <v>No</v>
          </cell>
          <cell r="S122" t="str">
            <v>C49</v>
          </cell>
          <cell r="T122" t="str">
            <v>SOUTH</v>
          </cell>
          <cell r="U122" t="str">
            <v>深圳</v>
          </cell>
          <cell r="V122" t="str">
            <v>SZ 深圳</v>
          </cell>
          <cell r="W122" t="str">
            <v>ZX</v>
          </cell>
          <cell r="X122" t="str">
            <v>JPY</v>
          </cell>
          <cell r="Y122">
            <v>15000000</v>
          </cell>
          <cell r="Z122">
            <v>1</v>
          </cell>
          <cell r="AA122">
            <v>15000000</v>
          </cell>
          <cell r="AB122">
            <v>7.4499999999999997E-2</v>
          </cell>
          <cell r="AC122">
            <v>1117500</v>
          </cell>
          <cell r="AD122">
            <v>134100</v>
          </cell>
          <cell r="AE122">
            <v>0.12</v>
          </cell>
          <cell r="AF122">
            <v>43173</v>
          </cell>
          <cell r="AG122" t="str">
            <v>DAP</v>
          </cell>
          <cell r="AH122" t="str">
            <v>吊装2F</v>
          </cell>
          <cell r="AI122" t="str">
            <v>Na</v>
          </cell>
          <cell r="AJ122" t="str">
            <v>Na</v>
          </cell>
          <cell r="AK122">
            <v>0.1</v>
          </cell>
          <cell r="AL122">
            <v>1500000</v>
          </cell>
          <cell r="AM122">
            <v>43191</v>
          </cell>
          <cell r="AN122" t="str">
            <v>Yes</v>
          </cell>
          <cell r="AO122">
            <v>0.9</v>
          </cell>
          <cell r="AP122">
            <v>13500000</v>
          </cell>
          <cell r="AQ122"/>
          <cell r="AR122"/>
          <cell r="AS122"/>
          <cell r="AT122">
            <v>0</v>
          </cell>
          <cell r="AV122"/>
          <cell r="AX122" t="str">
            <v>Cancel</v>
          </cell>
          <cell r="AY122"/>
          <cell r="AZ122"/>
          <cell r="BA122" t="str">
            <v>Cancel</v>
          </cell>
        </row>
        <row r="123">
          <cell r="B123">
            <v>29</v>
          </cell>
          <cell r="C123" t="str">
            <v>C49SZX20180056ZX</v>
          </cell>
          <cell r="D123" t="str">
            <v>立昇</v>
          </cell>
          <cell r="E123" t="str">
            <v>YSM20</v>
          </cell>
          <cell r="F123" t="str">
            <v>NA</v>
          </cell>
          <cell r="G123" t="e">
            <v>#REF!</v>
          </cell>
          <cell r="H123" t="e">
            <v>#REF!</v>
          </cell>
          <cell r="I123" t="str">
            <v>L-&gt;R</v>
          </cell>
          <cell r="J123" t="str">
            <v>No</v>
          </cell>
          <cell r="K123">
            <v>1</v>
          </cell>
          <cell r="L123" t="e">
            <v>#REF!</v>
          </cell>
          <cell r="M123" t="e">
            <v>#REF!</v>
          </cell>
          <cell r="N123"/>
          <cell r="O123"/>
          <cell r="P123"/>
          <cell r="Q123"/>
          <cell r="R123" t="str">
            <v>No</v>
          </cell>
          <cell r="S123" t="str">
            <v>C49</v>
          </cell>
          <cell r="T123" t="str">
            <v>SOUTH</v>
          </cell>
          <cell r="U123" t="str">
            <v>深圳</v>
          </cell>
          <cell r="V123" t="str">
            <v>SZ 深圳</v>
          </cell>
          <cell r="W123" t="str">
            <v>ZX</v>
          </cell>
          <cell r="X123" t="str">
            <v>JPY</v>
          </cell>
          <cell r="Y123">
            <v>15000000</v>
          </cell>
          <cell r="Z123">
            <v>1</v>
          </cell>
          <cell r="AA123">
            <v>15000000</v>
          </cell>
          <cell r="AB123">
            <v>7.4499999999999997E-2</v>
          </cell>
          <cell r="AC123">
            <v>1117500</v>
          </cell>
          <cell r="AD123">
            <v>134100</v>
          </cell>
          <cell r="AE123">
            <v>0.12</v>
          </cell>
          <cell r="AF123">
            <v>43173</v>
          </cell>
          <cell r="AG123" t="str">
            <v>DAP</v>
          </cell>
          <cell r="AH123" t="str">
            <v>吊装2F</v>
          </cell>
          <cell r="AI123" t="str">
            <v>Na</v>
          </cell>
          <cell r="AJ123" t="str">
            <v>Na</v>
          </cell>
          <cell r="AK123">
            <v>0.1</v>
          </cell>
          <cell r="AL123">
            <v>1500000</v>
          </cell>
          <cell r="AM123">
            <v>43191</v>
          </cell>
          <cell r="AN123" t="str">
            <v>Yes</v>
          </cell>
          <cell r="AO123">
            <v>0.9</v>
          </cell>
          <cell r="AP123">
            <v>13500000</v>
          </cell>
          <cell r="AQ123"/>
          <cell r="AR123"/>
          <cell r="AS123"/>
          <cell r="AT123">
            <v>0</v>
          </cell>
          <cell r="AV123"/>
          <cell r="AX123" t="str">
            <v>Cancel</v>
          </cell>
          <cell r="AY123"/>
          <cell r="AZ123"/>
          <cell r="BA123" t="str">
            <v>Cancel</v>
          </cell>
        </row>
        <row r="124">
          <cell r="B124"/>
          <cell r="C124" t="str">
            <v>C49SZX20180057SS</v>
          </cell>
          <cell r="D124" t="str">
            <v>亮程</v>
          </cell>
          <cell r="E124" t="str">
            <v>YSM10</v>
          </cell>
          <cell r="F124" t="str">
            <v>NA</v>
          </cell>
          <cell r="G124" t="e">
            <v>#REF!</v>
          </cell>
          <cell r="H124" t="e">
            <v>#REF!</v>
          </cell>
          <cell r="K124">
            <v>1</v>
          </cell>
          <cell r="L124" t="str">
            <v>已经送货</v>
          </cell>
          <cell r="M124" t="str">
            <v>2018/4</v>
          </cell>
          <cell r="O124">
            <v>11100247</v>
          </cell>
          <cell r="P124">
            <v>736000</v>
          </cell>
          <cell r="Q124">
            <v>43191</v>
          </cell>
          <cell r="R124" t="str">
            <v>Yes</v>
          </cell>
          <cell r="S124" t="str">
            <v>C49</v>
          </cell>
          <cell r="T124" t="str">
            <v>SOUTH</v>
          </cell>
          <cell r="U124" t="str">
            <v>佛山</v>
          </cell>
          <cell r="V124" t="str">
            <v>SZ 深圳</v>
          </cell>
          <cell r="W124" t="str">
            <v>SS</v>
          </cell>
          <cell r="X124" t="str">
            <v>RMB</v>
          </cell>
          <cell r="Y124">
            <v>736000</v>
          </cell>
          <cell r="Z124">
            <v>1.17</v>
          </cell>
          <cell r="AA124">
            <v>736000</v>
          </cell>
          <cell r="AB124">
            <v>1.23</v>
          </cell>
          <cell r="AC124">
            <v>773743.58974358975</v>
          </cell>
          <cell r="AD124">
            <v>92849.230769230766</v>
          </cell>
          <cell r="AE124">
            <v>0.12</v>
          </cell>
          <cell r="AF124">
            <v>43178</v>
          </cell>
          <cell r="AG124" t="str">
            <v>含税到厂</v>
          </cell>
          <cell r="AH124" t="str">
            <v>吊装4楼</v>
          </cell>
          <cell r="AI124" t="str">
            <v>Na</v>
          </cell>
          <cell r="AJ124" t="str">
            <v>Na</v>
          </cell>
          <cell r="AK124">
            <v>1</v>
          </cell>
          <cell r="AL124">
            <v>736000</v>
          </cell>
          <cell r="AM124">
            <v>43160</v>
          </cell>
          <cell r="AN124" t="str">
            <v>Yes</v>
          </cell>
          <cell r="AO124">
            <v>0</v>
          </cell>
          <cell r="AP124">
            <v>0</v>
          </cell>
          <cell r="AR124"/>
          <cell r="AS124">
            <v>0</v>
          </cell>
          <cell r="AT124">
            <v>0</v>
          </cell>
          <cell r="AV124"/>
          <cell r="AX124" t="str">
            <v>Yes</v>
          </cell>
          <cell r="AY124"/>
          <cell r="BA124" t="str">
            <v>Yes</v>
          </cell>
        </row>
        <row r="125">
          <cell r="B125">
            <v>30</v>
          </cell>
          <cell r="C125" t="str">
            <v>C49SZX20180058KW</v>
          </cell>
          <cell r="D125" t="str">
            <v>STK深台</v>
          </cell>
          <cell r="E125" t="str">
            <v>YSM10</v>
          </cell>
          <cell r="F125" t="str">
            <v>NA</v>
          </cell>
          <cell r="G125" t="e">
            <v>#REF!</v>
          </cell>
          <cell r="H125" t="e">
            <v>#REF!</v>
          </cell>
          <cell r="I125" t="str">
            <v>L-&gt;R</v>
          </cell>
          <cell r="J125" t="str">
            <v>MVC</v>
          </cell>
          <cell r="K125">
            <v>1</v>
          </cell>
          <cell r="L125">
            <v>109238</v>
          </cell>
          <cell r="M125" t="str">
            <v>APR 19</v>
          </cell>
          <cell r="O125">
            <v>11100288</v>
          </cell>
          <cell r="P125">
            <v>756588</v>
          </cell>
          <cell r="Q125">
            <v>43556</v>
          </cell>
          <cell r="R125" t="str">
            <v>Yes</v>
          </cell>
          <cell r="S125" t="str">
            <v>C49</v>
          </cell>
          <cell r="T125" t="str">
            <v>SOUTH</v>
          </cell>
          <cell r="U125" t="str">
            <v>深圳</v>
          </cell>
          <cell r="V125" t="str">
            <v>SZ 深圳</v>
          </cell>
          <cell r="W125" t="str">
            <v>KW</v>
          </cell>
          <cell r="X125" t="str">
            <v>RMB</v>
          </cell>
          <cell r="Y125">
            <v>756588</v>
          </cell>
          <cell r="Z125">
            <v>1.1299999999999999</v>
          </cell>
          <cell r="AA125">
            <v>756588</v>
          </cell>
          <cell r="AB125">
            <v>1.23</v>
          </cell>
          <cell r="AC125">
            <v>823542.69026548672</v>
          </cell>
          <cell r="AD125">
            <v>98825.122831858404</v>
          </cell>
          <cell r="AE125">
            <v>0.12</v>
          </cell>
          <cell r="AF125">
            <v>43230</v>
          </cell>
          <cell r="AG125" t="str">
            <v>DDP SZ</v>
          </cell>
          <cell r="AH125"/>
          <cell r="AI125"/>
          <cell r="AJ125"/>
          <cell r="AK125">
            <v>0.05</v>
          </cell>
          <cell r="AL125">
            <v>37829.4</v>
          </cell>
          <cell r="AM125">
            <v>43221</v>
          </cell>
          <cell r="AN125" t="str">
            <v>Yes</v>
          </cell>
          <cell r="AO125" t="str">
            <v>agree</v>
          </cell>
          <cell r="AP125">
            <v>1000000</v>
          </cell>
          <cell r="AQ125">
            <v>43556</v>
          </cell>
          <cell r="AR125">
            <v>43577</v>
          </cell>
          <cell r="AS125" t="str">
            <v>agree</v>
          </cell>
          <cell r="AT125">
            <v>666799.5</v>
          </cell>
          <cell r="AU125">
            <v>43556</v>
          </cell>
          <cell r="AV125">
            <v>43578</v>
          </cell>
          <cell r="AW125" t="str">
            <v>complete</v>
          </cell>
          <cell r="AX125" t="str">
            <v>Yes</v>
          </cell>
          <cell r="AY125"/>
          <cell r="AZ125" t="str">
            <v>Y</v>
          </cell>
          <cell r="BA125" t="str">
            <v>Yes</v>
          </cell>
        </row>
        <row r="126">
          <cell r="B126">
            <v>31</v>
          </cell>
          <cell r="C126" t="str">
            <v>C49SZX20180058KW</v>
          </cell>
          <cell r="D126" t="str">
            <v>STK深台</v>
          </cell>
          <cell r="E126" t="str">
            <v>YSM20-2</v>
          </cell>
          <cell r="F126" t="str">
            <v>NA</v>
          </cell>
          <cell r="G126" t="e">
            <v>#REF!</v>
          </cell>
          <cell r="H126" t="e">
            <v>#REF!</v>
          </cell>
          <cell r="I126" t="str">
            <v>L-&gt;R</v>
          </cell>
          <cell r="J126" t="str">
            <v>No</v>
          </cell>
          <cell r="K126">
            <v>1</v>
          </cell>
          <cell r="L126">
            <v>109352</v>
          </cell>
          <cell r="M126" t="str">
            <v>APR 19</v>
          </cell>
          <cell r="O126">
            <v>11100288</v>
          </cell>
          <cell r="P126">
            <v>1000000</v>
          </cell>
          <cell r="Q126">
            <v>43556</v>
          </cell>
          <cell r="R126" t="str">
            <v>Yes</v>
          </cell>
          <cell r="S126" t="str">
            <v>C49</v>
          </cell>
          <cell r="T126" t="str">
            <v>SOUTH</v>
          </cell>
          <cell r="U126" t="str">
            <v>深圳</v>
          </cell>
          <cell r="V126" t="str">
            <v>SZ 深圳</v>
          </cell>
          <cell r="W126" t="str">
            <v>KW</v>
          </cell>
          <cell r="X126" t="str">
            <v>RMB</v>
          </cell>
          <cell r="Y126">
            <v>1000000</v>
          </cell>
          <cell r="Z126">
            <v>1.1299999999999999</v>
          </cell>
          <cell r="AA126">
            <v>1000000</v>
          </cell>
          <cell r="AB126">
            <v>1.23</v>
          </cell>
          <cell r="AC126">
            <v>1088495.5752212391</v>
          </cell>
          <cell r="AD126">
            <v>130619.46902654869</v>
          </cell>
          <cell r="AE126">
            <v>0.12</v>
          </cell>
          <cell r="AF126">
            <v>43230</v>
          </cell>
          <cell r="AG126" t="str">
            <v>DDP SZ</v>
          </cell>
          <cell r="AH126"/>
          <cell r="AI126"/>
          <cell r="AJ126"/>
          <cell r="AK126">
            <v>0.05</v>
          </cell>
          <cell r="AL126">
            <v>50000</v>
          </cell>
          <cell r="AM126">
            <v>43221</v>
          </cell>
          <cell r="AN126" t="str">
            <v>Yes</v>
          </cell>
          <cell r="AO126" t="str">
            <v>complete</v>
          </cell>
          <cell r="AP126"/>
          <cell r="AR126"/>
          <cell r="AS126"/>
          <cell r="AT126"/>
          <cell r="AV126"/>
          <cell r="AX126" t="str">
            <v>Yes</v>
          </cell>
          <cell r="AY126"/>
          <cell r="AZ126" t="str">
            <v>Y</v>
          </cell>
          <cell r="BA126" t="str">
            <v>Yes</v>
          </cell>
        </row>
        <row r="127">
          <cell r="B127"/>
          <cell r="C127" t="str">
            <v>C49SZX20180059ZX</v>
          </cell>
          <cell r="D127" t="str">
            <v>骏达</v>
          </cell>
          <cell r="E127" t="str">
            <v>YSM10</v>
          </cell>
          <cell r="F127" t="str">
            <v>NA</v>
          </cell>
          <cell r="G127" t="e">
            <v>#REF!</v>
          </cell>
          <cell r="H127" t="e">
            <v>#REF!</v>
          </cell>
          <cell r="K127">
            <v>1</v>
          </cell>
          <cell r="L127" t="str">
            <v>已经送货</v>
          </cell>
          <cell r="M127" t="str">
            <v>2018/6</v>
          </cell>
          <cell r="O127">
            <v>11116117</v>
          </cell>
          <cell r="P127">
            <v>9330000</v>
          </cell>
          <cell r="Q127">
            <v>43252</v>
          </cell>
          <cell r="R127" t="str">
            <v>No</v>
          </cell>
          <cell r="S127" t="str">
            <v>C49</v>
          </cell>
          <cell r="T127" t="str">
            <v>SOUTH</v>
          </cell>
          <cell r="U127" t="str">
            <v>江门</v>
          </cell>
          <cell r="V127" t="str">
            <v>SZ 深圳</v>
          </cell>
          <cell r="W127" t="str">
            <v>ZX</v>
          </cell>
          <cell r="X127" t="str">
            <v>JPY</v>
          </cell>
          <cell r="Y127">
            <v>9330000</v>
          </cell>
          <cell r="Z127">
            <v>1</v>
          </cell>
          <cell r="AA127">
            <v>9330000</v>
          </cell>
          <cell r="AB127">
            <v>7.51E-2</v>
          </cell>
          <cell r="AC127">
            <v>700683</v>
          </cell>
          <cell r="AD127">
            <v>84081.959999999992</v>
          </cell>
          <cell r="AE127">
            <v>0.12</v>
          </cell>
          <cell r="AF127">
            <v>43214</v>
          </cell>
          <cell r="AG127" t="str">
            <v>DAP</v>
          </cell>
          <cell r="AH127" t="str">
            <v>卸货一楼</v>
          </cell>
          <cell r="AI127"/>
          <cell r="AJ127"/>
          <cell r="AK127">
            <v>0.1</v>
          </cell>
          <cell r="AL127">
            <v>933000</v>
          </cell>
          <cell r="AM127">
            <v>43191</v>
          </cell>
          <cell r="AN127" t="str">
            <v>Yes</v>
          </cell>
          <cell r="AO127">
            <v>0.9</v>
          </cell>
          <cell r="AP127">
            <v>8397000</v>
          </cell>
          <cell r="AQ127">
            <v>43252</v>
          </cell>
          <cell r="AR127">
            <v>43266</v>
          </cell>
          <cell r="AS127"/>
          <cell r="AT127">
            <v>0</v>
          </cell>
          <cell r="AV127"/>
          <cell r="AY127" t="str">
            <v>Yes</v>
          </cell>
          <cell r="AZ127" t="str">
            <v>Y</v>
          </cell>
          <cell r="BA127" t="str">
            <v>Yes</v>
          </cell>
        </row>
        <row r="128">
          <cell r="B128"/>
          <cell r="C128" t="str">
            <v>C49SZX20180060JL</v>
          </cell>
          <cell r="D128" t="str">
            <v>Tuopuai拓普艾</v>
          </cell>
          <cell r="E128" t="str">
            <v>YSM20-2</v>
          </cell>
          <cell r="F128" t="str">
            <v>NA</v>
          </cell>
          <cell r="G128" t="e">
            <v>#REF!</v>
          </cell>
          <cell r="H128" t="e">
            <v>#REF!</v>
          </cell>
          <cell r="K128">
            <v>2</v>
          </cell>
          <cell r="L128" t="str">
            <v>已经送货</v>
          </cell>
          <cell r="M128" t="str">
            <v>2018/8</v>
          </cell>
          <cell r="O128">
            <v>11116187</v>
          </cell>
          <cell r="P128">
            <v>31600000</v>
          </cell>
          <cell r="Q128">
            <v>43313</v>
          </cell>
          <cell r="R128" t="str">
            <v>No</v>
          </cell>
          <cell r="S128" t="str">
            <v>C49</v>
          </cell>
          <cell r="T128" t="str">
            <v>SOUTH</v>
          </cell>
          <cell r="U128" t="str">
            <v>深圳</v>
          </cell>
          <cell r="V128" t="str">
            <v>SZ 深圳</v>
          </cell>
          <cell r="W128" t="str">
            <v>JL</v>
          </cell>
          <cell r="X128" t="str">
            <v>JPY</v>
          </cell>
          <cell r="Y128">
            <v>15800000</v>
          </cell>
          <cell r="Z128">
            <v>1</v>
          </cell>
          <cell r="AA128">
            <v>31600000</v>
          </cell>
          <cell r="AB128">
            <v>7.51E-2</v>
          </cell>
          <cell r="AC128">
            <v>2373160</v>
          </cell>
          <cell r="AD128">
            <v>284779.2</v>
          </cell>
          <cell r="AE128">
            <v>0.12</v>
          </cell>
          <cell r="AF128">
            <v>43203</v>
          </cell>
          <cell r="AG128" t="str">
            <v>CIF</v>
          </cell>
          <cell r="AH128"/>
          <cell r="AI128">
            <v>900000</v>
          </cell>
          <cell r="AJ128">
            <v>43334</v>
          </cell>
          <cell r="AK128">
            <v>0.3</v>
          </cell>
          <cell r="AL128">
            <v>9480000</v>
          </cell>
          <cell r="AM128">
            <v>43191</v>
          </cell>
          <cell r="AN128" t="str">
            <v>Yes</v>
          </cell>
          <cell r="AO128" t="str">
            <v>agree</v>
          </cell>
          <cell r="AP128">
            <v>15130000</v>
          </cell>
          <cell r="AQ128">
            <v>43344</v>
          </cell>
          <cell r="AR128">
            <v>43346</v>
          </cell>
          <cell r="AS128" t="str">
            <v>agree</v>
          </cell>
          <cell r="AT128" t="e">
            <v>#VALUE!</v>
          </cell>
          <cell r="AU128">
            <v>43344</v>
          </cell>
          <cell r="AV128">
            <v>43346</v>
          </cell>
          <cell r="AW128" t="str">
            <v xml:space="preserve">complete </v>
          </cell>
          <cell r="AX128" t="str">
            <v>Yes</v>
          </cell>
          <cell r="AY128"/>
          <cell r="AZ128" t="str">
            <v>Y</v>
          </cell>
          <cell r="BA128" t="str">
            <v>Yes</v>
          </cell>
        </row>
        <row r="129">
          <cell r="B129"/>
          <cell r="C129" t="str">
            <v>C49SZX20180060JL</v>
          </cell>
          <cell r="D129" t="str">
            <v>Tuopuai拓普艾 Sales accural In July</v>
          </cell>
          <cell r="E129" t="str">
            <v>YSM10</v>
          </cell>
          <cell r="F129" t="str">
            <v>NA</v>
          </cell>
          <cell r="G129" t="e">
            <v>#REF!</v>
          </cell>
          <cell r="H129" t="e">
            <v>#REF!</v>
          </cell>
          <cell r="K129">
            <v>2</v>
          </cell>
          <cell r="L129" t="str">
            <v>已经送货</v>
          </cell>
          <cell r="M129" t="str">
            <v>JUL 18</v>
          </cell>
          <cell r="O129">
            <v>11116176</v>
          </cell>
          <cell r="P129">
            <v>23400000</v>
          </cell>
          <cell r="Q129">
            <v>43313</v>
          </cell>
          <cell r="R129" t="str">
            <v>No</v>
          </cell>
          <cell r="S129" t="str">
            <v>C49</v>
          </cell>
          <cell r="T129" t="str">
            <v>SOUTH</v>
          </cell>
          <cell r="U129" t="str">
            <v>深圳</v>
          </cell>
          <cell r="V129" t="str">
            <v>SZ 深圳</v>
          </cell>
          <cell r="W129" t="str">
            <v>JL</v>
          </cell>
          <cell r="X129" t="str">
            <v>JPY</v>
          </cell>
          <cell r="Y129">
            <v>11700000</v>
          </cell>
          <cell r="Z129">
            <v>1</v>
          </cell>
          <cell r="AA129">
            <v>23400000</v>
          </cell>
          <cell r="AB129">
            <v>7.51E-2</v>
          </cell>
          <cell r="AC129">
            <v>1757340</v>
          </cell>
          <cell r="AD129">
            <v>210880.8</v>
          </cell>
          <cell r="AE129">
            <v>0.12</v>
          </cell>
          <cell r="AF129">
            <v>43203</v>
          </cell>
          <cell r="AG129" t="str">
            <v>CIF</v>
          </cell>
          <cell r="AH129"/>
          <cell r="AI129">
            <v>1000000</v>
          </cell>
          <cell r="AJ129">
            <v>43300</v>
          </cell>
          <cell r="AK129">
            <v>0.3</v>
          </cell>
          <cell r="AL129">
            <v>7020000</v>
          </cell>
          <cell r="AM129">
            <v>43191</v>
          </cell>
          <cell r="AN129" t="str">
            <v>Yes</v>
          </cell>
          <cell r="AO129" t="str">
            <v>agree</v>
          </cell>
          <cell r="AP129">
            <v>16380000</v>
          </cell>
          <cell r="AQ129">
            <v>43313</v>
          </cell>
          <cell r="AR129">
            <v>43322</v>
          </cell>
          <cell r="AS129" t="str">
            <v>agree</v>
          </cell>
          <cell r="AT129" t="e">
            <v>#VALUE!</v>
          </cell>
          <cell r="AU129">
            <v>43313</v>
          </cell>
          <cell r="AV129">
            <v>43326</v>
          </cell>
          <cell r="AW129" t="str">
            <v xml:space="preserve">complete </v>
          </cell>
          <cell r="AX129" t="str">
            <v>Yes</v>
          </cell>
          <cell r="AY129"/>
          <cell r="AZ129" t="str">
            <v>Y</v>
          </cell>
          <cell r="BA129" t="str">
            <v>Yes</v>
          </cell>
        </row>
        <row r="130">
          <cell r="B130">
            <v>32</v>
          </cell>
          <cell r="C130" t="str">
            <v>C49SZX20180061JL</v>
          </cell>
          <cell r="D130" t="str">
            <v>Tuopuai拓普艾</v>
          </cell>
          <cell r="E130" t="str">
            <v>YSM20-2</v>
          </cell>
          <cell r="F130" t="str">
            <v>NA</v>
          </cell>
          <cell r="G130" t="e">
            <v>#REF!</v>
          </cell>
          <cell r="H130" t="e">
            <v>#REF!</v>
          </cell>
          <cell r="I130" t="str">
            <v>L-&gt;R</v>
          </cell>
          <cell r="J130" t="str">
            <v>No</v>
          </cell>
          <cell r="K130">
            <v>1</v>
          </cell>
          <cell r="L130" t="str">
            <v>取消</v>
          </cell>
          <cell r="M130" t="e">
            <v>#N/A</v>
          </cell>
          <cell r="N130"/>
          <cell r="O130"/>
          <cell r="P130"/>
          <cell r="Q130"/>
          <cell r="R130" t="str">
            <v>No</v>
          </cell>
          <cell r="S130" t="str">
            <v>C49</v>
          </cell>
          <cell r="T130" t="str">
            <v>SOUTH</v>
          </cell>
          <cell r="U130" t="str">
            <v>深圳</v>
          </cell>
          <cell r="V130" t="str">
            <v>SZ 深圳</v>
          </cell>
          <cell r="W130" t="str">
            <v>JL</v>
          </cell>
          <cell r="X130" t="str">
            <v>JPY</v>
          </cell>
          <cell r="Y130">
            <v>15800000</v>
          </cell>
          <cell r="Z130">
            <v>1</v>
          </cell>
          <cell r="AA130">
            <v>15800000</v>
          </cell>
          <cell r="AB130">
            <v>7.51E-2</v>
          </cell>
          <cell r="AC130">
            <v>1186580</v>
          </cell>
          <cell r="AD130">
            <v>142389.6</v>
          </cell>
          <cell r="AE130">
            <v>0.12</v>
          </cell>
          <cell r="AF130">
            <v>43203</v>
          </cell>
          <cell r="AG130" t="str">
            <v>CIF</v>
          </cell>
          <cell r="AH130"/>
          <cell r="AI130">
            <v>300000</v>
          </cell>
          <cell r="AJ130">
            <v>43364</v>
          </cell>
          <cell r="AK130">
            <v>0.3</v>
          </cell>
          <cell r="AL130">
            <v>4740000</v>
          </cell>
          <cell r="AM130"/>
          <cell r="AN130" t="str">
            <v>Yes</v>
          </cell>
          <cell r="AO130">
            <v>0.7</v>
          </cell>
          <cell r="AP130">
            <v>11060000</v>
          </cell>
          <cell r="AQ130"/>
          <cell r="AR130"/>
          <cell r="AS130"/>
          <cell r="AT130">
            <v>0</v>
          </cell>
          <cell r="AU130"/>
          <cell r="AV130"/>
          <cell r="AW130"/>
          <cell r="AX130" t="str">
            <v>Cancel</v>
          </cell>
          <cell r="AY130"/>
          <cell r="AZ130"/>
          <cell r="BA130" t="str">
            <v>Cancel</v>
          </cell>
          <cell r="BB130"/>
        </row>
        <row r="131">
          <cell r="B131">
            <v>33</v>
          </cell>
          <cell r="C131" t="str">
            <v>C49SZX20180061JL</v>
          </cell>
          <cell r="D131" t="str">
            <v>Tuopuai拓普艾</v>
          </cell>
          <cell r="E131" t="str">
            <v>YSM10</v>
          </cell>
          <cell r="F131" t="str">
            <v>NA</v>
          </cell>
          <cell r="G131" t="e">
            <v>#REF!</v>
          </cell>
          <cell r="H131" t="e">
            <v>#REF!</v>
          </cell>
          <cell r="I131" t="str">
            <v>L-&gt;R</v>
          </cell>
          <cell r="J131" t="str">
            <v>MVC</v>
          </cell>
          <cell r="K131">
            <v>1</v>
          </cell>
          <cell r="L131" t="str">
            <v>取消</v>
          </cell>
          <cell r="M131" t="e">
            <v>#N/A</v>
          </cell>
          <cell r="N131"/>
          <cell r="O131"/>
          <cell r="P131"/>
          <cell r="Q131"/>
          <cell r="R131" t="str">
            <v>No</v>
          </cell>
          <cell r="S131" t="str">
            <v>C49</v>
          </cell>
          <cell r="T131" t="str">
            <v>SOUTH</v>
          </cell>
          <cell r="U131" t="str">
            <v>深圳</v>
          </cell>
          <cell r="V131" t="str">
            <v>SZ 深圳</v>
          </cell>
          <cell r="W131" t="str">
            <v>JL</v>
          </cell>
          <cell r="X131" t="str">
            <v>JPY</v>
          </cell>
          <cell r="Y131">
            <v>11700000</v>
          </cell>
          <cell r="Z131">
            <v>1</v>
          </cell>
          <cell r="AA131">
            <v>11700000</v>
          </cell>
          <cell r="AB131">
            <v>7.51E-2</v>
          </cell>
          <cell r="AC131">
            <v>878670</v>
          </cell>
          <cell r="AD131">
            <v>105440.4</v>
          </cell>
          <cell r="AE131">
            <v>0.12</v>
          </cell>
          <cell r="AF131">
            <v>43203</v>
          </cell>
          <cell r="AG131" t="str">
            <v>CIF</v>
          </cell>
          <cell r="AH131"/>
          <cell r="AI131">
            <v>300000</v>
          </cell>
          <cell r="AJ131">
            <v>43364</v>
          </cell>
          <cell r="AK131">
            <v>0.3</v>
          </cell>
          <cell r="AL131">
            <v>3510000</v>
          </cell>
          <cell r="AM131"/>
          <cell r="AN131" t="str">
            <v>Yes</v>
          </cell>
          <cell r="AO131">
            <v>0.7</v>
          </cell>
          <cell r="AP131">
            <v>8189999.9999999991</v>
          </cell>
          <cell r="AQ131"/>
          <cell r="AR131"/>
          <cell r="AS131"/>
          <cell r="AT131">
            <v>0</v>
          </cell>
          <cell r="AU131"/>
          <cell r="AV131"/>
          <cell r="AW131"/>
          <cell r="AX131" t="str">
            <v>Cancel</v>
          </cell>
          <cell r="AY131"/>
          <cell r="AZ131"/>
          <cell r="BA131" t="str">
            <v>Cancel</v>
          </cell>
          <cell r="BB131"/>
        </row>
        <row r="132">
          <cell r="B132">
            <v>34</v>
          </cell>
          <cell r="C132" t="str">
            <v>C49SZX20180061JL</v>
          </cell>
          <cell r="D132" t="str">
            <v>Tuopuai拓普艾</v>
          </cell>
          <cell r="E132" t="str">
            <v>YSM20-2</v>
          </cell>
          <cell r="F132" t="str">
            <v>NA</v>
          </cell>
          <cell r="G132" t="e">
            <v>#REF!</v>
          </cell>
          <cell r="H132" t="e">
            <v>#REF!</v>
          </cell>
          <cell r="I132" t="str">
            <v>L-&gt;R</v>
          </cell>
          <cell r="J132" t="str">
            <v>No</v>
          </cell>
          <cell r="K132">
            <v>1</v>
          </cell>
          <cell r="L132" t="str">
            <v>取消</v>
          </cell>
          <cell r="M132" t="e">
            <v>#N/A</v>
          </cell>
          <cell r="N132"/>
          <cell r="O132"/>
          <cell r="P132"/>
          <cell r="Q132"/>
          <cell r="R132" t="str">
            <v>No</v>
          </cell>
          <cell r="S132" t="str">
            <v>C49</v>
          </cell>
          <cell r="T132" t="str">
            <v>SOUTH</v>
          </cell>
          <cell r="U132" t="str">
            <v>深圳</v>
          </cell>
          <cell r="V132" t="str">
            <v>SZ 深圳</v>
          </cell>
          <cell r="W132" t="str">
            <v>JL</v>
          </cell>
          <cell r="X132" t="str">
            <v>JPY</v>
          </cell>
          <cell r="Y132">
            <v>15800000</v>
          </cell>
          <cell r="Z132">
            <v>1</v>
          </cell>
          <cell r="AA132">
            <v>15800000</v>
          </cell>
          <cell r="AB132">
            <v>7.51E-2</v>
          </cell>
          <cell r="AC132">
            <v>1186580</v>
          </cell>
          <cell r="AD132">
            <v>142389.6</v>
          </cell>
          <cell r="AE132">
            <v>0.12</v>
          </cell>
          <cell r="AF132">
            <v>43203</v>
          </cell>
          <cell r="AG132" t="str">
            <v>CIF</v>
          </cell>
          <cell r="AH132"/>
          <cell r="AI132">
            <v>300000</v>
          </cell>
          <cell r="AJ132">
            <v>43364</v>
          </cell>
          <cell r="AK132">
            <v>0.3</v>
          </cell>
          <cell r="AL132">
            <v>4740000</v>
          </cell>
          <cell r="AM132"/>
          <cell r="AN132" t="str">
            <v>Yes</v>
          </cell>
          <cell r="AO132">
            <v>0.7</v>
          </cell>
          <cell r="AP132">
            <v>11060000</v>
          </cell>
          <cell r="AQ132"/>
          <cell r="AR132"/>
          <cell r="AS132"/>
          <cell r="AT132">
            <v>0</v>
          </cell>
          <cell r="AU132"/>
          <cell r="AV132"/>
          <cell r="AW132"/>
          <cell r="AX132" t="str">
            <v>Cancel</v>
          </cell>
          <cell r="AY132"/>
          <cell r="AZ132"/>
          <cell r="BA132" t="str">
            <v>Cancel</v>
          </cell>
          <cell r="BB132"/>
        </row>
        <row r="133">
          <cell r="B133">
            <v>35</v>
          </cell>
          <cell r="C133" t="str">
            <v>C49SZX20180061JL</v>
          </cell>
          <cell r="D133" t="str">
            <v>Tuopuai拓普艾</v>
          </cell>
          <cell r="E133" t="str">
            <v>YSM10</v>
          </cell>
          <cell r="F133" t="str">
            <v>NA</v>
          </cell>
          <cell r="G133" t="e">
            <v>#REF!</v>
          </cell>
          <cell r="H133" t="e">
            <v>#REF!</v>
          </cell>
          <cell r="I133" t="str">
            <v>L-&gt;R</v>
          </cell>
          <cell r="J133" t="str">
            <v>MVC</v>
          </cell>
          <cell r="K133">
            <v>1</v>
          </cell>
          <cell r="L133" t="str">
            <v>取消</v>
          </cell>
          <cell r="M133" t="e">
            <v>#N/A</v>
          </cell>
          <cell r="N133"/>
          <cell r="O133"/>
          <cell r="P133"/>
          <cell r="Q133"/>
          <cell r="R133" t="str">
            <v>No</v>
          </cell>
          <cell r="S133" t="str">
            <v>C49</v>
          </cell>
          <cell r="T133" t="str">
            <v>SOUTH</v>
          </cell>
          <cell r="U133" t="str">
            <v>深圳</v>
          </cell>
          <cell r="V133" t="str">
            <v>SZ 深圳</v>
          </cell>
          <cell r="W133" t="str">
            <v>JL</v>
          </cell>
          <cell r="X133" t="str">
            <v>JPY</v>
          </cell>
          <cell r="Y133">
            <v>11700000</v>
          </cell>
          <cell r="Z133">
            <v>1</v>
          </cell>
          <cell r="AA133">
            <v>11700000</v>
          </cell>
          <cell r="AB133">
            <v>7.51E-2</v>
          </cell>
          <cell r="AC133">
            <v>878670</v>
          </cell>
          <cell r="AD133">
            <v>105440.4</v>
          </cell>
          <cell r="AE133">
            <v>0.12</v>
          </cell>
          <cell r="AF133">
            <v>43203</v>
          </cell>
          <cell r="AG133" t="str">
            <v>CIF</v>
          </cell>
          <cell r="AH133"/>
          <cell r="AI133">
            <v>300000</v>
          </cell>
          <cell r="AJ133">
            <v>43364</v>
          </cell>
          <cell r="AK133">
            <v>0.3</v>
          </cell>
          <cell r="AL133">
            <v>3510000</v>
          </cell>
          <cell r="AM133"/>
          <cell r="AN133" t="str">
            <v>Yes</v>
          </cell>
          <cell r="AO133">
            <v>0.7</v>
          </cell>
          <cell r="AP133">
            <v>8189999.9999999991</v>
          </cell>
          <cell r="AQ133"/>
          <cell r="AR133"/>
          <cell r="AS133"/>
          <cell r="AT133">
            <v>0</v>
          </cell>
          <cell r="AU133"/>
          <cell r="AV133"/>
          <cell r="AW133"/>
          <cell r="AX133" t="str">
            <v>Cancel</v>
          </cell>
          <cell r="AY133"/>
          <cell r="AZ133"/>
          <cell r="BA133" t="str">
            <v>Cancel</v>
          </cell>
          <cell r="BB133"/>
        </row>
        <row r="134">
          <cell r="B134"/>
          <cell r="C134" t="str">
            <v>C49SZX20180062ZX</v>
          </cell>
          <cell r="D134" t="str">
            <v>亿联智能</v>
          </cell>
          <cell r="E134" t="str">
            <v>YSM20-2</v>
          </cell>
          <cell r="F134" t="str">
            <v>NA</v>
          </cell>
          <cell r="G134" t="e">
            <v>#REF!</v>
          </cell>
          <cell r="H134" t="e">
            <v>#REF!</v>
          </cell>
          <cell r="K134">
            <v>2</v>
          </cell>
          <cell r="L134" t="str">
            <v>已经送货</v>
          </cell>
          <cell r="M134" t="str">
            <v>SEP 18</v>
          </cell>
          <cell r="O134">
            <v>11116210</v>
          </cell>
          <cell r="P134">
            <v>28000000</v>
          </cell>
          <cell r="Q134"/>
          <cell r="R134" t="str">
            <v>Yes</v>
          </cell>
          <cell r="S134" t="str">
            <v>C49</v>
          </cell>
          <cell r="T134" t="str">
            <v>SOUTH</v>
          </cell>
          <cell r="U134" t="str">
            <v>深圳</v>
          </cell>
          <cell r="V134" t="str">
            <v>SZ 深圳</v>
          </cell>
          <cell r="W134" t="str">
            <v>ZX</v>
          </cell>
          <cell r="X134" t="str">
            <v>JPY</v>
          </cell>
          <cell r="Y134">
            <v>14000000</v>
          </cell>
          <cell r="Z134">
            <v>1</v>
          </cell>
          <cell r="AA134">
            <v>28000000</v>
          </cell>
          <cell r="AB134">
            <v>7.51E-2</v>
          </cell>
          <cell r="AC134">
            <v>2102800</v>
          </cell>
          <cell r="AD134">
            <v>252336</v>
          </cell>
          <cell r="AE134">
            <v>0.12</v>
          </cell>
          <cell r="AF134">
            <v>43202</v>
          </cell>
          <cell r="AG134" t="str">
            <v>DAP</v>
          </cell>
          <cell r="AH134" t="str">
            <v>吊装2F</v>
          </cell>
          <cell r="AI134"/>
          <cell r="AJ134"/>
          <cell r="AK134">
            <v>0.1</v>
          </cell>
          <cell r="AL134">
            <v>2800000</v>
          </cell>
          <cell r="AM134">
            <v>43191</v>
          </cell>
          <cell r="AN134" t="str">
            <v>Yes</v>
          </cell>
          <cell r="AO134">
            <v>0.9</v>
          </cell>
          <cell r="AP134">
            <v>25200000</v>
          </cell>
          <cell r="AQ134">
            <v>43344</v>
          </cell>
          <cell r="AR134">
            <v>43350</v>
          </cell>
          <cell r="AS134" t="str">
            <v>complete</v>
          </cell>
          <cell r="AT134" t="e">
            <v>#VALUE!</v>
          </cell>
          <cell r="AV134"/>
          <cell r="AX134" t="str">
            <v>Yes</v>
          </cell>
          <cell r="AY134"/>
          <cell r="AZ134" t="str">
            <v>Y</v>
          </cell>
          <cell r="BA134" t="str">
            <v>Yes</v>
          </cell>
        </row>
        <row r="135">
          <cell r="B135"/>
          <cell r="C135" t="str">
            <v>C49SZX20180062ZX</v>
          </cell>
          <cell r="D135" t="str">
            <v>亿联智能</v>
          </cell>
          <cell r="E135" t="str">
            <v>YSM10</v>
          </cell>
          <cell r="F135" t="str">
            <v>NA</v>
          </cell>
          <cell r="G135" t="e">
            <v>#REF!</v>
          </cell>
          <cell r="H135" t="e">
            <v>#REF!</v>
          </cell>
          <cell r="K135">
            <v>1</v>
          </cell>
          <cell r="L135" t="str">
            <v>已经送货</v>
          </cell>
          <cell r="M135" t="str">
            <v>SEP 18</v>
          </cell>
          <cell r="O135">
            <v>11116210</v>
          </cell>
          <cell r="P135">
            <v>9000000</v>
          </cell>
          <cell r="Q135"/>
          <cell r="R135" t="str">
            <v>Yes</v>
          </cell>
          <cell r="S135" t="str">
            <v>C49</v>
          </cell>
          <cell r="T135" t="str">
            <v>SOUTH</v>
          </cell>
          <cell r="U135" t="str">
            <v>深圳</v>
          </cell>
          <cell r="V135" t="str">
            <v>SZ 深圳</v>
          </cell>
          <cell r="W135" t="str">
            <v>ZX</v>
          </cell>
          <cell r="X135" t="str">
            <v>JPY</v>
          </cell>
          <cell r="Y135">
            <v>9000000</v>
          </cell>
          <cell r="Z135">
            <v>1</v>
          </cell>
          <cell r="AA135">
            <v>9000000</v>
          </cell>
          <cell r="AB135">
            <v>7.51E-2</v>
          </cell>
          <cell r="AC135">
            <v>675900</v>
          </cell>
          <cell r="AD135">
            <v>81108</v>
          </cell>
          <cell r="AE135">
            <v>0.12</v>
          </cell>
          <cell r="AF135">
            <v>43202</v>
          </cell>
          <cell r="AG135" t="str">
            <v>DAP</v>
          </cell>
          <cell r="AH135" t="str">
            <v>吊装2F</v>
          </cell>
          <cell r="AI135"/>
          <cell r="AJ135"/>
          <cell r="AK135">
            <v>0.1</v>
          </cell>
          <cell r="AL135">
            <v>900000</v>
          </cell>
          <cell r="AM135">
            <v>43191</v>
          </cell>
          <cell r="AN135" t="str">
            <v>Yes</v>
          </cell>
          <cell r="AO135">
            <v>0.9</v>
          </cell>
          <cell r="AP135">
            <v>8100000</v>
          </cell>
          <cell r="AQ135">
            <v>43344</v>
          </cell>
          <cell r="AR135">
            <v>43350</v>
          </cell>
          <cell r="AS135" t="str">
            <v>complete</v>
          </cell>
          <cell r="AT135" t="e">
            <v>#VALUE!</v>
          </cell>
          <cell r="AV135"/>
          <cell r="AX135" t="str">
            <v>Yes</v>
          </cell>
          <cell r="AY135"/>
          <cell r="AZ135" t="str">
            <v>Y</v>
          </cell>
          <cell r="BA135" t="str">
            <v>Yes</v>
          </cell>
        </row>
        <row r="136">
          <cell r="B136">
            <v>36</v>
          </cell>
          <cell r="C136" t="str">
            <v>C49SZX20180063ZX</v>
          </cell>
          <cell r="D136" t="str">
            <v>亿联智能</v>
          </cell>
          <cell r="E136" t="str">
            <v>YSM10</v>
          </cell>
          <cell r="F136" t="str">
            <v>NA</v>
          </cell>
          <cell r="G136" t="e">
            <v>#REF!</v>
          </cell>
          <cell r="H136" t="e">
            <v>#REF!</v>
          </cell>
          <cell r="I136" t="str">
            <v>L-&gt;R</v>
          </cell>
          <cell r="J136" t="str">
            <v>MVC+ATS15</v>
          </cell>
          <cell r="K136">
            <v>1</v>
          </cell>
          <cell r="L136" t="str">
            <v>取消</v>
          </cell>
          <cell r="M136" t="e">
            <v>#N/A</v>
          </cell>
          <cell r="N136"/>
          <cell r="O136"/>
          <cell r="P136"/>
          <cell r="Q136"/>
          <cell r="R136" t="str">
            <v>No</v>
          </cell>
          <cell r="S136" t="str">
            <v>C49</v>
          </cell>
          <cell r="T136" t="str">
            <v>SOUTH</v>
          </cell>
          <cell r="U136" t="str">
            <v>深圳</v>
          </cell>
          <cell r="V136" t="str">
            <v>SZ 深圳</v>
          </cell>
          <cell r="W136" t="str">
            <v>ZX</v>
          </cell>
          <cell r="X136" t="str">
            <v>JPY</v>
          </cell>
          <cell r="Y136">
            <v>9000000</v>
          </cell>
          <cell r="Z136">
            <v>1</v>
          </cell>
          <cell r="AA136">
            <v>9000000</v>
          </cell>
          <cell r="AB136">
            <v>7.51E-2</v>
          </cell>
          <cell r="AC136">
            <v>675900</v>
          </cell>
          <cell r="AD136">
            <v>81108</v>
          </cell>
          <cell r="AE136">
            <v>0.12</v>
          </cell>
          <cell r="AF136">
            <v>43202</v>
          </cell>
          <cell r="AG136" t="str">
            <v>DAP</v>
          </cell>
          <cell r="AH136" t="str">
            <v>吊装2F</v>
          </cell>
          <cell r="AI136"/>
          <cell r="AJ136"/>
          <cell r="AK136">
            <v>0.1</v>
          </cell>
          <cell r="AL136">
            <v>900000</v>
          </cell>
          <cell r="AM136"/>
          <cell r="AN136" t="str">
            <v>No</v>
          </cell>
          <cell r="AO136">
            <v>0.9</v>
          </cell>
          <cell r="AP136">
            <v>8100000</v>
          </cell>
          <cell r="AQ136"/>
          <cell r="AR136"/>
          <cell r="AS136"/>
          <cell r="AT136">
            <v>0</v>
          </cell>
          <cell r="AV136"/>
          <cell r="AX136" t="str">
            <v>Cancel</v>
          </cell>
          <cell r="AY136"/>
          <cell r="AZ136"/>
          <cell r="BA136" t="str">
            <v>Cancel</v>
          </cell>
        </row>
        <row r="137">
          <cell r="B137">
            <v>37</v>
          </cell>
          <cell r="C137" t="str">
            <v>C49SZX20180063ZX</v>
          </cell>
          <cell r="D137" t="str">
            <v>亿联智能</v>
          </cell>
          <cell r="E137" t="str">
            <v>YSM10</v>
          </cell>
          <cell r="F137" t="str">
            <v>NA</v>
          </cell>
          <cell r="G137" t="e">
            <v>#REF!</v>
          </cell>
          <cell r="H137" t="e">
            <v>#REF!</v>
          </cell>
          <cell r="I137" t="str">
            <v>L-&gt;R</v>
          </cell>
          <cell r="J137" t="str">
            <v>MVC+ATS15</v>
          </cell>
          <cell r="K137">
            <v>1</v>
          </cell>
          <cell r="L137" t="str">
            <v>取消</v>
          </cell>
          <cell r="M137" t="e">
            <v>#N/A</v>
          </cell>
          <cell r="N137"/>
          <cell r="O137"/>
          <cell r="P137"/>
          <cell r="Q137"/>
          <cell r="R137" t="str">
            <v>No</v>
          </cell>
          <cell r="S137" t="str">
            <v>C49</v>
          </cell>
          <cell r="T137" t="str">
            <v>SOUTH</v>
          </cell>
          <cell r="U137" t="str">
            <v>深圳</v>
          </cell>
          <cell r="V137" t="str">
            <v>SZ 深圳</v>
          </cell>
          <cell r="W137" t="str">
            <v>ZX</v>
          </cell>
          <cell r="X137" t="str">
            <v>JPY</v>
          </cell>
          <cell r="Y137">
            <v>9000000</v>
          </cell>
          <cell r="Z137">
            <v>1</v>
          </cell>
          <cell r="AA137">
            <v>9000000</v>
          </cell>
          <cell r="AB137">
            <v>7.51E-2</v>
          </cell>
          <cell r="AC137">
            <v>675900</v>
          </cell>
          <cell r="AD137">
            <v>81108</v>
          </cell>
          <cell r="AE137">
            <v>0.12</v>
          </cell>
          <cell r="AF137">
            <v>43202</v>
          </cell>
          <cell r="AG137" t="str">
            <v>DAP</v>
          </cell>
          <cell r="AH137" t="str">
            <v>吊装2F</v>
          </cell>
          <cell r="AI137"/>
          <cell r="AJ137"/>
          <cell r="AK137">
            <v>0.1</v>
          </cell>
          <cell r="AL137">
            <v>900000</v>
          </cell>
          <cell r="AM137"/>
          <cell r="AN137" t="str">
            <v>No</v>
          </cell>
          <cell r="AO137">
            <v>0.9</v>
          </cell>
          <cell r="AP137">
            <v>8100000</v>
          </cell>
          <cell r="AQ137"/>
          <cell r="AR137"/>
          <cell r="AS137"/>
          <cell r="AT137">
            <v>0</v>
          </cell>
          <cell r="AV137"/>
          <cell r="AX137" t="str">
            <v>Cancel</v>
          </cell>
          <cell r="AY137"/>
          <cell r="AZ137"/>
          <cell r="BA137" t="str">
            <v>Cancel</v>
          </cell>
        </row>
        <row r="138">
          <cell r="B138">
            <v>38</v>
          </cell>
          <cell r="C138" t="str">
            <v>C49SZX20180063ZX</v>
          </cell>
          <cell r="D138" t="str">
            <v>亿联智能</v>
          </cell>
          <cell r="E138" t="str">
            <v>YSM20-2</v>
          </cell>
          <cell r="F138" t="str">
            <v>NA</v>
          </cell>
          <cell r="G138" t="e">
            <v>#REF!</v>
          </cell>
          <cell r="H138" t="e">
            <v>#REF!</v>
          </cell>
          <cell r="I138" t="str">
            <v>L-&gt;R</v>
          </cell>
          <cell r="J138" t="str">
            <v>No</v>
          </cell>
          <cell r="K138">
            <v>1</v>
          </cell>
          <cell r="L138" t="str">
            <v>取消</v>
          </cell>
          <cell r="M138" t="e">
            <v>#N/A</v>
          </cell>
          <cell r="N138"/>
          <cell r="O138"/>
          <cell r="P138"/>
          <cell r="Q138"/>
          <cell r="R138" t="str">
            <v>No</v>
          </cell>
          <cell r="S138" t="str">
            <v>C49</v>
          </cell>
          <cell r="T138" t="str">
            <v>SOUTH</v>
          </cell>
          <cell r="U138" t="str">
            <v>深圳</v>
          </cell>
          <cell r="V138" t="str">
            <v>SZ 深圳</v>
          </cell>
          <cell r="W138" t="str">
            <v>ZX</v>
          </cell>
          <cell r="X138" t="str">
            <v>JPY</v>
          </cell>
          <cell r="Y138">
            <v>14000000</v>
          </cell>
          <cell r="Z138">
            <v>1</v>
          </cell>
          <cell r="AA138">
            <v>14000000</v>
          </cell>
          <cell r="AB138">
            <v>7.51E-2</v>
          </cell>
          <cell r="AC138">
            <v>1051400</v>
          </cell>
          <cell r="AD138">
            <v>126168</v>
          </cell>
          <cell r="AE138">
            <v>0.12</v>
          </cell>
          <cell r="AF138">
            <v>43202</v>
          </cell>
          <cell r="AG138" t="str">
            <v>DAP</v>
          </cell>
          <cell r="AH138" t="str">
            <v>吊装2F</v>
          </cell>
          <cell r="AI138"/>
          <cell r="AJ138"/>
          <cell r="AK138">
            <v>0.1</v>
          </cell>
          <cell r="AL138">
            <v>1400000</v>
          </cell>
          <cell r="AM138"/>
          <cell r="AN138" t="str">
            <v>No</v>
          </cell>
          <cell r="AO138">
            <v>0.9</v>
          </cell>
          <cell r="AP138">
            <v>12600000</v>
          </cell>
          <cell r="AQ138"/>
          <cell r="AR138"/>
          <cell r="AS138"/>
          <cell r="AT138">
            <v>0</v>
          </cell>
          <cell r="AV138"/>
          <cell r="AX138" t="str">
            <v>Cancel</v>
          </cell>
          <cell r="AY138"/>
          <cell r="AZ138"/>
          <cell r="BA138" t="str">
            <v>Cancel</v>
          </cell>
        </row>
        <row r="139">
          <cell r="B139">
            <v>39</v>
          </cell>
          <cell r="C139" t="str">
            <v>C49SZX20180063ZX</v>
          </cell>
          <cell r="D139" t="str">
            <v>亿联智能</v>
          </cell>
          <cell r="E139" t="str">
            <v>YSM20-2</v>
          </cell>
          <cell r="F139" t="str">
            <v>NA</v>
          </cell>
          <cell r="G139" t="e">
            <v>#REF!</v>
          </cell>
          <cell r="H139" t="e">
            <v>#REF!</v>
          </cell>
          <cell r="I139" t="str">
            <v>L-&gt;R</v>
          </cell>
          <cell r="J139" t="str">
            <v>No</v>
          </cell>
          <cell r="K139">
            <v>1</v>
          </cell>
          <cell r="L139" t="str">
            <v>取消</v>
          </cell>
          <cell r="M139" t="e">
            <v>#N/A</v>
          </cell>
          <cell r="N139"/>
          <cell r="O139"/>
          <cell r="P139"/>
          <cell r="Q139"/>
          <cell r="R139" t="str">
            <v>No</v>
          </cell>
          <cell r="S139" t="str">
            <v>C49</v>
          </cell>
          <cell r="T139" t="str">
            <v>SOUTH</v>
          </cell>
          <cell r="U139" t="str">
            <v>深圳</v>
          </cell>
          <cell r="V139" t="str">
            <v>SZ 深圳</v>
          </cell>
          <cell r="W139" t="str">
            <v>ZX</v>
          </cell>
          <cell r="X139" t="str">
            <v>JPY</v>
          </cell>
          <cell r="Y139">
            <v>14000000</v>
          </cell>
          <cell r="Z139">
            <v>1</v>
          </cell>
          <cell r="AA139">
            <v>14000000</v>
          </cell>
          <cell r="AB139">
            <v>7.51E-2</v>
          </cell>
          <cell r="AC139">
            <v>1051400</v>
          </cell>
          <cell r="AD139">
            <v>126168</v>
          </cell>
          <cell r="AE139">
            <v>0.12</v>
          </cell>
          <cell r="AF139">
            <v>43202</v>
          </cell>
          <cell r="AG139" t="str">
            <v>DAP</v>
          </cell>
          <cell r="AH139" t="str">
            <v>吊装2F</v>
          </cell>
          <cell r="AI139"/>
          <cell r="AJ139"/>
          <cell r="AK139">
            <v>0.1</v>
          </cell>
          <cell r="AL139">
            <v>1400000</v>
          </cell>
          <cell r="AM139"/>
          <cell r="AN139" t="str">
            <v>No</v>
          </cell>
          <cell r="AO139">
            <v>0.9</v>
          </cell>
          <cell r="AP139">
            <v>12600000</v>
          </cell>
          <cell r="AQ139"/>
          <cell r="AR139"/>
          <cell r="AS139"/>
          <cell r="AT139">
            <v>0</v>
          </cell>
          <cell r="AV139"/>
          <cell r="AX139" t="str">
            <v>Cancel</v>
          </cell>
          <cell r="AY139"/>
          <cell r="AZ139"/>
          <cell r="BA139" t="str">
            <v>Cancel</v>
          </cell>
        </row>
        <row r="140">
          <cell r="B140">
            <v>40</v>
          </cell>
          <cell r="C140" t="str">
            <v>C49SZX20180063ZX</v>
          </cell>
          <cell r="D140" t="str">
            <v>亿联智能</v>
          </cell>
          <cell r="E140" t="str">
            <v>YSM20-2</v>
          </cell>
          <cell r="F140" t="str">
            <v>NA</v>
          </cell>
          <cell r="G140" t="e">
            <v>#REF!</v>
          </cell>
          <cell r="H140" t="e">
            <v>#REF!</v>
          </cell>
          <cell r="I140" t="str">
            <v>L-&gt;R</v>
          </cell>
          <cell r="J140" t="str">
            <v>No</v>
          </cell>
          <cell r="K140">
            <v>1</v>
          </cell>
          <cell r="L140" t="str">
            <v>取消</v>
          </cell>
          <cell r="M140" t="e">
            <v>#N/A</v>
          </cell>
          <cell r="N140"/>
          <cell r="O140"/>
          <cell r="P140"/>
          <cell r="Q140"/>
          <cell r="R140" t="str">
            <v>No</v>
          </cell>
          <cell r="S140" t="str">
            <v>C49</v>
          </cell>
          <cell r="T140" t="str">
            <v>SOUTH</v>
          </cell>
          <cell r="U140" t="str">
            <v>深圳</v>
          </cell>
          <cell r="V140" t="str">
            <v>SZ 深圳</v>
          </cell>
          <cell r="W140" t="str">
            <v>ZX</v>
          </cell>
          <cell r="X140" t="str">
            <v>JPY</v>
          </cell>
          <cell r="Y140">
            <v>14000000</v>
          </cell>
          <cell r="Z140">
            <v>1</v>
          </cell>
          <cell r="AA140">
            <v>14000000</v>
          </cell>
          <cell r="AB140">
            <v>7.51E-2</v>
          </cell>
          <cell r="AC140">
            <v>1051400</v>
          </cell>
          <cell r="AD140">
            <v>126168</v>
          </cell>
          <cell r="AE140">
            <v>0.12</v>
          </cell>
          <cell r="AF140">
            <v>43202</v>
          </cell>
          <cell r="AG140" t="str">
            <v>DAP</v>
          </cell>
          <cell r="AH140" t="str">
            <v>吊装2F</v>
          </cell>
          <cell r="AI140"/>
          <cell r="AJ140"/>
          <cell r="AK140">
            <v>0.1</v>
          </cell>
          <cell r="AL140">
            <v>1400000</v>
          </cell>
          <cell r="AM140"/>
          <cell r="AN140" t="str">
            <v>No</v>
          </cell>
          <cell r="AO140">
            <v>0.9</v>
          </cell>
          <cell r="AP140">
            <v>12600000</v>
          </cell>
          <cell r="AQ140"/>
          <cell r="AR140"/>
          <cell r="AS140"/>
          <cell r="AT140">
            <v>0</v>
          </cell>
          <cell r="AV140"/>
          <cell r="AX140" t="str">
            <v>Cancel</v>
          </cell>
          <cell r="AY140"/>
          <cell r="AZ140"/>
          <cell r="BA140" t="str">
            <v>Cancel</v>
          </cell>
        </row>
        <row r="141">
          <cell r="B141">
            <v>41</v>
          </cell>
          <cell r="C141" t="str">
            <v>C49SZX20180063ZX</v>
          </cell>
          <cell r="D141" t="str">
            <v>亿联智能</v>
          </cell>
          <cell r="E141" t="str">
            <v>YSM20-2</v>
          </cell>
          <cell r="F141" t="str">
            <v>NA</v>
          </cell>
          <cell r="G141" t="e">
            <v>#REF!</v>
          </cell>
          <cell r="H141" t="e">
            <v>#REF!</v>
          </cell>
          <cell r="I141" t="str">
            <v>L-&gt;R</v>
          </cell>
          <cell r="J141" t="str">
            <v>No</v>
          </cell>
          <cell r="K141">
            <v>1</v>
          </cell>
          <cell r="L141" t="str">
            <v>取消</v>
          </cell>
          <cell r="M141" t="e">
            <v>#N/A</v>
          </cell>
          <cell r="N141"/>
          <cell r="O141"/>
          <cell r="P141"/>
          <cell r="Q141"/>
          <cell r="R141" t="str">
            <v>No</v>
          </cell>
          <cell r="S141" t="str">
            <v>C49</v>
          </cell>
          <cell r="T141" t="str">
            <v>SOUTH</v>
          </cell>
          <cell r="U141" t="str">
            <v>深圳</v>
          </cell>
          <cell r="V141" t="str">
            <v>SZ 深圳</v>
          </cell>
          <cell r="W141" t="str">
            <v>ZX</v>
          </cell>
          <cell r="X141" t="str">
            <v>JPY</v>
          </cell>
          <cell r="Y141">
            <v>14000000</v>
          </cell>
          <cell r="Z141">
            <v>1</v>
          </cell>
          <cell r="AA141">
            <v>14000000</v>
          </cell>
          <cell r="AB141">
            <v>7.51E-2</v>
          </cell>
          <cell r="AC141">
            <v>1051400</v>
          </cell>
          <cell r="AD141">
            <v>126168</v>
          </cell>
          <cell r="AE141">
            <v>0.12</v>
          </cell>
          <cell r="AF141">
            <v>43202</v>
          </cell>
          <cell r="AG141" t="str">
            <v>DAP</v>
          </cell>
          <cell r="AH141" t="str">
            <v>吊装2F</v>
          </cell>
          <cell r="AI141"/>
          <cell r="AJ141"/>
          <cell r="AK141">
            <v>0.1</v>
          </cell>
          <cell r="AL141">
            <v>1400000</v>
          </cell>
          <cell r="AM141"/>
          <cell r="AN141" t="str">
            <v>No</v>
          </cell>
          <cell r="AO141">
            <v>0.9</v>
          </cell>
          <cell r="AP141">
            <v>12600000</v>
          </cell>
          <cell r="AQ141"/>
          <cell r="AR141"/>
          <cell r="AS141"/>
          <cell r="AT141">
            <v>0</v>
          </cell>
          <cell r="AV141"/>
          <cell r="AX141" t="str">
            <v>Cancel</v>
          </cell>
          <cell r="AY141"/>
          <cell r="AZ141"/>
          <cell r="BA141" t="str">
            <v>Cancel</v>
          </cell>
        </row>
        <row r="142">
          <cell r="B142">
            <v>42</v>
          </cell>
          <cell r="C142" t="str">
            <v>C49SZX20180066JY</v>
          </cell>
          <cell r="D142" t="str">
            <v>格力创</v>
          </cell>
          <cell r="E142" t="str">
            <v>YSM10</v>
          </cell>
          <cell r="F142" t="str">
            <v>NA</v>
          </cell>
          <cell r="G142" t="e">
            <v>#REF!</v>
          </cell>
          <cell r="H142" t="e">
            <v>#REF!</v>
          </cell>
          <cell r="I142" t="str">
            <v>R-&gt;L</v>
          </cell>
          <cell r="J142" t="str">
            <v>No</v>
          </cell>
          <cell r="K142">
            <v>1</v>
          </cell>
          <cell r="L142">
            <v>109381</v>
          </cell>
          <cell r="M142" t="str">
            <v>MAR 19</v>
          </cell>
          <cell r="N142"/>
          <cell r="O142">
            <v>11116270</v>
          </cell>
          <cell r="P142">
            <v>9275000</v>
          </cell>
          <cell r="Q142">
            <v>43525</v>
          </cell>
          <cell r="R142" t="str">
            <v>No</v>
          </cell>
          <cell r="S142" t="str">
            <v>C49</v>
          </cell>
          <cell r="T142" t="str">
            <v>SOUTH</v>
          </cell>
          <cell r="U142" t="str">
            <v>深圳</v>
          </cell>
          <cell r="V142" t="str">
            <v>SZ 深圳</v>
          </cell>
          <cell r="W142" t="str">
            <v>JY</v>
          </cell>
          <cell r="X142" t="str">
            <v>JPY</v>
          </cell>
          <cell r="Y142">
            <v>9275000</v>
          </cell>
          <cell r="Z142">
            <v>1</v>
          </cell>
          <cell r="AA142">
            <v>9275000</v>
          </cell>
          <cell r="AB142">
            <v>7.3599999999999999E-2</v>
          </cell>
          <cell r="AC142">
            <v>682640</v>
          </cell>
          <cell r="AD142">
            <v>81916.800000000003</v>
          </cell>
          <cell r="AE142">
            <v>0.12</v>
          </cell>
          <cell r="AF142">
            <v>43256</v>
          </cell>
          <cell r="AG142" t="str">
            <v>DAP SZ</v>
          </cell>
          <cell r="AH142"/>
          <cell r="AI142" t="str">
            <v>电子银行汇票12万</v>
          </cell>
          <cell r="AJ142">
            <v>43280</v>
          </cell>
          <cell r="AK142">
            <v>0.1</v>
          </cell>
          <cell r="AL142">
            <v>927500</v>
          </cell>
          <cell r="AM142">
            <v>43405</v>
          </cell>
          <cell r="AN142" t="str">
            <v>Yes</v>
          </cell>
          <cell r="AO142">
            <v>0.9</v>
          </cell>
          <cell r="AP142">
            <v>8347500</v>
          </cell>
          <cell r="AQ142">
            <v>43525</v>
          </cell>
          <cell r="AR142">
            <v>43549</v>
          </cell>
          <cell r="AS142" t="str">
            <v>complete</v>
          </cell>
          <cell r="AT142"/>
          <cell r="AU142"/>
          <cell r="AV142"/>
          <cell r="AW142"/>
          <cell r="AX142" t="str">
            <v>Yes</v>
          </cell>
          <cell r="AY142"/>
          <cell r="AZ142" t="str">
            <v>Y</v>
          </cell>
          <cell r="BA142" t="str">
            <v>Yes</v>
          </cell>
          <cell r="BB142"/>
        </row>
        <row r="143">
          <cell r="B143">
            <v>43</v>
          </cell>
          <cell r="C143" t="str">
            <v>C49SZX20180066JY</v>
          </cell>
          <cell r="D143" t="str">
            <v>格力创</v>
          </cell>
          <cell r="E143" t="str">
            <v>YSM10</v>
          </cell>
          <cell r="F143" t="str">
            <v>NA</v>
          </cell>
          <cell r="G143" t="e">
            <v>#REF!</v>
          </cell>
          <cell r="H143" t="e">
            <v>#REF!</v>
          </cell>
          <cell r="I143" t="str">
            <v>L-&gt;R</v>
          </cell>
          <cell r="J143" t="str">
            <v>No</v>
          </cell>
          <cell r="K143">
            <v>1</v>
          </cell>
          <cell r="L143">
            <v>109381</v>
          </cell>
          <cell r="M143" t="str">
            <v>MAR 19</v>
          </cell>
          <cell r="N143"/>
          <cell r="O143">
            <v>11116270</v>
          </cell>
          <cell r="P143">
            <v>9275000</v>
          </cell>
          <cell r="Q143">
            <v>43525</v>
          </cell>
          <cell r="R143" t="str">
            <v>No</v>
          </cell>
          <cell r="S143" t="str">
            <v>C49</v>
          </cell>
          <cell r="T143" t="str">
            <v>SOUTH</v>
          </cell>
          <cell r="U143" t="str">
            <v>深圳</v>
          </cell>
          <cell r="V143" t="str">
            <v>SZ 深圳</v>
          </cell>
          <cell r="W143" t="str">
            <v>JY</v>
          </cell>
          <cell r="X143" t="str">
            <v>JPY</v>
          </cell>
          <cell r="Y143">
            <v>9275000</v>
          </cell>
          <cell r="Z143">
            <v>1</v>
          </cell>
          <cell r="AA143">
            <v>9275000</v>
          </cell>
          <cell r="AB143">
            <v>7.3599999999999999E-2</v>
          </cell>
          <cell r="AC143">
            <v>682640</v>
          </cell>
          <cell r="AD143">
            <v>81916.800000000003</v>
          </cell>
          <cell r="AE143">
            <v>0.12</v>
          </cell>
          <cell r="AF143">
            <v>43256</v>
          </cell>
          <cell r="AG143" t="str">
            <v>DAP SZ</v>
          </cell>
          <cell r="AH143"/>
          <cell r="AI143" t="str">
            <v>电子银行汇票12万</v>
          </cell>
          <cell r="AJ143">
            <v>43280</v>
          </cell>
          <cell r="AK143">
            <v>0.1</v>
          </cell>
          <cell r="AL143">
            <v>927500</v>
          </cell>
          <cell r="AM143">
            <v>43405</v>
          </cell>
          <cell r="AN143" t="str">
            <v>Yes</v>
          </cell>
          <cell r="AO143">
            <v>0.9</v>
          </cell>
          <cell r="AP143">
            <v>8347500</v>
          </cell>
          <cell r="AQ143">
            <v>43525</v>
          </cell>
          <cell r="AR143">
            <v>43549</v>
          </cell>
          <cell r="AS143" t="str">
            <v>complete</v>
          </cell>
          <cell r="AT143"/>
          <cell r="AU143"/>
          <cell r="AV143"/>
          <cell r="AW143"/>
          <cell r="AX143" t="str">
            <v>Yes</v>
          </cell>
          <cell r="AY143"/>
          <cell r="AZ143" t="str">
            <v>Y</v>
          </cell>
          <cell r="BA143" t="str">
            <v>Yes</v>
          </cell>
          <cell r="BB143"/>
        </row>
        <row r="144">
          <cell r="B144"/>
          <cell r="C144" t="str">
            <v>C49SZX20180067JY</v>
          </cell>
          <cell r="D144" t="str">
            <v>石家庄傲尔</v>
          </cell>
          <cell r="E144" t="str">
            <v>YSM10</v>
          </cell>
          <cell r="F144" t="str">
            <v>NA</v>
          </cell>
          <cell r="G144" t="e">
            <v>#REF!</v>
          </cell>
          <cell r="H144" t="e">
            <v>#REF!</v>
          </cell>
          <cell r="K144">
            <v>2</v>
          </cell>
          <cell r="L144" t="str">
            <v>已经送货</v>
          </cell>
          <cell r="M144" t="str">
            <v>2018/6</v>
          </cell>
          <cell r="O144">
            <v>11100257</v>
          </cell>
          <cell r="P144">
            <v>1560000</v>
          </cell>
          <cell r="Q144">
            <v>43252</v>
          </cell>
          <cell r="R144" t="str">
            <v>Yes</v>
          </cell>
          <cell r="S144" t="str">
            <v>C49</v>
          </cell>
          <cell r="T144" t="str">
            <v>SOUTH</v>
          </cell>
          <cell r="U144" t="str">
            <v>深圳</v>
          </cell>
          <cell r="V144" t="str">
            <v>SZ 深圳</v>
          </cell>
          <cell r="W144" t="str">
            <v>JY</v>
          </cell>
          <cell r="X144" t="str">
            <v>RMB</v>
          </cell>
          <cell r="Y144">
            <v>780000</v>
          </cell>
          <cell r="Z144">
            <v>1.1599999999999999</v>
          </cell>
          <cell r="AA144">
            <v>1560000</v>
          </cell>
          <cell r="AB144">
            <v>1.23</v>
          </cell>
          <cell r="AC144">
            <v>1654137.931034483</v>
          </cell>
          <cell r="AD144">
            <v>198496.55172413794</v>
          </cell>
          <cell r="AE144">
            <v>0.12</v>
          </cell>
          <cell r="AF144">
            <v>43213</v>
          </cell>
          <cell r="AG144" t="str">
            <v>含税到厂</v>
          </cell>
          <cell r="AH144" t="str">
            <v>电梯7楼</v>
          </cell>
          <cell r="AI144"/>
          <cell r="AJ144"/>
          <cell r="AK144" t="str">
            <v>agree</v>
          </cell>
          <cell r="AL144">
            <v>100000</v>
          </cell>
          <cell r="AM144">
            <v>43191</v>
          </cell>
          <cell r="AN144" t="str">
            <v>Yes</v>
          </cell>
          <cell r="AO144" t="str">
            <v>agree</v>
          </cell>
          <cell r="AP144">
            <v>1460000</v>
          </cell>
          <cell r="AQ144">
            <v>43221</v>
          </cell>
          <cell r="AR144">
            <v>43250</v>
          </cell>
          <cell r="AS144"/>
          <cell r="AT144">
            <v>0</v>
          </cell>
          <cell r="AV144"/>
          <cell r="AY144"/>
          <cell r="BA144" t="str">
            <v>Yes</v>
          </cell>
        </row>
        <row r="145">
          <cell r="B145">
            <v>44</v>
          </cell>
          <cell r="C145" t="str">
            <v>C49SZX20180068R1JY</v>
          </cell>
          <cell r="D145" t="str">
            <v>英拓邦</v>
          </cell>
          <cell r="E145" t="str">
            <v>YSM20R(SV)-2</v>
          </cell>
          <cell r="F145" t="str">
            <v>#55803</v>
          </cell>
          <cell r="G145" t="e">
            <v>#REF!</v>
          </cell>
          <cell r="H145" t="e">
            <v>#REF!</v>
          </cell>
          <cell r="I145" t="str">
            <v>L-&gt;R</v>
          </cell>
          <cell r="J145" t="str">
            <v>cATS10+MVC+special layout</v>
          </cell>
          <cell r="K145">
            <v>1</v>
          </cell>
          <cell r="L145" t="e">
            <v>#REF!</v>
          </cell>
          <cell r="M145" t="e">
            <v>#REF!</v>
          </cell>
          <cell r="N145"/>
          <cell r="O145"/>
          <cell r="P145"/>
          <cell r="Q145"/>
          <cell r="R145" t="str">
            <v>No</v>
          </cell>
          <cell r="S145" t="str">
            <v>C49</v>
          </cell>
          <cell r="T145" t="str">
            <v>SOUTH</v>
          </cell>
          <cell r="U145" t="str">
            <v>深圳</v>
          </cell>
          <cell r="V145" t="str">
            <v>SZ 深圳</v>
          </cell>
          <cell r="W145" t="str">
            <v>JY</v>
          </cell>
          <cell r="X145" t="str">
            <v>JPY</v>
          </cell>
          <cell r="Y145">
            <v>16150000</v>
          </cell>
          <cell r="Z145">
            <v>1</v>
          </cell>
          <cell r="AA145">
            <v>16150000</v>
          </cell>
          <cell r="AB145">
            <v>7.51E-2</v>
          </cell>
          <cell r="AC145">
            <v>1212865</v>
          </cell>
          <cell r="AD145">
            <v>145543.79999999999</v>
          </cell>
          <cell r="AE145">
            <v>0.12</v>
          </cell>
          <cell r="AF145">
            <v>43210</v>
          </cell>
          <cell r="AG145" t="str">
            <v>DAP</v>
          </cell>
          <cell r="AH145"/>
          <cell r="AI145"/>
          <cell r="AJ145"/>
          <cell r="AK145" t="str">
            <v>agree</v>
          </cell>
          <cell r="AL145">
            <v>860970</v>
          </cell>
          <cell r="AM145">
            <v>43221</v>
          </cell>
          <cell r="AN145" t="str">
            <v>Yes</v>
          </cell>
          <cell r="AO145" t="str">
            <v>agree</v>
          </cell>
          <cell r="AP145">
            <v>15289030</v>
          </cell>
          <cell r="AQ145"/>
          <cell r="AR145"/>
          <cell r="AS145" t="str">
            <v>agree</v>
          </cell>
          <cell r="AT145" t="e">
            <v>#VALUE!</v>
          </cell>
          <cell r="AU145" t="str">
            <v>JUN</v>
          </cell>
          <cell r="AV145">
            <v>43287</v>
          </cell>
          <cell r="AX145" t="str">
            <v>Cancel</v>
          </cell>
          <cell r="AY145"/>
          <cell r="AZ145"/>
          <cell r="BA145" t="str">
            <v>Cancel</v>
          </cell>
        </row>
        <row r="146">
          <cell r="B146">
            <v>45</v>
          </cell>
          <cell r="C146" t="str">
            <v>C49SZX20180068R1JY</v>
          </cell>
          <cell r="D146" t="str">
            <v>英拓邦</v>
          </cell>
          <cell r="E146" t="str">
            <v>YSM20R(SV)-2</v>
          </cell>
          <cell r="F146" t="str">
            <v>#55803</v>
          </cell>
          <cell r="G146" t="e">
            <v>#REF!</v>
          </cell>
          <cell r="H146" t="e">
            <v>#REF!</v>
          </cell>
          <cell r="I146" t="str">
            <v>L-&gt;R</v>
          </cell>
          <cell r="J146" t="str">
            <v>No</v>
          </cell>
          <cell r="K146">
            <v>1</v>
          </cell>
          <cell r="L146" t="e">
            <v>#REF!</v>
          </cell>
          <cell r="M146" t="e">
            <v>#REF!</v>
          </cell>
          <cell r="N146"/>
          <cell r="O146"/>
          <cell r="P146"/>
          <cell r="Q146"/>
          <cell r="R146" t="str">
            <v>No</v>
          </cell>
          <cell r="S146" t="str">
            <v>C49</v>
          </cell>
          <cell r="T146" t="str">
            <v>SOUTH</v>
          </cell>
          <cell r="U146" t="str">
            <v>深圳</v>
          </cell>
          <cell r="V146" t="str">
            <v>SZ 深圳</v>
          </cell>
          <cell r="W146" t="str">
            <v>JY</v>
          </cell>
          <cell r="X146" t="str">
            <v>JPY</v>
          </cell>
          <cell r="Y146">
            <v>16150000</v>
          </cell>
          <cell r="Z146">
            <v>1</v>
          </cell>
          <cell r="AA146">
            <v>16150000</v>
          </cell>
          <cell r="AB146">
            <v>7.51E-2</v>
          </cell>
          <cell r="AC146">
            <v>1212865</v>
          </cell>
          <cell r="AD146">
            <v>145543.79999999999</v>
          </cell>
          <cell r="AE146">
            <v>0.12</v>
          </cell>
          <cell r="AF146">
            <v>43210</v>
          </cell>
          <cell r="AG146" t="str">
            <v>DAP</v>
          </cell>
          <cell r="AH146"/>
          <cell r="AI146"/>
          <cell r="AJ146"/>
          <cell r="AK146" t="str">
            <v>agree</v>
          </cell>
          <cell r="AL146">
            <v>0</v>
          </cell>
          <cell r="AM146">
            <v>43221</v>
          </cell>
          <cell r="AN146" t="str">
            <v>Yes</v>
          </cell>
          <cell r="AO146" t="str">
            <v>agree</v>
          </cell>
          <cell r="AP146">
            <v>15289030</v>
          </cell>
          <cell r="AQ146"/>
          <cell r="AR146"/>
          <cell r="AS146" t="str">
            <v>agree</v>
          </cell>
          <cell r="AT146" t="e">
            <v>#VALUE!</v>
          </cell>
          <cell r="AU146" t="str">
            <v>JUN</v>
          </cell>
          <cell r="AV146">
            <v>43287</v>
          </cell>
          <cell r="AX146" t="str">
            <v>Cancel</v>
          </cell>
          <cell r="AY146"/>
          <cell r="AZ146"/>
          <cell r="BA146" t="str">
            <v>Cancel</v>
          </cell>
        </row>
        <row r="147">
          <cell r="B147">
            <v>46</v>
          </cell>
          <cell r="C147" t="str">
            <v>C49SZX20180069JY</v>
          </cell>
          <cell r="D147" t="str">
            <v>英拓邦</v>
          </cell>
          <cell r="E147" t="str">
            <v>YSM20-2</v>
          </cell>
          <cell r="F147" t="str">
            <v>#55803</v>
          </cell>
          <cell r="G147" t="e">
            <v>#REF!</v>
          </cell>
          <cell r="H147" t="e">
            <v>#REF!</v>
          </cell>
          <cell r="I147" t="str">
            <v>L-&gt;R</v>
          </cell>
          <cell r="J147" t="str">
            <v>cATS10+MVC+special layout</v>
          </cell>
          <cell r="K147">
            <v>1</v>
          </cell>
          <cell r="L147" t="str">
            <v>取消</v>
          </cell>
          <cell r="M147" t="e">
            <v>#N/A</v>
          </cell>
          <cell r="N147"/>
          <cell r="O147"/>
          <cell r="P147"/>
          <cell r="Q147"/>
          <cell r="R147" t="str">
            <v>No</v>
          </cell>
          <cell r="S147" t="str">
            <v>C49</v>
          </cell>
          <cell r="T147" t="str">
            <v>SOUTH</v>
          </cell>
          <cell r="U147" t="str">
            <v>深圳</v>
          </cell>
          <cell r="V147" t="str">
            <v>SZ 深圳</v>
          </cell>
          <cell r="W147" t="str">
            <v>JY</v>
          </cell>
          <cell r="X147" t="str">
            <v>JPY</v>
          </cell>
          <cell r="Y147">
            <v>16150000</v>
          </cell>
          <cell r="Z147">
            <v>1</v>
          </cell>
          <cell r="AA147">
            <v>16150000</v>
          </cell>
          <cell r="AB147">
            <v>7.51E-2</v>
          </cell>
          <cell r="AC147">
            <v>1212865</v>
          </cell>
          <cell r="AD147">
            <v>145543.79999999999</v>
          </cell>
          <cell r="AE147">
            <v>0.12</v>
          </cell>
          <cell r="AF147">
            <v>43210</v>
          </cell>
          <cell r="AG147" t="str">
            <v>DAP</v>
          </cell>
          <cell r="AH147"/>
          <cell r="AI147"/>
          <cell r="AJ147"/>
          <cell r="AK147">
            <v>0.1</v>
          </cell>
          <cell r="AL147">
            <v>1615000</v>
          </cell>
          <cell r="AM147"/>
          <cell r="AN147" t="str">
            <v>No</v>
          </cell>
          <cell r="AO147">
            <v>0.9</v>
          </cell>
          <cell r="AP147">
            <v>14535000</v>
          </cell>
          <cell r="AQ147"/>
          <cell r="AR147"/>
          <cell r="AS147"/>
          <cell r="AT147">
            <v>0</v>
          </cell>
          <cell r="AV147"/>
          <cell r="AX147" t="str">
            <v>Cancel</v>
          </cell>
          <cell r="AY147"/>
          <cell r="AZ147"/>
          <cell r="BA147" t="str">
            <v>Cancel</v>
          </cell>
          <cell r="BB147" t="str">
            <v>2018-10-23通知</v>
          </cell>
        </row>
        <row r="148">
          <cell r="B148">
            <v>47</v>
          </cell>
          <cell r="C148" t="str">
            <v>C49SZX20180069JY</v>
          </cell>
          <cell r="D148" t="str">
            <v>英拓邦</v>
          </cell>
          <cell r="E148" t="str">
            <v>YSM20-2</v>
          </cell>
          <cell r="F148" t="str">
            <v>#55803</v>
          </cell>
          <cell r="G148" t="e">
            <v>#REF!</v>
          </cell>
          <cell r="H148" t="e">
            <v>#REF!</v>
          </cell>
          <cell r="I148" t="str">
            <v>L-&gt;R</v>
          </cell>
          <cell r="J148" t="str">
            <v>No</v>
          </cell>
          <cell r="K148">
            <v>1</v>
          </cell>
          <cell r="L148" t="str">
            <v>取消</v>
          </cell>
          <cell r="M148" t="e">
            <v>#N/A</v>
          </cell>
          <cell r="N148"/>
          <cell r="O148"/>
          <cell r="P148"/>
          <cell r="Q148"/>
          <cell r="R148" t="str">
            <v>No</v>
          </cell>
          <cell r="S148" t="str">
            <v>C49</v>
          </cell>
          <cell r="T148" t="str">
            <v>SOUTH</v>
          </cell>
          <cell r="U148" t="str">
            <v>深圳</v>
          </cell>
          <cell r="V148" t="str">
            <v>SZ 深圳</v>
          </cell>
          <cell r="W148" t="str">
            <v>JY</v>
          </cell>
          <cell r="X148" t="str">
            <v>JPY</v>
          </cell>
          <cell r="Y148">
            <v>16150000</v>
          </cell>
          <cell r="Z148">
            <v>1</v>
          </cell>
          <cell r="AA148">
            <v>16150000</v>
          </cell>
          <cell r="AB148">
            <v>7.51E-2</v>
          </cell>
          <cell r="AC148">
            <v>1212865</v>
          </cell>
          <cell r="AD148">
            <v>145543.79999999999</v>
          </cell>
          <cell r="AE148">
            <v>0.12</v>
          </cell>
          <cell r="AF148">
            <v>43210</v>
          </cell>
          <cell r="AG148" t="str">
            <v>DAP</v>
          </cell>
          <cell r="AH148"/>
          <cell r="AI148"/>
          <cell r="AJ148"/>
          <cell r="AK148">
            <v>0.1</v>
          </cell>
          <cell r="AL148">
            <v>1615000</v>
          </cell>
          <cell r="AM148"/>
          <cell r="AN148" t="str">
            <v>No</v>
          </cell>
          <cell r="AO148">
            <v>0.9</v>
          </cell>
          <cell r="AP148">
            <v>14535000</v>
          </cell>
          <cell r="AQ148"/>
          <cell r="AR148"/>
          <cell r="AS148"/>
          <cell r="AT148">
            <v>0</v>
          </cell>
          <cell r="AV148"/>
          <cell r="AX148" t="str">
            <v>Cancel</v>
          </cell>
          <cell r="AY148"/>
          <cell r="AZ148"/>
          <cell r="BA148" t="str">
            <v>Cancel</v>
          </cell>
          <cell r="BB148" t="str">
            <v>2018-10-23通知</v>
          </cell>
        </row>
        <row r="149">
          <cell r="B149">
            <v>48</v>
          </cell>
          <cell r="C149" t="str">
            <v>C49SZX20180070SX</v>
          </cell>
          <cell r="D149" t="str">
            <v>永顺创（Sales accurel in Oct)</v>
          </cell>
          <cell r="E149" t="str">
            <v>YSM20-2</v>
          </cell>
          <cell r="F149" t="str">
            <v>NA</v>
          </cell>
          <cell r="G149" t="e">
            <v>#REF!</v>
          </cell>
          <cell r="H149" t="e">
            <v>#REF!</v>
          </cell>
          <cell r="I149" t="str">
            <v>L-&gt;R</v>
          </cell>
          <cell r="J149" t="str">
            <v>MVC</v>
          </cell>
          <cell r="K149">
            <v>1</v>
          </cell>
          <cell r="L149">
            <v>109331</v>
          </cell>
          <cell r="M149" t="str">
            <v>NOV 18</v>
          </cell>
          <cell r="O149">
            <v>11116225</v>
          </cell>
          <cell r="P149">
            <v>15370982</v>
          </cell>
          <cell r="Q149">
            <v>43405</v>
          </cell>
          <cell r="R149" t="str">
            <v>Yes</v>
          </cell>
          <cell r="S149" t="str">
            <v>C49</v>
          </cell>
          <cell r="T149" t="str">
            <v>SOUTH</v>
          </cell>
          <cell r="U149" t="str">
            <v>深圳</v>
          </cell>
          <cell r="V149" t="str">
            <v>SZ 深圳</v>
          </cell>
          <cell r="W149" t="str">
            <v>SX</v>
          </cell>
          <cell r="X149" t="str">
            <v>JPY</v>
          </cell>
          <cell r="Y149">
            <v>15370982</v>
          </cell>
          <cell r="Z149">
            <v>1</v>
          </cell>
          <cell r="AA149">
            <v>15370982</v>
          </cell>
          <cell r="AB149">
            <v>7.3400000000000007E-2</v>
          </cell>
          <cell r="AC149">
            <v>1128230.0788</v>
          </cell>
          <cell r="AD149">
            <v>135387.60945600001</v>
          </cell>
          <cell r="AE149">
            <v>0.12</v>
          </cell>
          <cell r="AF149">
            <v>43208</v>
          </cell>
          <cell r="AG149" t="str">
            <v>DAP SZ</v>
          </cell>
          <cell r="AH149"/>
          <cell r="AI149"/>
          <cell r="AJ149"/>
          <cell r="AK149">
            <v>0.1</v>
          </cell>
          <cell r="AL149">
            <v>1537098.2000000002</v>
          </cell>
          <cell r="AM149">
            <v>43221</v>
          </cell>
          <cell r="AN149" t="str">
            <v>Yes</v>
          </cell>
          <cell r="AO149">
            <v>0.85</v>
          </cell>
          <cell r="AP149">
            <v>13065334.699999999</v>
          </cell>
          <cell r="AQ149">
            <v>43374</v>
          </cell>
          <cell r="AR149">
            <v>43403</v>
          </cell>
          <cell r="AS149">
            <v>0.05</v>
          </cell>
          <cell r="AT149">
            <v>768549.10000000009</v>
          </cell>
          <cell r="AU149">
            <v>43405</v>
          </cell>
          <cell r="AV149">
            <v>43417</v>
          </cell>
          <cell r="AW149" t="str">
            <v>complete</v>
          </cell>
          <cell r="AX149" t="str">
            <v>Yes</v>
          </cell>
          <cell r="AY149"/>
          <cell r="BA149" t="str">
            <v>Yes</v>
          </cell>
        </row>
        <row r="150">
          <cell r="B150">
            <v>49</v>
          </cell>
          <cell r="C150" t="str">
            <v>C49SZX20180070SX</v>
          </cell>
          <cell r="D150" t="str">
            <v>永顺创（Sales accurel in Oct)</v>
          </cell>
          <cell r="E150" t="str">
            <v>YSM20-2</v>
          </cell>
          <cell r="F150" t="str">
            <v>NA</v>
          </cell>
          <cell r="G150" t="e">
            <v>#REF!</v>
          </cell>
          <cell r="H150" t="e">
            <v>#REF!</v>
          </cell>
          <cell r="I150" t="str">
            <v>L-&gt;R</v>
          </cell>
          <cell r="J150" t="str">
            <v>MVC</v>
          </cell>
          <cell r="K150">
            <v>1</v>
          </cell>
          <cell r="L150">
            <v>109331</v>
          </cell>
          <cell r="M150" t="str">
            <v>NOV 18</v>
          </cell>
          <cell r="O150">
            <v>11116225</v>
          </cell>
          <cell r="P150">
            <v>15370983</v>
          </cell>
          <cell r="Q150">
            <v>43405</v>
          </cell>
          <cell r="R150" t="str">
            <v>Yes</v>
          </cell>
          <cell r="S150" t="str">
            <v>C49</v>
          </cell>
          <cell r="T150" t="str">
            <v>SOUTH</v>
          </cell>
          <cell r="U150" t="str">
            <v>深圳</v>
          </cell>
          <cell r="V150" t="str">
            <v>SZ 深圳</v>
          </cell>
          <cell r="W150" t="str">
            <v>SX</v>
          </cell>
          <cell r="X150" t="str">
            <v>JPY</v>
          </cell>
          <cell r="Y150">
            <v>15370983</v>
          </cell>
          <cell r="Z150">
            <v>1</v>
          </cell>
          <cell r="AA150">
            <v>15370983</v>
          </cell>
          <cell r="AB150">
            <v>7.3400000000000007E-2</v>
          </cell>
          <cell r="AC150">
            <v>1128230.1522000001</v>
          </cell>
          <cell r="AD150">
            <v>135387.61826400002</v>
          </cell>
          <cell r="AE150">
            <v>0.12</v>
          </cell>
          <cell r="AF150">
            <v>43208</v>
          </cell>
          <cell r="AG150" t="str">
            <v>DAP SZ</v>
          </cell>
          <cell r="AH150"/>
          <cell r="AI150"/>
          <cell r="AJ150"/>
          <cell r="AK150">
            <v>0.1</v>
          </cell>
          <cell r="AL150">
            <v>1537098.3</v>
          </cell>
          <cell r="AM150">
            <v>43221</v>
          </cell>
          <cell r="AN150" t="str">
            <v>Yes</v>
          </cell>
          <cell r="AO150">
            <v>0.85</v>
          </cell>
          <cell r="AP150">
            <v>13065335.549999999</v>
          </cell>
          <cell r="AQ150">
            <v>43374</v>
          </cell>
          <cell r="AR150">
            <v>43403</v>
          </cell>
          <cell r="AS150">
            <v>0.05</v>
          </cell>
          <cell r="AT150">
            <v>768549.15</v>
          </cell>
          <cell r="AU150">
            <v>43405</v>
          </cell>
          <cell r="AV150">
            <v>43417</v>
          </cell>
          <cell r="AW150" t="str">
            <v>complete</v>
          </cell>
          <cell r="AX150" t="str">
            <v>Yes</v>
          </cell>
          <cell r="AY150"/>
          <cell r="BA150" t="str">
            <v>Yes</v>
          </cell>
        </row>
        <row r="151">
          <cell r="B151"/>
          <cell r="C151" t="str">
            <v>C49SZX20180071SX</v>
          </cell>
          <cell r="D151" t="str">
            <v>安林</v>
          </cell>
          <cell r="E151" t="str">
            <v>YSM10</v>
          </cell>
          <cell r="F151" t="str">
            <v>NA</v>
          </cell>
          <cell r="G151" t="e">
            <v>#REF!</v>
          </cell>
          <cell r="H151" t="e">
            <v>#REF!</v>
          </cell>
          <cell r="K151">
            <v>1</v>
          </cell>
          <cell r="L151" t="str">
            <v>已经送货</v>
          </cell>
          <cell r="M151" t="str">
            <v>2018/5</v>
          </cell>
          <cell r="O151">
            <v>11116110</v>
          </cell>
          <cell r="P151">
            <v>9611403</v>
          </cell>
          <cell r="Q151">
            <v>43221</v>
          </cell>
          <cell r="R151" t="str">
            <v>Yes</v>
          </cell>
          <cell r="S151" t="str">
            <v>C49</v>
          </cell>
          <cell r="T151" t="str">
            <v>SOUTH</v>
          </cell>
          <cell r="U151" t="str">
            <v>東莞</v>
          </cell>
          <cell r="V151" t="str">
            <v>SZ 深圳</v>
          </cell>
          <cell r="W151" t="str">
            <v>SX</v>
          </cell>
          <cell r="X151" t="str">
            <v>JPY</v>
          </cell>
          <cell r="Y151">
            <v>9611403</v>
          </cell>
          <cell r="Z151">
            <v>1</v>
          </cell>
          <cell r="AA151">
            <v>9611403</v>
          </cell>
          <cell r="AB151">
            <v>7.51E-2</v>
          </cell>
          <cell r="AC151">
            <v>721816.36529999995</v>
          </cell>
          <cell r="AD151">
            <v>86617.963835999995</v>
          </cell>
          <cell r="AE151">
            <v>0.12</v>
          </cell>
          <cell r="AF151">
            <v>43209</v>
          </cell>
          <cell r="AG151" t="str">
            <v>DAP</v>
          </cell>
          <cell r="AH151" t="str">
            <v>电梯卸货</v>
          </cell>
          <cell r="AI151">
            <v>50000</v>
          </cell>
          <cell r="AJ151" t="str">
            <v>20180423</v>
          </cell>
          <cell r="AK151">
            <v>0.2</v>
          </cell>
          <cell r="AL151">
            <v>1922280.6</v>
          </cell>
          <cell r="AM151">
            <v>43221</v>
          </cell>
          <cell r="AN151" t="str">
            <v>Yes</v>
          </cell>
          <cell r="AO151">
            <v>0.75</v>
          </cell>
          <cell r="AP151">
            <v>7208552.25</v>
          </cell>
          <cell r="AQ151">
            <v>43221</v>
          </cell>
          <cell r="AR151">
            <v>43237</v>
          </cell>
          <cell r="AS151">
            <v>0.05</v>
          </cell>
          <cell r="AT151">
            <v>480570.15</v>
          </cell>
          <cell r="AV151"/>
          <cell r="AY151" t="str">
            <v>Yes</v>
          </cell>
          <cell r="AZ151" t="str">
            <v>Y</v>
          </cell>
          <cell r="BA151" t="str">
            <v>Yes</v>
          </cell>
        </row>
        <row r="152">
          <cell r="B152"/>
          <cell r="C152" t="str">
            <v>C49SZX20180072DZ</v>
          </cell>
          <cell r="D152" t="str">
            <v>巨鑫</v>
          </cell>
          <cell r="E152" t="str">
            <v>YSM10</v>
          </cell>
          <cell r="F152" t="str">
            <v>NA</v>
          </cell>
          <cell r="G152" t="e">
            <v>#REF!</v>
          </cell>
          <cell r="H152" t="e">
            <v>#REF!</v>
          </cell>
          <cell r="K152">
            <v>1</v>
          </cell>
          <cell r="L152" t="str">
            <v>已经送货</v>
          </cell>
          <cell r="M152" t="str">
            <v>2018/5</v>
          </cell>
          <cell r="O152" t="str">
            <v>11116119(配件)</v>
          </cell>
          <cell r="Q152">
            <v>43221</v>
          </cell>
          <cell r="R152" t="str">
            <v>No</v>
          </cell>
          <cell r="S152" t="str">
            <v>C49</v>
          </cell>
          <cell r="T152" t="str">
            <v>SOUTH</v>
          </cell>
          <cell r="U152" t="str">
            <v>深圳</v>
          </cell>
          <cell r="V152" t="str">
            <v>SZ 深圳</v>
          </cell>
          <cell r="W152" t="str">
            <v>DZ</v>
          </cell>
          <cell r="X152" t="str">
            <v>RMB</v>
          </cell>
          <cell r="Y152">
            <v>650000</v>
          </cell>
          <cell r="Z152">
            <v>1.1599999999999999</v>
          </cell>
          <cell r="AA152">
            <v>650000</v>
          </cell>
          <cell r="AB152">
            <v>1.23</v>
          </cell>
          <cell r="AC152">
            <v>689224.13793103455</v>
          </cell>
          <cell r="AD152">
            <v>82706.896551724145</v>
          </cell>
          <cell r="AE152">
            <v>0.12</v>
          </cell>
          <cell r="AF152">
            <v>43215</v>
          </cell>
          <cell r="AG152" t="str">
            <v>含税到厂</v>
          </cell>
          <cell r="AH152" t="str">
            <v>电梯3楼</v>
          </cell>
          <cell r="AI152"/>
          <cell r="AJ152"/>
          <cell r="AK152" t="str">
            <v>agree</v>
          </cell>
          <cell r="AL152">
            <v>100000</v>
          </cell>
          <cell r="AM152">
            <v>43221</v>
          </cell>
          <cell r="AN152" t="str">
            <v>Yes</v>
          </cell>
          <cell r="AO152" t="str">
            <v>agree</v>
          </cell>
          <cell r="AP152" t="e">
            <v>#VALUE!</v>
          </cell>
          <cell r="AQ152">
            <v>43221</v>
          </cell>
          <cell r="AR152">
            <v>43244</v>
          </cell>
          <cell r="AS152"/>
          <cell r="AT152">
            <v>0</v>
          </cell>
          <cell r="AV152"/>
          <cell r="AY152" t="str">
            <v>Yes</v>
          </cell>
          <cell r="AZ152" t="str">
            <v>Y</v>
          </cell>
          <cell r="BA152" t="str">
            <v>Yes</v>
          </cell>
        </row>
        <row r="153">
          <cell r="B153"/>
          <cell r="C153" t="str">
            <v>C49SZX20180075ZX</v>
          </cell>
          <cell r="D153" t="str">
            <v>钰捷兴</v>
          </cell>
          <cell r="E153" t="str">
            <v>YSM10</v>
          </cell>
          <cell r="F153" t="str">
            <v>NA</v>
          </cell>
          <cell r="G153" t="e">
            <v>#REF!</v>
          </cell>
          <cell r="H153" t="e">
            <v>#REF!</v>
          </cell>
          <cell r="K153">
            <v>2</v>
          </cell>
          <cell r="L153" t="str">
            <v>已经送货</v>
          </cell>
          <cell r="M153" t="str">
            <v>JUL 18</v>
          </cell>
          <cell r="O153">
            <v>11116160</v>
          </cell>
          <cell r="P153">
            <v>17580000</v>
          </cell>
          <cell r="Q153">
            <v>43282</v>
          </cell>
          <cell r="R153" t="str">
            <v>Yes</v>
          </cell>
          <cell r="S153" t="str">
            <v>C49</v>
          </cell>
          <cell r="T153" t="str">
            <v>SOUTH</v>
          </cell>
          <cell r="U153" t="str">
            <v>深圳</v>
          </cell>
          <cell r="V153" t="str">
            <v>SZ 深圳</v>
          </cell>
          <cell r="W153" t="str">
            <v>ZX</v>
          </cell>
          <cell r="X153" t="str">
            <v>JPY</v>
          </cell>
          <cell r="Y153">
            <v>8790000</v>
          </cell>
          <cell r="Z153">
            <v>1</v>
          </cell>
          <cell r="AA153">
            <v>17580000</v>
          </cell>
          <cell r="AB153">
            <v>7.51E-2</v>
          </cell>
          <cell r="AC153">
            <v>1320258</v>
          </cell>
          <cell r="AD153">
            <v>158430.96</v>
          </cell>
          <cell r="AE153">
            <v>0.12</v>
          </cell>
          <cell r="AF153">
            <v>43218</v>
          </cell>
          <cell r="AG153" t="str">
            <v>DAP</v>
          </cell>
          <cell r="AH153" t="str">
            <v>电梯</v>
          </cell>
          <cell r="AI153"/>
          <cell r="AJ153"/>
          <cell r="AK153">
            <v>0.1</v>
          </cell>
          <cell r="AL153">
            <v>1758000</v>
          </cell>
          <cell r="AM153">
            <v>43221</v>
          </cell>
          <cell r="AN153" t="str">
            <v>Yes</v>
          </cell>
          <cell r="AO153">
            <v>0.9</v>
          </cell>
          <cell r="AP153">
            <v>15822000</v>
          </cell>
          <cell r="AQ153">
            <v>43282</v>
          </cell>
          <cell r="AR153">
            <v>43299</v>
          </cell>
          <cell r="AS153" t="str">
            <v>complete</v>
          </cell>
          <cell r="AT153" t="e">
            <v>#VALUE!</v>
          </cell>
          <cell r="AV153"/>
          <cell r="AX153" t="str">
            <v>Yes</v>
          </cell>
          <cell r="AY153"/>
          <cell r="AZ153" t="str">
            <v>Y</v>
          </cell>
          <cell r="BA153" t="str">
            <v>Yes</v>
          </cell>
        </row>
        <row r="154">
          <cell r="B154"/>
          <cell r="C154" t="str">
            <v>C49SZX20180076SX </v>
          </cell>
          <cell r="D154" t="str">
            <v>Hongjing弘景光电</v>
          </cell>
          <cell r="E154" t="str">
            <v>YSM10</v>
          </cell>
          <cell r="F154" t="str">
            <v>NA</v>
          </cell>
          <cell r="G154" t="e">
            <v>#REF!</v>
          </cell>
          <cell r="H154" t="e">
            <v>#REF!</v>
          </cell>
          <cell r="K154">
            <v>3</v>
          </cell>
          <cell r="L154" t="str">
            <v>已经送货</v>
          </cell>
          <cell r="M154" t="str">
            <v>JUL 18</v>
          </cell>
          <cell r="O154">
            <v>11116155</v>
          </cell>
          <cell r="P154">
            <v>27240000</v>
          </cell>
          <cell r="Q154">
            <v>43282</v>
          </cell>
          <cell r="R154" t="str">
            <v>Yes</v>
          </cell>
          <cell r="S154" t="str">
            <v>C49</v>
          </cell>
          <cell r="T154" t="str">
            <v>SOUTH</v>
          </cell>
          <cell r="U154" t="str">
            <v>中山</v>
          </cell>
          <cell r="V154" t="str">
            <v>SZ 深圳</v>
          </cell>
          <cell r="W154" t="str">
            <v>SX</v>
          </cell>
          <cell r="X154" t="str">
            <v>JPY</v>
          </cell>
          <cell r="Y154">
            <v>9080000</v>
          </cell>
          <cell r="Z154">
            <v>1</v>
          </cell>
          <cell r="AA154">
            <v>27240000</v>
          </cell>
          <cell r="AB154">
            <v>7.3400000000000007E-2</v>
          </cell>
          <cell r="AC154">
            <v>1999416.0000000002</v>
          </cell>
          <cell r="AD154">
            <v>239929.92</v>
          </cell>
          <cell r="AE154">
            <v>0.12</v>
          </cell>
          <cell r="AF154">
            <v>43231</v>
          </cell>
          <cell r="AG154" t="str">
            <v>CIF HK</v>
          </cell>
          <cell r="AH154"/>
          <cell r="AI154">
            <v>133500</v>
          </cell>
          <cell r="AJ154" t="str">
            <v>20180531</v>
          </cell>
          <cell r="AK154">
            <v>0.3</v>
          </cell>
          <cell r="AL154">
            <v>8172000</v>
          </cell>
          <cell r="AM154">
            <v>43221</v>
          </cell>
          <cell r="AN154" t="str">
            <v>Yes</v>
          </cell>
          <cell r="AO154">
            <v>0.6</v>
          </cell>
          <cell r="AP154">
            <v>16344000</v>
          </cell>
          <cell r="AQ154">
            <v>43282</v>
          </cell>
          <cell r="AR154">
            <v>43292</v>
          </cell>
          <cell r="AS154">
            <v>0.1</v>
          </cell>
          <cell r="AT154">
            <v>2724000</v>
          </cell>
          <cell r="AU154">
            <v>43344</v>
          </cell>
          <cell r="AV154">
            <v>43372</v>
          </cell>
          <cell r="AW154" t="str">
            <v>complete</v>
          </cell>
          <cell r="AX154" t="str">
            <v>Yes</v>
          </cell>
          <cell r="AY154"/>
          <cell r="AZ154" t="str">
            <v>Y</v>
          </cell>
          <cell r="BA154" t="str">
            <v>Yes</v>
          </cell>
        </row>
        <row r="155">
          <cell r="B155"/>
          <cell r="C155" t="str">
            <v>C49SZX20180076SX </v>
          </cell>
          <cell r="D155" t="str">
            <v>Hongjing弘景光电</v>
          </cell>
          <cell r="E155" t="str">
            <v>YSM10</v>
          </cell>
          <cell r="F155" t="str">
            <v>NA</v>
          </cell>
          <cell r="G155" t="e">
            <v>#REF!</v>
          </cell>
          <cell r="H155" t="e">
            <v>#REF!</v>
          </cell>
          <cell r="K155">
            <v>1</v>
          </cell>
          <cell r="L155" t="str">
            <v>已经送货</v>
          </cell>
          <cell r="M155" t="str">
            <v>JUL 18</v>
          </cell>
          <cell r="O155">
            <v>11116155</v>
          </cell>
          <cell r="P155">
            <v>9080000</v>
          </cell>
          <cell r="Q155">
            <v>43282</v>
          </cell>
          <cell r="R155" t="str">
            <v>Yes</v>
          </cell>
          <cell r="S155" t="str">
            <v>C49</v>
          </cell>
          <cell r="T155" t="str">
            <v>SOUTH</v>
          </cell>
          <cell r="U155" t="str">
            <v>中山</v>
          </cell>
          <cell r="V155" t="str">
            <v>SZ 深圳</v>
          </cell>
          <cell r="W155" t="str">
            <v>SX</v>
          </cell>
          <cell r="X155" t="str">
            <v>JPY</v>
          </cell>
          <cell r="Y155">
            <v>9080000</v>
          </cell>
          <cell r="Z155">
            <v>1</v>
          </cell>
          <cell r="AA155">
            <v>9080000</v>
          </cell>
          <cell r="AB155">
            <v>7.3400000000000007E-2</v>
          </cell>
          <cell r="AC155">
            <v>666472.00000000012</v>
          </cell>
          <cell r="AD155">
            <v>79976.640000000014</v>
          </cell>
          <cell r="AE155">
            <v>0.12</v>
          </cell>
          <cell r="AF155">
            <v>43231</v>
          </cell>
          <cell r="AG155" t="str">
            <v>CIF HK</v>
          </cell>
          <cell r="AH155"/>
          <cell r="AI155">
            <v>133500</v>
          </cell>
          <cell r="AJ155" t="str">
            <v>20180531</v>
          </cell>
          <cell r="AK155">
            <v>0.3</v>
          </cell>
          <cell r="AL155">
            <v>2724000</v>
          </cell>
          <cell r="AM155">
            <v>43221</v>
          </cell>
          <cell r="AN155" t="str">
            <v>Yes</v>
          </cell>
          <cell r="AO155">
            <v>0.6</v>
          </cell>
          <cell r="AP155">
            <v>5448000</v>
          </cell>
          <cell r="AQ155">
            <v>43282</v>
          </cell>
          <cell r="AR155">
            <v>43292</v>
          </cell>
          <cell r="AS155">
            <v>0.1</v>
          </cell>
          <cell r="AT155">
            <v>908000</v>
          </cell>
          <cell r="AU155">
            <v>43344</v>
          </cell>
          <cell r="AV155">
            <v>43372</v>
          </cell>
          <cell r="AW155" t="str">
            <v>complete</v>
          </cell>
          <cell r="AX155" t="str">
            <v>Yes</v>
          </cell>
          <cell r="AY155"/>
          <cell r="AZ155" t="str">
            <v>Y</v>
          </cell>
          <cell r="BA155" t="str">
            <v>Yes</v>
          </cell>
        </row>
        <row r="156">
          <cell r="B156"/>
          <cell r="C156" t="str">
            <v>C49SZX20180078DZ</v>
          </cell>
          <cell r="D156" t="str">
            <v>朗特</v>
          </cell>
          <cell r="E156" t="str">
            <v>YSM10</v>
          </cell>
          <cell r="F156" t="str">
            <v>#08242</v>
          </cell>
          <cell r="G156" t="e">
            <v>#REF!</v>
          </cell>
          <cell r="H156" t="e">
            <v>#REF!</v>
          </cell>
          <cell r="K156">
            <v>2</v>
          </cell>
          <cell r="L156" t="str">
            <v>已经送货</v>
          </cell>
          <cell r="M156" t="str">
            <v>2018/8</v>
          </cell>
          <cell r="O156">
            <v>11116175</v>
          </cell>
          <cell r="P156">
            <v>23880000</v>
          </cell>
          <cell r="Q156">
            <v>43313</v>
          </cell>
          <cell r="R156" t="str">
            <v>No</v>
          </cell>
          <cell r="S156" t="str">
            <v>C49</v>
          </cell>
          <cell r="T156" t="str">
            <v>SOUTH</v>
          </cell>
          <cell r="U156" t="str">
            <v>深圳</v>
          </cell>
          <cell r="V156" t="str">
            <v>SZ 深圳</v>
          </cell>
          <cell r="W156" t="str">
            <v>DZ</v>
          </cell>
          <cell r="X156" t="str">
            <v>JPY</v>
          </cell>
          <cell r="Y156">
            <v>11940000</v>
          </cell>
          <cell r="Z156">
            <v>1</v>
          </cell>
          <cell r="AA156">
            <v>23880000</v>
          </cell>
          <cell r="AB156">
            <v>7.51E-2</v>
          </cell>
          <cell r="AC156">
            <v>1793388</v>
          </cell>
          <cell r="AD156">
            <v>215206.56</v>
          </cell>
          <cell r="AE156">
            <v>0.12</v>
          </cell>
          <cell r="AF156">
            <v>43213</v>
          </cell>
          <cell r="AG156" t="str">
            <v>CIF</v>
          </cell>
          <cell r="AH156"/>
          <cell r="AI156">
            <v>50000</v>
          </cell>
          <cell r="AJ156">
            <v>43384</v>
          </cell>
          <cell r="AK156">
            <v>0.2</v>
          </cell>
          <cell r="AL156">
            <v>4776000</v>
          </cell>
          <cell r="AM156">
            <v>43221</v>
          </cell>
          <cell r="AN156" t="str">
            <v>Yes</v>
          </cell>
          <cell r="AO156" t="str">
            <v>agree</v>
          </cell>
          <cell r="AP156">
            <v>19104000</v>
          </cell>
          <cell r="AQ156">
            <v>43313</v>
          </cell>
          <cell r="AR156">
            <v>43314</v>
          </cell>
          <cell r="AS156"/>
          <cell r="AT156">
            <v>0</v>
          </cell>
          <cell r="AV156"/>
          <cell r="AY156"/>
          <cell r="AZ156" t="str">
            <v>Y</v>
          </cell>
          <cell r="BA156" t="str">
            <v>Yes</v>
          </cell>
        </row>
        <row r="157">
          <cell r="B157">
            <v>50</v>
          </cell>
          <cell r="C157" t="str">
            <v>C49SZX20180078DZ</v>
          </cell>
          <cell r="D157" t="str">
            <v>朗特</v>
          </cell>
          <cell r="E157" t="str">
            <v>YSM20-2</v>
          </cell>
          <cell r="F157" t="str">
            <v>#08242</v>
          </cell>
          <cell r="G157" t="e">
            <v>#REF!</v>
          </cell>
          <cell r="H157" t="e">
            <v>#REF!</v>
          </cell>
          <cell r="I157" t="str">
            <v>R-&gt;L</v>
          </cell>
          <cell r="J157" t="str">
            <v>No</v>
          </cell>
          <cell r="K157">
            <v>1</v>
          </cell>
          <cell r="L157">
            <v>109237</v>
          </cell>
          <cell r="M157" t="str">
            <v>DEC 18</v>
          </cell>
          <cell r="O157">
            <v>11116249</v>
          </cell>
          <cell r="P157">
            <v>15000000</v>
          </cell>
          <cell r="Q157">
            <v>43435</v>
          </cell>
          <cell r="R157" t="str">
            <v>No</v>
          </cell>
          <cell r="S157" t="str">
            <v>C49</v>
          </cell>
          <cell r="T157" t="str">
            <v>SOUTH</v>
          </cell>
          <cell r="U157" t="str">
            <v>深圳</v>
          </cell>
          <cell r="V157" t="str">
            <v>SZ 深圳</v>
          </cell>
          <cell r="W157" t="str">
            <v>DZ</v>
          </cell>
          <cell r="X157" t="str">
            <v>JPY</v>
          </cell>
          <cell r="Y157">
            <v>15000000</v>
          </cell>
          <cell r="Z157">
            <v>1</v>
          </cell>
          <cell r="AA157">
            <v>15000000</v>
          </cell>
          <cell r="AB157">
            <v>7.51E-2</v>
          </cell>
          <cell r="AC157">
            <v>1126500</v>
          </cell>
          <cell r="AD157">
            <v>135180</v>
          </cell>
          <cell r="AE157">
            <v>0.12</v>
          </cell>
          <cell r="AF157">
            <v>43218</v>
          </cell>
          <cell r="AG157" t="str">
            <v>CIF</v>
          </cell>
          <cell r="AH157"/>
          <cell r="AI157"/>
          <cell r="AJ157"/>
          <cell r="AK157">
            <v>0.2</v>
          </cell>
          <cell r="AL157">
            <v>3000000</v>
          </cell>
          <cell r="AM157">
            <v>43221</v>
          </cell>
          <cell r="AN157" t="str">
            <v>Yes</v>
          </cell>
          <cell r="AO157">
            <v>0.8</v>
          </cell>
          <cell r="AP157">
            <v>12000000</v>
          </cell>
          <cell r="AQ157">
            <v>43435</v>
          </cell>
          <cell r="AR157">
            <v>43825</v>
          </cell>
          <cell r="AS157" t="str">
            <v>complete</v>
          </cell>
          <cell r="AT157"/>
          <cell r="AV157"/>
          <cell r="AX157" t="str">
            <v>Yes</v>
          </cell>
          <cell r="AY157"/>
          <cell r="AZ157" t="str">
            <v>Y</v>
          </cell>
          <cell r="BA157" t="str">
            <v>Yes</v>
          </cell>
        </row>
        <row r="158">
          <cell r="B158">
            <v>51</v>
          </cell>
          <cell r="C158" t="str">
            <v>C49SZX20180078DZ</v>
          </cell>
          <cell r="D158" t="str">
            <v>朗特</v>
          </cell>
          <cell r="E158" t="str">
            <v>YSM20-2</v>
          </cell>
          <cell r="F158" t="str">
            <v>#08242</v>
          </cell>
          <cell r="G158" t="e">
            <v>#REF!</v>
          </cell>
          <cell r="H158" t="e">
            <v>#REF!</v>
          </cell>
          <cell r="I158" t="str">
            <v>R-&gt;L</v>
          </cell>
          <cell r="J158" t="str">
            <v>No</v>
          </cell>
          <cell r="K158">
            <v>1</v>
          </cell>
          <cell r="L158">
            <v>109237</v>
          </cell>
          <cell r="M158" t="str">
            <v>DEC 18</v>
          </cell>
          <cell r="O158">
            <v>11116249</v>
          </cell>
          <cell r="P158">
            <v>15000000</v>
          </cell>
          <cell r="Q158">
            <v>43435</v>
          </cell>
          <cell r="R158" t="str">
            <v>No</v>
          </cell>
          <cell r="S158" t="str">
            <v>C49</v>
          </cell>
          <cell r="T158" t="str">
            <v>SOUTH</v>
          </cell>
          <cell r="U158" t="str">
            <v>深圳</v>
          </cell>
          <cell r="V158" t="str">
            <v>SZ 深圳</v>
          </cell>
          <cell r="W158" t="str">
            <v>DZ</v>
          </cell>
          <cell r="X158" t="str">
            <v>JPY</v>
          </cell>
          <cell r="Y158">
            <v>15000000</v>
          </cell>
          <cell r="Z158">
            <v>1</v>
          </cell>
          <cell r="AA158">
            <v>15000000</v>
          </cell>
          <cell r="AB158">
            <v>7.51E-2</v>
          </cell>
          <cell r="AC158">
            <v>1126500</v>
          </cell>
          <cell r="AD158">
            <v>135180</v>
          </cell>
          <cell r="AE158">
            <v>0.12</v>
          </cell>
          <cell r="AF158">
            <v>43218</v>
          </cell>
          <cell r="AG158" t="str">
            <v>CIF</v>
          </cell>
          <cell r="AH158"/>
          <cell r="AI158"/>
          <cell r="AJ158"/>
          <cell r="AK158">
            <v>0.2</v>
          </cell>
          <cell r="AL158">
            <v>3000000</v>
          </cell>
          <cell r="AM158">
            <v>43221</v>
          </cell>
          <cell r="AN158" t="str">
            <v>Yes</v>
          </cell>
          <cell r="AO158">
            <v>0.8</v>
          </cell>
          <cell r="AP158">
            <v>12000000</v>
          </cell>
          <cell r="AQ158">
            <v>43435</v>
          </cell>
          <cell r="AR158">
            <v>43825</v>
          </cell>
          <cell r="AS158" t="str">
            <v>complete</v>
          </cell>
          <cell r="AT158"/>
          <cell r="AV158"/>
          <cell r="AX158" t="str">
            <v>Yes</v>
          </cell>
          <cell r="AY158"/>
          <cell r="AZ158" t="str">
            <v>Y</v>
          </cell>
          <cell r="BA158" t="str">
            <v>Yes</v>
          </cell>
        </row>
        <row r="159">
          <cell r="B159"/>
          <cell r="C159" t="str">
            <v>C49SZX20180079DZ</v>
          </cell>
          <cell r="D159" t="str">
            <v>朗特</v>
          </cell>
          <cell r="E159" t="str">
            <v>YSM20-2</v>
          </cell>
          <cell r="F159" t="str">
            <v>#08242</v>
          </cell>
          <cell r="G159" t="e">
            <v>#REF!</v>
          </cell>
          <cell r="H159" t="e">
            <v>#REF!</v>
          </cell>
          <cell r="I159"/>
          <cell r="J159"/>
          <cell r="K159">
            <v>2</v>
          </cell>
          <cell r="L159" t="str">
            <v>取消</v>
          </cell>
          <cell r="M159" t="str">
            <v>取消</v>
          </cell>
          <cell r="N159"/>
          <cell r="O159"/>
          <cell r="P159"/>
          <cell r="Q159"/>
          <cell r="R159" t="str">
            <v>No</v>
          </cell>
          <cell r="S159" t="str">
            <v>C49</v>
          </cell>
          <cell r="T159" t="str">
            <v>SOUTH</v>
          </cell>
          <cell r="U159" t="str">
            <v>深圳</v>
          </cell>
          <cell r="V159" t="str">
            <v>SZ 深圳</v>
          </cell>
          <cell r="W159" t="str">
            <v>DZ</v>
          </cell>
          <cell r="X159" t="str">
            <v>JPY</v>
          </cell>
          <cell r="Y159">
            <v>15000000</v>
          </cell>
          <cell r="Z159">
            <v>1</v>
          </cell>
          <cell r="AA159">
            <v>30000000</v>
          </cell>
          <cell r="AB159">
            <v>7.51E-2</v>
          </cell>
          <cell r="AC159">
            <v>2253000</v>
          </cell>
          <cell r="AD159">
            <v>270360</v>
          </cell>
          <cell r="AE159">
            <v>0.12</v>
          </cell>
          <cell r="AF159">
            <v>43218</v>
          </cell>
          <cell r="AG159" t="str">
            <v>CIF</v>
          </cell>
          <cell r="AH159"/>
          <cell r="AI159"/>
          <cell r="AJ159"/>
          <cell r="AK159">
            <v>0.2</v>
          </cell>
          <cell r="AL159">
            <v>6000000</v>
          </cell>
          <cell r="AM159"/>
          <cell r="AN159"/>
          <cell r="AO159">
            <v>0.8</v>
          </cell>
          <cell r="AP159">
            <v>24000000</v>
          </cell>
          <cell r="AQ159"/>
          <cell r="AR159"/>
          <cell r="AS159"/>
          <cell r="AT159">
            <v>0</v>
          </cell>
          <cell r="AU159"/>
          <cell r="AV159"/>
          <cell r="AW159"/>
          <cell r="AX159" t="str">
            <v>Cancel</v>
          </cell>
          <cell r="AY159"/>
          <cell r="AZ159"/>
          <cell r="BA159" t="str">
            <v>Cancel</v>
          </cell>
          <cell r="BB159" t="str">
            <v>2018-10-23通知</v>
          </cell>
        </row>
        <row r="160">
          <cell r="B160"/>
          <cell r="C160" t="str">
            <v>C49SZX20180079DZ</v>
          </cell>
          <cell r="D160" t="str">
            <v>朗特</v>
          </cell>
          <cell r="E160" t="str">
            <v>YSM10</v>
          </cell>
          <cell r="F160" t="str">
            <v>#08242</v>
          </cell>
          <cell r="G160" t="e">
            <v>#REF!</v>
          </cell>
          <cell r="H160" t="e">
            <v>#REF!</v>
          </cell>
          <cell r="I160"/>
          <cell r="J160"/>
          <cell r="K160">
            <v>2</v>
          </cell>
          <cell r="L160" t="str">
            <v>取消</v>
          </cell>
          <cell r="M160" t="str">
            <v>取消</v>
          </cell>
          <cell r="N160"/>
          <cell r="O160"/>
          <cell r="P160"/>
          <cell r="Q160"/>
          <cell r="R160" t="str">
            <v>No</v>
          </cell>
          <cell r="S160" t="str">
            <v>C49</v>
          </cell>
          <cell r="T160" t="str">
            <v>SOUTH</v>
          </cell>
          <cell r="U160" t="str">
            <v>深圳</v>
          </cell>
          <cell r="V160" t="str">
            <v>SZ 深圳</v>
          </cell>
          <cell r="W160" t="str">
            <v>DZ</v>
          </cell>
          <cell r="X160" t="str">
            <v>JPY</v>
          </cell>
          <cell r="Y160">
            <v>11940000</v>
          </cell>
          <cell r="Z160">
            <v>1</v>
          </cell>
          <cell r="AA160">
            <v>23880000</v>
          </cell>
          <cell r="AB160">
            <v>7.51E-2</v>
          </cell>
          <cell r="AC160">
            <v>1793388</v>
          </cell>
          <cell r="AD160">
            <v>215206.56</v>
          </cell>
          <cell r="AE160">
            <v>0.12</v>
          </cell>
          <cell r="AF160">
            <v>43218</v>
          </cell>
          <cell r="AG160" t="str">
            <v>CIF</v>
          </cell>
          <cell r="AH160"/>
          <cell r="AI160"/>
          <cell r="AJ160"/>
          <cell r="AK160">
            <v>0.2</v>
          </cell>
          <cell r="AL160">
            <v>4776000</v>
          </cell>
          <cell r="AM160"/>
          <cell r="AN160"/>
          <cell r="AO160">
            <v>0.8</v>
          </cell>
          <cell r="AP160">
            <v>19104000</v>
          </cell>
          <cell r="AQ160"/>
          <cell r="AR160"/>
          <cell r="AS160"/>
          <cell r="AT160">
            <v>0</v>
          </cell>
          <cell r="AU160"/>
          <cell r="AV160"/>
          <cell r="AW160"/>
          <cell r="AX160" t="str">
            <v>Cancel</v>
          </cell>
          <cell r="AY160"/>
          <cell r="AZ160"/>
          <cell r="BA160" t="str">
            <v>Cancel</v>
          </cell>
          <cell r="BB160" t="str">
            <v>2018-10-23通知</v>
          </cell>
        </row>
        <row r="161">
          <cell r="B161">
            <v>52</v>
          </cell>
          <cell r="C161" t="str">
            <v>C49SZX20180080SX</v>
          </cell>
          <cell r="D161" t="str">
            <v>longteng龙腾</v>
          </cell>
          <cell r="E161" t="str">
            <v>YSM20-2</v>
          </cell>
          <cell r="F161" t="str">
            <v>NA</v>
          </cell>
          <cell r="G161" t="e">
            <v>#REF!</v>
          </cell>
          <cell r="H161" t="e">
            <v>#REF!</v>
          </cell>
          <cell r="I161" t="str">
            <v>L-&gt;R</v>
          </cell>
          <cell r="J161" t="str">
            <v>No</v>
          </cell>
          <cell r="K161">
            <v>1</v>
          </cell>
          <cell r="L161" t="str">
            <v>取消</v>
          </cell>
          <cell r="M161" t="e">
            <v>#N/A</v>
          </cell>
          <cell r="N161"/>
          <cell r="O161"/>
          <cell r="P161"/>
          <cell r="Q161"/>
          <cell r="R161" t="str">
            <v>No</v>
          </cell>
          <cell r="S161" t="str">
            <v>C49</v>
          </cell>
          <cell r="T161" t="str">
            <v>SOUTH</v>
          </cell>
          <cell r="U161" t="str">
            <v>深圳</v>
          </cell>
          <cell r="V161" t="str">
            <v>SZ 深圳</v>
          </cell>
          <cell r="W161" t="str">
            <v>SX</v>
          </cell>
          <cell r="X161" t="str">
            <v>JPY</v>
          </cell>
          <cell r="Y161">
            <v>15641700</v>
          </cell>
          <cell r="Z161">
            <v>1</v>
          </cell>
          <cell r="AA161">
            <v>15641700</v>
          </cell>
          <cell r="AB161">
            <v>7.3400000000000007E-2</v>
          </cell>
          <cell r="AC161">
            <v>1148100.78</v>
          </cell>
          <cell r="AD161">
            <v>137772.09359999999</v>
          </cell>
          <cell r="AE161">
            <v>0.12</v>
          </cell>
          <cell r="AF161">
            <v>43231</v>
          </cell>
          <cell r="AG161" t="str">
            <v>DAP SZ</v>
          </cell>
          <cell r="AH161"/>
          <cell r="AI161"/>
          <cell r="AJ161"/>
          <cell r="AK161">
            <v>0.2</v>
          </cell>
          <cell r="AL161">
            <v>3128340</v>
          </cell>
          <cell r="AM161"/>
          <cell r="AN161" t="str">
            <v>No</v>
          </cell>
          <cell r="AO161">
            <v>0.8</v>
          </cell>
          <cell r="AP161">
            <v>12513360</v>
          </cell>
          <cell r="AQ161"/>
          <cell r="AR161"/>
          <cell r="AS161">
            <v>0</v>
          </cell>
          <cell r="AT161">
            <v>0</v>
          </cell>
          <cell r="AV161"/>
          <cell r="AX161" t="str">
            <v>Cancel</v>
          </cell>
          <cell r="AY161"/>
          <cell r="AZ161"/>
          <cell r="BA161" t="str">
            <v>Cancel</v>
          </cell>
          <cell r="BB161" t="str">
            <v>2018-10-23通知</v>
          </cell>
        </row>
        <row r="162">
          <cell r="B162">
            <v>53</v>
          </cell>
          <cell r="C162" t="str">
            <v>C49SZX20180081SX</v>
          </cell>
          <cell r="D162" t="str">
            <v>longteng龙腾</v>
          </cell>
          <cell r="E162" t="str">
            <v>YSM20-2</v>
          </cell>
          <cell r="F162" t="str">
            <v>NA</v>
          </cell>
          <cell r="G162" t="e">
            <v>#REF!</v>
          </cell>
          <cell r="H162" t="e">
            <v>#REF!</v>
          </cell>
          <cell r="I162" t="str">
            <v>L-&gt;R</v>
          </cell>
          <cell r="J162" t="str">
            <v>cATS10+MVC+special layout</v>
          </cell>
          <cell r="K162">
            <v>1</v>
          </cell>
          <cell r="L162" t="str">
            <v>取消</v>
          </cell>
          <cell r="M162" t="e">
            <v>#N/A</v>
          </cell>
          <cell r="N162"/>
          <cell r="O162"/>
          <cell r="P162"/>
          <cell r="Q162"/>
          <cell r="R162" t="str">
            <v>No</v>
          </cell>
          <cell r="S162" t="str">
            <v>C49</v>
          </cell>
          <cell r="T162" t="str">
            <v>SOUTH</v>
          </cell>
          <cell r="U162" t="str">
            <v>深圳</v>
          </cell>
          <cell r="V162" t="str">
            <v>SZ 深圳</v>
          </cell>
          <cell r="W162" t="str">
            <v>SX</v>
          </cell>
          <cell r="X162" t="str">
            <v>JPY</v>
          </cell>
          <cell r="Y162">
            <v>15641700</v>
          </cell>
          <cell r="Z162">
            <v>1</v>
          </cell>
          <cell r="AA162">
            <v>15641700</v>
          </cell>
          <cell r="AB162">
            <v>7.3400000000000007E-2</v>
          </cell>
          <cell r="AC162">
            <v>1148100.78</v>
          </cell>
          <cell r="AD162">
            <v>137772.09359999999</v>
          </cell>
          <cell r="AE162">
            <v>0.12</v>
          </cell>
          <cell r="AF162">
            <v>43231</v>
          </cell>
          <cell r="AG162" t="str">
            <v>DAP SZ</v>
          </cell>
          <cell r="AH162"/>
          <cell r="AI162"/>
          <cell r="AJ162"/>
          <cell r="AK162">
            <v>0.2</v>
          </cell>
          <cell r="AL162">
            <v>3128340</v>
          </cell>
          <cell r="AM162"/>
          <cell r="AN162" t="str">
            <v>No</v>
          </cell>
          <cell r="AO162">
            <v>0.8</v>
          </cell>
          <cell r="AP162">
            <v>12513360</v>
          </cell>
          <cell r="AQ162"/>
          <cell r="AR162"/>
          <cell r="AS162">
            <v>0</v>
          </cell>
          <cell r="AT162">
            <v>0</v>
          </cell>
          <cell r="AV162"/>
          <cell r="AX162" t="str">
            <v>Cancel</v>
          </cell>
          <cell r="AY162"/>
          <cell r="AZ162"/>
          <cell r="BA162" t="str">
            <v>Cancel</v>
          </cell>
          <cell r="BB162" t="str">
            <v>2018-10-23通知</v>
          </cell>
        </row>
        <row r="163">
          <cell r="B163">
            <v>54</v>
          </cell>
          <cell r="C163" t="str">
            <v>C49SZX20180082JL</v>
          </cell>
          <cell r="D163" t="str">
            <v>康佳</v>
          </cell>
          <cell r="E163" t="str">
            <v>YSM10</v>
          </cell>
          <cell r="F163" t="str">
            <v>NA</v>
          </cell>
          <cell r="G163" t="e">
            <v>#REF!</v>
          </cell>
          <cell r="H163" t="e">
            <v>#REF!</v>
          </cell>
          <cell r="I163" t="str">
            <v>L-&gt;R</v>
          </cell>
          <cell r="J163" t="str">
            <v>MVC+ATS15</v>
          </cell>
          <cell r="K163">
            <v>1</v>
          </cell>
          <cell r="L163" t="str">
            <v>取消</v>
          </cell>
          <cell r="M163" t="e">
            <v>#N/A</v>
          </cell>
          <cell r="N163"/>
          <cell r="O163"/>
          <cell r="P163"/>
          <cell r="Q163"/>
          <cell r="R163" t="str">
            <v>Yes</v>
          </cell>
          <cell r="S163" t="str">
            <v>C49</v>
          </cell>
          <cell r="T163" t="str">
            <v>SOUTH</v>
          </cell>
          <cell r="U163" t="str">
            <v>深圳</v>
          </cell>
          <cell r="V163" t="str">
            <v>SZ 深圳</v>
          </cell>
          <cell r="W163" t="str">
            <v>JL</v>
          </cell>
          <cell r="X163" t="str">
            <v>JPY</v>
          </cell>
          <cell r="Y163">
            <v>10500000</v>
          </cell>
          <cell r="Z163">
            <v>1</v>
          </cell>
          <cell r="AA163">
            <v>10500000</v>
          </cell>
          <cell r="AB163">
            <v>7.3599999999999999E-2</v>
          </cell>
          <cell r="AC163">
            <v>772800</v>
          </cell>
          <cell r="AD163">
            <v>92736</v>
          </cell>
          <cell r="AE163">
            <v>0.12</v>
          </cell>
          <cell r="AF163">
            <v>43257</v>
          </cell>
          <cell r="AG163" t="str">
            <v>CIF</v>
          </cell>
          <cell r="AH163" t="str">
            <v>电梯</v>
          </cell>
          <cell r="AI163" t="str">
            <v>Na</v>
          </cell>
          <cell r="AJ163" t="str">
            <v>Na</v>
          </cell>
          <cell r="AK163" t="str">
            <v>agree</v>
          </cell>
          <cell r="AL163">
            <v>0</v>
          </cell>
          <cell r="AM163"/>
          <cell r="AN163" t="str">
            <v>Yes</v>
          </cell>
          <cell r="AO163" t="str">
            <v>agree</v>
          </cell>
          <cell r="AP163">
            <v>0</v>
          </cell>
          <cell r="AQ163"/>
          <cell r="AR163"/>
          <cell r="AS163"/>
          <cell r="AT163">
            <v>0</v>
          </cell>
          <cell r="AV163"/>
          <cell r="AX163" t="str">
            <v>Cancel</v>
          </cell>
          <cell r="AY163"/>
          <cell r="AZ163"/>
          <cell r="BA163" t="str">
            <v>Cancel</v>
          </cell>
        </row>
        <row r="164">
          <cell r="B164">
            <v>55</v>
          </cell>
          <cell r="C164" t="str">
            <v>C49SZX20180082JL</v>
          </cell>
          <cell r="D164" t="str">
            <v>康佳</v>
          </cell>
          <cell r="E164" t="str">
            <v>YSM10</v>
          </cell>
          <cell r="F164" t="str">
            <v>NA</v>
          </cell>
          <cell r="G164" t="e">
            <v>#REF!</v>
          </cell>
          <cell r="H164" t="e">
            <v>#REF!</v>
          </cell>
          <cell r="I164" t="str">
            <v>L-&gt;R</v>
          </cell>
          <cell r="J164" t="str">
            <v>MVC+ATS15</v>
          </cell>
          <cell r="K164">
            <v>1</v>
          </cell>
          <cell r="L164" t="str">
            <v>取消</v>
          </cell>
          <cell r="M164" t="e">
            <v>#N/A</v>
          </cell>
          <cell r="N164"/>
          <cell r="O164"/>
          <cell r="P164"/>
          <cell r="Q164"/>
          <cell r="R164" t="str">
            <v>Yes</v>
          </cell>
          <cell r="S164" t="str">
            <v>C49</v>
          </cell>
          <cell r="T164" t="str">
            <v>SOUTH</v>
          </cell>
          <cell r="U164" t="str">
            <v>深圳</v>
          </cell>
          <cell r="V164" t="str">
            <v>SZ 深圳</v>
          </cell>
          <cell r="W164" t="str">
            <v>JL</v>
          </cell>
          <cell r="X164" t="str">
            <v>JPY</v>
          </cell>
          <cell r="Y164">
            <v>10500000</v>
          </cell>
          <cell r="Z164">
            <v>1</v>
          </cell>
          <cell r="AA164">
            <v>10500000</v>
          </cell>
          <cell r="AB164">
            <v>7.3599999999999999E-2</v>
          </cell>
          <cell r="AC164">
            <v>772800</v>
          </cell>
          <cell r="AD164">
            <v>92736</v>
          </cell>
          <cell r="AE164">
            <v>0.12</v>
          </cell>
          <cell r="AF164">
            <v>43257</v>
          </cell>
          <cell r="AG164" t="str">
            <v>CIF</v>
          </cell>
          <cell r="AH164" t="str">
            <v>电梯</v>
          </cell>
          <cell r="AI164" t="str">
            <v>Na</v>
          </cell>
          <cell r="AJ164" t="str">
            <v>Na</v>
          </cell>
          <cell r="AK164" t="str">
            <v>agree</v>
          </cell>
          <cell r="AL164">
            <v>0</v>
          </cell>
          <cell r="AM164"/>
          <cell r="AN164" t="str">
            <v>Yes</v>
          </cell>
          <cell r="AO164" t="str">
            <v>agree</v>
          </cell>
          <cell r="AP164">
            <v>0</v>
          </cell>
          <cell r="AQ164"/>
          <cell r="AR164"/>
          <cell r="AS164"/>
          <cell r="AT164">
            <v>0</v>
          </cell>
          <cell r="AV164"/>
          <cell r="AX164" t="str">
            <v>Cancel</v>
          </cell>
          <cell r="AY164"/>
          <cell r="AZ164"/>
          <cell r="BA164" t="str">
            <v>Cancel</v>
          </cell>
        </row>
        <row r="165">
          <cell r="B165">
            <v>56</v>
          </cell>
          <cell r="C165" t="str">
            <v>C49SZX20180082JL</v>
          </cell>
          <cell r="D165" t="str">
            <v>康佳</v>
          </cell>
          <cell r="E165" t="str">
            <v>YSM10</v>
          </cell>
          <cell r="F165" t="str">
            <v>NA</v>
          </cell>
          <cell r="G165" t="e">
            <v>#REF!</v>
          </cell>
          <cell r="H165" t="e">
            <v>#REF!</v>
          </cell>
          <cell r="I165" t="str">
            <v>L-&gt;R</v>
          </cell>
          <cell r="J165" t="str">
            <v>MVC+ATS15</v>
          </cell>
          <cell r="K165">
            <v>1</v>
          </cell>
          <cell r="L165" t="str">
            <v>取消</v>
          </cell>
          <cell r="M165" t="e">
            <v>#N/A</v>
          </cell>
          <cell r="N165"/>
          <cell r="O165"/>
          <cell r="P165"/>
          <cell r="Q165"/>
          <cell r="R165" t="str">
            <v>Yes</v>
          </cell>
          <cell r="S165" t="str">
            <v>C49</v>
          </cell>
          <cell r="T165" t="str">
            <v>SOUTH</v>
          </cell>
          <cell r="U165" t="str">
            <v>深圳</v>
          </cell>
          <cell r="V165" t="str">
            <v>SZ 深圳</v>
          </cell>
          <cell r="W165" t="str">
            <v>JL</v>
          </cell>
          <cell r="X165" t="str">
            <v>JPY</v>
          </cell>
          <cell r="Y165">
            <v>10500000</v>
          </cell>
          <cell r="Z165">
            <v>1</v>
          </cell>
          <cell r="AA165">
            <v>10500000</v>
          </cell>
          <cell r="AB165">
            <v>7.3599999999999999E-2</v>
          </cell>
          <cell r="AC165">
            <v>772800</v>
          </cell>
          <cell r="AD165">
            <v>92736</v>
          </cell>
          <cell r="AE165">
            <v>0.12</v>
          </cell>
          <cell r="AF165">
            <v>43257</v>
          </cell>
          <cell r="AG165" t="str">
            <v>CIF</v>
          </cell>
          <cell r="AH165" t="str">
            <v>电梯</v>
          </cell>
          <cell r="AI165" t="str">
            <v>Na</v>
          </cell>
          <cell r="AJ165" t="str">
            <v>Na</v>
          </cell>
          <cell r="AK165" t="str">
            <v>agree</v>
          </cell>
          <cell r="AL165">
            <v>0</v>
          </cell>
          <cell r="AM165"/>
          <cell r="AN165" t="str">
            <v>Yes</v>
          </cell>
          <cell r="AO165" t="str">
            <v>agree</v>
          </cell>
          <cell r="AP165">
            <v>0</v>
          </cell>
          <cell r="AQ165"/>
          <cell r="AR165"/>
          <cell r="AS165"/>
          <cell r="AT165">
            <v>0</v>
          </cell>
          <cell r="AV165"/>
          <cell r="AX165" t="str">
            <v>Cancel</v>
          </cell>
          <cell r="AY165"/>
          <cell r="AZ165"/>
          <cell r="BA165" t="str">
            <v>Cancel</v>
          </cell>
        </row>
        <row r="166">
          <cell r="B166">
            <v>57</v>
          </cell>
          <cell r="C166" t="str">
            <v>C49SZX20180082JL</v>
          </cell>
          <cell r="D166" t="str">
            <v>康佳</v>
          </cell>
          <cell r="E166" t="str">
            <v>YSM10</v>
          </cell>
          <cell r="F166" t="str">
            <v>NA</v>
          </cell>
          <cell r="G166" t="e">
            <v>#REF!</v>
          </cell>
          <cell r="H166" t="e">
            <v>#REF!</v>
          </cell>
          <cell r="I166" t="str">
            <v>L-&gt;R</v>
          </cell>
          <cell r="J166" t="str">
            <v>MVC+ATS15</v>
          </cell>
          <cell r="K166">
            <v>1</v>
          </cell>
          <cell r="L166" t="str">
            <v>取消</v>
          </cell>
          <cell r="M166" t="e">
            <v>#N/A</v>
          </cell>
          <cell r="N166"/>
          <cell r="O166"/>
          <cell r="P166"/>
          <cell r="Q166"/>
          <cell r="R166" t="str">
            <v>Yes</v>
          </cell>
          <cell r="S166" t="str">
            <v>C49</v>
          </cell>
          <cell r="T166" t="str">
            <v>SOUTH</v>
          </cell>
          <cell r="U166" t="str">
            <v>深圳</v>
          </cell>
          <cell r="V166" t="str">
            <v>SZ 深圳</v>
          </cell>
          <cell r="W166" t="str">
            <v>JL</v>
          </cell>
          <cell r="X166" t="str">
            <v>JPY</v>
          </cell>
          <cell r="Y166">
            <v>10500000</v>
          </cell>
          <cell r="Z166">
            <v>1</v>
          </cell>
          <cell r="AA166">
            <v>10500000</v>
          </cell>
          <cell r="AB166">
            <v>7.3599999999999999E-2</v>
          </cell>
          <cell r="AC166">
            <v>772800</v>
          </cell>
          <cell r="AD166">
            <v>92736</v>
          </cell>
          <cell r="AE166">
            <v>0.12</v>
          </cell>
          <cell r="AF166">
            <v>43257</v>
          </cell>
          <cell r="AG166" t="str">
            <v>CIF</v>
          </cell>
          <cell r="AH166" t="str">
            <v>电梯</v>
          </cell>
          <cell r="AI166" t="str">
            <v>Na</v>
          </cell>
          <cell r="AJ166" t="str">
            <v>Na</v>
          </cell>
          <cell r="AK166" t="str">
            <v>agree</v>
          </cell>
          <cell r="AL166">
            <v>0</v>
          </cell>
          <cell r="AM166"/>
          <cell r="AN166" t="str">
            <v>Yes</v>
          </cell>
          <cell r="AO166" t="str">
            <v>agree</v>
          </cell>
          <cell r="AP166">
            <v>0</v>
          </cell>
          <cell r="AQ166"/>
          <cell r="AR166"/>
          <cell r="AS166"/>
          <cell r="AT166">
            <v>0</v>
          </cell>
          <cell r="AV166"/>
          <cell r="AX166" t="str">
            <v>Cancel</v>
          </cell>
          <cell r="AY166"/>
          <cell r="AZ166"/>
          <cell r="BA166" t="str">
            <v>Cancel</v>
          </cell>
        </row>
        <row r="167">
          <cell r="B167">
            <v>58</v>
          </cell>
          <cell r="C167" t="str">
            <v>C49SZX20180082JL</v>
          </cell>
          <cell r="D167" t="str">
            <v>康佳</v>
          </cell>
          <cell r="E167" t="str">
            <v>YSM10</v>
          </cell>
          <cell r="F167" t="str">
            <v>NA</v>
          </cell>
          <cell r="G167" t="e">
            <v>#REF!</v>
          </cell>
          <cell r="H167" t="e">
            <v>#REF!</v>
          </cell>
          <cell r="I167" t="str">
            <v>R-&gt;L</v>
          </cell>
          <cell r="J167" t="str">
            <v>MVC+ATS15</v>
          </cell>
          <cell r="K167">
            <v>1</v>
          </cell>
          <cell r="L167" t="str">
            <v>取消</v>
          </cell>
          <cell r="M167" t="e">
            <v>#N/A</v>
          </cell>
          <cell r="N167"/>
          <cell r="O167"/>
          <cell r="P167"/>
          <cell r="Q167"/>
          <cell r="R167" t="str">
            <v>Yes</v>
          </cell>
          <cell r="S167" t="str">
            <v>C49</v>
          </cell>
          <cell r="T167" t="str">
            <v>SOUTH</v>
          </cell>
          <cell r="U167" t="str">
            <v>深圳</v>
          </cell>
          <cell r="V167" t="str">
            <v>SZ 深圳</v>
          </cell>
          <cell r="W167" t="str">
            <v>JL</v>
          </cell>
          <cell r="X167" t="str">
            <v>JPY</v>
          </cell>
          <cell r="Y167">
            <v>10500000</v>
          </cell>
          <cell r="Z167">
            <v>1</v>
          </cell>
          <cell r="AA167">
            <v>10500000</v>
          </cell>
          <cell r="AB167">
            <v>7.3599999999999999E-2</v>
          </cell>
          <cell r="AC167">
            <v>772800</v>
          </cell>
          <cell r="AD167">
            <v>92736</v>
          </cell>
          <cell r="AE167">
            <v>0.12</v>
          </cell>
          <cell r="AF167">
            <v>43257</v>
          </cell>
          <cell r="AG167" t="str">
            <v>CIF</v>
          </cell>
          <cell r="AH167" t="str">
            <v>电梯</v>
          </cell>
          <cell r="AI167" t="str">
            <v>Na</v>
          </cell>
          <cell r="AJ167" t="str">
            <v>Na</v>
          </cell>
          <cell r="AK167" t="str">
            <v>agree</v>
          </cell>
          <cell r="AL167">
            <v>0</v>
          </cell>
          <cell r="AM167"/>
          <cell r="AN167" t="str">
            <v>Yes</v>
          </cell>
          <cell r="AO167" t="str">
            <v>agree</v>
          </cell>
          <cell r="AP167">
            <v>0</v>
          </cell>
          <cell r="AQ167"/>
          <cell r="AR167"/>
          <cell r="AS167"/>
          <cell r="AT167">
            <v>0</v>
          </cell>
          <cell r="AV167"/>
          <cell r="AX167" t="str">
            <v>Cancel</v>
          </cell>
          <cell r="AY167"/>
          <cell r="AZ167"/>
          <cell r="BA167" t="str">
            <v>Cancel</v>
          </cell>
        </row>
        <row r="168">
          <cell r="B168">
            <v>59</v>
          </cell>
          <cell r="C168" t="str">
            <v>C49SZX20180082JL</v>
          </cell>
          <cell r="D168" t="str">
            <v>康佳</v>
          </cell>
          <cell r="E168" t="str">
            <v>YSM10</v>
          </cell>
          <cell r="F168" t="str">
            <v>NA</v>
          </cell>
          <cell r="G168" t="e">
            <v>#REF!</v>
          </cell>
          <cell r="H168" t="e">
            <v>#REF!</v>
          </cell>
          <cell r="I168" t="str">
            <v>R-&gt;L</v>
          </cell>
          <cell r="J168" t="str">
            <v>MVC+ATS15</v>
          </cell>
          <cell r="K168">
            <v>1</v>
          </cell>
          <cell r="L168" t="str">
            <v>取消</v>
          </cell>
          <cell r="M168" t="e">
            <v>#N/A</v>
          </cell>
          <cell r="N168"/>
          <cell r="O168"/>
          <cell r="P168"/>
          <cell r="Q168"/>
          <cell r="R168" t="str">
            <v>Yes</v>
          </cell>
          <cell r="S168" t="str">
            <v>C49</v>
          </cell>
          <cell r="T168" t="str">
            <v>SOUTH</v>
          </cell>
          <cell r="U168" t="str">
            <v>深圳</v>
          </cell>
          <cell r="V168" t="str">
            <v>SZ 深圳</v>
          </cell>
          <cell r="W168" t="str">
            <v>JL</v>
          </cell>
          <cell r="X168" t="str">
            <v>JPY</v>
          </cell>
          <cell r="Y168">
            <v>10500000</v>
          </cell>
          <cell r="Z168">
            <v>1</v>
          </cell>
          <cell r="AA168">
            <v>10500000</v>
          </cell>
          <cell r="AB168">
            <v>7.3599999999999999E-2</v>
          </cell>
          <cell r="AC168">
            <v>772800</v>
          </cell>
          <cell r="AD168">
            <v>92736</v>
          </cell>
          <cell r="AE168">
            <v>0.12</v>
          </cell>
          <cell r="AF168">
            <v>43257</v>
          </cell>
          <cell r="AG168" t="str">
            <v>CIF</v>
          </cell>
          <cell r="AH168" t="str">
            <v>电梯</v>
          </cell>
          <cell r="AI168" t="str">
            <v>Na</v>
          </cell>
          <cell r="AJ168" t="str">
            <v>Na</v>
          </cell>
          <cell r="AK168" t="str">
            <v>agree</v>
          </cell>
          <cell r="AL168">
            <v>0</v>
          </cell>
          <cell r="AM168"/>
          <cell r="AN168" t="str">
            <v>Yes</v>
          </cell>
          <cell r="AO168" t="str">
            <v>agree</v>
          </cell>
          <cell r="AP168">
            <v>0</v>
          </cell>
          <cell r="AQ168"/>
          <cell r="AR168"/>
          <cell r="AS168"/>
          <cell r="AT168">
            <v>0</v>
          </cell>
          <cell r="AV168"/>
          <cell r="AX168" t="str">
            <v>Cancel</v>
          </cell>
          <cell r="AY168"/>
          <cell r="AZ168"/>
          <cell r="BA168" t="str">
            <v>Cancel</v>
          </cell>
        </row>
        <row r="169">
          <cell r="B169">
            <v>60</v>
          </cell>
          <cell r="C169" t="str">
            <v>C49SZX20180082JL</v>
          </cell>
          <cell r="D169" t="str">
            <v>康佳</v>
          </cell>
          <cell r="E169" t="str">
            <v>YSM10</v>
          </cell>
          <cell r="F169" t="str">
            <v>NA</v>
          </cell>
          <cell r="G169" t="e">
            <v>#REF!</v>
          </cell>
          <cell r="H169" t="e">
            <v>#REF!</v>
          </cell>
          <cell r="I169" t="str">
            <v>R-&gt;L</v>
          </cell>
          <cell r="J169" t="str">
            <v>MVC+ATS15</v>
          </cell>
          <cell r="K169">
            <v>1</v>
          </cell>
          <cell r="L169" t="str">
            <v>取消</v>
          </cell>
          <cell r="M169" t="e">
            <v>#N/A</v>
          </cell>
          <cell r="N169"/>
          <cell r="O169"/>
          <cell r="P169"/>
          <cell r="Q169"/>
          <cell r="R169" t="str">
            <v>Yes</v>
          </cell>
          <cell r="S169" t="str">
            <v>C49</v>
          </cell>
          <cell r="T169" t="str">
            <v>SOUTH</v>
          </cell>
          <cell r="U169" t="str">
            <v>深圳</v>
          </cell>
          <cell r="V169" t="str">
            <v>SZ 深圳</v>
          </cell>
          <cell r="W169" t="str">
            <v>JL</v>
          </cell>
          <cell r="X169" t="str">
            <v>JPY</v>
          </cell>
          <cell r="Y169">
            <v>10500000</v>
          </cell>
          <cell r="Z169">
            <v>1</v>
          </cell>
          <cell r="AA169">
            <v>10500000</v>
          </cell>
          <cell r="AB169">
            <v>7.3599999999999999E-2</v>
          </cell>
          <cell r="AC169">
            <v>772800</v>
          </cell>
          <cell r="AD169">
            <v>92736</v>
          </cell>
          <cell r="AE169">
            <v>0.12</v>
          </cell>
          <cell r="AF169">
            <v>43257</v>
          </cell>
          <cell r="AG169" t="str">
            <v>CIF</v>
          </cell>
          <cell r="AH169" t="str">
            <v>电梯</v>
          </cell>
          <cell r="AI169" t="str">
            <v>Na</v>
          </cell>
          <cell r="AJ169" t="str">
            <v>Na</v>
          </cell>
          <cell r="AK169" t="str">
            <v>agree</v>
          </cell>
          <cell r="AL169">
            <v>0</v>
          </cell>
          <cell r="AM169"/>
          <cell r="AN169" t="str">
            <v>Yes</v>
          </cell>
          <cell r="AO169" t="str">
            <v>agree</v>
          </cell>
          <cell r="AP169">
            <v>0</v>
          </cell>
          <cell r="AQ169"/>
          <cell r="AR169"/>
          <cell r="AS169"/>
          <cell r="AT169">
            <v>0</v>
          </cell>
          <cell r="AV169"/>
          <cell r="AX169" t="str">
            <v>Cancel</v>
          </cell>
          <cell r="AY169"/>
          <cell r="AZ169"/>
          <cell r="BA169" t="str">
            <v>Cancel</v>
          </cell>
        </row>
        <row r="170">
          <cell r="B170">
            <v>61</v>
          </cell>
          <cell r="C170" t="str">
            <v xml:space="preserve"> </v>
          </cell>
          <cell r="D170" t="str">
            <v>康佳</v>
          </cell>
          <cell r="E170" t="str">
            <v>YSM10</v>
          </cell>
          <cell r="F170" t="str">
            <v>NA</v>
          </cell>
          <cell r="G170" t="e">
            <v>#REF!</v>
          </cell>
          <cell r="H170" t="e">
            <v>#REF!</v>
          </cell>
          <cell r="I170" t="str">
            <v>R-&gt;L</v>
          </cell>
          <cell r="J170" t="str">
            <v>MVC+ATS15</v>
          </cell>
          <cell r="K170">
            <v>1</v>
          </cell>
          <cell r="L170" t="str">
            <v>取消</v>
          </cell>
          <cell r="M170" t="e">
            <v>#N/A</v>
          </cell>
          <cell r="N170"/>
          <cell r="O170"/>
          <cell r="P170"/>
          <cell r="Q170"/>
          <cell r="R170" t="str">
            <v>Yes</v>
          </cell>
          <cell r="S170" t="str">
            <v>C49</v>
          </cell>
          <cell r="T170" t="str">
            <v>SOUTH</v>
          </cell>
          <cell r="U170" t="str">
            <v>深圳</v>
          </cell>
          <cell r="V170" t="str">
            <v>SZ 深圳</v>
          </cell>
          <cell r="W170" t="str">
            <v>JL</v>
          </cell>
          <cell r="X170" t="str">
            <v>JPY</v>
          </cell>
          <cell r="Y170">
            <v>10500000</v>
          </cell>
          <cell r="Z170">
            <v>1</v>
          </cell>
          <cell r="AA170">
            <v>10500000</v>
          </cell>
          <cell r="AB170">
            <v>7.3599999999999999E-2</v>
          </cell>
          <cell r="AC170">
            <v>772800</v>
          </cell>
          <cell r="AD170">
            <v>92736</v>
          </cell>
          <cell r="AE170">
            <v>0.12</v>
          </cell>
          <cell r="AF170">
            <v>43257</v>
          </cell>
          <cell r="AG170" t="str">
            <v>CIF</v>
          </cell>
          <cell r="AH170" t="str">
            <v>电梯</v>
          </cell>
          <cell r="AI170" t="str">
            <v>Na</v>
          </cell>
          <cell r="AJ170" t="str">
            <v>Na</v>
          </cell>
          <cell r="AK170" t="str">
            <v>agree</v>
          </cell>
          <cell r="AL170">
            <v>0</v>
          </cell>
          <cell r="AM170"/>
          <cell r="AN170" t="str">
            <v>Yes</v>
          </cell>
          <cell r="AO170" t="str">
            <v>agree</v>
          </cell>
          <cell r="AP170">
            <v>0</v>
          </cell>
          <cell r="AQ170"/>
          <cell r="AR170"/>
          <cell r="AS170"/>
          <cell r="AT170">
            <v>0</v>
          </cell>
          <cell r="AV170"/>
          <cell r="AX170" t="str">
            <v>Cancel</v>
          </cell>
          <cell r="AY170"/>
          <cell r="AZ170"/>
          <cell r="BA170" t="str">
            <v>Cancel</v>
          </cell>
        </row>
        <row r="171">
          <cell r="B171">
            <v>62</v>
          </cell>
          <cell r="C171" t="str">
            <v>C49SZX20180082JL</v>
          </cell>
          <cell r="D171" t="str">
            <v>康佳</v>
          </cell>
          <cell r="E171" t="str">
            <v>YSM20-2</v>
          </cell>
          <cell r="F171" t="str">
            <v>NA</v>
          </cell>
          <cell r="G171" t="e">
            <v>#REF!</v>
          </cell>
          <cell r="H171" t="e">
            <v>#REF!</v>
          </cell>
          <cell r="I171" t="str">
            <v>L-&gt;R</v>
          </cell>
          <cell r="J171" t="str">
            <v>No</v>
          </cell>
          <cell r="K171">
            <v>1</v>
          </cell>
          <cell r="L171" t="str">
            <v>取消</v>
          </cell>
          <cell r="M171" t="e">
            <v>#N/A</v>
          </cell>
          <cell r="N171"/>
          <cell r="O171"/>
          <cell r="P171"/>
          <cell r="Q171"/>
          <cell r="R171" t="str">
            <v>Yes</v>
          </cell>
          <cell r="S171" t="str">
            <v>C49</v>
          </cell>
          <cell r="T171" t="str">
            <v>SOUTH</v>
          </cell>
          <cell r="U171" t="str">
            <v>深圳</v>
          </cell>
          <cell r="V171" t="str">
            <v>SZ 深圳</v>
          </cell>
          <cell r="W171" t="str">
            <v>JL</v>
          </cell>
          <cell r="X171" t="str">
            <v>JPY</v>
          </cell>
          <cell r="Y171">
            <v>14000000</v>
          </cell>
          <cell r="Z171">
            <v>1</v>
          </cell>
          <cell r="AA171">
            <v>14000000</v>
          </cell>
          <cell r="AB171">
            <v>7.3599999999999999E-2</v>
          </cell>
          <cell r="AC171">
            <v>1030400</v>
          </cell>
          <cell r="AD171">
            <v>123648</v>
          </cell>
          <cell r="AE171">
            <v>0.12</v>
          </cell>
          <cell r="AF171">
            <v>43257</v>
          </cell>
          <cell r="AG171" t="str">
            <v>CIF</v>
          </cell>
          <cell r="AH171" t="str">
            <v>电梯</v>
          </cell>
          <cell r="AI171">
            <v>500000</v>
          </cell>
          <cell r="AJ171" t="str">
            <v>20180620</v>
          </cell>
          <cell r="AK171" t="str">
            <v>agree</v>
          </cell>
          <cell r="AL171">
            <v>84000000</v>
          </cell>
          <cell r="AM171"/>
          <cell r="AN171" t="str">
            <v>Yes</v>
          </cell>
          <cell r="AO171" t="str">
            <v>agree</v>
          </cell>
          <cell r="AP171">
            <v>196000000</v>
          </cell>
          <cell r="AQ171"/>
          <cell r="AR171"/>
          <cell r="AS171"/>
          <cell r="AT171">
            <v>0</v>
          </cell>
          <cell r="AV171"/>
          <cell r="AX171" t="str">
            <v>Cancel</v>
          </cell>
          <cell r="AY171"/>
          <cell r="AZ171"/>
          <cell r="BA171" t="str">
            <v>Cancel</v>
          </cell>
        </row>
        <row r="172">
          <cell r="B172">
            <v>63</v>
          </cell>
          <cell r="C172" t="str">
            <v>C49SZX20180082JL</v>
          </cell>
          <cell r="D172" t="str">
            <v>康佳</v>
          </cell>
          <cell r="E172" t="str">
            <v>YSM20-2</v>
          </cell>
          <cell r="F172" t="str">
            <v>NA</v>
          </cell>
          <cell r="G172" t="e">
            <v>#REF!</v>
          </cell>
          <cell r="H172" t="e">
            <v>#REF!</v>
          </cell>
          <cell r="I172" t="str">
            <v>L-&gt;R</v>
          </cell>
          <cell r="J172" t="str">
            <v>No</v>
          </cell>
          <cell r="K172">
            <v>1</v>
          </cell>
          <cell r="L172" t="str">
            <v>取消</v>
          </cell>
          <cell r="M172" t="e">
            <v>#N/A</v>
          </cell>
          <cell r="N172"/>
          <cell r="O172"/>
          <cell r="P172"/>
          <cell r="Q172"/>
          <cell r="R172" t="str">
            <v>Yes</v>
          </cell>
          <cell r="S172" t="str">
            <v>C49</v>
          </cell>
          <cell r="T172" t="str">
            <v>SOUTH</v>
          </cell>
          <cell r="U172" t="str">
            <v>深圳</v>
          </cell>
          <cell r="V172" t="str">
            <v>SZ 深圳</v>
          </cell>
          <cell r="W172" t="str">
            <v>JL</v>
          </cell>
          <cell r="X172" t="str">
            <v>JPY</v>
          </cell>
          <cell r="Y172">
            <v>14000000</v>
          </cell>
          <cell r="Z172">
            <v>1</v>
          </cell>
          <cell r="AA172">
            <v>14000000</v>
          </cell>
          <cell r="AB172">
            <v>7.3599999999999999E-2</v>
          </cell>
          <cell r="AC172">
            <v>1030400</v>
          </cell>
          <cell r="AD172">
            <v>123648</v>
          </cell>
          <cell r="AE172">
            <v>0.12</v>
          </cell>
          <cell r="AF172">
            <v>43257</v>
          </cell>
          <cell r="AG172" t="str">
            <v>CIF</v>
          </cell>
          <cell r="AH172" t="str">
            <v>电梯</v>
          </cell>
          <cell r="AI172">
            <v>500000</v>
          </cell>
          <cell r="AJ172" t="str">
            <v>20180620</v>
          </cell>
          <cell r="AK172" t="str">
            <v>agree</v>
          </cell>
          <cell r="AL172">
            <v>0</v>
          </cell>
          <cell r="AM172"/>
          <cell r="AN172" t="str">
            <v>Yes</v>
          </cell>
          <cell r="AO172" t="str">
            <v>agree</v>
          </cell>
          <cell r="AP172">
            <v>196000000</v>
          </cell>
          <cell r="AQ172"/>
          <cell r="AR172"/>
          <cell r="AS172"/>
          <cell r="AT172">
            <v>0</v>
          </cell>
          <cell r="AV172"/>
          <cell r="AX172" t="str">
            <v>Cancel</v>
          </cell>
          <cell r="AY172"/>
          <cell r="AZ172"/>
          <cell r="BA172" t="str">
            <v>Cancel</v>
          </cell>
        </row>
        <row r="173">
          <cell r="B173">
            <v>64</v>
          </cell>
          <cell r="C173" t="str">
            <v>C49SZX20180082JL</v>
          </cell>
          <cell r="D173" t="str">
            <v>康佳</v>
          </cell>
          <cell r="E173" t="str">
            <v>YSM20-2</v>
          </cell>
          <cell r="F173" t="str">
            <v>NA</v>
          </cell>
          <cell r="G173" t="e">
            <v>#REF!</v>
          </cell>
          <cell r="H173" t="e">
            <v>#REF!</v>
          </cell>
          <cell r="I173" t="str">
            <v>L-&gt;R</v>
          </cell>
          <cell r="J173" t="str">
            <v>No</v>
          </cell>
          <cell r="K173">
            <v>1</v>
          </cell>
          <cell r="L173" t="str">
            <v>取消</v>
          </cell>
          <cell r="M173" t="e">
            <v>#N/A</v>
          </cell>
          <cell r="N173"/>
          <cell r="O173"/>
          <cell r="P173"/>
          <cell r="Q173"/>
          <cell r="R173" t="str">
            <v>Yes</v>
          </cell>
          <cell r="S173" t="str">
            <v>C49</v>
          </cell>
          <cell r="T173" t="str">
            <v>SOUTH</v>
          </cell>
          <cell r="U173" t="str">
            <v>深圳</v>
          </cell>
          <cell r="V173" t="str">
            <v>SZ 深圳</v>
          </cell>
          <cell r="W173" t="str">
            <v>JL</v>
          </cell>
          <cell r="X173" t="str">
            <v>JPY</v>
          </cell>
          <cell r="Y173">
            <v>14000000</v>
          </cell>
          <cell r="Z173">
            <v>1</v>
          </cell>
          <cell r="AA173">
            <v>14000000</v>
          </cell>
          <cell r="AB173">
            <v>7.3599999999999999E-2</v>
          </cell>
          <cell r="AC173">
            <v>1030400</v>
          </cell>
          <cell r="AD173">
            <v>123648</v>
          </cell>
          <cell r="AE173">
            <v>0.12</v>
          </cell>
          <cell r="AF173">
            <v>43257</v>
          </cell>
          <cell r="AG173" t="str">
            <v>CIF</v>
          </cell>
          <cell r="AH173" t="str">
            <v>电梯</v>
          </cell>
          <cell r="AI173">
            <v>500000</v>
          </cell>
          <cell r="AJ173" t="str">
            <v>20180620</v>
          </cell>
          <cell r="AK173" t="str">
            <v>agree</v>
          </cell>
          <cell r="AL173">
            <v>0</v>
          </cell>
          <cell r="AM173"/>
          <cell r="AN173" t="str">
            <v>Yes</v>
          </cell>
          <cell r="AO173" t="str">
            <v>agree</v>
          </cell>
          <cell r="AP173">
            <v>196000000</v>
          </cell>
          <cell r="AQ173"/>
          <cell r="AR173"/>
          <cell r="AS173"/>
          <cell r="AT173">
            <v>0</v>
          </cell>
          <cell r="AV173"/>
          <cell r="AX173" t="str">
            <v>Cancel</v>
          </cell>
          <cell r="AY173"/>
          <cell r="AZ173"/>
          <cell r="BA173" t="str">
            <v>Cancel</v>
          </cell>
        </row>
        <row r="174">
          <cell r="B174">
            <v>65</v>
          </cell>
          <cell r="C174" t="str">
            <v>C49SZX20180082JL</v>
          </cell>
          <cell r="D174" t="str">
            <v>康佳</v>
          </cell>
          <cell r="E174" t="str">
            <v>YSM20-2</v>
          </cell>
          <cell r="F174" t="str">
            <v>NA</v>
          </cell>
          <cell r="G174" t="e">
            <v>#REF!</v>
          </cell>
          <cell r="H174" t="e">
            <v>#REF!</v>
          </cell>
          <cell r="I174" t="str">
            <v>L-&gt;R</v>
          </cell>
          <cell r="J174" t="str">
            <v>No</v>
          </cell>
          <cell r="K174">
            <v>1</v>
          </cell>
          <cell r="L174" t="str">
            <v>取消</v>
          </cell>
          <cell r="M174" t="e">
            <v>#N/A</v>
          </cell>
          <cell r="N174"/>
          <cell r="O174"/>
          <cell r="P174"/>
          <cell r="Q174"/>
          <cell r="R174" t="str">
            <v>Yes</v>
          </cell>
          <cell r="S174" t="str">
            <v>C49</v>
          </cell>
          <cell r="T174" t="str">
            <v>SOUTH</v>
          </cell>
          <cell r="U174" t="str">
            <v>深圳</v>
          </cell>
          <cell r="V174" t="str">
            <v>SZ 深圳</v>
          </cell>
          <cell r="W174" t="str">
            <v>JL</v>
          </cell>
          <cell r="X174" t="str">
            <v>JPY</v>
          </cell>
          <cell r="Y174">
            <v>14000000</v>
          </cell>
          <cell r="Z174">
            <v>1</v>
          </cell>
          <cell r="AA174">
            <v>14000000</v>
          </cell>
          <cell r="AB174">
            <v>7.3599999999999999E-2</v>
          </cell>
          <cell r="AC174">
            <v>1030400</v>
          </cell>
          <cell r="AD174">
            <v>123648</v>
          </cell>
          <cell r="AE174">
            <v>0.12</v>
          </cell>
          <cell r="AF174">
            <v>43257</v>
          </cell>
          <cell r="AG174" t="str">
            <v>CIF</v>
          </cell>
          <cell r="AH174" t="str">
            <v>电梯</v>
          </cell>
          <cell r="AI174">
            <v>500000</v>
          </cell>
          <cell r="AJ174" t="str">
            <v>20180620</v>
          </cell>
          <cell r="AK174" t="str">
            <v>agree</v>
          </cell>
          <cell r="AL174">
            <v>0</v>
          </cell>
          <cell r="AM174"/>
          <cell r="AN174" t="str">
            <v>Yes</v>
          </cell>
          <cell r="AO174" t="str">
            <v>agree</v>
          </cell>
          <cell r="AP174">
            <v>196000000</v>
          </cell>
          <cell r="AQ174"/>
          <cell r="AR174"/>
          <cell r="AS174"/>
          <cell r="AT174">
            <v>0</v>
          </cell>
          <cell r="AV174"/>
          <cell r="AX174" t="str">
            <v>Cancel</v>
          </cell>
          <cell r="AY174"/>
          <cell r="AZ174"/>
          <cell r="BA174" t="str">
            <v>Cancel</v>
          </cell>
        </row>
        <row r="175">
          <cell r="B175">
            <v>66</v>
          </cell>
          <cell r="C175" t="str">
            <v>C49SZX20180082JL</v>
          </cell>
          <cell r="D175" t="str">
            <v>康佳</v>
          </cell>
          <cell r="E175" t="str">
            <v>YSM20-2</v>
          </cell>
          <cell r="F175" t="str">
            <v>NA</v>
          </cell>
          <cell r="G175" t="e">
            <v>#REF!</v>
          </cell>
          <cell r="H175" t="e">
            <v>#REF!</v>
          </cell>
          <cell r="I175" t="str">
            <v>L-&gt;R</v>
          </cell>
          <cell r="J175" t="str">
            <v>No</v>
          </cell>
          <cell r="K175">
            <v>1</v>
          </cell>
          <cell r="L175" t="str">
            <v>取消</v>
          </cell>
          <cell r="M175" t="e">
            <v>#N/A</v>
          </cell>
          <cell r="N175"/>
          <cell r="O175"/>
          <cell r="P175"/>
          <cell r="Q175"/>
          <cell r="R175" t="str">
            <v>Yes</v>
          </cell>
          <cell r="S175" t="str">
            <v>C49</v>
          </cell>
          <cell r="T175" t="str">
            <v>SOUTH</v>
          </cell>
          <cell r="U175" t="str">
            <v>深圳</v>
          </cell>
          <cell r="V175" t="str">
            <v>SZ 深圳</v>
          </cell>
          <cell r="W175" t="str">
            <v>JL</v>
          </cell>
          <cell r="X175" t="str">
            <v>JPY</v>
          </cell>
          <cell r="Y175">
            <v>14000000</v>
          </cell>
          <cell r="Z175">
            <v>1</v>
          </cell>
          <cell r="AA175">
            <v>14000000</v>
          </cell>
          <cell r="AB175">
            <v>7.3599999999999999E-2</v>
          </cell>
          <cell r="AC175">
            <v>1030400</v>
          </cell>
          <cell r="AD175">
            <v>123648</v>
          </cell>
          <cell r="AE175">
            <v>0.12</v>
          </cell>
          <cell r="AF175">
            <v>43257</v>
          </cell>
          <cell r="AG175" t="str">
            <v>CIF</v>
          </cell>
          <cell r="AH175" t="str">
            <v>电梯</v>
          </cell>
          <cell r="AI175">
            <v>500000</v>
          </cell>
          <cell r="AJ175" t="str">
            <v>20180620</v>
          </cell>
          <cell r="AK175" t="str">
            <v>agree</v>
          </cell>
          <cell r="AL175">
            <v>0</v>
          </cell>
          <cell r="AM175"/>
          <cell r="AN175" t="str">
            <v>Yes</v>
          </cell>
          <cell r="AO175" t="str">
            <v>agree</v>
          </cell>
          <cell r="AP175">
            <v>196000000</v>
          </cell>
          <cell r="AQ175"/>
          <cell r="AR175"/>
          <cell r="AS175"/>
          <cell r="AT175">
            <v>0</v>
          </cell>
          <cell r="AV175"/>
          <cell r="AX175" t="str">
            <v>Cancel</v>
          </cell>
          <cell r="AY175"/>
          <cell r="AZ175"/>
          <cell r="BA175" t="str">
            <v>Cancel</v>
          </cell>
        </row>
        <row r="176">
          <cell r="B176">
            <v>67</v>
          </cell>
          <cell r="C176" t="str">
            <v>C49SZX20180082JL</v>
          </cell>
          <cell r="D176" t="str">
            <v>康佳</v>
          </cell>
          <cell r="E176" t="str">
            <v>YSM20-2</v>
          </cell>
          <cell r="F176" t="str">
            <v>NA</v>
          </cell>
          <cell r="G176" t="e">
            <v>#REF!</v>
          </cell>
          <cell r="H176" t="e">
            <v>#REF!</v>
          </cell>
          <cell r="I176" t="str">
            <v>L-&gt;R</v>
          </cell>
          <cell r="J176" t="str">
            <v>No</v>
          </cell>
          <cell r="K176">
            <v>1</v>
          </cell>
          <cell r="L176" t="str">
            <v>取消</v>
          </cell>
          <cell r="M176" t="e">
            <v>#N/A</v>
          </cell>
          <cell r="N176"/>
          <cell r="O176"/>
          <cell r="P176"/>
          <cell r="Q176"/>
          <cell r="R176" t="str">
            <v>Yes</v>
          </cell>
          <cell r="S176" t="str">
            <v>C49</v>
          </cell>
          <cell r="T176" t="str">
            <v>SOUTH</v>
          </cell>
          <cell r="U176" t="str">
            <v>深圳</v>
          </cell>
          <cell r="V176" t="str">
            <v>SZ 深圳</v>
          </cell>
          <cell r="W176" t="str">
            <v>JL</v>
          </cell>
          <cell r="X176" t="str">
            <v>JPY</v>
          </cell>
          <cell r="Y176">
            <v>14000000</v>
          </cell>
          <cell r="Z176">
            <v>1</v>
          </cell>
          <cell r="AA176">
            <v>14000000</v>
          </cell>
          <cell r="AB176">
            <v>7.3599999999999999E-2</v>
          </cell>
          <cell r="AC176">
            <v>1030400</v>
          </cell>
          <cell r="AD176">
            <v>123648</v>
          </cell>
          <cell r="AE176">
            <v>0.12</v>
          </cell>
          <cell r="AF176">
            <v>43257</v>
          </cell>
          <cell r="AG176" t="str">
            <v>CIF</v>
          </cell>
          <cell r="AH176" t="str">
            <v>电梯</v>
          </cell>
          <cell r="AI176">
            <v>500000</v>
          </cell>
          <cell r="AJ176" t="str">
            <v>20180620</v>
          </cell>
          <cell r="AK176" t="str">
            <v>agree</v>
          </cell>
          <cell r="AL176">
            <v>0</v>
          </cell>
          <cell r="AM176"/>
          <cell r="AN176" t="str">
            <v>Yes</v>
          </cell>
          <cell r="AO176" t="str">
            <v>agree</v>
          </cell>
          <cell r="AP176">
            <v>196000000</v>
          </cell>
          <cell r="AQ176"/>
          <cell r="AR176"/>
          <cell r="AS176"/>
          <cell r="AT176">
            <v>0</v>
          </cell>
          <cell r="AV176"/>
          <cell r="AX176" t="str">
            <v>Cancel</v>
          </cell>
          <cell r="AY176"/>
          <cell r="AZ176"/>
          <cell r="BA176" t="str">
            <v>Cancel</v>
          </cell>
        </row>
        <row r="177">
          <cell r="B177">
            <v>68</v>
          </cell>
          <cell r="C177" t="str">
            <v>C49SZX20180082JL</v>
          </cell>
          <cell r="D177" t="str">
            <v>康佳</v>
          </cell>
          <cell r="E177" t="str">
            <v>YSM20-2</v>
          </cell>
          <cell r="F177" t="str">
            <v>NA</v>
          </cell>
          <cell r="G177" t="e">
            <v>#REF!</v>
          </cell>
          <cell r="H177" t="e">
            <v>#REF!</v>
          </cell>
          <cell r="I177" t="str">
            <v>L-&gt;R</v>
          </cell>
          <cell r="J177" t="str">
            <v>No</v>
          </cell>
          <cell r="K177">
            <v>1</v>
          </cell>
          <cell r="L177" t="str">
            <v>取消</v>
          </cell>
          <cell r="M177" t="e">
            <v>#N/A</v>
          </cell>
          <cell r="N177"/>
          <cell r="O177"/>
          <cell r="P177"/>
          <cell r="Q177"/>
          <cell r="R177" t="str">
            <v>Yes</v>
          </cell>
          <cell r="S177" t="str">
            <v>C49</v>
          </cell>
          <cell r="T177" t="str">
            <v>SOUTH</v>
          </cell>
          <cell r="U177" t="str">
            <v>深圳</v>
          </cell>
          <cell r="V177" t="str">
            <v>SZ 深圳</v>
          </cell>
          <cell r="W177" t="str">
            <v>JL</v>
          </cell>
          <cell r="X177" t="str">
            <v>JPY</v>
          </cell>
          <cell r="Y177">
            <v>14000000</v>
          </cell>
          <cell r="Z177">
            <v>1</v>
          </cell>
          <cell r="AA177">
            <v>14000000</v>
          </cell>
          <cell r="AB177">
            <v>7.3599999999999999E-2</v>
          </cell>
          <cell r="AC177">
            <v>1030400</v>
          </cell>
          <cell r="AD177">
            <v>123648</v>
          </cell>
          <cell r="AE177">
            <v>0.12</v>
          </cell>
          <cell r="AF177">
            <v>43257</v>
          </cell>
          <cell r="AG177" t="str">
            <v>CIF</v>
          </cell>
          <cell r="AH177" t="str">
            <v>电梯</v>
          </cell>
          <cell r="AI177">
            <v>500000</v>
          </cell>
          <cell r="AJ177" t="str">
            <v>20180620</v>
          </cell>
          <cell r="AK177" t="str">
            <v>agree</v>
          </cell>
          <cell r="AL177">
            <v>0</v>
          </cell>
          <cell r="AM177"/>
          <cell r="AN177" t="str">
            <v>Yes</v>
          </cell>
          <cell r="AO177" t="str">
            <v>agree</v>
          </cell>
          <cell r="AP177">
            <v>196000000</v>
          </cell>
          <cell r="AQ177"/>
          <cell r="AR177"/>
          <cell r="AS177"/>
          <cell r="AT177">
            <v>0</v>
          </cell>
          <cell r="AV177"/>
          <cell r="AX177" t="str">
            <v>Cancel</v>
          </cell>
          <cell r="AY177"/>
          <cell r="AZ177"/>
          <cell r="BA177" t="str">
            <v>Cancel</v>
          </cell>
        </row>
        <row r="178">
          <cell r="B178">
            <v>69</v>
          </cell>
          <cell r="C178" t="str">
            <v>C49SZX20180082JL</v>
          </cell>
          <cell r="D178" t="str">
            <v>康佳</v>
          </cell>
          <cell r="E178" t="str">
            <v>YSM20-2</v>
          </cell>
          <cell r="F178" t="str">
            <v>NA</v>
          </cell>
          <cell r="G178" t="e">
            <v>#REF!</v>
          </cell>
          <cell r="H178" t="e">
            <v>#REF!</v>
          </cell>
          <cell r="I178" t="str">
            <v>R-&gt;L</v>
          </cell>
          <cell r="J178" t="str">
            <v>No</v>
          </cell>
          <cell r="K178">
            <v>1</v>
          </cell>
          <cell r="L178" t="str">
            <v>取消</v>
          </cell>
          <cell r="M178" t="e">
            <v>#N/A</v>
          </cell>
          <cell r="N178"/>
          <cell r="O178"/>
          <cell r="P178"/>
          <cell r="Q178"/>
          <cell r="R178" t="str">
            <v>Yes</v>
          </cell>
          <cell r="S178" t="str">
            <v>C49</v>
          </cell>
          <cell r="T178" t="str">
            <v>SOUTH</v>
          </cell>
          <cell r="U178" t="str">
            <v>深圳</v>
          </cell>
          <cell r="V178" t="str">
            <v>SZ 深圳</v>
          </cell>
          <cell r="W178" t="str">
            <v>JL</v>
          </cell>
          <cell r="X178" t="str">
            <v>JPY</v>
          </cell>
          <cell r="Y178">
            <v>14000000</v>
          </cell>
          <cell r="Z178">
            <v>1</v>
          </cell>
          <cell r="AA178">
            <v>14000000</v>
          </cell>
          <cell r="AB178">
            <v>7.3599999999999999E-2</v>
          </cell>
          <cell r="AC178">
            <v>1030400</v>
          </cell>
          <cell r="AD178">
            <v>123648</v>
          </cell>
          <cell r="AE178">
            <v>0.12</v>
          </cell>
          <cell r="AF178">
            <v>43257</v>
          </cell>
          <cell r="AG178" t="str">
            <v>CIF</v>
          </cell>
          <cell r="AH178" t="str">
            <v>电梯</v>
          </cell>
          <cell r="AI178">
            <v>500000</v>
          </cell>
          <cell r="AJ178" t="str">
            <v>20180620</v>
          </cell>
          <cell r="AK178" t="str">
            <v>agree</v>
          </cell>
          <cell r="AL178">
            <v>0</v>
          </cell>
          <cell r="AM178"/>
          <cell r="AN178" t="str">
            <v>Yes</v>
          </cell>
          <cell r="AO178" t="str">
            <v>agree</v>
          </cell>
          <cell r="AP178">
            <v>196000000</v>
          </cell>
          <cell r="AQ178"/>
          <cell r="AR178"/>
          <cell r="AS178"/>
          <cell r="AT178">
            <v>0</v>
          </cell>
          <cell r="AV178"/>
          <cell r="AX178" t="str">
            <v>Cancel</v>
          </cell>
          <cell r="AY178"/>
          <cell r="AZ178"/>
          <cell r="BA178" t="str">
            <v>Cancel</v>
          </cell>
        </row>
        <row r="179">
          <cell r="B179">
            <v>70</v>
          </cell>
          <cell r="C179" t="str">
            <v>C49SZX20180082JL</v>
          </cell>
          <cell r="D179" t="str">
            <v>康佳</v>
          </cell>
          <cell r="E179" t="str">
            <v>YSM20-2</v>
          </cell>
          <cell r="F179" t="str">
            <v>NA</v>
          </cell>
          <cell r="G179" t="e">
            <v>#REF!</v>
          </cell>
          <cell r="H179" t="e">
            <v>#REF!</v>
          </cell>
          <cell r="I179" t="str">
            <v>R-&gt;L</v>
          </cell>
          <cell r="J179" t="str">
            <v>No</v>
          </cell>
          <cell r="K179">
            <v>1</v>
          </cell>
          <cell r="L179" t="str">
            <v>取消</v>
          </cell>
          <cell r="M179" t="e">
            <v>#N/A</v>
          </cell>
          <cell r="N179"/>
          <cell r="O179"/>
          <cell r="P179"/>
          <cell r="Q179"/>
          <cell r="R179" t="str">
            <v>Yes</v>
          </cell>
          <cell r="S179" t="str">
            <v>C49</v>
          </cell>
          <cell r="T179" t="str">
            <v>SOUTH</v>
          </cell>
          <cell r="U179" t="str">
            <v>深圳</v>
          </cell>
          <cell r="V179" t="str">
            <v>SZ 深圳</v>
          </cell>
          <cell r="W179" t="str">
            <v>JL</v>
          </cell>
          <cell r="X179" t="str">
            <v>JPY</v>
          </cell>
          <cell r="Y179">
            <v>14000000</v>
          </cell>
          <cell r="Z179">
            <v>1</v>
          </cell>
          <cell r="AA179">
            <v>14000000</v>
          </cell>
          <cell r="AB179">
            <v>7.3599999999999999E-2</v>
          </cell>
          <cell r="AC179">
            <v>1030400</v>
          </cell>
          <cell r="AD179">
            <v>123648</v>
          </cell>
          <cell r="AE179">
            <v>0.12</v>
          </cell>
          <cell r="AF179">
            <v>43257</v>
          </cell>
          <cell r="AG179" t="str">
            <v>CIF</v>
          </cell>
          <cell r="AH179" t="str">
            <v>电梯</v>
          </cell>
          <cell r="AI179">
            <v>500000</v>
          </cell>
          <cell r="AJ179" t="str">
            <v>20180620</v>
          </cell>
          <cell r="AK179" t="str">
            <v>agree</v>
          </cell>
          <cell r="AL179">
            <v>0</v>
          </cell>
          <cell r="AM179"/>
          <cell r="AN179" t="str">
            <v>Yes</v>
          </cell>
          <cell r="AO179" t="str">
            <v>agree</v>
          </cell>
          <cell r="AP179">
            <v>196000000</v>
          </cell>
          <cell r="AQ179"/>
          <cell r="AR179"/>
          <cell r="AS179"/>
          <cell r="AT179">
            <v>0</v>
          </cell>
          <cell r="AV179"/>
          <cell r="AX179" t="str">
            <v>Cancel</v>
          </cell>
          <cell r="AY179"/>
          <cell r="AZ179"/>
          <cell r="BA179" t="str">
            <v>Cancel</v>
          </cell>
        </row>
        <row r="180">
          <cell r="B180">
            <v>71</v>
          </cell>
          <cell r="C180" t="str">
            <v>C49SZX20180082JL</v>
          </cell>
          <cell r="D180" t="str">
            <v>康佳</v>
          </cell>
          <cell r="E180" t="str">
            <v>YSM20-2</v>
          </cell>
          <cell r="F180" t="str">
            <v>NA</v>
          </cell>
          <cell r="G180" t="e">
            <v>#REF!</v>
          </cell>
          <cell r="H180" t="e">
            <v>#REF!</v>
          </cell>
          <cell r="I180" t="str">
            <v>R-&gt;L</v>
          </cell>
          <cell r="J180" t="str">
            <v>No</v>
          </cell>
          <cell r="K180">
            <v>1</v>
          </cell>
          <cell r="L180" t="str">
            <v>取消</v>
          </cell>
          <cell r="M180" t="e">
            <v>#N/A</v>
          </cell>
          <cell r="N180"/>
          <cell r="O180"/>
          <cell r="P180"/>
          <cell r="Q180"/>
          <cell r="R180" t="str">
            <v>Yes</v>
          </cell>
          <cell r="S180" t="str">
            <v>C49</v>
          </cell>
          <cell r="T180" t="str">
            <v>SOUTH</v>
          </cell>
          <cell r="U180" t="str">
            <v>深圳</v>
          </cell>
          <cell r="V180" t="str">
            <v>SZ 深圳</v>
          </cell>
          <cell r="W180" t="str">
            <v>JL</v>
          </cell>
          <cell r="X180" t="str">
            <v>JPY</v>
          </cell>
          <cell r="Y180">
            <v>14000000</v>
          </cell>
          <cell r="Z180">
            <v>1</v>
          </cell>
          <cell r="AA180">
            <v>14000000</v>
          </cell>
          <cell r="AB180">
            <v>7.3599999999999999E-2</v>
          </cell>
          <cell r="AC180">
            <v>1030400</v>
          </cell>
          <cell r="AD180">
            <v>123648</v>
          </cell>
          <cell r="AE180">
            <v>0.12</v>
          </cell>
          <cell r="AF180">
            <v>43257</v>
          </cell>
          <cell r="AG180" t="str">
            <v>CIF</v>
          </cell>
          <cell r="AH180" t="str">
            <v>电梯</v>
          </cell>
          <cell r="AI180">
            <v>500000</v>
          </cell>
          <cell r="AJ180" t="str">
            <v>20180620</v>
          </cell>
          <cell r="AK180" t="str">
            <v>agree</v>
          </cell>
          <cell r="AL180">
            <v>0</v>
          </cell>
          <cell r="AM180"/>
          <cell r="AN180" t="str">
            <v>Yes</v>
          </cell>
          <cell r="AO180" t="str">
            <v>agree</v>
          </cell>
          <cell r="AP180">
            <v>196000000</v>
          </cell>
          <cell r="AQ180"/>
          <cell r="AR180"/>
          <cell r="AS180"/>
          <cell r="AT180">
            <v>0</v>
          </cell>
          <cell r="AV180"/>
          <cell r="AX180" t="str">
            <v>Cancel</v>
          </cell>
          <cell r="AY180"/>
          <cell r="AZ180"/>
          <cell r="BA180" t="str">
            <v>Cancel</v>
          </cell>
        </row>
        <row r="181">
          <cell r="B181">
            <v>72</v>
          </cell>
          <cell r="C181" t="str">
            <v>C49SZX20180082JL</v>
          </cell>
          <cell r="D181" t="str">
            <v>康佳</v>
          </cell>
          <cell r="E181" t="str">
            <v>YSM20-2</v>
          </cell>
          <cell r="F181" t="str">
            <v>NA</v>
          </cell>
          <cell r="G181" t="e">
            <v>#REF!</v>
          </cell>
          <cell r="H181" t="e">
            <v>#REF!</v>
          </cell>
          <cell r="I181" t="str">
            <v>R-&gt;L</v>
          </cell>
          <cell r="J181" t="str">
            <v>No</v>
          </cell>
          <cell r="K181">
            <v>1</v>
          </cell>
          <cell r="L181" t="str">
            <v>取消</v>
          </cell>
          <cell r="M181" t="e">
            <v>#N/A</v>
          </cell>
          <cell r="N181"/>
          <cell r="O181"/>
          <cell r="P181"/>
          <cell r="Q181"/>
          <cell r="R181" t="str">
            <v>Yes</v>
          </cell>
          <cell r="S181" t="str">
            <v>C49</v>
          </cell>
          <cell r="T181" t="str">
            <v>SOUTH</v>
          </cell>
          <cell r="U181" t="str">
            <v>深圳</v>
          </cell>
          <cell r="V181" t="str">
            <v>SZ 深圳</v>
          </cell>
          <cell r="W181" t="str">
            <v>JL</v>
          </cell>
          <cell r="X181" t="str">
            <v>JPY</v>
          </cell>
          <cell r="Y181">
            <v>14000000</v>
          </cell>
          <cell r="Z181">
            <v>1</v>
          </cell>
          <cell r="AA181">
            <v>14000000</v>
          </cell>
          <cell r="AB181">
            <v>7.3599999999999999E-2</v>
          </cell>
          <cell r="AC181">
            <v>1030400</v>
          </cell>
          <cell r="AD181">
            <v>123648</v>
          </cell>
          <cell r="AE181">
            <v>0.12</v>
          </cell>
          <cell r="AF181">
            <v>43257</v>
          </cell>
          <cell r="AG181" t="str">
            <v>CIF</v>
          </cell>
          <cell r="AH181" t="str">
            <v>电梯</v>
          </cell>
          <cell r="AI181">
            <v>500000</v>
          </cell>
          <cell r="AJ181" t="str">
            <v>20180620</v>
          </cell>
          <cell r="AK181" t="str">
            <v>agree</v>
          </cell>
          <cell r="AL181">
            <v>0</v>
          </cell>
          <cell r="AM181"/>
          <cell r="AN181" t="str">
            <v>Yes</v>
          </cell>
          <cell r="AO181" t="str">
            <v>agree</v>
          </cell>
          <cell r="AP181">
            <v>196000000</v>
          </cell>
          <cell r="AQ181"/>
          <cell r="AR181"/>
          <cell r="AS181"/>
          <cell r="AT181">
            <v>0</v>
          </cell>
          <cell r="AV181"/>
          <cell r="AX181" t="str">
            <v>Cancel</v>
          </cell>
          <cell r="AY181"/>
          <cell r="AZ181"/>
          <cell r="BA181" t="str">
            <v>Cancel</v>
          </cell>
        </row>
        <row r="182">
          <cell r="B182">
            <v>73</v>
          </cell>
          <cell r="C182" t="str">
            <v>C49SZX20180082JL</v>
          </cell>
          <cell r="D182" t="str">
            <v>康佳</v>
          </cell>
          <cell r="E182" t="str">
            <v>YSM20-2</v>
          </cell>
          <cell r="F182" t="str">
            <v>NA</v>
          </cell>
          <cell r="G182" t="e">
            <v>#REF!</v>
          </cell>
          <cell r="H182" t="e">
            <v>#REF!</v>
          </cell>
          <cell r="I182" t="str">
            <v>R-&gt;L</v>
          </cell>
          <cell r="J182" t="str">
            <v>No</v>
          </cell>
          <cell r="K182">
            <v>1</v>
          </cell>
          <cell r="L182" t="str">
            <v>取消</v>
          </cell>
          <cell r="M182" t="e">
            <v>#N/A</v>
          </cell>
          <cell r="N182"/>
          <cell r="O182"/>
          <cell r="P182"/>
          <cell r="Q182"/>
          <cell r="R182" t="str">
            <v>Yes</v>
          </cell>
          <cell r="S182" t="str">
            <v>C49</v>
          </cell>
          <cell r="T182" t="str">
            <v>SOUTH</v>
          </cell>
          <cell r="U182" t="str">
            <v>深圳</v>
          </cell>
          <cell r="V182" t="str">
            <v>SZ 深圳</v>
          </cell>
          <cell r="W182" t="str">
            <v>JL</v>
          </cell>
          <cell r="X182" t="str">
            <v>JPY</v>
          </cell>
          <cell r="Y182">
            <v>14000000</v>
          </cell>
          <cell r="Z182">
            <v>1</v>
          </cell>
          <cell r="AA182">
            <v>14000000</v>
          </cell>
          <cell r="AB182">
            <v>7.3599999999999999E-2</v>
          </cell>
          <cell r="AC182">
            <v>1030400</v>
          </cell>
          <cell r="AD182">
            <v>123648</v>
          </cell>
          <cell r="AE182">
            <v>0.12</v>
          </cell>
          <cell r="AF182">
            <v>43257</v>
          </cell>
          <cell r="AG182" t="str">
            <v>CIF</v>
          </cell>
          <cell r="AH182" t="str">
            <v>电梯</v>
          </cell>
          <cell r="AI182">
            <v>500000</v>
          </cell>
          <cell r="AJ182" t="str">
            <v>20180620</v>
          </cell>
          <cell r="AK182" t="str">
            <v>agree</v>
          </cell>
          <cell r="AL182">
            <v>0</v>
          </cell>
          <cell r="AM182"/>
          <cell r="AN182" t="str">
            <v>Yes</v>
          </cell>
          <cell r="AO182" t="str">
            <v>agree</v>
          </cell>
          <cell r="AP182">
            <v>196000000</v>
          </cell>
          <cell r="AQ182"/>
          <cell r="AR182"/>
          <cell r="AS182"/>
          <cell r="AT182">
            <v>0</v>
          </cell>
          <cell r="AV182"/>
          <cell r="AX182" t="str">
            <v>Cancel</v>
          </cell>
          <cell r="AY182"/>
          <cell r="AZ182"/>
          <cell r="BA182" t="str">
            <v>Cancel</v>
          </cell>
        </row>
        <row r="183">
          <cell r="B183">
            <v>74</v>
          </cell>
          <cell r="C183" t="str">
            <v>C49SZX20180082JL</v>
          </cell>
          <cell r="D183" t="str">
            <v>康佳</v>
          </cell>
          <cell r="E183" t="str">
            <v>YSM20-2</v>
          </cell>
          <cell r="F183" t="str">
            <v>NA</v>
          </cell>
          <cell r="G183" t="e">
            <v>#REF!</v>
          </cell>
          <cell r="H183" t="e">
            <v>#REF!</v>
          </cell>
          <cell r="I183" t="str">
            <v>R-&gt;L</v>
          </cell>
          <cell r="J183" t="str">
            <v>No</v>
          </cell>
          <cell r="K183">
            <v>1</v>
          </cell>
          <cell r="L183" t="str">
            <v>取消</v>
          </cell>
          <cell r="M183" t="e">
            <v>#N/A</v>
          </cell>
          <cell r="N183"/>
          <cell r="O183"/>
          <cell r="P183"/>
          <cell r="Q183"/>
          <cell r="R183" t="str">
            <v>Yes</v>
          </cell>
          <cell r="S183" t="str">
            <v>C49</v>
          </cell>
          <cell r="T183" t="str">
            <v>SOUTH</v>
          </cell>
          <cell r="U183" t="str">
            <v>深圳</v>
          </cell>
          <cell r="V183" t="str">
            <v>SZ 深圳</v>
          </cell>
          <cell r="W183" t="str">
            <v>JL</v>
          </cell>
          <cell r="X183" t="str">
            <v>JPY</v>
          </cell>
          <cell r="Y183">
            <v>14000000</v>
          </cell>
          <cell r="Z183">
            <v>1</v>
          </cell>
          <cell r="AA183">
            <v>14000000</v>
          </cell>
          <cell r="AB183">
            <v>7.3599999999999999E-2</v>
          </cell>
          <cell r="AC183">
            <v>1030400</v>
          </cell>
          <cell r="AD183">
            <v>123648</v>
          </cell>
          <cell r="AE183">
            <v>0.12</v>
          </cell>
          <cell r="AF183">
            <v>43257</v>
          </cell>
          <cell r="AG183" t="str">
            <v>CIF</v>
          </cell>
          <cell r="AH183" t="str">
            <v>电梯</v>
          </cell>
          <cell r="AI183">
            <v>500000</v>
          </cell>
          <cell r="AJ183" t="str">
            <v>20180620</v>
          </cell>
          <cell r="AK183" t="str">
            <v>agree</v>
          </cell>
          <cell r="AL183">
            <v>0</v>
          </cell>
          <cell r="AM183"/>
          <cell r="AN183" t="str">
            <v>Yes</v>
          </cell>
          <cell r="AO183" t="str">
            <v>agree</v>
          </cell>
          <cell r="AP183">
            <v>196000000</v>
          </cell>
          <cell r="AQ183"/>
          <cell r="AR183"/>
          <cell r="AS183"/>
          <cell r="AT183">
            <v>0</v>
          </cell>
          <cell r="AV183"/>
          <cell r="AX183" t="str">
            <v>Cancel</v>
          </cell>
          <cell r="AY183"/>
          <cell r="AZ183"/>
          <cell r="BA183" t="str">
            <v>Cancel</v>
          </cell>
        </row>
        <row r="184">
          <cell r="B184">
            <v>75</v>
          </cell>
          <cell r="C184" t="str">
            <v>C49SZX20180082JL</v>
          </cell>
          <cell r="D184" t="str">
            <v>康佳</v>
          </cell>
          <cell r="E184" t="str">
            <v>YSM20-2</v>
          </cell>
          <cell r="F184" t="str">
            <v>NA</v>
          </cell>
          <cell r="G184" t="e">
            <v>#REF!</v>
          </cell>
          <cell r="H184" t="e">
            <v>#REF!</v>
          </cell>
          <cell r="I184" t="str">
            <v>R-&gt;L</v>
          </cell>
          <cell r="J184" t="str">
            <v>No</v>
          </cell>
          <cell r="K184">
            <v>1</v>
          </cell>
          <cell r="L184" t="str">
            <v>取消</v>
          </cell>
          <cell r="M184" t="e">
            <v>#N/A</v>
          </cell>
          <cell r="N184"/>
          <cell r="O184"/>
          <cell r="P184"/>
          <cell r="Q184"/>
          <cell r="R184" t="str">
            <v>Yes</v>
          </cell>
          <cell r="S184" t="str">
            <v>C49</v>
          </cell>
          <cell r="T184" t="str">
            <v>SOUTH</v>
          </cell>
          <cell r="U184" t="str">
            <v>深圳</v>
          </cell>
          <cell r="V184" t="str">
            <v>SZ 深圳</v>
          </cell>
          <cell r="W184" t="str">
            <v>JL</v>
          </cell>
          <cell r="X184" t="str">
            <v>JPY</v>
          </cell>
          <cell r="Y184">
            <v>14000000</v>
          </cell>
          <cell r="Z184">
            <v>1</v>
          </cell>
          <cell r="AA184">
            <v>14000000</v>
          </cell>
          <cell r="AB184">
            <v>7.3599999999999999E-2</v>
          </cell>
          <cell r="AC184">
            <v>1030400</v>
          </cell>
          <cell r="AD184">
            <v>123648</v>
          </cell>
          <cell r="AE184">
            <v>0.12</v>
          </cell>
          <cell r="AF184">
            <v>43257</v>
          </cell>
          <cell r="AG184" t="str">
            <v>CIF</v>
          </cell>
          <cell r="AH184" t="str">
            <v>电梯</v>
          </cell>
          <cell r="AI184">
            <v>500000</v>
          </cell>
          <cell r="AJ184" t="str">
            <v>20180620</v>
          </cell>
          <cell r="AK184" t="str">
            <v>agree</v>
          </cell>
          <cell r="AL184">
            <v>0</v>
          </cell>
          <cell r="AM184"/>
          <cell r="AN184" t="str">
            <v>Yes</v>
          </cell>
          <cell r="AO184" t="str">
            <v>agree</v>
          </cell>
          <cell r="AP184">
            <v>196000000</v>
          </cell>
          <cell r="AQ184"/>
          <cell r="AR184"/>
          <cell r="AS184"/>
          <cell r="AT184">
            <v>0</v>
          </cell>
          <cell r="AV184"/>
          <cell r="AX184" t="str">
            <v>Cancel</v>
          </cell>
          <cell r="AY184"/>
          <cell r="AZ184"/>
          <cell r="BA184" t="str">
            <v>Cancel</v>
          </cell>
        </row>
        <row r="185">
          <cell r="B185">
            <v>76</v>
          </cell>
          <cell r="C185" t="str">
            <v>C49SZX20180083DZ</v>
          </cell>
          <cell r="D185" t="str">
            <v>HangTe航特</v>
          </cell>
          <cell r="E185" t="str">
            <v>YSM10</v>
          </cell>
          <cell r="F185" t="str">
            <v>NA</v>
          </cell>
          <cell r="G185" t="e">
            <v>#REF!</v>
          </cell>
          <cell r="H185" t="e">
            <v>#REF!</v>
          </cell>
          <cell r="I185" t="str">
            <v>L-&gt;R</v>
          </cell>
          <cell r="J185" t="str">
            <v>No</v>
          </cell>
          <cell r="K185">
            <v>1</v>
          </cell>
          <cell r="L185">
            <v>109239</v>
          </cell>
          <cell r="M185" t="str">
            <v>NOV 18</v>
          </cell>
          <cell r="O185">
            <v>11116234</v>
          </cell>
          <cell r="P185">
            <v>10200000</v>
          </cell>
          <cell r="Q185">
            <v>43405</v>
          </cell>
          <cell r="R185" t="str">
            <v>Yes</v>
          </cell>
          <cell r="S185" t="str">
            <v>C49</v>
          </cell>
          <cell r="T185" t="str">
            <v>SOUTH</v>
          </cell>
          <cell r="U185" t="str">
            <v>长沙</v>
          </cell>
          <cell r="V185" t="str">
            <v>SZ 深圳</v>
          </cell>
          <cell r="W185" t="str">
            <v>DZ</v>
          </cell>
          <cell r="X185" t="str">
            <v>JPY</v>
          </cell>
          <cell r="Y185">
            <v>10200000</v>
          </cell>
          <cell r="Z185">
            <v>1</v>
          </cell>
          <cell r="AA185">
            <v>10200000</v>
          </cell>
          <cell r="AB185">
            <v>7.3400000000000007E-2</v>
          </cell>
          <cell r="AC185">
            <v>748680.00000000012</v>
          </cell>
          <cell r="AD185">
            <v>89841.600000000006</v>
          </cell>
          <cell r="AE185">
            <v>0.12</v>
          </cell>
          <cell r="AF185">
            <v>43238</v>
          </cell>
          <cell r="AG185" t="str">
            <v>DAP SZ</v>
          </cell>
          <cell r="AH185"/>
          <cell r="AI185"/>
          <cell r="AJ185"/>
          <cell r="AK185">
            <v>0.3</v>
          </cell>
          <cell r="AL185">
            <v>3060000</v>
          </cell>
          <cell r="AM185">
            <v>43221</v>
          </cell>
          <cell r="AN185" t="str">
            <v>Yes</v>
          </cell>
          <cell r="AO185">
            <v>0.65</v>
          </cell>
          <cell r="AP185">
            <v>6630000</v>
          </cell>
          <cell r="AQ185">
            <v>43405</v>
          </cell>
          <cell r="AR185">
            <v>43432</v>
          </cell>
          <cell r="AS185">
            <v>0.05</v>
          </cell>
          <cell r="AT185">
            <v>510000</v>
          </cell>
          <cell r="AU185">
            <v>43466</v>
          </cell>
          <cell r="AV185">
            <v>43487</v>
          </cell>
          <cell r="AW185" t="str">
            <v>complete</v>
          </cell>
          <cell r="AX185" t="str">
            <v>Yes</v>
          </cell>
          <cell r="AY185"/>
          <cell r="BA185" t="str">
            <v>Yes</v>
          </cell>
        </row>
        <row r="186">
          <cell r="B186">
            <v>77</v>
          </cell>
          <cell r="C186" t="str">
            <v>C49SZX20180083DZ</v>
          </cell>
          <cell r="D186" t="str">
            <v>HangTe航特</v>
          </cell>
          <cell r="E186" t="str">
            <v>YSM10</v>
          </cell>
          <cell r="F186" t="str">
            <v>NA</v>
          </cell>
          <cell r="G186" t="e">
            <v>#REF!</v>
          </cell>
          <cell r="H186" t="e">
            <v>#REF!</v>
          </cell>
          <cell r="I186" t="str">
            <v>L-&gt;R</v>
          </cell>
          <cell r="J186" t="str">
            <v>No</v>
          </cell>
          <cell r="K186">
            <v>1</v>
          </cell>
          <cell r="L186">
            <v>109239</v>
          </cell>
          <cell r="M186" t="str">
            <v>NOV 18</v>
          </cell>
          <cell r="O186">
            <v>11116234</v>
          </cell>
          <cell r="P186">
            <v>10200000</v>
          </cell>
          <cell r="Q186">
            <v>43405</v>
          </cell>
          <cell r="R186" t="str">
            <v>Yes</v>
          </cell>
          <cell r="S186" t="str">
            <v>C49</v>
          </cell>
          <cell r="T186" t="str">
            <v>SOUTH</v>
          </cell>
          <cell r="U186" t="str">
            <v>长沙</v>
          </cell>
          <cell r="V186" t="str">
            <v>SZ 深圳</v>
          </cell>
          <cell r="W186" t="str">
            <v>DZ</v>
          </cell>
          <cell r="X186" t="str">
            <v>JPY</v>
          </cell>
          <cell r="Y186">
            <v>10200000</v>
          </cell>
          <cell r="Z186">
            <v>1</v>
          </cell>
          <cell r="AA186">
            <v>10200000</v>
          </cell>
          <cell r="AB186">
            <v>7.3400000000000007E-2</v>
          </cell>
          <cell r="AC186">
            <v>748680.00000000012</v>
          </cell>
          <cell r="AD186">
            <v>89841.600000000006</v>
          </cell>
          <cell r="AE186">
            <v>0.12</v>
          </cell>
          <cell r="AF186">
            <v>43238</v>
          </cell>
          <cell r="AG186" t="str">
            <v>DAP SZ</v>
          </cell>
          <cell r="AH186"/>
          <cell r="AI186"/>
          <cell r="AJ186"/>
          <cell r="AK186">
            <v>0.3</v>
          </cell>
          <cell r="AL186">
            <v>3060000</v>
          </cell>
          <cell r="AM186">
            <v>43221</v>
          </cell>
          <cell r="AN186" t="str">
            <v>Yes</v>
          </cell>
          <cell r="AO186">
            <v>0.65</v>
          </cell>
          <cell r="AP186">
            <v>6630000</v>
          </cell>
          <cell r="AQ186">
            <v>43405</v>
          </cell>
          <cell r="AR186">
            <v>43432</v>
          </cell>
          <cell r="AS186">
            <v>0.05</v>
          </cell>
          <cell r="AT186">
            <v>510000</v>
          </cell>
          <cell r="AU186">
            <v>43466</v>
          </cell>
          <cell r="AV186">
            <v>43487</v>
          </cell>
          <cell r="AW186" t="str">
            <v>complete</v>
          </cell>
          <cell r="AX186" t="str">
            <v>Yes</v>
          </cell>
          <cell r="AY186"/>
          <cell r="BA186" t="str">
            <v>Yes</v>
          </cell>
        </row>
        <row r="187">
          <cell r="B187"/>
          <cell r="C187" t="str">
            <v>C49SZX20180083DZ</v>
          </cell>
          <cell r="D187" t="str">
            <v>HangTe航特</v>
          </cell>
          <cell r="E187" t="str">
            <v>YSM10</v>
          </cell>
          <cell r="F187" t="str">
            <v>NA</v>
          </cell>
          <cell r="G187" t="e">
            <v>#REF!</v>
          </cell>
          <cell r="H187" t="e">
            <v>#REF!</v>
          </cell>
          <cell r="I187"/>
          <cell r="J187"/>
          <cell r="K187">
            <v>3</v>
          </cell>
          <cell r="L187" t="str">
            <v>已经送货</v>
          </cell>
          <cell r="M187" t="str">
            <v>2018/8</v>
          </cell>
          <cell r="N187"/>
          <cell r="O187" t="str">
            <v>11116170/11116191</v>
          </cell>
          <cell r="P187">
            <v>30600000</v>
          </cell>
          <cell r="Q187">
            <v>43313</v>
          </cell>
          <cell r="R187" t="str">
            <v>Yes</v>
          </cell>
          <cell r="S187" t="str">
            <v>C49</v>
          </cell>
          <cell r="T187" t="str">
            <v>SOUTH</v>
          </cell>
          <cell r="U187" t="str">
            <v>长沙</v>
          </cell>
          <cell r="V187" t="str">
            <v>SZ 深圳</v>
          </cell>
          <cell r="W187" t="str">
            <v>DZ</v>
          </cell>
          <cell r="X187" t="str">
            <v>JPY</v>
          </cell>
          <cell r="Y187">
            <v>10200000</v>
          </cell>
          <cell r="Z187">
            <v>1</v>
          </cell>
          <cell r="AA187">
            <v>30600000</v>
          </cell>
          <cell r="AB187">
            <v>7.3400000000000007E-2</v>
          </cell>
          <cell r="AC187">
            <v>2246040</v>
          </cell>
          <cell r="AD187">
            <v>269524.8</v>
          </cell>
          <cell r="AE187">
            <v>0.12</v>
          </cell>
          <cell r="AF187">
            <v>43238</v>
          </cell>
          <cell r="AG187" t="str">
            <v>DAP SZ</v>
          </cell>
          <cell r="AH187"/>
          <cell r="AI187"/>
          <cell r="AJ187"/>
          <cell r="AK187">
            <v>0.3</v>
          </cell>
          <cell r="AL187">
            <v>9180000</v>
          </cell>
          <cell r="AM187">
            <v>43221</v>
          </cell>
          <cell r="AN187" t="str">
            <v>Yes</v>
          </cell>
          <cell r="AO187">
            <v>0.65</v>
          </cell>
          <cell r="AP187">
            <v>19890000</v>
          </cell>
          <cell r="AQ187">
            <v>43282</v>
          </cell>
          <cell r="AR187">
            <v>43312</v>
          </cell>
          <cell r="AS187">
            <v>0.05</v>
          </cell>
          <cell r="AT187">
            <v>1530000</v>
          </cell>
          <cell r="AU187">
            <v>43344</v>
          </cell>
          <cell r="AV187">
            <v>43350</v>
          </cell>
          <cell r="AW187" t="str">
            <v>complete</v>
          </cell>
          <cell r="AX187" t="str">
            <v>Yes</v>
          </cell>
          <cell r="AY187"/>
          <cell r="AZ187" t="str">
            <v>Y</v>
          </cell>
          <cell r="BA187" t="str">
            <v>Yes</v>
          </cell>
          <cell r="BB187" t="str">
            <v>原来7月的，后来改为8月发货</v>
          </cell>
        </row>
        <row r="188">
          <cell r="B188"/>
          <cell r="C188" t="str">
            <v>C49SZX20180085SX</v>
          </cell>
          <cell r="D188" t="str">
            <v>SUNHOME顺弘</v>
          </cell>
          <cell r="E188" t="str">
            <v>YS24X</v>
          </cell>
          <cell r="F188" t="str">
            <v>NA</v>
          </cell>
          <cell r="G188" t="e">
            <v>#REF!</v>
          </cell>
          <cell r="H188" t="e">
            <v>#REF!</v>
          </cell>
          <cell r="K188">
            <v>1</v>
          </cell>
          <cell r="L188" t="str">
            <v>已经送货</v>
          </cell>
          <cell r="M188" t="str">
            <v>2018/5</v>
          </cell>
          <cell r="O188" t="str">
            <v>11116116/11116117</v>
          </cell>
          <cell r="P188">
            <v>12546000</v>
          </cell>
          <cell r="Q188">
            <v>43221</v>
          </cell>
          <cell r="R188" t="str">
            <v>NO</v>
          </cell>
          <cell r="S188" t="str">
            <v>C49</v>
          </cell>
          <cell r="T188" t="str">
            <v>SOUTH</v>
          </cell>
          <cell r="U188" t="str">
            <v>東莞</v>
          </cell>
          <cell r="V188" t="str">
            <v>SZ 深圳</v>
          </cell>
          <cell r="W188" t="str">
            <v>SX</v>
          </cell>
          <cell r="X188" t="str">
            <v>JPY</v>
          </cell>
          <cell r="Y188">
            <v>12546000</v>
          </cell>
          <cell r="Z188">
            <v>1</v>
          </cell>
          <cell r="AA188">
            <v>12546000</v>
          </cell>
          <cell r="AB188">
            <v>7.3400000000000007E-2</v>
          </cell>
          <cell r="AC188">
            <v>920876.40000000014</v>
          </cell>
          <cell r="AD188">
            <v>110505.16800000002</v>
          </cell>
          <cell r="AE188">
            <v>0.12</v>
          </cell>
          <cell r="AF188">
            <v>43242</v>
          </cell>
          <cell r="AG188" t="str">
            <v>DAP 东莞</v>
          </cell>
          <cell r="AH188" t="str">
            <v>电梯2楼</v>
          </cell>
          <cell r="AI188"/>
          <cell r="AJ188"/>
          <cell r="AK188">
            <v>0.9</v>
          </cell>
          <cell r="AL188">
            <v>11291400</v>
          </cell>
          <cell r="AM188">
            <v>43221</v>
          </cell>
          <cell r="AN188" t="str">
            <v>Yes</v>
          </cell>
          <cell r="AO188">
            <v>0.1</v>
          </cell>
          <cell r="AP188">
            <v>1254600</v>
          </cell>
          <cell r="AR188"/>
          <cell r="AS188" t="str">
            <v>complete</v>
          </cell>
          <cell r="AT188" t="e">
            <v>#VALUE!</v>
          </cell>
          <cell r="AV188"/>
          <cell r="AX188" t="str">
            <v>Yes</v>
          </cell>
          <cell r="AY188"/>
          <cell r="BA188" t="str">
            <v>Yes</v>
          </cell>
        </row>
        <row r="189">
          <cell r="B189">
            <v>78</v>
          </cell>
          <cell r="C189" t="str">
            <v>C49SZX20180086DZ</v>
          </cell>
          <cell r="D189" t="str">
            <v>BBS好兄弟</v>
          </cell>
          <cell r="E189" t="str">
            <v>YSM10</v>
          </cell>
          <cell r="F189" t="str">
            <v>NA</v>
          </cell>
          <cell r="G189" t="e">
            <v>#REF!</v>
          </cell>
          <cell r="H189" t="e">
            <v>#REF!</v>
          </cell>
          <cell r="I189" t="str">
            <v>L-&gt;R</v>
          </cell>
          <cell r="J189" t="str">
            <v>MVC+ATS15</v>
          </cell>
          <cell r="K189">
            <v>1</v>
          </cell>
          <cell r="L189">
            <v>109238</v>
          </cell>
          <cell r="M189" t="str">
            <v>MAR 19</v>
          </cell>
          <cell r="N189"/>
          <cell r="O189">
            <v>11116265</v>
          </cell>
          <cell r="P189">
            <v>13150000</v>
          </cell>
          <cell r="Q189">
            <v>43525</v>
          </cell>
          <cell r="R189" t="str">
            <v>No</v>
          </cell>
          <cell r="S189" t="str">
            <v>C49</v>
          </cell>
          <cell r="T189" t="str">
            <v>SOUTH</v>
          </cell>
          <cell r="U189" t="str">
            <v>深圳</v>
          </cell>
          <cell r="V189" t="str">
            <v>SZ 深圳</v>
          </cell>
          <cell r="W189" t="str">
            <v>DZ</v>
          </cell>
          <cell r="X189" t="str">
            <v>JPY</v>
          </cell>
          <cell r="Y189">
            <v>13150000</v>
          </cell>
          <cell r="Z189">
            <v>1</v>
          </cell>
          <cell r="AA189">
            <v>13150000</v>
          </cell>
          <cell r="AB189">
            <v>7.3400000000000007E-2</v>
          </cell>
          <cell r="AC189">
            <v>965210.00000000012</v>
          </cell>
          <cell r="AD189">
            <v>115825.20000000001</v>
          </cell>
          <cell r="AE189">
            <v>0.12</v>
          </cell>
          <cell r="AF189">
            <v>43251</v>
          </cell>
          <cell r="AG189" t="str">
            <v>CIF HK</v>
          </cell>
          <cell r="AH189"/>
          <cell r="AI189"/>
          <cell r="AJ189"/>
          <cell r="AK189">
            <v>0.05</v>
          </cell>
          <cell r="AL189">
            <v>657500</v>
          </cell>
          <cell r="AM189">
            <v>43282</v>
          </cell>
          <cell r="AN189" t="str">
            <v>Yes</v>
          </cell>
          <cell r="AO189" t="str">
            <v>agree</v>
          </cell>
          <cell r="AP189">
            <v>107375000</v>
          </cell>
          <cell r="AQ189">
            <v>43525</v>
          </cell>
          <cell r="AR189">
            <v>43538</v>
          </cell>
          <cell r="AS189" t="str">
            <v>complete</v>
          </cell>
          <cell r="AT189" t="e">
            <v>#VALUE!</v>
          </cell>
          <cell r="AU189"/>
          <cell r="AV189"/>
          <cell r="AW189"/>
          <cell r="AX189" t="str">
            <v>Yes</v>
          </cell>
          <cell r="AY189"/>
          <cell r="AZ189" t="str">
            <v>Y</v>
          </cell>
          <cell r="BA189" t="str">
            <v>Yes</v>
          </cell>
          <cell r="BB189"/>
        </row>
        <row r="190">
          <cell r="B190">
            <v>79</v>
          </cell>
          <cell r="C190" t="str">
            <v>C49SZX20180086DZ</v>
          </cell>
          <cell r="D190" t="str">
            <v>BBS好兄弟</v>
          </cell>
          <cell r="E190" t="str">
            <v>YSM10</v>
          </cell>
          <cell r="F190" t="str">
            <v>NA</v>
          </cell>
          <cell r="G190" t="e">
            <v>#REF!</v>
          </cell>
          <cell r="H190" t="e">
            <v>#REF!</v>
          </cell>
          <cell r="I190" t="str">
            <v>L-&gt;R</v>
          </cell>
          <cell r="J190" t="str">
            <v>MVC+ATS15</v>
          </cell>
          <cell r="K190">
            <v>1</v>
          </cell>
          <cell r="L190">
            <v>109238</v>
          </cell>
          <cell r="M190" t="str">
            <v>MAR 19</v>
          </cell>
          <cell r="O190">
            <v>11116265</v>
          </cell>
          <cell r="P190">
            <v>13150000</v>
          </cell>
          <cell r="Q190">
            <v>43525</v>
          </cell>
          <cell r="R190" t="str">
            <v>No</v>
          </cell>
          <cell r="S190" t="str">
            <v>C49</v>
          </cell>
          <cell r="T190" t="str">
            <v>SOUTH</v>
          </cell>
          <cell r="U190" t="str">
            <v>深圳</v>
          </cell>
          <cell r="V190" t="str">
            <v>SZ 深圳</v>
          </cell>
          <cell r="W190" t="str">
            <v>DZ</v>
          </cell>
          <cell r="X190" t="str">
            <v>JPY</v>
          </cell>
          <cell r="Y190">
            <v>13150000</v>
          </cell>
          <cell r="Z190">
            <v>1</v>
          </cell>
          <cell r="AA190">
            <v>13150000</v>
          </cell>
          <cell r="AB190">
            <v>7.3400000000000007E-2</v>
          </cell>
          <cell r="AC190">
            <v>965210.00000000012</v>
          </cell>
          <cell r="AD190">
            <v>115825.20000000001</v>
          </cell>
          <cell r="AE190">
            <v>0.12</v>
          </cell>
          <cell r="AF190">
            <v>43251</v>
          </cell>
          <cell r="AG190" t="str">
            <v>CIF HK</v>
          </cell>
          <cell r="AH190"/>
          <cell r="AI190"/>
          <cell r="AJ190"/>
          <cell r="AK190">
            <v>0.05</v>
          </cell>
          <cell r="AL190">
            <v>657500</v>
          </cell>
          <cell r="AM190">
            <v>43282</v>
          </cell>
          <cell r="AN190" t="str">
            <v>Yes</v>
          </cell>
          <cell r="AO190" t="str">
            <v>agree</v>
          </cell>
          <cell r="AP190">
            <v>7860000</v>
          </cell>
          <cell r="AR190"/>
          <cell r="AS190" t="str">
            <v>complete</v>
          </cell>
          <cell r="AT190" t="e">
            <v>#VALUE!</v>
          </cell>
          <cell r="AV190"/>
          <cell r="AX190" t="str">
            <v>Yes</v>
          </cell>
          <cell r="AY190"/>
          <cell r="AZ190" t="str">
            <v xml:space="preserve">Y </v>
          </cell>
          <cell r="BA190" t="str">
            <v>Yes</v>
          </cell>
        </row>
        <row r="191">
          <cell r="B191">
            <v>80</v>
          </cell>
          <cell r="C191" t="str">
            <v>C49SZX20180086DZ</v>
          </cell>
          <cell r="D191" t="str">
            <v>BBS好兄弟</v>
          </cell>
          <cell r="E191" t="str">
            <v>YSM20-2</v>
          </cell>
          <cell r="F191" t="str">
            <v>NA</v>
          </cell>
          <cell r="G191" t="e">
            <v>#REF!</v>
          </cell>
          <cell r="H191" t="e">
            <v>#REF!</v>
          </cell>
          <cell r="I191" t="str">
            <v>L-&gt;R</v>
          </cell>
          <cell r="J191" t="str">
            <v>No</v>
          </cell>
          <cell r="K191">
            <v>1</v>
          </cell>
          <cell r="L191">
            <v>109430</v>
          </cell>
          <cell r="M191" t="str">
            <v>MAR 19</v>
          </cell>
          <cell r="O191">
            <v>11116265</v>
          </cell>
          <cell r="P191">
            <v>19000000</v>
          </cell>
          <cell r="Q191">
            <v>43525</v>
          </cell>
          <cell r="R191" t="str">
            <v>No</v>
          </cell>
          <cell r="S191" t="str">
            <v>C49</v>
          </cell>
          <cell r="T191" t="str">
            <v>SOUTH</v>
          </cell>
          <cell r="U191" t="str">
            <v>深圳</v>
          </cell>
          <cell r="V191" t="str">
            <v>SZ 深圳</v>
          </cell>
          <cell r="W191" t="str">
            <v>DZ</v>
          </cell>
          <cell r="X191" t="str">
            <v>JPY</v>
          </cell>
          <cell r="Y191">
            <v>19000000</v>
          </cell>
          <cell r="Z191">
            <v>1</v>
          </cell>
          <cell r="AA191">
            <v>19000000</v>
          </cell>
          <cell r="AB191">
            <v>7.3400000000000007E-2</v>
          </cell>
          <cell r="AC191">
            <v>1394600.0000000002</v>
          </cell>
          <cell r="AD191">
            <v>167352.00000000003</v>
          </cell>
          <cell r="AE191">
            <v>0.12</v>
          </cell>
          <cell r="AF191">
            <v>43251</v>
          </cell>
          <cell r="AG191" t="str">
            <v>CIF HK</v>
          </cell>
          <cell r="AH191"/>
          <cell r="AI191"/>
          <cell r="AJ191"/>
          <cell r="AK191">
            <v>0.05</v>
          </cell>
          <cell r="AL191">
            <v>950000</v>
          </cell>
          <cell r="AM191">
            <v>43282</v>
          </cell>
          <cell r="AN191" t="str">
            <v>Yes</v>
          </cell>
          <cell r="AO191" t="str">
            <v>agree</v>
          </cell>
          <cell r="AP191">
            <v>0</v>
          </cell>
          <cell r="AR191"/>
          <cell r="AS191" t="str">
            <v>complete</v>
          </cell>
          <cell r="AT191" t="e">
            <v>#VALUE!</v>
          </cell>
          <cell r="AV191"/>
          <cell r="AX191" t="str">
            <v>Yes</v>
          </cell>
          <cell r="AY191"/>
          <cell r="AZ191" t="str">
            <v xml:space="preserve">Y </v>
          </cell>
          <cell r="BA191" t="str">
            <v>Yes</v>
          </cell>
        </row>
        <row r="192">
          <cell r="B192">
            <v>81</v>
          </cell>
          <cell r="C192" t="str">
            <v>C49SZX20180086DZ</v>
          </cell>
          <cell r="D192" t="str">
            <v>BBS好兄弟</v>
          </cell>
          <cell r="E192" t="str">
            <v>YSM20-2</v>
          </cell>
          <cell r="F192" t="str">
            <v>NA</v>
          </cell>
          <cell r="G192" t="e">
            <v>#REF!</v>
          </cell>
          <cell r="H192" t="e">
            <v>#REF!</v>
          </cell>
          <cell r="I192" t="str">
            <v>L-&gt;R</v>
          </cell>
          <cell r="J192" t="str">
            <v>No</v>
          </cell>
          <cell r="K192">
            <v>1</v>
          </cell>
          <cell r="L192">
            <v>109431</v>
          </cell>
          <cell r="M192" t="str">
            <v>MAR 19</v>
          </cell>
          <cell r="O192">
            <v>11116265</v>
          </cell>
          <cell r="P192">
            <v>19000000</v>
          </cell>
          <cell r="Q192">
            <v>43525</v>
          </cell>
          <cell r="R192" t="str">
            <v>No</v>
          </cell>
          <cell r="S192" t="str">
            <v>C49</v>
          </cell>
          <cell r="T192" t="str">
            <v>SOUTH</v>
          </cell>
          <cell r="U192" t="str">
            <v>深圳</v>
          </cell>
          <cell r="V192" t="str">
            <v>SZ 深圳</v>
          </cell>
          <cell r="W192" t="str">
            <v>DZ</v>
          </cell>
          <cell r="X192" t="str">
            <v>JPY</v>
          </cell>
          <cell r="Y192">
            <v>19000000</v>
          </cell>
          <cell r="Z192">
            <v>1</v>
          </cell>
          <cell r="AA192">
            <v>19000000</v>
          </cell>
          <cell r="AB192">
            <v>7.3400000000000007E-2</v>
          </cell>
          <cell r="AC192">
            <v>1394600.0000000002</v>
          </cell>
          <cell r="AD192">
            <v>167352.00000000003</v>
          </cell>
          <cell r="AE192">
            <v>0.12</v>
          </cell>
          <cell r="AF192">
            <v>43251</v>
          </cell>
          <cell r="AG192" t="str">
            <v>CIF HK</v>
          </cell>
          <cell r="AH192"/>
          <cell r="AI192"/>
          <cell r="AJ192"/>
          <cell r="AK192">
            <v>0.05</v>
          </cell>
          <cell r="AL192">
            <v>950000</v>
          </cell>
          <cell r="AM192">
            <v>43282</v>
          </cell>
          <cell r="AN192" t="str">
            <v>Yes</v>
          </cell>
          <cell r="AO192" t="str">
            <v>agree</v>
          </cell>
          <cell r="AP192">
            <v>0</v>
          </cell>
          <cell r="AR192"/>
          <cell r="AS192" t="str">
            <v>complete</v>
          </cell>
          <cell r="AT192" t="e">
            <v>#VALUE!</v>
          </cell>
          <cell r="AV192"/>
          <cell r="AX192" t="str">
            <v>Yes</v>
          </cell>
          <cell r="AY192"/>
          <cell r="AZ192" t="str">
            <v xml:space="preserve">Y </v>
          </cell>
          <cell r="BA192" t="str">
            <v>Yes</v>
          </cell>
        </row>
        <row r="193">
          <cell r="B193">
            <v>82</v>
          </cell>
          <cell r="C193" t="str">
            <v>C49SZX20180086DZ</v>
          </cell>
          <cell r="D193" t="str">
            <v>BBS好兄弟</v>
          </cell>
          <cell r="E193" t="str">
            <v>YSM20-2</v>
          </cell>
          <cell r="F193" t="str">
            <v>NA</v>
          </cell>
          <cell r="G193" t="e">
            <v>#REF!</v>
          </cell>
          <cell r="H193" t="e">
            <v>#REF!</v>
          </cell>
          <cell r="I193" t="str">
            <v>L-&gt;R</v>
          </cell>
          <cell r="J193" t="str">
            <v>No</v>
          </cell>
          <cell r="K193">
            <v>1</v>
          </cell>
          <cell r="L193">
            <v>109430</v>
          </cell>
          <cell r="M193" t="str">
            <v>MAR 19</v>
          </cell>
          <cell r="O193">
            <v>11116265</v>
          </cell>
          <cell r="P193">
            <v>19000000</v>
          </cell>
          <cell r="Q193">
            <v>43525</v>
          </cell>
          <cell r="R193" t="str">
            <v>No</v>
          </cell>
          <cell r="S193" t="str">
            <v>C49</v>
          </cell>
          <cell r="T193" t="str">
            <v>SOUTH</v>
          </cell>
          <cell r="U193" t="str">
            <v>深圳</v>
          </cell>
          <cell r="V193" t="str">
            <v>SZ 深圳</v>
          </cell>
          <cell r="W193" t="str">
            <v>DZ</v>
          </cell>
          <cell r="X193" t="str">
            <v>JPY</v>
          </cell>
          <cell r="Y193">
            <v>19000000</v>
          </cell>
          <cell r="Z193">
            <v>1</v>
          </cell>
          <cell r="AA193">
            <v>19000000</v>
          </cell>
          <cell r="AB193">
            <v>7.3400000000000007E-2</v>
          </cell>
          <cell r="AC193">
            <v>1394600.0000000002</v>
          </cell>
          <cell r="AD193">
            <v>167352.00000000003</v>
          </cell>
          <cell r="AE193">
            <v>0.12</v>
          </cell>
          <cell r="AF193">
            <v>43251</v>
          </cell>
          <cell r="AG193" t="str">
            <v>CIF HK</v>
          </cell>
          <cell r="AH193"/>
          <cell r="AI193"/>
          <cell r="AJ193"/>
          <cell r="AK193">
            <v>0.05</v>
          </cell>
          <cell r="AL193">
            <v>950000</v>
          </cell>
          <cell r="AM193">
            <v>43282</v>
          </cell>
          <cell r="AN193" t="str">
            <v>Yes</v>
          </cell>
          <cell r="AO193" t="str">
            <v>agree</v>
          </cell>
          <cell r="AP193">
            <v>0</v>
          </cell>
          <cell r="AR193"/>
          <cell r="AS193" t="str">
            <v>complete</v>
          </cell>
          <cell r="AT193" t="e">
            <v>#VALUE!</v>
          </cell>
          <cell r="AV193"/>
          <cell r="AX193" t="str">
            <v>Yes</v>
          </cell>
          <cell r="AY193"/>
          <cell r="AZ193" t="str">
            <v xml:space="preserve">Y </v>
          </cell>
          <cell r="BA193" t="str">
            <v>Yes</v>
          </cell>
        </row>
        <row r="194">
          <cell r="B194">
            <v>83</v>
          </cell>
          <cell r="C194" t="str">
            <v>C49SZX20180086DZ</v>
          </cell>
          <cell r="D194" t="str">
            <v>BBS好兄弟</v>
          </cell>
          <cell r="E194" t="str">
            <v>YSM20-2</v>
          </cell>
          <cell r="F194" t="str">
            <v>NA</v>
          </cell>
          <cell r="G194" t="e">
            <v>#REF!</v>
          </cell>
          <cell r="H194" t="e">
            <v>#REF!</v>
          </cell>
          <cell r="I194" t="str">
            <v>L-&gt;R</v>
          </cell>
          <cell r="J194" t="str">
            <v>No</v>
          </cell>
          <cell r="K194">
            <v>1</v>
          </cell>
          <cell r="L194">
            <v>109430</v>
          </cell>
          <cell r="M194" t="str">
            <v>MAR 19</v>
          </cell>
          <cell r="O194">
            <v>11116265</v>
          </cell>
          <cell r="P194">
            <v>19000000</v>
          </cell>
          <cell r="Q194">
            <v>43525</v>
          </cell>
          <cell r="R194" t="str">
            <v>No</v>
          </cell>
          <cell r="S194" t="str">
            <v>C49</v>
          </cell>
          <cell r="T194" t="str">
            <v>SOUTH</v>
          </cell>
          <cell r="U194" t="str">
            <v>深圳</v>
          </cell>
          <cell r="V194" t="str">
            <v>SZ 深圳</v>
          </cell>
          <cell r="W194" t="str">
            <v>DZ</v>
          </cell>
          <cell r="X194" t="str">
            <v>JPY</v>
          </cell>
          <cell r="Y194">
            <v>19000000</v>
          </cell>
          <cell r="Z194">
            <v>1</v>
          </cell>
          <cell r="AA194">
            <v>19000000</v>
          </cell>
          <cell r="AB194">
            <v>7.3400000000000007E-2</v>
          </cell>
          <cell r="AC194">
            <v>1394600.0000000002</v>
          </cell>
          <cell r="AD194">
            <v>167352.00000000003</v>
          </cell>
          <cell r="AE194">
            <v>0.12</v>
          </cell>
          <cell r="AF194">
            <v>43251</v>
          </cell>
          <cell r="AG194" t="str">
            <v>CIF HK</v>
          </cell>
          <cell r="AH194"/>
          <cell r="AI194"/>
          <cell r="AJ194"/>
          <cell r="AK194">
            <v>0.05</v>
          </cell>
          <cell r="AL194">
            <v>950000</v>
          </cell>
          <cell r="AM194">
            <v>43282</v>
          </cell>
          <cell r="AN194" t="str">
            <v>Yes</v>
          </cell>
          <cell r="AO194" t="str">
            <v>agree</v>
          </cell>
          <cell r="AP194">
            <v>0</v>
          </cell>
          <cell r="AR194"/>
          <cell r="AS194" t="str">
            <v>complete</v>
          </cell>
          <cell r="AT194" t="e">
            <v>#VALUE!</v>
          </cell>
          <cell r="AV194"/>
          <cell r="AX194" t="str">
            <v>Yes</v>
          </cell>
          <cell r="AY194"/>
          <cell r="AZ194" t="str">
            <v xml:space="preserve">Y </v>
          </cell>
          <cell r="BA194" t="str">
            <v>Yes</v>
          </cell>
        </row>
        <row r="195">
          <cell r="B195">
            <v>84</v>
          </cell>
          <cell r="C195" t="str">
            <v>C49SZX20180086DZ</v>
          </cell>
          <cell r="D195" t="str">
            <v>BBS好兄弟</v>
          </cell>
          <cell r="E195" t="str">
            <v>YSM20-2</v>
          </cell>
          <cell r="F195" t="str">
            <v>NA</v>
          </cell>
          <cell r="G195" t="e">
            <v>#REF!</v>
          </cell>
          <cell r="H195" t="e">
            <v>#REF!</v>
          </cell>
          <cell r="I195" t="str">
            <v>L-&gt;R</v>
          </cell>
          <cell r="J195" t="str">
            <v>No</v>
          </cell>
          <cell r="K195">
            <v>1</v>
          </cell>
          <cell r="L195">
            <v>109430</v>
          </cell>
          <cell r="M195" t="str">
            <v>MAR 19</v>
          </cell>
          <cell r="O195">
            <v>11116265</v>
          </cell>
          <cell r="P195">
            <v>19000000</v>
          </cell>
          <cell r="Q195">
            <v>43525</v>
          </cell>
          <cell r="R195" t="str">
            <v>No</v>
          </cell>
          <cell r="S195" t="str">
            <v>C49</v>
          </cell>
          <cell r="T195" t="str">
            <v>SOUTH</v>
          </cell>
          <cell r="U195" t="str">
            <v>深圳</v>
          </cell>
          <cell r="V195" t="str">
            <v>SZ 深圳</v>
          </cell>
          <cell r="W195" t="str">
            <v>DZ</v>
          </cell>
          <cell r="X195" t="str">
            <v>JPY</v>
          </cell>
          <cell r="Y195">
            <v>19000000</v>
          </cell>
          <cell r="Z195">
            <v>1</v>
          </cell>
          <cell r="AA195">
            <v>19000000</v>
          </cell>
          <cell r="AB195">
            <v>7.3400000000000007E-2</v>
          </cell>
          <cell r="AC195">
            <v>1394600.0000000002</v>
          </cell>
          <cell r="AD195">
            <v>167352.00000000003</v>
          </cell>
          <cell r="AE195">
            <v>0.12</v>
          </cell>
          <cell r="AF195">
            <v>43251</v>
          </cell>
          <cell r="AG195" t="str">
            <v>CIF HK</v>
          </cell>
          <cell r="AH195"/>
          <cell r="AI195"/>
          <cell r="AJ195"/>
          <cell r="AK195">
            <v>0.05</v>
          </cell>
          <cell r="AL195">
            <v>950000</v>
          </cell>
          <cell r="AM195">
            <v>43282</v>
          </cell>
          <cell r="AN195" t="str">
            <v>Yes</v>
          </cell>
          <cell r="AO195" t="str">
            <v>agree</v>
          </cell>
          <cell r="AP195">
            <v>0</v>
          </cell>
          <cell r="AR195"/>
          <cell r="AS195" t="str">
            <v>complete</v>
          </cell>
          <cell r="AT195" t="e">
            <v>#VALUE!</v>
          </cell>
          <cell r="AV195"/>
          <cell r="AX195" t="str">
            <v>Yes</v>
          </cell>
          <cell r="AY195"/>
          <cell r="AZ195" t="str">
            <v xml:space="preserve">Y </v>
          </cell>
          <cell r="BA195" t="str">
            <v>Yes</v>
          </cell>
        </row>
        <row r="196">
          <cell r="B196">
            <v>85</v>
          </cell>
          <cell r="C196" t="str">
            <v>C49SZX20180087DZ</v>
          </cell>
          <cell r="D196" t="str">
            <v>BBS好兄弟</v>
          </cell>
          <cell r="E196" t="str">
            <v>YSM20-2</v>
          </cell>
          <cell r="F196" t="str">
            <v>NA</v>
          </cell>
          <cell r="G196" t="e">
            <v>#REF!</v>
          </cell>
          <cell r="H196" t="e">
            <v>#REF!</v>
          </cell>
          <cell r="I196" t="str">
            <v>L-&gt;R</v>
          </cell>
          <cell r="J196" t="str">
            <v>No</v>
          </cell>
          <cell r="K196">
            <v>1</v>
          </cell>
          <cell r="L196" t="str">
            <v>取消</v>
          </cell>
          <cell r="M196" t="e">
            <v>#N/A</v>
          </cell>
          <cell r="N196"/>
          <cell r="O196"/>
          <cell r="P196"/>
          <cell r="Q196"/>
          <cell r="R196" t="str">
            <v>No</v>
          </cell>
          <cell r="S196" t="str">
            <v>C49</v>
          </cell>
          <cell r="T196" t="str">
            <v>SOUTH</v>
          </cell>
          <cell r="U196" t="str">
            <v>深圳</v>
          </cell>
          <cell r="V196" t="str">
            <v>SZ 深圳</v>
          </cell>
          <cell r="W196" t="str">
            <v>DZ</v>
          </cell>
          <cell r="X196" t="str">
            <v>JPY</v>
          </cell>
          <cell r="Y196">
            <v>19000000</v>
          </cell>
          <cell r="Z196">
            <v>1</v>
          </cell>
          <cell r="AA196">
            <v>19000000</v>
          </cell>
          <cell r="AB196">
            <v>7.3400000000000007E-2</v>
          </cell>
          <cell r="AC196">
            <v>1394600.0000000002</v>
          </cell>
          <cell r="AD196">
            <v>167352.00000000003</v>
          </cell>
          <cell r="AE196">
            <v>0.12</v>
          </cell>
          <cell r="AF196">
            <v>43251</v>
          </cell>
          <cell r="AG196" t="str">
            <v>CIF HK</v>
          </cell>
          <cell r="AH196"/>
          <cell r="AI196"/>
          <cell r="AJ196"/>
          <cell r="AK196">
            <v>0.3</v>
          </cell>
          <cell r="AL196">
            <v>5700000</v>
          </cell>
          <cell r="AM196"/>
          <cell r="AN196" t="str">
            <v>No</v>
          </cell>
          <cell r="AO196">
            <v>0.7</v>
          </cell>
          <cell r="AP196">
            <v>13300000</v>
          </cell>
          <cell r="AQ196"/>
          <cell r="AR196"/>
          <cell r="AS196">
            <v>0</v>
          </cell>
          <cell r="AT196">
            <v>0</v>
          </cell>
          <cell r="AV196"/>
          <cell r="AX196" t="str">
            <v>Cancel</v>
          </cell>
          <cell r="AY196"/>
          <cell r="AZ196"/>
          <cell r="BA196" t="str">
            <v>Cancel</v>
          </cell>
          <cell r="BB196" t="str">
            <v>2018-10-23通知</v>
          </cell>
        </row>
        <row r="197">
          <cell r="B197">
            <v>86</v>
          </cell>
          <cell r="C197" t="str">
            <v>C49SZX20180087DZ</v>
          </cell>
          <cell r="D197" t="str">
            <v>BBS好兄弟</v>
          </cell>
          <cell r="E197" t="str">
            <v>YSM10</v>
          </cell>
          <cell r="F197" t="str">
            <v>NA</v>
          </cell>
          <cell r="G197" t="e">
            <v>#REF!</v>
          </cell>
          <cell r="H197" t="e">
            <v>#REF!</v>
          </cell>
          <cell r="I197" t="str">
            <v>L-&gt;R</v>
          </cell>
          <cell r="J197" t="str">
            <v>MVC+ATS15</v>
          </cell>
          <cell r="K197">
            <v>1</v>
          </cell>
          <cell r="L197" t="str">
            <v>取消</v>
          </cell>
          <cell r="M197" t="e">
            <v>#N/A</v>
          </cell>
          <cell r="N197"/>
          <cell r="O197"/>
          <cell r="P197"/>
          <cell r="Q197"/>
          <cell r="R197" t="str">
            <v>No</v>
          </cell>
          <cell r="S197" t="str">
            <v>C49</v>
          </cell>
          <cell r="T197" t="str">
            <v>SOUTH</v>
          </cell>
          <cell r="U197" t="str">
            <v>深圳</v>
          </cell>
          <cell r="V197" t="str">
            <v>SZ 深圳</v>
          </cell>
          <cell r="W197" t="str">
            <v>DZ</v>
          </cell>
          <cell r="X197" t="str">
            <v>JPY</v>
          </cell>
          <cell r="Y197">
            <v>13150000</v>
          </cell>
          <cell r="Z197">
            <v>1</v>
          </cell>
          <cell r="AA197">
            <v>13150000</v>
          </cell>
          <cell r="AB197">
            <v>7.3400000000000007E-2</v>
          </cell>
          <cell r="AC197">
            <v>965210.00000000012</v>
          </cell>
          <cell r="AD197">
            <v>115825.20000000001</v>
          </cell>
          <cell r="AE197">
            <v>0.12</v>
          </cell>
          <cell r="AF197">
            <v>43251</v>
          </cell>
          <cell r="AG197" t="str">
            <v>CIF HK</v>
          </cell>
          <cell r="AH197"/>
          <cell r="AI197"/>
          <cell r="AJ197"/>
          <cell r="AK197">
            <v>0.3</v>
          </cell>
          <cell r="AL197">
            <v>3945000</v>
          </cell>
          <cell r="AM197"/>
          <cell r="AN197" t="str">
            <v>No</v>
          </cell>
          <cell r="AO197">
            <v>0.7</v>
          </cell>
          <cell r="AP197">
            <v>9205000</v>
          </cell>
          <cell r="AQ197"/>
          <cell r="AR197"/>
          <cell r="AS197">
            <v>0</v>
          </cell>
          <cell r="AT197">
            <v>0</v>
          </cell>
          <cell r="AV197"/>
          <cell r="AX197" t="str">
            <v>Cancel</v>
          </cell>
          <cell r="AY197"/>
          <cell r="AZ197"/>
          <cell r="BA197" t="str">
            <v>Cancel</v>
          </cell>
          <cell r="BB197" t="str">
            <v>2018-10-23通知</v>
          </cell>
        </row>
        <row r="198">
          <cell r="B198">
            <v>87</v>
          </cell>
          <cell r="C198" t="str">
            <v>C49SZX20180087DZ</v>
          </cell>
          <cell r="D198" t="str">
            <v>BBS好兄弟</v>
          </cell>
          <cell r="E198" t="str">
            <v>YSM10</v>
          </cell>
          <cell r="F198" t="str">
            <v>NA</v>
          </cell>
          <cell r="G198" t="e">
            <v>#REF!</v>
          </cell>
          <cell r="H198" t="e">
            <v>#REF!</v>
          </cell>
          <cell r="I198" t="str">
            <v>L-&gt;R</v>
          </cell>
          <cell r="J198" t="str">
            <v>MVC+ATS15</v>
          </cell>
          <cell r="K198">
            <v>1</v>
          </cell>
          <cell r="L198" t="str">
            <v>取消</v>
          </cell>
          <cell r="M198" t="e">
            <v>#N/A</v>
          </cell>
          <cell r="N198"/>
          <cell r="O198"/>
          <cell r="P198"/>
          <cell r="Q198"/>
          <cell r="R198" t="str">
            <v>No</v>
          </cell>
          <cell r="S198" t="str">
            <v>C49</v>
          </cell>
          <cell r="T198" t="str">
            <v>SOUTH</v>
          </cell>
          <cell r="U198" t="str">
            <v>深圳</v>
          </cell>
          <cell r="V198" t="str">
            <v>SZ 深圳</v>
          </cell>
          <cell r="W198" t="str">
            <v>DZ</v>
          </cell>
          <cell r="X198" t="str">
            <v>JPY</v>
          </cell>
          <cell r="Y198">
            <v>13150000</v>
          </cell>
          <cell r="Z198">
            <v>1</v>
          </cell>
          <cell r="AA198">
            <v>13150000</v>
          </cell>
          <cell r="AB198">
            <v>7.3400000000000007E-2</v>
          </cell>
          <cell r="AC198">
            <v>965210.00000000012</v>
          </cell>
          <cell r="AD198">
            <v>115825.20000000001</v>
          </cell>
          <cell r="AE198">
            <v>0.12</v>
          </cell>
          <cell r="AF198">
            <v>43251</v>
          </cell>
          <cell r="AG198" t="str">
            <v>CIF HK</v>
          </cell>
          <cell r="AH198"/>
          <cell r="AI198"/>
          <cell r="AJ198"/>
          <cell r="AK198">
            <v>0.3</v>
          </cell>
          <cell r="AL198">
            <v>3945000</v>
          </cell>
          <cell r="AM198"/>
          <cell r="AN198" t="str">
            <v>No</v>
          </cell>
          <cell r="AO198">
            <v>0.7</v>
          </cell>
          <cell r="AP198">
            <v>9205000</v>
          </cell>
          <cell r="AQ198"/>
          <cell r="AR198"/>
          <cell r="AS198">
            <v>0</v>
          </cell>
          <cell r="AT198">
            <v>0</v>
          </cell>
          <cell r="AV198"/>
          <cell r="AX198" t="str">
            <v>Cancel</v>
          </cell>
          <cell r="AY198"/>
          <cell r="AZ198"/>
          <cell r="BA198" t="str">
            <v>Cancel</v>
          </cell>
          <cell r="BB198" t="str">
            <v>2018-10-23通知</v>
          </cell>
        </row>
        <row r="199">
          <cell r="B199">
            <v>88</v>
          </cell>
          <cell r="C199" t="str">
            <v>C49SZX20180087DZ</v>
          </cell>
          <cell r="D199" t="str">
            <v>BBS好兄弟</v>
          </cell>
          <cell r="E199" t="str">
            <v>YSM20-2</v>
          </cell>
          <cell r="F199" t="str">
            <v>NA</v>
          </cell>
          <cell r="G199" t="e">
            <v>#REF!</v>
          </cell>
          <cell r="H199" t="e">
            <v>#REF!</v>
          </cell>
          <cell r="I199" t="str">
            <v>L-&gt;R</v>
          </cell>
          <cell r="J199" t="str">
            <v>No</v>
          </cell>
          <cell r="K199">
            <v>1</v>
          </cell>
          <cell r="L199" t="str">
            <v>取消</v>
          </cell>
          <cell r="M199" t="e">
            <v>#N/A</v>
          </cell>
          <cell r="N199"/>
          <cell r="O199"/>
          <cell r="P199"/>
          <cell r="Q199"/>
          <cell r="R199" t="str">
            <v>No</v>
          </cell>
          <cell r="S199" t="str">
            <v>C49</v>
          </cell>
          <cell r="T199" t="str">
            <v>SOUTH</v>
          </cell>
          <cell r="U199" t="str">
            <v>深圳</v>
          </cell>
          <cell r="V199" t="str">
            <v>SZ 深圳</v>
          </cell>
          <cell r="W199" t="str">
            <v>DZ</v>
          </cell>
          <cell r="X199" t="str">
            <v>JPY</v>
          </cell>
          <cell r="Y199">
            <v>19000000</v>
          </cell>
          <cell r="Z199">
            <v>1</v>
          </cell>
          <cell r="AA199">
            <v>19000000</v>
          </cell>
          <cell r="AB199">
            <v>7.3400000000000007E-2</v>
          </cell>
          <cell r="AC199">
            <v>1394600.0000000002</v>
          </cell>
          <cell r="AD199">
            <v>167352.00000000003</v>
          </cell>
          <cell r="AE199">
            <v>0.12</v>
          </cell>
          <cell r="AF199">
            <v>43251</v>
          </cell>
          <cell r="AG199" t="str">
            <v>CIF HK</v>
          </cell>
          <cell r="AH199"/>
          <cell r="AI199"/>
          <cell r="AJ199"/>
          <cell r="AK199">
            <v>0.3</v>
          </cell>
          <cell r="AL199">
            <v>5700000</v>
          </cell>
          <cell r="AM199"/>
          <cell r="AN199" t="str">
            <v>No</v>
          </cell>
          <cell r="AO199">
            <v>0.7</v>
          </cell>
          <cell r="AP199">
            <v>13300000</v>
          </cell>
          <cell r="AQ199"/>
          <cell r="AR199"/>
          <cell r="AS199">
            <v>0</v>
          </cell>
          <cell r="AT199">
            <v>0</v>
          </cell>
          <cell r="AV199"/>
          <cell r="AX199" t="str">
            <v>Cancel</v>
          </cell>
          <cell r="AY199"/>
          <cell r="AZ199"/>
          <cell r="BA199" t="str">
            <v>Cancel</v>
          </cell>
          <cell r="BB199" t="str">
            <v>2018-10-23通知</v>
          </cell>
        </row>
        <row r="200">
          <cell r="B200">
            <v>89</v>
          </cell>
          <cell r="C200" t="str">
            <v>C49SZX20180087DZ</v>
          </cell>
          <cell r="D200" t="str">
            <v>BBS好兄弟</v>
          </cell>
          <cell r="E200" t="str">
            <v>YSM20-2</v>
          </cell>
          <cell r="F200" t="str">
            <v>NA</v>
          </cell>
          <cell r="G200" t="e">
            <v>#REF!</v>
          </cell>
          <cell r="H200" t="e">
            <v>#REF!</v>
          </cell>
          <cell r="I200" t="str">
            <v>L-&gt;R</v>
          </cell>
          <cell r="J200" t="str">
            <v>No</v>
          </cell>
          <cell r="K200">
            <v>1</v>
          </cell>
          <cell r="L200" t="str">
            <v>取消</v>
          </cell>
          <cell r="M200" t="e">
            <v>#N/A</v>
          </cell>
          <cell r="N200"/>
          <cell r="O200"/>
          <cell r="P200"/>
          <cell r="Q200"/>
          <cell r="R200" t="str">
            <v>No</v>
          </cell>
          <cell r="S200" t="str">
            <v>C49</v>
          </cell>
          <cell r="T200" t="str">
            <v>SOUTH</v>
          </cell>
          <cell r="U200" t="str">
            <v>深圳</v>
          </cell>
          <cell r="V200" t="str">
            <v>SZ 深圳</v>
          </cell>
          <cell r="W200" t="str">
            <v>DZ</v>
          </cell>
          <cell r="X200" t="str">
            <v>JPY</v>
          </cell>
          <cell r="Y200">
            <v>19000000</v>
          </cell>
          <cell r="Z200">
            <v>1</v>
          </cell>
          <cell r="AA200">
            <v>19000000</v>
          </cell>
          <cell r="AB200">
            <v>7.3400000000000007E-2</v>
          </cell>
          <cell r="AC200">
            <v>1394600.0000000002</v>
          </cell>
          <cell r="AD200">
            <v>167352.00000000003</v>
          </cell>
          <cell r="AE200">
            <v>0.12</v>
          </cell>
          <cell r="AF200">
            <v>43251</v>
          </cell>
          <cell r="AG200" t="str">
            <v>CIF HK</v>
          </cell>
          <cell r="AH200"/>
          <cell r="AI200"/>
          <cell r="AJ200"/>
          <cell r="AK200">
            <v>0.3</v>
          </cell>
          <cell r="AL200">
            <v>5700000</v>
          </cell>
          <cell r="AM200"/>
          <cell r="AN200" t="str">
            <v>No</v>
          </cell>
          <cell r="AO200">
            <v>0.7</v>
          </cell>
          <cell r="AP200">
            <v>13300000</v>
          </cell>
          <cell r="AQ200"/>
          <cell r="AR200"/>
          <cell r="AS200">
            <v>0</v>
          </cell>
          <cell r="AT200">
            <v>0</v>
          </cell>
          <cell r="AV200"/>
          <cell r="AX200" t="str">
            <v>Cancel</v>
          </cell>
          <cell r="AY200"/>
          <cell r="AZ200"/>
          <cell r="BA200" t="str">
            <v>Cancel</v>
          </cell>
          <cell r="BB200" t="str">
            <v>2018-10-23通知</v>
          </cell>
        </row>
        <row r="201">
          <cell r="B201">
            <v>90</v>
          </cell>
          <cell r="C201" t="str">
            <v>C49SZX20180087DZ</v>
          </cell>
          <cell r="D201" t="str">
            <v>BBS好兄弟</v>
          </cell>
          <cell r="E201" t="str">
            <v>YSM20-2</v>
          </cell>
          <cell r="F201" t="str">
            <v>NA</v>
          </cell>
          <cell r="G201" t="e">
            <v>#REF!</v>
          </cell>
          <cell r="H201" t="e">
            <v>#REF!</v>
          </cell>
          <cell r="I201" t="str">
            <v>L-&gt;R</v>
          </cell>
          <cell r="J201" t="str">
            <v>No</v>
          </cell>
          <cell r="K201">
            <v>1</v>
          </cell>
          <cell r="L201" t="str">
            <v>取消</v>
          </cell>
          <cell r="M201" t="e">
            <v>#N/A</v>
          </cell>
          <cell r="N201"/>
          <cell r="O201"/>
          <cell r="P201"/>
          <cell r="Q201"/>
          <cell r="R201" t="str">
            <v>No</v>
          </cell>
          <cell r="S201" t="str">
            <v>C49</v>
          </cell>
          <cell r="T201" t="str">
            <v>SOUTH</v>
          </cell>
          <cell r="U201" t="str">
            <v>深圳</v>
          </cell>
          <cell r="V201" t="str">
            <v>SZ 深圳</v>
          </cell>
          <cell r="W201" t="str">
            <v>DZ</v>
          </cell>
          <cell r="X201" t="str">
            <v>JPY</v>
          </cell>
          <cell r="Y201">
            <v>19000000</v>
          </cell>
          <cell r="Z201">
            <v>1</v>
          </cell>
          <cell r="AA201">
            <v>19000000</v>
          </cell>
          <cell r="AB201">
            <v>7.3400000000000007E-2</v>
          </cell>
          <cell r="AC201">
            <v>1394600.0000000002</v>
          </cell>
          <cell r="AD201">
            <v>167352.00000000003</v>
          </cell>
          <cell r="AE201">
            <v>0.12</v>
          </cell>
          <cell r="AF201">
            <v>43251</v>
          </cell>
          <cell r="AG201" t="str">
            <v>CIF HK</v>
          </cell>
          <cell r="AH201"/>
          <cell r="AI201"/>
          <cell r="AJ201"/>
          <cell r="AK201">
            <v>0.3</v>
          </cell>
          <cell r="AL201">
            <v>5700000</v>
          </cell>
          <cell r="AM201"/>
          <cell r="AN201" t="str">
            <v>No</v>
          </cell>
          <cell r="AO201">
            <v>0.7</v>
          </cell>
          <cell r="AP201">
            <v>13300000</v>
          </cell>
          <cell r="AQ201"/>
          <cell r="AR201"/>
          <cell r="AS201">
            <v>0</v>
          </cell>
          <cell r="AT201">
            <v>0</v>
          </cell>
          <cell r="AV201"/>
          <cell r="AX201" t="str">
            <v>Cancel</v>
          </cell>
          <cell r="AY201"/>
          <cell r="AZ201"/>
          <cell r="BA201" t="str">
            <v>Cancel</v>
          </cell>
          <cell r="BB201" t="str">
            <v>2018-10-23通知</v>
          </cell>
        </row>
        <row r="202">
          <cell r="B202">
            <v>91</v>
          </cell>
          <cell r="C202" t="str">
            <v>C49SZX20180087DZ</v>
          </cell>
          <cell r="D202" t="str">
            <v>BBS好兄弟</v>
          </cell>
          <cell r="E202" t="str">
            <v>YSM20-2</v>
          </cell>
          <cell r="F202" t="str">
            <v>NA</v>
          </cell>
          <cell r="G202" t="e">
            <v>#REF!</v>
          </cell>
          <cell r="H202" t="e">
            <v>#REF!</v>
          </cell>
          <cell r="I202" t="str">
            <v>L-&gt;R</v>
          </cell>
          <cell r="J202" t="str">
            <v>No</v>
          </cell>
          <cell r="K202">
            <v>1</v>
          </cell>
          <cell r="L202" t="str">
            <v>取消</v>
          </cell>
          <cell r="M202" t="e">
            <v>#N/A</v>
          </cell>
          <cell r="N202"/>
          <cell r="O202"/>
          <cell r="P202"/>
          <cell r="Q202"/>
          <cell r="R202" t="str">
            <v>No</v>
          </cell>
          <cell r="S202" t="str">
            <v>C49</v>
          </cell>
          <cell r="T202" t="str">
            <v>SOUTH</v>
          </cell>
          <cell r="U202" t="str">
            <v>深圳</v>
          </cell>
          <cell r="V202" t="str">
            <v>SZ 深圳</v>
          </cell>
          <cell r="W202" t="str">
            <v>DZ</v>
          </cell>
          <cell r="X202" t="str">
            <v>JPY</v>
          </cell>
          <cell r="Y202">
            <v>19000000</v>
          </cell>
          <cell r="Z202">
            <v>1</v>
          </cell>
          <cell r="AA202">
            <v>19000000</v>
          </cell>
          <cell r="AB202">
            <v>7.3400000000000007E-2</v>
          </cell>
          <cell r="AC202">
            <v>1394600.0000000002</v>
          </cell>
          <cell r="AD202">
            <v>167352.00000000003</v>
          </cell>
          <cell r="AE202">
            <v>0.12</v>
          </cell>
          <cell r="AF202">
            <v>43251</v>
          </cell>
          <cell r="AG202" t="str">
            <v>CIF HK</v>
          </cell>
          <cell r="AH202"/>
          <cell r="AI202"/>
          <cell r="AJ202"/>
          <cell r="AK202">
            <v>0.3</v>
          </cell>
          <cell r="AL202">
            <v>5700000</v>
          </cell>
          <cell r="AM202"/>
          <cell r="AN202" t="str">
            <v>No</v>
          </cell>
          <cell r="AO202">
            <v>0.7</v>
          </cell>
          <cell r="AP202">
            <v>13300000</v>
          </cell>
          <cell r="AQ202"/>
          <cell r="AR202"/>
          <cell r="AS202">
            <v>0</v>
          </cell>
          <cell r="AT202">
            <v>0</v>
          </cell>
          <cell r="AV202"/>
          <cell r="AX202" t="str">
            <v>Cancel</v>
          </cell>
          <cell r="AY202"/>
          <cell r="AZ202"/>
          <cell r="BA202" t="str">
            <v>Cancel</v>
          </cell>
          <cell r="BB202" t="str">
            <v>2018-10-23通知</v>
          </cell>
        </row>
        <row r="203">
          <cell r="B203"/>
          <cell r="C203" t="str">
            <v>C49SZX20180088RW</v>
          </cell>
          <cell r="D203" t="str">
            <v>HTY鸿通宇</v>
          </cell>
          <cell r="E203" t="str">
            <v>YSM40R-4</v>
          </cell>
          <cell r="F203" t="str">
            <v>NA</v>
          </cell>
          <cell r="G203" t="e">
            <v>#REF!</v>
          </cell>
          <cell r="H203" t="e">
            <v>#REF!</v>
          </cell>
          <cell r="K203">
            <v>1</v>
          </cell>
          <cell r="L203" t="str">
            <v>已经送货</v>
          </cell>
          <cell r="M203" t="str">
            <v>2018/5</v>
          </cell>
          <cell r="O203">
            <v>11116115</v>
          </cell>
          <cell r="P203">
            <v>29178900</v>
          </cell>
          <cell r="Q203">
            <v>43221</v>
          </cell>
          <cell r="R203" t="str">
            <v>No</v>
          </cell>
          <cell r="S203" t="str">
            <v>C49</v>
          </cell>
          <cell r="T203" t="str">
            <v>SOUTH</v>
          </cell>
          <cell r="U203" t="str">
            <v>深圳</v>
          </cell>
          <cell r="V203" t="str">
            <v>SZ 深圳</v>
          </cell>
          <cell r="W203" t="str">
            <v>RW</v>
          </cell>
          <cell r="X203" t="str">
            <v>JPY</v>
          </cell>
          <cell r="Y203">
            <v>29178900</v>
          </cell>
          <cell r="Z203">
            <v>1</v>
          </cell>
          <cell r="AA203">
            <v>29178900</v>
          </cell>
          <cell r="AB203">
            <v>7.3400000000000007E-2</v>
          </cell>
          <cell r="AC203">
            <v>2141731.2600000002</v>
          </cell>
          <cell r="AD203">
            <v>257007.75120000003</v>
          </cell>
          <cell r="AE203">
            <v>0.12</v>
          </cell>
          <cell r="AF203">
            <v>43227</v>
          </cell>
          <cell r="AG203" t="str">
            <v>DAP</v>
          </cell>
          <cell r="AH203" t="str">
            <v>吊装2楼</v>
          </cell>
          <cell r="AI203"/>
          <cell r="AJ203"/>
          <cell r="AK203">
            <v>0.3</v>
          </cell>
          <cell r="AL203">
            <v>8753670</v>
          </cell>
          <cell r="AM203">
            <v>43221</v>
          </cell>
          <cell r="AN203" t="str">
            <v>Yes</v>
          </cell>
          <cell r="AO203">
            <v>0.7</v>
          </cell>
          <cell r="AP203">
            <v>20425230</v>
          </cell>
          <cell r="AQ203">
            <v>43221</v>
          </cell>
          <cell r="AR203">
            <v>43238</v>
          </cell>
          <cell r="AS203" t="str">
            <v>complete</v>
          </cell>
          <cell r="AT203" t="e">
            <v>#VALUE!</v>
          </cell>
          <cell r="AV203"/>
          <cell r="AX203" t="str">
            <v>Yes</v>
          </cell>
          <cell r="AY203"/>
          <cell r="AZ203" t="str">
            <v>Y</v>
          </cell>
          <cell r="BA203" t="str">
            <v>Yes</v>
          </cell>
        </row>
        <row r="204">
          <cell r="B204"/>
          <cell r="C204" t="str">
            <v>C49SZX20180088RW</v>
          </cell>
          <cell r="D204" t="str">
            <v>HTY鸿通宇</v>
          </cell>
          <cell r="E204" t="str">
            <v>YS24X</v>
          </cell>
          <cell r="F204" t="str">
            <v>NA</v>
          </cell>
          <cell r="G204" t="e">
            <v>#REF!</v>
          </cell>
          <cell r="H204" t="e">
            <v>#REF!</v>
          </cell>
          <cell r="K204">
            <v>1</v>
          </cell>
          <cell r="L204" t="str">
            <v>已经送货</v>
          </cell>
          <cell r="M204" t="str">
            <v>2018/5</v>
          </cell>
          <cell r="O204">
            <v>11116115</v>
          </cell>
          <cell r="P204">
            <v>12120000</v>
          </cell>
          <cell r="Q204">
            <v>43221</v>
          </cell>
          <cell r="R204" t="str">
            <v>No</v>
          </cell>
          <cell r="S204" t="str">
            <v>C49</v>
          </cell>
          <cell r="T204" t="str">
            <v>SOUTH</v>
          </cell>
          <cell r="U204" t="str">
            <v>深圳</v>
          </cell>
          <cell r="V204" t="str">
            <v>SZ 深圳</v>
          </cell>
          <cell r="W204" t="str">
            <v>RW</v>
          </cell>
          <cell r="X204" t="str">
            <v>JPY</v>
          </cell>
          <cell r="Y204">
            <v>12120000</v>
          </cell>
          <cell r="Z204">
            <v>1</v>
          </cell>
          <cell r="AA204">
            <v>12120000</v>
          </cell>
          <cell r="AB204">
            <v>7.3400000000000007E-2</v>
          </cell>
          <cell r="AC204">
            <v>889608.00000000012</v>
          </cell>
          <cell r="AD204">
            <v>106752.96000000001</v>
          </cell>
          <cell r="AE204">
            <v>0.12</v>
          </cell>
          <cell r="AF204">
            <v>43227</v>
          </cell>
          <cell r="AG204" t="str">
            <v>DAP</v>
          </cell>
          <cell r="AH204" t="str">
            <v>吊装2楼</v>
          </cell>
          <cell r="AI204"/>
          <cell r="AJ204"/>
          <cell r="AK204">
            <v>0.3</v>
          </cell>
          <cell r="AL204">
            <v>3636000</v>
          </cell>
          <cell r="AM204">
            <v>43221</v>
          </cell>
          <cell r="AN204" t="str">
            <v>Yes</v>
          </cell>
          <cell r="AO204">
            <v>0.7</v>
          </cell>
          <cell r="AP204">
            <v>8484000</v>
          </cell>
          <cell r="AQ204">
            <v>43221</v>
          </cell>
          <cell r="AR204">
            <v>43238</v>
          </cell>
          <cell r="AS204" t="str">
            <v>complete</v>
          </cell>
          <cell r="AT204" t="e">
            <v>#VALUE!</v>
          </cell>
          <cell r="AV204"/>
          <cell r="AX204" t="str">
            <v>Yes</v>
          </cell>
          <cell r="AY204"/>
          <cell r="AZ204" t="str">
            <v>Y</v>
          </cell>
          <cell r="BA204" t="str">
            <v>Yes</v>
          </cell>
        </row>
        <row r="205">
          <cell r="B205"/>
          <cell r="C205" t="str">
            <v>C49SZX20180088RW</v>
          </cell>
          <cell r="D205" t="str">
            <v>HTY鸿通宇</v>
          </cell>
          <cell r="E205" t="str">
            <v>YSM10</v>
          </cell>
          <cell r="F205" t="str">
            <v>NA</v>
          </cell>
          <cell r="G205" t="e">
            <v>#REF!</v>
          </cell>
          <cell r="H205" t="e">
            <v>#REF!</v>
          </cell>
          <cell r="I205"/>
          <cell r="J205"/>
          <cell r="K205">
            <v>1</v>
          </cell>
          <cell r="L205" t="str">
            <v>已经送货</v>
          </cell>
          <cell r="M205" t="str">
            <v>2018/5</v>
          </cell>
          <cell r="N205"/>
          <cell r="O205">
            <v>11116115</v>
          </cell>
          <cell r="P205">
            <v>9352600</v>
          </cell>
          <cell r="Q205">
            <v>43221</v>
          </cell>
          <cell r="R205" t="str">
            <v>No</v>
          </cell>
          <cell r="S205" t="str">
            <v>C49</v>
          </cell>
          <cell r="T205" t="str">
            <v>SOUTH</v>
          </cell>
          <cell r="U205" t="str">
            <v>深圳</v>
          </cell>
          <cell r="V205" t="str">
            <v>SZ 深圳</v>
          </cell>
          <cell r="W205" t="str">
            <v>RW</v>
          </cell>
          <cell r="X205" t="str">
            <v>JPY</v>
          </cell>
          <cell r="Y205">
            <v>9352600</v>
          </cell>
          <cell r="Z205">
            <v>1</v>
          </cell>
          <cell r="AA205">
            <v>9352600</v>
          </cell>
          <cell r="AB205">
            <v>7.3400000000000007E-2</v>
          </cell>
          <cell r="AC205">
            <v>686480.84000000008</v>
          </cell>
          <cell r="AD205">
            <v>82377.700800000006</v>
          </cell>
          <cell r="AE205">
            <v>0.12</v>
          </cell>
          <cell r="AF205">
            <v>43227</v>
          </cell>
          <cell r="AG205" t="str">
            <v>DAP</v>
          </cell>
          <cell r="AH205" t="str">
            <v>吊装2楼</v>
          </cell>
          <cell r="AI205"/>
          <cell r="AJ205"/>
          <cell r="AK205">
            <v>0.3</v>
          </cell>
          <cell r="AL205">
            <v>2805780</v>
          </cell>
          <cell r="AM205">
            <v>43221</v>
          </cell>
          <cell r="AN205" t="str">
            <v>Yes</v>
          </cell>
          <cell r="AO205">
            <v>0.7</v>
          </cell>
          <cell r="AP205">
            <v>6546820</v>
          </cell>
          <cell r="AQ205">
            <v>43221</v>
          </cell>
          <cell r="AR205">
            <v>43238</v>
          </cell>
          <cell r="AS205" t="str">
            <v>complete</v>
          </cell>
          <cell r="AT205" t="e">
            <v>#VALUE!</v>
          </cell>
          <cell r="AU205"/>
          <cell r="AV205"/>
          <cell r="AW205"/>
          <cell r="AX205" t="str">
            <v>Yes</v>
          </cell>
          <cell r="AY205"/>
          <cell r="AZ205" t="str">
            <v>Y</v>
          </cell>
          <cell r="BA205" t="str">
            <v>Yes</v>
          </cell>
          <cell r="BB205"/>
        </row>
        <row r="206">
          <cell r="B206"/>
          <cell r="C206" t="str">
            <v>C49SZX20180089ZX</v>
          </cell>
          <cell r="D206" t="str">
            <v>科诚达</v>
          </cell>
          <cell r="E206" t="str">
            <v>YSM10</v>
          </cell>
          <cell r="F206" t="str">
            <v>NA</v>
          </cell>
          <cell r="G206" t="e">
            <v>#REF!</v>
          </cell>
          <cell r="H206" t="e">
            <v>#REF!</v>
          </cell>
          <cell r="K206">
            <v>2</v>
          </cell>
          <cell r="L206" t="str">
            <v>已经送货</v>
          </cell>
          <cell r="M206" t="str">
            <v>JUL 18</v>
          </cell>
          <cell r="O206">
            <v>11116151</v>
          </cell>
          <cell r="P206">
            <v>18500000</v>
          </cell>
          <cell r="Q206">
            <v>43282</v>
          </cell>
          <cell r="R206" t="str">
            <v>Yes</v>
          </cell>
          <cell r="S206" t="str">
            <v>C49</v>
          </cell>
          <cell r="T206" t="str">
            <v>SOUTH</v>
          </cell>
          <cell r="U206" t="str">
            <v>深圳</v>
          </cell>
          <cell r="V206" t="str">
            <v>SZ 深圳</v>
          </cell>
          <cell r="W206" t="str">
            <v>ZX</v>
          </cell>
          <cell r="X206" t="str">
            <v>JPY</v>
          </cell>
          <cell r="Y206">
            <v>9250000</v>
          </cell>
          <cell r="Z206">
            <v>1</v>
          </cell>
          <cell r="AA206">
            <v>18500000</v>
          </cell>
          <cell r="AB206">
            <v>7.3599999999999999E-2</v>
          </cell>
          <cell r="AC206">
            <v>1361600</v>
          </cell>
          <cell r="AD206">
            <v>163392</v>
          </cell>
          <cell r="AE206">
            <v>0.12</v>
          </cell>
          <cell r="AF206">
            <v>43255</v>
          </cell>
          <cell r="AG206" t="str">
            <v>DAP SZ</v>
          </cell>
          <cell r="AH206" t="str">
            <v>电梯，二楼</v>
          </cell>
          <cell r="AI206"/>
          <cell r="AJ206"/>
          <cell r="AK206">
            <v>0.1</v>
          </cell>
          <cell r="AL206">
            <v>1850000</v>
          </cell>
          <cell r="AM206">
            <v>43252</v>
          </cell>
          <cell r="AN206" t="str">
            <v>Yes</v>
          </cell>
          <cell r="AO206">
            <v>0.9</v>
          </cell>
          <cell r="AP206">
            <v>16650000</v>
          </cell>
          <cell r="AQ206">
            <v>43282</v>
          </cell>
          <cell r="AR206">
            <v>43285</v>
          </cell>
          <cell r="AS206"/>
          <cell r="AT206">
            <v>0</v>
          </cell>
          <cell r="AV206"/>
          <cell r="AY206"/>
          <cell r="AZ206" t="str">
            <v>Y</v>
          </cell>
          <cell r="BA206" t="str">
            <v>Yes</v>
          </cell>
        </row>
        <row r="207">
          <cell r="B207"/>
          <cell r="C207" t="str">
            <v>C49SZX20180090MZ</v>
          </cell>
          <cell r="D207" t="str">
            <v>Quanmailong全迈龙 Sales accural June</v>
          </cell>
          <cell r="E207" t="str">
            <v>YS12F</v>
          </cell>
          <cell r="F207" t="str">
            <v>NA</v>
          </cell>
          <cell r="G207" t="e">
            <v>#REF!</v>
          </cell>
          <cell r="H207" t="e">
            <v>#REF!</v>
          </cell>
          <cell r="K207">
            <v>1</v>
          </cell>
          <cell r="L207" t="str">
            <v>已经送货</v>
          </cell>
          <cell r="M207" t="str">
            <v>2018/7</v>
          </cell>
          <cell r="O207">
            <v>11100270</v>
          </cell>
          <cell r="P207">
            <v>500000</v>
          </cell>
          <cell r="Q207">
            <v>43313</v>
          </cell>
          <cell r="R207" t="str">
            <v>Yes</v>
          </cell>
          <cell r="S207" t="str">
            <v>C49</v>
          </cell>
          <cell r="T207" t="str">
            <v>SOUTH</v>
          </cell>
          <cell r="U207" t="str">
            <v>深圳</v>
          </cell>
          <cell r="V207" t="str">
            <v>SZ 深圳</v>
          </cell>
          <cell r="W207" t="str">
            <v>MZ</v>
          </cell>
          <cell r="X207" t="str">
            <v>RMB</v>
          </cell>
          <cell r="Y207">
            <v>500000</v>
          </cell>
          <cell r="Z207">
            <v>1.1599999999999999</v>
          </cell>
          <cell r="AA207">
            <v>500000</v>
          </cell>
          <cell r="AB207">
            <v>1.23</v>
          </cell>
          <cell r="AC207">
            <v>530172.41379310342</v>
          </cell>
          <cell r="AD207">
            <v>63620.689655172406</v>
          </cell>
          <cell r="AE207">
            <v>0.12</v>
          </cell>
          <cell r="AF207">
            <v>43251</v>
          </cell>
          <cell r="AG207" t="str">
            <v>DDP SZ</v>
          </cell>
          <cell r="AH207" t="str">
            <v>吊装5楼</v>
          </cell>
          <cell r="AI207">
            <v>100000</v>
          </cell>
          <cell r="AJ207" t="str">
            <v>20180604</v>
          </cell>
          <cell r="AK207">
            <v>0.2</v>
          </cell>
          <cell r="AL207">
            <v>100000</v>
          </cell>
          <cell r="AM207">
            <v>43252</v>
          </cell>
          <cell r="AN207" t="str">
            <v>Yes</v>
          </cell>
          <cell r="AO207">
            <v>0.8</v>
          </cell>
          <cell r="AP207">
            <v>400000</v>
          </cell>
          <cell r="AQ207">
            <v>43252</v>
          </cell>
          <cell r="AR207">
            <v>43279</v>
          </cell>
          <cell r="AS207" t="str">
            <v>complete</v>
          </cell>
          <cell r="AT207" t="e">
            <v>#VALUE!</v>
          </cell>
          <cell r="AV207"/>
          <cell r="AX207" t="str">
            <v>Yes</v>
          </cell>
          <cell r="AY207"/>
          <cell r="AZ207" t="str">
            <v>Y</v>
          </cell>
          <cell r="BA207" t="str">
            <v>Yes</v>
          </cell>
        </row>
        <row r="208">
          <cell r="B208"/>
          <cell r="C208" t="str">
            <v>C49SZX20180090MZ</v>
          </cell>
          <cell r="D208" t="str">
            <v>Quanmailong全迈龙 Sales accural June</v>
          </cell>
          <cell r="E208" t="str">
            <v>YSM10</v>
          </cell>
          <cell r="F208" t="str">
            <v>NA</v>
          </cell>
          <cell r="G208" t="e">
            <v>#REF!</v>
          </cell>
          <cell r="H208" t="e">
            <v>#REF!</v>
          </cell>
          <cell r="K208">
            <v>1</v>
          </cell>
          <cell r="L208" t="str">
            <v>已经送货</v>
          </cell>
          <cell r="M208" t="str">
            <v>2018/7</v>
          </cell>
          <cell r="O208">
            <v>11100270</v>
          </cell>
          <cell r="P208">
            <v>600000</v>
          </cell>
          <cell r="Q208">
            <v>43313</v>
          </cell>
          <cell r="R208" t="str">
            <v>Yes</v>
          </cell>
          <cell r="S208" t="str">
            <v>C49</v>
          </cell>
          <cell r="T208" t="str">
            <v>SOUTH</v>
          </cell>
          <cell r="U208" t="str">
            <v>深圳</v>
          </cell>
          <cell r="V208" t="str">
            <v>SZ 深圳</v>
          </cell>
          <cell r="W208" t="str">
            <v>MZ</v>
          </cell>
          <cell r="X208" t="str">
            <v>RMB</v>
          </cell>
          <cell r="Y208">
            <v>600000</v>
          </cell>
          <cell r="Z208">
            <v>1.1599999999999999</v>
          </cell>
          <cell r="AA208">
            <v>600000</v>
          </cell>
          <cell r="AB208">
            <v>1.23</v>
          </cell>
          <cell r="AC208">
            <v>636206.89655172417</v>
          </cell>
          <cell r="AD208">
            <v>76344.827586206899</v>
          </cell>
          <cell r="AE208">
            <v>0.12</v>
          </cell>
          <cell r="AF208">
            <v>43251</v>
          </cell>
          <cell r="AG208" t="str">
            <v>DDP SZ</v>
          </cell>
          <cell r="AH208" t="str">
            <v>吊装5楼</v>
          </cell>
          <cell r="AI208">
            <v>120000</v>
          </cell>
          <cell r="AJ208" t="str">
            <v>20180604</v>
          </cell>
          <cell r="AK208">
            <v>0.2</v>
          </cell>
          <cell r="AL208">
            <v>120000</v>
          </cell>
          <cell r="AM208">
            <v>43252</v>
          </cell>
          <cell r="AN208" t="str">
            <v>Yes</v>
          </cell>
          <cell r="AO208">
            <v>0.8</v>
          </cell>
          <cell r="AP208">
            <v>480000</v>
          </cell>
          <cell r="AQ208">
            <v>43252</v>
          </cell>
          <cell r="AR208">
            <v>43279</v>
          </cell>
          <cell r="AS208" t="str">
            <v>complete</v>
          </cell>
          <cell r="AT208" t="e">
            <v>#VALUE!</v>
          </cell>
          <cell r="AV208"/>
          <cell r="AX208" t="str">
            <v>Yes</v>
          </cell>
          <cell r="AY208"/>
          <cell r="AZ208" t="str">
            <v>Y</v>
          </cell>
          <cell r="BA208" t="str">
            <v>Yes</v>
          </cell>
        </row>
        <row r="209">
          <cell r="B209"/>
          <cell r="C209" t="str">
            <v>C49SZX20180091LC</v>
          </cell>
          <cell r="D209" t="str">
            <v>FYT飞业泰</v>
          </cell>
          <cell r="E209" t="str">
            <v>YSM10</v>
          </cell>
          <cell r="F209" t="str">
            <v>NA</v>
          </cell>
          <cell r="G209" t="e">
            <v>#REF!</v>
          </cell>
          <cell r="H209" t="e">
            <v>#REF!</v>
          </cell>
          <cell r="K209">
            <v>1</v>
          </cell>
          <cell r="L209" t="str">
            <v>已经送货</v>
          </cell>
          <cell r="M209" t="str">
            <v>JUL 18</v>
          </cell>
          <cell r="O209">
            <v>11116153</v>
          </cell>
          <cell r="P209">
            <v>10216000</v>
          </cell>
          <cell r="Q209">
            <v>43282</v>
          </cell>
          <cell r="R209" t="str">
            <v>Yes</v>
          </cell>
          <cell r="S209" t="str">
            <v>C49</v>
          </cell>
          <cell r="T209" t="str">
            <v>SOUTH</v>
          </cell>
          <cell r="U209" t="str">
            <v>深圳</v>
          </cell>
          <cell r="V209" t="str">
            <v>SZ 深圳</v>
          </cell>
          <cell r="W209" t="str">
            <v>LC</v>
          </cell>
          <cell r="X209" t="str">
            <v>JPY</v>
          </cell>
          <cell r="Y209">
            <v>10216000</v>
          </cell>
          <cell r="Z209">
            <v>1</v>
          </cell>
          <cell r="AA209">
            <v>10216000</v>
          </cell>
          <cell r="AB209">
            <v>7.3400000000000007E-2</v>
          </cell>
          <cell r="AC209">
            <v>749854.4</v>
          </cell>
          <cell r="AD209">
            <v>89982.528000000006</v>
          </cell>
          <cell r="AE209">
            <v>0.12</v>
          </cell>
          <cell r="AF209">
            <v>43251</v>
          </cell>
          <cell r="AG209" t="str">
            <v>DAP SZ</v>
          </cell>
          <cell r="AH209" t="str">
            <v>电梯</v>
          </cell>
          <cell r="AI209"/>
          <cell r="AJ209"/>
          <cell r="AK209">
            <v>0.2</v>
          </cell>
          <cell r="AL209">
            <v>2043200</v>
          </cell>
          <cell r="AM209">
            <v>43252</v>
          </cell>
          <cell r="AN209" t="str">
            <v>Yes</v>
          </cell>
          <cell r="AO209">
            <v>0.7</v>
          </cell>
          <cell r="AP209">
            <v>7151200</v>
          </cell>
          <cell r="AQ209">
            <v>43282</v>
          </cell>
          <cell r="AR209">
            <v>43292</v>
          </cell>
          <cell r="AS209">
            <v>0.1</v>
          </cell>
          <cell r="AT209">
            <v>1021600</v>
          </cell>
          <cell r="AU209">
            <v>43313</v>
          </cell>
          <cell r="AV209">
            <v>43334</v>
          </cell>
          <cell r="AW209" t="str">
            <v xml:space="preserve">complete </v>
          </cell>
          <cell r="AX209" t="str">
            <v>Yes</v>
          </cell>
          <cell r="AY209"/>
          <cell r="AZ209" t="str">
            <v>y</v>
          </cell>
          <cell r="BA209" t="str">
            <v>Yes</v>
          </cell>
        </row>
        <row r="210">
          <cell r="B210">
            <v>92</v>
          </cell>
          <cell r="C210" t="str">
            <v>C49SZX20180092LC</v>
          </cell>
          <cell r="D210" t="str">
            <v>FYT飞业泰</v>
          </cell>
          <cell r="E210" t="str">
            <v>YSM10</v>
          </cell>
          <cell r="F210" t="str">
            <v>NA</v>
          </cell>
          <cell r="G210" t="e">
            <v>#REF!</v>
          </cell>
          <cell r="H210" t="e">
            <v>#REF!</v>
          </cell>
          <cell r="I210" t="str">
            <v>R-&gt;L</v>
          </cell>
          <cell r="J210" t="str">
            <v>No</v>
          </cell>
          <cell r="K210">
            <v>1</v>
          </cell>
          <cell r="L210" t="str">
            <v>取消</v>
          </cell>
          <cell r="M210" t="e">
            <v>#N/A</v>
          </cell>
          <cell r="N210"/>
          <cell r="O210"/>
          <cell r="P210"/>
          <cell r="Q210"/>
          <cell r="R210" t="str">
            <v>Yes</v>
          </cell>
          <cell r="S210" t="str">
            <v>C49</v>
          </cell>
          <cell r="T210" t="str">
            <v>SOUTH</v>
          </cell>
          <cell r="U210" t="str">
            <v>深圳</v>
          </cell>
          <cell r="V210" t="str">
            <v>SZ 深圳</v>
          </cell>
          <cell r="W210" t="str">
            <v>LC</v>
          </cell>
          <cell r="X210" t="str">
            <v>JPY</v>
          </cell>
          <cell r="Y210">
            <v>10216000</v>
          </cell>
          <cell r="Z210">
            <v>1</v>
          </cell>
          <cell r="AA210">
            <v>10216000</v>
          </cell>
          <cell r="AB210">
            <v>7.3400000000000007E-2</v>
          </cell>
          <cell r="AC210">
            <v>749854.4</v>
          </cell>
          <cell r="AD210">
            <v>89982.528000000006</v>
          </cell>
          <cell r="AE210">
            <v>0.12</v>
          </cell>
          <cell r="AF210">
            <v>43251</v>
          </cell>
          <cell r="AG210" t="str">
            <v>DAP SZ</v>
          </cell>
          <cell r="AH210" t="str">
            <v>电梯</v>
          </cell>
          <cell r="AI210"/>
          <cell r="AJ210"/>
          <cell r="AK210">
            <v>0.2</v>
          </cell>
          <cell r="AL210">
            <v>2043200</v>
          </cell>
          <cell r="AM210"/>
          <cell r="AN210" t="str">
            <v>No</v>
          </cell>
          <cell r="AO210">
            <v>0.7</v>
          </cell>
          <cell r="AP210">
            <v>7151200</v>
          </cell>
          <cell r="AQ210"/>
          <cell r="AR210"/>
          <cell r="AS210">
            <v>0.1</v>
          </cell>
          <cell r="AT210">
            <v>1021600</v>
          </cell>
          <cell r="AV210"/>
          <cell r="AX210" t="str">
            <v>Cancel</v>
          </cell>
          <cell r="AY210"/>
          <cell r="AZ210"/>
          <cell r="BA210" t="str">
            <v>Cancel</v>
          </cell>
          <cell r="BB210" t="str">
            <v>2018-10-23通知</v>
          </cell>
        </row>
        <row r="211">
          <cell r="B211">
            <v>93</v>
          </cell>
          <cell r="C211" t="str">
            <v>C49SZX20180092LC</v>
          </cell>
          <cell r="D211" t="str">
            <v>FYT飞业泰</v>
          </cell>
          <cell r="E211" t="str">
            <v>YSM10</v>
          </cell>
          <cell r="F211" t="str">
            <v>NA</v>
          </cell>
          <cell r="G211" t="e">
            <v>#REF!</v>
          </cell>
          <cell r="H211" t="e">
            <v>#REF!</v>
          </cell>
          <cell r="I211" t="str">
            <v>R-&gt;L</v>
          </cell>
          <cell r="J211" t="str">
            <v>No</v>
          </cell>
          <cell r="K211">
            <v>1</v>
          </cell>
          <cell r="L211" t="str">
            <v>取消</v>
          </cell>
          <cell r="M211" t="e">
            <v>#N/A</v>
          </cell>
          <cell r="N211"/>
          <cell r="O211"/>
          <cell r="P211"/>
          <cell r="Q211"/>
          <cell r="R211" t="str">
            <v>Yes</v>
          </cell>
          <cell r="S211" t="str">
            <v>C49</v>
          </cell>
          <cell r="T211" t="str">
            <v>SOUTH</v>
          </cell>
          <cell r="U211" t="str">
            <v>深圳</v>
          </cell>
          <cell r="V211" t="str">
            <v>SZ 深圳</v>
          </cell>
          <cell r="W211" t="str">
            <v>LC</v>
          </cell>
          <cell r="X211" t="str">
            <v>JPY</v>
          </cell>
          <cell r="Y211">
            <v>10216000</v>
          </cell>
          <cell r="Z211">
            <v>1</v>
          </cell>
          <cell r="AA211">
            <v>10216000</v>
          </cell>
          <cell r="AB211">
            <v>7.3400000000000007E-2</v>
          </cell>
          <cell r="AC211">
            <v>749854.4</v>
          </cell>
          <cell r="AD211">
            <v>89982.528000000006</v>
          </cell>
          <cell r="AE211">
            <v>0.12</v>
          </cell>
          <cell r="AF211">
            <v>43251</v>
          </cell>
          <cell r="AG211" t="str">
            <v>DAP SZ</v>
          </cell>
          <cell r="AH211" t="str">
            <v>电梯</v>
          </cell>
          <cell r="AI211"/>
          <cell r="AJ211"/>
          <cell r="AK211">
            <v>0.2</v>
          </cell>
          <cell r="AL211">
            <v>2043200</v>
          </cell>
          <cell r="AM211"/>
          <cell r="AN211" t="str">
            <v>No</v>
          </cell>
          <cell r="AO211">
            <v>0.7</v>
          </cell>
          <cell r="AP211">
            <v>7151200</v>
          </cell>
          <cell r="AQ211"/>
          <cell r="AR211"/>
          <cell r="AS211">
            <v>0.1</v>
          </cell>
          <cell r="AT211">
            <v>1021600</v>
          </cell>
          <cell r="AV211"/>
          <cell r="AX211" t="str">
            <v>Cancel</v>
          </cell>
          <cell r="AY211"/>
          <cell r="AZ211"/>
          <cell r="BA211" t="str">
            <v>Cancel</v>
          </cell>
          <cell r="BB211" t="str">
            <v>2018-10-23通知</v>
          </cell>
        </row>
        <row r="212">
          <cell r="B212">
            <v>94</v>
          </cell>
          <cell r="C212" t="str">
            <v>C49SZX20180092LC</v>
          </cell>
          <cell r="D212" t="str">
            <v>FYT飞业泰</v>
          </cell>
          <cell r="E212" t="str">
            <v>YSM10</v>
          </cell>
          <cell r="F212" t="str">
            <v>NA</v>
          </cell>
          <cell r="G212" t="e">
            <v>#REF!</v>
          </cell>
          <cell r="H212" t="e">
            <v>#REF!</v>
          </cell>
          <cell r="I212" t="str">
            <v>R-&gt;L</v>
          </cell>
          <cell r="J212" t="str">
            <v>No</v>
          </cell>
          <cell r="K212">
            <v>1</v>
          </cell>
          <cell r="L212" t="str">
            <v>取消</v>
          </cell>
          <cell r="M212" t="e">
            <v>#N/A</v>
          </cell>
          <cell r="N212"/>
          <cell r="O212"/>
          <cell r="P212"/>
          <cell r="Q212"/>
          <cell r="R212" t="str">
            <v>Yes</v>
          </cell>
          <cell r="S212" t="str">
            <v>C49</v>
          </cell>
          <cell r="T212" t="str">
            <v>SOUTH</v>
          </cell>
          <cell r="U212" t="str">
            <v>深圳</v>
          </cell>
          <cell r="V212" t="str">
            <v>SZ 深圳</v>
          </cell>
          <cell r="W212" t="str">
            <v>LC</v>
          </cell>
          <cell r="X212" t="str">
            <v>JPY</v>
          </cell>
          <cell r="Y212">
            <v>10216000</v>
          </cell>
          <cell r="Z212">
            <v>1</v>
          </cell>
          <cell r="AA212">
            <v>10216000</v>
          </cell>
          <cell r="AB212">
            <v>7.3400000000000007E-2</v>
          </cell>
          <cell r="AC212">
            <v>749854.4</v>
          </cell>
          <cell r="AD212">
            <v>89982.528000000006</v>
          </cell>
          <cell r="AE212">
            <v>0.12</v>
          </cell>
          <cell r="AF212">
            <v>43251</v>
          </cell>
          <cell r="AG212" t="str">
            <v>DAP SZ</v>
          </cell>
          <cell r="AH212" t="str">
            <v>电梯</v>
          </cell>
          <cell r="AI212"/>
          <cell r="AJ212"/>
          <cell r="AK212">
            <v>0.2</v>
          </cell>
          <cell r="AL212">
            <v>2043200</v>
          </cell>
          <cell r="AM212"/>
          <cell r="AN212" t="str">
            <v>No</v>
          </cell>
          <cell r="AO212">
            <v>0.7</v>
          </cell>
          <cell r="AP212">
            <v>7151200</v>
          </cell>
          <cell r="AQ212"/>
          <cell r="AR212"/>
          <cell r="AS212">
            <v>0.1</v>
          </cell>
          <cell r="AT212">
            <v>1021600</v>
          </cell>
          <cell r="AV212"/>
          <cell r="AX212" t="str">
            <v>Cancel</v>
          </cell>
          <cell r="AY212"/>
          <cell r="AZ212"/>
          <cell r="BA212" t="str">
            <v>Cancel</v>
          </cell>
          <cell r="BB212" t="str">
            <v>2018-10-23通知</v>
          </cell>
        </row>
        <row r="213">
          <cell r="B213">
            <v>95</v>
          </cell>
          <cell r="C213" t="str">
            <v>C49SZX20180092LC</v>
          </cell>
          <cell r="D213" t="str">
            <v>FYT飞业泰</v>
          </cell>
          <cell r="E213" t="str">
            <v>YSM10</v>
          </cell>
          <cell r="F213" t="str">
            <v>NA</v>
          </cell>
          <cell r="G213" t="e">
            <v>#REF!</v>
          </cell>
          <cell r="H213" t="e">
            <v>#REF!</v>
          </cell>
          <cell r="I213" t="str">
            <v>R-&gt;L</v>
          </cell>
          <cell r="J213" t="str">
            <v>No</v>
          </cell>
          <cell r="K213">
            <v>1</v>
          </cell>
          <cell r="L213" t="str">
            <v>取消</v>
          </cell>
          <cell r="M213" t="e">
            <v>#N/A</v>
          </cell>
          <cell r="N213"/>
          <cell r="O213"/>
          <cell r="P213"/>
          <cell r="Q213"/>
          <cell r="R213" t="str">
            <v>Yes</v>
          </cell>
          <cell r="S213" t="str">
            <v>C49</v>
          </cell>
          <cell r="T213" t="str">
            <v>SOUTH</v>
          </cell>
          <cell r="U213" t="str">
            <v>深圳</v>
          </cell>
          <cell r="V213" t="str">
            <v>SZ 深圳</v>
          </cell>
          <cell r="W213" t="str">
            <v>LC</v>
          </cell>
          <cell r="X213" t="str">
            <v>JPY</v>
          </cell>
          <cell r="Y213">
            <v>10216000</v>
          </cell>
          <cell r="Z213">
            <v>1</v>
          </cell>
          <cell r="AA213">
            <v>10216000</v>
          </cell>
          <cell r="AB213">
            <v>7.3400000000000007E-2</v>
          </cell>
          <cell r="AC213">
            <v>749854.4</v>
          </cell>
          <cell r="AD213">
            <v>89982.528000000006</v>
          </cell>
          <cell r="AE213">
            <v>0.12</v>
          </cell>
          <cell r="AF213">
            <v>43251</v>
          </cell>
          <cell r="AG213" t="str">
            <v>DAP SZ</v>
          </cell>
          <cell r="AH213" t="str">
            <v>电梯</v>
          </cell>
          <cell r="AI213"/>
          <cell r="AJ213"/>
          <cell r="AK213">
            <v>0.2</v>
          </cell>
          <cell r="AL213">
            <v>2043200</v>
          </cell>
          <cell r="AM213"/>
          <cell r="AN213" t="str">
            <v>No</v>
          </cell>
          <cell r="AO213">
            <v>0.7</v>
          </cell>
          <cell r="AP213">
            <v>7151200</v>
          </cell>
          <cell r="AQ213"/>
          <cell r="AR213"/>
          <cell r="AS213">
            <v>0.1</v>
          </cell>
          <cell r="AT213">
            <v>1021600</v>
          </cell>
          <cell r="AV213"/>
          <cell r="AX213" t="str">
            <v>Cancel</v>
          </cell>
          <cell r="AY213"/>
          <cell r="AZ213"/>
          <cell r="BA213" t="str">
            <v>Cancel</v>
          </cell>
          <cell r="BB213" t="str">
            <v>2018-10-23通知</v>
          </cell>
        </row>
        <row r="214">
          <cell r="B214"/>
          <cell r="C214" t="str">
            <v>C49SZX20180095SS</v>
          </cell>
          <cell r="D214" t="str">
            <v>中禾旭</v>
          </cell>
          <cell r="E214" t="str">
            <v>YSM10</v>
          </cell>
          <cell r="F214" t="str">
            <v>NA</v>
          </cell>
          <cell r="G214" t="e">
            <v>#REF!</v>
          </cell>
          <cell r="H214" t="e">
            <v>#REF!</v>
          </cell>
          <cell r="K214">
            <v>1</v>
          </cell>
          <cell r="L214" t="str">
            <v>已经送货</v>
          </cell>
          <cell r="M214" t="str">
            <v>JUL 18</v>
          </cell>
          <cell r="O214">
            <v>11116161</v>
          </cell>
          <cell r="P214">
            <v>9090000</v>
          </cell>
          <cell r="Q214">
            <v>43282</v>
          </cell>
          <cell r="R214" t="str">
            <v>Yes</v>
          </cell>
          <cell r="S214" t="str">
            <v>C49</v>
          </cell>
          <cell r="T214" t="str">
            <v>SOUTH</v>
          </cell>
          <cell r="U214" t="str">
            <v>深圳</v>
          </cell>
          <cell r="V214" t="str">
            <v>SZ 深圳</v>
          </cell>
          <cell r="W214" t="str">
            <v>SS</v>
          </cell>
          <cell r="X214" t="str">
            <v>JPY</v>
          </cell>
          <cell r="Y214">
            <v>9090000</v>
          </cell>
          <cell r="Z214">
            <v>1</v>
          </cell>
          <cell r="AA214">
            <v>9090000</v>
          </cell>
          <cell r="AB214">
            <v>7.3599999999999999E-2</v>
          </cell>
          <cell r="AC214">
            <v>669024</v>
          </cell>
          <cell r="AD214">
            <v>80282.87999999999</v>
          </cell>
          <cell r="AE214">
            <v>0.12</v>
          </cell>
          <cell r="AF214">
            <v>43257</v>
          </cell>
          <cell r="AG214" t="str">
            <v>DAP SZ</v>
          </cell>
          <cell r="AH214" t="str">
            <v>吊装2楼</v>
          </cell>
          <cell r="AI214"/>
          <cell r="AJ214"/>
          <cell r="AK214" t="str">
            <v>agree</v>
          </cell>
          <cell r="AL214">
            <v>1700000</v>
          </cell>
          <cell r="AM214">
            <v>43252</v>
          </cell>
          <cell r="AN214" t="str">
            <v>Yes</v>
          </cell>
          <cell r="AO214" t="str">
            <v>agree</v>
          </cell>
          <cell r="AP214">
            <v>7390000</v>
          </cell>
          <cell r="AQ214">
            <v>43282</v>
          </cell>
          <cell r="AR214">
            <v>43299</v>
          </cell>
          <cell r="AS214">
            <v>0.8</v>
          </cell>
          <cell r="AT214">
            <v>7272000</v>
          </cell>
          <cell r="AV214"/>
          <cell r="AY214"/>
          <cell r="AZ214" t="str">
            <v>Y</v>
          </cell>
          <cell r="BA214" t="str">
            <v>Yes</v>
          </cell>
        </row>
        <row r="215">
          <cell r="B215"/>
          <cell r="C215" t="str">
            <v>C49SZX20180097SS</v>
          </cell>
          <cell r="D215" t="str">
            <v>新佰浚</v>
          </cell>
          <cell r="E215" t="str">
            <v>YSM10</v>
          </cell>
          <cell r="F215" t="str">
            <v>NA</v>
          </cell>
          <cell r="G215" t="e">
            <v>#REF!</v>
          </cell>
          <cell r="H215" t="e">
            <v>#REF!</v>
          </cell>
          <cell r="I215"/>
          <cell r="J215"/>
          <cell r="K215">
            <v>1</v>
          </cell>
          <cell r="L215" t="str">
            <v>取消</v>
          </cell>
          <cell r="M215"/>
          <cell r="N215"/>
          <cell r="O215"/>
          <cell r="P215"/>
          <cell r="Q215"/>
          <cell r="R215" t="str">
            <v>Yes</v>
          </cell>
          <cell r="S215" t="str">
            <v>C49</v>
          </cell>
          <cell r="T215" t="str">
            <v>SOUTH</v>
          </cell>
          <cell r="U215" t="str">
            <v>深圳</v>
          </cell>
          <cell r="V215" t="str">
            <v>SZ 深圳</v>
          </cell>
          <cell r="W215" t="str">
            <v>SS</v>
          </cell>
          <cell r="X215" t="str">
            <v>JPY</v>
          </cell>
          <cell r="Y215">
            <v>10460000</v>
          </cell>
          <cell r="Z215">
            <v>1</v>
          </cell>
          <cell r="AA215">
            <v>10460000</v>
          </cell>
          <cell r="AB215">
            <v>7.3599999999999999E-2</v>
          </cell>
          <cell r="AC215">
            <v>769856</v>
          </cell>
          <cell r="AD215">
            <v>92382.720000000001</v>
          </cell>
          <cell r="AE215">
            <v>0.12</v>
          </cell>
          <cell r="AF215">
            <v>43258</v>
          </cell>
          <cell r="AG215" t="str">
            <v>DAP SZ</v>
          </cell>
          <cell r="AH215"/>
          <cell r="AI215"/>
          <cell r="AJ215"/>
          <cell r="AK215">
            <v>0.2</v>
          </cell>
          <cell r="AL215">
            <v>2092000</v>
          </cell>
          <cell r="AM215"/>
          <cell r="AN215"/>
          <cell r="AO215">
            <v>0.8</v>
          </cell>
          <cell r="AP215">
            <v>8368000</v>
          </cell>
          <cell r="AQ215"/>
          <cell r="AR215"/>
          <cell r="AS215">
            <v>0</v>
          </cell>
          <cell r="AT215">
            <v>0</v>
          </cell>
          <cell r="AU215"/>
          <cell r="AV215"/>
          <cell r="AW215"/>
          <cell r="AX215" t="str">
            <v>Cancel</v>
          </cell>
          <cell r="AY215"/>
          <cell r="AZ215"/>
          <cell r="BA215" t="str">
            <v>Cancel</v>
          </cell>
          <cell r="BB215"/>
        </row>
        <row r="216">
          <cell r="B216"/>
          <cell r="C216" t="str">
            <v>C49SZX20180097SS</v>
          </cell>
          <cell r="D216" t="str">
            <v>新佰浚</v>
          </cell>
          <cell r="E216" t="str">
            <v>YSM10</v>
          </cell>
          <cell r="F216" t="str">
            <v>NA</v>
          </cell>
          <cell r="G216" t="e">
            <v>#REF!</v>
          </cell>
          <cell r="H216" t="e">
            <v>#REF!</v>
          </cell>
          <cell r="I216"/>
          <cell r="J216"/>
          <cell r="K216">
            <v>1</v>
          </cell>
          <cell r="L216" t="str">
            <v>取消</v>
          </cell>
          <cell r="M216">
            <v>43374</v>
          </cell>
          <cell r="N216"/>
          <cell r="O216"/>
          <cell r="P216"/>
          <cell r="Q216"/>
          <cell r="R216" t="str">
            <v>Yes</v>
          </cell>
          <cell r="S216" t="str">
            <v>C49</v>
          </cell>
          <cell r="T216" t="str">
            <v>SOUTH</v>
          </cell>
          <cell r="U216" t="str">
            <v>深圳</v>
          </cell>
          <cell r="V216" t="str">
            <v>SZ 深圳</v>
          </cell>
          <cell r="W216" t="str">
            <v>SS</v>
          </cell>
          <cell r="X216" t="str">
            <v>JPY</v>
          </cell>
          <cell r="Y216">
            <v>10460000</v>
          </cell>
          <cell r="Z216">
            <v>1</v>
          </cell>
          <cell r="AA216">
            <v>10460000</v>
          </cell>
          <cell r="AB216">
            <v>7.3599999999999999E-2</v>
          </cell>
          <cell r="AC216">
            <v>769856</v>
          </cell>
          <cell r="AD216">
            <v>92382.720000000001</v>
          </cell>
          <cell r="AE216">
            <v>0.12</v>
          </cell>
          <cell r="AF216">
            <v>43258</v>
          </cell>
          <cell r="AG216" t="str">
            <v>DAP SZ</v>
          </cell>
          <cell r="AH216"/>
          <cell r="AI216"/>
          <cell r="AJ216"/>
          <cell r="AK216">
            <v>0.2</v>
          </cell>
          <cell r="AL216">
            <v>2092000</v>
          </cell>
          <cell r="AM216"/>
          <cell r="AN216"/>
          <cell r="AO216">
            <v>0.8</v>
          </cell>
          <cell r="AP216">
            <v>8368000</v>
          </cell>
          <cell r="AQ216"/>
          <cell r="AR216"/>
          <cell r="AS216">
            <v>0</v>
          </cell>
          <cell r="AT216">
            <v>0</v>
          </cell>
          <cell r="AU216"/>
          <cell r="AV216"/>
          <cell r="AW216"/>
          <cell r="AX216" t="str">
            <v>Cancel</v>
          </cell>
          <cell r="AY216"/>
          <cell r="AZ216"/>
          <cell r="BA216" t="str">
            <v>Cancel</v>
          </cell>
          <cell r="BB216"/>
        </row>
        <row r="217">
          <cell r="B217"/>
          <cell r="C217" t="str">
            <v>C49SZX20180098SX</v>
          </cell>
          <cell r="D217" t="str">
            <v>凯瑞丰</v>
          </cell>
          <cell r="E217" t="str">
            <v>YSM10</v>
          </cell>
          <cell r="F217" t="str">
            <v>NA</v>
          </cell>
          <cell r="G217" t="e">
            <v>#REF!</v>
          </cell>
          <cell r="H217" t="e">
            <v>#REF!</v>
          </cell>
          <cell r="K217">
            <v>1</v>
          </cell>
          <cell r="L217" t="str">
            <v>已经送货</v>
          </cell>
          <cell r="M217" t="str">
            <v>JUL 18</v>
          </cell>
          <cell r="O217">
            <v>11116168</v>
          </cell>
          <cell r="P217">
            <v>9116260</v>
          </cell>
          <cell r="Q217">
            <v>43282</v>
          </cell>
          <cell r="R217" t="str">
            <v>Yes</v>
          </cell>
          <cell r="S217" t="str">
            <v>C49</v>
          </cell>
          <cell r="T217" t="str">
            <v>SOUTH</v>
          </cell>
          <cell r="U217" t="str">
            <v>深圳</v>
          </cell>
          <cell r="V217" t="str">
            <v>SZ 深圳</v>
          </cell>
          <cell r="W217" t="str">
            <v>SX</v>
          </cell>
          <cell r="X217" t="str">
            <v>JPY</v>
          </cell>
          <cell r="Y217">
            <v>9116260</v>
          </cell>
          <cell r="Z217">
            <v>1</v>
          </cell>
          <cell r="AA217">
            <v>9116260</v>
          </cell>
          <cell r="AB217">
            <v>7.3599999999999999E-2</v>
          </cell>
          <cell r="AC217">
            <v>670956.73600000003</v>
          </cell>
          <cell r="AD217">
            <v>80514.808319999996</v>
          </cell>
          <cell r="AE217">
            <v>0.12</v>
          </cell>
          <cell r="AF217">
            <v>43257</v>
          </cell>
          <cell r="AG217" t="str">
            <v>DAP SZ</v>
          </cell>
          <cell r="AH217" t="str">
            <v>电梯</v>
          </cell>
          <cell r="AI217">
            <v>50000</v>
          </cell>
          <cell r="AJ217" t="str">
            <v>20180615</v>
          </cell>
          <cell r="AK217">
            <v>1</v>
          </cell>
          <cell r="AL217">
            <v>9116260</v>
          </cell>
          <cell r="AM217">
            <v>43282</v>
          </cell>
          <cell r="AN217" t="str">
            <v>Yes</v>
          </cell>
          <cell r="AO217" t="str">
            <v>complete</v>
          </cell>
          <cell r="AP217"/>
          <cell r="AR217"/>
          <cell r="AS217"/>
          <cell r="AT217">
            <v>0</v>
          </cell>
          <cell r="AV217"/>
          <cell r="AX217" t="str">
            <v>Yes</v>
          </cell>
          <cell r="AY217"/>
          <cell r="AZ217" t="str">
            <v>Y</v>
          </cell>
          <cell r="BA217" t="str">
            <v>Yes</v>
          </cell>
        </row>
        <row r="218">
          <cell r="B218"/>
          <cell r="C218" t="str">
            <v>C49SZX20180099JY</v>
          </cell>
          <cell r="D218" t="str">
            <v>Mingze 明泽/诚泰科</v>
          </cell>
          <cell r="E218" t="str">
            <v>YSM10</v>
          </cell>
          <cell r="F218" t="str">
            <v>NA</v>
          </cell>
          <cell r="G218" t="e">
            <v>#REF!</v>
          </cell>
          <cell r="H218" t="e">
            <v>#REF!</v>
          </cell>
          <cell r="I218"/>
          <cell r="J218"/>
          <cell r="K218">
            <v>1</v>
          </cell>
          <cell r="L218" t="str">
            <v>已经送货</v>
          </cell>
          <cell r="M218" t="str">
            <v>2018/6</v>
          </cell>
          <cell r="N218"/>
          <cell r="O218">
            <v>11116120</v>
          </cell>
          <cell r="P218">
            <v>9651240</v>
          </cell>
          <cell r="Q218">
            <v>43252</v>
          </cell>
          <cell r="R218" t="str">
            <v>No</v>
          </cell>
          <cell r="S218" t="str">
            <v>C49</v>
          </cell>
          <cell r="T218" t="str">
            <v>SOUTH</v>
          </cell>
          <cell r="U218" t="str">
            <v>深圳</v>
          </cell>
          <cell r="V218" t="str">
            <v>SZ 深圳</v>
          </cell>
          <cell r="W218" t="str">
            <v>JY</v>
          </cell>
          <cell r="X218" t="str">
            <v>JPY</v>
          </cell>
          <cell r="Y218">
            <v>9651240</v>
          </cell>
          <cell r="Z218">
            <v>1</v>
          </cell>
          <cell r="AA218">
            <v>9651240</v>
          </cell>
          <cell r="AB218">
            <v>7.51E-2</v>
          </cell>
          <cell r="AC218">
            <v>724808.12399999995</v>
          </cell>
          <cell r="AD218">
            <v>86976.974879999994</v>
          </cell>
          <cell r="AE218">
            <v>0.12</v>
          </cell>
          <cell r="AF218">
            <v>43208</v>
          </cell>
          <cell r="AG218" t="str">
            <v>DAP</v>
          </cell>
          <cell r="AH218"/>
          <cell r="AI218">
            <v>100000</v>
          </cell>
          <cell r="AJ218" t="str">
            <v>20180420</v>
          </cell>
          <cell r="AK218">
            <v>1</v>
          </cell>
          <cell r="AL218">
            <v>9651240</v>
          </cell>
          <cell r="AM218">
            <v>43252</v>
          </cell>
          <cell r="AN218" t="str">
            <v>Yes</v>
          </cell>
          <cell r="AO218">
            <v>0</v>
          </cell>
          <cell r="AP218">
            <v>0</v>
          </cell>
          <cell r="AQ218"/>
          <cell r="AR218"/>
          <cell r="AS218">
            <v>0</v>
          </cell>
          <cell r="AT218">
            <v>0</v>
          </cell>
          <cell r="AU218"/>
          <cell r="AV218"/>
          <cell r="AW218"/>
          <cell r="AX218" t="str">
            <v>Yes</v>
          </cell>
          <cell r="AY218"/>
          <cell r="AZ218" t="str">
            <v>Y</v>
          </cell>
          <cell r="BA218" t="str">
            <v>Yes</v>
          </cell>
          <cell r="BB218"/>
        </row>
        <row r="219">
          <cell r="B219"/>
          <cell r="C219" t="str">
            <v>C49SZX20180100SS</v>
          </cell>
          <cell r="D219" t="str">
            <v>MUMUMING炑炑明</v>
          </cell>
          <cell r="E219" t="str">
            <v>YS12F</v>
          </cell>
          <cell r="F219" t="str">
            <v>NA</v>
          </cell>
          <cell r="G219" t="e">
            <v>#REF!</v>
          </cell>
          <cell r="H219" t="e">
            <v>#REF!</v>
          </cell>
          <cell r="K219">
            <v>1</v>
          </cell>
          <cell r="L219" t="str">
            <v>已经送货</v>
          </cell>
          <cell r="M219" t="str">
            <v>2018/5</v>
          </cell>
          <cell r="O219">
            <v>11100254</v>
          </cell>
          <cell r="P219">
            <v>554640</v>
          </cell>
          <cell r="Q219">
            <v>43221</v>
          </cell>
          <cell r="R219" t="str">
            <v>Yes</v>
          </cell>
          <cell r="S219" t="str">
            <v>C49</v>
          </cell>
          <cell r="T219" t="str">
            <v>SOUTH</v>
          </cell>
          <cell r="U219" t="str">
            <v>深圳</v>
          </cell>
          <cell r="V219" t="str">
            <v>SZ 深圳</v>
          </cell>
          <cell r="W219" t="str">
            <v>SS</v>
          </cell>
          <cell r="X219" t="str">
            <v>RMB</v>
          </cell>
          <cell r="Y219">
            <v>554640</v>
          </cell>
          <cell r="Z219">
            <v>1.1599999999999999</v>
          </cell>
          <cell r="AA219">
            <v>554640</v>
          </cell>
          <cell r="AB219">
            <v>1.23</v>
          </cell>
          <cell r="AC219">
            <v>588109.6551724138</v>
          </cell>
          <cell r="AD219">
            <v>70573.158620689646</v>
          </cell>
          <cell r="AE219">
            <v>0.12</v>
          </cell>
          <cell r="AF219">
            <v>43236</v>
          </cell>
          <cell r="AG219" t="str">
            <v>DDP SZ</v>
          </cell>
          <cell r="AH219" t="str">
            <v>吊装3楼</v>
          </cell>
          <cell r="AI219"/>
          <cell r="AJ219"/>
          <cell r="AK219">
            <v>1</v>
          </cell>
          <cell r="AL219">
            <v>554640</v>
          </cell>
          <cell r="AM219">
            <v>43221</v>
          </cell>
          <cell r="AN219" t="str">
            <v>Yes</v>
          </cell>
          <cell r="AO219">
            <v>0</v>
          </cell>
          <cell r="AP219">
            <v>0</v>
          </cell>
          <cell r="AR219"/>
          <cell r="AS219">
            <v>0</v>
          </cell>
          <cell r="AT219">
            <v>0</v>
          </cell>
          <cell r="AV219"/>
          <cell r="AX219" t="str">
            <v>Yes</v>
          </cell>
          <cell r="AY219"/>
          <cell r="AZ219" t="str">
            <v>Y</v>
          </cell>
          <cell r="BA219" t="str">
            <v>Yes</v>
          </cell>
        </row>
        <row r="220">
          <cell r="B220">
            <v>96</v>
          </cell>
          <cell r="C220" t="str">
            <v>C49SZX20180101JL</v>
          </cell>
          <cell r="D220" t="str">
            <v>易而达</v>
          </cell>
          <cell r="E220" t="str">
            <v>YSM20-2</v>
          </cell>
          <cell r="F220" t="str">
            <v>NA</v>
          </cell>
          <cell r="G220" t="e">
            <v>#REF!</v>
          </cell>
          <cell r="H220" t="e">
            <v>#REF!</v>
          </cell>
          <cell r="I220" t="str">
            <v>L-&gt;R</v>
          </cell>
          <cell r="J220" t="str">
            <v>cATS10+MVC+special layout</v>
          </cell>
          <cell r="K220">
            <v>1</v>
          </cell>
          <cell r="L220">
            <v>109382</v>
          </cell>
          <cell r="M220" t="str">
            <v>OCT 18</v>
          </cell>
          <cell r="O220">
            <v>11116219</v>
          </cell>
          <cell r="P220">
            <v>15200000</v>
          </cell>
          <cell r="Q220">
            <v>43374</v>
          </cell>
          <cell r="R220" t="str">
            <v>Yes</v>
          </cell>
          <cell r="S220" t="str">
            <v>C49</v>
          </cell>
          <cell r="T220" t="str">
            <v>SOUTH</v>
          </cell>
          <cell r="U220" t="str">
            <v>广州</v>
          </cell>
          <cell r="V220" t="str">
            <v>SZ 深圳</v>
          </cell>
          <cell r="W220" t="str">
            <v>JL</v>
          </cell>
          <cell r="X220" t="str">
            <v>JPY</v>
          </cell>
          <cell r="Y220">
            <v>15200000</v>
          </cell>
          <cell r="Z220">
            <v>1</v>
          </cell>
          <cell r="AA220">
            <v>15200000</v>
          </cell>
          <cell r="AB220">
            <v>7.3599999999999999E-2</v>
          </cell>
          <cell r="AC220">
            <v>1118720</v>
          </cell>
          <cell r="AD220">
            <v>134246.39999999999</v>
          </cell>
          <cell r="AE220">
            <v>0.12</v>
          </cell>
          <cell r="AF220">
            <v>43266</v>
          </cell>
          <cell r="AG220" t="str">
            <v>DAP 广州</v>
          </cell>
          <cell r="AH220" t="str">
            <v>电梯</v>
          </cell>
          <cell r="AI220"/>
          <cell r="AJ220"/>
          <cell r="AK220">
            <v>0.3</v>
          </cell>
          <cell r="AL220">
            <v>4560000</v>
          </cell>
          <cell r="AM220">
            <v>43252</v>
          </cell>
          <cell r="AN220" t="str">
            <v>Yes</v>
          </cell>
          <cell r="AO220">
            <v>0.7</v>
          </cell>
          <cell r="AP220">
            <v>10640000</v>
          </cell>
          <cell r="AQ220">
            <v>43374</v>
          </cell>
          <cell r="AR220">
            <v>43391</v>
          </cell>
          <cell r="AS220" t="str">
            <v>complete</v>
          </cell>
          <cell r="AT220" t="e">
            <v>#VALUE!</v>
          </cell>
          <cell r="AV220"/>
          <cell r="AX220" t="str">
            <v>Yes</v>
          </cell>
          <cell r="AY220"/>
          <cell r="BA220" t="str">
            <v>Yes</v>
          </cell>
        </row>
        <row r="221">
          <cell r="B221">
            <v>97</v>
          </cell>
          <cell r="C221" t="str">
            <v>C49SZX20180101JL</v>
          </cell>
          <cell r="D221" t="str">
            <v>易而达</v>
          </cell>
          <cell r="E221" t="str">
            <v>YSM20-2</v>
          </cell>
          <cell r="F221" t="str">
            <v>NA</v>
          </cell>
          <cell r="G221" t="e">
            <v>#REF!</v>
          </cell>
          <cell r="H221" t="e">
            <v>#REF!</v>
          </cell>
          <cell r="I221" t="str">
            <v>L-&gt;R</v>
          </cell>
          <cell r="J221" t="str">
            <v>No</v>
          </cell>
          <cell r="K221">
            <v>1</v>
          </cell>
          <cell r="L221">
            <v>109382</v>
          </cell>
          <cell r="M221" t="str">
            <v>OCT 18</v>
          </cell>
          <cell r="O221">
            <v>11116219</v>
          </cell>
          <cell r="P221">
            <v>15200000</v>
          </cell>
          <cell r="Q221">
            <v>43374</v>
          </cell>
          <cell r="R221" t="str">
            <v>Yes</v>
          </cell>
          <cell r="S221" t="str">
            <v>C49</v>
          </cell>
          <cell r="T221" t="str">
            <v>SOUTH</v>
          </cell>
          <cell r="U221" t="str">
            <v>广州</v>
          </cell>
          <cell r="V221" t="str">
            <v>SZ 深圳</v>
          </cell>
          <cell r="W221" t="str">
            <v>JL</v>
          </cell>
          <cell r="X221" t="str">
            <v>JPY</v>
          </cell>
          <cell r="Y221">
            <v>15200000</v>
          </cell>
          <cell r="Z221">
            <v>1</v>
          </cell>
          <cell r="AA221">
            <v>15200000</v>
          </cell>
          <cell r="AB221">
            <v>7.3599999999999999E-2</v>
          </cell>
          <cell r="AC221">
            <v>1118720</v>
          </cell>
          <cell r="AD221">
            <v>134246.39999999999</v>
          </cell>
          <cell r="AE221">
            <v>0.12</v>
          </cell>
          <cell r="AF221">
            <v>43266</v>
          </cell>
          <cell r="AG221" t="str">
            <v>DAP 广州</v>
          </cell>
          <cell r="AH221" t="str">
            <v>电梯</v>
          </cell>
          <cell r="AI221"/>
          <cell r="AJ221"/>
          <cell r="AK221">
            <v>0.3</v>
          </cell>
          <cell r="AL221">
            <v>4560000</v>
          </cell>
          <cell r="AM221">
            <v>43252</v>
          </cell>
          <cell r="AN221" t="str">
            <v>Yes</v>
          </cell>
          <cell r="AO221">
            <v>0.7</v>
          </cell>
          <cell r="AP221">
            <v>10640000</v>
          </cell>
          <cell r="AQ221">
            <v>43374</v>
          </cell>
          <cell r="AR221">
            <v>43391</v>
          </cell>
          <cell r="AS221" t="str">
            <v>complete</v>
          </cell>
          <cell r="AT221" t="e">
            <v>#VALUE!</v>
          </cell>
          <cell r="AV221"/>
          <cell r="AX221" t="str">
            <v>Yes</v>
          </cell>
          <cell r="AY221"/>
          <cell r="BA221" t="str">
            <v>Yes</v>
          </cell>
        </row>
        <row r="222">
          <cell r="B222">
            <v>98</v>
          </cell>
          <cell r="C222" t="str">
            <v>C49SZX20180102JL</v>
          </cell>
          <cell r="D222" t="str">
            <v>易而达</v>
          </cell>
          <cell r="E222" t="str">
            <v>YSM20-2</v>
          </cell>
          <cell r="F222" t="str">
            <v>NA</v>
          </cell>
          <cell r="G222" t="e">
            <v>#REF!</v>
          </cell>
          <cell r="H222" t="e">
            <v>#REF!</v>
          </cell>
          <cell r="I222" t="str">
            <v>L-&gt;R</v>
          </cell>
          <cell r="J222" t="str">
            <v>cATS10+MVC+special layout</v>
          </cell>
          <cell r="K222">
            <v>1</v>
          </cell>
          <cell r="L222">
            <v>109202</v>
          </cell>
          <cell r="M222" t="str">
            <v>DEC 18</v>
          </cell>
          <cell r="O222">
            <v>11116243</v>
          </cell>
          <cell r="P222">
            <v>14670000</v>
          </cell>
          <cell r="Q222">
            <v>43435</v>
          </cell>
          <cell r="R222" t="str">
            <v>Yes</v>
          </cell>
          <cell r="S222" t="str">
            <v>C49</v>
          </cell>
          <cell r="T222" t="str">
            <v>SOUTH</v>
          </cell>
          <cell r="U222" t="str">
            <v>广州</v>
          </cell>
          <cell r="V222" t="str">
            <v>SZ 深圳</v>
          </cell>
          <cell r="W222" t="str">
            <v>JL</v>
          </cell>
          <cell r="X222" t="str">
            <v>JPY</v>
          </cell>
          <cell r="Y222">
            <v>14670000</v>
          </cell>
          <cell r="Z222">
            <v>1</v>
          </cell>
          <cell r="AA222">
            <v>14670000</v>
          </cell>
          <cell r="AB222">
            <v>7.3599999999999999E-2</v>
          </cell>
          <cell r="AC222">
            <v>1079712</v>
          </cell>
          <cell r="AD222">
            <v>129565.44</v>
          </cell>
          <cell r="AE222">
            <v>0.12</v>
          </cell>
          <cell r="AF222">
            <v>43266</v>
          </cell>
          <cell r="AG222" t="str">
            <v>DAP 广州</v>
          </cell>
          <cell r="AH222" t="str">
            <v>电梯</v>
          </cell>
          <cell r="AI222"/>
          <cell r="AJ222"/>
          <cell r="AK222">
            <v>0.1</v>
          </cell>
          <cell r="AL222">
            <v>1467000</v>
          </cell>
          <cell r="AM222">
            <v>43252</v>
          </cell>
          <cell r="AN222" t="str">
            <v>Yes</v>
          </cell>
          <cell r="AO222">
            <v>0.9</v>
          </cell>
          <cell r="AP222">
            <v>13203000</v>
          </cell>
          <cell r="AQ222">
            <v>43435</v>
          </cell>
          <cell r="AR222">
            <v>43451</v>
          </cell>
          <cell r="AS222" t="str">
            <v>complete</v>
          </cell>
          <cell r="AT222" t="e">
            <v>#VALUE!</v>
          </cell>
          <cell r="AV222"/>
          <cell r="AX222" t="str">
            <v>Yes</v>
          </cell>
          <cell r="AY222"/>
          <cell r="BA222" t="str">
            <v>Yes</v>
          </cell>
        </row>
        <row r="223">
          <cell r="B223">
            <v>99</v>
          </cell>
          <cell r="C223" t="str">
            <v>C49SZX20180102JL</v>
          </cell>
          <cell r="D223" t="str">
            <v>易而达</v>
          </cell>
          <cell r="E223" t="str">
            <v>YSM20-2</v>
          </cell>
          <cell r="F223" t="str">
            <v>NA</v>
          </cell>
          <cell r="G223" t="e">
            <v>#REF!</v>
          </cell>
          <cell r="H223" t="e">
            <v>#REF!</v>
          </cell>
          <cell r="I223" t="str">
            <v>L-&gt;R</v>
          </cell>
          <cell r="J223" t="str">
            <v>No</v>
          </cell>
          <cell r="K223">
            <v>1</v>
          </cell>
          <cell r="L223">
            <v>109352</v>
          </cell>
          <cell r="M223" t="str">
            <v>DEC 18</v>
          </cell>
          <cell r="O223">
            <v>11116243</v>
          </cell>
          <cell r="P223">
            <v>14670000</v>
          </cell>
          <cell r="Q223">
            <v>43435</v>
          </cell>
          <cell r="R223" t="str">
            <v>Yes</v>
          </cell>
          <cell r="S223" t="str">
            <v>C49</v>
          </cell>
          <cell r="T223" t="str">
            <v>SOUTH</v>
          </cell>
          <cell r="U223" t="str">
            <v>广州</v>
          </cell>
          <cell r="V223" t="str">
            <v>SZ 深圳</v>
          </cell>
          <cell r="W223" t="str">
            <v>JL</v>
          </cell>
          <cell r="X223" t="str">
            <v>JPY</v>
          </cell>
          <cell r="Y223">
            <v>14670000</v>
          </cell>
          <cell r="Z223">
            <v>1</v>
          </cell>
          <cell r="AA223">
            <v>14670000</v>
          </cell>
          <cell r="AB223">
            <v>7.3599999999999999E-2</v>
          </cell>
          <cell r="AC223">
            <v>1079712</v>
          </cell>
          <cell r="AD223">
            <v>129565.44</v>
          </cell>
          <cell r="AE223">
            <v>0.12</v>
          </cell>
          <cell r="AF223">
            <v>43266</v>
          </cell>
          <cell r="AG223" t="str">
            <v>DAP 广州</v>
          </cell>
          <cell r="AH223" t="str">
            <v>电梯</v>
          </cell>
          <cell r="AI223"/>
          <cell r="AJ223"/>
          <cell r="AK223">
            <v>0.1</v>
          </cell>
          <cell r="AL223">
            <v>1467000</v>
          </cell>
          <cell r="AM223">
            <v>43252</v>
          </cell>
          <cell r="AN223" t="str">
            <v>Yes</v>
          </cell>
          <cell r="AO223">
            <v>0.9</v>
          </cell>
          <cell r="AP223">
            <v>13203000</v>
          </cell>
          <cell r="AQ223">
            <v>43435</v>
          </cell>
          <cell r="AR223">
            <v>43451</v>
          </cell>
          <cell r="AS223" t="str">
            <v>complete</v>
          </cell>
          <cell r="AT223" t="e">
            <v>#VALUE!</v>
          </cell>
          <cell r="AV223"/>
          <cell r="AX223" t="str">
            <v>Yes</v>
          </cell>
          <cell r="AY223"/>
          <cell r="BA223" t="str">
            <v>Yes</v>
          </cell>
        </row>
        <row r="224">
          <cell r="B224">
            <v>100</v>
          </cell>
          <cell r="C224" t="str">
            <v>C49SZX20180103MZ</v>
          </cell>
          <cell r="D224" t="str">
            <v>小耳朵</v>
          </cell>
          <cell r="E224" t="str">
            <v>YSM20-2</v>
          </cell>
          <cell r="F224" t="str">
            <v>NA</v>
          </cell>
          <cell r="G224" t="e">
            <v>#REF!</v>
          </cell>
          <cell r="H224" t="e">
            <v>#REF!</v>
          </cell>
          <cell r="I224" t="str">
            <v>L-&gt;R</v>
          </cell>
          <cell r="J224" t="str">
            <v>cATS30+MVC+special layout</v>
          </cell>
          <cell r="K224">
            <v>1</v>
          </cell>
          <cell r="L224">
            <v>109446</v>
          </cell>
          <cell r="M224" t="str">
            <v>FEB 19</v>
          </cell>
          <cell r="O224">
            <v>11116252</v>
          </cell>
          <cell r="P224">
            <v>19700000</v>
          </cell>
          <cell r="Q224">
            <v>43497</v>
          </cell>
          <cell r="R224" t="str">
            <v>No</v>
          </cell>
          <cell r="S224" t="str">
            <v>C49</v>
          </cell>
          <cell r="T224" t="str">
            <v>SOUTH</v>
          </cell>
          <cell r="U224" t="str">
            <v>惠州</v>
          </cell>
          <cell r="V224" t="str">
            <v>SZ 深圳</v>
          </cell>
          <cell r="W224" t="str">
            <v>MZ</v>
          </cell>
          <cell r="X224" t="str">
            <v>JPY</v>
          </cell>
          <cell r="Y224">
            <v>19700000</v>
          </cell>
          <cell r="Z224">
            <v>1</v>
          </cell>
          <cell r="AA224">
            <v>19700000</v>
          </cell>
          <cell r="AB224">
            <v>7.3599999999999999E-2</v>
          </cell>
          <cell r="AC224">
            <v>1449920</v>
          </cell>
          <cell r="AD224">
            <v>173990.39999999999</v>
          </cell>
          <cell r="AE224">
            <v>0.12</v>
          </cell>
          <cell r="AF224">
            <v>43264</v>
          </cell>
          <cell r="AG224" t="str">
            <v>DAP 惠州</v>
          </cell>
          <cell r="AH224" t="str">
            <v>吊装</v>
          </cell>
          <cell r="AI224"/>
          <cell r="AJ224"/>
          <cell r="AK224">
            <v>0.3</v>
          </cell>
          <cell r="AL224">
            <v>5910000</v>
          </cell>
          <cell r="AM224">
            <v>43252</v>
          </cell>
          <cell r="AN224" t="str">
            <v>Yes</v>
          </cell>
          <cell r="AO224">
            <v>0.7</v>
          </cell>
          <cell r="AP224">
            <v>13790000</v>
          </cell>
          <cell r="AQ224">
            <v>43497</v>
          </cell>
          <cell r="AR224">
            <v>43517</v>
          </cell>
          <cell r="AS224" t="str">
            <v>complete</v>
          </cell>
          <cell r="AT224"/>
          <cell r="AV224"/>
          <cell r="AX224" t="str">
            <v>Yes</v>
          </cell>
          <cell r="AY224"/>
          <cell r="AZ224" t="str">
            <v>Y</v>
          </cell>
          <cell r="BA224" t="str">
            <v>Yes</v>
          </cell>
        </row>
        <row r="225">
          <cell r="B225">
            <v>101</v>
          </cell>
          <cell r="C225" t="str">
            <v>C49SZX20180105JY</v>
          </cell>
          <cell r="D225" t="str">
            <v>恒润</v>
          </cell>
          <cell r="E225" t="str">
            <v>YS24</v>
          </cell>
          <cell r="F225" t="str">
            <v>NA</v>
          </cell>
          <cell r="G225" t="e">
            <v>#REF!</v>
          </cell>
          <cell r="H225" t="e">
            <v>#REF!</v>
          </cell>
          <cell r="I225" t="str">
            <v>R-&gt;L</v>
          </cell>
          <cell r="J225" t="str">
            <v>No</v>
          </cell>
          <cell r="K225">
            <v>1</v>
          </cell>
          <cell r="L225">
            <v>109423</v>
          </cell>
          <cell r="M225" t="str">
            <v>DEC 18</v>
          </cell>
          <cell r="O225">
            <v>11116244</v>
          </cell>
          <cell r="P225">
            <v>14250000</v>
          </cell>
          <cell r="Q225">
            <v>43435</v>
          </cell>
          <cell r="R225" t="str">
            <v>No</v>
          </cell>
          <cell r="S225" t="str">
            <v>C49</v>
          </cell>
          <cell r="T225" t="str">
            <v>SOUTH</v>
          </cell>
          <cell r="U225" t="str">
            <v>東莞</v>
          </cell>
          <cell r="V225" t="str">
            <v>SZ 深圳</v>
          </cell>
          <cell r="W225" t="str">
            <v>JY</v>
          </cell>
          <cell r="X225" t="str">
            <v>JPY</v>
          </cell>
          <cell r="Y225">
            <v>14250000</v>
          </cell>
          <cell r="Z225">
            <v>1</v>
          </cell>
          <cell r="AA225">
            <v>14250000</v>
          </cell>
          <cell r="AB225">
            <v>7.3599999999999999E-2</v>
          </cell>
          <cell r="AC225">
            <v>1048800</v>
          </cell>
          <cell r="AD225">
            <v>125856</v>
          </cell>
          <cell r="AE225">
            <v>0.12</v>
          </cell>
          <cell r="AF225">
            <v>43266</v>
          </cell>
          <cell r="AG225" t="str">
            <v>DAP 东莞</v>
          </cell>
          <cell r="AH225"/>
          <cell r="AI225"/>
          <cell r="AJ225"/>
          <cell r="AK225">
            <v>0.3</v>
          </cell>
          <cell r="AL225">
            <v>4275000</v>
          </cell>
          <cell r="AM225">
            <v>43252</v>
          </cell>
          <cell r="AN225" t="str">
            <v>Yes</v>
          </cell>
          <cell r="AO225">
            <v>0.7</v>
          </cell>
          <cell r="AP225">
            <v>9975000</v>
          </cell>
          <cell r="AQ225">
            <v>43435</v>
          </cell>
          <cell r="AR225">
            <v>43452</v>
          </cell>
          <cell r="AS225" t="str">
            <v>complete</v>
          </cell>
          <cell r="AT225" t="e">
            <v>#VALUE!</v>
          </cell>
          <cell r="AV225"/>
          <cell r="AX225" t="str">
            <v>Yes</v>
          </cell>
          <cell r="AY225"/>
          <cell r="AZ225" t="str">
            <v>Y</v>
          </cell>
          <cell r="BA225" t="str">
            <v>Yes</v>
          </cell>
        </row>
        <row r="226">
          <cell r="B226"/>
          <cell r="C226" t="str">
            <v>C49SZX20180105JY</v>
          </cell>
          <cell r="D226" t="str">
            <v>恒润</v>
          </cell>
          <cell r="E226" t="str">
            <v>YSM10</v>
          </cell>
          <cell r="F226" t="str">
            <v>NA</v>
          </cell>
          <cell r="G226" t="e">
            <v>#REF!</v>
          </cell>
          <cell r="H226" t="e">
            <v>#REF!</v>
          </cell>
          <cell r="K226">
            <v>1</v>
          </cell>
          <cell r="L226" t="str">
            <v>已经送货</v>
          </cell>
          <cell r="M226" t="str">
            <v>2018/6</v>
          </cell>
          <cell r="O226">
            <v>11116125</v>
          </cell>
          <cell r="P226">
            <v>12350000</v>
          </cell>
          <cell r="Q226">
            <v>43252</v>
          </cell>
          <cell r="R226" t="str">
            <v>No</v>
          </cell>
          <cell r="S226" t="str">
            <v>C49</v>
          </cell>
          <cell r="T226" t="str">
            <v>SOUTH</v>
          </cell>
          <cell r="U226" t="str">
            <v>東莞</v>
          </cell>
          <cell r="V226" t="str">
            <v>SZ 深圳</v>
          </cell>
          <cell r="W226" t="str">
            <v>JY</v>
          </cell>
          <cell r="X226" t="str">
            <v>JPY</v>
          </cell>
          <cell r="Y226">
            <v>12350000</v>
          </cell>
          <cell r="Z226">
            <v>1</v>
          </cell>
          <cell r="AA226">
            <v>12350000</v>
          </cell>
          <cell r="AB226">
            <v>7.3599999999999999E-2</v>
          </cell>
          <cell r="AC226">
            <v>908960</v>
          </cell>
          <cell r="AD226">
            <v>109075.2</v>
          </cell>
          <cell r="AE226">
            <v>0.12</v>
          </cell>
          <cell r="AF226">
            <v>43266</v>
          </cell>
          <cell r="AG226" t="str">
            <v>DAP 东莞</v>
          </cell>
          <cell r="AH226"/>
          <cell r="AI226"/>
          <cell r="AJ226"/>
          <cell r="AK226">
            <v>1</v>
          </cell>
          <cell r="AL226">
            <v>12350000</v>
          </cell>
          <cell r="AM226">
            <v>43252</v>
          </cell>
          <cell r="AN226" t="str">
            <v>Yes</v>
          </cell>
          <cell r="AO226">
            <v>0</v>
          </cell>
          <cell r="AP226">
            <v>0</v>
          </cell>
          <cell r="AR226"/>
          <cell r="AS226">
            <v>0</v>
          </cell>
          <cell r="AT226">
            <v>0</v>
          </cell>
          <cell r="AV226"/>
          <cell r="AX226" t="str">
            <v>Yes</v>
          </cell>
          <cell r="AY226"/>
          <cell r="BA226" t="str">
            <v>Yes</v>
          </cell>
        </row>
        <row r="227">
          <cell r="B227"/>
          <cell r="C227" t="str">
            <v>C49SZX20180106R1JY</v>
          </cell>
          <cell r="D227" t="str">
            <v>鑫朗瑞-》改名鑫宸瑞</v>
          </cell>
          <cell r="E227" t="str">
            <v>YSM10</v>
          </cell>
          <cell r="F227" t="str">
            <v>NA</v>
          </cell>
          <cell r="G227" t="e">
            <v>#REF!</v>
          </cell>
          <cell r="H227" t="e">
            <v>#REF!</v>
          </cell>
          <cell r="K227">
            <v>1</v>
          </cell>
          <cell r="L227" t="str">
            <v>已经送货</v>
          </cell>
          <cell r="M227" t="str">
            <v>SEP 18</v>
          </cell>
          <cell r="O227">
            <v>11116215</v>
          </cell>
          <cell r="P227">
            <v>9600000</v>
          </cell>
          <cell r="Q227"/>
          <cell r="R227" t="str">
            <v>Yes</v>
          </cell>
          <cell r="S227" t="str">
            <v>C49</v>
          </cell>
          <cell r="T227" t="str">
            <v>SOUTH</v>
          </cell>
          <cell r="U227" t="str">
            <v>深圳</v>
          </cell>
          <cell r="V227" t="str">
            <v>SZ 深圳</v>
          </cell>
          <cell r="W227" t="str">
            <v>JY</v>
          </cell>
          <cell r="X227" t="str">
            <v>JPY</v>
          </cell>
          <cell r="Y227">
            <v>9600000</v>
          </cell>
          <cell r="Z227">
            <v>1</v>
          </cell>
          <cell r="AA227">
            <v>9600000</v>
          </cell>
          <cell r="AB227">
            <v>7.22E-2</v>
          </cell>
          <cell r="AC227">
            <v>693120</v>
          </cell>
          <cell r="AD227">
            <v>83174.399999999994</v>
          </cell>
          <cell r="AE227">
            <v>0.12</v>
          </cell>
          <cell r="AF227">
            <v>43298</v>
          </cell>
          <cell r="AG227" t="str">
            <v>DAP  深圳</v>
          </cell>
          <cell r="AH227" t="str">
            <v>电梯</v>
          </cell>
          <cell r="AI227">
            <v>50000</v>
          </cell>
          <cell r="AJ227">
            <v>43300</v>
          </cell>
          <cell r="AK227">
            <v>0.1</v>
          </cell>
          <cell r="AL227">
            <v>960000</v>
          </cell>
          <cell r="AM227">
            <v>43313</v>
          </cell>
          <cell r="AN227" t="str">
            <v>Yes</v>
          </cell>
          <cell r="AO227">
            <v>0.9</v>
          </cell>
          <cell r="AP227">
            <v>8640000</v>
          </cell>
          <cell r="AQ227">
            <v>43344</v>
          </cell>
          <cell r="AR227">
            <v>43348</v>
          </cell>
          <cell r="AS227" t="str">
            <v>complete</v>
          </cell>
          <cell r="AT227" t="e">
            <v>#VALUE!</v>
          </cell>
          <cell r="AV227"/>
          <cell r="AW227"/>
          <cell r="AX227" t="str">
            <v>Yes</v>
          </cell>
          <cell r="AY227"/>
          <cell r="AZ227" t="str">
            <v>Y</v>
          </cell>
          <cell r="BA227" t="str">
            <v>Yes</v>
          </cell>
        </row>
        <row r="228">
          <cell r="B228"/>
          <cell r="C228" t="str">
            <v>C49SZX20180107MZ</v>
          </cell>
          <cell r="D228" t="str">
            <v>鸿南</v>
          </cell>
          <cell r="E228" t="str">
            <v>YSM10</v>
          </cell>
          <cell r="F228" t="str">
            <v>NA</v>
          </cell>
          <cell r="G228" t="e">
            <v>#REF!</v>
          </cell>
          <cell r="H228" t="e">
            <v>#REF!</v>
          </cell>
          <cell r="K228">
            <v>1</v>
          </cell>
          <cell r="L228" t="str">
            <v>已经送货</v>
          </cell>
          <cell r="M228" t="str">
            <v>SEP 18</v>
          </cell>
          <cell r="O228">
            <v>11116207</v>
          </cell>
          <cell r="P228">
            <v>9400000</v>
          </cell>
          <cell r="Q228"/>
          <cell r="R228" t="str">
            <v>No</v>
          </cell>
          <cell r="S228" t="str">
            <v>C49</v>
          </cell>
          <cell r="T228" t="str">
            <v>SOUTH</v>
          </cell>
          <cell r="U228" t="str">
            <v>深圳</v>
          </cell>
          <cell r="V228" t="str">
            <v>SZ 深圳</v>
          </cell>
          <cell r="W228" t="str">
            <v>MZ</v>
          </cell>
          <cell r="X228" t="str">
            <v>JPY</v>
          </cell>
          <cell r="Y228">
            <v>9400000</v>
          </cell>
          <cell r="Z228">
            <v>1</v>
          </cell>
          <cell r="AA228">
            <v>9400000</v>
          </cell>
          <cell r="AB228">
            <v>7.3599999999999999E-2</v>
          </cell>
          <cell r="AC228">
            <v>691840</v>
          </cell>
          <cell r="AD228">
            <v>83020.800000000003</v>
          </cell>
          <cell r="AE228">
            <v>0.12</v>
          </cell>
          <cell r="AF228">
            <v>43264</v>
          </cell>
          <cell r="AG228" t="str">
            <v>CIF</v>
          </cell>
          <cell r="AH228"/>
          <cell r="AI228"/>
          <cell r="AJ228"/>
          <cell r="AK228">
            <v>0.15</v>
          </cell>
          <cell r="AL228">
            <v>1410000</v>
          </cell>
          <cell r="AM228">
            <v>43252</v>
          </cell>
          <cell r="AN228" t="str">
            <v>Yes</v>
          </cell>
          <cell r="AO228">
            <v>0.85</v>
          </cell>
          <cell r="AP228">
            <v>7990000</v>
          </cell>
          <cell r="AQ228">
            <v>43344</v>
          </cell>
          <cell r="AR228">
            <v>43361</v>
          </cell>
          <cell r="AS228" t="str">
            <v>complete</v>
          </cell>
          <cell r="AT228" t="e">
            <v>#VALUE!</v>
          </cell>
          <cell r="AV228"/>
          <cell r="AX228" t="str">
            <v>Yes</v>
          </cell>
          <cell r="AY228" t="str">
            <v>Yes</v>
          </cell>
          <cell r="AZ228" t="str">
            <v>Y</v>
          </cell>
          <cell r="BA228" t="str">
            <v>Yes</v>
          </cell>
        </row>
        <row r="229">
          <cell r="B229"/>
          <cell r="C229" t="str">
            <v>C49SZX20180107MZ</v>
          </cell>
          <cell r="D229" t="str">
            <v>鸿南</v>
          </cell>
          <cell r="E229" t="str">
            <v>YS24</v>
          </cell>
          <cell r="F229" t="str">
            <v>NA</v>
          </cell>
          <cell r="G229" t="e">
            <v>#REF!</v>
          </cell>
          <cell r="H229" t="e">
            <v>#REF!</v>
          </cell>
          <cell r="K229">
            <v>1</v>
          </cell>
          <cell r="L229" t="str">
            <v>已经送货</v>
          </cell>
          <cell r="M229" t="str">
            <v>SEP 18</v>
          </cell>
          <cell r="O229">
            <v>11116207</v>
          </cell>
          <cell r="P229">
            <v>11400000</v>
          </cell>
          <cell r="Q229"/>
          <cell r="R229" t="str">
            <v>No</v>
          </cell>
          <cell r="S229" t="str">
            <v>C49</v>
          </cell>
          <cell r="T229" t="str">
            <v>SOUTH</v>
          </cell>
          <cell r="U229" t="str">
            <v>深圳</v>
          </cell>
          <cell r="V229" t="str">
            <v>SZ 深圳</v>
          </cell>
          <cell r="W229" t="str">
            <v>MZ</v>
          </cell>
          <cell r="X229" t="str">
            <v>JPY</v>
          </cell>
          <cell r="Y229">
            <v>11400000</v>
          </cell>
          <cell r="Z229">
            <v>1</v>
          </cell>
          <cell r="AA229">
            <v>11400000</v>
          </cell>
          <cell r="AB229">
            <v>7.3599999999999999E-2</v>
          </cell>
          <cell r="AC229">
            <v>839040</v>
          </cell>
          <cell r="AD229">
            <v>100684.8</v>
          </cell>
          <cell r="AE229">
            <v>0.12</v>
          </cell>
          <cell r="AF229">
            <v>43264</v>
          </cell>
          <cell r="AG229" t="str">
            <v>CIF</v>
          </cell>
          <cell r="AH229"/>
          <cell r="AI229"/>
          <cell r="AJ229"/>
          <cell r="AK229">
            <v>0.15</v>
          </cell>
          <cell r="AL229">
            <v>1710000</v>
          </cell>
          <cell r="AM229">
            <v>43252</v>
          </cell>
          <cell r="AN229" t="str">
            <v>Yes</v>
          </cell>
          <cell r="AO229">
            <v>0.85</v>
          </cell>
          <cell r="AP229">
            <v>9690000</v>
          </cell>
          <cell r="AQ229">
            <v>43344</v>
          </cell>
          <cell r="AR229">
            <v>43361</v>
          </cell>
          <cell r="AS229" t="str">
            <v>complete</v>
          </cell>
          <cell r="AT229" t="e">
            <v>#VALUE!</v>
          </cell>
          <cell r="AV229"/>
          <cell r="AX229" t="str">
            <v>Yes</v>
          </cell>
          <cell r="AY229" t="str">
            <v>Yes</v>
          </cell>
          <cell r="AZ229" t="str">
            <v>Y</v>
          </cell>
          <cell r="BA229" t="str">
            <v>Yes</v>
          </cell>
        </row>
        <row r="230">
          <cell r="B230">
            <v>102</v>
          </cell>
          <cell r="C230" t="str">
            <v>C49SZX20180108MZ</v>
          </cell>
          <cell r="D230" t="str">
            <v>鸿南</v>
          </cell>
          <cell r="E230" t="str">
            <v>YSM10</v>
          </cell>
          <cell r="F230" t="str">
            <v>NA</v>
          </cell>
          <cell r="G230" t="e">
            <v>#REF!</v>
          </cell>
          <cell r="H230" t="e">
            <v>#REF!</v>
          </cell>
          <cell r="I230" t="str">
            <v>R-&gt;L</v>
          </cell>
          <cell r="J230" t="str">
            <v>MVC</v>
          </cell>
          <cell r="K230">
            <v>1</v>
          </cell>
          <cell r="L230" t="str">
            <v>取消</v>
          </cell>
          <cell r="M230" t="e">
            <v>#N/A</v>
          </cell>
          <cell r="N230"/>
          <cell r="O230"/>
          <cell r="P230"/>
          <cell r="Q230"/>
          <cell r="R230" t="str">
            <v>No</v>
          </cell>
          <cell r="S230" t="str">
            <v>C49</v>
          </cell>
          <cell r="T230" t="str">
            <v>SOUTH</v>
          </cell>
          <cell r="U230" t="str">
            <v>深圳</v>
          </cell>
          <cell r="V230" t="str">
            <v>SZ 深圳</v>
          </cell>
          <cell r="W230" t="str">
            <v>MZ</v>
          </cell>
          <cell r="X230" t="str">
            <v>JPY</v>
          </cell>
          <cell r="Y230">
            <v>8500000</v>
          </cell>
          <cell r="Z230">
            <v>1</v>
          </cell>
          <cell r="AA230">
            <v>8500000</v>
          </cell>
          <cell r="AB230">
            <v>7.3599999999999999E-2</v>
          </cell>
          <cell r="AC230">
            <v>625600</v>
          </cell>
          <cell r="AD230">
            <v>75072</v>
          </cell>
          <cell r="AE230">
            <v>0.12</v>
          </cell>
          <cell r="AF230">
            <v>43264</v>
          </cell>
          <cell r="AG230" t="str">
            <v>CIF</v>
          </cell>
          <cell r="AH230"/>
          <cell r="AI230"/>
          <cell r="AJ230"/>
          <cell r="AK230">
            <v>0.3</v>
          </cell>
          <cell r="AL230">
            <v>2550000</v>
          </cell>
          <cell r="AM230"/>
          <cell r="AN230" t="str">
            <v>No</v>
          </cell>
          <cell r="AO230">
            <v>0.7</v>
          </cell>
          <cell r="AP230">
            <v>5950000</v>
          </cell>
          <cell r="AQ230"/>
          <cell r="AR230"/>
          <cell r="AS230">
            <v>0</v>
          </cell>
          <cell r="AT230">
            <v>0</v>
          </cell>
          <cell r="AV230"/>
          <cell r="AX230" t="str">
            <v>Cancel</v>
          </cell>
          <cell r="AY230"/>
          <cell r="AZ230"/>
          <cell r="BA230" t="str">
            <v>Cancel</v>
          </cell>
          <cell r="BB230" t="str">
            <v>2018-10-23通知</v>
          </cell>
        </row>
        <row r="231">
          <cell r="B231">
            <v>103</v>
          </cell>
          <cell r="C231" t="str">
            <v>C49SZX20180108MZ</v>
          </cell>
          <cell r="D231" t="str">
            <v>鸿南</v>
          </cell>
          <cell r="E231" t="str">
            <v>YSM10</v>
          </cell>
          <cell r="F231" t="str">
            <v>NA</v>
          </cell>
          <cell r="G231" t="e">
            <v>#REF!</v>
          </cell>
          <cell r="H231" t="e">
            <v>#REF!</v>
          </cell>
          <cell r="I231" t="str">
            <v>R-&gt;L</v>
          </cell>
          <cell r="J231" t="str">
            <v>MVC</v>
          </cell>
          <cell r="K231">
            <v>1</v>
          </cell>
          <cell r="L231" t="str">
            <v>取消</v>
          </cell>
          <cell r="M231" t="e">
            <v>#N/A</v>
          </cell>
          <cell r="N231"/>
          <cell r="O231"/>
          <cell r="P231"/>
          <cell r="Q231"/>
          <cell r="R231" t="str">
            <v>No</v>
          </cell>
          <cell r="S231" t="str">
            <v>C49</v>
          </cell>
          <cell r="T231" t="str">
            <v>SOUTH</v>
          </cell>
          <cell r="U231" t="str">
            <v>深圳</v>
          </cell>
          <cell r="V231" t="str">
            <v>SZ 深圳</v>
          </cell>
          <cell r="W231" t="str">
            <v>MZ</v>
          </cell>
          <cell r="X231" t="str">
            <v>JPY</v>
          </cell>
          <cell r="Y231">
            <v>8500000</v>
          </cell>
          <cell r="Z231">
            <v>1</v>
          </cell>
          <cell r="AA231">
            <v>8500000</v>
          </cell>
          <cell r="AB231">
            <v>7.3599999999999999E-2</v>
          </cell>
          <cell r="AC231">
            <v>625600</v>
          </cell>
          <cell r="AD231">
            <v>75072</v>
          </cell>
          <cell r="AE231">
            <v>0.12</v>
          </cell>
          <cell r="AF231">
            <v>43264</v>
          </cell>
          <cell r="AG231" t="str">
            <v>CIF</v>
          </cell>
          <cell r="AH231"/>
          <cell r="AI231"/>
          <cell r="AJ231"/>
          <cell r="AK231">
            <v>0.3</v>
          </cell>
          <cell r="AL231">
            <v>2550000</v>
          </cell>
          <cell r="AM231"/>
          <cell r="AN231" t="str">
            <v>No</v>
          </cell>
          <cell r="AO231">
            <v>0.7</v>
          </cell>
          <cell r="AP231">
            <v>5950000</v>
          </cell>
          <cell r="AQ231"/>
          <cell r="AR231"/>
          <cell r="AS231">
            <v>0</v>
          </cell>
          <cell r="AT231">
            <v>0</v>
          </cell>
          <cell r="AV231"/>
          <cell r="AX231" t="str">
            <v>Cancel</v>
          </cell>
          <cell r="AY231"/>
          <cell r="AZ231"/>
          <cell r="BA231" t="str">
            <v>Cancel</v>
          </cell>
          <cell r="BB231" t="str">
            <v>2018-10-23通知</v>
          </cell>
        </row>
        <row r="232">
          <cell r="B232">
            <v>104</v>
          </cell>
          <cell r="C232" t="str">
            <v>C49SZX20180109SX</v>
          </cell>
          <cell r="D232" t="str">
            <v>利速达</v>
          </cell>
          <cell r="E232" t="str">
            <v>YSM20-2</v>
          </cell>
          <cell r="F232" t="str">
            <v>#82124</v>
          </cell>
          <cell r="G232" t="e">
            <v>#REF!</v>
          </cell>
          <cell r="H232" t="e">
            <v>#REF!</v>
          </cell>
          <cell r="I232" t="str">
            <v>L-&gt;R</v>
          </cell>
          <cell r="J232" t="str">
            <v>No</v>
          </cell>
          <cell r="K232">
            <v>1</v>
          </cell>
          <cell r="L232">
            <v>109202</v>
          </cell>
          <cell r="M232" t="str">
            <v>OCT 18</v>
          </cell>
          <cell r="O232">
            <v>11116218</v>
          </cell>
          <cell r="P232">
            <v>14448643</v>
          </cell>
          <cell r="Q232">
            <v>43374</v>
          </cell>
          <cell r="R232" t="str">
            <v>Yes</v>
          </cell>
          <cell r="S232" t="str">
            <v>C49</v>
          </cell>
          <cell r="T232" t="str">
            <v>SOUTH</v>
          </cell>
          <cell r="U232" t="str">
            <v>深圳</v>
          </cell>
          <cell r="V232" t="str">
            <v>SZ 深圳</v>
          </cell>
          <cell r="W232" t="str">
            <v>SX</v>
          </cell>
          <cell r="X232" t="str">
            <v>JPY</v>
          </cell>
          <cell r="Y232">
            <v>14448643</v>
          </cell>
          <cell r="Z232">
            <v>1</v>
          </cell>
          <cell r="AA232">
            <v>14448643</v>
          </cell>
          <cell r="AB232">
            <v>7.3599999999999999E-2</v>
          </cell>
          <cell r="AC232">
            <v>1063420.1247999999</v>
          </cell>
          <cell r="AD232">
            <v>127610.41497599999</v>
          </cell>
          <cell r="AE232">
            <v>0.12</v>
          </cell>
          <cell r="AF232">
            <v>43264</v>
          </cell>
          <cell r="AG232" t="str">
            <v>DAP SZ</v>
          </cell>
          <cell r="AH232"/>
          <cell r="AI232"/>
          <cell r="AJ232"/>
          <cell r="AK232">
            <v>0.1</v>
          </cell>
          <cell r="AL232">
            <v>1444864.3</v>
          </cell>
          <cell r="AM232">
            <v>43252</v>
          </cell>
          <cell r="AN232" t="str">
            <v>Yes</v>
          </cell>
          <cell r="AO232" t="str">
            <v>agree</v>
          </cell>
          <cell r="AP232">
            <v>10114050</v>
          </cell>
          <cell r="AQ232">
            <v>43374</v>
          </cell>
          <cell r="AR232">
            <v>43391</v>
          </cell>
          <cell r="AS232" t="str">
            <v>agree</v>
          </cell>
          <cell r="AT232" t="e">
            <v>#VALUE!</v>
          </cell>
          <cell r="AU232">
            <v>43374</v>
          </cell>
          <cell r="AV232">
            <v>43390</v>
          </cell>
          <cell r="AW232" t="str">
            <v>complete</v>
          </cell>
          <cell r="AX232" t="str">
            <v>Yes</v>
          </cell>
          <cell r="AY232"/>
          <cell r="AZ232" t="str">
            <v>Y</v>
          </cell>
          <cell r="BA232" t="str">
            <v>Yes</v>
          </cell>
        </row>
        <row r="233">
          <cell r="B233"/>
          <cell r="C233" t="str">
            <v>C49SZX20180111SX</v>
          </cell>
          <cell r="D233" t="str">
            <v>精奕强</v>
          </cell>
          <cell r="E233" t="str">
            <v>YS12</v>
          </cell>
          <cell r="F233" t="str">
            <v>NA</v>
          </cell>
          <cell r="G233" t="e">
            <v>#REF!</v>
          </cell>
          <cell r="H233" t="e">
            <v>#REF!</v>
          </cell>
          <cell r="K233">
            <v>1</v>
          </cell>
          <cell r="L233" t="str">
            <v>已经送货</v>
          </cell>
          <cell r="M233" t="str">
            <v>2018/8</v>
          </cell>
          <cell r="O233">
            <v>11116173</v>
          </cell>
          <cell r="P233">
            <v>9666667</v>
          </cell>
          <cell r="Q233">
            <v>43313</v>
          </cell>
          <cell r="R233" t="str">
            <v>Yes</v>
          </cell>
          <cell r="S233" t="str">
            <v>C49</v>
          </cell>
          <cell r="T233" t="str">
            <v>SOUTH</v>
          </cell>
          <cell r="U233" t="str">
            <v>惠州</v>
          </cell>
          <cell r="V233" t="str">
            <v>SZ 深圳</v>
          </cell>
          <cell r="W233" t="str">
            <v>SX</v>
          </cell>
          <cell r="X233" t="str">
            <v>JPY</v>
          </cell>
          <cell r="Y233">
            <v>9666667</v>
          </cell>
          <cell r="Z233">
            <v>1</v>
          </cell>
          <cell r="AA233">
            <v>9666667</v>
          </cell>
          <cell r="AB233">
            <v>7.3599999999999999E-2</v>
          </cell>
          <cell r="AC233">
            <v>711466.6912</v>
          </cell>
          <cell r="AD233">
            <v>85376.002943999993</v>
          </cell>
          <cell r="AE233">
            <v>0.12</v>
          </cell>
          <cell r="AF233">
            <v>43272</v>
          </cell>
          <cell r="AG233" t="str">
            <v>DAP 惠州</v>
          </cell>
          <cell r="AH233" t="str">
            <v>电梯</v>
          </cell>
          <cell r="AI233">
            <v>0</v>
          </cell>
          <cell r="AJ233">
            <v>43276</v>
          </cell>
          <cell r="AK233" t="str">
            <v>agree</v>
          </cell>
          <cell r="AL233">
            <v>2966667</v>
          </cell>
          <cell r="AM233">
            <v>43282</v>
          </cell>
          <cell r="AN233" t="str">
            <v>Yes</v>
          </cell>
          <cell r="AO233" t="str">
            <v>agree</v>
          </cell>
          <cell r="AP233">
            <v>6700000</v>
          </cell>
          <cell r="AQ233">
            <v>43313</v>
          </cell>
          <cell r="AR233">
            <v>43318</v>
          </cell>
          <cell r="AS233" t="str">
            <v>complete</v>
          </cell>
          <cell r="AT233" t="e">
            <v>#VALUE!</v>
          </cell>
          <cell r="AV233"/>
          <cell r="AX233" t="str">
            <v>Yes</v>
          </cell>
          <cell r="AY233"/>
          <cell r="AZ233" t="str">
            <v>Y</v>
          </cell>
          <cell r="BA233" t="str">
            <v>Yes</v>
          </cell>
        </row>
        <row r="234">
          <cell r="B234"/>
          <cell r="C234" t="str">
            <v>C49SZX20180111SX</v>
          </cell>
          <cell r="D234" t="str">
            <v>精奕强</v>
          </cell>
          <cell r="E234" t="str">
            <v>YSM10</v>
          </cell>
          <cell r="F234" t="str">
            <v>NA</v>
          </cell>
          <cell r="G234" t="e">
            <v>#REF!</v>
          </cell>
          <cell r="H234" t="e">
            <v>#REF!</v>
          </cell>
          <cell r="I234"/>
          <cell r="J234"/>
          <cell r="K234">
            <v>1</v>
          </cell>
          <cell r="L234" t="str">
            <v>已经送货</v>
          </cell>
          <cell r="M234" t="str">
            <v>JUL 18</v>
          </cell>
          <cell r="N234"/>
          <cell r="O234">
            <v>11116156</v>
          </cell>
          <cell r="P234">
            <v>9666667</v>
          </cell>
          <cell r="Q234">
            <v>43282</v>
          </cell>
          <cell r="R234" t="str">
            <v>Yes</v>
          </cell>
          <cell r="S234" t="str">
            <v>C49</v>
          </cell>
          <cell r="T234" t="str">
            <v>SOUTH</v>
          </cell>
          <cell r="U234" t="str">
            <v>惠州</v>
          </cell>
          <cell r="V234" t="str">
            <v>SZ 深圳</v>
          </cell>
          <cell r="W234" t="str">
            <v>SX</v>
          </cell>
          <cell r="X234" t="str">
            <v>JPY</v>
          </cell>
          <cell r="Y234">
            <v>9666667</v>
          </cell>
          <cell r="Z234">
            <v>1</v>
          </cell>
          <cell r="AA234">
            <v>9666667</v>
          </cell>
          <cell r="AB234">
            <v>7.3599999999999999E-2</v>
          </cell>
          <cell r="AC234">
            <v>711466.6912</v>
          </cell>
          <cell r="AD234">
            <v>85376.002943999993</v>
          </cell>
          <cell r="AE234">
            <v>0.12</v>
          </cell>
          <cell r="AF234">
            <v>43272</v>
          </cell>
          <cell r="AG234" t="str">
            <v>DAP 惠州</v>
          </cell>
          <cell r="AH234" t="str">
            <v>电梯</v>
          </cell>
          <cell r="AI234">
            <v>100000</v>
          </cell>
          <cell r="AJ234">
            <v>43276</v>
          </cell>
          <cell r="AK234">
            <v>0.1</v>
          </cell>
          <cell r="AL234">
            <v>966666.70000000007</v>
          </cell>
          <cell r="AM234">
            <v>43282</v>
          </cell>
          <cell r="AN234" t="str">
            <v>Yes</v>
          </cell>
          <cell r="AO234">
            <v>0.9</v>
          </cell>
          <cell r="AP234">
            <v>8700000.3000000007</v>
          </cell>
          <cell r="AQ234">
            <v>43282</v>
          </cell>
          <cell r="AR234">
            <v>43298</v>
          </cell>
          <cell r="AS234" t="str">
            <v>complete</v>
          </cell>
          <cell r="AT234" t="e">
            <v>#VALUE!</v>
          </cell>
          <cell r="AU234"/>
          <cell r="AV234"/>
          <cell r="AW234"/>
          <cell r="AX234" t="str">
            <v>Yes</v>
          </cell>
          <cell r="AY234"/>
          <cell r="AZ234" t="str">
            <v>Y</v>
          </cell>
          <cell r="BA234" t="str">
            <v>Yes</v>
          </cell>
          <cell r="BB234"/>
        </row>
        <row r="235">
          <cell r="B235"/>
          <cell r="C235" t="str">
            <v>C49SZX20180111SX</v>
          </cell>
          <cell r="D235" t="str">
            <v>精奕强</v>
          </cell>
          <cell r="E235" t="str">
            <v>YS12F</v>
          </cell>
          <cell r="F235" t="str">
            <v>NA</v>
          </cell>
          <cell r="G235" t="e">
            <v>#REF!</v>
          </cell>
          <cell r="H235" t="e">
            <v>#REF!</v>
          </cell>
          <cell r="I235"/>
          <cell r="J235"/>
          <cell r="K235">
            <v>1</v>
          </cell>
          <cell r="L235" t="str">
            <v>已经送货</v>
          </cell>
          <cell r="M235" t="str">
            <v>JUL 18</v>
          </cell>
          <cell r="N235"/>
          <cell r="O235">
            <v>11116156</v>
          </cell>
          <cell r="P235">
            <v>9666666</v>
          </cell>
          <cell r="Q235">
            <v>43282</v>
          </cell>
          <cell r="R235" t="str">
            <v>Yes</v>
          </cell>
          <cell r="S235" t="str">
            <v>C49</v>
          </cell>
          <cell r="T235" t="str">
            <v>SOUTH</v>
          </cell>
          <cell r="U235" t="str">
            <v>惠州</v>
          </cell>
          <cell r="V235" t="str">
            <v>SZ 深圳</v>
          </cell>
          <cell r="W235" t="str">
            <v>SX</v>
          </cell>
          <cell r="X235" t="str">
            <v>JPY</v>
          </cell>
          <cell r="Y235">
            <v>9666666</v>
          </cell>
          <cell r="Z235">
            <v>1</v>
          </cell>
          <cell r="AA235">
            <v>9666666</v>
          </cell>
          <cell r="AB235">
            <v>7.3599999999999999E-2</v>
          </cell>
          <cell r="AC235">
            <v>711466.6176</v>
          </cell>
          <cell r="AD235">
            <v>85375.994112</v>
          </cell>
          <cell r="AE235">
            <v>0.12</v>
          </cell>
          <cell r="AF235">
            <v>43272</v>
          </cell>
          <cell r="AG235" t="str">
            <v>DAP 惠州</v>
          </cell>
          <cell r="AH235" t="str">
            <v>电梯</v>
          </cell>
          <cell r="AI235">
            <v>0</v>
          </cell>
          <cell r="AJ235">
            <v>43276</v>
          </cell>
          <cell r="AK235">
            <v>0.1</v>
          </cell>
          <cell r="AL235">
            <v>966666.60000000009</v>
          </cell>
          <cell r="AM235">
            <v>43282</v>
          </cell>
          <cell r="AN235" t="str">
            <v>Yes</v>
          </cell>
          <cell r="AO235">
            <v>0.9</v>
          </cell>
          <cell r="AP235">
            <v>8699999.4000000004</v>
          </cell>
          <cell r="AQ235">
            <v>43282</v>
          </cell>
          <cell r="AR235">
            <v>43298</v>
          </cell>
          <cell r="AS235" t="str">
            <v>complete</v>
          </cell>
          <cell r="AT235" t="e">
            <v>#VALUE!</v>
          </cell>
          <cell r="AU235"/>
          <cell r="AV235"/>
          <cell r="AW235"/>
          <cell r="AX235" t="str">
            <v>Yes</v>
          </cell>
          <cell r="AY235"/>
          <cell r="AZ235" t="str">
            <v>Y</v>
          </cell>
          <cell r="BA235" t="str">
            <v>Yes</v>
          </cell>
          <cell r="BB235"/>
        </row>
        <row r="236">
          <cell r="B236">
            <v>105</v>
          </cell>
          <cell r="C236" t="str">
            <v xml:space="preserve">C49SZX20180113JL </v>
          </cell>
          <cell r="D236" t="str">
            <v>伯莱科</v>
          </cell>
          <cell r="E236" t="str">
            <v>YSM20-2</v>
          </cell>
          <cell r="F236" t="str">
            <v>NA</v>
          </cell>
          <cell r="G236" t="e">
            <v>#REF!</v>
          </cell>
          <cell r="H236" t="e">
            <v>#REF!</v>
          </cell>
          <cell r="I236" t="str">
            <v>R-&gt;L</v>
          </cell>
          <cell r="J236" t="str">
            <v>No</v>
          </cell>
          <cell r="K236">
            <v>1</v>
          </cell>
          <cell r="L236">
            <v>109247</v>
          </cell>
          <cell r="M236" t="str">
            <v>APR 19</v>
          </cell>
          <cell r="O236">
            <v>11116290</v>
          </cell>
          <cell r="P236">
            <v>12400000</v>
          </cell>
          <cell r="Q236">
            <v>43586</v>
          </cell>
          <cell r="R236" t="str">
            <v>No</v>
          </cell>
          <cell r="S236" t="str">
            <v>C49</v>
          </cell>
          <cell r="T236" t="str">
            <v>SOUTH</v>
          </cell>
          <cell r="U236" t="str">
            <v>深圳</v>
          </cell>
          <cell r="V236" t="str">
            <v>SZ 深圳</v>
          </cell>
          <cell r="W236" t="str">
            <v>JL</v>
          </cell>
          <cell r="X236" t="str">
            <v>JPY</v>
          </cell>
          <cell r="Y236">
            <v>12400000</v>
          </cell>
          <cell r="Z236">
            <v>1</v>
          </cell>
          <cell r="AA236">
            <v>12400000</v>
          </cell>
          <cell r="AB236">
            <v>7.22E-2</v>
          </cell>
          <cell r="AC236">
            <v>895280</v>
          </cell>
          <cell r="AD236">
            <v>107433.59999999999</v>
          </cell>
          <cell r="AE236">
            <v>0.12</v>
          </cell>
          <cell r="AF236">
            <v>43284</v>
          </cell>
          <cell r="AG236" t="str">
            <v>CIF</v>
          </cell>
          <cell r="AH236"/>
          <cell r="AI236" t="str">
            <v>CNY10,000</v>
          </cell>
          <cell r="AJ236">
            <v>43087</v>
          </cell>
          <cell r="AK236" t="str">
            <v>agree</v>
          </cell>
          <cell r="AL236">
            <v>323075</v>
          </cell>
          <cell r="AM236">
            <v>43344</v>
          </cell>
          <cell r="AN236" t="str">
            <v>Yes</v>
          </cell>
          <cell r="AO236" t="str">
            <v>agree</v>
          </cell>
          <cell r="AP236">
            <v>12076925</v>
          </cell>
          <cell r="AQ236">
            <v>43556</v>
          </cell>
          <cell r="AR236">
            <v>43578</v>
          </cell>
          <cell r="AS236" t="str">
            <v>complete</v>
          </cell>
          <cell r="AT236"/>
          <cell r="AV236"/>
          <cell r="AX236" t="str">
            <v>Yes</v>
          </cell>
          <cell r="AY236"/>
          <cell r="AZ236" t="str">
            <v>Y</v>
          </cell>
          <cell r="BA236" t="str">
            <v>Yes</v>
          </cell>
        </row>
        <row r="237">
          <cell r="B237"/>
          <cell r="C237" t="str">
            <v>C49SZX20180115ZX</v>
          </cell>
          <cell r="D237" t="str">
            <v>美斯特</v>
          </cell>
          <cell r="E237" t="str">
            <v>YSM10</v>
          </cell>
          <cell r="F237" t="str">
            <v>NA</v>
          </cell>
          <cell r="G237" t="e">
            <v>#REF!</v>
          </cell>
          <cell r="H237" t="e">
            <v>#REF!</v>
          </cell>
          <cell r="K237">
            <v>1</v>
          </cell>
          <cell r="L237" t="str">
            <v>已经送货</v>
          </cell>
          <cell r="M237" t="str">
            <v>SEP 18</v>
          </cell>
          <cell r="O237">
            <v>11100274</v>
          </cell>
          <cell r="P237">
            <v>605000</v>
          </cell>
          <cell r="Q237"/>
          <cell r="R237" t="str">
            <v>Yes</v>
          </cell>
          <cell r="S237" t="str">
            <v>C49</v>
          </cell>
          <cell r="T237" t="str">
            <v>SOUTH</v>
          </cell>
          <cell r="U237" t="str">
            <v>深圳</v>
          </cell>
          <cell r="V237" t="str">
            <v>SZ 深圳</v>
          </cell>
          <cell r="W237" t="str">
            <v>ZX</v>
          </cell>
          <cell r="X237" t="str">
            <v>RMB</v>
          </cell>
          <cell r="Y237">
            <v>605000</v>
          </cell>
          <cell r="Z237">
            <v>1.1599999999999999</v>
          </cell>
          <cell r="AA237">
            <v>605000</v>
          </cell>
          <cell r="AB237">
            <v>1.23</v>
          </cell>
          <cell r="AC237">
            <v>641508.62068965519</v>
          </cell>
          <cell r="AD237">
            <v>76981.034482758623</v>
          </cell>
          <cell r="AE237">
            <v>0.12</v>
          </cell>
          <cell r="AF237">
            <v>43284</v>
          </cell>
          <cell r="AG237" t="str">
            <v>含税到厂</v>
          </cell>
          <cell r="AH237" t="str">
            <v>电梯</v>
          </cell>
          <cell r="AI237"/>
          <cell r="AJ237"/>
          <cell r="AK237">
            <v>0.3</v>
          </cell>
          <cell r="AL237">
            <v>181500</v>
          </cell>
          <cell r="AM237">
            <v>43282</v>
          </cell>
          <cell r="AN237" t="str">
            <v>Yes</v>
          </cell>
          <cell r="AO237">
            <v>0.7</v>
          </cell>
          <cell r="AP237">
            <v>423500</v>
          </cell>
          <cell r="AQ237">
            <v>43344</v>
          </cell>
          <cell r="AR237">
            <v>43356</v>
          </cell>
          <cell r="AS237" t="str">
            <v>complete</v>
          </cell>
          <cell r="AT237"/>
          <cell r="AV237"/>
          <cell r="AX237" t="str">
            <v>Yes</v>
          </cell>
          <cell r="AY237"/>
          <cell r="AZ237" t="str">
            <v>Y</v>
          </cell>
          <cell r="BA237" t="str">
            <v>Yes</v>
          </cell>
        </row>
        <row r="238">
          <cell r="B238"/>
          <cell r="C238" t="str">
            <v>C49SZX20180116SX</v>
          </cell>
          <cell r="D238" t="str">
            <v>福瑞康</v>
          </cell>
          <cell r="E238" t="str">
            <v>YSM10</v>
          </cell>
          <cell r="F238" t="str">
            <v>NA</v>
          </cell>
          <cell r="G238" t="e">
            <v>#REF!</v>
          </cell>
          <cell r="H238" t="e">
            <v>#REF!</v>
          </cell>
          <cell r="K238">
            <v>2</v>
          </cell>
          <cell r="L238" t="str">
            <v>已经送货</v>
          </cell>
          <cell r="M238" t="str">
            <v>SEP 18</v>
          </cell>
          <cell r="O238">
            <v>11116206</v>
          </cell>
          <cell r="P238">
            <v>19359680</v>
          </cell>
          <cell r="Q238"/>
          <cell r="R238" t="str">
            <v>Yes</v>
          </cell>
          <cell r="S238" t="str">
            <v>C49</v>
          </cell>
          <cell r="T238" t="str">
            <v>SOUTH</v>
          </cell>
          <cell r="U238" t="str">
            <v>東莞</v>
          </cell>
          <cell r="V238" t="str">
            <v>SZ 深圳</v>
          </cell>
          <cell r="W238" t="str">
            <v>SX</v>
          </cell>
          <cell r="X238" t="str">
            <v>JPY</v>
          </cell>
          <cell r="Y238">
            <v>9679840</v>
          </cell>
          <cell r="Z238">
            <v>1</v>
          </cell>
          <cell r="AA238">
            <v>19359680</v>
          </cell>
          <cell r="AB238">
            <v>7.22E-2</v>
          </cell>
          <cell r="AC238">
            <v>1397768.8959999999</v>
          </cell>
          <cell r="AD238">
            <v>167732.26751999999</v>
          </cell>
          <cell r="AE238">
            <v>0.12</v>
          </cell>
          <cell r="AF238">
            <v>43283</v>
          </cell>
          <cell r="AG238" t="str">
            <v>DAP 东莞</v>
          </cell>
          <cell r="AH238" t="str">
            <v>电梯</v>
          </cell>
          <cell r="AI238"/>
          <cell r="AJ238"/>
          <cell r="AK238">
            <v>0.2</v>
          </cell>
          <cell r="AL238">
            <v>3871936</v>
          </cell>
          <cell r="AM238">
            <v>43282</v>
          </cell>
          <cell r="AN238" t="str">
            <v>Yes</v>
          </cell>
          <cell r="AO238">
            <v>0.8</v>
          </cell>
          <cell r="AP238">
            <v>15487744</v>
          </cell>
          <cell r="AQ238">
            <v>43344</v>
          </cell>
          <cell r="AR238">
            <v>43361</v>
          </cell>
          <cell r="AS238" t="str">
            <v>complete</v>
          </cell>
          <cell r="AT238"/>
          <cell r="AV238"/>
          <cell r="AX238" t="str">
            <v>Yes</v>
          </cell>
          <cell r="AY238" t="str">
            <v>Yes</v>
          </cell>
          <cell r="BA238" t="str">
            <v>Yes</v>
          </cell>
        </row>
        <row r="239">
          <cell r="B239"/>
          <cell r="C239" t="str">
            <v>C49SZX20180117MZ</v>
          </cell>
          <cell r="D239" t="str">
            <v>腾拓</v>
          </cell>
          <cell r="E239" t="str">
            <v>YSM10</v>
          </cell>
          <cell r="F239" t="str">
            <v>NA</v>
          </cell>
          <cell r="G239" t="e">
            <v>#REF!</v>
          </cell>
          <cell r="H239" t="e">
            <v>#REF!</v>
          </cell>
          <cell r="K239">
            <v>2</v>
          </cell>
          <cell r="L239" t="str">
            <v>已经送货</v>
          </cell>
          <cell r="M239" t="str">
            <v>2018/8</v>
          </cell>
          <cell r="O239">
            <v>11116192</v>
          </cell>
          <cell r="P239">
            <v>21500000</v>
          </cell>
          <cell r="Q239">
            <v>43313</v>
          </cell>
          <cell r="R239" t="str">
            <v>No</v>
          </cell>
          <cell r="S239" t="str">
            <v>C49</v>
          </cell>
          <cell r="T239" t="str">
            <v>SOUTH</v>
          </cell>
          <cell r="U239" t="str">
            <v>東莞</v>
          </cell>
          <cell r="V239" t="str">
            <v>SZ 深圳</v>
          </cell>
          <cell r="W239" t="str">
            <v>MZ</v>
          </cell>
          <cell r="X239" t="str">
            <v>JPY</v>
          </cell>
          <cell r="Y239">
            <v>10750000</v>
          </cell>
          <cell r="Z239">
            <v>1</v>
          </cell>
          <cell r="AA239">
            <v>21500000</v>
          </cell>
          <cell r="AB239">
            <v>7.22E-2</v>
          </cell>
          <cell r="AC239">
            <v>1552300</v>
          </cell>
          <cell r="AD239">
            <v>186276</v>
          </cell>
          <cell r="AE239">
            <v>0.12</v>
          </cell>
          <cell r="AF239">
            <v>43293</v>
          </cell>
          <cell r="AG239" t="str">
            <v>DAP 东莞</v>
          </cell>
          <cell r="AH239" t="str">
            <v>电梯</v>
          </cell>
          <cell r="AI239"/>
          <cell r="AJ239"/>
          <cell r="AK239">
            <v>0.1</v>
          </cell>
          <cell r="AL239">
            <v>2150000</v>
          </cell>
          <cell r="AM239">
            <v>43282</v>
          </cell>
          <cell r="AN239" t="str">
            <v>Yes</v>
          </cell>
          <cell r="AO239">
            <v>0.9</v>
          </cell>
          <cell r="AP239">
            <v>19350000</v>
          </cell>
          <cell r="AQ239">
            <v>43313</v>
          </cell>
          <cell r="AR239">
            <v>43340</v>
          </cell>
          <cell r="AS239" t="str">
            <v>complete</v>
          </cell>
          <cell r="AT239" t="e">
            <v>#VALUE!</v>
          </cell>
          <cell r="AV239"/>
          <cell r="AW239"/>
          <cell r="AX239" t="str">
            <v>Yes</v>
          </cell>
          <cell r="AY239"/>
          <cell r="BA239" t="str">
            <v>Yes</v>
          </cell>
        </row>
        <row r="240">
          <cell r="B240"/>
          <cell r="C240" t="str">
            <v>C49SZX20180119SS</v>
          </cell>
          <cell r="D240" t="str">
            <v>康腾/倍畅</v>
          </cell>
          <cell r="E240" t="str">
            <v>YSM10</v>
          </cell>
          <cell r="F240" t="str">
            <v>NA</v>
          </cell>
          <cell r="G240" t="e">
            <v>#REF!</v>
          </cell>
          <cell r="H240" t="e">
            <v>#REF!</v>
          </cell>
          <cell r="K240">
            <v>1</v>
          </cell>
          <cell r="L240" t="str">
            <v>已经送货</v>
          </cell>
          <cell r="M240" t="str">
            <v>2018/8</v>
          </cell>
          <cell r="O240">
            <v>11100271</v>
          </cell>
          <cell r="P240">
            <v>722750</v>
          </cell>
          <cell r="Q240">
            <v>43313</v>
          </cell>
          <cell r="R240" t="str">
            <v>Yes</v>
          </cell>
          <cell r="S240" t="str">
            <v>C49</v>
          </cell>
          <cell r="T240" t="str">
            <v>SOUTH</v>
          </cell>
          <cell r="U240" t="str">
            <v>深圳</v>
          </cell>
          <cell r="V240" t="str">
            <v>SZ 深圳</v>
          </cell>
          <cell r="W240" t="str">
            <v>SS</v>
          </cell>
          <cell r="X240" t="str">
            <v>RMB</v>
          </cell>
          <cell r="Y240">
            <v>722750</v>
          </cell>
          <cell r="Z240">
            <v>1.1599999999999999</v>
          </cell>
          <cell r="AA240">
            <v>722750</v>
          </cell>
          <cell r="AB240">
            <v>1.18</v>
          </cell>
          <cell r="AC240">
            <v>735211.20689655165</v>
          </cell>
          <cell r="AD240">
            <v>88225.344827586188</v>
          </cell>
          <cell r="AE240">
            <v>0.12</v>
          </cell>
          <cell r="AF240">
            <v>43299</v>
          </cell>
          <cell r="AG240" t="str">
            <v>含税到厂</v>
          </cell>
          <cell r="AH240" t="str">
            <v>吊装四楼</v>
          </cell>
          <cell r="AI240"/>
          <cell r="AJ240"/>
          <cell r="AK240">
            <v>0.2</v>
          </cell>
          <cell r="AL240">
            <v>144550</v>
          </cell>
          <cell r="AM240">
            <v>43282</v>
          </cell>
          <cell r="AN240" t="str">
            <v>Yes</v>
          </cell>
          <cell r="AO240">
            <v>0.8</v>
          </cell>
          <cell r="AP240">
            <v>578200</v>
          </cell>
          <cell r="AQ240">
            <v>43313</v>
          </cell>
          <cell r="AR240">
            <v>43325</v>
          </cell>
          <cell r="AS240" t="str">
            <v>complete</v>
          </cell>
          <cell r="AT240" t="e">
            <v>#VALUE!</v>
          </cell>
          <cell r="AV240"/>
          <cell r="AW240"/>
          <cell r="AX240" t="str">
            <v>Yes</v>
          </cell>
          <cell r="AY240"/>
          <cell r="AZ240" t="str">
            <v>Y</v>
          </cell>
          <cell r="BA240" t="str">
            <v>Yes</v>
          </cell>
        </row>
        <row r="241">
          <cell r="B241"/>
          <cell r="C241" t="str">
            <v>C49SZX20180119SS</v>
          </cell>
          <cell r="D241" t="str">
            <v>康腾/倍畅</v>
          </cell>
          <cell r="E241" t="str">
            <v>YSM10</v>
          </cell>
          <cell r="F241" t="str">
            <v>NA</v>
          </cell>
          <cell r="G241" t="e">
            <v>#REF!</v>
          </cell>
          <cell r="H241" t="e">
            <v>#REF!</v>
          </cell>
          <cell r="K241">
            <v>1</v>
          </cell>
          <cell r="L241" t="str">
            <v>已经送货</v>
          </cell>
          <cell r="M241" t="str">
            <v>2018/8</v>
          </cell>
          <cell r="O241">
            <v>11100271</v>
          </cell>
          <cell r="P241">
            <v>722750</v>
          </cell>
          <cell r="Q241">
            <v>43313</v>
          </cell>
          <cell r="R241" t="str">
            <v>Yes</v>
          </cell>
          <cell r="S241" t="str">
            <v>C49</v>
          </cell>
          <cell r="T241" t="str">
            <v>SOUTH</v>
          </cell>
          <cell r="U241" t="str">
            <v>深圳</v>
          </cell>
          <cell r="V241" t="str">
            <v>SZ 深圳</v>
          </cell>
          <cell r="W241" t="str">
            <v>SS</v>
          </cell>
          <cell r="X241" t="str">
            <v>RMB</v>
          </cell>
          <cell r="Y241">
            <v>722750</v>
          </cell>
          <cell r="Z241">
            <v>1.1599999999999999</v>
          </cell>
          <cell r="AA241">
            <v>722750</v>
          </cell>
          <cell r="AB241">
            <v>1.18</v>
          </cell>
          <cell r="AC241">
            <v>735211.20689655165</v>
          </cell>
          <cell r="AD241">
            <v>88225.344827586188</v>
          </cell>
          <cell r="AE241">
            <v>0.12</v>
          </cell>
          <cell r="AF241">
            <v>43299</v>
          </cell>
          <cell r="AG241" t="str">
            <v>含税到厂</v>
          </cell>
          <cell r="AH241" t="str">
            <v>吊装四楼</v>
          </cell>
          <cell r="AK241">
            <v>0.2</v>
          </cell>
          <cell r="AL241">
            <v>144550</v>
          </cell>
          <cell r="AM241">
            <v>43282</v>
          </cell>
          <cell r="AN241" t="str">
            <v>Yes</v>
          </cell>
          <cell r="AO241">
            <v>0.8</v>
          </cell>
          <cell r="AP241">
            <v>578200</v>
          </cell>
          <cell r="AQ241">
            <v>43313</v>
          </cell>
          <cell r="AR241">
            <v>43325</v>
          </cell>
          <cell r="AS241" t="str">
            <v>complete</v>
          </cell>
          <cell r="AT241" t="e">
            <v>#VALUE!</v>
          </cell>
          <cell r="AV241"/>
          <cell r="AW241"/>
          <cell r="AX241" t="str">
            <v>Yes</v>
          </cell>
          <cell r="AY241"/>
          <cell r="AZ241" t="str">
            <v>Y</v>
          </cell>
          <cell r="BA241" t="str">
            <v>Yes</v>
          </cell>
        </row>
        <row r="242">
          <cell r="B242">
            <v>106</v>
          </cell>
          <cell r="C242" t="str">
            <v>C49SZX20180120SX</v>
          </cell>
          <cell r="D242" t="str">
            <v>华汛</v>
          </cell>
          <cell r="E242" t="str">
            <v>YSM10</v>
          </cell>
          <cell r="F242" t="str">
            <v>NA</v>
          </cell>
          <cell r="G242" t="e">
            <v>#REF!</v>
          </cell>
          <cell r="H242" t="e">
            <v>#REF!</v>
          </cell>
          <cell r="I242" t="str">
            <v>R-&gt;L</v>
          </cell>
          <cell r="J242" t="str">
            <v>MVC</v>
          </cell>
          <cell r="K242">
            <v>1</v>
          </cell>
          <cell r="L242" t="e">
            <v>#REF!</v>
          </cell>
          <cell r="M242" t="e">
            <v>#REF!</v>
          </cell>
          <cell r="N242"/>
          <cell r="O242"/>
          <cell r="P242"/>
          <cell r="Q242"/>
          <cell r="R242" t="str">
            <v>Yes</v>
          </cell>
          <cell r="S242" t="str">
            <v>C49</v>
          </cell>
          <cell r="T242" t="str">
            <v>SOUTH</v>
          </cell>
          <cell r="U242" t="str">
            <v>深圳</v>
          </cell>
          <cell r="V242" t="str">
            <v>SZ 深圳</v>
          </cell>
          <cell r="W242" t="str">
            <v>SX</v>
          </cell>
          <cell r="X242" t="str">
            <v>JPY</v>
          </cell>
          <cell r="Y242">
            <v>8544600</v>
          </cell>
          <cell r="Z242">
            <v>1</v>
          </cell>
          <cell r="AA242">
            <v>8544600</v>
          </cell>
          <cell r="AB242">
            <v>7.22E-2</v>
          </cell>
          <cell r="AC242">
            <v>616920.12</v>
          </cell>
          <cell r="AD242">
            <v>74030.414399999994</v>
          </cell>
          <cell r="AE242">
            <v>0.12</v>
          </cell>
          <cell r="AF242">
            <v>43305</v>
          </cell>
          <cell r="AG242" t="str">
            <v>DAP 深圳</v>
          </cell>
          <cell r="AH242"/>
          <cell r="AI242"/>
          <cell r="AJ242"/>
          <cell r="AK242">
            <v>0.2</v>
          </cell>
          <cell r="AL242">
            <v>1708920</v>
          </cell>
          <cell r="AM242"/>
          <cell r="AN242" t="str">
            <v>Yes</v>
          </cell>
          <cell r="AO242">
            <v>0.8</v>
          </cell>
          <cell r="AP242">
            <v>6835680</v>
          </cell>
          <cell r="AQ242"/>
          <cell r="AR242"/>
          <cell r="AS242">
            <v>0</v>
          </cell>
          <cell r="AT242">
            <v>0</v>
          </cell>
          <cell r="AV242"/>
          <cell r="AW242"/>
          <cell r="AX242" t="str">
            <v>Cancel</v>
          </cell>
          <cell r="AY242"/>
          <cell r="AZ242"/>
          <cell r="BA242" t="str">
            <v>Cancel</v>
          </cell>
        </row>
        <row r="243">
          <cell r="B243">
            <v>107</v>
          </cell>
          <cell r="C243" t="str">
            <v>C49SZX20180120SX</v>
          </cell>
          <cell r="D243" t="str">
            <v>华汛</v>
          </cell>
          <cell r="E243" t="str">
            <v>YSM10</v>
          </cell>
          <cell r="F243" t="str">
            <v>NA</v>
          </cell>
          <cell r="G243" t="e">
            <v>#REF!</v>
          </cell>
          <cell r="H243" t="e">
            <v>#REF!</v>
          </cell>
          <cell r="I243" t="str">
            <v>R-&gt;L</v>
          </cell>
          <cell r="J243" t="str">
            <v>MVC</v>
          </cell>
          <cell r="K243">
            <v>1</v>
          </cell>
          <cell r="L243" t="e">
            <v>#REF!</v>
          </cell>
          <cell r="M243" t="e">
            <v>#REF!</v>
          </cell>
          <cell r="N243"/>
          <cell r="O243"/>
          <cell r="P243"/>
          <cell r="Q243"/>
          <cell r="R243" t="str">
            <v>Yes</v>
          </cell>
          <cell r="S243" t="str">
            <v>C49</v>
          </cell>
          <cell r="T243" t="str">
            <v>SOUTH</v>
          </cell>
          <cell r="U243" t="str">
            <v>深圳</v>
          </cell>
          <cell r="V243" t="str">
            <v>SZ 深圳</v>
          </cell>
          <cell r="W243" t="str">
            <v>SX</v>
          </cell>
          <cell r="X243" t="str">
            <v>JPY</v>
          </cell>
          <cell r="Y243">
            <v>8544600</v>
          </cell>
          <cell r="Z243">
            <v>1</v>
          </cell>
          <cell r="AA243">
            <v>8544600</v>
          </cell>
          <cell r="AB243">
            <v>7.22E-2</v>
          </cell>
          <cell r="AC243">
            <v>616920.12</v>
          </cell>
          <cell r="AD243">
            <v>74030.414399999994</v>
          </cell>
          <cell r="AE243">
            <v>0.12</v>
          </cell>
          <cell r="AF243">
            <v>43305</v>
          </cell>
          <cell r="AG243" t="str">
            <v>DAP 深圳</v>
          </cell>
          <cell r="AH243"/>
          <cell r="AI243"/>
          <cell r="AJ243"/>
          <cell r="AK243">
            <v>0.2</v>
          </cell>
          <cell r="AL243">
            <v>1708920</v>
          </cell>
          <cell r="AM243"/>
          <cell r="AN243" t="str">
            <v>Yes</v>
          </cell>
          <cell r="AO243">
            <v>0.8</v>
          </cell>
          <cell r="AP243">
            <v>6835680</v>
          </cell>
          <cell r="AQ243"/>
          <cell r="AR243"/>
          <cell r="AS243">
            <v>0</v>
          </cell>
          <cell r="AT243">
            <v>0</v>
          </cell>
          <cell r="AV243"/>
          <cell r="AW243"/>
          <cell r="AX243" t="str">
            <v>Cancel</v>
          </cell>
          <cell r="AY243"/>
          <cell r="AZ243"/>
          <cell r="BA243" t="str">
            <v>Cancel</v>
          </cell>
        </row>
        <row r="244">
          <cell r="B244">
            <v>108</v>
          </cell>
          <cell r="C244" t="str">
            <v>C49SZX20180121SX</v>
          </cell>
          <cell r="D244" t="str">
            <v>华汛</v>
          </cell>
          <cell r="E244" t="str">
            <v>YSM10</v>
          </cell>
          <cell r="F244" t="str">
            <v>NA</v>
          </cell>
          <cell r="G244" t="e">
            <v>#REF!</v>
          </cell>
          <cell r="H244" t="e">
            <v>#REF!</v>
          </cell>
          <cell r="I244" t="str">
            <v>R-&gt;L</v>
          </cell>
          <cell r="J244" t="str">
            <v>MVC</v>
          </cell>
          <cell r="K244">
            <v>1</v>
          </cell>
          <cell r="L244" t="str">
            <v>取消</v>
          </cell>
          <cell r="M244" t="e">
            <v>#N/A</v>
          </cell>
          <cell r="N244"/>
          <cell r="O244"/>
          <cell r="P244"/>
          <cell r="Q244"/>
          <cell r="R244" t="str">
            <v>Yes</v>
          </cell>
          <cell r="S244" t="str">
            <v>C49</v>
          </cell>
          <cell r="T244" t="str">
            <v>SOUTH</v>
          </cell>
          <cell r="U244" t="str">
            <v>深圳</v>
          </cell>
          <cell r="V244" t="str">
            <v>SZ 深圳</v>
          </cell>
          <cell r="W244" t="str">
            <v>SX</v>
          </cell>
          <cell r="X244" t="str">
            <v>JPY</v>
          </cell>
          <cell r="Y244">
            <v>8544600</v>
          </cell>
          <cell r="Z244">
            <v>1</v>
          </cell>
          <cell r="AA244">
            <v>8544600</v>
          </cell>
          <cell r="AB244">
            <v>7.22E-2</v>
          </cell>
          <cell r="AC244">
            <v>616920.12</v>
          </cell>
          <cell r="AD244">
            <v>74030.414399999994</v>
          </cell>
          <cell r="AE244">
            <v>0.12</v>
          </cell>
          <cell r="AF244">
            <v>43305</v>
          </cell>
          <cell r="AG244" t="str">
            <v>DAP 深圳</v>
          </cell>
          <cell r="AH244"/>
          <cell r="AI244"/>
          <cell r="AJ244"/>
          <cell r="AK244">
            <v>0.2</v>
          </cell>
          <cell r="AL244">
            <v>1708920</v>
          </cell>
          <cell r="AM244"/>
          <cell r="AN244" t="str">
            <v>No</v>
          </cell>
          <cell r="AO244">
            <v>0.8</v>
          </cell>
          <cell r="AP244">
            <v>6835680</v>
          </cell>
          <cell r="AQ244"/>
          <cell r="AR244"/>
          <cell r="AS244">
            <v>0</v>
          </cell>
          <cell r="AT244">
            <v>0</v>
          </cell>
          <cell r="AV244"/>
          <cell r="AW244"/>
          <cell r="AX244" t="str">
            <v>Cancel</v>
          </cell>
          <cell r="AY244"/>
          <cell r="AZ244"/>
          <cell r="BA244" t="str">
            <v>Cancel</v>
          </cell>
          <cell r="BB244" t="str">
            <v>2018-10-23通知</v>
          </cell>
        </row>
        <row r="245">
          <cell r="B245">
            <v>109</v>
          </cell>
          <cell r="C245" t="str">
            <v>C49SZX20180121SX</v>
          </cell>
          <cell r="D245" t="str">
            <v>华汛</v>
          </cell>
          <cell r="E245" t="str">
            <v>YSM10</v>
          </cell>
          <cell r="F245" t="str">
            <v>NA</v>
          </cell>
          <cell r="G245" t="e">
            <v>#REF!</v>
          </cell>
          <cell r="H245" t="e">
            <v>#REF!</v>
          </cell>
          <cell r="I245" t="str">
            <v>R-&gt;L</v>
          </cell>
          <cell r="J245" t="str">
            <v>MVC</v>
          </cell>
          <cell r="K245">
            <v>1</v>
          </cell>
          <cell r="L245" t="str">
            <v>取消</v>
          </cell>
          <cell r="M245" t="e">
            <v>#N/A</v>
          </cell>
          <cell r="N245"/>
          <cell r="O245"/>
          <cell r="P245"/>
          <cell r="Q245"/>
          <cell r="R245" t="str">
            <v>Yes</v>
          </cell>
          <cell r="S245" t="str">
            <v>C49</v>
          </cell>
          <cell r="T245" t="str">
            <v>SOUTH</v>
          </cell>
          <cell r="U245" t="str">
            <v>深圳</v>
          </cell>
          <cell r="V245" t="str">
            <v>SZ 深圳</v>
          </cell>
          <cell r="W245" t="str">
            <v>SX</v>
          </cell>
          <cell r="X245" t="str">
            <v>JPY</v>
          </cell>
          <cell r="Y245">
            <v>8544600</v>
          </cell>
          <cell r="Z245">
            <v>1</v>
          </cell>
          <cell r="AA245">
            <v>8544600</v>
          </cell>
          <cell r="AB245">
            <v>7.22E-2</v>
          </cell>
          <cell r="AC245">
            <v>616920.12</v>
          </cell>
          <cell r="AD245">
            <v>74030.414399999994</v>
          </cell>
          <cell r="AE245">
            <v>0.12</v>
          </cell>
          <cell r="AF245">
            <v>43305</v>
          </cell>
          <cell r="AG245" t="str">
            <v>DAP 深圳</v>
          </cell>
          <cell r="AH245"/>
          <cell r="AI245"/>
          <cell r="AJ245"/>
          <cell r="AK245">
            <v>0.2</v>
          </cell>
          <cell r="AL245">
            <v>1708920</v>
          </cell>
          <cell r="AM245"/>
          <cell r="AN245" t="str">
            <v>No</v>
          </cell>
          <cell r="AO245">
            <v>0.8</v>
          </cell>
          <cell r="AP245">
            <v>6835680</v>
          </cell>
          <cell r="AQ245"/>
          <cell r="AR245"/>
          <cell r="AS245">
            <v>0</v>
          </cell>
          <cell r="AT245">
            <v>0</v>
          </cell>
          <cell r="AV245"/>
          <cell r="AW245"/>
          <cell r="AX245" t="str">
            <v>Cancel</v>
          </cell>
          <cell r="AY245"/>
          <cell r="AZ245"/>
          <cell r="BA245" t="str">
            <v>Cancel</v>
          </cell>
          <cell r="BB245" t="str">
            <v>2018-10-23通知</v>
          </cell>
        </row>
        <row r="246">
          <cell r="B246">
            <v>110</v>
          </cell>
          <cell r="C246" t="str">
            <v>C49SZX20180121SX</v>
          </cell>
          <cell r="D246" t="str">
            <v>华汛</v>
          </cell>
          <cell r="E246" t="str">
            <v>YSM10</v>
          </cell>
          <cell r="F246" t="str">
            <v>NA</v>
          </cell>
          <cell r="G246" t="e">
            <v>#REF!</v>
          </cell>
          <cell r="H246" t="e">
            <v>#REF!</v>
          </cell>
          <cell r="I246" t="str">
            <v>R-&gt;L</v>
          </cell>
          <cell r="J246" t="str">
            <v>MVC</v>
          </cell>
          <cell r="K246">
            <v>1</v>
          </cell>
          <cell r="L246" t="str">
            <v>取消</v>
          </cell>
          <cell r="M246" t="e">
            <v>#N/A</v>
          </cell>
          <cell r="N246"/>
          <cell r="O246"/>
          <cell r="P246"/>
          <cell r="Q246"/>
          <cell r="R246" t="str">
            <v>Yes</v>
          </cell>
          <cell r="S246" t="str">
            <v>C49</v>
          </cell>
          <cell r="T246" t="str">
            <v>SOUTH</v>
          </cell>
          <cell r="U246" t="str">
            <v>深圳</v>
          </cell>
          <cell r="V246" t="str">
            <v>SZ 深圳</v>
          </cell>
          <cell r="W246" t="str">
            <v>SX</v>
          </cell>
          <cell r="X246" t="str">
            <v>JPY</v>
          </cell>
          <cell r="Y246">
            <v>8544600</v>
          </cell>
          <cell r="Z246">
            <v>1</v>
          </cell>
          <cell r="AA246">
            <v>8544600</v>
          </cell>
          <cell r="AB246">
            <v>7.22E-2</v>
          </cell>
          <cell r="AC246">
            <v>616920.12</v>
          </cell>
          <cell r="AD246">
            <v>74030.414399999994</v>
          </cell>
          <cell r="AE246">
            <v>0.12</v>
          </cell>
          <cell r="AF246">
            <v>43305</v>
          </cell>
          <cell r="AG246" t="str">
            <v>DAP 深圳</v>
          </cell>
          <cell r="AH246"/>
          <cell r="AI246"/>
          <cell r="AJ246"/>
          <cell r="AK246">
            <v>0.2</v>
          </cell>
          <cell r="AL246">
            <v>1708920</v>
          </cell>
          <cell r="AM246"/>
          <cell r="AN246" t="str">
            <v>No</v>
          </cell>
          <cell r="AO246">
            <v>0.8</v>
          </cell>
          <cell r="AP246">
            <v>6835680</v>
          </cell>
          <cell r="AQ246"/>
          <cell r="AR246"/>
          <cell r="AS246">
            <v>0</v>
          </cell>
          <cell r="AT246">
            <v>0</v>
          </cell>
          <cell r="AV246"/>
          <cell r="AW246"/>
          <cell r="AX246" t="str">
            <v>Cancel</v>
          </cell>
          <cell r="AY246"/>
          <cell r="AZ246"/>
          <cell r="BA246" t="str">
            <v>Cancel</v>
          </cell>
          <cell r="BB246" t="str">
            <v>2018-10-23通知</v>
          </cell>
        </row>
        <row r="247">
          <cell r="B247">
            <v>111</v>
          </cell>
          <cell r="C247" t="str">
            <v>C49SZX20180123JL</v>
          </cell>
          <cell r="D247" t="str">
            <v>瑞福联</v>
          </cell>
          <cell r="E247" t="str">
            <v>YSM20-2</v>
          </cell>
          <cell r="F247" t="str">
            <v>NA</v>
          </cell>
          <cell r="G247" t="e">
            <v>#REF!</v>
          </cell>
          <cell r="H247" t="e">
            <v>#REF!</v>
          </cell>
          <cell r="I247" t="str">
            <v>L-&gt;R</v>
          </cell>
          <cell r="J247" t="str">
            <v>No</v>
          </cell>
          <cell r="K247">
            <v>1</v>
          </cell>
          <cell r="L247" t="str">
            <v>取消</v>
          </cell>
          <cell r="M247" t="e">
            <v>#N/A</v>
          </cell>
          <cell r="N247"/>
          <cell r="O247"/>
          <cell r="P247"/>
          <cell r="Q247"/>
          <cell r="R247" t="str">
            <v>No</v>
          </cell>
          <cell r="S247" t="str">
            <v>C49</v>
          </cell>
          <cell r="T247" t="str">
            <v>SOUTH</v>
          </cell>
          <cell r="U247" t="str">
            <v>深圳</v>
          </cell>
          <cell r="V247" t="str">
            <v>SZ 深圳</v>
          </cell>
          <cell r="W247" t="str">
            <v>JL</v>
          </cell>
          <cell r="X247" t="str">
            <v>JPY</v>
          </cell>
          <cell r="Y247">
            <v>12000000</v>
          </cell>
          <cell r="Z247">
            <v>1</v>
          </cell>
          <cell r="AA247">
            <v>12000000</v>
          </cell>
          <cell r="AB247">
            <v>7.22E-2</v>
          </cell>
          <cell r="AC247">
            <v>866400</v>
          </cell>
          <cell r="AD247">
            <v>103968</v>
          </cell>
          <cell r="AE247">
            <v>0.12</v>
          </cell>
          <cell r="AF247">
            <v>43308</v>
          </cell>
          <cell r="AG247" t="str">
            <v>CIF</v>
          </cell>
          <cell r="AH247"/>
          <cell r="AI247"/>
          <cell r="AJ247"/>
          <cell r="AK247" t="str">
            <v>agree</v>
          </cell>
          <cell r="AL247">
            <v>13010400</v>
          </cell>
          <cell r="AM247">
            <v>43160</v>
          </cell>
          <cell r="AN247" t="str">
            <v>Yes</v>
          </cell>
          <cell r="AO247" t="str">
            <v>agree</v>
          </cell>
          <cell r="AP247">
            <v>34989600</v>
          </cell>
          <cell r="AQ247"/>
          <cell r="AR247"/>
          <cell r="AS247">
            <v>0</v>
          </cell>
          <cell r="AT247">
            <v>0</v>
          </cell>
          <cell r="AV247"/>
          <cell r="AW247"/>
          <cell r="AX247" t="str">
            <v>Cancel</v>
          </cell>
          <cell r="AY247"/>
          <cell r="AZ247"/>
          <cell r="BA247" t="str">
            <v>Cancel</v>
          </cell>
        </row>
        <row r="248">
          <cell r="B248">
            <v>112</v>
          </cell>
          <cell r="C248" t="str">
            <v>C49SZX20180123JL</v>
          </cell>
          <cell r="D248" t="str">
            <v>瑞福联</v>
          </cell>
          <cell r="E248" t="str">
            <v>YSM20-2</v>
          </cell>
          <cell r="F248" t="str">
            <v>NA</v>
          </cell>
          <cell r="G248" t="e">
            <v>#REF!</v>
          </cell>
          <cell r="H248" t="e">
            <v>#REF!</v>
          </cell>
          <cell r="I248" t="str">
            <v>L-&gt;R</v>
          </cell>
          <cell r="J248" t="str">
            <v>No</v>
          </cell>
          <cell r="K248">
            <v>1</v>
          </cell>
          <cell r="L248" t="str">
            <v>取消</v>
          </cell>
          <cell r="M248" t="e">
            <v>#N/A</v>
          </cell>
          <cell r="N248"/>
          <cell r="O248"/>
          <cell r="P248"/>
          <cell r="Q248"/>
          <cell r="R248" t="str">
            <v>No</v>
          </cell>
          <cell r="S248" t="str">
            <v>C49</v>
          </cell>
          <cell r="T248" t="str">
            <v>SOUTH</v>
          </cell>
          <cell r="U248" t="str">
            <v>深圳</v>
          </cell>
          <cell r="V248" t="str">
            <v>SZ 深圳</v>
          </cell>
          <cell r="W248" t="str">
            <v>JL</v>
          </cell>
          <cell r="X248" t="str">
            <v>JPY</v>
          </cell>
          <cell r="Y248">
            <v>12000000</v>
          </cell>
          <cell r="Z248">
            <v>1</v>
          </cell>
          <cell r="AA248">
            <v>12000000</v>
          </cell>
          <cell r="AB248">
            <v>7.22E-2</v>
          </cell>
          <cell r="AC248">
            <v>866400</v>
          </cell>
          <cell r="AD248">
            <v>103968</v>
          </cell>
          <cell r="AE248">
            <v>0.12</v>
          </cell>
          <cell r="AF248">
            <v>43308</v>
          </cell>
          <cell r="AG248" t="str">
            <v>CIF</v>
          </cell>
          <cell r="AH248"/>
          <cell r="AI248"/>
          <cell r="AJ248"/>
          <cell r="AK248" t="str">
            <v>agree</v>
          </cell>
          <cell r="AL248">
            <v>0</v>
          </cell>
          <cell r="AM248">
            <v>43160</v>
          </cell>
          <cell r="AN248" t="str">
            <v>Yes</v>
          </cell>
          <cell r="AO248" t="str">
            <v>agree</v>
          </cell>
          <cell r="AP248">
            <v>34989600</v>
          </cell>
          <cell r="AQ248"/>
          <cell r="AR248"/>
          <cell r="AS248">
            <v>0</v>
          </cell>
          <cell r="AT248">
            <v>0</v>
          </cell>
          <cell r="AV248"/>
          <cell r="AW248"/>
          <cell r="AX248" t="str">
            <v>Cancel</v>
          </cell>
          <cell r="AY248"/>
          <cell r="AZ248"/>
          <cell r="BA248" t="str">
            <v>Cancel</v>
          </cell>
        </row>
        <row r="249">
          <cell r="B249">
            <v>113</v>
          </cell>
          <cell r="C249" t="str">
            <v>C49SZX20180123JL</v>
          </cell>
          <cell r="D249" t="str">
            <v>瑞福联</v>
          </cell>
          <cell r="E249" t="str">
            <v>YSM20-2</v>
          </cell>
          <cell r="F249" t="str">
            <v>NA</v>
          </cell>
          <cell r="G249" t="e">
            <v>#REF!</v>
          </cell>
          <cell r="H249" t="e">
            <v>#REF!</v>
          </cell>
          <cell r="I249" t="str">
            <v>L-&gt;R</v>
          </cell>
          <cell r="J249" t="str">
            <v>No</v>
          </cell>
          <cell r="K249">
            <v>1</v>
          </cell>
          <cell r="L249" t="str">
            <v>取消</v>
          </cell>
          <cell r="M249" t="e">
            <v>#N/A</v>
          </cell>
          <cell r="N249"/>
          <cell r="O249"/>
          <cell r="P249"/>
          <cell r="Q249"/>
          <cell r="R249" t="str">
            <v>No</v>
          </cell>
          <cell r="S249" t="str">
            <v>C49</v>
          </cell>
          <cell r="T249" t="str">
            <v>SOUTH</v>
          </cell>
          <cell r="U249" t="str">
            <v>深圳</v>
          </cell>
          <cell r="V249" t="str">
            <v>SZ 深圳</v>
          </cell>
          <cell r="W249" t="str">
            <v>JL</v>
          </cell>
          <cell r="X249" t="str">
            <v>JPY</v>
          </cell>
          <cell r="Y249">
            <v>12000000</v>
          </cell>
          <cell r="Z249">
            <v>1</v>
          </cell>
          <cell r="AA249">
            <v>12000000</v>
          </cell>
          <cell r="AB249">
            <v>7.22E-2</v>
          </cell>
          <cell r="AC249">
            <v>866400</v>
          </cell>
          <cell r="AD249">
            <v>103968</v>
          </cell>
          <cell r="AE249">
            <v>0.12</v>
          </cell>
          <cell r="AF249">
            <v>43308</v>
          </cell>
          <cell r="AG249" t="str">
            <v>CIF</v>
          </cell>
          <cell r="AH249"/>
          <cell r="AI249"/>
          <cell r="AJ249"/>
          <cell r="AK249" t="str">
            <v>agree</v>
          </cell>
          <cell r="AL249">
            <v>0</v>
          </cell>
          <cell r="AM249">
            <v>43160</v>
          </cell>
          <cell r="AN249" t="str">
            <v>Yes</v>
          </cell>
          <cell r="AO249" t="str">
            <v>agree</v>
          </cell>
          <cell r="AP249">
            <v>34989600</v>
          </cell>
          <cell r="AQ249"/>
          <cell r="AR249"/>
          <cell r="AS249">
            <v>0</v>
          </cell>
          <cell r="AT249">
            <v>0</v>
          </cell>
          <cell r="AV249"/>
          <cell r="AW249"/>
          <cell r="AX249" t="str">
            <v>Cancel</v>
          </cell>
          <cell r="AY249"/>
          <cell r="AZ249"/>
          <cell r="BA249" t="str">
            <v>Cancel</v>
          </cell>
        </row>
        <row r="250">
          <cell r="B250">
            <v>114</v>
          </cell>
          <cell r="C250" t="str">
            <v>C49SZX20180123JL</v>
          </cell>
          <cell r="D250" t="str">
            <v>瑞福联</v>
          </cell>
          <cell r="E250" t="str">
            <v>YSM20-2</v>
          </cell>
          <cell r="F250" t="str">
            <v>NA</v>
          </cell>
          <cell r="G250" t="e">
            <v>#REF!</v>
          </cell>
          <cell r="H250" t="e">
            <v>#REF!</v>
          </cell>
          <cell r="I250" t="str">
            <v>L-&gt;R</v>
          </cell>
          <cell r="J250" t="str">
            <v>No</v>
          </cell>
          <cell r="K250">
            <v>1</v>
          </cell>
          <cell r="L250" t="str">
            <v>取消</v>
          </cell>
          <cell r="M250" t="e">
            <v>#N/A</v>
          </cell>
          <cell r="N250"/>
          <cell r="O250"/>
          <cell r="P250"/>
          <cell r="Q250"/>
          <cell r="R250" t="str">
            <v>No</v>
          </cell>
          <cell r="S250" t="str">
            <v>C49</v>
          </cell>
          <cell r="T250" t="str">
            <v>SOUTH</v>
          </cell>
          <cell r="U250" t="str">
            <v>深圳</v>
          </cell>
          <cell r="V250" t="str">
            <v>SZ 深圳</v>
          </cell>
          <cell r="W250" t="str">
            <v>JL</v>
          </cell>
          <cell r="X250" t="str">
            <v>JPY</v>
          </cell>
          <cell r="Y250">
            <v>12000000</v>
          </cell>
          <cell r="Z250">
            <v>1</v>
          </cell>
          <cell r="AA250">
            <v>12000000</v>
          </cell>
          <cell r="AB250">
            <v>7.22E-2</v>
          </cell>
          <cell r="AC250">
            <v>866400</v>
          </cell>
          <cell r="AD250">
            <v>103968</v>
          </cell>
          <cell r="AE250">
            <v>0.12</v>
          </cell>
          <cell r="AF250">
            <v>43308</v>
          </cell>
          <cell r="AG250" t="str">
            <v>CIF</v>
          </cell>
          <cell r="AH250"/>
          <cell r="AI250"/>
          <cell r="AJ250"/>
          <cell r="AK250" t="str">
            <v>agree</v>
          </cell>
          <cell r="AL250">
            <v>0</v>
          </cell>
          <cell r="AM250">
            <v>43160</v>
          </cell>
          <cell r="AN250" t="str">
            <v>Yes</v>
          </cell>
          <cell r="AO250" t="str">
            <v>agree</v>
          </cell>
          <cell r="AP250">
            <v>34989600</v>
          </cell>
          <cell r="AQ250"/>
          <cell r="AR250"/>
          <cell r="AS250">
            <v>0</v>
          </cell>
          <cell r="AT250">
            <v>0</v>
          </cell>
          <cell r="AV250"/>
          <cell r="AW250"/>
          <cell r="AX250" t="str">
            <v>Cancel</v>
          </cell>
          <cell r="AY250"/>
          <cell r="AZ250"/>
          <cell r="BA250" t="str">
            <v>Cancel</v>
          </cell>
        </row>
        <row r="251">
          <cell r="B251">
            <v>115</v>
          </cell>
          <cell r="C251" t="str">
            <v>C49SZX20180124JL</v>
          </cell>
          <cell r="D251" t="str">
            <v>通通旺</v>
          </cell>
          <cell r="E251" t="str">
            <v>YSM20R(SV)-2</v>
          </cell>
          <cell r="F251" t="str">
            <v>NA</v>
          </cell>
          <cell r="G251" t="e">
            <v>#REF!</v>
          </cell>
          <cell r="H251" t="e">
            <v>#REF!</v>
          </cell>
          <cell r="I251" t="str">
            <v>L-&gt;R</v>
          </cell>
          <cell r="J251" t="str">
            <v>No</v>
          </cell>
          <cell r="K251">
            <v>1</v>
          </cell>
          <cell r="L251">
            <v>109202</v>
          </cell>
          <cell r="M251" t="str">
            <v>NOV 18</v>
          </cell>
          <cell r="O251">
            <v>11116226</v>
          </cell>
          <cell r="P251">
            <v>11000000</v>
          </cell>
          <cell r="Q251">
            <v>43405</v>
          </cell>
          <cell r="R251" t="str">
            <v>No</v>
          </cell>
          <cell r="S251" t="str">
            <v>C49</v>
          </cell>
          <cell r="T251" t="str">
            <v>SOUTH</v>
          </cell>
          <cell r="U251" t="str">
            <v>深圳</v>
          </cell>
          <cell r="V251" t="str">
            <v>SZ 深圳</v>
          </cell>
          <cell r="W251" t="str">
            <v>JL</v>
          </cell>
          <cell r="X251" t="str">
            <v>JPY</v>
          </cell>
          <cell r="Y251">
            <v>11000000</v>
          </cell>
          <cell r="Z251">
            <v>1</v>
          </cell>
          <cell r="AA251">
            <v>11000000</v>
          </cell>
          <cell r="AB251">
            <v>7.2099999999999997E-2</v>
          </cell>
          <cell r="AC251">
            <v>793100</v>
          </cell>
          <cell r="AD251">
            <v>95172</v>
          </cell>
          <cell r="AE251">
            <v>0.12</v>
          </cell>
          <cell r="AF251">
            <v>43322</v>
          </cell>
          <cell r="AG251" t="str">
            <v>CIF HK</v>
          </cell>
          <cell r="AH251"/>
          <cell r="AI251"/>
          <cell r="AJ251"/>
          <cell r="AK251" t="str">
            <v>agree</v>
          </cell>
          <cell r="AL251">
            <v>809505</v>
          </cell>
          <cell r="AM251">
            <v>43344</v>
          </cell>
          <cell r="AN251" t="str">
            <v>Yes</v>
          </cell>
          <cell r="AO251" t="str">
            <v>agree</v>
          </cell>
          <cell r="AP251">
            <v>10190495</v>
          </cell>
          <cell r="AQ251">
            <v>43405</v>
          </cell>
          <cell r="AR251">
            <v>43405</v>
          </cell>
          <cell r="AS251" t="str">
            <v>complete</v>
          </cell>
          <cell r="AT251" t="e">
            <v>#VALUE!</v>
          </cell>
          <cell r="AV251"/>
          <cell r="AW251"/>
          <cell r="AX251" t="str">
            <v>Yes</v>
          </cell>
          <cell r="AY251"/>
          <cell r="BA251" t="str">
            <v>Yes</v>
          </cell>
        </row>
        <row r="252">
          <cell r="B252">
            <v>116</v>
          </cell>
          <cell r="C252" t="str">
            <v>C49SZX20180125SX</v>
          </cell>
          <cell r="D252" t="str">
            <v>拓新伟业</v>
          </cell>
          <cell r="E252" t="str">
            <v>YSM40R-4</v>
          </cell>
          <cell r="F252" t="str">
            <v>NA</v>
          </cell>
          <cell r="G252" t="e">
            <v>#REF!</v>
          </cell>
          <cell r="H252" t="e">
            <v>#REF!</v>
          </cell>
          <cell r="I252" t="str">
            <v>L-&gt;R</v>
          </cell>
          <cell r="J252" t="str">
            <v>No</v>
          </cell>
          <cell r="K252">
            <v>1</v>
          </cell>
          <cell r="L252" t="str">
            <v>取消</v>
          </cell>
          <cell r="M252" t="e">
            <v>#N/A</v>
          </cell>
          <cell r="N252"/>
          <cell r="O252"/>
          <cell r="P252"/>
          <cell r="Q252"/>
          <cell r="R252" t="str">
            <v>Yes</v>
          </cell>
          <cell r="S252" t="str">
            <v>C49</v>
          </cell>
          <cell r="T252" t="str">
            <v>SOUTH</v>
          </cell>
          <cell r="U252" t="str">
            <v>深圳</v>
          </cell>
          <cell r="V252" t="str">
            <v>SZ 深圳</v>
          </cell>
          <cell r="W252" t="str">
            <v>SX</v>
          </cell>
          <cell r="X252" t="str">
            <v>JPY</v>
          </cell>
          <cell r="Y252">
            <v>27923924</v>
          </cell>
          <cell r="Z252">
            <v>1</v>
          </cell>
          <cell r="AA252">
            <v>27923924</v>
          </cell>
          <cell r="AB252">
            <v>7.22E-2</v>
          </cell>
          <cell r="AC252">
            <v>2016107.3128</v>
          </cell>
          <cell r="AD252">
            <v>241932.87753599999</v>
          </cell>
          <cell r="AE252">
            <v>0.12</v>
          </cell>
          <cell r="AF252">
            <v>43312</v>
          </cell>
          <cell r="AG252" t="str">
            <v>DAP 深圳</v>
          </cell>
          <cell r="AH252"/>
          <cell r="AI252"/>
          <cell r="AJ252"/>
          <cell r="AK252">
            <v>0.2</v>
          </cell>
          <cell r="AL252">
            <v>5584784.8000000007</v>
          </cell>
          <cell r="AM252"/>
          <cell r="AN252" t="str">
            <v>No</v>
          </cell>
          <cell r="AO252">
            <v>0.8</v>
          </cell>
          <cell r="AP252">
            <v>22339139.200000003</v>
          </cell>
          <cell r="AQ252"/>
          <cell r="AR252"/>
          <cell r="AS252"/>
          <cell r="AT252">
            <v>0</v>
          </cell>
          <cell r="AV252"/>
          <cell r="AW252"/>
          <cell r="AX252" t="str">
            <v>Cancel</v>
          </cell>
          <cell r="AY252"/>
          <cell r="AZ252"/>
          <cell r="BA252" t="str">
            <v>Cancel</v>
          </cell>
          <cell r="BB252" t="str">
            <v>2018-10-23通知</v>
          </cell>
        </row>
        <row r="253">
          <cell r="B253">
            <v>117</v>
          </cell>
          <cell r="C253" t="str">
            <v>C49SZX20180126SX</v>
          </cell>
          <cell r="D253" t="str">
            <v>拓新伟业</v>
          </cell>
          <cell r="E253" t="str">
            <v>YSM40R-4</v>
          </cell>
          <cell r="F253" t="str">
            <v>NA</v>
          </cell>
          <cell r="G253" t="e">
            <v>#REF!</v>
          </cell>
          <cell r="H253" t="e">
            <v>#REF!</v>
          </cell>
          <cell r="I253" t="str">
            <v>L-&gt;R</v>
          </cell>
          <cell r="J253" t="str">
            <v>No</v>
          </cell>
          <cell r="K253">
            <v>1</v>
          </cell>
          <cell r="L253" t="str">
            <v>取消</v>
          </cell>
          <cell r="M253" t="e">
            <v>#N/A</v>
          </cell>
          <cell r="N253"/>
          <cell r="O253"/>
          <cell r="P253"/>
          <cell r="Q253"/>
          <cell r="R253" t="str">
            <v>Yes</v>
          </cell>
          <cell r="S253" t="str">
            <v>C49</v>
          </cell>
          <cell r="T253" t="str">
            <v>SOUTH</v>
          </cell>
          <cell r="U253" t="str">
            <v>深圳</v>
          </cell>
          <cell r="V253" t="str">
            <v>SZ 深圳</v>
          </cell>
          <cell r="W253" t="str">
            <v>SX</v>
          </cell>
          <cell r="X253" t="str">
            <v>JPY</v>
          </cell>
          <cell r="Y253">
            <v>27923924</v>
          </cell>
          <cell r="Z253">
            <v>1</v>
          </cell>
          <cell r="AA253">
            <v>27923924</v>
          </cell>
          <cell r="AB253">
            <v>7.22E-2</v>
          </cell>
          <cell r="AC253">
            <v>2016107.3128</v>
          </cell>
          <cell r="AD253">
            <v>241932.87753599999</v>
          </cell>
          <cell r="AE253">
            <v>0.12</v>
          </cell>
          <cell r="AF253">
            <v>43312</v>
          </cell>
          <cell r="AG253" t="str">
            <v>DAP 深圳</v>
          </cell>
          <cell r="AH253"/>
          <cell r="AI253"/>
          <cell r="AJ253"/>
          <cell r="AK253">
            <v>0.2</v>
          </cell>
          <cell r="AL253">
            <v>5584784.8000000007</v>
          </cell>
          <cell r="AM253"/>
          <cell r="AN253" t="str">
            <v>No</v>
          </cell>
          <cell r="AO253">
            <v>0.8</v>
          </cell>
          <cell r="AP253">
            <v>22339139.200000003</v>
          </cell>
          <cell r="AQ253"/>
          <cell r="AR253"/>
          <cell r="AS253"/>
          <cell r="AT253">
            <v>0</v>
          </cell>
          <cell r="AV253"/>
          <cell r="AW253"/>
          <cell r="AX253" t="str">
            <v>Cancel</v>
          </cell>
          <cell r="AY253"/>
          <cell r="AZ253"/>
          <cell r="BA253" t="str">
            <v>Cancel</v>
          </cell>
          <cell r="BB253" t="str">
            <v>2018-10-23通知</v>
          </cell>
        </row>
        <row r="254">
          <cell r="B254"/>
          <cell r="C254" t="str">
            <v>C49SZX20180127JL</v>
          </cell>
          <cell r="D254" t="str">
            <v>拓普艾</v>
          </cell>
          <cell r="E254" t="str">
            <v>YSM10</v>
          </cell>
          <cell r="F254" t="str">
            <v>NA</v>
          </cell>
          <cell r="G254" t="e">
            <v>#REF!</v>
          </cell>
          <cell r="H254" t="e">
            <v>#REF!</v>
          </cell>
          <cell r="K254">
            <v>1</v>
          </cell>
          <cell r="L254" t="str">
            <v>已经送货</v>
          </cell>
          <cell r="M254" t="str">
            <v>2018/8</v>
          </cell>
          <cell r="O254">
            <v>11116188</v>
          </cell>
          <cell r="P254">
            <v>8360000</v>
          </cell>
          <cell r="Q254">
            <v>43313</v>
          </cell>
          <cell r="R254" t="str">
            <v>No</v>
          </cell>
          <cell r="S254" t="str">
            <v>C49</v>
          </cell>
          <cell r="T254" t="str">
            <v>SOUTH</v>
          </cell>
          <cell r="U254" t="str">
            <v>深圳</v>
          </cell>
          <cell r="V254" t="str">
            <v>SZ 深圳</v>
          </cell>
          <cell r="W254" t="str">
            <v>JL</v>
          </cell>
          <cell r="X254" t="str">
            <v>JPY</v>
          </cell>
          <cell r="Y254">
            <v>8360000</v>
          </cell>
          <cell r="Z254">
            <v>1</v>
          </cell>
          <cell r="AA254">
            <v>8360000</v>
          </cell>
          <cell r="AB254">
            <v>7.2099999999999997E-2</v>
          </cell>
          <cell r="AC254">
            <v>602756</v>
          </cell>
          <cell r="AD254">
            <v>72330.720000000001</v>
          </cell>
          <cell r="AE254">
            <v>0.12</v>
          </cell>
          <cell r="AF254">
            <v>43319</v>
          </cell>
          <cell r="AG254" t="str">
            <v>CIF HK</v>
          </cell>
          <cell r="AH254"/>
          <cell r="AI254">
            <v>0</v>
          </cell>
          <cell r="AJ254">
            <v>43334</v>
          </cell>
          <cell r="AK254" t="str">
            <v>agree</v>
          </cell>
          <cell r="AL254">
            <v>8344958</v>
          </cell>
          <cell r="AM254">
            <v>43344</v>
          </cell>
          <cell r="AN254" t="str">
            <v>Yes</v>
          </cell>
          <cell r="AO254" t="str">
            <v>agree</v>
          </cell>
          <cell r="AP254">
            <v>15042</v>
          </cell>
          <cell r="AQ254">
            <v>43344</v>
          </cell>
          <cell r="AR254">
            <v>43348</v>
          </cell>
          <cell r="AS254" t="str">
            <v>complete</v>
          </cell>
          <cell r="AT254" t="e">
            <v>#VALUE!</v>
          </cell>
          <cell r="AV254"/>
          <cell r="AW254"/>
          <cell r="AX254" t="str">
            <v>Yes</v>
          </cell>
          <cell r="AY254"/>
          <cell r="AZ254" t="str">
            <v>Y</v>
          </cell>
          <cell r="BA254" t="str">
            <v>Yes</v>
          </cell>
        </row>
        <row r="255">
          <cell r="B255">
            <v>118</v>
          </cell>
          <cell r="C255" t="str">
            <v>C49SZX20180129JL</v>
          </cell>
          <cell r="D255" t="str">
            <v>通通旺</v>
          </cell>
          <cell r="E255" t="str">
            <v>YSM20R(SV)-2</v>
          </cell>
          <cell r="F255" t="str">
            <v>NA</v>
          </cell>
          <cell r="G255" t="e">
            <v>#REF!</v>
          </cell>
          <cell r="H255" t="e">
            <v>#REF!</v>
          </cell>
          <cell r="I255" t="str">
            <v>L-&gt;R</v>
          </cell>
          <cell r="J255" t="str">
            <v>No</v>
          </cell>
          <cell r="K255">
            <v>1</v>
          </cell>
          <cell r="L255" t="e">
            <v>#REF!</v>
          </cell>
          <cell r="M255" t="e">
            <v>#REF!</v>
          </cell>
          <cell r="N255"/>
          <cell r="O255"/>
          <cell r="P255"/>
          <cell r="Q255"/>
          <cell r="R255" t="str">
            <v>No</v>
          </cell>
          <cell r="S255" t="str">
            <v>C49</v>
          </cell>
          <cell r="T255" t="str">
            <v>SOUTH</v>
          </cell>
          <cell r="U255" t="str">
            <v>深圳</v>
          </cell>
          <cell r="V255" t="str">
            <v>SZ 深圳</v>
          </cell>
          <cell r="W255" t="str">
            <v>JL</v>
          </cell>
          <cell r="X255" t="str">
            <v>JPY</v>
          </cell>
          <cell r="Y255">
            <v>11000000</v>
          </cell>
          <cell r="Z255">
            <v>1</v>
          </cell>
          <cell r="AA255">
            <v>11000000</v>
          </cell>
          <cell r="AB255">
            <v>7.2099999999999997E-2</v>
          </cell>
          <cell r="AC255">
            <v>793100</v>
          </cell>
          <cell r="AD255">
            <v>95172</v>
          </cell>
          <cell r="AE255">
            <v>0.12</v>
          </cell>
          <cell r="AF255">
            <v>43322</v>
          </cell>
          <cell r="AG255" t="str">
            <v>CIF HK</v>
          </cell>
          <cell r="AH255"/>
          <cell r="AI255"/>
          <cell r="AJ255"/>
          <cell r="AK255">
            <v>0.3</v>
          </cell>
          <cell r="AL255">
            <v>3300000</v>
          </cell>
          <cell r="AM255"/>
          <cell r="AN255" t="str">
            <v>No</v>
          </cell>
          <cell r="AO255">
            <v>0.7</v>
          </cell>
          <cell r="AP255">
            <v>7699999.9999999991</v>
          </cell>
          <cell r="AQ255"/>
          <cell r="AR255"/>
          <cell r="AS255">
            <v>0</v>
          </cell>
          <cell r="AT255">
            <v>0</v>
          </cell>
          <cell r="AV255"/>
          <cell r="AW255"/>
          <cell r="AX255" t="str">
            <v>Cancel</v>
          </cell>
          <cell r="AY255"/>
          <cell r="AZ255"/>
          <cell r="BA255" t="str">
            <v>Cancel</v>
          </cell>
        </row>
        <row r="256">
          <cell r="B256">
            <v>119</v>
          </cell>
          <cell r="C256" t="str">
            <v>C49SZX20180131DZ</v>
          </cell>
          <cell r="D256" t="str">
            <v>朗特</v>
          </cell>
          <cell r="E256" t="str">
            <v>YSM20R(SV)-2</v>
          </cell>
          <cell r="F256" t="str">
            <v>#08242</v>
          </cell>
          <cell r="G256" t="e">
            <v>#REF!</v>
          </cell>
          <cell r="H256" t="e">
            <v>#REF!</v>
          </cell>
          <cell r="I256" t="str">
            <v>R-&gt;L</v>
          </cell>
          <cell r="J256" t="str">
            <v>No</v>
          </cell>
          <cell r="K256">
            <v>1</v>
          </cell>
          <cell r="L256">
            <v>109279</v>
          </cell>
          <cell r="M256" t="str">
            <v>DEC 18</v>
          </cell>
          <cell r="O256">
            <v>11116248</v>
          </cell>
          <cell r="P256">
            <v>12235000</v>
          </cell>
          <cell r="Q256">
            <v>43435</v>
          </cell>
          <cell r="R256" t="str">
            <v>No</v>
          </cell>
          <cell r="S256" t="str">
            <v>C49</v>
          </cell>
          <cell r="T256" t="str">
            <v>SOUTH</v>
          </cell>
          <cell r="U256" t="str">
            <v>深圳</v>
          </cell>
          <cell r="V256" t="str">
            <v>SZ 深圳</v>
          </cell>
          <cell r="W256" t="str">
            <v>DZ</v>
          </cell>
          <cell r="X256" t="str">
            <v>JPY</v>
          </cell>
          <cell r="Y256">
            <v>12235000</v>
          </cell>
          <cell r="Z256">
            <v>1</v>
          </cell>
          <cell r="AA256">
            <v>12235000</v>
          </cell>
          <cell r="AB256">
            <v>7.2099999999999997E-2</v>
          </cell>
          <cell r="AC256">
            <v>882143.5</v>
          </cell>
          <cell r="AD256">
            <v>105857.22</v>
          </cell>
          <cell r="AE256">
            <v>0.12</v>
          </cell>
          <cell r="AF256">
            <v>43325</v>
          </cell>
          <cell r="AG256" t="str">
            <v>CIF</v>
          </cell>
          <cell r="AH256"/>
          <cell r="AI256"/>
          <cell r="AJ256"/>
          <cell r="AK256">
            <v>0.2</v>
          </cell>
          <cell r="AL256">
            <v>2447000</v>
          </cell>
          <cell r="AM256">
            <v>43313</v>
          </cell>
          <cell r="AN256" t="str">
            <v>Yes</v>
          </cell>
          <cell r="AO256">
            <v>0.8</v>
          </cell>
          <cell r="AP256">
            <v>9788000</v>
          </cell>
          <cell r="AQ256">
            <v>43435</v>
          </cell>
          <cell r="AR256">
            <v>43462</v>
          </cell>
          <cell r="AS256" t="str">
            <v>complete</v>
          </cell>
          <cell r="AT256" t="e">
            <v>#VALUE!</v>
          </cell>
          <cell r="AV256"/>
          <cell r="AW256"/>
          <cell r="AX256" t="str">
            <v>Yes</v>
          </cell>
          <cell r="AY256"/>
          <cell r="AZ256" t="str">
            <v>Y</v>
          </cell>
          <cell r="BA256" t="str">
            <v>Yes</v>
          </cell>
        </row>
        <row r="257">
          <cell r="B257">
            <v>120</v>
          </cell>
          <cell r="C257" t="str">
            <v>C49SZX20180131DZ</v>
          </cell>
          <cell r="D257" t="str">
            <v>朗特</v>
          </cell>
          <cell r="E257" t="str">
            <v>YSM10</v>
          </cell>
          <cell r="F257" t="str">
            <v>#08242</v>
          </cell>
          <cell r="G257" t="e">
            <v>#REF!</v>
          </cell>
          <cell r="H257" t="e">
            <v>#REF!</v>
          </cell>
          <cell r="I257" t="str">
            <v>R-&gt;L</v>
          </cell>
          <cell r="J257" t="str">
            <v>MVC+ATS15</v>
          </cell>
          <cell r="K257">
            <v>1</v>
          </cell>
          <cell r="L257">
            <v>109284</v>
          </cell>
          <cell r="M257" t="str">
            <v>DEC 18</v>
          </cell>
          <cell r="O257">
            <v>11116248</v>
          </cell>
          <cell r="P257">
            <v>14000000</v>
          </cell>
          <cell r="Q257">
            <v>43435</v>
          </cell>
          <cell r="R257" t="str">
            <v>No</v>
          </cell>
          <cell r="S257" t="str">
            <v>C49</v>
          </cell>
          <cell r="T257" t="str">
            <v>SOUTH</v>
          </cell>
          <cell r="U257" t="str">
            <v>深圳</v>
          </cell>
          <cell r="V257" t="str">
            <v>SZ 深圳</v>
          </cell>
          <cell r="W257" t="str">
            <v>DZ</v>
          </cell>
          <cell r="X257" t="str">
            <v>JPY</v>
          </cell>
          <cell r="Y257">
            <v>14000000</v>
          </cell>
          <cell r="Z257">
            <v>1</v>
          </cell>
          <cell r="AA257">
            <v>14000000</v>
          </cell>
          <cell r="AB257">
            <v>7.2099999999999997E-2</v>
          </cell>
          <cell r="AC257">
            <v>1009400</v>
          </cell>
          <cell r="AD257">
            <v>121128</v>
          </cell>
          <cell r="AE257">
            <v>0.12</v>
          </cell>
          <cell r="AF257">
            <v>43325</v>
          </cell>
          <cell r="AG257" t="str">
            <v>CIF</v>
          </cell>
          <cell r="AH257"/>
          <cell r="AI257"/>
          <cell r="AJ257"/>
          <cell r="AK257">
            <v>0.2</v>
          </cell>
          <cell r="AL257">
            <v>2800000</v>
          </cell>
          <cell r="AM257">
            <v>43313</v>
          </cell>
          <cell r="AN257" t="str">
            <v>Yes</v>
          </cell>
          <cell r="AO257">
            <v>0.8</v>
          </cell>
          <cell r="AP257">
            <v>11200000</v>
          </cell>
          <cell r="AQ257">
            <v>43435</v>
          </cell>
          <cell r="AR257">
            <v>43462</v>
          </cell>
          <cell r="AS257" t="str">
            <v>complete</v>
          </cell>
          <cell r="AT257" t="e">
            <v>#VALUE!</v>
          </cell>
          <cell r="AV257"/>
          <cell r="AW257"/>
          <cell r="AX257" t="str">
            <v>Yes</v>
          </cell>
          <cell r="AY257"/>
          <cell r="AZ257" t="str">
            <v>Y</v>
          </cell>
          <cell r="BA257" t="str">
            <v>Yes</v>
          </cell>
        </row>
        <row r="258">
          <cell r="B258"/>
          <cell r="C258" t="str">
            <v>C49SZX20180132R1JY</v>
          </cell>
          <cell r="D258" t="str">
            <v>辉拓</v>
          </cell>
          <cell r="E258" t="str">
            <v>YSM10</v>
          </cell>
          <cell r="F258" t="str">
            <v>NA</v>
          </cell>
          <cell r="G258" t="e">
            <v>#REF!</v>
          </cell>
          <cell r="H258" t="e">
            <v>#REF!</v>
          </cell>
          <cell r="K258">
            <v>1</v>
          </cell>
          <cell r="L258" t="str">
            <v>已经送货</v>
          </cell>
          <cell r="M258" t="str">
            <v>SEP 18</v>
          </cell>
          <cell r="O258">
            <v>11100273</v>
          </cell>
          <cell r="P258">
            <v>750000</v>
          </cell>
          <cell r="Q258">
            <v>43344</v>
          </cell>
          <cell r="R258" t="str">
            <v>No</v>
          </cell>
          <cell r="S258" t="str">
            <v>C49</v>
          </cell>
          <cell r="T258" t="str">
            <v>SOUTH</v>
          </cell>
          <cell r="U258" t="str">
            <v>深圳</v>
          </cell>
          <cell r="V258" t="str">
            <v>SZ 深圳</v>
          </cell>
          <cell r="W258" t="str">
            <v>JY</v>
          </cell>
          <cell r="X258" t="str">
            <v>RMB</v>
          </cell>
          <cell r="Y258">
            <v>710000</v>
          </cell>
          <cell r="Z258">
            <v>1.1599999999999999</v>
          </cell>
          <cell r="AA258">
            <v>750000</v>
          </cell>
          <cell r="AB258">
            <v>1.1499999999999999</v>
          </cell>
          <cell r="AC258">
            <v>743534.48275862075</v>
          </cell>
          <cell r="AD258">
            <v>89224.137931034493</v>
          </cell>
          <cell r="AE258">
            <v>0.12</v>
          </cell>
          <cell r="AF258">
            <v>43340</v>
          </cell>
          <cell r="AG258" t="str">
            <v>含税到厂</v>
          </cell>
          <cell r="AH258"/>
          <cell r="AI258"/>
          <cell r="AJ258"/>
          <cell r="AK258">
            <v>0.2</v>
          </cell>
          <cell r="AL258">
            <v>150000</v>
          </cell>
          <cell r="AM258">
            <v>43313</v>
          </cell>
          <cell r="AN258" t="str">
            <v>Yes</v>
          </cell>
          <cell r="AO258">
            <v>0.8</v>
          </cell>
          <cell r="AP258">
            <v>600000</v>
          </cell>
          <cell r="AQ258">
            <v>43313</v>
          </cell>
          <cell r="AR258">
            <v>43343</v>
          </cell>
          <cell r="AS258" t="str">
            <v>complete</v>
          </cell>
          <cell r="AT258" t="e">
            <v>#VALUE!</v>
          </cell>
          <cell r="AV258"/>
          <cell r="AW258"/>
          <cell r="AX258" t="str">
            <v>Yes</v>
          </cell>
          <cell r="AY258"/>
          <cell r="AZ258" t="str">
            <v>Y</v>
          </cell>
          <cell r="BA258" t="str">
            <v>Yes</v>
          </cell>
        </row>
        <row r="259">
          <cell r="B259"/>
          <cell r="C259" t="str">
            <v>C49SZX20180132R1JY</v>
          </cell>
          <cell r="D259" t="str">
            <v>辉拓</v>
          </cell>
          <cell r="E259" t="str">
            <v>YS12F</v>
          </cell>
          <cell r="F259" t="str">
            <v>NA</v>
          </cell>
          <cell r="G259" t="e">
            <v>#REF!</v>
          </cell>
          <cell r="H259" t="e">
            <v>#REF!</v>
          </cell>
          <cell r="K259">
            <v>1</v>
          </cell>
          <cell r="L259" t="str">
            <v>已经送货</v>
          </cell>
          <cell r="M259" t="str">
            <v>SEP 18</v>
          </cell>
          <cell r="O259">
            <v>11100273</v>
          </cell>
          <cell r="P259">
            <v>520000</v>
          </cell>
          <cell r="Q259">
            <v>43344</v>
          </cell>
          <cell r="R259" t="str">
            <v>No</v>
          </cell>
          <cell r="S259" t="str">
            <v>C49</v>
          </cell>
          <cell r="T259" t="str">
            <v>SOUTH</v>
          </cell>
          <cell r="U259" t="str">
            <v>深圳</v>
          </cell>
          <cell r="V259" t="str">
            <v>SZ 深圳</v>
          </cell>
          <cell r="W259" t="str">
            <v>JY</v>
          </cell>
          <cell r="X259" t="str">
            <v>RMB</v>
          </cell>
          <cell r="Y259">
            <v>500000</v>
          </cell>
          <cell r="Z259">
            <v>1.1599999999999999</v>
          </cell>
          <cell r="AA259">
            <v>520000</v>
          </cell>
          <cell r="AB259">
            <v>1.1499999999999999</v>
          </cell>
          <cell r="AC259">
            <v>515517.24137931038</v>
          </cell>
          <cell r="AD259">
            <v>61862.068965517246</v>
          </cell>
          <cell r="AE259">
            <v>0.12</v>
          </cell>
          <cell r="AF259">
            <v>43340</v>
          </cell>
          <cell r="AG259" t="str">
            <v>含税到厂</v>
          </cell>
          <cell r="AH259"/>
          <cell r="AI259"/>
          <cell r="AJ259"/>
          <cell r="AK259" t="str">
            <v>agree</v>
          </cell>
          <cell r="AL259">
            <v>100000</v>
          </cell>
          <cell r="AM259">
            <v>43313</v>
          </cell>
          <cell r="AN259" t="str">
            <v>Yes</v>
          </cell>
          <cell r="AO259" t="str">
            <v>agree</v>
          </cell>
          <cell r="AP259">
            <v>420000</v>
          </cell>
          <cell r="AQ259">
            <v>43313</v>
          </cell>
          <cell r="AR259">
            <v>43343</v>
          </cell>
          <cell r="AS259" t="str">
            <v>complete</v>
          </cell>
          <cell r="AT259" t="e">
            <v>#VALUE!</v>
          </cell>
          <cell r="AV259"/>
          <cell r="AW259"/>
          <cell r="AX259" t="str">
            <v>Yes</v>
          </cell>
          <cell r="AY259"/>
          <cell r="AZ259" t="str">
            <v>Y</v>
          </cell>
          <cell r="BA259" t="str">
            <v>Yes</v>
          </cell>
        </row>
        <row r="260">
          <cell r="B260">
            <v>121</v>
          </cell>
          <cell r="C260" t="str">
            <v>C49SZX20180168SX</v>
          </cell>
          <cell r="D260" t="str">
            <v>维众</v>
          </cell>
          <cell r="E260" t="str">
            <v>YSM20-2</v>
          </cell>
          <cell r="F260" t="str">
            <v>NA</v>
          </cell>
          <cell r="G260" t="e">
            <v>#REF!</v>
          </cell>
          <cell r="H260" t="e">
            <v>#REF!</v>
          </cell>
          <cell r="I260" t="str">
            <v>L-&gt;R</v>
          </cell>
          <cell r="J260" t="str">
            <v>No</v>
          </cell>
          <cell r="K260">
            <v>1</v>
          </cell>
          <cell r="L260" t="str">
            <v>取消</v>
          </cell>
          <cell r="M260" t="e">
            <v>#N/A</v>
          </cell>
          <cell r="N260"/>
          <cell r="O260"/>
          <cell r="P260"/>
          <cell r="Q260"/>
          <cell r="R260" t="str">
            <v>No</v>
          </cell>
          <cell r="S260" t="str">
            <v>C49</v>
          </cell>
          <cell r="T260" t="str">
            <v>SOUTH</v>
          </cell>
          <cell r="U260" t="str">
            <v>東莞</v>
          </cell>
          <cell r="V260" t="str">
            <v>SZ 深圳</v>
          </cell>
          <cell r="W260" t="str">
            <v>SX</v>
          </cell>
          <cell r="X260" t="str">
            <v>JPY</v>
          </cell>
          <cell r="Y260">
            <v>13000000</v>
          </cell>
          <cell r="Z260">
            <v>1</v>
          </cell>
          <cell r="AA260">
            <v>12120000</v>
          </cell>
          <cell r="AB260">
            <v>7.2099999999999997E-2</v>
          </cell>
          <cell r="AC260">
            <v>873852</v>
          </cell>
          <cell r="AD260">
            <v>104862.23999999999</v>
          </cell>
          <cell r="AE260">
            <v>0.12</v>
          </cell>
          <cell r="AF260">
            <v>43335</v>
          </cell>
          <cell r="AG260" t="str">
            <v>DAP 东莞</v>
          </cell>
          <cell r="AH260"/>
          <cell r="AI260"/>
          <cell r="AJ260"/>
          <cell r="AK260">
            <v>0.2</v>
          </cell>
          <cell r="AL260">
            <v>2424000</v>
          </cell>
          <cell r="AM260"/>
          <cell r="AN260" t="str">
            <v>No</v>
          </cell>
          <cell r="AO260">
            <v>0.8</v>
          </cell>
          <cell r="AP260">
            <v>9696000</v>
          </cell>
          <cell r="AQ260"/>
          <cell r="AR260"/>
          <cell r="AS260">
            <v>0</v>
          </cell>
          <cell r="AT260">
            <v>0</v>
          </cell>
          <cell r="AV260"/>
          <cell r="AW260"/>
          <cell r="AX260" t="str">
            <v>Cancel</v>
          </cell>
          <cell r="AY260"/>
          <cell r="AZ260"/>
          <cell r="BA260" t="str">
            <v>Cancel</v>
          </cell>
        </row>
        <row r="261">
          <cell r="B261">
            <v>122</v>
          </cell>
          <cell r="C261" t="str">
            <v>C49SZX20180168SX</v>
          </cell>
          <cell r="D261" t="str">
            <v>维众</v>
          </cell>
          <cell r="E261" t="str">
            <v>YSM20-2</v>
          </cell>
          <cell r="F261" t="str">
            <v>NA</v>
          </cell>
          <cell r="G261" t="e">
            <v>#REF!</v>
          </cell>
          <cell r="H261" t="e">
            <v>#REF!</v>
          </cell>
          <cell r="I261" t="str">
            <v>L-&gt;R</v>
          </cell>
          <cell r="J261" t="str">
            <v>No</v>
          </cell>
          <cell r="K261">
            <v>1</v>
          </cell>
          <cell r="L261" t="str">
            <v>取消</v>
          </cell>
          <cell r="M261" t="e">
            <v>#N/A</v>
          </cell>
          <cell r="N261"/>
          <cell r="O261"/>
          <cell r="P261"/>
          <cell r="Q261"/>
          <cell r="R261" t="str">
            <v>No</v>
          </cell>
          <cell r="S261" t="str">
            <v>C49</v>
          </cell>
          <cell r="T261" t="str">
            <v>SOUTH</v>
          </cell>
          <cell r="U261" t="str">
            <v>東莞</v>
          </cell>
          <cell r="V261" t="str">
            <v>SZ 深圳</v>
          </cell>
          <cell r="W261" t="str">
            <v>SX</v>
          </cell>
          <cell r="X261" t="str">
            <v>JPY</v>
          </cell>
          <cell r="Y261">
            <v>13000000</v>
          </cell>
          <cell r="Z261">
            <v>1</v>
          </cell>
          <cell r="AA261">
            <v>12120000</v>
          </cell>
          <cell r="AB261">
            <v>7.2099999999999997E-2</v>
          </cell>
          <cell r="AC261">
            <v>873852</v>
          </cell>
          <cell r="AD261">
            <v>104862.23999999999</v>
          </cell>
          <cell r="AE261">
            <v>0.12</v>
          </cell>
          <cell r="AF261">
            <v>43335</v>
          </cell>
          <cell r="AG261" t="str">
            <v>DAP 东莞</v>
          </cell>
          <cell r="AH261"/>
          <cell r="AI261"/>
          <cell r="AJ261"/>
          <cell r="AK261">
            <v>0.2</v>
          </cell>
          <cell r="AL261">
            <v>2424000</v>
          </cell>
          <cell r="AM261"/>
          <cell r="AN261" t="str">
            <v>No</v>
          </cell>
          <cell r="AO261">
            <v>0.8</v>
          </cell>
          <cell r="AP261">
            <v>9696000</v>
          </cell>
          <cell r="AQ261"/>
          <cell r="AR261"/>
          <cell r="AS261">
            <v>0</v>
          </cell>
          <cell r="AT261">
            <v>0</v>
          </cell>
          <cell r="AV261"/>
          <cell r="AW261"/>
          <cell r="AX261" t="str">
            <v>Cancel</v>
          </cell>
          <cell r="AY261"/>
          <cell r="AZ261"/>
          <cell r="BA261" t="str">
            <v>Cancel</v>
          </cell>
        </row>
        <row r="262">
          <cell r="B262">
            <v>123</v>
          </cell>
          <cell r="C262" t="str">
            <v>C49SZX20180133SX</v>
          </cell>
          <cell r="D262" t="str">
            <v>维众</v>
          </cell>
          <cell r="E262" t="str">
            <v>YSM10</v>
          </cell>
          <cell r="F262" t="str">
            <v>NA</v>
          </cell>
          <cell r="G262" t="e">
            <v>#REF!</v>
          </cell>
          <cell r="H262" t="e">
            <v>#REF!</v>
          </cell>
          <cell r="I262" t="str">
            <v>L-&gt;R</v>
          </cell>
          <cell r="J262" t="str">
            <v>MVC+ATS15</v>
          </cell>
          <cell r="K262">
            <v>1</v>
          </cell>
          <cell r="L262">
            <v>109282</v>
          </cell>
          <cell r="M262" t="str">
            <v>DEC 18</v>
          </cell>
          <cell r="O262">
            <v>11116245</v>
          </cell>
          <cell r="P262">
            <v>10100000</v>
          </cell>
          <cell r="Q262">
            <v>43435</v>
          </cell>
          <cell r="R262" t="str">
            <v>No</v>
          </cell>
          <cell r="S262" t="str">
            <v>C49</v>
          </cell>
          <cell r="T262" t="str">
            <v>SOUTH</v>
          </cell>
          <cell r="U262" t="str">
            <v>東莞</v>
          </cell>
          <cell r="V262" t="str">
            <v>SZ 深圳</v>
          </cell>
          <cell r="W262" t="str">
            <v>SX</v>
          </cell>
          <cell r="X262" t="str">
            <v>JPY</v>
          </cell>
          <cell r="Y262">
            <v>9079250</v>
          </cell>
          <cell r="Z262">
            <v>1</v>
          </cell>
          <cell r="AA262">
            <v>10100000</v>
          </cell>
          <cell r="AB262">
            <v>7.2099999999999997E-2</v>
          </cell>
          <cell r="AC262">
            <v>728210</v>
          </cell>
          <cell r="AD262">
            <v>87385.2</v>
          </cell>
          <cell r="AE262">
            <v>0.12</v>
          </cell>
          <cell r="AF262">
            <v>43335</v>
          </cell>
          <cell r="AG262" t="str">
            <v>DAP 东莞</v>
          </cell>
          <cell r="AH262"/>
          <cell r="AI262"/>
          <cell r="AJ262"/>
          <cell r="AK262">
            <v>0.2</v>
          </cell>
          <cell r="AL262">
            <v>2020000</v>
          </cell>
          <cell r="AN262" t="str">
            <v>Yes</v>
          </cell>
          <cell r="AO262">
            <v>0.8</v>
          </cell>
          <cell r="AP262">
            <v>8080000</v>
          </cell>
          <cell r="AQ262">
            <v>43435</v>
          </cell>
          <cell r="AR262">
            <v>43454</v>
          </cell>
          <cell r="AS262" t="str">
            <v>complete</v>
          </cell>
          <cell r="AT262" t="e">
            <v>#VALUE!</v>
          </cell>
          <cell r="AV262"/>
          <cell r="AW262"/>
          <cell r="AX262" t="str">
            <v>Yes</v>
          </cell>
          <cell r="AY262"/>
          <cell r="AZ262" t="str">
            <v>Y</v>
          </cell>
          <cell r="BA262" t="str">
            <v>Yes</v>
          </cell>
        </row>
        <row r="263">
          <cell r="B263">
            <v>124</v>
          </cell>
          <cell r="C263" t="str">
            <v>C49SZX20180133SX</v>
          </cell>
          <cell r="D263" t="str">
            <v>维众</v>
          </cell>
          <cell r="E263" t="str">
            <v>YSM10</v>
          </cell>
          <cell r="F263" t="str">
            <v>NA</v>
          </cell>
          <cell r="G263" t="e">
            <v>#REF!</v>
          </cell>
          <cell r="H263" t="e">
            <v>#REF!</v>
          </cell>
          <cell r="I263" t="str">
            <v>L-&gt;R</v>
          </cell>
          <cell r="J263" t="str">
            <v>MVC+ATS15</v>
          </cell>
          <cell r="K263">
            <v>1</v>
          </cell>
          <cell r="L263">
            <v>109282</v>
          </cell>
          <cell r="M263" t="str">
            <v>DEC 18</v>
          </cell>
          <cell r="O263">
            <v>11116245</v>
          </cell>
          <cell r="P263">
            <v>10100000</v>
          </cell>
          <cell r="Q263">
            <v>43435</v>
          </cell>
          <cell r="R263" t="str">
            <v>No</v>
          </cell>
          <cell r="S263" t="str">
            <v>C49</v>
          </cell>
          <cell r="T263" t="str">
            <v>SOUTH</v>
          </cell>
          <cell r="U263" t="str">
            <v>東莞</v>
          </cell>
          <cell r="V263" t="str">
            <v>SZ 深圳</v>
          </cell>
          <cell r="W263" t="str">
            <v>SX</v>
          </cell>
          <cell r="X263" t="str">
            <v>JPY</v>
          </cell>
          <cell r="Y263">
            <v>9079250</v>
          </cell>
          <cell r="Z263">
            <v>1</v>
          </cell>
          <cell r="AA263">
            <v>10100000</v>
          </cell>
          <cell r="AB263">
            <v>7.2099999999999997E-2</v>
          </cell>
          <cell r="AC263">
            <v>728210</v>
          </cell>
          <cell r="AD263">
            <v>87385.2</v>
          </cell>
          <cell r="AE263">
            <v>0.12</v>
          </cell>
          <cell r="AF263">
            <v>43335</v>
          </cell>
          <cell r="AG263" t="str">
            <v>DAP 东莞</v>
          </cell>
          <cell r="AH263"/>
          <cell r="AI263"/>
          <cell r="AJ263"/>
          <cell r="AK263">
            <v>0.2</v>
          </cell>
          <cell r="AL263">
            <v>2020000</v>
          </cell>
          <cell r="AN263" t="str">
            <v>Yes</v>
          </cell>
          <cell r="AO263">
            <v>0.8</v>
          </cell>
          <cell r="AP263">
            <v>8080000</v>
          </cell>
          <cell r="AQ263">
            <v>43435</v>
          </cell>
          <cell r="AR263">
            <v>43454</v>
          </cell>
          <cell r="AS263" t="str">
            <v>complete</v>
          </cell>
          <cell r="AT263" t="e">
            <v>#VALUE!</v>
          </cell>
          <cell r="AV263"/>
          <cell r="AW263"/>
          <cell r="AX263" t="str">
            <v>Yes</v>
          </cell>
          <cell r="AY263"/>
          <cell r="AZ263" t="str">
            <v>Y</v>
          </cell>
          <cell r="BA263" t="str">
            <v>Yes</v>
          </cell>
        </row>
        <row r="264">
          <cell r="B264">
            <v>125</v>
          </cell>
          <cell r="C264" t="str">
            <v>C49SZX20180133SX</v>
          </cell>
          <cell r="D264" t="str">
            <v>维众</v>
          </cell>
          <cell r="E264" t="str">
            <v>YSM10</v>
          </cell>
          <cell r="F264" t="str">
            <v>NA</v>
          </cell>
          <cell r="G264" t="e">
            <v>#REF!</v>
          </cell>
          <cell r="H264" t="e">
            <v>#REF!</v>
          </cell>
          <cell r="I264" t="str">
            <v>L-&gt;R</v>
          </cell>
          <cell r="J264" t="str">
            <v>No</v>
          </cell>
          <cell r="K264">
            <v>1</v>
          </cell>
          <cell r="L264">
            <v>109239</v>
          </cell>
          <cell r="M264" t="str">
            <v>DEC 18</v>
          </cell>
          <cell r="O264">
            <v>11116245</v>
          </cell>
          <cell r="P264">
            <v>10100000</v>
          </cell>
          <cell r="Q264">
            <v>43435</v>
          </cell>
          <cell r="R264" t="str">
            <v>No</v>
          </cell>
          <cell r="S264" t="str">
            <v>C49</v>
          </cell>
          <cell r="T264" t="str">
            <v>SOUTH</v>
          </cell>
          <cell r="U264" t="str">
            <v>東莞</v>
          </cell>
          <cell r="V264" t="str">
            <v>SZ 深圳</v>
          </cell>
          <cell r="W264" t="str">
            <v>SX</v>
          </cell>
          <cell r="X264" t="str">
            <v>JPY</v>
          </cell>
          <cell r="Y264">
            <v>9079250</v>
          </cell>
          <cell r="Z264">
            <v>1</v>
          </cell>
          <cell r="AA264">
            <v>10100000</v>
          </cell>
          <cell r="AB264">
            <v>7.2099999999999997E-2</v>
          </cell>
          <cell r="AC264">
            <v>728210</v>
          </cell>
          <cell r="AD264">
            <v>87385.2</v>
          </cell>
          <cell r="AE264">
            <v>0.12</v>
          </cell>
          <cell r="AF264">
            <v>43335</v>
          </cell>
          <cell r="AG264" t="str">
            <v>DAP 东莞</v>
          </cell>
          <cell r="AH264"/>
          <cell r="AI264"/>
          <cell r="AJ264"/>
          <cell r="AK264">
            <v>0.2</v>
          </cell>
          <cell r="AL264">
            <v>2020000</v>
          </cell>
          <cell r="AN264" t="str">
            <v>Yes</v>
          </cell>
          <cell r="AO264">
            <v>0.8</v>
          </cell>
          <cell r="AP264">
            <v>8080000</v>
          </cell>
          <cell r="AQ264">
            <v>43435</v>
          </cell>
          <cell r="AR264">
            <v>43454</v>
          </cell>
          <cell r="AS264" t="str">
            <v>complete</v>
          </cell>
          <cell r="AT264" t="e">
            <v>#VALUE!</v>
          </cell>
          <cell r="AV264"/>
          <cell r="AW264"/>
          <cell r="AX264" t="str">
            <v>Yes</v>
          </cell>
          <cell r="AY264"/>
          <cell r="AZ264" t="str">
            <v>Y</v>
          </cell>
          <cell r="BA264" t="str">
            <v>Yes</v>
          </cell>
        </row>
        <row r="265">
          <cell r="B265">
            <v>126</v>
          </cell>
          <cell r="C265" t="str">
            <v>C49SZX20180133SX</v>
          </cell>
          <cell r="D265" t="str">
            <v>维众</v>
          </cell>
          <cell r="E265" t="str">
            <v>YSM10</v>
          </cell>
          <cell r="F265" t="str">
            <v>NA</v>
          </cell>
          <cell r="G265" t="e">
            <v>#REF!</v>
          </cell>
          <cell r="H265" t="e">
            <v>#REF!</v>
          </cell>
          <cell r="I265" t="str">
            <v>R-&gt;L</v>
          </cell>
          <cell r="J265" t="str">
            <v>No</v>
          </cell>
          <cell r="K265">
            <v>1</v>
          </cell>
          <cell r="L265" t="str">
            <v>取消</v>
          </cell>
          <cell r="M265" t="e">
            <v>#N/A</v>
          </cell>
          <cell r="N265"/>
          <cell r="O265"/>
          <cell r="P265"/>
          <cell r="Q265"/>
          <cell r="R265" t="str">
            <v>No</v>
          </cell>
          <cell r="S265" t="str">
            <v>C49</v>
          </cell>
          <cell r="T265" t="str">
            <v>SOUTH</v>
          </cell>
          <cell r="U265" t="str">
            <v>東莞</v>
          </cell>
          <cell r="V265" t="str">
            <v>SZ 深圳</v>
          </cell>
          <cell r="W265" t="str">
            <v>SX</v>
          </cell>
          <cell r="X265" t="str">
            <v>JPY</v>
          </cell>
          <cell r="Y265">
            <v>9079250</v>
          </cell>
          <cell r="Z265">
            <v>1</v>
          </cell>
          <cell r="AA265">
            <v>9079250</v>
          </cell>
          <cell r="AB265">
            <v>7.2099999999999997E-2</v>
          </cell>
          <cell r="AC265">
            <v>654613.92499999993</v>
          </cell>
          <cell r="AD265">
            <v>78553.670999999988</v>
          </cell>
          <cell r="AE265">
            <v>0.12</v>
          </cell>
          <cell r="AF265">
            <v>43335</v>
          </cell>
          <cell r="AG265" t="str">
            <v>DAP 东莞</v>
          </cell>
          <cell r="AH265"/>
          <cell r="AI265"/>
          <cell r="AJ265"/>
          <cell r="AK265">
            <v>0.2</v>
          </cell>
          <cell r="AL265">
            <v>1815850</v>
          </cell>
          <cell r="AM265"/>
          <cell r="AN265" t="str">
            <v>No</v>
          </cell>
          <cell r="AO265">
            <v>0.8</v>
          </cell>
          <cell r="AP265">
            <v>7263400</v>
          </cell>
          <cell r="AQ265"/>
          <cell r="AR265"/>
          <cell r="AS265">
            <v>0</v>
          </cell>
          <cell r="AT265">
            <v>0</v>
          </cell>
          <cell r="AV265"/>
          <cell r="AW265"/>
          <cell r="AX265" t="str">
            <v>Cancel</v>
          </cell>
          <cell r="AY265"/>
          <cell r="AZ265"/>
          <cell r="BA265" t="str">
            <v>Cancel</v>
          </cell>
        </row>
        <row r="266">
          <cell r="B266">
            <v>127</v>
          </cell>
          <cell r="C266" t="str">
            <v>C49SZX20180135SX</v>
          </cell>
          <cell r="D266" t="str">
            <v>兴开泰</v>
          </cell>
          <cell r="E266" t="str">
            <v>YSM20R(SV)-2</v>
          </cell>
          <cell r="F266" t="str">
            <v>NA</v>
          </cell>
          <cell r="G266" t="e">
            <v>#REF!</v>
          </cell>
          <cell r="H266" t="e">
            <v>#REF!</v>
          </cell>
          <cell r="I266" t="str">
            <v>L-&gt;R</v>
          </cell>
          <cell r="J266" t="str">
            <v>No</v>
          </cell>
          <cell r="K266">
            <v>1</v>
          </cell>
          <cell r="L266">
            <v>109288</v>
          </cell>
          <cell r="M266" t="str">
            <v>NOV 18</v>
          </cell>
          <cell r="O266">
            <v>11116231</v>
          </cell>
          <cell r="P266">
            <v>13730000</v>
          </cell>
          <cell r="Q266">
            <v>43405</v>
          </cell>
          <cell r="R266" t="str">
            <v>No</v>
          </cell>
          <cell r="S266" t="str">
            <v>C49</v>
          </cell>
          <cell r="T266" t="str">
            <v>SOUTH</v>
          </cell>
          <cell r="U266" t="str">
            <v>東莞</v>
          </cell>
          <cell r="V266" t="str">
            <v>SZ 深圳</v>
          </cell>
          <cell r="W266" t="str">
            <v>SX</v>
          </cell>
          <cell r="X266" t="str">
            <v>JPY</v>
          </cell>
          <cell r="Y266">
            <v>13730000</v>
          </cell>
          <cell r="Z266">
            <v>1</v>
          </cell>
          <cell r="AA266">
            <v>13730000</v>
          </cell>
          <cell r="AB266">
            <v>7.2099999999999997E-2</v>
          </cell>
          <cell r="AC266">
            <v>989933</v>
          </cell>
          <cell r="AD266">
            <v>118791.95999999999</v>
          </cell>
          <cell r="AE266">
            <v>0.12</v>
          </cell>
          <cell r="AF266">
            <v>43341</v>
          </cell>
          <cell r="AG266" t="str">
            <v xml:space="preserve">CIF </v>
          </cell>
          <cell r="AH266"/>
          <cell r="AI266">
            <v>50000</v>
          </cell>
          <cell r="AJ266">
            <v>43390</v>
          </cell>
          <cell r="AK266">
            <v>0.2</v>
          </cell>
          <cell r="AL266">
            <v>2746000</v>
          </cell>
          <cell r="AN266" t="str">
            <v>Yes</v>
          </cell>
          <cell r="AO266">
            <v>0.8</v>
          </cell>
          <cell r="AP266">
            <v>10984000</v>
          </cell>
          <cell r="AQ266">
            <v>43405</v>
          </cell>
          <cell r="AR266">
            <v>43418</v>
          </cell>
          <cell r="AS266" t="str">
            <v>complete</v>
          </cell>
          <cell r="AT266" t="e">
            <v>#VALUE!</v>
          </cell>
          <cell r="AV266"/>
          <cell r="AW266"/>
          <cell r="AX266" t="str">
            <v>Yes</v>
          </cell>
          <cell r="AY266"/>
          <cell r="AZ266" t="str">
            <v>Y</v>
          </cell>
          <cell r="BA266" t="str">
            <v>Yes</v>
          </cell>
        </row>
        <row r="267">
          <cell r="B267">
            <v>128</v>
          </cell>
          <cell r="C267" t="str">
            <v>C49SZX20180135SX</v>
          </cell>
          <cell r="D267" t="str">
            <v>兴开泰</v>
          </cell>
          <cell r="E267" t="str">
            <v>YSM20R(SV)-2</v>
          </cell>
          <cell r="F267" t="str">
            <v>NA</v>
          </cell>
          <cell r="G267" t="e">
            <v>#REF!</v>
          </cell>
          <cell r="H267" t="e">
            <v>#REF!</v>
          </cell>
          <cell r="I267" t="str">
            <v>L-&gt;R</v>
          </cell>
          <cell r="J267" t="str">
            <v>No</v>
          </cell>
          <cell r="K267">
            <v>1</v>
          </cell>
          <cell r="L267">
            <v>109288</v>
          </cell>
          <cell r="M267" t="str">
            <v>NOV 18</v>
          </cell>
          <cell r="O267">
            <v>11116231</v>
          </cell>
          <cell r="P267">
            <v>13730000</v>
          </cell>
          <cell r="Q267">
            <v>43405</v>
          </cell>
          <cell r="R267" t="str">
            <v>No</v>
          </cell>
          <cell r="S267" t="str">
            <v>C49</v>
          </cell>
          <cell r="T267" t="str">
            <v>SOUTH</v>
          </cell>
          <cell r="U267" t="str">
            <v>東莞</v>
          </cell>
          <cell r="V267" t="str">
            <v>SZ 深圳</v>
          </cell>
          <cell r="W267" t="str">
            <v>SX</v>
          </cell>
          <cell r="X267" t="str">
            <v>JPY</v>
          </cell>
          <cell r="Y267">
            <v>13730000</v>
          </cell>
          <cell r="Z267">
            <v>1</v>
          </cell>
          <cell r="AA267">
            <v>13730000</v>
          </cell>
          <cell r="AB267">
            <v>7.2099999999999997E-2</v>
          </cell>
          <cell r="AC267">
            <v>989933</v>
          </cell>
          <cell r="AD267">
            <v>118791.95999999999</v>
          </cell>
          <cell r="AE267">
            <v>0.12</v>
          </cell>
          <cell r="AF267">
            <v>43341</v>
          </cell>
          <cell r="AG267" t="str">
            <v xml:space="preserve">CIF </v>
          </cell>
          <cell r="AH267"/>
          <cell r="AI267">
            <v>0</v>
          </cell>
          <cell r="AJ267">
            <v>43390</v>
          </cell>
          <cell r="AK267">
            <v>0.2</v>
          </cell>
          <cell r="AL267">
            <v>2746000</v>
          </cell>
          <cell r="AN267" t="str">
            <v>Yes</v>
          </cell>
          <cell r="AO267">
            <v>0.8</v>
          </cell>
          <cell r="AP267">
            <v>10984000</v>
          </cell>
          <cell r="AQ267">
            <v>43405</v>
          </cell>
          <cell r="AR267">
            <v>43418</v>
          </cell>
          <cell r="AS267" t="str">
            <v>complete</v>
          </cell>
          <cell r="AT267" t="e">
            <v>#VALUE!</v>
          </cell>
          <cell r="AV267"/>
          <cell r="AW267"/>
          <cell r="AX267" t="str">
            <v>Yes</v>
          </cell>
          <cell r="AY267"/>
          <cell r="AZ267" t="str">
            <v>Y</v>
          </cell>
          <cell r="BA267" t="str">
            <v>Yes</v>
          </cell>
        </row>
        <row r="268">
          <cell r="B268">
            <v>129</v>
          </cell>
          <cell r="C268" t="str">
            <v>C49SZX20180136JY</v>
          </cell>
          <cell r="D268" t="str">
            <v>安嘉</v>
          </cell>
          <cell r="E268" t="str">
            <v>YSM20R(SV)-2</v>
          </cell>
          <cell r="F268" t="str">
            <v>NA</v>
          </cell>
          <cell r="G268" t="e">
            <v>#REF!</v>
          </cell>
          <cell r="H268" t="e">
            <v>#REF!</v>
          </cell>
          <cell r="I268" t="str">
            <v>L-&gt;R</v>
          </cell>
          <cell r="J268" t="str">
            <v>No</v>
          </cell>
          <cell r="K268">
            <v>1</v>
          </cell>
          <cell r="L268">
            <v>109443</v>
          </cell>
          <cell r="M268" t="str">
            <v>FEB 19</v>
          </cell>
          <cell r="O268">
            <v>11116254</v>
          </cell>
          <cell r="P268">
            <v>14695500</v>
          </cell>
          <cell r="Q268">
            <v>43497</v>
          </cell>
          <cell r="R268" t="str">
            <v>No</v>
          </cell>
          <cell r="S268" t="str">
            <v>C49</v>
          </cell>
          <cell r="T268" t="str">
            <v>SOUTH</v>
          </cell>
          <cell r="U268" t="str">
            <v>深圳</v>
          </cell>
          <cell r="V268" t="str">
            <v>SZ 深圳</v>
          </cell>
          <cell r="W268" t="str">
            <v>JY</v>
          </cell>
          <cell r="X268" t="str">
            <v>JPY</v>
          </cell>
          <cell r="Y268">
            <v>14695500</v>
          </cell>
          <cell r="Z268">
            <v>1</v>
          </cell>
          <cell r="AA268">
            <v>14695500</v>
          </cell>
          <cell r="AB268">
            <v>7.2099999999999997E-2</v>
          </cell>
          <cell r="AC268">
            <v>1059545.55</v>
          </cell>
          <cell r="AD268">
            <v>127145.466</v>
          </cell>
          <cell r="AE268">
            <v>0.12</v>
          </cell>
          <cell r="AF268">
            <v>43342</v>
          </cell>
          <cell r="AG268" t="str">
            <v>DAP深圳</v>
          </cell>
          <cell r="AH268" t="str">
            <v>吊装</v>
          </cell>
          <cell r="AI268">
            <v>100000</v>
          </cell>
          <cell r="AJ268">
            <v>43347</v>
          </cell>
          <cell r="AK268">
            <v>0.3</v>
          </cell>
          <cell r="AL268">
            <v>4408650</v>
          </cell>
          <cell r="AM268">
            <v>43497</v>
          </cell>
          <cell r="AN268" t="str">
            <v>Yes</v>
          </cell>
          <cell r="AO268">
            <v>0.7</v>
          </cell>
          <cell r="AP268">
            <v>10286850</v>
          </cell>
          <cell r="AQ268">
            <v>43497</v>
          </cell>
          <cell r="AR268">
            <v>43524</v>
          </cell>
          <cell r="AS268" t="str">
            <v>complete</v>
          </cell>
          <cell r="AT268"/>
          <cell r="AV268"/>
          <cell r="AW268"/>
          <cell r="AX268" t="str">
            <v>Yes</v>
          </cell>
          <cell r="AY268"/>
          <cell r="AZ268" t="str">
            <v>Y</v>
          </cell>
          <cell r="BA268" t="str">
            <v>Yes</v>
          </cell>
        </row>
        <row r="269">
          <cell r="B269">
            <v>130</v>
          </cell>
          <cell r="C269" t="str">
            <v>C49SZX20180136JY</v>
          </cell>
          <cell r="D269" t="str">
            <v>安嘉</v>
          </cell>
          <cell r="E269" t="str">
            <v>YSM20R(SV)-2</v>
          </cell>
          <cell r="F269" t="str">
            <v>NA</v>
          </cell>
          <cell r="G269" t="e">
            <v>#REF!</v>
          </cell>
          <cell r="H269" t="e">
            <v>#REF!</v>
          </cell>
          <cell r="I269" t="str">
            <v>R-&gt;L</v>
          </cell>
          <cell r="J269" t="str">
            <v>No</v>
          </cell>
          <cell r="K269">
            <v>1</v>
          </cell>
          <cell r="L269">
            <v>109490</v>
          </cell>
          <cell r="M269" t="str">
            <v>FEB 19</v>
          </cell>
          <cell r="O269">
            <v>11116254</v>
          </cell>
          <cell r="P269">
            <v>14695500</v>
          </cell>
          <cell r="Q269">
            <v>43497</v>
          </cell>
          <cell r="R269" t="str">
            <v>No</v>
          </cell>
          <cell r="S269" t="str">
            <v>C49</v>
          </cell>
          <cell r="T269" t="str">
            <v>SOUTH</v>
          </cell>
          <cell r="U269" t="str">
            <v>深圳</v>
          </cell>
          <cell r="V269" t="str">
            <v>SZ 深圳</v>
          </cell>
          <cell r="W269" t="str">
            <v>JY</v>
          </cell>
          <cell r="X269" t="str">
            <v>JPY</v>
          </cell>
          <cell r="Y269">
            <v>14695500</v>
          </cell>
          <cell r="Z269">
            <v>1</v>
          </cell>
          <cell r="AA269">
            <v>14695500</v>
          </cell>
          <cell r="AB269">
            <v>7.2099999999999997E-2</v>
          </cell>
          <cell r="AC269">
            <v>1059545.55</v>
          </cell>
          <cell r="AD269">
            <v>127145.466</v>
          </cell>
          <cell r="AE269">
            <v>0.12</v>
          </cell>
          <cell r="AF269">
            <v>43342</v>
          </cell>
          <cell r="AG269" t="str">
            <v>DAP深圳</v>
          </cell>
          <cell r="AH269" t="str">
            <v>吊装</v>
          </cell>
          <cell r="AI269">
            <v>100000</v>
          </cell>
          <cell r="AJ269">
            <v>43347</v>
          </cell>
          <cell r="AK269">
            <v>0.3</v>
          </cell>
          <cell r="AL269">
            <v>4408650</v>
          </cell>
          <cell r="AM269">
            <v>43497</v>
          </cell>
          <cell r="AN269" t="str">
            <v>Yes</v>
          </cell>
          <cell r="AO269">
            <v>0.7</v>
          </cell>
          <cell r="AP269">
            <v>10286850</v>
          </cell>
          <cell r="AQ269">
            <v>43497</v>
          </cell>
          <cell r="AR269">
            <v>43524</v>
          </cell>
          <cell r="AS269" t="str">
            <v>complete</v>
          </cell>
          <cell r="AT269"/>
          <cell r="AV269"/>
          <cell r="AW269"/>
          <cell r="AX269" t="str">
            <v>Yes</v>
          </cell>
          <cell r="AY269"/>
          <cell r="AZ269" t="str">
            <v>Y</v>
          </cell>
          <cell r="BA269" t="str">
            <v>Yes</v>
          </cell>
        </row>
        <row r="270">
          <cell r="B270">
            <v>131</v>
          </cell>
          <cell r="C270" t="str">
            <v>C49SZX20180137DZ</v>
          </cell>
          <cell r="D270" t="str">
            <v>朗特</v>
          </cell>
          <cell r="E270" t="str">
            <v>YSM20R(SV)-2</v>
          </cell>
          <cell r="F270" t="str">
            <v>#08242</v>
          </cell>
          <cell r="G270" t="e">
            <v>#REF!</v>
          </cell>
          <cell r="H270" t="e">
            <v>#REF!</v>
          </cell>
          <cell r="I270" t="str">
            <v>R-&gt;L</v>
          </cell>
          <cell r="J270" t="str">
            <v>No</v>
          </cell>
          <cell r="K270">
            <v>1</v>
          </cell>
          <cell r="L270">
            <v>109279</v>
          </cell>
          <cell r="M270" t="str">
            <v>DEC 18</v>
          </cell>
          <cell r="O270">
            <v>11116250</v>
          </cell>
          <cell r="P270">
            <v>17407500</v>
          </cell>
          <cell r="Q270">
            <v>43435</v>
          </cell>
          <cell r="R270" t="str">
            <v>No</v>
          </cell>
          <cell r="S270" t="str">
            <v>C49</v>
          </cell>
          <cell r="T270" t="str">
            <v>SOUTH</v>
          </cell>
          <cell r="U270" t="str">
            <v>深圳</v>
          </cell>
          <cell r="V270" t="str">
            <v>SZ 深圳</v>
          </cell>
          <cell r="W270" t="str">
            <v>DZ</v>
          </cell>
          <cell r="X270" t="str">
            <v>JPY</v>
          </cell>
          <cell r="Y270">
            <v>17407500</v>
          </cell>
          <cell r="Z270">
            <v>1</v>
          </cell>
          <cell r="AA270">
            <v>17407500</v>
          </cell>
          <cell r="AB270">
            <v>7.2099999999999997E-2</v>
          </cell>
          <cell r="AC270">
            <v>1255080.75</v>
          </cell>
          <cell r="AD270">
            <v>150609.69</v>
          </cell>
          <cell r="AE270">
            <v>0.12</v>
          </cell>
          <cell r="AF270">
            <v>43343</v>
          </cell>
          <cell r="AG270" t="str">
            <v>CIF</v>
          </cell>
          <cell r="AH270"/>
          <cell r="AI270">
            <v>60000</v>
          </cell>
          <cell r="AJ270">
            <v>43403</v>
          </cell>
          <cell r="AK270">
            <v>0.2</v>
          </cell>
          <cell r="AL270">
            <v>3481500</v>
          </cell>
          <cell r="AM270">
            <v>43374</v>
          </cell>
          <cell r="AN270" t="str">
            <v>Yes</v>
          </cell>
          <cell r="AO270">
            <v>0.8</v>
          </cell>
          <cell r="AP270">
            <v>13926000</v>
          </cell>
          <cell r="AQ270">
            <v>43435</v>
          </cell>
          <cell r="AR270">
            <v>43454</v>
          </cell>
          <cell r="AS270" t="str">
            <v>complete</v>
          </cell>
          <cell r="AT270" t="e">
            <v>#VALUE!</v>
          </cell>
          <cell r="AV270"/>
          <cell r="AW270"/>
          <cell r="AX270" t="str">
            <v>Yes</v>
          </cell>
          <cell r="AY270"/>
          <cell r="AZ270" t="str">
            <v>Y</v>
          </cell>
          <cell r="BA270" t="str">
            <v>Yes</v>
          </cell>
        </row>
        <row r="271">
          <cell r="B271">
            <v>132</v>
          </cell>
          <cell r="C271" t="str">
            <v>C49SZX20180137DZ</v>
          </cell>
          <cell r="D271" t="str">
            <v>朗特</v>
          </cell>
          <cell r="E271" t="str">
            <v>YSM20R(SV)-2</v>
          </cell>
          <cell r="F271" t="str">
            <v>#08242</v>
          </cell>
          <cell r="G271" t="e">
            <v>#REF!</v>
          </cell>
          <cell r="H271" t="e">
            <v>#REF!</v>
          </cell>
          <cell r="I271" t="str">
            <v>R-&gt;L</v>
          </cell>
          <cell r="J271" t="str">
            <v>No</v>
          </cell>
          <cell r="K271">
            <v>1</v>
          </cell>
          <cell r="L271">
            <v>109279</v>
          </cell>
          <cell r="M271" t="str">
            <v>DEC 18</v>
          </cell>
          <cell r="O271">
            <v>11116250</v>
          </cell>
          <cell r="P271">
            <v>17407500</v>
          </cell>
          <cell r="Q271">
            <v>43435</v>
          </cell>
          <cell r="R271" t="str">
            <v>No</v>
          </cell>
          <cell r="S271" t="str">
            <v>C49</v>
          </cell>
          <cell r="T271" t="str">
            <v>SOUTH</v>
          </cell>
          <cell r="U271" t="str">
            <v>深圳</v>
          </cell>
          <cell r="V271" t="str">
            <v>SZ 深圳</v>
          </cell>
          <cell r="W271" t="str">
            <v>DZ</v>
          </cell>
          <cell r="X271" t="str">
            <v>JPY</v>
          </cell>
          <cell r="Y271">
            <v>17407500</v>
          </cell>
          <cell r="Z271">
            <v>1</v>
          </cell>
          <cell r="AA271">
            <v>17407500</v>
          </cell>
          <cell r="AB271">
            <v>7.2099999999999997E-2</v>
          </cell>
          <cell r="AC271">
            <v>1255080.75</v>
          </cell>
          <cell r="AD271">
            <v>150609.69</v>
          </cell>
          <cell r="AE271">
            <v>0.12</v>
          </cell>
          <cell r="AF271">
            <v>43343</v>
          </cell>
          <cell r="AG271" t="str">
            <v>CIF</v>
          </cell>
          <cell r="AH271"/>
          <cell r="AI271">
            <v>0</v>
          </cell>
          <cell r="AJ271">
            <v>43403</v>
          </cell>
          <cell r="AK271">
            <v>0.2</v>
          </cell>
          <cell r="AL271">
            <v>3481500</v>
          </cell>
          <cell r="AM271">
            <v>43374</v>
          </cell>
          <cell r="AN271" t="str">
            <v>Yes</v>
          </cell>
          <cell r="AO271">
            <v>0.8</v>
          </cell>
          <cell r="AP271">
            <v>13926000</v>
          </cell>
          <cell r="AQ271">
            <v>43435</v>
          </cell>
          <cell r="AR271">
            <v>43454</v>
          </cell>
          <cell r="AS271" t="str">
            <v>complete</v>
          </cell>
          <cell r="AT271" t="e">
            <v>#VALUE!</v>
          </cell>
          <cell r="AV271"/>
          <cell r="AW271"/>
          <cell r="AX271" t="str">
            <v>Yes</v>
          </cell>
          <cell r="AY271"/>
          <cell r="AZ271" t="str">
            <v>Y</v>
          </cell>
          <cell r="BA271" t="str">
            <v>Yes</v>
          </cell>
        </row>
        <row r="272">
          <cell r="B272"/>
          <cell r="C272" t="str">
            <v>C49SZX20180138RY</v>
          </cell>
          <cell r="D272" t="str">
            <v>捷福</v>
          </cell>
          <cell r="E272" t="str">
            <v>YSM20-2</v>
          </cell>
          <cell r="F272" t="str">
            <v>NA</v>
          </cell>
          <cell r="G272" t="e">
            <v>#REF!</v>
          </cell>
          <cell r="H272" t="e">
            <v>#REF!</v>
          </cell>
          <cell r="I272"/>
          <cell r="J272"/>
          <cell r="K272">
            <v>1</v>
          </cell>
          <cell r="L272" t="str">
            <v>取消</v>
          </cell>
          <cell r="M272"/>
          <cell r="N272"/>
          <cell r="O272"/>
          <cell r="P272"/>
          <cell r="Q272"/>
          <cell r="R272" t="str">
            <v>Yes</v>
          </cell>
          <cell r="S272" t="str">
            <v>C49</v>
          </cell>
          <cell r="T272" t="str">
            <v>SOUTH</v>
          </cell>
          <cell r="U272" t="str">
            <v>深圳</v>
          </cell>
          <cell r="V272" t="str">
            <v>SZ 深圳</v>
          </cell>
          <cell r="W272"/>
          <cell r="X272" t="str">
            <v>JPY</v>
          </cell>
          <cell r="Y272">
            <v>12724000</v>
          </cell>
          <cell r="Z272">
            <v>1</v>
          </cell>
          <cell r="AA272">
            <v>12724000</v>
          </cell>
          <cell r="AB272">
            <v>7.2099999999999997E-2</v>
          </cell>
          <cell r="AC272">
            <v>917400.4</v>
          </cell>
          <cell r="AD272">
            <v>110088.048</v>
          </cell>
          <cell r="AE272">
            <v>0.12</v>
          </cell>
          <cell r="AF272">
            <v>43346</v>
          </cell>
          <cell r="AG272" t="str">
            <v>DAP 深圳</v>
          </cell>
          <cell r="AH272"/>
          <cell r="AI272"/>
          <cell r="AJ272"/>
          <cell r="AK272">
            <v>0.1</v>
          </cell>
          <cell r="AL272">
            <v>1272400</v>
          </cell>
          <cell r="AM272"/>
          <cell r="AN272"/>
          <cell r="AO272">
            <v>0.9</v>
          </cell>
          <cell r="AP272">
            <v>11451600</v>
          </cell>
          <cell r="AQ272"/>
          <cell r="AR272"/>
          <cell r="AS272">
            <v>0</v>
          </cell>
          <cell r="AT272">
            <v>0</v>
          </cell>
          <cell r="AU272"/>
          <cell r="AV272"/>
          <cell r="AW272"/>
          <cell r="AX272" t="str">
            <v>Cancel</v>
          </cell>
          <cell r="AY272"/>
          <cell r="AZ272"/>
          <cell r="BA272" t="str">
            <v>Cancel</v>
          </cell>
          <cell r="BB272" t="str">
            <v>2018-10-23通知</v>
          </cell>
        </row>
        <row r="273">
          <cell r="B273"/>
          <cell r="C273" t="str">
            <v>C49SZX20180139RY</v>
          </cell>
          <cell r="D273" t="str">
            <v>捷福</v>
          </cell>
          <cell r="E273" t="str">
            <v>YSM20-2</v>
          </cell>
          <cell r="F273" t="str">
            <v>NA</v>
          </cell>
          <cell r="G273" t="e">
            <v>#REF!</v>
          </cell>
          <cell r="H273" t="e">
            <v>#REF!</v>
          </cell>
          <cell r="I273"/>
          <cell r="J273"/>
          <cell r="K273">
            <v>2</v>
          </cell>
          <cell r="L273" t="str">
            <v>取消</v>
          </cell>
          <cell r="M273"/>
          <cell r="N273"/>
          <cell r="O273"/>
          <cell r="P273"/>
          <cell r="Q273"/>
          <cell r="R273" t="str">
            <v>Yes</v>
          </cell>
          <cell r="S273" t="str">
            <v>C49</v>
          </cell>
          <cell r="T273" t="str">
            <v>SOUTH</v>
          </cell>
          <cell r="U273" t="str">
            <v>深圳</v>
          </cell>
          <cell r="V273" t="str">
            <v>SZ 深圳</v>
          </cell>
          <cell r="W273"/>
          <cell r="X273" t="str">
            <v>JPY</v>
          </cell>
          <cell r="Y273">
            <v>12724000</v>
          </cell>
          <cell r="Z273">
            <v>1</v>
          </cell>
          <cell r="AA273">
            <v>25448000</v>
          </cell>
          <cell r="AB273">
            <v>7.2099999999999997E-2</v>
          </cell>
          <cell r="AC273">
            <v>1834800.8</v>
          </cell>
          <cell r="AD273">
            <v>220176.09599999999</v>
          </cell>
          <cell r="AE273">
            <v>0.12</v>
          </cell>
          <cell r="AF273">
            <v>43346</v>
          </cell>
          <cell r="AG273" t="str">
            <v>DAP 深圳</v>
          </cell>
          <cell r="AH273"/>
          <cell r="AI273"/>
          <cell r="AJ273"/>
          <cell r="AK273">
            <v>0.1</v>
          </cell>
          <cell r="AL273">
            <v>2544800</v>
          </cell>
          <cell r="AM273"/>
          <cell r="AN273"/>
          <cell r="AO273">
            <v>0.9</v>
          </cell>
          <cell r="AP273">
            <v>22903200</v>
          </cell>
          <cell r="AQ273"/>
          <cell r="AR273"/>
          <cell r="AS273">
            <v>0</v>
          </cell>
          <cell r="AT273">
            <v>0</v>
          </cell>
          <cell r="AU273"/>
          <cell r="AV273"/>
          <cell r="AW273"/>
          <cell r="AX273" t="str">
            <v>Cancel</v>
          </cell>
          <cell r="AY273"/>
          <cell r="AZ273"/>
          <cell r="BA273" t="str">
            <v>Cancel</v>
          </cell>
          <cell r="BB273" t="str">
            <v>2018-10-23通知</v>
          </cell>
        </row>
        <row r="274">
          <cell r="B274">
            <v>133</v>
          </cell>
          <cell r="C274" t="str">
            <v>C49SZX20180140SS</v>
          </cell>
          <cell r="D274" t="str">
            <v>中润互联</v>
          </cell>
          <cell r="E274" t="str">
            <v>YSM20R(SV)-2</v>
          </cell>
          <cell r="F274" t="str">
            <v>#74022</v>
          </cell>
          <cell r="G274" t="e">
            <v>#REF!</v>
          </cell>
          <cell r="H274" t="e">
            <v>#REF!</v>
          </cell>
          <cell r="I274" t="str">
            <v>L-&gt;R</v>
          </cell>
          <cell r="J274" t="str">
            <v>cATS10+MVC+special layout</v>
          </cell>
          <cell r="K274">
            <v>1</v>
          </cell>
          <cell r="L274" t="str">
            <v>取消</v>
          </cell>
          <cell r="M274" t="e">
            <v>#N/A</v>
          </cell>
          <cell r="N274"/>
          <cell r="O274"/>
          <cell r="P274"/>
          <cell r="Q274"/>
          <cell r="R274" t="str">
            <v>No</v>
          </cell>
          <cell r="S274" t="str">
            <v>C49</v>
          </cell>
          <cell r="T274" t="str">
            <v>SOUTH</v>
          </cell>
          <cell r="U274" t="str">
            <v>深圳</v>
          </cell>
          <cell r="V274" t="str">
            <v>SZ 深圳</v>
          </cell>
          <cell r="W274" t="str">
            <v>SS</v>
          </cell>
          <cell r="X274" t="str">
            <v>JPY</v>
          </cell>
          <cell r="Y274">
            <v>14856000</v>
          </cell>
          <cell r="Z274">
            <v>1</v>
          </cell>
          <cell r="AA274">
            <v>14856000</v>
          </cell>
          <cell r="AB274">
            <v>7.2099999999999997E-2</v>
          </cell>
          <cell r="AC274">
            <v>1071117.5999999999</v>
          </cell>
          <cell r="AD274">
            <v>128534.11199999998</v>
          </cell>
          <cell r="AE274">
            <v>0.12</v>
          </cell>
          <cell r="AF274">
            <v>43339</v>
          </cell>
          <cell r="AG274" t="str">
            <v>DAP 深圳</v>
          </cell>
          <cell r="AH274"/>
          <cell r="AI274"/>
          <cell r="AJ274"/>
          <cell r="AK274">
            <v>0.1</v>
          </cell>
          <cell r="AL274">
            <v>1485600</v>
          </cell>
          <cell r="AM274"/>
          <cell r="AN274" t="str">
            <v>No</v>
          </cell>
          <cell r="AO274">
            <v>0.1</v>
          </cell>
          <cell r="AP274">
            <v>1485600</v>
          </cell>
          <cell r="AQ274"/>
          <cell r="AR274"/>
          <cell r="AS274">
            <v>0.8</v>
          </cell>
          <cell r="AT274">
            <v>11884800</v>
          </cell>
          <cell r="AV274"/>
          <cell r="AW274"/>
          <cell r="AX274" t="str">
            <v>Cancel</v>
          </cell>
          <cell r="AY274"/>
          <cell r="AZ274"/>
          <cell r="BA274" t="str">
            <v>Cancel</v>
          </cell>
          <cell r="BB274" t="str">
            <v>2018-10-23通知</v>
          </cell>
        </row>
        <row r="275">
          <cell r="B275">
            <v>134</v>
          </cell>
          <cell r="C275" t="str">
            <v>C49SZX20180140SS</v>
          </cell>
          <cell r="D275" t="str">
            <v>中润互联</v>
          </cell>
          <cell r="E275" t="str">
            <v>YSM20R(SV)-2</v>
          </cell>
          <cell r="F275" t="str">
            <v>#74022</v>
          </cell>
          <cell r="G275" t="e">
            <v>#REF!</v>
          </cell>
          <cell r="H275" t="e">
            <v>#REF!</v>
          </cell>
          <cell r="I275" t="str">
            <v>L-&gt;R</v>
          </cell>
          <cell r="J275" t="str">
            <v>No</v>
          </cell>
          <cell r="K275">
            <v>1</v>
          </cell>
          <cell r="L275" t="str">
            <v>取消</v>
          </cell>
          <cell r="M275" t="e">
            <v>#N/A</v>
          </cell>
          <cell r="N275"/>
          <cell r="O275"/>
          <cell r="P275"/>
          <cell r="Q275"/>
          <cell r="R275" t="str">
            <v>No</v>
          </cell>
          <cell r="S275" t="str">
            <v>C49</v>
          </cell>
          <cell r="T275" t="str">
            <v>SOUTH</v>
          </cell>
          <cell r="U275" t="str">
            <v>深圳</v>
          </cell>
          <cell r="V275" t="str">
            <v>SZ 深圳</v>
          </cell>
          <cell r="W275" t="str">
            <v>SS</v>
          </cell>
          <cell r="X275" t="str">
            <v>JPY</v>
          </cell>
          <cell r="Y275">
            <v>14856000</v>
          </cell>
          <cell r="Z275">
            <v>1</v>
          </cell>
          <cell r="AA275">
            <v>14856000</v>
          </cell>
          <cell r="AB275">
            <v>7.2099999999999997E-2</v>
          </cell>
          <cell r="AC275">
            <v>1071117.5999999999</v>
          </cell>
          <cell r="AD275">
            <v>128534.11199999998</v>
          </cell>
          <cell r="AE275">
            <v>0.12</v>
          </cell>
          <cell r="AF275">
            <v>43339</v>
          </cell>
          <cell r="AG275" t="str">
            <v>DAP 深圳</v>
          </cell>
          <cell r="AH275"/>
          <cell r="AI275"/>
          <cell r="AJ275"/>
          <cell r="AK275">
            <v>0.1</v>
          </cell>
          <cell r="AL275">
            <v>1485600</v>
          </cell>
          <cell r="AM275"/>
          <cell r="AN275" t="str">
            <v>No</v>
          </cell>
          <cell r="AO275">
            <v>0.1</v>
          </cell>
          <cell r="AP275">
            <v>1485600</v>
          </cell>
          <cell r="AQ275"/>
          <cell r="AR275"/>
          <cell r="AS275">
            <v>0.8</v>
          </cell>
          <cell r="AT275">
            <v>11884800</v>
          </cell>
          <cell r="AV275"/>
          <cell r="AW275"/>
          <cell r="AX275" t="str">
            <v>Cancel</v>
          </cell>
          <cell r="AY275"/>
          <cell r="AZ275"/>
          <cell r="BA275" t="str">
            <v>Cancel</v>
          </cell>
          <cell r="BB275" t="str">
            <v>2018-10-23通知</v>
          </cell>
        </row>
        <row r="276">
          <cell r="B276">
            <v>135</v>
          </cell>
          <cell r="C276" t="str">
            <v>C49SZX20180143KW</v>
          </cell>
          <cell r="D276" t="str">
            <v>江恒</v>
          </cell>
          <cell r="E276" t="str">
            <v>YS24</v>
          </cell>
          <cell r="F276" t="str">
            <v>NA</v>
          </cell>
          <cell r="G276" t="e">
            <v>#REF!</v>
          </cell>
          <cell r="H276" t="e">
            <v>#REF!</v>
          </cell>
          <cell r="I276" t="str">
            <v>L-&gt;R</v>
          </cell>
          <cell r="J276" t="str">
            <v>No</v>
          </cell>
          <cell r="K276">
            <v>1</v>
          </cell>
          <cell r="L276" t="str">
            <v>取消</v>
          </cell>
          <cell r="M276" t="e">
            <v>#N/A</v>
          </cell>
          <cell r="N276"/>
          <cell r="O276"/>
          <cell r="P276"/>
          <cell r="Q276"/>
          <cell r="R276" t="str">
            <v>Yes</v>
          </cell>
          <cell r="S276" t="str">
            <v>C49</v>
          </cell>
          <cell r="T276" t="str">
            <v>SOUTH</v>
          </cell>
          <cell r="U276" t="str">
            <v>深圳</v>
          </cell>
          <cell r="V276" t="str">
            <v>SZ 深圳</v>
          </cell>
          <cell r="W276" t="str">
            <v>KW</v>
          </cell>
          <cell r="X276" t="str">
            <v>JPY</v>
          </cell>
          <cell r="Y276">
            <v>10500000</v>
          </cell>
          <cell r="Z276">
            <v>1</v>
          </cell>
          <cell r="AA276">
            <v>10500000</v>
          </cell>
          <cell r="AB276">
            <v>7.2099999999999997E-2</v>
          </cell>
          <cell r="AC276">
            <v>757050</v>
          </cell>
          <cell r="AD276">
            <v>90846</v>
          </cell>
          <cell r="AE276">
            <v>0.12</v>
          </cell>
          <cell r="AF276">
            <v>43372</v>
          </cell>
          <cell r="AG276" t="str">
            <v>CIF</v>
          </cell>
          <cell r="AH276"/>
          <cell r="AI276"/>
          <cell r="AJ276"/>
          <cell r="AK276">
            <v>0.3</v>
          </cell>
          <cell r="AL276">
            <v>3150000</v>
          </cell>
          <cell r="AM276"/>
          <cell r="AN276" t="str">
            <v>No</v>
          </cell>
          <cell r="AO276">
            <v>0.7</v>
          </cell>
          <cell r="AP276">
            <v>7349999.9999999991</v>
          </cell>
          <cell r="AQ276"/>
          <cell r="AR276"/>
          <cell r="AS276"/>
          <cell r="AT276">
            <v>0</v>
          </cell>
          <cell r="AV276"/>
          <cell r="AW276"/>
          <cell r="AX276" t="str">
            <v>Cancel</v>
          </cell>
          <cell r="AY276"/>
          <cell r="AZ276"/>
          <cell r="BA276" t="str">
            <v>Cancel</v>
          </cell>
        </row>
        <row r="277">
          <cell r="B277"/>
          <cell r="C277" t="str">
            <v>C49SZX20180145MZ</v>
          </cell>
          <cell r="D277" t="str">
            <v>声谊</v>
          </cell>
          <cell r="E277" t="str">
            <v>YSM10</v>
          </cell>
          <cell r="F277" t="str">
            <v>NA</v>
          </cell>
          <cell r="G277" t="e">
            <v>#REF!</v>
          </cell>
          <cell r="H277" t="e">
            <v>#REF!</v>
          </cell>
          <cell r="K277">
            <v>1</v>
          </cell>
          <cell r="L277" t="str">
            <v>已经送货</v>
          </cell>
          <cell r="M277" t="str">
            <v>SEP 18</v>
          </cell>
          <cell r="O277">
            <v>11116208</v>
          </cell>
          <cell r="P277">
            <v>9175000</v>
          </cell>
          <cell r="Q277"/>
          <cell r="R277" t="str">
            <v>Yes</v>
          </cell>
          <cell r="S277" t="str">
            <v>C49</v>
          </cell>
          <cell r="T277" t="str">
            <v>SOUTH</v>
          </cell>
          <cell r="U277" t="str">
            <v>東莞</v>
          </cell>
          <cell r="V277" t="str">
            <v>SZ 深圳</v>
          </cell>
          <cell r="W277" t="str">
            <v>MZ</v>
          </cell>
          <cell r="X277" t="str">
            <v>JPY</v>
          </cell>
          <cell r="Y277">
            <v>9175000</v>
          </cell>
          <cell r="Z277">
            <v>1</v>
          </cell>
          <cell r="AA277">
            <v>9175000</v>
          </cell>
          <cell r="AB277">
            <v>7.2099999999999997E-2</v>
          </cell>
          <cell r="AC277">
            <v>661517.5</v>
          </cell>
          <cell r="AD277">
            <v>79382.099999999991</v>
          </cell>
          <cell r="AE277">
            <v>0.12</v>
          </cell>
          <cell r="AF277">
            <v>43354</v>
          </cell>
          <cell r="AG277" t="str">
            <v>CIF</v>
          </cell>
          <cell r="AH277"/>
          <cell r="AI277"/>
          <cell r="AJ277"/>
          <cell r="AK277">
            <v>1</v>
          </cell>
          <cell r="AL277">
            <v>9175000</v>
          </cell>
          <cell r="AM277">
            <v>43344</v>
          </cell>
          <cell r="AN277" t="str">
            <v>Yes</v>
          </cell>
          <cell r="AO277" t="str">
            <v>complete</v>
          </cell>
          <cell r="AP277"/>
          <cell r="AR277"/>
          <cell r="AS277"/>
          <cell r="AT277">
            <v>0</v>
          </cell>
          <cell r="AV277"/>
          <cell r="AW277"/>
          <cell r="AX277" t="str">
            <v>Yes</v>
          </cell>
          <cell r="AY277" t="str">
            <v>Yes</v>
          </cell>
          <cell r="AZ277" t="str">
            <v>Y</v>
          </cell>
          <cell r="BA277" t="str">
            <v>Yes</v>
          </cell>
        </row>
        <row r="278">
          <cell r="B278">
            <v>136</v>
          </cell>
          <cell r="C278" t="str">
            <v>C49SZX20180149JY</v>
          </cell>
          <cell r="D278" t="str">
            <v>晟锦威</v>
          </cell>
          <cell r="E278" t="str">
            <v>YS24</v>
          </cell>
          <cell r="F278" t="str">
            <v>NA</v>
          </cell>
          <cell r="G278" t="e">
            <v>#REF!</v>
          </cell>
          <cell r="H278" t="e">
            <v>#REF!</v>
          </cell>
          <cell r="I278" t="str">
            <v>R-&gt;L</v>
          </cell>
          <cell r="J278" t="str">
            <v>No</v>
          </cell>
          <cell r="K278">
            <v>1</v>
          </cell>
          <cell r="L278" t="str">
            <v>取消</v>
          </cell>
          <cell r="M278" t="e">
            <v>#N/A</v>
          </cell>
          <cell r="N278"/>
          <cell r="O278"/>
          <cell r="P278"/>
          <cell r="Q278"/>
          <cell r="R278" t="str">
            <v>Yes</v>
          </cell>
          <cell r="S278" t="str">
            <v>C49</v>
          </cell>
          <cell r="T278" t="str">
            <v>SOUTH</v>
          </cell>
          <cell r="U278" t="str">
            <v>深圳</v>
          </cell>
          <cell r="V278" t="str">
            <v>SZ 深圳</v>
          </cell>
          <cell r="W278" t="str">
            <v>JY</v>
          </cell>
          <cell r="X278" t="str">
            <v>RMB</v>
          </cell>
          <cell r="Y278">
            <v>793000</v>
          </cell>
          <cell r="Z278">
            <v>1.1599999999999999</v>
          </cell>
          <cell r="AA278">
            <v>793000</v>
          </cell>
          <cell r="AB278">
            <v>1.1499999999999999</v>
          </cell>
          <cell r="AC278">
            <v>786163.79310344823</v>
          </cell>
          <cell r="AD278">
            <v>94339.655172413783</v>
          </cell>
          <cell r="AE278">
            <v>0.12</v>
          </cell>
          <cell r="AF278">
            <v>43371</v>
          </cell>
          <cell r="AG278" t="str">
            <v>含税到厂</v>
          </cell>
          <cell r="AH278"/>
          <cell r="AI278"/>
          <cell r="AJ278"/>
          <cell r="AK278">
            <v>0.3</v>
          </cell>
          <cell r="AL278">
            <v>237900</v>
          </cell>
          <cell r="AM278"/>
          <cell r="AN278" t="str">
            <v>No</v>
          </cell>
          <cell r="AO278">
            <v>0.7</v>
          </cell>
          <cell r="AP278">
            <v>555100</v>
          </cell>
          <cell r="AQ278"/>
          <cell r="AR278"/>
          <cell r="AS278"/>
          <cell r="AT278">
            <v>0</v>
          </cell>
          <cell r="AV278"/>
          <cell r="AW278"/>
          <cell r="AX278" t="str">
            <v>Cancel</v>
          </cell>
          <cell r="AY278"/>
          <cell r="AZ278"/>
          <cell r="BA278" t="str">
            <v>Cancel</v>
          </cell>
          <cell r="BB278" t="str">
            <v>2018-10-23通知</v>
          </cell>
        </row>
        <row r="279">
          <cell r="B279">
            <v>137</v>
          </cell>
          <cell r="C279" t="str">
            <v>C49SZX20180150JY</v>
          </cell>
          <cell r="D279" t="str">
            <v>海凌科达</v>
          </cell>
          <cell r="E279" t="str">
            <v>YS12</v>
          </cell>
          <cell r="F279" t="str">
            <v>NA</v>
          </cell>
          <cell r="G279" t="e">
            <v>#REF!</v>
          </cell>
          <cell r="H279" t="e">
            <v>#REF!</v>
          </cell>
          <cell r="I279" t="str">
            <v>L-&gt;R</v>
          </cell>
          <cell r="J279" t="str">
            <v>MVC</v>
          </cell>
          <cell r="K279">
            <v>1</v>
          </cell>
          <cell r="L279" t="str">
            <v>取消</v>
          </cell>
          <cell r="M279" t="e">
            <v>#N/A</v>
          </cell>
          <cell r="N279"/>
          <cell r="O279"/>
          <cell r="P279"/>
          <cell r="Q279"/>
          <cell r="R279" t="str">
            <v>No</v>
          </cell>
          <cell r="S279" t="str">
            <v>C49</v>
          </cell>
          <cell r="T279" t="str">
            <v>SOUTH</v>
          </cell>
          <cell r="U279" t="str">
            <v>深圳</v>
          </cell>
          <cell r="V279" t="str">
            <v>SZ 深圳</v>
          </cell>
          <cell r="W279" t="str">
            <v>JY</v>
          </cell>
          <cell r="X279" t="str">
            <v>JPY</v>
          </cell>
          <cell r="Y279">
            <v>8800000</v>
          </cell>
          <cell r="Z279">
            <v>1</v>
          </cell>
          <cell r="AA279">
            <v>8800000</v>
          </cell>
          <cell r="AB279">
            <v>7.2099999999999997E-2</v>
          </cell>
          <cell r="AC279">
            <v>634480</v>
          </cell>
          <cell r="AD279">
            <v>76137.599999999991</v>
          </cell>
          <cell r="AE279">
            <v>0.12</v>
          </cell>
          <cell r="AF279">
            <v>43370</v>
          </cell>
          <cell r="AG279" t="str">
            <v>DAP 深圳</v>
          </cell>
          <cell r="AH279"/>
          <cell r="AI279"/>
          <cell r="AJ279"/>
          <cell r="AK279">
            <v>0.1</v>
          </cell>
          <cell r="AL279">
            <v>880000</v>
          </cell>
          <cell r="AM279"/>
          <cell r="AN279" t="str">
            <v>No</v>
          </cell>
          <cell r="AO279">
            <v>0.9</v>
          </cell>
          <cell r="AP279">
            <v>7920000</v>
          </cell>
          <cell r="AQ279"/>
          <cell r="AR279"/>
          <cell r="AS279"/>
          <cell r="AT279">
            <v>0</v>
          </cell>
          <cell r="AV279"/>
          <cell r="AW279"/>
          <cell r="AX279" t="str">
            <v>Cancel</v>
          </cell>
          <cell r="AY279"/>
          <cell r="AZ279"/>
          <cell r="BA279" t="str">
            <v>Cancel</v>
          </cell>
          <cell r="BB279" t="str">
            <v>2018-10-23通知</v>
          </cell>
        </row>
        <row r="280">
          <cell r="B280">
            <v>138</v>
          </cell>
          <cell r="C280" t="str">
            <v>C49SZX20180150JY</v>
          </cell>
          <cell r="D280" t="str">
            <v>海凌科达</v>
          </cell>
          <cell r="E280" t="str">
            <v>YS12</v>
          </cell>
          <cell r="F280" t="str">
            <v>NA</v>
          </cell>
          <cell r="G280" t="e">
            <v>#REF!</v>
          </cell>
          <cell r="H280" t="e">
            <v>#REF!</v>
          </cell>
          <cell r="I280" t="str">
            <v>R-&gt;L</v>
          </cell>
          <cell r="J280" t="str">
            <v>MVC</v>
          </cell>
          <cell r="K280">
            <v>1</v>
          </cell>
          <cell r="L280" t="str">
            <v>取消</v>
          </cell>
          <cell r="M280" t="e">
            <v>#N/A</v>
          </cell>
          <cell r="N280"/>
          <cell r="O280"/>
          <cell r="P280"/>
          <cell r="Q280"/>
          <cell r="R280" t="str">
            <v>No</v>
          </cell>
          <cell r="S280" t="str">
            <v>C49</v>
          </cell>
          <cell r="T280" t="str">
            <v>SOUTH</v>
          </cell>
          <cell r="U280" t="str">
            <v>深圳</v>
          </cell>
          <cell r="V280" t="str">
            <v>SZ 深圳</v>
          </cell>
          <cell r="W280" t="str">
            <v>JY</v>
          </cell>
          <cell r="X280" t="str">
            <v>JPY</v>
          </cell>
          <cell r="Y280">
            <v>8800000</v>
          </cell>
          <cell r="Z280">
            <v>1</v>
          </cell>
          <cell r="AA280">
            <v>8800000</v>
          </cell>
          <cell r="AB280">
            <v>7.2099999999999997E-2</v>
          </cell>
          <cell r="AC280">
            <v>634480</v>
          </cell>
          <cell r="AD280">
            <v>76137.599999999991</v>
          </cell>
          <cell r="AE280">
            <v>0.12</v>
          </cell>
          <cell r="AF280">
            <v>43370</v>
          </cell>
          <cell r="AG280" t="str">
            <v>DAP 深圳</v>
          </cell>
          <cell r="AH280"/>
          <cell r="AI280"/>
          <cell r="AJ280"/>
          <cell r="AK280">
            <v>0.1</v>
          </cell>
          <cell r="AL280">
            <v>880000</v>
          </cell>
          <cell r="AM280"/>
          <cell r="AN280" t="str">
            <v>No</v>
          </cell>
          <cell r="AO280">
            <v>0.9</v>
          </cell>
          <cell r="AP280">
            <v>7920000</v>
          </cell>
          <cell r="AQ280"/>
          <cell r="AR280"/>
          <cell r="AS280"/>
          <cell r="AT280">
            <v>0</v>
          </cell>
          <cell r="AV280"/>
          <cell r="AW280"/>
          <cell r="AX280" t="str">
            <v>Cancel</v>
          </cell>
          <cell r="AY280"/>
          <cell r="AZ280"/>
          <cell r="BA280" t="str">
            <v>Cancel</v>
          </cell>
          <cell r="BB280" t="str">
            <v>2018-10-23通知</v>
          </cell>
        </row>
        <row r="281">
          <cell r="B281">
            <v>139</v>
          </cell>
          <cell r="C281" t="str">
            <v>C49SZX20180151SS</v>
          </cell>
          <cell r="D281" t="str">
            <v>高亮</v>
          </cell>
          <cell r="E281" t="str">
            <v>YSM40R-4</v>
          </cell>
          <cell r="F281" t="str">
            <v>NA</v>
          </cell>
          <cell r="G281" t="e">
            <v>#REF!</v>
          </cell>
          <cell r="H281" t="e">
            <v>#REF!</v>
          </cell>
          <cell r="I281" t="str">
            <v>R-&gt;L</v>
          </cell>
          <cell r="J281" t="str">
            <v>No</v>
          </cell>
          <cell r="K281">
            <v>1</v>
          </cell>
          <cell r="L281" t="str">
            <v>取消</v>
          </cell>
          <cell r="M281" t="e">
            <v>#N/A</v>
          </cell>
          <cell r="N281"/>
          <cell r="O281"/>
          <cell r="P281"/>
          <cell r="Q281"/>
          <cell r="R281" t="str">
            <v>No</v>
          </cell>
          <cell r="S281" t="str">
            <v>C49</v>
          </cell>
          <cell r="T281" t="str">
            <v>SOUTH</v>
          </cell>
          <cell r="U281" t="str">
            <v>深圳</v>
          </cell>
          <cell r="V281" t="str">
            <v>SZ 深圳</v>
          </cell>
          <cell r="W281" t="str">
            <v>SS</v>
          </cell>
          <cell r="X281" t="str">
            <v>RMB</v>
          </cell>
          <cell r="Y281">
            <v>1570000</v>
          </cell>
          <cell r="Z281">
            <v>1</v>
          </cell>
          <cell r="AA281">
            <v>1570000</v>
          </cell>
          <cell r="AB281">
            <v>1.1499999999999999</v>
          </cell>
          <cell r="AC281">
            <v>1805499.9999999998</v>
          </cell>
          <cell r="AD281">
            <v>216659.99999999997</v>
          </cell>
          <cell r="AE281">
            <v>0.12</v>
          </cell>
          <cell r="AF281">
            <v>43370</v>
          </cell>
          <cell r="AG281" t="str">
            <v>含税到厂</v>
          </cell>
          <cell r="AH281"/>
          <cell r="AI281"/>
          <cell r="AJ281"/>
          <cell r="AK281">
            <v>1</v>
          </cell>
          <cell r="AL281">
            <v>1570000</v>
          </cell>
          <cell r="AM281"/>
          <cell r="AN281" t="str">
            <v>No</v>
          </cell>
          <cell r="AO281"/>
          <cell r="AP281">
            <v>0</v>
          </cell>
          <cell r="AQ281"/>
          <cell r="AR281"/>
          <cell r="AS281"/>
          <cell r="AT281">
            <v>0</v>
          </cell>
          <cell r="AV281"/>
          <cell r="AW281"/>
          <cell r="AX281" t="str">
            <v>Cancel</v>
          </cell>
          <cell r="AY281"/>
          <cell r="AZ281"/>
          <cell r="BA281" t="str">
            <v>Cancel</v>
          </cell>
        </row>
        <row r="282">
          <cell r="B282">
            <v>140</v>
          </cell>
          <cell r="C282" t="str">
            <v>CEE-1809039</v>
          </cell>
          <cell r="D282" t="str">
            <v>晶光电业（Crystalite)</v>
          </cell>
          <cell r="E282" t="str">
            <v>Heller 1707MKIII</v>
          </cell>
          <cell r="F282" t="str">
            <v>NA</v>
          </cell>
          <cell r="G282" t="e">
            <v>#REF!</v>
          </cell>
          <cell r="H282" t="e">
            <v>#REF!</v>
          </cell>
          <cell r="I282" t="str">
            <v>R-&gt;L</v>
          </cell>
          <cell r="J282" t="str">
            <v>No</v>
          </cell>
          <cell r="K282">
            <v>1</v>
          </cell>
          <cell r="L282" t="e">
            <v>#N/A</v>
          </cell>
          <cell r="M282" t="e">
            <v>#N/A</v>
          </cell>
          <cell r="O282">
            <v>11116233</v>
          </cell>
          <cell r="P282">
            <v>420000</v>
          </cell>
          <cell r="Q282">
            <v>43405</v>
          </cell>
          <cell r="R282" t="str">
            <v>Yes</v>
          </cell>
          <cell r="S282" t="str">
            <v>C28</v>
          </cell>
          <cell r="T282" t="str">
            <v>SOUTH</v>
          </cell>
          <cell r="U282" t="str">
            <v>香港</v>
          </cell>
          <cell r="V282" t="str">
            <v>SZ 深圳</v>
          </cell>
          <cell r="W282" t="str">
            <v>YY</v>
          </cell>
          <cell r="X282" t="str">
            <v>HKD</v>
          </cell>
          <cell r="Y282">
            <v>420000</v>
          </cell>
          <cell r="Z282">
            <v>1</v>
          </cell>
          <cell r="AA282">
            <v>420000</v>
          </cell>
          <cell r="AB282">
            <v>1</v>
          </cell>
          <cell r="AC282">
            <v>420000</v>
          </cell>
          <cell r="AD282">
            <v>50400</v>
          </cell>
          <cell r="AE282">
            <v>0.12</v>
          </cell>
          <cell r="AF282">
            <v>43355</v>
          </cell>
          <cell r="AG282" t="str">
            <v>CIF</v>
          </cell>
          <cell r="AH282"/>
          <cell r="AI282"/>
          <cell r="AJ282"/>
          <cell r="AK282">
            <v>0.3</v>
          </cell>
          <cell r="AL282">
            <v>126000</v>
          </cell>
          <cell r="AM282">
            <v>43374</v>
          </cell>
          <cell r="AN282" t="str">
            <v>Yes</v>
          </cell>
          <cell r="AO282">
            <v>0.7</v>
          </cell>
          <cell r="AP282">
            <v>294000</v>
          </cell>
          <cell r="AQ282">
            <v>43405</v>
          </cell>
          <cell r="AR282"/>
          <cell r="AS282"/>
          <cell r="AT282">
            <v>0</v>
          </cell>
          <cell r="AV282"/>
          <cell r="AW282"/>
          <cell r="AY282"/>
          <cell r="BA282" t="str">
            <v>Yes</v>
          </cell>
        </row>
        <row r="283">
          <cell r="B283"/>
          <cell r="C283" t="str">
            <v>CT0218053</v>
          </cell>
          <cell r="D283" t="str">
            <v>compass</v>
          </cell>
          <cell r="E283" t="str">
            <v>YSM20-2</v>
          </cell>
          <cell r="F283" t="str">
            <v>NA</v>
          </cell>
          <cell r="G283" t="e">
            <v>#REF!</v>
          </cell>
          <cell r="H283" t="e">
            <v>#REF!</v>
          </cell>
          <cell r="K283">
            <v>1</v>
          </cell>
          <cell r="L283" t="str">
            <v>已经送货</v>
          </cell>
          <cell r="M283" t="str">
            <v>SEP 18</v>
          </cell>
          <cell r="N283"/>
          <cell r="O283">
            <v>11116213</v>
          </cell>
          <cell r="P283">
            <v>24000000</v>
          </cell>
          <cell r="Q283"/>
          <cell r="R283" t="str">
            <v>No</v>
          </cell>
          <cell r="S283" t="str">
            <v>C49</v>
          </cell>
          <cell r="T283" t="str">
            <v>SOUTH</v>
          </cell>
          <cell r="V283" t="str">
            <v>SZ 深圳</v>
          </cell>
          <cell r="W283" t="str">
            <v>RW</v>
          </cell>
          <cell r="X283" t="str">
            <v>JPY</v>
          </cell>
          <cell r="Y283">
            <v>24000000</v>
          </cell>
          <cell r="Z283">
            <v>1</v>
          </cell>
          <cell r="AA283">
            <v>24000000</v>
          </cell>
          <cell r="AB283">
            <v>7.2900000000000006E-2</v>
          </cell>
          <cell r="AC283">
            <v>1749600.0000000002</v>
          </cell>
          <cell r="AD283">
            <v>209952.00000000003</v>
          </cell>
          <cell r="AE283">
            <v>0.12</v>
          </cell>
          <cell r="AF283">
            <v>43138</v>
          </cell>
          <cell r="AG283" t="str">
            <v xml:space="preserve">CIF </v>
          </cell>
          <cell r="AH283"/>
          <cell r="AI283"/>
          <cell r="AJ283"/>
          <cell r="AK283">
            <v>1</v>
          </cell>
          <cell r="AL283">
            <v>24000000</v>
          </cell>
          <cell r="AM283">
            <v>43374</v>
          </cell>
          <cell r="AN283" t="str">
            <v>Yes</v>
          </cell>
          <cell r="AO283">
            <v>0</v>
          </cell>
          <cell r="AP283">
            <v>0</v>
          </cell>
          <cell r="AR283"/>
          <cell r="AS283"/>
          <cell r="AT283">
            <v>0</v>
          </cell>
          <cell r="AV283"/>
          <cell r="AX283" t="str">
            <v>Yes</v>
          </cell>
          <cell r="AY283" t="str">
            <v>Yes</v>
          </cell>
          <cell r="BA283" t="str">
            <v>Yes</v>
          </cell>
        </row>
        <row r="284">
          <cell r="B284"/>
          <cell r="C284" t="str">
            <v>EESPI180418</v>
          </cell>
          <cell r="D284" t="str">
            <v>WKK王氏</v>
          </cell>
          <cell r="E284" t="str">
            <v>TRON-7700E</v>
          </cell>
          <cell r="F284" t="str">
            <v>NA</v>
          </cell>
          <cell r="G284" t="e">
            <v>#REF!</v>
          </cell>
          <cell r="H284" t="e">
            <v>#REF!</v>
          </cell>
          <cell r="I284"/>
          <cell r="J284"/>
          <cell r="K284">
            <v>2</v>
          </cell>
          <cell r="L284" t="str">
            <v>已经送货</v>
          </cell>
          <cell r="M284" t="str">
            <v>2018/5</v>
          </cell>
          <cell r="N284"/>
          <cell r="O284">
            <v>11100256</v>
          </cell>
          <cell r="P284">
            <v>696813</v>
          </cell>
          <cell r="Q284">
            <v>43221</v>
          </cell>
          <cell r="R284" t="str">
            <v>Yes</v>
          </cell>
          <cell r="S284" t="str">
            <v>C28</v>
          </cell>
          <cell r="T284" t="str">
            <v>SOUTH</v>
          </cell>
          <cell r="U284" t="str">
            <v>广西</v>
          </cell>
          <cell r="V284" t="str">
            <v>SZ 深圳</v>
          </cell>
          <cell r="W284" t="str">
            <v>Li Yong</v>
          </cell>
          <cell r="X284" t="str">
            <v>RMB</v>
          </cell>
          <cell r="Y284">
            <v>348406.5</v>
          </cell>
          <cell r="Z284"/>
          <cell r="AA284">
            <v>696813</v>
          </cell>
          <cell r="AB284"/>
          <cell r="AC284"/>
          <cell r="AD284"/>
          <cell r="AE284">
            <v>0.12</v>
          </cell>
          <cell r="AF284">
            <v>43215</v>
          </cell>
          <cell r="AG284" t="str">
            <v>DDP GX</v>
          </cell>
          <cell r="AH284"/>
          <cell r="AI284"/>
          <cell r="AJ284"/>
          <cell r="AK284">
            <v>0.3</v>
          </cell>
          <cell r="AL284">
            <v>209043.9</v>
          </cell>
          <cell r="AM284">
            <v>43221</v>
          </cell>
          <cell r="AN284" t="str">
            <v>Yes</v>
          </cell>
          <cell r="AO284">
            <v>0.7</v>
          </cell>
          <cell r="AP284">
            <v>487769.1</v>
          </cell>
          <cell r="AQ284">
            <v>43221</v>
          </cell>
          <cell r="AR284">
            <v>43241</v>
          </cell>
          <cell r="AS284"/>
          <cell r="AT284">
            <v>0</v>
          </cell>
          <cell r="AU284"/>
          <cell r="AV284"/>
          <cell r="AW284"/>
          <cell r="AX284"/>
          <cell r="AY284"/>
          <cell r="AZ284" t="str">
            <v>Y</v>
          </cell>
          <cell r="BA284" t="str">
            <v>Yes</v>
          </cell>
          <cell r="BB284"/>
        </row>
        <row r="285">
          <cell r="B285"/>
          <cell r="C285" t="str">
            <v>ESDEPQ18010028</v>
          </cell>
          <cell r="D285" t="str">
            <v>易事达</v>
          </cell>
          <cell r="E285" t="str">
            <v>YSM40R-4</v>
          </cell>
          <cell r="F285" t="str">
            <v>NA</v>
          </cell>
          <cell r="G285" t="e">
            <v>#REF!</v>
          </cell>
          <cell r="H285" t="e">
            <v>#REF!</v>
          </cell>
          <cell r="I285"/>
          <cell r="J285"/>
          <cell r="K285">
            <v>3</v>
          </cell>
          <cell r="L285" t="str">
            <v>取消</v>
          </cell>
          <cell r="M285"/>
          <cell r="N285"/>
          <cell r="O285"/>
          <cell r="P285"/>
          <cell r="Q285"/>
          <cell r="R285" t="str">
            <v>No</v>
          </cell>
          <cell r="S285" t="str">
            <v>C49</v>
          </cell>
          <cell r="T285" t="str">
            <v>SOUTH</v>
          </cell>
          <cell r="U285" t="str">
            <v>深圳</v>
          </cell>
          <cell r="V285" t="str">
            <v>SZ 深圳</v>
          </cell>
          <cell r="W285" t="str">
            <v>DZ</v>
          </cell>
          <cell r="X285" t="str">
            <v>JPY</v>
          </cell>
          <cell r="Y285">
            <v>26642000</v>
          </cell>
          <cell r="Z285">
            <v>1</v>
          </cell>
          <cell r="AA285">
            <v>79926000</v>
          </cell>
          <cell r="AB285">
            <v>7.0699999999999999E-2</v>
          </cell>
          <cell r="AC285">
            <v>5650768.2000000002</v>
          </cell>
          <cell r="AD285">
            <v>678092.18400000001</v>
          </cell>
          <cell r="AE285">
            <v>0.12</v>
          </cell>
          <cell r="AF285">
            <v>43123</v>
          </cell>
          <cell r="AG285" t="str">
            <v>DAP</v>
          </cell>
          <cell r="AH285"/>
          <cell r="AI285"/>
          <cell r="AJ285"/>
          <cell r="AK285">
            <v>0.3</v>
          </cell>
          <cell r="AL285">
            <v>23977800</v>
          </cell>
          <cell r="AM285"/>
          <cell r="AN285"/>
          <cell r="AO285">
            <v>0.65</v>
          </cell>
          <cell r="AP285">
            <v>51951900</v>
          </cell>
          <cell r="AQ285"/>
          <cell r="AR285"/>
          <cell r="AS285">
            <v>0.05</v>
          </cell>
          <cell r="AT285">
            <v>3996300</v>
          </cell>
          <cell r="AU285"/>
          <cell r="AV285"/>
          <cell r="AW285"/>
          <cell r="AX285" t="str">
            <v>Cancel</v>
          </cell>
          <cell r="AY285"/>
          <cell r="AZ285"/>
          <cell r="BA285" t="str">
            <v>Cancel</v>
          </cell>
          <cell r="BB285"/>
        </row>
        <row r="286">
          <cell r="B286"/>
          <cell r="C286" t="str">
            <v>ESDEPQ18010028</v>
          </cell>
          <cell r="D286" t="str">
            <v>易事达</v>
          </cell>
          <cell r="E286" t="str">
            <v>YSM40R-4</v>
          </cell>
          <cell r="F286" t="str">
            <v>NA</v>
          </cell>
          <cell r="G286" t="e">
            <v>#REF!</v>
          </cell>
          <cell r="H286" t="e">
            <v>#REF!</v>
          </cell>
          <cell r="I286"/>
          <cell r="J286"/>
          <cell r="K286">
            <v>1</v>
          </cell>
          <cell r="L286" t="str">
            <v>取消</v>
          </cell>
          <cell r="M286"/>
          <cell r="N286"/>
          <cell r="O286"/>
          <cell r="P286"/>
          <cell r="Q286"/>
          <cell r="R286" t="str">
            <v>No</v>
          </cell>
          <cell r="S286" t="str">
            <v>C49</v>
          </cell>
          <cell r="T286" t="str">
            <v>SOUTH</v>
          </cell>
          <cell r="U286" t="str">
            <v>深圳</v>
          </cell>
          <cell r="V286" t="str">
            <v>SZ 深圳</v>
          </cell>
          <cell r="W286" t="str">
            <v>DZ</v>
          </cell>
          <cell r="X286" t="str">
            <v>JPY</v>
          </cell>
          <cell r="Y286">
            <v>26642000</v>
          </cell>
          <cell r="Z286">
            <v>1</v>
          </cell>
          <cell r="AA286">
            <v>26642000</v>
          </cell>
          <cell r="AB286">
            <v>7.0699999999999999E-2</v>
          </cell>
          <cell r="AC286">
            <v>1883589.4</v>
          </cell>
          <cell r="AD286">
            <v>226030.72799999997</v>
          </cell>
          <cell r="AE286">
            <v>0.12</v>
          </cell>
          <cell r="AF286">
            <v>43123</v>
          </cell>
          <cell r="AG286" t="str">
            <v>DAP</v>
          </cell>
          <cell r="AH286"/>
          <cell r="AI286"/>
          <cell r="AJ286"/>
          <cell r="AK286">
            <v>0.3</v>
          </cell>
          <cell r="AL286">
            <v>7992600</v>
          </cell>
          <cell r="AM286"/>
          <cell r="AN286"/>
          <cell r="AO286">
            <v>0.65</v>
          </cell>
          <cell r="AP286">
            <v>17317300</v>
          </cell>
          <cell r="AQ286"/>
          <cell r="AR286"/>
          <cell r="AS286">
            <v>0.05</v>
          </cell>
          <cell r="AT286">
            <v>1332100</v>
          </cell>
          <cell r="AU286"/>
          <cell r="AV286"/>
          <cell r="AW286"/>
          <cell r="AX286" t="str">
            <v>Cancel</v>
          </cell>
          <cell r="AY286"/>
          <cell r="AZ286"/>
          <cell r="BA286" t="str">
            <v>Cancel</v>
          </cell>
          <cell r="BB286"/>
        </row>
        <row r="287">
          <cell r="B287"/>
          <cell r="C287" t="str">
            <v>HXOM2020180426001</v>
          </cell>
          <cell r="D287" t="str">
            <v>CCT华讯方舟</v>
          </cell>
          <cell r="E287" t="str">
            <v>YSM10</v>
          </cell>
          <cell r="F287" t="str">
            <v>NA</v>
          </cell>
          <cell r="G287" t="e">
            <v>#REF!</v>
          </cell>
          <cell r="H287" t="e">
            <v>#REF!</v>
          </cell>
          <cell r="K287">
            <v>1</v>
          </cell>
          <cell r="L287" t="str">
            <v>已经送货</v>
          </cell>
          <cell r="M287" t="str">
            <v>2018/6</v>
          </cell>
          <cell r="O287" t="str">
            <v>11100259/11100260/11100261</v>
          </cell>
          <cell r="P287">
            <v>739370</v>
          </cell>
          <cell r="Q287">
            <v>43252</v>
          </cell>
          <cell r="R287" t="str">
            <v>No</v>
          </cell>
          <cell r="S287" t="str">
            <v>C49</v>
          </cell>
          <cell r="T287" t="str">
            <v>SOUTH</v>
          </cell>
          <cell r="U287" t="str">
            <v>湖北</v>
          </cell>
          <cell r="V287" t="str">
            <v>SZ 深圳</v>
          </cell>
          <cell r="W287" t="str">
            <v>DZ</v>
          </cell>
          <cell r="X287" t="str">
            <v>RMB</v>
          </cell>
          <cell r="Y287">
            <v>793373</v>
          </cell>
          <cell r="Z287">
            <v>1.1599999999999999</v>
          </cell>
          <cell r="AA287">
            <v>793373</v>
          </cell>
          <cell r="AB287">
            <v>1.23</v>
          </cell>
          <cell r="AC287">
            <v>841248.95689655177</v>
          </cell>
          <cell r="AD287">
            <v>100949.8748275862</v>
          </cell>
          <cell r="AE287">
            <v>0.12</v>
          </cell>
          <cell r="AF287">
            <v>43217</v>
          </cell>
          <cell r="AG287" t="str">
            <v>DDP HB</v>
          </cell>
          <cell r="AH287" t="str">
            <v>普通卸货</v>
          </cell>
          <cell r="AI287" t="str">
            <v>Na</v>
          </cell>
          <cell r="AJ287" t="str">
            <v>Na</v>
          </cell>
          <cell r="AK287">
            <v>0.95</v>
          </cell>
          <cell r="AL287">
            <v>753704.35</v>
          </cell>
          <cell r="AM287">
            <v>43221</v>
          </cell>
          <cell r="AN287" t="str">
            <v>Yes</v>
          </cell>
          <cell r="AO287">
            <v>0.05</v>
          </cell>
          <cell r="AP287">
            <v>39668.65</v>
          </cell>
          <cell r="AQ287">
            <v>43282</v>
          </cell>
          <cell r="AR287">
            <v>43311</v>
          </cell>
          <cell r="AS287"/>
          <cell r="AT287">
            <v>0</v>
          </cell>
          <cell r="AV287"/>
          <cell r="AY287"/>
          <cell r="AZ287" t="str">
            <v>Y</v>
          </cell>
          <cell r="BA287" t="str">
            <v>Yes</v>
          </cell>
        </row>
        <row r="288">
          <cell r="B288"/>
          <cell r="C288" t="str">
            <v>P81804003</v>
          </cell>
          <cell r="D288" t="str">
            <v>I-power天龙动力</v>
          </cell>
          <cell r="E288" t="str">
            <v>YSM10</v>
          </cell>
          <cell r="F288" t="str">
            <v>NA</v>
          </cell>
          <cell r="G288" t="e">
            <v>#REF!</v>
          </cell>
          <cell r="H288" t="e">
            <v>#REF!</v>
          </cell>
          <cell r="K288">
            <v>1</v>
          </cell>
          <cell r="L288" t="str">
            <v>已经送货</v>
          </cell>
          <cell r="M288" t="str">
            <v>2018/5</v>
          </cell>
          <cell r="O288">
            <v>11116107</v>
          </cell>
          <cell r="P288">
            <v>440339</v>
          </cell>
          <cell r="Q288">
            <v>43221</v>
          </cell>
          <cell r="R288" t="str">
            <v>Yes</v>
          </cell>
          <cell r="S288" t="str">
            <v>C49</v>
          </cell>
          <cell r="T288" t="str">
            <v>SOUTH</v>
          </cell>
          <cell r="U288" t="str">
            <v>香港</v>
          </cell>
          <cell r="V288" t="str">
            <v>SZ 深圳</v>
          </cell>
          <cell r="W288" t="str">
            <v>SX</v>
          </cell>
          <cell r="X288" t="str">
            <v>RMB</v>
          </cell>
          <cell r="Y288">
            <v>440339</v>
          </cell>
          <cell r="Z288">
            <v>1</v>
          </cell>
          <cell r="AA288">
            <v>440339</v>
          </cell>
          <cell r="AB288">
            <v>1.23</v>
          </cell>
          <cell r="AC288">
            <v>541616.97</v>
          </cell>
          <cell r="AD288">
            <v>64994.036399999997</v>
          </cell>
          <cell r="AE288">
            <v>0.12</v>
          </cell>
          <cell r="AF288">
            <v>43206</v>
          </cell>
          <cell r="AG288" t="str">
            <v>CIF</v>
          </cell>
          <cell r="AH288"/>
          <cell r="AI288"/>
          <cell r="AJ288"/>
          <cell r="AK288">
            <v>1</v>
          </cell>
          <cell r="AL288">
            <v>440339</v>
          </cell>
          <cell r="AM288">
            <v>43221</v>
          </cell>
          <cell r="AN288" t="str">
            <v>Yes</v>
          </cell>
          <cell r="AO288"/>
          <cell r="AP288">
            <v>0</v>
          </cell>
          <cell r="AR288"/>
          <cell r="AS288"/>
          <cell r="AT288">
            <v>0</v>
          </cell>
          <cell r="AV288"/>
          <cell r="AX288" t="str">
            <v>Yes</v>
          </cell>
          <cell r="AY288" t="str">
            <v>Yes</v>
          </cell>
          <cell r="BA288" t="str">
            <v>Yes</v>
          </cell>
        </row>
        <row r="289">
          <cell r="B289">
            <v>141</v>
          </cell>
          <cell r="C289" t="str">
            <v>P8544EQYM44</v>
          </cell>
          <cell r="D289" t="str">
            <v>PROTECH</v>
          </cell>
          <cell r="E289" t="str">
            <v>YSM10</v>
          </cell>
          <cell r="F289" t="str">
            <v>NA</v>
          </cell>
          <cell r="G289" t="e">
            <v>#REF!</v>
          </cell>
          <cell r="H289" t="e">
            <v>#REF!</v>
          </cell>
          <cell r="I289" t="str">
            <v>L-&gt;R</v>
          </cell>
          <cell r="J289" t="str">
            <v>No</v>
          </cell>
          <cell r="K289">
            <v>1</v>
          </cell>
          <cell r="L289">
            <v>109239</v>
          </cell>
          <cell r="M289" t="str">
            <v>NOV 18</v>
          </cell>
          <cell r="O289">
            <v>11116232</v>
          </cell>
          <cell r="P289">
            <v>7100000</v>
          </cell>
          <cell r="Q289">
            <v>43405</v>
          </cell>
          <cell r="R289" t="str">
            <v>Yes</v>
          </cell>
          <cell r="S289" t="str">
            <v>C49</v>
          </cell>
          <cell r="T289" t="str">
            <v>SOUTH</v>
          </cell>
          <cell r="U289" t="str">
            <v>香港</v>
          </cell>
          <cell r="V289" t="str">
            <v>SZ 深圳</v>
          </cell>
          <cell r="X289" t="str">
            <v>JPY</v>
          </cell>
          <cell r="Y289">
            <v>7100000</v>
          </cell>
          <cell r="Z289">
            <v>1</v>
          </cell>
          <cell r="AA289">
            <v>7100000</v>
          </cell>
          <cell r="AB289">
            <v>7.2099999999999997E-2</v>
          </cell>
          <cell r="AC289">
            <v>511910</v>
          </cell>
          <cell r="AD289">
            <v>61429.2</v>
          </cell>
          <cell r="AE289">
            <v>0.12</v>
          </cell>
          <cell r="AF289">
            <v>43340</v>
          </cell>
          <cell r="AG289" t="str">
            <v xml:space="preserve">CIF  </v>
          </cell>
          <cell r="AH289"/>
          <cell r="AI289"/>
          <cell r="AJ289"/>
          <cell r="AK289">
            <v>0.3</v>
          </cell>
          <cell r="AL289">
            <v>2130000</v>
          </cell>
          <cell r="AM289">
            <v>43344</v>
          </cell>
          <cell r="AN289" t="str">
            <v>Yes</v>
          </cell>
          <cell r="AO289">
            <v>0.7</v>
          </cell>
          <cell r="AP289">
            <v>4970000</v>
          </cell>
          <cell r="AQ289">
            <v>43405</v>
          </cell>
          <cell r="AR289">
            <v>43423</v>
          </cell>
          <cell r="AS289" t="str">
            <v>complete</v>
          </cell>
          <cell r="AT289" t="e">
            <v>#VALUE!</v>
          </cell>
          <cell r="AV289"/>
          <cell r="AW289"/>
          <cell r="AX289" t="str">
            <v>Yes</v>
          </cell>
          <cell r="AY289"/>
          <cell r="BA289" t="str">
            <v>Yes</v>
          </cell>
        </row>
        <row r="290">
          <cell r="B290"/>
          <cell r="C290" t="str">
            <v>PR-GL02-201712140002</v>
          </cell>
          <cell r="D290" t="str">
            <v>Kstar(科士达)</v>
          </cell>
          <cell r="E290" t="str">
            <v>YS24</v>
          </cell>
          <cell r="F290" t="str">
            <v>NA</v>
          </cell>
          <cell r="G290" t="e">
            <v>#REF!</v>
          </cell>
          <cell r="H290" t="e">
            <v>#REF!</v>
          </cell>
          <cell r="K290">
            <v>2</v>
          </cell>
          <cell r="L290" t="str">
            <v>已经送货</v>
          </cell>
          <cell r="M290" t="str">
            <v>2018/7</v>
          </cell>
          <cell r="O290">
            <v>11100269</v>
          </cell>
          <cell r="P290">
            <v>1883760</v>
          </cell>
          <cell r="Q290">
            <v>43313</v>
          </cell>
          <cell r="R290" t="str">
            <v>No</v>
          </cell>
          <cell r="S290" t="str">
            <v>C49</v>
          </cell>
          <cell r="T290" t="str">
            <v>SOUTH</v>
          </cell>
          <cell r="U290" t="str">
            <v>惠州</v>
          </cell>
          <cell r="V290" t="str">
            <v>SZ 深圳</v>
          </cell>
          <cell r="W290" t="str">
            <v>MZ</v>
          </cell>
          <cell r="X290" t="str">
            <v>RMB</v>
          </cell>
          <cell r="Y290">
            <v>941880</v>
          </cell>
          <cell r="Z290">
            <v>1.1599999999999999</v>
          </cell>
          <cell r="AA290">
            <v>1883760</v>
          </cell>
          <cell r="AB290">
            <v>1.18</v>
          </cell>
          <cell r="AC290">
            <v>1916238.6206896552</v>
          </cell>
          <cell r="AD290">
            <v>229948.63448275861</v>
          </cell>
          <cell r="AE290">
            <v>0.12</v>
          </cell>
          <cell r="AF290">
            <v>43104</v>
          </cell>
          <cell r="AG290" t="str">
            <v>含税到厂</v>
          </cell>
          <cell r="AH290"/>
          <cell r="AI290"/>
          <cell r="AJ290"/>
          <cell r="AK290" t="str">
            <v>agree</v>
          </cell>
          <cell r="AL290">
            <v>570000</v>
          </cell>
          <cell r="AM290">
            <v>43466</v>
          </cell>
          <cell r="AN290" t="str">
            <v>Yes</v>
          </cell>
          <cell r="AO290" t="str">
            <v>agree</v>
          </cell>
          <cell r="AP290">
            <v>1125384</v>
          </cell>
          <cell r="AR290"/>
          <cell r="AS290">
            <v>0.1</v>
          </cell>
          <cell r="AT290">
            <v>188376</v>
          </cell>
          <cell r="AU290">
            <v>43313</v>
          </cell>
          <cell r="AV290">
            <v>43329</v>
          </cell>
          <cell r="AW290" t="str">
            <v>complete</v>
          </cell>
          <cell r="AX290" t="str">
            <v>Yes</v>
          </cell>
          <cell r="AY290"/>
          <cell r="AZ290" t="str">
            <v>Y</v>
          </cell>
          <cell r="BA290" t="str">
            <v>Yes</v>
          </cell>
        </row>
        <row r="291">
          <cell r="B291"/>
          <cell r="C291" t="str">
            <v>PR-HZ02-201711300001</v>
          </cell>
          <cell r="D291" t="str">
            <v>Kstar(科士达) Sale accrual June</v>
          </cell>
          <cell r="E291" t="str">
            <v>YS24</v>
          </cell>
          <cell r="F291" t="str">
            <v>NA</v>
          </cell>
          <cell r="G291" t="e">
            <v>#REF!</v>
          </cell>
          <cell r="H291" t="e">
            <v>#REF!</v>
          </cell>
          <cell r="K291">
            <v>1</v>
          </cell>
          <cell r="L291" t="str">
            <v>已经送货</v>
          </cell>
          <cell r="M291" t="str">
            <v>2018/6</v>
          </cell>
          <cell r="O291">
            <v>11100267</v>
          </cell>
          <cell r="P291">
            <v>1470000</v>
          </cell>
          <cell r="Q291">
            <v>43282</v>
          </cell>
          <cell r="R291" t="str">
            <v>No</v>
          </cell>
          <cell r="S291" t="str">
            <v>C49</v>
          </cell>
          <cell r="T291" t="str">
            <v>SOUTH</v>
          </cell>
          <cell r="U291" t="str">
            <v>惠州</v>
          </cell>
          <cell r="V291" t="str">
            <v>SZ 深圳</v>
          </cell>
          <cell r="W291" t="str">
            <v>MZ</v>
          </cell>
          <cell r="X291" t="str">
            <v>RMB</v>
          </cell>
          <cell r="Y291">
            <v>1470000</v>
          </cell>
          <cell r="Z291">
            <v>1.1599999999999999</v>
          </cell>
          <cell r="AA291">
            <v>1470000</v>
          </cell>
          <cell r="AB291">
            <v>1.18</v>
          </cell>
          <cell r="AC291">
            <v>1495344.8275862068</v>
          </cell>
          <cell r="AD291">
            <v>179441.37931034481</v>
          </cell>
          <cell r="AE291">
            <v>0.12</v>
          </cell>
          <cell r="AF291">
            <v>43104</v>
          </cell>
          <cell r="AG291" t="str">
            <v>含税到厂</v>
          </cell>
          <cell r="AH291"/>
          <cell r="AI291"/>
          <cell r="AJ291"/>
          <cell r="AK291">
            <v>0.3</v>
          </cell>
          <cell r="AL291">
            <v>441000</v>
          </cell>
          <cell r="AM291">
            <v>43466</v>
          </cell>
          <cell r="AN291" t="str">
            <v>Yes</v>
          </cell>
          <cell r="AO291" t="str">
            <v>agree</v>
          </cell>
          <cell r="AP291">
            <v>0</v>
          </cell>
          <cell r="AQ291">
            <v>43252</v>
          </cell>
          <cell r="AR291">
            <v>43264</v>
          </cell>
          <cell r="AS291">
            <v>0.1</v>
          </cell>
          <cell r="AT291">
            <v>147000</v>
          </cell>
          <cell r="AU291">
            <v>43374</v>
          </cell>
          <cell r="AV291">
            <v>43396</v>
          </cell>
          <cell r="AW291" t="str">
            <v>complete</v>
          </cell>
          <cell r="AX291" t="str">
            <v>Yes</v>
          </cell>
          <cell r="AY291"/>
          <cell r="BA291" t="str">
            <v>Yes</v>
          </cell>
          <cell r="BB291" t="str">
            <v>sales accrual</v>
          </cell>
        </row>
        <row r="292">
          <cell r="B292"/>
          <cell r="C292" t="str">
            <v>PR-HZ02-201711300001 </v>
          </cell>
          <cell r="D292" t="str">
            <v>Kstar(科士达) Sale accrual June</v>
          </cell>
          <cell r="E292" t="str">
            <v>YSM10</v>
          </cell>
          <cell r="F292" t="str">
            <v>NA</v>
          </cell>
          <cell r="G292" t="e">
            <v>#REF!</v>
          </cell>
          <cell r="H292" t="e">
            <v>#REF!</v>
          </cell>
          <cell r="K292">
            <v>1</v>
          </cell>
          <cell r="L292" t="str">
            <v>已经送货</v>
          </cell>
          <cell r="M292" t="str">
            <v>2018/6</v>
          </cell>
          <cell r="O292">
            <v>11100267</v>
          </cell>
          <cell r="P292">
            <v>1177179</v>
          </cell>
          <cell r="Q292">
            <v>43282</v>
          </cell>
          <cell r="R292" t="str">
            <v>No</v>
          </cell>
          <cell r="S292" t="str">
            <v>C49</v>
          </cell>
          <cell r="T292" t="str">
            <v>SOUTH</v>
          </cell>
          <cell r="U292" t="str">
            <v>惠州</v>
          </cell>
          <cell r="V292" t="str">
            <v>SZ 深圳</v>
          </cell>
          <cell r="W292" t="str">
            <v>MZ</v>
          </cell>
          <cell r="X292" t="str">
            <v>RMB</v>
          </cell>
          <cell r="Y292">
            <v>1177179</v>
          </cell>
          <cell r="Z292">
            <v>1.1599999999999999</v>
          </cell>
          <cell r="AA292">
            <v>1177179</v>
          </cell>
          <cell r="AB292">
            <v>1.18</v>
          </cell>
          <cell r="AC292">
            <v>1197475.1896551724</v>
          </cell>
          <cell r="AD292">
            <v>143697.02275862067</v>
          </cell>
          <cell r="AE292">
            <v>0.12</v>
          </cell>
          <cell r="AF292">
            <v>43104</v>
          </cell>
          <cell r="AG292" t="str">
            <v>含税到厂</v>
          </cell>
          <cell r="AH292"/>
          <cell r="AI292"/>
          <cell r="AJ292"/>
          <cell r="AK292">
            <v>0.3</v>
          </cell>
          <cell r="AL292">
            <v>353153.7</v>
          </cell>
          <cell r="AM292">
            <v>43466</v>
          </cell>
          <cell r="AN292" t="str">
            <v>Yes</v>
          </cell>
          <cell r="AO292" t="str">
            <v>agree</v>
          </cell>
          <cell r="AP292">
            <v>1581461.1</v>
          </cell>
          <cell r="AQ292">
            <v>43252</v>
          </cell>
          <cell r="AR292">
            <v>43264</v>
          </cell>
          <cell r="AS292">
            <v>0.1</v>
          </cell>
          <cell r="AT292">
            <v>117717.90000000001</v>
          </cell>
          <cell r="AU292">
            <v>43374</v>
          </cell>
          <cell r="AV292">
            <v>43396</v>
          </cell>
          <cell r="AW292" t="str">
            <v>complete</v>
          </cell>
          <cell r="AX292" t="str">
            <v>Yes</v>
          </cell>
          <cell r="AY292"/>
          <cell r="BA292" t="str">
            <v>Yes</v>
          </cell>
          <cell r="BB292" t="str">
            <v>sales accrual</v>
          </cell>
        </row>
        <row r="293">
          <cell r="B293"/>
          <cell r="C293" t="str">
            <v>SPA20180209120</v>
          </cell>
          <cell r="D293" t="str">
            <v>高新兴</v>
          </cell>
          <cell r="E293" t="str">
            <v>Heller 1936MK5</v>
          </cell>
          <cell r="F293" t="str">
            <v>NA</v>
          </cell>
          <cell r="G293" t="e">
            <v>#REF!</v>
          </cell>
          <cell r="H293" t="e">
            <v>#REF!</v>
          </cell>
          <cell r="K293">
            <v>2</v>
          </cell>
          <cell r="L293" t="str">
            <v>已经送货</v>
          </cell>
          <cell r="M293" t="str">
            <v>2018/5</v>
          </cell>
          <cell r="O293">
            <v>11100252</v>
          </cell>
          <cell r="P293">
            <v>1080000</v>
          </cell>
          <cell r="Q293">
            <v>43191</v>
          </cell>
          <cell r="R293" t="str">
            <v>No</v>
          </cell>
          <cell r="S293" t="str">
            <v>C28</v>
          </cell>
          <cell r="T293" t="str">
            <v>SOUTH</v>
          </cell>
          <cell r="U293" t="str">
            <v>香港</v>
          </cell>
          <cell r="V293" t="str">
            <v>SZ 深圳</v>
          </cell>
          <cell r="W293" t="str">
            <v>Yann</v>
          </cell>
          <cell r="X293" t="str">
            <v>RMB</v>
          </cell>
          <cell r="Y293">
            <v>540000</v>
          </cell>
          <cell r="Z293">
            <v>1.17</v>
          </cell>
          <cell r="AA293">
            <v>1080000</v>
          </cell>
          <cell r="AB293">
            <v>1.23</v>
          </cell>
          <cell r="AC293">
            <v>1135384.6153846155</v>
          </cell>
          <cell r="AD293">
            <v>136246.15384615384</v>
          </cell>
          <cell r="AE293">
            <v>0.12</v>
          </cell>
          <cell r="AF293">
            <v>43132</v>
          </cell>
          <cell r="AG293" t="str">
            <v>含税到厂</v>
          </cell>
          <cell r="AH293"/>
          <cell r="AI293"/>
          <cell r="AJ293"/>
          <cell r="AK293">
            <v>0.3</v>
          </cell>
          <cell r="AL293">
            <v>324000</v>
          </cell>
          <cell r="AM293">
            <v>43132</v>
          </cell>
          <cell r="AN293" t="str">
            <v>Yes</v>
          </cell>
          <cell r="AO293">
            <v>0.6</v>
          </cell>
          <cell r="AP293">
            <v>648000</v>
          </cell>
          <cell r="AQ293">
            <v>43191</v>
          </cell>
          <cell r="AR293">
            <v>43215</v>
          </cell>
          <cell r="AS293">
            <v>0.1</v>
          </cell>
          <cell r="AT293">
            <v>108000</v>
          </cell>
          <cell r="AU293">
            <v>43344</v>
          </cell>
          <cell r="AV293">
            <v>43369</v>
          </cell>
          <cell r="AW293" t="str">
            <v>complete</v>
          </cell>
          <cell r="AX293" t="str">
            <v>Yes</v>
          </cell>
          <cell r="AY293" t="str">
            <v>Yes</v>
          </cell>
          <cell r="BA293" t="str">
            <v>Yes</v>
          </cell>
        </row>
        <row r="294">
          <cell r="B294"/>
          <cell r="C294" t="str">
            <v>TH-PG1507A-1</v>
          </cell>
          <cell r="D294" t="str">
            <v>广州数控</v>
          </cell>
          <cell r="E294" t="str">
            <v>Heller 1826MK5</v>
          </cell>
          <cell r="F294" t="str">
            <v>NA</v>
          </cell>
          <cell r="G294" t="e">
            <v>#REF!</v>
          </cell>
          <cell r="H294" t="e">
            <v>#REF!</v>
          </cell>
          <cell r="I294"/>
          <cell r="J294"/>
          <cell r="K294">
            <v>1</v>
          </cell>
          <cell r="L294" t="str">
            <v>已经送货</v>
          </cell>
          <cell r="M294"/>
          <cell r="N294"/>
          <cell r="O294">
            <v>11100821</v>
          </cell>
          <cell r="P294">
            <v>275000</v>
          </cell>
          <cell r="Q294"/>
          <cell r="R294" t="str">
            <v>No</v>
          </cell>
          <cell r="S294" t="str">
            <v>C28</v>
          </cell>
          <cell r="T294" t="str">
            <v>SOUTH</v>
          </cell>
          <cell r="U294"/>
          <cell r="V294"/>
          <cell r="W294" t="str">
            <v>CH</v>
          </cell>
          <cell r="X294" t="str">
            <v>RMB</v>
          </cell>
          <cell r="Y294">
            <v>275000</v>
          </cell>
          <cell r="Z294">
            <v>1.17</v>
          </cell>
          <cell r="AA294">
            <v>275000</v>
          </cell>
          <cell r="AB294">
            <v>1.175</v>
          </cell>
          <cell r="AC294">
            <v>276175.21367521369</v>
          </cell>
          <cell r="AD294">
            <v>33141.025641025641</v>
          </cell>
          <cell r="AE294">
            <v>0.12</v>
          </cell>
          <cell r="AF294">
            <v>43066</v>
          </cell>
          <cell r="AG294"/>
          <cell r="AH294"/>
          <cell r="AI294"/>
          <cell r="AJ294"/>
          <cell r="AK294">
            <v>0.3</v>
          </cell>
          <cell r="AL294">
            <v>400000</v>
          </cell>
          <cell r="AM294">
            <v>43070</v>
          </cell>
          <cell r="AN294" t="str">
            <v>Yes</v>
          </cell>
          <cell r="AO294">
            <v>0.6</v>
          </cell>
          <cell r="AP294">
            <v>165000</v>
          </cell>
          <cell r="AQ294">
            <v>43132</v>
          </cell>
          <cell r="AR294"/>
          <cell r="AS294">
            <v>0.1</v>
          </cell>
          <cell r="AT294">
            <v>27500</v>
          </cell>
          <cell r="AU294"/>
          <cell r="AV294"/>
          <cell r="AW294"/>
          <cell r="AX294"/>
          <cell r="AY294"/>
          <cell r="AZ294"/>
          <cell r="BA294" t="str">
            <v>Yes</v>
          </cell>
          <cell r="BB294"/>
        </row>
        <row r="295">
          <cell r="B295">
            <v>142</v>
          </cell>
          <cell r="C295" t="str">
            <v>SDPUR-20180047</v>
          </cell>
          <cell r="D295" t="str">
            <v>上达</v>
          </cell>
          <cell r="E295" t="str">
            <v>YSM10</v>
          </cell>
          <cell r="F295" t="str">
            <v>NA</v>
          </cell>
          <cell r="G295" t="e">
            <v>#REF!</v>
          </cell>
          <cell r="H295" t="e">
            <v>#REF!</v>
          </cell>
          <cell r="I295" t="str">
            <v>L-&gt;R</v>
          </cell>
          <cell r="J295" t="str">
            <v>MVC</v>
          </cell>
          <cell r="K295">
            <v>1</v>
          </cell>
          <cell r="L295">
            <v>109322</v>
          </cell>
          <cell r="M295" t="str">
            <v>DEC 18</v>
          </cell>
          <cell r="N295"/>
          <cell r="O295">
            <v>11100278</v>
          </cell>
          <cell r="P295">
            <v>757875</v>
          </cell>
          <cell r="Q295">
            <v>43435</v>
          </cell>
          <cell r="R295" t="str">
            <v>No</v>
          </cell>
          <cell r="S295" t="str">
            <v>C49</v>
          </cell>
          <cell r="T295" t="str">
            <v>SOUTH</v>
          </cell>
          <cell r="U295" t="str">
            <v>深圳</v>
          </cell>
          <cell r="V295" t="str">
            <v>SZ 深圳</v>
          </cell>
          <cell r="W295" t="str">
            <v>RW</v>
          </cell>
          <cell r="X295" t="str">
            <v>RMB</v>
          </cell>
          <cell r="Y295">
            <v>757875</v>
          </cell>
          <cell r="Z295">
            <v>1.1599999999999999</v>
          </cell>
          <cell r="AA295">
            <v>757875</v>
          </cell>
          <cell r="AB295">
            <v>1.23</v>
          </cell>
          <cell r="AC295">
            <v>803608.83620689658</v>
          </cell>
          <cell r="AD295">
            <v>96433.06034482758</v>
          </cell>
          <cell r="AE295">
            <v>0.12</v>
          </cell>
          <cell r="AF295">
            <v>43279</v>
          </cell>
          <cell r="AG295" t="str">
            <v>含税到厂</v>
          </cell>
          <cell r="AH295"/>
          <cell r="AI295"/>
          <cell r="AJ295"/>
          <cell r="AK295">
            <v>0.15</v>
          </cell>
          <cell r="AL295">
            <v>113681.25</v>
          </cell>
          <cell r="AM295">
            <v>43405</v>
          </cell>
          <cell r="AN295" t="str">
            <v>Yes</v>
          </cell>
          <cell r="AO295">
            <v>0.05</v>
          </cell>
          <cell r="AP295">
            <v>37893.75</v>
          </cell>
          <cell r="AQ295">
            <v>43435</v>
          </cell>
          <cell r="AR295">
            <v>43444</v>
          </cell>
          <cell r="AS295">
            <v>0.8</v>
          </cell>
          <cell r="AT295">
            <v>606300</v>
          </cell>
          <cell r="AU295">
            <v>43435</v>
          </cell>
          <cell r="AV295">
            <v>43459</v>
          </cell>
          <cell r="AW295" t="str">
            <v>complete</v>
          </cell>
          <cell r="AX295" t="str">
            <v>Yes</v>
          </cell>
          <cell r="AY295"/>
          <cell r="AZ295" t="str">
            <v>Y</v>
          </cell>
          <cell r="BA295" t="str">
            <v>Yes</v>
          </cell>
          <cell r="BB295" t="str">
            <v>forecast July, 改为Aug</v>
          </cell>
        </row>
        <row r="296">
          <cell r="B296">
            <v>143</v>
          </cell>
          <cell r="C296" t="str">
            <v>SDPUR-20180047</v>
          </cell>
          <cell r="D296" t="str">
            <v>上达</v>
          </cell>
          <cell r="E296" t="str">
            <v>YSM10</v>
          </cell>
          <cell r="F296" t="str">
            <v>NA</v>
          </cell>
          <cell r="G296" t="e">
            <v>#REF!</v>
          </cell>
          <cell r="H296" t="e">
            <v>#REF!</v>
          </cell>
          <cell r="I296" t="str">
            <v>L-&gt;R</v>
          </cell>
          <cell r="J296" t="str">
            <v>MVC</v>
          </cell>
          <cell r="K296">
            <v>1</v>
          </cell>
          <cell r="L296">
            <v>109322</v>
          </cell>
          <cell r="M296" t="str">
            <v>DEC 18</v>
          </cell>
          <cell r="N296"/>
          <cell r="O296">
            <v>11100278</v>
          </cell>
          <cell r="P296">
            <v>757875</v>
          </cell>
          <cell r="Q296">
            <v>43435</v>
          </cell>
          <cell r="R296" t="str">
            <v>No</v>
          </cell>
          <cell r="S296" t="str">
            <v>C49</v>
          </cell>
          <cell r="T296" t="str">
            <v>SOUTH</v>
          </cell>
          <cell r="U296" t="str">
            <v>深圳</v>
          </cell>
          <cell r="V296" t="str">
            <v>SZ 深圳</v>
          </cell>
          <cell r="W296" t="str">
            <v>RW</v>
          </cell>
          <cell r="X296" t="str">
            <v>RMB</v>
          </cell>
          <cell r="Y296">
            <v>757875</v>
          </cell>
          <cell r="Z296">
            <v>1.1599999999999999</v>
          </cell>
          <cell r="AA296">
            <v>757875</v>
          </cell>
          <cell r="AB296">
            <v>1.23</v>
          </cell>
          <cell r="AC296">
            <v>803608.83620689658</v>
          </cell>
          <cell r="AD296">
            <v>96433.06034482758</v>
          </cell>
          <cell r="AE296">
            <v>0.12</v>
          </cell>
          <cell r="AF296">
            <v>43279</v>
          </cell>
          <cell r="AG296" t="str">
            <v>含税到厂</v>
          </cell>
          <cell r="AH296"/>
          <cell r="AI296"/>
          <cell r="AJ296"/>
          <cell r="AK296">
            <v>0.15</v>
          </cell>
          <cell r="AL296">
            <v>113681.25</v>
          </cell>
          <cell r="AM296">
            <v>43405</v>
          </cell>
          <cell r="AN296" t="str">
            <v>Yes</v>
          </cell>
          <cell r="AO296">
            <v>0.05</v>
          </cell>
          <cell r="AP296">
            <v>37893.75</v>
          </cell>
          <cell r="AQ296">
            <v>43435</v>
          </cell>
          <cell r="AR296">
            <v>43444</v>
          </cell>
          <cell r="AS296">
            <v>0.8</v>
          </cell>
          <cell r="AT296">
            <v>606300</v>
          </cell>
          <cell r="AU296">
            <v>43435</v>
          </cell>
          <cell r="AV296">
            <v>43459</v>
          </cell>
          <cell r="AW296" t="str">
            <v>complete</v>
          </cell>
          <cell r="AX296" t="str">
            <v>Yes</v>
          </cell>
          <cell r="AY296"/>
          <cell r="AZ296" t="str">
            <v>Y</v>
          </cell>
          <cell r="BA296" t="str">
            <v>Yes</v>
          </cell>
          <cell r="BB296" t="str">
            <v>forecast July, 改为Aug</v>
          </cell>
        </row>
        <row r="297">
          <cell r="B297">
            <v>144</v>
          </cell>
          <cell r="C297" t="str">
            <v>GCB20180928002</v>
          </cell>
          <cell r="D297" t="str">
            <v>贵阳永青</v>
          </cell>
          <cell r="E297" t="str">
            <v>TROI-7700EL</v>
          </cell>
          <cell r="F297" t="str">
            <v>NA</v>
          </cell>
          <cell r="G297" t="e">
            <v>#REF!</v>
          </cell>
          <cell r="H297" t="e">
            <v>#REF!</v>
          </cell>
          <cell r="I297" t="str">
            <v>L-&gt;R</v>
          </cell>
          <cell r="J297" t="str">
            <v>No</v>
          </cell>
          <cell r="K297">
            <v>1</v>
          </cell>
          <cell r="L297" t="e">
            <v>#N/A</v>
          </cell>
          <cell r="M297" t="e">
            <v>#N/A</v>
          </cell>
          <cell r="O297">
            <v>11100912</v>
          </cell>
          <cell r="P297">
            <v>380000</v>
          </cell>
          <cell r="Q297">
            <v>43466</v>
          </cell>
          <cell r="R297" t="str">
            <v>Yes</v>
          </cell>
          <cell r="S297" t="str">
            <v>C28</v>
          </cell>
          <cell r="T297" t="str">
            <v>SOUTH</v>
          </cell>
          <cell r="U297" t="str">
            <v>贵州</v>
          </cell>
          <cell r="V297" t="str">
            <v>SZ 深圳</v>
          </cell>
          <cell r="W297" t="str">
            <v>Li Yong</v>
          </cell>
          <cell r="X297" t="str">
            <v>RMB</v>
          </cell>
          <cell r="Y297">
            <v>380000</v>
          </cell>
          <cell r="Z297">
            <v>1.1599999999999999</v>
          </cell>
          <cell r="AA297">
            <v>380000</v>
          </cell>
          <cell r="AB297">
            <v>1.1499999999999999</v>
          </cell>
          <cell r="AC297">
            <v>376724.13793103449</v>
          </cell>
          <cell r="AD297">
            <v>45206.896551724138</v>
          </cell>
          <cell r="AE297">
            <v>0.12</v>
          </cell>
          <cell r="AF297">
            <v>43371</v>
          </cell>
          <cell r="AG297" t="str">
            <v>含税到厂</v>
          </cell>
          <cell r="AH297"/>
          <cell r="AI297"/>
          <cell r="AJ297"/>
          <cell r="AK297">
            <v>0.3</v>
          </cell>
          <cell r="AL297">
            <v>114000</v>
          </cell>
          <cell r="AM297">
            <v>43344</v>
          </cell>
          <cell r="AN297" t="str">
            <v>Yes</v>
          </cell>
          <cell r="AO297">
            <v>0.6</v>
          </cell>
          <cell r="AP297">
            <v>228000</v>
          </cell>
          <cell r="AQ297">
            <v>43586</v>
          </cell>
          <cell r="AR297">
            <v>43606</v>
          </cell>
          <cell r="AS297">
            <v>0.1</v>
          </cell>
          <cell r="AT297">
            <v>38000</v>
          </cell>
          <cell r="AV297"/>
          <cell r="AW297" t="str">
            <v>complete</v>
          </cell>
          <cell r="AX297" t="str">
            <v>Yes</v>
          </cell>
          <cell r="AY297"/>
          <cell r="BA297" t="str">
            <v>Yes</v>
          </cell>
        </row>
        <row r="298">
          <cell r="B298">
            <v>145</v>
          </cell>
          <cell r="C298" t="str">
            <v>C49SZX20180152ZX</v>
          </cell>
          <cell r="D298" t="str">
            <v>雅鑫特</v>
          </cell>
          <cell r="E298" t="str">
            <v>YSM10</v>
          </cell>
          <cell r="F298" t="str">
            <v>NA</v>
          </cell>
          <cell r="G298" t="e">
            <v>#REF!</v>
          </cell>
          <cell r="H298" t="e">
            <v>#REF!</v>
          </cell>
          <cell r="I298" t="str">
            <v>L-&gt;R</v>
          </cell>
          <cell r="J298" t="str">
            <v>MVC+ATS15</v>
          </cell>
          <cell r="K298">
            <v>1</v>
          </cell>
          <cell r="L298">
            <v>109284</v>
          </cell>
          <cell r="M298" t="str">
            <v>OCT 18</v>
          </cell>
          <cell r="O298">
            <v>11116220</v>
          </cell>
          <cell r="P298">
            <v>9000000</v>
          </cell>
          <cell r="Q298">
            <v>43374</v>
          </cell>
          <cell r="R298" t="str">
            <v>No</v>
          </cell>
          <cell r="S298" t="str">
            <v>C49</v>
          </cell>
          <cell r="T298" t="str">
            <v>SOUTH</v>
          </cell>
          <cell r="U298" t="str">
            <v>深圳</v>
          </cell>
          <cell r="V298" t="str">
            <v>SZ 深圳</v>
          </cell>
          <cell r="W298" t="str">
            <v>ZX</v>
          </cell>
          <cell r="X298" t="str">
            <v>JPY</v>
          </cell>
          <cell r="Y298">
            <v>9000000</v>
          </cell>
          <cell r="Z298">
            <v>1</v>
          </cell>
          <cell r="AA298">
            <v>9000000</v>
          </cell>
          <cell r="AB298">
            <v>7.2099999999999997E-2</v>
          </cell>
          <cell r="AC298">
            <v>648900</v>
          </cell>
          <cell r="AD298">
            <v>77868</v>
          </cell>
          <cell r="AE298">
            <v>0.12</v>
          </cell>
          <cell r="AF298">
            <v>43383</v>
          </cell>
          <cell r="AG298" t="str">
            <v>CIF</v>
          </cell>
          <cell r="AH298"/>
          <cell r="AI298"/>
          <cell r="AJ298"/>
          <cell r="AK298">
            <v>0.1</v>
          </cell>
          <cell r="AL298">
            <v>900000</v>
          </cell>
          <cell r="AM298">
            <v>43374</v>
          </cell>
          <cell r="AN298" t="str">
            <v>Yes</v>
          </cell>
          <cell r="AO298" t="str">
            <v>agree</v>
          </cell>
          <cell r="AP298">
            <v>1000000</v>
          </cell>
          <cell r="AQ298">
            <v>43374</v>
          </cell>
          <cell r="AR298">
            <v>43388</v>
          </cell>
          <cell r="AS298" t="str">
            <v>agree</v>
          </cell>
          <cell r="AT298" t="e">
            <v>#VALUE!</v>
          </cell>
          <cell r="AU298">
            <v>43374</v>
          </cell>
          <cell r="AV298" t="str">
            <v>complete</v>
          </cell>
          <cell r="AW298"/>
          <cell r="AY298"/>
          <cell r="BA298" t="str">
            <v>Yes</v>
          </cell>
        </row>
        <row r="299">
          <cell r="B299">
            <v>146</v>
          </cell>
          <cell r="C299" t="str">
            <v>C49SZX20180152ZX</v>
          </cell>
          <cell r="D299" t="str">
            <v>雅鑫特</v>
          </cell>
          <cell r="E299" t="str">
            <v>C49SZX20210065JD</v>
          </cell>
          <cell r="F299" t="str">
            <v>NA</v>
          </cell>
          <cell r="G299" t="e">
            <v>#REF!</v>
          </cell>
          <cell r="H299" t="e">
            <v>#REF!</v>
          </cell>
          <cell r="I299" t="str">
            <v>L-&gt;R</v>
          </cell>
          <cell r="J299" t="str">
            <v>No</v>
          </cell>
          <cell r="K299">
            <v>1</v>
          </cell>
          <cell r="L299">
            <v>109264</v>
          </cell>
          <cell r="M299" t="str">
            <v>OCT 18</v>
          </cell>
          <cell r="O299">
            <v>11116220</v>
          </cell>
          <cell r="P299">
            <v>14000000</v>
          </cell>
          <cell r="Q299">
            <v>43374</v>
          </cell>
          <cell r="R299" t="str">
            <v>No</v>
          </cell>
          <cell r="S299" t="str">
            <v>C49</v>
          </cell>
          <cell r="T299" t="str">
            <v>SOUTH</v>
          </cell>
          <cell r="U299" t="str">
            <v>深圳</v>
          </cell>
          <cell r="V299" t="str">
            <v>SZ 深圳</v>
          </cell>
          <cell r="W299" t="str">
            <v>ZX</v>
          </cell>
          <cell r="X299" t="str">
            <v>JPY</v>
          </cell>
          <cell r="Y299">
            <v>14000000</v>
          </cell>
          <cell r="Z299">
            <v>1</v>
          </cell>
          <cell r="AA299">
            <v>14000000</v>
          </cell>
          <cell r="AB299">
            <v>7.2099999999999997E-2</v>
          </cell>
          <cell r="AC299">
            <v>1009400</v>
          </cell>
          <cell r="AD299">
            <v>121128</v>
          </cell>
          <cell r="AE299">
            <v>0.12</v>
          </cell>
          <cell r="AF299">
            <v>43383</v>
          </cell>
          <cell r="AG299" t="str">
            <v>CIF</v>
          </cell>
          <cell r="AH299"/>
          <cell r="AI299"/>
          <cell r="AJ299"/>
          <cell r="AK299">
            <v>0.1</v>
          </cell>
          <cell r="AL299">
            <v>1400000</v>
          </cell>
          <cell r="AM299">
            <v>43374</v>
          </cell>
          <cell r="AN299" t="str">
            <v>Yes</v>
          </cell>
          <cell r="AO299">
            <v>0.9</v>
          </cell>
          <cell r="AP299">
            <v>12600000</v>
          </cell>
          <cell r="AQ299">
            <v>43374</v>
          </cell>
          <cell r="AR299">
            <v>43396</v>
          </cell>
          <cell r="AS299" t="str">
            <v>complete</v>
          </cell>
          <cell r="AT299" t="e">
            <v>#VALUE!</v>
          </cell>
          <cell r="AV299"/>
          <cell r="AW299"/>
          <cell r="AX299" t="str">
            <v>Yes</v>
          </cell>
          <cell r="AY299"/>
          <cell r="BA299" t="str">
            <v>Yes</v>
          </cell>
        </row>
        <row r="300">
          <cell r="B300">
            <v>147</v>
          </cell>
          <cell r="C300" t="str">
            <v>C49SZX20180152ZX</v>
          </cell>
          <cell r="D300" t="str">
            <v>雅鑫特</v>
          </cell>
          <cell r="E300" t="str">
            <v>YSM20R(SV)-2</v>
          </cell>
          <cell r="F300" t="str">
            <v>NA</v>
          </cell>
          <cell r="G300" t="e">
            <v>#REF!</v>
          </cell>
          <cell r="H300" t="e">
            <v>#REF!</v>
          </cell>
          <cell r="I300" t="str">
            <v>L-&gt;R</v>
          </cell>
          <cell r="J300" t="str">
            <v>No</v>
          </cell>
          <cell r="K300">
            <v>1</v>
          </cell>
          <cell r="L300">
            <v>109264</v>
          </cell>
          <cell r="M300" t="str">
            <v>OCT 18</v>
          </cell>
          <cell r="O300">
            <v>11116220</v>
          </cell>
          <cell r="P300">
            <v>14000000</v>
          </cell>
          <cell r="Q300">
            <v>43374</v>
          </cell>
          <cell r="R300" t="str">
            <v>No</v>
          </cell>
          <cell r="S300" t="str">
            <v>C49</v>
          </cell>
          <cell r="T300" t="str">
            <v>SOUTH</v>
          </cell>
          <cell r="U300" t="str">
            <v>深圳</v>
          </cell>
          <cell r="V300" t="str">
            <v>SZ 深圳</v>
          </cell>
          <cell r="W300" t="str">
            <v>ZX</v>
          </cell>
          <cell r="X300" t="str">
            <v>JPY</v>
          </cell>
          <cell r="Y300">
            <v>14000000</v>
          </cell>
          <cell r="Z300">
            <v>1</v>
          </cell>
          <cell r="AA300">
            <v>14000000</v>
          </cell>
          <cell r="AB300">
            <v>7.2099999999999997E-2</v>
          </cell>
          <cell r="AC300">
            <v>1009400</v>
          </cell>
          <cell r="AD300">
            <v>121128</v>
          </cell>
          <cell r="AE300">
            <v>0.12</v>
          </cell>
          <cell r="AF300">
            <v>43383</v>
          </cell>
          <cell r="AG300" t="str">
            <v>CIF</v>
          </cell>
          <cell r="AH300"/>
          <cell r="AI300"/>
          <cell r="AJ300"/>
          <cell r="AK300">
            <v>0.1</v>
          </cell>
          <cell r="AL300">
            <v>1400000</v>
          </cell>
          <cell r="AM300">
            <v>43374</v>
          </cell>
          <cell r="AN300" t="str">
            <v>Yes</v>
          </cell>
          <cell r="AO300">
            <v>0.9</v>
          </cell>
          <cell r="AP300">
            <v>12600000</v>
          </cell>
          <cell r="AQ300">
            <v>43374</v>
          </cell>
          <cell r="AR300">
            <v>43396</v>
          </cell>
          <cell r="AS300" t="str">
            <v>complete</v>
          </cell>
          <cell r="AT300" t="e">
            <v>#VALUE!</v>
          </cell>
          <cell r="AV300"/>
          <cell r="AW300"/>
          <cell r="AX300" t="str">
            <v>Yes</v>
          </cell>
          <cell r="AY300"/>
          <cell r="BA300" t="str">
            <v>Yes</v>
          </cell>
        </row>
        <row r="301">
          <cell r="B301">
            <v>148</v>
          </cell>
          <cell r="C301" t="str">
            <v>201809200146</v>
          </cell>
          <cell r="D301" t="str">
            <v>青岛鼎新</v>
          </cell>
          <cell r="E301" t="str">
            <v>TROI-7700EL</v>
          </cell>
          <cell r="F301" t="str">
            <v>No</v>
          </cell>
          <cell r="G301" t="e">
            <v>#REF!</v>
          </cell>
          <cell r="H301" t="e">
            <v>#REF!</v>
          </cell>
          <cell r="I301" t="str">
            <v>L-&gt;R</v>
          </cell>
          <cell r="J301" t="str">
            <v>No</v>
          </cell>
          <cell r="K301">
            <v>2</v>
          </cell>
          <cell r="L301" t="e">
            <v>#N/A</v>
          </cell>
          <cell r="M301" t="e">
            <v>#N/A</v>
          </cell>
          <cell r="Q301"/>
          <cell r="R301" t="str">
            <v>No</v>
          </cell>
          <cell r="S301" t="str">
            <v>C28</v>
          </cell>
          <cell r="T301" t="str">
            <v>PRC</v>
          </cell>
          <cell r="U301" t="str">
            <v>青岛</v>
          </cell>
          <cell r="V301" t="str">
            <v>SZ 深圳</v>
          </cell>
          <cell r="W301" t="str">
            <v>Li Yong</v>
          </cell>
          <cell r="X301" t="str">
            <v>RMB</v>
          </cell>
          <cell r="Y301">
            <v>898000</v>
          </cell>
          <cell r="Z301">
            <v>1</v>
          </cell>
          <cell r="AA301">
            <v>1796000</v>
          </cell>
          <cell r="AB301">
            <v>1.1399999999999999</v>
          </cell>
          <cell r="AC301">
            <v>2047439.9999999998</v>
          </cell>
          <cell r="AD301">
            <v>245692.79999999996</v>
          </cell>
          <cell r="AE301">
            <v>0.12</v>
          </cell>
          <cell r="AF301">
            <v>43373</v>
          </cell>
          <cell r="AG301" t="str">
            <v>含税到厂</v>
          </cell>
          <cell r="AH301"/>
          <cell r="AI301"/>
          <cell r="AJ301"/>
          <cell r="AK301">
            <v>0.3</v>
          </cell>
          <cell r="AL301">
            <v>538800</v>
          </cell>
          <cell r="AM301">
            <v>43374</v>
          </cell>
          <cell r="AN301" t="str">
            <v>Yes</v>
          </cell>
          <cell r="AO301">
            <v>0.6</v>
          </cell>
          <cell r="AP301">
            <v>1077600</v>
          </cell>
          <cell r="AR301"/>
          <cell r="AS301">
            <v>0.1</v>
          </cell>
          <cell r="AT301">
            <v>179600</v>
          </cell>
          <cell r="AV301"/>
          <cell r="AW301"/>
          <cell r="AY301"/>
          <cell r="BA301" t="str">
            <v>Yes</v>
          </cell>
        </row>
        <row r="302">
          <cell r="B302">
            <v>149</v>
          </cell>
          <cell r="C302" t="str">
            <v>C49SZX20180158ZX</v>
          </cell>
          <cell r="D302" t="str">
            <v>德兰明海</v>
          </cell>
          <cell r="E302" t="str">
            <v>YSM20-2</v>
          </cell>
          <cell r="F302" t="str">
            <v>NA</v>
          </cell>
          <cell r="G302" t="e">
            <v>#REF!</v>
          </cell>
          <cell r="H302" t="e">
            <v>#REF!</v>
          </cell>
          <cell r="I302" t="str">
            <v>L-&gt;R</v>
          </cell>
          <cell r="J302" t="str">
            <v>No</v>
          </cell>
          <cell r="K302">
            <v>1</v>
          </cell>
          <cell r="L302">
            <v>109352</v>
          </cell>
          <cell r="M302" t="str">
            <v>NOV 18</v>
          </cell>
          <cell r="O302">
            <v>11116230</v>
          </cell>
          <cell r="P302">
            <v>16250000</v>
          </cell>
          <cell r="Q302">
            <v>43405</v>
          </cell>
          <cell r="R302" t="str">
            <v>No</v>
          </cell>
          <cell r="S302" t="str">
            <v>C49</v>
          </cell>
          <cell r="T302" t="str">
            <v>SOUTH</v>
          </cell>
          <cell r="U302" t="str">
            <v>深圳</v>
          </cell>
          <cell r="V302" t="str">
            <v>SZ 深圳</v>
          </cell>
          <cell r="W302" t="str">
            <v>ZX</v>
          </cell>
          <cell r="X302" t="str">
            <v>JPY</v>
          </cell>
          <cell r="Y302">
            <v>16250000</v>
          </cell>
          <cell r="Z302">
            <v>1</v>
          </cell>
          <cell r="AA302">
            <v>16250000</v>
          </cell>
          <cell r="AB302">
            <v>7.0199999999999999E-2</v>
          </cell>
          <cell r="AC302">
            <v>1140750</v>
          </cell>
          <cell r="AD302">
            <v>136890</v>
          </cell>
          <cell r="AE302">
            <v>0.12</v>
          </cell>
          <cell r="AF302">
            <v>43397</v>
          </cell>
          <cell r="AG302" t="str">
            <v>DAP 深圳</v>
          </cell>
          <cell r="AH302"/>
          <cell r="AI302"/>
          <cell r="AJ302"/>
          <cell r="AK302">
            <v>0.1</v>
          </cell>
          <cell r="AL302">
            <v>1625000</v>
          </cell>
          <cell r="AM302">
            <v>43374</v>
          </cell>
          <cell r="AN302" t="str">
            <v>Yes</v>
          </cell>
          <cell r="AO302">
            <v>0.9</v>
          </cell>
          <cell r="AP302">
            <v>14625000</v>
          </cell>
          <cell r="AQ302">
            <v>43405</v>
          </cell>
          <cell r="AR302">
            <v>43406</v>
          </cell>
          <cell r="AS302" t="str">
            <v>complete</v>
          </cell>
          <cell r="AT302" t="e">
            <v>#VALUE!</v>
          </cell>
          <cell r="AV302"/>
          <cell r="AW302"/>
          <cell r="AX302" t="str">
            <v>Yes</v>
          </cell>
          <cell r="AY302"/>
          <cell r="BA302" t="str">
            <v>Yes</v>
          </cell>
        </row>
        <row r="303">
          <cell r="B303">
            <v>150</v>
          </cell>
          <cell r="C303" t="str">
            <v>C49SZX20180156SX</v>
          </cell>
          <cell r="D303" t="str">
            <v>可祁</v>
          </cell>
          <cell r="E303" t="str">
            <v>YSM20R(SV)-2</v>
          </cell>
          <cell r="F303" t="str">
            <v>NA</v>
          </cell>
          <cell r="G303" t="e">
            <v>#REF!</v>
          </cell>
          <cell r="H303" t="e">
            <v>#REF!</v>
          </cell>
          <cell r="I303" t="str">
            <v>L-&gt;R</v>
          </cell>
          <cell r="J303" t="str">
            <v>No</v>
          </cell>
          <cell r="K303">
            <v>1</v>
          </cell>
          <cell r="L303">
            <v>109220</v>
          </cell>
          <cell r="M303" t="str">
            <v>APR 19</v>
          </cell>
          <cell r="O303">
            <v>11116266</v>
          </cell>
          <cell r="P303">
            <v>14140000</v>
          </cell>
          <cell r="Q303">
            <v>43525</v>
          </cell>
          <cell r="R303" t="str">
            <v>Yes</v>
          </cell>
          <cell r="S303" t="str">
            <v>C49</v>
          </cell>
          <cell r="T303" t="str">
            <v>SOUTH</v>
          </cell>
          <cell r="U303" t="str">
            <v>广州</v>
          </cell>
          <cell r="V303" t="str">
            <v>SZ 深圳</v>
          </cell>
          <cell r="W303" t="str">
            <v>SX</v>
          </cell>
          <cell r="X303" t="str">
            <v>JPY</v>
          </cell>
          <cell r="Y303">
            <v>14140000</v>
          </cell>
          <cell r="Z303">
            <v>1</v>
          </cell>
          <cell r="AA303">
            <v>14140000</v>
          </cell>
          <cell r="AB303">
            <v>7.0199999999999999E-2</v>
          </cell>
          <cell r="AC303">
            <v>992628</v>
          </cell>
          <cell r="AD303">
            <v>119115.36</v>
          </cell>
          <cell r="AE303">
            <v>0.12</v>
          </cell>
          <cell r="AF303">
            <v>43398</v>
          </cell>
          <cell r="AG303" t="str">
            <v>DAP 广州</v>
          </cell>
          <cell r="AH303" t="str">
            <v>卸货一楼</v>
          </cell>
          <cell r="AI303"/>
          <cell r="AJ303"/>
          <cell r="AK303">
            <v>0.05</v>
          </cell>
          <cell r="AL303">
            <v>707000</v>
          </cell>
          <cell r="AM303">
            <v>43405</v>
          </cell>
          <cell r="AN303" t="str">
            <v>Yes</v>
          </cell>
          <cell r="AO303" t="str">
            <v>agree</v>
          </cell>
          <cell r="AP303">
            <v>4242000</v>
          </cell>
          <cell r="AQ303">
            <v>43497</v>
          </cell>
          <cell r="AR303">
            <v>43524</v>
          </cell>
          <cell r="AS303" t="str">
            <v>complete</v>
          </cell>
          <cell r="AT303"/>
          <cell r="AV303"/>
          <cell r="AW303"/>
          <cell r="AX303" t="str">
            <v>Yes</v>
          </cell>
          <cell r="AY303" t="str">
            <v>Yes</v>
          </cell>
          <cell r="AZ303" t="str">
            <v>Y</v>
          </cell>
          <cell r="BA303" t="str">
            <v>Yes</v>
          </cell>
        </row>
        <row r="304">
          <cell r="B304">
            <v>151</v>
          </cell>
          <cell r="C304" t="str">
            <v>C49SZX20180156SX</v>
          </cell>
          <cell r="D304" t="str">
            <v>可祁</v>
          </cell>
          <cell r="E304" t="str">
            <v>YSM20R(SV)-2</v>
          </cell>
          <cell r="F304" t="str">
            <v>NA</v>
          </cell>
          <cell r="G304" t="e">
            <v>#REF!</v>
          </cell>
          <cell r="H304" t="e">
            <v>#REF!</v>
          </cell>
          <cell r="I304" t="str">
            <v>L-&gt;R</v>
          </cell>
          <cell r="J304" t="str">
            <v>No</v>
          </cell>
          <cell r="K304">
            <v>1</v>
          </cell>
          <cell r="L304">
            <v>109220</v>
          </cell>
          <cell r="M304" t="str">
            <v>APR 19</v>
          </cell>
          <cell r="O304">
            <v>11116266</v>
          </cell>
          <cell r="P304">
            <v>14140000</v>
          </cell>
          <cell r="Q304">
            <v>43525</v>
          </cell>
          <cell r="R304" t="str">
            <v>Yes</v>
          </cell>
          <cell r="S304" t="str">
            <v>C49</v>
          </cell>
          <cell r="T304" t="str">
            <v>SOUTH</v>
          </cell>
          <cell r="U304" t="str">
            <v>广州</v>
          </cell>
          <cell r="V304" t="str">
            <v>SZ 深圳</v>
          </cell>
          <cell r="W304" t="str">
            <v>SX</v>
          </cell>
          <cell r="X304" t="str">
            <v>JPY</v>
          </cell>
          <cell r="Y304">
            <v>14140000</v>
          </cell>
          <cell r="Z304">
            <v>1</v>
          </cell>
          <cell r="AA304">
            <v>14140000</v>
          </cell>
          <cell r="AB304">
            <v>7.0199999999999999E-2</v>
          </cell>
          <cell r="AC304">
            <v>992628</v>
          </cell>
          <cell r="AD304">
            <v>119115.36</v>
          </cell>
          <cell r="AE304">
            <v>0.12</v>
          </cell>
          <cell r="AF304">
            <v>43398</v>
          </cell>
          <cell r="AG304" t="str">
            <v>DAP 广州</v>
          </cell>
          <cell r="AH304" t="str">
            <v>卸货一楼</v>
          </cell>
          <cell r="AI304"/>
          <cell r="AJ304"/>
          <cell r="AK304">
            <v>0.05</v>
          </cell>
          <cell r="AL304">
            <v>707000</v>
          </cell>
          <cell r="AM304">
            <v>43405</v>
          </cell>
          <cell r="AN304" t="str">
            <v>Yes</v>
          </cell>
          <cell r="AO304" t="str">
            <v>agree</v>
          </cell>
          <cell r="AP304">
            <v>22624000</v>
          </cell>
          <cell r="AQ304">
            <v>43525</v>
          </cell>
          <cell r="AR304">
            <v>43538</v>
          </cell>
          <cell r="AS304" t="str">
            <v>complete</v>
          </cell>
          <cell r="AT304"/>
          <cell r="AV304"/>
          <cell r="AW304"/>
          <cell r="AX304" t="str">
            <v>Yes</v>
          </cell>
          <cell r="AY304" t="str">
            <v>Yes</v>
          </cell>
          <cell r="AZ304" t="str">
            <v>Y</v>
          </cell>
          <cell r="BA304" t="str">
            <v>Yes</v>
          </cell>
        </row>
        <row r="305">
          <cell r="B305">
            <v>152</v>
          </cell>
          <cell r="C305" t="str">
            <v>C49SZX20180162SS</v>
          </cell>
          <cell r="D305" t="str">
            <v>龙大光电</v>
          </cell>
          <cell r="E305" t="str">
            <v>YSM40R-4</v>
          </cell>
          <cell r="F305" t="str">
            <v>#02893</v>
          </cell>
          <cell r="G305" t="e">
            <v>#REF!</v>
          </cell>
          <cell r="H305" t="e">
            <v>#REF!</v>
          </cell>
          <cell r="I305" t="str">
            <v>R-&gt;L</v>
          </cell>
          <cell r="J305" t="str">
            <v>No</v>
          </cell>
          <cell r="K305">
            <v>1</v>
          </cell>
          <cell r="L305">
            <v>109218</v>
          </cell>
          <cell r="M305" t="str">
            <v>JAN 19</v>
          </cell>
          <cell r="O305">
            <v>11100282</v>
          </cell>
          <cell r="P305">
            <v>1600000</v>
          </cell>
          <cell r="Q305">
            <v>43466</v>
          </cell>
          <cell r="R305" t="str">
            <v>Yes</v>
          </cell>
          <cell r="S305" t="str">
            <v>C49</v>
          </cell>
          <cell r="T305" t="str">
            <v>SOUTH</v>
          </cell>
          <cell r="U305" t="str">
            <v>深圳</v>
          </cell>
          <cell r="V305" t="str">
            <v>SZ 深圳</v>
          </cell>
          <cell r="W305" t="str">
            <v>SS</v>
          </cell>
          <cell r="X305" t="str">
            <v>RMB</v>
          </cell>
          <cell r="Y305">
            <v>1600000</v>
          </cell>
          <cell r="Z305">
            <v>1.1599999999999999</v>
          </cell>
          <cell r="AA305">
            <v>1600000</v>
          </cell>
          <cell r="AB305">
            <v>1.125</v>
          </cell>
          <cell r="AC305">
            <v>1551724.1379310347</v>
          </cell>
          <cell r="AD305">
            <v>186206.89655172414</v>
          </cell>
          <cell r="AE305">
            <v>0.12</v>
          </cell>
          <cell r="AF305">
            <v>43411</v>
          </cell>
          <cell r="AG305" t="str">
            <v>含税到厂</v>
          </cell>
          <cell r="AH305"/>
          <cell r="AI305">
            <v>244490</v>
          </cell>
          <cell r="AJ305" t="str">
            <v>电子汇票</v>
          </cell>
          <cell r="AK305">
            <v>1</v>
          </cell>
          <cell r="AL305">
            <v>1600000</v>
          </cell>
          <cell r="AN305" t="str">
            <v>Yes</v>
          </cell>
          <cell r="AO305"/>
          <cell r="AP305">
            <v>0</v>
          </cell>
          <cell r="AR305"/>
          <cell r="AS305"/>
          <cell r="AT305">
            <v>0</v>
          </cell>
          <cell r="AV305"/>
          <cell r="AW305"/>
          <cell r="AX305" t="str">
            <v>Yes</v>
          </cell>
          <cell r="AY305"/>
          <cell r="AZ305" t="str">
            <v>Y</v>
          </cell>
          <cell r="BA305" t="str">
            <v>Yes</v>
          </cell>
        </row>
        <row r="306">
          <cell r="B306">
            <v>153</v>
          </cell>
          <cell r="C306" t="str">
            <v>C49SZX20180162SS</v>
          </cell>
          <cell r="D306" t="str">
            <v>龙大光电</v>
          </cell>
          <cell r="E306" t="str">
            <v>YSM40R-4</v>
          </cell>
          <cell r="F306" t="str">
            <v>#02893</v>
          </cell>
          <cell r="G306" t="e">
            <v>#REF!</v>
          </cell>
          <cell r="H306" t="e">
            <v>#REF!</v>
          </cell>
          <cell r="I306" t="str">
            <v>R-&gt;L</v>
          </cell>
          <cell r="J306" t="str">
            <v>No</v>
          </cell>
          <cell r="K306">
            <v>1</v>
          </cell>
          <cell r="L306">
            <v>109218</v>
          </cell>
          <cell r="M306" t="str">
            <v>JAN 19</v>
          </cell>
          <cell r="O306">
            <v>11100282</v>
          </cell>
          <cell r="P306">
            <v>1600000</v>
          </cell>
          <cell r="Q306">
            <v>43466</v>
          </cell>
          <cell r="R306" t="str">
            <v>Yes</v>
          </cell>
          <cell r="S306" t="str">
            <v>C49</v>
          </cell>
          <cell r="T306" t="str">
            <v>SOUTH</v>
          </cell>
          <cell r="U306" t="str">
            <v>深圳</v>
          </cell>
          <cell r="V306" t="str">
            <v>SZ 深圳</v>
          </cell>
          <cell r="W306" t="str">
            <v>SS</v>
          </cell>
          <cell r="X306" t="str">
            <v>RMB</v>
          </cell>
          <cell r="Y306">
            <v>1600000</v>
          </cell>
          <cell r="Z306">
            <v>1.1599999999999999</v>
          </cell>
          <cell r="AA306">
            <v>1600000</v>
          </cell>
          <cell r="AB306">
            <v>1.125</v>
          </cell>
          <cell r="AC306">
            <v>1551724.1379310347</v>
          </cell>
          <cell r="AD306">
            <v>186206.89655172414</v>
          </cell>
          <cell r="AE306">
            <v>0.12</v>
          </cell>
          <cell r="AF306">
            <v>43411</v>
          </cell>
          <cell r="AG306" t="str">
            <v>含税到厂</v>
          </cell>
          <cell r="AH306"/>
          <cell r="AI306">
            <v>244490</v>
          </cell>
          <cell r="AJ306" t="str">
            <v>电子汇票</v>
          </cell>
          <cell r="AK306">
            <v>1</v>
          </cell>
          <cell r="AL306">
            <v>1600000</v>
          </cell>
          <cell r="AN306" t="str">
            <v>Yes</v>
          </cell>
          <cell r="AO306"/>
          <cell r="AP306">
            <v>0</v>
          </cell>
          <cell r="AR306"/>
          <cell r="AS306"/>
          <cell r="AT306">
            <v>0</v>
          </cell>
          <cell r="AV306"/>
          <cell r="AW306"/>
          <cell r="AX306" t="str">
            <v>Yes</v>
          </cell>
          <cell r="AY306"/>
          <cell r="AZ306" t="str">
            <v>Y</v>
          </cell>
          <cell r="BA306" t="str">
            <v>Yes</v>
          </cell>
        </row>
        <row r="307">
          <cell r="B307">
            <v>154</v>
          </cell>
          <cell r="C307" t="str">
            <v>C49SZX20180165ZX</v>
          </cell>
          <cell r="D307" t="str">
            <v>格美通</v>
          </cell>
          <cell r="E307" t="str">
            <v>YS24</v>
          </cell>
          <cell r="F307" t="str">
            <v>NA</v>
          </cell>
          <cell r="G307" t="e">
            <v>#REF!</v>
          </cell>
          <cell r="H307" t="e">
            <v>#REF!</v>
          </cell>
          <cell r="I307" t="str">
            <v>L-&gt;R</v>
          </cell>
          <cell r="J307" t="str">
            <v>No</v>
          </cell>
          <cell r="K307">
            <v>1</v>
          </cell>
          <cell r="L307">
            <v>109421</v>
          </cell>
          <cell r="M307" t="str">
            <v>DEC 18</v>
          </cell>
          <cell r="O307">
            <v>11116239</v>
          </cell>
          <cell r="P307">
            <v>12500000</v>
          </cell>
          <cell r="Q307">
            <v>43435</v>
          </cell>
          <cell r="R307" t="str">
            <v>No</v>
          </cell>
          <cell r="S307" t="str">
            <v>C49</v>
          </cell>
          <cell r="T307" t="str">
            <v>SOUTH</v>
          </cell>
          <cell r="U307" t="str">
            <v>深圳</v>
          </cell>
          <cell r="V307" t="str">
            <v>SZ 深圳</v>
          </cell>
          <cell r="W307" t="str">
            <v>ZX</v>
          </cell>
          <cell r="X307" t="str">
            <v>JPY</v>
          </cell>
          <cell r="Y307">
            <v>12500000</v>
          </cell>
          <cell r="Z307">
            <v>1</v>
          </cell>
          <cell r="AA307">
            <v>12500000</v>
          </cell>
          <cell r="AB307">
            <v>7.0699999999999999E-2</v>
          </cell>
          <cell r="AC307">
            <v>883750</v>
          </cell>
          <cell r="AD307">
            <v>106050</v>
          </cell>
          <cell r="AE307">
            <v>0.12</v>
          </cell>
          <cell r="AF307">
            <v>43412</v>
          </cell>
          <cell r="AG307" t="str">
            <v>DAP 深圳</v>
          </cell>
          <cell r="AH307"/>
          <cell r="AI307"/>
          <cell r="AJ307"/>
          <cell r="AK307" t="str">
            <v>agree</v>
          </cell>
          <cell r="AL307">
            <v>800000</v>
          </cell>
          <cell r="AM307">
            <v>43405</v>
          </cell>
          <cell r="AN307" t="str">
            <v>Yes</v>
          </cell>
          <cell r="AO307" t="str">
            <v>agree</v>
          </cell>
          <cell r="AP307">
            <v>11700000</v>
          </cell>
          <cell r="AQ307">
            <v>43435</v>
          </cell>
          <cell r="AR307">
            <v>43445</v>
          </cell>
          <cell r="AS307" t="str">
            <v>complete</v>
          </cell>
          <cell r="AT307" t="e">
            <v>#VALUE!</v>
          </cell>
          <cell r="AV307"/>
          <cell r="AW307"/>
          <cell r="AX307" t="str">
            <v>Yes</v>
          </cell>
          <cell r="AY307"/>
          <cell r="BA307" t="str">
            <v>Yes</v>
          </cell>
        </row>
        <row r="308">
          <cell r="B308">
            <v>155</v>
          </cell>
          <cell r="C308" t="str">
            <v>C49SZX20180167DZ</v>
          </cell>
          <cell r="D308" t="str">
            <v>朗特</v>
          </cell>
          <cell r="E308" t="str">
            <v>YSM20R(SV)-2</v>
          </cell>
          <cell r="F308" t="str">
            <v>#08242</v>
          </cell>
          <cell r="G308" t="e">
            <v>#REF!</v>
          </cell>
          <cell r="H308" t="e">
            <v>#REF!</v>
          </cell>
          <cell r="I308" t="str">
            <v>R-&gt;L</v>
          </cell>
          <cell r="J308" t="str">
            <v>No</v>
          </cell>
          <cell r="K308">
            <v>1</v>
          </cell>
          <cell r="L308">
            <v>109493</v>
          </cell>
          <cell r="M308" t="str">
            <v>APR 19</v>
          </cell>
          <cell r="O308">
            <v>11116272</v>
          </cell>
          <cell r="P308">
            <v>15500000</v>
          </cell>
          <cell r="Q308">
            <v>43525</v>
          </cell>
          <cell r="R308" t="str">
            <v>No</v>
          </cell>
          <cell r="S308" t="str">
            <v>C49</v>
          </cell>
          <cell r="T308" t="str">
            <v>SOUTH</v>
          </cell>
          <cell r="U308" t="str">
            <v>深圳</v>
          </cell>
          <cell r="V308" t="str">
            <v>SZ 深圳</v>
          </cell>
          <cell r="W308" t="str">
            <v>DZ</v>
          </cell>
          <cell r="X308" t="str">
            <v>JPY</v>
          </cell>
          <cell r="Y308">
            <v>15500000</v>
          </cell>
          <cell r="Z308">
            <v>1</v>
          </cell>
          <cell r="AA308">
            <v>15500000</v>
          </cell>
          <cell r="AB308">
            <v>7.0699999999999999E-2</v>
          </cell>
          <cell r="AC308">
            <v>1095850</v>
          </cell>
          <cell r="AD308">
            <v>131502</v>
          </cell>
          <cell r="AE308">
            <v>0.12</v>
          </cell>
          <cell r="AF308">
            <v>43413</v>
          </cell>
          <cell r="AG308" t="str">
            <v>CIF</v>
          </cell>
          <cell r="AH308"/>
          <cell r="AI308" t="str">
            <v>银行承兑汇票</v>
          </cell>
          <cell r="AJ308">
            <v>43419</v>
          </cell>
          <cell r="AK308" t="str">
            <v>agree</v>
          </cell>
          <cell r="AL308">
            <v>15217796</v>
          </cell>
          <cell r="AM308">
            <v>43466</v>
          </cell>
          <cell r="AN308" t="str">
            <v>Yes</v>
          </cell>
          <cell r="AO308" t="str">
            <v>agree</v>
          </cell>
          <cell r="AP308">
            <v>136960166</v>
          </cell>
          <cell r="AQ308">
            <v>43525</v>
          </cell>
          <cell r="AR308">
            <v>43552</v>
          </cell>
          <cell r="AS308" t="str">
            <v>complete</v>
          </cell>
          <cell r="AT308"/>
          <cell r="AV308"/>
          <cell r="AW308"/>
          <cell r="AX308" t="str">
            <v>Yes</v>
          </cell>
          <cell r="AY308" t="str">
            <v>Yes</v>
          </cell>
          <cell r="AZ308" t="str">
            <v>Y</v>
          </cell>
          <cell r="BA308" t="str">
            <v>Yes</v>
          </cell>
        </row>
        <row r="309">
          <cell r="B309">
            <v>156</v>
          </cell>
          <cell r="C309" t="str">
            <v>C49SZX20180167DZ</v>
          </cell>
          <cell r="D309" t="str">
            <v>朗特</v>
          </cell>
          <cell r="E309" t="str">
            <v>YSM20R(SV)-2</v>
          </cell>
          <cell r="F309" t="str">
            <v>#08242</v>
          </cell>
          <cell r="G309" t="e">
            <v>#REF!</v>
          </cell>
          <cell r="H309" t="e">
            <v>#REF!</v>
          </cell>
          <cell r="I309" t="str">
            <v>R-&gt;L</v>
          </cell>
          <cell r="J309" t="str">
            <v>No</v>
          </cell>
          <cell r="K309">
            <v>1</v>
          </cell>
          <cell r="L309">
            <v>109493</v>
          </cell>
          <cell r="M309" t="str">
            <v>APR 19</v>
          </cell>
          <cell r="O309">
            <v>11116272</v>
          </cell>
          <cell r="P309">
            <v>15500000</v>
          </cell>
          <cell r="Q309">
            <v>43525</v>
          </cell>
          <cell r="R309" t="str">
            <v>No</v>
          </cell>
          <cell r="S309" t="str">
            <v>C49</v>
          </cell>
          <cell r="T309" t="str">
            <v>SOUTH</v>
          </cell>
          <cell r="U309" t="str">
            <v>深圳</v>
          </cell>
          <cell r="V309" t="str">
            <v>SZ 深圳</v>
          </cell>
          <cell r="W309" t="str">
            <v>DZ</v>
          </cell>
          <cell r="X309" t="str">
            <v>JPY</v>
          </cell>
          <cell r="Y309">
            <v>15500000</v>
          </cell>
          <cell r="Z309">
            <v>1</v>
          </cell>
          <cell r="AA309">
            <v>15500000</v>
          </cell>
          <cell r="AB309">
            <v>7.0699999999999999E-2</v>
          </cell>
          <cell r="AC309">
            <v>1095850</v>
          </cell>
          <cell r="AD309">
            <v>131502</v>
          </cell>
          <cell r="AE309">
            <v>0.12</v>
          </cell>
          <cell r="AF309">
            <v>43413</v>
          </cell>
          <cell r="AG309" t="str">
            <v>CIF</v>
          </cell>
          <cell r="AH309"/>
          <cell r="AI309" t="str">
            <v>银行承兑汇票</v>
          </cell>
          <cell r="AJ309">
            <v>43419</v>
          </cell>
          <cell r="AK309" t="str">
            <v>agree</v>
          </cell>
          <cell r="AL309">
            <v>0</v>
          </cell>
          <cell r="AM309">
            <v>43466</v>
          </cell>
          <cell r="AN309" t="str">
            <v>Yes</v>
          </cell>
          <cell r="AO309" t="str">
            <v>agree</v>
          </cell>
          <cell r="AP309">
            <v>0</v>
          </cell>
          <cell r="AR309"/>
          <cell r="AS309"/>
          <cell r="AT309">
            <v>0</v>
          </cell>
          <cell r="AV309"/>
          <cell r="AW309"/>
          <cell r="AY309" t="str">
            <v>Yes</v>
          </cell>
          <cell r="AZ309" t="str">
            <v>Y</v>
          </cell>
          <cell r="BA309" t="str">
            <v>Yes</v>
          </cell>
        </row>
        <row r="310">
          <cell r="B310">
            <v>157</v>
          </cell>
          <cell r="C310" t="str">
            <v>C49SZX20180167DZ</v>
          </cell>
          <cell r="D310" t="str">
            <v>朗特</v>
          </cell>
          <cell r="E310" t="str">
            <v>YSM20R(SV)-2</v>
          </cell>
          <cell r="F310" t="str">
            <v>#08242</v>
          </cell>
          <cell r="G310" t="e">
            <v>#REF!</v>
          </cell>
          <cell r="H310" t="e">
            <v>#REF!</v>
          </cell>
          <cell r="I310" t="str">
            <v>R-&gt;L</v>
          </cell>
          <cell r="J310" t="str">
            <v>No</v>
          </cell>
          <cell r="K310">
            <v>1</v>
          </cell>
          <cell r="L310">
            <v>109493</v>
          </cell>
          <cell r="M310" t="str">
            <v>APR 19</v>
          </cell>
          <cell r="O310">
            <v>11116272</v>
          </cell>
          <cell r="P310">
            <v>15500000</v>
          </cell>
          <cell r="Q310">
            <v>43525</v>
          </cell>
          <cell r="R310" t="str">
            <v>No</v>
          </cell>
          <cell r="S310" t="str">
            <v>C49</v>
          </cell>
          <cell r="T310" t="str">
            <v>SOUTH</v>
          </cell>
          <cell r="U310" t="str">
            <v>深圳</v>
          </cell>
          <cell r="V310" t="str">
            <v>SZ 深圳</v>
          </cell>
          <cell r="W310" t="str">
            <v>DZ</v>
          </cell>
          <cell r="X310" t="str">
            <v>JPY</v>
          </cell>
          <cell r="Y310">
            <v>15500000</v>
          </cell>
          <cell r="Z310">
            <v>1</v>
          </cell>
          <cell r="AA310">
            <v>15500000</v>
          </cell>
          <cell r="AB310">
            <v>7.0699999999999999E-2</v>
          </cell>
          <cell r="AC310">
            <v>1095850</v>
          </cell>
          <cell r="AD310">
            <v>131502</v>
          </cell>
          <cell r="AE310">
            <v>0.12</v>
          </cell>
          <cell r="AF310">
            <v>43413</v>
          </cell>
          <cell r="AG310" t="str">
            <v>CIF</v>
          </cell>
          <cell r="AH310"/>
          <cell r="AI310" t="str">
            <v>银行承兑汇票</v>
          </cell>
          <cell r="AJ310">
            <v>43419</v>
          </cell>
          <cell r="AK310" t="str">
            <v>agree</v>
          </cell>
          <cell r="AL310">
            <v>0</v>
          </cell>
          <cell r="AM310">
            <v>43466</v>
          </cell>
          <cell r="AN310" t="str">
            <v>Yes</v>
          </cell>
          <cell r="AO310" t="str">
            <v>agree</v>
          </cell>
          <cell r="AP310">
            <v>0</v>
          </cell>
          <cell r="AR310"/>
          <cell r="AS310"/>
          <cell r="AT310">
            <v>0</v>
          </cell>
          <cell r="AV310"/>
          <cell r="AW310"/>
          <cell r="AY310" t="str">
            <v>Yes</v>
          </cell>
          <cell r="AZ310" t="str">
            <v>Y</v>
          </cell>
          <cell r="BA310" t="str">
            <v>Yes</v>
          </cell>
        </row>
        <row r="311">
          <cell r="B311">
            <v>158</v>
          </cell>
          <cell r="C311" t="str">
            <v>C49SZX20180167DZ</v>
          </cell>
          <cell r="D311" t="str">
            <v>朗特</v>
          </cell>
          <cell r="E311" t="str">
            <v>YSM20R(SV)-2</v>
          </cell>
          <cell r="F311" t="str">
            <v>#08242</v>
          </cell>
          <cell r="G311" t="e">
            <v>#REF!</v>
          </cell>
          <cell r="H311" t="e">
            <v>#REF!</v>
          </cell>
          <cell r="I311" t="str">
            <v>R-&gt;L</v>
          </cell>
          <cell r="J311" t="str">
            <v>No</v>
          </cell>
          <cell r="K311">
            <v>1</v>
          </cell>
          <cell r="L311">
            <v>109493</v>
          </cell>
          <cell r="M311" t="str">
            <v>APR 19</v>
          </cell>
          <cell r="O311">
            <v>11116272</v>
          </cell>
          <cell r="P311">
            <v>15500000</v>
          </cell>
          <cell r="Q311">
            <v>43525</v>
          </cell>
          <cell r="R311" t="str">
            <v>No</v>
          </cell>
          <cell r="S311" t="str">
            <v>C49</v>
          </cell>
          <cell r="T311" t="str">
            <v>SOUTH</v>
          </cell>
          <cell r="U311" t="str">
            <v>深圳</v>
          </cell>
          <cell r="V311" t="str">
            <v>SZ 深圳</v>
          </cell>
          <cell r="W311" t="str">
            <v>DZ</v>
          </cell>
          <cell r="X311" t="str">
            <v>JPY</v>
          </cell>
          <cell r="Y311">
            <v>15500000</v>
          </cell>
          <cell r="Z311">
            <v>1</v>
          </cell>
          <cell r="AA311">
            <v>15500000</v>
          </cell>
          <cell r="AB311">
            <v>7.0699999999999999E-2</v>
          </cell>
          <cell r="AC311">
            <v>1095850</v>
          </cell>
          <cell r="AD311">
            <v>131502</v>
          </cell>
          <cell r="AE311">
            <v>0.12</v>
          </cell>
          <cell r="AF311">
            <v>43413</v>
          </cell>
          <cell r="AG311" t="str">
            <v>CIF</v>
          </cell>
          <cell r="AH311"/>
          <cell r="AI311" t="str">
            <v>银行承兑汇票</v>
          </cell>
          <cell r="AJ311">
            <v>43419</v>
          </cell>
          <cell r="AK311" t="str">
            <v>agree</v>
          </cell>
          <cell r="AL311">
            <v>0</v>
          </cell>
          <cell r="AM311">
            <v>43466</v>
          </cell>
          <cell r="AN311" t="str">
            <v>Yes</v>
          </cell>
          <cell r="AO311" t="str">
            <v>agree</v>
          </cell>
          <cell r="AP311">
            <v>0</v>
          </cell>
          <cell r="AR311"/>
          <cell r="AS311"/>
          <cell r="AT311">
            <v>0</v>
          </cell>
          <cell r="AV311"/>
          <cell r="AW311"/>
          <cell r="AY311" t="str">
            <v>Yes</v>
          </cell>
          <cell r="AZ311" t="str">
            <v>Y</v>
          </cell>
          <cell r="BA311" t="str">
            <v>Yes</v>
          </cell>
        </row>
        <row r="312">
          <cell r="B312">
            <v>159</v>
          </cell>
          <cell r="C312" t="str">
            <v>C49SZX20180167DZ</v>
          </cell>
          <cell r="D312" t="str">
            <v>朗特</v>
          </cell>
          <cell r="E312" t="str">
            <v>YSM10</v>
          </cell>
          <cell r="F312" t="str">
            <v>#08242</v>
          </cell>
          <cell r="G312" t="e">
            <v>#REF!</v>
          </cell>
          <cell r="H312" t="e">
            <v>#REF!</v>
          </cell>
          <cell r="I312" t="str">
            <v>R-&gt;L</v>
          </cell>
          <cell r="J312" t="str">
            <v>MVC+ATS15</v>
          </cell>
          <cell r="K312">
            <v>1</v>
          </cell>
          <cell r="L312">
            <v>109493</v>
          </cell>
          <cell r="M312" t="str">
            <v>APR 19</v>
          </cell>
          <cell r="O312">
            <v>11116272</v>
          </cell>
          <cell r="P312">
            <v>12882566</v>
          </cell>
          <cell r="Q312">
            <v>43525</v>
          </cell>
          <cell r="R312" t="str">
            <v>No</v>
          </cell>
          <cell r="S312" t="str">
            <v>C49</v>
          </cell>
          <cell r="T312" t="str">
            <v>SOUTH</v>
          </cell>
          <cell r="U312" t="str">
            <v>深圳</v>
          </cell>
          <cell r="V312" t="str">
            <v>SZ 深圳</v>
          </cell>
          <cell r="W312" t="str">
            <v>DZ</v>
          </cell>
          <cell r="X312" t="str">
            <v>JPY</v>
          </cell>
          <cell r="Y312">
            <v>12882566</v>
          </cell>
          <cell r="Z312">
            <v>1</v>
          </cell>
          <cell r="AA312">
            <v>12882566</v>
          </cell>
          <cell r="AB312">
            <v>7.0699999999999999E-2</v>
          </cell>
          <cell r="AC312">
            <v>910797.41619999998</v>
          </cell>
          <cell r="AD312">
            <v>109295.689944</v>
          </cell>
          <cell r="AE312">
            <v>0.12</v>
          </cell>
          <cell r="AF312">
            <v>43413</v>
          </cell>
          <cell r="AG312" t="str">
            <v>CIF</v>
          </cell>
          <cell r="AH312"/>
          <cell r="AI312" t="str">
            <v>银行承兑汇票</v>
          </cell>
          <cell r="AJ312">
            <v>43419</v>
          </cell>
          <cell r="AK312" t="str">
            <v>agree</v>
          </cell>
          <cell r="AL312">
            <v>0</v>
          </cell>
          <cell r="AM312">
            <v>43466</v>
          </cell>
          <cell r="AN312" t="str">
            <v>Yes</v>
          </cell>
          <cell r="AO312" t="str">
            <v>agree</v>
          </cell>
          <cell r="AP312">
            <v>0</v>
          </cell>
          <cell r="AR312"/>
          <cell r="AS312"/>
          <cell r="AT312">
            <v>0</v>
          </cell>
          <cell r="AV312"/>
          <cell r="AW312"/>
          <cell r="AY312" t="str">
            <v>Yes</v>
          </cell>
          <cell r="AZ312" t="str">
            <v>Y</v>
          </cell>
          <cell r="BA312" t="str">
            <v>Yes</v>
          </cell>
        </row>
        <row r="313">
          <cell r="B313">
            <v>160</v>
          </cell>
          <cell r="C313" t="str">
            <v>C49SZX20180167DZ</v>
          </cell>
          <cell r="D313" t="str">
            <v>朗特</v>
          </cell>
          <cell r="E313" t="str">
            <v>YSM10</v>
          </cell>
          <cell r="F313" t="str">
            <v>#08242</v>
          </cell>
          <cell r="G313" t="e">
            <v>#REF!</v>
          </cell>
          <cell r="H313" t="e">
            <v>#REF!</v>
          </cell>
          <cell r="I313" t="str">
            <v>R-&gt;L</v>
          </cell>
          <cell r="J313" t="str">
            <v>MVC+ATS15</v>
          </cell>
          <cell r="K313">
            <v>1</v>
          </cell>
          <cell r="L313">
            <v>109493</v>
          </cell>
          <cell r="M313" t="str">
            <v>APR 19</v>
          </cell>
          <cell r="O313">
            <v>11116272</v>
          </cell>
          <cell r="P313">
            <v>12882566</v>
          </cell>
          <cell r="Q313">
            <v>43525</v>
          </cell>
          <cell r="R313" t="str">
            <v>No</v>
          </cell>
          <cell r="S313" t="str">
            <v>C49</v>
          </cell>
          <cell r="T313" t="str">
            <v>SOUTH</v>
          </cell>
          <cell r="U313" t="str">
            <v>深圳</v>
          </cell>
          <cell r="V313" t="str">
            <v>SZ 深圳</v>
          </cell>
          <cell r="W313" t="str">
            <v>DZ</v>
          </cell>
          <cell r="X313" t="str">
            <v>JPY</v>
          </cell>
          <cell r="Y313">
            <v>12882566</v>
          </cell>
          <cell r="Z313">
            <v>1</v>
          </cell>
          <cell r="AA313">
            <v>12882566</v>
          </cell>
          <cell r="AB313">
            <v>7.0699999999999999E-2</v>
          </cell>
          <cell r="AC313">
            <v>910797.41619999998</v>
          </cell>
          <cell r="AD313">
            <v>109295.689944</v>
          </cell>
          <cell r="AE313">
            <v>0.12</v>
          </cell>
          <cell r="AF313">
            <v>43413</v>
          </cell>
          <cell r="AG313" t="str">
            <v>CIF</v>
          </cell>
          <cell r="AH313"/>
          <cell r="AI313" t="str">
            <v>银行承兑汇票</v>
          </cell>
          <cell r="AJ313">
            <v>43419</v>
          </cell>
          <cell r="AK313" t="str">
            <v>agree</v>
          </cell>
          <cell r="AL313">
            <v>0</v>
          </cell>
          <cell r="AM313">
            <v>43466</v>
          </cell>
          <cell r="AN313" t="str">
            <v>Yes</v>
          </cell>
          <cell r="AO313" t="str">
            <v>agree</v>
          </cell>
          <cell r="AP313">
            <v>0</v>
          </cell>
          <cell r="AR313"/>
          <cell r="AS313"/>
          <cell r="AT313">
            <v>0</v>
          </cell>
          <cell r="AV313"/>
          <cell r="AW313"/>
          <cell r="AY313" t="str">
            <v>Yes</v>
          </cell>
          <cell r="AZ313" t="str">
            <v>Y</v>
          </cell>
          <cell r="BA313" t="str">
            <v>Yes</v>
          </cell>
        </row>
        <row r="314">
          <cell r="B314">
            <v>161</v>
          </cell>
          <cell r="C314" t="str">
            <v>C49SZX20180167DZ</v>
          </cell>
          <cell r="D314" t="str">
            <v>朗特</v>
          </cell>
          <cell r="E314" t="str">
            <v>YSM10</v>
          </cell>
          <cell r="F314" t="str">
            <v>#08242</v>
          </cell>
          <cell r="G314" t="e">
            <v>#REF!</v>
          </cell>
          <cell r="H314" t="e">
            <v>#REF!</v>
          </cell>
          <cell r="I314" t="str">
            <v>R-&gt;L</v>
          </cell>
          <cell r="J314" t="str">
            <v>MVC+ATS15</v>
          </cell>
          <cell r="K314">
            <v>1</v>
          </cell>
          <cell r="L314">
            <v>109493</v>
          </cell>
          <cell r="M314" t="str">
            <v>APR 19</v>
          </cell>
          <cell r="O314">
            <v>11116272</v>
          </cell>
          <cell r="P314">
            <v>12882566</v>
          </cell>
          <cell r="Q314">
            <v>43525</v>
          </cell>
          <cell r="R314" t="str">
            <v>No</v>
          </cell>
          <cell r="S314" t="str">
            <v>C49</v>
          </cell>
          <cell r="T314" t="str">
            <v>SOUTH</v>
          </cell>
          <cell r="U314" t="str">
            <v>深圳</v>
          </cell>
          <cell r="V314" t="str">
            <v>SZ 深圳</v>
          </cell>
          <cell r="W314" t="str">
            <v>DZ</v>
          </cell>
          <cell r="X314" t="str">
            <v>JPY</v>
          </cell>
          <cell r="Y314">
            <v>12882566</v>
          </cell>
          <cell r="Z314">
            <v>1</v>
          </cell>
          <cell r="AA314">
            <v>12882566</v>
          </cell>
          <cell r="AB314">
            <v>7.0699999999999999E-2</v>
          </cell>
          <cell r="AC314">
            <v>910797.41619999998</v>
          </cell>
          <cell r="AD314">
            <v>109295.689944</v>
          </cell>
          <cell r="AE314">
            <v>0.12</v>
          </cell>
          <cell r="AF314">
            <v>43413</v>
          </cell>
          <cell r="AG314" t="str">
            <v>CIF</v>
          </cell>
          <cell r="AH314"/>
          <cell r="AI314" t="str">
            <v>银行承兑汇票</v>
          </cell>
          <cell r="AJ314">
            <v>43419</v>
          </cell>
          <cell r="AK314" t="str">
            <v>agree</v>
          </cell>
          <cell r="AL314">
            <v>0</v>
          </cell>
          <cell r="AM314">
            <v>43466</v>
          </cell>
          <cell r="AN314" t="str">
            <v>Yes</v>
          </cell>
          <cell r="AO314" t="str">
            <v>agree</v>
          </cell>
          <cell r="AP314">
            <v>0</v>
          </cell>
          <cell r="AR314"/>
          <cell r="AS314"/>
          <cell r="AT314">
            <v>0</v>
          </cell>
          <cell r="AV314"/>
          <cell r="AW314"/>
          <cell r="AY314" t="str">
            <v>Yes</v>
          </cell>
          <cell r="AZ314" t="str">
            <v>Y</v>
          </cell>
          <cell r="BA314" t="str">
            <v>Yes</v>
          </cell>
        </row>
        <row r="315">
          <cell r="B315">
            <v>162</v>
          </cell>
          <cell r="C315" t="str">
            <v>C49SZX20180167DZ</v>
          </cell>
          <cell r="D315" t="str">
            <v>朗特</v>
          </cell>
          <cell r="E315" t="str">
            <v>YSM10</v>
          </cell>
          <cell r="F315" t="str">
            <v>#08242</v>
          </cell>
          <cell r="G315" t="e">
            <v>#REF!</v>
          </cell>
          <cell r="H315" t="e">
            <v>#REF!</v>
          </cell>
          <cell r="I315" t="str">
            <v>R-&gt;L</v>
          </cell>
          <cell r="J315" t="str">
            <v>MVC+ATS15</v>
          </cell>
          <cell r="K315">
            <v>1</v>
          </cell>
          <cell r="L315">
            <v>109493</v>
          </cell>
          <cell r="M315" t="str">
            <v>APR 19</v>
          </cell>
          <cell r="O315">
            <v>11116272</v>
          </cell>
          <cell r="P315">
            <v>12882566</v>
          </cell>
          <cell r="Q315">
            <v>43525</v>
          </cell>
          <cell r="R315" t="str">
            <v>No</v>
          </cell>
          <cell r="S315" t="str">
            <v>C49</v>
          </cell>
          <cell r="T315" t="str">
            <v>SOUTH</v>
          </cell>
          <cell r="U315" t="str">
            <v>深圳</v>
          </cell>
          <cell r="V315" t="str">
            <v>SZ 深圳</v>
          </cell>
          <cell r="W315" t="str">
            <v>DZ</v>
          </cell>
          <cell r="X315" t="str">
            <v>JPY</v>
          </cell>
          <cell r="Y315">
            <v>12882566</v>
          </cell>
          <cell r="Z315">
            <v>1</v>
          </cell>
          <cell r="AA315">
            <v>12882566</v>
          </cell>
          <cell r="AB315">
            <v>7.0699999999999999E-2</v>
          </cell>
          <cell r="AC315">
            <v>910797.41619999998</v>
          </cell>
          <cell r="AD315">
            <v>109295.689944</v>
          </cell>
          <cell r="AE315">
            <v>0.12</v>
          </cell>
          <cell r="AF315">
            <v>43413</v>
          </cell>
          <cell r="AG315" t="str">
            <v>CIF</v>
          </cell>
          <cell r="AH315"/>
          <cell r="AI315" t="str">
            <v>银行承兑汇票</v>
          </cell>
          <cell r="AJ315">
            <v>43419</v>
          </cell>
          <cell r="AK315" t="str">
            <v>agree</v>
          </cell>
          <cell r="AL315">
            <v>0</v>
          </cell>
          <cell r="AM315">
            <v>43466</v>
          </cell>
          <cell r="AN315" t="str">
            <v>Yes</v>
          </cell>
          <cell r="AO315" t="str">
            <v>agree</v>
          </cell>
          <cell r="AP315">
            <v>0</v>
          </cell>
          <cell r="AR315"/>
          <cell r="AS315"/>
          <cell r="AT315">
            <v>0</v>
          </cell>
          <cell r="AV315"/>
          <cell r="AW315"/>
          <cell r="AY315" t="str">
            <v>Yes</v>
          </cell>
          <cell r="AZ315" t="str">
            <v>Y</v>
          </cell>
          <cell r="BA315" t="str">
            <v>Yes</v>
          </cell>
        </row>
        <row r="316">
          <cell r="B316">
            <v>163</v>
          </cell>
          <cell r="C316" t="str">
            <v>C49SZX20180167DZ</v>
          </cell>
          <cell r="D316" t="str">
            <v>朗特</v>
          </cell>
          <cell r="E316" t="str">
            <v>YSM10</v>
          </cell>
          <cell r="F316" t="str">
            <v>#08242</v>
          </cell>
          <cell r="G316" t="e">
            <v>#REF!</v>
          </cell>
          <cell r="H316" t="e">
            <v>#REF!</v>
          </cell>
          <cell r="I316" t="str">
            <v>R-&gt;L</v>
          </cell>
          <cell r="J316" t="str">
            <v>MVC+ATS15</v>
          </cell>
          <cell r="K316">
            <v>1</v>
          </cell>
          <cell r="L316">
            <v>109493</v>
          </cell>
          <cell r="M316" t="str">
            <v>APR 19</v>
          </cell>
          <cell r="O316">
            <v>11116272</v>
          </cell>
          <cell r="P316">
            <v>12882566</v>
          </cell>
          <cell r="Q316">
            <v>43525</v>
          </cell>
          <cell r="R316" t="str">
            <v>No</v>
          </cell>
          <cell r="S316" t="str">
            <v>C49</v>
          </cell>
          <cell r="T316" t="str">
            <v>SOUTH</v>
          </cell>
          <cell r="U316" t="str">
            <v>深圳</v>
          </cell>
          <cell r="V316" t="str">
            <v>SZ 深圳</v>
          </cell>
          <cell r="W316" t="str">
            <v>DZ</v>
          </cell>
          <cell r="X316" t="str">
            <v>JPY</v>
          </cell>
          <cell r="Y316">
            <v>12882566</v>
          </cell>
          <cell r="Z316">
            <v>1</v>
          </cell>
          <cell r="AA316">
            <v>12882566</v>
          </cell>
          <cell r="AB316">
            <v>7.0699999999999999E-2</v>
          </cell>
          <cell r="AC316">
            <v>910797.41619999998</v>
          </cell>
          <cell r="AD316">
            <v>109295.689944</v>
          </cell>
          <cell r="AE316">
            <v>0.12</v>
          </cell>
          <cell r="AF316">
            <v>43413</v>
          </cell>
          <cell r="AG316" t="str">
            <v>CIF</v>
          </cell>
          <cell r="AH316"/>
          <cell r="AI316" t="str">
            <v>银行承兑汇票</v>
          </cell>
          <cell r="AJ316">
            <v>43419</v>
          </cell>
          <cell r="AK316" t="str">
            <v>agree</v>
          </cell>
          <cell r="AL316">
            <v>0</v>
          </cell>
          <cell r="AM316">
            <v>43466</v>
          </cell>
          <cell r="AN316" t="str">
            <v>Yes</v>
          </cell>
          <cell r="AO316" t="str">
            <v>agree</v>
          </cell>
          <cell r="AP316">
            <v>0</v>
          </cell>
          <cell r="AR316"/>
          <cell r="AS316"/>
          <cell r="AT316">
            <v>0</v>
          </cell>
          <cell r="AV316"/>
          <cell r="AW316"/>
          <cell r="AY316" t="str">
            <v>Yes</v>
          </cell>
          <cell r="AZ316" t="str">
            <v>Y</v>
          </cell>
          <cell r="BA316" t="str">
            <v>Yes</v>
          </cell>
        </row>
        <row r="317">
          <cell r="B317">
            <v>164</v>
          </cell>
          <cell r="C317" t="str">
            <v>C49SZX20180167DZ</v>
          </cell>
          <cell r="D317" t="str">
            <v>朗特</v>
          </cell>
          <cell r="E317" t="str">
            <v>YSM10</v>
          </cell>
          <cell r="F317" t="str">
            <v>#08242</v>
          </cell>
          <cell r="G317" t="e">
            <v>#REF!</v>
          </cell>
          <cell r="H317" t="e">
            <v>#REF!</v>
          </cell>
          <cell r="I317" t="str">
            <v>R-&gt;L</v>
          </cell>
          <cell r="J317" t="str">
            <v>MVC+Fixed feeder plate 24 positions</v>
          </cell>
          <cell r="K317">
            <v>1</v>
          </cell>
          <cell r="L317">
            <v>109493</v>
          </cell>
          <cell r="M317" t="str">
            <v>APR 19</v>
          </cell>
          <cell r="O317">
            <v>11116272</v>
          </cell>
          <cell r="P317">
            <v>12882566</v>
          </cell>
          <cell r="Q317">
            <v>43525</v>
          </cell>
          <cell r="R317" t="str">
            <v>No</v>
          </cell>
          <cell r="S317" t="str">
            <v>C49</v>
          </cell>
          <cell r="T317" t="str">
            <v>SOUTH</v>
          </cell>
          <cell r="U317" t="str">
            <v>深圳</v>
          </cell>
          <cell r="V317" t="str">
            <v>SZ 深圳</v>
          </cell>
          <cell r="W317" t="str">
            <v>DZ</v>
          </cell>
          <cell r="X317" t="str">
            <v>JPY</v>
          </cell>
          <cell r="Y317">
            <v>12882566</v>
          </cell>
          <cell r="Z317">
            <v>1</v>
          </cell>
          <cell r="AA317">
            <v>12882566</v>
          </cell>
          <cell r="AB317">
            <v>7.0699999999999999E-2</v>
          </cell>
          <cell r="AC317">
            <v>910797.41619999998</v>
          </cell>
          <cell r="AD317">
            <v>109295.689944</v>
          </cell>
          <cell r="AE317">
            <v>0.12</v>
          </cell>
          <cell r="AF317">
            <v>43413</v>
          </cell>
          <cell r="AG317" t="str">
            <v>CIF</v>
          </cell>
          <cell r="AH317"/>
          <cell r="AI317" t="str">
            <v>银行承兑汇票</v>
          </cell>
          <cell r="AJ317">
            <v>43419</v>
          </cell>
          <cell r="AK317" t="str">
            <v>agree</v>
          </cell>
          <cell r="AL317">
            <v>0</v>
          </cell>
          <cell r="AM317">
            <v>43466</v>
          </cell>
          <cell r="AN317" t="str">
            <v>Yes</v>
          </cell>
          <cell r="AO317" t="str">
            <v>agree</v>
          </cell>
          <cell r="AP317">
            <v>0</v>
          </cell>
          <cell r="AR317"/>
          <cell r="AS317"/>
          <cell r="AT317">
            <v>0</v>
          </cell>
          <cell r="AV317"/>
          <cell r="AW317"/>
          <cell r="AY317" t="str">
            <v>Yes</v>
          </cell>
          <cell r="AZ317" t="str">
            <v>Y</v>
          </cell>
          <cell r="BA317" t="str">
            <v>Yes</v>
          </cell>
        </row>
        <row r="318">
          <cell r="B318">
            <v>165</v>
          </cell>
          <cell r="C318" t="str">
            <v>C49SZX20180167DZ</v>
          </cell>
          <cell r="D318" t="str">
            <v>朗特</v>
          </cell>
          <cell r="E318" t="str">
            <v>YSM10</v>
          </cell>
          <cell r="F318" t="str">
            <v>#08242</v>
          </cell>
          <cell r="G318" t="e">
            <v>#REF!</v>
          </cell>
          <cell r="H318" t="e">
            <v>#REF!</v>
          </cell>
          <cell r="I318" t="str">
            <v>R-&gt;L</v>
          </cell>
          <cell r="J318" t="str">
            <v>MVC+Fixed feeder plate 24 positions</v>
          </cell>
          <cell r="K318">
            <v>1</v>
          </cell>
          <cell r="L318">
            <v>109493</v>
          </cell>
          <cell r="M318" t="str">
            <v>APR 19</v>
          </cell>
          <cell r="O318">
            <v>11116272</v>
          </cell>
          <cell r="P318">
            <v>12882566</v>
          </cell>
          <cell r="Q318">
            <v>43525</v>
          </cell>
          <cell r="R318" t="str">
            <v>No</v>
          </cell>
          <cell r="S318" t="str">
            <v>C49</v>
          </cell>
          <cell r="T318" t="str">
            <v>SOUTH</v>
          </cell>
          <cell r="U318" t="str">
            <v>深圳</v>
          </cell>
          <cell r="V318" t="str">
            <v>SZ 深圳</v>
          </cell>
          <cell r="W318" t="str">
            <v>DZ</v>
          </cell>
          <cell r="X318" t="str">
            <v>JPY</v>
          </cell>
          <cell r="Y318">
            <v>12882566</v>
          </cell>
          <cell r="Z318">
            <v>1</v>
          </cell>
          <cell r="AA318">
            <v>12882566</v>
          </cell>
          <cell r="AB318">
            <v>7.0699999999999999E-2</v>
          </cell>
          <cell r="AC318">
            <v>910797.41619999998</v>
          </cell>
          <cell r="AD318">
            <v>109295.689944</v>
          </cell>
          <cell r="AE318">
            <v>0.12</v>
          </cell>
          <cell r="AF318">
            <v>43413</v>
          </cell>
          <cell r="AG318" t="str">
            <v>CIF</v>
          </cell>
          <cell r="AH318"/>
          <cell r="AI318" t="str">
            <v>银行承兑汇票</v>
          </cell>
          <cell r="AJ318">
            <v>43419</v>
          </cell>
          <cell r="AK318" t="str">
            <v>agree</v>
          </cell>
          <cell r="AL318">
            <v>0</v>
          </cell>
          <cell r="AM318">
            <v>43466</v>
          </cell>
          <cell r="AN318" t="str">
            <v>Yes</v>
          </cell>
          <cell r="AO318" t="str">
            <v>agree</v>
          </cell>
          <cell r="AP318">
            <v>0</v>
          </cell>
          <cell r="AR318"/>
          <cell r="AS318"/>
          <cell r="AT318">
            <v>0</v>
          </cell>
          <cell r="AV318"/>
          <cell r="AW318"/>
          <cell r="AY318" t="str">
            <v>Yes</v>
          </cell>
          <cell r="AZ318" t="str">
            <v>Y</v>
          </cell>
          <cell r="BA318" t="str">
            <v>Yes</v>
          </cell>
        </row>
        <row r="319">
          <cell r="B319">
            <v>166</v>
          </cell>
          <cell r="C319" t="str">
            <v>C49SZX20180166ZX</v>
          </cell>
          <cell r="D319" t="str">
            <v>比泰利</v>
          </cell>
          <cell r="E319" t="str">
            <v>YS12</v>
          </cell>
          <cell r="F319" t="str">
            <v>#56222</v>
          </cell>
          <cell r="G319" t="e">
            <v>#REF!</v>
          </cell>
          <cell r="H319" t="e">
            <v>#REF!</v>
          </cell>
          <cell r="I319" t="str">
            <v>L-&gt;R</v>
          </cell>
          <cell r="J319" t="str">
            <v>MVC+Rear 站位</v>
          </cell>
          <cell r="K319">
            <v>1</v>
          </cell>
          <cell r="L319">
            <v>109482</v>
          </cell>
          <cell r="M319" t="str">
            <v>DEC 18</v>
          </cell>
          <cell r="O319">
            <v>11116247</v>
          </cell>
          <cell r="P319">
            <v>12875000</v>
          </cell>
          <cell r="Q319">
            <v>43435</v>
          </cell>
          <cell r="R319" t="str">
            <v>No</v>
          </cell>
          <cell r="S319" t="str">
            <v>C49</v>
          </cell>
          <cell r="T319" t="str">
            <v>SOUTH</v>
          </cell>
          <cell r="U319" t="str">
            <v>深圳</v>
          </cell>
          <cell r="V319" t="str">
            <v>SZ 深圳</v>
          </cell>
          <cell r="W319" t="str">
            <v>ZX</v>
          </cell>
          <cell r="X319" t="str">
            <v>JPY</v>
          </cell>
          <cell r="Y319">
            <v>12875000</v>
          </cell>
          <cell r="Z319">
            <v>1</v>
          </cell>
          <cell r="AA319">
            <v>12875000</v>
          </cell>
          <cell r="AB319">
            <v>7.0699999999999999E-2</v>
          </cell>
          <cell r="AC319">
            <v>910262.5</v>
          </cell>
          <cell r="AD319">
            <v>109231.5</v>
          </cell>
          <cell r="AE319">
            <v>0.12</v>
          </cell>
          <cell r="AF319">
            <v>43416</v>
          </cell>
          <cell r="AG319" t="str">
            <v>DAP</v>
          </cell>
          <cell r="AH319"/>
          <cell r="AI319"/>
          <cell r="AJ319"/>
          <cell r="AK319" t="str">
            <v>agree</v>
          </cell>
          <cell r="AL319">
            <v>2000000</v>
          </cell>
          <cell r="AM319">
            <v>43405</v>
          </cell>
          <cell r="AN319" t="str">
            <v>Yes</v>
          </cell>
          <cell r="AO319">
            <v>0.65</v>
          </cell>
          <cell r="AP319">
            <v>8368750</v>
          </cell>
          <cell r="AQ319">
            <v>43435</v>
          </cell>
          <cell r="AR319">
            <v>43454</v>
          </cell>
          <cell r="AS319">
            <v>0.05</v>
          </cell>
          <cell r="AT319">
            <v>643750</v>
          </cell>
          <cell r="AU319">
            <v>43586</v>
          </cell>
          <cell r="AV319">
            <v>43593</v>
          </cell>
          <cell r="AW319" t="str">
            <v>complete</v>
          </cell>
          <cell r="AX319" t="str">
            <v>Yes</v>
          </cell>
          <cell r="AY319"/>
          <cell r="AZ319" t="str">
            <v>Y</v>
          </cell>
          <cell r="BA319" t="str">
            <v>Yes</v>
          </cell>
        </row>
        <row r="320">
          <cell r="B320">
            <v>167</v>
          </cell>
          <cell r="C320" t="str">
            <v>C49SZX20180166ZX</v>
          </cell>
          <cell r="D320" t="str">
            <v>比泰利</v>
          </cell>
          <cell r="E320" t="str">
            <v>YS12</v>
          </cell>
          <cell r="F320" t="str">
            <v>#56222</v>
          </cell>
          <cell r="G320" t="e">
            <v>#REF!</v>
          </cell>
          <cell r="H320" t="e">
            <v>#REF!</v>
          </cell>
          <cell r="I320" t="str">
            <v>R-&gt;L</v>
          </cell>
          <cell r="J320" t="str">
            <v>MVC+Rear 站位</v>
          </cell>
          <cell r="K320">
            <v>1</v>
          </cell>
          <cell r="L320">
            <v>109482</v>
          </cell>
          <cell r="M320" t="str">
            <v>DEC 18</v>
          </cell>
          <cell r="O320">
            <v>11116247</v>
          </cell>
          <cell r="P320">
            <v>12875000</v>
          </cell>
          <cell r="Q320">
            <v>43435</v>
          </cell>
          <cell r="R320" t="str">
            <v>No</v>
          </cell>
          <cell r="S320" t="str">
            <v>C49</v>
          </cell>
          <cell r="T320" t="str">
            <v>SOUTH</v>
          </cell>
          <cell r="U320" t="str">
            <v>深圳</v>
          </cell>
          <cell r="V320" t="str">
            <v>SZ 深圳</v>
          </cell>
          <cell r="W320" t="str">
            <v>ZX</v>
          </cell>
          <cell r="X320" t="str">
            <v>JPY</v>
          </cell>
          <cell r="Y320">
            <v>12875000</v>
          </cell>
          <cell r="Z320">
            <v>1</v>
          </cell>
          <cell r="AA320">
            <v>12875000</v>
          </cell>
          <cell r="AB320">
            <v>7.0699999999999999E-2</v>
          </cell>
          <cell r="AC320">
            <v>910262.5</v>
          </cell>
          <cell r="AD320">
            <v>109231.5</v>
          </cell>
          <cell r="AE320">
            <v>0.12</v>
          </cell>
          <cell r="AF320">
            <v>43416</v>
          </cell>
          <cell r="AG320" t="str">
            <v>DAP</v>
          </cell>
          <cell r="AH320"/>
          <cell r="AI320"/>
          <cell r="AJ320"/>
          <cell r="AK320" t="str">
            <v>agree</v>
          </cell>
          <cell r="AL320">
            <v>5725000</v>
          </cell>
          <cell r="AM320">
            <v>43405</v>
          </cell>
          <cell r="AN320" t="str">
            <v>Yes</v>
          </cell>
          <cell r="AO320">
            <v>0.65</v>
          </cell>
          <cell r="AP320">
            <v>8368750</v>
          </cell>
          <cell r="AQ320">
            <v>43435</v>
          </cell>
          <cell r="AR320">
            <v>43454</v>
          </cell>
          <cell r="AS320">
            <v>0.05</v>
          </cell>
          <cell r="AT320">
            <v>643750</v>
          </cell>
          <cell r="AU320">
            <v>43586</v>
          </cell>
          <cell r="AV320">
            <v>43593</v>
          </cell>
          <cell r="AW320" t="str">
            <v>complete</v>
          </cell>
          <cell r="AX320" t="str">
            <v>Yes</v>
          </cell>
          <cell r="AY320"/>
          <cell r="AZ320" t="str">
            <v>Y</v>
          </cell>
          <cell r="BA320" t="str">
            <v>Yes</v>
          </cell>
        </row>
        <row r="321">
          <cell r="B321">
            <v>168</v>
          </cell>
          <cell r="C321" t="str">
            <v>"201810180046</v>
          </cell>
          <cell r="D321" t="str">
            <v>海尔智能(客户提前开发票，系统没走数)</v>
          </cell>
          <cell r="E321" t="str">
            <v>TROI-7700EL</v>
          </cell>
          <cell r="F321" t="str">
            <v>NA</v>
          </cell>
          <cell r="G321" t="e">
            <v>#REF!</v>
          </cell>
          <cell r="H321" t="e">
            <v>#REF!</v>
          </cell>
          <cell r="I321" t="str">
            <v>L-&gt;R</v>
          </cell>
          <cell r="J321" t="str">
            <v>No</v>
          </cell>
          <cell r="K321">
            <v>1</v>
          </cell>
          <cell r="L321" t="e">
            <v>#N/A</v>
          </cell>
          <cell r="M321" t="e">
            <v>#N/A</v>
          </cell>
          <cell r="Q321"/>
          <cell r="R321" t="str">
            <v>No</v>
          </cell>
          <cell r="S321" t="str">
            <v>C28</v>
          </cell>
          <cell r="T321" t="str">
            <v>NORTH</v>
          </cell>
          <cell r="U321" t="str">
            <v>重庆</v>
          </cell>
          <cell r="V321" t="str">
            <v>BJ 北京</v>
          </cell>
          <cell r="W321" t="str">
            <v>Li Yong</v>
          </cell>
          <cell r="X321" t="str">
            <v>RMB</v>
          </cell>
          <cell r="Y321">
            <v>445000</v>
          </cell>
          <cell r="Z321">
            <v>1.1599999999999999</v>
          </cell>
          <cell r="AA321">
            <v>445000</v>
          </cell>
          <cell r="AB321">
            <v>1.1399999999999999</v>
          </cell>
          <cell r="AC321">
            <v>437327.58620689658</v>
          </cell>
          <cell r="AD321">
            <v>52479.310344827587</v>
          </cell>
          <cell r="AE321">
            <v>0.12</v>
          </cell>
          <cell r="AF321">
            <v>43391</v>
          </cell>
          <cell r="AG321" t="str">
            <v>含税到厂</v>
          </cell>
          <cell r="AH321"/>
          <cell r="AI321"/>
          <cell r="AJ321"/>
          <cell r="AK321">
            <v>0.3</v>
          </cell>
          <cell r="AL321">
            <v>133500</v>
          </cell>
          <cell r="AM321">
            <v>43405</v>
          </cell>
          <cell r="AN321" t="str">
            <v>Yes</v>
          </cell>
          <cell r="AO321">
            <v>0.6</v>
          </cell>
          <cell r="AP321">
            <v>267000</v>
          </cell>
          <cell r="AR321"/>
          <cell r="AS321">
            <v>0.1</v>
          </cell>
          <cell r="AT321">
            <v>44500</v>
          </cell>
          <cell r="AU321">
            <v>43617</v>
          </cell>
          <cell r="AV321">
            <v>43644</v>
          </cell>
          <cell r="AW321" t="str">
            <v>complete</v>
          </cell>
          <cell r="AX321" t="str">
            <v>Yes</v>
          </cell>
          <cell r="AY321"/>
          <cell r="BA321" t="str">
            <v>Yes</v>
          </cell>
        </row>
        <row r="322">
          <cell r="B322">
            <v>169</v>
          </cell>
          <cell r="C322" t="str">
            <v>C28SZX20180075YY</v>
          </cell>
          <cell r="D322" t="str">
            <v>龙升</v>
          </cell>
          <cell r="E322" t="str">
            <v>Heller 1826MK5</v>
          </cell>
          <cell r="F322" t="str">
            <v>NA</v>
          </cell>
          <cell r="G322" t="e">
            <v>#REF!</v>
          </cell>
          <cell r="H322" t="e">
            <v>#REF!</v>
          </cell>
          <cell r="I322" t="str">
            <v>L-&gt;R</v>
          </cell>
          <cell r="J322" t="str">
            <v>No</v>
          </cell>
          <cell r="K322">
            <v>1</v>
          </cell>
          <cell r="L322" t="e">
            <v>#N/A</v>
          </cell>
          <cell r="M322" t="e">
            <v>#N/A</v>
          </cell>
          <cell r="O322">
            <v>11100279</v>
          </cell>
          <cell r="P322">
            <v>310000</v>
          </cell>
          <cell r="Q322">
            <v>43435</v>
          </cell>
          <cell r="R322" t="str">
            <v>No</v>
          </cell>
          <cell r="S322" t="str">
            <v>C28</v>
          </cell>
          <cell r="T322" t="str">
            <v>SOUTH</v>
          </cell>
          <cell r="U322" t="str">
            <v>東莞</v>
          </cell>
          <cell r="V322" t="str">
            <v>SZ 深圳</v>
          </cell>
          <cell r="W322" t="str">
            <v>YY</v>
          </cell>
          <cell r="X322" t="str">
            <v>RMB</v>
          </cell>
          <cell r="Y322">
            <v>310000</v>
          </cell>
          <cell r="Z322">
            <v>1.1599999999999999</v>
          </cell>
          <cell r="AA322">
            <v>310000</v>
          </cell>
          <cell r="AB322">
            <v>1.1399999999999999</v>
          </cell>
          <cell r="AC322">
            <v>304655.1724137931</v>
          </cell>
          <cell r="AD322">
            <v>36558.620689655174</v>
          </cell>
          <cell r="AE322">
            <v>0.12</v>
          </cell>
          <cell r="AF322">
            <v>43419</v>
          </cell>
          <cell r="AG322" t="str">
            <v>含税到厂</v>
          </cell>
          <cell r="AH322"/>
          <cell r="AI322"/>
          <cell r="AJ322"/>
          <cell r="AK322">
            <v>0.3</v>
          </cell>
          <cell r="AL322">
            <v>93000</v>
          </cell>
          <cell r="AM322">
            <v>43405</v>
          </cell>
          <cell r="AN322" t="str">
            <v>Yes</v>
          </cell>
          <cell r="AO322">
            <v>0.7</v>
          </cell>
          <cell r="AP322">
            <v>217000</v>
          </cell>
          <cell r="AQ322">
            <v>43435</v>
          </cell>
          <cell r="AR322">
            <v>43446</v>
          </cell>
          <cell r="AS322" t="str">
            <v>complete</v>
          </cell>
          <cell r="AT322" t="e">
            <v>#VALUE!</v>
          </cell>
          <cell r="AV322"/>
          <cell r="AW322"/>
          <cell r="AX322" t="str">
            <v>Yes</v>
          </cell>
          <cell r="AY322"/>
          <cell r="BA322" t="str">
            <v>Yes</v>
          </cell>
        </row>
        <row r="323">
          <cell r="B323">
            <v>170</v>
          </cell>
          <cell r="C323" t="str">
            <v>C49SZX20180154JL</v>
          </cell>
          <cell r="D323" t="str">
            <v>奥晨</v>
          </cell>
          <cell r="E323" t="str">
            <v>YSM20-2</v>
          </cell>
          <cell r="F323" t="str">
            <v>#02865</v>
          </cell>
          <cell r="G323" t="e">
            <v>#REF!</v>
          </cell>
          <cell r="H323" t="e">
            <v>#REF!</v>
          </cell>
          <cell r="I323" t="str">
            <v>L-&gt;R</v>
          </cell>
          <cell r="J323" t="str">
            <v>No</v>
          </cell>
          <cell r="K323">
            <v>1</v>
          </cell>
          <cell r="L323" t="e">
            <v>#N/A</v>
          </cell>
          <cell r="M323" t="e">
            <v>#N/A</v>
          </cell>
          <cell r="N323"/>
          <cell r="O323"/>
          <cell r="P323"/>
          <cell r="Q323"/>
          <cell r="R323" t="str">
            <v>Yes</v>
          </cell>
          <cell r="S323" t="str">
            <v>C49</v>
          </cell>
          <cell r="T323" t="str">
            <v>SOUTH</v>
          </cell>
          <cell r="U323" t="str">
            <v>東莞</v>
          </cell>
          <cell r="V323" t="str">
            <v>SZ 深圳</v>
          </cell>
          <cell r="W323" t="str">
            <v>JL</v>
          </cell>
          <cell r="X323" t="str">
            <v>JPY</v>
          </cell>
          <cell r="Y323">
            <v>14000000</v>
          </cell>
          <cell r="Z323">
            <v>1</v>
          </cell>
          <cell r="AA323">
            <v>14000000</v>
          </cell>
          <cell r="AB323">
            <v>7.0699999999999999E-2</v>
          </cell>
          <cell r="AC323">
            <v>989800</v>
          </cell>
          <cell r="AD323">
            <v>118776</v>
          </cell>
          <cell r="AE323">
            <v>0.12</v>
          </cell>
          <cell r="AF323">
            <v>43388</v>
          </cell>
          <cell r="AG323" t="str">
            <v>DAP东莞</v>
          </cell>
          <cell r="AH323"/>
          <cell r="AI323"/>
          <cell r="AJ323"/>
          <cell r="AK323">
            <v>0.3</v>
          </cell>
          <cell r="AL323">
            <v>4900000</v>
          </cell>
          <cell r="AN323" t="str">
            <v>No</v>
          </cell>
          <cell r="AO323">
            <v>0.7</v>
          </cell>
          <cell r="AP323">
            <v>9800000</v>
          </cell>
          <cell r="AR323"/>
          <cell r="AS323"/>
          <cell r="AT323"/>
          <cell r="AV323"/>
          <cell r="AW323"/>
          <cell r="AX323" t="str">
            <v>Cancel</v>
          </cell>
          <cell r="AY323"/>
          <cell r="BA323" t="str">
            <v>Cancel</v>
          </cell>
        </row>
        <row r="324">
          <cell r="B324">
            <v>171</v>
          </cell>
          <cell r="C324" t="str">
            <v>C49SZX20180154JL</v>
          </cell>
          <cell r="D324" t="str">
            <v>奥晨</v>
          </cell>
          <cell r="E324" t="str">
            <v>YSM20-2</v>
          </cell>
          <cell r="F324" t="str">
            <v>#02865</v>
          </cell>
          <cell r="G324" t="e">
            <v>#REF!</v>
          </cell>
          <cell r="H324" t="e">
            <v>#REF!</v>
          </cell>
          <cell r="I324" t="str">
            <v>L-&gt;R</v>
          </cell>
          <cell r="J324" t="str">
            <v>No</v>
          </cell>
          <cell r="K324">
            <v>1</v>
          </cell>
          <cell r="L324">
            <v>109294</v>
          </cell>
          <cell r="M324" t="str">
            <v>JUL 19</v>
          </cell>
          <cell r="N324">
            <v>43672</v>
          </cell>
          <cell r="O324">
            <v>11116316</v>
          </cell>
          <cell r="P324">
            <v>14000000</v>
          </cell>
          <cell r="Q324">
            <v>43647</v>
          </cell>
          <cell r="R324" t="str">
            <v>Yes</v>
          </cell>
          <cell r="S324" t="str">
            <v>C49</v>
          </cell>
          <cell r="T324" t="str">
            <v>SOUTH</v>
          </cell>
          <cell r="U324" t="str">
            <v>東莞</v>
          </cell>
          <cell r="V324" t="str">
            <v>SZ 深圳</v>
          </cell>
          <cell r="W324" t="str">
            <v>JL</v>
          </cell>
          <cell r="X324" t="str">
            <v>JPY</v>
          </cell>
          <cell r="Y324">
            <v>14000000</v>
          </cell>
          <cell r="Z324">
            <v>1</v>
          </cell>
          <cell r="AA324">
            <v>14000000</v>
          </cell>
          <cell r="AB324">
            <v>7.0699999999999999E-2</v>
          </cell>
          <cell r="AC324">
            <v>989800</v>
          </cell>
          <cell r="AD324">
            <v>118776</v>
          </cell>
          <cell r="AE324">
            <v>0.12</v>
          </cell>
          <cell r="AF324">
            <v>43388</v>
          </cell>
          <cell r="AG324" t="str">
            <v>DAP东莞</v>
          </cell>
          <cell r="AH324"/>
          <cell r="AI324"/>
          <cell r="AJ324"/>
          <cell r="AK324">
            <v>0.3</v>
          </cell>
          <cell r="AL324">
            <v>3500000</v>
          </cell>
          <cell r="AM324">
            <v>43586</v>
          </cell>
          <cell r="AN324" t="str">
            <v>Yes</v>
          </cell>
          <cell r="AO324">
            <v>0.7</v>
          </cell>
          <cell r="AP324">
            <v>9800000</v>
          </cell>
          <cell r="AQ324">
            <v>43586</v>
          </cell>
          <cell r="AR324">
            <v>43613</v>
          </cell>
          <cell r="AS324" t="str">
            <v>complete</v>
          </cell>
          <cell r="AT324"/>
          <cell r="AV324"/>
          <cell r="AW324"/>
          <cell r="AX324" t="str">
            <v>Yes</v>
          </cell>
          <cell r="AY324"/>
          <cell r="AZ324" t="str">
            <v>Y</v>
          </cell>
          <cell r="BA324" t="str">
            <v>Yes</v>
          </cell>
        </row>
        <row r="325">
          <cell r="B325">
            <v>172</v>
          </cell>
          <cell r="C325" t="str">
            <v>C49SZX20180154JL</v>
          </cell>
          <cell r="D325" t="str">
            <v>奥晨</v>
          </cell>
          <cell r="E325" t="str">
            <v>YSM20-2</v>
          </cell>
          <cell r="F325" t="str">
            <v>#02865</v>
          </cell>
          <cell r="G325" t="e">
            <v>#REF!</v>
          </cell>
          <cell r="H325" t="e">
            <v>#REF!</v>
          </cell>
          <cell r="I325" t="str">
            <v>L-&gt;R</v>
          </cell>
          <cell r="J325" t="str">
            <v>No</v>
          </cell>
          <cell r="K325">
            <v>1</v>
          </cell>
          <cell r="L325" t="e">
            <v>#N/A</v>
          </cell>
          <cell r="M325" t="e">
            <v>#N/A</v>
          </cell>
          <cell r="N325"/>
          <cell r="O325"/>
          <cell r="P325"/>
          <cell r="Q325"/>
          <cell r="R325" t="str">
            <v>Yes</v>
          </cell>
          <cell r="S325" t="str">
            <v>C49</v>
          </cell>
          <cell r="T325" t="str">
            <v>SOUTH</v>
          </cell>
          <cell r="U325" t="str">
            <v>東莞</v>
          </cell>
          <cell r="V325" t="str">
            <v>SZ 深圳</v>
          </cell>
          <cell r="W325" t="str">
            <v>JL</v>
          </cell>
          <cell r="X325" t="str">
            <v>JPY</v>
          </cell>
          <cell r="Y325">
            <v>14000000</v>
          </cell>
          <cell r="Z325">
            <v>1</v>
          </cell>
          <cell r="AA325">
            <v>14000000</v>
          </cell>
          <cell r="AB325">
            <v>7.0699999999999999E-2</v>
          </cell>
          <cell r="AC325">
            <v>989800</v>
          </cell>
          <cell r="AD325">
            <v>118776</v>
          </cell>
          <cell r="AE325">
            <v>0.12</v>
          </cell>
          <cell r="AF325">
            <v>43388</v>
          </cell>
          <cell r="AG325" t="str">
            <v>DAP东莞</v>
          </cell>
          <cell r="AH325"/>
          <cell r="AI325"/>
          <cell r="AJ325"/>
          <cell r="AK325">
            <v>0.3</v>
          </cell>
          <cell r="AL325">
            <v>4200000</v>
          </cell>
          <cell r="AN325" t="str">
            <v>No</v>
          </cell>
          <cell r="AO325">
            <v>0.7</v>
          </cell>
          <cell r="AP325">
            <v>9800000</v>
          </cell>
          <cell r="AR325"/>
          <cell r="AS325"/>
          <cell r="AT325">
            <v>0</v>
          </cell>
          <cell r="AV325"/>
          <cell r="AW325"/>
          <cell r="AX325" t="str">
            <v>Cancel</v>
          </cell>
          <cell r="AY325"/>
          <cell r="BA325" t="str">
            <v>Cancel</v>
          </cell>
        </row>
        <row r="326">
          <cell r="B326">
            <v>173</v>
          </cell>
          <cell r="C326" t="str">
            <v>C49SZX20180154JL</v>
          </cell>
          <cell r="D326" t="str">
            <v>奥晨</v>
          </cell>
          <cell r="E326" t="str">
            <v>YSM20-2</v>
          </cell>
          <cell r="F326" t="str">
            <v>#02865</v>
          </cell>
          <cell r="G326" t="e">
            <v>#REF!</v>
          </cell>
          <cell r="H326" t="e">
            <v>#REF!</v>
          </cell>
          <cell r="I326" t="str">
            <v>L-&gt;R</v>
          </cell>
          <cell r="J326" t="str">
            <v>No</v>
          </cell>
          <cell r="K326">
            <v>1</v>
          </cell>
          <cell r="L326" t="e">
            <v>#N/A</v>
          </cell>
          <cell r="M326" t="e">
            <v>#N/A</v>
          </cell>
          <cell r="N326"/>
          <cell r="O326"/>
          <cell r="P326"/>
          <cell r="Q326"/>
          <cell r="R326" t="str">
            <v>Yes</v>
          </cell>
          <cell r="S326" t="str">
            <v>C49</v>
          </cell>
          <cell r="T326" t="str">
            <v>SOUTH</v>
          </cell>
          <cell r="U326" t="str">
            <v>東莞</v>
          </cell>
          <cell r="V326" t="str">
            <v>SZ 深圳</v>
          </cell>
          <cell r="W326" t="str">
            <v>JL</v>
          </cell>
          <cell r="X326" t="str">
            <v>JPY</v>
          </cell>
          <cell r="Y326">
            <v>14000000</v>
          </cell>
          <cell r="Z326">
            <v>1</v>
          </cell>
          <cell r="AA326">
            <v>14000000</v>
          </cell>
          <cell r="AB326">
            <v>7.3999999999999996E-2</v>
          </cell>
          <cell r="AC326">
            <v>1036000</v>
          </cell>
          <cell r="AD326">
            <v>124320</v>
          </cell>
          <cell r="AE326">
            <v>0.12</v>
          </cell>
          <cell r="AF326">
            <v>43388</v>
          </cell>
          <cell r="AG326" t="str">
            <v>DAP东莞</v>
          </cell>
          <cell r="AH326"/>
          <cell r="AI326"/>
          <cell r="AJ326"/>
          <cell r="AK326">
            <v>0.3</v>
          </cell>
          <cell r="AL326">
            <v>4200000</v>
          </cell>
          <cell r="AN326" t="str">
            <v>No</v>
          </cell>
          <cell r="AO326">
            <v>0.7</v>
          </cell>
          <cell r="AP326">
            <v>9800000</v>
          </cell>
          <cell r="AR326"/>
          <cell r="AS326"/>
          <cell r="AT326">
            <v>0</v>
          </cell>
          <cell r="AV326"/>
          <cell r="AW326"/>
          <cell r="AX326" t="str">
            <v>Cancel</v>
          </cell>
          <cell r="AY326"/>
          <cell r="BA326" t="str">
            <v>Cancel</v>
          </cell>
        </row>
        <row r="327">
          <cell r="B327">
            <v>174</v>
          </cell>
          <cell r="C327" t="str">
            <v>C49SZX20180154JL</v>
          </cell>
          <cell r="D327" t="str">
            <v>奥晨</v>
          </cell>
          <cell r="E327" t="str">
            <v>YSM20-2</v>
          </cell>
          <cell r="F327" t="str">
            <v>#02865</v>
          </cell>
          <cell r="G327" t="e">
            <v>#REF!</v>
          </cell>
          <cell r="H327" t="e">
            <v>#REF!</v>
          </cell>
          <cell r="I327" t="str">
            <v>L-&gt;R</v>
          </cell>
          <cell r="J327" t="str">
            <v>No</v>
          </cell>
          <cell r="K327">
            <v>1</v>
          </cell>
          <cell r="L327" t="e">
            <v>#N/A</v>
          </cell>
          <cell r="M327" t="e">
            <v>#N/A</v>
          </cell>
          <cell r="N327"/>
          <cell r="O327"/>
          <cell r="P327"/>
          <cell r="Q327"/>
          <cell r="R327" t="str">
            <v>Yes</v>
          </cell>
          <cell r="S327" t="str">
            <v>C49</v>
          </cell>
          <cell r="T327" t="str">
            <v>SOUTH</v>
          </cell>
          <cell r="U327" t="str">
            <v>東莞</v>
          </cell>
          <cell r="V327" t="str">
            <v>SZ 深圳</v>
          </cell>
          <cell r="W327" t="str">
            <v>JL</v>
          </cell>
          <cell r="X327" t="str">
            <v>JPY</v>
          </cell>
          <cell r="Y327">
            <v>14000000</v>
          </cell>
          <cell r="Z327">
            <v>1</v>
          </cell>
          <cell r="AA327">
            <v>14000000</v>
          </cell>
          <cell r="AB327">
            <v>7.0699999999999999E-2</v>
          </cell>
          <cell r="AC327">
            <v>989800</v>
          </cell>
          <cell r="AD327">
            <v>118776</v>
          </cell>
          <cell r="AE327">
            <v>0.12</v>
          </cell>
          <cell r="AF327">
            <v>43388</v>
          </cell>
          <cell r="AG327" t="str">
            <v>DAP东莞</v>
          </cell>
          <cell r="AH327"/>
          <cell r="AI327"/>
          <cell r="AJ327"/>
          <cell r="AK327">
            <v>0.3</v>
          </cell>
          <cell r="AL327">
            <v>4200000</v>
          </cell>
          <cell r="AN327" t="str">
            <v>No</v>
          </cell>
          <cell r="AO327">
            <v>0.7</v>
          </cell>
          <cell r="AP327">
            <v>9800000</v>
          </cell>
          <cell r="AR327"/>
          <cell r="AS327"/>
          <cell r="AT327">
            <v>0</v>
          </cell>
          <cell r="AV327"/>
          <cell r="AW327"/>
          <cell r="AX327" t="str">
            <v>Cancel</v>
          </cell>
          <cell r="AY327"/>
          <cell r="BA327" t="str">
            <v>Cancel</v>
          </cell>
        </row>
        <row r="328">
          <cell r="B328">
            <v>175</v>
          </cell>
          <cell r="C328" t="str">
            <v>C49SZX20180154JL</v>
          </cell>
          <cell r="D328" t="str">
            <v>奥晨</v>
          </cell>
          <cell r="E328" t="str">
            <v>YSM20-2</v>
          </cell>
          <cell r="F328" t="str">
            <v>#02865</v>
          </cell>
          <cell r="G328" t="e">
            <v>#REF!</v>
          </cell>
          <cell r="H328" t="e">
            <v>#REF!</v>
          </cell>
          <cell r="I328" t="str">
            <v>L-&gt;R</v>
          </cell>
          <cell r="J328" t="str">
            <v>No</v>
          </cell>
          <cell r="K328">
            <v>1</v>
          </cell>
          <cell r="L328" t="e">
            <v>#N/A</v>
          </cell>
          <cell r="M328" t="e">
            <v>#N/A</v>
          </cell>
          <cell r="N328"/>
          <cell r="O328"/>
          <cell r="P328"/>
          <cell r="Q328"/>
          <cell r="R328" t="str">
            <v>Yes</v>
          </cell>
          <cell r="S328" t="str">
            <v>C49</v>
          </cell>
          <cell r="T328" t="str">
            <v>SOUTH</v>
          </cell>
          <cell r="U328" t="str">
            <v>東莞</v>
          </cell>
          <cell r="V328" t="str">
            <v>SZ 深圳</v>
          </cell>
          <cell r="W328" t="str">
            <v>JL</v>
          </cell>
          <cell r="X328" t="str">
            <v>JPY</v>
          </cell>
          <cell r="Y328">
            <v>14000000</v>
          </cell>
          <cell r="Z328">
            <v>1</v>
          </cell>
          <cell r="AA328">
            <v>14000000</v>
          </cell>
          <cell r="AB328">
            <v>7.0699999999999999E-2</v>
          </cell>
          <cell r="AC328">
            <v>989800</v>
          </cell>
          <cell r="AD328">
            <v>118776</v>
          </cell>
          <cell r="AE328">
            <v>0.12</v>
          </cell>
          <cell r="AF328">
            <v>43388</v>
          </cell>
          <cell r="AG328" t="str">
            <v>DAP东莞</v>
          </cell>
          <cell r="AH328"/>
          <cell r="AI328"/>
          <cell r="AJ328"/>
          <cell r="AK328">
            <v>0.3</v>
          </cell>
          <cell r="AL328">
            <v>4200000</v>
          </cell>
          <cell r="AN328" t="str">
            <v>No</v>
          </cell>
          <cell r="AO328">
            <v>0.7</v>
          </cell>
          <cell r="AP328">
            <v>9800000</v>
          </cell>
          <cell r="AR328"/>
          <cell r="AS328"/>
          <cell r="AT328">
            <v>0</v>
          </cell>
          <cell r="AV328"/>
          <cell r="AW328"/>
          <cell r="AX328" t="str">
            <v>Cancel</v>
          </cell>
          <cell r="AY328"/>
          <cell r="BA328" t="str">
            <v>Cancel</v>
          </cell>
        </row>
        <row r="329">
          <cell r="B329">
            <v>176</v>
          </cell>
          <cell r="C329" t="str">
            <v>C49SZX20180154JL</v>
          </cell>
          <cell r="D329" t="str">
            <v>奥晨</v>
          </cell>
          <cell r="E329" t="str">
            <v>YSM10</v>
          </cell>
          <cell r="F329" t="str">
            <v>#02865</v>
          </cell>
          <cell r="G329" t="e">
            <v>#REF!</v>
          </cell>
          <cell r="H329" t="e">
            <v>#REF!</v>
          </cell>
          <cell r="I329" t="str">
            <v>L-&gt;R</v>
          </cell>
          <cell r="J329" t="str">
            <v>MVC+ATS15</v>
          </cell>
          <cell r="K329">
            <v>1</v>
          </cell>
          <cell r="L329" t="e">
            <v>#N/A</v>
          </cell>
          <cell r="M329" t="e">
            <v>#N/A</v>
          </cell>
          <cell r="N329"/>
          <cell r="O329"/>
          <cell r="P329"/>
          <cell r="Q329"/>
          <cell r="R329" t="str">
            <v>Yes</v>
          </cell>
          <cell r="S329" t="str">
            <v>C49</v>
          </cell>
          <cell r="T329" t="str">
            <v>SOUTH</v>
          </cell>
          <cell r="U329" t="str">
            <v>東莞</v>
          </cell>
          <cell r="V329" t="str">
            <v>SZ 深圳</v>
          </cell>
          <cell r="W329" t="str">
            <v>JL</v>
          </cell>
          <cell r="X329" t="str">
            <v>JPY</v>
          </cell>
          <cell r="Y329">
            <v>10500000</v>
          </cell>
          <cell r="Z329">
            <v>1</v>
          </cell>
          <cell r="AA329">
            <v>10500000</v>
          </cell>
          <cell r="AB329">
            <v>7.0699999999999999E-2</v>
          </cell>
          <cell r="AC329">
            <v>742350</v>
          </cell>
          <cell r="AD329">
            <v>89082</v>
          </cell>
          <cell r="AE329">
            <v>0.12</v>
          </cell>
          <cell r="AF329">
            <v>43388</v>
          </cell>
          <cell r="AG329" t="str">
            <v>DAP东莞</v>
          </cell>
          <cell r="AH329"/>
          <cell r="AI329"/>
          <cell r="AJ329"/>
          <cell r="AK329">
            <v>0.3</v>
          </cell>
          <cell r="AL329">
            <v>3150000</v>
          </cell>
          <cell r="AN329" t="str">
            <v>No</v>
          </cell>
          <cell r="AO329">
            <v>0.7</v>
          </cell>
          <cell r="AP329">
            <v>7349999.9999999991</v>
          </cell>
          <cell r="AR329"/>
          <cell r="AS329"/>
          <cell r="AT329">
            <v>0</v>
          </cell>
          <cell r="AV329"/>
          <cell r="AW329"/>
          <cell r="AX329" t="str">
            <v>Cancel</v>
          </cell>
          <cell r="AY329"/>
          <cell r="BA329" t="str">
            <v>Cancel</v>
          </cell>
        </row>
        <row r="330">
          <cell r="B330">
            <v>177</v>
          </cell>
          <cell r="C330" t="str">
            <v>C49SZX20180154JL</v>
          </cell>
          <cell r="D330" t="str">
            <v>奥晨</v>
          </cell>
          <cell r="E330" t="str">
            <v>YSM10</v>
          </cell>
          <cell r="F330" t="str">
            <v>#02865</v>
          </cell>
          <cell r="G330" t="e">
            <v>#REF!</v>
          </cell>
          <cell r="H330" t="e">
            <v>#REF!</v>
          </cell>
          <cell r="I330" t="str">
            <v>L-&gt;R</v>
          </cell>
          <cell r="J330" t="str">
            <v>MVC+ATS15</v>
          </cell>
          <cell r="K330">
            <v>1</v>
          </cell>
          <cell r="L330">
            <v>109238</v>
          </cell>
          <cell r="M330" t="str">
            <v>JUL 19</v>
          </cell>
          <cell r="N330">
            <v>43672</v>
          </cell>
          <cell r="O330">
            <v>11116316</v>
          </cell>
          <cell r="P330">
            <v>10500000</v>
          </cell>
          <cell r="Q330">
            <v>43647</v>
          </cell>
          <cell r="R330" t="str">
            <v>Yes</v>
          </cell>
          <cell r="S330" t="str">
            <v>C49</v>
          </cell>
          <cell r="T330" t="str">
            <v>SOUTH</v>
          </cell>
          <cell r="U330" t="str">
            <v>東莞</v>
          </cell>
          <cell r="V330" t="str">
            <v>SZ 深圳</v>
          </cell>
          <cell r="W330" t="str">
            <v>JL</v>
          </cell>
          <cell r="X330" t="str">
            <v>JPY</v>
          </cell>
          <cell r="Y330">
            <v>10500000</v>
          </cell>
          <cell r="Z330">
            <v>1</v>
          </cell>
          <cell r="AA330">
            <v>10500000</v>
          </cell>
          <cell r="AB330">
            <v>7.0699999999999999E-2</v>
          </cell>
          <cell r="AC330">
            <v>742350</v>
          </cell>
          <cell r="AD330">
            <v>89082</v>
          </cell>
          <cell r="AE330">
            <v>0.12</v>
          </cell>
          <cell r="AF330">
            <v>43388</v>
          </cell>
          <cell r="AG330" t="str">
            <v>DAP东莞</v>
          </cell>
          <cell r="AH330"/>
          <cell r="AI330"/>
          <cell r="AJ330"/>
          <cell r="AK330">
            <v>0.3</v>
          </cell>
          <cell r="AL330">
            <v>3150000</v>
          </cell>
          <cell r="AM330">
            <v>43586</v>
          </cell>
          <cell r="AN330" t="str">
            <v>Yes</v>
          </cell>
          <cell r="AO330">
            <v>0.7</v>
          </cell>
          <cell r="AP330">
            <v>7349999.9999999991</v>
          </cell>
          <cell r="AQ330">
            <v>43586</v>
          </cell>
          <cell r="AR330">
            <v>43613</v>
          </cell>
          <cell r="AS330" t="str">
            <v>complete</v>
          </cell>
          <cell r="AT330"/>
          <cell r="AV330"/>
          <cell r="AW330"/>
          <cell r="AX330" t="str">
            <v>Yes</v>
          </cell>
          <cell r="AY330"/>
          <cell r="AZ330" t="str">
            <v>Y</v>
          </cell>
          <cell r="BA330" t="str">
            <v>Yes</v>
          </cell>
        </row>
        <row r="331">
          <cell r="B331">
            <v>178</v>
          </cell>
          <cell r="C331" t="str">
            <v>C49SZX20180154JL</v>
          </cell>
          <cell r="D331" t="str">
            <v>奥晨</v>
          </cell>
          <cell r="E331" t="str">
            <v>YSM10</v>
          </cell>
          <cell r="F331" t="str">
            <v>#02865</v>
          </cell>
          <cell r="G331" t="e">
            <v>#REF!</v>
          </cell>
          <cell r="H331" t="e">
            <v>#REF!</v>
          </cell>
          <cell r="I331" t="str">
            <v>L-&gt;R</v>
          </cell>
          <cell r="J331" t="str">
            <v>MVC+ATS15</v>
          </cell>
          <cell r="K331">
            <v>1</v>
          </cell>
          <cell r="L331" t="e">
            <v>#N/A</v>
          </cell>
          <cell r="M331" t="e">
            <v>#N/A</v>
          </cell>
          <cell r="N331"/>
          <cell r="O331"/>
          <cell r="P331"/>
          <cell r="Q331"/>
          <cell r="R331" t="str">
            <v>Yes</v>
          </cell>
          <cell r="S331" t="str">
            <v>C49</v>
          </cell>
          <cell r="T331" t="str">
            <v>SOUTH</v>
          </cell>
          <cell r="U331" t="str">
            <v>東莞</v>
          </cell>
          <cell r="V331" t="str">
            <v>SZ 深圳</v>
          </cell>
          <cell r="W331" t="str">
            <v>JL</v>
          </cell>
          <cell r="X331" t="str">
            <v>JPY</v>
          </cell>
          <cell r="Y331">
            <v>10500000</v>
          </cell>
          <cell r="Z331">
            <v>1</v>
          </cell>
          <cell r="AA331">
            <v>10500000</v>
          </cell>
          <cell r="AB331">
            <v>7.0699999999999999E-2</v>
          </cell>
          <cell r="AC331">
            <v>742350</v>
          </cell>
          <cell r="AD331">
            <v>89082</v>
          </cell>
          <cell r="AE331">
            <v>0.12</v>
          </cell>
          <cell r="AF331">
            <v>43388</v>
          </cell>
          <cell r="AG331" t="str">
            <v>DAP东莞</v>
          </cell>
          <cell r="AH331"/>
          <cell r="AI331"/>
          <cell r="AJ331"/>
          <cell r="AK331">
            <v>0.3</v>
          </cell>
          <cell r="AL331">
            <v>3150000</v>
          </cell>
          <cell r="AN331" t="str">
            <v>No</v>
          </cell>
          <cell r="AO331">
            <v>0.7</v>
          </cell>
          <cell r="AP331">
            <v>7349999.9999999991</v>
          </cell>
          <cell r="AR331"/>
          <cell r="AS331"/>
          <cell r="AT331">
            <v>0</v>
          </cell>
          <cell r="AV331"/>
          <cell r="AW331"/>
          <cell r="AX331" t="str">
            <v>Cancel</v>
          </cell>
          <cell r="AY331"/>
          <cell r="BA331" t="str">
            <v>Cancel</v>
          </cell>
        </row>
        <row r="332">
          <cell r="B332">
            <v>179</v>
          </cell>
          <cell r="C332" t="str">
            <v>C49SZX20180154JL</v>
          </cell>
          <cell r="D332" t="str">
            <v>奥晨</v>
          </cell>
          <cell r="E332" t="str">
            <v>YSM10</v>
          </cell>
          <cell r="F332" t="str">
            <v>#02865</v>
          </cell>
          <cell r="G332" t="e">
            <v>#REF!</v>
          </cell>
          <cell r="H332" t="e">
            <v>#REF!</v>
          </cell>
          <cell r="I332" t="str">
            <v>L-&gt;R</v>
          </cell>
          <cell r="J332" t="str">
            <v>MVC+ATS15</v>
          </cell>
          <cell r="K332">
            <v>1</v>
          </cell>
          <cell r="L332" t="e">
            <v>#N/A</v>
          </cell>
          <cell r="M332" t="e">
            <v>#N/A</v>
          </cell>
          <cell r="N332"/>
          <cell r="O332"/>
          <cell r="P332"/>
          <cell r="Q332"/>
          <cell r="R332" t="str">
            <v>Yes</v>
          </cell>
          <cell r="S332" t="str">
            <v>C49</v>
          </cell>
          <cell r="T332" t="str">
            <v>SOUTH</v>
          </cell>
          <cell r="U332" t="str">
            <v>東莞</v>
          </cell>
          <cell r="V332" t="str">
            <v>SZ 深圳</v>
          </cell>
          <cell r="W332" t="str">
            <v>JL</v>
          </cell>
          <cell r="X332" t="str">
            <v>JPY</v>
          </cell>
          <cell r="Y332">
            <v>10500000</v>
          </cell>
          <cell r="Z332">
            <v>1</v>
          </cell>
          <cell r="AA332">
            <v>10500000</v>
          </cell>
          <cell r="AB332">
            <v>7.0699999999999999E-2</v>
          </cell>
          <cell r="AC332">
            <v>742350</v>
          </cell>
          <cell r="AD332">
            <v>89082</v>
          </cell>
          <cell r="AE332">
            <v>0.12</v>
          </cell>
          <cell r="AF332">
            <v>43388</v>
          </cell>
          <cell r="AG332" t="str">
            <v>DAP东莞</v>
          </cell>
          <cell r="AH332"/>
          <cell r="AI332"/>
          <cell r="AJ332"/>
          <cell r="AK332">
            <v>0.3</v>
          </cell>
          <cell r="AL332">
            <v>3150000</v>
          </cell>
          <cell r="AN332" t="str">
            <v>No</v>
          </cell>
          <cell r="AO332">
            <v>0.7</v>
          </cell>
          <cell r="AP332">
            <v>7349999.9999999991</v>
          </cell>
          <cell r="AR332"/>
          <cell r="AS332"/>
          <cell r="AT332">
            <v>0</v>
          </cell>
          <cell r="AV332"/>
          <cell r="AW332"/>
          <cell r="AX332" t="str">
            <v>Cancel</v>
          </cell>
          <cell r="AY332"/>
          <cell r="BA332" t="str">
            <v>Cancel</v>
          </cell>
        </row>
        <row r="333">
          <cell r="B333">
            <v>180</v>
          </cell>
          <cell r="C333" t="str">
            <v>C49SZX20180171JY</v>
          </cell>
          <cell r="D333" t="str">
            <v>建航</v>
          </cell>
          <cell r="E333" t="str">
            <v>YSM10</v>
          </cell>
          <cell r="F333" t="str">
            <v>#72882</v>
          </cell>
          <cell r="G333" t="e">
            <v>#REF!</v>
          </cell>
          <cell r="H333" t="e">
            <v>#REF!</v>
          </cell>
          <cell r="I333" t="str">
            <v>L-&gt;R</v>
          </cell>
          <cell r="J333" t="str">
            <v>MVC</v>
          </cell>
          <cell r="K333">
            <v>1</v>
          </cell>
          <cell r="L333" t="e">
            <v>#N/A</v>
          </cell>
          <cell r="M333" t="e">
            <v>#N/A</v>
          </cell>
          <cell r="Q333"/>
          <cell r="R333" t="str">
            <v>No</v>
          </cell>
          <cell r="S333" t="str">
            <v>C49</v>
          </cell>
          <cell r="T333" t="str">
            <v>SOUTH</v>
          </cell>
          <cell r="U333" t="str">
            <v>深圳</v>
          </cell>
          <cell r="V333" t="str">
            <v>SZ 深圳</v>
          </cell>
          <cell r="W333" t="str">
            <v>JY</v>
          </cell>
          <cell r="X333" t="str">
            <v>JPY</v>
          </cell>
          <cell r="Y333">
            <v>8600000</v>
          </cell>
          <cell r="Z333">
            <v>1</v>
          </cell>
          <cell r="AA333">
            <v>8600000</v>
          </cell>
          <cell r="AB333">
            <v>7.0699999999999999E-2</v>
          </cell>
          <cell r="AC333">
            <v>608020</v>
          </cell>
          <cell r="AD333">
            <v>72962.399999999994</v>
          </cell>
          <cell r="AE333">
            <v>0.12</v>
          </cell>
          <cell r="AF333">
            <v>43425</v>
          </cell>
          <cell r="AG333" t="str">
            <v>DAP深圳</v>
          </cell>
          <cell r="AH333"/>
          <cell r="AI333"/>
          <cell r="AJ333"/>
          <cell r="AK333" t="str">
            <v>agree</v>
          </cell>
          <cell r="AL333">
            <v>326482</v>
          </cell>
          <cell r="AM333">
            <v>43435</v>
          </cell>
          <cell r="AN333" t="str">
            <v>Yes</v>
          </cell>
          <cell r="AO333" t="str">
            <v>agree</v>
          </cell>
          <cell r="AP333">
            <v>8273518</v>
          </cell>
          <cell r="AR333"/>
          <cell r="AS333"/>
          <cell r="AT333">
            <v>0</v>
          </cell>
          <cell r="AV333"/>
          <cell r="AW333"/>
          <cell r="AY333"/>
        </row>
        <row r="334">
          <cell r="B334">
            <v>181</v>
          </cell>
          <cell r="C334" t="str">
            <v>C49SZX20180172ZX</v>
          </cell>
          <cell r="D334" t="str">
            <v>网娱视通</v>
          </cell>
          <cell r="E334" t="str">
            <v>YSM10</v>
          </cell>
          <cell r="F334" t="str">
            <v>NA</v>
          </cell>
          <cell r="G334" t="e">
            <v>#REF!</v>
          </cell>
          <cell r="H334" t="e">
            <v>#REF!</v>
          </cell>
          <cell r="I334" t="str">
            <v>L-&gt;R</v>
          </cell>
          <cell r="J334" t="str">
            <v>MVC</v>
          </cell>
          <cell r="K334">
            <v>1</v>
          </cell>
          <cell r="L334">
            <v>109381</v>
          </cell>
          <cell r="M334" t="str">
            <v>DEC 18</v>
          </cell>
          <cell r="O334">
            <v>11116242</v>
          </cell>
          <cell r="P334">
            <v>11000000</v>
          </cell>
          <cell r="Q334">
            <v>43435</v>
          </cell>
          <cell r="R334" t="str">
            <v>No</v>
          </cell>
          <cell r="S334" t="str">
            <v>C49</v>
          </cell>
          <cell r="T334" t="str">
            <v>SOUTH</v>
          </cell>
          <cell r="U334" t="str">
            <v>深圳</v>
          </cell>
          <cell r="V334" t="str">
            <v>SZ 深圳</v>
          </cell>
          <cell r="W334" t="str">
            <v>ZX</v>
          </cell>
          <cell r="X334" t="str">
            <v>JPY</v>
          </cell>
          <cell r="Y334">
            <v>11000000</v>
          </cell>
          <cell r="Z334">
            <v>1</v>
          </cell>
          <cell r="AA334">
            <v>11000000</v>
          </cell>
          <cell r="AB334">
            <v>7.0699999999999999E-2</v>
          </cell>
          <cell r="AC334">
            <v>777700</v>
          </cell>
          <cell r="AD334">
            <v>93324</v>
          </cell>
          <cell r="AE334">
            <v>0.12</v>
          </cell>
          <cell r="AF334">
            <v>43425</v>
          </cell>
          <cell r="AG334" t="str">
            <v>DAP深圳</v>
          </cell>
          <cell r="AH334"/>
          <cell r="AI334"/>
          <cell r="AJ334"/>
          <cell r="AK334">
            <v>0.2</v>
          </cell>
          <cell r="AL334">
            <v>2200000</v>
          </cell>
          <cell r="AM334">
            <v>43405</v>
          </cell>
          <cell r="AN334" t="str">
            <v>Yes</v>
          </cell>
          <cell r="AO334">
            <v>0.8</v>
          </cell>
          <cell r="AP334">
            <v>8800000</v>
          </cell>
          <cell r="AQ334">
            <v>43435</v>
          </cell>
          <cell r="AR334">
            <v>43445</v>
          </cell>
          <cell r="AS334" t="str">
            <v>complete</v>
          </cell>
          <cell r="AT334" t="e">
            <v>#VALUE!</v>
          </cell>
          <cell r="AV334"/>
          <cell r="AW334"/>
          <cell r="AX334" t="str">
            <v>Yes</v>
          </cell>
          <cell r="AY334"/>
          <cell r="BA334" t="str">
            <v>Yes</v>
          </cell>
        </row>
        <row r="335">
          <cell r="B335">
            <v>182</v>
          </cell>
          <cell r="C335" t="str">
            <v>C49SZX20180173ZX</v>
          </cell>
          <cell r="D335" t="str">
            <v>网娱视通</v>
          </cell>
          <cell r="E335" t="str">
            <v>YSM20R(SV)-2</v>
          </cell>
          <cell r="F335" t="str">
            <v>NA</v>
          </cell>
          <cell r="G335" t="e">
            <v>#REF!</v>
          </cell>
          <cell r="H335" t="e">
            <v>#REF!</v>
          </cell>
          <cell r="I335" t="str">
            <v>L-&gt;R</v>
          </cell>
          <cell r="J335" t="str">
            <v>No</v>
          </cell>
          <cell r="K335">
            <v>1</v>
          </cell>
          <cell r="L335">
            <v>109279</v>
          </cell>
          <cell r="M335" t="str">
            <v>DEC 18</v>
          </cell>
          <cell r="O335">
            <v>11116241</v>
          </cell>
          <cell r="P335">
            <v>12500000</v>
          </cell>
          <cell r="Q335">
            <v>43435</v>
          </cell>
          <cell r="R335" t="str">
            <v>No</v>
          </cell>
          <cell r="S335" t="str">
            <v>C49</v>
          </cell>
          <cell r="T335" t="str">
            <v>SOUTH</v>
          </cell>
          <cell r="U335" t="str">
            <v>深圳</v>
          </cell>
          <cell r="V335" t="str">
            <v>SZ 深圳</v>
          </cell>
          <cell r="W335" t="str">
            <v>ZX</v>
          </cell>
          <cell r="X335" t="str">
            <v>JPY</v>
          </cell>
          <cell r="Y335">
            <v>12500000</v>
          </cell>
          <cell r="Z335">
            <v>1</v>
          </cell>
          <cell r="AA335">
            <v>12500000</v>
          </cell>
          <cell r="AB335">
            <v>7.0699999999999999E-2</v>
          </cell>
          <cell r="AC335">
            <v>883750</v>
          </cell>
          <cell r="AD335">
            <v>106050</v>
          </cell>
          <cell r="AE335">
            <v>0.12</v>
          </cell>
          <cell r="AF335">
            <v>43425</v>
          </cell>
          <cell r="AG335" t="str">
            <v>DAP深圳</v>
          </cell>
          <cell r="AH335"/>
          <cell r="AI335"/>
          <cell r="AJ335"/>
          <cell r="AK335">
            <v>0.2</v>
          </cell>
          <cell r="AL335">
            <v>2500000</v>
          </cell>
          <cell r="AM335">
            <v>43405</v>
          </cell>
          <cell r="AN335" t="str">
            <v>Yes</v>
          </cell>
          <cell r="AO335">
            <v>0.8</v>
          </cell>
          <cell r="AP335">
            <v>10000000</v>
          </cell>
          <cell r="AQ335">
            <v>43435</v>
          </cell>
          <cell r="AR335">
            <v>43445</v>
          </cell>
          <cell r="AS335" t="str">
            <v>complete</v>
          </cell>
          <cell r="AT335" t="e">
            <v>#VALUE!</v>
          </cell>
          <cell r="AV335"/>
          <cell r="AW335"/>
          <cell r="AX335" t="str">
            <v>Yes</v>
          </cell>
          <cell r="AY335"/>
          <cell r="BA335" t="str">
            <v>Yes</v>
          </cell>
        </row>
        <row r="336">
          <cell r="B336">
            <v>183</v>
          </cell>
          <cell r="C336" t="str">
            <v>C49SZX20180176SX</v>
          </cell>
          <cell r="D336" t="str">
            <v>柏星</v>
          </cell>
          <cell r="E336" t="str">
            <v>YSM20R(SV)-2</v>
          </cell>
          <cell r="F336" t="str">
            <v>#03362</v>
          </cell>
          <cell r="G336" t="e">
            <v>#REF!</v>
          </cell>
          <cell r="H336" t="e">
            <v>#REF!</v>
          </cell>
          <cell r="I336" t="str">
            <v>R-&gt;L</v>
          </cell>
          <cell r="J336" t="str">
            <v>MVC</v>
          </cell>
          <cell r="K336">
            <v>1</v>
          </cell>
          <cell r="L336">
            <v>109490</v>
          </cell>
          <cell r="M336" t="str">
            <v>FEB 19</v>
          </cell>
          <cell r="O336">
            <v>11116255</v>
          </cell>
          <cell r="P336">
            <v>16151975</v>
          </cell>
          <cell r="Q336">
            <v>43497</v>
          </cell>
          <cell r="R336" t="str">
            <v>Yes</v>
          </cell>
          <cell r="S336" t="str">
            <v>C49</v>
          </cell>
          <cell r="T336" t="str">
            <v>SOUTH</v>
          </cell>
          <cell r="U336" t="str">
            <v>東莞</v>
          </cell>
          <cell r="V336" t="str">
            <v>SZ 深圳</v>
          </cell>
          <cell r="W336" t="str">
            <v>SX</v>
          </cell>
          <cell r="X336" t="str">
            <v>JPY</v>
          </cell>
          <cell r="Y336">
            <v>16151975</v>
          </cell>
          <cell r="Z336">
            <v>1</v>
          </cell>
          <cell r="AA336">
            <v>16151975</v>
          </cell>
          <cell r="AB336">
            <v>7.0699999999999999E-2</v>
          </cell>
          <cell r="AC336">
            <v>1141944.6325000001</v>
          </cell>
          <cell r="AD336">
            <v>137033.3559</v>
          </cell>
          <cell r="AE336">
            <v>0.12</v>
          </cell>
          <cell r="AF336">
            <v>43425</v>
          </cell>
          <cell r="AG336" t="str">
            <v>DAP东莞</v>
          </cell>
          <cell r="AH336"/>
          <cell r="AI336"/>
          <cell r="AJ336"/>
          <cell r="AK336">
            <v>0.1</v>
          </cell>
          <cell r="AL336">
            <v>1615197.5</v>
          </cell>
          <cell r="AM336">
            <v>43405</v>
          </cell>
          <cell r="AN336" t="str">
            <v>Yes</v>
          </cell>
          <cell r="AO336">
            <v>0.1</v>
          </cell>
          <cell r="AP336">
            <v>1615197.5</v>
          </cell>
          <cell r="AQ336">
            <v>43497</v>
          </cell>
          <cell r="AR336">
            <v>43521</v>
          </cell>
          <cell r="AS336">
            <v>0.8</v>
          </cell>
          <cell r="AT336">
            <v>12921580</v>
          </cell>
          <cell r="AU336">
            <v>43497</v>
          </cell>
          <cell r="AV336">
            <v>43524</v>
          </cell>
          <cell r="AW336" t="str">
            <v>complete</v>
          </cell>
          <cell r="AX336" t="str">
            <v>Yes</v>
          </cell>
          <cell r="AY336"/>
          <cell r="AZ336" t="str">
            <v>Y</v>
          </cell>
          <cell r="BA336" t="str">
            <v>Yes</v>
          </cell>
        </row>
        <row r="337">
          <cell r="B337">
            <v>184</v>
          </cell>
          <cell r="C337" t="str">
            <v>C49SZX20180175SX</v>
          </cell>
          <cell r="D337" t="str">
            <v>永顺创</v>
          </cell>
          <cell r="E337" t="str">
            <v>YSM20R(SV)-2</v>
          </cell>
          <cell r="F337" t="str">
            <v>#81385</v>
          </cell>
          <cell r="G337" t="e">
            <v>#REF!</v>
          </cell>
          <cell r="H337" t="e">
            <v>#REF!</v>
          </cell>
          <cell r="I337" t="str">
            <v>L-&gt;R</v>
          </cell>
          <cell r="J337" t="str">
            <v>MVC</v>
          </cell>
          <cell r="K337">
            <v>1</v>
          </cell>
          <cell r="L337">
            <v>109220</v>
          </cell>
          <cell r="M337" t="str">
            <v>MAR 19</v>
          </cell>
          <cell r="O337">
            <v>11116259</v>
          </cell>
          <cell r="P337">
            <v>14483672.5</v>
          </cell>
          <cell r="Q337">
            <v>43525</v>
          </cell>
          <cell r="R337" t="str">
            <v>No</v>
          </cell>
          <cell r="S337" t="str">
            <v>C49</v>
          </cell>
          <cell r="T337" t="str">
            <v>SOUTH</v>
          </cell>
          <cell r="U337" t="str">
            <v>深圳</v>
          </cell>
          <cell r="V337" t="str">
            <v>SZ 深圳</v>
          </cell>
          <cell r="W337" t="str">
            <v>SX</v>
          </cell>
          <cell r="X337" t="str">
            <v>JPY</v>
          </cell>
          <cell r="Y337">
            <v>14483672.5</v>
          </cell>
          <cell r="Z337">
            <v>1</v>
          </cell>
          <cell r="AA337">
            <v>14483672.5</v>
          </cell>
          <cell r="AB337">
            <v>7.0699999999999999E-2</v>
          </cell>
          <cell r="AC337">
            <v>1023995.64575</v>
          </cell>
          <cell r="AD337">
            <v>122879.47749</v>
          </cell>
          <cell r="AE337">
            <v>0.12</v>
          </cell>
          <cell r="AF337">
            <v>43425</v>
          </cell>
          <cell r="AG337" t="str">
            <v>DAP深圳</v>
          </cell>
          <cell r="AH337"/>
          <cell r="AI337"/>
          <cell r="AJ337"/>
          <cell r="AK337">
            <v>0.1</v>
          </cell>
          <cell r="AL337">
            <v>1448367.25</v>
          </cell>
          <cell r="AM337">
            <v>43405</v>
          </cell>
          <cell r="AN337" t="str">
            <v>Yes</v>
          </cell>
          <cell r="AO337">
            <v>0.1</v>
          </cell>
          <cell r="AP337">
            <v>1448367.25</v>
          </cell>
          <cell r="AQ337">
            <v>43497</v>
          </cell>
          <cell r="AR337"/>
          <cell r="AS337">
            <v>0.8</v>
          </cell>
          <cell r="AT337">
            <v>11586938</v>
          </cell>
          <cell r="AU337">
            <v>43525</v>
          </cell>
          <cell r="AV337">
            <v>43531</v>
          </cell>
          <cell r="AW337" t="str">
            <v>complete</v>
          </cell>
          <cell r="AX337" t="str">
            <v>Yes</v>
          </cell>
          <cell r="AY337"/>
          <cell r="AZ337" t="str">
            <v>Y</v>
          </cell>
          <cell r="BA337" t="str">
            <v>Yes</v>
          </cell>
        </row>
        <row r="338">
          <cell r="B338">
            <v>185</v>
          </cell>
          <cell r="C338" t="str">
            <v>C49SZX20180175SX</v>
          </cell>
          <cell r="D338" t="str">
            <v>永顺创</v>
          </cell>
          <cell r="E338" t="str">
            <v>YSM20R(SV)-2</v>
          </cell>
          <cell r="F338" t="str">
            <v>#81385</v>
          </cell>
          <cell r="G338" t="e">
            <v>#REF!</v>
          </cell>
          <cell r="H338" t="e">
            <v>#REF!</v>
          </cell>
          <cell r="I338" t="str">
            <v>L-&gt;R</v>
          </cell>
          <cell r="J338" t="str">
            <v>MVC</v>
          </cell>
          <cell r="K338">
            <v>1</v>
          </cell>
          <cell r="L338">
            <v>109220</v>
          </cell>
          <cell r="M338" t="str">
            <v>MAR 19</v>
          </cell>
          <cell r="O338">
            <v>11116259</v>
          </cell>
          <cell r="P338">
            <v>14483672.5</v>
          </cell>
          <cell r="Q338">
            <v>43525</v>
          </cell>
          <cell r="R338" t="str">
            <v>No</v>
          </cell>
          <cell r="S338" t="str">
            <v>C49</v>
          </cell>
          <cell r="T338" t="str">
            <v>SOUTH</v>
          </cell>
          <cell r="U338" t="str">
            <v>深圳</v>
          </cell>
          <cell r="V338" t="str">
            <v>SZ 深圳</v>
          </cell>
          <cell r="W338" t="str">
            <v>SX</v>
          </cell>
          <cell r="X338" t="str">
            <v>JPY</v>
          </cell>
          <cell r="Y338">
            <v>14483672.5</v>
          </cell>
          <cell r="Z338">
            <v>1</v>
          </cell>
          <cell r="AA338">
            <v>14483672.5</v>
          </cell>
          <cell r="AB338">
            <v>7.0699999999999999E-2</v>
          </cell>
          <cell r="AC338">
            <v>1023995.64575</v>
          </cell>
          <cell r="AD338">
            <v>122879.47749</v>
          </cell>
          <cell r="AE338">
            <v>0.12</v>
          </cell>
          <cell r="AF338">
            <v>43425</v>
          </cell>
          <cell r="AG338" t="str">
            <v>DAP深圳</v>
          </cell>
          <cell r="AH338"/>
          <cell r="AI338"/>
          <cell r="AJ338"/>
          <cell r="AK338">
            <v>0.1</v>
          </cell>
          <cell r="AL338">
            <v>1448367.25</v>
          </cell>
          <cell r="AM338">
            <v>43405</v>
          </cell>
          <cell r="AN338" t="str">
            <v>Yes</v>
          </cell>
          <cell r="AO338">
            <v>0.1</v>
          </cell>
          <cell r="AP338">
            <v>1448367.25</v>
          </cell>
          <cell r="AQ338">
            <v>43497</v>
          </cell>
          <cell r="AR338"/>
          <cell r="AS338">
            <v>0.8</v>
          </cell>
          <cell r="AT338">
            <v>11586938</v>
          </cell>
          <cell r="AU338">
            <v>43525</v>
          </cell>
          <cell r="AV338">
            <v>43531</v>
          </cell>
          <cell r="AW338" t="str">
            <v>complete</v>
          </cell>
          <cell r="AX338" t="str">
            <v>Yes</v>
          </cell>
          <cell r="AY338"/>
          <cell r="AZ338" t="str">
            <v>Y</v>
          </cell>
          <cell r="BA338" t="str">
            <v>Yes</v>
          </cell>
        </row>
        <row r="339">
          <cell r="B339">
            <v>186</v>
          </cell>
          <cell r="C339" t="str">
            <v>C49SZX20180180ZX</v>
          </cell>
          <cell r="D339" t="str">
            <v>世达威</v>
          </cell>
          <cell r="E339" t="str">
            <v>YSM10</v>
          </cell>
          <cell r="F339" t="str">
            <v>NA</v>
          </cell>
          <cell r="G339" t="e">
            <v>#REF!</v>
          </cell>
          <cell r="H339" t="e">
            <v>#REF!</v>
          </cell>
          <cell r="I339" t="str">
            <v>L-&gt;R</v>
          </cell>
          <cell r="J339" t="str">
            <v>MVC</v>
          </cell>
          <cell r="K339">
            <v>1</v>
          </cell>
          <cell r="L339">
            <v>109238</v>
          </cell>
          <cell r="M339" t="str">
            <v>DEC 18</v>
          </cell>
          <cell r="O339">
            <v>11116236</v>
          </cell>
          <cell r="P339">
            <v>10000000</v>
          </cell>
          <cell r="Q339">
            <v>43435</v>
          </cell>
          <cell r="R339" t="str">
            <v>No</v>
          </cell>
          <cell r="S339" t="str">
            <v>C49</v>
          </cell>
          <cell r="T339" t="str">
            <v>SOUTH</v>
          </cell>
          <cell r="U339" t="str">
            <v>深圳</v>
          </cell>
          <cell r="V339" t="str">
            <v>SZ 深圳</v>
          </cell>
          <cell r="W339" t="str">
            <v>ZX</v>
          </cell>
          <cell r="X339" t="str">
            <v>JPY</v>
          </cell>
          <cell r="Y339">
            <v>10000000</v>
          </cell>
          <cell r="Z339">
            <v>1</v>
          </cell>
          <cell r="AA339">
            <v>10000000</v>
          </cell>
          <cell r="AB339">
            <v>7.0699999999999999E-2</v>
          </cell>
          <cell r="AC339">
            <v>707000</v>
          </cell>
          <cell r="AD339">
            <v>84840</v>
          </cell>
          <cell r="AE339">
            <v>0.12</v>
          </cell>
          <cell r="AF339">
            <v>43431</v>
          </cell>
          <cell r="AG339" t="str">
            <v>DAP深圳</v>
          </cell>
          <cell r="AH339"/>
          <cell r="AI339"/>
          <cell r="AJ339"/>
          <cell r="AK339">
            <v>0.2</v>
          </cell>
          <cell r="AL339">
            <v>2000000</v>
          </cell>
          <cell r="AM339">
            <v>43405</v>
          </cell>
          <cell r="AN339" t="str">
            <v>Yes</v>
          </cell>
          <cell r="AO339">
            <v>0.8</v>
          </cell>
          <cell r="AP339">
            <v>8000000</v>
          </cell>
          <cell r="AQ339">
            <v>43435</v>
          </cell>
          <cell r="AR339">
            <v>43438</v>
          </cell>
          <cell r="AS339" t="str">
            <v>complete</v>
          </cell>
          <cell r="AT339" t="e">
            <v>#VALUE!</v>
          </cell>
          <cell r="AV339"/>
          <cell r="AW339"/>
          <cell r="AX339" t="str">
            <v>Yes</v>
          </cell>
          <cell r="AY339"/>
          <cell r="BA339" t="str">
            <v>Yes</v>
          </cell>
        </row>
        <row r="340">
          <cell r="B340">
            <v>187</v>
          </cell>
          <cell r="C340" t="str">
            <v>C49SZX20180161RY</v>
          </cell>
          <cell r="D340" t="str">
            <v>恩圣</v>
          </cell>
          <cell r="E340" t="str">
            <v>YSM10</v>
          </cell>
          <cell r="F340" t="str">
            <v>NA</v>
          </cell>
          <cell r="G340" t="e">
            <v>#REF!</v>
          </cell>
          <cell r="H340" t="e">
            <v>#REF!</v>
          </cell>
          <cell r="I340" t="str">
            <v>L-&gt;R</v>
          </cell>
          <cell r="J340" t="str">
            <v>No</v>
          </cell>
          <cell r="K340">
            <v>1</v>
          </cell>
          <cell r="L340">
            <v>109360</v>
          </cell>
          <cell r="M340" t="str">
            <v>FEB 19</v>
          </cell>
          <cell r="O340">
            <v>11116252</v>
          </cell>
          <cell r="P340">
            <v>9766000</v>
          </cell>
          <cell r="Q340">
            <v>43497</v>
          </cell>
          <cell r="R340" t="str">
            <v>Yes</v>
          </cell>
          <cell r="S340" t="str">
            <v>C49</v>
          </cell>
          <cell r="T340" t="str">
            <v>SOUTH</v>
          </cell>
          <cell r="U340" t="str">
            <v>東莞</v>
          </cell>
          <cell r="V340" t="str">
            <v>SZ 深圳</v>
          </cell>
          <cell r="W340" t="str">
            <v>RY</v>
          </cell>
          <cell r="X340" t="str">
            <v>JPY</v>
          </cell>
          <cell r="Y340">
            <v>9766000</v>
          </cell>
          <cell r="Z340">
            <v>1</v>
          </cell>
          <cell r="AA340">
            <v>9766000</v>
          </cell>
          <cell r="AB340">
            <v>7.0400000000000004E-2</v>
          </cell>
          <cell r="AC340">
            <v>687526.40000000002</v>
          </cell>
          <cell r="AD340">
            <v>82503.168000000005</v>
          </cell>
          <cell r="AE340">
            <v>0.12</v>
          </cell>
          <cell r="AF340">
            <v>43445</v>
          </cell>
          <cell r="AG340" t="str">
            <v>DAP深圳</v>
          </cell>
          <cell r="AH340"/>
          <cell r="AI340">
            <v>20000</v>
          </cell>
          <cell r="AJ340">
            <v>43446</v>
          </cell>
          <cell r="AK340">
            <v>0.2</v>
          </cell>
          <cell r="AL340">
            <v>1953200</v>
          </cell>
          <cell r="AM340">
            <v>43435</v>
          </cell>
          <cell r="AN340" t="str">
            <v>Yes</v>
          </cell>
          <cell r="AO340">
            <v>0.8</v>
          </cell>
          <cell r="AP340">
            <v>7812800</v>
          </cell>
          <cell r="AQ340">
            <v>43497</v>
          </cell>
          <cell r="AR340">
            <v>43521</v>
          </cell>
          <cell r="AS340" t="str">
            <v>complete</v>
          </cell>
          <cell r="AT340"/>
          <cell r="AV340"/>
          <cell r="AW340"/>
          <cell r="AX340" t="str">
            <v>Yes</v>
          </cell>
          <cell r="AY340"/>
          <cell r="AZ340" t="str">
            <v>Y</v>
          </cell>
          <cell r="BA340" t="str">
            <v>Yes</v>
          </cell>
        </row>
        <row r="341">
          <cell r="B341">
            <v>189</v>
          </cell>
          <cell r="C341" t="str">
            <v>C49SZX20180185ZX</v>
          </cell>
          <cell r="D341" t="str">
            <v>美斯特</v>
          </cell>
          <cell r="E341" t="str">
            <v>YSM20R(SV)-2</v>
          </cell>
          <cell r="F341" t="str">
            <v>NA</v>
          </cell>
          <cell r="G341" t="e">
            <v>#REF!</v>
          </cell>
          <cell r="H341" t="e">
            <v>#REF!</v>
          </cell>
          <cell r="I341" t="str">
            <v>L-&gt;R</v>
          </cell>
          <cell r="J341" t="str">
            <v>No</v>
          </cell>
          <cell r="K341">
            <v>1</v>
          </cell>
          <cell r="L341">
            <v>109443</v>
          </cell>
          <cell r="M341" t="str">
            <v>FEB 19</v>
          </cell>
          <cell r="O341">
            <v>11100285</v>
          </cell>
          <cell r="P341">
            <v>1000000</v>
          </cell>
          <cell r="Q341">
            <v>43497</v>
          </cell>
          <cell r="R341" t="str">
            <v>No</v>
          </cell>
          <cell r="S341" t="str">
            <v>C49</v>
          </cell>
          <cell r="T341" t="str">
            <v>SOUTH</v>
          </cell>
          <cell r="U341" t="str">
            <v>深圳</v>
          </cell>
          <cell r="V341" t="str">
            <v>SZ 深圳</v>
          </cell>
          <cell r="W341" t="str">
            <v>ZX</v>
          </cell>
          <cell r="X341" t="str">
            <v>RMB</v>
          </cell>
          <cell r="Y341">
            <v>1000000</v>
          </cell>
          <cell r="Z341">
            <v>1.1599999999999999</v>
          </cell>
          <cell r="AA341">
            <v>1000000</v>
          </cell>
          <cell r="AB341">
            <v>1.125</v>
          </cell>
          <cell r="AC341">
            <v>969827.58620689658</v>
          </cell>
          <cell r="AD341">
            <v>116379.31034482758</v>
          </cell>
          <cell r="AE341">
            <v>0.12</v>
          </cell>
          <cell r="AF341">
            <v>43456</v>
          </cell>
          <cell r="AG341" t="str">
            <v>含税到厂</v>
          </cell>
          <cell r="AH341" t="str">
            <v>电梯</v>
          </cell>
          <cell r="AI341">
            <v>300000</v>
          </cell>
          <cell r="AJ341">
            <v>43461</v>
          </cell>
          <cell r="AK341">
            <v>0.3</v>
          </cell>
          <cell r="AL341">
            <v>300000</v>
          </cell>
          <cell r="AN341" t="str">
            <v>Yes</v>
          </cell>
          <cell r="AO341">
            <v>0.7</v>
          </cell>
          <cell r="AP341">
            <v>700000</v>
          </cell>
          <cell r="AQ341">
            <v>43497</v>
          </cell>
          <cell r="AR341">
            <v>43521</v>
          </cell>
          <cell r="AS341" t="str">
            <v>complete</v>
          </cell>
          <cell r="AT341"/>
          <cell r="AV341"/>
          <cell r="AW341"/>
          <cell r="AX341" t="str">
            <v>Yes</v>
          </cell>
          <cell r="AY341"/>
          <cell r="AZ341" t="str">
            <v>Y</v>
          </cell>
          <cell r="BA341" t="str">
            <v>Yes</v>
          </cell>
        </row>
        <row r="342">
          <cell r="B342">
            <v>190</v>
          </cell>
          <cell r="C342" t="str">
            <v>C49SZX20180183RW</v>
          </cell>
          <cell r="D342" t="str">
            <v>富斯迈</v>
          </cell>
          <cell r="E342" t="str">
            <v>YSM20R(SV)-2</v>
          </cell>
          <cell r="F342" t="str">
            <v>NA</v>
          </cell>
          <cell r="G342" t="e">
            <v>#REF!</v>
          </cell>
          <cell r="H342" t="e">
            <v>#REF!</v>
          </cell>
          <cell r="I342" t="str">
            <v>L-&gt;R</v>
          </cell>
          <cell r="J342" t="str">
            <v>cATS10+MVC+special layout</v>
          </cell>
          <cell r="K342">
            <v>1</v>
          </cell>
          <cell r="L342" t="str">
            <v>取消</v>
          </cell>
          <cell r="M342" t="e">
            <v>#N/A</v>
          </cell>
          <cell r="N342"/>
          <cell r="O342"/>
          <cell r="P342"/>
          <cell r="Q342"/>
          <cell r="R342" t="str">
            <v>No</v>
          </cell>
          <cell r="S342" t="str">
            <v>C49</v>
          </cell>
          <cell r="T342" t="str">
            <v>SOUTH</v>
          </cell>
          <cell r="U342" t="str">
            <v>深圳</v>
          </cell>
          <cell r="V342" t="str">
            <v>SZ 深圳</v>
          </cell>
          <cell r="W342" t="str">
            <v>RW</v>
          </cell>
          <cell r="X342" t="str">
            <v>JPY</v>
          </cell>
          <cell r="Y342">
            <v>12500000</v>
          </cell>
          <cell r="Z342">
            <v>1</v>
          </cell>
          <cell r="AA342">
            <v>12500000</v>
          </cell>
          <cell r="AB342">
            <v>1.125</v>
          </cell>
          <cell r="AC342">
            <v>14062500</v>
          </cell>
          <cell r="AD342">
            <v>1687500</v>
          </cell>
          <cell r="AE342">
            <v>0.12</v>
          </cell>
          <cell r="AF342">
            <v>43467</v>
          </cell>
          <cell r="AG342" t="str">
            <v>CIF</v>
          </cell>
          <cell r="AH342"/>
          <cell r="AI342"/>
          <cell r="AJ342"/>
          <cell r="AK342">
            <v>0.3</v>
          </cell>
          <cell r="AL342">
            <v>3750000</v>
          </cell>
          <cell r="AM342"/>
          <cell r="AN342" t="str">
            <v>No</v>
          </cell>
          <cell r="AO342">
            <v>0.7</v>
          </cell>
          <cell r="AP342">
            <v>8750000</v>
          </cell>
          <cell r="AQ342"/>
          <cell r="AR342"/>
          <cell r="AS342"/>
          <cell r="AT342">
            <v>0</v>
          </cell>
          <cell r="AV342"/>
          <cell r="AW342"/>
          <cell r="AX342" t="str">
            <v>Cancel</v>
          </cell>
          <cell r="AY342"/>
          <cell r="AZ342"/>
          <cell r="BA342" t="str">
            <v>Cancel</v>
          </cell>
        </row>
        <row r="343">
          <cell r="B343">
            <v>191</v>
          </cell>
          <cell r="C343" t="str">
            <v>C49SZX20180183RW</v>
          </cell>
          <cell r="D343" t="str">
            <v>富斯迈</v>
          </cell>
          <cell r="E343" t="str">
            <v>YSM20R(SV)-2</v>
          </cell>
          <cell r="F343" t="str">
            <v>NA</v>
          </cell>
          <cell r="G343" t="e">
            <v>#REF!</v>
          </cell>
          <cell r="H343" t="e">
            <v>#REF!</v>
          </cell>
          <cell r="I343" t="str">
            <v>L-&gt;R</v>
          </cell>
          <cell r="J343" t="str">
            <v>MVC</v>
          </cell>
          <cell r="K343">
            <v>1</v>
          </cell>
          <cell r="L343" t="str">
            <v>取消</v>
          </cell>
          <cell r="M343" t="e">
            <v>#N/A</v>
          </cell>
          <cell r="N343"/>
          <cell r="O343"/>
          <cell r="P343"/>
          <cell r="Q343"/>
          <cell r="R343" t="str">
            <v>No</v>
          </cell>
          <cell r="S343" t="str">
            <v>C49</v>
          </cell>
          <cell r="T343" t="str">
            <v>SOUTH</v>
          </cell>
          <cell r="U343" t="str">
            <v>深圳</v>
          </cell>
          <cell r="V343" t="str">
            <v>SZ 深圳</v>
          </cell>
          <cell r="W343" t="str">
            <v>RW</v>
          </cell>
          <cell r="X343" t="str">
            <v>JPY</v>
          </cell>
          <cell r="Y343">
            <v>12500000</v>
          </cell>
          <cell r="Z343">
            <v>1</v>
          </cell>
          <cell r="AA343">
            <v>12500000</v>
          </cell>
          <cell r="AB343">
            <v>1.125</v>
          </cell>
          <cell r="AC343">
            <v>14062500</v>
          </cell>
          <cell r="AD343">
            <v>1687500</v>
          </cell>
          <cell r="AE343">
            <v>0.12</v>
          </cell>
          <cell r="AF343">
            <v>43467</v>
          </cell>
          <cell r="AG343" t="str">
            <v>CIF</v>
          </cell>
          <cell r="AH343"/>
          <cell r="AI343"/>
          <cell r="AJ343"/>
          <cell r="AK343">
            <v>0.3</v>
          </cell>
          <cell r="AL343">
            <v>3750000</v>
          </cell>
          <cell r="AM343"/>
          <cell r="AN343" t="str">
            <v>No</v>
          </cell>
          <cell r="AO343">
            <v>0.7</v>
          </cell>
          <cell r="AP343">
            <v>8750000</v>
          </cell>
          <cell r="AQ343"/>
          <cell r="AR343"/>
          <cell r="AS343"/>
          <cell r="AT343">
            <v>0</v>
          </cell>
          <cell r="AV343"/>
          <cell r="AW343"/>
          <cell r="AX343" t="str">
            <v>Cancel</v>
          </cell>
          <cell r="AY343"/>
          <cell r="AZ343"/>
          <cell r="BA343" t="str">
            <v>Cancel</v>
          </cell>
        </row>
        <row r="344">
          <cell r="B344">
            <v>192</v>
          </cell>
          <cell r="C344" t="str">
            <v>C49SZX20180184RW</v>
          </cell>
          <cell r="D344" t="str">
            <v>富斯迈</v>
          </cell>
          <cell r="E344" t="str">
            <v>YSM20R(SV)-2</v>
          </cell>
          <cell r="F344" t="str">
            <v>NA</v>
          </cell>
          <cell r="G344" t="e">
            <v>#REF!</v>
          </cell>
          <cell r="H344" t="e">
            <v>#REF!</v>
          </cell>
          <cell r="I344" t="str">
            <v>L-&gt;R</v>
          </cell>
          <cell r="J344" t="str">
            <v>cATS10+MVC+special layout</v>
          </cell>
          <cell r="K344">
            <v>1</v>
          </cell>
          <cell r="L344" t="str">
            <v>取消</v>
          </cell>
          <cell r="M344" t="e">
            <v>#N/A</v>
          </cell>
          <cell r="O344"/>
          <cell r="P344"/>
          <cell r="Q344"/>
          <cell r="R344" t="str">
            <v>No</v>
          </cell>
          <cell r="S344" t="str">
            <v>C49</v>
          </cell>
          <cell r="T344" t="str">
            <v>SOUTH</v>
          </cell>
          <cell r="U344" t="str">
            <v>深圳</v>
          </cell>
          <cell r="V344" t="str">
            <v>SZ 深圳</v>
          </cell>
          <cell r="W344" t="str">
            <v>RW</v>
          </cell>
          <cell r="X344" t="str">
            <v>JPY</v>
          </cell>
          <cell r="Y344">
            <v>12500000</v>
          </cell>
          <cell r="Z344">
            <v>1</v>
          </cell>
          <cell r="AA344">
            <v>12500000</v>
          </cell>
          <cell r="AB344">
            <v>1.125</v>
          </cell>
          <cell r="AC344">
            <v>14062500</v>
          </cell>
          <cell r="AD344">
            <v>1687500</v>
          </cell>
          <cell r="AE344">
            <v>0.12</v>
          </cell>
          <cell r="AF344">
            <v>43467</v>
          </cell>
          <cell r="AG344" t="str">
            <v>CIF</v>
          </cell>
          <cell r="AH344"/>
          <cell r="AI344"/>
          <cell r="AJ344"/>
          <cell r="AK344">
            <v>0.3</v>
          </cell>
          <cell r="AL344">
            <v>3750000</v>
          </cell>
          <cell r="AM344"/>
          <cell r="AN344" t="str">
            <v>No</v>
          </cell>
          <cell r="AO344">
            <v>0.7</v>
          </cell>
          <cell r="AP344">
            <v>8750000</v>
          </cell>
          <cell r="AQ344"/>
          <cell r="AR344"/>
          <cell r="AT344">
            <v>0</v>
          </cell>
          <cell r="AU344"/>
          <cell r="AV344"/>
          <cell r="AW344"/>
          <cell r="AX344" t="str">
            <v>Cancel</v>
          </cell>
          <cell r="AY344"/>
          <cell r="AZ344"/>
          <cell r="BA344" t="str">
            <v>Cancel</v>
          </cell>
        </row>
        <row r="345">
          <cell r="B345">
            <v>193</v>
          </cell>
          <cell r="C345" t="str">
            <v>C49SZX20180184RW</v>
          </cell>
          <cell r="D345" t="str">
            <v>富斯迈</v>
          </cell>
          <cell r="E345" t="str">
            <v>YSM20R(SV)-2</v>
          </cell>
          <cell r="F345" t="str">
            <v>NA</v>
          </cell>
          <cell r="G345" t="e">
            <v>#REF!</v>
          </cell>
          <cell r="H345" t="e">
            <v>#REF!</v>
          </cell>
          <cell r="I345" t="str">
            <v>L-&gt;R</v>
          </cell>
          <cell r="J345" t="str">
            <v>cATS10+MVC+special layout</v>
          </cell>
          <cell r="K345">
            <v>1</v>
          </cell>
          <cell r="L345" t="str">
            <v>取消</v>
          </cell>
          <cell r="M345" t="e">
            <v>#N/A</v>
          </cell>
          <cell r="O345"/>
          <cell r="P345"/>
          <cell r="Q345"/>
          <cell r="R345" t="str">
            <v>No</v>
          </cell>
          <cell r="S345" t="str">
            <v>C49</v>
          </cell>
          <cell r="T345" t="str">
            <v>SOUTH</v>
          </cell>
          <cell r="U345" t="str">
            <v>深圳</v>
          </cell>
          <cell r="V345" t="str">
            <v>SZ 深圳</v>
          </cell>
          <cell r="W345" t="str">
            <v>RW</v>
          </cell>
          <cell r="X345" t="str">
            <v>JPY</v>
          </cell>
          <cell r="Y345">
            <v>12500000</v>
          </cell>
          <cell r="Z345">
            <v>1</v>
          </cell>
          <cell r="AA345">
            <v>12500000</v>
          </cell>
          <cell r="AB345">
            <v>1.125</v>
          </cell>
          <cell r="AC345">
            <v>14062500</v>
          </cell>
          <cell r="AD345">
            <v>1687500</v>
          </cell>
          <cell r="AE345">
            <v>0.12</v>
          </cell>
          <cell r="AF345">
            <v>43467</v>
          </cell>
          <cell r="AG345" t="str">
            <v>CIF</v>
          </cell>
          <cell r="AH345"/>
          <cell r="AI345"/>
          <cell r="AJ345"/>
          <cell r="AK345">
            <v>0.3</v>
          </cell>
          <cell r="AL345">
            <v>3750000</v>
          </cell>
          <cell r="AM345"/>
          <cell r="AN345" t="str">
            <v>No</v>
          </cell>
          <cell r="AO345">
            <v>0.7</v>
          </cell>
          <cell r="AP345">
            <v>8750000</v>
          </cell>
          <cell r="AQ345"/>
          <cell r="AR345"/>
          <cell r="AT345">
            <v>0</v>
          </cell>
          <cell r="AU345"/>
          <cell r="AV345"/>
          <cell r="AW345"/>
          <cell r="AX345" t="str">
            <v>Cancel</v>
          </cell>
          <cell r="AY345"/>
          <cell r="AZ345"/>
          <cell r="BA345" t="str">
            <v>Cancel</v>
          </cell>
        </row>
        <row r="346">
          <cell r="B346">
            <v>194</v>
          </cell>
          <cell r="C346" t="str">
            <v>C49SZX20180184RW</v>
          </cell>
          <cell r="D346" t="str">
            <v>富斯迈</v>
          </cell>
          <cell r="E346" t="str">
            <v>YSM20R(SV)-2</v>
          </cell>
          <cell r="F346" t="str">
            <v>NA</v>
          </cell>
          <cell r="G346" t="e">
            <v>#REF!</v>
          </cell>
          <cell r="H346" t="e">
            <v>#REF!</v>
          </cell>
          <cell r="I346" t="str">
            <v>L-&gt;R</v>
          </cell>
          <cell r="J346" t="str">
            <v>MVC</v>
          </cell>
          <cell r="K346">
            <v>1</v>
          </cell>
          <cell r="L346" t="str">
            <v>取消</v>
          </cell>
          <cell r="M346" t="e">
            <v>#N/A</v>
          </cell>
          <cell r="O346"/>
          <cell r="P346"/>
          <cell r="Q346"/>
          <cell r="R346" t="str">
            <v>No</v>
          </cell>
          <cell r="S346" t="str">
            <v>C49</v>
          </cell>
          <cell r="T346" t="str">
            <v>SOUTH</v>
          </cell>
          <cell r="U346" t="str">
            <v>深圳</v>
          </cell>
          <cell r="V346" t="str">
            <v>SZ 深圳</v>
          </cell>
          <cell r="W346" t="str">
            <v>RW</v>
          </cell>
          <cell r="X346" t="str">
            <v>JPY</v>
          </cell>
          <cell r="Y346">
            <v>12500000</v>
          </cell>
          <cell r="Z346">
            <v>1</v>
          </cell>
          <cell r="AA346">
            <v>12500000</v>
          </cell>
          <cell r="AB346">
            <v>1.125</v>
          </cell>
          <cell r="AC346">
            <v>14062500</v>
          </cell>
          <cell r="AD346">
            <v>1687500</v>
          </cell>
          <cell r="AE346">
            <v>0.12</v>
          </cell>
          <cell r="AF346">
            <v>43467</v>
          </cell>
          <cell r="AG346" t="str">
            <v>CIF</v>
          </cell>
          <cell r="AH346"/>
          <cell r="AI346"/>
          <cell r="AJ346"/>
          <cell r="AK346">
            <v>0.3</v>
          </cell>
          <cell r="AL346">
            <v>3750000</v>
          </cell>
          <cell r="AM346"/>
          <cell r="AN346" t="str">
            <v>No</v>
          </cell>
          <cell r="AO346">
            <v>0.7</v>
          </cell>
          <cell r="AP346">
            <v>8750000</v>
          </cell>
          <cell r="AQ346"/>
          <cell r="AR346"/>
          <cell r="AT346">
            <v>0</v>
          </cell>
          <cell r="AU346"/>
          <cell r="AV346"/>
          <cell r="AW346"/>
          <cell r="AX346" t="str">
            <v>Cancel</v>
          </cell>
          <cell r="AY346"/>
          <cell r="AZ346"/>
          <cell r="BA346" t="str">
            <v>Cancel</v>
          </cell>
        </row>
        <row r="347">
          <cell r="B347">
            <v>195</v>
          </cell>
          <cell r="C347" t="str">
            <v>C49SZX20180184RW</v>
          </cell>
          <cell r="D347" t="str">
            <v>富斯迈</v>
          </cell>
          <cell r="E347" t="str">
            <v>YSM20R(SV)-2</v>
          </cell>
          <cell r="F347" t="str">
            <v>NA</v>
          </cell>
          <cell r="G347" t="e">
            <v>#REF!</v>
          </cell>
          <cell r="H347" t="e">
            <v>#REF!</v>
          </cell>
          <cell r="I347" t="str">
            <v>L-&gt;R</v>
          </cell>
          <cell r="J347" t="str">
            <v>MVC</v>
          </cell>
          <cell r="K347">
            <v>1</v>
          </cell>
          <cell r="L347" t="e">
            <v>#REF!</v>
          </cell>
          <cell r="M347" t="e">
            <v>#REF!</v>
          </cell>
          <cell r="O347"/>
          <cell r="P347"/>
          <cell r="Q347"/>
          <cell r="R347" t="str">
            <v>No</v>
          </cell>
          <cell r="S347" t="str">
            <v>C49</v>
          </cell>
          <cell r="T347" t="str">
            <v>SOUTH</v>
          </cell>
          <cell r="U347" t="str">
            <v>深圳</v>
          </cell>
          <cell r="V347" t="str">
            <v>SZ 深圳</v>
          </cell>
          <cell r="W347" t="str">
            <v>RW</v>
          </cell>
          <cell r="X347" t="str">
            <v>JPY</v>
          </cell>
          <cell r="Y347">
            <v>12500000</v>
          </cell>
          <cell r="Z347">
            <v>1</v>
          </cell>
          <cell r="AA347">
            <v>12500000</v>
          </cell>
          <cell r="AB347">
            <v>1.125</v>
          </cell>
          <cell r="AC347">
            <v>14062500</v>
          </cell>
          <cell r="AD347">
            <v>1687500</v>
          </cell>
          <cell r="AE347">
            <v>0.12</v>
          </cell>
          <cell r="AF347">
            <v>43467</v>
          </cell>
          <cell r="AG347" t="str">
            <v>CIF</v>
          </cell>
          <cell r="AH347"/>
          <cell r="AI347"/>
          <cell r="AJ347"/>
          <cell r="AK347">
            <v>0.3</v>
          </cell>
          <cell r="AL347">
            <v>3750000</v>
          </cell>
          <cell r="AM347"/>
          <cell r="AN347" t="str">
            <v>No</v>
          </cell>
          <cell r="AO347">
            <v>0.7</v>
          </cell>
          <cell r="AP347">
            <v>8750000</v>
          </cell>
          <cell r="AQ347"/>
          <cell r="AR347"/>
          <cell r="AT347">
            <v>0</v>
          </cell>
          <cell r="AU347"/>
          <cell r="AV347"/>
          <cell r="AW347"/>
          <cell r="AX347" t="str">
            <v>Cancel</v>
          </cell>
          <cell r="AY347"/>
          <cell r="AZ347"/>
          <cell r="BA347" t="str">
            <v>Cancel</v>
          </cell>
        </row>
        <row r="348">
          <cell r="B348">
            <v>196</v>
          </cell>
          <cell r="C348" t="str">
            <v>C49SZX20180177JL</v>
          </cell>
          <cell r="D348" t="str">
            <v>Tuopuai拓普艾</v>
          </cell>
          <cell r="E348" t="str">
            <v>YSM20R(SV)-2</v>
          </cell>
          <cell r="F348" t="str">
            <v>#58885</v>
          </cell>
          <cell r="G348" t="e">
            <v>#REF!</v>
          </cell>
          <cell r="H348" t="e">
            <v>#REF!</v>
          </cell>
          <cell r="I348" t="str">
            <v>L-&gt;R</v>
          </cell>
          <cell r="J348" t="str">
            <v>No</v>
          </cell>
          <cell r="K348">
            <v>1</v>
          </cell>
          <cell r="L348">
            <v>109478</v>
          </cell>
          <cell r="M348" t="str">
            <v>MAR 19</v>
          </cell>
          <cell r="O348">
            <v>11116263</v>
          </cell>
          <cell r="P348">
            <v>12260000</v>
          </cell>
          <cell r="Q348">
            <v>43525</v>
          </cell>
          <cell r="R348" t="str">
            <v>No</v>
          </cell>
          <cell r="S348" t="str">
            <v>C49</v>
          </cell>
          <cell r="T348" t="str">
            <v>SOUTH</v>
          </cell>
          <cell r="U348" t="str">
            <v>深圳</v>
          </cell>
          <cell r="V348" t="str">
            <v>SZ 深圳</v>
          </cell>
          <cell r="W348" t="str">
            <v>JL</v>
          </cell>
          <cell r="X348" t="str">
            <v>JPY</v>
          </cell>
          <cell r="Y348">
            <v>12260000</v>
          </cell>
          <cell r="Z348">
            <v>1</v>
          </cell>
          <cell r="AA348">
            <v>12260000</v>
          </cell>
          <cell r="AB348">
            <v>7.51E-2</v>
          </cell>
          <cell r="AC348">
            <v>920726</v>
          </cell>
          <cell r="AD348">
            <v>110487.12</v>
          </cell>
          <cell r="AE348">
            <v>0.12</v>
          </cell>
          <cell r="AF348">
            <v>43203</v>
          </cell>
          <cell r="AG348" t="str">
            <v>CIF</v>
          </cell>
          <cell r="AH348"/>
          <cell r="AI348">
            <v>700000</v>
          </cell>
          <cell r="AJ348">
            <v>43484</v>
          </cell>
          <cell r="AK348">
            <v>0.3</v>
          </cell>
          <cell r="AL348">
            <v>3678000</v>
          </cell>
          <cell r="AN348" t="str">
            <v>Yes</v>
          </cell>
          <cell r="AO348" t="str">
            <v>agree</v>
          </cell>
          <cell r="AP348">
            <v>12156000</v>
          </cell>
          <cell r="AQ348">
            <v>43525</v>
          </cell>
          <cell r="AR348">
            <v>43535</v>
          </cell>
          <cell r="AS348" t="str">
            <v>agree</v>
          </cell>
          <cell r="AT348">
            <v>28364000</v>
          </cell>
          <cell r="AU348">
            <v>43556</v>
          </cell>
          <cell r="AV348">
            <v>43585</v>
          </cell>
          <cell r="AW348"/>
          <cell r="AY348"/>
          <cell r="AZ348" t="str">
            <v>Y</v>
          </cell>
          <cell r="BA348" t="str">
            <v>Yes</v>
          </cell>
        </row>
        <row r="349">
          <cell r="B349">
            <v>197</v>
          </cell>
          <cell r="C349" t="str">
            <v>C49SZX20180177JL</v>
          </cell>
          <cell r="D349" t="str">
            <v>Tuopuai拓普艾</v>
          </cell>
          <cell r="E349" t="str">
            <v>YSM10</v>
          </cell>
          <cell r="F349" t="str">
            <v>#58885</v>
          </cell>
          <cell r="G349" t="e">
            <v>#REF!</v>
          </cell>
          <cell r="H349" t="e">
            <v>#REF!</v>
          </cell>
          <cell r="I349" t="str">
            <v>L-&gt;R</v>
          </cell>
          <cell r="J349" t="str">
            <v>MVC</v>
          </cell>
          <cell r="K349">
            <v>1</v>
          </cell>
          <cell r="L349">
            <v>109454</v>
          </cell>
          <cell r="M349" t="str">
            <v>MAR 19</v>
          </cell>
          <cell r="O349">
            <v>11116263</v>
          </cell>
          <cell r="P349">
            <v>8000000</v>
          </cell>
          <cell r="Q349">
            <v>43525</v>
          </cell>
          <cell r="R349" t="str">
            <v>No</v>
          </cell>
          <cell r="S349" t="str">
            <v>C49</v>
          </cell>
          <cell r="T349" t="str">
            <v>SOUTH</v>
          </cell>
          <cell r="U349" t="str">
            <v>深圳</v>
          </cell>
          <cell r="V349" t="str">
            <v>SZ 深圳</v>
          </cell>
          <cell r="W349" t="str">
            <v>JL</v>
          </cell>
          <cell r="X349" t="str">
            <v>JPY</v>
          </cell>
          <cell r="Y349">
            <v>8000000</v>
          </cell>
          <cell r="Z349">
            <v>1</v>
          </cell>
          <cell r="AA349">
            <v>8000000</v>
          </cell>
          <cell r="AB349">
            <v>7.51E-2</v>
          </cell>
          <cell r="AC349">
            <v>600800</v>
          </cell>
          <cell r="AD349">
            <v>72096</v>
          </cell>
          <cell r="AE349">
            <v>0.12</v>
          </cell>
          <cell r="AF349">
            <v>43203</v>
          </cell>
          <cell r="AG349" t="str">
            <v>CIF</v>
          </cell>
          <cell r="AH349"/>
          <cell r="AI349">
            <v>470000</v>
          </cell>
          <cell r="AJ349">
            <v>43536</v>
          </cell>
          <cell r="AK349">
            <v>0.3</v>
          </cell>
          <cell r="AL349">
            <v>2400000</v>
          </cell>
          <cell r="AN349" t="str">
            <v>Yes</v>
          </cell>
          <cell r="AO349"/>
          <cell r="AP349"/>
          <cell r="AR349"/>
          <cell r="AS349"/>
          <cell r="AT349">
            <v>0</v>
          </cell>
          <cell r="AV349"/>
          <cell r="AW349"/>
          <cell r="AY349"/>
          <cell r="AZ349" t="str">
            <v>Y</v>
          </cell>
          <cell r="BA349" t="str">
            <v>Yes</v>
          </cell>
        </row>
        <row r="350">
          <cell r="B350">
            <v>198</v>
          </cell>
          <cell r="C350" t="str">
            <v>C49SZX20180177JL</v>
          </cell>
          <cell r="D350" t="str">
            <v>Tuopuai拓普艾</v>
          </cell>
          <cell r="E350" t="str">
            <v>YSM20R(SV)-2</v>
          </cell>
          <cell r="F350" t="str">
            <v>#58885</v>
          </cell>
          <cell r="G350" t="e">
            <v>#REF!</v>
          </cell>
          <cell r="H350" t="e">
            <v>#REF!</v>
          </cell>
          <cell r="I350" t="str">
            <v>L-&gt;R</v>
          </cell>
          <cell r="J350" t="str">
            <v>No</v>
          </cell>
          <cell r="K350">
            <v>1</v>
          </cell>
          <cell r="L350">
            <v>109478</v>
          </cell>
          <cell r="M350" t="str">
            <v>MAR 19</v>
          </cell>
          <cell r="O350">
            <v>11116263</v>
          </cell>
          <cell r="P350">
            <v>12260000</v>
          </cell>
          <cell r="Q350">
            <v>43525</v>
          </cell>
          <cell r="R350" t="str">
            <v>No</v>
          </cell>
          <cell r="S350" t="str">
            <v>C49</v>
          </cell>
          <cell r="T350" t="str">
            <v>SOUTH</v>
          </cell>
          <cell r="U350" t="str">
            <v>深圳</v>
          </cell>
          <cell r="V350" t="str">
            <v>SZ 深圳</v>
          </cell>
          <cell r="W350" t="str">
            <v>JL</v>
          </cell>
          <cell r="X350" t="str">
            <v>JPY</v>
          </cell>
          <cell r="Y350">
            <v>12260000</v>
          </cell>
          <cell r="Z350">
            <v>1</v>
          </cell>
          <cell r="AA350">
            <v>12260000</v>
          </cell>
          <cell r="AB350">
            <v>7.51E-2</v>
          </cell>
          <cell r="AC350">
            <v>920726</v>
          </cell>
          <cell r="AD350">
            <v>110487.12</v>
          </cell>
          <cell r="AE350">
            <v>0.12</v>
          </cell>
          <cell r="AF350">
            <v>43203</v>
          </cell>
          <cell r="AG350" t="str">
            <v>CIF</v>
          </cell>
          <cell r="AH350"/>
          <cell r="AI350"/>
          <cell r="AJ350"/>
          <cell r="AK350">
            <v>0.3</v>
          </cell>
          <cell r="AL350">
            <v>3678000</v>
          </cell>
          <cell r="AN350" t="str">
            <v>Yes</v>
          </cell>
          <cell r="AO350"/>
          <cell r="AP350"/>
          <cell r="AR350"/>
          <cell r="AS350"/>
          <cell r="AT350">
            <v>0</v>
          </cell>
          <cell r="AV350"/>
          <cell r="AW350"/>
          <cell r="AY350"/>
          <cell r="AZ350" t="str">
            <v>Y</v>
          </cell>
          <cell r="BA350" t="str">
            <v>Yes</v>
          </cell>
        </row>
        <row r="351">
          <cell r="B351">
            <v>199</v>
          </cell>
          <cell r="C351" t="str">
            <v>C49SZX20180177JL</v>
          </cell>
          <cell r="D351" t="str">
            <v>Tuopuai拓普艾</v>
          </cell>
          <cell r="E351" t="str">
            <v>YSM10</v>
          </cell>
          <cell r="F351" t="str">
            <v>#58885</v>
          </cell>
          <cell r="G351" t="e">
            <v>#REF!</v>
          </cell>
          <cell r="H351" t="e">
            <v>#REF!</v>
          </cell>
          <cell r="I351" t="str">
            <v>L-&gt;R</v>
          </cell>
          <cell r="J351" t="str">
            <v>MVC</v>
          </cell>
          <cell r="K351">
            <v>1</v>
          </cell>
          <cell r="L351">
            <v>109454</v>
          </cell>
          <cell r="M351" t="str">
            <v>MAR 19</v>
          </cell>
          <cell r="O351">
            <v>11116263</v>
          </cell>
          <cell r="P351">
            <v>8000000</v>
          </cell>
          <cell r="Q351">
            <v>43525</v>
          </cell>
          <cell r="R351" t="str">
            <v>No</v>
          </cell>
          <cell r="S351" t="str">
            <v>C49</v>
          </cell>
          <cell r="T351" t="str">
            <v>SOUTH</v>
          </cell>
          <cell r="U351" t="str">
            <v>深圳</v>
          </cell>
          <cell r="V351" t="str">
            <v>SZ 深圳</v>
          </cell>
          <cell r="W351" t="str">
            <v>JL</v>
          </cell>
          <cell r="X351" t="str">
            <v>JPY</v>
          </cell>
          <cell r="Y351">
            <v>8000000</v>
          </cell>
          <cell r="Z351">
            <v>1</v>
          </cell>
          <cell r="AA351">
            <v>8000000</v>
          </cell>
          <cell r="AB351">
            <v>7.51E-2</v>
          </cell>
          <cell r="AC351">
            <v>600800</v>
          </cell>
          <cell r="AD351">
            <v>72096</v>
          </cell>
          <cell r="AE351">
            <v>0.12</v>
          </cell>
          <cell r="AF351">
            <v>43203</v>
          </cell>
          <cell r="AG351" t="str">
            <v>CIF</v>
          </cell>
          <cell r="AH351"/>
          <cell r="AI351"/>
          <cell r="AJ351"/>
          <cell r="AK351">
            <v>0.3</v>
          </cell>
          <cell r="AL351">
            <v>2400000</v>
          </cell>
          <cell r="AN351" t="str">
            <v>Yes</v>
          </cell>
          <cell r="AO351"/>
          <cell r="AP351"/>
          <cell r="AR351"/>
          <cell r="AS351"/>
          <cell r="AT351">
            <v>0</v>
          </cell>
          <cell r="AV351"/>
          <cell r="AW351"/>
          <cell r="AY351"/>
          <cell r="AZ351" t="str">
            <v>Y</v>
          </cell>
          <cell r="BA351" t="str">
            <v>Yes</v>
          </cell>
        </row>
        <row r="352">
          <cell r="B352">
            <v>200</v>
          </cell>
          <cell r="C352" t="str">
            <v>C49SZX20190001JY</v>
          </cell>
          <cell r="D352" t="str">
            <v>Kingtron络鑫</v>
          </cell>
          <cell r="E352" t="str">
            <v>YSM20R(SV)-2</v>
          </cell>
          <cell r="F352" t="str">
            <v>NA</v>
          </cell>
          <cell r="G352" t="e">
            <v>#REF!</v>
          </cell>
          <cell r="H352" t="e">
            <v>#REF!</v>
          </cell>
          <cell r="I352" t="str">
            <v>L-&gt;R</v>
          </cell>
          <cell r="J352" t="str">
            <v>No</v>
          </cell>
          <cell r="K352">
            <v>1</v>
          </cell>
          <cell r="L352" t="e">
            <v>#REF!</v>
          </cell>
          <cell r="M352" t="e">
            <v>#REF!</v>
          </cell>
          <cell r="N352"/>
          <cell r="O352"/>
          <cell r="P352"/>
          <cell r="Q352"/>
          <cell r="R352" t="str">
            <v>Yes</v>
          </cell>
          <cell r="S352" t="str">
            <v>C49</v>
          </cell>
          <cell r="T352" t="str">
            <v>SOUTH</v>
          </cell>
          <cell r="U352" t="str">
            <v>深圳</v>
          </cell>
          <cell r="V352" t="str">
            <v>SZ 深圳</v>
          </cell>
          <cell r="W352" t="str">
            <v>JY</v>
          </cell>
          <cell r="X352" t="str">
            <v>JPY</v>
          </cell>
          <cell r="Y352">
            <v>16058000</v>
          </cell>
          <cell r="Z352">
            <v>1</v>
          </cell>
          <cell r="AA352">
            <v>16058000</v>
          </cell>
          <cell r="AB352">
            <v>7.2300000000000003E-2</v>
          </cell>
          <cell r="AC352">
            <v>1160993.4000000001</v>
          </cell>
          <cell r="AD352">
            <v>139319.20800000001</v>
          </cell>
          <cell r="AE352">
            <v>0.12</v>
          </cell>
          <cell r="AF352">
            <v>43473</v>
          </cell>
          <cell r="AG352" t="str">
            <v>CIF</v>
          </cell>
          <cell r="AH352"/>
          <cell r="AI352">
            <v>300000</v>
          </cell>
          <cell r="AJ352">
            <v>43480</v>
          </cell>
          <cell r="AK352">
            <v>0.3</v>
          </cell>
          <cell r="AL352">
            <v>4817400</v>
          </cell>
          <cell r="AM352"/>
          <cell r="AN352" t="str">
            <v>Yes</v>
          </cell>
          <cell r="AO352">
            <v>0.7</v>
          </cell>
          <cell r="AP352">
            <v>11240600</v>
          </cell>
          <cell r="AQ352"/>
          <cell r="AR352"/>
          <cell r="AS352"/>
          <cell r="AT352">
            <v>0</v>
          </cell>
          <cell r="AV352"/>
          <cell r="AW352"/>
          <cell r="AX352" t="str">
            <v>Cancel</v>
          </cell>
          <cell r="AY352"/>
          <cell r="AZ352"/>
          <cell r="BA352" t="str">
            <v>Cancel</v>
          </cell>
        </row>
        <row r="353">
          <cell r="B353">
            <v>201</v>
          </cell>
          <cell r="C353" t="str">
            <v>C49SZX20190001JY</v>
          </cell>
          <cell r="D353" t="str">
            <v>Kingtron络鑫</v>
          </cell>
          <cell r="E353" t="str">
            <v>YSM20R(SV)-2</v>
          </cell>
          <cell r="F353" t="str">
            <v>#03625</v>
          </cell>
          <cell r="G353" t="e">
            <v>#REF!</v>
          </cell>
          <cell r="H353" t="e">
            <v>#REF!</v>
          </cell>
          <cell r="I353" t="str">
            <v>L-&gt;R</v>
          </cell>
          <cell r="J353" t="str">
            <v>No</v>
          </cell>
          <cell r="K353">
            <v>1</v>
          </cell>
          <cell r="L353">
            <v>109294</v>
          </cell>
          <cell r="M353" t="str">
            <v>JUN 19</v>
          </cell>
          <cell r="N353">
            <v>43628</v>
          </cell>
          <cell r="O353">
            <v>11116302</v>
          </cell>
          <cell r="P353">
            <v>16996000</v>
          </cell>
          <cell r="Q353">
            <v>43617</v>
          </cell>
          <cell r="R353" t="str">
            <v>Yes</v>
          </cell>
          <cell r="S353" t="str">
            <v>C49</v>
          </cell>
          <cell r="T353" t="str">
            <v>SOUTH</v>
          </cell>
          <cell r="U353" t="str">
            <v>深圳</v>
          </cell>
          <cell r="V353" t="str">
            <v>SZ 深圳</v>
          </cell>
          <cell r="W353" t="str">
            <v>JY</v>
          </cell>
          <cell r="X353" t="str">
            <v>JPY</v>
          </cell>
          <cell r="Y353">
            <v>16996000</v>
          </cell>
          <cell r="Z353">
            <v>1</v>
          </cell>
          <cell r="AA353">
            <v>16996000</v>
          </cell>
          <cell r="AB353">
            <v>7.2300000000000003E-2</v>
          </cell>
          <cell r="AC353">
            <v>1228810.8</v>
          </cell>
          <cell r="AD353">
            <v>147457.296</v>
          </cell>
          <cell r="AE353">
            <v>0.12</v>
          </cell>
          <cell r="AF353">
            <v>43473</v>
          </cell>
          <cell r="AG353" t="str">
            <v>CIF HK</v>
          </cell>
          <cell r="AH353"/>
          <cell r="AI353">
            <v>300000</v>
          </cell>
          <cell r="AJ353">
            <v>43480</v>
          </cell>
          <cell r="AK353">
            <v>1</v>
          </cell>
          <cell r="AL353">
            <v>16996000</v>
          </cell>
          <cell r="AM353">
            <v>43617</v>
          </cell>
          <cell r="AN353" t="str">
            <v>Yes</v>
          </cell>
          <cell r="AO353"/>
          <cell r="AP353"/>
          <cell r="AR353"/>
          <cell r="AS353"/>
          <cell r="AT353">
            <v>0</v>
          </cell>
          <cell r="AV353"/>
          <cell r="AW353"/>
          <cell r="AX353" t="str">
            <v>Yes</v>
          </cell>
          <cell r="AY353"/>
          <cell r="AZ353" t="str">
            <v>Y</v>
          </cell>
          <cell r="BA353" t="str">
            <v>Yes</v>
          </cell>
        </row>
        <row r="354">
          <cell r="B354">
            <v>202</v>
          </cell>
          <cell r="C354" t="str">
            <v>C49SZX20190001JY</v>
          </cell>
          <cell r="D354" t="str">
            <v>Kingtron络鑫</v>
          </cell>
          <cell r="E354" t="str">
            <v>YSM10</v>
          </cell>
          <cell r="F354" t="str">
            <v>#03625</v>
          </cell>
          <cell r="G354" t="e">
            <v>#REF!</v>
          </cell>
          <cell r="H354" t="e">
            <v>#REF!</v>
          </cell>
          <cell r="I354" t="str">
            <v>L-&gt;R</v>
          </cell>
          <cell r="J354" t="str">
            <v>MVC+ATS15</v>
          </cell>
          <cell r="K354">
            <v>1</v>
          </cell>
          <cell r="L354">
            <v>109454</v>
          </cell>
          <cell r="M354" t="str">
            <v>JUN 19</v>
          </cell>
          <cell r="N354">
            <v>43628</v>
          </cell>
          <cell r="O354">
            <v>11116302</v>
          </cell>
          <cell r="P354">
            <v>11500000</v>
          </cell>
          <cell r="Q354">
            <v>43617</v>
          </cell>
          <cell r="R354" t="str">
            <v>Yes</v>
          </cell>
          <cell r="S354" t="str">
            <v>C49</v>
          </cell>
          <cell r="T354" t="str">
            <v>SOUTH</v>
          </cell>
          <cell r="U354" t="str">
            <v>深圳</v>
          </cell>
          <cell r="V354" t="str">
            <v>SZ 深圳</v>
          </cell>
          <cell r="W354" t="str">
            <v>JY</v>
          </cell>
          <cell r="X354" t="str">
            <v>JPY</v>
          </cell>
          <cell r="Y354">
            <v>11500000</v>
          </cell>
          <cell r="Z354">
            <v>1</v>
          </cell>
          <cell r="AA354">
            <v>11500000</v>
          </cell>
          <cell r="AB354">
            <v>7.2300000000000003E-2</v>
          </cell>
          <cell r="AC354">
            <v>831450</v>
          </cell>
          <cell r="AD354">
            <v>99774</v>
          </cell>
          <cell r="AE354">
            <v>0.12</v>
          </cell>
          <cell r="AF354">
            <v>43473</v>
          </cell>
          <cell r="AG354" t="str">
            <v>CIF HK</v>
          </cell>
          <cell r="AH354"/>
          <cell r="AI354">
            <v>300000</v>
          </cell>
          <cell r="AJ354">
            <v>43480</v>
          </cell>
          <cell r="AK354">
            <v>1</v>
          </cell>
          <cell r="AL354">
            <v>11500000</v>
          </cell>
          <cell r="AM354">
            <v>43617</v>
          </cell>
          <cell r="AN354" t="str">
            <v>Yes</v>
          </cell>
          <cell r="AO354"/>
          <cell r="AP354"/>
          <cell r="AR354"/>
          <cell r="AS354"/>
          <cell r="AT354">
            <v>0</v>
          </cell>
          <cell r="AV354"/>
          <cell r="AW354"/>
          <cell r="AX354" t="str">
            <v>Yes</v>
          </cell>
          <cell r="AY354"/>
          <cell r="AZ354" t="str">
            <v>Y</v>
          </cell>
          <cell r="BA354" t="str">
            <v>Yes</v>
          </cell>
        </row>
        <row r="355">
          <cell r="B355">
            <v>203</v>
          </cell>
          <cell r="C355" t="str">
            <v>C49SZX20190001JY</v>
          </cell>
          <cell r="D355" t="str">
            <v>Kingtron络鑫</v>
          </cell>
          <cell r="E355" t="str">
            <v>YSM10</v>
          </cell>
          <cell r="F355" t="str">
            <v>#03625</v>
          </cell>
          <cell r="G355" t="e">
            <v>#REF!</v>
          </cell>
          <cell r="H355" t="e">
            <v>#REF!</v>
          </cell>
          <cell r="I355" t="str">
            <v>L-&gt;R</v>
          </cell>
          <cell r="J355" t="str">
            <v>MVC</v>
          </cell>
          <cell r="K355">
            <v>1</v>
          </cell>
          <cell r="L355">
            <v>109454</v>
          </cell>
          <cell r="M355" t="str">
            <v>JUN 19</v>
          </cell>
          <cell r="N355">
            <v>43628</v>
          </cell>
          <cell r="O355">
            <v>11116302</v>
          </cell>
          <cell r="P355">
            <v>11500000</v>
          </cell>
          <cell r="Q355">
            <v>43617</v>
          </cell>
          <cell r="R355" t="str">
            <v>Yes</v>
          </cell>
          <cell r="S355" t="str">
            <v>C49</v>
          </cell>
          <cell r="T355" t="str">
            <v>SOUTH</v>
          </cell>
          <cell r="U355" t="str">
            <v>深圳</v>
          </cell>
          <cell r="V355" t="str">
            <v>SZ 深圳</v>
          </cell>
          <cell r="W355" t="str">
            <v>JY</v>
          </cell>
          <cell r="X355" t="str">
            <v>JPY</v>
          </cell>
          <cell r="Y355">
            <v>11500000</v>
          </cell>
          <cell r="Z355">
            <v>1</v>
          </cell>
          <cell r="AA355">
            <v>11500000</v>
          </cell>
          <cell r="AB355">
            <v>7.2300000000000003E-2</v>
          </cell>
          <cell r="AC355">
            <v>831450</v>
          </cell>
          <cell r="AD355">
            <v>99774</v>
          </cell>
          <cell r="AE355">
            <v>0.12</v>
          </cell>
          <cell r="AF355">
            <v>43473</v>
          </cell>
          <cell r="AG355" t="str">
            <v>CIF HK</v>
          </cell>
          <cell r="AH355"/>
          <cell r="AI355">
            <v>300000</v>
          </cell>
          <cell r="AJ355">
            <v>43480</v>
          </cell>
          <cell r="AK355">
            <v>1</v>
          </cell>
          <cell r="AL355">
            <v>11500000</v>
          </cell>
          <cell r="AM355">
            <v>43617</v>
          </cell>
          <cell r="AN355" t="str">
            <v>Yes</v>
          </cell>
          <cell r="AO355"/>
          <cell r="AP355"/>
          <cell r="AR355"/>
          <cell r="AS355"/>
          <cell r="AT355">
            <v>0</v>
          </cell>
          <cell r="AV355"/>
          <cell r="AW355"/>
          <cell r="AX355" t="str">
            <v>Yes</v>
          </cell>
          <cell r="AY355"/>
          <cell r="AZ355" t="str">
            <v>Y</v>
          </cell>
          <cell r="BA355" t="str">
            <v>Yes</v>
          </cell>
        </row>
        <row r="356">
          <cell r="B356">
            <v>204</v>
          </cell>
          <cell r="C356" t="str">
            <v>C49SZX20190002JY</v>
          </cell>
          <cell r="D356" t="str">
            <v>Kingtron络鑫</v>
          </cell>
          <cell r="E356" t="str">
            <v>YSM20R(SV)-2</v>
          </cell>
          <cell r="F356" t="str">
            <v>NA</v>
          </cell>
          <cell r="G356" t="e">
            <v>#REF!</v>
          </cell>
          <cell r="H356" t="e">
            <v>#REF!</v>
          </cell>
          <cell r="I356" t="str">
            <v>L-&gt;R</v>
          </cell>
          <cell r="J356" t="str">
            <v>No</v>
          </cell>
          <cell r="K356">
            <v>1</v>
          </cell>
          <cell r="L356" t="e">
            <v>#REF!</v>
          </cell>
          <cell r="M356" t="e">
            <v>#REF!</v>
          </cell>
          <cell r="N356"/>
          <cell r="O356"/>
          <cell r="P356"/>
          <cell r="Q356"/>
          <cell r="R356" t="str">
            <v>Yes</v>
          </cell>
          <cell r="S356" t="str">
            <v>C49</v>
          </cell>
          <cell r="T356" t="str">
            <v>SOUTH</v>
          </cell>
          <cell r="U356" t="str">
            <v>深圳</v>
          </cell>
          <cell r="V356" t="str">
            <v>SZ 深圳</v>
          </cell>
          <cell r="W356" t="str">
            <v>JY</v>
          </cell>
          <cell r="X356" t="str">
            <v>JPY</v>
          </cell>
          <cell r="Y356">
            <v>15800000</v>
          </cell>
          <cell r="Z356">
            <v>1</v>
          </cell>
          <cell r="AA356">
            <v>15800000</v>
          </cell>
          <cell r="AB356">
            <v>7.2300000000000003E-2</v>
          </cell>
          <cell r="AC356">
            <v>1142340</v>
          </cell>
          <cell r="AD356">
            <v>137080.79999999999</v>
          </cell>
          <cell r="AE356">
            <v>0.12</v>
          </cell>
          <cell r="AF356">
            <v>43473</v>
          </cell>
          <cell r="AG356" t="str">
            <v>CIF</v>
          </cell>
          <cell r="AH356"/>
          <cell r="AI356"/>
          <cell r="AJ356"/>
          <cell r="AK356">
            <v>0.3</v>
          </cell>
          <cell r="AL356">
            <v>4740000</v>
          </cell>
          <cell r="AM356"/>
          <cell r="AN356" t="str">
            <v>No</v>
          </cell>
          <cell r="AO356">
            <v>0.7</v>
          </cell>
          <cell r="AP356">
            <v>11060000</v>
          </cell>
          <cell r="AQ356"/>
          <cell r="AR356"/>
          <cell r="AS356"/>
          <cell r="AT356">
            <v>0</v>
          </cell>
          <cell r="AV356"/>
          <cell r="AW356"/>
          <cell r="AX356" t="str">
            <v>Cancel</v>
          </cell>
          <cell r="AY356"/>
          <cell r="AZ356"/>
          <cell r="BA356" t="str">
            <v>Cancel</v>
          </cell>
        </row>
        <row r="357">
          <cell r="B357">
            <v>205</v>
          </cell>
          <cell r="C357" t="str">
            <v>C49SZX20190002JY</v>
          </cell>
          <cell r="D357" t="str">
            <v>Kingtron络鑫</v>
          </cell>
          <cell r="E357" t="str">
            <v>YSM20R(SV)-2</v>
          </cell>
          <cell r="F357" t="str">
            <v>NA</v>
          </cell>
          <cell r="G357" t="e">
            <v>#REF!</v>
          </cell>
          <cell r="H357" t="e">
            <v>#REF!</v>
          </cell>
          <cell r="I357" t="str">
            <v>L-&gt;R</v>
          </cell>
          <cell r="J357" t="str">
            <v>No</v>
          </cell>
          <cell r="K357">
            <v>1</v>
          </cell>
          <cell r="L357" t="e">
            <v>#REF!</v>
          </cell>
          <cell r="M357" t="e">
            <v>#REF!</v>
          </cell>
          <cell r="N357"/>
          <cell r="O357"/>
          <cell r="P357"/>
          <cell r="Q357"/>
          <cell r="R357" t="str">
            <v>Yes</v>
          </cell>
          <cell r="S357" t="str">
            <v>C49</v>
          </cell>
          <cell r="T357" t="str">
            <v>SOUTH</v>
          </cell>
          <cell r="U357" t="str">
            <v>深圳</v>
          </cell>
          <cell r="V357" t="str">
            <v>SZ 深圳</v>
          </cell>
          <cell r="W357" t="str">
            <v>JY</v>
          </cell>
          <cell r="X357" t="str">
            <v>JPY</v>
          </cell>
          <cell r="Y357">
            <v>15800000</v>
          </cell>
          <cell r="Z357">
            <v>1</v>
          </cell>
          <cell r="AA357">
            <v>15800000</v>
          </cell>
          <cell r="AB357">
            <v>7.2300000000000003E-2</v>
          </cell>
          <cell r="AC357">
            <v>1142340</v>
          </cell>
          <cell r="AD357">
            <v>137080.79999999999</v>
          </cell>
          <cell r="AE357">
            <v>0.12</v>
          </cell>
          <cell r="AF357">
            <v>43473</v>
          </cell>
          <cell r="AG357" t="str">
            <v>CIF</v>
          </cell>
          <cell r="AH357"/>
          <cell r="AI357"/>
          <cell r="AJ357"/>
          <cell r="AK357">
            <v>0.3</v>
          </cell>
          <cell r="AL357">
            <v>4740000</v>
          </cell>
          <cell r="AM357"/>
          <cell r="AN357" t="str">
            <v>No</v>
          </cell>
          <cell r="AO357">
            <v>0.7</v>
          </cell>
          <cell r="AP357">
            <v>11060000</v>
          </cell>
          <cell r="AQ357"/>
          <cell r="AR357"/>
          <cell r="AS357"/>
          <cell r="AT357">
            <v>0</v>
          </cell>
          <cell r="AV357"/>
          <cell r="AW357"/>
          <cell r="AX357" t="str">
            <v>Cancel</v>
          </cell>
          <cell r="AY357"/>
          <cell r="AZ357"/>
          <cell r="BA357" t="str">
            <v>Cancel</v>
          </cell>
        </row>
        <row r="358">
          <cell r="B358">
            <v>206</v>
          </cell>
          <cell r="C358" t="str">
            <v>C49SZX20190002JY</v>
          </cell>
          <cell r="D358" t="str">
            <v>Kingtron络鑫</v>
          </cell>
          <cell r="E358" t="str">
            <v>YSM10</v>
          </cell>
          <cell r="F358" t="str">
            <v>NA</v>
          </cell>
          <cell r="G358" t="e">
            <v>#REF!</v>
          </cell>
          <cell r="H358" t="e">
            <v>#REF!</v>
          </cell>
          <cell r="I358" t="str">
            <v>L-&gt;R</v>
          </cell>
          <cell r="J358" t="str">
            <v>MVC+ATS15</v>
          </cell>
          <cell r="K358">
            <v>1</v>
          </cell>
          <cell r="L358" t="e">
            <v>#REF!</v>
          </cell>
          <cell r="M358" t="e">
            <v>#REF!</v>
          </cell>
          <cell r="N358"/>
          <cell r="O358"/>
          <cell r="P358"/>
          <cell r="Q358"/>
          <cell r="R358" t="str">
            <v>Yes</v>
          </cell>
          <cell r="S358" t="str">
            <v>C49</v>
          </cell>
          <cell r="T358" t="str">
            <v>SOUTH</v>
          </cell>
          <cell r="U358" t="str">
            <v>深圳</v>
          </cell>
          <cell r="V358" t="str">
            <v>SZ 深圳</v>
          </cell>
          <cell r="W358" t="str">
            <v>JY</v>
          </cell>
          <cell r="X358" t="str">
            <v>JPY</v>
          </cell>
          <cell r="Y358">
            <v>10000000</v>
          </cell>
          <cell r="Z358">
            <v>1</v>
          </cell>
          <cell r="AA358">
            <v>10000000</v>
          </cell>
          <cell r="AB358">
            <v>7.2300000000000003E-2</v>
          </cell>
          <cell r="AC358">
            <v>723000</v>
          </cell>
          <cell r="AD358">
            <v>86760</v>
          </cell>
          <cell r="AE358">
            <v>0.12</v>
          </cell>
          <cell r="AF358">
            <v>43473</v>
          </cell>
          <cell r="AG358" t="str">
            <v>CIF</v>
          </cell>
          <cell r="AH358"/>
          <cell r="AI358"/>
          <cell r="AJ358"/>
          <cell r="AK358">
            <v>0.3</v>
          </cell>
          <cell r="AL358">
            <v>3000000</v>
          </cell>
          <cell r="AM358"/>
          <cell r="AN358" t="str">
            <v>No</v>
          </cell>
          <cell r="AO358">
            <v>0.7</v>
          </cell>
          <cell r="AP358">
            <v>7000000</v>
          </cell>
          <cell r="AQ358"/>
          <cell r="AR358"/>
          <cell r="AS358"/>
          <cell r="AT358">
            <v>0</v>
          </cell>
          <cell r="AV358"/>
          <cell r="AW358"/>
          <cell r="AX358" t="str">
            <v>Cancel</v>
          </cell>
          <cell r="AY358"/>
          <cell r="AZ358"/>
          <cell r="BA358" t="str">
            <v>Cancel</v>
          </cell>
        </row>
        <row r="359">
          <cell r="B359">
            <v>207</v>
          </cell>
          <cell r="C359" t="str">
            <v>C49SZX20190002JY</v>
          </cell>
          <cell r="D359" t="str">
            <v>Kingtron络鑫</v>
          </cell>
          <cell r="E359" t="str">
            <v>YSM10</v>
          </cell>
          <cell r="F359" t="str">
            <v>NA</v>
          </cell>
          <cell r="G359" t="e">
            <v>#REF!</v>
          </cell>
          <cell r="H359" t="e">
            <v>#REF!</v>
          </cell>
          <cell r="I359" t="str">
            <v>L-&gt;R</v>
          </cell>
          <cell r="J359" t="str">
            <v>MVC</v>
          </cell>
          <cell r="K359">
            <v>1</v>
          </cell>
          <cell r="L359" t="e">
            <v>#REF!</v>
          </cell>
          <cell r="M359" t="e">
            <v>#REF!</v>
          </cell>
          <cell r="N359"/>
          <cell r="O359"/>
          <cell r="P359"/>
          <cell r="Q359"/>
          <cell r="R359" t="str">
            <v>Yes</v>
          </cell>
          <cell r="S359" t="str">
            <v>C49</v>
          </cell>
          <cell r="T359" t="str">
            <v>SOUTH</v>
          </cell>
          <cell r="U359" t="str">
            <v>深圳</v>
          </cell>
          <cell r="V359" t="str">
            <v>SZ 深圳</v>
          </cell>
          <cell r="W359" t="str">
            <v>JY</v>
          </cell>
          <cell r="X359" t="str">
            <v>JPY</v>
          </cell>
          <cell r="Y359">
            <v>10000000</v>
          </cell>
          <cell r="Z359">
            <v>1</v>
          </cell>
          <cell r="AA359">
            <v>10000000</v>
          </cell>
          <cell r="AB359">
            <v>7.2300000000000003E-2</v>
          </cell>
          <cell r="AC359">
            <v>723000</v>
          </cell>
          <cell r="AD359">
            <v>86760</v>
          </cell>
          <cell r="AE359">
            <v>0.12</v>
          </cell>
          <cell r="AF359">
            <v>43473</v>
          </cell>
          <cell r="AG359" t="str">
            <v>CIF</v>
          </cell>
          <cell r="AH359"/>
          <cell r="AI359"/>
          <cell r="AJ359"/>
          <cell r="AK359">
            <v>0.3</v>
          </cell>
          <cell r="AL359">
            <v>3000000</v>
          </cell>
          <cell r="AM359"/>
          <cell r="AN359" t="str">
            <v>No</v>
          </cell>
          <cell r="AO359">
            <v>0.7</v>
          </cell>
          <cell r="AP359">
            <v>7000000</v>
          </cell>
          <cell r="AQ359"/>
          <cell r="AR359"/>
          <cell r="AS359"/>
          <cell r="AT359">
            <v>0</v>
          </cell>
          <cell r="AV359"/>
          <cell r="AW359"/>
          <cell r="AX359" t="str">
            <v>Cancel</v>
          </cell>
          <cell r="AY359"/>
          <cell r="AZ359"/>
          <cell r="BA359" t="str">
            <v>Cancel</v>
          </cell>
        </row>
        <row r="360">
          <cell r="B360">
            <v>208</v>
          </cell>
          <cell r="C360" t="str">
            <v>C49SZX20190005SX</v>
          </cell>
          <cell r="D360" t="str">
            <v>An Lin东莞安林</v>
          </cell>
          <cell r="E360" t="str">
            <v>YS24</v>
          </cell>
          <cell r="F360" t="str">
            <v>#81064</v>
          </cell>
          <cell r="G360" t="e">
            <v>#REF!</v>
          </cell>
          <cell r="H360" t="e">
            <v>#REF!</v>
          </cell>
          <cell r="I360" t="str">
            <v>L-&gt;R</v>
          </cell>
          <cell r="J360" t="str">
            <v>No</v>
          </cell>
          <cell r="K360">
            <v>1</v>
          </cell>
          <cell r="L360">
            <v>109421</v>
          </cell>
          <cell r="M360" t="str">
            <v>FEB 19</v>
          </cell>
          <cell r="O360">
            <v>11100283</v>
          </cell>
          <cell r="P360">
            <v>848000</v>
          </cell>
          <cell r="Q360">
            <v>43497</v>
          </cell>
          <cell r="R360" t="str">
            <v>Yes</v>
          </cell>
          <cell r="S360" t="str">
            <v>C49</v>
          </cell>
          <cell r="T360" t="str">
            <v>SOUTH</v>
          </cell>
          <cell r="U360" t="str">
            <v>深圳</v>
          </cell>
          <cell r="V360" t="str">
            <v>SZ 深圳</v>
          </cell>
          <cell r="W360" t="str">
            <v>SX</v>
          </cell>
          <cell r="X360" t="str">
            <v>RMB</v>
          </cell>
          <cell r="Y360">
            <v>848000</v>
          </cell>
          <cell r="Z360">
            <v>1.1599999999999999</v>
          </cell>
          <cell r="AA360">
            <v>848000</v>
          </cell>
          <cell r="AB360">
            <v>1.125</v>
          </cell>
          <cell r="AC360">
            <v>822413.79310344835</v>
          </cell>
          <cell r="AD360">
            <v>98689.655172413797</v>
          </cell>
          <cell r="AE360">
            <v>0.12</v>
          </cell>
          <cell r="AF360">
            <v>43474</v>
          </cell>
          <cell r="AG360" t="str">
            <v>含税到厂</v>
          </cell>
          <cell r="AH360" t="str">
            <v>电梯卸货</v>
          </cell>
          <cell r="AI360"/>
          <cell r="AJ360"/>
          <cell r="AK360">
            <v>5.8999999999999997E-2</v>
          </cell>
          <cell r="AL360">
            <v>50000</v>
          </cell>
          <cell r="AM360">
            <v>43466</v>
          </cell>
          <cell r="AN360" t="str">
            <v>Yes</v>
          </cell>
          <cell r="AO360" t="str">
            <v>agree</v>
          </cell>
          <cell r="AP360">
            <v>237600</v>
          </cell>
          <cell r="AQ360">
            <v>43497</v>
          </cell>
          <cell r="AR360">
            <v>43517</v>
          </cell>
          <cell r="AS360" t="str">
            <v>agree</v>
          </cell>
          <cell r="AT360">
            <v>560368</v>
          </cell>
          <cell r="AU360">
            <v>43497</v>
          </cell>
          <cell r="AV360">
            <v>43517</v>
          </cell>
          <cell r="AW360" t="str">
            <v>complete</v>
          </cell>
          <cell r="AX360" t="str">
            <v>Yes</v>
          </cell>
          <cell r="AY360"/>
          <cell r="AZ360" t="str">
            <v>Y</v>
          </cell>
          <cell r="BA360" t="str">
            <v>Yes</v>
          </cell>
        </row>
        <row r="361">
          <cell r="B361">
            <v>209</v>
          </cell>
          <cell r="C361" t="str">
            <v>C49SZX20190006ZX</v>
          </cell>
          <cell r="D361" t="str">
            <v>KeChengDa科诚达</v>
          </cell>
          <cell r="E361" t="str">
            <v>YSM20R(SV)-2</v>
          </cell>
          <cell r="F361" t="str">
            <v>NA</v>
          </cell>
          <cell r="G361" t="e">
            <v>#REF!</v>
          </cell>
          <cell r="H361" t="e">
            <v>#REF!</v>
          </cell>
          <cell r="I361" t="str">
            <v>L-&gt;R</v>
          </cell>
          <cell r="J361" t="str">
            <v>No</v>
          </cell>
          <cell r="K361">
            <v>1</v>
          </cell>
          <cell r="L361">
            <v>109388</v>
          </cell>
          <cell r="M361" t="str">
            <v>FEB 19</v>
          </cell>
          <cell r="O361">
            <v>11100286</v>
          </cell>
          <cell r="P361">
            <v>917500</v>
          </cell>
          <cell r="Q361">
            <v>43497</v>
          </cell>
          <cell r="R361" t="str">
            <v>No</v>
          </cell>
          <cell r="S361" t="str">
            <v>C49</v>
          </cell>
          <cell r="T361" t="str">
            <v>SOUTH</v>
          </cell>
          <cell r="U361" t="str">
            <v>深圳</v>
          </cell>
          <cell r="V361" t="str">
            <v>SZ 深圳</v>
          </cell>
          <cell r="W361" t="str">
            <v>ZX</v>
          </cell>
          <cell r="X361" t="str">
            <v>RMB</v>
          </cell>
          <cell r="Y361">
            <v>917500</v>
          </cell>
          <cell r="Z361">
            <v>1.1599999999999999</v>
          </cell>
          <cell r="AA361">
            <v>917500</v>
          </cell>
          <cell r="AB361">
            <v>1.125</v>
          </cell>
          <cell r="AC361">
            <v>889816.81034482759</v>
          </cell>
          <cell r="AD361">
            <v>106778.0172413793</v>
          </cell>
          <cell r="AE361">
            <v>0.12</v>
          </cell>
          <cell r="AF361">
            <v>43474</v>
          </cell>
          <cell r="AG361" t="str">
            <v>含税到厂</v>
          </cell>
          <cell r="AH361" t="str">
            <v>吊装二楼</v>
          </cell>
          <cell r="AI361"/>
          <cell r="AJ361"/>
          <cell r="AK361">
            <v>0.1</v>
          </cell>
          <cell r="AL361">
            <v>91750</v>
          </cell>
          <cell r="AM361">
            <v>43466</v>
          </cell>
          <cell r="AN361" t="str">
            <v>Yes</v>
          </cell>
          <cell r="AO361">
            <v>0.9</v>
          </cell>
          <cell r="AP361">
            <v>825750</v>
          </cell>
          <cell r="AQ361">
            <v>43497</v>
          </cell>
          <cell r="AR361">
            <v>43523</v>
          </cell>
          <cell r="AS361" t="str">
            <v>complete</v>
          </cell>
          <cell r="AT361"/>
          <cell r="AV361"/>
          <cell r="AW361"/>
          <cell r="AX361" t="str">
            <v>Yes</v>
          </cell>
          <cell r="AY361"/>
          <cell r="AZ361" t="str">
            <v>Y</v>
          </cell>
          <cell r="BA361" t="str">
            <v>Yes</v>
          </cell>
        </row>
        <row r="362">
          <cell r="B362">
            <v>210</v>
          </cell>
          <cell r="C362" t="str">
            <v>C49SZX20190006ZX</v>
          </cell>
          <cell r="D362" t="str">
            <v>KeChengDa科诚达</v>
          </cell>
          <cell r="E362" t="str">
            <v>YSM20R(SV)-2</v>
          </cell>
          <cell r="F362" t="str">
            <v>NA</v>
          </cell>
          <cell r="G362" t="e">
            <v>#REF!</v>
          </cell>
          <cell r="H362" t="e">
            <v>#REF!</v>
          </cell>
          <cell r="I362" t="str">
            <v>L-&gt;R</v>
          </cell>
          <cell r="J362" t="str">
            <v>No</v>
          </cell>
          <cell r="K362">
            <v>1</v>
          </cell>
          <cell r="L362">
            <v>109388</v>
          </cell>
          <cell r="M362" t="str">
            <v>FEB 19</v>
          </cell>
          <cell r="O362">
            <v>11100286</v>
          </cell>
          <cell r="P362">
            <v>917500</v>
          </cell>
          <cell r="Q362">
            <v>43497</v>
          </cell>
          <cell r="R362" t="str">
            <v>No</v>
          </cell>
          <cell r="S362" t="str">
            <v>C49</v>
          </cell>
          <cell r="T362" t="str">
            <v>SOUTH</v>
          </cell>
          <cell r="U362" t="str">
            <v>深圳</v>
          </cell>
          <cell r="V362" t="str">
            <v>SZ 深圳</v>
          </cell>
          <cell r="W362" t="str">
            <v>ZX</v>
          </cell>
          <cell r="X362" t="str">
            <v>RMB</v>
          </cell>
          <cell r="Y362">
            <v>917500</v>
          </cell>
          <cell r="Z362">
            <v>1.1599999999999999</v>
          </cell>
          <cell r="AA362">
            <v>917500</v>
          </cell>
          <cell r="AB362">
            <v>1.125</v>
          </cell>
          <cell r="AC362">
            <v>889816.81034482759</v>
          </cell>
          <cell r="AD362">
            <v>106778.0172413793</v>
          </cell>
          <cell r="AE362">
            <v>0.12</v>
          </cell>
          <cell r="AF362">
            <v>43474</v>
          </cell>
          <cell r="AG362" t="str">
            <v>含税到厂</v>
          </cell>
          <cell r="AH362" t="str">
            <v>吊装二楼</v>
          </cell>
          <cell r="AI362"/>
          <cell r="AJ362"/>
          <cell r="AK362">
            <v>0.1</v>
          </cell>
          <cell r="AL362">
            <v>91750</v>
          </cell>
          <cell r="AM362">
            <v>43466</v>
          </cell>
          <cell r="AN362" t="str">
            <v>Yes</v>
          </cell>
          <cell r="AO362">
            <v>0.9</v>
          </cell>
          <cell r="AP362">
            <v>825750</v>
          </cell>
          <cell r="AQ362">
            <v>43497</v>
          </cell>
          <cell r="AR362">
            <v>43523</v>
          </cell>
          <cell r="AS362" t="str">
            <v>complete</v>
          </cell>
          <cell r="AT362"/>
          <cell r="AV362"/>
          <cell r="AW362"/>
          <cell r="AX362" t="str">
            <v>Yes</v>
          </cell>
          <cell r="AY362"/>
          <cell r="AZ362" t="str">
            <v>Y</v>
          </cell>
          <cell r="BA362" t="str">
            <v>Yes</v>
          </cell>
        </row>
        <row r="363">
          <cell r="B363">
            <v>211</v>
          </cell>
          <cell r="C363" t="str">
            <v>C49SZX20190011SX</v>
          </cell>
          <cell r="D363" t="str">
            <v>安林An Lin</v>
          </cell>
          <cell r="E363" t="str">
            <v>YS24</v>
          </cell>
          <cell r="F363" t="str">
            <v>#81064</v>
          </cell>
          <cell r="G363" t="e">
            <v>#REF!</v>
          </cell>
          <cell r="H363" t="e">
            <v>#REF!</v>
          </cell>
          <cell r="I363" t="str">
            <v>L-&gt;R</v>
          </cell>
          <cell r="J363" t="str">
            <v>No</v>
          </cell>
          <cell r="K363">
            <v>1</v>
          </cell>
          <cell r="L363">
            <v>109421</v>
          </cell>
          <cell r="M363" t="str">
            <v>FEB 19</v>
          </cell>
          <cell r="O363">
            <v>11100284</v>
          </cell>
          <cell r="P363">
            <v>840000</v>
          </cell>
          <cell r="Q363">
            <v>43497</v>
          </cell>
          <cell r="R363" t="str">
            <v>No</v>
          </cell>
          <cell r="S363" t="str">
            <v>C49</v>
          </cell>
          <cell r="T363" t="str">
            <v>SOUTH</v>
          </cell>
          <cell r="U363" t="str">
            <v>深圳</v>
          </cell>
          <cell r="V363" t="str">
            <v>SZ 深圳</v>
          </cell>
          <cell r="W363" t="str">
            <v>SX</v>
          </cell>
          <cell r="X363" t="str">
            <v>RMB</v>
          </cell>
          <cell r="Y363">
            <v>840000</v>
          </cell>
          <cell r="Z363">
            <v>1.1599999999999999</v>
          </cell>
          <cell r="AA363">
            <v>840000</v>
          </cell>
          <cell r="AB363">
            <v>1.125</v>
          </cell>
          <cell r="AC363">
            <v>814655.17241379316</v>
          </cell>
          <cell r="AD363">
            <v>97758.620689655174</v>
          </cell>
          <cell r="AE363">
            <v>0.12</v>
          </cell>
          <cell r="AF363">
            <v>43480</v>
          </cell>
          <cell r="AG363" t="str">
            <v>含税到厂</v>
          </cell>
          <cell r="AH363" t="str">
            <v>电梯卸货</v>
          </cell>
          <cell r="AI363"/>
          <cell r="AJ363"/>
          <cell r="AK363">
            <v>0.06</v>
          </cell>
          <cell r="AL363">
            <v>50000</v>
          </cell>
          <cell r="AM363">
            <v>43466</v>
          </cell>
          <cell r="AN363" t="str">
            <v>Yes</v>
          </cell>
          <cell r="AO363">
            <v>0.94</v>
          </cell>
          <cell r="AP363">
            <v>789600</v>
          </cell>
          <cell r="AQ363">
            <v>43497</v>
          </cell>
          <cell r="AR363">
            <v>43517</v>
          </cell>
          <cell r="AS363" t="str">
            <v>complete</v>
          </cell>
          <cell r="AT363"/>
          <cell r="AV363"/>
          <cell r="AW363"/>
          <cell r="AX363" t="str">
            <v>Yes</v>
          </cell>
          <cell r="AY363"/>
          <cell r="AZ363" t="str">
            <v>Y</v>
          </cell>
          <cell r="BA363" t="str">
            <v>Yes</v>
          </cell>
        </row>
        <row r="364">
          <cell r="B364">
            <v>212</v>
          </cell>
          <cell r="C364" t="str">
            <v>C49SZX20190007JL</v>
          </cell>
          <cell r="D364" t="str">
            <v>昶达CHEERSTAR</v>
          </cell>
          <cell r="E364" t="str">
            <v>YSM10</v>
          </cell>
          <cell r="F364" t="str">
            <v>#03479</v>
          </cell>
          <cell r="G364" t="e">
            <v>#REF!</v>
          </cell>
          <cell r="H364" t="e">
            <v>#REF!</v>
          </cell>
          <cell r="I364" t="str">
            <v>R-&gt;L</v>
          </cell>
          <cell r="J364" t="str">
            <v>MVC</v>
          </cell>
          <cell r="K364">
            <v>1</v>
          </cell>
          <cell r="L364">
            <v>109381</v>
          </cell>
          <cell r="M364" t="str">
            <v>MAR 19</v>
          </cell>
          <cell r="O364">
            <v>11116257</v>
          </cell>
          <cell r="P364">
            <v>9350000</v>
          </cell>
          <cell r="Q364">
            <v>43525</v>
          </cell>
          <cell r="R364" t="str">
            <v>Yes</v>
          </cell>
          <cell r="S364" t="str">
            <v>C49</v>
          </cell>
          <cell r="T364" t="str">
            <v>SOUTH</v>
          </cell>
          <cell r="U364" t="str">
            <v>深圳</v>
          </cell>
          <cell r="V364" t="str">
            <v>SZ 深圳</v>
          </cell>
          <cell r="W364" t="str">
            <v>JL</v>
          </cell>
          <cell r="X364" t="str">
            <v>JPY</v>
          </cell>
          <cell r="Y364">
            <v>9350000</v>
          </cell>
          <cell r="Z364">
            <v>1</v>
          </cell>
          <cell r="AA364">
            <v>9350000</v>
          </cell>
          <cell r="AB364">
            <v>7.2300000000000003E-2</v>
          </cell>
          <cell r="AC364">
            <v>676005</v>
          </cell>
          <cell r="AD364">
            <v>81120.599999999991</v>
          </cell>
          <cell r="AE364">
            <v>0.12</v>
          </cell>
          <cell r="AF364">
            <v>43480</v>
          </cell>
          <cell r="AG364" t="str">
            <v>CIF</v>
          </cell>
          <cell r="AH364"/>
          <cell r="AI364"/>
          <cell r="AJ364"/>
          <cell r="AK364">
            <v>0.3</v>
          </cell>
          <cell r="AL364">
            <v>2805000</v>
          </cell>
          <cell r="AM364">
            <v>43466</v>
          </cell>
          <cell r="AN364" t="str">
            <v>Yes</v>
          </cell>
          <cell r="AO364">
            <v>0.65</v>
          </cell>
          <cell r="AP364">
            <v>6077500</v>
          </cell>
          <cell r="AQ364">
            <v>43497</v>
          </cell>
          <cell r="AR364">
            <v>43525</v>
          </cell>
          <cell r="AS364">
            <v>0.05</v>
          </cell>
          <cell r="AT364">
            <v>467500</v>
          </cell>
          <cell r="AU364">
            <v>43586</v>
          </cell>
          <cell r="AV364">
            <v>43621</v>
          </cell>
          <cell r="AW364"/>
          <cell r="AY364"/>
          <cell r="AZ364" t="str">
            <v>Y</v>
          </cell>
          <cell r="BA364" t="str">
            <v>Yes</v>
          </cell>
        </row>
        <row r="365">
          <cell r="B365">
            <v>213</v>
          </cell>
          <cell r="C365" t="str">
            <v>C49SZX20190007JL</v>
          </cell>
          <cell r="D365" t="str">
            <v>昶达CHEERSTAR</v>
          </cell>
          <cell r="E365" t="str">
            <v>YSM10</v>
          </cell>
          <cell r="F365" t="str">
            <v>#03479</v>
          </cell>
          <cell r="G365" t="e">
            <v>#REF!</v>
          </cell>
          <cell r="H365" t="e">
            <v>#REF!</v>
          </cell>
          <cell r="I365" t="str">
            <v>R-&gt;L</v>
          </cell>
          <cell r="J365" t="str">
            <v>No</v>
          </cell>
          <cell r="K365">
            <v>1</v>
          </cell>
          <cell r="L365">
            <v>109360</v>
          </cell>
          <cell r="M365" t="str">
            <v>MAR 19</v>
          </cell>
          <cell r="O365">
            <v>11116257</v>
          </cell>
          <cell r="P365">
            <v>9350000</v>
          </cell>
          <cell r="Q365">
            <v>43525</v>
          </cell>
          <cell r="R365" t="str">
            <v>Yes</v>
          </cell>
          <cell r="S365" t="str">
            <v>C49</v>
          </cell>
          <cell r="T365" t="str">
            <v>SOUTH</v>
          </cell>
          <cell r="U365" t="str">
            <v>深圳</v>
          </cell>
          <cell r="V365" t="str">
            <v>SZ 深圳</v>
          </cell>
          <cell r="W365" t="str">
            <v>JL</v>
          </cell>
          <cell r="X365" t="str">
            <v>JPY</v>
          </cell>
          <cell r="Y365">
            <v>9350000</v>
          </cell>
          <cell r="Z365">
            <v>1</v>
          </cell>
          <cell r="AA365">
            <v>9350000</v>
          </cell>
          <cell r="AB365">
            <v>7.2300000000000003E-2</v>
          </cell>
          <cell r="AC365">
            <v>676005</v>
          </cell>
          <cell r="AD365">
            <v>81120.599999999991</v>
          </cell>
          <cell r="AE365">
            <v>0.12</v>
          </cell>
          <cell r="AF365">
            <v>43480</v>
          </cell>
          <cell r="AG365" t="str">
            <v>CIF</v>
          </cell>
          <cell r="AH365"/>
          <cell r="AI365"/>
          <cell r="AJ365"/>
          <cell r="AK365">
            <v>0.3</v>
          </cell>
          <cell r="AL365">
            <v>2805000</v>
          </cell>
          <cell r="AM365">
            <v>43466</v>
          </cell>
          <cell r="AN365" t="str">
            <v>Yes</v>
          </cell>
          <cell r="AO365">
            <v>0.65</v>
          </cell>
          <cell r="AP365">
            <v>6077500</v>
          </cell>
          <cell r="AQ365">
            <v>43497</v>
          </cell>
          <cell r="AR365">
            <v>43525</v>
          </cell>
          <cell r="AS365">
            <v>0.05</v>
          </cell>
          <cell r="AT365">
            <v>467500</v>
          </cell>
          <cell r="AU365">
            <v>43586</v>
          </cell>
          <cell r="AV365">
            <v>43621</v>
          </cell>
          <cell r="AW365"/>
          <cell r="AY365"/>
          <cell r="AZ365" t="str">
            <v>Y</v>
          </cell>
          <cell r="BA365" t="str">
            <v>Yes</v>
          </cell>
        </row>
        <row r="366">
          <cell r="B366">
            <v>214</v>
          </cell>
          <cell r="C366" t="str">
            <v>C49SZX20190008JL</v>
          </cell>
          <cell r="D366" t="str">
            <v>昶达CHEERSTAR</v>
          </cell>
          <cell r="E366" t="str">
            <v>YSM10</v>
          </cell>
          <cell r="F366" t="str">
            <v>NA</v>
          </cell>
          <cell r="G366" t="e">
            <v>#REF!</v>
          </cell>
          <cell r="H366" t="e">
            <v>#REF!</v>
          </cell>
          <cell r="I366" t="str">
            <v>L-&gt;R</v>
          </cell>
          <cell r="J366" t="str">
            <v>MVC</v>
          </cell>
          <cell r="K366">
            <v>1</v>
          </cell>
          <cell r="L366" t="e">
            <v>#REF!</v>
          </cell>
          <cell r="M366" t="e">
            <v>#REF!</v>
          </cell>
          <cell r="N366"/>
          <cell r="O366"/>
          <cell r="P366"/>
          <cell r="Q366"/>
          <cell r="R366" t="str">
            <v>Yes</v>
          </cell>
          <cell r="S366" t="str">
            <v>C49</v>
          </cell>
          <cell r="T366" t="str">
            <v>SOUTH</v>
          </cell>
          <cell r="U366" t="str">
            <v>深圳</v>
          </cell>
          <cell r="V366" t="str">
            <v>SZ 深圳</v>
          </cell>
          <cell r="W366" t="str">
            <v>JL</v>
          </cell>
          <cell r="X366" t="str">
            <v>JPY</v>
          </cell>
          <cell r="Y366">
            <v>9350000</v>
          </cell>
          <cell r="Z366">
            <v>1</v>
          </cell>
          <cell r="AA366">
            <v>9350000</v>
          </cell>
          <cell r="AB366">
            <v>7.2300000000000003E-2</v>
          </cell>
          <cell r="AC366">
            <v>676005</v>
          </cell>
          <cell r="AD366">
            <v>81120.599999999991</v>
          </cell>
          <cell r="AE366">
            <v>0.12</v>
          </cell>
          <cell r="AF366">
            <v>43480</v>
          </cell>
          <cell r="AG366" t="str">
            <v>CIF</v>
          </cell>
          <cell r="AH366"/>
          <cell r="AI366"/>
          <cell r="AJ366"/>
          <cell r="AK366">
            <v>0.3</v>
          </cell>
          <cell r="AL366">
            <v>2805000</v>
          </cell>
          <cell r="AM366"/>
          <cell r="AN366" t="str">
            <v>No</v>
          </cell>
          <cell r="AO366">
            <v>0.7</v>
          </cell>
          <cell r="AP366">
            <v>6545000</v>
          </cell>
          <cell r="AQ366"/>
          <cell r="AR366"/>
          <cell r="AS366"/>
          <cell r="AT366">
            <v>0</v>
          </cell>
          <cell r="AV366"/>
          <cell r="AW366"/>
          <cell r="AX366" t="str">
            <v>Cancel</v>
          </cell>
          <cell r="AY366"/>
          <cell r="AZ366"/>
          <cell r="BA366" t="str">
            <v>Cancel</v>
          </cell>
        </row>
        <row r="367">
          <cell r="B367">
            <v>215</v>
          </cell>
          <cell r="C367" t="str">
            <v>C49SZX20190008JL</v>
          </cell>
          <cell r="D367" t="str">
            <v>昶达CHEERSTAR</v>
          </cell>
          <cell r="E367" t="str">
            <v>YSM10</v>
          </cell>
          <cell r="F367" t="str">
            <v>NA</v>
          </cell>
          <cell r="G367" t="e">
            <v>#REF!</v>
          </cell>
          <cell r="H367" t="e">
            <v>#REF!</v>
          </cell>
          <cell r="I367" t="str">
            <v>L-&gt;R</v>
          </cell>
          <cell r="J367" t="str">
            <v>MVC</v>
          </cell>
          <cell r="K367">
            <v>1</v>
          </cell>
          <cell r="L367" t="e">
            <v>#REF!</v>
          </cell>
          <cell r="M367" t="e">
            <v>#REF!</v>
          </cell>
          <cell r="N367"/>
          <cell r="O367"/>
          <cell r="P367"/>
          <cell r="Q367"/>
          <cell r="R367" t="str">
            <v>Yes</v>
          </cell>
          <cell r="S367" t="str">
            <v>C49</v>
          </cell>
          <cell r="T367" t="str">
            <v>SOUTH</v>
          </cell>
          <cell r="U367" t="str">
            <v>深圳</v>
          </cell>
          <cell r="V367" t="str">
            <v>SZ 深圳</v>
          </cell>
          <cell r="W367" t="str">
            <v>JL</v>
          </cell>
          <cell r="X367" t="str">
            <v>JPY</v>
          </cell>
          <cell r="Y367">
            <v>9350000</v>
          </cell>
          <cell r="Z367">
            <v>1</v>
          </cell>
          <cell r="AA367">
            <v>9350000</v>
          </cell>
          <cell r="AB367">
            <v>7.2300000000000003E-2</v>
          </cell>
          <cell r="AC367">
            <v>676005</v>
          </cell>
          <cell r="AD367">
            <v>81120.599999999991</v>
          </cell>
          <cell r="AE367">
            <v>0.12</v>
          </cell>
          <cell r="AF367">
            <v>43480</v>
          </cell>
          <cell r="AG367" t="str">
            <v>CIF</v>
          </cell>
          <cell r="AH367"/>
          <cell r="AI367"/>
          <cell r="AJ367"/>
          <cell r="AK367">
            <v>0.3</v>
          </cell>
          <cell r="AL367">
            <v>2805000</v>
          </cell>
          <cell r="AM367"/>
          <cell r="AN367" t="str">
            <v>No</v>
          </cell>
          <cell r="AO367">
            <v>0.7</v>
          </cell>
          <cell r="AP367">
            <v>6545000</v>
          </cell>
          <cell r="AQ367"/>
          <cell r="AR367"/>
          <cell r="AS367"/>
          <cell r="AT367">
            <v>0</v>
          </cell>
          <cell r="AV367"/>
          <cell r="AW367"/>
          <cell r="AX367" t="str">
            <v>Cancel</v>
          </cell>
          <cell r="AY367"/>
          <cell r="AZ367"/>
          <cell r="BA367" t="str">
            <v>Cancel</v>
          </cell>
        </row>
        <row r="368">
          <cell r="B368">
            <v>216</v>
          </cell>
          <cell r="C368" t="str">
            <v>C49SZX20190008JL</v>
          </cell>
          <cell r="D368" t="str">
            <v>昶达CHEERSTAR</v>
          </cell>
          <cell r="E368" t="str">
            <v>YSM10</v>
          </cell>
          <cell r="F368" t="str">
            <v>NA</v>
          </cell>
          <cell r="G368" t="e">
            <v>#REF!</v>
          </cell>
          <cell r="H368" t="e">
            <v>#REF!</v>
          </cell>
          <cell r="I368" t="str">
            <v>L-&gt;R</v>
          </cell>
          <cell r="J368" t="str">
            <v>MVC</v>
          </cell>
          <cell r="K368">
            <v>1</v>
          </cell>
          <cell r="L368" t="e">
            <v>#REF!</v>
          </cell>
          <cell r="M368" t="e">
            <v>#REF!</v>
          </cell>
          <cell r="N368"/>
          <cell r="O368"/>
          <cell r="P368"/>
          <cell r="Q368"/>
          <cell r="R368" t="str">
            <v>Yes</v>
          </cell>
          <cell r="S368" t="str">
            <v>C49</v>
          </cell>
          <cell r="T368" t="str">
            <v>SOUTH</v>
          </cell>
          <cell r="U368" t="str">
            <v>深圳</v>
          </cell>
          <cell r="V368" t="str">
            <v>SZ 深圳</v>
          </cell>
          <cell r="W368" t="str">
            <v>JL</v>
          </cell>
          <cell r="X368" t="str">
            <v>JPY</v>
          </cell>
          <cell r="Y368">
            <v>9350000</v>
          </cell>
          <cell r="Z368">
            <v>1</v>
          </cell>
          <cell r="AA368">
            <v>9350000</v>
          </cell>
          <cell r="AB368">
            <v>7.2300000000000003E-2</v>
          </cell>
          <cell r="AC368">
            <v>676005</v>
          </cell>
          <cell r="AD368">
            <v>81120.599999999991</v>
          </cell>
          <cell r="AE368">
            <v>0.12</v>
          </cell>
          <cell r="AF368">
            <v>43480</v>
          </cell>
          <cell r="AG368" t="str">
            <v>CIF</v>
          </cell>
          <cell r="AH368"/>
          <cell r="AI368"/>
          <cell r="AJ368"/>
          <cell r="AK368">
            <v>0.3</v>
          </cell>
          <cell r="AL368">
            <v>2805000</v>
          </cell>
          <cell r="AM368"/>
          <cell r="AN368" t="str">
            <v>No</v>
          </cell>
          <cell r="AO368">
            <v>0.7</v>
          </cell>
          <cell r="AP368">
            <v>6545000</v>
          </cell>
          <cell r="AQ368"/>
          <cell r="AR368"/>
          <cell r="AS368"/>
          <cell r="AT368">
            <v>0</v>
          </cell>
          <cell r="AV368"/>
          <cell r="AW368"/>
          <cell r="AX368" t="str">
            <v>Cancel</v>
          </cell>
          <cell r="AY368"/>
          <cell r="AZ368"/>
          <cell r="BA368" t="str">
            <v>Cancel</v>
          </cell>
        </row>
        <row r="369">
          <cell r="B369">
            <v>217</v>
          </cell>
          <cell r="C369" t="str">
            <v>C49SZX20190008JL</v>
          </cell>
          <cell r="D369" t="str">
            <v>昶达CHEERSTAR</v>
          </cell>
          <cell r="E369" t="str">
            <v>YSM10</v>
          </cell>
          <cell r="F369" t="str">
            <v>NA</v>
          </cell>
          <cell r="G369" t="e">
            <v>#REF!</v>
          </cell>
          <cell r="H369" t="e">
            <v>#REF!</v>
          </cell>
          <cell r="I369" t="str">
            <v>L-&gt;R</v>
          </cell>
          <cell r="J369" t="str">
            <v>No</v>
          </cell>
          <cell r="K369">
            <v>1</v>
          </cell>
          <cell r="L369" t="e">
            <v>#REF!</v>
          </cell>
          <cell r="M369" t="e">
            <v>#REF!</v>
          </cell>
          <cell r="N369"/>
          <cell r="O369"/>
          <cell r="P369"/>
          <cell r="Q369"/>
          <cell r="R369" t="str">
            <v>Yes</v>
          </cell>
          <cell r="S369" t="str">
            <v>C49</v>
          </cell>
          <cell r="T369" t="str">
            <v>SOUTH</v>
          </cell>
          <cell r="U369" t="str">
            <v>深圳</v>
          </cell>
          <cell r="V369" t="str">
            <v>SZ 深圳</v>
          </cell>
          <cell r="W369" t="str">
            <v>JL</v>
          </cell>
          <cell r="X369" t="str">
            <v>JPY</v>
          </cell>
          <cell r="Y369">
            <v>9350000</v>
          </cell>
          <cell r="Z369">
            <v>1</v>
          </cell>
          <cell r="AA369">
            <v>9350000</v>
          </cell>
          <cell r="AB369">
            <v>7.2300000000000003E-2</v>
          </cell>
          <cell r="AC369">
            <v>676005</v>
          </cell>
          <cell r="AD369">
            <v>81120.599999999991</v>
          </cell>
          <cell r="AE369">
            <v>0.12</v>
          </cell>
          <cell r="AF369">
            <v>43480</v>
          </cell>
          <cell r="AG369" t="str">
            <v>CIF</v>
          </cell>
          <cell r="AH369"/>
          <cell r="AI369"/>
          <cell r="AJ369"/>
          <cell r="AK369">
            <v>0.3</v>
          </cell>
          <cell r="AL369">
            <v>2805000</v>
          </cell>
          <cell r="AM369"/>
          <cell r="AN369" t="str">
            <v>No</v>
          </cell>
          <cell r="AO369">
            <v>0.7</v>
          </cell>
          <cell r="AP369">
            <v>6545000</v>
          </cell>
          <cell r="AQ369"/>
          <cell r="AR369"/>
          <cell r="AS369"/>
          <cell r="AT369">
            <v>0</v>
          </cell>
          <cell r="AV369"/>
          <cell r="AW369"/>
          <cell r="AX369" t="str">
            <v>Cancel</v>
          </cell>
          <cell r="AY369"/>
          <cell r="AZ369"/>
          <cell r="BA369" t="str">
            <v>Cancel</v>
          </cell>
        </row>
        <row r="370">
          <cell r="B370">
            <v>218</v>
          </cell>
          <cell r="C370" t="str">
            <v>C49SZX20190008JL</v>
          </cell>
          <cell r="D370" t="str">
            <v>昶达CHEERSTAR</v>
          </cell>
          <cell r="E370" t="str">
            <v>YSM10</v>
          </cell>
          <cell r="F370" t="str">
            <v>NA</v>
          </cell>
          <cell r="G370" t="e">
            <v>#REF!</v>
          </cell>
          <cell r="H370" t="e">
            <v>#REF!</v>
          </cell>
          <cell r="I370" t="str">
            <v>L-&gt;R</v>
          </cell>
          <cell r="J370" t="str">
            <v>No</v>
          </cell>
          <cell r="K370">
            <v>1</v>
          </cell>
          <cell r="L370" t="e">
            <v>#REF!</v>
          </cell>
          <cell r="M370" t="e">
            <v>#REF!</v>
          </cell>
          <cell r="N370"/>
          <cell r="O370"/>
          <cell r="P370"/>
          <cell r="Q370"/>
          <cell r="R370" t="str">
            <v>Yes</v>
          </cell>
          <cell r="S370" t="str">
            <v>C49</v>
          </cell>
          <cell r="T370" t="str">
            <v>SOUTH</v>
          </cell>
          <cell r="U370" t="str">
            <v>深圳</v>
          </cell>
          <cell r="V370" t="str">
            <v>SZ 深圳</v>
          </cell>
          <cell r="W370" t="str">
            <v>JL</v>
          </cell>
          <cell r="X370" t="str">
            <v>JPY</v>
          </cell>
          <cell r="Y370">
            <v>9350000</v>
          </cell>
          <cell r="Z370">
            <v>1</v>
          </cell>
          <cell r="AA370">
            <v>9350000</v>
          </cell>
          <cell r="AB370">
            <v>7.2300000000000003E-2</v>
          </cell>
          <cell r="AC370">
            <v>676005</v>
          </cell>
          <cell r="AD370">
            <v>81120.599999999991</v>
          </cell>
          <cell r="AE370">
            <v>0.12</v>
          </cell>
          <cell r="AF370">
            <v>43480</v>
          </cell>
          <cell r="AG370" t="str">
            <v>CIF</v>
          </cell>
          <cell r="AH370"/>
          <cell r="AI370"/>
          <cell r="AJ370"/>
          <cell r="AK370">
            <v>0.3</v>
          </cell>
          <cell r="AL370">
            <v>2805000</v>
          </cell>
          <cell r="AM370"/>
          <cell r="AN370" t="str">
            <v>No</v>
          </cell>
          <cell r="AO370">
            <v>0.7</v>
          </cell>
          <cell r="AP370">
            <v>6545000</v>
          </cell>
          <cell r="AQ370"/>
          <cell r="AR370"/>
          <cell r="AS370"/>
          <cell r="AT370">
            <v>0</v>
          </cell>
          <cell r="AV370"/>
          <cell r="AW370"/>
          <cell r="AX370" t="str">
            <v>Cancel</v>
          </cell>
          <cell r="AY370"/>
          <cell r="AZ370"/>
          <cell r="BA370" t="str">
            <v>Cancel</v>
          </cell>
        </row>
        <row r="371">
          <cell r="B371">
            <v>219</v>
          </cell>
          <cell r="C371" t="str">
            <v>C49SZX20190008JL</v>
          </cell>
          <cell r="D371" t="str">
            <v>昶达CHEERSTAR</v>
          </cell>
          <cell r="E371" t="str">
            <v>YSM10</v>
          </cell>
          <cell r="F371" t="str">
            <v>NA</v>
          </cell>
          <cell r="G371" t="e">
            <v>#REF!</v>
          </cell>
          <cell r="H371" t="e">
            <v>#REF!</v>
          </cell>
          <cell r="I371" t="str">
            <v>L-&gt;R</v>
          </cell>
          <cell r="J371" t="str">
            <v>No</v>
          </cell>
          <cell r="K371">
            <v>1</v>
          </cell>
          <cell r="L371" t="e">
            <v>#REF!</v>
          </cell>
          <cell r="M371" t="e">
            <v>#REF!</v>
          </cell>
          <cell r="N371"/>
          <cell r="O371"/>
          <cell r="P371"/>
          <cell r="Q371"/>
          <cell r="R371" t="str">
            <v>Yes</v>
          </cell>
          <cell r="S371" t="str">
            <v>C49</v>
          </cell>
          <cell r="T371" t="str">
            <v>SOUTH</v>
          </cell>
          <cell r="U371" t="str">
            <v>深圳</v>
          </cell>
          <cell r="V371" t="str">
            <v>SZ 深圳</v>
          </cell>
          <cell r="W371" t="str">
            <v>JL</v>
          </cell>
          <cell r="X371" t="str">
            <v>JPY</v>
          </cell>
          <cell r="Y371">
            <v>9350000</v>
          </cell>
          <cell r="Z371">
            <v>1</v>
          </cell>
          <cell r="AA371">
            <v>9350000</v>
          </cell>
          <cell r="AB371">
            <v>7.2300000000000003E-2</v>
          </cell>
          <cell r="AC371">
            <v>676005</v>
          </cell>
          <cell r="AD371">
            <v>81120.599999999991</v>
          </cell>
          <cell r="AE371">
            <v>0.12</v>
          </cell>
          <cell r="AF371">
            <v>43480</v>
          </cell>
          <cell r="AG371" t="str">
            <v>CIF</v>
          </cell>
          <cell r="AH371"/>
          <cell r="AI371"/>
          <cell r="AJ371"/>
          <cell r="AK371">
            <v>0.3</v>
          </cell>
          <cell r="AL371">
            <v>2805000</v>
          </cell>
          <cell r="AM371"/>
          <cell r="AN371" t="str">
            <v>No</v>
          </cell>
          <cell r="AO371">
            <v>0.7</v>
          </cell>
          <cell r="AP371">
            <v>6545000</v>
          </cell>
          <cell r="AQ371"/>
          <cell r="AR371"/>
          <cell r="AS371"/>
          <cell r="AT371">
            <v>0</v>
          </cell>
          <cell r="AV371"/>
          <cell r="AW371"/>
          <cell r="AX371" t="str">
            <v>Cancel</v>
          </cell>
          <cell r="AY371"/>
          <cell r="AZ371"/>
          <cell r="BA371" t="str">
            <v>Cancel</v>
          </cell>
        </row>
        <row r="372">
          <cell r="B372">
            <v>220</v>
          </cell>
          <cell r="C372" t="str">
            <v>C49SZX20190009SS</v>
          </cell>
          <cell r="D372" t="str">
            <v>联合金睿</v>
          </cell>
          <cell r="E372" t="str">
            <v>YSM20R(SV)-2</v>
          </cell>
          <cell r="F372" t="str">
            <v>NA</v>
          </cell>
          <cell r="G372" t="e">
            <v>#REF!</v>
          </cell>
          <cell r="H372" t="e">
            <v>#REF!</v>
          </cell>
          <cell r="I372" t="str">
            <v>R-&gt;L</v>
          </cell>
          <cell r="J372" t="str">
            <v>No</v>
          </cell>
          <cell r="K372">
            <v>1</v>
          </cell>
          <cell r="L372" t="str">
            <v>取消</v>
          </cell>
          <cell r="M372" t="e">
            <v>#N/A</v>
          </cell>
          <cell r="N372"/>
          <cell r="O372"/>
          <cell r="P372"/>
          <cell r="Q372"/>
          <cell r="R372" t="str">
            <v>No</v>
          </cell>
          <cell r="S372" t="str">
            <v>C49</v>
          </cell>
          <cell r="T372" t="str">
            <v>SOUTH</v>
          </cell>
          <cell r="U372" t="str">
            <v>深圳</v>
          </cell>
          <cell r="V372" t="str">
            <v>SZ 深圳</v>
          </cell>
          <cell r="W372" t="str">
            <v>SS</v>
          </cell>
          <cell r="X372" t="str">
            <v>JPY</v>
          </cell>
          <cell r="Y372">
            <v>14304539</v>
          </cell>
          <cell r="Z372">
            <v>1</v>
          </cell>
          <cell r="AA372">
            <v>14304539</v>
          </cell>
          <cell r="AB372">
            <v>7.2300000000000003E-2</v>
          </cell>
          <cell r="AC372">
            <v>1034218.1697000001</v>
          </cell>
          <cell r="AD372">
            <v>124106.180364</v>
          </cell>
          <cell r="AE372">
            <v>0.12</v>
          </cell>
          <cell r="AF372">
            <v>43480</v>
          </cell>
          <cell r="AG372" t="str">
            <v>DAP 深圳</v>
          </cell>
          <cell r="AH372"/>
          <cell r="AI372"/>
          <cell r="AJ372"/>
          <cell r="AK372">
            <v>0.2</v>
          </cell>
          <cell r="AL372">
            <v>2860907.8000000003</v>
          </cell>
          <cell r="AM372"/>
          <cell r="AN372" t="str">
            <v>No</v>
          </cell>
          <cell r="AO372">
            <v>0.8</v>
          </cell>
          <cell r="AP372">
            <v>11443631.200000001</v>
          </cell>
          <cell r="AQ372"/>
          <cell r="AR372"/>
          <cell r="AS372"/>
          <cell r="AT372">
            <v>0</v>
          </cell>
          <cell r="AV372"/>
          <cell r="AW372"/>
          <cell r="AX372" t="str">
            <v>Cancel</v>
          </cell>
          <cell r="AY372"/>
          <cell r="AZ372"/>
          <cell r="BA372" t="str">
            <v>Cancel</v>
          </cell>
        </row>
        <row r="373">
          <cell r="B373">
            <v>221</v>
          </cell>
          <cell r="C373" t="str">
            <v>C49SZX20190009SS</v>
          </cell>
          <cell r="D373" t="str">
            <v>联合金睿</v>
          </cell>
          <cell r="E373" t="str">
            <v>YSM10</v>
          </cell>
          <cell r="F373" t="str">
            <v>NA</v>
          </cell>
          <cell r="G373" t="e">
            <v>#REF!</v>
          </cell>
          <cell r="H373" t="e">
            <v>#REF!</v>
          </cell>
          <cell r="I373" t="str">
            <v>R-&gt;L</v>
          </cell>
          <cell r="J373" t="str">
            <v>1.2m longboard+加大板相机</v>
          </cell>
          <cell r="K373">
            <v>1</v>
          </cell>
          <cell r="L373" t="str">
            <v>取消</v>
          </cell>
          <cell r="M373" t="e">
            <v>#N/A</v>
          </cell>
          <cell r="N373"/>
          <cell r="O373"/>
          <cell r="P373"/>
          <cell r="Q373"/>
          <cell r="R373" t="str">
            <v>No</v>
          </cell>
          <cell r="S373" t="str">
            <v>C49</v>
          </cell>
          <cell r="T373" t="str">
            <v>SOUTH</v>
          </cell>
          <cell r="U373" t="str">
            <v>深圳</v>
          </cell>
          <cell r="V373" t="str">
            <v>SZ 深圳</v>
          </cell>
          <cell r="W373" t="str">
            <v>SS</v>
          </cell>
          <cell r="X373" t="str">
            <v>JPY</v>
          </cell>
          <cell r="Y373">
            <v>10000000</v>
          </cell>
          <cell r="Z373">
            <v>1</v>
          </cell>
          <cell r="AA373">
            <v>10000000</v>
          </cell>
          <cell r="AB373">
            <v>7.2300000000000003E-2</v>
          </cell>
          <cell r="AC373">
            <v>723000</v>
          </cell>
          <cell r="AD373">
            <v>86760</v>
          </cell>
          <cell r="AE373">
            <v>0.12</v>
          </cell>
          <cell r="AF373">
            <v>43480</v>
          </cell>
          <cell r="AG373" t="str">
            <v>DAP 深圳</v>
          </cell>
          <cell r="AH373"/>
          <cell r="AI373"/>
          <cell r="AJ373"/>
          <cell r="AK373">
            <v>0.2</v>
          </cell>
          <cell r="AL373">
            <v>2000000</v>
          </cell>
          <cell r="AM373"/>
          <cell r="AN373" t="str">
            <v>No</v>
          </cell>
          <cell r="AO373">
            <v>0.8</v>
          </cell>
          <cell r="AP373">
            <v>8000000</v>
          </cell>
          <cell r="AQ373"/>
          <cell r="AR373"/>
          <cell r="AS373"/>
          <cell r="AT373">
            <v>0</v>
          </cell>
          <cell r="AV373"/>
          <cell r="AW373"/>
          <cell r="AX373" t="str">
            <v>Cancel</v>
          </cell>
          <cell r="AY373"/>
          <cell r="AZ373"/>
          <cell r="BA373" t="str">
            <v>Cancel</v>
          </cell>
        </row>
        <row r="374">
          <cell r="B374">
            <v>222</v>
          </cell>
          <cell r="C374" t="str">
            <v>C49SZX20190012SX</v>
          </cell>
          <cell r="D374" t="str">
            <v>恒泰</v>
          </cell>
          <cell r="E374" t="str">
            <v>YSM20-2</v>
          </cell>
          <cell r="F374" t="str">
            <v>#80305</v>
          </cell>
          <cell r="G374" t="e">
            <v>#REF!</v>
          </cell>
          <cell r="H374" t="e">
            <v>#REF!</v>
          </cell>
          <cell r="I374" t="str">
            <v>L-&gt;R</v>
          </cell>
          <cell r="J374" t="str">
            <v>No</v>
          </cell>
          <cell r="K374">
            <v>1</v>
          </cell>
          <cell r="L374">
            <v>109388</v>
          </cell>
          <cell r="M374" t="str">
            <v>JAN 19</v>
          </cell>
          <cell r="O374">
            <v>11116251</v>
          </cell>
          <cell r="P374">
            <v>14626800</v>
          </cell>
          <cell r="Q374">
            <v>43466</v>
          </cell>
          <cell r="R374" t="str">
            <v>No</v>
          </cell>
          <cell r="S374" t="str">
            <v>C49</v>
          </cell>
          <cell r="T374" t="str">
            <v>SOUTH</v>
          </cell>
          <cell r="U374" t="str">
            <v>江西</v>
          </cell>
          <cell r="V374" t="str">
            <v>SZ 深圳</v>
          </cell>
          <cell r="W374" t="str">
            <v>SX</v>
          </cell>
          <cell r="X374" t="str">
            <v>JPY</v>
          </cell>
          <cell r="Y374">
            <v>14626800</v>
          </cell>
          <cell r="Z374">
            <v>1</v>
          </cell>
          <cell r="AA374">
            <v>14626800</v>
          </cell>
          <cell r="AB374">
            <v>7.2300000000000003E-2</v>
          </cell>
          <cell r="AC374">
            <v>1057517.6400000001</v>
          </cell>
          <cell r="AD374">
            <v>126902.11680000002</v>
          </cell>
          <cell r="AE374">
            <v>0.12</v>
          </cell>
          <cell r="AF374">
            <v>43481</v>
          </cell>
          <cell r="AG374" t="str">
            <v>DAP 江西</v>
          </cell>
          <cell r="AH374"/>
          <cell r="AI374"/>
          <cell r="AJ374"/>
          <cell r="AK374">
            <v>1</v>
          </cell>
          <cell r="AL374">
            <v>14626800</v>
          </cell>
          <cell r="AM374">
            <v>43466</v>
          </cell>
          <cell r="AN374" t="str">
            <v>Yes</v>
          </cell>
          <cell r="AO374" t="str">
            <v>complete</v>
          </cell>
          <cell r="AP374"/>
          <cell r="AR374"/>
          <cell r="AS374"/>
          <cell r="AT374">
            <v>0</v>
          </cell>
          <cell r="AV374"/>
          <cell r="AW374"/>
          <cell r="AX374" t="str">
            <v>Yes</v>
          </cell>
          <cell r="AY374"/>
          <cell r="AZ374" t="str">
            <v>Y</v>
          </cell>
          <cell r="BA374" t="str">
            <v>Yes</v>
          </cell>
        </row>
        <row r="375">
          <cell r="B375">
            <v>224</v>
          </cell>
          <cell r="C375" t="str">
            <v>GF201812050</v>
          </cell>
          <cell r="D375" t="str">
            <v>新余赣锋</v>
          </cell>
          <cell r="E375" t="str">
            <v>TROI-7700E</v>
          </cell>
          <cell r="F375" t="str">
            <v>No</v>
          </cell>
          <cell r="G375" t="e">
            <v>#REF!</v>
          </cell>
          <cell r="H375" t="e">
            <v>#REF!</v>
          </cell>
          <cell r="I375" t="str">
            <v>L-&gt;R</v>
          </cell>
          <cell r="J375" t="str">
            <v>No</v>
          </cell>
          <cell r="K375">
            <v>1</v>
          </cell>
          <cell r="L375" t="e">
            <v>#N/A</v>
          </cell>
          <cell r="M375" t="e">
            <v>#N/A</v>
          </cell>
          <cell r="O375">
            <v>11100942</v>
          </cell>
          <cell r="P375">
            <v>350000</v>
          </cell>
          <cell r="Q375">
            <v>43497</v>
          </cell>
          <cell r="R375" t="str">
            <v>Yes</v>
          </cell>
          <cell r="S375" t="str">
            <v>C28</v>
          </cell>
          <cell r="T375" t="str">
            <v>PRC</v>
          </cell>
          <cell r="U375" t="str">
            <v>江西</v>
          </cell>
          <cell r="V375" t="str">
            <v>SZ 深圳</v>
          </cell>
          <cell r="W375" t="str">
            <v>Li Yong</v>
          </cell>
          <cell r="X375" t="str">
            <v>RMB</v>
          </cell>
          <cell r="Y375">
            <v>350000</v>
          </cell>
          <cell r="Z375">
            <v>1.1599999999999999</v>
          </cell>
          <cell r="AA375">
            <v>350000</v>
          </cell>
          <cell r="AB375">
            <v>1.125</v>
          </cell>
          <cell r="AC375">
            <v>339439.6551724138</v>
          </cell>
          <cell r="AD375">
            <v>40732.758620689652</v>
          </cell>
          <cell r="AE375">
            <v>0.12</v>
          </cell>
          <cell r="AF375">
            <v>43446</v>
          </cell>
          <cell r="AG375" t="str">
            <v>含税到厂</v>
          </cell>
          <cell r="AH375"/>
          <cell r="AI375"/>
          <cell r="AJ375"/>
          <cell r="AK375">
            <v>0.3</v>
          </cell>
          <cell r="AL375">
            <v>105000</v>
          </cell>
          <cell r="AM375">
            <v>43466</v>
          </cell>
          <cell r="AN375" t="str">
            <v>Yes</v>
          </cell>
          <cell r="AO375">
            <v>0.6</v>
          </cell>
          <cell r="AP375">
            <v>210000</v>
          </cell>
          <cell r="AQ375">
            <v>43497</v>
          </cell>
          <cell r="AR375">
            <v>43516</v>
          </cell>
          <cell r="AS375">
            <v>0.1</v>
          </cell>
          <cell r="AT375">
            <v>35000</v>
          </cell>
          <cell r="AV375"/>
          <cell r="AW375"/>
          <cell r="AY375"/>
          <cell r="BA375" t="str">
            <v>Yes</v>
          </cell>
        </row>
        <row r="376">
          <cell r="B376">
            <v>225</v>
          </cell>
          <cell r="C376" t="str">
            <v>GF201812050</v>
          </cell>
          <cell r="D376" t="str">
            <v>新余赣锋</v>
          </cell>
          <cell r="E376" t="str">
            <v>PTB-460</v>
          </cell>
          <cell r="F376" t="str">
            <v>No</v>
          </cell>
          <cell r="G376" t="e">
            <v>#REF!</v>
          </cell>
          <cell r="H376" t="e">
            <v>#REF!</v>
          </cell>
          <cell r="I376" t="str">
            <v>L-&gt;R</v>
          </cell>
          <cell r="J376" t="str">
            <v>No</v>
          </cell>
          <cell r="K376">
            <v>1</v>
          </cell>
          <cell r="L376" t="e">
            <v>#N/A</v>
          </cell>
          <cell r="M376" t="e">
            <v>#N/A</v>
          </cell>
          <cell r="O376">
            <v>11100942</v>
          </cell>
          <cell r="P376">
            <v>6500</v>
          </cell>
          <cell r="Q376">
            <v>43497</v>
          </cell>
          <cell r="R376" t="str">
            <v>Yes</v>
          </cell>
          <cell r="S376" t="str">
            <v>C28</v>
          </cell>
          <cell r="T376" t="str">
            <v>PRC</v>
          </cell>
          <cell r="U376" t="str">
            <v>江西</v>
          </cell>
          <cell r="V376" t="str">
            <v>SZ 深圳</v>
          </cell>
          <cell r="W376" t="str">
            <v>Li Yong</v>
          </cell>
          <cell r="X376" t="str">
            <v>RMB</v>
          </cell>
          <cell r="Y376">
            <v>6500</v>
          </cell>
          <cell r="Z376">
            <v>1.1599999999999999</v>
          </cell>
          <cell r="AA376">
            <v>6500</v>
          </cell>
          <cell r="AB376">
            <v>1.125</v>
          </cell>
          <cell r="AC376">
            <v>6303.8793103448288</v>
          </cell>
          <cell r="AD376">
            <v>756.46551724137942</v>
          </cell>
          <cell r="AE376">
            <v>0.12</v>
          </cell>
          <cell r="AF376">
            <v>43446</v>
          </cell>
          <cell r="AG376" t="str">
            <v>含税到厂</v>
          </cell>
          <cell r="AH376"/>
          <cell r="AI376"/>
          <cell r="AJ376"/>
          <cell r="AK376">
            <v>0.3</v>
          </cell>
          <cell r="AL376">
            <v>1950</v>
          </cell>
          <cell r="AM376">
            <v>43466</v>
          </cell>
          <cell r="AN376" t="str">
            <v>Yes</v>
          </cell>
          <cell r="AO376">
            <v>0.6</v>
          </cell>
          <cell r="AP376">
            <v>3900</v>
          </cell>
          <cell r="AQ376">
            <v>43497</v>
          </cell>
          <cell r="AR376">
            <v>43516</v>
          </cell>
          <cell r="AS376">
            <v>0.1</v>
          </cell>
          <cell r="AT376">
            <v>650</v>
          </cell>
          <cell r="AV376"/>
          <cell r="AW376"/>
          <cell r="AY376"/>
          <cell r="BA376" t="str">
            <v>Yes</v>
          </cell>
        </row>
        <row r="377">
          <cell r="B377">
            <v>226</v>
          </cell>
          <cell r="C377" t="str">
            <v>GF201812050</v>
          </cell>
          <cell r="D377" t="str">
            <v>新余赣锋</v>
          </cell>
          <cell r="E377" t="str">
            <v>PTB-F460</v>
          </cell>
          <cell r="F377" t="str">
            <v>No</v>
          </cell>
          <cell r="G377" t="e">
            <v>#REF!</v>
          </cell>
          <cell r="H377" t="e">
            <v>#REF!</v>
          </cell>
          <cell r="I377" t="str">
            <v>L-&gt;R</v>
          </cell>
          <cell r="J377" t="str">
            <v>No</v>
          </cell>
          <cell r="K377">
            <v>1</v>
          </cell>
          <cell r="L377" t="e">
            <v>#N/A</v>
          </cell>
          <cell r="M377" t="e">
            <v>#N/A</v>
          </cell>
          <cell r="O377">
            <v>11100942</v>
          </cell>
          <cell r="P377">
            <v>9500</v>
          </cell>
          <cell r="Q377">
            <v>43497</v>
          </cell>
          <cell r="R377" t="str">
            <v>Yes</v>
          </cell>
          <cell r="S377" t="str">
            <v>C28</v>
          </cell>
          <cell r="T377" t="str">
            <v>PRC</v>
          </cell>
          <cell r="U377" t="str">
            <v>江西</v>
          </cell>
          <cell r="V377" t="str">
            <v>SZ 深圳</v>
          </cell>
          <cell r="W377" t="str">
            <v>Li Yong</v>
          </cell>
          <cell r="X377" t="str">
            <v>RMB</v>
          </cell>
          <cell r="Y377">
            <v>9500</v>
          </cell>
          <cell r="Z377">
            <v>1.1599999999999999</v>
          </cell>
          <cell r="AA377">
            <v>9500</v>
          </cell>
          <cell r="AB377">
            <v>1.125</v>
          </cell>
          <cell r="AC377">
            <v>9213.3620689655181</v>
          </cell>
          <cell r="AD377">
            <v>1105.6034482758621</v>
          </cell>
          <cell r="AE377">
            <v>0.12</v>
          </cell>
          <cell r="AF377">
            <v>43446</v>
          </cell>
          <cell r="AG377" t="str">
            <v>含税到厂</v>
          </cell>
          <cell r="AH377"/>
          <cell r="AI377"/>
          <cell r="AJ377"/>
          <cell r="AK377">
            <v>0.3</v>
          </cell>
          <cell r="AL377">
            <v>2850</v>
          </cell>
          <cell r="AM377">
            <v>43466</v>
          </cell>
          <cell r="AN377" t="str">
            <v>Yes</v>
          </cell>
          <cell r="AO377">
            <v>0.6</v>
          </cell>
          <cell r="AP377">
            <v>5700</v>
          </cell>
          <cell r="AQ377">
            <v>43497</v>
          </cell>
          <cell r="AR377">
            <v>43516</v>
          </cell>
          <cell r="AS377">
            <v>0.1</v>
          </cell>
          <cell r="AT377">
            <v>950</v>
          </cell>
          <cell r="AV377"/>
          <cell r="AW377"/>
          <cell r="AY377"/>
          <cell r="BA377" t="str">
            <v>Yes</v>
          </cell>
        </row>
        <row r="378">
          <cell r="B378">
            <v>227</v>
          </cell>
          <cell r="C378" t="str">
            <v>C49SZX20190013DZ</v>
          </cell>
          <cell r="D378" t="str">
            <v>兆晖</v>
          </cell>
          <cell r="E378" t="str">
            <v>YSM20R(SV)-2</v>
          </cell>
          <cell r="F378" t="str">
            <v>#34562</v>
          </cell>
          <cell r="G378" t="e">
            <v>#REF!</v>
          </cell>
          <cell r="H378" t="e">
            <v>#REF!</v>
          </cell>
          <cell r="I378" t="str">
            <v>L-&gt;R</v>
          </cell>
          <cell r="J378" t="str">
            <v>MVC</v>
          </cell>
          <cell r="K378">
            <v>1</v>
          </cell>
          <cell r="L378">
            <v>109393</v>
          </cell>
          <cell r="M378" t="str">
            <v>MAR 19</v>
          </cell>
          <cell r="O378">
            <v>11116258</v>
          </cell>
          <cell r="P378">
            <v>12770000</v>
          </cell>
          <cell r="Q378">
            <v>43525</v>
          </cell>
          <cell r="R378" t="str">
            <v>No</v>
          </cell>
          <cell r="S378" t="str">
            <v>C49</v>
          </cell>
          <cell r="T378" t="str">
            <v>SOUTH</v>
          </cell>
          <cell r="U378" t="str">
            <v>深圳</v>
          </cell>
          <cell r="V378" t="str">
            <v>SZ 深圳</v>
          </cell>
          <cell r="W378" t="str">
            <v>DZ</v>
          </cell>
          <cell r="X378" t="str">
            <v>JPY</v>
          </cell>
          <cell r="Y378">
            <v>12770000</v>
          </cell>
          <cell r="Z378">
            <v>1</v>
          </cell>
          <cell r="AA378">
            <v>12770000</v>
          </cell>
          <cell r="AB378">
            <v>7.2300000000000003E-2</v>
          </cell>
          <cell r="AC378">
            <v>923271</v>
          </cell>
          <cell r="AD378">
            <v>110792.51999999999</v>
          </cell>
          <cell r="AE378">
            <v>0.12</v>
          </cell>
          <cell r="AF378">
            <v>43488</v>
          </cell>
          <cell r="AG378" t="str">
            <v xml:space="preserve">CIF </v>
          </cell>
          <cell r="AH378"/>
          <cell r="AI378">
            <v>200000</v>
          </cell>
          <cell r="AJ378">
            <v>43490</v>
          </cell>
          <cell r="AK378">
            <v>0.2</v>
          </cell>
          <cell r="AL378">
            <v>2554000</v>
          </cell>
          <cell r="AN378" t="str">
            <v>Yes</v>
          </cell>
          <cell r="AO378">
            <v>0.75</v>
          </cell>
          <cell r="AP378">
            <v>9577500</v>
          </cell>
          <cell r="AQ378">
            <v>43525</v>
          </cell>
          <cell r="AR378">
            <v>43529</v>
          </cell>
          <cell r="AS378">
            <v>0.05</v>
          </cell>
          <cell r="AT378">
            <v>638500</v>
          </cell>
          <cell r="AU378">
            <v>43556</v>
          </cell>
          <cell r="AV378">
            <v>43572</v>
          </cell>
          <cell r="AW378" t="str">
            <v>complete</v>
          </cell>
          <cell r="AX378" t="str">
            <v>Yes</v>
          </cell>
          <cell r="AY378"/>
          <cell r="AZ378" t="str">
            <v>Y</v>
          </cell>
          <cell r="BA378" t="str">
            <v>Yes</v>
          </cell>
        </row>
        <row r="379">
          <cell r="B379">
            <v>228</v>
          </cell>
          <cell r="C379" t="str">
            <v>C49SZX20190013DZ</v>
          </cell>
          <cell r="D379" t="str">
            <v>兆晖</v>
          </cell>
          <cell r="E379" t="str">
            <v>YSM20R(SV)-2</v>
          </cell>
          <cell r="F379" t="str">
            <v>#34562</v>
          </cell>
          <cell r="G379" t="e">
            <v>#REF!</v>
          </cell>
          <cell r="H379" t="e">
            <v>#REF!</v>
          </cell>
          <cell r="I379" t="str">
            <v>L-&gt;R</v>
          </cell>
          <cell r="J379" t="str">
            <v>MVC</v>
          </cell>
          <cell r="K379">
            <v>1</v>
          </cell>
          <cell r="L379">
            <v>109393</v>
          </cell>
          <cell r="M379" t="str">
            <v>MAR 19</v>
          </cell>
          <cell r="O379">
            <v>11116258</v>
          </cell>
          <cell r="P379">
            <v>12770000</v>
          </cell>
          <cell r="Q379">
            <v>43525</v>
          </cell>
          <cell r="R379" t="str">
            <v>No</v>
          </cell>
          <cell r="S379" t="str">
            <v>C49</v>
          </cell>
          <cell r="T379" t="str">
            <v>SOUTH</v>
          </cell>
          <cell r="U379" t="str">
            <v>深圳</v>
          </cell>
          <cell r="V379" t="str">
            <v>SZ 深圳</v>
          </cell>
          <cell r="W379" t="str">
            <v>DZ</v>
          </cell>
          <cell r="X379" t="str">
            <v>JPY</v>
          </cell>
          <cell r="Y379">
            <v>12770000</v>
          </cell>
          <cell r="Z379">
            <v>1</v>
          </cell>
          <cell r="AA379">
            <v>12770000</v>
          </cell>
          <cell r="AB379">
            <v>7.2300000000000003E-2</v>
          </cell>
          <cell r="AC379">
            <v>923271</v>
          </cell>
          <cell r="AD379">
            <v>110792.51999999999</v>
          </cell>
          <cell r="AE379">
            <v>0.12</v>
          </cell>
          <cell r="AF379">
            <v>43488</v>
          </cell>
          <cell r="AG379" t="str">
            <v xml:space="preserve">CIF </v>
          </cell>
          <cell r="AH379"/>
          <cell r="AI379">
            <v>0</v>
          </cell>
          <cell r="AJ379">
            <v>43490</v>
          </cell>
          <cell r="AK379">
            <v>0.2</v>
          </cell>
          <cell r="AL379">
            <v>2554000</v>
          </cell>
          <cell r="AN379" t="str">
            <v>Yes</v>
          </cell>
          <cell r="AO379">
            <v>0.75</v>
          </cell>
          <cell r="AP379">
            <v>9577500</v>
          </cell>
          <cell r="AQ379">
            <v>43525</v>
          </cell>
          <cell r="AR379">
            <v>43529</v>
          </cell>
          <cell r="AS379">
            <v>0.05</v>
          </cell>
          <cell r="AT379">
            <v>638500</v>
          </cell>
          <cell r="AU379">
            <v>43556</v>
          </cell>
          <cell r="AV379">
            <v>43572</v>
          </cell>
          <cell r="AW379" t="str">
            <v>complete</v>
          </cell>
          <cell r="AX379" t="str">
            <v>Yes</v>
          </cell>
          <cell r="AY379"/>
          <cell r="AZ379" t="str">
            <v>Y</v>
          </cell>
          <cell r="BA379" t="str">
            <v>Yes</v>
          </cell>
        </row>
        <row r="380">
          <cell r="B380">
            <v>229</v>
          </cell>
          <cell r="C380" t="str">
            <v>C49SZX20190013DZ</v>
          </cell>
          <cell r="D380" t="str">
            <v>兆晖</v>
          </cell>
          <cell r="E380" t="str">
            <v>YSM20R(SV)-2</v>
          </cell>
          <cell r="F380" t="str">
            <v>#34562</v>
          </cell>
          <cell r="G380" t="e">
            <v>#REF!</v>
          </cell>
          <cell r="H380" t="e">
            <v>#REF!</v>
          </cell>
          <cell r="I380" t="str">
            <v>L-&gt;R</v>
          </cell>
          <cell r="J380" t="str">
            <v>MVC</v>
          </cell>
          <cell r="K380">
            <v>1</v>
          </cell>
          <cell r="L380">
            <v>109393</v>
          </cell>
          <cell r="M380" t="str">
            <v>MAR 19</v>
          </cell>
          <cell r="O380">
            <v>11116258</v>
          </cell>
          <cell r="P380">
            <v>12770000</v>
          </cell>
          <cell r="Q380">
            <v>43525</v>
          </cell>
          <cell r="R380" t="str">
            <v>No</v>
          </cell>
          <cell r="S380" t="str">
            <v>C49</v>
          </cell>
          <cell r="T380" t="str">
            <v>SOUTH</v>
          </cell>
          <cell r="U380" t="str">
            <v>深圳</v>
          </cell>
          <cell r="V380" t="str">
            <v>SZ 深圳</v>
          </cell>
          <cell r="W380" t="str">
            <v>DZ</v>
          </cell>
          <cell r="X380" t="str">
            <v>JPY</v>
          </cell>
          <cell r="Y380">
            <v>12770000</v>
          </cell>
          <cell r="Z380">
            <v>1</v>
          </cell>
          <cell r="AA380">
            <v>12770000</v>
          </cell>
          <cell r="AB380">
            <v>7.2300000000000003E-2</v>
          </cell>
          <cell r="AC380">
            <v>923271</v>
          </cell>
          <cell r="AD380">
            <v>110792.51999999999</v>
          </cell>
          <cell r="AE380">
            <v>0.12</v>
          </cell>
          <cell r="AF380">
            <v>43488</v>
          </cell>
          <cell r="AG380" t="str">
            <v xml:space="preserve">CIF </v>
          </cell>
          <cell r="AH380"/>
          <cell r="AI380">
            <v>0</v>
          </cell>
          <cell r="AJ380">
            <v>43490</v>
          </cell>
          <cell r="AK380">
            <v>0.2</v>
          </cell>
          <cell r="AL380">
            <v>2554000</v>
          </cell>
          <cell r="AN380" t="str">
            <v>Yes</v>
          </cell>
          <cell r="AO380">
            <v>0.75</v>
          </cell>
          <cell r="AP380">
            <v>9577500</v>
          </cell>
          <cell r="AQ380">
            <v>43525</v>
          </cell>
          <cell r="AR380">
            <v>43529</v>
          </cell>
          <cell r="AS380">
            <v>0.05</v>
          </cell>
          <cell r="AT380">
            <v>638500</v>
          </cell>
          <cell r="AU380">
            <v>43556</v>
          </cell>
          <cell r="AV380">
            <v>43572</v>
          </cell>
          <cell r="AW380" t="str">
            <v>complete</v>
          </cell>
          <cell r="AX380" t="str">
            <v>Yes</v>
          </cell>
          <cell r="AY380"/>
          <cell r="AZ380" t="str">
            <v>Y</v>
          </cell>
          <cell r="BA380" t="str">
            <v>Yes</v>
          </cell>
        </row>
        <row r="381">
          <cell r="B381">
            <v>230</v>
          </cell>
          <cell r="C381" t="str">
            <v>C49SZX20190014DZ</v>
          </cell>
          <cell r="D381" t="str">
            <v>兆晖</v>
          </cell>
          <cell r="E381" t="str">
            <v>YSM20R(SV)-2</v>
          </cell>
          <cell r="F381" t="str">
            <v>NA</v>
          </cell>
          <cell r="G381" t="e">
            <v>#REF!</v>
          </cell>
          <cell r="H381" t="e">
            <v>#REF!</v>
          </cell>
          <cell r="I381" t="str">
            <v>L-&gt;R</v>
          </cell>
          <cell r="J381" t="str">
            <v>MVC</v>
          </cell>
          <cell r="K381">
            <v>1</v>
          </cell>
          <cell r="L381" t="e">
            <v>#REF!</v>
          </cell>
          <cell r="M381" t="e">
            <v>#REF!</v>
          </cell>
          <cell r="N381"/>
          <cell r="O381"/>
          <cell r="P381"/>
          <cell r="Q381"/>
          <cell r="R381" t="str">
            <v>No</v>
          </cell>
          <cell r="S381" t="str">
            <v>C49</v>
          </cell>
          <cell r="T381" t="str">
            <v>SOUTH</v>
          </cell>
          <cell r="U381" t="str">
            <v>深圳</v>
          </cell>
          <cell r="V381" t="str">
            <v>SZ 深圳</v>
          </cell>
          <cell r="W381" t="str">
            <v>DZ</v>
          </cell>
          <cell r="X381" t="str">
            <v>JPY</v>
          </cell>
          <cell r="Y381">
            <v>12770000</v>
          </cell>
          <cell r="Z381">
            <v>1</v>
          </cell>
          <cell r="AA381">
            <v>12770000</v>
          </cell>
          <cell r="AB381">
            <v>7.2300000000000003E-2</v>
          </cell>
          <cell r="AC381">
            <v>923271</v>
          </cell>
          <cell r="AD381">
            <v>110792.51999999999</v>
          </cell>
          <cell r="AE381">
            <v>0.12</v>
          </cell>
          <cell r="AF381">
            <v>43488</v>
          </cell>
          <cell r="AG381" t="str">
            <v xml:space="preserve">CIF </v>
          </cell>
          <cell r="AH381"/>
          <cell r="AI381"/>
          <cell r="AJ381"/>
          <cell r="AK381">
            <v>0.2</v>
          </cell>
          <cell r="AL381">
            <v>2554000</v>
          </cell>
          <cell r="AM381"/>
          <cell r="AN381" t="str">
            <v>No</v>
          </cell>
          <cell r="AO381">
            <v>0.8</v>
          </cell>
          <cell r="AP381">
            <v>10216000</v>
          </cell>
          <cell r="AQ381"/>
          <cell r="AR381"/>
          <cell r="AS381"/>
          <cell r="AT381">
            <v>0</v>
          </cell>
          <cell r="AV381"/>
          <cell r="AW381"/>
          <cell r="AX381" t="str">
            <v>Cancel</v>
          </cell>
          <cell r="AY381"/>
          <cell r="AZ381"/>
          <cell r="BA381" t="str">
            <v>Cancel</v>
          </cell>
        </row>
        <row r="382">
          <cell r="B382">
            <v>231</v>
          </cell>
          <cell r="C382" t="str">
            <v>C49SZX20190014DZ</v>
          </cell>
          <cell r="D382" t="str">
            <v>兆晖</v>
          </cell>
          <cell r="E382" t="str">
            <v>YSM20R(SV)-2</v>
          </cell>
          <cell r="F382" t="str">
            <v>NA</v>
          </cell>
          <cell r="G382" t="e">
            <v>#REF!</v>
          </cell>
          <cell r="H382" t="e">
            <v>#REF!</v>
          </cell>
          <cell r="I382" t="str">
            <v>L-&gt;R</v>
          </cell>
          <cell r="J382" t="str">
            <v>MVC</v>
          </cell>
          <cell r="K382">
            <v>1</v>
          </cell>
          <cell r="L382" t="e">
            <v>#REF!</v>
          </cell>
          <cell r="M382" t="e">
            <v>#REF!</v>
          </cell>
          <cell r="N382"/>
          <cell r="O382"/>
          <cell r="P382"/>
          <cell r="Q382"/>
          <cell r="R382" t="str">
            <v>No</v>
          </cell>
          <cell r="S382" t="str">
            <v>C49</v>
          </cell>
          <cell r="T382" t="str">
            <v>SOUTH</v>
          </cell>
          <cell r="U382" t="str">
            <v>深圳</v>
          </cell>
          <cell r="V382" t="str">
            <v>SZ 深圳</v>
          </cell>
          <cell r="W382" t="str">
            <v>DZ</v>
          </cell>
          <cell r="X382" t="str">
            <v>JPY</v>
          </cell>
          <cell r="Y382">
            <v>12770000</v>
          </cell>
          <cell r="Z382">
            <v>1</v>
          </cell>
          <cell r="AA382">
            <v>12770000</v>
          </cell>
          <cell r="AB382">
            <v>7.2300000000000003E-2</v>
          </cell>
          <cell r="AC382">
            <v>923271</v>
          </cell>
          <cell r="AD382">
            <v>110792.51999999999</v>
          </cell>
          <cell r="AE382">
            <v>0.12</v>
          </cell>
          <cell r="AF382">
            <v>43488</v>
          </cell>
          <cell r="AG382" t="str">
            <v xml:space="preserve">CIF </v>
          </cell>
          <cell r="AH382"/>
          <cell r="AI382"/>
          <cell r="AJ382"/>
          <cell r="AK382">
            <v>0.2</v>
          </cell>
          <cell r="AL382">
            <v>2554000</v>
          </cell>
          <cell r="AM382"/>
          <cell r="AN382" t="str">
            <v>No</v>
          </cell>
          <cell r="AO382">
            <v>0.8</v>
          </cell>
          <cell r="AP382">
            <v>10216000</v>
          </cell>
          <cell r="AQ382"/>
          <cell r="AR382"/>
          <cell r="AS382"/>
          <cell r="AT382">
            <v>0</v>
          </cell>
          <cell r="AV382"/>
          <cell r="AW382"/>
          <cell r="AX382" t="str">
            <v>Cancel</v>
          </cell>
          <cell r="AY382"/>
          <cell r="AZ382"/>
          <cell r="BA382" t="str">
            <v>Cancel</v>
          </cell>
        </row>
        <row r="383">
          <cell r="B383">
            <v>232</v>
          </cell>
          <cell r="C383" t="str">
            <v>C49SZX20190014DZ</v>
          </cell>
          <cell r="D383" t="str">
            <v>兆晖</v>
          </cell>
          <cell r="E383" t="str">
            <v>YSM20R(SV)-2</v>
          </cell>
          <cell r="F383" t="str">
            <v>NA</v>
          </cell>
          <cell r="G383" t="e">
            <v>#REF!</v>
          </cell>
          <cell r="H383" t="e">
            <v>#REF!</v>
          </cell>
          <cell r="I383" t="str">
            <v>L-&gt;R</v>
          </cell>
          <cell r="J383" t="str">
            <v>MVC</v>
          </cell>
          <cell r="K383">
            <v>1</v>
          </cell>
          <cell r="L383" t="e">
            <v>#REF!</v>
          </cell>
          <cell r="M383" t="e">
            <v>#REF!</v>
          </cell>
          <cell r="N383"/>
          <cell r="O383"/>
          <cell r="P383"/>
          <cell r="Q383"/>
          <cell r="R383" t="str">
            <v>No</v>
          </cell>
          <cell r="S383" t="str">
            <v>C49</v>
          </cell>
          <cell r="T383" t="str">
            <v>SOUTH</v>
          </cell>
          <cell r="U383" t="str">
            <v>深圳</v>
          </cell>
          <cell r="V383" t="str">
            <v>SZ 深圳</v>
          </cell>
          <cell r="W383" t="str">
            <v>DZ</v>
          </cell>
          <cell r="X383" t="str">
            <v>JPY</v>
          </cell>
          <cell r="Y383">
            <v>12770000</v>
          </cell>
          <cell r="Z383">
            <v>1</v>
          </cell>
          <cell r="AA383">
            <v>12770000</v>
          </cell>
          <cell r="AB383">
            <v>7.2300000000000003E-2</v>
          </cell>
          <cell r="AC383">
            <v>923271</v>
          </cell>
          <cell r="AD383">
            <v>110792.51999999999</v>
          </cell>
          <cell r="AE383">
            <v>0.12</v>
          </cell>
          <cell r="AF383">
            <v>43488</v>
          </cell>
          <cell r="AG383" t="str">
            <v xml:space="preserve">CIF </v>
          </cell>
          <cell r="AH383"/>
          <cell r="AI383"/>
          <cell r="AJ383"/>
          <cell r="AK383">
            <v>0.2</v>
          </cell>
          <cell r="AL383">
            <v>2554000</v>
          </cell>
          <cell r="AM383"/>
          <cell r="AN383" t="str">
            <v>No</v>
          </cell>
          <cell r="AO383">
            <v>0.8</v>
          </cell>
          <cell r="AP383">
            <v>10216000</v>
          </cell>
          <cell r="AQ383"/>
          <cell r="AR383"/>
          <cell r="AS383"/>
          <cell r="AT383">
            <v>0</v>
          </cell>
          <cell r="AV383"/>
          <cell r="AW383"/>
          <cell r="AX383" t="str">
            <v>Cancel</v>
          </cell>
          <cell r="AY383"/>
          <cell r="AZ383"/>
          <cell r="BA383" t="str">
            <v>Cancel</v>
          </cell>
        </row>
        <row r="384">
          <cell r="B384">
            <v>233</v>
          </cell>
          <cell r="C384" t="str">
            <v>C49SZX20190016KW</v>
          </cell>
          <cell r="D384" t="str">
            <v>同基</v>
          </cell>
          <cell r="E384" t="str">
            <v>YS24</v>
          </cell>
          <cell r="F384" t="str">
            <v>#03480</v>
          </cell>
          <cell r="G384" t="e">
            <v>#REF!</v>
          </cell>
          <cell r="H384" t="e">
            <v>#REF!</v>
          </cell>
          <cell r="I384" t="str">
            <v>L-&gt;R</v>
          </cell>
          <cell r="J384" t="str">
            <v>No</v>
          </cell>
          <cell r="K384">
            <v>1</v>
          </cell>
          <cell r="L384">
            <v>109422</v>
          </cell>
          <cell r="M384" t="str">
            <v>APR 19</v>
          </cell>
          <cell r="O384">
            <v>11116284</v>
          </cell>
          <cell r="P384">
            <v>621000</v>
          </cell>
          <cell r="Q384">
            <v>43556</v>
          </cell>
          <cell r="R384" t="str">
            <v>Yes</v>
          </cell>
          <cell r="S384" t="str">
            <v>C49</v>
          </cell>
          <cell r="T384" t="str">
            <v>SOUTH</v>
          </cell>
          <cell r="U384" t="str">
            <v>深圳</v>
          </cell>
          <cell r="V384" t="str">
            <v>SZ 深圳</v>
          </cell>
          <cell r="W384" t="str">
            <v>KW</v>
          </cell>
          <cell r="X384" t="str">
            <v>RMB</v>
          </cell>
          <cell r="Y384">
            <v>621000</v>
          </cell>
          <cell r="Z384">
            <v>1</v>
          </cell>
          <cell r="AA384">
            <v>621000</v>
          </cell>
          <cell r="AB384">
            <v>1.125</v>
          </cell>
          <cell r="AC384">
            <v>698625</v>
          </cell>
          <cell r="AD384">
            <v>83835</v>
          </cell>
          <cell r="AE384">
            <v>0.12</v>
          </cell>
          <cell r="AF384">
            <v>43490</v>
          </cell>
          <cell r="AG384" t="str">
            <v>DAP 深圳</v>
          </cell>
          <cell r="AH384"/>
          <cell r="AI384">
            <v>100000</v>
          </cell>
          <cell r="AJ384">
            <v>43493</v>
          </cell>
          <cell r="AK384" t="str">
            <v>agree</v>
          </cell>
          <cell r="AL384">
            <v>0</v>
          </cell>
          <cell r="AN384" t="str">
            <v>Yes</v>
          </cell>
          <cell r="AO384" t="str">
            <v>agree</v>
          </cell>
          <cell r="AP384">
            <v>1000000</v>
          </cell>
          <cell r="AQ384">
            <v>43556</v>
          </cell>
          <cell r="AR384">
            <v>43563</v>
          </cell>
          <cell r="AS384" t="str">
            <v>agree</v>
          </cell>
          <cell r="AT384">
            <v>525000</v>
          </cell>
          <cell r="AU384">
            <v>43556</v>
          </cell>
          <cell r="AV384">
            <v>43563</v>
          </cell>
          <cell r="AW384" t="str">
            <v>complete</v>
          </cell>
          <cell r="AX384" t="str">
            <v>Yes</v>
          </cell>
          <cell r="AY384"/>
          <cell r="AZ384" t="str">
            <v>Y</v>
          </cell>
          <cell r="BA384" t="str">
            <v>Yes</v>
          </cell>
        </row>
        <row r="385">
          <cell r="B385">
            <v>234</v>
          </cell>
          <cell r="C385" t="str">
            <v>C49SZX20190016KW</v>
          </cell>
          <cell r="D385" t="str">
            <v>同基</v>
          </cell>
          <cell r="E385" t="str">
            <v>YSM10</v>
          </cell>
          <cell r="F385" t="str">
            <v>#03480</v>
          </cell>
          <cell r="G385" t="e">
            <v>#REF!</v>
          </cell>
          <cell r="H385" t="e">
            <v>#REF!</v>
          </cell>
          <cell r="I385" t="str">
            <v>L-&gt;R</v>
          </cell>
          <cell r="J385" t="str">
            <v>MVC+ATS15</v>
          </cell>
          <cell r="K385">
            <v>1</v>
          </cell>
          <cell r="L385">
            <v>109416</v>
          </cell>
          <cell r="M385" t="str">
            <v>APR 19</v>
          </cell>
          <cell r="O385">
            <v>11116284</v>
          </cell>
          <cell r="P385">
            <v>552000</v>
          </cell>
          <cell r="Q385">
            <v>43556</v>
          </cell>
          <cell r="R385" t="str">
            <v>Yes</v>
          </cell>
          <cell r="S385" t="str">
            <v>C49</v>
          </cell>
          <cell r="T385" t="str">
            <v>SOUTH</v>
          </cell>
          <cell r="U385" t="str">
            <v>深圳</v>
          </cell>
          <cell r="V385" t="str">
            <v>SZ 深圳</v>
          </cell>
          <cell r="W385" t="str">
            <v>KW</v>
          </cell>
          <cell r="X385" t="str">
            <v>RMB</v>
          </cell>
          <cell r="Y385">
            <v>552000</v>
          </cell>
          <cell r="Z385">
            <v>1</v>
          </cell>
          <cell r="AA385">
            <v>552000</v>
          </cell>
          <cell r="AB385">
            <v>1.125</v>
          </cell>
          <cell r="AC385">
            <v>621000</v>
          </cell>
          <cell r="AD385">
            <v>74520</v>
          </cell>
          <cell r="AE385">
            <v>0.12</v>
          </cell>
          <cell r="AF385">
            <v>43490</v>
          </cell>
          <cell r="AG385" t="str">
            <v>DAP 深圳</v>
          </cell>
          <cell r="AH385"/>
          <cell r="AI385">
            <v>0</v>
          </cell>
          <cell r="AJ385">
            <v>43493</v>
          </cell>
          <cell r="AK385" t="str">
            <v>agree</v>
          </cell>
          <cell r="AL385">
            <v>0</v>
          </cell>
          <cell r="AN385" t="str">
            <v>Yes</v>
          </cell>
          <cell r="AO385" t="str">
            <v>agree</v>
          </cell>
          <cell r="AP385">
            <v>0</v>
          </cell>
          <cell r="AQ385">
            <v>43556</v>
          </cell>
          <cell r="AR385">
            <v>43563</v>
          </cell>
          <cell r="AS385" t="str">
            <v>agree</v>
          </cell>
          <cell r="AT385">
            <v>200000</v>
          </cell>
          <cell r="AU385">
            <v>43556</v>
          </cell>
          <cell r="AV385">
            <v>43570</v>
          </cell>
          <cell r="AW385" t="str">
            <v>complete</v>
          </cell>
          <cell r="AX385" t="str">
            <v>Yes</v>
          </cell>
          <cell r="AY385"/>
          <cell r="AZ385" t="str">
            <v>Y</v>
          </cell>
          <cell r="BA385" t="str">
            <v>Yes</v>
          </cell>
        </row>
        <row r="386">
          <cell r="B386">
            <v>235</v>
          </cell>
          <cell r="C386" t="str">
            <v>C49SZX20190016KW</v>
          </cell>
          <cell r="D386" t="str">
            <v>同基</v>
          </cell>
          <cell r="E386" t="str">
            <v>YSM10</v>
          </cell>
          <cell r="F386" t="str">
            <v>#03480</v>
          </cell>
          <cell r="G386" t="e">
            <v>#REF!</v>
          </cell>
          <cell r="H386" t="e">
            <v>#REF!</v>
          </cell>
          <cell r="I386" t="str">
            <v>L-&gt;R</v>
          </cell>
          <cell r="J386" t="str">
            <v>MVC+ATS15</v>
          </cell>
          <cell r="K386">
            <v>1</v>
          </cell>
          <cell r="L386">
            <v>109416</v>
          </cell>
          <cell r="M386" t="str">
            <v>APR 19</v>
          </cell>
          <cell r="O386">
            <v>11116284</v>
          </cell>
          <cell r="P386">
            <v>552000</v>
          </cell>
          <cell r="Q386">
            <v>43556</v>
          </cell>
          <cell r="R386" t="str">
            <v>Yes</v>
          </cell>
          <cell r="S386" t="str">
            <v>C49</v>
          </cell>
          <cell r="T386" t="str">
            <v>SOUTH</v>
          </cell>
          <cell r="U386" t="str">
            <v>深圳</v>
          </cell>
          <cell r="V386" t="str">
            <v>SZ 深圳</v>
          </cell>
          <cell r="W386" t="str">
            <v>KW</v>
          </cell>
          <cell r="X386" t="str">
            <v>RMB</v>
          </cell>
          <cell r="Y386">
            <v>552000</v>
          </cell>
          <cell r="Z386">
            <v>1</v>
          </cell>
          <cell r="AA386">
            <v>552000</v>
          </cell>
          <cell r="AB386">
            <v>1.125</v>
          </cell>
          <cell r="AC386">
            <v>621000</v>
          </cell>
          <cell r="AD386">
            <v>74520</v>
          </cell>
          <cell r="AE386">
            <v>0.12</v>
          </cell>
          <cell r="AF386">
            <v>43490</v>
          </cell>
          <cell r="AG386" t="str">
            <v>DAP 深圳</v>
          </cell>
          <cell r="AH386"/>
          <cell r="AI386">
            <v>0</v>
          </cell>
          <cell r="AJ386">
            <v>43493</v>
          </cell>
          <cell r="AK386" t="str">
            <v>agree</v>
          </cell>
          <cell r="AL386">
            <v>0</v>
          </cell>
          <cell r="AN386" t="str">
            <v>Yes</v>
          </cell>
          <cell r="AO386" t="str">
            <v>agree</v>
          </cell>
          <cell r="AP386">
            <v>0</v>
          </cell>
          <cell r="AQ386">
            <v>43556</v>
          </cell>
          <cell r="AR386">
            <v>43563</v>
          </cell>
          <cell r="AS386" t="str">
            <v>agree</v>
          </cell>
          <cell r="AT386">
            <v>0</v>
          </cell>
          <cell r="AU386">
            <v>43556</v>
          </cell>
          <cell r="AV386" t="str">
            <v>complete</v>
          </cell>
          <cell r="AW386"/>
          <cell r="AY386"/>
          <cell r="AZ386" t="str">
            <v>Y</v>
          </cell>
          <cell r="BA386" t="str">
            <v>Yes</v>
          </cell>
        </row>
        <row r="387">
          <cell r="B387">
            <v>236</v>
          </cell>
          <cell r="C387" t="str">
            <v>C49SZX20190019SX</v>
          </cell>
          <cell r="D387" t="str">
            <v>永顺创</v>
          </cell>
          <cell r="E387" t="str">
            <v>YSM10</v>
          </cell>
          <cell r="F387" t="str">
            <v>#81385</v>
          </cell>
          <cell r="G387" t="e">
            <v>#REF!</v>
          </cell>
          <cell r="H387" t="e">
            <v>#REF!</v>
          </cell>
          <cell r="I387" t="str">
            <v>L-&gt;R</v>
          </cell>
          <cell r="J387" t="str">
            <v>MVC+ATS15</v>
          </cell>
          <cell r="K387">
            <v>1</v>
          </cell>
          <cell r="L387">
            <v>109454</v>
          </cell>
          <cell r="M387" t="str">
            <v>MAR 19</v>
          </cell>
          <cell r="O387">
            <v>11116260</v>
          </cell>
          <cell r="P387">
            <v>9696000</v>
          </cell>
          <cell r="Q387">
            <v>43525</v>
          </cell>
          <cell r="R387" t="str">
            <v>No</v>
          </cell>
          <cell r="S387" t="str">
            <v>C49</v>
          </cell>
          <cell r="T387" t="str">
            <v>SOUTH</v>
          </cell>
          <cell r="U387" t="str">
            <v>深圳</v>
          </cell>
          <cell r="V387" t="str">
            <v>SZ 深圳</v>
          </cell>
          <cell r="W387" t="str">
            <v>SX</v>
          </cell>
          <cell r="X387" t="str">
            <v>JPY</v>
          </cell>
          <cell r="Y387">
            <v>9696000</v>
          </cell>
          <cell r="Z387">
            <v>1</v>
          </cell>
          <cell r="AA387">
            <v>9696000</v>
          </cell>
          <cell r="AB387">
            <v>7.3499999999999996E-2</v>
          </cell>
          <cell r="AC387">
            <v>712656</v>
          </cell>
          <cell r="AD387">
            <v>85518.720000000001</v>
          </cell>
          <cell r="AE387">
            <v>0.12</v>
          </cell>
          <cell r="AF387">
            <v>43517</v>
          </cell>
          <cell r="AG387" t="str">
            <v>DAP 深圳</v>
          </cell>
          <cell r="AH387"/>
          <cell r="AI387"/>
          <cell r="AJ387"/>
          <cell r="AK387">
            <v>0.2</v>
          </cell>
          <cell r="AL387">
            <v>1939200</v>
          </cell>
          <cell r="AM387">
            <v>43497</v>
          </cell>
          <cell r="AN387" t="str">
            <v>Yes</v>
          </cell>
          <cell r="AO387">
            <v>0.8</v>
          </cell>
          <cell r="AP387">
            <v>7756800</v>
          </cell>
          <cell r="AQ387">
            <v>43525</v>
          </cell>
          <cell r="AR387">
            <v>43531</v>
          </cell>
          <cell r="AS387" t="str">
            <v>complete</v>
          </cell>
          <cell r="AT387"/>
          <cell r="AV387"/>
          <cell r="AW387"/>
          <cell r="AX387" t="str">
            <v>Yes</v>
          </cell>
          <cell r="AY387"/>
          <cell r="AZ387" t="str">
            <v>Y</v>
          </cell>
          <cell r="BA387" t="str">
            <v>Yes</v>
          </cell>
        </row>
        <row r="388">
          <cell r="B388">
            <v>237</v>
          </cell>
          <cell r="C388" t="str">
            <v>C49SZX20190021JL</v>
          </cell>
          <cell r="D388" t="str">
            <v>名佳</v>
          </cell>
          <cell r="E388" t="str">
            <v>YSM10</v>
          </cell>
          <cell r="F388" t="str">
            <v>#29303</v>
          </cell>
          <cell r="G388" t="e">
            <v>#REF!</v>
          </cell>
          <cell r="H388" t="e">
            <v>#REF!</v>
          </cell>
          <cell r="I388" t="str">
            <v>R-&gt;L</v>
          </cell>
          <cell r="J388" t="str">
            <v>MVC+ATS15</v>
          </cell>
          <cell r="K388">
            <v>1</v>
          </cell>
          <cell r="L388">
            <v>109454</v>
          </cell>
          <cell r="M388" t="str">
            <v>JUN 19</v>
          </cell>
          <cell r="N388">
            <v>43635</v>
          </cell>
          <cell r="O388">
            <v>11100298</v>
          </cell>
          <cell r="P388">
            <v>833000</v>
          </cell>
          <cell r="Q388">
            <v>43617</v>
          </cell>
          <cell r="R388" t="str">
            <v>No</v>
          </cell>
          <cell r="S388" t="str">
            <v>C49</v>
          </cell>
          <cell r="T388" t="str">
            <v>SOUTH</v>
          </cell>
          <cell r="U388" t="str">
            <v>中山</v>
          </cell>
          <cell r="V388" t="str">
            <v>SZ 深圳</v>
          </cell>
          <cell r="W388" t="str">
            <v>JL</v>
          </cell>
          <cell r="X388" t="str">
            <v>RMB</v>
          </cell>
          <cell r="Y388">
            <v>833000</v>
          </cell>
          <cell r="Z388">
            <v>1.1299999999999999</v>
          </cell>
          <cell r="AA388">
            <v>833000</v>
          </cell>
          <cell r="AB388">
            <v>1.1499999999999999</v>
          </cell>
          <cell r="AC388">
            <v>847743.36283185845</v>
          </cell>
          <cell r="AD388">
            <v>101729.20353982301</v>
          </cell>
          <cell r="AE388">
            <v>0.12</v>
          </cell>
          <cell r="AF388">
            <v>43522</v>
          </cell>
          <cell r="AG388" t="str">
            <v>含税到厂</v>
          </cell>
          <cell r="AH388"/>
          <cell r="AI388"/>
          <cell r="AJ388"/>
          <cell r="AK388">
            <v>0.2</v>
          </cell>
          <cell r="AL388">
            <v>166600</v>
          </cell>
          <cell r="AM388">
            <v>43617</v>
          </cell>
          <cell r="AN388" t="str">
            <v>Yes</v>
          </cell>
          <cell r="AO388">
            <v>0.8</v>
          </cell>
          <cell r="AP388">
            <v>666400</v>
          </cell>
          <cell r="AQ388">
            <v>43617</v>
          </cell>
          <cell r="AR388">
            <v>43633</v>
          </cell>
          <cell r="AS388" t="str">
            <v>complete</v>
          </cell>
          <cell r="AT388"/>
          <cell r="AV388"/>
          <cell r="AW388"/>
          <cell r="AX388" t="str">
            <v>Yes</v>
          </cell>
          <cell r="AY388"/>
          <cell r="AZ388" t="str">
            <v>Y</v>
          </cell>
          <cell r="BA388" t="str">
            <v>Yes</v>
          </cell>
        </row>
        <row r="389">
          <cell r="B389">
            <v>238</v>
          </cell>
          <cell r="C389" t="str">
            <v>C49SZX20190022SS</v>
          </cell>
          <cell r="D389" t="str">
            <v>智宏创</v>
          </cell>
          <cell r="E389" t="str">
            <v>YSM20R(SV)-2</v>
          </cell>
          <cell r="F389" t="str">
            <v>#03534</v>
          </cell>
          <cell r="G389" t="e">
            <v>#REF!</v>
          </cell>
          <cell r="H389" t="e">
            <v>#REF!</v>
          </cell>
          <cell r="I389" t="str">
            <v>R-&gt;L</v>
          </cell>
          <cell r="J389" t="str">
            <v>MVC</v>
          </cell>
          <cell r="K389">
            <v>1</v>
          </cell>
          <cell r="L389">
            <v>109431</v>
          </cell>
          <cell r="M389" t="str">
            <v>MAR 19</v>
          </cell>
          <cell r="O389">
            <v>11116268</v>
          </cell>
          <cell r="P389">
            <v>16000000</v>
          </cell>
          <cell r="Q389">
            <v>43525</v>
          </cell>
          <cell r="R389" t="str">
            <v>Yes</v>
          </cell>
          <cell r="S389" t="str">
            <v>C49</v>
          </cell>
          <cell r="T389" t="str">
            <v>SOUTH</v>
          </cell>
          <cell r="U389" t="str">
            <v>深圳</v>
          </cell>
          <cell r="V389" t="str">
            <v>SZ 深圳</v>
          </cell>
          <cell r="W389" t="str">
            <v>SS</v>
          </cell>
          <cell r="X389" t="str">
            <v>JPY</v>
          </cell>
          <cell r="Y389">
            <v>16000000</v>
          </cell>
          <cell r="Z389">
            <v>1</v>
          </cell>
          <cell r="AA389">
            <v>16000000</v>
          </cell>
          <cell r="AB389">
            <v>7.2300000000000003E-2</v>
          </cell>
          <cell r="AC389">
            <v>1156800</v>
          </cell>
          <cell r="AD389">
            <v>138816</v>
          </cell>
          <cell r="AE389">
            <v>0.12</v>
          </cell>
          <cell r="AF389">
            <v>43523</v>
          </cell>
          <cell r="AG389" t="str">
            <v>DAP 深圳</v>
          </cell>
          <cell r="AH389"/>
          <cell r="AI389"/>
          <cell r="AJ389"/>
          <cell r="AK389">
            <v>0.2</v>
          </cell>
          <cell r="AL389">
            <v>3200000</v>
          </cell>
          <cell r="AM389">
            <v>43525</v>
          </cell>
          <cell r="AN389" t="str">
            <v>Yes</v>
          </cell>
          <cell r="AO389">
            <v>0.8</v>
          </cell>
          <cell r="AP389">
            <v>12800000</v>
          </cell>
          <cell r="AQ389">
            <v>43586</v>
          </cell>
          <cell r="AR389">
            <v>43544</v>
          </cell>
          <cell r="AS389" t="str">
            <v>complete</v>
          </cell>
          <cell r="AT389"/>
          <cell r="AV389"/>
          <cell r="AW389"/>
          <cell r="AX389" t="str">
            <v>Yes</v>
          </cell>
          <cell r="AY389"/>
          <cell r="AZ389" t="str">
            <v>Y</v>
          </cell>
          <cell r="BA389" t="str">
            <v>Yes</v>
          </cell>
        </row>
        <row r="390">
          <cell r="B390">
            <v>239</v>
          </cell>
          <cell r="C390" t="str">
            <v>C49SZX20190024JL</v>
          </cell>
          <cell r="D390" t="str">
            <v>睿视科技</v>
          </cell>
          <cell r="E390" t="str">
            <v>YS24</v>
          </cell>
          <cell r="F390" t="str">
            <v>#03533</v>
          </cell>
          <cell r="G390" t="e">
            <v>#REF!</v>
          </cell>
          <cell r="H390" t="e">
            <v>#REF!</v>
          </cell>
          <cell r="I390" t="str">
            <v>L-&gt;R</v>
          </cell>
          <cell r="J390" t="str">
            <v>No</v>
          </cell>
          <cell r="K390">
            <v>1</v>
          </cell>
          <cell r="L390">
            <v>109422</v>
          </cell>
          <cell r="M390" t="str">
            <v>MAR 19</v>
          </cell>
          <cell r="O390">
            <v>11116261</v>
          </cell>
          <cell r="P390">
            <v>10208000</v>
          </cell>
          <cell r="Q390">
            <v>43525</v>
          </cell>
          <cell r="R390" t="str">
            <v>Yes</v>
          </cell>
          <cell r="S390" t="str">
            <v>C49</v>
          </cell>
          <cell r="T390" t="str">
            <v>SOUTH</v>
          </cell>
          <cell r="U390" t="str">
            <v>深圳</v>
          </cell>
          <cell r="V390" t="str">
            <v>SZ 深圳</v>
          </cell>
          <cell r="W390" t="str">
            <v>JL</v>
          </cell>
          <cell r="X390" t="str">
            <v>JPY</v>
          </cell>
          <cell r="Y390">
            <v>10208000</v>
          </cell>
          <cell r="Z390">
            <v>1</v>
          </cell>
          <cell r="AA390">
            <v>10208000</v>
          </cell>
          <cell r="AB390">
            <v>7.2300000000000003E-2</v>
          </cell>
          <cell r="AC390">
            <v>738038.4</v>
          </cell>
          <cell r="AD390">
            <v>88564.607999999993</v>
          </cell>
          <cell r="AE390">
            <v>0.12</v>
          </cell>
          <cell r="AF390">
            <v>43524</v>
          </cell>
          <cell r="AG390" t="str">
            <v>CIF</v>
          </cell>
          <cell r="AH390"/>
          <cell r="AI390"/>
          <cell r="AJ390"/>
          <cell r="AK390">
            <v>1</v>
          </cell>
          <cell r="AL390">
            <v>10208000</v>
          </cell>
          <cell r="AM390">
            <v>43525</v>
          </cell>
          <cell r="AN390" t="str">
            <v>Yes</v>
          </cell>
          <cell r="AO390" t="str">
            <v>complete</v>
          </cell>
          <cell r="AP390"/>
          <cell r="AR390"/>
          <cell r="AS390"/>
          <cell r="AT390">
            <v>0</v>
          </cell>
          <cell r="AV390"/>
          <cell r="AW390"/>
          <cell r="AX390" t="str">
            <v>Yes</v>
          </cell>
          <cell r="AY390"/>
          <cell r="AZ390" t="str">
            <v>Y</v>
          </cell>
          <cell r="BA390" t="str">
            <v>Yes</v>
          </cell>
        </row>
        <row r="391">
          <cell r="B391">
            <v>240</v>
          </cell>
          <cell r="C391" t="str">
            <v>C49SZX20190024JL</v>
          </cell>
          <cell r="D391" t="str">
            <v>睿视科技</v>
          </cell>
          <cell r="E391" t="str">
            <v>YS24</v>
          </cell>
          <cell r="F391" t="str">
            <v>#03533</v>
          </cell>
          <cell r="G391" t="e">
            <v>#REF!</v>
          </cell>
          <cell r="H391" t="e">
            <v>#REF!</v>
          </cell>
          <cell r="I391" t="str">
            <v>L-&gt;R</v>
          </cell>
          <cell r="J391" t="str">
            <v>No</v>
          </cell>
          <cell r="K391">
            <v>1</v>
          </cell>
          <cell r="L391">
            <v>109422</v>
          </cell>
          <cell r="M391" t="str">
            <v>MAR 19</v>
          </cell>
          <cell r="O391">
            <v>11116261</v>
          </cell>
          <cell r="P391">
            <v>10208000</v>
          </cell>
          <cell r="Q391">
            <v>43525</v>
          </cell>
          <cell r="R391" t="str">
            <v>Yes</v>
          </cell>
          <cell r="S391" t="str">
            <v>C49</v>
          </cell>
          <cell r="T391" t="str">
            <v>SOUTH</v>
          </cell>
          <cell r="U391" t="str">
            <v>深圳</v>
          </cell>
          <cell r="V391" t="str">
            <v>SZ 深圳</v>
          </cell>
          <cell r="W391" t="str">
            <v>JL</v>
          </cell>
          <cell r="X391" t="str">
            <v>JPY</v>
          </cell>
          <cell r="Y391">
            <v>10208000</v>
          </cell>
          <cell r="Z391">
            <v>1</v>
          </cell>
          <cell r="AA391">
            <v>10208000</v>
          </cell>
          <cell r="AB391">
            <v>7.2300000000000003E-2</v>
          </cell>
          <cell r="AC391">
            <v>738038.4</v>
          </cell>
          <cell r="AD391">
            <v>88564.607999999993</v>
          </cell>
          <cell r="AE391">
            <v>0.12</v>
          </cell>
          <cell r="AF391">
            <v>43524</v>
          </cell>
          <cell r="AG391" t="str">
            <v>CIF</v>
          </cell>
          <cell r="AH391"/>
          <cell r="AI391"/>
          <cell r="AJ391"/>
          <cell r="AK391">
            <v>1</v>
          </cell>
          <cell r="AL391">
            <v>10208000</v>
          </cell>
          <cell r="AM391">
            <v>43525</v>
          </cell>
          <cell r="AN391" t="str">
            <v>Yes</v>
          </cell>
          <cell r="AO391" t="str">
            <v>complete</v>
          </cell>
          <cell r="AP391"/>
          <cell r="AR391"/>
          <cell r="AS391"/>
          <cell r="AT391">
            <v>0</v>
          </cell>
          <cell r="AV391"/>
          <cell r="AW391"/>
          <cell r="AX391" t="str">
            <v>Yes</v>
          </cell>
          <cell r="AY391"/>
          <cell r="AZ391" t="str">
            <v>Y</v>
          </cell>
          <cell r="BA391" t="str">
            <v>Yes</v>
          </cell>
        </row>
        <row r="392">
          <cell r="B392">
            <v>241</v>
          </cell>
          <cell r="C392" t="str">
            <v>C49SZX20190024JL</v>
          </cell>
          <cell r="D392" t="str">
            <v>睿视科技</v>
          </cell>
          <cell r="E392" t="str">
            <v>YS24</v>
          </cell>
          <cell r="F392" t="str">
            <v>#03533</v>
          </cell>
          <cell r="G392" t="e">
            <v>#REF!</v>
          </cell>
          <cell r="H392" t="e">
            <v>#REF!</v>
          </cell>
          <cell r="I392" t="str">
            <v>L-&gt;R</v>
          </cell>
          <cell r="J392" t="str">
            <v>No</v>
          </cell>
          <cell r="K392">
            <v>1</v>
          </cell>
          <cell r="L392">
            <v>109422</v>
          </cell>
          <cell r="M392" t="str">
            <v>MAR 19</v>
          </cell>
          <cell r="O392">
            <v>11116261</v>
          </cell>
          <cell r="P392">
            <v>10208000</v>
          </cell>
          <cell r="Q392">
            <v>43525</v>
          </cell>
          <cell r="R392" t="str">
            <v>Yes</v>
          </cell>
          <cell r="S392" t="str">
            <v>C49</v>
          </cell>
          <cell r="T392" t="str">
            <v>SOUTH</v>
          </cell>
          <cell r="U392" t="str">
            <v>深圳</v>
          </cell>
          <cell r="V392" t="str">
            <v>SZ 深圳</v>
          </cell>
          <cell r="W392" t="str">
            <v>JL</v>
          </cell>
          <cell r="X392" t="str">
            <v>JPY</v>
          </cell>
          <cell r="Y392">
            <v>10208000</v>
          </cell>
          <cell r="Z392">
            <v>1</v>
          </cell>
          <cell r="AA392">
            <v>10208000</v>
          </cell>
          <cell r="AB392">
            <v>7.2300000000000003E-2</v>
          </cell>
          <cell r="AC392">
            <v>738038.4</v>
          </cell>
          <cell r="AD392">
            <v>88564.607999999993</v>
          </cell>
          <cell r="AE392">
            <v>0.12</v>
          </cell>
          <cell r="AF392">
            <v>43524</v>
          </cell>
          <cell r="AG392" t="str">
            <v>CIF</v>
          </cell>
          <cell r="AH392"/>
          <cell r="AI392"/>
          <cell r="AJ392"/>
          <cell r="AK392">
            <v>1</v>
          </cell>
          <cell r="AL392">
            <v>10208000</v>
          </cell>
          <cell r="AM392">
            <v>43525</v>
          </cell>
          <cell r="AN392" t="str">
            <v>Yes</v>
          </cell>
          <cell r="AO392" t="str">
            <v>complete</v>
          </cell>
          <cell r="AP392"/>
          <cell r="AR392"/>
          <cell r="AS392"/>
          <cell r="AT392">
            <v>0</v>
          </cell>
          <cell r="AV392"/>
          <cell r="AW392"/>
          <cell r="AX392" t="str">
            <v>Yes</v>
          </cell>
          <cell r="AY392"/>
          <cell r="AZ392" t="str">
            <v>Y</v>
          </cell>
          <cell r="BA392" t="str">
            <v>Yes</v>
          </cell>
        </row>
        <row r="393">
          <cell r="B393">
            <v>242</v>
          </cell>
          <cell r="C393" t="str">
            <v>C49SZX20190023SS</v>
          </cell>
          <cell r="D393" t="str">
            <v>世启纳</v>
          </cell>
          <cell r="E393" t="str">
            <v>YSM10</v>
          </cell>
          <cell r="F393" t="str">
            <v>#03532</v>
          </cell>
          <cell r="G393" t="e">
            <v>#REF!</v>
          </cell>
          <cell r="H393" t="e">
            <v>#REF!</v>
          </cell>
          <cell r="I393" t="str">
            <v>L-&gt;R</v>
          </cell>
          <cell r="J393" t="str">
            <v>MVC</v>
          </cell>
          <cell r="K393">
            <v>1</v>
          </cell>
          <cell r="L393">
            <v>109413</v>
          </cell>
          <cell r="M393" t="str">
            <v>MAR 19</v>
          </cell>
          <cell r="O393">
            <v>11116264</v>
          </cell>
          <cell r="P393">
            <v>8420000</v>
          </cell>
          <cell r="Q393">
            <v>43525</v>
          </cell>
          <cell r="R393" t="str">
            <v>Yes</v>
          </cell>
          <cell r="S393" t="str">
            <v>C49</v>
          </cell>
          <cell r="T393" t="str">
            <v>SOUTH</v>
          </cell>
          <cell r="U393" t="str">
            <v>深圳</v>
          </cell>
          <cell r="V393" t="str">
            <v>SZ 深圳</v>
          </cell>
          <cell r="W393" t="str">
            <v>SS</v>
          </cell>
          <cell r="X393" t="str">
            <v>JPY</v>
          </cell>
          <cell r="Y393">
            <v>8420000</v>
          </cell>
          <cell r="Z393">
            <v>1</v>
          </cell>
          <cell r="AA393">
            <v>8420000</v>
          </cell>
          <cell r="AB393">
            <v>7.2300000000000003E-2</v>
          </cell>
          <cell r="AC393">
            <v>608766</v>
          </cell>
          <cell r="AD393">
            <v>73051.92</v>
          </cell>
          <cell r="AE393">
            <v>0.12</v>
          </cell>
          <cell r="AF393">
            <v>43523</v>
          </cell>
          <cell r="AG393" t="str">
            <v>DAP 深圳</v>
          </cell>
          <cell r="AH393" t="str">
            <v>电梯</v>
          </cell>
          <cell r="AI393"/>
          <cell r="AJ393"/>
          <cell r="AK393">
            <v>0.2</v>
          </cell>
          <cell r="AL393">
            <v>1684000</v>
          </cell>
          <cell r="AM393">
            <v>43525</v>
          </cell>
          <cell r="AN393" t="str">
            <v>Yes</v>
          </cell>
          <cell r="AO393">
            <v>0.8</v>
          </cell>
          <cell r="AP393">
            <v>6736000</v>
          </cell>
          <cell r="AQ393">
            <v>43525</v>
          </cell>
          <cell r="AR393">
            <v>43543</v>
          </cell>
          <cell r="AS393" t="str">
            <v>complete</v>
          </cell>
          <cell r="AT393"/>
          <cell r="AV393"/>
          <cell r="AW393"/>
          <cell r="AX393" t="str">
            <v>Yes</v>
          </cell>
          <cell r="AY393"/>
          <cell r="AZ393" t="str">
            <v>Y</v>
          </cell>
          <cell r="BA393" t="str">
            <v>Yes</v>
          </cell>
        </row>
        <row r="394">
          <cell r="B394">
            <v>243</v>
          </cell>
          <cell r="C394" t="str">
            <v>C49SZX20190023SS</v>
          </cell>
          <cell r="D394" t="str">
            <v>世启纳</v>
          </cell>
          <cell r="E394" t="str">
            <v>YSM10</v>
          </cell>
          <cell r="F394" t="str">
            <v>#03532</v>
          </cell>
          <cell r="G394" t="e">
            <v>#REF!</v>
          </cell>
          <cell r="H394" t="e">
            <v>#REF!</v>
          </cell>
          <cell r="I394" t="str">
            <v>R-&gt;L</v>
          </cell>
          <cell r="J394" t="str">
            <v>MVC</v>
          </cell>
          <cell r="K394">
            <v>1</v>
          </cell>
          <cell r="L394">
            <v>109381</v>
          </cell>
          <cell r="M394" t="str">
            <v>MAR 19</v>
          </cell>
          <cell r="O394">
            <v>11116264</v>
          </cell>
          <cell r="P394">
            <v>8420000</v>
          </cell>
          <cell r="Q394">
            <v>43525</v>
          </cell>
          <cell r="R394" t="str">
            <v>Yes</v>
          </cell>
          <cell r="S394" t="str">
            <v>C49</v>
          </cell>
          <cell r="T394" t="str">
            <v>SOUTH</v>
          </cell>
          <cell r="U394" t="str">
            <v>深圳</v>
          </cell>
          <cell r="V394" t="str">
            <v>SZ 深圳</v>
          </cell>
          <cell r="W394" t="str">
            <v>SS</v>
          </cell>
          <cell r="X394" t="str">
            <v>JPY</v>
          </cell>
          <cell r="Y394">
            <v>8420000</v>
          </cell>
          <cell r="Z394">
            <v>1</v>
          </cell>
          <cell r="AA394">
            <v>8420000</v>
          </cell>
          <cell r="AB394">
            <v>7.2300000000000003E-2</v>
          </cell>
          <cell r="AC394">
            <v>608766</v>
          </cell>
          <cell r="AD394">
            <v>73051.92</v>
          </cell>
          <cell r="AE394">
            <v>0.12</v>
          </cell>
          <cell r="AF394">
            <v>43523</v>
          </cell>
          <cell r="AG394" t="str">
            <v>DAP 深圳</v>
          </cell>
          <cell r="AH394" t="str">
            <v>电梯</v>
          </cell>
          <cell r="AI394"/>
          <cell r="AJ394"/>
          <cell r="AK394">
            <v>0.2</v>
          </cell>
          <cell r="AL394">
            <v>1684000</v>
          </cell>
          <cell r="AM394">
            <v>43525</v>
          </cell>
          <cell r="AN394" t="str">
            <v>Yes</v>
          </cell>
          <cell r="AO394">
            <v>0.8</v>
          </cell>
          <cell r="AP394">
            <v>6736000</v>
          </cell>
          <cell r="AQ394">
            <v>43525</v>
          </cell>
          <cell r="AR394">
            <v>43543</v>
          </cell>
          <cell r="AS394" t="str">
            <v>complete</v>
          </cell>
          <cell r="AT394"/>
          <cell r="AV394"/>
          <cell r="AW394"/>
          <cell r="AX394" t="str">
            <v>Yes</v>
          </cell>
          <cell r="AY394"/>
          <cell r="AZ394" t="str">
            <v>Y</v>
          </cell>
          <cell r="BA394" t="str">
            <v>Yes</v>
          </cell>
        </row>
        <row r="395">
          <cell r="B395">
            <v>244</v>
          </cell>
          <cell r="C395" t="str">
            <v>C49SZX20190031MZ</v>
          </cell>
          <cell r="D395" t="str">
            <v>鸿南</v>
          </cell>
          <cell r="E395" t="str">
            <v>YSM20R(SV)-2</v>
          </cell>
          <cell r="F395" t="str">
            <v>#56802</v>
          </cell>
          <cell r="G395" t="e">
            <v>#REF!</v>
          </cell>
          <cell r="H395" t="e">
            <v>#REF!</v>
          </cell>
          <cell r="I395" t="str">
            <v>R-&gt;L</v>
          </cell>
          <cell r="J395" t="str">
            <v>No</v>
          </cell>
          <cell r="K395">
            <v>1</v>
          </cell>
          <cell r="L395">
            <v>109553</v>
          </cell>
          <cell r="M395" t="str">
            <v>MAY 19</v>
          </cell>
          <cell r="N395">
            <v>43608</v>
          </cell>
          <cell r="O395">
            <v>11116294</v>
          </cell>
          <cell r="P395">
            <v>13200000</v>
          </cell>
          <cell r="Q395">
            <v>43586</v>
          </cell>
          <cell r="R395" t="str">
            <v>No</v>
          </cell>
          <cell r="S395" t="str">
            <v>C49</v>
          </cell>
          <cell r="T395" t="str">
            <v>SOUTH</v>
          </cell>
          <cell r="U395" t="str">
            <v>深圳</v>
          </cell>
          <cell r="V395" t="str">
            <v>SZ 深圳</v>
          </cell>
          <cell r="W395" t="str">
            <v>MZ</v>
          </cell>
          <cell r="X395" t="str">
            <v>JPY</v>
          </cell>
          <cell r="Y395">
            <v>13200000</v>
          </cell>
          <cell r="Z395">
            <v>1</v>
          </cell>
          <cell r="AA395">
            <v>13200000</v>
          </cell>
          <cell r="AB395">
            <v>7.2300000000000003E-2</v>
          </cell>
          <cell r="AC395">
            <v>954360</v>
          </cell>
          <cell r="AD395">
            <v>114523.2</v>
          </cell>
          <cell r="AE395">
            <v>0.12</v>
          </cell>
          <cell r="AF395">
            <v>43532</v>
          </cell>
          <cell r="AG395" t="str">
            <v>CIF HK</v>
          </cell>
          <cell r="AH395"/>
          <cell r="AI395"/>
          <cell r="AJ395"/>
          <cell r="AK395">
            <v>0.2</v>
          </cell>
          <cell r="AL395">
            <v>2640000</v>
          </cell>
          <cell r="AM395">
            <v>43525</v>
          </cell>
          <cell r="AN395" t="str">
            <v>Yes</v>
          </cell>
          <cell r="AO395" t="str">
            <v>agree</v>
          </cell>
          <cell r="AP395">
            <v>26160000</v>
          </cell>
          <cell r="AQ395">
            <v>43586</v>
          </cell>
          <cell r="AR395">
            <v>43606</v>
          </cell>
          <cell r="AS395" t="str">
            <v>complete</v>
          </cell>
          <cell r="AT395"/>
          <cell r="AV395"/>
          <cell r="AW395"/>
          <cell r="AX395" t="str">
            <v>Yes</v>
          </cell>
          <cell r="AY395"/>
          <cell r="AZ395" t="str">
            <v>Y</v>
          </cell>
          <cell r="BA395" t="str">
            <v>Yes</v>
          </cell>
        </row>
        <row r="396">
          <cell r="B396">
            <v>245</v>
          </cell>
          <cell r="C396" t="str">
            <v>C49SZX20190031MZ</v>
          </cell>
          <cell r="D396" t="str">
            <v>鸿南</v>
          </cell>
          <cell r="E396" t="str">
            <v>YSM20R(SV)-2</v>
          </cell>
          <cell r="F396" t="str">
            <v>#56802</v>
          </cell>
          <cell r="G396" t="e">
            <v>#REF!</v>
          </cell>
          <cell r="H396" t="e">
            <v>#REF!</v>
          </cell>
          <cell r="I396" t="str">
            <v>R-&gt;L</v>
          </cell>
          <cell r="J396" t="str">
            <v>No</v>
          </cell>
          <cell r="K396">
            <v>1</v>
          </cell>
          <cell r="L396">
            <v>109553</v>
          </cell>
          <cell r="M396" t="str">
            <v>MAY 19</v>
          </cell>
          <cell r="N396">
            <v>43608</v>
          </cell>
          <cell r="O396">
            <v>11116294</v>
          </cell>
          <cell r="P396">
            <v>13200000</v>
          </cell>
          <cell r="Q396">
            <v>43586</v>
          </cell>
          <cell r="R396" t="str">
            <v>No</v>
          </cell>
          <cell r="S396" t="str">
            <v>C49</v>
          </cell>
          <cell r="T396" t="str">
            <v>SOUTH</v>
          </cell>
          <cell r="U396" t="str">
            <v>深圳</v>
          </cell>
          <cell r="V396" t="str">
            <v>SZ 深圳</v>
          </cell>
          <cell r="W396" t="str">
            <v>MZ</v>
          </cell>
          <cell r="X396" t="str">
            <v>JPY</v>
          </cell>
          <cell r="Y396">
            <v>13200000</v>
          </cell>
          <cell r="Z396">
            <v>1</v>
          </cell>
          <cell r="AA396">
            <v>13200000</v>
          </cell>
          <cell r="AB396">
            <v>7.2300000000000003E-2</v>
          </cell>
          <cell r="AC396">
            <v>954360</v>
          </cell>
          <cell r="AD396">
            <v>114523.2</v>
          </cell>
          <cell r="AE396">
            <v>0.12</v>
          </cell>
          <cell r="AF396">
            <v>43532</v>
          </cell>
          <cell r="AG396" t="str">
            <v>CIF HK</v>
          </cell>
          <cell r="AH396"/>
          <cell r="AI396"/>
          <cell r="AJ396"/>
          <cell r="AK396">
            <v>0.2</v>
          </cell>
          <cell r="AL396">
            <v>2640000</v>
          </cell>
          <cell r="AM396">
            <v>43525</v>
          </cell>
          <cell r="AN396" t="str">
            <v>Yes</v>
          </cell>
          <cell r="AO396" t="str">
            <v>agree</v>
          </cell>
          <cell r="AP396">
            <v>10000000</v>
          </cell>
          <cell r="AQ396">
            <v>43586</v>
          </cell>
          <cell r="AR396">
            <v>43607</v>
          </cell>
          <cell r="AS396" t="str">
            <v>complete</v>
          </cell>
          <cell r="AT396"/>
          <cell r="AV396"/>
          <cell r="AW396"/>
          <cell r="AX396" t="str">
            <v>Yes</v>
          </cell>
          <cell r="AY396"/>
          <cell r="AZ396" t="str">
            <v>Y</v>
          </cell>
          <cell r="BA396" t="str">
            <v>Yes</v>
          </cell>
        </row>
        <row r="397">
          <cell r="B397">
            <v>246</v>
          </cell>
          <cell r="C397" t="str">
            <v>C49SZX20190031MZ</v>
          </cell>
          <cell r="D397" t="str">
            <v>鸿南</v>
          </cell>
          <cell r="E397" t="str">
            <v>YSM10</v>
          </cell>
          <cell r="F397" t="str">
            <v>#56802</v>
          </cell>
          <cell r="G397" t="e">
            <v>#REF!</v>
          </cell>
          <cell r="H397" t="e">
            <v>#REF!</v>
          </cell>
          <cell r="I397" t="str">
            <v>R-&gt;L</v>
          </cell>
          <cell r="J397" t="str">
            <v>MVC</v>
          </cell>
          <cell r="K397">
            <v>1</v>
          </cell>
          <cell r="L397">
            <v>109295</v>
          </cell>
          <cell r="M397" t="str">
            <v>MAY 19</v>
          </cell>
          <cell r="N397">
            <v>43608</v>
          </cell>
          <cell r="O397">
            <v>11116294</v>
          </cell>
          <cell r="P397">
            <v>9400000</v>
          </cell>
          <cell r="Q397">
            <v>43586</v>
          </cell>
          <cell r="R397" t="str">
            <v>No</v>
          </cell>
          <cell r="S397" t="str">
            <v>C49</v>
          </cell>
          <cell r="T397" t="str">
            <v>SOUTH</v>
          </cell>
          <cell r="U397" t="str">
            <v>深圳</v>
          </cell>
          <cell r="V397" t="str">
            <v>SZ 深圳</v>
          </cell>
          <cell r="W397" t="str">
            <v>MZ</v>
          </cell>
          <cell r="X397" t="str">
            <v>JPY</v>
          </cell>
          <cell r="Y397">
            <v>9400000</v>
          </cell>
          <cell r="Z397">
            <v>1</v>
          </cell>
          <cell r="AA397">
            <v>9400000</v>
          </cell>
          <cell r="AB397">
            <v>7.2300000000000003E-2</v>
          </cell>
          <cell r="AC397">
            <v>679620</v>
          </cell>
          <cell r="AD397">
            <v>81554.399999999994</v>
          </cell>
          <cell r="AE397">
            <v>0.12</v>
          </cell>
          <cell r="AF397">
            <v>43532</v>
          </cell>
          <cell r="AG397" t="str">
            <v>CIF HK</v>
          </cell>
          <cell r="AH397"/>
          <cell r="AI397"/>
          <cell r="AJ397"/>
          <cell r="AK397">
            <v>0.2</v>
          </cell>
          <cell r="AL397">
            <v>1880000</v>
          </cell>
          <cell r="AM397">
            <v>43525</v>
          </cell>
          <cell r="AN397" t="str">
            <v>Yes</v>
          </cell>
          <cell r="AO397" t="str">
            <v>complete</v>
          </cell>
          <cell r="AP397"/>
          <cell r="AR397"/>
          <cell r="AS397"/>
          <cell r="AT397"/>
          <cell r="AV397"/>
          <cell r="AW397"/>
          <cell r="AX397" t="str">
            <v>Yes</v>
          </cell>
          <cell r="AY397"/>
          <cell r="AZ397" t="str">
            <v>Y</v>
          </cell>
          <cell r="BA397" t="str">
            <v>Yes</v>
          </cell>
        </row>
        <row r="398">
          <cell r="B398">
            <v>247</v>
          </cell>
          <cell r="C398" t="str">
            <v>C49SZX20190031MZ</v>
          </cell>
          <cell r="D398" t="str">
            <v>鸿南</v>
          </cell>
          <cell r="E398" t="str">
            <v>YSM10</v>
          </cell>
          <cell r="F398" t="str">
            <v>#56802</v>
          </cell>
          <cell r="G398" t="e">
            <v>#REF!</v>
          </cell>
          <cell r="H398" t="e">
            <v>#REF!</v>
          </cell>
          <cell r="I398" t="str">
            <v>R-&gt;L</v>
          </cell>
          <cell r="J398" t="str">
            <v>MVC</v>
          </cell>
          <cell r="K398">
            <v>1</v>
          </cell>
          <cell r="L398">
            <v>109295</v>
          </cell>
          <cell r="M398" t="str">
            <v>MAY 19</v>
          </cell>
          <cell r="N398">
            <v>43608</v>
          </cell>
          <cell r="O398">
            <v>11116294</v>
          </cell>
          <cell r="P398">
            <v>9400000</v>
          </cell>
          <cell r="Q398">
            <v>43586</v>
          </cell>
          <cell r="R398" t="str">
            <v>No</v>
          </cell>
          <cell r="S398" t="str">
            <v>C49</v>
          </cell>
          <cell r="T398" t="str">
            <v>SOUTH</v>
          </cell>
          <cell r="U398" t="str">
            <v>深圳</v>
          </cell>
          <cell r="V398" t="str">
            <v>SZ 深圳</v>
          </cell>
          <cell r="W398" t="str">
            <v>MZ</v>
          </cell>
          <cell r="X398" t="str">
            <v>JPY</v>
          </cell>
          <cell r="Y398">
            <v>9400000</v>
          </cell>
          <cell r="Z398">
            <v>1</v>
          </cell>
          <cell r="AA398">
            <v>9400000</v>
          </cell>
          <cell r="AB398">
            <v>7.2300000000000003E-2</v>
          </cell>
          <cell r="AC398">
            <v>679620</v>
          </cell>
          <cell r="AD398">
            <v>81554.399999999994</v>
          </cell>
          <cell r="AE398">
            <v>0.12</v>
          </cell>
          <cell r="AF398">
            <v>43532</v>
          </cell>
          <cell r="AG398" t="str">
            <v>CIF HK</v>
          </cell>
          <cell r="AH398"/>
          <cell r="AI398"/>
          <cell r="AJ398"/>
          <cell r="AK398">
            <v>0.2</v>
          </cell>
          <cell r="AL398">
            <v>1880000</v>
          </cell>
          <cell r="AM398">
            <v>43525</v>
          </cell>
          <cell r="AN398" t="str">
            <v>Yes</v>
          </cell>
          <cell r="AO398" t="str">
            <v>complete</v>
          </cell>
          <cell r="AP398"/>
          <cell r="AR398"/>
          <cell r="AS398"/>
          <cell r="AT398"/>
          <cell r="AV398"/>
          <cell r="AW398"/>
          <cell r="AX398" t="str">
            <v>Yes</v>
          </cell>
          <cell r="AY398"/>
          <cell r="AZ398" t="str">
            <v>Y</v>
          </cell>
          <cell r="BA398" t="str">
            <v>Yes</v>
          </cell>
        </row>
        <row r="399">
          <cell r="B399">
            <v>248</v>
          </cell>
          <cell r="C399" t="str">
            <v>C49SZX20190030SX</v>
          </cell>
          <cell r="D399" t="str">
            <v>惠阳锐诚</v>
          </cell>
          <cell r="E399" t="str">
            <v>YS24</v>
          </cell>
          <cell r="F399" t="str">
            <v>#78604</v>
          </cell>
          <cell r="G399" t="e">
            <v>#REF!</v>
          </cell>
          <cell r="H399" t="e">
            <v>#REF!</v>
          </cell>
          <cell r="I399" t="str">
            <v>L-&gt;R</v>
          </cell>
          <cell r="J399" t="str">
            <v>No</v>
          </cell>
          <cell r="K399">
            <v>1</v>
          </cell>
          <cell r="L399">
            <v>109421</v>
          </cell>
          <cell r="M399" t="str">
            <v>MAR 19</v>
          </cell>
          <cell r="O399">
            <v>11116267</v>
          </cell>
          <cell r="P399">
            <v>10538640</v>
          </cell>
          <cell r="Q399">
            <v>43525</v>
          </cell>
          <cell r="R399" t="str">
            <v>No</v>
          </cell>
          <cell r="S399" t="str">
            <v>C49</v>
          </cell>
          <cell r="T399" t="str">
            <v>SOUTH</v>
          </cell>
          <cell r="U399" t="str">
            <v>深圳</v>
          </cell>
          <cell r="V399" t="str">
            <v>SZ 深圳</v>
          </cell>
          <cell r="W399" t="str">
            <v>SX</v>
          </cell>
          <cell r="X399" t="str">
            <v>JPY</v>
          </cell>
          <cell r="Y399">
            <v>10538640</v>
          </cell>
          <cell r="Z399">
            <v>1</v>
          </cell>
          <cell r="AA399">
            <v>10538640</v>
          </cell>
          <cell r="AB399">
            <v>7.2300000000000003E-2</v>
          </cell>
          <cell r="AC399">
            <v>761943.67200000002</v>
          </cell>
          <cell r="AD399">
            <v>91433.240640000004</v>
          </cell>
          <cell r="AE399">
            <v>0.12</v>
          </cell>
          <cell r="AF399">
            <v>43531</v>
          </cell>
          <cell r="AG399" t="str">
            <v>DAP惠阳</v>
          </cell>
          <cell r="AH399"/>
          <cell r="AI399"/>
          <cell r="AJ399"/>
          <cell r="AK399">
            <v>0.2</v>
          </cell>
          <cell r="AL399">
            <v>2107728</v>
          </cell>
          <cell r="AM399">
            <v>43525</v>
          </cell>
          <cell r="AN399" t="str">
            <v>Yes</v>
          </cell>
          <cell r="AO399">
            <v>0.8</v>
          </cell>
          <cell r="AP399">
            <v>8430912</v>
          </cell>
          <cell r="AQ399">
            <v>43525</v>
          </cell>
          <cell r="AR399">
            <v>43544</v>
          </cell>
          <cell r="AS399" t="str">
            <v>complete</v>
          </cell>
          <cell r="AT399"/>
          <cell r="AV399"/>
          <cell r="AW399"/>
          <cell r="AX399" t="str">
            <v>Yes</v>
          </cell>
          <cell r="AY399"/>
          <cell r="AZ399" t="str">
            <v>Y</v>
          </cell>
          <cell r="BA399" t="str">
            <v>Yes</v>
          </cell>
        </row>
        <row r="400">
          <cell r="B400">
            <v>249</v>
          </cell>
          <cell r="C400" t="str">
            <v>C28SZX20190001YY</v>
          </cell>
          <cell r="D400" t="str">
            <v>昶达CHEERSTAR</v>
          </cell>
          <cell r="E400" t="str">
            <v>Heller 1809MK5</v>
          </cell>
          <cell r="F400" t="str">
            <v>#03479</v>
          </cell>
          <cell r="G400" t="e">
            <v>#REF!</v>
          </cell>
          <cell r="H400" t="e">
            <v>#REF!</v>
          </cell>
          <cell r="I400" t="str">
            <v>L-&gt;R</v>
          </cell>
          <cell r="J400" t="str">
            <v>No</v>
          </cell>
          <cell r="K400">
            <v>1</v>
          </cell>
          <cell r="L400" t="e">
            <v>#N/A</v>
          </cell>
          <cell r="M400" t="e">
            <v>#N/A</v>
          </cell>
          <cell r="O400">
            <v>11100287</v>
          </cell>
          <cell r="P400">
            <v>260000</v>
          </cell>
          <cell r="Q400">
            <v>43525</v>
          </cell>
          <cell r="R400" t="str">
            <v>Yes</v>
          </cell>
          <cell r="S400" t="str">
            <v>C28</v>
          </cell>
          <cell r="T400" t="str">
            <v>SOUTH</v>
          </cell>
          <cell r="U400" t="str">
            <v>深圳</v>
          </cell>
          <cell r="V400" t="str">
            <v>SZ 深圳</v>
          </cell>
          <cell r="W400" t="str">
            <v>YY</v>
          </cell>
          <cell r="X400" t="str">
            <v>RMB</v>
          </cell>
          <cell r="Y400">
            <v>260000</v>
          </cell>
          <cell r="Z400">
            <v>1.1599999999999999</v>
          </cell>
          <cell r="AA400">
            <v>260000</v>
          </cell>
          <cell r="AB400">
            <v>1.1599999999999999</v>
          </cell>
          <cell r="AC400">
            <v>260000</v>
          </cell>
          <cell r="AD400">
            <v>31200</v>
          </cell>
          <cell r="AE400">
            <v>0.12</v>
          </cell>
          <cell r="AF400">
            <v>43484</v>
          </cell>
          <cell r="AG400" t="str">
            <v>含税到厂</v>
          </cell>
          <cell r="AH400"/>
          <cell r="AI400"/>
          <cell r="AJ400"/>
          <cell r="AK400">
            <v>0.3</v>
          </cell>
          <cell r="AL400">
            <v>78000</v>
          </cell>
          <cell r="AM400">
            <v>43466</v>
          </cell>
          <cell r="AN400" t="str">
            <v>Yes</v>
          </cell>
          <cell r="AO400">
            <v>0.65</v>
          </cell>
          <cell r="AP400">
            <v>169000</v>
          </cell>
          <cell r="AQ400">
            <v>43497</v>
          </cell>
          <cell r="AR400">
            <v>43516</v>
          </cell>
          <cell r="AS400">
            <v>0.05</v>
          </cell>
          <cell r="AT400">
            <v>13000</v>
          </cell>
          <cell r="AU400">
            <v>43556</v>
          </cell>
          <cell r="AV400">
            <v>43585</v>
          </cell>
          <cell r="AW400" t="str">
            <v>complete</v>
          </cell>
          <cell r="AX400" t="str">
            <v>Yes</v>
          </cell>
          <cell r="AY400"/>
          <cell r="AZ400" t="str">
            <v>Y</v>
          </cell>
          <cell r="BA400" t="str">
            <v>Yes</v>
          </cell>
        </row>
        <row r="401">
          <cell r="B401">
            <v>250</v>
          </cell>
          <cell r="C401" t="str">
            <v>C49SZX20190026ZX</v>
          </cell>
          <cell r="D401" t="str">
            <v>比泰利</v>
          </cell>
          <cell r="E401" t="str">
            <v>YSM20R(SV)-2</v>
          </cell>
          <cell r="F401" t="str">
            <v>#56222</v>
          </cell>
          <cell r="G401" t="e">
            <v>#REF!</v>
          </cell>
          <cell r="H401" t="e">
            <v>#REF!</v>
          </cell>
          <cell r="I401" t="str">
            <v>R-&gt;L</v>
          </cell>
          <cell r="J401" t="str">
            <v>MVC</v>
          </cell>
          <cell r="K401">
            <v>1</v>
          </cell>
          <cell r="L401">
            <v>109553</v>
          </cell>
          <cell r="M401" t="str">
            <v>MAY 19</v>
          </cell>
          <cell r="N401">
            <v>43609</v>
          </cell>
          <cell r="O401">
            <v>11116295</v>
          </cell>
          <cell r="P401">
            <v>17200000</v>
          </cell>
          <cell r="Q401">
            <v>43586</v>
          </cell>
          <cell r="R401" t="str">
            <v>No</v>
          </cell>
          <cell r="S401" t="str">
            <v>C49</v>
          </cell>
          <cell r="T401" t="str">
            <v>SOUTH</v>
          </cell>
          <cell r="U401" t="str">
            <v>深圳</v>
          </cell>
          <cell r="V401" t="str">
            <v>SZ 深圳</v>
          </cell>
          <cell r="W401" t="str">
            <v>ZX</v>
          </cell>
          <cell r="X401" t="str">
            <v>JPY</v>
          </cell>
          <cell r="Y401">
            <v>17200000</v>
          </cell>
          <cell r="Z401">
            <v>1</v>
          </cell>
          <cell r="AA401">
            <v>17200000</v>
          </cell>
          <cell r="AB401">
            <v>7.2300000000000003E-2</v>
          </cell>
          <cell r="AC401">
            <v>1243560</v>
          </cell>
          <cell r="AD401">
            <v>149227.19999999998</v>
          </cell>
          <cell r="AE401">
            <v>0.12</v>
          </cell>
          <cell r="AF401">
            <v>43537</v>
          </cell>
          <cell r="AG401" t="str">
            <v>DAP SZ</v>
          </cell>
          <cell r="AH401"/>
          <cell r="AI401"/>
          <cell r="AJ401"/>
          <cell r="AK401">
            <v>0.1</v>
          </cell>
          <cell r="AL401">
            <v>1720000</v>
          </cell>
          <cell r="AM401">
            <v>43525</v>
          </cell>
          <cell r="AN401" t="str">
            <v>Yes</v>
          </cell>
          <cell r="AO401">
            <v>0.2</v>
          </cell>
          <cell r="AP401">
            <v>3440000</v>
          </cell>
          <cell r="AQ401">
            <v>43556</v>
          </cell>
          <cell r="AR401">
            <v>43570</v>
          </cell>
          <cell r="AS401">
            <v>0.65</v>
          </cell>
          <cell r="AT401">
            <v>11180000</v>
          </cell>
          <cell r="AU401">
            <v>43586</v>
          </cell>
          <cell r="AV401">
            <v>43608</v>
          </cell>
          <cell r="AW401">
            <v>860000</v>
          </cell>
          <cell r="AX401" t="str">
            <v>Yes</v>
          </cell>
          <cell r="AY401"/>
          <cell r="AZ401" t="str">
            <v>Y</v>
          </cell>
          <cell r="BA401" t="str">
            <v>Yes</v>
          </cell>
        </row>
        <row r="402">
          <cell r="B402">
            <v>251</v>
          </cell>
          <cell r="C402" t="str">
            <v>C49SZX20190029ZX</v>
          </cell>
          <cell r="D402" t="str">
            <v>东莞圣亨</v>
          </cell>
          <cell r="E402" t="str">
            <v>YSM20R(SV)-2</v>
          </cell>
          <cell r="F402" t="str">
            <v>#03596</v>
          </cell>
          <cell r="G402" t="e">
            <v>#REF!</v>
          </cell>
          <cell r="H402" t="e">
            <v>#REF!</v>
          </cell>
          <cell r="I402" t="str">
            <v>L-&gt;R</v>
          </cell>
          <cell r="J402" t="str">
            <v>No</v>
          </cell>
          <cell r="K402">
            <v>1</v>
          </cell>
          <cell r="L402">
            <v>109247</v>
          </cell>
          <cell r="M402" t="str">
            <v>APR 19</v>
          </cell>
          <cell r="O402">
            <v>11116277</v>
          </cell>
          <cell r="P402">
            <v>13000000</v>
          </cell>
          <cell r="Q402">
            <v>43556</v>
          </cell>
          <cell r="R402" t="str">
            <v>Yes</v>
          </cell>
          <cell r="S402" t="str">
            <v>C49</v>
          </cell>
          <cell r="T402" t="str">
            <v>SOUTH</v>
          </cell>
          <cell r="U402" t="str">
            <v>東莞</v>
          </cell>
          <cell r="V402" t="str">
            <v>SZ 深圳</v>
          </cell>
          <cell r="W402" t="str">
            <v>ZX</v>
          </cell>
          <cell r="X402" t="str">
            <v>JPY</v>
          </cell>
          <cell r="Y402">
            <v>13000000</v>
          </cell>
          <cell r="Z402">
            <v>1</v>
          </cell>
          <cell r="AA402">
            <v>13000000</v>
          </cell>
          <cell r="AB402">
            <v>7.2300000000000003E-2</v>
          </cell>
          <cell r="AC402">
            <v>939900</v>
          </cell>
          <cell r="AD402">
            <v>112788</v>
          </cell>
          <cell r="AE402">
            <v>0.12</v>
          </cell>
          <cell r="AF402">
            <v>43537</v>
          </cell>
          <cell r="AG402" t="str">
            <v>DAP 东莞</v>
          </cell>
          <cell r="AH402"/>
          <cell r="AI402"/>
          <cell r="AJ402"/>
          <cell r="AK402">
            <v>0.1</v>
          </cell>
          <cell r="AL402">
            <v>1300000</v>
          </cell>
          <cell r="AM402">
            <v>43525</v>
          </cell>
          <cell r="AN402" t="str">
            <v>Yes</v>
          </cell>
          <cell r="AO402">
            <v>0.9</v>
          </cell>
          <cell r="AP402">
            <v>11700000</v>
          </cell>
          <cell r="AQ402">
            <v>43556</v>
          </cell>
          <cell r="AR402">
            <v>43558</v>
          </cell>
          <cell r="AS402" t="str">
            <v>complete</v>
          </cell>
          <cell r="AT402"/>
          <cell r="AV402"/>
          <cell r="AW402"/>
          <cell r="AX402" t="str">
            <v>Yes</v>
          </cell>
          <cell r="AY402"/>
          <cell r="AZ402" t="str">
            <v>Y</v>
          </cell>
          <cell r="BA402" t="str">
            <v>Yes</v>
          </cell>
        </row>
        <row r="403">
          <cell r="B403">
            <v>252</v>
          </cell>
          <cell r="C403" t="str">
            <v>C49SZX20190027MZ</v>
          </cell>
          <cell r="D403" t="str">
            <v>魔乐视/end user:拓普赛特</v>
          </cell>
          <cell r="E403" t="str">
            <v>YSM20R(SV)-2</v>
          </cell>
          <cell r="F403" t="str">
            <v>#03617</v>
          </cell>
          <cell r="G403" t="e">
            <v>#REF!</v>
          </cell>
          <cell r="H403" t="e">
            <v>#REF!</v>
          </cell>
          <cell r="I403" t="str">
            <v>L-&gt;R</v>
          </cell>
          <cell r="J403" t="str">
            <v>No</v>
          </cell>
          <cell r="K403">
            <v>1</v>
          </cell>
          <cell r="L403">
            <v>109478</v>
          </cell>
          <cell r="M403" t="str">
            <v>APR 19</v>
          </cell>
          <cell r="O403">
            <v>11116281</v>
          </cell>
          <cell r="P403">
            <v>15000000</v>
          </cell>
          <cell r="Q403">
            <v>43556</v>
          </cell>
          <cell r="R403" t="str">
            <v>Yes</v>
          </cell>
          <cell r="S403" t="str">
            <v>C49</v>
          </cell>
          <cell r="T403" t="str">
            <v>SOUTH</v>
          </cell>
          <cell r="U403" t="str">
            <v>深圳</v>
          </cell>
          <cell r="V403" t="str">
            <v>SZ 深圳</v>
          </cell>
          <cell r="W403" t="str">
            <v>MZ</v>
          </cell>
          <cell r="X403" t="str">
            <v>JPY</v>
          </cell>
          <cell r="Y403">
            <v>15000000</v>
          </cell>
          <cell r="Z403">
            <v>1</v>
          </cell>
          <cell r="AA403">
            <v>15000000</v>
          </cell>
          <cell r="AB403">
            <v>7.2300000000000003E-2</v>
          </cell>
          <cell r="AC403">
            <v>1084500</v>
          </cell>
          <cell r="AD403">
            <v>130140</v>
          </cell>
          <cell r="AE403">
            <v>0.12</v>
          </cell>
          <cell r="AF403">
            <v>43536</v>
          </cell>
          <cell r="AG403" t="str">
            <v>DAP 深圳</v>
          </cell>
          <cell r="AH403"/>
          <cell r="AI403"/>
          <cell r="AJ403"/>
          <cell r="AK403">
            <v>0.2</v>
          </cell>
          <cell r="AL403">
            <v>3000000</v>
          </cell>
          <cell r="AM403">
            <v>43525</v>
          </cell>
          <cell r="AN403" t="str">
            <v>Yes</v>
          </cell>
          <cell r="AO403">
            <v>0.8</v>
          </cell>
          <cell r="AP403">
            <v>12000000</v>
          </cell>
          <cell r="AQ403">
            <v>43556</v>
          </cell>
          <cell r="AR403">
            <v>43564</v>
          </cell>
          <cell r="AS403" t="str">
            <v>complete</v>
          </cell>
          <cell r="AT403"/>
          <cell r="AV403"/>
          <cell r="AW403"/>
          <cell r="AX403" t="str">
            <v>Yes</v>
          </cell>
          <cell r="AY403"/>
          <cell r="AZ403" t="str">
            <v>Y</v>
          </cell>
          <cell r="BA403" t="str">
            <v>Yes</v>
          </cell>
        </row>
        <row r="404">
          <cell r="B404">
            <v>253</v>
          </cell>
          <cell r="C404" t="str">
            <v>C49SZX20190027MZ</v>
          </cell>
          <cell r="D404" t="str">
            <v>魔乐视/end user:拓普赛特</v>
          </cell>
          <cell r="E404" t="str">
            <v>YSM10</v>
          </cell>
          <cell r="F404" t="str">
            <v>#03617</v>
          </cell>
          <cell r="G404" t="e">
            <v>#REF!</v>
          </cell>
          <cell r="H404" t="e">
            <v>#REF!</v>
          </cell>
          <cell r="I404" t="str">
            <v>L-&gt;R</v>
          </cell>
          <cell r="J404" t="str">
            <v>MVC+ATS15</v>
          </cell>
          <cell r="K404">
            <v>1</v>
          </cell>
          <cell r="L404">
            <v>109381</v>
          </cell>
          <cell r="M404" t="str">
            <v>APR 19</v>
          </cell>
          <cell r="O404">
            <v>11116281</v>
          </cell>
          <cell r="P404">
            <v>12000000</v>
          </cell>
          <cell r="Q404">
            <v>43556</v>
          </cell>
          <cell r="R404" t="str">
            <v>Yes</v>
          </cell>
          <cell r="S404" t="str">
            <v>C49</v>
          </cell>
          <cell r="T404" t="str">
            <v>SOUTH</v>
          </cell>
          <cell r="U404" t="str">
            <v>深圳</v>
          </cell>
          <cell r="V404" t="str">
            <v>SZ 深圳</v>
          </cell>
          <cell r="W404" t="str">
            <v>MZ</v>
          </cell>
          <cell r="X404" t="str">
            <v>JPY</v>
          </cell>
          <cell r="Y404">
            <v>12000000</v>
          </cell>
          <cell r="Z404">
            <v>1</v>
          </cell>
          <cell r="AA404">
            <v>12000000</v>
          </cell>
          <cell r="AB404">
            <v>7.2300000000000003E-2</v>
          </cell>
          <cell r="AC404">
            <v>867600</v>
          </cell>
          <cell r="AD404">
            <v>104112</v>
          </cell>
          <cell r="AE404">
            <v>0.12</v>
          </cell>
          <cell r="AF404">
            <v>43536</v>
          </cell>
          <cell r="AG404" t="str">
            <v>DAP 深圳</v>
          </cell>
          <cell r="AH404"/>
          <cell r="AI404"/>
          <cell r="AJ404"/>
          <cell r="AK404">
            <v>0.2</v>
          </cell>
          <cell r="AL404">
            <v>2400000</v>
          </cell>
          <cell r="AM404">
            <v>43525</v>
          </cell>
          <cell r="AN404" t="str">
            <v>Yes</v>
          </cell>
          <cell r="AO404">
            <v>0.8</v>
          </cell>
          <cell r="AP404">
            <v>9600000</v>
          </cell>
          <cell r="AQ404">
            <v>43556</v>
          </cell>
          <cell r="AR404">
            <v>43564</v>
          </cell>
          <cell r="AS404" t="str">
            <v>complete</v>
          </cell>
          <cell r="AT404"/>
          <cell r="AV404"/>
          <cell r="AW404"/>
          <cell r="AX404" t="str">
            <v>Yes</v>
          </cell>
          <cell r="AY404"/>
          <cell r="AZ404" t="str">
            <v>Y</v>
          </cell>
          <cell r="BA404" t="str">
            <v>Yes</v>
          </cell>
        </row>
        <row r="405">
          <cell r="B405">
            <v>254</v>
          </cell>
          <cell r="C405" t="str">
            <v>C49SZX20190028MZ</v>
          </cell>
          <cell r="D405" t="str">
            <v>魔乐视</v>
          </cell>
          <cell r="E405" t="str">
            <v>YSM20R(SV)-2</v>
          </cell>
          <cell r="F405" t="str">
            <v>NA</v>
          </cell>
          <cell r="G405" t="e">
            <v>#REF!</v>
          </cell>
          <cell r="H405" t="e">
            <v>#REF!</v>
          </cell>
          <cell r="I405" t="str">
            <v>L-&gt;R</v>
          </cell>
          <cell r="J405" t="str">
            <v>No</v>
          </cell>
          <cell r="K405">
            <v>1</v>
          </cell>
          <cell r="L405" t="e">
            <v>#REF!</v>
          </cell>
          <cell r="M405" t="e">
            <v>#REF!</v>
          </cell>
          <cell r="N405"/>
          <cell r="O405"/>
          <cell r="P405"/>
          <cell r="Q405"/>
          <cell r="R405" t="str">
            <v>Yes</v>
          </cell>
          <cell r="S405" t="str">
            <v>C49</v>
          </cell>
          <cell r="T405" t="str">
            <v>SOUTH</v>
          </cell>
          <cell r="U405" t="str">
            <v>深圳</v>
          </cell>
          <cell r="V405" t="str">
            <v>SZ 深圳</v>
          </cell>
          <cell r="W405" t="str">
            <v>MZ</v>
          </cell>
          <cell r="X405" t="str">
            <v>JPY</v>
          </cell>
          <cell r="Y405">
            <v>15000000</v>
          </cell>
          <cell r="Z405">
            <v>1</v>
          </cell>
          <cell r="AA405">
            <v>15000000</v>
          </cell>
          <cell r="AB405">
            <v>7.2300000000000003E-2</v>
          </cell>
          <cell r="AC405">
            <v>1084500</v>
          </cell>
          <cell r="AD405">
            <v>130140</v>
          </cell>
          <cell r="AE405">
            <v>0.12</v>
          </cell>
          <cell r="AF405">
            <v>43536</v>
          </cell>
          <cell r="AG405" t="str">
            <v>DAP 深圳</v>
          </cell>
          <cell r="AH405"/>
          <cell r="AI405"/>
          <cell r="AJ405"/>
          <cell r="AK405">
            <v>0.05</v>
          </cell>
          <cell r="AL405">
            <v>750000</v>
          </cell>
          <cell r="AM405">
            <v>43525</v>
          </cell>
          <cell r="AN405" t="str">
            <v>Yes</v>
          </cell>
          <cell r="AO405">
            <v>0.95</v>
          </cell>
          <cell r="AP405">
            <v>14250000</v>
          </cell>
          <cell r="AQ405"/>
          <cell r="AR405"/>
          <cell r="AS405"/>
          <cell r="AT405">
            <v>0</v>
          </cell>
          <cell r="AU405"/>
          <cell r="AV405"/>
          <cell r="AW405"/>
          <cell r="AX405" t="str">
            <v>Cancel</v>
          </cell>
          <cell r="AY405"/>
          <cell r="AZ405"/>
          <cell r="BA405" t="str">
            <v>Cancel</v>
          </cell>
        </row>
        <row r="406">
          <cell r="B406">
            <v>255</v>
          </cell>
          <cell r="C406" t="str">
            <v>C49SZX20190028MZ</v>
          </cell>
          <cell r="D406" t="str">
            <v>魔乐视</v>
          </cell>
          <cell r="E406" t="str">
            <v>YSM20R(SV)-2</v>
          </cell>
          <cell r="F406" t="str">
            <v>NA</v>
          </cell>
          <cell r="G406" t="e">
            <v>#REF!</v>
          </cell>
          <cell r="H406" t="e">
            <v>#REF!</v>
          </cell>
          <cell r="I406" t="str">
            <v>R-&gt;L</v>
          </cell>
          <cell r="J406" t="str">
            <v>No</v>
          </cell>
          <cell r="K406">
            <v>1</v>
          </cell>
          <cell r="L406" t="e">
            <v>#REF!</v>
          </cell>
          <cell r="M406" t="e">
            <v>#REF!</v>
          </cell>
          <cell r="N406"/>
          <cell r="O406"/>
          <cell r="P406"/>
          <cell r="Q406"/>
          <cell r="R406" t="str">
            <v>Yes</v>
          </cell>
          <cell r="S406" t="str">
            <v>C49</v>
          </cell>
          <cell r="T406" t="str">
            <v>SOUTH</v>
          </cell>
          <cell r="U406" t="str">
            <v>深圳</v>
          </cell>
          <cell r="V406" t="str">
            <v>SZ 深圳</v>
          </cell>
          <cell r="W406" t="str">
            <v>MZ</v>
          </cell>
          <cell r="X406" t="str">
            <v>JPY</v>
          </cell>
          <cell r="Y406">
            <v>15000000</v>
          </cell>
          <cell r="Z406">
            <v>1</v>
          </cell>
          <cell r="AA406">
            <v>15000000</v>
          </cell>
          <cell r="AB406">
            <v>7.2300000000000003E-2</v>
          </cell>
          <cell r="AC406">
            <v>1084500</v>
          </cell>
          <cell r="AD406">
            <v>130140</v>
          </cell>
          <cell r="AE406">
            <v>0.12</v>
          </cell>
          <cell r="AF406">
            <v>43536</v>
          </cell>
          <cell r="AG406" t="str">
            <v>DAP 深圳</v>
          </cell>
          <cell r="AH406"/>
          <cell r="AI406"/>
          <cell r="AJ406"/>
          <cell r="AK406">
            <v>0.05</v>
          </cell>
          <cell r="AL406">
            <v>750000</v>
          </cell>
          <cell r="AM406">
            <v>43525</v>
          </cell>
          <cell r="AN406" t="str">
            <v>Yes</v>
          </cell>
          <cell r="AO406">
            <v>0.95</v>
          </cell>
          <cell r="AP406">
            <v>14250000</v>
          </cell>
          <cell r="AQ406"/>
          <cell r="AR406"/>
          <cell r="AS406"/>
          <cell r="AT406">
            <v>0</v>
          </cell>
          <cell r="AU406"/>
          <cell r="AV406"/>
          <cell r="AW406"/>
          <cell r="AX406" t="str">
            <v>Cancel</v>
          </cell>
          <cell r="AY406"/>
          <cell r="AZ406"/>
          <cell r="BA406" t="str">
            <v>Cancel</v>
          </cell>
        </row>
        <row r="407">
          <cell r="B407">
            <v>256</v>
          </cell>
          <cell r="C407" t="str">
            <v>C49SZX20190028MZ</v>
          </cell>
          <cell r="D407" t="str">
            <v>魔乐视</v>
          </cell>
          <cell r="E407" t="str">
            <v>YSM20R(SV)-2</v>
          </cell>
          <cell r="F407" t="str">
            <v>NA</v>
          </cell>
          <cell r="G407" t="e">
            <v>#REF!</v>
          </cell>
          <cell r="H407" t="e">
            <v>#REF!</v>
          </cell>
          <cell r="I407" t="str">
            <v>R-&gt;L</v>
          </cell>
          <cell r="J407" t="str">
            <v>No</v>
          </cell>
          <cell r="K407">
            <v>1</v>
          </cell>
          <cell r="L407" t="e">
            <v>#REF!</v>
          </cell>
          <cell r="M407" t="e">
            <v>#REF!</v>
          </cell>
          <cell r="N407"/>
          <cell r="O407"/>
          <cell r="P407"/>
          <cell r="Q407"/>
          <cell r="R407" t="str">
            <v>Yes</v>
          </cell>
          <cell r="S407" t="str">
            <v>C49</v>
          </cell>
          <cell r="T407" t="str">
            <v>SOUTH</v>
          </cell>
          <cell r="U407" t="str">
            <v>深圳</v>
          </cell>
          <cell r="V407" t="str">
            <v>SZ 深圳</v>
          </cell>
          <cell r="W407" t="str">
            <v>MZ</v>
          </cell>
          <cell r="X407" t="str">
            <v>JPY</v>
          </cell>
          <cell r="Y407">
            <v>15000000</v>
          </cell>
          <cell r="Z407">
            <v>1</v>
          </cell>
          <cell r="AA407">
            <v>15000000</v>
          </cell>
          <cell r="AB407">
            <v>7.2300000000000003E-2</v>
          </cell>
          <cell r="AC407">
            <v>1084500</v>
          </cell>
          <cell r="AD407">
            <v>130140</v>
          </cell>
          <cell r="AE407">
            <v>0.12</v>
          </cell>
          <cell r="AF407">
            <v>43536</v>
          </cell>
          <cell r="AG407" t="str">
            <v>DAP 深圳</v>
          </cell>
          <cell r="AH407"/>
          <cell r="AI407"/>
          <cell r="AJ407"/>
          <cell r="AK407">
            <v>0.05</v>
          </cell>
          <cell r="AL407">
            <v>750000</v>
          </cell>
          <cell r="AM407">
            <v>43525</v>
          </cell>
          <cell r="AN407" t="str">
            <v>Yes</v>
          </cell>
          <cell r="AO407">
            <v>0.95</v>
          </cell>
          <cell r="AP407">
            <v>14250000</v>
          </cell>
          <cell r="AQ407"/>
          <cell r="AR407"/>
          <cell r="AS407"/>
          <cell r="AT407">
            <v>0</v>
          </cell>
          <cell r="AU407"/>
          <cell r="AV407"/>
          <cell r="AW407"/>
          <cell r="AX407" t="str">
            <v>Cancel</v>
          </cell>
          <cell r="AY407"/>
          <cell r="AZ407"/>
          <cell r="BA407" t="str">
            <v>Cancel</v>
          </cell>
        </row>
        <row r="408">
          <cell r="B408">
            <v>257</v>
          </cell>
          <cell r="C408" t="str">
            <v>C49SZX20190028MZ</v>
          </cell>
          <cell r="D408" t="str">
            <v>魔乐视</v>
          </cell>
          <cell r="E408" t="str">
            <v>YSM10</v>
          </cell>
          <cell r="F408" t="str">
            <v>NA</v>
          </cell>
          <cell r="G408" t="e">
            <v>#REF!</v>
          </cell>
          <cell r="H408" t="e">
            <v>#REF!</v>
          </cell>
          <cell r="I408" t="str">
            <v>L-&gt;R</v>
          </cell>
          <cell r="J408" t="str">
            <v>MVC+ATS15</v>
          </cell>
          <cell r="K408">
            <v>1</v>
          </cell>
          <cell r="L408" t="e">
            <v>#REF!</v>
          </cell>
          <cell r="M408" t="e">
            <v>#REF!</v>
          </cell>
          <cell r="N408"/>
          <cell r="O408"/>
          <cell r="P408"/>
          <cell r="Q408"/>
          <cell r="R408" t="str">
            <v>Yes</v>
          </cell>
          <cell r="S408" t="str">
            <v>C49</v>
          </cell>
          <cell r="T408" t="str">
            <v>SOUTH</v>
          </cell>
          <cell r="U408" t="str">
            <v>深圳</v>
          </cell>
          <cell r="V408" t="str">
            <v>SZ 深圳</v>
          </cell>
          <cell r="W408" t="str">
            <v>MZ</v>
          </cell>
          <cell r="X408" t="str">
            <v>JPY</v>
          </cell>
          <cell r="Y408">
            <v>12000000</v>
          </cell>
          <cell r="Z408">
            <v>1</v>
          </cell>
          <cell r="AA408">
            <v>12000000</v>
          </cell>
          <cell r="AB408">
            <v>7.2300000000000003E-2</v>
          </cell>
          <cell r="AC408">
            <v>867600</v>
          </cell>
          <cell r="AD408">
            <v>104112</v>
          </cell>
          <cell r="AE408">
            <v>0.12</v>
          </cell>
          <cell r="AF408">
            <v>43536</v>
          </cell>
          <cell r="AG408" t="str">
            <v>DAP 深圳</v>
          </cell>
          <cell r="AH408"/>
          <cell r="AI408"/>
          <cell r="AJ408"/>
          <cell r="AK408">
            <v>0.05</v>
          </cell>
          <cell r="AL408">
            <v>600000</v>
          </cell>
          <cell r="AM408">
            <v>43525</v>
          </cell>
          <cell r="AN408" t="str">
            <v>Yes</v>
          </cell>
          <cell r="AO408">
            <v>0.95</v>
          </cell>
          <cell r="AP408">
            <v>11400000</v>
          </cell>
          <cell r="AQ408"/>
          <cell r="AR408"/>
          <cell r="AS408"/>
          <cell r="AT408">
            <v>0</v>
          </cell>
          <cell r="AU408"/>
          <cell r="AV408"/>
          <cell r="AW408"/>
          <cell r="AX408" t="str">
            <v>Cancel</v>
          </cell>
          <cell r="AY408"/>
          <cell r="AZ408"/>
          <cell r="BA408" t="str">
            <v>Cancel</v>
          </cell>
        </row>
        <row r="409">
          <cell r="B409">
            <v>258</v>
          </cell>
          <cell r="C409" t="str">
            <v>C49SZX20190028MZ</v>
          </cell>
          <cell r="D409" t="str">
            <v>魔乐视</v>
          </cell>
          <cell r="E409" t="str">
            <v>YSM10</v>
          </cell>
          <cell r="F409" t="str">
            <v>NA</v>
          </cell>
          <cell r="G409" t="e">
            <v>#REF!</v>
          </cell>
          <cell r="H409" t="e">
            <v>#REF!</v>
          </cell>
          <cell r="I409" t="str">
            <v>R-&gt;L</v>
          </cell>
          <cell r="J409" t="str">
            <v>MVC+ATS15</v>
          </cell>
          <cell r="K409">
            <v>1</v>
          </cell>
          <cell r="L409" t="e">
            <v>#REF!</v>
          </cell>
          <cell r="M409" t="e">
            <v>#REF!</v>
          </cell>
          <cell r="N409"/>
          <cell r="O409"/>
          <cell r="P409"/>
          <cell r="Q409"/>
          <cell r="R409" t="str">
            <v>Yes</v>
          </cell>
          <cell r="S409" t="str">
            <v>C49</v>
          </cell>
          <cell r="T409" t="str">
            <v>SOUTH</v>
          </cell>
          <cell r="U409" t="str">
            <v>深圳</v>
          </cell>
          <cell r="V409" t="str">
            <v>SZ 深圳</v>
          </cell>
          <cell r="W409" t="str">
            <v>MZ</v>
          </cell>
          <cell r="X409" t="str">
            <v>JPY</v>
          </cell>
          <cell r="Y409">
            <v>12000000</v>
          </cell>
          <cell r="Z409">
            <v>1</v>
          </cell>
          <cell r="AA409">
            <v>12000000</v>
          </cell>
          <cell r="AB409">
            <v>7.2300000000000003E-2</v>
          </cell>
          <cell r="AC409">
            <v>867600</v>
          </cell>
          <cell r="AD409">
            <v>104112</v>
          </cell>
          <cell r="AE409">
            <v>0.12</v>
          </cell>
          <cell r="AF409">
            <v>43536</v>
          </cell>
          <cell r="AG409" t="str">
            <v>DAP 深圳</v>
          </cell>
          <cell r="AH409"/>
          <cell r="AI409"/>
          <cell r="AJ409"/>
          <cell r="AK409">
            <v>0.05</v>
          </cell>
          <cell r="AL409">
            <v>600000</v>
          </cell>
          <cell r="AM409">
            <v>43525</v>
          </cell>
          <cell r="AN409" t="str">
            <v>Yes</v>
          </cell>
          <cell r="AO409">
            <v>0.95</v>
          </cell>
          <cell r="AP409">
            <v>11400000</v>
          </cell>
          <cell r="AQ409"/>
          <cell r="AR409"/>
          <cell r="AS409"/>
          <cell r="AT409">
            <v>0</v>
          </cell>
          <cell r="AU409"/>
          <cell r="AV409"/>
          <cell r="AW409"/>
          <cell r="AX409" t="str">
            <v>Cancel</v>
          </cell>
          <cell r="AY409"/>
          <cell r="AZ409"/>
          <cell r="BA409" t="str">
            <v>Cancel</v>
          </cell>
        </row>
        <row r="410">
          <cell r="B410">
            <v>259</v>
          </cell>
          <cell r="C410" t="str">
            <v>C49SZX20190028MZ</v>
          </cell>
          <cell r="D410" t="str">
            <v>魔乐视</v>
          </cell>
          <cell r="E410" t="str">
            <v>YSM10</v>
          </cell>
          <cell r="F410" t="str">
            <v>NA</v>
          </cell>
          <cell r="G410" t="e">
            <v>#REF!</v>
          </cell>
          <cell r="H410" t="e">
            <v>#REF!</v>
          </cell>
          <cell r="I410" t="str">
            <v>R-&gt;L</v>
          </cell>
          <cell r="J410" t="str">
            <v>MVC+ATS15</v>
          </cell>
          <cell r="K410">
            <v>1</v>
          </cell>
          <cell r="L410" t="e">
            <v>#REF!</v>
          </cell>
          <cell r="M410" t="e">
            <v>#REF!</v>
          </cell>
          <cell r="N410"/>
          <cell r="O410"/>
          <cell r="P410"/>
          <cell r="Q410"/>
          <cell r="R410" t="str">
            <v>Yes</v>
          </cell>
          <cell r="S410" t="str">
            <v>C49</v>
          </cell>
          <cell r="T410" t="str">
            <v>SOUTH</v>
          </cell>
          <cell r="U410" t="str">
            <v>深圳</v>
          </cell>
          <cell r="V410" t="str">
            <v>SZ 深圳</v>
          </cell>
          <cell r="W410" t="str">
            <v>MZ</v>
          </cell>
          <cell r="X410" t="str">
            <v>JPY</v>
          </cell>
          <cell r="Y410">
            <v>12000000</v>
          </cell>
          <cell r="Z410">
            <v>1</v>
          </cell>
          <cell r="AA410">
            <v>12000000</v>
          </cell>
          <cell r="AB410">
            <v>7.2300000000000003E-2</v>
          </cell>
          <cell r="AC410">
            <v>867600</v>
          </cell>
          <cell r="AD410">
            <v>104112</v>
          </cell>
          <cell r="AE410">
            <v>0.12</v>
          </cell>
          <cell r="AF410">
            <v>43536</v>
          </cell>
          <cell r="AG410" t="str">
            <v>DAP 深圳</v>
          </cell>
          <cell r="AH410"/>
          <cell r="AI410"/>
          <cell r="AJ410"/>
          <cell r="AK410">
            <v>0.05</v>
          </cell>
          <cell r="AL410">
            <v>600000</v>
          </cell>
          <cell r="AM410">
            <v>43525</v>
          </cell>
          <cell r="AN410" t="str">
            <v>Yes</v>
          </cell>
          <cell r="AO410">
            <v>0.95</v>
          </cell>
          <cell r="AP410">
            <v>11400000</v>
          </cell>
          <cell r="AQ410"/>
          <cell r="AR410"/>
          <cell r="AS410"/>
          <cell r="AT410">
            <v>0</v>
          </cell>
          <cell r="AU410"/>
          <cell r="AV410"/>
          <cell r="AW410"/>
          <cell r="AX410" t="str">
            <v>Cancel</v>
          </cell>
          <cell r="AY410"/>
          <cell r="AZ410"/>
          <cell r="BA410" t="str">
            <v>Cancel</v>
          </cell>
        </row>
        <row r="411">
          <cell r="B411">
            <v>260</v>
          </cell>
          <cell r="C411" t="str">
            <v>C28BJS20190018LY</v>
          </cell>
          <cell r="D411" t="str">
            <v>西安青松新瑞电子</v>
          </cell>
          <cell r="E411" t="str">
            <v>TROI-7700EL</v>
          </cell>
          <cell r="F411" t="str">
            <v>No</v>
          </cell>
          <cell r="G411" t="e">
            <v>#REF!</v>
          </cell>
          <cell r="H411" t="e">
            <v>#REF!</v>
          </cell>
          <cell r="I411" t="str">
            <v>L-&gt;R</v>
          </cell>
          <cell r="J411" t="str">
            <v>No</v>
          </cell>
          <cell r="K411">
            <v>1</v>
          </cell>
          <cell r="L411" t="str">
            <v>28H109558</v>
          </cell>
          <cell r="M411" t="str">
            <v>APR 19</v>
          </cell>
          <cell r="O411">
            <v>11100692</v>
          </cell>
          <cell r="P411">
            <v>380000</v>
          </cell>
          <cell r="Q411">
            <v>43556</v>
          </cell>
          <cell r="R411" t="str">
            <v>Yes</v>
          </cell>
          <cell r="S411" t="str">
            <v>C28</v>
          </cell>
          <cell r="T411" t="str">
            <v>PRC</v>
          </cell>
          <cell r="U411" t="str">
            <v>西安</v>
          </cell>
          <cell r="V411" t="str">
            <v>XA 西安</v>
          </cell>
          <cell r="W411" t="str">
            <v>Li Yong</v>
          </cell>
          <cell r="X411" t="str">
            <v>RMB</v>
          </cell>
          <cell r="Y411">
            <v>380000</v>
          </cell>
          <cell r="Z411">
            <v>1.1599999999999999</v>
          </cell>
          <cell r="AA411">
            <v>380000</v>
          </cell>
          <cell r="AB411">
            <v>1.1599999999999999</v>
          </cell>
          <cell r="AC411">
            <v>380000</v>
          </cell>
          <cell r="AD411">
            <v>45600</v>
          </cell>
          <cell r="AE411">
            <v>0.12</v>
          </cell>
          <cell r="AF411">
            <v>43536</v>
          </cell>
          <cell r="AG411" t="str">
            <v>含税到厂</v>
          </cell>
          <cell r="AH411"/>
          <cell r="AI411"/>
          <cell r="AJ411"/>
          <cell r="AK411">
            <v>0.3</v>
          </cell>
          <cell r="AL411">
            <v>114000</v>
          </cell>
          <cell r="AM411">
            <v>43525</v>
          </cell>
          <cell r="AN411" t="str">
            <v>Yes</v>
          </cell>
          <cell r="AO411" t="str">
            <v>agree</v>
          </cell>
          <cell r="AP411">
            <v>219154.8</v>
          </cell>
          <cell r="AQ411">
            <v>43556</v>
          </cell>
          <cell r="AR411">
            <v>43570</v>
          </cell>
          <cell r="AS411" t="str">
            <v>agree</v>
          </cell>
          <cell r="AT411">
            <v>46845.2</v>
          </cell>
          <cell r="AV411"/>
          <cell r="AW411"/>
          <cell r="AY411"/>
          <cell r="BA411" t="str">
            <v>Yes</v>
          </cell>
        </row>
        <row r="412">
          <cell r="B412">
            <v>261</v>
          </cell>
          <cell r="C412" t="str">
            <v>C49SZX20190037RW</v>
          </cell>
          <cell r="D412" t="str">
            <v>华薪兄弟</v>
          </cell>
          <cell r="E412" t="str">
            <v>YSM20R(SV)-2</v>
          </cell>
          <cell r="F412" t="str">
            <v>NA</v>
          </cell>
          <cell r="G412" t="e">
            <v>#REF!</v>
          </cell>
          <cell r="H412" t="e">
            <v>#REF!</v>
          </cell>
          <cell r="I412" t="str">
            <v>L-&gt;R</v>
          </cell>
          <cell r="J412" t="str">
            <v>MVC</v>
          </cell>
          <cell r="K412">
            <v>1</v>
          </cell>
          <cell r="L412" t="str">
            <v>取消</v>
          </cell>
          <cell r="M412" t="e">
            <v>#N/A</v>
          </cell>
          <cell r="N412"/>
          <cell r="O412"/>
          <cell r="P412"/>
          <cell r="Q412"/>
          <cell r="R412" t="str">
            <v>Yes</v>
          </cell>
          <cell r="S412" t="str">
            <v>C49</v>
          </cell>
          <cell r="T412" t="str">
            <v>SOUTH</v>
          </cell>
          <cell r="U412" t="str">
            <v>深圳</v>
          </cell>
          <cell r="V412" t="str">
            <v>SZ 深圳</v>
          </cell>
          <cell r="W412" t="str">
            <v>RW</v>
          </cell>
          <cell r="X412" t="str">
            <v>JPY</v>
          </cell>
          <cell r="Y412">
            <v>12786600</v>
          </cell>
          <cell r="Z412">
            <v>1</v>
          </cell>
          <cell r="AA412">
            <v>12786600</v>
          </cell>
          <cell r="AB412">
            <v>7.2300000000000003E-2</v>
          </cell>
          <cell r="AC412">
            <v>924471.18</v>
          </cell>
          <cell r="AD412">
            <v>110936.5416</v>
          </cell>
          <cell r="AE412">
            <v>0.12</v>
          </cell>
          <cell r="AF412">
            <v>43544</v>
          </cell>
          <cell r="AG412" t="str">
            <v>DAP 深圳</v>
          </cell>
          <cell r="AH412" t="str">
            <v>吊装二楼</v>
          </cell>
          <cell r="AI412"/>
          <cell r="AJ412"/>
          <cell r="AK412">
            <v>0.2</v>
          </cell>
          <cell r="AL412">
            <v>2557320</v>
          </cell>
          <cell r="AM412"/>
          <cell r="AN412" t="str">
            <v>No</v>
          </cell>
          <cell r="AO412">
            <v>0.8</v>
          </cell>
          <cell r="AP412">
            <v>10229280</v>
          </cell>
          <cell r="AQ412"/>
          <cell r="AR412"/>
          <cell r="AS412"/>
          <cell r="AT412">
            <v>0</v>
          </cell>
          <cell r="AV412"/>
          <cell r="AW412"/>
          <cell r="AX412" t="str">
            <v>Cancel</v>
          </cell>
          <cell r="AY412"/>
          <cell r="AZ412"/>
          <cell r="BA412" t="str">
            <v>Cancel</v>
          </cell>
        </row>
        <row r="413">
          <cell r="B413">
            <v>262</v>
          </cell>
          <cell r="C413" t="str">
            <v>C49SZX20190038RW</v>
          </cell>
          <cell r="D413" t="str">
            <v>华薪兄弟</v>
          </cell>
          <cell r="E413" t="str">
            <v>YSM20R(SV)-2</v>
          </cell>
          <cell r="F413" t="str">
            <v>NA</v>
          </cell>
          <cell r="G413" t="e">
            <v>#REF!</v>
          </cell>
          <cell r="H413" t="e">
            <v>#REF!</v>
          </cell>
          <cell r="I413" t="str">
            <v>R-&gt;L</v>
          </cell>
          <cell r="J413" t="str">
            <v>MVC</v>
          </cell>
          <cell r="K413">
            <v>1</v>
          </cell>
          <cell r="L413" t="str">
            <v>取消</v>
          </cell>
          <cell r="M413" t="e">
            <v>#N/A</v>
          </cell>
          <cell r="N413"/>
          <cell r="O413"/>
          <cell r="P413"/>
          <cell r="Q413"/>
          <cell r="R413" t="str">
            <v>Yes</v>
          </cell>
          <cell r="S413" t="str">
            <v>C49</v>
          </cell>
          <cell r="T413" t="str">
            <v>SOUTH</v>
          </cell>
          <cell r="U413" t="str">
            <v>深圳</v>
          </cell>
          <cell r="V413" t="str">
            <v>SZ 深圳</v>
          </cell>
          <cell r="W413" t="str">
            <v>RW</v>
          </cell>
          <cell r="X413" t="str">
            <v>JPY</v>
          </cell>
          <cell r="Y413">
            <v>12786600</v>
          </cell>
          <cell r="Z413">
            <v>1</v>
          </cell>
          <cell r="AA413">
            <v>12786600</v>
          </cell>
          <cell r="AB413">
            <v>7.2300000000000003E-2</v>
          </cell>
          <cell r="AC413">
            <v>924471.18</v>
          </cell>
          <cell r="AD413">
            <v>110936.5416</v>
          </cell>
          <cell r="AE413">
            <v>0.12</v>
          </cell>
          <cell r="AF413">
            <v>43544</v>
          </cell>
          <cell r="AG413" t="str">
            <v>DAP 深圳</v>
          </cell>
          <cell r="AH413" t="str">
            <v>吊装二楼</v>
          </cell>
          <cell r="AI413"/>
          <cell r="AJ413"/>
          <cell r="AK413">
            <v>0.2</v>
          </cell>
          <cell r="AL413">
            <v>2557320</v>
          </cell>
          <cell r="AM413"/>
          <cell r="AN413" t="str">
            <v>No</v>
          </cell>
          <cell r="AO413">
            <v>0.8</v>
          </cell>
          <cell r="AP413">
            <v>10229280</v>
          </cell>
          <cell r="AQ413"/>
          <cell r="AR413"/>
          <cell r="AS413"/>
          <cell r="AT413">
            <v>0</v>
          </cell>
          <cell r="AV413"/>
          <cell r="AW413"/>
          <cell r="AX413" t="str">
            <v>Cancel</v>
          </cell>
          <cell r="AY413"/>
          <cell r="AZ413"/>
          <cell r="BA413" t="str">
            <v>Cancel</v>
          </cell>
        </row>
        <row r="414">
          <cell r="B414">
            <v>263</v>
          </cell>
          <cell r="C414" t="str">
            <v>C49SZX20190035ZX</v>
          </cell>
          <cell r="D414" t="str">
            <v>恒泰创新</v>
          </cell>
          <cell r="E414" t="str">
            <v>YSM10</v>
          </cell>
          <cell r="F414" t="str">
            <v>#03619</v>
          </cell>
          <cell r="G414" t="e">
            <v>#REF!</v>
          </cell>
          <cell r="H414" t="e">
            <v>#REF!</v>
          </cell>
          <cell r="I414" t="str">
            <v>L-&gt;R</v>
          </cell>
          <cell r="J414" t="str">
            <v>MVC</v>
          </cell>
          <cell r="K414">
            <v>1</v>
          </cell>
          <cell r="L414">
            <v>109381</v>
          </cell>
          <cell r="M414" t="str">
            <v>APR 19</v>
          </cell>
          <cell r="O414">
            <v>11116287</v>
          </cell>
          <cell r="P414">
            <v>10000000</v>
          </cell>
          <cell r="Q414">
            <v>43556</v>
          </cell>
          <cell r="R414" t="str">
            <v>Yes</v>
          </cell>
          <cell r="S414" t="str">
            <v>C49</v>
          </cell>
          <cell r="T414" t="str">
            <v>SOUTH</v>
          </cell>
          <cell r="U414" t="str">
            <v>深圳</v>
          </cell>
          <cell r="V414" t="str">
            <v>SZ 深圳</v>
          </cell>
          <cell r="W414" t="str">
            <v>ZX</v>
          </cell>
          <cell r="X414" t="str">
            <v>JPY</v>
          </cell>
          <cell r="Y414">
            <v>10000000</v>
          </cell>
          <cell r="Z414">
            <v>1</v>
          </cell>
          <cell r="AA414">
            <v>10000000</v>
          </cell>
          <cell r="AB414">
            <v>7.2300000000000003E-2</v>
          </cell>
          <cell r="AC414">
            <v>723000</v>
          </cell>
          <cell r="AD414">
            <v>86760</v>
          </cell>
          <cell r="AE414">
            <v>0.12</v>
          </cell>
          <cell r="AF414">
            <v>43544</v>
          </cell>
          <cell r="AG414" t="str">
            <v>DAP 深圳</v>
          </cell>
          <cell r="AH414"/>
          <cell r="AI414"/>
          <cell r="AJ414"/>
          <cell r="AK414">
            <v>0.1</v>
          </cell>
          <cell r="AL414">
            <v>1000000</v>
          </cell>
          <cell r="AM414">
            <v>43525</v>
          </cell>
          <cell r="AN414" t="str">
            <v>Yes</v>
          </cell>
          <cell r="AO414">
            <v>0.9</v>
          </cell>
          <cell r="AP414">
            <v>9000000</v>
          </cell>
          <cell r="AQ414">
            <v>43556</v>
          </cell>
          <cell r="AR414">
            <v>43579</v>
          </cell>
          <cell r="AS414" t="str">
            <v>complete</v>
          </cell>
          <cell r="AT414"/>
          <cell r="AV414"/>
          <cell r="AW414"/>
          <cell r="AX414" t="str">
            <v>Yes</v>
          </cell>
          <cell r="AY414"/>
          <cell r="AZ414" t="str">
            <v>Y</v>
          </cell>
          <cell r="BA414" t="str">
            <v>Yes</v>
          </cell>
        </row>
        <row r="415">
          <cell r="B415">
            <v>264</v>
          </cell>
          <cell r="C415" t="str">
            <v>C49SZX20190035ZX</v>
          </cell>
          <cell r="D415" t="str">
            <v>恒泰创新</v>
          </cell>
          <cell r="E415" t="str">
            <v>YSM20R(SV)-2</v>
          </cell>
          <cell r="F415" t="str">
            <v>#03619</v>
          </cell>
          <cell r="G415" t="e">
            <v>#REF!</v>
          </cell>
          <cell r="H415" t="e">
            <v>#REF!</v>
          </cell>
          <cell r="I415" t="str">
            <v>L-&gt;R</v>
          </cell>
          <cell r="J415" t="str">
            <v>No</v>
          </cell>
          <cell r="K415">
            <v>1</v>
          </cell>
          <cell r="L415">
            <v>109429</v>
          </cell>
          <cell r="M415" t="str">
            <v>APR 19</v>
          </cell>
          <cell r="O415">
            <v>11116287</v>
          </cell>
          <cell r="P415">
            <v>13000000</v>
          </cell>
          <cell r="Q415">
            <v>43556</v>
          </cell>
          <cell r="R415" t="str">
            <v>Yes</v>
          </cell>
          <cell r="S415" t="str">
            <v>C49</v>
          </cell>
          <cell r="T415" t="str">
            <v>SOUTH</v>
          </cell>
          <cell r="U415" t="str">
            <v>深圳</v>
          </cell>
          <cell r="V415" t="str">
            <v>SZ 深圳</v>
          </cell>
          <cell r="W415" t="str">
            <v>ZX</v>
          </cell>
          <cell r="X415" t="str">
            <v>JPY</v>
          </cell>
          <cell r="Y415">
            <v>13000000</v>
          </cell>
          <cell r="Z415">
            <v>1</v>
          </cell>
          <cell r="AA415">
            <v>13000000</v>
          </cell>
          <cell r="AB415">
            <v>7.2300000000000003E-2</v>
          </cell>
          <cell r="AC415">
            <v>939900</v>
          </cell>
          <cell r="AD415">
            <v>112788</v>
          </cell>
          <cell r="AE415">
            <v>0.12</v>
          </cell>
          <cell r="AF415">
            <v>43544</v>
          </cell>
          <cell r="AG415" t="str">
            <v>DAP 深圳</v>
          </cell>
          <cell r="AH415"/>
          <cell r="AI415"/>
          <cell r="AJ415"/>
          <cell r="AK415">
            <v>0.1</v>
          </cell>
          <cell r="AL415">
            <v>1300000</v>
          </cell>
          <cell r="AM415">
            <v>43525</v>
          </cell>
          <cell r="AN415" t="str">
            <v>Yes</v>
          </cell>
          <cell r="AO415">
            <v>0.9</v>
          </cell>
          <cell r="AP415">
            <v>11700000</v>
          </cell>
          <cell r="AQ415">
            <v>43556</v>
          </cell>
          <cell r="AR415">
            <v>43579</v>
          </cell>
          <cell r="AS415" t="str">
            <v>complete</v>
          </cell>
          <cell r="AT415"/>
          <cell r="AV415"/>
          <cell r="AW415"/>
          <cell r="AX415" t="str">
            <v>Yes</v>
          </cell>
          <cell r="AY415"/>
          <cell r="AZ415" t="str">
            <v>Y</v>
          </cell>
          <cell r="BA415" t="str">
            <v>Yes</v>
          </cell>
        </row>
        <row r="416">
          <cell r="B416">
            <v>265</v>
          </cell>
          <cell r="C416" t="str">
            <v>C49SZX20190032SX</v>
          </cell>
          <cell r="D416" t="str">
            <v>凌鑫</v>
          </cell>
          <cell r="E416" t="str">
            <v>YSM20-2</v>
          </cell>
          <cell r="F416" t="str">
            <v>#59002</v>
          </cell>
          <cell r="G416" t="e">
            <v>#REF!</v>
          </cell>
          <cell r="H416" t="e">
            <v>#REF!</v>
          </cell>
          <cell r="I416" t="str">
            <v>L-&gt;R</v>
          </cell>
          <cell r="J416" t="str">
            <v>No</v>
          </cell>
          <cell r="K416">
            <v>1</v>
          </cell>
          <cell r="L416">
            <v>109352</v>
          </cell>
          <cell r="M416" t="str">
            <v>APR 19</v>
          </cell>
          <cell r="O416">
            <v>11116272</v>
          </cell>
          <cell r="P416">
            <v>12293400</v>
          </cell>
          <cell r="Q416">
            <v>43525</v>
          </cell>
          <cell r="R416" t="str">
            <v>No</v>
          </cell>
          <cell r="S416" t="str">
            <v>C49</v>
          </cell>
          <cell r="T416" t="str">
            <v>SOUTH</v>
          </cell>
          <cell r="U416" t="str">
            <v>深圳</v>
          </cell>
          <cell r="V416" t="str">
            <v>SZ 深圳</v>
          </cell>
          <cell r="W416" t="str">
            <v>SX</v>
          </cell>
          <cell r="X416" t="str">
            <v>JPY</v>
          </cell>
          <cell r="Y416">
            <v>12293400</v>
          </cell>
          <cell r="Z416">
            <v>1</v>
          </cell>
          <cell r="AA416">
            <v>12293400</v>
          </cell>
          <cell r="AB416">
            <v>7.2300000000000003E-2</v>
          </cell>
          <cell r="AC416">
            <v>888812.82000000007</v>
          </cell>
          <cell r="AD416">
            <v>106657.5384</v>
          </cell>
          <cell r="AE416">
            <v>0.12</v>
          </cell>
          <cell r="AF416">
            <v>43545</v>
          </cell>
          <cell r="AG416" t="str">
            <v>DAP 深圳</v>
          </cell>
          <cell r="AH416"/>
          <cell r="AI416"/>
          <cell r="AJ416"/>
          <cell r="AK416">
            <v>1</v>
          </cell>
          <cell r="AL416">
            <v>12293400</v>
          </cell>
          <cell r="AM416">
            <v>43525</v>
          </cell>
          <cell r="AN416" t="str">
            <v>Yes</v>
          </cell>
          <cell r="AO416" t="str">
            <v>complete</v>
          </cell>
          <cell r="AP416"/>
          <cell r="AR416"/>
          <cell r="AS416"/>
          <cell r="AT416">
            <v>0</v>
          </cell>
          <cell r="AV416"/>
          <cell r="AW416"/>
          <cell r="AX416" t="str">
            <v>Yes</v>
          </cell>
          <cell r="AY416" t="str">
            <v>Yes</v>
          </cell>
          <cell r="AZ416" t="str">
            <v>Y</v>
          </cell>
          <cell r="BA416" t="str">
            <v>Yes</v>
          </cell>
        </row>
        <row r="417">
          <cell r="B417">
            <v>266</v>
          </cell>
          <cell r="C417" t="str">
            <v>C49SZX20190032SX</v>
          </cell>
          <cell r="D417" t="str">
            <v>凌鑫</v>
          </cell>
          <cell r="E417" t="str">
            <v>YSM10</v>
          </cell>
          <cell r="F417" t="str">
            <v>#59002</v>
          </cell>
          <cell r="G417" t="e">
            <v>#REF!</v>
          </cell>
          <cell r="H417" t="e">
            <v>#REF!</v>
          </cell>
          <cell r="I417" t="str">
            <v>L-&gt;R</v>
          </cell>
          <cell r="J417" t="str">
            <v>MVC</v>
          </cell>
          <cell r="K417">
            <v>1</v>
          </cell>
          <cell r="L417">
            <v>109413</v>
          </cell>
          <cell r="M417" t="str">
            <v>APR 19</v>
          </cell>
          <cell r="O417">
            <v>11116272</v>
          </cell>
          <cell r="P417">
            <v>9563000</v>
          </cell>
          <cell r="Q417">
            <v>43525</v>
          </cell>
          <cell r="R417" t="str">
            <v>No</v>
          </cell>
          <cell r="S417" t="str">
            <v>C49</v>
          </cell>
          <cell r="T417" t="str">
            <v>SOUTH</v>
          </cell>
          <cell r="U417" t="str">
            <v>深圳</v>
          </cell>
          <cell r="V417" t="str">
            <v>SZ 深圳</v>
          </cell>
          <cell r="W417" t="str">
            <v>SX</v>
          </cell>
          <cell r="X417" t="str">
            <v>JPY</v>
          </cell>
          <cell r="Y417">
            <v>9563000</v>
          </cell>
          <cell r="Z417">
            <v>1</v>
          </cell>
          <cell r="AA417">
            <v>9563000</v>
          </cell>
          <cell r="AB417">
            <v>7.2300000000000003E-2</v>
          </cell>
          <cell r="AC417">
            <v>691404.9</v>
          </cell>
          <cell r="AD417">
            <v>82968.588000000003</v>
          </cell>
          <cell r="AE417">
            <v>0.12</v>
          </cell>
          <cell r="AF417">
            <v>43545</v>
          </cell>
          <cell r="AG417" t="str">
            <v>DAP 深圳</v>
          </cell>
          <cell r="AH417"/>
          <cell r="AI417"/>
          <cell r="AJ417"/>
          <cell r="AK417">
            <v>1</v>
          </cell>
          <cell r="AL417">
            <v>9563000</v>
          </cell>
          <cell r="AM417">
            <v>43525</v>
          </cell>
          <cell r="AN417" t="str">
            <v>Yes</v>
          </cell>
          <cell r="AO417" t="str">
            <v>complete</v>
          </cell>
          <cell r="AP417"/>
          <cell r="AR417"/>
          <cell r="AS417"/>
          <cell r="AT417">
            <v>0</v>
          </cell>
          <cell r="AV417"/>
          <cell r="AW417"/>
          <cell r="AX417" t="str">
            <v>Yes</v>
          </cell>
          <cell r="AY417" t="str">
            <v>Yes</v>
          </cell>
          <cell r="AZ417" t="str">
            <v>Y</v>
          </cell>
          <cell r="BA417" t="str">
            <v>Yes</v>
          </cell>
        </row>
        <row r="418">
          <cell r="B418">
            <v>267</v>
          </cell>
          <cell r="C418" t="str">
            <v>C49SZX20190046SX</v>
          </cell>
          <cell r="D418" t="str">
            <v>永顺创</v>
          </cell>
          <cell r="E418" t="str">
            <v>YSM20-2</v>
          </cell>
          <cell r="F418" t="str">
            <v>#81385</v>
          </cell>
          <cell r="G418" t="e">
            <v>#REF!</v>
          </cell>
          <cell r="H418" t="e">
            <v>#REF!</v>
          </cell>
          <cell r="I418" t="str">
            <v>L-&gt;R</v>
          </cell>
          <cell r="J418" t="str">
            <v>MVC</v>
          </cell>
          <cell r="K418">
            <v>1</v>
          </cell>
          <cell r="L418">
            <v>109352</v>
          </cell>
          <cell r="M418" t="str">
            <v>APR 19</v>
          </cell>
          <cell r="O418">
            <v>11116273</v>
          </cell>
          <cell r="P418">
            <v>12342400</v>
          </cell>
          <cell r="Q418">
            <v>43525</v>
          </cell>
          <cell r="R418" t="str">
            <v>No</v>
          </cell>
          <cell r="S418" t="str">
            <v>C49</v>
          </cell>
          <cell r="T418" t="str">
            <v>SOUTH</v>
          </cell>
          <cell r="U418" t="str">
            <v>深圳</v>
          </cell>
          <cell r="V418" t="str">
            <v>SZ 深圳</v>
          </cell>
          <cell r="W418" t="str">
            <v>SX</v>
          </cell>
          <cell r="X418" t="str">
            <v>JPY</v>
          </cell>
          <cell r="Y418">
            <v>12342400</v>
          </cell>
          <cell r="Z418">
            <v>1</v>
          </cell>
          <cell r="AA418">
            <v>12342400</v>
          </cell>
          <cell r="AB418">
            <v>7.2300000000000003E-2</v>
          </cell>
          <cell r="AC418">
            <v>892355.52</v>
          </cell>
          <cell r="AD418">
            <v>107082.6624</v>
          </cell>
          <cell r="AE418">
            <v>0.12</v>
          </cell>
          <cell r="AF418">
            <v>43546</v>
          </cell>
          <cell r="AG418" t="str">
            <v>DAP 深圳</v>
          </cell>
          <cell r="AH418"/>
          <cell r="AI418"/>
          <cell r="AJ418"/>
          <cell r="AK418">
            <v>1</v>
          </cell>
          <cell r="AL418">
            <v>12342400</v>
          </cell>
          <cell r="AM418">
            <v>43525</v>
          </cell>
          <cell r="AN418" t="str">
            <v>Yes</v>
          </cell>
          <cell r="AO418" t="str">
            <v>complete</v>
          </cell>
          <cell r="AP418"/>
          <cell r="AR418"/>
          <cell r="AS418"/>
          <cell r="AT418">
            <v>0</v>
          </cell>
          <cell r="AV418"/>
          <cell r="AW418"/>
          <cell r="AX418" t="str">
            <v>Yes</v>
          </cell>
          <cell r="AY418"/>
          <cell r="AZ418" t="str">
            <v>Y</v>
          </cell>
          <cell r="BA418" t="str">
            <v>Yes</v>
          </cell>
        </row>
        <row r="419">
          <cell r="B419">
            <v>268</v>
          </cell>
          <cell r="C419" t="str">
            <v>C49SZX20190045SS</v>
          </cell>
          <cell r="D419" t="str">
            <v>兴丰源</v>
          </cell>
          <cell r="E419" t="str">
            <v>YSM20R(SV)-2</v>
          </cell>
          <cell r="F419" t="str">
            <v>#03578</v>
          </cell>
          <cell r="G419" t="e">
            <v>#REF!</v>
          </cell>
          <cell r="H419" t="e">
            <v>#REF!</v>
          </cell>
          <cell r="I419" t="str">
            <v>L-&gt;R</v>
          </cell>
          <cell r="J419" t="str">
            <v>No</v>
          </cell>
          <cell r="K419">
            <v>1</v>
          </cell>
          <cell r="L419">
            <v>109319</v>
          </cell>
          <cell r="M419" t="str">
            <v>MAR 19</v>
          </cell>
          <cell r="O419">
            <v>11116275</v>
          </cell>
          <cell r="P419">
            <v>14300000</v>
          </cell>
          <cell r="Q419">
            <v>43525</v>
          </cell>
          <cell r="R419" t="str">
            <v>Yes</v>
          </cell>
          <cell r="S419" t="str">
            <v>C49</v>
          </cell>
          <cell r="T419" t="str">
            <v>SOUTH</v>
          </cell>
          <cell r="U419" t="str">
            <v>深圳</v>
          </cell>
          <cell r="V419" t="str">
            <v>SZ 深圳</v>
          </cell>
          <cell r="W419" t="str">
            <v>SS</v>
          </cell>
          <cell r="X419" t="str">
            <v>JPY</v>
          </cell>
          <cell r="Y419">
            <v>14300000</v>
          </cell>
          <cell r="Z419">
            <v>1</v>
          </cell>
          <cell r="AA419">
            <v>14300000</v>
          </cell>
          <cell r="AB419">
            <v>7.2300000000000003E-2</v>
          </cell>
          <cell r="AC419">
            <v>1033890</v>
          </cell>
          <cell r="AD419">
            <v>124066.79999999999</v>
          </cell>
          <cell r="AE419">
            <v>0.12</v>
          </cell>
          <cell r="AF419">
            <v>43546</v>
          </cell>
          <cell r="AG419" t="str">
            <v>DAP 深圳</v>
          </cell>
          <cell r="AH419"/>
          <cell r="AI419"/>
          <cell r="AJ419"/>
          <cell r="AK419">
            <v>1</v>
          </cell>
          <cell r="AL419">
            <v>14300000</v>
          </cell>
          <cell r="AM419">
            <v>43525</v>
          </cell>
          <cell r="AN419" t="str">
            <v>Yes</v>
          </cell>
          <cell r="AO419" t="str">
            <v>complete</v>
          </cell>
          <cell r="AP419"/>
          <cell r="AR419"/>
          <cell r="AS419"/>
          <cell r="AT419">
            <v>0</v>
          </cell>
          <cell r="AV419"/>
          <cell r="AW419"/>
          <cell r="AX419" t="str">
            <v>Yes</v>
          </cell>
          <cell r="AY419"/>
          <cell r="AZ419" t="str">
            <v>Y</v>
          </cell>
          <cell r="BA419" t="str">
            <v>Yes</v>
          </cell>
        </row>
        <row r="420">
          <cell r="B420">
            <v>269</v>
          </cell>
          <cell r="C420" t="str">
            <v>C49SZX20190025SX</v>
          </cell>
          <cell r="D420" t="str">
            <v>维众</v>
          </cell>
          <cell r="E420" t="str">
            <v>YSM20R(SV)-2</v>
          </cell>
          <cell r="F420" t="str">
            <v>#72422</v>
          </cell>
          <cell r="G420" t="e">
            <v>#REF!</v>
          </cell>
          <cell r="H420" t="e">
            <v>#REF!</v>
          </cell>
          <cell r="I420" t="str">
            <v>L-&gt;R</v>
          </cell>
          <cell r="J420" t="str">
            <v>No</v>
          </cell>
          <cell r="K420">
            <v>1</v>
          </cell>
          <cell r="L420">
            <v>109429</v>
          </cell>
          <cell r="M420" t="str">
            <v>APR 19</v>
          </cell>
          <cell r="O420">
            <v>11116283</v>
          </cell>
          <cell r="P420">
            <v>12320000</v>
          </cell>
          <cell r="Q420">
            <v>43556</v>
          </cell>
          <cell r="R420" t="str">
            <v>No</v>
          </cell>
          <cell r="S420" t="str">
            <v>C49</v>
          </cell>
          <cell r="T420" t="str">
            <v>SOUTH</v>
          </cell>
          <cell r="U420" t="str">
            <v>深圳</v>
          </cell>
          <cell r="V420" t="str">
            <v>SZ 深圳</v>
          </cell>
          <cell r="W420" t="str">
            <v>SX</v>
          </cell>
          <cell r="X420" t="str">
            <v>JPY</v>
          </cell>
          <cell r="Y420">
            <v>12320000</v>
          </cell>
          <cell r="Z420">
            <v>1</v>
          </cell>
          <cell r="AA420">
            <v>12320000</v>
          </cell>
          <cell r="AB420">
            <v>7.2300000000000003E-2</v>
          </cell>
          <cell r="AC420">
            <v>890736</v>
          </cell>
          <cell r="AD420">
            <v>106888.31999999999</v>
          </cell>
          <cell r="AE420">
            <v>0.12</v>
          </cell>
          <cell r="AF420">
            <v>43530</v>
          </cell>
          <cell r="AG420" t="str">
            <v>DAP 深圳</v>
          </cell>
          <cell r="AH420"/>
          <cell r="AI420"/>
          <cell r="AJ420"/>
          <cell r="AK420">
            <v>0.2</v>
          </cell>
          <cell r="AL420">
            <v>2464000</v>
          </cell>
          <cell r="AM420">
            <v>43556</v>
          </cell>
          <cell r="AN420" t="str">
            <v>Yes</v>
          </cell>
          <cell r="AO420">
            <v>0.8</v>
          </cell>
          <cell r="AP420">
            <v>9856000</v>
          </cell>
          <cell r="AQ420">
            <v>43556</v>
          </cell>
          <cell r="AR420">
            <v>43571</v>
          </cell>
          <cell r="AS420"/>
          <cell r="AT420">
            <v>0</v>
          </cell>
          <cell r="AV420"/>
          <cell r="AW420"/>
          <cell r="AY420"/>
          <cell r="AZ420" t="str">
            <v>Y</v>
          </cell>
          <cell r="BA420" t="str">
            <v>Yes</v>
          </cell>
        </row>
        <row r="421">
          <cell r="B421">
            <v>270</v>
          </cell>
          <cell r="C421" t="str">
            <v>C49SZX20190025SX</v>
          </cell>
          <cell r="D421" t="str">
            <v>维众</v>
          </cell>
          <cell r="E421" t="str">
            <v>YSM20R(SV)-2</v>
          </cell>
          <cell r="F421" t="str">
            <v>#72422</v>
          </cell>
          <cell r="G421" t="e">
            <v>#REF!</v>
          </cell>
          <cell r="H421" t="e">
            <v>#REF!</v>
          </cell>
          <cell r="I421" t="str">
            <v>L-&gt;R</v>
          </cell>
          <cell r="J421" t="str">
            <v>No</v>
          </cell>
          <cell r="K421">
            <v>1</v>
          </cell>
          <cell r="L421">
            <v>109389</v>
          </cell>
          <cell r="M421" t="str">
            <v>APR 19</v>
          </cell>
          <cell r="O421">
            <v>11116283</v>
          </cell>
          <cell r="P421">
            <v>12320000</v>
          </cell>
          <cell r="Q421">
            <v>43556</v>
          </cell>
          <cell r="R421" t="str">
            <v>No</v>
          </cell>
          <cell r="S421" t="str">
            <v>C49</v>
          </cell>
          <cell r="T421" t="str">
            <v>SOUTH</v>
          </cell>
          <cell r="U421" t="str">
            <v>深圳</v>
          </cell>
          <cell r="V421" t="str">
            <v>SZ 深圳</v>
          </cell>
          <cell r="W421" t="str">
            <v>SX</v>
          </cell>
          <cell r="X421" t="str">
            <v>JPY</v>
          </cell>
          <cell r="Y421">
            <v>12320000</v>
          </cell>
          <cell r="Z421">
            <v>1</v>
          </cell>
          <cell r="AA421">
            <v>12320000</v>
          </cell>
          <cell r="AB421">
            <v>7.2300000000000003E-2</v>
          </cell>
          <cell r="AC421">
            <v>890736</v>
          </cell>
          <cell r="AD421">
            <v>106888.31999999999</v>
          </cell>
          <cell r="AE421">
            <v>0.12</v>
          </cell>
          <cell r="AF421">
            <v>43530</v>
          </cell>
          <cell r="AG421" t="str">
            <v>DAP 深圳</v>
          </cell>
          <cell r="AH421"/>
          <cell r="AI421"/>
          <cell r="AJ421"/>
          <cell r="AK421">
            <v>0.2</v>
          </cell>
          <cell r="AL421">
            <v>2464000</v>
          </cell>
          <cell r="AM421">
            <v>43556</v>
          </cell>
          <cell r="AN421" t="str">
            <v>Yes</v>
          </cell>
          <cell r="AO421">
            <v>0.8</v>
          </cell>
          <cell r="AP421">
            <v>9856000</v>
          </cell>
          <cell r="AQ421">
            <v>43556</v>
          </cell>
          <cell r="AR421">
            <v>43571</v>
          </cell>
          <cell r="AS421"/>
          <cell r="AT421">
            <v>0</v>
          </cell>
          <cell r="AV421"/>
          <cell r="AW421"/>
          <cell r="AY421"/>
          <cell r="AZ421" t="str">
            <v>Y</v>
          </cell>
          <cell r="BA421" t="str">
            <v>Yes</v>
          </cell>
        </row>
        <row r="422">
          <cell r="B422">
            <v>271</v>
          </cell>
          <cell r="C422" t="str">
            <v>C49SZX20190040JL</v>
          </cell>
          <cell r="D422" t="str">
            <v>瑞福联</v>
          </cell>
          <cell r="E422" t="str">
            <v>YSM20-2</v>
          </cell>
          <cell r="F422" t="str">
            <v>#75724</v>
          </cell>
          <cell r="G422" t="e">
            <v>#REF!</v>
          </cell>
          <cell r="H422" t="e">
            <v>#REF!</v>
          </cell>
          <cell r="I422" t="str">
            <v>L-&gt;R</v>
          </cell>
          <cell r="J422" t="str">
            <v>No</v>
          </cell>
          <cell r="K422">
            <v>1</v>
          </cell>
          <cell r="L422">
            <v>109352</v>
          </cell>
          <cell r="M422" t="str">
            <v>APR 19</v>
          </cell>
          <cell r="O422">
            <v>11116279</v>
          </cell>
          <cell r="P422">
            <v>10200000</v>
          </cell>
          <cell r="Q422">
            <v>43556</v>
          </cell>
          <cell r="R422" t="str">
            <v>No</v>
          </cell>
          <cell r="S422" t="str">
            <v>C49</v>
          </cell>
          <cell r="T422" t="str">
            <v>SOUTH</v>
          </cell>
          <cell r="U422" t="str">
            <v>深圳</v>
          </cell>
          <cell r="V422" t="str">
            <v>SZ 深圳</v>
          </cell>
          <cell r="W422" t="str">
            <v>JL</v>
          </cell>
          <cell r="X422" t="str">
            <v>JPY</v>
          </cell>
          <cell r="Y422">
            <v>10200000</v>
          </cell>
          <cell r="Z422">
            <v>1</v>
          </cell>
          <cell r="AA422">
            <v>10200000</v>
          </cell>
          <cell r="AB422">
            <v>7.2300000000000003E-2</v>
          </cell>
          <cell r="AC422">
            <v>737460</v>
          </cell>
          <cell r="AD422">
            <v>88495.2</v>
          </cell>
          <cell r="AE422">
            <v>0.12</v>
          </cell>
          <cell r="AF422">
            <v>43549</v>
          </cell>
          <cell r="AG422" t="str">
            <v>CIF HK</v>
          </cell>
          <cell r="AH422"/>
          <cell r="AI422"/>
          <cell r="AJ422"/>
          <cell r="AK422">
            <v>1</v>
          </cell>
          <cell r="AL422">
            <v>10200000</v>
          </cell>
          <cell r="AM422">
            <v>43556</v>
          </cell>
          <cell r="AN422" t="str">
            <v>Yes</v>
          </cell>
          <cell r="AO422" t="str">
            <v>complete</v>
          </cell>
          <cell r="AP422"/>
          <cell r="AR422"/>
          <cell r="AS422"/>
          <cell r="AT422"/>
          <cell r="AV422"/>
          <cell r="AW422"/>
          <cell r="AX422" t="str">
            <v>Yes</v>
          </cell>
          <cell r="AY422"/>
          <cell r="AZ422" t="str">
            <v>Y</v>
          </cell>
          <cell r="BA422" t="str">
            <v>Yes</v>
          </cell>
        </row>
        <row r="423">
          <cell r="B423">
            <v>272</v>
          </cell>
          <cell r="C423" t="str">
            <v>C49SZX20190040JL</v>
          </cell>
          <cell r="D423" t="str">
            <v>瑞福联</v>
          </cell>
          <cell r="E423" t="str">
            <v>YSM20-2</v>
          </cell>
          <cell r="F423" t="str">
            <v>#75724</v>
          </cell>
          <cell r="G423" t="e">
            <v>#REF!</v>
          </cell>
          <cell r="H423" t="e">
            <v>#REF!</v>
          </cell>
          <cell r="I423" t="str">
            <v>L-&gt;R</v>
          </cell>
          <cell r="J423" t="str">
            <v>No</v>
          </cell>
          <cell r="K423">
            <v>1</v>
          </cell>
          <cell r="L423">
            <v>109352</v>
          </cell>
          <cell r="M423" t="str">
            <v>APR 19</v>
          </cell>
          <cell r="O423">
            <v>11116279</v>
          </cell>
          <cell r="P423">
            <v>10200000</v>
          </cell>
          <cell r="Q423">
            <v>43556</v>
          </cell>
          <cell r="R423" t="str">
            <v>No</v>
          </cell>
          <cell r="S423" t="str">
            <v>C49</v>
          </cell>
          <cell r="T423" t="str">
            <v>SOUTH</v>
          </cell>
          <cell r="U423" t="str">
            <v>深圳</v>
          </cell>
          <cell r="V423" t="str">
            <v>SZ 深圳</v>
          </cell>
          <cell r="W423" t="str">
            <v>JL</v>
          </cell>
          <cell r="X423" t="str">
            <v>JPY</v>
          </cell>
          <cell r="Y423">
            <v>10200000</v>
          </cell>
          <cell r="Z423">
            <v>1</v>
          </cell>
          <cell r="AA423">
            <v>10200000</v>
          </cell>
          <cell r="AB423">
            <v>7.2300000000000003E-2</v>
          </cell>
          <cell r="AC423">
            <v>737460</v>
          </cell>
          <cell r="AD423">
            <v>88495.2</v>
          </cell>
          <cell r="AE423">
            <v>0.12</v>
          </cell>
          <cell r="AF423">
            <v>43549</v>
          </cell>
          <cell r="AG423" t="str">
            <v>CIF HK</v>
          </cell>
          <cell r="AH423"/>
          <cell r="AI423"/>
          <cell r="AJ423"/>
          <cell r="AK423">
            <v>1</v>
          </cell>
          <cell r="AL423">
            <v>10200000</v>
          </cell>
          <cell r="AM423">
            <v>43556</v>
          </cell>
          <cell r="AN423" t="str">
            <v>Yes</v>
          </cell>
          <cell r="AO423" t="str">
            <v>complete</v>
          </cell>
          <cell r="AP423"/>
          <cell r="AR423"/>
          <cell r="AS423"/>
          <cell r="AT423"/>
          <cell r="AV423"/>
          <cell r="AW423"/>
          <cell r="AX423" t="str">
            <v>Yes</v>
          </cell>
          <cell r="AY423"/>
          <cell r="AZ423" t="str">
            <v>Y</v>
          </cell>
          <cell r="BA423" t="str">
            <v>Yes</v>
          </cell>
        </row>
        <row r="424">
          <cell r="B424">
            <v>273</v>
          </cell>
          <cell r="C424" t="str">
            <v>C49SZX20190041JL</v>
          </cell>
          <cell r="D424" t="str">
            <v>微力创/end user 昶达</v>
          </cell>
          <cell r="E424" t="str">
            <v>YSM20R(SV)-2</v>
          </cell>
          <cell r="F424" t="str">
            <v>#03479</v>
          </cell>
          <cell r="G424" t="e">
            <v>#REF!</v>
          </cell>
          <cell r="H424" t="e">
            <v>#REF!</v>
          </cell>
          <cell r="I424" t="str">
            <v>L-&gt;R</v>
          </cell>
          <cell r="J424" t="str">
            <v>No</v>
          </cell>
          <cell r="K424">
            <v>1</v>
          </cell>
          <cell r="L424">
            <v>109336</v>
          </cell>
          <cell r="M424" t="str">
            <v>MAY 19</v>
          </cell>
          <cell r="N424">
            <v>43599</v>
          </cell>
          <cell r="O424">
            <v>11116299</v>
          </cell>
          <cell r="P424">
            <v>13707000</v>
          </cell>
          <cell r="Q424">
            <v>43586</v>
          </cell>
          <cell r="R424" t="str">
            <v>Yes</v>
          </cell>
          <cell r="S424" t="str">
            <v>C49</v>
          </cell>
          <cell r="T424" t="str">
            <v>SOUTH</v>
          </cell>
          <cell r="U424" t="str">
            <v>深圳</v>
          </cell>
          <cell r="V424" t="str">
            <v>SZ 深圳</v>
          </cell>
          <cell r="W424" t="str">
            <v>JL</v>
          </cell>
          <cell r="X424" t="str">
            <v>JPY</v>
          </cell>
          <cell r="Y424">
            <v>13707000</v>
          </cell>
          <cell r="Z424">
            <v>1</v>
          </cell>
          <cell r="AA424">
            <v>13707000</v>
          </cell>
          <cell r="AB424">
            <v>7.2300000000000003E-2</v>
          </cell>
          <cell r="AC424">
            <v>991016.10000000009</v>
          </cell>
          <cell r="AD424">
            <v>118921.932</v>
          </cell>
          <cell r="AE424">
            <v>0.12</v>
          </cell>
          <cell r="AF424">
            <v>43550</v>
          </cell>
          <cell r="AG424" t="str">
            <v>CIF HK</v>
          </cell>
          <cell r="AH424"/>
          <cell r="AI424"/>
          <cell r="AJ424"/>
          <cell r="AK424">
            <v>0.3</v>
          </cell>
          <cell r="AL424">
            <v>4112100</v>
          </cell>
          <cell r="AM424">
            <v>43556</v>
          </cell>
          <cell r="AN424" t="str">
            <v>Yes</v>
          </cell>
          <cell r="AO424">
            <v>0.65</v>
          </cell>
          <cell r="AP424">
            <v>8909550</v>
          </cell>
          <cell r="AQ424">
            <v>43586</v>
          </cell>
          <cell r="AR424">
            <v>43594</v>
          </cell>
          <cell r="AS424" t="str">
            <v>agree</v>
          </cell>
          <cell r="AT424">
            <v>1152360</v>
          </cell>
          <cell r="AU424">
            <v>43709</v>
          </cell>
          <cell r="AV424">
            <v>43719</v>
          </cell>
          <cell r="AW424" t="str">
            <v>complete</v>
          </cell>
          <cell r="AX424" t="str">
            <v>Yes</v>
          </cell>
          <cell r="AY424"/>
          <cell r="AZ424" t="str">
            <v>Y</v>
          </cell>
          <cell r="BA424" t="str">
            <v>Yes</v>
          </cell>
        </row>
        <row r="425">
          <cell r="B425">
            <v>274</v>
          </cell>
          <cell r="C425" t="str">
            <v>C49SZX20190041JL</v>
          </cell>
          <cell r="D425" t="str">
            <v>微力创/end user 昶达</v>
          </cell>
          <cell r="E425" t="str">
            <v>YSM20R(SV)-2</v>
          </cell>
          <cell r="F425" t="str">
            <v>#03479</v>
          </cell>
          <cell r="G425" t="e">
            <v>#REF!</v>
          </cell>
          <cell r="H425" t="e">
            <v>#REF!</v>
          </cell>
          <cell r="I425" t="str">
            <v>R-&gt;L</v>
          </cell>
          <cell r="J425" t="str">
            <v>No</v>
          </cell>
          <cell r="K425">
            <v>1</v>
          </cell>
          <cell r="L425">
            <v>109553</v>
          </cell>
          <cell r="M425" t="str">
            <v>JUL 19</v>
          </cell>
          <cell r="N425">
            <v>43651</v>
          </cell>
          <cell r="O425">
            <v>11116308</v>
          </cell>
          <cell r="P425">
            <v>13707000</v>
          </cell>
          <cell r="Q425">
            <v>43647</v>
          </cell>
          <cell r="R425" t="str">
            <v>Yes</v>
          </cell>
          <cell r="S425" t="str">
            <v>C49</v>
          </cell>
          <cell r="T425" t="str">
            <v>SOUTH</v>
          </cell>
          <cell r="U425" t="str">
            <v>深圳</v>
          </cell>
          <cell r="V425" t="str">
            <v>SZ 深圳</v>
          </cell>
          <cell r="W425" t="str">
            <v>JL</v>
          </cell>
          <cell r="X425" t="str">
            <v>JPY</v>
          </cell>
          <cell r="Y425">
            <v>13707000</v>
          </cell>
          <cell r="Z425">
            <v>1</v>
          </cell>
          <cell r="AA425">
            <v>13707000</v>
          </cell>
          <cell r="AB425">
            <v>7.2300000000000003E-2</v>
          </cell>
          <cell r="AC425">
            <v>991016.10000000009</v>
          </cell>
          <cell r="AD425">
            <v>118921.932</v>
          </cell>
          <cell r="AE425">
            <v>0.12</v>
          </cell>
          <cell r="AF425">
            <v>43550</v>
          </cell>
          <cell r="AG425" t="str">
            <v>CIF HK</v>
          </cell>
          <cell r="AH425"/>
          <cell r="AI425"/>
          <cell r="AJ425"/>
          <cell r="AK425">
            <v>0.3</v>
          </cell>
          <cell r="AL425">
            <v>4112100</v>
          </cell>
          <cell r="AM425">
            <v>43556</v>
          </cell>
          <cell r="AN425" t="str">
            <v>Yes</v>
          </cell>
          <cell r="AO425">
            <v>0.65</v>
          </cell>
          <cell r="AP425">
            <v>8909550</v>
          </cell>
          <cell r="AQ425">
            <v>43647</v>
          </cell>
          <cell r="AR425">
            <v>43649</v>
          </cell>
          <cell r="AS425" t="str">
            <v>agree</v>
          </cell>
          <cell r="AT425">
            <v>218350</v>
          </cell>
          <cell r="AU425">
            <v>43709</v>
          </cell>
          <cell r="AV425" t="str">
            <v>complete</v>
          </cell>
          <cell r="AW425"/>
          <cell r="AY425"/>
          <cell r="AZ425" t="str">
            <v>Y</v>
          </cell>
          <cell r="BA425" t="str">
            <v>Yes</v>
          </cell>
        </row>
        <row r="426">
          <cell r="B426">
            <v>275</v>
          </cell>
          <cell r="C426" t="str">
            <v>C49SZX20190047SS</v>
          </cell>
          <cell r="D426" t="str">
            <v>卡迪圣</v>
          </cell>
          <cell r="E426" t="str">
            <v>YSM10</v>
          </cell>
          <cell r="F426" t="str">
            <v>#03616</v>
          </cell>
          <cell r="G426" t="e">
            <v>#REF!</v>
          </cell>
          <cell r="H426" t="e">
            <v>#REF!</v>
          </cell>
          <cell r="I426" t="str">
            <v>L-&gt;R</v>
          </cell>
          <cell r="J426" t="str">
            <v>MVC</v>
          </cell>
          <cell r="K426">
            <v>1</v>
          </cell>
          <cell r="L426">
            <v>109381</v>
          </cell>
          <cell r="M426" t="str">
            <v>APR 19</v>
          </cell>
          <cell r="O426">
            <v>11116278</v>
          </cell>
          <cell r="P426">
            <v>8920000</v>
          </cell>
          <cell r="Q426">
            <v>43556</v>
          </cell>
          <cell r="R426" t="str">
            <v>Yes</v>
          </cell>
          <cell r="S426" t="str">
            <v>C49</v>
          </cell>
          <cell r="T426" t="str">
            <v>SOUTH</v>
          </cell>
          <cell r="U426" t="str">
            <v>深圳</v>
          </cell>
          <cell r="V426" t="str">
            <v>SZ 深圳</v>
          </cell>
          <cell r="W426" t="str">
            <v>SS</v>
          </cell>
          <cell r="X426" t="str">
            <v>JPY</v>
          </cell>
          <cell r="Y426">
            <v>8920000</v>
          </cell>
          <cell r="Z426">
            <v>1</v>
          </cell>
          <cell r="AA426">
            <v>8920000</v>
          </cell>
          <cell r="AB426">
            <v>7.2300000000000003E-2</v>
          </cell>
          <cell r="AC426">
            <v>644916</v>
          </cell>
          <cell r="AD426">
            <v>77389.919999999998</v>
          </cell>
          <cell r="AE426">
            <v>0.12</v>
          </cell>
          <cell r="AF426">
            <v>43556</v>
          </cell>
          <cell r="AG426" t="str">
            <v>DAP 深圳</v>
          </cell>
          <cell r="AH426"/>
          <cell r="AI426"/>
          <cell r="AJ426"/>
          <cell r="AK426">
            <v>0.2</v>
          </cell>
          <cell r="AL426">
            <v>1784000</v>
          </cell>
          <cell r="AM426">
            <v>43556</v>
          </cell>
          <cell r="AN426" t="str">
            <v>Yes</v>
          </cell>
          <cell r="AO426">
            <v>0.8</v>
          </cell>
          <cell r="AP426">
            <v>7136000</v>
          </cell>
          <cell r="AQ426">
            <v>43556</v>
          </cell>
          <cell r="AR426">
            <v>43563</v>
          </cell>
          <cell r="AS426" t="str">
            <v>complete</v>
          </cell>
          <cell r="AT426"/>
          <cell r="AV426"/>
          <cell r="AW426"/>
          <cell r="AX426" t="str">
            <v>Yes</v>
          </cell>
          <cell r="AY426"/>
          <cell r="AZ426" t="str">
            <v>Y</v>
          </cell>
          <cell r="BA426" t="str">
            <v>Yes</v>
          </cell>
        </row>
        <row r="427">
          <cell r="B427">
            <v>276</v>
          </cell>
          <cell r="C427" t="str">
            <v>C49SZX20190049SS</v>
          </cell>
          <cell r="D427" t="str">
            <v>存封</v>
          </cell>
          <cell r="E427" t="str">
            <v>YSM10</v>
          </cell>
          <cell r="F427" t="str">
            <v>#78544</v>
          </cell>
          <cell r="G427" t="e">
            <v>#REF!</v>
          </cell>
          <cell r="H427" t="e">
            <v>#REF!</v>
          </cell>
          <cell r="I427" t="str">
            <v>L-&gt;R</v>
          </cell>
          <cell r="J427" t="str">
            <v>MVC+ATS15</v>
          </cell>
          <cell r="K427">
            <v>1</v>
          </cell>
          <cell r="L427">
            <v>109381</v>
          </cell>
          <cell r="M427" t="str">
            <v>APR 19</v>
          </cell>
          <cell r="O427">
            <v>11116282</v>
          </cell>
          <cell r="P427">
            <v>9500000</v>
          </cell>
          <cell r="Q427">
            <v>43556</v>
          </cell>
          <cell r="R427" t="str">
            <v>No</v>
          </cell>
          <cell r="S427" t="str">
            <v>C49</v>
          </cell>
          <cell r="T427" t="str">
            <v>SOUTH</v>
          </cell>
          <cell r="U427" t="str">
            <v>深圳</v>
          </cell>
          <cell r="V427" t="str">
            <v>SZ 深圳</v>
          </cell>
          <cell r="W427" t="str">
            <v>SS</v>
          </cell>
          <cell r="X427" t="str">
            <v>JPY</v>
          </cell>
          <cell r="Y427">
            <v>9500000</v>
          </cell>
          <cell r="Z427">
            <v>1</v>
          </cell>
          <cell r="AA427">
            <v>9500000</v>
          </cell>
          <cell r="AB427">
            <v>7.2300000000000003E-2</v>
          </cell>
          <cell r="AC427">
            <v>686850</v>
          </cell>
          <cell r="AD427">
            <v>82422</v>
          </cell>
          <cell r="AE427">
            <v>0.12</v>
          </cell>
          <cell r="AF427">
            <v>43557</v>
          </cell>
          <cell r="AG427" t="str">
            <v>DAP 深圳</v>
          </cell>
          <cell r="AH427"/>
          <cell r="AI427"/>
          <cell r="AJ427"/>
          <cell r="AK427">
            <v>0.2</v>
          </cell>
          <cell r="AL427">
            <v>1900000</v>
          </cell>
          <cell r="AN427" t="str">
            <v>Yes</v>
          </cell>
          <cell r="AO427">
            <v>0.8</v>
          </cell>
          <cell r="AP427">
            <v>7600000</v>
          </cell>
          <cell r="AQ427">
            <v>43556</v>
          </cell>
          <cell r="AR427">
            <v>43570</v>
          </cell>
          <cell r="AS427" t="str">
            <v>complete</v>
          </cell>
          <cell r="AT427"/>
          <cell r="AV427"/>
          <cell r="AW427"/>
          <cell r="AX427" t="str">
            <v>Yes</v>
          </cell>
          <cell r="AY427" t="str">
            <v>Yes</v>
          </cell>
          <cell r="AZ427" t="str">
            <v>Y</v>
          </cell>
          <cell r="BA427" t="str">
            <v>Yes</v>
          </cell>
        </row>
        <row r="428">
          <cell r="B428">
            <v>277</v>
          </cell>
          <cell r="C428" t="str">
            <v>C49SZX20190043SX</v>
          </cell>
          <cell r="D428" t="str">
            <v>丰硕</v>
          </cell>
          <cell r="E428" t="str">
            <v>YSM20R(SV)-2</v>
          </cell>
          <cell r="F428" t="str">
            <v>NA</v>
          </cell>
          <cell r="G428" t="e">
            <v>#REF!</v>
          </cell>
          <cell r="H428" t="e">
            <v>#REF!</v>
          </cell>
          <cell r="I428" t="str">
            <v>L-&gt;R</v>
          </cell>
          <cell r="J428" t="str">
            <v>MVC</v>
          </cell>
          <cell r="K428">
            <v>1</v>
          </cell>
          <cell r="L428">
            <v>109497</v>
          </cell>
          <cell r="M428" t="str">
            <v>JUN 19</v>
          </cell>
          <cell r="N428">
            <v>43640</v>
          </cell>
          <cell r="O428">
            <v>11116303</v>
          </cell>
          <cell r="P428">
            <v>16830000</v>
          </cell>
          <cell r="Q428">
            <v>43617</v>
          </cell>
          <cell r="R428" t="str">
            <v>No</v>
          </cell>
          <cell r="S428" t="str">
            <v>C49</v>
          </cell>
          <cell r="T428" t="str">
            <v>SOUTH</v>
          </cell>
          <cell r="U428" t="str">
            <v>恩平</v>
          </cell>
          <cell r="V428" t="str">
            <v>SZ 深圳</v>
          </cell>
          <cell r="W428" t="str">
            <v>SX</v>
          </cell>
          <cell r="X428" t="str">
            <v>JPY</v>
          </cell>
          <cell r="Y428">
            <v>16830000</v>
          </cell>
          <cell r="Z428">
            <v>1</v>
          </cell>
          <cell r="AA428">
            <v>16830000</v>
          </cell>
          <cell r="AB428">
            <v>7.2300000000000003E-2</v>
          </cell>
          <cell r="AC428">
            <v>1216809</v>
          </cell>
          <cell r="AD428">
            <v>146017.07999999999</v>
          </cell>
          <cell r="AE428">
            <v>0.12</v>
          </cell>
          <cell r="AF428">
            <v>43557</v>
          </cell>
          <cell r="AG428" t="str">
            <v>DAP 恩平</v>
          </cell>
          <cell r="AH428"/>
          <cell r="AI428"/>
          <cell r="AJ428"/>
          <cell r="AK428">
            <v>1</v>
          </cell>
          <cell r="AL428">
            <v>16830000</v>
          </cell>
          <cell r="AM428">
            <v>43617</v>
          </cell>
          <cell r="AN428" t="str">
            <v>Yes</v>
          </cell>
          <cell r="AO428" t="str">
            <v>complete</v>
          </cell>
          <cell r="AP428"/>
          <cell r="AR428"/>
          <cell r="AS428"/>
          <cell r="AT428">
            <v>0</v>
          </cell>
          <cell r="AV428"/>
          <cell r="AW428"/>
          <cell r="AX428" t="str">
            <v>Yes</v>
          </cell>
          <cell r="AY428"/>
          <cell r="AZ428" t="str">
            <v>Y</v>
          </cell>
          <cell r="BA428" t="str">
            <v>Yes</v>
          </cell>
        </row>
        <row r="429">
          <cell r="B429">
            <v>278</v>
          </cell>
          <cell r="C429" t="str">
            <v>C49SZX20190048JY</v>
          </cell>
          <cell r="D429" t="str">
            <v>络鑫</v>
          </cell>
          <cell r="E429" t="str">
            <v>YSM20-2</v>
          </cell>
          <cell r="F429" t="str">
            <v>#03625</v>
          </cell>
          <cell r="G429" t="e">
            <v>#REF!</v>
          </cell>
          <cell r="H429" t="e">
            <v>#REF!</v>
          </cell>
          <cell r="I429" t="str">
            <v>L-&gt;R</v>
          </cell>
          <cell r="J429" t="str">
            <v>No</v>
          </cell>
          <cell r="K429">
            <v>1</v>
          </cell>
          <cell r="L429">
            <v>109352</v>
          </cell>
          <cell r="M429" t="str">
            <v>APR 19</v>
          </cell>
          <cell r="O429">
            <v>11116285</v>
          </cell>
          <cell r="P429">
            <v>11110000</v>
          </cell>
          <cell r="Q429">
            <v>43556</v>
          </cell>
          <cell r="R429" t="str">
            <v>No</v>
          </cell>
          <cell r="S429" t="str">
            <v>C49</v>
          </cell>
          <cell r="T429" t="str">
            <v>SOUTH</v>
          </cell>
          <cell r="U429" t="str">
            <v>東莞</v>
          </cell>
          <cell r="V429" t="str">
            <v>SZ 深圳</v>
          </cell>
          <cell r="W429" t="str">
            <v>JY</v>
          </cell>
          <cell r="X429" t="str">
            <v>JPY</v>
          </cell>
          <cell r="Y429">
            <v>11110000</v>
          </cell>
          <cell r="Z429">
            <v>1</v>
          </cell>
          <cell r="AA429">
            <v>11110000</v>
          </cell>
          <cell r="AB429">
            <v>7.2300000000000003E-2</v>
          </cell>
          <cell r="AC429">
            <v>803253</v>
          </cell>
          <cell r="AD429">
            <v>96390.36</v>
          </cell>
          <cell r="AE429">
            <v>0.12</v>
          </cell>
          <cell r="AF429">
            <v>43558</v>
          </cell>
          <cell r="AG429" t="str">
            <v>DAP东莞</v>
          </cell>
          <cell r="AH429"/>
          <cell r="AI429"/>
          <cell r="AJ429"/>
          <cell r="AK429" t="str">
            <v>agree</v>
          </cell>
          <cell r="AL429">
            <v>2744167</v>
          </cell>
          <cell r="AM429">
            <v>43556</v>
          </cell>
          <cell r="AN429" t="str">
            <v>Yes</v>
          </cell>
          <cell r="AO429" t="str">
            <v>agree</v>
          </cell>
          <cell r="AP429">
            <v>8365836</v>
          </cell>
          <cell r="AQ429">
            <v>43556</v>
          </cell>
          <cell r="AR429">
            <v>43572</v>
          </cell>
          <cell r="AS429" t="str">
            <v>complete</v>
          </cell>
          <cell r="AT429"/>
          <cell r="AV429"/>
          <cell r="AW429"/>
          <cell r="AX429" t="str">
            <v>Yes</v>
          </cell>
          <cell r="AY429"/>
          <cell r="AZ429" t="str">
            <v>Y</v>
          </cell>
          <cell r="BA429" t="str">
            <v>Yes</v>
          </cell>
        </row>
        <row r="430">
          <cell r="B430">
            <v>279</v>
          </cell>
          <cell r="C430" t="str">
            <v>C49SZX20190051SS</v>
          </cell>
          <cell r="D430" t="str">
            <v>世启纳</v>
          </cell>
          <cell r="E430" t="str">
            <v>YSM20R(SV)-2</v>
          </cell>
          <cell r="F430" t="str">
            <v>#03532</v>
          </cell>
          <cell r="G430" t="e">
            <v>#REF!</v>
          </cell>
          <cell r="H430" t="e">
            <v>#REF!</v>
          </cell>
          <cell r="I430" t="str">
            <v>L-&gt;R</v>
          </cell>
          <cell r="J430" t="str">
            <v>MVC</v>
          </cell>
          <cell r="K430">
            <v>1</v>
          </cell>
          <cell r="L430">
            <v>109247</v>
          </cell>
          <cell r="M430" t="str">
            <v>APR 19</v>
          </cell>
          <cell r="O430">
            <v>11116280</v>
          </cell>
          <cell r="P430">
            <v>16500000</v>
          </cell>
          <cell r="Q430">
            <v>43556</v>
          </cell>
          <cell r="R430" t="str">
            <v>No</v>
          </cell>
          <cell r="S430" t="str">
            <v>C49</v>
          </cell>
          <cell r="T430" t="str">
            <v>SOUTH</v>
          </cell>
          <cell r="U430" t="str">
            <v>深圳</v>
          </cell>
          <cell r="V430" t="str">
            <v>SZ 深圳</v>
          </cell>
          <cell r="W430" t="str">
            <v>SS</v>
          </cell>
          <cell r="X430" t="str">
            <v>JPY</v>
          </cell>
          <cell r="Y430">
            <v>16500000</v>
          </cell>
          <cell r="Z430">
            <v>1</v>
          </cell>
          <cell r="AA430">
            <v>16500000</v>
          </cell>
          <cell r="AB430">
            <v>7.2300000000000003E-2</v>
          </cell>
          <cell r="AC430">
            <v>1192950</v>
          </cell>
          <cell r="AD430">
            <v>143154</v>
          </cell>
          <cell r="AE430">
            <v>0.12</v>
          </cell>
          <cell r="AF430">
            <v>43564</v>
          </cell>
          <cell r="AG430" t="str">
            <v>DAP 深圳</v>
          </cell>
          <cell r="AH430"/>
          <cell r="AI430"/>
          <cell r="AJ430"/>
          <cell r="AK430">
            <v>1</v>
          </cell>
          <cell r="AL430">
            <v>16500000</v>
          </cell>
          <cell r="AM430">
            <v>43556</v>
          </cell>
          <cell r="AN430" t="str">
            <v>Yes</v>
          </cell>
          <cell r="AO430" t="str">
            <v>complete</v>
          </cell>
          <cell r="AP430"/>
          <cell r="AR430"/>
          <cell r="AS430"/>
          <cell r="AT430">
            <v>0</v>
          </cell>
          <cell r="AV430"/>
          <cell r="AW430"/>
          <cell r="AX430" t="str">
            <v>Yes</v>
          </cell>
          <cell r="AY430"/>
          <cell r="AZ430" t="str">
            <v>Y</v>
          </cell>
          <cell r="BA430" t="str">
            <v>Yes</v>
          </cell>
        </row>
        <row r="431">
          <cell r="B431">
            <v>280</v>
          </cell>
          <cell r="C431" t="str">
            <v>C49SZX20190052SS</v>
          </cell>
          <cell r="D431" t="str">
            <v>乐上</v>
          </cell>
          <cell r="E431" t="str">
            <v>YSM20R(SV)-2</v>
          </cell>
          <cell r="F431" t="str">
            <v>#03636</v>
          </cell>
          <cell r="G431" t="e">
            <v>#REF!</v>
          </cell>
          <cell r="H431" t="e">
            <v>#REF!</v>
          </cell>
          <cell r="I431" t="str">
            <v>L-&gt;R</v>
          </cell>
          <cell r="J431" t="str">
            <v>No</v>
          </cell>
          <cell r="K431">
            <v>1</v>
          </cell>
          <cell r="L431">
            <v>109336</v>
          </cell>
          <cell r="M431" t="str">
            <v>APR 19</v>
          </cell>
          <cell r="O431">
            <v>11116289</v>
          </cell>
          <cell r="P431">
            <v>14000876</v>
          </cell>
          <cell r="Q431">
            <v>43556</v>
          </cell>
          <cell r="R431" t="str">
            <v>Yes</v>
          </cell>
          <cell r="S431" t="str">
            <v>C49</v>
          </cell>
          <cell r="T431" t="str">
            <v>SOUTH</v>
          </cell>
          <cell r="U431" t="str">
            <v>東莞</v>
          </cell>
          <cell r="V431" t="str">
            <v>SZ 深圳</v>
          </cell>
          <cell r="W431" t="str">
            <v>SS</v>
          </cell>
          <cell r="X431" t="str">
            <v>JPY</v>
          </cell>
          <cell r="Y431">
            <v>14000876</v>
          </cell>
          <cell r="Z431">
            <v>1</v>
          </cell>
          <cell r="AA431">
            <v>14000876</v>
          </cell>
          <cell r="AB431">
            <v>7.2300000000000003E-2</v>
          </cell>
          <cell r="AC431">
            <v>1012263.3348000001</v>
          </cell>
          <cell r="AD431">
            <v>121471.60017600001</v>
          </cell>
          <cell r="AE431">
            <v>0.12</v>
          </cell>
          <cell r="AF431">
            <v>43567</v>
          </cell>
          <cell r="AG431" t="str">
            <v>DAP东莞</v>
          </cell>
          <cell r="AH431"/>
          <cell r="AI431"/>
          <cell r="AJ431"/>
          <cell r="AK431">
            <v>0.2</v>
          </cell>
          <cell r="AL431">
            <v>2800175.2</v>
          </cell>
          <cell r="AM431">
            <v>43556</v>
          </cell>
          <cell r="AN431" t="str">
            <v>Yes</v>
          </cell>
          <cell r="AO431">
            <v>0.8</v>
          </cell>
          <cell r="AP431">
            <v>11200700.800000001</v>
          </cell>
          <cell r="AQ431">
            <v>43556</v>
          </cell>
          <cell r="AR431">
            <v>43579</v>
          </cell>
          <cell r="AS431" t="str">
            <v>complete</v>
          </cell>
          <cell r="AT431"/>
          <cell r="AV431"/>
          <cell r="AW431"/>
          <cell r="AX431" t="str">
            <v>Yes</v>
          </cell>
          <cell r="AY431"/>
          <cell r="AZ431" t="str">
            <v>Y</v>
          </cell>
          <cell r="BA431" t="str">
            <v>Yes</v>
          </cell>
        </row>
        <row r="432">
          <cell r="B432">
            <v>281</v>
          </cell>
          <cell r="C432" t="str">
            <v>C49SZX20190052SS</v>
          </cell>
          <cell r="D432" t="str">
            <v>乐上</v>
          </cell>
          <cell r="E432" t="str">
            <v>YSM10</v>
          </cell>
          <cell r="F432" t="str">
            <v>#03636</v>
          </cell>
          <cell r="G432" t="e">
            <v>#REF!</v>
          </cell>
          <cell r="H432" t="e">
            <v>#REF!</v>
          </cell>
          <cell r="I432" t="str">
            <v>L-&gt;R</v>
          </cell>
          <cell r="J432" t="str">
            <v>MVC</v>
          </cell>
          <cell r="K432">
            <v>1</v>
          </cell>
          <cell r="L432">
            <v>109381</v>
          </cell>
          <cell r="M432" t="str">
            <v>APR 19</v>
          </cell>
          <cell r="O432">
            <v>11116289</v>
          </cell>
          <cell r="P432">
            <v>8603500</v>
          </cell>
          <cell r="Q432">
            <v>43556</v>
          </cell>
          <cell r="R432" t="str">
            <v>Yes</v>
          </cell>
          <cell r="S432" t="str">
            <v>C49</v>
          </cell>
          <cell r="T432" t="str">
            <v>SOUTH</v>
          </cell>
          <cell r="U432" t="str">
            <v>東莞</v>
          </cell>
          <cell r="V432" t="str">
            <v>SZ 深圳</v>
          </cell>
          <cell r="W432" t="str">
            <v>SS</v>
          </cell>
          <cell r="X432" t="str">
            <v>JPY</v>
          </cell>
          <cell r="Y432">
            <v>8603500</v>
          </cell>
          <cell r="Z432">
            <v>1</v>
          </cell>
          <cell r="AA432">
            <v>8603500</v>
          </cell>
          <cell r="AB432">
            <v>7.2300000000000003E-2</v>
          </cell>
          <cell r="AC432">
            <v>622033.05000000005</v>
          </cell>
          <cell r="AD432">
            <v>74643.966</v>
          </cell>
          <cell r="AE432">
            <v>0.12</v>
          </cell>
          <cell r="AF432">
            <v>43567</v>
          </cell>
          <cell r="AG432" t="str">
            <v>DAP东莞</v>
          </cell>
          <cell r="AH432"/>
          <cell r="AI432"/>
          <cell r="AJ432"/>
          <cell r="AK432">
            <v>0.2</v>
          </cell>
          <cell r="AL432">
            <v>1720700</v>
          </cell>
          <cell r="AM432">
            <v>43556</v>
          </cell>
          <cell r="AN432" t="str">
            <v>Yes</v>
          </cell>
          <cell r="AO432">
            <v>0.8</v>
          </cell>
          <cell r="AP432">
            <v>6882800</v>
          </cell>
          <cell r="AQ432">
            <v>43556</v>
          </cell>
          <cell r="AR432">
            <v>43579</v>
          </cell>
          <cell r="AS432" t="str">
            <v>complete</v>
          </cell>
          <cell r="AT432"/>
          <cell r="AV432"/>
          <cell r="AW432"/>
          <cell r="AX432" t="str">
            <v>Yes</v>
          </cell>
          <cell r="AY432"/>
          <cell r="AZ432" t="str">
            <v>Y</v>
          </cell>
          <cell r="BA432" t="str">
            <v>Yes</v>
          </cell>
        </row>
        <row r="433">
          <cell r="B433">
            <v>282</v>
          </cell>
          <cell r="C433" t="str">
            <v>C49SZX20190052SS</v>
          </cell>
          <cell r="D433" t="str">
            <v>乐上</v>
          </cell>
          <cell r="E433" t="str">
            <v>YSM10</v>
          </cell>
          <cell r="F433" t="str">
            <v>#03636</v>
          </cell>
          <cell r="G433" t="e">
            <v>#REF!</v>
          </cell>
          <cell r="H433" t="e">
            <v>#REF!</v>
          </cell>
          <cell r="I433" t="str">
            <v>L-&gt;R</v>
          </cell>
          <cell r="J433" t="str">
            <v>MVC</v>
          </cell>
          <cell r="K433">
            <v>1</v>
          </cell>
          <cell r="L433">
            <v>109381</v>
          </cell>
          <cell r="M433" t="str">
            <v>APR 19</v>
          </cell>
          <cell r="O433">
            <v>11116289</v>
          </cell>
          <cell r="P433">
            <v>8603500</v>
          </cell>
          <cell r="Q433">
            <v>43556</v>
          </cell>
          <cell r="R433" t="str">
            <v>Yes</v>
          </cell>
          <cell r="S433" t="str">
            <v>C49</v>
          </cell>
          <cell r="T433" t="str">
            <v>SOUTH</v>
          </cell>
          <cell r="U433" t="str">
            <v>東莞</v>
          </cell>
          <cell r="V433" t="str">
            <v>SZ 深圳</v>
          </cell>
          <cell r="W433" t="str">
            <v>SS</v>
          </cell>
          <cell r="X433" t="str">
            <v>JPY</v>
          </cell>
          <cell r="Y433">
            <v>8603500</v>
          </cell>
          <cell r="Z433">
            <v>1</v>
          </cell>
          <cell r="AA433">
            <v>8603500</v>
          </cell>
          <cell r="AB433">
            <v>7.2300000000000003E-2</v>
          </cell>
          <cell r="AC433">
            <v>622033.05000000005</v>
          </cell>
          <cell r="AD433">
            <v>74643.966</v>
          </cell>
          <cell r="AE433">
            <v>0.12</v>
          </cell>
          <cell r="AF433">
            <v>43567</v>
          </cell>
          <cell r="AG433" t="str">
            <v>DAP东莞</v>
          </cell>
          <cell r="AH433"/>
          <cell r="AI433"/>
          <cell r="AJ433"/>
          <cell r="AK433">
            <v>0.2</v>
          </cell>
          <cell r="AL433">
            <v>1720700</v>
          </cell>
          <cell r="AM433">
            <v>43556</v>
          </cell>
          <cell r="AN433" t="str">
            <v>Yes</v>
          </cell>
          <cell r="AO433">
            <v>0.8</v>
          </cell>
          <cell r="AP433">
            <v>6882800</v>
          </cell>
          <cell r="AQ433">
            <v>43556</v>
          </cell>
          <cell r="AR433">
            <v>43579</v>
          </cell>
          <cell r="AS433" t="str">
            <v>complete</v>
          </cell>
          <cell r="AT433"/>
          <cell r="AV433"/>
          <cell r="AW433"/>
          <cell r="AX433" t="str">
            <v>Yes</v>
          </cell>
          <cell r="AY433"/>
          <cell r="AZ433" t="str">
            <v>Y</v>
          </cell>
          <cell r="BA433" t="str">
            <v>Yes</v>
          </cell>
        </row>
        <row r="434">
          <cell r="B434">
            <v>283</v>
          </cell>
          <cell r="C434" t="str">
            <v>C49SZX20190042JL</v>
          </cell>
          <cell r="D434" t="str">
            <v>杉川/end user:放德劲</v>
          </cell>
          <cell r="E434" t="str">
            <v>YSM20R(SV)-2</v>
          </cell>
          <cell r="F434" t="str">
            <v>#03618</v>
          </cell>
          <cell r="G434" t="e">
            <v>#REF!</v>
          </cell>
          <cell r="H434" t="e">
            <v>#REF!</v>
          </cell>
          <cell r="I434" t="str">
            <v>L-&gt;R</v>
          </cell>
          <cell r="J434" t="str">
            <v>MVC</v>
          </cell>
          <cell r="K434">
            <v>1</v>
          </cell>
          <cell r="L434">
            <v>109383</v>
          </cell>
          <cell r="M434" t="str">
            <v>APR 19</v>
          </cell>
          <cell r="O434">
            <v>11116288</v>
          </cell>
          <cell r="P434">
            <v>15920000</v>
          </cell>
          <cell r="Q434">
            <v>43556</v>
          </cell>
          <cell r="R434" t="str">
            <v>No</v>
          </cell>
          <cell r="S434" t="str">
            <v>C49</v>
          </cell>
          <cell r="T434" t="str">
            <v>SOUTH</v>
          </cell>
          <cell r="U434" t="str">
            <v>深圳</v>
          </cell>
          <cell r="V434" t="str">
            <v>SZ 深圳</v>
          </cell>
          <cell r="W434" t="str">
            <v>JL</v>
          </cell>
          <cell r="X434" t="str">
            <v>JPY</v>
          </cell>
          <cell r="Y434">
            <v>15920000</v>
          </cell>
          <cell r="Z434">
            <v>1</v>
          </cell>
          <cell r="AA434">
            <v>15920000</v>
          </cell>
          <cell r="AB434">
            <v>7.2300000000000003E-2</v>
          </cell>
          <cell r="AC434">
            <v>1151016</v>
          </cell>
          <cell r="AD434">
            <v>138121.91999999998</v>
          </cell>
          <cell r="AE434">
            <v>0.12</v>
          </cell>
          <cell r="AF434">
            <v>43572</v>
          </cell>
          <cell r="AG434" t="str">
            <v>DAP 深圳</v>
          </cell>
          <cell r="AK434">
            <v>0.95</v>
          </cell>
          <cell r="AL434">
            <v>15124000</v>
          </cell>
          <cell r="AM434">
            <v>43556</v>
          </cell>
          <cell r="AN434" t="str">
            <v>Yes</v>
          </cell>
          <cell r="AO434">
            <v>0.05</v>
          </cell>
          <cell r="AP434">
            <v>796000</v>
          </cell>
          <cell r="AQ434">
            <v>43617</v>
          </cell>
          <cell r="AR434">
            <v>43627</v>
          </cell>
          <cell r="AS434" t="str">
            <v>complete</v>
          </cell>
          <cell r="AT434"/>
          <cell r="AX434" t="str">
            <v>Yes</v>
          </cell>
          <cell r="AZ434" t="str">
            <v>Y</v>
          </cell>
          <cell r="BA434" t="str">
            <v>Yes</v>
          </cell>
        </row>
        <row r="435">
          <cell r="B435">
            <v>284</v>
          </cell>
          <cell r="C435" t="str">
            <v>C49SZX20190058SX</v>
          </cell>
          <cell r="D435" t="str">
            <v>玮芯电子</v>
          </cell>
          <cell r="E435" t="str">
            <v>YSM20R(SV)-2</v>
          </cell>
          <cell r="F435" t="str">
            <v>#03652</v>
          </cell>
          <cell r="G435" t="e">
            <v>#REF!</v>
          </cell>
          <cell r="H435" t="e">
            <v>#REF!</v>
          </cell>
          <cell r="I435" t="str">
            <v>L-&gt;R</v>
          </cell>
          <cell r="J435" t="str">
            <v>MVC</v>
          </cell>
          <cell r="K435">
            <v>1</v>
          </cell>
          <cell r="L435">
            <v>109389</v>
          </cell>
          <cell r="M435" t="str">
            <v>MAY 19</v>
          </cell>
          <cell r="N435">
            <v>43593</v>
          </cell>
          <cell r="O435">
            <v>11116291</v>
          </cell>
          <cell r="P435">
            <v>15029975</v>
          </cell>
          <cell r="Q435">
            <v>43586</v>
          </cell>
          <cell r="R435" t="str">
            <v>Yes</v>
          </cell>
          <cell r="S435" t="str">
            <v>C49</v>
          </cell>
          <cell r="T435" t="str">
            <v>SOUTH</v>
          </cell>
          <cell r="U435" t="str">
            <v>深圳</v>
          </cell>
          <cell r="V435" t="str">
            <v>SZ 深圳</v>
          </cell>
          <cell r="W435" t="str">
            <v>SX</v>
          </cell>
          <cell r="X435" t="str">
            <v>JPY</v>
          </cell>
          <cell r="Y435">
            <v>15029975</v>
          </cell>
          <cell r="Z435">
            <v>1</v>
          </cell>
          <cell r="AA435">
            <v>15029975</v>
          </cell>
          <cell r="AB435">
            <v>7.2300000000000003E-2</v>
          </cell>
          <cell r="AC435">
            <v>1086667.1925000001</v>
          </cell>
          <cell r="AD435">
            <v>130400.06310000001</v>
          </cell>
          <cell r="AE435">
            <v>0.12</v>
          </cell>
          <cell r="AF435">
            <v>43573</v>
          </cell>
          <cell r="AG435" t="str">
            <v>DAP SZ</v>
          </cell>
          <cell r="AK435">
            <v>0.2</v>
          </cell>
          <cell r="AL435">
            <v>3005995</v>
          </cell>
          <cell r="AM435">
            <v>43586</v>
          </cell>
          <cell r="AN435" t="str">
            <v>Yes</v>
          </cell>
          <cell r="AO435">
            <v>0.8</v>
          </cell>
          <cell r="AP435">
            <v>12023980</v>
          </cell>
          <cell r="AQ435">
            <v>43556</v>
          </cell>
          <cell r="AR435">
            <v>43584</v>
          </cell>
          <cell r="AS435"/>
          <cell r="AT435">
            <v>0</v>
          </cell>
        </row>
        <row r="436">
          <cell r="B436">
            <v>285</v>
          </cell>
          <cell r="C436" t="str">
            <v>C49SZX20190059SX</v>
          </cell>
          <cell r="D436" t="str">
            <v>玮芯电子</v>
          </cell>
          <cell r="E436" t="str">
            <v>YSM20R(SV)-2</v>
          </cell>
          <cell r="F436" t="str">
            <v>NA</v>
          </cell>
          <cell r="G436" t="e">
            <v>#REF!</v>
          </cell>
          <cell r="H436" t="e">
            <v>#REF!</v>
          </cell>
          <cell r="I436" t="str">
            <v>L-&gt;R</v>
          </cell>
          <cell r="J436" t="str">
            <v>No</v>
          </cell>
          <cell r="K436">
            <v>1</v>
          </cell>
          <cell r="L436" t="e">
            <v>#REF!</v>
          </cell>
          <cell r="M436" t="e">
            <v>#REF!</v>
          </cell>
          <cell r="N436"/>
          <cell r="O436"/>
          <cell r="P436"/>
          <cell r="R436" t="str">
            <v>Yes</v>
          </cell>
          <cell r="S436" t="str">
            <v>C49</v>
          </cell>
          <cell r="T436" t="str">
            <v>SOUTH</v>
          </cell>
          <cell r="U436" t="str">
            <v>深圳</v>
          </cell>
          <cell r="V436" t="str">
            <v>SZ 深圳</v>
          </cell>
          <cell r="W436" t="str">
            <v>SX</v>
          </cell>
          <cell r="X436" t="str">
            <v>JPY</v>
          </cell>
          <cell r="Y436">
            <v>14642375</v>
          </cell>
          <cell r="Z436">
            <v>1</v>
          </cell>
          <cell r="AA436">
            <v>14642375</v>
          </cell>
          <cell r="AB436">
            <v>7.2300000000000003E-2</v>
          </cell>
          <cell r="AC436">
            <v>1058643.7125000001</v>
          </cell>
          <cell r="AD436">
            <v>127037.24550000002</v>
          </cell>
          <cell r="AE436">
            <v>0.12</v>
          </cell>
          <cell r="AF436">
            <v>43573</v>
          </cell>
          <cell r="AG436" t="str">
            <v>DAP 深圳</v>
          </cell>
          <cell r="AI436"/>
          <cell r="AJ436"/>
          <cell r="AK436">
            <v>0.2</v>
          </cell>
          <cell r="AL436">
            <v>2928475</v>
          </cell>
          <cell r="AM436"/>
          <cell r="AN436" t="str">
            <v>No</v>
          </cell>
          <cell r="AO436">
            <v>0.8</v>
          </cell>
          <cell r="AP436">
            <v>11713900</v>
          </cell>
          <cell r="AR436"/>
          <cell r="AS436"/>
          <cell r="AT436">
            <v>0</v>
          </cell>
          <cell r="AV436"/>
          <cell r="AX436" t="str">
            <v>Cancel</v>
          </cell>
          <cell r="AY436"/>
          <cell r="AZ436"/>
          <cell r="BA436" t="str">
            <v>Cancel</v>
          </cell>
        </row>
        <row r="437">
          <cell r="B437">
            <v>286</v>
          </cell>
          <cell r="C437" t="str">
            <v>C49SZX20190059SX</v>
          </cell>
          <cell r="D437" t="str">
            <v>玮芯电子</v>
          </cell>
          <cell r="E437" t="str">
            <v>YSM20R(SV)-2</v>
          </cell>
          <cell r="F437" t="str">
            <v>NA</v>
          </cell>
          <cell r="G437" t="e">
            <v>#REF!</v>
          </cell>
          <cell r="H437" t="e">
            <v>#REF!</v>
          </cell>
          <cell r="I437" t="str">
            <v>L-&gt;R</v>
          </cell>
          <cell r="J437" t="str">
            <v>No</v>
          </cell>
          <cell r="K437">
            <v>1</v>
          </cell>
          <cell r="L437" t="e">
            <v>#REF!</v>
          </cell>
          <cell r="M437" t="e">
            <v>#REF!</v>
          </cell>
          <cell r="N437"/>
          <cell r="O437"/>
          <cell r="P437"/>
          <cell r="R437" t="str">
            <v>Yes</v>
          </cell>
          <cell r="S437" t="str">
            <v>C49</v>
          </cell>
          <cell r="T437" t="str">
            <v>SOUTH</v>
          </cell>
          <cell r="U437" t="str">
            <v>深圳</v>
          </cell>
          <cell r="V437" t="str">
            <v>SZ 深圳</v>
          </cell>
          <cell r="W437" t="str">
            <v>SX</v>
          </cell>
          <cell r="X437" t="str">
            <v>JPY</v>
          </cell>
          <cell r="Y437">
            <v>14642375</v>
          </cell>
          <cell r="Z437">
            <v>1</v>
          </cell>
          <cell r="AA437">
            <v>14642375</v>
          </cell>
          <cell r="AB437">
            <v>7.2300000000000003E-2</v>
          </cell>
          <cell r="AC437">
            <v>1058643.7125000001</v>
          </cell>
          <cell r="AD437">
            <v>127037.24550000002</v>
          </cell>
          <cell r="AE437">
            <v>0.12</v>
          </cell>
          <cell r="AF437">
            <v>43573</v>
          </cell>
          <cell r="AG437" t="str">
            <v>DAP 深圳</v>
          </cell>
          <cell r="AI437"/>
          <cell r="AJ437"/>
          <cell r="AK437">
            <v>0.2</v>
          </cell>
          <cell r="AL437">
            <v>2928475</v>
          </cell>
          <cell r="AM437"/>
          <cell r="AN437" t="str">
            <v>No</v>
          </cell>
          <cell r="AO437">
            <v>0.8</v>
          </cell>
          <cell r="AP437">
            <v>11713900</v>
          </cell>
          <cell r="AR437"/>
          <cell r="AS437"/>
          <cell r="AT437">
            <v>0</v>
          </cell>
          <cell r="AV437"/>
          <cell r="AX437" t="str">
            <v>Cancel</v>
          </cell>
          <cell r="AY437"/>
          <cell r="AZ437"/>
          <cell r="BA437" t="str">
            <v>Cancel</v>
          </cell>
        </row>
        <row r="438">
          <cell r="B438">
            <v>287</v>
          </cell>
          <cell r="C438" t="str">
            <v>C49SZX20190056RW</v>
          </cell>
          <cell r="D438" t="str">
            <v>富斯迈</v>
          </cell>
          <cell r="E438" t="str">
            <v>YSM20R(SV)-2</v>
          </cell>
          <cell r="F438" t="str">
            <v>#57486</v>
          </cell>
          <cell r="G438" t="e">
            <v>#REF!</v>
          </cell>
          <cell r="H438" t="e">
            <v>#REF!</v>
          </cell>
          <cell r="I438" t="str">
            <v>L-&gt;R</v>
          </cell>
          <cell r="J438" t="str">
            <v>MVC</v>
          </cell>
          <cell r="K438">
            <v>1</v>
          </cell>
          <cell r="L438">
            <v>109336</v>
          </cell>
          <cell r="M438" t="str">
            <v>MAY 19</v>
          </cell>
          <cell r="N438">
            <v>43609</v>
          </cell>
          <cell r="O438">
            <v>11116298</v>
          </cell>
          <cell r="P438">
            <v>12030000</v>
          </cell>
          <cell r="Q438">
            <v>43586</v>
          </cell>
          <cell r="R438" t="str">
            <v>No</v>
          </cell>
          <cell r="S438" t="str">
            <v>C49</v>
          </cell>
          <cell r="T438" t="str">
            <v>SOUTH</v>
          </cell>
          <cell r="U438" t="str">
            <v>深圳</v>
          </cell>
          <cell r="V438" t="str">
            <v>SZ 深圳</v>
          </cell>
          <cell r="W438" t="str">
            <v>RW</v>
          </cell>
          <cell r="X438" t="str">
            <v>JPY</v>
          </cell>
          <cell r="Y438">
            <v>12030000</v>
          </cell>
          <cell r="Z438">
            <v>1</v>
          </cell>
          <cell r="AA438">
            <v>12030000</v>
          </cell>
          <cell r="AB438">
            <v>7.2300000000000003E-2</v>
          </cell>
          <cell r="AC438">
            <v>869769</v>
          </cell>
          <cell r="AD438">
            <v>104372.28</v>
          </cell>
          <cell r="AE438">
            <v>0.12</v>
          </cell>
          <cell r="AF438">
            <v>43572</v>
          </cell>
          <cell r="AG438" t="str">
            <v>CIF HK</v>
          </cell>
          <cell r="AK438">
            <v>0.2</v>
          </cell>
          <cell r="AL438">
            <v>2406000</v>
          </cell>
          <cell r="AM438">
            <v>43556</v>
          </cell>
          <cell r="AN438" t="str">
            <v>Yes</v>
          </cell>
          <cell r="AO438">
            <v>0.8</v>
          </cell>
          <cell r="AP438">
            <v>9624000</v>
          </cell>
          <cell r="AQ438">
            <v>43586</v>
          </cell>
          <cell r="AR438">
            <v>43613</v>
          </cell>
          <cell r="AS438" t="str">
            <v>complete</v>
          </cell>
          <cell r="AT438"/>
          <cell r="AX438" t="str">
            <v>Yes</v>
          </cell>
          <cell r="AZ438" t="str">
            <v>Y</v>
          </cell>
          <cell r="BA438" t="str">
            <v>Yes</v>
          </cell>
        </row>
        <row r="439">
          <cell r="B439">
            <v>288</v>
          </cell>
          <cell r="C439" t="str">
            <v>C49SZX20190056RW</v>
          </cell>
          <cell r="D439" t="str">
            <v>富斯迈</v>
          </cell>
          <cell r="E439" t="str">
            <v>YSM20R(SV)-2</v>
          </cell>
          <cell r="F439" t="str">
            <v>#57486</v>
          </cell>
          <cell r="G439" t="e">
            <v>#REF!</v>
          </cell>
          <cell r="H439" t="e">
            <v>#REF!</v>
          </cell>
          <cell r="I439" t="str">
            <v>L-&gt;R</v>
          </cell>
          <cell r="J439" t="str">
            <v>No</v>
          </cell>
          <cell r="K439">
            <v>1</v>
          </cell>
          <cell r="L439">
            <v>109336</v>
          </cell>
          <cell r="M439" t="str">
            <v>MAY 19</v>
          </cell>
          <cell r="N439">
            <v>43609</v>
          </cell>
          <cell r="O439">
            <v>11116298</v>
          </cell>
          <cell r="P439">
            <v>12030000</v>
          </cell>
          <cell r="Q439">
            <v>43586</v>
          </cell>
          <cell r="R439" t="str">
            <v>No</v>
          </cell>
          <cell r="S439" t="str">
            <v>C49</v>
          </cell>
          <cell r="T439" t="str">
            <v>SOUTH</v>
          </cell>
          <cell r="U439" t="str">
            <v>深圳</v>
          </cell>
          <cell r="V439" t="str">
            <v>SZ 深圳</v>
          </cell>
          <cell r="W439" t="str">
            <v>RW</v>
          </cell>
          <cell r="X439" t="str">
            <v>JPY</v>
          </cell>
          <cell r="Y439">
            <v>12030000</v>
          </cell>
          <cell r="Z439">
            <v>1</v>
          </cell>
          <cell r="AA439">
            <v>12030000</v>
          </cell>
          <cell r="AB439">
            <v>7.2300000000000003E-2</v>
          </cell>
          <cell r="AC439">
            <v>869769</v>
          </cell>
          <cell r="AD439">
            <v>104372.28</v>
          </cell>
          <cell r="AE439">
            <v>0.12</v>
          </cell>
          <cell r="AF439">
            <v>43572</v>
          </cell>
          <cell r="AG439" t="str">
            <v>CIF HK</v>
          </cell>
          <cell r="AK439">
            <v>0.2</v>
          </cell>
          <cell r="AL439">
            <v>2406000</v>
          </cell>
          <cell r="AM439">
            <v>43556</v>
          </cell>
          <cell r="AN439" t="str">
            <v>Yes</v>
          </cell>
          <cell r="AO439">
            <v>0.8</v>
          </cell>
          <cell r="AP439">
            <v>9624000</v>
          </cell>
          <cell r="AQ439">
            <v>43586</v>
          </cell>
          <cell r="AR439">
            <v>43613</v>
          </cell>
          <cell r="AS439" t="str">
            <v>complete</v>
          </cell>
          <cell r="AT439"/>
          <cell r="AX439" t="str">
            <v>Yes</v>
          </cell>
          <cell r="AZ439" t="str">
            <v>Y</v>
          </cell>
          <cell r="BA439" t="str">
            <v>Yes</v>
          </cell>
        </row>
        <row r="440">
          <cell r="B440">
            <v>289</v>
          </cell>
          <cell r="C440" t="str">
            <v>C49SZX20190054JL</v>
          </cell>
          <cell r="D440" t="str">
            <v>鹏鑫达</v>
          </cell>
          <cell r="E440" t="str">
            <v>YSM10</v>
          </cell>
          <cell r="F440" t="str">
            <v>NA</v>
          </cell>
          <cell r="G440" t="e">
            <v>#REF!</v>
          </cell>
          <cell r="H440" t="e">
            <v>#REF!</v>
          </cell>
          <cell r="I440" t="str">
            <v>L-&gt;R</v>
          </cell>
          <cell r="J440" t="str">
            <v>MVC</v>
          </cell>
          <cell r="K440">
            <v>1</v>
          </cell>
          <cell r="L440" t="str">
            <v>取消</v>
          </cell>
          <cell r="M440" t="e">
            <v>#N/A</v>
          </cell>
          <cell r="N440"/>
          <cell r="O440"/>
          <cell r="P440"/>
          <cell r="R440" t="str">
            <v>Yes</v>
          </cell>
          <cell r="S440" t="str">
            <v>C49</v>
          </cell>
          <cell r="T440" t="str">
            <v>SOUTH</v>
          </cell>
          <cell r="U440" t="str">
            <v>深圳</v>
          </cell>
          <cell r="V440" t="str">
            <v>SZ 深圳</v>
          </cell>
          <cell r="W440" t="str">
            <v>JL</v>
          </cell>
          <cell r="X440" t="str">
            <v>JPY</v>
          </cell>
          <cell r="Y440">
            <v>8150000</v>
          </cell>
          <cell r="Z440">
            <v>1</v>
          </cell>
          <cell r="AA440">
            <v>8150000</v>
          </cell>
          <cell r="AB440">
            <v>7.2300000000000003E-2</v>
          </cell>
          <cell r="AC440">
            <v>589245</v>
          </cell>
          <cell r="AD440">
            <v>70709.399999999994</v>
          </cell>
          <cell r="AE440">
            <v>0.12</v>
          </cell>
          <cell r="AF440">
            <v>43573</v>
          </cell>
          <cell r="AG440" t="str">
            <v>DAP 深圳</v>
          </cell>
          <cell r="AI440"/>
          <cell r="AJ440"/>
          <cell r="AK440">
            <v>1</v>
          </cell>
          <cell r="AL440">
            <v>8150000</v>
          </cell>
          <cell r="AM440"/>
          <cell r="AN440" t="str">
            <v>No</v>
          </cell>
          <cell r="AO440"/>
          <cell r="AP440">
            <v>0</v>
          </cell>
          <cell r="AR440"/>
          <cell r="AS440"/>
          <cell r="AT440">
            <v>0</v>
          </cell>
          <cell r="AV440"/>
          <cell r="AX440" t="str">
            <v>Cancel</v>
          </cell>
          <cell r="AY440"/>
          <cell r="AZ440"/>
          <cell r="BA440" t="str">
            <v>Cancel</v>
          </cell>
        </row>
        <row r="441">
          <cell r="B441">
            <v>290</v>
          </cell>
          <cell r="C441" t="str">
            <v>C49SZX20190054JL</v>
          </cell>
          <cell r="D441" t="str">
            <v>鹏鑫达</v>
          </cell>
          <cell r="E441" t="str">
            <v>YSM10</v>
          </cell>
          <cell r="F441" t="str">
            <v>NA</v>
          </cell>
          <cell r="G441" t="e">
            <v>#REF!</v>
          </cell>
          <cell r="H441" t="e">
            <v>#REF!</v>
          </cell>
          <cell r="I441" t="str">
            <v>L-&gt;R</v>
          </cell>
          <cell r="J441" t="str">
            <v>MVC</v>
          </cell>
          <cell r="K441">
            <v>1</v>
          </cell>
          <cell r="L441" t="str">
            <v>取消</v>
          </cell>
          <cell r="M441" t="e">
            <v>#N/A</v>
          </cell>
          <cell r="N441"/>
          <cell r="O441"/>
          <cell r="P441"/>
          <cell r="R441" t="str">
            <v>Yes</v>
          </cell>
          <cell r="S441" t="str">
            <v>C49</v>
          </cell>
          <cell r="T441" t="str">
            <v>SOUTH</v>
          </cell>
          <cell r="U441" t="str">
            <v>深圳</v>
          </cell>
          <cell r="V441" t="str">
            <v>SZ 深圳</v>
          </cell>
          <cell r="W441" t="str">
            <v>JL</v>
          </cell>
          <cell r="X441" t="str">
            <v>JPY</v>
          </cell>
          <cell r="Y441">
            <v>8150000</v>
          </cell>
          <cell r="Z441">
            <v>1</v>
          </cell>
          <cell r="AA441">
            <v>8150000</v>
          </cell>
          <cell r="AB441">
            <v>7.2300000000000003E-2</v>
          </cell>
          <cell r="AC441">
            <v>589245</v>
          </cell>
          <cell r="AD441">
            <v>70709.399999999994</v>
          </cell>
          <cell r="AE441">
            <v>0.12</v>
          </cell>
          <cell r="AF441">
            <v>43573</v>
          </cell>
          <cell r="AG441" t="str">
            <v>DAP 深圳</v>
          </cell>
          <cell r="AI441"/>
          <cell r="AJ441"/>
          <cell r="AK441">
            <v>1</v>
          </cell>
          <cell r="AL441">
            <v>8150000</v>
          </cell>
          <cell r="AM441"/>
          <cell r="AN441" t="str">
            <v>No</v>
          </cell>
          <cell r="AO441"/>
          <cell r="AP441">
            <v>0</v>
          </cell>
          <cell r="AR441"/>
          <cell r="AS441"/>
          <cell r="AT441">
            <v>0</v>
          </cell>
          <cell r="AV441"/>
          <cell r="AX441" t="str">
            <v>Cancel</v>
          </cell>
          <cell r="AY441"/>
          <cell r="AZ441"/>
          <cell r="BA441" t="str">
            <v>Cancel</v>
          </cell>
        </row>
        <row r="442">
          <cell r="B442">
            <v>291</v>
          </cell>
          <cell r="C442" t="str">
            <v>C49SZX20190060DZ</v>
          </cell>
          <cell r="D442" t="str">
            <v>宝捷</v>
          </cell>
          <cell r="E442" t="str">
            <v>YS24</v>
          </cell>
          <cell r="F442" t="str">
            <v>#13505</v>
          </cell>
          <cell r="G442" t="e">
            <v>#REF!</v>
          </cell>
          <cell r="H442" t="e">
            <v>#REF!</v>
          </cell>
          <cell r="I442" t="str">
            <v>L-&gt;R</v>
          </cell>
          <cell r="J442" t="str">
            <v>MVC</v>
          </cell>
          <cell r="K442">
            <v>1</v>
          </cell>
          <cell r="L442">
            <v>109421</v>
          </cell>
          <cell r="M442" t="str">
            <v>AUG 19</v>
          </cell>
          <cell r="N442">
            <v>43691</v>
          </cell>
          <cell r="O442">
            <v>11116319</v>
          </cell>
          <cell r="P442">
            <v>12440000</v>
          </cell>
          <cell r="Q442">
            <v>43678</v>
          </cell>
          <cell r="R442" t="str">
            <v>No</v>
          </cell>
          <cell r="S442" t="str">
            <v>C49</v>
          </cell>
          <cell r="T442" t="str">
            <v>SOUTH</v>
          </cell>
          <cell r="U442" t="str">
            <v>深圳</v>
          </cell>
          <cell r="V442" t="str">
            <v>SZ 深圳</v>
          </cell>
          <cell r="W442" t="str">
            <v>DZ</v>
          </cell>
          <cell r="X442" t="str">
            <v>JPY</v>
          </cell>
          <cell r="Y442">
            <v>12440000</v>
          </cell>
          <cell r="Z442">
            <v>1</v>
          </cell>
          <cell r="AA442">
            <v>12440000</v>
          </cell>
          <cell r="AB442">
            <v>7.2300000000000003E-2</v>
          </cell>
          <cell r="AC442">
            <v>899412</v>
          </cell>
          <cell r="AD442">
            <v>107929.44</v>
          </cell>
          <cell r="AE442">
            <v>0.12</v>
          </cell>
          <cell r="AF442">
            <v>43579</v>
          </cell>
          <cell r="AG442" t="str">
            <v>CIF HK</v>
          </cell>
          <cell r="AI442"/>
          <cell r="AJ442"/>
          <cell r="AK442">
            <v>0.1</v>
          </cell>
          <cell r="AL442">
            <v>1244000</v>
          </cell>
          <cell r="AM442"/>
          <cell r="AN442" t="str">
            <v>Yes</v>
          </cell>
          <cell r="AO442" t="str">
            <v>agree</v>
          </cell>
          <cell r="AP442">
            <v>4337299</v>
          </cell>
          <cell r="AQ442">
            <v>43617</v>
          </cell>
          <cell r="AR442">
            <v>43619</v>
          </cell>
          <cell r="AS442" t="str">
            <v>agree</v>
          </cell>
          <cell r="AT442">
            <v>6858701</v>
          </cell>
          <cell r="AU442">
            <v>43678</v>
          </cell>
          <cell r="AV442"/>
          <cell r="AW442" t="str">
            <v>complete</v>
          </cell>
          <cell r="AX442" t="str">
            <v>Yes</v>
          </cell>
          <cell r="AY442"/>
          <cell r="AZ442" t="str">
            <v>Y</v>
          </cell>
          <cell r="BA442" t="str">
            <v>Yes</v>
          </cell>
        </row>
        <row r="443">
          <cell r="B443">
            <v>292</v>
          </cell>
          <cell r="C443" t="str">
            <v>C49SZX20190062ZX</v>
          </cell>
          <cell r="D443" t="str">
            <v>帝泰克</v>
          </cell>
          <cell r="E443" t="str">
            <v>YSM10</v>
          </cell>
          <cell r="F443" t="str">
            <v>NA</v>
          </cell>
          <cell r="G443" t="e">
            <v>#REF!</v>
          </cell>
          <cell r="H443" t="e">
            <v>#REF!</v>
          </cell>
          <cell r="I443" t="str">
            <v>L-&gt;R</v>
          </cell>
          <cell r="J443" t="str">
            <v>MVC</v>
          </cell>
          <cell r="K443">
            <v>1</v>
          </cell>
          <cell r="L443" t="str">
            <v>取消</v>
          </cell>
          <cell r="M443" t="e">
            <v>#N/A</v>
          </cell>
          <cell r="N443"/>
          <cell r="O443"/>
          <cell r="P443"/>
          <cell r="R443" t="str">
            <v>No</v>
          </cell>
          <cell r="S443" t="str">
            <v>C49</v>
          </cell>
          <cell r="T443" t="str">
            <v>SOUTH</v>
          </cell>
          <cell r="U443" t="str">
            <v>深圳</v>
          </cell>
          <cell r="V443" t="str">
            <v>SZ 深圳</v>
          </cell>
          <cell r="W443" t="str">
            <v>ZX</v>
          </cell>
          <cell r="X443" t="str">
            <v>JPY</v>
          </cell>
          <cell r="Y443">
            <v>10000000</v>
          </cell>
          <cell r="Z443">
            <v>1</v>
          </cell>
          <cell r="AA443">
            <v>10000000</v>
          </cell>
          <cell r="AB443">
            <v>7.2300000000000003E-2</v>
          </cell>
          <cell r="AC443">
            <v>723000</v>
          </cell>
          <cell r="AD443">
            <v>86760</v>
          </cell>
          <cell r="AE443">
            <v>0.12</v>
          </cell>
          <cell r="AF443">
            <v>43580</v>
          </cell>
          <cell r="AG443" t="str">
            <v>DAP 深圳</v>
          </cell>
          <cell r="AI443"/>
          <cell r="AJ443"/>
          <cell r="AK443" t="str">
            <v>agree</v>
          </cell>
          <cell r="AL443">
            <v>1495172</v>
          </cell>
          <cell r="AM443">
            <v>43586</v>
          </cell>
          <cell r="AN443" t="str">
            <v>Yes</v>
          </cell>
          <cell r="AO443">
            <v>0.9</v>
          </cell>
          <cell r="AP443">
            <v>9000000</v>
          </cell>
          <cell r="AR443"/>
          <cell r="AS443"/>
          <cell r="AT443">
            <v>0</v>
          </cell>
          <cell r="AV443"/>
          <cell r="AX443" t="str">
            <v>Cancel</v>
          </cell>
          <cell r="AY443"/>
          <cell r="AZ443"/>
          <cell r="BA443" t="str">
            <v>Cancel</v>
          </cell>
        </row>
        <row r="444">
          <cell r="B444">
            <v>293</v>
          </cell>
          <cell r="C444" t="str">
            <v>C49SZX20190062ZX</v>
          </cell>
          <cell r="D444" t="str">
            <v>帝泰克</v>
          </cell>
          <cell r="E444" t="str">
            <v>YSM10</v>
          </cell>
          <cell r="F444" t="str">
            <v>NA</v>
          </cell>
          <cell r="G444" t="e">
            <v>#REF!</v>
          </cell>
          <cell r="H444" t="e">
            <v>#REF!</v>
          </cell>
          <cell r="I444" t="str">
            <v>L-&gt;R</v>
          </cell>
          <cell r="J444" t="str">
            <v>No</v>
          </cell>
          <cell r="K444">
            <v>1</v>
          </cell>
          <cell r="L444" t="str">
            <v>取消</v>
          </cell>
          <cell r="M444" t="e">
            <v>#N/A</v>
          </cell>
          <cell r="N444"/>
          <cell r="O444"/>
          <cell r="P444"/>
          <cell r="R444" t="str">
            <v>No</v>
          </cell>
          <cell r="S444" t="str">
            <v>C49</v>
          </cell>
          <cell r="T444" t="str">
            <v>SOUTH</v>
          </cell>
          <cell r="U444" t="str">
            <v>深圳</v>
          </cell>
          <cell r="V444" t="str">
            <v>SZ 深圳</v>
          </cell>
          <cell r="W444" t="str">
            <v>ZX</v>
          </cell>
          <cell r="X444" t="str">
            <v>JPY</v>
          </cell>
          <cell r="Y444">
            <v>10000000</v>
          </cell>
          <cell r="Z444">
            <v>1</v>
          </cell>
          <cell r="AA444">
            <v>10000000</v>
          </cell>
          <cell r="AB444">
            <v>7.2300000000000003E-2</v>
          </cell>
          <cell r="AC444">
            <v>723000</v>
          </cell>
          <cell r="AD444">
            <v>86760</v>
          </cell>
          <cell r="AE444">
            <v>0.12</v>
          </cell>
          <cell r="AF444">
            <v>43580</v>
          </cell>
          <cell r="AG444" t="str">
            <v>DAP 深圳</v>
          </cell>
          <cell r="AI444"/>
          <cell r="AJ444"/>
          <cell r="AK444" t="str">
            <v>agree</v>
          </cell>
          <cell r="AL444">
            <v>504828</v>
          </cell>
          <cell r="AM444"/>
          <cell r="AN444" t="str">
            <v>No</v>
          </cell>
          <cell r="AO444">
            <v>0.9</v>
          </cell>
          <cell r="AP444">
            <v>9000000</v>
          </cell>
          <cell r="AR444"/>
          <cell r="AS444"/>
          <cell r="AT444">
            <v>0</v>
          </cell>
          <cell r="AV444"/>
          <cell r="AX444" t="str">
            <v>Cancel</v>
          </cell>
          <cell r="AY444"/>
          <cell r="AZ444"/>
          <cell r="BA444" t="str">
            <v>Cancel</v>
          </cell>
        </row>
        <row r="445">
          <cell r="B445">
            <v>294</v>
          </cell>
          <cell r="C445" t="str">
            <v>C49SZX20190062ZX</v>
          </cell>
          <cell r="D445" t="str">
            <v>帝泰克</v>
          </cell>
          <cell r="E445" t="str">
            <v>YSM20R(SV)-2</v>
          </cell>
          <cell r="F445" t="str">
            <v>NA</v>
          </cell>
          <cell r="G445" t="e">
            <v>#REF!</v>
          </cell>
          <cell r="H445" t="e">
            <v>#REF!</v>
          </cell>
          <cell r="I445" t="str">
            <v>L-&gt;R</v>
          </cell>
          <cell r="J445" t="str">
            <v>No</v>
          </cell>
          <cell r="K445">
            <v>1</v>
          </cell>
          <cell r="L445" t="str">
            <v>取消</v>
          </cell>
          <cell r="M445" t="e">
            <v>#N/A</v>
          </cell>
          <cell r="N445"/>
          <cell r="O445"/>
          <cell r="P445"/>
          <cell r="R445" t="str">
            <v>No</v>
          </cell>
          <cell r="S445" t="str">
            <v>C49</v>
          </cell>
          <cell r="T445" t="str">
            <v>SOUTH</v>
          </cell>
          <cell r="U445" t="str">
            <v>深圳</v>
          </cell>
          <cell r="V445" t="str">
            <v>SZ 深圳</v>
          </cell>
          <cell r="W445" t="str">
            <v>ZX</v>
          </cell>
          <cell r="X445" t="str">
            <v>JPY</v>
          </cell>
          <cell r="Y445">
            <v>10000000</v>
          </cell>
          <cell r="Z445">
            <v>1</v>
          </cell>
          <cell r="AA445">
            <v>10000000</v>
          </cell>
          <cell r="AB445">
            <v>7.2300000000000003E-2</v>
          </cell>
          <cell r="AC445">
            <v>723000</v>
          </cell>
          <cell r="AD445">
            <v>86760</v>
          </cell>
          <cell r="AE445">
            <v>0.12</v>
          </cell>
          <cell r="AF445">
            <v>43580</v>
          </cell>
          <cell r="AG445" t="str">
            <v>DAP 深圳</v>
          </cell>
          <cell r="AI445"/>
          <cell r="AJ445"/>
          <cell r="AK445">
            <v>0.1</v>
          </cell>
          <cell r="AL445">
            <v>1000000</v>
          </cell>
          <cell r="AM445"/>
          <cell r="AN445" t="str">
            <v>No</v>
          </cell>
          <cell r="AO445">
            <v>0.9</v>
          </cell>
          <cell r="AP445">
            <v>9000000</v>
          </cell>
          <cell r="AR445"/>
          <cell r="AS445"/>
          <cell r="AT445">
            <v>0</v>
          </cell>
          <cell r="AV445"/>
          <cell r="AX445" t="str">
            <v>Cancel</v>
          </cell>
          <cell r="AY445"/>
          <cell r="AZ445"/>
          <cell r="BA445" t="str">
            <v>Cancel</v>
          </cell>
        </row>
        <row r="446">
          <cell r="B446">
            <v>295</v>
          </cell>
          <cell r="C446" t="str">
            <v>C49SZX20190062ZX</v>
          </cell>
          <cell r="D446" t="str">
            <v>帝泰克</v>
          </cell>
          <cell r="E446" t="str">
            <v>YSM20R(SV)-2</v>
          </cell>
          <cell r="F446" t="str">
            <v>NA</v>
          </cell>
          <cell r="G446" t="e">
            <v>#REF!</v>
          </cell>
          <cell r="H446" t="e">
            <v>#REF!</v>
          </cell>
          <cell r="I446" t="str">
            <v>L-&gt;R</v>
          </cell>
          <cell r="J446" t="str">
            <v>No</v>
          </cell>
          <cell r="K446">
            <v>1</v>
          </cell>
          <cell r="L446" t="str">
            <v>取消</v>
          </cell>
          <cell r="M446" t="e">
            <v>#N/A</v>
          </cell>
          <cell r="N446"/>
          <cell r="O446"/>
          <cell r="P446"/>
          <cell r="R446" t="str">
            <v>No</v>
          </cell>
          <cell r="S446" t="str">
            <v>C49</v>
          </cell>
          <cell r="T446" t="str">
            <v>SOUTH</v>
          </cell>
          <cell r="U446" t="str">
            <v>深圳</v>
          </cell>
          <cell r="V446" t="str">
            <v>SZ 深圳</v>
          </cell>
          <cell r="W446" t="str">
            <v>ZX</v>
          </cell>
          <cell r="X446" t="str">
            <v>JPY</v>
          </cell>
          <cell r="Y446">
            <v>10000000</v>
          </cell>
          <cell r="Z446">
            <v>1</v>
          </cell>
          <cell r="AA446">
            <v>10000000</v>
          </cell>
          <cell r="AB446">
            <v>7.2300000000000003E-2</v>
          </cell>
          <cell r="AC446">
            <v>723000</v>
          </cell>
          <cell r="AD446">
            <v>86760</v>
          </cell>
          <cell r="AE446">
            <v>0.12</v>
          </cell>
          <cell r="AF446">
            <v>43580</v>
          </cell>
          <cell r="AG446" t="str">
            <v>DAP 深圳</v>
          </cell>
          <cell r="AI446"/>
          <cell r="AJ446"/>
          <cell r="AK446">
            <v>0.1</v>
          </cell>
          <cell r="AL446">
            <v>1000000</v>
          </cell>
          <cell r="AM446"/>
          <cell r="AN446" t="str">
            <v>No</v>
          </cell>
          <cell r="AO446">
            <v>0.9</v>
          </cell>
          <cell r="AP446">
            <v>9000000</v>
          </cell>
          <cell r="AR446"/>
          <cell r="AS446"/>
          <cell r="AT446">
            <v>0</v>
          </cell>
          <cell r="AV446"/>
          <cell r="AX446" t="str">
            <v>Cancel</v>
          </cell>
          <cell r="AY446"/>
          <cell r="AZ446"/>
          <cell r="BA446" t="str">
            <v>Cancel</v>
          </cell>
        </row>
        <row r="447">
          <cell r="B447">
            <v>296</v>
          </cell>
          <cell r="C447" t="str">
            <v>C28SZX20190047YY</v>
          </cell>
          <cell r="D447" t="str">
            <v>微力创/end user 昶达</v>
          </cell>
          <cell r="E447" t="str">
            <v>Heller 1809MK5</v>
          </cell>
          <cell r="F447" t="str">
            <v>#03479</v>
          </cell>
          <cell r="G447" t="e">
            <v>#REF!</v>
          </cell>
          <cell r="H447" t="e">
            <v>#REF!</v>
          </cell>
          <cell r="I447" t="str">
            <v>R-&gt;L</v>
          </cell>
          <cell r="J447" t="str">
            <v>No</v>
          </cell>
          <cell r="K447">
            <v>1</v>
          </cell>
          <cell r="L447" t="e">
            <v>#N/A</v>
          </cell>
          <cell r="M447" t="e">
            <v>#N/A</v>
          </cell>
          <cell r="N447">
            <v>43640</v>
          </cell>
          <cell r="O447">
            <v>11100302</v>
          </cell>
          <cell r="P447">
            <v>300000</v>
          </cell>
          <cell r="Q447">
            <v>43617</v>
          </cell>
          <cell r="R447" t="str">
            <v>No</v>
          </cell>
          <cell r="S447" t="str">
            <v>C28</v>
          </cell>
          <cell r="T447" t="str">
            <v>SOUTH</v>
          </cell>
          <cell r="U447" t="str">
            <v>深圳</v>
          </cell>
          <cell r="V447" t="str">
            <v>SZ 深圳</v>
          </cell>
          <cell r="W447" t="str">
            <v>YY</v>
          </cell>
          <cell r="X447" t="str">
            <v>RMB</v>
          </cell>
          <cell r="Y447">
            <v>300000</v>
          </cell>
          <cell r="Z447">
            <v>1.1299999999999999</v>
          </cell>
          <cell r="AA447">
            <v>300000</v>
          </cell>
          <cell r="AB447">
            <v>1.1599999999999999</v>
          </cell>
          <cell r="AC447">
            <v>307964.60176991153</v>
          </cell>
          <cell r="AD447">
            <v>36955.75221238938</v>
          </cell>
          <cell r="AE447">
            <v>0.12</v>
          </cell>
          <cell r="AF447">
            <v>43582</v>
          </cell>
          <cell r="AG447" t="str">
            <v>含税到厂</v>
          </cell>
          <cell r="AK447">
            <v>0.3</v>
          </cell>
          <cell r="AL447">
            <v>90000</v>
          </cell>
          <cell r="AM447">
            <v>43556</v>
          </cell>
          <cell r="AN447" t="str">
            <v>Yes</v>
          </cell>
          <cell r="AO447">
            <v>0.65</v>
          </cell>
          <cell r="AP447">
            <v>195000</v>
          </cell>
          <cell r="AQ447">
            <v>43617</v>
          </cell>
          <cell r="AR447">
            <v>43620</v>
          </cell>
          <cell r="AS447">
            <v>0.05</v>
          </cell>
          <cell r="AT447">
            <v>15000</v>
          </cell>
          <cell r="AU447">
            <v>43678</v>
          </cell>
          <cell r="AV447">
            <v>43700</v>
          </cell>
          <cell r="AW447" t="str">
            <v>complete</v>
          </cell>
          <cell r="AX447" t="str">
            <v>Yes</v>
          </cell>
          <cell r="BA447" t="str">
            <v>Yes</v>
          </cell>
        </row>
        <row r="448">
          <cell r="B448">
            <v>297</v>
          </cell>
          <cell r="C448" t="str">
            <v>C49SZX20190061JL</v>
          </cell>
          <cell r="D448" t="str">
            <v>微力创/end user 昶达</v>
          </cell>
          <cell r="E448" t="str">
            <v>YSM20R(SV)-2</v>
          </cell>
          <cell r="F448" t="str">
            <v>#03479</v>
          </cell>
          <cell r="G448" t="e">
            <v>#REF!</v>
          </cell>
          <cell r="H448" t="e">
            <v>#REF!</v>
          </cell>
          <cell r="I448" t="str">
            <v>R-&gt;L</v>
          </cell>
          <cell r="J448" t="str">
            <v>No</v>
          </cell>
          <cell r="K448">
            <v>1</v>
          </cell>
          <cell r="L448">
            <v>109582</v>
          </cell>
          <cell r="M448" t="str">
            <v>JUL 19</v>
          </cell>
          <cell r="N448">
            <v>43651</v>
          </cell>
          <cell r="O448">
            <v>11116307</v>
          </cell>
          <cell r="P448">
            <v>13610000</v>
          </cell>
          <cell r="Q448">
            <v>43647</v>
          </cell>
          <cell r="R448" t="str">
            <v>No</v>
          </cell>
          <cell r="S448" t="str">
            <v>C49</v>
          </cell>
          <cell r="T448" t="str">
            <v>SOUTH</v>
          </cell>
          <cell r="U448" t="str">
            <v>深圳</v>
          </cell>
          <cell r="V448" t="str">
            <v>SZ 深圳</v>
          </cell>
          <cell r="W448" t="str">
            <v>JL</v>
          </cell>
          <cell r="X448" t="str">
            <v>JPY</v>
          </cell>
          <cell r="Y448">
            <v>13610000</v>
          </cell>
          <cell r="Z448">
            <v>1</v>
          </cell>
          <cell r="AA448">
            <v>13610000</v>
          </cell>
          <cell r="AB448">
            <v>7.2300000000000003E-2</v>
          </cell>
          <cell r="AC448">
            <v>984003</v>
          </cell>
          <cell r="AD448">
            <v>118080.36</v>
          </cell>
          <cell r="AE448">
            <v>0.12</v>
          </cell>
          <cell r="AF448">
            <v>43582</v>
          </cell>
          <cell r="AG448" t="str">
            <v>CIF HK</v>
          </cell>
          <cell r="AK448">
            <v>0.3</v>
          </cell>
          <cell r="AL448">
            <v>4083000</v>
          </cell>
          <cell r="AM448">
            <v>43556</v>
          </cell>
          <cell r="AN448" t="str">
            <v>Yes</v>
          </cell>
          <cell r="AO448">
            <v>0.65</v>
          </cell>
          <cell r="AP448">
            <v>8846500</v>
          </cell>
          <cell r="AQ448">
            <v>43647</v>
          </cell>
          <cell r="AR448">
            <v>43649</v>
          </cell>
          <cell r="AS448">
            <v>0.05</v>
          </cell>
          <cell r="AT448">
            <v>680500</v>
          </cell>
          <cell r="AU448">
            <v>43709</v>
          </cell>
          <cell r="AV448" t="str">
            <v>complete</v>
          </cell>
          <cell r="AZ448" t="str">
            <v>Y</v>
          </cell>
          <cell r="BA448" t="str">
            <v>Yes</v>
          </cell>
        </row>
        <row r="449">
          <cell r="B449">
            <v>298</v>
          </cell>
          <cell r="C449" t="str">
            <v>C49SZX20190061JL</v>
          </cell>
          <cell r="D449" t="str">
            <v>微力创/end user 昶达</v>
          </cell>
          <cell r="E449" t="str">
            <v>YSM10</v>
          </cell>
          <cell r="F449" t="str">
            <v>#03479</v>
          </cell>
          <cell r="G449" t="e">
            <v>#REF!</v>
          </cell>
          <cell r="H449" t="e">
            <v>#REF!</v>
          </cell>
          <cell r="I449" t="str">
            <v>L-&gt;R</v>
          </cell>
          <cell r="J449" t="str">
            <v>MVC</v>
          </cell>
          <cell r="K449">
            <v>1</v>
          </cell>
          <cell r="L449">
            <v>109381</v>
          </cell>
          <cell r="M449" t="str">
            <v>MAY 19</v>
          </cell>
          <cell r="N449">
            <v>43599</v>
          </cell>
          <cell r="O449">
            <v>11116300</v>
          </cell>
          <cell r="P449">
            <v>9340000</v>
          </cell>
          <cell r="Q449">
            <v>43586</v>
          </cell>
          <cell r="R449" t="str">
            <v>No</v>
          </cell>
          <cell r="S449" t="str">
            <v>C49</v>
          </cell>
          <cell r="T449" t="str">
            <v>SOUTH</v>
          </cell>
          <cell r="U449" t="str">
            <v>深圳</v>
          </cell>
          <cell r="V449" t="str">
            <v>SZ 深圳</v>
          </cell>
          <cell r="W449" t="str">
            <v>JL</v>
          </cell>
          <cell r="X449" t="str">
            <v>JPY</v>
          </cell>
          <cell r="Y449">
            <v>9340000</v>
          </cell>
          <cell r="Z449">
            <v>1</v>
          </cell>
          <cell r="AA449">
            <v>9340000</v>
          </cell>
          <cell r="AB449">
            <v>7.2300000000000003E-2</v>
          </cell>
          <cell r="AC449">
            <v>675282</v>
          </cell>
          <cell r="AD449">
            <v>81033.84</v>
          </cell>
          <cell r="AE449">
            <v>0.12</v>
          </cell>
          <cell r="AF449">
            <v>43582</v>
          </cell>
          <cell r="AG449" t="str">
            <v>CIF HK</v>
          </cell>
          <cell r="AK449">
            <v>0.3</v>
          </cell>
          <cell r="AL449">
            <v>2802000</v>
          </cell>
          <cell r="AM449">
            <v>43556</v>
          </cell>
          <cell r="AN449" t="str">
            <v>Yes</v>
          </cell>
          <cell r="AO449">
            <v>0.65</v>
          </cell>
          <cell r="AP449">
            <v>6071000</v>
          </cell>
          <cell r="AQ449">
            <v>43586</v>
          </cell>
          <cell r="AR449">
            <v>43594</v>
          </cell>
          <cell r="AS449">
            <v>0.05</v>
          </cell>
          <cell r="AT449">
            <v>467000</v>
          </cell>
          <cell r="AU449">
            <v>43709</v>
          </cell>
          <cell r="AV449" t="str">
            <v>complete</v>
          </cell>
          <cell r="AZ449" t="str">
            <v>Y</v>
          </cell>
          <cell r="BA449" t="str">
            <v>Yes</v>
          </cell>
        </row>
        <row r="450">
          <cell r="B450">
            <v>299</v>
          </cell>
          <cell r="C450" t="str">
            <v>C28BJS20190048LY</v>
          </cell>
          <cell r="D450" t="str">
            <v>青岛融创</v>
          </cell>
          <cell r="E450" t="str">
            <v>Heller 1936MK5</v>
          </cell>
          <cell r="F450" t="str">
            <v>No</v>
          </cell>
          <cell r="G450" t="e">
            <v>#REF!</v>
          </cell>
          <cell r="H450" t="e">
            <v>#REF!</v>
          </cell>
          <cell r="I450" t="str">
            <v>L-&gt;R</v>
          </cell>
          <cell r="J450" t="str">
            <v>No</v>
          </cell>
          <cell r="K450">
            <v>1</v>
          </cell>
          <cell r="L450" t="e">
            <v>#N/A</v>
          </cell>
          <cell r="M450" t="e">
            <v>#N/A</v>
          </cell>
          <cell r="N450">
            <v>43615</v>
          </cell>
          <cell r="O450">
            <v>11100970</v>
          </cell>
          <cell r="P450">
            <v>328000</v>
          </cell>
          <cell r="Q450">
            <v>43586</v>
          </cell>
          <cell r="R450" t="str">
            <v>Yes</v>
          </cell>
          <cell r="S450" t="str">
            <v>C28</v>
          </cell>
          <cell r="T450" t="str">
            <v>NORTH</v>
          </cell>
          <cell r="U450" t="str">
            <v>青岛</v>
          </cell>
          <cell r="V450" t="str">
            <v>BJ 北京</v>
          </cell>
          <cell r="W450" t="str">
            <v>Li Yong</v>
          </cell>
          <cell r="X450" t="str">
            <v>RMB</v>
          </cell>
          <cell r="Y450">
            <v>328000</v>
          </cell>
          <cell r="Z450">
            <v>1.1299999999999999</v>
          </cell>
          <cell r="AA450">
            <v>328000</v>
          </cell>
          <cell r="AB450">
            <v>1.1599999999999999</v>
          </cell>
          <cell r="AC450">
            <v>336707.96460176993</v>
          </cell>
          <cell r="AD450">
            <v>40404.955752212387</v>
          </cell>
          <cell r="AE450">
            <v>0.12</v>
          </cell>
          <cell r="AF450">
            <v>43585</v>
          </cell>
          <cell r="AG450" t="str">
            <v>含税到厂</v>
          </cell>
          <cell r="AK450">
            <v>0.3</v>
          </cell>
          <cell r="AL450">
            <v>98400</v>
          </cell>
          <cell r="AM450">
            <v>43556</v>
          </cell>
          <cell r="AN450" t="str">
            <v>Yes</v>
          </cell>
          <cell r="AO450">
            <v>0.65</v>
          </cell>
          <cell r="AP450">
            <v>213200</v>
          </cell>
          <cell r="AQ450">
            <v>43586</v>
          </cell>
          <cell r="AR450">
            <v>43608</v>
          </cell>
          <cell r="AS450">
            <v>0.05</v>
          </cell>
          <cell r="AT450">
            <v>16400</v>
          </cell>
          <cell r="AU450">
            <v>43647</v>
          </cell>
          <cell r="AV450">
            <v>43664</v>
          </cell>
          <cell r="AW450" t="str">
            <v>complete</v>
          </cell>
          <cell r="AX450" t="str">
            <v>Yes</v>
          </cell>
          <cell r="BA450" t="str">
            <v>Yes</v>
          </cell>
        </row>
        <row r="451">
          <cell r="B451">
            <v>300</v>
          </cell>
          <cell r="C451" t="str">
            <v>C49SZX20190063MZ</v>
          </cell>
          <cell r="D451" t="str">
            <v>明泽</v>
          </cell>
          <cell r="E451" t="str">
            <v>YSM10</v>
          </cell>
          <cell r="F451" t="str">
            <v>#48662</v>
          </cell>
          <cell r="G451" t="e">
            <v>#REF!</v>
          </cell>
          <cell r="H451" t="e">
            <v>#REF!</v>
          </cell>
          <cell r="I451" t="str">
            <v>L-&gt;R</v>
          </cell>
          <cell r="J451" t="str">
            <v>MVC</v>
          </cell>
          <cell r="K451">
            <v>1</v>
          </cell>
          <cell r="L451" t="e">
            <v>#N/A</v>
          </cell>
          <cell r="M451" t="e">
            <v>#N/A</v>
          </cell>
          <cell r="N451"/>
          <cell r="O451"/>
          <cell r="P451"/>
          <cell r="R451" t="str">
            <v>No</v>
          </cell>
          <cell r="S451" t="str">
            <v>C49</v>
          </cell>
          <cell r="T451" t="str">
            <v>SOUTH</v>
          </cell>
          <cell r="U451" t="str">
            <v>深圳</v>
          </cell>
          <cell r="V451" t="str">
            <v>SZ 深圳</v>
          </cell>
          <cell r="W451" t="str">
            <v>MZ</v>
          </cell>
          <cell r="X451" t="str">
            <v>JPY</v>
          </cell>
          <cell r="Y451">
            <v>9225000</v>
          </cell>
          <cell r="Z451">
            <v>1</v>
          </cell>
          <cell r="AA451">
            <v>9225000</v>
          </cell>
          <cell r="AB451">
            <v>7.1599999999999997E-2</v>
          </cell>
          <cell r="AC451">
            <v>660510</v>
          </cell>
          <cell r="AD451">
            <v>79261.2</v>
          </cell>
          <cell r="AE451">
            <v>0.12</v>
          </cell>
          <cell r="AF451">
            <v>43590</v>
          </cell>
          <cell r="AG451" t="str">
            <v>CIF HK</v>
          </cell>
          <cell r="AI451"/>
          <cell r="AJ451"/>
          <cell r="AK451">
            <v>0.3</v>
          </cell>
          <cell r="AL451">
            <v>2767500</v>
          </cell>
          <cell r="AM451"/>
          <cell r="AN451" t="str">
            <v>No</v>
          </cell>
          <cell r="AO451">
            <v>0.7</v>
          </cell>
          <cell r="AP451">
            <v>6457500</v>
          </cell>
          <cell r="AR451"/>
          <cell r="AS451"/>
          <cell r="AT451">
            <v>0</v>
          </cell>
          <cell r="AV451"/>
          <cell r="AX451" t="str">
            <v>Cancel</v>
          </cell>
          <cell r="AY451"/>
          <cell r="AZ451"/>
          <cell r="BA451"/>
        </row>
        <row r="452">
          <cell r="B452">
            <v>301</v>
          </cell>
          <cell r="C452" t="str">
            <v>C49SZX20190063MZ</v>
          </cell>
          <cell r="D452" t="str">
            <v>明泽</v>
          </cell>
          <cell r="E452" t="str">
            <v>YSM10</v>
          </cell>
          <cell r="F452" t="str">
            <v>#48662</v>
          </cell>
          <cell r="G452" t="e">
            <v>#REF!</v>
          </cell>
          <cell r="H452" t="e">
            <v>#REF!</v>
          </cell>
          <cell r="I452" t="str">
            <v>L-&gt;R</v>
          </cell>
          <cell r="J452" t="str">
            <v>MVC</v>
          </cell>
          <cell r="K452">
            <v>1</v>
          </cell>
          <cell r="L452" t="e">
            <v>#N/A</v>
          </cell>
          <cell r="M452" t="e">
            <v>#N/A</v>
          </cell>
          <cell r="N452"/>
          <cell r="O452"/>
          <cell r="P452"/>
          <cell r="R452" t="str">
            <v>No</v>
          </cell>
          <cell r="S452" t="str">
            <v>C49</v>
          </cell>
          <cell r="T452" t="str">
            <v>SOUTH</v>
          </cell>
          <cell r="U452" t="str">
            <v>深圳</v>
          </cell>
          <cell r="V452" t="str">
            <v>SZ 深圳</v>
          </cell>
          <cell r="W452" t="str">
            <v>MZ</v>
          </cell>
          <cell r="X452" t="str">
            <v>JPY</v>
          </cell>
          <cell r="Y452">
            <v>9225000</v>
          </cell>
          <cell r="Z452">
            <v>1</v>
          </cell>
          <cell r="AA452">
            <v>9225000</v>
          </cell>
          <cell r="AB452">
            <v>7.1599999999999997E-2</v>
          </cell>
          <cell r="AC452">
            <v>660510</v>
          </cell>
          <cell r="AD452">
            <v>79261.2</v>
          </cell>
          <cell r="AE452">
            <v>0.12</v>
          </cell>
          <cell r="AF452">
            <v>43590</v>
          </cell>
          <cell r="AG452" t="str">
            <v>CIF HK</v>
          </cell>
          <cell r="AI452"/>
          <cell r="AJ452"/>
          <cell r="AK452">
            <v>0.3</v>
          </cell>
          <cell r="AL452">
            <v>2767500</v>
          </cell>
          <cell r="AM452"/>
          <cell r="AN452" t="str">
            <v>No</v>
          </cell>
          <cell r="AO452">
            <v>0.7</v>
          </cell>
          <cell r="AP452">
            <v>6457500</v>
          </cell>
          <cell r="AR452"/>
          <cell r="AS452"/>
          <cell r="AT452">
            <v>0</v>
          </cell>
          <cell r="AV452"/>
          <cell r="AX452" t="str">
            <v>Cancel</v>
          </cell>
          <cell r="AY452"/>
          <cell r="AZ452"/>
          <cell r="BA452"/>
        </row>
        <row r="453">
          <cell r="B453">
            <v>302</v>
          </cell>
          <cell r="C453" t="str">
            <v>C49SZX20190050SX</v>
          </cell>
          <cell r="D453" t="str">
            <v>丰硕</v>
          </cell>
          <cell r="E453" t="str">
            <v>YSM10</v>
          </cell>
          <cell r="F453" t="str">
            <v>NA</v>
          </cell>
          <cell r="G453" t="e">
            <v>#REF!</v>
          </cell>
          <cell r="H453" t="e">
            <v>#REF!</v>
          </cell>
          <cell r="I453" t="str">
            <v>L-&gt;R</v>
          </cell>
          <cell r="J453" t="str">
            <v>No</v>
          </cell>
          <cell r="K453">
            <v>1</v>
          </cell>
          <cell r="L453">
            <v>109344</v>
          </cell>
          <cell r="M453" t="str">
            <v>JUN 19</v>
          </cell>
          <cell r="N453">
            <v>43640</v>
          </cell>
          <cell r="O453">
            <v>11116304</v>
          </cell>
          <cell r="P453">
            <v>9771600</v>
          </cell>
          <cell r="Q453">
            <v>43617</v>
          </cell>
          <cell r="R453" t="str">
            <v>No</v>
          </cell>
          <cell r="S453" t="str">
            <v>C49</v>
          </cell>
          <cell r="T453" t="str">
            <v>SOUTH</v>
          </cell>
          <cell r="U453" t="str">
            <v>深圳</v>
          </cell>
          <cell r="V453" t="str">
            <v>SZ 深圳</v>
          </cell>
          <cell r="W453" t="str">
            <v>SX</v>
          </cell>
          <cell r="X453" t="str">
            <v>JPY</v>
          </cell>
          <cell r="Y453">
            <v>9771600</v>
          </cell>
          <cell r="Z453">
            <v>1</v>
          </cell>
          <cell r="AA453">
            <v>9771600</v>
          </cell>
          <cell r="AB453">
            <v>7.1599999999999997E-2</v>
          </cell>
          <cell r="AC453">
            <v>699646.55999999994</v>
          </cell>
          <cell r="AD453">
            <v>83957.587199999994</v>
          </cell>
          <cell r="AE453">
            <v>0.12</v>
          </cell>
          <cell r="AF453">
            <v>43587</v>
          </cell>
          <cell r="AG453" t="str">
            <v>DAP SZ</v>
          </cell>
          <cell r="AK453">
            <v>1</v>
          </cell>
          <cell r="AL453">
            <v>9771600</v>
          </cell>
          <cell r="AM453">
            <v>43617</v>
          </cell>
          <cell r="AN453" t="str">
            <v>Yes</v>
          </cell>
          <cell r="AO453" t="str">
            <v>complete</v>
          </cell>
          <cell r="AP453"/>
          <cell r="AQ453"/>
          <cell r="AS453"/>
          <cell r="AT453">
            <v>0</v>
          </cell>
          <cell r="AX453" t="str">
            <v>Yes</v>
          </cell>
          <cell r="AZ453" t="str">
            <v>Y</v>
          </cell>
          <cell r="BA453" t="str">
            <v>Yes</v>
          </cell>
        </row>
        <row r="454">
          <cell r="B454">
            <v>303</v>
          </cell>
          <cell r="C454" t="str">
            <v>C49SZX20190068ZX</v>
          </cell>
          <cell r="D454" t="str">
            <v>梵想</v>
          </cell>
          <cell r="E454" t="str">
            <v>YSM20R(SV)-2</v>
          </cell>
          <cell r="F454" t="str">
            <v>#03695</v>
          </cell>
          <cell r="G454" t="e">
            <v>#REF!</v>
          </cell>
          <cell r="H454" t="e">
            <v>#REF!</v>
          </cell>
          <cell r="I454" t="str">
            <v>L-&gt;R</v>
          </cell>
          <cell r="J454" t="str">
            <v>No</v>
          </cell>
          <cell r="K454">
            <v>1</v>
          </cell>
          <cell r="L454">
            <v>109390</v>
          </cell>
          <cell r="M454" t="str">
            <v>JUL 19</v>
          </cell>
          <cell r="N454">
            <v>43651</v>
          </cell>
          <cell r="O454">
            <v>11116306</v>
          </cell>
          <cell r="P454">
            <v>13350000</v>
          </cell>
          <cell r="Q454">
            <v>43647</v>
          </cell>
          <cell r="R454" t="str">
            <v>Yes</v>
          </cell>
          <cell r="S454" t="str">
            <v>C49</v>
          </cell>
          <cell r="T454" t="str">
            <v>SOUTH</v>
          </cell>
          <cell r="U454" t="str">
            <v>深圳</v>
          </cell>
          <cell r="V454" t="str">
            <v>SZ 深圳</v>
          </cell>
          <cell r="W454" t="str">
            <v>ZX</v>
          </cell>
          <cell r="X454" t="str">
            <v>JPY</v>
          </cell>
          <cell r="Y454">
            <v>13350000</v>
          </cell>
          <cell r="Z454">
            <v>1</v>
          </cell>
          <cell r="AA454">
            <v>13350000</v>
          </cell>
          <cell r="AB454">
            <v>7.1599999999999997E-2</v>
          </cell>
          <cell r="AC454">
            <v>955860</v>
          </cell>
          <cell r="AD454">
            <v>114703.2</v>
          </cell>
          <cell r="AE454">
            <v>0.12</v>
          </cell>
          <cell r="AF454">
            <v>43593</v>
          </cell>
          <cell r="AG454" t="str">
            <v>DAP SZ</v>
          </cell>
          <cell r="AK454">
            <v>0.1</v>
          </cell>
          <cell r="AL454">
            <v>1335000</v>
          </cell>
          <cell r="AM454">
            <v>43647</v>
          </cell>
          <cell r="AN454" t="str">
            <v>Yes</v>
          </cell>
          <cell r="AO454">
            <v>0.8</v>
          </cell>
          <cell r="AP454">
            <v>10680000</v>
          </cell>
          <cell r="AQ454">
            <v>43647</v>
          </cell>
          <cell r="AR454">
            <v>43657</v>
          </cell>
          <cell r="AS454">
            <v>0.1</v>
          </cell>
          <cell r="AT454">
            <v>1335000</v>
          </cell>
          <cell r="AU454">
            <v>43647</v>
          </cell>
          <cell r="AV454">
            <v>43656</v>
          </cell>
          <cell r="AW454" t="str">
            <v>complete</v>
          </cell>
          <cell r="AX454" t="str">
            <v>Yes</v>
          </cell>
          <cell r="AZ454" t="str">
            <v>Y</v>
          </cell>
          <cell r="BA454" t="str">
            <v>Yes</v>
          </cell>
        </row>
        <row r="455">
          <cell r="B455">
            <v>304</v>
          </cell>
          <cell r="C455" t="str">
            <v>C49SZX20190068ZX</v>
          </cell>
          <cell r="D455" t="str">
            <v>梵想</v>
          </cell>
          <cell r="E455" t="str">
            <v>YSM20R(SV)-2</v>
          </cell>
          <cell r="F455" t="str">
            <v>#03695</v>
          </cell>
          <cell r="G455" t="e">
            <v>#REF!</v>
          </cell>
          <cell r="H455" t="e">
            <v>#REF!</v>
          </cell>
          <cell r="I455" t="str">
            <v>L-&gt;R</v>
          </cell>
          <cell r="J455" t="str">
            <v>No</v>
          </cell>
          <cell r="K455">
            <v>1</v>
          </cell>
          <cell r="L455">
            <v>109390</v>
          </cell>
          <cell r="M455" t="str">
            <v>JUL 19</v>
          </cell>
          <cell r="N455">
            <v>43651</v>
          </cell>
          <cell r="O455">
            <v>11116306</v>
          </cell>
          <cell r="P455">
            <v>13350000</v>
          </cell>
          <cell r="Q455">
            <v>43647</v>
          </cell>
          <cell r="R455" t="str">
            <v>Yes</v>
          </cell>
          <cell r="S455" t="str">
            <v>C49</v>
          </cell>
          <cell r="T455" t="str">
            <v>SOUTH</v>
          </cell>
          <cell r="U455" t="str">
            <v>深圳</v>
          </cell>
          <cell r="V455" t="str">
            <v>SZ 深圳</v>
          </cell>
          <cell r="W455" t="str">
            <v>ZX</v>
          </cell>
          <cell r="X455" t="str">
            <v>JPY</v>
          </cell>
          <cell r="Y455">
            <v>13350000</v>
          </cell>
          <cell r="Z455">
            <v>1</v>
          </cell>
          <cell r="AA455">
            <v>13350000</v>
          </cell>
          <cell r="AB455">
            <v>7.1599999999999997E-2</v>
          </cell>
          <cell r="AC455">
            <v>955860</v>
          </cell>
          <cell r="AD455">
            <v>114703.2</v>
          </cell>
          <cell r="AE455">
            <v>0.12</v>
          </cell>
          <cell r="AF455">
            <v>43593</v>
          </cell>
          <cell r="AG455" t="str">
            <v>DAP SZ</v>
          </cell>
          <cell r="AK455">
            <v>0.1</v>
          </cell>
          <cell r="AL455">
            <v>1335000</v>
          </cell>
          <cell r="AM455">
            <v>43647</v>
          </cell>
          <cell r="AN455" t="str">
            <v>Yes</v>
          </cell>
          <cell r="AO455">
            <v>0.8</v>
          </cell>
          <cell r="AP455">
            <v>10680000</v>
          </cell>
          <cell r="AQ455">
            <v>43647</v>
          </cell>
          <cell r="AR455">
            <v>43657</v>
          </cell>
          <cell r="AS455">
            <v>0.1</v>
          </cell>
          <cell r="AT455">
            <v>1335000</v>
          </cell>
          <cell r="AU455">
            <v>43647</v>
          </cell>
          <cell r="AV455">
            <v>43656</v>
          </cell>
          <cell r="AW455" t="str">
            <v>complete</v>
          </cell>
          <cell r="AX455" t="str">
            <v>Yes</v>
          </cell>
          <cell r="AZ455" t="str">
            <v>Y</v>
          </cell>
          <cell r="BA455" t="str">
            <v>Yes</v>
          </cell>
        </row>
        <row r="456">
          <cell r="B456">
            <v>305</v>
          </cell>
          <cell r="C456" t="str">
            <v>C49SZX20190069KW</v>
          </cell>
          <cell r="D456" t="str">
            <v>同基</v>
          </cell>
          <cell r="E456" t="str">
            <v>YSM20R(SV)-2</v>
          </cell>
          <cell r="F456" t="str">
            <v>#03480</v>
          </cell>
          <cell r="G456" t="e">
            <v>#REF!</v>
          </cell>
          <cell r="H456" t="e">
            <v>#REF!</v>
          </cell>
          <cell r="I456" t="str">
            <v>L-&gt;R</v>
          </cell>
          <cell r="J456" t="str">
            <v>No</v>
          </cell>
          <cell r="K456">
            <v>1</v>
          </cell>
          <cell r="L456">
            <v>109336</v>
          </cell>
          <cell r="M456" t="str">
            <v>JUL 19</v>
          </cell>
          <cell r="N456">
            <v>43662</v>
          </cell>
          <cell r="O456">
            <v>11116312</v>
          </cell>
          <cell r="P456">
            <v>15210000</v>
          </cell>
          <cell r="Q456">
            <v>43647</v>
          </cell>
          <cell r="R456" t="str">
            <v>No</v>
          </cell>
          <cell r="S456" t="str">
            <v>C49</v>
          </cell>
          <cell r="T456" t="str">
            <v>SOUTH</v>
          </cell>
          <cell r="U456" t="str">
            <v>深圳</v>
          </cell>
          <cell r="V456" t="str">
            <v>SZ 深圳</v>
          </cell>
          <cell r="W456" t="str">
            <v>KW</v>
          </cell>
          <cell r="X456" t="str">
            <v>JPY</v>
          </cell>
          <cell r="Y456">
            <v>15210000</v>
          </cell>
          <cell r="Z456">
            <v>1</v>
          </cell>
          <cell r="AA456">
            <v>15210000</v>
          </cell>
          <cell r="AB456">
            <v>7.1599999999999997E-2</v>
          </cell>
          <cell r="AC456">
            <v>1089036</v>
          </cell>
          <cell r="AD456">
            <v>130684.31999999999</v>
          </cell>
          <cell r="AE456">
            <v>0.12</v>
          </cell>
          <cell r="AF456">
            <v>43593</v>
          </cell>
          <cell r="AG456" t="str">
            <v>CIF HK</v>
          </cell>
          <cell r="AK456" t="str">
            <v>agree</v>
          </cell>
          <cell r="AL456">
            <v>15500000</v>
          </cell>
          <cell r="AM456">
            <v>43617</v>
          </cell>
          <cell r="AN456" t="str">
            <v>Yes</v>
          </cell>
          <cell r="AO456" t="str">
            <v>agree</v>
          </cell>
          <cell r="AP456">
            <v>37974000</v>
          </cell>
          <cell r="AQ456">
            <v>43647</v>
          </cell>
          <cell r="AR456">
            <v>43658</v>
          </cell>
          <cell r="AS456" t="str">
            <v>complete</v>
          </cell>
          <cell r="AT456"/>
          <cell r="AX456" t="str">
            <v>Yes</v>
          </cell>
          <cell r="AZ456" t="str">
            <v>Y</v>
          </cell>
          <cell r="BA456" t="str">
            <v>Yes</v>
          </cell>
        </row>
        <row r="457">
          <cell r="B457">
            <v>306</v>
          </cell>
          <cell r="C457" t="str">
            <v>C49SZX20190069KW</v>
          </cell>
          <cell r="D457" t="str">
            <v>同基</v>
          </cell>
          <cell r="E457" t="str">
            <v>YSM20R(SV)-2</v>
          </cell>
          <cell r="F457" t="str">
            <v>#03480</v>
          </cell>
          <cell r="G457" t="e">
            <v>#REF!</v>
          </cell>
          <cell r="H457" t="e">
            <v>#REF!</v>
          </cell>
          <cell r="I457" t="str">
            <v>L-&gt;R</v>
          </cell>
          <cell r="J457" t="str">
            <v>No</v>
          </cell>
          <cell r="K457">
            <v>1</v>
          </cell>
          <cell r="L457">
            <v>109336</v>
          </cell>
          <cell r="M457" t="str">
            <v>JUL 19</v>
          </cell>
          <cell r="N457">
            <v>43662</v>
          </cell>
          <cell r="O457">
            <v>11116312</v>
          </cell>
          <cell r="P457">
            <v>15210000</v>
          </cell>
          <cell r="Q457">
            <v>43647</v>
          </cell>
          <cell r="R457" t="str">
            <v>No</v>
          </cell>
          <cell r="S457" t="str">
            <v>C49</v>
          </cell>
          <cell r="T457" t="str">
            <v>SOUTH</v>
          </cell>
          <cell r="U457" t="str">
            <v>深圳</v>
          </cell>
          <cell r="V457" t="str">
            <v>SZ 深圳</v>
          </cell>
          <cell r="W457" t="str">
            <v>KW</v>
          </cell>
          <cell r="X457" t="str">
            <v>JPY</v>
          </cell>
          <cell r="Y457">
            <v>15210000</v>
          </cell>
          <cell r="Z457">
            <v>1</v>
          </cell>
          <cell r="AA457">
            <v>15210000</v>
          </cell>
          <cell r="AB457">
            <v>7.1599999999999997E-2</v>
          </cell>
          <cell r="AC457">
            <v>1089036</v>
          </cell>
          <cell r="AD457">
            <v>130684.31999999999</v>
          </cell>
          <cell r="AE457">
            <v>0.12</v>
          </cell>
          <cell r="AF457">
            <v>43593</v>
          </cell>
          <cell r="AG457" t="str">
            <v>CIF HK</v>
          </cell>
          <cell r="AK457" t="str">
            <v>agree</v>
          </cell>
          <cell r="AL457"/>
          <cell r="AN457" t="str">
            <v>Yes</v>
          </cell>
          <cell r="AO457" t="str">
            <v>agree</v>
          </cell>
          <cell r="AP457">
            <v>15476000</v>
          </cell>
          <cell r="AQ457">
            <v>43617</v>
          </cell>
          <cell r="AR457">
            <v>43642</v>
          </cell>
          <cell r="AS457" t="str">
            <v>complete</v>
          </cell>
          <cell r="AT457"/>
          <cell r="AX457" t="str">
            <v>Yes</v>
          </cell>
          <cell r="AZ457" t="str">
            <v>Y</v>
          </cell>
          <cell r="BA457" t="str">
            <v>Yes</v>
          </cell>
        </row>
        <row r="458">
          <cell r="B458">
            <v>307</v>
          </cell>
          <cell r="C458" t="str">
            <v>C49SZX20190069KW</v>
          </cell>
          <cell r="D458" t="str">
            <v>同基</v>
          </cell>
          <cell r="E458" t="str">
            <v>YSM20R(SV)-2</v>
          </cell>
          <cell r="F458" t="str">
            <v>#03480</v>
          </cell>
          <cell r="G458" t="e">
            <v>#REF!</v>
          </cell>
          <cell r="H458" t="e">
            <v>#REF!</v>
          </cell>
          <cell r="I458" t="str">
            <v>L-&gt;R</v>
          </cell>
          <cell r="J458" t="str">
            <v>No</v>
          </cell>
          <cell r="K458">
            <v>1</v>
          </cell>
          <cell r="L458">
            <v>109336</v>
          </cell>
          <cell r="M458" t="str">
            <v>JUL 19</v>
          </cell>
          <cell r="N458">
            <v>43662</v>
          </cell>
          <cell r="O458">
            <v>11116312</v>
          </cell>
          <cell r="P458">
            <v>15210000</v>
          </cell>
          <cell r="Q458">
            <v>43647</v>
          </cell>
          <cell r="R458" t="str">
            <v>No</v>
          </cell>
          <cell r="S458" t="str">
            <v>C49</v>
          </cell>
          <cell r="T458" t="str">
            <v>SOUTH</v>
          </cell>
          <cell r="U458" t="str">
            <v>深圳</v>
          </cell>
          <cell r="V458" t="str">
            <v>SZ 深圳</v>
          </cell>
          <cell r="W458" t="str">
            <v>KW</v>
          </cell>
          <cell r="X458" t="str">
            <v>JPY</v>
          </cell>
          <cell r="Y458">
            <v>15210000</v>
          </cell>
          <cell r="Z458">
            <v>1</v>
          </cell>
          <cell r="AA458">
            <v>15210000</v>
          </cell>
          <cell r="AB458">
            <v>7.1599999999999997E-2</v>
          </cell>
          <cell r="AC458">
            <v>1089036</v>
          </cell>
          <cell r="AD458">
            <v>130684.31999999999</v>
          </cell>
          <cell r="AE458">
            <v>0.12</v>
          </cell>
          <cell r="AF458">
            <v>43593</v>
          </cell>
          <cell r="AG458" t="str">
            <v>CIF HK</v>
          </cell>
          <cell r="AK458" t="str">
            <v>agree</v>
          </cell>
          <cell r="AL458">
            <v>0</v>
          </cell>
          <cell r="AN458" t="str">
            <v>Yes</v>
          </cell>
          <cell r="AO458" t="str">
            <v>agree</v>
          </cell>
          <cell r="AP458">
            <v>15560000</v>
          </cell>
          <cell r="AQ458">
            <v>43617</v>
          </cell>
          <cell r="AR458">
            <v>43642</v>
          </cell>
          <cell r="AS458" t="str">
            <v>complete</v>
          </cell>
          <cell r="AT458"/>
          <cell r="AX458" t="str">
            <v>Yes</v>
          </cell>
          <cell r="AZ458" t="str">
            <v>Y</v>
          </cell>
          <cell r="BA458" t="str">
            <v>Yes</v>
          </cell>
        </row>
        <row r="459">
          <cell r="B459">
            <v>308</v>
          </cell>
          <cell r="C459" t="str">
            <v>C49SZX20190069KW</v>
          </cell>
          <cell r="D459" t="str">
            <v>同基</v>
          </cell>
          <cell r="E459" t="str">
            <v>YSM10</v>
          </cell>
          <cell r="F459" t="str">
            <v>#03480</v>
          </cell>
          <cell r="G459" t="e">
            <v>#REF!</v>
          </cell>
          <cell r="H459" t="e">
            <v>#REF!</v>
          </cell>
          <cell r="I459" t="str">
            <v>L-&gt;R</v>
          </cell>
          <cell r="J459" t="str">
            <v>MVC+ATS15</v>
          </cell>
          <cell r="K459">
            <v>1</v>
          </cell>
          <cell r="L459">
            <v>109563</v>
          </cell>
          <cell r="M459" t="str">
            <v>JUL 19</v>
          </cell>
          <cell r="N459">
            <v>43662</v>
          </cell>
          <cell r="O459">
            <v>11116312</v>
          </cell>
          <cell r="P459">
            <v>11835000</v>
          </cell>
          <cell r="Q459">
            <v>43647</v>
          </cell>
          <cell r="R459" t="str">
            <v>No</v>
          </cell>
          <cell r="S459" t="str">
            <v>C49</v>
          </cell>
          <cell r="T459" t="str">
            <v>SOUTH</v>
          </cell>
          <cell r="U459" t="str">
            <v>深圳</v>
          </cell>
          <cell r="V459" t="str">
            <v>SZ 深圳</v>
          </cell>
          <cell r="W459" t="str">
            <v>KW</v>
          </cell>
          <cell r="X459" t="str">
            <v>JPY</v>
          </cell>
          <cell r="Y459">
            <v>11835000</v>
          </cell>
          <cell r="Z459">
            <v>1</v>
          </cell>
          <cell r="AA459">
            <v>11835000</v>
          </cell>
          <cell r="AB459">
            <v>7.1599999999999997E-2</v>
          </cell>
          <cell r="AC459">
            <v>847386</v>
          </cell>
          <cell r="AD459">
            <v>101686.31999999999</v>
          </cell>
          <cell r="AE459">
            <v>0.12</v>
          </cell>
          <cell r="AF459">
            <v>43593</v>
          </cell>
          <cell r="AG459" t="str">
            <v>CIF HK</v>
          </cell>
          <cell r="AK459" t="str">
            <v>agree</v>
          </cell>
          <cell r="AL459">
            <v>0</v>
          </cell>
          <cell r="AN459" t="str">
            <v>Yes</v>
          </cell>
          <cell r="AO459" t="str">
            <v>agree</v>
          </cell>
          <cell r="AP459">
            <v>0</v>
          </cell>
          <cell r="AQ459"/>
          <cell r="AS459" t="str">
            <v>complete</v>
          </cell>
          <cell r="AT459"/>
          <cell r="AX459" t="str">
            <v>Yes</v>
          </cell>
          <cell r="AZ459" t="str">
            <v>Y</v>
          </cell>
          <cell r="BA459" t="str">
            <v>Yes</v>
          </cell>
        </row>
        <row r="460">
          <cell r="B460">
            <v>309</v>
          </cell>
          <cell r="C460" t="str">
            <v>C49SZX20190069KW</v>
          </cell>
          <cell r="D460" t="str">
            <v>同基</v>
          </cell>
          <cell r="E460" t="str">
            <v>YSM10</v>
          </cell>
          <cell r="F460" t="str">
            <v>#03480</v>
          </cell>
          <cell r="G460" t="e">
            <v>#REF!</v>
          </cell>
          <cell r="H460" t="e">
            <v>#REF!</v>
          </cell>
          <cell r="I460" t="str">
            <v>L-&gt;R</v>
          </cell>
          <cell r="J460" t="str">
            <v>MVC+ATS15</v>
          </cell>
          <cell r="K460">
            <v>1</v>
          </cell>
          <cell r="L460">
            <v>109563</v>
          </cell>
          <cell r="M460" t="str">
            <v>JUL 19</v>
          </cell>
          <cell r="N460">
            <v>43662</v>
          </cell>
          <cell r="O460">
            <v>11116312</v>
          </cell>
          <cell r="P460">
            <v>11835000</v>
          </cell>
          <cell r="Q460">
            <v>43647</v>
          </cell>
          <cell r="R460" t="str">
            <v>No</v>
          </cell>
          <cell r="S460" t="str">
            <v>C49</v>
          </cell>
          <cell r="T460" t="str">
            <v>SOUTH</v>
          </cell>
          <cell r="U460" t="str">
            <v>深圳</v>
          </cell>
          <cell r="V460" t="str">
            <v>SZ 深圳</v>
          </cell>
          <cell r="W460" t="str">
            <v>KW</v>
          </cell>
          <cell r="X460" t="str">
            <v>JPY</v>
          </cell>
          <cell r="Y460">
            <v>11835000</v>
          </cell>
          <cell r="Z460">
            <v>1</v>
          </cell>
          <cell r="AA460">
            <v>11835000</v>
          </cell>
          <cell r="AB460">
            <v>7.1599999999999997E-2</v>
          </cell>
          <cell r="AC460">
            <v>847386</v>
          </cell>
          <cell r="AD460">
            <v>101686.31999999999</v>
          </cell>
          <cell r="AE460">
            <v>0.12</v>
          </cell>
          <cell r="AF460">
            <v>43593</v>
          </cell>
          <cell r="AG460" t="str">
            <v>CIF HK</v>
          </cell>
          <cell r="AK460" t="str">
            <v>agree</v>
          </cell>
          <cell r="AL460">
            <v>0</v>
          </cell>
          <cell r="AN460" t="str">
            <v>Yes</v>
          </cell>
          <cell r="AO460" t="str">
            <v>agree</v>
          </cell>
          <cell r="AP460">
            <v>0</v>
          </cell>
          <cell r="AQ460"/>
          <cell r="AS460" t="str">
            <v>complete</v>
          </cell>
          <cell r="AT460"/>
          <cell r="AX460" t="str">
            <v>Yes</v>
          </cell>
          <cell r="AZ460" t="str">
            <v>Y</v>
          </cell>
          <cell r="BA460" t="str">
            <v>Yes</v>
          </cell>
        </row>
        <row r="461">
          <cell r="B461">
            <v>310</v>
          </cell>
          <cell r="C461" t="str">
            <v>C49SZX20190072ZX</v>
          </cell>
          <cell r="D461" t="str">
            <v>恒康佳业</v>
          </cell>
          <cell r="E461" t="str">
            <v>YSM10</v>
          </cell>
          <cell r="F461" t="str">
            <v>#03719</v>
          </cell>
          <cell r="G461" t="e">
            <v>#REF!</v>
          </cell>
          <cell r="H461" t="e">
            <v>#REF!</v>
          </cell>
          <cell r="I461" t="str">
            <v>R-&gt;L</v>
          </cell>
          <cell r="J461" t="str">
            <v>MVC+Rear 站位</v>
          </cell>
          <cell r="K461">
            <v>1</v>
          </cell>
          <cell r="L461">
            <v>109566</v>
          </cell>
          <cell r="M461" t="str">
            <v>JUL 19</v>
          </cell>
          <cell r="N461">
            <v>43665</v>
          </cell>
          <cell r="O461">
            <v>11100311</v>
          </cell>
          <cell r="P461">
            <v>720000</v>
          </cell>
          <cell r="Q461">
            <v>43647</v>
          </cell>
          <cell r="R461" t="str">
            <v>Yes</v>
          </cell>
          <cell r="S461" t="str">
            <v>C49</v>
          </cell>
          <cell r="T461" t="str">
            <v>SOUTH</v>
          </cell>
          <cell r="U461" t="str">
            <v>深圳</v>
          </cell>
          <cell r="V461" t="str">
            <v>SZ 深圳</v>
          </cell>
          <cell r="W461" t="str">
            <v>ZX</v>
          </cell>
          <cell r="X461" t="str">
            <v>RMB</v>
          </cell>
          <cell r="Y461">
            <v>720000</v>
          </cell>
          <cell r="Z461">
            <v>1.1299999999999999</v>
          </cell>
          <cell r="AA461">
            <v>720000</v>
          </cell>
          <cell r="AB461">
            <v>1.135</v>
          </cell>
          <cell r="AC461">
            <v>723185.84070796461</v>
          </cell>
          <cell r="AD461">
            <v>86782.300884955752</v>
          </cell>
          <cell r="AE461">
            <v>0.12</v>
          </cell>
          <cell r="AF461">
            <v>43596</v>
          </cell>
          <cell r="AG461" t="str">
            <v>含税到厂</v>
          </cell>
          <cell r="AK461">
            <v>0.2</v>
          </cell>
          <cell r="AL461">
            <v>144000</v>
          </cell>
          <cell r="AM461">
            <v>43586</v>
          </cell>
          <cell r="AN461" t="str">
            <v>Yes</v>
          </cell>
          <cell r="AO461">
            <v>0.8</v>
          </cell>
          <cell r="AP461">
            <v>576000</v>
          </cell>
          <cell r="AQ461">
            <v>43647</v>
          </cell>
          <cell r="AR461">
            <v>43664</v>
          </cell>
          <cell r="AS461" t="str">
            <v>complete</v>
          </cell>
          <cell r="AT461"/>
          <cell r="AX461" t="str">
            <v>Yes</v>
          </cell>
          <cell r="AZ461" t="str">
            <v>Y</v>
          </cell>
          <cell r="BA461" t="str">
            <v>Yes</v>
          </cell>
        </row>
        <row r="462">
          <cell r="B462">
            <v>311</v>
          </cell>
          <cell r="C462" t="str">
            <v>C49SZX20190071SX</v>
          </cell>
          <cell r="D462" t="str">
            <v>东陆</v>
          </cell>
          <cell r="E462" t="str">
            <v>YSM10</v>
          </cell>
          <cell r="F462" t="str">
            <v>#76624</v>
          </cell>
          <cell r="G462" t="e">
            <v>#REF!</v>
          </cell>
          <cell r="H462" t="e">
            <v>#REF!</v>
          </cell>
          <cell r="I462" t="str">
            <v>L-&gt;R</v>
          </cell>
          <cell r="J462" t="str">
            <v>No</v>
          </cell>
          <cell r="K462">
            <v>1</v>
          </cell>
          <cell r="L462">
            <v>109344</v>
          </cell>
          <cell r="M462" t="str">
            <v>JUN 19</v>
          </cell>
          <cell r="N462">
            <v>43642</v>
          </cell>
          <cell r="O462">
            <v>11116305</v>
          </cell>
          <cell r="P462">
            <v>9579840</v>
          </cell>
          <cell r="Q462">
            <v>43617</v>
          </cell>
          <cell r="R462" t="str">
            <v>Yes</v>
          </cell>
          <cell r="S462" t="str">
            <v>C49</v>
          </cell>
          <cell r="T462" t="str">
            <v>SOUTH</v>
          </cell>
          <cell r="U462" t="str">
            <v>深圳</v>
          </cell>
          <cell r="V462" t="str">
            <v>SZ 深圳</v>
          </cell>
          <cell r="W462" t="str">
            <v>SX</v>
          </cell>
          <cell r="X462" t="str">
            <v>JPY</v>
          </cell>
          <cell r="Y462">
            <v>9579840</v>
          </cell>
          <cell r="Z462">
            <v>1</v>
          </cell>
          <cell r="AA462">
            <v>9579840</v>
          </cell>
          <cell r="AB462">
            <v>7.1599999999999997E-2</v>
          </cell>
          <cell r="AC462">
            <v>685916.54399999999</v>
          </cell>
          <cell r="AD462">
            <v>82309.985279999994</v>
          </cell>
          <cell r="AE462">
            <v>0.12</v>
          </cell>
          <cell r="AF462">
            <v>43600</v>
          </cell>
          <cell r="AG462" t="str">
            <v>DAP SZ</v>
          </cell>
          <cell r="AK462">
            <v>0.2</v>
          </cell>
          <cell r="AL462">
            <v>1915968</v>
          </cell>
          <cell r="AM462">
            <v>43586</v>
          </cell>
          <cell r="AN462" t="str">
            <v>Yes</v>
          </cell>
          <cell r="AO462">
            <v>0.8</v>
          </cell>
          <cell r="AP462">
            <v>7663872</v>
          </cell>
          <cell r="AQ462">
            <v>43617</v>
          </cell>
          <cell r="AR462">
            <v>43641</v>
          </cell>
          <cell r="AS462" t="str">
            <v>complete</v>
          </cell>
          <cell r="AT462"/>
          <cell r="AX462" t="str">
            <v>Yes</v>
          </cell>
          <cell r="AZ462" t="str">
            <v>Y</v>
          </cell>
          <cell r="BA462" t="str">
            <v>Yes</v>
          </cell>
        </row>
        <row r="463">
          <cell r="B463">
            <v>312</v>
          </cell>
          <cell r="C463" t="str">
            <v>C49SZX20190076SS</v>
          </cell>
          <cell r="D463" t="str">
            <v>嘉兴</v>
          </cell>
          <cell r="E463" t="str">
            <v>YSM10</v>
          </cell>
          <cell r="F463" t="str">
            <v>#03672</v>
          </cell>
          <cell r="G463" t="e">
            <v>#REF!</v>
          </cell>
          <cell r="H463" t="e">
            <v>#REF!</v>
          </cell>
          <cell r="I463" t="str">
            <v>L-&gt;R</v>
          </cell>
          <cell r="J463" t="str">
            <v>MVC</v>
          </cell>
          <cell r="K463">
            <v>1</v>
          </cell>
          <cell r="L463">
            <v>109588</v>
          </cell>
          <cell r="M463" t="str">
            <v>OCT 19</v>
          </cell>
          <cell r="N463">
            <v>43753</v>
          </cell>
          <cell r="O463">
            <v>11100341</v>
          </cell>
          <cell r="P463">
            <v>550000</v>
          </cell>
          <cell r="Q463">
            <v>43739</v>
          </cell>
          <cell r="R463" t="str">
            <v>Yes</v>
          </cell>
          <cell r="S463" t="str">
            <v>C49</v>
          </cell>
          <cell r="T463" t="str">
            <v>SOUTH</v>
          </cell>
          <cell r="U463" t="str">
            <v>惠州</v>
          </cell>
          <cell r="V463" t="str">
            <v>SZ 深圳</v>
          </cell>
          <cell r="W463" t="str">
            <v>SS</v>
          </cell>
          <cell r="X463" t="str">
            <v>RMB</v>
          </cell>
          <cell r="Y463">
            <v>550000</v>
          </cell>
          <cell r="Z463">
            <v>1.1299999999999999</v>
          </cell>
          <cell r="AA463">
            <v>550000</v>
          </cell>
          <cell r="AB463">
            <v>1.1599999999999999</v>
          </cell>
          <cell r="AC463">
            <v>564601.76991150447</v>
          </cell>
          <cell r="AD463">
            <v>67752.21238938054</v>
          </cell>
          <cell r="AE463">
            <v>0.12</v>
          </cell>
          <cell r="AF463">
            <v>43600</v>
          </cell>
          <cell r="AG463" t="str">
            <v>含税到厂</v>
          </cell>
          <cell r="AK463" t="str">
            <v>agree</v>
          </cell>
          <cell r="AL463">
            <v>100000</v>
          </cell>
          <cell r="AM463">
            <v>43678</v>
          </cell>
          <cell r="AN463" t="str">
            <v>Yes</v>
          </cell>
          <cell r="AO463">
            <v>0.8</v>
          </cell>
          <cell r="AP463">
            <v>440000</v>
          </cell>
          <cell r="AQ463">
            <v>43739</v>
          </cell>
          <cell r="AR463">
            <v>43749</v>
          </cell>
          <cell r="AS463" t="str">
            <v>complete</v>
          </cell>
          <cell r="AT463"/>
          <cell r="AX463" t="str">
            <v>Yes</v>
          </cell>
          <cell r="AZ463" t="str">
            <v>Y</v>
          </cell>
          <cell r="BA463" t="str">
            <v>Yes</v>
          </cell>
        </row>
        <row r="464">
          <cell r="B464">
            <v>313</v>
          </cell>
          <cell r="C464" t="str">
            <v>C49SZX20190076SS</v>
          </cell>
          <cell r="D464" t="str">
            <v>嘉兴</v>
          </cell>
          <cell r="E464" t="str">
            <v>YSM20R(SV)-2</v>
          </cell>
          <cell r="F464" t="str">
            <v>#03672</v>
          </cell>
          <cell r="G464" t="e">
            <v>#REF!</v>
          </cell>
          <cell r="H464" t="e">
            <v>#REF!</v>
          </cell>
          <cell r="I464" t="str">
            <v>L-&gt;R</v>
          </cell>
          <cell r="J464" t="str">
            <v>No</v>
          </cell>
          <cell r="K464">
            <v>1</v>
          </cell>
          <cell r="L464">
            <v>109602</v>
          </cell>
          <cell r="M464" t="str">
            <v>OCT 19</v>
          </cell>
          <cell r="N464">
            <v>43753</v>
          </cell>
          <cell r="O464">
            <v>11100341</v>
          </cell>
          <cell r="P464">
            <v>944400</v>
          </cell>
          <cell r="Q464">
            <v>43739</v>
          </cell>
          <cell r="R464" t="str">
            <v>Yes</v>
          </cell>
          <cell r="S464" t="str">
            <v>C49</v>
          </cell>
          <cell r="T464" t="str">
            <v>SOUTH</v>
          </cell>
          <cell r="U464" t="str">
            <v>惠州</v>
          </cell>
          <cell r="V464" t="str">
            <v>SZ 深圳</v>
          </cell>
          <cell r="W464" t="str">
            <v>SS</v>
          </cell>
          <cell r="X464" t="str">
            <v>RMB</v>
          </cell>
          <cell r="Y464">
            <v>944400</v>
          </cell>
          <cell r="Z464">
            <v>1.1299999999999999</v>
          </cell>
          <cell r="AA464">
            <v>944400</v>
          </cell>
          <cell r="AB464">
            <v>1.1599999999999999</v>
          </cell>
          <cell r="AC464">
            <v>969472.5663716814</v>
          </cell>
          <cell r="AD464">
            <v>116336.70796460177</v>
          </cell>
          <cell r="AE464">
            <v>0.12</v>
          </cell>
          <cell r="AF464">
            <v>43600</v>
          </cell>
          <cell r="AG464" t="str">
            <v>含税到厂</v>
          </cell>
          <cell r="AK464" t="str">
            <v>agree</v>
          </cell>
          <cell r="AL464">
            <v>248880</v>
          </cell>
          <cell r="AM464">
            <v>43739</v>
          </cell>
          <cell r="AN464" t="str">
            <v>Yes</v>
          </cell>
          <cell r="AO464">
            <v>0.8</v>
          </cell>
          <cell r="AP464">
            <v>755520</v>
          </cell>
          <cell r="AQ464">
            <v>43739</v>
          </cell>
          <cell r="AR464">
            <v>43749</v>
          </cell>
          <cell r="AS464" t="str">
            <v>complete</v>
          </cell>
          <cell r="AT464"/>
          <cell r="AX464" t="str">
            <v>Yes</v>
          </cell>
          <cell r="AZ464" t="str">
            <v>Y</v>
          </cell>
          <cell r="BA464" t="str">
            <v>Yes</v>
          </cell>
        </row>
        <row r="465">
          <cell r="B465">
            <v>314</v>
          </cell>
          <cell r="C465" t="str">
            <v>C49SZX20190066MZ</v>
          </cell>
          <cell r="D465" t="str">
            <v>派诺</v>
          </cell>
          <cell r="E465" t="str">
            <v>YSM10</v>
          </cell>
          <cell r="F465" t="str">
            <v>#17202</v>
          </cell>
          <cell r="G465" t="e">
            <v>#REF!</v>
          </cell>
          <cell r="H465" t="e">
            <v>#REF!</v>
          </cell>
          <cell r="I465" t="str">
            <v>R-&gt;L</v>
          </cell>
          <cell r="J465" t="str">
            <v>Rear站位</v>
          </cell>
          <cell r="K465">
            <v>1</v>
          </cell>
          <cell r="L465">
            <v>109454</v>
          </cell>
          <cell r="M465" t="str">
            <v>JUN 19</v>
          </cell>
          <cell r="N465">
            <v>43631</v>
          </cell>
          <cell r="O465">
            <v>11100295</v>
          </cell>
          <cell r="P465">
            <v>843000</v>
          </cell>
          <cell r="Q465">
            <v>43617</v>
          </cell>
          <cell r="R465" t="str">
            <v>No</v>
          </cell>
          <cell r="S465" t="str">
            <v>C49</v>
          </cell>
          <cell r="T465" t="str">
            <v>SOUTH</v>
          </cell>
          <cell r="U465" t="str">
            <v>珠海</v>
          </cell>
          <cell r="V465" t="str">
            <v>SZ 深圳</v>
          </cell>
          <cell r="W465" t="str">
            <v>MZ</v>
          </cell>
          <cell r="X465" t="str">
            <v>RMB</v>
          </cell>
          <cell r="Y465">
            <v>843000</v>
          </cell>
          <cell r="Z465">
            <v>1.1299999999999999</v>
          </cell>
          <cell r="AA465">
            <v>843000</v>
          </cell>
          <cell r="AB465">
            <v>1.1599999999999999</v>
          </cell>
          <cell r="AC465">
            <v>865380.53097345133</v>
          </cell>
          <cell r="AD465">
            <v>103845.66371681416</v>
          </cell>
          <cell r="AE465">
            <v>0.12</v>
          </cell>
          <cell r="AF465">
            <v>43600</v>
          </cell>
          <cell r="AG465" t="str">
            <v>含税到厂</v>
          </cell>
          <cell r="AK465">
            <v>0.3</v>
          </cell>
          <cell r="AL465">
            <v>252900</v>
          </cell>
          <cell r="AM465">
            <v>43586</v>
          </cell>
          <cell r="AN465" t="str">
            <v>Yes</v>
          </cell>
          <cell r="AO465">
            <v>0.65</v>
          </cell>
          <cell r="AP465">
            <v>547950</v>
          </cell>
          <cell r="AQ465">
            <v>43617</v>
          </cell>
          <cell r="AR465">
            <v>43628</v>
          </cell>
          <cell r="AS465" t="str">
            <v>agree</v>
          </cell>
          <cell r="AT465">
            <v>42150</v>
          </cell>
          <cell r="AU465">
            <v>43831</v>
          </cell>
          <cell r="AV465">
            <v>43836</v>
          </cell>
          <cell r="AZ465" t="str">
            <v>Y</v>
          </cell>
          <cell r="BA465" t="str">
            <v>Yes</v>
          </cell>
        </row>
        <row r="466">
          <cell r="B466">
            <v>315</v>
          </cell>
          <cell r="C466" t="str">
            <v>C49SZX20190069KW</v>
          </cell>
          <cell r="D466" t="str">
            <v>同基</v>
          </cell>
          <cell r="E466" t="str">
            <v>YSM20R(SV)-2</v>
          </cell>
          <cell r="F466" t="str">
            <v>#03480</v>
          </cell>
          <cell r="G466" t="e">
            <v>#REF!</v>
          </cell>
          <cell r="H466" t="e">
            <v>#REF!</v>
          </cell>
          <cell r="I466" t="str">
            <v>L-&gt;R</v>
          </cell>
          <cell r="J466" t="str">
            <v>No</v>
          </cell>
          <cell r="K466">
            <v>1</v>
          </cell>
          <cell r="L466">
            <v>109336</v>
          </cell>
          <cell r="M466" t="str">
            <v>JUL 19</v>
          </cell>
          <cell r="N466">
            <v>43662</v>
          </cell>
          <cell r="O466">
            <v>11116312</v>
          </cell>
          <cell r="P466">
            <v>15210000</v>
          </cell>
          <cell r="Q466">
            <v>43647</v>
          </cell>
          <cell r="R466" t="str">
            <v>No</v>
          </cell>
          <cell r="S466" t="str">
            <v>C49</v>
          </cell>
          <cell r="T466" t="str">
            <v>SOUTH</v>
          </cell>
          <cell r="U466" t="str">
            <v>深圳</v>
          </cell>
          <cell r="V466" t="str">
            <v>SZ 深圳</v>
          </cell>
          <cell r="W466" t="str">
            <v>KW</v>
          </cell>
          <cell r="X466" t="str">
            <v>JPY</v>
          </cell>
          <cell r="Y466">
            <v>15210000</v>
          </cell>
          <cell r="Z466">
            <v>1</v>
          </cell>
          <cell r="AA466">
            <v>15210000</v>
          </cell>
          <cell r="AB466">
            <v>7.1599999999999997E-2</v>
          </cell>
          <cell r="AC466">
            <v>1089036</v>
          </cell>
          <cell r="AD466">
            <v>130684.31999999999</v>
          </cell>
          <cell r="AE466">
            <v>0.12</v>
          </cell>
          <cell r="AF466">
            <v>43593</v>
          </cell>
          <cell r="AG466" t="str">
            <v>CIF HK</v>
          </cell>
          <cell r="AK466" t="str">
            <v>agree</v>
          </cell>
          <cell r="AL466">
            <v>0</v>
          </cell>
          <cell r="AN466" t="str">
            <v>Yes</v>
          </cell>
          <cell r="AO466" t="str">
            <v>agree</v>
          </cell>
          <cell r="AP466">
            <v>0</v>
          </cell>
          <cell r="AQ466"/>
          <cell r="AS466" t="str">
            <v>complete</v>
          </cell>
          <cell r="AT466"/>
          <cell r="AX466" t="str">
            <v>Yes</v>
          </cell>
          <cell r="AZ466" t="str">
            <v>Y</v>
          </cell>
          <cell r="BA466" t="str">
            <v>Yes</v>
          </cell>
        </row>
        <row r="467">
          <cell r="B467">
            <v>316</v>
          </cell>
          <cell r="C467" t="str">
            <v>C49SZX20190078ZX</v>
          </cell>
          <cell r="D467" t="str">
            <v>雅鑫特/End user 帝泰克</v>
          </cell>
          <cell r="E467" t="str">
            <v>YSM10</v>
          </cell>
          <cell r="F467" t="str">
            <v>NA</v>
          </cell>
          <cell r="G467" t="e">
            <v>#REF!</v>
          </cell>
          <cell r="H467" t="e">
            <v>#REF!</v>
          </cell>
          <cell r="I467" t="str">
            <v>L-&gt;R</v>
          </cell>
          <cell r="J467" t="str">
            <v>MVC</v>
          </cell>
          <cell r="K467">
            <v>1</v>
          </cell>
          <cell r="L467" t="str">
            <v>取消</v>
          </cell>
          <cell r="M467" t="e">
            <v>#N/A</v>
          </cell>
          <cell r="N467"/>
          <cell r="O467"/>
          <cell r="P467"/>
          <cell r="R467" t="str">
            <v>No</v>
          </cell>
          <cell r="S467" t="str">
            <v>C49</v>
          </cell>
          <cell r="T467" t="str">
            <v>SOUTH</v>
          </cell>
          <cell r="U467" t="str">
            <v>深圳</v>
          </cell>
          <cell r="V467" t="str">
            <v>SZ 深圳</v>
          </cell>
          <cell r="W467" t="str">
            <v>ZX</v>
          </cell>
          <cell r="X467" t="str">
            <v>JPY</v>
          </cell>
          <cell r="Y467">
            <v>9000000</v>
          </cell>
          <cell r="Z467">
            <v>1</v>
          </cell>
          <cell r="AA467">
            <v>9000000</v>
          </cell>
          <cell r="AB467">
            <v>7.1599999999999997E-2</v>
          </cell>
          <cell r="AC467">
            <v>644400</v>
          </cell>
          <cell r="AD467">
            <v>77328</v>
          </cell>
          <cell r="AE467">
            <v>0.12</v>
          </cell>
          <cell r="AF467">
            <v>43607</v>
          </cell>
          <cell r="AG467" t="str">
            <v>CIF HK</v>
          </cell>
          <cell r="AI467"/>
          <cell r="AJ467"/>
          <cell r="AK467" t="str">
            <v>agree</v>
          </cell>
          <cell r="AL467">
            <v>1495172</v>
          </cell>
          <cell r="AM467">
            <v>43586</v>
          </cell>
          <cell r="AN467" t="str">
            <v>Yes</v>
          </cell>
          <cell r="AO467">
            <v>0.9</v>
          </cell>
          <cell r="AP467">
            <v>8100000</v>
          </cell>
          <cell r="AR467"/>
          <cell r="AS467"/>
          <cell r="AT467">
            <v>0</v>
          </cell>
          <cell r="AV467"/>
          <cell r="AX467" t="str">
            <v>Cancel</v>
          </cell>
          <cell r="AY467"/>
          <cell r="AZ467"/>
          <cell r="BA467" t="str">
            <v>Cancel</v>
          </cell>
        </row>
        <row r="468">
          <cell r="B468">
            <v>317</v>
          </cell>
          <cell r="C468" t="str">
            <v>C49SZX20190078ZX</v>
          </cell>
          <cell r="D468" t="str">
            <v>雅鑫特/End user 帝泰克</v>
          </cell>
          <cell r="E468" t="str">
            <v>YSM10</v>
          </cell>
          <cell r="F468" t="str">
            <v>NA</v>
          </cell>
          <cell r="G468" t="e">
            <v>#REF!</v>
          </cell>
          <cell r="H468" t="e">
            <v>#REF!</v>
          </cell>
          <cell r="I468" t="str">
            <v>L-&gt;R</v>
          </cell>
          <cell r="J468" t="str">
            <v>No</v>
          </cell>
          <cell r="K468">
            <v>1</v>
          </cell>
          <cell r="L468" t="str">
            <v>取消</v>
          </cell>
          <cell r="M468" t="e">
            <v>#N/A</v>
          </cell>
          <cell r="N468"/>
          <cell r="O468"/>
          <cell r="P468"/>
          <cell r="R468" t="str">
            <v>No</v>
          </cell>
          <cell r="S468" t="str">
            <v>C49</v>
          </cell>
          <cell r="T468" t="str">
            <v>SOUTH</v>
          </cell>
          <cell r="U468" t="str">
            <v>深圳</v>
          </cell>
          <cell r="V468" t="str">
            <v>SZ 深圳</v>
          </cell>
          <cell r="W468" t="str">
            <v>ZX</v>
          </cell>
          <cell r="X468" t="str">
            <v>JPY</v>
          </cell>
          <cell r="Y468">
            <v>9000000</v>
          </cell>
          <cell r="Z468">
            <v>1</v>
          </cell>
          <cell r="AA468">
            <v>9000000</v>
          </cell>
          <cell r="AB468">
            <v>7.1599999999999997E-2</v>
          </cell>
          <cell r="AC468">
            <v>644400</v>
          </cell>
          <cell r="AD468">
            <v>77328</v>
          </cell>
          <cell r="AE468">
            <v>0.12</v>
          </cell>
          <cell r="AF468">
            <v>43607</v>
          </cell>
          <cell r="AG468" t="str">
            <v>CIF HK</v>
          </cell>
          <cell r="AI468"/>
          <cell r="AJ468"/>
          <cell r="AK468" t="str">
            <v>agree</v>
          </cell>
          <cell r="AL468">
            <v>504828</v>
          </cell>
          <cell r="AM468"/>
          <cell r="AN468" t="str">
            <v>No</v>
          </cell>
          <cell r="AO468">
            <v>0.9</v>
          </cell>
          <cell r="AP468">
            <v>8100000</v>
          </cell>
          <cell r="AR468"/>
          <cell r="AS468"/>
          <cell r="AT468">
            <v>0</v>
          </cell>
          <cell r="AV468"/>
          <cell r="AX468" t="str">
            <v>Cancel</v>
          </cell>
          <cell r="AY468"/>
          <cell r="AZ468"/>
          <cell r="BA468" t="str">
            <v>Cancel</v>
          </cell>
        </row>
        <row r="469">
          <cell r="B469">
            <v>318</v>
          </cell>
          <cell r="C469" t="str">
            <v>C49SZX20190078ZX</v>
          </cell>
          <cell r="D469" t="str">
            <v>雅鑫特/End user 帝泰克</v>
          </cell>
          <cell r="E469" t="str">
            <v>YSM20R(SV)-2</v>
          </cell>
          <cell r="F469" t="str">
            <v>NA</v>
          </cell>
          <cell r="G469" t="e">
            <v>#REF!</v>
          </cell>
          <cell r="H469" t="e">
            <v>#REF!</v>
          </cell>
          <cell r="I469" t="str">
            <v>L-&gt;R</v>
          </cell>
          <cell r="J469" t="str">
            <v>No</v>
          </cell>
          <cell r="K469">
            <v>1</v>
          </cell>
          <cell r="L469" t="str">
            <v>取消</v>
          </cell>
          <cell r="M469" t="e">
            <v>#N/A</v>
          </cell>
          <cell r="N469"/>
          <cell r="O469"/>
          <cell r="P469"/>
          <cell r="R469" t="str">
            <v>No</v>
          </cell>
          <cell r="S469" t="str">
            <v>C49</v>
          </cell>
          <cell r="T469" t="str">
            <v>SOUTH</v>
          </cell>
          <cell r="U469" t="str">
            <v>深圳</v>
          </cell>
          <cell r="V469" t="str">
            <v>SZ 深圳</v>
          </cell>
          <cell r="W469" t="str">
            <v>ZX</v>
          </cell>
          <cell r="X469" t="str">
            <v>JPY</v>
          </cell>
          <cell r="Y469">
            <v>13275000</v>
          </cell>
          <cell r="Z469">
            <v>1</v>
          </cell>
          <cell r="AA469">
            <v>13275000</v>
          </cell>
          <cell r="AB469">
            <v>7.1599999999999997E-2</v>
          </cell>
          <cell r="AC469">
            <v>950490</v>
          </cell>
          <cell r="AD469">
            <v>114058.8</v>
          </cell>
          <cell r="AE469">
            <v>0.12</v>
          </cell>
          <cell r="AF469">
            <v>43607</v>
          </cell>
          <cell r="AG469" t="str">
            <v>CIF HK</v>
          </cell>
          <cell r="AI469"/>
          <cell r="AJ469"/>
          <cell r="AK469">
            <v>0.1</v>
          </cell>
          <cell r="AL469">
            <v>1327500</v>
          </cell>
          <cell r="AM469"/>
          <cell r="AN469" t="str">
            <v>No</v>
          </cell>
          <cell r="AO469">
            <v>0.9</v>
          </cell>
          <cell r="AP469">
            <v>11947500</v>
          </cell>
          <cell r="AR469"/>
          <cell r="AS469"/>
          <cell r="AT469">
            <v>0</v>
          </cell>
          <cell r="AV469"/>
          <cell r="AX469" t="str">
            <v>Cancel</v>
          </cell>
          <cell r="AY469"/>
          <cell r="AZ469"/>
          <cell r="BA469" t="str">
            <v>Cancel</v>
          </cell>
        </row>
        <row r="470">
          <cell r="B470">
            <v>319</v>
          </cell>
          <cell r="C470" t="str">
            <v>C49SZX20190078ZX</v>
          </cell>
          <cell r="D470" t="str">
            <v>雅鑫特/End user 帝泰克</v>
          </cell>
          <cell r="E470" t="str">
            <v>YSM20R(SV)-2</v>
          </cell>
          <cell r="F470" t="str">
            <v>NA</v>
          </cell>
          <cell r="G470" t="e">
            <v>#REF!</v>
          </cell>
          <cell r="H470" t="e">
            <v>#REF!</v>
          </cell>
          <cell r="I470" t="str">
            <v>L-&gt;R</v>
          </cell>
          <cell r="J470" t="str">
            <v>No</v>
          </cell>
          <cell r="K470">
            <v>1</v>
          </cell>
          <cell r="L470" t="str">
            <v>取消</v>
          </cell>
          <cell r="M470" t="e">
            <v>#N/A</v>
          </cell>
          <cell r="N470"/>
          <cell r="O470"/>
          <cell r="P470"/>
          <cell r="R470" t="str">
            <v>No</v>
          </cell>
          <cell r="S470" t="str">
            <v>C49</v>
          </cell>
          <cell r="T470" t="str">
            <v>SOUTH</v>
          </cell>
          <cell r="U470" t="str">
            <v>深圳</v>
          </cell>
          <cell r="V470" t="str">
            <v>SZ 深圳</v>
          </cell>
          <cell r="W470" t="str">
            <v>ZX</v>
          </cell>
          <cell r="X470" t="str">
            <v>JPY</v>
          </cell>
          <cell r="Y470">
            <v>13275000</v>
          </cell>
          <cell r="Z470">
            <v>1</v>
          </cell>
          <cell r="AA470">
            <v>13275000</v>
          </cell>
          <cell r="AB470">
            <v>7.1599999999999997E-2</v>
          </cell>
          <cell r="AC470">
            <v>950490</v>
          </cell>
          <cell r="AD470">
            <v>114058.8</v>
          </cell>
          <cell r="AE470">
            <v>0.12</v>
          </cell>
          <cell r="AF470">
            <v>43607</v>
          </cell>
          <cell r="AG470" t="str">
            <v>CIF HK</v>
          </cell>
          <cell r="AI470"/>
          <cell r="AJ470"/>
          <cell r="AK470">
            <v>0.1</v>
          </cell>
          <cell r="AL470">
            <v>1327500</v>
          </cell>
          <cell r="AM470"/>
          <cell r="AN470" t="str">
            <v>No</v>
          </cell>
          <cell r="AO470">
            <v>0.9</v>
          </cell>
          <cell r="AP470">
            <v>11947500</v>
          </cell>
          <cell r="AR470"/>
          <cell r="AS470"/>
          <cell r="AT470">
            <v>0</v>
          </cell>
          <cell r="AV470"/>
          <cell r="AX470" t="str">
            <v>Cancel</v>
          </cell>
          <cell r="AY470"/>
          <cell r="AZ470"/>
          <cell r="BA470" t="str">
            <v>Cancel</v>
          </cell>
        </row>
        <row r="471">
          <cell r="B471">
            <v>320</v>
          </cell>
          <cell r="C471" t="str">
            <v>C49SZX20190077SX</v>
          </cell>
          <cell r="D471" t="str">
            <v>An Lin东莞安林</v>
          </cell>
          <cell r="E471" t="str">
            <v>YSM10</v>
          </cell>
          <cell r="F471" t="str">
            <v>#81064</v>
          </cell>
          <cell r="G471" t="e">
            <v>#REF!</v>
          </cell>
          <cell r="H471" t="e">
            <v>#REF!</v>
          </cell>
          <cell r="I471" t="str">
            <v>R-&gt;L</v>
          </cell>
          <cell r="J471" t="str">
            <v>MVC</v>
          </cell>
          <cell r="K471">
            <v>1</v>
          </cell>
          <cell r="L471">
            <v>109454</v>
          </cell>
          <cell r="M471" t="str">
            <v>JUN 19</v>
          </cell>
          <cell r="N471">
            <v>43622</v>
          </cell>
          <cell r="O471">
            <v>11100292</v>
          </cell>
          <cell r="P471">
            <v>760000</v>
          </cell>
          <cell r="Q471">
            <v>43617</v>
          </cell>
          <cell r="R471" t="str">
            <v>Yes</v>
          </cell>
          <cell r="S471" t="str">
            <v>C49</v>
          </cell>
          <cell r="T471" t="str">
            <v>SOUTH</v>
          </cell>
          <cell r="U471" t="str">
            <v>東莞</v>
          </cell>
          <cell r="V471" t="str">
            <v>SZ 深圳</v>
          </cell>
          <cell r="W471" t="str">
            <v>SX</v>
          </cell>
          <cell r="X471" t="str">
            <v>RMB</v>
          </cell>
          <cell r="Y471">
            <v>760000</v>
          </cell>
          <cell r="Z471">
            <v>1.1299999999999999</v>
          </cell>
          <cell r="AA471">
            <v>760000</v>
          </cell>
          <cell r="AB471">
            <v>1.1599999999999999</v>
          </cell>
          <cell r="AC471">
            <v>780176.99115044239</v>
          </cell>
          <cell r="AD471">
            <v>93621.23893805308</v>
          </cell>
          <cell r="AE471">
            <v>0.12</v>
          </cell>
          <cell r="AF471">
            <v>43607</v>
          </cell>
          <cell r="AG471" t="str">
            <v>含税到厂</v>
          </cell>
          <cell r="AK471" t="str">
            <v>agree</v>
          </cell>
          <cell r="AL471">
            <v>260000</v>
          </cell>
          <cell r="AM471">
            <v>43586</v>
          </cell>
          <cell r="AN471" t="str">
            <v>Yes</v>
          </cell>
          <cell r="AO471" t="str">
            <v>agree</v>
          </cell>
          <cell r="AP471">
            <v>1500000</v>
          </cell>
          <cell r="AQ471">
            <v>43586</v>
          </cell>
          <cell r="AR471">
            <v>43615</v>
          </cell>
          <cell r="AS471" t="str">
            <v>complete</v>
          </cell>
          <cell r="AT471"/>
          <cell r="AX471" t="str">
            <v>Yes</v>
          </cell>
          <cell r="AZ471" t="str">
            <v>Y</v>
          </cell>
          <cell r="BA471" t="str">
            <v>Yes</v>
          </cell>
        </row>
        <row r="472">
          <cell r="B472">
            <v>321</v>
          </cell>
          <cell r="C472" t="str">
            <v>C49SZX20190077SX</v>
          </cell>
          <cell r="D472" t="str">
            <v>An Lin东莞安林</v>
          </cell>
          <cell r="E472" t="str">
            <v>YSM20R(SV)-2</v>
          </cell>
          <cell r="F472" t="str">
            <v>#81064</v>
          </cell>
          <cell r="G472" t="e">
            <v>#REF!</v>
          </cell>
          <cell r="H472" t="e">
            <v>#REF!</v>
          </cell>
          <cell r="I472" t="str">
            <v>R-&gt;L</v>
          </cell>
          <cell r="J472" t="str">
            <v>No</v>
          </cell>
          <cell r="K472">
            <v>1</v>
          </cell>
          <cell r="L472">
            <v>109553</v>
          </cell>
          <cell r="M472" t="str">
            <v>JUN 19</v>
          </cell>
          <cell r="N472">
            <v>43622</v>
          </cell>
          <cell r="O472">
            <v>11100292</v>
          </cell>
          <cell r="P472">
            <v>1000000</v>
          </cell>
          <cell r="Q472">
            <v>43617</v>
          </cell>
          <cell r="R472" t="str">
            <v>Yes</v>
          </cell>
          <cell r="S472" t="str">
            <v>C49</v>
          </cell>
          <cell r="T472" t="str">
            <v>SOUTH</v>
          </cell>
          <cell r="U472" t="str">
            <v>東莞</v>
          </cell>
          <cell r="V472" t="str">
            <v>SZ 深圳</v>
          </cell>
          <cell r="W472" t="str">
            <v>SX</v>
          </cell>
          <cell r="X472" t="str">
            <v>RMB</v>
          </cell>
          <cell r="Y472">
            <v>1000000</v>
          </cell>
          <cell r="Z472">
            <v>1.1299999999999999</v>
          </cell>
          <cell r="AA472">
            <v>1000000</v>
          </cell>
          <cell r="AB472">
            <v>1.1599999999999999</v>
          </cell>
          <cell r="AC472">
            <v>1026548.6725663717</v>
          </cell>
          <cell r="AD472">
            <v>123185.8407079646</v>
          </cell>
          <cell r="AE472">
            <v>0.12</v>
          </cell>
          <cell r="AF472">
            <v>43607</v>
          </cell>
          <cell r="AG472" t="str">
            <v>含税到厂</v>
          </cell>
          <cell r="AK472">
            <v>0</v>
          </cell>
          <cell r="AL472"/>
          <cell r="AM472">
            <v>43586</v>
          </cell>
          <cell r="AN472" t="str">
            <v>Yes</v>
          </cell>
          <cell r="AO472">
            <v>0</v>
          </cell>
          <cell r="AP472">
            <v>0</v>
          </cell>
          <cell r="AQ472"/>
          <cell r="AS472" t="str">
            <v>complete</v>
          </cell>
          <cell r="AT472"/>
          <cell r="AX472" t="str">
            <v>Yes</v>
          </cell>
          <cell r="AZ472" t="str">
            <v>Y</v>
          </cell>
          <cell r="BA472" t="str">
            <v>Yes</v>
          </cell>
        </row>
        <row r="473">
          <cell r="B473">
            <v>322</v>
          </cell>
          <cell r="C473" t="str">
            <v>C49SZX20190065JY</v>
          </cell>
          <cell r="D473" t="str">
            <v>旭日</v>
          </cell>
          <cell r="E473" t="str">
            <v>YSM20R(SV)-2</v>
          </cell>
          <cell r="F473" t="str">
            <v>#03817</v>
          </cell>
          <cell r="G473" t="e">
            <v>#REF!</v>
          </cell>
          <cell r="H473" t="e">
            <v>#REF!</v>
          </cell>
          <cell r="I473" t="str">
            <v>L-&gt;R</v>
          </cell>
          <cell r="J473" t="str">
            <v>MVC</v>
          </cell>
          <cell r="K473">
            <v>1</v>
          </cell>
          <cell r="L473">
            <v>109497</v>
          </cell>
          <cell r="M473" t="str">
            <v>JUL 19</v>
          </cell>
          <cell r="N473">
            <v>43650</v>
          </cell>
          <cell r="O473">
            <v>11100345</v>
          </cell>
          <cell r="P473">
            <v>938000</v>
          </cell>
          <cell r="Q473">
            <v>43739</v>
          </cell>
          <cell r="R473" t="str">
            <v>No</v>
          </cell>
          <cell r="S473" t="str">
            <v>C49</v>
          </cell>
          <cell r="T473" t="str">
            <v>SOUTH</v>
          </cell>
          <cell r="U473" t="str">
            <v>深圳</v>
          </cell>
          <cell r="V473" t="str">
            <v>SZ 深圳</v>
          </cell>
          <cell r="W473" t="str">
            <v>JY</v>
          </cell>
          <cell r="X473" t="str">
            <v>RMB</v>
          </cell>
          <cell r="Y473">
            <v>938000</v>
          </cell>
          <cell r="Z473">
            <v>1</v>
          </cell>
          <cell r="AA473">
            <v>938000</v>
          </cell>
          <cell r="AB473">
            <v>1.1299999999999999</v>
          </cell>
          <cell r="AC473">
            <v>1059940</v>
          </cell>
          <cell r="AD473">
            <v>127192.79999999999</v>
          </cell>
          <cell r="AE473">
            <v>0.12</v>
          </cell>
          <cell r="AF473">
            <v>43607</v>
          </cell>
          <cell r="AG473" t="str">
            <v>含税到厂</v>
          </cell>
          <cell r="AK473" t="str">
            <v>agree</v>
          </cell>
          <cell r="AL473">
            <v>200000</v>
          </cell>
          <cell r="AM473">
            <v>43617</v>
          </cell>
          <cell r="AN473" t="str">
            <v>Yes</v>
          </cell>
          <cell r="AO473" t="str">
            <v>agree</v>
          </cell>
          <cell r="AP473">
            <v>738000</v>
          </cell>
          <cell r="AQ473">
            <v>43647</v>
          </cell>
          <cell r="AR473">
            <v>43649</v>
          </cell>
          <cell r="AS473" t="str">
            <v>complete</v>
          </cell>
          <cell r="AT473"/>
          <cell r="AX473" t="str">
            <v>Yes</v>
          </cell>
          <cell r="AZ473" t="str">
            <v>Y</v>
          </cell>
          <cell r="BA473" t="str">
            <v>Yes</v>
          </cell>
        </row>
        <row r="474">
          <cell r="B474">
            <v>323</v>
          </cell>
          <cell r="C474" t="str">
            <v>C49SZX20190073JL</v>
          </cell>
          <cell r="D474" t="str">
            <v>力通威</v>
          </cell>
          <cell r="E474" t="str">
            <v>YSM10</v>
          </cell>
          <cell r="F474" t="str">
            <v>#18122</v>
          </cell>
          <cell r="G474" t="e">
            <v>#REF!</v>
          </cell>
          <cell r="H474" t="e">
            <v>#REF!</v>
          </cell>
          <cell r="I474" t="str">
            <v>R-&gt;L</v>
          </cell>
          <cell r="J474" t="str">
            <v>MVC</v>
          </cell>
          <cell r="K474">
            <v>1</v>
          </cell>
          <cell r="L474">
            <v>109344</v>
          </cell>
          <cell r="M474" t="str">
            <v>JUN 19</v>
          </cell>
          <cell r="N474">
            <v>43629</v>
          </cell>
          <cell r="O474">
            <v>11100294</v>
          </cell>
          <cell r="P474">
            <v>600000</v>
          </cell>
          <cell r="Q474">
            <v>43617</v>
          </cell>
          <cell r="R474" t="str">
            <v>No</v>
          </cell>
          <cell r="S474" t="str">
            <v>C49</v>
          </cell>
          <cell r="T474" t="str">
            <v>SOUTH</v>
          </cell>
          <cell r="U474" t="str">
            <v>深圳</v>
          </cell>
          <cell r="V474" t="str">
            <v>SZ 深圳</v>
          </cell>
          <cell r="W474" t="str">
            <v>JL</v>
          </cell>
          <cell r="X474" t="str">
            <v>RMB</v>
          </cell>
          <cell r="Y474">
            <v>600000</v>
          </cell>
          <cell r="Z474">
            <v>1.1299999999999999</v>
          </cell>
          <cell r="AA474">
            <v>600000</v>
          </cell>
          <cell r="AB474">
            <v>1.1599999999999999</v>
          </cell>
          <cell r="AC474">
            <v>615929.20353982307</v>
          </cell>
          <cell r="AD474">
            <v>73911.504424778759</v>
          </cell>
          <cell r="AE474">
            <v>0.12</v>
          </cell>
          <cell r="AF474">
            <v>43612</v>
          </cell>
          <cell r="AG474" t="str">
            <v>含税到厂</v>
          </cell>
          <cell r="AK474">
            <v>0.3</v>
          </cell>
          <cell r="AL474">
            <v>180000</v>
          </cell>
          <cell r="AM474">
            <v>43617</v>
          </cell>
          <cell r="AN474" t="str">
            <v>Yes</v>
          </cell>
          <cell r="AO474">
            <v>0.6</v>
          </cell>
          <cell r="AP474">
            <v>360000</v>
          </cell>
          <cell r="AQ474">
            <v>43617</v>
          </cell>
          <cell r="AR474">
            <v>43627</v>
          </cell>
          <cell r="AS474">
            <v>0.1</v>
          </cell>
          <cell r="AT474">
            <v>60000</v>
          </cell>
          <cell r="AU474">
            <v>43678</v>
          </cell>
          <cell r="AV474" t="str">
            <v>complete</v>
          </cell>
          <cell r="AZ474" t="str">
            <v>Y</v>
          </cell>
          <cell r="BA474" t="str">
            <v>Yes</v>
          </cell>
        </row>
        <row r="475">
          <cell r="B475">
            <v>324</v>
          </cell>
          <cell r="C475" t="str">
            <v>C49SZX20190073JL</v>
          </cell>
          <cell r="D475" t="str">
            <v>力通威</v>
          </cell>
          <cell r="E475" t="str">
            <v>YSM10</v>
          </cell>
          <cell r="F475" t="str">
            <v>#18122</v>
          </cell>
          <cell r="G475" t="e">
            <v>#REF!</v>
          </cell>
          <cell r="H475" t="e">
            <v>#REF!</v>
          </cell>
          <cell r="I475" t="str">
            <v>L-&gt;R</v>
          </cell>
          <cell r="J475" t="str">
            <v>MVC</v>
          </cell>
          <cell r="K475">
            <v>1</v>
          </cell>
          <cell r="L475">
            <v>109344</v>
          </cell>
          <cell r="M475" t="str">
            <v>JUN 19</v>
          </cell>
          <cell r="N475">
            <v>43629</v>
          </cell>
          <cell r="O475">
            <v>11100294</v>
          </cell>
          <cell r="P475">
            <v>600000</v>
          </cell>
          <cell r="Q475">
            <v>43617</v>
          </cell>
          <cell r="R475" t="str">
            <v>No</v>
          </cell>
          <cell r="S475" t="str">
            <v>C49</v>
          </cell>
          <cell r="T475" t="str">
            <v>SOUTH</v>
          </cell>
          <cell r="U475" t="str">
            <v>深圳</v>
          </cell>
          <cell r="V475" t="str">
            <v>SZ 深圳</v>
          </cell>
          <cell r="W475" t="str">
            <v>JL</v>
          </cell>
          <cell r="X475" t="str">
            <v>RMB</v>
          </cell>
          <cell r="Y475">
            <v>600000</v>
          </cell>
          <cell r="Z475">
            <v>1.1299999999999999</v>
          </cell>
          <cell r="AA475">
            <v>600000</v>
          </cell>
          <cell r="AB475">
            <v>1.1599999999999999</v>
          </cell>
          <cell r="AC475">
            <v>615929.20353982307</v>
          </cell>
          <cell r="AD475">
            <v>73911.504424778759</v>
          </cell>
          <cell r="AE475">
            <v>0.12</v>
          </cell>
          <cell r="AF475">
            <v>43612</v>
          </cell>
          <cell r="AG475" t="str">
            <v>含税到厂</v>
          </cell>
          <cell r="AK475">
            <v>0.3</v>
          </cell>
          <cell r="AL475">
            <v>180000</v>
          </cell>
          <cell r="AM475">
            <v>43617</v>
          </cell>
          <cell r="AN475" t="str">
            <v>Yes</v>
          </cell>
          <cell r="AO475">
            <v>0.6</v>
          </cell>
          <cell r="AP475">
            <v>360000</v>
          </cell>
          <cell r="AQ475">
            <v>43617</v>
          </cell>
          <cell r="AR475">
            <v>43627</v>
          </cell>
          <cell r="AS475">
            <v>0.1</v>
          </cell>
          <cell r="AT475">
            <v>60000</v>
          </cell>
          <cell r="AU475">
            <v>43678</v>
          </cell>
          <cell r="AV475" t="str">
            <v>complete</v>
          </cell>
          <cell r="AZ475" t="str">
            <v>Y</v>
          </cell>
          <cell r="BA475" t="str">
            <v>Yes</v>
          </cell>
        </row>
        <row r="476">
          <cell r="B476">
            <v>325</v>
          </cell>
          <cell r="C476" t="str">
            <v>C49SZX20190073JL</v>
          </cell>
          <cell r="D476" t="str">
            <v>力通威</v>
          </cell>
          <cell r="E476" t="str">
            <v>YSM10</v>
          </cell>
          <cell r="F476" t="str">
            <v>#18122</v>
          </cell>
          <cell r="G476" t="e">
            <v>#REF!</v>
          </cell>
          <cell r="H476" t="e">
            <v>#REF!</v>
          </cell>
          <cell r="I476" t="str">
            <v>L-&gt;R</v>
          </cell>
          <cell r="J476" t="str">
            <v>No</v>
          </cell>
          <cell r="K476">
            <v>1</v>
          </cell>
          <cell r="L476">
            <v>109344</v>
          </cell>
          <cell r="M476" t="str">
            <v>JUN 19</v>
          </cell>
          <cell r="N476">
            <v>43629</v>
          </cell>
          <cell r="O476">
            <v>11100294</v>
          </cell>
          <cell r="P476">
            <v>600000</v>
          </cell>
          <cell r="Q476">
            <v>43617</v>
          </cell>
          <cell r="R476" t="str">
            <v>No</v>
          </cell>
          <cell r="S476" t="str">
            <v>C49</v>
          </cell>
          <cell r="T476" t="str">
            <v>SOUTH</v>
          </cell>
          <cell r="U476" t="str">
            <v>深圳</v>
          </cell>
          <cell r="V476" t="str">
            <v>SZ 深圳</v>
          </cell>
          <cell r="W476" t="str">
            <v>JL</v>
          </cell>
          <cell r="X476" t="str">
            <v>RMB</v>
          </cell>
          <cell r="Y476">
            <v>600000</v>
          </cell>
          <cell r="Z476">
            <v>1.1299999999999999</v>
          </cell>
          <cell r="AA476">
            <v>600000</v>
          </cell>
          <cell r="AB476">
            <v>1.1599999999999999</v>
          </cell>
          <cell r="AC476">
            <v>615929.20353982307</v>
          </cell>
          <cell r="AD476">
            <v>73911.504424778759</v>
          </cell>
          <cell r="AE476">
            <v>0.12</v>
          </cell>
          <cell r="AF476">
            <v>43612</v>
          </cell>
          <cell r="AG476" t="str">
            <v>含税到厂</v>
          </cell>
          <cell r="AK476">
            <v>0.3</v>
          </cell>
          <cell r="AL476">
            <v>180000</v>
          </cell>
          <cell r="AM476">
            <v>43617</v>
          </cell>
          <cell r="AN476" t="str">
            <v>Yes</v>
          </cell>
          <cell r="AO476">
            <v>0.6</v>
          </cell>
          <cell r="AP476">
            <v>360000</v>
          </cell>
          <cell r="AQ476">
            <v>43617</v>
          </cell>
          <cell r="AR476">
            <v>43627</v>
          </cell>
          <cell r="AS476">
            <v>0.1</v>
          </cell>
          <cell r="AT476">
            <v>60000</v>
          </cell>
          <cell r="AU476">
            <v>43678</v>
          </cell>
          <cell r="AV476" t="str">
            <v>complete</v>
          </cell>
          <cell r="AZ476" t="str">
            <v>Y</v>
          </cell>
          <cell r="BA476" t="str">
            <v>Yes</v>
          </cell>
        </row>
        <row r="477">
          <cell r="B477">
            <v>326</v>
          </cell>
          <cell r="C477" t="str">
            <v>C49SZX20190073JL</v>
          </cell>
          <cell r="D477" t="str">
            <v>力通威</v>
          </cell>
          <cell r="E477" t="str">
            <v>YSM20R(SV)-2</v>
          </cell>
          <cell r="F477" t="str">
            <v>#18122</v>
          </cell>
          <cell r="G477" t="e">
            <v>#REF!</v>
          </cell>
          <cell r="H477" t="e">
            <v>#REF!</v>
          </cell>
          <cell r="I477" t="str">
            <v>L-&gt;R</v>
          </cell>
          <cell r="J477" t="str">
            <v>No</v>
          </cell>
          <cell r="K477">
            <v>1</v>
          </cell>
          <cell r="L477">
            <v>109263</v>
          </cell>
          <cell r="M477" t="str">
            <v>JUN 19</v>
          </cell>
          <cell r="N477">
            <v>43629</v>
          </cell>
          <cell r="O477">
            <v>11100294</v>
          </cell>
          <cell r="P477">
            <v>820000</v>
          </cell>
          <cell r="Q477">
            <v>43617</v>
          </cell>
          <cell r="R477" t="str">
            <v>No</v>
          </cell>
          <cell r="S477" t="str">
            <v>C49</v>
          </cell>
          <cell r="T477" t="str">
            <v>SOUTH</v>
          </cell>
          <cell r="U477" t="str">
            <v>深圳</v>
          </cell>
          <cell r="V477" t="str">
            <v>SZ 深圳</v>
          </cell>
          <cell r="W477" t="str">
            <v>JL</v>
          </cell>
          <cell r="X477" t="str">
            <v>RMB</v>
          </cell>
          <cell r="Y477">
            <v>820000</v>
          </cell>
          <cell r="Z477">
            <v>1.1299999999999999</v>
          </cell>
          <cell r="AA477">
            <v>820000</v>
          </cell>
          <cell r="AB477">
            <v>1.1599999999999999</v>
          </cell>
          <cell r="AC477">
            <v>841769.91150442488</v>
          </cell>
          <cell r="AD477">
            <v>101012.38938053098</v>
          </cell>
          <cell r="AE477">
            <v>0.12</v>
          </cell>
          <cell r="AF477">
            <v>43612</v>
          </cell>
          <cell r="AG477" t="str">
            <v>含税到厂</v>
          </cell>
          <cell r="AK477">
            <v>0.3</v>
          </cell>
          <cell r="AL477">
            <v>246000</v>
          </cell>
          <cell r="AM477">
            <v>43617</v>
          </cell>
          <cell r="AN477" t="str">
            <v>Yes</v>
          </cell>
          <cell r="AO477">
            <v>0.6</v>
          </cell>
          <cell r="AP477">
            <v>492000</v>
          </cell>
          <cell r="AQ477">
            <v>43617</v>
          </cell>
          <cell r="AR477">
            <v>43627</v>
          </cell>
          <cell r="AS477">
            <v>0.1</v>
          </cell>
          <cell r="AT477">
            <v>82000</v>
          </cell>
          <cell r="AU477">
            <v>43678</v>
          </cell>
          <cell r="AV477" t="str">
            <v>complete</v>
          </cell>
          <cell r="AZ477" t="str">
            <v>Y</v>
          </cell>
          <cell r="BA477" t="str">
            <v>Yes</v>
          </cell>
        </row>
        <row r="478">
          <cell r="B478">
            <v>327</v>
          </cell>
          <cell r="C478" t="str">
            <v>C49SZX20190075ZX</v>
          </cell>
          <cell r="D478" t="str">
            <v>宽宏/End user:亿联</v>
          </cell>
          <cell r="E478" t="str">
            <v>YSM10</v>
          </cell>
          <cell r="F478" t="str">
            <v>#80565</v>
          </cell>
          <cell r="G478" t="e">
            <v>#REF!</v>
          </cell>
          <cell r="H478" t="e">
            <v>#REF!</v>
          </cell>
          <cell r="I478" t="str">
            <v>L-&gt;R</v>
          </cell>
          <cell r="J478" t="str">
            <v>MVC+ATS15</v>
          </cell>
          <cell r="K478">
            <v>1</v>
          </cell>
          <cell r="L478">
            <v>109454</v>
          </cell>
          <cell r="M478" t="str">
            <v>JUN 19</v>
          </cell>
          <cell r="N478">
            <v>43627</v>
          </cell>
          <cell r="O478">
            <v>11116301</v>
          </cell>
          <cell r="P478">
            <v>9000000</v>
          </cell>
          <cell r="Q478">
            <v>43617</v>
          </cell>
          <cell r="R478" t="str">
            <v>Yes</v>
          </cell>
          <cell r="S478" t="str">
            <v>C49</v>
          </cell>
          <cell r="T478" t="str">
            <v>SOUTH</v>
          </cell>
          <cell r="U478" t="str">
            <v>深圳</v>
          </cell>
          <cell r="V478" t="str">
            <v>SZ 深圳</v>
          </cell>
          <cell r="W478" t="str">
            <v>ZX</v>
          </cell>
          <cell r="X478" t="str">
            <v>JPY</v>
          </cell>
          <cell r="Y478">
            <v>9000000</v>
          </cell>
          <cell r="Z478">
            <v>1</v>
          </cell>
          <cell r="AA478">
            <v>9000000</v>
          </cell>
          <cell r="AB478">
            <v>7.1599999999999997E-2</v>
          </cell>
          <cell r="AC478">
            <v>644400</v>
          </cell>
          <cell r="AD478">
            <v>77328</v>
          </cell>
          <cell r="AE478">
            <v>0.12</v>
          </cell>
          <cell r="AF478">
            <v>43612</v>
          </cell>
          <cell r="AG478" t="str">
            <v>CIF HK</v>
          </cell>
          <cell r="AK478">
            <v>0.1</v>
          </cell>
          <cell r="AL478">
            <v>900000</v>
          </cell>
          <cell r="AM478">
            <v>43586</v>
          </cell>
          <cell r="AN478" t="str">
            <v>Yes</v>
          </cell>
          <cell r="AO478">
            <v>0.9</v>
          </cell>
          <cell r="AP478">
            <v>8100000</v>
          </cell>
          <cell r="AQ478">
            <v>43617</v>
          </cell>
          <cell r="AR478">
            <v>43627</v>
          </cell>
          <cell r="AS478" t="str">
            <v>complete</v>
          </cell>
          <cell r="AT478"/>
          <cell r="AX478" t="str">
            <v>Yes</v>
          </cell>
          <cell r="AZ478" t="str">
            <v>Y</v>
          </cell>
          <cell r="BA478" t="str">
            <v>Yes</v>
          </cell>
        </row>
        <row r="479">
          <cell r="B479">
            <v>328</v>
          </cell>
          <cell r="C479" t="str">
            <v>C49SZX20190075ZX</v>
          </cell>
          <cell r="D479" t="str">
            <v>宽宏/End user:亿联</v>
          </cell>
          <cell r="E479" t="str">
            <v>YSM20R(SV)-2</v>
          </cell>
          <cell r="F479" t="str">
            <v>#80565</v>
          </cell>
          <cell r="G479" t="e">
            <v>#REF!</v>
          </cell>
          <cell r="H479" t="e">
            <v>#REF!</v>
          </cell>
          <cell r="I479" t="str">
            <v>L-&gt;R</v>
          </cell>
          <cell r="J479" t="str">
            <v>No</v>
          </cell>
          <cell r="K479">
            <v>1</v>
          </cell>
          <cell r="L479">
            <v>109247</v>
          </cell>
          <cell r="M479" t="str">
            <v>JUN 19</v>
          </cell>
          <cell r="N479">
            <v>43627</v>
          </cell>
          <cell r="O479">
            <v>11116301</v>
          </cell>
          <cell r="P479">
            <v>13500000</v>
          </cell>
          <cell r="Q479">
            <v>43617</v>
          </cell>
          <cell r="R479" t="str">
            <v>Yes</v>
          </cell>
          <cell r="S479" t="str">
            <v>C49</v>
          </cell>
          <cell r="T479" t="str">
            <v>SOUTH</v>
          </cell>
          <cell r="U479" t="str">
            <v>深圳</v>
          </cell>
          <cell r="V479" t="str">
            <v>SZ 深圳</v>
          </cell>
          <cell r="W479" t="str">
            <v>ZX</v>
          </cell>
          <cell r="X479" t="str">
            <v>JPY</v>
          </cell>
          <cell r="Y479">
            <v>13500000</v>
          </cell>
          <cell r="Z479">
            <v>1</v>
          </cell>
          <cell r="AA479">
            <v>13500000</v>
          </cell>
          <cell r="AB479">
            <v>7.1599999999999997E-2</v>
          </cell>
          <cell r="AC479">
            <v>966600</v>
          </cell>
          <cell r="AD479">
            <v>115992</v>
          </cell>
          <cell r="AE479">
            <v>0.12</v>
          </cell>
          <cell r="AF479">
            <v>43612</v>
          </cell>
          <cell r="AG479" t="str">
            <v>CIF HK</v>
          </cell>
          <cell r="AK479">
            <v>0.1</v>
          </cell>
          <cell r="AL479">
            <v>1350000</v>
          </cell>
          <cell r="AM479">
            <v>43586</v>
          </cell>
          <cell r="AN479" t="str">
            <v>Yes</v>
          </cell>
          <cell r="AO479">
            <v>0.9</v>
          </cell>
          <cell r="AP479">
            <v>12150000</v>
          </cell>
          <cell r="AQ479">
            <v>43617</v>
          </cell>
          <cell r="AR479">
            <v>43627</v>
          </cell>
          <cell r="AS479" t="str">
            <v>complete</v>
          </cell>
          <cell r="AT479"/>
          <cell r="AX479" t="str">
            <v>Yes</v>
          </cell>
          <cell r="AZ479" t="str">
            <v>Y</v>
          </cell>
          <cell r="BA479" t="str">
            <v>Yes</v>
          </cell>
        </row>
        <row r="480">
          <cell r="B480">
            <v>329</v>
          </cell>
          <cell r="C480" t="str">
            <v>C49SZX20190075ZX</v>
          </cell>
          <cell r="D480" t="str">
            <v>宽宏/End user:亿联</v>
          </cell>
          <cell r="E480" t="str">
            <v>YSM20R(SV)-2</v>
          </cell>
          <cell r="F480" t="str">
            <v>#80565</v>
          </cell>
          <cell r="G480" t="e">
            <v>#REF!</v>
          </cell>
          <cell r="H480" t="e">
            <v>#REF!</v>
          </cell>
          <cell r="I480" t="str">
            <v>L-&gt;R</v>
          </cell>
          <cell r="J480" t="str">
            <v>No</v>
          </cell>
          <cell r="K480">
            <v>1</v>
          </cell>
          <cell r="L480">
            <v>109247</v>
          </cell>
          <cell r="M480" t="str">
            <v>JUN 19</v>
          </cell>
          <cell r="N480">
            <v>43627</v>
          </cell>
          <cell r="O480">
            <v>11116301</v>
          </cell>
          <cell r="P480">
            <v>13500000</v>
          </cell>
          <cell r="Q480">
            <v>43617</v>
          </cell>
          <cell r="R480" t="str">
            <v>Yes</v>
          </cell>
          <cell r="S480" t="str">
            <v>C49</v>
          </cell>
          <cell r="T480" t="str">
            <v>SOUTH</v>
          </cell>
          <cell r="U480" t="str">
            <v>深圳</v>
          </cell>
          <cell r="V480" t="str">
            <v>SZ 深圳</v>
          </cell>
          <cell r="W480" t="str">
            <v>ZX</v>
          </cell>
          <cell r="X480" t="str">
            <v>JPY</v>
          </cell>
          <cell r="Y480">
            <v>13500000</v>
          </cell>
          <cell r="Z480">
            <v>1</v>
          </cell>
          <cell r="AA480">
            <v>13500000</v>
          </cell>
          <cell r="AB480">
            <v>7.1599999999999997E-2</v>
          </cell>
          <cell r="AC480">
            <v>966600</v>
          </cell>
          <cell r="AD480">
            <v>115992</v>
          </cell>
          <cell r="AE480">
            <v>0.12</v>
          </cell>
          <cell r="AF480">
            <v>43612</v>
          </cell>
          <cell r="AG480" t="str">
            <v>CIF HK</v>
          </cell>
          <cell r="AK480">
            <v>0.1</v>
          </cell>
          <cell r="AL480">
            <v>1350000</v>
          </cell>
          <cell r="AM480">
            <v>43586</v>
          </cell>
          <cell r="AN480" t="str">
            <v>Yes</v>
          </cell>
          <cell r="AO480">
            <v>0.9</v>
          </cell>
          <cell r="AP480">
            <v>12150000</v>
          </cell>
          <cell r="AQ480">
            <v>43617</v>
          </cell>
          <cell r="AR480">
            <v>43627</v>
          </cell>
          <cell r="AS480" t="str">
            <v>complete</v>
          </cell>
          <cell r="AT480"/>
          <cell r="AX480" t="str">
            <v>Yes</v>
          </cell>
          <cell r="AZ480" t="str">
            <v>Y</v>
          </cell>
          <cell r="BA480" t="str">
            <v>Yes</v>
          </cell>
        </row>
        <row r="481">
          <cell r="B481">
            <v>330</v>
          </cell>
          <cell r="C481" t="str">
            <v>C49SZX20190079ZX</v>
          </cell>
          <cell r="D481" t="str">
            <v>宽宏</v>
          </cell>
          <cell r="E481" t="str">
            <v>YSM10</v>
          </cell>
          <cell r="F481" t="str">
            <v>NA</v>
          </cell>
          <cell r="G481" t="e">
            <v>#REF!</v>
          </cell>
          <cell r="H481" t="e">
            <v>#REF!</v>
          </cell>
          <cell r="I481" t="str">
            <v>L-&gt;R</v>
          </cell>
          <cell r="J481" t="str">
            <v>MVC+ATS15</v>
          </cell>
          <cell r="K481">
            <v>1</v>
          </cell>
          <cell r="L481" t="e">
            <v>#N/A</v>
          </cell>
          <cell r="M481" t="e">
            <v>#N/A</v>
          </cell>
          <cell r="N481"/>
          <cell r="O481"/>
          <cell r="P481"/>
          <cell r="R481" t="str">
            <v>Yes</v>
          </cell>
          <cell r="S481" t="str">
            <v>C49</v>
          </cell>
          <cell r="T481" t="str">
            <v>SOUTH</v>
          </cell>
          <cell r="U481" t="str">
            <v>深圳</v>
          </cell>
          <cell r="V481" t="str">
            <v>SZ 深圳</v>
          </cell>
          <cell r="W481" t="str">
            <v>ZX</v>
          </cell>
          <cell r="X481" t="str">
            <v>JPY</v>
          </cell>
          <cell r="Y481">
            <v>9000000</v>
          </cell>
          <cell r="Z481">
            <v>1</v>
          </cell>
          <cell r="AA481">
            <v>9000000</v>
          </cell>
          <cell r="AB481">
            <v>7.1599999999999997E-2</v>
          </cell>
          <cell r="AC481">
            <v>644400</v>
          </cell>
          <cell r="AD481">
            <v>77328</v>
          </cell>
          <cell r="AE481">
            <v>0.12</v>
          </cell>
          <cell r="AF481">
            <v>43612</v>
          </cell>
          <cell r="AG481" t="str">
            <v>CIF HK</v>
          </cell>
          <cell r="AI481"/>
          <cell r="AJ481"/>
          <cell r="AK481">
            <v>0.1</v>
          </cell>
          <cell r="AL481">
            <v>900000</v>
          </cell>
          <cell r="AM481"/>
          <cell r="AN481" t="str">
            <v>No</v>
          </cell>
          <cell r="AO481">
            <v>0.9</v>
          </cell>
          <cell r="AP481">
            <v>8100000</v>
          </cell>
          <cell r="AR481"/>
          <cell r="AS481"/>
          <cell r="AT481">
            <v>0</v>
          </cell>
          <cell r="AV481"/>
          <cell r="AX481" t="str">
            <v>Cancel</v>
          </cell>
          <cell r="AY481"/>
          <cell r="AZ481"/>
          <cell r="BA481"/>
        </row>
        <row r="482">
          <cell r="B482">
            <v>331</v>
          </cell>
          <cell r="C482" t="str">
            <v>C49SZX20190079ZX</v>
          </cell>
          <cell r="D482" t="str">
            <v>宽宏</v>
          </cell>
          <cell r="E482" t="str">
            <v>YSM20R(SV)-2</v>
          </cell>
          <cell r="F482" t="str">
            <v>NA</v>
          </cell>
          <cell r="G482" t="e">
            <v>#REF!</v>
          </cell>
          <cell r="H482" t="e">
            <v>#REF!</v>
          </cell>
          <cell r="I482" t="str">
            <v>L-&gt;R</v>
          </cell>
          <cell r="J482" t="str">
            <v>No</v>
          </cell>
          <cell r="K482">
            <v>1</v>
          </cell>
          <cell r="L482" t="e">
            <v>#N/A</v>
          </cell>
          <cell r="M482" t="e">
            <v>#N/A</v>
          </cell>
          <cell r="N482"/>
          <cell r="O482"/>
          <cell r="P482"/>
          <cell r="R482" t="str">
            <v>Yes</v>
          </cell>
          <cell r="S482" t="str">
            <v>C49</v>
          </cell>
          <cell r="T482" t="str">
            <v>SOUTH</v>
          </cell>
          <cell r="U482" t="str">
            <v>深圳</v>
          </cell>
          <cell r="V482" t="str">
            <v>SZ 深圳</v>
          </cell>
          <cell r="W482" t="str">
            <v>ZX</v>
          </cell>
          <cell r="X482" t="str">
            <v>JPY</v>
          </cell>
          <cell r="Y482">
            <v>13500000</v>
          </cell>
          <cell r="Z482">
            <v>1</v>
          </cell>
          <cell r="AA482">
            <v>13500000</v>
          </cell>
          <cell r="AB482">
            <v>7.1599999999999997E-2</v>
          </cell>
          <cell r="AC482">
            <v>966600</v>
          </cell>
          <cell r="AD482">
            <v>115992</v>
          </cell>
          <cell r="AE482">
            <v>0.12</v>
          </cell>
          <cell r="AF482">
            <v>43612</v>
          </cell>
          <cell r="AG482" t="str">
            <v>CIF HK</v>
          </cell>
          <cell r="AI482"/>
          <cell r="AJ482"/>
          <cell r="AK482">
            <v>0.1</v>
          </cell>
          <cell r="AL482">
            <v>1350000</v>
          </cell>
          <cell r="AM482"/>
          <cell r="AN482" t="str">
            <v>No</v>
          </cell>
          <cell r="AO482">
            <v>0.9</v>
          </cell>
          <cell r="AP482">
            <v>12150000</v>
          </cell>
          <cell r="AR482"/>
          <cell r="AS482"/>
          <cell r="AT482">
            <v>0</v>
          </cell>
          <cell r="AV482"/>
          <cell r="AX482" t="str">
            <v>Cancel</v>
          </cell>
          <cell r="AY482"/>
          <cell r="AZ482"/>
          <cell r="BA482"/>
        </row>
        <row r="483">
          <cell r="B483">
            <v>332</v>
          </cell>
          <cell r="C483" t="str">
            <v>C49SZX20190079ZX</v>
          </cell>
          <cell r="D483" t="str">
            <v>宽宏</v>
          </cell>
          <cell r="E483" t="str">
            <v>YSM20R(SV)-2</v>
          </cell>
          <cell r="F483" t="str">
            <v>NA</v>
          </cell>
          <cell r="G483" t="e">
            <v>#REF!</v>
          </cell>
          <cell r="H483" t="e">
            <v>#REF!</v>
          </cell>
          <cell r="I483" t="str">
            <v>L-&gt;R</v>
          </cell>
          <cell r="J483" t="str">
            <v>No</v>
          </cell>
          <cell r="K483">
            <v>1</v>
          </cell>
          <cell r="L483" t="e">
            <v>#N/A</v>
          </cell>
          <cell r="M483" t="e">
            <v>#N/A</v>
          </cell>
          <cell r="N483"/>
          <cell r="O483"/>
          <cell r="P483"/>
          <cell r="R483" t="str">
            <v>Yes</v>
          </cell>
          <cell r="S483" t="str">
            <v>C49</v>
          </cell>
          <cell r="T483" t="str">
            <v>SOUTH</v>
          </cell>
          <cell r="U483" t="str">
            <v>深圳</v>
          </cell>
          <cell r="V483" t="str">
            <v>SZ 深圳</v>
          </cell>
          <cell r="W483" t="str">
            <v>ZX</v>
          </cell>
          <cell r="X483" t="str">
            <v>JPY</v>
          </cell>
          <cell r="Y483">
            <v>13500000</v>
          </cell>
          <cell r="Z483">
            <v>1</v>
          </cell>
          <cell r="AA483">
            <v>13500000</v>
          </cell>
          <cell r="AB483">
            <v>7.1599999999999997E-2</v>
          </cell>
          <cell r="AC483">
            <v>966600</v>
          </cell>
          <cell r="AD483">
            <v>115992</v>
          </cell>
          <cell r="AE483">
            <v>0.12</v>
          </cell>
          <cell r="AF483">
            <v>43612</v>
          </cell>
          <cell r="AG483" t="str">
            <v>CIF HK</v>
          </cell>
          <cell r="AI483"/>
          <cell r="AJ483"/>
          <cell r="AK483">
            <v>0.1</v>
          </cell>
          <cell r="AL483">
            <v>1350000</v>
          </cell>
          <cell r="AM483"/>
          <cell r="AN483" t="str">
            <v>No</v>
          </cell>
          <cell r="AO483">
            <v>0.9</v>
          </cell>
          <cell r="AP483">
            <v>12150000</v>
          </cell>
          <cell r="AR483"/>
          <cell r="AS483"/>
          <cell r="AT483">
            <v>0</v>
          </cell>
          <cell r="AV483"/>
          <cell r="AX483" t="str">
            <v>Cancel</v>
          </cell>
          <cell r="AY483"/>
          <cell r="AZ483"/>
          <cell r="BA483"/>
        </row>
        <row r="484">
          <cell r="B484">
            <v>333</v>
          </cell>
          <cell r="C484" t="str">
            <v>C49SZX20190080ZX</v>
          </cell>
          <cell r="D484" t="str">
            <v>长沙健科</v>
          </cell>
          <cell r="E484" t="str">
            <v>YSM10</v>
          </cell>
          <cell r="F484" t="str">
            <v>#03763</v>
          </cell>
          <cell r="G484" t="e">
            <v>#REF!</v>
          </cell>
          <cell r="H484" t="e">
            <v>#REF!</v>
          </cell>
          <cell r="I484" t="str">
            <v>L-&gt;R</v>
          </cell>
          <cell r="J484" t="str">
            <v>MVC+ATS15</v>
          </cell>
          <cell r="K484">
            <v>1</v>
          </cell>
          <cell r="L484">
            <v>109344</v>
          </cell>
          <cell r="M484" t="str">
            <v>AUG 19</v>
          </cell>
          <cell r="N484">
            <v>43689</v>
          </cell>
          <cell r="O484">
            <v>11116318</v>
          </cell>
          <cell r="P484">
            <v>13000000</v>
          </cell>
          <cell r="Q484">
            <v>43678</v>
          </cell>
          <cell r="R484" t="str">
            <v>No</v>
          </cell>
          <cell r="S484" t="str">
            <v>C49</v>
          </cell>
          <cell r="T484" t="str">
            <v>SOUTH</v>
          </cell>
          <cell r="U484" t="str">
            <v>长沙</v>
          </cell>
          <cell r="V484" t="str">
            <v>SZ 深圳</v>
          </cell>
          <cell r="W484" t="str">
            <v>ZX</v>
          </cell>
          <cell r="X484" t="str">
            <v>JPY</v>
          </cell>
          <cell r="Y484">
            <v>13000000</v>
          </cell>
          <cell r="Z484">
            <v>1</v>
          </cell>
          <cell r="AA484">
            <v>13000000</v>
          </cell>
          <cell r="AB484">
            <v>7.3400000000000007E-2</v>
          </cell>
          <cell r="AC484">
            <v>954200.00000000012</v>
          </cell>
          <cell r="AD484">
            <v>114504.00000000001</v>
          </cell>
          <cell r="AE484">
            <v>0.12</v>
          </cell>
          <cell r="AF484">
            <v>43612</v>
          </cell>
          <cell r="AG484" t="str">
            <v>DAP 长沙</v>
          </cell>
          <cell r="AI484">
            <v>43614</v>
          </cell>
          <cell r="AJ484">
            <v>200000</v>
          </cell>
          <cell r="AK484">
            <v>0.2</v>
          </cell>
          <cell r="AL484">
            <v>2600000</v>
          </cell>
          <cell r="AM484">
            <v>43617</v>
          </cell>
          <cell r="AN484" t="str">
            <v>Yes</v>
          </cell>
          <cell r="AO484">
            <v>0.7</v>
          </cell>
          <cell r="AP484">
            <v>9100000</v>
          </cell>
          <cell r="AQ484"/>
          <cell r="AS484">
            <v>0.1</v>
          </cell>
          <cell r="AT484">
            <v>1300000</v>
          </cell>
          <cell r="AW484" t="str">
            <v>complete</v>
          </cell>
          <cell r="AX484" t="str">
            <v>Yes</v>
          </cell>
          <cell r="AZ484" t="str">
            <v>Y</v>
          </cell>
          <cell r="BA484" t="str">
            <v>Yes</v>
          </cell>
        </row>
        <row r="485">
          <cell r="B485">
            <v>334</v>
          </cell>
          <cell r="C485" t="str">
            <v>C49SZX20190080ZX</v>
          </cell>
          <cell r="D485" t="str">
            <v>长沙健科</v>
          </cell>
          <cell r="E485" t="str">
            <v>YSM20R(SV)-2</v>
          </cell>
          <cell r="F485" t="str">
            <v>#03763</v>
          </cell>
          <cell r="G485" t="e">
            <v>#REF!</v>
          </cell>
          <cell r="H485" t="e">
            <v>#REF!</v>
          </cell>
          <cell r="I485" t="str">
            <v>L-&gt;R</v>
          </cell>
          <cell r="J485" t="str">
            <v>No</v>
          </cell>
          <cell r="K485">
            <v>1</v>
          </cell>
          <cell r="L485">
            <v>109610</v>
          </cell>
          <cell r="M485" t="str">
            <v>AUG 19</v>
          </cell>
          <cell r="N485">
            <v>43689</v>
          </cell>
          <cell r="O485">
            <v>11116318</v>
          </cell>
          <cell r="P485">
            <v>20000000</v>
          </cell>
          <cell r="Q485">
            <v>43678</v>
          </cell>
          <cell r="R485" t="str">
            <v>No</v>
          </cell>
          <cell r="S485" t="str">
            <v>C49</v>
          </cell>
          <cell r="T485" t="str">
            <v>SOUTH</v>
          </cell>
          <cell r="U485" t="str">
            <v>长沙</v>
          </cell>
          <cell r="V485" t="str">
            <v>SZ 深圳</v>
          </cell>
          <cell r="W485" t="str">
            <v>ZX</v>
          </cell>
          <cell r="X485" t="str">
            <v>JPY</v>
          </cell>
          <cell r="Y485">
            <v>20000000</v>
          </cell>
          <cell r="Z485">
            <v>1</v>
          </cell>
          <cell r="AA485">
            <v>20000000</v>
          </cell>
          <cell r="AB485">
            <v>7.3400000000000007E-2</v>
          </cell>
          <cell r="AC485">
            <v>1468000.0000000002</v>
          </cell>
          <cell r="AD485">
            <v>176160.00000000003</v>
          </cell>
          <cell r="AE485">
            <v>0.12</v>
          </cell>
          <cell r="AF485">
            <v>43612</v>
          </cell>
          <cell r="AG485" t="str">
            <v>DAP 长沙</v>
          </cell>
          <cell r="AI485">
            <v>43614</v>
          </cell>
          <cell r="AJ485">
            <v>0</v>
          </cell>
          <cell r="AK485">
            <v>0.2</v>
          </cell>
          <cell r="AL485">
            <v>4000000</v>
          </cell>
          <cell r="AM485">
            <v>43617</v>
          </cell>
          <cell r="AN485" t="str">
            <v>Yes</v>
          </cell>
          <cell r="AO485">
            <v>0.7</v>
          </cell>
          <cell r="AP485">
            <v>14000000</v>
          </cell>
          <cell r="AQ485"/>
          <cell r="AS485">
            <v>0.1</v>
          </cell>
          <cell r="AT485">
            <v>2000000</v>
          </cell>
          <cell r="AW485" t="str">
            <v>complete</v>
          </cell>
          <cell r="AX485" t="str">
            <v>Yes</v>
          </cell>
          <cell r="AZ485" t="str">
            <v>Y</v>
          </cell>
          <cell r="BA485" t="str">
            <v>Yes</v>
          </cell>
        </row>
        <row r="486">
          <cell r="B486">
            <v>335</v>
          </cell>
          <cell r="C486" t="str">
            <v>C49SZX20190082ZX</v>
          </cell>
          <cell r="D486" t="str">
            <v>深圳健科</v>
          </cell>
          <cell r="E486" t="str">
            <v>YSM20R(SV)-2</v>
          </cell>
          <cell r="F486" t="str">
            <v>#13903</v>
          </cell>
          <cell r="G486" t="e">
            <v>#REF!</v>
          </cell>
          <cell r="H486" t="e">
            <v>#REF!</v>
          </cell>
          <cell r="I486" t="str">
            <v>R-&gt;L</v>
          </cell>
          <cell r="J486" t="str">
            <v>No</v>
          </cell>
          <cell r="K486">
            <v>1</v>
          </cell>
          <cell r="L486">
            <v>109603</v>
          </cell>
          <cell r="M486" t="str">
            <v>SEP 19</v>
          </cell>
          <cell r="N486">
            <v>43718</v>
          </cell>
          <cell r="O486">
            <v>11116322</v>
          </cell>
          <cell r="P486">
            <v>11200000</v>
          </cell>
          <cell r="Q486">
            <v>43709</v>
          </cell>
          <cell r="R486" t="str">
            <v>No</v>
          </cell>
          <cell r="S486" t="str">
            <v>C49</v>
          </cell>
          <cell r="T486" t="str">
            <v>SOUTH</v>
          </cell>
          <cell r="U486" t="str">
            <v>长沙</v>
          </cell>
          <cell r="V486" t="str">
            <v>SZ 深圳</v>
          </cell>
          <cell r="W486" t="str">
            <v>ZX</v>
          </cell>
          <cell r="X486" t="str">
            <v>JPY</v>
          </cell>
          <cell r="Y486">
            <v>11200000</v>
          </cell>
          <cell r="Z486">
            <v>1</v>
          </cell>
          <cell r="AA486">
            <v>11200000</v>
          </cell>
          <cell r="AB486">
            <v>7.3400000000000007E-2</v>
          </cell>
          <cell r="AC486">
            <v>822080.00000000012</v>
          </cell>
          <cell r="AD486">
            <v>98649.600000000006</v>
          </cell>
          <cell r="AE486">
            <v>0.12</v>
          </cell>
          <cell r="AF486">
            <v>43612</v>
          </cell>
          <cell r="AG486" t="str">
            <v>DAP SZ</v>
          </cell>
          <cell r="AI486">
            <v>43614</v>
          </cell>
          <cell r="AJ486">
            <v>0</v>
          </cell>
          <cell r="AK486">
            <v>0.2</v>
          </cell>
          <cell r="AL486">
            <v>2240000</v>
          </cell>
          <cell r="AM486">
            <v>43617</v>
          </cell>
          <cell r="AN486" t="str">
            <v>Yes</v>
          </cell>
          <cell r="AO486">
            <v>0.7</v>
          </cell>
          <cell r="AP486">
            <v>7839999.9999999991</v>
          </cell>
          <cell r="AQ486">
            <v>43709</v>
          </cell>
          <cell r="AR486">
            <v>43711</v>
          </cell>
          <cell r="AS486">
            <v>0.1</v>
          </cell>
          <cell r="AT486">
            <v>1120000</v>
          </cell>
          <cell r="AU486" t="str">
            <v>NOV 19</v>
          </cell>
          <cell r="AV486">
            <v>43777</v>
          </cell>
          <cell r="AX486" t="str">
            <v>Yes</v>
          </cell>
          <cell r="AZ486" t="str">
            <v>Y</v>
          </cell>
          <cell r="BA486" t="str">
            <v>Yes</v>
          </cell>
        </row>
        <row r="487">
          <cell r="B487">
            <v>336</v>
          </cell>
          <cell r="C487" t="str">
            <v>C49SZX20190085JL</v>
          </cell>
          <cell r="D487" t="str">
            <v>鹏鑫达/end user:晶昌</v>
          </cell>
          <cell r="E487" t="str">
            <v>YSM10</v>
          </cell>
          <cell r="F487" t="str">
            <v>#54762</v>
          </cell>
          <cell r="G487" t="e">
            <v>#REF!</v>
          </cell>
          <cell r="H487" t="e">
            <v>#REF!</v>
          </cell>
          <cell r="I487" t="str">
            <v>R-&gt;L</v>
          </cell>
          <cell r="J487" t="str">
            <v>MVC</v>
          </cell>
          <cell r="K487">
            <v>1</v>
          </cell>
          <cell r="L487">
            <v>109454</v>
          </cell>
          <cell r="M487" t="str">
            <v>MAY 19</v>
          </cell>
          <cell r="N487">
            <v>43615</v>
          </cell>
          <cell r="O487">
            <v>11100291</v>
          </cell>
          <cell r="P487">
            <v>570000</v>
          </cell>
          <cell r="Q487">
            <v>43586</v>
          </cell>
          <cell r="R487" t="str">
            <v>Yes</v>
          </cell>
          <cell r="S487" t="str">
            <v>C49</v>
          </cell>
          <cell r="T487" t="str">
            <v>SOUTH</v>
          </cell>
          <cell r="U487" t="str">
            <v>深圳</v>
          </cell>
          <cell r="V487" t="str">
            <v>SZ 深圳</v>
          </cell>
          <cell r="W487" t="str">
            <v>JL</v>
          </cell>
          <cell r="X487" t="str">
            <v>RMB</v>
          </cell>
          <cell r="Y487">
            <v>570000</v>
          </cell>
          <cell r="Z487">
            <v>1.1299999999999999</v>
          </cell>
          <cell r="AA487">
            <v>570000</v>
          </cell>
          <cell r="AB487">
            <v>1.1599999999999999</v>
          </cell>
          <cell r="AC487">
            <v>585132.74336283188</v>
          </cell>
          <cell r="AD487">
            <v>70215.929203539825</v>
          </cell>
          <cell r="AE487">
            <v>0.12</v>
          </cell>
          <cell r="AF487">
            <v>43613</v>
          </cell>
          <cell r="AG487" t="str">
            <v>DAP SZ</v>
          </cell>
          <cell r="AK487">
            <v>1</v>
          </cell>
          <cell r="AL487">
            <v>570000</v>
          </cell>
          <cell r="AM487">
            <v>43586</v>
          </cell>
          <cell r="AN487" t="str">
            <v>Yes</v>
          </cell>
          <cell r="AO487" t="str">
            <v>complete</v>
          </cell>
          <cell r="AP487"/>
          <cell r="AQ487"/>
          <cell r="AS487"/>
          <cell r="AT487"/>
          <cell r="AX487" t="str">
            <v>Yes</v>
          </cell>
          <cell r="AZ487" t="str">
            <v>Y</v>
          </cell>
          <cell r="BA487" t="str">
            <v>Yes</v>
          </cell>
        </row>
        <row r="488">
          <cell r="B488">
            <v>337</v>
          </cell>
          <cell r="C488" t="str">
            <v>C49SZX20190086JL</v>
          </cell>
          <cell r="D488" t="str">
            <v>鹏鑫达</v>
          </cell>
          <cell r="E488" t="str">
            <v>YSM10</v>
          </cell>
          <cell r="F488" t="str">
            <v>NA</v>
          </cell>
          <cell r="G488" t="e">
            <v>#REF!</v>
          </cell>
          <cell r="H488" t="e">
            <v>#REF!</v>
          </cell>
          <cell r="I488" t="str">
            <v>R-&gt;L</v>
          </cell>
          <cell r="J488" t="str">
            <v>MVC</v>
          </cell>
          <cell r="K488">
            <v>1</v>
          </cell>
          <cell r="L488" t="e">
            <v>#N/A</v>
          </cell>
          <cell r="M488" t="e">
            <v>#N/A</v>
          </cell>
          <cell r="N488"/>
          <cell r="O488"/>
          <cell r="P488"/>
          <cell r="R488" t="str">
            <v>Yes</v>
          </cell>
          <cell r="S488" t="str">
            <v>C49</v>
          </cell>
          <cell r="T488" t="str">
            <v>SOUTH</v>
          </cell>
          <cell r="U488" t="str">
            <v>深圳</v>
          </cell>
          <cell r="V488" t="str">
            <v>SZ 深圳</v>
          </cell>
          <cell r="W488" t="str">
            <v>JL</v>
          </cell>
          <cell r="X488" t="str">
            <v>JPY</v>
          </cell>
          <cell r="Y488">
            <v>8150000</v>
          </cell>
          <cell r="Z488">
            <v>1</v>
          </cell>
          <cell r="AA488">
            <v>8150000</v>
          </cell>
          <cell r="AB488">
            <v>7.1599999999999997E-2</v>
          </cell>
          <cell r="AC488">
            <v>583540</v>
          </cell>
          <cell r="AD488">
            <v>70024.800000000003</v>
          </cell>
          <cell r="AE488">
            <v>0.12</v>
          </cell>
          <cell r="AF488">
            <v>43613</v>
          </cell>
          <cell r="AG488" t="str">
            <v>DAP 深圳</v>
          </cell>
          <cell r="AI488"/>
          <cell r="AJ488"/>
          <cell r="AK488">
            <v>1</v>
          </cell>
          <cell r="AL488">
            <v>8150000</v>
          </cell>
          <cell r="AM488"/>
          <cell r="AN488" t="str">
            <v>No</v>
          </cell>
          <cell r="AO488"/>
          <cell r="AP488">
            <v>0</v>
          </cell>
          <cell r="AR488"/>
          <cell r="AS488"/>
          <cell r="AT488">
            <v>0</v>
          </cell>
          <cell r="AV488"/>
          <cell r="AX488" t="str">
            <v>Cancel</v>
          </cell>
          <cell r="AY488"/>
          <cell r="AZ488"/>
          <cell r="BA488"/>
        </row>
        <row r="489">
          <cell r="B489">
            <v>338</v>
          </cell>
          <cell r="C489" t="str">
            <v>C49SZX20190089ZX</v>
          </cell>
          <cell r="D489" t="str">
            <v>世达威</v>
          </cell>
          <cell r="E489" t="str">
            <v>YSM20R(SV)-2</v>
          </cell>
          <cell r="F489" t="str">
            <v>#49402</v>
          </cell>
          <cell r="G489" t="e">
            <v>#REF!</v>
          </cell>
          <cell r="H489" t="e">
            <v>#REF!</v>
          </cell>
          <cell r="I489" t="str">
            <v>L-&gt;R</v>
          </cell>
          <cell r="J489" t="str">
            <v>No</v>
          </cell>
          <cell r="K489">
            <v>1</v>
          </cell>
          <cell r="L489">
            <v>109247</v>
          </cell>
          <cell r="M489" t="str">
            <v>JUN 19</v>
          </cell>
          <cell r="N489">
            <v>43633</v>
          </cell>
          <cell r="O489">
            <v>11100296</v>
          </cell>
          <cell r="P489">
            <v>880000</v>
          </cell>
          <cell r="Q489">
            <v>43617</v>
          </cell>
          <cell r="R489" t="str">
            <v>No</v>
          </cell>
          <cell r="S489" t="str">
            <v>C49</v>
          </cell>
          <cell r="T489" t="str">
            <v>SOUTH</v>
          </cell>
          <cell r="U489" t="str">
            <v>深圳</v>
          </cell>
          <cell r="V489" t="str">
            <v>SZ 深圳</v>
          </cell>
          <cell r="W489" t="str">
            <v>ZX</v>
          </cell>
          <cell r="X489" t="str">
            <v>RMB</v>
          </cell>
          <cell r="Y489">
            <v>880000</v>
          </cell>
          <cell r="Z489">
            <v>1.1299999999999999</v>
          </cell>
          <cell r="AA489">
            <v>880000</v>
          </cell>
          <cell r="AB489">
            <v>1.135</v>
          </cell>
          <cell r="AC489">
            <v>883893.80530973466</v>
          </cell>
          <cell r="AD489">
            <v>106067.25663716816</v>
          </cell>
          <cell r="AE489">
            <v>0.12</v>
          </cell>
          <cell r="AF489">
            <v>43619</v>
          </cell>
          <cell r="AG489" t="str">
            <v>含税到厂</v>
          </cell>
          <cell r="AK489">
            <v>0.2</v>
          </cell>
          <cell r="AL489">
            <v>176000</v>
          </cell>
          <cell r="AM489">
            <v>43617</v>
          </cell>
          <cell r="AN489" t="str">
            <v>Yes</v>
          </cell>
          <cell r="AO489" t="str">
            <v>agree</v>
          </cell>
          <cell r="AP489">
            <v>500000</v>
          </cell>
          <cell r="AQ489">
            <v>43617</v>
          </cell>
          <cell r="AR489">
            <v>43628</v>
          </cell>
          <cell r="AS489" t="str">
            <v>agree</v>
          </cell>
          <cell r="AT489">
            <v>204000</v>
          </cell>
          <cell r="AU489">
            <v>43617</v>
          </cell>
          <cell r="AV489">
            <v>43629</v>
          </cell>
        </row>
        <row r="490">
          <cell r="B490">
            <v>339</v>
          </cell>
          <cell r="C490" t="str">
            <v>C49SZX20190087JL</v>
          </cell>
          <cell r="D490" t="str">
            <v>联合金睿</v>
          </cell>
          <cell r="E490" t="str">
            <v>YSM10</v>
          </cell>
          <cell r="F490" t="str">
            <v>NA</v>
          </cell>
          <cell r="G490" t="e">
            <v>#REF!</v>
          </cell>
          <cell r="H490" t="e">
            <v>#REF!</v>
          </cell>
          <cell r="I490" t="str">
            <v>L-&gt;R</v>
          </cell>
          <cell r="J490" t="str">
            <v>MVC+ATS15</v>
          </cell>
          <cell r="K490">
            <v>1</v>
          </cell>
          <cell r="L490" t="e">
            <v>#N/A</v>
          </cell>
          <cell r="M490" t="e">
            <v>#N/A</v>
          </cell>
          <cell r="N490"/>
          <cell r="O490"/>
          <cell r="P490"/>
          <cell r="R490" t="str">
            <v>No</v>
          </cell>
          <cell r="S490" t="str">
            <v>C49</v>
          </cell>
          <cell r="T490" t="str">
            <v>SOUTH</v>
          </cell>
          <cell r="U490" t="str">
            <v>深圳</v>
          </cell>
          <cell r="V490" t="str">
            <v>SZ 深圳</v>
          </cell>
          <cell r="W490" t="str">
            <v>JL</v>
          </cell>
          <cell r="X490" t="str">
            <v>JPY</v>
          </cell>
          <cell r="Y490">
            <v>10705500</v>
          </cell>
          <cell r="Z490">
            <v>1</v>
          </cell>
          <cell r="AA490">
            <v>10705500</v>
          </cell>
          <cell r="AB490">
            <v>7.3400000000000007E-2</v>
          </cell>
          <cell r="AC490">
            <v>785783.70000000007</v>
          </cell>
          <cell r="AD490">
            <v>94294.044000000009</v>
          </cell>
          <cell r="AE490">
            <v>0.12</v>
          </cell>
          <cell r="AF490">
            <v>43621</v>
          </cell>
          <cell r="AG490" t="str">
            <v xml:space="preserve">CIF </v>
          </cell>
          <cell r="AI490"/>
          <cell r="AJ490"/>
          <cell r="AK490">
            <v>0.1</v>
          </cell>
          <cell r="AL490">
            <v>1070550</v>
          </cell>
          <cell r="AM490"/>
          <cell r="AN490" t="str">
            <v>No</v>
          </cell>
          <cell r="AO490">
            <v>0.9</v>
          </cell>
          <cell r="AP490">
            <v>9634950</v>
          </cell>
          <cell r="AR490"/>
          <cell r="AS490"/>
          <cell r="AT490">
            <v>0</v>
          </cell>
          <cell r="AV490"/>
          <cell r="AX490" t="str">
            <v>Cancel</v>
          </cell>
          <cell r="AY490"/>
          <cell r="AZ490"/>
          <cell r="BA490"/>
        </row>
        <row r="491">
          <cell r="B491">
            <v>340</v>
          </cell>
          <cell r="C491" t="str">
            <v>C49SZX20190087JL</v>
          </cell>
          <cell r="D491" t="str">
            <v>联合金睿</v>
          </cell>
          <cell r="E491" t="str">
            <v>YSM20R(SV)-2</v>
          </cell>
          <cell r="F491" t="str">
            <v>NA</v>
          </cell>
          <cell r="G491" t="e">
            <v>#REF!</v>
          </cell>
          <cell r="H491" t="e">
            <v>#REF!</v>
          </cell>
          <cell r="I491" t="str">
            <v>L-&gt;R</v>
          </cell>
          <cell r="J491" t="str">
            <v>No</v>
          </cell>
          <cell r="K491">
            <v>1</v>
          </cell>
          <cell r="L491" t="e">
            <v>#N/A</v>
          </cell>
          <cell r="M491" t="e">
            <v>#N/A</v>
          </cell>
          <cell r="N491"/>
          <cell r="O491"/>
          <cell r="P491"/>
          <cell r="R491" t="str">
            <v>No</v>
          </cell>
          <cell r="S491" t="str">
            <v>C49</v>
          </cell>
          <cell r="T491" t="str">
            <v>SOUTH</v>
          </cell>
          <cell r="U491" t="str">
            <v>深圳</v>
          </cell>
          <cell r="V491" t="str">
            <v>SZ 深圳</v>
          </cell>
          <cell r="W491" t="str">
            <v>JL</v>
          </cell>
          <cell r="X491" t="str">
            <v>JPY</v>
          </cell>
          <cell r="Y491">
            <v>13794500</v>
          </cell>
          <cell r="Z491">
            <v>1</v>
          </cell>
          <cell r="AA491">
            <v>13794500</v>
          </cell>
          <cell r="AB491">
            <v>7.3400000000000007E-2</v>
          </cell>
          <cell r="AC491">
            <v>1012516.3</v>
          </cell>
          <cell r="AD491">
            <v>121501.95600000001</v>
          </cell>
          <cell r="AE491">
            <v>0.12</v>
          </cell>
          <cell r="AF491">
            <v>43621</v>
          </cell>
          <cell r="AG491" t="str">
            <v xml:space="preserve">CIF </v>
          </cell>
          <cell r="AI491"/>
          <cell r="AJ491"/>
          <cell r="AK491">
            <v>0.1</v>
          </cell>
          <cell r="AL491">
            <v>1379450</v>
          </cell>
          <cell r="AM491"/>
          <cell r="AN491" t="str">
            <v>No</v>
          </cell>
          <cell r="AO491">
            <v>0.9</v>
          </cell>
          <cell r="AP491">
            <v>12415050</v>
          </cell>
          <cell r="AR491"/>
          <cell r="AS491"/>
          <cell r="AT491">
            <v>0</v>
          </cell>
          <cell r="AV491"/>
          <cell r="AX491" t="str">
            <v>Cancel</v>
          </cell>
          <cell r="AY491"/>
          <cell r="AZ491"/>
          <cell r="BA491"/>
        </row>
        <row r="492">
          <cell r="B492">
            <v>341</v>
          </cell>
          <cell r="C492" t="str">
            <v>C49SZX20190088JL</v>
          </cell>
          <cell r="D492" t="str">
            <v>联合金睿</v>
          </cell>
          <cell r="E492" t="str">
            <v>YSM10</v>
          </cell>
          <cell r="F492" t="str">
            <v>NA</v>
          </cell>
          <cell r="G492" t="e">
            <v>#REF!</v>
          </cell>
          <cell r="H492" t="e">
            <v>#REF!</v>
          </cell>
          <cell r="I492" t="str">
            <v>L-&gt;R</v>
          </cell>
          <cell r="J492" t="str">
            <v>MVC+ATS15</v>
          </cell>
          <cell r="K492">
            <v>1</v>
          </cell>
          <cell r="L492" t="e">
            <v>#N/A</v>
          </cell>
          <cell r="M492" t="e">
            <v>#N/A</v>
          </cell>
          <cell r="N492"/>
          <cell r="O492"/>
          <cell r="P492"/>
          <cell r="R492" t="str">
            <v>No</v>
          </cell>
          <cell r="S492" t="str">
            <v>C49</v>
          </cell>
          <cell r="T492" t="str">
            <v>SOUTH</v>
          </cell>
          <cell r="U492" t="str">
            <v>深圳</v>
          </cell>
          <cell r="V492" t="str">
            <v>SZ 深圳</v>
          </cell>
          <cell r="W492" t="str">
            <v>JL</v>
          </cell>
          <cell r="X492" t="str">
            <v>JPY</v>
          </cell>
          <cell r="Y492">
            <v>10705500</v>
          </cell>
          <cell r="Z492">
            <v>1</v>
          </cell>
          <cell r="AA492">
            <v>10705500</v>
          </cell>
          <cell r="AB492">
            <v>7.3400000000000007E-2</v>
          </cell>
          <cell r="AC492">
            <v>785783.70000000007</v>
          </cell>
          <cell r="AD492">
            <v>94294.044000000009</v>
          </cell>
          <cell r="AE492">
            <v>0.12</v>
          </cell>
          <cell r="AF492">
            <v>43621</v>
          </cell>
          <cell r="AG492" t="str">
            <v xml:space="preserve">CIF </v>
          </cell>
          <cell r="AI492"/>
          <cell r="AJ492"/>
          <cell r="AK492">
            <v>0.1</v>
          </cell>
          <cell r="AL492">
            <v>1070550</v>
          </cell>
          <cell r="AM492"/>
          <cell r="AN492" t="str">
            <v>No</v>
          </cell>
          <cell r="AO492">
            <v>0.9</v>
          </cell>
          <cell r="AP492">
            <v>9634950</v>
          </cell>
          <cell r="AR492"/>
          <cell r="AS492"/>
          <cell r="AT492">
            <v>0</v>
          </cell>
          <cell r="AV492"/>
          <cell r="AX492" t="str">
            <v>Cancel</v>
          </cell>
          <cell r="AY492"/>
          <cell r="AZ492"/>
          <cell r="BA492"/>
        </row>
        <row r="493">
          <cell r="B493">
            <v>342</v>
          </cell>
          <cell r="C493" t="str">
            <v>C49SZX20190088JL</v>
          </cell>
          <cell r="D493" t="str">
            <v>联合金睿</v>
          </cell>
          <cell r="E493" t="str">
            <v>YSM20R(SV)-2</v>
          </cell>
          <cell r="F493" t="str">
            <v>NA</v>
          </cell>
          <cell r="G493" t="e">
            <v>#REF!</v>
          </cell>
          <cell r="H493" t="e">
            <v>#REF!</v>
          </cell>
          <cell r="I493" t="str">
            <v>L-&gt;R</v>
          </cell>
          <cell r="J493" t="str">
            <v>No</v>
          </cell>
          <cell r="K493">
            <v>1</v>
          </cell>
          <cell r="L493" t="e">
            <v>#N/A</v>
          </cell>
          <cell r="M493" t="e">
            <v>#N/A</v>
          </cell>
          <cell r="N493"/>
          <cell r="O493"/>
          <cell r="P493"/>
          <cell r="R493" t="str">
            <v>No</v>
          </cell>
          <cell r="S493" t="str">
            <v>C49</v>
          </cell>
          <cell r="T493" t="str">
            <v>SOUTH</v>
          </cell>
          <cell r="U493" t="str">
            <v>深圳</v>
          </cell>
          <cell r="V493" t="str">
            <v>SZ 深圳</v>
          </cell>
          <cell r="W493" t="str">
            <v>JL</v>
          </cell>
          <cell r="X493" t="str">
            <v>JPY</v>
          </cell>
          <cell r="Y493">
            <v>13794500</v>
          </cell>
          <cell r="Z493">
            <v>1</v>
          </cell>
          <cell r="AA493">
            <v>13794500</v>
          </cell>
          <cell r="AB493">
            <v>7.3400000000000007E-2</v>
          </cell>
          <cell r="AC493">
            <v>1012516.3</v>
          </cell>
          <cell r="AD493">
            <v>121501.95600000001</v>
          </cell>
          <cell r="AE493">
            <v>0.12</v>
          </cell>
          <cell r="AF493">
            <v>43621</v>
          </cell>
          <cell r="AG493" t="str">
            <v xml:space="preserve">CIF </v>
          </cell>
          <cell r="AI493"/>
          <cell r="AJ493"/>
          <cell r="AK493">
            <v>0.1</v>
          </cell>
          <cell r="AL493">
            <v>1379450</v>
          </cell>
          <cell r="AM493"/>
          <cell r="AN493" t="str">
            <v>No</v>
          </cell>
          <cell r="AO493">
            <v>0.9</v>
          </cell>
          <cell r="AP493">
            <v>12415050</v>
          </cell>
          <cell r="AR493"/>
          <cell r="AS493"/>
          <cell r="AT493">
            <v>0</v>
          </cell>
          <cell r="AV493"/>
          <cell r="AX493" t="str">
            <v>Cancel</v>
          </cell>
          <cell r="AY493"/>
          <cell r="AZ493"/>
          <cell r="BA493"/>
        </row>
        <row r="494">
          <cell r="B494">
            <v>343</v>
          </cell>
          <cell r="C494" t="str">
            <v>C49SZX20190090SX</v>
          </cell>
          <cell r="D494" t="str">
            <v>锐诚</v>
          </cell>
          <cell r="E494" t="str">
            <v>YSM10</v>
          </cell>
          <cell r="F494" t="str">
            <v>#78604</v>
          </cell>
          <cell r="G494" t="e">
            <v>#REF!</v>
          </cell>
          <cell r="H494" t="e">
            <v>#REF!</v>
          </cell>
          <cell r="I494" t="str">
            <v>L-&gt;R</v>
          </cell>
          <cell r="J494" t="str">
            <v>MVC</v>
          </cell>
          <cell r="K494">
            <v>1</v>
          </cell>
          <cell r="L494">
            <v>109344</v>
          </cell>
          <cell r="M494" t="str">
            <v>JUN 19</v>
          </cell>
          <cell r="N494">
            <v>43643</v>
          </cell>
          <cell r="O494">
            <v>11100304</v>
          </cell>
          <cell r="P494">
            <v>630000</v>
          </cell>
          <cell r="Q494">
            <v>43647</v>
          </cell>
          <cell r="R494" t="str">
            <v>No</v>
          </cell>
          <cell r="S494" t="str">
            <v>C49</v>
          </cell>
          <cell r="T494" t="str">
            <v>SOUTH</v>
          </cell>
          <cell r="U494" t="str">
            <v>惠州</v>
          </cell>
          <cell r="V494" t="str">
            <v>SZ 深圳</v>
          </cell>
          <cell r="W494" t="str">
            <v>SX</v>
          </cell>
          <cell r="X494" t="str">
            <v>RMB</v>
          </cell>
          <cell r="Y494">
            <v>630000</v>
          </cell>
          <cell r="Z494">
            <v>1.1299999999999999</v>
          </cell>
          <cell r="AA494">
            <v>630000</v>
          </cell>
          <cell r="AB494">
            <v>1.135</v>
          </cell>
          <cell r="AC494">
            <v>632787.61061946908</v>
          </cell>
          <cell r="AD494">
            <v>75934.513274336292</v>
          </cell>
          <cell r="AE494">
            <v>0.12</v>
          </cell>
          <cell r="AF494">
            <v>43621</v>
          </cell>
          <cell r="AG494" t="str">
            <v>含税到厂</v>
          </cell>
          <cell r="AK494">
            <v>0.2</v>
          </cell>
          <cell r="AL494">
            <v>126000</v>
          </cell>
          <cell r="AM494">
            <v>43617</v>
          </cell>
          <cell r="AN494" t="str">
            <v>Yes</v>
          </cell>
          <cell r="AO494">
            <v>0.8</v>
          </cell>
          <cell r="AP494">
            <v>504000</v>
          </cell>
          <cell r="AQ494">
            <v>43617</v>
          </cell>
          <cell r="AR494">
            <v>43634</v>
          </cell>
          <cell r="AS494" t="str">
            <v>complete</v>
          </cell>
          <cell r="AT494"/>
          <cell r="AX494" t="str">
            <v>Yes</v>
          </cell>
          <cell r="AZ494" t="str">
            <v>Y</v>
          </cell>
          <cell r="BA494" t="str">
            <v>Yes</v>
          </cell>
        </row>
        <row r="495">
          <cell r="B495">
            <v>344</v>
          </cell>
          <cell r="C495" t="str">
            <v>C49SZX20190091JL</v>
          </cell>
          <cell r="D495" t="str">
            <v>达人高科</v>
          </cell>
          <cell r="E495" t="str">
            <v>YSM10</v>
          </cell>
          <cell r="F495" t="str">
            <v>#78008</v>
          </cell>
          <cell r="G495" t="e">
            <v>#REF!</v>
          </cell>
          <cell r="H495" t="e">
            <v>#REF!</v>
          </cell>
          <cell r="I495" t="str">
            <v>L-&gt;R</v>
          </cell>
          <cell r="J495" t="str">
            <v>No</v>
          </cell>
          <cell r="K495">
            <v>1</v>
          </cell>
          <cell r="L495">
            <v>109295</v>
          </cell>
          <cell r="M495" t="str">
            <v>JUN 19</v>
          </cell>
          <cell r="N495">
            <v>43629</v>
          </cell>
          <cell r="O495">
            <v>11100297</v>
          </cell>
          <cell r="P495">
            <v>563500</v>
          </cell>
          <cell r="Q495">
            <v>43617</v>
          </cell>
          <cell r="R495" t="str">
            <v>Yes</v>
          </cell>
          <cell r="S495" t="str">
            <v>C49</v>
          </cell>
          <cell r="T495" t="str">
            <v>SOUTH</v>
          </cell>
          <cell r="U495" t="str">
            <v>深圳</v>
          </cell>
          <cell r="V495" t="str">
            <v>SZ 深圳</v>
          </cell>
          <cell r="W495" t="str">
            <v>JL</v>
          </cell>
          <cell r="X495" t="str">
            <v>RMB</v>
          </cell>
          <cell r="Y495">
            <v>563500</v>
          </cell>
          <cell r="Z495">
            <v>1.1299999999999999</v>
          </cell>
          <cell r="AA495">
            <v>563500</v>
          </cell>
          <cell r="AB495">
            <v>1.135</v>
          </cell>
          <cell r="AC495">
            <v>565993.36283185845</v>
          </cell>
          <cell r="AD495">
            <v>67919.203539823007</v>
          </cell>
          <cell r="AE495">
            <v>0.12</v>
          </cell>
          <cell r="AF495">
            <v>43622</v>
          </cell>
          <cell r="AG495" t="str">
            <v>含税到厂</v>
          </cell>
          <cell r="AK495">
            <v>1</v>
          </cell>
          <cell r="AL495">
            <v>563500</v>
          </cell>
          <cell r="AM495">
            <v>43617</v>
          </cell>
          <cell r="AN495" t="str">
            <v>Yes</v>
          </cell>
          <cell r="AO495" t="str">
            <v>complete</v>
          </cell>
          <cell r="AP495"/>
          <cell r="AQ495"/>
          <cell r="AS495"/>
          <cell r="AT495">
            <v>0</v>
          </cell>
          <cell r="AX495" t="str">
            <v>Yes</v>
          </cell>
          <cell r="AZ495" t="str">
            <v>Y</v>
          </cell>
          <cell r="BA495" t="str">
            <v>Yes</v>
          </cell>
        </row>
        <row r="496">
          <cell r="B496">
            <v>345</v>
          </cell>
          <cell r="C496" t="str">
            <v>C49SZX20190091JL</v>
          </cell>
          <cell r="D496" t="str">
            <v>达人高科</v>
          </cell>
          <cell r="E496" t="str">
            <v>YSM10</v>
          </cell>
          <cell r="F496" t="str">
            <v>#78008</v>
          </cell>
          <cell r="G496" t="e">
            <v>#REF!</v>
          </cell>
          <cell r="H496" t="e">
            <v>#REF!</v>
          </cell>
          <cell r="I496" t="str">
            <v>R-&gt;L</v>
          </cell>
          <cell r="J496" t="str">
            <v>No</v>
          </cell>
          <cell r="K496">
            <v>1</v>
          </cell>
          <cell r="L496">
            <v>109295</v>
          </cell>
          <cell r="M496" t="str">
            <v>JUN 19</v>
          </cell>
          <cell r="N496">
            <v>43629</v>
          </cell>
          <cell r="O496">
            <v>11100297</v>
          </cell>
          <cell r="P496">
            <v>563500</v>
          </cell>
          <cell r="Q496">
            <v>43617</v>
          </cell>
          <cell r="R496" t="str">
            <v>Yes</v>
          </cell>
          <cell r="S496" t="str">
            <v>C49</v>
          </cell>
          <cell r="T496" t="str">
            <v>SOUTH</v>
          </cell>
          <cell r="U496" t="str">
            <v>深圳</v>
          </cell>
          <cell r="V496" t="str">
            <v>SZ 深圳</v>
          </cell>
          <cell r="W496" t="str">
            <v>JL</v>
          </cell>
          <cell r="X496" t="str">
            <v>RMB</v>
          </cell>
          <cell r="Y496">
            <v>563500</v>
          </cell>
          <cell r="Z496">
            <v>1.1299999999999999</v>
          </cell>
          <cell r="AA496">
            <v>563500</v>
          </cell>
          <cell r="AB496">
            <v>1.135</v>
          </cell>
          <cell r="AC496">
            <v>565993.36283185845</v>
          </cell>
          <cell r="AD496">
            <v>67919.203539823007</v>
          </cell>
          <cell r="AE496">
            <v>0.12</v>
          </cell>
          <cell r="AF496">
            <v>43622</v>
          </cell>
          <cell r="AG496" t="str">
            <v>含税到厂</v>
          </cell>
          <cell r="AK496">
            <v>1</v>
          </cell>
          <cell r="AL496">
            <v>563500</v>
          </cell>
          <cell r="AM496">
            <v>43617</v>
          </cell>
          <cell r="AN496" t="str">
            <v>Yes</v>
          </cell>
          <cell r="AO496" t="str">
            <v>complete</v>
          </cell>
          <cell r="AP496"/>
          <cell r="AQ496"/>
          <cell r="AS496"/>
          <cell r="AT496">
            <v>0</v>
          </cell>
          <cell r="AX496" t="str">
            <v>Yes</v>
          </cell>
          <cell r="AZ496" t="str">
            <v>Y</v>
          </cell>
          <cell r="BA496" t="str">
            <v>Yes</v>
          </cell>
        </row>
        <row r="497">
          <cell r="B497">
            <v>346</v>
          </cell>
          <cell r="C497" t="str">
            <v>C49SZX20190094MZ</v>
          </cell>
          <cell r="D497" t="str">
            <v>崧盛</v>
          </cell>
          <cell r="E497" t="str">
            <v>YS24</v>
          </cell>
          <cell r="F497" t="str">
            <v>#03807</v>
          </cell>
          <cell r="G497" t="e">
            <v>#REF!</v>
          </cell>
          <cell r="H497" t="e">
            <v>#REF!</v>
          </cell>
          <cell r="I497" t="str">
            <v>L-&gt;R</v>
          </cell>
          <cell r="J497" t="str">
            <v>No</v>
          </cell>
          <cell r="K497">
            <v>1</v>
          </cell>
          <cell r="L497">
            <v>109622</v>
          </cell>
          <cell r="M497" t="str">
            <v>JUL 19</v>
          </cell>
          <cell r="N497">
            <v>43668</v>
          </cell>
          <cell r="O497">
            <v>11116310</v>
          </cell>
          <cell r="P497">
            <v>11022500</v>
          </cell>
          <cell r="Q497">
            <v>43647</v>
          </cell>
          <cell r="R497" t="str">
            <v>Yes</v>
          </cell>
          <cell r="S497" t="str">
            <v>C49</v>
          </cell>
          <cell r="T497" t="str">
            <v>SOUTH</v>
          </cell>
          <cell r="U497" t="str">
            <v>深圳</v>
          </cell>
          <cell r="V497" t="str">
            <v>SZ 深圳</v>
          </cell>
          <cell r="W497" t="str">
            <v>MZ</v>
          </cell>
          <cell r="X497" t="str">
            <v>JPY</v>
          </cell>
          <cell r="Y497">
            <v>11022500</v>
          </cell>
          <cell r="Z497">
            <v>1</v>
          </cell>
          <cell r="AA497">
            <v>11022500</v>
          </cell>
          <cell r="AB497">
            <v>7.3400000000000007E-2</v>
          </cell>
          <cell r="AC497">
            <v>809051.50000000012</v>
          </cell>
          <cell r="AD497">
            <v>97086.180000000008</v>
          </cell>
          <cell r="AE497">
            <v>0.12</v>
          </cell>
          <cell r="AF497">
            <v>43629</v>
          </cell>
          <cell r="AG497" t="str">
            <v>CIF HK</v>
          </cell>
          <cell r="AK497">
            <v>0.3</v>
          </cell>
          <cell r="AL497">
            <v>3306750</v>
          </cell>
          <cell r="AM497">
            <v>43617</v>
          </cell>
          <cell r="AN497" t="str">
            <v>Yes</v>
          </cell>
          <cell r="AO497">
            <v>0.65</v>
          </cell>
          <cell r="AP497">
            <v>7164625</v>
          </cell>
          <cell r="AQ497">
            <v>43647</v>
          </cell>
          <cell r="AR497">
            <v>43665</v>
          </cell>
          <cell r="AS497">
            <v>0.05</v>
          </cell>
          <cell r="AT497">
            <v>551125</v>
          </cell>
          <cell r="AU497">
            <v>43739</v>
          </cell>
          <cell r="AV497">
            <v>43747</v>
          </cell>
          <cell r="AZ497" t="str">
            <v>Y</v>
          </cell>
          <cell r="BA497" t="str">
            <v>Yes</v>
          </cell>
        </row>
        <row r="498">
          <cell r="B498">
            <v>347</v>
          </cell>
          <cell r="C498" t="str">
            <v>C49SZX20190094MZ</v>
          </cell>
          <cell r="D498" t="str">
            <v>崧盛</v>
          </cell>
          <cell r="E498" t="str">
            <v>YS24</v>
          </cell>
          <cell r="F498" t="str">
            <v>#03807</v>
          </cell>
          <cell r="G498" t="e">
            <v>#REF!</v>
          </cell>
          <cell r="H498" t="e">
            <v>#REF!</v>
          </cell>
          <cell r="I498" t="str">
            <v>L-&gt;R</v>
          </cell>
          <cell r="J498" t="str">
            <v>No</v>
          </cell>
          <cell r="K498">
            <v>1</v>
          </cell>
          <cell r="L498">
            <v>109622</v>
          </cell>
          <cell r="M498" t="str">
            <v>JUL 19</v>
          </cell>
          <cell r="N498">
            <v>43668</v>
          </cell>
          <cell r="O498">
            <v>11116310</v>
          </cell>
          <cell r="P498">
            <v>11022500</v>
          </cell>
          <cell r="Q498">
            <v>43647</v>
          </cell>
          <cell r="R498" t="str">
            <v>Yes</v>
          </cell>
          <cell r="S498" t="str">
            <v>C49</v>
          </cell>
          <cell r="T498" t="str">
            <v>SOUTH</v>
          </cell>
          <cell r="U498" t="str">
            <v>深圳</v>
          </cell>
          <cell r="V498" t="str">
            <v>SZ 深圳</v>
          </cell>
          <cell r="W498" t="str">
            <v>MZ</v>
          </cell>
          <cell r="X498" t="str">
            <v>JPY</v>
          </cell>
          <cell r="Y498">
            <v>11022500</v>
          </cell>
          <cell r="Z498">
            <v>1</v>
          </cell>
          <cell r="AA498">
            <v>11022500</v>
          </cell>
          <cell r="AB498">
            <v>7.3400000000000007E-2</v>
          </cell>
          <cell r="AC498">
            <v>809051.50000000012</v>
          </cell>
          <cell r="AD498">
            <v>97086.180000000008</v>
          </cell>
          <cell r="AE498">
            <v>0.12</v>
          </cell>
          <cell r="AF498">
            <v>43629</v>
          </cell>
          <cell r="AG498" t="str">
            <v>CIF HK</v>
          </cell>
          <cell r="AK498">
            <v>0.3</v>
          </cell>
          <cell r="AL498">
            <v>3306750</v>
          </cell>
          <cell r="AM498">
            <v>43617</v>
          </cell>
          <cell r="AN498" t="str">
            <v>Yes</v>
          </cell>
          <cell r="AO498">
            <v>0.65</v>
          </cell>
          <cell r="AP498">
            <v>7164625</v>
          </cell>
          <cell r="AQ498">
            <v>43647</v>
          </cell>
          <cell r="AR498">
            <v>43665</v>
          </cell>
          <cell r="AS498">
            <v>0.05</v>
          </cell>
          <cell r="AT498">
            <v>551125</v>
          </cell>
          <cell r="AU498">
            <v>43739</v>
          </cell>
          <cell r="AV498">
            <v>43747</v>
          </cell>
          <cell r="AZ498" t="str">
            <v>Y</v>
          </cell>
          <cell r="BA498" t="str">
            <v>Yes</v>
          </cell>
        </row>
        <row r="499">
          <cell r="B499">
            <v>348</v>
          </cell>
          <cell r="C499" t="str">
            <v>C49SZX20190094MZ</v>
          </cell>
          <cell r="D499" t="str">
            <v>崧盛</v>
          </cell>
          <cell r="E499" t="str">
            <v>YSM10</v>
          </cell>
          <cell r="F499" t="str">
            <v>#03807</v>
          </cell>
          <cell r="G499" t="e">
            <v>#REF!</v>
          </cell>
          <cell r="H499" t="e">
            <v>#REF!</v>
          </cell>
          <cell r="I499" t="str">
            <v>L-&gt;R</v>
          </cell>
          <cell r="J499" t="str">
            <v>No</v>
          </cell>
          <cell r="K499">
            <v>1</v>
          </cell>
          <cell r="L499">
            <v>109565</v>
          </cell>
          <cell r="M499" t="str">
            <v>JUL 19</v>
          </cell>
          <cell r="N499">
            <v>43668</v>
          </cell>
          <cell r="O499">
            <v>11116310</v>
          </cell>
          <cell r="P499">
            <v>9000000</v>
          </cell>
          <cell r="Q499">
            <v>43647</v>
          </cell>
          <cell r="R499" t="str">
            <v>Yes</v>
          </cell>
          <cell r="S499" t="str">
            <v>C49</v>
          </cell>
          <cell r="T499" t="str">
            <v>SOUTH</v>
          </cell>
          <cell r="U499" t="str">
            <v>深圳</v>
          </cell>
          <cell r="V499" t="str">
            <v>SZ 深圳</v>
          </cell>
          <cell r="W499" t="str">
            <v>MZ</v>
          </cell>
          <cell r="X499" t="str">
            <v>JPY</v>
          </cell>
          <cell r="Y499">
            <v>9000000</v>
          </cell>
          <cell r="Z499">
            <v>1</v>
          </cell>
          <cell r="AA499">
            <v>9000000</v>
          </cell>
          <cell r="AB499">
            <v>7.3400000000000007E-2</v>
          </cell>
          <cell r="AC499">
            <v>660600.00000000012</v>
          </cell>
          <cell r="AD499">
            <v>79272.000000000015</v>
          </cell>
          <cell r="AE499">
            <v>0.12</v>
          </cell>
          <cell r="AF499">
            <v>43629</v>
          </cell>
          <cell r="AG499" t="str">
            <v>CIF HK</v>
          </cell>
          <cell r="AK499">
            <v>0.3</v>
          </cell>
          <cell r="AL499">
            <v>2700000</v>
          </cell>
          <cell r="AM499">
            <v>43617</v>
          </cell>
          <cell r="AN499" t="str">
            <v>Yes</v>
          </cell>
          <cell r="AO499">
            <v>0.65</v>
          </cell>
          <cell r="AP499">
            <v>5850000</v>
          </cell>
          <cell r="AQ499">
            <v>43647</v>
          </cell>
          <cell r="AR499">
            <v>43665</v>
          </cell>
          <cell r="AS499">
            <v>0.05</v>
          </cell>
          <cell r="AT499">
            <v>450000</v>
          </cell>
          <cell r="AU499">
            <v>43739</v>
          </cell>
          <cell r="AV499">
            <v>43747</v>
          </cell>
          <cell r="AZ499" t="str">
            <v>Y</v>
          </cell>
          <cell r="BA499" t="str">
            <v>Yes</v>
          </cell>
        </row>
        <row r="500">
          <cell r="B500">
            <v>349</v>
          </cell>
          <cell r="C500" t="str">
            <v>C49SZX20190094MZ</v>
          </cell>
          <cell r="D500" t="str">
            <v>崧盛</v>
          </cell>
          <cell r="E500" t="str">
            <v>YSM10</v>
          </cell>
          <cell r="F500" t="str">
            <v>#03807</v>
          </cell>
          <cell r="G500" t="e">
            <v>#REF!</v>
          </cell>
          <cell r="H500" t="e">
            <v>#REF!</v>
          </cell>
          <cell r="I500" t="str">
            <v>L-&gt;R</v>
          </cell>
          <cell r="J500" t="str">
            <v>No</v>
          </cell>
          <cell r="K500">
            <v>1</v>
          </cell>
          <cell r="L500">
            <v>109565</v>
          </cell>
          <cell r="M500" t="str">
            <v>JUL 19</v>
          </cell>
          <cell r="N500">
            <v>43668</v>
          </cell>
          <cell r="O500">
            <v>11116310</v>
          </cell>
          <cell r="P500">
            <v>9000000</v>
          </cell>
          <cell r="Q500">
            <v>43647</v>
          </cell>
          <cell r="R500" t="str">
            <v>Yes</v>
          </cell>
          <cell r="S500" t="str">
            <v>C49</v>
          </cell>
          <cell r="T500" t="str">
            <v>SOUTH</v>
          </cell>
          <cell r="U500" t="str">
            <v>深圳</v>
          </cell>
          <cell r="V500" t="str">
            <v>SZ 深圳</v>
          </cell>
          <cell r="W500" t="str">
            <v>MZ</v>
          </cell>
          <cell r="X500" t="str">
            <v>JPY</v>
          </cell>
          <cell r="Y500">
            <v>9000000</v>
          </cell>
          <cell r="Z500">
            <v>1</v>
          </cell>
          <cell r="AA500">
            <v>9000000</v>
          </cell>
          <cell r="AB500">
            <v>7.3400000000000007E-2</v>
          </cell>
          <cell r="AC500">
            <v>660600.00000000012</v>
          </cell>
          <cell r="AD500">
            <v>79272.000000000015</v>
          </cell>
          <cell r="AE500">
            <v>0.12</v>
          </cell>
          <cell r="AF500">
            <v>43629</v>
          </cell>
          <cell r="AG500" t="str">
            <v>CIF HK</v>
          </cell>
          <cell r="AK500">
            <v>0.3</v>
          </cell>
          <cell r="AL500">
            <v>2700000</v>
          </cell>
          <cell r="AM500">
            <v>43617</v>
          </cell>
          <cell r="AN500" t="str">
            <v>Yes</v>
          </cell>
          <cell r="AO500">
            <v>0.65</v>
          </cell>
          <cell r="AP500">
            <v>5850000</v>
          </cell>
          <cell r="AQ500">
            <v>43647</v>
          </cell>
          <cell r="AR500">
            <v>43665</v>
          </cell>
          <cell r="AS500">
            <v>0.05</v>
          </cell>
          <cell r="AT500">
            <v>450000</v>
          </cell>
          <cell r="AU500">
            <v>43739</v>
          </cell>
          <cell r="AV500">
            <v>43747</v>
          </cell>
          <cell r="AZ500" t="str">
            <v>Y</v>
          </cell>
          <cell r="BA500" t="str">
            <v>Yes</v>
          </cell>
        </row>
        <row r="501">
          <cell r="B501">
            <v>350</v>
          </cell>
          <cell r="C501" t="str">
            <v>C49SZX20190094MZ</v>
          </cell>
          <cell r="D501" t="str">
            <v>崧盛</v>
          </cell>
          <cell r="E501" t="str">
            <v>YSM10</v>
          </cell>
          <cell r="F501" t="str">
            <v>#03807</v>
          </cell>
          <cell r="G501" t="e">
            <v>#REF!</v>
          </cell>
          <cell r="H501" t="e">
            <v>#REF!</v>
          </cell>
          <cell r="I501" t="str">
            <v>R-&gt;L</v>
          </cell>
          <cell r="J501" t="str">
            <v>No</v>
          </cell>
          <cell r="K501">
            <v>1</v>
          </cell>
          <cell r="L501">
            <v>109565</v>
          </cell>
          <cell r="M501" t="str">
            <v>JUL 19</v>
          </cell>
          <cell r="N501">
            <v>43668</v>
          </cell>
          <cell r="O501">
            <v>11116310</v>
          </cell>
          <cell r="P501">
            <v>9000000</v>
          </cell>
          <cell r="Q501">
            <v>43647</v>
          </cell>
          <cell r="R501" t="str">
            <v>Yes</v>
          </cell>
          <cell r="S501" t="str">
            <v>C49</v>
          </cell>
          <cell r="T501" t="str">
            <v>SOUTH</v>
          </cell>
          <cell r="U501" t="str">
            <v>深圳</v>
          </cell>
          <cell r="V501" t="str">
            <v>SZ 深圳</v>
          </cell>
          <cell r="W501" t="str">
            <v>MZ</v>
          </cell>
          <cell r="X501" t="str">
            <v>JPY</v>
          </cell>
          <cell r="Y501">
            <v>9000000</v>
          </cell>
          <cell r="Z501">
            <v>1</v>
          </cell>
          <cell r="AA501">
            <v>9000000</v>
          </cell>
          <cell r="AB501">
            <v>7.3400000000000007E-2</v>
          </cell>
          <cell r="AC501">
            <v>660600.00000000012</v>
          </cell>
          <cell r="AD501">
            <v>79272.000000000015</v>
          </cell>
          <cell r="AE501">
            <v>0.12</v>
          </cell>
          <cell r="AF501">
            <v>43629</v>
          </cell>
          <cell r="AG501" t="str">
            <v>CIF HK</v>
          </cell>
          <cell r="AK501">
            <v>0.3</v>
          </cell>
          <cell r="AL501">
            <v>2700000</v>
          </cell>
          <cell r="AM501">
            <v>43617</v>
          </cell>
          <cell r="AN501" t="str">
            <v>Yes</v>
          </cell>
          <cell r="AO501">
            <v>0.65</v>
          </cell>
          <cell r="AP501">
            <v>5850000</v>
          </cell>
          <cell r="AQ501">
            <v>43647</v>
          </cell>
          <cell r="AR501">
            <v>43665</v>
          </cell>
          <cell r="AS501">
            <v>0.05</v>
          </cell>
          <cell r="AT501">
            <v>450000</v>
          </cell>
          <cell r="AU501">
            <v>43739</v>
          </cell>
          <cell r="AV501">
            <v>43747</v>
          </cell>
          <cell r="AZ501" t="str">
            <v>Y</v>
          </cell>
          <cell r="BA501" t="str">
            <v>Yes</v>
          </cell>
        </row>
        <row r="502">
          <cell r="B502">
            <v>351</v>
          </cell>
          <cell r="C502" t="str">
            <v>C49SZX20190150JY</v>
          </cell>
          <cell r="D502" t="str">
            <v>尖端电子 end user海凌科达</v>
          </cell>
          <cell r="E502" t="str">
            <v>YSM10</v>
          </cell>
          <cell r="F502" t="str">
            <v>#67702</v>
          </cell>
          <cell r="G502" t="e">
            <v>#REF!</v>
          </cell>
          <cell r="H502" t="e">
            <v>#REF!</v>
          </cell>
          <cell r="I502" t="str">
            <v>R-&gt;L</v>
          </cell>
          <cell r="J502" t="str">
            <v>HM5</v>
          </cell>
          <cell r="K502">
            <v>1</v>
          </cell>
          <cell r="L502">
            <v>109665</v>
          </cell>
          <cell r="M502" t="str">
            <v>OCT 19</v>
          </cell>
          <cell r="N502">
            <v>43767</v>
          </cell>
          <cell r="O502">
            <v>11116331</v>
          </cell>
          <cell r="P502">
            <v>8646865</v>
          </cell>
          <cell r="Q502">
            <v>43739</v>
          </cell>
          <cell r="R502" t="str">
            <v>No</v>
          </cell>
          <cell r="S502" t="str">
            <v>C49</v>
          </cell>
          <cell r="T502" t="str">
            <v>SOUTH</v>
          </cell>
          <cell r="U502" t="str">
            <v>深圳</v>
          </cell>
          <cell r="V502" t="str">
            <v>SZ 深圳</v>
          </cell>
          <cell r="W502" t="str">
            <v>JY</v>
          </cell>
          <cell r="X502" t="str">
            <v>JPY</v>
          </cell>
          <cell r="Y502">
            <v>8646865</v>
          </cell>
          <cell r="Z502">
            <v>1</v>
          </cell>
          <cell r="AA502">
            <v>8000000</v>
          </cell>
          <cell r="AB502">
            <v>7.4099999999999999E-2</v>
          </cell>
          <cell r="AC502">
            <v>592800</v>
          </cell>
          <cell r="AD502">
            <v>71136</v>
          </cell>
          <cell r="AE502">
            <v>0.12</v>
          </cell>
          <cell r="AF502">
            <v>43760</v>
          </cell>
          <cell r="AG502" t="str">
            <v>CIF HK</v>
          </cell>
          <cell r="AK502">
            <v>0.1</v>
          </cell>
          <cell r="AL502">
            <v>763333</v>
          </cell>
          <cell r="AM502">
            <v>43647</v>
          </cell>
          <cell r="AN502" t="str">
            <v>Yes</v>
          </cell>
          <cell r="AO502">
            <v>0.9</v>
          </cell>
          <cell r="AP502">
            <v>7200000</v>
          </cell>
          <cell r="AQ502">
            <v>43739</v>
          </cell>
          <cell r="AR502">
            <v>43762</v>
          </cell>
          <cell r="AS502"/>
          <cell r="AT502">
            <v>0</v>
          </cell>
          <cell r="AX502" t="str">
            <v>Yes</v>
          </cell>
          <cell r="AZ502" t="str">
            <v>Y</v>
          </cell>
          <cell r="BA502" t="str">
            <v>Yes</v>
          </cell>
        </row>
        <row r="503">
          <cell r="B503">
            <v>352</v>
          </cell>
          <cell r="C503" t="str">
            <v>C49SZX20190150JY</v>
          </cell>
          <cell r="D503" t="str">
            <v>尖端电子 end user海凌科达</v>
          </cell>
          <cell r="E503" t="str">
            <v>YSM10</v>
          </cell>
          <cell r="F503" t="str">
            <v>#67702</v>
          </cell>
          <cell r="G503" t="e">
            <v>#REF!</v>
          </cell>
          <cell r="H503" t="e">
            <v>#REF!</v>
          </cell>
          <cell r="I503" t="str">
            <v>L-&gt;R</v>
          </cell>
          <cell r="J503" t="str">
            <v>No</v>
          </cell>
          <cell r="K503">
            <v>1</v>
          </cell>
          <cell r="L503">
            <v>109665</v>
          </cell>
          <cell r="M503" t="str">
            <v>OCT 19</v>
          </cell>
          <cell r="N503">
            <v>43767</v>
          </cell>
          <cell r="O503">
            <v>11116331</v>
          </cell>
          <cell r="P503">
            <v>8646865</v>
          </cell>
          <cell r="Q503">
            <v>43739</v>
          </cell>
          <cell r="R503" t="str">
            <v>No</v>
          </cell>
          <cell r="S503" t="str">
            <v>C49</v>
          </cell>
          <cell r="T503" t="str">
            <v>SOUTH</v>
          </cell>
          <cell r="U503" t="str">
            <v>深圳</v>
          </cell>
          <cell r="V503" t="str">
            <v>SZ 深圳</v>
          </cell>
          <cell r="W503" t="str">
            <v>JY</v>
          </cell>
          <cell r="X503" t="str">
            <v>JPY</v>
          </cell>
          <cell r="Y503">
            <v>8646865</v>
          </cell>
          <cell r="Z503">
            <v>1</v>
          </cell>
          <cell r="AA503">
            <v>8646865</v>
          </cell>
          <cell r="AB503">
            <v>7.4099999999999999E-2</v>
          </cell>
          <cell r="AC503">
            <v>640732.69649999996</v>
          </cell>
          <cell r="AD503">
            <v>76887.923579999988</v>
          </cell>
          <cell r="AE503">
            <v>0.12</v>
          </cell>
          <cell r="AF503">
            <v>43760</v>
          </cell>
          <cell r="AG503" t="str">
            <v>CIF HK</v>
          </cell>
          <cell r="AK503">
            <v>0.1</v>
          </cell>
          <cell r="AL503">
            <v>864686.5</v>
          </cell>
          <cell r="AM503">
            <v>43647</v>
          </cell>
          <cell r="AN503" t="str">
            <v>Yes</v>
          </cell>
          <cell r="AO503">
            <v>0.9</v>
          </cell>
          <cell r="AP503">
            <v>8300000</v>
          </cell>
          <cell r="AQ503">
            <v>43739</v>
          </cell>
          <cell r="AR503">
            <v>43762</v>
          </cell>
          <cell r="AS503"/>
          <cell r="AT503">
            <v>0</v>
          </cell>
          <cell r="AX503" t="str">
            <v>Yes</v>
          </cell>
          <cell r="AZ503" t="str">
            <v>Y</v>
          </cell>
          <cell r="BA503" t="str">
            <v>Yes</v>
          </cell>
        </row>
        <row r="504">
          <cell r="B504">
            <v>353</v>
          </cell>
          <cell r="C504" t="str">
            <v>C49SZX20190150JY</v>
          </cell>
          <cell r="D504" t="str">
            <v>尖端电子 end user海凌科达</v>
          </cell>
          <cell r="E504" t="str">
            <v>YSM10</v>
          </cell>
          <cell r="F504" t="str">
            <v>#67702</v>
          </cell>
          <cell r="G504" t="e">
            <v>#REF!</v>
          </cell>
          <cell r="H504" t="e">
            <v>#REF!</v>
          </cell>
          <cell r="I504" t="str">
            <v>L-&gt;R</v>
          </cell>
          <cell r="J504" t="str">
            <v>MVC+Rear 站位</v>
          </cell>
          <cell r="K504">
            <v>1</v>
          </cell>
          <cell r="L504">
            <v>109588</v>
          </cell>
          <cell r="M504" t="str">
            <v>OCT 19</v>
          </cell>
          <cell r="N504">
            <v>43767</v>
          </cell>
          <cell r="O504">
            <v>11116331</v>
          </cell>
          <cell r="P504">
            <v>8646865</v>
          </cell>
          <cell r="Q504">
            <v>43739</v>
          </cell>
          <cell r="R504" t="str">
            <v>No</v>
          </cell>
          <cell r="S504" t="str">
            <v>C49</v>
          </cell>
          <cell r="T504" t="str">
            <v>SOUTH</v>
          </cell>
          <cell r="U504" t="str">
            <v>深圳</v>
          </cell>
          <cell r="V504" t="str">
            <v>SZ 深圳</v>
          </cell>
          <cell r="W504" t="str">
            <v>JY</v>
          </cell>
          <cell r="X504" t="str">
            <v>JPY</v>
          </cell>
          <cell r="Y504">
            <v>8646865</v>
          </cell>
          <cell r="Z504">
            <v>1</v>
          </cell>
          <cell r="AA504">
            <v>8646865</v>
          </cell>
          <cell r="AB504">
            <v>7.4099999999999999E-2</v>
          </cell>
          <cell r="AC504">
            <v>640732.69649999996</v>
          </cell>
          <cell r="AD504">
            <v>76887.923579999988</v>
          </cell>
          <cell r="AE504">
            <v>0.12</v>
          </cell>
          <cell r="AF504">
            <v>43760</v>
          </cell>
          <cell r="AG504" t="str">
            <v>CIF HK</v>
          </cell>
          <cell r="AK504">
            <v>0.1</v>
          </cell>
          <cell r="AL504">
            <v>864686.5</v>
          </cell>
          <cell r="AM504">
            <v>43647</v>
          </cell>
          <cell r="AN504" t="str">
            <v>Yes</v>
          </cell>
          <cell r="AO504">
            <v>0.9</v>
          </cell>
          <cell r="AP504">
            <v>7782178.5</v>
          </cell>
          <cell r="AQ504">
            <v>43739</v>
          </cell>
          <cell r="AR504">
            <v>43762</v>
          </cell>
          <cell r="AS504"/>
          <cell r="AT504">
            <v>0</v>
          </cell>
          <cell r="AX504" t="str">
            <v>Yes</v>
          </cell>
          <cell r="AZ504" t="str">
            <v>Y</v>
          </cell>
          <cell r="BA504" t="str">
            <v>Yes</v>
          </cell>
        </row>
        <row r="505">
          <cell r="B505">
            <v>354</v>
          </cell>
          <cell r="C505" t="str">
            <v>C49SZX20190095ZX</v>
          </cell>
          <cell r="D505" t="str">
            <v>恒泰创新</v>
          </cell>
          <cell r="E505" t="str">
            <v>YSM20R(SV)-2</v>
          </cell>
          <cell r="F505" t="str">
            <v>#03619</v>
          </cell>
          <cell r="G505" t="e">
            <v>#REF!</v>
          </cell>
          <cell r="H505" t="e">
            <v>#REF!</v>
          </cell>
          <cell r="I505" t="str">
            <v>L-&gt;R</v>
          </cell>
          <cell r="J505" t="str">
            <v>MVC</v>
          </cell>
          <cell r="K505">
            <v>1</v>
          </cell>
          <cell r="L505">
            <v>109497</v>
          </cell>
          <cell r="M505" t="str">
            <v>JUN 19</v>
          </cell>
          <cell r="N505">
            <v>43642</v>
          </cell>
          <cell r="O505">
            <v>11100301</v>
          </cell>
          <cell r="P505">
            <v>1010000</v>
          </cell>
          <cell r="Q505">
            <v>43617</v>
          </cell>
          <cell r="R505" t="str">
            <v>No</v>
          </cell>
          <cell r="S505" t="str">
            <v>C49</v>
          </cell>
          <cell r="T505" t="str">
            <v>SOUTH</v>
          </cell>
          <cell r="U505" t="str">
            <v>深圳</v>
          </cell>
          <cell r="V505" t="str">
            <v>SZ 深圳</v>
          </cell>
          <cell r="W505" t="str">
            <v>ZX</v>
          </cell>
          <cell r="X505" t="str">
            <v>RMB</v>
          </cell>
          <cell r="Y505">
            <v>1010000</v>
          </cell>
          <cell r="Z505">
            <v>1.1299999999999999</v>
          </cell>
          <cell r="AA505">
            <v>1010000</v>
          </cell>
          <cell r="AB505">
            <v>1.135</v>
          </cell>
          <cell r="AC505">
            <v>1014469.0265486727</v>
          </cell>
          <cell r="AD505">
            <v>121736.28318584072</v>
          </cell>
          <cell r="AE505">
            <v>0.12</v>
          </cell>
          <cell r="AF505">
            <v>43633</v>
          </cell>
          <cell r="AG505" t="str">
            <v>含税到厂</v>
          </cell>
          <cell r="AK505" t="str">
            <v>agree</v>
          </cell>
          <cell r="AL505">
            <v>200000</v>
          </cell>
          <cell r="AM505">
            <v>43617</v>
          </cell>
          <cell r="AN505" t="str">
            <v>Yes</v>
          </cell>
          <cell r="AO505" t="str">
            <v>agree</v>
          </cell>
          <cell r="AP505">
            <v>600000</v>
          </cell>
          <cell r="AQ505">
            <v>43617</v>
          </cell>
          <cell r="AR505">
            <v>43640</v>
          </cell>
          <cell r="AS505" t="str">
            <v>agree</v>
          </cell>
          <cell r="AT505">
            <v>210000</v>
          </cell>
          <cell r="AU505">
            <v>43617</v>
          </cell>
          <cell r="AV505">
            <v>43635</v>
          </cell>
          <cell r="AW505" t="str">
            <v>complete</v>
          </cell>
          <cell r="AX505" t="str">
            <v>Yes</v>
          </cell>
          <cell r="AZ505" t="str">
            <v>Y</v>
          </cell>
          <cell r="BA505" t="str">
            <v>Yes</v>
          </cell>
        </row>
        <row r="506">
          <cell r="B506">
            <v>355</v>
          </cell>
          <cell r="C506" t="str">
            <v>C49SZX20190099SX</v>
          </cell>
          <cell r="D506" t="str">
            <v>柏星</v>
          </cell>
          <cell r="E506" t="str">
            <v>YSM10</v>
          </cell>
          <cell r="F506" t="str">
            <v>#03362</v>
          </cell>
          <cell r="G506" t="e">
            <v>#REF!</v>
          </cell>
          <cell r="H506" t="e">
            <v>#REF!</v>
          </cell>
          <cell r="I506" t="str">
            <v>L-&gt;R</v>
          </cell>
          <cell r="J506" t="str">
            <v>No</v>
          </cell>
          <cell r="K506">
            <v>1</v>
          </cell>
          <cell r="L506">
            <v>109295</v>
          </cell>
          <cell r="M506" t="str">
            <v>JUN 19</v>
          </cell>
          <cell r="N506">
            <v>43640</v>
          </cell>
          <cell r="O506">
            <v>11100300</v>
          </cell>
          <cell r="P506">
            <v>580000</v>
          </cell>
          <cell r="Q506">
            <v>43617</v>
          </cell>
          <cell r="R506" t="str">
            <v>No</v>
          </cell>
          <cell r="S506" t="str">
            <v>C49</v>
          </cell>
          <cell r="T506" t="str">
            <v>SOUTH</v>
          </cell>
          <cell r="U506" t="str">
            <v>深圳</v>
          </cell>
          <cell r="V506" t="str">
            <v>SZ 深圳</v>
          </cell>
          <cell r="W506" t="str">
            <v>SX</v>
          </cell>
          <cell r="X506" t="str">
            <v>RMB</v>
          </cell>
          <cell r="Y506">
            <v>580000</v>
          </cell>
          <cell r="Z506">
            <v>1.1299999999999999</v>
          </cell>
          <cell r="AA506">
            <v>580000</v>
          </cell>
          <cell r="AB506">
            <v>1.135</v>
          </cell>
          <cell r="AC506">
            <v>582566.37168141594</v>
          </cell>
          <cell r="AD506">
            <v>69907.964601769912</v>
          </cell>
          <cell r="AE506">
            <v>0.12</v>
          </cell>
          <cell r="AF506">
            <v>43634</v>
          </cell>
          <cell r="AG506" t="str">
            <v>含税到厂</v>
          </cell>
          <cell r="AK506" t="str">
            <v>agree</v>
          </cell>
          <cell r="AL506">
            <v>80000</v>
          </cell>
          <cell r="AM506">
            <v>43617</v>
          </cell>
          <cell r="AN506" t="str">
            <v>Yes</v>
          </cell>
          <cell r="AO506" t="str">
            <v>agree</v>
          </cell>
          <cell r="AP506">
            <v>500000</v>
          </cell>
          <cell r="AQ506">
            <v>43617</v>
          </cell>
          <cell r="AR506">
            <v>43634</v>
          </cell>
          <cell r="AS506" t="str">
            <v>complete</v>
          </cell>
          <cell r="AT506"/>
          <cell r="AX506" t="str">
            <v>Yes</v>
          </cell>
          <cell r="AZ506" t="str">
            <v>Y</v>
          </cell>
          <cell r="BA506" t="str">
            <v>Yes</v>
          </cell>
        </row>
        <row r="507">
          <cell r="B507">
            <v>356</v>
          </cell>
          <cell r="C507" t="str">
            <v>C49SZX20190100SX</v>
          </cell>
          <cell r="D507" t="str">
            <v>永顺创</v>
          </cell>
          <cell r="E507" t="str">
            <v>YSM10</v>
          </cell>
          <cell r="F507" t="str">
            <v>#81385</v>
          </cell>
          <cell r="G507" t="e">
            <v>#REF!</v>
          </cell>
          <cell r="H507" t="e">
            <v>#REF!</v>
          </cell>
          <cell r="I507" t="str">
            <v>L-&gt;R</v>
          </cell>
          <cell r="J507" t="str">
            <v>MVC+ATS15</v>
          </cell>
          <cell r="K507">
            <v>1</v>
          </cell>
          <cell r="L507">
            <v>109344</v>
          </cell>
          <cell r="M507" t="str">
            <v>JUL 19</v>
          </cell>
          <cell r="N507">
            <v>43647</v>
          </cell>
          <cell r="O507">
            <v>11100306</v>
          </cell>
          <cell r="P507">
            <v>650000</v>
          </cell>
          <cell r="Q507">
            <v>43647</v>
          </cell>
          <cell r="R507" t="str">
            <v>No</v>
          </cell>
          <cell r="S507" t="str">
            <v>C49</v>
          </cell>
          <cell r="T507" t="str">
            <v>SOUTH</v>
          </cell>
          <cell r="U507" t="str">
            <v>深圳</v>
          </cell>
          <cell r="V507" t="str">
            <v>SZ 深圳</v>
          </cell>
          <cell r="W507" t="str">
            <v>SX</v>
          </cell>
          <cell r="X507" t="str">
            <v>RMB</v>
          </cell>
          <cell r="Y507">
            <v>650000</v>
          </cell>
          <cell r="Z507">
            <v>1.1299999999999999</v>
          </cell>
          <cell r="AA507">
            <v>650000</v>
          </cell>
          <cell r="AB507">
            <v>1.135</v>
          </cell>
          <cell r="AC507">
            <v>652876.10619469034</v>
          </cell>
          <cell r="AD507">
            <v>78345.132743362832</v>
          </cell>
          <cell r="AE507">
            <v>0.12</v>
          </cell>
          <cell r="AF507">
            <v>43633</v>
          </cell>
          <cell r="AG507" t="str">
            <v>含税到厂</v>
          </cell>
          <cell r="AK507">
            <v>0.2</v>
          </cell>
          <cell r="AL507">
            <v>130000</v>
          </cell>
          <cell r="AM507">
            <v>43617</v>
          </cell>
          <cell r="AN507" t="str">
            <v>Yes</v>
          </cell>
          <cell r="AO507">
            <v>0.8</v>
          </cell>
          <cell r="AP507">
            <v>520000</v>
          </cell>
          <cell r="AQ507">
            <v>43617</v>
          </cell>
          <cell r="AR507">
            <v>43642</v>
          </cell>
          <cell r="AS507" t="str">
            <v>complete</v>
          </cell>
          <cell r="AT507"/>
          <cell r="AX507" t="str">
            <v>Yes</v>
          </cell>
          <cell r="AZ507" t="str">
            <v>Y</v>
          </cell>
          <cell r="BA507" t="str">
            <v>Yes</v>
          </cell>
        </row>
        <row r="508">
          <cell r="B508">
            <v>357</v>
          </cell>
          <cell r="C508" t="str">
            <v>C49SZX20190101KW</v>
          </cell>
          <cell r="D508" t="str">
            <v>伟盛贸易(富洛）/晶科</v>
          </cell>
          <cell r="E508" t="str">
            <v>SIGMA G5S2</v>
          </cell>
          <cell r="F508" t="str">
            <v>#03804</v>
          </cell>
          <cell r="G508" t="e">
            <v>#REF!</v>
          </cell>
          <cell r="H508" t="e">
            <v>#REF!</v>
          </cell>
          <cell r="I508" t="str">
            <v>L-&gt;R</v>
          </cell>
          <cell r="J508" t="str">
            <v>No</v>
          </cell>
          <cell r="K508">
            <v>1</v>
          </cell>
          <cell r="L508">
            <v>109623</v>
          </cell>
          <cell r="M508" t="str">
            <v>AUG 19</v>
          </cell>
          <cell r="N508">
            <v>43686</v>
          </cell>
          <cell r="O508">
            <v>11116320</v>
          </cell>
          <cell r="P508">
            <v>18449000</v>
          </cell>
          <cell r="Q508">
            <v>43678</v>
          </cell>
          <cell r="R508" t="str">
            <v>Yes</v>
          </cell>
          <cell r="S508" t="str">
            <v>C49</v>
          </cell>
          <cell r="T508" t="str">
            <v>SOUTH</v>
          </cell>
          <cell r="U508" t="str">
            <v>香港</v>
          </cell>
          <cell r="V508" t="str">
            <v>SZ 深圳</v>
          </cell>
          <cell r="W508" t="str">
            <v>KW</v>
          </cell>
          <cell r="X508" t="str">
            <v>JPY</v>
          </cell>
          <cell r="Y508">
            <v>18449000</v>
          </cell>
          <cell r="Z508">
            <v>1</v>
          </cell>
          <cell r="AA508">
            <v>18449000</v>
          </cell>
          <cell r="AB508">
            <v>7.3999999999999996E-2</v>
          </cell>
          <cell r="AC508">
            <v>1365226</v>
          </cell>
          <cell r="AD508">
            <v>163827.12</v>
          </cell>
          <cell r="AE508">
            <v>0.12</v>
          </cell>
          <cell r="AF508">
            <v>43633</v>
          </cell>
          <cell r="AG508" t="str">
            <v>CIF HK</v>
          </cell>
          <cell r="AK508">
            <v>0.3</v>
          </cell>
          <cell r="AL508">
            <v>5534700</v>
          </cell>
          <cell r="AM508">
            <v>43617</v>
          </cell>
          <cell r="AN508" t="str">
            <v>Yes</v>
          </cell>
          <cell r="AO508">
            <v>0.6</v>
          </cell>
          <cell r="AP508">
            <v>11069400</v>
          </cell>
          <cell r="AQ508">
            <v>43678</v>
          </cell>
          <cell r="AR508">
            <v>43684</v>
          </cell>
          <cell r="AS508">
            <v>0.1</v>
          </cell>
          <cell r="AT508">
            <v>1844900</v>
          </cell>
          <cell r="AU508">
            <v>43770</v>
          </cell>
          <cell r="AV508">
            <v>43791</v>
          </cell>
          <cell r="AW508" t="str">
            <v>complete</v>
          </cell>
          <cell r="AX508" t="str">
            <v>Yes</v>
          </cell>
          <cell r="AZ508" t="str">
            <v>Y</v>
          </cell>
          <cell r="BA508" t="str">
            <v>Yes</v>
          </cell>
        </row>
        <row r="509">
          <cell r="B509">
            <v>358</v>
          </cell>
          <cell r="C509" t="str">
            <v>C49SZX20190101KW</v>
          </cell>
          <cell r="D509" t="str">
            <v>伟盛贸易(富洛）/晶科</v>
          </cell>
          <cell r="E509" t="str">
            <v>SIGMA G5S2</v>
          </cell>
          <cell r="F509" t="str">
            <v>#03804</v>
          </cell>
          <cell r="G509" t="e">
            <v>#REF!</v>
          </cell>
          <cell r="H509" t="e">
            <v>#REF!</v>
          </cell>
          <cell r="I509" t="str">
            <v>L-&gt;R</v>
          </cell>
          <cell r="J509" t="str">
            <v>No</v>
          </cell>
          <cell r="K509">
            <v>1</v>
          </cell>
          <cell r="L509">
            <v>109623</v>
          </cell>
          <cell r="M509" t="str">
            <v>AUG 19</v>
          </cell>
          <cell r="N509">
            <v>43686</v>
          </cell>
          <cell r="O509">
            <v>11116320</v>
          </cell>
          <cell r="P509">
            <v>18449000</v>
          </cell>
          <cell r="Q509">
            <v>43678</v>
          </cell>
          <cell r="R509" t="str">
            <v>Yes</v>
          </cell>
          <cell r="S509" t="str">
            <v>C49</v>
          </cell>
          <cell r="T509" t="str">
            <v>SOUTH</v>
          </cell>
          <cell r="U509" t="str">
            <v>香港</v>
          </cell>
          <cell r="V509" t="str">
            <v>SZ 深圳</v>
          </cell>
          <cell r="W509" t="str">
            <v>KW</v>
          </cell>
          <cell r="X509" t="str">
            <v>JPY</v>
          </cell>
          <cell r="Y509">
            <v>18449000</v>
          </cell>
          <cell r="Z509">
            <v>1</v>
          </cell>
          <cell r="AA509">
            <v>18449000</v>
          </cell>
          <cell r="AB509">
            <v>7.3999999999999996E-2</v>
          </cell>
          <cell r="AC509">
            <v>1365226</v>
          </cell>
          <cell r="AD509">
            <v>163827.12</v>
          </cell>
          <cell r="AE509">
            <v>0.12</v>
          </cell>
          <cell r="AF509">
            <v>43633</v>
          </cell>
          <cell r="AG509" t="str">
            <v>CIF HK</v>
          </cell>
          <cell r="AK509">
            <v>0.3</v>
          </cell>
          <cell r="AL509">
            <v>5534700</v>
          </cell>
          <cell r="AM509">
            <v>43617</v>
          </cell>
          <cell r="AN509" t="str">
            <v>Yes</v>
          </cell>
          <cell r="AO509">
            <v>0.6</v>
          </cell>
          <cell r="AP509">
            <v>11069400</v>
          </cell>
          <cell r="AQ509">
            <v>43678</v>
          </cell>
          <cell r="AR509">
            <v>43684</v>
          </cell>
          <cell r="AS509">
            <v>0.1</v>
          </cell>
          <cell r="AT509">
            <v>1844900</v>
          </cell>
          <cell r="AU509">
            <v>43771</v>
          </cell>
          <cell r="AV509">
            <v>43791</v>
          </cell>
          <cell r="AW509" t="str">
            <v>complete</v>
          </cell>
          <cell r="AX509" t="str">
            <v>Yes</v>
          </cell>
          <cell r="AZ509" t="str">
            <v>Y</v>
          </cell>
          <cell r="BA509" t="str">
            <v>Yes</v>
          </cell>
        </row>
        <row r="510">
          <cell r="B510">
            <v>359</v>
          </cell>
          <cell r="C510" t="str">
            <v>C49SZX20190102SX</v>
          </cell>
          <cell r="D510" t="str">
            <v>凯瑞丰</v>
          </cell>
          <cell r="E510" t="str">
            <v>YSM20R(SV)-2</v>
          </cell>
          <cell r="F510" t="str">
            <v>#82528</v>
          </cell>
          <cell r="G510" t="e">
            <v>#REF!</v>
          </cell>
          <cell r="H510" t="e">
            <v>#REF!</v>
          </cell>
          <cell r="I510" t="str">
            <v>L-&gt;R</v>
          </cell>
          <cell r="J510" t="str">
            <v>No</v>
          </cell>
          <cell r="K510">
            <v>1</v>
          </cell>
          <cell r="L510">
            <v>109526</v>
          </cell>
          <cell r="M510" t="str">
            <v>JUL 19</v>
          </cell>
          <cell r="N510">
            <v>43663</v>
          </cell>
          <cell r="O510">
            <v>11100309</v>
          </cell>
          <cell r="P510">
            <v>1000000</v>
          </cell>
          <cell r="Q510">
            <v>43647</v>
          </cell>
          <cell r="R510" t="str">
            <v>No</v>
          </cell>
          <cell r="S510" t="str">
            <v>C49</v>
          </cell>
          <cell r="T510" t="str">
            <v>SOUTH</v>
          </cell>
          <cell r="U510" t="str">
            <v>深圳</v>
          </cell>
          <cell r="V510" t="str">
            <v>SZ 深圳</v>
          </cell>
          <cell r="W510" t="str">
            <v>SX</v>
          </cell>
          <cell r="X510" t="str">
            <v>RMB</v>
          </cell>
          <cell r="Y510">
            <v>1000000</v>
          </cell>
          <cell r="Z510">
            <v>1.1299999999999999</v>
          </cell>
          <cell r="AA510">
            <v>1000000</v>
          </cell>
          <cell r="AB510">
            <v>1.135</v>
          </cell>
          <cell r="AC510">
            <v>1004424.7787610621</v>
          </cell>
          <cell r="AD510">
            <v>120530.97345132745</v>
          </cell>
          <cell r="AE510">
            <v>0.12</v>
          </cell>
          <cell r="AF510">
            <v>43635</v>
          </cell>
          <cell r="AG510" t="str">
            <v>含税到厂</v>
          </cell>
          <cell r="AK510" t="str">
            <v>agree</v>
          </cell>
          <cell r="AL510">
            <v>66000</v>
          </cell>
          <cell r="AM510">
            <v>43647</v>
          </cell>
          <cell r="AN510" t="str">
            <v>Yes</v>
          </cell>
          <cell r="AO510">
            <v>0.8</v>
          </cell>
          <cell r="AP510">
            <v>800000</v>
          </cell>
          <cell r="AQ510">
            <v>43647</v>
          </cell>
          <cell r="AR510">
            <v>43657</v>
          </cell>
          <cell r="AS510" t="str">
            <v>complete</v>
          </cell>
          <cell r="AT510"/>
          <cell r="AX510" t="str">
            <v>Yes</v>
          </cell>
          <cell r="AZ510" t="str">
            <v>Y</v>
          </cell>
          <cell r="BA510" t="str">
            <v>Yes</v>
          </cell>
        </row>
        <row r="511">
          <cell r="B511">
            <v>360</v>
          </cell>
          <cell r="C511" t="str">
            <v>C49SZX20190102SX</v>
          </cell>
          <cell r="D511" t="str">
            <v>凯瑞丰</v>
          </cell>
          <cell r="E511" t="str">
            <v>YSM10</v>
          </cell>
          <cell r="F511" t="str">
            <v>#82528</v>
          </cell>
          <cell r="G511" t="e">
            <v>#REF!</v>
          </cell>
          <cell r="H511" t="e">
            <v>#REF!</v>
          </cell>
          <cell r="I511" t="str">
            <v>L-&gt;R</v>
          </cell>
          <cell r="J511" t="str">
            <v>MVC</v>
          </cell>
          <cell r="K511">
            <v>1</v>
          </cell>
          <cell r="L511">
            <v>109565</v>
          </cell>
          <cell r="M511" t="str">
            <v>JUL 19</v>
          </cell>
          <cell r="N511">
            <v>43663</v>
          </cell>
          <cell r="O511">
            <v>11100309</v>
          </cell>
          <cell r="P511">
            <v>730000</v>
          </cell>
          <cell r="Q511">
            <v>43647</v>
          </cell>
          <cell r="R511" t="str">
            <v>No</v>
          </cell>
          <cell r="S511" t="str">
            <v>C49</v>
          </cell>
          <cell r="T511" t="str">
            <v>SOUTH</v>
          </cell>
          <cell r="U511" t="str">
            <v>深圳</v>
          </cell>
          <cell r="V511" t="str">
            <v>SZ 深圳</v>
          </cell>
          <cell r="W511" t="str">
            <v>SX</v>
          </cell>
          <cell r="X511" t="str">
            <v>RMB</v>
          </cell>
          <cell r="Y511">
            <v>730000</v>
          </cell>
          <cell r="Z511">
            <v>1.1299999999999999</v>
          </cell>
          <cell r="AA511">
            <v>730000</v>
          </cell>
          <cell r="AB511">
            <v>1.135</v>
          </cell>
          <cell r="AC511">
            <v>733230.08849557536</v>
          </cell>
          <cell r="AD511">
            <v>87987.610619469036</v>
          </cell>
          <cell r="AE511">
            <v>0.12</v>
          </cell>
          <cell r="AF511">
            <v>43635</v>
          </cell>
          <cell r="AG511" t="str">
            <v>含税到厂</v>
          </cell>
          <cell r="AK511" t="str">
            <v>agree</v>
          </cell>
          <cell r="AL511">
            <v>230000</v>
          </cell>
          <cell r="AM511">
            <v>43647</v>
          </cell>
          <cell r="AN511" t="str">
            <v>Yes</v>
          </cell>
          <cell r="AO511">
            <v>0.8</v>
          </cell>
          <cell r="AP511">
            <v>584000</v>
          </cell>
          <cell r="AQ511">
            <v>43647</v>
          </cell>
          <cell r="AR511">
            <v>43657</v>
          </cell>
          <cell r="AS511" t="str">
            <v>complete</v>
          </cell>
          <cell r="AT511"/>
          <cell r="AX511" t="str">
            <v>Yes</v>
          </cell>
          <cell r="AZ511" t="str">
            <v>Y</v>
          </cell>
          <cell r="BA511" t="str">
            <v>Yes</v>
          </cell>
        </row>
        <row r="512">
          <cell r="B512">
            <v>361</v>
          </cell>
          <cell r="C512" t="str">
            <v>C49SZX20190015JY</v>
          </cell>
          <cell r="D512" t="str">
            <v>创荣发</v>
          </cell>
          <cell r="E512" t="str">
            <v>YSM20R(SV)-2</v>
          </cell>
          <cell r="F512" t="str">
            <v>#03866</v>
          </cell>
          <cell r="G512" t="e">
            <v>#REF!</v>
          </cell>
          <cell r="H512" t="e">
            <v>#REF!</v>
          </cell>
          <cell r="I512" t="str">
            <v>L-&gt;R</v>
          </cell>
          <cell r="J512" t="str">
            <v>No</v>
          </cell>
          <cell r="K512">
            <v>1</v>
          </cell>
          <cell r="L512">
            <v>109624</v>
          </cell>
          <cell r="M512" t="str">
            <v>SEP 19</v>
          </cell>
          <cell r="N512">
            <v>43735</v>
          </cell>
          <cell r="O512">
            <v>11116324</v>
          </cell>
          <cell r="P512">
            <v>15943175</v>
          </cell>
          <cell r="Q512">
            <v>43709</v>
          </cell>
          <cell r="R512" t="str">
            <v>No</v>
          </cell>
          <cell r="S512" t="str">
            <v>C49</v>
          </cell>
          <cell r="T512" t="str">
            <v>SOUTH</v>
          </cell>
          <cell r="U512" t="str">
            <v>惠州</v>
          </cell>
          <cell r="V512" t="str">
            <v>SZ 深圳</v>
          </cell>
          <cell r="W512" t="str">
            <v>JY</v>
          </cell>
          <cell r="X512" t="str">
            <v>JPY</v>
          </cell>
          <cell r="Y512">
            <v>15943175</v>
          </cell>
          <cell r="Z512">
            <v>1</v>
          </cell>
          <cell r="AA512">
            <v>15943175</v>
          </cell>
          <cell r="AB512">
            <v>7.3400000000000007E-2</v>
          </cell>
          <cell r="AC512">
            <v>1170229.0450000002</v>
          </cell>
          <cell r="AD512">
            <v>140427.48540000001</v>
          </cell>
          <cell r="AE512">
            <v>0.12</v>
          </cell>
          <cell r="AF512">
            <v>43643</v>
          </cell>
          <cell r="AG512" t="str">
            <v>DAP惠州</v>
          </cell>
          <cell r="AK512">
            <v>0.3</v>
          </cell>
          <cell r="AL512">
            <v>4782952.5</v>
          </cell>
          <cell r="AM512">
            <v>43647</v>
          </cell>
          <cell r="AN512" t="str">
            <v>Yes</v>
          </cell>
          <cell r="AO512">
            <v>0.7</v>
          </cell>
          <cell r="AP512">
            <v>11160222.5</v>
          </cell>
          <cell r="AQ512">
            <v>43709</v>
          </cell>
          <cell r="AR512">
            <v>43732</v>
          </cell>
          <cell r="AS512"/>
          <cell r="AT512">
            <v>0</v>
          </cell>
          <cell r="AX512" t="str">
            <v>Yes</v>
          </cell>
          <cell r="AZ512" t="str">
            <v>Y</v>
          </cell>
          <cell r="BA512" t="str">
            <v>Yes</v>
          </cell>
        </row>
        <row r="513">
          <cell r="B513">
            <v>362</v>
          </cell>
          <cell r="C513" t="str">
            <v>C49SZX20190015JY</v>
          </cell>
          <cell r="D513" t="str">
            <v>创荣发</v>
          </cell>
          <cell r="E513" t="str">
            <v>YSM20R(SV)-2</v>
          </cell>
          <cell r="F513" t="str">
            <v>#03866</v>
          </cell>
          <cell r="G513" t="e">
            <v>#REF!</v>
          </cell>
          <cell r="H513" t="e">
            <v>#REF!</v>
          </cell>
          <cell r="I513" t="str">
            <v>L-&gt;R</v>
          </cell>
          <cell r="J513" t="str">
            <v>No</v>
          </cell>
          <cell r="K513">
            <v>1</v>
          </cell>
          <cell r="L513">
            <v>109624</v>
          </cell>
          <cell r="M513" t="str">
            <v>SEP 19</v>
          </cell>
          <cell r="N513">
            <v>43735</v>
          </cell>
          <cell r="O513">
            <v>11116324</v>
          </cell>
          <cell r="P513">
            <v>15943175</v>
          </cell>
          <cell r="Q513">
            <v>43709</v>
          </cell>
          <cell r="R513" t="str">
            <v>No</v>
          </cell>
          <cell r="S513" t="str">
            <v>C49</v>
          </cell>
          <cell r="T513" t="str">
            <v>SOUTH</v>
          </cell>
          <cell r="U513" t="str">
            <v>惠州</v>
          </cell>
          <cell r="V513" t="str">
            <v>SZ 深圳</v>
          </cell>
          <cell r="W513" t="str">
            <v>JY</v>
          </cell>
          <cell r="X513" t="str">
            <v>JPY</v>
          </cell>
          <cell r="Y513">
            <v>15943175</v>
          </cell>
          <cell r="Z513">
            <v>1</v>
          </cell>
          <cell r="AA513">
            <v>15943175</v>
          </cell>
          <cell r="AB513">
            <v>7.3400000000000007E-2</v>
          </cell>
          <cell r="AC513">
            <v>1170229.0450000002</v>
          </cell>
          <cell r="AD513">
            <v>140427.48540000001</v>
          </cell>
          <cell r="AE513">
            <v>0.12</v>
          </cell>
          <cell r="AF513">
            <v>43643</v>
          </cell>
          <cell r="AG513" t="str">
            <v>DAP惠州</v>
          </cell>
          <cell r="AK513">
            <v>0.3</v>
          </cell>
          <cell r="AL513">
            <v>4782952.5</v>
          </cell>
          <cell r="AM513">
            <v>43647</v>
          </cell>
          <cell r="AN513" t="str">
            <v>Yes</v>
          </cell>
          <cell r="AO513">
            <v>0.7</v>
          </cell>
          <cell r="AP513">
            <v>11160222.5</v>
          </cell>
          <cell r="AQ513">
            <v>43709</v>
          </cell>
          <cell r="AR513">
            <v>43732</v>
          </cell>
          <cell r="AS513"/>
          <cell r="AT513">
            <v>0</v>
          </cell>
          <cell r="AX513" t="str">
            <v>Yes</v>
          </cell>
          <cell r="AZ513" t="str">
            <v>Y</v>
          </cell>
          <cell r="BA513" t="str">
            <v>Yes</v>
          </cell>
        </row>
        <row r="514">
          <cell r="B514">
            <v>363</v>
          </cell>
          <cell r="C514" t="str">
            <v>C49SZX20190015JY</v>
          </cell>
          <cell r="D514" t="str">
            <v>创荣发</v>
          </cell>
          <cell r="E514" t="str">
            <v>YSM10</v>
          </cell>
          <cell r="F514" t="str">
            <v>#03866</v>
          </cell>
          <cell r="G514" t="e">
            <v>#REF!</v>
          </cell>
          <cell r="H514" t="e">
            <v>#REF!</v>
          </cell>
          <cell r="I514" t="str">
            <v>L-&gt;R</v>
          </cell>
          <cell r="J514" t="str">
            <v>MVC</v>
          </cell>
          <cell r="K514">
            <v>1</v>
          </cell>
          <cell r="L514">
            <v>109625</v>
          </cell>
          <cell r="M514" t="str">
            <v>SEP 19</v>
          </cell>
          <cell r="N514">
            <v>43735</v>
          </cell>
          <cell r="O514">
            <v>11116324</v>
          </cell>
          <cell r="P514">
            <v>11000000</v>
          </cell>
          <cell r="Q514">
            <v>43709</v>
          </cell>
          <cell r="R514" t="str">
            <v>No</v>
          </cell>
          <cell r="S514" t="str">
            <v>C49</v>
          </cell>
          <cell r="T514" t="str">
            <v>SOUTH</v>
          </cell>
          <cell r="U514" t="str">
            <v>惠州</v>
          </cell>
          <cell r="V514" t="str">
            <v>SZ 深圳</v>
          </cell>
          <cell r="W514" t="str">
            <v>JY</v>
          </cell>
          <cell r="X514" t="str">
            <v>JPY</v>
          </cell>
          <cell r="Y514">
            <v>11000000</v>
          </cell>
          <cell r="Z514">
            <v>1</v>
          </cell>
          <cell r="AA514">
            <v>11000000</v>
          </cell>
          <cell r="AB514">
            <v>7.3400000000000007E-2</v>
          </cell>
          <cell r="AC514">
            <v>807400.00000000012</v>
          </cell>
          <cell r="AD514">
            <v>96888.000000000015</v>
          </cell>
          <cell r="AE514">
            <v>0.12</v>
          </cell>
          <cell r="AF514">
            <v>43643</v>
          </cell>
          <cell r="AG514" t="str">
            <v>DAP惠州</v>
          </cell>
          <cell r="AK514">
            <v>0.3</v>
          </cell>
          <cell r="AL514">
            <v>3300000</v>
          </cell>
          <cell r="AM514">
            <v>43647</v>
          </cell>
          <cell r="AN514" t="str">
            <v>Yes</v>
          </cell>
          <cell r="AO514">
            <v>0.7</v>
          </cell>
          <cell r="AP514">
            <v>7699999.9999999991</v>
          </cell>
          <cell r="AQ514">
            <v>43709</v>
          </cell>
          <cell r="AR514">
            <v>43732</v>
          </cell>
          <cell r="AS514"/>
          <cell r="AT514">
            <v>0</v>
          </cell>
          <cell r="AX514" t="str">
            <v>Yes</v>
          </cell>
          <cell r="AZ514" t="str">
            <v>Y</v>
          </cell>
          <cell r="BA514" t="str">
            <v>Yes</v>
          </cell>
        </row>
        <row r="515">
          <cell r="B515">
            <v>364</v>
          </cell>
          <cell r="C515" t="str">
            <v>C49SZX20190015JY</v>
          </cell>
          <cell r="D515" t="str">
            <v>创荣发</v>
          </cell>
          <cell r="E515" t="str">
            <v>YSM10</v>
          </cell>
          <cell r="F515" t="str">
            <v>#03866</v>
          </cell>
          <cell r="G515" t="e">
            <v>#REF!</v>
          </cell>
          <cell r="H515" t="e">
            <v>#REF!</v>
          </cell>
          <cell r="I515" t="str">
            <v>L-&gt;R</v>
          </cell>
          <cell r="J515" t="str">
            <v>MVC</v>
          </cell>
          <cell r="K515">
            <v>1</v>
          </cell>
          <cell r="L515">
            <v>109625</v>
          </cell>
          <cell r="M515" t="str">
            <v>SEP 19</v>
          </cell>
          <cell r="N515">
            <v>43735</v>
          </cell>
          <cell r="O515">
            <v>11116324</v>
          </cell>
          <cell r="P515">
            <v>11000000</v>
          </cell>
          <cell r="Q515">
            <v>43709</v>
          </cell>
          <cell r="R515" t="str">
            <v>No</v>
          </cell>
          <cell r="S515" t="str">
            <v>C49</v>
          </cell>
          <cell r="T515" t="str">
            <v>SOUTH</v>
          </cell>
          <cell r="U515" t="str">
            <v>惠州</v>
          </cell>
          <cell r="V515" t="str">
            <v>SZ 深圳</v>
          </cell>
          <cell r="W515" t="str">
            <v>JY</v>
          </cell>
          <cell r="X515" t="str">
            <v>JPY</v>
          </cell>
          <cell r="Y515">
            <v>11000000</v>
          </cell>
          <cell r="Z515">
            <v>1</v>
          </cell>
          <cell r="AA515">
            <v>11000000</v>
          </cell>
          <cell r="AB515">
            <v>7.3400000000000007E-2</v>
          </cell>
          <cell r="AC515">
            <v>807400.00000000012</v>
          </cell>
          <cell r="AD515">
            <v>96888.000000000015</v>
          </cell>
          <cell r="AE515">
            <v>0.12</v>
          </cell>
          <cell r="AF515">
            <v>43643</v>
          </cell>
          <cell r="AG515" t="str">
            <v>DAP惠州</v>
          </cell>
          <cell r="AK515">
            <v>0.3</v>
          </cell>
          <cell r="AL515">
            <v>3300000</v>
          </cell>
          <cell r="AM515">
            <v>43647</v>
          </cell>
          <cell r="AN515" t="str">
            <v>Yes</v>
          </cell>
          <cell r="AO515">
            <v>0.7</v>
          </cell>
          <cell r="AP515">
            <v>7699999.9999999991</v>
          </cell>
          <cell r="AQ515">
            <v>43709</v>
          </cell>
          <cell r="AR515">
            <v>43732</v>
          </cell>
          <cell r="AS515"/>
          <cell r="AT515">
            <v>0</v>
          </cell>
          <cell r="AX515" t="str">
            <v>Yes</v>
          </cell>
          <cell r="AZ515" t="str">
            <v>Y</v>
          </cell>
          <cell r="BA515" t="str">
            <v>Yes</v>
          </cell>
        </row>
        <row r="516">
          <cell r="B516">
            <v>365</v>
          </cell>
          <cell r="C516" t="str">
            <v>C49SZX201901008ZX</v>
          </cell>
          <cell r="D516" t="str">
            <v>帝泰克</v>
          </cell>
          <cell r="E516" t="str">
            <v>YSM10</v>
          </cell>
          <cell r="F516" t="str">
            <v>#51446</v>
          </cell>
          <cell r="G516" t="e">
            <v>#REF!</v>
          </cell>
          <cell r="H516" t="e">
            <v>#REF!</v>
          </cell>
          <cell r="I516" t="str">
            <v>L-&gt;R</v>
          </cell>
          <cell r="J516" t="str">
            <v>MVC</v>
          </cell>
          <cell r="K516">
            <v>1</v>
          </cell>
          <cell r="L516">
            <v>109344</v>
          </cell>
          <cell r="M516" t="str">
            <v>JUL 19</v>
          </cell>
          <cell r="N516">
            <v>43650</v>
          </cell>
          <cell r="O516">
            <v>11100307</v>
          </cell>
          <cell r="P516">
            <v>650000</v>
          </cell>
          <cell r="Q516">
            <v>43647</v>
          </cell>
          <cell r="R516" t="str">
            <v>No</v>
          </cell>
          <cell r="S516" t="str">
            <v>C49</v>
          </cell>
          <cell r="T516" t="str">
            <v>SOUTH</v>
          </cell>
          <cell r="U516" t="str">
            <v>深圳</v>
          </cell>
          <cell r="V516" t="str">
            <v>SZ 深圳</v>
          </cell>
          <cell r="W516" t="str">
            <v>ZX</v>
          </cell>
          <cell r="X516" t="str">
            <v>RMB</v>
          </cell>
          <cell r="Y516">
            <v>650000</v>
          </cell>
          <cell r="Z516">
            <v>1.1299999999999999</v>
          </cell>
          <cell r="AA516">
            <v>650000</v>
          </cell>
          <cell r="AB516">
            <v>1.135</v>
          </cell>
          <cell r="AC516">
            <v>652876.10619469034</v>
          </cell>
          <cell r="AD516">
            <v>78345.132743362832</v>
          </cell>
          <cell r="AE516">
            <v>0.12</v>
          </cell>
          <cell r="AF516">
            <v>43580</v>
          </cell>
          <cell r="AG516" t="str">
            <v>含税到厂</v>
          </cell>
          <cell r="AI516"/>
          <cell r="AJ516"/>
          <cell r="AK516" t="str">
            <v>agree</v>
          </cell>
          <cell r="AL516">
            <v>500000</v>
          </cell>
          <cell r="AM516">
            <v>43647</v>
          </cell>
          <cell r="AN516" t="str">
            <v>Yes</v>
          </cell>
          <cell r="AO516" t="str">
            <v>agree</v>
          </cell>
          <cell r="AP516">
            <v>1000000</v>
          </cell>
          <cell r="AQ516">
            <v>43647</v>
          </cell>
          <cell r="AR516">
            <v>43648</v>
          </cell>
          <cell r="AS516" t="str">
            <v>complete</v>
          </cell>
          <cell r="AT516"/>
          <cell r="AV516"/>
          <cell r="AX516" t="str">
            <v>Yes</v>
          </cell>
          <cell r="AY516"/>
          <cell r="AZ516" t="str">
            <v>Y</v>
          </cell>
          <cell r="BA516" t="str">
            <v>Yes</v>
          </cell>
        </row>
        <row r="517">
          <cell r="B517">
            <v>366</v>
          </cell>
          <cell r="C517" t="str">
            <v>C49SZX20190108ZX</v>
          </cell>
          <cell r="D517" t="str">
            <v>帝泰克</v>
          </cell>
          <cell r="E517" t="str">
            <v>YSM10</v>
          </cell>
          <cell r="F517" t="str">
            <v>#51446</v>
          </cell>
          <cell r="G517" t="e">
            <v>#REF!</v>
          </cell>
          <cell r="H517" t="e">
            <v>#REF!</v>
          </cell>
          <cell r="I517" t="str">
            <v>L-&gt;R</v>
          </cell>
          <cell r="J517" t="str">
            <v>No</v>
          </cell>
          <cell r="K517">
            <v>1</v>
          </cell>
          <cell r="L517">
            <v>109564</v>
          </cell>
          <cell r="M517" t="str">
            <v>JUL 19</v>
          </cell>
          <cell r="N517">
            <v>43650</v>
          </cell>
          <cell r="O517">
            <v>11100307</v>
          </cell>
          <cell r="P517">
            <v>650000</v>
          </cell>
          <cell r="Q517">
            <v>43647</v>
          </cell>
          <cell r="R517" t="str">
            <v>No</v>
          </cell>
          <cell r="S517" t="str">
            <v>C49</v>
          </cell>
          <cell r="T517" t="str">
            <v>SOUTH</v>
          </cell>
          <cell r="U517" t="str">
            <v>深圳</v>
          </cell>
          <cell r="V517" t="str">
            <v>SZ 深圳</v>
          </cell>
          <cell r="W517" t="str">
            <v>ZX</v>
          </cell>
          <cell r="X517" t="str">
            <v>RMB</v>
          </cell>
          <cell r="Y517">
            <v>650000</v>
          </cell>
          <cell r="Z517">
            <v>1.1299999999999999</v>
          </cell>
          <cell r="AA517">
            <v>650000</v>
          </cell>
          <cell r="AB517">
            <v>1.135</v>
          </cell>
          <cell r="AC517">
            <v>652876.10619469034</v>
          </cell>
          <cell r="AD517">
            <v>78345.132743362832</v>
          </cell>
          <cell r="AE517">
            <v>0.12</v>
          </cell>
          <cell r="AF517">
            <v>43580</v>
          </cell>
          <cell r="AG517" t="str">
            <v>含税到厂</v>
          </cell>
          <cell r="AI517"/>
          <cell r="AJ517"/>
          <cell r="AK517" t="str">
            <v>agree</v>
          </cell>
          <cell r="AL517">
            <v>500000</v>
          </cell>
          <cell r="AM517">
            <v>43647</v>
          </cell>
          <cell r="AN517" t="str">
            <v>Yes</v>
          </cell>
          <cell r="AO517" t="str">
            <v>complete</v>
          </cell>
          <cell r="AP517"/>
          <cell r="AR517"/>
          <cell r="AS517"/>
          <cell r="AT517"/>
          <cell r="AV517"/>
          <cell r="AX517" t="str">
            <v>Yes</v>
          </cell>
          <cell r="AY517"/>
          <cell r="AZ517" t="str">
            <v>Y</v>
          </cell>
          <cell r="BA517" t="str">
            <v>Yes</v>
          </cell>
        </row>
        <row r="518">
          <cell r="B518">
            <v>367</v>
          </cell>
          <cell r="C518" t="str">
            <v>C49SZX20190108ZX</v>
          </cell>
          <cell r="D518" t="str">
            <v>帝泰克</v>
          </cell>
          <cell r="E518" t="str">
            <v>YSM20R(SV)-2</v>
          </cell>
          <cell r="F518" t="str">
            <v>#51446</v>
          </cell>
          <cell r="G518" t="e">
            <v>#REF!</v>
          </cell>
          <cell r="H518" t="e">
            <v>#REF!</v>
          </cell>
          <cell r="I518" t="str">
            <v>L-&gt;R</v>
          </cell>
          <cell r="J518" t="str">
            <v>No</v>
          </cell>
          <cell r="K518">
            <v>1</v>
          </cell>
          <cell r="L518">
            <v>109336</v>
          </cell>
          <cell r="M518" t="str">
            <v>JUL 19</v>
          </cell>
          <cell r="N518">
            <v>43650</v>
          </cell>
          <cell r="O518">
            <v>11100307</v>
          </cell>
          <cell r="P518">
            <v>900000</v>
          </cell>
          <cell r="Q518">
            <v>43647</v>
          </cell>
          <cell r="R518" t="str">
            <v>No</v>
          </cell>
          <cell r="S518" t="str">
            <v>C49</v>
          </cell>
          <cell r="T518" t="str">
            <v>SOUTH</v>
          </cell>
          <cell r="U518" t="str">
            <v>深圳</v>
          </cell>
          <cell r="V518" t="str">
            <v>SZ 深圳</v>
          </cell>
          <cell r="W518" t="str">
            <v>ZX</v>
          </cell>
          <cell r="X518" t="str">
            <v>RMB</v>
          </cell>
          <cell r="Y518">
            <v>900000</v>
          </cell>
          <cell r="Z518">
            <v>1.1299999999999999</v>
          </cell>
          <cell r="AA518">
            <v>900000</v>
          </cell>
          <cell r="AB518">
            <v>1.135</v>
          </cell>
          <cell r="AC518">
            <v>903982.3008849558</v>
          </cell>
          <cell r="AD518">
            <v>108477.87610619469</v>
          </cell>
          <cell r="AE518">
            <v>0.12</v>
          </cell>
          <cell r="AF518">
            <v>43580</v>
          </cell>
          <cell r="AG518" t="str">
            <v>含税到厂</v>
          </cell>
          <cell r="AI518"/>
          <cell r="AJ518"/>
          <cell r="AK518" t="str">
            <v>agree</v>
          </cell>
          <cell r="AL518">
            <v>100000</v>
          </cell>
          <cell r="AM518">
            <v>43647</v>
          </cell>
          <cell r="AN518" t="str">
            <v>Yes</v>
          </cell>
          <cell r="AO518" t="str">
            <v>complete</v>
          </cell>
          <cell r="AP518"/>
          <cell r="AR518"/>
          <cell r="AS518"/>
          <cell r="AT518"/>
          <cell r="AV518"/>
          <cell r="AX518" t="str">
            <v>Yes</v>
          </cell>
          <cell r="AY518"/>
          <cell r="AZ518" t="str">
            <v>Y</v>
          </cell>
          <cell r="BA518" t="str">
            <v>Yes</v>
          </cell>
        </row>
        <row r="519">
          <cell r="B519">
            <v>368</v>
          </cell>
          <cell r="C519" t="str">
            <v>C49SZX20190108ZX</v>
          </cell>
          <cell r="D519" t="str">
            <v>帝泰克</v>
          </cell>
          <cell r="E519" t="str">
            <v>YSM20R(SV)-2</v>
          </cell>
          <cell r="F519" t="str">
            <v>#51446</v>
          </cell>
          <cell r="G519" t="e">
            <v>#REF!</v>
          </cell>
          <cell r="H519" t="e">
            <v>#REF!</v>
          </cell>
          <cell r="I519" t="str">
            <v>L-&gt;R</v>
          </cell>
          <cell r="J519" t="str">
            <v>No</v>
          </cell>
          <cell r="K519">
            <v>1</v>
          </cell>
          <cell r="L519">
            <v>109336</v>
          </cell>
          <cell r="M519" t="str">
            <v>JUL 19</v>
          </cell>
          <cell r="N519">
            <v>43650</v>
          </cell>
          <cell r="O519">
            <v>11100307</v>
          </cell>
          <cell r="P519">
            <v>900000</v>
          </cell>
          <cell r="Q519">
            <v>43647</v>
          </cell>
          <cell r="R519" t="str">
            <v>No</v>
          </cell>
          <cell r="S519" t="str">
            <v>C49</v>
          </cell>
          <cell r="T519" t="str">
            <v>SOUTH</v>
          </cell>
          <cell r="U519" t="str">
            <v>深圳</v>
          </cell>
          <cell r="V519" t="str">
            <v>SZ 深圳</v>
          </cell>
          <cell r="W519" t="str">
            <v>ZX</v>
          </cell>
          <cell r="X519" t="str">
            <v>RMB</v>
          </cell>
          <cell r="Y519">
            <v>900000</v>
          </cell>
          <cell r="Z519">
            <v>1.1299999999999999</v>
          </cell>
          <cell r="AA519">
            <v>900000</v>
          </cell>
          <cell r="AB519">
            <v>1.135</v>
          </cell>
          <cell r="AC519">
            <v>903982.3008849558</v>
          </cell>
          <cell r="AD519">
            <v>108477.87610619469</v>
          </cell>
          <cell r="AE519">
            <v>0.12</v>
          </cell>
          <cell r="AF519">
            <v>43580</v>
          </cell>
          <cell r="AG519" t="str">
            <v>含税到厂</v>
          </cell>
          <cell r="AI519"/>
          <cell r="AJ519"/>
          <cell r="AK519" t="str">
            <v>agree</v>
          </cell>
          <cell r="AL519">
            <v>1000000</v>
          </cell>
          <cell r="AM519">
            <v>43647</v>
          </cell>
          <cell r="AN519" t="str">
            <v>Yes</v>
          </cell>
          <cell r="AO519" t="str">
            <v>complete</v>
          </cell>
          <cell r="AP519"/>
          <cell r="AR519"/>
          <cell r="AS519"/>
          <cell r="AT519"/>
          <cell r="AV519"/>
          <cell r="AX519" t="str">
            <v>Yes</v>
          </cell>
          <cell r="AY519"/>
          <cell r="AZ519" t="str">
            <v>Y</v>
          </cell>
          <cell r="BA519" t="str">
            <v>Yes</v>
          </cell>
        </row>
        <row r="520">
          <cell r="B520">
            <v>369</v>
          </cell>
          <cell r="C520" t="str">
            <v>C49SZX20190105ZX</v>
          </cell>
          <cell r="D520" t="str">
            <v>科诚达</v>
          </cell>
          <cell r="E520" t="str">
            <v>YSM10</v>
          </cell>
          <cell r="F520" t="str">
            <v>NA</v>
          </cell>
          <cell r="G520" t="e">
            <v>#REF!</v>
          </cell>
          <cell r="H520" t="e">
            <v>#REF!</v>
          </cell>
          <cell r="I520" t="str">
            <v>L-&gt;R</v>
          </cell>
          <cell r="J520" t="str">
            <v>MVC</v>
          </cell>
          <cell r="K520">
            <v>1</v>
          </cell>
          <cell r="L520" t="e">
            <v>#N/A</v>
          </cell>
          <cell r="M520" t="e">
            <v>#N/A</v>
          </cell>
          <cell r="N520"/>
          <cell r="O520"/>
          <cell r="P520"/>
          <cell r="R520" t="str">
            <v>No</v>
          </cell>
          <cell r="S520" t="str">
            <v>C49</v>
          </cell>
          <cell r="T520" t="str">
            <v>SOUTH</v>
          </cell>
          <cell r="U520" t="str">
            <v>深圳</v>
          </cell>
          <cell r="V520" t="str">
            <v>SZ 深圳</v>
          </cell>
          <cell r="W520" t="str">
            <v>ZX</v>
          </cell>
          <cell r="X520" t="str">
            <v>RMB</v>
          </cell>
          <cell r="Y520">
            <v>550000</v>
          </cell>
          <cell r="Z520">
            <v>1.1299999999999999</v>
          </cell>
          <cell r="AA520">
            <v>550000</v>
          </cell>
          <cell r="AB520">
            <v>1.135</v>
          </cell>
          <cell r="AC520">
            <v>552433.62831858406</v>
          </cell>
          <cell r="AD520">
            <v>66292.035398230088</v>
          </cell>
          <cell r="AE520">
            <v>0.12</v>
          </cell>
          <cell r="AF520">
            <v>43642</v>
          </cell>
          <cell r="AG520" t="str">
            <v xml:space="preserve">含税到厂 </v>
          </cell>
          <cell r="AI520"/>
          <cell r="AJ520"/>
          <cell r="AK520" t="str">
            <v>agree</v>
          </cell>
          <cell r="AL520">
            <v>50000</v>
          </cell>
          <cell r="AM520">
            <v>43647</v>
          </cell>
          <cell r="AN520" t="str">
            <v>Yes</v>
          </cell>
          <cell r="AO520">
            <v>0.9</v>
          </cell>
          <cell r="AP520">
            <v>495000</v>
          </cell>
          <cell r="AR520"/>
          <cell r="AS520"/>
          <cell r="AT520">
            <v>0</v>
          </cell>
          <cell r="AV520"/>
          <cell r="AX520" t="str">
            <v>Cancel</v>
          </cell>
          <cell r="AY520"/>
          <cell r="AZ520"/>
          <cell r="BA520" t="str">
            <v>Cancel</v>
          </cell>
          <cell r="BB520" t="str">
            <v>2022-3-25Ken邮件通知</v>
          </cell>
        </row>
        <row r="521">
          <cell r="B521">
            <v>370</v>
          </cell>
          <cell r="C521" t="str">
            <v>C49SZX20190105ZX</v>
          </cell>
          <cell r="D521" t="str">
            <v>科诚达</v>
          </cell>
          <cell r="E521" t="str">
            <v>YSM20R(SV)-2</v>
          </cell>
          <cell r="F521" t="str">
            <v>NA</v>
          </cell>
          <cell r="G521" t="e">
            <v>#REF!</v>
          </cell>
          <cell r="H521" t="e">
            <v>#REF!</v>
          </cell>
          <cell r="I521" t="str">
            <v>L-&gt;R</v>
          </cell>
          <cell r="J521" t="str">
            <v>No</v>
          </cell>
          <cell r="K521">
            <v>1</v>
          </cell>
          <cell r="L521" t="e">
            <v>#N/A</v>
          </cell>
          <cell r="M521" t="e">
            <v>#N/A</v>
          </cell>
          <cell r="N521"/>
          <cell r="O521"/>
          <cell r="P521"/>
          <cell r="R521" t="str">
            <v>No</v>
          </cell>
          <cell r="S521" t="str">
            <v>C49</v>
          </cell>
          <cell r="T521" t="str">
            <v>SOUTH</v>
          </cell>
          <cell r="U521" t="str">
            <v>深圳</v>
          </cell>
          <cell r="V521" t="str">
            <v>SZ 深圳</v>
          </cell>
          <cell r="W521" t="str">
            <v>ZX</v>
          </cell>
          <cell r="X521" t="str">
            <v>RMB</v>
          </cell>
          <cell r="Y521">
            <v>550000</v>
          </cell>
          <cell r="Z521">
            <v>1.1299999999999999</v>
          </cell>
          <cell r="AA521">
            <v>550000</v>
          </cell>
          <cell r="AB521">
            <v>1.135</v>
          </cell>
          <cell r="AC521">
            <v>552433.62831858406</v>
          </cell>
          <cell r="AD521">
            <v>66292.035398230088</v>
          </cell>
          <cell r="AE521">
            <v>0.12</v>
          </cell>
          <cell r="AF521">
            <v>43642</v>
          </cell>
          <cell r="AG521" t="str">
            <v xml:space="preserve">含税到厂 </v>
          </cell>
          <cell r="AI521"/>
          <cell r="AJ521"/>
          <cell r="AK521" t="str">
            <v>agree</v>
          </cell>
          <cell r="AL521">
            <v>60000</v>
          </cell>
          <cell r="AM521"/>
          <cell r="AN521" t="str">
            <v>No</v>
          </cell>
          <cell r="AO521">
            <v>0.9</v>
          </cell>
          <cell r="AP521">
            <v>495000</v>
          </cell>
          <cell r="AR521"/>
          <cell r="AS521"/>
          <cell r="AT521">
            <v>0</v>
          </cell>
          <cell r="AV521"/>
          <cell r="AX521" t="str">
            <v>Cancel</v>
          </cell>
          <cell r="AY521"/>
          <cell r="AZ521"/>
          <cell r="BA521" t="str">
            <v>Cancel</v>
          </cell>
          <cell r="BB521" t="str">
            <v>2022-3-25Ken邮件通知</v>
          </cell>
        </row>
        <row r="522">
          <cell r="B522">
            <v>371</v>
          </cell>
          <cell r="C522" t="str">
            <v>C49SZX20190093JL</v>
          </cell>
          <cell r="D522" t="str">
            <v>杉川/end user:放德劲</v>
          </cell>
          <cell r="E522" t="str">
            <v>YSM20R(SV)-2</v>
          </cell>
          <cell r="F522" t="str">
            <v>#03618</v>
          </cell>
          <cell r="G522" t="e">
            <v>#REF!</v>
          </cell>
          <cell r="H522" t="e">
            <v>#REF!</v>
          </cell>
          <cell r="I522" t="str">
            <v>R-&gt;L</v>
          </cell>
          <cell r="J522" t="str">
            <v>No</v>
          </cell>
          <cell r="K522">
            <v>1</v>
          </cell>
          <cell r="L522">
            <v>109582</v>
          </cell>
          <cell r="M522" t="str">
            <v>JUL 19</v>
          </cell>
          <cell r="N522">
            <v>43668</v>
          </cell>
          <cell r="O522">
            <v>11116309</v>
          </cell>
          <cell r="P522">
            <v>14000000</v>
          </cell>
          <cell r="Q522">
            <v>43647</v>
          </cell>
          <cell r="R522" t="str">
            <v>No</v>
          </cell>
          <cell r="S522" t="str">
            <v>C49</v>
          </cell>
          <cell r="T522" t="str">
            <v>SOUTH</v>
          </cell>
          <cell r="U522" t="str">
            <v>深圳</v>
          </cell>
          <cell r="V522" t="str">
            <v>SZ 深圳</v>
          </cell>
          <cell r="W522" t="str">
            <v>JL</v>
          </cell>
          <cell r="X522" t="str">
            <v>JPY</v>
          </cell>
          <cell r="Y522">
            <v>14000000</v>
          </cell>
          <cell r="Z522">
            <v>1</v>
          </cell>
          <cell r="AA522">
            <v>14000000</v>
          </cell>
          <cell r="AB522">
            <v>7.3400000000000007E-2</v>
          </cell>
          <cell r="AC522">
            <v>1027600.0000000001</v>
          </cell>
          <cell r="AD522">
            <v>123312.00000000001</v>
          </cell>
          <cell r="AE522">
            <v>0.12</v>
          </cell>
          <cell r="AF522">
            <v>43649</v>
          </cell>
          <cell r="AG522" t="str">
            <v>DAP SZ</v>
          </cell>
          <cell r="AI522"/>
          <cell r="AJ522"/>
          <cell r="AK522">
            <v>0.95</v>
          </cell>
          <cell r="AL522">
            <v>13300000</v>
          </cell>
          <cell r="AM522">
            <v>43647</v>
          </cell>
          <cell r="AN522" t="str">
            <v>Yes</v>
          </cell>
          <cell r="AO522">
            <v>0.05</v>
          </cell>
          <cell r="AP522">
            <v>700000</v>
          </cell>
          <cell r="AQ522">
            <v>43709</v>
          </cell>
          <cell r="AR522">
            <v>43733</v>
          </cell>
          <cell r="AS522" t="str">
            <v>complete</v>
          </cell>
          <cell r="AT522"/>
          <cell r="AV522"/>
          <cell r="AX522" t="str">
            <v>Yes</v>
          </cell>
          <cell r="AY522"/>
          <cell r="AZ522"/>
          <cell r="BA522"/>
        </row>
        <row r="523">
          <cell r="B523">
            <v>372</v>
          </cell>
          <cell r="C523" t="str">
            <v>C49SZX20190093JL</v>
          </cell>
          <cell r="D523" t="str">
            <v>杉川/end user:放德劲</v>
          </cell>
          <cell r="E523" t="str">
            <v>YSM20R(SV)-2</v>
          </cell>
          <cell r="F523" t="str">
            <v>#03618</v>
          </cell>
          <cell r="G523" t="e">
            <v>#REF!</v>
          </cell>
          <cell r="H523" t="e">
            <v>#REF!</v>
          </cell>
          <cell r="I523" t="str">
            <v>R-&gt;L</v>
          </cell>
          <cell r="J523" t="str">
            <v>No</v>
          </cell>
          <cell r="K523">
            <v>1</v>
          </cell>
          <cell r="L523">
            <v>109582</v>
          </cell>
          <cell r="M523" t="str">
            <v>JUL 19</v>
          </cell>
          <cell r="N523">
            <v>43668</v>
          </cell>
          <cell r="O523">
            <v>11116309</v>
          </cell>
          <cell r="P523">
            <v>14000000</v>
          </cell>
          <cell r="Q523">
            <v>43647</v>
          </cell>
          <cell r="R523" t="str">
            <v>No</v>
          </cell>
          <cell r="S523" t="str">
            <v>C49</v>
          </cell>
          <cell r="T523" t="str">
            <v>SOUTH</v>
          </cell>
          <cell r="U523" t="str">
            <v>深圳</v>
          </cell>
          <cell r="V523" t="str">
            <v>SZ 深圳</v>
          </cell>
          <cell r="W523" t="str">
            <v>JL</v>
          </cell>
          <cell r="X523" t="str">
            <v>JPY</v>
          </cell>
          <cell r="Y523">
            <v>14000000</v>
          </cell>
          <cell r="Z523">
            <v>1</v>
          </cell>
          <cell r="AA523">
            <v>14000000</v>
          </cell>
          <cell r="AB523">
            <v>7.3400000000000007E-2</v>
          </cell>
          <cell r="AC523">
            <v>1027600.0000000001</v>
          </cell>
          <cell r="AD523">
            <v>123312.00000000001</v>
          </cell>
          <cell r="AE523">
            <v>0.12</v>
          </cell>
          <cell r="AF523">
            <v>43649</v>
          </cell>
          <cell r="AG523" t="str">
            <v>DAP SZ</v>
          </cell>
          <cell r="AI523"/>
          <cell r="AJ523"/>
          <cell r="AK523">
            <v>0.95</v>
          </cell>
          <cell r="AL523">
            <v>13300000</v>
          </cell>
          <cell r="AM523">
            <v>43647</v>
          </cell>
          <cell r="AN523" t="str">
            <v>Yes</v>
          </cell>
          <cell r="AO523">
            <v>0.05</v>
          </cell>
          <cell r="AP523">
            <v>700000</v>
          </cell>
          <cell r="AQ523">
            <v>43709</v>
          </cell>
          <cell r="AR523">
            <v>43733</v>
          </cell>
          <cell r="AS523" t="str">
            <v>complete</v>
          </cell>
          <cell r="AT523"/>
          <cell r="AV523"/>
          <cell r="AX523" t="str">
            <v>Yes</v>
          </cell>
          <cell r="AY523"/>
          <cell r="AZ523"/>
          <cell r="BA523"/>
        </row>
        <row r="524">
          <cell r="B524">
            <v>373</v>
          </cell>
          <cell r="C524" t="str">
            <v>C49SZX20190093JL</v>
          </cell>
          <cell r="D524" t="str">
            <v>杉川/end user:放德劲</v>
          </cell>
          <cell r="E524" t="str">
            <v>YSM10</v>
          </cell>
          <cell r="F524" t="str">
            <v>#03618</v>
          </cell>
          <cell r="G524" t="e">
            <v>#REF!</v>
          </cell>
          <cell r="H524" t="e">
            <v>#REF!</v>
          </cell>
          <cell r="I524" t="str">
            <v>R-&gt;L</v>
          </cell>
          <cell r="J524" t="str">
            <v>MVC</v>
          </cell>
          <cell r="K524">
            <v>1</v>
          </cell>
          <cell r="L524">
            <v>109344</v>
          </cell>
          <cell r="M524" t="str">
            <v>JUL 19</v>
          </cell>
          <cell r="N524">
            <v>43668</v>
          </cell>
          <cell r="O524">
            <v>11116309</v>
          </cell>
          <cell r="P524">
            <v>10000000</v>
          </cell>
          <cell r="Q524">
            <v>43647</v>
          </cell>
          <cell r="R524" t="str">
            <v>No</v>
          </cell>
          <cell r="S524" t="str">
            <v>C49</v>
          </cell>
          <cell r="T524" t="str">
            <v>SOUTH</v>
          </cell>
          <cell r="U524" t="str">
            <v>深圳</v>
          </cell>
          <cell r="V524" t="str">
            <v>SZ 深圳</v>
          </cell>
          <cell r="W524" t="str">
            <v>JL</v>
          </cell>
          <cell r="X524" t="str">
            <v>JPY</v>
          </cell>
          <cell r="Y524">
            <v>10000000</v>
          </cell>
          <cell r="Z524">
            <v>1</v>
          </cell>
          <cell r="AA524">
            <v>10000000</v>
          </cell>
          <cell r="AB524">
            <v>7.3400000000000007E-2</v>
          </cell>
          <cell r="AC524">
            <v>734000.00000000012</v>
          </cell>
          <cell r="AD524">
            <v>88080.000000000015</v>
          </cell>
          <cell r="AE524">
            <v>0.12</v>
          </cell>
          <cell r="AF524">
            <v>43649</v>
          </cell>
          <cell r="AG524" t="str">
            <v>DAP SZ</v>
          </cell>
          <cell r="AI524"/>
          <cell r="AJ524"/>
          <cell r="AK524">
            <v>0.95</v>
          </cell>
          <cell r="AL524">
            <v>9500000</v>
          </cell>
          <cell r="AM524">
            <v>43647</v>
          </cell>
          <cell r="AN524" t="str">
            <v>Yes</v>
          </cell>
          <cell r="AO524">
            <v>0.05</v>
          </cell>
          <cell r="AP524">
            <v>500000</v>
          </cell>
          <cell r="AQ524">
            <v>43709</v>
          </cell>
          <cell r="AR524">
            <v>43733</v>
          </cell>
          <cell r="AS524" t="str">
            <v>complete</v>
          </cell>
          <cell r="AT524"/>
          <cell r="AV524"/>
          <cell r="AX524" t="str">
            <v>Yes</v>
          </cell>
          <cell r="AY524"/>
          <cell r="AZ524"/>
          <cell r="BA524"/>
        </row>
        <row r="525">
          <cell r="B525">
            <v>374</v>
          </cell>
          <cell r="C525" t="str">
            <v>C49SZX20190093JL</v>
          </cell>
          <cell r="D525" t="str">
            <v>杉川/end user:放德劲</v>
          </cell>
          <cell r="E525" t="str">
            <v>YSM10</v>
          </cell>
          <cell r="F525" t="str">
            <v>#03618</v>
          </cell>
          <cell r="G525" t="e">
            <v>#REF!</v>
          </cell>
          <cell r="H525" t="e">
            <v>#REF!</v>
          </cell>
          <cell r="I525" t="str">
            <v>R-&gt;L</v>
          </cell>
          <cell r="J525" t="str">
            <v>MVC</v>
          </cell>
          <cell r="K525">
            <v>1</v>
          </cell>
          <cell r="L525">
            <v>109564</v>
          </cell>
          <cell r="M525" t="str">
            <v>JUL 19</v>
          </cell>
          <cell r="N525">
            <v>43668</v>
          </cell>
          <cell r="O525">
            <v>11116309</v>
          </cell>
          <cell r="P525">
            <v>10000000</v>
          </cell>
          <cell r="Q525">
            <v>43647</v>
          </cell>
          <cell r="R525" t="str">
            <v>No</v>
          </cell>
          <cell r="S525" t="str">
            <v>C49</v>
          </cell>
          <cell r="T525" t="str">
            <v>SOUTH</v>
          </cell>
          <cell r="U525" t="str">
            <v>深圳</v>
          </cell>
          <cell r="V525" t="str">
            <v>SZ 深圳</v>
          </cell>
          <cell r="W525" t="str">
            <v>JL</v>
          </cell>
          <cell r="X525" t="str">
            <v>JPY</v>
          </cell>
          <cell r="Y525">
            <v>10000000</v>
          </cell>
          <cell r="Z525">
            <v>1</v>
          </cell>
          <cell r="AA525">
            <v>10000000</v>
          </cell>
          <cell r="AB525">
            <v>7.3400000000000007E-2</v>
          </cell>
          <cell r="AC525">
            <v>734000.00000000012</v>
          </cell>
          <cell r="AD525">
            <v>88080.000000000015</v>
          </cell>
          <cell r="AE525">
            <v>0.12</v>
          </cell>
          <cell r="AF525">
            <v>43649</v>
          </cell>
          <cell r="AG525" t="str">
            <v>DAP SZ</v>
          </cell>
          <cell r="AI525"/>
          <cell r="AJ525"/>
          <cell r="AK525">
            <v>0.95</v>
          </cell>
          <cell r="AL525">
            <v>9500000</v>
          </cell>
          <cell r="AM525">
            <v>43647</v>
          </cell>
          <cell r="AN525" t="str">
            <v>Yes</v>
          </cell>
          <cell r="AO525">
            <v>0.05</v>
          </cell>
          <cell r="AP525">
            <v>500000</v>
          </cell>
          <cell r="AQ525">
            <v>43709</v>
          </cell>
          <cell r="AR525">
            <v>43733</v>
          </cell>
          <cell r="AS525" t="str">
            <v>complete</v>
          </cell>
          <cell r="AT525"/>
          <cell r="AV525"/>
          <cell r="AX525" t="str">
            <v>Yes</v>
          </cell>
          <cell r="AY525"/>
          <cell r="AZ525"/>
          <cell r="BA525"/>
        </row>
        <row r="526">
          <cell r="B526">
            <v>375</v>
          </cell>
          <cell r="C526" t="str">
            <v>C49SZX20190107DZ</v>
          </cell>
          <cell r="D526" t="str">
            <v>方案集</v>
          </cell>
          <cell r="E526" t="str">
            <v>YS24X</v>
          </cell>
          <cell r="F526" t="str">
            <v>#79344</v>
          </cell>
          <cell r="G526" t="e">
            <v>#REF!</v>
          </cell>
          <cell r="H526" t="e">
            <v>#REF!</v>
          </cell>
          <cell r="I526" t="str">
            <v>L-&gt;R</v>
          </cell>
          <cell r="J526" t="str">
            <v>No</v>
          </cell>
          <cell r="K526">
            <v>1</v>
          </cell>
          <cell r="L526">
            <v>109285</v>
          </cell>
          <cell r="M526" t="str">
            <v>JUL 19</v>
          </cell>
          <cell r="N526">
            <v>43661</v>
          </cell>
          <cell r="O526">
            <v>11100308</v>
          </cell>
          <cell r="P526">
            <v>934800</v>
          </cell>
          <cell r="Q526">
            <v>43647</v>
          </cell>
          <cell r="R526" t="str">
            <v>No</v>
          </cell>
          <cell r="S526" t="str">
            <v>C49</v>
          </cell>
          <cell r="T526" t="str">
            <v>SOUTH</v>
          </cell>
          <cell r="U526" t="str">
            <v>深圳</v>
          </cell>
          <cell r="V526" t="str">
            <v>SZ 深圳</v>
          </cell>
          <cell r="W526" t="str">
            <v>DZ</v>
          </cell>
          <cell r="X526" t="str">
            <v>RMB</v>
          </cell>
          <cell r="Y526">
            <v>934800</v>
          </cell>
          <cell r="Z526">
            <v>1.1299999999999999</v>
          </cell>
          <cell r="AA526">
            <v>934800</v>
          </cell>
          <cell r="AB526">
            <v>1.135</v>
          </cell>
          <cell r="AC526">
            <v>938936.28318584082</v>
          </cell>
          <cell r="AD526">
            <v>112672.35398230089</v>
          </cell>
          <cell r="AE526">
            <v>0.12</v>
          </cell>
          <cell r="AF526">
            <v>43649</v>
          </cell>
          <cell r="AG526" t="str">
            <v>含税到厂</v>
          </cell>
          <cell r="AI526"/>
          <cell r="AJ526"/>
          <cell r="AK526">
            <v>0.2</v>
          </cell>
          <cell r="AL526">
            <v>186960</v>
          </cell>
          <cell r="AM526">
            <v>43647</v>
          </cell>
          <cell r="AN526" t="str">
            <v>Yes</v>
          </cell>
          <cell r="AO526">
            <v>0.8</v>
          </cell>
          <cell r="AP526">
            <v>747840</v>
          </cell>
          <cell r="AQ526">
            <v>43647</v>
          </cell>
          <cell r="AR526">
            <v>43657</v>
          </cell>
          <cell r="AS526" t="str">
            <v>complete</v>
          </cell>
          <cell r="AT526"/>
          <cell r="AV526"/>
          <cell r="AX526" t="str">
            <v>Yes</v>
          </cell>
          <cell r="AY526"/>
          <cell r="AZ526" t="str">
            <v>Y</v>
          </cell>
          <cell r="BA526" t="str">
            <v>Yes</v>
          </cell>
        </row>
        <row r="527">
          <cell r="B527">
            <v>376</v>
          </cell>
          <cell r="C527" t="str">
            <v>C49SZX20190109MZ</v>
          </cell>
          <cell r="D527" t="str">
            <v>汇杰伟业</v>
          </cell>
          <cell r="E527" t="str">
            <v>YSM20R(SV)-2</v>
          </cell>
          <cell r="F527" t="str">
            <v>#55786</v>
          </cell>
          <cell r="G527" t="e">
            <v>#REF!</v>
          </cell>
          <cell r="H527" t="e">
            <v>#REF!</v>
          </cell>
          <cell r="I527" t="str">
            <v>R-&gt;L</v>
          </cell>
          <cell r="J527" t="str">
            <v>No</v>
          </cell>
          <cell r="K527">
            <v>1</v>
          </cell>
          <cell r="L527">
            <v>109603</v>
          </cell>
          <cell r="M527" t="str">
            <v>JUL 19</v>
          </cell>
          <cell r="N527">
            <v>43669</v>
          </cell>
          <cell r="O527">
            <v>11116311</v>
          </cell>
          <cell r="P527">
            <v>11900000</v>
          </cell>
          <cell r="Q527">
            <v>43647</v>
          </cell>
          <cell r="R527" t="str">
            <v>Yes</v>
          </cell>
          <cell r="S527" t="str">
            <v>C49</v>
          </cell>
          <cell r="T527" t="str">
            <v>SOUTH</v>
          </cell>
          <cell r="U527" t="str">
            <v>深圳</v>
          </cell>
          <cell r="V527" t="str">
            <v>SZ 深圳</v>
          </cell>
          <cell r="W527" t="str">
            <v>MZ</v>
          </cell>
          <cell r="X527" t="str">
            <v>JPY</v>
          </cell>
          <cell r="Y527">
            <v>11900000</v>
          </cell>
          <cell r="Z527">
            <v>1</v>
          </cell>
          <cell r="AA527">
            <v>11900000</v>
          </cell>
          <cell r="AB527">
            <v>7.3999999999999996E-2</v>
          </cell>
          <cell r="AC527">
            <v>880600</v>
          </cell>
          <cell r="AD527">
            <v>105672</v>
          </cell>
          <cell r="AE527">
            <v>0.12</v>
          </cell>
          <cell r="AF527">
            <v>43652</v>
          </cell>
          <cell r="AG527" t="str">
            <v>CIF HK</v>
          </cell>
          <cell r="AI527"/>
          <cell r="AJ527"/>
          <cell r="AK527">
            <v>0.2</v>
          </cell>
          <cell r="AL527">
            <v>2380000</v>
          </cell>
          <cell r="AM527">
            <v>43647</v>
          </cell>
          <cell r="AN527" t="str">
            <v>Yes</v>
          </cell>
          <cell r="AO527">
            <v>0.8</v>
          </cell>
          <cell r="AP527">
            <v>9520000</v>
          </cell>
          <cell r="AQ527">
            <v>43647</v>
          </cell>
          <cell r="AR527">
            <v>43665</v>
          </cell>
          <cell r="AS527" t="str">
            <v>complete</v>
          </cell>
          <cell r="AT527"/>
          <cell r="AV527"/>
          <cell r="AX527" t="str">
            <v>Yes</v>
          </cell>
          <cell r="AY527"/>
          <cell r="AZ527" t="str">
            <v>Y</v>
          </cell>
          <cell r="BA527" t="str">
            <v>Yes</v>
          </cell>
        </row>
        <row r="528">
          <cell r="B528">
            <v>377</v>
          </cell>
          <cell r="C528" t="str">
            <v>C49SZX20190109MZ</v>
          </cell>
          <cell r="D528" t="str">
            <v>汇杰伟业</v>
          </cell>
          <cell r="E528" t="str">
            <v>YSM20R(SV)-2</v>
          </cell>
          <cell r="F528" t="str">
            <v>#55786</v>
          </cell>
          <cell r="G528" t="e">
            <v>#REF!</v>
          </cell>
          <cell r="H528" t="e">
            <v>#REF!</v>
          </cell>
          <cell r="I528" t="str">
            <v>R-&gt;L</v>
          </cell>
          <cell r="J528" t="str">
            <v>No</v>
          </cell>
          <cell r="K528">
            <v>1</v>
          </cell>
          <cell r="L528">
            <v>109603</v>
          </cell>
          <cell r="M528" t="str">
            <v>JUL 19</v>
          </cell>
          <cell r="N528">
            <v>43669</v>
          </cell>
          <cell r="O528">
            <v>11116311</v>
          </cell>
          <cell r="P528">
            <v>11900000</v>
          </cell>
          <cell r="Q528">
            <v>43647</v>
          </cell>
          <cell r="R528" t="str">
            <v>Yes</v>
          </cell>
          <cell r="S528" t="str">
            <v>C49</v>
          </cell>
          <cell r="T528" t="str">
            <v>SOUTH</v>
          </cell>
          <cell r="U528" t="str">
            <v>深圳</v>
          </cell>
          <cell r="V528" t="str">
            <v>SZ 深圳</v>
          </cell>
          <cell r="W528" t="str">
            <v>MZ</v>
          </cell>
          <cell r="X528" t="str">
            <v>JPY</v>
          </cell>
          <cell r="Y528">
            <v>11900000</v>
          </cell>
          <cell r="Z528">
            <v>1</v>
          </cell>
          <cell r="AA528">
            <v>11900000</v>
          </cell>
          <cell r="AB528">
            <v>7.3999999999999996E-2</v>
          </cell>
          <cell r="AC528">
            <v>880600</v>
          </cell>
          <cell r="AD528">
            <v>105672</v>
          </cell>
          <cell r="AE528">
            <v>0.12</v>
          </cell>
          <cell r="AF528">
            <v>43652</v>
          </cell>
          <cell r="AG528" t="str">
            <v>CIF HK</v>
          </cell>
          <cell r="AI528"/>
          <cell r="AJ528"/>
          <cell r="AK528">
            <v>0.2</v>
          </cell>
          <cell r="AL528">
            <v>2380000</v>
          </cell>
          <cell r="AM528">
            <v>43647</v>
          </cell>
          <cell r="AN528" t="str">
            <v>Yes</v>
          </cell>
          <cell r="AO528">
            <v>0.8</v>
          </cell>
          <cell r="AP528">
            <v>9520000</v>
          </cell>
          <cell r="AQ528">
            <v>43647</v>
          </cell>
          <cell r="AR528">
            <v>43665</v>
          </cell>
          <cell r="AS528" t="str">
            <v>complete</v>
          </cell>
          <cell r="AT528"/>
          <cell r="AV528"/>
          <cell r="AX528" t="str">
            <v>Yes</v>
          </cell>
          <cell r="AY528"/>
          <cell r="AZ528" t="str">
            <v>Y</v>
          </cell>
          <cell r="BA528" t="str">
            <v>Yes</v>
          </cell>
        </row>
        <row r="529">
          <cell r="B529">
            <v>378</v>
          </cell>
          <cell r="C529" t="str">
            <v>C28SHA20190025KC</v>
          </cell>
          <cell r="D529" t="str">
            <v>益技欧</v>
          </cell>
          <cell r="E529" t="str">
            <v>BF-Comet 18</v>
          </cell>
          <cell r="F529" t="str">
            <v>No</v>
          </cell>
          <cell r="G529" t="e">
            <v>#REF!</v>
          </cell>
          <cell r="H529" t="e">
            <v>#REF!</v>
          </cell>
          <cell r="I529" t="str">
            <v>L-&gt;R</v>
          </cell>
          <cell r="J529" t="str">
            <v>No</v>
          </cell>
          <cell r="K529">
            <v>1</v>
          </cell>
          <cell r="L529" t="str">
            <v>28L103311</v>
          </cell>
          <cell r="M529" t="str">
            <v>OCT 19</v>
          </cell>
          <cell r="N529">
            <v>43752</v>
          </cell>
          <cell r="O529">
            <v>11101031</v>
          </cell>
          <cell r="P529">
            <v>265000</v>
          </cell>
          <cell r="Q529">
            <v>43739</v>
          </cell>
          <cell r="R529" t="str">
            <v>Yes</v>
          </cell>
          <cell r="S529" t="str">
            <v>C28</v>
          </cell>
          <cell r="T529" t="str">
            <v>NORTH</v>
          </cell>
          <cell r="U529" t="str">
            <v>太仓</v>
          </cell>
          <cell r="V529" t="str">
            <v>SUZ 蘇州</v>
          </cell>
          <cell r="W529" t="str">
            <v>Li Yong</v>
          </cell>
          <cell r="X529" t="str">
            <v>RMB</v>
          </cell>
          <cell r="Y529">
            <v>265000</v>
          </cell>
          <cell r="Z529">
            <v>1</v>
          </cell>
          <cell r="AA529">
            <v>265000</v>
          </cell>
          <cell r="AB529">
            <v>1.135</v>
          </cell>
          <cell r="AC529">
            <v>300775</v>
          </cell>
          <cell r="AD529">
            <v>36093</v>
          </cell>
          <cell r="AE529">
            <v>0.12</v>
          </cell>
          <cell r="AF529">
            <v>43664</v>
          </cell>
          <cell r="AG529" t="str">
            <v>含税到厂</v>
          </cell>
          <cell r="AI529"/>
          <cell r="AJ529"/>
          <cell r="AK529">
            <v>0.3</v>
          </cell>
          <cell r="AL529">
            <v>79500</v>
          </cell>
          <cell r="AM529">
            <v>43647</v>
          </cell>
          <cell r="AN529" t="str">
            <v>Yes</v>
          </cell>
          <cell r="AO529">
            <v>0.6</v>
          </cell>
          <cell r="AP529">
            <v>159000</v>
          </cell>
          <cell r="AQ529">
            <v>43739</v>
          </cell>
          <cell r="AR529">
            <v>43748</v>
          </cell>
          <cell r="AS529">
            <v>0.1</v>
          </cell>
          <cell r="AT529">
            <v>26500</v>
          </cell>
          <cell r="AV529"/>
          <cell r="AX529"/>
          <cell r="AY529"/>
          <cell r="AZ529"/>
          <cell r="BA529"/>
        </row>
        <row r="530">
          <cell r="B530">
            <v>379</v>
          </cell>
          <cell r="C530" t="str">
            <v>PG-GL02-201906140004</v>
          </cell>
          <cell r="D530" t="str">
            <v>科士达</v>
          </cell>
          <cell r="E530" t="str">
            <v>YSD</v>
          </cell>
          <cell r="F530" t="str">
            <v>#73563</v>
          </cell>
          <cell r="G530" t="e">
            <v>#REF!</v>
          </cell>
          <cell r="H530" t="e">
            <v>#REF!</v>
          </cell>
          <cell r="I530" t="str">
            <v>L-&gt;R</v>
          </cell>
          <cell r="J530" t="str">
            <v>No</v>
          </cell>
          <cell r="K530">
            <v>1</v>
          </cell>
          <cell r="L530">
            <v>109662</v>
          </cell>
          <cell r="M530" t="str">
            <v>SEP 19</v>
          </cell>
          <cell r="N530">
            <v>43721</v>
          </cell>
          <cell r="O530">
            <v>11100325</v>
          </cell>
          <cell r="P530">
            <v>520000</v>
          </cell>
          <cell r="Q530">
            <v>43709</v>
          </cell>
          <cell r="R530" t="str">
            <v>No</v>
          </cell>
          <cell r="S530" t="str">
            <v>C28</v>
          </cell>
          <cell r="T530" t="str">
            <v>SOUTH</v>
          </cell>
          <cell r="U530" t="str">
            <v>深圳</v>
          </cell>
          <cell r="V530" t="str">
            <v>SZ 深圳</v>
          </cell>
          <cell r="W530" t="str">
            <v>YY</v>
          </cell>
          <cell r="X530" t="str">
            <v>RMB</v>
          </cell>
          <cell r="Y530">
            <v>520000</v>
          </cell>
          <cell r="Z530">
            <v>1.1299999999999999</v>
          </cell>
          <cell r="AA530">
            <v>520000</v>
          </cell>
          <cell r="AB530">
            <v>1.135</v>
          </cell>
          <cell r="AC530">
            <v>522300.88495575223</v>
          </cell>
          <cell r="AD530">
            <v>62676.106194690263</v>
          </cell>
          <cell r="AE530">
            <v>0.12</v>
          </cell>
          <cell r="AF530">
            <v>43666</v>
          </cell>
          <cell r="AG530" t="str">
            <v>含税到厂</v>
          </cell>
          <cell r="AI530"/>
          <cell r="AJ530"/>
          <cell r="AK530">
            <v>0.3</v>
          </cell>
          <cell r="AL530">
            <v>156000</v>
          </cell>
          <cell r="AM530">
            <v>43647</v>
          </cell>
          <cell r="AN530" t="str">
            <v>Yes</v>
          </cell>
          <cell r="AO530">
            <v>0.6</v>
          </cell>
          <cell r="AP530">
            <v>312000</v>
          </cell>
          <cell r="AR530"/>
          <cell r="AS530">
            <v>0.1</v>
          </cell>
          <cell r="AT530">
            <v>52000</v>
          </cell>
          <cell r="AU530">
            <v>43831</v>
          </cell>
          <cell r="AV530">
            <v>43846</v>
          </cell>
          <cell r="AX530" t="str">
            <v>Yes</v>
          </cell>
          <cell r="AY530"/>
          <cell r="AZ530"/>
          <cell r="BA530"/>
        </row>
        <row r="531">
          <cell r="B531">
            <v>380</v>
          </cell>
          <cell r="C531" t="str">
            <v>C49SZX20190033SX</v>
          </cell>
          <cell r="D531" t="str">
            <v>裕达盛</v>
          </cell>
          <cell r="E531" t="str">
            <v>YSM10</v>
          </cell>
          <cell r="F531" t="str">
            <v>NA</v>
          </cell>
          <cell r="G531" t="e">
            <v>#REF!</v>
          </cell>
          <cell r="H531" t="e">
            <v>#REF!</v>
          </cell>
          <cell r="I531" t="str">
            <v>R-&gt;L</v>
          </cell>
          <cell r="J531" t="str">
            <v>No</v>
          </cell>
          <cell r="K531">
            <v>1</v>
          </cell>
          <cell r="L531" t="e">
            <v>#N/A</v>
          </cell>
          <cell r="M531" t="e">
            <v>#N/A</v>
          </cell>
          <cell r="N531"/>
          <cell r="O531"/>
          <cell r="P531"/>
          <cell r="Q531"/>
          <cell r="R531" t="str">
            <v>Yes</v>
          </cell>
          <cell r="S531" t="str">
            <v>C49</v>
          </cell>
          <cell r="T531" t="str">
            <v>SOUTH</v>
          </cell>
          <cell r="U531" t="str">
            <v>深圳</v>
          </cell>
          <cell r="V531" t="str">
            <v>SZ 深圳</v>
          </cell>
          <cell r="W531" t="str">
            <v>SX</v>
          </cell>
          <cell r="X531" t="str">
            <v>RMB</v>
          </cell>
          <cell r="Y531">
            <v>578800</v>
          </cell>
          <cell r="Z531">
            <v>1.1299999999999999</v>
          </cell>
          <cell r="AA531">
            <v>578800</v>
          </cell>
          <cell r="AB531">
            <v>1.135</v>
          </cell>
          <cell r="AC531">
            <v>581361.06194690277</v>
          </cell>
          <cell r="AD531">
            <v>69763.327433628336</v>
          </cell>
          <cell r="AE531">
            <v>0.12</v>
          </cell>
          <cell r="AF531">
            <v>43678</v>
          </cell>
          <cell r="AG531" t="str">
            <v>含税到厂</v>
          </cell>
          <cell r="AH531"/>
          <cell r="AI531"/>
          <cell r="AJ531"/>
          <cell r="AK531">
            <v>0.2</v>
          </cell>
          <cell r="AL531">
            <v>115760</v>
          </cell>
          <cell r="AM531"/>
          <cell r="AN531" t="str">
            <v>No</v>
          </cell>
          <cell r="AO531">
            <v>0.8</v>
          </cell>
          <cell r="AP531">
            <v>463040</v>
          </cell>
          <cell r="AQ531"/>
          <cell r="AR531"/>
          <cell r="AS531"/>
          <cell r="AT531">
            <v>0</v>
          </cell>
          <cell r="AU531"/>
          <cell r="AV531"/>
          <cell r="AW531"/>
          <cell r="AX531" t="str">
            <v>Cancel</v>
          </cell>
          <cell r="AY531"/>
          <cell r="AZ531"/>
          <cell r="BA531"/>
          <cell r="BB531"/>
        </row>
        <row r="532">
          <cell r="B532">
            <v>381</v>
          </cell>
          <cell r="C532" t="str">
            <v>C49SZX20190114MX</v>
          </cell>
          <cell r="D532" t="str">
            <v>城宇</v>
          </cell>
          <cell r="E532" t="str">
            <v>YSM20R(SV)-2</v>
          </cell>
          <cell r="F532" t="str">
            <v>#03894</v>
          </cell>
          <cell r="G532"/>
          <cell r="H532" t="e">
            <v>#REF!</v>
          </cell>
          <cell r="I532" t="str">
            <v>L-&gt;R</v>
          </cell>
          <cell r="J532" t="str">
            <v>No</v>
          </cell>
          <cell r="K532">
            <v>1</v>
          </cell>
          <cell r="L532">
            <v>109526</v>
          </cell>
          <cell r="M532" t="str">
            <v>AUG 19</v>
          </cell>
          <cell r="N532">
            <v>43690</v>
          </cell>
          <cell r="O532">
            <v>11100312</v>
          </cell>
          <cell r="P532">
            <v>820000</v>
          </cell>
          <cell r="Q532">
            <v>43678</v>
          </cell>
          <cell r="R532" t="str">
            <v>Yes</v>
          </cell>
          <cell r="S532" t="str">
            <v>C49</v>
          </cell>
          <cell r="T532" t="str">
            <v>SOUTH</v>
          </cell>
          <cell r="U532" t="str">
            <v>惠州</v>
          </cell>
          <cell r="V532" t="str">
            <v>SZ 深圳</v>
          </cell>
          <cell r="W532" t="str">
            <v>MX</v>
          </cell>
          <cell r="X532" t="str">
            <v>RMB</v>
          </cell>
          <cell r="Y532">
            <v>820000</v>
          </cell>
          <cell r="Z532">
            <v>1.1299999999999999</v>
          </cell>
          <cell r="AA532">
            <v>820000</v>
          </cell>
          <cell r="AB532">
            <v>1.135</v>
          </cell>
          <cell r="AC532">
            <v>823628.31858407089</v>
          </cell>
          <cell r="AD532">
            <v>98835.398230088496</v>
          </cell>
          <cell r="AE532">
            <v>0.12</v>
          </cell>
          <cell r="AF532">
            <v>43685</v>
          </cell>
          <cell r="AG532" t="str">
            <v>含税到厂</v>
          </cell>
          <cell r="AI532"/>
          <cell r="AJ532"/>
          <cell r="AK532">
            <v>0.3</v>
          </cell>
          <cell r="AL532">
            <v>246000</v>
          </cell>
          <cell r="AM532">
            <v>43647</v>
          </cell>
          <cell r="AN532" t="str">
            <v>Yes</v>
          </cell>
          <cell r="AO532">
            <v>0.7</v>
          </cell>
          <cell r="AP532">
            <v>574000</v>
          </cell>
          <cell r="AQ532">
            <v>43678</v>
          </cell>
          <cell r="AR532">
            <v>43686</v>
          </cell>
          <cell r="AS532" t="str">
            <v>complete</v>
          </cell>
          <cell r="AT532"/>
          <cell r="AV532"/>
          <cell r="AX532" t="str">
            <v>Yes</v>
          </cell>
          <cell r="AY532"/>
          <cell r="AZ532" t="str">
            <v>Y</v>
          </cell>
          <cell r="BA532" t="str">
            <v>Yes</v>
          </cell>
        </row>
        <row r="533">
          <cell r="B533">
            <v>382</v>
          </cell>
          <cell r="C533" t="str">
            <v>C49SZX20190110ZX</v>
          </cell>
          <cell r="D533" t="str">
            <v>锘铧</v>
          </cell>
          <cell r="E533" t="str">
            <v>YSM10</v>
          </cell>
          <cell r="F533" t="str">
            <v>#68462</v>
          </cell>
          <cell r="G533" t="e">
            <v>#REF!</v>
          </cell>
          <cell r="H533" t="e">
            <v>#REF!</v>
          </cell>
          <cell r="I533" t="str">
            <v>L-&gt;R</v>
          </cell>
          <cell r="J533" t="str">
            <v>MVC+ATS15</v>
          </cell>
          <cell r="K533">
            <v>1</v>
          </cell>
          <cell r="L533">
            <v>109563</v>
          </cell>
          <cell r="M533" t="str">
            <v>AUG 19</v>
          </cell>
          <cell r="N533">
            <v>43707</v>
          </cell>
          <cell r="O533">
            <v>11100317</v>
          </cell>
          <cell r="P533">
            <v>720000</v>
          </cell>
          <cell r="Q533">
            <v>43678</v>
          </cell>
          <cell r="R533" t="str">
            <v>Yes</v>
          </cell>
          <cell r="S533" t="str">
            <v>C49</v>
          </cell>
          <cell r="T533" t="str">
            <v>SOUTH</v>
          </cell>
          <cell r="U533" t="str">
            <v>广州</v>
          </cell>
          <cell r="V533" t="str">
            <v>SZ 深圳</v>
          </cell>
          <cell r="W533" t="str">
            <v>ZX</v>
          </cell>
          <cell r="X533" t="str">
            <v>RMB</v>
          </cell>
          <cell r="Y533">
            <v>720000</v>
          </cell>
          <cell r="Z533">
            <v>1.1299999999999999</v>
          </cell>
          <cell r="AA533">
            <v>720000</v>
          </cell>
          <cell r="AB533">
            <v>1.135</v>
          </cell>
          <cell r="AC533">
            <v>723185.84070796461</v>
          </cell>
          <cell r="AD533">
            <v>86782.300884955752</v>
          </cell>
          <cell r="AE533">
            <v>0.12</v>
          </cell>
          <cell r="AF533">
            <v>43686</v>
          </cell>
          <cell r="AG533" t="str">
            <v>含税到厂</v>
          </cell>
          <cell r="AI533"/>
          <cell r="AJ533"/>
          <cell r="AK533" t="str">
            <v>Agree</v>
          </cell>
          <cell r="AL533">
            <v>100000</v>
          </cell>
          <cell r="AM533">
            <v>43678</v>
          </cell>
          <cell r="AN533" t="str">
            <v>Yes</v>
          </cell>
          <cell r="AO533" t="str">
            <v>agree</v>
          </cell>
          <cell r="AP533">
            <v>116000</v>
          </cell>
          <cell r="AQ533">
            <v>43678</v>
          </cell>
          <cell r="AR533">
            <v>43705</v>
          </cell>
          <cell r="AS533" t="str">
            <v>complete</v>
          </cell>
          <cell r="AT533"/>
          <cell r="AV533"/>
          <cell r="AX533" t="str">
            <v>Yes</v>
          </cell>
          <cell r="AY533"/>
          <cell r="AZ533" t="str">
            <v>Y</v>
          </cell>
          <cell r="BA533" t="str">
            <v>Yes</v>
          </cell>
        </row>
        <row r="534">
          <cell r="B534">
            <v>383</v>
          </cell>
          <cell r="C534" t="str">
            <v>C49SZX20190110ZX</v>
          </cell>
          <cell r="D534" t="str">
            <v>锘铧</v>
          </cell>
          <cell r="E534" t="str">
            <v>YSM10</v>
          </cell>
          <cell r="F534" t="str">
            <v>#68462</v>
          </cell>
          <cell r="G534" t="e">
            <v>#REF!</v>
          </cell>
          <cell r="H534" t="e">
            <v>#REF!</v>
          </cell>
          <cell r="I534" t="str">
            <v>L-&gt;R</v>
          </cell>
          <cell r="J534" t="str">
            <v>MVC+ATS15</v>
          </cell>
          <cell r="K534">
            <v>1</v>
          </cell>
          <cell r="L534">
            <v>109563</v>
          </cell>
          <cell r="M534" t="str">
            <v>AUG 19</v>
          </cell>
          <cell r="N534">
            <v>43707</v>
          </cell>
          <cell r="O534">
            <v>11100317</v>
          </cell>
          <cell r="P534">
            <v>720000</v>
          </cell>
          <cell r="Q534">
            <v>43678</v>
          </cell>
          <cell r="R534" t="str">
            <v>Yes</v>
          </cell>
          <cell r="S534" t="str">
            <v>C49</v>
          </cell>
          <cell r="T534" t="str">
            <v>SOUTH</v>
          </cell>
          <cell r="U534" t="str">
            <v>广州</v>
          </cell>
          <cell r="V534" t="str">
            <v>SZ 深圳</v>
          </cell>
          <cell r="W534" t="str">
            <v>ZX</v>
          </cell>
          <cell r="X534" t="str">
            <v>RMB</v>
          </cell>
          <cell r="Y534">
            <v>720000</v>
          </cell>
          <cell r="Z534">
            <v>1.1299999999999999</v>
          </cell>
          <cell r="AA534">
            <v>720000</v>
          </cell>
          <cell r="AB534">
            <v>1.135</v>
          </cell>
          <cell r="AC534">
            <v>723185.84070796461</v>
          </cell>
          <cell r="AD534">
            <v>86782.300884955752</v>
          </cell>
          <cell r="AE534">
            <v>0.12</v>
          </cell>
          <cell r="AF534">
            <v>43686</v>
          </cell>
          <cell r="AG534" t="str">
            <v>含税到厂</v>
          </cell>
          <cell r="AI534"/>
          <cell r="AJ534"/>
          <cell r="AK534" t="str">
            <v>Agree</v>
          </cell>
          <cell r="AL534">
            <v>28000</v>
          </cell>
          <cell r="AM534">
            <v>43678</v>
          </cell>
          <cell r="AN534" t="str">
            <v>Yes</v>
          </cell>
          <cell r="AO534" t="str">
            <v>agree</v>
          </cell>
          <cell r="AP534">
            <v>1180000</v>
          </cell>
          <cell r="AQ534">
            <v>43678</v>
          </cell>
          <cell r="AR534">
            <v>43705</v>
          </cell>
          <cell r="AS534" t="str">
            <v>complete</v>
          </cell>
          <cell r="AT534"/>
          <cell r="AV534"/>
          <cell r="AX534" t="str">
            <v>Yes</v>
          </cell>
          <cell r="AY534"/>
          <cell r="AZ534" t="str">
            <v>Y</v>
          </cell>
          <cell r="BA534" t="str">
            <v>Yes</v>
          </cell>
        </row>
        <row r="535">
          <cell r="B535">
            <v>384</v>
          </cell>
          <cell r="C535" t="str">
            <v>C49SZX20190110ZX</v>
          </cell>
          <cell r="D535" t="str">
            <v>锘铧</v>
          </cell>
          <cell r="E535" t="str">
            <v>YSM10</v>
          </cell>
          <cell r="F535" t="str">
            <v>#68462</v>
          </cell>
          <cell r="G535" t="e">
            <v>#REF!</v>
          </cell>
          <cell r="H535" t="e">
            <v>#REF!</v>
          </cell>
          <cell r="I535" t="str">
            <v>L-&gt;R</v>
          </cell>
          <cell r="J535" t="str">
            <v>MVC+ATS15</v>
          </cell>
          <cell r="K535">
            <v>1</v>
          </cell>
          <cell r="L535">
            <v>109563</v>
          </cell>
          <cell r="M535" t="str">
            <v>AUG 19</v>
          </cell>
          <cell r="N535">
            <v>43707</v>
          </cell>
          <cell r="O535">
            <v>11100317</v>
          </cell>
          <cell r="P535">
            <v>720000</v>
          </cell>
          <cell r="Q535">
            <v>43678</v>
          </cell>
          <cell r="R535" t="str">
            <v>Yes</v>
          </cell>
          <cell r="S535" t="str">
            <v>C49</v>
          </cell>
          <cell r="T535" t="str">
            <v>SOUTH</v>
          </cell>
          <cell r="U535" t="str">
            <v>广州</v>
          </cell>
          <cell r="V535" t="str">
            <v>SZ 深圳</v>
          </cell>
          <cell r="W535" t="str">
            <v>ZX</v>
          </cell>
          <cell r="X535" t="str">
            <v>RMB</v>
          </cell>
          <cell r="Y535">
            <v>720000</v>
          </cell>
          <cell r="Z535">
            <v>1.1299999999999999</v>
          </cell>
          <cell r="AA535">
            <v>720000</v>
          </cell>
          <cell r="AB535">
            <v>1.135</v>
          </cell>
          <cell r="AC535">
            <v>723185.84070796461</v>
          </cell>
          <cell r="AD535">
            <v>86782.300884955752</v>
          </cell>
          <cell r="AE535">
            <v>0.12</v>
          </cell>
          <cell r="AF535">
            <v>43686</v>
          </cell>
          <cell r="AG535" t="str">
            <v>含税到厂</v>
          </cell>
          <cell r="AI535"/>
          <cell r="AJ535"/>
          <cell r="AK535">
            <v>0.1</v>
          </cell>
          <cell r="AL535">
            <v>72000</v>
          </cell>
          <cell r="AM535">
            <v>43678</v>
          </cell>
          <cell r="AN535" t="str">
            <v>Yes</v>
          </cell>
          <cell r="AO535">
            <v>0.9</v>
          </cell>
          <cell r="AP535">
            <v>648000</v>
          </cell>
          <cell r="AQ535">
            <v>43678</v>
          </cell>
          <cell r="AR535">
            <v>43705</v>
          </cell>
          <cell r="AS535" t="str">
            <v>complete</v>
          </cell>
          <cell r="AT535"/>
          <cell r="AV535"/>
          <cell r="AX535" t="str">
            <v>Yes</v>
          </cell>
          <cell r="AY535"/>
          <cell r="AZ535" t="str">
            <v>Y</v>
          </cell>
          <cell r="BA535" t="str">
            <v>Yes</v>
          </cell>
        </row>
        <row r="536">
          <cell r="B536">
            <v>385</v>
          </cell>
          <cell r="C536" t="str">
            <v>C49SZX20190118R1SS</v>
          </cell>
          <cell r="D536" t="str">
            <v>鼎鸿</v>
          </cell>
          <cell r="E536" t="str">
            <v>YSM20R(SV)-2</v>
          </cell>
          <cell r="F536" t="str">
            <v>#03643</v>
          </cell>
          <cell r="G536" t="e">
            <v>#REF!</v>
          </cell>
          <cell r="H536" t="e">
            <v>#REF!</v>
          </cell>
          <cell r="I536" t="str">
            <v>L-&gt;R</v>
          </cell>
          <cell r="J536" t="str">
            <v>No</v>
          </cell>
          <cell r="K536">
            <v>1</v>
          </cell>
          <cell r="L536">
            <v>109294</v>
          </cell>
          <cell r="M536" t="str">
            <v>AUG 19</v>
          </cell>
          <cell r="N536">
            <v>43698</v>
          </cell>
          <cell r="O536">
            <v>11100313</v>
          </cell>
          <cell r="P536">
            <v>760000</v>
          </cell>
          <cell r="Q536">
            <v>43678</v>
          </cell>
          <cell r="R536" t="str">
            <v>No</v>
          </cell>
          <cell r="S536" t="str">
            <v>C49</v>
          </cell>
          <cell r="T536" t="str">
            <v>SOUTH</v>
          </cell>
          <cell r="U536" t="str">
            <v>深圳</v>
          </cell>
          <cell r="V536" t="str">
            <v>SZ 深圳</v>
          </cell>
          <cell r="W536" t="str">
            <v>SS</v>
          </cell>
          <cell r="X536" t="str">
            <v>RMB</v>
          </cell>
          <cell r="Y536">
            <v>760000</v>
          </cell>
          <cell r="Z536">
            <v>1.1299999999999999</v>
          </cell>
          <cell r="AA536">
            <v>760000</v>
          </cell>
          <cell r="AB536">
            <v>1.135</v>
          </cell>
          <cell r="AC536">
            <v>763362.83185840712</v>
          </cell>
          <cell r="AD536">
            <v>91603.539823008847</v>
          </cell>
          <cell r="AE536">
            <v>0.12</v>
          </cell>
          <cell r="AF536">
            <v>43691</v>
          </cell>
          <cell r="AG536" t="str">
            <v>含税到厂</v>
          </cell>
          <cell r="AI536"/>
          <cell r="AJ536"/>
          <cell r="AK536">
            <v>0.1</v>
          </cell>
          <cell r="AL536">
            <v>76000</v>
          </cell>
          <cell r="AM536">
            <v>43678</v>
          </cell>
          <cell r="AN536" t="str">
            <v>Yes</v>
          </cell>
          <cell r="AO536">
            <v>0.9</v>
          </cell>
          <cell r="AP536">
            <v>684000</v>
          </cell>
          <cell r="AQ536">
            <v>43678</v>
          </cell>
          <cell r="AR536">
            <v>43702</v>
          </cell>
          <cell r="AS536" t="str">
            <v>complete</v>
          </cell>
          <cell r="AT536"/>
          <cell r="AV536"/>
          <cell r="AX536" t="str">
            <v>Yes</v>
          </cell>
          <cell r="AY536"/>
          <cell r="AZ536" t="str">
            <v>Y</v>
          </cell>
          <cell r="BA536" t="str">
            <v>Yes</v>
          </cell>
        </row>
        <row r="537">
          <cell r="B537">
            <v>386</v>
          </cell>
          <cell r="C537" t="str">
            <v>C49SZX20190118R1SS</v>
          </cell>
          <cell r="D537" t="str">
            <v>鼎鸿</v>
          </cell>
          <cell r="E537" t="str">
            <v>YSM20R(SV)-2</v>
          </cell>
          <cell r="F537" t="str">
            <v>#03643</v>
          </cell>
          <cell r="G537" t="e">
            <v>#REF!</v>
          </cell>
          <cell r="H537" t="e">
            <v>#REF!</v>
          </cell>
          <cell r="I537" t="str">
            <v>L-&gt;R</v>
          </cell>
          <cell r="J537" t="str">
            <v>No</v>
          </cell>
          <cell r="K537">
            <v>1</v>
          </cell>
          <cell r="L537">
            <v>109705</v>
          </cell>
          <cell r="M537" t="str">
            <v>NOV 19</v>
          </cell>
          <cell r="N537">
            <v>43778</v>
          </cell>
          <cell r="O537">
            <v>11100354</v>
          </cell>
          <cell r="P537">
            <v>760000</v>
          </cell>
          <cell r="Q537">
            <v>43770</v>
          </cell>
          <cell r="R537" t="str">
            <v>No</v>
          </cell>
          <cell r="S537" t="str">
            <v>C49</v>
          </cell>
          <cell r="T537" t="str">
            <v>SOUTH</v>
          </cell>
          <cell r="U537" t="str">
            <v>深圳</v>
          </cell>
          <cell r="V537" t="str">
            <v>SZ 深圳</v>
          </cell>
          <cell r="W537" t="str">
            <v>SS</v>
          </cell>
          <cell r="X537" t="str">
            <v>RMB</v>
          </cell>
          <cell r="Y537">
            <v>760000</v>
          </cell>
          <cell r="Z537">
            <v>1.1299999999999999</v>
          </cell>
          <cell r="AA537">
            <v>760000</v>
          </cell>
          <cell r="AB537">
            <v>1.135</v>
          </cell>
          <cell r="AC537">
            <v>763362.83185840712</v>
          </cell>
          <cell r="AD537">
            <v>91603.539823008847</v>
          </cell>
          <cell r="AE537">
            <v>0.12</v>
          </cell>
          <cell r="AF537">
            <v>43691</v>
          </cell>
          <cell r="AG537" t="str">
            <v>含税到厂</v>
          </cell>
          <cell r="AI537"/>
          <cell r="AJ537"/>
          <cell r="AK537">
            <v>0.1</v>
          </cell>
          <cell r="AL537">
            <v>76000</v>
          </cell>
          <cell r="AM537">
            <v>43678</v>
          </cell>
          <cell r="AN537" t="str">
            <v>Yes</v>
          </cell>
          <cell r="AO537">
            <v>0.9</v>
          </cell>
          <cell r="AP537">
            <v>684000</v>
          </cell>
          <cell r="AQ537">
            <v>43770</v>
          </cell>
          <cell r="AR537">
            <v>43777</v>
          </cell>
          <cell r="AS537"/>
          <cell r="AT537">
            <v>0</v>
          </cell>
          <cell r="AV537"/>
          <cell r="AX537" t="str">
            <v>Yes</v>
          </cell>
          <cell r="AY537"/>
          <cell r="AZ537" t="str">
            <v>Y</v>
          </cell>
          <cell r="BA537" t="str">
            <v>Yes</v>
          </cell>
        </row>
        <row r="538">
          <cell r="B538">
            <v>387</v>
          </cell>
          <cell r="C538" t="str">
            <v>C49SZX20190118R1SS</v>
          </cell>
          <cell r="D538" t="str">
            <v>鼎鸿</v>
          </cell>
          <cell r="E538" t="str">
            <v>YSM10</v>
          </cell>
          <cell r="F538" t="str">
            <v>#03643</v>
          </cell>
          <cell r="G538" t="e">
            <v>#REF!</v>
          </cell>
          <cell r="H538" t="e">
            <v>#REF!</v>
          </cell>
          <cell r="I538" t="str">
            <v>L-&gt;R</v>
          </cell>
          <cell r="J538" t="str">
            <v>MVC</v>
          </cell>
          <cell r="K538">
            <v>1</v>
          </cell>
          <cell r="L538">
            <v>109587</v>
          </cell>
          <cell r="M538" t="str">
            <v>SEP 19</v>
          </cell>
          <cell r="N538">
            <v>43734</v>
          </cell>
          <cell r="O538">
            <v>11100332</v>
          </cell>
          <cell r="P538">
            <v>550000</v>
          </cell>
          <cell r="Q538">
            <v>43709</v>
          </cell>
          <cell r="R538" t="str">
            <v>No</v>
          </cell>
          <cell r="S538" t="str">
            <v>C49</v>
          </cell>
          <cell r="T538" t="str">
            <v>SOUTH</v>
          </cell>
          <cell r="U538" t="str">
            <v>深圳</v>
          </cell>
          <cell r="V538" t="str">
            <v>SZ 深圳</v>
          </cell>
          <cell r="W538" t="str">
            <v>SS</v>
          </cell>
          <cell r="X538" t="str">
            <v>RMB</v>
          </cell>
          <cell r="Y538">
            <v>550000</v>
          </cell>
          <cell r="Z538">
            <v>1.1299999999999999</v>
          </cell>
          <cell r="AA538">
            <v>550000</v>
          </cell>
          <cell r="AB538">
            <v>1.135</v>
          </cell>
          <cell r="AC538">
            <v>552433.62831858406</v>
          </cell>
          <cell r="AD538">
            <v>66292.035398230088</v>
          </cell>
          <cell r="AE538">
            <v>0.12</v>
          </cell>
          <cell r="AF538">
            <v>43691</v>
          </cell>
          <cell r="AG538" t="str">
            <v>含税到厂</v>
          </cell>
          <cell r="AI538"/>
          <cell r="AJ538"/>
          <cell r="AK538">
            <v>0.1</v>
          </cell>
          <cell r="AL538">
            <v>55000</v>
          </cell>
          <cell r="AM538">
            <v>43678</v>
          </cell>
          <cell r="AN538" t="str">
            <v>Yes</v>
          </cell>
          <cell r="AO538">
            <v>0.9</v>
          </cell>
          <cell r="AP538">
            <v>495000</v>
          </cell>
          <cell r="AQ538">
            <v>43709</v>
          </cell>
          <cell r="AR538">
            <v>43731</v>
          </cell>
          <cell r="AS538" t="str">
            <v>complete</v>
          </cell>
          <cell r="AT538"/>
          <cell r="AV538"/>
          <cell r="AX538" t="str">
            <v>Yes</v>
          </cell>
          <cell r="AY538"/>
          <cell r="AZ538"/>
          <cell r="BA538"/>
        </row>
        <row r="539">
          <cell r="B539">
            <v>388</v>
          </cell>
          <cell r="C539" t="str">
            <v>C49SZX20190118SS</v>
          </cell>
          <cell r="D539" t="str">
            <v>鼎鸿</v>
          </cell>
          <cell r="E539" t="str">
            <v>YSM10</v>
          </cell>
          <cell r="F539" t="str">
            <v>#03643</v>
          </cell>
          <cell r="G539" t="e">
            <v>#REF!</v>
          </cell>
          <cell r="H539" t="e">
            <v>#REF!</v>
          </cell>
          <cell r="I539" t="str">
            <v>L-&gt;R</v>
          </cell>
          <cell r="J539" t="str">
            <v>MVC</v>
          </cell>
          <cell r="K539">
            <v>1</v>
          </cell>
          <cell r="L539" t="e">
            <v>#REF!</v>
          </cell>
          <cell r="M539" t="e">
            <v>#REF!</v>
          </cell>
          <cell r="N539"/>
          <cell r="O539"/>
          <cell r="P539"/>
          <cell r="R539" t="str">
            <v>No</v>
          </cell>
          <cell r="S539" t="str">
            <v>C49</v>
          </cell>
          <cell r="T539" t="str">
            <v>SOUTH</v>
          </cell>
          <cell r="U539" t="str">
            <v>深圳</v>
          </cell>
          <cell r="V539" t="str">
            <v>SZ 深圳</v>
          </cell>
          <cell r="W539" t="str">
            <v>SS</v>
          </cell>
          <cell r="X539" t="str">
            <v>RMB</v>
          </cell>
          <cell r="Y539">
            <v>550000</v>
          </cell>
          <cell r="Z539">
            <v>1.1299999999999999</v>
          </cell>
          <cell r="AA539">
            <v>550000</v>
          </cell>
          <cell r="AB539">
            <v>1.135</v>
          </cell>
          <cell r="AC539">
            <v>552433.62831858406</v>
          </cell>
          <cell r="AD539">
            <v>66292.035398230088</v>
          </cell>
          <cell r="AE539">
            <v>0.12</v>
          </cell>
          <cell r="AF539">
            <v>43691</v>
          </cell>
          <cell r="AG539" t="str">
            <v>含税到厂</v>
          </cell>
          <cell r="AI539"/>
          <cell r="AJ539"/>
          <cell r="AK539">
            <v>0.1</v>
          </cell>
          <cell r="AL539">
            <v>55000</v>
          </cell>
          <cell r="AM539">
            <v>43678</v>
          </cell>
          <cell r="AN539" t="str">
            <v>Yes</v>
          </cell>
          <cell r="AO539">
            <v>0.9</v>
          </cell>
          <cell r="AP539">
            <v>495000</v>
          </cell>
          <cell r="AR539"/>
          <cell r="AS539"/>
          <cell r="AT539">
            <v>0</v>
          </cell>
          <cell r="AV539"/>
          <cell r="AX539" t="str">
            <v>Cancel</v>
          </cell>
          <cell r="AY539"/>
          <cell r="AZ539"/>
          <cell r="BA539" t="str">
            <v>Cancel</v>
          </cell>
        </row>
        <row r="540">
          <cell r="B540">
            <v>389</v>
          </cell>
          <cell r="C540" t="str">
            <v>C49SZX20190118SS</v>
          </cell>
          <cell r="D540" t="str">
            <v>鼎鸿</v>
          </cell>
          <cell r="E540" t="str">
            <v>YSM10</v>
          </cell>
          <cell r="F540" t="str">
            <v>#03643</v>
          </cell>
          <cell r="G540" t="e">
            <v>#REF!</v>
          </cell>
          <cell r="H540" t="e">
            <v>#REF!</v>
          </cell>
          <cell r="I540" t="str">
            <v>L-&gt;R</v>
          </cell>
          <cell r="J540" t="str">
            <v>MVC</v>
          </cell>
          <cell r="K540">
            <v>1</v>
          </cell>
          <cell r="L540" t="e">
            <v>#REF!</v>
          </cell>
          <cell r="M540" t="e">
            <v>#REF!</v>
          </cell>
          <cell r="N540"/>
          <cell r="O540"/>
          <cell r="P540"/>
          <cell r="R540" t="str">
            <v>No</v>
          </cell>
          <cell r="S540" t="str">
            <v>C49</v>
          </cell>
          <cell r="T540" t="str">
            <v>SOUTH</v>
          </cell>
          <cell r="U540" t="str">
            <v>深圳</v>
          </cell>
          <cell r="V540" t="str">
            <v>SZ 深圳</v>
          </cell>
          <cell r="W540" t="str">
            <v>SS</v>
          </cell>
          <cell r="X540" t="str">
            <v>RMB</v>
          </cell>
          <cell r="Y540">
            <v>550000</v>
          </cell>
          <cell r="Z540">
            <v>1.1299999999999999</v>
          </cell>
          <cell r="AA540">
            <v>550000</v>
          </cell>
          <cell r="AB540">
            <v>1.135</v>
          </cell>
          <cell r="AC540">
            <v>552433.62831858406</v>
          </cell>
          <cell r="AD540">
            <v>66292.035398230088</v>
          </cell>
          <cell r="AE540">
            <v>0.12</v>
          </cell>
          <cell r="AF540">
            <v>43691</v>
          </cell>
          <cell r="AG540" t="str">
            <v>含税到厂</v>
          </cell>
          <cell r="AI540"/>
          <cell r="AJ540"/>
          <cell r="AK540">
            <v>0.1</v>
          </cell>
          <cell r="AL540">
            <v>55000</v>
          </cell>
          <cell r="AM540">
            <v>43678</v>
          </cell>
          <cell r="AN540" t="str">
            <v>Yes</v>
          </cell>
          <cell r="AO540">
            <v>0.9</v>
          </cell>
          <cell r="AP540">
            <v>495000</v>
          </cell>
          <cell r="AR540"/>
          <cell r="AS540"/>
          <cell r="AT540">
            <v>0</v>
          </cell>
          <cell r="AV540"/>
          <cell r="AX540" t="str">
            <v>Cancel</v>
          </cell>
          <cell r="AY540"/>
          <cell r="AZ540"/>
          <cell r="BA540" t="str">
            <v>Cancel</v>
          </cell>
        </row>
        <row r="541">
          <cell r="B541">
            <v>390</v>
          </cell>
          <cell r="C541" t="str">
            <v>C49SZX20190115SS</v>
          </cell>
          <cell r="D541" t="str">
            <v>正创/End user:世启纳</v>
          </cell>
          <cell r="E541" t="str">
            <v>YSM10</v>
          </cell>
          <cell r="F541" t="str">
            <v>#03532</v>
          </cell>
          <cell r="G541" t="e">
            <v>#REF!</v>
          </cell>
          <cell r="H541" t="e">
            <v>#REF!</v>
          </cell>
          <cell r="I541" t="str">
            <v>R-&gt;L</v>
          </cell>
          <cell r="J541" t="str">
            <v>MVC</v>
          </cell>
          <cell r="K541">
            <v>1</v>
          </cell>
          <cell r="L541">
            <v>109565</v>
          </cell>
          <cell r="M541" t="str">
            <v>AUG 19</v>
          </cell>
          <cell r="N541">
            <v>43706</v>
          </cell>
          <cell r="O541">
            <v>11100320</v>
          </cell>
          <cell r="P541">
            <v>540000</v>
          </cell>
          <cell r="Q541">
            <v>43709</v>
          </cell>
          <cell r="R541" t="str">
            <v>Yes</v>
          </cell>
          <cell r="S541" t="str">
            <v>C49</v>
          </cell>
          <cell r="T541" t="str">
            <v>SOUTH</v>
          </cell>
          <cell r="U541" t="str">
            <v>深圳</v>
          </cell>
          <cell r="V541" t="str">
            <v>SZ 深圳</v>
          </cell>
          <cell r="W541" t="str">
            <v>SS</v>
          </cell>
          <cell r="X541" t="str">
            <v>RMB</v>
          </cell>
          <cell r="Y541">
            <v>540000</v>
          </cell>
          <cell r="Z541">
            <v>1.1299999999999999</v>
          </cell>
          <cell r="AA541">
            <v>540000</v>
          </cell>
          <cell r="AB541">
            <v>1.135</v>
          </cell>
          <cell r="AC541">
            <v>542389.38053097355</v>
          </cell>
          <cell r="AD541">
            <v>65086.725663716825</v>
          </cell>
          <cell r="AE541">
            <v>0.12</v>
          </cell>
          <cell r="AF541">
            <v>43691</v>
          </cell>
          <cell r="AG541" t="str">
            <v>含税到厂</v>
          </cell>
          <cell r="AI541"/>
          <cell r="AJ541"/>
          <cell r="AK541" t="str">
            <v>agree</v>
          </cell>
          <cell r="AL541">
            <v>20000</v>
          </cell>
          <cell r="AM541">
            <v>43678</v>
          </cell>
          <cell r="AN541" t="str">
            <v>Yes</v>
          </cell>
          <cell r="AO541" t="str">
            <v>agree</v>
          </cell>
          <cell r="AP541">
            <v>520000</v>
          </cell>
          <cell r="AQ541">
            <v>43678</v>
          </cell>
          <cell r="AR541">
            <v>43701</v>
          </cell>
          <cell r="AS541" t="str">
            <v>complete</v>
          </cell>
          <cell r="AT541"/>
          <cell r="AV541"/>
          <cell r="AX541" t="str">
            <v>Yes</v>
          </cell>
          <cell r="AY541"/>
          <cell r="AZ541" t="str">
            <v>Y</v>
          </cell>
          <cell r="BA541" t="str">
            <v>Yes</v>
          </cell>
        </row>
        <row r="542">
          <cell r="B542">
            <v>391</v>
          </cell>
          <cell r="C542" t="str">
            <v>C49SZX20190113LC</v>
          </cell>
          <cell r="D542" t="str">
            <v>首航</v>
          </cell>
          <cell r="E542" t="str">
            <v>YSM20R(SV)-2</v>
          </cell>
          <cell r="F542" t="str">
            <v>#03938</v>
          </cell>
          <cell r="G542" t="e">
            <v>#REF!</v>
          </cell>
          <cell r="H542" t="e">
            <v>#REF!</v>
          </cell>
          <cell r="I542" t="str">
            <v>L-&gt;R</v>
          </cell>
          <cell r="J542" t="str">
            <v>No</v>
          </cell>
          <cell r="K542">
            <v>1</v>
          </cell>
          <cell r="L542">
            <v>109624</v>
          </cell>
          <cell r="M542" t="str">
            <v>OCT 19</v>
          </cell>
          <cell r="N542">
            <v>43759</v>
          </cell>
          <cell r="O542">
            <v>11100343</v>
          </cell>
          <cell r="P542">
            <v>1200000</v>
          </cell>
          <cell r="Q542">
            <v>43739</v>
          </cell>
          <cell r="R542" t="str">
            <v>Yes</v>
          </cell>
          <cell r="S542" t="str">
            <v>C49</v>
          </cell>
          <cell r="T542" t="str">
            <v>SOUTH</v>
          </cell>
          <cell r="U542" t="str">
            <v>深圳</v>
          </cell>
          <cell r="V542" t="str">
            <v>SZ 深圳</v>
          </cell>
          <cell r="W542" t="str">
            <v>LC</v>
          </cell>
          <cell r="X542" t="str">
            <v>RMB</v>
          </cell>
          <cell r="Y542">
            <v>1200000</v>
          </cell>
          <cell r="Z542">
            <v>1.1299999999999999</v>
          </cell>
          <cell r="AA542">
            <v>1200000</v>
          </cell>
          <cell r="AB542">
            <v>1.135</v>
          </cell>
          <cell r="AC542">
            <v>1205309.7345132744</v>
          </cell>
          <cell r="AD542">
            <v>144637.16814159293</v>
          </cell>
          <cell r="AE542">
            <v>0.12</v>
          </cell>
          <cell r="AF542">
            <v>43691</v>
          </cell>
          <cell r="AG542" t="str">
            <v>含税到厂</v>
          </cell>
          <cell r="AI542"/>
          <cell r="AJ542"/>
          <cell r="AK542">
            <v>0.3</v>
          </cell>
          <cell r="AL542">
            <v>360000</v>
          </cell>
          <cell r="AM542">
            <v>43678</v>
          </cell>
          <cell r="AN542" t="str">
            <v>Yes</v>
          </cell>
          <cell r="AO542">
            <v>0.65</v>
          </cell>
          <cell r="AP542">
            <v>780000</v>
          </cell>
          <cell r="AQ542">
            <v>43739</v>
          </cell>
          <cell r="AR542">
            <v>43753</v>
          </cell>
          <cell r="AS542">
            <v>0.05</v>
          </cell>
          <cell r="AT542">
            <v>60000</v>
          </cell>
          <cell r="AU542">
            <v>43831</v>
          </cell>
          <cell r="AV542">
            <v>43837</v>
          </cell>
          <cell r="AX542" t="str">
            <v>Yes</v>
          </cell>
          <cell r="AY542"/>
          <cell r="AZ542" t="str">
            <v>Y</v>
          </cell>
          <cell r="BA542"/>
        </row>
        <row r="543">
          <cell r="B543">
            <v>392</v>
          </cell>
          <cell r="C543" t="str">
            <v>C49SZX20190113LC</v>
          </cell>
          <cell r="D543" t="str">
            <v>首航</v>
          </cell>
          <cell r="E543" t="str">
            <v>YSM10</v>
          </cell>
          <cell r="F543" t="str">
            <v>#03938</v>
          </cell>
          <cell r="G543" t="e">
            <v>#REF!</v>
          </cell>
          <cell r="H543" t="e">
            <v>#REF!</v>
          </cell>
          <cell r="I543" t="str">
            <v>L-&gt;R</v>
          </cell>
          <cell r="J543" t="str">
            <v>MVC+ATS15</v>
          </cell>
          <cell r="K543">
            <v>1</v>
          </cell>
          <cell r="L543">
            <v>109587</v>
          </cell>
          <cell r="M543" t="str">
            <v>OCT 19</v>
          </cell>
          <cell r="N543">
            <v>43759</v>
          </cell>
          <cell r="O543">
            <v>11100343</v>
          </cell>
          <cell r="P543">
            <v>800000</v>
          </cell>
          <cell r="Q543">
            <v>43739</v>
          </cell>
          <cell r="R543" t="str">
            <v>Yes</v>
          </cell>
          <cell r="S543" t="str">
            <v>C49</v>
          </cell>
          <cell r="T543" t="str">
            <v>SOUTH</v>
          </cell>
          <cell r="U543" t="str">
            <v>深圳</v>
          </cell>
          <cell r="V543" t="str">
            <v>SZ 深圳</v>
          </cell>
          <cell r="W543" t="str">
            <v>LC</v>
          </cell>
          <cell r="X543" t="str">
            <v>RMB</v>
          </cell>
          <cell r="Y543">
            <v>800000</v>
          </cell>
          <cell r="Z543">
            <v>1.1299999999999999</v>
          </cell>
          <cell r="AA543">
            <v>800000</v>
          </cell>
          <cell r="AB543">
            <v>1.135</v>
          </cell>
          <cell r="AC543">
            <v>803539.82300884963</v>
          </cell>
          <cell r="AD543">
            <v>96424.778761061956</v>
          </cell>
          <cell r="AE543">
            <v>0.12</v>
          </cell>
          <cell r="AF543">
            <v>43691</v>
          </cell>
          <cell r="AG543" t="str">
            <v>含税到厂</v>
          </cell>
          <cell r="AI543"/>
          <cell r="AJ543"/>
          <cell r="AK543">
            <v>0.3</v>
          </cell>
          <cell r="AL543">
            <v>240000</v>
          </cell>
          <cell r="AM543">
            <v>43678</v>
          </cell>
          <cell r="AN543" t="str">
            <v>Yes</v>
          </cell>
          <cell r="AO543">
            <v>0.65</v>
          </cell>
          <cell r="AP543">
            <v>520000</v>
          </cell>
          <cell r="AQ543">
            <v>43739</v>
          </cell>
          <cell r="AR543">
            <v>43753</v>
          </cell>
          <cell r="AS543">
            <v>0.05</v>
          </cell>
          <cell r="AT543">
            <v>40000</v>
          </cell>
          <cell r="AU543">
            <v>43831</v>
          </cell>
          <cell r="AV543">
            <v>43837</v>
          </cell>
          <cell r="AX543" t="str">
            <v>Yes</v>
          </cell>
          <cell r="AY543"/>
          <cell r="AZ543" t="str">
            <v>Y</v>
          </cell>
          <cell r="BA543"/>
        </row>
        <row r="544">
          <cell r="B544">
            <v>393</v>
          </cell>
          <cell r="C544" t="str">
            <v>C49SZX20190113LC</v>
          </cell>
          <cell r="D544" t="str">
            <v>首航</v>
          </cell>
          <cell r="E544" t="str">
            <v>YSM10</v>
          </cell>
          <cell r="F544" t="str">
            <v>#03938</v>
          </cell>
          <cell r="G544" t="e">
            <v>#REF!</v>
          </cell>
          <cell r="H544" t="e">
            <v>#REF!</v>
          </cell>
          <cell r="I544" t="str">
            <v>L-&gt;R</v>
          </cell>
          <cell r="J544" t="str">
            <v>No</v>
          </cell>
          <cell r="K544">
            <v>1</v>
          </cell>
          <cell r="L544">
            <v>109588</v>
          </cell>
          <cell r="M544" t="str">
            <v>OCT 19</v>
          </cell>
          <cell r="N544">
            <v>43759</v>
          </cell>
          <cell r="O544">
            <v>11100343</v>
          </cell>
          <cell r="P544">
            <v>800000</v>
          </cell>
          <cell r="Q544">
            <v>43739</v>
          </cell>
          <cell r="R544" t="str">
            <v>Yes</v>
          </cell>
          <cell r="S544" t="str">
            <v>C49</v>
          </cell>
          <cell r="T544" t="str">
            <v>SOUTH</v>
          </cell>
          <cell r="U544" t="str">
            <v>深圳</v>
          </cell>
          <cell r="V544" t="str">
            <v>SZ 深圳</v>
          </cell>
          <cell r="W544" t="str">
            <v>LC</v>
          </cell>
          <cell r="X544" t="str">
            <v>RMB</v>
          </cell>
          <cell r="Y544">
            <v>800000</v>
          </cell>
          <cell r="Z544">
            <v>1.1299999999999999</v>
          </cell>
          <cell r="AA544">
            <v>800000</v>
          </cell>
          <cell r="AB544">
            <v>1.135</v>
          </cell>
          <cell r="AC544">
            <v>803539.82300884963</v>
          </cell>
          <cell r="AD544">
            <v>96424.778761061956</v>
          </cell>
          <cell r="AE544">
            <v>0.12</v>
          </cell>
          <cell r="AF544">
            <v>43691</v>
          </cell>
          <cell r="AG544" t="str">
            <v>含税到厂</v>
          </cell>
          <cell r="AI544"/>
          <cell r="AJ544"/>
          <cell r="AK544">
            <v>0.3</v>
          </cell>
          <cell r="AL544">
            <v>240000</v>
          </cell>
          <cell r="AM544">
            <v>43678</v>
          </cell>
          <cell r="AN544" t="str">
            <v>Yes</v>
          </cell>
          <cell r="AO544">
            <v>0.65</v>
          </cell>
          <cell r="AP544">
            <v>520000</v>
          </cell>
          <cell r="AQ544">
            <v>43739</v>
          </cell>
          <cell r="AR544">
            <v>43753</v>
          </cell>
          <cell r="AS544">
            <v>0.05</v>
          </cell>
          <cell r="AT544">
            <v>40000</v>
          </cell>
          <cell r="AU544">
            <v>43831</v>
          </cell>
          <cell r="AV544">
            <v>43837</v>
          </cell>
          <cell r="AX544" t="str">
            <v>Yes</v>
          </cell>
          <cell r="AY544"/>
          <cell r="AZ544" t="str">
            <v>Y</v>
          </cell>
          <cell r="BA544"/>
        </row>
        <row r="545">
          <cell r="B545">
            <v>394</v>
          </cell>
          <cell r="C545" t="str">
            <v>C49SZX20190119SX</v>
          </cell>
          <cell r="D545" t="str">
            <v>太美亚</v>
          </cell>
          <cell r="E545" t="str">
            <v>YSM20R(SV)-2</v>
          </cell>
          <cell r="F545" t="str">
            <v>#03924</v>
          </cell>
          <cell r="G545" t="e">
            <v>#REF!</v>
          </cell>
          <cell r="H545" t="e">
            <v>#REF!</v>
          </cell>
          <cell r="I545" t="str">
            <v>L-&gt;R</v>
          </cell>
          <cell r="J545" t="str">
            <v>No</v>
          </cell>
          <cell r="K545">
            <v>1</v>
          </cell>
          <cell r="L545">
            <v>109526</v>
          </cell>
          <cell r="M545" t="str">
            <v>SEP 19</v>
          </cell>
          <cell r="N545">
            <v>43714</v>
          </cell>
          <cell r="O545">
            <v>11100324</v>
          </cell>
          <cell r="P545">
            <v>993333.33</v>
          </cell>
          <cell r="Q545">
            <v>43709</v>
          </cell>
          <cell r="R545" t="str">
            <v>Yes</v>
          </cell>
          <cell r="S545" t="str">
            <v>C49</v>
          </cell>
          <cell r="T545" t="str">
            <v>SOUTH</v>
          </cell>
          <cell r="U545" t="str">
            <v>深圳</v>
          </cell>
          <cell r="V545" t="str">
            <v>SZ 深圳</v>
          </cell>
          <cell r="W545" t="str">
            <v>SX</v>
          </cell>
          <cell r="X545" t="str">
            <v>RMB</v>
          </cell>
          <cell r="Y545">
            <v>993333.33</v>
          </cell>
          <cell r="Z545">
            <v>1.1299999999999999</v>
          </cell>
          <cell r="AA545">
            <v>993333.33</v>
          </cell>
          <cell r="AB545">
            <v>1.135</v>
          </cell>
          <cell r="AC545">
            <v>997728.61022123904</v>
          </cell>
          <cell r="AD545">
            <v>119727.43322654867</v>
          </cell>
          <cell r="AE545">
            <v>0.12</v>
          </cell>
          <cell r="AF545">
            <v>43693</v>
          </cell>
          <cell r="AG545" t="str">
            <v>含税到厂</v>
          </cell>
          <cell r="AK545">
            <v>0.2</v>
          </cell>
          <cell r="AL545">
            <v>198666.666</v>
          </cell>
          <cell r="AM545">
            <v>43678</v>
          </cell>
          <cell r="AN545" t="str">
            <v>Yes</v>
          </cell>
          <cell r="AO545">
            <v>0.7</v>
          </cell>
          <cell r="AP545">
            <v>695333.33099999989</v>
          </cell>
          <cell r="AQ545">
            <v>43709</v>
          </cell>
          <cell r="AR545">
            <v>43711</v>
          </cell>
          <cell r="AS545">
            <v>0.1</v>
          </cell>
          <cell r="AT545">
            <v>99333.332999999999</v>
          </cell>
          <cell r="AU545" t="str">
            <v>NOV 19</v>
          </cell>
          <cell r="AV545">
            <v>43775</v>
          </cell>
          <cell r="AX545" t="str">
            <v>Yes</v>
          </cell>
        </row>
        <row r="546">
          <cell r="B546">
            <v>395</v>
          </cell>
          <cell r="C546" t="str">
            <v>C49SZX20190119SX</v>
          </cell>
          <cell r="D546" t="str">
            <v>太美亚</v>
          </cell>
          <cell r="E546" t="str">
            <v>YSM20R(SV)-2</v>
          </cell>
          <cell r="F546" t="str">
            <v>#03924</v>
          </cell>
          <cell r="G546" t="e">
            <v>#REF!</v>
          </cell>
          <cell r="H546" t="e">
            <v>#REF!</v>
          </cell>
          <cell r="I546" t="str">
            <v>L-&gt;R</v>
          </cell>
          <cell r="J546" t="str">
            <v>No</v>
          </cell>
          <cell r="K546">
            <v>1</v>
          </cell>
          <cell r="L546">
            <v>109294</v>
          </cell>
          <cell r="M546" t="str">
            <v>SEP 19</v>
          </cell>
          <cell r="N546">
            <v>43714</v>
          </cell>
          <cell r="O546">
            <v>11100324</v>
          </cell>
          <cell r="P546">
            <v>993333.33</v>
          </cell>
          <cell r="Q546">
            <v>43709</v>
          </cell>
          <cell r="R546" t="str">
            <v>Yes</v>
          </cell>
          <cell r="S546" t="str">
            <v>C49</v>
          </cell>
          <cell r="T546" t="str">
            <v>SOUTH</v>
          </cell>
          <cell r="U546" t="str">
            <v>深圳</v>
          </cell>
          <cell r="V546" t="str">
            <v>SZ 深圳</v>
          </cell>
          <cell r="W546" t="str">
            <v>SX</v>
          </cell>
          <cell r="X546" t="str">
            <v>RMB</v>
          </cell>
          <cell r="Y546">
            <v>993333.33</v>
          </cell>
          <cell r="Z546">
            <v>1.1299999999999999</v>
          </cell>
          <cell r="AA546">
            <v>993333.33</v>
          </cell>
          <cell r="AB546">
            <v>1.135</v>
          </cell>
          <cell r="AC546">
            <v>997728.61022123904</v>
          </cell>
          <cell r="AD546">
            <v>119727.43322654867</v>
          </cell>
          <cell r="AE546">
            <v>0.12</v>
          </cell>
          <cell r="AF546">
            <v>43693</v>
          </cell>
          <cell r="AG546" t="str">
            <v>含税到厂</v>
          </cell>
          <cell r="AK546">
            <v>0.2</v>
          </cell>
          <cell r="AL546">
            <v>198666.666</v>
          </cell>
          <cell r="AM546">
            <v>43678</v>
          </cell>
          <cell r="AN546" t="str">
            <v>Yes</v>
          </cell>
          <cell r="AO546">
            <v>0.7</v>
          </cell>
          <cell r="AP546">
            <v>695333.33099999989</v>
          </cell>
          <cell r="AQ546">
            <v>43709</v>
          </cell>
          <cell r="AR546">
            <v>43711</v>
          </cell>
          <cell r="AS546">
            <v>0.1</v>
          </cell>
          <cell r="AT546">
            <v>99333.332999999999</v>
          </cell>
          <cell r="AU546" t="str">
            <v>NOV 19</v>
          </cell>
          <cell r="AV546">
            <v>43775</v>
          </cell>
          <cell r="AX546" t="str">
            <v>Yes</v>
          </cell>
        </row>
        <row r="547">
          <cell r="B547">
            <v>396</v>
          </cell>
          <cell r="C547" t="str">
            <v>C49SZX20190119SX</v>
          </cell>
          <cell r="D547" t="str">
            <v>太美亚</v>
          </cell>
          <cell r="E547" t="str">
            <v>YSM20R(SV)-2</v>
          </cell>
          <cell r="F547" t="str">
            <v>#03924</v>
          </cell>
          <cell r="G547" t="e">
            <v>#REF!</v>
          </cell>
          <cell r="H547" t="e">
            <v>#REF!</v>
          </cell>
          <cell r="I547" t="str">
            <v>R-&gt;L</v>
          </cell>
          <cell r="J547" t="str">
            <v>No</v>
          </cell>
          <cell r="K547">
            <v>1</v>
          </cell>
          <cell r="L547">
            <v>109603</v>
          </cell>
          <cell r="M547" t="str">
            <v>SEP 19</v>
          </cell>
          <cell r="N547">
            <v>43714</v>
          </cell>
          <cell r="O547">
            <v>11100324</v>
          </cell>
          <cell r="P547">
            <v>993333.33</v>
          </cell>
          <cell r="Q547">
            <v>43709</v>
          </cell>
          <cell r="R547" t="str">
            <v>Yes</v>
          </cell>
          <cell r="S547" t="str">
            <v>C49</v>
          </cell>
          <cell r="T547" t="str">
            <v>SOUTH</v>
          </cell>
          <cell r="U547" t="str">
            <v>深圳</v>
          </cell>
          <cell r="V547" t="str">
            <v>SZ 深圳</v>
          </cell>
          <cell r="W547" t="str">
            <v>SX</v>
          </cell>
          <cell r="X547" t="str">
            <v>RMB</v>
          </cell>
          <cell r="Y547">
            <v>993333.33</v>
          </cell>
          <cell r="Z547">
            <v>1.1299999999999999</v>
          </cell>
          <cell r="AA547">
            <v>993333.33</v>
          </cell>
          <cell r="AB547">
            <v>1.135</v>
          </cell>
          <cell r="AC547">
            <v>997728.61022123904</v>
          </cell>
          <cell r="AD547">
            <v>119727.43322654867</v>
          </cell>
          <cell r="AE547">
            <v>0.12</v>
          </cell>
          <cell r="AF547">
            <v>43693</v>
          </cell>
          <cell r="AG547" t="str">
            <v>含税到厂</v>
          </cell>
          <cell r="AK547">
            <v>0.2</v>
          </cell>
          <cell r="AL547">
            <v>198666.666</v>
          </cell>
          <cell r="AM547">
            <v>43678</v>
          </cell>
          <cell r="AN547" t="str">
            <v>Yes</v>
          </cell>
          <cell r="AO547">
            <v>0.7</v>
          </cell>
          <cell r="AP547">
            <v>695333.33099999989</v>
          </cell>
          <cell r="AQ547">
            <v>43709</v>
          </cell>
          <cell r="AR547">
            <v>43711</v>
          </cell>
          <cell r="AS547">
            <v>0.1</v>
          </cell>
          <cell r="AT547">
            <v>99333.332999999999</v>
          </cell>
          <cell r="AU547" t="str">
            <v>NOV 19</v>
          </cell>
          <cell r="AV547">
            <v>43775</v>
          </cell>
          <cell r="AX547" t="str">
            <v>Yes</v>
          </cell>
        </row>
        <row r="548">
          <cell r="B548">
            <v>397</v>
          </cell>
          <cell r="C548" t="str">
            <v>C49SZX20190119SX</v>
          </cell>
          <cell r="D548" t="str">
            <v>太美亚</v>
          </cell>
          <cell r="E548" t="str">
            <v>YSM10</v>
          </cell>
          <cell r="F548" t="str">
            <v>#03924</v>
          </cell>
          <cell r="G548" t="e">
            <v>#REF!</v>
          </cell>
          <cell r="H548" t="e">
            <v>#REF!</v>
          </cell>
          <cell r="I548" t="str">
            <v>R-&gt;L</v>
          </cell>
          <cell r="J548" t="str">
            <v>MVC+ATS15</v>
          </cell>
          <cell r="K548">
            <v>1</v>
          </cell>
          <cell r="L548">
            <v>109564</v>
          </cell>
          <cell r="M548" t="str">
            <v>SEP 19</v>
          </cell>
          <cell r="N548">
            <v>43714</v>
          </cell>
          <cell r="O548">
            <v>11100324</v>
          </cell>
          <cell r="P548">
            <v>650000</v>
          </cell>
          <cell r="Q548">
            <v>43709</v>
          </cell>
          <cell r="R548" t="str">
            <v>Yes</v>
          </cell>
          <cell r="S548" t="str">
            <v>C49</v>
          </cell>
          <cell r="T548" t="str">
            <v>SOUTH</v>
          </cell>
          <cell r="U548" t="str">
            <v>深圳</v>
          </cell>
          <cell r="V548" t="str">
            <v>SZ 深圳</v>
          </cell>
          <cell r="W548" t="str">
            <v>SX</v>
          </cell>
          <cell r="X548" t="str">
            <v>RMB</v>
          </cell>
          <cell r="Y548">
            <v>650000</v>
          </cell>
          <cell r="Z548">
            <v>1.1299999999999999</v>
          </cell>
          <cell r="AA548">
            <v>650000</v>
          </cell>
          <cell r="AB548">
            <v>1.135</v>
          </cell>
          <cell r="AC548">
            <v>652876.10619469034</v>
          </cell>
          <cell r="AD548">
            <v>78345.132743362832</v>
          </cell>
          <cell r="AE548">
            <v>0.12</v>
          </cell>
          <cell r="AF548">
            <v>43693</v>
          </cell>
          <cell r="AG548" t="str">
            <v>含税到厂</v>
          </cell>
          <cell r="AK548">
            <v>0.2</v>
          </cell>
          <cell r="AL548">
            <v>130000</v>
          </cell>
          <cell r="AM548">
            <v>43678</v>
          </cell>
          <cell r="AN548" t="str">
            <v>Yes</v>
          </cell>
          <cell r="AO548">
            <v>0.7</v>
          </cell>
          <cell r="AP548">
            <v>455000</v>
          </cell>
          <cell r="AQ548">
            <v>43709</v>
          </cell>
          <cell r="AR548">
            <v>43711</v>
          </cell>
          <cell r="AS548">
            <v>0.1</v>
          </cell>
          <cell r="AT548">
            <v>65000</v>
          </cell>
          <cell r="AU548" t="str">
            <v>NOV 19</v>
          </cell>
          <cell r="AV548">
            <v>43775</v>
          </cell>
          <cell r="AX548" t="str">
            <v>Yes</v>
          </cell>
        </row>
        <row r="549">
          <cell r="B549">
            <v>398</v>
          </cell>
          <cell r="C549" t="str">
            <v>C49SZX20190119SX</v>
          </cell>
          <cell r="D549" t="str">
            <v>太美亚</v>
          </cell>
          <cell r="E549" t="str">
            <v>YSM10</v>
          </cell>
          <cell r="F549" t="str">
            <v>#03924</v>
          </cell>
          <cell r="G549" t="e">
            <v>#REF!</v>
          </cell>
          <cell r="H549" t="e">
            <v>#REF!</v>
          </cell>
          <cell r="I549" t="str">
            <v>R-&gt;L</v>
          </cell>
          <cell r="J549" t="str">
            <v>MVC</v>
          </cell>
          <cell r="K549">
            <v>1</v>
          </cell>
          <cell r="L549">
            <v>109588</v>
          </cell>
          <cell r="M549" t="str">
            <v>SEP 19</v>
          </cell>
          <cell r="N549">
            <v>43714</v>
          </cell>
          <cell r="O549">
            <v>11100324</v>
          </cell>
          <cell r="P549">
            <v>650000</v>
          </cell>
          <cell r="Q549">
            <v>43709</v>
          </cell>
          <cell r="R549" t="str">
            <v>Yes</v>
          </cell>
          <cell r="S549" t="str">
            <v>C49</v>
          </cell>
          <cell r="T549" t="str">
            <v>SOUTH</v>
          </cell>
          <cell r="U549" t="str">
            <v>深圳</v>
          </cell>
          <cell r="V549" t="str">
            <v>SZ 深圳</v>
          </cell>
          <cell r="W549" t="str">
            <v>SX</v>
          </cell>
          <cell r="X549" t="str">
            <v>RMB</v>
          </cell>
          <cell r="Y549">
            <v>650000</v>
          </cell>
          <cell r="Z549">
            <v>1.1299999999999999</v>
          </cell>
          <cell r="AA549">
            <v>650000</v>
          </cell>
          <cell r="AB549">
            <v>1.135</v>
          </cell>
          <cell r="AC549">
            <v>652876.10619469034</v>
          </cell>
          <cell r="AD549">
            <v>78345.132743362832</v>
          </cell>
          <cell r="AE549">
            <v>0.12</v>
          </cell>
          <cell r="AF549">
            <v>43693</v>
          </cell>
          <cell r="AG549" t="str">
            <v>含税到厂</v>
          </cell>
          <cell r="AK549">
            <v>0.2</v>
          </cell>
          <cell r="AL549">
            <v>130000</v>
          </cell>
          <cell r="AM549">
            <v>43678</v>
          </cell>
          <cell r="AN549" t="str">
            <v>Yes</v>
          </cell>
          <cell r="AO549">
            <v>0.7</v>
          </cell>
          <cell r="AP549">
            <v>455000</v>
          </cell>
          <cell r="AQ549">
            <v>43709</v>
          </cell>
          <cell r="AR549">
            <v>43711</v>
          </cell>
          <cell r="AS549">
            <v>0.1</v>
          </cell>
          <cell r="AT549">
            <v>65000</v>
          </cell>
          <cell r="AU549" t="str">
            <v>NOV 19</v>
          </cell>
          <cell r="AV549">
            <v>43775</v>
          </cell>
          <cell r="AX549" t="str">
            <v>Yes</v>
          </cell>
        </row>
        <row r="550">
          <cell r="B550">
            <v>399</v>
          </cell>
          <cell r="C550" t="str">
            <v>C49SZX20190119SX</v>
          </cell>
          <cell r="D550" t="str">
            <v>太美亚</v>
          </cell>
          <cell r="E550" t="str">
            <v>YSM10</v>
          </cell>
          <cell r="F550" t="str">
            <v>#03924</v>
          </cell>
          <cell r="G550" t="e">
            <v>#REF!</v>
          </cell>
          <cell r="H550" t="e">
            <v>#REF!</v>
          </cell>
          <cell r="I550" t="str">
            <v>L-&gt;R</v>
          </cell>
          <cell r="J550" t="str">
            <v>MVC</v>
          </cell>
          <cell r="K550">
            <v>1</v>
          </cell>
          <cell r="L550">
            <v>109566</v>
          </cell>
          <cell r="M550" t="str">
            <v>SEP 19</v>
          </cell>
          <cell r="N550">
            <v>43714</v>
          </cell>
          <cell r="O550">
            <v>11100324</v>
          </cell>
          <cell r="P550">
            <v>650000</v>
          </cell>
          <cell r="Q550">
            <v>43709</v>
          </cell>
          <cell r="R550" t="str">
            <v>Yes</v>
          </cell>
          <cell r="S550" t="str">
            <v>C49</v>
          </cell>
          <cell r="T550" t="str">
            <v>SOUTH</v>
          </cell>
          <cell r="U550" t="str">
            <v>深圳</v>
          </cell>
          <cell r="V550" t="str">
            <v>SZ 深圳</v>
          </cell>
          <cell r="W550" t="str">
            <v>SX</v>
          </cell>
          <cell r="X550" t="str">
            <v>RMB</v>
          </cell>
          <cell r="Y550">
            <v>650000</v>
          </cell>
          <cell r="Z550">
            <v>1.1299999999999999</v>
          </cell>
          <cell r="AA550">
            <v>650000</v>
          </cell>
          <cell r="AB550">
            <v>1.135</v>
          </cell>
          <cell r="AC550">
            <v>652876.10619469034</v>
          </cell>
          <cell r="AD550">
            <v>78345.132743362832</v>
          </cell>
          <cell r="AE550">
            <v>0.12</v>
          </cell>
          <cell r="AF550">
            <v>43693</v>
          </cell>
          <cell r="AG550" t="str">
            <v>含税到厂</v>
          </cell>
          <cell r="AK550">
            <v>0.2</v>
          </cell>
          <cell r="AL550">
            <v>130000</v>
          </cell>
          <cell r="AM550">
            <v>43678</v>
          </cell>
          <cell r="AN550" t="str">
            <v>Yes</v>
          </cell>
          <cell r="AO550">
            <v>0.7</v>
          </cell>
          <cell r="AP550">
            <v>455000</v>
          </cell>
          <cell r="AQ550">
            <v>43709</v>
          </cell>
          <cell r="AR550">
            <v>43711</v>
          </cell>
          <cell r="AS550">
            <v>0.1</v>
          </cell>
          <cell r="AT550">
            <v>65000</v>
          </cell>
          <cell r="AU550" t="str">
            <v>NOV 19</v>
          </cell>
          <cell r="AV550">
            <v>43775</v>
          </cell>
          <cell r="AX550" t="str">
            <v>Yes</v>
          </cell>
        </row>
        <row r="551">
          <cell r="B551">
            <v>400</v>
          </cell>
          <cell r="C551" t="str">
            <v>C49SZX20190119SX</v>
          </cell>
          <cell r="D551" t="str">
            <v>太美亚</v>
          </cell>
          <cell r="E551" t="str">
            <v>YSM10</v>
          </cell>
          <cell r="F551" t="str">
            <v>#03924</v>
          </cell>
          <cell r="G551" t="e">
            <v>#REF!</v>
          </cell>
          <cell r="H551" t="e">
            <v>#REF!</v>
          </cell>
          <cell r="I551" t="str">
            <v>L-&gt;R</v>
          </cell>
          <cell r="J551" t="str">
            <v>MVC</v>
          </cell>
          <cell r="K551">
            <v>1</v>
          </cell>
          <cell r="L551">
            <v>109566</v>
          </cell>
          <cell r="M551" t="str">
            <v>SEP 19</v>
          </cell>
          <cell r="N551">
            <v>43714</v>
          </cell>
          <cell r="O551">
            <v>11100324</v>
          </cell>
          <cell r="P551">
            <v>650000</v>
          </cell>
          <cell r="Q551">
            <v>43709</v>
          </cell>
          <cell r="R551" t="str">
            <v>Yes</v>
          </cell>
          <cell r="S551" t="str">
            <v>C49</v>
          </cell>
          <cell r="T551" t="str">
            <v>SOUTH</v>
          </cell>
          <cell r="U551" t="str">
            <v>深圳</v>
          </cell>
          <cell r="V551" t="str">
            <v>SZ 深圳</v>
          </cell>
          <cell r="W551" t="str">
            <v>SX</v>
          </cell>
          <cell r="X551" t="str">
            <v>RMB</v>
          </cell>
          <cell r="Y551">
            <v>650000</v>
          </cell>
          <cell r="Z551">
            <v>1.1299999999999999</v>
          </cell>
          <cell r="AA551">
            <v>650000</v>
          </cell>
          <cell r="AB551">
            <v>1.135</v>
          </cell>
          <cell r="AC551">
            <v>652876.10619469034</v>
          </cell>
          <cell r="AD551">
            <v>78345.132743362832</v>
          </cell>
          <cell r="AE551">
            <v>0.12</v>
          </cell>
          <cell r="AF551">
            <v>43693</v>
          </cell>
          <cell r="AG551" t="str">
            <v>含税到厂</v>
          </cell>
          <cell r="AK551">
            <v>0.2</v>
          </cell>
          <cell r="AL551">
            <v>130000</v>
          </cell>
          <cell r="AM551">
            <v>43678</v>
          </cell>
          <cell r="AN551" t="str">
            <v>Yes</v>
          </cell>
          <cell r="AO551">
            <v>0.7</v>
          </cell>
          <cell r="AP551">
            <v>455000</v>
          </cell>
          <cell r="AQ551">
            <v>43709</v>
          </cell>
          <cell r="AR551">
            <v>43711</v>
          </cell>
          <cell r="AS551">
            <v>0.1</v>
          </cell>
          <cell r="AT551">
            <v>65000</v>
          </cell>
          <cell r="AU551" t="str">
            <v>NOV 19</v>
          </cell>
          <cell r="AV551">
            <v>43775</v>
          </cell>
          <cell r="AX551" t="str">
            <v>Yes</v>
          </cell>
        </row>
        <row r="552">
          <cell r="B552">
            <v>401</v>
          </cell>
          <cell r="C552" t="str">
            <v>C49SZX20190119SX</v>
          </cell>
          <cell r="D552" t="str">
            <v>太美亚</v>
          </cell>
          <cell r="E552" t="str">
            <v>YSM10</v>
          </cell>
          <cell r="F552" t="str">
            <v>#03924</v>
          </cell>
          <cell r="G552" t="e">
            <v>#REF!</v>
          </cell>
          <cell r="H552" t="e">
            <v>#REF!</v>
          </cell>
          <cell r="I552" t="str">
            <v>L-&gt;R</v>
          </cell>
          <cell r="J552" t="str">
            <v>MVC</v>
          </cell>
          <cell r="K552">
            <v>1</v>
          </cell>
          <cell r="L552">
            <v>109566</v>
          </cell>
          <cell r="M552" t="str">
            <v>SEP 19</v>
          </cell>
          <cell r="N552">
            <v>43714</v>
          </cell>
          <cell r="O552">
            <v>11100324</v>
          </cell>
          <cell r="P552">
            <v>650000</v>
          </cell>
          <cell r="Q552">
            <v>43709</v>
          </cell>
          <cell r="R552" t="str">
            <v>Yes</v>
          </cell>
          <cell r="S552" t="str">
            <v>C49</v>
          </cell>
          <cell r="T552" t="str">
            <v>SOUTH</v>
          </cell>
          <cell r="U552" t="str">
            <v>深圳</v>
          </cell>
          <cell r="V552" t="str">
            <v>SZ 深圳</v>
          </cell>
          <cell r="W552" t="str">
            <v>SX</v>
          </cell>
          <cell r="X552" t="str">
            <v>RMB</v>
          </cell>
          <cell r="Y552">
            <v>650000</v>
          </cell>
          <cell r="Z552">
            <v>1.1299999999999999</v>
          </cell>
          <cell r="AA552">
            <v>650000</v>
          </cell>
          <cell r="AB552">
            <v>1.135</v>
          </cell>
          <cell r="AC552">
            <v>652876.10619469034</v>
          </cell>
          <cell r="AD552">
            <v>78345.132743362832</v>
          </cell>
          <cell r="AE552">
            <v>0.12</v>
          </cell>
          <cell r="AF552">
            <v>43693</v>
          </cell>
          <cell r="AG552" t="str">
            <v>含税到厂</v>
          </cell>
          <cell r="AK552">
            <v>0.2</v>
          </cell>
          <cell r="AL552">
            <v>130000</v>
          </cell>
          <cell r="AM552">
            <v>43678</v>
          </cell>
          <cell r="AN552" t="str">
            <v>Yes</v>
          </cell>
          <cell r="AO552">
            <v>0.7</v>
          </cell>
          <cell r="AP552">
            <v>455000</v>
          </cell>
          <cell r="AQ552">
            <v>43709</v>
          </cell>
          <cell r="AR552">
            <v>43711</v>
          </cell>
          <cell r="AS552">
            <v>0.1</v>
          </cell>
          <cell r="AT552">
            <v>65000</v>
          </cell>
          <cell r="AU552" t="str">
            <v>NOV 19</v>
          </cell>
          <cell r="AV552">
            <v>43775</v>
          </cell>
          <cell r="AX552" t="str">
            <v>Yes</v>
          </cell>
        </row>
        <row r="553">
          <cell r="B553">
            <v>402</v>
          </cell>
          <cell r="C553" t="str">
            <v>C49SZX20190122JL</v>
          </cell>
          <cell r="D553" t="str">
            <v>鑫东泰</v>
          </cell>
          <cell r="E553" t="str">
            <v>YSM20R(SV)-2</v>
          </cell>
          <cell r="F553" t="str">
            <v>NA</v>
          </cell>
          <cell r="G553" t="e">
            <v>#REF!</v>
          </cell>
          <cell r="H553" t="e">
            <v>#REF!</v>
          </cell>
          <cell r="I553" t="str">
            <v>L-&gt;R</v>
          </cell>
          <cell r="J553" t="str">
            <v>MVC</v>
          </cell>
          <cell r="K553">
            <v>1</v>
          </cell>
          <cell r="L553" t="e">
            <v>#REF!</v>
          </cell>
          <cell r="M553" t="e">
            <v>#REF!</v>
          </cell>
          <cell r="N553"/>
          <cell r="O553"/>
          <cell r="P553"/>
          <cell r="R553" t="str">
            <v>No</v>
          </cell>
          <cell r="S553" t="str">
            <v>C49</v>
          </cell>
          <cell r="T553" t="str">
            <v>SOUTH</v>
          </cell>
          <cell r="U553" t="str">
            <v>深圳</v>
          </cell>
          <cell r="V553" t="str">
            <v>SZ 深圳</v>
          </cell>
          <cell r="W553" t="str">
            <v>JL</v>
          </cell>
          <cell r="X553" t="str">
            <v>RMB</v>
          </cell>
          <cell r="Y553">
            <v>910000</v>
          </cell>
          <cell r="Z553">
            <v>1.1299999999999999</v>
          </cell>
          <cell r="AA553">
            <v>910000</v>
          </cell>
          <cell r="AB553">
            <v>1.135</v>
          </cell>
          <cell r="AC553">
            <v>914026.54867256642</v>
          </cell>
          <cell r="AD553">
            <v>109683.18584070797</v>
          </cell>
          <cell r="AE553">
            <v>0.12</v>
          </cell>
          <cell r="AF553">
            <v>43692</v>
          </cell>
          <cell r="AG553" t="str">
            <v>含税到厂</v>
          </cell>
          <cell r="AI553"/>
          <cell r="AJ553"/>
          <cell r="AK553">
            <v>0.3</v>
          </cell>
          <cell r="AL553">
            <v>273000</v>
          </cell>
          <cell r="AM553"/>
          <cell r="AN553" t="str">
            <v>No</v>
          </cell>
          <cell r="AO553">
            <v>0.7</v>
          </cell>
          <cell r="AP553">
            <v>637000</v>
          </cell>
          <cell r="AR553"/>
          <cell r="AS553"/>
          <cell r="AT553">
            <v>0</v>
          </cell>
          <cell r="AU553"/>
          <cell r="AV553"/>
          <cell r="AX553" t="str">
            <v>Cancel</v>
          </cell>
          <cell r="AY553"/>
          <cell r="AZ553"/>
          <cell r="BA553" t="str">
            <v>Cancel</v>
          </cell>
        </row>
        <row r="554">
          <cell r="B554">
            <v>403</v>
          </cell>
          <cell r="C554" t="str">
            <v>C49SZX20190126MZ</v>
          </cell>
          <cell r="D554" t="str">
            <v>天星创展</v>
          </cell>
          <cell r="E554" t="str">
            <v>YSM20R(SV)-2</v>
          </cell>
          <cell r="F554" t="str">
            <v>#72423</v>
          </cell>
          <cell r="G554" t="e">
            <v>#REF!</v>
          </cell>
          <cell r="H554" t="e">
            <v>#REF!</v>
          </cell>
          <cell r="I554" t="str">
            <v>L-&gt;R</v>
          </cell>
          <cell r="J554" t="str">
            <v>No</v>
          </cell>
          <cell r="K554">
            <v>1</v>
          </cell>
          <cell r="L554">
            <v>109390</v>
          </cell>
          <cell r="M554" t="str">
            <v>AUG 19</v>
          </cell>
          <cell r="N554">
            <v>43700</v>
          </cell>
          <cell r="O554">
            <v>11100314</v>
          </cell>
          <cell r="P554">
            <v>870000</v>
          </cell>
          <cell r="Q554">
            <v>43678</v>
          </cell>
          <cell r="R554" t="str">
            <v>No</v>
          </cell>
          <cell r="S554" t="str">
            <v>C49</v>
          </cell>
          <cell r="T554" t="str">
            <v>SOUTH</v>
          </cell>
          <cell r="U554" t="str">
            <v>深圳</v>
          </cell>
          <cell r="V554" t="str">
            <v>SZ 深圳</v>
          </cell>
          <cell r="W554" t="str">
            <v>MZ</v>
          </cell>
          <cell r="X554" t="str">
            <v>RMB</v>
          </cell>
          <cell r="Y554">
            <v>870000</v>
          </cell>
          <cell r="Z554">
            <v>1.1299999999999999</v>
          </cell>
          <cell r="AA554">
            <v>870000</v>
          </cell>
          <cell r="AB554">
            <v>1.135</v>
          </cell>
          <cell r="AC554">
            <v>873849.55752212403</v>
          </cell>
          <cell r="AD554">
            <v>104861.94690265488</v>
          </cell>
          <cell r="AE554">
            <v>0.12</v>
          </cell>
          <cell r="AF554">
            <v>43697</v>
          </cell>
          <cell r="AG554" t="str">
            <v>含税到厂</v>
          </cell>
          <cell r="AK554">
            <v>1</v>
          </cell>
          <cell r="AL554">
            <v>870000</v>
          </cell>
          <cell r="AM554">
            <v>43678</v>
          </cell>
          <cell r="AN554" t="str">
            <v>Yes</v>
          </cell>
          <cell r="AO554" t="str">
            <v>complete</v>
          </cell>
          <cell r="AP554"/>
          <cell r="AQ554"/>
          <cell r="AS554"/>
          <cell r="AT554"/>
          <cell r="AX554" t="str">
            <v>Yes</v>
          </cell>
          <cell r="AZ554" t="str">
            <v>Y</v>
          </cell>
          <cell r="BA554" t="str">
            <v>Yes</v>
          </cell>
        </row>
        <row r="555">
          <cell r="B555">
            <v>404</v>
          </cell>
          <cell r="C555" t="str">
            <v>C49SZX20190121JY</v>
          </cell>
          <cell r="D555" t="str">
            <v>建航</v>
          </cell>
          <cell r="E555" t="str">
            <v>YSM10</v>
          </cell>
          <cell r="F555" t="str">
            <v>#72882</v>
          </cell>
          <cell r="G555" t="e">
            <v>#REF!</v>
          </cell>
          <cell r="H555" t="e">
            <v>#REF!</v>
          </cell>
          <cell r="I555" t="str">
            <v>L-&gt;R</v>
          </cell>
          <cell r="J555" t="str">
            <v>MVC</v>
          </cell>
          <cell r="K555">
            <v>1</v>
          </cell>
          <cell r="L555" t="str">
            <v xml:space="preserve">此台机器预留了上海的Y48836 </v>
          </cell>
          <cell r="M555" t="str">
            <v>SEP 19</v>
          </cell>
          <cell r="N555">
            <v>43719</v>
          </cell>
          <cell r="O555">
            <v>11100328</v>
          </cell>
          <cell r="P555">
            <v>590000</v>
          </cell>
          <cell r="Q555">
            <v>43709</v>
          </cell>
          <cell r="R555" t="str">
            <v>No</v>
          </cell>
          <cell r="S555" t="str">
            <v>C49</v>
          </cell>
          <cell r="T555" t="str">
            <v>SOUTH</v>
          </cell>
          <cell r="U555" t="str">
            <v>深圳</v>
          </cell>
          <cell r="V555" t="str">
            <v>SZ 深圳</v>
          </cell>
          <cell r="W555" t="str">
            <v>JY</v>
          </cell>
          <cell r="X555" t="str">
            <v>RMB</v>
          </cell>
          <cell r="Y555">
            <v>590000</v>
          </cell>
          <cell r="Z555">
            <v>1.1299999999999999</v>
          </cell>
          <cell r="AA555">
            <v>590000</v>
          </cell>
          <cell r="AB555">
            <v>1.135</v>
          </cell>
          <cell r="AC555">
            <v>592610.61946902657</v>
          </cell>
          <cell r="AD555">
            <v>71113.274336283182</v>
          </cell>
          <cell r="AE555">
            <v>0.12</v>
          </cell>
          <cell r="AF555">
            <v>43698</v>
          </cell>
          <cell r="AG555" t="str">
            <v>含税到厂</v>
          </cell>
          <cell r="AK555">
            <v>0.1</v>
          </cell>
          <cell r="AL555">
            <v>60000</v>
          </cell>
          <cell r="AM555">
            <v>43709</v>
          </cell>
          <cell r="AN555" t="str">
            <v>Yes</v>
          </cell>
          <cell r="AO555">
            <v>0.9</v>
          </cell>
          <cell r="AP555">
            <v>530000</v>
          </cell>
          <cell r="AQ555">
            <v>43709</v>
          </cell>
          <cell r="AR555">
            <v>43714</v>
          </cell>
          <cell r="AS555" t="str">
            <v>complete</v>
          </cell>
          <cell r="AT555"/>
          <cell r="AX555" t="str">
            <v>Yes</v>
          </cell>
          <cell r="AZ555" t="str">
            <v>Y</v>
          </cell>
          <cell r="BA555" t="str">
            <v>Yes</v>
          </cell>
        </row>
        <row r="556">
          <cell r="B556">
            <v>405</v>
          </cell>
          <cell r="C556" t="str">
            <v>C49SZX20190125KW</v>
          </cell>
          <cell r="D556" t="str">
            <v>伟盛贸易(富洛）/晶科</v>
          </cell>
          <cell r="E556" t="str">
            <v>SIGMA G5S2</v>
          </cell>
          <cell r="F556" t="str">
            <v>#03804</v>
          </cell>
          <cell r="G556" t="e">
            <v>#REF!</v>
          </cell>
          <cell r="H556" t="e">
            <v>#REF!</v>
          </cell>
          <cell r="I556" t="str">
            <v>No</v>
          </cell>
          <cell r="J556" t="str">
            <v>No</v>
          </cell>
          <cell r="K556">
            <v>1</v>
          </cell>
          <cell r="L556">
            <v>109694</v>
          </cell>
          <cell r="M556" t="str">
            <v>OCT 19</v>
          </cell>
          <cell r="N556">
            <v>43746</v>
          </cell>
          <cell r="O556">
            <v>11116328</v>
          </cell>
          <cell r="P556">
            <v>17025000</v>
          </cell>
          <cell r="Q556">
            <v>43739</v>
          </cell>
          <cell r="R556" t="str">
            <v>No</v>
          </cell>
          <cell r="S556" t="str">
            <v>C49</v>
          </cell>
          <cell r="T556" t="str">
            <v>SOUTH</v>
          </cell>
          <cell r="U556" t="str">
            <v>深圳</v>
          </cell>
          <cell r="V556" t="str">
            <v>SZ 深圳</v>
          </cell>
          <cell r="W556" t="str">
            <v>KW</v>
          </cell>
          <cell r="X556" t="str">
            <v>JPY</v>
          </cell>
          <cell r="Y556">
            <v>17025000</v>
          </cell>
          <cell r="Z556">
            <v>1</v>
          </cell>
          <cell r="AA556">
            <v>17025000</v>
          </cell>
          <cell r="AB556">
            <v>7.3499999999999996E-2</v>
          </cell>
          <cell r="AC556">
            <v>1251337.5</v>
          </cell>
          <cell r="AD556">
            <v>150160.5</v>
          </cell>
          <cell r="AE556">
            <v>0.12</v>
          </cell>
          <cell r="AF556">
            <v>43698</v>
          </cell>
          <cell r="AG556" t="str">
            <v>CIF HK</v>
          </cell>
          <cell r="AK556">
            <v>0.3</v>
          </cell>
          <cell r="AL556">
            <v>5107500</v>
          </cell>
          <cell r="AM556">
            <v>43678</v>
          </cell>
          <cell r="AN556" t="str">
            <v>Yes</v>
          </cell>
          <cell r="AO556">
            <v>0.6</v>
          </cell>
          <cell r="AP556">
            <v>10215000</v>
          </cell>
          <cell r="AQ556">
            <v>43739</v>
          </cell>
          <cell r="AR556">
            <v>43741</v>
          </cell>
          <cell r="AS556">
            <v>0.1</v>
          </cell>
          <cell r="AT556">
            <v>1702500</v>
          </cell>
          <cell r="AU556">
            <v>43831</v>
          </cell>
          <cell r="AV556">
            <v>43851</v>
          </cell>
          <cell r="AX556" t="str">
            <v>Yes</v>
          </cell>
        </row>
        <row r="557">
          <cell r="B557">
            <v>406</v>
          </cell>
          <cell r="C557" t="str">
            <v>C49SZX20190125KW</v>
          </cell>
          <cell r="D557" t="str">
            <v>伟盛贸易(富洛）/晶科</v>
          </cell>
          <cell r="E557" t="str">
            <v>SIGMA G5S2</v>
          </cell>
          <cell r="F557" t="str">
            <v>#03804</v>
          </cell>
          <cell r="G557" t="e">
            <v>#REF!</v>
          </cell>
          <cell r="H557" t="e">
            <v>#REF!</v>
          </cell>
          <cell r="I557" t="str">
            <v>No</v>
          </cell>
          <cell r="J557" t="str">
            <v>No</v>
          </cell>
          <cell r="K557">
            <v>1</v>
          </cell>
          <cell r="L557">
            <v>109694</v>
          </cell>
          <cell r="M557" t="str">
            <v>OCT 19</v>
          </cell>
          <cell r="N557">
            <v>43746</v>
          </cell>
          <cell r="O557">
            <v>11116328</v>
          </cell>
          <cell r="P557">
            <v>17025000</v>
          </cell>
          <cell r="Q557">
            <v>43739</v>
          </cell>
          <cell r="R557" t="str">
            <v>No</v>
          </cell>
          <cell r="S557" t="str">
            <v>C49</v>
          </cell>
          <cell r="T557" t="str">
            <v>SOUTH</v>
          </cell>
          <cell r="U557" t="str">
            <v>深圳</v>
          </cell>
          <cell r="V557" t="str">
            <v>SZ 深圳</v>
          </cell>
          <cell r="W557" t="str">
            <v>KW</v>
          </cell>
          <cell r="X557" t="str">
            <v>JPY</v>
          </cell>
          <cell r="Y557">
            <v>17025000</v>
          </cell>
          <cell r="Z557">
            <v>1</v>
          </cell>
          <cell r="AA557">
            <v>17025000</v>
          </cell>
          <cell r="AB557">
            <v>7.3499999999999996E-2</v>
          </cell>
          <cell r="AC557">
            <v>1251337.5</v>
          </cell>
          <cell r="AD557">
            <v>150160.5</v>
          </cell>
          <cell r="AE557">
            <v>0.12</v>
          </cell>
          <cell r="AF557">
            <v>43698</v>
          </cell>
          <cell r="AG557" t="str">
            <v>CIF HK</v>
          </cell>
          <cell r="AK557">
            <v>0.3</v>
          </cell>
          <cell r="AL557">
            <v>5107500</v>
          </cell>
          <cell r="AM557">
            <v>43678</v>
          </cell>
          <cell r="AN557" t="str">
            <v>Yes</v>
          </cell>
          <cell r="AO557">
            <v>0.6</v>
          </cell>
          <cell r="AP557">
            <v>10215000</v>
          </cell>
          <cell r="AQ557">
            <v>43739</v>
          </cell>
          <cell r="AR557">
            <v>43741</v>
          </cell>
          <cell r="AS557">
            <v>0.1</v>
          </cell>
          <cell r="AT557">
            <v>1702500</v>
          </cell>
          <cell r="AU557">
            <v>43831</v>
          </cell>
          <cell r="AV557">
            <v>43851</v>
          </cell>
          <cell r="AX557" t="str">
            <v>Yes</v>
          </cell>
        </row>
        <row r="558">
          <cell r="B558">
            <v>407</v>
          </cell>
          <cell r="C558" t="str">
            <v>C49SZX20190117SX</v>
          </cell>
          <cell r="D558" t="str">
            <v>玮芯电子</v>
          </cell>
          <cell r="E558" t="str">
            <v>YSM10</v>
          </cell>
          <cell r="F558" t="str">
            <v>#03652</v>
          </cell>
          <cell r="G558" t="e">
            <v>#REF!</v>
          </cell>
          <cell r="H558" t="e">
            <v>#REF!</v>
          </cell>
          <cell r="I558" t="str">
            <v>L-&gt;R</v>
          </cell>
          <cell r="J558" t="str">
            <v>MVC+ATS15</v>
          </cell>
          <cell r="K558">
            <v>1</v>
          </cell>
          <cell r="L558">
            <v>109564</v>
          </cell>
          <cell r="M558" t="str">
            <v>AUG 19</v>
          </cell>
          <cell r="N558">
            <v>43707</v>
          </cell>
          <cell r="O558">
            <v>11100315</v>
          </cell>
          <cell r="P558">
            <v>678000</v>
          </cell>
          <cell r="Q558">
            <v>43678</v>
          </cell>
          <cell r="R558" t="str">
            <v>No</v>
          </cell>
          <cell r="S558" t="str">
            <v>C49</v>
          </cell>
          <cell r="T558" t="str">
            <v>SOUTH</v>
          </cell>
          <cell r="U558" t="str">
            <v>深圳</v>
          </cell>
          <cell r="V558" t="str">
            <v>SZ 深圳</v>
          </cell>
          <cell r="W558" t="str">
            <v>SX</v>
          </cell>
          <cell r="X558" t="str">
            <v>RMB</v>
          </cell>
          <cell r="Y558">
            <v>678000</v>
          </cell>
          <cell r="Z558">
            <v>1.1299999999999999</v>
          </cell>
          <cell r="AA558">
            <v>678000</v>
          </cell>
          <cell r="AB558">
            <v>1.135</v>
          </cell>
          <cell r="AC558">
            <v>681000</v>
          </cell>
          <cell r="AD558">
            <v>81720</v>
          </cell>
          <cell r="AE558">
            <v>0.12</v>
          </cell>
          <cell r="AF558">
            <v>43699</v>
          </cell>
          <cell r="AG558" t="str">
            <v>含税到厂</v>
          </cell>
          <cell r="AK558">
            <v>0.2</v>
          </cell>
          <cell r="AL558">
            <v>135600</v>
          </cell>
          <cell r="AM558">
            <v>43678</v>
          </cell>
          <cell r="AN558" t="str">
            <v>Yes</v>
          </cell>
          <cell r="AO558">
            <v>0.8</v>
          </cell>
          <cell r="AP558">
            <v>542400</v>
          </cell>
          <cell r="AQ558">
            <v>43678</v>
          </cell>
          <cell r="AR558">
            <v>43705</v>
          </cell>
          <cell r="AS558" t="str">
            <v>complete</v>
          </cell>
          <cell r="AT558"/>
          <cell r="AX558" t="str">
            <v>Yes</v>
          </cell>
          <cell r="AZ558" t="str">
            <v>Y</v>
          </cell>
          <cell r="BA558" t="str">
            <v>Yes</v>
          </cell>
        </row>
        <row r="559">
          <cell r="B559">
            <v>408</v>
          </cell>
          <cell r="C559" t="str">
            <v>C49SZX20190127JY</v>
          </cell>
          <cell r="D559" t="str">
            <v>海松微</v>
          </cell>
          <cell r="E559" t="str">
            <v>YSM10</v>
          </cell>
          <cell r="F559" t="str">
            <v>#03950</v>
          </cell>
          <cell r="G559" t="e">
            <v>#REF!</v>
          </cell>
          <cell r="H559" t="e">
            <v>#REF!</v>
          </cell>
          <cell r="I559" t="str">
            <v>L-&gt;R</v>
          </cell>
          <cell r="J559" t="str">
            <v>MVC</v>
          </cell>
          <cell r="K559">
            <v>1</v>
          </cell>
          <cell r="L559">
            <v>109587</v>
          </cell>
          <cell r="M559" t="str">
            <v>SEP 19</v>
          </cell>
          <cell r="N559">
            <v>43714</v>
          </cell>
          <cell r="O559">
            <v>11100326</v>
          </cell>
          <cell r="P559">
            <v>750000</v>
          </cell>
          <cell r="Q559">
            <v>43709</v>
          </cell>
          <cell r="R559" t="str">
            <v>Yes</v>
          </cell>
          <cell r="S559" t="str">
            <v>C49</v>
          </cell>
          <cell r="T559" t="str">
            <v>SOUTH</v>
          </cell>
          <cell r="U559" t="str">
            <v>深圳</v>
          </cell>
          <cell r="V559" t="str">
            <v>SZ 深圳</v>
          </cell>
          <cell r="W559" t="str">
            <v>JY</v>
          </cell>
          <cell r="X559" t="str">
            <v>RMB</v>
          </cell>
          <cell r="Y559">
            <v>750000</v>
          </cell>
          <cell r="Z559">
            <v>1.1299999999999999</v>
          </cell>
          <cell r="AA559">
            <v>750000</v>
          </cell>
          <cell r="AB559">
            <v>1.135</v>
          </cell>
          <cell r="AC559">
            <v>753318.58407079661</v>
          </cell>
          <cell r="AD559">
            <v>90398.230088495591</v>
          </cell>
          <cell r="AE559">
            <v>0.12</v>
          </cell>
          <cell r="AF559">
            <v>43698</v>
          </cell>
          <cell r="AG559" t="str">
            <v>含税到厂</v>
          </cell>
          <cell r="AK559" t="str">
            <v>agree</v>
          </cell>
          <cell r="AL559">
            <v>30000</v>
          </cell>
          <cell r="AM559">
            <v>43678</v>
          </cell>
          <cell r="AN559" t="str">
            <v>Yes</v>
          </cell>
          <cell r="AO559" t="str">
            <v>agree</v>
          </cell>
          <cell r="AP559">
            <v>50000</v>
          </cell>
          <cell r="AQ559">
            <v>43678</v>
          </cell>
          <cell r="AR559">
            <v>43707</v>
          </cell>
          <cell r="AS559" t="str">
            <v>agree</v>
          </cell>
          <cell r="AT559">
            <v>670000</v>
          </cell>
          <cell r="AU559">
            <v>43709</v>
          </cell>
          <cell r="AV559">
            <v>43711</v>
          </cell>
          <cell r="AW559" t="str">
            <v>complete</v>
          </cell>
          <cell r="AX559" t="str">
            <v>Yes</v>
          </cell>
          <cell r="AZ559" t="str">
            <v>Y</v>
          </cell>
          <cell r="BA559" t="str">
            <v>Yes</v>
          </cell>
        </row>
        <row r="560">
          <cell r="B560">
            <v>409</v>
          </cell>
          <cell r="C560" t="str">
            <v>C49SZX20190120DY</v>
          </cell>
          <cell r="D560" t="str">
            <v>妙琪</v>
          </cell>
          <cell r="E560" t="str">
            <v>YSM20R(SV)-2</v>
          </cell>
          <cell r="F560" t="str">
            <v>#03939</v>
          </cell>
          <cell r="G560" t="e">
            <v>#REF!</v>
          </cell>
          <cell r="H560" t="e">
            <v>#REF!</v>
          </cell>
          <cell r="I560" t="str">
            <v>L-&gt;R</v>
          </cell>
          <cell r="J560" t="str">
            <v>MVC</v>
          </cell>
          <cell r="K560">
            <v>1</v>
          </cell>
          <cell r="L560">
            <v>109602</v>
          </cell>
          <cell r="M560" t="str">
            <v>OCT 19</v>
          </cell>
          <cell r="N560">
            <v>43759</v>
          </cell>
          <cell r="O560">
            <v>11100340</v>
          </cell>
          <cell r="P560">
            <v>1020000</v>
          </cell>
          <cell r="Q560">
            <v>43739</v>
          </cell>
          <cell r="R560" t="str">
            <v>Yes</v>
          </cell>
          <cell r="S560" t="str">
            <v>C49</v>
          </cell>
          <cell r="T560" t="str">
            <v>SOUTH</v>
          </cell>
          <cell r="U560" t="str">
            <v>深圳</v>
          </cell>
          <cell r="V560" t="str">
            <v>SZ 深圳</v>
          </cell>
          <cell r="W560" t="str">
            <v>DY</v>
          </cell>
          <cell r="X560" t="str">
            <v>RMB</v>
          </cell>
          <cell r="Y560">
            <v>1020000</v>
          </cell>
          <cell r="Z560">
            <v>1.1299999999999999</v>
          </cell>
          <cell r="AA560">
            <v>1020000</v>
          </cell>
          <cell r="AB560">
            <v>1.135</v>
          </cell>
          <cell r="AC560">
            <v>1024513.2743362832</v>
          </cell>
          <cell r="AD560">
            <v>122941.59292035399</v>
          </cell>
          <cell r="AE560">
            <v>0.12</v>
          </cell>
          <cell r="AF560">
            <v>43699</v>
          </cell>
          <cell r="AG560" t="str">
            <v>含税到厂</v>
          </cell>
          <cell r="AK560">
            <v>0.2</v>
          </cell>
          <cell r="AL560">
            <v>204000</v>
          </cell>
          <cell r="AM560">
            <v>43678</v>
          </cell>
          <cell r="AN560" t="str">
            <v>Yes</v>
          </cell>
          <cell r="AO560">
            <v>0.8</v>
          </cell>
          <cell r="AP560">
            <v>816000</v>
          </cell>
          <cell r="AQ560">
            <v>43739</v>
          </cell>
          <cell r="AR560">
            <v>43753</v>
          </cell>
          <cell r="AS560"/>
          <cell r="AT560"/>
          <cell r="AX560" t="str">
            <v>Yes</v>
          </cell>
          <cell r="AZ560" t="str">
            <v>Y</v>
          </cell>
          <cell r="BA560" t="str">
            <v>Yes</v>
          </cell>
        </row>
        <row r="561">
          <cell r="B561">
            <v>410</v>
          </cell>
          <cell r="C561" t="str">
            <v>C49SZX20190130JL</v>
          </cell>
          <cell r="D561" t="str">
            <v>铭华</v>
          </cell>
          <cell r="E561" t="str">
            <v>YSM20R(SV)-2</v>
          </cell>
          <cell r="F561" t="str">
            <v>#60087</v>
          </cell>
          <cell r="G561" t="e">
            <v>#REF!</v>
          </cell>
          <cell r="H561" t="e">
            <v>#REF!</v>
          </cell>
          <cell r="I561" t="str">
            <v>L-&gt;R</v>
          </cell>
          <cell r="J561" t="str">
            <v>No</v>
          </cell>
          <cell r="K561">
            <v>1</v>
          </cell>
          <cell r="L561">
            <v>109390</v>
          </cell>
          <cell r="M561" t="str">
            <v>SEP 19</v>
          </cell>
          <cell r="N561">
            <v>43714</v>
          </cell>
          <cell r="O561">
            <v>11100321</v>
          </cell>
          <cell r="P561">
            <v>785000</v>
          </cell>
          <cell r="Q561">
            <v>43709</v>
          </cell>
          <cell r="R561" t="str">
            <v>Yes</v>
          </cell>
          <cell r="S561" t="str">
            <v>C49</v>
          </cell>
          <cell r="T561" t="str">
            <v>SOUTH</v>
          </cell>
          <cell r="U561" t="str">
            <v>深圳</v>
          </cell>
          <cell r="V561" t="str">
            <v>SZ 深圳</v>
          </cell>
          <cell r="W561" t="str">
            <v>JL</v>
          </cell>
          <cell r="X561" t="str">
            <v>RMB</v>
          </cell>
          <cell r="Y561">
            <v>785000</v>
          </cell>
          <cell r="Z561">
            <v>1.1299999999999999</v>
          </cell>
          <cell r="AA561">
            <v>785000</v>
          </cell>
          <cell r="AB561">
            <v>1.135</v>
          </cell>
          <cell r="AC561">
            <v>788473.45132743369</v>
          </cell>
          <cell r="AD561">
            <v>94616.814159292044</v>
          </cell>
          <cell r="AE561">
            <v>0.12</v>
          </cell>
          <cell r="AF561">
            <v>43704</v>
          </cell>
          <cell r="AG561" t="str">
            <v>含税到厂</v>
          </cell>
          <cell r="AK561">
            <v>0.3</v>
          </cell>
          <cell r="AL561">
            <v>235500</v>
          </cell>
          <cell r="AM561">
            <v>43709</v>
          </cell>
          <cell r="AN561" t="str">
            <v>Yes</v>
          </cell>
          <cell r="AO561">
            <v>0.65</v>
          </cell>
          <cell r="AP561">
            <v>510250</v>
          </cell>
          <cell r="AQ561">
            <v>43709</v>
          </cell>
          <cell r="AR561">
            <v>43710</v>
          </cell>
          <cell r="AS561">
            <v>0.05</v>
          </cell>
          <cell r="AT561">
            <v>39250</v>
          </cell>
          <cell r="AZ561" t="str">
            <v>Y</v>
          </cell>
        </row>
        <row r="562">
          <cell r="B562">
            <v>411</v>
          </cell>
          <cell r="C562" t="str">
            <v>C49SZX20190129DZ</v>
          </cell>
          <cell r="D562" t="str">
            <v>博星</v>
          </cell>
          <cell r="E562" t="str">
            <v>YSM20R(SV)-2</v>
          </cell>
          <cell r="F562" t="str">
            <v>#03983</v>
          </cell>
          <cell r="G562" t="e">
            <v>#REF!</v>
          </cell>
          <cell r="H562" t="e">
            <v>#REF!</v>
          </cell>
          <cell r="I562" t="str">
            <v>R-&gt;L</v>
          </cell>
          <cell r="J562" t="str">
            <v>No</v>
          </cell>
          <cell r="K562">
            <v>1</v>
          </cell>
          <cell r="L562">
            <v>109664</v>
          </cell>
          <cell r="M562" t="str">
            <v>NOV 19</v>
          </cell>
          <cell r="N562">
            <v>43777</v>
          </cell>
          <cell r="O562">
            <v>11100355</v>
          </cell>
          <cell r="P562">
            <v>840000</v>
          </cell>
          <cell r="Q562">
            <v>43770</v>
          </cell>
          <cell r="R562" t="str">
            <v>Yes</v>
          </cell>
          <cell r="S562" t="str">
            <v>C49</v>
          </cell>
          <cell r="T562" t="str">
            <v>SOUTH</v>
          </cell>
          <cell r="U562" t="str">
            <v>深圳</v>
          </cell>
          <cell r="V562" t="str">
            <v>SZ 深圳</v>
          </cell>
          <cell r="W562" t="str">
            <v>DZ</v>
          </cell>
          <cell r="X562" t="str">
            <v>RMB</v>
          </cell>
          <cell r="Y562">
            <v>840000</v>
          </cell>
          <cell r="Z562">
            <v>1.1299999999999999</v>
          </cell>
          <cell r="AA562">
            <v>840000</v>
          </cell>
          <cell r="AB562">
            <v>1.135</v>
          </cell>
          <cell r="AC562">
            <v>843716.81415929215</v>
          </cell>
          <cell r="AD562">
            <v>101246.01769911505</v>
          </cell>
          <cell r="AE562">
            <v>0.12</v>
          </cell>
          <cell r="AF562">
            <v>43708</v>
          </cell>
          <cell r="AG562" t="str">
            <v>含税到厂</v>
          </cell>
          <cell r="AK562" t="str">
            <v>agree</v>
          </cell>
          <cell r="AL562">
            <v>187080</v>
          </cell>
          <cell r="AM562">
            <v>43709</v>
          </cell>
          <cell r="AN562" t="str">
            <v>Yes</v>
          </cell>
          <cell r="AO562" t="str">
            <v>agree</v>
          </cell>
          <cell r="AP562">
            <v>100000</v>
          </cell>
          <cell r="AQ562">
            <v>43709</v>
          </cell>
          <cell r="AR562">
            <v>43735</v>
          </cell>
          <cell r="AS562">
            <v>0</v>
          </cell>
          <cell r="AT562">
            <v>0</v>
          </cell>
          <cell r="AU562">
            <v>43709</v>
          </cell>
          <cell r="AV562">
            <v>43735</v>
          </cell>
          <cell r="AW562" t="str">
            <v>complete</v>
          </cell>
        </row>
        <row r="563">
          <cell r="B563">
            <v>412</v>
          </cell>
          <cell r="C563" t="str">
            <v>C49SZX20190129DZ</v>
          </cell>
          <cell r="D563" t="str">
            <v>博星</v>
          </cell>
          <cell r="E563" t="str">
            <v>YSM20R(SV)-2</v>
          </cell>
          <cell r="F563" t="str">
            <v>#03983</v>
          </cell>
          <cell r="G563" t="e">
            <v>#REF!</v>
          </cell>
          <cell r="H563" t="e">
            <v>#REF!</v>
          </cell>
          <cell r="I563" t="str">
            <v>R-&gt;L</v>
          </cell>
          <cell r="J563" t="str">
            <v>No</v>
          </cell>
          <cell r="K563">
            <v>1</v>
          </cell>
          <cell r="L563">
            <v>109705</v>
          </cell>
          <cell r="M563" t="str">
            <v>NOV 19</v>
          </cell>
          <cell r="N563">
            <v>43777</v>
          </cell>
          <cell r="O563">
            <v>11100355</v>
          </cell>
          <cell r="P563">
            <v>840000</v>
          </cell>
          <cell r="Q563">
            <v>43770</v>
          </cell>
          <cell r="R563" t="str">
            <v>Yes</v>
          </cell>
          <cell r="S563" t="str">
            <v>C49</v>
          </cell>
          <cell r="T563" t="str">
            <v>SOUTH</v>
          </cell>
          <cell r="U563" t="str">
            <v>深圳</v>
          </cell>
          <cell r="V563" t="str">
            <v>SZ 深圳</v>
          </cell>
          <cell r="W563" t="str">
            <v>DZ</v>
          </cell>
          <cell r="X563" t="str">
            <v>RMB</v>
          </cell>
          <cell r="Y563">
            <v>840000</v>
          </cell>
          <cell r="Z563">
            <v>1.1299999999999999</v>
          </cell>
          <cell r="AA563">
            <v>840000</v>
          </cell>
          <cell r="AB563">
            <v>1.135</v>
          </cell>
          <cell r="AC563">
            <v>843716.81415929215</v>
          </cell>
          <cell r="AD563">
            <v>101246.01769911505</v>
          </cell>
          <cell r="AE563">
            <v>0.12</v>
          </cell>
          <cell r="AF563">
            <v>43708</v>
          </cell>
          <cell r="AG563" t="str">
            <v>含税到厂</v>
          </cell>
          <cell r="AK563">
            <v>0.3</v>
          </cell>
          <cell r="AL563">
            <v>252000</v>
          </cell>
          <cell r="AM563">
            <v>43709</v>
          </cell>
          <cell r="AN563" t="str">
            <v>Yes</v>
          </cell>
          <cell r="AO563" t="str">
            <v>agree</v>
          </cell>
          <cell r="AP563">
            <v>3100000</v>
          </cell>
          <cell r="AQ563">
            <v>43709</v>
          </cell>
          <cell r="AR563">
            <v>43735</v>
          </cell>
          <cell r="AS563">
            <v>0</v>
          </cell>
          <cell r="AT563">
            <v>0</v>
          </cell>
          <cell r="AU563">
            <v>43709</v>
          </cell>
          <cell r="AV563">
            <v>43735</v>
          </cell>
          <cell r="AW563" t="str">
            <v>complete</v>
          </cell>
        </row>
        <row r="564">
          <cell r="B564">
            <v>413</v>
          </cell>
          <cell r="C564" t="str">
            <v>C49SZX20190129DZ</v>
          </cell>
          <cell r="D564" t="str">
            <v>博星</v>
          </cell>
          <cell r="E564" t="str">
            <v>YSM20R(SV)-2</v>
          </cell>
          <cell r="F564" t="str">
            <v>#03983</v>
          </cell>
          <cell r="G564" t="e">
            <v>#REF!</v>
          </cell>
          <cell r="H564" t="e">
            <v>#REF!</v>
          </cell>
          <cell r="I564" t="str">
            <v>R-&gt;L</v>
          </cell>
          <cell r="J564" t="str">
            <v>No</v>
          </cell>
          <cell r="K564">
            <v>1</v>
          </cell>
          <cell r="L564">
            <v>109705</v>
          </cell>
          <cell r="M564" t="str">
            <v>NOV 19</v>
          </cell>
          <cell r="N564">
            <v>43777</v>
          </cell>
          <cell r="O564">
            <v>11100355</v>
          </cell>
          <cell r="P564">
            <v>840000</v>
          </cell>
          <cell r="Q564">
            <v>43770</v>
          </cell>
          <cell r="R564" t="str">
            <v>Yes</v>
          </cell>
          <cell r="S564" t="str">
            <v>C49</v>
          </cell>
          <cell r="T564" t="str">
            <v>SOUTH</v>
          </cell>
          <cell r="U564" t="str">
            <v>深圳</v>
          </cell>
          <cell r="V564" t="str">
            <v>SZ 深圳</v>
          </cell>
          <cell r="W564" t="str">
            <v>DZ</v>
          </cell>
          <cell r="X564" t="str">
            <v>RMB</v>
          </cell>
          <cell r="Y564">
            <v>840000</v>
          </cell>
          <cell r="Z564">
            <v>1.1299999999999999</v>
          </cell>
          <cell r="AA564">
            <v>840000</v>
          </cell>
          <cell r="AB564">
            <v>1.135</v>
          </cell>
          <cell r="AC564">
            <v>843716.81415929215</v>
          </cell>
          <cell r="AD564">
            <v>101246.01769911505</v>
          </cell>
          <cell r="AE564">
            <v>0.12</v>
          </cell>
          <cell r="AF564">
            <v>43708</v>
          </cell>
          <cell r="AG564" t="str">
            <v>含税到厂</v>
          </cell>
          <cell r="AK564">
            <v>0.3</v>
          </cell>
          <cell r="AL564">
            <v>252000</v>
          </cell>
          <cell r="AM564">
            <v>43709</v>
          </cell>
          <cell r="AN564" t="str">
            <v>Yes</v>
          </cell>
          <cell r="AO564">
            <v>0</v>
          </cell>
          <cell r="AP564">
            <v>0</v>
          </cell>
          <cell r="AQ564">
            <v>43709</v>
          </cell>
          <cell r="AR564">
            <v>43735</v>
          </cell>
          <cell r="AS564">
            <v>0</v>
          </cell>
          <cell r="AT564">
            <v>0</v>
          </cell>
          <cell r="AU564">
            <v>43709</v>
          </cell>
          <cell r="AV564">
            <v>43735</v>
          </cell>
          <cell r="AW564" t="str">
            <v>complete</v>
          </cell>
        </row>
        <row r="565">
          <cell r="B565">
            <v>414</v>
          </cell>
          <cell r="C565" t="str">
            <v>C49SZX20190129DZ</v>
          </cell>
          <cell r="D565" t="str">
            <v>博星</v>
          </cell>
          <cell r="E565" t="str">
            <v>YSM20R(SV)-2</v>
          </cell>
          <cell r="F565" t="str">
            <v>#03983</v>
          </cell>
          <cell r="G565" t="e">
            <v>#REF!</v>
          </cell>
          <cell r="H565" t="e">
            <v>#REF!</v>
          </cell>
          <cell r="I565" t="str">
            <v>R-&gt;L</v>
          </cell>
          <cell r="J565" t="str">
            <v>No</v>
          </cell>
          <cell r="K565">
            <v>1</v>
          </cell>
          <cell r="L565">
            <v>109705</v>
          </cell>
          <cell r="M565" t="str">
            <v>NOV 19</v>
          </cell>
          <cell r="N565">
            <v>43777</v>
          </cell>
          <cell r="O565">
            <v>11100355</v>
          </cell>
          <cell r="P565">
            <v>840000</v>
          </cell>
          <cell r="Q565">
            <v>43770</v>
          </cell>
          <cell r="R565" t="str">
            <v>Yes</v>
          </cell>
          <cell r="S565" t="str">
            <v>C49</v>
          </cell>
          <cell r="T565" t="str">
            <v>SOUTH</v>
          </cell>
          <cell r="U565" t="str">
            <v>深圳</v>
          </cell>
          <cell r="V565" t="str">
            <v>SZ 深圳</v>
          </cell>
          <cell r="W565" t="str">
            <v>DZ</v>
          </cell>
          <cell r="X565" t="str">
            <v>RMB</v>
          </cell>
          <cell r="Y565">
            <v>840000</v>
          </cell>
          <cell r="Z565">
            <v>1.1299999999999999</v>
          </cell>
          <cell r="AA565">
            <v>840000</v>
          </cell>
          <cell r="AB565">
            <v>1.135</v>
          </cell>
          <cell r="AC565">
            <v>843716.81415929215</v>
          </cell>
          <cell r="AD565">
            <v>101246.01769911505</v>
          </cell>
          <cell r="AE565">
            <v>0.12</v>
          </cell>
          <cell r="AF565">
            <v>43708</v>
          </cell>
          <cell r="AG565" t="str">
            <v>含税到厂</v>
          </cell>
          <cell r="AK565">
            <v>0.3</v>
          </cell>
          <cell r="AL565">
            <v>252000</v>
          </cell>
          <cell r="AM565">
            <v>43709</v>
          </cell>
          <cell r="AN565" t="str">
            <v>Yes</v>
          </cell>
          <cell r="AO565">
            <v>0</v>
          </cell>
          <cell r="AP565">
            <v>0</v>
          </cell>
          <cell r="AQ565">
            <v>43709</v>
          </cell>
          <cell r="AR565">
            <v>43735</v>
          </cell>
          <cell r="AS565">
            <v>0</v>
          </cell>
          <cell r="AT565">
            <v>0</v>
          </cell>
          <cell r="AU565">
            <v>43709</v>
          </cell>
          <cell r="AV565">
            <v>43735</v>
          </cell>
          <cell r="AW565" t="str">
            <v>complete</v>
          </cell>
        </row>
        <row r="566">
          <cell r="B566">
            <v>415</v>
          </cell>
          <cell r="C566" t="str">
            <v>C49SZX20190129DZ</v>
          </cell>
          <cell r="D566" t="str">
            <v>博星</v>
          </cell>
          <cell r="E566" t="str">
            <v>YSM20R(SV)-2</v>
          </cell>
          <cell r="F566" t="str">
            <v>#03983</v>
          </cell>
          <cell r="G566" t="e">
            <v>#REF!</v>
          </cell>
          <cell r="H566" t="e">
            <v>#REF!</v>
          </cell>
          <cell r="I566" t="str">
            <v>L-&gt;R</v>
          </cell>
          <cell r="J566" t="str">
            <v>No</v>
          </cell>
          <cell r="K566">
            <v>1</v>
          </cell>
          <cell r="L566">
            <v>109554</v>
          </cell>
          <cell r="M566" t="str">
            <v>SEP 19</v>
          </cell>
          <cell r="N566">
            <v>43737</v>
          </cell>
          <cell r="O566">
            <v>11100355</v>
          </cell>
          <cell r="P566">
            <v>840000</v>
          </cell>
          <cell r="Q566">
            <v>43770</v>
          </cell>
          <cell r="R566" t="str">
            <v>Yes</v>
          </cell>
          <cell r="S566" t="str">
            <v>C49</v>
          </cell>
          <cell r="T566" t="str">
            <v>SOUTH</v>
          </cell>
          <cell r="U566" t="str">
            <v>深圳</v>
          </cell>
          <cell r="V566" t="str">
            <v>SZ 深圳</v>
          </cell>
          <cell r="W566" t="str">
            <v>DZ</v>
          </cell>
          <cell r="X566" t="str">
            <v>RMB</v>
          </cell>
          <cell r="Y566">
            <v>840000</v>
          </cell>
          <cell r="Z566">
            <v>1.1299999999999999</v>
          </cell>
          <cell r="AA566">
            <v>840000</v>
          </cell>
          <cell r="AB566">
            <v>1.135</v>
          </cell>
          <cell r="AC566">
            <v>843716.81415929215</v>
          </cell>
          <cell r="AD566">
            <v>101246.01769911505</v>
          </cell>
          <cell r="AE566">
            <v>0.12</v>
          </cell>
          <cell r="AF566">
            <v>43708</v>
          </cell>
          <cell r="AG566" t="str">
            <v>含税到厂</v>
          </cell>
          <cell r="AK566">
            <v>0.3</v>
          </cell>
          <cell r="AL566">
            <v>252000</v>
          </cell>
          <cell r="AM566">
            <v>43709</v>
          </cell>
          <cell r="AN566" t="str">
            <v>Yes</v>
          </cell>
          <cell r="AO566">
            <v>0.35</v>
          </cell>
          <cell r="AP566">
            <v>294000</v>
          </cell>
          <cell r="AQ566"/>
          <cell r="AS566">
            <v>0.35</v>
          </cell>
          <cell r="AT566">
            <v>294000</v>
          </cell>
        </row>
        <row r="567">
          <cell r="B567">
            <v>416</v>
          </cell>
          <cell r="C567" t="str">
            <v>C49SZX20190129DZ</v>
          </cell>
          <cell r="D567" t="str">
            <v>博星</v>
          </cell>
          <cell r="E567" t="str">
            <v>YSM20R(SV)-2</v>
          </cell>
          <cell r="F567" t="str">
            <v>#03983</v>
          </cell>
          <cell r="G567" t="e">
            <v>#REF!</v>
          </cell>
          <cell r="H567" t="e">
            <v>#REF!</v>
          </cell>
          <cell r="I567" t="str">
            <v>L-&gt;R</v>
          </cell>
          <cell r="J567" t="str">
            <v>No</v>
          </cell>
          <cell r="K567">
            <v>1</v>
          </cell>
          <cell r="L567">
            <v>109554</v>
          </cell>
          <cell r="M567" t="str">
            <v>SEP 19</v>
          </cell>
          <cell r="N567">
            <v>43737</v>
          </cell>
          <cell r="O567">
            <v>11100355</v>
          </cell>
          <cell r="P567">
            <v>840000</v>
          </cell>
          <cell r="Q567">
            <v>43770</v>
          </cell>
          <cell r="R567" t="str">
            <v>Yes</v>
          </cell>
          <cell r="S567" t="str">
            <v>C49</v>
          </cell>
          <cell r="T567" t="str">
            <v>SOUTH</v>
          </cell>
          <cell r="U567" t="str">
            <v>深圳</v>
          </cell>
          <cell r="V567" t="str">
            <v>SZ 深圳</v>
          </cell>
          <cell r="W567" t="str">
            <v>DZ</v>
          </cell>
          <cell r="X567" t="str">
            <v>RMB</v>
          </cell>
          <cell r="Y567">
            <v>840000</v>
          </cell>
          <cell r="Z567">
            <v>1.1299999999999999</v>
          </cell>
          <cell r="AA567">
            <v>840000</v>
          </cell>
          <cell r="AB567">
            <v>1.135</v>
          </cell>
          <cell r="AC567">
            <v>843716.81415929215</v>
          </cell>
          <cell r="AD567">
            <v>101246.01769911505</v>
          </cell>
          <cell r="AE567">
            <v>0.12</v>
          </cell>
          <cell r="AF567">
            <v>43708</v>
          </cell>
          <cell r="AG567" t="str">
            <v>含税到厂</v>
          </cell>
          <cell r="AK567">
            <v>0.3</v>
          </cell>
          <cell r="AL567">
            <v>252000</v>
          </cell>
          <cell r="AM567">
            <v>43709</v>
          </cell>
          <cell r="AN567" t="str">
            <v>Yes</v>
          </cell>
          <cell r="AO567">
            <v>0.35</v>
          </cell>
          <cell r="AP567">
            <v>294000</v>
          </cell>
          <cell r="AQ567"/>
          <cell r="AS567">
            <v>0.35</v>
          </cell>
          <cell r="AT567">
            <v>294000</v>
          </cell>
        </row>
        <row r="568">
          <cell r="B568">
            <v>417</v>
          </cell>
          <cell r="C568" t="str">
            <v>C49SZX20190129DZ</v>
          </cell>
          <cell r="D568" t="str">
            <v>博星</v>
          </cell>
          <cell r="E568" t="str">
            <v>YSM20R(SV)-2</v>
          </cell>
          <cell r="F568" t="str">
            <v>#03983</v>
          </cell>
          <cell r="G568" t="e">
            <v>#REF!</v>
          </cell>
          <cell r="H568" t="e">
            <v>#REF!</v>
          </cell>
          <cell r="I568" t="str">
            <v>L-&gt;R</v>
          </cell>
          <cell r="J568" t="str">
            <v>No</v>
          </cell>
          <cell r="K568">
            <v>1</v>
          </cell>
          <cell r="L568">
            <v>109554</v>
          </cell>
          <cell r="M568" t="str">
            <v>SEP 19</v>
          </cell>
          <cell r="N568">
            <v>43737</v>
          </cell>
          <cell r="O568">
            <v>11100355</v>
          </cell>
          <cell r="P568">
            <v>840000</v>
          </cell>
          <cell r="Q568">
            <v>43770</v>
          </cell>
          <cell r="R568" t="str">
            <v>Yes</v>
          </cell>
          <cell r="S568" t="str">
            <v>C49</v>
          </cell>
          <cell r="T568" t="str">
            <v>SOUTH</v>
          </cell>
          <cell r="U568" t="str">
            <v>深圳</v>
          </cell>
          <cell r="V568" t="str">
            <v>SZ 深圳</v>
          </cell>
          <cell r="W568" t="str">
            <v>DZ</v>
          </cell>
          <cell r="X568" t="str">
            <v>RMB</v>
          </cell>
          <cell r="Y568">
            <v>840000</v>
          </cell>
          <cell r="Z568">
            <v>1.1299999999999999</v>
          </cell>
          <cell r="AA568">
            <v>840000</v>
          </cell>
          <cell r="AB568">
            <v>1.135</v>
          </cell>
          <cell r="AC568">
            <v>843716.81415929215</v>
          </cell>
          <cell r="AD568">
            <v>101246.01769911505</v>
          </cell>
          <cell r="AE568">
            <v>0.12</v>
          </cell>
          <cell r="AF568">
            <v>43708</v>
          </cell>
          <cell r="AG568" t="str">
            <v>含税到厂</v>
          </cell>
          <cell r="AK568">
            <v>0.3</v>
          </cell>
          <cell r="AL568">
            <v>252000</v>
          </cell>
          <cell r="AM568">
            <v>43709</v>
          </cell>
          <cell r="AN568" t="str">
            <v>Yes</v>
          </cell>
          <cell r="AO568">
            <v>0.35</v>
          </cell>
          <cell r="AP568">
            <v>294000</v>
          </cell>
          <cell r="AQ568"/>
          <cell r="AS568">
            <v>0.35</v>
          </cell>
          <cell r="AT568">
            <v>294000</v>
          </cell>
        </row>
        <row r="569">
          <cell r="B569">
            <v>418</v>
          </cell>
          <cell r="C569" t="str">
            <v>C49SZX20190129DZ</v>
          </cell>
          <cell r="D569" t="str">
            <v>博星</v>
          </cell>
          <cell r="E569" t="str">
            <v>YSM20R(SV)-2</v>
          </cell>
          <cell r="F569" t="str">
            <v>#03983</v>
          </cell>
          <cell r="G569" t="e">
            <v>#REF!</v>
          </cell>
          <cell r="H569" t="e">
            <v>#REF!</v>
          </cell>
          <cell r="I569" t="str">
            <v>L-&gt;R</v>
          </cell>
          <cell r="J569" t="str">
            <v>No</v>
          </cell>
          <cell r="K569">
            <v>1</v>
          </cell>
          <cell r="L569">
            <v>109554</v>
          </cell>
          <cell r="M569" t="str">
            <v>SEP 19</v>
          </cell>
          <cell r="N569">
            <v>43737</v>
          </cell>
          <cell r="O569">
            <v>11100355</v>
          </cell>
          <cell r="P569">
            <v>840000</v>
          </cell>
          <cell r="Q569">
            <v>43770</v>
          </cell>
          <cell r="R569" t="str">
            <v>Yes</v>
          </cell>
          <cell r="S569" t="str">
            <v>C49</v>
          </cell>
          <cell r="T569" t="str">
            <v>SOUTH</v>
          </cell>
          <cell r="U569" t="str">
            <v>深圳</v>
          </cell>
          <cell r="V569" t="str">
            <v>SZ 深圳</v>
          </cell>
          <cell r="W569" t="str">
            <v>DZ</v>
          </cell>
          <cell r="X569" t="str">
            <v>RMB</v>
          </cell>
          <cell r="Y569">
            <v>840000</v>
          </cell>
          <cell r="Z569">
            <v>1.1299999999999999</v>
          </cell>
          <cell r="AA569">
            <v>840000</v>
          </cell>
          <cell r="AB569">
            <v>1.135</v>
          </cell>
          <cell r="AC569">
            <v>843716.81415929215</v>
          </cell>
          <cell r="AD569">
            <v>101246.01769911505</v>
          </cell>
          <cell r="AE569">
            <v>0.12</v>
          </cell>
          <cell r="AF569">
            <v>43708</v>
          </cell>
          <cell r="AG569" t="str">
            <v>含税到厂</v>
          </cell>
          <cell r="AK569">
            <v>0.3</v>
          </cell>
          <cell r="AL569">
            <v>252000</v>
          </cell>
          <cell r="AM569">
            <v>43709</v>
          </cell>
          <cell r="AN569" t="str">
            <v>Yes</v>
          </cell>
          <cell r="AO569">
            <v>0.35</v>
          </cell>
          <cell r="AP569">
            <v>294000</v>
          </cell>
          <cell r="AQ569"/>
          <cell r="AS569">
            <v>0.35</v>
          </cell>
          <cell r="AT569">
            <v>294000</v>
          </cell>
        </row>
        <row r="570">
          <cell r="B570">
            <v>419</v>
          </cell>
          <cell r="C570" t="str">
            <v>C49SZX20190129DZ</v>
          </cell>
          <cell r="D570" t="str">
            <v>博星</v>
          </cell>
          <cell r="E570" t="str">
            <v>YSM10</v>
          </cell>
          <cell r="F570" t="str">
            <v>#03983</v>
          </cell>
          <cell r="G570" t="e">
            <v>#REF!</v>
          </cell>
          <cell r="H570" t="e">
            <v>#REF!</v>
          </cell>
          <cell r="I570" t="str">
            <v>L-&gt;R</v>
          </cell>
          <cell r="J570" t="str">
            <v>MVC+ATS15</v>
          </cell>
          <cell r="K570">
            <v>1</v>
          </cell>
          <cell r="L570">
            <v>109564</v>
          </cell>
          <cell r="M570" t="str">
            <v>SEP 19</v>
          </cell>
          <cell r="N570">
            <v>43737</v>
          </cell>
          <cell r="O570">
            <v>11100355</v>
          </cell>
          <cell r="P570">
            <v>624100</v>
          </cell>
          <cell r="Q570">
            <v>43770</v>
          </cell>
          <cell r="R570" t="str">
            <v>Yes</v>
          </cell>
          <cell r="S570" t="str">
            <v>C49</v>
          </cell>
          <cell r="T570" t="str">
            <v>SOUTH</v>
          </cell>
          <cell r="U570" t="str">
            <v>深圳</v>
          </cell>
          <cell r="V570" t="str">
            <v>SZ 深圳</v>
          </cell>
          <cell r="W570" t="str">
            <v>DZ</v>
          </cell>
          <cell r="X570" t="str">
            <v>RMB</v>
          </cell>
          <cell r="Y570">
            <v>624100</v>
          </cell>
          <cell r="Z570">
            <v>1.1299999999999999</v>
          </cell>
          <cell r="AA570">
            <v>624100</v>
          </cell>
          <cell r="AB570">
            <v>1.135</v>
          </cell>
          <cell r="AC570">
            <v>626861.50442477886</v>
          </cell>
          <cell r="AD570">
            <v>75223.38053097346</v>
          </cell>
          <cell r="AE570">
            <v>0.12</v>
          </cell>
          <cell r="AF570">
            <v>43708</v>
          </cell>
          <cell r="AG570" t="str">
            <v>含税到厂</v>
          </cell>
          <cell r="AK570">
            <v>0.3</v>
          </cell>
          <cell r="AL570">
            <v>187230</v>
          </cell>
          <cell r="AM570">
            <v>43709</v>
          </cell>
          <cell r="AN570" t="str">
            <v>Yes</v>
          </cell>
          <cell r="AO570">
            <v>0</v>
          </cell>
          <cell r="AP570">
            <v>0</v>
          </cell>
          <cell r="AQ570">
            <v>43709</v>
          </cell>
          <cell r="AR570">
            <v>43735</v>
          </cell>
          <cell r="AS570">
            <v>0</v>
          </cell>
          <cell r="AT570">
            <v>0</v>
          </cell>
          <cell r="AU570">
            <v>43709</v>
          </cell>
          <cell r="AV570">
            <v>43735</v>
          </cell>
          <cell r="AW570" t="str">
            <v>complete</v>
          </cell>
        </row>
        <row r="571">
          <cell r="B571">
            <v>420</v>
          </cell>
          <cell r="C571" t="str">
            <v>C49SZX20190129DZ</v>
          </cell>
          <cell r="D571" t="str">
            <v>博星</v>
          </cell>
          <cell r="E571" t="str">
            <v>YSM10</v>
          </cell>
          <cell r="F571" t="str">
            <v>#03983</v>
          </cell>
          <cell r="G571" t="e">
            <v>#REF!</v>
          </cell>
          <cell r="H571" t="e">
            <v>#REF!</v>
          </cell>
          <cell r="I571" t="str">
            <v>L-&gt;R</v>
          </cell>
          <cell r="J571" t="str">
            <v>MVC+ATS15</v>
          </cell>
          <cell r="K571">
            <v>1</v>
          </cell>
          <cell r="L571">
            <v>109587</v>
          </cell>
          <cell r="M571" t="str">
            <v>SEP 19</v>
          </cell>
          <cell r="N571">
            <v>43737</v>
          </cell>
          <cell r="O571">
            <v>11100355</v>
          </cell>
          <cell r="P571">
            <v>624100</v>
          </cell>
          <cell r="Q571">
            <v>43770</v>
          </cell>
          <cell r="R571" t="str">
            <v>Yes</v>
          </cell>
          <cell r="S571" t="str">
            <v>C49</v>
          </cell>
          <cell r="T571" t="str">
            <v>SOUTH</v>
          </cell>
          <cell r="U571" t="str">
            <v>深圳</v>
          </cell>
          <cell r="V571" t="str">
            <v>SZ 深圳</v>
          </cell>
          <cell r="W571" t="str">
            <v>DZ</v>
          </cell>
          <cell r="X571" t="str">
            <v>RMB</v>
          </cell>
          <cell r="Y571">
            <v>624100</v>
          </cell>
          <cell r="Z571">
            <v>1.1299999999999999</v>
          </cell>
          <cell r="AA571">
            <v>624100</v>
          </cell>
          <cell r="AB571">
            <v>1.135</v>
          </cell>
          <cell r="AC571">
            <v>626861.50442477886</v>
          </cell>
          <cell r="AD571">
            <v>75223.38053097346</v>
          </cell>
          <cell r="AE571">
            <v>0.12</v>
          </cell>
          <cell r="AF571">
            <v>43708</v>
          </cell>
          <cell r="AG571" t="str">
            <v>含税到厂</v>
          </cell>
          <cell r="AK571">
            <v>0.3</v>
          </cell>
          <cell r="AL571">
            <v>187230</v>
          </cell>
          <cell r="AM571">
            <v>43709</v>
          </cell>
          <cell r="AN571" t="str">
            <v>Yes</v>
          </cell>
          <cell r="AO571">
            <v>0</v>
          </cell>
          <cell r="AP571">
            <v>0</v>
          </cell>
          <cell r="AQ571">
            <v>43709</v>
          </cell>
          <cell r="AR571">
            <v>43735</v>
          </cell>
          <cell r="AS571">
            <v>0</v>
          </cell>
          <cell r="AT571">
            <v>0</v>
          </cell>
          <cell r="AU571">
            <v>43709</v>
          </cell>
          <cell r="AV571">
            <v>43735</v>
          </cell>
          <cell r="AW571" t="str">
            <v>complete</v>
          </cell>
        </row>
        <row r="572">
          <cell r="B572">
            <v>421</v>
          </cell>
          <cell r="C572" t="str">
            <v>C49SZX20190129DZ</v>
          </cell>
          <cell r="D572" t="str">
            <v>博星</v>
          </cell>
          <cell r="E572" t="str">
            <v>YSM10</v>
          </cell>
          <cell r="F572" t="str">
            <v>#03983</v>
          </cell>
          <cell r="G572" t="e">
            <v>#REF!</v>
          </cell>
          <cell r="H572" t="e">
            <v>#REF!</v>
          </cell>
          <cell r="I572" t="str">
            <v>R-&gt;L</v>
          </cell>
          <cell r="J572" t="str">
            <v>MVC+ATS15</v>
          </cell>
          <cell r="K572">
            <v>1</v>
          </cell>
          <cell r="L572">
            <v>109587</v>
          </cell>
          <cell r="M572" t="str">
            <v>NOV 19</v>
          </cell>
          <cell r="N572">
            <v>43777</v>
          </cell>
          <cell r="O572">
            <v>11100355</v>
          </cell>
          <cell r="P572">
            <v>624100</v>
          </cell>
          <cell r="Q572">
            <v>43770</v>
          </cell>
          <cell r="R572" t="str">
            <v>Yes</v>
          </cell>
          <cell r="S572" t="str">
            <v>C49</v>
          </cell>
          <cell r="T572" t="str">
            <v>SOUTH</v>
          </cell>
          <cell r="U572" t="str">
            <v>深圳</v>
          </cell>
          <cell r="V572" t="str">
            <v>SZ 深圳</v>
          </cell>
          <cell r="W572" t="str">
            <v>DZ</v>
          </cell>
          <cell r="X572" t="str">
            <v>RMB</v>
          </cell>
          <cell r="Y572">
            <v>624100</v>
          </cell>
          <cell r="Z572">
            <v>1.1299999999999999</v>
          </cell>
          <cell r="AA572">
            <v>624100</v>
          </cell>
          <cell r="AB572">
            <v>1.135</v>
          </cell>
          <cell r="AC572">
            <v>626861.50442477886</v>
          </cell>
          <cell r="AD572">
            <v>75223.38053097346</v>
          </cell>
          <cell r="AE572">
            <v>0.12</v>
          </cell>
          <cell r="AF572">
            <v>43708</v>
          </cell>
          <cell r="AG572" t="str">
            <v>含税到厂</v>
          </cell>
          <cell r="AK572">
            <v>0.3</v>
          </cell>
          <cell r="AL572">
            <v>187230</v>
          </cell>
          <cell r="AM572">
            <v>43709</v>
          </cell>
          <cell r="AN572" t="str">
            <v>Yes</v>
          </cell>
          <cell r="AO572">
            <v>0.35</v>
          </cell>
          <cell r="AP572">
            <v>218435</v>
          </cell>
          <cell r="AQ572"/>
          <cell r="AS572">
            <v>0.35</v>
          </cell>
          <cell r="AT572">
            <v>218435</v>
          </cell>
        </row>
        <row r="573">
          <cell r="B573">
            <v>422</v>
          </cell>
          <cell r="C573" t="str">
            <v>C49SZX20190129DZ</v>
          </cell>
          <cell r="D573" t="str">
            <v>博星</v>
          </cell>
          <cell r="E573" t="str">
            <v>YSM10</v>
          </cell>
          <cell r="F573" t="str">
            <v>#03983</v>
          </cell>
          <cell r="G573" t="e">
            <v>#REF!</v>
          </cell>
          <cell r="H573" t="e">
            <v>#REF!</v>
          </cell>
          <cell r="I573" t="str">
            <v>R-&gt;L</v>
          </cell>
          <cell r="J573" t="str">
            <v>MVC+ATS15</v>
          </cell>
          <cell r="K573">
            <v>1</v>
          </cell>
          <cell r="L573">
            <v>109625</v>
          </cell>
          <cell r="M573" t="str">
            <v>NOV 19</v>
          </cell>
          <cell r="N573">
            <v>43777</v>
          </cell>
          <cell r="O573">
            <v>11100355</v>
          </cell>
          <cell r="P573">
            <v>624100</v>
          </cell>
          <cell r="Q573">
            <v>43770</v>
          </cell>
          <cell r="R573" t="str">
            <v>Yes</v>
          </cell>
          <cell r="S573" t="str">
            <v>C49</v>
          </cell>
          <cell r="T573" t="str">
            <v>SOUTH</v>
          </cell>
          <cell r="U573" t="str">
            <v>深圳</v>
          </cell>
          <cell r="V573" t="str">
            <v>SZ 深圳</v>
          </cell>
          <cell r="W573" t="str">
            <v>DZ</v>
          </cell>
          <cell r="X573" t="str">
            <v>RMB</v>
          </cell>
          <cell r="Y573">
            <v>624100</v>
          </cell>
          <cell r="Z573">
            <v>1.1299999999999999</v>
          </cell>
          <cell r="AA573">
            <v>624100</v>
          </cell>
          <cell r="AB573">
            <v>1.135</v>
          </cell>
          <cell r="AC573">
            <v>626861.50442477886</v>
          </cell>
          <cell r="AD573">
            <v>75223.38053097346</v>
          </cell>
          <cell r="AE573">
            <v>0.12</v>
          </cell>
          <cell r="AF573">
            <v>43708</v>
          </cell>
          <cell r="AG573" t="str">
            <v>含税到厂</v>
          </cell>
          <cell r="AK573">
            <v>0.3</v>
          </cell>
          <cell r="AL573">
            <v>187230</v>
          </cell>
          <cell r="AM573">
            <v>43709</v>
          </cell>
          <cell r="AN573" t="str">
            <v>Yes</v>
          </cell>
          <cell r="AO573">
            <v>0.35</v>
          </cell>
          <cell r="AP573">
            <v>218435</v>
          </cell>
          <cell r="AQ573"/>
          <cell r="AS573">
            <v>0.35</v>
          </cell>
          <cell r="AT573">
            <v>218435</v>
          </cell>
        </row>
        <row r="574">
          <cell r="B574">
            <v>423</v>
          </cell>
          <cell r="C574" t="str">
            <v>C49SZX20190135SX</v>
          </cell>
          <cell r="D574" t="str">
            <v>迅丰</v>
          </cell>
          <cell r="E574" t="str">
            <v>YSM20R(SV)-2</v>
          </cell>
          <cell r="F574" t="str">
            <v>#03995</v>
          </cell>
          <cell r="G574" t="e">
            <v>#REF!</v>
          </cell>
          <cell r="H574" t="e">
            <v>#REF!</v>
          </cell>
          <cell r="I574" t="str">
            <v>L-&gt;R</v>
          </cell>
          <cell r="J574" t="str">
            <v>cATS10+MVC+special layout</v>
          </cell>
          <cell r="K574">
            <v>1</v>
          </cell>
          <cell r="L574">
            <v>109308</v>
          </cell>
          <cell r="M574" t="str">
            <v>SEP 19</v>
          </cell>
          <cell r="N574">
            <v>43731</v>
          </cell>
          <cell r="O574">
            <v>11100330</v>
          </cell>
          <cell r="P574">
            <v>1050000</v>
          </cell>
          <cell r="Q574">
            <v>43709</v>
          </cell>
          <cell r="R574" t="str">
            <v>Yes</v>
          </cell>
          <cell r="S574" t="str">
            <v>C49</v>
          </cell>
          <cell r="T574" t="str">
            <v>SOUTH</v>
          </cell>
          <cell r="U574" t="str">
            <v>深圳</v>
          </cell>
          <cell r="V574" t="str">
            <v>SZ 深圳</v>
          </cell>
          <cell r="W574" t="str">
            <v>SX</v>
          </cell>
          <cell r="X574" t="str">
            <v>RMB</v>
          </cell>
          <cell r="Y574">
            <v>1050000</v>
          </cell>
          <cell r="Z574">
            <v>1.1299999999999999</v>
          </cell>
          <cell r="AA574">
            <v>1050000</v>
          </cell>
          <cell r="AB574">
            <v>1.095</v>
          </cell>
          <cell r="AC574">
            <v>1017477.8761061948</v>
          </cell>
          <cell r="AD574">
            <v>122097.34513274337</v>
          </cell>
          <cell r="AE574">
            <v>0.12</v>
          </cell>
          <cell r="AF574">
            <v>43715</v>
          </cell>
          <cell r="AG574" t="str">
            <v>含税到厂</v>
          </cell>
          <cell r="AK574">
            <v>0.2</v>
          </cell>
          <cell r="AL574">
            <v>210000</v>
          </cell>
          <cell r="AM574">
            <v>43709</v>
          </cell>
          <cell r="AN574" t="str">
            <v>Yes</v>
          </cell>
          <cell r="AO574">
            <v>0.8</v>
          </cell>
          <cell r="AP574">
            <v>840000</v>
          </cell>
          <cell r="AQ574">
            <v>43709</v>
          </cell>
          <cell r="AR574">
            <v>43727</v>
          </cell>
          <cell r="AS574" t="str">
            <v>complete</v>
          </cell>
          <cell r="AT574"/>
        </row>
        <row r="575">
          <cell r="B575">
            <v>424</v>
          </cell>
          <cell r="C575" t="str">
            <v>C49SZX20190135SX</v>
          </cell>
          <cell r="D575" t="str">
            <v>迅丰</v>
          </cell>
          <cell r="E575" t="str">
            <v>YSM20R(SV)-2</v>
          </cell>
          <cell r="F575" t="str">
            <v>#03995</v>
          </cell>
          <cell r="G575" t="e">
            <v>#REF!</v>
          </cell>
          <cell r="H575" t="e">
            <v>#REF!</v>
          </cell>
          <cell r="I575" t="str">
            <v>L-&gt;R</v>
          </cell>
          <cell r="J575" t="str">
            <v>MVC</v>
          </cell>
          <cell r="K575">
            <v>1</v>
          </cell>
          <cell r="L575">
            <v>109602</v>
          </cell>
          <cell r="M575" t="str">
            <v>SEP 19</v>
          </cell>
          <cell r="N575">
            <v>43731</v>
          </cell>
          <cell r="O575">
            <v>11100329</v>
          </cell>
          <cell r="P575">
            <v>1050000</v>
          </cell>
          <cell r="Q575">
            <v>43709</v>
          </cell>
          <cell r="R575" t="str">
            <v>Yes</v>
          </cell>
          <cell r="S575" t="str">
            <v>C49</v>
          </cell>
          <cell r="T575" t="str">
            <v>SOUTH</v>
          </cell>
          <cell r="U575" t="str">
            <v>深圳</v>
          </cell>
          <cell r="V575" t="str">
            <v>SZ 深圳</v>
          </cell>
          <cell r="W575" t="str">
            <v>SX</v>
          </cell>
          <cell r="X575" t="str">
            <v>RMB</v>
          </cell>
          <cell r="Y575">
            <v>1050000</v>
          </cell>
          <cell r="Z575">
            <v>1.1299999999999999</v>
          </cell>
          <cell r="AA575">
            <v>1050000</v>
          </cell>
          <cell r="AB575">
            <v>1.095</v>
          </cell>
          <cell r="AC575">
            <v>1017477.8761061948</v>
          </cell>
          <cell r="AD575">
            <v>122097.34513274337</v>
          </cell>
          <cell r="AE575">
            <v>0.12</v>
          </cell>
          <cell r="AF575">
            <v>43715</v>
          </cell>
          <cell r="AG575" t="str">
            <v>含税到厂</v>
          </cell>
          <cell r="AK575">
            <v>0.2</v>
          </cell>
          <cell r="AL575">
            <v>210000</v>
          </cell>
          <cell r="AM575">
            <v>43709</v>
          </cell>
          <cell r="AN575" t="str">
            <v>Yes</v>
          </cell>
          <cell r="AO575">
            <v>0.8</v>
          </cell>
          <cell r="AP575">
            <v>840000</v>
          </cell>
          <cell r="AQ575">
            <v>43709</v>
          </cell>
          <cell r="AR575">
            <v>43727</v>
          </cell>
          <cell r="AS575" t="str">
            <v>complete</v>
          </cell>
          <cell r="AT575"/>
        </row>
        <row r="576">
          <cell r="B576">
            <v>425</v>
          </cell>
          <cell r="C576" t="str">
            <v>C49SZX20190123SX</v>
          </cell>
          <cell r="D576" t="str">
            <v>君泽</v>
          </cell>
          <cell r="E576" t="str">
            <v>YSM20R(SV)-2</v>
          </cell>
          <cell r="F576" t="str">
            <v>#72404</v>
          </cell>
          <cell r="G576" t="e">
            <v>#REF!</v>
          </cell>
          <cell r="H576" t="e">
            <v>#REF!</v>
          </cell>
          <cell r="I576" t="str">
            <v>L-&gt;R</v>
          </cell>
          <cell r="J576" t="str">
            <v>No</v>
          </cell>
          <cell r="K576">
            <v>1</v>
          </cell>
          <cell r="L576">
            <v>109554</v>
          </cell>
          <cell r="M576" t="str">
            <v>SEP 19</v>
          </cell>
          <cell r="N576">
            <v>43733</v>
          </cell>
          <cell r="O576">
            <v>11100331</v>
          </cell>
          <cell r="P576">
            <v>1112500</v>
          </cell>
          <cell r="Q576">
            <v>43709</v>
          </cell>
          <cell r="R576" t="str">
            <v>No</v>
          </cell>
          <cell r="S576" t="str">
            <v>C49</v>
          </cell>
          <cell r="T576" t="str">
            <v>SOUTH</v>
          </cell>
          <cell r="U576" t="str">
            <v>東莞</v>
          </cell>
          <cell r="V576" t="str">
            <v>SZ 深圳</v>
          </cell>
          <cell r="W576" t="str">
            <v>SX</v>
          </cell>
          <cell r="X576" t="str">
            <v>RMB</v>
          </cell>
          <cell r="Y576">
            <v>1112500</v>
          </cell>
          <cell r="Z576">
            <v>1.1299999999999999</v>
          </cell>
          <cell r="AA576">
            <v>1112500</v>
          </cell>
          <cell r="AB576">
            <v>1.095</v>
          </cell>
          <cell r="AC576">
            <v>1078042.0353982302</v>
          </cell>
          <cell r="AD576">
            <v>129365.04424778762</v>
          </cell>
          <cell r="AE576">
            <v>0.12</v>
          </cell>
          <cell r="AF576">
            <v>43714</v>
          </cell>
          <cell r="AG576" t="str">
            <v>含税到厂</v>
          </cell>
          <cell r="AK576">
            <v>0.3</v>
          </cell>
          <cell r="AL576">
            <v>333750</v>
          </cell>
          <cell r="AM576">
            <v>43709</v>
          </cell>
          <cell r="AN576" t="str">
            <v>Yes</v>
          </cell>
          <cell r="AO576">
            <v>0.7</v>
          </cell>
          <cell r="AP576">
            <v>778750</v>
          </cell>
          <cell r="AQ576">
            <v>43709</v>
          </cell>
          <cell r="AR576">
            <v>43731</v>
          </cell>
          <cell r="AS576" t="str">
            <v>complete</v>
          </cell>
          <cell r="AT576"/>
        </row>
        <row r="577">
          <cell r="B577">
            <v>426</v>
          </cell>
          <cell r="C577" t="str">
            <v>C49SZX20190123SX</v>
          </cell>
          <cell r="D577" t="str">
            <v>君泽</v>
          </cell>
          <cell r="E577" t="str">
            <v>YSM20R(SV)-2</v>
          </cell>
          <cell r="F577" t="str">
            <v>#72404</v>
          </cell>
          <cell r="G577" t="e">
            <v>#REF!</v>
          </cell>
          <cell r="H577" t="e">
            <v>#REF!</v>
          </cell>
          <cell r="I577" t="str">
            <v>L-&gt;R</v>
          </cell>
          <cell r="J577" t="str">
            <v>No</v>
          </cell>
          <cell r="K577">
            <v>1</v>
          </cell>
          <cell r="L577">
            <v>109602</v>
          </cell>
          <cell r="M577" t="str">
            <v>SEP 19</v>
          </cell>
          <cell r="N577">
            <v>43733</v>
          </cell>
          <cell r="O577">
            <v>11100331</v>
          </cell>
          <cell r="P577">
            <v>1112500</v>
          </cell>
          <cell r="Q577">
            <v>43709</v>
          </cell>
          <cell r="R577" t="str">
            <v>No</v>
          </cell>
          <cell r="S577" t="str">
            <v>C49</v>
          </cell>
          <cell r="T577" t="str">
            <v>SOUTH</v>
          </cell>
          <cell r="U577" t="str">
            <v>東莞</v>
          </cell>
          <cell r="V577" t="str">
            <v>SZ 深圳</v>
          </cell>
          <cell r="W577" t="str">
            <v>SX</v>
          </cell>
          <cell r="X577" t="str">
            <v>RMB</v>
          </cell>
          <cell r="Y577">
            <v>1112500</v>
          </cell>
          <cell r="Z577">
            <v>1.1299999999999999</v>
          </cell>
          <cell r="AA577">
            <v>1112500</v>
          </cell>
          <cell r="AB577">
            <v>1.095</v>
          </cell>
          <cell r="AC577">
            <v>1078042.0353982302</v>
          </cell>
          <cell r="AD577">
            <v>129365.04424778762</v>
          </cell>
          <cell r="AE577">
            <v>0.12</v>
          </cell>
          <cell r="AF577">
            <v>43714</v>
          </cell>
          <cell r="AG577" t="str">
            <v>含税到厂</v>
          </cell>
          <cell r="AK577">
            <v>0.3</v>
          </cell>
          <cell r="AL577">
            <v>333750</v>
          </cell>
          <cell r="AM577">
            <v>43709</v>
          </cell>
          <cell r="AN577" t="str">
            <v>Yes</v>
          </cell>
          <cell r="AO577">
            <v>0.7</v>
          </cell>
          <cell r="AP577">
            <v>778750</v>
          </cell>
          <cell r="AQ577">
            <v>43709</v>
          </cell>
          <cell r="AR577">
            <v>43731</v>
          </cell>
          <cell r="AS577" t="str">
            <v>complete</v>
          </cell>
          <cell r="AT577"/>
        </row>
        <row r="578">
          <cell r="B578">
            <v>427</v>
          </cell>
          <cell r="C578" t="str">
            <v>C49SZX20190128DZ</v>
          </cell>
          <cell r="D578" t="str">
            <v>富斯迈/end user:蓝普视讯</v>
          </cell>
          <cell r="E578" t="str">
            <v>YSM20R(SV)-2</v>
          </cell>
          <cell r="F578" t="str">
            <v>#04050</v>
          </cell>
          <cell r="G578" t="e">
            <v>#REF!</v>
          </cell>
          <cell r="H578" t="e">
            <v>#REF!</v>
          </cell>
          <cell r="I578" t="str">
            <v>L-&gt;R</v>
          </cell>
          <cell r="J578" t="str">
            <v>No</v>
          </cell>
          <cell r="K578">
            <v>1</v>
          </cell>
          <cell r="L578">
            <v>109608</v>
          </cell>
          <cell r="M578" t="str">
            <v>OCT 19</v>
          </cell>
          <cell r="N578">
            <v>43749</v>
          </cell>
          <cell r="O578">
            <v>11116327</v>
          </cell>
          <cell r="P578">
            <v>690000</v>
          </cell>
          <cell r="Q578">
            <v>43739</v>
          </cell>
          <cell r="R578" t="str">
            <v>No</v>
          </cell>
          <cell r="S578" t="str">
            <v>C49</v>
          </cell>
          <cell r="T578" t="str">
            <v>SOUTH</v>
          </cell>
          <cell r="U578" t="str">
            <v>深圳</v>
          </cell>
          <cell r="V578" t="str">
            <v>SZ 深圳</v>
          </cell>
          <cell r="W578" t="str">
            <v>DZ</v>
          </cell>
          <cell r="X578" t="str">
            <v>RMB</v>
          </cell>
          <cell r="Y578">
            <v>690000</v>
          </cell>
          <cell r="Z578">
            <v>1</v>
          </cell>
          <cell r="AA578">
            <v>690000</v>
          </cell>
          <cell r="AB578">
            <v>1.095</v>
          </cell>
          <cell r="AC578">
            <v>755550</v>
          </cell>
          <cell r="AD578">
            <v>90666</v>
          </cell>
          <cell r="AE578">
            <v>0.12</v>
          </cell>
          <cell r="AF578">
            <v>43719</v>
          </cell>
          <cell r="AG578" t="str">
            <v>CIF HK</v>
          </cell>
          <cell r="AK578">
            <v>0.3</v>
          </cell>
          <cell r="AL578">
            <v>207000</v>
          </cell>
          <cell r="AM578">
            <v>43709</v>
          </cell>
          <cell r="AN578" t="str">
            <v>Yes</v>
          </cell>
          <cell r="AO578">
            <v>0.7</v>
          </cell>
          <cell r="AP578">
            <v>482999.99999999994</v>
          </cell>
          <cell r="AQ578">
            <v>43739</v>
          </cell>
          <cell r="AR578">
            <v>43747</v>
          </cell>
          <cell r="AS578" t="str">
            <v>complete</v>
          </cell>
          <cell r="AT578"/>
        </row>
        <row r="579">
          <cell r="B579">
            <v>428</v>
          </cell>
          <cell r="C579" t="str">
            <v>C49SZX20190128DZ</v>
          </cell>
          <cell r="D579" t="str">
            <v>富斯迈/end user:蓝普视讯</v>
          </cell>
          <cell r="E579" t="str">
            <v>YSM20R(SV)-2</v>
          </cell>
          <cell r="F579" t="str">
            <v>#04050</v>
          </cell>
          <cell r="G579" t="e">
            <v>#REF!</v>
          </cell>
          <cell r="H579" t="e">
            <v>#REF!</v>
          </cell>
          <cell r="I579" t="str">
            <v>L-&gt;R</v>
          </cell>
          <cell r="J579" t="str">
            <v>No</v>
          </cell>
          <cell r="K579">
            <v>1</v>
          </cell>
          <cell r="L579">
            <v>109608</v>
          </cell>
          <cell r="M579" t="str">
            <v>OCT 19</v>
          </cell>
          <cell r="N579">
            <v>43749</v>
          </cell>
          <cell r="O579">
            <v>11116327</v>
          </cell>
          <cell r="P579">
            <v>690000</v>
          </cell>
          <cell r="Q579">
            <v>43739</v>
          </cell>
          <cell r="R579" t="str">
            <v>No</v>
          </cell>
          <cell r="S579" t="str">
            <v>C49</v>
          </cell>
          <cell r="T579" t="str">
            <v>SOUTH</v>
          </cell>
          <cell r="U579" t="str">
            <v>深圳</v>
          </cell>
          <cell r="V579" t="str">
            <v>SZ 深圳</v>
          </cell>
          <cell r="W579" t="str">
            <v>DZ</v>
          </cell>
          <cell r="X579" t="str">
            <v>RMB</v>
          </cell>
          <cell r="Y579">
            <v>690000</v>
          </cell>
          <cell r="Z579">
            <v>1</v>
          </cell>
          <cell r="AA579">
            <v>690000</v>
          </cell>
          <cell r="AB579">
            <v>1.095</v>
          </cell>
          <cell r="AC579">
            <v>755550</v>
          </cell>
          <cell r="AD579">
            <v>90666</v>
          </cell>
          <cell r="AE579">
            <v>0.12</v>
          </cell>
          <cell r="AF579">
            <v>43719</v>
          </cell>
          <cell r="AG579" t="str">
            <v>CIF HK</v>
          </cell>
          <cell r="AK579">
            <v>0.3</v>
          </cell>
          <cell r="AL579">
            <v>207000</v>
          </cell>
          <cell r="AM579">
            <v>43709</v>
          </cell>
          <cell r="AN579" t="str">
            <v>Yes</v>
          </cell>
          <cell r="AO579">
            <v>0.7</v>
          </cell>
          <cell r="AP579">
            <v>482999.99999999994</v>
          </cell>
          <cell r="AQ579">
            <v>43739</v>
          </cell>
          <cell r="AR579">
            <v>43747</v>
          </cell>
          <cell r="AS579" t="str">
            <v>complete</v>
          </cell>
          <cell r="AT579"/>
        </row>
        <row r="580">
          <cell r="B580">
            <v>429</v>
          </cell>
          <cell r="C580" t="str">
            <v>C49SZX201900131JL</v>
          </cell>
          <cell r="D580" t="str">
            <v>杉川/end user:放德劲</v>
          </cell>
          <cell r="E580" t="str">
            <v>YSM20R(SV)-2</v>
          </cell>
          <cell r="F580" t="str">
            <v>#03618</v>
          </cell>
          <cell r="G580" t="e">
            <v>#REF!</v>
          </cell>
          <cell r="H580" t="e">
            <v>#REF!</v>
          </cell>
          <cell r="I580" t="str">
            <v>L-&gt;R</v>
          </cell>
          <cell r="J580" t="str">
            <v>cATS10+MVC+special layout</v>
          </cell>
          <cell r="K580">
            <v>1</v>
          </cell>
          <cell r="L580">
            <v>109308</v>
          </cell>
          <cell r="M580" t="str">
            <v>SEP 19</v>
          </cell>
          <cell r="N580">
            <v>43735</v>
          </cell>
          <cell r="O580">
            <v>11100333</v>
          </cell>
          <cell r="P580">
            <v>1160000</v>
          </cell>
          <cell r="Q580">
            <v>43709</v>
          </cell>
          <cell r="R580" t="str">
            <v>No</v>
          </cell>
          <cell r="S580" t="str">
            <v>C49</v>
          </cell>
          <cell r="T580" t="str">
            <v>SOUTH</v>
          </cell>
          <cell r="U580" t="str">
            <v>深圳</v>
          </cell>
          <cell r="V580" t="str">
            <v>SZ 深圳</v>
          </cell>
          <cell r="W580" t="str">
            <v>JL</v>
          </cell>
          <cell r="X580" t="str">
            <v>RMB</v>
          </cell>
          <cell r="Y580">
            <v>1160000</v>
          </cell>
          <cell r="Z580">
            <v>1.1299999999999999</v>
          </cell>
          <cell r="AA580">
            <v>1160000</v>
          </cell>
          <cell r="AB580">
            <v>1.095</v>
          </cell>
          <cell r="AC580">
            <v>1124070.7964601771</v>
          </cell>
          <cell r="AD580">
            <v>134888.49557522126</v>
          </cell>
          <cell r="AE580">
            <v>0.12</v>
          </cell>
          <cell r="AF580">
            <v>43717</v>
          </cell>
          <cell r="AG580" t="str">
            <v>含税到厂</v>
          </cell>
          <cell r="AK580">
            <v>0.3</v>
          </cell>
          <cell r="AL580">
            <v>348000</v>
          </cell>
          <cell r="AM580">
            <v>43709</v>
          </cell>
          <cell r="AN580" t="str">
            <v>Yes</v>
          </cell>
          <cell r="AO580">
            <v>0.65</v>
          </cell>
          <cell r="AP580">
            <v>754000</v>
          </cell>
          <cell r="AQ580">
            <v>43709</v>
          </cell>
          <cell r="AR580">
            <v>43734</v>
          </cell>
          <cell r="AS580">
            <v>0.05</v>
          </cell>
          <cell r="AT580">
            <v>58000</v>
          </cell>
          <cell r="AU580">
            <v>43800</v>
          </cell>
          <cell r="AV580">
            <v>43818</v>
          </cell>
          <cell r="AX580" t="str">
            <v>Yes</v>
          </cell>
        </row>
        <row r="581">
          <cell r="B581">
            <v>430</v>
          </cell>
          <cell r="C581" t="str">
            <v>C49SZX201900131JL</v>
          </cell>
          <cell r="D581" t="str">
            <v>杉川/end user:放德劲</v>
          </cell>
          <cell r="E581" t="str">
            <v>YSM20R(SV)-2</v>
          </cell>
          <cell r="F581" t="str">
            <v>#03618</v>
          </cell>
          <cell r="G581" t="e">
            <v>#REF!</v>
          </cell>
          <cell r="H581" t="e">
            <v>#REF!</v>
          </cell>
          <cell r="I581" t="str">
            <v>L-&gt;R</v>
          </cell>
          <cell r="J581" t="str">
            <v>MVC</v>
          </cell>
          <cell r="K581">
            <v>1</v>
          </cell>
          <cell r="L581">
            <v>109602</v>
          </cell>
          <cell r="M581" t="str">
            <v>SEP 19</v>
          </cell>
          <cell r="N581">
            <v>43735</v>
          </cell>
          <cell r="O581">
            <v>11100333</v>
          </cell>
          <cell r="P581">
            <v>1090000</v>
          </cell>
          <cell r="Q581">
            <v>43709</v>
          </cell>
          <cell r="R581" t="str">
            <v>No</v>
          </cell>
          <cell r="S581" t="str">
            <v>C49</v>
          </cell>
          <cell r="T581" t="str">
            <v>SOUTH</v>
          </cell>
          <cell r="U581" t="str">
            <v>深圳</v>
          </cell>
          <cell r="V581" t="str">
            <v>SZ 深圳</v>
          </cell>
          <cell r="W581" t="str">
            <v>JL</v>
          </cell>
          <cell r="X581" t="str">
            <v>RMB</v>
          </cell>
          <cell r="Y581">
            <v>1090000</v>
          </cell>
          <cell r="Z581">
            <v>1.1299999999999999</v>
          </cell>
          <cell r="AA581">
            <v>1090000</v>
          </cell>
          <cell r="AB581">
            <v>1.095</v>
          </cell>
          <cell r="AC581">
            <v>1056238.9380530973</v>
          </cell>
          <cell r="AD581">
            <v>126748.67256637168</v>
          </cell>
          <cell r="AE581">
            <v>0.12</v>
          </cell>
          <cell r="AF581">
            <v>43717</v>
          </cell>
          <cell r="AG581" t="str">
            <v>含税到厂</v>
          </cell>
          <cell r="AK581">
            <v>0.3</v>
          </cell>
          <cell r="AL581">
            <v>327000</v>
          </cell>
          <cell r="AM581">
            <v>43709</v>
          </cell>
          <cell r="AN581" t="str">
            <v>Yes</v>
          </cell>
          <cell r="AO581">
            <v>0.65</v>
          </cell>
          <cell r="AP581">
            <v>708500</v>
          </cell>
          <cell r="AQ581">
            <v>43709</v>
          </cell>
          <cell r="AR581">
            <v>43734</v>
          </cell>
          <cell r="AS581">
            <v>0.05</v>
          </cell>
          <cell r="AT581">
            <v>54500</v>
          </cell>
          <cell r="AU581">
            <v>43800</v>
          </cell>
          <cell r="AV581">
            <v>43818</v>
          </cell>
          <cell r="AX581" t="str">
            <v>Yes</v>
          </cell>
        </row>
        <row r="582">
          <cell r="B582">
            <v>431</v>
          </cell>
          <cell r="C582" t="str">
            <v>C49SZX201900131JL</v>
          </cell>
          <cell r="D582" t="str">
            <v>杉川/end user:放德劲</v>
          </cell>
          <cell r="E582" t="str">
            <v>YSM20R(SV)-2</v>
          </cell>
          <cell r="F582" t="str">
            <v>#03618</v>
          </cell>
          <cell r="G582" t="e">
            <v>#REF!</v>
          </cell>
          <cell r="H582" t="e">
            <v>#REF!</v>
          </cell>
          <cell r="I582" t="str">
            <v>L-&gt;R</v>
          </cell>
          <cell r="J582" t="str">
            <v>No</v>
          </cell>
          <cell r="K582">
            <v>1</v>
          </cell>
          <cell r="L582">
            <v>109624</v>
          </cell>
          <cell r="M582" t="str">
            <v>SEP 19</v>
          </cell>
          <cell r="N582">
            <v>43735</v>
          </cell>
          <cell r="O582">
            <v>11100333</v>
          </cell>
          <cell r="P582">
            <v>1090000</v>
          </cell>
          <cell r="Q582">
            <v>43709</v>
          </cell>
          <cell r="R582" t="str">
            <v>No</v>
          </cell>
          <cell r="S582" t="str">
            <v>C49</v>
          </cell>
          <cell r="T582" t="str">
            <v>SOUTH</v>
          </cell>
          <cell r="U582" t="str">
            <v>深圳</v>
          </cell>
          <cell r="V582" t="str">
            <v>SZ 深圳</v>
          </cell>
          <cell r="W582" t="str">
            <v>JL</v>
          </cell>
          <cell r="X582" t="str">
            <v>RMB</v>
          </cell>
          <cell r="Y582">
            <v>1090000</v>
          </cell>
          <cell r="Z582">
            <v>1.1299999999999999</v>
          </cell>
          <cell r="AA582">
            <v>1090000</v>
          </cell>
          <cell r="AB582">
            <v>1.095</v>
          </cell>
          <cell r="AC582">
            <v>1056238.9380530973</v>
          </cell>
          <cell r="AD582">
            <v>126748.67256637168</v>
          </cell>
          <cell r="AE582">
            <v>0.12</v>
          </cell>
          <cell r="AF582">
            <v>43717</v>
          </cell>
          <cell r="AG582" t="str">
            <v>含税到厂</v>
          </cell>
          <cell r="AK582">
            <v>0.3</v>
          </cell>
          <cell r="AL582">
            <v>327000</v>
          </cell>
          <cell r="AM582">
            <v>43709</v>
          </cell>
          <cell r="AN582" t="str">
            <v>Yes</v>
          </cell>
          <cell r="AO582">
            <v>0.65</v>
          </cell>
          <cell r="AP582">
            <v>708500</v>
          </cell>
          <cell r="AQ582">
            <v>43709</v>
          </cell>
          <cell r="AR582">
            <v>43734</v>
          </cell>
          <cell r="AS582">
            <v>0.05</v>
          </cell>
          <cell r="AT582">
            <v>54500</v>
          </cell>
          <cell r="AU582">
            <v>43800</v>
          </cell>
          <cell r="AV582">
            <v>43818</v>
          </cell>
          <cell r="AX582" t="str">
            <v>Yes</v>
          </cell>
        </row>
        <row r="583">
          <cell r="B583">
            <v>432</v>
          </cell>
          <cell r="C583" t="str">
            <v>C49SZX20190133MX</v>
          </cell>
          <cell r="D583" t="str">
            <v>海川伟业</v>
          </cell>
          <cell r="E583" t="str">
            <v>YSM20R(SV)-2</v>
          </cell>
          <cell r="F583" t="str">
            <v>#04003</v>
          </cell>
          <cell r="G583" t="e">
            <v>#REF!</v>
          </cell>
          <cell r="H583" t="e">
            <v>#REF!</v>
          </cell>
          <cell r="I583" t="str">
            <v>L-&gt;R</v>
          </cell>
          <cell r="J583" t="str">
            <v>No</v>
          </cell>
          <cell r="K583">
            <v>1</v>
          </cell>
          <cell r="L583">
            <v>109624</v>
          </cell>
          <cell r="M583" t="str">
            <v>OCT 19</v>
          </cell>
          <cell r="N583">
            <v>43753</v>
          </cell>
          <cell r="O583">
            <v>11100338</v>
          </cell>
          <cell r="P583">
            <v>880000</v>
          </cell>
          <cell r="Q583">
            <v>43739</v>
          </cell>
          <cell r="R583" t="str">
            <v>Yes</v>
          </cell>
          <cell r="S583" t="str">
            <v>C49</v>
          </cell>
          <cell r="T583" t="str">
            <v>SOUTH</v>
          </cell>
          <cell r="U583" t="str">
            <v>深圳</v>
          </cell>
          <cell r="V583" t="str">
            <v>SZ 深圳</v>
          </cell>
          <cell r="W583" t="str">
            <v>MX</v>
          </cell>
          <cell r="X583" t="str">
            <v>RMB</v>
          </cell>
          <cell r="Y583">
            <v>880000</v>
          </cell>
          <cell r="Z583">
            <v>1.1299999999999999</v>
          </cell>
          <cell r="AA583">
            <v>880000</v>
          </cell>
          <cell r="AB583">
            <v>1.095</v>
          </cell>
          <cell r="AC583">
            <v>852743.36283185857</v>
          </cell>
          <cell r="AD583">
            <v>102329.20353982302</v>
          </cell>
          <cell r="AE583">
            <v>0.12</v>
          </cell>
          <cell r="AF583">
            <v>43731</v>
          </cell>
          <cell r="AG583" t="str">
            <v>含税到厂</v>
          </cell>
          <cell r="AK583">
            <v>0.1</v>
          </cell>
          <cell r="AL583">
            <v>88000</v>
          </cell>
          <cell r="AM583">
            <v>43709</v>
          </cell>
          <cell r="AN583" t="str">
            <v>Yes</v>
          </cell>
          <cell r="AO583">
            <v>0.9</v>
          </cell>
          <cell r="AP583">
            <v>792000</v>
          </cell>
          <cell r="AQ583"/>
          <cell r="AS583"/>
          <cell r="AT583">
            <v>0</v>
          </cell>
        </row>
        <row r="584">
          <cell r="B584">
            <v>433</v>
          </cell>
          <cell r="C584" t="str">
            <v>C49SZX20190133MX</v>
          </cell>
          <cell r="D584" t="str">
            <v>海川伟业</v>
          </cell>
          <cell r="E584" t="str">
            <v>YSM10</v>
          </cell>
          <cell r="F584" t="str">
            <v>#04003</v>
          </cell>
          <cell r="G584" t="e">
            <v>#REF!</v>
          </cell>
          <cell r="H584" t="e">
            <v>#REF!</v>
          </cell>
          <cell r="I584" t="str">
            <v>L-&gt;R</v>
          </cell>
          <cell r="J584" t="str">
            <v>MVC</v>
          </cell>
          <cell r="K584">
            <v>1</v>
          </cell>
          <cell r="L584">
            <v>109588</v>
          </cell>
          <cell r="M584" t="str">
            <v>OCT 19</v>
          </cell>
          <cell r="N584">
            <v>43753</v>
          </cell>
          <cell r="O584">
            <v>11100338</v>
          </cell>
          <cell r="P584">
            <v>600000</v>
          </cell>
          <cell r="Q584">
            <v>43739</v>
          </cell>
          <cell r="R584" t="str">
            <v>Yes</v>
          </cell>
          <cell r="S584" t="str">
            <v>C49</v>
          </cell>
          <cell r="T584" t="str">
            <v>SOUTH</v>
          </cell>
          <cell r="U584" t="str">
            <v>深圳</v>
          </cell>
          <cell r="V584" t="str">
            <v>SZ 深圳</v>
          </cell>
          <cell r="W584" t="str">
            <v>MX</v>
          </cell>
          <cell r="X584" t="str">
            <v>RMB</v>
          </cell>
          <cell r="Y584">
            <v>600000</v>
          </cell>
          <cell r="Z584">
            <v>1.1299999999999999</v>
          </cell>
          <cell r="AA584">
            <v>600000</v>
          </cell>
          <cell r="AB584">
            <v>1.095</v>
          </cell>
          <cell r="AC584">
            <v>581415.92920353985</v>
          </cell>
          <cell r="AD584">
            <v>69769.911504424774</v>
          </cell>
          <cell r="AE584">
            <v>0.12</v>
          </cell>
          <cell r="AF584">
            <v>43731</v>
          </cell>
          <cell r="AG584" t="str">
            <v>含税到厂</v>
          </cell>
          <cell r="AK584">
            <v>0.1</v>
          </cell>
          <cell r="AL584">
            <v>60000</v>
          </cell>
          <cell r="AM584">
            <v>43709</v>
          </cell>
          <cell r="AN584" t="str">
            <v>Yes</v>
          </cell>
          <cell r="AO584">
            <v>0.9</v>
          </cell>
          <cell r="AP584">
            <v>540000</v>
          </cell>
          <cell r="AQ584"/>
          <cell r="AS584"/>
          <cell r="AT584">
            <v>0</v>
          </cell>
        </row>
        <row r="585">
          <cell r="B585">
            <v>434</v>
          </cell>
          <cell r="C585" t="str">
            <v>C49SZX20190140SS</v>
          </cell>
          <cell r="D585" t="str">
            <v>中润互联</v>
          </cell>
          <cell r="E585" t="str">
            <v>YSM10</v>
          </cell>
          <cell r="F585" t="str">
            <v>#74022</v>
          </cell>
          <cell r="G585" t="e">
            <v>#REF!</v>
          </cell>
          <cell r="H585" t="e">
            <v>#REF!</v>
          </cell>
          <cell r="I585" t="str">
            <v>L-&gt;R</v>
          </cell>
          <cell r="J585" t="str">
            <v>MVC</v>
          </cell>
          <cell r="K585">
            <v>1</v>
          </cell>
          <cell r="L585">
            <v>109665</v>
          </cell>
          <cell r="M585" t="str">
            <v>OCT 19</v>
          </cell>
          <cell r="N585">
            <v>43759</v>
          </cell>
          <cell r="O585">
            <v>11100342</v>
          </cell>
          <cell r="P585">
            <v>560000</v>
          </cell>
          <cell r="Q585">
            <v>43739</v>
          </cell>
          <cell r="R585" t="str">
            <v>No</v>
          </cell>
          <cell r="S585" t="str">
            <v>C49</v>
          </cell>
          <cell r="T585" t="str">
            <v>SOUTH</v>
          </cell>
          <cell r="U585" t="str">
            <v>深圳</v>
          </cell>
          <cell r="V585" t="str">
            <v>SZ 深圳</v>
          </cell>
          <cell r="W585" t="str">
            <v>SS</v>
          </cell>
          <cell r="X585" t="str">
            <v>RMB</v>
          </cell>
          <cell r="Y585">
            <v>560000</v>
          </cell>
          <cell r="Z585">
            <v>1.1299999999999999</v>
          </cell>
          <cell r="AA585">
            <v>560000</v>
          </cell>
          <cell r="AB585">
            <v>1.095</v>
          </cell>
          <cell r="AC585">
            <v>542654.8672566372</v>
          </cell>
          <cell r="AD585">
            <v>65118.58407079646</v>
          </cell>
          <cell r="AE585">
            <v>0.12</v>
          </cell>
          <cell r="AF585">
            <v>43732</v>
          </cell>
          <cell r="AG585" t="str">
            <v>含税到厂</v>
          </cell>
          <cell r="AK585" t="str">
            <v>agree</v>
          </cell>
          <cell r="AL585">
            <v>300000</v>
          </cell>
          <cell r="AM585">
            <v>43709</v>
          </cell>
          <cell r="AN585" t="str">
            <v>Yes</v>
          </cell>
          <cell r="AO585" t="str">
            <v>agree</v>
          </cell>
          <cell r="AP585">
            <v>260000</v>
          </cell>
          <cell r="AQ585">
            <v>43739</v>
          </cell>
          <cell r="AR585">
            <v>43754</v>
          </cell>
          <cell r="AS585"/>
          <cell r="AT585">
            <v>0</v>
          </cell>
          <cell r="AX585" t="str">
            <v>Yes</v>
          </cell>
          <cell r="AZ585" t="str">
            <v>Y</v>
          </cell>
          <cell r="BA585" t="str">
            <v>Yes</v>
          </cell>
        </row>
        <row r="586">
          <cell r="B586">
            <v>435</v>
          </cell>
          <cell r="C586" t="str">
            <v>C49SZX20190142KW</v>
          </cell>
          <cell r="D586" t="str">
            <v>海龙智通</v>
          </cell>
          <cell r="E586" t="str">
            <v>YSM20R(SV)-2</v>
          </cell>
          <cell r="F586" t="str">
            <v>#04037</v>
          </cell>
          <cell r="G586" t="e">
            <v>#REF!</v>
          </cell>
          <cell r="H586" t="e">
            <v>#REF!</v>
          </cell>
          <cell r="I586" t="str">
            <v>R-&gt;L</v>
          </cell>
          <cell r="J586" t="str">
            <v>MVC</v>
          </cell>
          <cell r="K586">
            <v>1</v>
          </cell>
          <cell r="L586">
            <v>109664</v>
          </cell>
          <cell r="M586" t="str">
            <v>NOV 19</v>
          </cell>
          <cell r="N586">
            <v>43776</v>
          </cell>
          <cell r="O586">
            <v>11100353</v>
          </cell>
          <cell r="P586">
            <v>1080000</v>
          </cell>
          <cell r="Q586">
            <v>43770</v>
          </cell>
          <cell r="R586" t="str">
            <v>Yes</v>
          </cell>
          <cell r="S586" t="str">
            <v>C49</v>
          </cell>
          <cell r="T586" t="str">
            <v>SOUTH</v>
          </cell>
          <cell r="U586" t="str">
            <v>深圳</v>
          </cell>
          <cell r="V586" t="str">
            <v>SZ 深圳</v>
          </cell>
          <cell r="W586" t="str">
            <v>KW</v>
          </cell>
          <cell r="X586" t="str">
            <v>RMB</v>
          </cell>
          <cell r="Y586">
            <v>1080000</v>
          </cell>
          <cell r="Z586">
            <v>1.1299999999999999</v>
          </cell>
          <cell r="AA586">
            <v>1080000</v>
          </cell>
          <cell r="AB586">
            <v>1.095</v>
          </cell>
          <cell r="AC586">
            <v>1046548.6725663719</v>
          </cell>
          <cell r="AD586">
            <v>125585.84070796461</v>
          </cell>
          <cell r="AE586">
            <v>0.12</v>
          </cell>
          <cell r="AF586">
            <v>43734</v>
          </cell>
          <cell r="AG586" t="str">
            <v>含税到厂</v>
          </cell>
          <cell r="AK586" t="str">
            <v>agree</v>
          </cell>
          <cell r="AL586">
            <v>200000</v>
          </cell>
          <cell r="AM586">
            <v>43709</v>
          </cell>
          <cell r="AN586" t="str">
            <v>Yes</v>
          </cell>
          <cell r="AO586" t="str">
            <v>agree</v>
          </cell>
          <cell r="AP586">
            <v>880000</v>
          </cell>
          <cell r="AQ586">
            <v>43770</v>
          </cell>
          <cell r="AR586">
            <v>43774</v>
          </cell>
          <cell r="AS586"/>
          <cell r="AT586">
            <v>0</v>
          </cell>
          <cell r="AX586" t="str">
            <v>Yes</v>
          </cell>
          <cell r="AZ586" t="str">
            <v>Y</v>
          </cell>
          <cell r="BA586" t="str">
            <v>Yes</v>
          </cell>
        </row>
        <row r="587">
          <cell r="B587">
            <v>436</v>
          </cell>
          <cell r="C587" t="str">
            <v>C49SZX20190139SX</v>
          </cell>
          <cell r="D587" t="str">
            <v>太美亚</v>
          </cell>
          <cell r="E587" t="str">
            <v>YSM20R(SV)-2</v>
          </cell>
          <cell r="F587" t="str">
            <v>#03924</v>
          </cell>
          <cell r="G587" t="e">
            <v>#REF!</v>
          </cell>
          <cell r="H587" t="e">
            <v>#REF!</v>
          </cell>
          <cell r="I587" t="str">
            <v>L-&gt;R</v>
          </cell>
          <cell r="J587" t="str">
            <v>cATS10+MVC+special layout</v>
          </cell>
          <cell r="K587">
            <v>1</v>
          </cell>
          <cell r="L587">
            <v>109383</v>
          </cell>
          <cell r="M587" t="str">
            <v>OCT 19</v>
          </cell>
          <cell r="N587">
            <v>43748</v>
          </cell>
          <cell r="O587">
            <v>11100336</v>
          </cell>
          <cell r="P587">
            <v>1300000</v>
          </cell>
          <cell r="Q587">
            <v>43739</v>
          </cell>
          <cell r="R587" t="str">
            <v>No</v>
          </cell>
          <cell r="S587" t="str">
            <v>C49</v>
          </cell>
          <cell r="T587" t="str">
            <v>SOUTH</v>
          </cell>
          <cell r="U587" t="str">
            <v>深圳</v>
          </cell>
          <cell r="V587" t="str">
            <v>SZ 深圳</v>
          </cell>
          <cell r="W587" t="str">
            <v>SX</v>
          </cell>
          <cell r="X587" t="str">
            <v>RMB</v>
          </cell>
          <cell r="Y587">
            <v>1300000</v>
          </cell>
          <cell r="Z587">
            <v>1.1299999999999999</v>
          </cell>
          <cell r="AA587">
            <v>1300000</v>
          </cell>
          <cell r="AB587">
            <v>1.095</v>
          </cell>
          <cell r="AC587">
            <v>1259734.5132743362</v>
          </cell>
          <cell r="AD587">
            <v>151168.14159292035</v>
          </cell>
          <cell r="AE587">
            <v>0.12</v>
          </cell>
          <cell r="AF587">
            <v>43735</v>
          </cell>
          <cell r="AG587" t="str">
            <v>含税到厂</v>
          </cell>
          <cell r="AK587">
            <v>0.2</v>
          </cell>
          <cell r="AL587">
            <v>260000</v>
          </cell>
          <cell r="AM587">
            <v>43739</v>
          </cell>
          <cell r="AN587" t="str">
            <v>Yes</v>
          </cell>
          <cell r="AO587">
            <v>0.7</v>
          </cell>
          <cell r="AP587">
            <v>910000</v>
          </cell>
          <cell r="AQ587">
            <v>43739</v>
          </cell>
          <cell r="AR587">
            <v>43746</v>
          </cell>
          <cell r="AS587">
            <v>0.1</v>
          </cell>
          <cell r="AT587">
            <v>130000</v>
          </cell>
          <cell r="AU587">
            <v>43831</v>
          </cell>
          <cell r="AV587">
            <v>43844</v>
          </cell>
          <cell r="AX587" t="str">
            <v>Yes</v>
          </cell>
        </row>
        <row r="588">
          <cell r="B588">
            <v>437</v>
          </cell>
          <cell r="C588" t="str">
            <v>C49SZX20190139SX</v>
          </cell>
          <cell r="D588" t="str">
            <v>太美亚</v>
          </cell>
          <cell r="E588" t="str">
            <v>YSM20R(SV)-2</v>
          </cell>
          <cell r="F588" t="str">
            <v>#03924</v>
          </cell>
          <cell r="G588" t="e">
            <v>#REF!</v>
          </cell>
          <cell r="H588" t="e">
            <v>#REF!</v>
          </cell>
          <cell r="I588" t="str">
            <v>L-&gt;R</v>
          </cell>
          <cell r="J588" t="str">
            <v>cATS10+MVC+special layout</v>
          </cell>
          <cell r="K588">
            <v>1</v>
          </cell>
          <cell r="L588">
            <v>109247</v>
          </cell>
          <cell r="M588" t="str">
            <v>OCT 19</v>
          </cell>
          <cell r="N588">
            <v>43748</v>
          </cell>
          <cell r="O588">
            <v>11100336</v>
          </cell>
          <cell r="P588">
            <v>1300000</v>
          </cell>
          <cell r="Q588">
            <v>43739</v>
          </cell>
          <cell r="R588" t="str">
            <v>No</v>
          </cell>
          <cell r="S588" t="str">
            <v>C49</v>
          </cell>
          <cell r="T588" t="str">
            <v>SOUTH</v>
          </cell>
          <cell r="U588" t="str">
            <v>深圳</v>
          </cell>
          <cell r="V588" t="str">
            <v>SZ 深圳</v>
          </cell>
          <cell r="W588" t="str">
            <v>SX</v>
          </cell>
          <cell r="X588" t="str">
            <v>RMB</v>
          </cell>
          <cell r="Y588">
            <v>1300000</v>
          </cell>
          <cell r="Z588">
            <v>1.1299999999999999</v>
          </cell>
          <cell r="AA588">
            <v>1300000</v>
          </cell>
          <cell r="AB588">
            <v>1.095</v>
          </cell>
          <cell r="AC588">
            <v>1259734.5132743362</v>
          </cell>
          <cell r="AD588">
            <v>151168.14159292035</v>
          </cell>
          <cell r="AE588">
            <v>0.12</v>
          </cell>
          <cell r="AF588">
            <v>43735</v>
          </cell>
          <cell r="AG588" t="str">
            <v>含税到厂</v>
          </cell>
          <cell r="AK588">
            <v>0.2</v>
          </cell>
          <cell r="AL588">
            <v>260000</v>
          </cell>
          <cell r="AM588">
            <v>43739</v>
          </cell>
          <cell r="AN588" t="str">
            <v>Yes</v>
          </cell>
          <cell r="AO588">
            <v>0.7</v>
          </cell>
          <cell r="AP588">
            <v>910000</v>
          </cell>
          <cell r="AQ588">
            <v>43739</v>
          </cell>
          <cell r="AR588">
            <v>43746</v>
          </cell>
          <cell r="AS588">
            <v>0.1</v>
          </cell>
          <cell r="AT588">
            <v>130000</v>
          </cell>
          <cell r="AU588">
            <v>43831</v>
          </cell>
          <cell r="AV588">
            <v>43844</v>
          </cell>
          <cell r="AX588" t="str">
            <v>Yes</v>
          </cell>
        </row>
        <row r="589">
          <cell r="B589">
            <v>438</v>
          </cell>
          <cell r="C589" t="str">
            <v>C49SZX20190138ZX</v>
          </cell>
          <cell r="D589" t="str">
            <v>Bittele 比泰利</v>
          </cell>
          <cell r="E589" t="str">
            <v>YSM20R(SV)-2</v>
          </cell>
          <cell r="F589" t="str">
            <v>#03422</v>
          </cell>
          <cell r="G589" t="e">
            <v>#REF!</v>
          </cell>
          <cell r="H589" t="e">
            <v>#REF!</v>
          </cell>
          <cell r="I589" t="str">
            <v>L-&gt;R</v>
          </cell>
          <cell r="J589" t="str">
            <v>cATS10+MVC+special layout</v>
          </cell>
          <cell r="K589">
            <v>1</v>
          </cell>
          <cell r="L589">
            <v>109263</v>
          </cell>
          <cell r="M589" t="str">
            <v>NOV 19</v>
          </cell>
          <cell r="N589">
            <v>43789</v>
          </cell>
          <cell r="O589">
            <v>11116334</v>
          </cell>
          <cell r="P589">
            <v>182250</v>
          </cell>
          <cell r="Q589">
            <v>43770</v>
          </cell>
          <cell r="R589" t="str">
            <v>No</v>
          </cell>
          <cell r="S589" t="str">
            <v>C49</v>
          </cell>
          <cell r="T589" t="str">
            <v>SOUTH</v>
          </cell>
          <cell r="U589" t="str">
            <v>深圳</v>
          </cell>
          <cell r="V589" t="str">
            <v>SZ 深圳</v>
          </cell>
          <cell r="W589" t="str">
            <v>ZX</v>
          </cell>
          <cell r="X589" t="str">
            <v>USD</v>
          </cell>
          <cell r="Y589">
            <v>182250</v>
          </cell>
          <cell r="Z589">
            <v>1</v>
          </cell>
          <cell r="AA589">
            <v>182250</v>
          </cell>
          <cell r="AB589">
            <v>7.8</v>
          </cell>
          <cell r="AC589">
            <v>1421550</v>
          </cell>
          <cell r="AD589">
            <v>170586</v>
          </cell>
          <cell r="AE589">
            <v>0.12</v>
          </cell>
          <cell r="AF589">
            <v>43748</v>
          </cell>
          <cell r="AG589" t="str">
            <v>CIF HK</v>
          </cell>
          <cell r="AK589">
            <v>0.3</v>
          </cell>
          <cell r="AL589">
            <v>54675</v>
          </cell>
          <cell r="AM589">
            <v>43739</v>
          </cell>
          <cell r="AN589" t="str">
            <v>Yes</v>
          </cell>
          <cell r="AO589">
            <v>0.65</v>
          </cell>
          <cell r="AP589">
            <v>118462.5</v>
          </cell>
          <cell r="AQ589">
            <v>43770</v>
          </cell>
          <cell r="AR589">
            <v>43788</v>
          </cell>
          <cell r="AS589">
            <v>0.05</v>
          </cell>
          <cell r="AT589">
            <v>9112.5</v>
          </cell>
          <cell r="AU589">
            <v>43862</v>
          </cell>
          <cell r="AV589">
            <v>43878</v>
          </cell>
          <cell r="AX589" t="str">
            <v>Yes</v>
          </cell>
          <cell r="AZ589" t="str">
            <v>Y</v>
          </cell>
          <cell r="BA589" t="str">
            <v>Yes</v>
          </cell>
        </row>
        <row r="590">
          <cell r="B590">
            <v>439</v>
          </cell>
          <cell r="C590" t="str">
            <v>C49SZX20190138ZX</v>
          </cell>
          <cell r="D590" t="str">
            <v>Bittele 比泰利</v>
          </cell>
          <cell r="E590" t="str">
            <v>YSM20R(SV)-2</v>
          </cell>
          <cell r="F590" t="str">
            <v>#03422</v>
          </cell>
          <cell r="G590" t="e">
            <v>#REF!</v>
          </cell>
          <cell r="H590" t="e">
            <v>#REF!</v>
          </cell>
          <cell r="I590" t="str">
            <v>L-&gt;R</v>
          </cell>
          <cell r="J590" t="str">
            <v>cATS10+MVC+special layout</v>
          </cell>
          <cell r="K590">
            <v>1</v>
          </cell>
          <cell r="L590">
            <v>109247</v>
          </cell>
          <cell r="M590" t="str">
            <v>NOV 19</v>
          </cell>
          <cell r="N590">
            <v>43789</v>
          </cell>
          <cell r="O590">
            <v>11116334</v>
          </cell>
          <cell r="P590">
            <v>182250</v>
          </cell>
          <cell r="Q590">
            <v>43770</v>
          </cell>
          <cell r="R590" t="str">
            <v>No</v>
          </cell>
          <cell r="S590" t="str">
            <v>C49</v>
          </cell>
          <cell r="T590" t="str">
            <v>SOUTH</v>
          </cell>
          <cell r="U590" t="str">
            <v>深圳</v>
          </cell>
          <cell r="V590" t="str">
            <v>SZ 深圳</v>
          </cell>
          <cell r="W590" t="str">
            <v>ZX</v>
          </cell>
          <cell r="X590" t="str">
            <v>USD</v>
          </cell>
          <cell r="Y590">
            <v>182250</v>
          </cell>
          <cell r="Z590">
            <v>1</v>
          </cell>
          <cell r="AA590">
            <v>182250</v>
          </cell>
          <cell r="AB590">
            <v>7.8</v>
          </cell>
          <cell r="AC590">
            <v>1421550</v>
          </cell>
          <cell r="AD590">
            <v>170586</v>
          </cell>
          <cell r="AE590">
            <v>0.12</v>
          </cell>
          <cell r="AF590">
            <v>43748</v>
          </cell>
          <cell r="AG590" t="str">
            <v>CIF HK</v>
          </cell>
          <cell r="AK590">
            <v>0.3</v>
          </cell>
          <cell r="AL590">
            <v>54675</v>
          </cell>
          <cell r="AM590">
            <v>43739</v>
          </cell>
          <cell r="AN590" t="str">
            <v>Yes</v>
          </cell>
          <cell r="AO590">
            <v>0.65</v>
          </cell>
          <cell r="AP590">
            <v>118462.5</v>
          </cell>
          <cell r="AQ590">
            <v>43770</v>
          </cell>
          <cell r="AR590">
            <v>43788</v>
          </cell>
          <cell r="AS590">
            <v>0.05</v>
          </cell>
          <cell r="AT590">
            <v>9112.5</v>
          </cell>
          <cell r="AU590">
            <v>43862</v>
          </cell>
          <cell r="AV590">
            <v>43878</v>
          </cell>
          <cell r="AX590" t="str">
            <v>Yes</v>
          </cell>
          <cell r="AZ590" t="str">
            <v>Y</v>
          </cell>
          <cell r="BA590" t="str">
            <v>Yes</v>
          </cell>
        </row>
        <row r="591">
          <cell r="B591">
            <v>440</v>
          </cell>
          <cell r="C591" t="str">
            <v>C49SZX20190145DZ</v>
          </cell>
          <cell r="D591" t="str">
            <v>GCL 耕创</v>
          </cell>
          <cell r="E591" t="str">
            <v>YSM20R(SV)-2</v>
          </cell>
          <cell r="F591" t="str">
            <v>#13223</v>
          </cell>
          <cell r="G591" t="e">
            <v>#REF!</v>
          </cell>
          <cell r="H591" t="e">
            <v>#REF!</v>
          </cell>
          <cell r="I591" t="str">
            <v>L-&gt;R</v>
          </cell>
          <cell r="J591" t="str">
            <v>No</v>
          </cell>
          <cell r="K591">
            <v>1</v>
          </cell>
          <cell r="L591">
            <v>109602</v>
          </cell>
          <cell r="M591" t="str">
            <v>NOV 19</v>
          </cell>
          <cell r="N591">
            <v>43773</v>
          </cell>
          <cell r="O591">
            <v>11100349</v>
          </cell>
          <cell r="P591">
            <v>885000</v>
          </cell>
          <cell r="Q591">
            <v>43739</v>
          </cell>
          <cell r="R591" t="str">
            <v>No</v>
          </cell>
          <cell r="S591" t="str">
            <v>C49</v>
          </cell>
          <cell r="T591" t="str">
            <v>SOUTH</v>
          </cell>
          <cell r="U591" t="str">
            <v>深圳</v>
          </cell>
          <cell r="V591" t="str">
            <v>SZ 深圳</v>
          </cell>
          <cell r="W591" t="str">
            <v>DZ</v>
          </cell>
          <cell r="X591" t="str">
            <v>RMB</v>
          </cell>
          <cell r="Y591">
            <v>885000</v>
          </cell>
          <cell r="Z591">
            <v>1.1299999999999999</v>
          </cell>
          <cell r="AA591">
            <v>885000</v>
          </cell>
          <cell r="AB591">
            <v>1.095</v>
          </cell>
          <cell r="AC591">
            <v>857588.49557522137</v>
          </cell>
          <cell r="AD591">
            <v>102910.61946902655</v>
          </cell>
          <cell r="AE591">
            <v>0.12</v>
          </cell>
          <cell r="AF591">
            <v>43750</v>
          </cell>
          <cell r="AG591" t="str">
            <v>含税到厂</v>
          </cell>
          <cell r="AK591">
            <v>0.3</v>
          </cell>
          <cell r="AL591">
            <v>265500</v>
          </cell>
          <cell r="AM591">
            <v>43739</v>
          </cell>
          <cell r="AN591" t="str">
            <v>Yes</v>
          </cell>
          <cell r="AO591">
            <v>0.7</v>
          </cell>
          <cell r="AP591">
            <v>619500</v>
          </cell>
          <cell r="AQ591">
            <v>43739</v>
          </cell>
          <cell r="AR591">
            <v>43767</v>
          </cell>
          <cell r="AS591"/>
          <cell r="AT591">
            <v>0</v>
          </cell>
          <cell r="AX591" t="str">
            <v>Yes</v>
          </cell>
          <cell r="AZ591" t="str">
            <v>Y</v>
          </cell>
          <cell r="BA591" t="str">
            <v>Yes</v>
          </cell>
        </row>
        <row r="592">
          <cell r="B592">
            <v>441</v>
          </cell>
          <cell r="C592" t="str">
            <v>C49SZX20190145DZ</v>
          </cell>
          <cell r="D592" t="str">
            <v>GCL 耕创</v>
          </cell>
          <cell r="E592" t="str">
            <v>YSM20R(SV)-2</v>
          </cell>
          <cell r="F592" t="str">
            <v>#13223</v>
          </cell>
          <cell r="G592" t="e">
            <v>#REF!</v>
          </cell>
          <cell r="H592" t="e">
            <v>#REF!</v>
          </cell>
          <cell r="I592" t="str">
            <v>L-&gt;R</v>
          </cell>
          <cell r="J592" t="str">
            <v>No</v>
          </cell>
          <cell r="K592">
            <v>1</v>
          </cell>
          <cell r="L592">
            <v>109624</v>
          </cell>
          <cell r="M592" t="str">
            <v>NOV 19</v>
          </cell>
          <cell r="N592">
            <v>43773</v>
          </cell>
          <cell r="O592">
            <v>11100349</v>
          </cell>
          <cell r="P592">
            <v>885000</v>
          </cell>
          <cell r="Q592">
            <v>43739</v>
          </cell>
          <cell r="R592" t="str">
            <v>No</v>
          </cell>
          <cell r="S592" t="str">
            <v>C49</v>
          </cell>
          <cell r="T592" t="str">
            <v>SOUTH</v>
          </cell>
          <cell r="U592" t="str">
            <v>深圳</v>
          </cell>
          <cell r="V592" t="str">
            <v>SZ 深圳</v>
          </cell>
          <cell r="W592" t="str">
            <v>DZ</v>
          </cell>
          <cell r="X592" t="str">
            <v>RMB</v>
          </cell>
          <cell r="Y592">
            <v>885000</v>
          </cell>
          <cell r="Z592">
            <v>1.1299999999999999</v>
          </cell>
          <cell r="AA592">
            <v>885000</v>
          </cell>
          <cell r="AB592">
            <v>1.095</v>
          </cell>
          <cell r="AC592">
            <v>857588.49557522137</v>
          </cell>
          <cell r="AD592">
            <v>102910.61946902655</v>
          </cell>
          <cell r="AE592">
            <v>0.12</v>
          </cell>
          <cell r="AF592">
            <v>43750</v>
          </cell>
          <cell r="AG592" t="str">
            <v>含税到厂</v>
          </cell>
          <cell r="AK592">
            <v>0.3</v>
          </cell>
          <cell r="AL592">
            <v>265500</v>
          </cell>
          <cell r="AM592">
            <v>43739</v>
          </cell>
          <cell r="AN592" t="str">
            <v>Yes</v>
          </cell>
          <cell r="AO592">
            <v>0.7</v>
          </cell>
          <cell r="AP592">
            <v>619500</v>
          </cell>
          <cell r="AQ592">
            <v>43739</v>
          </cell>
          <cell r="AR592">
            <v>43767</v>
          </cell>
          <cell r="AS592"/>
          <cell r="AT592">
            <v>0</v>
          </cell>
          <cell r="AX592" t="str">
            <v>Yes</v>
          </cell>
          <cell r="AZ592" t="str">
            <v>Y</v>
          </cell>
          <cell r="BA592" t="str">
            <v>Yes</v>
          </cell>
        </row>
        <row r="593">
          <cell r="B593">
            <v>442</v>
          </cell>
          <cell r="C593" t="str">
            <v>C49SZX20190146DZ</v>
          </cell>
          <cell r="D593" t="str">
            <v>皇家显示</v>
          </cell>
          <cell r="E593" t="str">
            <v>YSM40R-4</v>
          </cell>
          <cell r="F593" t="str">
            <v>#04067</v>
          </cell>
          <cell r="G593" t="e">
            <v>#REF!</v>
          </cell>
          <cell r="H593" t="e">
            <v>#REF!</v>
          </cell>
          <cell r="I593" t="str">
            <v>L-&gt;R</v>
          </cell>
          <cell r="J593" t="str">
            <v>No</v>
          </cell>
          <cell r="K593">
            <v>1</v>
          </cell>
          <cell r="L593" t="e">
            <v>#N/A</v>
          </cell>
          <cell r="M593" t="e">
            <v>#N/A</v>
          </cell>
          <cell r="N593"/>
          <cell r="O593"/>
          <cell r="P593"/>
          <cell r="R593" t="str">
            <v>Yes</v>
          </cell>
          <cell r="S593" t="str">
            <v>C49</v>
          </cell>
          <cell r="T593" t="str">
            <v>SOUTH</v>
          </cell>
          <cell r="U593" t="str">
            <v>深圳</v>
          </cell>
          <cell r="V593" t="str">
            <v>SZ 深圳</v>
          </cell>
          <cell r="W593" t="str">
            <v>DZ</v>
          </cell>
          <cell r="X593" t="str">
            <v>RMB</v>
          </cell>
          <cell r="Y593">
            <v>1416800</v>
          </cell>
          <cell r="Z593">
            <v>1.1299999999999999</v>
          </cell>
          <cell r="AA593">
            <v>1416800</v>
          </cell>
          <cell r="AB593">
            <v>1.095</v>
          </cell>
          <cell r="AC593">
            <v>1372916.814159292</v>
          </cell>
          <cell r="AD593">
            <v>164750.01769911504</v>
          </cell>
          <cell r="AE593">
            <v>0.12</v>
          </cell>
          <cell r="AF593">
            <v>43750</v>
          </cell>
          <cell r="AG593" t="str">
            <v>含税到厂</v>
          </cell>
          <cell r="AI593"/>
          <cell r="AJ593"/>
          <cell r="AK593">
            <v>0.3</v>
          </cell>
          <cell r="AL593">
            <v>425040</v>
          </cell>
          <cell r="AM593"/>
          <cell r="AN593" t="str">
            <v>No</v>
          </cell>
          <cell r="AO593">
            <v>0.35</v>
          </cell>
          <cell r="AP593">
            <v>495879.99999999994</v>
          </cell>
          <cell r="AR593"/>
          <cell r="AS593">
            <v>0.35</v>
          </cell>
          <cell r="AT593">
            <v>495879.99999999994</v>
          </cell>
          <cell r="AV593"/>
          <cell r="AX593" t="str">
            <v>Cancel</v>
          </cell>
          <cell r="AY593"/>
          <cell r="AZ593"/>
          <cell r="BA593"/>
        </row>
        <row r="594">
          <cell r="B594">
            <v>443</v>
          </cell>
          <cell r="C594" t="str">
            <v>C49SZX20190146DZ</v>
          </cell>
          <cell r="D594" t="str">
            <v>皇家显示</v>
          </cell>
          <cell r="E594" t="str">
            <v>YSM40R-4</v>
          </cell>
          <cell r="F594" t="str">
            <v>#04067</v>
          </cell>
          <cell r="G594" t="e">
            <v>#REF!</v>
          </cell>
          <cell r="H594" t="e">
            <v>#REF!</v>
          </cell>
          <cell r="I594" t="str">
            <v>L-&gt;R</v>
          </cell>
          <cell r="J594" t="str">
            <v>No</v>
          </cell>
          <cell r="K594">
            <v>1</v>
          </cell>
          <cell r="L594" t="e">
            <v>#N/A</v>
          </cell>
          <cell r="M594" t="e">
            <v>#N/A</v>
          </cell>
          <cell r="N594"/>
          <cell r="O594"/>
          <cell r="P594"/>
          <cell r="R594" t="str">
            <v>Yes</v>
          </cell>
          <cell r="S594" t="str">
            <v>C49</v>
          </cell>
          <cell r="T594" t="str">
            <v>SOUTH</v>
          </cell>
          <cell r="U594" t="str">
            <v>深圳</v>
          </cell>
          <cell r="V594" t="str">
            <v>SZ 深圳</v>
          </cell>
          <cell r="W594" t="str">
            <v>DZ</v>
          </cell>
          <cell r="X594" t="str">
            <v>RMB</v>
          </cell>
          <cell r="Y594">
            <v>1416800</v>
          </cell>
          <cell r="Z594">
            <v>1.1299999999999999</v>
          </cell>
          <cell r="AA594">
            <v>1416800</v>
          </cell>
          <cell r="AB594">
            <v>1.095</v>
          </cell>
          <cell r="AC594">
            <v>1372916.814159292</v>
          </cell>
          <cell r="AD594">
            <v>164750.01769911504</v>
          </cell>
          <cell r="AE594">
            <v>0.12</v>
          </cell>
          <cell r="AF594">
            <v>43750</v>
          </cell>
          <cell r="AG594" t="str">
            <v>含税到厂</v>
          </cell>
          <cell r="AI594"/>
          <cell r="AJ594"/>
          <cell r="AK594">
            <v>0.3</v>
          </cell>
          <cell r="AL594">
            <v>425040</v>
          </cell>
          <cell r="AM594"/>
          <cell r="AN594" t="str">
            <v>No</v>
          </cell>
          <cell r="AO594">
            <v>0.35</v>
          </cell>
          <cell r="AP594">
            <v>495879.99999999994</v>
          </cell>
          <cell r="AR594"/>
          <cell r="AS594">
            <v>0.35</v>
          </cell>
          <cell r="AT594">
            <v>495879.99999999994</v>
          </cell>
          <cell r="AV594"/>
          <cell r="AX594" t="str">
            <v>Cancel</v>
          </cell>
          <cell r="AY594"/>
          <cell r="AZ594"/>
          <cell r="BA594"/>
        </row>
        <row r="595">
          <cell r="B595">
            <v>444</v>
          </cell>
          <cell r="C595" t="str">
            <v>C49SZX20190146DZ</v>
          </cell>
          <cell r="D595" t="str">
            <v>皇家显示</v>
          </cell>
          <cell r="E595" t="str">
            <v>YSM40R-4</v>
          </cell>
          <cell r="F595" t="str">
            <v>#04067</v>
          </cell>
          <cell r="G595" t="e">
            <v>#REF!</v>
          </cell>
          <cell r="H595" t="e">
            <v>#REF!</v>
          </cell>
          <cell r="I595" t="str">
            <v>L-&gt;R</v>
          </cell>
          <cell r="J595" t="str">
            <v>No</v>
          </cell>
          <cell r="K595">
            <v>1</v>
          </cell>
          <cell r="L595" t="e">
            <v>#N/A</v>
          </cell>
          <cell r="M595" t="e">
            <v>#N/A</v>
          </cell>
          <cell r="N595"/>
          <cell r="O595"/>
          <cell r="P595"/>
          <cell r="R595" t="str">
            <v>Yes</v>
          </cell>
          <cell r="S595" t="str">
            <v>C49</v>
          </cell>
          <cell r="T595" t="str">
            <v>SOUTH</v>
          </cell>
          <cell r="U595" t="str">
            <v>深圳</v>
          </cell>
          <cell r="V595" t="str">
            <v>SZ 深圳</v>
          </cell>
          <cell r="W595" t="str">
            <v>DZ</v>
          </cell>
          <cell r="X595" t="str">
            <v>RMB</v>
          </cell>
          <cell r="Y595">
            <v>1416800</v>
          </cell>
          <cell r="Z595">
            <v>1.1299999999999999</v>
          </cell>
          <cell r="AA595">
            <v>1416800</v>
          </cell>
          <cell r="AB595">
            <v>1.095</v>
          </cell>
          <cell r="AC595">
            <v>1372916.814159292</v>
          </cell>
          <cell r="AD595">
            <v>164750.01769911504</v>
          </cell>
          <cell r="AE595">
            <v>0.12</v>
          </cell>
          <cell r="AF595">
            <v>43750</v>
          </cell>
          <cell r="AG595" t="str">
            <v>含税到厂</v>
          </cell>
          <cell r="AI595"/>
          <cell r="AJ595"/>
          <cell r="AK595">
            <v>0.3</v>
          </cell>
          <cell r="AL595">
            <v>425040</v>
          </cell>
          <cell r="AM595"/>
          <cell r="AN595" t="str">
            <v>No</v>
          </cell>
          <cell r="AO595">
            <v>0.35</v>
          </cell>
          <cell r="AP595">
            <v>495879.99999999994</v>
          </cell>
          <cell r="AR595"/>
          <cell r="AS595">
            <v>0.35</v>
          </cell>
          <cell r="AT595">
            <v>495879.99999999994</v>
          </cell>
          <cell r="AV595"/>
          <cell r="AX595" t="str">
            <v>Cancel</v>
          </cell>
          <cell r="AY595"/>
          <cell r="AZ595"/>
          <cell r="BA595"/>
        </row>
        <row r="596">
          <cell r="B596">
            <v>445</v>
          </cell>
          <cell r="C596" t="str">
            <v>C49SZX20190146DZ</v>
          </cell>
          <cell r="D596" t="str">
            <v>皇家显示</v>
          </cell>
          <cell r="E596" t="str">
            <v>YSM40R-4</v>
          </cell>
          <cell r="F596" t="str">
            <v>#04067</v>
          </cell>
          <cell r="G596" t="e">
            <v>#REF!</v>
          </cell>
          <cell r="H596" t="e">
            <v>#REF!</v>
          </cell>
          <cell r="I596" t="str">
            <v>L-&gt;R</v>
          </cell>
          <cell r="J596" t="str">
            <v>No</v>
          </cell>
          <cell r="K596">
            <v>1</v>
          </cell>
          <cell r="L596" t="e">
            <v>#N/A</v>
          </cell>
          <cell r="M596" t="e">
            <v>#N/A</v>
          </cell>
          <cell r="N596"/>
          <cell r="O596"/>
          <cell r="P596"/>
          <cell r="R596" t="str">
            <v>Yes</v>
          </cell>
          <cell r="S596" t="str">
            <v>C49</v>
          </cell>
          <cell r="T596" t="str">
            <v>SOUTH</v>
          </cell>
          <cell r="U596" t="str">
            <v>深圳</v>
          </cell>
          <cell r="V596" t="str">
            <v>SZ 深圳</v>
          </cell>
          <cell r="W596" t="str">
            <v>DZ</v>
          </cell>
          <cell r="X596" t="str">
            <v>RMB</v>
          </cell>
          <cell r="Y596">
            <v>1416800</v>
          </cell>
          <cell r="Z596">
            <v>1.1299999999999999</v>
          </cell>
          <cell r="AA596">
            <v>1416800</v>
          </cell>
          <cell r="AB596">
            <v>1.095</v>
          </cell>
          <cell r="AC596">
            <v>1372916.814159292</v>
          </cell>
          <cell r="AD596">
            <v>164750.01769911504</v>
          </cell>
          <cell r="AE596">
            <v>0.12</v>
          </cell>
          <cell r="AF596">
            <v>43750</v>
          </cell>
          <cell r="AG596" t="str">
            <v>含税到厂</v>
          </cell>
          <cell r="AI596"/>
          <cell r="AJ596"/>
          <cell r="AK596">
            <v>0.3</v>
          </cell>
          <cell r="AL596">
            <v>425040</v>
          </cell>
          <cell r="AM596"/>
          <cell r="AN596" t="str">
            <v>No</v>
          </cell>
          <cell r="AO596">
            <v>0.35</v>
          </cell>
          <cell r="AP596">
            <v>495879.99999999994</v>
          </cell>
          <cell r="AR596"/>
          <cell r="AS596">
            <v>0.35</v>
          </cell>
          <cell r="AT596">
            <v>495879.99999999994</v>
          </cell>
          <cell r="AV596"/>
          <cell r="AX596" t="str">
            <v>Cancel</v>
          </cell>
          <cell r="AY596"/>
          <cell r="AZ596"/>
          <cell r="BA596"/>
        </row>
        <row r="597">
          <cell r="B597">
            <v>446</v>
          </cell>
          <cell r="C597" t="str">
            <v>C49SZX20190146DZ</v>
          </cell>
          <cell r="D597" t="str">
            <v>皇家显示</v>
          </cell>
          <cell r="E597" t="str">
            <v>YSM40R-4</v>
          </cell>
          <cell r="F597" t="str">
            <v>#04067</v>
          </cell>
          <cell r="G597" t="e">
            <v>#REF!</v>
          </cell>
          <cell r="H597" t="e">
            <v>#REF!</v>
          </cell>
          <cell r="I597" t="str">
            <v>L-&gt;R</v>
          </cell>
          <cell r="J597" t="str">
            <v>No</v>
          </cell>
          <cell r="K597">
            <v>1</v>
          </cell>
          <cell r="L597" t="e">
            <v>#N/A</v>
          </cell>
          <cell r="M597" t="e">
            <v>#N/A</v>
          </cell>
          <cell r="N597"/>
          <cell r="O597"/>
          <cell r="P597"/>
          <cell r="R597" t="str">
            <v>Yes</v>
          </cell>
          <cell r="S597" t="str">
            <v>C49</v>
          </cell>
          <cell r="T597" t="str">
            <v>SOUTH</v>
          </cell>
          <cell r="U597" t="str">
            <v>深圳</v>
          </cell>
          <cell r="V597" t="str">
            <v>SZ 深圳</v>
          </cell>
          <cell r="W597" t="str">
            <v>DZ</v>
          </cell>
          <cell r="X597" t="str">
            <v>RMB</v>
          </cell>
          <cell r="Y597">
            <v>1416800</v>
          </cell>
          <cell r="Z597">
            <v>1.1299999999999999</v>
          </cell>
          <cell r="AA597">
            <v>1416800</v>
          </cell>
          <cell r="AB597">
            <v>1.095</v>
          </cell>
          <cell r="AC597">
            <v>1372916.814159292</v>
          </cell>
          <cell r="AD597">
            <v>164750.01769911504</v>
          </cell>
          <cell r="AE597">
            <v>0.12</v>
          </cell>
          <cell r="AF597">
            <v>43750</v>
          </cell>
          <cell r="AG597" t="str">
            <v>含税到厂</v>
          </cell>
          <cell r="AI597"/>
          <cell r="AJ597"/>
          <cell r="AK597">
            <v>0.3</v>
          </cell>
          <cell r="AL597">
            <v>425040</v>
          </cell>
          <cell r="AM597"/>
          <cell r="AN597" t="str">
            <v>No</v>
          </cell>
          <cell r="AO597">
            <v>0.35</v>
          </cell>
          <cell r="AP597">
            <v>495879.99999999994</v>
          </cell>
          <cell r="AR597"/>
          <cell r="AS597">
            <v>0.35</v>
          </cell>
          <cell r="AT597">
            <v>495879.99999999994</v>
          </cell>
          <cell r="AV597"/>
          <cell r="AX597" t="str">
            <v>Cancel</v>
          </cell>
          <cell r="AY597"/>
          <cell r="AZ597"/>
          <cell r="BA597"/>
        </row>
        <row r="598">
          <cell r="B598">
            <v>447</v>
          </cell>
          <cell r="C598" t="str">
            <v>C49SZX20190146DZ</v>
          </cell>
          <cell r="D598" t="str">
            <v>皇家显示</v>
          </cell>
          <cell r="E598" t="str">
            <v>YSM40R-4</v>
          </cell>
          <cell r="F598" t="str">
            <v>#04067</v>
          </cell>
          <cell r="G598" t="e">
            <v>#REF!</v>
          </cell>
          <cell r="H598" t="e">
            <v>#REF!</v>
          </cell>
          <cell r="I598" t="str">
            <v>L-&gt;R</v>
          </cell>
          <cell r="J598" t="str">
            <v>No</v>
          </cell>
          <cell r="K598">
            <v>1</v>
          </cell>
          <cell r="L598" t="e">
            <v>#N/A</v>
          </cell>
          <cell r="M598" t="e">
            <v>#N/A</v>
          </cell>
          <cell r="N598"/>
          <cell r="O598"/>
          <cell r="P598"/>
          <cell r="R598" t="str">
            <v>Yes</v>
          </cell>
          <cell r="S598" t="str">
            <v>C49</v>
          </cell>
          <cell r="T598" t="str">
            <v>SOUTH</v>
          </cell>
          <cell r="U598" t="str">
            <v>深圳</v>
          </cell>
          <cell r="V598" t="str">
            <v>SZ 深圳</v>
          </cell>
          <cell r="W598" t="str">
            <v>DZ</v>
          </cell>
          <cell r="X598" t="str">
            <v>RMB</v>
          </cell>
          <cell r="Y598">
            <v>1416800</v>
          </cell>
          <cell r="Z598">
            <v>1.1299999999999999</v>
          </cell>
          <cell r="AA598">
            <v>1416800</v>
          </cell>
          <cell r="AB598">
            <v>1.095</v>
          </cell>
          <cell r="AC598">
            <v>1372916.814159292</v>
          </cell>
          <cell r="AD598">
            <v>164750.01769911504</v>
          </cell>
          <cell r="AE598">
            <v>0.12</v>
          </cell>
          <cell r="AF598">
            <v>43750</v>
          </cell>
          <cell r="AG598" t="str">
            <v>含税到厂</v>
          </cell>
          <cell r="AI598"/>
          <cell r="AJ598"/>
          <cell r="AK598">
            <v>0.3</v>
          </cell>
          <cell r="AL598">
            <v>425040</v>
          </cell>
          <cell r="AM598"/>
          <cell r="AN598" t="str">
            <v>No</v>
          </cell>
          <cell r="AO598">
            <v>0.35</v>
          </cell>
          <cell r="AP598">
            <v>495879.99999999994</v>
          </cell>
          <cell r="AR598"/>
          <cell r="AS598">
            <v>0.35</v>
          </cell>
          <cell r="AT598">
            <v>495879.99999999994</v>
          </cell>
          <cell r="AV598"/>
          <cell r="AX598" t="str">
            <v>Cancel</v>
          </cell>
          <cell r="AY598"/>
          <cell r="AZ598"/>
          <cell r="BA598"/>
        </row>
        <row r="599">
          <cell r="B599">
            <v>448</v>
          </cell>
          <cell r="C599" t="str">
            <v>C49SZX20190147DZ</v>
          </cell>
          <cell r="D599" t="str">
            <v>皇家显示</v>
          </cell>
          <cell r="E599" t="str">
            <v>YSM40R-4</v>
          </cell>
          <cell r="F599" t="str">
            <v>#04067</v>
          </cell>
          <cell r="G599" t="e">
            <v>#REF!</v>
          </cell>
          <cell r="H599" t="e">
            <v>#REF!</v>
          </cell>
          <cell r="I599" t="str">
            <v>L-&gt;R</v>
          </cell>
          <cell r="J599" t="str">
            <v>No</v>
          </cell>
          <cell r="K599">
            <v>1</v>
          </cell>
          <cell r="L599" t="e">
            <v>#N/A</v>
          </cell>
          <cell r="M599" t="e">
            <v>#N/A</v>
          </cell>
          <cell r="N599"/>
          <cell r="O599"/>
          <cell r="P599"/>
          <cell r="R599" t="str">
            <v>Yes</v>
          </cell>
          <cell r="S599" t="str">
            <v>C49</v>
          </cell>
          <cell r="T599" t="str">
            <v>SOUTH</v>
          </cell>
          <cell r="U599" t="str">
            <v>深圳</v>
          </cell>
          <cell r="V599" t="str">
            <v>SZ 深圳</v>
          </cell>
          <cell r="W599" t="str">
            <v>DZ</v>
          </cell>
          <cell r="X599" t="str">
            <v>JPY</v>
          </cell>
          <cell r="Y599">
            <v>18880000</v>
          </cell>
          <cell r="Z599">
            <v>1</v>
          </cell>
          <cell r="AA599">
            <v>18880000</v>
          </cell>
          <cell r="AB599">
            <v>7.4099999999999999E-2</v>
          </cell>
          <cell r="AC599">
            <v>1399008</v>
          </cell>
          <cell r="AD599">
            <v>167880.95999999999</v>
          </cell>
          <cell r="AE599">
            <v>0.12</v>
          </cell>
          <cell r="AF599">
            <v>43750</v>
          </cell>
          <cell r="AG599" t="str">
            <v>CIF HK</v>
          </cell>
          <cell r="AI599"/>
          <cell r="AJ599"/>
          <cell r="AK599">
            <v>0.3</v>
          </cell>
          <cell r="AL599">
            <v>5664000</v>
          </cell>
          <cell r="AM599"/>
          <cell r="AN599" t="str">
            <v>No</v>
          </cell>
          <cell r="AO599">
            <v>0.7</v>
          </cell>
          <cell r="AP599">
            <v>13216000</v>
          </cell>
          <cell r="AR599"/>
          <cell r="AS599"/>
          <cell r="AT599">
            <v>0</v>
          </cell>
          <cell r="AV599"/>
          <cell r="AX599" t="str">
            <v>Cancel</v>
          </cell>
          <cell r="AY599"/>
          <cell r="AZ599"/>
          <cell r="BA599"/>
        </row>
        <row r="600">
          <cell r="B600">
            <v>449</v>
          </cell>
          <cell r="C600" t="str">
            <v>C49SZX20190147DZ</v>
          </cell>
          <cell r="D600" t="str">
            <v>皇家显示</v>
          </cell>
          <cell r="E600" t="str">
            <v>YSM40R-4</v>
          </cell>
          <cell r="F600" t="str">
            <v>#04067</v>
          </cell>
          <cell r="G600" t="e">
            <v>#REF!</v>
          </cell>
          <cell r="H600" t="e">
            <v>#REF!</v>
          </cell>
          <cell r="I600" t="str">
            <v>L-&gt;R</v>
          </cell>
          <cell r="J600" t="str">
            <v>No</v>
          </cell>
          <cell r="K600">
            <v>1</v>
          </cell>
          <cell r="L600" t="e">
            <v>#N/A</v>
          </cell>
          <cell r="M600" t="e">
            <v>#N/A</v>
          </cell>
          <cell r="N600"/>
          <cell r="O600"/>
          <cell r="P600"/>
          <cell r="R600" t="str">
            <v>Yes</v>
          </cell>
          <cell r="S600" t="str">
            <v>C49</v>
          </cell>
          <cell r="T600" t="str">
            <v>SOUTH</v>
          </cell>
          <cell r="U600" t="str">
            <v>深圳</v>
          </cell>
          <cell r="V600" t="str">
            <v>SZ 深圳</v>
          </cell>
          <cell r="W600" t="str">
            <v>DZ</v>
          </cell>
          <cell r="X600" t="str">
            <v>JPY</v>
          </cell>
          <cell r="Y600">
            <v>18880000</v>
          </cell>
          <cell r="Z600">
            <v>1</v>
          </cell>
          <cell r="AA600">
            <v>18880000</v>
          </cell>
          <cell r="AB600">
            <v>7.4099999999999999E-2</v>
          </cell>
          <cell r="AC600">
            <v>1399008</v>
          </cell>
          <cell r="AD600">
            <v>167880.95999999999</v>
          </cell>
          <cell r="AE600">
            <v>0.12</v>
          </cell>
          <cell r="AF600">
            <v>43750</v>
          </cell>
          <cell r="AG600" t="str">
            <v>CIF HK</v>
          </cell>
          <cell r="AI600"/>
          <cell r="AJ600"/>
          <cell r="AK600">
            <v>0.3</v>
          </cell>
          <cell r="AL600">
            <v>5664000</v>
          </cell>
          <cell r="AM600"/>
          <cell r="AN600" t="str">
            <v>No</v>
          </cell>
          <cell r="AO600">
            <v>0.7</v>
          </cell>
          <cell r="AP600">
            <v>13216000</v>
          </cell>
          <cell r="AR600"/>
          <cell r="AS600"/>
          <cell r="AT600">
            <v>0</v>
          </cell>
          <cell r="AV600"/>
          <cell r="AX600" t="str">
            <v>Cancel</v>
          </cell>
          <cell r="AY600"/>
          <cell r="AZ600"/>
          <cell r="BA600"/>
        </row>
        <row r="601">
          <cell r="B601">
            <v>450</v>
          </cell>
          <cell r="C601" t="str">
            <v>C49SZX20190147DZ</v>
          </cell>
          <cell r="D601" t="str">
            <v>皇家显示</v>
          </cell>
          <cell r="E601" t="str">
            <v>YSM40R-4</v>
          </cell>
          <cell r="F601" t="str">
            <v>#04067</v>
          </cell>
          <cell r="G601" t="e">
            <v>#REF!</v>
          </cell>
          <cell r="H601" t="e">
            <v>#REF!</v>
          </cell>
          <cell r="I601" t="str">
            <v>L-&gt;R</v>
          </cell>
          <cell r="J601" t="str">
            <v>No</v>
          </cell>
          <cell r="K601">
            <v>1</v>
          </cell>
          <cell r="L601" t="e">
            <v>#N/A</v>
          </cell>
          <cell r="M601" t="e">
            <v>#N/A</v>
          </cell>
          <cell r="N601"/>
          <cell r="O601"/>
          <cell r="P601"/>
          <cell r="R601" t="str">
            <v>Yes</v>
          </cell>
          <cell r="S601" t="str">
            <v>C49</v>
          </cell>
          <cell r="T601" t="str">
            <v>SOUTH</v>
          </cell>
          <cell r="U601" t="str">
            <v>深圳</v>
          </cell>
          <cell r="V601" t="str">
            <v>SZ 深圳</v>
          </cell>
          <cell r="W601" t="str">
            <v>DZ</v>
          </cell>
          <cell r="X601" t="str">
            <v>JPY</v>
          </cell>
          <cell r="Y601">
            <v>18880000</v>
          </cell>
          <cell r="Z601">
            <v>1</v>
          </cell>
          <cell r="AA601">
            <v>18880000</v>
          </cell>
          <cell r="AB601">
            <v>7.4099999999999999E-2</v>
          </cell>
          <cell r="AC601">
            <v>1399008</v>
          </cell>
          <cell r="AD601">
            <v>167880.95999999999</v>
          </cell>
          <cell r="AE601">
            <v>0.12</v>
          </cell>
          <cell r="AF601">
            <v>43750</v>
          </cell>
          <cell r="AG601" t="str">
            <v>CIF HK</v>
          </cell>
          <cell r="AI601"/>
          <cell r="AJ601"/>
          <cell r="AK601">
            <v>0.3</v>
          </cell>
          <cell r="AL601">
            <v>5664000</v>
          </cell>
          <cell r="AM601"/>
          <cell r="AN601" t="str">
            <v>No</v>
          </cell>
          <cell r="AO601">
            <v>0.7</v>
          </cell>
          <cell r="AP601">
            <v>13216000</v>
          </cell>
          <cell r="AR601"/>
          <cell r="AS601"/>
          <cell r="AT601">
            <v>0</v>
          </cell>
          <cell r="AV601"/>
          <cell r="AX601" t="str">
            <v>Cancel</v>
          </cell>
          <cell r="AY601"/>
          <cell r="AZ601"/>
          <cell r="BA601"/>
        </row>
        <row r="602">
          <cell r="B602">
            <v>451</v>
          </cell>
          <cell r="C602" t="str">
            <v>C49SZX20190147DZ</v>
          </cell>
          <cell r="D602" t="str">
            <v>皇家显示</v>
          </cell>
          <cell r="E602" t="str">
            <v>YSM40R-4</v>
          </cell>
          <cell r="F602" t="str">
            <v>#04067</v>
          </cell>
          <cell r="G602" t="e">
            <v>#REF!</v>
          </cell>
          <cell r="H602" t="e">
            <v>#REF!</v>
          </cell>
          <cell r="I602" t="str">
            <v>L-&gt;R</v>
          </cell>
          <cell r="J602" t="str">
            <v>No</v>
          </cell>
          <cell r="K602">
            <v>1</v>
          </cell>
          <cell r="L602" t="e">
            <v>#N/A</v>
          </cell>
          <cell r="M602" t="e">
            <v>#N/A</v>
          </cell>
          <cell r="N602"/>
          <cell r="O602"/>
          <cell r="P602"/>
          <cell r="R602" t="str">
            <v>Yes</v>
          </cell>
          <cell r="S602" t="str">
            <v>C49</v>
          </cell>
          <cell r="T602" t="str">
            <v>SOUTH</v>
          </cell>
          <cell r="U602" t="str">
            <v>深圳</v>
          </cell>
          <cell r="V602" t="str">
            <v>SZ 深圳</v>
          </cell>
          <cell r="W602" t="str">
            <v>DZ</v>
          </cell>
          <cell r="X602" t="str">
            <v>JPY</v>
          </cell>
          <cell r="Y602">
            <v>18880000</v>
          </cell>
          <cell r="Z602">
            <v>1</v>
          </cell>
          <cell r="AA602">
            <v>18880000</v>
          </cell>
          <cell r="AB602">
            <v>7.4099999999999999E-2</v>
          </cell>
          <cell r="AC602">
            <v>1399008</v>
          </cell>
          <cell r="AD602">
            <v>167880.95999999999</v>
          </cell>
          <cell r="AE602">
            <v>0.12</v>
          </cell>
          <cell r="AF602">
            <v>43750</v>
          </cell>
          <cell r="AG602" t="str">
            <v>CIF HK</v>
          </cell>
          <cell r="AI602"/>
          <cell r="AJ602"/>
          <cell r="AK602">
            <v>0.3</v>
          </cell>
          <cell r="AL602">
            <v>5664000</v>
          </cell>
          <cell r="AM602"/>
          <cell r="AN602" t="str">
            <v>No</v>
          </cell>
          <cell r="AO602">
            <v>0.7</v>
          </cell>
          <cell r="AP602">
            <v>13216000</v>
          </cell>
          <cell r="AR602"/>
          <cell r="AS602"/>
          <cell r="AT602">
            <v>0</v>
          </cell>
          <cell r="AV602"/>
          <cell r="AX602" t="str">
            <v>Cancel</v>
          </cell>
          <cell r="AY602"/>
          <cell r="AZ602"/>
          <cell r="BA602"/>
        </row>
        <row r="603">
          <cell r="B603">
            <v>452</v>
          </cell>
          <cell r="C603" t="str">
            <v>C49SZX20190147DZ</v>
          </cell>
          <cell r="D603" t="str">
            <v>皇家显示</v>
          </cell>
          <cell r="E603" t="str">
            <v>YSM40R-4</v>
          </cell>
          <cell r="F603" t="str">
            <v>#04067</v>
          </cell>
          <cell r="G603" t="e">
            <v>#REF!</v>
          </cell>
          <cell r="H603" t="e">
            <v>#REF!</v>
          </cell>
          <cell r="I603" t="str">
            <v>L-&gt;R</v>
          </cell>
          <cell r="J603" t="str">
            <v>No</v>
          </cell>
          <cell r="K603">
            <v>1</v>
          </cell>
          <cell r="L603" t="e">
            <v>#N/A</v>
          </cell>
          <cell r="M603" t="e">
            <v>#N/A</v>
          </cell>
          <cell r="N603"/>
          <cell r="O603"/>
          <cell r="P603"/>
          <cell r="R603" t="str">
            <v>Yes</v>
          </cell>
          <cell r="S603" t="str">
            <v>C49</v>
          </cell>
          <cell r="T603" t="str">
            <v>SOUTH</v>
          </cell>
          <cell r="U603" t="str">
            <v>深圳</v>
          </cell>
          <cell r="V603" t="str">
            <v>SZ 深圳</v>
          </cell>
          <cell r="W603" t="str">
            <v>DZ</v>
          </cell>
          <cell r="X603" t="str">
            <v>JPY</v>
          </cell>
          <cell r="Y603">
            <v>18880000</v>
          </cell>
          <cell r="Z603">
            <v>1</v>
          </cell>
          <cell r="AA603">
            <v>18880000</v>
          </cell>
          <cell r="AB603">
            <v>7.4099999999999999E-2</v>
          </cell>
          <cell r="AC603">
            <v>1399008</v>
          </cell>
          <cell r="AD603">
            <v>167880.95999999999</v>
          </cell>
          <cell r="AE603">
            <v>0.12</v>
          </cell>
          <cell r="AF603">
            <v>43750</v>
          </cell>
          <cell r="AG603" t="str">
            <v>CIF HK</v>
          </cell>
          <cell r="AI603"/>
          <cell r="AJ603"/>
          <cell r="AK603">
            <v>0.3</v>
          </cell>
          <cell r="AL603">
            <v>5664000</v>
          </cell>
          <cell r="AM603"/>
          <cell r="AN603" t="str">
            <v>No</v>
          </cell>
          <cell r="AO603">
            <v>0.7</v>
          </cell>
          <cell r="AP603">
            <v>13216000</v>
          </cell>
          <cell r="AR603"/>
          <cell r="AS603"/>
          <cell r="AT603">
            <v>0</v>
          </cell>
          <cell r="AV603"/>
          <cell r="AX603" t="str">
            <v>Cancel</v>
          </cell>
          <cell r="AY603"/>
          <cell r="AZ603"/>
          <cell r="BA603"/>
        </row>
        <row r="604">
          <cell r="B604">
            <v>453</v>
          </cell>
          <cell r="C604" t="str">
            <v>C49SZX20190147DZ</v>
          </cell>
          <cell r="D604" t="str">
            <v>皇家显示</v>
          </cell>
          <cell r="E604" t="str">
            <v>YSM40R-4</v>
          </cell>
          <cell r="F604" t="str">
            <v>#04067</v>
          </cell>
          <cell r="G604" t="e">
            <v>#REF!</v>
          </cell>
          <cell r="H604" t="e">
            <v>#REF!</v>
          </cell>
          <cell r="I604" t="str">
            <v>L-&gt;R</v>
          </cell>
          <cell r="J604" t="str">
            <v>No</v>
          </cell>
          <cell r="K604">
            <v>1</v>
          </cell>
          <cell r="L604" t="e">
            <v>#N/A</v>
          </cell>
          <cell r="M604" t="e">
            <v>#N/A</v>
          </cell>
          <cell r="N604"/>
          <cell r="O604"/>
          <cell r="P604"/>
          <cell r="R604" t="str">
            <v>Yes</v>
          </cell>
          <cell r="S604" t="str">
            <v>C49</v>
          </cell>
          <cell r="T604" t="str">
            <v>SOUTH</v>
          </cell>
          <cell r="U604" t="str">
            <v>深圳</v>
          </cell>
          <cell r="V604" t="str">
            <v>SZ 深圳</v>
          </cell>
          <cell r="W604" t="str">
            <v>DZ</v>
          </cell>
          <cell r="X604" t="str">
            <v>JPY</v>
          </cell>
          <cell r="Y604">
            <v>18880000</v>
          </cell>
          <cell r="Z604">
            <v>1</v>
          </cell>
          <cell r="AA604">
            <v>18880000</v>
          </cell>
          <cell r="AB604">
            <v>7.4099999999999999E-2</v>
          </cell>
          <cell r="AC604">
            <v>1399008</v>
          </cell>
          <cell r="AD604">
            <v>167880.95999999999</v>
          </cell>
          <cell r="AE604">
            <v>0.12</v>
          </cell>
          <cell r="AF604">
            <v>43750</v>
          </cell>
          <cell r="AG604" t="str">
            <v>CIF HK</v>
          </cell>
          <cell r="AI604"/>
          <cell r="AJ604"/>
          <cell r="AK604">
            <v>0.3</v>
          </cell>
          <cell r="AL604">
            <v>5664000</v>
          </cell>
          <cell r="AM604"/>
          <cell r="AN604" t="str">
            <v>No</v>
          </cell>
          <cell r="AO604">
            <v>0.7</v>
          </cell>
          <cell r="AP604">
            <v>13216000</v>
          </cell>
          <cell r="AR604"/>
          <cell r="AS604"/>
          <cell r="AT604">
            <v>0</v>
          </cell>
          <cell r="AV604"/>
          <cell r="AX604" t="str">
            <v>Cancel</v>
          </cell>
          <cell r="AY604"/>
          <cell r="AZ604"/>
          <cell r="BA604"/>
        </row>
        <row r="605">
          <cell r="B605">
            <v>454</v>
          </cell>
          <cell r="C605" t="str">
            <v>C49SZX20190143SX</v>
          </cell>
          <cell r="D605" t="str">
            <v>利速达</v>
          </cell>
          <cell r="E605" t="str">
            <v>YSM10</v>
          </cell>
          <cell r="F605" t="str">
            <v>#82124</v>
          </cell>
          <cell r="G605" t="e">
            <v>#REF!</v>
          </cell>
          <cell r="H605" t="e">
            <v>#REF!</v>
          </cell>
          <cell r="I605" t="str">
            <v>L-&gt;R</v>
          </cell>
          <cell r="J605" t="str">
            <v>MVC</v>
          </cell>
          <cell r="K605">
            <v>1</v>
          </cell>
          <cell r="L605">
            <v>109665</v>
          </cell>
          <cell r="M605" t="str">
            <v>OCT 19</v>
          </cell>
          <cell r="N605">
            <v>43762</v>
          </cell>
          <cell r="O605">
            <v>11116329</v>
          </cell>
          <cell r="P605">
            <v>9100000</v>
          </cell>
          <cell r="Q605">
            <v>43739</v>
          </cell>
          <cell r="R605" t="str">
            <v>No</v>
          </cell>
          <cell r="S605" t="str">
            <v>C49</v>
          </cell>
          <cell r="T605" t="str">
            <v>SOUTH</v>
          </cell>
          <cell r="U605" t="str">
            <v>深圳</v>
          </cell>
          <cell r="V605" t="str">
            <v>SZ 深圳</v>
          </cell>
          <cell r="W605" t="str">
            <v>SX</v>
          </cell>
          <cell r="X605" t="str">
            <v>JPY</v>
          </cell>
          <cell r="Y605">
            <v>9100000</v>
          </cell>
          <cell r="Z605">
            <v>1</v>
          </cell>
          <cell r="AA605">
            <v>9100000</v>
          </cell>
          <cell r="AB605">
            <v>7.4099999999999999E-2</v>
          </cell>
          <cell r="AC605">
            <v>674310</v>
          </cell>
          <cell r="AD605">
            <v>80917.2</v>
          </cell>
          <cell r="AE605">
            <v>0.12</v>
          </cell>
          <cell r="AF605">
            <v>43754</v>
          </cell>
          <cell r="AG605" t="str">
            <v>DAP SZ</v>
          </cell>
          <cell r="AK605">
            <v>0.1</v>
          </cell>
          <cell r="AL605">
            <v>910000</v>
          </cell>
          <cell r="AM605">
            <v>43739</v>
          </cell>
          <cell r="AN605" t="str">
            <v>Yes</v>
          </cell>
          <cell r="AO605">
            <v>0.9</v>
          </cell>
          <cell r="AP605">
            <v>8190000</v>
          </cell>
          <cell r="AQ605">
            <v>43739</v>
          </cell>
          <cell r="AR605">
            <v>43760</v>
          </cell>
          <cell r="AS605"/>
          <cell r="AT605"/>
          <cell r="AX605" t="str">
            <v>Yes</v>
          </cell>
          <cell r="AZ605" t="str">
            <v>Y</v>
          </cell>
          <cell r="BA605" t="str">
            <v>Yes</v>
          </cell>
        </row>
        <row r="606">
          <cell r="B606">
            <v>455</v>
          </cell>
          <cell r="C606" t="str">
            <v>C49SZX20190148SX</v>
          </cell>
          <cell r="D606" t="str">
            <v>悦之彩</v>
          </cell>
          <cell r="E606" t="str">
            <v>YSM20R(SV)-2</v>
          </cell>
          <cell r="F606" t="str">
            <v>#04074</v>
          </cell>
          <cell r="G606" t="e">
            <v>#REF!</v>
          </cell>
          <cell r="H606" t="e">
            <v>#REF!</v>
          </cell>
          <cell r="I606" t="str">
            <v>L-&gt;R</v>
          </cell>
          <cell r="J606" t="str">
            <v>No</v>
          </cell>
          <cell r="K606">
            <v>1</v>
          </cell>
          <cell r="L606">
            <v>109608</v>
          </cell>
          <cell r="M606" t="str">
            <v>NOV 19</v>
          </cell>
          <cell r="N606">
            <v>43776</v>
          </cell>
          <cell r="O606">
            <v>11100351</v>
          </cell>
          <cell r="P606">
            <v>1000000</v>
          </cell>
          <cell r="Q606">
            <v>43770</v>
          </cell>
          <cell r="R606" t="str">
            <v>Yes</v>
          </cell>
          <cell r="S606" t="str">
            <v>C49</v>
          </cell>
          <cell r="T606" t="str">
            <v>SOUTH</v>
          </cell>
          <cell r="U606" t="str">
            <v>深圳</v>
          </cell>
          <cell r="V606" t="str">
            <v>SZ 深圳</v>
          </cell>
          <cell r="W606" t="str">
            <v>SX</v>
          </cell>
          <cell r="X606" t="str">
            <v>RMB</v>
          </cell>
          <cell r="Y606">
            <v>1000000</v>
          </cell>
          <cell r="Z606">
            <v>1.1299999999999999</v>
          </cell>
          <cell r="AA606">
            <v>1000000</v>
          </cell>
          <cell r="AB606">
            <v>1.095</v>
          </cell>
          <cell r="AC606">
            <v>969026.54867256642</v>
          </cell>
          <cell r="AD606">
            <v>116283.18584070797</v>
          </cell>
          <cell r="AE606">
            <v>0.12</v>
          </cell>
          <cell r="AF606">
            <v>43756</v>
          </cell>
          <cell r="AG606" t="str">
            <v>含税到厂</v>
          </cell>
          <cell r="AK606">
            <v>0.2</v>
          </cell>
          <cell r="AL606">
            <v>200000</v>
          </cell>
          <cell r="AM606">
            <v>43739</v>
          </cell>
          <cell r="AN606" t="str">
            <v>Yes</v>
          </cell>
          <cell r="AO606">
            <v>0.8</v>
          </cell>
          <cell r="AP606">
            <v>800000</v>
          </cell>
          <cell r="AQ606">
            <v>43770</v>
          </cell>
          <cell r="AR606">
            <v>43773</v>
          </cell>
          <cell r="AS606">
            <v>0</v>
          </cell>
          <cell r="AT606">
            <v>0</v>
          </cell>
          <cell r="AX606" t="str">
            <v>Yes</v>
          </cell>
          <cell r="AZ606" t="str">
            <v>Y</v>
          </cell>
          <cell r="BA606" t="str">
            <v>Yes</v>
          </cell>
        </row>
        <row r="607">
          <cell r="B607">
            <v>456</v>
          </cell>
          <cell r="C607" t="str">
            <v>C49SZX20190148SX</v>
          </cell>
          <cell r="D607" t="str">
            <v>悦之彩</v>
          </cell>
          <cell r="E607" t="str">
            <v>YSM10</v>
          </cell>
          <cell r="F607" t="str">
            <v>#04074</v>
          </cell>
          <cell r="G607" t="e">
            <v>#REF!</v>
          </cell>
          <cell r="H607" t="e">
            <v>#REF!</v>
          </cell>
          <cell r="I607" t="str">
            <v>L-&gt;R</v>
          </cell>
          <cell r="J607" t="str">
            <v>MVC</v>
          </cell>
          <cell r="K607">
            <v>1</v>
          </cell>
          <cell r="L607">
            <v>109665</v>
          </cell>
          <cell r="M607" t="str">
            <v>NOV 19</v>
          </cell>
          <cell r="N607">
            <v>43776</v>
          </cell>
          <cell r="O607">
            <v>11100351</v>
          </cell>
          <cell r="P607">
            <v>580000</v>
          </cell>
          <cell r="Q607">
            <v>43770</v>
          </cell>
          <cell r="R607" t="str">
            <v>Yes</v>
          </cell>
          <cell r="S607" t="str">
            <v>C49</v>
          </cell>
          <cell r="T607" t="str">
            <v>SOUTH</v>
          </cell>
          <cell r="U607" t="str">
            <v>深圳</v>
          </cell>
          <cell r="V607" t="str">
            <v>SZ 深圳</v>
          </cell>
          <cell r="W607" t="str">
            <v>SX</v>
          </cell>
          <cell r="X607" t="str">
            <v>RMB</v>
          </cell>
          <cell r="Y607">
            <v>580000</v>
          </cell>
          <cell r="Z607">
            <v>1.1299999999999999</v>
          </cell>
          <cell r="AA607">
            <v>580000</v>
          </cell>
          <cell r="AB607">
            <v>1.095</v>
          </cell>
          <cell r="AC607">
            <v>562035.39823008853</v>
          </cell>
          <cell r="AD607">
            <v>67444.247787610628</v>
          </cell>
          <cell r="AE607">
            <v>0.12</v>
          </cell>
          <cell r="AF607">
            <v>43757</v>
          </cell>
          <cell r="AG607" t="str">
            <v>含税到厂</v>
          </cell>
          <cell r="AK607">
            <v>0.2</v>
          </cell>
          <cell r="AL607">
            <v>116000</v>
          </cell>
          <cell r="AM607">
            <v>43739</v>
          </cell>
          <cell r="AN607" t="str">
            <v>Yes</v>
          </cell>
          <cell r="AO607">
            <v>0.8</v>
          </cell>
          <cell r="AP607">
            <v>464000</v>
          </cell>
          <cell r="AQ607">
            <v>43770</v>
          </cell>
          <cell r="AR607">
            <v>43773</v>
          </cell>
          <cell r="AS607">
            <v>0</v>
          </cell>
          <cell r="AT607">
            <v>0</v>
          </cell>
          <cell r="AX607" t="str">
            <v>Yes</v>
          </cell>
          <cell r="AZ607" t="str">
            <v>Y</v>
          </cell>
          <cell r="BA607" t="str">
            <v>Yes</v>
          </cell>
        </row>
        <row r="608">
          <cell r="B608">
            <v>457</v>
          </cell>
          <cell r="C608" t="str">
            <v>C49SZX20190028MZR1</v>
          </cell>
          <cell r="D608" t="str">
            <v>魔乐视/end user:拓普赛特</v>
          </cell>
          <cell r="E608" t="str">
            <v>YSM20R(SV)-2</v>
          </cell>
          <cell r="F608" t="str">
            <v>#03617</v>
          </cell>
          <cell r="G608" t="e">
            <v>#REF!</v>
          </cell>
          <cell r="H608" t="e">
            <v>#REF!</v>
          </cell>
          <cell r="I608" t="str">
            <v>L-&gt;R</v>
          </cell>
          <cell r="J608" t="str">
            <v>No</v>
          </cell>
          <cell r="K608">
            <v>1</v>
          </cell>
          <cell r="L608">
            <v>109721</v>
          </cell>
          <cell r="M608" t="str">
            <v>DEC 19</v>
          </cell>
          <cell r="N608">
            <v>43811</v>
          </cell>
          <cell r="O608">
            <v>11116341</v>
          </cell>
          <cell r="P608">
            <v>15000000</v>
          </cell>
          <cell r="Q608">
            <v>43800</v>
          </cell>
          <cell r="R608" t="str">
            <v>No</v>
          </cell>
          <cell r="S608" t="str">
            <v>C49</v>
          </cell>
          <cell r="T608" t="str">
            <v>SOUTH</v>
          </cell>
          <cell r="U608" t="str">
            <v>深圳</v>
          </cell>
          <cell r="V608" t="str">
            <v>SZ 深圳</v>
          </cell>
          <cell r="W608" t="str">
            <v>MZ</v>
          </cell>
          <cell r="X608" t="str">
            <v>JPY</v>
          </cell>
          <cell r="Y608">
            <v>15000000</v>
          </cell>
          <cell r="Z608">
            <v>1</v>
          </cell>
          <cell r="AA608">
            <v>15000000</v>
          </cell>
          <cell r="AB608">
            <v>7.4099999999999999E-2</v>
          </cell>
          <cell r="AC608">
            <v>1111500</v>
          </cell>
          <cell r="AD608">
            <v>133380</v>
          </cell>
          <cell r="AE608">
            <v>0.12</v>
          </cell>
          <cell r="AF608">
            <v>43762</v>
          </cell>
          <cell r="AG608" t="str">
            <v>DAP SZ</v>
          </cell>
          <cell r="AK608">
            <v>0.2</v>
          </cell>
          <cell r="AL608">
            <v>3000000</v>
          </cell>
          <cell r="AM608">
            <v>43739</v>
          </cell>
          <cell r="AN608" t="str">
            <v>Yes</v>
          </cell>
          <cell r="AO608">
            <v>0.8</v>
          </cell>
          <cell r="AP608">
            <v>12000000</v>
          </cell>
          <cell r="AQ608">
            <v>43800</v>
          </cell>
          <cell r="AR608">
            <v>43810</v>
          </cell>
          <cell r="AS608"/>
          <cell r="AT608"/>
          <cell r="AX608" t="str">
            <v>Yes</v>
          </cell>
        </row>
        <row r="609">
          <cell r="B609">
            <v>458</v>
          </cell>
          <cell r="C609" t="str">
            <v>C49SZX20190028MZR1</v>
          </cell>
          <cell r="D609" t="str">
            <v>魔乐视/end user:拓普赛特</v>
          </cell>
          <cell r="E609" t="str">
            <v>YSM20R(SV)-2</v>
          </cell>
          <cell r="F609" t="str">
            <v>#03617</v>
          </cell>
          <cell r="G609" t="e">
            <v>#REF!</v>
          </cell>
          <cell r="H609" t="e">
            <v>#REF!</v>
          </cell>
          <cell r="I609" t="str">
            <v>R-&gt;L</v>
          </cell>
          <cell r="J609" t="str">
            <v>No</v>
          </cell>
          <cell r="K609">
            <v>1</v>
          </cell>
          <cell r="L609">
            <v>109721</v>
          </cell>
          <cell r="M609" t="str">
            <v>DEC 19</v>
          </cell>
          <cell r="N609">
            <v>43811</v>
          </cell>
          <cell r="O609">
            <v>11116341</v>
          </cell>
          <cell r="P609">
            <v>15000000</v>
          </cell>
          <cell r="Q609">
            <v>43800</v>
          </cell>
          <cell r="R609" t="str">
            <v>No</v>
          </cell>
          <cell r="S609" t="str">
            <v>C49</v>
          </cell>
          <cell r="T609" t="str">
            <v>SOUTH</v>
          </cell>
          <cell r="U609" t="str">
            <v>深圳</v>
          </cell>
          <cell r="V609" t="str">
            <v>SZ 深圳</v>
          </cell>
          <cell r="W609" t="str">
            <v>MZ</v>
          </cell>
          <cell r="X609" t="str">
            <v>JPY</v>
          </cell>
          <cell r="Y609">
            <v>15000000</v>
          </cell>
          <cell r="Z609">
            <v>1</v>
          </cell>
          <cell r="AA609">
            <v>15000000</v>
          </cell>
          <cell r="AB609">
            <v>7.4099999999999999E-2</v>
          </cell>
          <cell r="AC609">
            <v>1111500</v>
          </cell>
          <cell r="AD609">
            <v>133380</v>
          </cell>
          <cell r="AE609">
            <v>0.12</v>
          </cell>
          <cell r="AF609">
            <v>43762</v>
          </cell>
          <cell r="AG609" t="str">
            <v>DAP SZ</v>
          </cell>
          <cell r="AK609">
            <v>0.2</v>
          </cell>
          <cell r="AL609">
            <v>3000000</v>
          </cell>
          <cell r="AM609">
            <v>43740</v>
          </cell>
          <cell r="AN609" t="str">
            <v>Yes</v>
          </cell>
          <cell r="AO609">
            <v>0.8</v>
          </cell>
          <cell r="AP609">
            <v>12000000</v>
          </cell>
          <cell r="AQ609">
            <v>43800</v>
          </cell>
          <cell r="AR609">
            <v>43810</v>
          </cell>
          <cell r="AS609"/>
          <cell r="AT609"/>
          <cell r="AX609" t="str">
            <v>Yes</v>
          </cell>
        </row>
        <row r="610">
          <cell r="B610">
            <v>459</v>
          </cell>
          <cell r="C610" t="str">
            <v>C49SZX20190028MZR1</v>
          </cell>
          <cell r="D610" t="str">
            <v>魔乐视/end user:拓普赛特</v>
          </cell>
          <cell r="E610" t="str">
            <v>YSM10</v>
          </cell>
          <cell r="F610" t="str">
            <v>#03617</v>
          </cell>
          <cell r="G610" t="e">
            <v>#REF!</v>
          </cell>
          <cell r="H610" t="e">
            <v>#REF!</v>
          </cell>
          <cell r="I610" t="str">
            <v>L-&gt;R</v>
          </cell>
          <cell r="J610" t="str">
            <v>MVC+ATS15</v>
          </cell>
          <cell r="K610">
            <v>1</v>
          </cell>
          <cell r="L610">
            <v>109686</v>
          </cell>
          <cell r="M610" t="str">
            <v>DEC 19</v>
          </cell>
          <cell r="N610">
            <v>43811</v>
          </cell>
          <cell r="O610">
            <v>11116341</v>
          </cell>
          <cell r="P610">
            <v>12000000</v>
          </cell>
          <cell r="Q610">
            <v>43800</v>
          </cell>
          <cell r="R610" t="str">
            <v>No</v>
          </cell>
          <cell r="S610" t="str">
            <v>C49</v>
          </cell>
          <cell r="T610" t="str">
            <v>SOUTH</v>
          </cell>
          <cell r="U610" t="str">
            <v>深圳</v>
          </cell>
          <cell r="V610" t="str">
            <v>SZ 深圳</v>
          </cell>
          <cell r="W610" t="str">
            <v>MZ</v>
          </cell>
          <cell r="X610" t="str">
            <v>JPY</v>
          </cell>
          <cell r="Y610">
            <v>12000000</v>
          </cell>
          <cell r="Z610">
            <v>1</v>
          </cell>
          <cell r="AA610">
            <v>12000000</v>
          </cell>
          <cell r="AB610">
            <v>7.4099999999999999E-2</v>
          </cell>
          <cell r="AC610">
            <v>889200</v>
          </cell>
          <cell r="AD610">
            <v>106704</v>
          </cell>
          <cell r="AE610">
            <v>0.12</v>
          </cell>
          <cell r="AF610">
            <v>43762</v>
          </cell>
          <cell r="AG610" t="str">
            <v>DAP SZ</v>
          </cell>
          <cell r="AK610">
            <v>0.2</v>
          </cell>
          <cell r="AL610">
            <v>2400000</v>
          </cell>
          <cell r="AM610">
            <v>43741</v>
          </cell>
          <cell r="AN610" t="str">
            <v>Yes</v>
          </cell>
          <cell r="AO610">
            <v>0.8</v>
          </cell>
          <cell r="AP610">
            <v>9600000</v>
          </cell>
          <cell r="AQ610">
            <v>43800</v>
          </cell>
          <cell r="AR610">
            <v>43810</v>
          </cell>
          <cell r="AS610"/>
          <cell r="AT610"/>
          <cell r="AX610" t="str">
            <v>Yes</v>
          </cell>
        </row>
        <row r="611">
          <cell r="B611">
            <v>460</v>
          </cell>
          <cell r="C611" t="str">
            <v>C49SZX20190028MZR1</v>
          </cell>
          <cell r="D611" t="str">
            <v>魔乐视/end user:拓普赛特</v>
          </cell>
          <cell r="E611" t="str">
            <v>YSM10</v>
          </cell>
          <cell r="F611" t="str">
            <v>#03617</v>
          </cell>
          <cell r="G611" t="e">
            <v>#REF!</v>
          </cell>
          <cell r="H611" t="e">
            <v>#REF!</v>
          </cell>
          <cell r="I611" t="str">
            <v>R-&gt;L</v>
          </cell>
          <cell r="J611" t="str">
            <v>MVC+ATS15</v>
          </cell>
          <cell r="K611">
            <v>1</v>
          </cell>
          <cell r="L611">
            <v>109686</v>
          </cell>
          <cell r="M611" t="str">
            <v>DEC 19</v>
          </cell>
          <cell r="N611">
            <v>43811</v>
          </cell>
          <cell r="O611">
            <v>11116341</v>
          </cell>
          <cell r="P611">
            <v>12000000</v>
          </cell>
          <cell r="Q611">
            <v>43800</v>
          </cell>
          <cell r="R611" t="str">
            <v>No</v>
          </cell>
          <cell r="S611" t="str">
            <v>C49</v>
          </cell>
          <cell r="T611" t="str">
            <v>SOUTH</v>
          </cell>
          <cell r="U611" t="str">
            <v>深圳</v>
          </cell>
          <cell r="V611" t="str">
            <v>SZ 深圳</v>
          </cell>
          <cell r="W611" t="str">
            <v>MZ</v>
          </cell>
          <cell r="X611" t="str">
            <v>JPY</v>
          </cell>
          <cell r="Y611">
            <v>12000000</v>
          </cell>
          <cell r="Z611">
            <v>1</v>
          </cell>
          <cell r="AA611">
            <v>12000000</v>
          </cell>
          <cell r="AB611">
            <v>7.4099999999999999E-2</v>
          </cell>
          <cell r="AC611">
            <v>889200</v>
          </cell>
          <cell r="AD611">
            <v>106704</v>
          </cell>
          <cell r="AE611">
            <v>0.12</v>
          </cell>
          <cell r="AF611">
            <v>43762</v>
          </cell>
          <cell r="AG611" t="str">
            <v>DAP SZ</v>
          </cell>
          <cell r="AK611">
            <v>0.2</v>
          </cell>
          <cell r="AL611">
            <v>2400000</v>
          </cell>
          <cell r="AM611">
            <v>43739</v>
          </cell>
          <cell r="AN611" t="str">
            <v>Yes</v>
          </cell>
          <cell r="AO611">
            <v>0.8</v>
          </cell>
          <cell r="AP611">
            <v>9600000</v>
          </cell>
          <cell r="AQ611">
            <v>43800</v>
          </cell>
          <cell r="AR611">
            <v>43810</v>
          </cell>
          <cell r="AS611"/>
          <cell r="AT611"/>
          <cell r="AX611" t="str">
            <v>Yes</v>
          </cell>
        </row>
        <row r="612">
          <cell r="B612">
            <v>461</v>
          </cell>
          <cell r="C612" t="str">
            <v>C49SZX20190151MZ</v>
          </cell>
          <cell r="D612" t="str">
            <v>魔乐视/end user:拓普赛特</v>
          </cell>
          <cell r="E612" t="str">
            <v>YSM20R(SV)-2</v>
          </cell>
          <cell r="F612" t="str">
            <v>#03617</v>
          </cell>
          <cell r="G612" t="e">
            <v>#REF!</v>
          </cell>
          <cell r="H612" t="e">
            <v>#REF!</v>
          </cell>
          <cell r="I612" t="str">
            <v>L-&gt;R</v>
          </cell>
          <cell r="J612" t="str">
            <v>No</v>
          </cell>
          <cell r="K612">
            <v>1</v>
          </cell>
          <cell r="L612">
            <v>109933</v>
          </cell>
          <cell r="M612" t="str">
            <v>AUG 20</v>
          </cell>
          <cell r="N612">
            <v>44061</v>
          </cell>
          <cell r="O612">
            <v>11116418</v>
          </cell>
          <cell r="P612">
            <v>15000000</v>
          </cell>
          <cell r="Q612">
            <v>44063</v>
          </cell>
          <cell r="R612" t="str">
            <v>No</v>
          </cell>
          <cell r="S612" t="str">
            <v>C49</v>
          </cell>
          <cell r="T612" t="str">
            <v>SOUTH</v>
          </cell>
          <cell r="U612" t="str">
            <v>深圳</v>
          </cell>
          <cell r="V612" t="str">
            <v>SZ 深圳</v>
          </cell>
          <cell r="W612" t="str">
            <v>MZ</v>
          </cell>
          <cell r="X612" t="str">
            <v>JPY</v>
          </cell>
          <cell r="Y612">
            <v>15000000</v>
          </cell>
          <cell r="Z612">
            <v>1</v>
          </cell>
          <cell r="AA612">
            <v>15000000</v>
          </cell>
          <cell r="AB612">
            <v>7.4099999999999999E-2</v>
          </cell>
          <cell r="AC612">
            <v>1111500</v>
          </cell>
          <cell r="AD612">
            <v>133380</v>
          </cell>
          <cell r="AE612">
            <v>0.12</v>
          </cell>
          <cell r="AF612">
            <v>43762</v>
          </cell>
          <cell r="AG612" t="str">
            <v>DAP SZ</v>
          </cell>
          <cell r="AK612">
            <v>0.2</v>
          </cell>
          <cell r="AL612">
            <v>3000000</v>
          </cell>
          <cell r="AM612">
            <v>43984</v>
          </cell>
          <cell r="AN612" t="str">
            <v>Yes</v>
          </cell>
          <cell r="AO612">
            <v>0.8</v>
          </cell>
          <cell r="AP612">
            <v>12000000</v>
          </cell>
          <cell r="AQ612">
            <v>44063</v>
          </cell>
          <cell r="AR612">
            <v>44057</v>
          </cell>
          <cell r="AS612"/>
          <cell r="AT612">
            <v>0</v>
          </cell>
          <cell r="AX612" t="str">
            <v>Yes</v>
          </cell>
          <cell r="AZ612" t="str">
            <v>Y</v>
          </cell>
          <cell r="BA612" t="str">
            <v>Yes</v>
          </cell>
        </row>
        <row r="613">
          <cell r="B613">
            <v>462</v>
          </cell>
          <cell r="C613" t="str">
            <v>C49SZX20190151MZ</v>
          </cell>
          <cell r="D613" t="str">
            <v>魔乐视/end user:拓普赛特</v>
          </cell>
          <cell r="E613" t="str">
            <v>YSM10</v>
          </cell>
          <cell r="F613" t="str">
            <v>#03617</v>
          </cell>
          <cell r="G613" t="e">
            <v>#REF!</v>
          </cell>
          <cell r="H613" t="e">
            <v>#REF!</v>
          </cell>
          <cell r="I613" t="str">
            <v>L-&gt;R</v>
          </cell>
          <cell r="J613" t="str">
            <v>MVC+ATS15</v>
          </cell>
          <cell r="K613">
            <v>1</v>
          </cell>
          <cell r="L613">
            <v>109933</v>
          </cell>
          <cell r="M613" t="str">
            <v>AUG 20</v>
          </cell>
          <cell r="N613">
            <v>44061</v>
          </cell>
          <cell r="O613">
            <v>11116418</v>
          </cell>
          <cell r="P613">
            <v>12000000</v>
          </cell>
          <cell r="Q613">
            <v>44063</v>
          </cell>
          <cell r="R613" t="str">
            <v>No</v>
          </cell>
          <cell r="S613" t="str">
            <v>C49</v>
          </cell>
          <cell r="T613" t="str">
            <v>SOUTH</v>
          </cell>
          <cell r="U613" t="str">
            <v>深圳</v>
          </cell>
          <cell r="V613" t="str">
            <v>SZ 深圳</v>
          </cell>
          <cell r="W613" t="str">
            <v>MZ</v>
          </cell>
          <cell r="X613" t="str">
            <v>JPY</v>
          </cell>
          <cell r="Y613">
            <v>12000000</v>
          </cell>
          <cell r="Z613">
            <v>1</v>
          </cell>
          <cell r="AA613">
            <v>12000000</v>
          </cell>
          <cell r="AB613">
            <v>7.4099999999999999E-2</v>
          </cell>
          <cell r="AC613">
            <v>889200</v>
          </cell>
          <cell r="AD613">
            <v>106704</v>
          </cell>
          <cell r="AE613">
            <v>0.12</v>
          </cell>
          <cell r="AF613">
            <v>43762</v>
          </cell>
          <cell r="AG613" t="str">
            <v>DAP SZ</v>
          </cell>
          <cell r="AK613">
            <v>0.2</v>
          </cell>
          <cell r="AL613">
            <v>2400000</v>
          </cell>
          <cell r="AM613">
            <v>43984</v>
          </cell>
          <cell r="AN613" t="str">
            <v>Yes</v>
          </cell>
          <cell r="AO613">
            <v>0.8</v>
          </cell>
          <cell r="AP613">
            <v>9600000</v>
          </cell>
          <cell r="AQ613">
            <v>44063</v>
          </cell>
          <cell r="AR613">
            <v>44057</v>
          </cell>
          <cell r="AS613"/>
          <cell r="AT613">
            <v>0</v>
          </cell>
          <cell r="AX613" t="str">
            <v>Yes</v>
          </cell>
          <cell r="AZ613" t="str">
            <v>Y</v>
          </cell>
          <cell r="BA613" t="str">
            <v>Yes</v>
          </cell>
        </row>
        <row r="614">
          <cell r="B614">
            <v>463</v>
          </cell>
          <cell r="C614" t="str">
            <v>C49SZX20190152JL</v>
          </cell>
          <cell r="D614" t="str">
            <v>捷舜诚</v>
          </cell>
          <cell r="E614" t="str">
            <v>YSM20R(SV)-2</v>
          </cell>
          <cell r="F614" t="str">
            <v>#71843</v>
          </cell>
          <cell r="G614" t="e">
            <v>#REF!</v>
          </cell>
          <cell r="H614" t="e">
            <v>#REF!</v>
          </cell>
          <cell r="I614" t="str">
            <v>L-&gt;R</v>
          </cell>
          <cell r="J614" t="str">
            <v>No</v>
          </cell>
          <cell r="K614">
            <v>1</v>
          </cell>
          <cell r="L614">
            <v>109608</v>
          </cell>
          <cell r="M614" t="str">
            <v>NOV 19</v>
          </cell>
          <cell r="N614">
            <v>43775</v>
          </cell>
          <cell r="O614">
            <v>11100352</v>
          </cell>
          <cell r="P614">
            <v>891000</v>
          </cell>
          <cell r="Q614">
            <v>43770</v>
          </cell>
          <cell r="R614" t="str">
            <v>No</v>
          </cell>
          <cell r="S614" t="str">
            <v>C49</v>
          </cell>
          <cell r="T614" t="str">
            <v>SOUTH</v>
          </cell>
          <cell r="U614" t="str">
            <v>深圳</v>
          </cell>
          <cell r="V614" t="str">
            <v>SZ 深圳</v>
          </cell>
          <cell r="W614" t="str">
            <v>JL</v>
          </cell>
          <cell r="X614" t="str">
            <v>RMB</v>
          </cell>
          <cell r="Y614">
            <v>891000</v>
          </cell>
          <cell r="Z614">
            <v>1.1299999999999999</v>
          </cell>
          <cell r="AA614">
            <v>891000</v>
          </cell>
          <cell r="AB614">
            <v>1.095</v>
          </cell>
          <cell r="AC614">
            <v>863402.65486725664</v>
          </cell>
          <cell r="AD614">
            <v>103608.31858407079</v>
          </cell>
          <cell r="AE614">
            <v>0.12</v>
          </cell>
          <cell r="AF614">
            <v>43762</v>
          </cell>
          <cell r="AG614" t="str">
            <v>含税到厂</v>
          </cell>
          <cell r="AK614">
            <v>0.2</v>
          </cell>
          <cell r="AL614">
            <v>178200</v>
          </cell>
          <cell r="AM614">
            <v>43768</v>
          </cell>
          <cell r="AN614" t="str">
            <v>Yes</v>
          </cell>
          <cell r="AO614">
            <v>0.8</v>
          </cell>
          <cell r="AP614">
            <v>712800</v>
          </cell>
          <cell r="AQ614">
            <v>43770</v>
          </cell>
          <cell r="AR614">
            <v>43774</v>
          </cell>
          <cell r="AS614">
            <v>0</v>
          </cell>
          <cell r="AX614" t="str">
            <v>Yes</v>
          </cell>
          <cell r="AZ614" t="str">
            <v>Y</v>
          </cell>
          <cell r="BA614" t="str">
            <v>Yes</v>
          </cell>
        </row>
        <row r="615">
          <cell r="B615">
            <v>464</v>
          </cell>
          <cell r="C615" t="str">
            <v>C49SZX20190155JY</v>
          </cell>
          <cell r="D615" t="str">
            <v>海松微</v>
          </cell>
          <cell r="E615" t="str">
            <v>YSM20R(SV)-2</v>
          </cell>
          <cell r="F615" t="str">
            <v>#03950</v>
          </cell>
          <cell r="G615" t="e">
            <v>#REF!</v>
          </cell>
          <cell r="H615" t="e">
            <v>#REF!</v>
          </cell>
          <cell r="I615" t="str">
            <v>L-&gt;R</v>
          </cell>
          <cell r="J615" t="str">
            <v>No</v>
          </cell>
          <cell r="K615">
            <v>1</v>
          </cell>
          <cell r="L615">
            <v>109602</v>
          </cell>
          <cell r="M615" t="str">
            <v>NOV 19</v>
          </cell>
          <cell r="N615">
            <v>43784</v>
          </cell>
          <cell r="O615">
            <v>11116332</v>
          </cell>
          <cell r="P615">
            <v>13760000</v>
          </cell>
          <cell r="Q615">
            <v>43770</v>
          </cell>
          <cell r="R615" t="str">
            <v>No</v>
          </cell>
          <cell r="S615" t="str">
            <v>C49</v>
          </cell>
          <cell r="T615" t="str">
            <v>SOUTH</v>
          </cell>
          <cell r="U615" t="str">
            <v>深圳</v>
          </cell>
          <cell r="V615" t="str">
            <v>SZ 深圳</v>
          </cell>
          <cell r="W615" t="str">
            <v>JY</v>
          </cell>
          <cell r="X615" t="str">
            <v>JPY</v>
          </cell>
          <cell r="Y615">
            <v>13760000</v>
          </cell>
          <cell r="Z615">
            <v>1</v>
          </cell>
          <cell r="AA615">
            <v>13760000</v>
          </cell>
          <cell r="AB615">
            <v>7.4099999999999999E-2</v>
          </cell>
          <cell r="AC615">
            <v>1019616</v>
          </cell>
          <cell r="AD615">
            <v>122353.92</v>
          </cell>
          <cell r="AE615">
            <v>0.12</v>
          </cell>
          <cell r="AF615">
            <v>43763</v>
          </cell>
          <cell r="AG615" t="str">
            <v>DAP SZ</v>
          </cell>
          <cell r="AK615">
            <v>0.1</v>
          </cell>
          <cell r="AL615">
            <v>1376000</v>
          </cell>
          <cell r="AM615">
            <v>43770</v>
          </cell>
          <cell r="AN615" t="str">
            <v>Yes</v>
          </cell>
          <cell r="AO615">
            <v>0.9</v>
          </cell>
          <cell r="AP615">
            <v>12384000</v>
          </cell>
          <cell r="AQ615">
            <v>43770</v>
          </cell>
          <cell r="AR615">
            <v>43783</v>
          </cell>
          <cell r="AT615">
            <v>0</v>
          </cell>
          <cell r="AX615" t="str">
            <v>Yes</v>
          </cell>
          <cell r="AZ615" t="str">
            <v>Y</v>
          </cell>
          <cell r="BA615" t="str">
            <v>Yes</v>
          </cell>
        </row>
        <row r="616">
          <cell r="B616">
            <v>465</v>
          </cell>
          <cell r="C616" t="str">
            <v>C49SZX20190155JY</v>
          </cell>
          <cell r="D616" t="str">
            <v>海松微</v>
          </cell>
          <cell r="E616" t="str">
            <v>YSM10</v>
          </cell>
          <cell r="F616" t="str">
            <v>#03950</v>
          </cell>
          <cell r="G616" t="e">
            <v>#REF!</v>
          </cell>
          <cell r="H616" t="e">
            <v>#REF!</v>
          </cell>
          <cell r="I616" t="str">
            <v>L-&gt;R</v>
          </cell>
          <cell r="J616" t="str">
            <v>MVC</v>
          </cell>
          <cell r="K616">
            <v>1</v>
          </cell>
          <cell r="L616">
            <v>109686</v>
          </cell>
          <cell r="M616" t="str">
            <v>NOV 19</v>
          </cell>
          <cell r="N616">
            <v>43784</v>
          </cell>
          <cell r="O616">
            <v>11116332</v>
          </cell>
          <cell r="P616">
            <v>8000000</v>
          </cell>
          <cell r="Q616">
            <v>43770</v>
          </cell>
          <cell r="R616" t="str">
            <v>No</v>
          </cell>
          <cell r="S616" t="str">
            <v>C49</v>
          </cell>
          <cell r="T616" t="str">
            <v>SOUTH</v>
          </cell>
          <cell r="U616" t="str">
            <v>深圳</v>
          </cell>
          <cell r="V616" t="str">
            <v>SZ 深圳</v>
          </cell>
          <cell r="W616" t="str">
            <v>JY</v>
          </cell>
          <cell r="X616" t="str">
            <v>JPY</v>
          </cell>
          <cell r="Y616">
            <v>8000000</v>
          </cell>
          <cell r="Z616">
            <v>1</v>
          </cell>
          <cell r="AA616">
            <v>8000000</v>
          </cell>
          <cell r="AB616">
            <v>7.4099999999999999E-2</v>
          </cell>
          <cell r="AC616">
            <v>592800</v>
          </cell>
          <cell r="AD616">
            <v>71136</v>
          </cell>
          <cell r="AE616">
            <v>0.12</v>
          </cell>
          <cell r="AF616">
            <v>43763</v>
          </cell>
          <cell r="AG616" t="str">
            <v>DAP SZ</v>
          </cell>
          <cell r="AK616">
            <v>0.1</v>
          </cell>
          <cell r="AL616">
            <v>800000</v>
          </cell>
          <cell r="AM616" t="str">
            <v>201-11</v>
          </cell>
          <cell r="AN616" t="str">
            <v>Yes</v>
          </cell>
          <cell r="AO616">
            <v>0.9</v>
          </cell>
          <cell r="AP616">
            <v>7200000</v>
          </cell>
          <cell r="AQ616">
            <v>43770</v>
          </cell>
          <cell r="AR616">
            <v>43783</v>
          </cell>
          <cell r="AT616">
            <v>0</v>
          </cell>
          <cell r="AX616" t="str">
            <v>Yes</v>
          </cell>
          <cell r="AZ616" t="str">
            <v>Y</v>
          </cell>
          <cell r="BA616" t="str">
            <v>Yes</v>
          </cell>
        </row>
        <row r="617">
          <cell r="B617">
            <v>466</v>
          </cell>
          <cell r="C617" t="str">
            <v>C49SZX20190157CX</v>
          </cell>
          <cell r="D617" t="str">
            <v>钧溢电子</v>
          </cell>
          <cell r="E617" t="str">
            <v>YSM10</v>
          </cell>
          <cell r="F617" t="str">
            <v>NA</v>
          </cell>
          <cell r="G617" t="e">
            <v>#REF!</v>
          </cell>
          <cell r="H617" t="e">
            <v>#REF!</v>
          </cell>
          <cell r="I617" t="str">
            <v>L-&gt;R</v>
          </cell>
          <cell r="J617" t="str">
            <v>MVC</v>
          </cell>
          <cell r="K617">
            <v>1</v>
          </cell>
          <cell r="L617" t="e">
            <v>#N/A</v>
          </cell>
          <cell r="M617" t="e">
            <v>#N/A</v>
          </cell>
          <cell r="N617"/>
          <cell r="O617"/>
          <cell r="P617"/>
          <cell r="Q617"/>
          <cell r="R617" t="str">
            <v>Yes</v>
          </cell>
          <cell r="S617" t="str">
            <v>C49</v>
          </cell>
          <cell r="T617" t="str">
            <v>SOUTH</v>
          </cell>
          <cell r="U617" t="str">
            <v>深圳</v>
          </cell>
          <cell r="V617" t="str">
            <v>SZ 深圳</v>
          </cell>
          <cell r="W617" t="str">
            <v>CX</v>
          </cell>
          <cell r="X617" t="str">
            <v>JPY</v>
          </cell>
          <cell r="Y617">
            <v>9196000</v>
          </cell>
          <cell r="Z617">
            <v>1</v>
          </cell>
          <cell r="AA617">
            <v>9196000</v>
          </cell>
          <cell r="AB617">
            <v>7.3499999999999996E-2</v>
          </cell>
          <cell r="AC617">
            <v>675906</v>
          </cell>
          <cell r="AD617">
            <v>81108.72</v>
          </cell>
          <cell r="AE617">
            <v>0.12</v>
          </cell>
          <cell r="AF617">
            <v>43774</v>
          </cell>
          <cell r="AG617" t="str">
            <v>DAP SZ</v>
          </cell>
          <cell r="AI617"/>
          <cell r="AJ617"/>
          <cell r="AK617">
            <v>0.2</v>
          </cell>
          <cell r="AL617">
            <v>1839200</v>
          </cell>
          <cell r="AM617"/>
          <cell r="AN617" t="str">
            <v>No</v>
          </cell>
          <cell r="AO617">
            <v>0.8</v>
          </cell>
          <cell r="AP617">
            <v>7356800</v>
          </cell>
          <cell r="AQ617"/>
          <cell r="AR617"/>
          <cell r="AS617"/>
          <cell r="AT617">
            <v>0</v>
          </cell>
          <cell r="AV617"/>
          <cell r="AX617" t="str">
            <v>Cancel</v>
          </cell>
          <cell r="AY617"/>
          <cell r="AZ617"/>
          <cell r="BA617"/>
        </row>
        <row r="618">
          <cell r="B618">
            <v>467</v>
          </cell>
          <cell r="C618" t="str">
            <v>C28SZX20190077KC</v>
          </cell>
          <cell r="D618" t="str">
            <v>昱为</v>
          </cell>
          <cell r="E618" t="str">
            <v>Heller 1826MK5</v>
          </cell>
          <cell r="F618" t="str">
            <v>No</v>
          </cell>
          <cell r="G618" t="e">
            <v>#REF!</v>
          </cell>
          <cell r="H618" t="e">
            <v>#REF!</v>
          </cell>
          <cell r="I618" t="str">
            <v>L-&gt;R</v>
          </cell>
          <cell r="J618" t="str">
            <v>No</v>
          </cell>
          <cell r="K618">
            <v>1</v>
          </cell>
          <cell r="L618" t="str">
            <v>B28109742</v>
          </cell>
          <cell r="M618" t="str">
            <v>DEC 19</v>
          </cell>
          <cell r="N618">
            <v>43810</v>
          </cell>
          <cell r="O618">
            <v>11116342</v>
          </cell>
          <cell r="P618">
            <v>50000</v>
          </cell>
          <cell r="Q618">
            <v>43800</v>
          </cell>
          <cell r="R618" t="str">
            <v>Yes</v>
          </cell>
          <cell r="S618" t="str">
            <v>C28</v>
          </cell>
          <cell r="T618" t="str">
            <v>SOUTH</v>
          </cell>
          <cell r="U618" t="str">
            <v>深圳</v>
          </cell>
          <cell r="V618" t="str">
            <v>SZ 深圳</v>
          </cell>
          <cell r="W618" t="str">
            <v>KC</v>
          </cell>
          <cell r="X618" t="str">
            <v>USD</v>
          </cell>
          <cell r="Y618">
            <v>50000</v>
          </cell>
          <cell r="Z618">
            <v>1</v>
          </cell>
          <cell r="AA618">
            <v>50000</v>
          </cell>
          <cell r="AB618">
            <v>7.8</v>
          </cell>
          <cell r="AC618">
            <v>390000</v>
          </cell>
          <cell r="AD618">
            <v>46800</v>
          </cell>
          <cell r="AE618">
            <v>0.12</v>
          </cell>
          <cell r="AF618">
            <v>43770</v>
          </cell>
          <cell r="AG618" t="str">
            <v>CIF 越南</v>
          </cell>
          <cell r="AK618">
            <v>0.3</v>
          </cell>
          <cell r="AL618">
            <v>15000</v>
          </cell>
          <cell r="AM618">
            <v>43770</v>
          </cell>
          <cell r="AN618" t="str">
            <v>Yes</v>
          </cell>
          <cell r="AO618">
            <v>0.7</v>
          </cell>
          <cell r="AP618">
            <v>35000</v>
          </cell>
          <cell r="AQ618">
            <v>43800</v>
          </cell>
          <cell r="AR618">
            <v>43817</v>
          </cell>
          <cell r="AT618">
            <v>0</v>
          </cell>
          <cell r="AX618" t="str">
            <v>Yes</v>
          </cell>
        </row>
        <row r="619">
          <cell r="B619">
            <v>468</v>
          </cell>
          <cell r="C619" t="str">
            <v>C49SZX20190159SS</v>
          </cell>
          <cell r="D619" t="str">
            <v>思迈科技</v>
          </cell>
          <cell r="E619" t="str">
            <v>YSM20R(SV)-2</v>
          </cell>
          <cell r="F619" t="str">
            <v>#80108</v>
          </cell>
          <cell r="G619" t="e">
            <v>#REF!</v>
          </cell>
          <cell r="H619" t="e">
            <v>#REF!</v>
          </cell>
          <cell r="I619" t="str">
            <v>L-&gt;R</v>
          </cell>
          <cell r="J619" t="str">
            <v>No</v>
          </cell>
          <cell r="K619">
            <v>1</v>
          </cell>
          <cell r="L619">
            <v>109664</v>
          </cell>
          <cell r="M619" t="str">
            <v>NOV 19</v>
          </cell>
          <cell r="N619">
            <v>43796</v>
          </cell>
          <cell r="O619">
            <v>11116336</v>
          </cell>
          <cell r="P619">
            <v>11000000</v>
          </cell>
          <cell r="Q619">
            <v>43770</v>
          </cell>
          <cell r="R619" t="str">
            <v>No</v>
          </cell>
          <cell r="S619" t="str">
            <v>C49</v>
          </cell>
          <cell r="T619" t="str">
            <v>SOUTH</v>
          </cell>
          <cell r="U619" t="str">
            <v>深圳</v>
          </cell>
          <cell r="V619" t="str">
            <v>SZ 深圳</v>
          </cell>
          <cell r="W619" t="str">
            <v>SS</v>
          </cell>
          <cell r="X619" t="str">
            <v>JPY</v>
          </cell>
          <cell r="Y619">
            <v>11000000</v>
          </cell>
          <cell r="Z619">
            <v>1</v>
          </cell>
          <cell r="AA619">
            <v>11000000</v>
          </cell>
          <cell r="AB619">
            <v>7.3499999999999996E-2</v>
          </cell>
          <cell r="AC619">
            <v>808500</v>
          </cell>
          <cell r="AD619">
            <v>97020</v>
          </cell>
          <cell r="AE619">
            <v>0.12</v>
          </cell>
          <cell r="AF619">
            <v>43775</v>
          </cell>
          <cell r="AG619" t="str">
            <v>DAP SZ</v>
          </cell>
          <cell r="AK619">
            <v>0.2</v>
          </cell>
          <cell r="AL619">
            <v>2200000</v>
          </cell>
          <cell r="AM619">
            <v>43770</v>
          </cell>
          <cell r="AN619" t="str">
            <v>Yes</v>
          </cell>
          <cell r="AO619">
            <v>0.8</v>
          </cell>
          <cell r="AP619">
            <v>8800000</v>
          </cell>
          <cell r="AQ619">
            <v>43770</v>
          </cell>
          <cell r="AR619">
            <v>43790</v>
          </cell>
          <cell r="AT619">
            <v>0</v>
          </cell>
          <cell r="AX619" t="str">
            <v>Yes</v>
          </cell>
        </row>
        <row r="620">
          <cell r="B620">
            <v>469</v>
          </cell>
          <cell r="C620" t="str">
            <v>C49SZX20190161SX</v>
          </cell>
          <cell r="D620" t="str">
            <v>玮芯电子</v>
          </cell>
          <cell r="E620" t="str">
            <v>YSM20R(SV)-2</v>
          </cell>
          <cell r="F620" t="str">
            <v>#03652</v>
          </cell>
          <cell r="G620" t="e">
            <v>#REF!</v>
          </cell>
          <cell r="H620" t="e">
            <v>#REF!</v>
          </cell>
          <cell r="I620" t="str">
            <v>L-&gt;R</v>
          </cell>
          <cell r="J620" t="str">
            <v>No</v>
          </cell>
          <cell r="K620">
            <v>1</v>
          </cell>
          <cell r="L620">
            <v>109715</v>
          </cell>
          <cell r="M620" t="str">
            <v>NOV 19</v>
          </cell>
          <cell r="N620">
            <v>43784</v>
          </cell>
          <cell r="O620">
            <v>11116333</v>
          </cell>
          <cell r="P620">
            <v>11200000</v>
          </cell>
          <cell r="Q620">
            <v>43770</v>
          </cell>
          <cell r="R620" t="str">
            <v>No</v>
          </cell>
          <cell r="S620" t="str">
            <v>C49</v>
          </cell>
          <cell r="T620" t="str">
            <v>SOUTH</v>
          </cell>
          <cell r="U620" t="str">
            <v>深圳</v>
          </cell>
          <cell r="V620" t="str">
            <v>SZ 深圳</v>
          </cell>
          <cell r="W620" t="str">
            <v>SX</v>
          </cell>
          <cell r="X620" t="str">
            <v>JPY</v>
          </cell>
          <cell r="Y620">
            <v>11200000</v>
          </cell>
          <cell r="Z620">
            <v>1</v>
          </cell>
          <cell r="AA620">
            <v>11200000</v>
          </cell>
          <cell r="AB620">
            <v>7.3499999999999996E-2</v>
          </cell>
          <cell r="AC620">
            <v>823200</v>
          </cell>
          <cell r="AD620">
            <v>98784</v>
          </cell>
          <cell r="AE620">
            <v>0.12</v>
          </cell>
          <cell r="AF620">
            <v>43775</v>
          </cell>
          <cell r="AG620" t="str">
            <v>DAP SZ</v>
          </cell>
          <cell r="AK620">
            <v>0.2</v>
          </cell>
          <cell r="AL620">
            <v>2240000</v>
          </cell>
          <cell r="AM620">
            <v>43770</v>
          </cell>
          <cell r="AN620" t="str">
            <v>Yes</v>
          </cell>
          <cell r="AO620">
            <v>0.8</v>
          </cell>
          <cell r="AP620">
            <v>8960000</v>
          </cell>
          <cell r="AQ620">
            <v>43770</v>
          </cell>
          <cell r="AR620">
            <v>43782</v>
          </cell>
          <cell r="AS620">
            <v>0</v>
          </cell>
          <cell r="AT620">
            <v>0</v>
          </cell>
          <cell r="AX620" t="str">
            <v>Yes</v>
          </cell>
          <cell r="AZ620" t="str">
            <v>Y</v>
          </cell>
          <cell r="BA620" t="str">
            <v>Yes</v>
          </cell>
        </row>
        <row r="621">
          <cell r="B621">
            <v>470</v>
          </cell>
          <cell r="C621" t="str">
            <v>C49SZX20190116CX</v>
          </cell>
          <cell r="D621" t="str">
            <v>豪恩</v>
          </cell>
          <cell r="E621" t="str">
            <v>YSM20R(SV)-2</v>
          </cell>
          <cell r="F621" t="str">
            <v>#04129</v>
          </cell>
          <cell r="G621" t="e">
            <v>#REF!</v>
          </cell>
          <cell r="H621" t="e">
            <v>#REF!</v>
          </cell>
          <cell r="I621" t="str">
            <v>R-&gt;L</v>
          </cell>
          <cell r="J621" t="str">
            <v>No</v>
          </cell>
          <cell r="K621">
            <v>1</v>
          </cell>
          <cell r="L621">
            <v>109749</v>
          </cell>
          <cell r="M621" t="str">
            <v>APR 20</v>
          </cell>
          <cell r="N621">
            <v>43937</v>
          </cell>
          <cell r="O621">
            <v>11100382</v>
          </cell>
          <cell r="P621">
            <v>1000000</v>
          </cell>
          <cell r="Q621">
            <v>43922</v>
          </cell>
          <cell r="R621" t="str">
            <v>Yes</v>
          </cell>
          <cell r="S621" t="str">
            <v>C49</v>
          </cell>
          <cell r="T621" t="str">
            <v>SOUTH</v>
          </cell>
          <cell r="U621" t="str">
            <v>深圳</v>
          </cell>
          <cell r="V621" t="str">
            <v>SZ 深圳</v>
          </cell>
          <cell r="W621" t="str">
            <v>CX</v>
          </cell>
          <cell r="X621" t="str">
            <v>RMB</v>
          </cell>
          <cell r="Y621">
            <v>1000000</v>
          </cell>
          <cell r="Z621">
            <v>1.1299999999999999</v>
          </cell>
          <cell r="AA621">
            <v>1000000</v>
          </cell>
          <cell r="AB621">
            <v>1.1100000000000001</v>
          </cell>
          <cell r="AC621">
            <v>982300.88495575241</v>
          </cell>
          <cell r="AD621">
            <v>117876.10619469028</v>
          </cell>
          <cell r="AE621">
            <v>0.12</v>
          </cell>
          <cell r="AF621">
            <v>43760</v>
          </cell>
          <cell r="AG621" t="str">
            <v>含税到厂</v>
          </cell>
          <cell r="AK621">
            <v>0.3</v>
          </cell>
          <cell r="AL621">
            <v>300000</v>
          </cell>
          <cell r="AM621">
            <v>43770</v>
          </cell>
          <cell r="AN621" t="str">
            <v>Yes</v>
          </cell>
          <cell r="AO621">
            <v>0.6</v>
          </cell>
          <cell r="AP621">
            <v>600000</v>
          </cell>
          <cell r="AQ621">
            <v>43922</v>
          </cell>
          <cell r="AR621">
            <v>43935</v>
          </cell>
          <cell r="AS621">
            <v>0.1</v>
          </cell>
          <cell r="AT621">
            <v>100000</v>
          </cell>
          <cell r="AZ621" t="str">
            <v>Yes</v>
          </cell>
        </row>
        <row r="622">
          <cell r="B622">
            <v>471</v>
          </cell>
          <cell r="C622" t="str">
            <v>C49SZX20190116CX</v>
          </cell>
          <cell r="D622" t="str">
            <v>豪恩</v>
          </cell>
          <cell r="E622" t="str">
            <v>YSM10</v>
          </cell>
          <cell r="F622" t="str">
            <v>#04129</v>
          </cell>
          <cell r="G622" t="e">
            <v>#REF!</v>
          </cell>
          <cell r="H622" t="e">
            <v>#REF!</v>
          </cell>
          <cell r="I622" t="str">
            <v>R-&gt;L</v>
          </cell>
          <cell r="J622" t="str">
            <v>MVC</v>
          </cell>
          <cell r="K622">
            <v>1</v>
          </cell>
          <cell r="L622">
            <v>109815</v>
          </cell>
          <cell r="M622" t="str">
            <v>APR 20</v>
          </cell>
          <cell r="N622">
            <v>43937</v>
          </cell>
          <cell r="O622">
            <v>11100382</v>
          </cell>
          <cell r="P622">
            <v>800000</v>
          </cell>
          <cell r="Q622">
            <v>43922</v>
          </cell>
          <cell r="R622" t="str">
            <v>Yes</v>
          </cell>
          <cell r="S622" t="str">
            <v>C49</v>
          </cell>
          <cell r="T622" t="str">
            <v>SOUTH</v>
          </cell>
          <cell r="U622" t="str">
            <v>深圳</v>
          </cell>
          <cell r="V622" t="str">
            <v>SZ 深圳</v>
          </cell>
          <cell r="W622" t="str">
            <v>CX</v>
          </cell>
          <cell r="X622" t="str">
            <v>RMB</v>
          </cell>
          <cell r="Y622">
            <v>800000</v>
          </cell>
          <cell r="Z622">
            <v>1.1299999999999999</v>
          </cell>
          <cell r="AA622">
            <v>800000</v>
          </cell>
          <cell r="AB622">
            <v>1.1100000000000001</v>
          </cell>
          <cell r="AC622">
            <v>785840.70796460193</v>
          </cell>
          <cell r="AD622">
            <v>94300.884955752234</v>
          </cell>
          <cell r="AE622">
            <v>0.12</v>
          </cell>
          <cell r="AF622">
            <v>43760</v>
          </cell>
          <cell r="AG622" t="str">
            <v>含税到厂</v>
          </cell>
          <cell r="AK622">
            <v>0.3</v>
          </cell>
          <cell r="AL622">
            <v>240000</v>
          </cell>
          <cell r="AM622">
            <v>43770</v>
          </cell>
          <cell r="AN622" t="str">
            <v>Yes</v>
          </cell>
          <cell r="AO622">
            <v>0.6</v>
          </cell>
          <cell r="AP622">
            <v>480000</v>
          </cell>
          <cell r="AQ622">
            <v>43922</v>
          </cell>
          <cell r="AR622">
            <v>43935</v>
          </cell>
          <cell r="AS622">
            <v>0.1</v>
          </cell>
          <cell r="AT622">
            <v>80000</v>
          </cell>
          <cell r="AZ622" t="str">
            <v>Yes</v>
          </cell>
        </row>
        <row r="623">
          <cell r="B623">
            <v>472</v>
          </cell>
          <cell r="C623" t="str">
            <v>C49SZX20190153JL</v>
          </cell>
          <cell r="D623" t="str">
            <v>硕泰克/end user 铭翔</v>
          </cell>
          <cell r="E623" t="str">
            <v>YSM10</v>
          </cell>
          <cell r="F623" t="str">
            <v>#54542</v>
          </cell>
          <cell r="G623" t="e">
            <v>#REF!</v>
          </cell>
          <cell r="H623" t="e">
            <v>#REF!</v>
          </cell>
          <cell r="I623" t="str">
            <v>L-&gt;R</v>
          </cell>
          <cell r="J623" t="str">
            <v>MVC</v>
          </cell>
          <cell r="K623">
            <v>1</v>
          </cell>
          <cell r="L623">
            <v>109685</v>
          </cell>
          <cell r="M623" t="str">
            <v>NOV 19</v>
          </cell>
          <cell r="N623">
            <v>43790</v>
          </cell>
          <cell r="O623">
            <v>11100359</v>
          </cell>
          <cell r="P623">
            <v>530000</v>
          </cell>
          <cell r="Q623">
            <v>43800</v>
          </cell>
          <cell r="R623" t="str">
            <v>No</v>
          </cell>
          <cell r="S623" t="str">
            <v>C49</v>
          </cell>
          <cell r="T623" t="str">
            <v>SOUTH</v>
          </cell>
          <cell r="U623" t="str">
            <v>深圳</v>
          </cell>
          <cell r="V623" t="str">
            <v>SZ 深圳</v>
          </cell>
          <cell r="W623" t="str">
            <v>JL</v>
          </cell>
          <cell r="X623" t="str">
            <v>RMB</v>
          </cell>
          <cell r="Y623">
            <v>530000</v>
          </cell>
          <cell r="Z623">
            <v>1.1299999999999999</v>
          </cell>
          <cell r="AA623">
            <v>530000</v>
          </cell>
          <cell r="AB623">
            <v>1.1100000000000001</v>
          </cell>
          <cell r="AC623">
            <v>520619.46902654879</v>
          </cell>
          <cell r="AD623">
            <v>62474.336283185854</v>
          </cell>
          <cell r="AE623">
            <v>0.12</v>
          </cell>
          <cell r="AF623">
            <v>43775</v>
          </cell>
          <cell r="AG623" t="str">
            <v>含税到厂</v>
          </cell>
          <cell r="AK623">
            <v>0.3</v>
          </cell>
          <cell r="AL623">
            <v>159000</v>
          </cell>
          <cell r="AM623">
            <v>43770</v>
          </cell>
          <cell r="AN623" t="str">
            <v>Yes</v>
          </cell>
          <cell r="AO623">
            <v>0.65</v>
          </cell>
          <cell r="AP623">
            <v>345000</v>
          </cell>
          <cell r="AQ623">
            <v>43770</v>
          </cell>
          <cell r="AR623">
            <v>43784</v>
          </cell>
          <cell r="AS623" t="str">
            <v>agree</v>
          </cell>
          <cell r="AT623">
            <v>26000</v>
          </cell>
          <cell r="AZ623" t="str">
            <v>Y</v>
          </cell>
        </row>
        <row r="624">
          <cell r="B624">
            <v>473</v>
          </cell>
          <cell r="C624" t="str">
            <v>C49SZX20190153JL</v>
          </cell>
          <cell r="D624" t="str">
            <v>硕泰克/end user 铭翔</v>
          </cell>
          <cell r="E624" t="str">
            <v>YSM10</v>
          </cell>
          <cell r="F624" t="str">
            <v>#54542</v>
          </cell>
          <cell r="G624" t="e">
            <v>#REF!</v>
          </cell>
          <cell r="H624" t="e">
            <v>#REF!</v>
          </cell>
          <cell r="I624" t="str">
            <v>L-&gt;R</v>
          </cell>
          <cell r="J624" t="str">
            <v>MVC</v>
          </cell>
          <cell r="K624">
            <v>1</v>
          </cell>
          <cell r="L624">
            <v>109685</v>
          </cell>
          <cell r="M624" t="str">
            <v>NOV 19</v>
          </cell>
          <cell r="N624">
            <v>43790</v>
          </cell>
          <cell r="O624">
            <v>11100362</v>
          </cell>
          <cell r="P624">
            <v>530000</v>
          </cell>
          <cell r="Q624">
            <v>43800</v>
          </cell>
          <cell r="R624" t="str">
            <v>No</v>
          </cell>
          <cell r="S624" t="str">
            <v>C49</v>
          </cell>
          <cell r="T624" t="str">
            <v>SOUTH</v>
          </cell>
          <cell r="U624" t="str">
            <v>深圳</v>
          </cell>
          <cell r="V624" t="str">
            <v>SZ 深圳</v>
          </cell>
          <cell r="W624" t="str">
            <v>JL</v>
          </cell>
          <cell r="X624" t="str">
            <v>RMB</v>
          </cell>
          <cell r="Y624">
            <v>530000</v>
          </cell>
          <cell r="Z624">
            <v>1.1299999999999999</v>
          </cell>
          <cell r="AA624">
            <v>530000</v>
          </cell>
          <cell r="AB624">
            <v>1.1100000000000001</v>
          </cell>
          <cell r="AC624">
            <v>520619.46902654879</v>
          </cell>
          <cell r="AD624">
            <v>62474.336283185854</v>
          </cell>
          <cell r="AE624">
            <v>0.12</v>
          </cell>
          <cell r="AF624">
            <v>43775</v>
          </cell>
          <cell r="AG624" t="str">
            <v>含税到厂</v>
          </cell>
          <cell r="AK624">
            <v>0.3</v>
          </cell>
          <cell r="AL624">
            <v>159000</v>
          </cell>
          <cell r="AM624">
            <v>43770</v>
          </cell>
          <cell r="AN624" t="str">
            <v>Yes</v>
          </cell>
          <cell r="AO624">
            <v>0.65</v>
          </cell>
          <cell r="AP624">
            <v>344500</v>
          </cell>
          <cell r="AQ624">
            <v>43770</v>
          </cell>
          <cell r="AR624">
            <v>43791</v>
          </cell>
          <cell r="AS624">
            <v>0.05</v>
          </cell>
          <cell r="AT624">
            <v>26500</v>
          </cell>
          <cell r="AZ624" t="str">
            <v>Y</v>
          </cell>
        </row>
        <row r="625">
          <cell r="B625">
            <v>474</v>
          </cell>
          <cell r="C625" t="str">
            <v>C49SZX20190156-1ZX</v>
          </cell>
          <cell r="D625" t="str">
            <v>锘铧</v>
          </cell>
          <cell r="E625" t="str">
            <v>YSM10</v>
          </cell>
          <cell r="F625" t="str">
            <v>#68462</v>
          </cell>
          <cell r="G625" t="e">
            <v>#REF!</v>
          </cell>
          <cell r="H625" t="e">
            <v>#REF!</v>
          </cell>
          <cell r="I625" t="str">
            <v>L-&gt;R</v>
          </cell>
          <cell r="J625" t="str">
            <v>MVC+ATS15</v>
          </cell>
          <cell r="K625">
            <v>1</v>
          </cell>
          <cell r="L625">
            <v>109723</v>
          </cell>
          <cell r="M625" t="str">
            <v>DEC 19</v>
          </cell>
          <cell r="N625">
            <v>43822</v>
          </cell>
          <cell r="O625">
            <v>11116345</v>
          </cell>
          <cell r="P625">
            <v>10000000</v>
          </cell>
          <cell r="Q625">
            <v>43800</v>
          </cell>
          <cell r="R625" t="str">
            <v>No</v>
          </cell>
          <cell r="S625" t="str">
            <v>C49</v>
          </cell>
          <cell r="T625" t="str">
            <v>SOUTH</v>
          </cell>
          <cell r="U625" t="str">
            <v>广州</v>
          </cell>
          <cell r="V625" t="str">
            <v>SZ 深圳</v>
          </cell>
          <cell r="W625" t="str">
            <v>ZX</v>
          </cell>
          <cell r="X625" t="str">
            <v>JPY</v>
          </cell>
          <cell r="Y625">
            <v>10000000</v>
          </cell>
          <cell r="Z625">
            <v>1</v>
          </cell>
          <cell r="AA625">
            <v>10000000</v>
          </cell>
          <cell r="AB625">
            <v>7.3499999999999996E-2</v>
          </cell>
          <cell r="AC625">
            <v>735000</v>
          </cell>
          <cell r="AD625">
            <v>88200</v>
          </cell>
          <cell r="AE625">
            <v>0.12</v>
          </cell>
          <cell r="AF625">
            <v>43774</v>
          </cell>
          <cell r="AG625" t="str">
            <v>DAP GZ</v>
          </cell>
          <cell r="AK625">
            <v>0.1</v>
          </cell>
          <cell r="AL625">
            <v>1000000</v>
          </cell>
          <cell r="AM625">
            <v>43770</v>
          </cell>
          <cell r="AN625" t="str">
            <v>Yes</v>
          </cell>
          <cell r="AO625">
            <v>0.9</v>
          </cell>
          <cell r="AP625">
            <v>9000000</v>
          </cell>
          <cell r="AQ625">
            <v>43800</v>
          </cell>
          <cell r="AR625">
            <v>43819</v>
          </cell>
          <cell r="AT625">
            <v>0</v>
          </cell>
          <cell r="AX625" t="str">
            <v>Yes</v>
          </cell>
        </row>
        <row r="626">
          <cell r="B626">
            <v>475</v>
          </cell>
          <cell r="C626" t="str">
            <v>C49SZX20190156-2ZX</v>
          </cell>
          <cell r="D626" t="str">
            <v>锘铧</v>
          </cell>
          <cell r="E626" t="str">
            <v>YSM10</v>
          </cell>
          <cell r="F626" t="str">
            <v>#68462</v>
          </cell>
          <cell r="G626" t="e">
            <v>#REF!</v>
          </cell>
          <cell r="H626" t="e">
            <v>#REF!</v>
          </cell>
          <cell r="I626" t="str">
            <v>R-&gt;L</v>
          </cell>
          <cell r="J626" t="str">
            <v>MVC+ATS15</v>
          </cell>
          <cell r="K626">
            <v>1</v>
          </cell>
          <cell r="L626">
            <v>109749</v>
          </cell>
          <cell r="M626" t="str">
            <v>FEB 20</v>
          </cell>
          <cell r="N626">
            <v>43886</v>
          </cell>
          <cell r="O626">
            <v>11116354</v>
          </cell>
          <cell r="P626">
            <v>9900000</v>
          </cell>
          <cell r="Q626">
            <v>43862</v>
          </cell>
          <cell r="R626" t="str">
            <v>No</v>
          </cell>
          <cell r="S626" t="str">
            <v>C49</v>
          </cell>
          <cell r="T626" t="str">
            <v>SOUTH</v>
          </cell>
          <cell r="U626" t="str">
            <v>广州</v>
          </cell>
          <cell r="V626" t="str">
            <v>SZ 深圳</v>
          </cell>
          <cell r="W626" t="str">
            <v>ZX</v>
          </cell>
          <cell r="X626" t="str">
            <v>JPY</v>
          </cell>
          <cell r="Y626">
            <v>9900000</v>
          </cell>
          <cell r="Z626">
            <v>1</v>
          </cell>
          <cell r="AA626">
            <v>10000000</v>
          </cell>
          <cell r="AB626">
            <v>7.3499999999999996E-2</v>
          </cell>
          <cell r="AC626">
            <v>735000</v>
          </cell>
          <cell r="AD626">
            <v>88200</v>
          </cell>
          <cell r="AE626">
            <v>0.12</v>
          </cell>
          <cell r="AF626">
            <v>43774</v>
          </cell>
          <cell r="AG626" t="str">
            <v>DAP GZ</v>
          </cell>
          <cell r="AK626" t="str">
            <v>agree</v>
          </cell>
          <cell r="AL626">
            <v>1000000</v>
          </cell>
          <cell r="AM626">
            <v>43770</v>
          </cell>
          <cell r="AN626" t="str">
            <v>Yes</v>
          </cell>
          <cell r="AO626">
            <v>0.9</v>
          </cell>
          <cell r="AP626">
            <v>9000000</v>
          </cell>
          <cell r="AQ626">
            <v>43862</v>
          </cell>
          <cell r="AR626">
            <v>43881</v>
          </cell>
          <cell r="AX626" t="str">
            <v>Yes</v>
          </cell>
        </row>
        <row r="627">
          <cell r="B627">
            <v>476</v>
          </cell>
          <cell r="C627" t="str">
            <v>C49SZX20190156-1ZX</v>
          </cell>
          <cell r="D627" t="str">
            <v>锘铧</v>
          </cell>
          <cell r="E627" t="str">
            <v>YSM20R(SV)-2</v>
          </cell>
          <cell r="F627" t="str">
            <v>#68462</v>
          </cell>
          <cell r="G627" t="e">
            <v>#REF!</v>
          </cell>
          <cell r="H627" t="e">
            <v>#REF!</v>
          </cell>
          <cell r="I627" t="str">
            <v>L-&gt;R</v>
          </cell>
          <cell r="J627" t="str">
            <v>No</v>
          </cell>
          <cell r="K627">
            <v>1</v>
          </cell>
          <cell r="L627">
            <v>109715</v>
          </cell>
          <cell r="M627" t="str">
            <v>DEC 19</v>
          </cell>
          <cell r="N627">
            <v>43822</v>
          </cell>
          <cell r="O627">
            <v>11116345</v>
          </cell>
          <cell r="P627">
            <v>12750000</v>
          </cell>
          <cell r="Q627">
            <v>43800</v>
          </cell>
          <cell r="R627" t="str">
            <v>No</v>
          </cell>
          <cell r="S627" t="str">
            <v>C49</v>
          </cell>
          <cell r="T627" t="str">
            <v>SOUTH</v>
          </cell>
          <cell r="U627" t="str">
            <v>广州</v>
          </cell>
          <cell r="V627" t="str">
            <v>SZ 深圳</v>
          </cell>
          <cell r="W627" t="str">
            <v>ZX</v>
          </cell>
          <cell r="X627" t="str">
            <v>JPY</v>
          </cell>
          <cell r="Y627">
            <v>12750000</v>
          </cell>
          <cell r="Z627">
            <v>1</v>
          </cell>
          <cell r="AA627">
            <v>12640000</v>
          </cell>
          <cell r="AB627">
            <v>7.3499999999999996E-2</v>
          </cell>
          <cell r="AC627">
            <v>929040</v>
          </cell>
          <cell r="AD627">
            <v>111484.8</v>
          </cell>
          <cell r="AE627">
            <v>0.12</v>
          </cell>
          <cell r="AF627">
            <v>43774</v>
          </cell>
          <cell r="AG627" t="str">
            <v>DAP GZ</v>
          </cell>
          <cell r="AK627">
            <v>0.1</v>
          </cell>
          <cell r="AL627">
            <v>1275000</v>
          </cell>
          <cell r="AM627">
            <v>43770</v>
          </cell>
          <cell r="AN627" t="str">
            <v>Yes</v>
          </cell>
          <cell r="AO627">
            <v>0.9</v>
          </cell>
          <cell r="AP627">
            <v>11376000</v>
          </cell>
          <cell r="AQ627">
            <v>43800</v>
          </cell>
          <cell r="AR627">
            <v>43819</v>
          </cell>
          <cell r="AX627" t="str">
            <v>Yes</v>
          </cell>
        </row>
        <row r="628">
          <cell r="B628">
            <v>477</v>
          </cell>
          <cell r="C628" t="str">
            <v>C49SZX20190156-1ZX</v>
          </cell>
          <cell r="D628" t="str">
            <v>锘铧</v>
          </cell>
          <cell r="E628" t="str">
            <v>YSM20R(SV)-2</v>
          </cell>
          <cell r="F628" t="str">
            <v>#68462</v>
          </cell>
          <cell r="G628" t="e">
            <v>#REF!</v>
          </cell>
          <cell r="H628" t="e">
            <v>#REF!</v>
          </cell>
          <cell r="I628" t="str">
            <v>L-&gt;R</v>
          </cell>
          <cell r="J628" t="str">
            <v>No</v>
          </cell>
          <cell r="K628">
            <v>1</v>
          </cell>
          <cell r="L628">
            <v>109715</v>
          </cell>
          <cell r="M628" t="str">
            <v>DEC 19</v>
          </cell>
          <cell r="N628">
            <v>43822</v>
          </cell>
          <cell r="O628">
            <v>11116345</v>
          </cell>
          <cell r="P628">
            <v>12750000</v>
          </cell>
          <cell r="Q628">
            <v>43800</v>
          </cell>
          <cell r="R628" t="str">
            <v>No</v>
          </cell>
          <cell r="S628" t="str">
            <v>C49</v>
          </cell>
          <cell r="T628" t="str">
            <v>SOUTH</v>
          </cell>
          <cell r="U628" t="str">
            <v>广州</v>
          </cell>
          <cell r="V628" t="str">
            <v>SZ 深圳</v>
          </cell>
          <cell r="W628" t="str">
            <v>ZX</v>
          </cell>
          <cell r="X628" t="str">
            <v>JPY</v>
          </cell>
          <cell r="Y628">
            <v>12750000</v>
          </cell>
          <cell r="Z628">
            <v>1</v>
          </cell>
          <cell r="AA628">
            <v>12640000</v>
          </cell>
          <cell r="AB628">
            <v>7.3499999999999996E-2</v>
          </cell>
          <cell r="AC628">
            <v>929040</v>
          </cell>
          <cell r="AD628">
            <v>111484.8</v>
          </cell>
          <cell r="AE628">
            <v>0.12</v>
          </cell>
          <cell r="AF628">
            <v>43774</v>
          </cell>
          <cell r="AG628" t="str">
            <v>DAP GZ</v>
          </cell>
          <cell r="AK628">
            <v>0.1</v>
          </cell>
          <cell r="AL628">
            <v>1275000</v>
          </cell>
          <cell r="AM628">
            <v>43770</v>
          </cell>
          <cell r="AN628" t="str">
            <v>Yes</v>
          </cell>
          <cell r="AO628">
            <v>0.9</v>
          </cell>
          <cell r="AP628">
            <v>11376000</v>
          </cell>
          <cell r="AQ628">
            <v>43800</v>
          </cell>
          <cell r="AR628">
            <v>43819</v>
          </cell>
          <cell r="AX628" t="str">
            <v>Yes</v>
          </cell>
        </row>
        <row r="629">
          <cell r="B629">
            <v>478</v>
          </cell>
          <cell r="C629" t="str">
            <v>C49SZX20190156-2ZX</v>
          </cell>
          <cell r="D629" t="str">
            <v>锘铧</v>
          </cell>
          <cell r="E629" t="str">
            <v>YSM20R(SV)-2</v>
          </cell>
          <cell r="F629" t="str">
            <v>#68462</v>
          </cell>
          <cell r="G629" t="e">
            <v>#REF!</v>
          </cell>
          <cell r="H629" t="e">
            <v>#REF!</v>
          </cell>
          <cell r="I629" t="str">
            <v>R-&gt;L</v>
          </cell>
          <cell r="J629" t="str">
            <v>No</v>
          </cell>
          <cell r="K629">
            <v>1</v>
          </cell>
          <cell r="L629">
            <v>109750</v>
          </cell>
          <cell r="M629" t="str">
            <v>FEB 20</v>
          </cell>
          <cell r="N629">
            <v>43886</v>
          </cell>
          <cell r="O629">
            <v>11116354</v>
          </cell>
          <cell r="P629">
            <v>12600000</v>
          </cell>
          <cell r="Q629">
            <v>43862</v>
          </cell>
          <cell r="R629" t="str">
            <v>No</v>
          </cell>
          <cell r="S629" t="str">
            <v>C49</v>
          </cell>
          <cell r="T629" t="str">
            <v>SOUTH</v>
          </cell>
          <cell r="U629" t="str">
            <v>广州</v>
          </cell>
          <cell r="V629" t="str">
            <v>SZ 深圳</v>
          </cell>
          <cell r="W629" t="str">
            <v>ZX</v>
          </cell>
          <cell r="X629" t="str">
            <v>JPY</v>
          </cell>
          <cell r="Y629">
            <v>12600000</v>
          </cell>
          <cell r="Z629">
            <v>1</v>
          </cell>
          <cell r="AA629">
            <v>12640000</v>
          </cell>
          <cell r="AB629">
            <v>7.3499999999999996E-2</v>
          </cell>
          <cell r="AC629">
            <v>929040</v>
          </cell>
          <cell r="AD629">
            <v>111484.8</v>
          </cell>
          <cell r="AE629">
            <v>0.12</v>
          </cell>
          <cell r="AF629">
            <v>43774</v>
          </cell>
          <cell r="AG629" t="str">
            <v>DAP GZ</v>
          </cell>
          <cell r="AK629">
            <v>0.1</v>
          </cell>
          <cell r="AL629">
            <v>1260000</v>
          </cell>
          <cell r="AM629">
            <v>43770</v>
          </cell>
          <cell r="AN629" t="str">
            <v>Yes</v>
          </cell>
          <cell r="AO629">
            <v>0.9</v>
          </cell>
          <cell r="AP629">
            <v>11376000</v>
          </cell>
          <cell r="AQ629">
            <v>43862</v>
          </cell>
          <cell r="AR629">
            <v>43881</v>
          </cell>
          <cell r="AX629" t="str">
            <v>Yes</v>
          </cell>
        </row>
        <row r="630">
          <cell r="B630">
            <v>479</v>
          </cell>
          <cell r="C630" t="str">
            <v>C49SZX20190156-2ZX</v>
          </cell>
          <cell r="D630" t="str">
            <v>锘铧</v>
          </cell>
          <cell r="E630" t="str">
            <v>YSM20R(SV)-2</v>
          </cell>
          <cell r="F630" t="str">
            <v>#68462</v>
          </cell>
          <cell r="G630" t="e">
            <v>#REF!</v>
          </cell>
          <cell r="H630" t="e">
            <v>#REF!</v>
          </cell>
          <cell r="I630" t="str">
            <v>R-&gt;L</v>
          </cell>
          <cell r="J630" t="str">
            <v>No</v>
          </cell>
          <cell r="K630">
            <v>1</v>
          </cell>
          <cell r="L630">
            <v>109750</v>
          </cell>
          <cell r="M630" t="str">
            <v>FEB 20</v>
          </cell>
          <cell r="N630">
            <v>43886</v>
          </cell>
          <cell r="O630">
            <v>11116354</v>
          </cell>
          <cell r="P630">
            <v>12600000</v>
          </cell>
          <cell r="Q630">
            <v>43862</v>
          </cell>
          <cell r="R630" t="str">
            <v>No</v>
          </cell>
          <cell r="S630" t="str">
            <v>C49</v>
          </cell>
          <cell r="T630" t="str">
            <v>SOUTH</v>
          </cell>
          <cell r="U630" t="str">
            <v>广州</v>
          </cell>
          <cell r="V630" t="str">
            <v>SZ 深圳</v>
          </cell>
          <cell r="W630" t="str">
            <v>ZX</v>
          </cell>
          <cell r="X630" t="str">
            <v>JPY</v>
          </cell>
          <cell r="Y630">
            <v>12600000</v>
          </cell>
          <cell r="Z630">
            <v>1</v>
          </cell>
          <cell r="AA630">
            <v>12640000</v>
          </cell>
          <cell r="AB630">
            <v>7.3499999999999996E-2</v>
          </cell>
          <cell r="AC630">
            <v>929040</v>
          </cell>
          <cell r="AD630">
            <v>111484.8</v>
          </cell>
          <cell r="AE630">
            <v>0.12</v>
          </cell>
          <cell r="AF630">
            <v>43774</v>
          </cell>
          <cell r="AG630" t="str">
            <v>DAP GZ</v>
          </cell>
          <cell r="AK630" t="str">
            <v>agree</v>
          </cell>
          <cell r="AL630">
            <v>341000</v>
          </cell>
          <cell r="AM630">
            <v>43770</v>
          </cell>
          <cell r="AN630" t="str">
            <v>Yes</v>
          </cell>
          <cell r="AO630">
            <v>0.9</v>
          </cell>
          <cell r="AP630">
            <v>11376000</v>
          </cell>
          <cell r="AQ630">
            <v>43862</v>
          </cell>
          <cell r="AR630">
            <v>43881</v>
          </cell>
          <cell r="AX630" t="str">
            <v>Yes</v>
          </cell>
        </row>
        <row r="631">
          <cell r="B631">
            <v>480</v>
          </cell>
          <cell r="C631" t="str">
            <v>C49SZX20190156-2ZX</v>
          </cell>
          <cell r="D631" t="str">
            <v>锘铧</v>
          </cell>
          <cell r="E631" t="str">
            <v>YSM20R(SV)-2</v>
          </cell>
          <cell r="F631" t="str">
            <v>#68462</v>
          </cell>
          <cell r="G631" t="e">
            <v>#REF!</v>
          </cell>
          <cell r="H631" t="e">
            <v>#REF!</v>
          </cell>
          <cell r="I631" t="str">
            <v>R-&gt;L</v>
          </cell>
          <cell r="J631" t="str">
            <v>No</v>
          </cell>
          <cell r="K631">
            <v>1</v>
          </cell>
          <cell r="L631">
            <v>109730</v>
          </cell>
          <cell r="M631" t="str">
            <v>FEB 20</v>
          </cell>
          <cell r="N631">
            <v>43886</v>
          </cell>
          <cell r="O631">
            <v>11116354</v>
          </cell>
          <cell r="P631">
            <v>12600000</v>
          </cell>
          <cell r="Q631">
            <v>43862</v>
          </cell>
          <cell r="R631" t="str">
            <v>No</v>
          </cell>
          <cell r="S631" t="str">
            <v>C49</v>
          </cell>
          <cell r="T631" t="str">
            <v>SOUTH</v>
          </cell>
          <cell r="U631" t="str">
            <v>广州</v>
          </cell>
          <cell r="V631" t="str">
            <v>SZ 深圳</v>
          </cell>
          <cell r="W631" t="str">
            <v>ZX</v>
          </cell>
          <cell r="X631" t="str">
            <v>JPY</v>
          </cell>
          <cell r="Y631">
            <v>12600000</v>
          </cell>
          <cell r="Z631">
            <v>1</v>
          </cell>
          <cell r="AA631">
            <v>12640000</v>
          </cell>
          <cell r="AB631">
            <v>7.3499999999999996E-2</v>
          </cell>
          <cell r="AC631">
            <v>929040</v>
          </cell>
          <cell r="AD631">
            <v>111484.8</v>
          </cell>
          <cell r="AE631">
            <v>0.12</v>
          </cell>
          <cell r="AF631">
            <v>43774</v>
          </cell>
          <cell r="AG631" t="str">
            <v>DAP GZ</v>
          </cell>
          <cell r="AK631" t="str">
            <v>agree</v>
          </cell>
          <cell r="AL631">
            <v>2187000</v>
          </cell>
          <cell r="AM631">
            <v>43862</v>
          </cell>
          <cell r="AN631" t="str">
            <v>Yes</v>
          </cell>
          <cell r="AO631">
            <v>0.9</v>
          </cell>
          <cell r="AP631">
            <v>11376000</v>
          </cell>
          <cell r="AQ631">
            <v>43862</v>
          </cell>
          <cell r="AR631">
            <v>43881</v>
          </cell>
          <cell r="AX631" t="str">
            <v>Yes</v>
          </cell>
        </row>
        <row r="632">
          <cell r="B632">
            <v>481</v>
          </cell>
          <cell r="C632" t="str">
            <v>C49SZX20190158ZX</v>
          </cell>
          <cell r="D632" t="str">
            <v>锘铧</v>
          </cell>
          <cell r="E632" t="str">
            <v>YSM10</v>
          </cell>
          <cell r="F632" t="str">
            <v>#68462</v>
          </cell>
          <cell r="G632" t="e">
            <v>#REF!</v>
          </cell>
          <cell r="H632" t="e">
            <v>#REF!</v>
          </cell>
          <cell r="I632" t="str">
            <v>L-&gt;R</v>
          </cell>
          <cell r="J632" t="str">
            <v>MVC+ATS15</v>
          </cell>
          <cell r="K632">
            <v>1</v>
          </cell>
          <cell r="L632" t="e">
            <v>#REF!</v>
          </cell>
          <cell r="M632" t="e">
            <v>#REF!</v>
          </cell>
          <cell r="N632"/>
          <cell r="O632"/>
          <cell r="P632"/>
          <cell r="Q632"/>
          <cell r="R632" t="str">
            <v>No</v>
          </cell>
          <cell r="S632" t="str">
            <v>C49</v>
          </cell>
          <cell r="T632" t="str">
            <v>SOUTH</v>
          </cell>
          <cell r="U632" t="str">
            <v>广州</v>
          </cell>
          <cell r="V632" t="str">
            <v>SZ 深圳</v>
          </cell>
          <cell r="W632" t="str">
            <v>ZX</v>
          </cell>
          <cell r="X632" t="str">
            <v>JPY</v>
          </cell>
          <cell r="Y632">
            <v>10000000</v>
          </cell>
          <cell r="Z632">
            <v>1</v>
          </cell>
          <cell r="AA632">
            <v>10000000</v>
          </cell>
          <cell r="AB632">
            <v>7.3499999999999996E-2</v>
          </cell>
          <cell r="AC632">
            <v>735000</v>
          </cell>
          <cell r="AD632">
            <v>88200</v>
          </cell>
          <cell r="AE632">
            <v>0.12</v>
          </cell>
          <cell r="AF632">
            <v>43774</v>
          </cell>
          <cell r="AG632" t="str">
            <v>DAP GZ</v>
          </cell>
          <cell r="AI632"/>
          <cell r="AJ632"/>
          <cell r="AK632">
            <v>0.1</v>
          </cell>
          <cell r="AL632">
            <v>1000000</v>
          </cell>
          <cell r="AM632"/>
          <cell r="AN632" t="str">
            <v>No</v>
          </cell>
          <cell r="AO632">
            <v>0.9</v>
          </cell>
          <cell r="AP632">
            <v>9000000</v>
          </cell>
          <cell r="AQ632"/>
          <cell r="AR632"/>
          <cell r="AS632"/>
          <cell r="AT632"/>
          <cell r="AV632"/>
          <cell r="AX632" t="str">
            <v>Cancel</v>
          </cell>
          <cell r="AY632"/>
          <cell r="AZ632"/>
          <cell r="BA632" t="str">
            <v>Cancel</v>
          </cell>
        </row>
        <row r="633">
          <cell r="B633">
            <v>482</v>
          </cell>
          <cell r="C633" t="str">
            <v>C49SZX20190158ZX</v>
          </cell>
          <cell r="D633" t="str">
            <v>锘铧</v>
          </cell>
          <cell r="E633" t="str">
            <v>YSM10</v>
          </cell>
          <cell r="F633" t="str">
            <v>#68462</v>
          </cell>
          <cell r="G633" t="e">
            <v>#REF!</v>
          </cell>
          <cell r="H633" t="e">
            <v>#REF!</v>
          </cell>
          <cell r="I633" t="str">
            <v>L-&gt;R</v>
          </cell>
          <cell r="J633" t="str">
            <v>MVC+ATS15</v>
          </cell>
          <cell r="K633">
            <v>1</v>
          </cell>
          <cell r="L633" t="e">
            <v>#REF!</v>
          </cell>
          <cell r="M633" t="e">
            <v>#REF!</v>
          </cell>
          <cell r="N633"/>
          <cell r="O633"/>
          <cell r="P633"/>
          <cell r="Q633"/>
          <cell r="R633" t="str">
            <v>No</v>
          </cell>
          <cell r="S633" t="str">
            <v>C49</v>
          </cell>
          <cell r="T633" t="str">
            <v>SOUTH</v>
          </cell>
          <cell r="U633" t="str">
            <v>广州</v>
          </cell>
          <cell r="V633" t="str">
            <v>SZ 深圳</v>
          </cell>
          <cell r="W633" t="str">
            <v>ZX</v>
          </cell>
          <cell r="X633" t="str">
            <v>JPY</v>
          </cell>
          <cell r="Y633">
            <v>10000000</v>
          </cell>
          <cell r="Z633">
            <v>1</v>
          </cell>
          <cell r="AA633">
            <v>10000000</v>
          </cell>
          <cell r="AB633">
            <v>7.3499999999999996E-2</v>
          </cell>
          <cell r="AC633">
            <v>735000</v>
          </cell>
          <cell r="AD633">
            <v>88200</v>
          </cell>
          <cell r="AE633">
            <v>0.12</v>
          </cell>
          <cell r="AF633">
            <v>43774</v>
          </cell>
          <cell r="AG633" t="str">
            <v>DAP GZ</v>
          </cell>
          <cell r="AI633"/>
          <cell r="AJ633"/>
          <cell r="AK633">
            <v>0.1</v>
          </cell>
          <cell r="AL633">
            <v>1000000</v>
          </cell>
          <cell r="AM633"/>
          <cell r="AN633" t="str">
            <v>No</v>
          </cell>
          <cell r="AO633">
            <v>0.9</v>
          </cell>
          <cell r="AP633">
            <v>9000000</v>
          </cell>
          <cell r="AQ633"/>
          <cell r="AR633"/>
          <cell r="AS633"/>
          <cell r="AT633"/>
          <cell r="AV633"/>
          <cell r="AX633" t="str">
            <v>Cancel</v>
          </cell>
          <cell r="AY633"/>
          <cell r="AZ633"/>
          <cell r="BA633" t="str">
            <v>Cancel</v>
          </cell>
        </row>
        <row r="634">
          <cell r="B634">
            <v>483</v>
          </cell>
          <cell r="C634" t="str">
            <v>C49SZX20190158ZX</v>
          </cell>
          <cell r="D634" t="str">
            <v>锘铧</v>
          </cell>
          <cell r="E634" t="str">
            <v>YSM10</v>
          </cell>
          <cell r="F634" t="str">
            <v>#68462</v>
          </cell>
          <cell r="G634" t="e">
            <v>#REF!</v>
          </cell>
          <cell r="H634" t="e">
            <v>#REF!</v>
          </cell>
          <cell r="I634" t="str">
            <v>L-&gt;R</v>
          </cell>
          <cell r="J634" t="str">
            <v>MVC+ATS15</v>
          </cell>
          <cell r="K634">
            <v>1</v>
          </cell>
          <cell r="L634" t="e">
            <v>#REF!</v>
          </cell>
          <cell r="M634" t="e">
            <v>#REF!</v>
          </cell>
          <cell r="N634"/>
          <cell r="O634"/>
          <cell r="P634"/>
          <cell r="Q634"/>
          <cell r="R634" t="str">
            <v>No</v>
          </cell>
          <cell r="S634" t="str">
            <v>C49</v>
          </cell>
          <cell r="T634" t="str">
            <v>SOUTH</v>
          </cell>
          <cell r="U634" t="str">
            <v>广州</v>
          </cell>
          <cell r="V634" t="str">
            <v>SZ 深圳</v>
          </cell>
          <cell r="W634" t="str">
            <v>ZX</v>
          </cell>
          <cell r="X634" t="str">
            <v>JPY</v>
          </cell>
          <cell r="Y634">
            <v>10000000</v>
          </cell>
          <cell r="Z634">
            <v>1</v>
          </cell>
          <cell r="AA634">
            <v>10000000</v>
          </cell>
          <cell r="AB634">
            <v>7.3499999999999996E-2</v>
          </cell>
          <cell r="AC634">
            <v>735000</v>
          </cell>
          <cell r="AD634">
            <v>88200</v>
          </cell>
          <cell r="AE634">
            <v>0.12</v>
          </cell>
          <cell r="AF634">
            <v>43774</v>
          </cell>
          <cell r="AG634" t="str">
            <v>DAP GZ</v>
          </cell>
          <cell r="AI634"/>
          <cell r="AJ634"/>
          <cell r="AK634">
            <v>0.1</v>
          </cell>
          <cell r="AL634">
            <v>1000000</v>
          </cell>
          <cell r="AM634"/>
          <cell r="AN634" t="str">
            <v>No</v>
          </cell>
          <cell r="AO634">
            <v>0.9</v>
          </cell>
          <cell r="AP634">
            <v>9000000</v>
          </cell>
          <cell r="AQ634"/>
          <cell r="AR634"/>
          <cell r="AS634"/>
          <cell r="AT634"/>
          <cell r="AV634"/>
          <cell r="AX634" t="str">
            <v>Cancel</v>
          </cell>
          <cell r="AY634"/>
          <cell r="AZ634"/>
          <cell r="BA634" t="str">
            <v>Cancel</v>
          </cell>
        </row>
        <row r="635">
          <cell r="B635">
            <v>484</v>
          </cell>
          <cell r="C635" t="str">
            <v>C49SZX20190158ZX</v>
          </cell>
          <cell r="D635" t="str">
            <v>锘铧</v>
          </cell>
          <cell r="E635" t="str">
            <v>YSM20R(SV)-2</v>
          </cell>
          <cell r="F635" t="str">
            <v>#68462</v>
          </cell>
          <cell r="G635" t="e">
            <v>#REF!</v>
          </cell>
          <cell r="H635" t="e">
            <v>#REF!</v>
          </cell>
          <cell r="I635" t="str">
            <v>L-&gt;R</v>
          </cell>
          <cell r="J635" t="str">
            <v>No</v>
          </cell>
          <cell r="K635">
            <v>1</v>
          </cell>
          <cell r="L635" t="e">
            <v>#REF!</v>
          </cell>
          <cell r="M635" t="e">
            <v>#REF!</v>
          </cell>
          <cell r="N635"/>
          <cell r="O635"/>
          <cell r="P635"/>
          <cell r="Q635"/>
          <cell r="R635" t="str">
            <v>No</v>
          </cell>
          <cell r="S635" t="str">
            <v>C49</v>
          </cell>
          <cell r="T635" t="str">
            <v>SOUTH</v>
          </cell>
          <cell r="U635" t="str">
            <v>广州</v>
          </cell>
          <cell r="V635" t="str">
            <v>SZ 深圳</v>
          </cell>
          <cell r="W635" t="str">
            <v>ZX</v>
          </cell>
          <cell r="X635" t="str">
            <v>JPY</v>
          </cell>
          <cell r="Y635">
            <v>12650000</v>
          </cell>
          <cell r="Z635">
            <v>1</v>
          </cell>
          <cell r="AA635">
            <v>12650000</v>
          </cell>
          <cell r="AB635">
            <v>7.3499999999999996E-2</v>
          </cell>
          <cell r="AC635">
            <v>929775</v>
          </cell>
          <cell r="AD635">
            <v>111573</v>
          </cell>
          <cell r="AE635">
            <v>0.12</v>
          </cell>
          <cell r="AF635">
            <v>43774</v>
          </cell>
          <cell r="AG635" t="str">
            <v>DAP GZ</v>
          </cell>
          <cell r="AI635"/>
          <cell r="AJ635"/>
          <cell r="AK635">
            <v>0.1</v>
          </cell>
          <cell r="AL635">
            <v>1265000</v>
          </cell>
          <cell r="AM635"/>
          <cell r="AN635" t="str">
            <v>No</v>
          </cell>
          <cell r="AO635">
            <v>0.9</v>
          </cell>
          <cell r="AP635">
            <v>11385000</v>
          </cell>
          <cell r="AQ635"/>
          <cell r="AR635"/>
          <cell r="AS635"/>
          <cell r="AT635"/>
          <cell r="AV635"/>
          <cell r="AX635" t="str">
            <v>Cancel</v>
          </cell>
          <cell r="AY635"/>
          <cell r="AZ635"/>
          <cell r="BA635" t="str">
            <v>Cancel</v>
          </cell>
        </row>
        <row r="636">
          <cell r="B636">
            <v>485</v>
          </cell>
          <cell r="C636" t="str">
            <v>C49SZX20190158ZX</v>
          </cell>
          <cell r="D636" t="str">
            <v>锘铧</v>
          </cell>
          <cell r="E636" t="str">
            <v>YSM20R(SV)-2</v>
          </cell>
          <cell r="F636" t="str">
            <v>#68462</v>
          </cell>
          <cell r="G636" t="e">
            <v>#REF!</v>
          </cell>
          <cell r="H636" t="e">
            <v>#REF!</v>
          </cell>
          <cell r="I636" t="str">
            <v>L-&gt;R</v>
          </cell>
          <cell r="J636" t="str">
            <v>No</v>
          </cell>
          <cell r="K636">
            <v>1</v>
          </cell>
          <cell r="L636" t="e">
            <v>#REF!</v>
          </cell>
          <cell r="M636" t="e">
            <v>#REF!</v>
          </cell>
          <cell r="N636"/>
          <cell r="O636"/>
          <cell r="P636"/>
          <cell r="Q636"/>
          <cell r="R636" t="str">
            <v>No</v>
          </cell>
          <cell r="S636" t="str">
            <v>C49</v>
          </cell>
          <cell r="T636" t="str">
            <v>SOUTH</v>
          </cell>
          <cell r="U636" t="str">
            <v>广州</v>
          </cell>
          <cell r="V636" t="str">
            <v>SZ 深圳</v>
          </cell>
          <cell r="W636" t="str">
            <v>ZX</v>
          </cell>
          <cell r="X636" t="str">
            <v>JPY</v>
          </cell>
          <cell r="Y636">
            <v>12650000</v>
          </cell>
          <cell r="Z636">
            <v>1</v>
          </cell>
          <cell r="AA636">
            <v>12650000</v>
          </cell>
          <cell r="AB636">
            <v>7.3499999999999996E-2</v>
          </cell>
          <cell r="AC636">
            <v>929775</v>
          </cell>
          <cell r="AD636">
            <v>111573</v>
          </cell>
          <cell r="AE636">
            <v>0.12</v>
          </cell>
          <cell r="AF636">
            <v>43774</v>
          </cell>
          <cell r="AG636" t="str">
            <v>DAP GZ</v>
          </cell>
          <cell r="AI636"/>
          <cell r="AJ636"/>
          <cell r="AK636">
            <v>0.1</v>
          </cell>
          <cell r="AL636">
            <v>1265000</v>
          </cell>
          <cell r="AM636"/>
          <cell r="AN636" t="str">
            <v>No</v>
          </cell>
          <cell r="AO636">
            <v>0.9</v>
          </cell>
          <cell r="AP636">
            <v>11385000</v>
          </cell>
          <cell r="AQ636"/>
          <cell r="AR636"/>
          <cell r="AS636"/>
          <cell r="AT636"/>
          <cell r="AV636"/>
          <cell r="AX636" t="str">
            <v>Cancel</v>
          </cell>
          <cell r="AY636"/>
          <cell r="AZ636"/>
          <cell r="BA636" t="str">
            <v>Cancel</v>
          </cell>
        </row>
        <row r="637">
          <cell r="B637">
            <v>486</v>
          </cell>
          <cell r="C637" t="str">
            <v>C49SZX20190158ZX</v>
          </cell>
          <cell r="D637" t="str">
            <v>锘铧</v>
          </cell>
          <cell r="E637" t="str">
            <v>YSM20R(SV)-2</v>
          </cell>
          <cell r="F637" t="str">
            <v>#68462</v>
          </cell>
          <cell r="G637" t="e">
            <v>#REF!</v>
          </cell>
          <cell r="H637" t="e">
            <v>#REF!</v>
          </cell>
          <cell r="I637" t="str">
            <v>L-&gt;R</v>
          </cell>
          <cell r="J637" t="str">
            <v>No</v>
          </cell>
          <cell r="K637">
            <v>1</v>
          </cell>
          <cell r="L637" t="e">
            <v>#REF!</v>
          </cell>
          <cell r="M637" t="e">
            <v>#REF!</v>
          </cell>
          <cell r="N637"/>
          <cell r="O637"/>
          <cell r="P637"/>
          <cell r="Q637"/>
          <cell r="R637" t="str">
            <v>No</v>
          </cell>
          <cell r="S637" t="str">
            <v>C49</v>
          </cell>
          <cell r="T637" t="str">
            <v>SOUTH</v>
          </cell>
          <cell r="U637" t="str">
            <v>广州</v>
          </cell>
          <cell r="V637" t="str">
            <v>SZ 深圳</v>
          </cell>
          <cell r="W637" t="str">
            <v>ZX</v>
          </cell>
          <cell r="X637" t="str">
            <v>JPY</v>
          </cell>
          <cell r="Y637">
            <v>12650000</v>
          </cell>
          <cell r="Z637">
            <v>1</v>
          </cell>
          <cell r="AA637">
            <v>12650000</v>
          </cell>
          <cell r="AB637">
            <v>7.3499999999999996E-2</v>
          </cell>
          <cell r="AC637">
            <v>929775</v>
          </cell>
          <cell r="AD637">
            <v>111573</v>
          </cell>
          <cell r="AE637">
            <v>0.12</v>
          </cell>
          <cell r="AF637">
            <v>43774</v>
          </cell>
          <cell r="AG637" t="str">
            <v>DAP GZ</v>
          </cell>
          <cell r="AI637"/>
          <cell r="AJ637"/>
          <cell r="AK637">
            <v>0.1</v>
          </cell>
          <cell r="AL637">
            <v>1265000</v>
          </cell>
          <cell r="AM637"/>
          <cell r="AN637" t="str">
            <v>No</v>
          </cell>
          <cell r="AO637">
            <v>0.9</v>
          </cell>
          <cell r="AP637">
            <v>11385000</v>
          </cell>
          <cell r="AQ637"/>
          <cell r="AR637"/>
          <cell r="AS637"/>
          <cell r="AT637"/>
          <cell r="AV637"/>
          <cell r="AX637" t="str">
            <v>Cancel</v>
          </cell>
          <cell r="AY637"/>
          <cell r="AZ637"/>
          <cell r="BA637" t="str">
            <v>Cancel</v>
          </cell>
        </row>
        <row r="638">
          <cell r="B638">
            <v>487</v>
          </cell>
          <cell r="C638" t="str">
            <v>C49SZX20190158ZX</v>
          </cell>
          <cell r="D638" t="str">
            <v>锘铧</v>
          </cell>
          <cell r="E638" t="str">
            <v>YSM20R(SV)-2</v>
          </cell>
          <cell r="F638" t="str">
            <v>#68462</v>
          </cell>
          <cell r="G638" t="e">
            <v>#REF!</v>
          </cell>
          <cell r="H638" t="e">
            <v>#REF!</v>
          </cell>
          <cell r="I638" t="str">
            <v>L-&gt;R</v>
          </cell>
          <cell r="J638" t="str">
            <v>No</v>
          </cell>
          <cell r="K638">
            <v>1</v>
          </cell>
          <cell r="L638" t="e">
            <v>#REF!</v>
          </cell>
          <cell r="M638" t="e">
            <v>#REF!</v>
          </cell>
          <cell r="N638"/>
          <cell r="O638"/>
          <cell r="P638"/>
          <cell r="Q638"/>
          <cell r="R638" t="str">
            <v>No</v>
          </cell>
          <cell r="S638" t="str">
            <v>C49</v>
          </cell>
          <cell r="T638" t="str">
            <v>SOUTH</v>
          </cell>
          <cell r="U638" t="str">
            <v>广州</v>
          </cell>
          <cell r="V638" t="str">
            <v>SZ 深圳</v>
          </cell>
          <cell r="W638" t="str">
            <v>ZX</v>
          </cell>
          <cell r="X638" t="str">
            <v>JPY</v>
          </cell>
          <cell r="Y638">
            <v>12650000</v>
          </cell>
          <cell r="Z638">
            <v>1</v>
          </cell>
          <cell r="AA638">
            <v>12650000</v>
          </cell>
          <cell r="AB638">
            <v>7.3499999999999996E-2</v>
          </cell>
          <cell r="AC638">
            <v>929775</v>
          </cell>
          <cell r="AD638">
            <v>111573</v>
          </cell>
          <cell r="AE638">
            <v>0.12</v>
          </cell>
          <cell r="AF638">
            <v>43774</v>
          </cell>
          <cell r="AG638" t="str">
            <v>DAP GZ</v>
          </cell>
          <cell r="AI638"/>
          <cell r="AJ638"/>
          <cell r="AK638">
            <v>0.1</v>
          </cell>
          <cell r="AL638">
            <v>1265000</v>
          </cell>
          <cell r="AM638"/>
          <cell r="AN638" t="str">
            <v>No</v>
          </cell>
          <cell r="AO638">
            <v>0.9</v>
          </cell>
          <cell r="AP638">
            <v>11385000</v>
          </cell>
          <cell r="AQ638"/>
          <cell r="AR638"/>
          <cell r="AS638"/>
          <cell r="AT638"/>
          <cell r="AV638"/>
          <cell r="AX638" t="str">
            <v>Cancel</v>
          </cell>
          <cell r="AY638"/>
          <cell r="AZ638"/>
          <cell r="BA638" t="str">
            <v>Cancel</v>
          </cell>
        </row>
        <row r="639">
          <cell r="B639">
            <v>488</v>
          </cell>
          <cell r="C639" t="str">
            <v>C49SZX20190158ZX</v>
          </cell>
          <cell r="D639" t="str">
            <v>锘铧</v>
          </cell>
          <cell r="E639" t="str">
            <v>YSM20R(SV)-2</v>
          </cell>
          <cell r="F639" t="str">
            <v>#68462</v>
          </cell>
          <cell r="G639" t="e">
            <v>#REF!</v>
          </cell>
          <cell r="H639" t="e">
            <v>#REF!</v>
          </cell>
          <cell r="I639" t="str">
            <v>L-&gt;R</v>
          </cell>
          <cell r="J639" t="str">
            <v>No</v>
          </cell>
          <cell r="K639">
            <v>1</v>
          </cell>
          <cell r="L639" t="e">
            <v>#REF!</v>
          </cell>
          <cell r="M639" t="e">
            <v>#REF!</v>
          </cell>
          <cell r="N639"/>
          <cell r="O639"/>
          <cell r="P639"/>
          <cell r="Q639"/>
          <cell r="R639" t="str">
            <v>No</v>
          </cell>
          <cell r="S639" t="str">
            <v>C49</v>
          </cell>
          <cell r="T639" t="str">
            <v>SOUTH</v>
          </cell>
          <cell r="U639" t="str">
            <v>广州</v>
          </cell>
          <cell r="V639" t="str">
            <v>SZ 深圳</v>
          </cell>
          <cell r="W639" t="str">
            <v>ZX</v>
          </cell>
          <cell r="X639" t="str">
            <v>JPY</v>
          </cell>
          <cell r="Y639">
            <v>12650000</v>
          </cell>
          <cell r="Z639">
            <v>1</v>
          </cell>
          <cell r="AA639">
            <v>12650000</v>
          </cell>
          <cell r="AB639">
            <v>7.3499999999999996E-2</v>
          </cell>
          <cell r="AC639">
            <v>929775</v>
          </cell>
          <cell r="AD639">
            <v>111573</v>
          </cell>
          <cell r="AE639">
            <v>0.12</v>
          </cell>
          <cell r="AF639">
            <v>43774</v>
          </cell>
          <cell r="AG639" t="str">
            <v>DAP GZ</v>
          </cell>
          <cell r="AI639"/>
          <cell r="AJ639"/>
          <cell r="AK639">
            <v>0.1</v>
          </cell>
          <cell r="AL639">
            <v>1265000</v>
          </cell>
          <cell r="AM639"/>
          <cell r="AN639" t="str">
            <v>No</v>
          </cell>
          <cell r="AO639">
            <v>0.9</v>
          </cell>
          <cell r="AP639">
            <v>11385000</v>
          </cell>
          <cell r="AQ639"/>
          <cell r="AR639"/>
          <cell r="AS639"/>
          <cell r="AT639"/>
          <cell r="AV639"/>
          <cell r="AX639" t="str">
            <v>Cancel</v>
          </cell>
          <cell r="AY639"/>
          <cell r="AZ639"/>
          <cell r="BA639" t="str">
            <v>Cancel</v>
          </cell>
        </row>
        <row r="640">
          <cell r="B640">
            <v>489</v>
          </cell>
          <cell r="C640" t="str">
            <v>C49SZX20190158ZX</v>
          </cell>
          <cell r="D640" t="str">
            <v>锘铧</v>
          </cell>
          <cell r="E640" t="str">
            <v>YSM20R(SV)-2</v>
          </cell>
          <cell r="F640" t="str">
            <v>#68462</v>
          </cell>
          <cell r="G640" t="e">
            <v>#REF!</v>
          </cell>
          <cell r="H640" t="e">
            <v>#REF!</v>
          </cell>
          <cell r="I640" t="str">
            <v>L-&gt;R</v>
          </cell>
          <cell r="J640" t="str">
            <v>No</v>
          </cell>
          <cell r="K640">
            <v>1</v>
          </cell>
          <cell r="L640" t="e">
            <v>#REF!</v>
          </cell>
          <cell r="M640" t="e">
            <v>#REF!</v>
          </cell>
          <cell r="N640"/>
          <cell r="O640"/>
          <cell r="P640"/>
          <cell r="Q640"/>
          <cell r="R640" t="str">
            <v>No</v>
          </cell>
          <cell r="S640" t="str">
            <v>C49</v>
          </cell>
          <cell r="T640" t="str">
            <v>SOUTH</v>
          </cell>
          <cell r="U640" t="str">
            <v>广州</v>
          </cell>
          <cell r="V640" t="str">
            <v>SZ 深圳</v>
          </cell>
          <cell r="W640" t="str">
            <v>ZX</v>
          </cell>
          <cell r="X640" t="str">
            <v>JPY</v>
          </cell>
          <cell r="Y640">
            <v>12650000</v>
          </cell>
          <cell r="Z640">
            <v>1</v>
          </cell>
          <cell r="AA640">
            <v>12650000</v>
          </cell>
          <cell r="AB640">
            <v>7.3499999999999996E-2</v>
          </cell>
          <cell r="AC640">
            <v>929775</v>
          </cell>
          <cell r="AD640">
            <v>111573</v>
          </cell>
          <cell r="AE640">
            <v>0.12</v>
          </cell>
          <cell r="AF640">
            <v>43774</v>
          </cell>
          <cell r="AG640" t="str">
            <v>DAP GZ</v>
          </cell>
          <cell r="AI640"/>
          <cell r="AJ640"/>
          <cell r="AK640">
            <v>0.1</v>
          </cell>
          <cell r="AL640">
            <v>1265000</v>
          </cell>
          <cell r="AM640"/>
          <cell r="AN640" t="str">
            <v>No</v>
          </cell>
          <cell r="AO640">
            <v>0.9</v>
          </cell>
          <cell r="AP640">
            <v>11385000</v>
          </cell>
          <cell r="AQ640"/>
          <cell r="AR640"/>
          <cell r="AS640"/>
          <cell r="AT640"/>
          <cell r="AV640"/>
          <cell r="AX640" t="str">
            <v>Cancel</v>
          </cell>
          <cell r="AY640"/>
          <cell r="AZ640"/>
          <cell r="BA640" t="str">
            <v>Cancel</v>
          </cell>
        </row>
        <row r="641">
          <cell r="B641">
            <v>490</v>
          </cell>
          <cell r="C641" t="str">
            <v>C49SZX20190158ZX</v>
          </cell>
          <cell r="D641" t="str">
            <v>锘铧</v>
          </cell>
          <cell r="E641" t="str">
            <v>YSM20R(SV)-2</v>
          </cell>
          <cell r="F641" t="str">
            <v>#68462</v>
          </cell>
          <cell r="G641" t="e">
            <v>#REF!</v>
          </cell>
          <cell r="H641" t="e">
            <v>#REF!</v>
          </cell>
          <cell r="I641" t="str">
            <v>L-&gt;R</v>
          </cell>
          <cell r="J641" t="str">
            <v>No</v>
          </cell>
          <cell r="K641">
            <v>1</v>
          </cell>
          <cell r="L641" t="e">
            <v>#REF!</v>
          </cell>
          <cell r="M641" t="e">
            <v>#REF!</v>
          </cell>
          <cell r="N641"/>
          <cell r="O641"/>
          <cell r="P641"/>
          <cell r="Q641"/>
          <cell r="R641" t="str">
            <v>No</v>
          </cell>
          <cell r="S641" t="str">
            <v>C49</v>
          </cell>
          <cell r="T641" t="str">
            <v>SOUTH</v>
          </cell>
          <cell r="U641" t="str">
            <v>广州</v>
          </cell>
          <cell r="V641" t="str">
            <v>SZ 深圳</v>
          </cell>
          <cell r="W641" t="str">
            <v>ZX</v>
          </cell>
          <cell r="X641" t="str">
            <v>JPY</v>
          </cell>
          <cell r="Y641">
            <v>12650000</v>
          </cell>
          <cell r="Z641">
            <v>1</v>
          </cell>
          <cell r="AA641">
            <v>12650000</v>
          </cell>
          <cell r="AB641">
            <v>7.3499999999999996E-2</v>
          </cell>
          <cell r="AC641">
            <v>929775</v>
          </cell>
          <cell r="AD641">
            <v>111573</v>
          </cell>
          <cell r="AE641">
            <v>0.12</v>
          </cell>
          <cell r="AF641">
            <v>43774</v>
          </cell>
          <cell r="AG641" t="str">
            <v>DAP GZ</v>
          </cell>
          <cell r="AI641"/>
          <cell r="AJ641"/>
          <cell r="AK641">
            <v>0.1</v>
          </cell>
          <cell r="AL641">
            <v>1265000</v>
          </cell>
          <cell r="AM641"/>
          <cell r="AN641" t="str">
            <v>No</v>
          </cell>
          <cell r="AO641">
            <v>0.9</v>
          </cell>
          <cell r="AP641">
            <v>11385000</v>
          </cell>
          <cell r="AQ641"/>
          <cell r="AR641"/>
          <cell r="AS641"/>
          <cell r="AT641"/>
          <cell r="AV641"/>
          <cell r="AX641" t="str">
            <v>Cancel</v>
          </cell>
          <cell r="AY641"/>
          <cell r="AZ641"/>
          <cell r="BA641" t="str">
            <v>Cancel</v>
          </cell>
        </row>
        <row r="642">
          <cell r="B642">
            <v>491</v>
          </cell>
          <cell r="C642" t="str">
            <v>C49SZX20190158ZX</v>
          </cell>
          <cell r="D642" t="str">
            <v>锘铧</v>
          </cell>
          <cell r="E642" t="str">
            <v>YSM20R(SV)-2</v>
          </cell>
          <cell r="F642" t="str">
            <v>#68462</v>
          </cell>
          <cell r="G642" t="e">
            <v>#REF!</v>
          </cell>
          <cell r="H642" t="e">
            <v>#REF!</v>
          </cell>
          <cell r="I642" t="str">
            <v>L-&gt;R</v>
          </cell>
          <cell r="J642" t="str">
            <v>No</v>
          </cell>
          <cell r="K642">
            <v>1</v>
          </cell>
          <cell r="L642" t="e">
            <v>#REF!</v>
          </cell>
          <cell r="M642" t="e">
            <v>#REF!</v>
          </cell>
          <cell r="N642"/>
          <cell r="O642"/>
          <cell r="P642"/>
          <cell r="Q642"/>
          <cell r="R642" t="str">
            <v>No</v>
          </cell>
          <cell r="S642" t="str">
            <v>C49</v>
          </cell>
          <cell r="T642" t="str">
            <v>SOUTH</v>
          </cell>
          <cell r="U642" t="str">
            <v>广州</v>
          </cell>
          <cell r="V642" t="str">
            <v>SZ 深圳</v>
          </cell>
          <cell r="W642" t="str">
            <v>ZX</v>
          </cell>
          <cell r="X642" t="str">
            <v>JPY</v>
          </cell>
          <cell r="Y642">
            <v>12650000</v>
          </cell>
          <cell r="Z642">
            <v>1</v>
          </cell>
          <cell r="AA642">
            <v>12650000</v>
          </cell>
          <cell r="AB642">
            <v>7.3499999999999996E-2</v>
          </cell>
          <cell r="AC642">
            <v>929775</v>
          </cell>
          <cell r="AD642">
            <v>111573</v>
          </cell>
          <cell r="AE642">
            <v>0.12</v>
          </cell>
          <cell r="AF642">
            <v>43774</v>
          </cell>
          <cell r="AG642" t="str">
            <v>DAP GZ</v>
          </cell>
          <cell r="AI642"/>
          <cell r="AJ642"/>
          <cell r="AK642">
            <v>0.1</v>
          </cell>
          <cell r="AL642">
            <v>1265000</v>
          </cell>
          <cell r="AM642"/>
          <cell r="AN642" t="str">
            <v>No</v>
          </cell>
          <cell r="AO642">
            <v>0.9</v>
          </cell>
          <cell r="AP642">
            <v>11385000</v>
          </cell>
          <cell r="AQ642"/>
          <cell r="AR642"/>
          <cell r="AS642"/>
          <cell r="AT642"/>
          <cell r="AV642"/>
          <cell r="AX642" t="str">
            <v>Cancel</v>
          </cell>
          <cell r="AY642"/>
          <cell r="AZ642"/>
          <cell r="BA642" t="str">
            <v>Cancel</v>
          </cell>
        </row>
        <row r="643">
          <cell r="B643">
            <v>492</v>
          </cell>
          <cell r="C643" t="str">
            <v>C49SZX20190158ZX</v>
          </cell>
          <cell r="D643" t="str">
            <v>锘铧</v>
          </cell>
          <cell r="E643" t="str">
            <v>YSM20R(SV)-2</v>
          </cell>
          <cell r="F643" t="str">
            <v>#68462</v>
          </cell>
          <cell r="G643" t="e">
            <v>#REF!</v>
          </cell>
          <cell r="H643" t="e">
            <v>#REF!</v>
          </cell>
          <cell r="I643" t="str">
            <v>L-&gt;R</v>
          </cell>
          <cell r="J643" t="str">
            <v>No</v>
          </cell>
          <cell r="K643">
            <v>1</v>
          </cell>
          <cell r="L643" t="e">
            <v>#REF!</v>
          </cell>
          <cell r="M643" t="e">
            <v>#REF!</v>
          </cell>
          <cell r="N643"/>
          <cell r="O643"/>
          <cell r="P643"/>
          <cell r="Q643"/>
          <cell r="R643" t="str">
            <v>No</v>
          </cell>
          <cell r="S643" t="str">
            <v>C49</v>
          </cell>
          <cell r="T643" t="str">
            <v>SOUTH</v>
          </cell>
          <cell r="U643" t="str">
            <v>广州</v>
          </cell>
          <cell r="V643" t="str">
            <v>SZ 深圳</v>
          </cell>
          <cell r="W643" t="str">
            <v>ZX</v>
          </cell>
          <cell r="X643" t="str">
            <v>JPY</v>
          </cell>
          <cell r="Y643">
            <v>12650000</v>
          </cell>
          <cell r="Z643">
            <v>1</v>
          </cell>
          <cell r="AA643">
            <v>12650000</v>
          </cell>
          <cell r="AB643">
            <v>7.3499999999999996E-2</v>
          </cell>
          <cell r="AC643">
            <v>929775</v>
          </cell>
          <cell r="AD643">
            <v>111573</v>
          </cell>
          <cell r="AE643">
            <v>0.12</v>
          </cell>
          <cell r="AF643">
            <v>43774</v>
          </cell>
          <cell r="AG643" t="str">
            <v>DAP GZ</v>
          </cell>
          <cell r="AI643"/>
          <cell r="AJ643"/>
          <cell r="AK643">
            <v>0.1</v>
          </cell>
          <cell r="AL643">
            <v>1265000</v>
          </cell>
          <cell r="AM643"/>
          <cell r="AN643" t="str">
            <v>No</v>
          </cell>
          <cell r="AO643">
            <v>0.9</v>
          </cell>
          <cell r="AP643">
            <v>11385000</v>
          </cell>
          <cell r="AQ643"/>
          <cell r="AR643"/>
          <cell r="AS643"/>
          <cell r="AT643"/>
          <cell r="AV643"/>
          <cell r="AX643" t="str">
            <v>Cancel</v>
          </cell>
          <cell r="AY643"/>
          <cell r="AZ643"/>
          <cell r="BA643" t="str">
            <v>Cancel</v>
          </cell>
        </row>
        <row r="644">
          <cell r="B644">
            <v>493</v>
          </cell>
          <cell r="C644" t="str">
            <v>C49SZX20190158ZX</v>
          </cell>
          <cell r="D644" t="str">
            <v>锘铧</v>
          </cell>
          <cell r="E644" t="str">
            <v>YSM20R(SV)-2</v>
          </cell>
          <cell r="F644" t="str">
            <v>#68462</v>
          </cell>
          <cell r="G644" t="e">
            <v>#REF!</v>
          </cell>
          <cell r="H644" t="e">
            <v>#REF!</v>
          </cell>
          <cell r="I644" t="str">
            <v>L-&gt;R</v>
          </cell>
          <cell r="J644" t="str">
            <v>No</v>
          </cell>
          <cell r="K644">
            <v>1</v>
          </cell>
          <cell r="L644" t="e">
            <v>#REF!</v>
          </cell>
          <cell r="M644" t="e">
            <v>#REF!</v>
          </cell>
          <cell r="N644"/>
          <cell r="O644"/>
          <cell r="P644"/>
          <cell r="Q644"/>
          <cell r="R644" t="str">
            <v>No</v>
          </cell>
          <cell r="S644" t="str">
            <v>C49</v>
          </cell>
          <cell r="T644" t="str">
            <v>SOUTH</v>
          </cell>
          <cell r="U644" t="str">
            <v>广州</v>
          </cell>
          <cell r="V644" t="str">
            <v>SZ 深圳</v>
          </cell>
          <cell r="W644" t="str">
            <v>ZX</v>
          </cell>
          <cell r="X644" t="str">
            <v>JPY</v>
          </cell>
          <cell r="Y644">
            <v>12650000</v>
          </cell>
          <cell r="Z644">
            <v>1</v>
          </cell>
          <cell r="AA644">
            <v>12650000</v>
          </cell>
          <cell r="AB644">
            <v>7.3499999999999996E-2</v>
          </cell>
          <cell r="AC644">
            <v>929775</v>
          </cell>
          <cell r="AD644">
            <v>111573</v>
          </cell>
          <cell r="AE644">
            <v>0.12</v>
          </cell>
          <cell r="AF644">
            <v>43774</v>
          </cell>
          <cell r="AG644" t="str">
            <v>DAP GZ</v>
          </cell>
          <cell r="AI644"/>
          <cell r="AJ644"/>
          <cell r="AK644">
            <v>0.1</v>
          </cell>
          <cell r="AL644">
            <v>1265000</v>
          </cell>
          <cell r="AM644"/>
          <cell r="AN644" t="str">
            <v>No</v>
          </cell>
          <cell r="AO644">
            <v>0.9</v>
          </cell>
          <cell r="AP644">
            <v>11385000</v>
          </cell>
          <cell r="AQ644"/>
          <cell r="AR644"/>
          <cell r="AS644"/>
          <cell r="AT644"/>
          <cell r="AV644"/>
          <cell r="AX644" t="str">
            <v>Cancel</v>
          </cell>
          <cell r="AY644"/>
          <cell r="AZ644"/>
          <cell r="BA644" t="str">
            <v>Cancel</v>
          </cell>
        </row>
        <row r="645">
          <cell r="B645">
            <v>494</v>
          </cell>
          <cell r="C645" t="str">
            <v>C49SZX20190158ZX</v>
          </cell>
          <cell r="D645" t="str">
            <v>锘铧</v>
          </cell>
          <cell r="E645" t="str">
            <v>YSM20R(SV)-2</v>
          </cell>
          <cell r="F645" t="str">
            <v>#68462</v>
          </cell>
          <cell r="G645" t="e">
            <v>#REF!</v>
          </cell>
          <cell r="H645" t="e">
            <v>#REF!</v>
          </cell>
          <cell r="I645" t="str">
            <v>L-&gt;R</v>
          </cell>
          <cell r="J645" t="str">
            <v>No</v>
          </cell>
          <cell r="K645">
            <v>1</v>
          </cell>
          <cell r="L645" t="e">
            <v>#REF!</v>
          </cell>
          <cell r="M645" t="e">
            <v>#REF!</v>
          </cell>
          <cell r="N645"/>
          <cell r="O645"/>
          <cell r="P645"/>
          <cell r="Q645"/>
          <cell r="R645" t="str">
            <v>No</v>
          </cell>
          <cell r="S645" t="str">
            <v>C49</v>
          </cell>
          <cell r="T645" t="str">
            <v>SOUTH</v>
          </cell>
          <cell r="U645" t="str">
            <v>广州</v>
          </cell>
          <cell r="V645" t="str">
            <v>SZ 深圳</v>
          </cell>
          <cell r="W645" t="str">
            <v>ZX</v>
          </cell>
          <cell r="X645" t="str">
            <v>JPY</v>
          </cell>
          <cell r="Y645">
            <v>12650000</v>
          </cell>
          <cell r="Z645">
            <v>1</v>
          </cell>
          <cell r="AA645">
            <v>12650000</v>
          </cell>
          <cell r="AB645">
            <v>7.3499999999999996E-2</v>
          </cell>
          <cell r="AC645">
            <v>929775</v>
          </cell>
          <cell r="AD645">
            <v>111573</v>
          </cell>
          <cell r="AE645">
            <v>0.12</v>
          </cell>
          <cell r="AF645">
            <v>43774</v>
          </cell>
          <cell r="AG645" t="str">
            <v>DAP GZ</v>
          </cell>
          <cell r="AI645"/>
          <cell r="AJ645"/>
          <cell r="AK645">
            <v>0.1</v>
          </cell>
          <cell r="AL645">
            <v>1265000</v>
          </cell>
          <cell r="AM645"/>
          <cell r="AN645" t="str">
            <v>No</v>
          </cell>
          <cell r="AO645">
            <v>0.9</v>
          </cell>
          <cell r="AP645">
            <v>11385000</v>
          </cell>
          <cell r="AQ645"/>
          <cell r="AR645"/>
          <cell r="AS645"/>
          <cell r="AT645"/>
          <cell r="AV645"/>
          <cell r="AX645" t="str">
            <v>Cancel</v>
          </cell>
          <cell r="AY645"/>
          <cell r="AZ645"/>
          <cell r="BA645" t="str">
            <v>Cancel</v>
          </cell>
        </row>
        <row r="646">
          <cell r="B646">
            <v>495</v>
          </cell>
          <cell r="C646" t="str">
            <v>C49SZX20190158ZX</v>
          </cell>
          <cell r="D646" t="str">
            <v>锘铧</v>
          </cell>
          <cell r="E646" t="str">
            <v>YSM20R(SV)-2</v>
          </cell>
          <cell r="F646" t="str">
            <v>#68462</v>
          </cell>
          <cell r="G646" t="e">
            <v>#REF!</v>
          </cell>
          <cell r="H646" t="e">
            <v>#REF!</v>
          </cell>
          <cell r="I646" t="str">
            <v>L-&gt;R</v>
          </cell>
          <cell r="J646" t="str">
            <v>No</v>
          </cell>
          <cell r="K646">
            <v>1</v>
          </cell>
          <cell r="L646" t="e">
            <v>#REF!</v>
          </cell>
          <cell r="M646" t="e">
            <v>#REF!</v>
          </cell>
          <cell r="N646"/>
          <cell r="O646"/>
          <cell r="P646"/>
          <cell r="Q646"/>
          <cell r="R646" t="str">
            <v>No</v>
          </cell>
          <cell r="S646" t="str">
            <v>C49</v>
          </cell>
          <cell r="T646" t="str">
            <v>SOUTH</v>
          </cell>
          <cell r="U646" t="str">
            <v>广州</v>
          </cell>
          <cell r="V646" t="str">
            <v>SZ 深圳</v>
          </cell>
          <cell r="W646" t="str">
            <v>ZX</v>
          </cell>
          <cell r="X646" t="str">
            <v>JPY</v>
          </cell>
          <cell r="Y646">
            <v>12650000</v>
          </cell>
          <cell r="Z646">
            <v>1</v>
          </cell>
          <cell r="AA646">
            <v>12650000</v>
          </cell>
          <cell r="AB646">
            <v>7.3499999999999996E-2</v>
          </cell>
          <cell r="AC646">
            <v>929775</v>
          </cell>
          <cell r="AD646">
            <v>111573</v>
          </cell>
          <cell r="AE646">
            <v>0.12</v>
          </cell>
          <cell r="AF646">
            <v>43774</v>
          </cell>
          <cell r="AG646" t="str">
            <v>DAP GZ</v>
          </cell>
          <cell r="AI646"/>
          <cell r="AJ646"/>
          <cell r="AK646">
            <v>0.1</v>
          </cell>
          <cell r="AL646">
            <v>1265000</v>
          </cell>
          <cell r="AM646"/>
          <cell r="AN646" t="str">
            <v>No</v>
          </cell>
          <cell r="AO646">
            <v>0.9</v>
          </cell>
          <cell r="AP646">
            <v>11385000</v>
          </cell>
          <cell r="AQ646"/>
          <cell r="AR646"/>
          <cell r="AS646"/>
          <cell r="AT646"/>
          <cell r="AV646"/>
          <cell r="AX646" t="str">
            <v>Cancel</v>
          </cell>
          <cell r="AY646"/>
          <cell r="AZ646"/>
          <cell r="BA646" t="str">
            <v>Cancel</v>
          </cell>
        </row>
        <row r="647">
          <cell r="B647">
            <v>496</v>
          </cell>
          <cell r="C647" t="str">
            <v>C49SZX20190168JL</v>
          </cell>
          <cell r="D647" t="str">
            <v>名佳</v>
          </cell>
          <cell r="E647" t="str">
            <v>YSM10</v>
          </cell>
          <cell r="F647" t="str">
            <v>#29303</v>
          </cell>
          <cell r="G647" t="e">
            <v>#REF!</v>
          </cell>
          <cell r="H647" t="e">
            <v>#REF!</v>
          </cell>
          <cell r="I647" t="str">
            <v>L-&gt;R</v>
          </cell>
          <cell r="J647" t="str">
            <v>MVC</v>
          </cell>
          <cell r="K647">
            <v>1</v>
          </cell>
          <cell r="L647">
            <v>109686</v>
          </cell>
          <cell r="M647" t="str">
            <v>DEC 19</v>
          </cell>
          <cell r="N647">
            <v>43804</v>
          </cell>
          <cell r="O647">
            <v>11100358</v>
          </cell>
          <cell r="P647">
            <v>560000</v>
          </cell>
          <cell r="Q647">
            <v>43800</v>
          </cell>
          <cell r="R647" t="str">
            <v>No</v>
          </cell>
          <cell r="S647" t="str">
            <v>C49</v>
          </cell>
          <cell r="T647" t="str">
            <v>SOUTH</v>
          </cell>
          <cell r="U647" t="str">
            <v>中山</v>
          </cell>
          <cell r="V647" t="str">
            <v>SZ 深圳</v>
          </cell>
          <cell r="W647" t="str">
            <v>JL</v>
          </cell>
          <cell r="X647" t="str">
            <v>RMB</v>
          </cell>
          <cell r="Y647">
            <v>560000</v>
          </cell>
          <cell r="Z647">
            <v>1.1299999999999999</v>
          </cell>
          <cell r="AA647">
            <v>560000</v>
          </cell>
          <cell r="AB647">
            <v>1.1100000000000001</v>
          </cell>
          <cell r="AC647">
            <v>550088.49557522137</v>
          </cell>
          <cell r="AD647">
            <v>66010.619469026569</v>
          </cell>
          <cell r="AE647">
            <v>0.12</v>
          </cell>
          <cell r="AF647">
            <v>43777</v>
          </cell>
          <cell r="AG647" t="str">
            <v>含税到厂</v>
          </cell>
          <cell r="AK647">
            <v>0.2</v>
          </cell>
          <cell r="AL647">
            <v>112000</v>
          </cell>
          <cell r="AM647">
            <v>43800</v>
          </cell>
          <cell r="AN647" t="str">
            <v>Yes</v>
          </cell>
          <cell r="AO647">
            <v>0.8</v>
          </cell>
          <cell r="AP647">
            <v>448000</v>
          </cell>
          <cell r="AQ647">
            <v>43770</v>
          </cell>
          <cell r="AR647">
            <v>43797</v>
          </cell>
          <cell r="AX647" t="str">
            <v>Yes</v>
          </cell>
          <cell r="AZ647" t="str">
            <v>Y</v>
          </cell>
          <cell r="BA647" t="str">
            <v>Yes</v>
          </cell>
        </row>
        <row r="648">
          <cell r="B648">
            <v>497</v>
          </cell>
          <cell r="C648" t="str">
            <v>C49SZX20190165DZ</v>
          </cell>
          <cell r="D648" t="str">
            <v>铁甲</v>
          </cell>
          <cell r="E648" t="str">
            <v>YSM10</v>
          </cell>
          <cell r="F648" t="str">
            <v>#77786</v>
          </cell>
          <cell r="G648" t="e">
            <v>#REF!</v>
          </cell>
          <cell r="H648" t="e">
            <v>#REF!</v>
          </cell>
          <cell r="I648" t="str">
            <v>L-&gt;R</v>
          </cell>
          <cell r="J648" t="str">
            <v>No</v>
          </cell>
          <cell r="K648">
            <v>1</v>
          </cell>
          <cell r="L648">
            <v>109693</v>
          </cell>
          <cell r="M648" t="str">
            <v>NOV 19</v>
          </cell>
          <cell r="N648">
            <v>43795</v>
          </cell>
          <cell r="O648">
            <v>11116335</v>
          </cell>
          <cell r="P648">
            <v>7000000</v>
          </cell>
          <cell r="Q648">
            <v>43770</v>
          </cell>
          <cell r="R648" t="str">
            <v>No</v>
          </cell>
          <cell r="S648" t="str">
            <v>C49</v>
          </cell>
          <cell r="T648" t="str">
            <v>SOUTH</v>
          </cell>
          <cell r="U648" t="str">
            <v>深圳</v>
          </cell>
          <cell r="V648" t="str">
            <v>SZ 深圳</v>
          </cell>
          <cell r="W648" t="str">
            <v>DZ</v>
          </cell>
          <cell r="X648" t="str">
            <v>JPY</v>
          </cell>
          <cell r="Y648">
            <v>7000000</v>
          </cell>
          <cell r="Z648">
            <v>1</v>
          </cell>
          <cell r="AA648">
            <v>7000000</v>
          </cell>
          <cell r="AB648">
            <v>7.3499999999999996E-2</v>
          </cell>
          <cell r="AC648">
            <v>514500</v>
          </cell>
          <cell r="AD648">
            <v>61740</v>
          </cell>
          <cell r="AE648">
            <v>0.12</v>
          </cell>
          <cell r="AF648">
            <v>43781</v>
          </cell>
          <cell r="AG648" t="str">
            <v>CIF HK</v>
          </cell>
          <cell r="AK648">
            <v>0.3</v>
          </cell>
          <cell r="AL648">
            <v>2100000</v>
          </cell>
          <cell r="AM648">
            <v>43770</v>
          </cell>
          <cell r="AN648" t="str">
            <v>Yes</v>
          </cell>
          <cell r="AO648">
            <v>0.7</v>
          </cell>
          <cell r="AP648">
            <v>7000000</v>
          </cell>
          <cell r="AQ648">
            <v>43770</v>
          </cell>
          <cell r="AR648">
            <v>43789</v>
          </cell>
          <cell r="AZ648" t="str">
            <v>Y</v>
          </cell>
        </row>
        <row r="649">
          <cell r="B649">
            <v>498</v>
          </cell>
          <cell r="C649" t="str">
            <v>C49SZX20190165DZ</v>
          </cell>
          <cell r="D649" t="str">
            <v>铁甲</v>
          </cell>
          <cell r="E649" t="str">
            <v>YSM10</v>
          </cell>
          <cell r="F649" t="str">
            <v>#77786</v>
          </cell>
          <cell r="G649" t="e">
            <v>#REF!</v>
          </cell>
          <cell r="H649" t="e">
            <v>#REF!</v>
          </cell>
          <cell r="I649" t="str">
            <v>L-&gt;R</v>
          </cell>
          <cell r="J649" t="str">
            <v>No</v>
          </cell>
          <cell r="K649">
            <v>1</v>
          </cell>
          <cell r="L649">
            <v>109693</v>
          </cell>
          <cell r="M649" t="str">
            <v>NOV 19</v>
          </cell>
          <cell r="N649">
            <v>43795</v>
          </cell>
          <cell r="O649">
            <v>11116335</v>
          </cell>
          <cell r="P649">
            <v>7000000</v>
          </cell>
          <cell r="Q649">
            <v>43771</v>
          </cell>
          <cell r="R649" t="str">
            <v>No</v>
          </cell>
          <cell r="S649" t="str">
            <v>C49</v>
          </cell>
          <cell r="T649" t="str">
            <v>SOUTH</v>
          </cell>
          <cell r="U649" t="str">
            <v>深圳</v>
          </cell>
          <cell r="V649" t="str">
            <v>SZ 深圳</v>
          </cell>
          <cell r="W649" t="str">
            <v>DZ</v>
          </cell>
          <cell r="X649" t="str">
            <v>JPY</v>
          </cell>
          <cell r="Y649">
            <v>7000000</v>
          </cell>
          <cell r="Z649">
            <v>1</v>
          </cell>
          <cell r="AA649">
            <v>7000000</v>
          </cell>
          <cell r="AB649">
            <v>7.3499999999999996E-2</v>
          </cell>
          <cell r="AC649">
            <v>514500</v>
          </cell>
          <cell r="AD649">
            <v>61740</v>
          </cell>
          <cell r="AE649">
            <v>0.12</v>
          </cell>
          <cell r="AF649">
            <v>43781</v>
          </cell>
          <cell r="AG649" t="str">
            <v>CIF HK</v>
          </cell>
          <cell r="AK649">
            <v>0.3</v>
          </cell>
          <cell r="AL649">
            <v>2100000</v>
          </cell>
          <cell r="AM649">
            <v>43770</v>
          </cell>
          <cell r="AN649" t="str">
            <v>Yes</v>
          </cell>
          <cell r="AO649" t="str">
            <v>agree</v>
          </cell>
          <cell r="AP649">
            <v>2800000</v>
          </cell>
          <cell r="AZ649" t="str">
            <v>Y</v>
          </cell>
        </row>
        <row r="650">
          <cell r="B650">
            <v>499</v>
          </cell>
          <cell r="C650" t="str">
            <v>C49SZX20190163JY</v>
          </cell>
          <cell r="D650" t="str">
            <v>灿明</v>
          </cell>
          <cell r="E650" t="str">
            <v>YSM20R(SV)-2</v>
          </cell>
          <cell r="F650" t="str">
            <v>#04149</v>
          </cell>
          <cell r="G650" t="e">
            <v>#REF!</v>
          </cell>
          <cell r="H650" t="e">
            <v>#REF!</v>
          </cell>
          <cell r="I650" t="str">
            <v>L-&gt;R</v>
          </cell>
          <cell r="J650" t="str">
            <v>No</v>
          </cell>
          <cell r="K650">
            <v>1</v>
          </cell>
          <cell r="L650">
            <v>109730</v>
          </cell>
          <cell r="M650" t="str">
            <v>DEC 19</v>
          </cell>
          <cell r="N650">
            <v>43822</v>
          </cell>
          <cell r="O650">
            <v>11116344</v>
          </cell>
          <cell r="P650">
            <v>11000000</v>
          </cell>
          <cell r="Q650">
            <v>43800</v>
          </cell>
          <cell r="R650" t="str">
            <v>Yes</v>
          </cell>
          <cell r="S650" t="str">
            <v>C49</v>
          </cell>
          <cell r="T650" t="str">
            <v>SOUTH</v>
          </cell>
          <cell r="U650" t="str">
            <v>深圳</v>
          </cell>
          <cell r="V650" t="str">
            <v>SZ 深圳</v>
          </cell>
          <cell r="W650" t="str">
            <v>JY</v>
          </cell>
          <cell r="X650" t="str">
            <v>JPY</v>
          </cell>
          <cell r="Y650">
            <v>11000000</v>
          </cell>
          <cell r="Z650">
            <v>1</v>
          </cell>
          <cell r="AA650">
            <v>11000000</v>
          </cell>
          <cell r="AB650">
            <v>7.3499999999999996E-2</v>
          </cell>
          <cell r="AC650">
            <v>808500</v>
          </cell>
          <cell r="AD650">
            <v>97020</v>
          </cell>
          <cell r="AE650">
            <v>0.12</v>
          </cell>
          <cell r="AF650">
            <v>43781</v>
          </cell>
          <cell r="AG650" t="str">
            <v>DAP SZ</v>
          </cell>
          <cell r="AK650">
            <v>0.2</v>
          </cell>
          <cell r="AL650">
            <v>2200000</v>
          </cell>
          <cell r="AM650">
            <v>43770</v>
          </cell>
          <cell r="AN650" t="str">
            <v>Yes</v>
          </cell>
          <cell r="AO650">
            <v>0.8</v>
          </cell>
          <cell r="AP650">
            <v>8800000</v>
          </cell>
          <cell r="AQ650">
            <v>43800</v>
          </cell>
          <cell r="AR650">
            <v>43812</v>
          </cell>
          <cell r="AX650" t="str">
            <v>Yes</v>
          </cell>
          <cell r="AY650" t="str">
            <v>Yes</v>
          </cell>
          <cell r="AZ650" t="str">
            <v>Y</v>
          </cell>
          <cell r="BA650" t="str">
            <v>Yes</v>
          </cell>
        </row>
        <row r="651">
          <cell r="B651">
            <v>500</v>
          </cell>
          <cell r="C651" t="str">
            <v>C49SZX20190163JY</v>
          </cell>
          <cell r="D651" t="str">
            <v>灿明</v>
          </cell>
          <cell r="E651" t="str">
            <v>YSM20R(SV)-2</v>
          </cell>
          <cell r="F651" t="str">
            <v>#04149</v>
          </cell>
          <cell r="G651" t="e">
            <v>#REF!</v>
          </cell>
          <cell r="H651" t="e">
            <v>#REF!</v>
          </cell>
          <cell r="I651" t="str">
            <v>L-&gt;R</v>
          </cell>
          <cell r="J651" t="str">
            <v>No</v>
          </cell>
          <cell r="K651">
            <v>1</v>
          </cell>
          <cell r="L651">
            <v>109721</v>
          </cell>
          <cell r="M651" t="str">
            <v>DEC 19</v>
          </cell>
          <cell r="N651">
            <v>43822</v>
          </cell>
          <cell r="O651">
            <v>11116344</v>
          </cell>
          <cell r="P651">
            <v>11000000</v>
          </cell>
          <cell r="Q651">
            <v>43800</v>
          </cell>
          <cell r="R651" t="str">
            <v>Yes</v>
          </cell>
          <cell r="S651" t="str">
            <v>C49</v>
          </cell>
          <cell r="T651" t="str">
            <v>SOUTH</v>
          </cell>
          <cell r="U651" t="str">
            <v>深圳</v>
          </cell>
          <cell r="V651" t="str">
            <v>SZ 深圳</v>
          </cell>
          <cell r="W651" t="str">
            <v>JY</v>
          </cell>
          <cell r="X651" t="str">
            <v>JPY</v>
          </cell>
          <cell r="Y651">
            <v>11000000</v>
          </cell>
          <cell r="Z651">
            <v>1</v>
          </cell>
          <cell r="AA651">
            <v>11000000</v>
          </cell>
          <cell r="AB651">
            <v>7.3499999999999996E-2</v>
          </cell>
          <cell r="AC651">
            <v>808500</v>
          </cell>
          <cell r="AD651">
            <v>97020</v>
          </cell>
          <cell r="AE651">
            <v>0.12</v>
          </cell>
          <cell r="AF651">
            <v>43781</v>
          </cell>
          <cell r="AG651" t="str">
            <v>DAP SZ</v>
          </cell>
          <cell r="AK651">
            <v>0.2</v>
          </cell>
          <cell r="AL651">
            <v>2200000</v>
          </cell>
          <cell r="AM651">
            <v>43770</v>
          </cell>
          <cell r="AN651" t="str">
            <v>Yes</v>
          </cell>
          <cell r="AO651">
            <v>0.8</v>
          </cell>
          <cell r="AP651">
            <v>8800000</v>
          </cell>
          <cell r="AQ651">
            <v>43800</v>
          </cell>
          <cell r="AR651">
            <v>43812</v>
          </cell>
          <cell r="AX651" t="str">
            <v>Yes</v>
          </cell>
          <cell r="AY651" t="str">
            <v>Yes</v>
          </cell>
          <cell r="AZ651" t="str">
            <v>Y</v>
          </cell>
          <cell r="BA651" t="str">
            <v>Yes</v>
          </cell>
        </row>
        <row r="652">
          <cell r="B652">
            <v>501</v>
          </cell>
          <cell r="C652" t="str">
            <v>C49SZX20190163JY</v>
          </cell>
          <cell r="D652" t="str">
            <v>灿明</v>
          </cell>
          <cell r="E652" t="str">
            <v>YSM20R(SV)-2</v>
          </cell>
          <cell r="F652" t="str">
            <v>#04149</v>
          </cell>
          <cell r="G652" t="e">
            <v>#REF!</v>
          </cell>
          <cell r="H652" t="e">
            <v>#REF!</v>
          </cell>
          <cell r="I652" t="str">
            <v>L-&gt;R</v>
          </cell>
          <cell r="J652" t="str">
            <v>No</v>
          </cell>
          <cell r="K652">
            <v>1</v>
          </cell>
          <cell r="L652">
            <v>109721</v>
          </cell>
          <cell r="M652" t="str">
            <v>DEC 19</v>
          </cell>
          <cell r="N652">
            <v>43822</v>
          </cell>
          <cell r="O652">
            <v>11116344</v>
          </cell>
          <cell r="P652">
            <v>11000000</v>
          </cell>
          <cell r="Q652">
            <v>43800</v>
          </cell>
          <cell r="R652" t="str">
            <v>Yes</v>
          </cell>
          <cell r="S652" t="str">
            <v>C49</v>
          </cell>
          <cell r="T652" t="str">
            <v>SOUTH</v>
          </cell>
          <cell r="U652" t="str">
            <v>深圳</v>
          </cell>
          <cell r="V652" t="str">
            <v>SZ 深圳</v>
          </cell>
          <cell r="W652" t="str">
            <v>JY</v>
          </cell>
          <cell r="X652" t="str">
            <v>JPY</v>
          </cell>
          <cell r="Y652">
            <v>11000000</v>
          </cell>
          <cell r="Z652">
            <v>1</v>
          </cell>
          <cell r="AA652">
            <v>11000000</v>
          </cell>
          <cell r="AB652">
            <v>7.3499999999999996E-2</v>
          </cell>
          <cell r="AC652">
            <v>808500</v>
          </cell>
          <cell r="AD652">
            <v>97020</v>
          </cell>
          <cell r="AE652">
            <v>0.12</v>
          </cell>
          <cell r="AF652">
            <v>43781</v>
          </cell>
          <cell r="AG652" t="str">
            <v>DAP SZ</v>
          </cell>
          <cell r="AK652">
            <v>0.2</v>
          </cell>
          <cell r="AL652">
            <v>2200000</v>
          </cell>
          <cell r="AM652">
            <v>43770</v>
          </cell>
          <cell r="AN652" t="str">
            <v>Yes</v>
          </cell>
          <cell r="AO652">
            <v>0.8</v>
          </cell>
          <cell r="AP652">
            <v>8800000</v>
          </cell>
          <cell r="AQ652">
            <v>43800</v>
          </cell>
          <cell r="AR652">
            <v>43812</v>
          </cell>
          <cell r="AX652" t="str">
            <v>Yes</v>
          </cell>
          <cell r="AY652" t="str">
            <v>Yes</v>
          </cell>
          <cell r="AZ652" t="str">
            <v>Y</v>
          </cell>
          <cell r="BA652" t="str">
            <v>Yes</v>
          </cell>
        </row>
        <row r="653">
          <cell r="B653">
            <v>502</v>
          </cell>
          <cell r="C653" t="str">
            <v>C49SZX20190163JY</v>
          </cell>
          <cell r="D653" t="str">
            <v>灿明</v>
          </cell>
          <cell r="E653" t="str">
            <v>YSM20R(SV)-2</v>
          </cell>
          <cell r="F653" t="str">
            <v>#04149</v>
          </cell>
          <cell r="G653" t="e">
            <v>#REF!</v>
          </cell>
          <cell r="H653" t="e">
            <v>#REF!</v>
          </cell>
          <cell r="I653" t="str">
            <v>L-&gt;R</v>
          </cell>
          <cell r="J653" t="str">
            <v>No</v>
          </cell>
          <cell r="K653">
            <v>1</v>
          </cell>
          <cell r="L653">
            <v>109730</v>
          </cell>
          <cell r="M653" t="str">
            <v>DEC 19</v>
          </cell>
          <cell r="N653">
            <v>43822</v>
          </cell>
          <cell r="O653">
            <v>11116344</v>
          </cell>
          <cell r="P653">
            <v>11000000</v>
          </cell>
          <cell r="Q653">
            <v>43800</v>
          </cell>
          <cell r="R653" t="str">
            <v>Yes</v>
          </cell>
          <cell r="S653" t="str">
            <v>C49</v>
          </cell>
          <cell r="T653" t="str">
            <v>SOUTH</v>
          </cell>
          <cell r="U653" t="str">
            <v>深圳</v>
          </cell>
          <cell r="V653" t="str">
            <v>SZ 深圳</v>
          </cell>
          <cell r="W653" t="str">
            <v>JY</v>
          </cell>
          <cell r="X653" t="str">
            <v>JPY</v>
          </cell>
          <cell r="Y653">
            <v>11000000</v>
          </cell>
          <cell r="Z653">
            <v>1</v>
          </cell>
          <cell r="AA653">
            <v>11000000</v>
          </cell>
          <cell r="AB653">
            <v>7.3499999999999996E-2</v>
          </cell>
          <cell r="AC653">
            <v>808500</v>
          </cell>
          <cell r="AD653">
            <v>97020</v>
          </cell>
          <cell r="AE653">
            <v>0.12</v>
          </cell>
          <cell r="AF653">
            <v>43781</v>
          </cell>
          <cell r="AG653" t="str">
            <v>DAP SZ</v>
          </cell>
          <cell r="AK653">
            <v>0.2</v>
          </cell>
          <cell r="AL653">
            <v>2200000</v>
          </cell>
          <cell r="AM653">
            <v>43770</v>
          </cell>
          <cell r="AN653" t="str">
            <v>Yes</v>
          </cell>
          <cell r="AO653">
            <v>0.8</v>
          </cell>
          <cell r="AP653">
            <v>8800000</v>
          </cell>
          <cell r="AQ653">
            <v>43800</v>
          </cell>
          <cell r="AR653">
            <v>43812</v>
          </cell>
          <cell r="AX653" t="str">
            <v>Yes</v>
          </cell>
          <cell r="AY653" t="str">
            <v>Yes</v>
          </cell>
          <cell r="AZ653" t="str">
            <v>Y</v>
          </cell>
          <cell r="BA653" t="str">
            <v>Yes</v>
          </cell>
        </row>
        <row r="654">
          <cell r="B654">
            <v>503</v>
          </cell>
          <cell r="C654" t="str">
            <v>C49SZX20190163JY</v>
          </cell>
          <cell r="D654" t="str">
            <v>灿明</v>
          </cell>
          <cell r="E654" t="str">
            <v>YSM20R(SV)-2</v>
          </cell>
          <cell r="F654" t="str">
            <v>#04149</v>
          </cell>
          <cell r="G654" t="e">
            <v>#REF!</v>
          </cell>
          <cell r="H654" t="e">
            <v>#REF!</v>
          </cell>
          <cell r="I654" t="str">
            <v>L-&gt;R</v>
          </cell>
          <cell r="J654" t="str">
            <v>No</v>
          </cell>
          <cell r="K654">
            <v>1</v>
          </cell>
          <cell r="L654">
            <v>109721</v>
          </cell>
          <cell r="M654" t="str">
            <v>DEC 19</v>
          </cell>
          <cell r="N654">
            <v>43822</v>
          </cell>
          <cell r="O654">
            <v>11116344</v>
          </cell>
          <cell r="P654">
            <v>11000000</v>
          </cell>
          <cell r="Q654">
            <v>43800</v>
          </cell>
          <cell r="R654" t="str">
            <v>Yes</v>
          </cell>
          <cell r="S654" t="str">
            <v>C49</v>
          </cell>
          <cell r="T654" t="str">
            <v>SOUTH</v>
          </cell>
          <cell r="U654" t="str">
            <v>深圳</v>
          </cell>
          <cell r="V654" t="str">
            <v>SZ 深圳</v>
          </cell>
          <cell r="W654" t="str">
            <v>JY</v>
          </cell>
          <cell r="X654" t="str">
            <v>JPY</v>
          </cell>
          <cell r="Y654">
            <v>11000000</v>
          </cell>
          <cell r="Z654">
            <v>1</v>
          </cell>
          <cell r="AA654">
            <v>11000000</v>
          </cell>
          <cell r="AB654">
            <v>7.3499999999999996E-2</v>
          </cell>
          <cell r="AC654">
            <v>808500</v>
          </cell>
          <cell r="AD654">
            <v>97020</v>
          </cell>
          <cell r="AE654">
            <v>0.12</v>
          </cell>
          <cell r="AF654">
            <v>43781</v>
          </cell>
          <cell r="AG654" t="str">
            <v>DAP SZ</v>
          </cell>
          <cell r="AK654">
            <v>0.2</v>
          </cell>
          <cell r="AL654">
            <v>2200000</v>
          </cell>
          <cell r="AM654">
            <v>43770</v>
          </cell>
          <cell r="AN654" t="str">
            <v>Yes</v>
          </cell>
          <cell r="AO654">
            <v>0.8</v>
          </cell>
          <cell r="AP654">
            <v>8800000</v>
          </cell>
          <cell r="AQ654">
            <v>43800</v>
          </cell>
          <cell r="AR654">
            <v>43812</v>
          </cell>
          <cell r="AX654" t="str">
            <v>Yes</v>
          </cell>
          <cell r="AY654" t="str">
            <v>Yes</v>
          </cell>
          <cell r="AZ654" t="str">
            <v>Y</v>
          </cell>
          <cell r="BA654" t="str">
            <v>Yes</v>
          </cell>
        </row>
        <row r="655">
          <cell r="B655">
            <v>504</v>
          </cell>
          <cell r="C655" t="str">
            <v>C49SZX20190163JY</v>
          </cell>
          <cell r="D655" t="str">
            <v>灿明</v>
          </cell>
          <cell r="E655" t="str">
            <v>YSM10</v>
          </cell>
          <cell r="F655" t="str">
            <v>#04149</v>
          </cell>
          <cell r="G655" t="e">
            <v>#REF!</v>
          </cell>
          <cell r="H655" t="e">
            <v>#REF!</v>
          </cell>
          <cell r="I655" t="str">
            <v>L-&gt;R</v>
          </cell>
          <cell r="J655" t="str">
            <v>MVC</v>
          </cell>
          <cell r="K655">
            <v>1</v>
          </cell>
          <cell r="L655">
            <v>109685</v>
          </cell>
          <cell r="M655" t="str">
            <v>DEC 19</v>
          </cell>
          <cell r="N655">
            <v>43822</v>
          </cell>
          <cell r="O655">
            <v>11116344</v>
          </cell>
          <cell r="P655">
            <v>7750000</v>
          </cell>
          <cell r="Q655">
            <v>43800</v>
          </cell>
          <cell r="R655" t="str">
            <v>Yes</v>
          </cell>
          <cell r="S655" t="str">
            <v>C49</v>
          </cell>
          <cell r="T655" t="str">
            <v>SOUTH</v>
          </cell>
          <cell r="U655" t="str">
            <v>深圳</v>
          </cell>
          <cell r="V655" t="str">
            <v>SZ 深圳</v>
          </cell>
          <cell r="W655" t="str">
            <v>JY</v>
          </cell>
          <cell r="X655" t="str">
            <v>JPY</v>
          </cell>
          <cell r="Y655">
            <v>7750000</v>
          </cell>
          <cell r="Z655">
            <v>1</v>
          </cell>
          <cell r="AA655">
            <v>7750000</v>
          </cell>
          <cell r="AB655">
            <v>7.3499999999999996E-2</v>
          </cell>
          <cell r="AC655">
            <v>569625</v>
          </cell>
          <cell r="AD655">
            <v>68355</v>
          </cell>
          <cell r="AE655">
            <v>0.12</v>
          </cell>
          <cell r="AF655">
            <v>43781</v>
          </cell>
          <cell r="AG655" t="str">
            <v>DAP SZ</v>
          </cell>
          <cell r="AK655">
            <v>0.2</v>
          </cell>
          <cell r="AL655">
            <v>1550000</v>
          </cell>
          <cell r="AM655">
            <v>43770</v>
          </cell>
          <cell r="AN655" t="str">
            <v>Yes</v>
          </cell>
          <cell r="AO655">
            <v>0.8</v>
          </cell>
          <cell r="AP655">
            <v>6200000</v>
          </cell>
          <cell r="AQ655">
            <v>43800</v>
          </cell>
          <cell r="AR655">
            <v>43812</v>
          </cell>
          <cell r="AX655" t="str">
            <v>Yes</v>
          </cell>
          <cell r="AY655" t="str">
            <v>Yes</v>
          </cell>
          <cell r="AZ655" t="str">
            <v>Y</v>
          </cell>
          <cell r="BA655" t="str">
            <v>Yes</v>
          </cell>
        </row>
        <row r="656">
          <cell r="B656">
            <v>505</v>
          </cell>
          <cell r="C656" t="str">
            <v>C49SZX20190163JY</v>
          </cell>
          <cell r="D656" t="str">
            <v>灿明</v>
          </cell>
          <cell r="E656" t="str">
            <v>YSM10</v>
          </cell>
          <cell r="F656" t="str">
            <v>#04149</v>
          </cell>
          <cell r="G656" t="e">
            <v>#REF!</v>
          </cell>
          <cell r="H656" t="e">
            <v>#REF!</v>
          </cell>
          <cell r="I656" t="str">
            <v>L-&gt;R</v>
          </cell>
          <cell r="J656" t="str">
            <v>1.2m longboard+加大板相机</v>
          </cell>
          <cell r="K656">
            <v>1</v>
          </cell>
          <cell r="L656">
            <v>109685</v>
          </cell>
          <cell r="M656" t="str">
            <v>DEC 19</v>
          </cell>
          <cell r="N656">
            <v>43822</v>
          </cell>
          <cell r="O656">
            <v>11116344</v>
          </cell>
          <cell r="P656">
            <v>7750000</v>
          </cell>
          <cell r="Q656">
            <v>43800</v>
          </cell>
          <cell r="R656" t="str">
            <v>Yes</v>
          </cell>
          <cell r="S656" t="str">
            <v>C49</v>
          </cell>
          <cell r="T656" t="str">
            <v>SOUTH</v>
          </cell>
          <cell r="U656" t="str">
            <v>深圳</v>
          </cell>
          <cell r="V656" t="str">
            <v>SZ 深圳</v>
          </cell>
          <cell r="W656" t="str">
            <v>JY</v>
          </cell>
          <cell r="X656" t="str">
            <v>JPY</v>
          </cell>
          <cell r="Y656">
            <v>7750000</v>
          </cell>
          <cell r="Z656">
            <v>1</v>
          </cell>
          <cell r="AA656">
            <v>7750000</v>
          </cell>
          <cell r="AB656">
            <v>7.3499999999999996E-2</v>
          </cell>
          <cell r="AC656">
            <v>569625</v>
          </cell>
          <cell r="AD656">
            <v>68355</v>
          </cell>
          <cell r="AE656">
            <v>0.12</v>
          </cell>
          <cell r="AF656">
            <v>43781</v>
          </cell>
          <cell r="AG656" t="str">
            <v>DAP SZ</v>
          </cell>
          <cell r="AK656">
            <v>0.2</v>
          </cell>
          <cell r="AL656">
            <v>1550000</v>
          </cell>
          <cell r="AM656">
            <v>43770</v>
          </cell>
          <cell r="AN656" t="str">
            <v>Yes</v>
          </cell>
          <cell r="AO656">
            <v>0.8</v>
          </cell>
          <cell r="AP656">
            <v>6200000</v>
          </cell>
          <cell r="AQ656">
            <v>43800</v>
          </cell>
          <cell r="AR656">
            <v>43812</v>
          </cell>
          <cell r="AX656" t="str">
            <v>Yes</v>
          </cell>
          <cell r="AY656" t="str">
            <v>Yes</v>
          </cell>
          <cell r="AZ656" t="str">
            <v>Y</v>
          </cell>
          <cell r="BA656" t="str">
            <v>Yes</v>
          </cell>
        </row>
        <row r="657">
          <cell r="B657">
            <v>506</v>
          </cell>
          <cell r="C657" t="str">
            <v>C49SZX20190163JY</v>
          </cell>
          <cell r="D657" t="str">
            <v>灿明</v>
          </cell>
          <cell r="E657" t="str">
            <v>YSM10</v>
          </cell>
          <cell r="F657" t="str">
            <v>#04149</v>
          </cell>
          <cell r="G657" t="e">
            <v>#REF!</v>
          </cell>
          <cell r="H657" t="e">
            <v>#REF!</v>
          </cell>
          <cell r="I657" t="str">
            <v>L-&gt;R</v>
          </cell>
          <cell r="J657" t="str">
            <v>No</v>
          </cell>
          <cell r="K657">
            <v>1</v>
          </cell>
          <cell r="L657">
            <v>109685</v>
          </cell>
          <cell r="M657" t="str">
            <v>DEC 19</v>
          </cell>
          <cell r="N657">
            <v>43822</v>
          </cell>
          <cell r="O657">
            <v>11116344</v>
          </cell>
          <cell r="P657">
            <v>7750000</v>
          </cell>
          <cell r="Q657">
            <v>43800</v>
          </cell>
          <cell r="R657" t="str">
            <v>Yes</v>
          </cell>
          <cell r="S657" t="str">
            <v>C49</v>
          </cell>
          <cell r="T657" t="str">
            <v>SOUTH</v>
          </cell>
          <cell r="U657" t="str">
            <v>深圳</v>
          </cell>
          <cell r="V657" t="str">
            <v>SZ 深圳</v>
          </cell>
          <cell r="W657" t="str">
            <v>JY</v>
          </cell>
          <cell r="X657" t="str">
            <v>JPY</v>
          </cell>
          <cell r="Y657">
            <v>7750000</v>
          </cell>
          <cell r="Z657">
            <v>1</v>
          </cell>
          <cell r="AA657">
            <v>7750000</v>
          </cell>
          <cell r="AB657">
            <v>7.3499999999999996E-2</v>
          </cell>
          <cell r="AC657">
            <v>569625</v>
          </cell>
          <cell r="AD657">
            <v>68355</v>
          </cell>
          <cell r="AE657">
            <v>0.12</v>
          </cell>
          <cell r="AF657">
            <v>43781</v>
          </cell>
          <cell r="AG657" t="str">
            <v>DAP SZ</v>
          </cell>
          <cell r="AK657">
            <v>0.2</v>
          </cell>
          <cell r="AL657">
            <v>1550000</v>
          </cell>
          <cell r="AM657">
            <v>43770</v>
          </cell>
          <cell r="AN657" t="str">
            <v>Yes</v>
          </cell>
          <cell r="AO657">
            <v>0.8</v>
          </cell>
          <cell r="AP657">
            <v>6200000</v>
          </cell>
          <cell r="AQ657">
            <v>43800</v>
          </cell>
          <cell r="AR657">
            <v>43812</v>
          </cell>
          <cell r="AX657" t="str">
            <v>Yes</v>
          </cell>
          <cell r="AY657" t="str">
            <v>Yes</v>
          </cell>
          <cell r="AZ657" t="str">
            <v>Y</v>
          </cell>
          <cell r="BA657" t="str">
            <v>Yes</v>
          </cell>
        </row>
        <row r="658">
          <cell r="B658">
            <v>507</v>
          </cell>
          <cell r="C658" t="str">
            <v>C49SZX20190163JY</v>
          </cell>
          <cell r="D658" t="str">
            <v>灿明</v>
          </cell>
          <cell r="E658" t="str">
            <v>YSM10</v>
          </cell>
          <cell r="F658" t="str">
            <v>#04149</v>
          </cell>
          <cell r="G658" t="e">
            <v>#REF!</v>
          </cell>
          <cell r="H658" t="e">
            <v>#REF!</v>
          </cell>
          <cell r="I658" t="str">
            <v>L-&gt;R</v>
          </cell>
          <cell r="J658" t="str">
            <v>No</v>
          </cell>
          <cell r="K658">
            <v>1</v>
          </cell>
          <cell r="L658">
            <v>109693</v>
          </cell>
          <cell r="M658" t="str">
            <v>DEC 19</v>
          </cell>
          <cell r="N658">
            <v>43822</v>
          </cell>
          <cell r="O658">
            <v>11116344</v>
          </cell>
          <cell r="P658">
            <v>7750000</v>
          </cell>
          <cell r="Q658">
            <v>43800</v>
          </cell>
          <cell r="R658" t="str">
            <v>Yes</v>
          </cell>
          <cell r="S658" t="str">
            <v>C49</v>
          </cell>
          <cell r="T658" t="str">
            <v>SOUTH</v>
          </cell>
          <cell r="U658" t="str">
            <v>深圳</v>
          </cell>
          <cell r="V658" t="str">
            <v>SZ 深圳</v>
          </cell>
          <cell r="W658" t="str">
            <v>JY</v>
          </cell>
          <cell r="X658" t="str">
            <v>JPY</v>
          </cell>
          <cell r="Y658">
            <v>7750000</v>
          </cell>
          <cell r="Z658">
            <v>1</v>
          </cell>
          <cell r="AA658">
            <v>7750000</v>
          </cell>
          <cell r="AB658">
            <v>7.3499999999999996E-2</v>
          </cell>
          <cell r="AC658">
            <v>569625</v>
          </cell>
          <cell r="AD658">
            <v>68355</v>
          </cell>
          <cell r="AE658">
            <v>0.12</v>
          </cell>
          <cell r="AF658">
            <v>43781</v>
          </cell>
          <cell r="AG658" t="str">
            <v>DAP SZ</v>
          </cell>
          <cell r="AK658">
            <v>0.2</v>
          </cell>
          <cell r="AL658">
            <v>1550000</v>
          </cell>
          <cell r="AM658">
            <v>43770</v>
          </cell>
          <cell r="AN658" t="str">
            <v>Yes</v>
          </cell>
          <cell r="AO658">
            <v>0.8</v>
          </cell>
          <cell r="AP658">
            <v>6200000</v>
          </cell>
          <cell r="AQ658">
            <v>43800</v>
          </cell>
          <cell r="AR658">
            <v>43812</v>
          </cell>
          <cell r="AX658" t="str">
            <v>Yes</v>
          </cell>
          <cell r="AY658" t="str">
            <v>Yes</v>
          </cell>
          <cell r="AZ658" t="str">
            <v>Y</v>
          </cell>
          <cell r="BA658" t="str">
            <v>Yes</v>
          </cell>
        </row>
        <row r="659">
          <cell r="B659">
            <v>508</v>
          </cell>
          <cell r="C659" t="str">
            <v>C49SZX20190160ZX</v>
          </cell>
          <cell r="D659" t="str">
            <v>德兰明海</v>
          </cell>
          <cell r="E659" t="str">
            <v>YSM20R(SV)-2</v>
          </cell>
          <cell r="F659" t="str">
            <v>NA</v>
          </cell>
          <cell r="G659" t="e">
            <v>#REF!</v>
          </cell>
          <cell r="H659" t="e">
            <v>#REF!</v>
          </cell>
          <cell r="I659" t="str">
            <v>R-&gt;L</v>
          </cell>
          <cell r="J659" t="str">
            <v>MVC</v>
          </cell>
          <cell r="K659">
            <v>1</v>
          </cell>
          <cell r="L659" t="e">
            <v>#REF!</v>
          </cell>
          <cell r="M659" t="e">
            <v>#REF!</v>
          </cell>
          <cell r="N659"/>
          <cell r="O659"/>
          <cell r="P659"/>
          <cell r="Q659"/>
          <cell r="R659" t="str">
            <v>No</v>
          </cell>
          <cell r="S659" t="str">
            <v>C49</v>
          </cell>
          <cell r="T659" t="str">
            <v>SOUTH</v>
          </cell>
          <cell r="U659" t="str">
            <v>深圳</v>
          </cell>
          <cell r="V659" t="str">
            <v>SZ 深圳</v>
          </cell>
          <cell r="W659" t="str">
            <v>ZX</v>
          </cell>
          <cell r="X659" t="str">
            <v>JPY</v>
          </cell>
          <cell r="Y659">
            <v>14700000</v>
          </cell>
          <cell r="Z659">
            <v>1</v>
          </cell>
          <cell r="AA659">
            <v>14700000</v>
          </cell>
          <cell r="AB659">
            <v>7.3499999999999996E-2</v>
          </cell>
          <cell r="AC659">
            <v>1080450</v>
          </cell>
          <cell r="AD659">
            <v>129654</v>
          </cell>
          <cell r="AE659">
            <v>0.12</v>
          </cell>
          <cell r="AF659">
            <v>43780</v>
          </cell>
          <cell r="AG659" t="str">
            <v>DAP HZ</v>
          </cell>
          <cell r="AH659"/>
          <cell r="AI659"/>
          <cell r="AJ659"/>
          <cell r="AK659">
            <v>0.1</v>
          </cell>
          <cell r="AL659">
            <v>1470000</v>
          </cell>
          <cell r="AM659">
            <v>43770</v>
          </cell>
          <cell r="AN659" t="str">
            <v>Yes</v>
          </cell>
          <cell r="AO659">
            <v>0.9</v>
          </cell>
          <cell r="AP659">
            <v>13230000</v>
          </cell>
          <cell r="AQ659"/>
          <cell r="AR659"/>
          <cell r="AS659"/>
          <cell r="AT659"/>
          <cell r="AU659"/>
          <cell r="AV659"/>
          <cell r="AW659"/>
          <cell r="AX659" t="str">
            <v>Cancel</v>
          </cell>
          <cell r="AY659"/>
          <cell r="AZ659"/>
          <cell r="BA659" t="str">
            <v>Cancel</v>
          </cell>
          <cell r="BB659"/>
        </row>
        <row r="660">
          <cell r="B660">
            <v>509</v>
          </cell>
          <cell r="C660" t="str">
            <v>C28SZX20190085YY</v>
          </cell>
          <cell r="D660" t="str">
            <v>中控</v>
          </cell>
          <cell r="E660" t="str">
            <v>Heller 1826MK5</v>
          </cell>
          <cell r="F660" t="str">
            <v>No</v>
          </cell>
          <cell r="G660" t="e">
            <v>#REF!</v>
          </cell>
          <cell r="H660" t="e">
            <v>#REF!</v>
          </cell>
          <cell r="I660" t="str">
            <v>L-&gt;R</v>
          </cell>
          <cell r="J660" t="str">
            <v>No</v>
          </cell>
          <cell r="K660">
            <v>1</v>
          </cell>
          <cell r="L660" t="str">
            <v>28P100892</v>
          </cell>
          <cell r="M660" t="str">
            <v>DEC 19</v>
          </cell>
          <cell r="N660">
            <v>43816</v>
          </cell>
          <cell r="O660">
            <v>11116344</v>
          </cell>
          <cell r="P660">
            <v>260000</v>
          </cell>
          <cell r="Q660">
            <v>43800</v>
          </cell>
          <cell r="R660" t="str">
            <v>No</v>
          </cell>
          <cell r="S660" t="str">
            <v>C28</v>
          </cell>
          <cell r="T660" t="str">
            <v>SOUTH</v>
          </cell>
          <cell r="U660" t="str">
            <v>深圳</v>
          </cell>
          <cell r="V660" t="str">
            <v>SZ 深圳</v>
          </cell>
          <cell r="W660" t="str">
            <v>Yann</v>
          </cell>
          <cell r="X660" t="str">
            <v>RMB</v>
          </cell>
          <cell r="Y660">
            <v>260000</v>
          </cell>
          <cell r="Z660">
            <v>1.1299999999999999</v>
          </cell>
          <cell r="AA660">
            <v>260000</v>
          </cell>
          <cell r="AB660">
            <v>1.1100000000000001</v>
          </cell>
          <cell r="AC660">
            <v>255398.23008849562</v>
          </cell>
          <cell r="AD660">
            <v>30647.787610619474</v>
          </cell>
          <cell r="AE660">
            <v>0.12</v>
          </cell>
          <cell r="AF660">
            <v>43766</v>
          </cell>
          <cell r="AG660" t="str">
            <v>含税到厂</v>
          </cell>
          <cell r="AK660">
            <v>0.3</v>
          </cell>
          <cell r="AL660">
            <v>78000</v>
          </cell>
          <cell r="AM660">
            <v>43770</v>
          </cell>
          <cell r="AN660" t="str">
            <v>Yes</v>
          </cell>
          <cell r="AO660">
            <v>0.6</v>
          </cell>
          <cell r="AP660">
            <v>156000</v>
          </cell>
          <cell r="AQ660">
            <v>43800</v>
          </cell>
          <cell r="AR660">
            <v>43811</v>
          </cell>
          <cell r="AS660">
            <v>0.1</v>
          </cell>
          <cell r="AT660">
            <v>26000</v>
          </cell>
          <cell r="AU660">
            <v>43831</v>
          </cell>
          <cell r="AV660">
            <v>43846</v>
          </cell>
          <cell r="AX660" t="str">
            <v>Yes</v>
          </cell>
        </row>
        <row r="661">
          <cell r="B661">
            <v>510</v>
          </cell>
          <cell r="C661" t="str">
            <v>C49SZX20190617SS</v>
          </cell>
          <cell r="D661" t="str">
            <v>乐上</v>
          </cell>
          <cell r="E661" t="str">
            <v>YSM10</v>
          </cell>
          <cell r="F661" t="str">
            <v>#03636</v>
          </cell>
          <cell r="G661" t="e">
            <v>#REF!</v>
          </cell>
          <cell r="H661" t="e">
            <v>#REF!</v>
          </cell>
          <cell r="I661" t="str">
            <v>L-&gt;R</v>
          </cell>
          <cell r="J661" t="str">
            <v>MVC</v>
          </cell>
          <cell r="K661">
            <v>1</v>
          </cell>
          <cell r="L661">
            <v>109693</v>
          </cell>
          <cell r="M661" t="str">
            <v>NOV 19</v>
          </cell>
          <cell r="N661">
            <v>43795</v>
          </cell>
          <cell r="O661">
            <v>11116337</v>
          </cell>
          <cell r="P661">
            <v>8200000</v>
          </cell>
          <cell r="Q661">
            <v>43770</v>
          </cell>
          <cell r="R661" t="str">
            <v>No</v>
          </cell>
          <cell r="S661" t="str">
            <v>C49</v>
          </cell>
          <cell r="T661" t="str">
            <v>SOUTH</v>
          </cell>
          <cell r="U661" t="str">
            <v>深圳</v>
          </cell>
          <cell r="V661" t="str">
            <v>SZ 深圳</v>
          </cell>
          <cell r="W661" t="str">
            <v>SS</v>
          </cell>
          <cell r="X661" t="str">
            <v>JPY</v>
          </cell>
          <cell r="Y661">
            <v>8200000</v>
          </cell>
          <cell r="Z661">
            <v>1</v>
          </cell>
          <cell r="AA661">
            <v>8200000</v>
          </cell>
          <cell r="AB661">
            <v>7.3499999999999996E-2</v>
          </cell>
          <cell r="AC661">
            <v>602700</v>
          </cell>
          <cell r="AD661">
            <v>72324</v>
          </cell>
          <cell r="AE661">
            <v>0.12</v>
          </cell>
          <cell r="AF661">
            <v>43781</v>
          </cell>
          <cell r="AG661" t="str">
            <v>DAP DG</v>
          </cell>
          <cell r="AK661">
            <v>0.2</v>
          </cell>
          <cell r="AL661">
            <v>1640000</v>
          </cell>
          <cell r="AM661">
            <v>43770</v>
          </cell>
          <cell r="AN661" t="str">
            <v>Yes</v>
          </cell>
          <cell r="AO661">
            <v>0.8</v>
          </cell>
          <cell r="AP661">
            <v>6560000</v>
          </cell>
          <cell r="AQ661">
            <v>43770</v>
          </cell>
          <cell r="AR661">
            <v>43791</v>
          </cell>
          <cell r="AS661">
            <v>0</v>
          </cell>
          <cell r="AT661">
            <v>0</v>
          </cell>
          <cell r="AW661" t="str">
            <v>complete</v>
          </cell>
          <cell r="AX661" t="str">
            <v>Yes</v>
          </cell>
          <cell r="AZ661" t="str">
            <v>Y</v>
          </cell>
          <cell r="BA661" t="str">
            <v>Yes</v>
          </cell>
        </row>
        <row r="662">
          <cell r="B662">
            <v>511</v>
          </cell>
          <cell r="C662" t="str">
            <v>C49SZX20190170SS</v>
          </cell>
          <cell r="D662" t="str">
            <v>佰德力</v>
          </cell>
          <cell r="E662" t="str">
            <v>YSM40R-4</v>
          </cell>
          <cell r="F662" t="str">
            <v>#04127</v>
          </cell>
          <cell r="G662" t="e">
            <v>#REF!</v>
          </cell>
          <cell r="H662" t="e">
            <v>#REF!</v>
          </cell>
          <cell r="I662" t="str">
            <v>L-&gt;R</v>
          </cell>
          <cell r="J662" t="str">
            <v>No</v>
          </cell>
          <cell r="K662">
            <v>1</v>
          </cell>
          <cell r="L662" t="e">
            <v>#N/A</v>
          </cell>
          <cell r="M662" t="e">
            <v>#N/A</v>
          </cell>
          <cell r="N662"/>
          <cell r="O662"/>
          <cell r="P662"/>
          <cell r="Q662"/>
          <cell r="R662" t="str">
            <v>Yes</v>
          </cell>
          <cell r="S662" t="str">
            <v>C49</v>
          </cell>
          <cell r="T662" t="str">
            <v>SOUTH</v>
          </cell>
          <cell r="U662" t="str">
            <v>深圳</v>
          </cell>
          <cell r="V662" t="str">
            <v>SZ 深圳</v>
          </cell>
          <cell r="W662" t="str">
            <v>SS</v>
          </cell>
          <cell r="X662" t="str">
            <v>RMB</v>
          </cell>
          <cell r="Y662">
            <v>1360000</v>
          </cell>
          <cell r="Z662">
            <v>1.1299999999999999</v>
          </cell>
          <cell r="AA662">
            <v>1360000</v>
          </cell>
          <cell r="AB662">
            <v>1.1100000000000001</v>
          </cell>
          <cell r="AC662">
            <v>1335929.2035398234</v>
          </cell>
          <cell r="AD662">
            <v>160311.5044247788</v>
          </cell>
          <cell r="AE662">
            <v>0.12</v>
          </cell>
          <cell r="AF662">
            <v>43788</v>
          </cell>
          <cell r="AG662" t="str">
            <v>含税到厂</v>
          </cell>
          <cell r="AI662"/>
          <cell r="AJ662"/>
          <cell r="AK662">
            <v>0.2</v>
          </cell>
          <cell r="AL662">
            <v>272000</v>
          </cell>
          <cell r="AM662"/>
          <cell r="AN662" t="str">
            <v>No</v>
          </cell>
          <cell r="AO662">
            <v>0.8</v>
          </cell>
          <cell r="AP662">
            <v>1088000</v>
          </cell>
          <cell r="AQ662"/>
          <cell r="AR662"/>
          <cell r="AS662">
            <v>0</v>
          </cell>
          <cell r="AT662">
            <v>0</v>
          </cell>
          <cell r="AV662"/>
          <cell r="AX662" t="str">
            <v>Cancel</v>
          </cell>
          <cell r="AY662"/>
          <cell r="AZ662"/>
          <cell r="BA662"/>
        </row>
        <row r="663">
          <cell r="B663">
            <v>512</v>
          </cell>
          <cell r="C663" t="str">
            <v>C49SZX20190171CX</v>
          </cell>
          <cell r="D663" t="str">
            <v>君博信</v>
          </cell>
          <cell r="E663" t="str">
            <v>YSM20R(SV)-2</v>
          </cell>
          <cell r="F663" t="str">
            <v>#03771</v>
          </cell>
          <cell r="G663" t="e">
            <v>#REF!</v>
          </cell>
          <cell r="H663" t="e">
            <v>#REF!</v>
          </cell>
          <cell r="I663" t="str">
            <v>L-&gt;R</v>
          </cell>
          <cell r="J663" t="str">
            <v>No</v>
          </cell>
          <cell r="K663">
            <v>1</v>
          </cell>
          <cell r="L663">
            <v>109664</v>
          </cell>
          <cell r="M663" t="str">
            <v>DEC 19</v>
          </cell>
          <cell r="N663">
            <v>43812</v>
          </cell>
          <cell r="O663">
            <v>11116340</v>
          </cell>
          <cell r="P663">
            <v>12600000</v>
          </cell>
          <cell r="Q663">
            <v>43800</v>
          </cell>
          <cell r="R663" t="str">
            <v>No</v>
          </cell>
          <cell r="S663" t="str">
            <v>C49</v>
          </cell>
          <cell r="T663" t="str">
            <v>SOUTH</v>
          </cell>
          <cell r="U663" t="str">
            <v>深圳</v>
          </cell>
          <cell r="V663" t="str">
            <v>SZ 深圳</v>
          </cell>
          <cell r="W663" t="str">
            <v>CX</v>
          </cell>
          <cell r="X663" t="str">
            <v>JPY</v>
          </cell>
          <cell r="Y663">
            <v>12600000</v>
          </cell>
          <cell r="Z663">
            <v>1</v>
          </cell>
          <cell r="AA663">
            <v>12600000</v>
          </cell>
          <cell r="AB663">
            <v>7.3499999999999996E-2</v>
          </cell>
          <cell r="AC663">
            <v>926100</v>
          </cell>
          <cell r="AD663">
            <v>111132</v>
          </cell>
          <cell r="AE663">
            <v>0.12</v>
          </cell>
          <cell r="AF663">
            <v>43789</v>
          </cell>
          <cell r="AG663" t="str">
            <v>DAP SZ</v>
          </cell>
          <cell r="AK663">
            <v>0.2</v>
          </cell>
          <cell r="AL663">
            <v>2520000</v>
          </cell>
          <cell r="AM663">
            <v>43800</v>
          </cell>
          <cell r="AN663" t="str">
            <v>Yes</v>
          </cell>
          <cell r="AO663">
            <v>0.8</v>
          </cell>
          <cell r="AP663">
            <v>10080000</v>
          </cell>
          <cell r="AQ663">
            <v>43800</v>
          </cell>
          <cell r="AR663">
            <v>43809</v>
          </cell>
          <cell r="AT663">
            <v>0</v>
          </cell>
          <cell r="AX663" t="str">
            <v>Yes</v>
          </cell>
        </row>
        <row r="664">
          <cell r="B664">
            <v>513</v>
          </cell>
          <cell r="C664" t="str">
            <v>C49SZX20190172ZX</v>
          </cell>
          <cell r="D664" t="str">
            <v>宽宏</v>
          </cell>
          <cell r="E664" t="str">
            <v>YSM10</v>
          </cell>
          <cell r="F664" t="str">
            <v>#80565</v>
          </cell>
          <cell r="G664" t="e">
            <v>#REF!</v>
          </cell>
          <cell r="H664" t="e">
            <v>#REF!</v>
          </cell>
          <cell r="I664" t="str">
            <v>L-&gt;R</v>
          </cell>
          <cell r="J664" t="str">
            <v>MVC+ATS15</v>
          </cell>
          <cell r="K664">
            <v>1</v>
          </cell>
          <cell r="L664">
            <v>109686</v>
          </cell>
          <cell r="M664" t="str">
            <v>JAN 20</v>
          </cell>
          <cell r="N664">
            <v>43838</v>
          </cell>
          <cell r="O664">
            <v>11116339</v>
          </cell>
          <cell r="P664">
            <v>9000000</v>
          </cell>
          <cell r="Q664">
            <v>43770</v>
          </cell>
          <cell r="R664" t="str">
            <v>No</v>
          </cell>
          <cell r="S664" t="str">
            <v>C49</v>
          </cell>
          <cell r="T664" t="str">
            <v>SOUTH</v>
          </cell>
          <cell r="U664" t="str">
            <v>深圳</v>
          </cell>
          <cell r="V664" t="str">
            <v>SZ 深圳</v>
          </cell>
          <cell r="W664" t="str">
            <v>ZX</v>
          </cell>
          <cell r="X664" t="str">
            <v>JPY</v>
          </cell>
          <cell r="Y664">
            <v>9000000</v>
          </cell>
          <cell r="Z664">
            <v>1</v>
          </cell>
          <cell r="AA664">
            <v>9000000</v>
          </cell>
          <cell r="AB664">
            <v>7.3499999999999996E-2</v>
          </cell>
          <cell r="AC664">
            <v>661500</v>
          </cell>
          <cell r="AD664">
            <v>79380</v>
          </cell>
          <cell r="AE664">
            <v>0.12</v>
          </cell>
          <cell r="AF664">
            <v>43790</v>
          </cell>
          <cell r="AG664" t="str">
            <v>CIF HK</v>
          </cell>
          <cell r="AK664">
            <v>0.1</v>
          </cell>
          <cell r="AL664">
            <v>2220000</v>
          </cell>
          <cell r="AM664">
            <v>43794</v>
          </cell>
          <cell r="AN664" t="str">
            <v>Yes</v>
          </cell>
          <cell r="AO664">
            <v>0.9</v>
          </cell>
          <cell r="AP664">
            <v>6780000</v>
          </cell>
          <cell r="AQ664">
            <v>43770</v>
          </cell>
          <cell r="AR664">
            <v>43808</v>
          </cell>
          <cell r="AT664">
            <v>0</v>
          </cell>
          <cell r="AX664" t="str">
            <v>Yes</v>
          </cell>
          <cell r="AZ664" t="str">
            <v>Y</v>
          </cell>
          <cell r="BA664" t="str">
            <v>Yes</v>
          </cell>
        </row>
        <row r="665">
          <cell r="B665">
            <v>514</v>
          </cell>
          <cell r="C665" t="str">
            <v>C49SZX20190172ZX</v>
          </cell>
          <cell r="D665" t="str">
            <v>宽宏</v>
          </cell>
          <cell r="E665" t="str">
            <v>YSM20R(SV)-2</v>
          </cell>
          <cell r="F665" t="str">
            <v>#80565</v>
          </cell>
          <cell r="G665" t="e">
            <v>#REF!</v>
          </cell>
          <cell r="H665" t="e">
            <v>#REF!</v>
          </cell>
          <cell r="I665" t="str">
            <v>L-&gt;R</v>
          </cell>
          <cell r="J665" t="str">
            <v>No</v>
          </cell>
          <cell r="K665">
            <v>1</v>
          </cell>
          <cell r="L665">
            <v>109664</v>
          </cell>
          <cell r="M665" t="str">
            <v>JAN 20</v>
          </cell>
          <cell r="N665">
            <v>43838</v>
          </cell>
          <cell r="O665">
            <v>11116339</v>
          </cell>
          <cell r="P665">
            <v>12900000</v>
          </cell>
          <cell r="Q665">
            <v>43770</v>
          </cell>
          <cell r="R665" t="str">
            <v>No</v>
          </cell>
          <cell r="S665" t="str">
            <v>C49</v>
          </cell>
          <cell r="T665" t="str">
            <v>SOUTH</v>
          </cell>
          <cell r="U665" t="str">
            <v>深圳</v>
          </cell>
          <cell r="V665" t="str">
            <v>SZ 深圳</v>
          </cell>
          <cell r="W665" t="str">
            <v>ZX</v>
          </cell>
          <cell r="X665" t="str">
            <v>JPY</v>
          </cell>
          <cell r="Y665">
            <v>12900000</v>
          </cell>
          <cell r="Z665">
            <v>1</v>
          </cell>
          <cell r="AA665">
            <v>12900000</v>
          </cell>
          <cell r="AB665">
            <v>7.3499999999999996E-2</v>
          </cell>
          <cell r="AC665">
            <v>948150</v>
          </cell>
          <cell r="AD665">
            <v>113778</v>
          </cell>
          <cell r="AE665">
            <v>0.12</v>
          </cell>
          <cell r="AF665">
            <v>43790</v>
          </cell>
          <cell r="AG665" t="str">
            <v>CIF HK</v>
          </cell>
          <cell r="AK665">
            <v>0.1</v>
          </cell>
          <cell r="AL665">
            <v>1290000</v>
          </cell>
          <cell r="AM665">
            <v>43795</v>
          </cell>
          <cell r="AN665" t="str">
            <v>Yes</v>
          </cell>
          <cell r="AO665">
            <v>0.9</v>
          </cell>
          <cell r="AP665">
            <v>11610000</v>
          </cell>
          <cell r="AQ665">
            <v>43770</v>
          </cell>
          <cell r="AR665">
            <v>43798</v>
          </cell>
          <cell r="AT665">
            <v>0</v>
          </cell>
          <cell r="AX665" t="str">
            <v>Yes</v>
          </cell>
          <cell r="AZ665" t="str">
            <v>Y</v>
          </cell>
          <cell r="BA665" t="str">
            <v>Yes</v>
          </cell>
        </row>
        <row r="666">
          <cell r="B666">
            <v>515</v>
          </cell>
          <cell r="C666" t="str">
            <v>C49SZX20190172ZX</v>
          </cell>
          <cell r="D666" t="str">
            <v>宽宏</v>
          </cell>
          <cell r="E666" t="str">
            <v>YSM20R(SV)-2</v>
          </cell>
          <cell r="F666" t="str">
            <v>#80565</v>
          </cell>
          <cell r="G666" t="e">
            <v>#REF!</v>
          </cell>
          <cell r="H666" t="e">
            <v>#REF!</v>
          </cell>
          <cell r="I666" t="str">
            <v>L-&gt;R</v>
          </cell>
          <cell r="J666" t="str">
            <v>No</v>
          </cell>
          <cell r="K666">
            <v>1</v>
          </cell>
          <cell r="L666">
            <v>109664</v>
          </cell>
          <cell r="M666" t="str">
            <v>JAN 20</v>
          </cell>
          <cell r="N666">
            <v>43838</v>
          </cell>
          <cell r="O666">
            <v>11116339</v>
          </cell>
          <cell r="P666">
            <v>12900000</v>
          </cell>
          <cell r="Q666">
            <v>43770</v>
          </cell>
          <cell r="R666" t="str">
            <v>No</v>
          </cell>
          <cell r="S666" t="str">
            <v>C49</v>
          </cell>
          <cell r="T666" t="str">
            <v>SOUTH</v>
          </cell>
          <cell r="U666" t="str">
            <v>深圳</v>
          </cell>
          <cell r="V666" t="str">
            <v>SZ 深圳</v>
          </cell>
          <cell r="W666" t="str">
            <v>ZX</v>
          </cell>
          <cell r="X666" t="str">
            <v>JPY</v>
          </cell>
          <cell r="Y666">
            <v>12900000</v>
          </cell>
          <cell r="Z666">
            <v>1</v>
          </cell>
          <cell r="AA666">
            <v>12900000</v>
          </cell>
          <cell r="AB666">
            <v>7.3499999999999996E-2</v>
          </cell>
          <cell r="AC666">
            <v>948150</v>
          </cell>
          <cell r="AD666">
            <v>113778</v>
          </cell>
          <cell r="AE666">
            <v>0.12</v>
          </cell>
          <cell r="AF666">
            <v>43790</v>
          </cell>
          <cell r="AG666" t="str">
            <v>CIF HK</v>
          </cell>
          <cell r="AK666">
            <v>0.1</v>
          </cell>
          <cell r="AL666">
            <v>1290000</v>
          </cell>
          <cell r="AM666">
            <v>43796</v>
          </cell>
          <cell r="AN666" t="str">
            <v>Yes</v>
          </cell>
          <cell r="AO666">
            <v>0.9</v>
          </cell>
          <cell r="AP666">
            <v>11610000</v>
          </cell>
          <cell r="AQ666">
            <v>43770</v>
          </cell>
          <cell r="AR666">
            <v>43798</v>
          </cell>
          <cell r="AT666">
            <v>0</v>
          </cell>
          <cell r="AX666" t="str">
            <v>Yes</v>
          </cell>
          <cell r="AZ666" t="str">
            <v>Y</v>
          </cell>
          <cell r="BA666" t="str">
            <v>Yes</v>
          </cell>
        </row>
        <row r="667">
          <cell r="B667">
            <v>516</v>
          </cell>
          <cell r="C667" t="str">
            <v>C49SZX20190169MZ</v>
          </cell>
          <cell r="D667" t="str">
            <v>创伟峰</v>
          </cell>
          <cell r="E667" t="str">
            <v>YSM20R(SV)-2</v>
          </cell>
          <cell r="F667" t="str">
            <v>#04177</v>
          </cell>
          <cell r="G667" t="e">
            <v>#REF!</v>
          </cell>
          <cell r="H667" t="e">
            <v>#REF!</v>
          </cell>
          <cell r="I667" t="str">
            <v>R-&gt;L</v>
          </cell>
          <cell r="J667" t="str">
            <v>No</v>
          </cell>
          <cell r="K667">
            <v>1</v>
          </cell>
          <cell r="L667">
            <v>109749</v>
          </cell>
          <cell r="M667" t="str">
            <v>JAN 20</v>
          </cell>
          <cell r="N667">
            <v>43846</v>
          </cell>
          <cell r="O667">
            <v>11116352</v>
          </cell>
          <cell r="P667">
            <v>12800000</v>
          </cell>
          <cell r="Q667">
            <v>43831</v>
          </cell>
          <cell r="R667" t="str">
            <v>Yes</v>
          </cell>
          <cell r="S667" t="str">
            <v>C49</v>
          </cell>
          <cell r="T667" t="str">
            <v>SOUTH</v>
          </cell>
          <cell r="U667" t="str">
            <v>深圳</v>
          </cell>
          <cell r="V667" t="str">
            <v>SZ 深圳</v>
          </cell>
          <cell r="W667" t="str">
            <v>MZ</v>
          </cell>
          <cell r="X667" t="str">
            <v>JPY</v>
          </cell>
          <cell r="Y667">
            <v>12800000</v>
          </cell>
          <cell r="Z667">
            <v>1</v>
          </cell>
          <cell r="AA667">
            <v>12800000</v>
          </cell>
          <cell r="AB667">
            <v>7.3499999999999996E-2</v>
          </cell>
          <cell r="AC667">
            <v>940800</v>
          </cell>
          <cell r="AD667">
            <v>112896</v>
          </cell>
          <cell r="AE667">
            <v>0.12</v>
          </cell>
          <cell r="AF667">
            <v>43790</v>
          </cell>
          <cell r="AG667" t="str">
            <v>CIF HK</v>
          </cell>
          <cell r="AK667">
            <v>0.3</v>
          </cell>
          <cell r="AL667">
            <v>3840000</v>
          </cell>
          <cell r="AM667">
            <v>43797</v>
          </cell>
          <cell r="AN667" t="str">
            <v>Yes</v>
          </cell>
          <cell r="AO667">
            <v>0.7</v>
          </cell>
          <cell r="AP667">
            <v>8960000</v>
          </cell>
          <cell r="AQ667">
            <v>43831</v>
          </cell>
          <cell r="AR667">
            <v>43845</v>
          </cell>
          <cell r="AS667">
            <v>0</v>
          </cell>
          <cell r="AT667">
            <v>0</v>
          </cell>
          <cell r="AX667" t="str">
            <v>Yes</v>
          </cell>
          <cell r="AY667" t="str">
            <v>Yes</v>
          </cell>
          <cell r="AZ667" t="str">
            <v>Y</v>
          </cell>
          <cell r="BA667" t="str">
            <v>Yes</v>
          </cell>
        </row>
        <row r="668">
          <cell r="B668">
            <v>517</v>
          </cell>
          <cell r="C668" t="str">
            <v>C49SZX20190157CX</v>
          </cell>
          <cell r="D668" t="str">
            <v>钧溢电子</v>
          </cell>
          <cell r="E668" t="str">
            <v>YSM20R(SV)-2</v>
          </cell>
          <cell r="F668" t="str">
            <v>#04111</v>
          </cell>
          <cell r="G668" t="e">
            <v>#REF!</v>
          </cell>
          <cell r="H668" t="e">
            <v>#REF!</v>
          </cell>
          <cell r="I668" t="str">
            <v>L-&gt;R</v>
          </cell>
          <cell r="J668" t="str">
            <v>MVC</v>
          </cell>
          <cell r="K668">
            <v>1</v>
          </cell>
          <cell r="L668" t="e">
            <v>#REF!</v>
          </cell>
          <cell r="M668" t="e">
            <v>#REF!</v>
          </cell>
          <cell r="N668"/>
          <cell r="O668"/>
          <cell r="P668"/>
          <cell r="Q668"/>
          <cell r="R668" t="str">
            <v>Yes</v>
          </cell>
          <cell r="S668" t="str">
            <v>C49</v>
          </cell>
          <cell r="T668" t="str">
            <v>SOUTH</v>
          </cell>
          <cell r="U668" t="str">
            <v>深圳</v>
          </cell>
          <cell r="V668" t="str">
            <v>SZ 深圳</v>
          </cell>
          <cell r="W668" t="str">
            <v>CX</v>
          </cell>
          <cell r="X668" t="str">
            <v>JPY</v>
          </cell>
          <cell r="Y668">
            <v>12274000</v>
          </cell>
          <cell r="Z668">
            <v>1</v>
          </cell>
          <cell r="AA668">
            <v>12274000</v>
          </cell>
          <cell r="AB668">
            <v>7.3499999999999996E-2</v>
          </cell>
          <cell r="AC668">
            <v>902139</v>
          </cell>
          <cell r="AD668">
            <v>108256.68</v>
          </cell>
          <cell r="AE668">
            <v>0.12</v>
          </cell>
          <cell r="AF668">
            <v>43794</v>
          </cell>
          <cell r="AG668" t="str">
            <v>DAP SZ</v>
          </cell>
          <cell r="AI668"/>
          <cell r="AJ668"/>
          <cell r="AK668">
            <v>0.2</v>
          </cell>
          <cell r="AL668">
            <v>2454800</v>
          </cell>
          <cell r="AM668"/>
          <cell r="AN668" t="str">
            <v>No</v>
          </cell>
          <cell r="AO668">
            <v>0.8</v>
          </cell>
          <cell r="AP668">
            <v>9819200</v>
          </cell>
          <cell r="AQ668"/>
          <cell r="AR668"/>
          <cell r="AS668">
            <v>0</v>
          </cell>
          <cell r="AT668">
            <v>0</v>
          </cell>
          <cell r="AV668"/>
          <cell r="AX668" t="str">
            <v>Cancel</v>
          </cell>
          <cell r="AY668"/>
          <cell r="AZ668"/>
          <cell r="BA668" t="str">
            <v>Cancel</v>
          </cell>
        </row>
        <row r="669">
          <cell r="B669">
            <v>518</v>
          </cell>
          <cell r="C669" t="str">
            <v>C49SZX20190175SX</v>
          </cell>
          <cell r="D669" t="str">
            <v>安林</v>
          </cell>
          <cell r="E669" t="str">
            <v>YSM40R-4</v>
          </cell>
          <cell r="F669" t="str">
            <v>#81064</v>
          </cell>
          <cell r="G669" t="e">
            <v>#REF!</v>
          </cell>
          <cell r="H669" t="e">
            <v>#REF!</v>
          </cell>
          <cell r="I669" t="str">
            <v>L-&gt;R</v>
          </cell>
          <cell r="J669" t="str">
            <v>No</v>
          </cell>
          <cell r="K669">
            <v>1</v>
          </cell>
          <cell r="L669">
            <v>109218</v>
          </cell>
          <cell r="M669" t="str">
            <v>DEC 19</v>
          </cell>
          <cell r="N669">
            <v>43817</v>
          </cell>
          <cell r="O669">
            <v>11100365</v>
          </cell>
          <cell r="P669">
            <v>1664000</v>
          </cell>
          <cell r="Q669">
            <v>43800</v>
          </cell>
          <cell r="R669" t="str">
            <v>No</v>
          </cell>
          <cell r="S669" t="str">
            <v>C49</v>
          </cell>
          <cell r="T669" t="str">
            <v>SOUTH</v>
          </cell>
          <cell r="U669" t="str">
            <v>深圳</v>
          </cell>
          <cell r="V669" t="str">
            <v>SZ 深圳</v>
          </cell>
          <cell r="W669" t="str">
            <v>SX</v>
          </cell>
          <cell r="X669" t="str">
            <v>RMB</v>
          </cell>
          <cell r="Y669">
            <v>1664000</v>
          </cell>
          <cell r="Z669">
            <v>1.1299999999999999</v>
          </cell>
          <cell r="AA669">
            <v>1664000</v>
          </cell>
          <cell r="AB669">
            <v>1.1100000000000001</v>
          </cell>
          <cell r="AC669">
            <v>1634548.6725663722</v>
          </cell>
          <cell r="AD669">
            <v>196145.84070796467</v>
          </cell>
          <cell r="AE669">
            <v>0.12</v>
          </cell>
          <cell r="AF669">
            <v>43796</v>
          </cell>
          <cell r="AG669" t="str">
            <v>DDP DG</v>
          </cell>
          <cell r="AK669" t="str">
            <v>agree</v>
          </cell>
          <cell r="AL669">
            <v>332800</v>
          </cell>
          <cell r="AM669">
            <v>43800</v>
          </cell>
          <cell r="AN669" t="str">
            <v>Yes</v>
          </cell>
          <cell r="AO669" t="str">
            <v>agree</v>
          </cell>
          <cell r="AP669">
            <v>1331200</v>
          </cell>
          <cell r="AQ669">
            <v>43800</v>
          </cell>
          <cell r="AR669">
            <v>43815</v>
          </cell>
          <cell r="AS669">
            <v>0</v>
          </cell>
          <cell r="AT669">
            <v>0</v>
          </cell>
          <cell r="AX669" t="str">
            <v>Yes</v>
          </cell>
        </row>
        <row r="670">
          <cell r="B670">
            <v>519</v>
          </cell>
          <cell r="C670" t="str">
            <v>C49SZX20190179SX</v>
          </cell>
          <cell r="D670" t="str">
            <v>四联创鑫</v>
          </cell>
          <cell r="E670" t="str">
            <v>YSM20R(SV)-2</v>
          </cell>
          <cell r="F670" t="str">
            <v>#04198</v>
          </cell>
          <cell r="G670" t="e">
            <v>#REF!</v>
          </cell>
          <cell r="H670" t="e">
            <v>#REF!</v>
          </cell>
          <cell r="I670" t="str">
            <v>L-&gt;R</v>
          </cell>
          <cell r="J670" t="str">
            <v>No</v>
          </cell>
          <cell r="K670">
            <v>1</v>
          </cell>
          <cell r="L670" t="e">
            <v>#N/A</v>
          </cell>
          <cell r="M670" t="e">
            <v>#N/A</v>
          </cell>
          <cell r="N670"/>
          <cell r="O670"/>
          <cell r="P670"/>
          <cell r="Q670"/>
          <cell r="R670" t="str">
            <v>Yes</v>
          </cell>
          <cell r="S670" t="str">
            <v>C49</v>
          </cell>
          <cell r="T670" t="str">
            <v>SOUTH</v>
          </cell>
          <cell r="U670" t="str">
            <v>深圳</v>
          </cell>
          <cell r="V670" t="str">
            <v>SZ 深圳</v>
          </cell>
          <cell r="W670" t="str">
            <v>SX</v>
          </cell>
          <cell r="X670" t="str">
            <v>RMB</v>
          </cell>
          <cell r="Y670">
            <v>864000</v>
          </cell>
          <cell r="Z670">
            <v>1.1299999999999999</v>
          </cell>
          <cell r="AA670">
            <v>864000</v>
          </cell>
          <cell r="AB670">
            <v>1.1100000000000001</v>
          </cell>
          <cell r="AC670">
            <v>848707.96460177004</v>
          </cell>
          <cell r="AD670">
            <v>101844.95575221241</v>
          </cell>
          <cell r="AE670">
            <v>0.12</v>
          </cell>
          <cell r="AF670">
            <v>43797</v>
          </cell>
          <cell r="AG670" t="str">
            <v>DDP SZ</v>
          </cell>
          <cell r="AI670"/>
          <cell r="AJ670"/>
          <cell r="AK670">
            <v>0.2</v>
          </cell>
          <cell r="AL670">
            <v>172800</v>
          </cell>
          <cell r="AM670"/>
          <cell r="AN670" t="str">
            <v>No</v>
          </cell>
          <cell r="AO670">
            <v>0.8</v>
          </cell>
          <cell r="AP670">
            <v>691200</v>
          </cell>
          <cell r="AQ670"/>
          <cell r="AR670"/>
          <cell r="AS670">
            <v>0</v>
          </cell>
          <cell r="AT670">
            <v>0</v>
          </cell>
          <cell r="AV670"/>
          <cell r="AX670" t="str">
            <v>Cancel</v>
          </cell>
          <cell r="AY670"/>
          <cell r="AZ670"/>
          <cell r="BA670"/>
        </row>
        <row r="671">
          <cell r="B671">
            <v>520</v>
          </cell>
          <cell r="C671" t="str">
            <v>C49SZX20190179SX</v>
          </cell>
          <cell r="D671" t="str">
            <v>四联创鑫</v>
          </cell>
          <cell r="E671" t="str">
            <v>YSM20R(SV)-2</v>
          </cell>
          <cell r="F671" t="str">
            <v>#04198</v>
          </cell>
          <cell r="G671" t="e">
            <v>#REF!</v>
          </cell>
          <cell r="H671" t="e">
            <v>#REF!</v>
          </cell>
          <cell r="I671" t="str">
            <v>L-&gt;R</v>
          </cell>
          <cell r="J671" t="str">
            <v>No</v>
          </cell>
          <cell r="K671">
            <v>1</v>
          </cell>
          <cell r="L671" t="e">
            <v>#N/A</v>
          </cell>
          <cell r="M671" t="e">
            <v>#N/A</v>
          </cell>
          <cell r="N671"/>
          <cell r="O671"/>
          <cell r="P671"/>
          <cell r="Q671"/>
          <cell r="R671" t="str">
            <v>Yes</v>
          </cell>
          <cell r="S671" t="str">
            <v>C49</v>
          </cell>
          <cell r="T671" t="str">
            <v>SOUTH</v>
          </cell>
          <cell r="U671" t="str">
            <v>深圳</v>
          </cell>
          <cell r="V671" t="str">
            <v>SZ 深圳</v>
          </cell>
          <cell r="W671" t="str">
            <v>SX</v>
          </cell>
          <cell r="X671" t="str">
            <v>RMB</v>
          </cell>
          <cell r="Y671">
            <v>864000</v>
          </cell>
          <cell r="Z671">
            <v>1.1299999999999999</v>
          </cell>
          <cell r="AA671">
            <v>864000</v>
          </cell>
          <cell r="AB671">
            <v>1.1100000000000001</v>
          </cell>
          <cell r="AC671">
            <v>848707.96460177004</v>
          </cell>
          <cell r="AD671">
            <v>101844.95575221241</v>
          </cell>
          <cell r="AE671">
            <v>0.12</v>
          </cell>
          <cell r="AF671">
            <v>43797</v>
          </cell>
          <cell r="AG671" t="str">
            <v>DDP SZ</v>
          </cell>
          <cell r="AI671"/>
          <cell r="AJ671"/>
          <cell r="AK671">
            <v>0.2</v>
          </cell>
          <cell r="AL671">
            <v>172800</v>
          </cell>
          <cell r="AM671"/>
          <cell r="AN671" t="str">
            <v>No</v>
          </cell>
          <cell r="AO671">
            <v>0.8</v>
          </cell>
          <cell r="AP671">
            <v>691200</v>
          </cell>
          <cell r="AQ671"/>
          <cell r="AR671"/>
          <cell r="AS671">
            <v>0</v>
          </cell>
          <cell r="AT671">
            <v>0</v>
          </cell>
          <cell r="AV671"/>
          <cell r="AX671" t="str">
            <v>Cancel</v>
          </cell>
          <cell r="AY671"/>
          <cell r="AZ671"/>
          <cell r="BA671"/>
        </row>
        <row r="672">
          <cell r="B672">
            <v>521</v>
          </cell>
          <cell r="C672" t="str">
            <v>C49SZX20190167SS</v>
          </cell>
          <cell r="D672" t="str">
            <v>宏威创</v>
          </cell>
          <cell r="E672" t="str">
            <v>YSM20R(SV)-2</v>
          </cell>
          <cell r="F672" t="str">
            <v>#04211</v>
          </cell>
          <cell r="G672" t="e">
            <v>#REF!</v>
          </cell>
          <cell r="H672" t="e">
            <v>#REF!</v>
          </cell>
          <cell r="I672" t="str">
            <v>L-&gt;R</v>
          </cell>
          <cell r="J672" t="str">
            <v>No</v>
          </cell>
          <cell r="K672">
            <v>1</v>
          </cell>
          <cell r="L672">
            <v>109750</v>
          </cell>
          <cell r="M672" t="str">
            <v>JAN 20</v>
          </cell>
          <cell r="N672">
            <v>43843</v>
          </cell>
          <cell r="O672">
            <v>11116350</v>
          </cell>
          <cell r="P672">
            <v>12350000</v>
          </cell>
          <cell r="Q672">
            <v>43831</v>
          </cell>
          <cell r="R672" t="str">
            <v>Yes</v>
          </cell>
          <cell r="S672" t="str">
            <v>C49</v>
          </cell>
          <cell r="T672" t="str">
            <v>SOUTH</v>
          </cell>
          <cell r="U672" t="str">
            <v>深圳</v>
          </cell>
          <cell r="V672" t="str">
            <v>SZ 深圳</v>
          </cell>
          <cell r="W672" t="str">
            <v>SS</v>
          </cell>
          <cell r="X672" t="str">
            <v>JPY</v>
          </cell>
          <cell r="Y672">
            <v>12350000</v>
          </cell>
          <cell r="Z672">
            <v>1</v>
          </cell>
          <cell r="AA672">
            <v>12350000</v>
          </cell>
          <cell r="AB672">
            <v>7.3499999999999996E-2</v>
          </cell>
          <cell r="AC672">
            <v>907725</v>
          </cell>
          <cell r="AD672">
            <v>108927</v>
          </cell>
          <cell r="AE672">
            <v>0.12</v>
          </cell>
          <cell r="AF672">
            <v>43798</v>
          </cell>
          <cell r="AG672" t="str">
            <v>DAP SZ</v>
          </cell>
          <cell r="AK672">
            <v>0.2</v>
          </cell>
          <cell r="AL672">
            <v>2470000</v>
          </cell>
          <cell r="AM672">
            <v>43800</v>
          </cell>
          <cell r="AN672" t="str">
            <v>Yes</v>
          </cell>
          <cell r="AO672">
            <v>0.8</v>
          </cell>
          <cell r="AP672">
            <v>9880000</v>
          </cell>
          <cell r="AQ672">
            <v>43466</v>
          </cell>
          <cell r="AR672">
            <v>43840</v>
          </cell>
          <cell r="AX672" t="str">
            <v>Yes</v>
          </cell>
          <cell r="AZ672" t="str">
            <v>Y</v>
          </cell>
          <cell r="BA672" t="str">
            <v>Yes</v>
          </cell>
        </row>
        <row r="673">
          <cell r="B673">
            <v>522</v>
          </cell>
          <cell r="C673" t="str">
            <v>C49SZX20190167SS</v>
          </cell>
          <cell r="D673" t="str">
            <v>宏威创</v>
          </cell>
          <cell r="E673" t="str">
            <v>YSM20R(SV)-2</v>
          </cell>
          <cell r="F673" t="str">
            <v>#04211</v>
          </cell>
          <cell r="G673" t="e">
            <v>#REF!</v>
          </cell>
          <cell r="H673" t="e">
            <v>#REF!</v>
          </cell>
          <cell r="I673" t="str">
            <v>L-&gt;R</v>
          </cell>
          <cell r="J673" t="str">
            <v>No</v>
          </cell>
          <cell r="K673">
            <v>1</v>
          </cell>
          <cell r="L673">
            <v>109750</v>
          </cell>
          <cell r="M673" t="str">
            <v>JAN 20</v>
          </cell>
          <cell r="N673">
            <v>43843</v>
          </cell>
          <cell r="O673">
            <v>11116350</v>
          </cell>
          <cell r="P673">
            <v>12350000</v>
          </cell>
          <cell r="Q673">
            <v>43831</v>
          </cell>
          <cell r="R673" t="str">
            <v>Yes</v>
          </cell>
          <cell r="S673" t="str">
            <v>C49</v>
          </cell>
          <cell r="T673" t="str">
            <v>SOUTH</v>
          </cell>
          <cell r="U673" t="str">
            <v>深圳</v>
          </cell>
          <cell r="V673" t="str">
            <v>SZ 深圳</v>
          </cell>
          <cell r="W673" t="str">
            <v>SS</v>
          </cell>
          <cell r="X673" t="str">
            <v>JPY</v>
          </cell>
          <cell r="Y673">
            <v>12350000</v>
          </cell>
          <cell r="Z673">
            <v>1</v>
          </cell>
          <cell r="AA673">
            <v>12350000</v>
          </cell>
          <cell r="AB673">
            <v>7.3499999999999996E-2</v>
          </cell>
          <cell r="AC673">
            <v>907725</v>
          </cell>
          <cell r="AD673">
            <v>108927</v>
          </cell>
          <cell r="AE673">
            <v>0.12</v>
          </cell>
          <cell r="AF673">
            <v>43798</v>
          </cell>
          <cell r="AG673" t="str">
            <v>DAP SZ</v>
          </cell>
          <cell r="AK673">
            <v>0.2</v>
          </cell>
          <cell r="AL673">
            <v>2470000</v>
          </cell>
          <cell r="AM673">
            <v>43800</v>
          </cell>
          <cell r="AN673" t="str">
            <v>Yes</v>
          </cell>
          <cell r="AO673">
            <v>0.8</v>
          </cell>
          <cell r="AP673">
            <v>9880000</v>
          </cell>
          <cell r="AQ673">
            <v>43466</v>
          </cell>
          <cell r="AR673">
            <v>43840</v>
          </cell>
          <cell r="AX673" t="str">
            <v>Yes</v>
          </cell>
          <cell r="AZ673" t="str">
            <v>Y</v>
          </cell>
          <cell r="BA673" t="str">
            <v>Yes</v>
          </cell>
        </row>
        <row r="674">
          <cell r="B674">
            <v>523</v>
          </cell>
          <cell r="C674" t="str">
            <v>C28SZX20190099YY</v>
          </cell>
          <cell r="D674" t="str">
            <v>嘉裕</v>
          </cell>
          <cell r="E674" t="str">
            <v>Heller 1809MK5</v>
          </cell>
          <cell r="F674" t="str">
            <v>No</v>
          </cell>
          <cell r="G674" t="e">
            <v>#REF!</v>
          </cell>
          <cell r="H674" t="e">
            <v>#REF!</v>
          </cell>
          <cell r="I674" t="str">
            <v>L-&gt;R</v>
          </cell>
          <cell r="J674" t="str">
            <v>No</v>
          </cell>
          <cell r="K674">
            <v>1</v>
          </cell>
          <cell r="L674" t="str">
            <v>B28109765</v>
          </cell>
          <cell r="M674" t="str">
            <v>APR 20</v>
          </cell>
          <cell r="N674">
            <v>43943</v>
          </cell>
          <cell r="O674">
            <v>11116377</v>
          </cell>
          <cell r="P674">
            <v>79000</v>
          </cell>
          <cell r="Q674">
            <v>43922</v>
          </cell>
          <cell r="R674" t="str">
            <v>No</v>
          </cell>
          <cell r="S674" t="str">
            <v>C28</v>
          </cell>
          <cell r="T674" t="str">
            <v>SOUTH</v>
          </cell>
          <cell r="U674" t="str">
            <v>深圳</v>
          </cell>
          <cell r="V674" t="str">
            <v>SZ 深圳</v>
          </cell>
          <cell r="W674" t="str">
            <v>YY</v>
          </cell>
          <cell r="X674" t="str">
            <v>USD</v>
          </cell>
          <cell r="Y674">
            <v>79000</v>
          </cell>
          <cell r="Z674">
            <v>1</v>
          </cell>
          <cell r="AA674">
            <v>79000</v>
          </cell>
          <cell r="AB674">
            <v>7.8</v>
          </cell>
          <cell r="AC674">
            <v>616200</v>
          </cell>
          <cell r="AD674">
            <v>73944</v>
          </cell>
          <cell r="AE674">
            <v>0.12</v>
          </cell>
          <cell r="AF674">
            <v>43796</v>
          </cell>
          <cell r="AG674" t="str">
            <v>CIF HK</v>
          </cell>
          <cell r="AK674">
            <v>0.3</v>
          </cell>
          <cell r="AL674">
            <v>23700</v>
          </cell>
          <cell r="AN674" t="str">
            <v>Yes</v>
          </cell>
          <cell r="AO674">
            <v>0.7</v>
          </cell>
          <cell r="AP674">
            <v>55300</v>
          </cell>
          <cell r="AQ674">
            <v>43922</v>
          </cell>
          <cell r="AR674">
            <v>43941</v>
          </cell>
          <cell r="AS674">
            <v>0</v>
          </cell>
          <cell r="AT674">
            <v>0</v>
          </cell>
          <cell r="AX674" t="str">
            <v>Yes</v>
          </cell>
        </row>
        <row r="675">
          <cell r="B675">
            <v>524</v>
          </cell>
          <cell r="C675" t="str">
            <v>C28SZX20190097YY</v>
          </cell>
          <cell r="D675" t="str">
            <v>嘉裕</v>
          </cell>
          <cell r="E675" t="str">
            <v>TROI-7700E</v>
          </cell>
          <cell r="F675" t="str">
            <v>#04342</v>
          </cell>
          <cell r="G675" t="e">
            <v>#REF!</v>
          </cell>
          <cell r="H675" t="e">
            <v>#REF!</v>
          </cell>
          <cell r="I675" t="str">
            <v>L-&gt;R</v>
          </cell>
          <cell r="J675" t="str">
            <v>No</v>
          </cell>
          <cell r="K675">
            <v>1</v>
          </cell>
          <cell r="L675" t="str">
            <v>B28109770</v>
          </cell>
          <cell r="M675" t="str">
            <v>APR 20</v>
          </cell>
          <cell r="N675">
            <v>43941</v>
          </cell>
          <cell r="O675">
            <v>11116379</v>
          </cell>
          <cell r="P675">
            <v>51000</v>
          </cell>
          <cell r="Q675">
            <v>43922</v>
          </cell>
          <cell r="R675" t="str">
            <v>No</v>
          </cell>
          <cell r="S675" t="str">
            <v>C28</v>
          </cell>
          <cell r="T675" t="str">
            <v>SOUTH</v>
          </cell>
          <cell r="U675" t="str">
            <v>香港</v>
          </cell>
          <cell r="V675" t="str">
            <v>SZ 深圳</v>
          </cell>
          <cell r="W675" t="str">
            <v>YY</v>
          </cell>
          <cell r="X675" t="str">
            <v>USD</v>
          </cell>
          <cell r="Y675">
            <v>51000</v>
          </cell>
          <cell r="Z675">
            <v>1</v>
          </cell>
          <cell r="AA675">
            <v>51000</v>
          </cell>
          <cell r="AB675">
            <v>7.8</v>
          </cell>
          <cell r="AC675">
            <v>397800</v>
          </cell>
          <cell r="AD675">
            <v>47736</v>
          </cell>
          <cell r="AE675">
            <v>0.12</v>
          </cell>
          <cell r="AF675">
            <v>43796</v>
          </cell>
          <cell r="AG675" t="str">
            <v>CIF HK</v>
          </cell>
          <cell r="AK675">
            <v>0.3</v>
          </cell>
          <cell r="AL675">
            <v>15300</v>
          </cell>
          <cell r="AM675">
            <v>43770</v>
          </cell>
          <cell r="AN675" t="str">
            <v>Yes</v>
          </cell>
          <cell r="AO675">
            <v>0.7</v>
          </cell>
          <cell r="AP675">
            <v>35700</v>
          </cell>
          <cell r="AQ675">
            <v>43922</v>
          </cell>
          <cell r="AR675">
            <v>43936</v>
          </cell>
          <cell r="AS675">
            <v>0</v>
          </cell>
          <cell r="AT675">
            <v>0</v>
          </cell>
          <cell r="AX675" t="str">
            <v>Yes</v>
          </cell>
        </row>
        <row r="676">
          <cell r="B676">
            <v>525</v>
          </cell>
          <cell r="C676" t="str">
            <v>C49SZX20190181DY</v>
          </cell>
          <cell r="D676" t="str">
            <v>杰森泰</v>
          </cell>
          <cell r="E676" t="str">
            <v>YSM20R(SV)-2</v>
          </cell>
          <cell r="F676" t="str">
            <v>#04214</v>
          </cell>
          <cell r="G676" t="e">
            <v>#REF!</v>
          </cell>
          <cell r="H676" t="e">
            <v>#REF!</v>
          </cell>
          <cell r="I676" t="str">
            <v>L-&gt;R</v>
          </cell>
          <cell r="J676" t="str">
            <v>No</v>
          </cell>
          <cell r="K676">
            <v>1</v>
          </cell>
          <cell r="L676">
            <v>109715</v>
          </cell>
          <cell r="M676" t="str">
            <v>DEC 19</v>
          </cell>
          <cell r="N676">
            <v>43832</v>
          </cell>
          <cell r="O676">
            <v>11100369</v>
          </cell>
          <cell r="P676">
            <v>1090000</v>
          </cell>
          <cell r="Q676">
            <v>43800</v>
          </cell>
          <cell r="R676" t="str">
            <v>Yes</v>
          </cell>
          <cell r="S676" t="str">
            <v>C49</v>
          </cell>
          <cell r="T676" t="str">
            <v>SOUTH</v>
          </cell>
          <cell r="U676" t="str">
            <v>深圳</v>
          </cell>
          <cell r="V676" t="str">
            <v>SZ 深圳</v>
          </cell>
          <cell r="W676" t="str">
            <v>DY</v>
          </cell>
          <cell r="X676" t="str">
            <v>RMB</v>
          </cell>
          <cell r="Y676">
            <v>1090000</v>
          </cell>
          <cell r="Z676">
            <v>1.1299999999999999</v>
          </cell>
          <cell r="AA676">
            <v>1090000</v>
          </cell>
          <cell r="AB676">
            <v>1.1100000000000001</v>
          </cell>
          <cell r="AC676">
            <v>1070707.96460177</v>
          </cell>
          <cell r="AD676">
            <v>128484.95575221239</v>
          </cell>
          <cell r="AE676">
            <v>0.12</v>
          </cell>
          <cell r="AF676">
            <v>43804</v>
          </cell>
          <cell r="AG676" t="str">
            <v>DDP SZ</v>
          </cell>
          <cell r="AK676">
            <v>0.1</v>
          </cell>
          <cell r="AL676">
            <v>109000</v>
          </cell>
          <cell r="AM676">
            <v>43800</v>
          </cell>
          <cell r="AN676" t="str">
            <v>Yes</v>
          </cell>
          <cell r="AO676">
            <v>0.9</v>
          </cell>
          <cell r="AP676">
            <v>981000</v>
          </cell>
          <cell r="AQ676">
            <v>43800</v>
          </cell>
          <cell r="AR676">
            <v>43810</v>
          </cell>
          <cell r="AS676">
            <v>0</v>
          </cell>
          <cell r="AT676">
            <v>0</v>
          </cell>
          <cell r="AX676" t="str">
            <v>Yes</v>
          </cell>
          <cell r="AZ676" t="str">
            <v>Y</v>
          </cell>
          <cell r="BA676" t="str">
            <v>Yes</v>
          </cell>
        </row>
        <row r="677">
          <cell r="B677">
            <v>526</v>
          </cell>
          <cell r="C677" t="str">
            <v>C49SZX20190177SS</v>
          </cell>
          <cell r="D677" t="str">
            <v>弛瑞</v>
          </cell>
          <cell r="E677" t="str">
            <v>YSM20R(SV)-2</v>
          </cell>
          <cell r="F677" t="str">
            <v>NA</v>
          </cell>
          <cell r="G677" t="e">
            <v>#REF!</v>
          </cell>
          <cell r="H677" t="e">
            <v>#REF!</v>
          </cell>
          <cell r="I677" t="str">
            <v>R-&gt;L</v>
          </cell>
          <cell r="J677" t="str">
            <v>No</v>
          </cell>
          <cell r="K677">
            <v>1</v>
          </cell>
          <cell r="L677" t="e">
            <v>#REF!</v>
          </cell>
          <cell r="M677" t="e">
            <v>#REF!</v>
          </cell>
          <cell r="N677"/>
          <cell r="O677"/>
          <cell r="P677"/>
          <cell r="Q677"/>
          <cell r="R677" t="str">
            <v>Yes</v>
          </cell>
          <cell r="S677" t="str">
            <v>C49</v>
          </cell>
          <cell r="T677" t="str">
            <v>SOUTH</v>
          </cell>
          <cell r="U677" t="str">
            <v>深圳</v>
          </cell>
          <cell r="V677" t="str">
            <v>SZ 深圳</v>
          </cell>
          <cell r="W677" t="str">
            <v>SS</v>
          </cell>
          <cell r="X677" t="str">
            <v>JPY</v>
          </cell>
          <cell r="Y677">
            <v>11840000</v>
          </cell>
          <cell r="Z677">
            <v>1</v>
          </cell>
          <cell r="AA677">
            <v>11840000</v>
          </cell>
          <cell r="AB677">
            <v>7.3499999999999996E-2</v>
          </cell>
          <cell r="AC677">
            <v>870240</v>
          </cell>
          <cell r="AD677">
            <v>104428.8</v>
          </cell>
          <cell r="AE677">
            <v>0.12</v>
          </cell>
          <cell r="AF677">
            <v>43806</v>
          </cell>
          <cell r="AG677" t="str">
            <v>DAP SZ</v>
          </cell>
          <cell r="AI677"/>
          <cell r="AJ677"/>
          <cell r="AK677">
            <v>0.1</v>
          </cell>
          <cell r="AL677">
            <v>1184000</v>
          </cell>
          <cell r="AM677"/>
          <cell r="AN677" t="str">
            <v>No</v>
          </cell>
          <cell r="AO677">
            <v>0.9</v>
          </cell>
          <cell r="AP677">
            <v>10656000</v>
          </cell>
          <cell r="AQ677"/>
          <cell r="AR677"/>
          <cell r="AS677">
            <v>0</v>
          </cell>
          <cell r="AT677">
            <v>0</v>
          </cell>
          <cell r="AV677"/>
          <cell r="AX677" t="str">
            <v>Cancel</v>
          </cell>
          <cell r="AY677"/>
          <cell r="AZ677"/>
          <cell r="BA677" t="str">
            <v>Cancel</v>
          </cell>
        </row>
        <row r="678">
          <cell r="B678">
            <v>527</v>
          </cell>
          <cell r="C678" t="str">
            <v>C49SZX20190180SS</v>
          </cell>
          <cell r="D678" t="str">
            <v>正创</v>
          </cell>
          <cell r="E678" t="str">
            <v>YSM10</v>
          </cell>
          <cell r="F678" t="str">
            <v>#03946</v>
          </cell>
          <cell r="G678" t="e">
            <v>#REF!</v>
          </cell>
          <cell r="H678" t="e">
            <v>#REF!</v>
          </cell>
          <cell r="I678" t="str">
            <v>L-&gt;R</v>
          </cell>
          <cell r="J678" t="str">
            <v>MVC</v>
          </cell>
          <cell r="K678">
            <v>1</v>
          </cell>
          <cell r="L678">
            <v>109686</v>
          </cell>
          <cell r="M678" t="str">
            <v>DEC 19</v>
          </cell>
          <cell r="N678">
            <v>43813</v>
          </cell>
          <cell r="O678">
            <v>11116343</v>
          </cell>
          <cell r="P678">
            <v>7400000</v>
          </cell>
          <cell r="Q678">
            <v>43800</v>
          </cell>
          <cell r="R678" t="str">
            <v>No</v>
          </cell>
          <cell r="S678" t="str">
            <v>C49</v>
          </cell>
          <cell r="T678" t="str">
            <v>SOUTH</v>
          </cell>
          <cell r="U678" t="str">
            <v>深圳</v>
          </cell>
          <cell r="V678" t="str">
            <v>SZ 深圳</v>
          </cell>
          <cell r="W678" t="str">
            <v>SS</v>
          </cell>
          <cell r="X678" t="str">
            <v>JPY</v>
          </cell>
          <cell r="Y678">
            <v>7400000</v>
          </cell>
          <cell r="Z678">
            <v>1</v>
          </cell>
          <cell r="AA678">
            <v>7400000</v>
          </cell>
          <cell r="AB678">
            <v>7.2900000000000006E-2</v>
          </cell>
          <cell r="AC678">
            <v>539460</v>
          </cell>
          <cell r="AD678">
            <v>64735.199999999997</v>
          </cell>
          <cell r="AE678">
            <v>0.12</v>
          </cell>
          <cell r="AF678">
            <v>43805</v>
          </cell>
          <cell r="AG678" t="str">
            <v>DAP SZ</v>
          </cell>
          <cell r="AK678">
            <v>1</v>
          </cell>
          <cell r="AL678">
            <v>7400000</v>
          </cell>
          <cell r="AM678">
            <v>43800</v>
          </cell>
          <cell r="AN678" t="str">
            <v>Yes</v>
          </cell>
          <cell r="AT678">
            <v>0</v>
          </cell>
          <cell r="AX678" t="str">
            <v>Yes</v>
          </cell>
        </row>
        <row r="679">
          <cell r="B679">
            <v>528</v>
          </cell>
          <cell r="C679" t="str">
            <v>C49SZX20190160R1ZX</v>
          </cell>
          <cell r="D679" t="str">
            <v>新明海</v>
          </cell>
          <cell r="E679" t="str">
            <v>YSM20R(SV)-2</v>
          </cell>
          <cell r="F679" t="str">
            <v>#59648</v>
          </cell>
          <cell r="G679" t="e">
            <v>#REF!</v>
          </cell>
          <cell r="H679" t="e">
            <v>#REF!</v>
          </cell>
          <cell r="I679" t="str">
            <v>R-&gt;L</v>
          </cell>
          <cell r="J679" t="str">
            <v>MVC</v>
          </cell>
          <cell r="K679">
            <v>1</v>
          </cell>
          <cell r="L679">
            <v>109749</v>
          </cell>
          <cell r="M679" t="str">
            <v>MAR 20</v>
          </cell>
          <cell r="N679">
            <v>43902</v>
          </cell>
          <cell r="O679">
            <v>11116366</v>
          </cell>
          <cell r="P679">
            <v>14700000</v>
          </cell>
          <cell r="Q679">
            <v>43891</v>
          </cell>
          <cell r="R679" t="str">
            <v>No</v>
          </cell>
          <cell r="S679" t="str">
            <v>C49</v>
          </cell>
          <cell r="T679" t="str">
            <v>SOUTH</v>
          </cell>
          <cell r="U679" t="str">
            <v>深圳</v>
          </cell>
          <cell r="V679" t="str">
            <v>SZ 深圳</v>
          </cell>
          <cell r="W679" t="str">
            <v>ZX</v>
          </cell>
          <cell r="X679" t="str">
            <v>JPY</v>
          </cell>
          <cell r="Y679">
            <v>14700000</v>
          </cell>
          <cell r="Z679">
            <v>1</v>
          </cell>
          <cell r="AA679">
            <v>14700000</v>
          </cell>
          <cell r="AB679">
            <v>7.2900000000000006E-2</v>
          </cell>
          <cell r="AC679">
            <v>1071630</v>
          </cell>
          <cell r="AD679">
            <v>128595.59999999999</v>
          </cell>
          <cell r="AE679">
            <v>0.12</v>
          </cell>
          <cell r="AF679">
            <v>43801</v>
          </cell>
          <cell r="AG679" t="str">
            <v>DAP HZ</v>
          </cell>
          <cell r="AK679">
            <v>0.1</v>
          </cell>
          <cell r="AL679">
            <v>1470000</v>
          </cell>
          <cell r="AM679">
            <v>43770</v>
          </cell>
          <cell r="AN679" t="str">
            <v>Yes</v>
          </cell>
          <cell r="AO679">
            <v>0.9</v>
          </cell>
          <cell r="AP679">
            <v>13230000</v>
          </cell>
          <cell r="AQ679">
            <v>43900</v>
          </cell>
          <cell r="AR679">
            <v>43900</v>
          </cell>
          <cell r="AS679">
            <v>0</v>
          </cell>
          <cell r="AT679">
            <v>0</v>
          </cell>
          <cell r="AX679" t="str">
            <v>Yes</v>
          </cell>
          <cell r="AZ679" t="str">
            <v>Yes</v>
          </cell>
          <cell r="BA679" t="str">
            <v>Yes</v>
          </cell>
        </row>
        <row r="680">
          <cell r="B680">
            <v>529</v>
          </cell>
          <cell r="C680" t="str">
            <v>C49SZX20190173DZ</v>
          </cell>
          <cell r="D680" t="str">
            <v>嘉裕</v>
          </cell>
          <cell r="E680" t="str">
            <v>YSM20R(SV)-2</v>
          </cell>
          <cell r="F680" t="str">
            <v>#04342</v>
          </cell>
          <cell r="G680" t="e">
            <v>#REF!</v>
          </cell>
          <cell r="H680" t="e">
            <v>#REF!</v>
          </cell>
          <cell r="I680" t="str">
            <v>L-&gt;R</v>
          </cell>
          <cell r="J680" t="str">
            <v>No</v>
          </cell>
          <cell r="K680">
            <v>1</v>
          </cell>
          <cell r="L680">
            <v>109816</v>
          </cell>
          <cell r="M680" t="str">
            <v>APR 20</v>
          </cell>
          <cell r="N680">
            <v>43941</v>
          </cell>
          <cell r="O680">
            <v>11116380</v>
          </cell>
          <cell r="P680">
            <v>15830000</v>
          </cell>
          <cell r="Q680">
            <v>43922</v>
          </cell>
          <cell r="R680" t="str">
            <v>No</v>
          </cell>
          <cell r="S680" t="str">
            <v>C49</v>
          </cell>
          <cell r="T680" t="str">
            <v>SOUTH</v>
          </cell>
          <cell r="U680" t="str">
            <v>深圳</v>
          </cell>
          <cell r="V680" t="str">
            <v>SZ 深圳</v>
          </cell>
          <cell r="W680" t="str">
            <v>DZ</v>
          </cell>
          <cell r="X680" t="str">
            <v>JPY</v>
          </cell>
          <cell r="Y680">
            <v>15830000</v>
          </cell>
          <cell r="Z680">
            <v>1</v>
          </cell>
          <cell r="AA680">
            <v>15830000</v>
          </cell>
          <cell r="AB680">
            <v>7.2900000000000006E-2</v>
          </cell>
          <cell r="AC680">
            <v>1154007</v>
          </cell>
          <cell r="AD680">
            <v>138480.84</v>
          </cell>
          <cell r="AE680">
            <v>0.12</v>
          </cell>
          <cell r="AF680">
            <v>43795</v>
          </cell>
          <cell r="AG680" t="str">
            <v>CIF HK</v>
          </cell>
          <cell r="AK680">
            <v>0.3</v>
          </cell>
          <cell r="AL680">
            <v>4749000</v>
          </cell>
          <cell r="AN680" t="str">
            <v>Yes</v>
          </cell>
          <cell r="AO680">
            <v>0.7</v>
          </cell>
          <cell r="AP680">
            <v>11081000</v>
          </cell>
          <cell r="AQ680">
            <v>43922</v>
          </cell>
          <cell r="AR680">
            <v>43936</v>
          </cell>
          <cell r="AT680">
            <v>0</v>
          </cell>
          <cell r="AX680" t="str">
            <v>Yes</v>
          </cell>
        </row>
        <row r="681">
          <cell r="B681">
            <v>530</v>
          </cell>
          <cell r="C681" t="str">
            <v>C49SZX20190173DZ</v>
          </cell>
          <cell r="D681" t="str">
            <v>嘉裕</v>
          </cell>
          <cell r="E681" t="str">
            <v>YSM20R(SV)-2</v>
          </cell>
          <cell r="F681" t="str">
            <v>#04342</v>
          </cell>
          <cell r="G681" t="e">
            <v>#REF!</v>
          </cell>
          <cell r="H681" t="e">
            <v>#REF!</v>
          </cell>
          <cell r="I681" t="str">
            <v>L-&gt;R</v>
          </cell>
          <cell r="J681" t="str">
            <v>No</v>
          </cell>
          <cell r="K681">
            <v>1</v>
          </cell>
          <cell r="L681">
            <v>109816</v>
          </cell>
          <cell r="M681" t="str">
            <v>APR 20</v>
          </cell>
          <cell r="N681">
            <v>43941</v>
          </cell>
          <cell r="O681">
            <v>11116380</v>
          </cell>
          <cell r="P681">
            <v>15830000</v>
          </cell>
          <cell r="Q681">
            <v>43922</v>
          </cell>
          <cell r="R681" t="str">
            <v>No</v>
          </cell>
          <cell r="S681" t="str">
            <v>C49</v>
          </cell>
          <cell r="T681" t="str">
            <v>SOUTH</v>
          </cell>
          <cell r="U681" t="str">
            <v>深圳</v>
          </cell>
          <cell r="V681" t="str">
            <v>SZ 深圳</v>
          </cell>
          <cell r="W681" t="str">
            <v>DZ</v>
          </cell>
          <cell r="X681" t="str">
            <v>JPY</v>
          </cell>
          <cell r="Y681">
            <v>15830000</v>
          </cell>
          <cell r="Z681">
            <v>1</v>
          </cell>
          <cell r="AA681">
            <v>15830000</v>
          </cell>
          <cell r="AB681">
            <v>7.2900000000000006E-2</v>
          </cell>
          <cell r="AC681">
            <v>1154007</v>
          </cell>
          <cell r="AD681">
            <v>138480.84</v>
          </cell>
          <cell r="AE681">
            <v>0.12</v>
          </cell>
          <cell r="AF681">
            <v>43795</v>
          </cell>
          <cell r="AG681" t="str">
            <v>CIF HK</v>
          </cell>
          <cell r="AK681">
            <v>0.3</v>
          </cell>
          <cell r="AL681">
            <v>4749000</v>
          </cell>
          <cell r="AN681" t="str">
            <v>Yes</v>
          </cell>
          <cell r="AO681">
            <v>0.7</v>
          </cell>
          <cell r="AP681">
            <v>11081000</v>
          </cell>
          <cell r="AQ681">
            <v>43922</v>
          </cell>
          <cell r="AR681">
            <v>43936</v>
          </cell>
          <cell r="AT681">
            <v>0</v>
          </cell>
          <cell r="AX681" t="str">
            <v>Yes</v>
          </cell>
        </row>
        <row r="682">
          <cell r="B682">
            <v>531</v>
          </cell>
          <cell r="C682" t="str">
            <v>C49SZX20190173DZ</v>
          </cell>
          <cell r="D682" t="str">
            <v>嘉裕</v>
          </cell>
          <cell r="E682" t="str">
            <v>YSM20R(SV)-2</v>
          </cell>
          <cell r="F682" t="str">
            <v>#04342</v>
          </cell>
          <cell r="G682" t="e">
            <v>#REF!</v>
          </cell>
          <cell r="H682" t="e">
            <v>#REF!</v>
          </cell>
          <cell r="I682" t="str">
            <v>L-&gt;R</v>
          </cell>
          <cell r="J682" t="str">
            <v>cATS10+MVC</v>
          </cell>
          <cell r="K682">
            <v>1</v>
          </cell>
          <cell r="L682">
            <v>109816</v>
          </cell>
          <cell r="M682" t="str">
            <v>APR 20</v>
          </cell>
          <cell r="N682">
            <v>43941</v>
          </cell>
          <cell r="O682">
            <v>11116380</v>
          </cell>
          <cell r="P682">
            <v>15830000</v>
          </cell>
          <cell r="Q682">
            <v>43922</v>
          </cell>
          <cell r="R682" t="str">
            <v>No</v>
          </cell>
          <cell r="S682" t="str">
            <v>C49</v>
          </cell>
          <cell r="T682" t="str">
            <v>SOUTH</v>
          </cell>
          <cell r="U682" t="str">
            <v>深圳</v>
          </cell>
          <cell r="V682" t="str">
            <v>SZ 深圳</v>
          </cell>
          <cell r="W682" t="str">
            <v>DZ</v>
          </cell>
          <cell r="X682" t="str">
            <v>JPY</v>
          </cell>
          <cell r="Y682">
            <v>15830000</v>
          </cell>
          <cell r="Z682">
            <v>1</v>
          </cell>
          <cell r="AA682">
            <v>15830000</v>
          </cell>
          <cell r="AB682">
            <v>7.2900000000000006E-2</v>
          </cell>
          <cell r="AC682">
            <v>1154007</v>
          </cell>
          <cell r="AD682">
            <v>138480.84</v>
          </cell>
          <cell r="AE682">
            <v>0.12</v>
          </cell>
          <cell r="AF682">
            <v>43795</v>
          </cell>
          <cell r="AG682" t="str">
            <v>CIF HK</v>
          </cell>
          <cell r="AK682">
            <v>0.3</v>
          </cell>
          <cell r="AL682">
            <v>4749000</v>
          </cell>
          <cell r="AN682" t="str">
            <v>Yes</v>
          </cell>
          <cell r="AO682">
            <v>0.7</v>
          </cell>
          <cell r="AP682">
            <v>11081000</v>
          </cell>
          <cell r="AQ682">
            <v>43922</v>
          </cell>
          <cell r="AR682">
            <v>43936</v>
          </cell>
          <cell r="AT682">
            <v>0</v>
          </cell>
          <cell r="AX682" t="str">
            <v>Yes</v>
          </cell>
        </row>
        <row r="683">
          <cell r="B683">
            <v>532</v>
          </cell>
          <cell r="C683" t="str">
            <v>C49SZX20190149SX</v>
          </cell>
          <cell r="D683" t="str">
            <v>锐诚</v>
          </cell>
          <cell r="E683" t="str">
            <v>YSM40R-4</v>
          </cell>
          <cell r="F683" t="str">
            <v>#78604</v>
          </cell>
          <cell r="G683" t="e">
            <v>#REF!</v>
          </cell>
          <cell r="H683" t="e">
            <v>#REF!</v>
          </cell>
          <cell r="I683" t="str">
            <v>No</v>
          </cell>
          <cell r="J683" t="str">
            <v>No</v>
          </cell>
          <cell r="K683">
            <v>1</v>
          </cell>
          <cell r="L683" t="str">
            <v>Yamaha 归还</v>
          </cell>
          <cell r="M683" t="str">
            <v>DEC 19</v>
          </cell>
          <cell r="N683">
            <v>43818</v>
          </cell>
          <cell r="O683">
            <v>11100364</v>
          </cell>
          <cell r="P683">
            <v>1530000</v>
          </cell>
          <cell r="Q683">
            <v>43800</v>
          </cell>
          <cell r="R683" t="str">
            <v>No</v>
          </cell>
          <cell r="S683" t="str">
            <v>C49</v>
          </cell>
          <cell r="T683" t="str">
            <v>SOUTH</v>
          </cell>
          <cell r="U683" t="str">
            <v>惠州</v>
          </cell>
          <cell r="V683" t="str">
            <v>SZ 深圳</v>
          </cell>
          <cell r="W683" t="str">
            <v>SX</v>
          </cell>
          <cell r="X683" t="str">
            <v>RMB</v>
          </cell>
          <cell r="Y683">
            <v>1530000</v>
          </cell>
          <cell r="Z683">
            <v>1.1299999999999999</v>
          </cell>
          <cell r="AA683">
            <v>1530000</v>
          </cell>
          <cell r="AB683">
            <v>1.1100000000000001</v>
          </cell>
          <cell r="AC683">
            <v>1502920.353982301</v>
          </cell>
          <cell r="AD683">
            <v>180350.44247787612</v>
          </cell>
          <cell r="AE683">
            <v>0.12</v>
          </cell>
          <cell r="AF683">
            <v>43810</v>
          </cell>
          <cell r="AG683" t="str">
            <v>DDP HZ</v>
          </cell>
          <cell r="AK683" t="str">
            <v>agree</v>
          </cell>
          <cell r="AL683">
            <v>306000</v>
          </cell>
          <cell r="AM683">
            <v>43800</v>
          </cell>
          <cell r="AN683" t="str">
            <v>Yes</v>
          </cell>
          <cell r="AO683" t="str">
            <v>agree</v>
          </cell>
          <cell r="AP683">
            <v>1224000</v>
          </cell>
          <cell r="AQ683">
            <v>43800</v>
          </cell>
          <cell r="AR683">
            <v>43817</v>
          </cell>
          <cell r="AX683" t="str">
            <v>Yes</v>
          </cell>
          <cell r="AZ683" t="str">
            <v>Y</v>
          </cell>
          <cell r="BA683" t="str">
            <v>Yes</v>
          </cell>
        </row>
        <row r="684">
          <cell r="B684">
            <v>533</v>
          </cell>
          <cell r="C684" t="str">
            <v>C49SZX20190141SS</v>
          </cell>
          <cell r="D684" t="str">
            <v>博睿通</v>
          </cell>
          <cell r="E684" t="str">
            <v>YSM20R(SV)-2</v>
          </cell>
          <cell r="F684" t="str">
            <v>#04235</v>
          </cell>
          <cell r="G684" t="e">
            <v>#REF!</v>
          </cell>
          <cell r="H684" t="e">
            <v>#REF!</v>
          </cell>
          <cell r="I684" t="str">
            <v>L-&gt;R</v>
          </cell>
          <cell r="J684" t="str">
            <v>No</v>
          </cell>
          <cell r="K684">
            <v>1</v>
          </cell>
          <cell r="L684">
            <v>109782</v>
          </cell>
          <cell r="M684" t="str">
            <v>FEB 20</v>
          </cell>
          <cell r="N684">
            <v>43893</v>
          </cell>
          <cell r="O684" t="str">
            <v>11116060/11116359</v>
          </cell>
          <cell r="P684">
            <v>11000000</v>
          </cell>
          <cell r="Q684">
            <v>43862</v>
          </cell>
          <cell r="R684" t="str">
            <v>Yes</v>
          </cell>
          <cell r="S684" t="str">
            <v>C49</v>
          </cell>
          <cell r="T684" t="str">
            <v>SOUTH</v>
          </cell>
          <cell r="U684" t="str">
            <v>深圳</v>
          </cell>
          <cell r="V684" t="str">
            <v>SZ 深圳</v>
          </cell>
          <cell r="W684" t="str">
            <v>SS</v>
          </cell>
          <cell r="X684" t="str">
            <v>JPY</v>
          </cell>
          <cell r="Y684">
            <v>11000000</v>
          </cell>
          <cell r="Z684">
            <v>1</v>
          </cell>
          <cell r="AA684">
            <v>11000000</v>
          </cell>
          <cell r="AB684">
            <v>7.2900000000000006E-2</v>
          </cell>
          <cell r="AC684">
            <v>801900.00000000012</v>
          </cell>
          <cell r="AD684">
            <v>96228.000000000015</v>
          </cell>
          <cell r="AE684">
            <v>0.12</v>
          </cell>
          <cell r="AF684">
            <v>43810</v>
          </cell>
          <cell r="AG684" t="str">
            <v>CIF HK</v>
          </cell>
          <cell r="AK684">
            <v>0.1</v>
          </cell>
          <cell r="AL684">
            <v>1100000</v>
          </cell>
          <cell r="AM684">
            <v>43800</v>
          </cell>
          <cell r="AN684" t="str">
            <v>Yes</v>
          </cell>
          <cell r="AO684">
            <v>0.9</v>
          </cell>
          <cell r="AP684">
            <v>9900000</v>
          </cell>
          <cell r="AQ684">
            <v>43891</v>
          </cell>
          <cell r="AR684">
            <v>43892</v>
          </cell>
          <cell r="AS684">
            <v>0</v>
          </cell>
          <cell r="AT684">
            <v>0</v>
          </cell>
          <cell r="AX684" t="str">
            <v>Yes</v>
          </cell>
          <cell r="AZ684" t="str">
            <v>Y</v>
          </cell>
          <cell r="BA684" t="str">
            <v>Yes</v>
          </cell>
        </row>
        <row r="685">
          <cell r="B685">
            <v>534</v>
          </cell>
          <cell r="C685" t="str">
            <v>C49SZX20190141SS</v>
          </cell>
          <cell r="D685" t="str">
            <v>博睿通</v>
          </cell>
          <cell r="E685" t="str">
            <v>YSM20R(SV)-2</v>
          </cell>
          <cell r="F685" t="str">
            <v>#04235</v>
          </cell>
          <cell r="G685" t="e">
            <v>#REF!</v>
          </cell>
          <cell r="H685" t="e">
            <v>#REF!</v>
          </cell>
          <cell r="I685" t="str">
            <v>L-&gt;R</v>
          </cell>
          <cell r="J685" t="str">
            <v>No</v>
          </cell>
          <cell r="K685">
            <v>1</v>
          </cell>
          <cell r="L685">
            <v>109782</v>
          </cell>
          <cell r="M685" t="str">
            <v>FEB 20</v>
          </cell>
          <cell r="N685">
            <v>43893</v>
          </cell>
          <cell r="O685" t="str">
            <v>11116060/11116359</v>
          </cell>
          <cell r="P685">
            <v>11000000</v>
          </cell>
          <cell r="Q685">
            <v>43862</v>
          </cell>
          <cell r="R685" t="str">
            <v>Yes</v>
          </cell>
          <cell r="S685" t="str">
            <v>C49</v>
          </cell>
          <cell r="T685" t="str">
            <v>SOUTH</v>
          </cell>
          <cell r="U685" t="str">
            <v>深圳</v>
          </cell>
          <cell r="V685" t="str">
            <v>SZ 深圳</v>
          </cell>
          <cell r="W685" t="str">
            <v>SS</v>
          </cell>
          <cell r="X685" t="str">
            <v>JPY</v>
          </cell>
          <cell r="Y685">
            <v>11000000</v>
          </cell>
          <cell r="Z685">
            <v>1</v>
          </cell>
          <cell r="AA685">
            <v>11000000</v>
          </cell>
          <cell r="AB685">
            <v>7.2900000000000006E-2</v>
          </cell>
          <cell r="AC685">
            <v>801900.00000000012</v>
          </cell>
          <cell r="AD685">
            <v>96228.000000000015</v>
          </cell>
          <cell r="AE685">
            <v>0.12</v>
          </cell>
          <cell r="AF685">
            <v>43810</v>
          </cell>
          <cell r="AG685" t="str">
            <v>CIF HK</v>
          </cell>
          <cell r="AK685">
            <v>0.1</v>
          </cell>
          <cell r="AL685">
            <v>1100000</v>
          </cell>
          <cell r="AM685">
            <v>43800</v>
          </cell>
          <cell r="AN685" t="str">
            <v>Yes</v>
          </cell>
          <cell r="AO685">
            <v>0.9</v>
          </cell>
          <cell r="AP685">
            <v>9900000</v>
          </cell>
          <cell r="AQ685">
            <v>43891</v>
          </cell>
          <cell r="AR685">
            <v>43892</v>
          </cell>
          <cell r="AS685">
            <v>0</v>
          </cell>
          <cell r="AT685">
            <v>0</v>
          </cell>
          <cell r="AX685" t="str">
            <v>Yes</v>
          </cell>
          <cell r="AZ685" t="str">
            <v>Y</v>
          </cell>
          <cell r="BA685" t="str">
            <v>Yes</v>
          </cell>
        </row>
        <row r="686">
          <cell r="B686">
            <v>535</v>
          </cell>
          <cell r="C686" t="str">
            <v>C49SZX20190141SS</v>
          </cell>
          <cell r="D686" t="str">
            <v>博睿通</v>
          </cell>
          <cell r="E686" t="str">
            <v>YSM20R(SV)-2</v>
          </cell>
          <cell r="F686" t="str">
            <v>#04235</v>
          </cell>
          <cell r="G686" t="e">
            <v>#REF!</v>
          </cell>
          <cell r="H686" t="e">
            <v>#REF!</v>
          </cell>
          <cell r="I686" t="str">
            <v>L-&gt;R</v>
          </cell>
          <cell r="J686" t="str">
            <v>No</v>
          </cell>
          <cell r="K686">
            <v>1</v>
          </cell>
          <cell r="L686">
            <v>109782</v>
          </cell>
          <cell r="M686" t="str">
            <v>FEB 20</v>
          </cell>
          <cell r="N686">
            <v>43893</v>
          </cell>
          <cell r="O686" t="str">
            <v>11116060/11116359</v>
          </cell>
          <cell r="P686">
            <v>11000000</v>
          </cell>
          <cell r="Q686">
            <v>43862</v>
          </cell>
          <cell r="R686" t="str">
            <v>Yes</v>
          </cell>
          <cell r="S686" t="str">
            <v>C49</v>
          </cell>
          <cell r="T686" t="str">
            <v>SOUTH</v>
          </cell>
          <cell r="U686" t="str">
            <v>深圳</v>
          </cell>
          <cell r="V686" t="str">
            <v>SZ 深圳</v>
          </cell>
          <cell r="W686" t="str">
            <v>SS</v>
          </cell>
          <cell r="X686" t="str">
            <v>JPY</v>
          </cell>
          <cell r="Y686">
            <v>11000000</v>
          </cell>
          <cell r="Z686">
            <v>1</v>
          </cell>
          <cell r="AA686">
            <v>11000000</v>
          </cell>
          <cell r="AB686">
            <v>7.2900000000000006E-2</v>
          </cell>
          <cell r="AC686">
            <v>801900.00000000012</v>
          </cell>
          <cell r="AD686">
            <v>96228.000000000015</v>
          </cell>
          <cell r="AE686">
            <v>0.12</v>
          </cell>
          <cell r="AF686">
            <v>43810</v>
          </cell>
          <cell r="AG686" t="str">
            <v>CIF HK</v>
          </cell>
          <cell r="AK686">
            <v>0.1</v>
          </cell>
          <cell r="AL686">
            <v>1100000</v>
          </cell>
          <cell r="AM686">
            <v>43800</v>
          </cell>
          <cell r="AN686" t="str">
            <v>Yes</v>
          </cell>
          <cell r="AO686">
            <v>0.9</v>
          </cell>
          <cell r="AP686">
            <v>9900000</v>
          </cell>
          <cell r="AQ686">
            <v>43891</v>
          </cell>
          <cell r="AR686">
            <v>43892</v>
          </cell>
          <cell r="AS686">
            <v>0</v>
          </cell>
          <cell r="AT686">
            <v>0</v>
          </cell>
          <cell r="AX686" t="str">
            <v>Yes</v>
          </cell>
          <cell r="AZ686" t="str">
            <v>Y</v>
          </cell>
          <cell r="BA686" t="str">
            <v>Yes</v>
          </cell>
        </row>
        <row r="687">
          <cell r="B687">
            <v>536</v>
          </cell>
          <cell r="C687" t="str">
            <v>C49SZX20190141SS</v>
          </cell>
          <cell r="D687" t="str">
            <v>博睿通</v>
          </cell>
          <cell r="E687" t="str">
            <v>YSM20R(SV)-2</v>
          </cell>
          <cell r="F687" t="str">
            <v>#04235</v>
          </cell>
          <cell r="G687" t="e">
            <v>#REF!</v>
          </cell>
          <cell r="H687" t="e">
            <v>#REF!</v>
          </cell>
          <cell r="I687" t="str">
            <v>L-&gt;R</v>
          </cell>
          <cell r="J687" t="str">
            <v>No</v>
          </cell>
          <cell r="K687">
            <v>1</v>
          </cell>
          <cell r="L687">
            <v>109782</v>
          </cell>
          <cell r="M687" t="str">
            <v>FEB 20</v>
          </cell>
          <cell r="N687">
            <v>43893</v>
          </cell>
          <cell r="O687" t="str">
            <v>11116060/11116359</v>
          </cell>
          <cell r="P687">
            <v>11000000</v>
          </cell>
          <cell r="Q687">
            <v>43862</v>
          </cell>
          <cell r="R687" t="str">
            <v>Yes</v>
          </cell>
          <cell r="S687" t="str">
            <v>C49</v>
          </cell>
          <cell r="T687" t="str">
            <v>SOUTH</v>
          </cell>
          <cell r="U687" t="str">
            <v>深圳</v>
          </cell>
          <cell r="V687" t="str">
            <v>SZ 深圳</v>
          </cell>
          <cell r="W687" t="str">
            <v>SS</v>
          </cell>
          <cell r="X687" t="str">
            <v>JPY</v>
          </cell>
          <cell r="Y687">
            <v>11000000</v>
          </cell>
          <cell r="Z687">
            <v>1</v>
          </cell>
          <cell r="AA687">
            <v>11000000</v>
          </cell>
          <cell r="AB687">
            <v>7.2900000000000006E-2</v>
          </cell>
          <cell r="AC687">
            <v>801900.00000000012</v>
          </cell>
          <cell r="AD687">
            <v>96228.000000000015</v>
          </cell>
          <cell r="AE687">
            <v>0.12</v>
          </cell>
          <cell r="AF687">
            <v>43810</v>
          </cell>
          <cell r="AG687" t="str">
            <v>CIF HK</v>
          </cell>
          <cell r="AK687">
            <v>0.1</v>
          </cell>
          <cell r="AL687">
            <v>1100000</v>
          </cell>
          <cell r="AM687">
            <v>43800</v>
          </cell>
          <cell r="AN687" t="str">
            <v>Yes</v>
          </cell>
          <cell r="AO687">
            <v>0.9</v>
          </cell>
          <cell r="AP687">
            <v>9900000</v>
          </cell>
          <cell r="AQ687">
            <v>43891</v>
          </cell>
          <cell r="AR687">
            <v>43892</v>
          </cell>
          <cell r="AS687">
            <v>0</v>
          </cell>
          <cell r="AT687">
            <v>0</v>
          </cell>
          <cell r="AX687" t="str">
            <v>Yes</v>
          </cell>
          <cell r="AZ687" t="str">
            <v>Y</v>
          </cell>
          <cell r="BA687" t="str">
            <v>Yes</v>
          </cell>
        </row>
        <row r="688">
          <cell r="B688">
            <v>537</v>
          </cell>
          <cell r="C688" t="str">
            <v>C49SZX20190141SS</v>
          </cell>
          <cell r="D688" t="str">
            <v>博睿通</v>
          </cell>
          <cell r="E688" t="str">
            <v>YSM20R(SV)-2</v>
          </cell>
          <cell r="F688" t="str">
            <v>#04235</v>
          </cell>
          <cell r="G688" t="e">
            <v>#REF!</v>
          </cell>
          <cell r="H688" t="e">
            <v>#REF!</v>
          </cell>
          <cell r="I688" t="str">
            <v>R-&gt;L</v>
          </cell>
          <cell r="J688" t="str">
            <v>No</v>
          </cell>
          <cell r="K688">
            <v>1</v>
          </cell>
          <cell r="L688">
            <v>109782</v>
          </cell>
          <cell r="M688" t="str">
            <v>FEB 20</v>
          </cell>
          <cell r="N688">
            <v>43893</v>
          </cell>
          <cell r="O688" t="str">
            <v>11116060/11116359</v>
          </cell>
          <cell r="P688">
            <v>11000000</v>
          </cell>
          <cell r="Q688">
            <v>43862</v>
          </cell>
          <cell r="R688" t="str">
            <v>Yes</v>
          </cell>
          <cell r="S688" t="str">
            <v>C49</v>
          </cell>
          <cell r="T688" t="str">
            <v>SOUTH</v>
          </cell>
          <cell r="U688" t="str">
            <v>深圳</v>
          </cell>
          <cell r="V688" t="str">
            <v>SZ 深圳</v>
          </cell>
          <cell r="W688" t="str">
            <v>SS</v>
          </cell>
          <cell r="X688" t="str">
            <v>JPY</v>
          </cell>
          <cell r="Y688">
            <v>11000000</v>
          </cell>
          <cell r="Z688">
            <v>1</v>
          </cell>
          <cell r="AA688">
            <v>11000000</v>
          </cell>
          <cell r="AB688">
            <v>7.2900000000000006E-2</v>
          </cell>
          <cell r="AC688">
            <v>801900.00000000012</v>
          </cell>
          <cell r="AD688">
            <v>96228.000000000015</v>
          </cell>
          <cell r="AE688">
            <v>0.12</v>
          </cell>
          <cell r="AF688">
            <v>43810</v>
          </cell>
          <cell r="AG688" t="str">
            <v>CIF HK</v>
          </cell>
          <cell r="AK688">
            <v>0.1</v>
          </cell>
          <cell r="AL688">
            <v>1100000</v>
          </cell>
          <cell r="AM688">
            <v>43800</v>
          </cell>
          <cell r="AN688" t="str">
            <v>Yes</v>
          </cell>
          <cell r="AO688">
            <v>0.9</v>
          </cell>
          <cell r="AP688">
            <v>9900000</v>
          </cell>
          <cell r="AQ688">
            <v>43891</v>
          </cell>
          <cell r="AR688">
            <v>43892</v>
          </cell>
          <cell r="AS688">
            <v>0</v>
          </cell>
          <cell r="AT688">
            <v>0</v>
          </cell>
          <cell r="AX688" t="str">
            <v>Yes</v>
          </cell>
          <cell r="AZ688" t="str">
            <v>Y</v>
          </cell>
          <cell r="BA688" t="str">
            <v>Yes</v>
          </cell>
        </row>
        <row r="689">
          <cell r="B689">
            <v>538</v>
          </cell>
          <cell r="C689" t="str">
            <v>C49SZX20190141SS</v>
          </cell>
          <cell r="D689" t="str">
            <v>博睿通</v>
          </cell>
          <cell r="E689" t="str">
            <v>YSM10</v>
          </cell>
          <cell r="F689" t="str">
            <v>#04235</v>
          </cell>
          <cell r="G689" t="e">
            <v>#REF!</v>
          </cell>
          <cell r="H689" t="e">
            <v>#REF!</v>
          </cell>
          <cell r="I689" t="str">
            <v>L-&gt;R</v>
          </cell>
          <cell r="J689" t="str">
            <v>MVC+ATS15</v>
          </cell>
          <cell r="K689">
            <v>1</v>
          </cell>
          <cell r="L689">
            <v>109749</v>
          </cell>
          <cell r="M689" t="str">
            <v>FEB 20</v>
          </cell>
          <cell r="N689">
            <v>43893</v>
          </cell>
          <cell r="O689" t="str">
            <v>11116060/11116359</v>
          </cell>
          <cell r="P689">
            <v>7722000</v>
          </cell>
          <cell r="Q689">
            <v>43862</v>
          </cell>
          <cell r="R689" t="str">
            <v>Yes</v>
          </cell>
          <cell r="S689" t="str">
            <v>C49</v>
          </cell>
          <cell r="T689" t="str">
            <v>SOUTH</v>
          </cell>
          <cell r="U689" t="str">
            <v>深圳</v>
          </cell>
          <cell r="V689" t="str">
            <v>SZ 深圳</v>
          </cell>
          <cell r="W689" t="str">
            <v>SS</v>
          </cell>
          <cell r="X689" t="str">
            <v>JPY</v>
          </cell>
          <cell r="Y689">
            <v>7722000</v>
          </cell>
          <cell r="Z689">
            <v>1</v>
          </cell>
          <cell r="AA689">
            <v>7722000</v>
          </cell>
          <cell r="AB689">
            <v>7.2900000000000006E-2</v>
          </cell>
          <cell r="AC689">
            <v>562933.80000000005</v>
          </cell>
          <cell r="AD689">
            <v>67552.055999999997</v>
          </cell>
          <cell r="AE689">
            <v>0.12</v>
          </cell>
          <cell r="AF689">
            <v>43810</v>
          </cell>
          <cell r="AG689" t="str">
            <v>CIF HK</v>
          </cell>
          <cell r="AK689">
            <v>0.1</v>
          </cell>
          <cell r="AL689">
            <v>772200</v>
          </cell>
          <cell r="AM689">
            <v>43800</v>
          </cell>
          <cell r="AN689" t="str">
            <v>Yes</v>
          </cell>
          <cell r="AO689">
            <v>0.9</v>
          </cell>
          <cell r="AP689">
            <v>6949800</v>
          </cell>
          <cell r="AQ689">
            <v>43891</v>
          </cell>
          <cell r="AR689">
            <v>43892</v>
          </cell>
          <cell r="AS689">
            <v>0</v>
          </cell>
          <cell r="AT689">
            <v>0</v>
          </cell>
          <cell r="AX689" t="str">
            <v>Yes</v>
          </cell>
          <cell r="AZ689" t="str">
            <v>Y</v>
          </cell>
          <cell r="BA689" t="str">
            <v>Yes</v>
          </cell>
        </row>
        <row r="690">
          <cell r="B690">
            <v>539</v>
          </cell>
          <cell r="C690" t="str">
            <v>C49SZX20190141SS</v>
          </cell>
          <cell r="D690" t="str">
            <v>博睿通</v>
          </cell>
          <cell r="E690" t="str">
            <v>YSM10</v>
          </cell>
          <cell r="F690" t="str">
            <v>#04235</v>
          </cell>
          <cell r="G690" t="e">
            <v>#REF!</v>
          </cell>
          <cell r="H690" t="e">
            <v>#REF!</v>
          </cell>
          <cell r="I690" t="str">
            <v>L-&gt;R</v>
          </cell>
          <cell r="J690" t="str">
            <v>MVC+ATS15</v>
          </cell>
          <cell r="K690">
            <v>1</v>
          </cell>
          <cell r="L690">
            <v>109749</v>
          </cell>
          <cell r="M690" t="str">
            <v>FEB 20</v>
          </cell>
          <cell r="N690">
            <v>43893</v>
          </cell>
          <cell r="O690" t="str">
            <v>11116060/11116359</v>
          </cell>
          <cell r="P690">
            <v>7722000</v>
          </cell>
          <cell r="Q690">
            <v>43862</v>
          </cell>
          <cell r="R690" t="str">
            <v>Yes</v>
          </cell>
          <cell r="S690" t="str">
            <v>C49</v>
          </cell>
          <cell r="T690" t="str">
            <v>SOUTH</v>
          </cell>
          <cell r="U690" t="str">
            <v>深圳</v>
          </cell>
          <cell r="V690" t="str">
            <v>SZ 深圳</v>
          </cell>
          <cell r="W690" t="str">
            <v>SS</v>
          </cell>
          <cell r="X690" t="str">
            <v>JPY</v>
          </cell>
          <cell r="Y690">
            <v>7722000</v>
          </cell>
          <cell r="Z690">
            <v>1</v>
          </cell>
          <cell r="AA690">
            <v>7722000</v>
          </cell>
          <cell r="AB690">
            <v>7.2900000000000006E-2</v>
          </cell>
          <cell r="AC690">
            <v>562933.80000000005</v>
          </cell>
          <cell r="AD690">
            <v>67552.055999999997</v>
          </cell>
          <cell r="AE690">
            <v>0.12</v>
          </cell>
          <cell r="AF690">
            <v>43810</v>
          </cell>
          <cell r="AG690" t="str">
            <v>CIF HK</v>
          </cell>
          <cell r="AK690">
            <v>0.1</v>
          </cell>
          <cell r="AL690">
            <v>772200</v>
          </cell>
          <cell r="AM690">
            <v>43800</v>
          </cell>
          <cell r="AN690" t="str">
            <v>Yes</v>
          </cell>
          <cell r="AO690">
            <v>0.9</v>
          </cell>
          <cell r="AP690">
            <v>6949800</v>
          </cell>
          <cell r="AQ690">
            <v>43891</v>
          </cell>
          <cell r="AR690">
            <v>43892</v>
          </cell>
          <cell r="AS690">
            <v>0</v>
          </cell>
          <cell r="AT690">
            <v>0</v>
          </cell>
          <cell r="AX690" t="str">
            <v>Yes</v>
          </cell>
          <cell r="AZ690" t="str">
            <v>Y</v>
          </cell>
          <cell r="BA690" t="str">
            <v>Yes</v>
          </cell>
        </row>
        <row r="691">
          <cell r="B691">
            <v>540</v>
          </cell>
          <cell r="C691" t="str">
            <v>C49SZX20190141SS</v>
          </cell>
          <cell r="D691" t="str">
            <v>博睿通</v>
          </cell>
          <cell r="E691" t="str">
            <v>YSM10</v>
          </cell>
          <cell r="F691" t="str">
            <v>#04235</v>
          </cell>
          <cell r="G691" t="e">
            <v>#REF!</v>
          </cell>
          <cell r="H691" t="e">
            <v>#REF!</v>
          </cell>
          <cell r="I691" t="str">
            <v>L-&gt;R</v>
          </cell>
          <cell r="J691" t="str">
            <v>MVC+ATS15</v>
          </cell>
          <cell r="K691">
            <v>1</v>
          </cell>
          <cell r="L691">
            <v>109750</v>
          </cell>
          <cell r="M691" t="str">
            <v>FEB 20</v>
          </cell>
          <cell r="N691">
            <v>43893</v>
          </cell>
          <cell r="O691" t="str">
            <v>11116060/11116359</v>
          </cell>
          <cell r="P691">
            <v>7722000</v>
          </cell>
          <cell r="Q691">
            <v>43862</v>
          </cell>
          <cell r="R691" t="str">
            <v>Yes</v>
          </cell>
          <cell r="S691" t="str">
            <v>C49</v>
          </cell>
          <cell r="T691" t="str">
            <v>SOUTH</v>
          </cell>
          <cell r="U691" t="str">
            <v>深圳</v>
          </cell>
          <cell r="V691" t="str">
            <v>SZ 深圳</v>
          </cell>
          <cell r="W691" t="str">
            <v>SS</v>
          </cell>
          <cell r="X691" t="str">
            <v>JPY</v>
          </cell>
          <cell r="Y691">
            <v>7722000</v>
          </cell>
          <cell r="Z691">
            <v>1</v>
          </cell>
          <cell r="AA691">
            <v>7722000</v>
          </cell>
          <cell r="AB691">
            <v>7.2900000000000006E-2</v>
          </cell>
          <cell r="AC691">
            <v>562933.80000000005</v>
          </cell>
          <cell r="AD691">
            <v>67552.055999999997</v>
          </cell>
          <cell r="AE691">
            <v>0.12</v>
          </cell>
          <cell r="AF691">
            <v>43810</v>
          </cell>
          <cell r="AG691" t="str">
            <v>CIF HK</v>
          </cell>
          <cell r="AK691">
            <v>0.1</v>
          </cell>
          <cell r="AL691">
            <v>772200</v>
          </cell>
          <cell r="AM691">
            <v>43800</v>
          </cell>
          <cell r="AN691" t="str">
            <v>Yes</v>
          </cell>
          <cell r="AO691">
            <v>0.9</v>
          </cell>
          <cell r="AP691">
            <v>6949800</v>
          </cell>
          <cell r="AQ691">
            <v>43891</v>
          </cell>
          <cell r="AR691">
            <v>43892</v>
          </cell>
          <cell r="AS691">
            <v>0</v>
          </cell>
          <cell r="AT691">
            <v>0</v>
          </cell>
          <cell r="AX691" t="str">
            <v>Yes</v>
          </cell>
          <cell r="AZ691" t="str">
            <v>Y</v>
          </cell>
          <cell r="BA691" t="str">
            <v>Yes</v>
          </cell>
        </row>
        <row r="692">
          <cell r="B692">
            <v>541</v>
          </cell>
          <cell r="C692" t="str">
            <v>C49SZX20190141SS</v>
          </cell>
          <cell r="D692" t="str">
            <v>博睿通</v>
          </cell>
          <cell r="E692" t="str">
            <v>YSM10</v>
          </cell>
          <cell r="F692" t="str">
            <v>#04235</v>
          </cell>
          <cell r="G692" t="e">
            <v>#REF!</v>
          </cell>
          <cell r="H692" t="e">
            <v>#REF!</v>
          </cell>
          <cell r="I692" t="str">
            <v>L-&gt;R</v>
          </cell>
          <cell r="J692" t="str">
            <v>MVC</v>
          </cell>
          <cell r="K692">
            <v>1</v>
          </cell>
          <cell r="L692">
            <v>109759</v>
          </cell>
          <cell r="M692" t="str">
            <v>FEB 20</v>
          </cell>
          <cell r="N692">
            <v>43893</v>
          </cell>
          <cell r="O692" t="str">
            <v>11116060/11116359</v>
          </cell>
          <cell r="P692">
            <v>7722000</v>
          </cell>
          <cell r="Q692">
            <v>43862</v>
          </cell>
          <cell r="R692" t="str">
            <v>Yes</v>
          </cell>
          <cell r="S692" t="str">
            <v>C49</v>
          </cell>
          <cell r="T692" t="str">
            <v>SOUTH</v>
          </cell>
          <cell r="U692" t="str">
            <v>深圳</v>
          </cell>
          <cell r="V692" t="str">
            <v>SZ 深圳</v>
          </cell>
          <cell r="W692" t="str">
            <v>SS</v>
          </cell>
          <cell r="X692" t="str">
            <v>JPY</v>
          </cell>
          <cell r="Y692">
            <v>7722000</v>
          </cell>
          <cell r="Z692">
            <v>1</v>
          </cell>
          <cell r="AA692">
            <v>7722000</v>
          </cell>
          <cell r="AB692">
            <v>7.2900000000000006E-2</v>
          </cell>
          <cell r="AC692">
            <v>562933.80000000005</v>
          </cell>
          <cell r="AD692">
            <v>67552.055999999997</v>
          </cell>
          <cell r="AE692">
            <v>0.12</v>
          </cell>
          <cell r="AF692">
            <v>43810</v>
          </cell>
          <cell r="AG692" t="str">
            <v>CIF HK</v>
          </cell>
          <cell r="AK692">
            <v>0.1</v>
          </cell>
          <cell r="AL692">
            <v>772200</v>
          </cell>
          <cell r="AM692">
            <v>43800</v>
          </cell>
          <cell r="AN692" t="str">
            <v>Yes</v>
          </cell>
          <cell r="AO692">
            <v>0.9</v>
          </cell>
          <cell r="AP692">
            <v>6949800</v>
          </cell>
          <cell r="AQ692">
            <v>43891</v>
          </cell>
          <cell r="AR692">
            <v>43892</v>
          </cell>
          <cell r="AS692">
            <v>0</v>
          </cell>
          <cell r="AT692">
            <v>0</v>
          </cell>
          <cell r="AX692" t="str">
            <v>Yes</v>
          </cell>
          <cell r="AZ692" t="str">
            <v>Y</v>
          </cell>
          <cell r="BA692" t="str">
            <v>Yes</v>
          </cell>
        </row>
        <row r="693">
          <cell r="B693">
            <v>542</v>
          </cell>
          <cell r="C693" t="str">
            <v>C49SZX20190141SS</v>
          </cell>
          <cell r="D693" t="str">
            <v>博睿通</v>
          </cell>
          <cell r="E693" t="str">
            <v>YSM10</v>
          </cell>
          <cell r="F693" t="str">
            <v>#04235</v>
          </cell>
          <cell r="G693" t="e">
            <v>#REF!</v>
          </cell>
          <cell r="H693" t="e">
            <v>#REF!</v>
          </cell>
          <cell r="I693" t="str">
            <v>L-&gt;R</v>
          </cell>
          <cell r="J693" t="str">
            <v>MVC</v>
          </cell>
          <cell r="K693">
            <v>1</v>
          </cell>
          <cell r="L693">
            <v>109762</v>
          </cell>
          <cell r="M693" t="str">
            <v>FEB 20</v>
          </cell>
          <cell r="N693">
            <v>43893</v>
          </cell>
          <cell r="O693" t="str">
            <v>11116060/11116359</v>
          </cell>
          <cell r="P693">
            <v>7722000</v>
          </cell>
          <cell r="Q693">
            <v>43862</v>
          </cell>
          <cell r="R693" t="str">
            <v>Yes</v>
          </cell>
          <cell r="S693" t="str">
            <v>C49</v>
          </cell>
          <cell r="T693" t="str">
            <v>SOUTH</v>
          </cell>
          <cell r="U693" t="str">
            <v>深圳</v>
          </cell>
          <cell r="V693" t="str">
            <v>SZ 深圳</v>
          </cell>
          <cell r="W693" t="str">
            <v>SS</v>
          </cell>
          <cell r="X693" t="str">
            <v>JPY</v>
          </cell>
          <cell r="Y693">
            <v>7722000</v>
          </cell>
          <cell r="Z693">
            <v>1</v>
          </cell>
          <cell r="AA693">
            <v>7722000</v>
          </cell>
          <cell r="AB693">
            <v>7.2900000000000006E-2</v>
          </cell>
          <cell r="AC693">
            <v>562933.80000000005</v>
          </cell>
          <cell r="AD693">
            <v>67552.055999999997</v>
          </cell>
          <cell r="AE693">
            <v>0.12</v>
          </cell>
          <cell r="AF693">
            <v>43810</v>
          </cell>
          <cell r="AG693" t="str">
            <v>CIF HK</v>
          </cell>
          <cell r="AK693">
            <v>0.1</v>
          </cell>
          <cell r="AL693">
            <v>772200</v>
          </cell>
          <cell r="AM693">
            <v>43800</v>
          </cell>
          <cell r="AN693" t="str">
            <v>Yes</v>
          </cell>
          <cell r="AO693">
            <v>0.9</v>
          </cell>
          <cell r="AP693">
            <v>6949800</v>
          </cell>
          <cell r="AQ693">
            <v>43891</v>
          </cell>
          <cell r="AR693">
            <v>43892</v>
          </cell>
          <cell r="AS693">
            <v>0</v>
          </cell>
          <cell r="AT693">
            <v>0</v>
          </cell>
          <cell r="AX693" t="str">
            <v>Yes</v>
          </cell>
          <cell r="AZ693" t="str">
            <v>Y</v>
          </cell>
          <cell r="BA693" t="str">
            <v>Yes</v>
          </cell>
        </row>
        <row r="694">
          <cell r="B694">
            <v>543</v>
          </cell>
          <cell r="C694" t="str">
            <v>C49SZX20190141SS</v>
          </cell>
          <cell r="D694" t="str">
            <v>博睿通</v>
          </cell>
          <cell r="E694" t="str">
            <v>YSM10</v>
          </cell>
          <cell r="F694" t="str">
            <v>#04235</v>
          </cell>
          <cell r="G694" t="e">
            <v>#REF!</v>
          </cell>
          <cell r="H694" t="e">
            <v>#REF!</v>
          </cell>
          <cell r="I694" t="str">
            <v>R-&gt;L</v>
          </cell>
          <cell r="J694" t="str">
            <v>MVC</v>
          </cell>
          <cell r="K694">
            <v>1</v>
          </cell>
          <cell r="L694">
            <v>109714</v>
          </cell>
          <cell r="M694" t="str">
            <v>FEB 20</v>
          </cell>
          <cell r="N694">
            <v>43893</v>
          </cell>
          <cell r="O694" t="str">
            <v>11116060/11116359</v>
          </cell>
          <cell r="P694">
            <v>7722000</v>
          </cell>
          <cell r="Q694">
            <v>43862</v>
          </cell>
          <cell r="R694" t="str">
            <v>Yes</v>
          </cell>
          <cell r="S694" t="str">
            <v>C49</v>
          </cell>
          <cell r="T694" t="str">
            <v>SOUTH</v>
          </cell>
          <cell r="U694" t="str">
            <v>深圳</v>
          </cell>
          <cell r="V694" t="str">
            <v>SZ 深圳</v>
          </cell>
          <cell r="W694" t="str">
            <v>SS</v>
          </cell>
          <cell r="X694" t="str">
            <v>JPY</v>
          </cell>
          <cell r="Y694">
            <v>7722000</v>
          </cell>
          <cell r="Z694">
            <v>1</v>
          </cell>
          <cell r="AA694">
            <v>7722000</v>
          </cell>
          <cell r="AB694">
            <v>7.2900000000000006E-2</v>
          </cell>
          <cell r="AC694">
            <v>562933.80000000005</v>
          </cell>
          <cell r="AD694">
            <v>67552.055999999997</v>
          </cell>
          <cell r="AE694">
            <v>0.12</v>
          </cell>
          <cell r="AF694">
            <v>43810</v>
          </cell>
          <cell r="AG694" t="str">
            <v>CIF HK</v>
          </cell>
          <cell r="AK694">
            <v>0.1</v>
          </cell>
          <cell r="AL694">
            <v>772200</v>
          </cell>
          <cell r="AM694">
            <v>43800</v>
          </cell>
          <cell r="AN694" t="str">
            <v>Yes</v>
          </cell>
          <cell r="AO694">
            <v>0.9</v>
          </cell>
          <cell r="AP694">
            <v>6949800</v>
          </cell>
          <cell r="AQ694">
            <v>43891</v>
          </cell>
          <cell r="AR694">
            <v>43892</v>
          </cell>
          <cell r="AS694">
            <v>0</v>
          </cell>
          <cell r="AT694">
            <v>0</v>
          </cell>
          <cell r="AX694" t="str">
            <v>Yes</v>
          </cell>
          <cell r="AZ694" t="str">
            <v>Y</v>
          </cell>
          <cell r="BA694" t="str">
            <v>Yes</v>
          </cell>
        </row>
        <row r="695">
          <cell r="B695">
            <v>544</v>
          </cell>
          <cell r="C695" t="str">
            <v>C28SZX20190098YY</v>
          </cell>
          <cell r="D695" t="str">
            <v>嘉裕</v>
          </cell>
          <cell r="E695" t="str">
            <v>YCP10</v>
          </cell>
          <cell r="F695" t="str">
            <v>#04342</v>
          </cell>
          <cell r="G695" t="e">
            <v>#REF!</v>
          </cell>
          <cell r="H695" t="e">
            <v>#REF!</v>
          </cell>
          <cell r="I695" t="str">
            <v>L-&gt;R</v>
          </cell>
          <cell r="J695" t="str">
            <v>No</v>
          </cell>
          <cell r="K695">
            <v>1</v>
          </cell>
          <cell r="L695">
            <v>109532</v>
          </cell>
          <cell r="M695" t="str">
            <v>APR 20</v>
          </cell>
          <cell r="N695">
            <v>43941</v>
          </cell>
          <cell r="O695">
            <v>11116378</v>
          </cell>
          <cell r="P695">
            <v>5820000</v>
          </cell>
          <cell r="Q695">
            <v>43922</v>
          </cell>
          <cell r="R695" t="str">
            <v>No</v>
          </cell>
          <cell r="S695" t="str">
            <v>C28</v>
          </cell>
          <cell r="T695" t="str">
            <v>SOUTH</v>
          </cell>
          <cell r="U695" t="str">
            <v>深圳</v>
          </cell>
          <cell r="V695" t="str">
            <v>SZ 深圳</v>
          </cell>
          <cell r="W695" t="str">
            <v>Yann</v>
          </cell>
          <cell r="X695" t="str">
            <v>JPY</v>
          </cell>
          <cell r="Y695">
            <v>5820000</v>
          </cell>
          <cell r="Z695">
            <v>1</v>
          </cell>
          <cell r="AA695">
            <v>5820000</v>
          </cell>
          <cell r="AB695">
            <v>7.2900000000000006E-2</v>
          </cell>
          <cell r="AC695">
            <v>424278.00000000006</v>
          </cell>
          <cell r="AD695">
            <v>50913.360000000008</v>
          </cell>
          <cell r="AE695">
            <v>0.12</v>
          </cell>
          <cell r="AF695">
            <v>43795</v>
          </cell>
          <cell r="AG695" t="str">
            <v>CIF HK</v>
          </cell>
          <cell r="AK695">
            <v>0.3</v>
          </cell>
          <cell r="AL695">
            <v>1746000</v>
          </cell>
          <cell r="AN695" t="str">
            <v>Yes</v>
          </cell>
          <cell r="AO695">
            <v>0.7</v>
          </cell>
          <cell r="AP695">
            <v>4073999.9999999995</v>
          </cell>
          <cell r="AQ695">
            <v>43922</v>
          </cell>
          <cell r="AR695">
            <v>43936</v>
          </cell>
          <cell r="AS695">
            <v>0</v>
          </cell>
          <cell r="AT695">
            <v>0</v>
          </cell>
          <cell r="AX695" t="str">
            <v>Yes</v>
          </cell>
        </row>
        <row r="696">
          <cell r="B696">
            <v>545</v>
          </cell>
          <cell r="C696" t="str">
            <v>C49SZX20190182JL</v>
          </cell>
          <cell r="D696" t="str">
            <v>志恒兴盛</v>
          </cell>
          <cell r="E696" t="str">
            <v>YSM20R(SV)-2</v>
          </cell>
          <cell r="F696" t="str">
            <v>#04229</v>
          </cell>
          <cell r="G696" t="e">
            <v>#REF!</v>
          </cell>
          <cell r="H696" t="e">
            <v>#REF!</v>
          </cell>
          <cell r="I696" t="str">
            <v>R-&gt;L</v>
          </cell>
          <cell r="J696" t="str">
            <v>No</v>
          </cell>
          <cell r="K696">
            <v>1</v>
          </cell>
          <cell r="L696">
            <v>109750</v>
          </cell>
          <cell r="M696" t="str">
            <v>JAN 20</v>
          </cell>
          <cell r="N696">
            <v>43845</v>
          </cell>
          <cell r="O696">
            <v>11116351</v>
          </cell>
          <cell r="P696">
            <v>11000000</v>
          </cell>
          <cell r="Q696">
            <v>43831</v>
          </cell>
          <cell r="R696" t="str">
            <v>Yes</v>
          </cell>
          <cell r="S696" t="str">
            <v>C49</v>
          </cell>
          <cell r="T696" t="str">
            <v>SOUTH</v>
          </cell>
          <cell r="U696" t="str">
            <v>深圳</v>
          </cell>
          <cell r="V696" t="str">
            <v>SZ 深圳</v>
          </cell>
          <cell r="W696" t="str">
            <v>JL</v>
          </cell>
          <cell r="X696" t="str">
            <v>JPY</v>
          </cell>
          <cell r="Y696">
            <v>11000000</v>
          </cell>
          <cell r="Z696">
            <v>1</v>
          </cell>
          <cell r="AA696">
            <v>11000000</v>
          </cell>
          <cell r="AB696">
            <v>7.2900000000000006E-2</v>
          </cell>
          <cell r="AC696">
            <v>801900.00000000012</v>
          </cell>
          <cell r="AD696">
            <v>96228.000000000015</v>
          </cell>
          <cell r="AE696">
            <v>0.12</v>
          </cell>
          <cell r="AF696">
            <v>43836</v>
          </cell>
          <cell r="AG696" t="str">
            <v>CIF HK</v>
          </cell>
          <cell r="AK696" t="str">
            <v>agree</v>
          </cell>
          <cell r="AL696">
            <v>30000</v>
          </cell>
          <cell r="AM696">
            <v>43831</v>
          </cell>
          <cell r="AN696" t="str">
            <v>Yes</v>
          </cell>
          <cell r="AO696">
            <v>0.7</v>
          </cell>
          <cell r="AP696">
            <v>7699999.9999999991</v>
          </cell>
          <cell r="AQ696">
            <v>43831</v>
          </cell>
          <cell r="AR696">
            <v>43845</v>
          </cell>
          <cell r="AS696">
            <v>0</v>
          </cell>
          <cell r="AT696">
            <v>0</v>
          </cell>
          <cell r="AX696" t="str">
            <v>Yes</v>
          </cell>
          <cell r="AY696" t="str">
            <v>Yes</v>
          </cell>
          <cell r="AZ696" t="str">
            <v>Y</v>
          </cell>
          <cell r="BA696" t="str">
            <v>Yes</v>
          </cell>
        </row>
        <row r="697">
          <cell r="B697">
            <v>546</v>
          </cell>
          <cell r="C697" t="str">
            <v>C49SZX20190182JL</v>
          </cell>
          <cell r="D697" t="str">
            <v>志恒兴盛</v>
          </cell>
          <cell r="E697" t="str">
            <v>YSM20R(SV)-2</v>
          </cell>
          <cell r="F697" t="str">
            <v>#04229</v>
          </cell>
          <cell r="G697" t="e">
            <v>#REF!</v>
          </cell>
          <cell r="H697" t="e">
            <v>#REF!</v>
          </cell>
          <cell r="I697" t="str">
            <v>L-&gt;R</v>
          </cell>
          <cell r="J697" t="str">
            <v>No</v>
          </cell>
          <cell r="K697">
            <v>1</v>
          </cell>
          <cell r="L697">
            <v>109750</v>
          </cell>
          <cell r="M697" t="str">
            <v>JAN 20</v>
          </cell>
          <cell r="N697">
            <v>43845</v>
          </cell>
          <cell r="O697">
            <v>11116351</v>
          </cell>
          <cell r="P697">
            <v>11000000</v>
          </cell>
          <cell r="Q697">
            <v>43831</v>
          </cell>
          <cell r="R697" t="str">
            <v>Yes</v>
          </cell>
          <cell r="S697" t="str">
            <v>C49</v>
          </cell>
          <cell r="T697" t="str">
            <v>SOUTH</v>
          </cell>
          <cell r="U697" t="str">
            <v>深圳</v>
          </cell>
          <cell r="V697" t="str">
            <v>SZ 深圳</v>
          </cell>
          <cell r="W697" t="str">
            <v>JL</v>
          </cell>
          <cell r="X697" t="str">
            <v>JPY</v>
          </cell>
          <cell r="Y697">
            <v>11000000</v>
          </cell>
          <cell r="Z697">
            <v>1</v>
          </cell>
          <cell r="AA697">
            <v>11000000</v>
          </cell>
          <cell r="AB697">
            <v>7.2900000000000006E-2</v>
          </cell>
          <cell r="AC697">
            <v>801900.00000000012</v>
          </cell>
          <cell r="AD697">
            <v>96228.000000000015</v>
          </cell>
          <cell r="AE697">
            <v>0.12</v>
          </cell>
          <cell r="AF697">
            <v>43836</v>
          </cell>
          <cell r="AG697" t="str">
            <v>CIF HK</v>
          </cell>
          <cell r="AK697">
            <v>0.3</v>
          </cell>
          <cell r="AL697">
            <v>6570000</v>
          </cell>
          <cell r="AM697">
            <v>43831</v>
          </cell>
          <cell r="AN697" t="str">
            <v>Yes</v>
          </cell>
          <cell r="AO697">
            <v>0.7</v>
          </cell>
          <cell r="AP697">
            <v>7699999.9999999991</v>
          </cell>
          <cell r="AQ697">
            <v>43831</v>
          </cell>
          <cell r="AR697">
            <v>43845</v>
          </cell>
          <cell r="AS697">
            <v>0</v>
          </cell>
          <cell r="AT697">
            <v>0</v>
          </cell>
          <cell r="AX697" t="str">
            <v>Yes</v>
          </cell>
          <cell r="AY697" t="str">
            <v>Yes</v>
          </cell>
          <cell r="AZ697" t="str">
            <v>Y</v>
          </cell>
          <cell r="BA697" t="str">
            <v>Yes</v>
          </cell>
        </row>
        <row r="698">
          <cell r="B698">
            <v>547</v>
          </cell>
          <cell r="C698" t="str">
            <v>C49SZX20190182JL</v>
          </cell>
          <cell r="D698" t="str">
            <v>志恒兴盛</v>
          </cell>
          <cell r="E698" t="str">
            <v>YSM20R(SV)-2</v>
          </cell>
          <cell r="F698" t="str">
            <v>#04229</v>
          </cell>
          <cell r="G698" t="e">
            <v>#REF!</v>
          </cell>
          <cell r="H698" t="e">
            <v>#REF!</v>
          </cell>
          <cell r="I698" t="str">
            <v>L-&gt;R</v>
          </cell>
          <cell r="J698" t="str">
            <v>No</v>
          </cell>
          <cell r="K698">
            <v>1</v>
          </cell>
          <cell r="L698">
            <v>109750</v>
          </cell>
          <cell r="M698" t="str">
            <v>JAN 20</v>
          </cell>
          <cell r="N698">
            <v>43845</v>
          </cell>
          <cell r="O698">
            <v>11116351</v>
          </cell>
          <cell r="P698">
            <v>11000000</v>
          </cell>
          <cell r="Q698">
            <v>43831</v>
          </cell>
          <cell r="R698" t="str">
            <v>Yes</v>
          </cell>
          <cell r="S698" t="str">
            <v>C49</v>
          </cell>
          <cell r="T698" t="str">
            <v>SOUTH</v>
          </cell>
          <cell r="U698" t="str">
            <v>深圳</v>
          </cell>
          <cell r="V698" t="str">
            <v>SZ 深圳</v>
          </cell>
          <cell r="W698" t="str">
            <v>JL</v>
          </cell>
          <cell r="X698" t="str">
            <v>JPY</v>
          </cell>
          <cell r="Y698">
            <v>11000000</v>
          </cell>
          <cell r="Z698">
            <v>1</v>
          </cell>
          <cell r="AA698">
            <v>11000000</v>
          </cell>
          <cell r="AB698">
            <v>7.2900000000000006E-2</v>
          </cell>
          <cell r="AC698">
            <v>801900.00000000012</v>
          </cell>
          <cell r="AD698">
            <v>96228.000000000015</v>
          </cell>
          <cell r="AE698">
            <v>0.12</v>
          </cell>
          <cell r="AF698">
            <v>43836</v>
          </cell>
          <cell r="AG698" t="str">
            <v>CIF HK</v>
          </cell>
          <cell r="AK698">
            <v>0.3</v>
          </cell>
          <cell r="AL698">
            <v>3300000</v>
          </cell>
          <cell r="AM698">
            <v>43831</v>
          </cell>
          <cell r="AN698" t="str">
            <v>Yes</v>
          </cell>
          <cell r="AO698">
            <v>0.7</v>
          </cell>
          <cell r="AP698">
            <v>7699999.9999999991</v>
          </cell>
          <cell r="AQ698">
            <v>43831</v>
          </cell>
          <cell r="AR698">
            <v>43845</v>
          </cell>
          <cell r="AS698">
            <v>0</v>
          </cell>
          <cell r="AT698">
            <v>0</v>
          </cell>
          <cell r="AX698" t="str">
            <v>Yes</v>
          </cell>
          <cell r="AY698" t="str">
            <v>Yes</v>
          </cell>
          <cell r="AZ698" t="str">
            <v>Y</v>
          </cell>
          <cell r="BA698" t="str">
            <v>Yes</v>
          </cell>
        </row>
        <row r="699">
          <cell r="B699">
            <v>548</v>
          </cell>
          <cell r="C699" t="str">
            <v>C49SZX20190182JL</v>
          </cell>
          <cell r="D699" t="str">
            <v>志恒兴盛</v>
          </cell>
          <cell r="E699" t="str">
            <v>YSM10</v>
          </cell>
          <cell r="F699" t="str">
            <v>#04229</v>
          </cell>
          <cell r="G699" t="e">
            <v>#REF!</v>
          </cell>
          <cell r="H699" t="e">
            <v>#REF!</v>
          </cell>
          <cell r="I699" t="str">
            <v>L-&gt;R</v>
          </cell>
          <cell r="J699" t="str">
            <v>MVC</v>
          </cell>
          <cell r="K699">
            <v>1</v>
          </cell>
          <cell r="L699">
            <v>109759</v>
          </cell>
          <cell r="M699" t="str">
            <v>JAN 20</v>
          </cell>
          <cell r="N699">
            <v>43845</v>
          </cell>
          <cell r="O699">
            <v>11116351</v>
          </cell>
          <cell r="P699">
            <v>10510000</v>
          </cell>
          <cell r="Q699">
            <v>43831</v>
          </cell>
          <cell r="R699" t="str">
            <v>Yes</v>
          </cell>
          <cell r="S699" t="str">
            <v>C49</v>
          </cell>
          <cell r="T699" t="str">
            <v>SOUTH</v>
          </cell>
          <cell r="U699" t="str">
            <v>深圳</v>
          </cell>
          <cell r="V699" t="str">
            <v>SZ 深圳</v>
          </cell>
          <cell r="W699" t="str">
            <v>JL</v>
          </cell>
          <cell r="X699" t="str">
            <v>JPY</v>
          </cell>
          <cell r="Y699">
            <v>10510000</v>
          </cell>
          <cell r="Z699">
            <v>1</v>
          </cell>
          <cell r="AA699">
            <v>10510000</v>
          </cell>
          <cell r="AB699">
            <v>7.2900000000000006E-2</v>
          </cell>
          <cell r="AC699">
            <v>766179.00000000012</v>
          </cell>
          <cell r="AD699">
            <v>91941.48000000001</v>
          </cell>
          <cell r="AE699">
            <v>0.12</v>
          </cell>
          <cell r="AF699">
            <v>43836</v>
          </cell>
          <cell r="AG699" t="str">
            <v>CIF HK</v>
          </cell>
          <cell r="AK699">
            <v>0.3</v>
          </cell>
          <cell r="AL699">
            <v>3153000</v>
          </cell>
          <cell r="AM699">
            <v>43831</v>
          </cell>
          <cell r="AN699" t="str">
            <v>Yes</v>
          </cell>
          <cell r="AO699">
            <v>0.7</v>
          </cell>
          <cell r="AP699">
            <v>7356999.9999999991</v>
          </cell>
          <cell r="AQ699">
            <v>43831</v>
          </cell>
          <cell r="AR699">
            <v>43845</v>
          </cell>
          <cell r="AS699">
            <v>0</v>
          </cell>
          <cell r="AT699">
            <v>0</v>
          </cell>
          <cell r="AX699" t="str">
            <v>Yes</v>
          </cell>
          <cell r="AY699" t="str">
            <v>Yes</v>
          </cell>
          <cell r="AZ699" t="str">
            <v>Y</v>
          </cell>
          <cell r="BA699" t="str">
            <v>Yes</v>
          </cell>
        </row>
        <row r="700">
          <cell r="B700">
            <v>549</v>
          </cell>
          <cell r="C700" t="str">
            <v>C49SZX20190185DZ</v>
          </cell>
          <cell r="D700" t="str">
            <v>耕创</v>
          </cell>
          <cell r="E700" t="str">
            <v>YSM40R-4</v>
          </cell>
          <cell r="F700" t="str">
            <v>#13223</v>
          </cell>
          <cell r="G700" t="e">
            <v>#REF!</v>
          </cell>
          <cell r="H700" t="e">
            <v>#REF!</v>
          </cell>
          <cell r="I700" t="str">
            <v>L-&gt;R</v>
          </cell>
          <cell r="J700" t="str">
            <v>No</v>
          </cell>
          <cell r="K700">
            <v>1</v>
          </cell>
          <cell r="L700">
            <v>109794</v>
          </cell>
          <cell r="M700" t="str">
            <v>MAR 20</v>
          </cell>
          <cell r="N700">
            <v>43920</v>
          </cell>
          <cell r="O700">
            <v>11100378</v>
          </cell>
          <cell r="P700">
            <v>1550000</v>
          </cell>
          <cell r="Q700">
            <v>43916</v>
          </cell>
          <cell r="R700" t="str">
            <v>No</v>
          </cell>
          <cell r="S700" t="str">
            <v>C49</v>
          </cell>
          <cell r="T700" t="str">
            <v>SOUTH</v>
          </cell>
          <cell r="U700" t="str">
            <v>深圳</v>
          </cell>
          <cell r="V700" t="str">
            <v>SZ 深圳</v>
          </cell>
          <cell r="W700" t="str">
            <v>DY</v>
          </cell>
          <cell r="X700" t="str">
            <v>RMB</v>
          </cell>
          <cell r="Y700">
            <v>1550000</v>
          </cell>
          <cell r="Z700">
            <v>1.1299999999999999</v>
          </cell>
          <cell r="AA700">
            <v>1550000</v>
          </cell>
          <cell r="AB700">
            <v>1.1100000000000001</v>
          </cell>
          <cell r="AC700">
            <v>1522566.3716814162</v>
          </cell>
          <cell r="AD700">
            <v>182707.96460176993</v>
          </cell>
          <cell r="AE700">
            <v>0.12</v>
          </cell>
          <cell r="AF700">
            <v>43817</v>
          </cell>
          <cell r="AG700" t="str">
            <v>DDP SZ</v>
          </cell>
          <cell r="AK700" t="str">
            <v>agree</v>
          </cell>
          <cell r="AL700">
            <v>500000</v>
          </cell>
          <cell r="AM700">
            <v>43800</v>
          </cell>
          <cell r="AN700" t="str">
            <v>Yes</v>
          </cell>
          <cell r="AO700" t="str">
            <v>agree</v>
          </cell>
          <cell r="AP700">
            <v>1100000</v>
          </cell>
          <cell r="AQ700">
            <v>43891</v>
          </cell>
          <cell r="AR700">
            <v>43915</v>
          </cell>
          <cell r="AS700">
            <v>0</v>
          </cell>
          <cell r="AT700">
            <v>0</v>
          </cell>
          <cell r="AX700" t="str">
            <v>Yes</v>
          </cell>
          <cell r="AZ700" t="str">
            <v>Y</v>
          </cell>
          <cell r="BA700" t="str">
            <v>Yes</v>
          </cell>
        </row>
        <row r="701">
          <cell r="B701">
            <v>550</v>
          </cell>
          <cell r="C701" t="str">
            <v>C49SZX20190185DZ</v>
          </cell>
          <cell r="D701" t="str">
            <v>耕创</v>
          </cell>
          <cell r="E701" t="str">
            <v>YSM40R-4</v>
          </cell>
          <cell r="F701" t="str">
            <v>#1322</v>
          </cell>
          <cell r="G701" t="e">
            <v>#REF!</v>
          </cell>
          <cell r="H701" t="e">
            <v>#REF!</v>
          </cell>
          <cell r="I701" t="str">
            <v>L-&gt;R</v>
          </cell>
          <cell r="J701" t="str">
            <v>No</v>
          </cell>
          <cell r="K701">
            <v>1</v>
          </cell>
          <cell r="L701">
            <v>109794</v>
          </cell>
          <cell r="M701" t="str">
            <v>MAR 20</v>
          </cell>
          <cell r="N701">
            <v>43920</v>
          </cell>
          <cell r="O701">
            <v>11100378</v>
          </cell>
          <cell r="P701">
            <v>1550000</v>
          </cell>
          <cell r="Q701">
            <v>43891</v>
          </cell>
          <cell r="R701" t="str">
            <v>No</v>
          </cell>
          <cell r="S701" t="str">
            <v>C49</v>
          </cell>
          <cell r="T701" t="str">
            <v>SOUTH</v>
          </cell>
          <cell r="U701" t="str">
            <v>深圳</v>
          </cell>
          <cell r="V701" t="str">
            <v>SZ 深圳</v>
          </cell>
          <cell r="W701" t="str">
            <v>DY</v>
          </cell>
          <cell r="X701" t="str">
            <v>RMB</v>
          </cell>
          <cell r="Y701">
            <v>1550000</v>
          </cell>
          <cell r="Z701">
            <v>1.1299999999999999</v>
          </cell>
          <cell r="AA701">
            <v>1550000</v>
          </cell>
          <cell r="AB701">
            <v>1.1100000000000001</v>
          </cell>
          <cell r="AC701">
            <v>1522566.3716814162</v>
          </cell>
          <cell r="AD701">
            <v>182707.96460176993</v>
          </cell>
          <cell r="AE701">
            <v>0.12</v>
          </cell>
          <cell r="AF701">
            <v>43817</v>
          </cell>
          <cell r="AG701" t="str">
            <v>DDP SZ</v>
          </cell>
          <cell r="AK701" t="str">
            <v>agree</v>
          </cell>
          <cell r="AL701">
            <v>500000</v>
          </cell>
          <cell r="AM701">
            <v>43800</v>
          </cell>
          <cell r="AN701" t="str">
            <v>Yes</v>
          </cell>
          <cell r="AO701" t="str">
            <v>agree</v>
          </cell>
          <cell r="AP701">
            <v>1000000</v>
          </cell>
          <cell r="AQ701">
            <v>43891</v>
          </cell>
          <cell r="AR701">
            <v>43915</v>
          </cell>
          <cell r="AS701">
            <v>0</v>
          </cell>
          <cell r="AT701">
            <v>0</v>
          </cell>
          <cell r="AX701" t="str">
            <v>Yes</v>
          </cell>
          <cell r="AZ701" t="str">
            <v>Y</v>
          </cell>
          <cell r="BA701" t="str">
            <v>Yes</v>
          </cell>
        </row>
        <row r="702">
          <cell r="B702">
            <v>551</v>
          </cell>
          <cell r="C702" t="str">
            <v>FS20191216</v>
          </cell>
          <cell r="D702" t="str">
            <v>光世代</v>
          </cell>
          <cell r="E702" t="str">
            <v>YSM10</v>
          </cell>
          <cell r="F702" t="str">
            <v>Yamaha 代理店</v>
          </cell>
          <cell r="G702" t="e">
            <v>#REF!</v>
          </cell>
          <cell r="H702" t="e">
            <v>#REF!</v>
          </cell>
          <cell r="I702" t="str">
            <v>R-&gt;L</v>
          </cell>
          <cell r="J702" t="str">
            <v>MVC</v>
          </cell>
          <cell r="K702">
            <v>1</v>
          </cell>
          <cell r="L702">
            <v>109774</v>
          </cell>
          <cell r="M702" t="str">
            <v>FEB 20</v>
          </cell>
          <cell r="N702">
            <v>43889</v>
          </cell>
          <cell r="O702">
            <v>11116357</v>
          </cell>
          <cell r="P702">
            <v>7150000</v>
          </cell>
          <cell r="Q702">
            <v>43862</v>
          </cell>
          <cell r="R702" t="str">
            <v>Yes</v>
          </cell>
          <cell r="S702" t="str">
            <v>C49</v>
          </cell>
          <cell r="T702" t="str">
            <v>SOUTH</v>
          </cell>
          <cell r="U702" t="str">
            <v>深圳</v>
          </cell>
          <cell r="V702" t="str">
            <v>SZ 深圳</v>
          </cell>
          <cell r="W702" t="str">
            <v>KH</v>
          </cell>
          <cell r="X702" t="str">
            <v>JPY</v>
          </cell>
          <cell r="Y702">
            <v>7150000</v>
          </cell>
          <cell r="Z702">
            <v>1</v>
          </cell>
          <cell r="AA702">
            <v>7150000</v>
          </cell>
          <cell r="AB702">
            <v>7.2900000000000006E-2</v>
          </cell>
          <cell r="AC702">
            <v>521235.00000000006</v>
          </cell>
          <cell r="AD702">
            <v>62548.200000000004</v>
          </cell>
          <cell r="AE702">
            <v>0.12</v>
          </cell>
          <cell r="AF702">
            <v>43815</v>
          </cell>
          <cell r="AG702" t="str">
            <v>CIF HK</v>
          </cell>
          <cell r="AK702">
            <v>0.3</v>
          </cell>
          <cell r="AL702">
            <v>2145000</v>
          </cell>
          <cell r="AM702">
            <v>43800</v>
          </cell>
          <cell r="AN702" t="str">
            <v>Yes</v>
          </cell>
          <cell r="AO702">
            <v>0.7</v>
          </cell>
          <cell r="AP702">
            <v>5005000</v>
          </cell>
          <cell r="AQ702">
            <v>43862</v>
          </cell>
          <cell r="AR702">
            <v>43888</v>
          </cell>
          <cell r="AS702">
            <v>0</v>
          </cell>
          <cell r="AT702">
            <v>0</v>
          </cell>
          <cell r="AX702" t="str">
            <v>Yes</v>
          </cell>
        </row>
        <row r="703">
          <cell r="B703">
            <v>552</v>
          </cell>
          <cell r="C703" t="str">
            <v>C49SZX20190189DY</v>
          </cell>
          <cell r="D703" t="str">
            <v>杰森泰</v>
          </cell>
          <cell r="E703" t="str">
            <v>YSM10</v>
          </cell>
          <cell r="F703" t="str">
            <v>#04214</v>
          </cell>
          <cell r="G703" t="e">
            <v>#REF!</v>
          </cell>
          <cell r="H703" t="e">
            <v>#REF!</v>
          </cell>
          <cell r="I703" t="str">
            <v>L-&gt;R</v>
          </cell>
          <cell r="J703" t="str">
            <v>MVC</v>
          </cell>
          <cell r="K703">
            <v>1</v>
          </cell>
          <cell r="L703">
            <v>109723</v>
          </cell>
          <cell r="M703" t="str">
            <v>DEC 19</v>
          </cell>
          <cell r="N703">
            <v>43832</v>
          </cell>
          <cell r="O703">
            <v>11100370</v>
          </cell>
          <cell r="P703">
            <v>600000</v>
          </cell>
          <cell r="Q703">
            <v>43800</v>
          </cell>
          <cell r="R703" t="str">
            <v>No</v>
          </cell>
          <cell r="S703" t="str">
            <v>C49</v>
          </cell>
          <cell r="T703" t="str">
            <v>SOUTH</v>
          </cell>
          <cell r="U703" t="str">
            <v>深圳</v>
          </cell>
          <cell r="V703" t="str">
            <v>SZ 深圳</v>
          </cell>
          <cell r="W703" t="str">
            <v>DY</v>
          </cell>
          <cell r="X703" t="str">
            <v>RMB</v>
          </cell>
          <cell r="Y703">
            <v>600000</v>
          </cell>
          <cell r="Z703">
            <v>1.1299999999999999</v>
          </cell>
          <cell r="AA703">
            <v>600000</v>
          </cell>
          <cell r="AB703">
            <v>1.1100000000000001</v>
          </cell>
          <cell r="AC703">
            <v>589380.53097345144</v>
          </cell>
          <cell r="AD703">
            <v>70725.663716814175</v>
          </cell>
          <cell r="AE703">
            <v>0.12</v>
          </cell>
          <cell r="AF703">
            <v>43819</v>
          </cell>
          <cell r="AG703" t="str">
            <v>含税到厂</v>
          </cell>
          <cell r="AK703">
            <v>1</v>
          </cell>
          <cell r="AL703">
            <v>600000</v>
          </cell>
          <cell r="AM703">
            <v>43800</v>
          </cell>
          <cell r="AN703" t="str">
            <v>Yes</v>
          </cell>
          <cell r="AO703">
            <v>0</v>
          </cell>
          <cell r="AP703">
            <v>0</v>
          </cell>
          <cell r="AS703">
            <v>0</v>
          </cell>
          <cell r="AT703">
            <v>0</v>
          </cell>
          <cell r="AX703" t="str">
            <v>Yes</v>
          </cell>
          <cell r="AZ703" t="str">
            <v>Y</v>
          </cell>
          <cell r="BA703" t="str">
            <v>Yes</v>
          </cell>
        </row>
        <row r="704">
          <cell r="B704">
            <v>553</v>
          </cell>
          <cell r="C704" t="str">
            <v>C49SZX20190187JY</v>
          </cell>
          <cell r="D704" t="str">
            <v>宏润通</v>
          </cell>
          <cell r="E704" t="str">
            <v>YSM20R(SV)-2</v>
          </cell>
          <cell r="F704" t="str">
            <v>#73562</v>
          </cell>
          <cell r="G704" t="e">
            <v>#REF!</v>
          </cell>
          <cell r="H704" t="e">
            <v>#REF!</v>
          </cell>
          <cell r="I704" t="str">
            <v>L-&gt;R</v>
          </cell>
          <cell r="J704" t="str">
            <v>MVC</v>
          </cell>
          <cell r="K704">
            <v>1</v>
          </cell>
          <cell r="L704">
            <v>109996</v>
          </cell>
          <cell r="M704" t="str">
            <v>OCT 20</v>
          </cell>
          <cell r="N704">
            <v>44133</v>
          </cell>
          <cell r="O704">
            <v>11116443</v>
          </cell>
          <cell r="P704">
            <v>16200000</v>
          </cell>
          <cell r="Q704">
            <v>44105</v>
          </cell>
          <cell r="R704" t="str">
            <v>No</v>
          </cell>
          <cell r="S704" t="str">
            <v>C49</v>
          </cell>
          <cell r="T704" t="str">
            <v>SOUTH</v>
          </cell>
          <cell r="U704" t="str">
            <v>深圳</v>
          </cell>
          <cell r="V704" t="str">
            <v>SZ 深圳</v>
          </cell>
          <cell r="W704" t="str">
            <v>JY</v>
          </cell>
          <cell r="X704" t="str">
            <v>JPY</v>
          </cell>
          <cell r="Y704">
            <v>16200000</v>
          </cell>
          <cell r="Z704">
            <v>1</v>
          </cell>
          <cell r="AA704">
            <v>16200000</v>
          </cell>
          <cell r="AB704">
            <v>7.2900000000000006E-2</v>
          </cell>
          <cell r="AC704">
            <v>1180980</v>
          </cell>
          <cell r="AD704">
            <v>141717.6</v>
          </cell>
          <cell r="AE704">
            <v>0.12</v>
          </cell>
          <cell r="AF704">
            <v>43819</v>
          </cell>
          <cell r="AG704" t="str">
            <v>DAP SZ</v>
          </cell>
          <cell r="AI704">
            <v>50000</v>
          </cell>
          <cell r="AJ704">
            <v>43829</v>
          </cell>
          <cell r="AK704" t="str">
            <v>agree</v>
          </cell>
          <cell r="AL704">
            <v>2286445</v>
          </cell>
          <cell r="AM704">
            <v>44063</v>
          </cell>
          <cell r="AN704" t="str">
            <v>Yes</v>
          </cell>
          <cell r="AO704" t="str">
            <v>agree</v>
          </cell>
          <cell r="AP704">
            <v>24113555</v>
          </cell>
          <cell r="AQ704">
            <v>44105</v>
          </cell>
          <cell r="AR704">
            <v>44119</v>
          </cell>
          <cell r="AS704">
            <v>0</v>
          </cell>
          <cell r="AT704">
            <v>0</v>
          </cell>
          <cell r="AX704" t="str">
            <v>Yes</v>
          </cell>
          <cell r="AZ704" t="str">
            <v>Yes</v>
          </cell>
          <cell r="BA704" t="str">
            <v>Yes</v>
          </cell>
        </row>
        <row r="705">
          <cell r="B705">
            <v>554</v>
          </cell>
          <cell r="C705" t="str">
            <v>C49SZX20190187JY</v>
          </cell>
          <cell r="D705" t="str">
            <v>宏润通</v>
          </cell>
          <cell r="E705" t="str">
            <v>YSM10</v>
          </cell>
          <cell r="F705" t="str">
            <v>#73562</v>
          </cell>
          <cell r="G705" t="e">
            <v>#REF!</v>
          </cell>
          <cell r="H705" t="e">
            <v>#REF!</v>
          </cell>
          <cell r="I705" t="str">
            <v>L-&gt;R</v>
          </cell>
          <cell r="J705" t="str">
            <v>MVC+ATS15</v>
          </cell>
          <cell r="K705">
            <v>1</v>
          </cell>
          <cell r="L705">
            <v>109991</v>
          </cell>
          <cell r="M705" t="str">
            <v>OCT 20</v>
          </cell>
          <cell r="N705">
            <v>44133</v>
          </cell>
          <cell r="O705">
            <v>11116443</v>
          </cell>
          <cell r="P705">
            <v>10200000</v>
          </cell>
          <cell r="Q705">
            <v>44105</v>
          </cell>
          <cell r="R705" t="str">
            <v>No</v>
          </cell>
          <cell r="S705" t="str">
            <v>C49</v>
          </cell>
          <cell r="T705" t="str">
            <v>SOUTH</v>
          </cell>
          <cell r="U705" t="str">
            <v>深圳</v>
          </cell>
          <cell r="V705" t="str">
            <v>SZ 深圳</v>
          </cell>
          <cell r="W705" t="str">
            <v>JY</v>
          </cell>
          <cell r="X705" t="str">
            <v>JPY</v>
          </cell>
          <cell r="Y705">
            <v>10200000</v>
          </cell>
          <cell r="Z705">
            <v>1</v>
          </cell>
          <cell r="AA705">
            <v>10200000</v>
          </cell>
          <cell r="AB705">
            <v>7.2900000000000006E-2</v>
          </cell>
          <cell r="AC705">
            <v>743580.00000000012</v>
          </cell>
          <cell r="AD705">
            <v>89229.6</v>
          </cell>
          <cell r="AE705">
            <v>0.12</v>
          </cell>
          <cell r="AF705">
            <v>43819</v>
          </cell>
          <cell r="AG705" t="str">
            <v>DAP SZ</v>
          </cell>
          <cell r="AI705">
            <v>0</v>
          </cell>
          <cell r="AJ705">
            <v>43829</v>
          </cell>
          <cell r="AK705" t="str">
            <v>agree</v>
          </cell>
          <cell r="AL705">
            <v>0</v>
          </cell>
          <cell r="AM705">
            <v>44063</v>
          </cell>
          <cell r="AN705" t="str">
            <v>Yes</v>
          </cell>
          <cell r="AO705" t="str">
            <v>agree</v>
          </cell>
          <cell r="AS705">
            <v>0</v>
          </cell>
          <cell r="AT705">
            <v>0</v>
          </cell>
          <cell r="AX705" t="str">
            <v>Yes</v>
          </cell>
          <cell r="AZ705" t="str">
            <v>Yes</v>
          </cell>
          <cell r="BA705" t="str">
            <v>Yes</v>
          </cell>
        </row>
        <row r="706">
          <cell r="B706">
            <v>555</v>
          </cell>
          <cell r="C706" t="str">
            <v>C49SZX20190188JY</v>
          </cell>
          <cell r="D706" t="str">
            <v>宏润通</v>
          </cell>
          <cell r="E706" t="str">
            <v>YSM20R(SV)-2</v>
          </cell>
          <cell r="F706" t="str">
            <v>#73562</v>
          </cell>
          <cell r="G706" t="e">
            <v>#REF!</v>
          </cell>
          <cell r="H706" t="e">
            <v>#REF!</v>
          </cell>
          <cell r="I706" t="str">
            <v>L-&gt;R</v>
          </cell>
          <cell r="J706" t="str">
            <v>MVC</v>
          </cell>
          <cell r="K706">
            <v>1</v>
          </cell>
          <cell r="L706" t="e">
            <v>#N/A</v>
          </cell>
          <cell r="M706" t="e">
            <v>#N/A</v>
          </cell>
          <cell r="N706"/>
          <cell r="O706"/>
          <cell r="P706"/>
          <cell r="Q706"/>
          <cell r="R706" t="str">
            <v>No</v>
          </cell>
          <cell r="S706" t="str">
            <v>C49</v>
          </cell>
          <cell r="T706" t="str">
            <v>SOUTH</v>
          </cell>
          <cell r="U706" t="str">
            <v>深圳</v>
          </cell>
          <cell r="V706" t="str">
            <v>SZ 深圳</v>
          </cell>
          <cell r="W706" t="str">
            <v>JY</v>
          </cell>
          <cell r="X706" t="str">
            <v>JPY</v>
          </cell>
          <cell r="Y706">
            <v>10600000</v>
          </cell>
          <cell r="Z706">
            <v>1</v>
          </cell>
          <cell r="AA706">
            <v>10600000</v>
          </cell>
          <cell r="AB706">
            <v>7.2900000000000006E-2</v>
          </cell>
          <cell r="AC706">
            <v>772740.00000000012</v>
          </cell>
          <cell r="AD706">
            <v>92728.800000000017</v>
          </cell>
          <cell r="AE706">
            <v>0.12</v>
          </cell>
          <cell r="AF706">
            <v>43819</v>
          </cell>
          <cell r="AG706" t="str">
            <v>DAP SZ</v>
          </cell>
          <cell r="AI706"/>
          <cell r="AJ706"/>
          <cell r="AK706">
            <v>0.2</v>
          </cell>
          <cell r="AL706">
            <v>2120000</v>
          </cell>
          <cell r="AM706"/>
          <cell r="AN706" t="str">
            <v>No</v>
          </cell>
          <cell r="AO706">
            <v>0.8</v>
          </cell>
          <cell r="AP706">
            <v>8480000</v>
          </cell>
          <cell r="AQ706"/>
          <cell r="AR706"/>
          <cell r="AS706">
            <v>0</v>
          </cell>
          <cell r="AT706">
            <v>0</v>
          </cell>
          <cell r="AV706"/>
          <cell r="AX706" t="str">
            <v>Cancel</v>
          </cell>
          <cell r="AY706"/>
          <cell r="AZ706"/>
          <cell r="BA706"/>
        </row>
        <row r="707">
          <cell r="B707">
            <v>556</v>
          </cell>
          <cell r="C707" t="str">
            <v>C49SZX20190188JY</v>
          </cell>
          <cell r="D707" t="str">
            <v>宏润通</v>
          </cell>
          <cell r="E707" t="str">
            <v>YSM10</v>
          </cell>
          <cell r="F707" t="str">
            <v>#73562</v>
          </cell>
          <cell r="G707" t="e">
            <v>#REF!</v>
          </cell>
          <cell r="H707" t="e">
            <v>#REF!</v>
          </cell>
          <cell r="I707" t="str">
            <v>L-&gt;R</v>
          </cell>
          <cell r="J707" t="str">
            <v>MVC+ATS15</v>
          </cell>
          <cell r="K707">
            <v>1</v>
          </cell>
          <cell r="L707" t="e">
            <v>#N/A</v>
          </cell>
          <cell r="M707" t="e">
            <v>#N/A</v>
          </cell>
          <cell r="N707"/>
          <cell r="O707"/>
          <cell r="P707"/>
          <cell r="Q707"/>
          <cell r="R707" t="str">
            <v>No</v>
          </cell>
          <cell r="S707" t="str">
            <v>C49</v>
          </cell>
          <cell r="T707" t="str">
            <v>SOUTH</v>
          </cell>
          <cell r="U707" t="str">
            <v>深圳</v>
          </cell>
          <cell r="V707" t="str">
            <v>SZ 深圳</v>
          </cell>
          <cell r="W707" t="str">
            <v>JY</v>
          </cell>
          <cell r="X707" t="str">
            <v>JPY</v>
          </cell>
          <cell r="Y707">
            <v>8150000</v>
          </cell>
          <cell r="Z707">
            <v>1</v>
          </cell>
          <cell r="AA707">
            <v>8150000</v>
          </cell>
          <cell r="AB707">
            <v>7.2900000000000006E-2</v>
          </cell>
          <cell r="AC707">
            <v>594135</v>
          </cell>
          <cell r="AD707">
            <v>71296.2</v>
          </cell>
          <cell r="AE707">
            <v>0.12</v>
          </cell>
          <cell r="AF707">
            <v>43819</v>
          </cell>
          <cell r="AG707" t="str">
            <v>DAP SZ</v>
          </cell>
          <cell r="AI707"/>
          <cell r="AJ707"/>
          <cell r="AK707">
            <v>0.2</v>
          </cell>
          <cell r="AL707">
            <v>1630000</v>
          </cell>
          <cell r="AM707"/>
          <cell r="AN707" t="str">
            <v>No</v>
          </cell>
          <cell r="AO707">
            <v>0.8</v>
          </cell>
          <cell r="AP707">
            <v>6520000</v>
          </cell>
          <cell r="AQ707"/>
          <cell r="AR707"/>
          <cell r="AS707">
            <v>0</v>
          </cell>
          <cell r="AT707">
            <v>0</v>
          </cell>
          <cell r="AV707"/>
          <cell r="AX707" t="str">
            <v>Cancel</v>
          </cell>
          <cell r="AY707"/>
          <cell r="AZ707"/>
          <cell r="BA707"/>
        </row>
        <row r="708">
          <cell r="B708">
            <v>557</v>
          </cell>
          <cell r="C708" t="str">
            <v>C49SZX20190188JY</v>
          </cell>
          <cell r="D708" t="str">
            <v>宏润通</v>
          </cell>
          <cell r="E708" t="str">
            <v>YSM10</v>
          </cell>
          <cell r="F708" t="str">
            <v>#73562</v>
          </cell>
          <cell r="G708" t="e">
            <v>#REF!</v>
          </cell>
          <cell r="H708" t="e">
            <v>#REF!</v>
          </cell>
          <cell r="I708" t="str">
            <v>L-&gt;R</v>
          </cell>
          <cell r="J708" t="str">
            <v>MVC+ATS15</v>
          </cell>
          <cell r="K708">
            <v>1</v>
          </cell>
          <cell r="L708" t="e">
            <v>#N/A</v>
          </cell>
          <cell r="M708" t="e">
            <v>#N/A</v>
          </cell>
          <cell r="N708"/>
          <cell r="O708"/>
          <cell r="P708"/>
          <cell r="Q708"/>
          <cell r="R708" t="str">
            <v>No</v>
          </cell>
          <cell r="S708" t="str">
            <v>C49</v>
          </cell>
          <cell r="T708" t="str">
            <v>SOUTH</v>
          </cell>
          <cell r="U708" t="str">
            <v>深圳</v>
          </cell>
          <cell r="V708" t="str">
            <v>SZ 深圳</v>
          </cell>
          <cell r="W708" t="str">
            <v>JY</v>
          </cell>
          <cell r="X708" t="str">
            <v>JPY</v>
          </cell>
          <cell r="Y708">
            <v>8150000</v>
          </cell>
          <cell r="Z708">
            <v>1</v>
          </cell>
          <cell r="AA708">
            <v>8150000</v>
          </cell>
          <cell r="AB708">
            <v>7.2900000000000006E-2</v>
          </cell>
          <cell r="AC708">
            <v>594135</v>
          </cell>
          <cell r="AD708">
            <v>71296.2</v>
          </cell>
          <cell r="AE708">
            <v>0.12</v>
          </cell>
          <cell r="AF708">
            <v>43819</v>
          </cell>
          <cell r="AG708" t="str">
            <v>DAP SZ</v>
          </cell>
          <cell r="AI708"/>
          <cell r="AJ708"/>
          <cell r="AK708">
            <v>0.2</v>
          </cell>
          <cell r="AL708">
            <v>1630000</v>
          </cell>
          <cell r="AM708"/>
          <cell r="AN708" t="str">
            <v>No</v>
          </cell>
          <cell r="AO708">
            <v>0.8</v>
          </cell>
          <cell r="AP708">
            <v>6520000</v>
          </cell>
          <cell r="AQ708"/>
          <cell r="AR708"/>
          <cell r="AS708">
            <v>0</v>
          </cell>
          <cell r="AT708">
            <v>0</v>
          </cell>
          <cell r="AV708"/>
          <cell r="AX708" t="str">
            <v>Cancel</v>
          </cell>
          <cell r="AY708"/>
          <cell r="AZ708"/>
          <cell r="BA708"/>
        </row>
        <row r="709">
          <cell r="B709">
            <v>558</v>
          </cell>
          <cell r="C709" t="str">
            <v>C49SZX20190186SS</v>
          </cell>
          <cell r="D709" t="str">
            <v>龙大光电</v>
          </cell>
          <cell r="E709" t="str">
            <v>YSM40R-4</v>
          </cell>
          <cell r="F709" t="str">
            <v>#02893</v>
          </cell>
          <cell r="G709" t="e">
            <v>#REF!</v>
          </cell>
          <cell r="H709" t="e">
            <v>#REF!</v>
          </cell>
          <cell r="I709" t="str">
            <v>R-&gt;L</v>
          </cell>
          <cell r="J709" t="str">
            <v>No</v>
          </cell>
          <cell r="K709">
            <v>1</v>
          </cell>
          <cell r="L709">
            <v>109793</v>
          </cell>
          <cell r="M709" t="str">
            <v>MAR 20</v>
          </cell>
          <cell r="N709">
            <v>43908</v>
          </cell>
          <cell r="O709">
            <v>11100373</v>
          </cell>
          <cell r="P709">
            <v>1450000</v>
          </cell>
          <cell r="Q709">
            <v>43891</v>
          </cell>
          <cell r="R709" t="str">
            <v>No</v>
          </cell>
          <cell r="S709" t="str">
            <v>C49</v>
          </cell>
          <cell r="T709" t="str">
            <v>SOUTH</v>
          </cell>
          <cell r="U709" t="str">
            <v>深圳</v>
          </cell>
          <cell r="V709" t="str">
            <v>SZ 深圳</v>
          </cell>
          <cell r="W709" t="str">
            <v>SS</v>
          </cell>
          <cell r="X709" t="str">
            <v>RMB</v>
          </cell>
          <cell r="Y709">
            <v>1450000</v>
          </cell>
          <cell r="Z709">
            <v>1.1299999999999999</v>
          </cell>
          <cell r="AA709">
            <v>1450000</v>
          </cell>
          <cell r="AB709">
            <v>1.1100000000000001</v>
          </cell>
          <cell r="AC709">
            <v>1424336.283185841</v>
          </cell>
          <cell r="AD709">
            <v>170920.35398230093</v>
          </cell>
          <cell r="AE709">
            <v>0.12</v>
          </cell>
          <cell r="AF709">
            <v>43818</v>
          </cell>
          <cell r="AG709" t="str">
            <v>含税到厂</v>
          </cell>
          <cell r="AK709" t="str">
            <v>agree</v>
          </cell>
          <cell r="AL709">
            <v>435000</v>
          </cell>
          <cell r="AM709">
            <v>43800</v>
          </cell>
          <cell r="AN709" t="str">
            <v>Yes</v>
          </cell>
          <cell r="AO709" t="str">
            <v>agree</v>
          </cell>
          <cell r="AP709">
            <v>942500</v>
          </cell>
          <cell r="AQ709">
            <v>43891</v>
          </cell>
          <cell r="AR709">
            <v>43906</v>
          </cell>
          <cell r="AS709">
            <v>0.05</v>
          </cell>
          <cell r="AT709">
            <v>72500</v>
          </cell>
          <cell r="AU709">
            <v>44136</v>
          </cell>
          <cell r="AV709">
            <v>44154</v>
          </cell>
          <cell r="AX709" t="str">
            <v>Yes</v>
          </cell>
          <cell r="AZ709" t="str">
            <v>Y</v>
          </cell>
          <cell r="BA709" t="str">
            <v>Yes</v>
          </cell>
        </row>
        <row r="710">
          <cell r="B710">
            <v>559</v>
          </cell>
          <cell r="C710" t="str">
            <v>C49SZX20190186SS</v>
          </cell>
          <cell r="D710" t="str">
            <v>龙大光电</v>
          </cell>
          <cell r="E710" t="str">
            <v>YSM40R-4</v>
          </cell>
          <cell r="F710" t="str">
            <v>#02893</v>
          </cell>
          <cell r="G710" t="e">
            <v>#REF!</v>
          </cell>
          <cell r="H710" t="e">
            <v>#REF!</v>
          </cell>
          <cell r="I710" t="str">
            <v>R-&gt;L</v>
          </cell>
          <cell r="J710" t="str">
            <v>No</v>
          </cell>
          <cell r="K710">
            <v>1</v>
          </cell>
          <cell r="L710">
            <v>109793</v>
          </cell>
          <cell r="M710" t="str">
            <v>MAR 20</v>
          </cell>
          <cell r="N710">
            <v>43908</v>
          </cell>
          <cell r="O710">
            <v>11100373</v>
          </cell>
          <cell r="P710">
            <v>1450000</v>
          </cell>
          <cell r="Q710">
            <v>43891</v>
          </cell>
          <cell r="R710" t="str">
            <v>No</v>
          </cell>
          <cell r="S710" t="str">
            <v>C49</v>
          </cell>
          <cell r="T710" t="str">
            <v>SOUTH</v>
          </cell>
          <cell r="U710" t="str">
            <v>深圳</v>
          </cell>
          <cell r="V710" t="str">
            <v>SZ 深圳</v>
          </cell>
          <cell r="W710" t="str">
            <v>SS</v>
          </cell>
          <cell r="X710" t="str">
            <v>RMB</v>
          </cell>
          <cell r="Y710">
            <v>1450000</v>
          </cell>
          <cell r="Z710">
            <v>1.1299999999999999</v>
          </cell>
          <cell r="AA710">
            <v>1450000</v>
          </cell>
          <cell r="AB710">
            <v>1.1100000000000001</v>
          </cell>
          <cell r="AC710">
            <v>1424336.283185841</v>
          </cell>
          <cell r="AD710">
            <v>170920.35398230093</v>
          </cell>
          <cell r="AE710">
            <v>0.12</v>
          </cell>
          <cell r="AF710">
            <v>43818</v>
          </cell>
          <cell r="AG710" t="str">
            <v>含税到厂</v>
          </cell>
          <cell r="AK710" t="str">
            <v>agree</v>
          </cell>
          <cell r="AL710">
            <v>435000</v>
          </cell>
          <cell r="AM710">
            <v>43800</v>
          </cell>
          <cell r="AN710" t="str">
            <v>Yes</v>
          </cell>
          <cell r="AO710" t="str">
            <v>agree</v>
          </cell>
          <cell r="AP710">
            <v>942500</v>
          </cell>
          <cell r="AQ710">
            <v>43891</v>
          </cell>
          <cell r="AR710">
            <v>43906</v>
          </cell>
          <cell r="AS710">
            <v>0.05</v>
          </cell>
          <cell r="AT710">
            <v>72500</v>
          </cell>
          <cell r="AU710">
            <v>44136</v>
          </cell>
          <cell r="AV710">
            <v>44154</v>
          </cell>
          <cell r="AX710" t="str">
            <v>Yes</v>
          </cell>
          <cell r="AZ710" t="str">
            <v>Y</v>
          </cell>
          <cell r="BA710" t="str">
            <v>Yes</v>
          </cell>
        </row>
        <row r="711">
          <cell r="B711">
            <v>560</v>
          </cell>
          <cell r="C711" t="str">
            <v>C49SZX20190033SX</v>
          </cell>
          <cell r="D711" t="str">
            <v>裕达盛</v>
          </cell>
          <cell r="E711" t="str">
            <v>YSM10</v>
          </cell>
          <cell r="F711" t="str">
            <v>#03895</v>
          </cell>
          <cell r="G711" t="e">
            <v>#REF!</v>
          </cell>
          <cell r="H711" t="e">
            <v>#REF!</v>
          </cell>
          <cell r="I711" t="str">
            <v>R-&gt;L</v>
          </cell>
          <cell r="J711" t="str">
            <v>No</v>
          </cell>
          <cell r="K711">
            <v>1</v>
          </cell>
          <cell r="L711">
            <v>109759</v>
          </cell>
          <cell r="M711" t="str">
            <v>JAN 20</v>
          </cell>
          <cell r="N711">
            <v>43843</v>
          </cell>
          <cell r="O711">
            <v>11100372</v>
          </cell>
          <cell r="P711">
            <v>602800</v>
          </cell>
          <cell r="Q711">
            <v>43831</v>
          </cell>
          <cell r="R711" t="str">
            <v>Yes</v>
          </cell>
          <cell r="S711" t="str">
            <v>C49</v>
          </cell>
          <cell r="T711" t="str">
            <v>SOUTH</v>
          </cell>
          <cell r="U711" t="str">
            <v>深圳</v>
          </cell>
          <cell r="V711" t="str">
            <v>SZ 深圳</v>
          </cell>
          <cell r="W711" t="str">
            <v>SX</v>
          </cell>
          <cell r="X711" t="str">
            <v>RMB</v>
          </cell>
          <cell r="Y711">
            <v>602800</v>
          </cell>
          <cell r="Z711">
            <v>1.1299999999999999</v>
          </cell>
          <cell r="AA711">
            <v>602800</v>
          </cell>
          <cell r="AB711">
            <v>1.1100000000000001</v>
          </cell>
          <cell r="AC711">
            <v>592130.97345132753</v>
          </cell>
          <cell r="AD711">
            <v>71055.716814159299</v>
          </cell>
          <cell r="AE711">
            <v>0.12</v>
          </cell>
          <cell r="AF711">
            <v>43822</v>
          </cell>
          <cell r="AG711" t="str">
            <v>含税到厂</v>
          </cell>
          <cell r="AH711"/>
          <cell r="AI711"/>
          <cell r="AJ711"/>
          <cell r="AK711" t="str">
            <v>agree</v>
          </cell>
          <cell r="AL711">
            <v>202800</v>
          </cell>
          <cell r="AM711">
            <v>43800</v>
          </cell>
          <cell r="AN711" t="str">
            <v>Yes</v>
          </cell>
          <cell r="AO711" t="str">
            <v>agree</v>
          </cell>
          <cell r="AP711">
            <v>400000</v>
          </cell>
          <cell r="AQ711">
            <v>43831</v>
          </cell>
          <cell r="AR711">
            <v>43839</v>
          </cell>
          <cell r="AX711" t="str">
            <v>Yes</v>
          </cell>
        </row>
        <row r="712">
          <cell r="B712">
            <v>561</v>
          </cell>
          <cell r="C712" t="str">
            <v>C49SZX20190192MZ</v>
          </cell>
          <cell r="D712" t="str">
            <v>鸿南电子</v>
          </cell>
          <cell r="E712" t="str">
            <v>YSM20R(SV)-2</v>
          </cell>
          <cell r="F712" t="str">
            <v>#56802</v>
          </cell>
          <cell r="G712" t="e">
            <v>#REF!</v>
          </cell>
          <cell r="H712" t="e">
            <v>#REF!</v>
          </cell>
          <cell r="I712" t="str">
            <v>R-&gt;L</v>
          </cell>
          <cell r="J712" t="str">
            <v>No</v>
          </cell>
          <cell r="K712">
            <v>1</v>
          </cell>
          <cell r="L712">
            <v>109730</v>
          </cell>
          <cell r="M712" t="str">
            <v>JAN 20</v>
          </cell>
          <cell r="N712">
            <v>43844</v>
          </cell>
          <cell r="O712">
            <v>11116146</v>
          </cell>
          <cell r="P712">
            <v>12500000</v>
          </cell>
          <cell r="Q712">
            <v>43831</v>
          </cell>
          <cell r="R712" t="str">
            <v>No</v>
          </cell>
          <cell r="S712" t="str">
            <v>C49</v>
          </cell>
          <cell r="T712" t="str">
            <v>SOUTH</v>
          </cell>
          <cell r="U712" t="str">
            <v>深圳</v>
          </cell>
          <cell r="V712" t="str">
            <v>SZ 深圳</v>
          </cell>
          <cell r="W712" t="str">
            <v>MZ</v>
          </cell>
          <cell r="X712" t="str">
            <v>JPY</v>
          </cell>
          <cell r="Y712">
            <v>12500000</v>
          </cell>
          <cell r="Z712">
            <v>1</v>
          </cell>
          <cell r="AA712">
            <v>12500000</v>
          </cell>
          <cell r="AB712">
            <v>7.2900000000000006E-2</v>
          </cell>
          <cell r="AC712">
            <v>911250.00000000012</v>
          </cell>
          <cell r="AD712">
            <v>109350.00000000001</v>
          </cell>
          <cell r="AE712">
            <v>0.12</v>
          </cell>
          <cell r="AF712">
            <v>43823</v>
          </cell>
          <cell r="AG712" t="str">
            <v>CIF HK</v>
          </cell>
          <cell r="AK712">
            <v>0.2</v>
          </cell>
          <cell r="AL712">
            <v>2500000</v>
          </cell>
          <cell r="AM712">
            <v>43800</v>
          </cell>
          <cell r="AN712" t="str">
            <v>Yes</v>
          </cell>
          <cell r="AO712">
            <v>0.8</v>
          </cell>
          <cell r="AP712">
            <v>10000000</v>
          </cell>
          <cell r="AQ712">
            <v>43831</v>
          </cell>
          <cell r="AR712">
            <v>43839</v>
          </cell>
          <cell r="AS712">
            <v>0</v>
          </cell>
          <cell r="AT712">
            <v>0</v>
          </cell>
          <cell r="AX712" t="str">
            <v>Yes</v>
          </cell>
          <cell r="AZ712" t="str">
            <v>Y</v>
          </cell>
          <cell r="BA712" t="str">
            <v>Yes</v>
          </cell>
        </row>
        <row r="713">
          <cell r="B713">
            <v>562</v>
          </cell>
          <cell r="C713" t="str">
            <v>C49SZX20190192MZ</v>
          </cell>
          <cell r="D713" t="str">
            <v>鸿南电子</v>
          </cell>
          <cell r="E713" t="str">
            <v>YSM10</v>
          </cell>
          <cell r="F713" t="str">
            <v>#56802</v>
          </cell>
          <cell r="G713" t="e">
            <v>#REF!</v>
          </cell>
          <cell r="H713" t="e">
            <v>#REF!</v>
          </cell>
          <cell r="I713" t="str">
            <v>R-&gt;L</v>
          </cell>
          <cell r="J713" t="str">
            <v>MVC</v>
          </cell>
          <cell r="K713">
            <v>1</v>
          </cell>
          <cell r="L713">
            <v>109759</v>
          </cell>
          <cell r="M713" t="str">
            <v>JAN 20</v>
          </cell>
          <cell r="N713">
            <v>43844</v>
          </cell>
          <cell r="O713">
            <v>11116146</v>
          </cell>
          <cell r="P713">
            <v>9000000</v>
          </cell>
          <cell r="Q713">
            <v>43831</v>
          </cell>
          <cell r="R713" t="str">
            <v>No</v>
          </cell>
          <cell r="S713" t="str">
            <v>C49</v>
          </cell>
          <cell r="T713" t="str">
            <v>SOUTH</v>
          </cell>
          <cell r="U713" t="str">
            <v>深圳</v>
          </cell>
          <cell r="V713" t="str">
            <v>SZ 深圳</v>
          </cell>
          <cell r="W713" t="str">
            <v>MZ</v>
          </cell>
          <cell r="X713" t="str">
            <v>JPY</v>
          </cell>
          <cell r="Y713">
            <v>9000000</v>
          </cell>
          <cell r="Z713">
            <v>1</v>
          </cell>
          <cell r="AA713">
            <v>9000000</v>
          </cell>
          <cell r="AB713">
            <v>7.2900000000000006E-2</v>
          </cell>
          <cell r="AC713">
            <v>656100</v>
          </cell>
          <cell r="AD713">
            <v>78732</v>
          </cell>
          <cell r="AE713">
            <v>0.12</v>
          </cell>
          <cell r="AF713">
            <v>43823</v>
          </cell>
          <cell r="AG713" t="str">
            <v>CIF HK</v>
          </cell>
          <cell r="AK713">
            <v>0.2</v>
          </cell>
          <cell r="AL713">
            <v>1800000</v>
          </cell>
          <cell r="AM713">
            <v>43800</v>
          </cell>
          <cell r="AN713" t="str">
            <v>Yes</v>
          </cell>
          <cell r="AO713">
            <v>0.8</v>
          </cell>
          <cell r="AP713">
            <v>7200000</v>
          </cell>
          <cell r="AQ713">
            <v>43831</v>
          </cell>
          <cell r="AR713">
            <v>43839</v>
          </cell>
          <cell r="AS713">
            <v>0</v>
          </cell>
          <cell r="AT713">
            <v>0</v>
          </cell>
          <cell r="AX713" t="str">
            <v>Yes</v>
          </cell>
          <cell r="AZ713" t="str">
            <v>Y</v>
          </cell>
          <cell r="BA713" t="str">
            <v>Yes</v>
          </cell>
        </row>
        <row r="714">
          <cell r="B714">
            <v>563</v>
          </cell>
          <cell r="C714" t="str">
            <v>C49SZX20190193SS</v>
          </cell>
          <cell r="D714" t="str">
            <v>明昌</v>
          </cell>
          <cell r="E714" t="str">
            <v>YSM40R-4</v>
          </cell>
          <cell r="F714" t="str">
            <v>#76304</v>
          </cell>
          <cell r="G714" t="e">
            <v>#REF!</v>
          </cell>
          <cell r="H714" t="e">
            <v>#REF!</v>
          </cell>
          <cell r="I714" t="str">
            <v>L-&gt;R</v>
          </cell>
          <cell r="J714" t="str">
            <v>No</v>
          </cell>
          <cell r="K714">
            <v>1</v>
          </cell>
          <cell r="L714">
            <v>109218</v>
          </cell>
          <cell r="M714" t="str">
            <v>JUL 20</v>
          </cell>
          <cell r="N714">
            <v>44015</v>
          </cell>
          <cell r="O714">
            <v>11100407</v>
          </cell>
          <cell r="P714">
            <v>1400000</v>
          </cell>
          <cell r="Q714">
            <v>44002</v>
          </cell>
          <cell r="R714" t="str">
            <v>No</v>
          </cell>
          <cell r="S714" t="str">
            <v>C49</v>
          </cell>
          <cell r="T714" t="str">
            <v>SOUTH</v>
          </cell>
          <cell r="U714" t="str">
            <v>深圳</v>
          </cell>
          <cell r="V714" t="str">
            <v>SZ 深圳</v>
          </cell>
          <cell r="W714" t="str">
            <v>SS</v>
          </cell>
          <cell r="X714" t="str">
            <v>RMB</v>
          </cell>
          <cell r="Y714">
            <v>1400000</v>
          </cell>
          <cell r="Z714">
            <v>1.1299999999999999</v>
          </cell>
          <cell r="AA714">
            <v>1400000</v>
          </cell>
          <cell r="AB714">
            <v>1.1100000000000001</v>
          </cell>
          <cell r="AC714">
            <v>1375221.2389380534</v>
          </cell>
          <cell r="AD714">
            <v>165026.54867256639</v>
          </cell>
          <cell r="AE714">
            <v>0.12</v>
          </cell>
          <cell r="AF714">
            <v>43838</v>
          </cell>
          <cell r="AG714" t="str">
            <v>含税到厂</v>
          </cell>
          <cell r="AI714">
            <v>180000</v>
          </cell>
          <cell r="AJ714">
            <v>43998</v>
          </cell>
          <cell r="AK714" t="str">
            <v>agree</v>
          </cell>
          <cell r="AL714">
            <v>100000</v>
          </cell>
          <cell r="AM714">
            <v>43831</v>
          </cell>
          <cell r="AN714" t="str">
            <v>Yes</v>
          </cell>
          <cell r="AO714" t="str">
            <v>agree</v>
          </cell>
          <cell r="AP714">
            <v>1300000</v>
          </cell>
          <cell r="AQ714">
            <v>44002</v>
          </cell>
          <cell r="AR714">
            <v>44004</v>
          </cell>
          <cell r="AS714">
            <v>0</v>
          </cell>
          <cell r="AT714">
            <v>0</v>
          </cell>
          <cell r="AX714" t="str">
            <v>Yes</v>
          </cell>
          <cell r="AZ714" t="str">
            <v>Yes</v>
          </cell>
          <cell r="BA714" t="str">
            <v>Yes</v>
          </cell>
        </row>
        <row r="715">
          <cell r="B715">
            <v>564</v>
          </cell>
          <cell r="C715" t="str">
            <v>C49SZX20200001SX</v>
          </cell>
          <cell r="D715" t="str">
            <v>柏星</v>
          </cell>
          <cell r="E715" t="str">
            <v>YSM20R(SV)-2</v>
          </cell>
          <cell r="F715" t="str">
            <v>#03362</v>
          </cell>
          <cell r="G715" t="e">
            <v>#REF!</v>
          </cell>
          <cell r="H715" t="e">
            <v>#REF!</v>
          </cell>
          <cell r="I715" t="str">
            <v>R-&gt;L</v>
          </cell>
          <cell r="J715" t="str">
            <v>No</v>
          </cell>
          <cell r="K715">
            <v>1</v>
          </cell>
          <cell r="L715">
            <v>109721</v>
          </cell>
          <cell r="M715" t="str">
            <v>JAN 20</v>
          </cell>
          <cell r="N715">
            <v>43839</v>
          </cell>
          <cell r="O715">
            <v>11116349</v>
          </cell>
          <cell r="P715">
            <v>15000000</v>
          </cell>
          <cell r="Q715">
            <v>43831</v>
          </cell>
          <cell r="R715" t="str">
            <v>No</v>
          </cell>
          <cell r="S715" t="str">
            <v>C49</v>
          </cell>
          <cell r="T715" t="str">
            <v>SOUTH</v>
          </cell>
          <cell r="U715" t="str">
            <v>深圳</v>
          </cell>
          <cell r="V715" t="str">
            <v>SZ 深圳</v>
          </cell>
          <cell r="W715" t="str">
            <v>SX</v>
          </cell>
          <cell r="X715" t="str">
            <v>JPY</v>
          </cell>
          <cell r="Y715">
            <v>15000000</v>
          </cell>
          <cell r="Z715">
            <v>1</v>
          </cell>
          <cell r="AA715">
            <v>15000000</v>
          </cell>
          <cell r="AB715">
            <v>7.2900000000000006E-2</v>
          </cell>
          <cell r="AC715">
            <v>1093500</v>
          </cell>
          <cell r="AD715">
            <v>131220</v>
          </cell>
          <cell r="AE715">
            <v>0.12</v>
          </cell>
          <cell r="AF715">
            <v>43831</v>
          </cell>
          <cell r="AG715" t="str">
            <v>DAP DG</v>
          </cell>
          <cell r="AK715" t="str">
            <v>agree</v>
          </cell>
          <cell r="AL715">
            <v>3100871</v>
          </cell>
          <cell r="AM715">
            <v>43831</v>
          </cell>
          <cell r="AN715" t="str">
            <v>Yes</v>
          </cell>
          <cell r="AO715">
            <v>0.8</v>
          </cell>
          <cell r="AP715">
            <v>12000000</v>
          </cell>
          <cell r="AQ715">
            <v>43831</v>
          </cell>
          <cell r="AR715">
            <v>43837</v>
          </cell>
          <cell r="AS715">
            <v>0</v>
          </cell>
          <cell r="AT715">
            <v>0</v>
          </cell>
          <cell r="AX715" t="str">
            <v>Yes</v>
          </cell>
          <cell r="AZ715" t="str">
            <v>Y</v>
          </cell>
          <cell r="BA715" t="str">
            <v>Yes</v>
          </cell>
        </row>
        <row r="716">
          <cell r="B716">
            <v>565</v>
          </cell>
          <cell r="C716" t="str">
            <v>C49SZX20200001SX</v>
          </cell>
          <cell r="D716" t="str">
            <v>柏星</v>
          </cell>
          <cell r="E716" t="str">
            <v>YSM10</v>
          </cell>
          <cell r="F716" t="str">
            <v>#03362</v>
          </cell>
          <cell r="G716" t="e">
            <v>#REF!</v>
          </cell>
          <cell r="H716" t="e">
            <v>#REF!</v>
          </cell>
          <cell r="I716" t="str">
            <v>R-&gt;L</v>
          </cell>
          <cell r="J716" t="str">
            <v>MVC</v>
          </cell>
          <cell r="K716">
            <v>1</v>
          </cell>
          <cell r="L716">
            <v>109723</v>
          </cell>
          <cell r="M716" t="str">
            <v>JAN 20</v>
          </cell>
          <cell r="N716">
            <v>43839</v>
          </cell>
          <cell r="O716">
            <v>11116349</v>
          </cell>
          <cell r="P716">
            <v>9442000</v>
          </cell>
          <cell r="Q716">
            <v>43831</v>
          </cell>
          <cell r="R716" t="str">
            <v>No</v>
          </cell>
          <cell r="S716" t="str">
            <v>C49</v>
          </cell>
          <cell r="T716" t="str">
            <v>SOUTH</v>
          </cell>
          <cell r="U716" t="str">
            <v>深圳</v>
          </cell>
          <cell r="V716" t="str">
            <v>SZ 深圳</v>
          </cell>
          <cell r="W716" t="str">
            <v>SX</v>
          </cell>
          <cell r="X716" t="str">
            <v>JPY</v>
          </cell>
          <cell r="Y716">
            <v>9442000</v>
          </cell>
          <cell r="Z716">
            <v>1</v>
          </cell>
          <cell r="AA716">
            <v>9442000</v>
          </cell>
          <cell r="AB716">
            <v>7.2900000000000006E-2</v>
          </cell>
          <cell r="AC716">
            <v>688321.8</v>
          </cell>
          <cell r="AD716">
            <v>82598.616000000009</v>
          </cell>
          <cell r="AE716">
            <v>0.12</v>
          </cell>
          <cell r="AF716">
            <v>43831</v>
          </cell>
          <cell r="AG716" t="str">
            <v>DAP DG</v>
          </cell>
          <cell r="AK716" t="str">
            <v>agree</v>
          </cell>
          <cell r="AL716">
            <v>1787529</v>
          </cell>
          <cell r="AM716">
            <v>43831</v>
          </cell>
          <cell r="AN716" t="str">
            <v>Yes</v>
          </cell>
          <cell r="AO716">
            <v>0.8</v>
          </cell>
          <cell r="AP716">
            <v>7553600</v>
          </cell>
          <cell r="AQ716">
            <v>43831</v>
          </cell>
          <cell r="AR716">
            <v>43837</v>
          </cell>
          <cell r="AS716">
            <v>0</v>
          </cell>
          <cell r="AT716">
            <v>0</v>
          </cell>
          <cell r="AX716" t="str">
            <v>Yes</v>
          </cell>
          <cell r="AZ716" t="str">
            <v>Y</v>
          </cell>
          <cell r="BA716" t="str">
            <v>Yes</v>
          </cell>
        </row>
        <row r="717">
          <cell r="B717">
            <v>566</v>
          </cell>
          <cell r="C717" t="str">
            <v>C49SZX20200002MZ</v>
          </cell>
          <cell r="D717" t="str">
            <v>熙洲电子</v>
          </cell>
          <cell r="E717" t="str">
            <v>YSM20R(SV)-2</v>
          </cell>
          <cell r="F717" t="str">
            <v>#04258</v>
          </cell>
          <cell r="G717" t="e">
            <v>#REF!</v>
          </cell>
          <cell r="H717" t="e">
            <v>#REF!</v>
          </cell>
          <cell r="I717" t="str">
            <v>L-&gt;R</v>
          </cell>
          <cell r="J717" t="str">
            <v>No</v>
          </cell>
          <cell r="K717">
            <v>1</v>
          </cell>
          <cell r="L717">
            <v>109775</v>
          </cell>
          <cell r="M717" t="str">
            <v>MAR 20</v>
          </cell>
          <cell r="N717">
            <v>43901</v>
          </cell>
          <cell r="O717">
            <v>11116365</v>
          </cell>
          <cell r="P717">
            <v>11300000</v>
          </cell>
          <cell r="Q717">
            <v>43891</v>
          </cell>
          <cell r="R717" t="str">
            <v>Yes</v>
          </cell>
          <cell r="S717" t="str">
            <v>C49</v>
          </cell>
          <cell r="T717" t="str">
            <v>SOUTH</v>
          </cell>
          <cell r="U717" t="str">
            <v>東莞</v>
          </cell>
          <cell r="V717" t="str">
            <v>SZ 深圳</v>
          </cell>
          <cell r="W717" t="str">
            <v>MZ</v>
          </cell>
          <cell r="X717" t="str">
            <v>JPY</v>
          </cell>
          <cell r="Y717">
            <v>11300000</v>
          </cell>
          <cell r="Z717">
            <v>1</v>
          </cell>
          <cell r="AA717">
            <v>11300000</v>
          </cell>
          <cell r="AB717">
            <v>7.2999999999999995E-2</v>
          </cell>
          <cell r="AC717">
            <v>824900</v>
          </cell>
          <cell r="AD717">
            <v>98988</v>
          </cell>
          <cell r="AE717">
            <v>0.12</v>
          </cell>
          <cell r="AF717">
            <v>43832</v>
          </cell>
          <cell r="AG717" t="str">
            <v>DAP DG</v>
          </cell>
          <cell r="AK717" t="str">
            <v>agree</v>
          </cell>
          <cell r="AL717">
            <v>794344</v>
          </cell>
          <cell r="AM717">
            <v>43832</v>
          </cell>
          <cell r="AN717" t="str">
            <v>Yes</v>
          </cell>
          <cell r="AO717">
            <v>0.8</v>
          </cell>
          <cell r="AP717">
            <v>9040000</v>
          </cell>
          <cell r="AQ717">
            <v>43891</v>
          </cell>
          <cell r="AR717">
            <v>43899</v>
          </cell>
          <cell r="AS717">
            <v>0</v>
          </cell>
          <cell r="AT717">
            <v>0</v>
          </cell>
          <cell r="AX717" t="str">
            <v>Yes</v>
          </cell>
          <cell r="AY717" t="str">
            <v>Yes</v>
          </cell>
          <cell r="AZ717" t="str">
            <v>Y</v>
          </cell>
          <cell r="BA717" t="str">
            <v>Yes</v>
          </cell>
        </row>
        <row r="718">
          <cell r="B718">
            <v>567</v>
          </cell>
          <cell r="C718" t="str">
            <v>C28BJS20190108LY</v>
          </cell>
          <cell r="D718" t="str">
            <v>青岛融创</v>
          </cell>
          <cell r="E718" t="str">
            <v>Heller 1936MK5</v>
          </cell>
          <cell r="F718" t="str">
            <v>No</v>
          </cell>
          <cell r="G718" t="e">
            <v>#REF!</v>
          </cell>
          <cell r="H718" t="e">
            <v>#REF!</v>
          </cell>
          <cell r="I718" t="str">
            <v>R-&gt;L</v>
          </cell>
          <cell r="J718" t="str">
            <v>No</v>
          </cell>
          <cell r="K718">
            <v>1</v>
          </cell>
          <cell r="L718" t="e">
            <v>#N/A</v>
          </cell>
          <cell r="M718" t="e">
            <v>#N/A</v>
          </cell>
          <cell r="N718">
            <v>43932</v>
          </cell>
          <cell r="O718">
            <v>11101053</v>
          </cell>
          <cell r="P718">
            <v>342700</v>
          </cell>
          <cell r="Q718">
            <v>43891</v>
          </cell>
          <cell r="R718" t="str">
            <v>No</v>
          </cell>
          <cell r="S718" t="str">
            <v>C28</v>
          </cell>
          <cell r="T718" t="str">
            <v>NORTH</v>
          </cell>
          <cell r="U718" t="str">
            <v>青岛</v>
          </cell>
          <cell r="V718" t="str">
            <v>BJ 北京</v>
          </cell>
          <cell r="W718" t="str">
            <v>Li Yong</v>
          </cell>
          <cell r="X718" t="str">
            <v>RMB</v>
          </cell>
          <cell r="Y718">
            <v>328000</v>
          </cell>
          <cell r="Z718">
            <v>1.1299999999999999</v>
          </cell>
          <cell r="AA718">
            <v>342700</v>
          </cell>
          <cell r="AB718">
            <v>1.1299999999999999</v>
          </cell>
          <cell r="AC718">
            <v>342700</v>
          </cell>
          <cell r="AD718">
            <v>41124</v>
          </cell>
          <cell r="AE718">
            <v>0.12</v>
          </cell>
          <cell r="AF718">
            <v>43830</v>
          </cell>
          <cell r="AG718" t="str">
            <v>含税到厂</v>
          </cell>
          <cell r="AK718">
            <v>0.3</v>
          </cell>
          <cell r="AL718">
            <v>98400</v>
          </cell>
          <cell r="AN718" t="str">
            <v>No</v>
          </cell>
          <cell r="AO718">
            <v>0.65</v>
          </cell>
          <cell r="AP718">
            <v>222755</v>
          </cell>
          <cell r="AQ718"/>
          <cell r="AS718">
            <v>0.05</v>
          </cell>
          <cell r="AT718">
            <v>17135</v>
          </cell>
          <cell r="AX718"/>
        </row>
        <row r="719">
          <cell r="B719">
            <v>568</v>
          </cell>
          <cell r="C719" t="str">
            <v>C49SZX20200003CX</v>
          </cell>
          <cell r="D719" t="str">
            <v>靓颖电子</v>
          </cell>
          <cell r="E719" t="str">
            <v>YSM20R(SV)-2</v>
          </cell>
          <cell r="F719" t="str">
            <v>#04275</v>
          </cell>
          <cell r="G719" t="e">
            <v>#REF!</v>
          </cell>
          <cell r="H719" t="e">
            <v>#REF!</v>
          </cell>
          <cell r="I719" t="str">
            <v>R-&gt;L</v>
          </cell>
          <cell r="J719" t="str">
            <v>MVC</v>
          </cell>
          <cell r="K719">
            <v>1</v>
          </cell>
          <cell r="L719">
            <v>109730</v>
          </cell>
          <cell r="M719" t="str">
            <v>MAR 20</v>
          </cell>
          <cell r="N719">
            <v>43900</v>
          </cell>
          <cell r="O719">
            <v>1111636</v>
          </cell>
          <cell r="P719">
            <v>14500000</v>
          </cell>
          <cell r="Q719">
            <v>43891</v>
          </cell>
          <cell r="R719" t="str">
            <v>Yes</v>
          </cell>
          <cell r="S719" t="str">
            <v>C49</v>
          </cell>
          <cell r="T719" t="str">
            <v>SOUTH</v>
          </cell>
          <cell r="U719" t="str">
            <v>深圳</v>
          </cell>
          <cell r="V719" t="str">
            <v>SZ 深圳</v>
          </cell>
          <cell r="W719" t="str">
            <v>CX</v>
          </cell>
          <cell r="X719" t="str">
            <v>JPY</v>
          </cell>
          <cell r="Y719">
            <v>14500000</v>
          </cell>
          <cell r="Z719">
            <v>1</v>
          </cell>
          <cell r="AA719">
            <v>14500000</v>
          </cell>
          <cell r="AB719">
            <v>7.2999999999999995E-2</v>
          </cell>
          <cell r="AC719">
            <v>1058500</v>
          </cell>
          <cell r="AD719">
            <v>127020</v>
          </cell>
          <cell r="AE719">
            <v>0.12</v>
          </cell>
          <cell r="AF719">
            <v>43467</v>
          </cell>
          <cell r="AG719" t="str">
            <v>DAP ST</v>
          </cell>
          <cell r="AK719">
            <v>0.2</v>
          </cell>
          <cell r="AL719">
            <v>2900000</v>
          </cell>
          <cell r="AM719">
            <v>43891</v>
          </cell>
          <cell r="AN719" t="str">
            <v>Yes</v>
          </cell>
          <cell r="AO719">
            <v>0.8</v>
          </cell>
          <cell r="AP719">
            <v>11600000</v>
          </cell>
          <cell r="AQ719">
            <v>43891</v>
          </cell>
          <cell r="AR719">
            <v>43895</v>
          </cell>
          <cell r="AS719">
            <v>0</v>
          </cell>
          <cell r="AT719">
            <v>0</v>
          </cell>
          <cell r="AX719" t="str">
            <v>Yes</v>
          </cell>
          <cell r="AZ719" t="str">
            <v>Y</v>
          </cell>
          <cell r="BA719" t="str">
            <v>Yes</v>
          </cell>
        </row>
        <row r="720">
          <cell r="B720">
            <v>569</v>
          </cell>
          <cell r="C720" t="str">
            <v>C49SZX20190195KW</v>
          </cell>
          <cell r="D720" t="str">
            <v>万恒光电</v>
          </cell>
          <cell r="E720" t="str">
            <v>YSM40R-4</v>
          </cell>
          <cell r="F720" t="str">
            <v>NA</v>
          </cell>
          <cell r="G720" t="e">
            <v>#REF!</v>
          </cell>
          <cell r="H720" t="e">
            <v>#REF!</v>
          </cell>
          <cell r="I720" t="str">
            <v>L-&gt;R</v>
          </cell>
          <cell r="J720" t="str">
            <v>No</v>
          </cell>
          <cell r="K720">
            <v>1</v>
          </cell>
          <cell r="L720" t="e">
            <v>#REF!</v>
          </cell>
          <cell r="M720" t="e">
            <v>#REF!</v>
          </cell>
          <cell r="N720"/>
          <cell r="O720"/>
          <cell r="P720"/>
          <cell r="Q720"/>
          <cell r="R720" t="str">
            <v>Yes</v>
          </cell>
          <cell r="S720" t="str">
            <v>C49</v>
          </cell>
          <cell r="T720" t="str">
            <v>SOUTH</v>
          </cell>
          <cell r="U720" t="str">
            <v>深圳</v>
          </cell>
          <cell r="V720" t="str">
            <v>SZ 深圳</v>
          </cell>
          <cell r="W720" t="str">
            <v>KW</v>
          </cell>
          <cell r="X720" t="str">
            <v>RMB</v>
          </cell>
          <cell r="Y720">
            <v>1500000</v>
          </cell>
          <cell r="Z720">
            <v>1.1299999999999999</v>
          </cell>
          <cell r="AA720">
            <v>1500000</v>
          </cell>
          <cell r="AB720">
            <v>1.1100000000000001</v>
          </cell>
          <cell r="AC720">
            <v>1473451.3274336287</v>
          </cell>
          <cell r="AD720">
            <v>176814.15929203545</v>
          </cell>
          <cell r="AE720">
            <v>0.12</v>
          </cell>
          <cell r="AF720">
            <v>43833</v>
          </cell>
          <cell r="AG720" t="str">
            <v>含税到厂</v>
          </cell>
          <cell r="AI720"/>
          <cell r="AJ720"/>
          <cell r="AK720">
            <v>0.2</v>
          </cell>
          <cell r="AL720">
            <v>300000</v>
          </cell>
          <cell r="AM720"/>
          <cell r="AN720" t="str">
            <v>No</v>
          </cell>
          <cell r="AO720">
            <v>0.8</v>
          </cell>
          <cell r="AP720">
            <v>1200000</v>
          </cell>
          <cell r="AQ720"/>
          <cell r="AR720"/>
          <cell r="AS720">
            <v>0</v>
          </cell>
          <cell r="AT720">
            <v>0</v>
          </cell>
          <cell r="AV720"/>
          <cell r="AX720" t="str">
            <v>Cancel</v>
          </cell>
          <cell r="AY720"/>
          <cell r="AZ720"/>
          <cell r="BA720" t="str">
            <v>Cancel</v>
          </cell>
        </row>
        <row r="721">
          <cell r="B721">
            <v>570</v>
          </cell>
          <cell r="C721" t="str">
            <v>C49SZX20190195KW</v>
          </cell>
          <cell r="D721" t="str">
            <v>万恒光电</v>
          </cell>
          <cell r="E721" t="str">
            <v>YSM40R-4</v>
          </cell>
          <cell r="F721" t="str">
            <v>NA</v>
          </cell>
          <cell r="G721" t="e">
            <v>#REF!</v>
          </cell>
          <cell r="H721" t="e">
            <v>#REF!</v>
          </cell>
          <cell r="I721" t="str">
            <v>L-&gt;R</v>
          </cell>
          <cell r="J721" t="str">
            <v>No</v>
          </cell>
          <cell r="K721">
            <v>1</v>
          </cell>
          <cell r="L721" t="e">
            <v>#REF!</v>
          </cell>
          <cell r="M721" t="e">
            <v>#REF!</v>
          </cell>
          <cell r="N721"/>
          <cell r="O721"/>
          <cell r="P721"/>
          <cell r="Q721"/>
          <cell r="R721" t="str">
            <v>Yes</v>
          </cell>
          <cell r="S721" t="str">
            <v>C49</v>
          </cell>
          <cell r="T721" t="str">
            <v>SOUTH</v>
          </cell>
          <cell r="U721" t="str">
            <v>深圳</v>
          </cell>
          <cell r="V721" t="str">
            <v>SZ 深圳</v>
          </cell>
          <cell r="W721" t="str">
            <v>KW</v>
          </cell>
          <cell r="X721" t="str">
            <v>RMB</v>
          </cell>
          <cell r="Y721">
            <v>1500000</v>
          </cell>
          <cell r="Z721">
            <v>1.1299999999999999</v>
          </cell>
          <cell r="AA721">
            <v>1500000</v>
          </cell>
          <cell r="AB721">
            <v>1.1100000000000001</v>
          </cell>
          <cell r="AC721">
            <v>1473451.3274336287</v>
          </cell>
          <cell r="AD721">
            <v>176814.15929203545</v>
          </cell>
          <cell r="AE721">
            <v>0.12</v>
          </cell>
          <cell r="AF721">
            <v>43833</v>
          </cell>
          <cell r="AG721" t="str">
            <v>含税到厂</v>
          </cell>
          <cell r="AI721"/>
          <cell r="AJ721"/>
          <cell r="AK721" t="str">
            <v>AGREE</v>
          </cell>
          <cell r="AL721" t="e">
            <v>#VALUE!</v>
          </cell>
          <cell r="AM721"/>
          <cell r="AN721" t="str">
            <v>No</v>
          </cell>
          <cell r="AO721" t="str">
            <v>agree</v>
          </cell>
          <cell r="AP721" t="e">
            <v>#VALUE!</v>
          </cell>
          <cell r="AQ721"/>
          <cell r="AR721"/>
          <cell r="AS721">
            <v>0</v>
          </cell>
          <cell r="AT721">
            <v>0</v>
          </cell>
          <cell r="AV721"/>
          <cell r="AX721" t="str">
            <v>Cancel</v>
          </cell>
          <cell r="AY721"/>
          <cell r="AZ721"/>
          <cell r="BA721" t="str">
            <v>Cancel</v>
          </cell>
        </row>
        <row r="722">
          <cell r="B722">
            <v>571</v>
          </cell>
          <cell r="C722" t="str">
            <v>C49SZX20200005SS</v>
          </cell>
          <cell r="D722" t="str">
            <v>新平泰</v>
          </cell>
          <cell r="E722" t="str">
            <v>YSM20R(SV)-2</v>
          </cell>
          <cell r="F722" t="str">
            <v>NA</v>
          </cell>
          <cell r="G722" t="e">
            <v>#REF!</v>
          </cell>
          <cell r="H722" t="e">
            <v>#REF!</v>
          </cell>
          <cell r="I722" t="str">
            <v>L-&gt;R</v>
          </cell>
          <cell r="J722" t="str">
            <v>No</v>
          </cell>
          <cell r="K722">
            <v>1</v>
          </cell>
          <cell r="L722" t="e">
            <v>#N/A</v>
          </cell>
          <cell r="M722" t="e">
            <v>#N/A</v>
          </cell>
          <cell r="N722"/>
          <cell r="O722"/>
          <cell r="P722"/>
          <cell r="Q722"/>
          <cell r="R722" t="str">
            <v>Yes</v>
          </cell>
          <cell r="S722" t="str">
            <v>C49</v>
          </cell>
          <cell r="T722" t="str">
            <v>SOUTH</v>
          </cell>
          <cell r="U722" t="str">
            <v>深圳</v>
          </cell>
          <cell r="V722" t="str">
            <v>SZ 深圳</v>
          </cell>
          <cell r="W722" t="str">
            <v>SS</v>
          </cell>
          <cell r="X722" t="str">
            <v>JPY</v>
          </cell>
          <cell r="Y722">
            <v>11714000</v>
          </cell>
          <cell r="Z722">
            <v>1</v>
          </cell>
          <cell r="AA722">
            <v>11714000</v>
          </cell>
          <cell r="AB722">
            <v>7.2999999999999995E-2</v>
          </cell>
          <cell r="AC722">
            <v>855122</v>
          </cell>
          <cell r="AD722">
            <v>102614.64</v>
          </cell>
          <cell r="AE722">
            <v>0.12</v>
          </cell>
          <cell r="AF722">
            <v>43837</v>
          </cell>
          <cell r="AG722" t="str">
            <v>DAP SZ</v>
          </cell>
          <cell r="AI722"/>
          <cell r="AJ722"/>
          <cell r="AK722">
            <v>0.1</v>
          </cell>
          <cell r="AL722">
            <v>1171400</v>
          </cell>
          <cell r="AM722"/>
          <cell r="AN722" t="str">
            <v>No</v>
          </cell>
          <cell r="AO722">
            <v>0.9</v>
          </cell>
          <cell r="AP722">
            <v>10542600</v>
          </cell>
          <cell r="AQ722"/>
          <cell r="AR722"/>
          <cell r="AS722">
            <v>0</v>
          </cell>
          <cell r="AT722">
            <v>0</v>
          </cell>
          <cell r="AV722"/>
          <cell r="AX722" t="str">
            <v>Cancel</v>
          </cell>
          <cell r="AY722"/>
          <cell r="AZ722"/>
          <cell r="BA722"/>
        </row>
        <row r="723">
          <cell r="B723">
            <v>572</v>
          </cell>
          <cell r="C723" t="str">
            <v>C49SZX20200008MX</v>
          </cell>
          <cell r="D723" t="str">
            <v>长源兴/end user美联辉</v>
          </cell>
          <cell r="E723" t="str">
            <v>YSM20R(SV)-2</v>
          </cell>
          <cell r="F723" t="str">
            <v>#04293</v>
          </cell>
          <cell r="G723" t="e">
            <v>#REF!</v>
          </cell>
          <cell r="H723" t="e">
            <v>#REF!</v>
          </cell>
          <cell r="I723" t="str">
            <v>R-&gt;L</v>
          </cell>
          <cell r="J723" t="str">
            <v>No</v>
          </cell>
          <cell r="K723">
            <v>1</v>
          </cell>
          <cell r="L723">
            <v>109750</v>
          </cell>
          <cell r="M723" t="str">
            <v>FEB 20</v>
          </cell>
          <cell r="N723">
            <v>43892</v>
          </cell>
          <cell r="O723">
            <v>11116356</v>
          </cell>
          <cell r="P723">
            <v>10736800</v>
          </cell>
          <cell r="Q723">
            <v>43862</v>
          </cell>
          <cell r="R723" t="str">
            <v>Yes</v>
          </cell>
          <cell r="S723" t="str">
            <v>C49</v>
          </cell>
          <cell r="T723" t="str">
            <v>SOUTH</v>
          </cell>
          <cell r="U723" t="str">
            <v>深圳</v>
          </cell>
          <cell r="V723" t="str">
            <v>SZ 深圳</v>
          </cell>
          <cell r="W723" t="str">
            <v>MX</v>
          </cell>
          <cell r="X723" t="str">
            <v>JPY</v>
          </cell>
          <cell r="Y723">
            <v>10736800</v>
          </cell>
          <cell r="Z723">
            <v>1</v>
          </cell>
          <cell r="AA723">
            <v>10736800</v>
          </cell>
          <cell r="AB723">
            <v>7.2999999999999995E-2</v>
          </cell>
          <cell r="AC723">
            <v>783786.39999999991</v>
          </cell>
          <cell r="AD723">
            <v>94054.367999999988</v>
          </cell>
          <cell r="AE723">
            <v>0.12</v>
          </cell>
          <cell r="AF723">
            <v>43837</v>
          </cell>
          <cell r="AG723" t="str">
            <v>CIF HK</v>
          </cell>
          <cell r="AK723">
            <v>0.3</v>
          </cell>
          <cell r="AL723">
            <v>3221040</v>
          </cell>
          <cell r="AM723">
            <v>43831</v>
          </cell>
          <cell r="AN723" t="str">
            <v>Yes</v>
          </cell>
          <cell r="AO723">
            <v>0.7</v>
          </cell>
          <cell r="AP723">
            <v>7515759.9999999991</v>
          </cell>
          <cell r="AQ723">
            <v>43862</v>
          </cell>
          <cell r="AR723">
            <v>43886</v>
          </cell>
          <cell r="AS723">
            <v>0</v>
          </cell>
          <cell r="AT723">
            <v>0</v>
          </cell>
          <cell r="AX723" t="str">
            <v>Yes</v>
          </cell>
          <cell r="AY723" t="str">
            <v>Yes</v>
          </cell>
          <cell r="AZ723" t="str">
            <v>Y</v>
          </cell>
          <cell r="BA723" t="str">
            <v>Yes</v>
          </cell>
        </row>
        <row r="724">
          <cell r="B724">
            <v>573</v>
          </cell>
          <cell r="C724" t="str">
            <v>C49SZX20200008MX</v>
          </cell>
          <cell r="D724" t="str">
            <v>长源兴/end user美联辉</v>
          </cell>
          <cell r="E724" t="str">
            <v>YSM10</v>
          </cell>
          <cell r="F724" t="str">
            <v>#04293</v>
          </cell>
          <cell r="G724" t="e">
            <v>#REF!</v>
          </cell>
          <cell r="H724" t="e">
            <v>#REF!</v>
          </cell>
          <cell r="I724" t="str">
            <v>R-&gt;L</v>
          </cell>
          <cell r="J724" t="str">
            <v>MVC</v>
          </cell>
          <cell r="K724">
            <v>1</v>
          </cell>
          <cell r="L724">
            <v>109762</v>
          </cell>
          <cell r="M724" t="str">
            <v>FEB 20</v>
          </cell>
          <cell r="N724">
            <v>43892</v>
          </cell>
          <cell r="O724">
            <v>11116356</v>
          </cell>
          <cell r="P724">
            <v>7158000</v>
          </cell>
          <cell r="Q724">
            <v>43862</v>
          </cell>
          <cell r="R724" t="str">
            <v>Yes</v>
          </cell>
          <cell r="S724" t="str">
            <v>C49</v>
          </cell>
          <cell r="T724" t="str">
            <v>SOUTH</v>
          </cell>
          <cell r="U724" t="str">
            <v>深圳</v>
          </cell>
          <cell r="V724" t="str">
            <v>SZ 深圳</v>
          </cell>
          <cell r="W724" t="str">
            <v>MX</v>
          </cell>
          <cell r="X724" t="str">
            <v>JPY</v>
          </cell>
          <cell r="Y724">
            <v>7158000</v>
          </cell>
          <cell r="Z724">
            <v>1</v>
          </cell>
          <cell r="AA724">
            <v>7158000</v>
          </cell>
          <cell r="AB724">
            <v>7.2999999999999995E-2</v>
          </cell>
          <cell r="AC724">
            <v>522533.99999999994</v>
          </cell>
          <cell r="AD724">
            <v>62704.079999999987</v>
          </cell>
          <cell r="AE724">
            <v>0.12</v>
          </cell>
          <cell r="AF724">
            <v>43837</v>
          </cell>
          <cell r="AG724" t="str">
            <v>CIF HK</v>
          </cell>
          <cell r="AK724">
            <v>0.3</v>
          </cell>
          <cell r="AL724">
            <v>2147400</v>
          </cell>
          <cell r="AM724">
            <v>43832</v>
          </cell>
          <cell r="AN724" t="str">
            <v>Yes</v>
          </cell>
          <cell r="AO724">
            <v>0.7</v>
          </cell>
          <cell r="AP724">
            <v>5010600</v>
          </cell>
          <cell r="AQ724">
            <v>43862</v>
          </cell>
          <cell r="AR724">
            <v>43886</v>
          </cell>
          <cell r="AS724">
            <v>0</v>
          </cell>
          <cell r="AT724">
            <v>0</v>
          </cell>
          <cell r="AX724" t="str">
            <v>Yes</v>
          </cell>
          <cell r="AY724" t="str">
            <v>Yes</v>
          </cell>
          <cell r="AZ724" t="str">
            <v>Y</v>
          </cell>
          <cell r="BA724" t="str">
            <v>Yes</v>
          </cell>
        </row>
        <row r="725">
          <cell r="B725">
            <v>574</v>
          </cell>
          <cell r="C725" t="str">
            <v>C49SZX20200012SS</v>
          </cell>
          <cell r="D725" t="str">
            <v>康腾</v>
          </cell>
          <cell r="E725" t="str">
            <v>YSM20R(SV)-2</v>
          </cell>
          <cell r="F725" t="str">
            <v>#82885</v>
          </cell>
          <cell r="G725" t="e">
            <v>#REF!</v>
          </cell>
          <cell r="H725" t="e">
            <v>#REF!</v>
          </cell>
          <cell r="I725" t="str">
            <v>R-&gt;L</v>
          </cell>
          <cell r="J725" t="str">
            <v>No</v>
          </cell>
          <cell r="K725">
            <v>1</v>
          </cell>
          <cell r="L725">
            <v>109816</v>
          </cell>
          <cell r="M725" t="str">
            <v>MAY 20</v>
          </cell>
          <cell r="N725">
            <v>43966</v>
          </cell>
          <cell r="O725">
            <v>11116386</v>
          </cell>
          <cell r="P725">
            <v>11344000</v>
          </cell>
          <cell r="Q725">
            <v>43971</v>
          </cell>
          <cell r="R725" t="str">
            <v>No</v>
          </cell>
          <cell r="S725" t="str">
            <v>C49</v>
          </cell>
          <cell r="T725" t="str">
            <v>SOUTH</v>
          </cell>
          <cell r="U725" t="str">
            <v>深圳</v>
          </cell>
          <cell r="V725" t="str">
            <v>SZ 深圳</v>
          </cell>
          <cell r="W725" t="str">
            <v>SS</v>
          </cell>
          <cell r="X725" t="str">
            <v>JPY</v>
          </cell>
          <cell r="Y725">
            <v>11344000</v>
          </cell>
          <cell r="Z725">
            <v>1</v>
          </cell>
          <cell r="AA725">
            <v>11344000</v>
          </cell>
          <cell r="AB725">
            <v>7.2999999999999995E-2</v>
          </cell>
          <cell r="AC725">
            <v>828112</v>
          </cell>
          <cell r="AD725">
            <v>99373.440000000002</v>
          </cell>
          <cell r="AE725">
            <v>0.12</v>
          </cell>
          <cell r="AF725">
            <v>43838</v>
          </cell>
          <cell r="AG725" t="str">
            <v>DAP SZ</v>
          </cell>
          <cell r="AI725">
            <v>30000</v>
          </cell>
          <cell r="AJ725">
            <v>43847</v>
          </cell>
          <cell r="AK725">
            <v>1</v>
          </cell>
          <cell r="AL725">
            <v>11344000</v>
          </cell>
          <cell r="AM725">
            <v>43971</v>
          </cell>
          <cell r="AN725" t="str">
            <v>Yes</v>
          </cell>
          <cell r="AO725">
            <v>0</v>
          </cell>
          <cell r="AP725">
            <v>0</v>
          </cell>
          <cell r="AS725">
            <v>0</v>
          </cell>
          <cell r="AT725">
            <v>0</v>
          </cell>
          <cell r="AX725" t="str">
            <v>Yes</v>
          </cell>
          <cell r="AZ725" t="str">
            <v>Yes</v>
          </cell>
          <cell r="BA725" t="str">
            <v>Yes</v>
          </cell>
        </row>
        <row r="726">
          <cell r="B726">
            <v>575</v>
          </cell>
          <cell r="C726" t="str">
            <v>C49SZX20200010DZ</v>
          </cell>
          <cell r="D726" t="str">
            <v>赛维显示</v>
          </cell>
          <cell r="E726" t="str">
            <v>YSM20R(SV)-2</v>
          </cell>
          <cell r="F726" t="str">
            <v>#04282</v>
          </cell>
          <cell r="G726" t="e">
            <v>#REF!</v>
          </cell>
          <cell r="H726" t="e">
            <v>#REF!</v>
          </cell>
          <cell r="I726" t="str">
            <v>L-&gt;R</v>
          </cell>
          <cell r="J726" t="str">
            <v>No</v>
          </cell>
          <cell r="K726">
            <v>1</v>
          </cell>
          <cell r="L726">
            <v>109775</v>
          </cell>
          <cell r="M726" t="str">
            <v>MAR 20</v>
          </cell>
          <cell r="N726">
            <v>43915</v>
          </cell>
          <cell r="O726">
            <v>11100377</v>
          </cell>
          <cell r="P726">
            <v>850000</v>
          </cell>
          <cell r="Q726">
            <v>43891</v>
          </cell>
          <cell r="R726" t="str">
            <v>Yes</v>
          </cell>
          <cell r="S726" t="str">
            <v>C49</v>
          </cell>
          <cell r="T726" t="str">
            <v>SOUTH</v>
          </cell>
          <cell r="U726" t="str">
            <v>深圳</v>
          </cell>
          <cell r="V726" t="str">
            <v>SZ 深圳</v>
          </cell>
          <cell r="W726" t="str">
            <v>DZ</v>
          </cell>
          <cell r="X726" t="str">
            <v>RMB</v>
          </cell>
          <cell r="Y726">
            <v>850000</v>
          </cell>
          <cell r="Z726">
            <v>1.1299999999999999</v>
          </cell>
          <cell r="AA726">
            <v>850000</v>
          </cell>
          <cell r="AB726">
            <v>1.1100000000000001</v>
          </cell>
          <cell r="AC726">
            <v>834955.75221238949</v>
          </cell>
          <cell r="AD726">
            <v>100194.69026548673</v>
          </cell>
          <cell r="AE726">
            <v>0.12</v>
          </cell>
          <cell r="AF726">
            <v>43839</v>
          </cell>
          <cell r="AG726" t="str">
            <v>含税到厂</v>
          </cell>
          <cell r="AK726" t="str">
            <v>agree</v>
          </cell>
          <cell r="AL726">
            <v>100000</v>
          </cell>
          <cell r="AM726">
            <v>43831</v>
          </cell>
          <cell r="AN726" t="str">
            <v>Yes</v>
          </cell>
          <cell r="AO726">
            <v>0.8</v>
          </cell>
          <cell r="AP726">
            <v>680000</v>
          </cell>
          <cell r="AQ726">
            <v>43891</v>
          </cell>
          <cell r="AR726">
            <v>43909</v>
          </cell>
          <cell r="AS726">
            <v>0</v>
          </cell>
          <cell r="AT726">
            <v>0</v>
          </cell>
          <cell r="AX726" t="str">
            <v>Yes</v>
          </cell>
          <cell r="AZ726" t="str">
            <v>Y</v>
          </cell>
          <cell r="BA726" t="str">
            <v>Yes</v>
          </cell>
        </row>
        <row r="727">
          <cell r="B727">
            <v>576</v>
          </cell>
          <cell r="C727" t="str">
            <v>C49SZX20200010DZ</v>
          </cell>
          <cell r="D727" t="str">
            <v>赛维显示</v>
          </cell>
          <cell r="E727" t="str">
            <v>YSM20R(SV)-2</v>
          </cell>
          <cell r="F727" t="str">
            <v>#04282</v>
          </cell>
          <cell r="G727" t="e">
            <v>#REF!</v>
          </cell>
          <cell r="H727" t="e">
            <v>#REF!</v>
          </cell>
          <cell r="I727" t="str">
            <v>L-&gt;R</v>
          </cell>
          <cell r="J727" t="str">
            <v>No</v>
          </cell>
          <cell r="K727">
            <v>1</v>
          </cell>
          <cell r="L727">
            <v>109774</v>
          </cell>
          <cell r="M727" t="str">
            <v>MAR 20</v>
          </cell>
          <cell r="N727">
            <v>43915</v>
          </cell>
          <cell r="O727">
            <v>11100377</v>
          </cell>
          <cell r="P727">
            <v>850000</v>
          </cell>
          <cell r="Q727">
            <v>43891</v>
          </cell>
          <cell r="R727" t="str">
            <v>Yes</v>
          </cell>
          <cell r="S727" t="str">
            <v>C49</v>
          </cell>
          <cell r="T727" t="str">
            <v>SOUTH</v>
          </cell>
          <cell r="U727" t="str">
            <v>深圳</v>
          </cell>
          <cell r="V727" t="str">
            <v>SZ 深圳</v>
          </cell>
          <cell r="W727" t="str">
            <v>DZ</v>
          </cell>
          <cell r="X727" t="str">
            <v>RMB</v>
          </cell>
          <cell r="Y727">
            <v>850000</v>
          </cell>
          <cell r="Z727">
            <v>1.1299999999999999</v>
          </cell>
          <cell r="AA727">
            <v>850000</v>
          </cell>
          <cell r="AB727">
            <v>1.1100000000000001</v>
          </cell>
          <cell r="AC727">
            <v>834955.75221238949</v>
          </cell>
          <cell r="AD727">
            <v>100194.69026548673</v>
          </cell>
          <cell r="AE727">
            <v>0.12</v>
          </cell>
          <cell r="AF727">
            <v>43839</v>
          </cell>
          <cell r="AG727" t="str">
            <v>含税到厂</v>
          </cell>
          <cell r="AK727" t="str">
            <v>agree</v>
          </cell>
          <cell r="AL727">
            <v>240000</v>
          </cell>
          <cell r="AM727">
            <v>43891</v>
          </cell>
          <cell r="AN727" t="str">
            <v>Yes</v>
          </cell>
          <cell r="AO727">
            <v>0.8</v>
          </cell>
          <cell r="AP727">
            <v>680000</v>
          </cell>
          <cell r="AQ727">
            <v>43891</v>
          </cell>
          <cell r="AR727">
            <v>43909</v>
          </cell>
          <cell r="AS727">
            <v>0</v>
          </cell>
          <cell r="AT727">
            <v>0</v>
          </cell>
          <cell r="AX727" t="str">
            <v>Yes</v>
          </cell>
          <cell r="AZ727" t="str">
            <v>Y</v>
          </cell>
          <cell r="BA727" t="str">
            <v>Yes</v>
          </cell>
        </row>
        <row r="728">
          <cell r="B728">
            <v>577</v>
          </cell>
          <cell r="C728" t="str">
            <v>C49SZX20200013SS</v>
          </cell>
          <cell r="D728" t="str">
            <v>新平泰/end user:弛瑞</v>
          </cell>
          <cell r="E728" t="str">
            <v>YSM10</v>
          </cell>
          <cell r="F728" t="str">
            <v>#04213</v>
          </cell>
          <cell r="G728" t="e">
            <v>#REF!</v>
          </cell>
          <cell r="H728" t="e">
            <v>#REF!</v>
          </cell>
          <cell r="I728" t="str">
            <v>L-&gt;R</v>
          </cell>
          <cell r="J728" t="str">
            <v>MVC</v>
          </cell>
          <cell r="K728">
            <v>1</v>
          </cell>
          <cell r="L728">
            <v>109783</v>
          </cell>
          <cell r="M728" t="str">
            <v>MAY 20</v>
          </cell>
          <cell r="N728">
            <v>43962</v>
          </cell>
          <cell r="O728">
            <v>11116384</v>
          </cell>
          <cell r="P728">
            <v>9163000</v>
          </cell>
          <cell r="Q728">
            <v>43971</v>
          </cell>
          <cell r="R728" t="str">
            <v>Yes</v>
          </cell>
          <cell r="S728" t="str">
            <v>C49</v>
          </cell>
          <cell r="T728" t="str">
            <v>SOUTH</v>
          </cell>
          <cell r="U728" t="str">
            <v>深圳</v>
          </cell>
          <cell r="V728" t="str">
            <v>SZ 深圳</v>
          </cell>
          <cell r="W728" t="str">
            <v>SS</v>
          </cell>
          <cell r="X728" t="str">
            <v>JPY</v>
          </cell>
          <cell r="Y728">
            <v>9163000</v>
          </cell>
          <cell r="Z728">
            <v>1</v>
          </cell>
          <cell r="AA728">
            <v>9163000</v>
          </cell>
          <cell r="AB728">
            <v>7.2999999999999995E-2</v>
          </cell>
          <cell r="AC728">
            <v>668899</v>
          </cell>
          <cell r="AD728">
            <v>80267.87999999999</v>
          </cell>
          <cell r="AE728">
            <v>0.12</v>
          </cell>
          <cell r="AF728">
            <v>43840</v>
          </cell>
          <cell r="AG728" t="str">
            <v>DAP SZ</v>
          </cell>
          <cell r="AK728">
            <v>0.1</v>
          </cell>
          <cell r="AL728">
            <v>916300</v>
          </cell>
          <cell r="AM728">
            <v>43831</v>
          </cell>
          <cell r="AN728" t="str">
            <v>Yes</v>
          </cell>
          <cell r="AO728">
            <v>0.9</v>
          </cell>
          <cell r="AP728">
            <v>8246700</v>
          </cell>
          <cell r="AQ728">
            <v>43971</v>
          </cell>
          <cell r="AR728">
            <v>43958</v>
          </cell>
          <cell r="AS728">
            <v>0</v>
          </cell>
          <cell r="AT728">
            <v>0</v>
          </cell>
          <cell r="AX728" t="str">
            <v>Yes</v>
          </cell>
          <cell r="AZ728" t="str">
            <v>Yes</v>
          </cell>
          <cell r="BA728" t="str">
            <v>Yes</v>
          </cell>
        </row>
        <row r="729">
          <cell r="B729">
            <v>578</v>
          </cell>
          <cell r="C729" t="str">
            <v>C49SZX20200013SS</v>
          </cell>
          <cell r="D729" t="str">
            <v>新平泰/end user:驰瑞</v>
          </cell>
          <cell r="E729" t="str">
            <v>YSM10</v>
          </cell>
          <cell r="F729" t="str">
            <v>#04213</v>
          </cell>
          <cell r="G729" t="e">
            <v>#REF!</v>
          </cell>
          <cell r="H729" t="e">
            <v>#REF!</v>
          </cell>
          <cell r="I729" t="str">
            <v>L-&gt;R</v>
          </cell>
          <cell r="J729" t="str">
            <v>MVC</v>
          </cell>
          <cell r="K729">
            <v>1</v>
          </cell>
          <cell r="L729" t="e">
            <v>#N/A</v>
          </cell>
          <cell r="M729" t="e">
            <v>#N/A</v>
          </cell>
          <cell r="N729"/>
          <cell r="O729"/>
          <cell r="P729"/>
          <cell r="Q729"/>
          <cell r="R729" t="str">
            <v>Yes</v>
          </cell>
          <cell r="S729" t="str">
            <v>C49</v>
          </cell>
          <cell r="T729" t="str">
            <v>SOUTH</v>
          </cell>
          <cell r="U729" t="str">
            <v>深圳</v>
          </cell>
          <cell r="V729" t="str">
            <v>SZ 深圳</v>
          </cell>
          <cell r="W729" t="str">
            <v>SS</v>
          </cell>
          <cell r="X729" t="str">
            <v>JPY</v>
          </cell>
          <cell r="Y729">
            <v>9163000</v>
          </cell>
          <cell r="Z729">
            <v>1</v>
          </cell>
          <cell r="AA729">
            <v>9163000</v>
          </cell>
          <cell r="AB729">
            <v>7.2999999999999995E-2</v>
          </cell>
          <cell r="AC729">
            <v>668899</v>
          </cell>
          <cell r="AD729">
            <v>80267.87999999999</v>
          </cell>
          <cell r="AE729">
            <v>0.12</v>
          </cell>
          <cell r="AF729">
            <v>43840</v>
          </cell>
          <cell r="AG729" t="str">
            <v>DAP SZ</v>
          </cell>
          <cell r="AI729"/>
          <cell r="AJ729"/>
          <cell r="AK729">
            <v>0.1</v>
          </cell>
          <cell r="AL729">
            <v>916300</v>
          </cell>
          <cell r="AM729">
            <v>43831</v>
          </cell>
          <cell r="AN729" t="str">
            <v>Yes</v>
          </cell>
          <cell r="AO729">
            <v>0.9</v>
          </cell>
          <cell r="AP729">
            <v>8246700</v>
          </cell>
          <cell r="AQ729"/>
          <cell r="AR729"/>
          <cell r="AS729">
            <v>0</v>
          </cell>
          <cell r="AT729">
            <v>0</v>
          </cell>
          <cell r="AV729"/>
          <cell r="AX729" t="str">
            <v>Cancel</v>
          </cell>
          <cell r="AY729"/>
          <cell r="AZ729"/>
          <cell r="BA729"/>
        </row>
        <row r="730">
          <cell r="B730">
            <v>579</v>
          </cell>
          <cell r="C730" t="str">
            <v>C49SZX20200015JL</v>
          </cell>
          <cell r="D730" t="str">
            <v>鹏鑫达/欧科讯</v>
          </cell>
          <cell r="E730" t="str">
            <v>YSM20R(SV)-2</v>
          </cell>
          <cell r="F730" t="str">
            <v>#04371</v>
          </cell>
          <cell r="G730" t="e">
            <v>#REF!</v>
          </cell>
          <cell r="H730" t="e">
            <v>#REF!</v>
          </cell>
          <cell r="I730" t="str">
            <v>L-&gt;R</v>
          </cell>
          <cell r="J730" t="str">
            <v>No</v>
          </cell>
          <cell r="K730">
            <v>1</v>
          </cell>
          <cell r="L730">
            <v>109750</v>
          </cell>
          <cell r="M730" t="str">
            <v>MAR 20</v>
          </cell>
          <cell r="N730">
            <v>43904</v>
          </cell>
          <cell r="O730">
            <v>11116368</v>
          </cell>
          <cell r="P730">
            <v>10400000</v>
          </cell>
          <cell r="Q730">
            <v>43891</v>
          </cell>
          <cell r="R730" t="str">
            <v>Yes</v>
          </cell>
          <cell r="S730" t="str">
            <v>C49</v>
          </cell>
          <cell r="T730" t="str">
            <v>SOUTH</v>
          </cell>
          <cell r="U730" t="str">
            <v>深圳</v>
          </cell>
          <cell r="V730" t="str">
            <v>SZ 深圳</v>
          </cell>
          <cell r="W730" t="str">
            <v>JL</v>
          </cell>
          <cell r="X730" t="str">
            <v>JPY</v>
          </cell>
          <cell r="Y730">
            <v>10400000</v>
          </cell>
          <cell r="Z730">
            <v>1</v>
          </cell>
          <cell r="AA730">
            <v>10400000</v>
          </cell>
          <cell r="AB730">
            <v>7.2999999999999995E-2</v>
          </cell>
          <cell r="AC730">
            <v>759200</v>
          </cell>
          <cell r="AD730">
            <v>91104</v>
          </cell>
          <cell r="AE730">
            <v>0.12</v>
          </cell>
          <cell r="AF730">
            <v>43844</v>
          </cell>
          <cell r="AG730" t="str">
            <v>CIF HK</v>
          </cell>
          <cell r="AK730">
            <v>0.2</v>
          </cell>
          <cell r="AL730">
            <v>2080000</v>
          </cell>
          <cell r="AM730">
            <v>43832</v>
          </cell>
          <cell r="AN730" t="str">
            <v>Yes</v>
          </cell>
          <cell r="AO730">
            <v>0.8</v>
          </cell>
          <cell r="AP730">
            <v>8320000</v>
          </cell>
          <cell r="AQ730">
            <v>43900</v>
          </cell>
          <cell r="AR730">
            <v>43900</v>
          </cell>
          <cell r="AS730">
            <v>0</v>
          </cell>
          <cell r="AT730">
            <v>0</v>
          </cell>
          <cell r="AX730" t="str">
            <v>Yes</v>
          </cell>
          <cell r="AY730" t="str">
            <v>Yes</v>
          </cell>
          <cell r="AZ730" t="str">
            <v>Y</v>
          </cell>
          <cell r="BA730" t="str">
            <v>Yes</v>
          </cell>
        </row>
        <row r="731">
          <cell r="B731">
            <v>580</v>
          </cell>
          <cell r="C731" t="str">
            <v>C49SZX20200015JL</v>
          </cell>
          <cell r="D731" t="str">
            <v>鹏鑫达/欧科讯</v>
          </cell>
          <cell r="E731" t="str">
            <v>YSM10</v>
          </cell>
          <cell r="F731" t="str">
            <v>#04371</v>
          </cell>
          <cell r="G731" t="e">
            <v>#REF!</v>
          </cell>
          <cell r="H731" t="e">
            <v>#REF!</v>
          </cell>
          <cell r="I731" t="str">
            <v>L-&gt;R</v>
          </cell>
          <cell r="J731" t="str">
            <v>No</v>
          </cell>
          <cell r="K731">
            <v>1</v>
          </cell>
          <cell r="L731">
            <v>109759</v>
          </cell>
          <cell r="M731" t="str">
            <v>MAR 20</v>
          </cell>
          <cell r="N731">
            <v>43904</v>
          </cell>
          <cell r="O731">
            <v>11116368</v>
          </cell>
          <cell r="P731">
            <v>7200000</v>
          </cell>
          <cell r="Q731">
            <v>43891</v>
          </cell>
          <cell r="R731" t="str">
            <v>Yes</v>
          </cell>
          <cell r="S731" t="str">
            <v>C49</v>
          </cell>
          <cell r="T731" t="str">
            <v>SOUTH</v>
          </cell>
          <cell r="U731" t="str">
            <v>深圳</v>
          </cell>
          <cell r="V731" t="str">
            <v>SZ 深圳</v>
          </cell>
          <cell r="W731" t="str">
            <v>JL</v>
          </cell>
          <cell r="X731" t="str">
            <v>JPY</v>
          </cell>
          <cell r="Y731">
            <v>7200000</v>
          </cell>
          <cell r="Z731">
            <v>1</v>
          </cell>
          <cell r="AA731">
            <v>7200000</v>
          </cell>
          <cell r="AB731">
            <v>7.2999999999999995E-2</v>
          </cell>
          <cell r="AC731">
            <v>525600</v>
          </cell>
          <cell r="AD731">
            <v>63072</v>
          </cell>
          <cell r="AE731">
            <v>0.12</v>
          </cell>
          <cell r="AF731">
            <v>43844</v>
          </cell>
          <cell r="AG731" t="str">
            <v>CIF HK</v>
          </cell>
          <cell r="AK731">
            <v>0.2</v>
          </cell>
          <cell r="AL731">
            <v>1440000</v>
          </cell>
          <cell r="AM731">
            <v>43833</v>
          </cell>
          <cell r="AN731" t="str">
            <v>Yes</v>
          </cell>
          <cell r="AO731">
            <v>0.8</v>
          </cell>
          <cell r="AP731">
            <v>5760000</v>
          </cell>
          <cell r="AQ731">
            <v>43901</v>
          </cell>
          <cell r="AR731">
            <v>43900</v>
          </cell>
          <cell r="AS731">
            <v>0</v>
          </cell>
          <cell r="AT731">
            <v>0</v>
          </cell>
          <cell r="AX731" t="str">
            <v>Yes</v>
          </cell>
          <cell r="AY731" t="str">
            <v>Yes</v>
          </cell>
          <cell r="AZ731" t="str">
            <v>Y</v>
          </cell>
          <cell r="BA731" t="str">
            <v>Yes</v>
          </cell>
        </row>
        <row r="732">
          <cell r="B732">
            <v>581</v>
          </cell>
          <cell r="C732" t="str">
            <v>C49SZX20200016SX</v>
          </cell>
          <cell r="D732" t="str">
            <v>赛美达</v>
          </cell>
          <cell r="E732" t="str">
            <v>YSM10</v>
          </cell>
          <cell r="F732" t="str">
            <v>#78325</v>
          </cell>
          <cell r="G732" t="e">
            <v>#REF!</v>
          </cell>
          <cell r="H732" t="e">
            <v>#REF!</v>
          </cell>
          <cell r="I732" t="str">
            <v>L-&gt;R</v>
          </cell>
          <cell r="J732" t="str">
            <v>No</v>
          </cell>
          <cell r="K732">
            <v>1</v>
          </cell>
          <cell r="L732">
            <v>109762</v>
          </cell>
          <cell r="M732" t="str">
            <v>MAR 20</v>
          </cell>
          <cell r="N732">
            <v>43903</v>
          </cell>
          <cell r="O732">
            <v>11116367</v>
          </cell>
          <cell r="P732">
            <v>8367850</v>
          </cell>
          <cell r="Q732">
            <v>43891</v>
          </cell>
          <cell r="R732" t="str">
            <v>Yes</v>
          </cell>
          <cell r="S732" t="str">
            <v>C49</v>
          </cell>
          <cell r="T732" t="str">
            <v>SOUTH</v>
          </cell>
          <cell r="U732" t="str">
            <v>深圳</v>
          </cell>
          <cell r="V732" t="str">
            <v>SZ 深圳</v>
          </cell>
          <cell r="W732" t="str">
            <v>SX</v>
          </cell>
          <cell r="X732" t="str">
            <v>JPY</v>
          </cell>
          <cell r="Y732">
            <v>8367850</v>
          </cell>
          <cell r="Z732">
            <v>1</v>
          </cell>
          <cell r="AA732">
            <v>8367850</v>
          </cell>
          <cell r="AB732">
            <v>7.2999999999999995E-2</v>
          </cell>
          <cell r="AC732">
            <v>610853.04999999993</v>
          </cell>
          <cell r="AD732">
            <v>73302.365999999995</v>
          </cell>
          <cell r="AE732">
            <v>0.12</v>
          </cell>
          <cell r="AF732">
            <v>43845</v>
          </cell>
          <cell r="AG732" t="str">
            <v>DAP SZ</v>
          </cell>
          <cell r="AK732">
            <v>0.2</v>
          </cell>
          <cell r="AL732">
            <v>1673570</v>
          </cell>
          <cell r="AM732">
            <v>43831</v>
          </cell>
          <cell r="AN732" t="str">
            <v>Yes</v>
          </cell>
          <cell r="AO732">
            <v>0.8</v>
          </cell>
          <cell r="AP732">
            <v>6694280</v>
          </cell>
          <cell r="AQ732">
            <v>43891</v>
          </cell>
          <cell r="AR732">
            <v>43901</v>
          </cell>
          <cell r="AS732">
            <v>0</v>
          </cell>
          <cell r="AT732">
            <v>0</v>
          </cell>
          <cell r="AX732" t="str">
            <v>Yes</v>
          </cell>
          <cell r="AZ732" t="str">
            <v>Y</v>
          </cell>
          <cell r="BA732" t="str">
            <v>Yes</v>
          </cell>
        </row>
        <row r="733">
          <cell r="B733">
            <v>582</v>
          </cell>
          <cell r="C733" t="str">
            <v>C49SZX20200016SX</v>
          </cell>
          <cell r="D733" t="str">
            <v>赛美达</v>
          </cell>
          <cell r="E733" t="str">
            <v>YSM10</v>
          </cell>
          <cell r="F733" t="str">
            <v>#78325</v>
          </cell>
          <cell r="G733" t="e">
            <v>#REF!</v>
          </cell>
          <cell r="H733" t="e">
            <v>#REF!</v>
          </cell>
          <cell r="I733" t="str">
            <v>R-&gt;L</v>
          </cell>
          <cell r="J733" t="str">
            <v>No</v>
          </cell>
          <cell r="K733">
            <v>1</v>
          </cell>
          <cell r="L733">
            <v>109774</v>
          </cell>
          <cell r="M733" t="str">
            <v>MAR 20</v>
          </cell>
          <cell r="N733">
            <v>43903</v>
          </cell>
          <cell r="O733">
            <v>11116367</v>
          </cell>
          <cell r="P733">
            <v>8367850</v>
          </cell>
          <cell r="Q733">
            <v>43891</v>
          </cell>
          <cell r="R733" t="str">
            <v>Yes</v>
          </cell>
          <cell r="S733" t="str">
            <v>C49</v>
          </cell>
          <cell r="T733" t="str">
            <v>SOUTH</v>
          </cell>
          <cell r="U733" t="str">
            <v>深圳</v>
          </cell>
          <cell r="V733" t="str">
            <v>SZ 深圳</v>
          </cell>
          <cell r="W733" t="str">
            <v>SX</v>
          </cell>
          <cell r="X733" t="str">
            <v>JPY</v>
          </cell>
          <cell r="Y733">
            <v>8367850</v>
          </cell>
          <cell r="Z733">
            <v>1</v>
          </cell>
          <cell r="AA733">
            <v>8367850</v>
          </cell>
          <cell r="AB733">
            <v>7.2999999999999995E-2</v>
          </cell>
          <cell r="AC733">
            <v>610853.04999999993</v>
          </cell>
          <cell r="AD733">
            <v>73302.365999999995</v>
          </cell>
          <cell r="AE733">
            <v>0.12</v>
          </cell>
          <cell r="AF733">
            <v>43845</v>
          </cell>
          <cell r="AG733" t="str">
            <v>DAP SZ</v>
          </cell>
          <cell r="AK733">
            <v>0.2</v>
          </cell>
          <cell r="AL733">
            <v>1673570</v>
          </cell>
          <cell r="AM733">
            <v>43831</v>
          </cell>
          <cell r="AN733" t="str">
            <v>Yes</v>
          </cell>
          <cell r="AO733">
            <v>0.8</v>
          </cell>
          <cell r="AP733">
            <v>6694280</v>
          </cell>
          <cell r="AQ733">
            <v>43891</v>
          </cell>
          <cell r="AR733">
            <v>43901</v>
          </cell>
          <cell r="AS733">
            <v>0</v>
          </cell>
          <cell r="AT733">
            <v>0</v>
          </cell>
          <cell r="AX733" t="str">
            <v>Yes</v>
          </cell>
          <cell r="AZ733" t="str">
            <v>Y</v>
          </cell>
          <cell r="BA733" t="str">
            <v>Yes</v>
          </cell>
        </row>
        <row r="734">
          <cell r="B734">
            <v>583</v>
          </cell>
          <cell r="C734" t="str">
            <v>C49SZX20200017CX</v>
          </cell>
          <cell r="D734" t="str">
            <v>乐凡电子</v>
          </cell>
          <cell r="E734" t="str">
            <v>YSM10</v>
          </cell>
          <cell r="F734" t="str">
            <v>#04319</v>
          </cell>
          <cell r="G734" t="e">
            <v>#REF!</v>
          </cell>
          <cell r="H734" t="e">
            <v>#REF!</v>
          </cell>
          <cell r="I734" t="str">
            <v>L-&gt;R</v>
          </cell>
          <cell r="J734" t="str">
            <v>MVC</v>
          </cell>
          <cell r="K734">
            <v>1</v>
          </cell>
          <cell r="L734" t="str">
            <v>49F103362</v>
          </cell>
          <cell r="M734" t="str">
            <v>APR 20</v>
          </cell>
          <cell r="N734">
            <v>43945</v>
          </cell>
          <cell r="O734">
            <v>11116381</v>
          </cell>
          <cell r="P734">
            <v>9100000</v>
          </cell>
          <cell r="Q734">
            <v>43922</v>
          </cell>
          <cell r="R734" t="str">
            <v>Yes</v>
          </cell>
          <cell r="S734" t="str">
            <v>C49</v>
          </cell>
          <cell r="T734" t="str">
            <v>SOUTH</v>
          </cell>
          <cell r="U734" t="str">
            <v>深圳</v>
          </cell>
          <cell r="V734" t="str">
            <v>SZ 深圳</v>
          </cell>
          <cell r="W734" t="str">
            <v>CX</v>
          </cell>
          <cell r="X734" t="str">
            <v>JPY</v>
          </cell>
          <cell r="Y734">
            <v>9100000</v>
          </cell>
          <cell r="Z734">
            <v>1</v>
          </cell>
          <cell r="AA734">
            <v>9100000</v>
          </cell>
          <cell r="AB734">
            <v>7.2999999999999995E-2</v>
          </cell>
          <cell r="AC734">
            <v>664300</v>
          </cell>
          <cell r="AD734">
            <v>79716</v>
          </cell>
          <cell r="AE734">
            <v>0.12</v>
          </cell>
          <cell r="AF734">
            <v>43846</v>
          </cell>
          <cell r="AG734" t="str">
            <v>DAP SZ</v>
          </cell>
          <cell r="AK734">
            <v>0.1</v>
          </cell>
          <cell r="AL734">
            <v>910000</v>
          </cell>
          <cell r="AM734">
            <v>43831</v>
          </cell>
          <cell r="AN734" t="str">
            <v>Yes</v>
          </cell>
          <cell r="AO734">
            <v>0.9</v>
          </cell>
          <cell r="AP734">
            <v>8190000</v>
          </cell>
          <cell r="AQ734">
            <v>43922</v>
          </cell>
          <cell r="AR734">
            <v>43944</v>
          </cell>
          <cell r="AS734">
            <v>0</v>
          </cell>
          <cell r="AT734">
            <v>0</v>
          </cell>
          <cell r="AX734" t="str">
            <v>Yes</v>
          </cell>
          <cell r="AZ734" t="str">
            <v>Y</v>
          </cell>
          <cell r="BA734" t="str">
            <v>Yes</v>
          </cell>
        </row>
        <row r="735">
          <cell r="B735">
            <v>584</v>
          </cell>
          <cell r="C735" t="str">
            <v>C49SZX20200017CX</v>
          </cell>
          <cell r="D735" t="str">
            <v>乐凡电子</v>
          </cell>
          <cell r="E735" t="str">
            <v>YSM10</v>
          </cell>
          <cell r="F735" t="str">
            <v>#04319</v>
          </cell>
          <cell r="G735" t="e">
            <v>#REF!</v>
          </cell>
          <cell r="H735" t="e">
            <v>#REF!</v>
          </cell>
          <cell r="I735" t="str">
            <v>L-&gt;R</v>
          </cell>
          <cell r="J735" t="str">
            <v>MVC</v>
          </cell>
          <cell r="K735">
            <v>1</v>
          </cell>
          <cell r="L735" t="str">
            <v>49F103362</v>
          </cell>
          <cell r="M735" t="str">
            <v>APR 20</v>
          </cell>
          <cell r="N735">
            <v>43945</v>
          </cell>
          <cell r="O735">
            <v>11116381</v>
          </cell>
          <cell r="P735">
            <v>9100000</v>
          </cell>
          <cell r="Q735">
            <v>43922</v>
          </cell>
          <cell r="R735" t="str">
            <v>Yes</v>
          </cell>
          <cell r="S735" t="str">
            <v>C49</v>
          </cell>
          <cell r="T735" t="str">
            <v>SOUTH</v>
          </cell>
          <cell r="U735" t="str">
            <v>深圳</v>
          </cell>
          <cell r="V735" t="str">
            <v>SZ 深圳</v>
          </cell>
          <cell r="W735" t="str">
            <v>CX</v>
          </cell>
          <cell r="X735" t="str">
            <v>JPY</v>
          </cell>
          <cell r="Y735">
            <v>9100000</v>
          </cell>
          <cell r="Z735">
            <v>1</v>
          </cell>
          <cell r="AA735">
            <v>9100000</v>
          </cell>
          <cell r="AB735">
            <v>7.2999999999999995E-2</v>
          </cell>
          <cell r="AC735">
            <v>664300</v>
          </cell>
          <cell r="AD735">
            <v>79716</v>
          </cell>
          <cell r="AE735">
            <v>0.12</v>
          </cell>
          <cell r="AF735">
            <v>43846</v>
          </cell>
          <cell r="AG735" t="str">
            <v>DAP SZ</v>
          </cell>
          <cell r="AK735">
            <v>0.1</v>
          </cell>
          <cell r="AL735">
            <v>910000</v>
          </cell>
          <cell r="AM735">
            <v>43831</v>
          </cell>
          <cell r="AN735" t="str">
            <v>Yes</v>
          </cell>
          <cell r="AO735">
            <v>0.9</v>
          </cell>
          <cell r="AP735">
            <v>8190000</v>
          </cell>
          <cell r="AQ735">
            <v>43922</v>
          </cell>
          <cell r="AR735">
            <v>43944</v>
          </cell>
          <cell r="AS735">
            <v>0</v>
          </cell>
          <cell r="AT735">
            <v>0</v>
          </cell>
          <cell r="AX735" t="str">
            <v>Yes</v>
          </cell>
          <cell r="AZ735" t="str">
            <v>Y</v>
          </cell>
          <cell r="BA735" t="str">
            <v>Yes</v>
          </cell>
        </row>
        <row r="736">
          <cell r="B736">
            <v>585</v>
          </cell>
          <cell r="C736" t="str">
            <v>C49SZX20200018SX</v>
          </cell>
          <cell r="D736" t="str">
            <v>福瑞康</v>
          </cell>
          <cell r="E736" t="str">
            <v>YSM20R(SV)-2</v>
          </cell>
          <cell r="F736" t="str">
            <v>#04293</v>
          </cell>
          <cell r="G736" t="e">
            <v>#REF!</v>
          </cell>
          <cell r="H736" t="e">
            <v>#REF!</v>
          </cell>
          <cell r="I736" t="str">
            <v>R-&gt;L</v>
          </cell>
          <cell r="J736" t="str">
            <v>MVC</v>
          </cell>
          <cell r="K736">
            <v>1</v>
          </cell>
          <cell r="L736">
            <v>109730</v>
          </cell>
          <cell r="M736" t="str">
            <v>FEB 20</v>
          </cell>
          <cell r="N736">
            <v>43893</v>
          </cell>
          <cell r="O736">
            <v>11116358</v>
          </cell>
          <cell r="P736">
            <v>15884750</v>
          </cell>
          <cell r="Q736">
            <v>43862</v>
          </cell>
          <cell r="R736" t="str">
            <v>No</v>
          </cell>
          <cell r="S736" t="str">
            <v>C49</v>
          </cell>
          <cell r="T736" t="str">
            <v>SOUTH</v>
          </cell>
          <cell r="U736" t="str">
            <v>東莞</v>
          </cell>
          <cell r="V736" t="str">
            <v>SZ 深圳</v>
          </cell>
          <cell r="W736" t="str">
            <v>SX</v>
          </cell>
          <cell r="X736" t="str">
            <v>JPY</v>
          </cell>
          <cell r="Y736">
            <v>15884750</v>
          </cell>
          <cell r="Z736">
            <v>1</v>
          </cell>
          <cell r="AA736">
            <v>15884750</v>
          </cell>
          <cell r="AB736">
            <v>7.2700000000000001E-2</v>
          </cell>
          <cell r="AC736">
            <v>1154821.325</v>
          </cell>
          <cell r="AD736">
            <v>138578.55899999998</v>
          </cell>
          <cell r="AE736">
            <v>0.12</v>
          </cell>
          <cell r="AF736">
            <v>43880</v>
          </cell>
          <cell r="AG736" t="str">
            <v>DAP DG</v>
          </cell>
          <cell r="AK736">
            <v>0.2</v>
          </cell>
          <cell r="AL736">
            <v>3176950</v>
          </cell>
          <cell r="AM736">
            <v>43885</v>
          </cell>
          <cell r="AN736" t="str">
            <v>Yes</v>
          </cell>
          <cell r="AO736">
            <v>0.8</v>
          </cell>
          <cell r="AP736">
            <v>12707800</v>
          </cell>
          <cell r="AQ736">
            <v>43862</v>
          </cell>
          <cell r="AR736">
            <v>43889</v>
          </cell>
          <cell r="AS736">
            <v>0</v>
          </cell>
          <cell r="AT736">
            <v>0</v>
          </cell>
          <cell r="AX736" t="str">
            <v>Yes</v>
          </cell>
          <cell r="AZ736" t="str">
            <v>Yes</v>
          </cell>
          <cell r="BA736" t="str">
            <v>Yes</v>
          </cell>
        </row>
        <row r="737">
          <cell r="B737">
            <v>586</v>
          </cell>
          <cell r="C737" t="str">
            <v>C49SZX20200021SS</v>
          </cell>
          <cell r="D737" t="str">
            <v>格瑞智达/END USER 智宏创</v>
          </cell>
          <cell r="E737" t="str">
            <v>YSM20R(SV)-2</v>
          </cell>
          <cell r="F737" t="str">
            <v>#03534</v>
          </cell>
          <cell r="G737" t="e">
            <v>#REF!</v>
          </cell>
          <cell r="H737" t="e">
            <v>#REF!</v>
          </cell>
          <cell r="I737" t="str">
            <v>L-&gt;R</v>
          </cell>
          <cell r="J737" t="str">
            <v>No</v>
          </cell>
          <cell r="K737">
            <v>1</v>
          </cell>
          <cell r="L737">
            <v>109750</v>
          </cell>
          <cell r="M737" t="str">
            <v>MAR 20</v>
          </cell>
          <cell r="N737">
            <v>43894</v>
          </cell>
          <cell r="O737">
            <v>11116362</v>
          </cell>
          <cell r="P737">
            <v>10800000</v>
          </cell>
          <cell r="Q737">
            <v>43891</v>
          </cell>
          <cell r="R737" t="str">
            <v>No</v>
          </cell>
          <cell r="S737" t="str">
            <v>C49</v>
          </cell>
          <cell r="T737" t="str">
            <v>SOUTH</v>
          </cell>
          <cell r="U737" t="str">
            <v>深圳</v>
          </cell>
          <cell r="V737" t="str">
            <v>SZ 深圳</v>
          </cell>
          <cell r="W737" t="str">
            <v>SS</v>
          </cell>
          <cell r="X737" t="str">
            <v>JPY</v>
          </cell>
          <cell r="Y737">
            <v>10800000</v>
          </cell>
          <cell r="Z737">
            <v>1</v>
          </cell>
          <cell r="AA737">
            <v>10800000</v>
          </cell>
          <cell r="AB737">
            <v>7.2700000000000001E-2</v>
          </cell>
          <cell r="AC737">
            <v>785160</v>
          </cell>
          <cell r="AD737">
            <v>94219.199999999997</v>
          </cell>
          <cell r="AE737">
            <v>0.12</v>
          </cell>
          <cell r="AF737">
            <v>43892</v>
          </cell>
          <cell r="AG737" t="str">
            <v>DAP SZ</v>
          </cell>
          <cell r="AK737">
            <v>1</v>
          </cell>
          <cell r="AL737">
            <v>10800000</v>
          </cell>
          <cell r="AM737">
            <v>43892</v>
          </cell>
          <cell r="AN737" t="str">
            <v>Yes</v>
          </cell>
          <cell r="AO737">
            <v>0</v>
          </cell>
          <cell r="AP737">
            <v>0</v>
          </cell>
          <cell r="AS737">
            <v>0</v>
          </cell>
          <cell r="AT737">
            <v>0</v>
          </cell>
          <cell r="AX737" t="str">
            <v>Yes</v>
          </cell>
          <cell r="AZ737" t="str">
            <v>Y</v>
          </cell>
          <cell r="BA737" t="str">
            <v>Yes</v>
          </cell>
        </row>
        <row r="738">
          <cell r="B738">
            <v>587</v>
          </cell>
          <cell r="C738" t="str">
            <v>C49SZX20200020SS</v>
          </cell>
          <cell r="D738" t="str">
            <v>正创</v>
          </cell>
          <cell r="E738" t="str">
            <v>YSM10</v>
          </cell>
          <cell r="F738" t="str">
            <v>#03946</v>
          </cell>
          <cell r="G738" t="e">
            <v>#REF!</v>
          </cell>
          <cell r="H738" t="e">
            <v>#REF!</v>
          </cell>
          <cell r="I738" t="str">
            <v>L-&gt;R</v>
          </cell>
          <cell r="J738" t="str">
            <v>MVC</v>
          </cell>
          <cell r="K738">
            <v>1</v>
          </cell>
          <cell r="L738">
            <v>109762</v>
          </cell>
          <cell r="M738" t="str">
            <v>MAR 20</v>
          </cell>
          <cell r="N738">
            <v>43896</v>
          </cell>
          <cell r="O738">
            <v>11116361</v>
          </cell>
          <cell r="P738">
            <v>7400000</v>
          </cell>
          <cell r="Q738">
            <v>43891</v>
          </cell>
          <cell r="R738" t="str">
            <v>No</v>
          </cell>
          <cell r="S738" t="str">
            <v>C49</v>
          </cell>
          <cell r="T738" t="str">
            <v>SOUTH</v>
          </cell>
          <cell r="U738" t="str">
            <v>深圳</v>
          </cell>
          <cell r="V738" t="str">
            <v>SZ 深圳</v>
          </cell>
          <cell r="W738" t="str">
            <v>SS</v>
          </cell>
          <cell r="X738" t="str">
            <v>JPY</v>
          </cell>
          <cell r="Y738">
            <v>7400000</v>
          </cell>
          <cell r="Z738">
            <v>1</v>
          </cell>
          <cell r="AA738">
            <v>7400000</v>
          </cell>
          <cell r="AB738">
            <v>7.2999999999999995E-2</v>
          </cell>
          <cell r="AC738">
            <v>540200</v>
          </cell>
          <cell r="AD738">
            <v>64824</v>
          </cell>
          <cell r="AE738">
            <v>0.12</v>
          </cell>
          <cell r="AF738">
            <v>43896</v>
          </cell>
          <cell r="AG738" t="str">
            <v>DAP SZ</v>
          </cell>
          <cell r="AK738">
            <v>1</v>
          </cell>
          <cell r="AL738">
            <v>7400000</v>
          </cell>
          <cell r="AM738">
            <v>43892</v>
          </cell>
          <cell r="AN738" t="str">
            <v>Yes</v>
          </cell>
          <cell r="AO738">
            <v>0</v>
          </cell>
          <cell r="AP738">
            <v>0</v>
          </cell>
          <cell r="AS738">
            <v>0</v>
          </cell>
          <cell r="AT738">
            <v>0</v>
          </cell>
          <cell r="AX738" t="str">
            <v>Yes</v>
          </cell>
          <cell r="AZ738" t="str">
            <v>Y</v>
          </cell>
          <cell r="BA738" t="str">
            <v>Yes</v>
          </cell>
        </row>
        <row r="739">
          <cell r="B739">
            <v>588</v>
          </cell>
          <cell r="C739" t="str">
            <v>C49SZX20200022SX</v>
          </cell>
          <cell r="D739" t="str">
            <v>柏星</v>
          </cell>
          <cell r="E739" t="str">
            <v>YSM10</v>
          </cell>
          <cell r="F739" t="str">
            <v>#03362</v>
          </cell>
          <cell r="G739" t="e">
            <v>#REF!</v>
          </cell>
          <cell r="H739" t="e">
            <v>#REF!</v>
          </cell>
          <cell r="I739" t="str">
            <v>L-&gt;R</v>
          </cell>
          <cell r="J739" t="str">
            <v>MVC</v>
          </cell>
          <cell r="K739">
            <v>1</v>
          </cell>
          <cell r="L739">
            <v>109723</v>
          </cell>
          <cell r="M739" t="str">
            <v>MAR 20</v>
          </cell>
          <cell r="N739">
            <v>43901</v>
          </cell>
          <cell r="O739">
            <v>11100374</v>
          </cell>
          <cell r="P739">
            <v>680000</v>
          </cell>
          <cell r="Q739">
            <v>43891</v>
          </cell>
          <cell r="R739" t="str">
            <v>No</v>
          </cell>
          <cell r="S739" t="str">
            <v>C49</v>
          </cell>
          <cell r="T739" t="str">
            <v>SOUTH</v>
          </cell>
          <cell r="U739" t="str">
            <v>東莞</v>
          </cell>
          <cell r="V739" t="str">
            <v>SZ 深圳</v>
          </cell>
          <cell r="W739" t="str">
            <v>SX</v>
          </cell>
          <cell r="X739" t="str">
            <v>RMB</v>
          </cell>
          <cell r="Y739">
            <v>680000</v>
          </cell>
          <cell r="Z739">
            <v>1.1299999999999999</v>
          </cell>
          <cell r="AA739">
            <v>680000</v>
          </cell>
          <cell r="AB739">
            <v>1.1100000000000001</v>
          </cell>
          <cell r="AC739">
            <v>667964.60176991171</v>
          </cell>
          <cell r="AD739">
            <v>80155.752212389401</v>
          </cell>
          <cell r="AE739">
            <v>0.12</v>
          </cell>
          <cell r="AF739">
            <v>43901</v>
          </cell>
          <cell r="AG739" t="str">
            <v>含税到厂</v>
          </cell>
          <cell r="AK739">
            <v>0.2</v>
          </cell>
          <cell r="AL739">
            <v>136000</v>
          </cell>
          <cell r="AM739">
            <v>43892</v>
          </cell>
          <cell r="AN739" t="str">
            <v>Yes</v>
          </cell>
          <cell r="AO739">
            <v>0.8</v>
          </cell>
          <cell r="AP739">
            <v>544000</v>
          </cell>
          <cell r="AQ739">
            <v>43910</v>
          </cell>
          <cell r="AR739">
            <v>43915</v>
          </cell>
          <cell r="AS739">
            <v>0</v>
          </cell>
          <cell r="AT739">
            <v>0</v>
          </cell>
          <cell r="AX739" t="str">
            <v>Yes</v>
          </cell>
          <cell r="AZ739" t="str">
            <v>Y</v>
          </cell>
          <cell r="BA739" t="str">
            <v>Yes</v>
          </cell>
        </row>
        <row r="740">
          <cell r="B740">
            <v>589</v>
          </cell>
          <cell r="C740" t="str">
            <v>C49SZX20200023SX</v>
          </cell>
          <cell r="D740" t="str">
            <v>奕东</v>
          </cell>
          <cell r="E740" t="str">
            <v>YSM10</v>
          </cell>
          <cell r="F740" t="str">
            <v>#04403</v>
          </cell>
          <cell r="G740" t="e">
            <v>#REF!</v>
          </cell>
          <cell r="H740" t="e">
            <v>#REF!</v>
          </cell>
          <cell r="I740" t="str">
            <v>R-&gt;L</v>
          </cell>
          <cell r="J740" t="str">
            <v>No</v>
          </cell>
          <cell r="K740">
            <v>1</v>
          </cell>
          <cell r="L740">
            <v>109815</v>
          </cell>
          <cell r="M740" t="str">
            <v>APR 20</v>
          </cell>
          <cell r="N740">
            <v>43923</v>
          </cell>
          <cell r="O740">
            <v>11116371</v>
          </cell>
          <cell r="P740">
            <v>7367500</v>
          </cell>
          <cell r="Q740">
            <v>43922</v>
          </cell>
          <cell r="R740" t="str">
            <v>No</v>
          </cell>
          <cell r="S740" t="str">
            <v>C49</v>
          </cell>
          <cell r="T740" t="str">
            <v>SOUTH</v>
          </cell>
          <cell r="U740" t="str">
            <v>東莞</v>
          </cell>
          <cell r="V740" t="str">
            <v>SZ 深圳</v>
          </cell>
          <cell r="W740" t="str">
            <v>SX</v>
          </cell>
          <cell r="X740" t="str">
            <v>JPY</v>
          </cell>
          <cell r="Y740">
            <v>7367500</v>
          </cell>
          <cell r="Z740">
            <v>1</v>
          </cell>
          <cell r="AA740">
            <v>7367500</v>
          </cell>
          <cell r="AB740">
            <v>7.2999999999999995E-2</v>
          </cell>
          <cell r="AC740">
            <v>537827.5</v>
          </cell>
          <cell r="AD740">
            <v>64539.299999999996</v>
          </cell>
          <cell r="AE740">
            <v>0.12</v>
          </cell>
          <cell r="AF740">
            <v>43924</v>
          </cell>
          <cell r="AG740" t="str">
            <v>DAP DG</v>
          </cell>
          <cell r="AK740">
            <v>0.2</v>
          </cell>
          <cell r="AL740">
            <v>1473500</v>
          </cell>
          <cell r="AM740">
            <v>43891</v>
          </cell>
          <cell r="AN740" t="str">
            <v>Yes</v>
          </cell>
          <cell r="AO740">
            <v>0.8</v>
          </cell>
          <cell r="AP740">
            <v>5894000</v>
          </cell>
          <cell r="AQ740">
            <v>43891</v>
          </cell>
          <cell r="AR740">
            <v>43915</v>
          </cell>
          <cell r="AS740">
            <v>0</v>
          </cell>
          <cell r="AT740">
            <v>0</v>
          </cell>
          <cell r="AX740" t="str">
            <v>Yes</v>
          </cell>
          <cell r="AZ740" t="str">
            <v xml:space="preserve">Y </v>
          </cell>
          <cell r="BA740" t="str">
            <v>Yes</v>
          </cell>
        </row>
        <row r="741">
          <cell r="B741">
            <v>590</v>
          </cell>
          <cell r="C741" t="str">
            <v>C49SZX20200023SX</v>
          </cell>
          <cell r="D741" t="str">
            <v>奕东</v>
          </cell>
          <cell r="E741" t="str">
            <v>YSM10</v>
          </cell>
          <cell r="F741" t="str">
            <v>#04403</v>
          </cell>
          <cell r="G741" t="e">
            <v>#REF!</v>
          </cell>
          <cell r="H741" t="e">
            <v>#REF!</v>
          </cell>
          <cell r="I741" t="str">
            <v>R-&gt;L</v>
          </cell>
          <cell r="J741" t="str">
            <v>No</v>
          </cell>
          <cell r="K741">
            <v>1</v>
          </cell>
          <cell r="L741">
            <v>109815</v>
          </cell>
          <cell r="M741" t="str">
            <v>APR 20</v>
          </cell>
          <cell r="N741">
            <v>43923</v>
          </cell>
          <cell r="O741">
            <v>11116371</v>
          </cell>
          <cell r="P741">
            <v>7367500</v>
          </cell>
          <cell r="Q741">
            <v>43922</v>
          </cell>
          <cell r="R741" t="str">
            <v>No</v>
          </cell>
          <cell r="S741" t="str">
            <v>C49</v>
          </cell>
          <cell r="T741" t="str">
            <v>SOUTH</v>
          </cell>
          <cell r="U741" t="str">
            <v>東莞</v>
          </cell>
          <cell r="V741" t="str">
            <v>SZ 深圳</v>
          </cell>
          <cell r="W741" t="str">
            <v>SX</v>
          </cell>
          <cell r="X741" t="str">
            <v>JPY</v>
          </cell>
          <cell r="Y741">
            <v>7367500</v>
          </cell>
          <cell r="Z741">
            <v>1</v>
          </cell>
          <cell r="AA741">
            <v>7367500</v>
          </cell>
          <cell r="AB741">
            <v>7.2999999999999995E-2</v>
          </cell>
          <cell r="AC741">
            <v>537827.5</v>
          </cell>
          <cell r="AD741">
            <v>64539.299999999996</v>
          </cell>
          <cell r="AE741">
            <v>0.12</v>
          </cell>
          <cell r="AF741">
            <v>43924</v>
          </cell>
          <cell r="AG741" t="str">
            <v>DAP DG</v>
          </cell>
          <cell r="AK741">
            <v>0.2</v>
          </cell>
          <cell r="AL741">
            <v>1473500</v>
          </cell>
          <cell r="AM741">
            <v>43891</v>
          </cell>
          <cell r="AN741" t="str">
            <v>Yes</v>
          </cell>
          <cell r="AO741">
            <v>0.8</v>
          </cell>
          <cell r="AP741">
            <v>5894000</v>
          </cell>
          <cell r="AQ741">
            <v>43891</v>
          </cell>
          <cell r="AR741">
            <v>43915</v>
          </cell>
          <cell r="AS741">
            <v>0</v>
          </cell>
          <cell r="AT741">
            <v>0</v>
          </cell>
          <cell r="AX741" t="str">
            <v>Yes</v>
          </cell>
          <cell r="AZ741" t="str">
            <v xml:space="preserve">Y </v>
          </cell>
          <cell r="BA741" t="str">
            <v>Yes</v>
          </cell>
        </row>
        <row r="742">
          <cell r="B742">
            <v>591</v>
          </cell>
          <cell r="C742" t="str">
            <v>C49SZX20200023SX</v>
          </cell>
          <cell r="D742" t="str">
            <v>奕东</v>
          </cell>
          <cell r="E742" t="str">
            <v>YSM10</v>
          </cell>
          <cell r="F742" t="str">
            <v>#04403</v>
          </cell>
          <cell r="G742" t="e">
            <v>#REF!</v>
          </cell>
          <cell r="H742" t="e">
            <v>#REF!</v>
          </cell>
          <cell r="I742" t="str">
            <v>R-&gt;L</v>
          </cell>
          <cell r="J742" t="str">
            <v>No</v>
          </cell>
          <cell r="K742">
            <v>1</v>
          </cell>
          <cell r="L742">
            <v>109815</v>
          </cell>
          <cell r="M742" t="str">
            <v>APR 20</v>
          </cell>
          <cell r="N742">
            <v>43923</v>
          </cell>
          <cell r="O742">
            <v>11116371</v>
          </cell>
          <cell r="P742">
            <v>7367500</v>
          </cell>
          <cell r="Q742">
            <v>43922</v>
          </cell>
          <cell r="R742" t="str">
            <v>No</v>
          </cell>
          <cell r="S742" t="str">
            <v>C49</v>
          </cell>
          <cell r="T742" t="str">
            <v>SOUTH</v>
          </cell>
          <cell r="U742" t="str">
            <v>東莞</v>
          </cell>
          <cell r="V742" t="str">
            <v>SZ 深圳</v>
          </cell>
          <cell r="W742" t="str">
            <v>SX</v>
          </cell>
          <cell r="X742" t="str">
            <v>JPY</v>
          </cell>
          <cell r="Y742">
            <v>7367500</v>
          </cell>
          <cell r="Z742">
            <v>1</v>
          </cell>
          <cell r="AA742">
            <v>7367500</v>
          </cell>
          <cell r="AB742">
            <v>7.2999999999999995E-2</v>
          </cell>
          <cell r="AC742">
            <v>537827.5</v>
          </cell>
          <cell r="AD742">
            <v>64539.299999999996</v>
          </cell>
          <cell r="AE742">
            <v>0.12</v>
          </cell>
          <cell r="AF742">
            <v>43924</v>
          </cell>
          <cell r="AG742" t="str">
            <v>DAP DG</v>
          </cell>
          <cell r="AK742">
            <v>0.2</v>
          </cell>
          <cell r="AL742">
            <v>1473500</v>
          </cell>
          <cell r="AM742">
            <v>43891</v>
          </cell>
          <cell r="AN742" t="str">
            <v>Yes</v>
          </cell>
          <cell r="AO742">
            <v>0.8</v>
          </cell>
          <cell r="AP742">
            <v>5894000</v>
          </cell>
          <cell r="AQ742">
            <v>43891</v>
          </cell>
          <cell r="AR742">
            <v>43915</v>
          </cell>
          <cell r="AS742">
            <v>0</v>
          </cell>
          <cell r="AT742">
            <v>0</v>
          </cell>
          <cell r="AX742" t="str">
            <v>Yes</v>
          </cell>
          <cell r="AZ742" t="str">
            <v xml:space="preserve">Y </v>
          </cell>
          <cell r="BA742" t="str">
            <v>Yes</v>
          </cell>
        </row>
        <row r="743">
          <cell r="B743">
            <v>592</v>
          </cell>
          <cell r="C743" t="str">
            <v>C49SZX20200023SX</v>
          </cell>
          <cell r="D743" t="str">
            <v>奕东</v>
          </cell>
          <cell r="E743" t="str">
            <v>YSM10</v>
          </cell>
          <cell r="F743" t="str">
            <v>#04403</v>
          </cell>
          <cell r="G743" t="e">
            <v>#REF!</v>
          </cell>
          <cell r="H743" t="e">
            <v>#REF!</v>
          </cell>
          <cell r="I743" t="str">
            <v>R-&gt;L</v>
          </cell>
          <cell r="J743" t="str">
            <v>No</v>
          </cell>
          <cell r="K743">
            <v>1</v>
          </cell>
          <cell r="L743">
            <v>109815</v>
          </cell>
          <cell r="M743" t="str">
            <v>APR 20</v>
          </cell>
          <cell r="N743">
            <v>43923</v>
          </cell>
          <cell r="O743">
            <v>11116371</v>
          </cell>
          <cell r="P743">
            <v>7367500</v>
          </cell>
          <cell r="Q743">
            <v>43922</v>
          </cell>
          <cell r="R743" t="str">
            <v>No</v>
          </cell>
          <cell r="S743" t="str">
            <v>C49</v>
          </cell>
          <cell r="T743" t="str">
            <v>SOUTH</v>
          </cell>
          <cell r="U743" t="str">
            <v>東莞</v>
          </cell>
          <cell r="V743" t="str">
            <v>SZ 深圳</v>
          </cell>
          <cell r="W743" t="str">
            <v>SX</v>
          </cell>
          <cell r="X743" t="str">
            <v>JPY</v>
          </cell>
          <cell r="Y743">
            <v>7367500</v>
          </cell>
          <cell r="Z743">
            <v>1</v>
          </cell>
          <cell r="AA743">
            <v>7367500</v>
          </cell>
          <cell r="AB743">
            <v>7.2999999999999995E-2</v>
          </cell>
          <cell r="AC743">
            <v>537827.5</v>
          </cell>
          <cell r="AD743">
            <v>64539.299999999996</v>
          </cell>
          <cell r="AE743">
            <v>0.12</v>
          </cell>
          <cell r="AF743">
            <v>43924</v>
          </cell>
          <cell r="AG743" t="str">
            <v>DAP DG</v>
          </cell>
          <cell r="AK743">
            <v>0.2</v>
          </cell>
          <cell r="AL743">
            <v>1473500</v>
          </cell>
          <cell r="AM743">
            <v>43891</v>
          </cell>
          <cell r="AN743" t="str">
            <v>Yes</v>
          </cell>
          <cell r="AO743">
            <v>0.8</v>
          </cell>
          <cell r="AP743">
            <v>5894000</v>
          </cell>
          <cell r="AQ743">
            <v>43891</v>
          </cell>
          <cell r="AR743">
            <v>43915</v>
          </cell>
          <cell r="AS743">
            <v>0</v>
          </cell>
          <cell r="AT743">
            <v>0</v>
          </cell>
          <cell r="AX743" t="str">
            <v>Yes</v>
          </cell>
          <cell r="AZ743" t="str">
            <v xml:space="preserve">Y </v>
          </cell>
          <cell r="BA743" t="str">
            <v>Yes</v>
          </cell>
        </row>
        <row r="744">
          <cell r="B744">
            <v>593</v>
          </cell>
          <cell r="C744" t="str">
            <v>C49SZX20200019SX</v>
          </cell>
          <cell r="D744" t="str">
            <v>华汛</v>
          </cell>
          <cell r="E744" t="str">
            <v>YSM20R(SV)-2</v>
          </cell>
          <cell r="F744" t="str">
            <v>#00885</v>
          </cell>
          <cell r="G744" t="e">
            <v>#REF!</v>
          </cell>
          <cell r="H744" t="e">
            <v>#REF!</v>
          </cell>
          <cell r="I744" t="str">
            <v>R-&gt;L</v>
          </cell>
          <cell r="J744" t="str">
            <v>No</v>
          </cell>
          <cell r="K744">
            <v>1</v>
          </cell>
          <cell r="L744">
            <v>109749</v>
          </cell>
          <cell r="M744" t="str">
            <v>MAR 20</v>
          </cell>
          <cell r="N744">
            <v>43909</v>
          </cell>
          <cell r="O744">
            <v>11100376</v>
          </cell>
          <cell r="P744">
            <v>882530</v>
          </cell>
          <cell r="Q744">
            <v>43891</v>
          </cell>
          <cell r="R744" t="str">
            <v>Yes</v>
          </cell>
          <cell r="S744" t="str">
            <v>C49</v>
          </cell>
          <cell r="T744" t="str">
            <v>SOUTH</v>
          </cell>
          <cell r="U744" t="str">
            <v>深圳</v>
          </cell>
          <cell r="V744" t="str">
            <v>SZ 深圳</v>
          </cell>
          <cell r="W744" t="str">
            <v>SX</v>
          </cell>
          <cell r="X744" t="str">
            <v>RMB</v>
          </cell>
          <cell r="Y744">
            <v>882530</v>
          </cell>
          <cell r="Z744">
            <v>1.1299999999999999</v>
          </cell>
          <cell r="AA744">
            <v>882530</v>
          </cell>
          <cell r="AB744">
            <v>1.1100000000000001</v>
          </cell>
          <cell r="AC744">
            <v>866910.00000000023</v>
          </cell>
          <cell r="AD744">
            <v>104029.20000000003</v>
          </cell>
          <cell r="AE744">
            <v>0.12</v>
          </cell>
          <cell r="AF744">
            <v>43901</v>
          </cell>
          <cell r="AG744" t="str">
            <v>含税到厂</v>
          </cell>
          <cell r="AK744">
            <v>0.2</v>
          </cell>
          <cell r="AL744">
            <v>176530</v>
          </cell>
          <cell r="AM744">
            <v>43891</v>
          </cell>
          <cell r="AN744" t="str">
            <v>Yes</v>
          </cell>
          <cell r="AO744">
            <v>0.8</v>
          </cell>
          <cell r="AP744">
            <v>706000</v>
          </cell>
          <cell r="AQ744">
            <v>43891</v>
          </cell>
          <cell r="AR744">
            <v>43915</v>
          </cell>
          <cell r="AS744">
            <v>0</v>
          </cell>
          <cell r="AT744">
            <v>0</v>
          </cell>
          <cell r="AX744" t="str">
            <v>Yes</v>
          </cell>
        </row>
        <row r="745">
          <cell r="B745">
            <v>594</v>
          </cell>
          <cell r="C745" t="str">
            <v>C49SZX20200027JY</v>
          </cell>
          <cell r="D745" t="str">
            <v>络鑫</v>
          </cell>
          <cell r="E745" t="str">
            <v>YSM20R(SV)-2</v>
          </cell>
          <cell r="F745" t="str">
            <v>#03625</v>
          </cell>
          <cell r="G745" t="e">
            <v>#REF!</v>
          </cell>
          <cell r="H745" t="e">
            <v>#REF!</v>
          </cell>
          <cell r="I745" t="str">
            <v>L-&gt;R</v>
          </cell>
          <cell r="J745" t="str">
            <v>No</v>
          </cell>
          <cell r="K745">
            <v>1</v>
          </cell>
          <cell r="L745">
            <v>109775</v>
          </cell>
          <cell r="M745" t="str">
            <v>APR 20</v>
          </cell>
          <cell r="N745">
            <v>43928</v>
          </cell>
          <cell r="O745">
            <v>11116373</v>
          </cell>
          <cell r="P745">
            <v>942920</v>
          </cell>
          <cell r="Q745">
            <v>43922</v>
          </cell>
          <cell r="R745" t="str">
            <v>No</v>
          </cell>
          <cell r="S745" t="str">
            <v>C49</v>
          </cell>
          <cell r="T745" t="str">
            <v>SOUTH</v>
          </cell>
          <cell r="U745" t="str">
            <v>東莞</v>
          </cell>
          <cell r="V745" t="str">
            <v>SZ 深圳</v>
          </cell>
          <cell r="W745" t="str">
            <v>JY</v>
          </cell>
          <cell r="X745" t="str">
            <v>RMB</v>
          </cell>
          <cell r="Y745">
            <v>942920</v>
          </cell>
          <cell r="Z745">
            <v>1.1299999999999999</v>
          </cell>
          <cell r="AA745">
            <v>942920</v>
          </cell>
          <cell r="AB745">
            <v>1.1100000000000001</v>
          </cell>
          <cell r="AC745">
            <v>926231.15044247801</v>
          </cell>
          <cell r="AD745">
            <v>111147.73805309736</v>
          </cell>
          <cell r="AE745">
            <v>0.12</v>
          </cell>
          <cell r="AF745">
            <v>43906</v>
          </cell>
          <cell r="AG745" t="str">
            <v>DAP DG</v>
          </cell>
          <cell r="AK745" t="str">
            <v>agree</v>
          </cell>
          <cell r="AL745">
            <v>200000</v>
          </cell>
          <cell r="AM745">
            <v>43891</v>
          </cell>
          <cell r="AN745" t="str">
            <v>Yes</v>
          </cell>
          <cell r="AO745">
            <v>0.8</v>
          </cell>
          <cell r="AP745">
            <v>754312</v>
          </cell>
          <cell r="AQ745">
            <v>43922</v>
          </cell>
          <cell r="AR745">
            <v>43924</v>
          </cell>
          <cell r="AS745">
            <v>0</v>
          </cell>
          <cell r="AT745">
            <v>0</v>
          </cell>
          <cell r="AX745" t="str">
            <v>Yes</v>
          </cell>
        </row>
        <row r="746">
          <cell r="B746">
            <v>595</v>
          </cell>
          <cell r="C746" t="str">
            <v>C49SZX20200027JY</v>
          </cell>
          <cell r="D746" t="str">
            <v>络鑫</v>
          </cell>
          <cell r="E746" t="str">
            <v>YSM10</v>
          </cell>
          <cell r="F746" t="str">
            <v>#03625</v>
          </cell>
          <cell r="G746" t="e">
            <v>#REF!</v>
          </cell>
          <cell r="H746" t="e">
            <v>#REF!</v>
          </cell>
          <cell r="I746" t="str">
            <v>L-&gt;R</v>
          </cell>
          <cell r="J746" t="str">
            <v>MVC+ATS15</v>
          </cell>
          <cell r="K746">
            <v>1</v>
          </cell>
          <cell r="L746">
            <v>109750</v>
          </cell>
          <cell r="M746" t="str">
            <v>APR 20</v>
          </cell>
          <cell r="N746">
            <v>43928</v>
          </cell>
          <cell r="O746">
            <v>11116373</v>
          </cell>
          <cell r="P746">
            <v>650000</v>
          </cell>
          <cell r="Q746">
            <v>43922</v>
          </cell>
          <cell r="R746" t="str">
            <v>No</v>
          </cell>
          <cell r="S746" t="str">
            <v>C49</v>
          </cell>
          <cell r="T746" t="str">
            <v>SOUTH</v>
          </cell>
          <cell r="U746" t="str">
            <v>東莞</v>
          </cell>
          <cell r="V746" t="str">
            <v>SZ 深圳</v>
          </cell>
          <cell r="W746" t="str">
            <v>JY</v>
          </cell>
          <cell r="X746" t="str">
            <v>RMB</v>
          </cell>
          <cell r="Y746">
            <v>650000</v>
          </cell>
          <cell r="Z746">
            <v>1.1299999999999999</v>
          </cell>
          <cell r="AA746">
            <v>650000</v>
          </cell>
          <cell r="AB746">
            <v>1.1100000000000001</v>
          </cell>
          <cell r="AC746">
            <v>638495.57522123901</v>
          </cell>
          <cell r="AD746">
            <v>76619.469026548672</v>
          </cell>
          <cell r="AE746">
            <v>0.12</v>
          </cell>
          <cell r="AF746">
            <v>43906</v>
          </cell>
          <cell r="AG746" t="str">
            <v>DAP DG</v>
          </cell>
          <cell r="AK746" t="str">
            <v>agree</v>
          </cell>
          <cell r="AL746">
            <v>118632</v>
          </cell>
          <cell r="AM746">
            <v>43922</v>
          </cell>
          <cell r="AN746" t="str">
            <v>Yes</v>
          </cell>
          <cell r="AO746">
            <v>0.8</v>
          </cell>
          <cell r="AP746">
            <v>519976</v>
          </cell>
          <cell r="AQ746">
            <v>43922</v>
          </cell>
          <cell r="AR746">
            <v>43924</v>
          </cell>
          <cell r="AS746">
            <v>0</v>
          </cell>
          <cell r="AT746">
            <v>0</v>
          </cell>
          <cell r="AX746" t="str">
            <v>Yes</v>
          </cell>
        </row>
        <row r="747">
          <cell r="B747">
            <v>596</v>
          </cell>
          <cell r="C747" t="str">
            <v>C49SZX20200029SS</v>
          </cell>
          <cell r="D747" t="str">
            <v>恒业信</v>
          </cell>
          <cell r="E747" t="str">
            <v>YSM20R(SV)-2</v>
          </cell>
          <cell r="F747" t="str">
            <v>#04394</v>
          </cell>
          <cell r="G747" t="e">
            <v>#REF!</v>
          </cell>
          <cell r="H747" t="e">
            <v>#REF!</v>
          </cell>
          <cell r="I747" t="str">
            <v>L-&gt;R</v>
          </cell>
          <cell r="J747" t="str">
            <v>No</v>
          </cell>
          <cell r="K747">
            <v>1</v>
          </cell>
          <cell r="L747" t="e">
            <v>#REF!</v>
          </cell>
          <cell r="M747" t="e">
            <v>#REF!</v>
          </cell>
          <cell r="N747"/>
          <cell r="O747"/>
          <cell r="P747"/>
          <cell r="Q747"/>
          <cell r="R747" t="str">
            <v>Yes</v>
          </cell>
          <cell r="S747" t="str">
            <v>C49</v>
          </cell>
          <cell r="T747" t="str">
            <v>SOUTH</v>
          </cell>
          <cell r="U747" t="str">
            <v>深圳</v>
          </cell>
          <cell r="V747" t="str">
            <v>SZ 深圳</v>
          </cell>
          <cell r="W747" t="str">
            <v>SS</v>
          </cell>
          <cell r="X747" t="str">
            <v>JPY</v>
          </cell>
          <cell r="Y747">
            <v>11998800</v>
          </cell>
          <cell r="Z747">
            <v>1</v>
          </cell>
          <cell r="AA747">
            <v>11998800</v>
          </cell>
          <cell r="AB747">
            <v>7.2999999999999995E-2</v>
          </cell>
          <cell r="AC747">
            <v>875912.39999999991</v>
          </cell>
          <cell r="AD747">
            <v>105109.48799999998</v>
          </cell>
          <cell r="AE747">
            <v>0.12</v>
          </cell>
          <cell r="AF747">
            <v>43906</v>
          </cell>
          <cell r="AG747" t="str">
            <v>DAP SZ</v>
          </cell>
          <cell r="AI747"/>
          <cell r="AJ747"/>
          <cell r="AK747">
            <v>0.1</v>
          </cell>
          <cell r="AL747">
            <v>1199880</v>
          </cell>
          <cell r="AM747"/>
          <cell r="AN747" t="str">
            <v>No</v>
          </cell>
          <cell r="AO747">
            <v>0.9</v>
          </cell>
          <cell r="AP747">
            <v>10798920</v>
          </cell>
          <cell r="AQ747"/>
          <cell r="AR747"/>
          <cell r="AS747">
            <v>0</v>
          </cell>
          <cell r="AT747">
            <v>0</v>
          </cell>
          <cell r="AV747"/>
          <cell r="AX747" t="str">
            <v>Cancel</v>
          </cell>
          <cell r="AY747"/>
          <cell r="AZ747"/>
          <cell r="BA747" t="str">
            <v>Cancel</v>
          </cell>
        </row>
        <row r="748">
          <cell r="B748">
            <v>597</v>
          </cell>
          <cell r="C748" t="str">
            <v>C49SZX20200028JYR1</v>
          </cell>
          <cell r="D748" t="str">
            <v>珠海太川</v>
          </cell>
          <cell r="E748" t="str">
            <v>YSM20R(SV)-2</v>
          </cell>
          <cell r="F748" t="str">
            <v>#59662</v>
          </cell>
          <cell r="G748" t="e">
            <v>#REF!</v>
          </cell>
          <cell r="H748" t="e">
            <v>#REF!</v>
          </cell>
          <cell r="I748" t="str">
            <v>L-&gt;R</v>
          </cell>
          <cell r="J748" t="str">
            <v>MVC</v>
          </cell>
          <cell r="K748">
            <v>1</v>
          </cell>
          <cell r="L748">
            <v>109816</v>
          </cell>
          <cell r="M748" t="str">
            <v>MAY 20</v>
          </cell>
          <cell r="N748">
            <v>43950</v>
          </cell>
          <cell r="O748">
            <v>11100389</v>
          </cell>
          <cell r="P748">
            <v>1031822</v>
          </cell>
          <cell r="Q748">
            <v>43971</v>
          </cell>
          <cell r="R748" t="str">
            <v>No</v>
          </cell>
          <cell r="S748" t="str">
            <v>C49</v>
          </cell>
          <cell r="T748" t="str">
            <v>SOUTH</v>
          </cell>
          <cell r="U748" t="str">
            <v>珠海</v>
          </cell>
          <cell r="V748" t="str">
            <v>SZ 深圳</v>
          </cell>
          <cell r="W748" t="str">
            <v>JY</v>
          </cell>
          <cell r="X748" t="str">
            <v>RMB</v>
          </cell>
          <cell r="Y748">
            <v>1031822</v>
          </cell>
          <cell r="Z748">
            <v>1.1299999999999999</v>
          </cell>
          <cell r="AA748">
            <v>1031822</v>
          </cell>
          <cell r="AB748">
            <v>1.1100000000000001</v>
          </cell>
          <cell r="AC748">
            <v>1013559.6637168144</v>
          </cell>
          <cell r="AD748">
            <v>121627.15964601772</v>
          </cell>
          <cell r="AE748">
            <v>0.12</v>
          </cell>
          <cell r="AF748">
            <v>43909</v>
          </cell>
          <cell r="AG748" t="str">
            <v>含税到厂</v>
          </cell>
          <cell r="AK748" t="str">
            <v>agree</v>
          </cell>
          <cell r="AL748">
            <v>100000</v>
          </cell>
          <cell r="AM748">
            <v>43891</v>
          </cell>
          <cell r="AN748" t="str">
            <v>Yes</v>
          </cell>
          <cell r="AO748" t="str">
            <v>agree</v>
          </cell>
          <cell r="AP748">
            <v>931822</v>
          </cell>
          <cell r="AQ748">
            <v>43922</v>
          </cell>
          <cell r="AR748">
            <v>43949</v>
          </cell>
          <cell r="AS748">
            <v>0</v>
          </cell>
          <cell r="AT748">
            <v>0</v>
          </cell>
          <cell r="AX748" t="str">
            <v>Yes</v>
          </cell>
          <cell r="AZ748" t="str">
            <v>Yes</v>
          </cell>
          <cell r="BA748" t="str">
            <v>Yes</v>
          </cell>
        </row>
        <row r="749">
          <cell r="B749">
            <v>598</v>
          </cell>
          <cell r="C749" t="str">
            <v>4300001028</v>
          </cell>
          <cell r="D749" t="str">
            <v>广州数控</v>
          </cell>
          <cell r="E749" t="str">
            <v>Heller 1809MK5</v>
          </cell>
          <cell r="F749" t="str">
            <v>NO</v>
          </cell>
          <cell r="G749" t="e">
            <v>#REF!</v>
          </cell>
          <cell r="H749" t="e">
            <v>#REF!</v>
          </cell>
          <cell r="I749" t="str">
            <v>L-&gt;R</v>
          </cell>
          <cell r="J749" t="str">
            <v>No</v>
          </cell>
          <cell r="K749">
            <v>1</v>
          </cell>
          <cell r="L749" t="str">
            <v>28J103476</v>
          </cell>
          <cell r="M749" t="str">
            <v>APR 20</v>
          </cell>
          <cell r="N749">
            <v>43948</v>
          </cell>
          <cell r="P749">
            <v>303000</v>
          </cell>
          <cell r="R749" t="str">
            <v>No</v>
          </cell>
          <cell r="S749" t="str">
            <v>C28</v>
          </cell>
          <cell r="T749" t="str">
            <v>SOUTH</v>
          </cell>
          <cell r="U749" t="str">
            <v>广州</v>
          </cell>
          <cell r="V749" t="str">
            <v>SZ 深圳</v>
          </cell>
          <cell r="W749" t="str">
            <v>YY</v>
          </cell>
          <cell r="X749" t="str">
            <v>RMB</v>
          </cell>
          <cell r="Y749">
            <v>303000</v>
          </cell>
          <cell r="Z749">
            <v>1.1299999999999999</v>
          </cell>
          <cell r="AA749">
            <v>303000</v>
          </cell>
          <cell r="AB749">
            <v>1.1100000000000001</v>
          </cell>
          <cell r="AC749">
            <v>297637.16814159293</v>
          </cell>
          <cell r="AD749">
            <v>35716.460176991153</v>
          </cell>
          <cell r="AE749">
            <v>0.12</v>
          </cell>
          <cell r="AF749">
            <v>43901</v>
          </cell>
          <cell r="AG749" t="str">
            <v>含税到厂</v>
          </cell>
          <cell r="AK749">
            <v>0.3</v>
          </cell>
          <cell r="AL749">
            <v>90900</v>
          </cell>
          <cell r="AM749">
            <v>43891</v>
          </cell>
          <cell r="AN749" t="str">
            <v>Yes</v>
          </cell>
          <cell r="AO749">
            <v>0.65</v>
          </cell>
          <cell r="AP749">
            <v>196950</v>
          </cell>
          <cell r="AQ749">
            <v>43922</v>
          </cell>
          <cell r="AR749">
            <v>43949</v>
          </cell>
          <cell r="AS749">
            <v>0.05</v>
          </cell>
          <cell r="AT749">
            <v>15150</v>
          </cell>
          <cell r="AZ749" t="str">
            <v>Yes</v>
          </cell>
        </row>
        <row r="750">
          <cell r="B750">
            <v>599</v>
          </cell>
          <cell r="C750" t="str">
            <v>C49SZX20200009MX</v>
          </cell>
          <cell r="D750" t="str">
            <v>民龙/End user 众立创</v>
          </cell>
          <cell r="E750" t="str">
            <v>YSM20R(SV)-2</v>
          </cell>
          <cell r="F750" t="str">
            <v>#04395</v>
          </cell>
          <cell r="G750" t="e">
            <v>#REF!</v>
          </cell>
          <cell r="H750" t="e">
            <v>#REF!</v>
          </cell>
          <cell r="I750" t="str">
            <v>L-&gt;R</v>
          </cell>
          <cell r="J750" t="str">
            <v>No</v>
          </cell>
          <cell r="K750">
            <v>1</v>
          </cell>
          <cell r="L750">
            <v>109730</v>
          </cell>
          <cell r="M750" t="str">
            <v>APR 20</v>
          </cell>
          <cell r="N750">
            <v>43922</v>
          </cell>
          <cell r="O750">
            <v>11100379</v>
          </cell>
          <cell r="P750">
            <v>790000</v>
          </cell>
          <cell r="Q750">
            <v>43922</v>
          </cell>
          <cell r="R750" t="str">
            <v>Yes</v>
          </cell>
          <cell r="S750" t="str">
            <v>C49</v>
          </cell>
          <cell r="T750" t="str">
            <v>SOUTH</v>
          </cell>
          <cell r="U750" t="str">
            <v>深圳</v>
          </cell>
          <cell r="V750" t="str">
            <v>SZ 深圳</v>
          </cell>
          <cell r="W750" t="str">
            <v>MX</v>
          </cell>
          <cell r="X750" t="str">
            <v>RMB</v>
          </cell>
          <cell r="Y750">
            <v>790000</v>
          </cell>
          <cell r="Z750">
            <v>1.1299999999999999</v>
          </cell>
          <cell r="AA750">
            <v>790000</v>
          </cell>
          <cell r="AB750">
            <v>1.1100000000000001</v>
          </cell>
          <cell r="AC750">
            <v>776017.69911504444</v>
          </cell>
          <cell r="AD750">
            <v>93122.123893805328</v>
          </cell>
          <cell r="AE750">
            <v>0.12</v>
          </cell>
          <cell r="AF750">
            <v>43910</v>
          </cell>
          <cell r="AG750" t="str">
            <v>含税到厂</v>
          </cell>
          <cell r="AI750"/>
          <cell r="AJ750"/>
          <cell r="AK750">
            <v>1</v>
          </cell>
          <cell r="AL750">
            <v>790000</v>
          </cell>
          <cell r="AM750">
            <v>43891</v>
          </cell>
          <cell r="AN750" t="str">
            <v>Yes</v>
          </cell>
          <cell r="AO750"/>
          <cell r="AP750"/>
          <cell r="AQ750"/>
          <cell r="AR750"/>
          <cell r="AS750"/>
          <cell r="AT750"/>
          <cell r="AV750"/>
          <cell r="AX750" t="str">
            <v>Yes</v>
          </cell>
          <cell r="AY750"/>
          <cell r="AZ750" t="str">
            <v>Yes</v>
          </cell>
          <cell r="BA750" t="str">
            <v>Yes</v>
          </cell>
        </row>
        <row r="751">
          <cell r="B751">
            <v>600</v>
          </cell>
          <cell r="C751" t="str">
            <v>C49SZX20200030SX</v>
          </cell>
          <cell r="D751" t="str">
            <v>顺弘</v>
          </cell>
          <cell r="E751" t="str">
            <v>YSM20R(SV)-2</v>
          </cell>
          <cell r="F751" t="str">
            <v>#76504</v>
          </cell>
          <cell r="G751" t="e">
            <v>#REF!</v>
          </cell>
          <cell r="H751" t="e">
            <v>#REF!</v>
          </cell>
          <cell r="I751" t="str">
            <v>L-&gt;R</v>
          </cell>
          <cell r="J751" t="str">
            <v>cATS10+MVC+special layout</v>
          </cell>
          <cell r="K751">
            <v>1</v>
          </cell>
          <cell r="L751">
            <v>109774</v>
          </cell>
          <cell r="M751" t="str">
            <v>APR 20</v>
          </cell>
          <cell r="N751">
            <v>43924</v>
          </cell>
          <cell r="O751">
            <v>11116372</v>
          </cell>
          <cell r="P751">
            <v>17593685</v>
          </cell>
          <cell r="Q751">
            <v>43922</v>
          </cell>
          <cell r="R751" t="str">
            <v>No</v>
          </cell>
          <cell r="S751" t="str">
            <v>C49</v>
          </cell>
          <cell r="T751" t="str">
            <v>SOUTH</v>
          </cell>
          <cell r="U751" t="str">
            <v>東莞</v>
          </cell>
          <cell r="V751" t="str">
            <v>SZ 深圳</v>
          </cell>
          <cell r="W751" t="str">
            <v>SX</v>
          </cell>
          <cell r="X751" t="str">
            <v>JPY</v>
          </cell>
          <cell r="Y751">
            <v>17593685</v>
          </cell>
          <cell r="Z751">
            <v>1</v>
          </cell>
          <cell r="AA751">
            <v>17593685</v>
          </cell>
          <cell r="AB751">
            <v>7.2999999999999995E-2</v>
          </cell>
          <cell r="AC751">
            <v>1284339.0049999999</v>
          </cell>
          <cell r="AD751">
            <v>154120.68059999999</v>
          </cell>
          <cell r="AE751">
            <v>0.12</v>
          </cell>
          <cell r="AF751">
            <v>43911</v>
          </cell>
          <cell r="AG751" t="str">
            <v>DAP DG</v>
          </cell>
          <cell r="AK751">
            <v>0.2</v>
          </cell>
          <cell r="AL751">
            <v>3518737</v>
          </cell>
          <cell r="AM751">
            <v>43891</v>
          </cell>
          <cell r="AN751" t="str">
            <v>Yes</v>
          </cell>
          <cell r="AO751">
            <v>0.8</v>
          </cell>
          <cell r="AP751">
            <v>14074948</v>
          </cell>
          <cell r="AQ751">
            <v>43922</v>
          </cell>
          <cell r="AR751">
            <v>43923</v>
          </cell>
          <cell r="AS751">
            <v>0</v>
          </cell>
          <cell r="AT751">
            <v>0</v>
          </cell>
          <cell r="AX751" t="str">
            <v>Yes</v>
          </cell>
          <cell r="AZ751" t="str">
            <v>Yes</v>
          </cell>
          <cell r="BA751" t="str">
            <v>Yes</v>
          </cell>
        </row>
        <row r="752">
          <cell r="B752">
            <v>601</v>
          </cell>
          <cell r="C752" t="str">
            <v>C49SZX20200026SX</v>
          </cell>
          <cell r="D752" t="str">
            <v>安林</v>
          </cell>
          <cell r="E752" t="str">
            <v>YSM20WR-2</v>
          </cell>
          <cell r="F752" t="str">
            <v>#81064</v>
          </cell>
          <cell r="G752" t="e">
            <v>#REF!</v>
          </cell>
          <cell r="H752" t="e">
            <v>#REF!</v>
          </cell>
          <cell r="I752" t="str">
            <v>L-&gt;R</v>
          </cell>
          <cell r="J752" t="str">
            <v>No</v>
          </cell>
          <cell r="K752">
            <v>1</v>
          </cell>
          <cell r="L752">
            <v>109857</v>
          </cell>
          <cell r="M752" t="str">
            <v>MAY 20</v>
          </cell>
          <cell r="N752">
            <v>43977</v>
          </cell>
          <cell r="O752">
            <v>11116388</v>
          </cell>
          <cell r="P752">
            <v>19000000</v>
          </cell>
          <cell r="Q752">
            <v>43971</v>
          </cell>
          <cell r="R752" t="str">
            <v>No</v>
          </cell>
          <cell r="S752" t="str">
            <v>C49</v>
          </cell>
          <cell r="T752" t="str">
            <v>SOUTH</v>
          </cell>
          <cell r="U752" t="str">
            <v>東莞</v>
          </cell>
          <cell r="V752" t="str">
            <v>SZ 深圳</v>
          </cell>
          <cell r="W752" t="str">
            <v>SX</v>
          </cell>
          <cell r="X752" t="str">
            <v>JPY</v>
          </cell>
          <cell r="Y752">
            <v>19000000</v>
          </cell>
          <cell r="Z752">
            <v>1</v>
          </cell>
          <cell r="AA752">
            <v>19000000</v>
          </cell>
          <cell r="AB752">
            <v>7.2999999999999995E-2</v>
          </cell>
          <cell r="AC752">
            <v>1387000</v>
          </cell>
          <cell r="AD752">
            <v>166440</v>
          </cell>
          <cell r="AE752">
            <v>0.12</v>
          </cell>
          <cell r="AF752">
            <v>43913</v>
          </cell>
          <cell r="AG752" t="str">
            <v>DAP DG</v>
          </cell>
          <cell r="AK752">
            <v>0.2</v>
          </cell>
          <cell r="AL752">
            <v>3800000</v>
          </cell>
          <cell r="AM752">
            <v>43891</v>
          </cell>
          <cell r="AN752" t="str">
            <v>Yes</v>
          </cell>
          <cell r="AO752">
            <v>0.8</v>
          </cell>
          <cell r="AP752">
            <v>15200000</v>
          </cell>
          <cell r="AQ752">
            <v>43971</v>
          </cell>
          <cell r="AR752">
            <v>43972</v>
          </cell>
          <cell r="AS752">
            <v>0</v>
          </cell>
          <cell r="AT752">
            <v>0</v>
          </cell>
          <cell r="AX752" t="str">
            <v>Yes</v>
          </cell>
          <cell r="AZ752" t="str">
            <v>Yes</v>
          </cell>
          <cell r="BA752" t="str">
            <v>Yes</v>
          </cell>
        </row>
        <row r="753">
          <cell r="B753">
            <v>602</v>
          </cell>
          <cell r="C753" t="str">
            <v>C49SZX20200031DZ</v>
          </cell>
          <cell r="D753" t="str">
            <v>金海智控</v>
          </cell>
          <cell r="E753" t="str">
            <v>YSM10</v>
          </cell>
          <cell r="F753" t="str">
            <v>#04489</v>
          </cell>
          <cell r="G753" t="e">
            <v>#REF!</v>
          </cell>
          <cell r="H753" t="e">
            <v>#REF!</v>
          </cell>
          <cell r="I753" t="str">
            <v>L-&gt;R</v>
          </cell>
          <cell r="J753" t="str">
            <v>MVC</v>
          </cell>
          <cell r="K753">
            <v>1</v>
          </cell>
          <cell r="L753">
            <v>109820</v>
          </cell>
          <cell r="M753" t="str">
            <v>JUN 20</v>
          </cell>
          <cell r="N753">
            <v>43988</v>
          </cell>
          <cell r="O753">
            <v>11100403</v>
          </cell>
          <cell r="P753">
            <v>600000</v>
          </cell>
          <cell r="Q753">
            <v>44002</v>
          </cell>
          <cell r="R753" t="str">
            <v>Yes</v>
          </cell>
          <cell r="S753" t="str">
            <v>C49</v>
          </cell>
          <cell r="T753" t="str">
            <v>SOUTH</v>
          </cell>
          <cell r="U753" t="str">
            <v>深圳</v>
          </cell>
          <cell r="V753" t="str">
            <v>SZ 深圳</v>
          </cell>
          <cell r="W753" t="str">
            <v>DZ</v>
          </cell>
          <cell r="X753" t="str">
            <v>RMB</v>
          </cell>
          <cell r="Y753">
            <v>600000</v>
          </cell>
          <cell r="Z753">
            <v>1.1299999999999999</v>
          </cell>
          <cell r="AA753">
            <v>600000</v>
          </cell>
          <cell r="AB753">
            <v>1.1100000000000001</v>
          </cell>
          <cell r="AC753">
            <v>589380.53097345144</v>
          </cell>
          <cell r="AD753">
            <v>70725.663716814175</v>
          </cell>
          <cell r="AE753">
            <v>0.12</v>
          </cell>
          <cell r="AF753">
            <v>43915</v>
          </cell>
          <cell r="AG753" t="str">
            <v>含税到厂</v>
          </cell>
          <cell r="AK753">
            <v>0.2</v>
          </cell>
          <cell r="AL753">
            <v>120000</v>
          </cell>
          <cell r="AM753">
            <v>43920</v>
          </cell>
          <cell r="AN753" t="str">
            <v>Yes</v>
          </cell>
          <cell r="AO753" t="str">
            <v>agree</v>
          </cell>
          <cell r="AP753">
            <v>500000</v>
          </cell>
          <cell r="AQ753">
            <v>44002</v>
          </cell>
          <cell r="AR753">
            <v>43987</v>
          </cell>
          <cell r="AS753">
            <v>0</v>
          </cell>
          <cell r="AT753">
            <v>0</v>
          </cell>
          <cell r="AX753" t="str">
            <v>Yes</v>
          </cell>
          <cell r="AZ753" t="str">
            <v>Yes</v>
          </cell>
          <cell r="BA753" t="str">
            <v>Yes</v>
          </cell>
        </row>
        <row r="754">
          <cell r="B754">
            <v>603</v>
          </cell>
          <cell r="C754" t="str">
            <v>C49SZX20200031DZ</v>
          </cell>
          <cell r="D754" t="str">
            <v>金海智控</v>
          </cell>
          <cell r="E754" t="str">
            <v>YSM20R(SV)-2</v>
          </cell>
          <cell r="F754" t="str">
            <v>#04489</v>
          </cell>
          <cell r="G754" t="e">
            <v>#REF!</v>
          </cell>
          <cell r="H754" t="e">
            <v>#REF!</v>
          </cell>
          <cell r="I754" t="str">
            <v>L-&gt;R</v>
          </cell>
          <cell r="J754" t="str">
            <v>No</v>
          </cell>
          <cell r="K754">
            <v>1</v>
          </cell>
          <cell r="L754">
            <v>109856</v>
          </cell>
          <cell r="M754" t="str">
            <v>JUN 20</v>
          </cell>
          <cell r="N754">
            <v>43987</v>
          </cell>
          <cell r="O754">
            <v>11100403</v>
          </cell>
          <cell r="P754">
            <v>900000</v>
          </cell>
          <cell r="Q754">
            <v>44002</v>
          </cell>
          <cell r="R754" t="str">
            <v>Yes</v>
          </cell>
          <cell r="S754" t="str">
            <v>C49</v>
          </cell>
          <cell r="T754" t="str">
            <v>SOUTH</v>
          </cell>
          <cell r="U754" t="str">
            <v>深圳</v>
          </cell>
          <cell r="V754" t="str">
            <v>SZ 深圳</v>
          </cell>
          <cell r="W754" t="str">
            <v>DZ</v>
          </cell>
          <cell r="X754" t="str">
            <v>RMB</v>
          </cell>
          <cell r="Y754">
            <v>900000</v>
          </cell>
          <cell r="Z754">
            <v>1.1299999999999999</v>
          </cell>
          <cell r="AA754">
            <v>900000</v>
          </cell>
          <cell r="AB754">
            <v>1.1100000000000001</v>
          </cell>
          <cell r="AC754">
            <v>884070.79646017717</v>
          </cell>
          <cell r="AD754">
            <v>106088.49557522126</v>
          </cell>
          <cell r="AE754">
            <v>0.12</v>
          </cell>
          <cell r="AF754">
            <v>43915</v>
          </cell>
          <cell r="AG754" t="str">
            <v>含税到厂</v>
          </cell>
          <cell r="AK754">
            <v>0.2</v>
          </cell>
          <cell r="AL754">
            <v>180000</v>
          </cell>
          <cell r="AM754">
            <v>43922</v>
          </cell>
          <cell r="AN754" t="str">
            <v>Yes</v>
          </cell>
          <cell r="AO754" t="str">
            <v>agree</v>
          </cell>
          <cell r="AP754">
            <v>700000</v>
          </cell>
          <cell r="AQ754">
            <v>44002</v>
          </cell>
          <cell r="AR754">
            <v>43986</v>
          </cell>
          <cell r="AS754">
            <v>0</v>
          </cell>
          <cell r="AT754">
            <v>0</v>
          </cell>
          <cell r="AX754" t="str">
            <v>Yes</v>
          </cell>
        </row>
        <row r="755">
          <cell r="B755">
            <v>604</v>
          </cell>
          <cell r="C755" t="str">
            <v>C49SZX20200036CX</v>
          </cell>
          <cell r="D755" t="str">
            <v>钧溢电子</v>
          </cell>
          <cell r="E755" t="str">
            <v>YSM10</v>
          </cell>
          <cell r="F755" t="str">
            <v>#04111</v>
          </cell>
          <cell r="G755" t="e">
            <v>#REF!</v>
          </cell>
          <cell r="H755" t="e">
            <v>#REF!</v>
          </cell>
          <cell r="I755" t="str">
            <v>L-&gt;R</v>
          </cell>
          <cell r="J755" t="str">
            <v>MVC</v>
          </cell>
          <cell r="K755">
            <v>1</v>
          </cell>
          <cell r="L755">
            <v>109820</v>
          </cell>
          <cell r="M755" t="str">
            <v>MAY 20</v>
          </cell>
          <cell r="N755">
            <v>43976</v>
          </cell>
          <cell r="O755">
            <v>11116389</v>
          </cell>
          <cell r="P755">
            <v>9800000</v>
          </cell>
          <cell r="Q755">
            <v>43971</v>
          </cell>
          <cell r="R755" t="str">
            <v>Yes</v>
          </cell>
          <cell r="S755" t="str">
            <v>C49</v>
          </cell>
          <cell r="T755" t="str">
            <v>SOUTH</v>
          </cell>
          <cell r="U755" t="str">
            <v>深圳</v>
          </cell>
          <cell r="V755" t="str">
            <v>SZ 深圳</v>
          </cell>
          <cell r="W755" t="str">
            <v>CX</v>
          </cell>
          <cell r="X755" t="str">
            <v>JPY</v>
          </cell>
          <cell r="Y755">
            <v>9800000</v>
          </cell>
          <cell r="Z755">
            <v>1</v>
          </cell>
          <cell r="AA755">
            <v>9800000</v>
          </cell>
          <cell r="AB755">
            <v>7.2999999999999995E-2</v>
          </cell>
          <cell r="AC755">
            <v>715400</v>
          </cell>
          <cell r="AD755">
            <v>85848</v>
          </cell>
          <cell r="AE755">
            <v>0.12</v>
          </cell>
          <cell r="AF755">
            <v>43915</v>
          </cell>
          <cell r="AG755" t="str">
            <v>DAP SZ</v>
          </cell>
          <cell r="AI755">
            <v>20000</v>
          </cell>
          <cell r="AJ755">
            <v>43916</v>
          </cell>
          <cell r="AK755" t="str">
            <v>agree</v>
          </cell>
          <cell r="AL755">
            <v>9800000</v>
          </cell>
          <cell r="AM755">
            <v>43971</v>
          </cell>
          <cell r="AN755" t="str">
            <v>Yes</v>
          </cell>
          <cell r="AO755">
            <v>0</v>
          </cell>
          <cell r="AP755">
            <v>0</v>
          </cell>
          <cell r="AS755">
            <v>0</v>
          </cell>
          <cell r="AT755">
            <v>0</v>
          </cell>
          <cell r="AX755" t="str">
            <v>Yes</v>
          </cell>
          <cell r="AZ755" t="str">
            <v>Yes</v>
          </cell>
          <cell r="BA755" t="str">
            <v>Yes</v>
          </cell>
        </row>
        <row r="756">
          <cell r="B756">
            <v>605</v>
          </cell>
          <cell r="C756" t="str">
            <v>C49SZX20200036CX</v>
          </cell>
          <cell r="D756" t="str">
            <v>钧溢电子</v>
          </cell>
          <cell r="E756" t="str">
            <v>YSM20R(SV)-2</v>
          </cell>
          <cell r="F756" t="str">
            <v>#04111</v>
          </cell>
          <cell r="G756" t="e">
            <v>#REF!</v>
          </cell>
          <cell r="H756" t="e">
            <v>#REF!</v>
          </cell>
          <cell r="I756" t="str">
            <v>L-&gt;R</v>
          </cell>
          <cell r="J756" t="str">
            <v>No</v>
          </cell>
          <cell r="K756">
            <v>1</v>
          </cell>
          <cell r="L756">
            <v>109868</v>
          </cell>
          <cell r="M756" t="str">
            <v>JUL 20</v>
          </cell>
          <cell r="N756">
            <v>44013</v>
          </cell>
          <cell r="O756">
            <v>11116402</v>
          </cell>
          <cell r="P756">
            <v>11000000</v>
          </cell>
          <cell r="Q756">
            <v>44032</v>
          </cell>
          <cell r="R756" t="str">
            <v>Yes</v>
          </cell>
          <cell r="S756" t="str">
            <v>C49</v>
          </cell>
          <cell r="T756" t="str">
            <v>SOUTH</v>
          </cell>
          <cell r="U756" t="str">
            <v>深圳</v>
          </cell>
          <cell r="V756" t="str">
            <v>SZ 深圳</v>
          </cell>
          <cell r="W756" t="str">
            <v>CX</v>
          </cell>
          <cell r="X756" t="str">
            <v>JPY</v>
          </cell>
          <cell r="Y756">
            <v>11000000</v>
          </cell>
          <cell r="Z756">
            <v>1</v>
          </cell>
          <cell r="AA756">
            <v>11000000</v>
          </cell>
          <cell r="AB756">
            <v>7.2999999999999995E-2</v>
          </cell>
          <cell r="AC756">
            <v>803000</v>
          </cell>
          <cell r="AD756">
            <v>96360</v>
          </cell>
          <cell r="AE756">
            <v>0.12</v>
          </cell>
          <cell r="AF756">
            <v>43915</v>
          </cell>
          <cell r="AG756" t="str">
            <v>DAP SZ</v>
          </cell>
          <cell r="AK756" t="str">
            <v>agree</v>
          </cell>
          <cell r="AL756">
            <v>11000000</v>
          </cell>
          <cell r="AM756">
            <v>44002</v>
          </cell>
          <cell r="AN756" t="str">
            <v>Yes</v>
          </cell>
          <cell r="AO756" t="str">
            <v>agree</v>
          </cell>
          <cell r="AP756">
            <v>0</v>
          </cell>
          <cell r="AS756">
            <v>0</v>
          </cell>
          <cell r="AT756">
            <v>0</v>
          </cell>
          <cell r="AX756" t="str">
            <v>Yes</v>
          </cell>
          <cell r="AZ756" t="str">
            <v>Yes</v>
          </cell>
          <cell r="BA756" t="str">
            <v>Yes</v>
          </cell>
        </row>
        <row r="757">
          <cell r="B757">
            <v>606</v>
          </cell>
          <cell r="C757" t="str">
            <v>C49SZX20200007SS</v>
          </cell>
          <cell r="D757" t="str">
            <v>乐上</v>
          </cell>
          <cell r="E757" t="str">
            <v>YSM20R(SV)-2</v>
          </cell>
          <cell r="F757" t="str">
            <v>#03636</v>
          </cell>
          <cell r="G757" t="e">
            <v>#REF!</v>
          </cell>
          <cell r="H757" t="e">
            <v>#REF!</v>
          </cell>
          <cell r="I757" t="str">
            <v>L-&gt;R</v>
          </cell>
          <cell r="J757" t="str">
            <v>MVC</v>
          </cell>
          <cell r="K757">
            <v>1</v>
          </cell>
          <cell r="L757">
            <v>109816</v>
          </cell>
          <cell r="M757" t="str">
            <v>MAY 20</v>
          </cell>
          <cell r="N757">
            <v>43973</v>
          </cell>
          <cell r="O757">
            <v>11116387</v>
          </cell>
          <cell r="P757">
            <v>15800000</v>
          </cell>
          <cell r="Q757">
            <v>43971</v>
          </cell>
          <cell r="R757" t="str">
            <v>No</v>
          </cell>
          <cell r="S757" t="str">
            <v>C49</v>
          </cell>
          <cell r="T757" t="str">
            <v>SOUTH</v>
          </cell>
          <cell r="U757" t="str">
            <v>東莞</v>
          </cell>
          <cell r="V757" t="str">
            <v>SZ 深圳</v>
          </cell>
          <cell r="W757" t="str">
            <v>SS</v>
          </cell>
          <cell r="X757" t="str">
            <v>JPY</v>
          </cell>
          <cell r="Y757">
            <v>15800000</v>
          </cell>
          <cell r="Z757">
            <v>1</v>
          </cell>
          <cell r="AA757">
            <v>15800000</v>
          </cell>
          <cell r="AB757">
            <v>7.2999999999999995E-2</v>
          </cell>
          <cell r="AC757">
            <v>1153400</v>
          </cell>
          <cell r="AD757">
            <v>138408</v>
          </cell>
          <cell r="AE757">
            <v>0.12</v>
          </cell>
          <cell r="AF757">
            <v>43917</v>
          </cell>
          <cell r="AG757" t="str">
            <v>DAP DG</v>
          </cell>
          <cell r="AI757">
            <v>50000</v>
          </cell>
          <cell r="AJ757">
            <v>43935</v>
          </cell>
          <cell r="AK757" t="str">
            <v>agree</v>
          </cell>
          <cell r="AL757">
            <v>15800000</v>
          </cell>
          <cell r="AM757">
            <v>43971</v>
          </cell>
          <cell r="AN757" t="str">
            <v>Yes</v>
          </cell>
          <cell r="AO757">
            <v>0</v>
          </cell>
          <cell r="AP757">
            <v>0</v>
          </cell>
          <cell r="AS757">
            <v>0</v>
          </cell>
          <cell r="AT757">
            <v>0</v>
          </cell>
          <cell r="AX757" t="str">
            <v>Yes</v>
          </cell>
          <cell r="AZ757" t="str">
            <v>Yes</v>
          </cell>
          <cell r="BA757" t="str">
            <v>Yes</v>
          </cell>
        </row>
        <row r="758">
          <cell r="B758">
            <v>607</v>
          </cell>
          <cell r="C758" t="str">
            <v>C49SZX20200040MZ</v>
          </cell>
          <cell r="D758" t="str">
            <v>崧盛</v>
          </cell>
          <cell r="E758" t="str">
            <v>YSM20R(SV)-2</v>
          </cell>
          <cell r="F758" t="str">
            <v>#03807</v>
          </cell>
          <cell r="G758" t="e">
            <v>#REF!</v>
          </cell>
          <cell r="H758" t="e">
            <v>#REF!</v>
          </cell>
          <cell r="I758" t="str">
            <v>R-&gt;L</v>
          </cell>
          <cell r="J758" t="str">
            <v>No</v>
          </cell>
          <cell r="K758">
            <v>1</v>
          </cell>
          <cell r="L758">
            <v>109749</v>
          </cell>
          <cell r="M758" t="str">
            <v>APR 20</v>
          </cell>
          <cell r="N758">
            <v>43923</v>
          </cell>
          <cell r="O758">
            <v>11116370</v>
          </cell>
          <cell r="P758">
            <v>15100000</v>
          </cell>
          <cell r="Q758">
            <v>43922</v>
          </cell>
          <cell r="R758" t="str">
            <v>No</v>
          </cell>
          <cell r="S758" t="str">
            <v>C49</v>
          </cell>
          <cell r="T758" t="str">
            <v>SOUTH</v>
          </cell>
          <cell r="U758" t="str">
            <v>深圳</v>
          </cell>
          <cell r="V758" t="str">
            <v>SZ 深圳</v>
          </cell>
          <cell r="W758" t="str">
            <v>MZ</v>
          </cell>
          <cell r="X758" t="str">
            <v>JPY</v>
          </cell>
          <cell r="Y758">
            <v>15100000</v>
          </cell>
          <cell r="Z758">
            <v>1</v>
          </cell>
          <cell r="AA758">
            <v>15100000</v>
          </cell>
          <cell r="AB758">
            <v>7.2999999999999995E-2</v>
          </cell>
          <cell r="AC758">
            <v>1102300</v>
          </cell>
          <cell r="AD758">
            <v>132276</v>
          </cell>
          <cell r="AE758">
            <v>0.12</v>
          </cell>
          <cell r="AF758">
            <v>43918</v>
          </cell>
          <cell r="AG758" t="str">
            <v>CIF HK</v>
          </cell>
          <cell r="AK758">
            <v>1</v>
          </cell>
          <cell r="AL758">
            <v>15100000</v>
          </cell>
          <cell r="AN758" t="str">
            <v>Yes</v>
          </cell>
          <cell r="AO758">
            <v>0</v>
          </cell>
          <cell r="AP758">
            <v>0</v>
          </cell>
          <cell r="AS758">
            <v>0</v>
          </cell>
          <cell r="AT758">
            <v>0</v>
          </cell>
          <cell r="AX758" t="str">
            <v>Yes</v>
          </cell>
          <cell r="AZ758" t="str">
            <v>Yes</v>
          </cell>
          <cell r="BA758" t="str">
            <v>Yes</v>
          </cell>
        </row>
        <row r="759">
          <cell r="B759">
            <v>608</v>
          </cell>
          <cell r="C759" t="str">
            <v>C49SZX20200039SX</v>
          </cell>
          <cell r="D759" t="str">
            <v>柏星</v>
          </cell>
          <cell r="E759" t="str">
            <v>YSM20R(SV)-2</v>
          </cell>
          <cell r="F759" t="str">
            <v>#03362</v>
          </cell>
          <cell r="G759" t="e">
            <v>#REF!</v>
          </cell>
          <cell r="H759" t="e">
            <v>#REF!</v>
          </cell>
          <cell r="I759" t="str">
            <v>L-&gt;R</v>
          </cell>
          <cell r="J759" t="str">
            <v>No</v>
          </cell>
          <cell r="K759">
            <v>1</v>
          </cell>
          <cell r="L759">
            <v>109730</v>
          </cell>
          <cell r="M759" t="str">
            <v>APR 20</v>
          </cell>
          <cell r="N759">
            <v>43934</v>
          </cell>
          <cell r="O759">
            <v>11100380</v>
          </cell>
          <cell r="P759">
            <v>880000</v>
          </cell>
          <cell r="Q759">
            <v>43922</v>
          </cell>
          <cell r="R759" t="str">
            <v>No</v>
          </cell>
          <cell r="S759" t="str">
            <v>C49</v>
          </cell>
          <cell r="T759" t="str">
            <v>SOUTH</v>
          </cell>
          <cell r="U759" t="str">
            <v>東莞</v>
          </cell>
          <cell r="V759" t="str">
            <v>SZ 深圳</v>
          </cell>
          <cell r="W759" t="str">
            <v>SX</v>
          </cell>
          <cell r="X759" t="str">
            <v>RMB</v>
          </cell>
          <cell r="Y759">
            <v>880000</v>
          </cell>
          <cell r="Z759">
            <v>1.1299999999999999</v>
          </cell>
          <cell r="AA759">
            <v>880000</v>
          </cell>
          <cell r="AB759">
            <v>1.1100000000000001</v>
          </cell>
          <cell r="AC759">
            <v>864424.77876106219</v>
          </cell>
          <cell r="AD759">
            <v>103730.97345132746</v>
          </cell>
          <cell r="AE759">
            <v>0.12</v>
          </cell>
          <cell r="AF759">
            <v>43920</v>
          </cell>
          <cell r="AG759" t="str">
            <v>含税到厂</v>
          </cell>
          <cell r="AK759">
            <v>0.2</v>
          </cell>
          <cell r="AL759">
            <v>176000</v>
          </cell>
          <cell r="AM759">
            <v>43922</v>
          </cell>
          <cell r="AN759" t="str">
            <v>Yes</v>
          </cell>
          <cell r="AO759">
            <v>0.8</v>
          </cell>
          <cell r="AP759">
            <v>704000</v>
          </cell>
          <cell r="AQ759">
            <v>43922</v>
          </cell>
          <cell r="AR759">
            <v>43931</v>
          </cell>
          <cell r="AS759">
            <v>0</v>
          </cell>
          <cell r="AT759">
            <v>0</v>
          </cell>
          <cell r="AX759" t="str">
            <v>Yes</v>
          </cell>
          <cell r="AZ759" t="str">
            <v>Yes</v>
          </cell>
          <cell r="BA759" t="str">
            <v>Yes</v>
          </cell>
        </row>
        <row r="760">
          <cell r="B760">
            <v>609</v>
          </cell>
          <cell r="C760" t="str">
            <v>C49SZX20200035JY</v>
          </cell>
          <cell r="D760" t="str">
            <v>创荣发</v>
          </cell>
          <cell r="E760" t="str">
            <v>YSM20R(SV)-2</v>
          </cell>
          <cell r="F760" t="str">
            <v>#03866</v>
          </cell>
          <cell r="G760" t="e">
            <v>#REF!</v>
          </cell>
          <cell r="H760" t="e">
            <v>#REF!</v>
          </cell>
          <cell r="I760" t="str">
            <v>L-&gt;R</v>
          </cell>
          <cell r="J760" t="str">
            <v>No</v>
          </cell>
          <cell r="K760">
            <v>1</v>
          </cell>
          <cell r="L760">
            <v>109816</v>
          </cell>
          <cell r="M760" t="str">
            <v>MAY 20</v>
          </cell>
          <cell r="N760">
            <v>43980</v>
          </cell>
          <cell r="O760">
            <v>11116391</v>
          </cell>
          <cell r="P760">
            <v>15943175</v>
          </cell>
          <cell r="Q760">
            <v>43971</v>
          </cell>
          <cell r="R760" t="str">
            <v>No</v>
          </cell>
          <cell r="S760" t="str">
            <v>C49</v>
          </cell>
          <cell r="T760" t="str">
            <v>SOUTH</v>
          </cell>
          <cell r="U760" t="str">
            <v>惠州</v>
          </cell>
          <cell r="V760" t="str">
            <v>SZ 深圳</v>
          </cell>
          <cell r="W760" t="str">
            <v>JY</v>
          </cell>
          <cell r="X760" t="str">
            <v>JPY</v>
          </cell>
          <cell r="Y760">
            <v>15943175</v>
          </cell>
          <cell r="Z760">
            <v>1</v>
          </cell>
          <cell r="AA760">
            <v>15943175</v>
          </cell>
          <cell r="AB760">
            <v>7.2999999999999995E-2</v>
          </cell>
          <cell r="AC760">
            <v>1163851.7749999999</v>
          </cell>
          <cell r="AD760">
            <v>139662.21299999999</v>
          </cell>
          <cell r="AE760">
            <v>0.12</v>
          </cell>
          <cell r="AF760">
            <v>43921</v>
          </cell>
          <cell r="AG760" t="str">
            <v>DAP HZ</v>
          </cell>
          <cell r="AK760">
            <v>0.3</v>
          </cell>
          <cell r="AL760">
            <v>4782952.5</v>
          </cell>
          <cell r="AM760">
            <v>43922</v>
          </cell>
          <cell r="AN760" t="str">
            <v>Yes</v>
          </cell>
          <cell r="AO760">
            <v>0.7</v>
          </cell>
          <cell r="AP760">
            <v>11160222.5</v>
          </cell>
          <cell r="AQ760">
            <v>43971</v>
          </cell>
          <cell r="AR760">
            <v>43977</v>
          </cell>
          <cell r="AS760">
            <v>0</v>
          </cell>
          <cell r="AT760">
            <v>0</v>
          </cell>
          <cell r="AX760" t="str">
            <v>Yes</v>
          </cell>
          <cell r="AZ760" t="str">
            <v>Yes</v>
          </cell>
          <cell r="BA760" t="str">
            <v>Yes</v>
          </cell>
        </row>
        <row r="761">
          <cell r="B761">
            <v>610</v>
          </cell>
          <cell r="C761" t="str">
            <v>C49SZX20200035JY</v>
          </cell>
          <cell r="D761" t="str">
            <v>创荣发</v>
          </cell>
          <cell r="E761" t="str">
            <v>YSM20R(SV)-2</v>
          </cell>
          <cell r="F761" t="str">
            <v>#03866</v>
          </cell>
          <cell r="G761" t="e">
            <v>#REF!</v>
          </cell>
          <cell r="H761" t="e">
            <v>#REF!</v>
          </cell>
          <cell r="I761" t="str">
            <v>L-&gt;R</v>
          </cell>
          <cell r="J761" t="str">
            <v>No</v>
          </cell>
          <cell r="K761">
            <v>1</v>
          </cell>
          <cell r="L761">
            <v>109806</v>
          </cell>
          <cell r="M761" t="str">
            <v>MAY 20</v>
          </cell>
          <cell r="N761">
            <v>43980</v>
          </cell>
          <cell r="O761">
            <v>11116391</v>
          </cell>
          <cell r="P761">
            <v>15943175</v>
          </cell>
          <cell r="Q761">
            <v>43972</v>
          </cell>
          <cell r="R761" t="str">
            <v>No</v>
          </cell>
          <cell r="S761" t="str">
            <v>C49</v>
          </cell>
          <cell r="T761" t="str">
            <v>SOUTH</v>
          </cell>
          <cell r="U761" t="str">
            <v>惠州</v>
          </cell>
          <cell r="V761" t="str">
            <v>SZ 深圳</v>
          </cell>
          <cell r="W761" t="str">
            <v>JY</v>
          </cell>
          <cell r="X761" t="str">
            <v>JPY</v>
          </cell>
          <cell r="Y761">
            <v>15943175</v>
          </cell>
          <cell r="Z761">
            <v>1</v>
          </cell>
          <cell r="AA761">
            <v>15943175</v>
          </cell>
          <cell r="AB761">
            <v>7.2999999999999995E-2</v>
          </cell>
          <cell r="AC761">
            <v>1163851.7749999999</v>
          </cell>
          <cell r="AD761">
            <v>139662.21299999999</v>
          </cell>
          <cell r="AE761">
            <v>0.12</v>
          </cell>
          <cell r="AF761">
            <v>43921</v>
          </cell>
          <cell r="AG761" t="str">
            <v>DAP HZ</v>
          </cell>
          <cell r="AK761">
            <v>0.3</v>
          </cell>
          <cell r="AL761">
            <v>4782952.5</v>
          </cell>
          <cell r="AM761">
            <v>43922</v>
          </cell>
          <cell r="AN761" t="str">
            <v>Yes</v>
          </cell>
          <cell r="AO761">
            <v>0.7</v>
          </cell>
          <cell r="AP761">
            <v>11160222.5</v>
          </cell>
          <cell r="AQ761">
            <v>43972</v>
          </cell>
          <cell r="AR761">
            <v>43977</v>
          </cell>
          <cell r="AS761">
            <v>0</v>
          </cell>
          <cell r="AT761">
            <v>0</v>
          </cell>
          <cell r="AX761" t="str">
            <v>Yes</v>
          </cell>
          <cell r="AZ761" t="str">
            <v>Yes</v>
          </cell>
          <cell r="BA761" t="str">
            <v>Yes</v>
          </cell>
        </row>
        <row r="762">
          <cell r="B762">
            <v>611</v>
          </cell>
          <cell r="C762" t="str">
            <v>C49SZX20200035JY</v>
          </cell>
          <cell r="D762" t="str">
            <v>创荣发</v>
          </cell>
          <cell r="E762" t="str">
            <v>YSM10</v>
          </cell>
          <cell r="F762" t="str">
            <v>#03866</v>
          </cell>
          <cell r="G762" t="e">
            <v>#REF!</v>
          </cell>
          <cell r="H762" t="e">
            <v>#REF!</v>
          </cell>
          <cell r="I762" t="str">
            <v>L-&gt;R</v>
          </cell>
          <cell r="J762" t="str">
            <v>MVC</v>
          </cell>
          <cell r="K762">
            <v>1</v>
          </cell>
          <cell r="L762">
            <v>109858</v>
          </cell>
          <cell r="M762" t="str">
            <v>MAY 20</v>
          </cell>
          <cell r="N762">
            <v>43980</v>
          </cell>
          <cell r="O762">
            <v>11116391</v>
          </cell>
          <cell r="P762">
            <v>11000000</v>
          </cell>
          <cell r="Q762">
            <v>43973</v>
          </cell>
          <cell r="R762" t="str">
            <v>No</v>
          </cell>
          <cell r="S762" t="str">
            <v>C49</v>
          </cell>
          <cell r="T762" t="str">
            <v>SOUTH</v>
          </cell>
          <cell r="U762" t="str">
            <v>惠州</v>
          </cell>
          <cell r="V762" t="str">
            <v>SZ 深圳</v>
          </cell>
          <cell r="W762" t="str">
            <v>JY</v>
          </cell>
          <cell r="X762" t="str">
            <v>JPY</v>
          </cell>
          <cell r="Y762">
            <v>11000000</v>
          </cell>
          <cell r="Z762">
            <v>1</v>
          </cell>
          <cell r="AA762">
            <v>11000000</v>
          </cell>
          <cell r="AB762">
            <v>7.2999999999999995E-2</v>
          </cell>
          <cell r="AC762">
            <v>803000</v>
          </cell>
          <cell r="AD762">
            <v>96360</v>
          </cell>
          <cell r="AE762">
            <v>0.12</v>
          </cell>
          <cell r="AF762">
            <v>43921</v>
          </cell>
          <cell r="AG762" t="str">
            <v>DAP HZ</v>
          </cell>
          <cell r="AK762">
            <v>0.3</v>
          </cell>
          <cell r="AL762">
            <v>3300000</v>
          </cell>
          <cell r="AM762">
            <v>43922</v>
          </cell>
          <cell r="AN762" t="str">
            <v>Yes</v>
          </cell>
          <cell r="AO762">
            <v>0.7</v>
          </cell>
          <cell r="AP762">
            <v>7699999.9999999991</v>
          </cell>
          <cell r="AQ762">
            <v>43973</v>
          </cell>
          <cell r="AR762">
            <v>43977</v>
          </cell>
          <cell r="AS762">
            <v>0</v>
          </cell>
          <cell r="AT762">
            <v>0</v>
          </cell>
          <cell r="AX762" t="str">
            <v>Yes</v>
          </cell>
          <cell r="AZ762" t="str">
            <v>Yes</v>
          </cell>
          <cell r="BA762" t="str">
            <v>Yes</v>
          </cell>
        </row>
        <row r="763">
          <cell r="B763">
            <v>612</v>
          </cell>
          <cell r="C763" t="str">
            <v>C49SZX20200035JY</v>
          </cell>
          <cell r="D763" t="str">
            <v>创荣发</v>
          </cell>
          <cell r="E763" t="str">
            <v>YSM10</v>
          </cell>
          <cell r="F763" t="str">
            <v>#03866</v>
          </cell>
          <cell r="G763" t="e">
            <v>#REF!</v>
          </cell>
          <cell r="H763" t="e">
            <v>#REF!</v>
          </cell>
          <cell r="I763" t="str">
            <v>L-&gt;R</v>
          </cell>
          <cell r="J763" t="str">
            <v>MVC</v>
          </cell>
          <cell r="K763">
            <v>1</v>
          </cell>
          <cell r="L763">
            <v>109858</v>
          </cell>
          <cell r="M763" t="str">
            <v>MAY 20</v>
          </cell>
          <cell r="N763">
            <v>43980</v>
          </cell>
          <cell r="O763">
            <v>11116391</v>
          </cell>
          <cell r="P763">
            <v>11000000</v>
          </cell>
          <cell r="Q763">
            <v>43974</v>
          </cell>
          <cell r="R763" t="str">
            <v>No</v>
          </cell>
          <cell r="S763" t="str">
            <v>C49</v>
          </cell>
          <cell r="T763" t="str">
            <v>SOUTH</v>
          </cell>
          <cell r="U763" t="str">
            <v>惠州</v>
          </cell>
          <cell r="V763" t="str">
            <v>SZ 深圳</v>
          </cell>
          <cell r="W763" t="str">
            <v>JY</v>
          </cell>
          <cell r="X763" t="str">
            <v>JPY</v>
          </cell>
          <cell r="Y763">
            <v>11000000</v>
          </cell>
          <cell r="Z763">
            <v>1</v>
          </cell>
          <cell r="AA763">
            <v>11000000</v>
          </cell>
          <cell r="AB763">
            <v>7.2999999999999995E-2</v>
          </cell>
          <cell r="AC763">
            <v>803000</v>
          </cell>
          <cell r="AD763">
            <v>96360</v>
          </cell>
          <cell r="AE763">
            <v>0.12</v>
          </cell>
          <cell r="AF763">
            <v>43921</v>
          </cell>
          <cell r="AG763" t="str">
            <v>DAP HZ</v>
          </cell>
          <cell r="AK763">
            <v>0.3</v>
          </cell>
          <cell r="AL763">
            <v>3300000</v>
          </cell>
          <cell r="AM763">
            <v>43922</v>
          </cell>
          <cell r="AN763" t="str">
            <v>Yes</v>
          </cell>
          <cell r="AO763">
            <v>0.7</v>
          </cell>
          <cell r="AP763">
            <v>7699999.9999999991</v>
          </cell>
          <cell r="AQ763">
            <v>43974</v>
          </cell>
          <cell r="AR763">
            <v>43977</v>
          </cell>
          <cell r="AS763">
            <v>0</v>
          </cell>
          <cell r="AT763">
            <v>0</v>
          </cell>
          <cell r="AX763" t="str">
            <v>Yes</v>
          </cell>
          <cell r="AZ763" t="str">
            <v>Yes</v>
          </cell>
          <cell r="BA763" t="str">
            <v>Yes</v>
          </cell>
        </row>
        <row r="764">
          <cell r="B764">
            <v>613</v>
          </cell>
          <cell r="C764" t="str">
            <v>C49SZX20200041JY</v>
          </cell>
          <cell r="D764" t="str">
            <v>晟锦威</v>
          </cell>
          <cell r="E764" t="str">
            <v>YSM20R(SV)-2</v>
          </cell>
          <cell r="F764" t="str">
            <v>#04459</v>
          </cell>
          <cell r="G764" t="e">
            <v>#REF!</v>
          </cell>
          <cell r="H764" t="e">
            <v>#REF!</v>
          </cell>
          <cell r="I764" t="str">
            <v>R-&gt;L</v>
          </cell>
          <cell r="J764" t="str">
            <v>No</v>
          </cell>
          <cell r="K764">
            <v>1</v>
          </cell>
          <cell r="L764">
            <v>109749</v>
          </cell>
          <cell r="M764" t="str">
            <v>APR 20</v>
          </cell>
          <cell r="N764">
            <v>43941</v>
          </cell>
          <cell r="O764">
            <v>11100384</v>
          </cell>
          <cell r="P764">
            <v>930000</v>
          </cell>
          <cell r="Q764">
            <v>43922</v>
          </cell>
          <cell r="R764" t="str">
            <v>Yes</v>
          </cell>
          <cell r="S764" t="str">
            <v>C49</v>
          </cell>
          <cell r="T764" t="str">
            <v>SOUTH</v>
          </cell>
          <cell r="U764" t="str">
            <v>深圳</v>
          </cell>
          <cell r="V764" t="str">
            <v>SZ 深圳</v>
          </cell>
          <cell r="W764" t="str">
            <v>JY</v>
          </cell>
          <cell r="X764" t="str">
            <v>RMB</v>
          </cell>
          <cell r="Y764">
            <v>930000</v>
          </cell>
          <cell r="Z764">
            <v>1.1299999999999999</v>
          </cell>
          <cell r="AA764">
            <v>930000</v>
          </cell>
          <cell r="AB764">
            <v>1.095</v>
          </cell>
          <cell r="AC764">
            <v>901194.69026548683</v>
          </cell>
          <cell r="AD764">
            <v>108143.36283185841</v>
          </cell>
          <cell r="AE764">
            <v>0.12</v>
          </cell>
          <cell r="AF764">
            <v>43923</v>
          </cell>
          <cell r="AG764" t="str">
            <v>含税到厂</v>
          </cell>
          <cell r="AK764" t="str">
            <v>agree</v>
          </cell>
          <cell r="AL764">
            <v>410000</v>
          </cell>
          <cell r="AM764">
            <v>43922</v>
          </cell>
          <cell r="AN764" t="str">
            <v>Yes</v>
          </cell>
          <cell r="AO764" t="str">
            <v>agree</v>
          </cell>
          <cell r="AP764">
            <v>1000000</v>
          </cell>
          <cell r="AQ764">
            <v>43937</v>
          </cell>
          <cell r="AR764">
            <v>43937</v>
          </cell>
          <cell r="AS764">
            <v>0</v>
          </cell>
          <cell r="AT764">
            <v>0</v>
          </cell>
          <cell r="AX764" t="str">
            <v>Yes</v>
          </cell>
        </row>
        <row r="765">
          <cell r="B765">
            <v>614</v>
          </cell>
          <cell r="C765" t="str">
            <v>C49SZX20200041JY</v>
          </cell>
          <cell r="D765" t="str">
            <v>晟锦威</v>
          </cell>
          <cell r="E765" t="str">
            <v>YSM10</v>
          </cell>
          <cell r="F765" t="str">
            <v>#04459</v>
          </cell>
          <cell r="G765" t="e">
            <v>#REF!</v>
          </cell>
          <cell r="H765" t="e">
            <v>#REF!</v>
          </cell>
          <cell r="I765" t="str">
            <v>R-&gt;L</v>
          </cell>
          <cell r="J765" t="str">
            <v>MVC</v>
          </cell>
          <cell r="K765">
            <v>1</v>
          </cell>
          <cell r="L765">
            <v>109783</v>
          </cell>
          <cell r="M765" t="str">
            <v>APR 20</v>
          </cell>
          <cell r="N765">
            <v>43941</v>
          </cell>
          <cell r="O765">
            <v>11100383</v>
          </cell>
          <cell r="P765">
            <v>580000</v>
          </cell>
          <cell r="Q765">
            <v>43922</v>
          </cell>
          <cell r="R765" t="str">
            <v>Yes</v>
          </cell>
          <cell r="S765" t="str">
            <v>C49</v>
          </cell>
          <cell r="T765" t="str">
            <v>SOUTH</v>
          </cell>
          <cell r="U765" t="str">
            <v>深圳</v>
          </cell>
          <cell r="V765" t="str">
            <v>SZ 深圳</v>
          </cell>
          <cell r="W765" t="str">
            <v>JY</v>
          </cell>
          <cell r="X765" t="str">
            <v>RMB</v>
          </cell>
          <cell r="Y765">
            <v>580000</v>
          </cell>
          <cell r="Z765">
            <v>1.1299999999999999</v>
          </cell>
          <cell r="AA765">
            <v>580000</v>
          </cell>
          <cell r="AB765">
            <v>1.095</v>
          </cell>
          <cell r="AC765">
            <v>562035.39823008853</v>
          </cell>
          <cell r="AD765">
            <v>67444.247787610628</v>
          </cell>
          <cell r="AE765">
            <v>0.12</v>
          </cell>
          <cell r="AF765">
            <v>43923</v>
          </cell>
          <cell r="AG765" t="str">
            <v>含税到厂</v>
          </cell>
          <cell r="AK765" t="str">
            <v>agree</v>
          </cell>
          <cell r="AL765">
            <v>50000</v>
          </cell>
          <cell r="AM765">
            <v>43922</v>
          </cell>
          <cell r="AN765" t="str">
            <v>Yes</v>
          </cell>
          <cell r="AO765" t="str">
            <v>agree</v>
          </cell>
          <cell r="AP765">
            <v>0</v>
          </cell>
          <cell r="AQ765">
            <v>43937</v>
          </cell>
          <cell r="AR765">
            <v>43937</v>
          </cell>
          <cell r="AS765">
            <v>0</v>
          </cell>
          <cell r="AT765">
            <v>0</v>
          </cell>
          <cell r="AX765" t="str">
            <v>Yes</v>
          </cell>
        </row>
        <row r="766">
          <cell r="B766">
            <v>615</v>
          </cell>
          <cell r="C766" t="str">
            <v>C49SZX20200038SX</v>
          </cell>
          <cell r="D766" t="str">
            <v>中研</v>
          </cell>
          <cell r="E766" t="str">
            <v>YSM10</v>
          </cell>
          <cell r="F766" t="str">
            <v>#75685</v>
          </cell>
          <cell r="G766" t="e">
            <v>#REF!</v>
          </cell>
          <cell r="H766" t="e">
            <v>#REF!</v>
          </cell>
          <cell r="I766" t="str">
            <v>L-&gt;R</v>
          </cell>
          <cell r="J766" t="str">
            <v>MVC+Fixed feeder plate 24 positions</v>
          </cell>
          <cell r="K766">
            <v>1</v>
          </cell>
          <cell r="L766">
            <v>109665</v>
          </cell>
          <cell r="M766" t="str">
            <v>APR 20</v>
          </cell>
          <cell r="N766">
            <v>43931</v>
          </cell>
          <cell r="O766">
            <v>11116374</v>
          </cell>
          <cell r="P766">
            <v>8300000</v>
          </cell>
          <cell r="Q766">
            <v>43922</v>
          </cell>
          <cell r="R766" t="str">
            <v>No</v>
          </cell>
          <cell r="S766" t="str">
            <v>C49</v>
          </cell>
          <cell r="T766" t="str">
            <v>SOUTH</v>
          </cell>
          <cell r="U766" t="str">
            <v>東莞</v>
          </cell>
          <cell r="V766" t="str">
            <v>SZ 深圳</v>
          </cell>
          <cell r="W766" t="str">
            <v>SX</v>
          </cell>
          <cell r="X766" t="str">
            <v>JPY</v>
          </cell>
          <cell r="Y766">
            <v>8300000</v>
          </cell>
          <cell r="Z766">
            <v>1</v>
          </cell>
          <cell r="AA766">
            <v>8300000</v>
          </cell>
          <cell r="AB766">
            <v>7.3599999999999999E-2</v>
          </cell>
          <cell r="AC766">
            <v>610880</v>
          </cell>
          <cell r="AD766">
            <v>73305.599999999991</v>
          </cell>
          <cell r="AE766">
            <v>0.12</v>
          </cell>
          <cell r="AF766">
            <v>43923</v>
          </cell>
          <cell r="AG766" t="str">
            <v>DAP DG</v>
          </cell>
          <cell r="AK766" t="str">
            <v>agree</v>
          </cell>
          <cell r="AL766">
            <v>4587576</v>
          </cell>
          <cell r="AM766">
            <v>43862</v>
          </cell>
          <cell r="AN766" t="str">
            <v>Yes</v>
          </cell>
          <cell r="AO766" t="str">
            <v>agree</v>
          </cell>
          <cell r="AP766">
            <v>3712424</v>
          </cell>
          <cell r="AQ766">
            <v>43922</v>
          </cell>
          <cell r="AR766">
            <v>43930</v>
          </cell>
          <cell r="AS766">
            <v>0</v>
          </cell>
          <cell r="AT766">
            <v>0</v>
          </cell>
          <cell r="AX766" t="str">
            <v>Yes</v>
          </cell>
          <cell r="AZ766" t="str">
            <v>Yes</v>
          </cell>
          <cell r="BA766" t="str">
            <v>Yes</v>
          </cell>
        </row>
        <row r="767">
          <cell r="B767">
            <v>616</v>
          </cell>
          <cell r="C767" t="str">
            <v>C49SZX20200006KW</v>
          </cell>
          <cell r="D767" t="str">
            <v>伟盛贸易(富洛）/晶科</v>
          </cell>
          <cell r="E767" t="str">
            <v>SIGMA G5S2</v>
          </cell>
          <cell r="F767" t="str">
            <v>#03804</v>
          </cell>
          <cell r="G767" t="e">
            <v>#REF!</v>
          </cell>
          <cell r="H767" t="e">
            <v>#REF!</v>
          </cell>
          <cell r="I767" t="str">
            <v>L-&gt;R</v>
          </cell>
          <cell r="J767" t="str">
            <v>No</v>
          </cell>
          <cell r="K767">
            <v>1</v>
          </cell>
          <cell r="L767">
            <v>109873</v>
          </cell>
          <cell r="M767" t="str">
            <v>JUN 20</v>
          </cell>
          <cell r="N767">
            <v>43992</v>
          </cell>
          <cell r="O767">
            <v>11116394</v>
          </cell>
          <cell r="P767">
            <v>15800000</v>
          </cell>
          <cell r="Q767">
            <v>44002</v>
          </cell>
          <cell r="R767" t="str">
            <v>No</v>
          </cell>
          <cell r="S767" t="str">
            <v>C49</v>
          </cell>
          <cell r="T767" t="str">
            <v>SOUTH</v>
          </cell>
          <cell r="U767" t="str">
            <v>香港</v>
          </cell>
          <cell r="V767" t="str">
            <v>SZ 深圳</v>
          </cell>
          <cell r="W767" t="str">
            <v>KW</v>
          </cell>
          <cell r="X767" t="str">
            <v>JPY</v>
          </cell>
          <cell r="Y767">
            <v>15800000</v>
          </cell>
          <cell r="Z767">
            <v>1</v>
          </cell>
          <cell r="AA767">
            <v>15800000</v>
          </cell>
          <cell r="AB767">
            <v>7.3599999999999999E-2</v>
          </cell>
          <cell r="AC767">
            <v>1162880</v>
          </cell>
          <cell r="AD767">
            <v>139545.60000000001</v>
          </cell>
          <cell r="AE767">
            <v>0.12</v>
          </cell>
          <cell r="AF767">
            <v>43931</v>
          </cell>
          <cell r="AG767" t="str">
            <v>CIF HK</v>
          </cell>
          <cell r="AK767">
            <v>0.3</v>
          </cell>
          <cell r="AL767">
            <v>4740000</v>
          </cell>
          <cell r="AM767">
            <v>43922</v>
          </cell>
          <cell r="AN767" t="str">
            <v>Yes</v>
          </cell>
          <cell r="AO767">
            <v>0.6</v>
          </cell>
          <cell r="AP767">
            <v>9480000</v>
          </cell>
          <cell r="AQ767">
            <v>44002</v>
          </cell>
          <cell r="AR767">
            <v>43985</v>
          </cell>
          <cell r="AS767">
            <v>0.1</v>
          </cell>
          <cell r="AT767">
            <v>1580000</v>
          </cell>
          <cell r="AU767">
            <v>44063</v>
          </cell>
          <cell r="AV767">
            <v>44068</v>
          </cell>
          <cell r="AX767" t="str">
            <v>Yes</v>
          </cell>
        </row>
        <row r="768">
          <cell r="B768">
            <v>617</v>
          </cell>
          <cell r="C768" t="str">
            <v>C49SZX20200045SX</v>
          </cell>
          <cell r="D768" t="str">
            <v>百厚</v>
          </cell>
          <cell r="E768" t="str">
            <v>YSM20R(SV)-2</v>
          </cell>
          <cell r="F768" t="str">
            <v>#04500</v>
          </cell>
          <cell r="G768" t="e">
            <v>#REF!</v>
          </cell>
          <cell r="H768" t="e">
            <v>#REF!</v>
          </cell>
          <cell r="I768" t="str">
            <v>L-&gt;R</v>
          </cell>
          <cell r="J768" t="str">
            <v>MVC</v>
          </cell>
          <cell r="K768">
            <v>1</v>
          </cell>
          <cell r="L768" t="e">
            <v>#REF!</v>
          </cell>
          <cell r="M768" t="e">
            <v>#REF!</v>
          </cell>
          <cell r="N768"/>
          <cell r="O768"/>
          <cell r="P768"/>
          <cell r="Q768"/>
          <cell r="R768" t="str">
            <v>Yes</v>
          </cell>
          <cell r="S768" t="str">
            <v>C49</v>
          </cell>
          <cell r="T768" t="str">
            <v>SOUTH</v>
          </cell>
          <cell r="U768" t="str">
            <v>深圳</v>
          </cell>
          <cell r="V768" t="str">
            <v>SZ 深圳</v>
          </cell>
          <cell r="W768" t="str">
            <v>SX</v>
          </cell>
          <cell r="X768" t="str">
            <v>RMB</v>
          </cell>
          <cell r="Y768">
            <v>1067000</v>
          </cell>
          <cell r="Z768">
            <v>1.1299999999999999</v>
          </cell>
          <cell r="AA768">
            <v>1067000</v>
          </cell>
          <cell r="AB768">
            <v>1.095</v>
          </cell>
          <cell r="AC768">
            <v>1033951.3274336284</v>
          </cell>
          <cell r="AD768">
            <v>124074.1592920354</v>
          </cell>
          <cell r="AE768">
            <v>0.12</v>
          </cell>
          <cell r="AF768">
            <v>43935</v>
          </cell>
          <cell r="AG768" t="str">
            <v>含税到厂</v>
          </cell>
          <cell r="AI768"/>
          <cell r="AJ768"/>
          <cell r="AK768">
            <v>0.2</v>
          </cell>
          <cell r="AL768">
            <v>213400</v>
          </cell>
          <cell r="AM768"/>
          <cell r="AN768" t="str">
            <v>No</v>
          </cell>
          <cell r="AO768">
            <v>0.8</v>
          </cell>
          <cell r="AP768">
            <v>853600</v>
          </cell>
          <cell r="AQ768"/>
          <cell r="AR768"/>
          <cell r="AS768">
            <v>0</v>
          </cell>
          <cell r="AT768">
            <v>0</v>
          </cell>
          <cell r="AV768"/>
          <cell r="AX768" t="str">
            <v>Cancel</v>
          </cell>
          <cell r="AY768"/>
          <cell r="AZ768"/>
          <cell r="BA768" t="str">
            <v>Cancel</v>
          </cell>
        </row>
        <row r="769">
          <cell r="B769">
            <v>618</v>
          </cell>
          <cell r="C769" t="str">
            <v>C49SZX20200050SX</v>
          </cell>
          <cell r="D769" t="str">
            <v>中研</v>
          </cell>
          <cell r="E769" t="str">
            <v>YSM20R(SV)-2</v>
          </cell>
          <cell r="F769" t="str">
            <v>#75685</v>
          </cell>
          <cell r="G769" t="e">
            <v>#REF!</v>
          </cell>
          <cell r="H769" t="e">
            <v>#REF!</v>
          </cell>
          <cell r="I769" t="str">
            <v>L-&gt;R</v>
          </cell>
          <cell r="J769" t="str">
            <v>No</v>
          </cell>
          <cell r="K769">
            <v>1</v>
          </cell>
          <cell r="L769">
            <v>109775</v>
          </cell>
          <cell r="M769" t="str">
            <v>APR 20</v>
          </cell>
          <cell r="N769">
            <v>43930</v>
          </cell>
          <cell r="O769">
            <v>11100386</v>
          </cell>
          <cell r="P769">
            <v>790000</v>
          </cell>
          <cell r="Q769">
            <v>43922</v>
          </cell>
          <cell r="R769" t="str">
            <v>No</v>
          </cell>
          <cell r="S769" t="str">
            <v>C49</v>
          </cell>
          <cell r="T769" t="str">
            <v>SOUTH</v>
          </cell>
          <cell r="U769" t="str">
            <v>深圳</v>
          </cell>
          <cell r="V769" t="str">
            <v>SZ 深圳</v>
          </cell>
          <cell r="W769" t="str">
            <v>SX</v>
          </cell>
          <cell r="X769" t="str">
            <v>RMB</v>
          </cell>
          <cell r="Y769">
            <v>790000</v>
          </cell>
          <cell r="Z769">
            <v>1.1299999999999999</v>
          </cell>
          <cell r="AA769">
            <v>790000</v>
          </cell>
          <cell r="AB769">
            <v>1.095</v>
          </cell>
          <cell r="AC769">
            <v>765530.97345132753</v>
          </cell>
          <cell r="AD769">
            <v>91863.716814159299</v>
          </cell>
          <cell r="AE769">
            <v>0.12</v>
          </cell>
          <cell r="AF769">
            <v>43938</v>
          </cell>
          <cell r="AG769" t="str">
            <v>含税到厂</v>
          </cell>
          <cell r="AK769">
            <v>0.2</v>
          </cell>
          <cell r="AL769">
            <v>158000</v>
          </cell>
          <cell r="AM769">
            <v>43922</v>
          </cell>
          <cell r="AN769" t="str">
            <v>Yes</v>
          </cell>
          <cell r="AO769">
            <v>0.8</v>
          </cell>
          <cell r="AP769">
            <v>632000</v>
          </cell>
          <cell r="AQ769">
            <v>43922</v>
          </cell>
          <cell r="AR769">
            <v>43948</v>
          </cell>
          <cell r="AS769">
            <v>0</v>
          </cell>
          <cell r="AT769">
            <v>0</v>
          </cell>
          <cell r="AX769" t="str">
            <v>Yes</v>
          </cell>
          <cell r="AZ769" t="str">
            <v>Yes</v>
          </cell>
          <cell r="BA769" t="str">
            <v>Yes</v>
          </cell>
        </row>
        <row r="770">
          <cell r="B770">
            <v>619</v>
          </cell>
          <cell r="C770" t="str">
            <v>C49SZX20200049MX</v>
          </cell>
          <cell r="D770" t="str">
            <v>智序</v>
          </cell>
          <cell r="E770" t="str">
            <v>YSM20R(SV)-2</v>
          </cell>
          <cell r="F770" t="str">
            <v>#04528</v>
          </cell>
          <cell r="G770" t="e">
            <v>#REF!</v>
          </cell>
          <cell r="H770" t="e">
            <v>#REF!</v>
          </cell>
          <cell r="I770" t="str">
            <v>L-&gt;R</v>
          </cell>
          <cell r="J770" t="str">
            <v>No</v>
          </cell>
          <cell r="K770">
            <v>1</v>
          </cell>
          <cell r="L770">
            <v>109855</v>
          </cell>
          <cell r="M770" t="str">
            <v>MAY 20</v>
          </cell>
          <cell r="N770">
            <v>43971</v>
          </cell>
          <cell r="O770">
            <v>11100392</v>
          </cell>
          <cell r="P770">
            <v>830000</v>
          </cell>
          <cell r="Q770">
            <v>43971</v>
          </cell>
          <cell r="R770" t="str">
            <v>Yes</v>
          </cell>
          <cell r="S770" t="str">
            <v>C49</v>
          </cell>
          <cell r="T770" t="str">
            <v>SOUTH</v>
          </cell>
          <cell r="U770" t="str">
            <v>深圳</v>
          </cell>
          <cell r="V770" t="str">
            <v>SZ 深圳</v>
          </cell>
          <cell r="W770" t="str">
            <v>MX</v>
          </cell>
          <cell r="X770" t="str">
            <v>RMB</v>
          </cell>
          <cell r="Y770">
            <v>830000</v>
          </cell>
          <cell r="Z770">
            <v>1.1299999999999999</v>
          </cell>
          <cell r="AA770">
            <v>830000</v>
          </cell>
          <cell r="AB770">
            <v>1.095</v>
          </cell>
          <cell r="AC770">
            <v>804292.03539823007</v>
          </cell>
          <cell r="AD770">
            <v>96515.044247787606</v>
          </cell>
          <cell r="AE770">
            <v>0.12</v>
          </cell>
          <cell r="AF770">
            <v>43938</v>
          </cell>
          <cell r="AG770" t="str">
            <v>含税到厂</v>
          </cell>
          <cell r="AI770">
            <v>100000</v>
          </cell>
          <cell r="AJ770">
            <v>43943</v>
          </cell>
          <cell r="AK770">
            <v>0.1</v>
          </cell>
          <cell r="AL770">
            <v>83000</v>
          </cell>
          <cell r="AM770">
            <v>43943</v>
          </cell>
          <cell r="AN770" t="str">
            <v>Yes</v>
          </cell>
          <cell r="AO770">
            <v>0.9</v>
          </cell>
          <cell r="AP770">
            <v>747000</v>
          </cell>
          <cell r="AQ770">
            <v>43971</v>
          </cell>
          <cell r="AR770">
            <v>43969</v>
          </cell>
          <cell r="AS770">
            <v>0</v>
          </cell>
          <cell r="AT770">
            <v>0</v>
          </cell>
          <cell r="AX770" t="str">
            <v>Yes</v>
          </cell>
          <cell r="AZ770" t="str">
            <v>Yes</v>
          </cell>
          <cell r="BA770" t="str">
            <v>Yes</v>
          </cell>
        </row>
        <row r="771">
          <cell r="B771">
            <v>620</v>
          </cell>
          <cell r="C771" t="str">
            <v>C49SZX20200049MX</v>
          </cell>
          <cell r="D771" t="str">
            <v>智序</v>
          </cell>
          <cell r="E771" t="str">
            <v>YSM20R(SV)-2</v>
          </cell>
          <cell r="F771" t="str">
            <v>#04528</v>
          </cell>
          <cell r="G771" t="e">
            <v>#REF!</v>
          </cell>
          <cell r="H771" t="e">
            <v>#REF!</v>
          </cell>
          <cell r="I771" t="str">
            <v>L-&gt;R</v>
          </cell>
          <cell r="J771" t="str">
            <v>No</v>
          </cell>
          <cell r="K771">
            <v>1</v>
          </cell>
          <cell r="L771">
            <v>109855</v>
          </cell>
          <cell r="M771" t="str">
            <v>MAY 20</v>
          </cell>
          <cell r="N771">
            <v>43971</v>
          </cell>
          <cell r="O771">
            <v>11100392</v>
          </cell>
          <cell r="P771">
            <v>830000</v>
          </cell>
          <cell r="Q771">
            <v>43972</v>
          </cell>
          <cell r="R771" t="str">
            <v>Yes</v>
          </cell>
          <cell r="S771" t="str">
            <v>C49</v>
          </cell>
          <cell r="T771" t="str">
            <v>SOUTH</v>
          </cell>
          <cell r="U771" t="str">
            <v>深圳</v>
          </cell>
          <cell r="V771" t="str">
            <v>SZ 深圳</v>
          </cell>
          <cell r="W771" t="str">
            <v>MX</v>
          </cell>
          <cell r="X771" t="str">
            <v>RMB</v>
          </cell>
          <cell r="Y771">
            <v>830000</v>
          </cell>
          <cell r="Z771">
            <v>1.1299999999999999</v>
          </cell>
          <cell r="AA771">
            <v>830000</v>
          </cell>
          <cell r="AB771">
            <v>1.095</v>
          </cell>
          <cell r="AC771">
            <v>804292.03539823007</v>
          </cell>
          <cell r="AD771">
            <v>96515.044247787606</v>
          </cell>
          <cell r="AE771">
            <v>0.12</v>
          </cell>
          <cell r="AF771">
            <v>43938</v>
          </cell>
          <cell r="AG771" t="str">
            <v>含税到厂</v>
          </cell>
          <cell r="AI771">
            <v>32000</v>
          </cell>
          <cell r="AJ771">
            <v>43964</v>
          </cell>
          <cell r="AK771">
            <v>0.1</v>
          </cell>
          <cell r="AL771">
            <v>83000</v>
          </cell>
          <cell r="AM771">
            <v>43944</v>
          </cell>
          <cell r="AN771" t="str">
            <v>Yes</v>
          </cell>
          <cell r="AO771">
            <v>0.9</v>
          </cell>
          <cell r="AP771">
            <v>747000</v>
          </cell>
          <cell r="AQ771">
            <v>43972</v>
          </cell>
          <cell r="AR771">
            <v>43969</v>
          </cell>
          <cell r="AS771">
            <v>0</v>
          </cell>
          <cell r="AT771">
            <v>0</v>
          </cell>
          <cell r="AX771" t="str">
            <v>Yes</v>
          </cell>
          <cell r="AZ771" t="str">
            <v>Yes</v>
          </cell>
          <cell r="BA771" t="str">
            <v>Yes</v>
          </cell>
        </row>
        <row r="772">
          <cell r="B772">
            <v>621</v>
          </cell>
          <cell r="C772" t="str">
            <v>C49SZX20200049MX</v>
          </cell>
          <cell r="D772" t="str">
            <v>智序</v>
          </cell>
          <cell r="E772" t="str">
            <v>YSM20R(SV)-2</v>
          </cell>
          <cell r="F772" t="str">
            <v>#04528</v>
          </cell>
          <cell r="G772" t="e">
            <v>#REF!</v>
          </cell>
          <cell r="H772" t="e">
            <v>#REF!</v>
          </cell>
          <cell r="I772" t="str">
            <v>L-&gt;R</v>
          </cell>
          <cell r="J772" t="str">
            <v>No</v>
          </cell>
          <cell r="K772">
            <v>1</v>
          </cell>
          <cell r="L772">
            <v>109855</v>
          </cell>
          <cell r="M772" t="str">
            <v>MAY 20</v>
          </cell>
          <cell r="N772">
            <v>43971</v>
          </cell>
          <cell r="O772">
            <v>11100392</v>
          </cell>
          <cell r="P772">
            <v>830000</v>
          </cell>
          <cell r="Q772">
            <v>43973</v>
          </cell>
          <cell r="R772" t="str">
            <v>Yes</v>
          </cell>
          <cell r="S772" t="str">
            <v>C49</v>
          </cell>
          <cell r="T772" t="str">
            <v>SOUTH</v>
          </cell>
          <cell r="U772" t="str">
            <v>深圳</v>
          </cell>
          <cell r="V772" t="str">
            <v>SZ 深圳</v>
          </cell>
          <cell r="W772" t="str">
            <v>MX</v>
          </cell>
          <cell r="X772" t="str">
            <v>RMB</v>
          </cell>
          <cell r="Y772">
            <v>830000</v>
          </cell>
          <cell r="Z772">
            <v>1.1299999999999999</v>
          </cell>
          <cell r="AA772">
            <v>830000</v>
          </cell>
          <cell r="AB772">
            <v>1.095</v>
          </cell>
          <cell r="AC772">
            <v>804292.03539823007</v>
          </cell>
          <cell r="AD772">
            <v>96515.044247787606</v>
          </cell>
          <cell r="AE772">
            <v>0.12</v>
          </cell>
          <cell r="AF772">
            <v>43938</v>
          </cell>
          <cell r="AG772" t="str">
            <v>含税到厂</v>
          </cell>
          <cell r="AI772">
            <v>100000</v>
          </cell>
          <cell r="AJ772">
            <v>43964</v>
          </cell>
          <cell r="AK772">
            <v>0.1</v>
          </cell>
          <cell r="AL772">
            <v>83000</v>
          </cell>
          <cell r="AM772">
            <v>43945</v>
          </cell>
          <cell r="AN772" t="str">
            <v>Yes</v>
          </cell>
          <cell r="AO772">
            <v>0.9</v>
          </cell>
          <cell r="AP772">
            <v>747000</v>
          </cell>
          <cell r="AQ772">
            <v>43973</v>
          </cell>
          <cell r="AR772">
            <v>43969</v>
          </cell>
          <cell r="AS772">
            <v>0</v>
          </cell>
          <cell r="AT772">
            <v>0</v>
          </cell>
          <cell r="AX772" t="str">
            <v>Yes</v>
          </cell>
          <cell r="AZ772" t="str">
            <v>Yes</v>
          </cell>
          <cell r="BA772" t="str">
            <v>Yes</v>
          </cell>
        </row>
        <row r="773">
          <cell r="B773">
            <v>622</v>
          </cell>
          <cell r="C773" t="str">
            <v>C49SZX20200049MX</v>
          </cell>
          <cell r="D773" t="str">
            <v>智序</v>
          </cell>
          <cell r="E773" t="str">
            <v>YSM20R(SV)-2</v>
          </cell>
          <cell r="F773" t="str">
            <v>#04528</v>
          </cell>
          <cell r="G773" t="e">
            <v>#REF!</v>
          </cell>
          <cell r="H773" t="e">
            <v>#REF!</v>
          </cell>
          <cell r="I773" t="str">
            <v>L-&gt;R</v>
          </cell>
          <cell r="J773" t="str">
            <v>No</v>
          </cell>
          <cell r="K773">
            <v>1</v>
          </cell>
          <cell r="L773">
            <v>109855</v>
          </cell>
          <cell r="M773" t="str">
            <v>MAY 20</v>
          </cell>
          <cell r="N773">
            <v>43971</v>
          </cell>
          <cell r="O773">
            <v>11100392</v>
          </cell>
          <cell r="P773">
            <v>830000</v>
          </cell>
          <cell r="Q773">
            <v>43974</v>
          </cell>
          <cell r="R773" t="str">
            <v>Yes</v>
          </cell>
          <cell r="S773" t="str">
            <v>C49</v>
          </cell>
          <cell r="T773" t="str">
            <v>SOUTH</v>
          </cell>
          <cell r="U773" t="str">
            <v>深圳</v>
          </cell>
          <cell r="V773" t="str">
            <v>SZ 深圳</v>
          </cell>
          <cell r="W773" t="str">
            <v>MX</v>
          </cell>
          <cell r="X773" t="str">
            <v>RMB</v>
          </cell>
          <cell r="Y773">
            <v>830000</v>
          </cell>
          <cell r="Z773">
            <v>1.1299999999999999</v>
          </cell>
          <cell r="AA773">
            <v>830000</v>
          </cell>
          <cell r="AB773">
            <v>1.095</v>
          </cell>
          <cell r="AC773">
            <v>804292.03539823007</v>
          </cell>
          <cell r="AD773">
            <v>96515.044247787606</v>
          </cell>
          <cell r="AE773">
            <v>0.12</v>
          </cell>
          <cell r="AF773">
            <v>43938</v>
          </cell>
          <cell r="AG773" t="str">
            <v>含税到厂</v>
          </cell>
          <cell r="AI773">
            <v>100000</v>
          </cell>
          <cell r="AJ773">
            <v>43964</v>
          </cell>
          <cell r="AK773">
            <v>0.1</v>
          </cell>
          <cell r="AL773">
            <v>83000</v>
          </cell>
          <cell r="AM773">
            <v>43946</v>
          </cell>
          <cell r="AN773" t="str">
            <v>Yes</v>
          </cell>
          <cell r="AO773">
            <v>0.9</v>
          </cell>
          <cell r="AP773">
            <v>747000</v>
          </cell>
          <cell r="AQ773">
            <v>43974</v>
          </cell>
          <cell r="AR773">
            <v>43969</v>
          </cell>
          <cell r="AS773">
            <v>0</v>
          </cell>
          <cell r="AT773">
            <v>0</v>
          </cell>
          <cell r="AX773" t="str">
            <v>Yes</v>
          </cell>
          <cell r="AZ773" t="str">
            <v>Yes</v>
          </cell>
          <cell r="BA773" t="str">
            <v>Yes</v>
          </cell>
        </row>
        <row r="774">
          <cell r="B774">
            <v>623</v>
          </cell>
          <cell r="C774" t="str">
            <v>C49SZX20200042JL</v>
          </cell>
          <cell r="D774" t="str">
            <v>铭翔</v>
          </cell>
          <cell r="E774" t="str">
            <v>YSM10</v>
          </cell>
          <cell r="F774" t="str">
            <v>#54542</v>
          </cell>
          <cell r="G774" t="e">
            <v>#REF!</v>
          </cell>
          <cell r="H774" t="e">
            <v>#REF!</v>
          </cell>
          <cell r="I774" t="str">
            <v>L-&gt;R</v>
          </cell>
          <cell r="J774" t="str">
            <v>MVC</v>
          </cell>
          <cell r="K774">
            <v>1</v>
          </cell>
          <cell r="L774">
            <v>109783</v>
          </cell>
          <cell r="M774" t="str">
            <v>APR 20</v>
          </cell>
          <cell r="N774">
            <v>43942</v>
          </cell>
          <cell r="O774">
            <v>11100385</v>
          </cell>
          <cell r="P774">
            <v>530000</v>
          </cell>
          <cell r="Q774">
            <v>43922</v>
          </cell>
          <cell r="R774" t="str">
            <v>No</v>
          </cell>
          <cell r="S774" t="str">
            <v>C49</v>
          </cell>
          <cell r="T774" t="str">
            <v>SOUTH</v>
          </cell>
          <cell r="U774" t="str">
            <v>东莞</v>
          </cell>
          <cell r="V774" t="str">
            <v>SZ 深圳</v>
          </cell>
          <cell r="W774" t="str">
            <v>JL</v>
          </cell>
          <cell r="X774" t="str">
            <v>RMB</v>
          </cell>
          <cell r="Y774">
            <v>530000</v>
          </cell>
          <cell r="Z774">
            <v>1.1299999999999999</v>
          </cell>
          <cell r="AA774">
            <v>530000</v>
          </cell>
          <cell r="AB774">
            <v>1.095</v>
          </cell>
          <cell r="AC774">
            <v>513584.0707964602</v>
          </cell>
          <cell r="AD774">
            <v>61630.088495575219</v>
          </cell>
          <cell r="AE774">
            <v>0.12</v>
          </cell>
          <cell r="AF774">
            <v>43938</v>
          </cell>
          <cell r="AG774" t="str">
            <v>含税到厂</v>
          </cell>
          <cell r="AK774" t="str">
            <v>agree</v>
          </cell>
          <cell r="AL774">
            <v>140000</v>
          </cell>
          <cell r="AM774">
            <v>43922</v>
          </cell>
          <cell r="AN774" t="str">
            <v>Yes</v>
          </cell>
          <cell r="AO774" t="str">
            <v>agree</v>
          </cell>
          <cell r="AP774">
            <v>330000</v>
          </cell>
          <cell r="AQ774">
            <v>43922</v>
          </cell>
          <cell r="AR774">
            <v>43941</v>
          </cell>
          <cell r="AS774" t="str">
            <v>agree</v>
          </cell>
          <cell r="AT774">
            <v>60000</v>
          </cell>
          <cell r="AU774">
            <v>43971</v>
          </cell>
          <cell r="AV774">
            <v>43969</v>
          </cell>
          <cell r="AX774" t="str">
            <v>Yes</v>
          </cell>
          <cell r="AZ774" t="str">
            <v>Yes</v>
          </cell>
          <cell r="BA774" t="str">
            <v>Yes</v>
          </cell>
        </row>
        <row r="775">
          <cell r="B775">
            <v>624</v>
          </cell>
          <cell r="C775" t="str">
            <v>C49SZX20200048DZ</v>
          </cell>
          <cell r="D775" t="str">
            <v>海星</v>
          </cell>
          <cell r="E775" t="str">
            <v>YSM20R(SV)-2</v>
          </cell>
          <cell r="F775" t="str">
            <v>#29642</v>
          </cell>
          <cell r="G775" t="e">
            <v>#REF!</v>
          </cell>
          <cell r="H775" t="e">
            <v>#REF!</v>
          </cell>
          <cell r="I775" t="str">
            <v>L-&gt;R</v>
          </cell>
          <cell r="J775" t="str">
            <v>cATS10+MVC</v>
          </cell>
          <cell r="K775">
            <v>1</v>
          </cell>
          <cell r="L775">
            <v>109868</v>
          </cell>
          <cell r="M775" t="str">
            <v>JUN 20</v>
          </cell>
          <cell r="N775">
            <v>43994</v>
          </cell>
          <cell r="O775">
            <v>11100404</v>
          </cell>
          <cell r="P775">
            <v>1158250</v>
          </cell>
          <cell r="Q775">
            <v>44002</v>
          </cell>
          <cell r="R775" t="str">
            <v>No</v>
          </cell>
          <cell r="S775" t="str">
            <v>C49</v>
          </cell>
          <cell r="T775" t="str">
            <v>SOUTH</v>
          </cell>
          <cell r="U775" t="str">
            <v>深圳</v>
          </cell>
          <cell r="V775" t="str">
            <v>SZ 深圳</v>
          </cell>
          <cell r="W775" t="str">
            <v>DZ</v>
          </cell>
          <cell r="X775" t="str">
            <v>RMB</v>
          </cell>
          <cell r="Y775">
            <v>1158250</v>
          </cell>
          <cell r="Z775">
            <v>1.1299999999999999</v>
          </cell>
          <cell r="AA775">
            <v>1158250</v>
          </cell>
          <cell r="AB775">
            <v>1.095</v>
          </cell>
          <cell r="AC775">
            <v>1122375</v>
          </cell>
          <cell r="AD775">
            <v>134685</v>
          </cell>
          <cell r="AE775">
            <v>0.12</v>
          </cell>
          <cell r="AF775">
            <v>43938</v>
          </cell>
          <cell r="AG775" t="str">
            <v>含税到厂</v>
          </cell>
          <cell r="AK775">
            <v>0.3</v>
          </cell>
          <cell r="AL775">
            <v>347475</v>
          </cell>
          <cell r="AM775">
            <v>43922</v>
          </cell>
          <cell r="AN775" t="str">
            <v>Yes</v>
          </cell>
          <cell r="AO775">
            <v>0.7</v>
          </cell>
          <cell r="AP775">
            <v>810775</v>
          </cell>
          <cell r="AQ775">
            <v>44002</v>
          </cell>
          <cell r="AR775">
            <v>43992</v>
          </cell>
          <cell r="AS775">
            <v>0</v>
          </cell>
          <cell r="AT775">
            <v>0</v>
          </cell>
          <cell r="AX775" t="str">
            <v>Yes</v>
          </cell>
          <cell r="AZ775" t="str">
            <v>Yes</v>
          </cell>
          <cell r="BA775" t="str">
            <v>Yes</v>
          </cell>
        </row>
        <row r="776">
          <cell r="B776">
            <v>625</v>
          </cell>
          <cell r="C776" t="str">
            <v>C49SZX20200048DZ</v>
          </cell>
          <cell r="D776" t="str">
            <v>海星</v>
          </cell>
          <cell r="E776" t="str">
            <v>YSM20R(SV)-2</v>
          </cell>
          <cell r="F776" t="str">
            <v>#29642</v>
          </cell>
          <cell r="G776" t="e">
            <v>#REF!</v>
          </cell>
          <cell r="H776" t="e">
            <v>#REF!</v>
          </cell>
          <cell r="I776" t="str">
            <v>L-&gt;R</v>
          </cell>
          <cell r="J776" t="str">
            <v>No</v>
          </cell>
          <cell r="K776">
            <v>1</v>
          </cell>
          <cell r="L776">
            <v>109868</v>
          </cell>
          <cell r="M776" t="str">
            <v>JUN 20</v>
          </cell>
          <cell r="N776">
            <v>43994</v>
          </cell>
          <cell r="O776">
            <v>11100404</v>
          </cell>
          <cell r="P776">
            <v>1158250</v>
          </cell>
          <cell r="Q776">
            <v>44002</v>
          </cell>
          <cell r="R776" t="str">
            <v>No</v>
          </cell>
          <cell r="S776" t="str">
            <v>C49</v>
          </cell>
          <cell r="T776" t="str">
            <v>SOUTH</v>
          </cell>
          <cell r="U776" t="str">
            <v>深圳</v>
          </cell>
          <cell r="V776" t="str">
            <v>SZ 深圳</v>
          </cell>
          <cell r="W776" t="str">
            <v>DZ</v>
          </cell>
          <cell r="X776" t="str">
            <v>RMB</v>
          </cell>
          <cell r="Y776">
            <v>1158250</v>
          </cell>
          <cell r="Z776">
            <v>1.1299999999999999</v>
          </cell>
          <cell r="AA776">
            <v>1158250</v>
          </cell>
          <cell r="AB776">
            <v>1.095</v>
          </cell>
          <cell r="AC776">
            <v>1122375</v>
          </cell>
          <cell r="AD776">
            <v>134685</v>
          </cell>
          <cell r="AE776">
            <v>0.12</v>
          </cell>
          <cell r="AF776">
            <v>43938</v>
          </cell>
          <cell r="AG776" t="str">
            <v>含税到厂</v>
          </cell>
          <cell r="AK776">
            <v>0.3</v>
          </cell>
          <cell r="AL776">
            <v>347475</v>
          </cell>
          <cell r="AM776">
            <v>43922</v>
          </cell>
          <cell r="AN776" t="str">
            <v>Yes</v>
          </cell>
          <cell r="AO776">
            <v>0.7</v>
          </cell>
          <cell r="AP776">
            <v>810775</v>
          </cell>
          <cell r="AQ776">
            <v>44003</v>
          </cell>
          <cell r="AR776">
            <v>43992</v>
          </cell>
          <cell r="AS776">
            <v>0</v>
          </cell>
          <cell r="AT776">
            <v>0</v>
          </cell>
          <cell r="AX776" t="str">
            <v>Yes</v>
          </cell>
          <cell r="AZ776" t="str">
            <v>Yes</v>
          </cell>
          <cell r="BA776" t="str">
            <v>Yes</v>
          </cell>
        </row>
        <row r="777">
          <cell r="B777">
            <v>626</v>
          </cell>
          <cell r="C777" t="str">
            <v>C49SZX20200048DZ</v>
          </cell>
          <cell r="D777" t="str">
            <v>海星</v>
          </cell>
          <cell r="E777" t="str">
            <v>YSM20R(SV)-2</v>
          </cell>
          <cell r="F777" t="str">
            <v>#29642</v>
          </cell>
          <cell r="G777" t="e">
            <v>#REF!</v>
          </cell>
          <cell r="H777" t="e">
            <v>#REF!</v>
          </cell>
          <cell r="I777" t="str">
            <v>L-&gt;R</v>
          </cell>
          <cell r="J777" t="str">
            <v>No</v>
          </cell>
          <cell r="K777">
            <v>1</v>
          </cell>
          <cell r="L777">
            <v>109868</v>
          </cell>
          <cell r="M777" t="str">
            <v>JUN 20</v>
          </cell>
          <cell r="N777">
            <v>43994</v>
          </cell>
          <cell r="O777">
            <v>11100404</v>
          </cell>
          <cell r="P777">
            <v>1158250</v>
          </cell>
          <cell r="Q777">
            <v>44002</v>
          </cell>
          <cell r="R777" t="str">
            <v>No</v>
          </cell>
          <cell r="S777" t="str">
            <v>C49</v>
          </cell>
          <cell r="T777" t="str">
            <v>SOUTH</v>
          </cell>
          <cell r="U777" t="str">
            <v>深圳</v>
          </cell>
          <cell r="V777" t="str">
            <v>SZ 深圳</v>
          </cell>
          <cell r="W777" t="str">
            <v>DZ</v>
          </cell>
          <cell r="X777" t="str">
            <v>RMB</v>
          </cell>
          <cell r="Y777">
            <v>1158250</v>
          </cell>
          <cell r="Z777">
            <v>1.1299999999999999</v>
          </cell>
          <cell r="AA777">
            <v>1158250</v>
          </cell>
          <cell r="AB777">
            <v>1.095</v>
          </cell>
          <cell r="AC777">
            <v>1122375</v>
          </cell>
          <cell r="AD777">
            <v>134685</v>
          </cell>
          <cell r="AE777">
            <v>0.12</v>
          </cell>
          <cell r="AF777">
            <v>43938</v>
          </cell>
          <cell r="AG777" t="str">
            <v>含税到厂</v>
          </cell>
          <cell r="AK777">
            <v>0.3</v>
          </cell>
          <cell r="AL777">
            <v>347475</v>
          </cell>
          <cell r="AM777">
            <v>43922</v>
          </cell>
          <cell r="AN777" t="str">
            <v>Yes</v>
          </cell>
          <cell r="AO777">
            <v>0.7</v>
          </cell>
          <cell r="AP777">
            <v>810775</v>
          </cell>
          <cell r="AQ777">
            <v>44004</v>
          </cell>
          <cell r="AR777">
            <v>43992</v>
          </cell>
          <cell r="AS777">
            <v>0</v>
          </cell>
          <cell r="AT777">
            <v>0</v>
          </cell>
          <cell r="AX777" t="str">
            <v>Yes</v>
          </cell>
          <cell r="AZ777" t="str">
            <v>Yes</v>
          </cell>
          <cell r="BA777" t="str">
            <v>Yes</v>
          </cell>
        </row>
        <row r="778">
          <cell r="B778">
            <v>627</v>
          </cell>
          <cell r="C778" t="str">
            <v>C49SZX20200051SX</v>
          </cell>
          <cell r="D778" t="str">
            <v>中科阿尔法</v>
          </cell>
          <cell r="E778" t="str">
            <v>YSM10</v>
          </cell>
          <cell r="F778" t="str">
            <v>#04490</v>
          </cell>
          <cell r="G778" t="e">
            <v>#REF!</v>
          </cell>
          <cell r="H778" t="e">
            <v>#REF!</v>
          </cell>
          <cell r="I778" t="str">
            <v>L-&gt;R</v>
          </cell>
          <cell r="J778" t="str">
            <v>MVC+ATS15</v>
          </cell>
          <cell r="K778">
            <v>1</v>
          </cell>
          <cell r="L778">
            <v>109750</v>
          </cell>
          <cell r="M778" t="str">
            <v>MAY 20</v>
          </cell>
          <cell r="N778">
            <v>43962</v>
          </cell>
          <cell r="O778">
            <v>11100390</v>
          </cell>
          <cell r="P778">
            <v>860000</v>
          </cell>
          <cell r="Q778">
            <v>43971</v>
          </cell>
          <cell r="R778" t="str">
            <v>Yes</v>
          </cell>
          <cell r="S778" t="str">
            <v>C49</v>
          </cell>
          <cell r="T778" t="str">
            <v>SOUTH</v>
          </cell>
          <cell r="U778" t="str">
            <v>广西</v>
          </cell>
          <cell r="V778" t="str">
            <v>SZ 深圳</v>
          </cell>
          <cell r="W778" t="str">
            <v>SX</v>
          </cell>
          <cell r="X778" t="str">
            <v>RMB</v>
          </cell>
          <cell r="Y778">
            <v>860000</v>
          </cell>
          <cell r="Z778">
            <v>1.1299999999999999</v>
          </cell>
          <cell r="AA778">
            <v>860000</v>
          </cell>
          <cell r="AB778">
            <v>1.095</v>
          </cell>
          <cell r="AC778">
            <v>833362.83185840712</v>
          </cell>
          <cell r="AD778">
            <v>100003.53982300885</v>
          </cell>
          <cell r="AE778">
            <v>0.12</v>
          </cell>
          <cell r="AF778">
            <v>43938</v>
          </cell>
          <cell r="AG778" t="str">
            <v>含税到厂</v>
          </cell>
          <cell r="AK778">
            <v>0.3</v>
          </cell>
          <cell r="AL778">
            <v>258000</v>
          </cell>
          <cell r="AM778">
            <v>43922</v>
          </cell>
          <cell r="AN778" t="str">
            <v>Yes</v>
          </cell>
          <cell r="AO778">
            <v>0.65</v>
          </cell>
          <cell r="AP778">
            <v>559000</v>
          </cell>
          <cell r="AQ778">
            <v>43971</v>
          </cell>
          <cell r="AR778">
            <v>43957</v>
          </cell>
          <cell r="AS778">
            <v>0.05</v>
          </cell>
          <cell r="AT778">
            <v>43000</v>
          </cell>
          <cell r="AU778">
            <v>44002</v>
          </cell>
          <cell r="AV778">
            <v>44010</v>
          </cell>
          <cell r="AX778" t="str">
            <v>Yes</v>
          </cell>
          <cell r="AZ778" t="str">
            <v>Yes</v>
          </cell>
          <cell r="BA778" t="str">
            <v>Yes</v>
          </cell>
        </row>
        <row r="779">
          <cell r="B779">
            <v>628</v>
          </cell>
          <cell r="C779" t="str">
            <v>C49SZX20200051SX</v>
          </cell>
          <cell r="D779" t="str">
            <v>中科阿尔法</v>
          </cell>
          <cell r="E779" t="str">
            <v>YSM20R(SV)-2</v>
          </cell>
          <cell r="F779" t="str">
            <v>#04490</v>
          </cell>
          <cell r="G779" t="e">
            <v>#REF!</v>
          </cell>
          <cell r="H779" t="e">
            <v>#REF!</v>
          </cell>
          <cell r="I779" t="str">
            <v>L-&gt;R</v>
          </cell>
          <cell r="J779" t="str">
            <v>No</v>
          </cell>
          <cell r="K779">
            <v>1</v>
          </cell>
          <cell r="L779">
            <v>109775</v>
          </cell>
          <cell r="M779" t="str">
            <v>MAY 20</v>
          </cell>
          <cell r="N779">
            <v>43962</v>
          </cell>
          <cell r="O779">
            <v>11100390</v>
          </cell>
          <cell r="P779">
            <v>1000000</v>
          </cell>
          <cell r="Q779">
            <v>43971</v>
          </cell>
          <cell r="R779" t="str">
            <v>Yes</v>
          </cell>
          <cell r="S779" t="str">
            <v>C49</v>
          </cell>
          <cell r="T779" t="str">
            <v>SOUTH</v>
          </cell>
          <cell r="U779" t="str">
            <v>广西</v>
          </cell>
          <cell r="V779" t="str">
            <v>SZ 深圳</v>
          </cell>
          <cell r="W779" t="str">
            <v>SX</v>
          </cell>
          <cell r="X779" t="str">
            <v>RMB</v>
          </cell>
          <cell r="Y779">
            <v>1000000</v>
          </cell>
          <cell r="Z779">
            <v>1.1299999999999999</v>
          </cell>
          <cell r="AA779">
            <v>1000000</v>
          </cell>
          <cell r="AB779">
            <v>1.095</v>
          </cell>
          <cell r="AC779">
            <v>969026.54867256642</v>
          </cell>
          <cell r="AD779">
            <v>116283.18584070797</v>
          </cell>
          <cell r="AE779">
            <v>0.12</v>
          </cell>
          <cell r="AF779">
            <v>43938</v>
          </cell>
          <cell r="AG779" t="str">
            <v>含税到厂</v>
          </cell>
          <cell r="AK779">
            <v>0.3</v>
          </cell>
          <cell r="AL779">
            <v>300000</v>
          </cell>
          <cell r="AM779">
            <v>43922</v>
          </cell>
          <cell r="AN779" t="str">
            <v>Yes</v>
          </cell>
          <cell r="AO779">
            <v>0.65</v>
          </cell>
          <cell r="AP779">
            <v>650000</v>
          </cell>
          <cell r="AQ779">
            <v>43972</v>
          </cell>
          <cell r="AR779">
            <v>43957</v>
          </cell>
          <cell r="AS779">
            <v>0.05</v>
          </cell>
          <cell r="AT779">
            <v>50000</v>
          </cell>
          <cell r="AU779">
            <v>44002</v>
          </cell>
          <cell r="AV779">
            <v>44010</v>
          </cell>
          <cell r="AX779" t="str">
            <v>Yes</v>
          </cell>
          <cell r="AZ779" t="str">
            <v>Yes</v>
          </cell>
          <cell r="BA779" t="str">
            <v>Yes</v>
          </cell>
        </row>
        <row r="780">
          <cell r="B780">
            <v>629</v>
          </cell>
          <cell r="C780" t="str">
            <v>C28SZX20200034YY</v>
          </cell>
          <cell r="D780" t="str">
            <v>海星</v>
          </cell>
          <cell r="E780" t="str">
            <v>Heller 1936MK5</v>
          </cell>
          <cell r="F780" t="str">
            <v>#29642</v>
          </cell>
          <cell r="G780" t="e">
            <v>#REF!</v>
          </cell>
          <cell r="H780" t="e">
            <v>#REF!</v>
          </cell>
          <cell r="I780" t="str">
            <v>L-&gt;R</v>
          </cell>
          <cell r="J780" t="str">
            <v>No</v>
          </cell>
          <cell r="K780">
            <v>1</v>
          </cell>
          <cell r="L780" t="str">
            <v>28P100987</v>
          </cell>
          <cell r="M780" t="e">
            <v>#N/A</v>
          </cell>
          <cell r="N780">
            <v>43983</v>
          </cell>
          <cell r="O780">
            <v>11100396</v>
          </cell>
          <cell r="P780">
            <v>505600</v>
          </cell>
          <cell r="Q780">
            <v>43971</v>
          </cell>
          <cell r="R780" t="str">
            <v>No</v>
          </cell>
          <cell r="S780" t="str">
            <v>C28</v>
          </cell>
          <cell r="T780" t="str">
            <v>SOUTH</v>
          </cell>
          <cell r="U780" t="str">
            <v>深圳</v>
          </cell>
          <cell r="V780" t="str">
            <v>SZ 深圳</v>
          </cell>
          <cell r="W780" t="str">
            <v>YY</v>
          </cell>
          <cell r="X780" t="str">
            <v>RMB</v>
          </cell>
          <cell r="Y780">
            <v>505600</v>
          </cell>
          <cell r="Z780">
            <v>1.1299999999999999</v>
          </cell>
          <cell r="AA780">
            <v>505600</v>
          </cell>
          <cell r="AB780">
            <v>1.095</v>
          </cell>
          <cell r="AC780">
            <v>489939.82300884958</v>
          </cell>
          <cell r="AD780">
            <v>58792.778761061949</v>
          </cell>
          <cell r="AE780">
            <v>0.12</v>
          </cell>
          <cell r="AF780">
            <v>43938</v>
          </cell>
          <cell r="AG780" t="str">
            <v>含税到厂</v>
          </cell>
          <cell r="AK780">
            <v>0.3</v>
          </cell>
          <cell r="AL780">
            <v>151680</v>
          </cell>
          <cell r="AM780">
            <v>43943</v>
          </cell>
          <cell r="AN780" t="str">
            <v>Yes</v>
          </cell>
          <cell r="AO780">
            <v>0.7</v>
          </cell>
          <cell r="AP780">
            <v>353920</v>
          </cell>
          <cell r="AQ780">
            <v>43973</v>
          </cell>
          <cell r="AR780">
            <v>43978</v>
          </cell>
          <cell r="AS780">
            <v>0</v>
          </cell>
          <cell r="AT780">
            <v>0</v>
          </cell>
          <cell r="AX780" t="str">
            <v>Yes</v>
          </cell>
          <cell r="AZ780" t="str">
            <v>Yes</v>
          </cell>
          <cell r="BA780" t="str">
            <v>Yes</v>
          </cell>
        </row>
        <row r="781">
          <cell r="B781">
            <v>630</v>
          </cell>
          <cell r="C781" t="str">
            <v>C28SZX20200026YY</v>
          </cell>
          <cell r="D781" t="str">
            <v>海星</v>
          </cell>
          <cell r="E781" t="str">
            <v>YCP10</v>
          </cell>
          <cell r="F781" t="str">
            <v>#29642</v>
          </cell>
          <cell r="G781" t="e">
            <v>#REF!</v>
          </cell>
          <cell r="H781" t="e">
            <v>#REF!</v>
          </cell>
          <cell r="I781" t="str">
            <v>L-&gt;R</v>
          </cell>
          <cell r="J781" t="str">
            <v>No</v>
          </cell>
          <cell r="K781">
            <v>1</v>
          </cell>
          <cell r="L781">
            <v>109880</v>
          </cell>
          <cell r="M781" t="str">
            <v>JUN 20</v>
          </cell>
          <cell r="N781">
            <v>43994</v>
          </cell>
          <cell r="O781">
            <v>11100402</v>
          </cell>
          <cell r="P781">
            <v>431000</v>
          </cell>
          <cell r="Q781">
            <v>44002</v>
          </cell>
          <cell r="R781" t="str">
            <v>No</v>
          </cell>
          <cell r="S781" t="str">
            <v>C28</v>
          </cell>
          <cell r="T781" t="str">
            <v>SOUTH</v>
          </cell>
          <cell r="U781" t="str">
            <v>深圳</v>
          </cell>
          <cell r="V781" t="str">
            <v>SZ 深圳</v>
          </cell>
          <cell r="W781" t="str">
            <v>YY</v>
          </cell>
          <cell r="X781" t="str">
            <v>RMB</v>
          </cell>
          <cell r="Y781">
            <v>431000</v>
          </cell>
          <cell r="Z781">
            <v>1.1299999999999999</v>
          </cell>
          <cell r="AA781">
            <v>431000</v>
          </cell>
          <cell r="AB781">
            <v>1.095</v>
          </cell>
          <cell r="AC781">
            <v>417650.44247787615</v>
          </cell>
          <cell r="AD781">
            <v>50118.053097345139</v>
          </cell>
          <cell r="AE781">
            <v>0.12</v>
          </cell>
          <cell r="AF781">
            <v>43938</v>
          </cell>
          <cell r="AG781" t="str">
            <v>含税到厂</v>
          </cell>
          <cell r="AK781">
            <v>0.3</v>
          </cell>
          <cell r="AL781">
            <v>129300</v>
          </cell>
          <cell r="AM781">
            <v>43943</v>
          </cell>
          <cell r="AN781" t="str">
            <v>Yes</v>
          </cell>
          <cell r="AO781">
            <v>0.7</v>
          </cell>
          <cell r="AP781">
            <v>301700</v>
          </cell>
          <cell r="AQ781">
            <v>44002</v>
          </cell>
          <cell r="AR781">
            <v>43992</v>
          </cell>
          <cell r="AS781">
            <v>0</v>
          </cell>
          <cell r="AT781">
            <v>0</v>
          </cell>
          <cell r="AX781" t="str">
            <v>Yes</v>
          </cell>
          <cell r="AZ781" t="str">
            <v>Yes</v>
          </cell>
          <cell r="BA781" t="str">
            <v>Yes</v>
          </cell>
        </row>
        <row r="782">
          <cell r="B782">
            <v>631</v>
          </cell>
          <cell r="C782" t="str">
            <v>C28SZX20200027YY</v>
          </cell>
          <cell r="D782" t="str">
            <v>海星</v>
          </cell>
          <cell r="E782" t="str">
            <v>TROI-7700E</v>
          </cell>
          <cell r="F782" t="str">
            <v>#29642</v>
          </cell>
          <cell r="G782" t="e">
            <v>#REF!</v>
          </cell>
          <cell r="H782" t="e">
            <v>#REF!</v>
          </cell>
          <cell r="I782" t="str">
            <v>L-&gt;R</v>
          </cell>
          <cell r="J782" t="str">
            <v>No</v>
          </cell>
          <cell r="K782">
            <v>1</v>
          </cell>
          <cell r="L782" t="str">
            <v>C28109883</v>
          </cell>
          <cell r="M782" t="e">
            <v>#N/A</v>
          </cell>
          <cell r="N782">
            <v>43991</v>
          </cell>
          <cell r="O782">
            <v>11100399</v>
          </cell>
          <cell r="P782">
            <v>407100</v>
          </cell>
          <cell r="Q782">
            <v>44002</v>
          </cell>
          <cell r="R782" t="str">
            <v>No</v>
          </cell>
          <cell r="S782" t="str">
            <v>C28</v>
          </cell>
          <cell r="T782" t="str">
            <v>SOUTH</v>
          </cell>
          <cell r="U782" t="str">
            <v>深圳</v>
          </cell>
          <cell r="V782" t="str">
            <v>SZ 深圳</v>
          </cell>
          <cell r="W782" t="str">
            <v>YY</v>
          </cell>
          <cell r="X782" t="str">
            <v>RMB</v>
          </cell>
          <cell r="Y782">
            <v>407100</v>
          </cell>
          <cell r="Z782">
            <v>1.1299999999999999</v>
          </cell>
          <cell r="AA782">
            <v>407100</v>
          </cell>
          <cell r="AB782">
            <v>1.095</v>
          </cell>
          <cell r="AC782">
            <v>394490.70796460181</v>
          </cell>
          <cell r="AD782">
            <v>47338.884955752219</v>
          </cell>
          <cell r="AE782">
            <v>0.12</v>
          </cell>
          <cell r="AF782">
            <v>43938</v>
          </cell>
          <cell r="AG782" t="str">
            <v>含税到厂</v>
          </cell>
          <cell r="AK782">
            <v>0.3</v>
          </cell>
          <cell r="AL782">
            <v>122130</v>
          </cell>
          <cell r="AM782">
            <v>43943</v>
          </cell>
          <cell r="AN782" t="str">
            <v>Yes</v>
          </cell>
          <cell r="AO782">
            <v>0.7</v>
          </cell>
          <cell r="AP782">
            <v>284970</v>
          </cell>
          <cell r="AQ782">
            <v>44002</v>
          </cell>
          <cell r="AR782">
            <v>43983</v>
          </cell>
          <cell r="AS782">
            <v>0</v>
          </cell>
          <cell r="AT782">
            <v>0</v>
          </cell>
          <cell r="AX782" t="str">
            <v>Yes</v>
          </cell>
          <cell r="AZ782" t="str">
            <v>Yes</v>
          </cell>
          <cell r="BA782" t="str">
            <v>Yes</v>
          </cell>
        </row>
        <row r="783">
          <cell r="B783">
            <v>632</v>
          </cell>
          <cell r="C783" t="str">
            <v>C49SZX20200055SX</v>
          </cell>
          <cell r="D783" t="str">
            <v>永顺创</v>
          </cell>
          <cell r="E783" t="str">
            <v>YSM10</v>
          </cell>
          <cell r="F783" t="str">
            <v>#81385</v>
          </cell>
          <cell r="G783" t="e">
            <v>#REF!</v>
          </cell>
          <cell r="H783" t="e">
            <v>#REF!</v>
          </cell>
          <cell r="I783" t="str">
            <v>L-&gt;R</v>
          </cell>
          <cell r="J783" t="str">
            <v>MVC+ATS15</v>
          </cell>
          <cell r="K783">
            <v>1</v>
          </cell>
          <cell r="L783">
            <v>109750</v>
          </cell>
          <cell r="M783" t="str">
            <v>MAY 20</v>
          </cell>
          <cell r="N783">
            <v>43959</v>
          </cell>
          <cell r="O783">
            <v>11100388</v>
          </cell>
          <cell r="P783">
            <v>810000</v>
          </cell>
          <cell r="Q783">
            <v>43971</v>
          </cell>
          <cell r="R783" t="str">
            <v>No</v>
          </cell>
          <cell r="S783" t="str">
            <v>C49</v>
          </cell>
          <cell r="T783" t="str">
            <v>SOUTH</v>
          </cell>
          <cell r="U783" t="str">
            <v>深圳</v>
          </cell>
          <cell r="V783" t="str">
            <v>SZ 深圳</v>
          </cell>
          <cell r="W783" t="str">
            <v>SX</v>
          </cell>
          <cell r="X783" t="str">
            <v>RMB</v>
          </cell>
          <cell r="Y783">
            <v>810000</v>
          </cell>
          <cell r="Z783">
            <v>1.1299999999999999</v>
          </cell>
          <cell r="AA783">
            <v>810000</v>
          </cell>
          <cell r="AB783">
            <v>1.095</v>
          </cell>
          <cell r="AC783">
            <v>784911.50442477886</v>
          </cell>
          <cell r="AD783">
            <v>94189.38053097346</v>
          </cell>
          <cell r="AE783">
            <v>0.12</v>
          </cell>
          <cell r="AF783">
            <v>43941</v>
          </cell>
          <cell r="AG783" t="str">
            <v>含税到厂</v>
          </cell>
          <cell r="AK783" t="str">
            <v>agree</v>
          </cell>
          <cell r="AL783">
            <v>110000</v>
          </cell>
          <cell r="AM783">
            <v>43943</v>
          </cell>
          <cell r="AN783" t="str">
            <v>Yes</v>
          </cell>
          <cell r="AO783" t="str">
            <v>agree</v>
          </cell>
          <cell r="AP783">
            <v>700000</v>
          </cell>
          <cell r="AQ783">
            <v>43922</v>
          </cell>
          <cell r="AR783">
            <v>43948</v>
          </cell>
          <cell r="AS783">
            <v>0</v>
          </cell>
          <cell r="AT783">
            <v>0</v>
          </cell>
          <cell r="AX783" t="str">
            <v>Yes</v>
          </cell>
          <cell r="AZ783" t="str">
            <v>Yes</v>
          </cell>
          <cell r="BA783" t="str">
            <v>Yes</v>
          </cell>
        </row>
        <row r="784">
          <cell r="B784">
            <v>633</v>
          </cell>
          <cell r="C784" t="str">
            <v>C49SZX20200046JY</v>
          </cell>
          <cell r="D784" t="str">
            <v>海松微</v>
          </cell>
          <cell r="E784" t="str">
            <v>YSM20R(SV)-2</v>
          </cell>
          <cell r="F784" t="str">
            <v>#03950</v>
          </cell>
          <cell r="G784" t="e">
            <v>#REF!</v>
          </cell>
          <cell r="H784" t="e">
            <v>#REF!</v>
          </cell>
          <cell r="I784" t="str">
            <v>L-&gt;R</v>
          </cell>
          <cell r="J784" t="str">
            <v>MVC</v>
          </cell>
          <cell r="K784">
            <v>1</v>
          </cell>
          <cell r="L784">
            <v>109816</v>
          </cell>
          <cell r="M784" t="str">
            <v>APR 20</v>
          </cell>
          <cell r="N784">
            <v>43949</v>
          </cell>
          <cell r="O784">
            <v>11116382</v>
          </cell>
          <cell r="P784">
            <v>580000</v>
          </cell>
          <cell r="Q784">
            <v>43922</v>
          </cell>
          <cell r="R784" t="str">
            <v>No</v>
          </cell>
          <cell r="S784" t="str">
            <v>C49</v>
          </cell>
          <cell r="T784" t="str">
            <v>SOUTH</v>
          </cell>
          <cell r="U784" t="str">
            <v>深圳</v>
          </cell>
          <cell r="V784" t="str">
            <v>SZ 深圳</v>
          </cell>
          <cell r="W784" t="str">
            <v>JY</v>
          </cell>
          <cell r="X784" t="str">
            <v>JPY</v>
          </cell>
          <cell r="Y784">
            <v>12000000</v>
          </cell>
          <cell r="Z784">
            <v>1</v>
          </cell>
          <cell r="AA784">
            <v>12000000</v>
          </cell>
          <cell r="AB784">
            <v>7.3599999999999999E-2</v>
          </cell>
          <cell r="AC784">
            <v>883200</v>
          </cell>
          <cell r="AD784">
            <v>105984</v>
          </cell>
          <cell r="AE784">
            <v>0.12</v>
          </cell>
          <cell r="AF784">
            <v>43942</v>
          </cell>
          <cell r="AG784" t="str">
            <v>DAP SZ</v>
          </cell>
          <cell r="AK784" t="str">
            <v>agree</v>
          </cell>
          <cell r="AL784">
            <v>2757241</v>
          </cell>
          <cell r="AM784">
            <v>43922</v>
          </cell>
          <cell r="AN784" t="str">
            <v>Yes</v>
          </cell>
          <cell r="AO784" t="str">
            <v>agree</v>
          </cell>
          <cell r="AP784">
            <v>9242759</v>
          </cell>
          <cell r="AQ784">
            <v>43922</v>
          </cell>
          <cell r="AR784">
            <v>43948</v>
          </cell>
          <cell r="AS784">
            <v>0</v>
          </cell>
          <cell r="AT784">
            <v>0</v>
          </cell>
          <cell r="AX784" t="str">
            <v>Yes</v>
          </cell>
          <cell r="AZ784" t="str">
            <v>Yes</v>
          </cell>
          <cell r="BA784" t="str">
            <v>Yes</v>
          </cell>
        </row>
        <row r="785">
          <cell r="B785">
            <v>634</v>
          </cell>
          <cell r="C785" t="str">
            <v>C49SZX20200011DZ</v>
          </cell>
          <cell r="D785" t="str">
            <v>和盛光电</v>
          </cell>
          <cell r="E785" t="str">
            <v>YSM10</v>
          </cell>
          <cell r="F785" t="str">
            <v>#82824</v>
          </cell>
          <cell r="G785" t="e">
            <v>#REF!</v>
          </cell>
          <cell r="H785" t="e">
            <v>#REF!</v>
          </cell>
          <cell r="I785" t="str">
            <v>R-&gt;L</v>
          </cell>
          <cell r="J785" t="str">
            <v>No</v>
          </cell>
          <cell r="K785">
            <v>1</v>
          </cell>
          <cell r="L785">
            <v>109820</v>
          </cell>
          <cell r="M785" t="str">
            <v>MAY 20</v>
          </cell>
          <cell r="N785">
            <v>43965</v>
          </cell>
          <cell r="O785">
            <v>11100420</v>
          </cell>
          <cell r="P785">
            <v>580000</v>
          </cell>
          <cell r="Q785">
            <v>44063</v>
          </cell>
          <cell r="R785" t="str">
            <v>No</v>
          </cell>
          <cell r="S785" t="str">
            <v>C49</v>
          </cell>
          <cell r="T785" t="str">
            <v>SOUTH</v>
          </cell>
          <cell r="U785" t="str">
            <v>深圳</v>
          </cell>
          <cell r="V785" t="str">
            <v>SZ 深圳</v>
          </cell>
          <cell r="W785" t="str">
            <v>JY</v>
          </cell>
          <cell r="X785" t="str">
            <v>RMB</v>
          </cell>
          <cell r="Y785">
            <v>580000</v>
          </cell>
          <cell r="Z785">
            <v>1.1299999999999999</v>
          </cell>
          <cell r="AA785">
            <v>580000</v>
          </cell>
          <cell r="AB785">
            <v>1.095</v>
          </cell>
          <cell r="AC785">
            <v>562035.39823008853</v>
          </cell>
          <cell r="AD785">
            <v>67444.247787610628</v>
          </cell>
          <cell r="AE785">
            <v>0.12</v>
          </cell>
          <cell r="AF785">
            <v>43943</v>
          </cell>
          <cell r="AG785" t="str">
            <v>含税到厂</v>
          </cell>
          <cell r="AK785">
            <v>0.3</v>
          </cell>
          <cell r="AL785">
            <v>174000</v>
          </cell>
          <cell r="AM785">
            <v>43944</v>
          </cell>
          <cell r="AN785" t="str">
            <v>Yes</v>
          </cell>
          <cell r="AO785">
            <v>0.65</v>
          </cell>
          <cell r="AP785">
            <v>377000</v>
          </cell>
          <cell r="AQ785">
            <v>43971</v>
          </cell>
          <cell r="AR785">
            <v>43962</v>
          </cell>
          <cell r="AS785">
            <v>0.05</v>
          </cell>
          <cell r="AT785">
            <v>29000</v>
          </cell>
          <cell r="AU785">
            <v>44002</v>
          </cell>
          <cell r="AV785">
            <v>44012</v>
          </cell>
          <cell r="AX785" t="str">
            <v>Yes</v>
          </cell>
          <cell r="AZ785" t="str">
            <v>Yes</v>
          </cell>
          <cell r="BA785" t="str">
            <v>Yes</v>
          </cell>
        </row>
        <row r="786">
          <cell r="B786">
            <v>635</v>
          </cell>
          <cell r="C786" t="str">
            <v>C49SZX20200047MZ</v>
          </cell>
          <cell r="D786" t="str">
            <v>融创新合</v>
          </cell>
          <cell r="E786" t="str">
            <v>YSM20R(SV)-2</v>
          </cell>
          <cell r="F786" t="str">
            <v>#04477</v>
          </cell>
          <cell r="G786" t="e">
            <v>#REF!</v>
          </cell>
          <cell r="H786" t="e">
            <v>#REF!</v>
          </cell>
          <cell r="I786" t="str">
            <v>L-&gt;R</v>
          </cell>
          <cell r="J786" t="str">
            <v>No</v>
          </cell>
          <cell r="K786">
            <v>1</v>
          </cell>
          <cell r="L786">
            <v>109855</v>
          </cell>
          <cell r="M786" t="str">
            <v>MAY 20</v>
          </cell>
          <cell r="N786">
            <v>43969</v>
          </cell>
          <cell r="O786">
            <v>11100391</v>
          </cell>
          <cell r="P786">
            <v>1050000</v>
          </cell>
          <cell r="Q786">
            <v>43971</v>
          </cell>
          <cell r="R786" t="str">
            <v>Yes</v>
          </cell>
          <cell r="S786" t="str">
            <v>C49</v>
          </cell>
          <cell r="T786" t="str">
            <v>SOUTH</v>
          </cell>
          <cell r="U786" t="str">
            <v>河南</v>
          </cell>
          <cell r="V786" t="str">
            <v>SZ 深圳</v>
          </cell>
          <cell r="W786" t="str">
            <v>MZ</v>
          </cell>
          <cell r="X786" t="str">
            <v>RMB</v>
          </cell>
          <cell r="Y786">
            <v>1050000</v>
          </cell>
          <cell r="Z786">
            <v>1.1299999999999999</v>
          </cell>
          <cell r="AA786">
            <v>1050000</v>
          </cell>
          <cell r="AB786">
            <v>1.095</v>
          </cell>
          <cell r="AC786">
            <v>1017477.8761061948</v>
          </cell>
          <cell r="AD786">
            <v>122097.34513274337</v>
          </cell>
          <cell r="AE786">
            <v>0.12</v>
          </cell>
          <cell r="AF786">
            <v>43944</v>
          </cell>
          <cell r="AG786" t="str">
            <v>含税到厂</v>
          </cell>
          <cell r="AK786">
            <v>0.2</v>
          </cell>
          <cell r="AL786">
            <v>210000</v>
          </cell>
          <cell r="AM786">
            <v>43922</v>
          </cell>
          <cell r="AN786" t="str">
            <v>Yes</v>
          </cell>
          <cell r="AO786">
            <v>0.8</v>
          </cell>
          <cell r="AP786">
            <v>840000</v>
          </cell>
          <cell r="AQ786">
            <v>43972</v>
          </cell>
          <cell r="AR786">
            <v>43962</v>
          </cell>
          <cell r="AS786">
            <v>0</v>
          </cell>
          <cell r="AT786">
            <v>0</v>
          </cell>
          <cell r="AX786" t="str">
            <v>Yes</v>
          </cell>
          <cell r="AZ786" t="str">
            <v>Yes</v>
          </cell>
          <cell r="BA786" t="str">
            <v>Yes</v>
          </cell>
        </row>
        <row r="787">
          <cell r="B787">
            <v>636</v>
          </cell>
          <cell r="C787" t="str">
            <v>C49SZX20200047MZ</v>
          </cell>
          <cell r="D787" t="str">
            <v>融创新合</v>
          </cell>
          <cell r="E787" t="str">
            <v>YSM10</v>
          </cell>
          <cell r="F787" t="str">
            <v>#04477</v>
          </cell>
          <cell r="G787" t="e">
            <v>#REF!</v>
          </cell>
          <cell r="H787" t="e">
            <v>#REF!</v>
          </cell>
          <cell r="I787" t="str">
            <v>L-&gt;R</v>
          </cell>
          <cell r="J787" t="str">
            <v>MVC</v>
          </cell>
          <cell r="K787">
            <v>1</v>
          </cell>
          <cell r="L787">
            <v>109820</v>
          </cell>
          <cell r="M787" t="str">
            <v>MAY 20</v>
          </cell>
          <cell r="N787">
            <v>43969</v>
          </cell>
          <cell r="O787">
            <v>11100391</v>
          </cell>
          <cell r="P787">
            <v>700000</v>
          </cell>
          <cell r="Q787">
            <v>43971</v>
          </cell>
          <cell r="R787" t="str">
            <v>Yes</v>
          </cell>
          <cell r="S787" t="str">
            <v>C49</v>
          </cell>
          <cell r="T787" t="str">
            <v>SOUTH</v>
          </cell>
          <cell r="U787" t="str">
            <v>河南</v>
          </cell>
          <cell r="V787" t="str">
            <v>SZ 深圳</v>
          </cell>
          <cell r="W787" t="str">
            <v>MZ</v>
          </cell>
          <cell r="X787" t="str">
            <v>RMB</v>
          </cell>
          <cell r="Y787">
            <v>700000</v>
          </cell>
          <cell r="Z787">
            <v>1.1299999999999999</v>
          </cell>
          <cell r="AA787">
            <v>700000</v>
          </cell>
          <cell r="AB787">
            <v>1.095</v>
          </cell>
          <cell r="AC787">
            <v>678318.5840707965</v>
          </cell>
          <cell r="AD787">
            <v>81398.230088495577</v>
          </cell>
          <cell r="AE787">
            <v>0.12</v>
          </cell>
          <cell r="AF787">
            <v>43944</v>
          </cell>
          <cell r="AG787" t="str">
            <v>含税到厂</v>
          </cell>
          <cell r="AK787">
            <v>0.2</v>
          </cell>
          <cell r="AL787">
            <v>140000</v>
          </cell>
          <cell r="AM787">
            <v>43923</v>
          </cell>
          <cell r="AN787" t="str">
            <v>Yes</v>
          </cell>
          <cell r="AO787">
            <v>0.8</v>
          </cell>
          <cell r="AP787">
            <v>560000</v>
          </cell>
          <cell r="AQ787">
            <v>43972</v>
          </cell>
          <cell r="AR787">
            <v>43962</v>
          </cell>
          <cell r="AS787">
            <v>0</v>
          </cell>
          <cell r="AT787">
            <v>0</v>
          </cell>
          <cell r="AX787" t="str">
            <v>Yes</v>
          </cell>
          <cell r="AZ787" t="str">
            <v>Yes</v>
          </cell>
          <cell r="BA787" t="str">
            <v>Yes</v>
          </cell>
        </row>
        <row r="788">
          <cell r="B788">
            <v>637</v>
          </cell>
          <cell r="C788" t="str">
            <v>C49SZX20200053SS</v>
          </cell>
          <cell r="D788" t="str">
            <v>弛瑞</v>
          </cell>
          <cell r="E788" t="str">
            <v>YSM20R(SV)-2</v>
          </cell>
          <cell r="F788" t="str">
            <v>#04213</v>
          </cell>
          <cell r="G788" t="e">
            <v>#REF!</v>
          </cell>
          <cell r="H788" t="e">
            <v>#REF!</v>
          </cell>
          <cell r="I788" t="str">
            <v>R-&gt;L</v>
          </cell>
          <cell r="J788" t="str">
            <v>No</v>
          </cell>
          <cell r="K788">
            <v>1</v>
          </cell>
          <cell r="L788">
            <v>109816</v>
          </cell>
          <cell r="M788" t="str">
            <v>JUN 20</v>
          </cell>
          <cell r="N788">
            <v>43984</v>
          </cell>
          <cell r="O788">
            <v>11116393</v>
          </cell>
          <cell r="P788">
            <v>11000000</v>
          </cell>
          <cell r="Q788">
            <v>44002</v>
          </cell>
          <cell r="R788" t="str">
            <v>Yes</v>
          </cell>
          <cell r="S788" t="str">
            <v>C49</v>
          </cell>
          <cell r="T788" t="str">
            <v>SOUTH</v>
          </cell>
          <cell r="U788" t="str">
            <v>深圳</v>
          </cell>
          <cell r="V788" t="str">
            <v>SZ 深圳</v>
          </cell>
          <cell r="W788" t="str">
            <v>SS</v>
          </cell>
          <cell r="X788" t="str">
            <v>JPY</v>
          </cell>
          <cell r="Y788">
            <v>11000000</v>
          </cell>
          <cell r="Z788">
            <v>1</v>
          </cell>
          <cell r="AA788">
            <v>11000000</v>
          </cell>
          <cell r="AB788">
            <v>7.3599999999999999E-2</v>
          </cell>
          <cell r="AC788">
            <v>809600</v>
          </cell>
          <cell r="AD788">
            <v>97152</v>
          </cell>
          <cell r="AE788">
            <v>0.12</v>
          </cell>
          <cell r="AF788">
            <v>43945</v>
          </cell>
          <cell r="AG788" t="str">
            <v>DAP SZ</v>
          </cell>
          <cell r="AK788" t="str">
            <v>agree</v>
          </cell>
          <cell r="AL788">
            <v>11000000</v>
          </cell>
          <cell r="AM788">
            <v>43971</v>
          </cell>
          <cell r="AN788" t="str">
            <v>Yes</v>
          </cell>
          <cell r="AO788">
            <v>0</v>
          </cell>
          <cell r="AP788">
            <v>0</v>
          </cell>
          <cell r="AS788">
            <v>0</v>
          </cell>
          <cell r="AT788">
            <v>0</v>
          </cell>
          <cell r="AX788" t="str">
            <v>Yes</v>
          </cell>
          <cell r="AZ788" t="str">
            <v>Yes</v>
          </cell>
          <cell r="BA788" t="str">
            <v>Yes</v>
          </cell>
        </row>
        <row r="789">
          <cell r="B789">
            <v>638</v>
          </cell>
          <cell r="C789" t="str">
            <v>C49SZX20200043CY</v>
          </cell>
          <cell r="D789" t="str">
            <v>星辰宇</v>
          </cell>
          <cell r="E789" t="str">
            <v>YSM10</v>
          </cell>
          <cell r="F789" t="str">
            <v>#04513</v>
          </cell>
          <cell r="G789" t="e">
            <v>#REF!</v>
          </cell>
          <cell r="H789" t="e">
            <v>#REF!</v>
          </cell>
          <cell r="I789" t="str">
            <v>L-&gt;R</v>
          </cell>
          <cell r="J789" t="str">
            <v>MVC</v>
          </cell>
          <cell r="K789">
            <v>1</v>
          </cell>
          <cell r="L789">
            <v>109806</v>
          </cell>
          <cell r="M789" t="str">
            <v>MAY 20</v>
          </cell>
          <cell r="N789">
            <v>43987</v>
          </cell>
          <cell r="O789">
            <v>11100398</v>
          </cell>
          <cell r="P789">
            <v>643012</v>
          </cell>
          <cell r="Q789">
            <v>44002</v>
          </cell>
          <cell r="R789" t="str">
            <v>Yes</v>
          </cell>
          <cell r="S789" t="str">
            <v>C49</v>
          </cell>
          <cell r="T789" t="str">
            <v>SOUTH</v>
          </cell>
          <cell r="U789" t="str">
            <v>深圳</v>
          </cell>
          <cell r="V789" t="str">
            <v>SZ 深圳</v>
          </cell>
          <cell r="W789" t="str">
            <v>CY</v>
          </cell>
          <cell r="X789" t="str">
            <v>RMB</v>
          </cell>
          <cell r="Y789">
            <v>643012</v>
          </cell>
          <cell r="Z789">
            <v>1.1299999999999999</v>
          </cell>
          <cell r="AA789">
            <v>643012</v>
          </cell>
          <cell r="AB789">
            <v>1.095</v>
          </cell>
          <cell r="AC789">
            <v>623095.69911504432</v>
          </cell>
          <cell r="AD789">
            <v>74771.483893805314</v>
          </cell>
          <cell r="AE789">
            <v>0.12</v>
          </cell>
          <cell r="AF789">
            <v>43950</v>
          </cell>
          <cell r="AG789" t="str">
            <v>含税到厂</v>
          </cell>
          <cell r="AK789" t="str">
            <v>agree</v>
          </cell>
          <cell r="AL789">
            <v>50000</v>
          </cell>
          <cell r="AM789">
            <v>43922</v>
          </cell>
          <cell r="AN789" t="str">
            <v>Yes</v>
          </cell>
          <cell r="AO789" t="str">
            <v>agree</v>
          </cell>
          <cell r="AP789">
            <v>593012</v>
          </cell>
          <cell r="AQ789">
            <v>43972</v>
          </cell>
          <cell r="AR789">
            <v>43976</v>
          </cell>
          <cell r="AS789">
            <v>0</v>
          </cell>
          <cell r="AT789">
            <v>0</v>
          </cell>
          <cell r="AX789" t="str">
            <v>Yes</v>
          </cell>
          <cell r="AZ789" t="str">
            <v>Yes</v>
          </cell>
          <cell r="BA789" t="str">
            <v>Yes</v>
          </cell>
        </row>
        <row r="790">
          <cell r="B790">
            <v>639</v>
          </cell>
          <cell r="C790" t="str">
            <v>C49SZX20200052JY</v>
          </cell>
          <cell r="D790" t="str">
            <v>创荣发</v>
          </cell>
          <cell r="E790" t="str">
            <v>YSM10</v>
          </cell>
          <cell r="F790" t="str">
            <v>#36862</v>
          </cell>
          <cell r="G790" t="e">
            <v>#REF!</v>
          </cell>
          <cell r="H790" t="e">
            <v>#REF!</v>
          </cell>
          <cell r="I790" t="str">
            <v>L-&gt;R</v>
          </cell>
          <cell r="J790" t="str">
            <v>MVC</v>
          </cell>
          <cell r="K790">
            <v>1</v>
          </cell>
          <cell r="L790">
            <v>109858</v>
          </cell>
          <cell r="M790" t="str">
            <v>MAY 20</v>
          </cell>
          <cell r="N790">
            <v>43980</v>
          </cell>
          <cell r="O790">
            <v>11116392</v>
          </cell>
          <cell r="P790">
            <v>11256350</v>
          </cell>
          <cell r="Q790">
            <v>43971</v>
          </cell>
          <cell r="R790" t="str">
            <v>No</v>
          </cell>
          <cell r="S790" t="str">
            <v>C49</v>
          </cell>
          <cell r="T790" t="str">
            <v>SOUTH</v>
          </cell>
          <cell r="U790" t="str">
            <v>惠州</v>
          </cell>
          <cell r="V790" t="str">
            <v>SZ 深圳</v>
          </cell>
          <cell r="W790" t="str">
            <v>JY</v>
          </cell>
          <cell r="X790" t="str">
            <v>JPY</v>
          </cell>
          <cell r="Y790">
            <v>11256350</v>
          </cell>
          <cell r="Z790">
            <v>1</v>
          </cell>
          <cell r="AA790">
            <v>11256350</v>
          </cell>
          <cell r="AB790">
            <v>7.3599999999999999E-2</v>
          </cell>
          <cell r="AC790">
            <v>828467.36</v>
          </cell>
          <cell r="AD790">
            <v>99416.083199999994</v>
          </cell>
          <cell r="AE790">
            <v>0.12</v>
          </cell>
          <cell r="AF790">
            <v>43951</v>
          </cell>
          <cell r="AG790" t="str">
            <v>DAP HZ</v>
          </cell>
          <cell r="AK790">
            <v>0.3</v>
          </cell>
          <cell r="AL790">
            <v>3376905</v>
          </cell>
          <cell r="AM790">
            <v>43971</v>
          </cell>
          <cell r="AN790" t="str">
            <v>Yes</v>
          </cell>
          <cell r="AO790">
            <v>0.7</v>
          </cell>
          <cell r="AP790">
            <v>7879444.9999999991</v>
          </cell>
          <cell r="AQ790">
            <v>43973</v>
          </cell>
          <cell r="AR790">
            <v>43978</v>
          </cell>
          <cell r="AS790">
            <v>0</v>
          </cell>
          <cell r="AT790">
            <v>0</v>
          </cell>
          <cell r="AX790" t="str">
            <v>Yes</v>
          </cell>
          <cell r="AZ790" t="str">
            <v>Yes</v>
          </cell>
          <cell r="BA790" t="str">
            <v>Yes</v>
          </cell>
        </row>
        <row r="791">
          <cell r="B791">
            <v>640</v>
          </cell>
          <cell r="C791" t="str">
            <v>C49SZX20200052JY</v>
          </cell>
          <cell r="D791" t="str">
            <v>创荣发</v>
          </cell>
          <cell r="E791" t="str">
            <v>YSM10</v>
          </cell>
          <cell r="F791" t="str">
            <v>#36862</v>
          </cell>
          <cell r="G791" t="e">
            <v>#REF!</v>
          </cell>
          <cell r="H791" t="e">
            <v>#REF!</v>
          </cell>
          <cell r="I791" t="str">
            <v>L-&gt;R</v>
          </cell>
          <cell r="J791" t="str">
            <v>No</v>
          </cell>
          <cell r="K791">
            <v>1</v>
          </cell>
          <cell r="L791">
            <v>109858</v>
          </cell>
          <cell r="M791" t="str">
            <v>MAY 20</v>
          </cell>
          <cell r="N791">
            <v>43980</v>
          </cell>
          <cell r="O791">
            <v>11116392</v>
          </cell>
          <cell r="P791">
            <v>11256350</v>
          </cell>
          <cell r="Q791">
            <v>43971</v>
          </cell>
          <cell r="R791" t="str">
            <v>No</v>
          </cell>
          <cell r="S791" t="str">
            <v>C49</v>
          </cell>
          <cell r="T791" t="str">
            <v>SOUTH</v>
          </cell>
          <cell r="U791" t="str">
            <v>惠州</v>
          </cell>
          <cell r="V791" t="str">
            <v>SZ 深圳</v>
          </cell>
          <cell r="W791" t="str">
            <v>JY</v>
          </cell>
          <cell r="X791" t="str">
            <v>JPY</v>
          </cell>
          <cell r="Y791">
            <v>11256350</v>
          </cell>
          <cell r="Z791">
            <v>1</v>
          </cell>
          <cell r="AA791">
            <v>11256350</v>
          </cell>
          <cell r="AB791">
            <v>7.3599999999999999E-2</v>
          </cell>
          <cell r="AC791">
            <v>828467.36</v>
          </cell>
          <cell r="AD791">
            <v>99416.083199999994</v>
          </cell>
          <cell r="AE791">
            <v>0.12</v>
          </cell>
          <cell r="AF791">
            <v>43951</v>
          </cell>
          <cell r="AG791" t="str">
            <v>DAP HZ</v>
          </cell>
          <cell r="AK791">
            <v>0.3</v>
          </cell>
          <cell r="AL791">
            <v>3376905</v>
          </cell>
          <cell r="AM791">
            <v>43971</v>
          </cell>
          <cell r="AN791" t="str">
            <v>Yes</v>
          </cell>
          <cell r="AO791">
            <v>0.7</v>
          </cell>
          <cell r="AP791">
            <v>7879444.9999999991</v>
          </cell>
          <cell r="AQ791">
            <v>43974</v>
          </cell>
          <cell r="AR791">
            <v>43978</v>
          </cell>
          <cell r="AS791">
            <v>0</v>
          </cell>
          <cell r="AT791">
            <v>0</v>
          </cell>
          <cell r="AX791" t="str">
            <v>Yes</v>
          </cell>
          <cell r="AZ791" t="str">
            <v>Yes</v>
          </cell>
          <cell r="BA791" t="str">
            <v>Yes</v>
          </cell>
        </row>
        <row r="792">
          <cell r="B792">
            <v>641</v>
          </cell>
          <cell r="C792" t="str">
            <v>C49SZX20200056MZ</v>
          </cell>
          <cell r="D792" t="str">
            <v>天星创展</v>
          </cell>
          <cell r="E792" t="str">
            <v>YSM20R(SV)-2</v>
          </cell>
          <cell r="F792" t="str">
            <v>#72423</v>
          </cell>
          <cell r="G792" t="e">
            <v>#REF!</v>
          </cell>
          <cell r="H792" t="e">
            <v>#REF!</v>
          </cell>
          <cell r="I792" t="str">
            <v>L-&gt;R</v>
          </cell>
          <cell r="J792" t="str">
            <v>No</v>
          </cell>
          <cell r="K792">
            <v>1</v>
          </cell>
          <cell r="L792">
            <v>109775</v>
          </cell>
          <cell r="M792" t="str">
            <v>MAY 20</v>
          </cell>
          <cell r="N792">
            <v>43965</v>
          </cell>
          <cell r="O792">
            <v>11116385</v>
          </cell>
          <cell r="P792">
            <v>10800000</v>
          </cell>
          <cell r="Q792">
            <v>43971</v>
          </cell>
          <cell r="R792" t="str">
            <v>No</v>
          </cell>
          <cell r="S792" t="str">
            <v>C49</v>
          </cell>
          <cell r="T792" t="str">
            <v>SOUTH</v>
          </cell>
          <cell r="U792" t="str">
            <v>深圳</v>
          </cell>
          <cell r="V792" t="str">
            <v>SZ 深圳</v>
          </cell>
          <cell r="W792" t="str">
            <v>MZ</v>
          </cell>
          <cell r="X792" t="str">
            <v>JPY</v>
          </cell>
          <cell r="Y792">
            <v>10800000</v>
          </cell>
          <cell r="Z792">
            <v>1</v>
          </cell>
          <cell r="AA792">
            <v>10800000</v>
          </cell>
          <cell r="AB792">
            <v>7.3599999999999999E-2</v>
          </cell>
          <cell r="AC792">
            <v>794880</v>
          </cell>
          <cell r="AD792">
            <v>95385.599999999991</v>
          </cell>
          <cell r="AE792">
            <v>0.12</v>
          </cell>
          <cell r="AF792">
            <v>43950</v>
          </cell>
          <cell r="AG792" t="str">
            <v>DAP SZ</v>
          </cell>
          <cell r="AK792">
            <v>0.1</v>
          </cell>
          <cell r="AL792">
            <v>1080000</v>
          </cell>
          <cell r="AM792">
            <v>43922</v>
          </cell>
          <cell r="AN792" t="str">
            <v>Yes</v>
          </cell>
          <cell r="AO792">
            <v>0.9</v>
          </cell>
          <cell r="AP792">
            <v>9720000</v>
          </cell>
          <cell r="AQ792">
            <v>43972</v>
          </cell>
          <cell r="AR792">
            <v>43962</v>
          </cell>
          <cell r="AS792">
            <v>0</v>
          </cell>
          <cell r="AT792">
            <v>0</v>
          </cell>
          <cell r="AX792" t="str">
            <v>Yes</v>
          </cell>
          <cell r="AZ792" t="str">
            <v>Yes</v>
          </cell>
          <cell r="BA792" t="str">
            <v>Yes</v>
          </cell>
        </row>
        <row r="793">
          <cell r="B793">
            <v>642</v>
          </cell>
          <cell r="C793" t="str">
            <v>C49SZX20200037SX-R1</v>
          </cell>
          <cell r="D793" t="str">
            <v>利速达</v>
          </cell>
          <cell r="E793" t="str">
            <v>YSM20R(SV)-2</v>
          </cell>
          <cell r="F793" t="str">
            <v>#82124</v>
          </cell>
          <cell r="G793" t="e">
            <v>#REF!</v>
          </cell>
          <cell r="H793" t="e">
            <v>#REF!</v>
          </cell>
          <cell r="I793" t="str">
            <v>L-&gt;R</v>
          </cell>
          <cell r="J793" t="str">
            <v>No</v>
          </cell>
          <cell r="K793">
            <v>1</v>
          </cell>
          <cell r="L793">
            <v>109855</v>
          </cell>
          <cell r="M793" t="str">
            <v>MAY 20</v>
          </cell>
          <cell r="N793">
            <v>43971</v>
          </cell>
          <cell r="O793">
            <v>11100393</v>
          </cell>
          <cell r="P793">
            <v>900000</v>
          </cell>
          <cell r="Q793">
            <v>43972</v>
          </cell>
          <cell r="R793" t="str">
            <v>No</v>
          </cell>
          <cell r="S793" t="str">
            <v>C49</v>
          </cell>
          <cell r="T793" t="str">
            <v>SOUTH</v>
          </cell>
          <cell r="U793" t="str">
            <v>深圳</v>
          </cell>
          <cell r="V793" t="str">
            <v>SZ 深圳</v>
          </cell>
          <cell r="W793" t="str">
            <v>SX</v>
          </cell>
          <cell r="X793" t="str">
            <v>RMB</v>
          </cell>
          <cell r="Y793">
            <v>900000</v>
          </cell>
          <cell r="Z793">
            <v>1.1299999999999999</v>
          </cell>
          <cell r="AA793">
            <v>900000</v>
          </cell>
          <cell r="AB793">
            <v>1.095</v>
          </cell>
          <cell r="AC793">
            <v>872123.89380530978</v>
          </cell>
          <cell r="AD793">
            <v>104654.86725663717</v>
          </cell>
          <cell r="AE793">
            <v>0.12</v>
          </cell>
          <cell r="AF793">
            <v>43963</v>
          </cell>
          <cell r="AG793" t="str">
            <v>含税到厂</v>
          </cell>
          <cell r="AK793" t="str">
            <v>agree</v>
          </cell>
          <cell r="AL793">
            <v>152000</v>
          </cell>
          <cell r="AM793">
            <v>43971</v>
          </cell>
          <cell r="AN793" t="str">
            <v>Yes</v>
          </cell>
          <cell r="AO793" t="str">
            <v>agree</v>
          </cell>
          <cell r="AP793">
            <v>1368000</v>
          </cell>
          <cell r="AQ793">
            <v>43973</v>
          </cell>
          <cell r="AR793">
            <v>43966</v>
          </cell>
          <cell r="AS793">
            <v>0</v>
          </cell>
          <cell r="AT793">
            <v>0</v>
          </cell>
          <cell r="AX793" t="str">
            <v>Yes</v>
          </cell>
          <cell r="AZ793" t="str">
            <v>Yes</v>
          </cell>
          <cell r="BA793" t="str">
            <v>Yes</v>
          </cell>
        </row>
        <row r="794">
          <cell r="B794">
            <v>643</v>
          </cell>
          <cell r="C794" t="str">
            <v>C49SZX20200037SX-R1</v>
          </cell>
          <cell r="D794" t="str">
            <v>利速达</v>
          </cell>
          <cell r="E794" t="str">
            <v>YSM10</v>
          </cell>
          <cell r="F794" t="str">
            <v>#82124</v>
          </cell>
          <cell r="G794" t="e">
            <v>#REF!</v>
          </cell>
          <cell r="H794" t="e">
            <v>#REF!</v>
          </cell>
          <cell r="I794" t="str">
            <v>L-&gt;R</v>
          </cell>
          <cell r="J794" t="str">
            <v>MVC</v>
          </cell>
          <cell r="K794">
            <v>1</v>
          </cell>
          <cell r="L794">
            <v>109820</v>
          </cell>
          <cell r="M794" t="str">
            <v>MAY 20</v>
          </cell>
          <cell r="N794">
            <v>43971</v>
          </cell>
          <cell r="O794">
            <v>11100394</v>
          </cell>
          <cell r="P794">
            <v>620000</v>
          </cell>
          <cell r="Q794">
            <v>43973</v>
          </cell>
          <cell r="R794" t="str">
            <v>No</v>
          </cell>
          <cell r="S794" t="str">
            <v>C49</v>
          </cell>
          <cell r="T794" t="str">
            <v>SOUTH</v>
          </cell>
          <cell r="U794" t="str">
            <v>深圳</v>
          </cell>
          <cell r="V794" t="str">
            <v>SZ 深圳</v>
          </cell>
          <cell r="W794" t="str">
            <v>SX</v>
          </cell>
          <cell r="X794" t="str">
            <v>RMB</v>
          </cell>
          <cell r="Y794">
            <v>620000</v>
          </cell>
          <cell r="Z794">
            <v>1.1299999999999999</v>
          </cell>
          <cell r="AA794">
            <v>620000</v>
          </cell>
          <cell r="AB794">
            <v>1.095</v>
          </cell>
          <cell r="AC794">
            <v>600796.4601769913</v>
          </cell>
          <cell r="AD794">
            <v>72095.575221238949</v>
          </cell>
          <cell r="AE794">
            <v>0.12</v>
          </cell>
          <cell r="AF794">
            <v>43963</v>
          </cell>
          <cell r="AG794" t="str">
            <v>含税到厂</v>
          </cell>
          <cell r="AK794" t="str">
            <v>agree</v>
          </cell>
          <cell r="AL794">
            <v>0</v>
          </cell>
          <cell r="AM794">
            <v>43971</v>
          </cell>
          <cell r="AN794" t="str">
            <v>Yes</v>
          </cell>
          <cell r="AO794" t="str">
            <v>agree</v>
          </cell>
          <cell r="AP794">
            <v>0</v>
          </cell>
          <cell r="AQ794">
            <v>43974</v>
          </cell>
          <cell r="AR794">
            <v>43966</v>
          </cell>
          <cell r="AS794">
            <v>0</v>
          </cell>
          <cell r="AT794">
            <v>0</v>
          </cell>
          <cell r="AX794" t="str">
            <v>Yes</v>
          </cell>
          <cell r="AZ794" t="str">
            <v>Yes</v>
          </cell>
          <cell r="BA794" t="str">
            <v>Yes</v>
          </cell>
        </row>
        <row r="795">
          <cell r="B795">
            <v>644</v>
          </cell>
          <cell r="C795" t="str">
            <v>C49SZX20200060SX</v>
          </cell>
          <cell r="D795" t="str">
            <v>迅丰</v>
          </cell>
          <cell r="E795" t="str">
            <v>YSM20R(SV)-2</v>
          </cell>
          <cell r="F795" t="str">
            <v>#03995</v>
          </cell>
          <cell r="G795" t="e">
            <v>#REF!</v>
          </cell>
          <cell r="H795" t="e">
            <v>#REF!</v>
          </cell>
          <cell r="I795" t="str">
            <v>L-&gt;R</v>
          </cell>
          <cell r="J795" t="str">
            <v>MVC</v>
          </cell>
          <cell r="K795">
            <v>1</v>
          </cell>
          <cell r="L795">
            <v>109868</v>
          </cell>
          <cell r="M795" t="str">
            <v>JUN 20</v>
          </cell>
          <cell r="N795">
            <v>43999</v>
          </cell>
          <cell r="O795">
            <v>11100401</v>
          </cell>
          <cell r="P795">
            <v>1045000</v>
          </cell>
          <cell r="Q795">
            <v>44002</v>
          </cell>
          <cell r="R795" t="str">
            <v>No</v>
          </cell>
          <cell r="S795" t="str">
            <v>C49</v>
          </cell>
          <cell r="T795" t="str">
            <v>SOUTH</v>
          </cell>
          <cell r="U795" t="str">
            <v>深圳</v>
          </cell>
          <cell r="V795" t="str">
            <v>SZ 深圳</v>
          </cell>
          <cell r="W795" t="str">
            <v>SX</v>
          </cell>
          <cell r="X795" t="str">
            <v>RMB</v>
          </cell>
          <cell r="Y795">
            <v>1045000</v>
          </cell>
          <cell r="Z795">
            <v>1.1299999999999999</v>
          </cell>
          <cell r="AA795">
            <v>1045000</v>
          </cell>
          <cell r="AB795">
            <v>1.095</v>
          </cell>
          <cell r="AC795">
            <v>1012632.7433628319</v>
          </cell>
          <cell r="AD795">
            <v>121515.92920353982</v>
          </cell>
          <cell r="AE795">
            <v>0.12</v>
          </cell>
          <cell r="AF795">
            <v>43963</v>
          </cell>
          <cell r="AG795" t="str">
            <v>含税到厂</v>
          </cell>
          <cell r="AK795" t="str">
            <v>agree</v>
          </cell>
          <cell r="AL795">
            <v>209000</v>
          </cell>
          <cell r="AM795">
            <v>43972</v>
          </cell>
          <cell r="AN795" t="str">
            <v>Yes</v>
          </cell>
          <cell r="AO795" t="str">
            <v>agree</v>
          </cell>
          <cell r="AP795">
            <v>1881000</v>
          </cell>
          <cell r="AQ795">
            <v>44002</v>
          </cell>
          <cell r="AR795">
            <v>43994</v>
          </cell>
          <cell r="AS795">
            <v>0</v>
          </cell>
          <cell r="AT795">
            <v>0</v>
          </cell>
          <cell r="AX795" t="str">
            <v>Yes</v>
          </cell>
          <cell r="AZ795" t="str">
            <v>Yes</v>
          </cell>
          <cell r="BA795" t="str">
            <v>Yes</v>
          </cell>
        </row>
        <row r="796">
          <cell r="B796">
            <v>645</v>
          </cell>
          <cell r="C796" t="str">
            <v>C49SZX20200060SX</v>
          </cell>
          <cell r="D796" t="str">
            <v>迅丰</v>
          </cell>
          <cell r="E796" t="str">
            <v>YSM20R(SV)-2</v>
          </cell>
          <cell r="F796" t="str">
            <v>#03995</v>
          </cell>
          <cell r="G796" t="e">
            <v>#REF!</v>
          </cell>
          <cell r="H796" t="e">
            <v>#REF!</v>
          </cell>
          <cell r="I796" t="str">
            <v>L-&gt;R</v>
          </cell>
          <cell r="J796" t="str">
            <v>MVC</v>
          </cell>
          <cell r="K796">
            <v>1</v>
          </cell>
          <cell r="L796">
            <v>109868</v>
          </cell>
          <cell r="M796" t="str">
            <v>JUN 20</v>
          </cell>
          <cell r="N796">
            <v>43999</v>
          </cell>
          <cell r="O796">
            <v>11100401</v>
          </cell>
          <cell r="P796">
            <v>1045000</v>
          </cell>
          <cell r="Q796">
            <v>44002</v>
          </cell>
          <cell r="R796" t="str">
            <v>No</v>
          </cell>
          <cell r="S796" t="str">
            <v>C49</v>
          </cell>
          <cell r="T796" t="str">
            <v>SOUTH</v>
          </cell>
          <cell r="U796" t="str">
            <v>深圳</v>
          </cell>
          <cell r="V796" t="str">
            <v>SZ 深圳</v>
          </cell>
          <cell r="W796" t="str">
            <v>SX</v>
          </cell>
          <cell r="X796" t="str">
            <v>RMB</v>
          </cell>
          <cell r="Y796">
            <v>1045000</v>
          </cell>
          <cell r="Z796">
            <v>1.1299999999999999</v>
          </cell>
          <cell r="AA796">
            <v>1045000</v>
          </cell>
          <cell r="AB796">
            <v>1.095</v>
          </cell>
          <cell r="AC796">
            <v>1012632.7433628319</v>
          </cell>
          <cell r="AD796">
            <v>121515.92920353982</v>
          </cell>
          <cell r="AE796">
            <v>0.12</v>
          </cell>
          <cell r="AF796">
            <v>43963</v>
          </cell>
          <cell r="AG796" t="str">
            <v>含税到厂</v>
          </cell>
          <cell r="AK796" t="str">
            <v>agree</v>
          </cell>
          <cell r="AL796">
            <v>0</v>
          </cell>
          <cell r="AM796">
            <v>43973</v>
          </cell>
          <cell r="AN796" t="str">
            <v>Yes</v>
          </cell>
          <cell r="AO796" t="str">
            <v>agree</v>
          </cell>
          <cell r="AP796">
            <v>0</v>
          </cell>
          <cell r="AQ796">
            <v>44002</v>
          </cell>
          <cell r="AR796">
            <v>43994</v>
          </cell>
          <cell r="AS796">
            <v>0</v>
          </cell>
          <cell r="AT796">
            <v>0</v>
          </cell>
          <cell r="AX796" t="str">
            <v>Yes</v>
          </cell>
          <cell r="AZ796" t="str">
            <v>Yes</v>
          </cell>
          <cell r="BA796" t="str">
            <v>Yes</v>
          </cell>
        </row>
        <row r="797">
          <cell r="B797">
            <v>646</v>
          </cell>
          <cell r="C797" t="str">
            <v>&lt;0&gt;-2020-5-F-010</v>
          </cell>
          <cell r="D797" t="str">
            <v>六所物</v>
          </cell>
          <cell r="E797" t="str">
            <v>Heller 1826MK5</v>
          </cell>
          <cell r="F797" t="str">
            <v>NO</v>
          </cell>
          <cell r="G797" t="e">
            <v>#REF!</v>
          </cell>
          <cell r="H797" t="e">
            <v>#REF!</v>
          </cell>
          <cell r="I797" t="str">
            <v>L-&gt;R</v>
          </cell>
          <cell r="J797" t="str">
            <v>No</v>
          </cell>
          <cell r="K797">
            <v>1</v>
          </cell>
          <cell r="L797" t="e">
            <v>#N/A</v>
          </cell>
          <cell r="M797" t="e">
            <v>#N/A</v>
          </cell>
          <cell r="N797">
            <v>44033</v>
          </cell>
          <cell r="O797">
            <v>11101099</v>
          </cell>
          <cell r="P797">
            <v>310000</v>
          </cell>
          <cell r="Q797">
            <v>44032</v>
          </cell>
          <cell r="R797" t="str">
            <v>Yes</v>
          </cell>
          <cell r="S797" t="str">
            <v>C28</v>
          </cell>
          <cell r="T797" t="str">
            <v>NORTH</v>
          </cell>
          <cell r="U797" t="str">
            <v>北京</v>
          </cell>
          <cell r="V797" t="str">
            <v>BJ 北京</v>
          </cell>
          <cell r="W797" t="str">
            <v>Li Yong</v>
          </cell>
          <cell r="X797" t="str">
            <v>RMB</v>
          </cell>
          <cell r="Y797">
            <v>310000</v>
          </cell>
          <cell r="Z797">
            <v>1.1299999999999999</v>
          </cell>
          <cell r="AA797">
            <v>310000</v>
          </cell>
          <cell r="AB797">
            <v>1.095</v>
          </cell>
          <cell r="AC797">
            <v>300398.23008849565</v>
          </cell>
          <cell r="AD797">
            <v>36047.787610619474</v>
          </cell>
          <cell r="AE797">
            <v>0.12</v>
          </cell>
          <cell r="AF797">
            <v>43964</v>
          </cell>
          <cell r="AG797" t="str">
            <v>含税到厂</v>
          </cell>
          <cell r="AK797">
            <v>0.3</v>
          </cell>
          <cell r="AL797">
            <v>93000</v>
          </cell>
          <cell r="AM797">
            <v>44032</v>
          </cell>
          <cell r="AN797" t="str">
            <v>Yes</v>
          </cell>
          <cell r="AO797">
            <v>0.6</v>
          </cell>
          <cell r="AP797">
            <v>186000</v>
          </cell>
          <cell r="AQ797">
            <v>44032</v>
          </cell>
          <cell r="AR797">
            <v>44028</v>
          </cell>
          <cell r="AS797">
            <v>0.1</v>
          </cell>
          <cell r="AT797">
            <v>31000</v>
          </cell>
        </row>
        <row r="798">
          <cell r="B798">
            <v>647</v>
          </cell>
          <cell r="C798" t="str">
            <v>C49SZX20200057KW</v>
          </cell>
          <cell r="D798" t="str">
            <v>欣华</v>
          </cell>
          <cell r="E798" t="str">
            <v>YSM20R(SV)-2</v>
          </cell>
          <cell r="F798" t="str">
            <v>#04567</v>
          </cell>
          <cell r="G798" t="e">
            <v>#REF!</v>
          </cell>
          <cell r="H798" t="e">
            <v>#REF!</v>
          </cell>
          <cell r="I798" t="str">
            <v>R-&gt;L</v>
          </cell>
          <cell r="J798" t="str">
            <v>No</v>
          </cell>
          <cell r="K798">
            <v>1</v>
          </cell>
          <cell r="L798" t="e">
            <v>#REF!</v>
          </cell>
          <cell r="M798" t="e">
            <v>#REF!</v>
          </cell>
          <cell r="N798"/>
          <cell r="O798"/>
          <cell r="P798"/>
          <cell r="Q798"/>
          <cell r="R798" t="str">
            <v>Yes</v>
          </cell>
          <cell r="S798" t="str">
            <v>C49</v>
          </cell>
          <cell r="T798" t="str">
            <v>SOUTH</v>
          </cell>
          <cell r="U798" t="str">
            <v>深圳</v>
          </cell>
          <cell r="V798" t="str">
            <v>SZ 深圳</v>
          </cell>
          <cell r="W798" t="str">
            <v>KW</v>
          </cell>
          <cell r="X798" t="str">
            <v>JPY</v>
          </cell>
          <cell r="Y798">
            <v>13360000</v>
          </cell>
          <cell r="Z798">
            <v>1</v>
          </cell>
          <cell r="AA798">
            <v>13360000</v>
          </cell>
          <cell r="AB798">
            <v>7.4300000000000005E-2</v>
          </cell>
          <cell r="AC798">
            <v>992648.00000000012</v>
          </cell>
          <cell r="AD798">
            <v>119117.76000000001</v>
          </cell>
          <cell r="AE798">
            <v>0.12</v>
          </cell>
          <cell r="AF798">
            <v>43977</v>
          </cell>
          <cell r="AG798" t="str">
            <v>DAP SZ</v>
          </cell>
          <cell r="AI798"/>
          <cell r="AJ798"/>
          <cell r="AK798">
            <v>0.3</v>
          </cell>
          <cell r="AL798">
            <v>4008000</v>
          </cell>
          <cell r="AM798"/>
          <cell r="AN798" t="str">
            <v>No</v>
          </cell>
          <cell r="AO798">
            <v>0.7</v>
          </cell>
          <cell r="AP798">
            <v>9352000</v>
          </cell>
          <cell r="AQ798"/>
          <cell r="AR798"/>
          <cell r="AS798">
            <v>0</v>
          </cell>
          <cell r="AT798">
            <v>0</v>
          </cell>
          <cell r="AV798"/>
          <cell r="AX798" t="str">
            <v>Cancel</v>
          </cell>
          <cell r="AY798"/>
          <cell r="AZ798"/>
          <cell r="BA798" t="str">
            <v>Cancel</v>
          </cell>
        </row>
        <row r="799">
          <cell r="B799">
            <v>648</v>
          </cell>
          <cell r="C799" t="str">
            <v>C49SZX20200057KW</v>
          </cell>
          <cell r="D799" t="str">
            <v>欣华</v>
          </cell>
          <cell r="E799" t="str">
            <v>YSM10</v>
          </cell>
          <cell r="F799" t="str">
            <v>#04567</v>
          </cell>
          <cell r="G799" t="e">
            <v>#REF!</v>
          </cell>
          <cell r="H799" t="e">
            <v>#REF!</v>
          </cell>
          <cell r="I799" t="str">
            <v>R-&gt;L</v>
          </cell>
          <cell r="J799" t="str">
            <v>MVC</v>
          </cell>
          <cell r="K799">
            <v>1</v>
          </cell>
          <cell r="L799" t="e">
            <v>#REF!</v>
          </cell>
          <cell r="M799" t="e">
            <v>#REF!</v>
          </cell>
          <cell r="N799"/>
          <cell r="O799"/>
          <cell r="P799"/>
          <cell r="Q799"/>
          <cell r="R799" t="str">
            <v>Yes</v>
          </cell>
          <cell r="S799" t="str">
            <v>C49</v>
          </cell>
          <cell r="T799" t="str">
            <v>SOUTH</v>
          </cell>
          <cell r="U799" t="str">
            <v>深圳</v>
          </cell>
          <cell r="V799" t="str">
            <v>SZ 深圳</v>
          </cell>
          <cell r="W799" t="str">
            <v>KW</v>
          </cell>
          <cell r="X799" t="str">
            <v>JPY</v>
          </cell>
          <cell r="Y799">
            <v>8500000</v>
          </cell>
          <cell r="Z799">
            <v>1</v>
          </cell>
          <cell r="AA799">
            <v>8500000</v>
          </cell>
          <cell r="AB799">
            <v>7.4300000000000005E-2</v>
          </cell>
          <cell r="AC799">
            <v>631550</v>
          </cell>
          <cell r="AD799">
            <v>75786</v>
          </cell>
          <cell r="AE799">
            <v>0.12</v>
          </cell>
          <cell r="AF799">
            <v>43977</v>
          </cell>
          <cell r="AG799" t="str">
            <v>DAP SZ</v>
          </cell>
          <cell r="AI799"/>
          <cell r="AJ799"/>
          <cell r="AK799">
            <v>0.3</v>
          </cell>
          <cell r="AL799">
            <v>2550000</v>
          </cell>
          <cell r="AM799"/>
          <cell r="AN799" t="str">
            <v>No</v>
          </cell>
          <cell r="AO799">
            <v>0.7</v>
          </cell>
          <cell r="AP799">
            <v>5950000</v>
          </cell>
          <cell r="AQ799"/>
          <cell r="AR799"/>
          <cell r="AS799">
            <v>0</v>
          </cell>
          <cell r="AT799">
            <v>0</v>
          </cell>
          <cell r="AV799"/>
          <cell r="AX799" t="str">
            <v>Cancel</v>
          </cell>
          <cell r="AY799"/>
          <cell r="AZ799"/>
          <cell r="BA799" t="str">
            <v>Cancel</v>
          </cell>
        </row>
        <row r="800">
          <cell r="B800">
            <v>649</v>
          </cell>
          <cell r="C800" t="str">
            <v>C49SZX20200033DZ</v>
          </cell>
          <cell r="D800" t="str">
            <v>兆晖</v>
          </cell>
          <cell r="E800" t="str">
            <v>YSM20R(SV)-2</v>
          </cell>
          <cell r="F800" t="str">
            <v>#34562</v>
          </cell>
          <cell r="G800" t="e">
            <v>#REF!</v>
          </cell>
          <cell r="H800" t="e">
            <v>#REF!</v>
          </cell>
          <cell r="I800" t="str">
            <v>L-&gt;R</v>
          </cell>
          <cell r="J800" t="str">
            <v>No</v>
          </cell>
          <cell r="K800">
            <v>1</v>
          </cell>
          <cell r="L800" t="str">
            <v>109886(拆分PO109947）</v>
          </cell>
          <cell r="M800" t="str">
            <v>JUN 20</v>
          </cell>
          <cell r="N800">
            <v>44012</v>
          </cell>
          <cell r="O800">
            <v>11116397</v>
          </cell>
          <cell r="P800">
            <v>10300000</v>
          </cell>
          <cell r="Q800">
            <v>44002</v>
          </cell>
          <cell r="R800" t="str">
            <v>No</v>
          </cell>
          <cell r="S800" t="str">
            <v>C49</v>
          </cell>
          <cell r="T800" t="str">
            <v>SOUTH</v>
          </cell>
          <cell r="U800" t="str">
            <v>深圳</v>
          </cell>
          <cell r="V800" t="str">
            <v>SZ 深圳</v>
          </cell>
          <cell r="W800" t="str">
            <v>DZ</v>
          </cell>
          <cell r="X800" t="str">
            <v>JPY</v>
          </cell>
          <cell r="Y800">
            <v>10300000</v>
          </cell>
          <cell r="Z800">
            <v>1</v>
          </cell>
          <cell r="AA800">
            <v>10300000</v>
          </cell>
          <cell r="AB800">
            <v>7.4300000000000005E-2</v>
          </cell>
          <cell r="AC800">
            <v>765290</v>
          </cell>
          <cell r="AD800">
            <v>91834.8</v>
          </cell>
          <cell r="AE800">
            <v>0.12</v>
          </cell>
          <cell r="AF800">
            <v>43978</v>
          </cell>
          <cell r="AG800" t="str">
            <v>CIF HK</v>
          </cell>
          <cell r="AI800">
            <v>30000</v>
          </cell>
          <cell r="AJ800">
            <v>43978</v>
          </cell>
          <cell r="AK800">
            <v>0.2</v>
          </cell>
          <cell r="AL800">
            <v>2060000</v>
          </cell>
          <cell r="AM800">
            <v>44002</v>
          </cell>
          <cell r="AN800" t="str">
            <v>Yes</v>
          </cell>
          <cell r="AO800">
            <v>0.8</v>
          </cell>
          <cell r="AP800">
            <v>8240000</v>
          </cell>
          <cell r="AQ800">
            <v>44002</v>
          </cell>
          <cell r="AR800">
            <v>44005</v>
          </cell>
          <cell r="AS800">
            <v>0</v>
          </cell>
          <cell r="AT800">
            <v>0</v>
          </cell>
          <cell r="AX800" t="str">
            <v>Yes</v>
          </cell>
          <cell r="AZ800" t="str">
            <v>Yes</v>
          </cell>
          <cell r="BA800" t="str">
            <v>Yes</v>
          </cell>
        </row>
        <row r="801">
          <cell r="B801">
            <v>650</v>
          </cell>
          <cell r="C801" t="str">
            <v>C49SZX20200033DZ</v>
          </cell>
          <cell r="D801" t="str">
            <v>兆晖</v>
          </cell>
          <cell r="E801" t="str">
            <v>YSM20R(SV)-2</v>
          </cell>
          <cell r="F801" t="str">
            <v>#34562</v>
          </cell>
          <cell r="G801" t="e">
            <v>#REF!</v>
          </cell>
          <cell r="H801" t="e">
            <v>#REF!</v>
          </cell>
          <cell r="I801" t="str">
            <v>L-&gt;R</v>
          </cell>
          <cell r="J801" t="str">
            <v>No</v>
          </cell>
          <cell r="K801">
            <v>1</v>
          </cell>
          <cell r="L801" t="str">
            <v>109886(拆分PO109947）</v>
          </cell>
          <cell r="M801" t="str">
            <v>JUN 20</v>
          </cell>
          <cell r="N801">
            <v>44012</v>
          </cell>
          <cell r="O801">
            <v>11116397</v>
          </cell>
          <cell r="P801">
            <v>10300000</v>
          </cell>
          <cell r="Q801">
            <v>44003</v>
          </cell>
          <cell r="R801" t="str">
            <v>No</v>
          </cell>
          <cell r="S801" t="str">
            <v>C49</v>
          </cell>
          <cell r="T801" t="str">
            <v>SOUTH</v>
          </cell>
          <cell r="U801" t="str">
            <v>深圳</v>
          </cell>
          <cell r="V801" t="str">
            <v>SZ 深圳</v>
          </cell>
          <cell r="W801" t="str">
            <v>DZ</v>
          </cell>
          <cell r="X801" t="str">
            <v>JPY</v>
          </cell>
          <cell r="Y801">
            <v>10300000</v>
          </cell>
          <cell r="Z801">
            <v>1</v>
          </cell>
          <cell r="AA801">
            <v>10300000</v>
          </cell>
          <cell r="AB801">
            <v>7.4300000000000005E-2</v>
          </cell>
          <cell r="AC801">
            <v>765290</v>
          </cell>
          <cell r="AD801">
            <v>91834.8</v>
          </cell>
          <cell r="AE801">
            <v>0.12</v>
          </cell>
          <cell r="AF801">
            <v>43978</v>
          </cell>
          <cell r="AG801" t="str">
            <v>CIF HK</v>
          </cell>
          <cell r="AI801">
            <v>30000</v>
          </cell>
          <cell r="AJ801">
            <v>43978</v>
          </cell>
          <cell r="AK801">
            <v>0.2</v>
          </cell>
          <cell r="AL801">
            <v>2060000</v>
          </cell>
          <cell r="AM801">
            <v>44003</v>
          </cell>
          <cell r="AN801" t="str">
            <v>Yes</v>
          </cell>
          <cell r="AO801">
            <v>0.8</v>
          </cell>
          <cell r="AP801">
            <v>8240000</v>
          </cell>
          <cell r="AQ801">
            <v>44003</v>
          </cell>
          <cell r="AR801">
            <v>44005</v>
          </cell>
          <cell r="AS801">
            <v>0</v>
          </cell>
          <cell r="AT801">
            <v>0</v>
          </cell>
          <cell r="AX801" t="str">
            <v>Yes</v>
          </cell>
          <cell r="AZ801" t="str">
            <v>Yes</v>
          </cell>
          <cell r="BA801" t="str">
            <v>Yes</v>
          </cell>
        </row>
        <row r="802">
          <cell r="B802">
            <v>651</v>
          </cell>
          <cell r="C802" t="str">
            <v>C49SZX20200033DZ</v>
          </cell>
          <cell r="D802" t="str">
            <v>兆晖</v>
          </cell>
          <cell r="E802" t="str">
            <v>YSM20R(SV)-2</v>
          </cell>
          <cell r="F802" t="str">
            <v>#34562</v>
          </cell>
          <cell r="G802" t="e">
            <v>#REF!</v>
          </cell>
          <cell r="H802" t="e">
            <v>#REF!</v>
          </cell>
          <cell r="I802" t="str">
            <v>L-&gt;R</v>
          </cell>
          <cell r="J802" t="str">
            <v>No</v>
          </cell>
          <cell r="K802">
            <v>1</v>
          </cell>
          <cell r="L802" t="str">
            <v>109886(拆分PO109947）</v>
          </cell>
          <cell r="M802" t="str">
            <v>JUN 20</v>
          </cell>
          <cell r="N802">
            <v>44012</v>
          </cell>
          <cell r="O802">
            <v>11116397</v>
          </cell>
          <cell r="P802">
            <v>10300000</v>
          </cell>
          <cell r="Q802">
            <v>44004</v>
          </cell>
          <cell r="R802" t="str">
            <v>No</v>
          </cell>
          <cell r="S802" t="str">
            <v>C49</v>
          </cell>
          <cell r="T802" t="str">
            <v>SOUTH</v>
          </cell>
          <cell r="U802" t="str">
            <v>深圳</v>
          </cell>
          <cell r="V802" t="str">
            <v>SZ 深圳</v>
          </cell>
          <cell r="W802" t="str">
            <v>DZ</v>
          </cell>
          <cell r="X802" t="str">
            <v>JPY</v>
          </cell>
          <cell r="Y802">
            <v>10300000</v>
          </cell>
          <cell r="Z802">
            <v>1</v>
          </cell>
          <cell r="AA802">
            <v>10300000</v>
          </cell>
          <cell r="AB802">
            <v>7.4300000000000005E-2</v>
          </cell>
          <cell r="AC802">
            <v>765290</v>
          </cell>
          <cell r="AD802">
            <v>91834.8</v>
          </cell>
          <cell r="AE802">
            <v>0.12</v>
          </cell>
          <cell r="AF802">
            <v>43978</v>
          </cell>
          <cell r="AG802" t="str">
            <v>CIF HK</v>
          </cell>
          <cell r="AI802">
            <v>40000</v>
          </cell>
          <cell r="AJ802">
            <v>43978</v>
          </cell>
          <cell r="AK802">
            <v>0.2</v>
          </cell>
          <cell r="AL802">
            <v>2060000</v>
          </cell>
          <cell r="AM802">
            <v>44004</v>
          </cell>
          <cell r="AN802" t="str">
            <v>Yes</v>
          </cell>
          <cell r="AO802">
            <v>0.8</v>
          </cell>
          <cell r="AP802">
            <v>8240000</v>
          </cell>
          <cell r="AQ802">
            <v>44004</v>
          </cell>
          <cell r="AR802">
            <v>44005</v>
          </cell>
          <cell r="AS802">
            <v>0</v>
          </cell>
          <cell r="AT802">
            <v>0</v>
          </cell>
          <cell r="AX802" t="str">
            <v>Yes</v>
          </cell>
          <cell r="AZ802" t="str">
            <v>Yes</v>
          </cell>
          <cell r="BA802" t="str">
            <v>Yes</v>
          </cell>
        </row>
        <row r="803">
          <cell r="B803">
            <v>652</v>
          </cell>
          <cell r="C803" t="str">
            <v>C49SZX20200025MX</v>
          </cell>
          <cell r="D803" t="str">
            <v>城宇</v>
          </cell>
          <cell r="E803" t="str">
            <v>YSM10</v>
          </cell>
          <cell r="F803" t="str">
            <v>#03894</v>
          </cell>
          <cell r="G803" t="e">
            <v>#REF!</v>
          </cell>
          <cell r="H803" t="e">
            <v>#REF!</v>
          </cell>
          <cell r="I803" t="str">
            <v>L-&gt;R</v>
          </cell>
          <cell r="J803" t="str">
            <v>No</v>
          </cell>
          <cell r="K803">
            <v>1</v>
          </cell>
          <cell r="L803">
            <v>109858</v>
          </cell>
          <cell r="M803" t="str">
            <v>JUN 20</v>
          </cell>
          <cell r="N803">
            <v>43986</v>
          </cell>
          <cell r="O803">
            <v>11100397</v>
          </cell>
          <cell r="P803">
            <v>570000</v>
          </cell>
          <cell r="Q803">
            <v>44002</v>
          </cell>
          <cell r="R803" t="str">
            <v>No</v>
          </cell>
          <cell r="S803" t="str">
            <v>C49</v>
          </cell>
          <cell r="T803" t="str">
            <v>SOUTH</v>
          </cell>
          <cell r="U803" t="str">
            <v>惠州</v>
          </cell>
          <cell r="V803" t="str">
            <v>SZ 深圳</v>
          </cell>
          <cell r="W803" t="str">
            <v>MX</v>
          </cell>
          <cell r="X803" t="str">
            <v>RMB</v>
          </cell>
          <cell r="Y803">
            <v>570000</v>
          </cell>
          <cell r="Z803">
            <v>1.1299999999999999</v>
          </cell>
          <cell r="AA803">
            <v>570000</v>
          </cell>
          <cell r="AB803">
            <v>1.095</v>
          </cell>
          <cell r="AC803">
            <v>552345.13274336292</v>
          </cell>
          <cell r="AD803">
            <v>66281.415929203547</v>
          </cell>
          <cell r="AE803">
            <v>0.12</v>
          </cell>
          <cell r="AF803">
            <v>43976</v>
          </cell>
          <cell r="AG803" t="str">
            <v>含税到厂</v>
          </cell>
          <cell r="AK803">
            <v>0.3</v>
          </cell>
          <cell r="AL803">
            <v>171000</v>
          </cell>
          <cell r="AM803">
            <v>43973</v>
          </cell>
          <cell r="AN803" t="str">
            <v>Yes</v>
          </cell>
          <cell r="AO803">
            <v>0.7</v>
          </cell>
          <cell r="AP803">
            <v>399000</v>
          </cell>
          <cell r="AQ803">
            <v>43974</v>
          </cell>
          <cell r="AR803">
            <v>43980</v>
          </cell>
          <cell r="AS803">
            <v>0</v>
          </cell>
          <cell r="AT803">
            <v>0</v>
          </cell>
          <cell r="AX803" t="str">
            <v>Yes</v>
          </cell>
        </row>
        <row r="804">
          <cell r="B804">
            <v>653</v>
          </cell>
          <cell r="C804" t="str">
            <v>202005080315</v>
          </cell>
          <cell r="D804" t="str">
            <v>海尔</v>
          </cell>
          <cell r="E804" t="str">
            <v>TROI-7700EL</v>
          </cell>
          <cell r="F804" t="str">
            <v>NO</v>
          </cell>
          <cell r="G804" t="e">
            <v>#REF!</v>
          </cell>
          <cell r="H804" t="e">
            <v>#REF!</v>
          </cell>
          <cell r="I804" t="str">
            <v>L-&gt;R</v>
          </cell>
          <cell r="J804" t="str">
            <v>No</v>
          </cell>
          <cell r="K804">
            <v>1</v>
          </cell>
          <cell r="L804" t="str">
            <v>28L103572</v>
          </cell>
          <cell r="M804" t="str">
            <v>SEP 20</v>
          </cell>
          <cell r="N804">
            <v>44079</v>
          </cell>
          <cell r="O804">
            <v>11101189</v>
          </cell>
          <cell r="R804" t="str">
            <v>No</v>
          </cell>
          <cell r="S804" t="str">
            <v>C28</v>
          </cell>
          <cell r="T804" t="str">
            <v>NORTH</v>
          </cell>
          <cell r="U804" t="str">
            <v>合肥</v>
          </cell>
          <cell r="V804" t="str">
            <v>SHA 上海</v>
          </cell>
          <cell r="W804" t="str">
            <v>Li Yong</v>
          </cell>
          <cell r="X804" t="str">
            <v>RMB</v>
          </cell>
          <cell r="Y804">
            <v>468000</v>
          </cell>
          <cell r="Z804">
            <v>1.1299999999999999</v>
          </cell>
          <cell r="AA804">
            <v>468000</v>
          </cell>
          <cell r="AB804">
            <v>1.095</v>
          </cell>
          <cell r="AC804">
            <v>453504.42477876105</v>
          </cell>
          <cell r="AD804">
            <v>54420.530973451321</v>
          </cell>
          <cell r="AE804">
            <v>0.12</v>
          </cell>
          <cell r="AF804">
            <v>43984</v>
          </cell>
          <cell r="AG804" t="str">
            <v>含税到厂</v>
          </cell>
          <cell r="AK804">
            <v>0.3</v>
          </cell>
          <cell r="AL804">
            <v>140400</v>
          </cell>
          <cell r="AM804">
            <v>44004</v>
          </cell>
          <cell r="AN804" t="str">
            <v>Yes</v>
          </cell>
          <cell r="AO804">
            <v>0.6</v>
          </cell>
          <cell r="AP804">
            <v>280800</v>
          </cell>
          <cell r="AS804">
            <v>0.1</v>
          </cell>
          <cell r="AT804">
            <v>46800</v>
          </cell>
        </row>
        <row r="805">
          <cell r="B805">
            <v>654</v>
          </cell>
          <cell r="C805" t="str">
            <v>202005080315</v>
          </cell>
          <cell r="D805" t="str">
            <v>海尔</v>
          </cell>
          <cell r="E805" t="str">
            <v>TROI-7700EL</v>
          </cell>
          <cell r="F805" t="str">
            <v>NO</v>
          </cell>
          <cell r="G805" t="e">
            <v>#REF!</v>
          </cell>
          <cell r="H805" t="e">
            <v>#REF!</v>
          </cell>
          <cell r="I805" t="str">
            <v>L-&gt;R</v>
          </cell>
          <cell r="J805" t="str">
            <v>No</v>
          </cell>
          <cell r="K805">
            <v>1</v>
          </cell>
          <cell r="L805" t="str">
            <v>28L103572</v>
          </cell>
          <cell r="M805" t="str">
            <v>SEP 20</v>
          </cell>
          <cell r="N805">
            <v>44079</v>
          </cell>
          <cell r="O805">
            <v>11101189</v>
          </cell>
          <cell r="R805" t="str">
            <v>No</v>
          </cell>
          <cell r="S805" t="str">
            <v>C28</v>
          </cell>
          <cell r="T805" t="str">
            <v>NORTH</v>
          </cell>
          <cell r="U805" t="str">
            <v>合肥</v>
          </cell>
          <cell r="V805" t="str">
            <v>SHA 上海</v>
          </cell>
          <cell r="W805" t="str">
            <v>Li Yong</v>
          </cell>
          <cell r="X805" t="str">
            <v>RMB</v>
          </cell>
          <cell r="Y805">
            <v>468000</v>
          </cell>
          <cell r="Z805">
            <v>1.1299999999999999</v>
          </cell>
          <cell r="AA805">
            <v>468000</v>
          </cell>
          <cell r="AB805">
            <v>1.095</v>
          </cell>
          <cell r="AC805">
            <v>453504.42477876105</v>
          </cell>
          <cell r="AD805">
            <v>54420.530973451321</v>
          </cell>
          <cell r="AE805">
            <v>0.12</v>
          </cell>
          <cell r="AF805">
            <v>43984</v>
          </cell>
          <cell r="AG805" t="str">
            <v>含税到厂</v>
          </cell>
          <cell r="AK805">
            <v>0.3</v>
          </cell>
          <cell r="AL805">
            <v>140400</v>
          </cell>
          <cell r="AM805">
            <v>44005</v>
          </cell>
          <cell r="AN805" t="str">
            <v>Yes</v>
          </cell>
          <cell r="AO805">
            <v>0.6</v>
          </cell>
          <cell r="AP805">
            <v>280800</v>
          </cell>
          <cell r="AS805">
            <v>0.1</v>
          </cell>
          <cell r="AT805">
            <v>46800</v>
          </cell>
        </row>
        <row r="806">
          <cell r="B806">
            <v>655</v>
          </cell>
          <cell r="C806" t="str">
            <v>202005080315</v>
          </cell>
          <cell r="D806" t="str">
            <v>海尔</v>
          </cell>
          <cell r="E806" t="str">
            <v>TROI-7700EL</v>
          </cell>
          <cell r="F806" t="str">
            <v>NO</v>
          </cell>
          <cell r="G806" t="e">
            <v>#REF!</v>
          </cell>
          <cell r="H806" t="e">
            <v>#REF!</v>
          </cell>
          <cell r="I806" t="str">
            <v>L-&gt;R</v>
          </cell>
          <cell r="J806" t="str">
            <v>No</v>
          </cell>
          <cell r="K806">
            <v>1</v>
          </cell>
          <cell r="L806" t="str">
            <v>28L103572</v>
          </cell>
          <cell r="M806" t="str">
            <v>SEP 20</v>
          </cell>
          <cell r="N806">
            <v>44079</v>
          </cell>
          <cell r="O806">
            <v>11101189</v>
          </cell>
          <cell r="R806" t="str">
            <v>No</v>
          </cell>
          <cell r="S806" t="str">
            <v>C28</v>
          </cell>
          <cell r="T806" t="str">
            <v>NORTH</v>
          </cell>
          <cell r="U806" t="str">
            <v>合肥</v>
          </cell>
          <cell r="V806" t="str">
            <v>SHA 上海</v>
          </cell>
          <cell r="W806" t="str">
            <v>Li Yong</v>
          </cell>
          <cell r="X806" t="str">
            <v>RMB</v>
          </cell>
          <cell r="Y806">
            <v>468000</v>
          </cell>
          <cell r="Z806">
            <v>1.1299999999999999</v>
          </cell>
          <cell r="AA806">
            <v>468000</v>
          </cell>
          <cell r="AB806">
            <v>1.095</v>
          </cell>
          <cell r="AC806">
            <v>453504.42477876105</v>
          </cell>
          <cell r="AD806">
            <v>54420.530973451321</v>
          </cell>
          <cell r="AE806">
            <v>0.12</v>
          </cell>
          <cell r="AF806">
            <v>43984</v>
          </cell>
          <cell r="AG806" t="str">
            <v>含税到厂</v>
          </cell>
          <cell r="AK806">
            <v>0.3</v>
          </cell>
          <cell r="AL806">
            <v>140400</v>
          </cell>
          <cell r="AM806">
            <v>44006</v>
          </cell>
          <cell r="AN806" t="str">
            <v>Yes</v>
          </cell>
          <cell r="AO806">
            <v>0.6</v>
          </cell>
          <cell r="AP806">
            <v>280800</v>
          </cell>
          <cell r="AS806">
            <v>0.1</v>
          </cell>
          <cell r="AT806">
            <v>46800</v>
          </cell>
        </row>
        <row r="807">
          <cell r="B807">
            <v>656</v>
          </cell>
          <cell r="C807" t="str">
            <v>C49SZX20200058SS</v>
          </cell>
          <cell r="D807" t="str">
            <v>中润互联</v>
          </cell>
          <cell r="E807" t="str">
            <v>YSM10</v>
          </cell>
          <cell r="F807" t="str">
            <v>#74022</v>
          </cell>
          <cell r="G807" t="e">
            <v>#REF!</v>
          </cell>
          <cell r="H807" t="e">
            <v>#REF!</v>
          </cell>
          <cell r="I807" t="str">
            <v>R-&gt;L</v>
          </cell>
          <cell r="J807" t="str">
            <v>MVC+ATS15</v>
          </cell>
          <cell r="K807">
            <v>1</v>
          </cell>
          <cell r="L807">
            <v>109783</v>
          </cell>
          <cell r="M807" t="str">
            <v>JUL 20</v>
          </cell>
          <cell r="N807">
            <v>44029</v>
          </cell>
          <cell r="O807">
            <v>11100409</v>
          </cell>
          <cell r="P807">
            <v>780000</v>
          </cell>
          <cell r="Q807">
            <v>44032</v>
          </cell>
          <cell r="R807" t="str">
            <v>No</v>
          </cell>
          <cell r="S807" t="str">
            <v>C49</v>
          </cell>
          <cell r="T807" t="str">
            <v>SOUTH</v>
          </cell>
          <cell r="U807" t="str">
            <v>深圳</v>
          </cell>
          <cell r="V807" t="str">
            <v>SZ 深圳</v>
          </cell>
          <cell r="W807" t="str">
            <v>SS</v>
          </cell>
          <cell r="X807" t="str">
            <v>RMB</v>
          </cell>
          <cell r="Y807">
            <v>780000</v>
          </cell>
          <cell r="Z807">
            <v>1.1299999999999999</v>
          </cell>
          <cell r="AA807">
            <v>780000</v>
          </cell>
          <cell r="AB807">
            <v>1.089</v>
          </cell>
          <cell r="AC807">
            <v>751699.11504424782</v>
          </cell>
          <cell r="AD807">
            <v>90203.893805309737</v>
          </cell>
          <cell r="AE807">
            <v>0.12</v>
          </cell>
          <cell r="AF807">
            <v>43986</v>
          </cell>
          <cell r="AG807" t="str">
            <v>含税到厂</v>
          </cell>
          <cell r="AK807" t="str">
            <v>agree</v>
          </cell>
          <cell r="AL807">
            <v>200000</v>
          </cell>
          <cell r="AM807">
            <v>44007</v>
          </cell>
          <cell r="AN807" t="str">
            <v>Yes</v>
          </cell>
          <cell r="AO807" t="str">
            <v>agree</v>
          </cell>
          <cell r="AP807">
            <v>100000</v>
          </cell>
          <cell r="AQ807">
            <v>44004</v>
          </cell>
          <cell r="AR807">
            <v>43998</v>
          </cell>
          <cell r="AS807" t="str">
            <v>agree</v>
          </cell>
          <cell r="AT807">
            <v>2480000</v>
          </cell>
          <cell r="AU807">
            <v>44032</v>
          </cell>
          <cell r="AV807">
            <v>44013</v>
          </cell>
          <cell r="AX807" t="str">
            <v>Yes</v>
          </cell>
          <cell r="AZ807" t="str">
            <v>Yes</v>
          </cell>
          <cell r="BA807" t="str">
            <v>Yes</v>
          </cell>
        </row>
        <row r="808">
          <cell r="B808">
            <v>657</v>
          </cell>
          <cell r="C808" t="str">
            <v>C49SZX20200058SS</v>
          </cell>
          <cell r="D808" t="str">
            <v>中润互联</v>
          </cell>
          <cell r="E808" t="str">
            <v>YSM20R(SV)-2</v>
          </cell>
          <cell r="F808" t="str">
            <v>#74022</v>
          </cell>
          <cell r="G808" t="e">
            <v>#REF!</v>
          </cell>
          <cell r="H808" t="e">
            <v>#REF!</v>
          </cell>
          <cell r="I808" t="str">
            <v>R-&gt;L</v>
          </cell>
          <cell r="J808" t="str">
            <v>MVC</v>
          </cell>
          <cell r="K808">
            <v>1</v>
          </cell>
          <cell r="L808">
            <v>109856</v>
          </cell>
          <cell r="M808" t="str">
            <v>JUL 20</v>
          </cell>
          <cell r="N808">
            <v>44029</v>
          </cell>
          <cell r="O808">
            <v>11100409</v>
          </cell>
          <cell r="P808">
            <v>1000000</v>
          </cell>
          <cell r="Q808">
            <v>44033</v>
          </cell>
          <cell r="R808" t="str">
            <v>No</v>
          </cell>
          <cell r="S808" t="str">
            <v>C49</v>
          </cell>
          <cell r="T808" t="str">
            <v>SOUTH</v>
          </cell>
          <cell r="U808" t="str">
            <v>深圳</v>
          </cell>
          <cell r="V808" t="str">
            <v>SZ 深圳</v>
          </cell>
          <cell r="W808" t="str">
            <v>SS</v>
          </cell>
          <cell r="X808" t="str">
            <v>RMB</v>
          </cell>
          <cell r="Y808">
            <v>1000000</v>
          </cell>
          <cell r="Z808">
            <v>1.1299999999999999</v>
          </cell>
          <cell r="AA808">
            <v>1000000</v>
          </cell>
          <cell r="AB808">
            <v>1.089</v>
          </cell>
          <cell r="AC808">
            <v>963716.81415929215</v>
          </cell>
          <cell r="AD808">
            <v>115646.01769911505</v>
          </cell>
          <cell r="AE808">
            <v>0.12</v>
          </cell>
          <cell r="AF808">
            <v>43986</v>
          </cell>
          <cell r="AG808" t="str">
            <v>含税到厂</v>
          </cell>
          <cell r="AK808" t="str">
            <v>agree</v>
          </cell>
          <cell r="AL808"/>
          <cell r="AM808">
            <v>44008</v>
          </cell>
          <cell r="AN808" t="str">
            <v>Yes</v>
          </cell>
          <cell r="AO808" t="str">
            <v>agree</v>
          </cell>
          <cell r="AP808"/>
          <cell r="AQ808">
            <v>44005</v>
          </cell>
          <cell r="AR808">
            <v>43998</v>
          </cell>
          <cell r="AS808" t="str">
            <v>agree</v>
          </cell>
          <cell r="AT808"/>
          <cell r="AU808">
            <v>44033</v>
          </cell>
          <cell r="AV808">
            <v>44013</v>
          </cell>
          <cell r="AX808" t="str">
            <v>Yes</v>
          </cell>
          <cell r="AZ808" t="str">
            <v>Yes</v>
          </cell>
          <cell r="BA808" t="str">
            <v>Yes</v>
          </cell>
        </row>
        <row r="809">
          <cell r="B809">
            <v>658</v>
          </cell>
          <cell r="C809" t="str">
            <v>C49SZX20200058SS</v>
          </cell>
          <cell r="D809" t="str">
            <v>中润互联</v>
          </cell>
          <cell r="E809" t="str">
            <v>YSM20R(SV)-2</v>
          </cell>
          <cell r="F809" t="str">
            <v>#74022</v>
          </cell>
          <cell r="G809" t="e">
            <v>#REF!</v>
          </cell>
          <cell r="H809" t="e">
            <v>#REF!</v>
          </cell>
          <cell r="I809" t="str">
            <v>R-&gt;L</v>
          </cell>
          <cell r="J809" t="str">
            <v>No</v>
          </cell>
          <cell r="K809">
            <v>1</v>
          </cell>
          <cell r="L809">
            <v>109856</v>
          </cell>
          <cell r="M809" t="str">
            <v>JUL 20</v>
          </cell>
          <cell r="N809">
            <v>44029</v>
          </cell>
          <cell r="O809">
            <v>11100409</v>
          </cell>
          <cell r="P809">
            <v>1000000</v>
          </cell>
          <cell r="Q809">
            <v>44034</v>
          </cell>
          <cell r="R809" t="str">
            <v>No</v>
          </cell>
          <cell r="S809" t="str">
            <v>C49</v>
          </cell>
          <cell r="T809" t="str">
            <v>SOUTH</v>
          </cell>
          <cell r="U809" t="str">
            <v>深圳</v>
          </cell>
          <cell r="V809" t="str">
            <v>SZ 深圳</v>
          </cell>
          <cell r="W809" t="str">
            <v>SS</v>
          </cell>
          <cell r="X809" t="str">
            <v>RMB</v>
          </cell>
          <cell r="Y809">
            <v>1000000</v>
          </cell>
          <cell r="Z809">
            <v>1.1299999999999999</v>
          </cell>
          <cell r="AA809">
            <v>1000000</v>
          </cell>
          <cell r="AB809">
            <v>1.089</v>
          </cell>
          <cell r="AC809">
            <v>963716.81415929215</v>
          </cell>
          <cell r="AD809">
            <v>115646.01769911505</v>
          </cell>
          <cell r="AE809">
            <v>0.12</v>
          </cell>
          <cell r="AF809">
            <v>43986</v>
          </cell>
          <cell r="AG809" t="str">
            <v>含税到厂</v>
          </cell>
          <cell r="AK809" t="str">
            <v>agree</v>
          </cell>
          <cell r="AL809"/>
          <cell r="AM809">
            <v>44009</v>
          </cell>
          <cell r="AN809" t="str">
            <v>Yes</v>
          </cell>
          <cell r="AO809" t="str">
            <v>agree</v>
          </cell>
          <cell r="AP809"/>
          <cell r="AQ809">
            <v>44006</v>
          </cell>
          <cell r="AR809">
            <v>43998</v>
          </cell>
          <cell r="AS809" t="str">
            <v>agree</v>
          </cell>
          <cell r="AT809"/>
          <cell r="AU809">
            <v>44034</v>
          </cell>
          <cell r="AV809">
            <v>44013</v>
          </cell>
          <cell r="AX809" t="str">
            <v>Yes</v>
          </cell>
          <cell r="AZ809" t="str">
            <v>Yes</v>
          </cell>
          <cell r="BA809" t="str">
            <v>Yes</v>
          </cell>
        </row>
        <row r="810">
          <cell r="B810">
            <v>659</v>
          </cell>
          <cell r="C810" t="str">
            <v>C49SZX2200059CX</v>
          </cell>
          <cell r="D810" t="str">
            <v>钧溢电子</v>
          </cell>
          <cell r="E810" t="str">
            <v>YSM20R(SV)-2</v>
          </cell>
          <cell r="F810" t="str">
            <v>#04111</v>
          </cell>
          <cell r="G810" t="e">
            <v>#REF!</v>
          </cell>
          <cell r="H810" t="e">
            <v>#REF!</v>
          </cell>
          <cell r="I810" t="str">
            <v>L-&gt;R</v>
          </cell>
          <cell r="J810" t="str">
            <v>No</v>
          </cell>
          <cell r="K810">
            <v>1</v>
          </cell>
          <cell r="L810" t="e">
            <v>#N/A</v>
          </cell>
          <cell r="M810" t="e">
            <v>#N/A</v>
          </cell>
          <cell r="N810"/>
          <cell r="O810"/>
          <cell r="P810"/>
          <cell r="Q810"/>
          <cell r="R810" t="str">
            <v>No</v>
          </cell>
          <cell r="S810" t="str">
            <v>C49</v>
          </cell>
          <cell r="T810" t="str">
            <v>SOUTH</v>
          </cell>
          <cell r="U810" t="str">
            <v>深圳</v>
          </cell>
          <cell r="V810" t="str">
            <v>SZ 深圳</v>
          </cell>
          <cell r="W810" t="str">
            <v>SS</v>
          </cell>
          <cell r="X810" t="str">
            <v>JPY</v>
          </cell>
          <cell r="Y810">
            <v>14356000</v>
          </cell>
          <cell r="Z810">
            <v>1</v>
          </cell>
          <cell r="AA810">
            <v>14356000</v>
          </cell>
          <cell r="AB810">
            <v>7.3400000000000007E-2</v>
          </cell>
          <cell r="AC810">
            <v>1053730.4000000001</v>
          </cell>
          <cell r="AD810">
            <v>126447.64800000002</v>
          </cell>
          <cell r="AE810">
            <v>0.12</v>
          </cell>
          <cell r="AF810">
            <v>43987</v>
          </cell>
          <cell r="AG810" t="str">
            <v>DAP SZ</v>
          </cell>
          <cell r="AI810"/>
          <cell r="AJ810"/>
          <cell r="AK810">
            <v>0.1</v>
          </cell>
          <cell r="AL810">
            <v>1435600</v>
          </cell>
          <cell r="AM810"/>
          <cell r="AN810" t="str">
            <v>No</v>
          </cell>
          <cell r="AO810">
            <v>0.9</v>
          </cell>
          <cell r="AP810">
            <v>12920400</v>
          </cell>
          <cell r="AQ810"/>
          <cell r="AR810"/>
          <cell r="AS810">
            <v>0</v>
          </cell>
          <cell r="AT810">
            <v>0</v>
          </cell>
          <cell r="AV810"/>
          <cell r="AX810" t="str">
            <v>Cancel</v>
          </cell>
          <cell r="AY810"/>
          <cell r="AZ810"/>
          <cell r="BA810"/>
        </row>
        <row r="811">
          <cell r="B811">
            <v>660</v>
          </cell>
          <cell r="C811" t="str">
            <v>C49SZX20200062SS</v>
          </cell>
          <cell r="D811" t="str">
            <v>康腾</v>
          </cell>
          <cell r="E811" t="str">
            <v>YSM10</v>
          </cell>
          <cell r="F811" t="str">
            <v>#82885</v>
          </cell>
          <cell r="G811" t="e">
            <v>#REF!</v>
          </cell>
          <cell r="H811" t="e">
            <v>#REF!</v>
          </cell>
          <cell r="I811" t="str">
            <v>R-&gt;L</v>
          </cell>
          <cell r="J811" t="str">
            <v>MVC+ATS15</v>
          </cell>
          <cell r="K811">
            <v>1</v>
          </cell>
          <cell r="L811">
            <v>109750</v>
          </cell>
          <cell r="M811" t="str">
            <v>JUL 20</v>
          </cell>
          <cell r="N811">
            <v>44014</v>
          </cell>
          <cell r="O811">
            <v>11100408</v>
          </cell>
          <cell r="P811">
            <v>690000</v>
          </cell>
          <cell r="Q811">
            <v>44032</v>
          </cell>
          <cell r="R811" t="str">
            <v>No</v>
          </cell>
          <cell r="S811" t="str">
            <v>C49</v>
          </cell>
          <cell r="T811" t="str">
            <v>SOUTH</v>
          </cell>
          <cell r="U811" t="str">
            <v>深圳</v>
          </cell>
          <cell r="V811" t="str">
            <v>SZ 深圳</v>
          </cell>
          <cell r="W811" t="str">
            <v>SS</v>
          </cell>
          <cell r="X811" t="str">
            <v>RMB</v>
          </cell>
          <cell r="Y811">
            <v>690000</v>
          </cell>
          <cell r="Z811">
            <v>1.1299999999999999</v>
          </cell>
          <cell r="AA811">
            <v>690000</v>
          </cell>
          <cell r="AB811">
            <v>1.089</v>
          </cell>
          <cell r="AC811">
            <v>664964.60176991159</v>
          </cell>
          <cell r="AD811">
            <v>79795.752212389387</v>
          </cell>
          <cell r="AE811">
            <v>0.12</v>
          </cell>
          <cell r="AF811">
            <v>43991</v>
          </cell>
          <cell r="AG811" t="str">
            <v>含税到厂</v>
          </cell>
          <cell r="AK811" t="str">
            <v>agree</v>
          </cell>
          <cell r="AL811">
            <v>90000</v>
          </cell>
          <cell r="AM811">
            <v>44009</v>
          </cell>
          <cell r="AN811" t="str">
            <v>Yes</v>
          </cell>
          <cell r="AO811" t="str">
            <v>agree</v>
          </cell>
          <cell r="AP811">
            <v>600000</v>
          </cell>
          <cell r="AQ811">
            <v>43983</v>
          </cell>
          <cell r="AR811">
            <v>44011</v>
          </cell>
          <cell r="AS811">
            <v>0</v>
          </cell>
          <cell r="AT811">
            <v>0</v>
          </cell>
          <cell r="AX811" t="str">
            <v>Yes</v>
          </cell>
          <cell r="AZ811" t="str">
            <v>Yes</v>
          </cell>
          <cell r="BA811" t="str">
            <v>Yes</v>
          </cell>
        </row>
        <row r="812">
          <cell r="B812">
            <v>661</v>
          </cell>
          <cell r="C812" t="str">
            <v>C49SZX20200065JZ</v>
          </cell>
          <cell r="D812" t="str">
            <v>科华/End user 美斯特</v>
          </cell>
          <cell r="E812" t="str">
            <v>YSM10</v>
          </cell>
          <cell r="F812" t="str">
            <v>#82644</v>
          </cell>
          <cell r="G812" t="e">
            <v>#REF!</v>
          </cell>
          <cell r="H812" t="e">
            <v>#REF!</v>
          </cell>
          <cell r="I812" t="str">
            <v>L-&gt;R</v>
          </cell>
          <cell r="J812" t="str">
            <v>No</v>
          </cell>
          <cell r="K812">
            <v>1</v>
          </cell>
          <cell r="L812">
            <v>109889</v>
          </cell>
          <cell r="M812" t="str">
            <v>JUN 20</v>
          </cell>
          <cell r="N812">
            <v>44000</v>
          </cell>
          <cell r="O812">
            <v>11100406</v>
          </cell>
          <cell r="P812">
            <v>570000</v>
          </cell>
          <cell r="Q812">
            <v>44002</v>
          </cell>
          <cell r="R812" t="str">
            <v>No</v>
          </cell>
          <cell r="S812" t="str">
            <v>C49</v>
          </cell>
          <cell r="T812" t="str">
            <v>SOUTH</v>
          </cell>
          <cell r="U812" t="str">
            <v>深圳</v>
          </cell>
          <cell r="V812" t="str">
            <v>SZ 深圳</v>
          </cell>
          <cell r="W812" t="str">
            <v>ZX</v>
          </cell>
          <cell r="X812" t="str">
            <v>RMB</v>
          </cell>
          <cell r="Y812">
            <v>570000</v>
          </cell>
          <cell r="Z812">
            <v>1.1299999999999999</v>
          </cell>
          <cell r="AA812">
            <v>570000</v>
          </cell>
          <cell r="AB812">
            <v>1.089</v>
          </cell>
          <cell r="AC812">
            <v>549318.5840707965</v>
          </cell>
          <cell r="AD812">
            <v>65918.230088495577</v>
          </cell>
          <cell r="AE812">
            <v>0.12</v>
          </cell>
          <cell r="AF812">
            <v>43993</v>
          </cell>
          <cell r="AG812" t="str">
            <v>含税到厂</v>
          </cell>
          <cell r="AK812">
            <v>1</v>
          </cell>
          <cell r="AL812">
            <v>570000</v>
          </cell>
          <cell r="AM812">
            <v>43983</v>
          </cell>
          <cell r="AN812" t="str">
            <v>Yes</v>
          </cell>
          <cell r="AO812">
            <v>0</v>
          </cell>
          <cell r="AP812">
            <v>0</v>
          </cell>
          <cell r="AS812">
            <v>0</v>
          </cell>
          <cell r="AT812">
            <v>0</v>
          </cell>
          <cell r="AX812" t="str">
            <v>Yes</v>
          </cell>
          <cell r="AZ812" t="str">
            <v>Yes</v>
          </cell>
          <cell r="BA812" t="str">
            <v>Yes</v>
          </cell>
        </row>
        <row r="813">
          <cell r="B813">
            <v>662</v>
          </cell>
          <cell r="C813" t="str">
            <v>C49SZX20200061JY</v>
          </cell>
          <cell r="D813" t="str">
            <v>旭日伟光</v>
          </cell>
          <cell r="E813" t="str">
            <v>YSM10</v>
          </cell>
          <cell r="F813" t="str">
            <v>#03817</v>
          </cell>
          <cell r="G813" t="e">
            <v>#REF!</v>
          </cell>
          <cell r="H813" t="e">
            <v>#REF!</v>
          </cell>
          <cell r="I813" t="str">
            <v>L-&gt;R</v>
          </cell>
          <cell r="J813" t="str">
            <v>MVC</v>
          </cell>
          <cell r="K813">
            <v>1</v>
          </cell>
          <cell r="L813">
            <v>109889</v>
          </cell>
          <cell r="M813" t="str">
            <v>JUN 20</v>
          </cell>
          <cell r="N813">
            <v>44004</v>
          </cell>
          <cell r="O813">
            <v>11116396</v>
          </cell>
          <cell r="P813">
            <v>7000000</v>
          </cell>
          <cell r="Q813">
            <v>43983</v>
          </cell>
          <cell r="R813" t="str">
            <v>No</v>
          </cell>
          <cell r="S813" t="str">
            <v>C49</v>
          </cell>
          <cell r="T813" t="str">
            <v>SOUTH</v>
          </cell>
          <cell r="U813" t="str">
            <v>深圳</v>
          </cell>
          <cell r="V813" t="str">
            <v>SZ 深圳</v>
          </cell>
          <cell r="W813" t="str">
            <v>JY</v>
          </cell>
          <cell r="X813" t="str">
            <v>JPY</v>
          </cell>
          <cell r="Y813">
            <v>7000000</v>
          </cell>
          <cell r="Z813">
            <v>1</v>
          </cell>
          <cell r="AA813">
            <v>7000000</v>
          </cell>
          <cell r="AB813">
            <v>7.3400000000000007E-2</v>
          </cell>
          <cell r="AC813">
            <v>513800.00000000006</v>
          </cell>
          <cell r="AD813">
            <v>61656.000000000007</v>
          </cell>
          <cell r="AE813">
            <v>0.12</v>
          </cell>
          <cell r="AF813">
            <v>43993</v>
          </cell>
          <cell r="AG813" t="str">
            <v>DAP SZ</v>
          </cell>
          <cell r="AI813">
            <v>60000</v>
          </cell>
          <cell r="AJ813">
            <v>43994</v>
          </cell>
          <cell r="AK813">
            <v>1</v>
          </cell>
          <cell r="AL813">
            <v>7000000</v>
          </cell>
          <cell r="AM813">
            <v>43983</v>
          </cell>
          <cell r="AN813" t="str">
            <v>Yes</v>
          </cell>
          <cell r="AO813">
            <v>0</v>
          </cell>
          <cell r="AP813">
            <v>0</v>
          </cell>
          <cell r="AS813">
            <v>0</v>
          </cell>
          <cell r="AT813">
            <v>0</v>
          </cell>
          <cell r="AX813" t="str">
            <v>Yes</v>
          </cell>
          <cell r="AZ813" t="str">
            <v>Yes</v>
          </cell>
          <cell r="BA813" t="str">
            <v>Yes</v>
          </cell>
        </row>
        <row r="814">
          <cell r="B814">
            <v>663</v>
          </cell>
          <cell r="C814" t="str">
            <v>C49SZX20200067JZ</v>
          </cell>
          <cell r="D814" t="str">
            <v>正邦</v>
          </cell>
          <cell r="E814" t="str">
            <v>YSM40R-4</v>
          </cell>
          <cell r="F814" t="str">
            <v>NA</v>
          </cell>
          <cell r="G814" t="e">
            <v>#REF!</v>
          </cell>
          <cell r="H814" t="e">
            <v>#REF!</v>
          </cell>
          <cell r="I814" t="str">
            <v>L-&gt;R</v>
          </cell>
          <cell r="J814" t="str">
            <v>No</v>
          </cell>
          <cell r="K814">
            <v>1</v>
          </cell>
          <cell r="L814" t="e">
            <v>#N/A</v>
          </cell>
          <cell r="M814" t="e">
            <v>#N/A</v>
          </cell>
          <cell r="N814"/>
          <cell r="O814"/>
          <cell r="P814"/>
          <cell r="Q814"/>
          <cell r="R814" t="str">
            <v>YES</v>
          </cell>
          <cell r="S814" t="str">
            <v>C49</v>
          </cell>
          <cell r="T814" t="str">
            <v>SOUTH</v>
          </cell>
          <cell r="U814" t="str">
            <v>深圳</v>
          </cell>
          <cell r="V814" t="str">
            <v>SZ 深圳</v>
          </cell>
          <cell r="W814" t="str">
            <v>ZX</v>
          </cell>
          <cell r="X814" t="str">
            <v>RMB</v>
          </cell>
          <cell r="Y814">
            <v>1500000</v>
          </cell>
          <cell r="Z814">
            <v>1.1299999999999999</v>
          </cell>
          <cell r="AA814">
            <v>1500000</v>
          </cell>
          <cell r="AB814">
            <v>1.089</v>
          </cell>
          <cell r="AC814">
            <v>1445575.2212389382</v>
          </cell>
          <cell r="AD814">
            <v>173469.02654867258</v>
          </cell>
          <cell r="AE814">
            <v>0.12</v>
          </cell>
          <cell r="AF814">
            <v>44000</v>
          </cell>
          <cell r="AG814" t="str">
            <v>含税到厂</v>
          </cell>
          <cell r="AI814"/>
          <cell r="AJ814"/>
          <cell r="AK814">
            <v>0.3</v>
          </cell>
          <cell r="AL814">
            <v>450000</v>
          </cell>
          <cell r="AM814"/>
          <cell r="AN814" t="str">
            <v>No</v>
          </cell>
          <cell r="AO814">
            <v>0.65</v>
          </cell>
          <cell r="AP814">
            <v>975000</v>
          </cell>
          <cell r="AQ814"/>
          <cell r="AR814"/>
          <cell r="AS814">
            <v>0.05</v>
          </cell>
          <cell r="AT814">
            <v>75000</v>
          </cell>
          <cell r="AV814"/>
          <cell r="AX814" t="str">
            <v>Cancel</v>
          </cell>
          <cell r="AY814"/>
          <cell r="AZ814"/>
          <cell r="BA814"/>
        </row>
        <row r="815">
          <cell r="B815">
            <v>664</v>
          </cell>
          <cell r="C815" t="str">
            <v>C49SZX20200067JZ</v>
          </cell>
          <cell r="D815" t="str">
            <v>正邦</v>
          </cell>
          <cell r="E815" t="str">
            <v>YSM40R-4</v>
          </cell>
          <cell r="F815" t="str">
            <v>NA</v>
          </cell>
          <cell r="G815" t="e">
            <v>#REF!</v>
          </cell>
          <cell r="H815" t="e">
            <v>#REF!</v>
          </cell>
          <cell r="I815" t="str">
            <v>L-&gt;R</v>
          </cell>
          <cell r="J815" t="str">
            <v>No</v>
          </cell>
          <cell r="K815">
            <v>1</v>
          </cell>
          <cell r="L815" t="e">
            <v>#N/A</v>
          </cell>
          <cell r="M815" t="e">
            <v>#N/A</v>
          </cell>
          <cell r="N815"/>
          <cell r="O815"/>
          <cell r="P815"/>
          <cell r="Q815"/>
          <cell r="R815" t="str">
            <v>YES</v>
          </cell>
          <cell r="S815" t="str">
            <v>C49</v>
          </cell>
          <cell r="T815" t="str">
            <v>SOUTH</v>
          </cell>
          <cell r="U815" t="str">
            <v>深圳</v>
          </cell>
          <cell r="V815" t="str">
            <v>SZ 深圳</v>
          </cell>
          <cell r="W815" t="str">
            <v>ZX</v>
          </cell>
          <cell r="X815" t="str">
            <v>RMB</v>
          </cell>
          <cell r="Y815">
            <v>1500000</v>
          </cell>
          <cell r="Z815">
            <v>1.1299999999999999</v>
          </cell>
          <cell r="AA815">
            <v>1500000</v>
          </cell>
          <cell r="AB815">
            <v>1.089</v>
          </cell>
          <cell r="AC815">
            <v>1445575.2212389382</v>
          </cell>
          <cell r="AD815">
            <v>173469.02654867258</v>
          </cell>
          <cell r="AE815">
            <v>0.12</v>
          </cell>
          <cell r="AF815">
            <v>44000</v>
          </cell>
          <cell r="AG815" t="str">
            <v>含税到厂</v>
          </cell>
          <cell r="AI815"/>
          <cell r="AJ815"/>
          <cell r="AK815">
            <v>0.3</v>
          </cell>
          <cell r="AL815">
            <v>450000</v>
          </cell>
          <cell r="AM815"/>
          <cell r="AN815" t="str">
            <v>No</v>
          </cell>
          <cell r="AO815">
            <v>0.65</v>
          </cell>
          <cell r="AP815">
            <v>975000</v>
          </cell>
          <cell r="AQ815"/>
          <cell r="AR815"/>
          <cell r="AS815">
            <v>0.05</v>
          </cell>
          <cell r="AT815">
            <v>75000</v>
          </cell>
          <cell r="AV815"/>
          <cell r="AX815" t="str">
            <v>Cancel</v>
          </cell>
          <cell r="AY815"/>
          <cell r="AZ815"/>
          <cell r="BA815"/>
        </row>
        <row r="816">
          <cell r="B816">
            <v>665</v>
          </cell>
          <cell r="C816" t="str">
            <v>C49SZX20200063SS</v>
          </cell>
          <cell r="D816" t="str">
            <v>中润互联</v>
          </cell>
          <cell r="E816" t="str">
            <v>YSM10</v>
          </cell>
          <cell r="F816" t="str">
            <v>#74022</v>
          </cell>
          <cell r="G816" t="e">
            <v>#REF!</v>
          </cell>
          <cell r="H816" t="e">
            <v>#REF!</v>
          </cell>
          <cell r="I816" t="str">
            <v>L-&gt;R</v>
          </cell>
          <cell r="J816" t="str">
            <v>MVC</v>
          </cell>
          <cell r="K816">
            <v>1</v>
          </cell>
          <cell r="L816">
            <v>109891</v>
          </cell>
          <cell r="M816" t="str">
            <v>JUL 20</v>
          </cell>
          <cell r="N816">
            <v>44029</v>
          </cell>
          <cell r="O816">
            <v>11100412</v>
          </cell>
          <cell r="P816">
            <v>540000</v>
          </cell>
          <cell r="Q816">
            <v>44032</v>
          </cell>
          <cell r="R816" t="str">
            <v>No</v>
          </cell>
          <cell r="S816" t="str">
            <v>C49</v>
          </cell>
          <cell r="T816" t="str">
            <v>SOUTH</v>
          </cell>
          <cell r="U816" t="str">
            <v>深圳</v>
          </cell>
          <cell r="V816" t="str">
            <v>SZ 深圳</v>
          </cell>
          <cell r="W816" t="str">
            <v>SS</v>
          </cell>
          <cell r="X816" t="str">
            <v>RMB</v>
          </cell>
          <cell r="Y816">
            <v>540000</v>
          </cell>
          <cell r="Z816">
            <v>1.1299999999999999</v>
          </cell>
          <cell r="AA816">
            <v>540000</v>
          </cell>
          <cell r="AB816">
            <v>1.089</v>
          </cell>
          <cell r="AC816">
            <v>520407.07964601775</v>
          </cell>
          <cell r="AD816">
            <v>62448.849557522131</v>
          </cell>
          <cell r="AE816">
            <v>0.12</v>
          </cell>
          <cell r="AF816">
            <v>44001</v>
          </cell>
          <cell r="AG816" t="str">
            <v>含税到厂</v>
          </cell>
          <cell r="AK816" t="str">
            <v>agree</v>
          </cell>
          <cell r="AL816">
            <v>40000</v>
          </cell>
          <cell r="AM816">
            <v>43983</v>
          </cell>
          <cell r="AN816" t="str">
            <v>Yes</v>
          </cell>
          <cell r="AO816" t="str">
            <v>agree</v>
          </cell>
          <cell r="AP816">
            <v>100000</v>
          </cell>
          <cell r="AQ816">
            <v>43983</v>
          </cell>
          <cell r="AR816">
            <v>44006</v>
          </cell>
          <cell r="AS816" t="str">
            <v>agree</v>
          </cell>
          <cell r="AT816">
            <v>400000</v>
          </cell>
          <cell r="AU816">
            <v>44034</v>
          </cell>
          <cell r="AV816">
            <v>44013</v>
          </cell>
          <cell r="AX816" t="str">
            <v>Yes</v>
          </cell>
          <cell r="AZ816" t="str">
            <v>Yes</v>
          </cell>
          <cell r="BA816" t="str">
            <v>Yes</v>
          </cell>
        </row>
        <row r="817">
          <cell r="B817">
            <v>666</v>
          </cell>
          <cell r="C817" t="str">
            <v>C49SZX20200069JY</v>
          </cell>
          <cell r="D817" t="str">
            <v>百纳海</v>
          </cell>
          <cell r="E817" t="str">
            <v>YSM20R(SV)-2</v>
          </cell>
          <cell r="F817" t="str">
            <v>#04652</v>
          </cell>
          <cell r="G817" t="e">
            <v>#REF!</v>
          </cell>
          <cell r="H817" t="e">
            <v>#REF!</v>
          </cell>
          <cell r="I817" t="str">
            <v>L-&gt;R</v>
          </cell>
          <cell r="J817" t="str">
            <v>No</v>
          </cell>
          <cell r="K817">
            <v>1</v>
          </cell>
          <cell r="L817">
            <v>109886</v>
          </cell>
          <cell r="M817" t="str">
            <v>JUL 20</v>
          </cell>
          <cell r="N817">
            <v>44014</v>
          </cell>
          <cell r="O817">
            <v>11116400</v>
          </cell>
          <cell r="P817">
            <v>11430000</v>
          </cell>
          <cell r="Q817">
            <v>44032</v>
          </cell>
          <cell r="R817" t="str">
            <v>Yes</v>
          </cell>
          <cell r="S817" t="str">
            <v>C49</v>
          </cell>
          <cell r="T817" t="str">
            <v>SOUTH</v>
          </cell>
          <cell r="U817" t="str">
            <v>深圳</v>
          </cell>
          <cell r="V817" t="str">
            <v>SZ 深圳</v>
          </cell>
          <cell r="W817" t="str">
            <v>JY</v>
          </cell>
          <cell r="X817" t="str">
            <v>JPY</v>
          </cell>
          <cell r="Y817">
            <v>11430000</v>
          </cell>
          <cell r="Z817">
            <v>1</v>
          </cell>
          <cell r="AA817">
            <v>11430000</v>
          </cell>
          <cell r="AB817">
            <v>7.3400000000000007E-2</v>
          </cell>
          <cell r="AC817">
            <v>838962.00000000012</v>
          </cell>
          <cell r="AD817">
            <v>100675.44000000002</v>
          </cell>
          <cell r="AE817">
            <v>0.12</v>
          </cell>
          <cell r="AF817">
            <v>44001</v>
          </cell>
          <cell r="AG817" t="str">
            <v>DAP SZ</v>
          </cell>
          <cell r="AK817" t="str">
            <v>agree</v>
          </cell>
          <cell r="AL817">
            <v>1200840</v>
          </cell>
          <cell r="AM817">
            <v>43983</v>
          </cell>
          <cell r="AN817" t="str">
            <v>Yes</v>
          </cell>
          <cell r="AO817" t="str">
            <v>agree</v>
          </cell>
          <cell r="AP817">
            <v>10229160</v>
          </cell>
          <cell r="AQ817">
            <v>43983</v>
          </cell>
          <cell r="AR817">
            <v>44012</v>
          </cell>
          <cell r="AS817">
            <v>0</v>
          </cell>
          <cell r="AT817">
            <v>0</v>
          </cell>
          <cell r="AX817" t="str">
            <v>Yes</v>
          </cell>
          <cell r="AZ817" t="str">
            <v>Yes</v>
          </cell>
          <cell r="BA817" t="str">
            <v>Yes</v>
          </cell>
        </row>
        <row r="818">
          <cell r="B818">
            <v>667</v>
          </cell>
          <cell r="C818" t="str">
            <v>C49SZX20200076JL</v>
          </cell>
          <cell r="D818" t="str">
            <v>鑫东泰</v>
          </cell>
          <cell r="E818" t="str">
            <v>YSM20R(SV)-2</v>
          </cell>
          <cell r="F818" t="str">
            <v>#65083</v>
          </cell>
          <cell r="G818" t="e">
            <v>#REF!</v>
          </cell>
          <cell r="H818" t="e">
            <v>#REF!</v>
          </cell>
          <cell r="I818" t="str">
            <v>L-&gt;R</v>
          </cell>
          <cell r="J818" t="str">
            <v>No</v>
          </cell>
          <cell r="K818">
            <v>1</v>
          </cell>
          <cell r="L818">
            <v>109886</v>
          </cell>
          <cell r="M818" t="str">
            <v>JUL 20</v>
          </cell>
          <cell r="N818">
            <v>44035</v>
          </cell>
          <cell r="O818">
            <v>11100418</v>
          </cell>
          <cell r="P818">
            <v>848000</v>
          </cell>
          <cell r="Q818">
            <v>44033</v>
          </cell>
          <cell r="R818" t="str">
            <v>No</v>
          </cell>
          <cell r="S818" t="str">
            <v>C49</v>
          </cell>
          <cell r="T818" t="str">
            <v>SOUTH</v>
          </cell>
          <cell r="U818" t="str">
            <v>深圳</v>
          </cell>
          <cell r="V818" t="str">
            <v>SZ 深圳</v>
          </cell>
          <cell r="W818" t="str">
            <v>JL</v>
          </cell>
          <cell r="X818" t="str">
            <v>RMB</v>
          </cell>
          <cell r="Y818">
            <v>848000</v>
          </cell>
          <cell r="Z818">
            <v>1.1299999999999999</v>
          </cell>
          <cell r="AA818">
            <v>848000</v>
          </cell>
          <cell r="AB818">
            <v>1.089</v>
          </cell>
          <cell r="AC818">
            <v>817231.85840707971</v>
          </cell>
          <cell r="AD818">
            <v>98067.823008849562</v>
          </cell>
          <cell r="AE818">
            <v>0.12</v>
          </cell>
          <cell r="AF818">
            <v>44004</v>
          </cell>
          <cell r="AG818" t="str">
            <v>含税到厂</v>
          </cell>
          <cell r="AK818" t="str">
            <v>agree</v>
          </cell>
          <cell r="AL818">
            <v>100000</v>
          </cell>
          <cell r="AM818">
            <v>44032</v>
          </cell>
          <cell r="AN818" t="str">
            <v>Yes</v>
          </cell>
          <cell r="AO818" t="str">
            <v>agree</v>
          </cell>
          <cell r="AP818">
            <v>990000</v>
          </cell>
          <cell r="AQ818">
            <v>44032</v>
          </cell>
          <cell r="AR818">
            <v>44032</v>
          </cell>
          <cell r="AS818" t="str">
            <v>agree</v>
          </cell>
          <cell r="AT818">
            <v>918000</v>
          </cell>
          <cell r="AX818" t="str">
            <v>Yes</v>
          </cell>
          <cell r="AZ818" t="str">
            <v>Yes</v>
          </cell>
          <cell r="BA818" t="str">
            <v>Yes</v>
          </cell>
        </row>
        <row r="819">
          <cell r="B819">
            <v>668</v>
          </cell>
          <cell r="C819" t="str">
            <v>C49SZX20200076JL</v>
          </cell>
          <cell r="D819" t="str">
            <v>鑫东泰</v>
          </cell>
          <cell r="E819" t="str">
            <v>YSM10</v>
          </cell>
          <cell r="F819" t="str">
            <v>#65083</v>
          </cell>
          <cell r="G819" t="e">
            <v>#REF!</v>
          </cell>
          <cell r="H819" t="e">
            <v>#REF!</v>
          </cell>
          <cell r="I819" t="str">
            <v>L-&gt;R</v>
          </cell>
          <cell r="J819" t="str">
            <v>MVC</v>
          </cell>
          <cell r="K819">
            <v>1</v>
          </cell>
          <cell r="L819" t="str">
            <v>109891(拆分PO109925）</v>
          </cell>
          <cell r="M819" t="str">
            <v>JUL 20</v>
          </cell>
          <cell r="N819">
            <v>44035</v>
          </cell>
          <cell r="O819">
            <v>11100418</v>
          </cell>
          <cell r="P819">
            <v>580000</v>
          </cell>
          <cell r="Q819">
            <v>44034</v>
          </cell>
          <cell r="R819" t="str">
            <v>No</v>
          </cell>
          <cell r="S819" t="str">
            <v>C49</v>
          </cell>
          <cell r="T819" t="str">
            <v>SOUTH</v>
          </cell>
          <cell r="U819" t="str">
            <v>深圳</v>
          </cell>
          <cell r="V819" t="str">
            <v>SZ 深圳</v>
          </cell>
          <cell r="W819" t="str">
            <v>JL</v>
          </cell>
          <cell r="X819" t="str">
            <v>RMB</v>
          </cell>
          <cell r="Y819">
            <v>580000</v>
          </cell>
          <cell r="Z819">
            <v>1.1299999999999999</v>
          </cell>
          <cell r="AA819">
            <v>580000</v>
          </cell>
          <cell r="AB819">
            <v>1.089</v>
          </cell>
          <cell r="AC819">
            <v>558955.75221238937</v>
          </cell>
          <cell r="AD819">
            <v>67074.690265486715</v>
          </cell>
          <cell r="AE819">
            <v>0.12</v>
          </cell>
          <cell r="AF819">
            <v>44004</v>
          </cell>
          <cell r="AG819" t="str">
            <v>含税到厂</v>
          </cell>
          <cell r="AK819" t="str">
            <v>agree</v>
          </cell>
          <cell r="AL819">
            <v>0</v>
          </cell>
          <cell r="AM819">
            <v>44032</v>
          </cell>
          <cell r="AN819" t="str">
            <v>Yes</v>
          </cell>
          <cell r="AO819" t="str">
            <v>agree</v>
          </cell>
          <cell r="AP819">
            <v>0</v>
          </cell>
          <cell r="AQ819">
            <v>44033</v>
          </cell>
          <cell r="AR819">
            <v>44032</v>
          </cell>
          <cell r="AS819" t="str">
            <v>agree</v>
          </cell>
          <cell r="AT819">
            <v>0</v>
          </cell>
          <cell r="AX819" t="str">
            <v>Yes</v>
          </cell>
          <cell r="AZ819" t="str">
            <v>Yes</v>
          </cell>
          <cell r="BA819" t="str">
            <v>Yes</v>
          </cell>
        </row>
        <row r="820">
          <cell r="B820">
            <v>669</v>
          </cell>
          <cell r="C820" t="str">
            <v>C49SZX20200076JL</v>
          </cell>
          <cell r="D820" t="str">
            <v>鑫东泰</v>
          </cell>
          <cell r="E820" t="str">
            <v>YSM10</v>
          </cell>
          <cell r="F820" t="str">
            <v>#65083</v>
          </cell>
          <cell r="G820" t="e">
            <v>#REF!</v>
          </cell>
          <cell r="H820" t="e">
            <v>#REF!</v>
          </cell>
          <cell r="I820" t="str">
            <v>L-&gt;R</v>
          </cell>
          <cell r="J820" t="str">
            <v>MVC</v>
          </cell>
          <cell r="K820">
            <v>1</v>
          </cell>
          <cell r="L820" t="str">
            <v>109891(拆分PO109925）</v>
          </cell>
          <cell r="M820" t="str">
            <v>JUL 20</v>
          </cell>
          <cell r="N820">
            <v>44035</v>
          </cell>
          <cell r="O820">
            <v>11100418</v>
          </cell>
          <cell r="P820">
            <v>580000</v>
          </cell>
          <cell r="Q820">
            <v>44035</v>
          </cell>
          <cell r="R820" t="str">
            <v>No</v>
          </cell>
          <cell r="S820" t="str">
            <v>C49</v>
          </cell>
          <cell r="T820" t="str">
            <v>SOUTH</v>
          </cell>
          <cell r="U820" t="str">
            <v>深圳</v>
          </cell>
          <cell r="V820" t="str">
            <v>SZ 深圳</v>
          </cell>
          <cell r="W820" t="str">
            <v>JL</v>
          </cell>
          <cell r="X820" t="str">
            <v>RMB</v>
          </cell>
          <cell r="Y820">
            <v>580000</v>
          </cell>
          <cell r="Z820">
            <v>1.1299999999999999</v>
          </cell>
          <cell r="AA820">
            <v>580000</v>
          </cell>
          <cell r="AB820">
            <v>1.089</v>
          </cell>
          <cell r="AC820">
            <v>558955.75221238937</v>
          </cell>
          <cell r="AD820">
            <v>67074.690265486715</v>
          </cell>
          <cell r="AE820">
            <v>0.12</v>
          </cell>
          <cell r="AF820">
            <v>44004</v>
          </cell>
          <cell r="AG820" t="str">
            <v>含税到厂</v>
          </cell>
          <cell r="AK820" t="str">
            <v>agree</v>
          </cell>
          <cell r="AL820">
            <v>0</v>
          </cell>
          <cell r="AM820">
            <v>44032</v>
          </cell>
          <cell r="AN820" t="str">
            <v>Yes</v>
          </cell>
          <cell r="AO820" t="str">
            <v>agree</v>
          </cell>
          <cell r="AP820">
            <v>0</v>
          </cell>
          <cell r="AQ820">
            <v>44034</v>
          </cell>
          <cell r="AR820">
            <v>44032</v>
          </cell>
          <cell r="AS820" t="str">
            <v>agree</v>
          </cell>
          <cell r="AT820">
            <v>0</v>
          </cell>
          <cell r="AX820" t="str">
            <v>Yes</v>
          </cell>
          <cell r="AZ820" t="str">
            <v>Yes</v>
          </cell>
          <cell r="BA820" t="str">
            <v>Yes</v>
          </cell>
        </row>
        <row r="821">
          <cell r="B821">
            <v>670</v>
          </cell>
          <cell r="C821" t="str">
            <v>C49SZX20200077JZ</v>
          </cell>
          <cell r="D821" t="str">
            <v>正邦</v>
          </cell>
          <cell r="E821" t="str">
            <v>YSM40R-4</v>
          </cell>
          <cell r="F821" t="str">
            <v>#04649</v>
          </cell>
          <cell r="G821" t="e">
            <v>#REF!</v>
          </cell>
          <cell r="H821" t="e">
            <v>#REF!</v>
          </cell>
          <cell r="I821" t="str">
            <v>L-&gt;R</v>
          </cell>
          <cell r="J821" t="str">
            <v>No</v>
          </cell>
          <cell r="K821">
            <v>1</v>
          </cell>
          <cell r="L821" t="str">
            <v>49J103603</v>
          </cell>
          <cell r="M821" t="str">
            <v>JUL 20</v>
          </cell>
          <cell r="N821">
            <v>44036</v>
          </cell>
          <cell r="O821">
            <v>11100415</v>
          </cell>
          <cell r="P821">
            <v>1500000</v>
          </cell>
          <cell r="Q821">
            <v>44032</v>
          </cell>
          <cell r="R821" t="str">
            <v>Yes</v>
          </cell>
          <cell r="S821" t="str">
            <v>C49</v>
          </cell>
          <cell r="T821" t="str">
            <v>SOUTH</v>
          </cell>
          <cell r="U821" t="str">
            <v>深圳</v>
          </cell>
          <cell r="V821" t="str">
            <v>SZ 深圳</v>
          </cell>
          <cell r="W821" t="str">
            <v>ZX</v>
          </cell>
          <cell r="X821" t="str">
            <v>RMB</v>
          </cell>
          <cell r="Y821">
            <v>1500000</v>
          </cell>
          <cell r="Z821">
            <v>1.1299999999999999</v>
          </cell>
          <cell r="AA821">
            <v>1500000</v>
          </cell>
          <cell r="AB821">
            <v>1.089</v>
          </cell>
          <cell r="AC821">
            <v>1445575.2212389382</v>
          </cell>
          <cell r="AD821">
            <v>173469.02654867258</v>
          </cell>
          <cell r="AE821">
            <v>0.12</v>
          </cell>
          <cell r="AF821">
            <v>44005</v>
          </cell>
          <cell r="AG821" t="str">
            <v>含税到厂</v>
          </cell>
          <cell r="AK821">
            <v>0.3</v>
          </cell>
          <cell r="AL821">
            <v>450000</v>
          </cell>
          <cell r="AM821">
            <v>43983</v>
          </cell>
          <cell r="AN821" t="str">
            <v>Yes</v>
          </cell>
          <cell r="AO821">
            <v>0.7</v>
          </cell>
          <cell r="AP821">
            <v>1050000</v>
          </cell>
          <cell r="AQ821">
            <v>44032</v>
          </cell>
          <cell r="AR821">
            <v>44028</v>
          </cell>
          <cell r="AS821">
            <v>0</v>
          </cell>
          <cell r="AT821">
            <v>0</v>
          </cell>
          <cell r="AX821" t="str">
            <v>Yes</v>
          </cell>
          <cell r="AZ821" t="str">
            <v>Yes</v>
          </cell>
          <cell r="BA821" t="str">
            <v>Yes</v>
          </cell>
        </row>
        <row r="822">
          <cell r="B822">
            <v>671</v>
          </cell>
          <cell r="C822" t="str">
            <v>C49SZX20200071JY</v>
          </cell>
          <cell r="D822" t="str">
            <v>英拓邦</v>
          </cell>
          <cell r="E822" t="str">
            <v>YSM20R(SV)-2</v>
          </cell>
          <cell r="F822" t="str">
            <v>#55803</v>
          </cell>
          <cell r="G822" t="e">
            <v>#REF!</v>
          </cell>
          <cell r="H822" t="e">
            <v>#REF!</v>
          </cell>
          <cell r="I822" t="str">
            <v>R-&gt;L</v>
          </cell>
          <cell r="J822" t="str">
            <v>No</v>
          </cell>
          <cell r="K822">
            <v>1</v>
          </cell>
          <cell r="L822">
            <v>109856</v>
          </cell>
          <cell r="M822" t="str">
            <v>JUL 20</v>
          </cell>
          <cell r="N822">
            <v>44012</v>
          </cell>
          <cell r="O822">
            <v>11116399</v>
          </cell>
          <cell r="P822">
            <v>12000000</v>
          </cell>
          <cell r="Q822">
            <v>44002</v>
          </cell>
          <cell r="R822" t="str">
            <v>No</v>
          </cell>
          <cell r="S822" t="str">
            <v>C49</v>
          </cell>
          <cell r="T822" t="str">
            <v>SOUTH</v>
          </cell>
          <cell r="U822" t="str">
            <v>深圳</v>
          </cell>
          <cell r="V822" t="str">
            <v>SZ 深圳</v>
          </cell>
          <cell r="W822" t="str">
            <v>JY</v>
          </cell>
          <cell r="X822" t="str">
            <v>JPY</v>
          </cell>
          <cell r="Y822">
            <v>12000000</v>
          </cell>
          <cell r="Z822">
            <v>1</v>
          </cell>
          <cell r="AA822">
            <v>12000000</v>
          </cell>
          <cell r="AB822">
            <v>7.3400000000000007E-2</v>
          </cell>
          <cell r="AC822">
            <v>880800.00000000012</v>
          </cell>
          <cell r="AD822">
            <v>105696.00000000001</v>
          </cell>
          <cell r="AE822">
            <v>0.12</v>
          </cell>
          <cell r="AF822">
            <v>44005</v>
          </cell>
          <cell r="AG822" t="str">
            <v>DAP SZ</v>
          </cell>
          <cell r="AK822" t="str">
            <v>agree</v>
          </cell>
          <cell r="AL822">
            <v>3183079</v>
          </cell>
          <cell r="AM822">
            <v>43983</v>
          </cell>
          <cell r="AN822" t="str">
            <v>Yes</v>
          </cell>
          <cell r="AO822" t="str">
            <v>agree</v>
          </cell>
          <cell r="AP822">
            <v>17016921</v>
          </cell>
          <cell r="AQ822">
            <v>43983</v>
          </cell>
          <cell r="AR822">
            <v>44011</v>
          </cell>
          <cell r="AS822">
            <v>0</v>
          </cell>
          <cell r="AT822">
            <v>0</v>
          </cell>
          <cell r="AX822" t="str">
            <v>Yes</v>
          </cell>
          <cell r="AZ822" t="str">
            <v>Yes</v>
          </cell>
          <cell r="BA822" t="str">
            <v>Yes</v>
          </cell>
        </row>
        <row r="823">
          <cell r="B823">
            <v>672</v>
          </cell>
          <cell r="C823" t="str">
            <v>C49SZX20200071JY</v>
          </cell>
          <cell r="D823" t="str">
            <v>英拓邦</v>
          </cell>
          <cell r="E823" t="str">
            <v>YSM10</v>
          </cell>
          <cell r="F823" t="str">
            <v>#55803</v>
          </cell>
          <cell r="G823" t="e">
            <v>#REF!</v>
          </cell>
          <cell r="H823" t="e">
            <v>#REF!</v>
          </cell>
          <cell r="I823" t="str">
            <v>R-&gt;L</v>
          </cell>
          <cell r="J823" t="str">
            <v>MVC</v>
          </cell>
          <cell r="K823">
            <v>1</v>
          </cell>
          <cell r="L823">
            <v>109889</v>
          </cell>
          <cell r="M823" t="str">
            <v>JUL 20</v>
          </cell>
          <cell r="N823">
            <v>44012</v>
          </cell>
          <cell r="O823">
            <v>11116398</v>
          </cell>
          <cell r="P823">
            <v>8200000</v>
          </cell>
          <cell r="Q823">
            <v>44002</v>
          </cell>
          <cell r="R823" t="str">
            <v>No</v>
          </cell>
          <cell r="S823" t="str">
            <v>C49</v>
          </cell>
          <cell r="T823" t="str">
            <v>SOUTH</v>
          </cell>
          <cell r="U823" t="str">
            <v>深圳</v>
          </cell>
          <cell r="V823" t="str">
            <v>SZ 深圳</v>
          </cell>
          <cell r="W823" t="str">
            <v>JY</v>
          </cell>
          <cell r="X823" t="str">
            <v>JPY</v>
          </cell>
          <cell r="Y823">
            <v>8200000</v>
          </cell>
          <cell r="Z823">
            <v>1</v>
          </cell>
          <cell r="AA823">
            <v>8200000</v>
          </cell>
          <cell r="AB823">
            <v>7.3400000000000007E-2</v>
          </cell>
          <cell r="AC823">
            <v>601880</v>
          </cell>
          <cell r="AD823">
            <v>72225.599999999991</v>
          </cell>
          <cell r="AE823">
            <v>0.12</v>
          </cell>
          <cell r="AF823">
            <v>44005</v>
          </cell>
          <cell r="AG823" t="str">
            <v>DAP SZ</v>
          </cell>
          <cell r="AK823" t="str">
            <v>agree</v>
          </cell>
          <cell r="AL823">
            <v>0</v>
          </cell>
          <cell r="AM823">
            <v>43983</v>
          </cell>
          <cell r="AN823" t="str">
            <v>Yes</v>
          </cell>
          <cell r="AO823" t="str">
            <v>agree</v>
          </cell>
          <cell r="AP823">
            <v>0</v>
          </cell>
          <cell r="AQ823">
            <v>43983</v>
          </cell>
          <cell r="AR823">
            <v>44011</v>
          </cell>
          <cell r="AS823">
            <v>0</v>
          </cell>
          <cell r="AT823">
            <v>0</v>
          </cell>
          <cell r="AX823" t="str">
            <v>Yes</v>
          </cell>
          <cell r="AZ823" t="str">
            <v>Yes</v>
          </cell>
          <cell r="BA823" t="str">
            <v>Yes</v>
          </cell>
        </row>
        <row r="824">
          <cell r="B824">
            <v>673</v>
          </cell>
          <cell r="C824" t="str">
            <v>C49SZX20200079KW</v>
          </cell>
          <cell r="D824" t="str">
            <v>晨日电子</v>
          </cell>
          <cell r="E824" t="str">
            <v>YSM20R(SV)-2</v>
          </cell>
          <cell r="F824" t="str">
            <v>#04698</v>
          </cell>
          <cell r="G824" t="e">
            <v>#REF!</v>
          </cell>
          <cell r="H824" t="e">
            <v>#REF!</v>
          </cell>
          <cell r="I824" t="str">
            <v>L-&gt;R</v>
          </cell>
          <cell r="J824" t="str">
            <v>No</v>
          </cell>
          <cell r="K824">
            <v>1</v>
          </cell>
          <cell r="L824" t="str">
            <v>109917(拆分PO109998）</v>
          </cell>
          <cell r="M824" t="str">
            <v>AUG 20</v>
          </cell>
          <cell r="N824">
            <v>44047</v>
          </cell>
          <cell r="O824">
            <v>11100421</v>
          </cell>
          <cell r="P824">
            <v>1000000</v>
          </cell>
          <cell r="Q824">
            <v>44063</v>
          </cell>
          <cell r="R824" t="str">
            <v>Yes</v>
          </cell>
          <cell r="S824" t="str">
            <v>C49</v>
          </cell>
          <cell r="T824" t="str">
            <v>SOUTH</v>
          </cell>
          <cell r="U824" t="str">
            <v>深圳</v>
          </cell>
          <cell r="V824" t="str">
            <v>SZ 深圳</v>
          </cell>
          <cell r="W824" t="str">
            <v>KW</v>
          </cell>
          <cell r="X824" t="str">
            <v>RMB</v>
          </cell>
          <cell r="Y824">
            <v>1000000</v>
          </cell>
          <cell r="Z824">
            <v>1.1299999999999999</v>
          </cell>
          <cell r="AA824">
            <v>1000000</v>
          </cell>
          <cell r="AB824">
            <v>1.089</v>
          </cell>
          <cell r="AC824">
            <v>963716.81415929215</v>
          </cell>
          <cell r="AD824">
            <v>115646.01769911505</v>
          </cell>
          <cell r="AE824">
            <v>0.12</v>
          </cell>
          <cell r="AF824">
            <v>44005</v>
          </cell>
          <cell r="AG824" t="str">
            <v>含税到厂</v>
          </cell>
          <cell r="AK824" t="str">
            <v>agree</v>
          </cell>
          <cell r="AL824">
            <v>480000</v>
          </cell>
          <cell r="AM824">
            <v>43983</v>
          </cell>
          <cell r="AN824" t="str">
            <v>Yes</v>
          </cell>
          <cell r="AO824" t="str">
            <v>agree</v>
          </cell>
          <cell r="AP824">
            <v>400000</v>
          </cell>
          <cell r="AQ824">
            <v>44032</v>
          </cell>
          <cell r="AR824">
            <v>44034</v>
          </cell>
          <cell r="AS824" t="str">
            <v>agree</v>
          </cell>
          <cell r="AT824">
            <v>120000</v>
          </cell>
          <cell r="AU824">
            <v>44032</v>
          </cell>
          <cell r="AV824">
            <v>44035</v>
          </cell>
          <cell r="AX824" t="str">
            <v>Yes</v>
          </cell>
          <cell r="AZ824" t="str">
            <v>Yes</v>
          </cell>
          <cell r="BA824" t="str">
            <v>Yes</v>
          </cell>
        </row>
        <row r="825">
          <cell r="B825">
            <v>674</v>
          </cell>
          <cell r="C825" t="str">
            <v>C49SZX20200079KW</v>
          </cell>
          <cell r="D825" t="str">
            <v>晨日电子</v>
          </cell>
          <cell r="E825" t="str">
            <v>YSM10</v>
          </cell>
          <cell r="F825" t="str">
            <v>#04698</v>
          </cell>
          <cell r="G825" t="e">
            <v>#REF!</v>
          </cell>
          <cell r="H825" t="e">
            <v>#REF!</v>
          </cell>
          <cell r="I825" t="str">
            <v>L-&gt;R</v>
          </cell>
          <cell r="J825" t="str">
            <v>MVC+ATS15</v>
          </cell>
          <cell r="K825">
            <v>1</v>
          </cell>
          <cell r="L825">
            <v>109783</v>
          </cell>
          <cell r="M825" t="str">
            <v>AUG 20</v>
          </cell>
          <cell r="N825">
            <v>44047</v>
          </cell>
          <cell r="O825">
            <v>11100419</v>
          </cell>
          <cell r="P825">
            <v>800000</v>
          </cell>
          <cell r="Q825">
            <v>44032</v>
          </cell>
          <cell r="R825" t="str">
            <v>Yes</v>
          </cell>
          <cell r="S825" t="str">
            <v>C49</v>
          </cell>
          <cell r="T825" t="str">
            <v>SOUTH</v>
          </cell>
          <cell r="U825" t="str">
            <v>深圳</v>
          </cell>
          <cell r="V825" t="str">
            <v>SZ 深圳</v>
          </cell>
          <cell r="W825" t="str">
            <v>KW</v>
          </cell>
          <cell r="X825" t="str">
            <v>RMB</v>
          </cell>
          <cell r="Y825">
            <v>800000</v>
          </cell>
          <cell r="Z825">
            <v>1.1299999999999999</v>
          </cell>
          <cell r="AA825">
            <v>800000</v>
          </cell>
          <cell r="AB825">
            <v>1.089</v>
          </cell>
          <cell r="AC825">
            <v>770973.45132743369</v>
          </cell>
          <cell r="AD825">
            <v>92516.814159292044</v>
          </cell>
          <cell r="AE825">
            <v>0.12</v>
          </cell>
          <cell r="AF825">
            <v>44005</v>
          </cell>
          <cell r="AG825" t="str">
            <v>含税到厂</v>
          </cell>
          <cell r="AK825" t="str">
            <v>agree</v>
          </cell>
          <cell r="AL825">
            <v>400000</v>
          </cell>
          <cell r="AM825">
            <v>43983</v>
          </cell>
          <cell r="AN825" t="str">
            <v>Yes</v>
          </cell>
          <cell r="AO825" t="str">
            <v>agree</v>
          </cell>
          <cell r="AP825">
            <v>400000</v>
          </cell>
          <cell r="AQ825">
            <v>44032</v>
          </cell>
          <cell r="AR825">
            <v>44043</v>
          </cell>
          <cell r="AS825"/>
          <cell r="AT825">
            <v>0</v>
          </cell>
          <cell r="AX825" t="str">
            <v>Yes</v>
          </cell>
          <cell r="AZ825" t="str">
            <v>Yes</v>
          </cell>
          <cell r="BA825" t="str">
            <v>Yes</v>
          </cell>
        </row>
        <row r="826">
          <cell r="B826">
            <v>675</v>
          </cell>
          <cell r="C826" t="str">
            <v>C49SZX20200081DZ</v>
          </cell>
          <cell r="D826" t="str">
            <v>朗特</v>
          </cell>
          <cell r="E826" t="str">
            <v>YSM20R(SV)-2</v>
          </cell>
          <cell r="F826" t="str">
            <v>#08242</v>
          </cell>
          <cell r="G826" t="e">
            <v>#REF!</v>
          </cell>
          <cell r="H826" t="e">
            <v>#REF!</v>
          </cell>
          <cell r="I826" t="str">
            <v>L-&gt;R</v>
          </cell>
          <cell r="J826" t="str">
            <v>No</v>
          </cell>
          <cell r="K826">
            <v>1</v>
          </cell>
          <cell r="L826" t="str">
            <v>109886(拆分PO109947）</v>
          </cell>
          <cell r="M826" t="str">
            <v>JUL 20</v>
          </cell>
          <cell r="N826">
            <v>44016</v>
          </cell>
          <cell r="O826">
            <v>11116404</v>
          </cell>
          <cell r="P826">
            <v>12169500</v>
          </cell>
          <cell r="Q826">
            <v>44032</v>
          </cell>
          <cell r="R826" t="str">
            <v>No</v>
          </cell>
          <cell r="S826" t="str">
            <v>C49</v>
          </cell>
          <cell r="T826" t="str">
            <v>SOUTH</v>
          </cell>
          <cell r="U826" t="str">
            <v>深圳</v>
          </cell>
          <cell r="V826" t="str">
            <v>SZ 深圳</v>
          </cell>
          <cell r="W826" t="str">
            <v>DZ</v>
          </cell>
          <cell r="X826" t="str">
            <v>JPY</v>
          </cell>
          <cell r="Y826">
            <v>12169500</v>
          </cell>
          <cell r="Z826">
            <v>1</v>
          </cell>
          <cell r="AA826">
            <v>12169500</v>
          </cell>
          <cell r="AB826">
            <v>7.3400000000000007E-2</v>
          </cell>
          <cell r="AC826">
            <v>893241.3</v>
          </cell>
          <cell r="AD826">
            <v>107188.95600000001</v>
          </cell>
          <cell r="AE826">
            <v>0.12</v>
          </cell>
          <cell r="AF826">
            <v>44006</v>
          </cell>
          <cell r="AG826" t="str">
            <v>CIF HK</v>
          </cell>
          <cell r="AK826">
            <v>1</v>
          </cell>
          <cell r="AL826">
            <v>12169500</v>
          </cell>
          <cell r="AM826">
            <v>44032</v>
          </cell>
          <cell r="AN826" t="str">
            <v>Yes</v>
          </cell>
          <cell r="AO826">
            <v>0</v>
          </cell>
          <cell r="AP826">
            <v>0</v>
          </cell>
          <cell r="AS826">
            <v>0</v>
          </cell>
          <cell r="AT826">
            <v>0</v>
          </cell>
          <cell r="AX826" t="str">
            <v>Yes</v>
          </cell>
          <cell r="AZ826" t="str">
            <v>Yes</v>
          </cell>
          <cell r="BA826" t="str">
            <v>Yes</v>
          </cell>
        </row>
        <row r="827">
          <cell r="B827">
            <v>676</v>
          </cell>
          <cell r="C827" t="str">
            <v>C49SZX20200081DZ</v>
          </cell>
          <cell r="D827" t="str">
            <v>朗特</v>
          </cell>
          <cell r="E827" t="str">
            <v>YSM10</v>
          </cell>
          <cell r="F827" t="str">
            <v>#08242</v>
          </cell>
          <cell r="G827" t="e">
            <v>#REF!</v>
          </cell>
          <cell r="H827" t="e">
            <v>#REF!</v>
          </cell>
          <cell r="I827" t="str">
            <v>L-&gt;R</v>
          </cell>
          <cell r="J827" t="str">
            <v>MVC+ATS15</v>
          </cell>
          <cell r="K827">
            <v>1</v>
          </cell>
          <cell r="L827">
            <v>109783</v>
          </cell>
          <cell r="M827" t="str">
            <v>JUL 20</v>
          </cell>
          <cell r="N827">
            <v>44016</v>
          </cell>
          <cell r="O827">
            <v>11116404</v>
          </cell>
          <cell r="P827">
            <v>8169500</v>
          </cell>
          <cell r="Q827">
            <v>44032</v>
          </cell>
          <cell r="R827" t="str">
            <v>No</v>
          </cell>
          <cell r="S827" t="str">
            <v>C49</v>
          </cell>
          <cell r="T827" t="str">
            <v>SOUTH</v>
          </cell>
          <cell r="U827" t="str">
            <v>深圳</v>
          </cell>
          <cell r="V827" t="str">
            <v>SZ 深圳</v>
          </cell>
          <cell r="W827" t="str">
            <v>DZ</v>
          </cell>
          <cell r="X827" t="str">
            <v>JPY</v>
          </cell>
          <cell r="Y827">
            <v>8169500</v>
          </cell>
          <cell r="Z827">
            <v>1</v>
          </cell>
          <cell r="AA827">
            <v>8169500</v>
          </cell>
          <cell r="AB827">
            <v>7.3400000000000007E-2</v>
          </cell>
          <cell r="AC827">
            <v>599641.30000000005</v>
          </cell>
          <cell r="AD827">
            <v>71956.956000000006</v>
          </cell>
          <cell r="AE827">
            <v>0.12</v>
          </cell>
          <cell r="AF827">
            <v>44006</v>
          </cell>
          <cell r="AG827" t="str">
            <v>CIF HK</v>
          </cell>
          <cell r="AK827">
            <v>1</v>
          </cell>
          <cell r="AL827">
            <v>8169500</v>
          </cell>
          <cell r="AM827">
            <v>44033</v>
          </cell>
          <cell r="AN827" t="str">
            <v>Yes</v>
          </cell>
          <cell r="AO827">
            <v>0</v>
          </cell>
          <cell r="AP827">
            <v>0</v>
          </cell>
          <cell r="AS827">
            <v>0</v>
          </cell>
          <cell r="AT827">
            <v>0</v>
          </cell>
          <cell r="AX827" t="str">
            <v>Yes</v>
          </cell>
          <cell r="AZ827" t="str">
            <v>Yes</v>
          </cell>
          <cell r="BA827" t="str">
            <v>Yes</v>
          </cell>
        </row>
        <row r="828">
          <cell r="B828">
            <v>677</v>
          </cell>
          <cell r="C828" t="str">
            <v>C49SZX20200081DZ</v>
          </cell>
          <cell r="D828" t="str">
            <v>朗特</v>
          </cell>
          <cell r="E828" t="str">
            <v>YSM10</v>
          </cell>
          <cell r="F828" t="str">
            <v>#08242</v>
          </cell>
          <cell r="G828" t="e">
            <v>#REF!</v>
          </cell>
          <cell r="H828" t="e">
            <v>#REF!</v>
          </cell>
          <cell r="I828" t="str">
            <v>L-&gt;R</v>
          </cell>
          <cell r="J828" t="str">
            <v>MVC</v>
          </cell>
          <cell r="K828">
            <v>1</v>
          </cell>
          <cell r="L828">
            <v>109891</v>
          </cell>
          <cell r="M828" t="str">
            <v>JUL 20</v>
          </cell>
          <cell r="N828">
            <v>44016</v>
          </cell>
          <cell r="O828">
            <v>11116404</v>
          </cell>
          <cell r="P828">
            <v>8169500</v>
          </cell>
          <cell r="Q828">
            <v>44032</v>
          </cell>
          <cell r="R828" t="str">
            <v>No</v>
          </cell>
          <cell r="S828" t="str">
            <v>C49</v>
          </cell>
          <cell r="T828" t="str">
            <v>SOUTH</v>
          </cell>
          <cell r="U828" t="str">
            <v>深圳</v>
          </cell>
          <cell r="V828" t="str">
            <v>SZ 深圳</v>
          </cell>
          <cell r="W828" t="str">
            <v>DZ</v>
          </cell>
          <cell r="X828" t="str">
            <v>JPY</v>
          </cell>
          <cell r="Y828">
            <v>8169500</v>
          </cell>
          <cell r="Z828">
            <v>1</v>
          </cell>
          <cell r="AA828">
            <v>8169500</v>
          </cell>
          <cell r="AB828">
            <v>7.3400000000000007E-2</v>
          </cell>
          <cell r="AC828">
            <v>599641.30000000005</v>
          </cell>
          <cell r="AD828">
            <v>71956.956000000006</v>
          </cell>
          <cell r="AE828">
            <v>0.12</v>
          </cell>
          <cell r="AF828">
            <v>44006</v>
          </cell>
          <cell r="AG828" t="str">
            <v>CIF HK</v>
          </cell>
          <cell r="AK828">
            <v>1</v>
          </cell>
          <cell r="AL828">
            <v>8169500</v>
          </cell>
          <cell r="AM828">
            <v>44034</v>
          </cell>
          <cell r="AN828" t="str">
            <v>Yes</v>
          </cell>
          <cell r="AO828">
            <v>0</v>
          </cell>
          <cell r="AP828">
            <v>0</v>
          </cell>
          <cell r="AS828">
            <v>0</v>
          </cell>
          <cell r="AT828">
            <v>0</v>
          </cell>
          <cell r="AX828" t="str">
            <v>Yes</v>
          </cell>
          <cell r="AZ828" t="str">
            <v>Yes</v>
          </cell>
          <cell r="BA828" t="str">
            <v>Yes</v>
          </cell>
        </row>
        <row r="829">
          <cell r="B829">
            <v>678</v>
          </cell>
          <cell r="C829" t="str">
            <v>C49SZX20200082DZ</v>
          </cell>
          <cell r="D829" t="str">
            <v>朗特</v>
          </cell>
          <cell r="E829" t="str">
            <v>YSM20R(SV)-2</v>
          </cell>
          <cell r="F829" t="str">
            <v>#08242</v>
          </cell>
          <cell r="G829" t="e">
            <v>#REF!</v>
          </cell>
          <cell r="H829" t="e">
            <v>#REF!</v>
          </cell>
          <cell r="I829" t="str">
            <v>R-&gt;L</v>
          </cell>
          <cell r="J829" t="str">
            <v>No</v>
          </cell>
          <cell r="K829">
            <v>1</v>
          </cell>
          <cell r="L829">
            <v>109933</v>
          </cell>
          <cell r="M829" t="str">
            <v>AUG 20</v>
          </cell>
          <cell r="N829">
            <v>44063</v>
          </cell>
          <cell r="O829">
            <v>11116415</v>
          </cell>
          <cell r="P829">
            <v>12169500</v>
          </cell>
          <cell r="Q829">
            <v>44063</v>
          </cell>
          <cell r="R829" t="str">
            <v>No</v>
          </cell>
          <cell r="S829" t="str">
            <v>C49</v>
          </cell>
          <cell r="T829" t="str">
            <v>SOUTH</v>
          </cell>
          <cell r="U829" t="str">
            <v>深圳</v>
          </cell>
          <cell r="V829" t="str">
            <v>SZ 深圳</v>
          </cell>
          <cell r="W829" t="str">
            <v>DZ</v>
          </cell>
          <cell r="X829" t="str">
            <v>JPY</v>
          </cell>
          <cell r="Y829">
            <v>12169500</v>
          </cell>
          <cell r="Z829">
            <v>1</v>
          </cell>
          <cell r="AA829">
            <v>12169500</v>
          </cell>
          <cell r="AB829">
            <v>7.3400000000000007E-2</v>
          </cell>
          <cell r="AC829">
            <v>893241.3</v>
          </cell>
          <cell r="AD829">
            <v>107188.95600000001</v>
          </cell>
          <cell r="AE829">
            <v>0.12</v>
          </cell>
          <cell r="AF829">
            <v>44006</v>
          </cell>
          <cell r="AG829" t="str">
            <v>CIF HK</v>
          </cell>
          <cell r="AK829">
            <v>0.3</v>
          </cell>
          <cell r="AL829">
            <v>3650850</v>
          </cell>
          <cell r="AM829">
            <v>44035</v>
          </cell>
          <cell r="AN829" t="str">
            <v>Yes</v>
          </cell>
          <cell r="AO829">
            <v>0.7</v>
          </cell>
          <cell r="AP829">
            <v>8518650</v>
          </cell>
          <cell r="AQ829">
            <v>44063</v>
          </cell>
          <cell r="AR829">
            <v>44060</v>
          </cell>
          <cell r="AS829">
            <v>0</v>
          </cell>
          <cell r="AT829">
            <v>0</v>
          </cell>
          <cell r="AX829" t="str">
            <v>Yes</v>
          </cell>
          <cell r="AZ829" t="str">
            <v>Yes</v>
          </cell>
          <cell r="BA829" t="str">
            <v>Yes</v>
          </cell>
        </row>
        <row r="830">
          <cell r="B830">
            <v>679</v>
          </cell>
          <cell r="C830" t="str">
            <v>C49SZX20200085JL</v>
          </cell>
          <cell r="D830" t="str">
            <v>达人高科</v>
          </cell>
          <cell r="E830" t="str">
            <v>YSM10</v>
          </cell>
          <cell r="F830" t="str">
            <v>#78008</v>
          </cell>
          <cell r="G830" t="e">
            <v>#REF!</v>
          </cell>
          <cell r="H830" t="e">
            <v>#REF!</v>
          </cell>
          <cell r="I830" t="str">
            <v>L-&gt;R</v>
          </cell>
          <cell r="J830" t="str">
            <v>MVC</v>
          </cell>
          <cell r="K830">
            <v>1</v>
          </cell>
          <cell r="L830" t="str">
            <v>109924(拆分PO109962)</v>
          </cell>
          <cell r="M830" t="str">
            <v>JUL 20</v>
          </cell>
          <cell r="N830">
            <v>44041</v>
          </cell>
          <cell r="O830">
            <v>11100416</v>
          </cell>
          <cell r="P830">
            <v>577500</v>
          </cell>
          <cell r="Q830">
            <v>44032</v>
          </cell>
          <cell r="R830" t="str">
            <v>No</v>
          </cell>
          <cell r="S830" t="str">
            <v>C49</v>
          </cell>
          <cell r="T830" t="str">
            <v>SOUTH</v>
          </cell>
          <cell r="U830" t="str">
            <v>深圳</v>
          </cell>
          <cell r="V830" t="str">
            <v>SZ 深圳</v>
          </cell>
          <cell r="W830" t="str">
            <v>JL</v>
          </cell>
          <cell r="X830" t="str">
            <v>RMB</v>
          </cell>
          <cell r="Y830">
            <v>577500</v>
          </cell>
          <cell r="Z830">
            <v>1.1299999999999999</v>
          </cell>
          <cell r="AA830">
            <v>577500</v>
          </cell>
          <cell r="AB830">
            <v>1.089</v>
          </cell>
          <cell r="AC830">
            <v>556546.46017699118</v>
          </cell>
          <cell r="AD830">
            <v>66785.575221238934</v>
          </cell>
          <cell r="AE830">
            <v>0.12</v>
          </cell>
          <cell r="AF830">
            <v>44006</v>
          </cell>
          <cell r="AG830" t="str">
            <v>含税到厂</v>
          </cell>
          <cell r="AK830" t="str">
            <v>agree</v>
          </cell>
          <cell r="AL830">
            <v>100000</v>
          </cell>
          <cell r="AM830">
            <v>44036</v>
          </cell>
          <cell r="AN830" t="str">
            <v>Yes</v>
          </cell>
          <cell r="AO830" t="str">
            <v>agree</v>
          </cell>
          <cell r="AP830">
            <v>1055000</v>
          </cell>
          <cell r="AQ830">
            <v>44043</v>
          </cell>
          <cell r="AR830">
            <v>44036</v>
          </cell>
          <cell r="AS830">
            <v>0</v>
          </cell>
          <cell r="AT830">
            <v>0</v>
          </cell>
          <cell r="AX830" t="str">
            <v>Yes</v>
          </cell>
          <cell r="AZ830" t="str">
            <v>Yes</v>
          </cell>
          <cell r="BA830" t="str">
            <v>Yes</v>
          </cell>
        </row>
        <row r="831">
          <cell r="B831">
            <v>680</v>
          </cell>
          <cell r="C831" t="str">
            <v>C49SZX20200085JL</v>
          </cell>
          <cell r="D831" t="str">
            <v>达人高科</v>
          </cell>
          <cell r="E831" t="str">
            <v>YSM10</v>
          </cell>
          <cell r="F831" t="str">
            <v>#78008</v>
          </cell>
          <cell r="G831" t="e">
            <v>#REF!</v>
          </cell>
          <cell r="H831" t="e">
            <v>#REF!</v>
          </cell>
          <cell r="I831" t="str">
            <v>L-&gt;R</v>
          </cell>
          <cell r="J831" t="str">
            <v>MVC</v>
          </cell>
          <cell r="K831">
            <v>1</v>
          </cell>
          <cell r="L831">
            <v>109891</v>
          </cell>
          <cell r="M831" t="str">
            <v>JUL 20</v>
          </cell>
          <cell r="N831">
            <v>44041</v>
          </cell>
          <cell r="O831">
            <v>11100416</v>
          </cell>
          <cell r="P831">
            <v>577500</v>
          </cell>
          <cell r="Q831">
            <v>44032</v>
          </cell>
          <cell r="R831" t="str">
            <v>No</v>
          </cell>
          <cell r="S831" t="str">
            <v>C49</v>
          </cell>
          <cell r="T831" t="str">
            <v>SOUTH</v>
          </cell>
          <cell r="U831" t="str">
            <v>深圳</v>
          </cell>
          <cell r="V831" t="str">
            <v>SZ 深圳</v>
          </cell>
          <cell r="W831" t="str">
            <v>JL</v>
          </cell>
          <cell r="X831" t="str">
            <v>RMB</v>
          </cell>
          <cell r="Y831">
            <v>577500</v>
          </cell>
          <cell r="Z831">
            <v>1.1299999999999999</v>
          </cell>
          <cell r="AA831">
            <v>577500</v>
          </cell>
          <cell r="AB831">
            <v>1.089</v>
          </cell>
          <cell r="AC831">
            <v>556546.46017699118</v>
          </cell>
          <cell r="AD831">
            <v>66785.575221238934</v>
          </cell>
          <cell r="AE831">
            <v>0.12</v>
          </cell>
          <cell r="AF831">
            <v>44006</v>
          </cell>
          <cell r="AG831" t="str">
            <v>含税到厂</v>
          </cell>
          <cell r="AK831" t="str">
            <v>agree</v>
          </cell>
          <cell r="AL831">
            <v>0</v>
          </cell>
          <cell r="AM831">
            <v>44037</v>
          </cell>
          <cell r="AN831" t="str">
            <v>Yes</v>
          </cell>
          <cell r="AO831" t="str">
            <v>agree</v>
          </cell>
          <cell r="AP831">
            <v>0</v>
          </cell>
          <cell r="AS831">
            <v>0</v>
          </cell>
          <cell r="AT831">
            <v>0</v>
          </cell>
          <cell r="AX831" t="str">
            <v>Yes</v>
          </cell>
          <cell r="AZ831" t="str">
            <v>Yes</v>
          </cell>
          <cell r="BA831" t="str">
            <v>Yes</v>
          </cell>
        </row>
        <row r="832">
          <cell r="B832">
            <v>681</v>
          </cell>
          <cell r="C832" t="str">
            <v>C49SZX20200083JL</v>
          </cell>
          <cell r="D832" t="str">
            <v>铭华永兴</v>
          </cell>
          <cell r="E832" t="str">
            <v>YSM10</v>
          </cell>
          <cell r="F832" t="str">
            <v>#60087</v>
          </cell>
          <cell r="G832" t="e">
            <v>#REF!</v>
          </cell>
          <cell r="H832" t="e">
            <v>#REF!</v>
          </cell>
          <cell r="I832" t="str">
            <v>L-&gt;R</v>
          </cell>
          <cell r="J832" t="str">
            <v>MVC</v>
          </cell>
          <cell r="K832">
            <v>1</v>
          </cell>
          <cell r="L832" t="str">
            <v>109891(拆分PO109925）</v>
          </cell>
          <cell r="M832" t="str">
            <v>JUL 20</v>
          </cell>
          <cell r="N832">
            <v>44015</v>
          </cell>
          <cell r="O832">
            <v>11100413</v>
          </cell>
          <cell r="P832">
            <v>500000</v>
          </cell>
          <cell r="Q832">
            <v>44032</v>
          </cell>
          <cell r="R832" t="str">
            <v>No</v>
          </cell>
          <cell r="S832" t="str">
            <v>C49</v>
          </cell>
          <cell r="T832" t="str">
            <v>SOUTH</v>
          </cell>
          <cell r="U832" t="str">
            <v>深圳</v>
          </cell>
          <cell r="V832" t="str">
            <v>SZ 深圳</v>
          </cell>
          <cell r="W832" t="str">
            <v>JL</v>
          </cell>
          <cell r="X832" t="str">
            <v>RMB</v>
          </cell>
          <cell r="Y832">
            <v>590000</v>
          </cell>
          <cell r="Z832">
            <v>1.1299999999999999</v>
          </cell>
          <cell r="AA832">
            <v>590000</v>
          </cell>
          <cell r="AB832">
            <v>1.089</v>
          </cell>
          <cell r="AC832">
            <v>568592.92035398236</v>
          </cell>
          <cell r="AD832">
            <v>68231.150442477883</v>
          </cell>
          <cell r="AE832">
            <v>0.12</v>
          </cell>
          <cell r="AF832">
            <v>44006</v>
          </cell>
          <cell r="AG832" t="str">
            <v>含税到厂</v>
          </cell>
          <cell r="AK832" t="str">
            <v>agree</v>
          </cell>
          <cell r="AL832">
            <v>500000</v>
          </cell>
          <cell r="AM832">
            <v>44038</v>
          </cell>
          <cell r="AN832" t="str">
            <v>Yes</v>
          </cell>
          <cell r="AO832" t="str">
            <v>agree</v>
          </cell>
          <cell r="AP832">
            <v>90000</v>
          </cell>
          <cell r="AQ832">
            <v>44043</v>
          </cell>
          <cell r="AR832">
            <v>44034</v>
          </cell>
          <cell r="AS832">
            <v>0</v>
          </cell>
          <cell r="AT832">
            <v>0</v>
          </cell>
          <cell r="AX832" t="str">
            <v>Yes</v>
          </cell>
          <cell r="AZ832" t="str">
            <v>Yes</v>
          </cell>
          <cell r="BA832" t="str">
            <v>Yes</v>
          </cell>
        </row>
        <row r="833">
          <cell r="B833">
            <v>682</v>
          </cell>
          <cell r="C833" t="str">
            <v>C49SZX20200032DZ</v>
          </cell>
          <cell r="D833" t="str">
            <v>朗特/end user:朗勤</v>
          </cell>
          <cell r="E833" t="str">
            <v>YSM20R(SV)-2</v>
          </cell>
          <cell r="F833" t="str">
            <v>#08242</v>
          </cell>
          <cell r="G833" t="e">
            <v>#REF!</v>
          </cell>
          <cell r="H833" t="e">
            <v>#REF!</v>
          </cell>
          <cell r="I833" t="str">
            <v>L-&gt;R</v>
          </cell>
          <cell r="J833" t="str">
            <v>No</v>
          </cell>
          <cell r="K833">
            <v>1</v>
          </cell>
          <cell r="L833" t="str">
            <v>109886(拆分PO109947）</v>
          </cell>
          <cell r="M833" t="str">
            <v>JUL 20</v>
          </cell>
          <cell r="N833">
            <v>44016</v>
          </cell>
          <cell r="O833">
            <v>11116403</v>
          </cell>
          <cell r="P833">
            <v>13200000</v>
          </cell>
          <cell r="Q833">
            <v>44033</v>
          </cell>
          <cell r="R833" t="str">
            <v>No</v>
          </cell>
          <cell r="S833" t="str">
            <v>C49</v>
          </cell>
          <cell r="T833" t="str">
            <v>SOUTH</v>
          </cell>
          <cell r="U833" t="str">
            <v>深圳</v>
          </cell>
          <cell r="V833" t="str">
            <v>SZ 深圳</v>
          </cell>
          <cell r="W833" t="str">
            <v>DZ</v>
          </cell>
          <cell r="X833" t="str">
            <v>JPY</v>
          </cell>
          <cell r="Y833">
            <v>13200000</v>
          </cell>
          <cell r="Z833">
            <v>1</v>
          </cell>
          <cell r="AA833">
            <v>13200000</v>
          </cell>
          <cell r="AB833">
            <v>7.3400000000000007E-2</v>
          </cell>
          <cell r="AC833">
            <v>968880.00000000012</v>
          </cell>
          <cell r="AD833">
            <v>116265.60000000001</v>
          </cell>
          <cell r="AE833">
            <v>0.12</v>
          </cell>
          <cell r="AF833">
            <v>44008</v>
          </cell>
          <cell r="AG833" t="str">
            <v>CIF HK</v>
          </cell>
          <cell r="AK833">
            <v>1</v>
          </cell>
          <cell r="AL833">
            <v>13200000</v>
          </cell>
          <cell r="AM833">
            <v>44035</v>
          </cell>
          <cell r="AN833" t="str">
            <v>Yes</v>
          </cell>
          <cell r="AO833">
            <v>0</v>
          </cell>
          <cell r="AP833">
            <v>0</v>
          </cell>
          <cell r="AS833">
            <v>0</v>
          </cell>
          <cell r="AT833">
            <v>0</v>
          </cell>
          <cell r="AX833" t="str">
            <v>Yes</v>
          </cell>
          <cell r="AZ833" t="str">
            <v>Yes</v>
          </cell>
          <cell r="BA833" t="str">
            <v>Yes</v>
          </cell>
        </row>
        <row r="834">
          <cell r="B834">
            <v>683</v>
          </cell>
          <cell r="C834" t="str">
            <v>C49SZX20200032DZ</v>
          </cell>
          <cell r="D834" t="str">
            <v>朗特/end user:朗勤</v>
          </cell>
          <cell r="E834" t="str">
            <v>YSM10</v>
          </cell>
          <cell r="F834" t="str">
            <v>#08242</v>
          </cell>
          <cell r="G834" t="e">
            <v>#REF!</v>
          </cell>
          <cell r="H834" t="e">
            <v>#REF!</v>
          </cell>
          <cell r="I834" t="str">
            <v>L-&gt;R</v>
          </cell>
          <cell r="J834" t="str">
            <v>MVC</v>
          </cell>
          <cell r="K834">
            <v>1</v>
          </cell>
          <cell r="L834" t="str">
            <v>109891(拆分PO109925）</v>
          </cell>
          <cell r="M834" t="str">
            <v>JUL 20</v>
          </cell>
          <cell r="N834">
            <v>44016</v>
          </cell>
          <cell r="O834">
            <v>11116403</v>
          </cell>
          <cell r="P834">
            <v>9200000</v>
          </cell>
          <cell r="Q834">
            <v>44034</v>
          </cell>
          <cell r="R834" t="str">
            <v>No</v>
          </cell>
          <cell r="S834" t="str">
            <v>C49</v>
          </cell>
          <cell r="T834" t="str">
            <v>SOUTH</v>
          </cell>
          <cell r="U834" t="str">
            <v>深圳</v>
          </cell>
          <cell r="V834" t="str">
            <v>SZ 深圳</v>
          </cell>
          <cell r="W834" t="str">
            <v>DZ</v>
          </cell>
          <cell r="X834" t="str">
            <v>JPY</v>
          </cell>
          <cell r="Y834">
            <v>9200000</v>
          </cell>
          <cell r="Z834">
            <v>1</v>
          </cell>
          <cell r="AA834">
            <v>9200000</v>
          </cell>
          <cell r="AB834">
            <v>7.3400000000000007E-2</v>
          </cell>
          <cell r="AC834">
            <v>675280.00000000012</v>
          </cell>
          <cell r="AD834">
            <v>81033.600000000006</v>
          </cell>
          <cell r="AE834">
            <v>0.12</v>
          </cell>
          <cell r="AF834">
            <v>44008</v>
          </cell>
          <cell r="AG834" t="str">
            <v>CIF HK</v>
          </cell>
          <cell r="AK834">
            <v>1</v>
          </cell>
          <cell r="AL834">
            <v>9200000</v>
          </cell>
          <cell r="AM834">
            <v>44036</v>
          </cell>
          <cell r="AN834" t="str">
            <v>Yes</v>
          </cell>
          <cell r="AO834">
            <v>0</v>
          </cell>
          <cell r="AP834">
            <v>0</v>
          </cell>
          <cell r="AS834">
            <v>0</v>
          </cell>
          <cell r="AT834">
            <v>0</v>
          </cell>
          <cell r="AX834" t="str">
            <v>Yes</v>
          </cell>
          <cell r="AZ834" t="str">
            <v>Yes</v>
          </cell>
          <cell r="BA834" t="str">
            <v>Yes</v>
          </cell>
        </row>
        <row r="835">
          <cell r="B835">
            <v>684</v>
          </cell>
          <cell r="C835" t="str">
            <v>C49SZX20200032DZ</v>
          </cell>
          <cell r="D835" t="str">
            <v>朗特/end user:朗勤</v>
          </cell>
          <cell r="E835" t="str">
            <v>YSM10</v>
          </cell>
          <cell r="F835" t="str">
            <v>#08242</v>
          </cell>
          <cell r="G835" t="e">
            <v>#REF!</v>
          </cell>
          <cell r="H835" t="e">
            <v>#REF!</v>
          </cell>
          <cell r="I835" t="str">
            <v>L-&gt;R</v>
          </cell>
          <cell r="J835" t="str">
            <v>MVC</v>
          </cell>
          <cell r="K835">
            <v>1</v>
          </cell>
          <cell r="L835">
            <v>109891</v>
          </cell>
          <cell r="M835" t="str">
            <v>JUL 20</v>
          </cell>
          <cell r="N835">
            <v>44016</v>
          </cell>
          <cell r="O835">
            <v>11116403</v>
          </cell>
          <cell r="P835">
            <v>9200000</v>
          </cell>
          <cell r="Q835">
            <v>44035</v>
          </cell>
          <cell r="R835" t="str">
            <v>No</v>
          </cell>
          <cell r="S835" t="str">
            <v>C49</v>
          </cell>
          <cell r="T835" t="str">
            <v>SOUTH</v>
          </cell>
          <cell r="U835" t="str">
            <v>深圳</v>
          </cell>
          <cell r="V835" t="str">
            <v>SZ 深圳</v>
          </cell>
          <cell r="W835" t="str">
            <v>DZ</v>
          </cell>
          <cell r="X835" t="str">
            <v>JPY</v>
          </cell>
          <cell r="Y835">
            <v>9200000</v>
          </cell>
          <cell r="Z835">
            <v>1</v>
          </cell>
          <cell r="AA835">
            <v>9200000</v>
          </cell>
          <cell r="AB835">
            <v>7.3400000000000007E-2</v>
          </cell>
          <cell r="AC835">
            <v>675280.00000000012</v>
          </cell>
          <cell r="AD835">
            <v>81033.600000000006</v>
          </cell>
          <cell r="AE835">
            <v>0.12</v>
          </cell>
          <cell r="AF835">
            <v>44008</v>
          </cell>
          <cell r="AG835" t="str">
            <v>CIF HK</v>
          </cell>
          <cell r="AK835">
            <v>1</v>
          </cell>
          <cell r="AL835">
            <v>9200000</v>
          </cell>
          <cell r="AM835">
            <v>44037</v>
          </cell>
          <cell r="AN835" t="str">
            <v>Yes</v>
          </cell>
          <cell r="AO835">
            <v>0</v>
          </cell>
          <cell r="AP835">
            <v>0</v>
          </cell>
          <cell r="AS835">
            <v>0</v>
          </cell>
          <cell r="AT835">
            <v>0</v>
          </cell>
          <cell r="AX835" t="str">
            <v>Yes</v>
          </cell>
          <cell r="AZ835" t="str">
            <v>Yes</v>
          </cell>
          <cell r="BA835" t="str">
            <v>Yes</v>
          </cell>
        </row>
        <row r="836">
          <cell r="B836">
            <v>685</v>
          </cell>
          <cell r="C836" t="str">
            <v>C49SZX20200032DZ</v>
          </cell>
          <cell r="D836" t="str">
            <v>朗特/end user:朗勤</v>
          </cell>
          <cell r="E836" t="str">
            <v>YSM10</v>
          </cell>
          <cell r="F836" t="str">
            <v>#08242</v>
          </cell>
          <cell r="G836" t="e">
            <v>#REF!</v>
          </cell>
          <cell r="H836" t="e">
            <v>#REF!</v>
          </cell>
          <cell r="I836" t="str">
            <v>L-&gt;R</v>
          </cell>
          <cell r="J836" t="str">
            <v>No</v>
          </cell>
          <cell r="K836">
            <v>1</v>
          </cell>
          <cell r="L836">
            <v>109891</v>
          </cell>
          <cell r="M836" t="str">
            <v>JUL 20</v>
          </cell>
          <cell r="N836">
            <v>44016</v>
          </cell>
          <cell r="O836">
            <v>11116403</v>
          </cell>
          <cell r="P836">
            <v>9200000</v>
          </cell>
          <cell r="Q836">
            <v>44036</v>
          </cell>
          <cell r="R836" t="str">
            <v>No</v>
          </cell>
          <cell r="S836" t="str">
            <v>C49</v>
          </cell>
          <cell r="T836" t="str">
            <v>SOUTH</v>
          </cell>
          <cell r="U836" t="str">
            <v>深圳</v>
          </cell>
          <cell r="V836" t="str">
            <v>SZ 深圳</v>
          </cell>
          <cell r="W836" t="str">
            <v>DZ</v>
          </cell>
          <cell r="X836" t="str">
            <v>JPY</v>
          </cell>
          <cell r="Y836">
            <v>9200000</v>
          </cell>
          <cell r="Z836">
            <v>1</v>
          </cell>
          <cell r="AA836">
            <v>9200000</v>
          </cell>
          <cell r="AB836">
            <v>7.3400000000000007E-2</v>
          </cell>
          <cell r="AC836">
            <v>675280.00000000012</v>
          </cell>
          <cell r="AD836">
            <v>81033.600000000006</v>
          </cell>
          <cell r="AE836">
            <v>0.12</v>
          </cell>
          <cell r="AF836">
            <v>44008</v>
          </cell>
          <cell r="AG836" t="str">
            <v>CIF HK</v>
          </cell>
          <cell r="AK836">
            <v>1</v>
          </cell>
          <cell r="AL836">
            <v>9200000</v>
          </cell>
          <cell r="AM836">
            <v>44038</v>
          </cell>
          <cell r="AN836" t="str">
            <v>Yes</v>
          </cell>
          <cell r="AO836">
            <v>0</v>
          </cell>
          <cell r="AP836">
            <v>0</v>
          </cell>
          <cell r="AS836">
            <v>0</v>
          </cell>
          <cell r="AT836">
            <v>0</v>
          </cell>
          <cell r="AX836" t="str">
            <v>Yes</v>
          </cell>
          <cell r="AZ836" t="str">
            <v>Yes</v>
          </cell>
          <cell r="BA836" t="str">
            <v>Yes</v>
          </cell>
        </row>
        <row r="837">
          <cell r="B837">
            <v>686</v>
          </cell>
          <cell r="C837" t="str">
            <v>C49SZX20200070JY</v>
          </cell>
          <cell r="D837" t="str">
            <v>惠州创荣发</v>
          </cell>
          <cell r="E837" t="str">
            <v>YSM20R(SV)-2</v>
          </cell>
          <cell r="F837" t="str">
            <v>#03866</v>
          </cell>
          <cell r="G837" t="e">
            <v>#REF!</v>
          </cell>
          <cell r="H837" t="e">
            <v>#REF!</v>
          </cell>
          <cell r="I837" t="str">
            <v>L-&gt;R</v>
          </cell>
          <cell r="J837" t="str">
            <v>No</v>
          </cell>
          <cell r="K837">
            <v>1</v>
          </cell>
          <cell r="L837" t="str">
            <v>109917(拆分PO109963，新建PO110004）</v>
          </cell>
          <cell r="M837" t="str">
            <v>JUL 20</v>
          </cell>
          <cell r="N837">
            <v>44042</v>
          </cell>
          <cell r="O837">
            <v>11116409</v>
          </cell>
          <cell r="P837">
            <v>15000000</v>
          </cell>
          <cell r="Q837">
            <v>44037</v>
          </cell>
          <cell r="R837" t="str">
            <v>No</v>
          </cell>
          <cell r="S837" t="str">
            <v>C49</v>
          </cell>
          <cell r="T837" t="str">
            <v>SOUTH</v>
          </cell>
          <cell r="U837" t="str">
            <v>深圳</v>
          </cell>
          <cell r="V837" t="str">
            <v>SZ 深圳</v>
          </cell>
          <cell r="W837" t="str">
            <v>JY</v>
          </cell>
          <cell r="X837" t="str">
            <v>JPY</v>
          </cell>
          <cell r="Y837">
            <v>15000000</v>
          </cell>
          <cell r="Z837">
            <v>1</v>
          </cell>
          <cell r="AA837">
            <v>15000000</v>
          </cell>
          <cell r="AB837">
            <v>7.3400000000000007E-2</v>
          </cell>
          <cell r="AC837">
            <v>1101000</v>
          </cell>
          <cell r="AD837">
            <v>132120</v>
          </cell>
          <cell r="AE837">
            <v>0.12</v>
          </cell>
          <cell r="AF837">
            <v>44005</v>
          </cell>
          <cell r="AG837" t="str">
            <v>DAP HZ</v>
          </cell>
          <cell r="AK837">
            <v>0.3</v>
          </cell>
          <cell r="AL837">
            <v>4500000</v>
          </cell>
          <cell r="AM837">
            <v>44039</v>
          </cell>
          <cell r="AN837" t="str">
            <v>Yes</v>
          </cell>
          <cell r="AO837">
            <v>0.7</v>
          </cell>
          <cell r="AP837">
            <v>10500000</v>
          </cell>
          <cell r="AQ837">
            <v>44043</v>
          </cell>
          <cell r="AR837">
            <v>44041</v>
          </cell>
          <cell r="AS837">
            <v>0</v>
          </cell>
          <cell r="AT837">
            <v>0</v>
          </cell>
          <cell r="AX837" t="str">
            <v>Yes</v>
          </cell>
          <cell r="AZ837" t="str">
            <v>Yes</v>
          </cell>
          <cell r="BA837" t="str">
            <v>Yes</v>
          </cell>
        </row>
        <row r="838">
          <cell r="B838">
            <v>687</v>
          </cell>
          <cell r="C838" t="str">
            <v>C49SZX20200070JY</v>
          </cell>
          <cell r="D838" t="str">
            <v>惠州创荣发</v>
          </cell>
          <cell r="E838" t="str">
            <v>YSM10</v>
          </cell>
          <cell r="F838" t="str">
            <v>#03866</v>
          </cell>
          <cell r="G838" t="e">
            <v>#REF!</v>
          </cell>
          <cell r="H838" t="e">
            <v>#REF!</v>
          </cell>
          <cell r="I838" t="str">
            <v>L-&gt;R</v>
          </cell>
          <cell r="J838" t="str">
            <v>MVC</v>
          </cell>
          <cell r="K838">
            <v>1</v>
          </cell>
          <cell r="L838">
            <v>109924</v>
          </cell>
          <cell r="M838" t="str">
            <v>JUL 20</v>
          </cell>
          <cell r="N838">
            <v>44042</v>
          </cell>
          <cell r="O838">
            <v>11116409</v>
          </cell>
          <cell r="P838">
            <v>10100100</v>
          </cell>
          <cell r="Q838">
            <v>44038</v>
          </cell>
          <cell r="R838" t="str">
            <v>No</v>
          </cell>
          <cell r="S838" t="str">
            <v>C49</v>
          </cell>
          <cell r="T838" t="str">
            <v>SOUTH</v>
          </cell>
          <cell r="U838" t="str">
            <v>深圳</v>
          </cell>
          <cell r="V838" t="str">
            <v>SZ 深圳</v>
          </cell>
          <cell r="W838" t="str">
            <v>JY</v>
          </cell>
          <cell r="X838" t="str">
            <v>JPY</v>
          </cell>
          <cell r="Y838">
            <v>10100100</v>
          </cell>
          <cell r="Z838">
            <v>1</v>
          </cell>
          <cell r="AA838">
            <v>10100100</v>
          </cell>
          <cell r="AB838">
            <v>7.3400000000000007E-2</v>
          </cell>
          <cell r="AC838">
            <v>741347.34000000008</v>
          </cell>
          <cell r="AD838">
            <v>88961.680800000002</v>
          </cell>
          <cell r="AE838">
            <v>0.12</v>
          </cell>
          <cell r="AF838">
            <v>44005</v>
          </cell>
          <cell r="AG838" t="str">
            <v>DAP HZ</v>
          </cell>
          <cell r="AK838">
            <v>0.3</v>
          </cell>
          <cell r="AL838">
            <v>3030030</v>
          </cell>
          <cell r="AM838">
            <v>44040</v>
          </cell>
          <cell r="AN838" t="str">
            <v>Yes</v>
          </cell>
          <cell r="AO838">
            <v>0.7</v>
          </cell>
          <cell r="AP838">
            <v>7070070</v>
          </cell>
          <cell r="AQ838">
            <v>44043</v>
          </cell>
          <cell r="AR838">
            <v>44041</v>
          </cell>
          <cell r="AS838">
            <v>0</v>
          </cell>
          <cell r="AT838">
            <v>0</v>
          </cell>
          <cell r="AX838" t="str">
            <v>Yes</v>
          </cell>
          <cell r="AZ838" t="str">
            <v>Yes</v>
          </cell>
          <cell r="BA838" t="str">
            <v>Yes</v>
          </cell>
        </row>
        <row r="839">
          <cell r="B839">
            <v>688</v>
          </cell>
          <cell r="C839" t="str">
            <v>C49SZX20200070JY</v>
          </cell>
          <cell r="D839" t="str">
            <v>惠州创荣发</v>
          </cell>
          <cell r="E839" t="str">
            <v>YSM10</v>
          </cell>
          <cell r="F839" t="str">
            <v>#03866</v>
          </cell>
          <cell r="G839" t="e">
            <v>#REF!</v>
          </cell>
          <cell r="H839" t="e">
            <v>#REF!</v>
          </cell>
          <cell r="I839" t="str">
            <v>L-&gt;R</v>
          </cell>
          <cell r="J839" t="str">
            <v>MVC</v>
          </cell>
          <cell r="K839">
            <v>1</v>
          </cell>
          <cell r="L839">
            <v>109924</v>
          </cell>
          <cell r="M839" t="str">
            <v>JUL 20</v>
          </cell>
          <cell r="N839">
            <v>44042</v>
          </cell>
          <cell r="O839">
            <v>11116409</v>
          </cell>
          <cell r="P839">
            <v>10100100</v>
          </cell>
          <cell r="Q839">
            <v>44039</v>
          </cell>
          <cell r="R839" t="str">
            <v>No</v>
          </cell>
          <cell r="S839" t="str">
            <v>C49</v>
          </cell>
          <cell r="T839" t="str">
            <v>SOUTH</v>
          </cell>
          <cell r="U839" t="str">
            <v>深圳</v>
          </cell>
          <cell r="V839" t="str">
            <v>SZ 深圳</v>
          </cell>
          <cell r="W839" t="str">
            <v>JY</v>
          </cell>
          <cell r="X839" t="str">
            <v>JPY</v>
          </cell>
          <cell r="Y839">
            <v>10100100</v>
          </cell>
          <cell r="Z839">
            <v>1</v>
          </cell>
          <cell r="AA839">
            <v>10100100</v>
          </cell>
          <cell r="AB839">
            <v>7.3400000000000007E-2</v>
          </cell>
          <cell r="AC839">
            <v>741347.34000000008</v>
          </cell>
          <cell r="AD839">
            <v>88961.680800000002</v>
          </cell>
          <cell r="AE839">
            <v>0.12</v>
          </cell>
          <cell r="AF839">
            <v>44005</v>
          </cell>
          <cell r="AG839" t="str">
            <v>DAP HZ</v>
          </cell>
          <cell r="AK839">
            <v>0.3</v>
          </cell>
          <cell r="AL839">
            <v>3030030</v>
          </cell>
          <cell r="AM839">
            <v>44041</v>
          </cell>
          <cell r="AN839" t="str">
            <v>Yes</v>
          </cell>
          <cell r="AO839">
            <v>0.7</v>
          </cell>
          <cell r="AP839">
            <v>7070070</v>
          </cell>
          <cell r="AQ839">
            <v>44043</v>
          </cell>
          <cell r="AR839">
            <v>44041</v>
          </cell>
          <cell r="AS839">
            <v>0</v>
          </cell>
          <cell r="AT839">
            <v>0</v>
          </cell>
          <cell r="AX839" t="str">
            <v>Yes</v>
          </cell>
          <cell r="AZ839" t="str">
            <v>Yes</v>
          </cell>
          <cell r="BA839" t="str">
            <v>Yes</v>
          </cell>
        </row>
        <row r="840">
          <cell r="B840">
            <v>689</v>
          </cell>
          <cell r="C840" t="str">
            <v>C49SZX20200090SS</v>
          </cell>
          <cell r="D840" t="str">
            <v>乐上</v>
          </cell>
          <cell r="E840" t="str">
            <v>YSM10</v>
          </cell>
          <cell r="F840" t="str">
            <v>#03636</v>
          </cell>
          <cell r="G840" t="e">
            <v>#REF!</v>
          </cell>
          <cell r="H840" t="e">
            <v>#REF!</v>
          </cell>
          <cell r="I840" t="str">
            <v>L-&gt;R</v>
          </cell>
          <cell r="J840" t="str">
            <v>MVC</v>
          </cell>
          <cell r="K840">
            <v>1</v>
          </cell>
          <cell r="L840" t="str">
            <v>109891(拆分PO109925）</v>
          </cell>
          <cell r="M840" t="str">
            <v>JUL 20</v>
          </cell>
          <cell r="N840">
            <v>44020</v>
          </cell>
          <cell r="O840">
            <v>11116401</v>
          </cell>
          <cell r="P840">
            <v>7300000</v>
          </cell>
          <cell r="Q840">
            <v>44040</v>
          </cell>
          <cell r="R840" t="str">
            <v>No</v>
          </cell>
          <cell r="S840" t="str">
            <v>C49</v>
          </cell>
          <cell r="T840" t="str">
            <v>SOUTH</v>
          </cell>
          <cell r="U840" t="str">
            <v>深圳</v>
          </cell>
          <cell r="V840" t="str">
            <v>SZ 深圳</v>
          </cell>
          <cell r="W840" t="str">
            <v>SS</v>
          </cell>
          <cell r="X840" t="str">
            <v>JPY</v>
          </cell>
          <cell r="Y840">
            <v>7300000</v>
          </cell>
          <cell r="Z840">
            <v>1</v>
          </cell>
          <cell r="AA840">
            <v>7300000</v>
          </cell>
          <cell r="AB840">
            <v>7.3400000000000007E-2</v>
          </cell>
          <cell r="AC840">
            <v>535820</v>
          </cell>
          <cell r="AD840">
            <v>64298.399999999994</v>
          </cell>
          <cell r="AE840">
            <v>0.12</v>
          </cell>
          <cell r="AF840">
            <v>44011</v>
          </cell>
          <cell r="AG840" t="str">
            <v>DAP DG</v>
          </cell>
          <cell r="AK840">
            <v>1</v>
          </cell>
          <cell r="AL840">
            <v>7300000</v>
          </cell>
          <cell r="AM840">
            <v>44038</v>
          </cell>
          <cell r="AN840" t="str">
            <v>Yes</v>
          </cell>
          <cell r="AO840">
            <v>0</v>
          </cell>
          <cell r="AP840">
            <v>0</v>
          </cell>
          <cell r="AS840">
            <v>0</v>
          </cell>
          <cell r="AT840">
            <v>0</v>
          </cell>
          <cell r="AX840" t="str">
            <v>Yes</v>
          </cell>
          <cell r="AZ840" t="str">
            <v>Yes</v>
          </cell>
          <cell r="BA840" t="str">
            <v>Yes</v>
          </cell>
        </row>
        <row r="841">
          <cell r="B841">
            <v>690</v>
          </cell>
          <cell r="C841" t="str">
            <v>C49SZX20200087DZ</v>
          </cell>
          <cell r="D841" t="str">
            <v>海星</v>
          </cell>
          <cell r="E841" t="str">
            <v>YSM20R(SV)-2</v>
          </cell>
          <cell r="F841" t="str">
            <v>#29642</v>
          </cell>
          <cell r="G841" t="e">
            <v>#REF!</v>
          </cell>
          <cell r="H841" t="e">
            <v>#REF!</v>
          </cell>
          <cell r="I841" t="str">
            <v>L-&gt;R</v>
          </cell>
          <cell r="J841" t="str">
            <v>MVC</v>
          </cell>
          <cell r="K841">
            <v>1</v>
          </cell>
          <cell r="L841">
            <v>109886</v>
          </cell>
          <cell r="M841" t="str">
            <v>JUL 20</v>
          </cell>
          <cell r="N841">
            <v>44036</v>
          </cell>
          <cell r="O841">
            <v>11100414</v>
          </cell>
          <cell r="P841">
            <v>1250000</v>
          </cell>
          <cell r="Q841">
            <v>44032</v>
          </cell>
          <cell r="R841" t="str">
            <v>No</v>
          </cell>
          <cell r="S841" t="str">
            <v>C49</v>
          </cell>
          <cell r="T841" t="str">
            <v>SOUTH</v>
          </cell>
          <cell r="U841" t="str">
            <v>深圳</v>
          </cell>
          <cell r="V841" t="str">
            <v>SZ 深圳</v>
          </cell>
          <cell r="W841" t="str">
            <v>DZ</v>
          </cell>
          <cell r="X841" t="str">
            <v>RMB</v>
          </cell>
          <cell r="Y841">
            <v>1250000</v>
          </cell>
          <cell r="Z841">
            <v>1.1299999999999999</v>
          </cell>
          <cell r="AA841">
            <v>1250000</v>
          </cell>
          <cell r="AB841">
            <v>1.089</v>
          </cell>
          <cell r="AC841">
            <v>1204646.017699115</v>
          </cell>
          <cell r="AD841">
            <v>144557.52212389378</v>
          </cell>
          <cell r="AE841">
            <v>0.12</v>
          </cell>
          <cell r="AF841">
            <v>44011</v>
          </cell>
          <cell r="AG841" t="str">
            <v>含税到厂</v>
          </cell>
          <cell r="AK841">
            <v>0.3</v>
          </cell>
          <cell r="AL841">
            <v>375000</v>
          </cell>
          <cell r="AM841">
            <v>44038</v>
          </cell>
          <cell r="AN841" t="str">
            <v>Yes</v>
          </cell>
          <cell r="AO841">
            <v>0.7</v>
          </cell>
          <cell r="AP841">
            <v>875000</v>
          </cell>
          <cell r="AQ841">
            <v>44043</v>
          </cell>
          <cell r="AR841">
            <v>44033</v>
          </cell>
          <cell r="AS841">
            <v>0</v>
          </cell>
          <cell r="AT841">
            <v>0</v>
          </cell>
          <cell r="AX841" t="str">
            <v>Yes</v>
          </cell>
          <cell r="AZ841" t="str">
            <v>Yes</v>
          </cell>
          <cell r="BA841" t="str">
            <v>Yes</v>
          </cell>
        </row>
        <row r="842">
          <cell r="B842">
            <v>691</v>
          </cell>
          <cell r="C842" t="str">
            <v>C49SZX20200072JY</v>
          </cell>
          <cell r="D842" t="str">
            <v>百施达</v>
          </cell>
          <cell r="E842" t="str">
            <v>YSM10</v>
          </cell>
          <cell r="F842" t="str">
            <v>#73363</v>
          </cell>
          <cell r="G842" t="e">
            <v>#REF!</v>
          </cell>
          <cell r="H842" t="e">
            <v>#REF!</v>
          </cell>
          <cell r="I842" t="str">
            <v>L-&gt;R</v>
          </cell>
          <cell r="J842" t="str">
            <v>MVC</v>
          </cell>
          <cell r="K842">
            <v>1</v>
          </cell>
          <cell r="L842">
            <v>109924</v>
          </cell>
          <cell r="M842" t="str">
            <v>JUL 20</v>
          </cell>
          <cell r="O842">
            <v>11116408</v>
          </cell>
          <cell r="P842">
            <v>7900000</v>
          </cell>
          <cell r="Q842">
            <v>44013</v>
          </cell>
          <cell r="R842" t="str">
            <v>No</v>
          </cell>
          <cell r="S842" t="str">
            <v>C49</v>
          </cell>
          <cell r="T842" t="str">
            <v>SOUTH</v>
          </cell>
          <cell r="U842" t="str">
            <v>深圳</v>
          </cell>
          <cell r="V842" t="str">
            <v>SZ 深圳</v>
          </cell>
          <cell r="W842" t="str">
            <v>JY</v>
          </cell>
          <cell r="X842" t="str">
            <v>JPY</v>
          </cell>
          <cell r="Y842">
            <v>7900000</v>
          </cell>
          <cell r="Z842">
            <v>1</v>
          </cell>
          <cell r="AA842">
            <v>7900000</v>
          </cell>
          <cell r="AB842">
            <v>7.3400000000000007E-2</v>
          </cell>
          <cell r="AC842">
            <v>579860</v>
          </cell>
          <cell r="AD842">
            <v>69583.199999999997</v>
          </cell>
          <cell r="AE842">
            <v>0.12</v>
          </cell>
          <cell r="AF842">
            <v>44014</v>
          </cell>
          <cell r="AG842" t="str">
            <v>DAP DG</v>
          </cell>
          <cell r="AK842">
            <v>0.1</v>
          </cell>
          <cell r="AL842">
            <v>790000</v>
          </cell>
          <cell r="AM842">
            <v>44039</v>
          </cell>
          <cell r="AN842" t="str">
            <v>Yes</v>
          </cell>
          <cell r="AO842">
            <v>0.9</v>
          </cell>
          <cell r="AP842">
            <v>7110000</v>
          </cell>
          <cell r="AQ842">
            <v>44043</v>
          </cell>
          <cell r="AR842">
            <v>44039</v>
          </cell>
          <cell r="AS842">
            <v>0</v>
          </cell>
          <cell r="AT842">
            <v>0</v>
          </cell>
          <cell r="AX842" t="str">
            <v>Yes</v>
          </cell>
          <cell r="AZ842" t="str">
            <v>Yes</v>
          </cell>
          <cell r="BA842" t="str">
            <v>Yes</v>
          </cell>
        </row>
        <row r="843">
          <cell r="B843">
            <v>692</v>
          </cell>
          <cell r="C843" t="str">
            <v>C49SZX20200116JL</v>
          </cell>
          <cell r="D843" t="str">
            <v>德劲</v>
          </cell>
          <cell r="E843" t="str">
            <v>YSM20R(SV)-2</v>
          </cell>
          <cell r="F843" t="str">
            <v>#03618</v>
          </cell>
          <cell r="G843" t="e">
            <v>#REF!</v>
          </cell>
          <cell r="H843" t="e">
            <v>#REF!</v>
          </cell>
          <cell r="I843" t="str">
            <v>L-&gt;R</v>
          </cell>
          <cell r="J843" t="str">
            <v>cATS10+MVC</v>
          </cell>
          <cell r="K843">
            <v>1</v>
          </cell>
          <cell r="L843" t="str">
            <v>109917新建PO110003</v>
          </cell>
          <cell r="M843" t="str">
            <v>AUG 20</v>
          </cell>
          <cell r="N843">
            <v>44074</v>
          </cell>
          <cell r="O843">
            <v>11116422</v>
          </cell>
          <cell r="P843">
            <v>14000000</v>
          </cell>
          <cell r="Q843">
            <v>44063</v>
          </cell>
          <cell r="R843" t="str">
            <v>No</v>
          </cell>
          <cell r="S843" t="str">
            <v>C49</v>
          </cell>
          <cell r="T843" t="str">
            <v>SOUTH</v>
          </cell>
          <cell r="U843" t="str">
            <v>深圳</v>
          </cell>
          <cell r="V843" t="str">
            <v>SZ 深圳</v>
          </cell>
          <cell r="W843" t="str">
            <v>JL</v>
          </cell>
          <cell r="X843" t="str">
            <v>JPY</v>
          </cell>
          <cell r="Y843">
            <v>14000000</v>
          </cell>
          <cell r="Z843">
            <v>1</v>
          </cell>
          <cell r="AA843">
            <v>14000000</v>
          </cell>
          <cell r="AB843">
            <v>7.3400000000000007E-2</v>
          </cell>
          <cell r="AC843">
            <v>1027600.0000000001</v>
          </cell>
          <cell r="AD843">
            <v>123312.00000000001</v>
          </cell>
          <cell r="AE843">
            <v>0.12</v>
          </cell>
          <cell r="AF843">
            <v>44018</v>
          </cell>
          <cell r="AG843" t="str">
            <v>DAP SZ</v>
          </cell>
          <cell r="AK843">
            <v>0.3</v>
          </cell>
          <cell r="AL843">
            <v>4200000</v>
          </cell>
          <cell r="AM843">
            <v>44040</v>
          </cell>
          <cell r="AN843" t="str">
            <v>Yes</v>
          </cell>
          <cell r="AO843">
            <v>0.65</v>
          </cell>
          <cell r="AP843">
            <v>9100000</v>
          </cell>
          <cell r="AQ843">
            <v>44045</v>
          </cell>
          <cell r="AR843">
            <v>44071</v>
          </cell>
          <cell r="AS843">
            <v>0.05</v>
          </cell>
          <cell r="AT843">
            <v>700000</v>
          </cell>
          <cell r="AU843">
            <v>44105</v>
          </cell>
          <cell r="AV843">
            <v>44134</v>
          </cell>
          <cell r="AX843" t="str">
            <v>Yes</v>
          </cell>
          <cell r="AZ843" t="str">
            <v>Yes</v>
          </cell>
        </row>
        <row r="844">
          <cell r="B844">
            <v>693</v>
          </cell>
          <cell r="C844" t="str">
            <v>C49SZX20200116JL</v>
          </cell>
          <cell r="D844" t="str">
            <v>德劲</v>
          </cell>
          <cell r="E844" t="str">
            <v>YSM20R(SV)-2</v>
          </cell>
          <cell r="F844" t="str">
            <v>#03618</v>
          </cell>
          <cell r="G844" t="e">
            <v>#REF!</v>
          </cell>
          <cell r="H844" t="e">
            <v>#REF!</v>
          </cell>
          <cell r="I844" t="str">
            <v>L-&gt;R</v>
          </cell>
          <cell r="J844" t="str">
            <v>MVC</v>
          </cell>
          <cell r="K844">
            <v>1</v>
          </cell>
          <cell r="L844">
            <v>109933</v>
          </cell>
          <cell r="M844" t="str">
            <v>AUG 20</v>
          </cell>
          <cell r="N844">
            <v>44074</v>
          </cell>
          <cell r="O844">
            <v>11116422</v>
          </cell>
          <cell r="P844">
            <v>14000000</v>
          </cell>
          <cell r="Q844">
            <v>44064</v>
          </cell>
          <cell r="R844" t="str">
            <v>No</v>
          </cell>
          <cell r="S844" t="str">
            <v>C49</v>
          </cell>
          <cell r="T844" t="str">
            <v>SOUTH</v>
          </cell>
          <cell r="U844" t="str">
            <v>深圳</v>
          </cell>
          <cell r="V844" t="str">
            <v>SZ 深圳</v>
          </cell>
          <cell r="W844" t="str">
            <v>JL</v>
          </cell>
          <cell r="X844" t="str">
            <v>JPY</v>
          </cell>
          <cell r="Y844">
            <v>14000000</v>
          </cell>
          <cell r="Z844">
            <v>1</v>
          </cell>
          <cell r="AA844">
            <v>14000000</v>
          </cell>
          <cell r="AB844">
            <v>7.3400000000000007E-2</v>
          </cell>
          <cell r="AC844">
            <v>1027600.0000000001</v>
          </cell>
          <cell r="AD844">
            <v>123312.00000000001</v>
          </cell>
          <cell r="AE844">
            <v>0.12</v>
          </cell>
          <cell r="AF844">
            <v>44018</v>
          </cell>
          <cell r="AG844" t="str">
            <v>DAP SZ</v>
          </cell>
          <cell r="AK844">
            <v>0.3</v>
          </cell>
          <cell r="AL844">
            <v>4200000</v>
          </cell>
          <cell r="AM844">
            <v>44041</v>
          </cell>
          <cell r="AN844" t="str">
            <v>Yes</v>
          </cell>
          <cell r="AO844">
            <v>0.65</v>
          </cell>
          <cell r="AP844">
            <v>9100000</v>
          </cell>
          <cell r="AQ844">
            <v>44046</v>
          </cell>
          <cell r="AR844">
            <v>44071</v>
          </cell>
          <cell r="AS844">
            <v>0.05</v>
          </cell>
          <cell r="AT844">
            <v>700000</v>
          </cell>
          <cell r="AU844">
            <v>44105</v>
          </cell>
          <cell r="AV844">
            <v>44134</v>
          </cell>
          <cell r="AX844" t="str">
            <v>Yes</v>
          </cell>
          <cell r="AZ844" t="str">
            <v>Yes</v>
          </cell>
        </row>
        <row r="845">
          <cell r="B845">
            <v>694</v>
          </cell>
          <cell r="C845" t="str">
            <v>C49SZX20200116JL</v>
          </cell>
          <cell r="D845" t="str">
            <v>德劲</v>
          </cell>
          <cell r="E845" t="str">
            <v>YSM20R(SV)-2</v>
          </cell>
          <cell r="F845" t="str">
            <v>#03618</v>
          </cell>
          <cell r="G845" t="e">
            <v>#REF!</v>
          </cell>
          <cell r="H845" t="e">
            <v>#REF!</v>
          </cell>
          <cell r="I845" t="str">
            <v>L-&gt;R</v>
          </cell>
          <cell r="J845" t="str">
            <v>MVC</v>
          </cell>
          <cell r="K845">
            <v>1</v>
          </cell>
          <cell r="L845">
            <v>109933</v>
          </cell>
          <cell r="M845" t="str">
            <v>AUG 20</v>
          </cell>
          <cell r="N845">
            <v>44074</v>
          </cell>
          <cell r="O845">
            <v>11116422</v>
          </cell>
          <cell r="P845">
            <v>14000000</v>
          </cell>
          <cell r="Q845">
            <v>44065</v>
          </cell>
          <cell r="R845" t="str">
            <v>No</v>
          </cell>
          <cell r="S845" t="str">
            <v>C49</v>
          </cell>
          <cell r="T845" t="str">
            <v>SOUTH</v>
          </cell>
          <cell r="U845" t="str">
            <v>深圳</v>
          </cell>
          <cell r="V845" t="str">
            <v>SZ 深圳</v>
          </cell>
          <cell r="W845" t="str">
            <v>JL</v>
          </cell>
          <cell r="X845" t="str">
            <v>JPY</v>
          </cell>
          <cell r="Y845">
            <v>14000000</v>
          </cell>
          <cell r="Z845">
            <v>1</v>
          </cell>
          <cell r="AA845">
            <v>14000000</v>
          </cell>
          <cell r="AB845">
            <v>7.3400000000000007E-2</v>
          </cell>
          <cell r="AC845">
            <v>1027600.0000000001</v>
          </cell>
          <cell r="AD845">
            <v>123312.00000000001</v>
          </cell>
          <cell r="AE845">
            <v>0.12</v>
          </cell>
          <cell r="AF845">
            <v>44018</v>
          </cell>
          <cell r="AG845" t="str">
            <v>DAP SZ</v>
          </cell>
          <cell r="AK845">
            <v>0.3</v>
          </cell>
          <cell r="AL845">
            <v>4200000</v>
          </cell>
          <cell r="AM845">
            <v>44042</v>
          </cell>
          <cell r="AN845" t="str">
            <v>Yes</v>
          </cell>
          <cell r="AO845">
            <v>0.65</v>
          </cell>
          <cell r="AP845">
            <v>9100000</v>
          </cell>
          <cell r="AQ845">
            <v>44047</v>
          </cell>
          <cell r="AR845">
            <v>44071</v>
          </cell>
          <cell r="AS845">
            <v>0.05</v>
          </cell>
          <cell r="AT845">
            <v>700000</v>
          </cell>
          <cell r="AU845">
            <v>44105</v>
          </cell>
          <cell r="AV845">
            <v>44134</v>
          </cell>
          <cell r="AX845" t="str">
            <v>Yes</v>
          </cell>
          <cell r="AZ845" t="str">
            <v>Yes</v>
          </cell>
        </row>
        <row r="846">
          <cell r="B846">
            <v>695</v>
          </cell>
          <cell r="C846" t="str">
            <v>C49SZX20200116JL</v>
          </cell>
          <cell r="D846" t="str">
            <v>德劲</v>
          </cell>
          <cell r="E846" t="str">
            <v>YSM20R(SV)-2</v>
          </cell>
          <cell r="F846" t="str">
            <v>#03618</v>
          </cell>
          <cell r="G846" t="e">
            <v>#REF!</v>
          </cell>
          <cell r="H846" t="e">
            <v>#REF!</v>
          </cell>
          <cell r="I846" t="str">
            <v>L-&gt;R</v>
          </cell>
          <cell r="J846" t="str">
            <v>MVC</v>
          </cell>
          <cell r="K846">
            <v>1</v>
          </cell>
          <cell r="L846">
            <v>109933</v>
          </cell>
          <cell r="M846" t="str">
            <v>AUG 20</v>
          </cell>
          <cell r="N846">
            <v>44074</v>
          </cell>
          <cell r="O846">
            <v>11116422</v>
          </cell>
          <cell r="P846">
            <v>14000000</v>
          </cell>
          <cell r="Q846">
            <v>44066</v>
          </cell>
          <cell r="R846" t="str">
            <v>No</v>
          </cell>
          <cell r="S846" t="str">
            <v>C49</v>
          </cell>
          <cell r="T846" t="str">
            <v>SOUTH</v>
          </cell>
          <cell r="U846" t="str">
            <v>深圳</v>
          </cell>
          <cell r="V846" t="str">
            <v>SZ 深圳</v>
          </cell>
          <cell r="W846" t="str">
            <v>JL</v>
          </cell>
          <cell r="X846" t="str">
            <v>JPY</v>
          </cell>
          <cell r="Y846">
            <v>14000000</v>
          </cell>
          <cell r="Z846">
            <v>1</v>
          </cell>
          <cell r="AA846">
            <v>14000000</v>
          </cell>
          <cell r="AB846">
            <v>7.3400000000000007E-2</v>
          </cell>
          <cell r="AC846">
            <v>1027600.0000000001</v>
          </cell>
          <cell r="AD846">
            <v>123312.00000000001</v>
          </cell>
          <cell r="AE846">
            <v>0.12</v>
          </cell>
          <cell r="AF846">
            <v>44018</v>
          </cell>
          <cell r="AG846" t="str">
            <v>DAP SZ</v>
          </cell>
          <cell r="AK846">
            <v>0.3</v>
          </cell>
          <cell r="AL846">
            <v>4200000</v>
          </cell>
          <cell r="AM846">
            <v>44043</v>
          </cell>
          <cell r="AN846" t="str">
            <v>Yes</v>
          </cell>
          <cell r="AO846">
            <v>0.65</v>
          </cell>
          <cell r="AP846">
            <v>9100000</v>
          </cell>
          <cell r="AQ846">
            <v>44048</v>
          </cell>
          <cell r="AR846">
            <v>44071</v>
          </cell>
          <cell r="AS846">
            <v>0.05</v>
          </cell>
          <cell r="AT846">
            <v>700000</v>
          </cell>
          <cell r="AU846">
            <v>44105</v>
          </cell>
          <cell r="AV846">
            <v>44134</v>
          </cell>
          <cell r="AX846" t="str">
            <v>Yes</v>
          </cell>
          <cell r="AZ846" t="str">
            <v>Yes</v>
          </cell>
        </row>
        <row r="847">
          <cell r="B847">
            <v>696</v>
          </cell>
          <cell r="C847" t="str">
            <v>C49SZX20200116JL</v>
          </cell>
          <cell r="D847" t="str">
            <v>德劲</v>
          </cell>
          <cell r="E847" t="str">
            <v>YSM40R-4</v>
          </cell>
          <cell r="F847" t="str">
            <v>#03618</v>
          </cell>
          <cell r="G847" t="e">
            <v>#REF!</v>
          </cell>
          <cell r="H847" t="e">
            <v>#REF!</v>
          </cell>
          <cell r="I847" t="str">
            <v>L-&gt;R</v>
          </cell>
          <cell r="J847" t="str">
            <v>No</v>
          </cell>
          <cell r="K847">
            <v>1</v>
          </cell>
          <cell r="L847">
            <v>109981</v>
          </cell>
          <cell r="M847" t="str">
            <v>AUG 20</v>
          </cell>
          <cell r="N847">
            <v>44074</v>
          </cell>
          <cell r="O847">
            <v>11116422</v>
          </cell>
          <cell r="P847">
            <v>24000000</v>
          </cell>
          <cell r="Q847">
            <v>44067</v>
          </cell>
          <cell r="R847" t="str">
            <v>No</v>
          </cell>
          <cell r="S847" t="str">
            <v>C49</v>
          </cell>
          <cell r="T847" t="str">
            <v>SOUTH</v>
          </cell>
          <cell r="U847" t="str">
            <v>深圳</v>
          </cell>
          <cell r="V847" t="str">
            <v>SZ 深圳</v>
          </cell>
          <cell r="W847" t="str">
            <v>JL</v>
          </cell>
          <cell r="X847" t="str">
            <v>JPY</v>
          </cell>
          <cell r="Y847">
            <v>24000000</v>
          </cell>
          <cell r="Z847">
            <v>1</v>
          </cell>
          <cell r="AA847">
            <v>24000000</v>
          </cell>
          <cell r="AB847">
            <v>7.3400000000000007E-2</v>
          </cell>
          <cell r="AC847">
            <v>1761600.0000000002</v>
          </cell>
          <cell r="AD847">
            <v>211392.00000000003</v>
          </cell>
          <cell r="AE847">
            <v>0.12</v>
          </cell>
          <cell r="AF847">
            <v>44018</v>
          </cell>
          <cell r="AG847" t="str">
            <v>DAP SZ</v>
          </cell>
          <cell r="AK847">
            <v>0.3</v>
          </cell>
          <cell r="AL847">
            <v>7200000</v>
          </cell>
          <cell r="AM847">
            <v>44043</v>
          </cell>
          <cell r="AN847" t="str">
            <v>Yes</v>
          </cell>
          <cell r="AO847">
            <v>0.65</v>
          </cell>
          <cell r="AP847">
            <v>15600000</v>
          </cell>
          <cell r="AQ847">
            <v>44049</v>
          </cell>
          <cell r="AR847">
            <v>44071</v>
          </cell>
          <cell r="AS847">
            <v>0.05</v>
          </cell>
          <cell r="AT847">
            <v>1200000</v>
          </cell>
          <cell r="AU847">
            <v>44105</v>
          </cell>
          <cell r="AV847">
            <v>44134</v>
          </cell>
          <cell r="AX847" t="str">
            <v>Yes</v>
          </cell>
          <cell r="AZ847" t="str">
            <v>Yes</v>
          </cell>
        </row>
        <row r="848">
          <cell r="B848">
            <v>697</v>
          </cell>
          <cell r="C848" t="str">
            <v>C49SZX20200086JL</v>
          </cell>
          <cell r="D848" t="str">
            <v>大唐</v>
          </cell>
          <cell r="E848" t="str">
            <v>YSM20R(SV)-2</v>
          </cell>
          <cell r="F848" t="str">
            <v>#04703</v>
          </cell>
          <cell r="G848" t="e">
            <v>#REF!</v>
          </cell>
          <cell r="H848" t="e">
            <v>#REF!</v>
          </cell>
          <cell r="I848" t="str">
            <v>L-&gt;R</v>
          </cell>
          <cell r="J848" t="str">
            <v>No</v>
          </cell>
          <cell r="K848">
            <v>1</v>
          </cell>
          <cell r="L848" t="e">
            <v>#N/A</v>
          </cell>
          <cell r="M848" t="e">
            <v>#N/A</v>
          </cell>
          <cell r="N848"/>
          <cell r="O848"/>
          <cell r="P848"/>
          <cell r="Q848"/>
          <cell r="R848" t="str">
            <v>Yes</v>
          </cell>
          <cell r="S848" t="str">
            <v>C49</v>
          </cell>
          <cell r="T848" t="str">
            <v>SOUTH</v>
          </cell>
          <cell r="U848" t="str">
            <v>深圳</v>
          </cell>
          <cell r="V848" t="str">
            <v>SZ 深圳</v>
          </cell>
          <cell r="W848" t="str">
            <v>JL</v>
          </cell>
          <cell r="X848" t="str">
            <v>RMB</v>
          </cell>
          <cell r="Y848">
            <v>900000</v>
          </cell>
          <cell r="Z848">
            <v>1.1299999999999999</v>
          </cell>
          <cell r="AA848">
            <v>900000</v>
          </cell>
          <cell r="AB848">
            <v>1.095</v>
          </cell>
          <cell r="AC848">
            <v>872123.89380530978</v>
          </cell>
          <cell r="AD848">
            <v>104654.86725663717</v>
          </cell>
          <cell r="AE848">
            <v>0.12</v>
          </cell>
          <cell r="AF848">
            <v>44019</v>
          </cell>
          <cell r="AG848" t="str">
            <v>含税到厂</v>
          </cell>
          <cell r="AI848"/>
          <cell r="AJ848"/>
          <cell r="AK848">
            <v>0.2</v>
          </cell>
          <cell r="AL848">
            <v>180000</v>
          </cell>
          <cell r="AM848"/>
          <cell r="AN848" t="str">
            <v>No</v>
          </cell>
          <cell r="AO848">
            <v>0.8</v>
          </cell>
          <cell r="AP848">
            <v>720000</v>
          </cell>
          <cell r="AQ848"/>
          <cell r="AR848"/>
          <cell r="AS848">
            <v>0</v>
          </cell>
          <cell r="AT848">
            <v>0</v>
          </cell>
          <cell r="AV848"/>
          <cell r="AX848" t="str">
            <v>Cancel</v>
          </cell>
          <cell r="AY848"/>
          <cell r="AZ848"/>
          <cell r="BA848" t="str">
            <v>Cancel</v>
          </cell>
          <cell r="BB848" t="str">
            <v>2022-3-25Ken邮件通知</v>
          </cell>
        </row>
        <row r="849">
          <cell r="B849">
            <v>698</v>
          </cell>
          <cell r="C849" t="str">
            <v>C49SZX20200086JL</v>
          </cell>
          <cell r="D849" t="str">
            <v>大唐</v>
          </cell>
          <cell r="E849" t="str">
            <v>YSM10</v>
          </cell>
          <cell r="F849" t="str">
            <v>#04703</v>
          </cell>
          <cell r="G849" t="e">
            <v>#REF!</v>
          </cell>
          <cell r="H849" t="e">
            <v>#REF!</v>
          </cell>
          <cell r="I849" t="str">
            <v>L-&gt;R</v>
          </cell>
          <cell r="J849" t="str">
            <v>MVC</v>
          </cell>
          <cell r="K849">
            <v>1</v>
          </cell>
          <cell r="L849" t="e">
            <v>#N/A</v>
          </cell>
          <cell r="M849" t="e">
            <v>#N/A</v>
          </cell>
          <cell r="N849"/>
          <cell r="O849"/>
          <cell r="P849"/>
          <cell r="Q849"/>
          <cell r="R849" t="str">
            <v>Yes</v>
          </cell>
          <cell r="S849" t="str">
            <v>C49</v>
          </cell>
          <cell r="T849" t="str">
            <v>SOUTH</v>
          </cell>
          <cell r="U849" t="str">
            <v>深圳</v>
          </cell>
          <cell r="V849" t="str">
            <v>SZ 深圳</v>
          </cell>
          <cell r="W849" t="str">
            <v>JL</v>
          </cell>
          <cell r="X849" t="str">
            <v>RMB</v>
          </cell>
          <cell r="Y849">
            <v>630000</v>
          </cell>
          <cell r="Z849">
            <v>1.1299999999999999</v>
          </cell>
          <cell r="AA849">
            <v>630000</v>
          </cell>
          <cell r="AB849">
            <v>1.095</v>
          </cell>
          <cell r="AC849">
            <v>610486.72566371679</v>
          </cell>
          <cell r="AD849">
            <v>73258.407079646015</v>
          </cell>
          <cell r="AE849">
            <v>0.12</v>
          </cell>
          <cell r="AF849">
            <v>44019</v>
          </cell>
          <cell r="AG849" t="str">
            <v>含税到厂</v>
          </cell>
          <cell r="AI849"/>
          <cell r="AJ849"/>
          <cell r="AK849">
            <v>0.2</v>
          </cell>
          <cell r="AL849">
            <v>126000</v>
          </cell>
          <cell r="AM849"/>
          <cell r="AN849" t="str">
            <v>No</v>
          </cell>
          <cell r="AO849">
            <v>0.8</v>
          </cell>
          <cell r="AP849">
            <v>504000</v>
          </cell>
          <cell r="AQ849"/>
          <cell r="AR849"/>
          <cell r="AS849">
            <v>0</v>
          </cell>
          <cell r="AT849">
            <v>0</v>
          </cell>
          <cell r="AV849"/>
          <cell r="AX849" t="str">
            <v>Cancel</v>
          </cell>
          <cell r="AY849"/>
          <cell r="AZ849"/>
          <cell r="BA849" t="str">
            <v>Cancel</v>
          </cell>
          <cell r="BB849" t="str">
            <v>2022-10-10Ken邮件通知</v>
          </cell>
        </row>
        <row r="850">
          <cell r="B850">
            <v>699</v>
          </cell>
          <cell r="C850" t="str">
            <v>C49SZX20200088SS</v>
          </cell>
          <cell r="D850" t="str">
            <v>乐凡电子</v>
          </cell>
          <cell r="E850" t="str">
            <v>YSM20R(SV)-2</v>
          </cell>
          <cell r="F850" t="str">
            <v>#04319</v>
          </cell>
          <cell r="G850" t="e">
            <v>#REF!</v>
          </cell>
          <cell r="H850" t="e">
            <v>#REF!</v>
          </cell>
          <cell r="I850" t="str">
            <v>R-&gt;L</v>
          </cell>
          <cell r="J850" t="str">
            <v>No</v>
          </cell>
          <cell r="K850">
            <v>1</v>
          </cell>
          <cell r="L850">
            <v>109984</v>
          </cell>
          <cell r="M850" t="str">
            <v>OCT 20</v>
          </cell>
          <cell r="N850">
            <v>44117</v>
          </cell>
          <cell r="O850">
            <v>11116441</v>
          </cell>
          <cell r="P850">
            <v>12100000</v>
          </cell>
          <cell r="Q850">
            <v>44105</v>
          </cell>
          <cell r="R850" t="str">
            <v>No</v>
          </cell>
          <cell r="S850" t="str">
            <v>C49</v>
          </cell>
          <cell r="T850" t="str">
            <v>SOUTH</v>
          </cell>
          <cell r="U850" t="str">
            <v>深圳</v>
          </cell>
          <cell r="V850" t="str">
            <v>SZ 深圳</v>
          </cell>
          <cell r="W850" t="str">
            <v>SS</v>
          </cell>
          <cell r="X850" t="str">
            <v>JPY</v>
          </cell>
          <cell r="Y850">
            <v>12100000</v>
          </cell>
          <cell r="Z850">
            <v>1</v>
          </cell>
          <cell r="AA850">
            <v>12100000</v>
          </cell>
          <cell r="AB850">
            <v>7.3400000000000007E-2</v>
          </cell>
          <cell r="AC850">
            <v>888140.00000000012</v>
          </cell>
          <cell r="AD850">
            <v>106576.8</v>
          </cell>
          <cell r="AE850">
            <v>0.12</v>
          </cell>
          <cell r="AF850">
            <v>44020</v>
          </cell>
          <cell r="AG850" t="str">
            <v>DAP SZ</v>
          </cell>
          <cell r="AI850">
            <v>20000</v>
          </cell>
          <cell r="AJ850">
            <v>44053</v>
          </cell>
          <cell r="AK850">
            <v>1</v>
          </cell>
          <cell r="AL850">
            <v>12100000</v>
          </cell>
          <cell r="AM850">
            <v>44094</v>
          </cell>
          <cell r="AN850" t="str">
            <v>Yes</v>
          </cell>
          <cell r="AO850">
            <v>0</v>
          </cell>
          <cell r="AP850">
            <v>0</v>
          </cell>
          <cell r="AS850">
            <v>0</v>
          </cell>
          <cell r="AT850">
            <v>0</v>
          </cell>
          <cell r="AX850" t="str">
            <v>Yes</v>
          </cell>
          <cell r="AZ850" t="str">
            <v>Yes</v>
          </cell>
          <cell r="BA850" t="str">
            <v>Yes</v>
          </cell>
        </row>
        <row r="851">
          <cell r="B851">
            <v>700</v>
          </cell>
          <cell r="C851" t="str">
            <v>C28SZX20200049KC</v>
          </cell>
          <cell r="D851" t="str">
            <v>昱为</v>
          </cell>
          <cell r="E851" t="str">
            <v>Heller 1826MK5</v>
          </cell>
          <cell r="F851" t="str">
            <v>NO</v>
          </cell>
          <cell r="G851" t="e">
            <v>#REF!</v>
          </cell>
          <cell r="H851" t="e">
            <v>#REF!</v>
          </cell>
          <cell r="I851" t="str">
            <v>L-&gt;R</v>
          </cell>
          <cell r="J851" t="str">
            <v>No</v>
          </cell>
          <cell r="K851">
            <v>1</v>
          </cell>
          <cell r="L851" t="str">
            <v>B28109975</v>
          </cell>
          <cell r="M851" t="str">
            <v>AUG 20</v>
          </cell>
          <cell r="R851" t="str">
            <v>No</v>
          </cell>
          <cell r="S851" t="str">
            <v>C28</v>
          </cell>
          <cell r="T851" t="str">
            <v>SOUTH</v>
          </cell>
          <cell r="U851" t="str">
            <v>深圳</v>
          </cell>
          <cell r="V851" t="str">
            <v>SZ 深圳</v>
          </cell>
          <cell r="W851" t="str">
            <v>KC</v>
          </cell>
          <cell r="X851" t="str">
            <v>USD</v>
          </cell>
          <cell r="Y851">
            <v>59000</v>
          </cell>
          <cell r="Z851">
            <v>1</v>
          </cell>
          <cell r="AA851">
            <v>59000</v>
          </cell>
          <cell r="AB851">
            <v>7.8</v>
          </cell>
          <cell r="AC851">
            <v>460200</v>
          </cell>
          <cell r="AD851">
            <v>55224</v>
          </cell>
          <cell r="AE851">
            <v>0.12</v>
          </cell>
          <cell r="AF851">
            <v>44015</v>
          </cell>
          <cell r="AG851" t="str">
            <v>CIF HK</v>
          </cell>
          <cell r="AK851">
            <v>0.3</v>
          </cell>
          <cell r="AL851">
            <v>17700</v>
          </cell>
          <cell r="AM851">
            <v>44043</v>
          </cell>
          <cell r="AN851" t="str">
            <v>Yes</v>
          </cell>
          <cell r="AO851">
            <v>0.7</v>
          </cell>
          <cell r="AP851">
            <v>41300</v>
          </cell>
          <cell r="AQ851">
            <v>44045</v>
          </cell>
          <cell r="AR851">
            <v>44069</v>
          </cell>
          <cell r="AS851">
            <v>0</v>
          </cell>
          <cell r="AT851">
            <v>0</v>
          </cell>
          <cell r="AX851" t="str">
            <v>Yes</v>
          </cell>
        </row>
        <row r="852">
          <cell r="B852">
            <v>701</v>
          </cell>
          <cell r="C852" t="str">
            <v>C49SZX20200095R1SS</v>
          </cell>
          <cell r="D852" t="str">
            <v>前海福源</v>
          </cell>
          <cell r="E852" t="str">
            <v>YSM10</v>
          </cell>
          <cell r="F852" t="str">
            <v>#03643</v>
          </cell>
          <cell r="G852" t="e">
            <v>#REF!</v>
          </cell>
          <cell r="H852" t="e">
            <v>#REF!</v>
          </cell>
          <cell r="I852" t="str">
            <v>L-&gt;R</v>
          </cell>
          <cell r="J852" t="str">
            <v>No</v>
          </cell>
          <cell r="K852">
            <v>1</v>
          </cell>
          <cell r="L852">
            <v>109976</v>
          </cell>
          <cell r="M852" t="str">
            <v>SEP 20</v>
          </cell>
          <cell r="N852">
            <v>44103</v>
          </cell>
          <cell r="O852">
            <v>11116434</v>
          </cell>
          <cell r="P852">
            <v>6565000</v>
          </cell>
          <cell r="Q852">
            <v>44102</v>
          </cell>
          <cell r="R852" t="str">
            <v>No</v>
          </cell>
          <cell r="S852" t="str">
            <v>C49</v>
          </cell>
          <cell r="T852" t="str">
            <v>SOUTH</v>
          </cell>
          <cell r="U852" t="str">
            <v>深圳</v>
          </cell>
          <cell r="V852" t="str">
            <v>SZ 深圳</v>
          </cell>
          <cell r="W852" t="str">
            <v>SS</v>
          </cell>
          <cell r="X852" t="str">
            <v>JPY</v>
          </cell>
          <cell r="Y852">
            <v>6565000</v>
          </cell>
          <cell r="Z852">
            <v>1</v>
          </cell>
          <cell r="AA852">
            <v>6565000</v>
          </cell>
          <cell r="AB852">
            <v>7.3400000000000007E-2</v>
          </cell>
          <cell r="AC852">
            <v>481871.00000000006</v>
          </cell>
          <cell r="AD852">
            <v>57824.520000000004</v>
          </cell>
          <cell r="AE852">
            <v>0.12</v>
          </cell>
          <cell r="AF852">
            <v>44021</v>
          </cell>
          <cell r="AG852" t="str">
            <v>DAP SZ</v>
          </cell>
          <cell r="AK852">
            <v>0.1</v>
          </cell>
          <cell r="AL852">
            <v>656500</v>
          </cell>
          <cell r="AM852">
            <v>44045</v>
          </cell>
          <cell r="AN852" t="str">
            <v>Yes</v>
          </cell>
          <cell r="AO852">
            <v>0.9</v>
          </cell>
          <cell r="AP852">
            <v>5908500</v>
          </cell>
          <cell r="AQ852">
            <v>44075</v>
          </cell>
          <cell r="AR852">
            <v>44098</v>
          </cell>
          <cell r="AS852">
            <v>0</v>
          </cell>
          <cell r="AT852">
            <v>0</v>
          </cell>
          <cell r="AX852" t="str">
            <v>Yes</v>
          </cell>
          <cell r="AZ852" t="str">
            <v>Yes</v>
          </cell>
          <cell r="BA852" t="str">
            <v>Yes</v>
          </cell>
        </row>
        <row r="853">
          <cell r="B853">
            <v>702</v>
          </cell>
          <cell r="C853" t="str">
            <v>C49SZX20200095R1SS</v>
          </cell>
          <cell r="D853" t="str">
            <v>前海福源</v>
          </cell>
          <cell r="E853" t="str">
            <v>YSM10</v>
          </cell>
          <cell r="F853" t="str">
            <v>#03643</v>
          </cell>
          <cell r="G853" t="e">
            <v>#REF!</v>
          </cell>
          <cell r="H853" t="e">
            <v>#REF!</v>
          </cell>
          <cell r="I853" t="str">
            <v>L-&gt;R</v>
          </cell>
          <cell r="J853" t="str">
            <v>No</v>
          </cell>
          <cell r="K853">
            <v>1</v>
          </cell>
          <cell r="L853">
            <v>109977</v>
          </cell>
          <cell r="M853" t="str">
            <v>SEP 20</v>
          </cell>
          <cell r="N853">
            <v>44103</v>
          </cell>
          <cell r="O853">
            <v>11116434</v>
          </cell>
          <cell r="P853">
            <v>6565000</v>
          </cell>
          <cell r="Q853">
            <v>44102</v>
          </cell>
          <cell r="R853" t="str">
            <v>No</v>
          </cell>
          <cell r="S853" t="str">
            <v>C49</v>
          </cell>
          <cell r="T853" t="str">
            <v>SOUTH</v>
          </cell>
          <cell r="U853" t="str">
            <v>深圳</v>
          </cell>
          <cell r="V853" t="str">
            <v>SZ 深圳</v>
          </cell>
          <cell r="W853" t="str">
            <v>SS</v>
          </cell>
          <cell r="X853" t="str">
            <v>JPY</v>
          </cell>
          <cell r="Y853">
            <v>6565000</v>
          </cell>
          <cell r="Z853">
            <v>1</v>
          </cell>
          <cell r="AA853">
            <v>6565000</v>
          </cell>
          <cell r="AB853">
            <v>7.3400000000000007E-2</v>
          </cell>
          <cell r="AC853">
            <v>481871.00000000006</v>
          </cell>
          <cell r="AD853">
            <v>57824.520000000004</v>
          </cell>
          <cell r="AE853">
            <v>0.12</v>
          </cell>
          <cell r="AF853">
            <v>44021</v>
          </cell>
          <cell r="AG853" t="str">
            <v>DAP SZ</v>
          </cell>
          <cell r="AK853">
            <v>0.1</v>
          </cell>
          <cell r="AL853">
            <v>656500</v>
          </cell>
          <cell r="AM853">
            <v>44045</v>
          </cell>
          <cell r="AN853" t="str">
            <v>Yes</v>
          </cell>
          <cell r="AO853">
            <v>0.9</v>
          </cell>
          <cell r="AP853">
            <v>5908500</v>
          </cell>
          <cell r="AQ853">
            <v>44075</v>
          </cell>
          <cell r="AR853">
            <v>44098</v>
          </cell>
          <cell r="AS853">
            <v>0</v>
          </cell>
          <cell r="AT853">
            <v>0</v>
          </cell>
          <cell r="AX853" t="str">
            <v>Yes</v>
          </cell>
          <cell r="AZ853" t="str">
            <v>Yes</v>
          </cell>
          <cell r="BA853" t="str">
            <v>Yes</v>
          </cell>
        </row>
        <row r="854">
          <cell r="B854">
            <v>703</v>
          </cell>
          <cell r="C854" t="str">
            <v>C49SZX20200092SS</v>
          </cell>
          <cell r="D854" t="str">
            <v>新平泰end user:弛瑞</v>
          </cell>
          <cell r="E854" t="str">
            <v>YSM20R(SV)-2</v>
          </cell>
          <cell r="F854" t="str">
            <v>#04213</v>
          </cell>
          <cell r="G854" t="e">
            <v>#REF!</v>
          </cell>
          <cell r="H854" t="e">
            <v>#REF!</v>
          </cell>
          <cell r="I854" t="str">
            <v>L-&gt;R</v>
          </cell>
          <cell r="J854" t="str">
            <v>No</v>
          </cell>
          <cell r="K854">
            <v>1</v>
          </cell>
          <cell r="L854">
            <v>109886</v>
          </cell>
          <cell r="M854" t="str">
            <v>JUL 20</v>
          </cell>
          <cell r="N854">
            <v>44032</v>
          </cell>
          <cell r="O854">
            <v>11116405</v>
          </cell>
          <cell r="P854">
            <v>12663000</v>
          </cell>
          <cell r="Q854">
            <v>44032</v>
          </cell>
          <cell r="R854" t="str">
            <v>No</v>
          </cell>
          <cell r="S854" t="str">
            <v>C49</v>
          </cell>
          <cell r="T854" t="str">
            <v>SOUTH</v>
          </cell>
          <cell r="U854" t="str">
            <v>深圳</v>
          </cell>
          <cell r="V854" t="str">
            <v>SZ 深圳</v>
          </cell>
          <cell r="W854" t="str">
            <v>SS</v>
          </cell>
          <cell r="X854" t="str">
            <v>JPY</v>
          </cell>
          <cell r="Y854">
            <v>12663000</v>
          </cell>
          <cell r="Z854">
            <v>1</v>
          </cell>
          <cell r="AA854">
            <v>12663000</v>
          </cell>
          <cell r="AB854">
            <v>7.3400000000000007E-2</v>
          </cell>
          <cell r="AC854">
            <v>929464.20000000007</v>
          </cell>
          <cell r="AD854">
            <v>111535.704</v>
          </cell>
          <cell r="AE854">
            <v>0.12</v>
          </cell>
          <cell r="AF854">
            <v>44021</v>
          </cell>
          <cell r="AG854" t="str">
            <v>DAP SZ</v>
          </cell>
          <cell r="AK854" t="str">
            <v>agree</v>
          </cell>
          <cell r="AL854">
            <v>916300</v>
          </cell>
          <cell r="AM854">
            <v>44043</v>
          </cell>
          <cell r="AN854" t="str">
            <v>Yes</v>
          </cell>
          <cell r="AO854" t="str">
            <v>agree</v>
          </cell>
          <cell r="AP854">
            <v>11746700</v>
          </cell>
          <cell r="AQ854">
            <v>44043</v>
          </cell>
          <cell r="AR854">
            <v>44028</v>
          </cell>
          <cell r="AS854">
            <v>0</v>
          </cell>
          <cell r="AT854">
            <v>0</v>
          </cell>
          <cell r="AX854" t="str">
            <v>Yes</v>
          </cell>
          <cell r="AZ854" t="str">
            <v>Yes</v>
          </cell>
          <cell r="BA854" t="str">
            <v>Yes</v>
          </cell>
        </row>
        <row r="855">
          <cell r="B855">
            <v>704</v>
          </cell>
          <cell r="C855" t="str">
            <v>C49SZX20200068MZ</v>
          </cell>
          <cell r="D855" t="str">
            <v>天星创展</v>
          </cell>
          <cell r="E855" t="str">
            <v>YSM20R(SV)-2</v>
          </cell>
          <cell r="F855" t="str">
            <v>#72423</v>
          </cell>
          <cell r="G855" t="e">
            <v>#REF!</v>
          </cell>
          <cell r="H855" t="e">
            <v>#REF!</v>
          </cell>
          <cell r="I855" t="str">
            <v>L-&gt;R</v>
          </cell>
          <cell r="J855" t="str">
            <v>No</v>
          </cell>
          <cell r="K855">
            <v>1</v>
          </cell>
          <cell r="L855" t="str">
            <v>109917(拆分PO109963，新建PO110004）</v>
          </cell>
          <cell r="M855" t="str">
            <v>JUL 20</v>
          </cell>
          <cell r="N855">
            <v>44043</v>
          </cell>
          <cell r="O855">
            <v>11116410</v>
          </cell>
          <cell r="P855">
            <v>10500000</v>
          </cell>
          <cell r="Q855">
            <v>44063</v>
          </cell>
          <cell r="R855" t="str">
            <v>No</v>
          </cell>
          <cell r="S855" t="str">
            <v>C49</v>
          </cell>
          <cell r="T855" t="str">
            <v>SOUTH</v>
          </cell>
          <cell r="U855" t="str">
            <v>深圳</v>
          </cell>
          <cell r="V855" t="str">
            <v>SZ 深圳</v>
          </cell>
          <cell r="W855" t="str">
            <v>MZ</v>
          </cell>
          <cell r="X855" t="str">
            <v>JPY</v>
          </cell>
          <cell r="Y855">
            <v>10500000</v>
          </cell>
          <cell r="Z855">
            <v>1</v>
          </cell>
          <cell r="AA855">
            <v>10500000</v>
          </cell>
          <cell r="AB855">
            <v>7.3400000000000007E-2</v>
          </cell>
          <cell r="AC855">
            <v>770700.00000000012</v>
          </cell>
          <cell r="AD855">
            <v>92484.000000000015</v>
          </cell>
          <cell r="AE855">
            <v>0.12</v>
          </cell>
          <cell r="AF855">
            <v>44021</v>
          </cell>
          <cell r="AG855" t="str">
            <v>DAP SZ</v>
          </cell>
          <cell r="AK855">
            <v>0.2</v>
          </cell>
          <cell r="AL855">
            <v>2100000</v>
          </cell>
          <cell r="AM855">
            <v>44043</v>
          </cell>
          <cell r="AN855" t="str">
            <v>Yes</v>
          </cell>
          <cell r="AO855">
            <v>0.8</v>
          </cell>
          <cell r="AP855">
            <v>8400000</v>
          </cell>
          <cell r="AQ855">
            <v>44043</v>
          </cell>
          <cell r="AR855">
            <v>44040</v>
          </cell>
          <cell r="AS855">
            <v>0</v>
          </cell>
          <cell r="AT855">
            <v>0</v>
          </cell>
          <cell r="AX855" t="str">
            <v>Yes</v>
          </cell>
          <cell r="AZ855" t="str">
            <v>Yes</v>
          </cell>
          <cell r="BA855" t="str">
            <v>Yes</v>
          </cell>
        </row>
        <row r="856">
          <cell r="B856">
            <v>705</v>
          </cell>
          <cell r="C856" t="str">
            <v>C49SZX20200093SS</v>
          </cell>
          <cell r="D856" t="str">
            <v>弛瑞</v>
          </cell>
          <cell r="E856" t="str">
            <v>YSM20R(SV)-2</v>
          </cell>
          <cell r="F856" t="str">
            <v>#04213</v>
          </cell>
          <cell r="G856" t="e">
            <v>#REF!</v>
          </cell>
          <cell r="H856" t="e">
            <v>#REF!</v>
          </cell>
          <cell r="I856" t="str">
            <v>L-&gt;R</v>
          </cell>
          <cell r="J856" t="str">
            <v>No</v>
          </cell>
          <cell r="K856">
            <v>1</v>
          </cell>
          <cell r="L856" t="e">
            <v>#N/A</v>
          </cell>
          <cell r="M856" t="e">
            <v>#N/A</v>
          </cell>
          <cell r="N856"/>
          <cell r="O856"/>
          <cell r="P856"/>
          <cell r="Q856"/>
          <cell r="R856" t="str">
            <v>No</v>
          </cell>
          <cell r="S856" t="str">
            <v>C49</v>
          </cell>
          <cell r="T856" t="str">
            <v>SOUTH</v>
          </cell>
          <cell r="U856" t="str">
            <v>深圳</v>
          </cell>
          <cell r="V856" t="str">
            <v>SZ 深圳</v>
          </cell>
          <cell r="W856" t="str">
            <v>SS</v>
          </cell>
          <cell r="X856" t="str">
            <v>JPY</v>
          </cell>
          <cell r="Y856">
            <v>11000000</v>
          </cell>
          <cell r="Z856">
            <v>1</v>
          </cell>
          <cell r="AA856">
            <v>11000000</v>
          </cell>
          <cell r="AB856">
            <v>7.3400000000000007E-2</v>
          </cell>
          <cell r="AC856">
            <v>807400.00000000012</v>
          </cell>
          <cell r="AD856">
            <v>96888.000000000015</v>
          </cell>
          <cell r="AE856">
            <v>0.12</v>
          </cell>
          <cell r="AF856">
            <v>44022</v>
          </cell>
          <cell r="AG856" t="str">
            <v>DAP SZ</v>
          </cell>
          <cell r="AI856"/>
          <cell r="AJ856"/>
          <cell r="AK856">
            <v>0.1</v>
          </cell>
          <cell r="AL856">
            <v>1100000</v>
          </cell>
          <cell r="AM856"/>
          <cell r="AN856" t="str">
            <v>No</v>
          </cell>
          <cell r="AO856">
            <v>0.9</v>
          </cell>
          <cell r="AP856">
            <v>9900000</v>
          </cell>
          <cell r="AQ856"/>
          <cell r="AR856"/>
          <cell r="AS856">
            <v>0</v>
          </cell>
          <cell r="AT856">
            <v>0</v>
          </cell>
          <cell r="AV856"/>
          <cell r="AX856" t="str">
            <v>Cancel</v>
          </cell>
          <cell r="AY856"/>
          <cell r="AZ856"/>
          <cell r="BA856"/>
        </row>
        <row r="857">
          <cell r="B857">
            <v>706</v>
          </cell>
          <cell r="C857" t="str">
            <v>C49SZX20200075EC</v>
          </cell>
          <cell r="D857" t="str">
            <v>海红天远</v>
          </cell>
          <cell r="E857" t="str">
            <v>YSM10</v>
          </cell>
          <cell r="F857" t="str">
            <v>#04726</v>
          </cell>
          <cell r="G857" t="e">
            <v>#REF!</v>
          </cell>
          <cell r="H857" t="e">
            <v>#REF!</v>
          </cell>
          <cell r="I857" t="str">
            <v>R-&gt;L</v>
          </cell>
          <cell r="J857" t="str">
            <v>MVC+ATS15</v>
          </cell>
          <cell r="K857">
            <v>1</v>
          </cell>
          <cell r="L857">
            <v>109957</v>
          </cell>
          <cell r="M857" t="str">
            <v>SEP 20</v>
          </cell>
          <cell r="N857">
            <v>44096</v>
          </cell>
          <cell r="O857">
            <v>11116428</v>
          </cell>
          <cell r="P857">
            <v>10000000</v>
          </cell>
          <cell r="Q857">
            <v>44094</v>
          </cell>
          <cell r="R857" t="str">
            <v>Yes</v>
          </cell>
          <cell r="S857" t="str">
            <v>C49</v>
          </cell>
          <cell r="T857" t="str">
            <v>SOUTH</v>
          </cell>
          <cell r="U857" t="str">
            <v>深圳</v>
          </cell>
          <cell r="V857" t="str">
            <v>SZ 深圳</v>
          </cell>
          <cell r="W857" t="str">
            <v>EC</v>
          </cell>
          <cell r="X857" t="str">
            <v>JPY</v>
          </cell>
          <cell r="Y857">
            <v>10000000</v>
          </cell>
          <cell r="Z857">
            <v>1</v>
          </cell>
          <cell r="AA857">
            <v>10000000</v>
          </cell>
          <cell r="AB857">
            <v>7.3400000000000007E-2</v>
          </cell>
          <cell r="AC857">
            <v>734000.00000000012</v>
          </cell>
          <cell r="AD857">
            <v>88080.000000000015</v>
          </cell>
          <cell r="AE857">
            <v>0.12</v>
          </cell>
          <cell r="AF857">
            <v>44025</v>
          </cell>
          <cell r="AG857" t="str">
            <v>CIF HK</v>
          </cell>
          <cell r="AK857">
            <v>0.2</v>
          </cell>
          <cell r="AL857">
            <v>2000000</v>
          </cell>
          <cell r="AM857">
            <v>44043</v>
          </cell>
          <cell r="AN857" t="str">
            <v>Yes</v>
          </cell>
          <cell r="AO857">
            <v>0.8</v>
          </cell>
          <cell r="AP857">
            <v>8000000</v>
          </cell>
          <cell r="AQ857">
            <v>44094</v>
          </cell>
          <cell r="AR857">
            <v>44091</v>
          </cell>
          <cell r="AS857">
            <v>0</v>
          </cell>
          <cell r="AT857">
            <v>0</v>
          </cell>
          <cell r="AX857" t="str">
            <v>Yes</v>
          </cell>
          <cell r="AZ857" t="str">
            <v>Yes</v>
          </cell>
          <cell r="BA857" t="str">
            <v>Yes</v>
          </cell>
        </row>
        <row r="858">
          <cell r="B858">
            <v>707</v>
          </cell>
          <cell r="C858" t="str">
            <v>C49SZX20200075EC</v>
          </cell>
          <cell r="D858" t="str">
            <v>海红天远</v>
          </cell>
          <cell r="E858" t="str">
            <v>YSM10</v>
          </cell>
          <cell r="F858" t="str">
            <v>#04726</v>
          </cell>
          <cell r="G858" t="e">
            <v>#REF!</v>
          </cell>
          <cell r="H858" t="e">
            <v>#REF!</v>
          </cell>
          <cell r="I858" t="str">
            <v>R-&gt;L</v>
          </cell>
          <cell r="J858" t="str">
            <v>No</v>
          </cell>
          <cell r="K858">
            <v>1</v>
          </cell>
          <cell r="L858">
            <v>109958</v>
          </cell>
          <cell r="M858" t="str">
            <v>SEP 20</v>
          </cell>
          <cell r="N858">
            <v>44096</v>
          </cell>
          <cell r="O858">
            <v>11116428</v>
          </cell>
          <cell r="P858">
            <v>10000000</v>
          </cell>
          <cell r="Q858">
            <v>44094</v>
          </cell>
          <cell r="R858" t="str">
            <v>Yes</v>
          </cell>
          <cell r="S858" t="str">
            <v>C49</v>
          </cell>
          <cell r="T858" t="str">
            <v>SOUTH</v>
          </cell>
          <cell r="U858" t="str">
            <v>深圳</v>
          </cell>
          <cell r="V858" t="str">
            <v>SZ 深圳</v>
          </cell>
          <cell r="W858" t="str">
            <v>EC</v>
          </cell>
          <cell r="X858" t="str">
            <v>JPY</v>
          </cell>
          <cell r="Y858">
            <v>10000000</v>
          </cell>
          <cell r="Z858">
            <v>1</v>
          </cell>
          <cell r="AA858">
            <v>10000000</v>
          </cell>
          <cell r="AB858">
            <v>7.3400000000000007E-2</v>
          </cell>
          <cell r="AC858">
            <v>734000.00000000012</v>
          </cell>
          <cell r="AD858">
            <v>88080.000000000015</v>
          </cell>
          <cell r="AE858">
            <v>0.12</v>
          </cell>
          <cell r="AF858">
            <v>44025</v>
          </cell>
          <cell r="AG858" t="str">
            <v>CIF HK</v>
          </cell>
          <cell r="AK858">
            <v>0.2</v>
          </cell>
          <cell r="AL858">
            <v>2000000</v>
          </cell>
          <cell r="AM858">
            <v>44043</v>
          </cell>
          <cell r="AN858" t="str">
            <v>Yes</v>
          </cell>
          <cell r="AO858">
            <v>0.8</v>
          </cell>
          <cell r="AP858">
            <v>8000000</v>
          </cell>
          <cell r="AQ858">
            <v>44094</v>
          </cell>
          <cell r="AR858">
            <v>44091</v>
          </cell>
          <cell r="AS858">
            <v>0</v>
          </cell>
          <cell r="AT858">
            <v>0</v>
          </cell>
          <cell r="AX858" t="str">
            <v>Yes</v>
          </cell>
          <cell r="AZ858" t="str">
            <v>Yes</v>
          </cell>
          <cell r="BA858" t="str">
            <v>Yes</v>
          </cell>
        </row>
        <row r="859">
          <cell r="B859">
            <v>708</v>
          </cell>
          <cell r="C859" t="str">
            <v>C49SZX20200075EC</v>
          </cell>
          <cell r="D859" t="str">
            <v>海红天远</v>
          </cell>
          <cell r="E859" t="str">
            <v>YSM20R(SV)-2</v>
          </cell>
          <cell r="F859" t="str">
            <v>#04726</v>
          </cell>
          <cell r="G859" t="e">
            <v>#REF!</v>
          </cell>
          <cell r="H859" t="e">
            <v>#REF!</v>
          </cell>
          <cell r="I859" t="str">
            <v>R-&gt;L</v>
          </cell>
          <cell r="J859" t="str">
            <v>No</v>
          </cell>
          <cell r="K859">
            <v>1</v>
          </cell>
          <cell r="L859">
            <v>109954</v>
          </cell>
          <cell r="M859" t="str">
            <v>SEP 20</v>
          </cell>
          <cell r="N859">
            <v>44096</v>
          </cell>
          <cell r="O859">
            <v>11116428</v>
          </cell>
          <cell r="P859">
            <v>14200000</v>
          </cell>
          <cell r="Q859">
            <v>44094</v>
          </cell>
          <cell r="R859" t="str">
            <v>Yes</v>
          </cell>
          <cell r="S859" t="str">
            <v>C49</v>
          </cell>
          <cell r="T859" t="str">
            <v>SOUTH</v>
          </cell>
          <cell r="U859" t="str">
            <v>深圳</v>
          </cell>
          <cell r="V859" t="str">
            <v>SZ 深圳</v>
          </cell>
          <cell r="W859" t="str">
            <v>EC</v>
          </cell>
          <cell r="X859" t="str">
            <v>JPY</v>
          </cell>
          <cell r="Y859">
            <v>14200000</v>
          </cell>
          <cell r="Z859">
            <v>1</v>
          </cell>
          <cell r="AA859">
            <v>14200000</v>
          </cell>
          <cell r="AB859">
            <v>7.3400000000000007E-2</v>
          </cell>
          <cell r="AC859">
            <v>1042280.0000000001</v>
          </cell>
          <cell r="AD859">
            <v>125073.60000000001</v>
          </cell>
          <cell r="AE859">
            <v>0.12</v>
          </cell>
          <cell r="AF859">
            <v>44025</v>
          </cell>
          <cell r="AG859" t="str">
            <v>CIF HK</v>
          </cell>
          <cell r="AK859">
            <v>0.2</v>
          </cell>
          <cell r="AL859">
            <v>2840000</v>
          </cell>
          <cell r="AM859">
            <v>44043</v>
          </cell>
          <cell r="AN859" t="str">
            <v>Yes</v>
          </cell>
          <cell r="AO859">
            <v>0.8</v>
          </cell>
          <cell r="AP859">
            <v>11360000</v>
          </cell>
          <cell r="AQ859">
            <v>44094</v>
          </cell>
          <cell r="AR859">
            <v>44091</v>
          </cell>
          <cell r="AS859">
            <v>0</v>
          </cell>
          <cell r="AT859">
            <v>0</v>
          </cell>
          <cell r="AX859" t="str">
            <v>Yes</v>
          </cell>
          <cell r="AZ859" t="str">
            <v>Yes</v>
          </cell>
          <cell r="BA859" t="str">
            <v>Yes</v>
          </cell>
        </row>
        <row r="860">
          <cell r="B860">
            <v>709</v>
          </cell>
          <cell r="C860" t="str">
            <v>C49SZX20200098ZX</v>
          </cell>
          <cell r="D860" t="str">
            <v>格美通</v>
          </cell>
          <cell r="E860" t="str">
            <v>YSM10</v>
          </cell>
          <cell r="F860" t="str">
            <v>#77804</v>
          </cell>
          <cell r="G860" t="e">
            <v>#REF!</v>
          </cell>
          <cell r="H860" t="e">
            <v>#REF!</v>
          </cell>
          <cell r="I860" t="str">
            <v>L-&gt;R</v>
          </cell>
          <cell r="J860" t="str">
            <v>MVC</v>
          </cell>
          <cell r="K860">
            <v>1</v>
          </cell>
          <cell r="L860">
            <v>109924</v>
          </cell>
          <cell r="M860" t="str">
            <v>JUL 20</v>
          </cell>
          <cell r="N860">
            <v>44043</v>
          </cell>
          <cell r="O860">
            <v>11116411</v>
          </cell>
          <cell r="P860">
            <v>7300000</v>
          </cell>
          <cell r="Q860">
            <v>44063</v>
          </cell>
          <cell r="R860" t="str">
            <v>No</v>
          </cell>
          <cell r="S860" t="str">
            <v>C49</v>
          </cell>
          <cell r="T860" t="str">
            <v>SOUTH</v>
          </cell>
          <cell r="U860" t="str">
            <v>深圳</v>
          </cell>
          <cell r="V860" t="str">
            <v>SZ 深圳</v>
          </cell>
          <cell r="W860" t="str">
            <v>ZX</v>
          </cell>
          <cell r="X860" t="str">
            <v>JPY</v>
          </cell>
          <cell r="Y860">
            <v>7300000</v>
          </cell>
          <cell r="Z860">
            <v>1</v>
          </cell>
          <cell r="AA860">
            <v>7300000</v>
          </cell>
          <cell r="AB860">
            <v>7.3400000000000007E-2</v>
          </cell>
          <cell r="AC860">
            <v>535820</v>
          </cell>
          <cell r="AD860">
            <v>64298.399999999994</v>
          </cell>
          <cell r="AE860">
            <v>0.12</v>
          </cell>
          <cell r="AF860">
            <v>44026</v>
          </cell>
          <cell r="AG860" t="str">
            <v>DAP SZ</v>
          </cell>
          <cell r="AK860" t="str">
            <v>agree</v>
          </cell>
          <cell r="AL860">
            <v>152548</v>
          </cell>
          <cell r="AM860">
            <v>44043</v>
          </cell>
          <cell r="AN860" t="str">
            <v>Yes</v>
          </cell>
          <cell r="AO860" t="str">
            <v>agree</v>
          </cell>
          <cell r="AP860">
            <v>14447452</v>
          </cell>
          <cell r="AQ860">
            <v>44043</v>
          </cell>
          <cell r="AR860">
            <v>44041</v>
          </cell>
          <cell r="AS860">
            <v>0</v>
          </cell>
          <cell r="AT860">
            <v>0</v>
          </cell>
          <cell r="AX860" t="str">
            <v>Yes</v>
          </cell>
          <cell r="AZ860" t="str">
            <v>Yes</v>
          </cell>
          <cell r="BA860" t="str">
            <v>Yes</v>
          </cell>
        </row>
        <row r="861">
          <cell r="B861">
            <v>710</v>
          </cell>
          <cell r="C861" t="str">
            <v>C49SZX20200098ZX</v>
          </cell>
          <cell r="D861" t="str">
            <v>格美通</v>
          </cell>
          <cell r="E861" t="str">
            <v>YSM10</v>
          </cell>
          <cell r="F861" t="str">
            <v>#77804</v>
          </cell>
          <cell r="G861" t="e">
            <v>#REF!</v>
          </cell>
          <cell r="H861" t="e">
            <v>#REF!</v>
          </cell>
          <cell r="I861" t="str">
            <v>L-&gt;R</v>
          </cell>
          <cell r="J861" t="str">
            <v>MVC</v>
          </cell>
          <cell r="K861">
            <v>1</v>
          </cell>
          <cell r="L861" t="str">
            <v>109924(拆分PO109962)</v>
          </cell>
          <cell r="M861" t="str">
            <v>JUL 20</v>
          </cell>
          <cell r="N861">
            <v>44043</v>
          </cell>
          <cell r="O861">
            <v>11116411</v>
          </cell>
          <cell r="P861">
            <v>7300000</v>
          </cell>
          <cell r="Q861">
            <v>44063</v>
          </cell>
          <cell r="R861" t="str">
            <v>No</v>
          </cell>
          <cell r="S861" t="str">
            <v>C49</v>
          </cell>
          <cell r="T861" t="str">
            <v>SOUTH</v>
          </cell>
          <cell r="U861" t="str">
            <v>深圳</v>
          </cell>
          <cell r="V861" t="str">
            <v>SZ 深圳</v>
          </cell>
          <cell r="W861" t="str">
            <v>ZX</v>
          </cell>
          <cell r="X861" t="str">
            <v>JPY</v>
          </cell>
          <cell r="Y861">
            <v>7300000</v>
          </cell>
          <cell r="Z861">
            <v>1</v>
          </cell>
          <cell r="AA861">
            <v>7300000</v>
          </cell>
          <cell r="AB861">
            <v>7.3400000000000007E-2</v>
          </cell>
          <cell r="AC861">
            <v>535820</v>
          </cell>
          <cell r="AD861">
            <v>64298.399999999994</v>
          </cell>
          <cell r="AE861">
            <v>0.12</v>
          </cell>
          <cell r="AF861">
            <v>44026</v>
          </cell>
          <cell r="AG861" t="str">
            <v>DAP SZ</v>
          </cell>
          <cell r="AK861" t="str">
            <v>agree</v>
          </cell>
          <cell r="AL861">
            <v>0</v>
          </cell>
          <cell r="AM861">
            <v>44043</v>
          </cell>
          <cell r="AN861" t="str">
            <v>Yes</v>
          </cell>
          <cell r="AO861" t="str">
            <v>agree</v>
          </cell>
          <cell r="AP861">
            <v>0</v>
          </cell>
          <cell r="AQ861">
            <v>44043</v>
          </cell>
          <cell r="AR861">
            <v>44041</v>
          </cell>
          <cell r="AS861">
            <v>0</v>
          </cell>
          <cell r="AT861">
            <v>0</v>
          </cell>
          <cell r="AX861" t="str">
            <v>Yes</v>
          </cell>
          <cell r="AZ861" t="str">
            <v>Yes</v>
          </cell>
          <cell r="BA861" t="str">
            <v>Yes</v>
          </cell>
        </row>
        <row r="862">
          <cell r="B862">
            <v>711</v>
          </cell>
          <cell r="C862" t="str">
            <v>C49SZX20200089JL-R2</v>
          </cell>
          <cell r="D862" t="str">
            <v>瑞福联</v>
          </cell>
          <cell r="E862" t="str">
            <v>YSM20R(SV)-2</v>
          </cell>
          <cell r="F862" t="str">
            <v>#75724</v>
          </cell>
          <cell r="G862" t="e">
            <v>#REF!</v>
          </cell>
          <cell r="H862" t="e">
            <v>#REF!</v>
          </cell>
          <cell r="I862" t="str">
            <v>L-&gt;R</v>
          </cell>
          <cell r="J862" t="str">
            <v>No</v>
          </cell>
          <cell r="K862">
            <v>1</v>
          </cell>
          <cell r="L862">
            <v>109980</v>
          </cell>
          <cell r="M862" t="str">
            <v>SEP 20</v>
          </cell>
          <cell r="N862">
            <v>44102</v>
          </cell>
          <cell r="O862">
            <v>11116435</v>
          </cell>
          <cell r="P862">
            <v>10800000</v>
          </cell>
          <cell r="Q862">
            <v>44102</v>
          </cell>
          <cell r="R862" t="str">
            <v>No</v>
          </cell>
          <cell r="S862" t="str">
            <v>C49</v>
          </cell>
          <cell r="T862" t="str">
            <v>SOUTH</v>
          </cell>
          <cell r="U862" t="str">
            <v>深圳</v>
          </cell>
          <cell r="V862" t="str">
            <v>SZ 深圳</v>
          </cell>
          <cell r="W862" t="str">
            <v>JL</v>
          </cell>
          <cell r="X862" t="str">
            <v>JPY</v>
          </cell>
          <cell r="Y862">
            <v>10800000</v>
          </cell>
          <cell r="Z862">
            <v>1</v>
          </cell>
          <cell r="AA862">
            <v>10800000</v>
          </cell>
          <cell r="AB862">
            <v>7.3400000000000007E-2</v>
          </cell>
          <cell r="AC862">
            <v>792720.00000000012</v>
          </cell>
          <cell r="AD862">
            <v>95126.400000000009</v>
          </cell>
          <cell r="AE862">
            <v>0.12</v>
          </cell>
          <cell r="AF862">
            <v>44027</v>
          </cell>
          <cell r="AG862" t="str">
            <v>CIF HK</v>
          </cell>
          <cell r="AI862"/>
          <cell r="AJ862"/>
          <cell r="AK862" t="str">
            <v>agree</v>
          </cell>
          <cell r="AL862">
            <v>1523951</v>
          </cell>
          <cell r="AM862">
            <v>44043</v>
          </cell>
          <cell r="AN862" t="str">
            <v>Yes</v>
          </cell>
          <cell r="AO862" t="str">
            <v>agree</v>
          </cell>
          <cell r="AP862">
            <v>69260049</v>
          </cell>
          <cell r="AQ862"/>
          <cell r="AR862"/>
          <cell r="AS862">
            <v>0</v>
          </cell>
          <cell r="AT862">
            <v>0</v>
          </cell>
          <cell r="AV862"/>
          <cell r="AX862" t="str">
            <v>Yes</v>
          </cell>
          <cell r="AY862"/>
          <cell r="AZ862" t="str">
            <v>Yes</v>
          </cell>
          <cell r="BA862" t="str">
            <v>Yes</v>
          </cell>
        </row>
        <row r="863">
          <cell r="B863">
            <v>712</v>
          </cell>
          <cell r="C863" t="str">
            <v>C49SZX20200089JL-R2</v>
          </cell>
          <cell r="D863" t="str">
            <v>瑞福联</v>
          </cell>
          <cell r="E863" t="str">
            <v>YSM20R(SV)-2</v>
          </cell>
          <cell r="F863" t="str">
            <v>#75724</v>
          </cell>
          <cell r="G863" t="e">
            <v>#REF!</v>
          </cell>
          <cell r="H863" t="e">
            <v>#REF!</v>
          </cell>
          <cell r="I863" t="str">
            <v>L-&gt;R</v>
          </cell>
          <cell r="J863" t="str">
            <v>No</v>
          </cell>
          <cell r="K863">
            <v>1</v>
          </cell>
          <cell r="L863">
            <v>109980</v>
          </cell>
          <cell r="M863" t="str">
            <v>SEP 20</v>
          </cell>
          <cell r="N863">
            <v>44102</v>
          </cell>
          <cell r="O863">
            <v>11116435</v>
          </cell>
          <cell r="P863">
            <v>10800000</v>
          </cell>
          <cell r="Q863">
            <v>44102</v>
          </cell>
          <cell r="R863" t="str">
            <v>No</v>
          </cell>
          <cell r="S863" t="str">
            <v>C49</v>
          </cell>
          <cell r="T863" t="str">
            <v>SOUTH</v>
          </cell>
          <cell r="U863" t="str">
            <v>深圳</v>
          </cell>
          <cell r="V863" t="str">
            <v>SZ 深圳</v>
          </cell>
          <cell r="W863" t="str">
            <v>JL</v>
          </cell>
          <cell r="X863" t="str">
            <v>JPY</v>
          </cell>
          <cell r="Y863">
            <v>10800000</v>
          </cell>
          <cell r="Z863">
            <v>1</v>
          </cell>
          <cell r="AA863">
            <v>10800000</v>
          </cell>
          <cell r="AB863">
            <v>7.3400000000000007E-2</v>
          </cell>
          <cell r="AC863">
            <v>792720.00000000012</v>
          </cell>
          <cell r="AD863">
            <v>95126.400000000009</v>
          </cell>
          <cell r="AE863">
            <v>0.12</v>
          </cell>
          <cell r="AF863">
            <v>44027</v>
          </cell>
          <cell r="AG863" t="str">
            <v>CIF HK</v>
          </cell>
          <cell r="AI863"/>
          <cell r="AJ863"/>
          <cell r="AK863" t="str">
            <v>agree</v>
          </cell>
          <cell r="AL863">
            <v>0</v>
          </cell>
          <cell r="AM863">
            <v>44043</v>
          </cell>
          <cell r="AN863" t="str">
            <v>Yes</v>
          </cell>
          <cell r="AO863" t="str">
            <v>agree</v>
          </cell>
          <cell r="AP863">
            <v>0</v>
          </cell>
          <cell r="AQ863"/>
          <cell r="AR863"/>
          <cell r="AS863">
            <v>0</v>
          </cell>
          <cell r="AT863">
            <v>0</v>
          </cell>
          <cell r="AV863"/>
          <cell r="AX863" t="str">
            <v>Yes</v>
          </cell>
          <cell r="AY863"/>
          <cell r="AZ863" t="str">
            <v>Yes</v>
          </cell>
          <cell r="BA863" t="str">
            <v>Yes</v>
          </cell>
        </row>
        <row r="864">
          <cell r="B864">
            <v>713</v>
          </cell>
          <cell r="C864" t="str">
            <v>C49SZX20200089JL-R3</v>
          </cell>
          <cell r="D864" t="str">
            <v>金睿通</v>
          </cell>
          <cell r="E864" t="str">
            <v>YSM20R(SV)-2</v>
          </cell>
          <cell r="F864" t="str">
            <v>#75724</v>
          </cell>
          <cell r="G864" t="e">
            <v>#REF!</v>
          </cell>
          <cell r="H864" t="e">
            <v>#REF!</v>
          </cell>
          <cell r="I864" t="str">
            <v>L-&gt;R</v>
          </cell>
          <cell r="J864" t="str">
            <v>No</v>
          </cell>
          <cell r="K864">
            <v>1</v>
          </cell>
          <cell r="L864">
            <v>109980</v>
          </cell>
          <cell r="M864" t="str">
            <v>SEP 20</v>
          </cell>
          <cell r="N864">
            <v>44103</v>
          </cell>
          <cell r="O864">
            <v>11116437</v>
          </cell>
          <cell r="P864">
            <v>10800000</v>
          </cell>
          <cell r="Q864">
            <v>44075</v>
          </cell>
          <cell r="R864" t="str">
            <v>No</v>
          </cell>
          <cell r="S864" t="str">
            <v>C49</v>
          </cell>
          <cell r="T864" t="str">
            <v>SOUTH</v>
          </cell>
          <cell r="U864" t="str">
            <v>深圳</v>
          </cell>
          <cell r="V864" t="str">
            <v>SZ 深圳</v>
          </cell>
          <cell r="W864" t="str">
            <v>JL</v>
          </cell>
          <cell r="X864" t="str">
            <v>JPY</v>
          </cell>
          <cell r="Y864">
            <v>10800000</v>
          </cell>
          <cell r="Z864">
            <v>1</v>
          </cell>
          <cell r="AA864">
            <v>10800000</v>
          </cell>
          <cell r="AB864">
            <v>7.3400000000000007E-2</v>
          </cell>
          <cell r="AC864">
            <v>792720.00000000012</v>
          </cell>
          <cell r="AD864">
            <v>95126.400000000009</v>
          </cell>
          <cell r="AE864">
            <v>0.12</v>
          </cell>
          <cell r="AF864">
            <v>44027</v>
          </cell>
          <cell r="AG864" t="str">
            <v>CIF HK</v>
          </cell>
          <cell r="AI864"/>
          <cell r="AJ864"/>
          <cell r="AK864" t="str">
            <v>agree</v>
          </cell>
          <cell r="AL864"/>
          <cell r="AM864">
            <v>44043</v>
          </cell>
          <cell r="AN864" t="str">
            <v>Yes</v>
          </cell>
          <cell r="AO864" t="str">
            <v>agree</v>
          </cell>
          <cell r="AP864">
            <v>0</v>
          </cell>
          <cell r="AQ864"/>
          <cell r="AR864"/>
          <cell r="AS864">
            <v>0</v>
          </cell>
          <cell r="AT864">
            <v>0</v>
          </cell>
          <cell r="AV864"/>
          <cell r="AX864" t="str">
            <v>Yes</v>
          </cell>
          <cell r="AY864"/>
          <cell r="AZ864" t="str">
            <v>Yes</v>
          </cell>
          <cell r="BA864" t="str">
            <v>Yes</v>
          </cell>
        </row>
        <row r="865">
          <cell r="B865">
            <v>714</v>
          </cell>
          <cell r="C865" t="str">
            <v>C49SZX20200089JL-R3</v>
          </cell>
          <cell r="D865" t="str">
            <v>金睿通</v>
          </cell>
          <cell r="E865" t="str">
            <v>YSM20R(SV)-2</v>
          </cell>
          <cell r="F865" t="str">
            <v>#75724</v>
          </cell>
          <cell r="G865" t="e">
            <v>#REF!</v>
          </cell>
          <cell r="H865" t="e">
            <v>#REF!</v>
          </cell>
          <cell r="I865" t="str">
            <v>L-&gt;R</v>
          </cell>
          <cell r="J865" t="str">
            <v>No</v>
          </cell>
          <cell r="K865">
            <v>1</v>
          </cell>
          <cell r="L865">
            <v>109980</v>
          </cell>
          <cell r="M865" t="str">
            <v>SEP 20</v>
          </cell>
          <cell r="N865">
            <v>44103</v>
          </cell>
          <cell r="O865">
            <v>11116437</v>
          </cell>
          <cell r="P865">
            <v>10800000</v>
          </cell>
          <cell r="Q865">
            <v>44075</v>
          </cell>
          <cell r="R865" t="str">
            <v>No</v>
          </cell>
          <cell r="S865" t="str">
            <v>C49</v>
          </cell>
          <cell r="T865" t="str">
            <v>SOUTH</v>
          </cell>
          <cell r="U865" t="str">
            <v>深圳</v>
          </cell>
          <cell r="V865" t="str">
            <v>SZ 深圳</v>
          </cell>
          <cell r="W865" t="str">
            <v>JL</v>
          </cell>
          <cell r="X865" t="str">
            <v>JPY</v>
          </cell>
          <cell r="Y865">
            <v>10800000</v>
          </cell>
          <cell r="Z865">
            <v>1</v>
          </cell>
          <cell r="AA865">
            <v>10800000</v>
          </cell>
          <cell r="AB865">
            <v>7.3400000000000007E-2</v>
          </cell>
          <cell r="AC865">
            <v>792720.00000000012</v>
          </cell>
          <cell r="AD865">
            <v>95126.400000000009</v>
          </cell>
          <cell r="AE865">
            <v>0.12</v>
          </cell>
          <cell r="AF865">
            <v>44027</v>
          </cell>
          <cell r="AG865" t="str">
            <v>CIF HK</v>
          </cell>
          <cell r="AI865"/>
          <cell r="AJ865"/>
          <cell r="AK865" t="str">
            <v>agree</v>
          </cell>
          <cell r="AL865"/>
          <cell r="AM865">
            <v>44043</v>
          </cell>
          <cell r="AN865" t="str">
            <v>Yes</v>
          </cell>
          <cell r="AO865" t="str">
            <v>agree</v>
          </cell>
          <cell r="AP865">
            <v>0</v>
          </cell>
          <cell r="AQ865"/>
          <cell r="AR865"/>
          <cell r="AS865">
            <v>0</v>
          </cell>
          <cell r="AT865">
            <v>0</v>
          </cell>
          <cell r="AV865"/>
          <cell r="AX865" t="str">
            <v>Yes</v>
          </cell>
          <cell r="AY865"/>
          <cell r="AZ865" t="str">
            <v>Yes</v>
          </cell>
          <cell r="BA865" t="str">
            <v>Yes</v>
          </cell>
        </row>
        <row r="866">
          <cell r="B866">
            <v>715</v>
          </cell>
          <cell r="C866" t="str">
            <v>C49SZX20200089JL-R2</v>
          </cell>
          <cell r="D866" t="str">
            <v>瑞福联</v>
          </cell>
          <cell r="E866" t="str">
            <v>YSM10</v>
          </cell>
          <cell r="F866" t="str">
            <v>#75724</v>
          </cell>
          <cell r="G866" t="e">
            <v>#REF!</v>
          </cell>
          <cell r="H866" t="e">
            <v>#REF!</v>
          </cell>
          <cell r="I866" t="str">
            <v>L-&gt;R</v>
          </cell>
          <cell r="J866" t="str">
            <v>MVC</v>
          </cell>
          <cell r="K866">
            <v>1</v>
          </cell>
          <cell r="L866">
            <v>109976</v>
          </cell>
          <cell r="M866" t="str">
            <v>SEP 20</v>
          </cell>
          <cell r="N866">
            <v>44102</v>
          </cell>
          <cell r="O866">
            <v>11116435</v>
          </cell>
          <cell r="P866">
            <v>6896000</v>
          </cell>
          <cell r="Q866">
            <v>44102</v>
          </cell>
          <cell r="R866" t="str">
            <v>No</v>
          </cell>
          <cell r="S866" t="str">
            <v>C49</v>
          </cell>
          <cell r="T866" t="str">
            <v>SOUTH</v>
          </cell>
          <cell r="U866" t="str">
            <v>深圳</v>
          </cell>
          <cell r="V866" t="str">
            <v>SZ 深圳</v>
          </cell>
          <cell r="W866" t="str">
            <v>JL</v>
          </cell>
          <cell r="X866" t="str">
            <v>JPY</v>
          </cell>
          <cell r="Y866">
            <v>6896000</v>
          </cell>
          <cell r="Z866">
            <v>1</v>
          </cell>
          <cell r="AA866">
            <v>6896000</v>
          </cell>
          <cell r="AB866">
            <v>7.3400000000000007E-2</v>
          </cell>
          <cell r="AC866">
            <v>506166.4</v>
          </cell>
          <cell r="AD866">
            <v>60739.968000000001</v>
          </cell>
          <cell r="AE866">
            <v>0.12</v>
          </cell>
          <cell r="AF866">
            <v>44027</v>
          </cell>
          <cell r="AG866" t="str">
            <v>CIF HK</v>
          </cell>
          <cell r="AI866"/>
          <cell r="AJ866"/>
          <cell r="AK866" t="str">
            <v>agree</v>
          </cell>
          <cell r="AL866"/>
          <cell r="AM866">
            <v>44043</v>
          </cell>
          <cell r="AN866" t="str">
            <v>Yes</v>
          </cell>
          <cell r="AO866" t="str">
            <v>agree</v>
          </cell>
          <cell r="AP866">
            <v>0</v>
          </cell>
          <cell r="AQ866"/>
          <cell r="AR866"/>
          <cell r="AS866">
            <v>0</v>
          </cell>
          <cell r="AT866">
            <v>0</v>
          </cell>
          <cell r="AV866"/>
          <cell r="AX866" t="str">
            <v>Yes</v>
          </cell>
          <cell r="AY866"/>
          <cell r="AZ866" t="str">
            <v>Yes</v>
          </cell>
          <cell r="BA866" t="str">
            <v>Yes</v>
          </cell>
        </row>
        <row r="867">
          <cell r="B867">
            <v>716</v>
          </cell>
          <cell r="C867" t="str">
            <v>C49SZX20200089JL-R2</v>
          </cell>
          <cell r="D867" t="str">
            <v>瑞福联</v>
          </cell>
          <cell r="E867" t="str">
            <v>YSM10</v>
          </cell>
          <cell r="F867" t="str">
            <v>#75724</v>
          </cell>
          <cell r="G867" t="e">
            <v>#REF!</v>
          </cell>
          <cell r="H867" t="e">
            <v>#REF!</v>
          </cell>
          <cell r="I867" t="str">
            <v>L-&gt;R</v>
          </cell>
          <cell r="J867" t="str">
            <v>MVC</v>
          </cell>
          <cell r="K867">
            <v>1</v>
          </cell>
          <cell r="L867">
            <v>109976</v>
          </cell>
          <cell r="M867" t="str">
            <v>SEP 20</v>
          </cell>
          <cell r="N867">
            <v>44102</v>
          </cell>
          <cell r="O867">
            <v>11116435</v>
          </cell>
          <cell r="P867">
            <v>6896000</v>
          </cell>
          <cell r="Q867">
            <v>44102</v>
          </cell>
          <cell r="R867" t="str">
            <v>No</v>
          </cell>
          <cell r="S867" t="str">
            <v>C49</v>
          </cell>
          <cell r="T867" t="str">
            <v>SOUTH</v>
          </cell>
          <cell r="U867" t="str">
            <v>深圳</v>
          </cell>
          <cell r="V867" t="str">
            <v>SZ 深圳</v>
          </cell>
          <cell r="W867" t="str">
            <v>JL</v>
          </cell>
          <cell r="X867" t="str">
            <v>JPY</v>
          </cell>
          <cell r="Y867">
            <v>6896000</v>
          </cell>
          <cell r="Z867">
            <v>1</v>
          </cell>
          <cell r="AA867">
            <v>6896000</v>
          </cell>
          <cell r="AB867">
            <v>7.3400000000000007E-2</v>
          </cell>
          <cell r="AC867">
            <v>506166.4</v>
          </cell>
          <cell r="AD867">
            <v>60739.968000000001</v>
          </cell>
          <cell r="AE867">
            <v>0.12</v>
          </cell>
          <cell r="AF867">
            <v>44027</v>
          </cell>
          <cell r="AG867" t="str">
            <v>CIF HK</v>
          </cell>
          <cell r="AI867"/>
          <cell r="AJ867"/>
          <cell r="AK867" t="str">
            <v>agree</v>
          </cell>
          <cell r="AL867"/>
          <cell r="AM867">
            <v>44043</v>
          </cell>
          <cell r="AN867" t="str">
            <v>Yes</v>
          </cell>
          <cell r="AO867" t="str">
            <v>agree</v>
          </cell>
          <cell r="AP867">
            <v>0</v>
          </cell>
          <cell r="AQ867"/>
          <cell r="AR867"/>
          <cell r="AS867">
            <v>0</v>
          </cell>
          <cell r="AT867">
            <v>0</v>
          </cell>
          <cell r="AV867"/>
          <cell r="AX867" t="str">
            <v>Yes</v>
          </cell>
          <cell r="AY867"/>
          <cell r="AZ867" t="str">
            <v>Yes</v>
          </cell>
          <cell r="BA867" t="str">
            <v>Yes</v>
          </cell>
        </row>
        <row r="868">
          <cell r="B868">
            <v>717</v>
          </cell>
          <cell r="C868" t="str">
            <v>C49SZX20200089JL-R3</v>
          </cell>
          <cell r="D868" t="str">
            <v>金睿通</v>
          </cell>
          <cell r="E868" t="str">
            <v>YSM10</v>
          </cell>
          <cell r="F868" t="str">
            <v>#75724</v>
          </cell>
          <cell r="G868" t="e">
            <v>#REF!</v>
          </cell>
          <cell r="H868" t="e">
            <v>#REF!</v>
          </cell>
          <cell r="I868" t="str">
            <v>L-&gt;R</v>
          </cell>
          <cell r="J868" t="str">
            <v>MVC</v>
          </cell>
          <cell r="K868">
            <v>1</v>
          </cell>
          <cell r="L868">
            <v>109976</v>
          </cell>
          <cell r="M868" t="str">
            <v>SEP 20</v>
          </cell>
          <cell r="N868">
            <v>44103</v>
          </cell>
          <cell r="O868">
            <v>11116437</v>
          </cell>
          <cell r="P868">
            <v>6896000</v>
          </cell>
          <cell r="Q868">
            <v>44075</v>
          </cell>
          <cell r="R868" t="str">
            <v>No</v>
          </cell>
          <cell r="S868" t="str">
            <v>C49</v>
          </cell>
          <cell r="T868" t="str">
            <v>SOUTH</v>
          </cell>
          <cell r="U868" t="str">
            <v>深圳</v>
          </cell>
          <cell r="V868" t="str">
            <v>SZ 深圳</v>
          </cell>
          <cell r="W868" t="str">
            <v>JL</v>
          </cell>
          <cell r="X868" t="str">
            <v>JPY</v>
          </cell>
          <cell r="Y868">
            <v>6896000</v>
          </cell>
          <cell r="Z868">
            <v>1</v>
          </cell>
          <cell r="AA868">
            <v>6896000</v>
          </cell>
          <cell r="AB868">
            <v>7.3400000000000007E-2</v>
          </cell>
          <cell r="AC868">
            <v>506166.4</v>
          </cell>
          <cell r="AD868">
            <v>60739.968000000001</v>
          </cell>
          <cell r="AE868">
            <v>0.12</v>
          </cell>
          <cell r="AF868">
            <v>44027</v>
          </cell>
          <cell r="AG868" t="str">
            <v>CIF HK</v>
          </cell>
          <cell r="AI868"/>
          <cell r="AJ868"/>
          <cell r="AK868" t="str">
            <v>agree</v>
          </cell>
          <cell r="AL868">
            <v>0</v>
          </cell>
          <cell r="AM868">
            <v>44043</v>
          </cell>
          <cell r="AN868" t="str">
            <v>Yes</v>
          </cell>
          <cell r="AO868" t="str">
            <v>agree</v>
          </cell>
          <cell r="AP868">
            <v>0</v>
          </cell>
          <cell r="AQ868"/>
          <cell r="AR868"/>
          <cell r="AS868">
            <v>0</v>
          </cell>
          <cell r="AT868">
            <v>0</v>
          </cell>
          <cell r="AV868"/>
          <cell r="AX868" t="str">
            <v>Yes</v>
          </cell>
          <cell r="AY868"/>
          <cell r="AZ868" t="str">
            <v>Yes</v>
          </cell>
          <cell r="BA868" t="str">
            <v>Yes</v>
          </cell>
        </row>
        <row r="869">
          <cell r="B869">
            <v>718</v>
          </cell>
          <cell r="C869" t="str">
            <v>C49SZX20200089JL-R3</v>
          </cell>
          <cell r="D869" t="str">
            <v>金睿通</v>
          </cell>
          <cell r="E869" t="str">
            <v>YSM10</v>
          </cell>
          <cell r="F869" t="str">
            <v>#75724</v>
          </cell>
          <cell r="G869" t="e">
            <v>#REF!</v>
          </cell>
          <cell r="H869" t="e">
            <v>#REF!</v>
          </cell>
          <cell r="I869" t="str">
            <v>L-&gt;R</v>
          </cell>
          <cell r="J869" t="str">
            <v>MVC</v>
          </cell>
          <cell r="K869">
            <v>1</v>
          </cell>
          <cell r="L869">
            <v>109976</v>
          </cell>
          <cell r="M869" t="str">
            <v>SEP 20</v>
          </cell>
          <cell r="N869">
            <v>44103</v>
          </cell>
          <cell r="O869">
            <v>11116437</v>
          </cell>
          <cell r="P869">
            <v>6896000</v>
          </cell>
          <cell r="Q869">
            <v>44075</v>
          </cell>
          <cell r="R869" t="str">
            <v>No</v>
          </cell>
          <cell r="S869" t="str">
            <v>C49</v>
          </cell>
          <cell r="T869" t="str">
            <v>SOUTH</v>
          </cell>
          <cell r="U869" t="str">
            <v>深圳</v>
          </cell>
          <cell r="V869" t="str">
            <v>SZ 深圳</v>
          </cell>
          <cell r="W869" t="str">
            <v>JL</v>
          </cell>
          <cell r="X869" t="str">
            <v>JPY</v>
          </cell>
          <cell r="Y869">
            <v>6896000</v>
          </cell>
          <cell r="Z869">
            <v>1</v>
          </cell>
          <cell r="AA869">
            <v>6896000</v>
          </cell>
          <cell r="AB869">
            <v>7.3400000000000007E-2</v>
          </cell>
          <cell r="AC869">
            <v>506166.4</v>
          </cell>
          <cell r="AD869">
            <v>60739.968000000001</v>
          </cell>
          <cell r="AE869">
            <v>0.12</v>
          </cell>
          <cell r="AF869">
            <v>44027</v>
          </cell>
          <cell r="AG869" t="str">
            <v>CIF HK</v>
          </cell>
          <cell r="AI869"/>
          <cell r="AJ869"/>
          <cell r="AK869" t="str">
            <v>agree</v>
          </cell>
          <cell r="AL869">
            <v>0</v>
          </cell>
          <cell r="AM869">
            <v>44043</v>
          </cell>
          <cell r="AN869" t="str">
            <v>Yes</v>
          </cell>
          <cell r="AO869" t="str">
            <v>agree</v>
          </cell>
          <cell r="AP869">
            <v>0</v>
          </cell>
          <cell r="AQ869"/>
          <cell r="AR869"/>
          <cell r="AS869">
            <v>0</v>
          </cell>
          <cell r="AT869">
            <v>0</v>
          </cell>
          <cell r="AV869"/>
          <cell r="AX869" t="str">
            <v>Yes</v>
          </cell>
          <cell r="AY869"/>
          <cell r="AZ869" t="str">
            <v>Yes</v>
          </cell>
          <cell r="BA869" t="str">
            <v>Yes</v>
          </cell>
        </row>
        <row r="870">
          <cell r="B870">
            <v>719</v>
          </cell>
          <cell r="C870" t="str">
            <v>C49SZX20200103SS</v>
          </cell>
          <cell r="D870" t="str">
            <v>钧溢电子</v>
          </cell>
          <cell r="E870" t="str">
            <v>YSM10</v>
          </cell>
          <cell r="F870" t="str">
            <v>#04111</v>
          </cell>
          <cell r="G870" t="e">
            <v>#REF!</v>
          </cell>
          <cell r="H870" t="e">
            <v>#REF!</v>
          </cell>
          <cell r="I870" t="str">
            <v>L-&gt;R</v>
          </cell>
          <cell r="J870" t="str">
            <v>MVC</v>
          </cell>
          <cell r="K870">
            <v>1</v>
          </cell>
          <cell r="L870">
            <v>109958</v>
          </cell>
          <cell r="M870" t="str">
            <v>SEP 20</v>
          </cell>
          <cell r="N870">
            <v>44076</v>
          </cell>
          <cell r="O870">
            <v>11116424</v>
          </cell>
          <cell r="P870">
            <v>7942000</v>
          </cell>
          <cell r="Q870">
            <v>44094</v>
          </cell>
          <cell r="R870" t="str">
            <v>No</v>
          </cell>
          <cell r="S870" t="str">
            <v>C49</v>
          </cell>
          <cell r="T870" t="str">
            <v>SOUTH</v>
          </cell>
          <cell r="U870" t="str">
            <v>深圳</v>
          </cell>
          <cell r="V870" t="str">
            <v>SZ 深圳</v>
          </cell>
          <cell r="W870" t="str">
            <v>SS</v>
          </cell>
          <cell r="X870" t="str">
            <v>JPY</v>
          </cell>
          <cell r="Y870">
            <v>7942000</v>
          </cell>
          <cell r="Z870">
            <v>1</v>
          </cell>
          <cell r="AA870">
            <v>7942000</v>
          </cell>
          <cell r="AB870">
            <v>7.3400000000000007E-2</v>
          </cell>
          <cell r="AC870">
            <v>582942.80000000005</v>
          </cell>
          <cell r="AD870">
            <v>69953.135999999999</v>
          </cell>
          <cell r="AE870">
            <v>0.12</v>
          </cell>
          <cell r="AF870">
            <v>44027</v>
          </cell>
          <cell r="AG870" t="str">
            <v>DAP SZ</v>
          </cell>
          <cell r="AI870"/>
          <cell r="AJ870"/>
          <cell r="AK870">
            <v>0.1</v>
          </cell>
          <cell r="AL870">
            <v>794200</v>
          </cell>
          <cell r="AM870">
            <v>44044</v>
          </cell>
          <cell r="AN870" t="str">
            <v>Yes</v>
          </cell>
          <cell r="AO870">
            <v>0.9</v>
          </cell>
          <cell r="AP870">
            <v>7147800</v>
          </cell>
          <cell r="AQ870">
            <v>44094</v>
          </cell>
          <cell r="AR870">
            <v>44075</v>
          </cell>
          <cell r="AS870">
            <v>0</v>
          </cell>
          <cell r="AT870">
            <v>0</v>
          </cell>
          <cell r="AV870"/>
          <cell r="AX870" t="str">
            <v>Yes</v>
          </cell>
          <cell r="AY870"/>
          <cell r="AZ870" t="str">
            <v>Yes</v>
          </cell>
          <cell r="BA870" t="str">
            <v>Yes</v>
          </cell>
        </row>
        <row r="871">
          <cell r="B871">
            <v>720</v>
          </cell>
          <cell r="C871" t="str">
            <v>C49SZX20200105SS</v>
          </cell>
          <cell r="D871" t="str">
            <v>钧溢电子</v>
          </cell>
          <cell r="E871" t="str">
            <v>YSM10</v>
          </cell>
          <cell r="F871" t="str">
            <v>#04111</v>
          </cell>
          <cell r="G871" t="e">
            <v>#REF!</v>
          </cell>
          <cell r="H871" t="e">
            <v>#REF!</v>
          </cell>
          <cell r="I871" t="str">
            <v>L-&gt;R</v>
          </cell>
          <cell r="J871" t="str">
            <v>No</v>
          </cell>
          <cell r="K871">
            <v>1</v>
          </cell>
          <cell r="L871" t="e">
            <v>#REF!</v>
          </cell>
          <cell r="M871" t="e">
            <v>#REF!</v>
          </cell>
          <cell r="N871"/>
          <cell r="O871"/>
          <cell r="P871"/>
          <cell r="Q871"/>
          <cell r="R871" t="str">
            <v>No</v>
          </cell>
          <cell r="S871" t="str">
            <v>C49</v>
          </cell>
          <cell r="T871" t="str">
            <v>SOUTH</v>
          </cell>
          <cell r="U871" t="str">
            <v>深圳</v>
          </cell>
          <cell r="V871" t="str">
            <v>SZ 深圳</v>
          </cell>
          <cell r="W871" t="str">
            <v>SS</v>
          </cell>
          <cell r="X871" t="str">
            <v>JPY</v>
          </cell>
          <cell r="Y871">
            <v>8758000</v>
          </cell>
          <cell r="Z871">
            <v>1</v>
          </cell>
          <cell r="AA871">
            <v>8758000</v>
          </cell>
          <cell r="AB871">
            <v>7.3400000000000007E-2</v>
          </cell>
          <cell r="AC871">
            <v>642837.20000000007</v>
          </cell>
          <cell r="AD871">
            <v>77140.464000000007</v>
          </cell>
          <cell r="AE871">
            <v>0.12</v>
          </cell>
          <cell r="AF871">
            <v>44027</v>
          </cell>
          <cell r="AG871" t="str">
            <v>DAP SZ</v>
          </cell>
          <cell r="AI871"/>
          <cell r="AJ871"/>
          <cell r="AK871">
            <v>0.1</v>
          </cell>
          <cell r="AL871">
            <v>875800</v>
          </cell>
          <cell r="AM871">
            <v>44045</v>
          </cell>
          <cell r="AN871" t="str">
            <v>Yes</v>
          </cell>
          <cell r="AO871">
            <v>0.9</v>
          </cell>
          <cell r="AP871">
            <v>7882200</v>
          </cell>
          <cell r="AQ871"/>
          <cell r="AR871"/>
          <cell r="AS871">
            <v>0</v>
          </cell>
          <cell r="AT871">
            <v>0</v>
          </cell>
          <cell r="AV871"/>
          <cell r="AX871" t="str">
            <v>Cancel</v>
          </cell>
          <cell r="AY871"/>
          <cell r="AZ871"/>
          <cell r="BA871" t="str">
            <v>Cancel</v>
          </cell>
        </row>
        <row r="872">
          <cell r="B872">
            <v>721</v>
          </cell>
          <cell r="C872" t="str">
            <v>C49SZX20200101MZ</v>
          </cell>
          <cell r="D872" t="str">
            <v>崧盛</v>
          </cell>
          <cell r="E872" t="str">
            <v>YSM20R(SV)-2</v>
          </cell>
          <cell r="F872" t="str">
            <v>#03807</v>
          </cell>
          <cell r="G872" t="e">
            <v>#REF!</v>
          </cell>
          <cell r="H872" t="e">
            <v>#REF!</v>
          </cell>
          <cell r="I872" t="str">
            <v>L-&gt;R</v>
          </cell>
          <cell r="J872" t="str">
            <v>No</v>
          </cell>
          <cell r="K872">
            <v>1</v>
          </cell>
          <cell r="L872">
            <v>109886</v>
          </cell>
          <cell r="M872" t="str">
            <v>JUL 20</v>
          </cell>
          <cell r="N872">
            <v>44035</v>
          </cell>
          <cell r="O872">
            <v>11116413</v>
          </cell>
          <cell r="P872">
            <v>17000000</v>
          </cell>
          <cell r="Q872">
            <v>44032</v>
          </cell>
          <cell r="R872" t="str">
            <v>No</v>
          </cell>
          <cell r="S872" t="str">
            <v>C49</v>
          </cell>
          <cell r="T872" t="str">
            <v>SOUTH</v>
          </cell>
          <cell r="U872" t="str">
            <v>深圳</v>
          </cell>
          <cell r="V872" t="str">
            <v>SZ 深圳</v>
          </cell>
          <cell r="W872" t="str">
            <v>MZ</v>
          </cell>
          <cell r="X872" t="str">
            <v>JPY</v>
          </cell>
          <cell r="Y872">
            <v>21400000</v>
          </cell>
          <cell r="Z872">
            <v>1</v>
          </cell>
          <cell r="AA872">
            <v>21400000</v>
          </cell>
          <cell r="AB872">
            <v>7.3400000000000007E-2</v>
          </cell>
          <cell r="AC872">
            <v>1570760.0000000002</v>
          </cell>
          <cell r="AD872">
            <v>188491.2</v>
          </cell>
          <cell r="AE872">
            <v>0.12</v>
          </cell>
          <cell r="AF872">
            <v>44028</v>
          </cell>
          <cell r="AG872" t="str">
            <v>CIF HK</v>
          </cell>
          <cell r="AK872">
            <v>1</v>
          </cell>
          <cell r="AL872">
            <v>21400000</v>
          </cell>
          <cell r="AM872">
            <v>44043</v>
          </cell>
          <cell r="AN872" t="str">
            <v>Yes</v>
          </cell>
          <cell r="AO872">
            <v>0</v>
          </cell>
          <cell r="AP872">
            <v>0</v>
          </cell>
          <cell r="AS872">
            <v>0</v>
          </cell>
          <cell r="AT872">
            <v>0</v>
          </cell>
          <cell r="AX872" t="str">
            <v>Yes</v>
          </cell>
          <cell r="AZ872" t="str">
            <v>Yes</v>
          </cell>
          <cell r="BA872" t="str">
            <v>Yes</v>
          </cell>
        </row>
        <row r="873">
          <cell r="B873">
            <v>722</v>
          </cell>
          <cell r="C873" t="str">
            <v>C49SZX20200102MZ</v>
          </cell>
          <cell r="D873" t="str">
            <v>崧盛</v>
          </cell>
          <cell r="E873" t="str">
            <v>YSM20R(SV)-2</v>
          </cell>
          <cell r="F873" t="str">
            <v>#03807</v>
          </cell>
          <cell r="G873" t="e">
            <v>#REF!</v>
          </cell>
          <cell r="H873" t="e">
            <v>#REF!</v>
          </cell>
          <cell r="I873" t="str">
            <v>L-&gt;R</v>
          </cell>
          <cell r="J873" t="str">
            <v>No</v>
          </cell>
          <cell r="K873">
            <v>1</v>
          </cell>
          <cell r="L873" t="str">
            <v>109954(拆分PO110000)</v>
          </cell>
          <cell r="M873" t="str">
            <v>SEP 20</v>
          </cell>
          <cell r="N873">
            <v>44096</v>
          </cell>
          <cell r="O873">
            <v>11116427</v>
          </cell>
          <cell r="P873">
            <v>13000000</v>
          </cell>
          <cell r="Q873">
            <v>44094</v>
          </cell>
          <cell r="R873" t="str">
            <v>No</v>
          </cell>
          <cell r="S873" t="str">
            <v>C49</v>
          </cell>
          <cell r="T873" t="str">
            <v>SOUTH</v>
          </cell>
          <cell r="U873" t="str">
            <v>深圳</v>
          </cell>
          <cell r="V873" t="str">
            <v>SZ 深圳</v>
          </cell>
          <cell r="W873" t="str">
            <v>MZ</v>
          </cell>
          <cell r="X873" t="str">
            <v>JPY</v>
          </cell>
          <cell r="Y873">
            <v>12000000</v>
          </cell>
          <cell r="Z873">
            <v>1</v>
          </cell>
          <cell r="AA873">
            <v>12000000</v>
          </cell>
          <cell r="AB873">
            <v>7.3400000000000007E-2</v>
          </cell>
          <cell r="AC873">
            <v>880800.00000000012</v>
          </cell>
          <cell r="AD873">
            <v>105696.00000000001</v>
          </cell>
          <cell r="AE873">
            <v>0.12</v>
          </cell>
          <cell r="AF873">
            <v>44028</v>
          </cell>
          <cell r="AG873" t="str">
            <v>CIF HK</v>
          </cell>
          <cell r="AK873">
            <v>0.2</v>
          </cell>
          <cell r="AL873">
            <v>2400000</v>
          </cell>
          <cell r="AM873">
            <v>44043</v>
          </cell>
          <cell r="AN873" t="str">
            <v>Yes</v>
          </cell>
          <cell r="AO873">
            <v>0.8</v>
          </cell>
          <cell r="AP873">
            <v>9600000</v>
          </cell>
          <cell r="AQ873">
            <v>44094</v>
          </cell>
          <cell r="AR873">
            <v>44092</v>
          </cell>
          <cell r="AS873">
            <v>0</v>
          </cell>
          <cell r="AT873">
            <v>0</v>
          </cell>
          <cell r="AX873" t="str">
            <v>Yes</v>
          </cell>
          <cell r="AZ873" t="str">
            <v>Yes</v>
          </cell>
          <cell r="BA873" t="str">
            <v>Yes</v>
          </cell>
        </row>
        <row r="874">
          <cell r="B874">
            <v>723</v>
          </cell>
          <cell r="C874" t="str">
            <v>C49SZX20200102MZ</v>
          </cell>
          <cell r="D874" t="str">
            <v>崧盛</v>
          </cell>
          <cell r="E874" t="str">
            <v>YSM20R(SV)-2</v>
          </cell>
          <cell r="F874" t="str">
            <v>#03807</v>
          </cell>
          <cell r="G874" t="e">
            <v>#REF!</v>
          </cell>
          <cell r="H874" t="e">
            <v>#REF!</v>
          </cell>
          <cell r="I874" t="str">
            <v>L-&gt;R</v>
          </cell>
          <cell r="J874" t="str">
            <v>No</v>
          </cell>
          <cell r="K874">
            <v>1</v>
          </cell>
          <cell r="L874">
            <v>109954</v>
          </cell>
          <cell r="M874" t="str">
            <v>SEP 20</v>
          </cell>
          <cell r="N874">
            <v>44096</v>
          </cell>
          <cell r="O874">
            <v>11116427</v>
          </cell>
          <cell r="P874">
            <v>13000000</v>
          </cell>
          <cell r="Q874">
            <v>44094</v>
          </cell>
          <cell r="R874" t="str">
            <v>No</v>
          </cell>
          <cell r="S874" t="str">
            <v>C49</v>
          </cell>
          <cell r="T874" t="str">
            <v>SOUTH</v>
          </cell>
          <cell r="U874" t="str">
            <v>深圳</v>
          </cell>
          <cell r="V874" t="str">
            <v>SZ 深圳</v>
          </cell>
          <cell r="W874" t="str">
            <v>MZ</v>
          </cell>
          <cell r="X874" t="str">
            <v>JPY</v>
          </cell>
          <cell r="Y874">
            <v>12000000</v>
          </cell>
          <cell r="Z874">
            <v>1</v>
          </cell>
          <cell r="AA874">
            <v>12000000</v>
          </cell>
          <cell r="AB874">
            <v>7.3400000000000007E-2</v>
          </cell>
          <cell r="AC874">
            <v>880800.00000000012</v>
          </cell>
          <cell r="AD874">
            <v>105696.00000000001</v>
          </cell>
          <cell r="AE874">
            <v>0.12</v>
          </cell>
          <cell r="AF874">
            <v>44028</v>
          </cell>
          <cell r="AG874" t="str">
            <v>CIF HK</v>
          </cell>
          <cell r="AK874">
            <v>0.2</v>
          </cell>
          <cell r="AL874">
            <v>2400000</v>
          </cell>
          <cell r="AM874">
            <v>44043</v>
          </cell>
          <cell r="AN874" t="str">
            <v>Yes</v>
          </cell>
          <cell r="AO874">
            <v>0.8</v>
          </cell>
          <cell r="AP874">
            <v>9600000</v>
          </cell>
          <cell r="AQ874">
            <v>44095</v>
          </cell>
          <cell r="AR874">
            <v>44092</v>
          </cell>
          <cell r="AS874">
            <v>0</v>
          </cell>
          <cell r="AT874">
            <v>0</v>
          </cell>
          <cell r="AX874" t="str">
            <v>Yes</v>
          </cell>
          <cell r="AZ874" t="str">
            <v>Yes</v>
          </cell>
          <cell r="BA874" t="str">
            <v>Yes</v>
          </cell>
        </row>
        <row r="875">
          <cell r="B875">
            <v>724</v>
          </cell>
          <cell r="C875" t="str">
            <v>C49SZX20200102MZ</v>
          </cell>
          <cell r="D875" t="str">
            <v>崧盛</v>
          </cell>
          <cell r="E875" t="str">
            <v>YSM10</v>
          </cell>
          <cell r="F875" t="str">
            <v>#03807</v>
          </cell>
          <cell r="G875" t="e">
            <v>#REF!</v>
          </cell>
          <cell r="H875" t="e">
            <v>#REF!</v>
          </cell>
          <cell r="I875" t="str">
            <v>L-&gt;R</v>
          </cell>
          <cell r="J875" t="str">
            <v>No</v>
          </cell>
          <cell r="K875">
            <v>1</v>
          </cell>
          <cell r="L875">
            <v>109958</v>
          </cell>
          <cell r="M875" t="str">
            <v>SEP 20</v>
          </cell>
          <cell r="N875">
            <v>44096</v>
          </cell>
          <cell r="O875">
            <v>11116427</v>
          </cell>
          <cell r="P875">
            <v>9240000</v>
          </cell>
          <cell r="Q875">
            <v>44094</v>
          </cell>
          <cell r="R875" t="str">
            <v>No</v>
          </cell>
          <cell r="S875" t="str">
            <v>C49</v>
          </cell>
          <cell r="T875" t="str">
            <v>SOUTH</v>
          </cell>
          <cell r="U875" t="str">
            <v>深圳</v>
          </cell>
          <cell r="V875" t="str">
            <v>SZ 深圳</v>
          </cell>
          <cell r="W875" t="str">
            <v>MZ</v>
          </cell>
          <cell r="X875" t="str">
            <v>JPY</v>
          </cell>
          <cell r="Y875">
            <v>8040000</v>
          </cell>
          <cell r="Z875">
            <v>1</v>
          </cell>
          <cell r="AA875">
            <v>8040000</v>
          </cell>
          <cell r="AB875">
            <v>7.3400000000000007E-2</v>
          </cell>
          <cell r="AC875">
            <v>590136</v>
          </cell>
          <cell r="AD875">
            <v>70816.319999999992</v>
          </cell>
          <cell r="AE875">
            <v>0.12</v>
          </cell>
          <cell r="AF875">
            <v>44028</v>
          </cell>
          <cell r="AG875" t="str">
            <v>CIF HK</v>
          </cell>
          <cell r="AK875">
            <v>0.2</v>
          </cell>
          <cell r="AL875">
            <v>1608000</v>
          </cell>
          <cell r="AM875">
            <v>44043</v>
          </cell>
          <cell r="AN875" t="str">
            <v>Yes</v>
          </cell>
          <cell r="AO875">
            <v>0.8</v>
          </cell>
          <cell r="AP875">
            <v>6432000</v>
          </cell>
          <cell r="AQ875">
            <v>44096</v>
          </cell>
          <cell r="AR875">
            <v>44092</v>
          </cell>
          <cell r="AS875">
            <v>0</v>
          </cell>
          <cell r="AT875">
            <v>0</v>
          </cell>
          <cell r="AX875" t="str">
            <v>Yes</v>
          </cell>
          <cell r="AZ875" t="str">
            <v>Yes</v>
          </cell>
          <cell r="BA875" t="str">
            <v>Yes</v>
          </cell>
        </row>
        <row r="876">
          <cell r="B876">
            <v>725</v>
          </cell>
          <cell r="C876" t="str">
            <v>C49SZX20200102MZ</v>
          </cell>
          <cell r="D876" t="str">
            <v>崧盛</v>
          </cell>
          <cell r="E876" t="str">
            <v>YSM10</v>
          </cell>
          <cell r="F876" t="str">
            <v>#03807</v>
          </cell>
          <cell r="G876" t="e">
            <v>#REF!</v>
          </cell>
          <cell r="H876" t="e">
            <v>#REF!</v>
          </cell>
          <cell r="I876" t="str">
            <v>L-&gt;R</v>
          </cell>
          <cell r="J876" t="str">
            <v>No</v>
          </cell>
          <cell r="K876">
            <v>1</v>
          </cell>
          <cell r="L876">
            <v>109958</v>
          </cell>
          <cell r="M876" t="str">
            <v>SEP 20</v>
          </cell>
          <cell r="N876">
            <v>44096</v>
          </cell>
          <cell r="O876">
            <v>11116427</v>
          </cell>
          <cell r="P876">
            <v>9240000</v>
          </cell>
          <cell r="Q876">
            <v>44094</v>
          </cell>
          <cell r="R876" t="str">
            <v>No</v>
          </cell>
          <cell r="S876" t="str">
            <v>C49</v>
          </cell>
          <cell r="T876" t="str">
            <v>SOUTH</v>
          </cell>
          <cell r="U876" t="str">
            <v>深圳</v>
          </cell>
          <cell r="V876" t="str">
            <v>SZ 深圳</v>
          </cell>
          <cell r="W876" t="str">
            <v>MZ</v>
          </cell>
          <cell r="X876" t="str">
            <v>JPY</v>
          </cell>
          <cell r="Y876">
            <v>8040000</v>
          </cell>
          <cell r="Z876">
            <v>1</v>
          </cell>
          <cell r="AA876">
            <v>8040000</v>
          </cell>
          <cell r="AB876">
            <v>7.3400000000000007E-2</v>
          </cell>
          <cell r="AC876">
            <v>590136</v>
          </cell>
          <cell r="AD876">
            <v>70816.319999999992</v>
          </cell>
          <cell r="AE876">
            <v>0.12</v>
          </cell>
          <cell r="AF876">
            <v>44028</v>
          </cell>
          <cell r="AG876" t="str">
            <v>CIF HK</v>
          </cell>
          <cell r="AK876">
            <v>0.2</v>
          </cell>
          <cell r="AL876">
            <v>1608000</v>
          </cell>
          <cell r="AM876">
            <v>44043</v>
          </cell>
          <cell r="AN876" t="str">
            <v>Yes</v>
          </cell>
          <cell r="AO876">
            <v>0.8</v>
          </cell>
          <cell r="AP876">
            <v>6432000</v>
          </cell>
          <cell r="AQ876">
            <v>44097</v>
          </cell>
          <cell r="AR876">
            <v>44092</v>
          </cell>
          <cell r="AS876">
            <v>0</v>
          </cell>
          <cell r="AT876">
            <v>0</v>
          </cell>
          <cell r="AX876" t="str">
            <v>Yes</v>
          </cell>
          <cell r="AZ876" t="str">
            <v>Yes</v>
          </cell>
          <cell r="BA876" t="str">
            <v>Yes</v>
          </cell>
        </row>
        <row r="877">
          <cell r="B877">
            <v>726</v>
          </cell>
          <cell r="C877" t="str">
            <v>C49SZX20200073JY</v>
          </cell>
          <cell r="D877" t="str">
            <v>盈信电子</v>
          </cell>
          <cell r="E877" t="str">
            <v>YSM10</v>
          </cell>
          <cell r="F877" t="str">
            <v>NA</v>
          </cell>
          <cell r="G877" t="e">
            <v>#REF!</v>
          </cell>
          <cell r="H877" t="e">
            <v>#REF!</v>
          </cell>
          <cell r="I877" t="str">
            <v>L-&gt;R</v>
          </cell>
          <cell r="J877" t="str">
            <v>MVC+ATS15</v>
          </cell>
          <cell r="K877">
            <v>1</v>
          </cell>
          <cell r="L877" t="e">
            <v>#N/A</v>
          </cell>
          <cell r="M877" t="e">
            <v>#N/A</v>
          </cell>
          <cell r="N877"/>
          <cell r="O877"/>
          <cell r="P877"/>
          <cell r="Q877"/>
          <cell r="R877" t="str">
            <v>Yes</v>
          </cell>
          <cell r="S877" t="str">
            <v>C49</v>
          </cell>
          <cell r="T877" t="str">
            <v>SOUTH</v>
          </cell>
          <cell r="U877" t="str">
            <v>深圳</v>
          </cell>
          <cell r="V877" t="str">
            <v>SZ 深圳</v>
          </cell>
          <cell r="W877" t="str">
            <v>JY</v>
          </cell>
          <cell r="X877" t="str">
            <v>JPY</v>
          </cell>
          <cell r="Y877">
            <v>9500000</v>
          </cell>
          <cell r="Z877">
            <v>1</v>
          </cell>
          <cell r="AA877">
            <v>9500000</v>
          </cell>
          <cell r="AB877">
            <v>7.3400000000000007E-2</v>
          </cell>
          <cell r="AC877">
            <v>697300.00000000012</v>
          </cell>
          <cell r="AD877">
            <v>83676.000000000015</v>
          </cell>
          <cell r="AE877">
            <v>0.12</v>
          </cell>
          <cell r="AF877">
            <v>44028</v>
          </cell>
          <cell r="AG877" t="str">
            <v>DAP DG</v>
          </cell>
          <cell r="AI877"/>
          <cell r="AJ877"/>
          <cell r="AK877">
            <v>0.2</v>
          </cell>
          <cell r="AL877">
            <v>1900000</v>
          </cell>
          <cell r="AM877"/>
          <cell r="AN877" t="str">
            <v>No</v>
          </cell>
          <cell r="AO877">
            <v>0.8</v>
          </cell>
          <cell r="AP877">
            <v>7600000</v>
          </cell>
          <cell r="AQ877"/>
          <cell r="AR877"/>
          <cell r="AS877">
            <v>0</v>
          </cell>
          <cell r="AT877">
            <v>0</v>
          </cell>
          <cell r="AV877"/>
          <cell r="AX877" t="str">
            <v>Cancel</v>
          </cell>
          <cell r="AY877"/>
          <cell r="AZ877"/>
          <cell r="BA877"/>
        </row>
        <row r="878">
          <cell r="B878">
            <v>727</v>
          </cell>
          <cell r="C878" t="str">
            <v>C49SZX20200106SS</v>
          </cell>
          <cell r="D878" t="str">
            <v>泰鑫荣</v>
          </cell>
          <cell r="E878" t="str">
            <v>YSM20R(SV)-2</v>
          </cell>
          <cell r="F878" t="str">
            <v>#04748</v>
          </cell>
          <cell r="G878" t="e">
            <v>#REF!</v>
          </cell>
          <cell r="H878" t="e">
            <v>#REF!</v>
          </cell>
          <cell r="I878" t="str">
            <v>L-&gt;R</v>
          </cell>
          <cell r="J878" t="str">
            <v>MVC</v>
          </cell>
          <cell r="K878">
            <v>1</v>
          </cell>
          <cell r="L878" t="str">
            <v>109917(拆分PO109963，新建PO110004）</v>
          </cell>
          <cell r="M878" t="str">
            <v>AUG 20</v>
          </cell>
          <cell r="N878">
            <v>44061</v>
          </cell>
          <cell r="O878">
            <v>11116419</v>
          </cell>
          <cell r="P878">
            <v>12365000</v>
          </cell>
          <cell r="Q878">
            <v>44063</v>
          </cell>
          <cell r="R878" t="str">
            <v>Yes</v>
          </cell>
          <cell r="S878" t="str">
            <v>C49</v>
          </cell>
          <cell r="T878" t="str">
            <v>SOUTH</v>
          </cell>
          <cell r="U878" t="str">
            <v>深圳</v>
          </cell>
          <cell r="V878" t="str">
            <v>SZ 深圳</v>
          </cell>
          <cell r="W878" t="str">
            <v>SS</v>
          </cell>
          <cell r="X878" t="str">
            <v>JPY</v>
          </cell>
          <cell r="Y878">
            <v>12365000</v>
          </cell>
          <cell r="Z878">
            <v>1</v>
          </cell>
          <cell r="AA878">
            <v>12365000</v>
          </cell>
          <cell r="AB878">
            <v>7.3400000000000007E-2</v>
          </cell>
          <cell r="AC878">
            <v>907591.00000000012</v>
          </cell>
          <cell r="AD878">
            <v>108910.92000000001</v>
          </cell>
          <cell r="AE878">
            <v>0.12</v>
          </cell>
          <cell r="AF878">
            <v>44029</v>
          </cell>
          <cell r="AG878" t="str">
            <v>DAP SZ</v>
          </cell>
          <cell r="AI878">
            <v>50000</v>
          </cell>
          <cell r="AJ878">
            <v>44041</v>
          </cell>
          <cell r="AK878">
            <v>0.3</v>
          </cell>
          <cell r="AL878">
            <v>3709500</v>
          </cell>
          <cell r="AM878">
            <v>44063</v>
          </cell>
          <cell r="AN878" t="str">
            <v>Yes</v>
          </cell>
          <cell r="AO878">
            <v>0.7</v>
          </cell>
          <cell r="AP878">
            <v>8655500</v>
          </cell>
          <cell r="AQ878">
            <v>44063</v>
          </cell>
          <cell r="AR878">
            <v>44057</v>
          </cell>
          <cell r="AS878">
            <v>0</v>
          </cell>
          <cell r="AT878">
            <v>0</v>
          </cell>
          <cell r="AX878" t="str">
            <v>Yes</v>
          </cell>
          <cell r="AZ878" t="str">
            <v>Yes</v>
          </cell>
          <cell r="BA878" t="str">
            <v>Yes</v>
          </cell>
        </row>
        <row r="879">
          <cell r="B879">
            <v>728</v>
          </cell>
          <cell r="C879" t="str">
            <v>C49SZX20200096MZ</v>
          </cell>
          <cell r="D879" t="str">
            <v>东原</v>
          </cell>
          <cell r="E879" t="str">
            <v>YSM20R(SV)-2</v>
          </cell>
          <cell r="F879" t="str">
            <v>#54802</v>
          </cell>
          <cell r="G879" t="e">
            <v>#REF!</v>
          </cell>
          <cell r="H879" t="e">
            <v>#REF!</v>
          </cell>
          <cell r="I879" t="str">
            <v>L-&gt;R</v>
          </cell>
          <cell r="J879" t="str">
            <v>No</v>
          </cell>
          <cell r="K879">
            <v>1</v>
          </cell>
          <cell r="L879" t="str">
            <v>109954(拆分PO109999）</v>
          </cell>
          <cell r="M879" t="str">
            <v>SEP 20</v>
          </cell>
          <cell r="N879">
            <v>44097</v>
          </cell>
          <cell r="O879">
            <v>11100430</v>
          </cell>
          <cell r="P879">
            <v>775000</v>
          </cell>
          <cell r="Q879">
            <v>44044</v>
          </cell>
          <cell r="R879" t="str">
            <v>No</v>
          </cell>
          <cell r="S879" t="str">
            <v>C49</v>
          </cell>
          <cell r="T879" t="str">
            <v>SOUTH</v>
          </cell>
          <cell r="U879" t="str">
            <v>深圳</v>
          </cell>
          <cell r="V879" t="str">
            <v>SZ 深圳</v>
          </cell>
          <cell r="W879" t="str">
            <v>MZ</v>
          </cell>
          <cell r="X879" t="str">
            <v>RMB</v>
          </cell>
          <cell r="Y879">
            <v>775000</v>
          </cell>
          <cell r="Z879">
            <v>1.1299999999999999</v>
          </cell>
          <cell r="AA879">
            <v>775000</v>
          </cell>
          <cell r="AB879">
            <v>1.095</v>
          </cell>
          <cell r="AC879">
            <v>750995.57522123901</v>
          </cell>
          <cell r="AD879">
            <v>90119.469026548672</v>
          </cell>
          <cell r="AE879">
            <v>0.12</v>
          </cell>
          <cell r="AF879">
            <v>44030</v>
          </cell>
          <cell r="AG879" t="str">
            <v>含税到厂</v>
          </cell>
          <cell r="AK879">
            <v>0.2</v>
          </cell>
          <cell r="AL879">
            <v>155000</v>
          </cell>
          <cell r="AM879">
            <v>44043</v>
          </cell>
          <cell r="AN879" t="str">
            <v>Yes</v>
          </cell>
          <cell r="AO879">
            <v>0.8</v>
          </cell>
          <cell r="AP879">
            <v>620000</v>
          </cell>
          <cell r="AQ879">
            <v>44094</v>
          </cell>
          <cell r="AR879">
            <v>44091</v>
          </cell>
          <cell r="AS879">
            <v>0</v>
          </cell>
          <cell r="AT879">
            <v>0</v>
          </cell>
          <cell r="AX879" t="str">
            <v>Yes</v>
          </cell>
          <cell r="AZ879" t="str">
            <v>Yes</v>
          </cell>
          <cell r="BA879" t="str">
            <v>Yes</v>
          </cell>
        </row>
        <row r="880">
          <cell r="B880">
            <v>729</v>
          </cell>
          <cell r="C880" t="str">
            <v>C49SZX20200066SX</v>
          </cell>
          <cell r="D880" t="str">
            <v>锐诚</v>
          </cell>
          <cell r="E880" t="str">
            <v>YSM10</v>
          </cell>
          <cell r="F880" t="str">
            <v>#78604</v>
          </cell>
          <cell r="G880" t="e">
            <v>#REF!</v>
          </cell>
          <cell r="H880" t="e">
            <v>#REF!</v>
          </cell>
          <cell r="I880" t="str">
            <v>L-&gt;R</v>
          </cell>
          <cell r="J880" t="str">
            <v>MVC</v>
          </cell>
          <cell r="K880">
            <v>1</v>
          </cell>
          <cell r="L880">
            <v>109957</v>
          </cell>
          <cell r="M880" t="str">
            <v>AUG 20</v>
          </cell>
          <cell r="N880">
            <v>44070</v>
          </cell>
          <cell r="O880">
            <v>11116420</v>
          </cell>
          <cell r="P880">
            <v>7175000</v>
          </cell>
          <cell r="Q880">
            <v>44063</v>
          </cell>
          <cell r="R880" t="str">
            <v>No</v>
          </cell>
          <cell r="S880" t="str">
            <v>C49</v>
          </cell>
          <cell r="T880" t="str">
            <v>SOUTH</v>
          </cell>
          <cell r="U880" t="str">
            <v>深圳</v>
          </cell>
          <cell r="V880" t="str">
            <v>SZ 深圳</v>
          </cell>
          <cell r="W880" t="str">
            <v>SX</v>
          </cell>
          <cell r="X880" t="str">
            <v>JPY</v>
          </cell>
          <cell r="Y880">
            <v>7175000</v>
          </cell>
          <cell r="Z880">
            <v>1</v>
          </cell>
          <cell r="AA880">
            <v>7175000</v>
          </cell>
          <cell r="AB880">
            <v>7.3400000000000007E-2</v>
          </cell>
          <cell r="AC880">
            <v>526645</v>
          </cell>
          <cell r="AD880">
            <v>63197.399999999994</v>
          </cell>
          <cell r="AE880">
            <v>0.12</v>
          </cell>
          <cell r="AF880">
            <v>44032</v>
          </cell>
          <cell r="AG880" t="str">
            <v>DAP HZ</v>
          </cell>
          <cell r="AK880">
            <v>0.1</v>
          </cell>
          <cell r="AL880">
            <v>717500</v>
          </cell>
          <cell r="AM880">
            <v>44056</v>
          </cell>
          <cell r="AN880" t="str">
            <v>Yes</v>
          </cell>
          <cell r="AO880">
            <v>0.9</v>
          </cell>
          <cell r="AP880">
            <v>6457500</v>
          </cell>
          <cell r="AQ880">
            <v>44063</v>
          </cell>
          <cell r="AR880">
            <v>44069</v>
          </cell>
          <cell r="AS880">
            <v>0</v>
          </cell>
          <cell r="AT880">
            <v>0</v>
          </cell>
          <cell r="AX880" t="str">
            <v>Yes</v>
          </cell>
          <cell r="AZ880" t="str">
            <v>Yes</v>
          </cell>
          <cell r="BA880" t="str">
            <v>Yes</v>
          </cell>
        </row>
        <row r="881">
          <cell r="B881">
            <v>730</v>
          </cell>
          <cell r="C881" t="str">
            <v>C49SZX20200066SX</v>
          </cell>
          <cell r="D881" t="str">
            <v>锐诚</v>
          </cell>
          <cell r="E881" t="str">
            <v>YSM10</v>
          </cell>
          <cell r="F881" t="str">
            <v>#78604</v>
          </cell>
          <cell r="G881" t="e">
            <v>#REF!</v>
          </cell>
          <cell r="H881" t="e">
            <v>#REF!</v>
          </cell>
          <cell r="I881" t="str">
            <v>L-&gt;R</v>
          </cell>
          <cell r="J881" t="str">
            <v>No</v>
          </cell>
          <cell r="K881">
            <v>1</v>
          </cell>
          <cell r="L881">
            <v>109957</v>
          </cell>
          <cell r="M881" t="str">
            <v>AUG 20</v>
          </cell>
          <cell r="N881">
            <v>44070</v>
          </cell>
          <cell r="O881">
            <v>11116420</v>
          </cell>
          <cell r="P881">
            <v>7175000</v>
          </cell>
          <cell r="Q881">
            <v>44063</v>
          </cell>
          <cell r="R881" t="str">
            <v>No</v>
          </cell>
          <cell r="S881" t="str">
            <v>C49</v>
          </cell>
          <cell r="T881" t="str">
            <v>SOUTH</v>
          </cell>
          <cell r="U881" t="str">
            <v>深圳</v>
          </cell>
          <cell r="V881" t="str">
            <v>SZ 深圳</v>
          </cell>
          <cell r="W881" t="str">
            <v>SX</v>
          </cell>
          <cell r="X881" t="str">
            <v>JPY</v>
          </cell>
          <cell r="Y881">
            <v>7175000</v>
          </cell>
          <cell r="Z881">
            <v>1</v>
          </cell>
          <cell r="AA881">
            <v>7175000</v>
          </cell>
          <cell r="AB881">
            <v>7.3400000000000007E-2</v>
          </cell>
          <cell r="AC881">
            <v>526645</v>
          </cell>
          <cell r="AD881">
            <v>63197.399999999994</v>
          </cell>
          <cell r="AE881">
            <v>0.12</v>
          </cell>
          <cell r="AF881">
            <v>44032</v>
          </cell>
          <cell r="AG881" t="str">
            <v>DAP HZ</v>
          </cell>
          <cell r="AK881">
            <v>0.1</v>
          </cell>
          <cell r="AL881">
            <v>717500</v>
          </cell>
          <cell r="AM881">
            <v>44056</v>
          </cell>
          <cell r="AN881" t="str">
            <v>Yes</v>
          </cell>
          <cell r="AO881">
            <v>0.9</v>
          </cell>
          <cell r="AP881">
            <v>6457500</v>
          </cell>
          <cell r="AQ881">
            <v>44063</v>
          </cell>
          <cell r="AR881">
            <v>44069</v>
          </cell>
          <cell r="AS881">
            <v>0</v>
          </cell>
          <cell r="AT881">
            <v>0</v>
          </cell>
          <cell r="AX881" t="str">
            <v>Yes</v>
          </cell>
          <cell r="AZ881" t="str">
            <v>Yes</v>
          </cell>
          <cell r="BA881" t="str">
            <v>Yes</v>
          </cell>
        </row>
        <row r="882">
          <cell r="B882">
            <v>731</v>
          </cell>
          <cell r="C882" t="str">
            <v>C49SZX20200110MZ</v>
          </cell>
          <cell r="D882" t="str">
            <v>融创新合</v>
          </cell>
          <cell r="E882" t="str">
            <v>YSM20R(SV)-2</v>
          </cell>
          <cell r="F882" t="str">
            <v>#04477</v>
          </cell>
          <cell r="G882" t="e">
            <v>#REF!</v>
          </cell>
          <cell r="H882" t="e">
            <v>#REF!</v>
          </cell>
          <cell r="I882" t="str">
            <v>L-&gt;R</v>
          </cell>
          <cell r="J882" t="str">
            <v>No</v>
          </cell>
          <cell r="K882">
            <v>1</v>
          </cell>
          <cell r="L882">
            <v>109954</v>
          </cell>
          <cell r="M882" t="str">
            <v>SEP 20</v>
          </cell>
          <cell r="N882">
            <v>44098</v>
          </cell>
          <cell r="O882">
            <v>11116430</v>
          </cell>
          <cell r="P882">
            <v>14000000</v>
          </cell>
          <cell r="Q882">
            <v>44094</v>
          </cell>
          <cell r="R882" t="str">
            <v>No</v>
          </cell>
          <cell r="S882" t="str">
            <v>C49</v>
          </cell>
          <cell r="T882" t="str">
            <v>SOUTH</v>
          </cell>
          <cell r="U882" t="str">
            <v>深圳</v>
          </cell>
          <cell r="V882" t="str">
            <v>SZ 深圳</v>
          </cell>
          <cell r="W882" t="str">
            <v>MZ</v>
          </cell>
          <cell r="X882" t="str">
            <v>JPY</v>
          </cell>
          <cell r="Y882">
            <v>14000000</v>
          </cell>
          <cell r="Z882">
            <v>1</v>
          </cell>
          <cell r="AA882">
            <v>14000000</v>
          </cell>
          <cell r="AB882">
            <v>7.3400000000000007E-2</v>
          </cell>
          <cell r="AC882">
            <v>1027600.0000000001</v>
          </cell>
          <cell r="AD882">
            <v>123312.00000000001</v>
          </cell>
          <cell r="AE882">
            <v>0.12</v>
          </cell>
          <cell r="AF882">
            <v>44033</v>
          </cell>
          <cell r="AG882" t="str">
            <v>CIF HK</v>
          </cell>
          <cell r="AK882">
            <v>0.2</v>
          </cell>
          <cell r="AL882">
            <v>2800000</v>
          </cell>
          <cell r="AM882">
            <v>44043</v>
          </cell>
          <cell r="AN882" t="str">
            <v>Yes</v>
          </cell>
          <cell r="AO882">
            <v>0.8</v>
          </cell>
          <cell r="AP882">
            <v>11200000</v>
          </cell>
          <cell r="AQ882">
            <v>44094</v>
          </cell>
          <cell r="AR882">
            <v>44097</v>
          </cell>
          <cell r="AS882">
            <v>0</v>
          </cell>
          <cell r="AT882">
            <v>0</v>
          </cell>
          <cell r="AX882" t="str">
            <v>Yes</v>
          </cell>
          <cell r="AZ882" t="str">
            <v>Yes</v>
          </cell>
          <cell r="BA882" t="str">
            <v>Yes</v>
          </cell>
        </row>
        <row r="883">
          <cell r="B883">
            <v>732</v>
          </cell>
          <cell r="C883" t="str">
            <v>C49SZX20200110MZ</v>
          </cell>
          <cell r="D883" t="str">
            <v>融创新合</v>
          </cell>
          <cell r="E883" t="str">
            <v>YSM10</v>
          </cell>
          <cell r="F883" t="str">
            <v>#04477</v>
          </cell>
          <cell r="G883" t="e">
            <v>#REF!</v>
          </cell>
          <cell r="H883" t="e">
            <v>#REF!</v>
          </cell>
          <cell r="I883" t="str">
            <v>L-&gt;R</v>
          </cell>
          <cell r="J883" t="str">
            <v>MVC+ATS15</v>
          </cell>
          <cell r="K883">
            <v>1</v>
          </cell>
          <cell r="L883">
            <v>109933</v>
          </cell>
          <cell r="M883" t="str">
            <v>SEP 20</v>
          </cell>
          <cell r="N883">
            <v>44098</v>
          </cell>
          <cell r="O883">
            <v>11116430</v>
          </cell>
          <cell r="P883">
            <v>10000000</v>
          </cell>
          <cell r="Q883">
            <v>44094</v>
          </cell>
          <cell r="R883" t="str">
            <v>No</v>
          </cell>
          <cell r="S883" t="str">
            <v>C49</v>
          </cell>
          <cell r="T883" t="str">
            <v>SOUTH</v>
          </cell>
          <cell r="U883" t="str">
            <v>深圳</v>
          </cell>
          <cell r="V883" t="str">
            <v>SZ 深圳</v>
          </cell>
          <cell r="W883" t="str">
            <v>MZ</v>
          </cell>
          <cell r="X883" t="str">
            <v>JPY</v>
          </cell>
          <cell r="Y883">
            <v>10000000</v>
          </cell>
          <cell r="Z883">
            <v>1</v>
          </cell>
          <cell r="AA883">
            <v>10000000</v>
          </cell>
          <cell r="AB883">
            <v>7.3400000000000007E-2</v>
          </cell>
          <cell r="AC883">
            <v>734000.00000000012</v>
          </cell>
          <cell r="AD883">
            <v>88080.000000000015</v>
          </cell>
          <cell r="AE883">
            <v>0.12</v>
          </cell>
          <cell r="AF883">
            <v>44033</v>
          </cell>
          <cell r="AG883" t="str">
            <v>CIF HK</v>
          </cell>
          <cell r="AK883">
            <v>0.2</v>
          </cell>
          <cell r="AL883">
            <v>2000000</v>
          </cell>
          <cell r="AM883">
            <v>44043</v>
          </cell>
          <cell r="AN883" t="str">
            <v>Yes</v>
          </cell>
          <cell r="AO883">
            <v>0.8</v>
          </cell>
          <cell r="AP883">
            <v>8000000</v>
          </cell>
          <cell r="AQ883">
            <v>44094</v>
          </cell>
          <cell r="AR883">
            <v>44097</v>
          </cell>
          <cell r="AS883">
            <v>0</v>
          </cell>
          <cell r="AT883">
            <v>0</v>
          </cell>
          <cell r="AX883" t="str">
            <v>Yes</v>
          </cell>
          <cell r="AZ883" t="str">
            <v>Yes</v>
          </cell>
          <cell r="BA883" t="str">
            <v>Yes</v>
          </cell>
        </row>
        <row r="884">
          <cell r="B884">
            <v>733</v>
          </cell>
          <cell r="C884" t="str">
            <v>C49SZX20200097JY</v>
          </cell>
          <cell r="D884" t="str">
            <v>辉拓（end user：海纳科）</v>
          </cell>
          <cell r="E884" t="str">
            <v>YSM10</v>
          </cell>
          <cell r="F884" t="str">
            <v>#04818</v>
          </cell>
          <cell r="G884" t="e">
            <v>#REF!</v>
          </cell>
          <cell r="H884" t="e">
            <v>#REF!</v>
          </cell>
          <cell r="I884" t="str">
            <v>L-&gt;R</v>
          </cell>
          <cell r="J884" t="str">
            <v>MVC</v>
          </cell>
          <cell r="K884">
            <v>1</v>
          </cell>
          <cell r="L884" t="str">
            <v>109924(拆分PO109962)</v>
          </cell>
          <cell r="M884" t="str">
            <v>JUL 20</v>
          </cell>
          <cell r="N884">
            <v>44040</v>
          </cell>
          <cell r="O884">
            <v>11100417</v>
          </cell>
          <cell r="P884">
            <v>575200</v>
          </cell>
          <cell r="Q884">
            <v>44032</v>
          </cell>
          <cell r="R884" t="str">
            <v>Yes</v>
          </cell>
          <cell r="S884" t="str">
            <v>C49</v>
          </cell>
          <cell r="T884" t="str">
            <v>SOUTH</v>
          </cell>
          <cell r="U884" t="str">
            <v>深圳</v>
          </cell>
          <cell r="V884" t="str">
            <v>SZ 深圳</v>
          </cell>
          <cell r="W884" t="str">
            <v>JY</v>
          </cell>
          <cell r="X884" t="str">
            <v>RMB</v>
          </cell>
          <cell r="Y884">
            <v>575200</v>
          </cell>
          <cell r="Z884">
            <v>1.1299999999999999</v>
          </cell>
          <cell r="AA884">
            <v>575200</v>
          </cell>
          <cell r="AB884">
            <v>1.095</v>
          </cell>
          <cell r="AC884">
            <v>557384.07079646026</v>
          </cell>
          <cell r="AD884">
            <v>66886.088495575226</v>
          </cell>
          <cell r="AE884">
            <v>0.12</v>
          </cell>
          <cell r="AF884">
            <v>44032</v>
          </cell>
          <cell r="AG884" t="str">
            <v>含税到厂</v>
          </cell>
          <cell r="AK884">
            <v>0.2</v>
          </cell>
          <cell r="AL884">
            <v>115040</v>
          </cell>
          <cell r="AM884">
            <v>44035</v>
          </cell>
          <cell r="AN884" t="str">
            <v>Yes</v>
          </cell>
          <cell r="AO884">
            <v>0.8</v>
          </cell>
          <cell r="AP884">
            <v>460160</v>
          </cell>
          <cell r="AQ884">
            <v>44013</v>
          </cell>
          <cell r="AR884">
            <v>44035</v>
          </cell>
          <cell r="AS884">
            <v>0</v>
          </cell>
          <cell r="AT884">
            <v>0</v>
          </cell>
          <cell r="AX884" t="str">
            <v>Yes</v>
          </cell>
          <cell r="AZ884" t="str">
            <v>Yes</v>
          </cell>
          <cell r="BA884" t="str">
            <v>Yes</v>
          </cell>
        </row>
        <row r="885">
          <cell r="B885">
            <v>734</v>
          </cell>
          <cell r="C885" t="str">
            <v>C49SZX20200125JY</v>
          </cell>
          <cell r="D885" t="str">
            <v>昊亮迪（end user：海纳科）</v>
          </cell>
          <cell r="E885" t="str">
            <v>YSM10</v>
          </cell>
          <cell r="F885" t="str">
            <v>#04818</v>
          </cell>
          <cell r="G885" t="e">
            <v>#REF!</v>
          </cell>
          <cell r="H885" t="e">
            <v>#REF!</v>
          </cell>
          <cell r="I885" t="str">
            <v>L-&gt;R</v>
          </cell>
          <cell r="J885" t="str">
            <v>MVC</v>
          </cell>
          <cell r="K885">
            <v>1</v>
          </cell>
          <cell r="L885">
            <v>109957</v>
          </cell>
          <cell r="M885" t="str">
            <v>SEP 20</v>
          </cell>
          <cell r="N885">
            <v>44076</v>
          </cell>
          <cell r="O885">
            <v>11116425</v>
          </cell>
          <cell r="P885">
            <v>7771400</v>
          </cell>
          <cell r="Q885">
            <v>44094</v>
          </cell>
          <cell r="R885" t="str">
            <v>Yes</v>
          </cell>
          <cell r="S885" t="str">
            <v>C49</v>
          </cell>
          <cell r="T885" t="str">
            <v>SOUTH</v>
          </cell>
          <cell r="U885" t="str">
            <v>深圳</v>
          </cell>
          <cell r="V885" t="str">
            <v>SZ 深圳</v>
          </cell>
          <cell r="W885" t="str">
            <v>JY</v>
          </cell>
          <cell r="X885" t="str">
            <v>JPY</v>
          </cell>
          <cell r="Y885">
            <v>7771400</v>
          </cell>
          <cell r="Z885">
            <v>1</v>
          </cell>
          <cell r="AA885">
            <v>7771400</v>
          </cell>
          <cell r="AB885">
            <v>7.3400000000000007E-2</v>
          </cell>
          <cell r="AC885">
            <v>570420.76</v>
          </cell>
          <cell r="AD885">
            <v>68450.491200000004</v>
          </cell>
          <cell r="AE885">
            <v>0.12</v>
          </cell>
          <cell r="AF885">
            <v>44032</v>
          </cell>
          <cell r="AG885" t="str">
            <v>DAP SZ</v>
          </cell>
          <cell r="AK885">
            <v>1</v>
          </cell>
          <cell r="AL885">
            <v>7771400</v>
          </cell>
          <cell r="AM885">
            <v>44094</v>
          </cell>
          <cell r="AN885" t="str">
            <v>Yes</v>
          </cell>
          <cell r="AO885">
            <v>0</v>
          </cell>
          <cell r="AP885">
            <v>0</v>
          </cell>
          <cell r="AS885">
            <v>0</v>
          </cell>
          <cell r="AT885">
            <v>0</v>
          </cell>
          <cell r="AX885" t="str">
            <v>Yes</v>
          </cell>
          <cell r="AZ885" t="str">
            <v>Yes</v>
          </cell>
          <cell r="BA885" t="str">
            <v>Yes</v>
          </cell>
        </row>
        <row r="886">
          <cell r="B886">
            <v>735</v>
          </cell>
          <cell r="C886" t="str">
            <v>C49SZX20200188JY</v>
          </cell>
          <cell r="D886" t="str">
            <v>光瑞新（end user：海纳科）</v>
          </cell>
          <cell r="E886" t="str">
            <v>YSM10</v>
          </cell>
          <cell r="F886" t="str">
            <v>#04818</v>
          </cell>
          <cell r="G886" t="e">
            <v>#REF!</v>
          </cell>
          <cell r="H886" t="e">
            <v>#REF!</v>
          </cell>
          <cell r="I886" t="str">
            <v>R-&gt;L</v>
          </cell>
          <cell r="J886" t="str">
            <v>MVC</v>
          </cell>
          <cell r="K886">
            <v>1</v>
          </cell>
          <cell r="L886" t="str">
            <v>109992（拆分PO110072）</v>
          </cell>
          <cell r="M886" t="str">
            <v>NOV 20</v>
          </cell>
          <cell r="N886">
            <v>44139</v>
          </cell>
          <cell r="O886">
            <v>11116452</v>
          </cell>
          <cell r="P886">
            <v>7771400</v>
          </cell>
          <cell r="Q886">
            <v>44136</v>
          </cell>
          <cell r="R886" t="str">
            <v>Yes</v>
          </cell>
          <cell r="S886" t="str">
            <v>C49</v>
          </cell>
          <cell r="T886" t="str">
            <v>SOUTH</v>
          </cell>
          <cell r="U886" t="str">
            <v>深圳</v>
          </cell>
          <cell r="V886" t="str">
            <v>SZ 深圳</v>
          </cell>
          <cell r="W886" t="str">
            <v>JY</v>
          </cell>
          <cell r="X886" t="str">
            <v>JPY</v>
          </cell>
          <cell r="Y886">
            <v>7771400</v>
          </cell>
          <cell r="Z886">
            <v>1</v>
          </cell>
          <cell r="AA886">
            <v>7771400</v>
          </cell>
          <cell r="AB886">
            <v>7.3400000000000007E-2</v>
          </cell>
          <cell r="AC886">
            <v>570420.76</v>
          </cell>
          <cell r="AD886">
            <v>68450.491200000004</v>
          </cell>
          <cell r="AE886">
            <v>0.12</v>
          </cell>
          <cell r="AF886">
            <v>44032</v>
          </cell>
          <cell r="AG886" t="str">
            <v>DAP SZ</v>
          </cell>
          <cell r="AK886">
            <v>1</v>
          </cell>
          <cell r="AL886">
            <v>7771400</v>
          </cell>
          <cell r="AM886">
            <v>44105</v>
          </cell>
          <cell r="AN886" t="str">
            <v>Yes</v>
          </cell>
          <cell r="AO886">
            <v>0</v>
          </cell>
          <cell r="AP886">
            <v>0</v>
          </cell>
          <cell r="AS886">
            <v>0</v>
          </cell>
          <cell r="AT886">
            <v>0</v>
          </cell>
          <cell r="AX886" t="str">
            <v>Yes</v>
          </cell>
          <cell r="AZ886" t="str">
            <v>Yes</v>
          </cell>
          <cell r="BA886" t="str">
            <v>Yes</v>
          </cell>
        </row>
        <row r="887">
          <cell r="B887">
            <v>736</v>
          </cell>
          <cell r="C887" t="str">
            <v>C49SZX20200108JL</v>
          </cell>
          <cell r="D887" t="str">
            <v>伯莱科</v>
          </cell>
          <cell r="E887" t="str">
            <v>YSM20R(SV)-2</v>
          </cell>
          <cell r="F887" t="str">
            <v>#69722</v>
          </cell>
          <cell r="G887" t="e">
            <v>#REF!</v>
          </cell>
          <cell r="H887" t="e">
            <v>#REF!</v>
          </cell>
          <cell r="I887" t="str">
            <v>L-&gt;R</v>
          </cell>
          <cell r="J887" t="str">
            <v>No</v>
          </cell>
          <cell r="K887">
            <v>1</v>
          </cell>
          <cell r="L887" t="str">
            <v>109954(拆分PO110000)</v>
          </cell>
          <cell r="M887" t="str">
            <v>SEP 20</v>
          </cell>
          <cell r="N887">
            <v>44098</v>
          </cell>
          <cell r="O887">
            <v>11116431</v>
          </cell>
          <cell r="P887">
            <v>10500000</v>
          </cell>
          <cell r="Q887">
            <v>44094</v>
          </cell>
          <cell r="R887" t="str">
            <v>No</v>
          </cell>
          <cell r="S887" t="str">
            <v>C49</v>
          </cell>
          <cell r="T887" t="str">
            <v>SOUTH</v>
          </cell>
          <cell r="U887" t="str">
            <v>深圳</v>
          </cell>
          <cell r="V887" t="str">
            <v>SZ 深圳</v>
          </cell>
          <cell r="W887" t="str">
            <v>JL</v>
          </cell>
          <cell r="X887" t="str">
            <v>JPY</v>
          </cell>
          <cell r="Y887">
            <v>10500000</v>
          </cell>
          <cell r="Z887">
            <v>1</v>
          </cell>
          <cell r="AA887">
            <v>10500000</v>
          </cell>
          <cell r="AB887">
            <v>7.3400000000000007E-2</v>
          </cell>
          <cell r="AC887">
            <v>770700.00000000012</v>
          </cell>
          <cell r="AD887">
            <v>92484.000000000015</v>
          </cell>
          <cell r="AE887">
            <v>0.12</v>
          </cell>
          <cell r="AF887">
            <v>44033</v>
          </cell>
          <cell r="AG887" t="str">
            <v>DAP SZ</v>
          </cell>
          <cell r="AK887" t="str">
            <v>agree</v>
          </cell>
          <cell r="AL887">
            <v>757816</v>
          </cell>
          <cell r="AM887">
            <v>44035</v>
          </cell>
          <cell r="AN887" t="str">
            <v>Yes</v>
          </cell>
          <cell r="AO887" t="str">
            <v>agree</v>
          </cell>
          <cell r="AP887">
            <v>9742184</v>
          </cell>
          <cell r="AQ887">
            <v>44094</v>
          </cell>
          <cell r="AR887">
            <v>44097</v>
          </cell>
          <cell r="AS887">
            <v>0</v>
          </cell>
          <cell r="AT887">
            <v>0</v>
          </cell>
          <cell r="AX887" t="str">
            <v>Yes</v>
          </cell>
          <cell r="AZ887" t="str">
            <v>Yes</v>
          </cell>
          <cell r="BA887" t="str">
            <v>Yes</v>
          </cell>
        </row>
        <row r="888">
          <cell r="B888">
            <v>737</v>
          </cell>
          <cell r="C888" t="str">
            <v>C49SZX20200109JL</v>
          </cell>
          <cell r="D888" t="str">
            <v>捷舜诚</v>
          </cell>
          <cell r="E888" t="str">
            <v>YSM20R(SV)-2</v>
          </cell>
          <cell r="F888" t="str">
            <v>#71843</v>
          </cell>
          <cell r="G888" t="e">
            <v>#REF!</v>
          </cell>
          <cell r="H888" t="e">
            <v>#REF!</v>
          </cell>
          <cell r="I888" t="str">
            <v>L-&gt;R</v>
          </cell>
          <cell r="J888" t="str">
            <v>No</v>
          </cell>
          <cell r="K888">
            <v>1</v>
          </cell>
          <cell r="L888">
            <v>109984</v>
          </cell>
          <cell r="M888" t="str">
            <v>OCT 20</v>
          </cell>
          <cell r="N888">
            <v>44117</v>
          </cell>
          <cell r="O888">
            <v>11116439</v>
          </cell>
          <cell r="P888">
            <v>10500000</v>
          </cell>
          <cell r="Q888">
            <v>44105</v>
          </cell>
          <cell r="R888" t="str">
            <v>No</v>
          </cell>
          <cell r="S888" t="str">
            <v>C49</v>
          </cell>
          <cell r="T888" t="str">
            <v>SOUTH</v>
          </cell>
          <cell r="U888" t="str">
            <v>深圳</v>
          </cell>
          <cell r="V888" t="str">
            <v>SZ 深圳</v>
          </cell>
          <cell r="W888" t="str">
            <v>JL</v>
          </cell>
          <cell r="X888" t="str">
            <v>JPY</v>
          </cell>
          <cell r="Y888">
            <v>10500000</v>
          </cell>
          <cell r="Z888">
            <v>1</v>
          </cell>
          <cell r="AA888">
            <v>10500000</v>
          </cell>
          <cell r="AB888">
            <v>7.3400000000000007E-2</v>
          </cell>
          <cell r="AC888">
            <v>770700.00000000012</v>
          </cell>
          <cell r="AD888">
            <v>92484.000000000015</v>
          </cell>
          <cell r="AE888">
            <v>0.12</v>
          </cell>
          <cell r="AF888">
            <v>44033</v>
          </cell>
          <cell r="AG888" t="str">
            <v>DAP SZ</v>
          </cell>
          <cell r="AK888">
            <v>0.1</v>
          </cell>
          <cell r="AL888">
            <v>1050000</v>
          </cell>
          <cell r="AM888">
            <v>44063</v>
          </cell>
          <cell r="AN888" t="str">
            <v>Yes</v>
          </cell>
          <cell r="AO888">
            <v>0.9</v>
          </cell>
          <cell r="AP888">
            <v>9450000</v>
          </cell>
          <cell r="AQ888">
            <v>44094</v>
          </cell>
          <cell r="AR888">
            <v>44078</v>
          </cell>
          <cell r="AS888">
            <v>0</v>
          </cell>
          <cell r="AT888">
            <v>0</v>
          </cell>
          <cell r="AX888" t="str">
            <v>Yes</v>
          </cell>
          <cell r="AZ888" t="str">
            <v>Yes</v>
          </cell>
          <cell r="BA888" t="str">
            <v>Yes</v>
          </cell>
        </row>
        <row r="889">
          <cell r="B889">
            <v>738</v>
          </cell>
          <cell r="C889" t="str">
            <v>C49SZX20200093R1SS</v>
          </cell>
          <cell r="D889" t="str">
            <v>弛瑞</v>
          </cell>
          <cell r="E889" t="str">
            <v>YSM10</v>
          </cell>
          <cell r="F889" t="str">
            <v>#04213</v>
          </cell>
          <cell r="G889" t="e">
            <v>#REF!</v>
          </cell>
          <cell r="H889" t="e">
            <v>#REF!</v>
          </cell>
          <cell r="I889" t="str">
            <v>L-&gt;R</v>
          </cell>
          <cell r="J889" t="str">
            <v>No</v>
          </cell>
          <cell r="K889">
            <v>1</v>
          </cell>
          <cell r="L889">
            <v>110238</v>
          </cell>
          <cell r="M889" t="str">
            <v>MAR 21</v>
          </cell>
          <cell r="P889">
            <v>6400000</v>
          </cell>
          <cell r="Q889">
            <v>44279</v>
          </cell>
          <cell r="R889" t="str">
            <v>No</v>
          </cell>
          <cell r="S889" t="str">
            <v>C49</v>
          </cell>
          <cell r="T889" t="str">
            <v>SOUTH</v>
          </cell>
          <cell r="U889" t="str">
            <v>深圳</v>
          </cell>
          <cell r="V889" t="str">
            <v>SZ 深圳</v>
          </cell>
          <cell r="W889" t="str">
            <v>SS</v>
          </cell>
          <cell r="X889" t="str">
            <v>JPY</v>
          </cell>
          <cell r="Y889">
            <v>6400000</v>
          </cell>
          <cell r="Z889">
            <v>1</v>
          </cell>
          <cell r="AA889">
            <v>6400000</v>
          </cell>
          <cell r="AB889">
            <v>7.5700000000000003E-2</v>
          </cell>
          <cell r="AC889">
            <v>484480</v>
          </cell>
          <cell r="AD889">
            <v>58137.599999999999</v>
          </cell>
          <cell r="AE889">
            <v>0.12</v>
          </cell>
          <cell r="AF889">
            <v>44229</v>
          </cell>
          <cell r="AG889" t="str">
            <v>DAP SZ</v>
          </cell>
          <cell r="AK889">
            <v>0.1</v>
          </cell>
          <cell r="AL889">
            <v>640000</v>
          </cell>
          <cell r="AM889">
            <v>44197</v>
          </cell>
          <cell r="AN889" t="str">
            <v>Yes</v>
          </cell>
          <cell r="AO889">
            <v>0.9</v>
          </cell>
          <cell r="AP889">
            <v>5760000</v>
          </cell>
          <cell r="AQ889">
            <v>44272</v>
          </cell>
          <cell r="AR889">
            <v>44272</v>
          </cell>
          <cell r="AS889">
            <v>0</v>
          </cell>
          <cell r="AT889">
            <v>0</v>
          </cell>
          <cell r="AX889" t="str">
            <v>Yes</v>
          </cell>
          <cell r="AZ889" t="str">
            <v>Yes</v>
          </cell>
          <cell r="BA889" t="str">
            <v>Yes</v>
          </cell>
        </row>
        <row r="890">
          <cell r="B890">
            <v>739</v>
          </cell>
          <cell r="C890" t="str">
            <v>C49SZX20210028DZ</v>
          </cell>
          <cell r="D890" t="str">
            <v>平方兆赫</v>
          </cell>
          <cell r="E890" t="str">
            <v>YSM40R-4</v>
          </cell>
          <cell r="F890" t="str">
            <v>#55206</v>
          </cell>
          <cell r="G890" t="e">
            <v>#REF!</v>
          </cell>
          <cell r="H890" t="e">
            <v>#REF!</v>
          </cell>
          <cell r="I890" t="str">
            <v>L-&gt;R</v>
          </cell>
          <cell r="J890" t="str">
            <v>No</v>
          </cell>
          <cell r="K890">
            <v>1</v>
          </cell>
          <cell r="L890">
            <v>110274</v>
          </cell>
          <cell r="M890" t="str">
            <v>APR 21</v>
          </cell>
          <cell r="N890">
            <v>44315</v>
          </cell>
          <cell r="O890">
            <v>11116566</v>
          </cell>
          <cell r="P890">
            <v>25000000</v>
          </cell>
          <cell r="Q890">
            <v>44287</v>
          </cell>
          <cell r="R890" t="str">
            <v>No</v>
          </cell>
          <cell r="S890" t="str">
            <v>C49</v>
          </cell>
          <cell r="T890" t="str">
            <v>SOUTH</v>
          </cell>
          <cell r="U890" t="str">
            <v>深圳</v>
          </cell>
          <cell r="V890" t="str">
            <v>SZ 深圳</v>
          </cell>
          <cell r="W890" t="str">
            <v>DZ</v>
          </cell>
          <cell r="X890" t="str">
            <v>JPY</v>
          </cell>
          <cell r="Y890">
            <v>25000000</v>
          </cell>
          <cell r="Z890">
            <v>1</v>
          </cell>
          <cell r="AA890">
            <v>25000000</v>
          </cell>
          <cell r="AB890">
            <v>7.4499999999999997E-2</v>
          </cell>
          <cell r="AC890">
            <v>1862500</v>
          </cell>
          <cell r="AD890">
            <v>223500</v>
          </cell>
          <cell r="AE890">
            <v>0.12</v>
          </cell>
          <cell r="AF890">
            <v>44265</v>
          </cell>
          <cell r="AG890" t="str">
            <v>CIF HK</v>
          </cell>
          <cell r="AK890">
            <v>0.1</v>
          </cell>
          <cell r="AL890">
            <v>2500000</v>
          </cell>
          <cell r="AM890">
            <v>44063</v>
          </cell>
          <cell r="AN890" t="str">
            <v>Yes</v>
          </cell>
          <cell r="AO890">
            <v>0.85</v>
          </cell>
          <cell r="AP890">
            <v>21250000</v>
          </cell>
          <cell r="AQ890">
            <v>44305</v>
          </cell>
          <cell r="AR890">
            <v>44305</v>
          </cell>
          <cell r="AS890">
            <v>0.05</v>
          </cell>
          <cell r="AT890">
            <v>1250000</v>
          </cell>
          <cell r="AU890">
            <v>44481</v>
          </cell>
          <cell r="AV890">
            <v>44481</v>
          </cell>
          <cell r="AX890" t="str">
            <v>Yes</v>
          </cell>
          <cell r="AZ890" t="str">
            <v>Yes</v>
          </cell>
          <cell r="BA890" t="str">
            <v>Yes</v>
          </cell>
        </row>
        <row r="891">
          <cell r="B891">
            <v>740</v>
          </cell>
          <cell r="C891" t="str">
            <v>C49SZX20210028DZ</v>
          </cell>
          <cell r="D891" t="str">
            <v>平方兆赫</v>
          </cell>
          <cell r="E891" t="str">
            <v>YSM20WR-2</v>
          </cell>
          <cell r="F891" t="str">
            <v>#55206</v>
          </cell>
          <cell r="G891" t="e">
            <v>#REF!</v>
          </cell>
          <cell r="H891" t="e">
            <v>#REF!</v>
          </cell>
          <cell r="I891" t="str">
            <v>L-&gt;R</v>
          </cell>
          <cell r="J891" t="str">
            <v>MVC</v>
          </cell>
          <cell r="K891">
            <v>1</v>
          </cell>
          <cell r="L891">
            <v>110034</v>
          </cell>
          <cell r="M891" t="str">
            <v>APR 21</v>
          </cell>
          <cell r="N891">
            <v>44315</v>
          </cell>
          <cell r="O891">
            <v>11116566</v>
          </cell>
          <cell r="P891">
            <v>17800000</v>
          </cell>
          <cell r="Q891">
            <v>44287</v>
          </cell>
          <cell r="R891" t="str">
            <v>No</v>
          </cell>
          <cell r="S891" t="str">
            <v>C49</v>
          </cell>
          <cell r="T891" t="str">
            <v>SOUTH</v>
          </cell>
          <cell r="U891" t="str">
            <v>深圳</v>
          </cell>
          <cell r="V891" t="str">
            <v>SZ 深圳</v>
          </cell>
          <cell r="W891" t="str">
            <v>DZ</v>
          </cell>
          <cell r="X891" t="str">
            <v>JPY</v>
          </cell>
          <cell r="Y891">
            <v>17800000</v>
          </cell>
          <cell r="Z891">
            <v>1</v>
          </cell>
          <cell r="AA891">
            <v>17800000</v>
          </cell>
          <cell r="AB891">
            <v>7.4499999999999997E-2</v>
          </cell>
          <cell r="AC891">
            <v>1326100</v>
          </cell>
          <cell r="AD891">
            <v>159132</v>
          </cell>
          <cell r="AE891">
            <v>0.12</v>
          </cell>
          <cell r="AF891">
            <v>44265</v>
          </cell>
          <cell r="AG891" t="str">
            <v>CIF HK</v>
          </cell>
          <cell r="AK891">
            <v>0.1</v>
          </cell>
          <cell r="AL891">
            <v>1780000</v>
          </cell>
          <cell r="AM891">
            <v>44063</v>
          </cell>
          <cell r="AN891" t="str">
            <v>Yes</v>
          </cell>
          <cell r="AO891">
            <v>0.85</v>
          </cell>
          <cell r="AP891">
            <v>15130000</v>
          </cell>
          <cell r="AQ891">
            <v>44305</v>
          </cell>
          <cell r="AR891">
            <v>44305</v>
          </cell>
          <cell r="AS891">
            <v>0.05</v>
          </cell>
          <cell r="AT891">
            <v>890000</v>
          </cell>
          <cell r="AU891">
            <v>44481</v>
          </cell>
          <cell r="AV891">
            <v>44481</v>
          </cell>
          <cell r="AX891" t="str">
            <v>Yes</v>
          </cell>
          <cell r="AZ891" t="str">
            <v>Yes</v>
          </cell>
          <cell r="BA891" t="str">
            <v>Yes</v>
          </cell>
        </row>
        <row r="892">
          <cell r="B892">
            <v>741</v>
          </cell>
          <cell r="C892" t="str">
            <v>C49SZX20200099SS</v>
          </cell>
          <cell r="D892" t="str">
            <v>金晟晖</v>
          </cell>
          <cell r="E892" t="str">
            <v>YSM20R(SV)-2</v>
          </cell>
          <cell r="F892" t="str">
            <v>#78884</v>
          </cell>
          <cell r="G892" t="e">
            <v>#REF!</v>
          </cell>
          <cell r="H892" t="e">
            <v>#REF!</v>
          </cell>
          <cell r="I892" t="str">
            <v>L-&gt;R</v>
          </cell>
          <cell r="J892" t="str">
            <v>MVC</v>
          </cell>
          <cell r="K892">
            <v>1</v>
          </cell>
          <cell r="L892" t="e">
            <v>#N/A</v>
          </cell>
          <cell r="M892" t="e">
            <v>#N/A</v>
          </cell>
          <cell r="N892"/>
          <cell r="O892"/>
          <cell r="P892"/>
          <cell r="Q892"/>
          <cell r="R892" t="str">
            <v>No</v>
          </cell>
          <cell r="S892" t="str">
            <v>C49</v>
          </cell>
          <cell r="T892" t="str">
            <v>SOUTH</v>
          </cell>
          <cell r="U892" t="str">
            <v>深圳</v>
          </cell>
          <cell r="V892" t="str">
            <v>SZ 深圳</v>
          </cell>
          <cell r="W892" t="str">
            <v>SS</v>
          </cell>
          <cell r="X892" t="str">
            <v>JPY</v>
          </cell>
          <cell r="Y892">
            <v>12725000</v>
          </cell>
          <cell r="Z892">
            <v>1</v>
          </cell>
          <cell r="AA892">
            <v>12725000</v>
          </cell>
          <cell r="AB892">
            <v>7.3400000000000007E-2</v>
          </cell>
          <cell r="AC892">
            <v>934015.00000000012</v>
          </cell>
          <cell r="AD892">
            <v>112081.8</v>
          </cell>
          <cell r="AE892">
            <v>0.12</v>
          </cell>
          <cell r="AF892">
            <v>44035</v>
          </cell>
          <cell r="AG892" t="str">
            <v>DAP SZ</v>
          </cell>
          <cell r="AI892"/>
          <cell r="AJ892"/>
          <cell r="AK892">
            <v>0.1</v>
          </cell>
          <cell r="AL892">
            <v>1272500</v>
          </cell>
          <cell r="AM892"/>
          <cell r="AN892" t="str">
            <v>No</v>
          </cell>
          <cell r="AO892">
            <v>0.9</v>
          </cell>
          <cell r="AP892">
            <v>11452500</v>
          </cell>
          <cell r="AQ892"/>
          <cell r="AR892"/>
          <cell r="AS892">
            <v>0</v>
          </cell>
          <cell r="AT892">
            <v>0</v>
          </cell>
          <cell r="AV892"/>
          <cell r="AX892" t="str">
            <v>Cancel</v>
          </cell>
          <cell r="AY892"/>
          <cell r="AZ892"/>
          <cell r="BA892"/>
        </row>
        <row r="893">
          <cell r="B893">
            <v>742</v>
          </cell>
          <cell r="C893" t="str">
            <v>C49SZX20200111JY</v>
          </cell>
          <cell r="D893" t="str">
            <v>华创易达</v>
          </cell>
          <cell r="E893" t="str">
            <v>YSM10</v>
          </cell>
          <cell r="F893" t="str">
            <v>#04692</v>
          </cell>
          <cell r="G893" t="e">
            <v>#REF!</v>
          </cell>
          <cell r="H893" t="e">
            <v>#REF!</v>
          </cell>
          <cell r="I893" t="str">
            <v>L-&gt;R</v>
          </cell>
          <cell r="J893" t="str">
            <v>No</v>
          </cell>
          <cell r="K893">
            <v>1</v>
          </cell>
          <cell r="L893">
            <v>109958</v>
          </cell>
          <cell r="M893" t="str">
            <v>SEP 20</v>
          </cell>
          <cell r="N893">
            <v>44075</v>
          </cell>
          <cell r="O893">
            <v>11116423</v>
          </cell>
          <cell r="P893">
            <v>6600000</v>
          </cell>
          <cell r="Q893">
            <v>44094</v>
          </cell>
          <cell r="R893" t="str">
            <v>No</v>
          </cell>
          <cell r="S893" t="str">
            <v>C49</v>
          </cell>
          <cell r="T893" t="str">
            <v>SOUTH</v>
          </cell>
          <cell r="U893" t="str">
            <v>深圳</v>
          </cell>
          <cell r="V893" t="str">
            <v>SZ 深圳</v>
          </cell>
          <cell r="W893" t="str">
            <v>JY</v>
          </cell>
          <cell r="X893" t="str">
            <v>JPY</v>
          </cell>
          <cell r="Y893">
            <v>6600000</v>
          </cell>
          <cell r="Z893">
            <v>1</v>
          </cell>
          <cell r="AA893">
            <v>6600000</v>
          </cell>
          <cell r="AB893">
            <v>7.3400000000000007E-2</v>
          </cell>
          <cell r="AC893">
            <v>484440.00000000006</v>
          </cell>
          <cell r="AD893">
            <v>58132.800000000003</v>
          </cell>
          <cell r="AE893">
            <v>0.12</v>
          </cell>
          <cell r="AF893">
            <v>44035</v>
          </cell>
          <cell r="AG893" t="str">
            <v>DAP SZ</v>
          </cell>
          <cell r="AK893">
            <v>0.1</v>
          </cell>
          <cell r="AL893">
            <v>660000</v>
          </cell>
          <cell r="AM893">
            <v>44035</v>
          </cell>
          <cell r="AN893" t="str">
            <v>Yes</v>
          </cell>
          <cell r="AO893">
            <v>0.9</v>
          </cell>
          <cell r="AP893">
            <v>5940000</v>
          </cell>
          <cell r="AQ893">
            <v>44063</v>
          </cell>
          <cell r="AR893">
            <v>44074</v>
          </cell>
          <cell r="AS893">
            <v>0</v>
          </cell>
          <cell r="AT893">
            <v>0</v>
          </cell>
          <cell r="AX893" t="str">
            <v>Yes</v>
          </cell>
          <cell r="AZ893" t="str">
            <v>Yes</v>
          </cell>
          <cell r="BA893" t="str">
            <v>Yes</v>
          </cell>
        </row>
        <row r="894">
          <cell r="B894">
            <v>743</v>
          </cell>
          <cell r="C894" t="str">
            <v>C49SZX20200112SS</v>
          </cell>
          <cell r="D894" t="str">
            <v>钧溢电子</v>
          </cell>
          <cell r="E894" t="str">
            <v>YSM20R(SV)-2</v>
          </cell>
          <cell r="F894" t="str">
            <v>#04111</v>
          </cell>
          <cell r="G894" t="e">
            <v>#REF!</v>
          </cell>
          <cell r="H894" t="e">
            <v>#REF!</v>
          </cell>
          <cell r="I894" t="str">
            <v>L-&gt;R</v>
          </cell>
          <cell r="J894" t="str">
            <v>No</v>
          </cell>
          <cell r="K894">
            <v>1</v>
          </cell>
          <cell r="L894">
            <v>109980</v>
          </cell>
          <cell r="M894" t="str">
            <v>SEP 20</v>
          </cell>
          <cell r="N894">
            <v>44103</v>
          </cell>
          <cell r="O894">
            <v>11116436</v>
          </cell>
          <cell r="P894">
            <v>11834000</v>
          </cell>
          <cell r="Q894">
            <v>44075</v>
          </cell>
          <cell r="R894" t="str">
            <v>No</v>
          </cell>
          <cell r="S894" t="str">
            <v>C49</v>
          </cell>
          <cell r="T894" t="str">
            <v>SOUTH</v>
          </cell>
          <cell r="U894" t="str">
            <v>深圳</v>
          </cell>
          <cell r="V894" t="str">
            <v>SZ 深圳</v>
          </cell>
          <cell r="W894" t="str">
            <v>SS</v>
          </cell>
          <cell r="X894" t="str">
            <v>JPY</v>
          </cell>
          <cell r="Y894">
            <v>11834000</v>
          </cell>
          <cell r="Z894">
            <v>1</v>
          </cell>
          <cell r="AA894">
            <v>11834000</v>
          </cell>
          <cell r="AB894">
            <v>7.3400000000000007E-2</v>
          </cell>
          <cell r="AC894">
            <v>868615.60000000009</v>
          </cell>
          <cell r="AD894">
            <v>104233.872</v>
          </cell>
          <cell r="AE894">
            <v>0.12</v>
          </cell>
          <cell r="AF894">
            <v>44036</v>
          </cell>
          <cell r="AG894" t="str">
            <v>DAP SZ</v>
          </cell>
          <cell r="AI894">
            <v>100000</v>
          </cell>
          <cell r="AJ894">
            <v>44040</v>
          </cell>
          <cell r="AK894" t="str">
            <v>agree</v>
          </cell>
          <cell r="AL894">
            <v>1386941</v>
          </cell>
          <cell r="AM894">
            <v>44094</v>
          </cell>
          <cell r="AN894" t="str">
            <v>Yes</v>
          </cell>
          <cell r="AO894" t="str">
            <v>agree</v>
          </cell>
          <cell r="AP894">
            <v>10447059</v>
          </cell>
          <cell r="AQ894">
            <v>44094</v>
          </cell>
          <cell r="AR894">
            <v>44099</v>
          </cell>
          <cell r="AS894">
            <v>0</v>
          </cell>
          <cell r="AT894">
            <v>0</v>
          </cell>
          <cell r="AX894" t="str">
            <v>Yes</v>
          </cell>
          <cell r="AZ894" t="str">
            <v>Yes</v>
          </cell>
          <cell r="BA894" t="str">
            <v>Yes</v>
          </cell>
        </row>
        <row r="895">
          <cell r="B895">
            <v>744</v>
          </cell>
          <cell r="C895" t="str">
            <v>C49SZX20200115SX</v>
          </cell>
          <cell r="D895" t="str">
            <v>优控电子</v>
          </cell>
          <cell r="E895" t="str">
            <v>YSM10</v>
          </cell>
          <cell r="F895" t="str">
            <v>#04830</v>
          </cell>
          <cell r="G895" t="e">
            <v>#REF!</v>
          </cell>
          <cell r="H895" t="e">
            <v>#REF!</v>
          </cell>
          <cell r="I895" t="str">
            <v>L-&gt;R</v>
          </cell>
          <cell r="J895" t="str">
            <v>No</v>
          </cell>
          <cell r="K895">
            <v>1</v>
          </cell>
          <cell r="L895">
            <v>110049</v>
          </cell>
          <cell r="M895" t="str">
            <v>DEC 20</v>
          </cell>
          <cell r="N895">
            <v>44175</v>
          </cell>
          <cell r="O895">
            <v>11116475</v>
          </cell>
          <cell r="P895">
            <v>7620000</v>
          </cell>
          <cell r="Q895">
            <v>44166</v>
          </cell>
          <cell r="R895" t="str">
            <v>Yes</v>
          </cell>
          <cell r="S895" t="str">
            <v>C49</v>
          </cell>
          <cell r="T895" t="str">
            <v>SOUTH</v>
          </cell>
          <cell r="U895" t="str">
            <v>深圳</v>
          </cell>
          <cell r="V895" t="str">
            <v>SZ 深圳</v>
          </cell>
          <cell r="W895" t="str">
            <v>SX</v>
          </cell>
          <cell r="X895" t="str">
            <v>JPY</v>
          </cell>
          <cell r="Y895">
            <v>7620000</v>
          </cell>
          <cell r="Z895">
            <v>1</v>
          </cell>
          <cell r="AA895">
            <v>7620000</v>
          </cell>
          <cell r="AB895">
            <v>7.3400000000000007E-2</v>
          </cell>
          <cell r="AC895">
            <v>559308</v>
          </cell>
          <cell r="AD895">
            <v>67116.959999999992</v>
          </cell>
          <cell r="AE895">
            <v>0.12</v>
          </cell>
          <cell r="AF895">
            <v>44040</v>
          </cell>
          <cell r="AG895" t="str">
            <v>DAP JX</v>
          </cell>
          <cell r="AI895"/>
          <cell r="AK895">
            <v>0.2</v>
          </cell>
          <cell r="AL895">
            <v>1524000</v>
          </cell>
          <cell r="AM895">
            <v>44102</v>
          </cell>
          <cell r="AN895" t="str">
            <v>Yes</v>
          </cell>
          <cell r="AO895">
            <v>0.8</v>
          </cell>
          <cell r="AP895">
            <v>6096000</v>
          </cell>
          <cell r="AQ895">
            <v>44166</v>
          </cell>
          <cell r="AR895">
            <v>44172</v>
          </cell>
          <cell r="AS895">
            <v>0</v>
          </cell>
          <cell r="AT895">
            <v>0</v>
          </cell>
          <cell r="AX895" t="str">
            <v>Yes</v>
          </cell>
          <cell r="AZ895" t="str">
            <v>Yes</v>
          </cell>
          <cell r="BA895" t="str">
            <v>Yes</v>
          </cell>
        </row>
        <row r="896">
          <cell r="B896">
            <v>745</v>
          </cell>
          <cell r="C896" t="str">
            <v>C49SZX20200115SX</v>
          </cell>
          <cell r="D896" t="str">
            <v>优控电子</v>
          </cell>
          <cell r="E896" t="str">
            <v>YSM10</v>
          </cell>
          <cell r="F896" t="str">
            <v>#04830</v>
          </cell>
          <cell r="G896" t="e">
            <v>#REF!</v>
          </cell>
          <cell r="H896" t="e">
            <v>#REF!</v>
          </cell>
          <cell r="I896" t="str">
            <v>L-&gt;R</v>
          </cell>
          <cell r="J896" t="str">
            <v>No</v>
          </cell>
          <cell r="K896">
            <v>1</v>
          </cell>
          <cell r="L896" t="str">
            <v>110025(拆单110117)</v>
          </cell>
          <cell r="M896" t="str">
            <v>DEC 20</v>
          </cell>
          <cell r="N896">
            <v>44175</v>
          </cell>
          <cell r="O896">
            <v>11116475</v>
          </cell>
          <cell r="P896">
            <v>7620000</v>
          </cell>
          <cell r="Q896">
            <v>44166</v>
          </cell>
          <cell r="R896" t="str">
            <v>Yes</v>
          </cell>
          <cell r="S896" t="str">
            <v>C49</v>
          </cell>
          <cell r="T896" t="str">
            <v>SOUTH</v>
          </cell>
          <cell r="U896" t="str">
            <v>深圳</v>
          </cell>
          <cell r="V896" t="str">
            <v>SZ 深圳</v>
          </cell>
          <cell r="W896" t="str">
            <v>SX</v>
          </cell>
          <cell r="X896" t="str">
            <v>JPY</v>
          </cell>
          <cell r="Y896">
            <v>7620000</v>
          </cell>
          <cell r="Z896">
            <v>1</v>
          </cell>
          <cell r="AA896">
            <v>7620000</v>
          </cell>
          <cell r="AB896">
            <v>7.3400000000000007E-2</v>
          </cell>
          <cell r="AC896">
            <v>559308</v>
          </cell>
          <cell r="AD896">
            <v>67116.959999999992</v>
          </cell>
          <cell r="AE896">
            <v>0.12</v>
          </cell>
          <cell r="AF896">
            <v>44040</v>
          </cell>
          <cell r="AG896" t="str">
            <v>DAP JX</v>
          </cell>
          <cell r="AI896"/>
          <cell r="AK896">
            <v>0.2</v>
          </cell>
          <cell r="AL896">
            <v>1524000</v>
          </cell>
          <cell r="AM896">
            <v>44102</v>
          </cell>
          <cell r="AN896" t="str">
            <v>Yes</v>
          </cell>
          <cell r="AO896">
            <v>0.8</v>
          </cell>
          <cell r="AP896">
            <v>6096000</v>
          </cell>
          <cell r="AQ896">
            <v>44166</v>
          </cell>
          <cell r="AR896">
            <v>44172</v>
          </cell>
          <cell r="AS896">
            <v>0</v>
          </cell>
          <cell r="AT896">
            <v>0</v>
          </cell>
          <cell r="AX896" t="str">
            <v>Yes</v>
          </cell>
          <cell r="AZ896" t="str">
            <v>Yes</v>
          </cell>
          <cell r="BA896" t="str">
            <v>Yes</v>
          </cell>
        </row>
        <row r="897">
          <cell r="B897">
            <v>746</v>
          </cell>
          <cell r="C897" t="str">
            <v>C49SZX20200117SX</v>
          </cell>
          <cell r="D897" t="str">
            <v>优控电子</v>
          </cell>
          <cell r="E897" t="str">
            <v>YSM10</v>
          </cell>
          <cell r="F897" t="str">
            <v>#04830</v>
          </cell>
          <cell r="G897" t="e">
            <v>#REF!</v>
          </cell>
          <cell r="H897" t="e">
            <v>#REF!</v>
          </cell>
          <cell r="I897" t="str">
            <v>L-&gt;R</v>
          </cell>
          <cell r="J897" t="str">
            <v>No</v>
          </cell>
          <cell r="K897">
            <v>1</v>
          </cell>
          <cell r="L897" t="e">
            <v>#N/A</v>
          </cell>
          <cell r="M897" t="e">
            <v>#N/A</v>
          </cell>
          <cell r="N897"/>
          <cell r="O897"/>
          <cell r="P897"/>
          <cell r="Q897"/>
          <cell r="R897" t="str">
            <v>Yes</v>
          </cell>
          <cell r="S897" t="str">
            <v>C49</v>
          </cell>
          <cell r="T897" t="str">
            <v>SOUTH</v>
          </cell>
          <cell r="U897" t="str">
            <v>深圳</v>
          </cell>
          <cell r="V897" t="str">
            <v>SZ 深圳</v>
          </cell>
          <cell r="W897" t="str">
            <v>SX</v>
          </cell>
          <cell r="X897" t="str">
            <v>JPY</v>
          </cell>
          <cell r="Y897">
            <v>7620000</v>
          </cell>
          <cell r="Z897">
            <v>1</v>
          </cell>
          <cell r="AA897">
            <v>7620000</v>
          </cell>
          <cell r="AB897">
            <v>7.3400000000000007E-2</v>
          </cell>
          <cell r="AC897">
            <v>559308</v>
          </cell>
          <cell r="AD897">
            <v>67116.959999999992</v>
          </cell>
          <cell r="AE897">
            <v>0.12</v>
          </cell>
          <cell r="AF897">
            <v>44040</v>
          </cell>
          <cell r="AG897" t="str">
            <v>DAP JX</v>
          </cell>
          <cell r="AI897"/>
          <cell r="AJ897"/>
          <cell r="AK897">
            <v>0.2</v>
          </cell>
          <cell r="AL897">
            <v>1524000</v>
          </cell>
          <cell r="AM897"/>
          <cell r="AN897" t="str">
            <v>No</v>
          </cell>
          <cell r="AO897">
            <v>0.8</v>
          </cell>
          <cell r="AP897">
            <v>6096000</v>
          </cell>
          <cell r="AQ897"/>
          <cell r="AR897"/>
          <cell r="AS897">
            <v>0</v>
          </cell>
          <cell r="AT897">
            <v>0</v>
          </cell>
          <cell r="AV897"/>
          <cell r="AX897"/>
          <cell r="AY897"/>
          <cell r="AZ897"/>
          <cell r="BA897"/>
        </row>
        <row r="898">
          <cell r="B898">
            <v>747</v>
          </cell>
          <cell r="C898" t="str">
            <v>C49SZX20200117SX</v>
          </cell>
          <cell r="D898" t="str">
            <v>优控电子</v>
          </cell>
          <cell r="E898" t="str">
            <v>YSM10</v>
          </cell>
          <cell r="F898" t="str">
            <v>#04830</v>
          </cell>
          <cell r="G898" t="e">
            <v>#REF!</v>
          </cell>
          <cell r="H898" t="e">
            <v>#REF!</v>
          </cell>
          <cell r="I898" t="str">
            <v>L-&gt;R</v>
          </cell>
          <cell r="J898" t="str">
            <v>No</v>
          </cell>
          <cell r="K898">
            <v>1</v>
          </cell>
          <cell r="L898" t="e">
            <v>#N/A</v>
          </cell>
          <cell r="M898" t="e">
            <v>#N/A</v>
          </cell>
          <cell r="N898"/>
          <cell r="O898"/>
          <cell r="P898"/>
          <cell r="Q898"/>
          <cell r="R898" t="str">
            <v>Yes</v>
          </cell>
          <cell r="S898" t="str">
            <v>C49</v>
          </cell>
          <cell r="T898" t="str">
            <v>SOUTH</v>
          </cell>
          <cell r="U898" t="str">
            <v>深圳</v>
          </cell>
          <cell r="V898" t="str">
            <v>SZ 深圳</v>
          </cell>
          <cell r="W898" t="str">
            <v>SX</v>
          </cell>
          <cell r="X898" t="str">
            <v>JPY</v>
          </cell>
          <cell r="Y898">
            <v>7620000</v>
          </cell>
          <cell r="Z898">
            <v>1</v>
          </cell>
          <cell r="AA898">
            <v>7620000</v>
          </cell>
          <cell r="AB898">
            <v>7.3400000000000007E-2</v>
          </cell>
          <cell r="AC898">
            <v>559308</v>
          </cell>
          <cell r="AD898">
            <v>67116.959999999992</v>
          </cell>
          <cell r="AE898">
            <v>0.12</v>
          </cell>
          <cell r="AF898">
            <v>44040</v>
          </cell>
          <cell r="AG898" t="str">
            <v>DAP JX</v>
          </cell>
          <cell r="AI898"/>
          <cell r="AJ898"/>
          <cell r="AK898">
            <v>0.2</v>
          </cell>
          <cell r="AL898">
            <v>1524000</v>
          </cell>
          <cell r="AM898"/>
          <cell r="AN898" t="str">
            <v>No</v>
          </cell>
          <cell r="AO898">
            <v>0.8</v>
          </cell>
          <cell r="AP898">
            <v>6096000</v>
          </cell>
          <cell r="AQ898"/>
          <cell r="AR898"/>
          <cell r="AS898">
            <v>0</v>
          </cell>
          <cell r="AT898">
            <v>0</v>
          </cell>
          <cell r="AV898"/>
          <cell r="AX898"/>
          <cell r="AY898"/>
          <cell r="AZ898"/>
          <cell r="BA898"/>
        </row>
        <row r="899">
          <cell r="B899">
            <v>748</v>
          </cell>
          <cell r="C899" t="str">
            <v>C49SZX20200117SX</v>
          </cell>
          <cell r="D899" t="str">
            <v>优控电子</v>
          </cell>
          <cell r="E899" t="str">
            <v>YSM10</v>
          </cell>
          <cell r="F899" t="str">
            <v>#04830</v>
          </cell>
          <cell r="G899" t="e">
            <v>#REF!</v>
          </cell>
          <cell r="H899" t="e">
            <v>#REF!</v>
          </cell>
          <cell r="I899" t="str">
            <v>L-&gt;R</v>
          </cell>
          <cell r="J899" t="str">
            <v>No</v>
          </cell>
          <cell r="K899">
            <v>1</v>
          </cell>
          <cell r="L899" t="e">
            <v>#N/A</v>
          </cell>
          <cell r="M899" t="e">
            <v>#N/A</v>
          </cell>
          <cell r="N899"/>
          <cell r="O899"/>
          <cell r="P899"/>
          <cell r="Q899"/>
          <cell r="R899" t="str">
            <v>Yes</v>
          </cell>
          <cell r="S899" t="str">
            <v>C49</v>
          </cell>
          <cell r="T899" t="str">
            <v>SOUTH</v>
          </cell>
          <cell r="U899" t="str">
            <v>深圳</v>
          </cell>
          <cell r="V899" t="str">
            <v>SZ 深圳</v>
          </cell>
          <cell r="W899" t="str">
            <v>SX</v>
          </cell>
          <cell r="X899" t="str">
            <v>JPY</v>
          </cell>
          <cell r="Y899">
            <v>7620000</v>
          </cell>
          <cell r="Z899">
            <v>1</v>
          </cell>
          <cell r="AA899">
            <v>7620000</v>
          </cell>
          <cell r="AB899">
            <v>7.3400000000000007E-2</v>
          </cell>
          <cell r="AC899">
            <v>559308</v>
          </cell>
          <cell r="AD899">
            <v>67116.959999999992</v>
          </cell>
          <cell r="AE899">
            <v>0.12</v>
          </cell>
          <cell r="AF899">
            <v>44040</v>
          </cell>
          <cell r="AG899" t="str">
            <v>DAP JX</v>
          </cell>
          <cell r="AI899"/>
          <cell r="AJ899"/>
          <cell r="AK899">
            <v>0.2</v>
          </cell>
          <cell r="AL899">
            <v>1524000</v>
          </cell>
          <cell r="AM899"/>
          <cell r="AN899" t="str">
            <v>No</v>
          </cell>
          <cell r="AO899">
            <v>0.8</v>
          </cell>
          <cell r="AP899">
            <v>6096000</v>
          </cell>
          <cell r="AQ899"/>
          <cell r="AR899"/>
          <cell r="AS899">
            <v>0</v>
          </cell>
          <cell r="AT899">
            <v>0</v>
          </cell>
          <cell r="AV899"/>
          <cell r="AX899"/>
          <cell r="AY899"/>
          <cell r="AZ899"/>
          <cell r="BA899"/>
        </row>
        <row r="900">
          <cell r="B900">
            <v>749</v>
          </cell>
          <cell r="C900" t="str">
            <v>C49SZX20200120SX</v>
          </cell>
          <cell r="D900" t="str">
            <v>凌鑫</v>
          </cell>
          <cell r="E900" t="str">
            <v>YSM10</v>
          </cell>
          <cell r="F900" t="str">
            <v>#59002</v>
          </cell>
          <cell r="G900" t="e">
            <v>#REF!</v>
          </cell>
          <cell r="H900" t="e">
            <v>#REF!</v>
          </cell>
          <cell r="I900" t="str">
            <v>L-&gt;R</v>
          </cell>
          <cell r="J900" t="str">
            <v>MVC</v>
          </cell>
          <cell r="K900">
            <v>1</v>
          </cell>
          <cell r="L900">
            <v>109992</v>
          </cell>
          <cell r="M900" t="str">
            <v>NOV 20</v>
          </cell>
          <cell r="N900">
            <v>44139</v>
          </cell>
          <cell r="O900">
            <v>11116450</v>
          </cell>
          <cell r="P900">
            <v>9300000</v>
          </cell>
          <cell r="Q900">
            <v>44136</v>
          </cell>
          <cell r="R900" t="str">
            <v>No</v>
          </cell>
          <cell r="S900" t="str">
            <v>C49</v>
          </cell>
          <cell r="T900" t="str">
            <v>SOUTH</v>
          </cell>
          <cell r="U900" t="str">
            <v>深圳</v>
          </cell>
          <cell r="V900" t="str">
            <v>SZ 深圳</v>
          </cell>
          <cell r="W900" t="str">
            <v>SX</v>
          </cell>
          <cell r="X900" t="str">
            <v>JPY</v>
          </cell>
          <cell r="Y900">
            <v>9300000</v>
          </cell>
          <cell r="Z900">
            <v>1</v>
          </cell>
          <cell r="AA900">
            <v>9300000</v>
          </cell>
          <cell r="AB900">
            <v>7.3400000000000007E-2</v>
          </cell>
          <cell r="AC900">
            <v>682620.00000000012</v>
          </cell>
          <cell r="AD900">
            <v>81914.400000000009</v>
          </cell>
          <cell r="AE900">
            <v>0.12</v>
          </cell>
          <cell r="AF900">
            <v>44041</v>
          </cell>
          <cell r="AG900" t="str">
            <v>DAP SZ</v>
          </cell>
          <cell r="AK900" t="str">
            <v>agree</v>
          </cell>
          <cell r="AL900">
            <v>3024894</v>
          </cell>
          <cell r="AM900">
            <v>44063</v>
          </cell>
          <cell r="AN900" t="str">
            <v>Yes</v>
          </cell>
          <cell r="AO900" t="str">
            <v>agree</v>
          </cell>
          <cell r="AP900">
            <v>6275106</v>
          </cell>
          <cell r="AQ900">
            <v>44094</v>
          </cell>
          <cell r="AR900">
            <v>44077</v>
          </cell>
          <cell r="AS900">
            <v>0</v>
          </cell>
          <cell r="AT900">
            <v>0</v>
          </cell>
          <cell r="AX900" t="str">
            <v>Yes</v>
          </cell>
          <cell r="AZ900" t="str">
            <v>Yes</v>
          </cell>
          <cell r="BA900" t="str">
            <v>Yes</v>
          </cell>
        </row>
        <row r="901">
          <cell r="B901">
            <v>750</v>
          </cell>
          <cell r="C901" t="str">
            <v>C49SZX20200118SS</v>
          </cell>
          <cell r="D901" t="str">
            <v>正创</v>
          </cell>
          <cell r="E901" t="str">
            <v>YSM20R(SV)-2</v>
          </cell>
          <cell r="F901" t="str">
            <v>#03946</v>
          </cell>
          <cell r="G901" t="e">
            <v>#REF!</v>
          </cell>
          <cell r="H901" t="e">
            <v>#REF!</v>
          </cell>
          <cell r="I901" t="str">
            <v>L-&gt;R</v>
          </cell>
          <cell r="J901" t="str">
            <v>No</v>
          </cell>
          <cell r="K901">
            <v>1</v>
          </cell>
          <cell r="L901">
            <v>109996</v>
          </cell>
          <cell r="M901" t="str">
            <v>OCT 20</v>
          </cell>
          <cell r="N901">
            <v>44134</v>
          </cell>
          <cell r="O901">
            <v>11116444</v>
          </cell>
          <cell r="P901">
            <v>10500000</v>
          </cell>
          <cell r="Q901">
            <v>44105</v>
          </cell>
          <cell r="R901" t="str">
            <v>No</v>
          </cell>
          <cell r="S901" t="str">
            <v>C49</v>
          </cell>
          <cell r="T901" t="str">
            <v>SOUTH</v>
          </cell>
          <cell r="U901" t="str">
            <v>深圳</v>
          </cell>
          <cell r="V901" t="str">
            <v>SZ 深圳</v>
          </cell>
          <cell r="W901" t="str">
            <v>SS</v>
          </cell>
          <cell r="X901" t="str">
            <v>JPY</v>
          </cell>
          <cell r="Y901">
            <v>10500000</v>
          </cell>
          <cell r="Z901">
            <v>1</v>
          </cell>
          <cell r="AA901">
            <v>10500000</v>
          </cell>
          <cell r="AB901">
            <v>7.3400000000000007E-2</v>
          </cell>
          <cell r="AC901">
            <v>770700.00000000012</v>
          </cell>
          <cell r="AD901">
            <v>92484.000000000015</v>
          </cell>
          <cell r="AE901">
            <v>0.12</v>
          </cell>
          <cell r="AF901">
            <v>44040</v>
          </cell>
          <cell r="AG901" t="str">
            <v>DAP SZ</v>
          </cell>
          <cell r="AK901" t="str">
            <v>agree</v>
          </cell>
          <cell r="AL901">
            <v>453796</v>
          </cell>
          <cell r="AM901">
            <v>44063</v>
          </cell>
          <cell r="AN901" t="str">
            <v>Yes</v>
          </cell>
          <cell r="AO901" t="str">
            <v>agree</v>
          </cell>
          <cell r="AP901">
            <v>10046204</v>
          </cell>
          <cell r="AQ901">
            <v>44105</v>
          </cell>
          <cell r="AR901">
            <v>44133</v>
          </cell>
          <cell r="AS901">
            <v>0</v>
          </cell>
          <cell r="AT901">
            <v>0</v>
          </cell>
          <cell r="AX901" t="str">
            <v>Yes</v>
          </cell>
        </row>
        <row r="902">
          <cell r="B902">
            <v>751</v>
          </cell>
          <cell r="C902" t="str">
            <v>BS-SZGZ20071306-ZB</v>
          </cell>
          <cell r="D902" t="str">
            <v>银宝山新</v>
          </cell>
          <cell r="E902" t="str">
            <v>YSM20WR-2</v>
          </cell>
          <cell r="F902" t="str">
            <v>#04803</v>
          </cell>
          <cell r="G902" t="e">
            <v>#REF!</v>
          </cell>
          <cell r="H902" t="e">
            <v>#REF!</v>
          </cell>
          <cell r="I902" t="str">
            <v>L-&gt;R</v>
          </cell>
          <cell r="J902" t="str">
            <v>cATS10+MVC</v>
          </cell>
          <cell r="K902">
            <v>1</v>
          </cell>
          <cell r="L902">
            <v>110033</v>
          </cell>
          <cell r="M902" t="str">
            <v>OCT 20</v>
          </cell>
          <cell r="N902">
            <v>44131</v>
          </cell>
          <cell r="O902">
            <v>11100440</v>
          </cell>
          <cell r="P902">
            <v>1600000</v>
          </cell>
          <cell r="Q902">
            <v>44105</v>
          </cell>
          <cell r="R902" t="str">
            <v>Yes</v>
          </cell>
          <cell r="S902" t="str">
            <v>C49</v>
          </cell>
          <cell r="T902" t="str">
            <v>SOUTH</v>
          </cell>
          <cell r="U902" t="str">
            <v>深圳</v>
          </cell>
          <cell r="V902" t="str">
            <v>SZ 深圳</v>
          </cell>
          <cell r="W902" t="str">
            <v>DY</v>
          </cell>
          <cell r="X902" t="str">
            <v>RMB</v>
          </cell>
          <cell r="Y902">
            <v>1600000</v>
          </cell>
          <cell r="Z902">
            <v>1.1299999999999999</v>
          </cell>
          <cell r="AA902">
            <v>1600000</v>
          </cell>
          <cell r="AB902">
            <v>1.095</v>
          </cell>
          <cell r="AC902">
            <v>1550442.4778761063</v>
          </cell>
          <cell r="AD902">
            <v>186053.09734513276</v>
          </cell>
          <cell r="AE902">
            <v>0.12</v>
          </cell>
          <cell r="AF902">
            <v>44041</v>
          </cell>
          <cell r="AG902" t="str">
            <v>DDP SZ</v>
          </cell>
          <cell r="AK902">
            <v>0.3</v>
          </cell>
          <cell r="AL902">
            <v>480000</v>
          </cell>
          <cell r="AM902">
            <v>44063</v>
          </cell>
          <cell r="AN902" t="str">
            <v>Yes</v>
          </cell>
          <cell r="AO902">
            <v>0.6</v>
          </cell>
          <cell r="AP902">
            <v>960000</v>
          </cell>
          <cell r="AQ902">
            <v>44105</v>
          </cell>
          <cell r="AR902">
            <v>44126</v>
          </cell>
          <cell r="AS902">
            <v>0.1</v>
          </cell>
          <cell r="AT902">
            <v>160000</v>
          </cell>
          <cell r="AU902">
            <v>44197</v>
          </cell>
          <cell r="AV902">
            <v>44200</v>
          </cell>
          <cell r="AW902" t="str">
            <v>Complete</v>
          </cell>
          <cell r="AX902" t="str">
            <v>Yes</v>
          </cell>
          <cell r="AZ902" t="str">
            <v>Yes</v>
          </cell>
          <cell r="BA902" t="str">
            <v>Yes</v>
          </cell>
        </row>
        <row r="903">
          <cell r="B903">
            <v>752</v>
          </cell>
          <cell r="C903" t="str">
            <v>C49SZX20200119SS</v>
          </cell>
          <cell r="D903" t="str">
            <v>兴丰源</v>
          </cell>
          <cell r="E903" t="str">
            <v>YSM20R(SV)-2</v>
          </cell>
          <cell r="F903" t="str">
            <v>#03578</v>
          </cell>
          <cell r="G903" t="e">
            <v>#REF!</v>
          </cell>
          <cell r="H903" t="e">
            <v>#REF!</v>
          </cell>
          <cell r="I903" t="str">
            <v>L-&gt;R</v>
          </cell>
          <cell r="J903" t="str">
            <v>No</v>
          </cell>
          <cell r="K903">
            <v>1</v>
          </cell>
          <cell r="L903" t="str">
            <v>49F103569</v>
          </cell>
          <cell r="M903" t="str">
            <v>AUG 20</v>
          </cell>
          <cell r="N903">
            <v>44050</v>
          </cell>
          <cell r="O903">
            <v>11100422</v>
          </cell>
          <cell r="P903">
            <v>840000</v>
          </cell>
          <cell r="Q903">
            <v>44063</v>
          </cell>
          <cell r="R903" t="str">
            <v>No</v>
          </cell>
          <cell r="S903" t="str">
            <v>C49</v>
          </cell>
          <cell r="T903" t="str">
            <v>SOUTH</v>
          </cell>
          <cell r="U903" t="str">
            <v>深圳</v>
          </cell>
          <cell r="V903" t="str">
            <v>SZ 深圳</v>
          </cell>
          <cell r="W903" t="str">
            <v>SS</v>
          </cell>
          <cell r="X903" t="str">
            <v>RMB</v>
          </cell>
          <cell r="Y903">
            <v>840000</v>
          </cell>
          <cell r="Z903">
            <v>1.1299999999999999</v>
          </cell>
          <cell r="AA903">
            <v>840000</v>
          </cell>
          <cell r="AB903">
            <v>1.095</v>
          </cell>
          <cell r="AC903">
            <v>813982.3008849558</v>
          </cell>
          <cell r="AD903">
            <v>97677.876106194686</v>
          </cell>
          <cell r="AE903">
            <v>0.12</v>
          </cell>
          <cell r="AF903">
            <v>44042</v>
          </cell>
          <cell r="AG903" t="str">
            <v>含税到厂</v>
          </cell>
          <cell r="AK903" t="str">
            <v>agree</v>
          </cell>
          <cell r="AL903">
            <v>200000</v>
          </cell>
          <cell r="AM903">
            <v>44035</v>
          </cell>
          <cell r="AN903" t="str">
            <v>Yes</v>
          </cell>
          <cell r="AO903" t="str">
            <v>agree</v>
          </cell>
          <cell r="AP903">
            <v>640000</v>
          </cell>
          <cell r="AQ903">
            <v>44063</v>
          </cell>
          <cell r="AR903">
            <v>44046</v>
          </cell>
          <cell r="AS903">
            <v>0</v>
          </cell>
          <cell r="AT903">
            <v>0</v>
          </cell>
          <cell r="AX903" t="str">
            <v>Yes</v>
          </cell>
          <cell r="AZ903" t="str">
            <v>Yes</v>
          </cell>
          <cell r="BA903" t="str">
            <v>Yes</v>
          </cell>
        </row>
        <row r="904">
          <cell r="B904">
            <v>753</v>
          </cell>
          <cell r="C904" t="str">
            <v>C28BJS20200053LY</v>
          </cell>
          <cell r="D904" t="str">
            <v>融创信为</v>
          </cell>
          <cell r="E904" t="str">
            <v>Mercury X-Ray</v>
          </cell>
          <cell r="F904" t="str">
            <v>NO</v>
          </cell>
          <cell r="G904" t="e">
            <v>#REF!</v>
          </cell>
          <cell r="H904" t="e">
            <v>#REF!</v>
          </cell>
          <cell r="I904" t="str">
            <v>No</v>
          </cell>
          <cell r="J904" t="str">
            <v>No</v>
          </cell>
          <cell r="K904">
            <v>1</v>
          </cell>
          <cell r="L904" t="str">
            <v>28A103644</v>
          </cell>
          <cell r="M904" t="str">
            <v>SEP 20</v>
          </cell>
          <cell r="N904">
            <v>44083</v>
          </cell>
          <cell r="O904">
            <v>11101135</v>
          </cell>
          <cell r="P904">
            <v>400000</v>
          </cell>
          <cell r="Q904">
            <v>44075</v>
          </cell>
          <cell r="R904" t="str">
            <v>Yes</v>
          </cell>
          <cell r="S904" t="str">
            <v>C28</v>
          </cell>
          <cell r="T904" t="str">
            <v>NORTH</v>
          </cell>
          <cell r="U904" t="str">
            <v>青岛</v>
          </cell>
          <cell r="V904" t="str">
            <v>BJ 北京</v>
          </cell>
          <cell r="W904" t="str">
            <v>Li Yong</v>
          </cell>
          <cell r="X904" t="str">
            <v>RMB</v>
          </cell>
          <cell r="Y904">
            <v>400000</v>
          </cell>
          <cell r="Z904">
            <v>1.1299999999999999</v>
          </cell>
          <cell r="AA904">
            <v>400000</v>
          </cell>
          <cell r="AB904">
            <v>1.095</v>
          </cell>
          <cell r="AC904">
            <v>387610.61946902657</v>
          </cell>
          <cell r="AD904">
            <v>46513.27433628319</v>
          </cell>
          <cell r="AE904">
            <v>0.12</v>
          </cell>
          <cell r="AF904">
            <v>44040</v>
          </cell>
          <cell r="AG904" t="str">
            <v>含税到厂</v>
          </cell>
          <cell r="AK904">
            <v>0.3</v>
          </cell>
          <cell r="AL904">
            <v>120000</v>
          </cell>
          <cell r="AM904">
            <v>44063</v>
          </cell>
          <cell r="AN904" t="str">
            <v>Yes</v>
          </cell>
          <cell r="AO904">
            <v>0.65</v>
          </cell>
          <cell r="AP904">
            <v>260000</v>
          </cell>
          <cell r="AQ904">
            <v>44094</v>
          </cell>
          <cell r="AR904">
            <v>44078</v>
          </cell>
          <cell r="AS904">
            <v>0.05</v>
          </cell>
          <cell r="AT904">
            <v>20000</v>
          </cell>
          <cell r="AU904">
            <v>44124</v>
          </cell>
          <cell r="AV904">
            <v>44118</v>
          </cell>
          <cell r="AX904" t="str">
            <v>Yes</v>
          </cell>
          <cell r="AZ904" t="str">
            <v>Yes</v>
          </cell>
          <cell r="BA904" t="str">
            <v>Yes</v>
          </cell>
        </row>
        <row r="905">
          <cell r="B905">
            <v>754</v>
          </cell>
          <cell r="C905" t="str">
            <v>C28BJS20200054LY</v>
          </cell>
          <cell r="D905" t="str">
            <v>融创信为</v>
          </cell>
          <cell r="E905" t="str">
            <v>SMX-1000 Plus</v>
          </cell>
          <cell r="F905" t="str">
            <v>NO</v>
          </cell>
          <cell r="G905" t="e">
            <v>#REF!</v>
          </cell>
          <cell r="H905" t="e">
            <v>#REF!</v>
          </cell>
          <cell r="I905" t="str">
            <v>No</v>
          </cell>
          <cell r="J905" t="str">
            <v>No</v>
          </cell>
          <cell r="K905">
            <v>1</v>
          </cell>
          <cell r="L905" t="str">
            <v>28A103645</v>
          </cell>
          <cell r="M905" t="str">
            <v>SEP 20</v>
          </cell>
          <cell r="N905">
            <v>44089</v>
          </cell>
          <cell r="O905">
            <v>11101136</v>
          </cell>
          <cell r="P905">
            <v>1400000</v>
          </cell>
          <cell r="Q905">
            <v>44075</v>
          </cell>
          <cell r="R905" t="str">
            <v>Yes</v>
          </cell>
          <cell r="S905" t="str">
            <v>C28</v>
          </cell>
          <cell r="T905" t="str">
            <v>NORTH</v>
          </cell>
          <cell r="U905" t="str">
            <v>青岛</v>
          </cell>
          <cell r="V905" t="str">
            <v>BJ 北京</v>
          </cell>
          <cell r="W905" t="str">
            <v>Li Yong</v>
          </cell>
          <cell r="X905" t="str">
            <v>RMB</v>
          </cell>
          <cell r="Y905">
            <v>1400000</v>
          </cell>
          <cell r="Z905">
            <v>1.1299999999999999</v>
          </cell>
          <cell r="AA905">
            <v>1400000</v>
          </cell>
          <cell r="AB905">
            <v>1.095</v>
          </cell>
          <cell r="AC905">
            <v>1356637.168141593</v>
          </cell>
          <cell r="AD905">
            <v>162796.46017699115</v>
          </cell>
          <cell r="AE905">
            <v>0.12</v>
          </cell>
          <cell r="AF905">
            <v>44040</v>
          </cell>
          <cell r="AG905" t="str">
            <v>含税到厂</v>
          </cell>
          <cell r="AK905">
            <v>0.3</v>
          </cell>
          <cell r="AL905">
            <v>420000</v>
          </cell>
          <cell r="AM905">
            <v>44063</v>
          </cell>
          <cell r="AN905" t="str">
            <v>Yes</v>
          </cell>
          <cell r="AO905">
            <v>0.65</v>
          </cell>
          <cell r="AP905">
            <v>910000</v>
          </cell>
          <cell r="AQ905">
            <v>44094</v>
          </cell>
          <cell r="AR905">
            <v>44078</v>
          </cell>
          <cell r="AS905">
            <v>0.05</v>
          </cell>
          <cell r="AT905">
            <v>70000</v>
          </cell>
        </row>
        <row r="906">
          <cell r="B906">
            <v>755</v>
          </cell>
          <cell r="C906" t="str">
            <v>102955-ESE-LEL</v>
          </cell>
          <cell r="D906" t="str">
            <v>力丰</v>
          </cell>
          <cell r="E906" t="str">
            <v>SolderStar R-0625L</v>
          </cell>
          <cell r="F906" t="str">
            <v>NO</v>
          </cell>
          <cell r="G906" t="e">
            <v>#REF!</v>
          </cell>
          <cell r="H906" t="e">
            <v>#REF!</v>
          </cell>
          <cell r="I906" t="str">
            <v>No</v>
          </cell>
          <cell r="J906" t="str">
            <v>No</v>
          </cell>
          <cell r="K906">
            <v>1</v>
          </cell>
          <cell r="L906" t="str">
            <v>B28110009</v>
          </cell>
          <cell r="M906" t="str">
            <v>AUG 20</v>
          </cell>
          <cell r="N906">
            <v>44058</v>
          </cell>
          <cell r="O906">
            <v>11116414</v>
          </cell>
          <cell r="P906">
            <v>2975</v>
          </cell>
          <cell r="Q906">
            <v>44063</v>
          </cell>
          <cell r="R906" t="str">
            <v>Yes</v>
          </cell>
          <cell r="S906" t="str">
            <v>C28</v>
          </cell>
          <cell r="T906" t="str">
            <v>SOUTH</v>
          </cell>
          <cell r="U906" t="str">
            <v>香港</v>
          </cell>
          <cell r="V906" t="str">
            <v>SZ 深圳</v>
          </cell>
          <cell r="W906" t="str">
            <v>KC</v>
          </cell>
          <cell r="X906" t="str">
            <v>USD</v>
          </cell>
          <cell r="Y906">
            <v>2975</v>
          </cell>
          <cell r="Z906">
            <v>1</v>
          </cell>
          <cell r="AA906">
            <v>2975</v>
          </cell>
          <cell r="AB906">
            <v>7.8</v>
          </cell>
          <cell r="AC906">
            <v>23205</v>
          </cell>
          <cell r="AD906">
            <v>2784.6</v>
          </cell>
          <cell r="AE906">
            <v>0.12</v>
          </cell>
          <cell r="AF906">
            <v>44034</v>
          </cell>
          <cell r="AG906" t="str">
            <v>含税到厂</v>
          </cell>
          <cell r="AK906">
            <v>1</v>
          </cell>
          <cell r="AL906">
            <v>2975</v>
          </cell>
          <cell r="AM906">
            <v>44035</v>
          </cell>
          <cell r="AN906" t="str">
            <v>Yes</v>
          </cell>
          <cell r="AO906">
            <v>0</v>
          </cell>
          <cell r="AP906">
            <v>0</v>
          </cell>
          <cell r="AS906">
            <v>0</v>
          </cell>
          <cell r="AT906">
            <v>0</v>
          </cell>
        </row>
        <row r="907">
          <cell r="B907">
            <v>756</v>
          </cell>
          <cell r="C907" t="str">
            <v>C49SZX20200099R1SS</v>
          </cell>
          <cell r="D907" t="str">
            <v>金晟晖</v>
          </cell>
          <cell r="E907" t="str">
            <v>YSM20R(SV)-2</v>
          </cell>
          <cell r="F907" t="str">
            <v>#78884</v>
          </cell>
          <cell r="G907" t="e">
            <v>#REF!</v>
          </cell>
          <cell r="H907" t="e">
            <v>#REF!</v>
          </cell>
          <cell r="I907" t="str">
            <v>L-&gt;R</v>
          </cell>
          <cell r="J907" t="str">
            <v>MVC</v>
          </cell>
          <cell r="K907">
            <v>1</v>
          </cell>
          <cell r="L907">
            <v>109996</v>
          </cell>
          <cell r="M907" t="str">
            <v>NOV 20</v>
          </cell>
          <cell r="R907" t="str">
            <v>No</v>
          </cell>
          <cell r="S907" t="str">
            <v>C49</v>
          </cell>
          <cell r="T907" t="str">
            <v>SOUTH</v>
          </cell>
          <cell r="U907" t="str">
            <v>深圳</v>
          </cell>
          <cell r="V907" t="str">
            <v>SZ 深圳</v>
          </cell>
          <cell r="W907" t="str">
            <v>SS</v>
          </cell>
          <cell r="X907" t="str">
            <v>JPY</v>
          </cell>
          <cell r="Y907">
            <v>12465000</v>
          </cell>
          <cell r="Z907">
            <v>1</v>
          </cell>
          <cell r="AA907">
            <v>12465000</v>
          </cell>
          <cell r="AB907">
            <v>7.3400000000000007E-2</v>
          </cell>
          <cell r="AC907">
            <v>914931.00000000012</v>
          </cell>
          <cell r="AD907">
            <v>109791.72000000002</v>
          </cell>
          <cell r="AE907">
            <v>0.12</v>
          </cell>
          <cell r="AF907">
            <v>44043</v>
          </cell>
          <cell r="AG907" t="str">
            <v>DAP SZ</v>
          </cell>
          <cell r="AI907">
            <v>30000</v>
          </cell>
          <cell r="AJ907">
            <v>44063</v>
          </cell>
          <cell r="AK907">
            <v>0.1</v>
          </cell>
          <cell r="AL907">
            <v>1246500</v>
          </cell>
          <cell r="AM907">
            <v>44063</v>
          </cell>
          <cell r="AN907" t="str">
            <v>Yes</v>
          </cell>
          <cell r="AO907">
            <v>0.9</v>
          </cell>
          <cell r="AP907">
            <v>11218500</v>
          </cell>
          <cell r="AQ907">
            <v>44134</v>
          </cell>
          <cell r="AR907">
            <v>44134</v>
          </cell>
          <cell r="AS907">
            <v>0</v>
          </cell>
          <cell r="AT907">
            <v>0</v>
          </cell>
          <cell r="AX907" t="str">
            <v>Yes</v>
          </cell>
          <cell r="AZ907" t="str">
            <v>Y</v>
          </cell>
          <cell r="BA907" t="str">
            <v>Yes</v>
          </cell>
        </row>
        <row r="908">
          <cell r="B908">
            <v>757</v>
          </cell>
          <cell r="C908" t="str">
            <v>C49SZX20200122JY</v>
          </cell>
          <cell r="D908" t="str">
            <v>豫龙辉</v>
          </cell>
          <cell r="E908" t="str">
            <v>YSM20R(SV)-2</v>
          </cell>
          <cell r="F908" t="str">
            <v>#04819</v>
          </cell>
          <cell r="G908" t="e">
            <v>#REF!</v>
          </cell>
          <cell r="H908" t="e">
            <v>#REF!</v>
          </cell>
          <cell r="I908" t="str">
            <v>L-&gt;R</v>
          </cell>
          <cell r="J908" t="str">
            <v>No</v>
          </cell>
          <cell r="K908">
            <v>1</v>
          </cell>
          <cell r="L908">
            <v>109980</v>
          </cell>
          <cell r="M908" t="str">
            <v>SEP 20</v>
          </cell>
          <cell r="N908">
            <v>44102</v>
          </cell>
          <cell r="O908">
            <v>11116438</v>
          </cell>
          <cell r="P908">
            <v>12545000</v>
          </cell>
          <cell r="Q908">
            <v>44075</v>
          </cell>
          <cell r="R908" t="str">
            <v>Yes</v>
          </cell>
          <cell r="S908" t="str">
            <v>C49</v>
          </cell>
          <cell r="T908" t="str">
            <v>SOUTH</v>
          </cell>
          <cell r="U908" t="str">
            <v>深圳</v>
          </cell>
          <cell r="V908" t="str">
            <v>SZ 深圳</v>
          </cell>
          <cell r="W908" t="str">
            <v>JY</v>
          </cell>
          <cell r="X908" t="str">
            <v>JPY</v>
          </cell>
          <cell r="Y908">
            <v>12545000</v>
          </cell>
          <cell r="Z908">
            <v>1</v>
          </cell>
          <cell r="AA908">
            <v>12545000</v>
          </cell>
          <cell r="AB908">
            <v>7.5700000000000003E-2</v>
          </cell>
          <cell r="AC908">
            <v>949656.5</v>
          </cell>
          <cell r="AD908">
            <v>113958.78</v>
          </cell>
          <cell r="AE908">
            <v>0.12</v>
          </cell>
          <cell r="AF908">
            <v>44047</v>
          </cell>
          <cell r="AG908" t="str">
            <v>DAP SZ</v>
          </cell>
          <cell r="AK908" t="str">
            <v>agree</v>
          </cell>
          <cell r="AL908">
            <v>1671337</v>
          </cell>
          <cell r="AM908">
            <v>44063</v>
          </cell>
          <cell r="AN908" t="str">
            <v>Yes</v>
          </cell>
          <cell r="AO908" t="str">
            <v>agree</v>
          </cell>
          <cell r="AP908">
            <v>10873663</v>
          </cell>
          <cell r="AQ908">
            <v>44094</v>
          </cell>
          <cell r="AR908">
            <v>44090</v>
          </cell>
          <cell r="AS908">
            <v>0</v>
          </cell>
          <cell r="AT908">
            <v>0</v>
          </cell>
          <cell r="AX908" t="str">
            <v>Yes</v>
          </cell>
          <cell r="AZ908" t="str">
            <v>Yes</v>
          </cell>
          <cell r="BA908" t="str">
            <v>Yes</v>
          </cell>
        </row>
        <row r="909">
          <cell r="B909">
            <v>758</v>
          </cell>
          <cell r="C909" t="str">
            <v>C49SZX20200130JZ</v>
          </cell>
          <cell r="D909" t="str">
            <v>斯迈</v>
          </cell>
          <cell r="E909" t="str">
            <v>YSM20R(SV)-2</v>
          </cell>
          <cell r="F909" t="str">
            <v>#18542</v>
          </cell>
          <cell r="G909" t="e">
            <v>#REF!</v>
          </cell>
          <cell r="H909" t="e">
            <v>#REF!</v>
          </cell>
          <cell r="I909" t="str">
            <v>L-&gt;R</v>
          </cell>
          <cell r="J909" t="str">
            <v>No</v>
          </cell>
          <cell r="K909">
            <v>1</v>
          </cell>
          <cell r="L909" t="str">
            <v>109954(拆分PO109999）</v>
          </cell>
          <cell r="M909" t="str">
            <v>SEP 20</v>
          </cell>
          <cell r="N909">
            <v>44097</v>
          </cell>
          <cell r="O909">
            <v>11116429</v>
          </cell>
          <cell r="P909">
            <v>12099500</v>
          </cell>
          <cell r="Q909">
            <v>44094</v>
          </cell>
          <cell r="R909" t="str">
            <v>Yes</v>
          </cell>
          <cell r="S909" t="str">
            <v>C49</v>
          </cell>
          <cell r="T909" t="str">
            <v>SOUTH</v>
          </cell>
          <cell r="U909" t="str">
            <v>深圳</v>
          </cell>
          <cell r="V909" t="str">
            <v>SZ 深圳</v>
          </cell>
          <cell r="W909" t="str">
            <v>ZX</v>
          </cell>
          <cell r="X909" t="str">
            <v>JPY</v>
          </cell>
          <cell r="Y909">
            <v>12099500</v>
          </cell>
          <cell r="Z909">
            <v>1</v>
          </cell>
          <cell r="AA909">
            <v>12099500</v>
          </cell>
          <cell r="AB909">
            <v>7.5700000000000003E-2</v>
          </cell>
          <cell r="AC909">
            <v>915932.15</v>
          </cell>
          <cell r="AD909">
            <v>109911.85799999999</v>
          </cell>
          <cell r="AE909">
            <v>0.12</v>
          </cell>
          <cell r="AF909">
            <v>44049</v>
          </cell>
          <cell r="AG909" t="str">
            <v>DAP GZ</v>
          </cell>
          <cell r="AK909">
            <v>0.1</v>
          </cell>
          <cell r="AL909">
            <v>1209950</v>
          </cell>
          <cell r="AM909">
            <v>44064</v>
          </cell>
          <cell r="AN909" t="str">
            <v>Yes</v>
          </cell>
          <cell r="AO909">
            <v>0.9</v>
          </cell>
          <cell r="AP909">
            <v>10889550</v>
          </cell>
          <cell r="AQ909">
            <v>44094</v>
          </cell>
          <cell r="AR909">
            <v>44089</v>
          </cell>
          <cell r="AS909">
            <v>0</v>
          </cell>
          <cell r="AT909">
            <v>0</v>
          </cell>
          <cell r="AX909" t="str">
            <v>Yes</v>
          </cell>
          <cell r="AZ909" t="str">
            <v>Yes</v>
          </cell>
          <cell r="BA909" t="str">
            <v>Yes</v>
          </cell>
        </row>
        <row r="910">
          <cell r="B910">
            <v>759</v>
          </cell>
          <cell r="C910" t="str">
            <v>C49SZX20200130JZ</v>
          </cell>
          <cell r="D910" t="str">
            <v>斯迈</v>
          </cell>
          <cell r="E910" t="str">
            <v>YSM20R(SV)-2</v>
          </cell>
          <cell r="F910" t="str">
            <v>#18542</v>
          </cell>
          <cell r="G910" t="e">
            <v>#REF!</v>
          </cell>
          <cell r="H910" t="e">
            <v>#REF!</v>
          </cell>
          <cell r="I910" t="str">
            <v>L-&gt;R</v>
          </cell>
          <cell r="J910" t="str">
            <v>No</v>
          </cell>
          <cell r="K910">
            <v>1</v>
          </cell>
          <cell r="L910" t="str">
            <v>109954(拆分PO109999）</v>
          </cell>
          <cell r="M910" t="str">
            <v>SEP 20</v>
          </cell>
          <cell r="N910">
            <v>44097</v>
          </cell>
          <cell r="O910">
            <v>11116429</v>
          </cell>
          <cell r="P910">
            <v>12099500</v>
          </cell>
          <cell r="Q910">
            <v>44094</v>
          </cell>
          <cell r="R910" t="str">
            <v>Yes</v>
          </cell>
          <cell r="S910" t="str">
            <v>C49</v>
          </cell>
          <cell r="T910" t="str">
            <v>SOUTH</v>
          </cell>
          <cell r="U910" t="str">
            <v>深圳</v>
          </cell>
          <cell r="V910" t="str">
            <v>SZ 深圳</v>
          </cell>
          <cell r="W910" t="str">
            <v>ZX</v>
          </cell>
          <cell r="X910" t="str">
            <v>JPY</v>
          </cell>
          <cell r="Y910">
            <v>12099500</v>
          </cell>
          <cell r="Z910">
            <v>1</v>
          </cell>
          <cell r="AA910">
            <v>12099500</v>
          </cell>
          <cell r="AB910">
            <v>7.5700000000000003E-2</v>
          </cell>
          <cell r="AC910">
            <v>915932.15</v>
          </cell>
          <cell r="AD910">
            <v>109911.85799999999</v>
          </cell>
          <cell r="AE910">
            <v>0.12</v>
          </cell>
          <cell r="AF910">
            <v>44049</v>
          </cell>
          <cell r="AG910" t="str">
            <v>DAP GZ</v>
          </cell>
          <cell r="AK910">
            <v>0.1</v>
          </cell>
          <cell r="AL910">
            <v>1209950</v>
          </cell>
          <cell r="AM910">
            <v>44065</v>
          </cell>
          <cell r="AN910" t="str">
            <v>Yes</v>
          </cell>
          <cell r="AO910">
            <v>0.9</v>
          </cell>
          <cell r="AP910">
            <v>10889550</v>
          </cell>
          <cell r="AQ910">
            <v>44094</v>
          </cell>
          <cell r="AR910">
            <v>44089</v>
          </cell>
          <cell r="AS910">
            <v>0</v>
          </cell>
          <cell r="AT910">
            <v>0</v>
          </cell>
          <cell r="AX910" t="str">
            <v>Yes</v>
          </cell>
          <cell r="AZ910" t="str">
            <v>Yes</v>
          </cell>
          <cell r="BA910" t="str">
            <v>Yes</v>
          </cell>
        </row>
        <row r="911">
          <cell r="B911">
            <v>760</v>
          </cell>
          <cell r="C911" t="str">
            <v>C49SZX20200130JZ</v>
          </cell>
          <cell r="D911" t="str">
            <v>斯迈</v>
          </cell>
          <cell r="E911" t="str">
            <v>YSM20R(SV)-2</v>
          </cell>
          <cell r="F911" t="str">
            <v>#18542</v>
          </cell>
          <cell r="G911" t="e">
            <v>#REF!</v>
          </cell>
          <cell r="H911" t="e">
            <v>#REF!</v>
          </cell>
          <cell r="I911" t="str">
            <v>L-&gt;R</v>
          </cell>
          <cell r="J911" t="str">
            <v>No</v>
          </cell>
          <cell r="K911">
            <v>1</v>
          </cell>
          <cell r="L911">
            <v>109984</v>
          </cell>
          <cell r="M911" t="str">
            <v>OCT 20</v>
          </cell>
          <cell r="N911">
            <v>44119</v>
          </cell>
          <cell r="O911">
            <v>11116440</v>
          </cell>
          <cell r="P911">
            <v>12099500</v>
          </cell>
          <cell r="Q911">
            <v>44105</v>
          </cell>
          <cell r="R911" t="str">
            <v>Yes</v>
          </cell>
          <cell r="S911" t="str">
            <v>C49</v>
          </cell>
          <cell r="T911" t="str">
            <v>SOUTH</v>
          </cell>
          <cell r="U911" t="str">
            <v>深圳</v>
          </cell>
          <cell r="V911" t="str">
            <v>SZ 深圳</v>
          </cell>
          <cell r="W911" t="str">
            <v>ZX</v>
          </cell>
          <cell r="X911" t="str">
            <v>JPY</v>
          </cell>
          <cell r="Y911">
            <v>12099500</v>
          </cell>
          <cell r="Z911">
            <v>1</v>
          </cell>
          <cell r="AA911">
            <v>12099500</v>
          </cell>
          <cell r="AB911">
            <v>7.5700000000000003E-2</v>
          </cell>
          <cell r="AC911">
            <v>915932.15</v>
          </cell>
          <cell r="AD911">
            <v>109911.85799999999</v>
          </cell>
          <cell r="AE911">
            <v>0.12</v>
          </cell>
          <cell r="AF911">
            <v>44049</v>
          </cell>
          <cell r="AG911" t="str">
            <v>DAP GZ</v>
          </cell>
          <cell r="AK911">
            <v>0.1</v>
          </cell>
          <cell r="AL911">
            <v>1209950</v>
          </cell>
          <cell r="AM911">
            <v>44066</v>
          </cell>
          <cell r="AN911" t="str">
            <v>Yes</v>
          </cell>
          <cell r="AO911">
            <v>0.9</v>
          </cell>
          <cell r="AP911">
            <v>10889550</v>
          </cell>
          <cell r="AQ911">
            <v>44105</v>
          </cell>
          <cell r="AR911">
            <v>44118</v>
          </cell>
          <cell r="AS911">
            <v>0</v>
          </cell>
          <cell r="AT911">
            <v>0</v>
          </cell>
          <cell r="AX911" t="str">
            <v>Yes</v>
          </cell>
          <cell r="AZ911" t="str">
            <v>Yes</v>
          </cell>
          <cell r="BA911" t="str">
            <v>Yes</v>
          </cell>
        </row>
        <row r="912">
          <cell r="B912">
            <v>761</v>
          </cell>
          <cell r="C912" t="str">
            <v>C49SZX20200130JZ</v>
          </cell>
          <cell r="D912" t="str">
            <v>斯迈</v>
          </cell>
          <cell r="E912" t="str">
            <v>YSM20R(SV)-2</v>
          </cell>
          <cell r="F912" t="str">
            <v>#18542</v>
          </cell>
          <cell r="G912" t="e">
            <v>#REF!</v>
          </cell>
          <cell r="H912" t="e">
            <v>#REF!</v>
          </cell>
          <cell r="I912" t="str">
            <v>L-&gt;R</v>
          </cell>
          <cell r="J912" t="str">
            <v>No</v>
          </cell>
          <cell r="K912">
            <v>1</v>
          </cell>
          <cell r="L912">
            <v>109984</v>
          </cell>
          <cell r="M912" t="str">
            <v>OCT 20</v>
          </cell>
          <cell r="N912">
            <v>44119</v>
          </cell>
          <cell r="O912">
            <v>11116440</v>
          </cell>
          <cell r="P912">
            <v>12099500</v>
          </cell>
          <cell r="Q912">
            <v>44105</v>
          </cell>
          <cell r="R912" t="str">
            <v>Yes</v>
          </cell>
          <cell r="S912" t="str">
            <v>C49</v>
          </cell>
          <cell r="T912" t="str">
            <v>SOUTH</v>
          </cell>
          <cell r="U912" t="str">
            <v>深圳</v>
          </cell>
          <cell r="V912" t="str">
            <v>SZ 深圳</v>
          </cell>
          <cell r="W912" t="str">
            <v>ZX</v>
          </cell>
          <cell r="X912" t="str">
            <v>JPY</v>
          </cell>
          <cell r="Y912">
            <v>12099500</v>
          </cell>
          <cell r="Z912">
            <v>1</v>
          </cell>
          <cell r="AA912">
            <v>12099500</v>
          </cell>
          <cell r="AB912">
            <v>7.5700000000000003E-2</v>
          </cell>
          <cell r="AC912">
            <v>915932.15</v>
          </cell>
          <cell r="AD912">
            <v>109911.85799999999</v>
          </cell>
          <cell r="AE912">
            <v>0.12</v>
          </cell>
          <cell r="AF912">
            <v>44049</v>
          </cell>
          <cell r="AG912" t="str">
            <v>DAP GZ</v>
          </cell>
          <cell r="AK912">
            <v>0.1</v>
          </cell>
          <cell r="AL912">
            <v>1209950</v>
          </cell>
          <cell r="AM912">
            <v>44067</v>
          </cell>
          <cell r="AN912" t="str">
            <v>Yes</v>
          </cell>
          <cell r="AO912">
            <v>0.9</v>
          </cell>
          <cell r="AP912">
            <v>10889550</v>
          </cell>
          <cell r="AQ912">
            <v>44105</v>
          </cell>
          <cell r="AR912">
            <v>44118</v>
          </cell>
          <cell r="AS912">
            <v>0</v>
          </cell>
          <cell r="AT912">
            <v>0</v>
          </cell>
          <cell r="AX912" t="str">
            <v>Yes</v>
          </cell>
          <cell r="AZ912" t="str">
            <v>Yes</v>
          </cell>
          <cell r="BA912" t="str">
            <v>Yes</v>
          </cell>
        </row>
        <row r="913">
          <cell r="B913">
            <v>762</v>
          </cell>
          <cell r="C913" t="str">
            <v>C49SZX20200121JL</v>
          </cell>
          <cell r="D913" t="str">
            <v>刻锐</v>
          </cell>
          <cell r="E913" t="str">
            <v>YSM20R(SV)-2</v>
          </cell>
          <cell r="F913" t="str">
            <v>#04929</v>
          </cell>
          <cell r="G913" t="e">
            <v>#REF!</v>
          </cell>
          <cell r="H913" t="e">
            <v>#REF!</v>
          </cell>
          <cell r="I913" t="str">
            <v>L-&gt;R</v>
          </cell>
          <cell r="J913" t="str">
            <v>MVC</v>
          </cell>
          <cell r="K913">
            <v>1</v>
          </cell>
          <cell r="L913" t="str">
            <v>109996（拆分PO110071）</v>
          </cell>
          <cell r="M913" t="str">
            <v>NOV 20</v>
          </cell>
          <cell r="N913">
            <v>44152</v>
          </cell>
          <cell r="O913">
            <v>11100468</v>
          </cell>
          <cell r="P913">
            <v>950000</v>
          </cell>
          <cell r="Q913">
            <v>44197</v>
          </cell>
          <cell r="R913" t="str">
            <v>Yes</v>
          </cell>
          <cell r="S913" t="str">
            <v>C49</v>
          </cell>
          <cell r="T913" t="str">
            <v>SOUTH</v>
          </cell>
          <cell r="U913" t="str">
            <v>深圳</v>
          </cell>
          <cell r="V913" t="str">
            <v>SZ 深圳</v>
          </cell>
          <cell r="W913" t="str">
            <v>JL</v>
          </cell>
          <cell r="X913" t="str">
            <v>RMB</v>
          </cell>
          <cell r="Y913">
            <v>950000</v>
          </cell>
          <cell r="Z913">
            <v>1.1299999999999999</v>
          </cell>
          <cell r="AA913">
            <v>950000</v>
          </cell>
          <cell r="AB913">
            <v>1.095</v>
          </cell>
          <cell r="AC913">
            <v>920575.22123893816</v>
          </cell>
          <cell r="AD913">
            <v>110469.02654867257</v>
          </cell>
          <cell r="AE913">
            <v>0.12</v>
          </cell>
          <cell r="AF913">
            <v>44068</v>
          </cell>
          <cell r="AG913" t="str">
            <v>含税到厂</v>
          </cell>
          <cell r="AK913">
            <v>0.3</v>
          </cell>
          <cell r="AL913">
            <v>285000</v>
          </cell>
          <cell r="AM913">
            <v>44094</v>
          </cell>
          <cell r="AN913" t="str">
            <v>Yes</v>
          </cell>
          <cell r="AO913">
            <v>0.65</v>
          </cell>
          <cell r="AP913">
            <v>617500</v>
          </cell>
          <cell r="AQ913">
            <v>44136</v>
          </cell>
          <cell r="AR913">
            <v>44148</v>
          </cell>
          <cell r="AS913">
            <v>0.05</v>
          </cell>
          <cell r="AT913">
            <v>47500</v>
          </cell>
          <cell r="AU913">
            <v>44264</v>
          </cell>
          <cell r="AV913">
            <v>44264</v>
          </cell>
          <cell r="AX913" t="str">
            <v>Yes</v>
          </cell>
          <cell r="AZ913" t="str">
            <v>Yes</v>
          </cell>
          <cell r="BA913" t="str">
            <v>Yes</v>
          </cell>
        </row>
        <row r="914">
          <cell r="B914">
            <v>763</v>
          </cell>
          <cell r="C914" t="str">
            <v>C49SZX20200121JL</v>
          </cell>
          <cell r="D914" t="str">
            <v>刻锐</v>
          </cell>
          <cell r="E914" t="str">
            <v>YSM10</v>
          </cell>
          <cell r="F914" t="str">
            <v>#04929</v>
          </cell>
          <cell r="G914" t="e">
            <v>#REF!</v>
          </cell>
          <cell r="H914" t="e">
            <v>#REF!</v>
          </cell>
          <cell r="I914" t="str">
            <v>L-&gt;R</v>
          </cell>
          <cell r="J914" t="str">
            <v>MVC</v>
          </cell>
          <cell r="K914">
            <v>1</v>
          </cell>
          <cell r="L914" t="str">
            <v>109992（拆分PO110072）</v>
          </cell>
          <cell r="M914" t="str">
            <v>NOV 20</v>
          </cell>
          <cell r="N914">
            <v>44152</v>
          </cell>
          <cell r="O914">
            <v>11100468</v>
          </cell>
          <cell r="P914">
            <v>650000</v>
          </cell>
          <cell r="Q914">
            <v>44197</v>
          </cell>
          <cell r="R914" t="str">
            <v>Yes</v>
          </cell>
          <cell r="S914" t="str">
            <v>C49</v>
          </cell>
          <cell r="T914" t="str">
            <v>SOUTH</v>
          </cell>
          <cell r="U914" t="str">
            <v>深圳</v>
          </cell>
          <cell r="V914" t="str">
            <v>SZ 深圳</v>
          </cell>
          <cell r="W914" t="str">
            <v>JL</v>
          </cell>
          <cell r="X914" t="str">
            <v>RMB</v>
          </cell>
          <cell r="Y914">
            <v>650000</v>
          </cell>
          <cell r="Z914">
            <v>1.1299999999999999</v>
          </cell>
          <cell r="AA914">
            <v>650000</v>
          </cell>
          <cell r="AB914">
            <v>1.095</v>
          </cell>
          <cell r="AC914">
            <v>629867.25663716812</v>
          </cell>
          <cell r="AD914">
            <v>75584.070796460175</v>
          </cell>
          <cell r="AE914">
            <v>0.12</v>
          </cell>
          <cell r="AF914">
            <v>44068</v>
          </cell>
          <cell r="AG914" t="str">
            <v>含税到厂</v>
          </cell>
          <cell r="AK914">
            <v>0.3</v>
          </cell>
          <cell r="AL914">
            <v>195000</v>
          </cell>
          <cell r="AM914">
            <v>44094</v>
          </cell>
          <cell r="AN914" t="str">
            <v>Yes</v>
          </cell>
          <cell r="AO914">
            <v>0.65</v>
          </cell>
          <cell r="AP914">
            <v>422500</v>
          </cell>
          <cell r="AQ914">
            <v>44136</v>
          </cell>
          <cell r="AR914">
            <v>44148</v>
          </cell>
          <cell r="AS914">
            <v>0.05</v>
          </cell>
          <cell r="AT914">
            <v>32500</v>
          </cell>
          <cell r="AU914">
            <v>44264</v>
          </cell>
          <cell r="AV914">
            <v>44264</v>
          </cell>
          <cell r="AX914" t="str">
            <v>Yes</v>
          </cell>
          <cell r="AZ914" t="str">
            <v>Yes</v>
          </cell>
          <cell r="BA914" t="str">
            <v>Yes</v>
          </cell>
        </row>
        <row r="915">
          <cell r="B915">
            <v>764</v>
          </cell>
          <cell r="C915" t="str">
            <v>C49SZX20200131KW</v>
          </cell>
          <cell r="D915" t="str">
            <v>江恒</v>
          </cell>
          <cell r="E915" t="str">
            <v>YSM10</v>
          </cell>
          <cell r="F915" t="str">
            <v>#75325</v>
          </cell>
          <cell r="G915" t="e">
            <v>#REF!</v>
          </cell>
          <cell r="H915" t="e">
            <v>#REF!</v>
          </cell>
          <cell r="I915" t="str">
            <v>L-&gt;R</v>
          </cell>
          <cell r="J915" t="str">
            <v>MVC</v>
          </cell>
          <cell r="K915">
            <v>1</v>
          </cell>
          <cell r="L915" t="str">
            <v>109924(拆分PO109962)</v>
          </cell>
          <cell r="M915" t="str">
            <v>AUG 20</v>
          </cell>
          <cell r="N915">
            <v>44071</v>
          </cell>
          <cell r="O915">
            <v>11100425</v>
          </cell>
          <cell r="P915">
            <v>510000</v>
          </cell>
          <cell r="Q915">
            <v>44063</v>
          </cell>
          <cell r="R915" t="str">
            <v>No</v>
          </cell>
          <cell r="S915" t="str">
            <v>C49</v>
          </cell>
          <cell r="T915" t="str">
            <v>SOUTH</v>
          </cell>
          <cell r="U915" t="str">
            <v>深圳</v>
          </cell>
          <cell r="V915" t="str">
            <v>SZ 深圳</v>
          </cell>
          <cell r="W915" t="str">
            <v>KW</v>
          </cell>
          <cell r="X915" t="str">
            <v>RMB</v>
          </cell>
          <cell r="Y915">
            <v>510000</v>
          </cell>
          <cell r="Z915">
            <v>1.1299999999999999</v>
          </cell>
          <cell r="AA915">
            <v>510000</v>
          </cell>
          <cell r="AB915">
            <v>1.095</v>
          </cell>
          <cell r="AC915">
            <v>494203.53982300888</v>
          </cell>
          <cell r="AD915">
            <v>59304.424778761066</v>
          </cell>
          <cell r="AE915">
            <v>0.12</v>
          </cell>
          <cell r="AF915">
            <v>44051</v>
          </cell>
          <cell r="AG915" t="str">
            <v>含税到厂</v>
          </cell>
          <cell r="AK915">
            <v>0.2</v>
          </cell>
          <cell r="AL915">
            <v>102000</v>
          </cell>
          <cell r="AM915">
            <v>44067</v>
          </cell>
          <cell r="AN915" t="str">
            <v>Yes</v>
          </cell>
          <cell r="AO915">
            <v>0.8</v>
          </cell>
          <cell r="AP915">
            <v>408000</v>
          </cell>
          <cell r="AQ915">
            <v>44067</v>
          </cell>
          <cell r="AR915">
            <v>44069</v>
          </cell>
          <cell r="AS915">
            <v>0</v>
          </cell>
          <cell r="AT915">
            <v>0</v>
          </cell>
          <cell r="AX915" t="str">
            <v>Yes</v>
          </cell>
          <cell r="AZ915" t="str">
            <v>Yes</v>
          </cell>
          <cell r="BA915" t="str">
            <v>Yes</v>
          </cell>
        </row>
        <row r="916">
          <cell r="B916">
            <v>765</v>
          </cell>
          <cell r="C916" t="str">
            <v>C49SZX20200078CY</v>
          </cell>
          <cell r="D916" t="str">
            <v>博德越</v>
          </cell>
          <cell r="E916" t="str">
            <v>YSM20R(SV)-2</v>
          </cell>
          <cell r="F916" t="str">
            <v>#04831</v>
          </cell>
          <cell r="G916" t="e">
            <v>#REF!</v>
          </cell>
          <cell r="H916" t="e">
            <v>#REF!</v>
          </cell>
          <cell r="I916" t="str">
            <v>R-&gt;L</v>
          </cell>
          <cell r="J916" t="str">
            <v>No</v>
          </cell>
          <cell r="K916">
            <v>1</v>
          </cell>
          <cell r="L916">
            <v>109984</v>
          </cell>
          <cell r="M916" t="str">
            <v>OCT 20</v>
          </cell>
          <cell r="N916">
            <v>44127</v>
          </cell>
          <cell r="O916">
            <v>11116446</v>
          </cell>
          <cell r="P916">
            <v>15655000</v>
          </cell>
          <cell r="Q916">
            <v>44105</v>
          </cell>
          <cell r="R916" t="str">
            <v>Yes</v>
          </cell>
          <cell r="S916" t="str">
            <v>C49</v>
          </cell>
          <cell r="T916" t="str">
            <v>SOUTH</v>
          </cell>
          <cell r="U916" t="str">
            <v>深圳</v>
          </cell>
          <cell r="V916" t="str">
            <v>SZ 深圳</v>
          </cell>
          <cell r="W916" t="str">
            <v>CY</v>
          </cell>
          <cell r="X916" t="str">
            <v>JPY</v>
          </cell>
          <cell r="Y916">
            <v>15655000</v>
          </cell>
          <cell r="Z916">
            <v>1</v>
          </cell>
          <cell r="AA916">
            <v>15655000</v>
          </cell>
          <cell r="AB916">
            <v>7.5700000000000003E-2</v>
          </cell>
          <cell r="AC916">
            <v>1185083.5</v>
          </cell>
          <cell r="AD916">
            <v>142210.01999999999</v>
          </cell>
          <cell r="AE916">
            <v>0.12</v>
          </cell>
          <cell r="AF916">
            <v>44053</v>
          </cell>
          <cell r="AG916" t="str">
            <v>DAP SZ</v>
          </cell>
          <cell r="AK916">
            <v>0.3</v>
          </cell>
          <cell r="AL916">
            <v>4696500</v>
          </cell>
          <cell r="AM916">
            <v>44068</v>
          </cell>
          <cell r="AN916" t="str">
            <v>Yes</v>
          </cell>
          <cell r="AO916">
            <v>0.7</v>
          </cell>
          <cell r="AP916">
            <v>10958500</v>
          </cell>
          <cell r="AQ916">
            <v>44105</v>
          </cell>
          <cell r="AR916">
            <v>44118</v>
          </cell>
          <cell r="AS916">
            <v>0</v>
          </cell>
          <cell r="AT916">
            <v>0</v>
          </cell>
          <cell r="AX916" t="str">
            <v>Yes</v>
          </cell>
          <cell r="AZ916" t="str">
            <v>Yes</v>
          </cell>
          <cell r="BA916" t="str">
            <v>Yes</v>
          </cell>
        </row>
        <row r="917">
          <cell r="B917">
            <v>766</v>
          </cell>
          <cell r="C917" t="str">
            <v>C49SZX20200078CY</v>
          </cell>
          <cell r="D917" t="str">
            <v>博德越</v>
          </cell>
          <cell r="E917" t="str">
            <v>YSM20R(SV)-2</v>
          </cell>
          <cell r="F917" t="str">
            <v>#04831</v>
          </cell>
          <cell r="G917" t="e">
            <v>#REF!</v>
          </cell>
          <cell r="H917" t="e">
            <v>#REF!</v>
          </cell>
          <cell r="I917" t="str">
            <v>R-&gt;L</v>
          </cell>
          <cell r="J917" t="str">
            <v>No</v>
          </cell>
          <cell r="K917">
            <v>1</v>
          </cell>
          <cell r="L917">
            <v>109984</v>
          </cell>
          <cell r="M917" t="str">
            <v>OCT 20</v>
          </cell>
          <cell r="N917">
            <v>44127</v>
          </cell>
          <cell r="O917">
            <v>11116446</v>
          </cell>
          <cell r="P917">
            <v>15655000</v>
          </cell>
          <cell r="Q917">
            <v>44105</v>
          </cell>
          <cell r="R917" t="str">
            <v>Yes</v>
          </cell>
          <cell r="S917" t="str">
            <v>C49</v>
          </cell>
          <cell r="T917" t="str">
            <v>SOUTH</v>
          </cell>
          <cell r="U917" t="str">
            <v>深圳</v>
          </cell>
          <cell r="V917" t="str">
            <v>SZ 深圳</v>
          </cell>
          <cell r="W917" t="str">
            <v>CY</v>
          </cell>
          <cell r="X917" t="str">
            <v>JPY</v>
          </cell>
          <cell r="Y917">
            <v>15655000</v>
          </cell>
          <cell r="Z917">
            <v>1</v>
          </cell>
          <cell r="AA917">
            <v>15655000</v>
          </cell>
          <cell r="AB917">
            <v>7.5700000000000003E-2</v>
          </cell>
          <cell r="AC917">
            <v>1185083.5</v>
          </cell>
          <cell r="AD917">
            <v>142210.01999999999</v>
          </cell>
          <cell r="AE917">
            <v>0.12</v>
          </cell>
          <cell r="AF917">
            <v>44053</v>
          </cell>
          <cell r="AG917" t="str">
            <v>DAP SZ</v>
          </cell>
          <cell r="AK917">
            <v>0.3</v>
          </cell>
          <cell r="AL917">
            <v>4696500</v>
          </cell>
          <cell r="AM917">
            <v>44069</v>
          </cell>
          <cell r="AN917" t="str">
            <v>Yes</v>
          </cell>
          <cell r="AO917">
            <v>0.7</v>
          </cell>
          <cell r="AP917">
            <v>10958500</v>
          </cell>
          <cell r="AQ917">
            <v>44105</v>
          </cell>
          <cell r="AR917">
            <v>44118</v>
          </cell>
          <cell r="AS917">
            <v>0</v>
          </cell>
          <cell r="AT917">
            <v>0</v>
          </cell>
          <cell r="AX917" t="str">
            <v>Yes</v>
          </cell>
          <cell r="AZ917" t="str">
            <v>Yes</v>
          </cell>
          <cell r="BA917" t="str">
            <v>Yes</v>
          </cell>
        </row>
        <row r="918">
          <cell r="B918">
            <v>767</v>
          </cell>
          <cell r="C918" t="str">
            <v>C49SZX20200078CY</v>
          </cell>
          <cell r="D918" t="str">
            <v>博德越</v>
          </cell>
          <cell r="E918" t="str">
            <v>YSM10</v>
          </cell>
          <cell r="F918" t="str">
            <v>#04831</v>
          </cell>
          <cell r="G918" t="e">
            <v>#REF!</v>
          </cell>
          <cell r="H918" t="e">
            <v>#REF!</v>
          </cell>
          <cell r="I918" t="str">
            <v>R-&gt;L</v>
          </cell>
          <cell r="J918" t="str">
            <v>MVC+ATS15</v>
          </cell>
          <cell r="K918">
            <v>1</v>
          </cell>
          <cell r="L918">
            <v>109933</v>
          </cell>
          <cell r="M918" t="str">
            <v>SEP 20</v>
          </cell>
          <cell r="N918">
            <v>44103</v>
          </cell>
          <cell r="O918">
            <v>11116433</v>
          </cell>
          <cell r="P918">
            <v>7827500</v>
          </cell>
          <cell r="Q918">
            <v>44102</v>
          </cell>
          <cell r="R918" t="str">
            <v>Yes</v>
          </cell>
          <cell r="S918" t="str">
            <v>C49</v>
          </cell>
          <cell r="T918" t="str">
            <v>SOUTH</v>
          </cell>
          <cell r="U918" t="str">
            <v>深圳</v>
          </cell>
          <cell r="V918" t="str">
            <v>SZ 深圳</v>
          </cell>
          <cell r="W918" t="str">
            <v>CY</v>
          </cell>
          <cell r="X918" t="str">
            <v>JPY</v>
          </cell>
          <cell r="Y918">
            <v>7827500</v>
          </cell>
          <cell r="Z918">
            <v>1</v>
          </cell>
          <cell r="AA918">
            <v>7827500</v>
          </cell>
          <cell r="AB918">
            <v>7.5700000000000003E-2</v>
          </cell>
          <cell r="AC918">
            <v>592541.75</v>
          </cell>
          <cell r="AD918">
            <v>71105.009999999995</v>
          </cell>
          <cell r="AE918">
            <v>0.12</v>
          </cell>
          <cell r="AF918">
            <v>44053</v>
          </cell>
          <cell r="AG918" t="str">
            <v>DAP SZ</v>
          </cell>
          <cell r="AK918">
            <v>0.3</v>
          </cell>
          <cell r="AL918">
            <v>2348250</v>
          </cell>
          <cell r="AM918">
            <v>44070</v>
          </cell>
          <cell r="AN918" t="str">
            <v>Yes</v>
          </cell>
          <cell r="AO918">
            <v>0.7</v>
          </cell>
          <cell r="AP918">
            <v>5479250</v>
          </cell>
          <cell r="AQ918">
            <v>44075</v>
          </cell>
          <cell r="AR918">
            <v>44097</v>
          </cell>
          <cell r="AS918">
            <v>0</v>
          </cell>
          <cell r="AT918">
            <v>0</v>
          </cell>
          <cell r="AX918" t="str">
            <v>Yes</v>
          </cell>
          <cell r="AZ918" t="str">
            <v>Yes</v>
          </cell>
          <cell r="BA918" t="str">
            <v>Yes</v>
          </cell>
        </row>
        <row r="919">
          <cell r="B919">
            <v>768</v>
          </cell>
          <cell r="C919" t="str">
            <v>C49SZX20200078CY</v>
          </cell>
          <cell r="D919" t="str">
            <v>博德越</v>
          </cell>
          <cell r="E919" t="str">
            <v>YSM10</v>
          </cell>
          <cell r="F919" t="str">
            <v>#04831</v>
          </cell>
          <cell r="G919" t="e">
            <v>#REF!</v>
          </cell>
          <cell r="H919" t="e">
            <v>#REF!</v>
          </cell>
          <cell r="I919" t="str">
            <v>R-&gt;L</v>
          </cell>
          <cell r="J919" t="str">
            <v>MVC+ATS15</v>
          </cell>
          <cell r="K919">
            <v>1</v>
          </cell>
          <cell r="L919">
            <v>109957</v>
          </cell>
          <cell r="M919" t="str">
            <v>SEP 20</v>
          </cell>
          <cell r="N919">
            <v>44103</v>
          </cell>
          <cell r="O919">
            <v>11116433</v>
          </cell>
          <cell r="P919">
            <v>7827500</v>
          </cell>
          <cell r="Q919">
            <v>44102</v>
          </cell>
          <cell r="R919" t="str">
            <v>Yes</v>
          </cell>
          <cell r="S919" t="str">
            <v>C49</v>
          </cell>
          <cell r="T919" t="str">
            <v>SOUTH</v>
          </cell>
          <cell r="U919" t="str">
            <v>深圳</v>
          </cell>
          <cell r="V919" t="str">
            <v>SZ 深圳</v>
          </cell>
          <cell r="W919" t="str">
            <v>CY</v>
          </cell>
          <cell r="X919" t="str">
            <v>JPY</v>
          </cell>
          <cell r="Y919">
            <v>7827500</v>
          </cell>
          <cell r="Z919">
            <v>1</v>
          </cell>
          <cell r="AA919">
            <v>7827500</v>
          </cell>
          <cell r="AB919">
            <v>7.5700000000000003E-2</v>
          </cell>
          <cell r="AC919">
            <v>592541.75</v>
          </cell>
          <cell r="AD919">
            <v>71105.009999999995</v>
          </cell>
          <cell r="AE919">
            <v>0.12</v>
          </cell>
          <cell r="AF919">
            <v>44053</v>
          </cell>
          <cell r="AG919" t="str">
            <v>DAP SZ</v>
          </cell>
          <cell r="AK919">
            <v>0.3</v>
          </cell>
          <cell r="AL919">
            <v>2348250</v>
          </cell>
          <cell r="AM919">
            <v>44071</v>
          </cell>
          <cell r="AN919" t="str">
            <v>Yes</v>
          </cell>
          <cell r="AO919">
            <v>0.7</v>
          </cell>
          <cell r="AP919">
            <v>5479250</v>
          </cell>
          <cell r="AQ919">
            <v>44075</v>
          </cell>
          <cell r="AR919">
            <v>44097</v>
          </cell>
          <cell r="AS919">
            <v>0</v>
          </cell>
          <cell r="AT919">
            <v>0</v>
          </cell>
          <cell r="AX919" t="str">
            <v>Yes</v>
          </cell>
          <cell r="AZ919" t="str">
            <v>Yes</v>
          </cell>
          <cell r="BA919" t="str">
            <v>Yes</v>
          </cell>
        </row>
        <row r="920">
          <cell r="B920">
            <v>769</v>
          </cell>
          <cell r="C920" t="str">
            <v>C49SZX20200078CY</v>
          </cell>
          <cell r="D920" t="str">
            <v>博德越</v>
          </cell>
          <cell r="E920" t="str">
            <v>YSM10</v>
          </cell>
          <cell r="F920" t="str">
            <v>#04831</v>
          </cell>
          <cell r="G920" t="e">
            <v>#REF!</v>
          </cell>
          <cell r="H920" t="e">
            <v>#REF!</v>
          </cell>
          <cell r="I920" t="str">
            <v>R-&gt;L</v>
          </cell>
          <cell r="J920" t="str">
            <v>MVC</v>
          </cell>
          <cell r="K920">
            <v>1</v>
          </cell>
          <cell r="L920">
            <v>109977</v>
          </cell>
          <cell r="M920" t="str">
            <v>SEP 20</v>
          </cell>
          <cell r="N920">
            <v>44103</v>
          </cell>
          <cell r="O920">
            <v>11116433</v>
          </cell>
          <cell r="P920">
            <v>7827500</v>
          </cell>
          <cell r="Q920">
            <v>44102</v>
          </cell>
          <cell r="R920" t="str">
            <v>Yes</v>
          </cell>
          <cell r="S920" t="str">
            <v>C49</v>
          </cell>
          <cell r="T920" t="str">
            <v>SOUTH</v>
          </cell>
          <cell r="U920" t="str">
            <v>深圳</v>
          </cell>
          <cell r="V920" t="str">
            <v>SZ 深圳</v>
          </cell>
          <cell r="W920" t="str">
            <v>CY</v>
          </cell>
          <cell r="X920" t="str">
            <v>JPY</v>
          </cell>
          <cell r="Y920">
            <v>7827500</v>
          </cell>
          <cell r="Z920">
            <v>1</v>
          </cell>
          <cell r="AA920">
            <v>7827500</v>
          </cell>
          <cell r="AB920">
            <v>7.5700000000000003E-2</v>
          </cell>
          <cell r="AC920">
            <v>592541.75</v>
          </cell>
          <cell r="AD920">
            <v>71105.009999999995</v>
          </cell>
          <cell r="AE920">
            <v>0.12</v>
          </cell>
          <cell r="AF920">
            <v>44053</v>
          </cell>
          <cell r="AG920" t="str">
            <v>DAP SZ</v>
          </cell>
          <cell r="AK920">
            <v>0.3</v>
          </cell>
          <cell r="AL920">
            <v>2348250</v>
          </cell>
          <cell r="AM920">
            <v>44072</v>
          </cell>
          <cell r="AN920" t="str">
            <v>Yes</v>
          </cell>
          <cell r="AO920">
            <v>0.7</v>
          </cell>
          <cell r="AP920">
            <v>5479250</v>
          </cell>
          <cell r="AQ920">
            <v>44075</v>
          </cell>
          <cell r="AR920">
            <v>44097</v>
          </cell>
          <cell r="AS920">
            <v>0</v>
          </cell>
          <cell r="AT920">
            <v>0</v>
          </cell>
          <cell r="AX920" t="str">
            <v>Yes</v>
          </cell>
          <cell r="AZ920" t="str">
            <v>Yes</v>
          </cell>
          <cell r="BA920" t="str">
            <v>Yes</v>
          </cell>
        </row>
        <row r="921">
          <cell r="B921">
            <v>770</v>
          </cell>
          <cell r="C921" t="str">
            <v>C49SZX20200078CY</v>
          </cell>
          <cell r="D921" t="str">
            <v>博德越</v>
          </cell>
          <cell r="E921" t="str">
            <v>YSM10</v>
          </cell>
          <cell r="F921" t="str">
            <v>#04831</v>
          </cell>
          <cell r="G921" t="e">
            <v>#REF!</v>
          </cell>
          <cell r="H921" t="e">
            <v>#REF!</v>
          </cell>
          <cell r="I921" t="str">
            <v>R-&gt;L</v>
          </cell>
          <cell r="J921" t="str">
            <v>MVC</v>
          </cell>
          <cell r="K921">
            <v>1</v>
          </cell>
          <cell r="L921">
            <v>109995</v>
          </cell>
          <cell r="M921" t="str">
            <v>OCT 20</v>
          </cell>
          <cell r="N921">
            <v>44127</v>
          </cell>
          <cell r="O921">
            <v>11116446</v>
          </cell>
          <cell r="P921">
            <v>7827500</v>
          </cell>
          <cell r="Q921">
            <v>44105</v>
          </cell>
          <cell r="R921" t="str">
            <v>Yes</v>
          </cell>
          <cell r="S921" t="str">
            <v>C49</v>
          </cell>
          <cell r="T921" t="str">
            <v>SOUTH</v>
          </cell>
          <cell r="U921" t="str">
            <v>深圳</v>
          </cell>
          <cell r="V921" t="str">
            <v>SZ 深圳</v>
          </cell>
          <cell r="W921" t="str">
            <v>CY</v>
          </cell>
          <cell r="X921" t="str">
            <v>JPY</v>
          </cell>
          <cell r="Y921">
            <v>7827500</v>
          </cell>
          <cell r="Z921">
            <v>1</v>
          </cell>
          <cell r="AA921">
            <v>7827500</v>
          </cell>
          <cell r="AB921">
            <v>7.5700000000000003E-2</v>
          </cell>
          <cell r="AC921">
            <v>592541.75</v>
          </cell>
          <cell r="AD921">
            <v>71105.009999999995</v>
          </cell>
          <cell r="AE921">
            <v>0.12</v>
          </cell>
          <cell r="AF921">
            <v>44053</v>
          </cell>
          <cell r="AG921" t="str">
            <v>DAP SZ</v>
          </cell>
          <cell r="AK921">
            <v>0.3</v>
          </cell>
          <cell r="AL921">
            <v>2348250</v>
          </cell>
          <cell r="AM921">
            <v>44073</v>
          </cell>
          <cell r="AN921" t="str">
            <v>Yes</v>
          </cell>
          <cell r="AO921">
            <v>0.7</v>
          </cell>
          <cell r="AP921">
            <v>5479250</v>
          </cell>
          <cell r="AQ921">
            <v>44105</v>
          </cell>
          <cell r="AR921">
            <v>44118</v>
          </cell>
          <cell r="AS921">
            <v>0</v>
          </cell>
          <cell r="AT921">
            <v>0</v>
          </cell>
          <cell r="AX921" t="str">
            <v>Yes</v>
          </cell>
          <cell r="AZ921" t="str">
            <v>Yes</v>
          </cell>
          <cell r="BA921" t="str">
            <v>Yes</v>
          </cell>
        </row>
        <row r="922">
          <cell r="B922">
            <v>771</v>
          </cell>
          <cell r="C922" t="str">
            <v>C49SZX20200126JY</v>
          </cell>
          <cell r="D922" t="str">
            <v>芯联鑫</v>
          </cell>
          <cell r="E922" t="str">
            <v>YSM10</v>
          </cell>
          <cell r="F922" t="str">
            <v>#04750</v>
          </cell>
          <cell r="G922" t="e">
            <v>#REF!</v>
          </cell>
          <cell r="H922" t="e">
            <v>#REF!</v>
          </cell>
          <cell r="I922" t="str">
            <v>L-&gt;R</v>
          </cell>
          <cell r="J922" t="str">
            <v>MVC</v>
          </cell>
          <cell r="K922">
            <v>1</v>
          </cell>
          <cell r="L922">
            <v>109957</v>
          </cell>
          <cell r="M922" t="str">
            <v>SEP 20</v>
          </cell>
          <cell r="N922">
            <v>44075</v>
          </cell>
          <cell r="O922">
            <v>11100428</v>
          </cell>
          <cell r="P922">
            <v>611500</v>
          </cell>
          <cell r="Q922">
            <v>44094</v>
          </cell>
          <cell r="R922" t="str">
            <v>Yes</v>
          </cell>
          <cell r="S922" t="str">
            <v>C49</v>
          </cell>
          <cell r="T922" t="str">
            <v>SOUTH</v>
          </cell>
          <cell r="U922" t="str">
            <v>深圳</v>
          </cell>
          <cell r="V922" t="str">
            <v>SZ 深圳</v>
          </cell>
          <cell r="W922" t="str">
            <v>JY</v>
          </cell>
          <cell r="X922" t="str">
            <v>RMB</v>
          </cell>
          <cell r="Y922">
            <v>611500</v>
          </cell>
          <cell r="Z922">
            <v>1.1299999999999999</v>
          </cell>
          <cell r="AA922">
            <v>611500</v>
          </cell>
          <cell r="AB922">
            <v>1.105</v>
          </cell>
          <cell r="AC922">
            <v>597971.23893805314</v>
          </cell>
          <cell r="AD922">
            <v>71756.54867256638</v>
          </cell>
          <cell r="AE922">
            <v>0.12</v>
          </cell>
          <cell r="AF922">
            <v>44054</v>
          </cell>
          <cell r="AG922" t="str">
            <v>含税到厂</v>
          </cell>
          <cell r="AK922">
            <v>0.1</v>
          </cell>
          <cell r="AL922">
            <v>61150</v>
          </cell>
          <cell r="AM922">
            <v>44073</v>
          </cell>
          <cell r="AN922" t="str">
            <v>Yes</v>
          </cell>
          <cell r="AO922">
            <v>0.9</v>
          </cell>
          <cell r="AP922">
            <v>550350</v>
          </cell>
          <cell r="AQ922">
            <v>44067</v>
          </cell>
          <cell r="AR922">
            <v>44071</v>
          </cell>
          <cell r="AS922">
            <v>0</v>
          </cell>
          <cell r="AT922">
            <v>0</v>
          </cell>
          <cell r="AX922" t="str">
            <v>Yes</v>
          </cell>
          <cell r="AZ922" t="str">
            <v>Yes</v>
          </cell>
          <cell r="BA922" t="str">
            <v>Yes</v>
          </cell>
        </row>
        <row r="923">
          <cell r="B923">
            <v>772</v>
          </cell>
          <cell r="C923" t="str">
            <v>C49SZX20200126JY</v>
          </cell>
          <cell r="D923" t="str">
            <v>芯联鑫</v>
          </cell>
          <cell r="E923" t="str">
            <v>YSM10</v>
          </cell>
          <cell r="F923" t="str">
            <v>#04750</v>
          </cell>
          <cell r="G923" t="e">
            <v>#REF!</v>
          </cell>
          <cell r="H923" t="e">
            <v>#REF!</v>
          </cell>
          <cell r="I923" t="str">
            <v>L-&gt;R</v>
          </cell>
          <cell r="J923" t="str">
            <v>MVC</v>
          </cell>
          <cell r="K923">
            <v>1</v>
          </cell>
          <cell r="L923">
            <v>109977</v>
          </cell>
          <cell r="M923" t="str">
            <v>SEP 20</v>
          </cell>
          <cell r="N923">
            <v>44103</v>
          </cell>
          <cell r="O923">
            <v>11100433</v>
          </cell>
          <cell r="P923">
            <v>611500</v>
          </cell>
          <cell r="Q923">
            <v>44075</v>
          </cell>
          <cell r="R923" t="str">
            <v>Yes</v>
          </cell>
          <cell r="S923" t="str">
            <v>C49</v>
          </cell>
          <cell r="T923" t="str">
            <v>SOUTH</v>
          </cell>
          <cell r="U923" t="str">
            <v>深圳</v>
          </cell>
          <cell r="V923" t="str">
            <v>SZ 深圳</v>
          </cell>
          <cell r="W923" t="str">
            <v>JY</v>
          </cell>
          <cell r="X923" t="str">
            <v>RMB</v>
          </cell>
          <cell r="Y923">
            <v>611500</v>
          </cell>
          <cell r="Z923">
            <v>1.1299999999999999</v>
          </cell>
          <cell r="AA923">
            <v>611500</v>
          </cell>
          <cell r="AB923">
            <v>1.105</v>
          </cell>
          <cell r="AC923">
            <v>597971.23893805314</v>
          </cell>
          <cell r="AD923">
            <v>71756.54867256638</v>
          </cell>
          <cell r="AE923">
            <v>0.12</v>
          </cell>
          <cell r="AF923">
            <v>44054</v>
          </cell>
          <cell r="AG923" t="str">
            <v>含税到厂</v>
          </cell>
          <cell r="AK923">
            <v>0.1</v>
          </cell>
          <cell r="AL923">
            <v>61150</v>
          </cell>
          <cell r="AM923">
            <v>44073</v>
          </cell>
          <cell r="AN923" t="str">
            <v>Yes</v>
          </cell>
          <cell r="AO923">
            <v>0.9</v>
          </cell>
          <cell r="AP923">
            <v>550350</v>
          </cell>
          <cell r="AQ923">
            <v>44075</v>
          </cell>
          <cell r="AR923">
            <v>44098</v>
          </cell>
          <cell r="AS923">
            <v>0</v>
          </cell>
          <cell r="AT923">
            <v>0</v>
          </cell>
          <cell r="AX923" t="str">
            <v>Yes</v>
          </cell>
          <cell r="AZ923" t="str">
            <v>Yes</v>
          </cell>
          <cell r="BA923" t="str">
            <v>Yes</v>
          </cell>
        </row>
        <row r="924">
          <cell r="B924">
            <v>773</v>
          </cell>
          <cell r="C924" t="str">
            <v>C49SZX20200123DZ</v>
          </cell>
          <cell r="D924" t="str">
            <v>海星</v>
          </cell>
          <cell r="E924" t="str">
            <v>YSM20R(SV)-2</v>
          </cell>
          <cell r="F924" t="str">
            <v>#29642</v>
          </cell>
          <cell r="G924" t="e">
            <v>#REF!</v>
          </cell>
          <cell r="H924" t="e">
            <v>#REF!</v>
          </cell>
          <cell r="I924" t="str">
            <v>R-&gt;L</v>
          </cell>
          <cell r="J924" t="str">
            <v>No</v>
          </cell>
          <cell r="K924">
            <v>1</v>
          </cell>
          <cell r="L924">
            <v>109933</v>
          </cell>
          <cell r="M924" t="str">
            <v>SEP 20</v>
          </cell>
          <cell r="N924">
            <v>44079</v>
          </cell>
          <cell r="O924">
            <v>11100427</v>
          </cell>
          <cell r="P924">
            <v>1250000</v>
          </cell>
          <cell r="Q924">
            <v>44094</v>
          </cell>
          <cell r="R924" t="str">
            <v>No</v>
          </cell>
          <cell r="S924" t="str">
            <v>C49</v>
          </cell>
          <cell r="T924" t="str">
            <v>SOUTH</v>
          </cell>
          <cell r="U924" t="str">
            <v>深圳</v>
          </cell>
          <cell r="V924" t="str">
            <v>SZ 深圳</v>
          </cell>
          <cell r="W924" t="str">
            <v>DZ</v>
          </cell>
          <cell r="X924" t="str">
            <v>RMB</v>
          </cell>
          <cell r="Y924">
            <v>1250000</v>
          </cell>
          <cell r="Z924">
            <v>1.1299999999999999</v>
          </cell>
          <cell r="AA924">
            <v>1250000</v>
          </cell>
          <cell r="AB924">
            <v>1.105</v>
          </cell>
          <cell r="AC924">
            <v>1222345.1327433628</v>
          </cell>
          <cell r="AD924">
            <v>146681.41592920353</v>
          </cell>
          <cell r="AE924">
            <v>0.12</v>
          </cell>
          <cell r="AF924">
            <v>44056</v>
          </cell>
          <cell r="AG924" t="str">
            <v>含税到厂</v>
          </cell>
          <cell r="AK924">
            <v>0.3</v>
          </cell>
          <cell r="AL924">
            <v>375000</v>
          </cell>
          <cell r="AM924">
            <v>44074</v>
          </cell>
          <cell r="AN924" t="str">
            <v>Yes</v>
          </cell>
          <cell r="AO924">
            <v>0.7</v>
          </cell>
          <cell r="AP924">
            <v>875000</v>
          </cell>
          <cell r="AQ924">
            <v>44075</v>
          </cell>
          <cell r="AR924">
            <v>44075</v>
          </cell>
          <cell r="AS924">
            <v>0</v>
          </cell>
          <cell r="AT924">
            <v>0</v>
          </cell>
          <cell r="AX924" t="str">
            <v>Yes</v>
          </cell>
          <cell r="AZ924" t="str">
            <v>Yes</v>
          </cell>
          <cell r="BA924" t="str">
            <v>Yes</v>
          </cell>
        </row>
        <row r="925">
          <cell r="B925">
            <v>774</v>
          </cell>
          <cell r="C925" t="str">
            <v>C49SZX20200123DZ</v>
          </cell>
          <cell r="D925" t="str">
            <v>海星</v>
          </cell>
          <cell r="E925" t="str">
            <v>YSM20R(SV)-2</v>
          </cell>
          <cell r="F925" t="str">
            <v>#29642</v>
          </cell>
          <cell r="G925" t="e">
            <v>#REF!</v>
          </cell>
          <cell r="H925" t="e">
            <v>#REF!</v>
          </cell>
          <cell r="I925" t="str">
            <v>R-&gt;L</v>
          </cell>
          <cell r="J925" t="str">
            <v>cATS10+MVC</v>
          </cell>
          <cell r="K925">
            <v>1</v>
          </cell>
          <cell r="L925">
            <v>109816</v>
          </cell>
          <cell r="M925" t="str">
            <v>SEP 20</v>
          </cell>
          <cell r="N925">
            <v>44079</v>
          </cell>
          <cell r="O925">
            <v>11100427</v>
          </cell>
          <cell r="P925">
            <v>1250000</v>
          </cell>
          <cell r="Q925">
            <v>44095</v>
          </cell>
          <cell r="R925" t="str">
            <v>No</v>
          </cell>
          <cell r="S925" t="str">
            <v>C49</v>
          </cell>
          <cell r="T925" t="str">
            <v>SOUTH</v>
          </cell>
          <cell r="U925" t="str">
            <v>深圳</v>
          </cell>
          <cell r="V925" t="str">
            <v>SZ 深圳</v>
          </cell>
          <cell r="W925" t="str">
            <v>DZ</v>
          </cell>
          <cell r="X925" t="str">
            <v>RMB</v>
          </cell>
          <cell r="Y925">
            <v>1250000</v>
          </cell>
          <cell r="Z925">
            <v>1.1299999999999999</v>
          </cell>
          <cell r="AA925">
            <v>1250000</v>
          </cell>
          <cell r="AB925">
            <v>1.105</v>
          </cell>
          <cell r="AC925">
            <v>1222345.1327433628</v>
          </cell>
          <cell r="AD925">
            <v>146681.41592920353</v>
          </cell>
          <cell r="AE925">
            <v>0.12</v>
          </cell>
          <cell r="AF925">
            <v>44056</v>
          </cell>
          <cell r="AG925" t="str">
            <v>含税到厂</v>
          </cell>
          <cell r="AK925">
            <v>0.3</v>
          </cell>
          <cell r="AL925">
            <v>375000</v>
          </cell>
          <cell r="AM925">
            <v>44075</v>
          </cell>
          <cell r="AN925" t="str">
            <v>Yes</v>
          </cell>
          <cell r="AO925">
            <v>0.7</v>
          </cell>
          <cell r="AP925">
            <v>875000</v>
          </cell>
          <cell r="AQ925">
            <v>44076</v>
          </cell>
          <cell r="AR925">
            <v>44075</v>
          </cell>
          <cell r="AS925">
            <v>0</v>
          </cell>
          <cell r="AT925">
            <v>0</v>
          </cell>
          <cell r="AX925" t="str">
            <v>Yes</v>
          </cell>
          <cell r="AZ925" t="str">
            <v>Yes</v>
          </cell>
          <cell r="BA925" t="str">
            <v>Yes</v>
          </cell>
        </row>
        <row r="926">
          <cell r="B926">
            <v>775</v>
          </cell>
          <cell r="C926" t="str">
            <v>C49SZX20200123DZ</v>
          </cell>
          <cell r="D926" t="str">
            <v>海星</v>
          </cell>
          <cell r="E926" t="str">
            <v>YSM10</v>
          </cell>
          <cell r="F926" t="str">
            <v>#29642</v>
          </cell>
          <cell r="G926" t="e">
            <v>#REF!</v>
          </cell>
          <cell r="H926" t="e">
            <v>#REF!</v>
          </cell>
          <cell r="I926" t="str">
            <v>R-&gt;L</v>
          </cell>
          <cell r="J926" t="str">
            <v>MVC</v>
          </cell>
          <cell r="K926">
            <v>1</v>
          </cell>
          <cell r="L926">
            <v>109957</v>
          </cell>
          <cell r="M926" t="str">
            <v>SEP 20</v>
          </cell>
          <cell r="N926">
            <v>44079</v>
          </cell>
          <cell r="O926">
            <v>11100427</v>
          </cell>
          <cell r="P926">
            <v>600000</v>
          </cell>
          <cell r="Q926">
            <v>44096</v>
          </cell>
          <cell r="R926" t="str">
            <v>No</v>
          </cell>
          <cell r="S926" t="str">
            <v>C49</v>
          </cell>
          <cell r="T926" t="str">
            <v>SOUTH</v>
          </cell>
          <cell r="U926" t="str">
            <v>深圳</v>
          </cell>
          <cell r="V926" t="str">
            <v>SZ 深圳</v>
          </cell>
          <cell r="W926" t="str">
            <v>DZ</v>
          </cell>
          <cell r="X926" t="str">
            <v>RMB</v>
          </cell>
          <cell r="Y926">
            <v>600000</v>
          </cell>
          <cell r="Z926">
            <v>1.1299999999999999</v>
          </cell>
          <cell r="AA926">
            <v>600000</v>
          </cell>
          <cell r="AB926">
            <v>1.105</v>
          </cell>
          <cell r="AC926">
            <v>586725.66371681425</v>
          </cell>
          <cell r="AD926">
            <v>70407.079646017708</v>
          </cell>
          <cell r="AE926">
            <v>0.12</v>
          </cell>
          <cell r="AF926">
            <v>44056</v>
          </cell>
          <cell r="AG926" t="str">
            <v>含税到厂</v>
          </cell>
          <cell r="AK926">
            <v>0.3</v>
          </cell>
          <cell r="AL926">
            <v>180000</v>
          </cell>
          <cell r="AM926">
            <v>44076</v>
          </cell>
          <cell r="AN926" t="str">
            <v>Yes</v>
          </cell>
          <cell r="AO926">
            <v>0.7</v>
          </cell>
          <cell r="AP926">
            <v>420000</v>
          </cell>
          <cell r="AQ926">
            <v>44077</v>
          </cell>
          <cell r="AR926">
            <v>44075</v>
          </cell>
          <cell r="AS926">
            <v>0</v>
          </cell>
          <cell r="AT926">
            <v>0</v>
          </cell>
          <cell r="AX926" t="str">
            <v>Yes</v>
          </cell>
          <cell r="AZ926" t="str">
            <v>Yes</v>
          </cell>
          <cell r="BA926" t="str">
            <v>Yes</v>
          </cell>
        </row>
        <row r="927">
          <cell r="B927">
            <v>776</v>
          </cell>
          <cell r="C927" t="str">
            <v>C28SZX20200056KC</v>
          </cell>
          <cell r="D927" t="str">
            <v>海星</v>
          </cell>
          <cell r="E927" t="str">
            <v>Heller 1936MK5</v>
          </cell>
          <cell r="F927" t="str">
            <v>#29642</v>
          </cell>
          <cell r="G927" t="e">
            <v>#REF!</v>
          </cell>
          <cell r="H927" t="e">
            <v>#REF!</v>
          </cell>
          <cell r="I927" t="str">
            <v>L-&gt;R</v>
          </cell>
          <cell r="J927" t="str">
            <v>No</v>
          </cell>
          <cell r="K927">
            <v>1</v>
          </cell>
          <cell r="L927" t="str">
            <v>28P101096</v>
          </cell>
          <cell r="M927" t="str">
            <v>SEP 20</v>
          </cell>
          <cell r="N927">
            <v>44097</v>
          </cell>
          <cell r="O927">
            <v>11100429</v>
          </cell>
          <cell r="P927">
            <v>503780</v>
          </cell>
          <cell r="Q927">
            <v>44096</v>
          </cell>
          <cell r="R927" t="str">
            <v>No</v>
          </cell>
          <cell r="S927" t="str">
            <v>C28</v>
          </cell>
          <cell r="T927" t="str">
            <v>SOUTH</v>
          </cell>
          <cell r="U927" t="str">
            <v>深圳</v>
          </cell>
          <cell r="V927" t="str">
            <v>SZ 深圳</v>
          </cell>
          <cell r="W927" t="str">
            <v>KC</v>
          </cell>
          <cell r="X927" t="str">
            <v>RMB</v>
          </cell>
          <cell r="Y927">
            <v>503780</v>
          </cell>
          <cell r="Z927">
            <v>1.1299999999999999</v>
          </cell>
          <cell r="AA927">
            <v>503780</v>
          </cell>
          <cell r="AB927">
            <v>1.105</v>
          </cell>
          <cell r="AC927">
            <v>492634.42477876111</v>
          </cell>
          <cell r="AD927">
            <v>59116.130973451334</v>
          </cell>
          <cell r="AE927">
            <v>0.12</v>
          </cell>
          <cell r="AF927">
            <v>44056</v>
          </cell>
          <cell r="AG927" t="str">
            <v>含税到厂</v>
          </cell>
          <cell r="AK927">
            <v>0.3</v>
          </cell>
          <cell r="AL927">
            <v>151134</v>
          </cell>
          <cell r="AM927">
            <v>44077</v>
          </cell>
          <cell r="AN927" t="str">
            <v>Yes</v>
          </cell>
          <cell r="AO927">
            <v>0.7</v>
          </cell>
          <cell r="AP927">
            <v>352646</v>
          </cell>
          <cell r="AQ927">
            <v>44078</v>
          </cell>
          <cell r="AR927">
            <v>44075</v>
          </cell>
          <cell r="AS927">
            <v>0</v>
          </cell>
          <cell r="AT927">
            <v>0</v>
          </cell>
          <cell r="AX927" t="str">
            <v>Yes</v>
          </cell>
          <cell r="AZ927" t="str">
            <v>Yes</v>
          </cell>
          <cell r="BA927" t="str">
            <v>Yes</v>
          </cell>
        </row>
        <row r="928">
          <cell r="B928">
            <v>777</v>
          </cell>
          <cell r="C928" t="str">
            <v>C28SZX20200055KC</v>
          </cell>
          <cell r="D928" t="str">
            <v>海星</v>
          </cell>
          <cell r="E928" t="str">
            <v>YCP10</v>
          </cell>
          <cell r="F928" t="str">
            <v>#29642</v>
          </cell>
          <cell r="G928" t="e">
            <v>#REF!</v>
          </cell>
          <cell r="H928" t="e">
            <v>#REF!</v>
          </cell>
          <cell r="I928" t="str">
            <v>R-&gt;L</v>
          </cell>
          <cell r="J928" t="str">
            <v>No</v>
          </cell>
          <cell r="K928">
            <v>1</v>
          </cell>
          <cell r="L928">
            <v>110038</v>
          </cell>
          <cell r="M928" t="str">
            <v>OCT 20</v>
          </cell>
          <cell r="N928">
            <v>44125</v>
          </cell>
          <cell r="O928">
            <v>11100435</v>
          </cell>
          <cell r="P928">
            <v>462900</v>
          </cell>
          <cell r="Q928">
            <v>44124</v>
          </cell>
          <cell r="R928" t="str">
            <v>No</v>
          </cell>
          <cell r="S928" t="str">
            <v>C28</v>
          </cell>
          <cell r="T928" t="str">
            <v>SOUTH</v>
          </cell>
          <cell r="U928" t="str">
            <v>深圳</v>
          </cell>
          <cell r="V928" t="str">
            <v>SZ 深圳</v>
          </cell>
          <cell r="W928" t="str">
            <v>KC</v>
          </cell>
          <cell r="X928" t="str">
            <v>RMB</v>
          </cell>
          <cell r="Y928">
            <v>462900</v>
          </cell>
          <cell r="Z928">
            <v>1.1299999999999999</v>
          </cell>
          <cell r="AA928">
            <v>462900</v>
          </cell>
          <cell r="AB928">
            <v>1.105</v>
          </cell>
          <cell r="AC928">
            <v>452658.84955752216</v>
          </cell>
          <cell r="AD928">
            <v>54319.061946902657</v>
          </cell>
          <cell r="AE928">
            <v>0.12</v>
          </cell>
          <cell r="AF928">
            <v>44056</v>
          </cell>
          <cell r="AG928" t="str">
            <v>含税到厂</v>
          </cell>
          <cell r="AK928">
            <v>0.3</v>
          </cell>
          <cell r="AL928">
            <v>138870</v>
          </cell>
          <cell r="AM928">
            <v>44073</v>
          </cell>
          <cell r="AN928" t="str">
            <v>Yes</v>
          </cell>
          <cell r="AO928">
            <v>0.7</v>
          </cell>
          <cell r="AP928">
            <v>324030</v>
          </cell>
          <cell r="AQ928">
            <v>44079</v>
          </cell>
          <cell r="AR928">
            <v>44075</v>
          </cell>
          <cell r="AS928">
            <v>0</v>
          </cell>
          <cell r="AT928">
            <v>0</v>
          </cell>
          <cell r="AX928" t="str">
            <v>Yes</v>
          </cell>
          <cell r="AZ928" t="str">
            <v>Yes</v>
          </cell>
          <cell r="BA928" t="str">
            <v>Yes</v>
          </cell>
        </row>
        <row r="929">
          <cell r="B929">
            <v>778</v>
          </cell>
          <cell r="C929" t="str">
            <v>C49SZX20200139JZ</v>
          </cell>
          <cell r="D929" t="str">
            <v>斯迈</v>
          </cell>
          <cell r="E929" t="str">
            <v>YSM10</v>
          </cell>
          <cell r="F929" t="str">
            <v>#18542</v>
          </cell>
          <cell r="G929" t="e">
            <v>#REF!</v>
          </cell>
          <cell r="H929" t="e">
            <v>#REF!</v>
          </cell>
          <cell r="I929" t="str">
            <v>L-&gt;R</v>
          </cell>
          <cell r="J929" t="str">
            <v>MVC</v>
          </cell>
          <cell r="K929">
            <v>1</v>
          </cell>
          <cell r="L929" t="e">
            <v>#N/A</v>
          </cell>
          <cell r="M929" t="e">
            <v>#N/A</v>
          </cell>
          <cell r="N929"/>
          <cell r="O929"/>
          <cell r="P929"/>
          <cell r="Q929"/>
          <cell r="R929" t="str">
            <v>Yes</v>
          </cell>
          <cell r="S929" t="str">
            <v>C49</v>
          </cell>
          <cell r="T929" t="str">
            <v>SOUTH</v>
          </cell>
          <cell r="U929" t="str">
            <v>深圳</v>
          </cell>
          <cell r="V929" t="str">
            <v>SZ 深圳</v>
          </cell>
          <cell r="W929" t="str">
            <v>ZX</v>
          </cell>
          <cell r="X929" t="str">
            <v>JPY</v>
          </cell>
          <cell r="Y929">
            <v>6628360</v>
          </cell>
          <cell r="Z929">
            <v>1</v>
          </cell>
          <cell r="AA929">
            <v>6628360</v>
          </cell>
          <cell r="AB929">
            <v>7.5700000000000003E-2</v>
          </cell>
          <cell r="AC929">
            <v>501766.85200000001</v>
          </cell>
          <cell r="AD929">
            <v>60212.022239999998</v>
          </cell>
          <cell r="AE929">
            <v>0.12</v>
          </cell>
          <cell r="AF929">
            <v>44061</v>
          </cell>
          <cell r="AG929" t="str">
            <v>DAP GZ</v>
          </cell>
          <cell r="AI929"/>
          <cell r="AJ929"/>
          <cell r="AK929">
            <v>0.1</v>
          </cell>
          <cell r="AL929">
            <v>662836</v>
          </cell>
          <cell r="AM929">
            <v>44215</v>
          </cell>
          <cell r="AN929" t="str">
            <v>No</v>
          </cell>
          <cell r="AO929">
            <v>0.9</v>
          </cell>
          <cell r="AP929">
            <v>5965524</v>
          </cell>
          <cell r="AQ929"/>
          <cell r="AR929"/>
          <cell r="AS929">
            <v>0</v>
          </cell>
          <cell r="AT929">
            <v>0</v>
          </cell>
          <cell r="AV929"/>
          <cell r="AX929" t="str">
            <v>Cancel</v>
          </cell>
          <cell r="AY929"/>
          <cell r="AZ929"/>
          <cell r="BA929" t="str">
            <v>Cancel</v>
          </cell>
          <cell r="BB929" t="str">
            <v>2022-8-2Ken邮件通知</v>
          </cell>
        </row>
        <row r="930">
          <cell r="B930">
            <v>779</v>
          </cell>
          <cell r="C930" t="str">
            <v>C49SZX20200139JZ</v>
          </cell>
          <cell r="D930" t="str">
            <v>斯迈</v>
          </cell>
          <cell r="E930" t="str">
            <v>YSM10</v>
          </cell>
          <cell r="F930" t="str">
            <v>#18542</v>
          </cell>
          <cell r="G930" t="e">
            <v>#REF!</v>
          </cell>
          <cell r="H930" t="e">
            <v>#REF!</v>
          </cell>
          <cell r="I930" t="str">
            <v>L-&gt;R</v>
          </cell>
          <cell r="J930" t="str">
            <v>MVC</v>
          </cell>
          <cell r="K930">
            <v>1</v>
          </cell>
          <cell r="L930" t="e">
            <v>#N/A</v>
          </cell>
          <cell r="M930" t="e">
            <v>#N/A</v>
          </cell>
          <cell r="N930"/>
          <cell r="O930"/>
          <cell r="P930"/>
          <cell r="Q930"/>
          <cell r="R930" t="str">
            <v>Yes</v>
          </cell>
          <cell r="S930" t="str">
            <v>C49</v>
          </cell>
          <cell r="T930" t="str">
            <v>SOUTH</v>
          </cell>
          <cell r="U930" t="str">
            <v>深圳</v>
          </cell>
          <cell r="V930" t="str">
            <v>SZ 深圳</v>
          </cell>
          <cell r="W930" t="str">
            <v>ZX</v>
          </cell>
          <cell r="X930" t="str">
            <v>JPY</v>
          </cell>
          <cell r="Y930">
            <v>6628360</v>
          </cell>
          <cell r="Z930">
            <v>1</v>
          </cell>
          <cell r="AA930">
            <v>6628360</v>
          </cell>
          <cell r="AB930">
            <v>7.5700000000000003E-2</v>
          </cell>
          <cell r="AC930">
            <v>501766.85200000001</v>
          </cell>
          <cell r="AD930">
            <v>60212.022239999998</v>
          </cell>
          <cell r="AE930">
            <v>0.12</v>
          </cell>
          <cell r="AF930">
            <v>44061</v>
          </cell>
          <cell r="AG930" t="str">
            <v>DAP GZ</v>
          </cell>
          <cell r="AI930"/>
          <cell r="AJ930"/>
          <cell r="AK930">
            <v>0.1</v>
          </cell>
          <cell r="AL930">
            <v>662836</v>
          </cell>
          <cell r="AM930">
            <v>44215</v>
          </cell>
          <cell r="AN930" t="str">
            <v>No</v>
          </cell>
          <cell r="AO930">
            <v>0.9</v>
          </cell>
          <cell r="AP930">
            <v>5965524</v>
          </cell>
          <cell r="AQ930"/>
          <cell r="AR930"/>
          <cell r="AS930">
            <v>0</v>
          </cell>
          <cell r="AT930">
            <v>0</v>
          </cell>
          <cell r="AV930"/>
          <cell r="AX930" t="str">
            <v>Cancel</v>
          </cell>
          <cell r="AY930"/>
          <cell r="AZ930"/>
          <cell r="BA930" t="str">
            <v>Cancel</v>
          </cell>
          <cell r="BB930" t="str">
            <v>2022-8-2Ken邮件通知</v>
          </cell>
        </row>
        <row r="931">
          <cell r="B931">
            <v>780</v>
          </cell>
          <cell r="C931" t="str">
            <v>C49SZX20200139JZ</v>
          </cell>
          <cell r="D931" t="str">
            <v>斯迈</v>
          </cell>
          <cell r="E931" t="str">
            <v>YSM10</v>
          </cell>
          <cell r="F931" t="str">
            <v>#18542</v>
          </cell>
          <cell r="G931" t="e">
            <v>#REF!</v>
          </cell>
          <cell r="H931" t="e">
            <v>#REF!</v>
          </cell>
          <cell r="I931" t="str">
            <v>L-&gt;R</v>
          </cell>
          <cell r="J931" t="str">
            <v>MVC</v>
          </cell>
          <cell r="K931">
            <v>1</v>
          </cell>
          <cell r="L931" t="e">
            <v>#N/A</v>
          </cell>
          <cell r="M931" t="e">
            <v>#N/A</v>
          </cell>
          <cell r="N931"/>
          <cell r="O931"/>
          <cell r="P931"/>
          <cell r="Q931"/>
          <cell r="R931" t="str">
            <v>Yes</v>
          </cell>
          <cell r="S931" t="str">
            <v>C49</v>
          </cell>
          <cell r="T931" t="str">
            <v>SOUTH</v>
          </cell>
          <cell r="U931" t="str">
            <v>深圳</v>
          </cell>
          <cell r="V931" t="str">
            <v>SZ 深圳</v>
          </cell>
          <cell r="W931" t="str">
            <v>ZX</v>
          </cell>
          <cell r="X931" t="str">
            <v>JPY</v>
          </cell>
          <cell r="Y931">
            <v>6628360</v>
          </cell>
          <cell r="Z931">
            <v>1</v>
          </cell>
          <cell r="AA931">
            <v>6628360</v>
          </cell>
          <cell r="AB931">
            <v>7.5700000000000003E-2</v>
          </cell>
          <cell r="AC931">
            <v>501766.85200000001</v>
          </cell>
          <cell r="AD931">
            <v>60212.022239999998</v>
          </cell>
          <cell r="AE931">
            <v>0.12</v>
          </cell>
          <cell r="AF931">
            <v>44061</v>
          </cell>
          <cell r="AG931" t="str">
            <v>DAP GZ</v>
          </cell>
          <cell r="AI931"/>
          <cell r="AJ931"/>
          <cell r="AK931">
            <v>0.1</v>
          </cell>
          <cell r="AL931">
            <v>662836</v>
          </cell>
          <cell r="AM931">
            <v>44215</v>
          </cell>
          <cell r="AN931" t="str">
            <v>No</v>
          </cell>
          <cell r="AO931">
            <v>0.9</v>
          </cell>
          <cell r="AP931">
            <v>5965524</v>
          </cell>
          <cell r="AQ931"/>
          <cell r="AR931"/>
          <cell r="AS931">
            <v>0</v>
          </cell>
          <cell r="AT931">
            <v>0</v>
          </cell>
          <cell r="AV931"/>
          <cell r="AX931" t="str">
            <v>Cancel</v>
          </cell>
          <cell r="AY931"/>
          <cell r="AZ931"/>
          <cell r="BA931" t="str">
            <v>Cancel</v>
          </cell>
          <cell r="BB931" t="str">
            <v>2022-8-2Ken邮件通知</v>
          </cell>
        </row>
        <row r="932">
          <cell r="B932">
            <v>781</v>
          </cell>
          <cell r="C932" t="str">
            <v>C49SZX20200139JZ</v>
          </cell>
          <cell r="D932" t="str">
            <v>斯迈</v>
          </cell>
          <cell r="E932" t="str">
            <v>YSM10</v>
          </cell>
          <cell r="F932" t="str">
            <v>#18542</v>
          </cell>
          <cell r="G932" t="e">
            <v>#REF!</v>
          </cell>
          <cell r="H932" t="e">
            <v>#REF!</v>
          </cell>
          <cell r="I932" t="str">
            <v>L-&gt;R</v>
          </cell>
          <cell r="J932" t="str">
            <v>MVC</v>
          </cell>
          <cell r="K932">
            <v>1</v>
          </cell>
          <cell r="L932" t="e">
            <v>#N/A</v>
          </cell>
          <cell r="M932" t="e">
            <v>#N/A</v>
          </cell>
          <cell r="N932"/>
          <cell r="O932"/>
          <cell r="P932"/>
          <cell r="Q932"/>
          <cell r="R932" t="str">
            <v>Yes</v>
          </cell>
          <cell r="S932" t="str">
            <v>C49</v>
          </cell>
          <cell r="T932" t="str">
            <v>SOUTH</v>
          </cell>
          <cell r="U932" t="str">
            <v>深圳</v>
          </cell>
          <cell r="V932" t="str">
            <v>SZ 深圳</v>
          </cell>
          <cell r="W932" t="str">
            <v>ZX</v>
          </cell>
          <cell r="X932" t="str">
            <v>JPY</v>
          </cell>
          <cell r="Y932">
            <v>6628360</v>
          </cell>
          <cell r="Z932">
            <v>1</v>
          </cell>
          <cell r="AA932">
            <v>6628360</v>
          </cell>
          <cell r="AB932">
            <v>7.5700000000000003E-2</v>
          </cell>
          <cell r="AC932">
            <v>501766.85200000001</v>
          </cell>
          <cell r="AD932">
            <v>60212.022239999998</v>
          </cell>
          <cell r="AE932">
            <v>0.12</v>
          </cell>
          <cell r="AF932">
            <v>44061</v>
          </cell>
          <cell r="AG932" t="str">
            <v>DAP GZ</v>
          </cell>
          <cell r="AI932"/>
          <cell r="AJ932"/>
          <cell r="AK932">
            <v>0.1</v>
          </cell>
          <cell r="AL932">
            <v>662836</v>
          </cell>
          <cell r="AM932">
            <v>44215</v>
          </cell>
          <cell r="AN932" t="str">
            <v>No</v>
          </cell>
          <cell r="AO932">
            <v>0.9</v>
          </cell>
          <cell r="AP932">
            <v>5965524</v>
          </cell>
          <cell r="AQ932"/>
          <cell r="AR932"/>
          <cell r="AS932">
            <v>0</v>
          </cell>
          <cell r="AT932">
            <v>0</v>
          </cell>
          <cell r="AV932"/>
          <cell r="AX932" t="str">
            <v>Cancel</v>
          </cell>
          <cell r="AY932"/>
          <cell r="AZ932"/>
          <cell r="BA932" t="str">
            <v>Cancel</v>
          </cell>
          <cell r="BB932" t="str">
            <v>2022-8-2Ken邮件通知</v>
          </cell>
        </row>
        <row r="933">
          <cell r="B933">
            <v>782</v>
          </cell>
          <cell r="C933" t="str">
            <v>C49SZX20200139JZ</v>
          </cell>
          <cell r="D933" t="str">
            <v>斯迈</v>
          </cell>
          <cell r="E933" t="str">
            <v>YSM10</v>
          </cell>
          <cell r="F933" t="str">
            <v>#18542</v>
          </cell>
          <cell r="G933" t="e">
            <v>#REF!</v>
          </cell>
          <cell r="H933" t="e">
            <v>#REF!</v>
          </cell>
          <cell r="I933" t="str">
            <v>L-&gt;R</v>
          </cell>
          <cell r="J933" t="str">
            <v>MVC</v>
          </cell>
          <cell r="K933">
            <v>1</v>
          </cell>
          <cell r="L933" t="e">
            <v>#N/A</v>
          </cell>
          <cell r="M933" t="e">
            <v>#N/A</v>
          </cell>
          <cell r="N933"/>
          <cell r="O933"/>
          <cell r="P933"/>
          <cell r="Q933"/>
          <cell r="R933" t="str">
            <v>Yes</v>
          </cell>
          <cell r="S933" t="str">
            <v>C49</v>
          </cell>
          <cell r="T933" t="str">
            <v>SOUTH</v>
          </cell>
          <cell r="U933" t="str">
            <v>深圳</v>
          </cell>
          <cell r="V933" t="str">
            <v>SZ 深圳</v>
          </cell>
          <cell r="W933" t="str">
            <v>ZX</v>
          </cell>
          <cell r="X933" t="str">
            <v>JPY</v>
          </cell>
          <cell r="Y933">
            <v>6628360</v>
          </cell>
          <cell r="Z933">
            <v>1</v>
          </cell>
          <cell r="AA933">
            <v>6628360</v>
          </cell>
          <cell r="AB933">
            <v>7.5700000000000003E-2</v>
          </cell>
          <cell r="AC933">
            <v>501766.85200000001</v>
          </cell>
          <cell r="AD933">
            <v>60212.022239999998</v>
          </cell>
          <cell r="AE933">
            <v>0.12</v>
          </cell>
          <cell r="AF933">
            <v>44061</v>
          </cell>
          <cell r="AG933" t="str">
            <v>DAP GZ</v>
          </cell>
          <cell r="AI933"/>
          <cell r="AJ933"/>
          <cell r="AK933">
            <v>0.1</v>
          </cell>
          <cell r="AL933">
            <v>662836</v>
          </cell>
          <cell r="AM933">
            <v>44215</v>
          </cell>
          <cell r="AN933" t="str">
            <v>No</v>
          </cell>
          <cell r="AO933">
            <v>0.9</v>
          </cell>
          <cell r="AP933">
            <v>5965524</v>
          </cell>
          <cell r="AQ933"/>
          <cell r="AR933"/>
          <cell r="AS933">
            <v>0</v>
          </cell>
          <cell r="AT933">
            <v>0</v>
          </cell>
          <cell r="AV933"/>
          <cell r="AX933" t="str">
            <v>Cancel</v>
          </cell>
          <cell r="AY933"/>
          <cell r="AZ933"/>
          <cell r="BA933" t="str">
            <v>Cancel</v>
          </cell>
          <cell r="BB933" t="str">
            <v>2022-8-2Ken邮件通知</v>
          </cell>
        </row>
        <row r="934">
          <cell r="B934">
            <v>783</v>
          </cell>
          <cell r="C934" t="str">
            <v>C49SZX20200138JZ</v>
          </cell>
          <cell r="D934" t="str">
            <v>斯迈</v>
          </cell>
          <cell r="E934" t="str">
            <v>YSM10</v>
          </cell>
          <cell r="F934" t="str">
            <v>#18542</v>
          </cell>
          <cell r="G934" t="e">
            <v>#REF!</v>
          </cell>
          <cell r="H934" t="e">
            <v>#REF!</v>
          </cell>
          <cell r="I934" t="str">
            <v>L-&gt;R</v>
          </cell>
          <cell r="J934" t="str">
            <v>MVC</v>
          </cell>
          <cell r="K934">
            <v>1</v>
          </cell>
          <cell r="L934">
            <v>109991</v>
          </cell>
          <cell r="M934" t="str">
            <v>OCT 20</v>
          </cell>
          <cell r="N934">
            <v>44132</v>
          </cell>
          <cell r="O934">
            <v>11116445</v>
          </cell>
          <cell r="P934">
            <v>6628360</v>
          </cell>
          <cell r="Q934">
            <v>44105</v>
          </cell>
          <cell r="R934" t="str">
            <v>Yes</v>
          </cell>
          <cell r="S934" t="str">
            <v>C49</v>
          </cell>
          <cell r="T934" t="str">
            <v>SOUTH</v>
          </cell>
          <cell r="U934" t="str">
            <v>深圳</v>
          </cell>
          <cell r="V934" t="str">
            <v>SZ 深圳</v>
          </cell>
          <cell r="W934" t="str">
            <v>ZX</v>
          </cell>
          <cell r="X934" t="str">
            <v>JPY</v>
          </cell>
          <cell r="Y934">
            <v>6628360</v>
          </cell>
          <cell r="Z934">
            <v>1</v>
          </cell>
          <cell r="AA934">
            <v>6628360</v>
          </cell>
          <cell r="AB934">
            <v>7.5700000000000003E-2</v>
          </cell>
          <cell r="AC934">
            <v>501766.85200000001</v>
          </cell>
          <cell r="AD934">
            <v>60212.022239999998</v>
          </cell>
          <cell r="AE934">
            <v>0.12</v>
          </cell>
          <cell r="AF934">
            <v>44061</v>
          </cell>
          <cell r="AG934" t="str">
            <v>DAP GZ</v>
          </cell>
          <cell r="AK934">
            <v>0.1</v>
          </cell>
          <cell r="AL934">
            <v>662836</v>
          </cell>
          <cell r="AM934">
            <v>44073</v>
          </cell>
          <cell r="AN934" t="str">
            <v>Yes</v>
          </cell>
          <cell r="AO934">
            <v>0.9</v>
          </cell>
          <cell r="AP934">
            <v>5965524</v>
          </cell>
          <cell r="AQ934">
            <v>44105</v>
          </cell>
          <cell r="AR934">
            <v>44125</v>
          </cell>
          <cell r="AS934">
            <v>0</v>
          </cell>
          <cell r="AT934">
            <v>0</v>
          </cell>
          <cell r="AX934" t="str">
            <v>Yes</v>
          </cell>
          <cell r="AZ934" t="str">
            <v>Yes</v>
          </cell>
          <cell r="BA934" t="str">
            <v>Yes</v>
          </cell>
        </row>
        <row r="935">
          <cell r="B935">
            <v>784</v>
          </cell>
          <cell r="C935" t="str">
            <v>C49SZX20200138JZ</v>
          </cell>
          <cell r="D935" t="str">
            <v>斯迈</v>
          </cell>
          <cell r="E935" t="str">
            <v>YSM10</v>
          </cell>
          <cell r="F935" t="str">
            <v>#18542</v>
          </cell>
          <cell r="G935" t="e">
            <v>#REF!</v>
          </cell>
          <cell r="H935" t="e">
            <v>#REF!</v>
          </cell>
          <cell r="I935" t="str">
            <v>L-&gt;R</v>
          </cell>
          <cell r="J935" t="str">
            <v>MVC</v>
          </cell>
          <cell r="K935">
            <v>1</v>
          </cell>
          <cell r="L935">
            <v>109991</v>
          </cell>
          <cell r="M935" t="str">
            <v>OCT 20</v>
          </cell>
          <cell r="N935">
            <v>44132</v>
          </cell>
          <cell r="O935">
            <v>11116445</v>
          </cell>
          <cell r="P935">
            <v>6628360</v>
          </cell>
          <cell r="Q935">
            <v>44105</v>
          </cell>
          <cell r="R935" t="str">
            <v>Yes</v>
          </cell>
          <cell r="S935" t="str">
            <v>C49</v>
          </cell>
          <cell r="T935" t="str">
            <v>SOUTH</v>
          </cell>
          <cell r="U935" t="str">
            <v>深圳</v>
          </cell>
          <cell r="V935" t="str">
            <v>SZ 深圳</v>
          </cell>
          <cell r="W935" t="str">
            <v>ZX</v>
          </cell>
          <cell r="X935" t="str">
            <v>JPY</v>
          </cell>
          <cell r="Y935">
            <v>6628360</v>
          </cell>
          <cell r="Z935">
            <v>1</v>
          </cell>
          <cell r="AA935">
            <v>6628360</v>
          </cell>
          <cell r="AB935">
            <v>7.5700000000000003E-2</v>
          </cell>
          <cell r="AC935">
            <v>501766.85200000001</v>
          </cell>
          <cell r="AD935">
            <v>60212.022239999998</v>
          </cell>
          <cell r="AE935">
            <v>0.12</v>
          </cell>
          <cell r="AF935">
            <v>44061</v>
          </cell>
          <cell r="AG935" t="str">
            <v>DAP GZ</v>
          </cell>
          <cell r="AK935">
            <v>0.1</v>
          </cell>
          <cell r="AL935">
            <v>662836</v>
          </cell>
          <cell r="AM935">
            <v>44073</v>
          </cell>
          <cell r="AN935" t="str">
            <v>Yes</v>
          </cell>
          <cell r="AO935">
            <v>0.9</v>
          </cell>
          <cell r="AP935">
            <v>5965524</v>
          </cell>
          <cell r="AQ935">
            <v>44105</v>
          </cell>
          <cell r="AR935">
            <v>44125</v>
          </cell>
          <cell r="AS935">
            <v>0</v>
          </cell>
          <cell r="AT935">
            <v>0</v>
          </cell>
          <cell r="AX935" t="str">
            <v>Yes</v>
          </cell>
          <cell r="AZ935" t="str">
            <v>Yes</v>
          </cell>
          <cell r="BA935" t="str">
            <v>Yes</v>
          </cell>
        </row>
        <row r="936">
          <cell r="B936">
            <v>785</v>
          </cell>
          <cell r="C936" t="str">
            <v>C49SZX20200138JZ</v>
          </cell>
          <cell r="D936" t="str">
            <v>斯迈</v>
          </cell>
          <cell r="E936" t="str">
            <v>YSM10</v>
          </cell>
          <cell r="F936" t="str">
            <v>#18542</v>
          </cell>
          <cell r="G936" t="e">
            <v>#REF!</v>
          </cell>
          <cell r="H936" t="e">
            <v>#REF!</v>
          </cell>
          <cell r="I936" t="str">
            <v>L-&gt;R</v>
          </cell>
          <cell r="J936" t="str">
            <v>MVC</v>
          </cell>
          <cell r="K936">
            <v>1</v>
          </cell>
          <cell r="L936">
            <v>109992</v>
          </cell>
          <cell r="M936" t="str">
            <v>NOV 20</v>
          </cell>
          <cell r="N936">
            <v>44139</v>
          </cell>
          <cell r="O936">
            <v>11116451</v>
          </cell>
          <cell r="P936">
            <v>6628360</v>
          </cell>
          <cell r="Q936">
            <v>44136</v>
          </cell>
          <cell r="R936" t="str">
            <v>Yes</v>
          </cell>
          <cell r="S936" t="str">
            <v>C49</v>
          </cell>
          <cell r="T936" t="str">
            <v>SOUTH</v>
          </cell>
          <cell r="U936" t="str">
            <v>深圳</v>
          </cell>
          <cell r="V936" t="str">
            <v>SZ 深圳</v>
          </cell>
          <cell r="W936" t="str">
            <v>ZX</v>
          </cell>
          <cell r="X936" t="str">
            <v>JPY</v>
          </cell>
          <cell r="Y936">
            <v>6628360</v>
          </cell>
          <cell r="Z936">
            <v>1</v>
          </cell>
          <cell r="AA936">
            <v>6628360</v>
          </cell>
          <cell r="AB936">
            <v>7.5700000000000003E-2</v>
          </cell>
          <cell r="AC936">
            <v>501766.85200000001</v>
          </cell>
          <cell r="AD936">
            <v>60212.022239999998</v>
          </cell>
          <cell r="AE936">
            <v>0.12</v>
          </cell>
          <cell r="AF936">
            <v>44061</v>
          </cell>
          <cell r="AG936" t="str">
            <v>DAP GZ</v>
          </cell>
          <cell r="AK936">
            <v>0.1</v>
          </cell>
          <cell r="AL936">
            <v>662836</v>
          </cell>
          <cell r="AM936">
            <v>44073</v>
          </cell>
          <cell r="AN936" t="str">
            <v>Yes</v>
          </cell>
          <cell r="AO936">
            <v>0.9</v>
          </cell>
          <cell r="AP936">
            <v>5965524</v>
          </cell>
          <cell r="AQ936">
            <v>44136</v>
          </cell>
          <cell r="AR936">
            <v>44137</v>
          </cell>
          <cell r="AS936">
            <v>0</v>
          </cell>
          <cell r="AT936">
            <v>0</v>
          </cell>
          <cell r="AX936" t="str">
            <v>Yes</v>
          </cell>
          <cell r="AZ936" t="str">
            <v>Yes</v>
          </cell>
          <cell r="BA936" t="str">
            <v>Yes</v>
          </cell>
        </row>
        <row r="937">
          <cell r="B937">
            <v>786</v>
          </cell>
          <cell r="C937" t="str">
            <v>C49SZX20200138JZ</v>
          </cell>
          <cell r="D937" t="str">
            <v>斯迈</v>
          </cell>
          <cell r="E937" t="str">
            <v>YSM10</v>
          </cell>
          <cell r="F937" t="str">
            <v>#18542</v>
          </cell>
          <cell r="G937" t="e">
            <v>#REF!</v>
          </cell>
          <cell r="H937" t="e">
            <v>#REF!</v>
          </cell>
          <cell r="I937" t="str">
            <v>L-&gt;R</v>
          </cell>
          <cell r="J937" t="str">
            <v>MVC</v>
          </cell>
          <cell r="K937">
            <v>1</v>
          </cell>
          <cell r="L937">
            <v>109992</v>
          </cell>
          <cell r="M937" t="str">
            <v>NOV 20</v>
          </cell>
          <cell r="N937">
            <v>44139</v>
          </cell>
          <cell r="O937">
            <v>11116451</v>
          </cell>
          <cell r="P937">
            <v>6628360</v>
          </cell>
          <cell r="Q937">
            <v>44137</v>
          </cell>
          <cell r="R937" t="str">
            <v>Yes</v>
          </cell>
          <cell r="S937" t="str">
            <v>C49</v>
          </cell>
          <cell r="T937" t="str">
            <v>SOUTH</v>
          </cell>
          <cell r="U937" t="str">
            <v>深圳</v>
          </cell>
          <cell r="V937" t="str">
            <v>SZ 深圳</v>
          </cell>
          <cell r="W937" t="str">
            <v>ZX</v>
          </cell>
          <cell r="X937" t="str">
            <v>JPY</v>
          </cell>
          <cell r="Y937">
            <v>6628360</v>
          </cell>
          <cell r="Z937">
            <v>1</v>
          </cell>
          <cell r="AA937">
            <v>6628360</v>
          </cell>
          <cell r="AB937">
            <v>7.5700000000000003E-2</v>
          </cell>
          <cell r="AC937">
            <v>501766.85200000001</v>
          </cell>
          <cell r="AD937">
            <v>60212.022239999998</v>
          </cell>
          <cell r="AE937">
            <v>0.12</v>
          </cell>
          <cell r="AF937">
            <v>44061</v>
          </cell>
          <cell r="AG937" t="str">
            <v>DAP GZ</v>
          </cell>
          <cell r="AK937">
            <v>0.1</v>
          </cell>
          <cell r="AL937">
            <v>662836</v>
          </cell>
          <cell r="AM937">
            <v>44073</v>
          </cell>
          <cell r="AN937" t="str">
            <v>Yes</v>
          </cell>
          <cell r="AO937">
            <v>0.9</v>
          </cell>
          <cell r="AP937">
            <v>5965524</v>
          </cell>
          <cell r="AQ937">
            <v>44136</v>
          </cell>
          <cell r="AR937">
            <v>44137</v>
          </cell>
          <cell r="AS937">
            <v>0</v>
          </cell>
          <cell r="AT937">
            <v>0</v>
          </cell>
          <cell r="AX937" t="str">
            <v>Yes</v>
          </cell>
          <cell r="AZ937" t="str">
            <v>Yes</v>
          </cell>
          <cell r="BA937" t="str">
            <v>Yes</v>
          </cell>
        </row>
        <row r="938">
          <cell r="B938">
            <v>787</v>
          </cell>
          <cell r="C938" t="str">
            <v>C49SZX20200138JZ</v>
          </cell>
          <cell r="D938" t="str">
            <v>斯迈</v>
          </cell>
          <cell r="E938" t="str">
            <v>YSM10</v>
          </cell>
          <cell r="F938" t="str">
            <v>#18542</v>
          </cell>
          <cell r="G938" t="e">
            <v>#REF!</v>
          </cell>
          <cell r="H938" t="e">
            <v>#REF!</v>
          </cell>
          <cell r="I938" t="str">
            <v>L-&gt;R</v>
          </cell>
          <cell r="J938" t="str">
            <v>MVC</v>
          </cell>
          <cell r="K938">
            <v>1</v>
          </cell>
          <cell r="L938">
            <v>109992</v>
          </cell>
          <cell r="M938" t="str">
            <v>NOV 20</v>
          </cell>
          <cell r="N938">
            <v>44139</v>
          </cell>
          <cell r="O938">
            <v>11116451</v>
          </cell>
          <cell r="P938">
            <v>6628360</v>
          </cell>
          <cell r="Q938">
            <v>44138</v>
          </cell>
          <cell r="R938" t="str">
            <v>Yes</v>
          </cell>
          <cell r="S938" t="str">
            <v>C49</v>
          </cell>
          <cell r="T938" t="str">
            <v>SOUTH</v>
          </cell>
          <cell r="U938" t="str">
            <v>深圳</v>
          </cell>
          <cell r="V938" t="str">
            <v>SZ 深圳</v>
          </cell>
          <cell r="W938" t="str">
            <v>ZX</v>
          </cell>
          <cell r="X938" t="str">
            <v>JPY</v>
          </cell>
          <cell r="Y938">
            <v>6628360</v>
          </cell>
          <cell r="Z938">
            <v>1</v>
          </cell>
          <cell r="AA938">
            <v>6628360</v>
          </cell>
          <cell r="AB938">
            <v>7.5700000000000003E-2</v>
          </cell>
          <cell r="AC938">
            <v>501766.85200000001</v>
          </cell>
          <cell r="AD938">
            <v>60212.022239999998</v>
          </cell>
          <cell r="AE938">
            <v>0.12</v>
          </cell>
          <cell r="AF938">
            <v>44061</v>
          </cell>
          <cell r="AG938" t="str">
            <v>DAP GZ</v>
          </cell>
          <cell r="AK938">
            <v>0.1</v>
          </cell>
          <cell r="AL938">
            <v>662836</v>
          </cell>
          <cell r="AM938">
            <v>44073</v>
          </cell>
          <cell r="AN938" t="str">
            <v>Yes</v>
          </cell>
          <cell r="AO938">
            <v>0.9</v>
          </cell>
          <cell r="AP938">
            <v>5965524</v>
          </cell>
          <cell r="AQ938">
            <v>44136</v>
          </cell>
          <cell r="AR938">
            <v>44137</v>
          </cell>
          <cell r="AS938">
            <v>0</v>
          </cell>
          <cell r="AT938">
            <v>0</v>
          </cell>
          <cell r="AX938" t="str">
            <v>Yes</v>
          </cell>
          <cell r="AZ938" t="str">
            <v>Yes</v>
          </cell>
          <cell r="BA938" t="str">
            <v>Yes</v>
          </cell>
        </row>
        <row r="939">
          <cell r="B939">
            <v>789</v>
          </cell>
          <cell r="C939" t="str">
            <v>C49SZX20200133JL</v>
          </cell>
          <cell r="D939" t="str">
            <v>通通旺</v>
          </cell>
          <cell r="E939" t="str">
            <v>YSM10</v>
          </cell>
          <cell r="F939" t="str">
            <v>#78844</v>
          </cell>
          <cell r="G939" t="e">
            <v>#REF!</v>
          </cell>
          <cell r="H939" t="e">
            <v>#REF!</v>
          </cell>
          <cell r="I939" t="str">
            <v>L-&gt;R</v>
          </cell>
          <cell r="J939" t="str">
            <v>MVC</v>
          </cell>
          <cell r="K939">
            <v>1</v>
          </cell>
          <cell r="L939" t="str">
            <v>109992（拆分PO110072）</v>
          </cell>
          <cell r="M939" t="str">
            <v>NOV 20</v>
          </cell>
          <cell r="N939">
            <v>44145</v>
          </cell>
          <cell r="O939">
            <v>11100444</v>
          </cell>
          <cell r="P939">
            <v>500000</v>
          </cell>
          <cell r="Q939">
            <v>44136</v>
          </cell>
          <cell r="R939" t="str">
            <v>No</v>
          </cell>
          <cell r="S939" t="str">
            <v>C49</v>
          </cell>
          <cell r="T939" t="str">
            <v>SOUTH</v>
          </cell>
          <cell r="U939" t="str">
            <v>深圳</v>
          </cell>
          <cell r="V939" t="str">
            <v>SZ 深圳</v>
          </cell>
          <cell r="W939" t="str">
            <v>JL</v>
          </cell>
          <cell r="X939" t="str">
            <v>RMB</v>
          </cell>
          <cell r="Y939">
            <v>500000</v>
          </cell>
          <cell r="Z939">
            <v>1.1299999999999999</v>
          </cell>
          <cell r="AA939">
            <v>500000</v>
          </cell>
          <cell r="AB939">
            <v>1.105</v>
          </cell>
          <cell r="AC939">
            <v>488938.05309734517</v>
          </cell>
          <cell r="AD939">
            <v>58672.566371681416</v>
          </cell>
          <cell r="AE939">
            <v>0.12</v>
          </cell>
          <cell r="AF939">
            <v>44061</v>
          </cell>
          <cell r="AG939" t="str">
            <v>含税到厂</v>
          </cell>
          <cell r="AI939"/>
          <cell r="AK939" t="str">
            <v>AGREE</v>
          </cell>
          <cell r="AL939">
            <v>50000</v>
          </cell>
          <cell r="AM939">
            <v>44044</v>
          </cell>
          <cell r="AN939" t="str">
            <v>Yes</v>
          </cell>
          <cell r="AO939" t="str">
            <v>agree</v>
          </cell>
          <cell r="AP939">
            <v>450000</v>
          </cell>
          <cell r="AQ939">
            <v>44136</v>
          </cell>
          <cell r="AR939">
            <v>44141</v>
          </cell>
          <cell r="AS939">
            <v>0</v>
          </cell>
          <cell r="AT939">
            <v>0</v>
          </cell>
          <cell r="AX939" t="str">
            <v>Yes</v>
          </cell>
          <cell r="AZ939" t="str">
            <v>Yes</v>
          </cell>
        </row>
        <row r="940">
          <cell r="B940">
            <v>790</v>
          </cell>
          <cell r="C940" t="str">
            <v>C49SZX20200132SX</v>
          </cell>
          <cell r="D940" t="str">
            <v>鹏鑫达（end user：阿克西姆）</v>
          </cell>
          <cell r="E940" t="str">
            <v>YSM20R-2</v>
          </cell>
          <cell r="F940" t="str">
            <v>#79564</v>
          </cell>
          <cell r="G940" t="e">
            <v>#REF!</v>
          </cell>
          <cell r="H940" t="e">
            <v>#REF!</v>
          </cell>
          <cell r="I940" t="str">
            <v>R-&gt;L</v>
          </cell>
          <cell r="J940" t="str">
            <v>MVC</v>
          </cell>
          <cell r="K940">
            <v>1</v>
          </cell>
          <cell r="L940">
            <v>110046</v>
          </cell>
          <cell r="M940" t="str">
            <v>OCT 20</v>
          </cell>
          <cell r="N940">
            <v>44106</v>
          </cell>
          <cell r="O940">
            <v>11100442</v>
          </cell>
          <cell r="P940">
            <v>1010000</v>
          </cell>
          <cell r="Q940">
            <v>44105</v>
          </cell>
          <cell r="R940" t="str">
            <v>No</v>
          </cell>
          <cell r="S940" t="str">
            <v>C49</v>
          </cell>
          <cell r="T940" t="str">
            <v>SOUTH</v>
          </cell>
          <cell r="U940" t="str">
            <v>深圳</v>
          </cell>
          <cell r="V940" t="str">
            <v>SZ 深圳</v>
          </cell>
          <cell r="W940" t="str">
            <v>SX</v>
          </cell>
          <cell r="X940" t="str">
            <v>RMB</v>
          </cell>
          <cell r="Y940">
            <v>1010000</v>
          </cell>
          <cell r="Z940">
            <v>1.1299999999999999</v>
          </cell>
          <cell r="AA940">
            <v>1010000</v>
          </cell>
          <cell r="AB940">
            <v>1.105</v>
          </cell>
          <cell r="AC940">
            <v>987654.86725663731</v>
          </cell>
          <cell r="AD940">
            <v>118518.58407079647</v>
          </cell>
          <cell r="AE940">
            <v>0.12</v>
          </cell>
          <cell r="AF940">
            <v>44060</v>
          </cell>
          <cell r="AG940" t="str">
            <v>含税到厂</v>
          </cell>
          <cell r="AI940"/>
          <cell r="AK940">
            <v>0.3</v>
          </cell>
          <cell r="AL940">
            <v>303000</v>
          </cell>
          <cell r="AM940">
            <v>44073</v>
          </cell>
          <cell r="AN940" t="str">
            <v>Yes</v>
          </cell>
          <cell r="AO940">
            <v>0.7</v>
          </cell>
          <cell r="AP940">
            <v>707000</v>
          </cell>
          <cell r="AS940">
            <v>0</v>
          </cell>
          <cell r="AT940">
            <v>0</v>
          </cell>
          <cell r="AX940" t="str">
            <v>Yes</v>
          </cell>
          <cell r="AZ940" t="str">
            <v>Yes</v>
          </cell>
        </row>
        <row r="941">
          <cell r="B941">
            <v>791</v>
          </cell>
          <cell r="C941" t="str">
            <v>C49SZX20200143MZ</v>
          </cell>
          <cell r="D941" t="str">
            <v>斯路迅</v>
          </cell>
          <cell r="E941" t="str">
            <v>YSM20R(SV)-2</v>
          </cell>
          <cell r="F941" t="str">
            <v>#04893</v>
          </cell>
          <cell r="G941" t="e">
            <v>#REF!</v>
          </cell>
          <cell r="H941" t="e">
            <v>#REF!</v>
          </cell>
          <cell r="I941" t="str">
            <v>L-&gt;R</v>
          </cell>
          <cell r="J941" t="str">
            <v>MVC</v>
          </cell>
          <cell r="K941">
            <v>1</v>
          </cell>
          <cell r="L941" t="str">
            <v>109996（拆分PO110071）</v>
          </cell>
          <cell r="M941" t="str">
            <v>OCT 20</v>
          </cell>
          <cell r="N941">
            <v>44133</v>
          </cell>
          <cell r="O941">
            <v>11100439</v>
          </cell>
          <cell r="P941">
            <v>915000</v>
          </cell>
          <cell r="Q941">
            <v>44105</v>
          </cell>
          <cell r="R941" t="str">
            <v>Yes</v>
          </cell>
          <cell r="S941" t="str">
            <v>C49</v>
          </cell>
          <cell r="T941" t="str">
            <v>SOUTH</v>
          </cell>
          <cell r="U941" t="str">
            <v>深圳</v>
          </cell>
          <cell r="V941" t="str">
            <v>SZ 深圳</v>
          </cell>
          <cell r="W941" t="str">
            <v>MZ</v>
          </cell>
          <cell r="X941" t="str">
            <v>RMB</v>
          </cell>
          <cell r="Y941">
            <v>915000</v>
          </cell>
          <cell r="Z941">
            <v>1.1299999999999999</v>
          </cell>
          <cell r="AA941">
            <v>915000</v>
          </cell>
          <cell r="AB941">
            <v>1.105</v>
          </cell>
          <cell r="AC941">
            <v>894756.63716814166</v>
          </cell>
          <cell r="AD941">
            <v>107370.79646017699</v>
          </cell>
          <cell r="AE941">
            <v>0.12</v>
          </cell>
          <cell r="AF941">
            <v>44065</v>
          </cell>
          <cell r="AG941" t="str">
            <v>含税到厂</v>
          </cell>
          <cell r="AI941"/>
          <cell r="AK941">
            <v>0.2</v>
          </cell>
          <cell r="AL941">
            <v>183000</v>
          </cell>
          <cell r="AM941">
            <v>44073</v>
          </cell>
          <cell r="AN941" t="str">
            <v>Yes</v>
          </cell>
          <cell r="AO941">
            <v>0.9</v>
          </cell>
          <cell r="AP941">
            <v>823500</v>
          </cell>
          <cell r="AQ941">
            <v>44105</v>
          </cell>
          <cell r="AR941">
            <v>44130</v>
          </cell>
          <cell r="AS941">
            <v>0</v>
          </cell>
          <cell r="AT941">
            <v>0</v>
          </cell>
          <cell r="AX941" t="str">
            <v>Yes</v>
          </cell>
          <cell r="AZ941" t="str">
            <v>Yes</v>
          </cell>
          <cell r="BA941" t="str">
            <v>Yes</v>
          </cell>
        </row>
        <row r="942">
          <cell r="B942">
            <v>792</v>
          </cell>
          <cell r="C942" t="str">
            <v>C49SZX20200137SS</v>
          </cell>
          <cell r="D942" t="str">
            <v>炑炑明</v>
          </cell>
          <cell r="E942" t="str">
            <v>YSM10</v>
          </cell>
          <cell r="F942" t="str">
            <v>#81364</v>
          </cell>
          <cell r="G942" t="e">
            <v>#REF!</v>
          </cell>
          <cell r="H942" t="e">
            <v>#REF!</v>
          </cell>
          <cell r="I942" t="str">
            <v>L-&gt;R</v>
          </cell>
          <cell r="J942" t="str">
            <v>MVC</v>
          </cell>
          <cell r="K942">
            <v>1</v>
          </cell>
          <cell r="L942">
            <v>110025</v>
          </cell>
          <cell r="M942" t="str">
            <v>NOV 20</v>
          </cell>
          <cell r="N942">
            <v>44148</v>
          </cell>
          <cell r="O942">
            <v>11116453</v>
          </cell>
          <cell r="P942">
            <v>6850000</v>
          </cell>
          <cell r="Q942">
            <v>44136</v>
          </cell>
          <cell r="R942" t="str">
            <v>No</v>
          </cell>
          <cell r="S942" t="str">
            <v>C49</v>
          </cell>
          <cell r="T942" t="str">
            <v>SOUTH</v>
          </cell>
          <cell r="U942" t="str">
            <v>深圳</v>
          </cell>
          <cell r="V942" t="str">
            <v>SZ 深圳</v>
          </cell>
          <cell r="W942" t="str">
            <v>SS</v>
          </cell>
          <cell r="X942" t="str">
            <v>JPY</v>
          </cell>
          <cell r="Y942">
            <v>6850000</v>
          </cell>
          <cell r="Z942">
            <v>1</v>
          </cell>
          <cell r="AA942">
            <v>6850000</v>
          </cell>
          <cell r="AB942">
            <v>7.5700000000000003E-2</v>
          </cell>
          <cell r="AC942">
            <v>518545</v>
          </cell>
          <cell r="AD942">
            <v>62225.399999999994</v>
          </cell>
          <cell r="AE942">
            <v>0.12</v>
          </cell>
          <cell r="AF942">
            <v>44067</v>
          </cell>
          <cell r="AG942" t="str">
            <v>DAP SZ</v>
          </cell>
          <cell r="AI942">
            <v>30000</v>
          </cell>
          <cell r="AJ942">
            <v>44070</v>
          </cell>
          <cell r="AK942">
            <v>1</v>
          </cell>
          <cell r="AL942">
            <v>6850000</v>
          </cell>
          <cell r="AM942">
            <v>44136</v>
          </cell>
          <cell r="AN942" t="str">
            <v>Yes</v>
          </cell>
          <cell r="AO942">
            <v>0</v>
          </cell>
          <cell r="AP942">
            <v>0</v>
          </cell>
          <cell r="AS942">
            <v>0</v>
          </cell>
          <cell r="AT942">
            <v>0</v>
          </cell>
          <cell r="AX942" t="str">
            <v>Yes</v>
          </cell>
          <cell r="AZ942" t="str">
            <v>Yes</v>
          </cell>
          <cell r="BA942" t="str">
            <v>Yes</v>
          </cell>
        </row>
        <row r="943">
          <cell r="B943">
            <v>793</v>
          </cell>
          <cell r="C943" t="str">
            <v>C49SZX20200127KW</v>
          </cell>
          <cell r="D943" t="str">
            <v>万恒光电</v>
          </cell>
          <cell r="E943" t="str">
            <v>YSM40R-4</v>
          </cell>
          <cell r="F943" t="str">
            <v>#04890</v>
          </cell>
          <cell r="G943" t="e">
            <v>#REF!</v>
          </cell>
          <cell r="H943" t="e">
            <v>#REF!</v>
          </cell>
          <cell r="I943" t="str">
            <v>L-&gt;R</v>
          </cell>
          <cell r="J943" t="str">
            <v>No</v>
          </cell>
          <cell r="K943">
            <v>1</v>
          </cell>
          <cell r="L943" t="str">
            <v>109981(拆分PO110029）</v>
          </cell>
          <cell r="M943" t="str">
            <v>SEP 20</v>
          </cell>
          <cell r="N943">
            <v>44090</v>
          </cell>
          <cell r="O943">
            <v>11100431</v>
          </cell>
          <cell r="P943">
            <v>1450000</v>
          </cell>
          <cell r="Q943">
            <v>44075</v>
          </cell>
          <cell r="R943" t="str">
            <v>Yes</v>
          </cell>
          <cell r="S943" t="str">
            <v>C49</v>
          </cell>
          <cell r="T943" t="str">
            <v>SOUTH</v>
          </cell>
          <cell r="U943" t="str">
            <v>深圳</v>
          </cell>
          <cell r="V943" t="str">
            <v>SZ 深圳</v>
          </cell>
          <cell r="W943" t="str">
            <v>KW</v>
          </cell>
          <cell r="X943" t="str">
            <v>RMB</v>
          </cell>
          <cell r="Y943">
            <v>1450000</v>
          </cell>
          <cell r="Z943">
            <v>1</v>
          </cell>
          <cell r="AA943">
            <v>1450000</v>
          </cell>
          <cell r="AB943">
            <v>1.105</v>
          </cell>
          <cell r="AC943">
            <v>1602250</v>
          </cell>
          <cell r="AD943">
            <v>192270</v>
          </cell>
          <cell r="AE943">
            <v>0.12</v>
          </cell>
          <cell r="AF943">
            <v>44069</v>
          </cell>
          <cell r="AG943" t="str">
            <v>含税到厂</v>
          </cell>
          <cell r="AI943"/>
          <cell r="AK943" t="str">
            <v>AGREE</v>
          </cell>
          <cell r="AL943">
            <v>200000</v>
          </cell>
          <cell r="AM943">
            <v>44073</v>
          </cell>
          <cell r="AN943" t="str">
            <v>Yes</v>
          </cell>
          <cell r="AO943" t="str">
            <v>AGREE</v>
          </cell>
          <cell r="AP943">
            <v>1250000</v>
          </cell>
          <cell r="AQ943">
            <v>44079</v>
          </cell>
          <cell r="AR943">
            <v>44082</v>
          </cell>
          <cell r="AS943">
            <v>0</v>
          </cell>
          <cell r="AT943">
            <v>0</v>
          </cell>
          <cell r="AX943" t="str">
            <v>Yes</v>
          </cell>
          <cell r="AZ943" t="str">
            <v>Yes</v>
          </cell>
          <cell r="BA943" t="str">
            <v>Yes</v>
          </cell>
        </row>
        <row r="944">
          <cell r="B944">
            <v>794</v>
          </cell>
          <cell r="C944" t="str">
            <v>C49SZX20200146RW</v>
          </cell>
          <cell r="D944" t="str">
            <v>高伟</v>
          </cell>
          <cell r="E944" t="str">
            <v>YSM10-HM5</v>
          </cell>
          <cell r="F944" t="str">
            <v>#31725</v>
          </cell>
          <cell r="G944" t="e">
            <v>#REF!</v>
          </cell>
          <cell r="H944" t="e">
            <v>#REF!</v>
          </cell>
          <cell r="I944" t="str">
            <v>L-&gt;R</v>
          </cell>
          <cell r="J944" t="str">
            <v>MVC+ATS15</v>
          </cell>
          <cell r="K944">
            <v>1</v>
          </cell>
          <cell r="L944">
            <v>110055</v>
          </cell>
          <cell r="M944" t="str">
            <v>NOV 20</v>
          </cell>
          <cell r="N944">
            <v>44152</v>
          </cell>
          <cell r="O944">
            <v>11116459</v>
          </cell>
          <cell r="P944">
            <v>78997</v>
          </cell>
          <cell r="Q944">
            <v>44136</v>
          </cell>
          <cell r="R944" t="str">
            <v>No</v>
          </cell>
          <cell r="S944" t="str">
            <v>C49</v>
          </cell>
          <cell r="T944" t="str">
            <v>SOUTH</v>
          </cell>
          <cell r="U944" t="str">
            <v>深圳</v>
          </cell>
          <cell r="V944" t="str">
            <v>SZ 深圳</v>
          </cell>
          <cell r="W944" t="str">
            <v>RW</v>
          </cell>
          <cell r="X944" t="str">
            <v>USD</v>
          </cell>
          <cell r="Y944">
            <v>78997</v>
          </cell>
          <cell r="Z944">
            <v>1</v>
          </cell>
          <cell r="AA944">
            <v>78997</v>
          </cell>
          <cell r="AB944">
            <v>7.8</v>
          </cell>
          <cell r="AC944">
            <v>616176.6</v>
          </cell>
          <cell r="AD944">
            <v>73941.191999999995</v>
          </cell>
          <cell r="AE944">
            <v>0.12</v>
          </cell>
          <cell r="AF944">
            <v>44070</v>
          </cell>
          <cell r="AG944" t="str">
            <v>CIF HK</v>
          </cell>
          <cell r="AI944"/>
          <cell r="AK944">
            <v>0.3</v>
          </cell>
          <cell r="AL944">
            <v>23699.1</v>
          </cell>
          <cell r="AM944">
            <v>44073</v>
          </cell>
          <cell r="AN944" t="str">
            <v>Yes</v>
          </cell>
          <cell r="AO944">
            <v>0.6</v>
          </cell>
          <cell r="AP944">
            <v>47398.2</v>
          </cell>
          <cell r="AQ944">
            <v>44136</v>
          </cell>
          <cell r="AR944">
            <v>44151</v>
          </cell>
          <cell r="AS944">
            <v>0.1</v>
          </cell>
          <cell r="AT944">
            <v>7899.7000000000007</v>
          </cell>
          <cell r="AU944">
            <v>44224</v>
          </cell>
          <cell r="AV944">
            <v>44224</v>
          </cell>
          <cell r="AX944" t="str">
            <v>Yes</v>
          </cell>
          <cell r="AZ944" t="str">
            <v>Yes</v>
          </cell>
        </row>
        <row r="945">
          <cell r="B945">
            <v>795</v>
          </cell>
          <cell r="C945" t="str">
            <v>C49SZX20200140RSX</v>
          </cell>
          <cell r="D945" t="str">
            <v>嘉普达</v>
          </cell>
          <cell r="E945" t="str">
            <v>YSM10</v>
          </cell>
          <cell r="F945" t="str">
            <v>#04895</v>
          </cell>
          <cell r="G945" t="e">
            <v>#REF!</v>
          </cell>
          <cell r="H945" t="e">
            <v>#REF!</v>
          </cell>
          <cell r="I945" t="str">
            <v>R-&gt;L</v>
          </cell>
          <cell r="J945" t="str">
            <v>MVC+ATS15</v>
          </cell>
          <cell r="K945">
            <v>1</v>
          </cell>
          <cell r="L945" t="str">
            <v>109995(拆单110118)</v>
          </cell>
          <cell r="M945" t="str">
            <v>JAN 21</v>
          </cell>
          <cell r="N945">
            <v>44203</v>
          </cell>
          <cell r="O945">
            <v>11100470</v>
          </cell>
          <cell r="P945">
            <v>770000</v>
          </cell>
          <cell r="Q945">
            <v>44197</v>
          </cell>
          <cell r="R945" t="str">
            <v>Yes</v>
          </cell>
          <cell r="S945" t="str">
            <v>C49</v>
          </cell>
          <cell r="T945" t="str">
            <v>SOUTH</v>
          </cell>
          <cell r="U945" t="str">
            <v>深圳</v>
          </cell>
          <cell r="V945" t="str">
            <v>SZ 深圳</v>
          </cell>
          <cell r="W945" t="str">
            <v>SX</v>
          </cell>
          <cell r="X945" t="str">
            <v>RMB</v>
          </cell>
          <cell r="Y945">
            <v>770000</v>
          </cell>
          <cell r="Z945">
            <v>1.1299999999999999</v>
          </cell>
          <cell r="AA945">
            <v>770000</v>
          </cell>
          <cell r="AB945">
            <v>1.105</v>
          </cell>
          <cell r="AC945">
            <v>752964.60176991147</v>
          </cell>
          <cell r="AD945">
            <v>90355.752212389372</v>
          </cell>
          <cell r="AE945">
            <v>0.12</v>
          </cell>
          <cell r="AF945">
            <v>44075</v>
          </cell>
          <cell r="AG945" t="str">
            <v>含税到厂</v>
          </cell>
          <cell r="AI945"/>
          <cell r="AK945">
            <v>0.1</v>
          </cell>
          <cell r="AL945">
            <v>77000</v>
          </cell>
          <cell r="AM945">
            <v>44075</v>
          </cell>
          <cell r="AN945" t="str">
            <v>Yes</v>
          </cell>
          <cell r="AO945">
            <v>0.9</v>
          </cell>
          <cell r="AP945">
            <v>693000</v>
          </cell>
          <cell r="AS945">
            <v>0</v>
          </cell>
          <cell r="AT945">
            <v>0</v>
          </cell>
          <cell r="AX945" t="str">
            <v>Yes</v>
          </cell>
          <cell r="AZ945" t="str">
            <v>Yes</v>
          </cell>
        </row>
        <row r="946">
          <cell r="B946">
            <v>796</v>
          </cell>
          <cell r="C946" t="str">
            <v>C49SZX20200140RSX</v>
          </cell>
          <cell r="D946" t="str">
            <v>嘉普达</v>
          </cell>
          <cell r="E946" t="str">
            <v>YSM20R-2</v>
          </cell>
          <cell r="F946" t="str">
            <v>#04895</v>
          </cell>
          <cell r="G946" t="e">
            <v>#REF!</v>
          </cell>
          <cell r="H946" t="e">
            <v>#REF!</v>
          </cell>
          <cell r="I946" t="str">
            <v>R-&gt;L</v>
          </cell>
          <cell r="J946" t="str">
            <v>No</v>
          </cell>
          <cell r="K946">
            <v>1</v>
          </cell>
          <cell r="L946">
            <v>110097</v>
          </cell>
          <cell r="M946" t="str">
            <v>JAN 21</v>
          </cell>
          <cell r="N946">
            <v>44203</v>
          </cell>
          <cell r="O946">
            <v>11100470</v>
          </cell>
          <cell r="P946">
            <v>1000000</v>
          </cell>
          <cell r="Q946">
            <v>44197</v>
          </cell>
          <cell r="R946" t="str">
            <v>Yes</v>
          </cell>
          <cell r="S946" t="str">
            <v>C49</v>
          </cell>
          <cell r="T946" t="str">
            <v>SOUTH</v>
          </cell>
          <cell r="U946" t="str">
            <v>深圳</v>
          </cell>
          <cell r="V946" t="str">
            <v>SZ 深圳</v>
          </cell>
          <cell r="W946" t="str">
            <v>SX</v>
          </cell>
          <cell r="X946" t="str">
            <v>RMB</v>
          </cell>
          <cell r="Y946">
            <v>1000000</v>
          </cell>
          <cell r="Z946">
            <v>1.1299999999999999</v>
          </cell>
          <cell r="AA946">
            <v>1000000</v>
          </cell>
          <cell r="AB946">
            <v>1.105</v>
          </cell>
          <cell r="AC946">
            <v>977876.10619469034</v>
          </cell>
          <cell r="AD946">
            <v>117345.13274336283</v>
          </cell>
          <cell r="AE946">
            <v>0.12</v>
          </cell>
          <cell r="AF946">
            <v>44075</v>
          </cell>
          <cell r="AG946" t="str">
            <v>含税到厂</v>
          </cell>
          <cell r="AI946"/>
          <cell r="AK946">
            <v>0.1</v>
          </cell>
          <cell r="AL946">
            <v>100000</v>
          </cell>
          <cell r="AM946">
            <v>44076</v>
          </cell>
          <cell r="AN946" t="str">
            <v>Yes</v>
          </cell>
          <cell r="AO946">
            <v>0.9</v>
          </cell>
          <cell r="AP946">
            <v>900000</v>
          </cell>
          <cell r="AS946">
            <v>0</v>
          </cell>
          <cell r="AT946">
            <v>0</v>
          </cell>
          <cell r="AX946" t="str">
            <v>Yes</v>
          </cell>
          <cell r="AZ946" t="str">
            <v>Yes</v>
          </cell>
        </row>
        <row r="947">
          <cell r="B947">
            <v>797</v>
          </cell>
          <cell r="C947" t="str">
            <v>SOLMT2061001</v>
          </cell>
          <cell r="D947" t="str">
            <v>力拔</v>
          </cell>
          <cell r="E947" t="str">
            <v>SolderStar-Lite 6</v>
          </cell>
          <cell r="F947" t="str">
            <v>NO</v>
          </cell>
          <cell r="G947" t="e">
            <v>#REF!</v>
          </cell>
          <cell r="H947" t="e">
            <v>#REF!</v>
          </cell>
          <cell r="I947" t="str">
            <v>No</v>
          </cell>
          <cell r="J947" t="str">
            <v>No</v>
          </cell>
          <cell r="K947">
            <v>1</v>
          </cell>
          <cell r="L947">
            <v>110064</v>
          </cell>
          <cell r="M947" t="str">
            <v>SEP 20</v>
          </cell>
          <cell r="R947" t="str">
            <v>Yes</v>
          </cell>
          <cell r="S947" t="str">
            <v>C28</v>
          </cell>
          <cell r="T947" t="str">
            <v>NORTH</v>
          </cell>
          <cell r="U947" t="str">
            <v>北京</v>
          </cell>
          <cell r="V947" t="str">
            <v>BJ 北京</v>
          </cell>
          <cell r="W947" t="str">
            <v>Li Yong</v>
          </cell>
          <cell r="X947" t="str">
            <v>RMB</v>
          </cell>
          <cell r="Y947">
            <v>34000</v>
          </cell>
          <cell r="Z947">
            <v>1.1299999999999999</v>
          </cell>
          <cell r="AA947">
            <v>34000</v>
          </cell>
          <cell r="AB947">
            <v>1.105</v>
          </cell>
          <cell r="AC947">
            <v>33247.787610619467</v>
          </cell>
          <cell r="AD947">
            <v>3989.7345132743358</v>
          </cell>
          <cell r="AE947">
            <v>0.12</v>
          </cell>
          <cell r="AF947">
            <v>44069</v>
          </cell>
          <cell r="AG947" t="str">
            <v>含税到厂</v>
          </cell>
          <cell r="AI947"/>
          <cell r="AK947">
            <v>1</v>
          </cell>
          <cell r="AL947">
            <v>34000</v>
          </cell>
          <cell r="AN947" t="str">
            <v>No</v>
          </cell>
          <cell r="AO947">
            <v>0</v>
          </cell>
          <cell r="AP947">
            <v>0</v>
          </cell>
          <cell r="AS947">
            <v>0</v>
          </cell>
          <cell r="AT947">
            <v>0</v>
          </cell>
        </row>
        <row r="948">
          <cell r="B948">
            <v>798</v>
          </cell>
          <cell r="C948" t="str">
            <v>C49SZX20200141SX</v>
          </cell>
          <cell r="D948" t="str">
            <v>奕东</v>
          </cell>
          <cell r="E948" t="str">
            <v>YSM10</v>
          </cell>
          <cell r="F948" t="str">
            <v>#04403</v>
          </cell>
          <cell r="G948" t="e">
            <v>#REF!</v>
          </cell>
          <cell r="H948" t="e">
            <v>#REF!</v>
          </cell>
          <cell r="I948" t="str">
            <v>L-&gt;R</v>
          </cell>
          <cell r="J948" t="str">
            <v>MVC</v>
          </cell>
          <cell r="K948">
            <v>1</v>
          </cell>
          <cell r="L948">
            <v>109977</v>
          </cell>
          <cell r="M948" t="str">
            <v>SEP 20</v>
          </cell>
          <cell r="N948">
            <v>44103</v>
          </cell>
          <cell r="O948">
            <v>11100434</v>
          </cell>
          <cell r="P948">
            <v>815000</v>
          </cell>
          <cell r="Q948">
            <v>44075</v>
          </cell>
          <cell r="R948" t="str">
            <v>No</v>
          </cell>
          <cell r="S948" t="str">
            <v>C49</v>
          </cell>
          <cell r="T948" t="str">
            <v>SOUTH</v>
          </cell>
          <cell r="U948" t="str">
            <v>深圳</v>
          </cell>
          <cell r="V948" t="str">
            <v>SZ 深圳</v>
          </cell>
          <cell r="W948" t="str">
            <v>SX</v>
          </cell>
          <cell r="X948" t="str">
            <v>RMB</v>
          </cell>
          <cell r="Y948">
            <v>815000</v>
          </cell>
          <cell r="Z948">
            <v>1.1299999999999999</v>
          </cell>
          <cell r="AA948">
            <v>815000</v>
          </cell>
          <cell r="AB948">
            <v>1.105</v>
          </cell>
          <cell r="AC948">
            <v>796969.0265486727</v>
          </cell>
          <cell r="AD948">
            <v>95636.283185840715</v>
          </cell>
          <cell r="AE948">
            <v>0.12</v>
          </cell>
          <cell r="AF948">
            <v>44074</v>
          </cell>
          <cell r="AG948" t="str">
            <v>含税到厂</v>
          </cell>
          <cell r="AI948"/>
          <cell r="AK948">
            <v>0.2</v>
          </cell>
          <cell r="AL948">
            <v>163000</v>
          </cell>
          <cell r="AM948">
            <v>44076</v>
          </cell>
          <cell r="AN948" t="str">
            <v>Yes</v>
          </cell>
          <cell r="AO948">
            <v>0.8</v>
          </cell>
          <cell r="AP948">
            <v>652000</v>
          </cell>
          <cell r="AQ948">
            <v>44079</v>
          </cell>
          <cell r="AR948">
            <v>44097</v>
          </cell>
          <cell r="AS948">
            <v>0</v>
          </cell>
          <cell r="AT948">
            <v>0</v>
          </cell>
          <cell r="AX948" t="str">
            <v>Yes</v>
          </cell>
          <cell r="AZ948" t="str">
            <v xml:space="preserve">Y </v>
          </cell>
          <cell r="BA948" t="str">
            <v>Yes</v>
          </cell>
        </row>
        <row r="949">
          <cell r="B949">
            <v>799</v>
          </cell>
          <cell r="C949" t="str">
            <v>C49SZX20200141SX</v>
          </cell>
          <cell r="D949" t="str">
            <v>奕东</v>
          </cell>
          <cell r="E949" t="str">
            <v>YSM10</v>
          </cell>
          <cell r="F949" t="str">
            <v>#04403</v>
          </cell>
          <cell r="G949" t="e">
            <v>#REF!</v>
          </cell>
          <cell r="H949" t="e">
            <v>#REF!</v>
          </cell>
          <cell r="I949" t="str">
            <v>L-&gt;R</v>
          </cell>
          <cell r="J949" t="str">
            <v>MVC</v>
          </cell>
          <cell r="K949">
            <v>1</v>
          </cell>
          <cell r="L949">
            <v>109977</v>
          </cell>
          <cell r="M949" t="str">
            <v>SEP 20</v>
          </cell>
          <cell r="N949">
            <v>44103</v>
          </cell>
          <cell r="O949">
            <v>11100434</v>
          </cell>
          <cell r="P949">
            <v>815000</v>
          </cell>
          <cell r="Q949">
            <v>44076</v>
          </cell>
          <cell r="R949" t="str">
            <v>No</v>
          </cell>
          <cell r="S949" t="str">
            <v>C49</v>
          </cell>
          <cell r="T949" t="str">
            <v>SOUTH</v>
          </cell>
          <cell r="U949" t="str">
            <v>深圳</v>
          </cell>
          <cell r="V949" t="str">
            <v>SZ 深圳</v>
          </cell>
          <cell r="W949" t="str">
            <v>SX</v>
          </cell>
          <cell r="X949" t="str">
            <v>RMB</v>
          </cell>
          <cell r="Y949">
            <v>815000</v>
          </cell>
          <cell r="Z949">
            <v>1.1299999999999999</v>
          </cell>
          <cell r="AA949">
            <v>815000</v>
          </cell>
          <cell r="AB949">
            <v>1.105</v>
          </cell>
          <cell r="AC949">
            <v>796969.0265486727</v>
          </cell>
          <cell r="AD949">
            <v>95636.283185840715</v>
          </cell>
          <cell r="AE949">
            <v>0.12</v>
          </cell>
          <cell r="AF949">
            <v>44074</v>
          </cell>
          <cell r="AG949" t="str">
            <v>含税到厂</v>
          </cell>
          <cell r="AI949"/>
          <cell r="AK949">
            <v>0.2</v>
          </cell>
          <cell r="AL949">
            <v>163000</v>
          </cell>
          <cell r="AM949">
            <v>44076</v>
          </cell>
          <cell r="AN949" t="str">
            <v>Yes</v>
          </cell>
          <cell r="AO949">
            <v>0.8</v>
          </cell>
          <cell r="AP949">
            <v>652000</v>
          </cell>
          <cell r="AQ949">
            <v>44079</v>
          </cell>
          <cell r="AR949">
            <v>44097</v>
          </cell>
          <cell r="AS949">
            <v>0</v>
          </cell>
          <cell r="AT949">
            <v>0</v>
          </cell>
          <cell r="AX949" t="str">
            <v>Yes</v>
          </cell>
          <cell r="AZ949" t="str">
            <v xml:space="preserve">Y </v>
          </cell>
          <cell r="BA949" t="str">
            <v>Yes</v>
          </cell>
        </row>
        <row r="950">
          <cell r="B950">
            <v>800</v>
          </cell>
          <cell r="C950" t="str">
            <v>C49SZX20200141SX</v>
          </cell>
          <cell r="D950" t="str">
            <v>奕东</v>
          </cell>
          <cell r="E950" t="str">
            <v>YSM10</v>
          </cell>
          <cell r="F950" t="str">
            <v>#04403</v>
          </cell>
          <cell r="G950" t="e">
            <v>#REF!</v>
          </cell>
          <cell r="H950" t="e">
            <v>#REF!</v>
          </cell>
          <cell r="I950" t="str">
            <v>R-&gt;L</v>
          </cell>
          <cell r="J950" t="str">
            <v>MVC</v>
          </cell>
          <cell r="K950">
            <v>1</v>
          </cell>
          <cell r="L950">
            <v>109977</v>
          </cell>
          <cell r="M950" t="str">
            <v>SEP 20</v>
          </cell>
          <cell r="N950">
            <v>44103</v>
          </cell>
          <cell r="O950">
            <v>11100434</v>
          </cell>
          <cell r="P950">
            <v>815000</v>
          </cell>
          <cell r="Q950">
            <v>44077</v>
          </cell>
          <cell r="R950" t="str">
            <v>No</v>
          </cell>
          <cell r="S950" t="str">
            <v>C49</v>
          </cell>
          <cell r="T950" t="str">
            <v>SOUTH</v>
          </cell>
          <cell r="U950" t="str">
            <v>深圳</v>
          </cell>
          <cell r="V950" t="str">
            <v>SZ 深圳</v>
          </cell>
          <cell r="W950" t="str">
            <v>SX</v>
          </cell>
          <cell r="X950" t="str">
            <v>RMB</v>
          </cell>
          <cell r="Y950">
            <v>815000</v>
          </cell>
          <cell r="Z950">
            <v>1.1299999999999999</v>
          </cell>
          <cell r="AA950">
            <v>815000</v>
          </cell>
          <cell r="AB950">
            <v>1.105</v>
          </cell>
          <cell r="AC950">
            <v>796969.0265486727</v>
          </cell>
          <cell r="AD950">
            <v>95636.283185840715</v>
          </cell>
          <cell r="AE950">
            <v>0.12</v>
          </cell>
          <cell r="AF950">
            <v>44074</v>
          </cell>
          <cell r="AG950" t="str">
            <v>含税到厂</v>
          </cell>
          <cell r="AI950"/>
          <cell r="AK950">
            <v>0.2</v>
          </cell>
          <cell r="AL950">
            <v>163000</v>
          </cell>
          <cell r="AM950">
            <v>44076</v>
          </cell>
          <cell r="AN950" t="str">
            <v>Yes</v>
          </cell>
          <cell r="AO950">
            <v>0.8</v>
          </cell>
          <cell r="AP950">
            <v>652000</v>
          </cell>
          <cell r="AQ950">
            <v>44079</v>
          </cell>
          <cell r="AR950">
            <v>44097</v>
          </cell>
          <cell r="AS950">
            <v>0</v>
          </cell>
          <cell r="AT950">
            <v>0</v>
          </cell>
          <cell r="AX950" t="str">
            <v>Yes</v>
          </cell>
          <cell r="AZ950" t="str">
            <v xml:space="preserve">Y </v>
          </cell>
          <cell r="BA950" t="str">
            <v>Yes</v>
          </cell>
        </row>
        <row r="951">
          <cell r="B951">
            <v>801</v>
          </cell>
          <cell r="C951" t="str">
            <v>C49SZX20200141SX</v>
          </cell>
          <cell r="D951" t="str">
            <v>奕东</v>
          </cell>
          <cell r="E951" t="str">
            <v>YSM10</v>
          </cell>
          <cell r="F951" t="str">
            <v>#04403</v>
          </cell>
          <cell r="G951" t="e">
            <v>#REF!</v>
          </cell>
          <cell r="H951" t="e">
            <v>#REF!</v>
          </cell>
          <cell r="I951" t="str">
            <v>R-&gt;L</v>
          </cell>
          <cell r="J951" t="str">
            <v>MVC</v>
          </cell>
          <cell r="K951">
            <v>1</v>
          </cell>
          <cell r="L951">
            <v>109977</v>
          </cell>
          <cell r="M951" t="str">
            <v>SEP 20</v>
          </cell>
          <cell r="N951">
            <v>44103</v>
          </cell>
          <cell r="O951">
            <v>11100434</v>
          </cell>
          <cell r="P951">
            <v>815000</v>
          </cell>
          <cell r="Q951">
            <v>44078</v>
          </cell>
          <cell r="R951" t="str">
            <v>No</v>
          </cell>
          <cell r="S951" t="str">
            <v>C49</v>
          </cell>
          <cell r="T951" t="str">
            <v>SOUTH</v>
          </cell>
          <cell r="U951" t="str">
            <v>深圳</v>
          </cell>
          <cell r="V951" t="str">
            <v>SZ 深圳</v>
          </cell>
          <cell r="W951" t="str">
            <v>SX</v>
          </cell>
          <cell r="X951" t="str">
            <v>RMB</v>
          </cell>
          <cell r="Y951">
            <v>815000</v>
          </cell>
          <cell r="Z951">
            <v>1.1299999999999999</v>
          </cell>
          <cell r="AA951">
            <v>815000</v>
          </cell>
          <cell r="AB951">
            <v>1.105</v>
          </cell>
          <cell r="AC951">
            <v>796969.0265486727</v>
          </cell>
          <cell r="AD951">
            <v>95636.283185840715</v>
          </cell>
          <cell r="AE951">
            <v>0.12</v>
          </cell>
          <cell r="AF951">
            <v>44074</v>
          </cell>
          <cell r="AG951" t="str">
            <v>含税到厂</v>
          </cell>
          <cell r="AI951"/>
          <cell r="AK951">
            <v>0.2</v>
          </cell>
          <cell r="AL951">
            <v>163000</v>
          </cell>
          <cell r="AM951">
            <v>44076</v>
          </cell>
          <cell r="AN951" t="str">
            <v>Yes</v>
          </cell>
          <cell r="AO951">
            <v>0.8</v>
          </cell>
          <cell r="AP951">
            <v>652000</v>
          </cell>
          <cell r="AQ951">
            <v>44079</v>
          </cell>
          <cell r="AR951">
            <v>44097</v>
          </cell>
          <cell r="AS951">
            <v>0</v>
          </cell>
          <cell r="AT951">
            <v>0</v>
          </cell>
          <cell r="AX951" t="str">
            <v>Yes</v>
          </cell>
          <cell r="AZ951" t="str">
            <v xml:space="preserve">Y </v>
          </cell>
          <cell r="BA951" t="str">
            <v>Yes</v>
          </cell>
        </row>
        <row r="952">
          <cell r="B952">
            <v>802</v>
          </cell>
          <cell r="C952" t="str">
            <v>C49SZX20200135DZ</v>
          </cell>
          <cell r="D952" t="str">
            <v>方案集</v>
          </cell>
          <cell r="E952" t="str">
            <v>YSM20R-2</v>
          </cell>
          <cell r="F952" t="str">
            <v>#79344</v>
          </cell>
          <cell r="G952" t="e">
            <v>#REF!</v>
          </cell>
          <cell r="H952" t="e">
            <v>#REF!</v>
          </cell>
          <cell r="I952" t="str">
            <v>R-&gt;L</v>
          </cell>
          <cell r="J952" t="str">
            <v>No</v>
          </cell>
          <cell r="K952">
            <v>1</v>
          </cell>
          <cell r="L952">
            <v>110047</v>
          </cell>
          <cell r="M952" t="str">
            <v>OCT 20</v>
          </cell>
          <cell r="N952">
            <v>44127</v>
          </cell>
          <cell r="O952">
            <v>11116442</v>
          </cell>
          <cell r="P952">
            <v>16270000</v>
          </cell>
          <cell r="Q952">
            <v>44105</v>
          </cell>
          <cell r="R952" t="str">
            <v>No</v>
          </cell>
          <cell r="S952" t="str">
            <v>C49</v>
          </cell>
          <cell r="T952" t="str">
            <v>SOUTH</v>
          </cell>
          <cell r="U952" t="str">
            <v>深圳</v>
          </cell>
          <cell r="V952" t="str">
            <v>SZ 深圳</v>
          </cell>
          <cell r="W952" t="str">
            <v>DZ</v>
          </cell>
          <cell r="X952" t="str">
            <v>JPY</v>
          </cell>
          <cell r="Y952">
            <v>16270000</v>
          </cell>
          <cell r="Z952">
            <v>1</v>
          </cell>
          <cell r="AA952">
            <v>16270000</v>
          </cell>
          <cell r="AB952">
            <v>7.4899999999999994E-2</v>
          </cell>
          <cell r="AC952">
            <v>1218623</v>
          </cell>
          <cell r="AD952">
            <v>146234.75999999998</v>
          </cell>
          <cell r="AE952">
            <v>0.12</v>
          </cell>
          <cell r="AF952">
            <v>44075</v>
          </cell>
          <cell r="AG952" t="str">
            <v>CIF HK</v>
          </cell>
          <cell r="AI952"/>
          <cell r="AK952" t="str">
            <v>agree</v>
          </cell>
          <cell r="AL952">
            <v>2479697</v>
          </cell>
          <cell r="AM952">
            <v>44076</v>
          </cell>
          <cell r="AN952" t="str">
            <v>Yes</v>
          </cell>
          <cell r="AO952" t="str">
            <v>agree</v>
          </cell>
          <cell r="AP952">
            <v>13790303</v>
          </cell>
          <cell r="AQ952">
            <v>44075</v>
          </cell>
          <cell r="AR952">
            <v>44123</v>
          </cell>
          <cell r="AS952">
            <v>0</v>
          </cell>
          <cell r="AT952">
            <v>0</v>
          </cell>
          <cell r="AX952" t="str">
            <v>Yes</v>
          </cell>
          <cell r="AZ952" t="str">
            <v>Yes</v>
          </cell>
          <cell r="BA952" t="str">
            <v>Yes</v>
          </cell>
        </row>
        <row r="953">
          <cell r="B953">
            <v>803</v>
          </cell>
          <cell r="C953" t="str">
            <v>C49SZX20200150SS</v>
          </cell>
          <cell r="D953" t="str">
            <v>博睿通（end user：锂动力）</v>
          </cell>
          <cell r="E953" t="str">
            <v>YSM10</v>
          </cell>
          <cell r="F953" t="str">
            <v>#82464</v>
          </cell>
          <cell r="G953" t="e">
            <v>#REF!</v>
          </cell>
          <cell r="H953" t="e">
            <v>#REF!</v>
          </cell>
          <cell r="I953" t="str">
            <v>R-&gt;L</v>
          </cell>
          <cell r="J953" t="str">
            <v>No</v>
          </cell>
          <cell r="K953">
            <v>1</v>
          </cell>
          <cell r="L953">
            <v>110025</v>
          </cell>
          <cell r="M953" t="str">
            <v>NOV 20</v>
          </cell>
          <cell r="N953">
            <v>44146</v>
          </cell>
          <cell r="O953">
            <v>11116454</v>
          </cell>
          <cell r="P953">
            <v>7448000</v>
          </cell>
          <cell r="Q953">
            <v>44136</v>
          </cell>
          <cell r="R953" t="str">
            <v>No</v>
          </cell>
          <cell r="S953" t="str">
            <v>C49</v>
          </cell>
          <cell r="T953" t="str">
            <v>SOUTH</v>
          </cell>
          <cell r="U953" t="str">
            <v>深圳</v>
          </cell>
          <cell r="V953" t="str">
            <v>SZ 深圳</v>
          </cell>
          <cell r="W953" t="str">
            <v>SS</v>
          </cell>
          <cell r="X953" t="str">
            <v>JPY</v>
          </cell>
          <cell r="Y953">
            <v>7448000</v>
          </cell>
          <cell r="Z953">
            <v>1</v>
          </cell>
          <cell r="AA953">
            <v>7448000</v>
          </cell>
          <cell r="AB953">
            <v>7.4899999999999994E-2</v>
          </cell>
          <cell r="AC953">
            <v>557855.19999999995</v>
          </cell>
          <cell r="AD953">
            <v>66942.623999999996</v>
          </cell>
          <cell r="AE953">
            <v>0.12</v>
          </cell>
          <cell r="AF953">
            <v>44076</v>
          </cell>
          <cell r="AG953" t="str">
            <v>DAP FS</v>
          </cell>
          <cell r="AI953">
            <v>48000</v>
          </cell>
          <cell r="AJ953">
            <v>44077</v>
          </cell>
          <cell r="AK953">
            <v>0.1</v>
          </cell>
          <cell r="AL953">
            <v>744800</v>
          </cell>
          <cell r="AN953" t="str">
            <v>Yes</v>
          </cell>
          <cell r="AO953">
            <v>1</v>
          </cell>
          <cell r="AP953">
            <v>7448000</v>
          </cell>
          <cell r="AQ953">
            <v>44136</v>
          </cell>
          <cell r="AR953">
            <v>44140</v>
          </cell>
          <cell r="AS953">
            <v>0</v>
          </cell>
          <cell r="AT953">
            <v>0</v>
          </cell>
          <cell r="AX953" t="str">
            <v>Yes</v>
          </cell>
          <cell r="AZ953" t="str">
            <v>Yes</v>
          </cell>
          <cell r="BA953" t="str">
            <v>Yes</v>
          </cell>
        </row>
        <row r="954">
          <cell r="B954">
            <v>804</v>
          </cell>
          <cell r="C954" t="str">
            <v>C49SZX20200150SS</v>
          </cell>
          <cell r="D954" t="str">
            <v>博睿通（end user：锂动力）</v>
          </cell>
          <cell r="E954" t="str">
            <v>YSM10</v>
          </cell>
          <cell r="F954" t="str">
            <v>#82464</v>
          </cell>
          <cell r="G954" t="e">
            <v>#REF!</v>
          </cell>
          <cell r="H954" t="e">
            <v>#REF!</v>
          </cell>
          <cell r="I954" t="str">
            <v>R-&gt;L</v>
          </cell>
          <cell r="J954" t="str">
            <v>No</v>
          </cell>
          <cell r="K954">
            <v>1</v>
          </cell>
          <cell r="L954">
            <v>110025</v>
          </cell>
          <cell r="M954" t="str">
            <v>NOV 20</v>
          </cell>
          <cell r="N954">
            <v>44146</v>
          </cell>
          <cell r="O954">
            <v>11116454</v>
          </cell>
          <cell r="P954">
            <v>7448000</v>
          </cell>
          <cell r="Q954">
            <v>44136</v>
          </cell>
          <cell r="R954" t="str">
            <v>No</v>
          </cell>
          <cell r="S954" t="str">
            <v>C49</v>
          </cell>
          <cell r="T954" t="str">
            <v>SOUTH</v>
          </cell>
          <cell r="U954" t="str">
            <v>深圳</v>
          </cell>
          <cell r="V954" t="str">
            <v>SZ 深圳</v>
          </cell>
          <cell r="W954" t="str">
            <v>SS</v>
          </cell>
          <cell r="X954" t="str">
            <v>JPY</v>
          </cell>
          <cell r="Y954">
            <v>7448000</v>
          </cell>
          <cell r="Z954">
            <v>1</v>
          </cell>
          <cell r="AA954">
            <v>7448000</v>
          </cell>
          <cell r="AB954">
            <v>7.4899999999999994E-2</v>
          </cell>
          <cell r="AC954">
            <v>557855.19999999995</v>
          </cell>
          <cell r="AD954">
            <v>66942.623999999996</v>
          </cell>
          <cell r="AE954">
            <v>0.12</v>
          </cell>
          <cell r="AF954">
            <v>44076</v>
          </cell>
          <cell r="AG954" t="str">
            <v>DAP FS</v>
          </cell>
          <cell r="AI954"/>
          <cell r="AJ954"/>
          <cell r="AK954">
            <v>0.1</v>
          </cell>
          <cell r="AL954">
            <v>744800</v>
          </cell>
          <cell r="AN954" t="str">
            <v>Yes</v>
          </cell>
          <cell r="AO954">
            <v>1</v>
          </cell>
          <cell r="AP954">
            <v>7448000</v>
          </cell>
          <cell r="AQ954">
            <v>44136</v>
          </cell>
          <cell r="AR954">
            <v>44140</v>
          </cell>
          <cell r="AS954">
            <v>0</v>
          </cell>
          <cell r="AT954">
            <v>0</v>
          </cell>
          <cell r="AX954" t="str">
            <v>Yes</v>
          </cell>
          <cell r="AZ954" t="str">
            <v>Yes</v>
          </cell>
          <cell r="BA954" t="str">
            <v>Yes</v>
          </cell>
        </row>
        <row r="955">
          <cell r="B955">
            <v>805</v>
          </cell>
          <cell r="C955" t="str">
            <v>C49SZX20200148JYR1</v>
          </cell>
          <cell r="D955" t="str">
            <v>芯联鑫</v>
          </cell>
          <cell r="E955" t="str">
            <v>YSM20R-2</v>
          </cell>
          <cell r="F955" t="str">
            <v>#04750</v>
          </cell>
          <cell r="G955" t="e">
            <v>#REF!</v>
          </cell>
          <cell r="H955" t="e">
            <v>#REF!</v>
          </cell>
          <cell r="I955" t="str">
            <v>L-&gt;R</v>
          </cell>
          <cell r="J955" t="str">
            <v>No</v>
          </cell>
          <cell r="K955">
            <v>1</v>
          </cell>
          <cell r="L955">
            <v>110048</v>
          </cell>
          <cell r="M955" t="str">
            <v>OCT 20</v>
          </cell>
          <cell r="N955">
            <v>44134</v>
          </cell>
          <cell r="O955">
            <v>11100437</v>
          </cell>
          <cell r="P955">
            <v>1136000</v>
          </cell>
          <cell r="Q955">
            <v>44105</v>
          </cell>
          <cell r="R955" t="str">
            <v>No</v>
          </cell>
          <cell r="S955" t="str">
            <v>C49</v>
          </cell>
          <cell r="T955" t="str">
            <v>SOUTH</v>
          </cell>
          <cell r="U955" t="str">
            <v>深圳</v>
          </cell>
          <cell r="V955" t="str">
            <v>SZ 深圳</v>
          </cell>
          <cell r="W955" t="str">
            <v>JY</v>
          </cell>
          <cell r="X955" t="str">
            <v>RMB</v>
          </cell>
          <cell r="Y955">
            <v>1136000</v>
          </cell>
          <cell r="Z955">
            <v>1.1299999999999999</v>
          </cell>
          <cell r="AA955">
            <v>1136000</v>
          </cell>
          <cell r="AB955">
            <v>1.1299999999999999</v>
          </cell>
          <cell r="AC955">
            <v>1136000</v>
          </cell>
          <cell r="AD955">
            <v>136320</v>
          </cell>
          <cell r="AE955">
            <v>0.12</v>
          </cell>
          <cell r="AF955">
            <v>44076</v>
          </cell>
          <cell r="AG955" t="str">
            <v>含税到厂</v>
          </cell>
          <cell r="AI955"/>
          <cell r="AK955" t="str">
            <v>agree</v>
          </cell>
          <cell r="AL955">
            <v>220000</v>
          </cell>
          <cell r="AM955">
            <v>44076</v>
          </cell>
          <cell r="AN955" t="str">
            <v>Yes</v>
          </cell>
          <cell r="AO955" t="str">
            <v>agree</v>
          </cell>
          <cell r="AP955">
            <v>76000</v>
          </cell>
          <cell r="AQ955">
            <v>44105</v>
          </cell>
          <cell r="AR955">
            <v>44131</v>
          </cell>
          <cell r="AS955" t="str">
            <v>agree</v>
          </cell>
          <cell r="AT955">
            <v>840000</v>
          </cell>
          <cell r="AU955">
            <v>44105</v>
          </cell>
          <cell r="AV955">
            <v>44132</v>
          </cell>
          <cell r="AX955" t="str">
            <v>Yes</v>
          </cell>
          <cell r="AZ955" t="str">
            <v>Yes</v>
          </cell>
          <cell r="BA955" t="str">
            <v>Yes</v>
          </cell>
        </row>
        <row r="956">
          <cell r="B956">
            <v>806</v>
          </cell>
          <cell r="C956" t="str">
            <v>C49SZX20200149JL</v>
          </cell>
          <cell r="D956" t="str">
            <v>博新</v>
          </cell>
          <cell r="E956" t="str">
            <v>YSM10</v>
          </cell>
          <cell r="F956" t="str">
            <v>#74702</v>
          </cell>
          <cell r="G956" t="e">
            <v>#REF!</v>
          </cell>
          <cell r="H956" t="e">
            <v>#REF!</v>
          </cell>
          <cell r="I956" t="str">
            <v>R-&gt;L</v>
          </cell>
          <cell r="J956" t="str">
            <v>MVC</v>
          </cell>
          <cell r="K956">
            <v>1</v>
          </cell>
          <cell r="L956" t="str">
            <v>110026（拆单110178）</v>
          </cell>
          <cell r="M956" t="str">
            <v>DEC 20</v>
          </cell>
          <cell r="N956">
            <v>44174</v>
          </cell>
          <cell r="O956">
            <v>11100459</v>
          </cell>
          <cell r="P956">
            <v>5000000</v>
          </cell>
          <cell r="Q956">
            <v>44166</v>
          </cell>
          <cell r="R956" t="str">
            <v>No</v>
          </cell>
          <cell r="S956" t="str">
            <v>C49</v>
          </cell>
          <cell r="T956" t="str">
            <v>SOUTH</v>
          </cell>
          <cell r="U956" t="str">
            <v>深圳</v>
          </cell>
          <cell r="V956" t="str">
            <v>SZ 深圳</v>
          </cell>
          <cell r="W956" t="str">
            <v>JL</v>
          </cell>
          <cell r="X956" t="str">
            <v>RMB</v>
          </cell>
          <cell r="Y956">
            <v>500000</v>
          </cell>
          <cell r="Z956">
            <v>1.1299999999999999</v>
          </cell>
          <cell r="AA956">
            <v>500000</v>
          </cell>
          <cell r="AB956">
            <v>1.1299999999999999</v>
          </cell>
          <cell r="AC956">
            <v>500000</v>
          </cell>
          <cell r="AD956">
            <v>60000</v>
          </cell>
          <cell r="AE956">
            <v>0.12</v>
          </cell>
          <cell r="AF956">
            <v>44077</v>
          </cell>
          <cell r="AG956" t="str">
            <v>含税到厂</v>
          </cell>
          <cell r="AI956"/>
          <cell r="AK956" t="str">
            <v>agree</v>
          </cell>
          <cell r="AL956">
            <v>20000</v>
          </cell>
          <cell r="AM956">
            <v>44105</v>
          </cell>
          <cell r="AN956" t="str">
            <v>Yes</v>
          </cell>
          <cell r="AO956" t="str">
            <v>agree</v>
          </cell>
          <cell r="AP956">
            <v>500000</v>
          </cell>
          <cell r="AS956">
            <v>0</v>
          </cell>
          <cell r="AT956">
            <v>0</v>
          </cell>
          <cell r="AX956" t="str">
            <v>Yes</v>
          </cell>
          <cell r="AZ956" t="str">
            <v>Y</v>
          </cell>
          <cell r="BA956" t="str">
            <v>Yes</v>
          </cell>
        </row>
        <row r="957">
          <cell r="B957">
            <v>807</v>
          </cell>
          <cell r="C957" t="str">
            <v>C49SZX20200153SS</v>
          </cell>
          <cell r="D957" t="str">
            <v>正创</v>
          </cell>
          <cell r="E957" t="str">
            <v>YSM20R-2</v>
          </cell>
          <cell r="F957" t="str">
            <v>#03946</v>
          </cell>
          <cell r="G957" t="e">
            <v>#REF!</v>
          </cell>
          <cell r="H957" t="e">
            <v>#REF!</v>
          </cell>
          <cell r="I957" t="str">
            <v>L-&gt;R</v>
          </cell>
          <cell r="J957" t="str">
            <v>MVC</v>
          </cell>
          <cell r="K957">
            <v>1</v>
          </cell>
          <cell r="L957">
            <v>110047</v>
          </cell>
          <cell r="M957" t="str">
            <v>OCT 20</v>
          </cell>
          <cell r="N957">
            <v>44130</v>
          </cell>
          <cell r="O957">
            <v>11116447</v>
          </cell>
          <cell r="P957">
            <v>10734000</v>
          </cell>
          <cell r="Q957">
            <v>44105</v>
          </cell>
          <cell r="R957" t="str">
            <v>No</v>
          </cell>
          <cell r="S957" t="str">
            <v>C49</v>
          </cell>
          <cell r="T957" t="str">
            <v>SOUTH</v>
          </cell>
          <cell r="U957" t="str">
            <v>深圳</v>
          </cell>
          <cell r="V957" t="str">
            <v>SZ 深圳</v>
          </cell>
          <cell r="W957" t="str">
            <v>SS</v>
          </cell>
          <cell r="X957" t="str">
            <v>JPY</v>
          </cell>
          <cell r="Y957">
            <v>10734000</v>
          </cell>
          <cell r="Z957">
            <v>1</v>
          </cell>
          <cell r="AA957">
            <v>10734000</v>
          </cell>
          <cell r="AB957">
            <v>7.4899999999999994E-2</v>
          </cell>
          <cell r="AC957">
            <v>803976.6</v>
          </cell>
          <cell r="AD957">
            <v>96477.191999999995</v>
          </cell>
          <cell r="AE957">
            <v>0.12</v>
          </cell>
          <cell r="AF957">
            <v>44081</v>
          </cell>
          <cell r="AG957" t="str">
            <v>DAP SZ</v>
          </cell>
          <cell r="AI957">
            <v>60000</v>
          </cell>
          <cell r="AJ957">
            <v>44092</v>
          </cell>
          <cell r="AK957" t="str">
            <v>agree</v>
          </cell>
          <cell r="AL957" t="e">
            <v>#VALUE!</v>
          </cell>
          <cell r="AN957" t="str">
            <v>Yes</v>
          </cell>
          <cell r="AO957">
            <v>1</v>
          </cell>
          <cell r="AP957">
            <v>10734000</v>
          </cell>
          <cell r="AQ957">
            <v>44105</v>
          </cell>
          <cell r="AR957">
            <v>44127</v>
          </cell>
          <cell r="AS957">
            <v>0</v>
          </cell>
          <cell r="AT957">
            <v>0</v>
          </cell>
          <cell r="AX957" t="str">
            <v>Yes</v>
          </cell>
          <cell r="AZ957" t="str">
            <v>Yes</v>
          </cell>
          <cell r="BA957" t="str">
            <v>Yes</v>
          </cell>
        </row>
        <row r="958">
          <cell r="B958">
            <v>808</v>
          </cell>
          <cell r="C958" t="str">
            <v>C49SZX20200153SS</v>
          </cell>
          <cell r="D958" t="str">
            <v>正创</v>
          </cell>
          <cell r="E958" t="str">
            <v>YSM20R-2</v>
          </cell>
          <cell r="F958" t="str">
            <v>#03946</v>
          </cell>
          <cell r="G958" t="e">
            <v>#REF!</v>
          </cell>
          <cell r="H958" t="e">
            <v>#REF!</v>
          </cell>
          <cell r="I958" t="str">
            <v>L-&gt;R</v>
          </cell>
          <cell r="J958" t="str">
            <v>No</v>
          </cell>
          <cell r="K958">
            <v>1</v>
          </cell>
          <cell r="L958">
            <v>110047</v>
          </cell>
          <cell r="M958" t="str">
            <v>OCT 20</v>
          </cell>
          <cell r="N958">
            <v>44130</v>
          </cell>
          <cell r="O958">
            <v>11116447</v>
          </cell>
          <cell r="P958">
            <v>10734000</v>
          </cell>
          <cell r="Q958">
            <v>44105</v>
          </cell>
          <cell r="R958" t="str">
            <v>No</v>
          </cell>
          <cell r="S958" t="str">
            <v>C49</v>
          </cell>
          <cell r="T958" t="str">
            <v>SOUTH</v>
          </cell>
          <cell r="U958" t="str">
            <v>深圳</v>
          </cell>
          <cell r="V958" t="str">
            <v>SZ 深圳</v>
          </cell>
          <cell r="W958" t="str">
            <v>SS</v>
          </cell>
          <cell r="X958" t="str">
            <v>JPY</v>
          </cell>
          <cell r="Y958">
            <v>10734000</v>
          </cell>
          <cell r="Z958">
            <v>1</v>
          </cell>
          <cell r="AA958">
            <v>10734000</v>
          </cell>
          <cell r="AB958">
            <v>7.4899999999999994E-2</v>
          </cell>
          <cell r="AC958">
            <v>803976.6</v>
          </cell>
          <cell r="AD958">
            <v>96477.191999999995</v>
          </cell>
          <cell r="AE958">
            <v>0.12</v>
          </cell>
          <cell r="AF958">
            <v>44081</v>
          </cell>
          <cell r="AG958" t="str">
            <v>DAP SZ</v>
          </cell>
          <cell r="AI958"/>
          <cell r="AJ958"/>
          <cell r="AK958"/>
          <cell r="AL958">
            <v>0</v>
          </cell>
          <cell r="AN958" t="str">
            <v>Yes</v>
          </cell>
          <cell r="AO958">
            <v>1</v>
          </cell>
          <cell r="AP958">
            <v>10734000</v>
          </cell>
          <cell r="AQ958">
            <v>44105</v>
          </cell>
          <cell r="AR958">
            <v>44127</v>
          </cell>
          <cell r="AS958">
            <v>0</v>
          </cell>
          <cell r="AT958">
            <v>0</v>
          </cell>
          <cell r="AX958" t="str">
            <v>Yes</v>
          </cell>
          <cell r="AZ958" t="str">
            <v>Yes</v>
          </cell>
          <cell r="BA958" t="str">
            <v>Yes</v>
          </cell>
        </row>
        <row r="959">
          <cell r="B959">
            <v>809</v>
          </cell>
          <cell r="C959" t="str">
            <v>C49SZX20200153SS</v>
          </cell>
          <cell r="D959" t="str">
            <v>正创</v>
          </cell>
          <cell r="E959" t="str">
            <v>YSM20R-2</v>
          </cell>
          <cell r="F959" t="str">
            <v>#03946</v>
          </cell>
          <cell r="G959" t="e">
            <v>#REF!</v>
          </cell>
          <cell r="H959" t="e">
            <v>#REF!</v>
          </cell>
          <cell r="I959" t="str">
            <v>R-&gt;L</v>
          </cell>
          <cell r="J959" t="str">
            <v>No</v>
          </cell>
          <cell r="K959">
            <v>1</v>
          </cell>
          <cell r="L959">
            <v>110047</v>
          </cell>
          <cell r="M959" t="str">
            <v>DEC 20</v>
          </cell>
          <cell r="N959">
            <v>44183</v>
          </cell>
          <cell r="O959">
            <v>11116480</v>
          </cell>
          <cell r="P959">
            <v>10734000</v>
          </cell>
          <cell r="Q959">
            <v>44166</v>
          </cell>
          <cell r="R959" t="str">
            <v>No</v>
          </cell>
          <cell r="S959" t="str">
            <v>C49</v>
          </cell>
          <cell r="T959" t="str">
            <v>SOUTH</v>
          </cell>
          <cell r="U959" t="str">
            <v>深圳</v>
          </cell>
          <cell r="V959" t="str">
            <v>SZ 深圳</v>
          </cell>
          <cell r="W959" t="str">
            <v>SS</v>
          </cell>
          <cell r="X959" t="str">
            <v>JPY</v>
          </cell>
          <cell r="Y959">
            <v>10734000</v>
          </cell>
          <cell r="Z959">
            <v>1</v>
          </cell>
          <cell r="AA959">
            <v>10734000</v>
          </cell>
          <cell r="AB959">
            <v>7.4899999999999994E-2</v>
          </cell>
          <cell r="AC959">
            <v>803976.6</v>
          </cell>
          <cell r="AD959">
            <v>96477.191999999995</v>
          </cell>
          <cell r="AE959">
            <v>0.12</v>
          </cell>
          <cell r="AF959">
            <v>44081</v>
          </cell>
          <cell r="AG959" t="str">
            <v>DAP SZ</v>
          </cell>
          <cell r="AI959"/>
          <cell r="AJ959"/>
          <cell r="AK959"/>
          <cell r="AL959">
            <v>0</v>
          </cell>
          <cell r="AN959" t="str">
            <v>Yes</v>
          </cell>
          <cell r="AO959">
            <v>1</v>
          </cell>
          <cell r="AP959">
            <v>10734000</v>
          </cell>
          <cell r="AQ959">
            <v>44182</v>
          </cell>
          <cell r="AR959">
            <v>44182</v>
          </cell>
          <cell r="AS959">
            <v>0</v>
          </cell>
          <cell r="AT959">
            <v>0</v>
          </cell>
          <cell r="AX959" t="str">
            <v>Yes</v>
          </cell>
          <cell r="AZ959" t="str">
            <v>Yes</v>
          </cell>
        </row>
        <row r="960">
          <cell r="B960">
            <v>810</v>
          </cell>
          <cell r="C960" t="str">
            <v>C49SZX20200157SX</v>
          </cell>
          <cell r="D960" t="str">
            <v>成景</v>
          </cell>
          <cell r="E960" t="str">
            <v>YSM10</v>
          </cell>
          <cell r="F960" t="str">
            <v>#72902</v>
          </cell>
          <cell r="G960" t="e">
            <v>#REF!</v>
          </cell>
          <cell r="H960" t="e">
            <v>#REF!</v>
          </cell>
          <cell r="I960" t="str">
            <v>L-&gt;R</v>
          </cell>
          <cell r="J960" t="str">
            <v>MVC</v>
          </cell>
          <cell r="K960">
            <v>1</v>
          </cell>
          <cell r="L960">
            <v>110043</v>
          </cell>
          <cell r="M960" t="str">
            <v>NOV 20</v>
          </cell>
          <cell r="N960">
            <v>44160</v>
          </cell>
          <cell r="O960">
            <v>11100449</v>
          </cell>
          <cell r="P960">
            <v>530000</v>
          </cell>
          <cell r="Q960">
            <v>44136</v>
          </cell>
          <cell r="R960" t="str">
            <v>No</v>
          </cell>
          <cell r="S960" t="str">
            <v>C49</v>
          </cell>
          <cell r="T960" t="str">
            <v>SOUTH</v>
          </cell>
          <cell r="U960" t="str">
            <v>深圳</v>
          </cell>
          <cell r="V960" t="str">
            <v>SZ 深圳</v>
          </cell>
          <cell r="W960" t="str">
            <v>SX</v>
          </cell>
          <cell r="X960" t="str">
            <v>RMB</v>
          </cell>
          <cell r="Y960">
            <v>530000</v>
          </cell>
          <cell r="Z960">
            <v>1.1299999999999999</v>
          </cell>
          <cell r="AA960">
            <v>530000</v>
          </cell>
          <cell r="AB960">
            <v>1.1299999999999999</v>
          </cell>
          <cell r="AC960">
            <v>530000</v>
          </cell>
          <cell r="AD960">
            <v>63600</v>
          </cell>
          <cell r="AE960">
            <v>0.12</v>
          </cell>
          <cell r="AF960">
            <v>44082</v>
          </cell>
          <cell r="AG960" t="str">
            <v>含税到厂</v>
          </cell>
          <cell r="AI960"/>
          <cell r="AK960">
            <v>0.2</v>
          </cell>
          <cell r="AL960">
            <v>106000</v>
          </cell>
          <cell r="AM960">
            <v>44075</v>
          </cell>
          <cell r="AN960" t="str">
            <v>Yes</v>
          </cell>
          <cell r="AO960">
            <v>0.8</v>
          </cell>
          <cell r="AP960">
            <v>424000</v>
          </cell>
          <cell r="AQ960">
            <v>44156</v>
          </cell>
          <cell r="AR960">
            <v>44156</v>
          </cell>
          <cell r="AS960">
            <v>0</v>
          </cell>
          <cell r="AT960">
            <v>0</v>
          </cell>
          <cell r="AX960" t="str">
            <v>Yes</v>
          </cell>
          <cell r="AZ960" t="str">
            <v>Yes</v>
          </cell>
          <cell r="BA960" t="str">
            <v>Yes</v>
          </cell>
        </row>
        <row r="961">
          <cell r="B961">
            <v>811</v>
          </cell>
          <cell r="C961" t="str">
            <v>C49SZX20200129JL</v>
          </cell>
          <cell r="D961" t="str">
            <v>力通威</v>
          </cell>
          <cell r="E961" t="str">
            <v>YSM10</v>
          </cell>
          <cell r="F961" t="str">
            <v>#18122</v>
          </cell>
          <cell r="G961" t="e">
            <v>#REF!</v>
          </cell>
          <cell r="H961" t="e">
            <v>#REF!</v>
          </cell>
          <cell r="I961" t="str">
            <v>R-&gt;L</v>
          </cell>
          <cell r="J961" t="str">
            <v>MVC</v>
          </cell>
          <cell r="K961">
            <v>1</v>
          </cell>
          <cell r="L961">
            <v>110043</v>
          </cell>
          <cell r="M961" t="str">
            <v>NOV 20</v>
          </cell>
          <cell r="N961">
            <v>44159</v>
          </cell>
          <cell r="O961">
            <v>11116461</v>
          </cell>
          <cell r="P961">
            <v>8688000</v>
          </cell>
          <cell r="Q961">
            <v>44136</v>
          </cell>
          <cell r="R961" t="str">
            <v>No</v>
          </cell>
          <cell r="S961" t="str">
            <v>C49</v>
          </cell>
          <cell r="T961" t="str">
            <v>SOUTH</v>
          </cell>
          <cell r="U961" t="str">
            <v>深圳</v>
          </cell>
          <cell r="V961" t="str">
            <v>SZ 深圳</v>
          </cell>
          <cell r="W961" t="str">
            <v>JL</v>
          </cell>
          <cell r="X961" t="str">
            <v>JPY</v>
          </cell>
          <cell r="Y961">
            <v>8688000</v>
          </cell>
          <cell r="Z961">
            <v>1</v>
          </cell>
          <cell r="AA961">
            <v>8688000</v>
          </cell>
          <cell r="AB961">
            <v>7.4899999999999994E-2</v>
          </cell>
          <cell r="AC961">
            <v>650731.19999999995</v>
          </cell>
          <cell r="AD961">
            <v>78087.743999999992</v>
          </cell>
          <cell r="AE961">
            <v>0.12</v>
          </cell>
          <cell r="AF961">
            <v>44081</v>
          </cell>
          <cell r="AG961" t="str">
            <v>CIF HK</v>
          </cell>
          <cell r="AI961"/>
          <cell r="AK961">
            <v>0.2</v>
          </cell>
          <cell r="AL961">
            <v>1737600</v>
          </cell>
          <cell r="AM961">
            <v>44076</v>
          </cell>
          <cell r="AN961" t="str">
            <v>Yes</v>
          </cell>
          <cell r="AO961">
            <v>0.4</v>
          </cell>
          <cell r="AP961">
            <v>3475200</v>
          </cell>
          <cell r="AQ961">
            <v>44136</v>
          </cell>
          <cell r="AR961">
            <v>44152</v>
          </cell>
          <cell r="AS961">
            <v>0.4</v>
          </cell>
          <cell r="AT961">
            <v>3475200</v>
          </cell>
          <cell r="AU961">
            <v>44136</v>
          </cell>
          <cell r="AV961">
            <v>44155</v>
          </cell>
          <cell r="AX961" t="str">
            <v>Yes</v>
          </cell>
          <cell r="AZ961" t="str">
            <v>Yes</v>
          </cell>
          <cell r="BA961" t="str">
            <v>Yes</v>
          </cell>
        </row>
        <row r="962">
          <cell r="B962">
            <v>812</v>
          </cell>
          <cell r="C962" t="str">
            <v>C49SZX20200129JL</v>
          </cell>
          <cell r="D962" t="str">
            <v>力通威</v>
          </cell>
          <cell r="E962" t="str">
            <v>YSM10</v>
          </cell>
          <cell r="F962" t="str">
            <v>#18122</v>
          </cell>
          <cell r="G962" t="e">
            <v>#REF!</v>
          </cell>
          <cell r="H962" t="e">
            <v>#REF!</v>
          </cell>
          <cell r="I962" t="str">
            <v>R-&gt;L</v>
          </cell>
          <cell r="J962" t="str">
            <v>MVC</v>
          </cell>
          <cell r="K962">
            <v>1</v>
          </cell>
          <cell r="L962" t="str">
            <v>110043(拆单110140)</v>
          </cell>
          <cell r="M962" t="str">
            <v>NOV 20</v>
          </cell>
          <cell r="N962">
            <v>44159</v>
          </cell>
          <cell r="O962">
            <v>11116461</v>
          </cell>
          <cell r="P962">
            <v>8688000</v>
          </cell>
          <cell r="Q962">
            <v>44136</v>
          </cell>
          <cell r="R962" t="str">
            <v>No</v>
          </cell>
          <cell r="S962" t="str">
            <v>C49</v>
          </cell>
          <cell r="T962" t="str">
            <v>SOUTH</v>
          </cell>
          <cell r="U962" t="str">
            <v>深圳</v>
          </cell>
          <cell r="V962" t="str">
            <v>SZ 深圳</v>
          </cell>
          <cell r="W962" t="str">
            <v>JL</v>
          </cell>
          <cell r="X962" t="str">
            <v>JPY</v>
          </cell>
          <cell r="Y962">
            <v>8688000</v>
          </cell>
          <cell r="Z962">
            <v>1</v>
          </cell>
          <cell r="AA962">
            <v>8688000</v>
          </cell>
          <cell r="AB962">
            <v>7.4899999999999994E-2</v>
          </cell>
          <cell r="AC962">
            <v>650731.19999999995</v>
          </cell>
          <cell r="AD962">
            <v>78087.743999999992</v>
          </cell>
          <cell r="AE962">
            <v>0.12</v>
          </cell>
          <cell r="AF962">
            <v>44081</v>
          </cell>
          <cell r="AG962" t="str">
            <v>CIF HK</v>
          </cell>
          <cell r="AI962"/>
          <cell r="AK962">
            <v>0.2</v>
          </cell>
          <cell r="AL962">
            <v>1737600</v>
          </cell>
          <cell r="AM962">
            <v>44077</v>
          </cell>
          <cell r="AN962" t="str">
            <v>Yes</v>
          </cell>
          <cell r="AO962">
            <v>0.4</v>
          </cell>
          <cell r="AP962">
            <v>3475200</v>
          </cell>
          <cell r="AQ962">
            <v>44136</v>
          </cell>
          <cell r="AR962">
            <v>44152</v>
          </cell>
          <cell r="AS962">
            <v>0.4</v>
          </cell>
          <cell r="AT962">
            <v>3475200</v>
          </cell>
          <cell r="AU962">
            <v>44136</v>
          </cell>
          <cell r="AV962">
            <v>44155</v>
          </cell>
          <cell r="AX962" t="str">
            <v>Yes</v>
          </cell>
          <cell r="AZ962" t="str">
            <v>Yes</v>
          </cell>
          <cell r="BA962" t="str">
            <v>Yes</v>
          </cell>
        </row>
        <row r="963">
          <cell r="B963">
            <v>813</v>
          </cell>
          <cell r="C963" t="str">
            <v>C49SZX20200129JL</v>
          </cell>
          <cell r="D963" t="str">
            <v>力通威</v>
          </cell>
          <cell r="E963" t="str">
            <v>YSM10</v>
          </cell>
          <cell r="F963" t="str">
            <v>#18122</v>
          </cell>
          <cell r="G963" t="e">
            <v>#REF!</v>
          </cell>
          <cell r="H963" t="e">
            <v>#REF!</v>
          </cell>
          <cell r="I963" t="str">
            <v>R-&gt;L</v>
          </cell>
          <cell r="J963" t="str">
            <v>MVC</v>
          </cell>
          <cell r="K963">
            <v>1</v>
          </cell>
          <cell r="L963" t="str">
            <v>110043(拆单110140)</v>
          </cell>
          <cell r="M963" t="str">
            <v>NOV 20</v>
          </cell>
          <cell r="N963">
            <v>44159</v>
          </cell>
          <cell r="O963">
            <v>11116461</v>
          </cell>
          <cell r="P963">
            <v>8688000</v>
          </cell>
          <cell r="Q963">
            <v>44136</v>
          </cell>
          <cell r="R963" t="str">
            <v>No</v>
          </cell>
          <cell r="S963" t="str">
            <v>C49</v>
          </cell>
          <cell r="T963" t="str">
            <v>SOUTH</v>
          </cell>
          <cell r="U963" t="str">
            <v>深圳</v>
          </cell>
          <cell r="V963" t="str">
            <v>SZ 深圳</v>
          </cell>
          <cell r="W963" t="str">
            <v>JL</v>
          </cell>
          <cell r="X963" t="str">
            <v>JPY</v>
          </cell>
          <cell r="Y963">
            <v>8688000</v>
          </cell>
          <cell r="Z963">
            <v>1</v>
          </cell>
          <cell r="AA963">
            <v>8688000</v>
          </cell>
          <cell r="AB963">
            <v>7.4899999999999994E-2</v>
          </cell>
          <cell r="AC963">
            <v>650731.19999999995</v>
          </cell>
          <cell r="AD963">
            <v>78087.743999999992</v>
          </cell>
          <cell r="AE963">
            <v>0.12</v>
          </cell>
          <cell r="AF963">
            <v>44081</v>
          </cell>
          <cell r="AG963" t="str">
            <v>CIF HK</v>
          </cell>
          <cell r="AI963"/>
          <cell r="AK963">
            <v>0.2</v>
          </cell>
          <cell r="AL963">
            <v>1737600</v>
          </cell>
          <cell r="AM963">
            <v>44078</v>
          </cell>
          <cell r="AN963" t="str">
            <v>Yes</v>
          </cell>
          <cell r="AO963">
            <v>0.4</v>
          </cell>
          <cell r="AP963">
            <v>3475200</v>
          </cell>
          <cell r="AQ963">
            <v>44136</v>
          </cell>
          <cell r="AR963">
            <v>44152</v>
          </cell>
          <cell r="AS963">
            <v>0.4</v>
          </cell>
          <cell r="AT963">
            <v>3475200</v>
          </cell>
          <cell r="AU963">
            <v>44136</v>
          </cell>
          <cell r="AV963">
            <v>44155</v>
          </cell>
          <cell r="AX963" t="str">
            <v>Yes</v>
          </cell>
          <cell r="AZ963" t="str">
            <v>Yes</v>
          </cell>
          <cell r="BA963" t="str">
            <v>Yes</v>
          </cell>
        </row>
        <row r="964">
          <cell r="B964">
            <v>814</v>
          </cell>
          <cell r="C964" t="str">
            <v>C49SZX20200156JL</v>
          </cell>
          <cell r="D964" t="str">
            <v>瑞福联</v>
          </cell>
          <cell r="E964" t="str">
            <v>YSM20R-2</v>
          </cell>
          <cell r="F964" t="str">
            <v>#75724</v>
          </cell>
          <cell r="G964" t="e">
            <v>#REF!</v>
          </cell>
          <cell r="H964" t="e">
            <v>#REF!</v>
          </cell>
          <cell r="I964" t="str">
            <v>L-&gt;R</v>
          </cell>
          <cell r="J964" t="str">
            <v>No</v>
          </cell>
          <cell r="K964">
            <v>1</v>
          </cell>
          <cell r="L964" t="e">
            <v>#N/A</v>
          </cell>
          <cell r="M964" t="e">
            <v>#N/A</v>
          </cell>
          <cell r="N964"/>
          <cell r="O964"/>
          <cell r="P964"/>
          <cell r="Q964"/>
          <cell r="R964" t="str">
            <v>No</v>
          </cell>
          <cell r="S964" t="str">
            <v>C49</v>
          </cell>
          <cell r="T964" t="str">
            <v>SOUTH</v>
          </cell>
          <cell r="U964" t="str">
            <v>深圳</v>
          </cell>
          <cell r="V964" t="str">
            <v>SZ 深圳</v>
          </cell>
          <cell r="W964" t="str">
            <v>JL</v>
          </cell>
          <cell r="X964" t="str">
            <v>JPY</v>
          </cell>
          <cell r="Y964">
            <v>12800000</v>
          </cell>
          <cell r="Z964">
            <v>1</v>
          </cell>
          <cell r="AA964">
            <v>12800000</v>
          </cell>
          <cell r="AB964">
            <v>7.4899999999999994E-2</v>
          </cell>
          <cell r="AC964">
            <v>958719.99999999988</v>
          </cell>
          <cell r="AD964">
            <v>115046.39999999998</v>
          </cell>
          <cell r="AE964">
            <v>0.12</v>
          </cell>
          <cell r="AF964">
            <v>44084</v>
          </cell>
          <cell r="AG964" t="str">
            <v>CIF HK</v>
          </cell>
          <cell r="AI964"/>
          <cell r="AJ964"/>
          <cell r="AK964">
            <v>0.2</v>
          </cell>
          <cell r="AL964">
            <v>2560000</v>
          </cell>
          <cell r="AM964"/>
          <cell r="AN964" t="str">
            <v>No</v>
          </cell>
          <cell r="AO964">
            <v>0.8</v>
          </cell>
          <cell r="AP964">
            <v>10240000</v>
          </cell>
          <cell r="AQ964"/>
          <cell r="AR964"/>
          <cell r="AS964">
            <v>0</v>
          </cell>
          <cell r="AT964">
            <v>0</v>
          </cell>
          <cell r="AV964"/>
          <cell r="AX964" t="str">
            <v>Cancel</v>
          </cell>
          <cell r="AY964"/>
          <cell r="AZ964"/>
          <cell r="BA964"/>
        </row>
        <row r="965">
          <cell r="B965">
            <v>815</v>
          </cell>
          <cell r="C965" t="str">
            <v>C49SZX20200156JL</v>
          </cell>
          <cell r="D965" t="str">
            <v>瑞福联</v>
          </cell>
          <cell r="E965" t="str">
            <v>YSM20R-2</v>
          </cell>
          <cell r="F965" t="str">
            <v>#75724</v>
          </cell>
          <cell r="G965" t="e">
            <v>#REF!</v>
          </cell>
          <cell r="H965" t="e">
            <v>#REF!</v>
          </cell>
          <cell r="I965" t="str">
            <v>L-&gt;R</v>
          </cell>
          <cell r="J965" t="str">
            <v>No</v>
          </cell>
          <cell r="K965">
            <v>1</v>
          </cell>
          <cell r="L965" t="e">
            <v>#N/A</v>
          </cell>
          <cell r="M965" t="e">
            <v>#N/A</v>
          </cell>
          <cell r="N965"/>
          <cell r="O965"/>
          <cell r="P965"/>
          <cell r="Q965"/>
          <cell r="R965" t="str">
            <v>No</v>
          </cell>
          <cell r="S965" t="str">
            <v>C49</v>
          </cell>
          <cell r="T965" t="str">
            <v>SOUTH</v>
          </cell>
          <cell r="U965" t="str">
            <v>深圳</v>
          </cell>
          <cell r="V965" t="str">
            <v>SZ 深圳</v>
          </cell>
          <cell r="W965" t="str">
            <v>JL</v>
          </cell>
          <cell r="X965" t="str">
            <v>JPY</v>
          </cell>
          <cell r="Y965">
            <v>12800000</v>
          </cell>
          <cell r="Z965">
            <v>1</v>
          </cell>
          <cell r="AA965">
            <v>12800000</v>
          </cell>
          <cell r="AB965">
            <v>7.4899999999999994E-2</v>
          </cell>
          <cell r="AC965">
            <v>958719.99999999988</v>
          </cell>
          <cell r="AD965">
            <v>115046.39999999998</v>
          </cell>
          <cell r="AE965">
            <v>0.12</v>
          </cell>
          <cell r="AF965">
            <v>44084</v>
          </cell>
          <cell r="AG965" t="str">
            <v>CIF HK</v>
          </cell>
          <cell r="AI965"/>
          <cell r="AJ965"/>
          <cell r="AK965">
            <v>0.2</v>
          </cell>
          <cell r="AL965">
            <v>2560000</v>
          </cell>
          <cell r="AM965"/>
          <cell r="AN965" t="str">
            <v>No</v>
          </cell>
          <cell r="AO965">
            <v>0.8</v>
          </cell>
          <cell r="AP965">
            <v>10240000</v>
          </cell>
          <cell r="AQ965"/>
          <cell r="AR965"/>
          <cell r="AS965">
            <v>0</v>
          </cell>
          <cell r="AT965">
            <v>0</v>
          </cell>
          <cell r="AV965"/>
          <cell r="AX965" t="str">
            <v>Cancel</v>
          </cell>
          <cell r="AY965"/>
          <cell r="AZ965"/>
          <cell r="BA965"/>
        </row>
        <row r="966">
          <cell r="B966">
            <v>816</v>
          </cell>
          <cell r="C966" t="str">
            <v>C49SZX20200156JL</v>
          </cell>
          <cell r="D966" t="str">
            <v>瑞福联</v>
          </cell>
          <cell r="E966" t="str">
            <v>YSM10</v>
          </cell>
          <cell r="F966" t="str">
            <v>#75724</v>
          </cell>
          <cell r="G966" t="e">
            <v>#REF!</v>
          </cell>
          <cell r="H966" t="e">
            <v>#REF!</v>
          </cell>
          <cell r="I966" t="str">
            <v>L-&gt;R</v>
          </cell>
          <cell r="J966" t="str">
            <v>MVC</v>
          </cell>
          <cell r="K966">
            <v>1</v>
          </cell>
          <cell r="L966" t="e">
            <v>#N/A</v>
          </cell>
          <cell r="M966" t="e">
            <v>#N/A</v>
          </cell>
          <cell r="N966"/>
          <cell r="O966"/>
          <cell r="P966"/>
          <cell r="Q966"/>
          <cell r="R966" t="str">
            <v>No</v>
          </cell>
          <cell r="S966" t="str">
            <v>C49</v>
          </cell>
          <cell r="T966" t="str">
            <v>SOUTH</v>
          </cell>
          <cell r="U966" t="str">
            <v>深圳</v>
          </cell>
          <cell r="V966" t="str">
            <v>SZ 深圳</v>
          </cell>
          <cell r="W966" t="str">
            <v>JL</v>
          </cell>
          <cell r="X966" t="str">
            <v>JPY</v>
          </cell>
          <cell r="Y966">
            <v>7348000</v>
          </cell>
          <cell r="Z966">
            <v>1</v>
          </cell>
          <cell r="AA966">
            <v>7348000</v>
          </cell>
          <cell r="AB966">
            <v>7.4899999999999994E-2</v>
          </cell>
          <cell r="AC966">
            <v>550365.19999999995</v>
          </cell>
          <cell r="AD966">
            <v>66043.823999999993</v>
          </cell>
          <cell r="AE966">
            <v>0.12</v>
          </cell>
          <cell r="AF966">
            <v>44084</v>
          </cell>
          <cell r="AG966" t="str">
            <v>CIF HK</v>
          </cell>
          <cell r="AI966"/>
          <cell r="AJ966"/>
          <cell r="AK966">
            <v>0.2</v>
          </cell>
          <cell r="AL966">
            <v>1469600</v>
          </cell>
          <cell r="AM966"/>
          <cell r="AN966" t="str">
            <v>No</v>
          </cell>
          <cell r="AO966">
            <v>0.8</v>
          </cell>
          <cell r="AP966">
            <v>5878400</v>
          </cell>
          <cell r="AQ966"/>
          <cell r="AR966"/>
          <cell r="AS966">
            <v>0</v>
          </cell>
          <cell r="AT966">
            <v>0</v>
          </cell>
          <cell r="AV966"/>
          <cell r="AX966" t="str">
            <v>Cancel</v>
          </cell>
          <cell r="AY966"/>
          <cell r="AZ966"/>
          <cell r="BA966"/>
        </row>
        <row r="967">
          <cell r="B967">
            <v>817</v>
          </cell>
          <cell r="C967" t="str">
            <v>C49SZX20200156JL</v>
          </cell>
          <cell r="D967" t="str">
            <v>瑞福联</v>
          </cell>
          <cell r="E967" t="str">
            <v>YSM10</v>
          </cell>
          <cell r="F967" t="str">
            <v>#75724</v>
          </cell>
          <cell r="G967" t="e">
            <v>#REF!</v>
          </cell>
          <cell r="H967" t="e">
            <v>#REF!</v>
          </cell>
          <cell r="I967" t="str">
            <v>L-&gt;R</v>
          </cell>
          <cell r="J967" t="str">
            <v>MVC</v>
          </cell>
          <cell r="K967">
            <v>1</v>
          </cell>
          <cell r="L967" t="e">
            <v>#N/A</v>
          </cell>
          <cell r="M967" t="e">
            <v>#N/A</v>
          </cell>
          <cell r="N967"/>
          <cell r="O967"/>
          <cell r="P967"/>
          <cell r="Q967"/>
          <cell r="R967" t="str">
            <v>No</v>
          </cell>
          <cell r="S967" t="str">
            <v>C49</v>
          </cell>
          <cell r="T967" t="str">
            <v>SOUTH</v>
          </cell>
          <cell r="U967" t="str">
            <v>深圳</v>
          </cell>
          <cell r="V967" t="str">
            <v>SZ 深圳</v>
          </cell>
          <cell r="W967" t="str">
            <v>JL</v>
          </cell>
          <cell r="X967" t="str">
            <v>JPY</v>
          </cell>
          <cell r="Y967">
            <v>7348000</v>
          </cell>
          <cell r="Z967">
            <v>1</v>
          </cell>
          <cell r="AA967">
            <v>7348000</v>
          </cell>
          <cell r="AB967">
            <v>7.4899999999999994E-2</v>
          </cell>
          <cell r="AC967">
            <v>550365.19999999995</v>
          </cell>
          <cell r="AD967">
            <v>66043.823999999993</v>
          </cell>
          <cell r="AE967">
            <v>0.12</v>
          </cell>
          <cell r="AF967">
            <v>44084</v>
          </cell>
          <cell r="AG967" t="str">
            <v>CIF HK</v>
          </cell>
          <cell r="AI967"/>
          <cell r="AJ967"/>
          <cell r="AK967">
            <v>0.2</v>
          </cell>
          <cell r="AL967">
            <v>1469600</v>
          </cell>
          <cell r="AM967"/>
          <cell r="AN967" t="str">
            <v>No</v>
          </cell>
          <cell r="AO967">
            <v>0.8</v>
          </cell>
          <cell r="AP967">
            <v>5878400</v>
          </cell>
          <cell r="AQ967"/>
          <cell r="AR967"/>
          <cell r="AS967">
            <v>0</v>
          </cell>
          <cell r="AT967">
            <v>0</v>
          </cell>
          <cell r="AV967"/>
          <cell r="AX967" t="str">
            <v>Cancel</v>
          </cell>
          <cell r="AY967"/>
          <cell r="AZ967"/>
          <cell r="BA967"/>
        </row>
        <row r="968">
          <cell r="B968">
            <v>818</v>
          </cell>
          <cell r="C968" t="str">
            <v>C49SZX20200089JL-R1</v>
          </cell>
          <cell r="D968" t="str">
            <v>睿视科技</v>
          </cell>
          <cell r="E968" t="str">
            <v>YSM20R(SV)-2</v>
          </cell>
          <cell r="F968" t="str">
            <v>#75724</v>
          </cell>
          <cell r="G968" t="e">
            <v>#REF!</v>
          </cell>
          <cell r="H968" t="e">
            <v>#REF!</v>
          </cell>
          <cell r="I968" t="str">
            <v>L-&gt;R</v>
          </cell>
          <cell r="J968" t="str">
            <v>No</v>
          </cell>
          <cell r="K968">
            <v>1</v>
          </cell>
          <cell r="L968" t="e">
            <v>#REF!</v>
          </cell>
          <cell r="M968" t="e">
            <v>#REF!</v>
          </cell>
          <cell r="N968"/>
          <cell r="O968"/>
          <cell r="P968"/>
          <cell r="Q968"/>
          <cell r="R968" t="str">
            <v>No</v>
          </cell>
          <cell r="S968" t="str">
            <v>C49</v>
          </cell>
          <cell r="T968" t="str">
            <v>SOUTH</v>
          </cell>
          <cell r="U968" t="str">
            <v>深圳</v>
          </cell>
          <cell r="V968" t="str">
            <v>SZ 深圳</v>
          </cell>
          <cell r="W968" t="str">
            <v>JL</v>
          </cell>
          <cell r="X968" t="str">
            <v>JPY</v>
          </cell>
          <cell r="Y968">
            <v>10800000</v>
          </cell>
          <cell r="Z968">
            <v>1</v>
          </cell>
          <cell r="AA968">
            <v>10800000</v>
          </cell>
          <cell r="AB968">
            <v>7.4899999999999994E-2</v>
          </cell>
          <cell r="AC968">
            <v>808919.99999999988</v>
          </cell>
          <cell r="AD968">
            <v>97070.39999999998</v>
          </cell>
          <cell r="AE968">
            <v>0.12</v>
          </cell>
          <cell r="AF968">
            <v>44027</v>
          </cell>
          <cell r="AG968" t="str">
            <v>CIF HK</v>
          </cell>
          <cell r="AI968"/>
          <cell r="AJ968"/>
          <cell r="AK968">
            <v>0.2</v>
          </cell>
          <cell r="AL968">
            <v>2160000</v>
          </cell>
          <cell r="AM968"/>
          <cell r="AN968" t="str">
            <v>No</v>
          </cell>
          <cell r="AO968">
            <v>0.8</v>
          </cell>
          <cell r="AP968">
            <v>8640000</v>
          </cell>
          <cell r="AQ968"/>
          <cell r="AR968"/>
          <cell r="AS968">
            <v>0</v>
          </cell>
          <cell r="AT968">
            <v>0</v>
          </cell>
          <cell r="AV968"/>
          <cell r="AX968" t="str">
            <v>Cancel</v>
          </cell>
          <cell r="AY968"/>
          <cell r="AZ968"/>
          <cell r="BA968" t="str">
            <v>Cancel</v>
          </cell>
        </row>
        <row r="969">
          <cell r="B969">
            <v>819</v>
          </cell>
          <cell r="C969" t="str">
            <v>C49SZX20200089JL-R1</v>
          </cell>
          <cell r="D969" t="str">
            <v>睿视科技</v>
          </cell>
          <cell r="E969" t="str">
            <v>YSM20R(SV)-2</v>
          </cell>
          <cell r="F969" t="str">
            <v>#75724</v>
          </cell>
          <cell r="G969" t="e">
            <v>#REF!</v>
          </cell>
          <cell r="H969" t="e">
            <v>#REF!</v>
          </cell>
          <cell r="I969" t="str">
            <v>L-&gt;R</v>
          </cell>
          <cell r="J969" t="str">
            <v>No</v>
          </cell>
          <cell r="K969">
            <v>1</v>
          </cell>
          <cell r="L969" t="e">
            <v>#REF!</v>
          </cell>
          <cell r="M969" t="e">
            <v>#REF!</v>
          </cell>
          <cell r="N969"/>
          <cell r="O969"/>
          <cell r="P969"/>
          <cell r="Q969"/>
          <cell r="R969" t="str">
            <v>No</v>
          </cell>
          <cell r="S969" t="str">
            <v>C49</v>
          </cell>
          <cell r="T969" t="str">
            <v>SOUTH</v>
          </cell>
          <cell r="U969" t="str">
            <v>深圳</v>
          </cell>
          <cell r="V969" t="str">
            <v>SZ 深圳</v>
          </cell>
          <cell r="W969" t="str">
            <v>JL</v>
          </cell>
          <cell r="X969" t="str">
            <v>JPY</v>
          </cell>
          <cell r="Y969">
            <v>10800000</v>
          </cell>
          <cell r="Z969">
            <v>1</v>
          </cell>
          <cell r="AA969">
            <v>10800000</v>
          </cell>
          <cell r="AB969">
            <v>7.4899999999999994E-2</v>
          </cell>
          <cell r="AC969">
            <v>808919.99999999988</v>
          </cell>
          <cell r="AD969">
            <v>97070.39999999998</v>
          </cell>
          <cell r="AE969">
            <v>0.12</v>
          </cell>
          <cell r="AF969">
            <v>44027</v>
          </cell>
          <cell r="AG969" t="str">
            <v>CIF HK</v>
          </cell>
          <cell r="AI969"/>
          <cell r="AJ969"/>
          <cell r="AK969">
            <v>0.2</v>
          </cell>
          <cell r="AL969">
            <v>2160000</v>
          </cell>
          <cell r="AM969"/>
          <cell r="AN969" t="str">
            <v>No</v>
          </cell>
          <cell r="AO969">
            <v>0.8</v>
          </cell>
          <cell r="AP969">
            <v>8640000</v>
          </cell>
          <cell r="AQ969"/>
          <cell r="AR969"/>
          <cell r="AS969">
            <v>0</v>
          </cell>
          <cell r="AT969">
            <v>0</v>
          </cell>
          <cell r="AV969"/>
          <cell r="AX969" t="str">
            <v>Cancel</v>
          </cell>
          <cell r="AY969"/>
          <cell r="AZ969"/>
          <cell r="BA969" t="str">
            <v>Cancel</v>
          </cell>
        </row>
        <row r="970">
          <cell r="B970">
            <v>820</v>
          </cell>
          <cell r="C970" t="str">
            <v>C49SZX20200089JL-R1</v>
          </cell>
          <cell r="D970" t="str">
            <v>睿视科技</v>
          </cell>
          <cell r="E970" t="str">
            <v>YSM20R(SV)-2</v>
          </cell>
          <cell r="F970" t="str">
            <v>#75724</v>
          </cell>
          <cell r="G970" t="e">
            <v>#REF!</v>
          </cell>
          <cell r="H970" t="e">
            <v>#REF!</v>
          </cell>
          <cell r="I970" t="str">
            <v>L-&gt;R</v>
          </cell>
          <cell r="J970" t="str">
            <v>No</v>
          </cell>
          <cell r="K970">
            <v>1</v>
          </cell>
          <cell r="L970" t="e">
            <v>#REF!</v>
          </cell>
          <cell r="M970" t="e">
            <v>#REF!</v>
          </cell>
          <cell r="N970"/>
          <cell r="O970"/>
          <cell r="P970"/>
          <cell r="Q970"/>
          <cell r="R970" t="str">
            <v>No</v>
          </cell>
          <cell r="S970" t="str">
            <v>C49</v>
          </cell>
          <cell r="T970" t="str">
            <v>SOUTH</v>
          </cell>
          <cell r="U970" t="str">
            <v>深圳</v>
          </cell>
          <cell r="V970" t="str">
            <v>SZ 深圳</v>
          </cell>
          <cell r="W970" t="str">
            <v>JL</v>
          </cell>
          <cell r="X970" t="str">
            <v>JPY</v>
          </cell>
          <cell r="Y970">
            <v>10800000</v>
          </cell>
          <cell r="Z970">
            <v>1</v>
          </cell>
          <cell r="AA970">
            <v>10800000</v>
          </cell>
          <cell r="AB970">
            <v>7.4899999999999994E-2</v>
          </cell>
          <cell r="AC970">
            <v>808919.99999999988</v>
          </cell>
          <cell r="AD970">
            <v>97070.39999999998</v>
          </cell>
          <cell r="AE970">
            <v>0.12</v>
          </cell>
          <cell r="AF970">
            <v>44027</v>
          </cell>
          <cell r="AG970" t="str">
            <v>CIF HK</v>
          </cell>
          <cell r="AI970"/>
          <cell r="AJ970"/>
          <cell r="AK970">
            <v>0.2</v>
          </cell>
          <cell r="AL970">
            <v>2160000</v>
          </cell>
          <cell r="AM970"/>
          <cell r="AN970" t="str">
            <v>No</v>
          </cell>
          <cell r="AO970">
            <v>0.8</v>
          </cell>
          <cell r="AP970">
            <v>8640000</v>
          </cell>
          <cell r="AQ970"/>
          <cell r="AR970"/>
          <cell r="AS970">
            <v>0</v>
          </cell>
          <cell r="AT970">
            <v>0</v>
          </cell>
          <cell r="AV970"/>
          <cell r="AX970" t="str">
            <v>Cancel</v>
          </cell>
          <cell r="AY970"/>
          <cell r="AZ970"/>
          <cell r="BA970" t="str">
            <v>Cancel</v>
          </cell>
        </row>
        <row r="971">
          <cell r="B971">
            <v>821</v>
          </cell>
          <cell r="C971" t="str">
            <v>C49SZX20200089JL-R1</v>
          </cell>
          <cell r="D971" t="str">
            <v>睿视科技</v>
          </cell>
          <cell r="E971" t="str">
            <v>YSM20R(SV)-2</v>
          </cell>
          <cell r="F971" t="str">
            <v>#75724</v>
          </cell>
          <cell r="G971" t="e">
            <v>#REF!</v>
          </cell>
          <cell r="H971" t="e">
            <v>#REF!</v>
          </cell>
          <cell r="I971" t="str">
            <v>L-&gt;R</v>
          </cell>
          <cell r="J971" t="str">
            <v>No</v>
          </cell>
          <cell r="K971">
            <v>1</v>
          </cell>
          <cell r="L971" t="e">
            <v>#REF!</v>
          </cell>
          <cell r="M971" t="e">
            <v>#REF!</v>
          </cell>
          <cell r="N971"/>
          <cell r="O971"/>
          <cell r="P971"/>
          <cell r="Q971"/>
          <cell r="R971" t="str">
            <v>No</v>
          </cell>
          <cell r="S971" t="str">
            <v>C49</v>
          </cell>
          <cell r="T971" t="str">
            <v>SOUTH</v>
          </cell>
          <cell r="U971" t="str">
            <v>深圳</v>
          </cell>
          <cell r="V971" t="str">
            <v>SZ 深圳</v>
          </cell>
          <cell r="W971" t="str">
            <v>JL</v>
          </cell>
          <cell r="X971" t="str">
            <v>JPY</v>
          </cell>
          <cell r="Y971">
            <v>10800000</v>
          </cell>
          <cell r="Z971">
            <v>1</v>
          </cell>
          <cell r="AA971">
            <v>10800000</v>
          </cell>
          <cell r="AB971">
            <v>7.4899999999999994E-2</v>
          </cell>
          <cell r="AC971">
            <v>808919.99999999988</v>
          </cell>
          <cell r="AD971">
            <v>97070.39999999998</v>
          </cell>
          <cell r="AE971">
            <v>0.12</v>
          </cell>
          <cell r="AF971">
            <v>44027</v>
          </cell>
          <cell r="AG971" t="str">
            <v>CIF HK</v>
          </cell>
          <cell r="AI971"/>
          <cell r="AJ971"/>
          <cell r="AK971">
            <v>0.2</v>
          </cell>
          <cell r="AL971">
            <v>2160000</v>
          </cell>
          <cell r="AM971"/>
          <cell r="AN971" t="str">
            <v>No</v>
          </cell>
          <cell r="AO971">
            <v>0.8</v>
          </cell>
          <cell r="AP971">
            <v>8640000</v>
          </cell>
          <cell r="AQ971"/>
          <cell r="AR971"/>
          <cell r="AS971">
            <v>0</v>
          </cell>
          <cell r="AT971">
            <v>0</v>
          </cell>
          <cell r="AV971"/>
          <cell r="AX971" t="str">
            <v>Cancel</v>
          </cell>
          <cell r="AY971"/>
          <cell r="AZ971"/>
          <cell r="BA971" t="str">
            <v>Cancel</v>
          </cell>
        </row>
        <row r="972">
          <cell r="B972">
            <v>822</v>
          </cell>
          <cell r="C972" t="str">
            <v>C49SZX20200089JL-R1</v>
          </cell>
          <cell r="D972" t="str">
            <v>睿视科技</v>
          </cell>
          <cell r="E972" t="str">
            <v>YSM10</v>
          </cell>
          <cell r="F972" t="str">
            <v>#75724</v>
          </cell>
          <cell r="G972" t="e">
            <v>#REF!</v>
          </cell>
          <cell r="H972" t="e">
            <v>#REF!</v>
          </cell>
          <cell r="I972" t="str">
            <v>L-&gt;R</v>
          </cell>
          <cell r="J972" t="str">
            <v>MVC</v>
          </cell>
          <cell r="K972">
            <v>1</v>
          </cell>
          <cell r="L972" t="e">
            <v>#REF!</v>
          </cell>
          <cell r="M972" t="e">
            <v>#REF!</v>
          </cell>
          <cell r="N972"/>
          <cell r="O972"/>
          <cell r="P972"/>
          <cell r="Q972"/>
          <cell r="R972" t="str">
            <v>No</v>
          </cell>
          <cell r="S972" t="str">
            <v>C49</v>
          </cell>
          <cell r="T972" t="str">
            <v>SOUTH</v>
          </cell>
          <cell r="U972" t="str">
            <v>深圳</v>
          </cell>
          <cell r="V972" t="str">
            <v>SZ 深圳</v>
          </cell>
          <cell r="W972" t="str">
            <v>JL</v>
          </cell>
          <cell r="X972" t="str">
            <v>JPY</v>
          </cell>
          <cell r="Y972">
            <v>6896000</v>
          </cell>
          <cell r="Z972">
            <v>1</v>
          </cell>
          <cell r="AA972">
            <v>6896000</v>
          </cell>
          <cell r="AB972">
            <v>7.4899999999999994E-2</v>
          </cell>
          <cell r="AC972">
            <v>516510.39999999997</v>
          </cell>
          <cell r="AD972">
            <v>61981.247999999992</v>
          </cell>
          <cell r="AE972">
            <v>0.12</v>
          </cell>
          <cell r="AF972">
            <v>44027</v>
          </cell>
          <cell r="AG972" t="str">
            <v>CIF HK</v>
          </cell>
          <cell r="AI972"/>
          <cell r="AJ972"/>
          <cell r="AK972">
            <v>0.2</v>
          </cell>
          <cell r="AL972">
            <v>1379200</v>
          </cell>
          <cell r="AM972"/>
          <cell r="AN972" t="str">
            <v>No</v>
          </cell>
          <cell r="AO972">
            <v>0.8</v>
          </cell>
          <cell r="AP972">
            <v>5516800</v>
          </cell>
          <cell r="AQ972"/>
          <cell r="AR972"/>
          <cell r="AS972">
            <v>0</v>
          </cell>
          <cell r="AT972">
            <v>0</v>
          </cell>
          <cell r="AV972"/>
          <cell r="AX972" t="str">
            <v>Cancel</v>
          </cell>
          <cell r="AY972"/>
          <cell r="AZ972"/>
          <cell r="BA972" t="str">
            <v>Cancel</v>
          </cell>
        </row>
        <row r="973">
          <cell r="B973">
            <v>823</v>
          </cell>
          <cell r="C973" t="str">
            <v>C49SZX20200089JL-R1</v>
          </cell>
          <cell r="D973" t="str">
            <v>睿视科技</v>
          </cell>
          <cell r="E973" t="str">
            <v>YSM10</v>
          </cell>
          <cell r="F973" t="str">
            <v>#75724</v>
          </cell>
          <cell r="G973" t="e">
            <v>#REF!</v>
          </cell>
          <cell r="H973" t="e">
            <v>#REF!</v>
          </cell>
          <cell r="I973" t="str">
            <v>L-&gt;R</v>
          </cell>
          <cell r="J973" t="str">
            <v>MVC</v>
          </cell>
          <cell r="K973">
            <v>1</v>
          </cell>
          <cell r="L973" t="e">
            <v>#REF!</v>
          </cell>
          <cell r="M973" t="e">
            <v>#REF!</v>
          </cell>
          <cell r="N973"/>
          <cell r="O973"/>
          <cell r="P973"/>
          <cell r="Q973"/>
          <cell r="R973" t="str">
            <v>No</v>
          </cell>
          <cell r="S973" t="str">
            <v>C49</v>
          </cell>
          <cell r="T973" t="str">
            <v>SOUTH</v>
          </cell>
          <cell r="U973" t="str">
            <v>深圳</v>
          </cell>
          <cell r="V973" t="str">
            <v>SZ 深圳</v>
          </cell>
          <cell r="W973" t="str">
            <v>JL</v>
          </cell>
          <cell r="X973" t="str">
            <v>JPY</v>
          </cell>
          <cell r="Y973">
            <v>6896000</v>
          </cell>
          <cell r="Z973">
            <v>1</v>
          </cell>
          <cell r="AA973">
            <v>6896000</v>
          </cell>
          <cell r="AB973">
            <v>7.4899999999999994E-2</v>
          </cell>
          <cell r="AC973">
            <v>516510.39999999997</v>
          </cell>
          <cell r="AD973">
            <v>61981.247999999992</v>
          </cell>
          <cell r="AE973">
            <v>0.12</v>
          </cell>
          <cell r="AF973">
            <v>44027</v>
          </cell>
          <cell r="AG973" t="str">
            <v>CIF HK</v>
          </cell>
          <cell r="AI973"/>
          <cell r="AJ973"/>
          <cell r="AK973">
            <v>0.2</v>
          </cell>
          <cell r="AL973">
            <v>1379200</v>
          </cell>
          <cell r="AM973"/>
          <cell r="AN973" t="str">
            <v>No</v>
          </cell>
          <cell r="AO973">
            <v>0.8</v>
          </cell>
          <cell r="AP973">
            <v>5516800</v>
          </cell>
          <cell r="AQ973"/>
          <cell r="AR973"/>
          <cell r="AS973">
            <v>0</v>
          </cell>
          <cell r="AT973">
            <v>0</v>
          </cell>
          <cell r="AV973"/>
          <cell r="AX973" t="str">
            <v>Cancel</v>
          </cell>
          <cell r="AY973"/>
          <cell r="AZ973"/>
          <cell r="BA973" t="str">
            <v>Cancel</v>
          </cell>
        </row>
        <row r="974">
          <cell r="B974">
            <v>824</v>
          </cell>
          <cell r="C974" t="str">
            <v>C49SZX20200089JL-R1</v>
          </cell>
          <cell r="D974" t="str">
            <v>睿视科技</v>
          </cell>
          <cell r="E974" t="str">
            <v>YSM10</v>
          </cell>
          <cell r="F974" t="str">
            <v>#75724</v>
          </cell>
          <cell r="G974" t="e">
            <v>#REF!</v>
          </cell>
          <cell r="H974" t="e">
            <v>#REF!</v>
          </cell>
          <cell r="I974" t="str">
            <v>L-&gt;R</v>
          </cell>
          <cell r="J974" t="str">
            <v>MVC</v>
          </cell>
          <cell r="K974">
            <v>1</v>
          </cell>
          <cell r="L974" t="e">
            <v>#REF!</v>
          </cell>
          <cell r="M974" t="e">
            <v>#REF!</v>
          </cell>
          <cell r="N974"/>
          <cell r="O974"/>
          <cell r="P974"/>
          <cell r="Q974"/>
          <cell r="R974" t="str">
            <v>No</v>
          </cell>
          <cell r="S974" t="str">
            <v>C49</v>
          </cell>
          <cell r="T974" t="str">
            <v>SOUTH</v>
          </cell>
          <cell r="U974" t="str">
            <v>深圳</v>
          </cell>
          <cell r="V974" t="str">
            <v>SZ 深圳</v>
          </cell>
          <cell r="W974" t="str">
            <v>JL</v>
          </cell>
          <cell r="X974" t="str">
            <v>JPY</v>
          </cell>
          <cell r="Y974">
            <v>6896000</v>
          </cell>
          <cell r="Z974">
            <v>1</v>
          </cell>
          <cell r="AA974">
            <v>6896000</v>
          </cell>
          <cell r="AB974">
            <v>7.4899999999999994E-2</v>
          </cell>
          <cell r="AC974">
            <v>516510.39999999997</v>
          </cell>
          <cell r="AD974">
            <v>61981.247999999992</v>
          </cell>
          <cell r="AE974">
            <v>0.12</v>
          </cell>
          <cell r="AF974">
            <v>44027</v>
          </cell>
          <cell r="AG974" t="str">
            <v>CIF HK</v>
          </cell>
          <cell r="AI974"/>
          <cell r="AJ974"/>
          <cell r="AK974">
            <v>0.2</v>
          </cell>
          <cell r="AL974">
            <v>1379200</v>
          </cell>
          <cell r="AM974"/>
          <cell r="AN974" t="str">
            <v>No</v>
          </cell>
          <cell r="AO974">
            <v>0.8</v>
          </cell>
          <cell r="AP974">
            <v>5516800</v>
          </cell>
          <cell r="AQ974"/>
          <cell r="AR974"/>
          <cell r="AS974">
            <v>0</v>
          </cell>
          <cell r="AT974">
            <v>0</v>
          </cell>
          <cell r="AV974"/>
          <cell r="AX974" t="str">
            <v>Cancel</v>
          </cell>
          <cell r="AY974"/>
          <cell r="AZ974"/>
          <cell r="BA974" t="str">
            <v>Cancel</v>
          </cell>
        </row>
        <row r="975">
          <cell r="B975">
            <v>825</v>
          </cell>
          <cell r="C975" t="str">
            <v>C49SZX20200089JL-R1</v>
          </cell>
          <cell r="D975" t="str">
            <v>睿视科技</v>
          </cell>
          <cell r="E975" t="str">
            <v>YSM10</v>
          </cell>
          <cell r="F975" t="str">
            <v>#75724</v>
          </cell>
          <cell r="G975" t="e">
            <v>#REF!</v>
          </cell>
          <cell r="H975" t="e">
            <v>#REF!</v>
          </cell>
          <cell r="I975" t="str">
            <v>L-&gt;R</v>
          </cell>
          <cell r="J975" t="str">
            <v>MVC</v>
          </cell>
          <cell r="K975">
            <v>1</v>
          </cell>
          <cell r="L975" t="e">
            <v>#REF!</v>
          </cell>
          <cell r="M975" t="e">
            <v>#REF!</v>
          </cell>
          <cell r="N975"/>
          <cell r="O975"/>
          <cell r="P975"/>
          <cell r="Q975"/>
          <cell r="R975" t="str">
            <v>No</v>
          </cell>
          <cell r="S975" t="str">
            <v>C49</v>
          </cell>
          <cell r="T975" t="str">
            <v>SOUTH</v>
          </cell>
          <cell r="U975" t="str">
            <v>深圳</v>
          </cell>
          <cell r="V975" t="str">
            <v>SZ 深圳</v>
          </cell>
          <cell r="W975" t="str">
            <v>JL</v>
          </cell>
          <cell r="X975" t="str">
            <v>JPY</v>
          </cell>
          <cell r="Y975">
            <v>6896000</v>
          </cell>
          <cell r="Z975">
            <v>1</v>
          </cell>
          <cell r="AA975">
            <v>6896000</v>
          </cell>
          <cell r="AB975">
            <v>7.4899999999999994E-2</v>
          </cell>
          <cell r="AC975">
            <v>516510.39999999997</v>
          </cell>
          <cell r="AD975">
            <v>61981.247999999992</v>
          </cell>
          <cell r="AE975">
            <v>0.12</v>
          </cell>
          <cell r="AF975">
            <v>44027</v>
          </cell>
          <cell r="AG975" t="str">
            <v>CIF HK</v>
          </cell>
          <cell r="AI975"/>
          <cell r="AJ975"/>
          <cell r="AK975">
            <v>0.2</v>
          </cell>
          <cell r="AL975">
            <v>1379200</v>
          </cell>
          <cell r="AM975"/>
          <cell r="AN975" t="str">
            <v>No</v>
          </cell>
          <cell r="AO975">
            <v>0.8</v>
          </cell>
          <cell r="AP975">
            <v>5516800</v>
          </cell>
          <cell r="AQ975"/>
          <cell r="AR975"/>
          <cell r="AS975">
            <v>0</v>
          </cell>
          <cell r="AT975">
            <v>0</v>
          </cell>
          <cell r="AV975"/>
          <cell r="AX975" t="str">
            <v>Cancel</v>
          </cell>
          <cell r="AY975"/>
          <cell r="AZ975"/>
          <cell r="BA975" t="str">
            <v>Cancel</v>
          </cell>
        </row>
        <row r="976">
          <cell r="B976">
            <v>826</v>
          </cell>
          <cell r="C976" t="str">
            <v>C49SZX20200161SS</v>
          </cell>
          <cell r="D976" t="str">
            <v>钧溢电子</v>
          </cell>
          <cell r="E976" t="str">
            <v>YSM10</v>
          </cell>
          <cell r="F976" t="str">
            <v>#04111</v>
          </cell>
          <cell r="G976" t="e">
            <v>#REF!</v>
          </cell>
          <cell r="H976" t="e">
            <v>#REF!</v>
          </cell>
          <cell r="I976" t="str">
            <v>L-&gt;R</v>
          </cell>
          <cell r="J976" t="str">
            <v>MVC</v>
          </cell>
          <cell r="K976">
            <v>1</v>
          </cell>
          <cell r="L976" t="e">
            <v>#N/A</v>
          </cell>
          <cell r="M976" t="e">
            <v>#N/A</v>
          </cell>
          <cell r="N976"/>
          <cell r="O976"/>
          <cell r="P976"/>
          <cell r="Q976"/>
          <cell r="R976" t="str">
            <v>No</v>
          </cell>
          <cell r="S976" t="str">
            <v>C49</v>
          </cell>
          <cell r="T976" t="str">
            <v>SOUTH</v>
          </cell>
          <cell r="U976" t="str">
            <v>深圳</v>
          </cell>
          <cell r="V976" t="str">
            <v>SZ 深圳</v>
          </cell>
          <cell r="W976" t="str">
            <v>SS</v>
          </cell>
          <cell r="X976" t="str">
            <v>JPY</v>
          </cell>
          <cell r="Y976">
            <v>7932000</v>
          </cell>
          <cell r="Z976">
            <v>1</v>
          </cell>
          <cell r="AA976">
            <v>7932000</v>
          </cell>
          <cell r="AB976">
            <v>7.4899999999999994E-2</v>
          </cell>
          <cell r="AC976">
            <v>594106.79999999993</v>
          </cell>
          <cell r="AD976">
            <v>71292.815999999992</v>
          </cell>
          <cell r="AE976">
            <v>0.12</v>
          </cell>
          <cell r="AF976">
            <v>44085</v>
          </cell>
          <cell r="AG976" t="str">
            <v>DAP SZ</v>
          </cell>
          <cell r="AI976"/>
          <cell r="AJ976"/>
          <cell r="AK976">
            <v>0.1</v>
          </cell>
          <cell r="AL976">
            <v>793200</v>
          </cell>
          <cell r="AM976"/>
          <cell r="AN976" t="str">
            <v>No</v>
          </cell>
          <cell r="AO976">
            <v>0.9</v>
          </cell>
          <cell r="AP976">
            <v>7138800</v>
          </cell>
          <cell r="AQ976"/>
          <cell r="AR976"/>
          <cell r="AS976">
            <v>0</v>
          </cell>
          <cell r="AT976">
            <v>0</v>
          </cell>
          <cell r="AV976"/>
          <cell r="AX976" t="str">
            <v>Cancel</v>
          </cell>
          <cell r="AY976"/>
          <cell r="AZ976"/>
          <cell r="BA976"/>
        </row>
        <row r="977">
          <cell r="B977">
            <v>827</v>
          </cell>
          <cell r="C977" t="str">
            <v>C49SZX20200152SX</v>
          </cell>
          <cell r="D977" t="str">
            <v>旭晟</v>
          </cell>
          <cell r="E977" t="str">
            <v>YSM20R-2</v>
          </cell>
          <cell r="F977" t="str">
            <v>#77104</v>
          </cell>
          <cell r="G977" t="e">
            <v>#REF!</v>
          </cell>
          <cell r="H977" t="e">
            <v>#REF!</v>
          </cell>
          <cell r="I977" t="str">
            <v>L-&gt;R</v>
          </cell>
          <cell r="J977" t="str">
            <v>No</v>
          </cell>
          <cell r="K977">
            <v>1</v>
          </cell>
          <cell r="L977">
            <v>110089</v>
          </cell>
          <cell r="M977" t="str">
            <v>NOV 20</v>
          </cell>
          <cell r="N977">
            <v>44161</v>
          </cell>
          <cell r="O977">
            <v>11116470</v>
          </cell>
          <cell r="P977">
            <v>15300000</v>
          </cell>
          <cell r="Q977">
            <v>44139</v>
          </cell>
          <cell r="R977" t="str">
            <v>No</v>
          </cell>
          <cell r="S977" t="str">
            <v>C49</v>
          </cell>
          <cell r="T977" t="str">
            <v>SOUTH</v>
          </cell>
          <cell r="U977" t="str">
            <v>深圳</v>
          </cell>
          <cell r="V977" t="str">
            <v>SZ 深圳</v>
          </cell>
          <cell r="W977" t="str">
            <v>SX</v>
          </cell>
          <cell r="X977" t="str">
            <v>JPY</v>
          </cell>
          <cell r="Y977">
            <v>15300000</v>
          </cell>
          <cell r="Z977">
            <v>1</v>
          </cell>
          <cell r="AA977">
            <v>15300000</v>
          </cell>
          <cell r="AB977">
            <v>7.4899999999999994E-2</v>
          </cell>
          <cell r="AC977">
            <v>1145970</v>
          </cell>
          <cell r="AD977">
            <v>137516.4</v>
          </cell>
          <cell r="AE977">
            <v>0.12</v>
          </cell>
          <cell r="AF977">
            <v>44088</v>
          </cell>
          <cell r="AG977" t="str">
            <v>DAP SZ</v>
          </cell>
          <cell r="AI977"/>
          <cell r="AK977">
            <v>0.3</v>
          </cell>
          <cell r="AL977">
            <v>4590000</v>
          </cell>
          <cell r="AM977">
            <v>44075</v>
          </cell>
          <cell r="AN977" t="str">
            <v>Yes</v>
          </cell>
          <cell r="AO977">
            <v>0.7</v>
          </cell>
          <cell r="AP977">
            <v>10710000</v>
          </cell>
          <cell r="AQ977">
            <v>44136</v>
          </cell>
          <cell r="AR977">
            <v>44159</v>
          </cell>
          <cell r="AS977">
            <v>0</v>
          </cell>
          <cell r="AT977">
            <v>0</v>
          </cell>
          <cell r="AX977" t="str">
            <v>Yes</v>
          </cell>
          <cell r="AZ977" t="str">
            <v>Yes</v>
          </cell>
          <cell r="BA977" t="str">
            <v>Yes</v>
          </cell>
        </row>
        <row r="978">
          <cell r="B978">
            <v>828</v>
          </cell>
          <cell r="C978" t="str">
            <v>C49SZX20200160JL</v>
          </cell>
          <cell r="D978" t="str">
            <v>力通威</v>
          </cell>
          <cell r="E978" t="str">
            <v>YSM10</v>
          </cell>
          <cell r="F978" t="str">
            <v>#18122</v>
          </cell>
          <cell r="G978" t="e">
            <v>#REF!</v>
          </cell>
          <cell r="H978" t="e">
            <v>#REF!</v>
          </cell>
          <cell r="I978" t="str">
            <v>R-&gt;L</v>
          </cell>
          <cell r="J978" t="str">
            <v>MVC+ATS15</v>
          </cell>
          <cell r="K978">
            <v>1</v>
          </cell>
          <cell r="L978">
            <v>110050</v>
          </cell>
          <cell r="M978" t="str">
            <v>NOV 20</v>
          </cell>
          <cell r="N978">
            <v>44159</v>
          </cell>
          <cell r="O978">
            <v>11116460</v>
          </cell>
          <cell r="P978">
            <v>8460000</v>
          </cell>
          <cell r="Q978">
            <v>44139</v>
          </cell>
          <cell r="R978" t="str">
            <v>No</v>
          </cell>
          <cell r="S978" t="str">
            <v>C49</v>
          </cell>
          <cell r="T978" t="str">
            <v>SOUTH</v>
          </cell>
          <cell r="U978" t="str">
            <v>深圳</v>
          </cell>
          <cell r="V978" t="str">
            <v>SZ 深圳</v>
          </cell>
          <cell r="W978" t="str">
            <v>JL</v>
          </cell>
          <cell r="X978" t="str">
            <v>JPY</v>
          </cell>
          <cell r="Y978">
            <v>8460000</v>
          </cell>
          <cell r="Z978">
            <v>1</v>
          </cell>
          <cell r="AA978">
            <v>8460000</v>
          </cell>
          <cell r="AB978">
            <v>7.4899999999999994E-2</v>
          </cell>
          <cell r="AC978">
            <v>633654</v>
          </cell>
          <cell r="AD978">
            <v>76038.48</v>
          </cell>
          <cell r="AE978">
            <v>0.12</v>
          </cell>
          <cell r="AF978">
            <v>44084</v>
          </cell>
          <cell r="AG978" t="str">
            <v>CIF HK</v>
          </cell>
          <cell r="AI978"/>
          <cell r="AK978">
            <v>0.2</v>
          </cell>
          <cell r="AL978">
            <v>1692000</v>
          </cell>
          <cell r="AM978">
            <v>44076</v>
          </cell>
          <cell r="AN978" t="str">
            <v>Yes</v>
          </cell>
          <cell r="AO978">
            <v>0.4</v>
          </cell>
          <cell r="AP978">
            <v>3384000</v>
          </cell>
          <cell r="AQ978">
            <v>44136</v>
          </cell>
          <cell r="AR978">
            <v>44152</v>
          </cell>
          <cell r="AS978">
            <v>0.4</v>
          </cell>
          <cell r="AT978">
            <v>3384000</v>
          </cell>
          <cell r="AU978">
            <v>44136</v>
          </cell>
          <cell r="AV978">
            <v>44155</v>
          </cell>
          <cell r="AX978" t="str">
            <v>Yes</v>
          </cell>
          <cell r="AZ978" t="str">
            <v>Yes</v>
          </cell>
          <cell r="BA978" t="str">
            <v>Yes</v>
          </cell>
        </row>
        <row r="979">
          <cell r="B979">
            <v>829</v>
          </cell>
          <cell r="C979" t="str">
            <v>C49SZX20200160JL</v>
          </cell>
          <cell r="D979" t="str">
            <v>力通威</v>
          </cell>
          <cell r="E979" t="str">
            <v>YSM20R-2</v>
          </cell>
          <cell r="F979" t="str">
            <v>#18122</v>
          </cell>
          <cell r="G979" t="e">
            <v>#REF!</v>
          </cell>
          <cell r="H979" t="e">
            <v>#REF!</v>
          </cell>
          <cell r="I979" t="str">
            <v>L-&gt;R</v>
          </cell>
          <cell r="J979" t="str">
            <v>No</v>
          </cell>
          <cell r="K979">
            <v>1</v>
          </cell>
          <cell r="L979">
            <v>110137</v>
          </cell>
          <cell r="M979" t="str">
            <v>NOV 20</v>
          </cell>
          <cell r="N979">
            <v>44159</v>
          </cell>
          <cell r="O979">
            <v>11116460</v>
          </cell>
          <cell r="P979">
            <v>13500000</v>
          </cell>
          <cell r="Q979">
            <v>44139</v>
          </cell>
          <cell r="R979" t="str">
            <v>No</v>
          </cell>
          <cell r="S979" t="str">
            <v>C49</v>
          </cell>
          <cell r="T979" t="str">
            <v>SOUTH</v>
          </cell>
          <cell r="U979" t="str">
            <v>深圳</v>
          </cell>
          <cell r="V979" t="str">
            <v>SZ 深圳</v>
          </cell>
          <cell r="W979" t="str">
            <v>JL</v>
          </cell>
          <cell r="X979" t="str">
            <v>JPY</v>
          </cell>
          <cell r="Y979">
            <v>13500000</v>
          </cell>
          <cell r="Z979">
            <v>1</v>
          </cell>
          <cell r="AA979">
            <v>13500000</v>
          </cell>
          <cell r="AB979">
            <v>7.4899999999999994E-2</v>
          </cell>
          <cell r="AC979">
            <v>1011149.9999999999</v>
          </cell>
          <cell r="AD979">
            <v>121337.99999999999</v>
          </cell>
          <cell r="AE979">
            <v>0.12</v>
          </cell>
          <cell r="AF979">
            <v>44084</v>
          </cell>
          <cell r="AG979" t="str">
            <v>CIF HK</v>
          </cell>
          <cell r="AI979"/>
          <cell r="AK979">
            <v>0.2</v>
          </cell>
          <cell r="AL979">
            <v>2700000</v>
          </cell>
          <cell r="AM979">
            <v>44077</v>
          </cell>
          <cell r="AN979" t="str">
            <v>Yes</v>
          </cell>
          <cell r="AO979">
            <v>0.4</v>
          </cell>
          <cell r="AP979">
            <v>5400000</v>
          </cell>
          <cell r="AQ979">
            <v>44136</v>
          </cell>
          <cell r="AR979">
            <v>44152</v>
          </cell>
          <cell r="AS979">
            <v>0.4</v>
          </cell>
          <cell r="AT979">
            <v>5400000</v>
          </cell>
          <cell r="AU979">
            <v>44136</v>
          </cell>
          <cell r="AV979">
            <v>44155</v>
          </cell>
          <cell r="AX979" t="str">
            <v>Yes</v>
          </cell>
          <cell r="AZ979" t="str">
            <v>Yes</v>
          </cell>
          <cell r="BA979" t="str">
            <v>Yes</v>
          </cell>
        </row>
        <row r="980">
          <cell r="B980">
            <v>830</v>
          </cell>
          <cell r="C980" t="str">
            <v>C49SZX20200155JD</v>
          </cell>
          <cell r="D980" t="str">
            <v>志华鑫</v>
          </cell>
          <cell r="E980" t="str">
            <v>YSM20R-2</v>
          </cell>
          <cell r="F980" t="str">
            <v>#04993</v>
          </cell>
          <cell r="G980" t="e">
            <v>#REF!</v>
          </cell>
          <cell r="H980" t="e">
            <v>#REF!</v>
          </cell>
          <cell r="I980" t="str">
            <v>L-&gt;R</v>
          </cell>
          <cell r="J980" t="str">
            <v>No</v>
          </cell>
          <cell r="K980">
            <v>1</v>
          </cell>
          <cell r="L980">
            <v>110049</v>
          </cell>
          <cell r="M980" t="str">
            <v>NOV 20</v>
          </cell>
          <cell r="N980">
            <v>44159</v>
          </cell>
          <cell r="O980">
            <v>11100450</v>
          </cell>
          <cell r="P980">
            <v>900000</v>
          </cell>
          <cell r="Q980">
            <v>44136</v>
          </cell>
          <cell r="R980" t="str">
            <v>Yes</v>
          </cell>
          <cell r="S980" t="str">
            <v>C49</v>
          </cell>
          <cell r="T980" t="str">
            <v>SOUTH</v>
          </cell>
          <cell r="U980" t="str">
            <v>深圳</v>
          </cell>
          <cell r="V980" t="str">
            <v>SZ 深圳</v>
          </cell>
          <cell r="W980" t="str">
            <v>JD</v>
          </cell>
          <cell r="X980" t="str">
            <v>RMB</v>
          </cell>
          <cell r="Y980">
            <v>900000</v>
          </cell>
          <cell r="Z980">
            <v>1.1299999999999999</v>
          </cell>
          <cell r="AA980">
            <v>900000</v>
          </cell>
          <cell r="AB980">
            <v>1.1299999999999999</v>
          </cell>
          <cell r="AC980">
            <v>900000</v>
          </cell>
          <cell r="AD980">
            <v>108000</v>
          </cell>
          <cell r="AE980">
            <v>0.12</v>
          </cell>
          <cell r="AF980">
            <v>44090</v>
          </cell>
          <cell r="AG980" t="str">
            <v>含税到厂</v>
          </cell>
          <cell r="AI980"/>
          <cell r="AK980">
            <v>0.1</v>
          </cell>
          <cell r="AL980">
            <v>90000</v>
          </cell>
          <cell r="AM980">
            <v>44075</v>
          </cell>
          <cell r="AN980" t="str">
            <v>Yes</v>
          </cell>
          <cell r="AO980">
            <v>0.9</v>
          </cell>
          <cell r="AP980">
            <v>810000</v>
          </cell>
          <cell r="AQ980">
            <v>44136</v>
          </cell>
          <cell r="AR980">
            <v>44155</v>
          </cell>
          <cell r="AS980">
            <v>0</v>
          </cell>
          <cell r="AT980">
            <v>0</v>
          </cell>
          <cell r="AX980" t="str">
            <v>Yes</v>
          </cell>
          <cell r="AZ980" t="str">
            <v>Yes</v>
          </cell>
          <cell r="BA980" t="str">
            <v>Yes</v>
          </cell>
        </row>
        <row r="981">
          <cell r="B981">
            <v>831</v>
          </cell>
          <cell r="C981" t="str">
            <v>C49SZX20200155JD</v>
          </cell>
          <cell r="D981" t="str">
            <v>志华鑫</v>
          </cell>
          <cell r="E981" t="str">
            <v>YSM20R-2</v>
          </cell>
          <cell r="F981" t="str">
            <v>#04993</v>
          </cell>
          <cell r="G981" t="e">
            <v>#REF!</v>
          </cell>
          <cell r="H981" t="e">
            <v>#REF!</v>
          </cell>
          <cell r="I981" t="str">
            <v>L-&gt;R</v>
          </cell>
          <cell r="J981" t="str">
            <v>No</v>
          </cell>
          <cell r="K981">
            <v>1</v>
          </cell>
          <cell r="L981">
            <v>110049</v>
          </cell>
          <cell r="M981" t="str">
            <v>NOV 20</v>
          </cell>
          <cell r="N981">
            <v>44159</v>
          </cell>
          <cell r="O981">
            <v>11100451</v>
          </cell>
          <cell r="P981">
            <v>900000</v>
          </cell>
          <cell r="Q981">
            <v>44137</v>
          </cell>
          <cell r="R981" t="str">
            <v>Yes</v>
          </cell>
          <cell r="S981" t="str">
            <v>C49</v>
          </cell>
          <cell r="T981" t="str">
            <v>SOUTH</v>
          </cell>
          <cell r="U981" t="str">
            <v>深圳</v>
          </cell>
          <cell r="V981" t="str">
            <v>SZ 深圳</v>
          </cell>
          <cell r="W981" t="str">
            <v>JD</v>
          </cell>
          <cell r="X981" t="str">
            <v>RMB</v>
          </cell>
          <cell r="Y981">
            <v>900000</v>
          </cell>
          <cell r="Z981">
            <v>1.1299999999999999</v>
          </cell>
          <cell r="AA981">
            <v>900000</v>
          </cell>
          <cell r="AB981">
            <v>1.1299999999999999</v>
          </cell>
          <cell r="AC981">
            <v>900000</v>
          </cell>
          <cell r="AD981">
            <v>108000</v>
          </cell>
          <cell r="AE981">
            <v>0.12</v>
          </cell>
          <cell r="AF981">
            <v>44090</v>
          </cell>
          <cell r="AG981" t="str">
            <v>含税到厂</v>
          </cell>
          <cell r="AI981"/>
          <cell r="AK981">
            <v>0.1</v>
          </cell>
          <cell r="AL981">
            <v>90000</v>
          </cell>
          <cell r="AM981">
            <v>44075</v>
          </cell>
          <cell r="AN981" t="str">
            <v>Yes</v>
          </cell>
          <cell r="AO981">
            <v>0.9</v>
          </cell>
          <cell r="AP981">
            <v>810000</v>
          </cell>
          <cell r="AQ981">
            <v>44136</v>
          </cell>
          <cell r="AR981">
            <v>44155</v>
          </cell>
          <cell r="AS981">
            <v>0</v>
          </cell>
          <cell r="AT981">
            <v>0</v>
          </cell>
          <cell r="AX981" t="str">
            <v>Yes</v>
          </cell>
          <cell r="AZ981" t="str">
            <v>Yes</v>
          </cell>
          <cell r="BA981" t="str">
            <v>Yes</v>
          </cell>
        </row>
        <row r="982">
          <cell r="B982">
            <v>832</v>
          </cell>
          <cell r="C982" t="str">
            <v>C49SZX20200155JD</v>
          </cell>
          <cell r="D982" t="str">
            <v>志华鑫</v>
          </cell>
          <cell r="E982" t="str">
            <v>YSM10</v>
          </cell>
          <cell r="F982" t="str">
            <v>#04993</v>
          </cell>
          <cell r="G982" t="e">
            <v>#REF!</v>
          </cell>
          <cell r="H982" t="e">
            <v>#REF!</v>
          </cell>
          <cell r="I982" t="str">
            <v>L-&gt;R</v>
          </cell>
          <cell r="J982" t="str">
            <v>cATS10+MVC</v>
          </cell>
          <cell r="K982">
            <v>1</v>
          </cell>
          <cell r="L982">
            <v>109995</v>
          </cell>
          <cell r="M982" t="str">
            <v>NOV 20</v>
          </cell>
          <cell r="N982">
            <v>44159</v>
          </cell>
          <cell r="O982">
            <v>11100450</v>
          </cell>
          <cell r="P982">
            <v>875000</v>
          </cell>
          <cell r="Q982">
            <v>44138</v>
          </cell>
          <cell r="R982" t="str">
            <v>Yes</v>
          </cell>
          <cell r="S982" t="str">
            <v>C49</v>
          </cell>
          <cell r="T982" t="str">
            <v>SOUTH</v>
          </cell>
          <cell r="U982" t="str">
            <v>深圳</v>
          </cell>
          <cell r="V982" t="str">
            <v>SZ 深圳</v>
          </cell>
          <cell r="W982" t="str">
            <v>JD</v>
          </cell>
          <cell r="X982" t="str">
            <v>RMB</v>
          </cell>
          <cell r="Y982">
            <v>875000</v>
          </cell>
          <cell r="Z982">
            <v>1.1299999999999999</v>
          </cell>
          <cell r="AA982">
            <v>875000</v>
          </cell>
          <cell r="AB982">
            <v>1.1299999999999999</v>
          </cell>
          <cell r="AC982">
            <v>875000</v>
          </cell>
          <cell r="AD982">
            <v>105000</v>
          </cell>
          <cell r="AE982">
            <v>0.12</v>
          </cell>
          <cell r="AF982">
            <v>44090</v>
          </cell>
          <cell r="AG982" t="str">
            <v>含税到厂</v>
          </cell>
          <cell r="AI982"/>
          <cell r="AK982">
            <v>0.1</v>
          </cell>
          <cell r="AL982">
            <v>87500</v>
          </cell>
          <cell r="AM982">
            <v>44075</v>
          </cell>
          <cell r="AN982" t="str">
            <v>Yes</v>
          </cell>
          <cell r="AO982">
            <v>0.9</v>
          </cell>
          <cell r="AP982">
            <v>787500</v>
          </cell>
          <cell r="AQ982">
            <v>44136</v>
          </cell>
          <cell r="AR982">
            <v>44155</v>
          </cell>
          <cell r="AS982">
            <v>0</v>
          </cell>
          <cell r="AT982">
            <v>0</v>
          </cell>
          <cell r="AX982" t="str">
            <v>Yes</v>
          </cell>
          <cell r="AZ982" t="str">
            <v>Yes</v>
          </cell>
          <cell r="BA982" t="str">
            <v>Yes</v>
          </cell>
        </row>
        <row r="983">
          <cell r="B983">
            <v>833</v>
          </cell>
          <cell r="C983" t="str">
            <v>C49SZX20200155JD</v>
          </cell>
          <cell r="D983" t="str">
            <v>志华鑫</v>
          </cell>
          <cell r="E983" t="str">
            <v>YSM10</v>
          </cell>
          <cell r="F983" t="str">
            <v>#04993</v>
          </cell>
          <cell r="G983" t="e">
            <v>#REF!</v>
          </cell>
          <cell r="H983" t="e">
            <v>#REF!</v>
          </cell>
          <cell r="I983" t="str">
            <v>L-&gt;R</v>
          </cell>
          <cell r="J983" t="str">
            <v>MVC</v>
          </cell>
          <cell r="K983">
            <v>1</v>
          </cell>
          <cell r="L983" t="str">
            <v>110050（拆单110179）</v>
          </cell>
          <cell r="M983" t="str">
            <v>NOV 20</v>
          </cell>
          <cell r="N983">
            <v>44159</v>
          </cell>
          <cell r="O983">
            <v>11100451</v>
          </cell>
          <cell r="P983">
            <v>875000</v>
          </cell>
          <cell r="Q983">
            <v>44139</v>
          </cell>
          <cell r="R983" t="str">
            <v>Yes</v>
          </cell>
          <cell r="S983" t="str">
            <v>C49</v>
          </cell>
          <cell r="T983" t="str">
            <v>SOUTH</v>
          </cell>
          <cell r="U983" t="str">
            <v>深圳</v>
          </cell>
          <cell r="V983" t="str">
            <v>SZ 深圳</v>
          </cell>
          <cell r="W983" t="str">
            <v>JD</v>
          </cell>
          <cell r="X983" t="str">
            <v>RMB</v>
          </cell>
          <cell r="Y983">
            <v>875000</v>
          </cell>
          <cell r="Z983">
            <v>1.1299999999999999</v>
          </cell>
          <cell r="AA983">
            <v>875000</v>
          </cell>
          <cell r="AB983">
            <v>1.1299999999999999</v>
          </cell>
          <cell r="AC983">
            <v>875000</v>
          </cell>
          <cell r="AD983">
            <v>105000</v>
          </cell>
          <cell r="AE983">
            <v>0.12</v>
          </cell>
          <cell r="AF983">
            <v>44090</v>
          </cell>
          <cell r="AG983" t="str">
            <v>含税到厂</v>
          </cell>
          <cell r="AI983"/>
          <cell r="AK983">
            <v>0.1</v>
          </cell>
          <cell r="AL983">
            <v>87500</v>
          </cell>
          <cell r="AM983">
            <v>44075</v>
          </cell>
          <cell r="AN983" t="str">
            <v>Yes</v>
          </cell>
          <cell r="AO983">
            <v>0.9</v>
          </cell>
          <cell r="AP983">
            <v>787500</v>
          </cell>
          <cell r="AQ983">
            <v>44136</v>
          </cell>
          <cell r="AR983">
            <v>44155</v>
          </cell>
          <cell r="AS983">
            <v>0</v>
          </cell>
          <cell r="AT983">
            <v>0</v>
          </cell>
          <cell r="AX983" t="str">
            <v>Yes</v>
          </cell>
          <cell r="AZ983" t="str">
            <v>Yes</v>
          </cell>
          <cell r="BA983" t="str">
            <v>Yes</v>
          </cell>
        </row>
        <row r="984">
          <cell r="B984">
            <v>834</v>
          </cell>
          <cell r="C984" t="str">
            <v>C28SZX20200069KC</v>
          </cell>
          <cell r="D984" t="str">
            <v>力通威</v>
          </cell>
          <cell r="E984" t="str">
            <v>Heller 1826MK5</v>
          </cell>
          <cell r="F984" t="str">
            <v>#77384</v>
          </cell>
          <cell r="G984" t="e">
            <v>#REF!</v>
          </cell>
          <cell r="H984" t="e">
            <v>#REF!</v>
          </cell>
          <cell r="I984" t="str">
            <v>R-&gt;L</v>
          </cell>
          <cell r="J984" t="str">
            <v>No</v>
          </cell>
          <cell r="K984">
            <v>1</v>
          </cell>
          <cell r="L984" t="str">
            <v>28P101145</v>
          </cell>
          <cell r="M984">
            <v>44185</v>
          </cell>
          <cell r="R984" t="str">
            <v>No</v>
          </cell>
          <cell r="S984" t="str">
            <v>C28</v>
          </cell>
          <cell r="T984" t="str">
            <v>SOUTH</v>
          </cell>
          <cell r="U984" t="str">
            <v>深圳</v>
          </cell>
          <cell r="V984" t="str">
            <v>SZ 深圳</v>
          </cell>
          <cell r="W984" t="str">
            <v>JL</v>
          </cell>
          <cell r="X984" t="str">
            <v>RMB</v>
          </cell>
          <cell r="Y984">
            <v>248000</v>
          </cell>
          <cell r="Z984">
            <v>1.1299999999999999</v>
          </cell>
          <cell r="AA984">
            <v>248000</v>
          </cell>
          <cell r="AB984">
            <v>1.1299999999999999</v>
          </cell>
          <cell r="AC984">
            <v>248000</v>
          </cell>
          <cell r="AD984">
            <v>29760</v>
          </cell>
          <cell r="AE984">
            <v>0.12</v>
          </cell>
          <cell r="AF984">
            <v>44083</v>
          </cell>
          <cell r="AG984" t="str">
            <v>含税到厂</v>
          </cell>
          <cell r="AI984"/>
          <cell r="AK984">
            <v>0.3</v>
          </cell>
          <cell r="AL984">
            <v>74400</v>
          </cell>
          <cell r="AN984" t="str">
            <v>No</v>
          </cell>
          <cell r="AO984">
            <v>0.7</v>
          </cell>
          <cell r="AP984">
            <v>173600</v>
          </cell>
          <cell r="AS984">
            <v>0</v>
          </cell>
          <cell r="AT984">
            <v>0</v>
          </cell>
          <cell r="AZ984" t="str">
            <v>Yes</v>
          </cell>
        </row>
        <row r="985">
          <cell r="B985">
            <v>835</v>
          </cell>
          <cell r="C985" t="str">
            <v>C49SZX20200159EC</v>
          </cell>
          <cell r="D985" t="str">
            <v>伟志半导体</v>
          </cell>
          <cell r="E985" t="str">
            <v>YSM20R(SV)-2</v>
          </cell>
          <cell r="F985" t="str">
            <v>#05019</v>
          </cell>
          <cell r="G985" t="e">
            <v>#REF!</v>
          </cell>
          <cell r="H985" t="e">
            <v>#REF!</v>
          </cell>
          <cell r="I985" t="str">
            <v>L-&gt;R</v>
          </cell>
          <cell r="J985" t="str">
            <v>No</v>
          </cell>
          <cell r="K985">
            <v>1</v>
          </cell>
          <cell r="L985">
            <v>109996</v>
          </cell>
          <cell r="M985" t="str">
            <v>NOV 20</v>
          </cell>
          <cell r="N985">
            <v>44151</v>
          </cell>
          <cell r="O985">
            <v>11116456</v>
          </cell>
          <cell r="P985">
            <v>11000000</v>
          </cell>
          <cell r="Q985">
            <v>44139</v>
          </cell>
          <cell r="R985" t="str">
            <v>Yes</v>
          </cell>
          <cell r="S985" t="str">
            <v>C49</v>
          </cell>
          <cell r="T985" t="str">
            <v>SOUTH</v>
          </cell>
          <cell r="U985" t="str">
            <v>深圳</v>
          </cell>
          <cell r="V985" t="str">
            <v>SZ 深圳</v>
          </cell>
          <cell r="W985" t="str">
            <v>EC</v>
          </cell>
          <cell r="X985" t="str">
            <v>JPY</v>
          </cell>
          <cell r="Y985">
            <v>11000000</v>
          </cell>
          <cell r="Z985">
            <v>1</v>
          </cell>
          <cell r="AA985">
            <v>11000000</v>
          </cell>
          <cell r="AB985">
            <v>7.4899999999999994E-2</v>
          </cell>
          <cell r="AC985">
            <v>823899.99999999988</v>
          </cell>
          <cell r="AD985">
            <v>98867.999999999985</v>
          </cell>
          <cell r="AE985">
            <v>0.12</v>
          </cell>
          <cell r="AF985">
            <v>44091</v>
          </cell>
          <cell r="AG985" t="str">
            <v>DAP HZ</v>
          </cell>
          <cell r="AI985">
            <v>50000</v>
          </cell>
          <cell r="AJ985">
            <v>44090</v>
          </cell>
          <cell r="AK985">
            <v>0.1</v>
          </cell>
          <cell r="AL985">
            <v>1100000</v>
          </cell>
          <cell r="AM985">
            <v>44136</v>
          </cell>
          <cell r="AN985" t="str">
            <v>Yes</v>
          </cell>
          <cell r="AO985">
            <v>0.9</v>
          </cell>
          <cell r="AP985">
            <v>9900000</v>
          </cell>
          <cell r="AQ985">
            <v>44136</v>
          </cell>
          <cell r="AR985">
            <v>44148</v>
          </cell>
          <cell r="AS985">
            <v>0</v>
          </cell>
          <cell r="AT985">
            <v>0</v>
          </cell>
          <cell r="AX985" t="str">
            <v>Yes</v>
          </cell>
          <cell r="AZ985" t="str">
            <v>Yes</v>
          </cell>
          <cell r="BA985" t="str">
            <v>Yes</v>
          </cell>
        </row>
        <row r="986">
          <cell r="B986">
            <v>836</v>
          </cell>
          <cell r="C986" t="str">
            <v>C49SZX20200167MX-R1</v>
          </cell>
          <cell r="D986" t="str">
            <v>智序</v>
          </cell>
          <cell r="E986" t="str">
            <v>YSM40R-4</v>
          </cell>
          <cell r="F986" t="str">
            <v>#04528</v>
          </cell>
          <cell r="G986" t="e">
            <v>#REF!</v>
          </cell>
          <cell r="H986" t="e">
            <v>#REF!</v>
          </cell>
          <cell r="I986" t="str">
            <v>L-&gt;R</v>
          </cell>
          <cell r="J986" t="str">
            <v>No</v>
          </cell>
          <cell r="K986">
            <v>1</v>
          </cell>
          <cell r="L986" t="e">
            <v>#N/A</v>
          </cell>
          <cell r="M986" t="e">
            <v>#N/A</v>
          </cell>
          <cell r="N986"/>
          <cell r="O986"/>
          <cell r="P986"/>
          <cell r="Q986"/>
          <cell r="R986" t="str">
            <v>No</v>
          </cell>
          <cell r="S986" t="str">
            <v>C49</v>
          </cell>
          <cell r="T986" t="str">
            <v>SOUTH</v>
          </cell>
          <cell r="U986" t="str">
            <v>深圳</v>
          </cell>
          <cell r="V986" t="str">
            <v>SZ 深圳</v>
          </cell>
          <cell r="W986" t="str">
            <v>MX</v>
          </cell>
          <cell r="X986" t="str">
            <v>JPY</v>
          </cell>
          <cell r="Y986">
            <v>19700000</v>
          </cell>
          <cell r="Z986">
            <v>1</v>
          </cell>
          <cell r="AA986">
            <v>19700000</v>
          </cell>
          <cell r="AB986">
            <v>7.4899999999999994E-2</v>
          </cell>
          <cell r="AC986">
            <v>1475530</v>
          </cell>
          <cell r="AD986">
            <v>177063.6</v>
          </cell>
          <cell r="AE986">
            <v>0.12</v>
          </cell>
          <cell r="AF986">
            <v>44126</v>
          </cell>
          <cell r="AG986" t="str">
            <v>DAP SZ</v>
          </cell>
          <cell r="AI986"/>
          <cell r="AJ986"/>
          <cell r="AK986">
            <v>0.1</v>
          </cell>
          <cell r="AL986">
            <v>1970000</v>
          </cell>
          <cell r="AM986">
            <v>44267</v>
          </cell>
          <cell r="AN986" t="str">
            <v>No</v>
          </cell>
          <cell r="AO986">
            <v>0.9</v>
          </cell>
          <cell r="AP986">
            <v>17730000</v>
          </cell>
          <cell r="AQ986"/>
          <cell r="AR986"/>
          <cell r="AS986">
            <v>0</v>
          </cell>
          <cell r="AT986">
            <v>0</v>
          </cell>
          <cell r="AV986"/>
          <cell r="AX986" t="str">
            <v>Cancel</v>
          </cell>
          <cell r="AY986"/>
          <cell r="AZ986"/>
          <cell r="BA986"/>
          <cell r="BB986" t="str">
            <v>2022-6-28合同补充文件删除合同</v>
          </cell>
        </row>
        <row r="987">
          <cell r="B987">
            <v>837</v>
          </cell>
          <cell r="C987" t="str">
            <v>C49SZX20200165SX</v>
          </cell>
          <cell r="D987" t="str">
            <v>益田科技</v>
          </cell>
          <cell r="E987" t="str">
            <v>YSM20R(SV)-2</v>
          </cell>
          <cell r="F987" t="str">
            <v>#04930</v>
          </cell>
          <cell r="G987" t="e">
            <v>#REF!</v>
          </cell>
          <cell r="H987" t="e">
            <v>#REF!</v>
          </cell>
          <cell r="I987" t="str">
            <v>L-&gt;R</v>
          </cell>
          <cell r="J987" t="str">
            <v>No</v>
          </cell>
          <cell r="K987">
            <v>1</v>
          </cell>
          <cell r="L987">
            <v>110048</v>
          </cell>
          <cell r="M987" t="str">
            <v>NOV 20</v>
          </cell>
          <cell r="N987">
            <v>44166</v>
          </cell>
          <cell r="O987">
            <v>11116463</v>
          </cell>
          <cell r="P987">
            <v>11687500</v>
          </cell>
          <cell r="Q987">
            <v>44165</v>
          </cell>
          <cell r="R987" t="str">
            <v>Yes</v>
          </cell>
          <cell r="S987" t="str">
            <v>C49</v>
          </cell>
          <cell r="T987" t="str">
            <v>SOUTH</v>
          </cell>
          <cell r="U987" t="str">
            <v>深圳</v>
          </cell>
          <cell r="V987" t="str">
            <v>SZ 深圳</v>
          </cell>
          <cell r="W987" t="str">
            <v>SX</v>
          </cell>
          <cell r="X987" t="str">
            <v>JPY</v>
          </cell>
          <cell r="Y987">
            <v>11687500</v>
          </cell>
          <cell r="Z987">
            <v>1</v>
          </cell>
          <cell r="AA987">
            <v>11687500</v>
          </cell>
          <cell r="AB987">
            <v>7.4899999999999994E-2</v>
          </cell>
          <cell r="AC987">
            <v>875393.74999999988</v>
          </cell>
          <cell r="AD987">
            <v>105047.24999999999</v>
          </cell>
          <cell r="AE987">
            <v>0.12</v>
          </cell>
          <cell r="AF987">
            <v>44093</v>
          </cell>
          <cell r="AG987" t="str">
            <v>DAP SZ</v>
          </cell>
          <cell r="AI987"/>
          <cell r="AK987">
            <v>0.1</v>
          </cell>
          <cell r="AL987">
            <v>1168750</v>
          </cell>
          <cell r="AM987">
            <v>44075</v>
          </cell>
          <cell r="AN987" t="str">
            <v>Yes</v>
          </cell>
          <cell r="AO987">
            <v>0.9</v>
          </cell>
          <cell r="AP987">
            <v>10518750</v>
          </cell>
          <cell r="AQ987">
            <v>44155</v>
          </cell>
          <cell r="AR987">
            <v>44161</v>
          </cell>
          <cell r="AS987">
            <v>0</v>
          </cell>
          <cell r="AT987">
            <v>0</v>
          </cell>
          <cell r="AX987" t="str">
            <v>Yes</v>
          </cell>
        </row>
        <row r="988">
          <cell r="B988">
            <v>838</v>
          </cell>
          <cell r="C988" t="str">
            <v>C49SZX20200165SX</v>
          </cell>
          <cell r="D988" t="str">
            <v>益田科技</v>
          </cell>
          <cell r="E988" t="str">
            <v>YSM20R(SV)-2</v>
          </cell>
          <cell r="F988" t="str">
            <v>#04930</v>
          </cell>
          <cell r="G988" t="e">
            <v>#REF!</v>
          </cell>
          <cell r="H988" t="e">
            <v>#REF!</v>
          </cell>
          <cell r="I988" t="str">
            <v>L-&gt;R</v>
          </cell>
          <cell r="J988" t="str">
            <v>No</v>
          </cell>
          <cell r="K988">
            <v>1</v>
          </cell>
          <cell r="L988">
            <v>110048</v>
          </cell>
          <cell r="M988" t="str">
            <v>NOV 20</v>
          </cell>
          <cell r="N988">
            <v>44166</v>
          </cell>
          <cell r="O988">
            <v>11116463</v>
          </cell>
          <cell r="P988">
            <v>11687500</v>
          </cell>
          <cell r="Q988">
            <v>44165</v>
          </cell>
          <cell r="R988" t="str">
            <v>Yes</v>
          </cell>
          <cell r="S988" t="str">
            <v>C49</v>
          </cell>
          <cell r="T988" t="str">
            <v>SOUTH</v>
          </cell>
          <cell r="U988" t="str">
            <v>深圳</v>
          </cell>
          <cell r="V988" t="str">
            <v>SZ 深圳</v>
          </cell>
          <cell r="W988" t="str">
            <v>SX</v>
          </cell>
          <cell r="X988" t="str">
            <v>JPY</v>
          </cell>
          <cell r="Y988">
            <v>11687500</v>
          </cell>
          <cell r="Z988">
            <v>1</v>
          </cell>
          <cell r="AA988">
            <v>11687500</v>
          </cell>
          <cell r="AB988">
            <v>7.4899999999999994E-2</v>
          </cell>
          <cell r="AC988">
            <v>875393.74999999988</v>
          </cell>
          <cell r="AD988">
            <v>105047.24999999999</v>
          </cell>
          <cell r="AE988">
            <v>0.12</v>
          </cell>
          <cell r="AF988">
            <v>44093</v>
          </cell>
          <cell r="AG988" t="str">
            <v>DAP SZ</v>
          </cell>
          <cell r="AI988"/>
          <cell r="AK988">
            <v>0.1</v>
          </cell>
          <cell r="AL988">
            <v>1168750</v>
          </cell>
          <cell r="AM988">
            <v>44076</v>
          </cell>
          <cell r="AN988" t="str">
            <v>Yes</v>
          </cell>
          <cell r="AO988">
            <v>0.9</v>
          </cell>
          <cell r="AP988">
            <v>10518750</v>
          </cell>
          <cell r="AQ988">
            <v>44155</v>
          </cell>
          <cell r="AR988">
            <v>44161</v>
          </cell>
          <cell r="AS988">
            <v>0</v>
          </cell>
          <cell r="AT988">
            <v>0</v>
          </cell>
          <cell r="AX988" t="str">
            <v>Yes</v>
          </cell>
        </row>
        <row r="989">
          <cell r="B989">
            <v>839</v>
          </cell>
          <cell r="C989" t="str">
            <v>C49SZX20200165SX</v>
          </cell>
          <cell r="D989" t="str">
            <v>益田科技</v>
          </cell>
          <cell r="E989" t="str">
            <v>YSM20R(SV)-2</v>
          </cell>
          <cell r="F989" t="str">
            <v>#04930</v>
          </cell>
          <cell r="G989" t="e">
            <v>#REF!</v>
          </cell>
          <cell r="H989" t="e">
            <v>#REF!</v>
          </cell>
          <cell r="I989" t="str">
            <v>L-&gt;R</v>
          </cell>
          <cell r="J989" t="str">
            <v>No</v>
          </cell>
          <cell r="K989">
            <v>1</v>
          </cell>
          <cell r="L989">
            <v>110048</v>
          </cell>
          <cell r="M989" t="str">
            <v>NOV 20</v>
          </cell>
          <cell r="N989">
            <v>44166</v>
          </cell>
          <cell r="O989">
            <v>11116463</v>
          </cell>
          <cell r="P989">
            <v>11687500</v>
          </cell>
          <cell r="Q989">
            <v>44165</v>
          </cell>
          <cell r="R989" t="str">
            <v>Yes</v>
          </cell>
          <cell r="S989" t="str">
            <v>C49</v>
          </cell>
          <cell r="T989" t="str">
            <v>SOUTH</v>
          </cell>
          <cell r="U989" t="str">
            <v>深圳</v>
          </cell>
          <cell r="V989" t="str">
            <v>SZ 深圳</v>
          </cell>
          <cell r="W989" t="str">
            <v>SX</v>
          </cell>
          <cell r="X989" t="str">
            <v>JPY</v>
          </cell>
          <cell r="Y989">
            <v>11687500</v>
          </cell>
          <cell r="Z989">
            <v>1</v>
          </cell>
          <cell r="AA989">
            <v>11687500</v>
          </cell>
          <cell r="AB989">
            <v>7.4899999999999994E-2</v>
          </cell>
          <cell r="AC989">
            <v>875393.74999999988</v>
          </cell>
          <cell r="AD989">
            <v>105047.24999999999</v>
          </cell>
          <cell r="AE989">
            <v>0.12</v>
          </cell>
          <cell r="AF989">
            <v>44093</v>
          </cell>
          <cell r="AG989" t="str">
            <v>DAP SZ</v>
          </cell>
          <cell r="AI989"/>
          <cell r="AK989">
            <v>0.1</v>
          </cell>
          <cell r="AL989">
            <v>1168750</v>
          </cell>
          <cell r="AM989">
            <v>44077</v>
          </cell>
          <cell r="AN989" t="str">
            <v>Yes</v>
          </cell>
          <cell r="AO989">
            <v>0.9</v>
          </cell>
          <cell r="AP989">
            <v>10518750</v>
          </cell>
          <cell r="AQ989">
            <v>44155</v>
          </cell>
          <cell r="AR989">
            <v>44161</v>
          </cell>
          <cell r="AS989">
            <v>0</v>
          </cell>
          <cell r="AT989">
            <v>0</v>
          </cell>
          <cell r="AX989" t="str">
            <v>Yes</v>
          </cell>
        </row>
        <row r="990">
          <cell r="B990">
            <v>840</v>
          </cell>
          <cell r="C990" t="str">
            <v>C49SZX20200165SX</v>
          </cell>
          <cell r="D990" t="str">
            <v>益田科技</v>
          </cell>
          <cell r="E990" t="str">
            <v>YSM20R(SV)-2</v>
          </cell>
          <cell r="F990" t="str">
            <v>#04930</v>
          </cell>
          <cell r="G990" t="e">
            <v>#REF!</v>
          </cell>
          <cell r="H990" t="e">
            <v>#REF!</v>
          </cell>
          <cell r="I990" t="str">
            <v>L-&gt;R</v>
          </cell>
          <cell r="J990" t="str">
            <v>No</v>
          </cell>
          <cell r="K990">
            <v>1</v>
          </cell>
          <cell r="L990">
            <v>110048</v>
          </cell>
          <cell r="M990" t="str">
            <v>NOV 20</v>
          </cell>
          <cell r="N990">
            <v>44166</v>
          </cell>
          <cell r="O990">
            <v>11116463</v>
          </cell>
          <cell r="P990">
            <v>11687500</v>
          </cell>
          <cell r="Q990">
            <v>44165</v>
          </cell>
          <cell r="R990" t="str">
            <v>Yes</v>
          </cell>
          <cell r="S990" t="str">
            <v>C49</v>
          </cell>
          <cell r="T990" t="str">
            <v>SOUTH</v>
          </cell>
          <cell r="U990" t="str">
            <v>深圳</v>
          </cell>
          <cell r="V990" t="str">
            <v>SZ 深圳</v>
          </cell>
          <cell r="W990" t="str">
            <v>SX</v>
          </cell>
          <cell r="X990" t="str">
            <v>JPY</v>
          </cell>
          <cell r="Y990">
            <v>11687500</v>
          </cell>
          <cell r="Z990">
            <v>1</v>
          </cell>
          <cell r="AA990">
            <v>11687500</v>
          </cell>
          <cell r="AB990">
            <v>7.4899999999999994E-2</v>
          </cell>
          <cell r="AC990">
            <v>875393.74999999988</v>
          </cell>
          <cell r="AD990">
            <v>105047.24999999999</v>
          </cell>
          <cell r="AE990">
            <v>0.12</v>
          </cell>
          <cell r="AF990">
            <v>44093</v>
          </cell>
          <cell r="AG990" t="str">
            <v>DAP SZ</v>
          </cell>
          <cell r="AI990"/>
          <cell r="AK990">
            <v>0.1</v>
          </cell>
          <cell r="AL990">
            <v>1168750</v>
          </cell>
          <cell r="AM990">
            <v>44078</v>
          </cell>
          <cell r="AN990" t="str">
            <v>Yes</v>
          </cell>
          <cell r="AO990">
            <v>0.9</v>
          </cell>
          <cell r="AP990">
            <v>10518750</v>
          </cell>
          <cell r="AQ990">
            <v>44155</v>
          </cell>
          <cell r="AR990">
            <v>44161</v>
          </cell>
          <cell r="AS990">
            <v>0</v>
          </cell>
          <cell r="AT990">
            <v>0</v>
          </cell>
          <cell r="AX990" t="str">
            <v>Yes</v>
          </cell>
        </row>
        <row r="991">
          <cell r="B991">
            <v>841</v>
          </cell>
          <cell r="C991" t="str">
            <v>C49SZX20200165SX</v>
          </cell>
          <cell r="D991" t="str">
            <v>益田科技</v>
          </cell>
          <cell r="E991" t="str">
            <v>YSM20R(SV)-2</v>
          </cell>
          <cell r="F991" t="str">
            <v>#04930</v>
          </cell>
          <cell r="G991" t="e">
            <v>#REF!</v>
          </cell>
          <cell r="H991" t="e">
            <v>#REF!</v>
          </cell>
          <cell r="I991" t="str">
            <v>R-&gt;L</v>
          </cell>
          <cell r="J991" t="str">
            <v>No</v>
          </cell>
          <cell r="K991">
            <v>1</v>
          </cell>
          <cell r="L991">
            <v>110069</v>
          </cell>
          <cell r="M991" t="str">
            <v>DEC 20</v>
          </cell>
          <cell r="N991">
            <v>44182</v>
          </cell>
          <cell r="O991">
            <v>11116478</v>
          </cell>
          <cell r="P991">
            <v>11687500</v>
          </cell>
          <cell r="Q991">
            <v>44166</v>
          </cell>
          <cell r="R991" t="str">
            <v>Yes</v>
          </cell>
          <cell r="S991" t="str">
            <v>C49</v>
          </cell>
          <cell r="T991" t="str">
            <v>SOUTH</v>
          </cell>
          <cell r="U991" t="str">
            <v>深圳</v>
          </cell>
          <cell r="V991" t="str">
            <v>SZ 深圳</v>
          </cell>
          <cell r="W991" t="str">
            <v>SX</v>
          </cell>
          <cell r="X991" t="str">
            <v>JPY</v>
          </cell>
          <cell r="Y991">
            <v>11687500</v>
          </cell>
          <cell r="Z991">
            <v>1</v>
          </cell>
          <cell r="AA991">
            <v>11687500</v>
          </cell>
          <cell r="AB991">
            <v>7.4899999999999994E-2</v>
          </cell>
          <cell r="AC991">
            <v>875393.74999999988</v>
          </cell>
          <cell r="AD991">
            <v>105047.24999999999</v>
          </cell>
          <cell r="AE991">
            <v>0.12</v>
          </cell>
          <cell r="AF991">
            <v>44093</v>
          </cell>
          <cell r="AG991" t="str">
            <v>DAP SZ</v>
          </cell>
          <cell r="AI991"/>
          <cell r="AK991">
            <v>0.1</v>
          </cell>
          <cell r="AL991">
            <v>1168750</v>
          </cell>
          <cell r="AM991">
            <v>44079</v>
          </cell>
          <cell r="AN991" t="str">
            <v>Yes</v>
          </cell>
          <cell r="AO991">
            <v>0.9</v>
          </cell>
          <cell r="AP991">
            <v>10518750</v>
          </cell>
          <cell r="AQ991">
            <v>44166</v>
          </cell>
          <cell r="AR991">
            <v>44180</v>
          </cell>
          <cell r="AS991">
            <v>0</v>
          </cell>
          <cell r="AT991">
            <v>0</v>
          </cell>
          <cell r="AX991" t="str">
            <v>Yes</v>
          </cell>
          <cell r="AZ991" t="str">
            <v>Yes</v>
          </cell>
        </row>
        <row r="992">
          <cell r="B992">
            <v>842</v>
          </cell>
          <cell r="C992" t="str">
            <v>C49SZX20200165SX</v>
          </cell>
          <cell r="D992" t="str">
            <v>益田科技</v>
          </cell>
          <cell r="E992" t="str">
            <v>YSM20R(SV)-2</v>
          </cell>
          <cell r="F992" t="str">
            <v>#04930</v>
          </cell>
          <cell r="G992" t="e">
            <v>#REF!</v>
          </cell>
          <cell r="H992" t="e">
            <v>#REF!</v>
          </cell>
          <cell r="I992" t="str">
            <v>R-&gt;L</v>
          </cell>
          <cell r="J992" t="str">
            <v>No</v>
          </cell>
          <cell r="K992">
            <v>1</v>
          </cell>
          <cell r="L992">
            <v>110069</v>
          </cell>
          <cell r="M992" t="str">
            <v>DEC 20</v>
          </cell>
          <cell r="N992">
            <v>44182</v>
          </cell>
          <cell r="O992">
            <v>11116478</v>
          </cell>
          <cell r="P992">
            <v>11687500</v>
          </cell>
          <cell r="Q992">
            <v>44167</v>
          </cell>
          <cell r="R992" t="str">
            <v>Yes</v>
          </cell>
          <cell r="S992" t="str">
            <v>C49</v>
          </cell>
          <cell r="T992" t="str">
            <v>SOUTH</v>
          </cell>
          <cell r="U992" t="str">
            <v>深圳</v>
          </cell>
          <cell r="V992" t="str">
            <v>SZ 深圳</v>
          </cell>
          <cell r="W992" t="str">
            <v>SX</v>
          </cell>
          <cell r="X992" t="str">
            <v>JPY</v>
          </cell>
          <cell r="Y992">
            <v>11687500</v>
          </cell>
          <cell r="Z992">
            <v>1</v>
          </cell>
          <cell r="AA992">
            <v>11687500</v>
          </cell>
          <cell r="AB992">
            <v>7.4899999999999994E-2</v>
          </cell>
          <cell r="AC992">
            <v>875393.74999999988</v>
          </cell>
          <cell r="AD992">
            <v>105047.24999999999</v>
          </cell>
          <cell r="AE992">
            <v>0.12</v>
          </cell>
          <cell r="AF992">
            <v>44093</v>
          </cell>
          <cell r="AG992" t="str">
            <v>DAP SZ</v>
          </cell>
          <cell r="AI992"/>
          <cell r="AK992">
            <v>0.1</v>
          </cell>
          <cell r="AL992">
            <v>1168750</v>
          </cell>
          <cell r="AM992">
            <v>44080</v>
          </cell>
          <cell r="AN992" t="str">
            <v>Yes</v>
          </cell>
          <cell r="AO992">
            <v>0.9</v>
          </cell>
          <cell r="AP992">
            <v>10518750</v>
          </cell>
          <cell r="AQ992">
            <v>44166</v>
          </cell>
          <cell r="AR992">
            <v>44180</v>
          </cell>
          <cell r="AS992">
            <v>0</v>
          </cell>
          <cell r="AT992">
            <v>0</v>
          </cell>
          <cell r="AX992" t="str">
            <v>Yes</v>
          </cell>
          <cell r="AZ992" t="str">
            <v>Yes</v>
          </cell>
        </row>
        <row r="993">
          <cell r="B993">
            <v>843</v>
          </cell>
          <cell r="C993" t="str">
            <v>C49SZX20200165SX</v>
          </cell>
          <cell r="D993" t="str">
            <v>益田科技</v>
          </cell>
          <cell r="E993" t="str">
            <v>YSM20R(SV)-2</v>
          </cell>
          <cell r="F993" t="str">
            <v>#04930</v>
          </cell>
          <cell r="G993" t="e">
            <v>#REF!</v>
          </cell>
          <cell r="H993" t="e">
            <v>#REF!</v>
          </cell>
          <cell r="I993" t="str">
            <v>R-&gt;L</v>
          </cell>
          <cell r="J993" t="str">
            <v>No</v>
          </cell>
          <cell r="K993">
            <v>1</v>
          </cell>
          <cell r="L993">
            <v>110069</v>
          </cell>
          <cell r="M993" t="str">
            <v>DEC 20</v>
          </cell>
          <cell r="N993">
            <v>44182</v>
          </cell>
          <cell r="O993">
            <v>11116478</v>
          </cell>
          <cell r="P993">
            <v>11687500</v>
          </cell>
          <cell r="Q993">
            <v>44168</v>
          </cell>
          <cell r="R993" t="str">
            <v>Yes</v>
          </cell>
          <cell r="S993" t="str">
            <v>C49</v>
          </cell>
          <cell r="T993" t="str">
            <v>SOUTH</v>
          </cell>
          <cell r="U993" t="str">
            <v>深圳</v>
          </cell>
          <cell r="V993" t="str">
            <v>SZ 深圳</v>
          </cell>
          <cell r="W993" t="str">
            <v>SX</v>
          </cell>
          <cell r="X993" t="str">
            <v>JPY</v>
          </cell>
          <cell r="Y993">
            <v>11687500</v>
          </cell>
          <cell r="Z993">
            <v>1</v>
          </cell>
          <cell r="AA993">
            <v>11687500</v>
          </cell>
          <cell r="AB993">
            <v>7.4899999999999994E-2</v>
          </cell>
          <cell r="AC993">
            <v>875393.74999999988</v>
          </cell>
          <cell r="AD993">
            <v>105047.24999999999</v>
          </cell>
          <cell r="AE993">
            <v>0.12</v>
          </cell>
          <cell r="AF993">
            <v>44093</v>
          </cell>
          <cell r="AG993" t="str">
            <v>DAP SZ</v>
          </cell>
          <cell r="AI993"/>
          <cell r="AK993">
            <v>0.1</v>
          </cell>
          <cell r="AL993">
            <v>1168750</v>
          </cell>
          <cell r="AM993">
            <v>44081</v>
          </cell>
          <cell r="AN993" t="str">
            <v>Yes</v>
          </cell>
          <cell r="AO993">
            <v>0.9</v>
          </cell>
          <cell r="AP993">
            <v>10518750</v>
          </cell>
          <cell r="AQ993">
            <v>44166</v>
          </cell>
          <cell r="AR993">
            <v>44180</v>
          </cell>
          <cell r="AS993">
            <v>0</v>
          </cell>
          <cell r="AT993">
            <v>0</v>
          </cell>
          <cell r="AX993" t="str">
            <v>Yes</v>
          </cell>
          <cell r="AZ993" t="str">
            <v>Yes</v>
          </cell>
        </row>
        <row r="994">
          <cell r="B994">
            <v>844</v>
          </cell>
          <cell r="C994" t="str">
            <v>C49SZX20200165SX</v>
          </cell>
          <cell r="D994" t="str">
            <v>益田科技</v>
          </cell>
          <cell r="E994" t="str">
            <v>YSM20R(SV)-2</v>
          </cell>
          <cell r="F994" t="str">
            <v>#04930</v>
          </cell>
          <cell r="G994" t="e">
            <v>#REF!</v>
          </cell>
          <cell r="H994" t="e">
            <v>#REF!</v>
          </cell>
          <cell r="I994" t="str">
            <v>R-&gt;L</v>
          </cell>
          <cell r="J994" t="str">
            <v>No</v>
          </cell>
          <cell r="K994">
            <v>1</v>
          </cell>
          <cell r="L994">
            <v>110069</v>
          </cell>
          <cell r="M994" t="str">
            <v>DEC 20</v>
          </cell>
          <cell r="N994">
            <v>44182</v>
          </cell>
          <cell r="O994">
            <v>11116478</v>
          </cell>
          <cell r="P994">
            <v>11687500</v>
          </cell>
          <cell r="Q994">
            <v>44169</v>
          </cell>
          <cell r="R994" t="str">
            <v>Yes</v>
          </cell>
          <cell r="S994" t="str">
            <v>C49</v>
          </cell>
          <cell r="T994" t="str">
            <v>SOUTH</v>
          </cell>
          <cell r="U994" t="str">
            <v>深圳</v>
          </cell>
          <cell r="V994" t="str">
            <v>SZ 深圳</v>
          </cell>
          <cell r="W994" t="str">
            <v>SX</v>
          </cell>
          <cell r="X994" t="str">
            <v>JPY</v>
          </cell>
          <cell r="Y994">
            <v>11687500</v>
          </cell>
          <cell r="Z994">
            <v>1</v>
          </cell>
          <cell r="AA994">
            <v>11687500</v>
          </cell>
          <cell r="AB994">
            <v>7.4899999999999994E-2</v>
          </cell>
          <cell r="AC994">
            <v>875393.74999999988</v>
          </cell>
          <cell r="AD994">
            <v>105047.24999999999</v>
          </cell>
          <cell r="AE994">
            <v>0.12</v>
          </cell>
          <cell r="AF994">
            <v>44093</v>
          </cell>
          <cell r="AG994" t="str">
            <v>DAP SZ</v>
          </cell>
          <cell r="AI994"/>
          <cell r="AK994">
            <v>0.1</v>
          </cell>
          <cell r="AL994">
            <v>1168750</v>
          </cell>
          <cell r="AM994">
            <v>44082</v>
          </cell>
          <cell r="AN994" t="str">
            <v>Yes</v>
          </cell>
          <cell r="AO994">
            <v>0.9</v>
          </cell>
          <cell r="AP994">
            <v>10518750</v>
          </cell>
          <cell r="AQ994">
            <v>44166</v>
          </cell>
          <cell r="AR994">
            <v>44180</v>
          </cell>
          <cell r="AS994">
            <v>0</v>
          </cell>
          <cell r="AT994">
            <v>0</v>
          </cell>
          <cell r="AX994" t="str">
            <v>Yes</v>
          </cell>
          <cell r="AZ994" t="str">
            <v>Yes</v>
          </cell>
        </row>
        <row r="995">
          <cell r="B995">
            <v>845</v>
          </cell>
          <cell r="C995" t="str">
            <v>C49SZX20200159JY</v>
          </cell>
          <cell r="D995" t="str">
            <v>昊亮迪</v>
          </cell>
          <cell r="E995" t="str">
            <v>YSM10</v>
          </cell>
          <cell r="F995" t="str">
            <v>#73562</v>
          </cell>
          <cell r="G995" t="e">
            <v>#REF!</v>
          </cell>
          <cell r="H995" t="e">
            <v>#REF!</v>
          </cell>
          <cell r="I995" t="str">
            <v>L-&gt;R</v>
          </cell>
          <cell r="J995" t="str">
            <v>No</v>
          </cell>
          <cell r="K995">
            <v>1</v>
          </cell>
          <cell r="L995">
            <v>110043</v>
          </cell>
          <cell r="M995" t="str">
            <v>NOV 20</v>
          </cell>
          <cell r="N995">
            <v>44160</v>
          </cell>
          <cell r="O995">
            <v>11116457</v>
          </cell>
          <cell r="P995">
            <v>6600000</v>
          </cell>
          <cell r="Q995">
            <v>44136</v>
          </cell>
          <cell r="R995" t="str">
            <v>No</v>
          </cell>
          <cell r="S995" t="str">
            <v>C49</v>
          </cell>
          <cell r="T995" t="str">
            <v>SOUTH</v>
          </cell>
          <cell r="U995" t="str">
            <v>深圳</v>
          </cell>
          <cell r="V995" t="str">
            <v>SZ 深圳</v>
          </cell>
          <cell r="W995" t="str">
            <v>JY</v>
          </cell>
          <cell r="X995" t="str">
            <v>JPY</v>
          </cell>
          <cell r="Y995">
            <v>6600000</v>
          </cell>
          <cell r="Z995">
            <v>1</v>
          </cell>
          <cell r="AA995">
            <v>6600000</v>
          </cell>
          <cell r="AB995">
            <v>7.4899999999999994E-2</v>
          </cell>
          <cell r="AC995">
            <v>494339.99999999994</v>
          </cell>
          <cell r="AD995">
            <v>59320.799999999988</v>
          </cell>
          <cell r="AE995">
            <v>0.12</v>
          </cell>
          <cell r="AF995">
            <v>44085</v>
          </cell>
          <cell r="AG995" t="str">
            <v>DAP SZ</v>
          </cell>
          <cell r="AI995"/>
          <cell r="AK995">
            <v>0.1</v>
          </cell>
          <cell r="AL995">
            <v>660000</v>
          </cell>
          <cell r="AM995">
            <v>44099</v>
          </cell>
          <cell r="AN995" t="str">
            <v>Yes</v>
          </cell>
          <cell r="AO995">
            <v>0.9</v>
          </cell>
          <cell r="AP995">
            <v>5940000</v>
          </cell>
          <cell r="AQ995">
            <v>44136</v>
          </cell>
          <cell r="AR995">
            <v>44155</v>
          </cell>
          <cell r="AS995">
            <v>0</v>
          </cell>
          <cell r="AT995">
            <v>0</v>
          </cell>
          <cell r="AX995" t="str">
            <v>Yes</v>
          </cell>
          <cell r="AZ995" t="str">
            <v>Yes</v>
          </cell>
          <cell r="BA995" t="str">
            <v>Yes</v>
          </cell>
        </row>
        <row r="996">
          <cell r="B996">
            <v>846</v>
          </cell>
          <cell r="C996" t="str">
            <v>C28SZX20200084KC</v>
          </cell>
          <cell r="D996" t="str">
            <v>鑫联科</v>
          </cell>
          <cell r="E996" t="str">
            <v>YSi-V</v>
          </cell>
          <cell r="F996" t="str">
            <v>#28263</v>
          </cell>
          <cell r="G996" t="e">
            <v>#REF!</v>
          </cell>
          <cell r="H996" t="e">
            <v>#REF!</v>
          </cell>
          <cell r="I996" t="str">
            <v>R-&gt;L</v>
          </cell>
          <cell r="J996" t="str">
            <v>No</v>
          </cell>
          <cell r="K996">
            <v>1</v>
          </cell>
          <cell r="L996">
            <v>110081</v>
          </cell>
          <cell r="M996" t="str">
            <v>DEC 20</v>
          </cell>
          <cell r="R996" t="str">
            <v>No</v>
          </cell>
          <cell r="S996" t="str">
            <v>C28</v>
          </cell>
          <cell r="T996" t="str">
            <v>SOUTH</v>
          </cell>
          <cell r="U996" t="str">
            <v>深圳</v>
          </cell>
          <cell r="V996" t="str">
            <v>SZ 深圳</v>
          </cell>
          <cell r="W996" t="str">
            <v>KC</v>
          </cell>
          <cell r="X996" t="str">
            <v>RMB</v>
          </cell>
          <cell r="Y996">
            <v>420000</v>
          </cell>
          <cell r="Z996">
            <v>1.1299999999999999</v>
          </cell>
          <cell r="AA996">
            <v>420000</v>
          </cell>
          <cell r="AB996">
            <v>1.1299999999999999</v>
          </cell>
          <cell r="AC996">
            <v>420000</v>
          </cell>
          <cell r="AD996">
            <v>50400</v>
          </cell>
          <cell r="AE996">
            <v>0.12</v>
          </cell>
          <cell r="AF996">
            <v>44091</v>
          </cell>
          <cell r="AG996" t="str">
            <v>含税到厂</v>
          </cell>
          <cell r="AI996"/>
          <cell r="AL996">
            <v>0</v>
          </cell>
          <cell r="AN996" t="str">
            <v>No</v>
          </cell>
          <cell r="AO996">
            <v>0.7</v>
          </cell>
          <cell r="AP996">
            <v>294000</v>
          </cell>
          <cell r="AS996">
            <v>0</v>
          </cell>
          <cell r="AT996">
            <v>0</v>
          </cell>
        </row>
        <row r="997">
          <cell r="B997">
            <v>847</v>
          </cell>
          <cell r="C997" t="str">
            <v>C49SZX20200168SX</v>
          </cell>
          <cell r="D997" t="str">
            <v>利速达</v>
          </cell>
          <cell r="E997" t="str">
            <v>YSM10</v>
          </cell>
          <cell r="F997" t="str">
            <v>#82124</v>
          </cell>
          <cell r="G997" t="e">
            <v>#REF!</v>
          </cell>
          <cell r="H997" t="e">
            <v>#REF!</v>
          </cell>
          <cell r="I997" t="str">
            <v>L-&gt;R</v>
          </cell>
          <cell r="J997" t="str">
            <v>MVC</v>
          </cell>
          <cell r="K997">
            <v>1</v>
          </cell>
          <cell r="L997" t="str">
            <v>110025(拆单110117)</v>
          </cell>
          <cell r="M997" t="str">
            <v>NOV 20</v>
          </cell>
          <cell r="N997">
            <v>44145</v>
          </cell>
          <cell r="O997">
            <v>11100446</v>
          </cell>
          <cell r="P997">
            <v>518000</v>
          </cell>
          <cell r="Q997">
            <v>44136</v>
          </cell>
          <cell r="R997" t="str">
            <v>No</v>
          </cell>
          <cell r="S997" t="str">
            <v>C49</v>
          </cell>
          <cell r="T997" t="str">
            <v>SOUTH</v>
          </cell>
          <cell r="U997" t="str">
            <v>深圳</v>
          </cell>
          <cell r="V997" t="str">
            <v>SZ 深圳</v>
          </cell>
          <cell r="W997" t="str">
            <v>SX</v>
          </cell>
          <cell r="X997" t="str">
            <v>RMB</v>
          </cell>
          <cell r="Y997">
            <v>518000</v>
          </cell>
          <cell r="Z997">
            <v>1.1299999999999999</v>
          </cell>
          <cell r="AA997">
            <v>518000</v>
          </cell>
          <cell r="AB997">
            <v>1.1299999999999999</v>
          </cell>
          <cell r="AC997">
            <v>518000</v>
          </cell>
          <cell r="AD997">
            <v>62160</v>
          </cell>
          <cell r="AE997">
            <v>0.12</v>
          </cell>
          <cell r="AF997">
            <v>44096</v>
          </cell>
          <cell r="AG997" t="str">
            <v>含税到厂</v>
          </cell>
          <cell r="AI997"/>
          <cell r="AK997">
            <v>0.1</v>
          </cell>
          <cell r="AL997">
            <v>51800</v>
          </cell>
          <cell r="AM997">
            <v>44099</v>
          </cell>
          <cell r="AN997" t="str">
            <v>Yes</v>
          </cell>
          <cell r="AO997">
            <v>0.9</v>
          </cell>
          <cell r="AP997">
            <v>466200</v>
          </cell>
          <cell r="AQ997">
            <v>44136</v>
          </cell>
          <cell r="AR997">
            <v>44140</v>
          </cell>
          <cell r="AS997">
            <v>0</v>
          </cell>
          <cell r="AT997">
            <v>0</v>
          </cell>
          <cell r="AX997" t="str">
            <v>Yes</v>
          </cell>
          <cell r="AZ997" t="str">
            <v>Yes</v>
          </cell>
        </row>
        <row r="998">
          <cell r="B998">
            <v>848</v>
          </cell>
          <cell r="C998" t="str">
            <v>C49SZX20200172SS</v>
          </cell>
          <cell r="D998" t="str">
            <v>钧溢电子</v>
          </cell>
          <cell r="E998" t="str">
            <v>YSM20R-2</v>
          </cell>
          <cell r="F998" t="str">
            <v>#04111</v>
          </cell>
          <cell r="G998" t="e">
            <v>#REF!</v>
          </cell>
          <cell r="H998" t="e">
            <v>#REF!</v>
          </cell>
          <cell r="I998" t="str">
            <v>L-&gt;R</v>
          </cell>
          <cell r="J998" t="str">
            <v>MVC</v>
          </cell>
          <cell r="K998">
            <v>1</v>
          </cell>
          <cell r="L998" t="e">
            <v>#N/A</v>
          </cell>
          <cell r="M998" t="e">
            <v>#N/A</v>
          </cell>
          <cell r="N998"/>
          <cell r="O998"/>
          <cell r="P998"/>
          <cell r="Q998"/>
          <cell r="R998" t="str">
            <v>No</v>
          </cell>
          <cell r="S998" t="str">
            <v>C49</v>
          </cell>
          <cell r="T998" t="str">
            <v>SOUTH</v>
          </cell>
          <cell r="U998" t="str">
            <v>深圳</v>
          </cell>
          <cell r="V998" t="str">
            <v>SZ 深圳</v>
          </cell>
          <cell r="W998" t="str">
            <v>SS</v>
          </cell>
          <cell r="X998" t="str">
            <v>JPY</v>
          </cell>
          <cell r="Y998">
            <v>12306000</v>
          </cell>
          <cell r="Z998">
            <v>1</v>
          </cell>
          <cell r="AA998">
            <v>12306000</v>
          </cell>
          <cell r="AB998">
            <v>7.4899999999999994E-2</v>
          </cell>
          <cell r="AC998">
            <v>921719.39999999991</v>
          </cell>
          <cell r="AD998">
            <v>110606.32799999998</v>
          </cell>
          <cell r="AE998">
            <v>0.12</v>
          </cell>
          <cell r="AF998">
            <v>44096</v>
          </cell>
          <cell r="AG998" t="str">
            <v>DAP SZ</v>
          </cell>
          <cell r="AI998"/>
          <cell r="AJ998"/>
          <cell r="AK998"/>
          <cell r="AL998"/>
          <cell r="AM998"/>
          <cell r="AN998" t="str">
            <v>No</v>
          </cell>
          <cell r="AO998">
            <v>0.9</v>
          </cell>
          <cell r="AP998">
            <v>11075400</v>
          </cell>
          <cell r="AQ998"/>
          <cell r="AR998"/>
          <cell r="AS998">
            <v>0</v>
          </cell>
          <cell r="AT998">
            <v>0</v>
          </cell>
          <cell r="AV998"/>
          <cell r="AX998" t="str">
            <v>Cancel</v>
          </cell>
          <cell r="AY998"/>
          <cell r="AZ998"/>
          <cell r="BA998"/>
        </row>
        <row r="999">
          <cell r="B999">
            <v>849</v>
          </cell>
          <cell r="C999" t="str">
            <v>C49SZX20200167EC</v>
          </cell>
          <cell r="D999" t="str">
            <v>海红天远</v>
          </cell>
          <cell r="E999" t="str">
            <v>YSM10</v>
          </cell>
          <cell r="F999" t="str">
            <v>#04726</v>
          </cell>
          <cell r="G999" t="e">
            <v>#REF!</v>
          </cell>
          <cell r="H999" t="e">
            <v>#REF!</v>
          </cell>
          <cell r="I999" t="str">
            <v>L-&gt;R</v>
          </cell>
          <cell r="J999" t="str">
            <v>MVC+ATS15</v>
          </cell>
          <cell r="K999">
            <v>1</v>
          </cell>
          <cell r="L999">
            <v>110050</v>
          </cell>
          <cell r="M999" t="str">
            <v>DEC 20</v>
          </cell>
          <cell r="N999">
            <v>44179</v>
          </cell>
          <cell r="O999">
            <v>11116477</v>
          </cell>
          <cell r="P999">
            <v>10000000</v>
          </cell>
          <cell r="Q999">
            <v>44166</v>
          </cell>
          <cell r="R999" t="str">
            <v>No</v>
          </cell>
          <cell r="S999" t="str">
            <v>C49</v>
          </cell>
          <cell r="T999" t="str">
            <v>SOUTH</v>
          </cell>
          <cell r="U999" t="str">
            <v>深圳</v>
          </cell>
          <cell r="V999" t="str">
            <v>SZ 深圳</v>
          </cell>
          <cell r="W999" t="str">
            <v>EC</v>
          </cell>
          <cell r="X999" t="str">
            <v>JPY</v>
          </cell>
          <cell r="Y999">
            <v>10000000</v>
          </cell>
          <cell r="Z999">
            <v>1</v>
          </cell>
          <cell r="AA999">
            <v>10000000</v>
          </cell>
          <cell r="AB999">
            <v>7.4899999999999994E-2</v>
          </cell>
          <cell r="AC999">
            <v>749000</v>
          </cell>
          <cell r="AD999">
            <v>89880</v>
          </cell>
          <cell r="AE999">
            <v>0.12</v>
          </cell>
          <cell r="AF999">
            <v>44092</v>
          </cell>
          <cell r="AG999" t="str">
            <v>CIF HK</v>
          </cell>
          <cell r="AI999"/>
          <cell r="AK999">
            <v>0.2</v>
          </cell>
          <cell r="AL999">
            <v>2000000</v>
          </cell>
          <cell r="AM999">
            <v>44103</v>
          </cell>
          <cell r="AN999" t="str">
            <v>Yes</v>
          </cell>
          <cell r="AO999">
            <v>0.8</v>
          </cell>
          <cell r="AP999">
            <v>8000000</v>
          </cell>
          <cell r="AQ999">
            <v>44172</v>
          </cell>
          <cell r="AR999">
            <v>44172</v>
          </cell>
          <cell r="AS999">
            <v>0</v>
          </cell>
          <cell r="AT999">
            <v>0</v>
          </cell>
          <cell r="AX999" t="str">
            <v>Yes</v>
          </cell>
          <cell r="AZ999" t="str">
            <v>Yes</v>
          </cell>
          <cell r="BA999" t="str">
            <v>Yes</v>
          </cell>
        </row>
        <row r="1000">
          <cell r="B1000">
            <v>850</v>
          </cell>
          <cell r="C1000" t="str">
            <v>C49SZX20200167EC</v>
          </cell>
          <cell r="D1000" t="str">
            <v>海红天远</v>
          </cell>
          <cell r="E1000" t="str">
            <v>YSM10</v>
          </cell>
          <cell r="F1000" t="str">
            <v>#04726</v>
          </cell>
          <cell r="G1000" t="e">
            <v>#REF!</v>
          </cell>
          <cell r="H1000" t="e">
            <v>#REF!</v>
          </cell>
          <cell r="I1000" t="str">
            <v>L-&gt;R</v>
          </cell>
          <cell r="J1000" t="str">
            <v>No</v>
          </cell>
          <cell r="K1000">
            <v>1</v>
          </cell>
          <cell r="L1000">
            <v>110026</v>
          </cell>
          <cell r="M1000" t="str">
            <v>DEC 20</v>
          </cell>
          <cell r="N1000">
            <v>44179</v>
          </cell>
          <cell r="O1000">
            <v>11116477</v>
          </cell>
          <cell r="P1000">
            <v>10000000</v>
          </cell>
          <cell r="Q1000">
            <v>44167</v>
          </cell>
          <cell r="R1000" t="str">
            <v>No</v>
          </cell>
          <cell r="S1000" t="str">
            <v>C49</v>
          </cell>
          <cell r="T1000" t="str">
            <v>SOUTH</v>
          </cell>
          <cell r="U1000" t="str">
            <v>深圳</v>
          </cell>
          <cell r="V1000" t="str">
            <v>SZ 深圳</v>
          </cell>
          <cell r="W1000" t="str">
            <v>EC</v>
          </cell>
          <cell r="X1000" t="str">
            <v>JPY</v>
          </cell>
          <cell r="Y1000">
            <v>10000000</v>
          </cell>
          <cell r="Z1000">
            <v>1</v>
          </cell>
          <cell r="AA1000">
            <v>10000000</v>
          </cell>
          <cell r="AB1000">
            <v>7.4899999999999994E-2</v>
          </cell>
          <cell r="AC1000">
            <v>749000</v>
          </cell>
          <cell r="AD1000">
            <v>89880</v>
          </cell>
          <cell r="AE1000">
            <v>0.12</v>
          </cell>
          <cell r="AF1000">
            <v>44092</v>
          </cell>
          <cell r="AG1000" t="str">
            <v>CIF HK</v>
          </cell>
          <cell r="AI1000"/>
          <cell r="AK1000">
            <v>0.2</v>
          </cell>
          <cell r="AL1000">
            <v>2000000</v>
          </cell>
          <cell r="AM1000">
            <v>44103</v>
          </cell>
          <cell r="AN1000" t="str">
            <v>Yes</v>
          </cell>
          <cell r="AO1000">
            <v>0.8</v>
          </cell>
          <cell r="AP1000">
            <v>8000000</v>
          </cell>
          <cell r="AQ1000">
            <v>44172</v>
          </cell>
          <cell r="AR1000">
            <v>44172</v>
          </cell>
          <cell r="AS1000">
            <v>0</v>
          </cell>
          <cell r="AT1000">
            <v>0</v>
          </cell>
          <cell r="AX1000" t="str">
            <v>Yes</v>
          </cell>
          <cell r="AZ1000" t="str">
            <v>Yes</v>
          </cell>
          <cell r="BA1000" t="str">
            <v>Yes</v>
          </cell>
        </row>
        <row r="1001">
          <cell r="B1001">
            <v>851</v>
          </cell>
          <cell r="C1001" t="str">
            <v>C49SZX20200167EC</v>
          </cell>
          <cell r="D1001" t="str">
            <v>海红天远</v>
          </cell>
          <cell r="E1001" t="str">
            <v>YSM20R(SV)-2</v>
          </cell>
          <cell r="F1001" t="str">
            <v>#04726</v>
          </cell>
          <cell r="G1001" t="e">
            <v>#REF!</v>
          </cell>
          <cell r="H1001" t="e">
            <v>#REF!</v>
          </cell>
          <cell r="I1001" t="str">
            <v>L-&gt;R</v>
          </cell>
          <cell r="J1001" t="str">
            <v>No</v>
          </cell>
          <cell r="K1001">
            <v>1</v>
          </cell>
          <cell r="L1001">
            <v>110069</v>
          </cell>
          <cell r="M1001" t="str">
            <v>DEC 20</v>
          </cell>
          <cell r="N1001">
            <v>44179</v>
          </cell>
          <cell r="O1001">
            <v>11116477</v>
          </cell>
          <cell r="P1001">
            <v>14200000</v>
          </cell>
          <cell r="Q1001">
            <v>44168</v>
          </cell>
          <cell r="R1001" t="str">
            <v>No</v>
          </cell>
          <cell r="S1001" t="str">
            <v>C49</v>
          </cell>
          <cell r="T1001" t="str">
            <v>SOUTH</v>
          </cell>
          <cell r="U1001" t="str">
            <v>深圳</v>
          </cell>
          <cell r="V1001" t="str">
            <v>SZ 深圳</v>
          </cell>
          <cell r="W1001" t="str">
            <v>EC</v>
          </cell>
          <cell r="X1001" t="str">
            <v>JPY</v>
          </cell>
          <cell r="Y1001">
            <v>14200000</v>
          </cell>
          <cell r="Z1001">
            <v>1</v>
          </cell>
          <cell r="AA1001">
            <v>14200000</v>
          </cell>
          <cell r="AB1001">
            <v>7.4899999999999994E-2</v>
          </cell>
          <cell r="AC1001">
            <v>1063580</v>
          </cell>
          <cell r="AD1001">
            <v>127629.59999999999</v>
          </cell>
          <cell r="AE1001">
            <v>0.12</v>
          </cell>
          <cell r="AF1001">
            <v>44092</v>
          </cell>
          <cell r="AG1001" t="str">
            <v>CIF HK</v>
          </cell>
          <cell r="AI1001"/>
          <cell r="AK1001">
            <v>0.2</v>
          </cell>
          <cell r="AL1001">
            <v>2840000</v>
          </cell>
          <cell r="AM1001">
            <v>44103</v>
          </cell>
          <cell r="AN1001" t="str">
            <v>Yes</v>
          </cell>
          <cell r="AO1001">
            <v>0.8</v>
          </cell>
          <cell r="AP1001">
            <v>11360000</v>
          </cell>
          <cell r="AQ1001">
            <v>44172</v>
          </cell>
          <cell r="AR1001">
            <v>44172</v>
          </cell>
          <cell r="AS1001">
            <v>0</v>
          </cell>
          <cell r="AT1001">
            <v>0</v>
          </cell>
          <cell r="AX1001" t="str">
            <v>Yes</v>
          </cell>
          <cell r="AZ1001" t="str">
            <v>Yes</v>
          </cell>
          <cell r="BA1001" t="str">
            <v>Yes</v>
          </cell>
        </row>
        <row r="1002">
          <cell r="B1002">
            <v>852</v>
          </cell>
          <cell r="C1002" t="str">
            <v>C49SZX20200177DY</v>
          </cell>
          <cell r="D1002" t="str">
            <v>擎宇精工</v>
          </cell>
          <cell r="E1002" t="str">
            <v>YSM20R-2</v>
          </cell>
          <cell r="F1002" t="str">
            <v>#04994</v>
          </cell>
          <cell r="G1002" t="e">
            <v>#REF!</v>
          </cell>
          <cell r="H1002" t="e">
            <v>#REF!</v>
          </cell>
          <cell r="I1002" t="str">
            <v>L-&gt;R</v>
          </cell>
          <cell r="J1002" t="str">
            <v>No</v>
          </cell>
          <cell r="K1002">
            <v>1</v>
          </cell>
          <cell r="L1002">
            <v>110047</v>
          </cell>
          <cell r="M1002" t="str">
            <v>OCT 20</v>
          </cell>
          <cell r="N1002">
            <v>44127</v>
          </cell>
          <cell r="O1002">
            <v>11100436</v>
          </cell>
          <cell r="P1002">
            <v>982000</v>
          </cell>
          <cell r="Q1002">
            <v>44105</v>
          </cell>
          <cell r="R1002" t="str">
            <v>Yes</v>
          </cell>
          <cell r="S1002" t="str">
            <v>C49</v>
          </cell>
          <cell r="T1002" t="str">
            <v>SOUTH</v>
          </cell>
          <cell r="U1002" t="str">
            <v>深圳</v>
          </cell>
          <cell r="V1002" t="str">
            <v>SZ 深圳</v>
          </cell>
          <cell r="W1002" t="str">
            <v>DY</v>
          </cell>
          <cell r="X1002" t="str">
            <v>RMB</v>
          </cell>
          <cell r="Y1002">
            <v>982000</v>
          </cell>
          <cell r="Z1002">
            <v>1.1299999999999999</v>
          </cell>
          <cell r="AA1002">
            <v>982000</v>
          </cell>
          <cell r="AB1002">
            <v>1.1299999999999999</v>
          </cell>
          <cell r="AC1002">
            <v>982000</v>
          </cell>
          <cell r="AD1002">
            <v>117840</v>
          </cell>
          <cell r="AE1002">
            <v>0.12</v>
          </cell>
          <cell r="AF1002">
            <v>44098</v>
          </cell>
          <cell r="AG1002" t="str">
            <v>含税到厂</v>
          </cell>
          <cell r="AI1002"/>
          <cell r="AK1002">
            <v>0.1</v>
          </cell>
          <cell r="AL1002">
            <v>98200</v>
          </cell>
          <cell r="AM1002">
            <v>44075</v>
          </cell>
          <cell r="AN1002" t="str">
            <v>Yes</v>
          </cell>
          <cell r="AO1002">
            <v>0.9</v>
          </cell>
          <cell r="AP1002">
            <v>883800</v>
          </cell>
          <cell r="AQ1002">
            <v>44105</v>
          </cell>
          <cell r="AR1002">
            <v>44124</v>
          </cell>
          <cell r="AS1002">
            <v>0</v>
          </cell>
          <cell r="AT1002">
            <v>0</v>
          </cell>
          <cell r="AX1002" t="str">
            <v>Yes</v>
          </cell>
          <cell r="AZ1002" t="str">
            <v>Yes</v>
          </cell>
          <cell r="BA1002" t="str">
            <v>Yes</v>
          </cell>
        </row>
        <row r="1003">
          <cell r="B1003">
            <v>853</v>
          </cell>
          <cell r="C1003" t="str">
            <v>C49SZX20200176SX</v>
          </cell>
          <cell r="D1003" t="str">
            <v>兴开泰</v>
          </cell>
          <cell r="E1003" t="str">
            <v>YSM20R-2</v>
          </cell>
          <cell r="F1003" t="str">
            <v>#46222</v>
          </cell>
          <cell r="G1003" t="e">
            <v>#REF!</v>
          </cell>
          <cell r="H1003" t="e">
            <v>#REF!</v>
          </cell>
          <cell r="I1003" t="str">
            <v>L-&gt;R</v>
          </cell>
          <cell r="J1003" t="str">
            <v>No</v>
          </cell>
          <cell r="K1003">
            <v>1</v>
          </cell>
          <cell r="L1003">
            <v>110384</v>
          </cell>
          <cell r="M1003" t="str">
            <v>JUL 21</v>
          </cell>
          <cell r="N1003">
            <v>44382</v>
          </cell>
          <cell r="O1003">
            <v>11116625</v>
          </cell>
          <cell r="P1003">
            <v>15000000</v>
          </cell>
          <cell r="Q1003">
            <v>44396</v>
          </cell>
          <cell r="R1003" t="str">
            <v>No</v>
          </cell>
          <cell r="S1003" t="str">
            <v>C49</v>
          </cell>
          <cell r="T1003" t="str">
            <v>SOUTH</v>
          </cell>
          <cell r="U1003" t="str">
            <v>深圳</v>
          </cell>
          <cell r="V1003" t="str">
            <v>SZ 深圳</v>
          </cell>
          <cell r="W1003" t="str">
            <v>SX</v>
          </cell>
          <cell r="X1003" t="str">
            <v>JPY</v>
          </cell>
          <cell r="Y1003">
            <v>15000000</v>
          </cell>
          <cell r="Z1003">
            <v>1</v>
          </cell>
          <cell r="AA1003">
            <v>15000000</v>
          </cell>
          <cell r="AB1003">
            <v>7.4899999999999994E-2</v>
          </cell>
          <cell r="AC1003">
            <v>1123500</v>
          </cell>
          <cell r="AD1003">
            <v>134820</v>
          </cell>
          <cell r="AE1003">
            <v>0.12</v>
          </cell>
          <cell r="AF1003">
            <v>44098</v>
          </cell>
          <cell r="AG1003" t="str">
            <v>DAP DG</v>
          </cell>
          <cell r="AI1003"/>
          <cell r="AK1003" t="str">
            <v>agree</v>
          </cell>
          <cell r="AL1003">
            <v>3691089</v>
          </cell>
          <cell r="AM1003">
            <v>44286</v>
          </cell>
          <cell r="AN1003" t="str">
            <v>Yes</v>
          </cell>
          <cell r="AO1003">
            <v>0.9</v>
          </cell>
          <cell r="AP1003">
            <v>13500000</v>
          </cell>
          <cell r="AQ1003">
            <v>44375</v>
          </cell>
          <cell r="AR1003">
            <v>44375</v>
          </cell>
          <cell r="AS1003">
            <v>0</v>
          </cell>
          <cell r="AT1003">
            <v>0</v>
          </cell>
          <cell r="AX1003" t="str">
            <v>Yes</v>
          </cell>
          <cell r="AZ1003" t="str">
            <v>Yes</v>
          </cell>
          <cell r="BA1003" t="str">
            <v>Yes</v>
          </cell>
        </row>
        <row r="1004">
          <cell r="B1004">
            <v>854</v>
          </cell>
          <cell r="C1004" t="str">
            <v>C49SZX20200176SX</v>
          </cell>
          <cell r="D1004" t="str">
            <v>兴开泰</v>
          </cell>
          <cell r="E1004" t="str">
            <v>YSM20R-2</v>
          </cell>
          <cell r="F1004" t="str">
            <v>#46222</v>
          </cell>
          <cell r="G1004" t="e">
            <v>#REF!</v>
          </cell>
          <cell r="H1004" t="e">
            <v>#REF!</v>
          </cell>
          <cell r="I1004" t="str">
            <v>R-&gt;L</v>
          </cell>
          <cell r="J1004" t="str">
            <v>No</v>
          </cell>
          <cell r="K1004">
            <v>1</v>
          </cell>
          <cell r="L1004">
            <v>110384</v>
          </cell>
          <cell r="M1004" t="str">
            <v>JUL 21</v>
          </cell>
          <cell r="N1004">
            <v>44382</v>
          </cell>
          <cell r="O1004">
            <v>11116625</v>
          </cell>
          <cell r="P1004">
            <v>15000000</v>
          </cell>
          <cell r="Q1004">
            <v>44396</v>
          </cell>
          <cell r="R1004" t="str">
            <v>No</v>
          </cell>
          <cell r="S1004" t="str">
            <v>C49</v>
          </cell>
          <cell r="T1004" t="str">
            <v>SOUTH</v>
          </cell>
          <cell r="U1004" t="str">
            <v>深圳</v>
          </cell>
          <cell r="V1004" t="str">
            <v>SZ 深圳</v>
          </cell>
          <cell r="W1004" t="str">
            <v>SX</v>
          </cell>
          <cell r="X1004" t="str">
            <v>JPY</v>
          </cell>
          <cell r="Y1004">
            <v>15000000</v>
          </cell>
          <cell r="Z1004">
            <v>1</v>
          </cell>
          <cell r="AA1004">
            <v>15000000</v>
          </cell>
          <cell r="AB1004">
            <v>7.4899999999999994E-2</v>
          </cell>
          <cell r="AC1004">
            <v>1123500</v>
          </cell>
          <cell r="AD1004">
            <v>134820</v>
          </cell>
          <cell r="AE1004">
            <v>0.12</v>
          </cell>
          <cell r="AF1004">
            <v>44098</v>
          </cell>
          <cell r="AG1004" t="str">
            <v>DAP DG</v>
          </cell>
          <cell r="AI1004"/>
          <cell r="AK1004"/>
          <cell r="AL1004"/>
          <cell r="AM1004">
            <v>44286</v>
          </cell>
          <cell r="AN1004" t="str">
            <v>Yes</v>
          </cell>
          <cell r="AO1004">
            <v>0.9</v>
          </cell>
          <cell r="AP1004">
            <v>13500000</v>
          </cell>
          <cell r="AQ1004">
            <v>44375</v>
          </cell>
          <cell r="AR1004">
            <v>44375</v>
          </cell>
          <cell r="AS1004">
            <v>0</v>
          </cell>
          <cell r="AT1004">
            <v>0</v>
          </cell>
          <cell r="AX1004" t="str">
            <v>Yes</v>
          </cell>
          <cell r="AZ1004" t="str">
            <v>Yes</v>
          </cell>
          <cell r="BA1004" t="str">
            <v>Yes</v>
          </cell>
        </row>
        <row r="1005">
          <cell r="B1005">
            <v>855</v>
          </cell>
          <cell r="C1005" t="str">
            <v>C49SZX20200176SX</v>
          </cell>
          <cell r="D1005" t="str">
            <v>兴开泰（合同吸嘴已发）</v>
          </cell>
          <cell r="E1005" t="str">
            <v>YSM10</v>
          </cell>
          <cell r="F1005" t="str">
            <v>#46222</v>
          </cell>
          <cell r="G1005" t="e">
            <v>#REF!</v>
          </cell>
          <cell r="H1005" t="e">
            <v>#REF!</v>
          </cell>
          <cell r="I1005" t="str">
            <v>L-&gt;R</v>
          </cell>
          <cell r="J1005" t="str">
            <v>MVC</v>
          </cell>
          <cell r="K1005">
            <v>1</v>
          </cell>
          <cell r="L1005">
            <v>110383</v>
          </cell>
          <cell r="M1005" t="str">
            <v>JUL 21</v>
          </cell>
          <cell r="R1005" t="str">
            <v>No</v>
          </cell>
          <cell r="S1005" t="str">
            <v>C49</v>
          </cell>
          <cell r="T1005" t="str">
            <v>SOUTH</v>
          </cell>
          <cell r="U1005" t="str">
            <v>深圳</v>
          </cell>
          <cell r="V1005" t="str">
            <v>SZ 深圳</v>
          </cell>
          <cell r="W1005" t="str">
            <v>SX</v>
          </cell>
          <cell r="X1005" t="str">
            <v>JPY</v>
          </cell>
          <cell r="Y1005">
            <v>6800000</v>
          </cell>
          <cell r="Z1005">
            <v>1</v>
          </cell>
          <cell r="AA1005">
            <v>6800000</v>
          </cell>
          <cell r="AB1005">
            <v>7.4899999999999994E-2</v>
          </cell>
          <cell r="AC1005">
            <v>509319.99999999994</v>
          </cell>
          <cell r="AD1005">
            <v>61118.399999999994</v>
          </cell>
          <cell r="AE1005">
            <v>0.12</v>
          </cell>
          <cell r="AF1005">
            <v>44098</v>
          </cell>
          <cell r="AG1005" t="str">
            <v>DAP DG</v>
          </cell>
          <cell r="AI1005"/>
          <cell r="AK1005"/>
          <cell r="AL1005"/>
          <cell r="AM1005">
            <v>44286</v>
          </cell>
          <cell r="AN1005" t="str">
            <v>Yes</v>
          </cell>
          <cell r="AO1005">
            <v>0.9</v>
          </cell>
          <cell r="AP1005">
            <v>6120000</v>
          </cell>
          <cell r="AQ1005">
            <v>44375</v>
          </cell>
          <cell r="AR1005">
            <v>44375</v>
          </cell>
          <cell r="AS1005">
            <v>0</v>
          </cell>
          <cell r="AT1005">
            <v>0</v>
          </cell>
          <cell r="AX1005" t="str">
            <v>Yes</v>
          </cell>
          <cell r="AZ1005" t="str">
            <v>Yes</v>
          </cell>
          <cell r="BA1005" t="str">
            <v>Yes</v>
          </cell>
        </row>
        <row r="1006">
          <cell r="B1006">
            <v>856</v>
          </cell>
          <cell r="C1006" t="str">
            <v>C49SZX20200151RX</v>
          </cell>
          <cell r="D1006" t="str">
            <v>富艾斯</v>
          </cell>
          <cell r="E1006" t="str">
            <v>YSM10</v>
          </cell>
          <cell r="F1006" t="str">
            <v>NA</v>
          </cell>
          <cell r="G1006" t="e">
            <v>#REF!</v>
          </cell>
          <cell r="H1006" t="e">
            <v>#REF!</v>
          </cell>
          <cell r="I1006" t="str">
            <v>L-&gt;R</v>
          </cell>
          <cell r="J1006" t="str">
            <v>MVC</v>
          </cell>
          <cell r="K1006">
            <v>1</v>
          </cell>
          <cell r="L1006" t="e">
            <v>#N/A</v>
          </cell>
          <cell r="M1006" t="e">
            <v>#N/A</v>
          </cell>
          <cell r="N1006"/>
          <cell r="O1006"/>
          <cell r="P1006"/>
          <cell r="Q1006"/>
          <cell r="R1006" t="str">
            <v>Yes</v>
          </cell>
          <cell r="S1006" t="str">
            <v>C49</v>
          </cell>
          <cell r="T1006" t="str">
            <v>SOUTH</v>
          </cell>
          <cell r="U1006" t="str">
            <v>深圳</v>
          </cell>
          <cell r="V1006" t="str">
            <v>SZ 深圳</v>
          </cell>
          <cell r="W1006" t="str">
            <v>RX</v>
          </cell>
          <cell r="X1006" t="str">
            <v>JPY</v>
          </cell>
          <cell r="Y1006">
            <v>6850000</v>
          </cell>
          <cell r="Z1006">
            <v>1</v>
          </cell>
          <cell r="AA1006">
            <v>6850000</v>
          </cell>
          <cell r="AB1006">
            <v>7.4899999999999994E-2</v>
          </cell>
          <cell r="AC1006">
            <v>513064.99999999994</v>
          </cell>
          <cell r="AD1006">
            <v>61567.799999999988</v>
          </cell>
          <cell r="AE1006">
            <v>0.12</v>
          </cell>
          <cell r="AF1006">
            <v>44100</v>
          </cell>
          <cell r="AG1006" t="str">
            <v>DAP SZ</v>
          </cell>
          <cell r="AI1006" t="str">
            <v>CNY 30,000</v>
          </cell>
          <cell r="AJ1006">
            <v>44102</v>
          </cell>
          <cell r="AK1006"/>
          <cell r="AL1006">
            <v>0</v>
          </cell>
          <cell r="AM1006">
            <v>44119</v>
          </cell>
          <cell r="AN1006" t="str">
            <v>Yes</v>
          </cell>
          <cell r="AO1006">
            <v>0.9</v>
          </cell>
          <cell r="AP1006">
            <v>6165000</v>
          </cell>
          <cell r="AQ1006"/>
          <cell r="AR1006"/>
          <cell r="AS1006">
            <v>0</v>
          </cell>
          <cell r="AT1006">
            <v>0</v>
          </cell>
          <cell r="AV1006"/>
          <cell r="AX1006" t="str">
            <v>Cancel</v>
          </cell>
          <cell r="AY1006"/>
          <cell r="AZ1006"/>
          <cell r="BA1006"/>
          <cell r="BB1006" t="str">
            <v>定金已退回</v>
          </cell>
        </row>
        <row r="1007">
          <cell r="B1007">
            <v>857</v>
          </cell>
          <cell r="C1007" t="str">
            <v>C49SZX20200178SS</v>
          </cell>
          <cell r="D1007" t="str">
            <v>顺鸿达</v>
          </cell>
          <cell r="E1007" t="str">
            <v>YSM10</v>
          </cell>
          <cell r="F1007" t="str">
            <v>#03645</v>
          </cell>
          <cell r="G1007" t="e">
            <v>#REF!</v>
          </cell>
          <cell r="H1007" t="e">
            <v>#REF!</v>
          </cell>
          <cell r="I1007" t="str">
            <v>R-&gt;L</v>
          </cell>
          <cell r="J1007" t="str">
            <v>MVC</v>
          </cell>
          <cell r="K1007">
            <v>1</v>
          </cell>
          <cell r="L1007">
            <v>110122</v>
          </cell>
          <cell r="M1007" t="str">
            <v>DEC 20</v>
          </cell>
          <cell r="N1007">
            <v>44196</v>
          </cell>
          <cell r="O1007">
            <v>11116488</v>
          </cell>
          <cell r="P1007">
            <v>8500000</v>
          </cell>
          <cell r="Q1007">
            <v>44166</v>
          </cell>
          <cell r="R1007" t="str">
            <v>Yes</v>
          </cell>
          <cell r="S1007" t="str">
            <v>C49</v>
          </cell>
          <cell r="T1007" t="str">
            <v>SOUTH</v>
          </cell>
          <cell r="U1007" t="str">
            <v>深圳</v>
          </cell>
          <cell r="V1007" t="str">
            <v>SZ 深圳</v>
          </cell>
          <cell r="W1007" t="str">
            <v>SS</v>
          </cell>
          <cell r="X1007" t="str">
            <v>JPY</v>
          </cell>
          <cell r="Y1007">
            <v>8500000</v>
          </cell>
          <cell r="Z1007">
            <v>1</v>
          </cell>
          <cell r="AA1007">
            <v>8500000</v>
          </cell>
          <cell r="AB1007">
            <v>7.4899999999999994E-2</v>
          </cell>
          <cell r="AC1007">
            <v>636650</v>
          </cell>
          <cell r="AD1007">
            <v>76398</v>
          </cell>
          <cell r="AE1007">
            <v>0.12</v>
          </cell>
          <cell r="AF1007">
            <v>44100</v>
          </cell>
          <cell r="AG1007" t="str">
            <v>DAP DG</v>
          </cell>
          <cell r="AI1007">
            <v>30000</v>
          </cell>
          <cell r="AJ1007">
            <v>44104</v>
          </cell>
          <cell r="AK1007">
            <v>0.1</v>
          </cell>
          <cell r="AL1007">
            <v>850000</v>
          </cell>
          <cell r="AM1007">
            <v>44136</v>
          </cell>
          <cell r="AN1007" t="str">
            <v>Yes</v>
          </cell>
          <cell r="AO1007">
            <v>0.9</v>
          </cell>
          <cell r="AP1007">
            <v>7650000</v>
          </cell>
          <cell r="AS1007">
            <v>0</v>
          </cell>
          <cell r="AT1007">
            <v>0</v>
          </cell>
          <cell r="AX1007" t="str">
            <v>Yes</v>
          </cell>
          <cell r="AZ1007" t="str">
            <v>Yes</v>
          </cell>
        </row>
        <row r="1008">
          <cell r="B1008">
            <v>858</v>
          </cell>
          <cell r="C1008" t="str">
            <v>C49SZX20200169DZ</v>
          </cell>
          <cell r="D1008" t="str">
            <v>兆晖</v>
          </cell>
          <cell r="E1008" t="str">
            <v>YSM10</v>
          </cell>
          <cell r="F1008" t="str">
            <v>#34562</v>
          </cell>
          <cell r="G1008" t="e">
            <v>#REF!</v>
          </cell>
          <cell r="H1008" t="e">
            <v>#REF!</v>
          </cell>
          <cell r="I1008" t="str">
            <v>L-&gt;R</v>
          </cell>
          <cell r="J1008" t="str">
            <v>MVC</v>
          </cell>
          <cell r="K1008">
            <v>1</v>
          </cell>
          <cell r="L1008">
            <v>110044</v>
          </cell>
          <cell r="M1008" t="str">
            <v>DEC 20</v>
          </cell>
          <cell r="N1008">
            <v>44174</v>
          </cell>
          <cell r="O1008">
            <v>11116474</v>
          </cell>
          <cell r="P1008">
            <v>7672500</v>
          </cell>
          <cell r="Q1008">
            <v>44166</v>
          </cell>
          <cell r="R1008" t="str">
            <v>No</v>
          </cell>
          <cell r="S1008" t="str">
            <v>C49</v>
          </cell>
          <cell r="T1008" t="str">
            <v>SOUTH</v>
          </cell>
          <cell r="U1008" t="str">
            <v>深圳</v>
          </cell>
          <cell r="V1008" t="str">
            <v>SZ 深圳</v>
          </cell>
          <cell r="W1008" t="str">
            <v>DZ</v>
          </cell>
          <cell r="X1008" t="str">
            <v>JPY</v>
          </cell>
          <cell r="Y1008">
            <v>7672500</v>
          </cell>
          <cell r="Z1008">
            <v>1</v>
          </cell>
          <cell r="AA1008">
            <v>7672500</v>
          </cell>
          <cell r="AB1008">
            <v>7.4899999999999994E-2</v>
          </cell>
          <cell r="AC1008">
            <v>574670.25</v>
          </cell>
          <cell r="AD1008">
            <v>68960.429999999993</v>
          </cell>
          <cell r="AE1008">
            <v>0.12</v>
          </cell>
          <cell r="AF1008">
            <v>44101</v>
          </cell>
          <cell r="AG1008" t="str">
            <v>CIF HK</v>
          </cell>
          <cell r="AI1008" t="str">
            <v>CNY 100,000</v>
          </cell>
          <cell r="AJ1008">
            <v>44103</v>
          </cell>
          <cell r="AK1008">
            <v>0.2</v>
          </cell>
          <cell r="AL1008">
            <v>1534500</v>
          </cell>
          <cell r="AM1008">
            <v>44105</v>
          </cell>
          <cell r="AN1008" t="str">
            <v>Yes</v>
          </cell>
          <cell r="AO1008">
            <v>0.8</v>
          </cell>
          <cell r="AP1008">
            <v>6138000</v>
          </cell>
          <cell r="AQ1008">
            <v>44173</v>
          </cell>
          <cell r="AR1008">
            <v>44173</v>
          </cell>
          <cell r="AS1008">
            <v>0</v>
          </cell>
          <cell r="AT1008">
            <v>0</v>
          </cell>
          <cell r="AX1008" t="str">
            <v>Yes</v>
          </cell>
          <cell r="AZ1008" t="str">
            <v>Yes</v>
          </cell>
        </row>
        <row r="1009">
          <cell r="B1009">
            <v>859</v>
          </cell>
          <cell r="C1009" t="str">
            <v>C49SZX20200169DZ</v>
          </cell>
          <cell r="D1009" t="str">
            <v>兆晖</v>
          </cell>
          <cell r="E1009" t="str">
            <v>YSM10</v>
          </cell>
          <cell r="F1009" t="str">
            <v>#34562</v>
          </cell>
          <cell r="G1009" t="e">
            <v>#REF!</v>
          </cell>
          <cell r="H1009" t="e">
            <v>#REF!</v>
          </cell>
          <cell r="I1009" t="str">
            <v>L-&gt;R</v>
          </cell>
          <cell r="J1009" t="str">
            <v>MVC</v>
          </cell>
          <cell r="K1009">
            <v>1</v>
          </cell>
          <cell r="L1009">
            <v>110044</v>
          </cell>
          <cell r="M1009" t="str">
            <v>DEC 20</v>
          </cell>
          <cell r="N1009">
            <v>44174</v>
          </cell>
          <cell r="O1009">
            <v>11116474</v>
          </cell>
          <cell r="P1009">
            <v>7672500</v>
          </cell>
          <cell r="Q1009">
            <v>44167</v>
          </cell>
          <cell r="R1009" t="str">
            <v>No</v>
          </cell>
          <cell r="S1009" t="str">
            <v>C49</v>
          </cell>
          <cell r="T1009" t="str">
            <v>SOUTH</v>
          </cell>
          <cell r="U1009" t="str">
            <v>深圳</v>
          </cell>
          <cell r="V1009" t="str">
            <v>SZ 深圳</v>
          </cell>
          <cell r="W1009" t="str">
            <v>DZ</v>
          </cell>
          <cell r="X1009" t="str">
            <v>JPY</v>
          </cell>
          <cell r="Y1009">
            <v>7672500</v>
          </cell>
          <cell r="Z1009">
            <v>1</v>
          </cell>
          <cell r="AA1009">
            <v>7672500</v>
          </cell>
          <cell r="AB1009">
            <v>7.4899999999999994E-2</v>
          </cell>
          <cell r="AC1009">
            <v>574670.25</v>
          </cell>
          <cell r="AD1009">
            <v>68960.429999999993</v>
          </cell>
          <cell r="AE1009">
            <v>0.12</v>
          </cell>
          <cell r="AF1009">
            <v>44101</v>
          </cell>
          <cell r="AG1009" t="str">
            <v>CIF HK</v>
          </cell>
          <cell r="AI1009"/>
          <cell r="AJ1009"/>
          <cell r="AK1009">
            <v>0.2</v>
          </cell>
          <cell r="AL1009">
            <v>1534500</v>
          </cell>
          <cell r="AM1009">
            <v>44106</v>
          </cell>
          <cell r="AN1009" t="str">
            <v>Yes</v>
          </cell>
          <cell r="AO1009">
            <v>0.8</v>
          </cell>
          <cell r="AP1009">
            <v>6138000</v>
          </cell>
          <cell r="AQ1009">
            <v>44174</v>
          </cell>
          <cell r="AR1009">
            <v>44173</v>
          </cell>
          <cell r="AS1009">
            <v>0</v>
          </cell>
          <cell r="AT1009">
            <v>0</v>
          </cell>
          <cell r="AX1009" t="str">
            <v>Yes</v>
          </cell>
          <cell r="AZ1009" t="str">
            <v>Yes</v>
          </cell>
        </row>
        <row r="1010">
          <cell r="B1010">
            <v>860</v>
          </cell>
          <cell r="C1010" t="str">
            <v>C49SZX20200169DZ</v>
          </cell>
          <cell r="D1010" t="str">
            <v>兆晖</v>
          </cell>
          <cell r="E1010" t="str">
            <v>YSM10</v>
          </cell>
          <cell r="F1010" t="str">
            <v>#34562</v>
          </cell>
          <cell r="G1010" t="e">
            <v>#REF!</v>
          </cell>
          <cell r="H1010" t="e">
            <v>#REF!</v>
          </cell>
          <cell r="I1010" t="str">
            <v>L-&gt;R</v>
          </cell>
          <cell r="J1010" t="str">
            <v>MVC</v>
          </cell>
          <cell r="K1010">
            <v>1</v>
          </cell>
          <cell r="L1010">
            <v>110044</v>
          </cell>
          <cell r="M1010" t="str">
            <v>DEC 20</v>
          </cell>
          <cell r="N1010">
            <v>44174</v>
          </cell>
          <cell r="O1010">
            <v>11116474</v>
          </cell>
          <cell r="P1010">
            <v>7672500</v>
          </cell>
          <cell r="Q1010">
            <v>44168</v>
          </cell>
          <cell r="R1010" t="str">
            <v>No</v>
          </cell>
          <cell r="S1010" t="str">
            <v>C49</v>
          </cell>
          <cell r="T1010" t="str">
            <v>SOUTH</v>
          </cell>
          <cell r="U1010" t="str">
            <v>深圳</v>
          </cell>
          <cell r="V1010" t="str">
            <v>SZ 深圳</v>
          </cell>
          <cell r="W1010" t="str">
            <v>DZ</v>
          </cell>
          <cell r="X1010" t="str">
            <v>JPY</v>
          </cell>
          <cell r="Y1010">
            <v>7672500</v>
          </cell>
          <cell r="Z1010">
            <v>1</v>
          </cell>
          <cell r="AA1010">
            <v>7672500</v>
          </cell>
          <cell r="AB1010">
            <v>7.4899999999999994E-2</v>
          </cell>
          <cell r="AC1010">
            <v>574670.25</v>
          </cell>
          <cell r="AD1010">
            <v>68960.429999999993</v>
          </cell>
          <cell r="AE1010">
            <v>0.12</v>
          </cell>
          <cell r="AF1010">
            <v>44101</v>
          </cell>
          <cell r="AG1010" t="str">
            <v>CIF HK</v>
          </cell>
          <cell r="AI1010"/>
          <cell r="AJ1010"/>
          <cell r="AK1010">
            <v>0.2</v>
          </cell>
          <cell r="AL1010">
            <v>1534500</v>
          </cell>
          <cell r="AM1010">
            <v>44107</v>
          </cell>
          <cell r="AN1010" t="str">
            <v>Yes</v>
          </cell>
          <cell r="AO1010">
            <v>0.8</v>
          </cell>
          <cell r="AP1010">
            <v>6138000</v>
          </cell>
          <cell r="AQ1010">
            <v>44175</v>
          </cell>
          <cell r="AR1010">
            <v>44173</v>
          </cell>
          <cell r="AS1010">
            <v>0</v>
          </cell>
          <cell r="AT1010">
            <v>0</v>
          </cell>
          <cell r="AX1010" t="str">
            <v>Yes</v>
          </cell>
          <cell r="AZ1010" t="str">
            <v>Yes</v>
          </cell>
        </row>
        <row r="1011">
          <cell r="B1011">
            <v>861</v>
          </cell>
          <cell r="C1011" t="str">
            <v>C49SZX20200169DZ</v>
          </cell>
          <cell r="D1011" t="str">
            <v>兆晖</v>
          </cell>
          <cell r="E1011" t="str">
            <v>YSM10</v>
          </cell>
          <cell r="F1011" t="str">
            <v>#34562</v>
          </cell>
          <cell r="G1011" t="e">
            <v>#REF!</v>
          </cell>
          <cell r="H1011" t="e">
            <v>#REF!</v>
          </cell>
          <cell r="I1011" t="str">
            <v>L-&gt;R</v>
          </cell>
          <cell r="J1011" t="str">
            <v>MVC</v>
          </cell>
          <cell r="K1011">
            <v>1</v>
          </cell>
          <cell r="L1011">
            <v>110044</v>
          </cell>
          <cell r="M1011" t="str">
            <v>DEC 20</v>
          </cell>
          <cell r="N1011">
            <v>44174</v>
          </cell>
          <cell r="O1011">
            <v>11116474</v>
          </cell>
          <cell r="P1011">
            <v>7672500</v>
          </cell>
          <cell r="Q1011">
            <v>44169</v>
          </cell>
          <cell r="R1011" t="str">
            <v>No</v>
          </cell>
          <cell r="S1011" t="str">
            <v>C49</v>
          </cell>
          <cell r="T1011" t="str">
            <v>SOUTH</v>
          </cell>
          <cell r="U1011" t="str">
            <v>深圳</v>
          </cell>
          <cell r="V1011" t="str">
            <v>SZ 深圳</v>
          </cell>
          <cell r="W1011" t="str">
            <v>DZ</v>
          </cell>
          <cell r="X1011" t="str">
            <v>JPY</v>
          </cell>
          <cell r="Y1011">
            <v>7672500</v>
          </cell>
          <cell r="Z1011">
            <v>1</v>
          </cell>
          <cell r="AA1011">
            <v>7672500</v>
          </cell>
          <cell r="AB1011">
            <v>7.4899999999999994E-2</v>
          </cell>
          <cell r="AC1011">
            <v>574670.25</v>
          </cell>
          <cell r="AD1011">
            <v>68960.429999999993</v>
          </cell>
          <cell r="AE1011">
            <v>0.12</v>
          </cell>
          <cell r="AF1011">
            <v>44101</v>
          </cell>
          <cell r="AG1011" t="str">
            <v>CIF HK</v>
          </cell>
          <cell r="AI1011"/>
          <cell r="AJ1011"/>
          <cell r="AK1011">
            <v>0.2</v>
          </cell>
          <cell r="AL1011">
            <v>1534500</v>
          </cell>
          <cell r="AM1011">
            <v>44108</v>
          </cell>
          <cell r="AN1011" t="str">
            <v>Yes</v>
          </cell>
          <cell r="AO1011">
            <v>0.8</v>
          </cell>
          <cell r="AP1011">
            <v>6138000</v>
          </cell>
          <cell r="AQ1011">
            <v>44176</v>
          </cell>
          <cell r="AR1011">
            <v>44173</v>
          </cell>
          <cell r="AS1011">
            <v>0</v>
          </cell>
          <cell r="AT1011">
            <v>0</v>
          </cell>
          <cell r="AX1011" t="str">
            <v>Yes</v>
          </cell>
          <cell r="AZ1011" t="str">
            <v>Yes</v>
          </cell>
        </row>
        <row r="1012">
          <cell r="B1012">
            <v>862</v>
          </cell>
          <cell r="C1012" t="str">
            <v>C49SZX20200175JY</v>
          </cell>
          <cell r="D1012" t="str">
            <v>百纳海</v>
          </cell>
          <cell r="E1012" t="str">
            <v>YSM20R-2</v>
          </cell>
          <cell r="F1012" t="str">
            <v>#04652</v>
          </cell>
          <cell r="G1012" t="e">
            <v>#REF!</v>
          </cell>
          <cell r="H1012" t="e">
            <v>#REF!</v>
          </cell>
          <cell r="I1012" t="str">
            <v>L-&gt;R</v>
          </cell>
          <cell r="J1012" t="str">
            <v>No</v>
          </cell>
          <cell r="K1012">
            <v>1</v>
          </cell>
          <cell r="L1012">
            <v>110137</v>
          </cell>
          <cell r="M1012" t="str">
            <v>NOV 20</v>
          </cell>
          <cell r="N1012">
            <v>44160</v>
          </cell>
          <cell r="O1012">
            <v>11116458</v>
          </cell>
          <cell r="P1012">
            <v>12910000</v>
          </cell>
          <cell r="Q1012">
            <v>44136</v>
          </cell>
          <cell r="R1012" t="str">
            <v>No</v>
          </cell>
          <cell r="S1012" t="str">
            <v>C49</v>
          </cell>
          <cell r="T1012" t="str">
            <v>SOUTH</v>
          </cell>
          <cell r="U1012" t="str">
            <v>深圳</v>
          </cell>
          <cell r="V1012" t="str">
            <v>SZ 深圳</v>
          </cell>
          <cell r="W1012" t="str">
            <v>JY</v>
          </cell>
          <cell r="X1012" t="str">
            <v>JPY</v>
          </cell>
          <cell r="Y1012">
            <v>12910000</v>
          </cell>
          <cell r="Z1012">
            <v>1</v>
          </cell>
          <cell r="AA1012">
            <v>12910000</v>
          </cell>
          <cell r="AB1012">
            <v>7.4899999999999994E-2</v>
          </cell>
          <cell r="AC1012">
            <v>966958.99999999988</v>
          </cell>
          <cell r="AD1012">
            <v>116035.07999999999</v>
          </cell>
          <cell r="AE1012">
            <v>0.12</v>
          </cell>
          <cell r="AF1012">
            <v>44099</v>
          </cell>
          <cell r="AG1012" t="str">
            <v>DAP SZ</v>
          </cell>
          <cell r="AI1012"/>
          <cell r="AK1012">
            <v>0.1</v>
          </cell>
          <cell r="AL1012">
            <v>1291000</v>
          </cell>
          <cell r="AM1012">
            <v>44105</v>
          </cell>
          <cell r="AN1012" t="str">
            <v>Yes</v>
          </cell>
          <cell r="AO1012">
            <v>0.9</v>
          </cell>
          <cell r="AP1012">
            <v>11619000</v>
          </cell>
          <cell r="AQ1012">
            <v>44105</v>
          </cell>
          <cell r="AR1012">
            <v>44125</v>
          </cell>
          <cell r="AS1012">
            <v>0</v>
          </cell>
          <cell r="AT1012">
            <v>0</v>
          </cell>
          <cell r="AX1012" t="str">
            <v>Yes</v>
          </cell>
          <cell r="AZ1012" t="str">
            <v>Yes</v>
          </cell>
          <cell r="BA1012" t="str">
            <v>Yes</v>
          </cell>
        </row>
        <row r="1013">
          <cell r="B1013">
            <v>863</v>
          </cell>
          <cell r="C1013" t="str">
            <v>C49SZX20200179MZ</v>
          </cell>
          <cell r="D1013" t="str">
            <v>鸿南</v>
          </cell>
          <cell r="E1013" t="str">
            <v>YSM10</v>
          </cell>
          <cell r="F1013" t="str">
            <v>#56802</v>
          </cell>
          <cell r="G1013" t="e">
            <v>#REF!</v>
          </cell>
          <cell r="H1013" t="e">
            <v>#REF!</v>
          </cell>
          <cell r="I1013" t="str">
            <v>R-&gt;L</v>
          </cell>
          <cell r="J1013" t="str">
            <v>MVC</v>
          </cell>
          <cell r="K1013">
            <v>1</v>
          </cell>
          <cell r="L1013">
            <v>110026</v>
          </cell>
          <cell r="M1013" t="str">
            <v>DEC 20</v>
          </cell>
          <cell r="N1013">
            <v>44189</v>
          </cell>
          <cell r="O1013">
            <v>11116485</v>
          </cell>
          <cell r="P1013">
            <v>9000000</v>
          </cell>
          <cell r="Q1013">
            <v>44166</v>
          </cell>
          <cell r="R1013" t="str">
            <v>No</v>
          </cell>
          <cell r="S1013" t="str">
            <v>C49</v>
          </cell>
          <cell r="T1013" t="str">
            <v>SOUTH</v>
          </cell>
          <cell r="U1013" t="str">
            <v>深圳</v>
          </cell>
          <cell r="V1013" t="str">
            <v>SZ 深圳</v>
          </cell>
          <cell r="W1013" t="str">
            <v>MZ</v>
          </cell>
          <cell r="X1013" t="str">
            <v>JPY</v>
          </cell>
          <cell r="Y1013">
            <v>9000000</v>
          </cell>
          <cell r="Z1013">
            <v>1</v>
          </cell>
          <cell r="AA1013">
            <v>9000000</v>
          </cell>
          <cell r="AB1013">
            <v>7.4899999999999994E-2</v>
          </cell>
          <cell r="AC1013">
            <v>674100</v>
          </cell>
          <cell r="AD1013">
            <v>80892</v>
          </cell>
          <cell r="AE1013">
            <v>0.12</v>
          </cell>
          <cell r="AF1013">
            <v>44102</v>
          </cell>
          <cell r="AG1013" t="str">
            <v>CIF HK</v>
          </cell>
          <cell r="AI1013"/>
          <cell r="AK1013">
            <v>0.1</v>
          </cell>
          <cell r="AL1013">
            <v>900000</v>
          </cell>
          <cell r="AM1013">
            <v>44105</v>
          </cell>
          <cell r="AN1013" t="str">
            <v>Yes</v>
          </cell>
          <cell r="AO1013" t="str">
            <v>AGREE</v>
          </cell>
          <cell r="AP1013">
            <v>6690000</v>
          </cell>
          <cell r="AQ1013">
            <v>44105</v>
          </cell>
          <cell r="AR1013">
            <v>44124</v>
          </cell>
          <cell r="AS1013" t="str">
            <v>AGREE</v>
          </cell>
          <cell r="AT1013">
            <v>8920000</v>
          </cell>
          <cell r="AU1013">
            <v>44145</v>
          </cell>
          <cell r="AV1013">
            <v>44172</v>
          </cell>
          <cell r="AX1013" t="str">
            <v>Yes</v>
          </cell>
          <cell r="AZ1013" t="str">
            <v>Yes</v>
          </cell>
          <cell r="BA1013" t="str">
            <v>Yes</v>
          </cell>
        </row>
        <row r="1014">
          <cell r="B1014">
            <v>864</v>
          </cell>
          <cell r="C1014" t="str">
            <v>C49SZX20200179MZ</v>
          </cell>
          <cell r="D1014" t="str">
            <v>鸿南</v>
          </cell>
          <cell r="E1014" t="str">
            <v>YSM20R-2</v>
          </cell>
          <cell r="F1014" t="str">
            <v>#56802</v>
          </cell>
          <cell r="G1014" t="e">
            <v>#REF!</v>
          </cell>
          <cell r="H1014" t="e">
            <v>#REF!</v>
          </cell>
          <cell r="I1014" t="str">
            <v>R-&gt;L</v>
          </cell>
          <cell r="J1014" t="str">
            <v>No</v>
          </cell>
          <cell r="K1014">
            <v>1</v>
          </cell>
          <cell r="L1014">
            <v>110097</v>
          </cell>
          <cell r="M1014" t="str">
            <v>DEC 20</v>
          </cell>
          <cell r="N1014">
            <v>44189</v>
          </cell>
          <cell r="O1014">
            <v>11116485</v>
          </cell>
          <cell r="P1014">
            <v>13300000</v>
          </cell>
          <cell r="Q1014">
            <v>44166</v>
          </cell>
          <cell r="R1014" t="str">
            <v>No</v>
          </cell>
          <cell r="S1014" t="str">
            <v>C49</v>
          </cell>
          <cell r="T1014" t="str">
            <v>SOUTH</v>
          </cell>
          <cell r="U1014" t="str">
            <v>深圳</v>
          </cell>
          <cell r="V1014" t="str">
            <v>SZ 深圳</v>
          </cell>
          <cell r="W1014" t="str">
            <v>MZ</v>
          </cell>
          <cell r="X1014" t="str">
            <v>JPY</v>
          </cell>
          <cell r="Y1014">
            <v>13300000</v>
          </cell>
          <cell r="Z1014">
            <v>1</v>
          </cell>
          <cell r="AA1014">
            <v>13300000</v>
          </cell>
          <cell r="AB1014">
            <v>7.4899999999999994E-2</v>
          </cell>
          <cell r="AC1014">
            <v>996169.99999999988</v>
          </cell>
          <cell r="AD1014">
            <v>119540.39999999998</v>
          </cell>
          <cell r="AE1014">
            <v>0.12</v>
          </cell>
          <cell r="AF1014">
            <v>44102</v>
          </cell>
          <cell r="AG1014" t="str">
            <v>CIF HK</v>
          </cell>
          <cell r="AI1014"/>
          <cell r="AK1014">
            <v>0.1</v>
          </cell>
          <cell r="AL1014">
            <v>1330000</v>
          </cell>
          <cell r="AM1014">
            <v>44106</v>
          </cell>
          <cell r="AN1014" t="str">
            <v>Yes</v>
          </cell>
          <cell r="AO1014" t="str">
            <v>AGREE</v>
          </cell>
          <cell r="AP1014">
            <v>0</v>
          </cell>
          <cell r="AQ1014">
            <v>44105</v>
          </cell>
          <cell r="AR1014">
            <v>44124</v>
          </cell>
          <cell r="AS1014" t="str">
            <v>AGREE</v>
          </cell>
          <cell r="AT1014">
            <v>4460000</v>
          </cell>
          <cell r="AU1014">
            <v>44145</v>
          </cell>
          <cell r="AV1014">
            <v>44172</v>
          </cell>
          <cell r="AX1014" t="str">
            <v>Yes</v>
          </cell>
          <cell r="AZ1014" t="str">
            <v>Yes</v>
          </cell>
          <cell r="BA1014" t="str">
            <v>Yes</v>
          </cell>
        </row>
        <row r="1015">
          <cell r="B1015">
            <v>865</v>
          </cell>
          <cell r="C1015" t="str">
            <v>C49SZX20200171DZ</v>
          </cell>
          <cell r="D1015" t="str">
            <v>皇家显示</v>
          </cell>
          <cell r="E1015" t="str">
            <v>YSM40R-4</v>
          </cell>
          <cell r="F1015" t="str">
            <v>#04067</v>
          </cell>
          <cell r="G1015" t="e">
            <v>#REF!</v>
          </cell>
          <cell r="H1015" t="e">
            <v>#REF!</v>
          </cell>
          <cell r="I1015" t="str">
            <v>L-&gt;R</v>
          </cell>
          <cell r="J1015" t="str">
            <v>No</v>
          </cell>
          <cell r="K1015">
            <v>1</v>
          </cell>
          <cell r="L1015" t="str">
            <v>49F103708</v>
          </cell>
          <cell r="M1015" t="str">
            <v>NOV 20</v>
          </cell>
          <cell r="N1015">
            <v>44141</v>
          </cell>
          <cell r="O1015">
            <v>11100447</v>
          </cell>
          <cell r="P1015">
            <v>1400000</v>
          </cell>
          <cell r="Q1015">
            <v>44136</v>
          </cell>
          <cell r="R1015" t="str">
            <v>Yes</v>
          </cell>
          <cell r="S1015" t="str">
            <v>C49</v>
          </cell>
          <cell r="T1015" t="str">
            <v>SOUTH</v>
          </cell>
          <cell r="U1015" t="str">
            <v>深圳</v>
          </cell>
          <cell r="V1015" t="str">
            <v>SZ 深圳</v>
          </cell>
          <cell r="W1015" t="str">
            <v>DZ</v>
          </cell>
          <cell r="X1015" t="str">
            <v>RMB</v>
          </cell>
          <cell r="Y1015">
            <v>1400000</v>
          </cell>
          <cell r="Z1015">
            <v>1.1299999999999999</v>
          </cell>
          <cell r="AA1015">
            <v>1400000</v>
          </cell>
          <cell r="AB1015">
            <v>1.1299999999999999</v>
          </cell>
          <cell r="AC1015">
            <v>1400000</v>
          </cell>
          <cell r="AD1015">
            <v>168000</v>
          </cell>
          <cell r="AE1015">
            <v>0.12</v>
          </cell>
          <cell r="AF1015">
            <v>44102</v>
          </cell>
          <cell r="AG1015" t="str">
            <v>含税到厂</v>
          </cell>
          <cell r="AI1015"/>
          <cell r="AK1015">
            <v>0.2</v>
          </cell>
          <cell r="AL1015">
            <v>280000</v>
          </cell>
          <cell r="AM1015">
            <v>44103</v>
          </cell>
          <cell r="AN1015" t="str">
            <v>Yes</v>
          </cell>
          <cell r="AO1015">
            <v>0.8</v>
          </cell>
          <cell r="AP1015">
            <v>1120000</v>
          </cell>
          <cell r="AQ1015">
            <v>44136</v>
          </cell>
          <cell r="AR1015">
            <v>44138</v>
          </cell>
          <cell r="AS1015">
            <v>0</v>
          </cell>
          <cell r="AT1015">
            <v>0</v>
          </cell>
          <cell r="AX1015" t="str">
            <v>Yes</v>
          </cell>
          <cell r="AZ1015" t="str">
            <v>Yes</v>
          </cell>
          <cell r="BA1015" t="str">
            <v>Yes</v>
          </cell>
        </row>
        <row r="1016">
          <cell r="B1016">
            <v>866</v>
          </cell>
          <cell r="C1016" t="str">
            <v>C49SZX20200171DZ</v>
          </cell>
          <cell r="D1016" t="str">
            <v>皇家显示</v>
          </cell>
          <cell r="E1016" t="str">
            <v>YSM40R-4</v>
          </cell>
          <cell r="F1016" t="str">
            <v>#04067</v>
          </cell>
          <cell r="G1016" t="e">
            <v>#REF!</v>
          </cell>
          <cell r="H1016" t="e">
            <v>#REF!</v>
          </cell>
          <cell r="I1016" t="str">
            <v>L-&gt;R</v>
          </cell>
          <cell r="J1016" t="str">
            <v>No</v>
          </cell>
          <cell r="K1016">
            <v>1</v>
          </cell>
          <cell r="L1016" t="str">
            <v>49F103708</v>
          </cell>
          <cell r="M1016" t="str">
            <v>NOV 20</v>
          </cell>
          <cell r="N1016">
            <v>44153</v>
          </cell>
          <cell r="O1016">
            <v>11100447</v>
          </cell>
          <cell r="P1016">
            <v>1400000</v>
          </cell>
          <cell r="Q1016">
            <v>44136</v>
          </cell>
          <cell r="R1016" t="str">
            <v>Yes</v>
          </cell>
          <cell r="S1016" t="str">
            <v>C49</v>
          </cell>
          <cell r="T1016" t="str">
            <v>SOUTH</v>
          </cell>
          <cell r="U1016" t="str">
            <v>深圳</v>
          </cell>
          <cell r="V1016" t="str">
            <v>SZ 深圳</v>
          </cell>
          <cell r="W1016" t="str">
            <v>DZ</v>
          </cell>
          <cell r="X1016" t="str">
            <v>RMB</v>
          </cell>
          <cell r="Y1016">
            <v>1400000</v>
          </cell>
          <cell r="Z1016">
            <v>1.1299999999999999</v>
          </cell>
          <cell r="AA1016">
            <v>1400000</v>
          </cell>
          <cell r="AB1016">
            <v>1.1299999999999999</v>
          </cell>
          <cell r="AC1016">
            <v>1400000</v>
          </cell>
          <cell r="AD1016">
            <v>168000</v>
          </cell>
          <cell r="AE1016">
            <v>0.12</v>
          </cell>
          <cell r="AF1016">
            <v>44102</v>
          </cell>
          <cell r="AG1016" t="str">
            <v>含税到厂</v>
          </cell>
          <cell r="AI1016"/>
          <cell r="AK1016">
            <v>0.2</v>
          </cell>
          <cell r="AL1016">
            <v>280000</v>
          </cell>
          <cell r="AM1016">
            <v>44103</v>
          </cell>
          <cell r="AN1016" t="str">
            <v>Yes</v>
          </cell>
          <cell r="AO1016">
            <v>0.8</v>
          </cell>
          <cell r="AP1016">
            <v>1120000</v>
          </cell>
          <cell r="AQ1016">
            <v>44136</v>
          </cell>
          <cell r="AR1016">
            <v>44152</v>
          </cell>
          <cell r="AS1016">
            <v>0</v>
          </cell>
          <cell r="AT1016">
            <v>0</v>
          </cell>
          <cell r="AX1016" t="str">
            <v>Yes</v>
          </cell>
          <cell r="AZ1016" t="str">
            <v>Yes</v>
          </cell>
          <cell r="BA1016" t="str">
            <v>Yes</v>
          </cell>
        </row>
        <row r="1017">
          <cell r="B1017">
            <v>867</v>
          </cell>
          <cell r="C1017" t="str">
            <v>C49SZX20200170DZ</v>
          </cell>
          <cell r="D1017" t="str">
            <v>嘉裕</v>
          </cell>
          <cell r="E1017" t="str">
            <v>YSM20R-2</v>
          </cell>
          <cell r="F1017" t="str">
            <v>#04342</v>
          </cell>
          <cell r="G1017" t="e">
            <v>#REF!</v>
          </cell>
          <cell r="H1017" t="e">
            <v>#REF!</v>
          </cell>
          <cell r="I1017" t="str">
            <v>L-&gt;R</v>
          </cell>
          <cell r="J1017" t="str">
            <v>No</v>
          </cell>
          <cell r="K1017">
            <v>1</v>
          </cell>
          <cell r="L1017">
            <v>110068</v>
          </cell>
          <cell r="M1017" t="str">
            <v>DEC 20</v>
          </cell>
          <cell r="N1017">
            <v>44183</v>
          </cell>
          <cell r="O1017">
            <v>11116476</v>
          </cell>
          <cell r="P1017">
            <v>17531000</v>
          </cell>
          <cell r="Q1017">
            <v>44166</v>
          </cell>
          <cell r="R1017" t="str">
            <v>No</v>
          </cell>
          <cell r="S1017" t="str">
            <v>C49</v>
          </cell>
          <cell r="T1017" t="str">
            <v>SOUTH</v>
          </cell>
          <cell r="U1017" t="str">
            <v>深圳</v>
          </cell>
          <cell r="V1017" t="str">
            <v>SZ 深圳</v>
          </cell>
          <cell r="W1017" t="str">
            <v>DZ</v>
          </cell>
          <cell r="X1017" t="str">
            <v>JPY</v>
          </cell>
          <cell r="Y1017">
            <v>17531000</v>
          </cell>
          <cell r="Z1017">
            <v>1</v>
          </cell>
          <cell r="AA1017">
            <v>17531000</v>
          </cell>
          <cell r="AB1017">
            <v>7.4899999999999994E-2</v>
          </cell>
          <cell r="AC1017">
            <v>1313071.8999999999</v>
          </cell>
          <cell r="AD1017">
            <v>157568.628</v>
          </cell>
          <cell r="AE1017">
            <v>0.12</v>
          </cell>
          <cell r="AF1017">
            <v>44098</v>
          </cell>
          <cell r="AG1017" t="str">
            <v>CIF HK</v>
          </cell>
          <cell r="AI1017"/>
          <cell r="AK1017">
            <v>0.3</v>
          </cell>
          <cell r="AL1017">
            <v>5259300</v>
          </cell>
          <cell r="AM1017">
            <v>44103</v>
          </cell>
          <cell r="AN1017" t="str">
            <v>Yes</v>
          </cell>
          <cell r="AO1017">
            <v>0.7</v>
          </cell>
          <cell r="AP1017">
            <v>12271700</v>
          </cell>
          <cell r="AQ1017">
            <v>44155</v>
          </cell>
          <cell r="AR1017">
            <v>44160</v>
          </cell>
          <cell r="AS1017">
            <v>0</v>
          </cell>
          <cell r="AT1017">
            <v>0</v>
          </cell>
          <cell r="AX1017" t="str">
            <v>Yes</v>
          </cell>
        </row>
        <row r="1018">
          <cell r="B1018">
            <v>868</v>
          </cell>
          <cell r="C1018" t="str">
            <v>C49SZX20200170DZ</v>
          </cell>
          <cell r="D1018" t="str">
            <v>嘉裕</v>
          </cell>
          <cell r="E1018" t="str">
            <v>YSM20R(SV)-2</v>
          </cell>
          <cell r="F1018" t="str">
            <v>#04342</v>
          </cell>
          <cell r="G1018" t="e">
            <v>#REF!</v>
          </cell>
          <cell r="H1018" t="e">
            <v>#REF!</v>
          </cell>
          <cell r="I1018" t="str">
            <v>L-&gt;R</v>
          </cell>
          <cell r="J1018" t="str">
            <v>cATS10+MVC</v>
          </cell>
          <cell r="K1018">
            <v>1</v>
          </cell>
          <cell r="L1018">
            <v>109980</v>
          </cell>
          <cell r="M1018" t="str">
            <v>DEC 20</v>
          </cell>
          <cell r="N1018">
            <v>44183</v>
          </cell>
          <cell r="O1018">
            <v>11116471</v>
          </cell>
          <cell r="P1018">
            <v>17531000</v>
          </cell>
          <cell r="Q1018">
            <v>44139</v>
          </cell>
          <cell r="R1018" t="str">
            <v>No</v>
          </cell>
          <cell r="S1018" t="str">
            <v>C49</v>
          </cell>
          <cell r="T1018" t="str">
            <v>SOUTH</v>
          </cell>
          <cell r="U1018" t="str">
            <v>深圳</v>
          </cell>
          <cell r="V1018" t="str">
            <v>SZ 深圳</v>
          </cell>
          <cell r="W1018" t="str">
            <v>DZ</v>
          </cell>
          <cell r="X1018" t="str">
            <v>JPY</v>
          </cell>
          <cell r="Y1018">
            <v>17531000</v>
          </cell>
          <cell r="Z1018">
            <v>1</v>
          </cell>
          <cell r="AA1018">
            <v>17531000</v>
          </cell>
          <cell r="AB1018">
            <v>7.4899999999999994E-2</v>
          </cell>
          <cell r="AC1018">
            <v>1313071.8999999999</v>
          </cell>
          <cell r="AD1018">
            <v>157568.628</v>
          </cell>
          <cell r="AE1018">
            <v>0.12</v>
          </cell>
          <cell r="AF1018">
            <v>44098</v>
          </cell>
          <cell r="AG1018" t="str">
            <v>CIF HK</v>
          </cell>
          <cell r="AI1018"/>
          <cell r="AK1018">
            <v>0.3</v>
          </cell>
          <cell r="AL1018">
            <v>5259300</v>
          </cell>
          <cell r="AM1018">
            <v>44075</v>
          </cell>
          <cell r="AN1018" t="str">
            <v>Yes</v>
          </cell>
          <cell r="AO1018">
            <v>0.7</v>
          </cell>
          <cell r="AP1018">
            <v>12271700</v>
          </cell>
          <cell r="AQ1018">
            <v>44155</v>
          </cell>
          <cell r="AR1018">
            <v>44160</v>
          </cell>
          <cell r="AS1018">
            <v>0</v>
          </cell>
          <cell r="AT1018">
            <v>0</v>
          </cell>
          <cell r="AX1018" t="str">
            <v>Yes</v>
          </cell>
        </row>
        <row r="1019">
          <cell r="B1019">
            <v>869</v>
          </cell>
          <cell r="C1019" t="str">
            <v>C28SZX20200086KC</v>
          </cell>
          <cell r="D1019" t="str">
            <v>嘉裕</v>
          </cell>
          <cell r="E1019" t="str">
            <v>TROI-7700E</v>
          </cell>
          <cell r="F1019" t="str">
            <v>#04342</v>
          </cell>
          <cell r="G1019" t="e">
            <v>#REF!</v>
          </cell>
          <cell r="H1019" t="e">
            <v>#REF!</v>
          </cell>
          <cell r="I1019" t="str">
            <v>L-&gt;R</v>
          </cell>
          <cell r="J1019" t="str">
            <v>No</v>
          </cell>
          <cell r="K1019">
            <v>1</v>
          </cell>
          <cell r="L1019" t="str">
            <v>B28110113</v>
          </cell>
          <cell r="M1019" t="str">
            <v>DEC 20</v>
          </cell>
          <cell r="N1019">
            <v>44183</v>
          </cell>
          <cell r="O1019">
            <v>11116473</v>
          </cell>
          <cell r="P1019">
            <v>51000</v>
          </cell>
          <cell r="Q1019" t="str">
            <v>DEC 20</v>
          </cell>
          <cell r="R1019" t="str">
            <v>No</v>
          </cell>
          <cell r="S1019" t="str">
            <v>C28</v>
          </cell>
          <cell r="T1019" t="str">
            <v>SOUTH</v>
          </cell>
          <cell r="U1019" t="str">
            <v>深圳</v>
          </cell>
          <cell r="V1019" t="str">
            <v>SZ 深圳</v>
          </cell>
          <cell r="W1019" t="str">
            <v>KC</v>
          </cell>
          <cell r="X1019" t="str">
            <v>USD</v>
          </cell>
          <cell r="Y1019">
            <v>51000</v>
          </cell>
          <cell r="Z1019">
            <v>1</v>
          </cell>
          <cell r="AA1019">
            <v>51000</v>
          </cell>
          <cell r="AB1019">
            <v>7.8</v>
          </cell>
          <cell r="AC1019">
            <v>397800</v>
          </cell>
          <cell r="AD1019">
            <v>47736</v>
          </cell>
          <cell r="AE1019">
            <v>0.12</v>
          </cell>
          <cell r="AF1019">
            <v>44102</v>
          </cell>
          <cell r="AG1019" t="str">
            <v>CIF HK</v>
          </cell>
          <cell r="AK1019">
            <v>0.3</v>
          </cell>
          <cell r="AL1019">
            <v>15300</v>
          </cell>
          <cell r="AM1019">
            <v>44076</v>
          </cell>
          <cell r="AN1019" t="str">
            <v>Yes</v>
          </cell>
          <cell r="AO1019">
            <v>0.7</v>
          </cell>
          <cell r="AP1019">
            <v>35700</v>
          </cell>
          <cell r="AQ1019">
            <v>44155</v>
          </cell>
          <cell r="AR1019">
            <v>44160</v>
          </cell>
          <cell r="AS1019">
            <v>0</v>
          </cell>
          <cell r="AT1019">
            <v>0</v>
          </cell>
          <cell r="AX1019" t="str">
            <v>Yes</v>
          </cell>
        </row>
        <row r="1020">
          <cell r="B1020">
            <v>870</v>
          </cell>
          <cell r="C1020" t="str">
            <v>C28SZX20200087KC</v>
          </cell>
          <cell r="D1020" t="str">
            <v>嘉裕</v>
          </cell>
          <cell r="E1020" t="str">
            <v>YCP10</v>
          </cell>
          <cell r="F1020" t="str">
            <v>#04342</v>
          </cell>
          <cell r="G1020" t="e">
            <v>#REF!</v>
          </cell>
          <cell r="H1020" t="e">
            <v>#REF!</v>
          </cell>
          <cell r="I1020" t="str">
            <v>L-&gt;R</v>
          </cell>
          <cell r="J1020" t="str">
            <v>No</v>
          </cell>
          <cell r="K1020">
            <v>1</v>
          </cell>
          <cell r="L1020">
            <v>110045</v>
          </cell>
          <cell r="M1020" t="str">
            <v>DEC 20</v>
          </cell>
          <cell r="O1020">
            <v>11116462</v>
          </cell>
          <cell r="P1020">
            <v>5820000</v>
          </cell>
          <cell r="Q1020">
            <v>44136</v>
          </cell>
          <cell r="R1020" t="str">
            <v>No</v>
          </cell>
          <cell r="S1020" t="str">
            <v>C28</v>
          </cell>
          <cell r="T1020" t="str">
            <v>SOUTH</v>
          </cell>
          <cell r="U1020" t="str">
            <v>深圳</v>
          </cell>
          <cell r="V1020" t="str">
            <v>SZ 深圳</v>
          </cell>
          <cell r="W1020" t="str">
            <v>KC</v>
          </cell>
          <cell r="X1020" t="str">
            <v>JPY</v>
          </cell>
          <cell r="Y1020">
            <v>5820000</v>
          </cell>
          <cell r="Z1020">
            <v>1</v>
          </cell>
          <cell r="AA1020">
            <v>5820000</v>
          </cell>
          <cell r="AB1020">
            <v>7.4899999999999994E-2</v>
          </cell>
          <cell r="AC1020">
            <v>435917.99999999994</v>
          </cell>
          <cell r="AD1020">
            <v>52310.159999999989</v>
          </cell>
          <cell r="AE1020">
            <v>0.12</v>
          </cell>
          <cell r="AF1020">
            <v>44102</v>
          </cell>
          <cell r="AG1020" t="str">
            <v>CIF HK</v>
          </cell>
          <cell r="AK1020">
            <v>0.3</v>
          </cell>
          <cell r="AL1020">
            <v>1746000</v>
          </cell>
          <cell r="AM1020">
            <v>44077</v>
          </cell>
          <cell r="AN1020" t="str">
            <v>Yes</v>
          </cell>
          <cell r="AO1020">
            <v>0.7</v>
          </cell>
          <cell r="AP1020">
            <v>4073999.9999999995</v>
          </cell>
          <cell r="AQ1020">
            <v>44155</v>
          </cell>
          <cell r="AR1020">
            <v>44160</v>
          </cell>
          <cell r="AS1020">
            <v>0</v>
          </cell>
          <cell r="AT1020">
            <v>0</v>
          </cell>
          <cell r="AX1020" t="str">
            <v>Yes</v>
          </cell>
        </row>
        <row r="1021">
          <cell r="B1021">
            <v>871</v>
          </cell>
          <cell r="C1021" t="str">
            <v>C28SZX20200088KC</v>
          </cell>
          <cell r="D1021" t="str">
            <v>嘉裕</v>
          </cell>
          <cell r="E1021" t="str">
            <v>Heller 1809MK5</v>
          </cell>
          <cell r="F1021" t="str">
            <v>#04342</v>
          </cell>
          <cell r="G1021" t="e">
            <v>#REF!</v>
          </cell>
          <cell r="H1021" t="e">
            <v>#REF!</v>
          </cell>
          <cell r="I1021" t="str">
            <v>L-&gt;R</v>
          </cell>
          <cell r="J1021" t="str">
            <v>No</v>
          </cell>
          <cell r="K1021">
            <v>1</v>
          </cell>
          <cell r="L1021" t="str">
            <v>B28110114</v>
          </cell>
          <cell r="M1021" t="str">
            <v>DEC 20</v>
          </cell>
          <cell r="N1021">
            <v>44183</v>
          </cell>
          <cell r="O1021">
            <v>11116472</v>
          </cell>
          <cell r="P1021">
            <v>79000</v>
          </cell>
          <cell r="Q1021" t="str">
            <v>DEC 20</v>
          </cell>
          <cell r="R1021" t="str">
            <v>No</v>
          </cell>
          <cell r="S1021" t="str">
            <v>C28</v>
          </cell>
          <cell r="T1021" t="str">
            <v>SOUTH</v>
          </cell>
          <cell r="U1021" t="str">
            <v>深圳</v>
          </cell>
          <cell r="V1021" t="str">
            <v>SZ 深圳</v>
          </cell>
          <cell r="W1021" t="str">
            <v>KC</v>
          </cell>
          <cell r="X1021" t="str">
            <v>USD</v>
          </cell>
          <cell r="Y1021">
            <v>79000</v>
          </cell>
          <cell r="Z1021">
            <v>1</v>
          </cell>
          <cell r="AA1021">
            <v>79000</v>
          </cell>
          <cell r="AB1021">
            <v>7.8</v>
          </cell>
          <cell r="AC1021">
            <v>616200</v>
          </cell>
          <cell r="AD1021">
            <v>73944</v>
          </cell>
          <cell r="AE1021">
            <v>0.12</v>
          </cell>
          <cell r="AF1021">
            <v>44102</v>
          </cell>
          <cell r="AG1021" t="str">
            <v>CIF HK</v>
          </cell>
          <cell r="AK1021">
            <v>0.3</v>
          </cell>
          <cell r="AL1021">
            <v>23700</v>
          </cell>
          <cell r="AM1021">
            <v>44078</v>
          </cell>
          <cell r="AN1021" t="str">
            <v>Yes</v>
          </cell>
          <cell r="AO1021">
            <v>0.7</v>
          </cell>
          <cell r="AP1021">
            <v>55300</v>
          </cell>
          <cell r="AQ1021">
            <v>44155</v>
          </cell>
          <cell r="AR1021">
            <v>44160</v>
          </cell>
          <cell r="AS1021">
            <v>0</v>
          </cell>
          <cell r="AT1021">
            <v>0</v>
          </cell>
          <cell r="AX1021" t="str">
            <v>Yes</v>
          </cell>
          <cell r="AZ1021" t="str">
            <v>Y</v>
          </cell>
        </row>
        <row r="1022">
          <cell r="B1022">
            <v>872</v>
          </cell>
          <cell r="C1022" t="str">
            <v>C49SZX20200180SX</v>
          </cell>
          <cell r="D1022" t="str">
            <v>东陆</v>
          </cell>
          <cell r="E1022" t="str">
            <v>YSM20R-2</v>
          </cell>
          <cell r="F1022" t="str">
            <v>#76624</v>
          </cell>
          <cell r="G1022" t="e">
            <v>#REF!</v>
          </cell>
          <cell r="H1022" t="e">
            <v>#REF!</v>
          </cell>
          <cell r="I1022" t="str">
            <v>R-&gt;L</v>
          </cell>
          <cell r="J1022" t="str">
            <v>MVC</v>
          </cell>
          <cell r="K1022">
            <v>1</v>
          </cell>
          <cell r="L1022">
            <v>110107</v>
          </cell>
          <cell r="M1022" t="str">
            <v>JAN 21</v>
          </cell>
          <cell r="N1022">
            <v>44231</v>
          </cell>
          <cell r="O1022">
            <v>11116511</v>
          </cell>
          <cell r="P1022">
            <v>12704790</v>
          </cell>
          <cell r="Q1022">
            <v>44228</v>
          </cell>
          <cell r="R1022" t="str">
            <v>No</v>
          </cell>
          <cell r="S1022" t="str">
            <v>C49</v>
          </cell>
          <cell r="T1022" t="str">
            <v>SOUTH</v>
          </cell>
          <cell r="U1022" t="str">
            <v>深圳</v>
          </cell>
          <cell r="V1022" t="str">
            <v>SZ 深圳</v>
          </cell>
          <cell r="W1022" t="str">
            <v>SX</v>
          </cell>
          <cell r="X1022" t="str">
            <v>JPY</v>
          </cell>
          <cell r="Y1022">
            <v>12704790</v>
          </cell>
          <cell r="Z1022">
            <v>1</v>
          </cell>
          <cell r="AA1022">
            <v>12704790</v>
          </cell>
          <cell r="AB1022">
            <v>7.4899999999999994E-2</v>
          </cell>
          <cell r="AC1022">
            <v>951588.77099999995</v>
          </cell>
          <cell r="AD1022">
            <v>114190.65251999999</v>
          </cell>
          <cell r="AE1022">
            <v>0.12</v>
          </cell>
          <cell r="AF1022">
            <v>44104</v>
          </cell>
          <cell r="AG1022" t="str">
            <v>DAP SZ</v>
          </cell>
          <cell r="AI1022"/>
          <cell r="AK1022">
            <v>0.2</v>
          </cell>
          <cell r="AL1022">
            <v>2540958</v>
          </cell>
          <cell r="AM1022">
            <v>44105</v>
          </cell>
          <cell r="AN1022" t="str">
            <v>Yes</v>
          </cell>
          <cell r="AO1022">
            <v>0.8</v>
          </cell>
          <cell r="AP1022">
            <v>10163832</v>
          </cell>
          <cell r="AQ1022">
            <v>44229</v>
          </cell>
          <cell r="AR1022">
            <v>44229</v>
          </cell>
          <cell r="AS1022">
            <v>0</v>
          </cell>
          <cell r="AT1022">
            <v>0</v>
          </cell>
          <cell r="AX1022" t="str">
            <v>Yes</v>
          </cell>
          <cell r="AZ1022" t="str">
            <v>Y</v>
          </cell>
          <cell r="BA1022" t="str">
            <v>Y</v>
          </cell>
        </row>
        <row r="1023">
          <cell r="B1023">
            <v>873</v>
          </cell>
          <cell r="C1023" t="str">
            <v>C49SZX20200180SX</v>
          </cell>
          <cell r="D1023" t="str">
            <v>东陆</v>
          </cell>
          <cell r="E1023" t="str">
            <v>YSM20R-2</v>
          </cell>
          <cell r="F1023" t="str">
            <v>#76624</v>
          </cell>
          <cell r="G1023" t="e">
            <v>#REF!</v>
          </cell>
          <cell r="H1023" t="e">
            <v>#REF!</v>
          </cell>
          <cell r="I1023" t="str">
            <v>L-&gt;R</v>
          </cell>
          <cell r="J1023" t="str">
            <v>No</v>
          </cell>
          <cell r="K1023">
            <v>1</v>
          </cell>
          <cell r="L1023">
            <v>110106</v>
          </cell>
          <cell r="M1023" t="str">
            <v>JAN 21</v>
          </cell>
          <cell r="N1023">
            <v>44231</v>
          </cell>
          <cell r="O1023">
            <v>11116511</v>
          </cell>
          <cell r="P1023">
            <v>12704790</v>
          </cell>
          <cell r="Q1023">
            <v>44229</v>
          </cell>
          <cell r="R1023" t="str">
            <v>No</v>
          </cell>
          <cell r="S1023" t="str">
            <v>C49</v>
          </cell>
          <cell r="T1023" t="str">
            <v>SOUTH</v>
          </cell>
          <cell r="U1023" t="str">
            <v>深圳</v>
          </cell>
          <cell r="V1023" t="str">
            <v>SZ 深圳</v>
          </cell>
          <cell r="W1023" t="str">
            <v>SX</v>
          </cell>
          <cell r="X1023" t="str">
            <v>JPY</v>
          </cell>
          <cell r="Y1023">
            <v>12704790</v>
          </cell>
          <cell r="Z1023">
            <v>1</v>
          </cell>
          <cell r="AA1023">
            <v>12704790</v>
          </cell>
          <cell r="AB1023">
            <v>7.4899999999999994E-2</v>
          </cell>
          <cell r="AC1023">
            <v>951588.77099999995</v>
          </cell>
          <cell r="AD1023">
            <v>114190.65251999999</v>
          </cell>
          <cell r="AE1023">
            <v>0.12</v>
          </cell>
          <cell r="AF1023">
            <v>44104</v>
          </cell>
          <cell r="AG1023" t="str">
            <v>DAP SZ</v>
          </cell>
          <cell r="AI1023"/>
          <cell r="AK1023">
            <v>0.2</v>
          </cell>
          <cell r="AL1023">
            <v>2540958</v>
          </cell>
          <cell r="AM1023">
            <v>44105</v>
          </cell>
          <cell r="AN1023" t="str">
            <v>Yes</v>
          </cell>
          <cell r="AO1023">
            <v>0.8</v>
          </cell>
          <cell r="AP1023">
            <v>10163832</v>
          </cell>
          <cell r="AQ1023">
            <v>44229</v>
          </cell>
          <cell r="AR1023">
            <v>44229</v>
          </cell>
          <cell r="AS1023">
            <v>0</v>
          </cell>
          <cell r="AT1023">
            <v>0</v>
          </cell>
          <cell r="AX1023" t="str">
            <v>Yes</v>
          </cell>
          <cell r="AZ1023" t="str">
            <v>Y</v>
          </cell>
          <cell r="BA1023" t="str">
            <v>Y</v>
          </cell>
        </row>
        <row r="1024">
          <cell r="B1024">
            <v>874</v>
          </cell>
          <cell r="C1024" t="str">
            <v>C49SZX20200181SX</v>
          </cell>
          <cell r="D1024" t="str">
            <v>东陆</v>
          </cell>
          <cell r="E1024" t="str">
            <v>YSM10</v>
          </cell>
          <cell r="F1024" t="str">
            <v>#76624</v>
          </cell>
          <cell r="G1024" t="e">
            <v>#REF!</v>
          </cell>
          <cell r="H1024" t="e">
            <v>#REF!</v>
          </cell>
          <cell r="I1024" t="str">
            <v>L-&gt;R</v>
          </cell>
          <cell r="J1024" t="str">
            <v>No</v>
          </cell>
          <cell r="K1024">
            <v>1</v>
          </cell>
          <cell r="L1024" t="str">
            <v>110151(拆分110270）</v>
          </cell>
          <cell r="M1024" t="str">
            <v>MAR 21</v>
          </cell>
          <cell r="N1024">
            <v>44267</v>
          </cell>
          <cell r="O1024">
            <v>11116533</v>
          </cell>
          <cell r="P1024">
            <v>7485110</v>
          </cell>
          <cell r="Q1024">
            <v>44256</v>
          </cell>
          <cell r="R1024" t="str">
            <v>No</v>
          </cell>
          <cell r="S1024" t="str">
            <v>C49</v>
          </cell>
          <cell r="T1024" t="str">
            <v>SOUTH</v>
          </cell>
          <cell r="U1024" t="str">
            <v>深圳</v>
          </cell>
          <cell r="V1024" t="str">
            <v>SZ 深圳</v>
          </cell>
          <cell r="W1024" t="str">
            <v>SX</v>
          </cell>
          <cell r="X1024" t="str">
            <v>JPY</v>
          </cell>
          <cell r="Y1024">
            <v>7485110</v>
          </cell>
          <cell r="Z1024">
            <v>1</v>
          </cell>
          <cell r="AA1024">
            <v>7485110</v>
          </cell>
          <cell r="AB1024">
            <v>7.4899999999999994E-2</v>
          </cell>
          <cell r="AC1024">
            <v>560634.73899999994</v>
          </cell>
          <cell r="AD1024">
            <v>67276.168679999988</v>
          </cell>
          <cell r="AE1024">
            <v>0.12</v>
          </cell>
          <cell r="AF1024">
            <v>44104</v>
          </cell>
          <cell r="AG1024" t="str">
            <v>DAP SZ</v>
          </cell>
          <cell r="AI1024" t="str">
            <v>CNY 20,000</v>
          </cell>
          <cell r="AJ1024">
            <v>44118</v>
          </cell>
          <cell r="AK1024">
            <v>0.2</v>
          </cell>
          <cell r="AL1024">
            <v>1497022</v>
          </cell>
          <cell r="AM1024">
            <v>44225</v>
          </cell>
          <cell r="AN1024" t="str">
            <v>Yes</v>
          </cell>
          <cell r="AO1024">
            <v>0.8</v>
          </cell>
          <cell r="AP1024">
            <v>5988088</v>
          </cell>
          <cell r="AQ1024">
            <v>44264</v>
          </cell>
          <cell r="AR1024">
            <v>44264</v>
          </cell>
          <cell r="AS1024">
            <v>0</v>
          </cell>
          <cell r="AT1024">
            <v>0</v>
          </cell>
          <cell r="AX1024" t="str">
            <v>Yes</v>
          </cell>
          <cell r="AZ1024" t="str">
            <v>Y</v>
          </cell>
          <cell r="BA1024" t="str">
            <v>Yes</v>
          </cell>
        </row>
        <row r="1025">
          <cell r="B1025">
            <v>875</v>
          </cell>
          <cell r="C1025" t="str">
            <v>C49SZX20200181SX</v>
          </cell>
          <cell r="D1025" t="str">
            <v>东陆</v>
          </cell>
          <cell r="E1025" t="str">
            <v>YSM10</v>
          </cell>
          <cell r="F1025" t="str">
            <v>#76624</v>
          </cell>
          <cell r="G1025" t="e">
            <v>#REF!</v>
          </cell>
          <cell r="H1025" t="e">
            <v>#REF!</v>
          </cell>
          <cell r="I1025" t="str">
            <v>L-&gt;R</v>
          </cell>
          <cell r="J1025" t="str">
            <v>No</v>
          </cell>
          <cell r="K1025">
            <v>1</v>
          </cell>
          <cell r="L1025" t="str">
            <v>110151(拆分110270）</v>
          </cell>
          <cell r="M1025" t="str">
            <v>MAR 21</v>
          </cell>
          <cell r="N1025">
            <v>44267</v>
          </cell>
          <cell r="O1025">
            <v>11116533</v>
          </cell>
          <cell r="P1025">
            <v>7485110</v>
          </cell>
          <cell r="Q1025">
            <v>44256</v>
          </cell>
          <cell r="R1025" t="str">
            <v>No</v>
          </cell>
          <cell r="S1025" t="str">
            <v>C49</v>
          </cell>
          <cell r="T1025" t="str">
            <v>SOUTH</v>
          </cell>
          <cell r="U1025" t="str">
            <v>深圳</v>
          </cell>
          <cell r="V1025" t="str">
            <v>SZ 深圳</v>
          </cell>
          <cell r="W1025" t="str">
            <v>SX</v>
          </cell>
          <cell r="X1025" t="str">
            <v>JPY</v>
          </cell>
          <cell r="Y1025">
            <v>7485110</v>
          </cell>
          <cell r="Z1025">
            <v>1</v>
          </cell>
          <cell r="AA1025">
            <v>7485110</v>
          </cell>
          <cell r="AB1025">
            <v>7.4899999999999994E-2</v>
          </cell>
          <cell r="AC1025">
            <v>560634.73899999994</v>
          </cell>
          <cell r="AD1025">
            <v>67276.168679999988</v>
          </cell>
          <cell r="AE1025">
            <v>0.12</v>
          </cell>
          <cell r="AF1025">
            <v>44104</v>
          </cell>
          <cell r="AG1025" t="str">
            <v>DAP SZ</v>
          </cell>
          <cell r="AI1025"/>
          <cell r="AJ1025"/>
          <cell r="AK1025">
            <v>0.2</v>
          </cell>
          <cell r="AL1025">
            <v>1497022</v>
          </cell>
          <cell r="AM1025">
            <v>44225</v>
          </cell>
          <cell r="AN1025" t="str">
            <v>Yes</v>
          </cell>
          <cell r="AO1025">
            <v>0.8</v>
          </cell>
          <cell r="AP1025">
            <v>5988088</v>
          </cell>
          <cell r="AQ1025">
            <v>44264</v>
          </cell>
          <cell r="AR1025">
            <v>44264</v>
          </cell>
          <cell r="AS1025">
            <v>0</v>
          </cell>
          <cell r="AT1025">
            <v>0</v>
          </cell>
          <cell r="AX1025" t="str">
            <v>Yes</v>
          </cell>
          <cell r="AZ1025" t="str">
            <v>Y</v>
          </cell>
          <cell r="BA1025" t="str">
            <v>Yes</v>
          </cell>
        </row>
        <row r="1026">
          <cell r="B1026">
            <v>876</v>
          </cell>
          <cell r="C1026" t="str">
            <v>C49SZX20200173MX</v>
          </cell>
          <cell r="D1026" t="str">
            <v>日东（end user：远爱）</v>
          </cell>
          <cell r="E1026" t="str">
            <v>YSM10</v>
          </cell>
          <cell r="F1026" t="str">
            <v>#05097</v>
          </cell>
          <cell r="G1026" t="e">
            <v>#REF!</v>
          </cell>
          <cell r="H1026" t="e">
            <v>#REF!</v>
          </cell>
          <cell r="I1026" t="str">
            <v>L-&gt;R</v>
          </cell>
          <cell r="J1026" t="str">
            <v>No</v>
          </cell>
          <cell r="K1026">
            <v>1</v>
          </cell>
          <cell r="L1026" t="str">
            <v>110026（拆单110182）</v>
          </cell>
          <cell r="M1026" t="str">
            <v>DEC 20</v>
          </cell>
          <cell r="N1026">
            <v>44175</v>
          </cell>
          <cell r="O1026">
            <v>11100463</v>
          </cell>
          <cell r="P1026">
            <v>500000</v>
          </cell>
          <cell r="Q1026">
            <v>44166</v>
          </cell>
          <cell r="R1026" t="str">
            <v>Yes</v>
          </cell>
          <cell r="S1026" t="str">
            <v>C49</v>
          </cell>
          <cell r="T1026" t="str">
            <v>SOUTH</v>
          </cell>
          <cell r="U1026" t="str">
            <v>深圳</v>
          </cell>
          <cell r="V1026" t="str">
            <v>SZ 深圳</v>
          </cell>
          <cell r="W1026" t="str">
            <v>MX</v>
          </cell>
          <cell r="X1026" t="str">
            <v>RMB</v>
          </cell>
          <cell r="Y1026">
            <v>500000</v>
          </cell>
          <cell r="Z1026">
            <v>1.1299999999999999</v>
          </cell>
          <cell r="AA1026">
            <v>500000</v>
          </cell>
          <cell r="AB1026">
            <v>1.1299999999999999</v>
          </cell>
          <cell r="AC1026">
            <v>500000</v>
          </cell>
          <cell r="AD1026">
            <v>60000</v>
          </cell>
          <cell r="AE1026">
            <v>0.12</v>
          </cell>
          <cell r="AF1026">
            <v>44103</v>
          </cell>
          <cell r="AG1026" t="str">
            <v>含税到厂</v>
          </cell>
          <cell r="AK1026">
            <v>0.3</v>
          </cell>
          <cell r="AL1026">
            <v>150000</v>
          </cell>
          <cell r="AM1026">
            <v>44075</v>
          </cell>
          <cell r="AN1026" t="str">
            <v>Yes</v>
          </cell>
          <cell r="AO1026">
            <v>0.65</v>
          </cell>
          <cell r="AP1026">
            <v>325000</v>
          </cell>
          <cell r="AQ1026">
            <v>44155</v>
          </cell>
          <cell r="AR1026">
            <v>44160</v>
          </cell>
          <cell r="AS1026">
            <v>0.05</v>
          </cell>
          <cell r="AT1026">
            <v>25000</v>
          </cell>
          <cell r="AU1026">
            <v>44204</v>
          </cell>
          <cell r="AV1026">
            <v>44204</v>
          </cell>
          <cell r="AX1026" t="str">
            <v>Yes</v>
          </cell>
          <cell r="AZ1026" t="str">
            <v>Y</v>
          </cell>
        </row>
        <row r="1027">
          <cell r="B1027">
            <v>877</v>
          </cell>
          <cell r="C1027" t="str">
            <v>C49SZX20200173MX</v>
          </cell>
          <cell r="D1027" t="str">
            <v>日东（end user：远爱）</v>
          </cell>
          <cell r="E1027" t="str">
            <v>YSM10</v>
          </cell>
          <cell r="F1027" t="str">
            <v>#05097</v>
          </cell>
          <cell r="G1027" t="e">
            <v>#REF!</v>
          </cell>
          <cell r="H1027" t="e">
            <v>#REF!</v>
          </cell>
          <cell r="I1027" t="str">
            <v>L-&gt;R</v>
          </cell>
          <cell r="J1027" t="str">
            <v>No</v>
          </cell>
          <cell r="K1027">
            <v>1</v>
          </cell>
          <cell r="L1027" t="str">
            <v>110026（拆单110182）</v>
          </cell>
          <cell r="M1027" t="str">
            <v>DEC 20</v>
          </cell>
          <cell r="N1027">
            <v>44175</v>
          </cell>
          <cell r="O1027">
            <v>11100463</v>
          </cell>
          <cell r="P1027">
            <v>500000</v>
          </cell>
          <cell r="Q1027">
            <v>44166</v>
          </cell>
          <cell r="R1027" t="str">
            <v>Yes</v>
          </cell>
          <cell r="S1027" t="str">
            <v>C49</v>
          </cell>
          <cell r="T1027" t="str">
            <v>SOUTH</v>
          </cell>
          <cell r="U1027" t="str">
            <v>深圳</v>
          </cell>
          <cell r="V1027" t="str">
            <v>SZ 深圳</v>
          </cell>
          <cell r="W1027" t="str">
            <v>MX</v>
          </cell>
          <cell r="X1027" t="str">
            <v>RMB</v>
          </cell>
          <cell r="Y1027">
            <v>500000</v>
          </cell>
          <cell r="Z1027">
            <v>1.1299999999999999</v>
          </cell>
          <cell r="AA1027">
            <v>500000</v>
          </cell>
          <cell r="AB1027">
            <v>1.1299999999999999</v>
          </cell>
          <cell r="AC1027">
            <v>500000</v>
          </cell>
          <cell r="AD1027">
            <v>60000</v>
          </cell>
          <cell r="AE1027">
            <v>0.12</v>
          </cell>
          <cell r="AF1027">
            <v>44103</v>
          </cell>
          <cell r="AG1027" t="str">
            <v>含税到厂</v>
          </cell>
          <cell r="AK1027">
            <v>0.3</v>
          </cell>
          <cell r="AL1027">
            <v>150000</v>
          </cell>
          <cell r="AM1027">
            <v>44075</v>
          </cell>
          <cell r="AN1027" t="str">
            <v>Yes</v>
          </cell>
          <cell r="AO1027">
            <v>0.65</v>
          </cell>
          <cell r="AP1027">
            <v>325000</v>
          </cell>
          <cell r="AQ1027">
            <v>44155</v>
          </cell>
          <cell r="AR1027">
            <v>44160</v>
          </cell>
          <cell r="AS1027">
            <v>0.05</v>
          </cell>
          <cell r="AT1027">
            <v>25000</v>
          </cell>
          <cell r="AU1027">
            <v>44204</v>
          </cell>
          <cell r="AV1027">
            <v>44204</v>
          </cell>
          <cell r="AX1027" t="str">
            <v>Yes</v>
          </cell>
          <cell r="AZ1027" t="str">
            <v>Y</v>
          </cell>
        </row>
        <row r="1028">
          <cell r="B1028">
            <v>878</v>
          </cell>
          <cell r="C1028" t="str">
            <v>C49SZX20200182JY</v>
          </cell>
          <cell r="D1028" t="str">
            <v>百纳海</v>
          </cell>
          <cell r="E1028" t="str">
            <v>YSM20R-2</v>
          </cell>
          <cell r="F1028" t="str">
            <v>#04652</v>
          </cell>
          <cell r="G1028" t="e">
            <v>#REF!</v>
          </cell>
          <cell r="H1028" t="e">
            <v>#REF!</v>
          </cell>
          <cell r="I1028" t="str">
            <v>R-&gt;L</v>
          </cell>
          <cell r="J1028" t="str">
            <v>No</v>
          </cell>
          <cell r="K1028">
            <v>1</v>
          </cell>
          <cell r="L1028">
            <v>110105</v>
          </cell>
          <cell r="M1028" t="str">
            <v>JAN 21</v>
          </cell>
          <cell r="N1028">
            <v>44217</v>
          </cell>
          <cell r="O1028">
            <v>11116499</v>
          </cell>
          <cell r="P1028">
            <v>12600000</v>
          </cell>
          <cell r="Q1028">
            <v>44197</v>
          </cell>
          <cell r="R1028" t="str">
            <v>No</v>
          </cell>
          <cell r="S1028" t="str">
            <v>C49</v>
          </cell>
          <cell r="T1028" t="str">
            <v>SOUTH</v>
          </cell>
          <cell r="U1028" t="str">
            <v>深圳</v>
          </cell>
          <cell r="V1028" t="str">
            <v>SZ 深圳</v>
          </cell>
          <cell r="W1028" t="str">
            <v>JY</v>
          </cell>
          <cell r="X1028" t="str">
            <v>JPY</v>
          </cell>
          <cell r="Y1028">
            <v>12600000</v>
          </cell>
          <cell r="Z1028">
            <v>1</v>
          </cell>
          <cell r="AA1028">
            <v>12600000</v>
          </cell>
          <cell r="AB1028">
            <v>7.4899999999999994E-2</v>
          </cell>
          <cell r="AC1028">
            <v>943739.99999999988</v>
          </cell>
          <cell r="AD1028">
            <v>113248.79999999999</v>
          </cell>
          <cell r="AE1028">
            <v>0.12</v>
          </cell>
          <cell r="AF1028">
            <v>44117</v>
          </cell>
          <cell r="AG1028" t="str">
            <v>DAP SZ</v>
          </cell>
          <cell r="AK1028">
            <v>0.1</v>
          </cell>
          <cell r="AL1028">
            <v>1260000</v>
          </cell>
          <cell r="AM1028">
            <v>44105</v>
          </cell>
          <cell r="AN1028" t="str">
            <v>Yes</v>
          </cell>
          <cell r="AO1028">
            <v>0.9</v>
          </cell>
          <cell r="AP1028">
            <v>11340000</v>
          </cell>
          <cell r="AQ1028">
            <v>44166</v>
          </cell>
          <cell r="AR1028">
            <v>44190</v>
          </cell>
          <cell r="AS1028">
            <v>0</v>
          </cell>
          <cell r="AT1028">
            <v>0</v>
          </cell>
          <cell r="AX1028" t="str">
            <v>Yes</v>
          </cell>
          <cell r="AZ1028" t="str">
            <v>Yes</v>
          </cell>
        </row>
        <row r="1029">
          <cell r="B1029">
            <v>879</v>
          </cell>
          <cell r="C1029" t="str">
            <v>C49SZX20200187SX</v>
          </cell>
          <cell r="D1029" t="str">
            <v>亿莱</v>
          </cell>
          <cell r="E1029" t="str">
            <v>YSM10</v>
          </cell>
          <cell r="F1029" t="str">
            <v>#05099</v>
          </cell>
          <cell r="G1029" t="e">
            <v>#REF!</v>
          </cell>
          <cell r="H1029" t="e">
            <v>#REF!</v>
          </cell>
          <cell r="I1029" t="str">
            <v>L-&gt;R</v>
          </cell>
          <cell r="J1029" t="str">
            <v>MVC</v>
          </cell>
          <cell r="K1029">
            <v>1</v>
          </cell>
          <cell r="L1029" t="str">
            <v>110044（拆单110207）</v>
          </cell>
          <cell r="M1029" t="str">
            <v>DEC 20</v>
          </cell>
          <cell r="N1029">
            <v>44183</v>
          </cell>
          <cell r="O1029">
            <v>11100464</v>
          </cell>
          <cell r="P1029">
            <v>555000</v>
          </cell>
          <cell r="Q1029">
            <v>44166</v>
          </cell>
          <cell r="R1029" t="str">
            <v>Yes</v>
          </cell>
          <cell r="S1029" t="str">
            <v>C49</v>
          </cell>
          <cell r="T1029" t="str">
            <v>SOUTH</v>
          </cell>
          <cell r="U1029" t="str">
            <v>深圳</v>
          </cell>
          <cell r="V1029" t="str">
            <v>SZ 深圳</v>
          </cell>
          <cell r="W1029" t="str">
            <v>SX</v>
          </cell>
          <cell r="X1029" t="str">
            <v>RMB</v>
          </cell>
          <cell r="Y1029">
            <v>555000</v>
          </cell>
          <cell r="Z1029">
            <v>1.1299999999999999</v>
          </cell>
          <cell r="AA1029">
            <v>555000</v>
          </cell>
          <cell r="AB1029">
            <v>1.135</v>
          </cell>
          <cell r="AC1029">
            <v>557455.75221238937</v>
          </cell>
          <cell r="AD1029">
            <v>66894.690265486715</v>
          </cell>
          <cell r="AE1029">
            <v>0.12</v>
          </cell>
          <cell r="AF1029">
            <v>44116</v>
          </cell>
          <cell r="AG1029" t="str">
            <v>含税到厂</v>
          </cell>
          <cell r="AI1029" t="str">
            <v>CNY 50,000</v>
          </cell>
          <cell r="AJ1029">
            <v>44123</v>
          </cell>
          <cell r="AK1029">
            <v>0.1</v>
          </cell>
          <cell r="AL1029">
            <v>55500</v>
          </cell>
          <cell r="AM1029">
            <v>44136</v>
          </cell>
          <cell r="AN1029" t="str">
            <v>Yes</v>
          </cell>
          <cell r="AO1029">
            <v>0.9</v>
          </cell>
          <cell r="AP1029">
            <v>499500</v>
          </cell>
          <cell r="AQ1029">
            <v>44166</v>
          </cell>
          <cell r="AR1029">
            <v>44176</v>
          </cell>
          <cell r="AS1029">
            <v>0</v>
          </cell>
          <cell r="AT1029">
            <v>0</v>
          </cell>
          <cell r="AX1029" t="str">
            <v>Yes</v>
          </cell>
          <cell r="AZ1029" t="str">
            <v>Yes</v>
          </cell>
          <cell r="BA1029" t="str">
            <v>Yes</v>
          </cell>
        </row>
        <row r="1030">
          <cell r="B1030">
            <v>880</v>
          </cell>
          <cell r="C1030" t="str">
            <v>C49SZX20200187SX</v>
          </cell>
          <cell r="D1030" t="str">
            <v>亿莱</v>
          </cell>
          <cell r="E1030" t="str">
            <v>YSM10</v>
          </cell>
          <cell r="F1030" t="str">
            <v>#05099</v>
          </cell>
          <cell r="G1030" t="e">
            <v>#REF!</v>
          </cell>
          <cell r="H1030" t="e">
            <v>#REF!</v>
          </cell>
          <cell r="I1030" t="str">
            <v>L-&gt;R</v>
          </cell>
          <cell r="J1030" t="str">
            <v>MVC</v>
          </cell>
          <cell r="K1030">
            <v>1</v>
          </cell>
          <cell r="L1030" t="str">
            <v>110044（拆单110207）</v>
          </cell>
          <cell r="M1030" t="str">
            <v>DEC 20</v>
          </cell>
          <cell r="N1030">
            <v>44183</v>
          </cell>
          <cell r="O1030">
            <v>11100464</v>
          </cell>
          <cell r="P1030">
            <v>555000</v>
          </cell>
          <cell r="Q1030">
            <v>44167</v>
          </cell>
          <cell r="R1030" t="str">
            <v>Yes</v>
          </cell>
          <cell r="S1030" t="str">
            <v>C49</v>
          </cell>
          <cell r="T1030" t="str">
            <v>SOUTH</v>
          </cell>
          <cell r="U1030" t="str">
            <v>深圳</v>
          </cell>
          <cell r="V1030" t="str">
            <v>SZ 深圳</v>
          </cell>
          <cell r="W1030" t="str">
            <v>SX</v>
          </cell>
          <cell r="X1030" t="str">
            <v>RMB</v>
          </cell>
          <cell r="Y1030">
            <v>555000</v>
          </cell>
          <cell r="Z1030">
            <v>1.1299999999999999</v>
          </cell>
          <cell r="AA1030">
            <v>555000</v>
          </cell>
          <cell r="AB1030">
            <v>1.135</v>
          </cell>
          <cell r="AC1030">
            <v>557455.75221238937</v>
          </cell>
          <cell r="AD1030">
            <v>66894.690265486715</v>
          </cell>
          <cell r="AE1030">
            <v>0.12</v>
          </cell>
          <cell r="AF1030">
            <v>44116</v>
          </cell>
          <cell r="AG1030" t="str">
            <v>含税到厂</v>
          </cell>
          <cell r="AI1030"/>
          <cell r="AJ1030"/>
          <cell r="AK1030">
            <v>0.1</v>
          </cell>
          <cell r="AL1030">
            <v>55500</v>
          </cell>
          <cell r="AM1030">
            <v>44136</v>
          </cell>
          <cell r="AN1030" t="str">
            <v>Yes</v>
          </cell>
          <cell r="AO1030">
            <v>0.9</v>
          </cell>
          <cell r="AP1030">
            <v>499500</v>
          </cell>
          <cell r="AQ1030">
            <v>44166</v>
          </cell>
          <cell r="AR1030">
            <v>44176</v>
          </cell>
          <cell r="AS1030">
            <v>0</v>
          </cell>
          <cell r="AT1030">
            <v>0</v>
          </cell>
          <cell r="AX1030" t="str">
            <v>Yes</v>
          </cell>
          <cell r="AZ1030" t="str">
            <v>Yes</v>
          </cell>
          <cell r="BA1030" t="str">
            <v>Yes</v>
          </cell>
        </row>
        <row r="1031">
          <cell r="B1031">
            <v>881</v>
          </cell>
          <cell r="C1031" t="str">
            <v>C49SZX20200187SX</v>
          </cell>
          <cell r="D1031" t="str">
            <v>亿莱</v>
          </cell>
          <cell r="E1031" t="str">
            <v>YSM20R-2</v>
          </cell>
          <cell r="F1031" t="str">
            <v>#05099</v>
          </cell>
          <cell r="G1031" t="e">
            <v>#REF!</v>
          </cell>
          <cell r="H1031" t="e">
            <v>#REF!</v>
          </cell>
          <cell r="I1031" t="str">
            <v>L-&gt;R</v>
          </cell>
          <cell r="J1031" t="str">
            <v>No</v>
          </cell>
          <cell r="K1031">
            <v>1</v>
          </cell>
          <cell r="L1031" t="str">
            <v>110110（拆单110180）</v>
          </cell>
          <cell r="M1031" t="str">
            <v>DEC 20</v>
          </cell>
          <cell r="N1031">
            <v>44183</v>
          </cell>
          <cell r="O1031">
            <v>11100464</v>
          </cell>
          <cell r="P1031">
            <v>1000000</v>
          </cell>
          <cell r="Q1031">
            <v>44168</v>
          </cell>
          <cell r="R1031" t="str">
            <v>Yes</v>
          </cell>
          <cell r="S1031" t="str">
            <v>C49</v>
          </cell>
          <cell r="T1031" t="str">
            <v>SOUTH</v>
          </cell>
          <cell r="U1031" t="str">
            <v>深圳</v>
          </cell>
          <cell r="V1031" t="str">
            <v>SZ 深圳</v>
          </cell>
          <cell r="W1031" t="str">
            <v>SX</v>
          </cell>
          <cell r="X1031" t="str">
            <v>RMB</v>
          </cell>
          <cell r="Y1031">
            <v>1000000</v>
          </cell>
          <cell r="Z1031">
            <v>1.1299999999999999</v>
          </cell>
          <cell r="AA1031">
            <v>1000000</v>
          </cell>
          <cell r="AB1031">
            <v>1.135</v>
          </cell>
          <cell r="AC1031">
            <v>1004424.7787610621</v>
          </cell>
          <cell r="AD1031">
            <v>120530.97345132745</v>
          </cell>
          <cell r="AE1031">
            <v>0.12</v>
          </cell>
          <cell r="AF1031">
            <v>44116</v>
          </cell>
          <cell r="AG1031" t="str">
            <v>含税到厂</v>
          </cell>
          <cell r="AI1031"/>
          <cell r="AJ1031"/>
          <cell r="AK1031">
            <v>0.1</v>
          </cell>
          <cell r="AL1031">
            <v>100000</v>
          </cell>
          <cell r="AM1031">
            <v>44136</v>
          </cell>
          <cell r="AN1031" t="str">
            <v>Yes</v>
          </cell>
          <cell r="AO1031">
            <v>0.9</v>
          </cell>
          <cell r="AP1031">
            <v>900000</v>
          </cell>
          <cell r="AQ1031">
            <v>44166</v>
          </cell>
          <cell r="AR1031">
            <v>44176</v>
          </cell>
          <cell r="AS1031">
            <v>0</v>
          </cell>
          <cell r="AT1031">
            <v>0</v>
          </cell>
          <cell r="AX1031" t="str">
            <v>Yes</v>
          </cell>
          <cell r="AZ1031" t="str">
            <v>Yes</v>
          </cell>
          <cell r="BA1031" t="str">
            <v>Yes</v>
          </cell>
        </row>
        <row r="1032">
          <cell r="B1032">
            <v>882</v>
          </cell>
          <cell r="C1032" t="str">
            <v>C49SZX20200113SS</v>
          </cell>
          <cell r="D1032" t="str">
            <v>派勤</v>
          </cell>
          <cell r="E1032" t="str">
            <v>YSM20R-2</v>
          </cell>
          <cell r="F1032" t="str">
            <v>#05132</v>
          </cell>
          <cell r="G1032" t="e">
            <v>#REF!</v>
          </cell>
          <cell r="H1032" t="e">
            <v>#REF!</v>
          </cell>
          <cell r="I1032" t="str">
            <v>L-&gt;R</v>
          </cell>
          <cell r="J1032" t="str">
            <v>No</v>
          </cell>
          <cell r="K1032">
            <v>1</v>
          </cell>
          <cell r="L1032" t="str">
            <v>110106（拆单110208）</v>
          </cell>
          <cell r="M1032" t="str">
            <v>JAN 21</v>
          </cell>
          <cell r="N1032">
            <v>44226</v>
          </cell>
          <cell r="O1032">
            <v>11116502</v>
          </cell>
          <cell r="P1032">
            <v>15450000</v>
          </cell>
          <cell r="Q1032">
            <v>44197</v>
          </cell>
          <cell r="R1032" t="str">
            <v>Yes</v>
          </cell>
          <cell r="S1032" t="str">
            <v>C49</v>
          </cell>
          <cell r="T1032" t="str">
            <v>SOUTH</v>
          </cell>
          <cell r="U1032" t="str">
            <v>深圳</v>
          </cell>
          <cell r="V1032" t="str">
            <v>SZ 深圳</v>
          </cell>
          <cell r="W1032" t="str">
            <v>SS</v>
          </cell>
          <cell r="X1032" t="str">
            <v>JPY</v>
          </cell>
          <cell r="Y1032">
            <v>15450000</v>
          </cell>
          <cell r="Z1032">
            <v>1</v>
          </cell>
          <cell r="AA1032">
            <v>15450000</v>
          </cell>
          <cell r="AB1032">
            <v>7.4899999999999994E-2</v>
          </cell>
          <cell r="AC1032">
            <v>1157205</v>
          </cell>
          <cell r="AD1032">
            <v>138864.6</v>
          </cell>
          <cell r="AE1032">
            <v>0.12</v>
          </cell>
          <cell r="AF1032">
            <v>44119</v>
          </cell>
          <cell r="AG1032" t="str">
            <v>DAP SZ</v>
          </cell>
          <cell r="AK1032">
            <v>0.1</v>
          </cell>
          <cell r="AL1032">
            <v>1545000</v>
          </cell>
          <cell r="AM1032">
            <v>44105</v>
          </cell>
          <cell r="AN1032" t="str">
            <v>Yes</v>
          </cell>
          <cell r="AO1032">
            <v>0.9</v>
          </cell>
          <cell r="AP1032">
            <v>13905000</v>
          </cell>
          <cell r="AQ1032">
            <v>44223</v>
          </cell>
          <cell r="AR1032">
            <v>44223</v>
          </cell>
          <cell r="AS1032">
            <v>0</v>
          </cell>
          <cell r="AT1032">
            <v>0</v>
          </cell>
          <cell r="AX1032" t="str">
            <v>Yes</v>
          </cell>
          <cell r="AZ1032" t="str">
            <v>Yes</v>
          </cell>
          <cell r="BA1032" t="str">
            <v>Yes</v>
          </cell>
        </row>
        <row r="1033">
          <cell r="B1033">
            <v>883</v>
          </cell>
          <cell r="C1033" t="str">
            <v>C49SZX20200113SS</v>
          </cell>
          <cell r="D1033" t="str">
            <v>派勤</v>
          </cell>
          <cell r="E1033" t="str">
            <v>YSM20R-2</v>
          </cell>
          <cell r="F1033" t="str">
            <v>#05132</v>
          </cell>
          <cell r="G1033" t="e">
            <v>#REF!</v>
          </cell>
          <cell r="H1033" t="e">
            <v>#REF!</v>
          </cell>
          <cell r="I1033" t="str">
            <v>L-&gt;R</v>
          </cell>
          <cell r="J1033" t="str">
            <v>cATS10+MVC</v>
          </cell>
          <cell r="K1033">
            <v>1</v>
          </cell>
          <cell r="L1033">
            <v>110068</v>
          </cell>
          <cell r="M1033" t="str">
            <v>JAN 21</v>
          </cell>
          <cell r="N1033">
            <v>44226</v>
          </cell>
          <cell r="O1033">
            <v>11116502</v>
          </cell>
          <cell r="P1033">
            <v>15450000</v>
          </cell>
          <cell r="Q1033">
            <v>44198</v>
          </cell>
          <cell r="R1033" t="str">
            <v>Yes</v>
          </cell>
          <cell r="S1033" t="str">
            <v>C49</v>
          </cell>
          <cell r="T1033" t="str">
            <v>SOUTH</v>
          </cell>
          <cell r="U1033" t="str">
            <v>深圳</v>
          </cell>
          <cell r="V1033" t="str">
            <v>SZ 深圳</v>
          </cell>
          <cell r="W1033" t="str">
            <v>SS</v>
          </cell>
          <cell r="X1033" t="str">
            <v>JPY</v>
          </cell>
          <cell r="Y1033">
            <v>15450000</v>
          </cell>
          <cell r="Z1033">
            <v>1</v>
          </cell>
          <cell r="AA1033">
            <v>15450000</v>
          </cell>
          <cell r="AB1033">
            <v>7.4899999999999994E-2</v>
          </cell>
          <cell r="AC1033">
            <v>1157205</v>
          </cell>
          <cell r="AD1033">
            <v>138864.6</v>
          </cell>
          <cell r="AE1033">
            <v>0.12</v>
          </cell>
          <cell r="AF1033">
            <v>44119</v>
          </cell>
          <cell r="AG1033" t="str">
            <v>DAP SZ</v>
          </cell>
          <cell r="AK1033">
            <v>0.1</v>
          </cell>
          <cell r="AL1033">
            <v>1545000</v>
          </cell>
          <cell r="AM1033">
            <v>44105</v>
          </cell>
          <cell r="AN1033" t="str">
            <v>Yes</v>
          </cell>
          <cell r="AO1033">
            <v>0.9</v>
          </cell>
          <cell r="AP1033">
            <v>13905000</v>
          </cell>
          <cell r="AQ1033">
            <v>44223</v>
          </cell>
          <cell r="AR1033">
            <v>44223</v>
          </cell>
          <cell r="AS1033">
            <v>0</v>
          </cell>
          <cell r="AT1033">
            <v>0</v>
          </cell>
          <cell r="AX1033" t="str">
            <v>Yes</v>
          </cell>
          <cell r="AZ1033" t="str">
            <v>Yes</v>
          </cell>
          <cell r="BA1033" t="str">
            <v>Yes</v>
          </cell>
        </row>
        <row r="1034">
          <cell r="B1034">
            <v>884</v>
          </cell>
          <cell r="C1034" t="str">
            <v>C49SZX20210003JY</v>
          </cell>
          <cell r="D1034" t="str">
            <v>光瑞新（end user：海纳科）</v>
          </cell>
          <cell r="E1034" t="str">
            <v>YSM10</v>
          </cell>
          <cell r="F1034" t="str">
            <v>#04818</v>
          </cell>
          <cell r="G1034" t="e">
            <v>#REF!</v>
          </cell>
          <cell r="H1034" t="e">
            <v>#REF!</v>
          </cell>
          <cell r="I1034" t="str">
            <v>R-&gt;L</v>
          </cell>
          <cell r="J1034" t="str">
            <v>MVC</v>
          </cell>
          <cell r="K1034">
            <v>1</v>
          </cell>
          <cell r="L1034">
            <v>110066</v>
          </cell>
          <cell r="M1034" t="str">
            <v>JAN 21</v>
          </cell>
          <cell r="N1034">
            <v>44211</v>
          </cell>
          <cell r="O1034">
            <v>11116504</v>
          </cell>
          <cell r="P1034">
            <v>7771400</v>
          </cell>
          <cell r="Q1034">
            <v>44197</v>
          </cell>
          <cell r="R1034" t="str">
            <v>No</v>
          </cell>
          <cell r="S1034" t="str">
            <v>C49</v>
          </cell>
          <cell r="T1034" t="str">
            <v>SOUTH</v>
          </cell>
          <cell r="U1034" t="str">
            <v>深圳</v>
          </cell>
          <cell r="V1034" t="str">
            <v>SZ 深圳</v>
          </cell>
          <cell r="W1034" t="str">
            <v>JY</v>
          </cell>
          <cell r="X1034" t="str">
            <v>JPY</v>
          </cell>
          <cell r="Y1034">
            <v>7771400</v>
          </cell>
          <cell r="Z1034">
            <v>1</v>
          </cell>
          <cell r="AA1034">
            <v>7771400</v>
          </cell>
          <cell r="AB1034">
            <v>7.6799999999999993E-2</v>
          </cell>
          <cell r="AC1034">
            <v>596843.5199999999</v>
          </cell>
          <cell r="AD1034">
            <v>71621.222399999984</v>
          </cell>
          <cell r="AE1034">
            <v>0.12</v>
          </cell>
          <cell r="AF1034">
            <v>44119</v>
          </cell>
          <cell r="AG1034" t="str">
            <v>DAP SZ</v>
          </cell>
          <cell r="AI1034" t="str">
            <v>CNY 10,0000</v>
          </cell>
          <cell r="AJ1034">
            <v>44032</v>
          </cell>
          <cell r="AK1034">
            <v>0.2</v>
          </cell>
          <cell r="AL1034">
            <v>1554280</v>
          </cell>
          <cell r="AN1034" t="str">
            <v>Yes</v>
          </cell>
          <cell r="AO1034">
            <v>0.8</v>
          </cell>
          <cell r="AP1034">
            <v>6217120</v>
          </cell>
          <cell r="AQ1034">
            <v>44209</v>
          </cell>
          <cell r="AR1034">
            <v>44209</v>
          </cell>
          <cell r="AS1034">
            <v>0</v>
          </cell>
          <cell r="AT1034">
            <v>0</v>
          </cell>
          <cell r="AX1034" t="str">
            <v>Yes</v>
          </cell>
          <cell r="AZ1034" t="str">
            <v>Yes</v>
          </cell>
          <cell r="BA1034" t="str">
            <v>Yes</v>
          </cell>
        </row>
        <row r="1035">
          <cell r="B1035">
            <v>885</v>
          </cell>
          <cell r="C1035" t="str">
            <v>C49SZX20210003JY</v>
          </cell>
          <cell r="D1035" t="str">
            <v>光瑞新（end user：海纳科）</v>
          </cell>
          <cell r="E1035" t="str">
            <v>YSM10</v>
          </cell>
          <cell r="F1035" t="str">
            <v>#04818</v>
          </cell>
          <cell r="G1035" t="e">
            <v>#REF!</v>
          </cell>
          <cell r="H1035" t="e">
            <v>#REF!</v>
          </cell>
          <cell r="I1035" t="str">
            <v>R-&gt;L</v>
          </cell>
          <cell r="J1035" t="str">
            <v>MVC</v>
          </cell>
          <cell r="K1035">
            <v>1</v>
          </cell>
          <cell r="L1035">
            <v>110066</v>
          </cell>
          <cell r="M1035" t="str">
            <v>JAN 21</v>
          </cell>
          <cell r="N1035">
            <v>44211</v>
          </cell>
          <cell r="O1035">
            <v>11116504</v>
          </cell>
          <cell r="P1035">
            <v>7771400</v>
          </cell>
          <cell r="Q1035">
            <v>44197</v>
          </cell>
          <cell r="R1035" t="str">
            <v>No</v>
          </cell>
          <cell r="S1035" t="str">
            <v>C49</v>
          </cell>
          <cell r="T1035" t="str">
            <v>SOUTH</v>
          </cell>
          <cell r="U1035" t="str">
            <v>深圳</v>
          </cell>
          <cell r="V1035" t="str">
            <v>SZ 深圳</v>
          </cell>
          <cell r="W1035" t="str">
            <v>JY</v>
          </cell>
          <cell r="X1035" t="str">
            <v>JPY</v>
          </cell>
          <cell r="Y1035">
            <v>7771400</v>
          </cell>
          <cell r="Z1035">
            <v>1</v>
          </cell>
          <cell r="AA1035">
            <v>7771400</v>
          </cell>
          <cell r="AB1035">
            <v>7.6799999999999993E-2</v>
          </cell>
          <cell r="AC1035">
            <v>596843.5199999999</v>
          </cell>
          <cell r="AD1035">
            <v>71621.222399999984</v>
          </cell>
          <cell r="AE1035">
            <v>0.12</v>
          </cell>
          <cell r="AF1035">
            <v>44119</v>
          </cell>
          <cell r="AG1035" t="str">
            <v>DAP SZ</v>
          </cell>
          <cell r="AI1035"/>
          <cell r="AJ1035"/>
          <cell r="AK1035">
            <v>0.2</v>
          </cell>
          <cell r="AL1035">
            <v>1554280</v>
          </cell>
          <cell r="AN1035" t="str">
            <v>Yes</v>
          </cell>
          <cell r="AO1035">
            <v>0.8</v>
          </cell>
          <cell r="AP1035">
            <v>6217120</v>
          </cell>
          <cell r="AQ1035">
            <v>44209</v>
          </cell>
          <cell r="AR1035">
            <v>44209</v>
          </cell>
          <cell r="AS1035">
            <v>0</v>
          </cell>
          <cell r="AT1035">
            <v>0</v>
          </cell>
          <cell r="AX1035" t="str">
            <v>Yes</v>
          </cell>
          <cell r="AZ1035" t="str">
            <v>Yes</v>
          </cell>
          <cell r="BA1035" t="str">
            <v>Yes</v>
          </cell>
        </row>
        <row r="1036">
          <cell r="B1036">
            <v>886</v>
          </cell>
          <cell r="C1036" t="str">
            <v>C49SZX20200158JL</v>
          </cell>
          <cell r="D1036" t="str">
            <v>瑞福联</v>
          </cell>
          <cell r="E1036" t="str">
            <v>YSM20R-2</v>
          </cell>
          <cell r="F1036" t="str">
            <v>#75724</v>
          </cell>
          <cell r="G1036" t="e">
            <v>#REF!</v>
          </cell>
          <cell r="H1036" t="e">
            <v>#REF!</v>
          </cell>
          <cell r="I1036" t="str">
            <v>L-&gt;R</v>
          </cell>
          <cell r="J1036" t="str">
            <v>No</v>
          </cell>
          <cell r="K1036">
            <v>1</v>
          </cell>
          <cell r="L1036" t="e">
            <v>#N/A</v>
          </cell>
          <cell r="M1036" t="e">
            <v>#N/A</v>
          </cell>
          <cell r="N1036"/>
          <cell r="O1036"/>
          <cell r="P1036"/>
          <cell r="Q1036"/>
          <cell r="R1036" t="str">
            <v>No</v>
          </cell>
          <cell r="S1036" t="str">
            <v>C49</v>
          </cell>
          <cell r="T1036" t="str">
            <v>SOUTH</v>
          </cell>
          <cell r="U1036" t="str">
            <v>深圳</v>
          </cell>
          <cell r="V1036" t="str">
            <v>SZ 深圳</v>
          </cell>
          <cell r="W1036" t="str">
            <v>JL</v>
          </cell>
          <cell r="X1036" t="str">
            <v>JPY</v>
          </cell>
          <cell r="Y1036">
            <v>15000000</v>
          </cell>
          <cell r="Z1036">
            <v>1</v>
          </cell>
          <cell r="AA1036">
            <v>15000000</v>
          </cell>
          <cell r="AB1036">
            <v>7.4899999999999994E-2</v>
          </cell>
          <cell r="AC1036">
            <v>1123500</v>
          </cell>
          <cell r="AD1036">
            <v>134820</v>
          </cell>
          <cell r="AE1036">
            <v>0.12</v>
          </cell>
          <cell r="AF1036">
            <v>44118</v>
          </cell>
          <cell r="AG1036" t="str">
            <v>CIF HK</v>
          </cell>
          <cell r="AI1036"/>
          <cell r="AJ1036"/>
          <cell r="AK1036"/>
          <cell r="AL1036">
            <v>0</v>
          </cell>
          <cell r="AM1036">
            <v>44127</v>
          </cell>
          <cell r="AN1036" t="str">
            <v>Yes</v>
          </cell>
          <cell r="AO1036">
            <v>0.8</v>
          </cell>
          <cell r="AP1036">
            <v>12000000</v>
          </cell>
          <cell r="AQ1036"/>
          <cell r="AR1036"/>
          <cell r="AS1036">
            <v>0</v>
          </cell>
          <cell r="AT1036">
            <v>0</v>
          </cell>
          <cell r="AV1036"/>
          <cell r="AX1036" t="str">
            <v>Cancel</v>
          </cell>
          <cell r="AY1036"/>
          <cell r="AZ1036"/>
          <cell r="BA1036"/>
        </row>
        <row r="1037">
          <cell r="B1037">
            <v>887</v>
          </cell>
          <cell r="C1037" t="str">
            <v>C49SZX20200190SS</v>
          </cell>
          <cell r="D1037" t="str">
            <v>维益</v>
          </cell>
          <cell r="E1037" t="str">
            <v>YSM20R-2</v>
          </cell>
          <cell r="F1037" t="str">
            <v>#79904</v>
          </cell>
          <cell r="G1037" t="e">
            <v>#REF!</v>
          </cell>
          <cell r="H1037" t="e">
            <v>#REF!</v>
          </cell>
          <cell r="I1037" t="str">
            <v>L-&gt;R</v>
          </cell>
          <cell r="J1037" t="str">
            <v>No</v>
          </cell>
          <cell r="K1037">
            <v>1</v>
          </cell>
          <cell r="L1037">
            <v>110158</v>
          </cell>
          <cell r="M1037" t="str">
            <v>DEC 20</v>
          </cell>
          <cell r="N1037">
            <v>44190</v>
          </cell>
          <cell r="O1037">
            <v>11116481</v>
          </cell>
          <cell r="P1037">
            <v>11930000</v>
          </cell>
          <cell r="Q1037">
            <v>44166</v>
          </cell>
          <cell r="R1037" t="str">
            <v>No</v>
          </cell>
          <cell r="S1037" t="str">
            <v>C49</v>
          </cell>
          <cell r="T1037" t="str">
            <v>SOUTH</v>
          </cell>
          <cell r="U1037" t="str">
            <v>深圳</v>
          </cell>
          <cell r="V1037" t="str">
            <v>SZ 深圳</v>
          </cell>
          <cell r="W1037" t="str">
            <v>SS</v>
          </cell>
          <cell r="X1037" t="str">
            <v>JPY</v>
          </cell>
          <cell r="Y1037">
            <v>11930000</v>
          </cell>
          <cell r="Z1037">
            <v>1</v>
          </cell>
          <cell r="AA1037">
            <v>11930000</v>
          </cell>
          <cell r="AB1037">
            <v>7.4899999999999994E-2</v>
          </cell>
          <cell r="AC1037">
            <v>893556.99999999988</v>
          </cell>
          <cell r="AD1037">
            <v>107226.83999999998</v>
          </cell>
          <cell r="AE1037">
            <v>0.12</v>
          </cell>
          <cell r="AF1037">
            <v>44123</v>
          </cell>
          <cell r="AG1037" t="str">
            <v>DAP SZ</v>
          </cell>
          <cell r="AK1037">
            <v>0.6</v>
          </cell>
          <cell r="AL1037">
            <v>7158000</v>
          </cell>
          <cell r="AM1037">
            <v>44105</v>
          </cell>
          <cell r="AN1037" t="str">
            <v>Yes</v>
          </cell>
          <cell r="AO1037">
            <v>0.4</v>
          </cell>
          <cell r="AP1037">
            <v>4772000</v>
          </cell>
          <cell r="AS1037">
            <v>0</v>
          </cell>
          <cell r="AT1037">
            <v>0</v>
          </cell>
          <cell r="AX1037" t="str">
            <v>Yes</v>
          </cell>
          <cell r="AZ1037" t="str">
            <v>Y</v>
          </cell>
        </row>
        <row r="1038">
          <cell r="B1038">
            <v>888</v>
          </cell>
          <cell r="C1038" t="str">
            <v>C49SZX20200193SX</v>
          </cell>
          <cell r="D1038" t="str">
            <v>晨鑫达</v>
          </cell>
          <cell r="E1038" t="str">
            <v>YSM20R(SV)-2</v>
          </cell>
          <cell r="F1038" t="str">
            <v>#43964</v>
          </cell>
          <cell r="G1038" t="e">
            <v>#REF!</v>
          </cell>
          <cell r="H1038" t="e">
            <v>#REF!</v>
          </cell>
          <cell r="I1038" t="str">
            <v>L-&gt;R</v>
          </cell>
          <cell r="J1038" t="str">
            <v>cATS10+MVC</v>
          </cell>
          <cell r="K1038">
            <v>1</v>
          </cell>
          <cell r="L1038" t="str">
            <v>109917新建PO110003</v>
          </cell>
          <cell r="M1038" t="str">
            <v>OCT 20</v>
          </cell>
          <cell r="N1038">
            <v>44127</v>
          </cell>
          <cell r="O1038">
            <v>11116448</v>
          </cell>
          <cell r="P1038">
            <v>140000</v>
          </cell>
          <cell r="Q1038">
            <v>44105</v>
          </cell>
          <cell r="R1038" t="str">
            <v>No</v>
          </cell>
          <cell r="S1038" t="str">
            <v>C49</v>
          </cell>
          <cell r="T1038" t="str">
            <v>SOUTH</v>
          </cell>
          <cell r="U1038" t="str">
            <v>深圳</v>
          </cell>
          <cell r="V1038" t="str">
            <v>SZ 深圳</v>
          </cell>
          <cell r="W1038" t="str">
            <v>SX</v>
          </cell>
          <cell r="X1038" t="str">
            <v>USD</v>
          </cell>
          <cell r="Y1038">
            <v>140000</v>
          </cell>
          <cell r="Z1038">
            <v>1</v>
          </cell>
          <cell r="AA1038">
            <v>140000</v>
          </cell>
          <cell r="AB1038">
            <v>7.8</v>
          </cell>
          <cell r="AC1038">
            <v>1092000</v>
          </cell>
          <cell r="AD1038">
            <v>131040</v>
          </cell>
          <cell r="AE1038">
            <v>0.12</v>
          </cell>
          <cell r="AF1038">
            <v>44125</v>
          </cell>
          <cell r="AG1038" t="str">
            <v>DAP SZ</v>
          </cell>
          <cell r="AK1038">
            <v>0.2</v>
          </cell>
          <cell r="AL1038">
            <v>28000</v>
          </cell>
          <cell r="AM1038">
            <v>44105</v>
          </cell>
          <cell r="AN1038" t="str">
            <v>Yes</v>
          </cell>
          <cell r="AO1038">
            <v>0.8</v>
          </cell>
          <cell r="AP1038">
            <v>112000</v>
          </cell>
          <cell r="AQ1038">
            <v>44126</v>
          </cell>
          <cell r="AR1038">
            <v>44126</v>
          </cell>
          <cell r="AS1038">
            <v>0</v>
          </cell>
          <cell r="AT1038">
            <v>0</v>
          </cell>
          <cell r="AX1038" t="str">
            <v>Yes</v>
          </cell>
          <cell r="AZ1038" t="str">
            <v>Yes</v>
          </cell>
          <cell r="BA1038" t="str">
            <v>Yes</v>
          </cell>
        </row>
        <row r="1039">
          <cell r="B1039">
            <v>889</v>
          </cell>
          <cell r="C1039" t="str">
            <v>C49SZX20200195SS</v>
          </cell>
          <cell r="D1039" t="str">
            <v>泰鑫荣</v>
          </cell>
          <cell r="E1039" t="str">
            <v>YSM20R-2</v>
          </cell>
          <cell r="F1039" t="str">
            <v>#04748</v>
          </cell>
          <cell r="G1039" t="e">
            <v>#REF!</v>
          </cell>
          <cell r="H1039" t="e">
            <v>#REF!</v>
          </cell>
          <cell r="I1039" t="str">
            <v>L-&gt;R</v>
          </cell>
          <cell r="J1039" t="str">
            <v>No</v>
          </cell>
          <cell r="K1039">
            <v>1</v>
          </cell>
          <cell r="L1039">
            <v>110105</v>
          </cell>
          <cell r="M1039" t="str">
            <v>JAN 21</v>
          </cell>
          <cell r="N1039">
            <v>44222</v>
          </cell>
          <cell r="O1039">
            <v>11116497</v>
          </cell>
          <cell r="P1039">
            <v>12575000</v>
          </cell>
          <cell r="Q1039">
            <v>44197</v>
          </cell>
          <cell r="R1039" t="str">
            <v>No</v>
          </cell>
          <cell r="S1039" t="str">
            <v>C49</v>
          </cell>
          <cell r="T1039" t="str">
            <v>SOUTH</v>
          </cell>
          <cell r="U1039" t="str">
            <v>深圳</v>
          </cell>
          <cell r="V1039" t="str">
            <v>SZ 深圳</v>
          </cell>
          <cell r="W1039" t="str">
            <v>SS</v>
          </cell>
          <cell r="X1039" t="str">
            <v>JPY</v>
          </cell>
          <cell r="Y1039">
            <v>12575000</v>
          </cell>
          <cell r="Z1039">
            <v>1</v>
          </cell>
          <cell r="AA1039">
            <v>12575000</v>
          </cell>
          <cell r="AB1039">
            <v>7.4899999999999994E-2</v>
          </cell>
          <cell r="AC1039">
            <v>941867.49999999988</v>
          </cell>
          <cell r="AD1039">
            <v>113024.09999999998</v>
          </cell>
          <cell r="AE1039">
            <v>0.12</v>
          </cell>
          <cell r="AF1039">
            <v>44125</v>
          </cell>
          <cell r="AG1039" t="str">
            <v>DAP SZ</v>
          </cell>
          <cell r="AK1039">
            <v>0.1</v>
          </cell>
          <cell r="AL1039">
            <v>1257500</v>
          </cell>
          <cell r="AM1039">
            <v>44105</v>
          </cell>
          <cell r="AN1039" t="str">
            <v>Yes</v>
          </cell>
          <cell r="AO1039">
            <v>0.9</v>
          </cell>
          <cell r="AP1039">
            <v>11317500</v>
          </cell>
          <cell r="AQ1039">
            <v>44221</v>
          </cell>
          <cell r="AR1039">
            <v>44221</v>
          </cell>
          <cell r="AS1039">
            <v>0</v>
          </cell>
          <cell r="AT1039">
            <v>0</v>
          </cell>
          <cell r="AX1039" t="str">
            <v>Yes</v>
          </cell>
          <cell r="AZ1039" t="str">
            <v>Yes</v>
          </cell>
        </row>
        <row r="1040">
          <cell r="B1040">
            <v>890</v>
          </cell>
          <cell r="C1040" t="str">
            <v>C49SZX20200191SS</v>
          </cell>
          <cell r="D1040" t="str">
            <v>博睿通</v>
          </cell>
          <cell r="E1040" t="str">
            <v>YSM10</v>
          </cell>
          <cell r="F1040" t="str">
            <v>#04235</v>
          </cell>
          <cell r="G1040" t="e">
            <v>#REF!</v>
          </cell>
          <cell r="H1040" t="e">
            <v>#REF!</v>
          </cell>
          <cell r="I1040" t="str">
            <v>L-&gt;R</v>
          </cell>
          <cell r="J1040" t="str">
            <v>MVC+ATS15</v>
          </cell>
          <cell r="K1040">
            <v>1</v>
          </cell>
          <cell r="L1040" t="e">
            <v>#N/A</v>
          </cell>
          <cell r="M1040" t="e">
            <v>#N/A</v>
          </cell>
          <cell r="N1040"/>
          <cell r="O1040"/>
          <cell r="P1040"/>
          <cell r="Q1040"/>
          <cell r="R1040" t="str">
            <v>No</v>
          </cell>
          <cell r="S1040" t="str">
            <v>C49</v>
          </cell>
          <cell r="T1040" t="str">
            <v>SOUTH</v>
          </cell>
          <cell r="U1040" t="str">
            <v>深圳</v>
          </cell>
          <cell r="V1040" t="str">
            <v>SZ 深圳</v>
          </cell>
          <cell r="W1040" t="str">
            <v>SS</v>
          </cell>
          <cell r="X1040" t="str">
            <v>JPY</v>
          </cell>
          <cell r="Y1040">
            <v>9526667</v>
          </cell>
          <cell r="Z1040">
            <v>1</v>
          </cell>
          <cell r="AA1040">
            <v>9526667</v>
          </cell>
          <cell r="AB1040">
            <v>7.4899999999999994E-2</v>
          </cell>
          <cell r="AC1040">
            <v>713547.35829999996</v>
          </cell>
          <cell r="AD1040">
            <v>85625.682995999989</v>
          </cell>
          <cell r="AE1040">
            <v>0.12</v>
          </cell>
          <cell r="AF1040">
            <v>44124</v>
          </cell>
          <cell r="AG1040" t="str">
            <v>CIF HK</v>
          </cell>
          <cell r="AI1040"/>
          <cell r="AJ1040"/>
          <cell r="AK1040"/>
          <cell r="AL1040">
            <v>0</v>
          </cell>
          <cell r="AM1040"/>
          <cell r="AN1040" t="str">
            <v>No</v>
          </cell>
          <cell r="AO1040">
            <v>0.9</v>
          </cell>
          <cell r="AP1040">
            <v>8574000.3000000007</v>
          </cell>
          <cell r="AQ1040"/>
          <cell r="AR1040"/>
          <cell r="AS1040">
            <v>0</v>
          </cell>
          <cell r="AT1040">
            <v>0</v>
          </cell>
          <cell r="AV1040"/>
          <cell r="AX1040" t="str">
            <v>Cancel</v>
          </cell>
          <cell r="AY1040"/>
          <cell r="AZ1040"/>
          <cell r="BA1040" t="str">
            <v>Cancel</v>
          </cell>
          <cell r="BB1040" t="str">
            <v>2022-8-2Ken邮件通知</v>
          </cell>
        </row>
        <row r="1041">
          <cell r="B1041">
            <v>891</v>
          </cell>
          <cell r="C1041" t="str">
            <v>C49SZX20200191SS</v>
          </cell>
          <cell r="D1041" t="str">
            <v>博睿通</v>
          </cell>
          <cell r="E1041" t="str">
            <v>YSM10</v>
          </cell>
          <cell r="F1041" t="str">
            <v>#04235</v>
          </cell>
          <cell r="G1041" t="e">
            <v>#REF!</v>
          </cell>
          <cell r="H1041" t="e">
            <v>#REF!</v>
          </cell>
          <cell r="I1041" t="str">
            <v>L-&gt;R</v>
          </cell>
          <cell r="J1041" t="str">
            <v>MVC</v>
          </cell>
          <cell r="K1041">
            <v>1</v>
          </cell>
          <cell r="L1041" t="e">
            <v>#N/A</v>
          </cell>
          <cell r="M1041" t="e">
            <v>#N/A</v>
          </cell>
          <cell r="N1041"/>
          <cell r="O1041"/>
          <cell r="P1041"/>
          <cell r="Q1041"/>
          <cell r="R1041" t="str">
            <v>No</v>
          </cell>
          <cell r="S1041" t="str">
            <v>C49</v>
          </cell>
          <cell r="T1041" t="str">
            <v>SOUTH</v>
          </cell>
          <cell r="U1041" t="str">
            <v>深圳</v>
          </cell>
          <cell r="V1041" t="str">
            <v>SZ 深圳</v>
          </cell>
          <cell r="W1041" t="str">
            <v>SS</v>
          </cell>
          <cell r="X1041" t="str">
            <v>JPY</v>
          </cell>
          <cell r="Y1041">
            <v>9526667</v>
          </cell>
          <cell r="Z1041">
            <v>1</v>
          </cell>
          <cell r="AA1041">
            <v>9526667</v>
          </cell>
          <cell r="AB1041">
            <v>7.4899999999999994E-2</v>
          </cell>
          <cell r="AC1041">
            <v>713547.35829999996</v>
          </cell>
          <cell r="AD1041">
            <v>85625.682995999989</v>
          </cell>
          <cell r="AE1041">
            <v>0.12</v>
          </cell>
          <cell r="AF1041">
            <v>44124</v>
          </cell>
          <cell r="AG1041" t="str">
            <v>CIF HK</v>
          </cell>
          <cell r="AI1041"/>
          <cell r="AJ1041"/>
          <cell r="AK1041"/>
          <cell r="AL1041">
            <v>0</v>
          </cell>
          <cell r="AM1041"/>
          <cell r="AN1041" t="str">
            <v>No</v>
          </cell>
          <cell r="AO1041">
            <v>0.9</v>
          </cell>
          <cell r="AP1041">
            <v>8574000.3000000007</v>
          </cell>
          <cell r="AQ1041"/>
          <cell r="AR1041"/>
          <cell r="AS1041">
            <v>0</v>
          </cell>
          <cell r="AT1041">
            <v>0</v>
          </cell>
          <cell r="AV1041"/>
          <cell r="AX1041" t="str">
            <v>Cancel</v>
          </cell>
          <cell r="AY1041"/>
          <cell r="AZ1041"/>
          <cell r="BA1041" t="str">
            <v>Cancel</v>
          </cell>
          <cell r="BB1041" t="str">
            <v>2022-8-2Ken邮件通知</v>
          </cell>
        </row>
        <row r="1042">
          <cell r="B1042">
            <v>892</v>
          </cell>
          <cell r="C1042" t="str">
            <v>C49SZX20200191SS</v>
          </cell>
          <cell r="D1042" t="str">
            <v>博睿通</v>
          </cell>
          <cell r="E1042" t="str">
            <v>YSM10</v>
          </cell>
          <cell r="F1042" t="str">
            <v>#04235</v>
          </cell>
          <cell r="G1042" t="e">
            <v>#REF!</v>
          </cell>
          <cell r="H1042" t="e">
            <v>#REF!</v>
          </cell>
          <cell r="I1042" t="str">
            <v>L-&gt;R</v>
          </cell>
          <cell r="J1042" t="str">
            <v>MVC</v>
          </cell>
          <cell r="K1042">
            <v>1</v>
          </cell>
          <cell r="L1042" t="e">
            <v>#N/A</v>
          </cell>
          <cell r="M1042" t="e">
            <v>#N/A</v>
          </cell>
          <cell r="N1042"/>
          <cell r="O1042"/>
          <cell r="P1042"/>
          <cell r="Q1042"/>
          <cell r="R1042" t="str">
            <v>No</v>
          </cell>
          <cell r="S1042" t="str">
            <v>C49</v>
          </cell>
          <cell r="T1042" t="str">
            <v>SOUTH</v>
          </cell>
          <cell r="U1042" t="str">
            <v>深圳</v>
          </cell>
          <cell r="V1042" t="str">
            <v>SZ 深圳</v>
          </cell>
          <cell r="W1042" t="str">
            <v>SS</v>
          </cell>
          <cell r="X1042" t="str">
            <v>JPY</v>
          </cell>
          <cell r="Y1042">
            <v>9526667</v>
          </cell>
          <cell r="Z1042">
            <v>1</v>
          </cell>
          <cell r="AA1042">
            <v>9526667</v>
          </cell>
          <cell r="AB1042">
            <v>7.4899999999999994E-2</v>
          </cell>
          <cell r="AC1042">
            <v>713547.35829999996</v>
          </cell>
          <cell r="AD1042">
            <v>85625.682995999989</v>
          </cell>
          <cell r="AE1042">
            <v>0.12</v>
          </cell>
          <cell r="AF1042">
            <v>44124</v>
          </cell>
          <cell r="AG1042" t="str">
            <v>CIF HK</v>
          </cell>
          <cell r="AI1042"/>
          <cell r="AJ1042"/>
          <cell r="AK1042"/>
          <cell r="AL1042">
            <v>0</v>
          </cell>
          <cell r="AM1042"/>
          <cell r="AN1042" t="str">
            <v>No</v>
          </cell>
          <cell r="AO1042">
            <v>0.9</v>
          </cell>
          <cell r="AP1042">
            <v>8574000.3000000007</v>
          </cell>
          <cell r="AQ1042"/>
          <cell r="AR1042"/>
          <cell r="AS1042">
            <v>0</v>
          </cell>
          <cell r="AT1042">
            <v>0</v>
          </cell>
          <cell r="AV1042"/>
          <cell r="AX1042" t="str">
            <v>Cancel</v>
          </cell>
          <cell r="AY1042"/>
          <cell r="AZ1042"/>
          <cell r="BA1042" t="str">
            <v>Cancel</v>
          </cell>
          <cell r="BB1042" t="str">
            <v>2022-8-2Ken邮件通知</v>
          </cell>
        </row>
        <row r="1043">
          <cell r="B1043">
            <v>893</v>
          </cell>
          <cell r="C1043" t="str">
            <v>C49SZX20200191SS</v>
          </cell>
          <cell r="D1043" t="str">
            <v>博睿通</v>
          </cell>
          <cell r="E1043" t="str">
            <v>YSM10</v>
          </cell>
          <cell r="F1043" t="str">
            <v>#04235</v>
          </cell>
          <cell r="G1043" t="e">
            <v>#REF!</v>
          </cell>
          <cell r="H1043" t="e">
            <v>#REF!</v>
          </cell>
          <cell r="I1043" t="str">
            <v>L-&gt;R</v>
          </cell>
          <cell r="J1043" t="str">
            <v>MVC</v>
          </cell>
          <cell r="K1043">
            <v>1</v>
          </cell>
          <cell r="L1043">
            <v>110066</v>
          </cell>
          <cell r="M1043" t="str">
            <v>JAN 21</v>
          </cell>
          <cell r="N1043">
            <v>44210</v>
          </cell>
          <cell r="O1043">
            <v>11116503</v>
          </cell>
          <cell r="P1043">
            <v>6300000</v>
          </cell>
          <cell r="Q1043">
            <v>44197</v>
          </cell>
          <cell r="R1043" t="str">
            <v>No</v>
          </cell>
          <cell r="S1043" t="str">
            <v>C49</v>
          </cell>
          <cell r="T1043" t="str">
            <v>SOUTH</v>
          </cell>
          <cell r="U1043" t="str">
            <v>深圳</v>
          </cell>
          <cell r="V1043" t="str">
            <v>SZ 深圳</v>
          </cell>
          <cell r="W1043" t="str">
            <v>SS</v>
          </cell>
          <cell r="X1043" t="str">
            <v>JPY</v>
          </cell>
          <cell r="Y1043">
            <v>6300000</v>
          </cell>
          <cell r="Z1043">
            <v>1</v>
          </cell>
          <cell r="AA1043">
            <v>6300000</v>
          </cell>
          <cell r="AB1043">
            <v>7.4899999999999994E-2</v>
          </cell>
          <cell r="AC1043">
            <v>471869.99999999994</v>
          </cell>
          <cell r="AD1043">
            <v>56624.399999999994</v>
          </cell>
          <cell r="AE1043">
            <v>0.12</v>
          </cell>
          <cell r="AF1043">
            <v>44124</v>
          </cell>
          <cell r="AG1043" t="str">
            <v>CIF HK</v>
          </cell>
          <cell r="AK1043">
            <v>0.1</v>
          </cell>
          <cell r="AL1043">
            <v>630000</v>
          </cell>
          <cell r="AM1043">
            <v>44136</v>
          </cell>
          <cell r="AN1043" t="str">
            <v>Yes</v>
          </cell>
          <cell r="AO1043">
            <v>0.9</v>
          </cell>
          <cell r="AP1043">
            <v>5670000</v>
          </cell>
          <cell r="AS1043">
            <v>0</v>
          </cell>
          <cell r="AT1043">
            <v>0</v>
          </cell>
          <cell r="AX1043" t="str">
            <v>Yes</v>
          </cell>
          <cell r="AZ1043" t="str">
            <v>Y</v>
          </cell>
        </row>
        <row r="1044">
          <cell r="B1044">
            <v>894</v>
          </cell>
          <cell r="C1044" t="str">
            <v>C49SZX20200191SS</v>
          </cell>
          <cell r="D1044" t="str">
            <v>博睿通</v>
          </cell>
          <cell r="E1044" t="str">
            <v>YSM10</v>
          </cell>
          <cell r="F1044" t="str">
            <v>#04235</v>
          </cell>
          <cell r="G1044" t="e">
            <v>#REF!</v>
          </cell>
          <cell r="H1044" t="e">
            <v>#REF!</v>
          </cell>
          <cell r="I1044" t="str">
            <v>L-&gt;R</v>
          </cell>
          <cell r="J1044" t="str">
            <v>MVC</v>
          </cell>
          <cell r="K1044">
            <v>1</v>
          </cell>
          <cell r="L1044">
            <v>110066</v>
          </cell>
          <cell r="M1044" t="str">
            <v>JAN 21</v>
          </cell>
          <cell r="N1044">
            <v>44210</v>
          </cell>
          <cell r="O1044">
            <v>11116503</v>
          </cell>
          <cell r="P1044">
            <v>6300000</v>
          </cell>
          <cell r="Q1044">
            <v>44197</v>
          </cell>
          <cell r="R1044" t="str">
            <v>No</v>
          </cell>
          <cell r="S1044" t="str">
            <v>C49</v>
          </cell>
          <cell r="T1044" t="str">
            <v>SOUTH</v>
          </cell>
          <cell r="U1044" t="str">
            <v>深圳</v>
          </cell>
          <cell r="V1044" t="str">
            <v>SZ 深圳</v>
          </cell>
          <cell r="W1044" t="str">
            <v>SS</v>
          </cell>
          <cell r="X1044" t="str">
            <v>JPY</v>
          </cell>
          <cell r="Y1044">
            <v>6300000</v>
          </cell>
          <cell r="Z1044">
            <v>1</v>
          </cell>
          <cell r="AA1044">
            <v>6300000</v>
          </cell>
          <cell r="AB1044">
            <v>7.4899999999999994E-2</v>
          </cell>
          <cell r="AC1044">
            <v>471869.99999999994</v>
          </cell>
          <cell r="AD1044">
            <v>56624.399999999994</v>
          </cell>
          <cell r="AE1044">
            <v>0.12</v>
          </cell>
          <cell r="AF1044">
            <v>44124</v>
          </cell>
          <cell r="AG1044" t="str">
            <v>CIF HK</v>
          </cell>
          <cell r="AK1044">
            <v>0.1</v>
          </cell>
          <cell r="AL1044">
            <v>630000</v>
          </cell>
          <cell r="AM1044">
            <v>44136</v>
          </cell>
          <cell r="AN1044" t="str">
            <v>Yes</v>
          </cell>
          <cell r="AO1044">
            <v>0.9</v>
          </cell>
          <cell r="AP1044">
            <v>5670000</v>
          </cell>
          <cell r="AS1044">
            <v>0</v>
          </cell>
          <cell r="AT1044">
            <v>0</v>
          </cell>
          <cell r="AX1044" t="str">
            <v>Yes</v>
          </cell>
          <cell r="AZ1044" t="str">
            <v>Y</v>
          </cell>
        </row>
        <row r="1045">
          <cell r="B1045">
            <v>895</v>
          </cell>
          <cell r="C1045" t="str">
            <v>C49SZX20200166DY</v>
          </cell>
          <cell r="D1045" t="str">
            <v>华彩鑫</v>
          </cell>
          <cell r="E1045" t="str">
            <v>YSM40R-4</v>
          </cell>
          <cell r="F1045" t="str">
            <v>#05096</v>
          </cell>
          <cell r="G1045" t="e">
            <v>#REF!</v>
          </cell>
          <cell r="H1045" t="e">
            <v>#REF!</v>
          </cell>
          <cell r="I1045" t="str">
            <v>L-&gt;R</v>
          </cell>
          <cell r="J1045" t="str">
            <v>No</v>
          </cell>
          <cell r="K1045">
            <v>1</v>
          </cell>
          <cell r="L1045">
            <v>110058</v>
          </cell>
          <cell r="M1045" t="str">
            <v>NOV 20</v>
          </cell>
          <cell r="N1045">
            <v>44157</v>
          </cell>
          <cell r="O1045">
            <v>11100448</v>
          </cell>
          <cell r="P1045">
            <v>1450000</v>
          </cell>
          <cell r="Q1045">
            <v>44136</v>
          </cell>
          <cell r="R1045" t="str">
            <v>Yes</v>
          </cell>
          <cell r="S1045" t="str">
            <v>C49</v>
          </cell>
          <cell r="T1045" t="str">
            <v>SOUTH</v>
          </cell>
          <cell r="U1045" t="str">
            <v>深圳</v>
          </cell>
          <cell r="V1045" t="str">
            <v>SZ 深圳</v>
          </cell>
          <cell r="W1045" t="str">
            <v>DY</v>
          </cell>
          <cell r="X1045" t="str">
            <v>RMB</v>
          </cell>
          <cell r="Y1045">
            <v>1450000</v>
          </cell>
          <cell r="Z1045">
            <v>1.1299999999999999</v>
          </cell>
          <cell r="AA1045">
            <v>1450000</v>
          </cell>
          <cell r="AB1045">
            <v>1.135</v>
          </cell>
          <cell r="AC1045">
            <v>1456415.9292035401</v>
          </cell>
          <cell r="AD1045">
            <v>174769.91150442482</v>
          </cell>
          <cell r="AE1045">
            <v>0.12</v>
          </cell>
          <cell r="AF1045">
            <v>44127</v>
          </cell>
          <cell r="AG1045" t="str">
            <v>含税到厂</v>
          </cell>
          <cell r="AK1045">
            <v>0.2</v>
          </cell>
          <cell r="AL1045">
            <v>290000</v>
          </cell>
          <cell r="AM1045">
            <v>44105</v>
          </cell>
          <cell r="AN1045" t="str">
            <v>Yes</v>
          </cell>
          <cell r="AO1045">
            <v>0.8</v>
          </cell>
          <cell r="AP1045">
            <v>1160000</v>
          </cell>
          <cell r="AQ1045">
            <v>44136</v>
          </cell>
          <cell r="AR1045">
            <v>44148</v>
          </cell>
          <cell r="AS1045">
            <v>0</v>
          </cell>
          <cell r="AT1045">
            <v>0</v>
          </cell>
          <cell r="AX1045" t="str">
            <v>Yes</v>
          </cell>
          <cell r="AZ1045" t="str">
            <v>Yes</v>
          </cell>
          <cell r="BA1045" t="str">
            <v>Yes</v>
          </cell>
        </row>
        <row r="1046">
          <cell r="B1046">
            <v>896</v>
          </cell>
          <cell r="C1046" t="str">
            <v>C49SZX20200196EC</v>
          </cell>
          <cell r="D1046" t="str">
            <v>广泰博</v>
          </cell>
          <cell r="E1046" t="str">
            <v>YSM20R-2</v>
          </cell>
          <cell r="F1046" t="str">
            <v>#05098</v>
          </cell>
          <cell r="G1046" t="e">
            <v>#REF!</v>
          </cell>
          <cell r="H1046" t="e">
            <v>#REF!</v>
          </cell>
          <cell r="I1046" t="str">
            <v>L-&gt;R</v>
          </cell>
          <cell r="J1046" t="str">
            <v>No</v>
          </cell>
          <cell r="K1046">
            <v>1</v>
          </cell>
          <cell r="L1046" t="str">
            <v>110181(拆单110214)</v>
          </cell>
          <cell r="M1046" t="str">
            <v>DEC 20</v>
          </cell>
          <cell r="N1046">
            <v>44190</v>
          </cell>
          <cell r="O1046">
            <v>11100466</v>
          </cell>
          <cell r="P1046">
            <v>790000</v>
          </cell>
          <cell r="Q1046">
            <v>44166</v>
          </cell>
          <cell r="R1046" t="str">
            <v>Yes</v>
          </cell>
          <cell r="S1046" t="str">
            <v>C49</v>
          </cell>
          <cell r="T1046" t="str">
            <v>SOUTH</v>
          </cell>
          <cell r="U1046" t="str">
            <v>深圳</v>
          </cell>
          <cell r="V1046" t="str">
            <v>SZ 深圳</v>
          </cell>
          <cell r="W1046" t="str">
            <v>EC</v>
          </cell>
          <cell r="X1046" t="str">
            <v>RMB</v>
          </cell>
          <cell r="Y1046">
            <v>790000</v>
          </cell>
          <cell r="Z1046">
            <v>1.1299999999999999</v>
          </cell>
          <cell r="AA1046">
            <v>790000</v>
          </cell>
          <cell r="AB1046">
            <v>1.135</v>
          </cell>
          <cell r="AC1046">
            <v>793495.57522123901</v>
          </cell>
          <cell r="AD1046">
            <v>95219.469026548672</v>
          </cell>
          <cell r="AE1046">
            <v>0.12</v>
          </cell>
          <cell r="AF1046">
            <v>44127</v>
          </cell>
          <cell r="AG1046" t="str">
            <v>含税到厂</v>
          </cell>
          <cell r="AK1046">
            <v>0.1</v>
          </cell>
          <cell r="AL1046">
            <v>79000</v>
          </cell>
          <cell r="AM1046">
            <v>44105</v>
          </cell>
          <cell r="AN1046" t="str">
            <v>Yes</v>
          </cell>
          <cell r="AO1046">
            <v>0.9</v>
          </cell>
          <cell r="AP1046">
            <v>711000</v>
          </cell>
          <cell r="AS1046">
            <v>0</v>
          </cell>
          <cell r="AT1046">
            <v>0</v>
          </cell>
          <cell r="AX1046" t="str">
            <v>Yes</v>
          </cell>
          <cell r="AZ1046" t="str">
            <v>Yes</v>
          </cell>
        </row>
        <row r="1047">
          <cell r="B1047">
            <v>897</v>
          </cell>
          <cell r="C1047" t="str">
            <v>C49SZX20200196EC</v>
          </cell>
          <cell r="D1047" t="str">
            <v>广泰博</v>
          </cell>
          <cell r="E1047" t="str">
            <v>YSM20R-2</v>
          </cell>
          <cell r="F1047" t="str">
            <v>#05098</v>
          </cell>
          <cell r="G1047" t="e">
            <v>#REF!</v>
          </cell>
          <cell r="H1047" t="e">
            <v>#REF!</v>
          </cell>
          <cell r="I1047" t="str">
            <v>L-&gt;R</v>
          </cell>
          <cell r="J1047" t="str">
            <v>No</v>
          </cell>
          <cell r="K1047">
            <v>1</v>
          </cell>
          <cell r="L1047">
            <v>110181</v>
          </cell>
          <cell r="M1047" t="str">
            <v>DEC 20</v>
          </cell>
          <cell r="N1047">
            <v>44190</v>
          </cell>
          <cell r="O1047">
            <v>11100466</v>
          </cell>
          <cell r="P1047">
            <v>790000</v>
          </cell>
          <cell r="Q1047">
            <v>44166</v>
          </cell>
          <cell r="R1047" t="str">
            <v>Yes</v>
          </cell>
          <cell r="S1047" t="str">
            <v>C49</v>
          </cell>
          <cell r="T1047" t="str">
            <v>SOUTH</v>
          </cell>
          <cell r="U1047" t="str">
            <v>深圳</v>
          </cell>
          <cell r="V1047" t="str">
            <v>SZ 深圳</v>
          </cell>
          <cell r="W1047" t="str">
            <v>EC</v>
          </cell>
          <cell r="X1047" t="str">
            <v>RMB</v>
          </cell>
          <cell r="Y1047">
            <v>790000</v>
          </cell>
          <cell r="Z1047">
            <v>1.1299999999999999</v>
          </cell>
          <cell r="AA1047">
            <v>790000</v>
          </cell>
          <cell r="AB1047">
            <v>1.135</v>
          </cell>
          <cell r="AC1047">
            <v>793495.57522123901</v>
          </cell>
          <cell r="AD1047">
            <v>95219.469026548672</v>
          </cell>
          <cell r="AE1047">
            <v>0.12</v>
          </cell>
          <cell r="AF1047">
            <v>44127</v>
          </cell>
          <cell r="AG1047" t="str">
            <v>含税到厂</v>
          </cell>
          <cell r="AK1047">
            <v>0.1</v>
          </cell>
          <cell r="AL1047">
            <v>79000</v>
          </cell>
          <cell r="AM1047">
            <v>44105</v>
          </cell>
          <cell r="AN1047" t="str">
            <v>Yes</v>
          </cell>
          <cell r="AO1047">
            <v>0.9</v>
          </cell>
          <cell r="AP1047">
            <v>711000</v>
          </cell>
          <cell r="AS1047">
            <v>0</v>
          </cell>
          <cell r="AT1047">
            <v>0</v>
          </cell>
          <cell r="AX1047" t="str">
            <v>Yes</v>
          </cell>
          <cell r="AZ1047" t="str">
            <v>Yes</v>
          </cell>
        </row>
        <row r="1048">
          <cell r="B1048">
            <v>898</v>
          </cell>
          <cell r="C1048" t="str">
            <v>C49SZX20200197SS</v>
          </cell>
          <cell r="D1048" t="str">
            <v>雅马</v>
          </cell>
          <cell r="E1048" t="str">
            <v>YSM10</v>
          </cell>
          <cell r="F1048" t="str">
            <v>#04394</v>
          </cell>
          <cell r="G1048" t="e">
            <v>#REF!</v>
          </cell>
          <cell r="H1048" t="e">
            <v>#REF!</v>
          </cell>
          <cell r="I1048" t="str">
            <v>L-&gt;R</v>
          </cell>
          <cell r="J1048" t="str">
            <v>No</v>
          </cell>
          <cell r="K1048">
            <v>1</v>
          </cell>
          <cell r="L1048" t="e">
            <v>#N/A</v>
          </cell>
          <cell r="M1048" t="e">
            <v>#N/A</v>
          </cell>
          <cell r="N1048"/>
          <cell r="O1048"/>
          <cell r="P1048"/>
          <cell r="Q1048"/>
          <cell r="R1048" t="str">
            <v>Yes</v>
          </cell>
          <cell r="S1048" t="str">
            <v>C49</v>
          </cell>
          <cell r="T1048" t="str">
            <v>SOUTH</v>
          </cell>
          <cell r="U1048" t="str">
            <v>深圳</v>
          </cell>
          <cell r="V1048" t="str">
            <v>SZ 深圳</v>
          </cell>
          <cell r="W1048" t="str">
            <v>SS</v>
          </cell>
          <cell r="X1048" t="str">
            <v>JPY</v>
          </cell>
          <cell r="Y1048">
            <v>6500000</v>
          </cell>
          <cell r="Z1048">
            <v>1</v>
          </cell>
          <cell r="AA1048">
            <v>6500000</v>
          </cell>
          <cell r="AB1048">
            <v>7.4899999999999994E-2</v>
          </cell>
          <cell r="AC1048">
            <v>486849.99999999994</v>
          </cell>
          <cell r="AD1048">
            <v>58421.999999999993</v>
          </cell>
          <cell r="AE1048">
            <v>0.12</v>
          </cell>
          <cell r="AF1048">
            <v>44127</v>
          </cell>
          <cell r="AG1048" t="str">
            <v>DAP SZ</v>
          </cell>
          <cell r="AI1048"/>
          <cell r="AJ1048"/>
          <cell r="AK1048"/>
          <cell r="AL1048">
            <v>0</v>
          </cell>
          <cell r="AM1048"/>
          <cell r="AN1048" t="str">
            <v>No</v>
          </cell>
          <cell r="AO1048">
            <v>0.9</v>
          </cell>
          <cell r="AP1048">
            <v>5850000</v>
          </cell>
          <cell r="AQ1048"/>
          <cell r="AR1048"/>
          <cell r="AS1048">
            <v>0</v>
          </cell>
          <cell r="AT1048">
            <v>0</v>
          </cell>
          <cell r="AV1048"/>
          <cell r="AX1048" t="str">
            <v>Cancel</v>
          </cell>
          <cell r="AY1048"/>
          <cell r="AZ1048"/>
          <cell r="BA1048"/>
        </row>
        <row r="1049">
          <cell r="B1049">
            <v>899</v>
          </cell>
          <cell r="C1049" t="str">
            <v>C49SZX20200198JZ</v>
          </cell>
          <cell r="D1049" t="str">
            <v>阿里兄妹</v>
          </cell>
          <cell r="E1049" t="str">
            <v>YSM20R-2</v>
          </cell>
          <cell r="F1049" t="str">
            <v>#56362</v>
          </cell>
          <cell r="G1049" t="e">
            <v>#REF!</v>
          </cell>
          <cell r="H1049" t="e">
            <v>#REF!</v>
          </cell>
          <cell r="I1049" t="str">
            <v>L-&gt;R</v>
          </cell>
          <cell r="J1049" t="str">
            <v>MVC</v>
          </cell>
          <cell r="K1049">
            <v>1</v>
          </cell>
          <cell r="L1049">
            <v>110132</v>
          </cell>
          <cell r="M1049" t="str">
            <v>FEB 21</v>
          </cell>
          <cell r="N1049">
            <v>44250</v>
          </cell>
          <cell r="O1049">
            <v>11116509</v>
          </cell>
          <cell r="P1049">
            <v>11500000</v>
          </cell>
          <cell r="Q1049">
            <v>44228</v>
          </cell>
          <cell r="R1049" t="str">
            <v>No</v>
          </cell>
          <cell r="S1049" t="str">
            <v>C49</v>
          </cell>
          <cell r="T1049" t="str">
            <v>SOUTH</v>
          </cell>
          <cell r="U1049" t="str">
            <v>深圳</v>
          </cell>
          <cell r="V1049" t="str">
            <v>SZ 深圳</v>
          </cell>
          <cell r="W1049" t="str">
            <v>JZ</v>
          </cell>
          <cell r="X1049" t="str">
            <v>JPY</v>
          </cell>
          <cell r="Y1049">
            <v>11500000</v>
          </cell>
          <cell r="Z1049">
            <v>1</v>
          </cell>
          <cell r="AA1049">
            <v>11500000</v>
          </cell>
          <cell r="AB1049">
            <v>7.4899999999999994E-2</v>
          </cell>
          <cell r="AC1049">
            <v>861349.99999999988</v>
          </cell>
          <cell r="AD1049">
            <v>103361.99999999999</v>
          </cell>
          <cell r="AE1049">
            <v>0.12</v>
          </cell>
          <cell r="AF1049">
            <v>44130</v>
          </cell>
          <cell r="AG1049" t="str">
            <v>DAP SZ</v>
          </cell>
          <cell r="AK1049">
            <v>0.1</v>
          </cell>
          <cell r="AL1049">
            <v>1150000</v>
          </cell>
          <cell r="AM1049">
            <v>44105</v>
          </cell>
          <cell r="AN1049" t="str">
            <v>Yes</v>
          </cell>
          <cell r="AO1049">
            <v>0.9</v>
          </cell>
          <cell r="AP1049">
            <v>10350000</v>
          </cell>
          <cell r="AQ1049">
            <v>44231</v>
          </cell>
          <cell r="AR1049">
            <v>44231</v>
          </cell>
          <cell r="AS1049">
            <v>0</v>
          </cell>
          <cell r="AT1049">
            <v>0</v>
          </cell>
          <cell r="AX1049" t="str">
            <v>Yes</v>
          </cell>
          <cell r="AZ1049" t="str">
            <v>Yes</v>
          </cell>
          <cell r="BA1049" t="str">
            <v>Yes</v>
          </cell>
        </row>
        <row r="1050">
          <cell r="B1050">
            <v>900</v>
          </cell>
          <cell r="C1050" t="str">
            <v>C49SZX20200198JZ</v>
          </cell>
          <cell r="D1050" t="str">
            <v>阿里兄妹</v>
          </cell>
          <cell r="E1050" t="str">
            <v>YSM20R-2</v>
          </cell>
          <cell r="F1050" t="str">
            <v>#56362</v>
          </cell>
          <cell r="G1050" t="e">
            <v>#REF!</v>
          </cell>
          <cell r="H1050" t="e">
            <v>#REF!</v>
          </cell>
          <cell r="I1050" t="str">
            <v>L-&gt;R</v>
          </cell>
          <cell r="J1050" t="str">
            <v>MVC</v>
          </cell>
          <cell r="K1050">
            <v>1</v>
          </cell>
          <cell r="L1050">
            <v>110132</v>
          </cell>
          <cell r="M1050" t="str">
            <v>FEB 21</v>
          </cell>
          <cell r="N1050">
            <v>44250</v>
          </cell>
          <cell r="O1050">
            <v>11116509</v>
          </cell>
          <cell r="P1050">
            <v>11500000</v>
          </cell>
          <cell r="Q1050">
            <v>44229</v>
          </cell>
          <cell r="R1050" t="str">
            <v>No</v>
          </cell>
          <cell r="S1050" t="str">
            <v>C49</v>
          </cell>
          <cell r="T1050" t="str">
            <v>SOUTH</v>
          </cell>
          <cell r="U1050" t="str">
            <v>深圳</v>
          </cell>
          <cell r="V1050" t="str">
            <v>SZ 深圳</v>
          </cell>
          <cell r="W1050" t="str">
            <v>JZ</v>
          </cell>
          <cell r="X1050" t="str">
            <v>JPY</v>
          </cell>
          <cell r="Y1050">
            <v>11500000</v>
          </cell>
          <cell r="Z1050">
            <v>1</v>
          </cell>
          <cell r="AA1050">
            <v>11500000</v>
          </cell>
          <cell r="AB1050">
            <v>7.4899999999999994E-2</v>
          </cell>
          <cell r="AC1050">
            <v>861349.99999999988</v>
          </cell>
          <cell r="AD1050">
            <v>103361.99999999999</v>
          </cell>
          <cell r="AE1050">
            <v>0.12</v>
          </cell>
          <cell r="AF1050">
            <v>44130</v>
          </cell>
          <cell r="AG1050" t="str">
            <v>DAP SZ</v>
          </cell>
          <cell r="AK1050">
            <v>0.1</v>
          </cell>
          <cell r="AL1050">
            <v>1150000</v>
          </cell>
          <cell r="AM1050">
            <v>44105</v>
          </cell>
          <cell r="AN1050" t="str">
            <v>Yes</v>
          </cell>
          <cell r="AO1050">
            <v>0.9</v>
          </cell>
          <cell r="AP1050">
            <v>10350000</v>
          </cell>
          <cell r="AQ1050">
            <v>44231</v>
          </cell>
          <cell r="AR1050">
            <v>44231</v>
          </cell>
          <cell r="AS1050">
            <v>0</v>
          </cell>
          <cell r="AT1050">
            <v>0</v>
          </cell>
          <cell r="AX1050" t="str">
            <v>Yes</v>
          </cell>
          <cell r="AZ1050" t="str">
            <v>Yes</v>
          </cell>
          <cell r="BA1050" t="str">
            <v>Yes</v>
          </cell>
        </row>
        <row r="1051">
          <cell r="B1051">
            <v>901</v>
          </cell>
          <cell r="C1051" t="str">
            <v>C49SZX20200199MZ</v>
          </cell>
          <cell r="D1051" t="str">
            <v>鸿南</v>
          </cell>
          <cell r="E1051" t="str">
            <v>YSM20R-2</v>
          </cell>
          <cell r="F1051" t="str">
            <v>#56802</v>
          </cell>
          <cell r="G1051" t="e">
            <v>#REF!</v>
          </cell>
          <cell r="H1051" t="e">
            <v>#REF!</v>
          </cell>
          <cell r="I1051" t="str">
            <v>R-&gt;L</v>
          </cell>
          <cell r="J1051" t="str">
            <v>No</v>
          </cell>
          <cell r="K1051">
            <v>1</v>
          </cell>
          <cell r="L1051">
            <v>110105</v>
          </cell>
          <cell r="M1051" t="str">
            <v>JAN 21</v>
          </cell>
          <cell r="N1051">
            <v>44217</v>
          </cell>
          <cell r="O1051">
            <v>11116491</v>
          </cell>
          <cell r="P1051">
            <v>12000000</v>
          </cell>
          <cell r="Q1051">
            <v>44197</v>
          </cell>
          <cell r="R1051" t="str">
            <v>No</v>
          </cell>
          <cell r="S1051" t="str">
            <v>C49</v>
          </cell>
          <cell r="T1051" t="str">
            <v>SOUTH</v>
          </cell>
          <cell r="U1051" t="str">
            <v>深圳</v>
          </cell>
          <cell r="V1051" t="str">
            <v>SZ 深圳</v>
          </cell>
          <cell r="W1051" t="str">
            <v>MZ</v>
          </cell>
          <cell r="X1051" t="str">
            <v>JPY</v>
          </cell>
          <cell r="Y1051">
            <v>12000000</v>
          </cell>
          <cell r="Z1051">
            <v>1</v>
          </cell>
          <cell r="AA1051">
            <v>12000000</v>
          </cell>
          <cell r="AB1051">
            <v>7.4899999999999994E-2</v>
          </cell>
          <cell r="AC1051">
            <v>898799.99999999988</v>
          </cell>
          <cell r="AD1051">
            <v>107855.99999999999</v>
          </cell>
          <cell r="AE1051">
            <v>0.12</v>
          </cell>
          <cell r="AF1051">
            <v>44134</v>
          </cell>
          <cell r="AG1051" t="str">
            <v>CIF HK</v>
          </cell>
          <cell r="AK1051">
            <v>0.1</v>
          </cell>
          <cell r="AL1051">
            <v>1200000</v>
          </cell>
          <cell r="AM1051">
            <v>44136</v>
          </cell>
          <cell r="AN1051" t="str">
            <v>Yes</v>
          </cell>
          <cell r="AO1051">
            <v>0.9</v>
          </cell>
          <cell r="AP1051">
            <v>10800000</v>
          </cell>
          <cell r="AQ1051">
            <v>44166</v>
          </cell>
          <cell r="AR1051">
            <v>44172</v>
          </cell>
          <cell r="AS1051">
            <v>0</v>
          </cell>
          <cell r="AT1051">
            <v>0</v>
          </cell>
          <cell r="AX1051" t="str">
            <v>Yes</v>
          </cell>
          <cell r="AZ1051" t="str">
            <v>Yes</v>
          </cell>
        </row>
        <row r="1052">
          <cell r="B1052">
            <v>902</v>
          </cell>
          <cell r="C1052" t="str">
            <v>C49SZX20200199MZ</v>
          </cell>
          <cell r="D1052" t="str">
            <v>鸿南</v>
          </cell>
          <cell r="E1052" t="str">
            <v>YSM20R-2</v>
          </cell>
          <cell r="F1052" t="str">
            <v>#56802</v>
          </cell>
          <cell r="G1052" t="e">
            <v>#REF!</v>
          </cell>
          <cell r="H1052" t="e">
            <v>#REF!</v>
          </cell>
          <cell r="I1052" t="str">
            <v>R-&gt;L</v>
          </cell>
          <cell r="J1052" t="str">
            <v>No</v>
          </cell>
          <cell r="K1052">
            <v>1</v>
          </cell>
          <cell r="L1052" t="str">
            <v>110106 (拆单110215)</v>
          </cell>
          <cell r="M1052" t="str">
            <v>JAN 21</v>
          </cell>
          <cell r="N1052">
            <v>44217</v>
          </cell>
          <cell r="O1052">
            <v>11116491</v>
          </cell>
          <cell r="P1052">
            <v>12000000</v>
          </cell>
          <cell r="Q1052">
            <v>44198</v>
          </cell>
          <cell r="R1052" t="str">
            <v>No</v>
          </cell>
          <cell r="S1052" t="str">
            <v>C49</v>
          </cell>
          <cell r="T1052" t="str">
            <v>SOUTH</v>
          </cell>
          <cell r="U1052" t="str">
            <v>深圳</v>
          </cell>
          <cell r="V1052" t="str">
            <v>SZ 深圳</v>
          </cell>
          <cell r="W1052" t="str">
            <v>MZ</v>
          </cell>
          <cell r="X1052" t="str">
            <v>JPY</v>
          </cell>
          <cell r="Y1052">
            <v>12000000</v>
          </cell>
          <cell r="Z1052">
            <v>1</v>
          </cell>
          <cell r="AA1052">
            <v>12000000</v>
          </cell>
          <cell r="AB1052">
            <v>7.4899999999999994E-2</v>
          </cell>
          <cell r="AC1052">
            <v>898799.99999999988</v>
          </cell>
          <cell r="AD1052">
            <v>107855.99999999999</v>
          </cell>
          <cell r="AE1052">
            <v>0.12</v>
          </cell>
          <cell r="AF1052">
            <v>44134</v>
          </cell>
          <cell r="AG1052" t="str">
            <v>CIF HK</v>
          </cell>
          <cell r="AK1052">
            <v>0.1</v>
          </cell>
          <cell r="AL1052">
            <v>1200000</v>
          </cell>
          <cell r="AM1052">
            <v>44137</v>
          </cell>
          <cell r="AN1052" t="str">
            <v>Yes</v>
          </cell>
          <cell r="AO1052">
            <v>0.9</v>
          </cell>
          <cell r="AP1052">
            <v>10800000</v>
          </cell>
          <cell r="AQ1052">
            <v>44166</v>
          </cell>
          <cell r="AR1052">
            <v>44172</v>
          </cell>
          <cell r="AS1052">
            <v>0</v>
          </cell>
          <cell r="AT1052">
            <v>0</v>
          </cell>
          <cell r="AX1052" t="str">
            <v>Yes</v>
          </cell>
          <cell r="AZ1052" t="str">
            <v>Yes</v>
          </cell>
        </row>
        <row r="1053">
          <cell r="B1053">
            <v>903</v>
          </cell>
          <cell r="C1053" t="str">
            <v>C49SZX20200199MZ</v>
          </cell>
          <cell r="D1053" t="str">
            <v>鸿南</v>
          </cell>
          <cell r="E1053" t="str">
            <v>YSM10</v>
          </cell>
          <cell r="F1053" t="str">
            <v>#56802</v>
          </cell>
          <cell r="G1053" t="e">
            <v>#REF!</v>
          </cell>
          <cell r="H1053" t="e">
            <v>#REF!</v>
          </cell>
          <cell r="I1053" t="str">
            <v>R-&gt;L</v>
          </cell>
          <cell r="J1053" t="str">
            <v>MVC</v>
          </cell>
          <cell r="K1053">
            <v>1</v>
          </cell>
          <cell r="L1053">
            <v>110067</v>
          </cell>
          <cell r="M1053" t="str">
            <v>JAN 21</v>
          </cell>
          <cell r="N1053">
            <v>44217</v>
          </cell>
          <cell r="O1053">
            <v>11116491</v>
          </cell>
          <cell r="P1053">
            <v>9000000</v>
          </cell>
          <cell r="Q1053">
            <v>44199</v>
          </cell>
          <cell r="R1053" t="str">
            <v>No</v>
          </cell>
          <cell r="S1053" t="str">
            <v>C49</v>
          </cell>
          <cell r="T1053" t="str">
            <v>SOUTH</v>
          </cell>
          <cell r="U1053" t="str">
            <v>深圳</v>
          </cell>
          <cell r="V1053" t="str">
            <v>SZ 深圳</v>
          </cell>
          <cell r="W1053" t="str">
            <v>MZ</v>
          </cell>
          <cell r="X1053" t="str">
            <v>JPY</v>
          </cell>
          <cell r="Y1053">
            <v>9000000</v>
          </cell>
          <cell r="Z1053">
            <v>1</v>
          </cell>
          <cell r="AA1053">
            <v>9000000</v>
          </cell>
          <cell r="AB1053">
            <v>7.4899999999999994E-2</v>
          </cell>
          <cell r="AC1053">
            <v>674100</v>
          </cell>
          <cell r="AD1053">
            <v>80892</v>
          </cell>
          <cell r="AE1053">
            <v>0.12</v>
          </cell>
          <cell r="AF1053">
            <v>44134</v>
          </cell>
          <cell r="AG1053" t="str">
            <v>CIF HK</v>
          </cell>
          <cell r="AK1053">
            <v>0.1</v>
          </cell>
          <cell r="AL1053">
            <v>900000</v>
          </cell>
          <cell r="AM1053">
            <v>44138</v>
          </cell>
          <cell r="AN1053" t="str">
            <v>Yes</v>
          </cell>
          <cell r="AO1053">
            <v>0.9</v>
          </cell>
          <cell r="AP1053">
            <v>8100000</v>
          </cell>
          <cell r="AQ1053">
            <v>44166</v>
          </cell>
          <cell r="AR1053">
            <v>44172</v>
          </cell>
          <cell r="AS1053">
            <v>0</v>
          </cell>
          <cell r="AT1053">
            <v>0</v>
          </cell>
          <cell r="AX1053" t="str">
            <v>Yes</v>
          </cell>
          <cell r="AZ1053" t="str">
            <v>Yes</v>
          </cell>
        </row>
        <row r="1054">
          <cell r="B1054">
            <v>904</v>
          </cell>
          <cell r="C1054" t="str">
            <v>C49SZX20200200SS</v>
          </cell>
          <cell r="D1054" t="str">
            <v>君博信</v>
          </cell>
          <cell r="E1054" t="str">
            <v>YSM10</v>
          </cell>
          <cell r="F1054" t="str">
            <v>#03771</v>
          </cell>
          <cell r="G1054" t="e">
            <v>#REF!</v>
          </cell>
          <cell r="H1054" t="e">
            <v>#REF!</v>
          </cell>
          <cell r="I1054" t="str">
            <v>L-&gt;R</v>
          </cell>
          <cell r="J1054" t="str">
            <v>MVC+ATS15</v>
          </cell>
          <cell r="K1054">
            <v>1</v>
          </cell>
          <cell r="L1054">
            <v>110049</v>
          </cell>
          <cell r="M1054" t="str">
            <v>NOV 20</v>
          </cell>
          <cell r="N1054">
            <v>44158</v>
          </cell>
          <cell r="O1054">
            <v>11116455</v>
          </cell>
          <cell r="P1054">
            <v>8700000</v>
          </cell>
          <cell r="Q1054">
            <v>44136</v>
          </cell>
          <cell r="R1054" t="str">
            <v>No</v>
          </cell>
          <cell r="S1054" t="str">
            <v>C49</v>
          </cell>
          <cell r="T1054" t="str">
            <v>SOUTH</v>
          </cell>
          <cell r="U1054" t="str">
            <v>深圳</v>
          </cell>
          <cell r="V1054" t="str">
            <v>SZ 深圳</v>
          </cell>
          <cell r="W1054" t="str">
            <v>SS</v>
          </cell>
          <cell r="X1054" t="str">
            <v>JPY</v>
          </cell>
          <cell r="Y1054">
            <v>8700000</v>
          </cell>
          <cell r="Z1054">
            <v>1</v>
          </cell>
          <cell r="AA1054">
            <v>8700000</v>
          </cell>
          <cell r="AB1054">
            <v>7.4899999999999994E-2</v>
          </cell>
          <cell r="AC1054">
            <v>651630</v>
          </cell>
          <cell r="AD1054">
            <v>78195.599999999991</v>
          </cell>
          <cell r="AE1054">
            <v>0.12</v>
          </cell>
          <cell r="AF1054">
            <v>44135</v>
          </cell>
          <cell r="AG1054" t="str">
            <v>DAP SZ</v>
          </cell>
          <cell r="AK1054">
            <v>0.1</v>
          </cell>
          <cell r="AL1054">
            <v>870000</v>
          </cell>
          <cell r="AM1054">
            <v>44136</v>
          </cell>
          <cell r="AN1054" t="str">
            <v>Yes</v>
          </cell>
          <cell r="AO1054">
            <v>0.9</v>
          </cell>
          <cell r="AP1054">
            <v>7830000</v>
          </cell>
          <cell r="AQ1054">
            <v>44136</v>
          </cell>
          <cell r="AR1054">
            <v>44153</v>
          </cell>
          <cell r="AS1054">
            <v>0</v>
          </cell>
          <cell r="AT1054">
            <v>0</v>
          </cell>
          <cell r="AX1054" t="str">
            <v>Yes</v>
          </cell>
          <cell r="AZ1054" t="str">
            <v>Yes</v>
          </cell>
          <cell r="BA1054" t="str">
            <v>Yes</v>
          </cell>
        </row>
        <row r="1055">
          <cell r="B1055">
            <v>905</v>
          </cell>
          <cell r="C1055" t="str">
            <v>C49SZX20200205JZ</v>
          </cell>
          <cell r="D1055" t="str">
            <v>新明海</v>
          </cell>
          <cell r="E1055" t="str">
            <v>YSM20R-2</v>
          </cell>
          <cell r="F1055" t="str">
            <v>#59648</v>
          </cell>
          <cell r="G1055" t="e">
            <v>#REF!</v>
          </cell>
          <cell r="H1055" t="e">
            <v>#REF!</v>
          </cell>
          <cell r="I1055" t="str">
            <v>L-&gt;R</v>
          </cell>
          <cell r="J1055" t="str">
            <v>No</v>
          </cell>
          <cell r="K1055">
            <v>1</v>
          </cell>
          <cell r="L1055">
            <v>110198</v>
          </cell>
          <cell r="M1055" t="str">
            <v>JAN 21</v>
          </cell>
          <cell r="N1055">
            <v>44218</v>
          </cell>
          <cell r="O1055">
            <v>11116507</v>
          </cell>
          <cell r="P1055">
            <v>12600000</v>
          </cell>
          <cell r="Q1055">
            <v>44197</v>
          </cell>
          <cell r="R1055" t="str">
            <v>No</v>
          </cell>
          <cell r="S1055" t="str">
            <v>C49</v>
          </cell>
          <cell r="T1055" t="str">
            <v>SOUTH</v>
          </cell>
          <cell r="U1055" t="str">
            <v>深圳</v>
          </cell>
          <cell r="V1055" t="str">
            <v>SZ 深圳</v>
          </cell>
          <cell r="W1055" t="str">
            <v>JZ</v>
          </cell>
          <cell r="X1055" t="str">
            <v>JPY</v>
          </cell>
          <cell r="Y1055">
            <v>12600000</v>
          </cell>
          <cell r="Z1055">
            <v>1</v>
          </cell>
          <cell r="AA1055">
            <v>12600000</v>
          </cell>
          <cell r="AB1055">
            <v>7.51E-2</v>
          </cell>
          <cell r="AC1055">
            <v>946260</v>
          </cell>
          <cell r="AD1055">
            <v>113551.2</v>
          </cell>
          <cell r="AE1055">
            <v>0.12</v>
          </cell>
          <cell r="AF1055">
            <v>44138</v>
          </cell>
          <cell r="AG1055" t="str">
            <v>DAP HZ</v>
          </cell>
          <cell r="AK1055">
            <v>0.05</v>
          </cell>
          <cell r="AL1055">
            <v>630000</v>
          </cell>
          <cell r="AM1055">
            <v>44140</v>
          </cell>
          <cell r="AN1055" t="str">
            <v>Yes</v>
          </cell>
          <cell r="AO1055">
            <v>0.95</v>
          </cell>
          <cell r="AP1055">
            <v>11970000</v>
          </cell>
          <cell r="AQ1055">
            <v>44218</v>
          </cell>
          <cell r="AR1055">
            <v>44216</v>
          </cell>
          <cell r="AS1055">
            <v>0</v>
          </cell>
          <cell r="AT1055">
            <v>0</v>
          </cell>
          <cell r="AX1055" t="str">
            <v>Yes</v>
          </cell>
          <cell r="AZ1055" t="str">
            <v>Yes</v>
          </cell>
          <cell r="BA1055" t="str">
            <v>Yes</v>
          </cell>
        </row>
        <row r="1056">
          <cell r="B1056">
            <v>906</v>
          </cell>
          <cell r="C1056" t="str">
            <v>C49SZX20200205JZ</v>
          </cell>
          <cell r="D1056" t="str">
            <v>新明海</v>
          </cell>
          <cell r="E1056" t="str">
            <v>YSM10</v>
          </cell>
          <cell r="F1056" t="str">
            <v>#59648</v>
          </cell>
          <cell r="G1056" t="e">
            <v>#REF!</v>
          </cell>
          <cell r="H1056" t="e">
            <v>#REF!</v>
          </cell>
          <cell r="I1056" t="str">
            <v>L-&gt;R</v>
          </cell>
          <cell r="J1056" t="str">
            <v>MVC</v>
          </cell>
          <cell r="K1056">
            <v>1</v>
          </cell>
          <cell r="L1056">
            <v>110066</v>
          </cell>
          <cell r="M1056" t="str">
            <v>JAN 21</v>
          </cell>
          <cell r="N1056">
            <v>44218</v>
          </cell>
          <cell r="O1056">
            <v>11116507</v>
          </cell>
          <cell r="P1056">
            <v>9000000</v>
          </cell>
          <cell r="Q1056">
            <v>44197</v>
          </cell>
          <cell r="R1056" t="str">
            <v>No</v>
          </cell>
          <cell r="S1056" t="str">
            <v>C49</v>
          </cell>
          <cell r="T1056" t="str">
            <v>SOUTH</v>
          </cell>
          <cell r="U1056" t="str">
            <v>深圳</v>
          </cell>
          <cell r="V1056" t="str">
            <v>SZ 深圳</v>
          </cell>
          <cell r="W1056" t="str">
            <v>JZ</v>
          </cell>
          <cell r="X1056" t="str">
            <v>JPY</v>
          </cell>
          <cell r="Y1056">
            <v>9000000</v>
          </cell>
          <cell r="Z1056">
            <v>1</v>
          </cell>
          <cell r="AA1056">
            <v>9000000</v>
          </cell>
          <cell r="AB1056">
            <v>7.51E-2</v>
          </cell>
          <cell r="AC1056">
            <v>675900</v>
          </cell>
          <cell r="AD1056">
            <v>81108</v>
          </cell>
          <cell r="AE1056">
            <v>0.12</v>
          </cell>
          <cell r="AF1056">
            <v>44138</v>
          </cell>
          <cell r="AG1056" t="str">
            <v>DAP HZ</v>
          </cell>
          <cell r="AK1056">
            <v>0.05</v>
          </cell>
          <cell r="AL1056">
            <v>450000</v>
          </cell>
          <cell r="AM1056">
            <v>44141</v>
          </cell>
          <cell r="AN1056" t="str">
            <v>Yes</v>
          </cell>
          <cell r="AO1056">
            <v>0.95</v>
          </cell>
          <cell r="AP1056">
            <v>8550000</v>
          </cell>
          <cell r="AQ1056">
            <v>44218</v>
          </cell>
          <cell r="AR1056">
            <v>44216</v>
          </cell>
          <cell r="AS1056">
            <v>0</v>
          </cell>
          <cell r="AT1056">
            <v>0</v>
          </cell>
          <cell r="AX1056" t="str">
            <v>Yes</v>
          </cell>
          <cell r="AZ1056" t="str">
            <v>Yes</v>
          </cell>
          <cell r="BA1056" t="str">
            <v>Yes</v>
          </cell>
        </row>
        <row r="1057">
          <cell r="B1057">
            <v>907</v>
          </cell>
          <cell r="C1057" t="str">
            <v>C49SZX20200142SX</v>
          </cell>
          <cell r="D1057" t="str">
            <v>鑫亿特</v>
          </cell>
          <cell r="E1057" t="str">
            <v>YSM20R-2</v>
          </cell>
          <cell r="F1057" t="str">
            <v>#05230</v>
          </cell>
          <cell r="G1057" t="e">
            <v>#REF!</v>
          </cell>
          <cell r="H1057" t="e">
            <v>#REF!</v>
          </cell>
          <cell r="I1057" t="str">
            <v>L-&gt;R</v>
          </cell>
          <cell r="J1057" t="str">
            <v>No</v>
          </cell>
          <cell r="K1057">
            <v>1</v>
          </cell>
          <cell r="L1057">
            <v>110159</v>
          </cell>
          <cell r="M1057" t="str">
            <v>JAN 21</v>
          </cell>
          <cell r="N1057">
            <v>44203</v>
          </cell>
          <cell r="O1057">
            <v>11116495</v>
          </cell>
          <cell r="P1057">
            <v>15000000</v>
          </cell>
          <cell r="Q1057">
            <v>44197</v>
          </cell>
          <cell r="R1057" t="str">
            <v>No</v>
          </cell>
          <cell r="S1057" t="str">
            <v>C49</v>
          </cell>
          <cell r="T1057" t="str">
            <v>SOUTH</v>
          </cell>
          <cell r="U1057" t="str">
            <v>深圳</v>
          </cell>
          <cell r="V1057" t="str">
            <v>SZ 深圳</v>
          </cell>
          <cell r="W1057" t="str">
            <v>SX</v>
          </cell>
          <cell r="X1057" t="str">
            <v>JPY</v>
          </cell>
          <cell r="Y1057">
            <v>15000000</v>
          </cell>
          <cell r="Z1057">
            <v>1</v>
          </cell>
          <cell r="AA1057">
            <v>15000000</v>
          </cell>
          <cell r="AB1057">
            <v>7.51E-2</v>
          </cell>
          <cell r="AC1057">
            <v>1126500</v>
          </cell>
          <cell r="AD1057">
            <v>135180</v>
          </cell>
          <cell r="AE1057">
            <v>0.12</v>
          </cell>
          <cell r="AF1057">
            <v>44138</v>
          </cell>
          <cell r="AG1057" t="str">
            <v>DAP SZ</v>
          </cell>
          <cell r="AK1057">
            <v>0.9</v>
          </cell>
          <cell r="AL1057">
            <v>13500000</v>
          </cell>
          <cell r="AM1057">
            <v>44142</v>
          </cell>
          <cell r="AN1057" t="str">
            <v>Yes</v>
          </cell>
          <cell r="AO1057">
            <v>0.9</v>
          </cell>
          <cell r="AP1057">
            <v>13500000</v>
          </cell>
          <cell r="AQ1057">
            <v>44197</v>
          </cell>
          <cell r="AR1057">
            <v>44201</v>
          </cell>
          <cell r="AS1057">
            <v>0</v>
          </cell>
          <cell r="AT1057">
            <v>0</v>
          </cell>
          <cell r="AX1057" t="str">
            <v>Yes</v>
          </cell>
          <cell r="AZ1057" t="str">
            <v>Y</v>
          </cell>
        </row>
        <row r="1058">
          <cell r="B1058">
            <v>908</v>
          </cell>
          <cell r="C1058" t="str">
            <v>C49SZX20200142SX</v>
          </cell>
          <cell r="D1058" t="str">
            <v>鑫亿特</v>
          </cell>
          <cell r="E1058" t="str">
            <v>YSM10</v>
          </cell>
          <cell r="F1058" t="str">
            <v>#05230</v>
          </cell>
          <cell r="G1058" t="e">
            <v>#REF!</v>
          </cell>
          <cell r="H1058" t="e">
            <v>#REF!</v>
          </cell>
          <cell r="I1058" t="str">
            <v>L-&gt;R</v>
          </cell>
          <cell r="J1058" t="str">
            <v>MVC</v>
          </cell>
          <cell r="K1058">
            <v>1</v>
          </cell>
          <cell r="L1058">
            <v>110108</v>
          </cell>
          <cell r="M1058" t="str">
            <v>JAN 21</v>
          </cell>
          <cell r="N1058">
            <v>44203</v>
          </cell>
          <cell r="O1058">
            <v>11116495</v>
          </cell>
          <cell r="P1058">
            <v>10290000</v>
          </cell>
          <cell r="Q1058">
            <v>44197</v>
          </cell>
          <cell r="R1058" t="str">
            <v>No</v>
          </cell>
          <cell r="S1058" t="str">
            <v>C49</v>
          </cell>
          <cell r="T1058" t="str">
            <v>SOUTH</v>
          </cell>
          <cell r="U1058" t="str">
            <v>深圳</v>
          </cell>
          <cell r="V1058" t="str">
            <v>SZ 深圳</v>
          </cell>
          <cell r="W1058" t="str">
            <v>SX</v>
          </cell>
          <cell r="X1058" t="str">
            <v>JPY</v>
          </cell>
          <cell r="Y1058">
            <v>10290000</v>
          </cell>
          <cell r="Z1058">
            <v>1</v>
          </cell>
          <cell r="AA1058">
            <v>10290000</v>
          </cell>
          <cell r="AB1058">
            <v>7.51E-2</v>
          </cell>
          <cell r="AC1058">
            <v>772779</v>
          </cell>
          <cell r="AD1058">
            <v>92733.48</v>
          </cell>
          <cell r="AE1058">
            <v>0.12</v>
          </cell>
          <cell r="AF1058">
            <v>44138</v>
          </cell>
          <cell r="AG1058" t="str">
            <v>DAP SZ</v>
          </cell>
          <cell r="AK1058">
            <v>0.9</v>
          </cell>
          <cell r="AL1058">
            <v>9261000</v>
          </cell>
          <cell r="AM1058">
            <v>44143</v>
          </cell>
          <cell r="AN1058" t="str">
            <v>Yes</v>
          </cell>
          <cell r="AO1058">
            <v>0.9</v>
          </cell>
          <cell r="AP1058">
            <v>9261000</v>
          </cell>
          <cell r="AQ1058">
            <v>44197</v>
          </cell>
          <cell r="AR1058">
            <v>44201</v>
          </cell>
          <cell r="AS1058">
            <v>0</v>
          </cell>
          <cell r="AT1058">
            <v>0</v>
          </cell>
          <cell r="AX1058" t="str">
            <v>Yes</v>
          </cell>
          <cell r="AZ1058" t="str">
            <v>Y</v>
          </cell>
        </row>
        <row r="1059">
          <cell r="B1059">
            <v>909</v>
          </cell>
          <cell r="C1059" t="str">
            <v>C49SZX20200207MZ</v>
          </cell>
          <cell r="D1059" t="str">
            <v>崧盛</v>
          </cell>
          <cell r="E1059" t="str">
            <v>YSM20R-2</v>
          </cell>
          <cell r="F1059" t="str">
            <v>#03807</v>
          </cell>
          <cell r="G1059" t="e">
            <v>#REF!</v>
          </cell>
          <cell r="H1059" t="e">
            <v>#REF!</v>
          </cell>
          <cell r="I1059" t="str">
            <v>L-&gt;R</v>
          </cell>
          <cell r="J1059" t="str">
            <v>No</v>
          </cell>
          <cell r="K1059">
            <v>1</v>
          </cell>
          <cell r="L1059">
            <v>110123</v>
          </cell>
          <cell r="M1059" t="str">
            <v>JAN 21</v>
          </cell>
          <cell r="N1059">
            <v>44225</v>
          </cell>
          <cell r="O1059">
            <v>11116501</v>
          </cell>
          <cell r="P1059">
            <v>14760000</v>
          </cell>
          <cell r="Q1059">
            <v>44198</v>
          </cell>
          <cell r="R1059" t="str">
            <v>No</v>
          </cell>
          <cell r="S1059" t="str">
            <v>C49</v>
          </cell>
          <cell r="T1059" t="str">
            <v>SOUTH</v>
          </cell>
          <cell r="U1059" t="str">
            <v>深圳</v>
          </cell>
          <cell r="V1059" t="str">
            <v>SZ 深圳</v>
          </cell>
          <cell r="W1059" t="str">
            <v>MZ</v>
          </cell>
          <cell r="X1059" t="str">
            <v>JPY</v>
          </cell>
          <cell r="Y1059">
            <v>14760000</v>
          </cell>
          <cell r="Z1059">
            <v>1</v>
          </cell>
          <cell r="AA1059">
            <v>14760000</v>
          </cell>
          <cell r="AB1059">
            <v>7.51E-2</v>
          </cell>
          <cell r="AC1059">
            <v>1108476</v>
          </cell>
          <cell r="AD1059">
            <v>133017.12</v>
          </cell>
          <cell r="AE1059">
            <v>0.12</v>
          </cell>
          <cell r="AF1059">
            <v>44139</v>
          </cell>
          <cell r="AG1059" t="str">
            <v>CIF HK</v>
          </cell>
          <cell r="AK1059">
            <v>0.2</v>
          </cell>
          <cell r="AL1059">
            <v>2952000</v>
          </cell>
          <cell r="AM1059">
            <v>44144</v>
          </cell>
          <cell r="AN1059" t="str">
            <v>Yes</v>
          </cell>
          <cell r="AO1059">
            <v>0.8</v>
          </cell>
          <cell r="AP1059">
            <v>11808000</v>
          </cell>
          <cell r="AQ1059">
            <v>44223</v>
          </cell>
          <cell r="AR1059">
            <v>44223</v>
          </cell>
          <cell r="AS1059">
            <v>0</v>
          </cell>
          <cell r="AT1059">
            <v>0</v>
          </cell>
          <cell r="AX1059" t="str">
            <v>Yes</v>
          </cell>
          <cell r="AZ1059" t="str">
            <v>Yes</v>
          </cell>
          <cell r="BA1059" t="str">
            <v>Yes</v>
          </cell>
        </row>
        <row r="1060">
          <cell r="B1060">
            <v>910</v>
          </cell>
          <cell r="C1060" t="str">
            <v>C49SZX20200207MZ</v>
          </cell>
          <cell r="D1060" t="str">
            <v>崧盛</v>
          </cell>
          <cell r="E1060" t="str">
            <v>YSM10</v>
          </cell>
          <cell r="F1060" t="str">
            <v>#03807</v>
          </cell>
          <cell r="G1060" t="e">
            <v>#REF!</v>
          </cell>
          <cell r="H1060" t="e">
            <v>#REF!</v>
          </cell>
          <cell r="I1060" t="str">
            <v>L-&gt;R</v>
          </cell>
          <cell r="J1060" t="str">
            <v>No</v>
          </cell>
          <cell r="K1060">
            <v>1</v>
          </cell>
          <cell r="L1060">
            <v>110199</v>
          </cell>
          <cell r="M1060" t="str">
            <v>JAN 21</v>
          </cell>
          <cell r="N1060">
            <v>44225</v>
          </cell>
          <cell r="O1060">
            <v>11116501</v>
          </cell>
          <cell r="P1060">
            <v>8250000</v>
          </cell>
          <cell r="Q1060">
            <v>44199</v>
          </cell>
          <cell r="R1060" t="str">
            <v>No</v>
          </cell>
          <cell r="S1060" t="str">
            <v>C49</v>
          </cell>
          <cell r="T1060" t="str">
            <v>SOUTH</v>
          </cell>
          <cell r="U1060" t="str">
            <v>深圳</v>
          </cell>
          <cell r="V1060" t="str">
            <v>SZ 深圳</v>
          </cell>
          <cell r="W1060" t="str">
            <v>MZ</v>
          </cell>
          <cell r="X1060" t="str">
            <v>JPY</v>
          </cell>
          <cell r="Y1060">
            <v>8250000</v>
          </cell>
          <cell r="Z1060">
            <v>1</v>
          </cell>
          <cell r="AA1060">
            <v>8250000</v>
          </cell>
          <cell r="AB1060">
            <v>7.51E-2</v>
          </cell>
          <cell r="AC1060">
            <v>619575</v>
          </cell>
          <cell r="AD1060">
            <v>74349</v>
          </cell>
          <cell r="AE1060">
            <v>0.12</v>
          </cell>
          <cell r="AF1060">
            <v>44139</v>
          </cell>
          <cell r="AG1060" t="str">
            <v>CIF HK</v>
          </cell>
          <cell r="AK1060">
            <v>0.2</v>
          </cell>
          <cell r="AL1060">
            <v>1650000</v>
          </cell>
          <cell r="AM1060">
            <v>44145</v>
          </cell>
          <cell r="AN1060" t="str">
            <v>Yes</v>
          </cell>
          <cell r="AO1060">
            <v>0.8</v>
          </cell>
          <cell r="AP1060">
            <v>6600000</v>
          </cell>
          <cell r="AQ1060">
            <v>44223</v>
          </cell>
          <cell r="AR1060">
            <v>44223</v>
          </cell>
          <cell r="AS1060">
            <v>0</v>
          </cell>
          <cell r="AT1060">
            <v>0</v>
          </cell>
          <cell r="AX1060" t="str">
            <v>Yes</v>
          </cell>
          <cell r="AZ1060" t="str">
            <v>Yes</v>
          </cell>
          <cell r="BA1060" t="str">
            <v>Yes</v>
          </cell>
        </row>
        <row r="1061">
          <cell r="B1061">
            <v>911</v>
          </cell>
          <cell r="C1061" t="str">
            <v>C49SZX20200207MZ</v>
          </cell>
          <cell r="D1061" t="str">
            <v>崧盛</v>
          </cell>
          <cell r="E1061" t="str">
            <v>YSM10</v>
          </cell>
          <cell r="F1061" t="str">
            <v>#03807</v>
          </cell>
          <cell r="G1061" t="e">
            <v>#REF!</v>
          </cell>
          <cell r="H1061" t="e">
            <v>#REF!</v>
          </cell>
          <cell r="I1061" t="str">
            <v>L-&gt;R</v>
          </cell>
          <cell r="J1061" t="str">
            <v>No</v>
          </cell>
          <cell r="K1061">
            <v>1</v>
          </cell>
          <cell r="L1061">
            <v>110199</v>
          </cell>
          <cell r="M1061" t="str">
            <v>JAN 21</v>
          </cell>
          <cell r="N1061">
            <v>44225</v>
          </cell>
          <cell r="O1061">
            <v>11116501</v>
          </cell>
          <cell r="P1061">
            <v>8250000</v>
          </cell>
          <cell r="Q1061">
            <v>44200</v>
          </cell>
          <cell r="R1061" t="str">
            <v>No</v>
          </cell>
          <cell r="S1061" t="str">
            <v>C49</v>
          </cell>
          <cell r="T1061" t="str">
            <v>SOUTH</v>
          </cell>
          <cell r="U1061" t="str">
            <v>深圳</v>
          </cell>
          <cell r="V1061" t="str">
            <v>SZ 深圳</v>
          </cell>
          <cell r="W1061" t="str">
            <v>MZ</v>
          </cell>
          <cell r="X1061" t="str">
            <v>JPY</v>
          </cell>
          <cell r="Y1061">
            <v>8250000</v>
          </cell>
          <cell r="Z1061">
            <v>1</v>
          </cell>
          <cell r="AA1061">
            <v>8250000</v>
          </cell>
          <cell r="AB1061">
            <v>7.51E-2</v>
          </cell>
          <cell r="AC1061">
            <v>619575</v>
          </cell>
          <cell r="AD1061">
            <v>74349</v>
          </cell>
          <cell r="AE1061">
            <v>0.12</v>
          </cell>
          <cell r="AF1061">
            <v>44139</v>
          </cell>
          <cell r="AG1061" t="str">
            <v>CIF HK</v>
          </cell>
          <cell r="AK1061">
            <v>0.2</v>
          </cell>
          <cell r="AL1061">
            <v>1650000</v>
          </cell>
          <cell r="AM1061">
            <v>44146</v>
          </cell>
          <cell r="AN1061" t="str">
            <v>Yes</v>
          </cell>
          <cell r="AO1061">
            <v>0.8</v>
          </cell>
          <cell r="AP1061">
            <v>6600000</v>
          </cell>
          <cell r="AQ1061">
            <v>44223</v>
          </cell>
          <cell r="AR1061">
            <v>44223</v>
          </cell>
          <cell r="AS1061">
            <v>0</v>
          </cell>
          <cell r="AT1061">
            <v>0</v>
          </cell>
          <cell r="AX1061" t="str">
            <v>Yes</v>
          </cell>
          <cell r="AZ1061" t="str">
            <v>Yes</v>
          </cell>
          <cell r="BA1061" t="str">
            <v>Yes</v>
          </cell>
        </row>
        <row r="1062">
          <cell r="B1062">
            <v>912</v>
          </cell>
          <cell r="C1062" t="str">
            <v>C49SZX20200206MZ</v>
          </cell>
          <cell r="D1062" t="str">
            <v>崧盛</v>
          </cell>
          <cell r="E1062" t="str">
            <v>YSM20R-2</v>
          </cell>
          <cell r="F1062" t="str">
            <v>#03807</v>
          </cell>
          <cell r="G1062" t="e">
            <v>#REF!</v>
          </cell>
          <cell r="H1062" t="e">
            <v>#REF!</v>
          </cell>
          <cell r="I1062" t="str">
            <v>L-&gt;R</v>
          </cell>
          <cell r="J1062" t="str">
            <v>No</v>
          </cell>
          <cell r="K1062">
            <v>1</v>
          </cell>
          <cell r="L1062">
            <v>110108</v>
          </cell>
          <cell r="M1062" t="str">
            <v>JAN 21</v>
          </cell>
          <cell r="N1062">
            <v>44203</v>
          </cell>
          <cell r="O1062">
            <v>11116498</v>
          </cell>
          <cell r="P1062">
            <v>14760000</v>
          </cell>
          <cell r="Q1062">
            <v>44201</v>
          </cell>
          <cell r="R1062" t="str">
            <v>No</v>
          </cell>
          <cell r="S1062" t="str">
            <v>C49</v>
          </cell>
          <cell r="T1062" t="str">
            <v>SOUTH</v>
          </cell>
          <cell r="U1062" t="str">
            <v>深圳</v>
          </cell>
          <cell r="V1062" t="str">
            <v>SZ 深圳</v>
          </cell>
          <cell r="W1062" t="str">
            <v>MZ</v>
          </cell>
          <cell r="X1062" t="str">
            <v>JPY</v>
          </cell>
          <cell r="Y1062">
            <v>14760000</v>
          </cell>
          <cell r="Z1062">
            <v>1</v>
          </cell>
          <cell r="AA1062">
            <v>14760000</v>
          </cell>
          <cell r="AB1062">
            <v>7.51E-2</v>
          </cell>
          <cell r="AC1062">
            <v>1108476</v>
          </cell>
          <cell r="AD1062">
            <v>133017.12</v>
          </cell>
          <cell r="AE1062">
            <v>0.12</v>
          </cell>
          <cell r="AF1062">
            <v>44139</v>
          </cell>
          <cell r="AG1062" t="str">
            <v>CIF HK</v>
          </cell>
          <cell r="AK1062">
            <v>0.2</v>
          </cell>
          <cell r="AL1062">
            <v>2952000</v>
          </cell>
          <cell r="AM1062">
            <v>44147</v>
          </cell>
          <cell r="AN1062" t="str">
            <v>Yes</v>
          </cell>
          <cell r="AO1062">
            <v>0.8</v>
          </cell>
          <cell r="AP1062">
            <v>11808000</v>
          </cell>
          <cell r="AQ1062">
            <v>43831</v>
          </cell>
          <cell r="AR1062">
            <v>43836</v>
          </cell>
          <cell r="AS1062">
            <v>0</v>
          </cell>
          <cell r="AT1062">
            <v>0</v>
          </cell>
          <cell r="AX1062" t="str">
            <v>Yes</v>
          </cell>
          <cell r="AZ1062" t="str">
            <v>Yes</v>
          </cell>
          <cell r="BA1062" t="str">
            <v>Yes</v>
          </cell>
        </row>
        <row r="1063">
          <cell r="B1063">
            <v>913</v>
          </cell>
          <cell r="C1063" t="str">
            <v>C49SZX20200206MZ</v>
          </cell>
          <cell r="D1063" t="str">
            <v>崧盛</v>
          </cell>
          <cell r="E1063" t="str">
            <v>YSM20R-2</v>
          </cell>
          <cell r="F1063" t="str">
            <v>#03807</v>
          </cell>
          <cell r="G1063" t="e">
            <v>#REF!</v>
          </cell>
          <cell r="H1063" t="e">
            <v>#REF!</v>
          </cell>
          <cell r="I1063" t="str">
            <v>L-&gt;R</v>
          </cell>
          <cell r="J1063" t="str">
            <v>No</v>
          </cell>
          <cell r="K1063">
            <v>1</v>
          </cell>
          <cell r="L1063">
            <v>110159</v>
          </cell>
          <cell r="M1063" t="str">
            <v>JAN 21</v>
          </cell>
          <cell r="N1063">
            <v>44203</v>
          </cell>
          <cell r="O1063">
            <v>11116498</v>
          </cell>
          <cell r="P1063">
            <v>14760000</v>
          </cell>
          <cell r="Q1063">
            <v>44202</v>
          </cell>
          <cell r="R1063" t="str">
            <v>No</v>
          </cell>
          <cell r="S1063" t="str">
            <v>C49</v>
          </cell>
          <cell r="T1063" t="str">
            <v>SOUTH</v>
          </cell>
          <cell r="U1063" t="str">
            <v>深圳</v>
          </cell>
          <cell r="V1063" t="str">
            <v>SZ 深圳</v>
          </cell>
          <cell r="W1063" t="str">
            <v>MZ</v>
          </cell>
          <cell r="X1063" t="str">
            <v>JPY</v>
          </cell>
          <cell r="Y1063">
            <v>14760000</v>
          </cell>
          <cell r="Z1063">
            <v>1</v>
          </cell>
          <cell r="AA1063">
            <v>14760000</v>
          </cell>
          <cell r="AB1063">
            <v>7.51E-2</v>
          </cell>
          <cell r="AC1063">
            <v>1108476</v>
          </cell>
          <cell r="AD1063">
            <v>133017.12</v>
          </cell>
          <cell r="AE1063">
            <v>0.12</v>
          </cell>
          <cell r="AF1063">
            <v>44139</v>
          </cell>
          <cell r="AG1063" t="str">
            <v>CIF HK</v>
          </cell>
          <cell r="AK1063">
            <v>0.2</v>
          </cell>
          <cell r="AL1063">
            <v>2952000</v>
          </cell>
          <cell r="AM1063">
            <v>44148</v>
          </cell>
          <cell r="AN1063" t="str">
            <v>Yes</v>
          </cell>
          <cell r="AO1063">
            <v>0.8</v>
          </cell>
          <cell r="AP1063">
            <v>11808000</v>
          </cell>
          <cell r="AQ1063">
            <v>43831</v>
          </cell>
          <cell r="AR1063">
            <v>43836</v>
          </cell>
          <cell r="AS1063">
            <v>0</v>
          </cell>
          <cell r="AT1063">
            <v>0</v>
          </cell>
          <cell r="AX1063" t="str">
            <v>Yes</v>
          </cell>
          <cell r="AZ1063" t="str">
            <v>Yes</v>
          </cell>
          <cell r="BA1063" t="str">
            <v>Yes</v>
          </cell>
        </row>
        <row r="1064">
          <cell r="B1064">
            <v>914</v>
          </cell>
          <cell r="C1064" t="str">
            <v>C49SZX20200206MZ</v>
          </cell>
          <cell r="D1064" t="str">
            <v>崧盛</v>
          </cell>
          <cell r="E1064" t="str">
            <v>YSM10</v>
          </cell>
          <cell r="F1064" t="str">
            <v>#03807</v>
          </cell>
          <cell r="G1064" t="e">
            <v>#REF!</v>
          </cell>
          <cell r="H1064" t="e">
            <v>#REF!</v>
          </cell>
          <cell r="I1064" t="str">
            <v>L-&gt;R</v>
          </cell>
          <cell r="J1064" t="str">
            <v>No</v>
          </cell>
          <cell r="K1064">
            <v>1</v>
          </cell>
          <cell r="L1064">
            <v>110108</v>
          </cell>
          <cell r="M1064" t="str">
            <v>JAN 21</v>
          </cell>
          <cell r="N1064">
            <v>44203</v>
          </cell>
          <cell r="O1064">
            <v>11116498</v>
          </cell>
          <cell r="P1064">
            <v>8250000</v>
          </cell>
          <cell r="Q1064">
            <v>44203</v>
          </cell>
          <cell r="R1064" t="str">
            <v>No</v>
          </cell>
          <cell r="S1064" t="str">
            <v>C49</v>
          </cell>
          <cell r="T1064" t="str">
            <v>SOUTH</v>
          </cell>
          <cell r="U1064" t="str">
            <v>深圳</v>
          </cell>
          <cell r="V1064" t="str">
            <v>SZ 深圳</v>
          </cell>
          <cell r="W1064" t="str">
            <v>MZ</v>
          </cell>
          <cell r="X1064" t="str">
            <v>JPY</v>
          </cell>
          <cell r="Y1064">
            <v>8250000</v>
          </cell>
          <cell r="Z1064">
            <v>1</v>
          </cell>
          <cell r="AA1064">
            <v>8250000</v>
          </cell>
          <cell r="AB1064">
            <v>7.51E-2</v>
          </cell>
          <cell r="AC1064">
            <v>619575</v>
          </cell>
          <cell r="AD1064">
            <v>74349</v>
          </cell>
          <cell r="AE1064">
            <v>0.12</v>
          </cell>
          <cell r="AF1064">
            <v>44139</v>
          </cell>
          <cell r="AG1064" t="str">
            <v>CIF HK</v>
          </cell>
          <cell r="AK1064">
            <v>0.2</v>
          </cell>
          <cell r="AL1064">
            <v>1650000</v>
          </cell>
          <cell r="AM1064">
            <v>44149</v>
          </cell>
          <cell r="AN1064" t="str">
            <v>Yes</v>
          </cell>
          <cell r="AO1064">
            <v>0.8</v>
          </cell>
          <cell r="AP1064">
            <v>6600000</v>
          </cell>
          <cell r="AQ1064">
            <v>43831</v>
          </cell>
          <cell r="AR1064">
            <v>43836</v>
          </cell>
          <cell r="AS1064">
            <v>0</v>
          </cell>
          <cell r="AT1064">
            <v>0</v>
          </cell>
          <cell r="AX1064" t="str">
            <v>Yes</v>
          </cell>
          <cell r="AZ1064" t="str">
            <v>Yes</v>
          </cell>
          <cell r="BA1064" t="str">
            <v>Yes</v>
          </cell>
        </row>
        <row r="1065">
          <cell r="B1065">
            <v>915</v>
          </cell>
          <cell r="C1065" t="str">
            <v>C49SZX20200206MZ</v>
          </cell>
          <cell r="D1065" t="str">
            <v>崧盛</v>
          </cell>
          <cell r="E1065" t="str">
            <v>YSM10</v>
          </cell>
          <cell r="F1065" t="str">
            <v>#03807</v>
          </cell>
          <cell r="G1065" t="e">
            <v>#REF!</v>
          </cell>
          <cell r="H1065" t="e">
            <v>#REF!</v>
          </cell>
          <cell r="I1065" t="str">
            <v>L-&gt;R</v>
          </cell>
          <cell r="J1065" t="str">
            <v>No</v>
          </cell>
          <cell r="K1065">
            <v>1</v>
          </cell>
          <cell r="L1065">
            <v>110161</v>
          </cell>
          <cell r="M1065" t="str">
            <v>JAN 21</v>
          </cell>
          <cell r="N1065">
            <v>44203</v>
          </cell>
          <cell r="O1065">
            <v>11116498</v>
          </cell>
          <cell r="P1065">
            <v>8250000</v>
          </cell>
          <cell r="Q1065">
            <v>44204</v>
          </cell>
          <cell r="R1065" t="str">
            <v>No</v>
          </cell>
          <cell r="S1065" t="str">
            <v>C49</v>
          </cell>
          <cell r="T1065" t="str">
            <v>SOUTH</v>
          </cell>
          <cell r="U1065" t="str">
            <v>深圳</v>
          </cell>
          <cell r="V1065" t="str">
            <v>SZ 深圳</v>
          </cell>
          <cell r="W1065" t="str">
            <v>MZ</v>
          </cell>
          <cell r="X1065" t="str">
            <v>JPY</v>
          </cell>
          <cell r="Y1065">
            <v>8250000</v>
          </cell>
          <cell r="Z1065">
            <v>1</v>
          </cell>
          <cell r="AA1065">
            <v>8250000</v>
          </cell>
          <cell r="AB1065">
            <v>7.51E-2</v>
          </cell>
          <cell r="AC1065">
            <v>619575</v>
          </cell>
          <cell r="AD1065">
            <v>74349</v>
          </cell>
          <cell r="AE1065">
            <v>0.12</v>
          </cell>
          <cell r="AF1065">
            <v>44139</v>
          </cell>
          <cell r="AG1065" t="str">
            <v>CIF HK</v>
          </cell>
          <cell r="AK1065">
            <v>0.2</v>
          </cell>
          <cell r="AL1065">
            <v>1650000</v>
          </cell>
          <cell r="AM1065">
            <v>44150</v>
          </cell>
          <cell r="AN1065" t="str">
            <v>Yes</v>
          </cell>
          <cell r="AO1065">
            <v>0.8</v>
          </cell>
          <cell r="AP1065">
            <v>6600000</v>
          </cell>
          <cell r="AQ1065">
            <v>43831</v>
          </cell>
          <cell r="AR1065">
            <v>43836</v>
          </cell>
          <cell r="AS1065">
            <v>0</v>
          </cell>
          <cell r="AT1065">
            <v>0</v>
          </cell>
          <cell r="AX1065" t="str">
            <v>Yes</v>
          </cell>
          <cell r="AZ1065" t="str">
            <v>Yes</v>
          </cell>
          <cell r="BA1065" t="str">
            <v>Yes</v>
          </cell>
        </row>
        <row r="1066">
          <cell r="B1066">
            <v>916</v>
          </cell>
          <cell r="C1066" t="str">
            <v>C49SZX20200192SS</v>
          </cell>
          <cell r="D1066" t="str">
            <v>合进高</v>
          </cell>
          <cell r="E1066" t="str">
            <v>YSM10</v>
          </cell>
          <cell r="F1066" t="str">
            <v>#04478</v>
          </cell>
          <cell r="G1066" t="e">
            <v>#REF!</v>
          </cell>
          <cell r="H1066" t="e">
            <v>#REF!</v>
          </cell>
          <cell r="I1066" t="str">
            <v>L-&gt;R</v>
          </cell>
          <cell r="J1066" t="str">
            <v>MVC+ATS15</v>
          </cell>
          <cell r="K1066">
            <v>1</v>
          </cell>
          <cell r="L1066">
            <v>110096</v>
          </cell>
          <cell r="M1066" t="str">
            <v>JAN 21</v>
          </cell>
          <cell r="N1066">
            <v>44229</v>
          </cell>
          <cell r="O1066">
            <v>11116514</v>
          </cell>
          <cell r="P1066">
            <v>9526667</v>
          </cell>
          <cell r="Q1066">
            <v>44228</v>
          </cell>
          <cell r="R1066" t="str">
            <v>No</v>
          </cell>
          <cell r="S1066" t="str">
            <v>C49</v>
          </cell>
          <cell r="T1066" t="str">
            <v>SOUTH</v>
          </cell>
          <cell r="U1066" t="str">
            <v>深圳</v>
          </cell>
          <cell r="V1066" t="str">
            <v>SZ 深圳</v>
          </cell>
          <cell r="W1066" t="str">
            <v>SS</v>
          </cell>
          <cell r="X1066" t="str">
            <v>JPY</v>
          </cell>
          <cell r="Y1066">
            <v>9526667</v>
          </cell>
          <cell r="Z1066">
            <v>1</v>
          </cell>
          <cell r="AA1066">
            <v>9526667</v>
          </cell>
          <cell r="AB1066">
            <v>7.4899999999999994E-2</v>
          </cell>
          <cell r="AC1066">
            <v>713547.35829999996</v>
          </cell>
          <cell r="AD1066">
            <v>85625.682995999989</v>
          </cell>
          <cell r="AE1066">
            <v>0.12</v>
          </cell>
          <cell r="AF1066">
            <v>44124</v>
          </cell>
          <cell r="AG1066" t="str">
            <v>CIF HK</v>
          </cell>
          <cell r="AK1066">
            <v>0.1</v>
          </cell>
          <cell r="AL1066">
            <v>952666.70000000007</v>
          </cell>
          <cell r="AM1066">
            <v>44136</v>
          </cell>
          <cell r="AN1066" t="str">
            <v>Yes</v>
          </cell>
          <cell r="AO1066">
            <v>0.9</v>
          </cell>
          <cell r="AP1066">
            <v>8574000.3000000007</v>
          </cell>
          <cell r="AQ1066">
            <v>44228</v>
          </cell>
          <cell r="AR1066">
            <v>44228</v>
          </cell>
          <cell r="AS1066">
            <v>0</v>
          </cell>
          <cell r="AT1066">
            <v>0</v>
          </cell>
          <cell r="AX1066" t="str">
            <v>Yes</v>
          </cell>
          <cell r="AZ1066" t="str">
            <v>Yes</v>
          </cell>
          <cell r="BA1066" t="str">
            <v>Yes</v>
          </cell>
        </row>
        <row r="1067">
          <cell r="B1067">
            <v>917</v>
          </cell>
          <cell r="C1067" t="str">
            <v>C49SZX20200192SS</v>
          </cell>
          <cell r="D1067" t="str">
            <v>合进高</v>
          </cell>
          <cell r="E1067" t="str">
            <v>YSM10</v>
          </cell>
          <cell r="F1067" t="str">
            <v>#04478</v>
          </cell>
          <cell r="G1067" t="e">
            <v>#REF!</v>
          </cell>
          <cell r="H1067" t="e">
            <v>#REF!</v>
          </cell>
          <cell r="I1067" t="str">
            <v>L-&gt;R</v>
          </cell>
          <cell r="J1067" t="str">
            <v>MVC</v>
          </cell>
          <cell r="K1067">
            <v>1</v>
          </cell>
          <cell r="L1067">
            <v>110199</v>
          </cell>
          <cell r="M1067" t="str">
            <v>JAN 21</v>
          </cell>
          <cell r="N1067">
            <v>44229</v>
          </cell>
          <cell r="O1067">
            <v>11116514</v>
          </cell>
          <cell r="P1067">
            <v>9526667</v>
          </cell>
          <cell r="Q1067">
            <v>44229</v>
          </cell>
          <cell r="R1067" t="str">
            <v>No</v>
          </cell>
          <cell r="S1067" t="str">
            <v>C49</v>
          </cell>
          <cell r="T1067" t="str">
            <v>SOUTH</v>
          </cell>
          <cell r="U1067" t="str">
            <v>深圳</v>
          </cell>
          <cell r="V1067" t="str">
            <v>SZ 深圳</v>
          </cell>
          <cell r="W1067" t="str">
            <v>SS</v>
          </cell>
          <cell r="X1067" t="str">
            <v>JPY</v>
          </cell>
          <cell r="Y1067">
            <v>9526667</v>
          </cell>
          <cell r="Z1067">
            <v>1</v>
          </cell>
          <cell r="AA1067">
            <v>9526667</v>
          </cell>
          <cell r="AB1067">
            <v>7.4899999999999994E-2</v>
          </cell>
          <cell r="AC1067">
            <v>713547.35829999996</v>
          </cell>
          <cell r="AD1067">
            <v>85625.682995999989</v>
          </cell>
          <cell r="AE1067">
            <v>0.12</v>
          </cell>
          <cell r="AF1067">
            <v>44124</v>
          </cell>
          <cell r="AG1067" t="str">
            <v>CIF HK</v>
          </cell>
          <cell r="AK1067">
            <v>0.1</v>
          </cell>
          <cell r="AL1067">
            <v>952666.70000000007</v>
          </cell>
          <cell r="AM1067">
            <v>44136</v>
          </cell>
          <cell r="AN1067" t="str">
            <v>Yes</v>
          </cell>
          <cell r="AO1067">
            <v>0.9</v>
          </cell>
          <cell r="AP1067">
            <v>8574000.3000000007</v>
          </cell>
          <cell r="AQ1067">
            <v>44228</v>
          </cell>
          <cell r="AR1067">
            <v>44228</v>
          </cell>
          <cell r="AS1067">
            <v>0</v>
          </cell>
          <cell r="AT1067">
            <v>0</v>
          </cell>
          <cell r="AX1067" t="str">
            <v>Yes</v>
          </cell>
          <cell r="AZ1067" t="str">
            <v>Yes</v>
          </cell>
          <cell r="BA1067" t="str">
            <v>Yes</v>
          </cell>
        </row>
        <row r="1068">
          <cell r="B1068">
            <v>918</v>
          </cell>
          <cell r="C1068" t="str">
            <v>C49SZX20200192SS</v>
          </cell>
          <cell r="D1068" t="str">
            <v>合进高</v>
          </cell>
          <cell r="E1068" t="str">
            <v>YSM10</v>
          </cell>
          <cell r="F1068" t="str">
            <v>#04478</v>
          </cell>
          <cell r="G1068" t="e">
            <v>#REF!</v>
          </cell>
          <cell r="H1068" t="e">
            <v>#REF!</v>
          </cell>
          <cell r="I1068" t="str">
            <v>L-&gt;R</v>
          </cell>
          <cell r="J1068" t="str">
            <v>MVC</v>
          </cell>
          <cell r="K1068">
            <v>1</v>
          </cell>
          <cell r="L1068">
            <v>110199</v>
          </cell>
          <cell r="M1068" t="str">
            <v>JAN 21</v>
          </cell>
          <cell r="N1068">
            <v>44229</v>
          </cell>
          <cell r="O1068">
            <v>11116514</v>
          </cell>
          <cell r="P1068">
            <v>9526667</v>
          </cell>
          <cell r="Q1068">
            <v>44230</v>
          </cell>
          <cell r="R1068" t="str">
            <v>No</v>
          </cell>
          <cell r="S1068" t="str">
            <v>C49</v>
          </cell>
          <cell r="T1068" t="str">
            <v>SOUTH</v>
          </cell>
          <cell r="U1068" t="str">
            <v>深圳</v>
          </cell>
          <cell r="V1068" t="str">
            <v>SZ 深圳</v>
          </cell>
          <cell r="W1068" t="str">
            <v>SS</v>
          </cell>
          <cell r="X1068" t="str">
            <v>JPY</v>
          </cell>
          <cell r="Y1068">
            <v>9526667</v>
          </cell>
          <cell r="Z1068">
            <v>1</v>
          </cell>
          <cell r="AA1068">
            <v>9526667</v>
          </cell>
          <cell r="AB1068">
            <v>7.4899999999999994E-2</v>
          </cell>
          <cell r="AC1068">
            <v>713547.35829999996</v>
          </cell>
          <cell r="AD1068">
            <v>85625.682995999989</v>
          </cell>
          <cell r="AE1068">
            <v>0.12</v>
          </cell>
          <cell r="AF1068">
            <v>44124</v>
          </cell>
          <cell r="AG1068" t="str">
            <v>CIF HK</v>
          </cell>
          <cell r="AK1068">
            <v>0.1</v>
          </cell>
          <cell r="AL1068">
            <v>952666.70000000007</v>
          </cell>
          <cell r="AM1068">
            <v>44136</v>
          </cell>
          <cell r="AN1068" t="str">
            <v>Yes</v>
          </cell>
          <cell r="AO1068">
            <v>0.9</v>
          </cell>
          <cell r="AP1068">
            <v>8574000.3000000007</v>
          </cell>
          <cell r="AQ1068">
            <v>44228</v>
          </cell>
          <cell r="AR1068">
            <v>44228</v>
          </cell>
          <cell r="AS1068">
            <v>0</v>
          </cell>
          <cell r="AT1068">
            <v>0</v>
          </cell>
          <cell r="AX1068" t="str">
            <v>Yes</v>
          </cell>
          <cell r="AZ1068" t="str">
            <v>Yes</v>
          </cell>
          <cell r="BA1068" t="str">
            <v>Yes</v>
          </cell>
        </row>
        <row r="1069">
          <cell r="B1069">
            <v>919</v>
          </cell>
          <cell r="C1069" t="str">
            <v>C49SZX20200203SS</v>
          </cell>
          <cell r="D1069" t="str">
            <v>存封</v>
          </cell>
          <cell r="E1069" t="str">
            <v>YSM20R-2</v>
          </cell>
          <cell r="F1069" t="str">
            <v>#78544</v>
          </cell>
          <cell r="G1069" t="e">
            <v>#REF!</v>
          </cell>
          <cell r="H1069" t="e">
            <v>#REF!</v>
          </cell>
          <cell r="I1069" t="str">
            <v>L-&gt;R</v>
          </cell>
          <cell r="J1069" t="str">
            <v>No</v>
          </cell>
          <cell r="K1069">
            <v>1</v>
          </cell>
          <cell r="L1069">
            <v>110158</v>
          </cell>
          <cell r="M1069" t="str">
            <v>DEC 20</v>
          </cell>
          <cell r="N1069">
            <v>44195</v>
          </cell>
          <cell r="O1069">
            <v>11116483</v>
          </cell>
          <cell r="P1069">
            <v>11420000</v>
          </cell>
          <cell r="Q1069">
            <v>44166</v>
          </cell>
          <cell r="R1069" t="str">
            <v>No</v>
          </cell>
          <cell r="S1069" t="str">
            <v>C49</v>
          </cell>
          <cell r="T1069" t="str">
            <v>SOUTH</v>
          </cell>
          <cell r="U1069" t="str">
            <v>深圳</v>
          </cell>
          <cell r="V1069" t="str">
            <v>SZ 深圳</v>
          </cell>
          <cell r="W1069" t="str">
            <v>SS</v>
          </cell>
          <cell r="X1069" t="str">
            <v>JPY</v>
          </cell>
          <cell r="Y1069">
            <v>11420000</v>
          </cell>
          <cell r="Z1069">
            <v>1</v>
          </cell>
          <cell r="AA1069">
            <v>11420000</v>
          </cell>
          <cell r="AB1069">
            <v>7.51E-2</v>
          </cell>
          <cell r="AC1069">
            <v>857642</v>
          </cell>
          <cell r="AD1069">
            <v>102917.04</v>
          </cell>
          <cell r="AE1069">
            <v>0.12</v>
          </cell>
          <cell r="AF1069">
            <v>44144</v>
          </cell>
          <cell r="AG1069" t="str">
            <v>DAP DG</v>
          </cell>
          <cell r="AK1069">
            <v>0.1</v>
          </cell>
          <cell r="AL1069">
            <v>1142000</v>
          </cell>
          <cell r="AM1069">
            <v>44136</v>
          </cell>
          <cell r="AN1069" t="str">
            <v>Yes</v>
          </cell>
          <cell r="AO1069">
            <v>0.9</v>
          </cell>
          <cell r="AP1069">
            <v>10278000</v>
          </cell>
          <cell r="AQ1069">
            <v>44166</v>
          </cell>
          <cell r="AR1069">
            <v>44194</v>
          </cell>
          <cell r="AS1069">
            <v>0</v>
          </cell>
          <cell r="AT1069">
            <v>0</v>
          </cell>
          <cell r="AX1069" t="str">
            <v>Yes</v>
          </cell>
          <cell r="AZ1069" t="str">
            <v>Yes</v>
          </cell>
        </row>
        <row r="1070">
          <cell r="B1070">
            <v>920</v>
          </cell>
          <cell r="C1070" t="str">
            <v>C49SZX20200145JL</v>
          </cell>
          <cell r="D1070" t="str">
            <v>易而达</v>
          </cell>
          <cell r="E1070" t="str">
            <v>YSM20R-2</v>
          </cell>
          <cell r="F1070" t="str">
            <v>#82724</v>
          </cell>
          <cell r="G1070" t="e">
            <v>#REF!</v>
          </cell>
          <cell r="H1070" t="e">
            <v>#REF!</v>
          </cell>
          <cell r="I1070" t="str">
            <v>L-&gt;R</v>
          </cell>
          <cell r="J1070" t="str">
            <v>No</v>
          </cell>
          <cell r="K1070">
            <v>1</v>
          </cell>
          <cell r="L1070">
            <v>110105</v>
          </cell>
          <cell r="M1070" t="str">
            <v>JAN 21</v>
          </cell>
          <cell r="N1070">
            <v>44217</v>
          </cell>
          <cell r="O1070">
            <v>11116492</v>
          </cell>
          <cell r="P1070">
            <v>15081320</v>
          </cell>
          <cell r="Q1070">
            <v>44223</v>
          </cell>
          <cell r="R1070" t="str">
            <v>No</v>
          </cell>
          <cell r="S1070" t="str">
            <v>C49</v>
          </cell>
          <cell r="T1070" t="str">
            <v>SOUTH</v>
          </cell>
          <cell r="U1070" t="str">
            <v>深圳</v>
          </cell>
          <cell r="V1070" t="str">
            <v>SZ 深圳</v>
          </cell>
          <cell r="W1070" t="str">
            <v>JL</v>
          </cell>
          <cell r="X1070" t="str">
            <v>JPY</v>
          </cell>
          <cell r="Y1070">
            <v>15081320</v>
          </cell>
          <cell r="Z1070">
            <v>1</v>
          </cell>
          <cell r="AA1070">
            <v>15081320</v>
          </cell>
          <cell r="AB1070">
            <v>7.51E-2</v>
          </cell>
          <cell r="AC1070">
            <v>1132607.132</v>
          </cell>
          <cell r="AD1070">
            <v>135912.85584</v>
          </cell>
          <cell r="AE1070">
            <v>0.12</v>
          </cell>
          <cell r="AF1070">
            <v>44145</v>
          </cell>
          <cell r="AG1070" t="str">
            <v>DAP GZ</v>
          </cell>
          <cell r="AK1070">
            <v>0.3</v>
          </cell>
          <cell r="AL1070">
            <v>4524396</v>
          </cell>
          <cell r="AM1070">
            <v>44136</v>
          </cell>
          <cell r="AN1070" t="str">
            <v>Yes</v>
          </cell>
          <cell r="AO1070">
            <v>0.7</v>
          </cell>
          <cell r="AP1070">
            <v>10556924</v>
          </cell>
          <cell r="AQ1070">
            <v>44197</v>
          </cell>
          <cell r="AR1070">
            <v>44211</v>
          </cell>
          <cell r="AS1070">
            <v>0</v>
          </cell>
          <cell r="AT1070">
            <v>0</v>
          </cell>
          <cell r="AX1070" t="str">
            <v>Yes</v>
          </cell>
          <cell r="AZ1070" t="str">
            <v>Yes</v>
          </cell>
          <cell r="BA1070" t="str">
            <v>Yes</v>
          </cell>
        </row>
        <row r="1071">
          <cell r="B1071">
            <v>921</v>
          </cell>
          <cell r="C1071" t="str">
            <v>C49SZX20200145JL</v>
          </cell>
          <cell r="D1071" t="str">
            <v>易而达</v>
          </cell>
          <cell r="E1071" t="str">
            <v>YSM20R(SV)-2</v>
          </cell>
          <cell r="F1071" t="str">
            <v>#82724</v>
          </cell>
          <cell r="G1071" t="e">
            <v>#REF!</v>
          </cell>
          <cell r="H1071" t="e">
            <v>#REF!</v>
          </cell>
          <cell r="I1071" t="str">
            <v>L-&gt;R</v>
          </cell>
          <cell r="J1071" t="str">
            <v>cATS10+MVC</v>
          </cell>
          <cell r="K1071">
            <v>1</v>
          </cell>
          <cell r="L1071">
            <v>109980</v>
          </cell>
          <cell r="M1071" t="str">
            <v>JAN 21</v>
          </cell>
          <cell r="N1071">
            <v>44217</v>
          </cell>
          <cell r="O1071">
            <v>11116492</v>
          </cell>
          <cell r="P1071">
            <v>15081320</v>
          </cell>
          <cell r="Q1071">
            <v>44223</v>
          </cell>
          <cell r="R1071" t="str">
            <v>No</v>
          </cell>
          <cell r="S1071" t="str">
            <v>C49</v>
          </cell>
          <cell r="T1071" t="str">
            <v>SOUTH</v>
          </cell>
          <cell r="U1071" t="str">
            <v>深圳</v>
          </cell>
          <cell r="V1071" t="str">
            <v>SZ 深圳</v>
          </cell>
          <cell r="W1071" t="str">
            <v>JL</v>
          </cell>
          <cell r="X1071" t="str">
            <v>JPY</v>
          </cell>
          <cell r="Y1071">
            <v>15081320</v>
          </cell>
          <cell r="Z1071">
            <v>1</v>
          </cell>
          <cell r="AA1071">
            <v>15081320</v>
          </cell>
          <cell r="AB1071">
            <v>7.51E-2</v>
          </cell>
          <cell r="AC1071">
            <v>1132607.132</v>
          </cell>
          <cell r="AD1071">
            <v>135912.85584</v>
          </cell>
          <cell r="AE1071">
            <v>0.12</v>
          </cell>
          <cell r="AF1071">
            <v>44145</v>
          </cell>
          <cell r="AG1071" t="str">
            <v>DAP GZ</v>
          </cell>
          <cell r="AK1071">
            <v>0.3</v>
          </cell>
          <cell r="AL1071">
            <v>4524396</v>
          </cell>
          <cell r="AM1071">
            <v>44136</v>
          </cell>
          <cell r="AN1071" t="str">
            <v>Yes</v>
          </cell>
          <cell r="AO1071">
            <v>0.7</v>
          </cell>
          <cell r="AP1071">
            <v>10556924</v>
          </cell>
          <cell r="AQ1071">
            <v>44197</v>
          </cell>
          <cell r="AR1071">
            <v>44211</v>
          </cell>
          <cell r="AS1071">
            <v>0</v>
          </cell>
          <cell r="AT1071">
            <v>0</v>
          </cell>
          <cell r="AX1071" t="str">
            <v>Yes</v>
          </cell>
          <cell r="AZ1071" t="str">
            <v>Yes</v>
          </cell>
          <cell r="BA1071" t="str">
            <v>Yes</v>
          </cell>
        </row>
        <row r="1072">
          <cell r="B1072">
            <v>922</v>
          </cell>
          <cell r="C1072" t="str">
            <v>C49SZX20200209SX</v>
          </cell>
          <cell r="D1072" t="str">
            <v>韵律光电</v>
          </cell>
          <cell r="E1072" t="str">
            <v>YSM10</v>
          </cell>
          <cell r="F1072" t="str">
            <v>#71562</v>
          </cell>
          <cell r="G1072" t="e">
            <v>#REF!</v>
          </cell>
          <cell r="H1072" t="e">
            <v>#REF!</v>
          </cell>
          <cell r="I1072" t="str">
            <v>R-&gt;L</v>
          </cell>
          <cell r="J1072" t="str">
            <v>MVC</v>
          </cell>
          <cell r="K1072">
            <v>1</v>
          </cell>
          <cell r="L1072" t="str">
            <v>110026（拆单110178）</v>
          </cell>
          <cell r="M1072" t="str">
            <v>DEC 20</v>
          </cell>
          <cell r="N1072">
            <v>44188</v>
          </cell>
          <cell r="O1072">
            <v>11100465</v>
          </cell>
          <cell r="P1072">
            <v>553500</v>
          </cell>
          <cell r="Q1072">
            <v>44166</v>
          </cell>
          <cell r="R1072" t="str">
            <v>No</v>
          </cell>
          <cell r="S1072" t="str">
            <v>C49</v>
          </cell>
          <cell r="T1072" t="str">
            <v>SOUTH</v>
          </cell>
          <cell r="U1072" t="str">
            <v>深圳</v>
          </cell>
          <cell r="V1072" t="str">
            <v>SZ 深圳</v>
          </cell>
          <cell r="W1072" t="str">
            <v>SX</v>
          </cell>
          <cell r="X1072" t="str">
            <v>RMB</v>
          </cell>
          <cell r="Y1072">
            <v>553500</v>
          </cell>
          <cell r="Z1072">
            <v>1.1299999999999999</v>
          </cell>
          <cell r="AA1072">
            <v>553500</v>
          </cell>
          <cell r="AB1072">
            <v>1.155</v>
          </cell>
          <cell r="AC1072">
            <v>565745.57522123901</v>
          </cell>
          <cell r="AD1072">
            <v>67889.469026548672</v>
          </cell>
          <cell r="AE1072">
            <v>0.12</v>
          </cell>
          <cell r="AF1072">
            <v>44146</v>
          </cell>
          <cell r="AG1072" t="str">
            <v>含税到厂</v>
          </cell>
          <cell r="AK1072">
            <v>0.1</v>
          </cell>
          <cell r="AL1072">
            <v>55350</v>
          </cell>
          <cell r="AM1072">
            <v>44136</v>
          </cell>
          <cell r="AN1072" t="str">
            <v>Yes</v>
          </cell>
          <cell r="AO1072">
            <v>0.9</v>
          </cell>
          <cell r="AP1072">
            <v>498150</v>
          </cell>
          <cell r="AQ1072">
            <v>44186</v>
          </cell>
          <cell r="AR1072">
            <v>44186</v>
          </cell>
          <cell r="AS1072">
            <v>0</v>
          </cell>
          <cell r="AT1072">
            <v>0</v>
          </cell>
          <cell r="AX1072" t="str">
            <v>Yes</v>
          </cell>
          <cell r="AZ1072" t="str">
            <v>Yes</v>
          </cell>
        </row>
        <row r="1073">
          <cell r="B1073">
            <v>923</v>
          </cell>
          <cell r="C1073" t="str">
            <v>C28SZX20200081KC</v>
          </cell>
          <cell r="D1073" t="str">
            <v>鸿通宇</v>
          </cell>
          <cell r="E1073" t="str">
            <v>YSi-V</v>
          </cell>
          <cell r="F1073" t="str">
            <v>#64582</v>
          </cell>
          <cell r="G1073" t="e">
            <v>#REF!</v>
          </cell>
          <cell r="H1073" t="e">
            <v>#REF!</v>
          </cell>
          <cell r="I1073" t="str">
            <v>L-&gt;R</v>
          </cell>
          <cell r="J1073" t="str">
            <v>No</v>
          </cell>
          <cell r="K1073">
            <v>1</v>
          </cell>
          <cell r="L1073">
            <v>110195</v>
          </cell>
          <cell r="M1073" t="str">
            <v>JAN 21</v>
          </cell>
          <cell r="N1073">
            <v>44222</v>
          </cell>
          <cell r="O1073">
            <v>11100472</v>
          </cell>
          <cell r="P1073">
            <v>707000</v>
          </cell>
          <cell r="Q1073">
            <v>44222</v>
          </cell>
          <cell r="R1073" t="str">
            <v>No</v>
          </cell>
          <cell r="S1073" t="str">
            <v>C28</v>
          </cell>
          <cell r="T1073" t="str">
            <v>SOUTH</v>
          </cell>
          <cell r="U1073" t="str">
            <v>深圳</v>
          </cell>
          <cell r="V1073" t="str">
            <v>SZ 深圳</v>
          </cell>
          <cell r="W1073" t="str">
            <v>KC</v>
          </cell>
          <cell r="X1073" t="str">
            <v>RMB</v>
          </cell>
          <cell r="Y1073">
            <v>707000</v>
          </cell>
          <cell r="Z1073">
            <v>1.1299999999999999</v>
          </cell>
          <cell r="AA1073">
            <v>707000</v>
          </cell>
          <cell r="AB1073">
            <v>1.155</v>
          </cell>
          <cell r="AC1073">
            <v>722641.59292035399</v>
          </cell>
          <cell r="AD1073">
            <v>86716.991150442482</v>
          </cell>
          <cell r="AE1073">
            <v>0.12</v>
          </cell>
          <cell r="AF1073">
            <v>44140</v>
          </cell>
          <cell r="AG1073" t="str">
            <v>含税到厂</v>
          </cell>
          <cell r="AK1073">
            <v>0.3</v>
          </cell>
          <cell r="AL1073">
            <v>212100</v>
          </cell>
          <cell r="AM1073">
            <v>44146</v>
          </cell>
          <cell r="AN1073" t="str">
            <v>Yes</v>
          </cell>
          <cell r="AO1073" t="str">
            <v>agree</v>
          </cell>
          <cell r="AP1073">
            <v>507000</v>
          </cell>
          <cell r="AQ1073">
            <v>44210</v>
          </cell>
          <cell r="AR1073">
            <v>44210</v>
          </cell>
          <cell r="AS1073">
            <v>0</v>
          </cell>
          <cell r="AT1073">
            <v>0</v>
          </cell>
          <cell r="AX1073" t="str">
            <v>Yes</v>
          </cell>
          <cell r="AZ1073" t="str">
            <v>Y</v>
          </cell>
          <cell r="BA1073" t="str">
            <v>Yes</v>
          </cell>
        </row>
        <row r="1074">
          <cell r="B1074">
            <v>924</v>
          </cell>
          <cell r="C1074" t="str">
            <v>C28SZX20200081KC</v>
          </cell>
          <cell r="D1074" t="str">
            <v>鸿通宇</v>
          </cell>
          <cell r="E1074" t="str">
            <v>YSi-V</v>
          </cell>
          <cell r="F1074" t="str">
            <v>#64582</v>
          </cell>
          <cell r="G1074" t="e">
            <v>#REF!</v>
          </cell>
          <cell r="H1074" t="e">
            <v>#REF!</v>
          </cell>
          <cell r="I1074" t="str">
            <v>L-&gt;R</v>
          </cell>
          <cell r="J1074" t="str">
            <v>No</v>
          </cell>
          <cell r="K1074">
            <v>1</v>
          </cell>
          <cell r="L1074">
            <v>110331</v>
          </cell>
          <cell r="M1074" t="str">
            <v>MAY 21</v>
          </cell>
          <cell r="N1074">
            <v>44342</v>
          </cell>
          <cell r="O1074">
            <v>11100481</v>
          </cell>
          <cell r="P1074">
            <v>707000</v>
          </cell>
          <cell r="Q1074">
            <v>44342</v>
          </cell>
          <cell r="R1074" t="str">
            <v>No</v>
          </cell>
          <cell r="S1074" t="str">
            <v>C28</v>
          </cell>
          <cell r="T1074" t="str">
            <v>SOUTH</v>
          </cell>
          <cell r="U1074" t="str">
            <v>深圳</v>
          </cell>
          <cell r="V1074" t="str">
            <v>SZ 深圳</v>
          </cell>
          <cell r="W1074" t="str">
            <v>KC</v>
          </cell>
          <cell r="X1074" t="str">
            <v>RMB</v>
          </cell>
          <cell r="Y1074">
            <v>707000</v>
          </cell>
          <cell r="Z1074">
            <v>1.1299999999999999</v>
          </cell>
          <cell r="AA1074">
            <v>707000</v>
          </cell>
          <cell r="AB1074">
            <v>1.155</v>
          </cell>
          <cell r="AC1074">
            <v>722641.59292035399</v>
          </cell>
          <cell r="AD1074">
            <v>86716.991150442482</v>
          </cell>
          <cell r="AE1074">
            <v>0.12</v>
          </cell>
          <cell r="AF1074">
            <v>44140</v>
          </cell>
          <cell r="AG1074" t="str">
            <v>含税到厂</v>
          </cell>
          <cell r="AK1074">
            <v>0.3</v>
          </cell>
          <cell r="AL1074">
            <v>212100</v>
          </cell>
          <cell r="AM1074">
            <v>44230</v>
          </cell>
          <cell r="AN1074" t="str">
            <v>Yes</v>
          </cell>
          <cell r="AO1074">
            <v>0.7</v>
          </cell>
          <cell r="AP1074">
            <v>494899.99999999994</v>
          </cell>
          <cell r="AQ1074">
            <v>44329</v>
          </cell>
          <cell r="AR1074">
            <v>44329</v>
          </cell>
          <cell r="AS1074">
            <v>0</v>
          </cell>
          <cell r="AT1074">
            <v>0</v>
          </cell>
          <cell r="AX1074" t="str">
            <v>Yes</v>
          </cell>
          <cell r="AZ1074" t="str">
            <v>Y</v>
          </cell>
          <cell r="BA1074" t="str">
            <v>Yes</v>
          </cell>
        </row>
        <row r="1075">
          <cell r="B1075">
            <v>925</v>
          </cell>
          <cell r="C1075" t="str">
            <v>C28SZX20200081KC</v>
          </cell>
          <cell r="D1075" t="str">
            <v>鸿通宇</v>
          </cell>
          <cell r="E1075" t="str">
            <v>YSi-V</v>
          </cell>
          <cell r="F1075" t="str">
            <v>#64582</v>
          </cell>
          <cell r="G1075" t="e">
            <v>#REF!</v>
          </cell>
          <cell r="H1075" t="e">
            <v>#REF!</v>
          </cell>
          <cell r="I1075" t="str">
            <v>L-&gt;R</v>
          </cell>
          <cell r="J1075" t="str">
            <v>No</v>
          </cell>
          <cell r="K1075">
            <v>1</v>
          </cell>
          <cell r="L1075">
            <v>110331</v>
          </cell>
          <cell r="M1075" t="str">
            <v>MAY 21</v>
          </cell>
          <cell r="N1075">
            <v>44342</v>
          </cell>
          <cell r="O1075">
            <v>11100481</v>
          </cell>
          <cell r="P1075">
            <v>707000</v>
          </cell>
          <cell r="Q1075">
            <v>44342</v>
          </cell>
          <cell r="R1075" t="str">
            <v>No</v>
          </cell>
          <cell r="S1075" t="str">
            <v>C28</v>
          </cell>
          <cell r="T1075" t="str">
            <v>SOUTH</v>
          </cell>
          <cell r="U1075" t="str">
            <v>深圳</v>
          </cell>
          <cell r="V1075" t="str">
            <v>SZ 深圳</v>
          </cell>
          <cell r="W1075" t="str">
            <v>KC</v>
          </cell>
          <cell r="X1075" t="str">
            <v>RMB</v>
          </cell>
          <cell r="Y1075">
            <v>707000</v>
          </cell>
          <cell r="Z1075">
            <v>1.1299999999999999</v>
          </cell>
          <cell r="AA1075">
            <v>707000</v>
          </cell>
          <cell r="AB1075">
            <v>1.155</v>
          </cell>
          <cell r="AC1075">
            <v>722641.59292035399</v>
          </cell>
          <cell r="AD1075">
            <v>86716.991150442482</v>
          </cell>
          <cell r="AE1075">
            <v>0.12</v>
          </cell>
          <cell r="AF1075">
            <v>44140</v>
          </cell>
          <cell r="AG1075" t="str">
            <v>含税到厂</v>
          </cell>
          <cell r="AK1075">
            <v>0.3</v>
          </cell>
          <cell r="AL1075">
            <v>212100</v>
          </cell>
          <cell r="AM1075">
            <v>44230</v>
          </cell>
          <cell r="AN1075" t="str">
            <v>Yes</v>
          </cell>
          <cell r="AO1075">
            <v>0.7</v>
          </cell>
          <cell r="AP1075">
            <v>494899.99999999994</v>
          </cell>
          <cell r="AQ1075">
            <v>44329</v>
          </cell>
          <cell r="AR1075">
            <v>44329</v>
          </cell>
          <cell r="AS1075">
            <v>0</v>
          </cell>
          <cell r="AT1075">
            <v>0</v>
          </cell>
          <cell r="AX1075" t="str">
            <v>Yes</v>
          </cell>
          <cell r="AZ1075" t="str">
            <v>Y</v>
          </cell>
          <cell r="BA1075" t="str">
            <v>Yes</v>
          </cell>
        </row>
        <row r="1076">
          <cell r="B1076">
            <v>926</v>
          </cell>
          <cell r="C1076" t="str">
            <v>C49SZX20200210RSX</v>
          </cell>
          <cell r="D1076" t="str">
            <v>众鑫科</v>
          </cell>
          <cell r="E1076" t="str">
            <v>YSM10</v>
          </cell>
          <cell r="F1076" t="str">
            <v>#05215</v>
          </cell>
          <cell r="G1076" t="e">
            <v>#REF!</v>
          </cell>
          <cell r="H1076" t="e">
            <v>#REF!</v>
          </cell>
          <cell r="I1076" t="str">
            <v>L-&gt;R</v>
          </cell>
          <cell r="J1076" t="str">
            <v>MVC+ATS15</v>
          </cell>
          <cell r="K1076">
            <v>1</v>
          </cell>
          <cell r="L1076">
            <v>110383</v>
          </cell>
          <cell r="M1076" t="str">
            <v>AUG 21</v>
          </cell>
          <cell r="N1076">
            <v>44424</v>
          </cell>
          <cell r="O1076">
            <v>11116640</v>
          </cell>
          <cell r="P1076">
            <v>10425000</v>
          </cell>
          <cell r="Q1076">
            <v>44431</v>
          </cell>
          <cell r="R1076" t="str">
            <v>Yes</v>
          </cell>
          <cell r="S1076" t="str">
            <v>C49</v>
          </cell>
          <cell r="T1076" t="str">
            <v>SOUTH</v>
          </cell>
          <cell r="U1076" t="str">
            <v>深圳</v>
          </cell>
          <cell r="V1076" t="str">
            <v>SZ 深圳</v>
          </cell>
          <cell r="W1076" t="str">
            <v>SX</v>
          </cell>
          <cell r="X1076" t="str">
            <v>JPY</v>
          </cell>
          <cell r="Y1076">
            <v>10425000</v>
          </cell>
          <cell r="Z1076">
            <v>1</v>
          </cell>
          <cell r="AA1076">
            <v>10425000</v>
          </cell>
          <cell r="AB1076">
            <v>7.51E-2</v>
          </cell>
          <cell r="AC1076">
            <v>782917.5</v>
          </cell>
          <cell r="AD1076">
            <v>93950.099999999991</v>
          </cell>
          <cell r="AE1076">
            <v>0.12</v>
          </cell>
          <cell r="AF1076">
            <v>44147</v>
          </cell>
          <cell r="AG1076" t="str">
            <v>DAP HZ</v>
          </cell>
          <cell r="AK1076">
            <v>0.1</v>
          </cell>
          <cell r="AL1076">
            <v>1042500</v>
          </cell>
          <cell r="AM1076">
            <v>44167</v>
          </cell>
          <cell r="AN1076" t="str">
            <v>Yes</v>
          </cell>
          <cell r="AO1076">
            <v>0.9</v>
          </cell>
          <cell r="AP1076">
            <v>9382500</v>
          </cell>
          <cell r="AQ1076">
            <v>44420</v>
          </cell>
          <cell r="AR1076">
            <v>44420</v>
          </cell>
          <cell r="AS1076">
            <v>0</v>
          </cell>
          <cell r="AT1076">
            <v>0</v>
          </cell>
          <cell r="AX1076" t="str">
            <v>Yes</v>
          </cell>
          <cell r="AZ1076" t="str">
            <v>Y</v>
          </cell>
          <cell r="BA1076" t="str">
            <v>Yes</v>
          </cell>
        </row>
        <row r="1077">
          <cell r="B1077">
            <v>927</v>
          </cell>
          <cell r="C1077" t="str">
            <v>C49SZX20200210RSX</v>
          </cell>
          <cell r="D1077" t="str">
            <v>众鑫科</v>
          </cell>
          <cell r="E1077" t="str">
            <v>YSM10</v>
          </cell>
          <cell r="F1077" t="str">
            <v>#05215</v>
          </cell>
          <cell r="G1077" t="e">
            <v>#REF!</v>
          </cell>
          <cell r="H1077" t="e">
            <v>#REF!</v>
          </cell>
          <cell r="I1077" t="str">
            <v>R-&gt;L</v>
          </cell>
          <cell r="J1077" t="str">
            <v>MVC+ATS15</v>
          </cell>
          <cell r="K1077">
            <v>1</v>
          </cell>
          <cell r="L1077" t="str">
            <v>109991（拆单110128）</v>
          </cell>
          <cell r="M1077" t="str">
            <v>JAN 21</v>
          </cell>
          <cell r="N1077">
            <v>44210</v>
          </cell>
          <cell r="O1077">
            <v>11116494</v>
          </cell>
          <cell r="P1077">
            <v>10425000</v>
          </cell>
          <cell r="Q1077">
            <v>44197</v>
          </cell>
          <cell r="R1077" t="str">
            <v>Yes</v>
          </cell>
          <cell r="S1077" t="str">
            <v>C49</v>
          </cell>
          <cell r="T1077" t="str">
            <v>SOUTH</v>
          </cell>
          <cell r="U1077" t="str">
            <v>深圳</v>
          </cell>
          <cell r="V1077" t="str">
            <v>SZ 深圳</v>
          </cell>
          <cell r="W1077" t="str">
            <v>SX</v>
          </cell>
          <cell r="X1077" t="str">
            <v>JPY</v>
          </cell>
          <cell r="Y1077">
            <v>10425000</v>
          </cell>
          <cell r="Z1077">
            <v>1</v>
          </cell>
          <cell r="AA1077">
            <v>10425000</v>
          </cell>
          <cell r="AB1077">
            <v>7.51E-2</v>
          </cell>
          <cell r="AC1077">
            <v>782917.5</v>
          </cell>
          <cell r="AD1077">
            <v>93950.099999999991</v>
          </cell>
          <cell r="AE1077">
            <v>0.12</v>
          </cell>
          <cell r="AF1077">
            <v>44147</v>
          </cell>
          <cell r="AG1077" t="str">
            <v>DAP HZ</v>
          </cell>
          <cell r="AK1077">
            <v>0.1</v>
          </cell>
          <cell r="AL1077">
            <v>1042500</v>
          </cell>
          <cell r="AM1077">
            <v>44167</v>
          </cell>
          <cell r="AN1077" t="str">
            <v>Yes</v>
          </cell>
          <cell r="AO1077">
            <v>0.9</v>
          </cell>
          <cell r="AP1077">
            <v>9382500</v>
          </cell>
          <cell r="AQ1077">
            <v>44209</v>
          </cell>
          <cell r="AR1077">
            <v>44209</v>
          </cell>
          <cell r="AS1077">
            <v>0</v>
          </cell>
          <cell r="AT1077">
            <v>0</v>
          </cell>
          <cell r="AX1077" t="str">
            <v>Yes</v>
          </cell>
          <cell r="AZ1077" t="str">
            <v>Yes</v>
          </cell>
          <cell r="BA1077" t="str">
            <v>Yes</v>
          </cell>
        </row>
        <row r="1078">
          <cell r="B1078">
            <v>928</v>
          </cell>
          <cell r="C1078" t="str">
            <v>C49SZX20200210RSX</v>
          </cell>
          <cell r="D1078" t="str">
            <v>众鑫科</v>
          </cell>
          <cell r="E1078" t="str">
            <v>YSM20R-2</v>
          </cell>
          <cell r="F1078" t="str">
            <v>#05215</v>
          </cell>
          <cell r="G1078" t="e">
            <v>#REF!</v>
          </cell>
          <cell r="H1078" t="e">
            <v>#REF!</v>
          </cell>
          <cell r="I1078" t="str">
            <v>L-&gt;R</v>
          </cell>
          <cell r="J1078" t="str">
            <v>No</v>
          </cell>
          <cell r="K1078">
            <v>1</v>
          </cell>
          <cell r="L1078" t="str">
            <v>110097（拆单110192）</v>
          </cell>
          <cell r="M1078" t="str">
            <v>JAN 21</v>
          </cell>
          <cell r="N1078">
            <v>44210</v>
          </cell>
          <cell r="O1078">
            <v>11116494</v>
          </cell>
          <cell r="P1078">
            <v>13000000</v>
          </cell>
          <cell r="Q1078">
            <v>44197</v>
          </cell>
          <cell r="R1078" t="str">
            <v>Yes</v>
          </cell>
          <cell r="S1078" t="str">
            <v>C49</v>
          </cell>
          <cell r="T1078" t="str">
            <v>SOUTH</v>
          </cell>
          <cell r="U1078" t="str">
            <v>深圳</v>
          </cell>
          <cell r="V1078" t="str">
            <v>SZ 深圳</v>
          </cell>
          <cell r="W1078" t="str">
            <v>SX</v>
          </cell>
          <cell r="X1078" t="str">
            <v>JPY</v>
          </cell>
          <cell r="Y1078">
            <v>13000000</v>
          </cell>
          <cell r="Z1078">
            <v>1</v>
          </cell>
          <cell r="AA1078">
            <v>13000000</v>
          </cell>
          <cell r="AB1078">
            <v>7.51E-2</v>
          </cell>
          <cell r="AC1078">
            <v>976300</v>
          </cell>
          <cell r="AD1078">
            <v>117156</v>
          </cell>
          <cell r="AE1078">
            <v>0.12</v>
          </cell>
          <cell r="AF1078">
            <v>44147</v>
          </cell>
          <cell r="AG1078" t="str">
            <v>DAP HZ</v>
          </cell>
          <cell r="AK1078">
            <v>0.1</v>
          </cell>
          <cell r="AL1078">
            <v>1300000</v>
          </cell>
          <cell r="AM1078">
            <v>44167</v>
          </cell>
          <cell r="AN1078" t="str">
            <v>Yes</v>
          </cell>
          <cell r="AO1078">
            <v>0.9</v>
          </cell>
          <cell r="AP1078">
            <v>11700000</v>
          </cell>
          <cell r="AQ1078">
            <v>44209</v>
          </cell>
          <cell r="AR1078">
            <v>44209</v>
          </cell>
          <cell r="AS1078">
            <v>0</v>
          </cell>
          <cell r="AT1078">
            <v>0</v>
          </cell>
          <cell r="AX1078" t="str">
            <v>Yes</v>
          </cell>
          <cell r="AZ1078" t="str">
            <v>Yes</v>
          </cell>
          <cell r="BA1078" t="str">
            <v>Yes</v>
          </cell>
        </row>
        <row r="1079">
          <cell r="B1079">
            <v>929</v>
          </cell>
          <cell r="C1079" t="str">
            <v>C49SZX20200210RSX</v>
          </cell>
          <cell r="D1079" t="str">
            <v>众鑫科</v>
          </cell>
          <cell r="E1079" t="str">
            <v>YSM20R-2</v>
          </cell>
          <cell r="F1079" t="str">
            <v>#05215</v>
          </cell>
          <cell r="G1079" t="e">
            <v>#REF!</v>
          </cell>
          <cell r="H1079" t="e">
            <v>#REF!</v>
          </cell>
          <cell r="I1079" t="str">
            <v>R-&gt;L</v>
          </cell>
          <cell r="J1079" t="str">
            <v>No</v>
          </cell>
          <cell r="K1079">
            <v>1</v>
          </cell>
          <cell r="L1079">
            <v>110441</v>
          </cell>
          <cell r="M1079" t="str">
            <v>AUG 21</v>
          </cell>
          <cell r="N1079">
            <v>44424</v>
          </cell>
          <cell r="O1079">
            <v>11116640</v>
          </cell>
          <cell r="P1079">
            <v>13000000</v>
          </cell>
          <cell r="Q1079">
            <v>44431</v>
          </cell>
          <cell r="R1079" t="str">
            <v>Yes</v>
          </cell>
          <cell r="S1079" t="str">
            <v>C49</v>
          </cell>
          <cell r="T1079" t="str">
            <v>SOUTH</v>
          </cell>
          <cell r="U1079" t="str">
            <v>深圳</v>
          </cell>
          <cell r="V1079" t="str">
            <v>SZ 深圳</v>
          </cell>
          <cell r="W1079" t="str">
            <v>SX</v>
          </cell>
          <cell r="X1079" t="str">
            <v>JPY</v>
          </cell>
          <cell r="Y1079">
            <v>13000000</v>
          </cell>
          <cell r="Z1079">
            <v>1</v>
          </cell>
          <cell r="AA1079">
            <v>13000000</v>
          </cell>
          <cell r="AB1079">
            <v>7.51E-2</v>
          </cell>
          <cell r="AC1079">
            <v>976300</v>
          </cell>
          <cell r="AD1079">
            <v>117156</v>
          </cell>
          <cell r="AE1079">
            <v>0.12</v>
          </cell>
          <cell r="AF1079">
            <v>44147</v>
          </cell>
          <cell r="AG1079" t="str">
            <v>DAP HZ</v>
          </cell>
          <cell r="AK1079">
            <v>0.1</v>
          </cell>
          <cell r="AL1079">
            <v>1300000</v>
          </cell>
          <cell r="AM1079">
            <v>44167</v>
          </cell>
          <cell r="AN1079" t="str">
            <v>Yes</v>
          </cell>
          <cell r="AO1079">
            <v>0.9</v>
          </cell>
          <cell r="AP1079">
            <v>11700000</v>
          </cell>
          <cell r="AQ1079">
            <v>44420</v>
          </cell>
          <cell r="AR1079">
            <v>44420</v>
          </cell>
          <cell r="AS1079">
            <v>0</v>
          </cell>
          <cell r="AT1079">
            <v>0</v>
          </cell>
          <cell r="AX1079" t="str">
            <v>Yes</v>
          </cell>
          <cell r="AZ1079" t="str">
            <v>Y</v>
          </cell>
          <cell r="BA1079" t="str">
            <v>Yes</v>
          </cell>
        </row>
        <row r="1080">
          <cell r="B1080">
            <v>930</v>
          </cell>
          <cell r="C1080" t="str">
            <v>C49SZX20200211SX</v>
          </cell>
          <cell r="D1080" t="str">
            <v>同创</v>
          </cell>
          <cell r="E1080" t="str">
            <v>YSM20R-2</v>
          </cell>
          <cell r="F1080" t="str">
            <v>#05384</v>
          </cell>
          <cell r="G1080" t="e">
            <v>#REF!</v>
          </cell>
          <cell r="H1080" t="e">
            <v>#REF!</v>
          </cell>
          <cell r="I1080" t="str">
            <v>L-&gt;R</v>
          </cell>
          <cell r="J1080" t="str">
            <v>No</v>
          </cell>
          <cell r="K1080">
            <v>1</v>
          </cell>
          <cell r="L1080">
            <v>110133</v>
          </cell>
          <cell r="M1080" t="str">
            <v>FEB 21</v>
          </cell>
          <cell r="N1080">
            <v>44252</v>
          </cell>
          <cell r="O1080">
            <v>11116515</v>
          </cell>
          <cell r="P1080">
            <v>13000000</v>
          </cell>
          <cell r="Q1080">
            <v>44228</v>
          </cell>
          <cell r="R1080" t="str">
            <v>Yes</v>
          </cell>
          <cell r="S1080" t="str">
            <v>C49</v>
          </cell>
          <cell r="T1080" t="str">
            <v>SOUTH</v>
          </cell>
          <cell r="U1080" t="str">
            <v>深圳</v>
          </cell>
          <cell r="V1080" t="str">
            <v>SZ 深圳</v>
          </cell>
          <cell r="W1080" t="str">
            <v>SX</v>
          </cell>
          <cell r="X1080" t="str">
            <v>JPY</v>
          </cell>
          <cell r="Y1080">
            <v>13000000</v>
          </cell>
          <cell r="Z1080">
            <v>1</v>
          </cell>
          <cell r="AA1080">
            <v>13000000</v>
          </cell>
          <cell r="AB1080">
            <v>7.51E-2</v>
          </cell>
          <cell r="AC1080">
            <v>976300</v>
          </cell>
          <cell r="AD1080">
            <v>117156</v>
          </cell>
          <cell r="AE1080">
            <v>0.12</v>
          </cell>
          <cell r="AF1080">
            <v>44148</v>
          </cell>
          <cell r="AG1080" t="str">
            <v>DAP SZ</v>
          </cell>
          <cell r="AK1080">
            <v>0.2</v>
          </cell>
          <cell r="AL1080">
            <v>2600000</v>
          </cell>
          <cell r="AM1080">
            <v>44136</v>
          </cell>
          <cell r="AN1080" t="str">
            <v>Yes</v>
          </cell>
          <cell r="AO1080">
            <v>0.8</v>
          </cell>
          <cell r="AP1080">
            <v>10400000</v>
          </cell>
          <cell r="AQ1080">
            <v>44249</v>
          </cell>
          <cell r="AR1080">
            <v>44249</v>
          </cell>
          <cell r="AS1080">
            <v>0</v>
          </cell>
          <cell r="AT1080">
            <v>0</v>
          </cell>
          <cell r="AX1080" t="str">
            <v>Yes</v>
          </cell>
          <cell r="AZ1080" t="str">
            <v>Y</v>
          </cell>
          <cell r="BA1080" t="str">
            <v>Yes</v>
          </cell>
        </row>
        <row r="1081">
          <cell r="B1081">
            <v>931</v>
          </cell>
          <cell r="C1081" t="str">
            <v>C49SZX20200211SX</v>
          </cell>
          <cell r="D1081" t="str">
            <v>同创</v>
          </cell>
          <cell r="E1081" t="str">
            <v>YSM10</v>
          </cell>
          <cell r="F1081" t="str">
            <v>#05384</v>
          </cell>
          <cell r="G1081" t="e">
            <v>#REF!</v>
          </cell>
          <cell r="H1081" t="e">
            <v>#REF!</v>
          </cell>
          <cell r="I1081" t="str">
            <v>L-&gt;R</v>
          </cell>
          <cell r="J1081" t="str">
            <v>MVC+ANC</v>
          </cell>
          <cell r="K1081">
            <v>1</v>
          </cell>
          <cell r="L1081">
            <v>110130</v>
          </cell>
          <cell r="M1081" t="str">
            <v>FEB 21</v>
          </cell>
          <cell r="N1081">
            <v>44252</v>
          </cell>
          <cell r="O1081">
            <v>11116515</v>
          </cell>
          <cell r="P1081">
            <v>9000000</v>
          </cell>
          <cell r="Q1081">
            <v>44228</v>
          </cell>
          <cell r="R1081" t="str">
            <v>Yes</v>
          </cell>
          <cell r="S1081" t="str">
            <v>C49</v>
          </cell>
          <cell r="T1081" t="str">
            <v>SOUTH</v>
          </cell>
          <cell r="U1081" t="str">
            <v>深圳</v>
          </cell>
          <cell r="V1081" t="str">
            <v>SZ 深圳</v>
          </cell>
          <cell r="W1081" t="str">
            <v>SX</v>
          </cell>
          <cell r="X1081" t="str">
            <v>JPY</v>
          </cell>
          <cell r="Y1081">
            <v>9000000</v>
          </cell>
          <cell r="Z1081">
            <v>1</v>
          </cell>
          <cell r="AA1081">
            <v>9000000</v>
          </cell>
          <cell r="AB1081">
            <v>7.51E-2</v>
          </cell>
          <cell r="AC1081">
            <v>675900</v>
          </cell>
          <cell r="AD1081">
            <v>81108</v>
          </cell>
          <cell r="AE1081">
            <v>0.12</v>
          </cell>
          <cell r="AF1081">
            <v>44148</v>
          </cell>
          <cell r="AG1081" t="str">
            <v>DAP SZ</v>
          </cell>
          <cell r="AK1081">
            <v>0.2</v>
          </cell>
          <cell r="AL1081">
            <v>1800000</v>
          </cell>
          <cell r="AM1081">
            <v>44136</v>
          </cell>
          <cell r="AN1081" t="str">
            <v>Yes</v>
          </cell>
          <cell r="AO1081">
            <v>0.8</v>
          </cell>
          <cell r="AP1081">
            <v>7200000</v>
          </cell>
          <cell r="AQ1081">
            <v>44249</v>
          </cell>
          <cell r="AR1081">
            <v>44249</v>
          </cell>
          <cell r="AS1081">
            <v>0</v>
          </cell>
          <cell r="AT1081">
            <v>0</v>
          </cell>
          <cell r="AX1081" t="str">
            <v>Yes</v>
          </cell>
          <cell r="AZ1081" t="str">
            <v>Y</v>
          </cell>
          <cell r="BA1081" t="str">
            <v>Yes</v>
          </cell>
        </row>
        <row r="1082">
          <cell r="B1082">
            <v>932</v>
          </cell>
          <cell r="C1082" t="str">
            <v>C49SZX20200216JL</v>
          </cell>
          <cell r="D1082" t="str">
            <v>捷舜诚</v>
          </cell>
          <cell r="E1082" t="str">
            <v>YSM20R-2</v>
          </cell>
          <cell r="F1082" t="str">
            <v>#71843</v>
          </cell>
          <cell r="G1082" t="e">
            <v>#REF!</v>
          </cell>
          <cell r="H1082" t="e">
            <v>#REF!</v>
          </cell>
          <cell r="I1082" t="str">
            <v>L-&gt;R</v>
          </cell>
          <cell r="J1082" t="str">
            <v>No</v>
          </cell>
          <cell r="K1082">
            <v>1</v>
          </cell>
          <cell r="L1082">
            <v>110110</v>
          </cell>
          <cell r="M1082" t="str">
            <v>DEC 20</v>
          </cell>
          <cell r="N1082">
            <v>44186</v>
          </cell>
          <cell r="O1082">
            <v>11116479</v>
          </cell>
          <cell r="P1082">
            <v>12310000</v>
          </cell>
          <cell r="Q1082">
            <v>44166</v>
          </cell>
          <cell r="R1082" t="str">
            <v>No</v>
          </cell>
          <cell r="S1082" t="str">
            <v>C49</v>
          </cell>
          <cell r="T1082" t="str">
            <v>SOUTH</v>
          </cell>
          <cell r="U1082" t="str">
            <v>深圳</v>
          </cell>
          <cell r="V1082" t="str">
            <v>SZ 深圳</v>
          </cell>
          <cell r="W1082" t="str">
            <v>JL</v>
          </cell>
          <cell r="X1082" t="str">
            <v>JPY</v>
          </cell>
          <cell r="Y1082">
            <v>12310000</v>
          </cell>
          <cell r="Z1082">
            <v>1</v>
          </cell>
          <cell r="AA1082">
            <v>12310000</v>
          </cell>
          <cell r="AB1082">
            <v>7.51E-2</v>
          </cell>
          <cell r="AC1082">
            <v>924481</v>
          </cell>
          <cell r="AD1082">
            <v>110937.72</v>
          </cell>
          <cell r="AE1082">
            <v>0.12</v>
          </cell>
          <cell r="AF1082">
            <v>44148</v>
          </cell>
          <cell r="AG1082" t="str">
            <v>DAP SZ</v>
          </cell>
          <cell r="AK1082" t="str">
            <v>agree</v>
          </cell>
          <cell r="AL1082">
            <v>1394037</v>
          </cell>
          <cell r="AM1082">
            <v>44167</v>
          </cell>
          <cell r="AN1082" t="str">
            <v>Yes</v>
          </cell>
          <cell r="AO1082" t="str">
            <v>AGREE</v>
          </cell>
          <cell r="AP1082">
            <v>10915963</v>
          </cell>
          <cell r="AQ1082">
            <v>44169</v>
          </cell>
          <cell r="AR1082">
            <v>44174</v>
          </cell>
          <cell r="AS1082">
            <v>0</v>
          </cell>
          <cell r="AT1082">
            <v>0</v>
          </cell>
          <cell r="AX1082" t="str">
            <v>Yes</v>
          </cell>
          <cell r="AZ1082" t="str">
            <v>Yes</v>
          </cell>
          <cell r="BA1082" t="str">
            <v>Yes</v>
          </cell>
        </row>
        <row r="1083">
          <cell r="B1083">
            <v>933</v>
          </cell>
          <cell r="C1083" t="str">
            <v>C49SZX20200217JL</v>
          </cell>
          <cell r="D1083" t="str">
            <v>捷舜诚</v>
          </cell>
          <cell r="E1083" t="str">
            <v>YSM20R-2</v>
          </cell>
          <cell r="F1083" t="str">
            <v>#71843</v>
          </cell>
          <cell r="G1083" t="e">
            <v>#REF!</v>
          </cell>
          <cell r="H1083" t="e">
            <v>#REF!</v>
          </cell>
          <cell r="I1083" t="str">
            <v>L-&gt;R</v>
          </cell>
          <cell r="J1083" t="str">
            <v>No</v>
          </cell>
          <cell r="K1083">
            <v>1</v>
          </cell>
          <cell r="L1083" t="e">
            <v>#N/A</v>
          </cell>
          <cell r="M1083" t="e">
            <v>#N/A</v>
          </cell>
          <cell r="N1083"/>
          <cell r="O1083"/>
          <cell r="P1083"/>
          <cell r="Q1083"/>
          <cell r="R1083" t="str">
            <v>No</v>
          </cell>
          <cell r="S1083" t="str">
            <v>C49</v>
          </cell>
          <cell r="T1083" t="str">
            <v>SOUTH</v>
          </cell>
          <cell r="U1083" t="str">
            <v>深圳</v>
          </cell>
          <cell r="V1083" t="str">
            <v>SZ 深圳</v>
          </cell>
          <cell r="W1083" t="str">
            <v>JL</v>
          </cell>
          <cell r="X1083" t="str">
            <v>JPY</v>
          </cell>
          <cell r="Y1083">
            <v>11555000</v>
          </cell>
          <cell r="Z1083">
            <v>1</v>
          </cell>
          <cell r="AA1083">
            <v>11555000</v>
          </cell>
          <cell r="AB1083">
            <v>7.51E-2</v>
          </cell>
          <cell r="AC1083">
            <v>867780.5</v>
          </cell>
          <cell r="AD1083">
            <v>104133.65999999999</v>
          </cell>
          <cell r="AE1083">
            <v>0.12</v>
          </cell>
          <cell r="AF1083">
            <v>44148</v>
          </cell>
          <cell r="AG1083" t="str">
            <v>DAP SZ</v>
          </cell>
          <cell r="AI1083"/>
          <cell r="AJ1083"/>
          <cell r="AK1083"/>
          <cell r="AL1083">
            <v>0</v>
          </cell>
          <cell r="AM1083"/>
          <cell r="AN1083" t="str">
            <v>No</v>
          </cell>
          <cell r="AO1083">
            <v>0.8</v>
          </cell>
          <cell r="AP1083">
            <v>9244000</v>
          </cell>
          <cell r="AQ1083"/>
          <cell r="AR1083"/>
          <cell r="AS1083">
            <v>0</v>
          </cell>
          <cell r="AT1083">
            <v>0</v>
          </cell>
          <cell r="AV1083"/>
          <cell r="AX1083" t="str">
            <v>Cancel</v>
          </cell>
          <cell r="AY1083"/>
          <cell r="AZ1083"/>
          <cell r="BA1083" t="str">
            <v>Cancel</v>
          </cell>
          <cell r="BB1083" t="str">
            <v>2022-3-25Ken邮件通知</v>
          </cell>
        </row>
        <row r="1084">
          <cell r="B1084">
            <v>934</v>
          </cell>
          <cell r="C1084" t="str">
            <v>C49SZX20200217JL</v>
          </cell>
          <cell r="D1084" t="str">
            <v>捷舜诚</v>
          </cell>
          <cell r="E1084" t="str">
            <v>YSM20R-2</v>
          </cell>
          <cell r="F1084" t="str">
            <v>#71843</v>
          </cell>
          <cell r="G1084" t="e">
            <v>#REF!</v>
          </cell>
          <cell r="H1084" t="e">
            <v>#REF!</v>
          </cell>
          <cell r="I1084" t="str">
            <v>L-&gt;R</v>
          </cell>
          <cell r="J1084" t="str">
            <v>No</v>
          </cell>
          <cell r="K1084">
            <v>1</v>
          </cell>
          <cell r="L1084" t="e">
            <v>#N/A</v>
          </cell>
          <cell r="M1084" t="e">
            <v>#N/A</v>
          </cell>
          <cell r="N1084"/>
          <cell r="O1084"/>
          <cell r="P1084"/>
          <cell r="Q1084"/>
          <cell r="R1084" t="str">
            <v>No</v>
          </cell>
          <cell r="S1084" t="str">
            <v>C49</v>
          </cell>
          <cell r="T1084" t="str">
            <v>SOUTH</v>
          </cell>
          <cell r="U1084" t="str">
            <v>深圳</v>
          </cell>
          <cell r="V1084" t="str">
            <v>SZ 深圳</v>
          </cell>
          <cell r="W1084" t="str">
            <v>JL</v>
          </cell>
          <cell r="X1084" t="str">
            <v>JPY</v>
          </cell>
          <cell r="Y1084">
            <v>11555000</v>
          </cell>
          <cell r="Z1084">
            <v>1</v>
          </cell>
          <cell r="AA1084">
            <v>11555000</v>
          </cell>
          <cell r="AB1084">
            <v>7.51E-2</v>
          </cell>
          <cell r="AC1084">
            <v>867780.5</v>
          </cell>
          <cell r="AD1084">
            <v>104133.65999999999</v>
          </cell>
          <cell r="AE1084">
            <v>0.12</v>
          </cell>
          <cell r="AF1084">
            <v>44148</v>
          </cell>
          <cell r="AG1084" t="str">
            <v>DAP SZ</v>
          </cell>
          <cell r="AI1084"/>
          <cell r="AJ1084"/>
          <cell r="AK1084"/>
          <cell r="AL1084">
            <v>0</v>
          </cell>
          <cell r="AM1084"/>
          <cell r="AN1084" t="str">
            <v>No</v>
          </cell>
          <cell r="AO1084">
            <v>0.8</v>
          </cell>
          <cell r="AP1084">
            <v>9244000</v>
          </cell>
          <cell r="AQ1084"/>
          <cell r="AR1084"/>
          <cell r="AS1084">
            <v>0</v>
          </cell>
          <cell r="AT1084">
            <v>0</v>
          </cell>
          <cell r="AV1084"/>
          <cell r="AX1084" t="str">
            <v>Cancel</v>
          </cell>
          <cell r="AY1084"/>
          <cell r="AZ1084"/>
          <cell r="BA1084" t="str">
            <v>Cancel</v>
          </cell>
          <cell r="BB1084" t="str">
            <v>2022-3-25Ken邮件通知</v>
          </cell>
        </row>
        <row r="1085">
          <cell r="B1085">
            <v>935</v>
          </cell>
          <cell r="C1085" t="str">
            <v>C49SZX20200215JL</v>
          </cell>
          <cell r="D1085" t="str">
            <v>江恒</v>
          </cell>
          <cell r="E1085" t="str">
            <v>YSM10</v>
          </cell>
          <cell r="F1085" t="str">
            <v>#75325</v>
          </cell>
          <cell r="G1085" t="e">
            <v>#REF!</v>
          </cell>
          <cell r="H1085" t="e">
            <v>#REF!</v>
          </cell>
          <cell r="I1085" t="str">
            <v>R-&gt;L</v>
          </cell>
          <cell r="J1085" t="str">
            <v>MVC</v>
          </cell>
          <cell r="K1085">
            <v>1</v>
          </cell>
          <cell r="L1085" t="str">
            <v>110026（拆单110178）</v>
          </cell>
          <cell r="M1085" t="str">
            <v>DEC 20</v>
          </cell>
          <cell r="N1085" t="str">
            <v>2020/12/87</v>
          </cell>
          <cell r="O1085">
            <v>11100460</v>
          </cell>
          <cell r="P1085">
            <v>500000</v>
          </cell>
          <cell r="Q1085">
            <v>44166</v>
          </cell>
          <cell r="R1085" t="str">
            <v>No</v>
          </cell>
          <cell r="S1085" t="str">
            <v>C49</v>
          </cell>
          <cell r="T1085" t="str">
            <v>SOUTH</v>
          </cell>
          <cell r="U1085" t="str">
            <v>深圳</v>
          </cell>
          <cell r="V1085" t="str">
            <v>SZ 深圳</v>
          </cell>
          <cell r="W1085" t="str">
            <v>JL</v>
          </cell>
          <cell r="X1085" t="str">
            <v>RMB</v>
          </cell>
          <cell r="Y1085">
            <v>500000</v>
          </cell>
          <cell r="Z1085">
            <v>1.1299999999999999</v>
          </cell>
          <cell r="AA1085">
            <v>500000</v>
          </cell>
          <cell r="AB1085">
            <v>1.155</v>
          </cell>
          <cell r="AC1085">
            <v>511061.94690265495</v>
          </cell>
          <cell r="AD1085">
            <v>61327.433628318591</v>
          </cell>
          <cell r="AE1085">
            <v>0.12</v>
          </cell>
          <cell r="AF1085">
            <v>44147</v>
          </cell>
          <cell r="AG1085" t="str">
            <v>含税到厂</v>
          </cell>
          <cell r="AK1085" t="str">
            <v>agree</v>
          </cell>
          <cell r="AL1085">
            <v>75000</v>
          </cell>
          <cell r="AM1085">
            <v>44136</v>
          </cell>
          <cell r="AN1085" t="str">
            <v>Yes</v>
          </cell>
          <cell r="AO1085" t="str">
            <v>AGREE</v>
          </cell>
          <cell r="AP1085">
            <v>425000</v>
          </cell>
          <cell r="AQ1085">
            <v>44169</v>
          </cell>
          <cell r="AR1085">
            <v>44169</v>
          </cell>
          <cell r="AS1085">
            <v>0</v>
          </cell>
          <cell r="AT1085">
            <v>0</v>
          </cell>
          <cell r="AX1085" t="str">
            <v>Yes</v>
          </cell>
          <cell r="AZ1085" t="str">
            <v>Yes</v>
          </cell>
          <cell r="BA1085" t="str">
            <v>Yes</v>
          </cell>
        </row>
        <row r="1086">
          <cell r="B1086">
            <v>936</v>
          </cell>
          <cell r="C1086" t="str">
            <v>C49SZX20200219SS</v>
          </cell>
          <cell r="D1086" t="str">
            <v>钧溢电子</v>
          </cell>
          <cell r="E1086" t="str">
            <v>YSM10</v>
          </cell>
          <cell r="F1086" t="str">
            <v>#04111</v>
          </cell>
          <cell r="G1086" t="e">
            <v>#REF!</v>
          </cell>
          <cell r="H1086" t="e">
            <v>#REF!</v>
          </cell>
          <cell r="I1086" t="str">
            <v>L-&gt;R</v>
          </cell>
          <cell r="J1086" t="str">
            <v>MVC</v>
          </cell>
          <cell r="K1086">
            <v>1</v>
          </cell>
          <cell r="L1086">
            <v>110066</v>
          </cell>
          <cell r="M1086" t="str">
            <v>JAN 21</v>
          </cell>
          <cell r="N1086">
            <v>44201</v>
          </cell>
          <cell r="O1086">
            <v>11116490</v>
          </cell>
          <cell r="P1086">
            <v>7186000</v>
          </cell>
          <cell r="Q1086">
            <v>44197</v>
          </cell>
          <cell r="R1086" t="str">
            <v>No</v>
          </cell>
          <cell r="S1086" t="str">
            <v>C49</v>
          </cell>
          <cell r="T1086" t="str">
            <v>SOUTH</v>
          </cell>
          <cell r="U1086" t="str">
            <v>深圳</v>
          </cell>
          <cell r="V1086" t="str">
            <v>SZ 深圳</v>
          </cell>
          <cell r="W1086" t="str">
            <v>SS</v>
          </cell>
          <cell r="X1086" t="str">
            <v>JPY</v>
          </cell>
          <cell r="Y1086">
            <v>7186000</v>
          </cell>
          <cell r="Z1086">
            <v>1</v>
          </cell>
          <cell r="AA1086">
            <v>7186000</v>
          </cell>
          <cell r="AB1086">
            <v>7.51E-2</v>
          </cell>
          <cell r="AC1086">
            <v>539668.6</v>
          </cell>
          <cell r="AD1086">
            <v>64760.231999999996</v>
          </cell>
          <cell r="AE1086">
            <v>0.12</v>
          </cell>
          <cell r="AF1086">
            <v>44152</v>
          </cell>
          <cell r="AG1086" t="str">
            <v>DAP SZ</v>
          </cell>
          <cell r="AK1086">
            <v>0.1</v>
          </cell>
          <cell r="AL1086">
            <v>718600</v>
          </cell>
          <cell r="AM1086">
            <v>44136</v>
          </cell>
          <cell r="AN1086" t="str">
            <v>Yes</v>
          </cell>
          <cell r="AO1086">
            <v>0.9</v>
          </cell>
          <cell r="AP1086">
            <v>6467400</v>
          </cell>
          <cell r="AQ1086">
            <v>44166</v>
          </cell>
          <cell r="AR1086">
            <v>44195</v>
          </cell>
          <cell r="AS1086">
            <v>0</v>
          </cell>
          <cell r="AT1086">
            <v>0</v>
          </cell>
          <cell r="AX1086" t="str">
            <v>Yes</v>
          </cell>
          <cell r="AZ1086" t="str">
            <v>Y</v>
          </cell>
        </row>
        <row r="1087">
          <cell r="B1087">
            <v>937</v>
          </cell>
          <cell r="C1087" t="str">
            <v>C49SZX20200212SX</v>
          </cell>
          <cell r="D1087" t="str">
            <v>博科通</v>
          </cell>
          <cell r="E1087" t="str">
            <v>YSM10</v>
          </cell>
          <cell r="F1087" t="str">
            <v>#05370</v>
          </cell>
          <cell r="G1087" t="e">
            <v>#REF!</v>
          </cell>
          <cell r="H1087" t="e">
            <v>#REF!</v>
          </cell>
          <cell r="I1087" t="str">
            <v>L-&gt;R</v>
          </cell>
          <cell r="J1087" t="str">
            <v>MVC+ANC</v>
          </cell>
          <cell r="K1087">
            <v>1</v>
          </cell>
          <cell r="L1087">
            <v>110151</v>
          </cell>
          <cell r="M1087" t="str">
            <v>MAR 21</v>
          </cell>
          <cell r="N1087">
            <v>44270</v>
          </cell>
          <cell r="O1087">
            <v>11116534</v>
          </cell>
          <cell r="P1087">
            <v>7000000</v>
          </cell>
          <cell r="Q1087">
            <v>44266</v>
          </cell>
          <cell r="R1087" t="str">
            <v>Yes</v>
          </cell>
          <cell r="S1087" t="str">
            <v>C49</v>
          </cell>
          <cell r="T1087" t="str">
            <v>SOUTH</v>
          </cell>
          <cell r="U1087" t="str">
            <v>深圳</v>
          </cell>
          <cell r="V1087" t="str">
            <v>SZ 深圳</v>
          </cell>
          <cell r="W1087" t="str">
            <v>SX</v>
          </cell>
          <cell r="X1087" t="str">
            <v>JPY</v>
          </cell>
          <cell r="Y1087">
            <v>7000000</v>
          </cell>
          <cell r="Z1087">
            <v>1</v>
          </cell>
          <cell r="AA1087">
            <v>7000000</v>
          </cell>
          <cell r="AB1087">
            <v>7.51E-2</v>
          </cell>
          <cell r="AC1087">
            <v>525700</v>
          </cell>
          <cell r="AD1087">
            <v>63084</v>
          </cell>
          <cell r="AE1087">
            <v>0.12</v>
          </cell>
          <cell r="AF1087">
            <v>44149</v>
          </cell>
          <cell r="AG1087" t="str">
            <v>DAP BJ</v>
          </cell>
          <cell r="AK1087">
            <v>0.1</v>
          </cell>
          <cell r="AL1087">
            <v>700000</v>
          </cell>
          <cell r="AM1087">
            <v>44136</v>
          </cell>
          <cell r="AN1087" t="str">
            <v>Yes</v>
          </cell>
          <cell r="AO1087">
            <v>0.9</v>
          </cell>
          <cell r="AP1087">
            <v>6300000</v>
          </cell>
          <cell r="AQ1087">
            <v>44265</v>
          </cell>
          <cell r="AR1087">
            <v>44265</v>
          </cell>
          <cell r="AS1087">
            <v>0</v>
          </cell>
          <cell r="AT1087">
            <v>0</v>
          </cell>
          <cell r="AX1087" t="str">
            <v>Yes</v>
          </cell>
          <cell r="AZ1087" t="str">
            <v>Yes</v>
          </cell>
          <cell r="BA1087" t="str">
            <v>Yes</v>
          </cell>
        </row>
        <row r="1088">
          <cell r="B1088">
            <v>938</v>
          </cell>
          <cell r="C1088" t="str">
            <v>C49SZX20200223SS</v>
          </cell>
          <cell r="D1088" t="str">
            <v>盈通恒翼</v>
          </cell>
          <cell r="E1088" t="str">
            <v>YSM10</v>
          </cell>
          <cell r="F1088" t="str">
            <v>#05344</v>
          </cell>
          <cell r="G1088" t="e">
            <v>#REF!</v>
          </cell>
          <cell r="H1088" t="e">
            <v>#REF!</v>
          </cell>
          <cell r="I1088" t="str">
            <v>L-&gt;R</v>
          </cell>
          <cell r="J1088" t="str">
            <v>No</v>
          </cell>
          <cell r="K1088">
            <v>1</v>
          </cell>
          <cell r="L1088" t="e">
            <v>#N/A</v>
          </cell>
          <cell r="M1088" t="e">
            <v>#N/A</v>
          </cell>
          <cell r="N1088"/>
          <cell r="O1088"/>
          <cell r="P1088"/>
          <cell r="Q1088"/>
          <cell r="R1088" t="str">
            <v>Yes</v>
          </cell>
          <cell r="S1088" t="str">
            <v>C49</v>
          </cell>
          <cell r="T1088" t="str">
            <v>SOUTH</v>
          </cell>
          <cell r="U1088" t="str">
            <v>深圳</v>
          </cell>
          <cell r="V1088" t="str">
            <v>SZ 深圳</v>
          </cell>
          <cell r="W1088" t="str">
            <v>SS</v>
          </cell>
          <cell r="X1088" t="str">
            <v>JPY</v>
          </cell>
          <cell r="Y1088">
            <v>6500000</v>
          </cell>
          <cell r="Z1088">
            <v>1</v>
          </cell>
          <cell r="AA1088">
            <v>6500000</v>
          </cell>
          <cell r="AB1088">
            <v>7.51E-2</v>
          </cell>
          <cell r="AC1088">
            <v>488150</v>
          </cell>
          <cell r="AD1088">
            <v>58578</v>
          </cell>
          <cell r="AE1088">
            <v>0.12</v>
          </cell>
          <cell r="AF1088">
            <v>44153</v>
          </cell>
          <cell r="AG1088" t="str">
            <v>DAP SZ</v>
          </cell>
          <cell r="AI1088"/>
          <cell r="AJ1088"/>
          <cell r="AK1088">
            <v>0.1</v>
          </cell>
          <cell r="AL1088">
            <v>650000</v>
          </cell>
          <cell r="AM1088"/>
          <cell r="AN1088" t="str">
            <v>No</v>
          </cell>
          <cell r="AO1088">
            <v>0.9</v>
          </cell>
          <cell r="AP1088">
            <v>5850000</v>
          </cell>
          <cell r="AQ1088"/>
          <cell r="AR1088"/>
          <cell r="AS1088">
            <v>0</v>
          </cell>
          <cell r="AT1088">
            <v>0</v>
          </cell>
          <cell r="AV1088"/>
          <cell r="AX1088" t="str">
            <v>Cancel</v>
          </cell>
          <cell r="AY1088"/>
          <cell r="AZ1088"/>
          <cell r="BA1088" t="str">
            <v>Cancel</v>
          </cell>
          <cell r="BB1088" t="str">
            <v>2022-3-25Ken邮件通知</v>
          </cell>
        </row>
        <row r="1089">
          <cell r="B1089">
            <v>939</v>
          </cell>
          <cell r="C1089" t="str">
            <v>C49SZX20200223SS</v>
          </cell>
          <cell r="D1089" t="str">
            <v>盈通恒翼</v>
          </cell>
          <cell r="E1089" t="str">
            <v>YSM10</v>
          </cell>
          <cell r="F1089" t="str">
            <v>#05344</v>
          </cell>
          <cell r="G1089" t="e">
            <v>#REF!</v>
          </cell>
          <cell r="H1089" t="e">
            <v>#REF!</v>
          </cell>
          <cell r="I1089" t="str">
            <v>L-&gt;R</v>
          </cell>
          <cell r="J1089" t="str">
            <v>No</v>
          </cell>
          <cell r="K1089">
            <v>1</v>
          </cell>
          <cell r="L1089" t="e">
            <v>#N/A</v>
          </cell>
          <cell r="M1089" t="e">
            <v>#N/A</v>
          </cell>
          <cell r="N1089"/>
          <cell r="O1089"/>
          <cell r="P1089"/>
          <cell r="Q1089"/>
          <cell r="R1089" t="str">
            <v>Yes</v>
          </cell>
          <cell r="S1089" t="str">
            <v>C49</v>
          </cell>
          <cell r="T1089" t="str">
            <v>SOUTH</v>
          </cell>
          <cell r="U1089" t="str">
            <v>深圳</v>
          </cell>
          <cell r="V1089" t="str">
            <v>SZ 深圳</v>
          </cell>
          <cell r="W1089" t="str">
            <v>SS</v>
          </cell>
          <cell r="X1089" t="str">
            <v>JPY</v>
          </cell>
          <cell r="Y1089">
            <v>6500000</v>
          </cell>
          <cell r="Z1089">
            <v>1</v>
          </cell>
          <cell r="AA1089">
            <v>6500000</v>
          </cell>
          <cell r="AB1089">
            <v>7.51E-2</v>
          </cell>
          <cell r="AC1089">
            <v>488150</v>
          </cell>
          <cell r="AD1089">
            <v>58578</v>
          </cell>
          <cell r="AE1089">
            <v>0.12</v>
          </cell>
          <cell r="AF1089">
            <v>44153</v>
          </cell>
          <cell r="AG1089" t="str">
            <v>DAP SZ</v>
          </cell>
          <cell r="AI1089"/>
          <cell r="AJ1089"/>
          <cell r="AK1089">
            <v>0.1</v>
          </cell>
          <cell r="AL1089">
            <v>650000</v>
          </cell>
          <cell r="AM1089"/>
          <cell r="AN1089" t="str">
            <v>No</v>
          </cell>
          <cell r="AO1089">
            <v>0.9</v>
          </cell>
          <cell r="AP1089">
            <v>5850000</v>
          </cell>
          <cell r="AQ1089"/>
          <cell r="AR1089"/>
          <cell r="AS1089">
            <v>0</v>
          </cell>
          <cell r="AT1089">
            <v>0</v>
          </cell>
          <cell r="AV1089"/>
          <cell r="AX1089" t="str">
            <v>Cancel</v>
          </cell>
          <cell r="AY1089"/>
          <cell r="AZ1089"/>
          <cell r="BA1089" t="str">
            <v>Cancel</v>
          </cell>
          <cell r="BB1089" t="str">
            <v>2022-3-25Ken邮件通知</v>
          </cell>
        </row>
        <row r="1090">
          <cell r="B1090">
            <v>940</v>
          </cell>
          <cell r="C1090" t="str">
            <v>C49SZX20200222SS</v>
          </cell>
          <cell r="D1090" t="str">
            <v>盈通恒翼</v>
          </cell>
          <cell r="E1090" t="str">
            <v>YSM10</v>
          </cell>
          <cell r="F1090" t="str">
            <v>#05344</v>
          </cell>
          <cell r="G1090" t="e">
            <v>#REF!</v>
          </cell>
          <cell r="H1090" t="e">
            <v>#REF!</v>
          </cell>
          <cell r="I1090" t="str">
            <v>L-&gt;R</v>
          </cell>
          <cell r="J1090" t="str">
            <v>MVC</v>
          </cell>
          <cell r="K1090">
            <v>1</v>
          </cell>
          <cell r="L1090">
            <v>110201</v>
          </cell>
          <cell r="M1090" t="str">
            <v>JAN 21</v>
          </cell>
          <cell r="N1090">
            <v>44226</v>
          </cell>
          <cell r="O1090">
            <v>11116500</v>
          </cell>
          <cell r="P1090">
            <v>7940000</v>
          </cell>
          <cell r="Q1090">
            <v>44197</v>
          </cell>
          <cell r="R1090" t="str">
            <v>Yes</v>
          </cell>
          <cell r="S1090" t="str">
            <v>C49</v>
          </cell>
          <cell r="T1090" t="str">
            <v>SOUTH</v>
          </cell>
          <cell r="U1090" t="str">
            <v>深圳</v>
          </cell>
          <cell r="V1090" t="str">
            <v>SZ 深圳</v>
          </cell>
          <cell r="W1090" t="str">
            <v>SS</v>
          </cell>
          <cell r="X1090" t="str">
            <v>JPY</v>
          </cell>
          <cell r="Y1090">
            <v>7940000</v>
          </cell>
          <cell r="Z1090">
            <v>1</v>
          </cell>
          <cell r="AA1090">
            <v>7940000</v>
          </cell>
          <cell r="AB1090">
            <v>7.51E-2</v>
          </cell>
          <cell r="AC1090">
            <v>596294</v>
          </cell>
          <cell r="AD1090">
            <v>71555.28</v>
          </cell>
          <cell r="AE1090">
            <v>0.12</v>
          </cell>
          <cell r="AF1090">
            <v>44153</v>
          </cell>
          <cell r="AG1090" t="str">
            <v>DAP SZ</v>
          </cell>
          <cell r="AK1090">
            <v>0.1</v>
          </cell>
          <cell r="AL1090">
            <v>794000</v>
          </cell>
          <cell r="AM1090">
            <v>44159</v>
          </cell>
          <cell r="AN1090" t="str">
            <v>Yes</v>
          </cell>
          <cell r="AO1090">
            <v>0.9</v>
          </cell>
          <cell r="AP1090">
            <v>7146000</v>
          </cell>
          <cell r="AQ1090">
            <v>44222</v>
          </cell>
          <cell r="AR1090">
            <v>44222</v>
          </cell>
          <cell r="AS1090">
            <v>0</v>
          </cell>
          <cell r="AT1090">
            <v>0</v>
          </cell>
          <cell r="AX1090" t="str">
            <v>Yes</v>
          </cell>
          <cell r="AZ1090" t="str">
            <v>Y</v>
          </cell>
          <cell r="BA1090" t="str">
            <v>Yes</v>
          </cell>
        </row>
        <row r="1091">
          <cell r="B1091">
            <v>941</v>
          </cell>
          <cell r="C1091" t="str">
            <v>C49SZX20200222SS</v>
          </cell>
          <cell r="D1091" t="str">
            <v>盈通恒翼</v>
          </cell>
          <cell r="E1091" t="str">
            <v>YSM10</v>
          </cell>
          <cell r="F1091" t="str">
            <v>#05344</v>
          </cell>
          <cell r="G1091" t="e">
            <v>#REF!</v>
          </cell>
          <cell r="H1091" t="e">
            <v>#REF!</v>
          </cell>
          <cell r="I1091" t="str">
            <v>L-&gt;R</v>
          </cell>
          <cell r="J1091" t="str">
            <v>MVC</v>
          </cell>
          <cell r="K1091">
            <v>1</v>
          </cell>
          <cell r="L1091">
            <v>110130</v>
          </cell>
          <cell r="M1091" t="str">
            <v>FEB 21</v>
          </cell>
          <cell r="N1091">
            <v>44256</v>
          </cell>
          <cell r="O1091">
            <v>11116522</v>
          </cell>
          <cell r="P1091">
            <v>7940000</v>
          </cell>
          <cell r="Q1091">
            <v>44228</v>
          </cell>
          <cell r="R1091" t="str">
            <v>Yes</v>
          </cell>
          <cell r="S1091" t="str">
            <v>C49</v>
          </cell>
          <cell r="T1091" t="str">
            <v>SOUTH</v>
          </cell>
          <cell r="U1091" t="str">
            <v>深圳</v>
          </cell>
          <cell r="V1091" t="str">
            <v>SZ 深圳</v>
          </cell>
          <cell r="W1091" t="str">
            <v>SS</v>
          </cell>
          <cell r="X1091" t="str">
            <v>JPY</v>
          </cell>
          <cell r="Y1091">
            <v>7940000</v>
          </cell>
          <cell r="Z1091">
            <v>1</v>
          </cell>
          <cell r="AA1091">
            <v>7940000</v>
          </cell>
          <cell r="AB1091">
            <v>7.51E-2</v>
          </cell>
          <cell r="AC1091">
            <v>596294</v>
          </cell>
          <cell r="AD1091">
            <v>71555.28</v>
          </cell>
          <cell r="AE1091">
            <v>0.12</v>
          </cell>
          <cell r="AF1091">
            <v>44153</v>
          </cell>
          <cell r="AG1091" t="str">
            <v>DAP SZ</v>
          </cell>
          <cell r="AK1091">
            <v>0.1</v>
          </cell>
          <cell r="AL1091">
            <v>794000</v>
          </cell>
          <cell r="AM1091">
            <v>44159</v>
          </cell>
          <cell r="AN1091" t="str">
            <v>Yes</v>
          </cell>
          <cell r="AO1091">
            <v>0.9</v>
          </cell>
          <cell r="AP1091">
            <v>7146000</v>
          </cell>
          <cell r="AQ1091">
            <v>44222</v>
          </cell>
          <cell r="AR1091">
            <v>44222</v>
          </cell>
          <cell r="AS1091">
            <v>0</v>
          </cell>
          <cell r="AT1091">
            <v>0</v>
          </cell>
          <cell r="AX1091" t="str">
            <v>Yes</v>
          </cell>
          <cell r="AZ1091" t="str">
            <v>Y</v>
          </cell>
          <cell r="BA1091" t="str">
            <v>Yes</v>
          </cell>
        </row>
        <row r="1092">
          <cell r="B1092">
            <v>942</v>
          </cell>
          <cell r="C1092" t="str">
            <v>C49SZX20200222SS</v>
          </cell>
          <cell r="D1092" t="str">
            <v>盈通恒翼</v>
          </cell>
          <cell r="E1092" t="str">
            <v>YSM10</v>
          </cell>
          <cell r="F1092" t="str">
            <v>#05344</v>
          </cell>
          <cell r="G1092" t="e">
            <v>#REF!</v>
          </cell>
          <cell r="H1092" t="e">
            <v>#REF!</v>
          </cell>
          <cell r="I1092" t="str">
            <v>R-&gt;L</v>
          </cell>
          <cell r="J1092" t="str">
            <v>No</v>
          </cell>
          <cell r="K1092">
            <v>1</v>
          </cell>
          <cell r="L1092">
            <v>110096</v>
          </cell>
          <cell r="M1092" t="str">
            <v>JAN 21</v>
          </cell>
          <cell r="N1092">
            <v>44226</v>
          </cell>
          <cell r="O1092">
            <v>11116500</v>
          </cell>
          <cell r="P1092">
            <v>7940000</v>
          </cell>
          <cell r="Q1092">
            <v>44197</v>
          </cell>
          <cell r="R1092" t="str">
            <v>Yes</v>
          </cell>
          <cell r="S1092" t="str">
            <v>C49</v>
          </cell>
          <cell r="T1092" t="str">
            <v>SOUTH</v>
          </cell>
          <cell r="U1092" t="str">
            <v>深圳</v>
          </cell>
          <cell r="V1092" t="str">
            <v>SZ 深圳</v>
          </cell>
          <cell r="W1092" t="str">
            <v>SS</v>
          </cell>
          <cell r="X1092" t="str">
            <v>JPY</v>
          </cell>
          <cell r="Y1092">
            <v>7940000</v>
          </cell>
          <cell r="Z1092">
            <v>1</v>
          </cell>
          <cell r="AA1092">
            <v>7940000</v>
          </cell>
          <cell r="AB1092">
            <v>7.51E-2</v>
          </cell>
          <cell r="AC1092">
            <v>596294</v>
          </cell>
          <cell r="AD1092">
            <v>71555.28</v>
          </cell>
          <cell r="AE1092">
            <v>0.12</v>
          </cell>
          <cell r="AF1092">
            <v>44153</v>
          </cell>
          <cell r="AG1092" t="str">
            <v>DAP SZ</v>
          </cell>
          <cell r="AK1092">
            <v>0.1</v>
          </cell>
          <cell r="AL1092">
            <v>794000</v>
          </cell>
          <cell r="AM1092">
            <v>44159</v>
          </cell>
          <cell r="AN1092" t="str">
            <v>Yes</v>
          </cell>
          <cell r="AO1092">
            <v>0.9</v>
          </cell>
          <cell r="AP1092">
            <v>7146000</v>
          </cell>
          <cell r="AQ1092">
            <v>44252</v>
          </cell>
          <cell r="AR1092">
            <v>44252</v>
          </cell>
          <cell r="AS1092">
            <v>0</v>
          </cell>
          <cell r="AT1092">
            <v>0</v>
          </cell>
          <cell r="AX1092" t="str">
            <v>Yes</v>
          </cell>
          <cell r="AZ1092" t="str">
            <v>Y</v>
          </cell>
          <cell r="BA1092" t="str">
            <v>Yes</v>
          </cell>
        </row>
        <row r="1093">
          <cell r="B1093">
            <v>943</v>
          </cell>
          <cell r="C1093" t="str">
            <v>C49SZX20200221MZ</v>
          </cell>
          <cell r="D1093" t="str">
            <v>腾拓</v>
          </cell>
          <cell r="E1093" t="str">
            <v>YSM20R-2</v>
          </cell>
          <cell r="F1093" t="str">
            <v>#80524</v>
          </cell>
          <cell r="G1093" t="e">
            <v>#REF!</v>
          </cell>
          <cell r="H1093" t="e">
            <v>#REF!</v>
          </cell>
          <cell r="I1093" t="str">
            <v>L-&gt;R</v>
          </cell>
          <cell r="J1093" t="str">
            <v>No</v>
          </cell>
          <cell r="K1093">
            <v>1</v>
          </cell>
          <cell r="L1093">
            <v>110235</v>
          </cell>
          <cell r="M1093" t="str">
            <v>FEB 21</v>
          </cell>
          <cell r="N1093">
            <v>44260</v>
          </cell>
          <cell r="O1093">
            <v>11100475</v>
          </cell>
          <cell r="P1093">
            <v>945000</v>
          </cell>
          <cell r="Q1093">
            <v>44285</v>
          </cell>
          <cell r="R1093" t="str">
            <v>No</v>
          </cell>
          <cell r="S1093" t="str">
            <v>C49</v>
          </cell>
          <cell r="T1093" t="str">
            <v>SOUTH</v>
          </cell>
          <cell r="U1093" t="str">
            <v>深圳</v>
          </cell>
          <cell r="V1093" t="str">
            <v>SZ 深圳</v>
          </cell>
          <cell r="W1093" t="str">
            <v>MZ</v>
          </cell>
          <cell r="X1093" t="str">
            <v>RMB</v>
          </cell>
          <cell r="Y1093">
            <v>945000</v>
          </cell>
          <cell r="Z1093">
            <v>1.1299999999999999</v>
          </cell>
          <cell r="AA1093">
            <v>945000</v>
          </cell>
          <cell r="AB1093">
            <v>1.155</v>
          </cell>
          <cell r="AC1093">
            <v>965907.07964601787</v>
          </cell>
          <cell r="AD1093">
            <v>115908.84955752215</v>
          </cell>
          <cell r="AE1093">
            <v>0.12</v>
          </cell>
          <cell r="AF1093">
            <v>44154</v>
          </cell>
          <cell r="AG1093" t="str">
            <v>含税到厂</v>
          </cell>
          <cell r="AK1093">
            <v>0.1</v>
          </cell>
          <cell r="AL1093">
            <v>94500</v>
          </cell>
          <cell r="AM1093">
            <v>44136</v>
          </cell>
          <cell r="AN1093" t="str">
            <v>Yes</v>
          </cell>
          <cell r="AO1093">
            <v>0.9</v>
          </cell>
          <cell r="AP1093">
            <v>850500</v>
          </cell>
          <cell r="AQ1093">
            <v>44253</v>
          </cell>
          <cell r="AR1093">
            <v>44253</v>
          </cell>
          <cell r="AS1093">
            <v>0</v>
          </cell>
          <cell r="AT1093">
            <v>0</v>
          </cell>
          <cell r="AX1093" t="str">
            <v>Yes</v>
          </cell>
          <cell r="AZ1093" t="str">
            <v>Y</v>
          </cell>
          <cell r="BA1093" t="str">
            <v>Yes</v>
          </cell>
        </row>
        <row r="1094">
          <cell r="B1094">
            <v>944</v>
          </cell>
          <cell r="C1094" t="str">
            <v>C49SZX20200221MZ</v>
          </cell>
          <cell r="D1094" t="str">
            <v>腾拓</v>
          </cell>
          <cell r="E1094" t="str">
            <v>YSM20R-2</v>
          </cell>
          <cell r="F1094" t="str">
            <v>#80524</v>
          </cell>
          <cell r="G1094" t="e">
            <v>#REF!</v>
          </cell>
          <cell r="H1094" t="e">
            <v>#REF!</v>
          </cell>
          <cell r="I1094" t="str">
            <v>L-&gt;R</v>
          </cell>
          <cell r="J1094" t="str">
            <v>MVC</v>
          </cell>
          <cell r="K1094">
            <v>1</v>
          </cell>
          <cell r="L1094">
            <v>110235</v>
          </cell>
          <cell r="M1094" t="str">
            <v>FEB 21</v>
          </cell>
          <cell r="N1094">
            <v>44260</v>
          </cell>
          <cell r="O1094">
            <v>11100475</v>
          </cell>
          <cell r="P1094">
            <v>945000</v>
          </cell>
          <cell r="Q1094">
            <v>44285</v>
          </cell>
          <cell r="R1094" t="str">
            <v>No</v>
          </cell>
          <cell r="S1094" t="str">
            <v>C49</v>
          </cell>
          <cell r="T1094" t="str">
            <v>SOUTH</v>
          </cell>
          <cell r="U1094" t="str">
            <v>深圳</v>
          </cell>
          <cell r="V1094" t="str">
            <v>SZ 深圳</v>
          </cell>
          <cell r="W1094" t="str">
            <v>MZ</v>
          </cell>
          <cell r="X1094" t="str">
            <v>RMB</v>
          </cell>
          <cell r="Y1094">
            <v>945000</v>
          </cell>
          <cell r="Z1094">
            <v>1.1299999999999999</v>
          </cell>
          <cell r="AA1094">
            <v>945000</v>
          </cell>
          <cell r="AB1094">
            <v>1.155</v>
          </cell>
          <cell r="AC1094">
            <v>965907.07964601787</v>
          </cell>
          <cell r="AD1094">
            <v>115908.84955752215</v>
          </cell>
          <cell r="AE1094">
            <v>0.12</v>
          </cell>
          <cell r="AF1094">
            <v>44154</v>
          </cell>
          <cell r="AG1094" t="str">
            <v>含税到厂</v>
          </cell>
          <cell r="AK1094">
            <v>0.1</v>
          </cell>
          <cell r="AL1094">
            <v>94500</v>
          </cell>
          <cell r="AM1094">
            <v>44136</v>
          </cell>
          <cell r="AN1094" t="str">
            <v>Yes</v>
          </cell>
          <cell r="AO1094">
            <v>0.9</v>
          </cell>
          <cell r="AP1094">
            <v>850500</v>
          </cell>
          <cell r="AQ1094">
            <v>44253</v>
          </cell>
          <cell r="AR1094">
            <v>44253</v>
          </cell>
          <cell r="AS1094">
            <v>0</v>
          </cell>
          <cell r="AT1094">
            <v>0</v>
          </cell>
          <cell r="AX1094" t="str">
            <v>Yes</v>
          </cell>
          <cell r="AZ1094" t="str">
            <v>Y</v>
          </cell>
          <cell r="BA1094" t="str">
            <v>Yes</v>
          </cell>
        </row>
        <row r="1095">
          <cell r="B1095">
            <v>945</v>
          </cell>
          <cell r="C1095" t="str">
            <v>C49SZX20200213MX</v>
          </cell>
          <cell r="D1095" t="str">
            <v>音品（End user:鸿翔）</v>
          </cell>
          <cell r="E1095" t="str">
            <v>YSM20R-2</v>
          </cell>
          <cell r="F1095" t="str">
            <v>#05345</v>
          </cell>
          <cell r="G1095" t="e">
            <v>#REF!</v>
          </cell>
          <cell r="H1095" t="e">
            <v>#REF!</v>
          </cell>
          <cell r="I1095" t="str">
            <v>L-&gt;R</v>
          </cell>
          <cell r="J1095" t="str">
            <v>No</v>
          </cell>
          <cell r="K1095">
            <v>1</v>
          </cell>
          <cell r="L1095">
            <v>110384</v>
          </cell>
          <cell r="M1095" t="str">
            <v>JUN 21</v>
          </cell>
          <cell r="N1095">
            <v>44378</v>
          </cell>
          <cell r="O1095">
            <v>11116614</v>
          </cell>
          <cell r="P1095">
            <v>10550000</v>
          </cell>
          <cell r="Q1095">
            <v>44377</v>
          </cell>
          <cell r="R1095" t="str">
            <v>Yes</v>
          </cell>
          <cell r="S1095" t="str">
            <v>C49</v>
          </cell>
          <cell r="T1095" t="str">
            <v>SOUTH</v>
          </cell>
          <cell r="U1095" t="str">
            <v>深圳</v>
          </cell>
          <cell r="V1095" t="str">
            <v>SZ 深圳</v>
          </cell>
          <cell r="W1095" t="str">
            <v>MX</v>
          </cell>
          <cell r="X1095" t="str">
            <v>JPY</v>
          </cell>
          <cell r="Y1095">
            <v>10550000</v>
          </cell>
          <cell r="Z1095">
            <v>1</v>
          </cell>
          <cell r="AA1095">
            <v>10550000</v>
          </cell>
          <cell r="AB1095">
            <v>7.51E-2</v>
          </cell>
          <cell r="AC1095">
            <v>792305</v>
          </cell>
          <cell r="AD1095">
            <v>95076.599999999991</v>
          </cell>
          <cell r="AE1095">
            <v>0.12</v>
          </cell>
          <cell r="AF1095">
            <v>44153</v>
          </cell>
          <cell r="AG1095" t="str">
            <v>DAP SZ</v>
          </cell>
          <cell r="AI1095"/>
          <cell r="AK1095">
            <v>0.3</v>
          </cell>
          <cell r="AL1095">
            <v>3165000</v>
          </cell>
          <cell r="AM1095">
            <v>44136</v>
          </cell>
          <cell r="AN1095" t="str">
            <v>Yes</v>
          </cell>
          <cell r="AO1095">
            <v>0.7</v>
          </cell>
          <cell r="AP1095">
            <v>7384999.9999999991</v>
          </cell>
          <cell r="AQ1095">
            <v>44197</v>
          </cell>
          <cell r="AR1095">
            <v>44225</v>
          </cell>
          <cell r="AS1095">
            <v>0</v>
          </cell>
          <cell r="AT1095">
            <v>0</v>
          </cell>
          <cell r="AX1095" t="str">
            <v>Yes</v>
          </cell>
          <cell r="AZ1095" t="str">
            <v>Y</v>
          </cell>
          <cell r="BA1095" t="str">
            <v>Yes</v>
          </cell>
        </row>
        <row r="1096">
          <cell r="B1096">
            <v>946</v>
          </cell>
          <cell r="C1096" t="str">
            <v>C49SZX20200213MX</v>
          </cell>
          <cell r="D1096" t="str">
            <v>音品</v>
          </cell>
          <cell r="E1096" t="str">
            <v>YSM20R-2</v>
          </cell>
          <cell r="F1096" t="str">
            <v>#05345</v>
          </cell>
          <cell r="G1096" t="e">
            <v>#REF!</v>
          </cell>
          <cell r="H1096" t="e">
            <v>#REF!</v>
          </cell>
          <cell r="I1096" t="str">
            <v>L-&gt;R</v>
          </cell>
          <cell r="J1096" t="str">
            <v>No</v>
          </cell>
          <cell r="K1096">
            <v>1</v>
          </cell>
          <cell r="L1096" t="e">
            <v>#N/A</v>
          </cell>
          <cell r="M1096" t="e">
            <v>#N/A</v>
          </cell>
          <cell r="N1096"/>
          <cell r="O1096"/>
          <cell r="P1096"/>
          <cell r="Q1096"/>
          <cell r="R1096" t="str">
            <v>Yes</v>
          </cell>
          <cell r="S1096" t="str">
            <v>C49</v>
          </cell>
          <cell r="T1096" t="str">
            <v>SOUTH</v>
          </cell>
          <cell r="U1096" t="str">
            <v>深圳</v>
          </cell>
          <cell r="V1096" t="str">
            <v>SZ 深圳</v>
          </cell>
          <cell r="W1096" t="str">
            <v>MX</v>
          </cell>
          <cell r="X1096" t="str">
            <v>JPY</v>
          </cell>
          <cell r="Y1096">
            <v>10550000</v>
          </cell>
          <cell r="Z1096">
            <v>1</v>
          </cell>
          <cell r="AA1096">
            <v>10550000</v>
          </cell>
          <cell r="AB1096">
            <v>7.51E-2</v>
          </cell>
          <cell r="AC1096">
            <v>792305</v>
          </cell>
          <cell r="AD1096">
            <v>95076.599999999991</v>
          </cell>
          <cell r="AE1096">
            <v>0.12</v>
          </cell>
          <cell r="AF1096">
            <v>44153</v>
          </cell>
          <cell r="AG1096" t="str">
            <v>DAP SZ</v>
          </cell>
          <cell r="AI1096"/>
          <cell r="AJ1096"/>
          <cell r="AK1096">
            <v>0.3</v>
          </cell>
          <cell r="AL1096">
            <v>3165000</v>
          </cell>
          <cell r="AM1096">
            <v>44136</v>
          </cell>
          <cell r="AN1096" t="str">
            <v>Yes</v>
          </cell>
          <cell r="AO1096">
            <v>0.7</v>
          </cell>
          <cell r="AP1096">
            <v>7384999.9999999991</v>
          </cell>
          <cell r="AQ1096">
            <v>44256</v>
          </cell>
          <cell r="AR1096">
            <v>44256</v>
          </cell>
          <cell r="AS1096">
            <v>0</v>
          </cell>
          <cell r="AT1096">
            <v>0</v>
          </cell>
          <cell r="AV1096"/>
          <cell r="AX1096" t="str">
            <v>Cancel</v>
          </cell>
          <cell r="AY1096"/>
          <cell r="AZ1096"/>
          <cell r="BA1096"/>
        </row>
        <row r="1097">
          <cell r="B1097">
            <v>947</v>
          </cell>
          <cell r="C1097" t="str">
            <v>C49SZX20200213MX</v>
          </cell>
          <cell r="D1097" t="str">
            <v>音品（End user:厚朴）</v>
          </cell>
          <cell r="E1097" t="str">
            <v>YSM20R-2</v>
          </cell>
          <cell r="F1097" t="str">
            <v>#05345</v>
          </cell>
          <cell r="G1097" t="e">
            <v>#REF!</v>
          </cell>
          <cell r="H1097" t="e">
            <v>#REF!</v>
          </cell>
          <cell r="I1097" t="str">
            <v>L-&gt;R</v>
          </cell>
          <cell r="J1097" t="str">
            <v>No</v>
          </cell>
          <cell r="K1097">
            <v>1</v>
          </cell>
          <cell r="L1097" t="str">
            <v>110107（拆单110209）</v>
          </cell>
          <cell r="M1097" t="str">
            <v>JAN 21</v>
          </cell>
          <cell r="N1097">
            <v>44231</v>
          </cell>
          <cell r="O1097">
            <v>11116521</v>
          </cell>
          <cell r="P1097">
            <v>10550000</v>
          </cell>
          <cell r="Q1097">
            <v>44228</v>
          </cell>
          <cell r="R1097" t="str">
            <v>Yes</v>
          </cell>
          <cell r="S1097" t="str">
            <v>C49</v>
          </cell>
          <cell r="T1097" t="str">
            <v>SOUTH</v>
          </cell>
          <cell r="U1097" t="str">
            <v>深圳</v>
          </cell>
          <cell r="V1097" t="str">
            <v>SZ 深圳</v>
          </cell>
          <cell r="W1097" t="str">
            <v>MX</v>
          </cell>
          <cell r="X1097" t="str">
            <v>JPY</v>
          </cell>
          <cell r="Y1097">
            <v>10550000</v>
          </cell>
          <cell r="Z1097">
            <v>1</v>
          </cell>
          <cell r="AA1097">
            <v>10550000</v>
          </cell>
          <cell r="AB1097">
            <v>7.51E-2</v>
          </cell>
          <cell r="AC1097">
            <v>792305</v>
          </cell>
          <cell r="AD1097">
            <v>95076.599999999991</v>
          </cell>
          <cell r="AE1097">
            <v>0.12</v>
          </cell>
          <cell r="AF1097">
            <v>44153</v>
          </cell>
          <cell r="AG1097" t="str">
            <v>DAP SZ</v>
          </cell>
          <cell r="AI1097"/>
          <cell r="AK1097">
            <v>0.1</v>
          </cell>
          <cell r="AL1097">
            <v>1055000</v>
          </cell>
          <cell r="AM1097">
            <v>44136</v>
          </cell>
          <cell r="AN1097" t="str">
            <v>Yes</v>
          </cell>
          <cell r="AO1097">
            <v>0.9</v>
          </cell>
          <cell r="AP1097">
            <v>9495000</v>
          </cell>
          <cell r="AQ1097">
            <v>44256</v>
          </cell>
          <cell r="AR1097">
            <v>44256</v>
          </cell>
          <cell r="AS1097">
            <v>0</v>
          </cell>
          <cell r="AT1097">
            <v>0</v>
          </cell>
          <cell r="AX1097" t="str">
            <v>Yes</v>
          </cell>
        </row>
        <row r="1098">
          <cell r="B1098">
            <v>948</v>
          </cell>
          <cell r="C1098" t="str">
            <v>C49SZX20200213MX</v>
          </cell>
          <cell r="D1098" t="str">
            <v>音品</v>
          </cell>
          <cell r="E1098" t="str">
            <v>YSM20R-2</v>
          </cell>
          <cell r="F1098" t="str">
            <v>#05345</v>
          </cell>
          <cell r="G1098" t="e">
            <v>#REF!</v>
          </cell>
          <cell r="H1098" t="e">
            <v>#REF!</v>
          </cell>
          <cell r="I1098" t="str">
            <v>L-&gt;R</v>
          </cell>
          <cell r="J1098" t="str">
            <v>No</v>
          </cell>
          <cell r="K1098">
            <v>1</v>
          </cell>
          <cell r="L1098" t="e">
            <v>#N/A</v>
          </cell>
          <cell r="M1098" t="e">
            <v>#N/A</v>
          </cell>
          <cell r="N1098"/>
          <cell r="O1098"/>
          <cell r="P1098"/>
          <cell r="Q1098"/>
          <cell r="R1098" t="str">
            <v>Yes</v>
          </cell>
          <cell r="S1098" t="str">
            <v>C49</v>
          </cell>
          <cell r="T1098" t="str">
            <v>SOUTH</v>
          </cell>
          <cell r="U1098" t="str">
            <v>深圳</v>
          </cell>
          <cell r="V1098" t="str">
            <v>SZ 深圳</v>
          </cell>
          <cell r="W1098" t="str">
            <v>MX</v>
          </cell>
          <cell r="X1098" t="str">
            <v>JPY</v>
          </cell>
          <cell r="Y1098">
            <v>10550000</v>
          </cell>
          <cell r="Z1098">
            <v>1</v>
          </cell>
          <cell r="AA1098">
            <v>10550000</v>
          </cell>
          <cell r="AB1098">
            <v>7.51E-2</v>
          </cell>
          <cell r="AC1098">
            <v>792305</v>
          </cell>
          <cell r="AD1098">
            <v>95076.599999999991</v>
          </cell>
          <cell r="AE1098">
            <v>0.12</v>
          </cell>
          <cell r="AF1098">
            <v>44153</v>
          </cell>
          <cell r="AG1098" t="str">
            <v>DAP SZ</v>
          </cell>
          <cell r="AI1098"/>
          <cell r="AJ1098"/>
          <cell r="AK1098">
            <v>0.1</v>
          </cell>
          <cell r="AL1098">
            <v>1055000</v>
          </cell>
          <cell r="AM1098">
            <v>44136</v>
          </cell>
          <cell r="AN1098" t="str">
            <v>Yes</v>
          </cell>
          <cell r="AO1098">
            <v>0.9</v>
          </cell>
          <cell r="AP1098">
            <v>9495000</v>
          </cell>
          <cell r="AQ1098"/>
          <cell r="AR1098"/>
          <cell r="AS1098">
            <v>0</v>
          </cell>
          <cell r="AT1098">
            <v>0</v>
          </cell>
          <cell r="AV1098"/>
          <cell r="AX1098" t="str">
            <v>Cancel</v>
          </cell>
          <cell r="AY1098"/>
          <cell r="AZ1098"/>
          <cell r="BA1098"/>
        </row>
        <row r="1099">
          <cell r="B1099">
            <v>949</v>
          </cell>
          <cell r="C1099" t="str">
            <v>C49SZX20200213MX</v>
          </cell>
          <cell r="D1099" t="str">
            <v>音品（End user:艾艺科技)</v>
          </cell>
          <cell r="E1099" t="str">
            <v>YSM20R-2</v>
          </cell>
          <cell r="F1099" t="str">
            <v>#05345</v>
          </cell>
          <cell r="G1099" t="e">
            <v>#REF!</v>
          </cell>
          <cell r="H1099" t="e">
            <v>#REF!</v>
          </cell>
          <cell r="I1099" t="str">
            <v>L-&gt;R</v>
          </cell>
          <cell r="J1099" t="str">
            <v>No</v>
          </cell>
          <cell r="K1099">
            <v>1</v>
          </cell>
          <cell r="L1099">
            <v>110174</v>
          </cell>
          <cell r="M1099" t="str">
            <v>MAR 21</v>
          </cell>
          <cell r="N1099">
            <v>44231</v>
          </cell>
          <cell r="O1099">
            <v>11116636</v>
          </cell>
          <cell r="P1099">
            <v>10550000</v>
          </cell>
          <cell r="Q1099">
            <v>44427</v>
          </cell>
          <cell r="R1099" t="str">
            <v>Yes</v>
          </cell>
          <cell r="S1099" t="str">
            <v>C49</v>
          </cell>
          <cell r="T1099" t="str">
            <v>SOUTH</v>
          </cell>
          <cell r="U1099" t="str">
            <v>深圳</v>
          </cell>
          <cell r="V1099" t="str">
            <v>SZ 深圳</v>
          </cell>
          <cell r="W1099" t="str">
            <v>MX</v>
          </cell>
          <cell r="X1099" t="str">
            <v>JPY</v>
          </cell>
          <cell r="Y1099">
            <v>10550000</v>
          </cell>
          <cell r="Z1099">
            <v>1</v>
          </cell>
          <cell r="AA1099">
            <v>10550000</v>
          </cell>
          <cell r="AB1099">
            <v>7.51E-2</v>
          </cell>
          <cell r="AC1099">
            <v>792305</v>
          </cell>
          <cell r="AD1099">
            <v>95076.599999999991</v>
          </cell>
          <cell r="AE1099">
            <v>0.12</v>
          </cell>
          <cell r="AF1099">
            <v>44153</v>
          </cell>
          <cell r="AG1099" t="str">
            <v>DAP SZ</v>
          </cell>
          <cell r="AI1099"/>
          <cell r="AK1099">
            <v>0.1</v>
          </cell>
          <cell r="AL1099">
            <v>1055000</v>
          </cell>
          <cell r="AM1099">
            <v>44136</v>
          </cell>
          <cell r="AN1099" t="str">
            <v>Yes</v>
          </cell>
          <cell r="AO1099">
            <v>0.9</v>
          </cell>
          <cell r="AP1099">
            <v>9495000</v>
          </cell>
          <cell r="AS1099">
            <v>0</v>
          </cell>
          <cell r="AT1099">
            <v>0</v>
          </cell>
          <cell r="AX1099" t="str">
            <v>Yes</v>
          </cell>
          <cell r="AZ1099" t="str">
            <v>Y</v>
          </cell>
          <cell r="BA1099" t="str">
            <v>Yes</v>
          </cell>
        </row>
        <row r="1100">
          <cell r="B1100">
            <v>950</v>
          </cell>
          <cell r="C1100" t="str">
            <v>C49SZX20200213MX</v>
          </cell>
          <cell r="D1100" t="str">
            <v>音品</v>
          </cell>
          <cell r="E1100" t="str">
            <v>YSM20R-2</v>
          </cell>
          <cell r="F1100" t="str">
            <v>#05345</v>
          </cell>
          <cell r="G1100" t="e">
            <v>#REF!</v>
          </cell>
          <cell r="H1100" t="e">
            <v>#REF!</v>
          </cell>
          <cell r="I1100" t="str">
            <v>L-&gt;R</v>
          </cell>
          <cell r="J1100" t="str">
            <v>No</v>
          </cell>
          <cell r="K1100">
            <v>1</v>
          </cell>
          <cell r="L1100" t="e">
            <v>#N/A</v>
          </cell>
          <cell r="M1100" t="e">
            <v>#N/A</v>
          </cell>
          <cell r="N1100"/>
          <cell r="O1100"/>
          <cell r="P1100"/>
          <cell r="Q1100"/>
          <cell r="R1100" t="str">
            <v>Yes</v>
          </cell>
          <cell r="S1100" t="str">
            <v>C49</v>
          </cell>
          <cell r="T1100" t="str">
            <v>SOUTH</v>
          </cell>
          <cell r="U1100" t="str">
            <v>深圳</v>
          </cell>
          <cell r="V1100" t="str">
            <v>SZ 深圳</v>
          </cell>
          <cell r="W1100" t="str">
            <v>MX</v>
          </cell>
          <cell r="X1100" t="str">
            <v>JPY</v>
          </cell>
          <cell r="Y1100">
            <v>10550000</v>
          </cell>
          <cell r="Z1100">
            <v>1</v>
          </cell>
          <cell r="AA1100">
            <v>10550000</v>
          </cell>
          <cell r="AB1100">
            <v>7.51E-2</v>
          </cell>
          <cell r="AC1100">
            <v>792305</v>
          </cell>
          <cell r="AD1100">
            <v>95076.599999999991</v>
          </cell>
          <cell r="AE1100">
            <v>0.12</v>
          </cell>
          <cell r="AF1100">
            <v>44153</v>
          </cell>
          <cell r="AG1100" t="str">
            <v>DAP SZ</v>
          </cell>
          <cell r="AI1100"/>
          <cell r="AJ1100"/>
          <cell r="AK1100">
            <v>0.1</v>
          </cell>
          <cell r="AL1100">
            <v>1055000</v>
          </cell>
          <cell r="AM1100">
            <v>44136</v>
          </cell>
          <cell r="AN1100" t="str">
            <v>Yes</v>
          </cell>
          <cell r="AO1100">
            <v>0.9</v>
          </cell>
          <cell r="AP1100">
            <v>9495000</v>
          </cell>
          <cell r="AQ1100"/>
          <cell r="AR1100"/>
          <cell r="AS1100">
            <v>0</v>
          </cell>
          <cell r="AT1100">
            <v>0</v>
          </cell>
          <cell r="AV1100"/>
          <cell r="AX1100" t="str">
            <v>Cancel</v>
          </cell>
          <cell r="AY1100"/>
          <cell r="AZ1100"/>
          <cell r="BA1100"/>
        </row>
        <row r="1101">
          <cell r="B1101">
            <v>951</v>
          </cell>
          <cell r="C1101" t="str">
            <v>C49SZX20200213MX</v>
          </cell>
          <cell r="D1101" t="str">
            <v>音品</v>
          </cell>
          <cell r="E1101" t="str">
            <v>YSM20R-2</v>
          </cell>
          <cell r="F1101" t="str">
            <v>#05345</v>
          </cell>
          <cell r="G1101" t="e">
            <v>#REF!</v>
          </cell>
          <cell r="H1101" t="e">
            <v>#REF!</v>
          </cell>
          <cell r="I1101" t="str">
            <v>L-&gt;R</v>
          </cell>
          <cell r="J1101" t="str">
            <v>No</v>
          </cell>
          <cell r="K1101">
            <v>1</v>
          </cell>
          <cell r="L1101" t="e">
            <v>#N/A</v>
          </cell>
          <cell r="M1101" t="e">
            <v>#N/A</v>
          </cell>
          <cell r="N1101"/>
          <cell r="O1101"/>
          <cell r="P1101"/>
          <cell r="Q1101"/>
          <cell r="R1101" t="str">
            <v>Yes</v>
          </cell>
          <cell r="S1101" t="str">
            <v>C49</v>
          </cell>
          <cell r="T1101" t="str">
            <v>SOUTH</v>
          </cell>
          <cell r="U1101" t="str">
            <v>深圳</v>
          </cell>
          <cell r="V1101" t="str">
            <v>SZ 深圳</v>
          </cell>
          <cell r="W1101" t="str">
            <v>MX</v>
          </cell>
          <cell r="X1101" t="str">
            <v>JPY</v>
          </cell>
          <cell r="Y1101">
            <v>10550000</v>
          </cell>
          <cell r="Z1101">
            <v>1</v>
          </cell>
          <cell r="AA1101">
            <v>10550000</v>
          </cell>
          <cell r="AB1101">
            <v>7.51E-2</v>
          </cell>
          <cell r="AC1101">
            <v>792305</v>
          </cell>
          <cell r="AD1101">
            <v>95076.599999999991</v>
          </cell>
          <cell r="AE1101">
            <v>0.12</v>
          </cell>
          <cell r="AF1101">
            <v>44153</v>
          </cell>
          <cell r="AG1101" t="str">
            <v>DAP SZ</v>
          </cell>
          <cell r="AI1101"/>
          <cell r="AJ1101"/>
          <cell r="AK1101">
            <v>0.1</v>
          </cell>
          <cell r="AL1101">
            <v>1055000</v>
          </cell>
          <cell r="AM1101">
            <v>44136</v>
          </cell>
          <cell r="AN1101" t="str">
            <v>Yes</v>
          </cell>
          <cell r="AO1101">
            <v>0.9</v>
          </cell>
          <cell r="AP1101">
            <v>9495000</v>
          </cell>
          <cell r="AQ1101"/>
          <cell r="AR1101"/>
          <cell r="AS1101">
            <v>0</v>
          </cell>
          <cell r="AT1101">
            <v>0</v>
          </cell>
          <cell r="AV1101"/>
          <cell r="AX1101" t="str">
            <v>Cancel</v>
          </cell>
          <cell r="AY1101"/>
          <cell r="AZ1101"/>
          <cell r="BA1101"/>
        </row>
        <row r="1102">
          <cell r="B1102">
            <v>952</v>
          </cell>
          <cell r="C1102" t="str">
            <v>C49SZX20200213MX</v>
          </cell>
          <cell r="D1102" t="str">
            <v>音品</v>
          </cell>
          <cell r="E1102" t="str">
            <v>YSM20R-2</v>
          </cell>
          <cell r="F1102" t="str">
            <v>#05345</v>
          </cell>
          <cell r="G1102" t="e">
            <v>#REF!</v>
          </cell>
          <cell r="H1102" t="e">
            <v>#REF!</v>
          </cell>
          <cell r="I1102" t="str">
            <v>L-&gt;R</v>
          </cell>
          <cell r="J1102" t="str">
            <v>No</v>
          </cell>
          <cell r="K1102">
            <v>1</v>
          </cell>
          <cell r="L1102" t="e">
            <v>#N/A</v>
          </cell>
          <cell r="M1102" t="e">
            <v>#N/A</v>
          </cell>
          <cell r="N1102"/>
          <cell r="O1102"/>
          <cell r="P1102"/>
          <cell r="Q1102"/>
          <cell r="R1102" t="str">
            <v>Yes</v>
          </cell>
          <cell r="S1102" t="str">
            <v>C49</v>
          </cell>
          <cell r="T1102" t="str">
            <v>SOUTH</v>
          </cell>
          <cell r="U1102" t="str">
            <v>深圳</v>
          </cell>
          <cell r="V1102" t="str">
            <v>SZ 深圳</v>
          </cell>
          <cell r="W1102" t="str">
            <v>MX</v>
          </cell>
          <cell r="X1102" t="str">
            <v>JPY</v>
          </cell>
          <cell r="Y1102">
            <v>10550000</v>
          </cell>
          <cell r="Z1102">
            <v>1</v>
          </cell>
          <cell r="AA1102">
            <v>10550000</v>
          </cell>
          <cell r="AB1102">
            <v>7.51E-2</v>
          </cell>
          <cell r="AC1102">
            <v>792305</v>
          </cell>
          <cell r="AD1102">
            <v>95076.599999999991</v>
          </cell>
          <cell r="AE1102">
            <v>0.12</v>
          </cell>
          <cell r="AF1102">
            <v>44153</v>
          </cell>
          <cell r="AG1102" t="str">
            <v>DAP SZ</v>
          </cell>
          <cell r="AI1102"/>
          <cell r="AJ1102"/>
          <cell r="AK1102">
            <v>0.1</v>
          </cell>
          <cell r="AL1102">
            <v>1055000</v>
          </cell>
          <cell r="AM1102">
            <v>44136</v>
          </cell>
          <cell r="AN1102" t="str">
            <v>Yes</v>
          </cell>
          <cell r="AO1102">
            <v>0.9</v>
          </cell>
          <cell r="AP1102">
            <v>9495000</v>
          </cell>
          <cell r="AQ1102"/>
          <cell r="AR1102"/>
          <cell r="AS1102">
            <v>0</v>
          </cell>
          <cell r="AT1102">
            <v>0</v>
          </cell>
          <cell r="AV1102"/>
          <cell r="AX1102" t="str">
            <v>Cancel</v>
          </cell>
          <cell r="AY1102"/>
          <cell r="AZ1102"/>
          <cell r="BA1102"/>
        </row>
        <row r="1103">
          <cell r="B1103">
            <v>953</v>
          </cell>
          <cell r="C1103" t="str">
            <v>C49SZX20200213MX</v>
          </cell>
          <cell r="D1103" t="str">
            <v>音品</v>
          </cell>
          <cell r="E1103" t="str">
            <v>YSM20R-2</v>
          </cell>
          <cell r="F1103" t="str">
            <v>#05345</v>
          </cell>
          <cell r="G1103" t="e">
            <v>#REF!</v>
          </cell>
          <cell r="H1103" t="e">
            <v>#REF!</v>
          </cell>
          <cell r="I1103" t="str">
            <v>L-&gt;R</v>
          </cell>
          <cell r="J1103" t="str">
            <v>No</v>
          </cell>
          <cell r="K1103">
            <v>1</v>
          </cell>
          <cell r="L1103" t="e">
            <v>#N/A</v>
          </cell>
          <cell r="M1103" t="e">
            <v>#N/A</v>
          </cell>
          <cell r="N1103"/>
          <cell r="O1103"/>
          <cell r="P1103"/>
          <cell r="Q1103"/>
          <cell r="R1103" t="str">
            <v>Yes</v>
          </cell>
          <cell r="S1103" t="str">
            <v>C49</v>
          </cell>
          <cell r="T1103" t="str">
            <v>SOUTH</v>
          </cell>
          <cell r="U1103" t="str">
            <v>深圳</v>
          </cell>
          <cell r="V1103" t="str">
            <v>SZ 深圳</v>
          </cell>
          <cell r="W1103" t="str">
            <v>MX</v>
          </cell>
          <cell r="X1103" t="str">
            <v>JPY</v>
          </cell>
          <cell r="Y1103">
            <v>10550000</v>
          </cell>
          <cell r="Z1103">
            <v>1</v>
          </cell>
          <cell r="AA1103">
            <v>10550000</v>
          </cell>
          <cell r="AB1103">
            <v>7.51E-2</v>
          </cell>
          <cell r="AC1103">
            <v>792305</v>
          </cell>
          <cell r="AD1103">
            <v>95076.599999999991</v>
          </cell>
          <cell r="AE1103">
            <v>0.12</v>
          </cell>
          <cell r="AF1103">
            <v>44153</v>
          </cell>
          <cell r="AG1103" t="str">
            <v>DAP SZ</v>
          </cell>
          <cell r="AI1103"/>
          <cell r="AJ1103"/>
          <cell r="AK1103">
            <v>0.1</v>
          </cell>
          <cell r="AL1103">
            <v>1055000</v>
          </cell>
          <cell r="AM1103">
            <v>44136</v>
          </cell>
          <cell r="AN1103" t="str">
            <v>Yes</v>
          </cell>
          <cell r="AO1103">
            <v>0.9</v>
          </cell>
          <cell r="AP1103">
            <v>9495000</v>
          </cell>
          <cell r="AQ1103"/>
          <cell r="AR1103"/>
          <cell r="AS1103">
            <v>0</v>
          </cell>
          <cell r="AT1103">
            <v>0</v>
          </cell>
          <cell r="AV1103"/>
          <cell r="AX1103" t="str">
            <v>Cancel</v>
          </cell>
          <cell r="AY1103"/>
          <cell r="AZ1103"/>
          <cell r="BA1103"/>
        </row>
        <row r="1104">
          <cell r="B1104">
            <v>954</v>
          </cell>
          <cell r="C1104" t="str">
            <v>C49SZX20200213MX</v>
          </cell>
          <cell r="D1104" t="str">
            <v>音品</v>
          </cell>
          <cell r="E1104" t="str">
            <v>YSM20R-2</v>
          </cell>
          <cell r="F1104" t="str">
            <v>#05345</v>
          </cell>
          <cell r="G1104" t="e">
            <v>#REF!</v>
          </cell>
          <cell r="H1104" t="e">
            <v>#REF!</v>
          </cell>
          <cell r="I1104" t="str">
            <v>L-&gt;R</v>
          </cell>
          <cell r="J1104" t="str">
            <v>No</v>
          </cell>
          <cell r="K1104">
            <v>1</v>
          </cell>
          <cell r="L1104" t="e">
            <v>#N/A</v>
          </cell>
          <cell r="M1104" t="e">
            <v>#N/A</v>
          </cell>
          <cell r="N1104"/>
          <cell r="O1104"/>
          <cell r="P1104"/>
          <cell r="Q1104"/>
          <cell r="R1104" t="str">
            <v>Yes</v>
          </cell>
          <cell r="S1104" t="str">
            <v>C49</v>
          </cell>
          <cell r="T1104" t="str">
            <v>SOUTH</v>
          </cell>
          <cell r="U1104" t="str">
            <v>深圳</v>
          </cell>
          <cell r="V1104" t="str">
            <v>SZ 深圳</v>
          </cell>
          <cell r="W1104" t="str">
            <v>MX</v>
          </cell>
          <cell r="X1104" t="str">
            <v>JPY</v>
          </cell>
          <cell r="Y1104">
            <v>10550000</v>
          </cell>
          <cell r="Z1104">
            <v>1</v>
          </cell>
          <cell r="AA1104">
            <v>10550000</v>
          </cell>
          <cell r="AB1104">
            <v>7.51E-2</v>
          </cell>
          <cell r="AC1104">
            <v>792305</v>
          </cell>
          <cell r="AD1104">
            <v>95076.599999999991</v>
          </cell>
          <cell r="AE1104">
            <v>0.12</v>
          </cell>
          <cell r="AF1104">
            <v>44153</v>
          </cell>
          <cell r="AG1104" t="str">
            <v>DAP SZ</v>
          </cell>
          <cell r="AI1104"/>
          <cell r="AJ1104"/>
          <cell r="AK1104">
            <v>0.1</v>
          </cell>
          <cell r="AL1104">
            <v>1055000</v>
          </cell>
          <cell r="AM1104">
            <v>44136</v>
          </cell>
          <cell r="AN1104" t="str">
            <v>Yes</v>
          </cell>
          <cell r="AO1104">
            <v>0.9</v>
          </cell>
          <cell r="AP1104">
            <v>9495000</v>
          </cell>
          <cell r="AQ1104"/>
          <cell r="AR1104"/>
          <cell r="AS1104">
            <v>0</v>
          </cell>
          <cell r="AT1104">
            <v>0</v>
          </cell>
          <cell r="AV1104"/>
          <cell r="AX1104" t="str">
            <v>Cancel</v>
          </cell>
          <cell r="AY1104"/>
          <cell r="AZ1104"/>
          <cell r="BA1104"/>
        </row>
        <row r="1105">
          <cell r="B1105">
            <v>955</v>
          </cell>
          <cell r="C1105" t="str">
            <v>C49SZX20200213MX</v>
          </cell>
          <cell r="D1105" t="str">
            <v>音品（End user:艾艺科技)</v>
          </cell>
          <cell r="E1105" t="str">
            <v>YSM10</v>
          </cell>
          <cell r="F1105" t="str">
            <v>#05345</v>
          </cell>
          <cell r="G1105" t="e">
            <v>#REF!</v>
          </cell>
          <cell r="H1105" t="e">
            <v>#REF!</v>
          </cell>
          <cell r="I1105" t="str">
            <v>L-&gt;R</v>
          </cell>
          <cell r="J1105" t="str">
            <v>No</v>
          </cell>
          <cell r="K1105">
            <v>1</v>
          </cell>
          <cell r="L1105">
            <v>110067</v>
          </cell>
          <cell r="M1105" t="str">
            <v>AUG 21</v>
          </cell>
          <cell r="N1105">
            <v>44413</v>
          </cell>
          <cell r="O1105">
            <v>11116521</v>
          </cell>
          <cell r="P1105">
            <v>6400000</v>
          </cell>
          <cell r="Q1105">
            <v>44228</v>
          </cell>
          <cell r="R1105" t="str">
            <v>Yes</v>
          </cell>
          <cell r="S1105" t="str">
            <v>C49</v>
          </cell>
          <cell r="T1105" t="str">
            <v>SOUTH</v>
          </cell>
          <cell r="U1105" t="str">
            <v>深圳</v>
          </cell>
          <cell r="V1105" t="str">
            <v>SZ 深圳</v>
          </cell>
          <cell r="W1105" t="str">
            <v>MX</v>
          </cell>
          <cell r="X1105" t="str">
            <v>JPY</v>
          </cell>
          <cell r="Y1105">
            <v>6400000</v>
          </cell>
          <cell r="Z1105">
            <v>1</v>
          </cell>
          <cell r="AA1105">
            <v>6400000</v>
          </cell>
          <cell r="AB1105">
            <v>7.51E-2</v>
          </cell>
          <cell r="AC1105">
            <v>480640</v>
          </cell>
          <cell r="AD1105">
            <v>57676.799999999996</v>
          </cell>
          <cell r="AE1105">
            <v>0.12</v>
          </cell>
          <cell r="AF1105">
            <v>44153</v>
          </cell>
          <cell r="AG1105" t="str">
            <v>DAP SZ</v>
          </cell>
          <cell r="AI1105"/>
          <cell r="AK1105">
            <v>0.3</v>
          </cell>
          <cell r="AL1105">
            <v>1920000</v>
          </cell>
          <cell r="AM1105">
            <v>44136</v>
          </cell>
          <cell r="AN1105" t="str">
            <v>Yes</v>
          </cell>
          <cell r="AO1105">
            <v>0.7</v>
          </cell>
          <cell r="AP1105">
            <v>4480000</v>
          </cell>
          <cell r="AQ1105">
            <v>44197</v>
          </cell>
          <cell r="AR1105">
            <v>44225</v>
          </cell>
          <cell r="AS1105">
            <v>0</v>
          </cell>
          <cell r="AT1105">
            <v>0</v>
          </cell>
          <cell r="AX1105" t="str">
            <v>Yes</v>
          </cell>
          <cell r="AZ1105" t="str">
            <v>Y</v>
          </cell>
          <cell r="BA1105" t="str">
            <v>Yes</v>
          </cell>
        </row>
        <row r="1106">
          <cell r="B1106">
            <v>956</v>
          </cell>
          <cell r="C1106" t="str">
            <v>C49SZX20200213MX</v>
          </cell>
          <cell r="D1106" t="str">
            <v>音品</v>
          </cell>
          <cell r="E1106" t="str">
            <v>YSM10</v>
          </cell>
          <cell r="F1106" t="str">
            <v>#05345</v>
          </cell>
          <cell r="G1106" t="e">
            <v>#REF!</v>
          </cell>
          <cell r="H1106" t="e">
            <v>#REF!</v>
          </cell>
          <cell r="I1106" t="str">
            <v>L-&gt;R</v>
          </cell>
          <cell r="J1106" t="str">
            <v>No</v>
          </cell>
          <cell r="K1106">
            <v>1</v>
          </cell>
          <cell r="L1106" t="e">
            <v>#N/A</v>
          </cell>
          <cell r="M1106" t="e">
            <v>#N/A</v>
          </cell>
          <cell r="R1106" t="str">
            <v>Yes</v>
          </cell>
          <cell r="S1106" t="str">
            <v>C49</v>
          </cell>
          <cell r="T1106" t="str">
            <v>SOUTH</v>
          </cell>
          <cell r="U1106" t="str">
            <v>深圳</v>
          </cell>
          <cell r="V1106" t="str">
            <v>SZ 深圳</v>
          </cell>
          <cell r="W1106" t="str">
            <v>MX</v>
          </cell>
          <cell r="X1106" t="str">
            <v>JPY</v>
          </cell>
          <cell r="Y1106">
            <v>6400000</v>
          </cell>
          <cell r="Z1106">
            <v>1</v>
          </cell>
          <cell r="AA1106">
            <v>6400000</v>
          </cell>
          <cell r="AB1106">
            <v>7.51E-2</v>
          </cell>
          <cell r="AC1106">
            <v>480640</v>
          </cell>
          <cell r="AD1106">
            <v>57676.799999999996</v>
          </cell>
          <cell r="AE1106">
            <v>0.12</v>
          </cell>
          <cell r="AF1106">
            <v>44153</v>
          </cell>
          <cell r="AG1106" t="str">
            <v>DAP SZ</v>
          </cell>
          <cell r="AI1106"/>
          <cell r="AJ1106"/>
          <cell r="AK1106">
            <v>0.3</v>
          </cell>
          <cell r="AL1106">
            <v>1920000</v>
          </cell>
          <cell r="AM1106">
            <v>44136</v>
          </cell>
          <cell r="AN1106" t="str">
            <v>Yes</v>
          </cell>
          <cell r="AO1106">
            <v>0.7</v>
          </cell>
          <cell r="AP1106">
            <v>4480000</v>
          </cell>
          <cell r="AQ1106">
            <v>44197</v>
          </cell>
          <cell r="AR1106">
            <v>44225</v>
          </cell>
          <cell r="AS1106">
            <v>0</v>
          </cell>
          <cell r="AT1106">
            <v>0</v>
          </cell>
          <cell r="AV1106"/>
          <cell r="AX1106" t="str">
            <v>Cancel</v>
          </cell>
          <cell r="AY1106"/>
          <cell r="AZ1106"/>
          <cell r="BA1106"/>
        </row>
        <row r="1107">
          <cell r="B1107">
            <v>957</v>
          </cell>
          <cell r="C1107" t="str">
            <v>C49SZX20200213MX</v>
          </cell>
          <cell r="D1107" t="str">
            <v>音品</v>
          </cell>
          <cell r="E1107" t="str">
            <v>YSM10</v>
          </cell>
          <cell r="F1107" t="str">
            <v>#05345</v>
          </cell>
          <cell r="G1107" t="e">
            <v>#REF!</v>
          </cell>
          <cell r="H1107" t="e">
            <v>#REF!</v>
          </cell>
          <cell r="I1107" t="str">
            <v>L-&gt;R</v>
          </cell>
          <cell r="J1107" t="str">
            <v>No</v>
          </cell>
          <cell r="K1107">
            <v>1</v>
          </cell>
          <cell r="L1107" t="e">
            <v>#N/A</v>
          </cell>
          <cell r="M1107" t="e">
            <v>#N/A</v>
          </cell>
          <cell r="N1107"/>
          <cell r="O1107"/>
          <cell r="P1107"/>
          <cell r="Q1107"/>
          <cell r="R1107" t="str">
            <v>Yes</v>
          </cell>
          <cell r="S1107" t="str">
            <v>C49</v>
          </cell>
          <cell r="T1107" t="str">
            <v>SOUTH</v>
          </cell>
          <cell r="U1107" t="str">
            <v>深圳</v>
          </cell>
          <cell r="V1107" t="str">
            <v>SZ 深圳</v>
          </cell>
          <cell r="W1107" t="str">
            <v>MX</v>
          </cell>
          <cell r="X1107" t="str">
            <v>JPY</v>
          </cell>
          <cell r="Y1107">
            <v>6400000</v>
          </cell>
          <cell r="Z1107">
            <v>1</v>
          </cell>
          <cell r="AA1107">
            <v>6400000</v>
          </cell>
          <cell r="AB1107">
            <v>7.51E-2</v>
          </cell>
          <cell r="AC1107">
            <v>480640</v>
          </cell>
          <cell r="AD1107">
            <v>57676.799999999996</v>
          </cell>
          <cell r="AE1107">
            <v>0.12</v>
          </cell>
          <cell r="AF1107">
            <v>44153</v>
          </cell>
          <cell r="AG1107" t="str">
            <v>DAP SZ</v>
          </cell>
          <cell r="AI1107"/>
          <cell r="AJ1107"/>
          <cell r="AK1107">
            <v>0.1</v>
          </cell>
          <cell r="AL1107">
            <v>640000</v>
          </cell>
          <cell r="AM1107">
            <v>44136</v>
          </cell>
          <cell r="AN1107" t="str">
            <v>Yes</v>
          </cell>
          <cell r="AO1107">
            <v>0.9</v>
          </cell>
          <cell r="AP1107">
            <v>5760000</v>
          </cell>
          <cell r="AQ1107"/>
          <cell r="AR1107"/>
          <cell r="AS1107">
            <v>0</v>
          </cell>
          <cell r="AT1107">
            <v>0</v>
          </cell>
          <cell r="AV1107"/>
          <cell r="AX1107" t="str">
            <v>Cancel</v>
          </cell>
          <cell r="AY1107"/>
          <cell r="AZ1107"/>
          <cell r="BA1107"/>
        </row>
        <row r="1108">
          <cell r="B1108">
            <v>958</v>
          </cell>
          <cell r="C1108" t="str">
            <v>C49SZX20200213MX</v>
          </cell>
          <cell r="D1108" t="str">
            <v>音品</v>
          </cell>
          <cell r="E1108" t="str">
            <v>YSM10</v>
          </cell>
          <cell r="F1108" t="str">
            <v>#05345</v>
          </cell>
          <cell r="G1108" t="e">
            <v>#REF!</v>
          </cell>
          <cell r="H1108" t="e">
            <v>#REF!</v>
          </cell>
          <cell r="I1108" t="str">
            <v>L-&gt;R</v>
          </cell>
          <cell r="J1108" t="str">
            <v>No</v>
          </cell>
          <cell r="K1108">
            <v>1</v>
          </cell>
          <cell r="L1108" t="e">
            <v>#N/A</v>
          </cell>
          <cell r="M1108" t="e">
            <v>#N/A</v>
          </cell>
          <cell r="N1108"/>
          <cell r="O1108"/>
          <cell r="P1108"/>
          <cell r="Q1108"/>
          <cell r="R1108" t="str">
            <v>Yes</v>
          </cell>
          <cell r="S1108" t="str">
            <v>C49</v>
          </cell>
          <cell r="T1108" t="str">
            <v>SOUTH</v>
          </cell>
          <cell r="U1108" t="str">
            <v>深圳</v>
          </cell>
          <cell r="V1108" t="str">
            <v>SZ 深圳</v>
          </cell>
          <cell r="W1108" t="str">
            <v>MX</v>
          </cell>
          <cell r="X1108" t="str">
            <v>JPY</v>
          </cell>
          <cell r="Y1108">
            <v>6400000</v>
          </cell>
          <cell r="Z1108">
            <v>1</v>
          </cell>
          <cell r="AA1108">
            <v>6400000</v>
          </cell>
          <cell r="AB1108">
            <v>7.51E-2</v>
          </cell>
          <cell r="AC1108">
            <v>480640</v>
          </cell>
          <cell r="AD1108">
            <v>57676.799999999996</v>
          </cell>
          <cell r="AE1108">
            <v>0.12</v>
          </cell>
          <cell r="AF1108">
            <v>44153</v>
          </cell>
          <cell r="AG1108" t="str">
            <v>DAP SZ</v>
          </cell>
          <cell r="AI1108"/>
          <cell r="AJ1108"/>
          <cell r="AK1108">
            <v>0.1</v>
          </cell>
          <cell r="AL1108">
            <v>640000</v>
          </cell>
          <cell r="AM1108">
            <v>44136</v>
          </cell>
          <cell r="AN1108" t="str">
            <v>Yes</v>
          </cell>
          <cell r="AO1108">
            <v>0.9</v>
          </cell>
          <cell r="AP1108">
            <v>5760000</v>
          </cell>
          <cell r="AQ1108"/>
          <cell r="AR1108"/>
          <cell r="AS1108">
            <v>0</v>
          </cell>
          <cell r="AT1108">
            <v>0</v>
          </cell>
          <cell r="AV1108"/>
          <cell r="AX1108" t="str">
            <v>Cancel</v>
          </cell>
          <cell r="AY1108"/>
          <cell r="AZ1108"/>
          <cell r="BA1108"/>
        </row>
        <row r="1109">
          <cell r="B1109">
            <v>959</v>
          </cell>
          <cell r="C1109" t="str">
            <v>C49SZX20200213MX</v>
          </cell>
          <cell r="D1109" t="str">
            <v>音品（End user:厚朴）</v>
          </cell>
          <cell r="E1109" t="str">
            <v>YSM10</v>
          </cell>
          <cell r="F1109" t="str">
            <v>#05345</v>
          </cell>
          <cell r="G1109" t="e">
            <v>#REF!</v>
          </cell>
          <cell r="H1109" t="e">
            <v>#REF!</v>
          </cell>
          <cell r="I1109" t="str">
            <v>L-&gt;R</v>
          </cell>
          <cell r="J1109" t="str">
            <v>No</v>
          </cell>
          <cell r="K1109">
            <v>1</v>
          </cell>
          <cell r="L1109">
            <v>110067</v>
          </cell>
          <cell r="M1109" t="str">
            <v>FEB 21</v>
          </cell>
          <cell r="N1109">
            <v>44231</v>
          </cell>
          <cell r="O1109">
            <v>11116521</v>
          </cell>
          <cell r="P1109">
            <v>6400000</v>
          </cell>
          <cell r="Q1109">
            <v>44228</v>
          </cell>
          <cell r="R1109" t="str">
            <v>Yes</v>
          </cell>
          <cell r="S1109" t="str">
            <v>C49</v>
          </cell>
          <cell r="T1109" t="str">
            <v>SOUTH</v>
          </cell>
          <cell r="U1109" t="str">
            <v>深圳</v>
          </cell>
          <cell r="V1109" t="str">
            <v>SZ 深圳</v>
          </cell>
          <cell r="W1109" t="str">
            <v>MX</v>
          </cell>
          <cell r="X1109" t="str">
            <v>JPY</v>
          </cell>
          <cell r="Y1109">
            <v>6400000</v>
          </cell>
          <cell r="Z1109">
            <v>1</v>
          </cell>
          <cell r="AA1109">
            <v>6400000</v>
          </cell>
          <cell r="AB1109">
            <v>7.51E-2</v>
          </cell>
          <cell r="AC1109">
            <v>480640</v>
          </cell>
          <cell r="AD1109">
            <v>57676.799999999996</v>
          </cell>
          <cell r="AE1109">
            <v>0.12</v>
          </cell>
          <cell r="AF1109">
            <v>44153</v>
          </cell>
          <cell r="AG1109" t="str">
            <v>DAP SZ</v>
          </cell>
          <cell r="AK1109">
            <v>0.1</v>
          </cell>
          <cell r="AL1109">
            <v>640000</v>
          </cell>
          <cell r="AM1109">
            <v>44136</v>
          </cell>
          <cell r="AN1109" t="str">
            <v>Yes</v>
          </cell>
          <cell r="AO1109">
            <v>0.9</v>
          </cell>
          <cell r="AP1109">
            <v>5760000</v>
          </cell>
          <cell r="AS1109">
            <v>0</v>
          </cell>
          <cell r="AT1109">
            <v>0</v>
          </cell>
          <cell r="AX1109" t="str">
            <v>Yes</v>
          </cell>
          <cell r="AZ1109" t="str">
            <v>Y</v>
          </cell>
        </row>
        <row r="1110">
          <cell r="B1110">
            <v>960</v>
          </cell>
          <cell r="C1110" t="str">
            <v>C49SZX20200202JY</v>
          </cell>
          <cell r="D1110" t="str">
            <v>英拓邦</v>
          </cell>
          <cell r="E1110" t="str">
            <v>YSM20R-2</v>
          </cell>
          <cell r="F1110" t="str">
            <v>#55803</v>
          </cell>
          <cell r="G1110" t="e">
            <v>#REF!</v>
          </cell>
          <cell r="H1110" t="e">
            <v>#REF!</v>
          </cell>
          <cell r="I1110" t="str">
            <v>L-&gt;R</v>
          </cell>
          <cell r="J1110" t="str">
            <v>MVC</v>
          </cell>
          <cell r="K1110">
            <v>1</v>
          </cell>
          <cell r="L1110" t="e">
            <v>#N/A</v>
          </cell>
          <cell r="M1110" t="e">
            <v>#N/A</v>
          </cell>
          <cell r="N1110"/>
          <cell r="O1110"/>
          <cell r="P1110"/>
          <cell r="Q1110"/>
          <cell r="R1110" t="str">
            <v>No</v>
          </cell>
          <cell r="S1110" t="str">
            <v>C49</v>
          </cell>
          <cell r="T1110" t="str">
            <v>SOUTH</v>
          </cell>
          <cell r="U1110" t="str">
            <v>深圳</v>
          </cell>
          <cell r="V1110" t="str">
            <v>SZ 深圳</v>
          </cell>
          <cell r="W1110" t="str">
            <v>JY</v>
          </cell>
          <cell r="X1110" t="str">
            <v>JPY</v>
          </cell>
          <cell r="Y1110">
            <v>13450000</v>
          </cell>
          <cell r="Z1110">
            <v>1</v>
          </cell>
          <cell r="AA1110">
            <v>13450000</v>
          </cell>
          <cell r="AB1110">
            <v>7.51E-2</v>
          </cell>
          <cell r="AC1110">
            <v>1010095</v>
          </cell>
          <cell r="AD1110">
            <v>121211.4</v>
          </cell>
          <cell r="AE1110">
            <v>0.12</v>
          </cell>
          <cell r="AF1110">
            <v>44154</v>
          </cell>
          <cell r="AG1110" t="str">
            <v>CIF HK</v>
          </cell>
          <cell r="AI1110"/>
          <cell r="AJ1110"/>
          <cell r="AK1110">
            <v>0.1</v>
          </cell>
          <cell r="AL1110">
            <v>1345000</v>
          </cell>
          <cell r="AM1110"/>
          <cell r="AN1110" t="str">
            <v>No</v>
          </cell>
          <cell r="AO1110">
            <v>0.9</v>
          </cell>
          <cell r="AP1110">
            <v>12105000</v>
          </cell>
          <cell r="AQ1110"/>
          <cell r="AR1110"/>
          <cell r="AS1110">
            <v>0</v>
          </cell>
          <cell r="AT1110">
            <v>0</v>
          </cell>
          <cell r="AV1110"/>
          <cell r="AX1110"/>
          <cell r="AY1110"/>
          <cell r="AZ1110"/>
          <cell r="BA1110"/>
        </row>
        <row r="1111">
          <cell r="B1111">
            <v>961</v>
          </cell>
          <cell r="C1111" t="str">
            <v>C49SZX20200202JY</v>
          </cell>
          <cell r="D1111" t="str">
            <v>英拓邦</v>
          </cell>
          <cell r="E1111" t="str">
            <v>YSM20R-2</v>
          </cell>
          <cell r="F1111" t="str">
            <v>#55803</v>
          </cell>
          <cell r="G1111" t="e">
            <v>#REF!</v>
          </cell>
          <cell r="H1111" t="e">
            <v>#REF!</v>
          </cell>
          <cell r="I1111" t="str">
            <v>L-&gt;R</v>
          </cell>
          <cell r="J1111" t="str">
            <v>No</v>
          </cell>
          <cell r="K1111">
            <v>1</v>
          </cell>
          <cell r="L1111" t="e">
            <v>#N/A</v>
          </cell>
          <cell r="M1111" t="e">
            <v>#N/A</v>
          </cell>
          <cell r="N1111"/>
          <cell r="O1111"/>
          <cell r="P1111"/>
          <cell r="Q1111"/>
          <cell r="R1111" t="str">
            <v>No</v>
          </cell>
          <cell r="S1111" t="str">
            <v>C49</v>
          </cell>
          <cell r="T1111" t="str">
            <v>SOUTH</v>
          </cell>
          <cell r="U1111" t="str">
            <v>深圳</v>
          </cell>
          <cell r="V1111" t="str">
            <v>SZ 深圳</v>
          </cell>
          <cell r="W1111" t="str">
            <v>JY</v>
          </cell>
          <cell r="X1111" t="str">
            <v>JPY</v>
          </cell>
          <cell r="Y1111">
            <v>13450000</v>
          </cell>
          <cell r="Z1111">
            <v>1</v>
          </cell>
          <cell r="AA1111">
            <v>13450000</v>
          </cell>
          <cell r="AB1111">
            <v>7.51E-2</v>
          </cell>
          <cell r="AC1111">
            <v>1010095</v>
          </cell>
          <cell r="AD1111">
            <v>121211.4</v>
          </cell>
          <cell r="AE1111">
            <v>0.12</v>
          </cell>
          <cell r="AF1111">
            <v>44154</v>
          </cell>
          <cell r="AG1111" t="str">
            <v>CIF HK</v>
          </cell>
          <cell r="AI1111"/>
          <cell r="AJ1111"/>
          <cell r="AK1111">
            <v>0.1</v>
          </cell>
          <cell r="AL1111">
            <v>1345000</v>
          </cell>
          <cell r="AM1111"/>
          <cell r="AN1111" t="str">
            <v>No</v>
          </cell>
          <cell r="AO1111">
            <v>0.9</v>
          </cell>
          <cell r="AP1111">
            <v>12105000</v>
          </cell>
          <cell r="AQ1111"/>
          <cell r="AR1111"/>
          <cell r="AS1111">
            <v>0</v>
          </cell>
          <cell r="AT1111">
            <v>0</v>
          </cell>
          <cell r="AV1111"/>
          <cell r="AX1111"/>
          <cell r="AY1111"/>
          <cell r="AZ1111"/>
          <cell r="BA1111"/>
        </row>
        <row r="1112">
          <cell r="B1112">
            <v>962</v>
          </cell>
          <cell r="C1112" t="str">
            <v>C49SZX20200202JY</v>
          </cell>
          <cell r="D1112" t="str">
            <v>英拓邦</v>
          </cell>
          <cell r="E1112" t="str">
            <v>YSM20R-2</v>
          </cell>
          <cell r="F1112" t="str">
            <v>#55803</v>
          </cell>
          <cell r="G1112" t="e">
            <v>#REF!</v>
          </cell>
          <cell r="H1112" t="e">
            <v>#REF!</v>
          </cell>
          <cell r="I1112" t="str">
            <v>R-&gt;L</v>
          </cell>
          <cell r="J1112" t="str">
            <v>No</v>
          </cell>
          <cell r="K1112">
            <v>1</v>
          </cell>
          <cell r="L1112" t="e">
            <v>#N/A</v>
          </cell>
          <cell r="M1112" t="e">
            <v>#N/A</v>
          </cell>
          <cell r="N1112"/>
          <cell r="O1112"/>
          <cell r="P1112"/>
          <cell r="Q1112"/>
          <cell r="R1112" t="str">
            <v>No</v>
          </cell>
          <cell r="S1112" t="str">
            <v>C49</v>
          </cell>
          <cell r="T1112" t="str">
            <v>SOUTH</v>
          </cell>
          <cell r="U1112" t="str">
            <v>深圳</v>
          </cell>
          <cell r="V1112" t="str">
            <v>SZ 深圳</v>
          </cell>
          <cell r="W1112" t="str">
            <v>JY</v>
          </cell>
          <cell r="X1112" t="str">
            <v>JPY</v>
          </cell>
          <cell r="Y1112">
            <v>13450000</v>
          </cell>
          <cell r="Z1112">
            <v>1</v>
          </cell>
          <cell r="AA1112">
            <v>13450000</v>
          </cell>
          <cell r="AB1112">
            <v>7.51E-2</v>
          </cell>
          <cell r="AC1112">
            <v>1010095</v>
          </cell>
          <cell r="AD1112">
            <v>121211.4</v>
          </cell>
          <cell r="AE1112">
            <v>0.12</v>
          </cell>
          <cell r="AF1112">
            <v>44154</v>
          </cell>
          <cell r="AG1112" t="str">
            <v>CIF HK</v>
          </cell>
          <cell r="AI1112"/>
          <cell r="AJ1112"/>
          <cell r="AK1112">
            <v>0.1</v>
          </cell>
          <cell r="AL1112">
            <v>1345000</v>
          </cell>
          <cell r="AM1112"/>
          <cell r="AN1112" t="str">
            <v>No</v>
          </cell>
          <cell r="AO1112">
            <v>0.9</v>
          </cell>
          <cell r="AP1112">
            <v>12105000</v>
          </cell>
          <cell r="AQ1112"/>
          <cell r="AR1112"/>
          <cell r="AS1112">
            <v>0</v>
          </cell>
          <cell r="AT1112">
            <v>0</v>
          </cell>
          <cell r="AV1112"/>
          <cell r="AX1112"/>
          <cell r="AY1112"/>
          <cell r="AZ1112"/>
          <cell r="BA1112"/>
        </row>
        <row r="1113">
          <cell r="B1113">
            <v>963</v>
          </cell>
          <cell r="C1113" t="str">
            <v>C49SZX20200202JY</v>
          </cell>
          <cell r="D1113" t="str">
            <v>英拓邦</v>
          </cell>
          <cell r="E1113" t="str">
            <v>YSM20R-2</v>
          </cell>
          <cell r="F1113" t="str">
            <v>#55803</v>
          </cell>
          <cell r="G1113" t="e">
            <v>#REF!</v>
          </cell>
          <cell r="H1113" t="e">
            <v>#REF!</v>
          </cell>
          <cell r="I1113" t="str">
            <v>R-&gt;L</v>
          </cell>
          <cell r="J1113" t="str">
            <v>No</v>
          </cell>
          <cell r="K1113">
            <v>1</v>
          </cell>
          <cell r="L1113" t="e">
            <v>#N/A</v>
          </cell>
          <cell r="M1113" t="e">
            <v>#N/A</v>
          </cell>
          <cell r="N1113"/>
          <cell r="O1113"/>
          <cell r="P1113"/>
          <cell r="Q1113"/>
          <cell r="R1113" t="str">
            <v>No</v>
          </cell>
          <cell r="S1113" t="str">
            <v>C49</v>
          </cell>
          <cell r="T1113" t="str">
            <v>SOUTH</v>
          </cell>
          <cell r="U1113" t="str">
            <v>深圳</v>
          </cell>
          <cell r="V1113" t="str">
            <v>SZ 深圳</v>
          </cell>
          <cell r="W1113" t="str">
            <v>JY</v>
          </cell>
          <cell r="X1113" t="str">
            <v>JPY</v>
          </cell>
          <cell r="Y1113">
            <v>13450000</v>
          </cell>
          <cell r="Z1113">
            <v>1</v>
          </cell>
          <cell r="AA1113">
            <v>13450000</v>
          </cell>
          <cell r="AB1113">
            <v>7.51E-2</v>
          </cell>
          <cell r="AC1113">
            <v>1010095</v>
          </cell>
          <cell r="AD1113">
            <v>121211.4</v>
          </cell>
          <cell r="AE1113">
            <v>0.12</v>
          </cell>
          <cell r="AF1113">
            <v>44154</v>
          </cell>
          <cell r="AG1113" t="str">
            <v>CIF HK</v>
          </cell>
          <cell r="AI1113"/>
          <cell r="AJ1113"/>
          <cell r="AK1113">
            <v>0.1</v>
          </cell>
          <cell r="AL1113">
            <v>1345000</v>
          </cell>
          <cell r="AM1113"/>
          <cell r="AN1113" t="str">
            <v>No</v>
          </cell>
          <cell r="AO1113">
            <v>0.9</v>
          </cell>
          <cell r="AP1113">
            <v>12105000</v>
          </cell>
          <cell r="AQ1113"/>
          <cell r="AR1113"/>
          <cell r="AS1113">
            <v>0</v>
          </cell>
          <cell r="AT1113">
            <v>0</v>
          </cell>
          <cell r="AV1113"/>
          <cell r="AX1113"/>
          <cell r="AY1113"/>
          <cell r="AZ1113"/>
          <cell r="BA1113"/>
        </row>
        <row r="1114">
          <cell r="B1114">
            <v>964</v>
          </cell>
          <cell r="C1114" t="str">
            <v>C49SZX20200202JY</v>
          </cell>
          <cell r="D1114" t="str">
            <v>英拓邦</v>
          </cell>
          <cell r="E1114" t="str">
            <v>YSM10</v>
          </cell>
          <cell r="F1114" t="str">
            <v>#55803</v>
          </cell>
          <cell r="G1114" t="e">
            <v>#REF!</v>
          </cell>
          <cell r="H1114" t="e">
            <v>#REF!</v>
          </cell>
          <cell r="I1114" t="str">
            <v>L-&gt;R</v>
          </cell>
          <cell r="J1114" t="str">
            <v>MVC</v>
          </cell>
          <cell r="K1114">
            <v>1</v>
          </cell>
          <cell r="L1114" t="e">
            <v>#N/A</v>
          </cell>
          <cell r="M1114" t="e">
            <v>#N/A</v>
          </cell>
          <cell r="N1114"/>
          <cell r="O1114"/>
          <cell r="P1114"/>
          <cell r="Q1114"/>
          <cell r="R1114" t="str">
            <v>No</v>
          </cell>
          <cell r="S1114" t="str">
            <v>C49</v>
          </cell>
          <cell r="T1114" t="str">
            <v>SOUTH</v>
          </cell>
          <cell r="U1114" t="str">
            <v>深圳</v>
          </cell>
          <cell r="V1114" t="str">
            <v>SZ 深圳</v>
          </cell>
          <cell r="W1114" t="str">
            <v>JY</v>
          </cell>
          <cell r="X1114" t="str">
            <v>JPY</v>
          </cell>
          <cell r="Y1114">
            <v>9000000</v>
          </cell>
          <cell r="Z1114">
            <v>1</v>
          </cell>
          <cell r="AA1114">
            <v>9000000</v>
          </cell>
          <cell r="AB1114">
            <v>7.51E-2</v>
          </cell>
          <cell r="AC1114">
            <v>675900</v>
          </cell>
          <cell r="AD1114">
            <v>81108</v>
          </cell>
          <cell r="AE1114">
            <v>0.12</v>
          </cell>
          <cell r="AF1114">
            <v>44154</v>
          </cell>
          <cell r="AG1114" t="str">
            <v>CIF HK</v>
          </cell>
          <cell r="AI1114"/>
          <cell r="AJ1114"/>
          <cell r="AK1114">
            <v>0.1</v>
          </cell>
          <cell r="AL1114">
            <v>900000</v>
          </cell>
          <cell r="AM1114"/>
          <cell r="AN1114" t="str">
            <v>No</v>
          </cell>
          <cell r="AO1114">
            <v>0.9</v>
          </cell>
          <cell r="AP1114">
            <v>8100000</v>
          </cell>
          <cell r="AQ1114"/>
          <cell r="AR1114"/>
          <cell r="AS1114">
            <v>0</v>
          </cell>
          <cell r="AT1114">
            <v>0</v>
          </cell>
          <cell r="AV1114"/>
          <cell r="AX1114"/>
          <cell r="AY1114"/>
          <cell r="AZ1114"/>
          <cell r="BA1114"/>
        </row>
        <row r="1115">
          <cell r="B1115">
            <v>965</v>
          </cell>
          <cell r="C1115" t="str">
            <v>C49SZX20200202JY</v>
          </cell>
          <cell r="D1115" t="str">
            <v>英拓邦</v>
          </cell>
          <cell r="E1115" t="str">
            <v>YSM10</v>
          </cell>
          <cell r="F1115" t="str">
            <v>#55803</v>
          </cell>
          <cell r="G1115" t="e">
            <v>#REF!</v>
          </cell>
          <cell r="H1115" t="e">
            <v>#REF!</v>
          </cell>
          <cell r="I1115" t="str">
            <v>R-&gt;L</v>
          </cell>
          <cell r="J1115" t="str">
            <v>MVC</v>
          </cell>
          <cell r="K1115">
            <v>1</v>
          </cell>
          <cell r="L1115" t="e">
            <v>#N/A</v>
          </cell>
          <cell r="M1115" t="e">
            <v>#N/A</v>
          </cell>
          <cell r="N1115"/>
          <cell r="O1115"/>
          <cell r="P1115"/>
          <cell r="Q1115"/>
          <cell r="R1115" t="str">
            <v>No</v>
          </cell>
          <cell r="S1115" t="str">
            <v>C49</v>
          </cell>
          <cell r="T1115" t="str">
            <v>SOUTH</v>
          </cell>
          <cell r="U1115" t="str">
            <v>深圳</v>
          </cell>
          <cell r="V1115" t="str">
            <v>SZ 深圳</v>
          </cell>
          <cell r="W1115" t="str">
            <v>JY</v>
          </cell>
          <cell r="X1115" t="str">
            <v>JPY</v>
          </cell>
          <cell r="Y1115">
            <v>9000000</v>
          </cell>
          <cell r="Z1115">
            <v>1</v>
          </cell>
          <cell r="AA1115">
            <v>9000000</v>
          </cell>
          <cell r="AB1115">
            <v>7.51E-2</v>
          </cell>
          <cell r="AC1115">
            <v>675900</v>
          </cell>
          <cell r="AD1115">
            <v>81108</v>
          </cell>
          <cell r="AE1115">
            <v>0.12</v>
          </cell>
          <cell r="AF1115">
            <v>44154</v>
          </cell>
          <cell r="AG1115" t="str">
            <v>CIF HK</v>
          </cell>
          <cell r="AI1115"/>
          <cell r="AJ1115"/>
          <cell r="AK1115">
            <v>0.1</v>
          </cell>
          <cell r="AL1115">
            <v>900000</v>
          </cell>
          <cell r="AM1115"/>
          <cell r="AN1115" t="str">
            <v>No</v>
          </cell>
          <cell r="AO1115">
            <v>0.9</v>
          </cell>
          <cell r="AP1115">
            <v>8100000</v>
          </cell>
          <cell r="AQ1115"/>
          <cell r="AR1115"/>
          <cell r="AS1115">
            <v>0</v>
          </cell>
          <cell r="AT1115">
            <v>0</v>
          </cell>
          <cell r="AV1115"/>
          <cell r="AX1115"/>
          <cell r="AY1115"/>
          <cell r="AZ1115"/>
          <cell r="BA1115"/>
        </row>
        <row r="1116">
          <cell r="B1116">
            <v>966</v>
          </cell>
          <cell r="C1116" t="str">
            <v>C49SZX20200202JY</v>
          </cell>
          <cell r="D1116" t="str">
            <v>英拓邦</v>
          </cell>
          <cell r="E1116" t="str">
            <v>YSM10</v>
          </cell>
          <cell r="F1116" t="str">
            <v>#55803</v>
          </cell>
          <cell r="G1116" t="e">
            <v>#REF!</v>
          </cell>
          <cell r="H1116" t="e">
            <v>#REF!</v>
          </cell>
          <cell r="I1116" t="str">
            <v>R-&gt;L</v>
          </cell>
          <cell r="J1116" t="str">
            <v>MVC</v>
          </cell>
          <cell r="K1116">
            <v>1</v>
          </cell>
          <cell r="L1116" t="e">
            <v>#N/A</v>
          </cell>
          <cell r="M1116" t="e">
            <v>#N/A</v>
          </cell>
          <cell r="N1116"/>
          <cell r="O1116"/>
          <cell r="P1116"/>
          <cell r="Q1116"/>
          <cell r="R1116" t="str">
            <v>No</v>
          </cell>
          <cell r="S1116" t="str">
            <v>C49</v>
          </cell>
          <cell r="T1116" t="str">
            <v>SOUTH</v>
          </cell>
          <cell r="U1116" t="str">
            <v>深圳</v>
          </cell>
          <cell r="V1116" t="str">
            <v>SZ 深圳</v>
          </cell>
          <cell r="W1116" t="str">
            <v>JY</v>
          </cell>
          <cell r="X1116" t="str">
            <v>JPY</v>
          </cell>
          <cell r="Y1116">
            <v>9000000</v>
          </cell>
          <cell r="Z1116">
            <v>1</v>
          </cell>
          <cell r="AA1116">
            <v>9000000</v>
          </cell>
          <cell r="AB1116">
            <v>7.51E-2</v>
          </cell>
          <cell r="AC1116">
            <v>675900</v>
          </cell>
          <cell r="AD1116">
            <v>81108</v>
          </cell>
          <cell r="AE1116">
            <v>0.12</v>
          </cell>
          <cell r="AF1116">
            <v>44154</v>
          </cell>
          <cell r="AG1116" t="str">
            <v>CIF HK</v>
          </cell>
          <cell r="AI1116"/>
          <cell r="AJ1116"/>
          <cell r="AK1116">
            <v>0.1</v>
          </cell>
          <cell r="AL1116">
            <v>900000</v>
          </cell>
          <cell r="AM1116"/>
          <cell r="AN1116" t="str">
            <v>No</v>
          </cell>
          <cell r="AO1116">
            <v>0.9</v>
          </cell>
          <cell r="AP1116">
            <v>8100000</v>
          </cell>
          <cell r="AQ1116"/>
          <cell r="AR1116"/>
          <cell r="AS1116">
            <v>0</v>
          </cell>
          <cell r="AT1116">
            <v>0</v>
          </cell>
          <cell r="AV1116"/>
          <cell r="AX1116"/>
          <cell r="AY1116"/>
          <cell r="AZ1116"/>
          <cell r="BA1116"/>
        </row>
        <row r="1117">
          <cell r="B1117">
            <v>967</v>
          </cell>
          <cell r="C1117" t="str">
            <v>C49SZX20200202JY</v>
          </cell>
          <cell r="D1117" t="str">
            <v>英拓邦</v>
          </cell>
          <cell r="E1117" t="str">
            <v>YSM10</v>
          </cell>
          <cell r="F1117" t="str">
            <v>#55803</v>
          </cell>
          <cell r="G1117" t="e">
            <v>#REF!</v>
          </cell>
          <cell r="H1117" t="e">
            <v>#REF!</v>
          </cell>
          <cell r="I1117" t="str">
            <v>R-&gt;L</v>
          </cell>
          <cell r="J1117" t="str">
            <v>MVC</v>
          </cell>
          <cell r="K1117">
            <v>1</v>
          </cell>
          <cell r="L1117" t="e">
            <v>#N/A</v>
          </cell>
          <cell r="M1117" t="e">
            <v>#N/A</v>
          </cell>
          <cell r="N1117"/>
          <cell r="O1117"/>
          <cell r="P1117"/>
          <cell r="Q1117"/>
          <cell r="R1117" t="str">
            <v>No</v>
          </cell>
          <cell r="S1117" t="str">
            <v>C49</v>
          </cell>
          <cell r="T1117" t="str">
            <v>SOUTH</v>
          </cell>
          <cell r="U1117" t="str">
            <v>深圳</v>
          </cell>
          <cell r="V1117" t="str">
            <v>SZ 深圳</v>
          </cell>
          <cell r="W1117" t="str">
            <v>JY</v>
          </cell>
          <cell r="X1117" t="str">
            <v>JPY</v>
          </cell>
          <cell r="Y1117">
            <v>9000000</v>
          </cell>
          <cell r="Z1117">
            <v>1</v>
          </cell>
          <cell r="AA1117">
            <v>9000000</v>
          </cell>
          <cell r="AB1117">
            <v>7.51E-2</v>
          </cell>
          <cell r="AC1117">
            <v>675900</v>
          </cell>
          <cell r="AD1117">
            <v>81108</v>
          </cell>
          <cell r="AE1117">
            <v>0.12</v>
          </cell>
          <cell r="AF1117">
            <v>44154</v>
          </cell>
          <cell r="AG1117" t="str">
            <v>CIF HK</v>
          </cell>
          <cell r="AI1117"/>
          <cell r="AJ1117"/>
          <cell r="AK1117">
            <v>0.1</v>
          </cell>
          <cell r="AL1117">
            <v>900000</v>
          </cell>
          <cell r="AM1117"/>
          <cell r="AN1117" t="str">
            <v>No</v>
          </cell>
          <cell r="AO1117">
            <v>0.9</v>
          </cell>
          <cell r="AP1117">
            <v>8100000</v>
          </cell>
          <cell r="AQ1117"/>
          <cell r="AR1117"/>
          <cell r="AS1117">
            <v>0</v>
          </cell>
          <cell r="AT1117">
            <v>0</v>
          </cell>
          <cell r="AV1117"/>
          <cell r="AX1117"/>
          <cell r="AY1117"/>
          <cell r="AZ1117"/>
          <cell r="BA1117"/>
        </row>
        <row r="1118">
          <cell r="B1118">
            <v>968</v>
          </cell>
          <cell r="C1118" t="str">
            <v>C49SZX20200201JY</v>
          </cell>
          <cell r="D1118" t="str">
            <v>英拓邦</v>
          </cell>
          <cell r="E1118" t="str">
            <v>YSM20R-2</v>
          </cell>
          <cell r="F1118" t="str">
            <v>#55803</v>
          </cell>
          <cell r="G1118" t="e">
            <v>#REF!</v>
          </cell>
          <cell r="H1118" t="e">
            <v>#REF!</v>
          </cell>
          <cell r="I1118" t="str">
            <v>L-&gt;R</v>
          </cell>
          <cell r="J1118" t="str">
            <v>MVC</v>
          </cell>
          <cell r="K1118">
            <v>1</v>
          </cell>
          <cell r="L1118" t="e">
            <v>#N/A</v>
          </cell>
          <cell r="M1118" t="e">
            <v>#N/A</v>
          </cell>
          <cell r="R1118" t="str">
            <v>No</v>
          </cell>
          <cell r="S1118" t="str">
            <v>C49</v>
          </cell>
          <cell r="T1118" t="str">
            <v>SOUTH</v>
          </cell>
          <cell r="U1118" t="str">
            <v>深圳</v>
          </cell>
          <cell r="V1118" t="str">
            <v>SZ 深圳</v>
          </cell>
          <cell r="W1118" t="str">
            <v>JY</v>
          </cell>
          <cell r="X1118" t="str">
            <v>JPY</v>
          </cell>
          <cell r="Y1118">
            <v>13450000</v>
          </cell>
          <cell r="Z1118">
            <v>1</v>
          </cell>
          <cell r="AA1118">
            <v>13450000</v>
          </cell>
          <cell r="AB1118">
            <v>7.51E-2</v>
          </cell>
          <cell r="AC1118">
            <v>1010095</v>
          </cell>
          <cell r="AD1118">
            <v>121211.4</v>
          </cell>
          <cell r="AE1118">
            <v>0.12</v>
          </cell>
          <cell r="AF1118">
            <v>44154</v>
          </cell>
          <cell r="AG1118" t="str">
            <v>CIF HK</v>
          </cell>
          <cell r="AI1118" t="str">
            <v>CNY 420,000</v>
          </cell>
          <cell r="AJ1118">
            <v>44158</v>
          </cell>
          <cell r="AK1118">
            <v>0.1</v>
          </cell>
          <cell r="AL1118">
            <v>1345000</v>
          </cell>
          <cell r="AN1118" t="str">
            <v>Yes</v>
          </cell>
          <cell r="AO1118">
            <v>0.9</v>
          </cell>
          <cell r="AP1118">
            <v>12105000</v>
          </cell>
          <cell r="AS1118">
            <v>0</v>
          </cell>
          <cell r="AT1118">
            <v>0</v>
          </cell>
        </row>
        <row r="1119">
          <cell r="B1119">
            <v>969</v>
          </cell>
          <cell r="C1119" t="str">
            <v>C49SZX20200201JY</v>
          </cell>
          <cell r="D1119" t="str">
            <v>英拓邦</v>
          </cell>
          <cell r="E1119" t="str">
            <v>YSM20R-2</v>
          </cell>
          <cell r="F1119" t="str">
            <v>#55803</v>
          </cell>
          <cell r="G1119" t="e">
            <v>#REF!</v>
          </cell>
          <cell r="H1119" t="e">
            <v>#REF!</v>
          </cell>
          <cell r="I1119" t="str">
            <v>L-&gt;R</v>
          </cell>
          <cell r="J1119" t="str">
            <v>No</v>
          </cell>
          <cell r="K1119">
            <v>1</v>
          </cell>
          <cell r="L1119" t="e">
            <v>#N/A</v>
          </cell>
          <cell r="M1119" t="e">
            <v>#N/A</v>
          </cell>
          <cell r="R1119" t="str">
            <v>No</v>
          </cell>
          <cell r="S1119" t="str">
            <v>C49</v>
          </cell>
          <cell r="T1119" t="str">
            <v>SOUTH</v>
          </cell>
          <cell r="U1119" t="str">
            <v>深圳</v>
          </cell>
          <cell r="V1119" t="str">
            <v>SZ 深圳</v>
          </cell>
          <cell r="W1119" t="str">
            <v>JY</v>
          </cell>
          <cell r="X1119" t="str">
            <v>JPY</v>
          </cell>
          <cell r="Y1119">
            <v>13450000</v>
          </cell>
          <cell r="Z1119">
            <v>1</v>
          </cell>
          <cell r="AA1119">
            <v>13450000</v>
          </cell>
          <cell r="AB1119">
            <v>7.51E-2</v>
          </cell>
          <cell r="AC1119">
            <v>1010095</v>
          </cell>
          <cell r="AD1119">
            <v>121211.4</v>
          </cell>
          <cell r="AE1119">
            <v>0.12</v>
          </cell>
          <cell r="AF1119">
            <v>44154</v>
          </cell>
          <cell r="AG1119" t="str">
            <v>CIF HK</v>
          </cell>
          <cell r="AI1119"/>
          <cell r="AJ1119"/>
          <cell r="AK1119">
            <v>0.1</v>
          </cell>
          <cell r="AL1119">
            <v>1345000</v>
          </cell>
          <cell r="AN1119" t="str">
            <v>Yes</v>
          </cell>
          <cell r="AO1119">
            <v>0.9</v>
          </cell>
          <cell r="AP1119">
            <v>12105000</v>
          </cell>
          <cell r="AS1119">
            <v>0</v>
          </cell>
          <cell r="AT1119">
            <v>0</v>
          </cell>
        </row>
        <row r="1120">
          <cell r="B1120">
            <v>970</v>
          </cell>
          <cell r="C1120" t="str">
            <v>C49SZX20200201JY</v>
          </cell>
          <cell r="D1120" t="str">
            <v>英拓邦</v>
          </cell>
          <cell r="E1120" t="str">
            <v>YSM20R-2</v>
          </cell>
          <cell r="F1120" t="str">
            <v>#55803</v>
          </cell>
          <cell r="G1120" t="e">
            <v>#REF!</v>
          </cell>
          <cell r="H1120" t="e">
            <v>#REF!</v>
          </cell>
          <cell r="I1120" t="str">
            <v>R-&gt;L</v>
          </cell>
          <cell r="J1120" t="str">
            <v>No</v>
          </cell>
          <cell r="K1120">
            <v>1</v>
          </cell>
          <cell r="L1120" t="e">
            <v>#N/A</v>
          </cell>
          <cell r="M1120" t="e">
            <v>#N/A</v>
          </cell>
          <cell r="R1120" t="str">
            <v>No</v>
          </cell>
          <cell r="S1120" t="str">
            <v>C49</v>
          </cell>
          <cell r="T1120" t="str">
            <v>SOUTH</v>
          </cell>
          <cell r="U1120" t="str">
            <v>深圳</v>
          </cell>
          <cell r="V1120" t="str">
            <v>SZ 深圳</v>
          </cell>
          <cell r="W1120" t="str">
            <v>JY</v>
          </cell>
          <cell r="X1120" t="str">
            <v>JPY</v>
          </cell>
          <cell r="Y1120">
            <v>13450000</v>
          </cell>
          <cell r="Z1120">
            <v>1</v>
          </cell>
          <cell r="AA1120">
            <v>13450000</v>
          </cell>
          <cell r="AB1120">
            <v>7.51E-2</v>
          </cell>
          <cell r="AC1120">
            <v>1010095</v>
          </cell>
          <cell r="AD1120">
            <v>121211.4</v>
          </cell>
          <cell r="AE1120">
            <v>0.12</v>
          </cell>
          <cell r="AF1120">
            <v>44154</v>
          </cell>
          <cell r="AG1120" t="str">
            <v>CIF HK</v>
          </cell>
          <cell r="AI1120"/>
          <cell r="AJ1120"/>
          <cell r="AK1120">
            <v>0.1</v>
          </cell>
          <cell r="AL1120">
            <v>1345000</v>
          </cell>
          <cell r="AN1120" t="str">
            <v>Yes</v>
          </cell>
          <cell r="AO1120">
            <v>0.9</v>
          </cell>
          <cell r="AP1120">
            <v>12105000</v>
          </cell>
          <cell r="AS1120">
            <v>0</v>
          </cell>
          <cell r="AT1120">
            <v>0</v>
          </cell>
        </row>
        <row r="1121">
          <cell r="B1121">
            <v>971</v>
          </cell>
          <cell r="C1121" t="str">
            <v>C49SZX20200201JY</v>
          </cell>
          <cell r="D1121" t="str">
            <v>英拓邦</v>
          </cell>
          <cell r="E1121" t="str">
            <v>YSM20R-2</v>
          </cell>
          <cell r="F1121" t="str">
            <v>#55803</v>
          </cell>
          <cell r="G1121" t="e">
            <v>#REF!</v>
          </cell>
          <cell r="H1121" t="e">
            <v>#REF!</v>
          </cell>
          <cell r="I1121" t="str">
            <v>R-&gt;L</v>
          </cell>
          <cell r="J1121" t="str">
            <v>No</v>
          </cell>
          <cell r="K1121">
            <v>1</v>
          </cell>
          <cell r="L1121" t="e">
            <v>#N/A</v>
          </cell>
          <cell r="M1121" t="e">
            <v>#N/A</v>
          </cell>
          <cell r="R1121" t="str">
            <v>No</v>
          </cell>
          <cell r="S1121" t="str">
            <v>C49</v>
          </cell>
          <cell r="T1121" t="str">
            <v>SOUTH</v>
          </cell>
          <cell r="U1121" t="str">
            <v>深圳</v>
          </cell>
          <cell r="V1121" t="str">
            <v>SZ 深圳</v>
          </cell>
          <cell r="W1121" t="str">
            <v>JY</v>
          </cell>
          <cell r="X1121" t="str">
            <v>JPY</v>
          </cell>
          <cell r="Y1121">
            <v>13450000</v>
          </cell>
          <cell r="Z1121">
            <v>1</v>
          </cell>
          <cell r="AA1121">
            <v>13450000</v>
          </cell>
          <cell r="AB1121">
            <v>7.51E-2</v>
          </cell>
          <cell r="AC1121">
            <v>1010095</v>
          </cell>
          <cell r="AD1121">
            <v>121211.4</v>
          </cell>
          <cell r="AE1121">
            <v>0.12</v>
          </cell>
          <cell r="AF1121">
            <v>44154</v>
          </cell>
          <cell r="AG1121" t="str">
            <v>CIF HK</v>
          </cell>
          <cell r="AI1121"/>
          <cell r="AJ1121"/>
          <cell r="AK1121">
            <v>0.1</v>
          </cell>
          <cell r="AL1121">
            <v>1345000</v>
          </cell>
          <cell r="AN1121" t="str">
            <v>Yes</v>
          </cell>
          <cell r="AO1121">
            <v>0.9</v>
          </cell>
          <cell r="AP1121">
            <v>12105000</v>
          </cell>
          <cell r="AS1121">
            <v>0</v>
          </cell>
          <cell r="AT1121">
            <v>0</v>
          </cell>
        </row>
        <row r="1122">
          <cell r="B1122">
            <v>972</v>
          </cell>
          <cell r="C1122" t="str">
            <v>C49SZX20200201JY</v>
          </cell>
          <cell r="D1122" t="str">
            <v>英拓邦</v>
          </cell>
          <cell r="E1122" t="str">
            <v>YSM10</v>
          </cell>
          <cell r="F1122" t="str">
            <v>#55803</v>
          </cell>
          <cell r="G1122" t="e">
            <v>#REF!</v>
          </cell>
          <cell r="H1122" t="e">
            <v>#REF!</v>
          </cell>
          <cell r="I1122" t="str">
            <v>L-&gt;R</v>
          </cell>
          <cell r="J1122" t="str">
            <v>MVC</v>
          </cell>
          <cell r="K1122">
            <v>1</v>
          </cell>
          <cell r="L1122" t="e">
            <v>#N/A</v>
          </cell>
          <cell r="M1122" t="e">
            <v>#N/A</v>
          </cell>
          <cell r="R1122" t="str">
            <v>No</v>
          </cell>
          <cell r="S1122" t="str">
            <v>C49</v>
          </cell>
          <cell r="T1122" t="str">
            <v>SOUTH</v>
          </cell>
          <cell r="U1122" t="str">
            <v>深圳</v>
          </cell>
          <cell r="V1122" t="str">
            <v>SZ 深圳</v>
          </cell>
          <cell r="W1122" t="str">
            <v>JY</v>
          </cell>
          <cell r="X1122" t="str">
            <v>JPY</v>
          </cell>
          <cell r="Y1122">
            <v>9000000</v>
          </cell>
          <cell r="Z1122">
            <v>1</v>
          </cell>
          <cell r="AA1122">
            <v>9000000</v>
          </cell>
          <cell r="AB1122">
            <v>7.51E-2</v>
          </cell>
          <cell r="AC1122">
            <v>675900</v>
          </cell>
          <cell r="AD1122">
            <v>81108</v>
          </cell>
          <cell r="AE1122">
            <v>0.12</v>
          </cell>
          <cell r="AF1122">
            <v>44154</v>
          </cell>
          <cell r="AG1122" t="str">
            <v>CIF HK</v>
          </cell>
          <cell r="AI1122"/>
          <cell r="AJ1122"/>
          <cell r="AK1122">
            <v>0.1</v>
          </cell>
          <cell r="AL1122">
            <v>900000</v>
          </cell>
          <cell r="AN1122" t="str">
            <v>Yes</v>
          </cell>
          <cell r="AO1122">
            <v>0.9</v>
          </cell>
          <cell r="AP1122">
            <v>8100000</v>
          </cell>
          <cell r="AS1122">
            <v>0</v>
          </cell>
          <cell r="AT1122">
            <v>0</v>
          </cell>
        </row>
        <row r="1123">
          <cell r="B1123">
            <v>973</v>
          </cell>
          <cell r="C1123" t="str">
            <v>C49SZX20200201JY</v>
          </cell>
          <cell r="D1123" t="str">
            <v>英拓邦</v>
          </cell>
          <cell r="E1123" t="str">
            <v>YSM10</v>
          </cell>
          <cell r="F1123" t="str">
            <v>#55803</v>
          </cell>
          <cell r="G1123" t="e">
            <v>#REF!</v>
          </cell>
          <cell r="H1123" t="e">
            <v>#REF!</v>
          </cell>
          <cell r="I1123" t="str">
            <v>R-&gt;L</v>
          </cell>
          <cell r="J1123" t="str">
            <v>MVC</v>
          </cell>
          <cell r="K1123">
            <v>1</v>
          </cell>
          <cell r="L1123" t="e">
            <v>#N/A</v>
          </cell>
          <cell r="M1123" t="e">
            <v>#N/A</v>
          </cell>
          <cell r="R1123" t="str">
            <v>No</v>
          </cell>
          <cell r="S1123" t="str">
            <v>C49</v>
          </cell>
          <cell r="T1123" t="str">
            <v>SOUTH</v>
          </cell>
          <cell r="U1123" t="str">
            <v>深圳</v>
          </cell>
          <cell r="V1123" t="str">
            <v>SZ 深圳</v>
          </cell>
          <cell r="W1123" t="str">
            <v>JY</v>
          </cell>
          <cell r="X1123" t="str">
            <v>JPY</v>
          </cell>
          <cell r="Y1123">
            <v>9000000</v>
          </cell>
          <cell r="Z1123">
            <v>1</v>
          </cell>
          <cell r="AA1123">
            <v>9000000</v>
          </cell>
          <cell r="AB1123">
            <v>7.51E-2</v>
          </cell>
          <cell r="AC1123">
            <v>675900</v>
          </cell>
          <cell r="AD1123">
            <v>81108</v>
          </cell>
          <cell r="AE1123">
            <v>0.12</v>
          </cell>
          <cell r="AF1123">
            <v>44154</v>
          </cell>
          <cell r="AG1123" t="str">
            <v>CIF HK</v>
          </cell>
          <cell r="AI1123"/>
          <cell r="AJ1123"/>
          <cell r="AK1123">
            <v>0.1</v>
          </cell>
          <cell r="AL1123">
            <v>900000</v>
          </cell>
          <cell r="AN1123" t="str">
            <v>Yes</v>
          </cell>
          <cell r="AO1123">
            <v>0.9</v>
          </cell>
          <cell r="AP1123">
            <v>8100000</v>
          </cell>
          <cell r="AS1123">
            <v>0</v>
          </cell>
          <cell r="AT1123">
            <v>0</v>
          </cell>
        </row>
        <row r="1124">
          <cell r="B1124">
            <v>974</v>
          </cell>
          <cell r="C1124" t="str">
            <v>C49SZX20200201JY</v>
          </cell>
          <cell r="D1124" t="str">
            <v>英拓邦</v>
          </cell>
          <cell r="E1124" t="str">
            <v>YSM10</v>
          </cell>
          <cell r="F1124" t="str">
            <v>#55803</v>
          </cell>
          <cell r="G1124" t="e">
            <v>#REF!</v>
          </cell>
          <cell r="H1124" t="e">
            <v>#REF!</v>
          </cell>
          <cell r="I1124" t="str">
            <v>R-&gt;L</v>
          </cell>
          <cell r="J1124" t="str">
            <v>MVC</v>
          </cell>
          <cell r="K1124">
            <v>1</v>
          </cell>
          <cell r="L1124" t="e">
            <v>#N/A</v>
          </cell>
          <cell r="M1124" t="e">
            <v>#N/A</v>
          </cell>
          <cell r="R1124" t="str">
            <v>No</v>
          </cell>
          <cell r="S1124" t="str">
            <v>C49</v>
          </cell>
          <cell r="T1124" t="str">
            <v>SOUTH</v>
          </cell>
          <cell r="U1124" t="str">
            <v>深圳</v>
          </cell>
          <cell r="V1124" t="str">
            <v>SZ 深圳</v>
          </cell>
          <cell r="W1124" t="str">
            <v>JY</v>
          </cell>
          <cell r="X1124" t="str">
            <v>JPY</v>
          </cell>
          <cell r="Y1124">
            <v>9000000</v>
          </cell>
          <cell r="Z1124">
            <v>1</v>
          </cell>
          <cell r="AA1124">
            <v>9000000</v>
          </cell>
          <cell r="AB1124">
            <v>7.51E-2</v>
          </cell>
          <cell r="AC1124">
            <v>675900</v>
          </cell>
          <cell r="AD1124">
            <v>81108</v>
          </cell>
          <cell r="AE1124">
            <v>0.12</v>
          </cell>
          <cell r="AF1124">
            <v>44154</v>
          </cell>
          <cell r="AG1124" t="str">
            <v>CIF HK</v>
          </cell>
          <cell r="AI1124"/>
          <cell r="AJ1124"/>
          <cell r="AK1124">
            <v>0.1</v>
          </cell>
          <cell r="AL1124">
            <v>900000</v>
          </cell>
          <cell r="AN1124" t="str">
            <v>Yes</v>
          </cell>
          <cell r="AO1124">
            <v>0.9</v>
          </cell>
          <cell r="AP1124">
            <v>8100000</v>
          </cell>
          <cell r="AS1124">
            <v>0</v>
          </cell>
          <cell r="AT1124">
            <v>0</v>
          </cell>
        </row>
        <row r="1125">
          <cell r="B1125">
            <v>975</v>
          </cell>
          <cell r="C1125" t="str">
            <v>C49SZX20200201JY</v>
          </cell>
          <cell r="D1125" t="str">
            <v>英拓邦</v>
          </cell>
          <cell r="E1125" t="str">
            <v>YSM10</v>
          </cell>
          <cell r="F1125" t="str">
            <v>#55803</v>
          </cell>
          <cell r="G1125" t="e">
            <v>#REF!</v>
          </cell>
          <cell r="H1125" t="e">
            <v>#REF!</v>
          </cell>
          <cell r="I1125" t="str">
            <v>R-&gt;L</v>
          </cell>
          <cell r="J1125" t="str">
            <v>MVC</v>
          </cell>
          <cell r="K1125">
            <v>1</v>
          </cell>
          <cell r="L1125" t="e">
            <v>#N/A</v>
          </cell>
          <cell r="M1125" t="e">
            <v>#N/A</v>
          </cell>
          <cell r="R1125" t="str">
            <v>No</v>
          </cell>
          <cell r="S1125" t="str">
            <v>C49</v>
          </cell>
          <cell r="T1125" t="str">
            <v>SOUTH</v>
          </cell>
          <cell r="U1125" t="str">
            <v>深圳</v>
          </cell>
          <cell r="V1125" t="str">
            <v>SZ 深圳</v>
          </cell>
          <cell r="W1125" t="str">
            <v>JY</v>
          </cell>
          <cell r="X1125" t="str">
            <v>JPY</v>
          </cell>
          <cell r="Y1125">
            <v>9000000</v>
          </cell>
          <cell r="Z1125">
            <v>1</v>
          </cell>
          <cell r="AA1125">
            <v>9000000</v>
          </cell>
          <cell r="AB1125">
            <v>7.51E-2</v>
          </cell>
          <cell r="AC1125">
            <v>675900</v>
          </cell>
          <cell r="AD1125">
            <v>81108</v>
          </cell>
          <cell r="AE1125">
            <v>0.12</v>
          </cell>
          <cell r="AF1125">
            <v>44154</v>
          </cell>
          <cell r="AG1125" t="str">
            <v>CIF HK</v>
          </cell>
          <cell r="AI1125"/>
          <cell r="AJ1125"/>
          <cell r="AK1125">
            <v>0.1</v>
          </cell>
          <cell r="AL1125">
            <v>900000</v>
          </cell>
          <cell r="AN1125" t="str">
            <v>Yes</v>
          </cell>
          <cell r="AO1125">
            <v>0.9</v>
          </cell>
          <cell r="AP1125">
            <v>8100000</v>
          </cell>
          <cell r="AS1125">
            <v>0</v>
          </cell>
          <cell r="AT1125">
            <v>0</v>
          </cell>
        </row>
        <row r="1126">
          <cell r="B1126">
            <v>976</v>
          </cell>
          <cell r="C1126" t="str">
            <v>C49SZX20200226SS</v>
          </cell>
          <cell r="D1126" t="str">
            <v>钧溢电子</v>
          </cell>
          <cell r="E1126" t="str">
            <v>YSM10</v>
          </cell>
          <cell r="F1126" t="str">
            <v>#04111</v>
          </cell>
          <cell r="G1126" t="e">
            <v>#REF!</v>
          </cell>
          <cell r="H1126" t="e">
            <v>#REF!</v>
          </cell>
          <cell r="I1126" t="str">
            <v>L-&gt;R</v>
          </cell>
          <cell r="J1126" t="str">
            <v>No</v>
          </cell>
          <cell r="K1126">
            <v>1</v>
          </cell>
          <cell r="L1126" t="e">
            <v>#N/A</v>
          </cell>
          <cell r="M1126" t="e">
            <v>#N/A</v>
          </cell>
          <cell r="N1126"/>
          <cell r="O1126"/>
          <cell r="P1126"/>
          <cell r="Q1126"/>
          <cell r="R1126" t="str">
            <v>No</v>
          </cell>
          <cell r="S1126" t="str">
            <v>C49</v>
          </cell>
          <cell r="T1126" t="str">
            <v>SOUTH</v>
          </cell>
          <cell r="U1126" t="str">
            <v>深圳</v>
          </cell>
          <cell r="V1126" t="str">
            <v>SZ 深圳</v>
          </cell>
          <cell r="W1126" t="str">
            <v>SS</v>
          </cell>
          <cell r="X1126" t="str">
            <v>JPY</v>
          </cell>
          <cell r="Y1126">
            <v>7340000</v>
          </cell>
          <cell r="Z1126">
            <v>1</v>
          </cell>
          <cell r="AA1126">
            <v>7340000</v>
          </cell>
          <cell r="AB1126">
            <v>7.51E-2</v>
          </cell>
          <cell r="AC1126">
            <v>551234</v>
          </cell>
          <cell r="AD1126">
            <v>66148.08</v>
          </cell>
          <cell r="AE1126">
            <v>0.12</v>
          </cell>
          <cell r="AF1126">
            <v>44155</v>
          </cell>
          <cell r="AG1126" t="str">
            <v>DAP SZ</v>
          </cell>
          <cell r="AI1126"/>
          <cell r="AJ1126"/>
          <cell r="AK1126">
            <v>0.1</v>
          </cell>
          <cell r="AL1126">
            <v>734000</v>
          </cell>
          <cell r="AM1126"/>
          <cell r="AN1126" t="str">
            <v>No</v>
          </cell>
          <cell r="AO1126">
            <v>0.9</v>
          </cell>
          <cell r="AP1126">
            <v>6606000</v>
          </cell>
          <cell r="AQ1126"/>
          <cell r="AR1126"/>
          <cell r="AS1126">
            <v>0</v>
          </cell>
          <cell r="AT1126">
            <v>0</v>
          </cell>
          <cell r="AV1126"/>
          <cell r="AX1126" t="str">
            <v>Cancel</v>
          </cell>
          <cell r="AY1126"/>
          <cell r="AZ1126"/>
          <cell r="BA1126" t="str">
            <v>Cancel</v>
          </cell>
          <cell r="BB1126" t="str">
            <v>2022-3-25Ken邮件通知</v>
          </cell>
        </row>
        <row r="1127">
          <cell r="B1127">
            <v>977</v>
          </cell>
          <cell r="C1127" t="str">
            <v>C49SZX20200227MZ</v>
          </cell>
          <cell r="D1127" t="str">
            <v>程氏松哥</v>
          </cell>
          <cell r="E1127" t="str">
            <v>YSM10</v>
          </cell>
          <cell r="G1127" t="e">
            <v>#REF!</v>
          </cell>
          <cell r="H1127" t="e">
            <v>#REF!</v>
          </cell>
          <cell r="I1127" t="str">
            <v>L-&gt;R</v>
          </cell>
          <cell r="J1127" t="str">
            <v>No</v>
          </cell>
          <cell r="K1127">
            <v>1</v>
          </cell>
          <cell r="L1127">
            <v>110131</v>
          </cell>
          <cell r="M1127" t="str">
            <v>APR 21</v>
          </cell>
          <cell r="O1127">
            <v>11116518</v>
          </cell>
          <cell r="P1127">
            <v>8000000</v>
          </cell>
          <cell r="Q1127">
            <v>44228</v>
          </cell>
          <cell r="R1127" t="str">
            <v>Yes</v>
          </cell>
          <cell r="S1127" t="str">
            <v>C49</v>
          </cell>
          <cell r="T1127" t="str">
            <v>SOUTH</v>
          </cell>
          <cell r="U1127" t="str">
            <v>深圳</v>
          </cell>
          <cell r="V1127" t="str">
            <v>SZ 深圳</v>
          </cell>
          <cell r="W1127" t="str">
            <v>MZ</v>
          </cell>
          <cell r="X1127" t="str">
            <v>JPY</v>
          </cell>
          <cell r="Y1127">
            <v>8000000</v>
          </cell>
          <cell r="Z1127">
            <v>1</v>
          </cell>
          <cell r="AA1127">
            <v>8000000</v>
          </cell>
          <cell r="AB1127">
            <v>7.51E-2</v>
          </cell>
          <cell r="AC1127">
            <v>600800</v>
          </cell>
          <cell r="AD1127">
            <v>72096</v>
          </cell>
          <cell r="AE1127">
            <v>0.12</v>
          </cell>
          <cell r="AF1127">
            <v>44158</v>
          </cell>
          <cell r="AG1127" t="str">
            <v>DAP SZ</v>
          </cell>
          <cell r="AK1127">
            <v>0.2</v>
          </cell>
          <cell r="AL1127">
            <v>1600000</v>
          </cell>
          <cell r="AM1127">
            <v>44155</v>
          </cell>
          <cell r="AN1127" t="str">
            <v>Yes</v>
          </cell>
          <cell r="AO1127">
            <v>0.8</v>
          </cell>
          <cell r="AP1127">
            <v>6400000</v>
          </cell>
          <cell r="AQ1127">
            <v>44252</v>
          </cell>
          <cell r="AR1127">
            <v>44251</v>
          </cell>
          <cell r="AS1127">
            <v>0</v>
          </cell>
          <cell r="AT1127">
            <v>0</v>
          </cell>
          <cell r="AX1127" t="str">
            <v>Yes</v>
          </cell>
          <cell r="AZ1127" t="str">
            <v>Y</v>
          </cell>
          <cell r="BA1127" t="str">
            <v>Yes</v>
          </cell>
        </row>
        <row r="1128">
          <cell r="B1128">
            <v>978</v>
          </cell>
          <cell r="C1128" t="str">
            <v>C49SZX20200229JY</v>
          </cell>
          <cell r="D1128" t="str">
            <v>豫龙辉</v>
          </cell>
          <cell r="E1128" t="str">
            <v>YSM20R-2</v>
          </cell>
          <cell r="F1128" t="str">
            <v>#04819</v>
          </cell>
          <cell r="G1128" t="e">
            <v>#REF!</v>
          </cell>
          <cell r="H1128" t="e">
            <v>#REF!</v>
          </cell>
          <cell r="I1128" t="str">
            <v>R-&gt;L</v>
          </cell>
          <cell r="J1128" t="str">
            <v>No</v>
          </cell>
          <cell r="K1128">
            <v>1</v>
          </cell>
          <cell r="L1128">
            <v>110107</v>
          </cell>
          <cell r="M1128" t="str">
            <v>FEB 21</v>
          </cell>
          <cell r="N1128">
            <v>44249</v>
          </cell>
          <cell r="O1128">
            <v>11116510</v>
          </cell>
          <cell r="P1128">
            <v>12000000</v>
          </cell>
          <cell r="Q1128">
            <v>44228</v>
          </cell>
          <cell r="R1128" t="str">
            <v>No</v>
          </cell>
          <cell r="S1128" t="str">
            <v>C49</v>
          </cell>
          <cell r="T1128" t="str">
            <v>SOUTH</v>
          </cell>
          <cell r="U1128" t="str">
            <v>深圳</v>
          </cell>
          <cell r="V1128" t="str">
            <v>SZ 深圳</v>
          </cell>
          <cell r="W1128" t="str">
            <v>JY</v>
          </cell>
          <cell r="X1128" t="str">
            <v>JPY</v>
          </cell>
          <cell r="Y1128">
            <v>12000000</v>
          </cell>
          <cell r="Z1128">
            <v>1</v>
          </cell>
          <cell r="AA1128">
            <v>12000000</v>
          </cell>
          <cell r="AB1128">
            <v>7.51E-2</v>
          </cell>
          <cell r="AC1128">
            <v>901200</v>
          </cell>
          <cell r="AD1128">
            <v>108144</v>
          </cell>
          <cell r="AE1128">
            <v>0.12</v>
          </cell>
          <cell r="AF1128">
            <v>44161</v>
          </cell>
          <cell r="AG1128" t="str">
            <v>DAP SZ</v>
          </cell>
          <cell r="AK1128">
            <v>0.1</v>
          </cell>
          <cell r="AL1128">
            <v>1200000</v>
          </cell>
          <cell r="AM1128">
            <v>44166</v>
          </cell>
          <cell r="AN1128" t="str">
            <v>Yes</v>
          </cell>
          <cell r="AO1128">
            <v>0.9</v>
          </cell>
          <cell r="AP1128">
            <v>10800000</v>
          </cell>
          <cell r="AQ1128">
            <v>44231</v>
          </cell>
          <cell r="AR1128">
            <v>44231</v>
          </cell>
          <cell r="AS1128">
            <v>0</v>
          </cell>
          <cell r="AT1128">
            <v>0</v>
          </cell>
          <cell r="AX1128" t="str">
            <v>Yes</v>
          </cell>
          <cell r="AZ1128" t="str">
            <v>Yes</v>
          </cell>
        </row>
        <row r="1129">
          <cell r="B1129">
            <v>979</v>
          </cell>
          <cell r="C1129" t="str">
            <v>C49SZX20200228JZ</v>
          </cell>
          <cell r="D1129" t="str">
            <v>新明海</v>
          </cell>
          <cell r="E1129" t="str">
            <v>YSM20R-2</v>
          </cell>
          <cell r="F1129" t="str">
            <v>#59648</v>
          </cell>
          <cell r="G1129" t="e">
            <v>#REF!</v>
          </cell>
          <cell r="H1129" t="e">
            <v>#REF!</v>
          </cell>
          <cell r="I1129" t="str">
            <v>L-&gt;R</v>
          </cell>
          <cell r="J1129" t="str">
            <v>No</v>
          </cell>
          <cell r="K1129">
            <v>1</v>
          </cell>
          <cell r="L1129">
            <v>110176</v>
          </cell>
          <cell r="M1129" t="str">
            <v>MAR 21</v>
          </cell>
          <cell r="N1129">
            <v>44265</v>
          </cell>
          <cell r="O1129">
            <v>11116528</v>
          </cell>
          <cell r="P1129">
            <v>12800000</v>
          </cell>
          <cell r="Q1129">
            <v>44279</v>
          </cell>
          <cell r="R1129" t="str">
            <v>No</v>
          </cell>
          <cell r="S1129" t="str">
            <v>C49</v>
          </cell>
          <cell r="T1129" t="str">
            <v>SOUTH</v>
          </cell>
          <cell r="U1129" t="str">
            <v>深圳</v>
          </cell>
          <cell r="V1129" t="str">
            <v>SZ 深圳</v>
          </cell>
          <cell r="W1129" t="str">
            <v>JZ</v>
          </cell>
          <cell r="X1129" t="str">
            <v>JPY</v>
          </cell>
          <cell r="Y1129">
            <v>12800000</v>
          </cell>
          <cell r="Z1129">
            <v>1</v>
          </cell>
          <cell r="AA1129">
            <v>12800000</v>
          </cell>
          <cell r="AB1129">
            <v>7.51E-2</v>
          </cell>
          <cell r="AC1129">
            <v>961280</v>
          </cell>
          <cell r="AD1129">
            <v>115353.59999999999</v>
          </cell>
          <cell r="AE1129">
            <v>0.12</v>
          </cell>
          <cell r="AF1129">
            <v>44161</v>
          </cell>
          <cell r="AG1129" t="str">
            <v>DAP HZ</v>
          </cell>
          <cell r="AK1129">
            <v>0.05</v>
          </cell>
          <cell r="AL1129">
            <v>640000</v>
          </cell>
          <cell r="AM1129">
            <v>44166</v>
          </cell>
          <cell r="AN1129" t="str">
            <v>Yes</v>
          </cell>
          <cell r="AO1129">
            <v>0.95</v>
          </cell>
          <cell r="AP1129">
            <v>12160000</v>
          </cell>
          <cell r="AQ1129">
            <v>44260</v>
          </cell>
          <cell r="AR1129">
            <v>44260</v>
          </cell>
          <cell r="AS1129">
            <v>0</v>
          </cell>
          <cell r="AT1129">
            <v>0</v>
          </cell>
          <cell r="AX1129" t="str">
            <v>Yes</v>
          </cell>
          <cell r="AZ1129" t="str">
            <v>Yes</v>
          </cell>
          <cell r="BA1129" t="str">
            <v>Yes</v>
          </cell>
        </row>
        <row r="1130">
          <cell r="B1130">
            <v>980</v>
          </cell>
          <cell r="C1130" t="str">
            <v>C49SZX20200228JZ</v>
          </cell>
          <cell r="D1130" t="str">
            <v>新明海</v>
          </cell>
          <cell r="E1130" t="str">
            <v>YSM20R-2</v>
          </cell>
          <cell r="F1130" t="str">
            <v>#59648</v>
          </cell>
          <cell r="G1130" t="e">
            <v>#REF!</v>
          </cell>
          <cell r="H1130" t="e">
            <v>#REF!</v>
          </cell>
          <cell r="I1130" t="str">
            <v>R-&gt;L</v>
          </cell>
          <cell r="J1130" t="str">
            <v>MVC</v>
          </cell>
          <cell r="K1130">
            <v>1</v>
          </cell>
          <cell r="L1130">
            <v>110328</v>
          </cell>
          <cell r="M1130" t="str">
            <v>MAR 21</v>
          </cell>
          <cell r="N1130">
            <v>44265</v>
          </cell>
          <cell r="O1130">
            <v>11116528</v>
          </cell>
          <cell r="P1130">
            <v>12800000</v>
          </cell>
          <cell r="Q1130">
            <v>44279</v>
          </cell>
          <cell r="R1130" t="str">
            <v>No</v>
          </cell>
          <cell r="S1130" t="str">
            <v>C49</v>
          </cell>
          <cell r="T1130" t="str">
            <v>SOUTH</v>
          </cell>
          <cell r="U1130" t="str">
            <v>深圳</v>
          </cell>
          <cell r="V1130" t="str">
            <v>SZ 深圳</v>
          </cell>
          <cell r="W1130" t="str">
            <v>JZ</v>
          </cell>
          <cell r="X1130" t="str">
            <v>JPY</v>
          </cell>
          <cell r="Y1130">
            <v>12800000</v>
          </cell>
          <cell r="Z1130">
            <v>1</v>
          </cell>
          <cell r="AA1130">
            <v>12800000</v>
          </cell>
          <cell r="AB1130">
            <v>7.51E-2</v>
          </cell>
          <cell r="AC1130">
            <v>961280</v>
          </cell>
          <cell r="AD1130">
            <v>115353.59999999999</v>
          </cell>
          <cell r="AE1130">
            <v>0.12</v>
          </cell>
          <cell r="AF1130">
            <v>44161</v>
          </cell>
          <cell r="AG1130" t="str">
            <v>DAP HZ</v>
          </cell>
          <cell r="AK1130">
            <v>0.05</v>
          </cell>
          <cell r="AL1130">
            <v>640000</v>
          </cell>
          <cell r="AM1130">
            <v>44167</v>
          </cell>
          <cell r="AN1130" t="str">
            <v>Yes</v>
          </cell>
          <cell r="AO1130">
            <v>0.95</v>
          </cell>
          <cell r="AP1130">
            <v>12160000</v>
          </cell>
          <cell r="AQ1130">
            <v>44260</v>
          </cell>
          <cell r="AR1130">
            <v>44260</v>
          </cell>
          <cell r="AS1130">
            <v>0</v>
          </cell>
          <cell r="AT1130">
            <v>0</v>
          </cell>
          <cell r="AX1130" t="str">
            <v>Yes</v>
          </cell>
          <cell r="AZ1130" t="str">
            <v>Yes</v>
          </cell>
          <cell r="BA1130" t="str">
            <v>Yes</v>
          </cell>
        </row>
        <row r="1131">
          <cell r="B1131">
            <v>981</v>
          </cell>
          <cell r="C1131" t="str">
            <v>C49SZX20200228JZ</v>
          </cell>
          <cell r="D1131" t="str">
            <v>新明海</v>
          </cell>
          <cell r="E1131" t="str">
            <v>YSM10</v>
          </cell>
          <cell r="F1131" t="str">
            <v>#59648</v>
          </cell>
          <cell r="G1131" t="e">
            <v>#REF!</v>
          </cell>
          <cell r="H1131" t="e">
            <v>#REF!</v>
          </cell>
          <cell r="I1131" t="str">
            <v>R-&gt;L</v>
          </cell>
          <cell r="J1131" t="str">
            <v>MVC</v>
          </cell>
          <cell r="K1131">
            <v>1</v>
          </cell>
          <cell r="L1131">
            <v>110151</v>
          </cell>
          <cell r="M1131" t="str">
            <v>MAR 21</v>
          </cell>
          <cell r="N1131">
            <v>44265</v>
          </cell>
          <cell r="O1131">
            <v>11116528</v>
          </cell>
          <cell r="P1131">
            <v>9000000</v>
          </cell>
          <cell r="Q1131">
            <v>44279</v>
          </cell>
          <cell r="R1131" t="str">
            <v>No</v>
          </cell>
          <cell r="S1131" t="str">
            <v>C49</v>
          </cell>
          <cell r="T1131" t="str">
            <v>SOUTH</v>
          </cell>
          <cell r="U1131" t="str">
            <v>深圳</v>
          </cell>
          <cell r="V1131" t="str">
            <v>SZ 深圳</v>
          </cell>
          <cell r="W1131" t="str">
            <v>JZ</v>
          </cell>
          <cell r="X1131" t="str">
            <v>JPY</v>
          </cell>
          <cell r="Y1131">
            <v>9000000</v>
          </cell>
          <cell r="Z1131">
            <v>1</v>
          </cell>
          <cell r="AA1131">
            <v>9000000</v>
          </cell>
          <cell r="AB1131">
            <v>7.51E-2</v>
          </cell>
          <cell r="AC1131">
            <v>675900</v>
          </cell>
          <cell r="AD1131">
            <v>81108</v>
          </cell>
          <cell r="AE1131">
            <v>0.12</v>
          </cell>
          <cell r="AF1131">
            <v>44161</v>
          </cell>
          <cell r="AG1131" t="str">
            <v>DAP HZ</v>
          </cell>
          <cell r="AK1131">
            <v>0.05</v>
          </cell>
          <cell r="AL1131">
            <v>450000</v>
          </cell>
          <cell r="AM1131">
            <v>44168</v>
          </cell>
          <cell r="AN1131" t="str">
            <v>Yes</v>
          </cell>
          <cell r="AO1131">
            <v>0.95</v>
          </cell>
          <cell r="AP1131">
            <v>8550000</v>
          </cell>
          <cell r="AQ1131">
            <v>44260</v>
          </cell>
          <cell r="AR1131">
            <v>44260</v>
          </cell>
          <cell r="AS1131">
            <v>0</v>
          </cell>
          <cell r="AT1131">
            <v>0</v>
          </cell>
          <cell r="AX1131" t="str">
            <v>Yes</v>
          </cell>
          <cell r="AZ1131" t="str">
            <v>Yes</v>
          </cell>
          <cell r="BA1131" t="str">
            <v>Yes</v>
          </cell>
        </row>
        <row r="1132">
          <cell r="B1132">
            <v>982</v>
          </cell>
          <cell r="C1132" t="str">
            <v>C49SZX20200218JZ</v>
          </cell>
          <cell r="D1132" t="str">
            <v>深圳健科</v>
          </cell>
          <cell r="E1132" t="str">
            <v>YSM20R-2</v>
          </cell>
          <cell r="F1132" t="str">
            <v>#13903</v>
          </cell>
          <cell r="G1132" t="e">
            <v>#REF!</v>
          </cell>
          <cell r="H1132" t="e">
            <v>#REF!</v>
          </cell>
          <cell r="I1132" t="str">
            <v>R-&gt;L</v>
          </cell>
          <cell r="J1132" t="str">
            <v>No</v>
          </cell>
          <cell r="K1132">
            <v>1</v>
          </cell>
          <cell r="L1132">
            <v>110176</v>
          </cell>
          <cell r="M1132" t="str">
            <v>MAR 21</v>
          </cell>
          <cell r="N1132">
            <v>44263</v>
          </cell>
          <cell r="O1132">
            <v>11116529</v>
          </cell>
          <cell r="P1132">
            <v>13500000</v>
          </cell>
          <cell r="Q1132">
            <v>44257</v>
          </cell>
          <cell r="R1132" t="str">
            <v>No</v>
          </cell>
          <cell r="S1132" t="str">
            <v>C49</v>
          </cell>
          <cell r="T1132" t="str">
            <v>SOUTH</v>
          </cell>
          <cell r="U1132" t="str">
            <v>深圳</v>
          </cell>
          <cell r="V1132" t="str">
            <v>SZ 深圳</v>
          </cell>
          <cell r="W1132" t="str">
            <v>JZ</v>
          </cell>
          <cell r="X1132" t="str">
            <v>JPY</v>
          </cell>
          <cell r="Y1132">
            <v>13500000</v>
          </cell>
          <cell r="Z1132">
            <v>1</v>
          </cell>
          <cell r="AA1132">
            <v>13500000</v>
          </cell>
          <cell r="AB1132">
            <v>7.51E-2</v>
          </cell>
          <cell r="AC1132">
            <v>1013850</v>
          </cell>
          <cell r="AD1132">
            <v>121662</v>
          </cell>
          <cell r="AE1132">
            <v>0.12</v>
          </cell>
          <cell r="AF1132">
            <v>44162</v>
          </cell>
          <cell r="AG1132" t="str">
            <v>DAP SZ</v>
          </cell>
          <cell r="AK1132">
            <v>0.3</v>
          </cell>
          <cell r="AL1132">
            <v>4050000</v>
          </cell>
          <cell r="AM1132">
            <v>44169</v>
          </cell>
          <cell r="AN1132" t="str">
            <v>Yes</v>
          </cell>
          <cell r="AO1132">
            <v>0.7</v>
          </cell>
          <cell r="AP1132">
            <v>9450000</v>
          </cell>
          <cell r="AQ1132">
            <v>44256</v>
          </cell>
          <cell r="AR1132">
            <v>44256</v>
          </cell>
          <cell r="AS1132">
            <v>0.1</v>
          </cell>
          <cell r="AT1132">
            <v>1350000</v>
          </cell>
          <cell r="AU1132">
            <v>44285</v>
          </cell>
          <cell r="AV1132">
            <v>44285</v>
          </cell>
          <cell r="AX1132" t="str">
            <v>Yes</v>
          </cell>
          <cell r="AZ1132" t="str">
            <v>Y</v>
          </cell>
          <cell r="BA1132" t="str">
            <v>Yes</v>
          </cell>
        </row>
        <row r="1133">
          <cell r="B1133">
            <v>983</v>
          </cell>
          <cell r="C1133" t="str">
            <v>C49SZX20200230SS</v>
          </cell>
          <cell r="D1133" t="str">
            <v>盈通恒翼</v>
          </cell>
          <cell r="E1133" t="str">
            <v>YSM10</v>
          </cell>
          <cell r="F1133" t="str">
            <v>#05344</v>
          </cell>
          <cell r="G1133" t="e">
            <v>#REF!</v>
          </cell>
          <cell r="H1133" t="e">
            <v>#REF!</v>
          </cell>
          <cell r="I1133" t="str">
            <v>R-&gt;L</v>
          </cell>
          <cell r="J1133" t="str">
            <v>No</v>
          </cell>
          <cell r="K1133">
            <v>1</v>
          </cell>
          <cell r="L1133">
            <v>110130</v>
          </cell>
          <cell r="M1133" t="str">
            <v>FEB 21</v>
          </cell>
          <cell r="N1133">
            <v>44256</v>
          </cell>
          <cell r="O1133">
            <v>11116520</v>
          </cell>
          <cell r="P1133">
            <v>7940000</v>
          </cell>
          <cell r="Q1133">
            <v>44253</v>
          </cell>
          <cell r="R1133" t="str">
            <v>Yes</v>
          </cell>
          <cell r="S1133" t="str">
            <v>C49</v>
          </cell>
          <cell r="T1133" t="str">
            <v>SOUTH</v>
          </cell>
          <cell r="U1133" t="str">
            <v>深圳</v>
          </cell>
          <cell r="V1133" t="str">
            <v>SZ 深圳</v>
          </cell>
          <cell r="W1133" t="str">
            <v>SS</v>
          </cell>
          <cell r="X1133" t="str">
            <v>JPY</v>
          </cell>
          <cell r="Y1133">
            <v>7590000</v>
          </cell>
          <cell r="Z1133">
            <v>1</v>
          </cell>
          <cell r="AA1133">
            <v>7590000</v>
          </cell>
          <cell r="AB1133">
            <v>7.51E-2</v>
          </cell>
          <cell r="AC1133">
            <v>570009</v>
          </cell>
          <cell r="AD1133">
            <v>68401.08</v>
          </cell>
          <cell r="AE1133">
            <v>0.12</v>
          </cell>
          <cell r="AF1133">
            <v>44163</v>
          </cell>
          <cell r="AG1133" t="str">
            <v>DAP SZ</v>
          </cell>
          <cell r="AK1133">
            <v>0.1</v>
          </cell>
          <cell r="AL1133">
            <v>759000</v>
          </cell>
          <cell r="AM1133">
            <v>44169</v>
          </cell>
          <cell r="AN1133" t="str">
            <v>Yes</v>
          </cell>
          <cell r="AO1133">
            <v>0.9</v>
          </cell>
          <cell r="AP1133">
            <v>6831000</v>
          </cell>
          <cell r="AQ1133">
            <v>44252</v>
          </cell>
          <cell r="AR1133">
            <v>44252</v>
          </cell>
          <cell r="AS1133">
            <v>0</v>
          </cell>
          <cell r="AT1133">
            <v>0</v>
          </cell>
          <cell r="AX1133" t="str">
            <v>Yes</v>
          </cell>
          <cell r="AZ1133" t="str">
            <v>Y</v>
          </cell>
          <cell r="BA1133" t="str">
            <v>Yes</v>
          </cell>
        </row>
        <row r="1134">
          <cell r="B1134">
            <v>984</v>
          </cell>
          <cell r="C1134" t="str">
            <v>C49SZX20200231SX</v>
          </cell>
          <cell r="D1134" t="str">
            <v>可祁</v>
          </cell>
          <cell r="E1134" t="str">
            <v>YSM10</v>
          </cell>
          <cell r="F1134" t="str">
            <v>#02379</v>
          </cell>
          <cell r="G1134" t="e">
            <v>#REF!</v>
          </cell>
          <cell r="H1134" t="e">
            <v>#REF!</v>
          </cell>
          <cell r="I1134" t="str">
            <v>L-&gt;R</v>
          </cell>
          <cell r="J1134" t="str">
            <v>MVC</v>
          </cell>
          <cell r="K1134">
            <v>1</v>
          </cell>
          <cell r="L1134">
            <v>110237</v>
          </cell>
          <cell r="M1134" t="str">
            <v>MAR 21</v>
          </cell>
          <cell r="N1134">
            <v>44268</v>
          </cell>
          <cell r="O1134">
            <v>11116537</v>
          </cell>
          <cell r="P1134">
            <v>7575000</v>
          </cell>
          <cell r="Q1134">
            <v>44279</v>
          </cell>
          <cell r="R1134" t="str">
            <v>No</v>
          </cell>
          <cell r="S1134" t="str">
            <v>C49</v>
          </cell>
          <cell r="T1134" t="str">
            <v>SOUTH</v>
          </cell>
          <cell r="U1134" t="str">
            <v>深圳</v>
          </cell>
          <cell r="V1134" t="str">
            <v>SZ 深圳</v>
          </cell>
          <cell r="W1134" t="str">
            <v>SX</v>
          </cell>
          <cell r="X1134" t="str">
            <v>JPY</v>
          </cell>
          <cell r="Y1134">
            <v>7575000</v>
          </cell>
          <cell r="Z1134">
            <v>1</v>
          </cell>
          <cell r="AA1134">
            <v>7575000</v>
          </cell>
          <cell r="AB1134">
            <v>7.51E-2</v>
          </cell>
          <cell r="AC1134">
            <v>568882.5</v>
          </cell>
          <cell r="AD1134">
            <v>68265.899999999994</v>
          </cell>
          <cell r="AE1134">
            <v>0.12</v>
          </cell>
          <cell r="AF1134">
            <v>44165</v>
          </cell>
          <cell r="AG1134" t="str">
            <v>DAP SZ</v>
          </cell>
          <cell r="AK1134">
            <v>0.05</v>
          </cell>
          <cell r="AL1134">
            <v>378750</v>
          </cell>
          <cell r="AM1134">
            <v>44169</v>
          </cell>
          <cell r="AN1134" t="str">
            <v>Yes</v>
          </cell>
          <cell r="AO1134">
            <v>0.95</v>
          </cell>
          <cell r="AP1134">
            <v>7196250</v>
          </cell>
          <cell r="AQ1134">
            <v>44266</v>
          </cell>
          <cell r="AR1134">
            <v>44266</v>
          </cell>
          <cell r="AS1134">
            <v>0</v>
          </cell>
          <cell r="AT1134">
            <v>0</v>
          </cell>
          <cell r="AX1134" t="str">
            <v>Yes</v>
          </cell>
          <cell r="AZ1134" t="str">
            <v>Y</v>
          </cell>
          <cell r="BA1134" t="str">
            <v>Yes</v>
          </cell>
        </row>
        <row r="1135">
          <cell r="B1135">
            <v>985</v>
          </cell>
          <cell r="C1135" t="str">
            <v>C49SZX20200231SX</v>
          </cell>
          <cell r="D1135" t="str">
            <v>可祁</v>
          </cell>
          <cell r="E1135" t="str">
            <v>YSM10</v>
          </cell>
          <cell r="F1135" t="str">
            <v>#02379</v>
          </cell>
          <cell r="G1135" t="e">
            <v>#REF!</v>
          </cell>
          <cell r="H1135" t="e">
            <v>#REF!</v>
          </cell>
          <cell r="I1135" t="str">
            <v>L-&gt;R</v>
          </cell>
          <cell r="J1135" t="str">
            <v>MVC</v>
          </cell>
          <cell r="K1135">
            <v>1</v>
          </cell>
          <cell r="L1135">
            <v>110237</v>
          </cell>
          <cell r="M1135" t="str">
            <v>MAR 21</v>
          </cell>
          <cell r="N1135">
            <v>44268</v>
          </cell>
          <cell r="O1135">
            <v>11116537</v>
          </cell>
          <cell r="P1135">
            <v>7575000</v>
          </cell>
          <cell r="Q1135">
            <v>44279</v>
          </cell>
          <cell r="R1135" t="str">
            <v>No</v>
          </cell>
          <cell r="S1135" t="str">
            <v>C49</v>
          </cell>
          <cell r="T1135" t="str">
            <v>SOUTH</v>
          </cell>
          <cell r="U1135" t="str">
            <v>深圳</v>
          </cell>
          <cell r="V1135" t="str">
            <v>SZ 深圳</v>
          </cell>
          <cell r="W1135" t="str">
            <v>SX</v>
          </cell>
          <cell r="X1135" t="str">
            <v>JPY</v>
          </cell>
          <cell r="Y1135">
            <v>7575000</v>
          </cell>
          <cell r="Z1135">
            <v>1</v>
          </cell>
          <cell r="AA1135">
            <v>7575000</v>
          </cell>
          <cell r="AB1135">
            <v>7.51E-2</v>
          </cell>
          <cell r="AC1135">
            <v>568882.5</v>
          </cell>
          <cell r="AD1135">
            <v>68265.899999999994</v>
          </cell>
          <cell r="AE1135">
            <v>0.12</v>
          </cell>
          <cell r="AF1135">
            <v>44165</v>
          </cell>
          <cell r="AG1135" t="str">
            <v>DAP SZ</v>
          </cell>
          <cell r="AK1135">
            <v>0.05</v>
          </cell>
          <cell r="AL1135">
            <v>378750</v>
          </cell>
          <cell r="AM1135">
            <v>44169</v>
          </cell>
          <cell r="AN1135" t="str">
            <v>Yes</v>
          </cell>
          <cell r="AO1135">
            <v>0.95</v>
          </cell>
          <cell r="AP1135">
            <v>7196250</v>
          </cell>
          <cell r="AQ1135">
            <v>44266</v>
          </cell>
          <cell r="AR1135">
            <v>44266</v>
          </cell>
          <cell r="AS1135">
            <v>0</v>
          </cell>
          <cell r="AT1135">
            <v>0</v>
          </cell>
          <cell r="AX1135" t="str">
            <v>Yes</v>
          </cell>
          <cell r="AZ1135" t="str">
            <v>Y</v>
          </cell>
          <cell r="BA1135" t="str">
            <v>Yes</v>
          </cell>
        </row>
        <row r="1136">
          <cell r="B1136">
            <v>986</v>
          </cell>
          <cell r="C1136" t="str">
            <v>C49SZX20200232SX</v>
          </cell>
          <cell r="D1136" t="str">
            <v>永顺创</v>
          </cell>
          <cell r="E1136" t="str">
            <v>YSM10</v>
          </cell>
          <cell r="F1136" t="str">
            <v>#81385</v>
          </cell>
          <cell r="G1136" t="e">
            <v>#REF!</v>
          </cell>
          <cell r="H1136" t="e">
            <v>#REF!</v>
          </cell>
          <cell r="I1136" t="str">
            <v>L-&gt;R</v>
          </cell>
          <cell r="J1136" t="str">
            <v>MVC+ATS15</v>
          </cell>
          <cell r="K1136">
            <v>1</v>
          </cell>
          <cell r="L1136" t="str">
            <v>109991（拆单110121）</v>
          </cell>
          <cell r="M1136" t="str">
            <v>DEC 20</v>
          </cell>
          <cell r="N1136">
            <v>44186</v>
          </cell>
          <cell r="O1136">
            <v>11116487</v>
          </cell>
          <cell r="P1136">
            <v>11338000</v>
          </cell>
          <cell r="Q1136">
            <v>44166</v>
          </cell>
          <cell r="R1136" t="str">
            <v>No</v>
          </cell>
          <cell r="S1136" t="str">
            <v>C49</v>
          </cell>
          <cell r="T1136" t="str">
            <v>SOUTH</v>
          </cell>
          <cell r="U1136" t="str">
            <v>深圳</v>
          </cell>
          <cell r="V1136" t="str">
            <v>SZ 深圳</v>
          </cell>
          <cell r="W1136" t="str">
            <v>SX</v>
          </cell>
          <cell r="X1136" t="str">
            <v>JPY</v>
          </cell>
          <cell r="Y1136">
            <v>11338000</v>
          </cell>
          <cell r="Z1136">
            <v>1</v>
          </cell>
          <cell r="AA1136">
            <v>11338000</v>
          </cell>
          <cell r="AB1136">
            <v>7.6100000000000001E-2</v>
          </cell>
          <cell r="AC1136">
            <v>862821.8</v>
          </cell>
          <cell r="AD1136">
            <v>103538.61599999999</v>
          </cell>
          <cell r="AE1136">
            <v>0.12</v>
          </cell>
          <cell r="AF1136">
            <v>44166</v>
          </cell>
          <cell r="AG1136" t="str">
            <v>DAP SZ</v>
          </cell>
          <cell r="AK1136">
            <v>0.1</v>
          </cell>
          <cell r="AL1136">
            <v>1133800</v>
          </cell>
          <cell r="AM1136">
            <v>44172</v>
          </cell>
          <cell r="AN1136" t="str">
            <v>Yes</v>
          </cell>
          <cell r="AO1136">
            <v>0.9</v>
          </cell>
          <cell r="AP1136">
            <v>10204200</v>
          </cell>
          <cell r="AQ1136">
            <v>44182</v>
          </cell>
          <cell r="AR1136">
            <v>44182</v>
          </cell>
          <cell r="AS1136">
            <v>0</v>
          </cell>
          <cell r="AT1136">
            <v>0</v>
          </cell>
          <cell r="AX1136" t="str">
            <v>Yes</v>
          </cell>
          <cell r="AZ1136" t="str">
            <v>Y</v>
          </cell>
          <cell r="BA1136" t="str">
            <v>Yes</v>
          </cell>
        </row>
        <row r="1137">
          <cell r="B1137">
            <v>987</v>
          </cell>
          <cell r="C1137" t="str">
            <v>C49SZX20200232SX</v>
          </cell>
          <cell r="D1137" t="str">
            <v>永顺创</v>
          </cell>
          <cell r="E1137" t="str">
            <v>YSM20R-2</v>
          </cell>
          <cell r="F1137" t="str">
            <v>#81385</v>
          </cell>
          <cell r="G1137" t="e">
            <v>#REF!</v>
          </cell>
          <cell r="H1137" t="e">
            <v>#REF!</v>
          </cell>
          <cell r="I1137" t="str">
            <v>L-&gt;R</v>
          </cell>
          <cell r="J1137" t="str">
            <v>cATS10+MVC</v>
          </cell>
          <cell r="K1137">
            <v>1</v>
          </cell>
          <cell r="L1137">
            <v>110152</v>
          </cell>
          <cell r="M1137" t="str">
            <v>MAR 21</v>
          </cell>
          <cell r="N1137">
            <v>44287</v>
          </cell>
          <cell r="O1137">
            <v>11116549</v>
          </cell>
          <cell r="P1137">
            <v>13580000</v>
          </cell>
          <cell r="Q1137">
            <v>44256</v>
          </cell>
          <cell r="R1137" t="str">
            <v>No</v>
          </cell>
          <cell r="S1137" t="str">
            <v>C49</v>
          </cell>
          <cell r="T1137" t="str">
            <v>SOUTH</v>
          </cell>
          <cell r="U1137" t="str">
            <v>深圳</v>
          </cell>
          <cell r="V1137" t="str">
            <v>SZ 深圳</v>
          </cell>
          <cell r="W1137" t="str">
            <v>SX</v>
          </cell>
          <cell r="X1137" t="str">
            <v>JPY</v>
          </cell>
          <cell r="Y1137">
            <v>13580000</v>
          </cell>
          <cell r="Z1137">
            <v>1</v>
          </cell>
          <cell r="AA1137">
            <v>13580000</v>
          </cell>
          <cell r="AB1137">
            <v>7.6100000000000001E-2</v>
          </cell>
          <cell r="AC1137">
            <v>1033438</v>
          </cell>
          <cell r="AD1137">
            <v>124012.56</v>
          </cell>
          <cell r="AE1137">
            <v>0.12</v>
          </cell>
          <cell r="AF1137">
            <v>44166</v>
          </cell>
          <cell r="AG1137" t="str">
            <v>DAP SZ</v>
          </cell>
          <cell r="AK1137">
            <v>0.1</v>
          </cell>
          <cell r="AL1137">
            <v>1358000</v>
          </cell>
          <cell r="AM1137">
            <v>44172</v>
          </cell>
          <cell r="AN1137" t="str">
            <v>Yes</v>
          </cell>
          <cell r="AO1137">
            <v>0.9</v>
          </cell>
          <cell r="AP1137">
            <v>12222000</v>
          </cell>
          <cell r="AQ1137">
            <v>44278</v>
          </cell>
          <cell r="AR1137">
            <v>44278</v>
          </cell>
          <cell r="AS1137">
            <v>0</v>
          </cell>
          <cell r="AT1137">
            <v>0</v>
          </cell>
          <cell r="AX1137" t="str">
            <v>Yes</v>
          </cell>
          <cell r="AZ1137" t="str">
            <v>Y</v>
          </cell>
          <cell r="BA1137" t="str">
            <v>Yes</v>
          </cell>
        </row>
        <row r="1138">
          <cell r="B1138">
            <v>988</v>
          </cell>
          <cell r="C1138" t="str">
            <v>C49SZX20200232SX</v>
          </cell>
          <cell r="D1138" t="str">
            <v>永顺创</v>
          </cell>
          <cell r="E1138" t="str">
            <v>YSM20R-2</v>
          </cell>
          <cell r="F1138" t="str">
            <v>#81385</v>
          </cell>
          <cell r="G1138" t="e">
            <v>#REF!</v>
          </cell>
          <cell r="H1138" t="e">
            <v>#REF!</v>
          </cell>
          <cell r="I1138" t="str">
            <v>L-&gt;R</v>
          </cell>
          <cell r="J1138" t="str">
            <v>No</v>
          </cell>
          <cell r="K1138">
            <v>1</v>
          </cell>
          <cell r="L1138">
            <v>110133</v>
          </cell>
          <cell r="M1138" t="str">
            <v>MAR 21</v>
          </cell>
          <cell r="N1138">
            <v>44287</v>
          </cell>
          <cell r="O1138">
            <v>11116549</v>
          </cell>
          <cell r="P1138">
            <v>13580000</v>
          </cell>
          <cell r="Q1138">
            <v>44256</v>
          </cell>
          <cell r="R1138" t="str">
            <v>No</v>
          </cell>
          <cell r="S1138" t="str">
            <v>C49</v>
          </cell>
          <cell r="T1138" t="str">
            <v>SOUTH</v>
          </cell>
          <cell r="U1138" t="str">
            <v>深圳</v>
          </cell>
          <cell r="V1138" t="str">
            <v>SZ 深圳</v>
          </cell>
          <cell r="W1138" t="str">
            <v>SX</v>
          </cell>
          <cell r="X1138" t="str">
            <v>JPY</v>
          </cell>
          <cell r="Y1138">
            <v>13580000</v>
          </cell>
          <cell r="Z1138">
            <v>1</v>
          </cell>
          <cell r="AA1138">
            <v>13580000</v>
          </cell>
          <cell r="AB1138">
            <v>7.6100000000000001E-2</v>
          </cell>
          <cell r="AC1138">
            <v>1033438</v>
          </cell>
          <cell r="AD1138">
            <v>124012.56</v>
          </cell>
          <cell r="AE1138">
            <v>0.12</v>
          </cell>
          <cell r="AF1138">
            <v>44166</v>
          </cell>
          <cell r="AG1138" t="str">
            <v>DAP SZ</v>
          </cell>
          <cell r="AK1138">
            <v>0.1</v>
          </cell>
          <cell r="AL1138">
            <v>1358000</v>
          </cell>
          <cell r="AM1138">
            <v>44172</v>
          </cell>
          <cell r="AN1138" t="str">
            <v>Yes</v>
          </cell>
          <cell r="AO1138">
            <v>0.9</v>
          </cell>
          <cell r="AP1138">
            <v>12222000</v>
          </cell>
          <cell r="AQ1138">
            <v>44278</v>
          </cell>
          <cell r="AR1138">
            <v>44278</v>
          </cell>
          <cell r="AS1138">
            <v>0</v>
          </cell>
          <cell r="AT1138">
            <v>0</v>
          </cell>
          <cell r="AX1138" t="str">
            <v>Yes</v>
          </cell>
          <cell r="AZ1138" t="str">
            <v>Y</v>
          </cell>
          <cell r="BA1138" t="str">
            <v>Yes</v>
          </cell>
        </row>
        <row r="1139">
          <cell r="B1139">
            <v>989</v>
          </cell>
          <cell r="C1139" t="str">
            <v>C49SZX20200162CY</v>
          </cell>
          <cell r="D1139" t="str">
            <v>景硕电子</v>
          </cell>
          <cell r="E1139" t="str">
            <v>YSM10</v>
          </cell>
          <cell r="F1139" t="str">
            <v>#05434</v>
          </cell>
          <cell r="G1139" t="e">
            <v>#REF!</v>
          </cell>
          <cell r="H1139" t="e">
            <v>#REF!</v>
          </cell>
          <cell r="I1139" t="str">
            <v>L-&gt;R</v>
          </cell>
          <cell r="J1139" t="str">
            <v>MVC</v>
          </cell>
          <cell r="K1139">
            <v>1</v>
          </cell>
          <cell r="L1139">
            <v>110131</v>
          </cell>
          <cell r="M1139" t="str">
            <v>FEB 21</v>
          </cell>
          <cell r="N1139">
            <v>44259</v>
          </cell>
          <cell r="O1139">
            <v>11116523</v>
          </cell>
          <cell r="P1139">
            <v>8225000</v>
          </cell>
          <cell r="Q1139">
            <v>44228</v>
          </cell>
          <cell r="R1139" t="str">
            <v>No</v>
          </cell>
          <cell r="S1139" t="str">
            <v>C49</v>
          </cell>
          <cell r="T1139" t="str">
            <v>SOUTH</v>
          </cell>
          <cell r="U1139" t="str">
            <v>深圳</v>
          </cell>
          <cell r="V1139" t="str">
            <v>SZ 深圳</v>
          </cell>
          <cell r="W1139" t="str">
            <v>CY</v>
          </cell>
          <cell r="X1139" t="str">
            <v>JPY</v>
          </cell>
          <cell r="Y1139">
            <v>8225000</v>
          </cell>
          <cell r="Z1139">
            <v>1</v>
          </cell>
          <cell r="AA1139">
            <v>8225000</v>
          </cell>
          <cell r="AB1139">
            <v>7.6100000000000001E-2</v>
          </cell>
          <cell r="AC1139">
            <v>625922.5</v>
          </cell>
          <cell r="AD1139">
            <v>75110.7</v>
          </cell>
          <cell r="AE1139">
            <v>0.12</v>
          </cell>
          <cell r="AF1139">
            <v>44167</v>
          </cell>
          <cell r="AG1139" t="str">
            <v>DAP SZ</v>
          </cell>
          <cell r="AK1139">
            <v>0.1</v>
          </cell>
          <cell r="AL1139">
            <v>822500</v>
          </cell>
          <cell r="AM1139">
            <v>44173</v>
          </cell>
          <cell r="AN1139" t="str">
            <v>Yes</v>
          </cell>
          <cell r="AO1139">
            <v>0.9</v>
          </cell>
          <cell r="AP1139">
            <v>7402500</v>
          </cell>
          <cell r="AQ1139">
            <v>44252</v>
          </cell>
          <cell r="AR1139">
            <v>44252</v>
          </cell>
          <cell r="AS1139">
            <v>0</v>
          </cell>
          <cell r="AT1139">
            <v>0</v>
          </cell>
          <cell r="AX1139" t="str">
            <v>Yes</v>
          </cell>
          <cell r="AZ1139" t="str">
            <v>Y</v>
          </cell>
          <cell r="BA1139" t="str">
            <v>Yes</v>
          </cell>
        </row>
        <row r="1140">
          <cell r="B1140">
            <v>990</v>
          </cell>
          <cell r="C1140" t="str">
            <v>C49SZX20200080DY</v>
          </cell>
          <cell r="D1140" t="str">
            <v>富源晟</v>
          </cell>
          <cell r="E1140" t="str">
            <v>YSM20R-2</v>
          </cell>
          <cell r="F1140" t="str">
            <v>#05342</v>
          </cell>
          <cell r="G1140" t="e">
            <v>#REF!</v>
          </cell>
          <cell r="H1140" t="e">
            <v>#REF!</v>
          </cell>
          <cell r="I1140" t="str">
            <v>L-&gt;R</v>
          </cell>
          <cell r="J1140" t="str">
            <v>No</v>
          </cell>
          <cell r="K1140">
            <v>1</v>
          </cell>
          <cell r="L1140">
            <v>110133</v>
          </cell>
          <cell r="M1140" t="str">
            <v>APR 21</v>
          </cell>
          <cell r="N1140">
            <v>44322</v>
          </cell>
          <cell r="O1140">
            <v>11100479</v>
          </cell>
          <cell r="P1140">
            <v>900000</v>
          </cell>
          <cell r="Q1140">
            <v>44317</v>
          </cell>
          <cell r="R1140" t="str">
            <v>Yes</v>
          </cell>
          <cell r="S1140" t="str">
            <v>C49</v>
          </cell>
          <cell r="T1140" t="str">
            <v>SOUTH</v>
          </cell>
          <cell r="U1140" t="str">
            <v>深圳</v>
          </cell>
          <cell r="V1140" t="str">
            <v>SZ 深圳</v>
          </cell>
          <cell r="W1140" t="str">
            <v>DY</v>
          </cell>
          <cell r="X1140" t="str">
            <v>RMB</v>
          </cell>
          <cell r="Y1140">
            <v>900000</v>
          </cell>
          <cell r="Z1140">
            <v>1.1299999999999999</v>
          </cell>
          <cell r="AA1140">
            <v>900000</v>
          </cell>
          <cell r="AB1140">
            <v>1.175</v>
          </cell>
          <cell r="AC1140">
            <v>935840.70796460181</v>
          </cell>
          <cell r="AD1140">
            <v>112300.88495575222</v>
          </cell>
          <cell r="AE1140">
            <v>0.12</v>
          </cell>
          <cell r="AF1140">
            <v>44173</v>
          </cell>
          <cell r="AG1140" t="str">
            <v>含税到厂</v>
          </cell>
          <cell r="AK1140">
            <v>0.1</v>
          </cell>
          <cell r="AL1140">
            <v>90000</v>
          </cell>
          <cell r="AM1140">
            <v>44197</v>
          </cell>
          <cell r="AN1140" t="str">
            <v>Yes</v>
          </cell>
          <cell r="AO1140">
            <v>0.9</v>
          </cell>
          <cell r="AP1140">
            <v>810000</v>
          </cell>
          <cell r="AQ1140">
            <v>44315</v>
          </cell>
          <cell r="AR1140">
            <v>44315</v>
          </cell>
          <cell r="AS1140">
            <v>0</v>
          </cell>
          <cell r="AT1140">
            <v>0</v>
          </cell>
          <cell r="AX1140" t="str">
            <v>Yes</v>
          </cell>
          <cell r="AZ1140" t="str">
            <v>Y</v>
          </cell>
          <cell r="BA1140" t="str">
            <v>Yes</v>
          </cell>
        </row>
        <row r="1141">
          <cell r="B1141">
            <v>991</v>
          </cell>
          <cell r="C1141" t="str">
            <v>C49SZX20200080DY</v>
          </cell>
          <cell r="D1141" t="str">
            <v>富源晟</v>
          </cell>
          <cell r="E1141" t="str">
            <v>YSM10</v>
          </cell>
          <cell r="F1141" t="str">
            <v>#05342</v>
          </cell>
          <cell r="G1141" t="e">
            <v>#REF!</v>
          </cell>
          <cell r="H1141" t="e">
            <v>#REF!</v>
          </cell>
          <cell r="I1141" t="str">
            <v>L-&gt;R</v>
          </cell>
          <cell r="J1141" t="str">
            <v>MVC</v>
          </cell>
          <cell r="K1141">
            <v>1</v>
          </cell>
          <cell r="L1141" t="str">
            <v>110347(拆单110337)</v>
          </cell>
          <cell r="M1141" t="str">
            <v>MAY 21</v>
          </cell>
          <cell r="N1141">
            <v>44322</v>
          </cell>
          <cell r="O1141">
            <v>11100479</v>
          </cell>
          <cell r="P1141">
            <v>630000</v>
          </cell>
          <cell r="Q1141">
            <v>44317</v>
          </cell>
          <cell r="R1141" t="str">
            <v>Yes</v>
          </cell>
          <cell r="S1141" t="str">
            <v>C49</v>
          </cell>
          <cell r="T1141" t="str">
            <v>SOUTH</v>
          </cell>
          <cell r="U1141" t="str">
            <v>深圳</v>
          </cell>
          <cell r="V1141" t="str">
            <v>SZ 深圳</v>
          </cell>
          <cell r="W1141" t="str">
            <v>DY</v>
          </cell>
          <cell r="X1141" t="str">
            <v>RMB</v>
          </cell>
          <cell r="Y1141">
            <v>630000</v>
          </cell>
          <cell r="Z1141">
            <v>1.1299999999999999</v>
          </cell>
          <cell r="AA1141">
            <v>630000</v>
          </cell>
          <cell r="AB1141">
            <v>1.175</v>
          </cell>
          <cell r="AC1141">
            <v>655088.49557522126</v>
          </cell>
          <cell r="AD1141">
            <v>78610.619469026555</v>
          </cell>
          <cell r="AE1141">
            <v>0.12</v>
          </cell>
          <cell r="AF1141">
            <v>44173</v>
          </cell>
          <cell r="AG1141" t="str">
            <v>含税到厂</v>
          </cell>
          <cell r="AK1141">
            <v>0.1</v>
          </cell>
          <cell r="AL1141">
            <v>63000</v>
          </cell>
          <cell r="AM1141">
            <v>44197</v>
          </cell>
          <cell r="AN1141" t="str">
            <v>Yes</v>
          </cell>
          <cell r="AO1141">
            <v>0.9</v>
          </cell>
          <cell r="AP1141">
            <v>567000</v>
          </cell>
          <cell r="AQ1141">
            <v>44315</v>
          </cell>
          <cell r="AR1141">
            <v>44315</v>
          </cell>
          <cell r="AS1141">
            <v>0</v>
          </cell>
          <cell r="AT1141">
            <v>0</v>
          </cell>
          <cell r="AX1141" t="str">
            <v>Yes</v>
          </cell>
          <cell r="AZ1141" t="str">
            <v>Y</v>
          </cell>
          <cell r="BA1141" t="str">
            <v>Yes</v>
          </cell>
        </row>
        <row r="1142">
          <cell r="B1142">
            <v>992</v>
          </cell>
          <cell r="C1142" t="str">
            <v>C49SZX20200237SX</v>
          </cell>
          <cell r="D1142" t="str">
            <v>岚新</v>
          </cell>
          <cell r="E1142" t="str">
            <v>YSM10</v>
          </cell>
          <cell r="F1142" t="str">
            <v>#05453</v>
          </cell>
          <cell r="G1142" t="e">
            <v>#REF!</v>
          </cell>
          <cell r="H1142" t="e">
            <v>#REF!</v>
          </cell>
          <cell r="I1142" t="str">
            <v>L-&gt;R</v>
          </cell>
          <cell r="J1142" t="str">
            <v>Rear站位</v>
          </cell>
          <cell r="K1142">
            <v>1</v>
          </cell>
          <cell r="L1142">
            <v>110297</v>
          </cell>
          <cell r="M1142" t="str">
            <v>MAR 21</v>
          </cell>
          <cell r="N1142">
            <v>44272</v>
          </cell>
          <cell r="O1142">
            <v>11116540</v>
          </cell>
          <cell r="P1142">
            <v>8600000</v>
          </cell>
          <cell r="Q1142">
            <v>44279</v>
          </cell>
          <cell r="R1142" t="str">
            <v>Yes</v>
          </cell>
          <cell r="S1142" t="str">
            <v>C49</v>
          </cell>
          <cell r="T1142" t="str">
            <v>SOUTH</v>
          </cell>
          <cell r="U1142" t="str">
            <v>深圳</v>
          </cell>
          <cell r="V1142" t="str">
            <v>SZ 深圳</v>
          </cell>
          <cell r="W1142" t="str">
            <v>SX</v>
          </cell>
          <cell r="X1142" t="str">
            <v>JPY</v>
          </cell>
          <cell r="Y1142">
            <v>8600000</v>
          </cell>
          <cell r="Z1142">
            <v>1</v>
          </cell>
          <cell r="AA1142">
            <v>8600000</v>
          </cell>
          <cell r="AB1142">
            <v>7.6100000000000001E-2</v>
          </cell>
          <cell r="AC1142">
            <v>654460</v>
          </cell>
          <cell r="AD1142">
            <v>78535.199999999997</v>
          </cell>
          <cell r="AE1142">
            <v>0.12</v>
          </cell>
          <cell r="AF1142">
            <v>44173</v>
          </cell>
          <cell r="AG1142" t="str">
            <v>DAP SZ</v>
          </cell>
          <cell r="AK1142">
            <v>0.2</v>
          </cell>
          <cell r="AL1142">
            <v>1720000</v>
          </cell>
          <cell r="AM1142">
            <v>44166</v>
          </cell>
          <cell r="AN1142" t="str">
            <v>Yes</v>
          </cell>
          <cell r="AO1142">
            <v>0.8</v>
          </cell>
          <cell r="AP1142">
            <v>6880000</v>
          </cell>
          <cell r="AQ1142">
            <v>44266</v>
          </cell>
          <cell r="AR1142">
            <v>44266</v>
          </cell>
          <cell r="AS1142">
            <v>0</v>
          </cell>
          <cell r="AT1142">
            <v>0</v>
          </cell>
          <cell r="AX1142" t="str">
            <v>Yes</v>
          </cell>
          <cell r="AZ1142" t="str">
            <v>Y</v>
          </cell>
          <cell r="BA1142" t="str">
            <v>Y</v>
          </cell>
        </row>
        <row r="1143">
          <cell r="B1143">
            <v>993</v>
          </cell>
          <cell r="C1143" t="str">
            <v>C49SZX20200237SX</v>
          </cell>
          <cell r="D1143" t="str">
            <v>岚新</v>
          </cell>
          <cell r="E1143" t="str">
            <v>YSM10</v>
          </cell>
          <cell r="F1143" t="str">
            <v>#05453</v>
          </cell>
          <cell r="G1143" t="e">
            <v>#REF!</v>
          </cell>
          <cell r="H1143" t="e">
            <v>#REF!</v>
          </cell>
          <cell r="I1143" t="str">
            <v>L-&gt;R</v>
          </cell>
          <cell r="J1143" t="str">
            <v>No</v>
          </cell>
          <cell r="K1143">
            <v>1</v>
          </cell>
          <cell r="L1143">
            <v>110150</v>
          </cell>
          <cell r="M1143" t="str">
            <v>MAR 21</v>
          </cell>
          <cell r="N1143">
            <v>44272</v>
          </cell>
          <cell r="O1143">
            <v>11116540</v>
          </cell>
          <cell r="P1143">
            <v>8600000</v>
          </cell>
          <cell r="Q1143">
            <v>44279</v>
          </cell>
          <cell r="R1143" t="str">
            <v>Yes</v>
          </cell>
          <cell r="S1143" t="str">
            <v>C49</v>
          </cell>
          <cell r="T1143" t="str">
            <v>SOUTH</v>
          </cell>
          <cell r="U1143" t="str">
            <v>深圳</v>
          </cell>
          <cell r="V1143" t="str">
            <v>SZ 深圳</v>
          </cell>
          <cell r="W1143" t="str">
            <v>SX</v>
          </cell>
          <cell r="X1143" t="str">
            <v>JPY</v>
          </cell>
          <cell r="Y1143">
            <v>8600000</v>
          </cell>
          <cell r="Z1143">
            <v>1</v>
          </cell>
          <cell r="AA1143">
            <v>8600000</v>
          </cell>
          <cell r="AB1143">
            <v>7.6100000000000001E-2</v>
          </cell>
          <cell r="AC1143">
            <v>654460</v>
          </cell>
          <cell r="AD1143">
            <v>78535.199999999997</v>
          </cell>
          <cell r="AE1143">
            <v>0.12</v>
          </cell>
          <cell r="AF1143">
            <v>44173</v>
          </cell>
          <cell r="AG1143" t="str">
            <v>DAP SZ</v>
          </cell>
          <cell r="AK1143">
            <v>0.2</v>
          </cell>
          <cell r="AL1143">
            <v>1720000</v>
          </cell>
          <cell r="AM1143">
            <v>44166</v>
          </cell>
          <cell r="AN1143" t="str">
            <v>Yes</v>
          </cell>
          <cell r="AO1143">
            <v>0.8</v>
          </cell>
          <cell r="AP1143">
            <v>6880000</v>
          </cell>
          <cell r="AQ1143">
            <v>44266</v>
          </cell>
          <cell r="AR1143">
            <v>44266</v>
          </cell>
          <cell r="AS1143">
            <v>0</v>
          </cell>
          <cell r="AT1143">
            <v>0</v>
          </cell>
          <cell r="AX1143" t="str">
            <v>Yes</v>
          </cell>
          <cell r="AZ1143" t="str">
            <v>Y</v>
          </cell>
          <cell r="BA1143" t="str">
            <v>Y</v>
          </cell>
        </row>
        <row r="1144">
          <cell r="B1144">
            <v>994</v>
          </cell>
          <cell r="C1144" t="str">
            <v>C49SZX20200238SX</v>
          </cell>
          <cell r="D1144" t="str">
            <v>岚新</v>
          </cell>
          <cell r="E1144" t="str">
            <v>YSM10</v>
          </cell>
          <cell r="F1144" t="str">
            <v>#05453</v>
          </cell>
          <cell r="G1144" t="e">
            <v>#REF!</v>
          </cell>
          <cell r="H1144" t="e">
            <v>#REF!</v>
          </cell>
          <cell r="I1144" t="str">
            <v>L-&gt;R</v>
          </cell>
          <cell r="J1144" t="str">
            <v>No</v>
          </cell>
          <cell r="K1144">
            <v>1</v>
          </cell>
          <cell r="L1144" t="e">
            <v>#N/A</v>
          </cell>
          <cell r="M1144" t="e">
            <v>#N/A</v>
          </cell>
          <cell r="N1144"/>
          <cell r="O1144"/>
          <cell r="P1144"/>
          <cell r="Q1144"/>
          <cell r="R1144" t="str">
            <v>Yes</v>
          </cell>
          <cell r="S1144" t="str">
            <v>C49</v>
          </cell>
          <cell r="T1144" t="str">
            <v>SOUTH</v>
          </cell>
          <cell r="U1144" t="str">
            <v>深圳</v>
          </cell>
          <cell r="V1144" t="str">
            <v>SZ 深圳</v>
          </cell>
          <cell r="W1144" t="str">
            <v>SX</v>
          </cell>
          <cell r="X1144" t="str">
            <v>JPY</v>
          </cell>
          <cell r="Y1144">
            <v>8150000</v>
          </cell>
          <cell r="Z1144">
            <v>1</v>
          </cell>
          <cell r="AA1144">
            <v>8150000</v>
          </cell>
          <cell r="AB1144">
            <v>7.6100000000000001E-2</v>
          </cell>
          <cell r="AC1144">
            <v>620215</v>
          </cell>
          <cell r="AD1144">
            <v>74425.8</v>
          </cell>
          <cell r="AE1144">
            <v>0.12</v>
          </cell>
          <cell r="AF1144">
            <v>44173</v>
          </cell>
          <cell r="AG1144" t="str">
            <v>DAP SZ</v>
          </cell>
          <cell r="AI1144"/>
          <cell r="AJ1144"/>
          <cell r="AK1144">
            <v>0.2</v>
          </cell>
          <cell r="AL1144">
            <v>1630000</v>
          </cell>
          <cell r="AM1144"/>
          <cell r="AN1144" t="str">
            <v>No</v>
          </cell>
          <cell r="AO1144">
            <v>0.8</v>
          </cell>
          <cell r="AP1144">
            <v>6520000</v>
          </cell>
          <cell r="AQ1144"/>
          <cell r="AR1144"/>
          <cell r="AS1144">
            <v>0</v>
          </cell>
          <cell r="AT1144">
            <v>0</v>
          </cell>
          <cell r="AV1144"/>
          <cell r="AX1144" t="str">
            <v>Cancel</v>
          </cell>
          <cell r="AY1144"/>
          <cell r="AZ1144"/>
          <cell r="BA1144" t="str">
            <v>Cancel</v>
          </cell>
          <cell r="BB1144" t="str">
            <v>2022-3-25Ken邮件通知</v>
          </cell>
        </row>
        <row r="1145">
          <cell r="B1145">
            <v>995</v>
          </cell>
          <cell r="C1145" t="str">
            <v>C49SZX20200238SX</v>
          </cell>
          <cell r="D1145" t="str">
            <v>岚新</v>
          </cell>
          <cell r="E1145" t="str">
            <v>YSM10</v>
          </cell>
          <cell r="F1145" t="str">
            <v>#05453</v>
          </cell>
          <cell r="G1145" t="e">
            <v>#REF!</v>
          </cell>
          <cell r="H1145" t="e">
            <v>#REF!</v>
          </cell>
          <cell r="I1145" t="str">
            <v>L-&gt;R</v>
          </cell>
          <cell r="J1145" t="str">
            <v>No</v>
          </cell>
          <cell r="K1145">
            <v>1</v>
          </cell>
          <cell r="L1145" t="e">
            <v>#N/A</v>
          </cell>
          <cell r="M1145" t="e">
            <v>#N/A</v>
          </cell>
          <cell r="N1145"/>
          <cell r="O1145"/>
          <cell r="P1145"/>
          <cell r="Q1145"/>
          <cell r="R1145" t="str">
            <v>Yes</v>
          </cell>
          <cell r="S1145" t="str">
            <v>C49</v>
          </cell>
          <cell r="T1145" t="str">
            <v>SOUTH</v>
          </cell>
          <cell r="U1145" t="str">
            <v>深圳</v>
          </cell>
          <cell r="V1145" t="str">
            <v>SZ 深圳</v>
          </cell>
          <cell r="W1145" t="str">
            <v>SX</v>
          </cell>
          <cell r="X1145" t="str">
            <v>JPY</v>
          </cell>
          <cell r="Y1145">
            <v>8150000</v>
          </cell>
          <cell r="Z1145">
            <v>1</v>
          </cell>
          <cell r="AA1145">
            <v>8150000</v>
          </cell>
          <cell r="AB1145">
            <v>7.6100000000000001E-2</v>
          </cell>
          <cell r="AC1145">
            <v>620215</v>
          </cell>
          <cell r="AD1145">
            <v>74425.8</v>
          </cell>
          <cell r="AE1145">
            <v>0.12</v>
          </cell>
          <cell r="AF1145">
            <v>44173</v>
          </cell>
          <cell r="AG1145" t="str">
            <v>DAP SZ</v>
          </cell>
          <cell r="AI1145"/>
          <cell r="AJ1145"/>
          <cell r="AK1145">
            <v>0.2</v>
          </cell>
          <cell r="AL1145">
            <v>1630000</v>
          </cell>
          <cell r="AM1145"/>
          <cell r="AN1145" t="str">
            <v>No</v>
          </cell>
          <cell r="AO1145">
            <v>0.8</v>
          </cell>
          <cell r="AP1145">
            <v>6520000</v>
          </cell>
          <cell r="AQ1145"/>
          <cell r="AR1145"/>
          <cell r="AS1145">
            <v>0</v>
          </cell>
          <cell r="AT1145">
            <v>0</v>
          </cell>
          <cell r="AV1145"/>
          <cell r="AX1145" t="str">
            <v>Cancel</v>
          </cell>
          <cell r="AY1145"/>
          <cell r="AZ1145"/>
          <cell r="BA1145" t="str">
            <v>Cancel</v>
          </cell>
          <cell r="BB1145" t="str">
            <v>2022-3-25Ken邮件通知</v>
          </cell>
        </row>
        <row r="1146">
          <cell r="B1146">
            <v>996</v>
          </cell>
          <cell r="C1146" t="str">
            <v>C49SZX20200238SX</v>
          </cell>
          <cell r="D1146" t="str">
            <v>岚新</v>
          </cell>
          <cell r="E1146" t="str">
            <v>YSM10</v>
          </cell>
          <cell r="F1146" t="str">
            <v>#05453</v>
          </cell>
          <cell r="G1146" t="e">
            <v>#REF!</v>
          </cell>
          <cell r="H1146" t="e">
            <v>#REF!</v>
          </cell>
          <cell r="I1146" t="str">
            <v>L-&gt;R</v>
          </cell>
          <cell r="J1146" t="str">
            <v>No</v>
          </cell>
          <cell r="K1146">
            <v>1</v>
          </cell>
          <cell r="L1146" t="e">
            <v>#N/A</v>
          </cell>
          <cell r="M1146" t="e">
            <v>#N/A</v>
          </cell>
          <cell r="N1146"/>
          <cell r="O1146"/>
          <cell r="P1146"/>
          <cell r="Q1146"/>
          <cell r="R1146" t="str">
            <v>Yes</v>
          </cell>
          <cell r="S1146" t="str">
            <v>C49</v>
          </cell>
          <cell r="T1146" t="str">
            <v>SOUTH</v>
          </cell>
          <cell r="U1146" t="str">
            <v>深圳</v>
          </cell>
          <cell r="V1146" t="str">
            <v>SZ 深圳</v>
          </cell>
          <cell r="W1146" t="str">
            <v>SX</v>
          </cell>
          <cell r="X1146" t="str">
            <v>JPY</v>
          </cell>
          <cell r="Y1146">
            <v>8150000</v>
          </cell>
          <cell r="Z1146">
            <v>1</v>
          </cell>
          <cell r="AA1146">
            <v>8150000</v>
          </cell>
          <cell r="AB1146">
            <v>7.6100000000000001E-2</v>
          </cell>
          <cell r="AC1146">
            <v>620215</v>
          </cell>
          <cell r="AD1146">
            <v>74425.8</v>
          </cell>
          <cell r="AE1146">
            <v>0.12</v>
          </cell>
          <cell r="AF1146">
            <v>44173</v>
          </cell>
          <cell r="AG1146" t="str">
            <v>DAP SZ</v>
          </cell>
          <cell r="AI1146"/>
          <cell r="AJ1146"/>
          <cell r="AK1146">
            <v>0.2</v>
          </cell>
          <cell r="AL1146">
            <v>1630000</v>
          </cell>
          <cell r="AM1146"/>
          <cell r="AN1146" t="str">
            <v>No</v>
          </cell>
          <cell r="AO1146">
            <v>0.8</v>
          </cell>
          <cell r="AP1146">
            <v>6520000</v>
          </cell>
          <cell r="AQ1146"/>
          <cell r="AR1146"/>
          <cell r="AS1146">
            <v>0</v>
          </cell>
          <cell r="AT1146">
            <v>0</v>
          </cell>
          <cell r="AV1146"/>
          <cell r="AX1146" t="str">
            <v>Cancel</v>
          </cell>
          <cell r="AY1146"/>
          <cell r="AZ1146"/>
          <cell r="BA1146" t="str">
            <v>Cancel</v>
          </cell>
          <cell r="BB1146" t="str">
            <v>2022-3-25Ken邮件通知</v>
          </cell>
        </row>
        <row r="1147">
          <cell r="B1147">
            <v>997</v>
          </cell>
          <cell r="C1147" t="str">
            <v>C49SZX20200238SX</v>
          </cell>
          <cell r="D1147" t="str">
            <v>岚新</v>
          </cell>
          <cell r="E1147" t="str">
            <v>YSM10</v>
          </cell>
          <cell r="F1147" t="str">
            <v>#05453</v>
          </cell>
          <cell r="G1147" t="e">
            <v>#REF!</v>
          </cell>
          <cell r="H1147" t="e">
            <v>#REF!</v>
          </cell>
          <cell r="I1147" t="str">
            <v>L-&gt;R</v>
          </cell>
          <cell r="J1147" t="str">
            <v>No</v>
          </cell>
          <cell r="K1147">
            <v>1</v>
          </cell>
          <cell r="L1147" t="e">
            <v>#N/A</v>
          </cell>
          <cell r="M1147" t="e">
            <v>#N/A</v>
          </cell>
          <cell r="N1147"/>
          <cell r="O1147"/>
          <cell r="P1147"/>
          <cell r="Q1147"/>
          <cell r="R1147" t="str">
            <v>Yes</v>
          </cell>
          <cell r="S1147" t="str">
            <v>C49</v>
          </cell>
          <cell r="T1147" t="str">
            <v>SOUTH</v>
          </cell>
          <cell r="U1147" t="str">
            <v>深圳</v>
          </cell>
          <cell r="V1147" t="str">
            <v>SZ 深圳</v>
          </cell>
          <cell r="W1147" t="str">
            <v>SX</v>
          </cell>
          <cell r="X1147" t="str">
            <v>JPY</v>
          </cell>
          <cell r="Y1147">
            <v>8150000</v>
          </cell>
          <cell r="Z1147">
            <v>1</v>
          </cell>
          <cell r="AA1147">
            <v>8150000</v>
          </cell>
          <cell r="AB1147">
            <v>7.6100000000000001E-2</v>
          </cell>
          <cell r="AC1147">
            <v>620215</v>
          </cell>
          <cell r="AD1147">
            <v>74425.8</v>
          </cell>
          <cell r="AE1147">
            <v>0.12</v>
          </cell>
          <cell r="AF1147">
            <v>44173</v>
          </cell>
          <cell r="AG1147" t="str">
            <v>DAP SZ</v>
          </cell>
          <cell r="AI1147"/>
          <cell r="AJ1147"/>
          <cell r="AK1147">
            <v>0.2</v>
          </cell>
          <cell r="AL1147">
            <v>1630000</v>
          </cell>
          <cell r="AM1147"/>
          <cell r="AN1147" t="str">
            <v>No</v>
          </cell>
          <cell r="AO1147">
            <v>0.8</v>
          </cell>
          <cell r="AP1147">
            <v>6520000</v>
          </cell>
          <cell r="AQ1147"/>
          <cell r="AR1147"/>
          <cell r="AS1147">
            <v>0</v>
          </cell>
          <cell r="AT1147">
            <v>0</v>
          </cell>
          <cell r="AV1147"/>
          <cell r="AX1147" t="str">
            <v>Cancel</v>
          </cell>
          <cell r="AY1147"/>
          <cell r="AZ1147"/>
          <cell r="BA1147" t="str">
            <v>Cancel</v>
          </cell>
          <cell r="BB1147" t="str">
            <v>2022-3-25Ken邮件通知</v>
          </cell>
        </row>
        <row r="1148">
          <cell r="B1148">
            <v>998</v>
          </cell>
          <cell r="C1148" t="str">
            <v>C49SZX20200240JL</v>
          </cell>
          <cell r="D1148" t="str">
            <v>金睿通</v>
          </cell>
          <cell r="E1148" t="str">
            <v>YSM20R-2</v>
          </cell>
          <cell r="F1148" t="str">
            <v>#75724</v>
          </cell>
          <cell r="G1148" t="e">
            <v>#REF!</v>
          </cell>
          <cell r="H1148" t="e">
            <v>#REF!</v>
          </cell>
          <cell r="I1148" t="str">
            <v>L-&gt;R</v>
          </cell>
          <cell r="J1148" t="str">
            <v>No</v>
          </cell>
          <cell r="K1148">
            <v>1</v>
          </cell>
          <cell r="L1148" t="e">
            <v>#N/A</v>
          </cell>
          <cell r="M1148" t="e">
            <v>#N/A</v>
          </cell>
          <cell r="O1148"/>
          <cell r="P1148"/>
          <cell r="Q1148"/>
          <cell r="R1148" t="str">
            <v>No</v>
          </cell>
          <cell r="S1148" t="str">
            <v>C49</v>
          </cell>
          <cell r="T1148" t="str">
            <v>SOUTH</v>
          </cell>
          <cell r="U1148" t="str">
            <v>深圳</v>
          </cell>
          <cell r="V1148" t="str">
            <v>SZ 深圳</v>
          </cell>
          <cell r="W1148" t="str">
            <v>JL</v>
          </cell>
          <cell r="X1148" t="str">
            <v>JPY</v>
          </cell>
          <cell r="Y1148">
            <v>11530000</v>
          </cell>
          <cell r="Z1148">
            <v>1</v>
          </cell>
          <cell r="AA1148">
            <v>11530000</v>
          </cell>
          <cell r="AB1148">
            <v>7.6100000000000001E-2</v>
          </cell>
          <cell r="AC1148">
            <v>877433</v>
          </cell>
          <cell r="AD1148">
            <v>105291.95999999999</v>
          </cell>
          <cell r="AE1148">
            <v>0.12</v>
          </cell>
          <cell r="AF1148">
            <v>44175</v>
          </cell>
          <cell r="AG1148" t="str">
            <v>CIF HK</v>
          </cell>
          <cell r="AI1148"/>
          <cell r="AK1148">
            <v>0.2</v>
          </cell>
          <cell r="AL1148">
            <v>2306000</v>
          </cell>
          <cell r="AM1148"/>
          <cell r="AN1148" t="str">
            <v>No</v>
          </cell>
          <cell r="AO1148">
            <v>0.8</v>
          </cell>
          <cell r="AP1148">
            <v>9224000</v>
          </cell>
          <cell r="AQ1148"/>
          <cell r="AR1148"/>
          <cell r="AS1148">
            <v>0</v>
          </cell>
          <cell r="AT1148">
            <v>0</v>
          </cell>
          <cell r="AX1148" t="str">
            <v>Cancel</v>
          </cell>
          <cell r="AY1148"/>
          <cell r="AZ1148"/>
          <cell r="BA1148" t="str">
            <v>Cancel</v>
          </cell>
          <cell r="BB1148" t="str">
            <v>2022-10-10Ken邮件通知</v>
          </cell>
        </row>
        <row r="1149">
          <cell r="B1149">
            <v>999</v>
          </cell>
          <cell r="C1149" t="str">
            <v>C49SZX20200240JL</v>
          </cell>
          <cell r="D1149" t="str">
            <v>金睿通</v>
          </cell>
          <cell r="E1149" t="str">
            <v>YSM20R-2</v>
          </cell>
          <cell r="F1149" t="str">
            <v>#75724</v>
          </cell>
          <cell r="G1149" t="e">
            <v>#REF!</v>
          </cell>
          <cell r="H1149" t="e">
            <v>#REF!</v>
          </cell>
          <cell r="I1149" t="str">
            <v>L-&gt;R</v>
          </cell>
          <cell r="J1149" t="str">
            <v>No</v>
          </cell>
          <cell r="K1149">
            <v>1</v>
          </cell>
          <cell r="L1149" t="e">
            <v>#N/A</v>
          </cell>
          <cell r="M1149" t="e">
            <v>#N/A</v>
          </cell>
          <cell r="N1149"/>
          <cell r="O1149"/>
          <cell r="P1149"/>
          <cell r="Q1149"/>
          <cell r="R1149" t="str">
            <v>No</v>
          </cell>
          <cell r="S1149" t="str">
            <v>C49</v>
          </cell>
          <cell r="T1149" t="str">
            <v>SOUTH</v>
          </cell>
          <cell r="U1149" t="str">
            <v>深圳</v>
          </cell>
          <cell r="V1149" t="str">
            <v>SZ 深圳</v>
          </cell>
          <cell r="W1149" t="str">
            <v>JL</v>
          </cell>
          <cell r="X1149" t="str">
            <v>JPY</v>
          </cell>
          <cell r="Y1149">
            <v>11530000</v>
          </cell>
          <cell r="Z1149">
            <v>1</v>
          </cell>
          <cell r="AA1149">
            <v>11530000</v>
          </cell>
          <cell r="AB1149">
            <v>7.6100000000000001E-2</v>
          </cell>
          <cell r="AC1149">
            <v>877433</v>
          </cell>
          <cell r="AD1149">
            <v>105291.95999999999</v>
          </cell>
          <cell r="AE1149">
            <v>0.12</v>
          </cell>
          <cell r="AF1149">
            <v>44175</v>
          </cell>
          <cell r="AG1149" t="str">
            <v>CIF HK</v>
          </cell>
          <cell r="AI1149"/>
          <cell r="AJ1149"/>
          <cell r="AK1149">
            <v>0.2</v>
          </cell>
          <cell r="AL1149">
            <v>2306000</v>
          </cell>
          <cell r="AM1149"/>
          <cell r="AN1149" t="str">
            <v>No</v>
          </cell>
          <cell r="AO1149">
            <v>0.8</v>
          </cell>
          <cell r="AP1149">
            <v>9224000</v>
          </cell>
          <cell r="AQ1149"/>
          <cell r="AR1149"/>
          <cell r="AS1149">
            <v>0</v>
          </cell>
          <cell r="AT1149">
            <v>0</v>
          </cell>
          <cell r="AV1149"/>
          <cell r="AX1149" t="str">
            <v>Cancel</v>
          </cell>
          <cell r="AY1149"/>
          <cell r="AZ1149"/>
          <cell r="BA1149" t="str">
            <v>Cancel</v>
          </cell>
          <cell r="BB1149" t="str">
            <v>2022-10-10Ken邮件通知</v>
          </cell>
        </row>
        <row r="1150">
          <cell r="B1150">
            <v>1000</v>
          </cell>
          <cell r="C1150" t="str">
            <v>C49SZX20200240JL</v>
          </cell>
          <cell r="D1150" t="str">
            <v>金睿通</v>
          </cell>
          <cell r="E1150" t="str">
            <v>YSM10</v>
          </cell>
          <cell r="F1150" t="str">
            <v>#75724</v>
          </cell>
          <cell r="G1150" t="e">
            <v>#REF!</v>
          </cell>
          <cell r="H1150" t="e">
            <v>#REF!</v>
          </cell>
          <cell r="I1150" t="str">
            <v>L-&gt;R</v>
          </cell>
          <cell r="J1150" t="str">
            <v>MVC</v>
          </cell>
          <cell r="K1150">
            <v>1</v>
          </cell>
          <cell r="L1150" t="e">
            <v>#N/A</v>
          </cell>
          <cell r="M1150" t="e">
            <v>#N/A</v>
          </cell>
          <cell r="N1150"/>
          <cell r="O1150"/>
          <cell r="P1150"/>
          <cell r="Q1150"/>
          <cell r="R1150" t="str">
            <v>No</v>
          </cell>
          <cell r="S1150" t="str">
            <v>C49</v>
          </cell>
          <cell r="T1150" t="str">
            <v>SOUTH</v>
          </cell>
          <cell r="U1150" t="str">
            <v>深圳</v>
          </cell>
          <cell r="V1150" t="str">
            <v>SZ 深圳</v>
          </cell>
          <cell r="W1150" t="str">
            <v>JL</v>
          </cell>
          <cell r="X1150" t="str">
            <v>JPY</v>
          </cell>
          <cell r="Y1150">
            <v>7500000</v>
          </cell>
          <cell r="Z1150">
            <v>1</v>
          </cell>
          <cell r="AA1150">
            <v>7500000</v>
          </cell>
          <cell r="AB1150">
            <v>7.6100000000000001E-2</v>
          </cell>
          <cell r="AC1150">
            <v>570750</v>
          </cell>
          <cell r="AD1150">
            <v>68490</v>
          </cell>
          <cell r="AE1150">
            <v>0.12</v>
          </cell>
          <cell r="AF1150">
            <v>44175</v>
          </cell>
          <cell r="AG1150" t="str">
            <v>CIF HK</v>
          </cell>
          <cell r="AI1150"/>
          <cell r="AJ1150"/>
          <cell r="AK1150">
            <v>0.2</v>
          </cell>
          <cell r="AL1150">
            <v>1500000</v>
          </cell>
          <cell r="AM1150"/>
          <cell r="AN1150" t="str">
            <v>No</v>
          </cell>
          <cell r="AO1150">
            <v>0.8</v>
          </cell>
          <cell r="AP1150">
            <v>6000000</v>
          </cell>
          <cell r="AQ1150"/>
          <cell r="AR1150"/>
          <cell r="AS1150">
            <v>0</v>
          </cell>
          <cell r="AT1150">
            <v>0</v>
          </cell>
          <cell r="AV1150"/>
          <cell r="AX1150" t="str">
            <v>Cancel</v>
          </cell>
          <cell r="AY1150"/>
          <cell r="AZ1150"/>
          <cell r="BA1150" t="str">
            <v>Cancel</v>
          </cell>
          <cell r="BB1150" t="str">
            <v>2022-10-10Ken邮件通知</v>
          </cell>
        </row>
        <row r="1151">
          <cell r="B1151">
            <v>1001</v>
          </cell>
          <cell r="C1151" t="str">
            <v>C49SZX20200240JL</v>
          </cell>
          <cell r="D1151" t="str">
            <v>金睿通</v>
          </cell>
          <cell r="E1151" t="str">
            <v>YSM10</v>
          </cell>
          <cell r="F1151" t="str">
            <v>#75724</v>
          </cell>
          <cell r="G1151" t="e">
            <v>#REF!</v>
          </cell>
          <cell r="H1151" t="e">
            <v>#REF!</v>
          </cell>
          <cell r="I1151" t="str">
            <v>L-&gt;R</v>
          </cell>
          <cell r="J1151" t="str">
            <v>MVC</v>
          </cell>
          <cell r="K1151">
            <v>1</v>
          </cell>
          <cell r="L1151" t="e">
            <v>#N/A</v>
          </cell>
          <cell r="M1151" t="e">
            <v>#N/A</v>
          </cell>
          <cell r="N1151"/>
          <cell r="O1151"/>
          <cell r="P1151"/>
          <cell r="Q1151"/>
          <cell r="R1151" t="str">
            <v>No</v>
          </cell>
          <cell r="S1151" t="str">
            <v>C49</v>
          </cell>
          <cell r="T1151" t="str">
            <v>SOUTH</v>
          </cell>
          <cell r="U1151" t="str">
            <v>深圳</v>
          </cell>
          <cell r="V1151" t="str">
            <v>SZ 深圳</v>
          </cell>
          <cell r="W1151" t="str">
            <v>JL</v>
          </cell>
          <cell r="X1151" t="str">
            <v>JPY</v>
          </cell>
          <cell r="Y1151">
            <v>7500000</v>
          </cell>
          <cell r="Z1151">
            <v>1</v>
          </cell>
          <cell r="AA1151">
            <v>7500000</v>
          </cell>
          <cell r="AB1151">
            <v>7.6100000000000001E-2</v>
          </cell>
          <cell r="AC1151">
            <v>570750</v>
          </cell>
          <cell r="AD1151">
            <v>68490</v>
          </cell>
          <cell r="AE1151">
            <v>0.12</v>
          </cell>
          <cell r="AF1151">
            <v>44175</v>
          </cell>
          <cell r="AG1151" t="str">
            <v>CIF HK</v>
          </cell>
          <cell r="AI1151"/>
          <cell r="AJ1151"/>
          <cell r="AK1151">
            <v>0.2</v>
          </cell>
          <cell r="AL1151">
            <v>1500000</v>
          </cell>
          <cell r="AM1151"/>
          <cell r="AN1151" t="str">
            <v>No</v>
          </cell>
          <cell r="AO1151">
            <v>0.8</v>
          </cell>
          <cell r="AP1151">
            <v>6000000</v>
          </cell>
          <cell r="AQ1151"/>
          <cell r="AR1151"/>
          <cell r="AS1151">
            <v>0</v>
          </cell>
          <cell r="AT1151">
            <v>0</v>
          </cell>
          <cell r="AV1151"/>
          <cell r="AX1151" t="str">
            <v>Cancel</v>
          </cell>
          <cell r="AY1151"/>
          <cell r="AZ1151"/>
          <cell r="BA1151" t="str">
            <v>Cancel</v>
          </cell>
          <cell r="BB1151" t="str">
            <v>2022-10-10Ken邮件通知</v>
          </cell>
        </row>
        <row r="1152">
          <cell r="B1152">
            <v>1002</v>
          </cell>
          <cell r="C1152" t="str">
            <v>C49SZX20200233JL</v>
          </cell>
          <cell r="D1152" t="str">
            <v>瑞福联</v>
          </cell>
          <cell r="E1152" t="str">
            <v>YSM20R-2</v>
          </cell>
          <cell r="F1152" t="str">
            <v>#75724</v>
          </cell>
          <cell r="G1152" t="e">
            <v>#REF!</v>
          </cell>
          <cell r="H1152" t="e">
            <v>#REF!</v>
          </cell>
          <cell r="I1152" t="str">
            <v>L-&gt;R</v>
          </cell>
          <cell r="J1152" t="str">
            <v>No</v>
          </cell>
          <cell r="K1152">
            <v>1</v>
          </cell>
          <cell r="L1152">
            <v>110775</v>
          </cell>
          <cell r="M1152" t="str">
            <v>APR 22</v>
          </cell>
          <cell r="N1152">
            <v>44662</v>
          </cell>
          <cell r="O1152">
            <v>11116725</v>
          </cell>
          <cell r="P1152">
            <v>11530000</v>
          </cell>
          <cell r="Q1152">
            <v>44671</v>
          </cell>
          <cell r="R1152" t="str">
            <v>No</v>
          </cell>
          <cell r="S1152" t="str">
            <v>C49</v>
          </cell>
          <cell r="T1152" t="str">
            <v>SOUTH</v>
          </cell>
          <cell r="U1152" t="str">
            <v>深圳</v>
          </cell>
          <cell r="V1152" t="str">
            <v>SZ 深圳</v>
          </cell>
          <cell r="W1152" t="str">
            <v>JL</v>
          </cell>
          <cell r="X1152" t="str">
            <v>JPY</v>
          </cell>
          <cell r="Y1152">
            <v>11530000</v>
          </cell>
          <cell r="Z1152">
            <v>1</v>
          </cell>
          <cell r="AA1152">
            <v>11530000</v>
          </cell>
          <cell r="AB1152">
            <v>7.17E-2</v>
          </cell>
          <cell r="AC1152">
            <v>826701</v>
          </cell>
          <cell r="AD1152">
            <v>99204.12</v>
          </cell>
          <cell r="AE1152">
            <v>0.12</v>
          </cell>
          <cell r="AF1152">
            <v>44175</v>
          </cell>
          <cell r="AG1152" t="str">
            <v>CIF HK</v>
          </cell>
          <cell r="AI1152" t="str">
            <v>JPY965,959.00</v>
          </cell>
          <cell r="AJ1152">
            <v>44692</v>
          </cell>
          <cell r="AK1152">
            <v>0.2</v>
          </cell>
          <cell r="AL1152">
            <v>2306000</v>
          </cell>
          <cell r="AM1152">
            <v>44166</v>
          </cell>
          <cell r="AN1152" t="str">
            <v>Yes</v>
          </cell>
          <cell r="AO1152">
            <v>0.8</v>
          </cell>
          <cell r="AP1152">
            <v>9224000</v>
          </cell>
          <cell r="AQ1152">
            <v>44649</v>
          </cell>
          <cell r="AR1152">
            <v>44649</v>
          </cell>
          <cell r="AS1152">
            <v>0</v>
          </cell>
          <cell r="AT1152">
            <v>0</v>
          </cell>
          <cell r="AX1152" t="str">
            <v>Yes</v>
          </cell>
          <cell r="AZ1152" t="str">
            <v>Y</v>
          </cell>
          <cell r="BA1152" t="str">
            <v>Yes</v>
          </cell>
        </row>
        <row r="1153">
          <cell r="B1153">
            <v>1003</v>
          </cell>
          <cell r="C1153" t="str">
            <v>C49SZX20200233JL</v>
          </cell>
          <cell r="D1153" t="str">
            <v>瑞福联</v>
          </cell>
          <cell r="E1153" t="str">
            <v>YSM20R-2</v>
          </cell>
          <cell r="F1153" t="str">
            <v>#75724</v>
          </cell>
          <cell r="G1153" t="e">
            <v>#REF!</v>
          </cell>
          <cell r="H1153" t="e">
            <v>#REF!</v>
          </cell>
          <cell r="I1153" t="str">
            <v>L-&gt;R</v>
          </cell>
          <cell r="J1153" t="str">
            <v>No</v>
          </cell>
          <cell r="K1153">
            <v>1</v>
          </cell>
          <cell r="L1153">
            <v>110948</v>
          </cell>
          <cell r="M1153" t="str">
            <v>JUL 22</v>
          </cell>
          <cell r="N1153">
            <v>44762</v>
          </cell>
          <cell r="O1153">
            <v>11116783</v>
          </cell>
          <cell r="P1153">
            <v>11530000</v>
          </cell>
          <cell r="Q1153">
            <v>44770</v>
          </cell>
          <cell r="R1153" t="str">
            <v>No</v>
          </cell>
          <cell r="S1153" t="str">
            <v>C49</v>
          </cell>
          <cell r="T1153" t="str">
            <v>SOUTH</v>
          </cell>
          <cell r="U1153" t="str">
            <v>深圳</v>
          </cell>
          <cell r="V1153" t="str">
            <v>SZ 深圳</v>
          </cell>
          <cell r="W1153" t="str">
            <v>JL</v>
          </cell>
          <cell r="X1153" t="str">
            <v>JPY</v>
          </cell>
          <cell r="Y1153">
            <v>11530000</v>
          </cell>
          <cell r="Z1153">
            <v>1</v>
          </cell>
          <cell r="AA1153">
            <v>11530000</v>
          </cell>
          <cell r="AB1153">
            <v>7.17E-2</v>
          </cell>
          <cell r="AC1153">
            <v>826701</v>
          </cell>
          <cell r="AD1153">
            <v>99204.12</v>
          </cell>
          <cell r="AE1153">
            <v>0.12</v>
          </cell>
          <cell r="AF1153">
            <v>44175</v>
          </cell>
          <cell r="AG1153" t="str">
            <v>CIF HK</v>
          </cell>
          <cell r="AI1153"/>
          <cell r="AJ1153"/>
          <cell r="AK1153">
            <v>0.2</v>
          </cell>
          <cell r="AL1153">
            <v>2306000</v>
          </cell>
          <cell r="AM1153">
            <v>44167</v>
          </cell>
          <cell r="AN1153" t="str">
            <v>Yes</v>
          </cell>
          <cell r="AO1153">
            <v>0.8</v>
          </cell>
          <cell r="AP1153">
            <v>9224000</v>
          </cell>
          <cell r="AQ1153">
            <v>44700</v>
          </cell>
          <cell r="AR1153">
            <v>44700</v>
          </cell>
          <cell r="AS1153">
            <v>0</v>
          </cell>
          <cell r="AT1153">
            <v>0</v>
          </cell>
          <cell r="AX1153" t="str">
            <v>Yes</v>
          </cell>
          <cell r="AZ1153" t="str">
            <v>Y</v>
          </cell>
          <cell r="BA1153" t="str">
            <v>Yes</v>
          </cell>
        </row>
        <row r="1154">
          <cell r="B1154">
            <v>1004</v>
          </cell>
          <cell r="C1154" t="str">
            <v>C49SZX20200233JL</v>
          </cell>
          <cell r="D1154" t="str">
            <v>瑞福联</v>
          </cell>
          <cell r="E1154" t="str">
            <v>YSM10</v>
          </cell>
          <cell r="F1154" t="str">
            <v>#75724</v>
          </cell>
          <cell r="G1154" t="e">
            <v>#REF!</v>
          </cell>
          <cell r="H1154" t="e">
            <v>#REF!</v>
          </cell>
          <cell r="I1154" t="str">
            <v>L-&gt;R</v>
          </cell>
          <cell r="J1154" t="str">
            <v>MVC</v>
          </cell>
          <cell r="K1154">
            <v>1</v>
          </cell>
          <cell r="L1154">
            <v>110756</v>
          </cell>
          <cell r="M1154" t="str">
            <v>APR 22</v>
          </cell>
          <cell r="N1154">
            <v>44662</v>
          </cell>
          <cell r="O1154">
            <v>11116725</v>
          </cell>
          <cell r="P1154">
            <v>7500000</v>
          </cell>
          <cell r="Q1154">
            <v>44671</v>
          </cell>
          <cell r="R1154" t="str">
            <v>No</v>
          </cell>
          <cell r="S1154" t="str">
            <v>C49</v>
          </cell>
          <cell r="T1154" t="str">
            <v>SOUTH</v>
          </cell>
          <cell r="U1154" t="str">
            <v>深圳</v>
          </cell>
          <cell r="V1154" t="str">
            <v>SZ 深圳</v>
          </cell>
          <cell r="W1154" t="str">
            <v>JL</v>
          </cell>
          <cell r="X1154" t="str">
            <v>JPY</v>
          </cell>
          <cell r="Y1154">
            <v>7500000</v>
          </cell>
          <cell r="Z1154">
            <v>1</v>
          </cell>
          <cell r="AA1154">
            <v>7500000</v>
          </cell>
          <cell r="AB1154">
            <v>7.17E-2</v>
          </cell>
          <cell r="AC1154">
            <v>537750</v>
          </cell>
          <cell r="AD1154">
            <v>64530</v>
          </cell>
          <cell r="AE1154">
            <v>0.12</v>
          </cell>
          <cell r="AF1154">
            <v>44175</v>
          </cell>
          <cell r="AG1154" t="str">
            <v>CIF HK</v>
          </cell>
          <cell r="AI1154"/>
          <cell r="AJ1154"/>
          <cell r="AK1154">
            <v>0.2</v>
          </cell>
          <cell r="AL1154">
            <v>1500000</v>
          </cell>
          <cell r="AM1154">
            <v>44168</v>
          </cell>
          <cell r="AN1154" t="str">
            <v>Yes</v>
          </cell>
          <cell r="AO1154">
            <v>0.8</v>
          </cell>
          <cell r="AP1154">
            <v>6000000</v>
          </cell>
          <cell r="AQ1154">
            <v>44649</v>
          </cell>
          <cell r="AR1154">
            <v>44649</v>
          </cell>
          <cell r="AS1154">
            <v>0</v>
          </cell>
          <cell r="AT1154">
            <v>0</v>
          </cell>
          <cell r="AX1154" t="str">
            <v>Yes</v>
          </cell>
          <cell r="AZ1154" t="str">
            <v>Y</v>
          </cell>
          <cell r="BA1154" t="str">
            <v>Yes</v>
          </cell>
        </row>
        <row r="1155">
          <cell r="B1155">
            <v>1005</v>
          </cell>
          <cell r="C1155" t="str">
            <v>C49SZX20200233JL</v>
          </cell>
          <cell r="D1155" t="str">
            <v>瑞福联</v>
          </cell>
          <cell r="E1155" t="str">
            <v>YSM10</v>
          </cell>
          <cell r="F1155" t="str">
            <v>#75724</v>
          </cell>
          <cell r="G1155" t="e">
            <v>#REF!</v>
          </cell>
          <cell r="H1155" t="e">
            <v>#REF!</v>
          </cell>
          <cell r="I1155" t="str">
            <v>L-&gt;R</v>
          </cell>
          <cell r="J1155" t="str">
            <v>MVC</v>
          </cell>
          <cell r="K1155">
            <v>1</v>
          </cell>
          <cell r="L1155">
            <v>110910</v>
          </cell>
          <cell r="M1155" t="str">
            <v>JUL 22</v>
          </cell>
          <cell r="N1155">
            <v>44762</v>
          </cell>
          <cell r="O1155">
            <v>11116783</v>
          </cell>
          <cell r="P1155">
            <v>7500000</v>
          </cell>
          <cell r="Q1155">
            <v>44770</v>
          </cell>
          <cell r="R1155" t="str">
            <v>No</v>
          </cell>
          <cell r="S1155" t="str">
            <v>C49</v>
          </cell>
          <cell r="T1155" t="str">
            <v>SOUTH</v>
          </cell>
          <cell r="U1155" t="str">
            <v>深圳</v>
          </cell>
          <cell r="V1155" t="str">
            <v>SZ 深圳</v>
          </cell>
          <cell r="W1155" t="str">
            <v>JL</v>
          </cell>
          <cell r="X1155" t="str">
            <v>JPY</v>
          </cell>
          <cell r="Y1155">
            <v>7500000</v>
          </cell>
          <cell r="Z1155">
            <v>1</v>
          </cell>
          <cell r="AA1155">
            <v>7500000</v>
          </cell>
          <cell r="AB1155">
            <v>7.17E-2</v>
          </cell>
          <cell r="AC1155">
            <v>537750</v>
          </cell>
          <cell r="AD1155">
            <v>64530</v>
          </cell>
          <cell r="AE1155">
            <v>0.12</v>
          </cell>
          <cell r="AF1155">
            <v>44175</v>
          </cell>
          <cell r="AG1155" t="str">
            <v>CIF HK</v>
          </cell>
          <cell r="AI1155"/>
          <cell r="AJ1155"/>
          <cell r="AK1155">
            <v>0.2</v>
          </cell>
          <cell r="AL1155">
            <v>1500000</v>
          </cell>
          <cell r="AM1155">
            <v>44169</v>
          </cell>
          <cell r="AN1155" t="str">
            <v>Yes</v>
          </cell>
          <cell r="AO1155">
            <v>0.8</v>
          </cell>
          <cell r="AP1155">
            <v>6000000</v>
          </cell>
          <cell r="AQ1155">
            <v>44700</v>
          </cell>
          <cell r="AR1155">
            <v>44700</v>
          </cell>
          <cell r="AS1155">
            <v>0</v>
          </cell>
          <cell r="AT1155">
            <v>0</v>
          </cell>
          <cell r="AX1155" t="str">
            <v>Yes</v>
          </cell>
          <cell r="AZ1155" t="str">
            <v>Y</v>
          </cell>
          <cell r="BA1155" t="str">
            <v>Yes</v>
          </cell>
        </row>
        <row r="1156">
          <cell r="B1156">
            <v>1006</v>
          </cell>
          <cell r="C1156" t="str">
            <v>C49SZX20200241JL</v>
          </cell>
          <cell r="D1156" t="str">
            <v>瑞福联</v>
          </cell>
          <cell r="E1156" t="str">
            <v>YSM20R-2</v>
          </cell>
          <cell r="F1156" t="str">
            <v>#75724</v>
          </cell>
          <cell r="G1156" t="e">
            <v>#REF!</v>
          </cell>
          <cell r="H1156" t="e">
            <v>#REF!</v>
          </cell>
          <cell r="I1156" t="str">
            <v>L-&gt;R</v>
          </cell>
          <cell r="J1156" t="str">
            <v>No</v>
          </cell>
          <cell r="K1156">
            <v>1</v>
          </cell>
          <cell r="L1156" t="e">
            <v>#N/A</v>
          </cell>
          <cell r="M1156" t="e">
            <v>#N/A</v>
          </cell>
          <cell r="N1156"/>
          <cell r="O1156"/>
          <cell r="P1156"/>
          <cell r="Q1156"/>
          <cell r="R1156" t="str">
            <v>No</v>
          </cell>
          <cell r="S1156" t="str">
            <v>C49</v>
          </cell>
          <cell r="T1156" t="str">
            <v>SOUTH</v>
          </cell>
          <cell r="U1156" t="str">
            <v>深圳</v>
          </cell>
          <cell r="V1156" t="str">
            <v>SZ 深圳</v>
          </cell>
          <cell r="W1156" t="str">
            <v>JL</v>
          </cell>
          <cell r="X1156" t="str">
            <v>JPY</v>
          </cell>
          <cell r="Y1156">
            <v>11530000</v>
          </cell>
          <cell r="Z1156">
            <v>1</v>
          </cell>
          <cell r="AA1156">
            <v>11530000</v>
          </cell>
          <cell r="AB1156">
            <v>7.6100000000000001E-2</v>
          </cell>
          <cell r="AC1156">
            <v>877433</v>
          </cell>
          <cell r="AD1156">
            <v>105291.95999999999</v>
          </cell>
          <cell r="AE1156">
            <v>0.12</v>
          </cell>
          <cell r="AF1156">
            <v>44175</v>
          </cell>
          <cell r="AG1156" t="str">
            <v>CIF HK</v>
          </cell>
          <cell r="AI1156"/>
          <cell r="AJ1156"/>
          <cell r="AK1156">
            <v>0.2</v>
          </cell>
          <cell r="AL1156">
            <v>2306000</v>
          </cell>
          <cell r="AM1156"/>
          <cell r="AN1156" t="str">
            <v>No</v>
          </cell>
          <cell r="AO1156">
            <v>0.8</v>
          </cell>
          <cell r="AP1156">
            <v>9224000</v>
          </cell>
          <cell r="AQ1156"/>
          <cell r="AR1156"/>
          <cell r="AS1156">
            <v>0</v>
          </cell>
          <cell r="AT1156">
            <v>0</v>
          </cell>
          <cell r="AV1156"/>
          <cell r="AX1156" t="str">
            <v>Cancel</v>
          </cell>
          <cell r="AY1156"/>
          <cell r="AZ1156"/>
          <cell r="BA1156" t="str">
            <v>Cancel</v>
          </cell>
          <cell r="BB1156" t="str">
            <v>2022-8-2Ken邮件通知</v>
          </cell>
        </row>
        <row r="1157">
          <cell r="B1157">
            <v>1007</v>
          </cell>
          <cell r="C1157" t="str">
            <v>C49SZX20200241JL</v>
          </cell>
          <cell r="D1157" t="str">
            <v>瑞福联</v>
          </cell>
          <cell r="E1157" t="str">
            <v>YSM20R-2</v>
          </cell>
          <cell r="F1157" t="str">
            <v>#75724</v>
          </cell>
          <cell r="G1157" t="e">
            <v>#REF!</v>
          </cell>
          <cell r="H1157" t="e">
            <v>#REF!</v>
          </cell>
          <cell r="I1157" t="str">
            <v>L-&gt;R</v>
          </cell>
          <cell r="J1157" t="str">
            <v>No</v>
          </cell>
          <cell r="K1157">
            <v>1</v>
          </cell>
          <cell r="L1157" t="e">
            <v>#N/A</v>
          </cell>
          <cell r="M1157" t="e">
            <v>#N/A</v>
          </cell>
          <cell r="N1157"/>
          <cell r="O1157"/>
          <cell r="P1157"/>
          <cell r="Q1157"/>
          <cell r="R1157" t="str">
            <v>No</v>
          </cell>
          <cell r="S1157" t="str">
            <v>C49</v>
          </cell>
          <cell r="T1157" t="str">
            <v>SOUTH</v>
          </cell>
          <cell r="U1157" t="str">
            <v>深圳</v>
          </cell>
          <cell r="V1157" t="str">
            <v>SZ 深圳</v>
          </cell>
          <cell r="W1157" t="str">
            <v>JL</v>
          </cell>
          <cell r="X1157" t="str">
            <v>JPY</v>
          </cell>
          <cell r="Y1157">
            <v>11530000</v>
          </cell>
          <cell r="Z1157">
            <v>1</v>
          </cell>
          <cell r="AA1157">
            <v>11530000</v>
          </cell>
          <cell r="AB1157">
            <v>7.6100000000000001E-2</v>
          </cell>
          <cell r="AC1157">
            <v>877433</v>
          </cell>
          <cell r="AD1157">
            <v>105291.95999999999</v>
          </cell>
          <cell r="AE1157">
            <v>0.12</v>
          </cell>
          <cell r="AF1157">
            <v>44175</v>
          </cell>
          <cell r="AG1157" t="str">
            <v>CIF HK</v>
          </cell>
          <cell r="AI1157"/>
          <cell r="AJ1157"/>
          <cell r="AK1157">
            <v>0.2</v>
          </cell>
          <cell r="AL1157">
            <v>2306000</v>
          </cell>
          <cell r="AM1157"/>
          <cell r="AN1157" t="str">
            <v>No</v>
          </cell>
          <cell r="AO1157">
            <v>0.8</v>
          </cell>
          <cell r="AP1157">
            <v>9224000</v>
          </cell>
          <cell r="AQ1157"/>
          <cell r="AR1157"/>
          <cell r="AS1157">
            <v>0</v>
          </cell>
          <cell r="AT1157">
            <v>0</v>
          </cell>
          <cell r="AV1157"/>
          <cell r="AX1157" t="str">
            <v>Cancel</v>
          </cell>
          <cell r="AY1157"/>
          <cell r="AZ1157"/>
          <cell r="BA1157" t="str">
            <v>Cancel</v>
          </cell>
          <cell r="BB1157" t="str">
            <v>2022-8-2Ken邮件通知</v>
          </cell>
        </row>
        <row r="1158">
          <cell r="B1158">
            <v>1008</v>
          </cell>
          <cell r="C1158" t="str">
            <v>C49SZX20200241JL</v>
          </cell>
          <cell r="D1158" t="str">
            <v>瑞福联</v>
          </cell>
          <cell r="E1158" t="str">
            <v>YSM20R-2</v>
          </cell>
          <cell r="F1158" t="str">
            <v>#75724</v>
          </cell>
          <cell r="G1158" t="e">
            <v>#REF!</v>
          </cell>
          <cell r="H1158" t="e">
            <v>#REF!</v>
          </cell>
          <cell r="I1158" t="str">
            <v>L-&gt;R</v>
          </cell>
          <cell r="J1158" t="str">
            <v>No</v>
          </cell>
          <cell r="K1158">
            <v>1</v>
          </cell>
          <cell r="L1158" t="e">
            <v>#N/A</v>
          </cell>
          <cell r="M1158" t="e">
            <v>#N/A</v>
          </cell>
          <cell r="N1158"/>
          <cell r="O1158"/>
          <cell r="P1158"/>
          <cell r="Q1158"/>
          <cell r="R1158" t="str">
            <v>No</v>
          </cell>
          <cell r="S1158" t="str">
            <v>C49</v>
          </cell>
          <cell r="T1158" t="str">
            <v>SOUTH</v>
          </cell>
          <cell r="U1158" t="str">
            <v>深圳</v>
          </cell>
          <cell r="V1158" t="str">
            <v>SZ 深圳</v>
          </cell>
          <cell r="W1158" t="str">
            <v>JL</v>
          </cell>
          <cell r="X1158" t="str">
            <v>JPY</v>
          </cell>
          <cell r="Y1158">
            <v>11530000</v>
          </cell>
          <cell r="Z1158">
            <v>1</v>
          </cell>
          <cell r="AA1158">
            <v>11530000</v>
          </cell>
          <cell r="AB1158">
            <v>7.6100000000000001E-2</v>
          </cell>
          <cell r="AC1158">
            <v>877433</v>
          </cell>
          <cell r="AD1158">
            <v>105291.95999999999</v>
          </cell>
          <cell r="AE1158">
            <v>0.12</v>
          </cell>
          <cell r="AF1158">
            <v>44175</v>
          </cell>
          <cell r="AG1158" t="str">
            <v>CIF HK</v>
          </cell>
          <cell r="AI1158"/>
          <cell r="AJ1158"/>
          <cell r="AK1158">
            <v>0.2</v>
          </cell>
          <cell r="AL1158">
            <v>2306000</v>
          </cell>
          <cell r="AM1158"/>
          <cell r="AN1158" t="str">
            <v>No</v>
          </cell>
          <cell r="AO1158">
            <v>0.8</v>
          </cell>
          <cell r="AP1158">
            <v>9224000</v>
          </cell>
          <cell r="AQ1158"/>
          <cell r="AR1158"/>
          <cell r="AS1158">
            <v>0</v>
          </cell>
          <cell r="AT1158">
            <v>0</v>
          </cell>
          <cell r="AV1158"/>
          <cell r="AX1158" t="str">
            <v>Cancel</v>
          </cell>
          <cell r="AY1158"/>
          <cell r="AZ1158"/>
          <cell r="BA1158" t="str">
            <v>Cancel</v>
          </cell>
          <cell r="BB1158" t="str">
            <v>2022-8-2Ken邮件通知</v>
          </cell>
        </row>
        <row r="1159">
          <cell r="B1159">
            <v>1009</v>
          </cell>
          <cell r="C1159" t="str">
            <v>C49SZX20200241JL</v>
          </cell>
          <cell r="D1159" t="str">
            <v>瑞福联</v>
          </cell>
          <cell r="E1159" t="str">
            <v>YSM20R-2</v>
          </cell>
          <cell r="F1159" t="str">
            <v>#75724</v>
          </cell>
          <cell r="G1159" t="e">
            <v>#REF!</v>
          </cell>
          <cell r="H1159" t="e">
            <v>#REF!</v>
          </cell>
          <cell r="I1159" t="str">
            <v>L-&gt;R</v>
          </cell>
          <cell r="J1159" t="str">
            <v>No</v>
          </cell>
          <cell r="K1159">
            <v>1</v>
          </cell>
          <cell r="L1159" t="e">
            <v>#N/A</v>
          </cell>
          <cell r="M1159" t="e">
            <v>#N/A</v>
          </cell>
          <cell r="N1159"/>
          <cell r="O1159"/>
          <cell r="P1159"/>
          <cell r="Q1159"/>
          <cell r="R1159" t="str">
            <v>No</v>
          </cell>
          <cell r="S1159" t="str">
            <v>C49</v>
          </cell>
          <cell r="T1159" t="str">
            <v>SOUTH</v>
          </cell>
          <cell r="U1159" t="str">
            <v>深圳</v>
          </cell>
          <cell r="V1159" t="str">
            <v>SZ 深圳</v>
          </cell>
          <cell r="W1159" t="str">
            <v>JL</v>
          </cell>
          <cell r="X1159" t="str">
            <v>JPY</v>
          </cell>
          <cell r="Y1159">
            <v>11530000</v>
          </cell>
          <cell r="Z1159">
            <v>1</v>
          </cell>
          <cell r="AA1159">
            <v>11530000</v>
          </cell>
          <cell r="AB1159">
            <v>7.6100000000000001E-2</v>
          </cell>
          <cell r="AC1159">
            <v>877433</v>
          </cell>
          <cell r="AD1159">
            <v>105291.95999999999</v>
          </cell>
          <cell r="AE1159">
            <v>0.12</v>
          </cell>
          <cell r="AF1159">
            <v>44175</v>
          </cell>
          <cell r="AG1159" t="str">
            <v>CIF HK</v>
          </cell>
          <cell r="AI1159"/>
          <cell r="AJ1159"/>
          <cell r="AK1159">
            <v>0.2</v>
          </cell>
          <cell r="AL1159">
            <v>2306000</v>
          </cell>
          <cell r="AM1159"/>
          <cell r="AN1159" t="str">
            <v>No</v>
          </cell>
          <cell r="AO1159">
            <v>0.8</v>
          </cell>
          <cell r="AP1159">
            <v>9224000</v>
          </cell>
          <cell r="AQ1159"/>
          <cell r="AR1159"/>
          <cell r="AS1159">
            <v>0</v>
          </cell>
          <cell r="AT1159">
            <v>0</v>
          </cell>
          <cell r="AV1159"/>
          <cell r="AX1159" t="str">
            <v>Cancel</v>
          </cell>
          <cell r="AY1159"/>
          <cell r="AZ1159"/>
          <cell r="BA1159" t="str">
            <v>Cancel</v>
          </cell>
          <cell r="BB1159" t="str">
            <v>2022-8-2Ken邮件通知</v>
          </cell>
        </row>
        <row r="1160">
          <cell r="B1160">
            <v>1010</v>
          </cell>
          <cell r="C1160" t="str">
            <v>C49SZX20200241JL</v>
          </cell>
          <cell r="D1160" t="str">
            <v>瑞福联</v>
          </cell>
          <cell r="E1160" t="str">
            <v>YSM10</v>
          </cell>
          <cell r="F1160" t="str">
            <v>#75724</v>
          </cell>
          <cell r="G1160" t="e">
            <v>#REF!</v>
          </cell>
          <cell r="H1160" t="e">
            <v>#REF!</v>
          </cell>
          <cell r="I1160" t="str">
            <v>L-&gt;R</v>
          </cell>
          <cell r="J1160" t="str">
            <v>MVC</v>
          </cell>
          <cell r="K1160">
            <v>1</v>
          </cell>
          <cell r="L1160" t="e">
            <v>#N/A</v>
          </cell>
          <cell r="M1160" t="e">
            <v>#N/A</v>
          </cell>
          <cell r="N1160"/>
          <cell r="O1160"/>
          <cell r="P1160"/>
          <cell r="Q1160"/>
          <cell r="R1160" t="str">
            <v>No</v>
          </cell>
          <cell r="S1160" t="str">
            <v>C49</v>
          </cell>
          <cell r="T1160" t="str">
            <v>SOUTH</v>
          </cell>
          <cell r="U1160" t="str">
            <v>深圳</v>
          </cell>
          <cell r="V1160" t="str">
            <v>SZ 深圳</v>
          </cell>
          <cell r="W1160" t="str">
            <v>JL</v>
          </cell>
          <cell r="X1160" t="str">
            <v>JPY</v>
          </cell>
          <cell r="Y1160">
            <v>7500000</v>
          </cell>
          <cell r="Z1160">
            <v>1</v>
          </cell>
          <cell r="AA1160">
            <v>7500000</v>
          </cell>
          <cell r="AB1160">
            <v>7.6100000000000001E-2</v>
          </cell>
          <cell r="AC1160">
            <v>570750</v>
          </cell>
          <cell r="AD1160">
            <v>68490</v>
          </cell>
          <cell r="AE1160">
            <v>0.12</v>
          </cell>
          <cell r="AF1160">
            <v>44175</v>
          </cell>
          <cell r="AG1160" t="str">
            <v>CIF HK</v>
          </cell>
          <cell r="AI1160"/>
          <cell r="AJ1160"/>
          <cell r="AK1160">
            <v>0.2</v>
          </cell>
          <cell r="AL1160">
            <v>1500000</v>
          </cell>
          <cell r="AM1160"/>
          <cell r="AN1160" t="str">
            <v>No</v>
          </cell>
          <cell r="AO1160">
            <v>0.8</v>
          </cell>
          <cell r="AP1160">
            <v>6000000</v>
          </cell>
          <cell r="AQ1160"/>
          <cell r="AR1160"/>
          <cell r="AS1160">
            <v>0</v>
          </cell>
          <cell r="AT1160">
            <v>0</v>
          </cell>
          <cell r="AV1160"/>
          <cell r="AX1160" t="str">
            <v>Cancel</v>
          </cell>
          <cell r="AY1160"/>
          <cell r="AZ1160"/>
          <cell r="BA1160" t="str">
            <v>Cancel</v>
          </cell>
          <cell r="BB1160" t="str">
            <v>2022-8-2Ken邮件通知</v>
          </cell>
        </row>
        <row r="1161">
          <cell r="B1161">
            <v>1011</v>
          </cell>
          <cell r="C1161" t="str">
            <v>C49SZX20200241JL</v>
          </cell>
          <cell r="D1161" t="str">
            <v>瑞福联</v>
          </cell>
          <cell r="E1161" t="str">
            <v>YSM10</v>
          </cell>
          <cell r="F1161" t="str">
            <v>#75724</v>
          </cell>
          <cell r="G1161" t="e">
            <v>#REF!</v>
          </cell>
          <cell r="H1161" t="e">
            <v>#REF!</v>
          </cell>
          <cell r="I1161" t="str">
            <v>L-&gt;R</v>
          </cell>
          <cell r="J1161" t="str">
            <v>MVC</v>
          </cell>
          <cell r="K1161">
            <v>1</v>
          </cell>
          <cell r="L1161" t="e">
            <v>#N/A</v>
          </cell>
          <cell r="M1161" t="e">
            <v>#N/A</v>
          </cell>
          <cell r="N1161"/>
          <cell r="O1161"/>
          <cell r="P1161"/>
          <cell r="Q1161"/>
          <cell r="R1161" t="str">
            <v>No</v>
          </cell>
          <cell r="S1161" t="str">
            <v>C49</v>
          </cell>
          <cell r="T1161" t="str">
            <v>SOUTH</v>
          </cell>
          <cell r="U1161" t="str">
            <v>深圳</v>
          </cell>
          <cell r="V1161" t="str">
            <v>SZ 深圳</v>
          </cell>
          <cell r="W1161" t="str">
            <v>JL</v>
          </cell>
          <cell r="X1161" t="str">
            <v>JPY</v>
          </cell>
          <cell r="Y1161">
            <v>7500000</v>
          </cell>
          <cell r="Z1161">
            <v>1</v>
          </cell>
          <cell r="AA1161">
            <v>7500000</v>
          </cell>
          <cell r="AB1161">
            <v>7.6100000000000001E-2</v>
          </cell>
          <cell r="AC1161">
            <v>570750</v>
          </cell>
          <cell r="AD1161">
            <v>68490</v>
          </cell>
          <cell r="AE1161">
            <v>0.12</v>
          </cell>
          <cell r="AF1161">
            <v>44175</v>
          </cell>
          <cell r="AG1161" t="str">
            <v>CIF HK</v>
          </cell>
          <cell r="AI1161"/>
          <cell r="AJ1161"/>
          <cell r="AK1161">
            <v>0.2</v>
          </cell>
          <cell r="AL1161">
            <v>1500000</v>
          </cell>
          <cell r="AM1161"/>
          <cell r="AN1161" t="str">
            <v>No</v>
          </cell>
          <cell r="AO1161">
            <v>0.8</v>
          </cell>
          <cell r="AP1161">
            <v>6000000</v>
          </cell>
          <cell r="AQ1161"/>
          <cell r="AR1161"/>
          <cell r="AS1161">
            <v>0</v>
          </cell>
          <cell r="AT1161">
            <v>0</v>
          </cell>
          <cell r="AV1161"/>
          <cell r="AX1161" t="str">
            <v>Cancel</v>
          </cell>
          <cell r="AY1161"/>
          <cell r="AZ1161"/>
          <cell r="BA1161" t="str">
            <v>Cancel</v>
          </cell>
          <cell r="BB1161" t="str">
            <v>2022-8-2Ken邮件通知</v>
          </cell>
        </row>
        <row r="1162">
          <cell r="B1162">
            <v>1012</v>
          </cell>
          <cell r="C1162" t="str">
            <v>C49SZX20200241JL</v>
          </cell>
          <cell r="D1162" t="str">
            <v>瑞福联</v>
          </cell>
          <cell r="E1162" t="str">
            <v>YSM10</v>
          </cell>
          <cell r="F1162" t="str">
            <v>#75724</v>
          </cell>
          <cell r="G1162" t="e">
            <v>#REF!</v>
          </cell>
          <cell r="H1162" t="e">
            <v>#REF!</v>
          </cell>
          <cell r="I1162" t="str">
            <v>L-&gt;R</v>
          </cell>
          <cell r="J1162" t="str">
            <v>MVC</v>
          </cell>
          <cell r="K1162">
            <v>1</v>
          </cell>
          <cell r="L1162" t="e">
            <v>#N/A</v>
          </cell>
          <cell r="M1162" t="e">
            <v>#N/A</v>
          </cell>
          <cell r="N1162"/>
          <cell r="O1162"/>
          <cell r="P1162"/>
          <cell r="Q1162"/>
          <cell r="R1162" t="str">
            <v>No</v>
          </cell>
          <cell r="S1162" t="str">
            <v>C49</v>
          </cell>
          <cell r="T1162" t="str">
            <v>SOUTH</v>
          </cell>
          <cell r="U1162" t="str">
            <v>深圳</v>
          </cell>
          <cell r="V1162" t="str">
            <v>SZ 深圳</v>
          </cell>
          <cell r="W1162" t="str">
            <v>JL</v>
          </cell>
          <cell r="X1162" t="str">
            <v>JPY</v>
          </cell>
          <cell r="Y1162">
            <v>7500000</v>
          </cell>
          <cell r="Z1162">
            <v>1</v>
          </cell>
          <cell r="AA1162">
            <v>7500000</v>
          </cell>
          <cell r="AB1162">
            <v>7.6100000000000001E-2</v>
          </cell>
          <cell r="AC1162">
            <v>570750</v>
          </cell>
          <cell r="AD1162">
            <v>68490</v>
          </cell>
          <cell r="AE1162">
            <v>0.12</v>
          </cell>
          <cell r="AF1162">
            <v>44175</v>
          </cell>
          <cell r="AG1162" t="str">
            <v>CIF HK</v>
          </cell>
          <cell r="AI1162"/>
          <cell r="AJ1162"/>
          <cell r="AK1162">
            <v>0.2</v>
          </cell>
          <cell r="AL1162">
            <v>1500000</v>
          </cell>
          <cell r="AM1162"/>
          <cell r="AN1162" t="str">
            <v>No</v>
          </cell>
          <cell r="AO1162">
            <v>0.8</v>
          </cell>
          <cell r="AP1162">
            <v>6000000</v>
          </cell>
          <cell r="AQ1162"/>
          <cell r="AR1162"/>
          <cell r="AS1162">
            <v>0</v>
          </cell>
          <cell r="AT1162">
            <v>0</v>
          </cell>
          <cell r="AV1162"/>
          <cell r="AX1162" t="str">
            <v>Cancel</v>
          </cell>
          <cell r="AY1162"/>
          <cell r="AZ1162"/>
          <cell r="BA1162" t="str">
            <v>Cancel</v>
          </cell>
          <cell r="BB1162" t="str">
            <v>2022-8-2Ken邮件通知</v>
          </cell>
        </row>
        <row r="1163">
          <cell r="B1163">
            <v>1013</v>
          </cell>
          <cell r="C1163" t="str">
            <v>C49SZX20200241JL</v>
          </cell>
          <cell r="D1163" t="str">
            <v>瑞福联</v>
          </cell>
          <cell r="E1163" t="str">
            <v>YSM10</v>
          </cell>
          <cell r="F1163" t="str">
            <v>#75724</v>
          </cell>
          <cell r="G1163" t="e">
            <v>#REF!</v>
          </cell>
          <cell r="H1163" t="e">
            <v>#REF!</v>
          </cell>
          <cell r="I1163" t="str">
            <v>L-&gt;R</v>
          </cell>
          <cell r="J1163" t="str">
            <v>MVC</v>
          </cell>
          <cell r="K1163">
            <v>1</v>
          </cell>
          <cell r="L1163" t="e">
            <v>#N/A</v>
          </cell>
          <cell r="M1163" t="e">
            <v>#N/A</v>
          </cell>
          <cell r="N1163"/>
          <cell r="O1163"/>
          <cell r="P1163"/>
          <cell r="Q1163"/>
          <cell r="R1163" t="str">
            <v>No</v>
          </cell>
          <cell r="S1163" t="str">
            <v>C49</v>
          </cell>
          <cell r="T1163" t="str">
            <v>SOUTH</v>
          </cell>
          <cell r="U1163" t="str">
            <v>深圳</v>
          </cell>
          <cell r="V1163" t="str">
            <v>SZ 深圳</v>
          </cell>
          <cell r="W1163" t="str">
            <v>JL</v>
          </cell>
          <cell r="X1163" t="str">
            <v>JPY</v>
          </cell>
          <cell r="Y1163">
            <v>7500000</v>
          </cell>
          <cell r="Z1163">
            <v>1</v>
          </cell>
          <cell r="AA1163">
            <v>7500000</v>
          </cell>
          <cell r="AB1163">
            <v>7.6100000000000001E-2</v>
          </cell>
          <cell r="AC1163">
            <v>570750</v>
          </cell>
          <cell r="AD1163">
            <v>68490</v>
          </cell>
          <cell r="AE1163">
            <v>0.12</v>
          </cell>
          <cell r="AF1163">
            <v>44175</v>
          </cell>
          <cell r="AG1163" t="str">
            <v>CIF HK</v>
          </cell>
          <cell r="AI1163"/>
          <cell r="AJ1163"/>
          <cell r="AK1163">
            <v>0.2</v>
          </cell>
          <cell r="AL1163">
            <v>1500000</v>
          </cell>
          <cell r="AM1163"/>
          <cell r="AN1163" t="str">
            <v>No</v>
          </cell>
          <cell r="AO1163">
            <v>0.8</v>
          </cell>
          <cell r="AP1163">
            <v>6000000</v>
          </cell>
          <cell r="AQ1163"/>
          <cell r="AR1163"/>
          <cell r="AS1163">
            <v>0</v>
          </cell>
          <cell r="AT1163">
            <v>0</v>
          </cell>
          <cell r="AV1163"/>
          <cell r="AX1163" t="str">
            <v>Cancel</v>
          </cell>
          <cell r="AY1163"/>
          <cell r="AZ1163"/>
          <cell r="BA1163" t="str">
            <v>Cancel</v>
          </cell>
          <cell r="BB1163" t="str">
            <v>2022-8-2Ken邮件通知</v>
          </cell>
        </row>
        <row r="1164">
          <cell r="B1164">
            <v>1014</v>
          </cell>
          <cell r="C1164" t="str">
            <v>C49SZX20200239JL</v>
          </cell>
          <cell r="D1164" t="str">
            <v>博实结</v>
          </cell>
          <cell r="E1164" t="str">
            <v>YSM20R-2</v>
          </cell>
          <cell r="F1164" t="str">
            <v>#03443</v>
          </cell>
          <cell r="G1164" t="e">
            <v>#REF!</v>
          </cell>
          <cell r="H1164" t="e">
            <v>#REF!</v>
          </cell>
          <cell r="I1164" t="str">
            <v>L-&gt;R</v>
          </cell>
          <cell r="J1164" t="str">
            <v>No</v>
          </cell>
          <cell r="K1164">
            <v>1</v>
          </cell>
          <cell r="L1164">
            <v>110174</v>
          </cell>
          <cell r="M1164" t="str">
            <v>MAR 21</v>
          </cell>
          <cell r="N1164">
            <v>44263</v>
          </cell>
          <cell r="O1164">
            <v>11116527</v>
          </cell>
          <cell r="P1164">
            <v>19000000</v>
          </cell>
          <cell r="Q1164">
            <v>44228</v>
          </cell>
          <cell r="R1164" t="str">
            <v>No</v>
          </cell>
          <cell r="S1164" t="str">
            <v>C49</v>
          </cell>
          <cell r="T1164" t="str">
            <v>SOUTH</v>
          </cell>
          <cell r="U1164" t="str">
            <v>深圳</v>
          </cell>
          <cell r="V1164" t="str">
            <v>SZ 深圳</v>
          </cell>
          <cell r="W1164" t="str">
            <v>JL</v>
          </cell>
          <cell r="X1164" t="str">
            <v>JPY</v>
          </cell>
          <cell r="Y1164">
            <v>19000000</v>
          </cell>
          <cell r="Z1164">
            <v>1</v>
          </cell>
          <cell r="AA1164">
            <v>19000000</v>
          </cell>
          <cell r="AB1164">
            <v>7.6100000000000001E-2</v>
          </cell>
          <cell r="AC1164">
            <v>1445900</v>
          </cell>
          <cell r="AD1164">
            <v>173508</v>
          </cell>
          <cell r="AE1164">
            <v>0.12</v>
          </cell>
          <cell r="AF1164">
            <v>44174</v>
          </cell>
          <cell r="AG1164" t="str">
            <v>CIF HK</v>
          </cell>
          <cell r="AK1164">
            <v>0.3</v>
          </cell>
          <cell r="AL1164">
            <v>5700000</v>
          </cell>
          <cell r="AM1164">
            <v>44166</v>
          </cell>
          <cell r="AN1164" t="str">
            <v>Yes</v>
          </cell>
          <cell r="AO1164">
            <v>0.6</v>
          </cell>
          <cell r="AP1164">
            <v>11400000</v>
          </cell>
          <cell r="AQ1164">
            <v>44252</v>
          </cell>
          <cell r="AR1164">
            <v>44252</v>
          </cell>
          <cell r="AS1164">
            <v>0.1</v>
          </cell>
          <cell r="AT1164">
            <v>1900000</v>
          </cell>
          <cell r="AU1164">
            <v>44377</v>
          </cell>
          <cell r="AV1164">
            <v>44377</v>
          </cell>
          <cell r="AX1164" t="str">
            <v>Yes</v>
          </cell>
          <cell r="AZ1164" t="str">
            <v>Y</v>
          </cell>
          <cell r="BA1164" t="str">
            <v>Yes</v>
          </cell>
        </row>
        <row r="1165">
          <cell r="B1165">
            <v>1015</v>
          </cell>
          <cell r="C1165" t="str">
            <v>C49SZX20200239JL</v>
          </cell>
          <cell r="D1165" t="str">
            <v>博实结</v>
          </cell>
          <cell r="E1165" t="str">
            <v>YSM20R-2</v>
          </cell>
          <cell r="F1165" t="str">
            <v>#03443</v>
          </cell>
          <cell r="G1165" t="e">
            <v>#REF!</v>
          </cell>
          <cell r="H1165" t="e">
            <v>#REF!</v>
          </cell>
          <cell r="I1165" t="str">
            <v>L-&gt;R</v>
          </cell>
          <cell r="J1165" t="str">
            <v>No</v>
          </cell>
          <cell r="K1165">
            <v>1</v>
          </cell>
          <cell r="L1165">
            <v>110174</v>
          </cell>
          <cell r="M1165" t="str">
            <v>FEB 21</v>
          </cell>
          <cell r="N1165">
            <v>44263</v>
          </cell>
          <cell r="O1165">
            <v>11116527</v>
          </cell>
          <cell r="P1165">
            <v>19000000</v>
          </cell>
          <cell r="Q1165">
            <v>44228</v>
          </cell>
          <cell r="R1165" t="str">
            <v>No</v>
          </cell>
          <cell r="S1165" t="str">
            <v>C49</v>
          </cell>
          <cell r="T1165" t="str">
            <v>SOUTH</v>
          </cell>
          <cell r="U1165" t="str">
            <v>深圳</v>
          </cell>
          <cell r="V1165" t="str">
            <v>SZ 深圳</v>
          </cell>
          <cell r="W1165" t="str">
            <v>JL</v>
          </cell>
          <cell r="X1165" t="str">
            <v>JPY</v>
          </cell>
          <cell r="Y1165">
            <v>19000000</v>
          </cell>
          <cell r="Z1165">
            <v>1</v>
          </cell>
          <cell r="AA1165">
            <v>19000000</v>
          </cell>
          <cell r="AB1165">
            <v>7.6100000000000001E-2</v>
          </cell>
          <cell r="AC1165">
            <v>1445900</v>
          </cell>
          <cell r="AD1165">
            <v>173508</v>
          </cell>
          <cell r="AE1165">
            <v>0.12</v>
          </cell>
          <cell r="AF1165">
            <v>44174</v>
          </cell>
          <cell r="AG1165" t="str">
            <v>CIF HK</v>
          </cell>
          <cell r="AK1165">
            <v>0.3</v>
          </cell>
          <cell r="AL1165">
            <v>5700000</v>
          </cell>
          <cell r="AM1165">
            <v>44167</v>
          </cell>
          <cell r="AN1165" t="str">
            <v>Yes</v>
          </cell>
          <cell r="AO1165">
            <v>0.6</v>
          </cell>
          <cell r="AP1165">
            <v>11400000</v>
          </cell>
          <cell r="AQ1165">
            <v>44252</v>
          </cell>
          <cell r="AR1165">
            <v>44252</v>
          </cell>
          <cell r="AS1165">
            <v>0.1</v>
          </cell>
          <cell r="AT1165">
            <v>1900000</v>
          </cell>
          <cell r="AU1165">
            <v>44377</v>
          </cell>
          <cell r="AV1165">
            <v>44377</v>
          </cell>
          <cell r="AX1165" t="str">
            <v>Yes</v>
          </cell>
          <cell r="AZ1165" t="str">
            <v>Y</v>
          </cell>
          <cell r="BA1165" t="str">
            <v>Yes</v>
          </cell>
        </row>
        <row r="1166">
          <cell r="B1166">
            <v>1016</v>
          </cell>
          <cell r="C1166" t="str">
            <v>C49SZX20200239JL</v>
          </cell>
          <cell r="D1166" t="str">
            <v>博实结</v>
          </cell>
          <cell r="E1166" t="str">
            <v>YSM10</v>
          </cell>
          <cell r="F1166" t="str">
            <v>#03443</v>
          </cell>
          <cell r="G1166" t="e">
            <v>#REF!</v>
          </cell>
          <cell r="H1166" t="e">
            <v>#REF!</v>
          </cell>
          <cell r="I1166" t="str">
            <v>L-&gt;R</v>
          </cell>
          <cell r="J1166" t="str">
            <v>MVC+ATS15</v>
          </cell>
          <cell r="K1166">
            <v>1</v>
          </cell>
          <cell r="L1166">
            <v>110151</v>
          </cell>
          <cell r="M1166" t="str">
            <v>MAR 21</v>
          </cell>
          <cell r="N1166">
            <v>44263</v>
          </cell>
          <cell r="O1166">
            <v>11116527</v>
          </cell>
          <cell r="P1166">
            <v>11000000</v>
          </cell>
          <cell r="Q1166">
            <v>44228</v>
          </cell>
          <cell r="R1166" t="str">
            <v>No</v>
          </cell>
          <cell r="S1166" t="str">
            <v>C49</v>
          </cell>
          <cell r="T1166" t="str">
            <v>SOUTH</v>
          </cell>
          <cell r="U1166" t="str">
            <v>深圳</v>
          </cell>
          <cell r="V1166" t="str">
            <v>SZ 深圳</v>
          </cell>
          <cell r="W1166" t="str">
            <v>JL</v>
          </cell>
          <cell r="X1166" t="str">
            <v>JPY</v>
          </cell>
          <cell r="Y1166">
            <v>11000000</v>
          </cell>
          <cell r="Z1166">
            <v>1</v>
          </cell>
          <cell r="AA1166">
            <v>11000000</v>
          </cell>
          <cell r="AB1166">
            <v>7.6100000000000001E-2</v>
          </cell>
          <cell r="AC1166">
            <v>837100</v>
          </cell>
          <cell r="AD1166">
            <v>100452</v>
          </cell>
          <cell r="AE1166">
            <v>0.12</v>
          </cell>
          <cell r="AF1166">
            <v>44174</v>
          </cell>
          <cell r="AG1166" t="str">
            <v>CIF HK</v>
          </cell>
          <cell r="AK1166">
            <v>0.3</v>
          </cell>
          <cell r="AL1166">
            <v>3300000</v>
          </cell>
          <cell r="AM1166">
            <v>44168</v>
          </cell>
          <cell r="AN1166" t="str">
            <v>Yes</v>
          </cell>
          <cell r="AO1166">
            <v>0.6</v>
          </cell>
          <cell r="AP1166">
            <v>6600000</v>
          </cell>
          <cell r="AQ1166">
            <v>44252</v>
          </cell>
          <cell r="AR1166">
            <v>44252</v>
          </cell>
          <cell r="AS1166">
            <v>0.1</v>
          </cell>
          <cell r="AT1166">
            <v>1100000</v>
          </cell>
          <cell r="AU1166">
            <v>44377</v>
          </cell>
          <cell r="AV1166">
            <v>44377</v>
          </cell>
          <cell r="AX1166" t="str">
            <v>Yes</v>
          </cell>
          <cell r="AZ1166" t="str">
            <v>Y</v>
          </cell>
          <cell r="BA1166" t="str">
            <v>Yes</v>
          </cell>
        </row>
        <row r="1167">
          <cell r="B1167">
            <v>1017</v>
          </cell>
          <cell r="C1167" t="str">
            <v>C49SZX20200239JL</v>
          </cell>
          <cell r="D1167" t="str">
            <v>博实结</v>
          </cell>
          <cell r="E1167" t="str">
            <v>YSM10</v>
          </cell>
          <cell r="F1167" t="str">
            <v>#03443</v>
          </cell>
          <cell r="G1167" t="e">
            <v>#REF!</v>
          </cell>
          <cell r="H1167" t="e">
            <v>#REF!</v>
          </cell>
          <cell r="I1167" t="str">
            <v>L-&gt;R</v>
          </cell>
          <cell r="J1167" t="str">
            <v>MVC+ATS15</v>
          </cell>
          <cell r="K1167">
            <v>1</v>
          </cell>
          <cell r="L1167">
            <v>110210</v>
          </cell>
          <cell r="M1167" t="str">
            <v>FEB 21</v>
          </cell>
          <cell r="N1167">
            <v>44263</v>
          </cell>
          <cell r="O1167">
            <v>11116532</v>
          </cell>
          <cell r="P1167">
            <v>11000000</v>
          </cell>
          <cell r="Q1167">
            <v>44279</v>
          </cell>
          <cell r="R1167" t="str">
            <v>No</v>
          </cell>
          <cell r="S1167" t="str">
            <v>C49</v>
          </cell>
          <cell r="T1167" t="str">
            <v>SOUTH</v>
          </cell>
          <cell r="U1167" t="str">
            <v>深圳</v>
          </cell>
          <cell r="V1167" t="str">
            <v>SZ 深圳</v>
          </cell>
          <cell r="W1167" t="str">
            <v>JL</v>
          </cell>
          <cell r="X1167" t="str">
            <v>JPY</v>
          </cell>
          <cell r="Y1167">
            <v>11000000</v>
          </cell>
          <cell r="Z1167">
            <v>1</v>
          </cell>
          <cell r="AA1167">
            <v>11000000</v>
          </cell>
          <cell r="AB1167">
            <v>7.6100000000000001E-2</v>
          </cell>
          <cell r="AC1167">
            <v>837100</v>
          </cell>
          <cell r="AD1167">
            <v>100452</v>
          </cell>
          <cell r="AE1167">
            <v>0.12</v>
          </cell>
          <cell r="AF1167">
            <v>44174</v>
          </cell>
          <cell r="AG1167" t="str">
            <v>CIF HK</v>
          </cell>
          <cell r="AK1167">
            <v>0.3</v>
          </cell>
          <cell r="AL1167">
            <v>3300000</v>
          </cell>
          <cell r="AM1167">
            <v>44169</v>
          </cell>
          <cell r="AN1167" t="str">
            <v>Yes</v>
          </cell>
          <cell r="AO1167">
            <v>0.6</v>
          </cell>
          <cell r="AP1167">
            <v>6600000</v>
          </cell>
          <cell r="AQ1167">
            <v>44252</v>
          </cell>
          <cell r="AR1167">
            <v>44252</v>
          </cell>
          <cell r="AS1167">
            <v>0.1</v>
          </cell>
          <cell r="AT1167">
            <v>1100000</v>
          </cell>
          <cell r="AU1167">
            <v>44377</v>
          </cell>
          <cell r="AV1167">
            <v>44377</v>
          </cell>
          <cell r="AX1167" t="str">
            <v>Yes</v>
          </cell>
          <cell r="AZ1167" t="str">
            <v>Y</v>
          </cell>
          <cell r="BA1167" t="str">
            <v>Yes</v>
          </cell>
        </row>
        <row r="1168">
          <cell r="B1168">
            <v>1018</v>
          </cell>
          <cell r="C1168" t="str">
            <v>C49SZX20200240MZ</v>
          </cell>
          <cell r="D1168" t="str">
            <v>鑫金鸿</v>
          </cell>
          <cell r="E1168" t="str">
            <v>YSM20R-2</v>
          </cell>
          <cell r="F1168" t="str">
            <v>#05389</v>
          </cell>
          <cell r="G1168" t="e">
            <v>#REF!</v>
          </cell>
          <cell r="H1168" t="e">
            <v>#REF!</v>
          </cell>
          <cell r="I1168" t="str">
            <v>L-&gt;R</v>
          </cell>
          <cell r="J1168" t="str">
            <v>No</v>
          </cell>
          <cell r="K1168">
            <v>1</v>
          </cell>
          <cell r="L1168">
            <v>110153</v>
          </cell>
          <cell r="M1168" t="str">
            <v>APR 21</v>
          </cell>
          <cell r="N1168">
            <v>44293</v>
          </cell>
          <cell r="O1168">
            <v>11116552</v>
          </cell>
          <cell r="P1168">
            <v>12800000</v>
          </cell>
          <cell r="Q1168">
            <v>44287</v>
          </cell>
          <cell r="R1168" t="str">
            <v>Yes</v>
          </cell>
          <cell r="S1168" t="str">
            <v>C49</v>
          </cell>
          <cell r="T1168" t="str">
            <v>SOUTH</v>
          </cell>
          <cell r="U1168" t="str">
            <v>深圳</v>
          </cell>
          <cell r="V1168" t="str">
            <v>SZ 深圳</v>
          </cell>
          <cell r="W1168" t="str">
            <v>MZ</v>
          </cell>
          <cell r="X1168" t="str">
            <v>JPY</v>
          </cell>
          <cell r="Y1168">
            <v>12800000</v>
          </cell>
          <cell r="Z1168">
            <v>1</v>
          </cell>
          <cell r="AA1168">
            <v>12800000</v>
          </cell>
          <cell r="AB1168">
            <v>7.6100000000000001E-2</v>
          </cell>
          <cell r="AC1168">
            <v>974080</v>
          </cell>
          <cell r="AD1168">
            <v>116889.59999999999</v>
          </cell>
          <cell r="AE1168">
            <v>0.12</v>
          </cell>
          <cell r="AF1168">
            <v>44174</v>
          </cell>
          <cell r="AG1168" t="str">
            <v>DAP SZ</v>
          </cell>
          <cell r="AK1168" t="str">
            <v>agree</v>
          </cell>
          <cell r="AL1168">
            <v>790101</v>
          </cell>
          <cell r="AM1168">
            <v>44166</v>
          </cell>
          <cell r="AN1168" t="str">
            <v>Yes</v>
          </cell>
          <cell r="AO1168" t="str">
            <v>agree</v>
          </cell>
          <cell r="AP1168">
            <v>12009899</v>
          </cell>
          <cell r="AQ1168">
            <v>44287</v>
          </cell>
          <cell r="AR1168">
            <v>44287</v>
          </cell>
          <cell r="AS1168">
            <v>0</v>
          </cell>
          <cell r="AT1168">
            <v>0</v>
          </cell>
          <cell r="AX1168" t="str">
            <v>Yes</v>
          </cell>
          <cell r="AZ1168" t="str">
            <v>Y</v>
          </cell>
          <cell r="BA1168" t="str">
            <v>Yes</v>
          </cell>
        </row>
        <row r="1169">
          <cell r="B1169">
            <v>1019</v>
          </cell>
          <cell r="C1169" t="str">
            <v>ZS202012031533</v>
          </cell>
          <cell r="D1169" t="str">
            <v>高伟</v>
          </cell>
          <cell r="E1169" t="str">
            <v>YSM10-HM5</v>
          </cell>
          <cell r="F1169" t="str">
            <v>#31725</v>
          </cell>
          <cell r="G1169" t="e">
            <v>#REF!</v>
          </cell>
          <cell r="H1169" t="e">
            <v>#REF!</v>
          </cell>
          <cell r="I1169" t="str">
            <v>L-&gt;R</v>
          </cell>
          <cell r="J1169" t="str">
            <v>MVC+ATS15</v>
          </cell>
          <cell r="K1169">
            <v>1</v>
          </cell>
          <cell r="L1169">
            <v>110251</v>
          </cell>
          <cell r="M1169" t="str">
            <v>MAR 21</v>
          </cell>
          <cell r="N1169">
            <v>44263</v>
          </cell>
          <cell r="O1169">
            <v>11116531</v>
          </cell>
          <cell r="P1169">
            <v>78997</v>
          </cell>
          <cell r="Q1169">
            <v>44256</v>
          </cell>
          <cell r="R1169" t="str">
            <v>No</v>
          </cell>
          <cell r="S1169" t="str">
            <v>C49</v>
          </cell>
          <cell r="T1169" t="str">
            <v>SOUTH</v>
          </cell>
          <cell r="U1169" t="str">
            <v>深圳</v>
          </cell>
          <cell r="V1169" t="str">
            <v>SZ 深圳</v>
          </cell>
          <cell r="W1169" t="str">
            <v>RW</v>
          </cell>
          <cell r="X1169" t="str">
            <v>USD</v>
          </cell>
          <cell r="Y1169">
            <v>78997</v>
          </cell>
          <cell r="Z1169">
            <v>1</v>
          </cell>
          <cell r="AA1169">
            <v>78997</v>
          </cell>
          <cell r="AB1169">
            <v>7.8</v>
          </cell>
          <cell r="AC1169">
            <v>616176.6</v>
          </cell>
          <cell r="AD1169">
            <v>73941.191999999995</v>
          </cell>
          <cell r="AE1169">
            <v>0.12</v>
          </cell>
          <cell r="AF1169">
            <v>44168</v>
          </cell>
          <cell r="AG1169" t="str">
            <v>CIF HK</v>
          </cell>
          <cell r="AK1169">
            <v>0.3</v>
          </cell>
          <cell r="AL1169">
            <v>23699.1</v>
          </cell>
          <cell r="AM1169">
            <v>44166</v>
          </cell>
          <cell r="AN1169" t="str">
            <v>Yes</v>
          </cell>
          <cell r="AO1169">
            <v>0.6</v>
          </cell>
          <cell r="AP1169">
            <v>47398.2</v>
          </cell>
          <cell r="AQ1169">
            <v>44260</v>
          </cell>
          <cell r="AR1169">
            <v>44260</v>
          </cell>
          <cell r="AS1169">
            <v>0.1</v>
          </cell>
          <cell r="AT1169">
            <v>7899.7000000000007</v>
          </cell>
          <cell r="AU1169">
            <v>44347</v>
          </cell>
          <cell r="AV1169">
            <v>44347</v>
          </cell>
          <cell r="AX1169" t="str">
            <v>Yes</v>
          </cell>
          <cell r="AZ1169" t="str">
            <v>Yes</v>
          </cell>
          <cell r="BA1169" t="str">
            <v>Yes</v>
          </cell>
        </row>
        <row r="1170">
          <cell r="B1170">
            <v>1020</v>
          </cell>
          <cell r="C1170" t="str">
            <v>C49SZX20200245MZ</v>
          </cell>
          <cell r="D1170" t="str">
            <v>新智杰光电</v>
          </cell>
          <cell r="E1170" t="str">
            <v>YSM20R-2</v>
          </cell>
          <cell r="F1170" t="str">
            <v>#57166</v>
          </cell>
          <cell r="G1170" t="e">
            <v>#REF!</v>
          </cell>
          <cell r="H1170" t="e">
            <v>#REF!</v>
          </cell>
          <cell r="I1170" t="str">
            <v>L-&gt;R</v>
          </cell>
          <cell r="J1170" t="str">
            <v>MVC</v>
          </cell>
          <cell r="K1170">
            <v>1</v>
          </cell>
          <cell r="L1170">
            <v>110176</v>
          </cell>
          <cell r="M1170" t="str">
            <v>MAR 21</v>
          </cell>
          <cell r="N1170">
            <v>44263</v>
          </cell>
          <cell r="O1170">
            <v>11116530</v>
          </cell>
          <cell r="P1170">
            <v>13300000</v>
          </cell>
          <cell r="Q1170">
            <v>44279</v>
          </cell>
          <cell r="R1170" t="str">
            <v>No</v>
          </cell>
          <cell r="S1170" t="str">
            <v>C49</v>
          </cell>
          <cell r="T1170" t="str">
            <v>SOUTH</v>
          </cell>
          <cell r="U1170" t="str">
            <v>深圳</v>
          </cell>
          <cell r="V1170" t="str">
            <v>SZ 深圳</v>
          </cell>
          <cell r="W1170" t="str">
            <v>MZ</v>
          </cell>
          <cell r="X1170" t="str">
            <v>JPY</v>
          </cell>
          <cell r="Y1170">
            <v>13300000</v>
          </cell>
          <cell r="Z1170">
            <v>1</v>
          </cell>
          <cell r="AA1170">
            <v>13300000</v>
          </cell>
          <cell r="AB1170">
            <v>7.6100000000000001E-2</v>
          </cell>
          <cell r="AC1170">
            <v>1012130</v>
          </cell>
          <cell r="AD1170">
            <v>121455.59999999999</v>
          </cell>
          <cell r="AE1170">
            <v>0.12</v>
          </cell>
          <cell r="AF1170">
            <v>44179</v>
          </cell>
          <cell r="AG1170" t="str">
            <v>DAP FS</v>
          </cell>
          <cell r="AK1170">
            <v>0.2</v>
          </cell>
          <cell r="AL1170">
            <v>2660000</v>
          </cell>
          <cell r="AM1170">
            <v>44166</v>
          </cell>
          <cell r="AN1170" t="str">
            <v>Yes</v>
          </cell>
          <cell r="AO1170">
            <v>0.8</v>
          </cell>
          <cell r="AP1170">
            <v>10640000</v>
          </cell>
          <cell r="AQ1170">
            <v>44258</v>
          </cell>
          <cell r="AR1170">
            <v>44258</v>
          </cell>
          <cell r="AS1170">
            <v>0</v>
          </cell>
          <cell r="AT1170">
            <v>0</v>
          </cell>
          <cell r="AX1170" t="str">
            <v>Yes</v>
          </cell>
          <cell r="AZ1170" t="str">
            <v>Y</v>
          </cell>
          <cell r="BA1170" t="str">
            <v>Yes</v>
          </cell>
        </row>
        <row r="1171">
          <cell r="B1171">
            <v>1021</v>
          </cell>
          <cell r="C1171" t="str">
            <v>PO#102970-ESE-LEL</v>
          </cell>
          <cell r="D1171" t="str">
            <v>力丰</v>
          </cell>
          <cell r="E1171" t="str">
            <v>SolderStar R-0625L</v>
          </cell>
          <cell r="F1171" t="str">
            <v>No</v>
          </cell>
          <cell r="G1171" t="e">
            <v>#REF!</v>
          </cell>
          <cell r="H1171" t="e">
            <v>#REF!</v>
          </cell>
          <cell r="I1171" t="str">
            <v>No</v>
          </cell>
          <cell r="J1171" t="str">
            <v>No</v>
          </cell>
          <cell r="K1171">
            <v>1</v>
          </cell>
          <cell r="L1171">
            <v>110064</v>
          </cell>
          <cell r="M1171" t="e">
            <v>#N/A</v>
          </cell>
          <cell r="N1171">
            <v>44180</v>
          </cell>
          <cell r="O1171">
            <v>11116482</v>
          </cell>
          <cell r="P1171">
            <v>3280</v>
          </cell>
          <cell r="Q1171">
            <v>44166</v>
          </cell>
          <cell r="R1171" t="str">
            <v>No</v>
          </cell>
          <cell r="S1171" t="str">
            <v>C28</v>
          </cell>
          <cell r="T1171" t="str">
            <v>SOUTH</v>
          </cell>
          <cell r="U1171" t="str">
            <v>深圳</v>
          </cell>
          <cell r="V1171" t="str">
            <v>SZ 深圳</v>
          </cell>
          <cell r="W1171" t="str">
            <v>KC</v>
          </cell>
          <cell r="X1171" t="str">
            <v>USD</v>
          </cell>
          <cell r="Y1171">
            <v>3280</v>
          </cell>
          <cell r="Z1171">
            <v>1</v>
          </cell>
          <cell r="AA1171">
            <v>3280</v>
          </cell>
          <cell r="AB1171">
            <v>7.8</v>
          </cell>
          <cell r="AC1171">
            <v>25584</v>
          </cell>
          <cell r="AD1171">
            <v>3070.08</v>
          </cell>
          <cell r="AE1171">
            <v>0.12</v>
          </cell>
          <cell r="AF1171">
            <v>44159</v>
          </cell>
          <cell r="AG1171" t="str">
            <v>含税到厂</v>
          </cell>
          <cell r="AL1171">
            <v>0</v>
          </cell>
          <cell r="AM1171">
            <v>44166</v>
          </cell>
          <cell r="AN1171" t="str">
            <v>Yes</v>
          </cell>
          <cell r="AO1171">
            <v>0</v>
          </cell>
          <cell r="AP1171">
            <v>0</v>
          </cell>
          <cell r="AS1171">
            <v>0</v>
          </cell>
          <cell r="AT1171">
            <v>0</v>
          </cell>
        </row>
        <row r="1172">
          <cell r="B1172">
            <v>1022</v>
          </cell>
          <cell r="C1172" t="str">
            <v>C49SZX20200230JY</v>
          </cell>
          <cell r="D1172" t="str">
            <v>海凌科达</v>
          </cell>
          <cell r="E1172" t="str">
            <v>YSM10</v>
          </cell>
          <cell r="F1172" t="str">
            <v>#67702</v>
          </cell>
          <cell r="G1172" t="e">
            <v>#REF!</v>
          </cell>
          <cell r="H1172" t="e">
            <v>#REF!</v>
          </cell>
          <cell r="I1172" t="str">
            <v>L-&gt;R</v>
          </cell>
          <cell r="J1172" t="str">
            <v>No</v>
          </cell>
          <cell r="K1172">
            <v>1</v>
          </cell>
          <cell r="L1172">
            <v>110172</v>
          </cell>
          <cell r="M1172" t="str">
            <v>MAR 21</v>
          </cell>
          <cell r="N1172">
            <v>44270</v>
          </cell>
          <cell r="O1172">
            <v>11116535</v>
          </cell>
          <cell r="P1172">
            <v>7587500</v>
          </cell>
          <cell r="Q1172">
            <v>44279</v>
          </cell>
          <cell r="R1172" t="str">
            <v>No</v>
          </cell>
          <cell r="S1172" t="str">
            <v>C49</v>
          </cell>
          <cell r="T1172" t="str">
            <v>SOUTH</v>
          </cell>
          <cell r="U1172" t="str">
            <v>深圳</v>
          </cell>
          <cell r="V1172" t="str">
            <v>SZ 深圳</v>
          </cell>
          <cell r="W1172" t="str">
            <v>JY</v>
          </cell>
          <cell r="X1172" t="str">
            <v>JPY</v>
          </cell>
          <cell r="Y1172">
            <v>7587500</v>
          </cell>
          <cell r="Z1172">
            <v>1</v>
          </cell>
          <cell r="AA1172">
            <v>7587500</v>
          </cell>
          <cell r="AB1172">
            <v>7.6100000000000001E-2</v>
          </cell>
          <cell r="AC1172">
            <v>577408.75</v>
          </cell>
          <cell r="AD1172">
            <v>69289.05</v>
          </cell>
          <cell r="AE1172">
            <v>0.12</v>
          </cell>
          <cell r="AF1172">
            <v>44180</v>
          </cell>
          <cell r="AG1172" t="str">
            <v>CIF HK</v>
          </cell>
          <cell r="AK1172">
            <v>0.1</v>
          </cell>
          <cell r="AL1172">
            <v>758750</v>
          </cell>
          <cell r="AM1172">
            <v>44166</v>
          </cell>
          <cell r="AN1172" t="str">
            <v>Yes</v>
          </cell>
          <cell r="AO1172">
            <v>0.9</v>
          </cell>
          <cell r="AP1172">
            <v>6828750</v>
          </cell>
          <cell r="AQ1172">
            <v>44265</v>
          </cell>
          <cell r="AR1172">
            <v>44265</v>
          </cell>
          <cell r="AS1172">
            <v>0</v>
          </cell>
          <cell r="AT1172">
            <v>0</v>
          </cell>
          <cell r="AX1172" t="str">
            <v>Yes</v>
          </cell>
          <cell r="AZ1172" t="str">
            <v>Y</v>
          </cell>
          <cell r="BA1172" t="str">
            <v>Yes</v>
          </cell>
        </row>
        <row r="1173">
          <cell r="B1173">
            <v>1023</v>
          </cell>
          <cell r="C1173" t="str">
            <v>C49SZX20200230JY</v>
          </cell>
          <cell r="D1173" t="str">
            <v>海凌科达</v>
          </cell>
          <cell r="E1173" t="str">
            <v>YSM10</v>
          </cell>
          <cell r="F1173" t="str">
            <v>#67702</v>
          </cell>
          <cell r="G1173" t="e">
            <v>#REF!</v>
          </cell>
          <cell r="H1173" t="e">
            <v>#REF!</v>
          </cell>
          <cell r="I1173" t="str">
            <v>L-&gt;R</v>
          </cell>
          <cell r="J1173" t="str">
            <v>No</v>
          </cell>
          <cell r="K1173">
            <v>1</v>
          </cell>
          <cell r="L1173">
            <v>110172</v>
          </cell>
          <cell r="M1173" t="str">
            <v>MAR 21</v>
          </cell>
          <cell r="N1173">
            <v>44270</v>
          </cell>
          <cell r="O1173">
            <v>11116535</v>
          </cell>
          <cell r="P1173">
            <v>7587500</v>
          </cell>
          <cell r="Q1173">
            <v>44279</v>
          </cell>
          <cell r="R1173" t="str">
            <v>No</v>
          </cell>
          <cell r="S1173" t="str">
            <v>C49</v>
          </cell>
          <cell r="T1173" t="str">
            <v>SOUTH</v>
          </cell>
          <cell r="U1173" t="str">
            <v>深圳</v>
          </cell>
          <cell r="V1173" t="str">
            <v>SZ 深圳</v>
          </cell>
          <cell r="W1173" t="str">
            <v>JY</v>
          </cell>
          <cell r="X1173" t="str">
            <v>JPY</v>
          </cell>
          <cell r="Y1173">
            <v>7587500</v>
          </cell>
          <cell r="Z1173">
            <v>1</v>
          </cell>
          <cell r="AA1173">
            <v>7587500</v>
          </cell>
          <cell r="AB1173">
            <v>7.6100000000000001E-2</v>
          </cell>
          <cell r="AC1173">
            <v>577408.75</v>
          </cell>
          <cell r="AD1173">
            <v>69289.05</v>
          </cell>
          <cell r="AE1173">
            <v>0.12</v>
          </cell>
          <cell r="AF1173">
            <v>44180</v>
          </cell>
          <cell r="AG1173" t="str">
            <v>CIF HK</v>
          </cell>
          <cell r="AK1173">
            <v>0.1</v>
          </cell>
          <cell r="AL1173">
            <v>758750</v>
          </cell>
          <cell r="AM1173">
            <v>44167</v>
          </cell>
          <cell r="AN1173" t="str">
            <v>Yes</v>
          </cell>
          <cell r="AO1173">
            <v>0.9</v>
          </cell>
          <cell r="AP1173">
            <v>6828750</v>
          </cell>
          <cell r="AQ1173">
            <v>44265</v>
          </cell>
          <cell r="AR1173">
            <v>44265</v>
          </cell>
          <cell r="AS1173">
            <v>0</v>
          </cell>
          <cell r="AT1173">
            <v>0</v>
          </cell>
          <cell r="AX1173" t="str">
            <v>Yes</v>
          </cell>
          <cell r="AZ1173" t="str">
            <v>Y</v>
          </cell>
          <cell r="BA1173" t="str">
            <v>Yes</v>
          </cell>
        </row>
        <row r="1174">
          <cell r="B1174">
            <v>1024</v>
          </cell>
          <cell r="C1174" t="str">
            <v>C49SZX20200230JY</v>
          </cell>
          <cell r="D1174" t="str">
            <v>海凌科达</v>
          </cell>
          <cell r="E1174" t="str">
            <v>YSM10</v>
          </cell>
          <cell r="F1174" t="str">
            <v>#67702</v>
          </cell>
          <cell r="G1174" t="e">
            <v>#REF!</v>
          </cell>
          <cell r="H1174" t="e">
            <v>#REF!</v>
          </cell>
          <cell r="I1174" t="str">
            <v>R-&gt;L</v>
          </cell>
          <cell r="J1174" t="str">
            <v>No</v>
          </cell>
          <cell r="K1174">
            <v>1</v>
          </cell>
          <cell r="L1174" t="str">
            <v>110172（拆分PO110275)</v>
          </cell>
          <cell r="M1174" t="str">
            <v>MAR 21</v>
          </cell>
          <cell r="N1174">
            <v>44270</v>
          </cell>
          <cell r="O1174">
            <v>11116535</v>
          </cell>
          <cell r="P1174">
            <v>7587500</v>
          </cell>
          <cell r="Q1174">
            <v>44279</v>
          </cell>
          <cell r="R1174" t="str">
            <v>No</v>
          </cell>
          <cell r="S1174" t="str">
            <v>C49</v>
          </cell>
          <cell r="T1174" t="str">
            <v>SOUTH</v>
          </cell>
          <cell r="U1174" t="str">
            <v>深圳</v>
          </cell>
          <cell r="V1174" t="str">
            <v>SZ 深圳</v>
          </cell>
          <cell r="W1174" t="str">
            <v>JY</v>
          </cell>
          <cell r="X1174" t="str">
            <v>JPY</v>
          </cell>
          <cell r="Y1174">
            <v>7587500</v>
          </cell>
          <cell r="Z1174">
            <v>1</v>
          </cell>
          <cell r="AA1174">
            <v>7587500</v>
          </cell>
          <cell r="AB1174">
            <v>7.6100000000000001E-2</v>
          </cell>
          <cell r="AC1174">
            <v>577408.75</v>
          </cell>
          <cell r="AD1174">
            <v>69289.05</v>
          </cell>
          <cell r="AE1174">
            <v>0.12</v>
          </cell>
          <cell r="AF1174">
            <v>44180</v>
          </cell>
          <cell r="AG1174" t="str">
            <v>CIF HK</v>
          </cell>
          <cell r="AK1174">
            <v>0.1</v>
          </cell>
          <cell r="AL1174">
            <v>758750</v>
          </cell>
          <cell r="AM1174">
            <v>44168</v>
          </cell>
          <cell r="AN1174" t="str">
            <v>Yes</v>
          </cell>
          <cell r="AO1174">
            <v>0.9</v>
          </cell>
          <cell r="AP1174">
            <v>6828750</v>
          </cell>
          <cell r="AQ1174">
            <v>44265</v>
          </cell>
          <cell r="AR1174">
            <v>44265</v>
          </cell>
          <cell r="AS1174">
            <v>0</v>
          </cell>
          <cell r="AT1174">
            <v>0</v>
          </cell>
          <cell r="AX1174" t="str">
            <v>Yes</v>
          </cell>
          <cell r="AZ1174" t="str">
            <v>Y</v>
          </cell>
          <cell r="BA1174" t="str">
            <v>Yes</v>
          </cell>
        </row>
        <row r="1175">
          <cell r="B1175">
            <v>1025</v>
          </cell>
          <cell r="C1175" t="str">
            <v>C49SZX20200230JY</v>
          </cell>
          <cell r="D1175" t="str">
            <v>海凌科达</v>
          </cell>
          <cell r="E1175" t="str">
            <v>YSM10</v>
          </cell>
          <cell r="F1175" t="str">
            <v>#67702</v>
          </cell>
          <cell r="G1175" t="e">
            <v>#REF!</v>
          </cell>
          <cell r="H1175" t="e">
            <v>#REF!</v>
          </cell>
          <cell r="I1175" t="str">
            <v>R-&gt;L</v>
          </cell>
          <cell r="J1175" t="str">
            <v>No</v>
          </cell>
          <cell r="K1175">
            <v>1</v>
          </cell>
          <cell r="L1175" t="str">
            <v>110172（拆分PO110275)</v>
          </cell>
          <cell r="M1175" t="str">
            <v>MAR 21</v>
          </cell>
          <cell r="N1175">
            <v>44270</v>
          </cell>
          <cell r="O1175">
            <v>11116535</v>
          </cell>
          <cell r="P1175">
            <v>7587500</v>
          </cell>
          <cell r="Q1175">
            <v>44279</v>
          </cell>
          <cell r="R1175" t="str">
            <v>No</v>
          </cell>
          <cell r="S1175" t="str">
            <v>C49</v>
          </cell>
          <cell r="T1175" t="str">
            <v>SOUTH</v>
          </cell>
          <cell r="U1175" t="str">
            <v>深圳</v>
          </cell>
          <cell r="V1175" t="str">
            <v>SZ 深圳</v>
          </cell>
          <cell r="W1175" t="str">
            <v>JY</v>
          </cell>
          <cell r="X1175" t="str">
            <v>JPY</v>
          </cell>
          <cell r="Y1175">
            <v>7587500</v>
          </cell>
          <cell r="Z1175">
            <v>1</v>
          </cell>
          <cell r="AA1175">
            <v>7587500</v>
          </cell>
          <cell r="AB1175">
            <v>7.6100000000000001E-2</v>
          </cell>
          <cell r="AC1175">
            <v>577408.75</v>
          </cell>
          <cell r="AD1175">
            <v>69289.05</v>
          </cell>
          <cell r="AE1175">
            <v>0.12</v>
          </cell>
          <cell r="AF1175">
            <v>44180</v>
          </cell>
          <cell r="AG1175" t="str">
            <v>CIF HK</v>
          </cell>
          <cell r="AK1175">
            <v>0.1</v>
          </cell>
          <cell r="AL1175">
            <v>758750</v>
          </cell>
          <cell r="AM1175">
            <v>44169</v>
          </cell>
          <cell r="AN1175" t="str">
            <v>Yes</v>
          </cell>
          <cell r="AO1175">
            <v>0.9</v>
          </cell>
          <cell r="AP1175">
            <v>6828750</v>
          </cell>
          <cell r="AQ1175">
            <v>44265</v>
          </cell>
          <cell r="AR1175">
            <v>44265</v>
          </cell>
          <cell r="AS1175">
            <v>0</v>
          </cell>
          <cell r="AT1175">
            <v>0</v>
          </cell>
          <cell r="AX1175" t="str">
            <v>Yes</v>
          </cell>
          <cell r="AZ1175" t="str">
            <v>Y</v>
          </cell>
          <cell r="BA1175" t="str">
            <v>Yes</v>
          </cell>
        </row>
        <row r="1176">
          <cell r="B1176">
            <v>1026</v>
          </cell>
          <cell r="C1176" t="str">
            <v>C49SZX20200242DZ</v>
          </cell>
          <cell r="D1176" t="str">
            <v>朗特</v>
          </cell>
          <cell r="E1176" t="str">
            <v>YSM10</v>
          </cell>
          <cell r="F1176" t="str">
            <v>#08242</v>
          </cell>
          <cell r="G1176" t="e">
            <v>#REF!</v>
          </cell>
          <cell r="H1176" t="e">
            <v>#REF!</v>
          </cell>
          <cell r="I1176" t="str">
            <v>R-&gt;L</v>
          </cell>
          <cell r="J1176" t="str">
            <v>MVC+ATS15</v>
          </cell>
          <cell r="K1176">
            <v>1</v>
          </cell>
          <cell r="L1176">
            <v>110049</v>
          </cell>
          <cell r="M1176" t="str">
            <v>JAN 21</v>
          </cell>
          <cell r="N1176">
            <v>44204</v>
          </cell>
          <cell r="O1176">
            <v>11116496</v>
          </cell>
          <cell r="P1176">
            <v>7700000</v>
          </cell>
          <cell r="Q1176">
            <v>44197</v>
          </cell>
          <cell r="R1176" t="str">
            <v>No</v>
          </cell>
          <cell r="S1176" t="str">
            <v>C49</v>
          </cell>
          <cell r="T1176" t="str">
            <v>SOUTH</v>
          </cell>
          <cell r="U1176" t="str">
            <v>深圳</v>
          </cell>
          <cell r="V1176" t="str">
            <v>SZ 深圳</v>
          </cell>
          <cell r="W1176" t="str">
            <v>DZ</v>
          </cell>
          <cell r="X1176" t="str">
            <v>JPY</v>
          </cell>
          <cell r="Y1176">
            <v>7700000</v>
          </cell>
          <cell r="Z1176">
            <v>1</v>
          </cell>
          <cell r="AA1176">
            <v>7700000</v>
          </cell>
          <cell r="AB1176">
            <v>7.6100000000000001E-2</v>
          </cell>
          <cell r="AC1176">
            <v>585970</v>
          </cell>
          <cell r="AD1176">
            <v>70316.399999999994</v>
          </cell>
          <cell r="AE1176">
            <v>0.12</v>
          </cell>
          <cell r="AF1176">
            <v>44182</v>
          </cell>
          <cell r="AG1176" t="str">
            <v>CIF HK</v>
          </cell>
          <cell r="AI1176" t="str">
            <v>CNY 250,000</v>
          </cell>
          <cell r="AJ1176">
            <v>44183</v>
          </cell>
          <cell r="AK1176">
            <v>0.3</v>
          </cell>
          <cell r="AL1176">
            <v>2310000</v>
          </cell>
          <cell r="AM1176">
            <v>44183</v>
          </cell>
          <cell r="AN1176" t="str">
            <v>Yes</v>
          </cell>
          <cell r="AO1176">
            <v>0.7</v>
          </cell>
          <cell r="AP1176">
            <v>5390000</v>
          </cell>
          <cell r="AQ1176">
            <v>44197</v>
          </cell>
          <cell r="AR1176">
            <v>44203</v>
          </cell>
          <cell r="AS1176">
            <v>0</v>
          </cell>
          <cell r="AT1176">
            <v>0</v>
          </cell>
          <cell r="AX1176" t="str">
            <v>Yes</v>
          </cell>
          <cell r="AZ1176" t="str">
            <v>Yes</v>
          </cell>
        </row>
        <row r="1177">
          <cell r="B1177">
            <v>1027</v>
          </cell>
          <cell r="C1177" t="str">
            <v>C49SZX20200242DZ</v>
          </cell>
          <cell r="D1177" t="str">
            <v>朗特</v>
          </cell>
          <cell r="E1177" t="str">
            <v>YSM10</v>
          </cell>
          <cell r="F1177" t="str">
            <v>#08242</v>
          </cell>
          <cell r="G1177" t="e">
            <v>#REF!</v>
          </cell>
          <cell r="H1177" t="e">
            <v>#REF!</v>
          </cell>
          <cell r="I1177" t="str">
            <v>R-&gt;L</v>
          </cell>
          <cell r="J1177" t="str">
            <v>MVC</v>
          </cell>
          <cell r="K1177">
            <v>1</v>
          </cell>
          <cell r="L1177">
            <v>110066</v>
          </cell>
          <cell r="M1177" t="str">
            <v>JAN 21</v>
          </cell>
          <cell r="N1177">
            <v>44204</v>
          </cell>
          <cell r="O1177">
            <v>11116496</v>
          </cell>
          <cell r="P1177">
            <v>7700000</v>
          </cell>
          <cell r="Q1177">
            <v>44198</v>
          </cell>
          <cell r="R1177" t="str">
            <v>No</v>
          </cell>
          <cell r="S1177" t="str">
            <v>C49</v>
          </cell>
          <cell r="T1177" t="str">
            <v>SOUTH</v>
          </cell>
          <cell r="U1177" t="str">
            <v>深圳</v>
          </cell>
          <cell r="V1177" t="str">
            <v>SZ 深圳</v>
          </cell>
          <cell r="W1177" t="str">
            <v>DZ</v>
          </cell>
          <cell r="X1177" t="str">
            <v>JPY</v>
          </cell>
          <cell r="Y1177">
            <v>7700000</v>
          </cell>
          <cell r="Z1177">
            <v>1</v>
          </cell>
          <cell r="AA1177">
            <v>7700000</v>
          </cell>
          <cell r="AB1177">
            <v>7.6100000000000001E-2</v>
          </cell>
          <cell r="AC1177">
            <v>585970</v>
          </cell>
          <cell r="AD1177">
            <v>70316.399999999994</v>
          </cell>
          <cell r="AE1177">
            <v>0.12</v>
          </cell>
          <cell r="AF1177">
            <v>44182</v>
          </cell>
          <cell r="AG1177" t="str">
            <v>CIF HK</v>
          </cell>
          <cell r="AI1177"/>
          <cell r="AJ1177"/>
          <cell r="AK1177">
            <v>0.3</v>
          </cell>
          <cell r="AL1177">
            <v>2310000</v>
          </cell>
          <cell r="AM1177">
            <v>44183</v>
          </cell>
          <cell r="AN1177" t="str">
            <v>Yes</v>
          </cell>
          <cell r="AO1177">
            <v>0.7</v>
          </cell>
          <cell r="AP1177">
            <v>5390000</v>
          </cell>
          <cell r="AQ1177">
            <v>44197</v>
          </cell>
          <cell r="AR1177">
            <v>44203</v>
          </cell>
          <cell r="AS1177">
            <v>0</v>
          </cell>
          <cell r="AT1177">
            <v>0</v>
          </cell>
          <cell r="AX1177" t="str">
            <v>Yes</v>
          </cell>
          <cell r="AZ1177" t="str">
            <v>Yes</v>
          </cell>
        </row>
        <row r="1178">
          <cell r="B1178">
            <v>1028</v>
          </cell>
          <cell r="C1178" t="str">
            <v>C49SZX20200243DZ</v>
          </cell>
          <cell r="D1178" t="str">
            <v>朗特</v>
          </cell>
          <cell r="E1178" t="str">
            <v>YSM20R-2</v>
          </cell>
          <cell r="F1178" t="str">
            <v>#08242</v>
          </cell>
          <cell r="G1178" t="e">
            <v>#REF!</v>
          </cell>
          <cell r="H1178" t="e">
            <v>#REF!</v>
          </cell>
          <cell r="I1178" t="str">
            <v>R-&gt;L</v>
          </cell>
          <cell r="J1178" t="str">
            <v>No</v>
          </cell>
          <cell r="K1178">
            <v>1</v>
          </cell>
          <cell r="L1178" t="str">
            <v>110287（拆单110276）</v>
          </cell>
          <cell r="M1178" t="str">
            <v>MAR 21</v>
          </cell>
          <cell r="R1178" t="str">
            <v>No</v>
          </cell>
          <cell r="S1178" t="str">
            <v>C49</v>
          </cell>
          <cell r="T1178" t="str">
            <v>SOUTH</v>
          </cell>
          <cell r="U1178" t="str">
            <v>深圳</v>
          </cell>
          <cell r="V1178" t="str">
            <v>SZ 深圳</v>
          </cell>
          <cell r="W1178" t="str">
            <v>DZ</v>
          </cell>
          <cell r="X1178" t="str">
            <v>JPY</v>
          </cell>
          <cell r="Y1178">
            <v>11900000</v>
          </cell>
          <cell r="Z1178">
            <v>1</v>
          </cell>
          <cell r="AA1178">
            <v>11900000</v>
          </cell>
          <cell r="AB1178">
            <v>7.6100000000000001E-2</v>
          </cell>
          <cell r="AC1178">
            <v>905590</v>
          </cell>
          <cell r="AD1178">
            <v>108670.8</v>
          </cell>
          <cell r="AE1178">
            <v>0.12</v>
          </cell>
          <cell r="AF1178">
            <v>44182</v>
          </cell>
          <cell r="AG1178" t="str">
            <v>CIF HK</v>
          </cell>
          <cell r="AK1178">
            <v>0.3</v>
          </cell>
          <cell r="AL1178">
            <v>3570000</v>
          </cell>
          <cell r="AM1178">
            <v>44197</v>
          </cell>
          <cell r="AN1178" t="str">
            <v>Yes</v>
          </cell>
          <cell r="AO1178">
            <v>0.7</v>
          </cell>
          <cell r="AP1178">
            <v>8329999.9999999991</v>
          </cell>
          <cell r="AQ1178">
            <v>44271</v>
          </cell>
          <cell r="AR1178">
            <v>44271</v>
          </cell>
          <cell r="AS1178">
            <v>0</v>
          </cell>
          <cell r="AT1178">
            <v>0</v>
          </cell>
          <cell r="AX1178" t="str">
            <v>Yes</v>
          </cell>
          <cell r="AZ1178" t="str">
            <v>Yes</v>
          </cell>
        </row>
        <row r="1179">
          <cell r="B1179">
            <v>1029</v>
          </cell>
          <cell r="C1179" t="str">
            <v>C49SZX20200243DZ</v>
          </cell>
          <cell r="D1179" t="str">
            <v>朗特</v>
          </cell>
          <cell r="E1179" t="str">
            <v>YSM20R-2</v>
          </cell>
          <cell r="F1179" t="str">
            <v>#08242</v>
          </cell>
          <cell r="G1179" t="e">
            <v>#REF!</v>
          </cell>
          <cell r="H1179" t="e">
            <v>#REF!</v>
          </cell>
          <cell r="I1179" t="str">
            <v>R-&gt;L</v>
          </cell>
          <cell r="J1179" t="str">
            <v>No</v>
          </cell>
          <cell r="K1179">
            <v>1</v>
          </cell>
          <cell r="L1179">
            <v>110287</v>
          </cell>
          <cell r="M1179" t="str">
            <v>MAR 21</v>
          </cell>
          <cell r="R1179" t="str">
            <v>No</v>
          </cell>
          <cell r="S1179" t="str">
            <v>C49</v>
          </cell>
          <cell r="T1179" t="str">
            <v>SOUTH</v>
          </cell>
          <cell r="U1179" t="str">
            <v>深圳</v>
          </cell>
          <cell r="V1179" t="str">
            <v>SZ 深圳</v>
          </cell>
          <cell r="W1179" t="str">
            <v>DZ</v>
          </cell>
          <cell r="X1179" t="str">
            <v>JPY</v>
          </cell>
          <cell r="Y1179">
            <v>11900000</v>
          </cell>
          <cell r="Z1179">
            <v>1</v>
          </cell>
          <cell r="AA1179">
            <v>11900000</v>
          </cell>
          <cell r="AB1179">
            <v>7.6100000000000001E-2</v>
          </cell>
          <cell r="AC1179">
            <v>905590</v>
          </cell>
          <cell r="AD1179">
            <v>108670.8</v>
          </cell>
          <cell r="AE1179">
            <v>0.12</v>
          </cell>
          <cell r="AF1179">
            <v>44182</v>
          </cell>
          <cell r="AG1179" t="str">
            <v>CIF HK</v>
          </cell>
          <cell r="AK1179">
            <v>0.3</v>
          </cell>
          <cell r="AL1179">
            <v>3570000</v>
          </cell>
          <cell r="AM1179">
            <v>44198</v>
          </cell>
          <cell r="AN1179" t="str">
            <v>Yes</v>
          </cell>
          <cell r="AO1179">
            <v>0.7</v>
          </cell>
          <cell r="AP1179">
            <v>8329999.9999999991</v>
          </cell>
          <cell r="AQ1179">
            <v>44271</v>
          </cell>
          <cell r="AR1179">
            <v>44271</v>
          </cell>
          <cell r="AS1179">
            <v>0</v>
          </cell>
          <cell r="AT1179">
            <v>0</v>
          </cell>
          <cell r="AX1179" t="str">
            <v>Yes</v>
          </cell>
          <cell r="AZ1179" t="str">
            <v>Yes</v>
          </cell>
        </row>
        <row r="1180">
          <cell r="B1180">
            <v>1030</v>
          </cell>
          <cell r="C1180" t="str">
            <v>C49SZX20200243DZ</v>
          </cell>
          <cell r="D1180" t="str">
            <v>朗特</v>
          </cell>
          <cell r="E1180" t="str">
            <v>YSM20R-2</v>
          </cell>
          <cell r="F1180" t="str">
            <v>#08242</v>
          </cell>
          <cell r="G1180" t="e">
            <v>#REF!</v>
          </cell>
          <cell r="H1180" t="e">
            <v>#REF!</v>
          </cell>
          <cell r="I1180" t="str">
            <v>R-&gt;L</v>
          </cell>
          <cell r="J1180" t="str">
            <v>No</v>
          </cell>
          <cell r="K1180">
            <v>1</v>
          </cell>
          <cell r="L1180">
            <v>110287</v>
          </cell>
          <cell r="M1180" t="str">
            <v>MAR 21</v>
          </cell>
          <cell r="R1180" t="str">
            <v>No</v>
          </cell>
          <cell r="S1180" t="str">
            <v>C49</v>
          </cell>
          <cell r="T1180" t="str">
            <v>SOUTH</v>
          </cell>
          <cell r="U1180" t="str">
            <v>深圳</v>
          </cell>
          <cell r="V1180" t="str">
            <v>SZ 深圳</v>
          </cell>
          <cell r="W1180" t="str">
            <v>DZ</v>
          </cell>
          <cell r="X1180" t="str">
            <v>JPY</v>
          </cell>
          <cell r="Y1180">
            <v>11900000</v>
          </cell>
          <cell r="Z1180">
            <v>1</v>
          </cell>
          <cell r="AA1180">
            <v>11900000</v>
          </cell>
          <cell r="AB1180">
            <v>7.6100000000000001E-2</v>
          </cell>
          <cell r="AC1180">
            <v>905590</v>
          </cell>
          <cell r="AD1180">
            <v>108670.8</v>
          </cell>
          <cell r="AE1180">
            <v>0.12</v>
          </cell>
          <cell r="AF1180">
            <v>44182</v>
          </cell>
          <cell r="AG1180" t="str">
            <v>CIF HK</v>
          </cell>
          <cell r="AK1180">
            <v>0.3</v>
          </cell>
          <cell r="AL1180">
            <v>3570000</v>
          </cell>
          <cell r="AM1180">
            <v>44199</v>
          </cell>
          <cell r="AN1180" t="str">
            <v>Yes</v>
          </cell>
          <cell r="AO1180">
            <v>0.7</v>
          </cell>
          <cell r="AP1180">
            <v>8329999.9999999991</v>
          </cell>
          <cell r="AQ1180">
            <v>44271</v>
          </cell>
          <cell r="AR1180">
            <v>44271</v>
          </cell>
          <cell r="AS1180">
            <v>0</v>
          </cell>
          <cell r="AT1180">
            <v>0</v>
          </cell>
          <cell r="AX1180" t="str">
            <v>Yes</v>
          </cell>
          <cell r="AZ1180" t="str">
            <v>Yes</v>
          </cell>
        </row>
        <row r="1181">
          <cell r="B1181">
            <v>1031</v>
          </cell>
          <cell r="C1181" t="str">
            <v>C49SZX20200243DZ</v>
          </cell>
          <cell r="D1181" t="str">
            <v>朗特</v>
          </cell>
          <cell r="E1181" t="str">
            <v>YSM10</v>
          </cell>
          <cell r="F1181" t="str">
            <v>#08242</v>
          </cell>
          <cell r="G1181" t="e">
            <v>#REF!</v>
          </cell>
          <cell r="H1181" t="e">
            <v>#REF!</v>
          </cell>
          <cell r="I1181" t="str">
            <v>R-&gt;L</v>
          </cell>
          <cell r="J1181" t="str">
            <v>MVC+ATS15</v>
          </cell>
          <cell r="K1181">
            <v>1</v>
          </cell>
          <cell r="L1181">
            <v>110237</v>
          </cell>
          <cell r="M1181" t="str">
            <v>MAR 21</v>
          </cell>
          <cell r="R1181" t="str">
            <v>No</v>
          </cell>
          <cell r="S1181" t="str">
            <v>C49</v>
          </cell>
          <cell r="T1181" t="str">
            <v>SOUTH</v>
          </cell>
          <cell r="U1181" t="str">
            <v>深圳</v>
          </cell>
          <cell r="V1181" t="str">
            <v>SZ 深圳</v>
          </cell>
          <cell r="W1181" t="str">
            <v>DZ</v>
          </cell>
          <cell r="X1181" t="str">
            <v>JPY</v>
          </cell>
          <cell r="Y1181">
            <v>7500000</v>
          </cell>
          <cell r="Z1181">
            <v>1</v>
          </cell>
          <cell r="AA1181">
            <v>7500000</v>
          </cell>
          <cell r="AB1181">
            <v>7.6100000000000001E-2</v>
          </cell>
          <cell r="AC1181">
            <v>570750</v>
          </cell>
          <cell r="AD1181">
            <v>68490</v>
          </cell>
          <cell r="AE1181">
            <v>0.12</v>
          </cell>
          <cell r="AF1181">
            <v>44182</v>
          </cell>
          <cell r="AG1181" t="str">
            <v>CIF HK</v>
          </cell>
          <cell r="AK1181">
            <v>0.3</v>
          </cell>
          <cell r="AL1181">
            <v>2250000</v>
          </cell>
          <cell r="AM1181">
            <v>44200</v>
          </cell>
          <cell r="AN1181" t="str">
            <v>Yes</v>
          </cell>
          <cell r="AO1181">
            <v>0.7</v>
          </cell>
          <cell r="AP1181">
            <v>5250000</v>
          </cell>
          <cell r="AQ1181">
            <v>44271</v>
          </cell>
          <cell r="AR1181">
            <v>44271</v>
          </cell>
          <cell r="AS1181">
            <v>0</v>
          </cell>
          <cell r="AT1181">
            <v>0</v>
          </cell>
          <cell r="AX1181" t="str">
            <v>Yes</v>
          </cell>
          <cell r="AZ1181" t="str">
            <v>Yes</v>
          </cell>
          <cell r="BA1181" t="str">
            <v>Yes</v>
          </cell>
        </row>
        <row r="1182">
          <cell r="B1182">
            <v>1032</v>
          </cell>
          <cell r="C1182" t="str">
            <v>C49SZX20200243DZ</v>
          </cell>
          <cell r="D1182" t="str">
            <v>朗特</v>
          </cell>
          <cell r="E1182" t="str">
            <v>YSM10</v>
          </cell>
          <cell r="F1182" t="str">
            <v>#08242</v>
          </cell>
          <cell r="G1182" t="e">
            <v>#REF!</v>
          </cell>
          <cell r="H1182" t="e">
            <v>#REF!</v>
          </cell>
          <cell r="I1182" t="str">
            <v>R-&gt;L</v>
          </cell>
          <cell r="J1182" t="str">
            <v>MVC+ATS15</v>
          </cell>
          <cell r="K1182">
            <v>1</v>
          </cell>
          <cell r="L1182">
            <v>110237</v>
          </cell>
          <cell r="M1182" t="str">
            <v>MAR 21</v>
          </cell>
          <cell r="R1182" t="str">
            <v>No</v>
          </cell>
          <cell r="S1182" t="str">
            <v>C49</v>
          </cell>
          <cell r="T1182" t="str">
            <v>SOUTH</v>
          </cell>
          <cell r="U1182" t="str">
            <v>深圳</v>
          </cell>
          <cell r="V1182" t="str">
            <v>SZ 深圳</v>
          </cell>
          <cell r="W1182" t="str">
            <v>DZ</v>
          </cell>
          <cell r="X1182" t="str">
            <v>JPY</v>
          </cell>
          <cell r="Y1182">
            <v>7500000</v>
          </cell>
          <cell r="Z1182">
            <v>1</v>
          </cell>
          <cell r="AA1182">
            <v>7500000</v>
          </cell>
          <cell r="AB1182">
            <v>7.6100000000000001E-2</v>
          </cell>
          <cell r="AC1182">
            <v>570750</v>
          </cell>
          <cell r="AD1182">
            <v>68490</v>
          </cell>
          <cell r="AE1182">
            <v>0.12</v>
          </cell>
          <cell r="AF1182">
            <v>44182</v>
          </cell>
          <cell r="AG1182" t="str">
            <v>CIF HK</v>
          </cell>
          <cell r="AK1182">
            <v>0.3</v>
          </cell>
          <cell r="AL1182">
            <v>2250000</v>
          </cell>
          <cell r="AM1182">
            <v>44201</v>
          </cell>
          <cell r="AN1182" t="str">
            <v>Yes</v>
          </cell>
          <cell r="AO1182">
            <v>0.7</v>
          </cell>
          <cell r="AP1182">
            <v>5250000</v>
          </cell>
          <cell r="AQ1182">
            <v>44271</v>
          </cell>
          <cell r="AR1182">
            <v>44271</v>
          </cell>
          <cell r="AS1182">
            <v>0</v>
          </cell>
          <cell r="AT1182">
            <v>0</v>
          </cell>
          <cell r="AX1182" t="str">
            <v>Yes</v>
          </cell>
          <cell r="AZ1182" t="str">
            <v>Yes</v>
          </cell>
          <cell r="BA1182" t="str">
            <v>Yes</v>
          </cell>
        </row>
        <row r="1183">
          <cell r="B1183">
            <v>1033</v>
          </cell>
          <cell r="C1183" t="str">
            <v>C49SZX20200243DZ</v>
          </cell>
          <cell r="D1183" t="str">
            <v>朗特</v>
          </cell>
          <cell r="E1183" t="str">
            <v>YSM10</v>
          </cell>
          <cell r="F1183" t="str">
            <v>#08242</v>
          </cell>
          <cell r="G1183" t="e">
            <v>#REF!</v>
          </cell>
          <cell r="H1183" t="e">
            <v>#REF!</v>
          </cell>
          <cell r="I1183" t="str">
            <v>R-&gt;L</v>
          </cell>
          <cell r="J1183" t="str">
            <v>MVC+ATS15</v>
          </cell>
          <cell r="K1183">
            <v>1</v>
          </cell>
          <cell r="L1183">
            <v>110237</v>
          </cell>
          <cell r="M1183" t="str">
            <v>APR 21</v>
          </cell>
          <cell r="R1183" t="str">
            <v>No</v>
          </cell>
          <cell r="S1183" t="str">
            <v>C49</v>
          </cell>
          <cell r="T1183" t="str">
            <v>SOUTH</v>
          </cell>
          <cell r="U1183" t="str">
            <v>深圳</v>
          </cell>
          <cell r="V1183" t="str">
            <v>SZ 深圳</v>
          </cell>
          <cell r="W1183" t="str">
            <v>DZ</v>
          </cell>
          <cell r="X1183" t="str">
            <v>JPY</v>
          </cell>
          <cell r="Y1183">
            <v>7500000</v>
          </cell>
          <cell r="Z1183">
            <v>1</v>
          </cell>
          <cell r="AA1183">
            <v>7500000</v>
          </cell>
          <cell r="AB1183">
            <v>7.6100000000000001E-2</v>
          </cell>
          <cell r="AC1183">
            <v>570750</v>
          </cell>
          <cell r="AD1183">
            <v>68490</v>
          </cell>
          <cell r="AE1183">
            <v>0.12</v>
          </cell>
          <cell r="AF1183">
            <v>44182</v>
          </cell>
          <cell r="AG1183" t="str">
            <v>CIF HK</v>
          </cell>
          <cell r="AK1183">
            <v>0.3</v>
          </cell>
          <cell r="AL1183">
            <v>2250000</v>
          </cell>
          <cell r="AM1183">
            <v>44202</v>
          </cell>
          <cell r="AN1183" t="str">
            <v>Yes</v>
          </cell>
          <cell r="AO1183">
            <v>0.7</v>
          </cell>
          <cell r="AP1183">
            <v>5250000</v>
          </cell>
          <cell r="AQ1183">
            <v>44271</v>
          </cell>
          <cell r="AR1183">
            <v>44271</v>
          </cell>
          <cell r="AS1183">
            <v>0</v>
          </cell>
          <cell r="AT1183">
            <v>0</v>
          </cell>
          <cell r="AX1183" t="str">
            <v>Yes</v>
          </cell>
          <cell r="AZ1183" t="str">
            <v>Yes</v>
          </cell>
          <cell r="BA1183" t="str">
            <v>Yes</v>
          </cell>
        </row>
        <row r="1184">
          <cell r="B1184">
            <v>1034</v>
          </cell>
          <cell r="C1184" t="str">
            <v>C49SZX20200243DZ</v>
          </cell>
          <cell r="D1184" t="str">
            <v>朗特</v>
          </cell>
          <cell r="E1184" t="str">
            <v>YSM10</v>
          </cell>
          <cell r="F1184" t="str">
            <v>#08242</v>
          </cell>
          <cell r="G1184" t="e">
            <v>#REF!</v>
          </cell>
          <cell r="H1184" t="e">
            <v>#REF!</v>
          </cell>
          <cell r="I1184" t="str">
            <v>R-&gt;L</v>
          </cell>
          <cell r="J1184" t="str">
            <v>No</v>
          </cell>
          <cell r="K1184">
            <v>1</v>
          </cell>
          <cell r="L1184">
            <v>110238</v>
          </cell>
          <cell r="M1184" t="str">
            <v>APR 21</v>
          </cell>
          <cell r="N1184">
            <v>44287</v>
          </cell>
          <cell r="O1184">
            <v>11116554</v>
          </cell>
          <cell r="P1184">
            <v>7500000</v>
          </cell>
          <cell r="Q1184">
            <v>44287</v>
          </cell>
          <cell r="R1184" t="str">
            <v>No</v>
          </cell>
          <cell r="S1184" t="str">
            <v>C49</v>
          </cell>
          <cell r="T1184" t="str">
            <v>SOUTH</v>
          </cell>
          <cell r="U1184" t="str">
            <v>深圳</v>
          </cell>
          <cell r="V1184" t="str">
            <v>SZ 深圳</v>
          </cell>
          <cell r="W1184" t="str">
            <v>DZ</v>
          </cell>
          <cell r="X1184" t="str">
            <v>JPY</v>
          </cell>
          <cell r="Y1184">
            <v>7500000</v>
          </cell>
          <cell r="Z1184">
            <v>1</v>
          </cell>
          <cell r="AA1184">
            <v>7500000</v>
          </cell>
          <cell r="AB1184">
            <v>7.6100000000000001E-2</v>
          </cell>
          <cell r="AC1184">
            <v>570750</v>
          </cell>
          <cell r="AD1184">
            <v>68490</v>
          </cell>
          <cell r="AE1184">
            <v>0.12</v>
          </cell>
          <cell r="AF1184">
            <v>44182</v>
          </cell>
          <cell r="AG1184" t="str">
            <v>CIF HK</v>
          </cell>
          <cell r="AK1184">
            <v>0.3</v>
          </cell>
          <cell r="AL1184">
            <v>2250000</v>
          </cell>
          <cell r="AM1184">
            <v>44203</v>
          </cell>
          <cell r="AN1184" t="str">
            <v>Yes</v>
          </cell>
          <cell r="AO1184">
            <v>0.7</v>
          </cell>
          <cell r="AP1184">
            <v>5250000</v>
          </cell>
          <cell r="AQ1184">
            <v>44285</v>
          </cell>
          <cell r="AR1184">
            <v>44285</v>
          </cell>
          <cell r="AS1184">
            <v>0</v>
          </cell>
          <cell r="AT1184">
            <v>0</v>
          </cell>
          <cell r="AX1184" t="str">
            <v>Yes</v>
          </cell>
          <cell r="AZ1184" t="str">
            <v>Yes</v>
          </cell>
          <cell r="BA1184" t="str">
            <v>Yes</v>
          </cell>
        </row>
        <row r="1185">
          <cell r="B1185">
            <v>1035</v>
          </cell>
          <cell r="C1185" t="str">
            <v>C49SZX20200243DZ</v>
          </cell>
          <cell r="D1185" t="str">
            <v>朗特</v>
          </cell>
          <cell r="E1185" t="str">
            <v>YSM10</v>
          </cell>
          <cell r="F1185" t="str">
            <v>#08242</v>
          </cell>
          <cell r="G1185" t="e">
            <v>#REF!</v>
          </cell>
          <cell r="H1185" t="e">
            <v>#REF!</v>
          </cell>
          <cell r="I1185" t="str">
            <v>R-&gt;L</v>
          </cell>
          <cell r="J1185" t="str">
            <v>No</v>
          </cell>
          <cell r="K1185">
            <v>1</v>
          </cell>
          <cell r="L1185">
            <v>110238</v>
          </cell>
          <cell r="M1185" t="str">
            <v>APR 21</v>
          </cell>
          <cell r="N1185">
            <v>44287</v>
          </cell>
          <cell r="O1185">
            <v>11116554</v>
          </cell>
          <cell r="P1185">
            <v>7500000</v>
          </cell>
          <cell r="Q1185">
            <v>44287</v>
          </cell>
          <cell r="R1185" t="str">
            <v>No</v>
          </cell>
          <cell r="S1185" t="str">
            <v>C49</v>
          </cell>
          <cell r="T1185" t="str">
            <v>SOUTH</v>
          </cell>
          <cell r="U1185" t="str">
            <v>深圳</v>
          </cell>
          <cell r="V1185" t="str">
            <v>SZ 深圳</v>
          </cell>
          <cell r="W1185" t="str">
            <v>DZ</v>
          </cell>
          <cell r="X1185" t="str">
            <v>JPY</v>
          </cell>
          <cell r="Y1185">
            <v>7500000</v>
          </cell>
          <cell r="Z1185">
            <v>1</v>
          </cell>
          <cell r="AA1185">
            <v>7500000</v>
          </cell>
          <cell r="AB1185">
            <v>7.6100000000000001E-2</v>
          </cell>
          <cell r="AC1185">
            <v>570750</v>
          </cell>
          <cell r="AD1185">
            <v>68490</v>
          </cell>
          <cell r="AE1185">
            <v>0.12</v>
          </cell>
          <cell r="AF1185">
            <v>44182</v>
          </cell>
          <cell r="AG1185" t="str">
            <v>CIF HK</v>
          </cell>
          <cell r="AK1185">
            <v>0.3</v>
          </cell>
          <cell r="AL1185">
            <v>2250000</v>
          </cell>
          <cell r="AM1185">
            <v>44204</v>
          </cell>
          <cell r="AN1185" t="str">
            <v>Yes</v>
          </cell>
          <cell r="AO1185">
            <v>0.7</v>
          </cell>
          <cell r="AP1185">
            <v>5250000</v>
          </cell>
          <cell r="AQ1185">
            <v>44285</v>
          </cell>
          <cell r="AR1185">
            <v>44285</v>
          </cell>
          <cell r="AS1185">
            <v>0</v>
          </cell>
          <cell r="AT1185">
            <v>0</v>
          </cell>
          <cell r="AX1185" t="str">
            <v>Yes</v>
          </cell>
          <cell r="AZ1185" t="str">
            <v>Yes</v>
          </cell>
        </row>
        <row r="1186">
          <cell r="B1186">
            <v>1036</v>
          </cell>
          <cell r="C1186" t="str">
            <v>C49SZX20200243DZ</v>
          </cell>
          <cell r="D1186" t="str">
            <v>朗特</v>
          </cell>
          <cell r="E1186" t="str">
            <v>YSM10</v>
          </cell>
          <cell r="F1186" t="str">
            <v>#08242</v>
          </cell>
          <cell r="G1186" t="e">
            <v>#REF!</v>
          </cell>
          <cell r="H1186" t="e">
            <v>#REF!</v>
          </cell>
          <cell r="I1186" t="str">
            <v>R-&gt;L</v>
          </cell>
          <cell r="J1186" t="str">
            <v>No</v>
          </cell>
          <cell r="K1186">
            <v>1</v>
          </cell>
          <cell r="L1186">
            <v>110238</v>
          </cell>
          <cell r="M1186" t="str">
            <v>APR 21</v>
          </cell>
          <cell r="N1186">
            <v>44287</v>
          </cell>
          <cell r="O1186">
            <v>11116554</v>
          </cell>
          <cell r="P1186">
            <v>7500000</v>
          </cell>
          <cell r="Q1186">
            <v>44287</v>
          </cell>
          <cell r="R1186" t="str">
            <v>No</v>
          </cell>
          <cell r="S1186" t="str">
            <v>C49</v>
          </cell>
          <cell r="T1186" t="str">
            <v>SOUTH</v>
          </cell>
          <cell r="U1186" t="str">
            <v>深圳</v>
          </cell>
          <cell r="V1186" t="str">
            <v>SZ 深圳</v>
          </cell>
          <cell r="W1186" t="str">
            <v>DZ</v>
          </cell>
          <cell r="X1186" t="str">
            <v>JPY</v>
          </cell>
          <cell r="Y1186">
            <v>7500000</v>
          </cell>
          <cell r="Z1186">
            <v>1</v>
          </cell>
          <cell r="AA1186">
            <v>7500000</v>
          </cell>
          <cell r="AB1186">
            <v>7.6100000000000001E-2</v>
          </cell>
          <cell r="AC1186">
            <v>570750</v>
          </cell>
          <cell r="AD1186">
            <v>68490</v>
          </cell>
          <cell r="AE1186">
            <v>0.12</v>
          </cell>
          <cell r="AF1186">
            <v>44182</v>
          </cell>
          <cell r="AG1186" t="str">
            <v>CIF HK</v>
          </cell>
          <cell r="AK1186">
            <v>0.3</v>
          </cell>
          <cell r="AL1186">
            <v>2250000</v>
          </cell>
          <cell r="AM1186">
            <v>44205</v>
          </cell>
          <cell r="AN1186" t="str">
            <v>Yes</v>
          </cell>
          <cell r="AO1186">
            <v>0.7</v>
          </cell>
          <cell r="AP1186">
            <v>5250000</v>
          </cell>
          <cell r="AQ1186">
            <v>44285</v>
          </cell>
          <cell r="AR1186">
            <v>44285</v>
          </cell>
          <cell r="AS1186">
            <v>0</v>
          </cell>
          <cell r="AT1186">
            <v>0</v>
          </cell>
          <cell r="AX1186" t="str">
            <v>Yes</v>
          </cell>
          <cell r="AZ1186" t="str">
            <v>Yes</v>
          </cell>
        </row>
        <row r="1187">
          <cell r="B1187">
            <v>1037</v>
          </cell>
          <cell r="C1187" t="str">
            <v>C49SZX20200243DZ</v>
          </cell>
          <cell r="D1187" t="str">
            <v>朗特</v>
          </cell>
          <cell r="E1187" t="str">
            <v>YSM10</v>
          </cell>
          <cell r="F1187" t="str">
            <v>#08242</v>
          </cell>
          <cell r="G1187" t="e">
            <v>#REF!</v>
          </cell>
          <cell r="H1187" t="e">
            <v>#REF!</v>
          </cell>
          <cell r="I1187" t="str">
            <v>R-&gt;L</v>
          </cell>
          <cell r="J1187" t="str">
            <v>No</v>
          </cell>
          <cell r="K1187">
            <v>1</v>
          </cell>
          <cell r="L1187">
            <v>110150</v>
          </cell>
          <cell r="M1187" t="str">
            <v>MAR 21</v>
          </cell>
          <cell r="N1187">
            <v>44287</v>
          </cell>
          <cell r="O1187">
            <v>11116554</v>
          </cell>
          <cell r="P1187">
            <v>7500000</v>
          </cell>
          <cell r="Q1187">
            <v>44287</v>
          </cell>
          <cell r="R1187" t="str">
            <v>No</v>
          </cell>
          <cell r="S1187" t="str">
            <v>C49</v>
          </cell>
          <cell r="T1187" t="str">
            <v>SOUTH</v>
          </cell>
          <cell r="U1187" t="str">
            <v>深圳</v>
          </cell>
          <cell r="V1187" t="str">
            <v>SZ 深圳</v>
          </cell>
          <cell r="W1187" t="str">
            <v>DZ</v>
          </cell>
          <cell r="X1187" t="str">
            <v>JPY</v>
          </cell>
          <cell r="Y1187">
            <v>7500000</v>
          </cell>
          <cell r="Z1187">
            <v>1</v>
          </cell>
          <cell r="AA1187">
            <v>7500000</v>
          </cell>
          <cell r="AB1187">
            <v>7.6100000000000001E-2</v>
          </cell>
          <cell r="AC1187">
            <v>570750</v>
          </cell>
          <cell r="AD1187">
            <v>68490</v>
          </cell>
          <cell r="AE1187">
            <v>0.12</v>
          </cell>
          <cell r="AF1187">
            <v>44182</v>
          </cell>
          <cell r="AG1187" t="str">
            <v>CIF HK</v>
          </cell>
          <cell r="AK1187">
            <v>0.3</v>
          </cell>
          <cell r="AL1187">
            <v>2250000</v>
          </cell>
          <cell r="AM1187">
            <v>44206</v>
          </cell>
          <cell r="AN1187" t="str">
            <v>Yes</v>
          </cell>
          <cell r="AO1187">
            <v>0.7</v>
          </cell>
          <cell r="AP1187">
            <v>5250000</v>
          </cell>
          <cell r="AQ1187">
            <v>44285</v>
          </cell>
          <cell r="AR1187">
            <v>44285</v>
          </cell>
          <cell r="AS1187">
            <v>0</v>
          </cell>
          <cell r="AT1187">
            <v>0</v>
          </cell>
          <cell r="AX1187" t="str">
            <v>Yes</v>
          </cell>
          <cell r="AZ1187" t="str">
            <v>Yes</v>
          </cell>
        </row>
        <row r="1188">
          <cell r="B1188">
            <v>1038</v>
          </cell>
          <cell r="C1188" t="str">
            <v>C49SZX20200220SX</v>
          </cell>
          <cell r="D1188" t="str">
            <v>拓新伟业</v>
          </cell>
          <cell r="E1188" t="str">
            <v>YSM40R-4</v>
          </cell>
          <cell r="F1188" t="str">
            <v>#00895</v>
          </cell>
          <cell r="G1188" t="e">
            <v>#REF!</v>
          </cell>
          <cell r="H1188" t="e">
            <v>#REF!</v>
          </cell>
          <cell r="I1188" t="str">
            <v>L-&gt;R</v>
          </cell>
          <cell r="J1188" t="str">
            <v>No</v>
          </cell>
          <cell r="K1188">
            <v>1</v>
          </cell>
          <cell r="L1188">
            <v>110168</v>
          </cell>
          <cell r="M1188" t="str">
            <v>JAN 21</v>
          </cell>
          <cell r="N1188">
            <v>44229</v>
          </cell>
          <cell r="O1188">
            <v>11100474</v>
          </cell>
          <cell r="P1188">
            <v>1513500</v>
          </cell>
          <cell r="Q1188">
            <v>44228</v>
          </cell>
          <cell r="R1188" t="str">
            <v>Yes</v>
          </cell>
          <cell r="S1188" t="str">
            <v>C49</v>
          </cell>
          <cell r="T1188" t="str">
            <v>SOUTH</v>
          </cell>
          <cell r="U1188" t="str">
            <v>深圳</v>
          </cell>
          <cell r="V1188" t="str">
            <v>SZ 深圳</v>
          </cell>
          <cell r="W1188" t="str">
            <v>SX</v>
          </cell>
          <cell r="X1188" t="str">
            <v>RMB</v>
          </cell>
          <cell r="Y1188">
            <v>1513500</v>
          </cell>
          <cell r="Z1188">
            <v>1.1299999999999999</v>
          </cell>
          <cell r="AA1188">
            <v>1513500</v>
          </cell>
          <cell r="AB1188">
            <v>1.175</v>
          </cell>
          <cell r="AC1188">
            <v>1573772.1238938055</v>
          </cell>
          <cell r="AD1188">
            <v>188852.65486725667</v>
          </cell>
          <cell r="AE1188">
            <v>0.12</v>
          </cell>
          <cell r="AF1188">
            <v>44181</v>
          </cell>
          <cell r="AG1188" t="str">
            <v>含税到厂</v>
          </cell>
          <cell r="AK1188">
            <v>0.1</v>
          </cell>
          <cell r="AL1188">
            <v>151350</v>
          </cell>
          <cell r="AM1188">
            <v>44166</v>
          </cell>
          <cell r="AN1188" t="str">
            <v>Yes</v>
          </cell>
          <cell r="AO1188">
            <v>0.9</v>
          </cell>
          <cell r="AP1188">
            <v>1362150</v>
          </cell>
          <cell r="AQ1188">
            <v>44228</v>
          </cell>
          <cell r="AR1188">
            <v>44228</v>
          </cell>
          <cell r="AS1188">
            <v>0</v>
          </cell>
          <cell r="AT1188">
            <v>0</v>
          </cell>
          <cell r="AX1188" t="str">
            <v>Yes</v>
          </cell>
          <cell r="AZ1188" t="str">
            <v>Yes</v>
          </cell>
          <cell r="BA1188" t="str">
            <v>Yes</v>
          </cell>
        </row>
        <row r="1189">
          <cell r="B1189">
            <v>1039</v>
          </cell>
          <cell r="C1189" t="str">
            <v>C49SZX20200220SX</v>
          </cell>
          <cell r="D1189" t="str">
            <v>拓新伟业</v>
          </cell>
          <cell r="E1189" t="str">
            <v>YSM40R-4</v>
          </cell>
          <cell r="F1189" t="str">
            <v>#00895</v>
          </cell>
          <cell r="G1189" t="e">
            <v>#REF!</v>
          </cell>
          <cell r="H1189" t="e">
            <v>#REF!</v>
          </cell>
          <cell r="I1189" t="str">
            <v>L-&gt;R</v>
          </cell>
          <cell r="J1189" t="str">
            <v>No</v>
          </cell>
          <cell r="K1189">
            <v>1</v>
          </cell>
          <cell r="L1189">
            <v>110170</v>
          </cell>
          <cell r="M1189" t="str">
            <v>JAN 21</v>
          </cell>
          <cell r="N1189">
            <v>44229</v>
          </cell>
          <cell r="O1189">
            <v>11100474</v>
          </cell>
          <cell r="P1189">
            <v>1513500</v>
          </cell>
          <cell r="Q1189">
            <v>44229</v>
          </cell>
          <cell r="R1189" t="str">
            <v>Yes</v>
          </cell>
          <cell r="S1189" t="str">
            <v>C49</v>
          </cell>
          <cell r="T1189" t="str">
            <v>SOUTH</v>
          </cell>
          <cell r="U1189" t="str">
            <v>深圳</v>
          </cell>
          <cell r="V1189" t="str">
            <v>SZ 深圳</v>
          </cell>
          <cell r="W1189" t="str">
            <v>SX</v>
          </cell>
          <cell r="X1189" t="str">
            <v>RMB</v>
          </cell>
          <cell r="Y1189">
            <v>1513500</v>
          </cell>
          <cell r="Z1189">
            <v>1.1299999999999999</v>
          </cell>
          <cell r="AA1189">
            <v>1513500</v>
          </cell>
          <cell r="AB1189">
            <v>1.175</v>
          </cell>
          <cell r="AC1189">
            <v>1573772.1238938055</v>
          </cell>
          <cell r="AD1189">
            <v>188852.65486725667</v>
          </cell>
          <cell r="AE1189">
            <v>0.12</v>
          </cell>
          <cell r="AF1189">
            <v>44181</v>
          </cell>
          <cell r="AG1189" t="str">
            <v>含税到厂</v>
          </cell>
          <cell r="AK1189">
            <v>0.1</v>
          </cell>
          <cell r="AL1189">
            <v>151350</v>
          </cell>
          <cell r="AM1189">
            <v>44166</v>
          </cell>
          <cell r="AN1189" t="str">
            <v>Yes</v>
          </cell>
          <cell r="AO1189">
            <v>0.9</v>
          </cell>
          <cell r="AP1189">
            <v>1362150</v>
          </cell>
          <cell r="AQ1189">
            <v>44228</v>
          </cell>
          <cell r="AR1189">
            <v>44228</v>
          </cell>
          <cell r="AS1189">
            <v>0</v>
          </cell>
          <cell r="AT1189">
            <v>0</v>
          </cell>
          <cell r="AX1189" t="str">
            <v>Yes</v>
          </cell>
          <cell r="AZ1189" t="str">
            <v>Yes</v>
          </cell>
          <cell r="BA1189" t="str">
            <v>Yes</v>
          </cell>
        </row>
        <row r="1190">
          <cell r="B1190">
            <v>1040</v>
          </cell>
          <cell r="C1190" t="str">
            <v>C49SZX20200248SX</v>
          </cell>
          <cell r="D1190" t="str">
            <v>悦之彩</v>
          </cell>
          <cell r="E1190" t="str">
            <v>YSM10</v>
          </cell>
          <cell r="F1190" t="str">
            <v>#04074</v>
          </cell>
          <cell r="G1190" t="e">
            <v>#REF!</v>
          </cell>
          <cell r="H1190" t="e">
            <v>#REF!</v>
          </cell>
          <cell r="I1190" t="str">
            <v>L-&gt;R</v>
          </cell>
          <cell r="J1190" t="str">
            <v>MVC</v>
          </cell>
          <cell r="K1190">
            <v>1</v>
          </cell>
          <cell r="L1190" t="str">
            <v>110347(拆单110337)</v>
          </cell>
          <cell r="M1190" t="str">
            <v>APR 21</v>
          </cell>
          <cell r="N1190">
            <v>44298</v>
          </cell>
          <cell r="O1190">
            <v>11100476</v>
          </cell>
          <cell r="P1190">
            <v>640000</v>
          </cell>
          <cell r="Q1190">
            <v>44287</v>
          </cell>
          <cell r="R1190" t="str">
            <v>No</v>
          </cell>
          <cell r="S1190" t="str">
            <v>C49</v>
          </cell>
          <cell r="T1190" t="str">
            <v>SOUTH</v>
          </cell>
          <cell r="U1190" t="str">
            <v>深圳</v>
          </cell>
          <cell r="V1190" t="str">
            <v>SZ 深圳</v>
          </cell>
          <cell r="W1190" t="str">
            <v>SX</v>
          </cell>
          <cell r="X1190" t="str">
            <v>RMB</v>
          </cell>
          <cell r="Y1190">
            <v>640000</v>
          </cell>
          <cell r="Z1190">
            <v>1.1299999999999999</v>
          </cell>
          <cell r="AA1190">
            <v>640000</v>
          </cell>
          <cell r="AB1190">
            <v>1.175</v>
          </cell>
          <cell r="AC1190">
            <v>665486.7256637169</v>
          </cell>
          <cell r="AD1190">
            <v>79858.407079646029</v>
          </cell>
          <cell r="AE1190">
            <v>0.12</v>
          </cell>
          <cell r="AF1190">
            <v>44183</v>
          </cell>
          <cell r="AG1190" t="str">
            <v>含税到厂</v>
          </cell>
          <cell r="AK1190">
            <v>0.1</v>
          </cell>
          <cell r="AL1190">
            <v>64000</v>
          </cell>
          <cell r="AM1190">
            <v>44188</v>
          </cell>
          <cell r="AN1190" t="str">
            <v>Yes</v>
          </cell>
          <cell r="AO1190">
            <v>0.9</v>
          </cell>
          <cell r="AP1190">
            <v>576000</v>
          </cell>
          <cell r="AQ1190">
            <v>44294</v>
          </cell>
          <cell r="AR1190">
            <v>44294</v>
          </cell>
          <cell r="AS1190">
            <v>0</v>
          </cell>
          <cell r="AT1190">
            <v>0</v>
          </cell>
          <cell r="AX1190" t="str">
            <v>Yes</v>
          </cell>
          <cell r="AZ1190" t="str">
            <v>Y</v>
          </cell>
          <cell r="BA1190" t="str">
            <v>Yes</v>
          </cell>
        </row>
        <row r="1191">
          <cell r="B1191">
            <v>1041</v>
          </cell>
          <cell r="C1191" t="str">
            <v>C49SZX20200248SX</v>
          </cell>
          <cell r="D1191" t="str">
            <v>悦之彩</v>
          </cell>
          <cell r="E1191" t="str">
            <v>YSM10</v>
          </cell>
          <cell r="F1191" t="str">
            <v>#04074</v>
          </cell>
          <cell r="G1191" t="e">
            <v>#REF!</v>
          </cell>
          <cell r="H1191" t="e">
            <v>#REF!</v>
          </cell>
          <cell r="I1191" t="str">
            <v>L-&gt;R</v>
          </cell>
          <cell r="J1191" t="str">
            <v>MVC</v>
          </cell>
          <cell r="K1191">
            <v>1</v>
          </cell>
          <cell r="L1191" t="str">
            <v>110347(拆单110339)</v>
          </cell>
          <cell r="M1191" t="str">
            <v>APR 21</v>
          </cell>
          <cell r="N1191">
            <v>44298</v>
          </cell>
          <cell r="O1191">
            <v>11100476</v>
          </cell>
          <cell r="P1191">
            <v>640000</v>
          </cell>
          <cell r="Q1191">
            <v>44287</v>
          </cell>
          <cell r="R1191" t="str">
            <v>No</v>
          </cell>
          <cell r="S1191" t="str">
            <v>C49</v>
          </cell>
          <cell r="T1191" t="str">
            <v>SOUTH</v>
          </cell>
          <cell r="U1191" t="str">
            <v>深圳</v>
          </cell>
          <cell r="V1191" t="str">
            <v>SZ 深圳</v>
          </cell>
          <cell r="W1191" t="str">
            <v>SX</v>
          </cell>
          <cell r="X1191" t="str">
            <v>RMB</v>
          </cell>
          <cell r="Y1191">
            <v>640000</v>
          </cell>
          <cell r="Z1191">
            <v>1.1299999999999999</v>
          </cell>
          <cell r="AA1191">
            <v>640000</v>
          </cell>
          <cell r="AB1191">
            <v>1.175</v>
          </cell>
          <cell r="AC1191">
            <v>665486.7256637169</v>
          </cell>
          <cell r="AD1191">
            <v>79858.407079646029</v>
          </cell>
          <cell r="AE1191">
            <v>0.12</v>
          </cell>
          <cell r="AF1191">
            <v>44183</v>
          </cell>
          <cell r="AG1191" t="str">
            <v>含税到厂</v>
          </cell>
          <cell r="AK1191">
            <v>0.1</v>
          </cell>
          <cell r="AL1191">
            <v>64000</v>
          </cell>
          <cell r="AM1191">
            <v>44188</v>
          </cell>
          <cell r="AN1191" t="str">
            <v>Yes</v>
          </cell>
          <cell r="AO1191">
            <v>0.9</v>
          </cell>
          <cell r="AP1191">
            <v>576000</v>
          </cell>
          <cell r="AQ1191">
            <v>44294</v>
          </cell>
          <cell r="AR1191">
            <v>44294</v>
          </cell>
          <cell r="AS1191">
            <v>0</v>
          </cell>
          <cell r="AT1191">
            <v>0</v>
          </cell>
          <cell r="AX1191" t="str">
            <v>Yes</v>
          </cell>
          <cell r="AZ1191" t="str">
            <v>Y</v>
          </cell>
          <cell r="BA1191" t="str">
            <v>Yes</v>
          </cell>
        </row>
        <row r="1192">
          <cell r="B1192">
            <v>1042</v>
          </cell>
          <cell r="C1192" t="str">
            <v>C49SZX20200247MZ</v>
          </cell>
          <cell r="D1192" t="str">
            <v>崧盛</v>
          </cell>
          <cell r="E1192" t="str">
            <v>YSM20R-2</v>
          </cell>
          <cell r="F1192" t="str">
            <v>#03807</v>
          </cell>
          <cell r="G1192" t="e">
            <v>#REF!</v>
          </cell>
          <cell r="H1192" t="e">
            <v>#REF!</v>
          </cell>
          <cell r="I1192" t="str">
            <v>L-&gt;R</v>
          </cell>
          <cell r="J1192" t="str">
            <v>MVC</v>
          </cell>
          <cell r="K1192">
            <v>1</v>
          </cell>
          <cell r="L1192">
            <v>110176</v>
          </cell>
          <cell r="M1192" t="str">
            <v>MAR 21</v>
          </cell>
          <cell r="R1192" t="str">
            <v>No</v>
          </cell>
          <cell r="S1192" t="str">
            <v>C49</v>
          </cell>
          <cell r="T1192" t="str">
            <v>SOUTH</v>
          </cell>
          <cell r="U1192" t="str">
            <v>深圳</v>
          </cell>
          <cell r="V1192" t="str">
            <v>SZ 深圳</v>
          </cell>
          <cell r="W1192" t="str">
            <v>MZ</v>
          </cell>
          <cell r="X1192" t="str">
            <v>JPY</v>
          </cell>
          <cell r="Y1192">
            <v>11500000</v>
          </cell>
          <cell r="Z1192">
            <v>1</v>
          </cell>
          <cell r="AA1192">
            <v>11500000</v>
          </cell>
          <cell r="AB1192">
            <v>7.6100000000000001E-2</v>
          </cell>
          <cell r="AC1192">
            <v>875150</v>
          </cell>
          <cell r="AD1192">
            <v>105018</v>
          </cell>
          <cell r="AE1192">
            <v>0.12</v>
          </cell>
          <cell r="AF1192">
            <v>44183</v>
          </cell>
          <cell r="AG1192" t="str">
            <v>CIF HK</v>
          </cell>
          <cell r="AK1192">
            <v>0.2</v>
          </cell>
          <cell r="AL1192">
            <v>2300000</v>
          </cell>
          <cell r="AM1192">
            <v>44166</v>
          </cell>
          <cell r="AN1192" t="str">
            <v>Yes</v>
          </cell>
          <cell r="AO1192">
            <v>0.8</v>
          </cell>
          <cell r="AP1192">
            <v>9200000</v>
          </cell>
          <cell r="AQ1192">
            <v>44267</v>
          </cell>
          <cell r="AR1192">
            <v>44267</v>
          </cell>
          <cell r="AS1192">
            <v>0</v>
          </cell>
          <cell r="AT1192">
            <v>0</v>
          </cell>
          <cell r="AX1192" t="str">
            <v>Yes</v>
          </cell>
          <cell r="AZ1192" t="str">
            <v>Yes</v>
          </cell>
          <cell r="BA1192" t="str">
            <v>Yes</v>
          </cell>
        </row>
        <row r="1193">
          <cell r="B1193">
            <v>1043</v>
          </cell>
          <cell r="C1193" t="str">
            <v>C49SZX20200255JY</v>
          </cell>
          <cell r="D1193" t="str">
            <v>昊亮迪</v>
          </cell>
          <cell r="E1193" t="str">
            <v>YSM10</v>
          </cell>
          <cell r="F1193" t="str">
            <v>#73562</v>
          </cell>
          <cell r="G1193" t="e">
            <v>#REF!</v>
          </cell>
          <cell r="H1193" t="e">
            <v>#REF!</v>
          </cell>
          <cell r="I1193" t="str">
            <v>L-&gt;R</v>
          </cell>
          <cell r="J1193" t="str">
            <v>No</v>
          </cell>
          <cell r="K1193">
            <v>1</v>
          </cell>
          <cell r="L1193">
            <v>110067</v>
          </cell>
          <cell r="M1193" t="str">
            <v>JAN 21</v>
          </cell>
          <cell r="N1193">
            <v>44217</v>
          </cell>
          <cell r="O1193">
            <v>11116493</v>
          </cell>
          <cell r="P1193">
            <v>8900000</v>
          </cell>
          <cell r="Q1193">
            <v>44197</v>
          </cell>
          <cell r="R1193" t="str">
            <v>No</v>
          </cell>
          <cell r="S1193" t="str">
            <v>C49</v>
          </cell>
          <cell r="T1193" t="str">
            <v>SOUTH</v>
          </cell>
          <cell r="U1193" t="str">
            <v>深圳</v>
          </cell>
          <cell r="V1193" t="str">
            <v>SZ 深圳</v>
          </cell>
          <cell r="W1193" t="str">
            <v>JY</v>
          </cell>
          <cell r="X1193" t="str">
            <v>JPY</v>
          </cell>
          <cell r="Y1193">
            <v>8900000</v>
          </cell>
          <cell r="Z1193">
            <v>1</v>
          </cell>
          <cell r="AA1193">
            <v>8900000</v>
          </cell>
          <cell r="AB1193">
            <v>7.6100000000000001E-2</v>
          </cell>
          <cell r="AC1193">
            <v>677290</v>
          </cell>
          <cell r="AD1193">
            <v>81274.8</v>
          </cell>
          <cell r="AE1193">
            <v>0.12</v>
          </cell>
          <cell r="AF1193">
            <v>44189</v>
          </cell>
          <cell r="AG1193" t="str">
            <v>DAP SZ</v>
          </cell>
          <cell r="AK1193">
            <v>0.1</v>
          </cell>
          <cell r="AL1193">
            <v>890000</v>
          </cell>
          <cell r="AM1193">
            <v>44166</v>
          </cell>
          <cell r="AN1193" t="str">
            <v>Yes</v>
          </cell>
          <cell r="AO1193">
            <v>0.9</v>
          </cell>
          <cell r="AP1193">
            <v>8010000</v>
          </cell>
          <cell r="AQ1193">
            <v>44216</v>
          </cell>
          <cell r="AR1193">
            <v>44216</v>
          </cell>
          <cell r="AS1193">
            <v>0</v>
          </cell>
          <cell r="AT1193">
            <v>0</v>
          </cell>
          <cell r="AX1193" t="str">
            <v>Yes</v>
          </cell>
          <cell r="AZ1193" t="str">
            <v>Yes</v>
          </cell>
          <cell r="BA1193" t="str">
            <v>Yes</v>
          </cell>
        </row>
        <row r="1194">
          <cell r="B1194">
            <v>1044</v>
          </cell>
          <cell r="C1194" t="str">
            <v>C49SZX20200249SX</v>
          </cell>
          <cell r="D1194" t="str">
            <v>凌鑫</v>
          </cell>
          <cell r="E1194" t="str">
            <v>YSM20R-2</v>
          </cell>
          <cell r="F1194" t="str">
            <v>#59002</v>
          </cell>
          <cell r="G1194" t="e">
            <v>#REF!</v>
          </cell>
          <cell r="H1194" t="e">
            <v>#REF!</v>
          </cell>
          <cell r="I1194" t="str">
            <v>R-&gt;L</v>
          </cell>
          <cell r="J1194" t="str">
            <v>No</v>
          </cell>
          <cell r="K1194">
            <v>1</v>
          </cell>
          <cell r="L1194">
            <v>110212</v>
          </cell>
          <cell r="M1194" t="str">
            <v>APR 21</v>
          </cell>
          <cell r="N1194">
            <v>44299</v>
          </cell>
          <cell r="O1194">
            <v>11116558</v>
          </cell>
          <cell r="P1194">
            <v>13000000</v>
          </cell>
          <cell r="Q1194">
            <v>202104</v>
          </cell>
          <cell r="R1194" t="str">
            <v>No</v>
          </cell>
          <cell r="S1194" t="str">
            <v>C49</v>
          </cell>
          <cell r="T1194" t="str">
            <v>SOUTH</v>
          </cell>
          <cell r="U1194" t="str">
            <v>深圳</v>
          </cell>
          <cell r="V1194" t="str">
            <v>SZ 深圳</v>
          </cell>
          <cell r="W1194" t="str">
            <v>SX</v>
          </cell>
          <cell r="X1194" t="str">
            <v>JPY</v>
          </cell>
          <cell r="Y1194">
            <v>13000000</v>
          </cell>
          <cell r="Z1194">
            <v>1</v>
          </cell>
          <cell r="AA1194">
            <v>13000000</v>
          </cell>
          <cell r="AB1194">
            <v>7.6100000000000001E-2</v>
          </cell>
          <cell r="AC1194">
            <v>989300</v>
          </cell>
          <cell r="AD1194">
            <v>118716</v>
          </cell>
          <cell r="AE1194">
            <v>0.12</v>
          </cell>
          <cell r="AF1194">
            <v>44190</v>
          </cell>
          <cell r="AG1194" t="str">
            <v>DAP SZ</v>
          </cell>
          <cell r="AK1194">
            <v>0.05</v>
          </cell>
          <cell r="AL1194">
            <v>650000</v>
          </cell>
          <cell r="AM1194">
            <v>44166</v>
          </cell>
          <cell r="AN1194" t="str">
            <v>Yes</v>
          </cell>
          <cell r="AO1194">
            <v>0.95</v>
          </cell>
          <cell r="AP1194">
            <v>12350000</v>
          </cell>
          <cell r="AQ1194">
            <v>44293</v>
          </cell>
          <cell r="AR1194">
            <v>44293</v>
          </cell>
          <cell r="AS1194">
            <v>0</v>
          </cell>
          <cell r="AT1194">
            <v>0</v>
          </cell>
          <cell r="AX1194" t="str">
            <v>Yes</v>
          </cell>
          <cell r="AZ1194" t="str">
            <v>Y</v>
          </cell>
          <cell r="BA1194" t="str">
            <v>Yes</v>
          </cell>
        </row>
        <row r="1195">
          <cell r="B1195">
            <v>1045</v>
          </cell>
          <cell r="C1195" t="str">
            <v>C49SZX20200246MX</v>
          </cell>
          <cell r="D1195" t="str">
            <v>华耘</v>
          </cell>
          <cell r="E1195" t="str">
            <v>YSM20R-2</v>
          </cell>
          <cell r="F1195" t="str">
            <v>#05454</v>
          </cell>
          <cell r="G1195" t="e">
            <v>#REF!</v>
          </cell>
          <cell r="H1195" t="e">
            <v>#REF!</v>
          </cell>
          <cell r="I1195" t="str">
            <v>L-&gt;R</v>
          </cell>
          <cell r="J1195" t="str">
            <v>No</v>
          </cell>
          <cell r="K1195">
            <v>1</v>
          </cell>
          <cell r="L1195">
            <v>110106</v>
          </cell>
          <cell r="M1195" t="str">
            <v>JAN 21</v>
          </cell>
          <cell r="N1195">
            <v>44232</v>
          </cell>
          <cell r="O1195">
            <v>11116512</v>
          </cell>
          <cell r="P1195">
            <v>11900000</v>
          </cell>
          <cell r="Q1195">
            <v>44228</v>
          </cell>
          <cell r="R1195" t="str">
            <v>Yes</v>
          </cell>
          <cell r="S1195" t="str">
            <v>C49</v>
          </cell>
          <cell r="T1195" t="str">
            <v>SOUTH</v>
          </cell>
          <cell r="U1195" t="str">
            <v>深圳</v>
          </cell>
          <cell r="V1195" t="str">
            <v>SZ 深圳</v>
          </cell>
          <cell r="W1195" t="str">
            <v>MX</v>
          </cell>
          <cell r="X1195" t="str">
            <v>JPY</v>
          </cell>
          <cell r="Y1195">
            <v>11900000</v>
          </cell>
          <cell r="Z1195">
            <v>1</v>
          </cell>
          <cell r="AA1195">
            <v>11900000</v>
          </cell>
          <cell r="AB1195">
            <v>7.6100000000000001E-2</v>
          </cell>
          <cell r="AC1195">
            <v>905590</v>
          </cell>
          <cell r="AD1195">
            <v>108670.8</v>
          </cell>
          <cell r="AE1195">
            <v>0.12</v>
          </cell>
          <cell r="AF1195">
            <v>44193</v>
          </cell>
          <cell r="AG1195" t="str">
            <v>DAP DG</v>
          </cell>
          <cell r="AK1195">
            <v>0.3</v>
          </cell>
          <cell r="AL1195">
            <v>3570000</v>
          </cell>
          <cell r="AM1195">
            <v>44197</v>
          </cell>
          <cell r="AN1195" t="str">
            <v>Yes</v>
          </cell>
          <cell r="AO1195">
            <v>0.7</v>
          </cell>
          <cell r="AP1195">
            <v>8329999.9999999991</v>
          </cell>
          <cell r="AQ1195">
            <v>44216</v>
          </cell>
          <cell r="AR1195">
            <v>44216</v>
          </cell>
          <cell r="AS1195">
            <v>0</v>
          </cell>
          <cell r="AT1195">
            <v>0</v>
          </cell>
          <cell r="AX1195" t="str">
            <v>Yes</v>
          </cell>
          <cell r="AZ1195" t="str">
            <v>Y</v>
          </cell>
        </row>
        <row r="1196">
          <cell r="B1196">
            <v>1046</v>
          </cell>
          <cell r="C1196" t="str">
            <v>C49SZX20200257JY</v>
          </cell>
          <cell r="D1196" t="str">
            <v>精德鸿</v>
          </cell>
          <cell r="E1196" t="str">
            <v>YSM20R-2</v>
          </cell>
          <cell r="F1196" t="str">
            <v>#05357</v>
          </cell>
          <cell r="G1196" t="e">
            <v>#REF!</v>
          </cell>
          <cell r="H1196" t="e">
            <v>#REF!</v>
          </cell>
          <cell r="I1196" t="str">
            <v>L-&gt;R</v>
          </cell>
          <cell r="J1196" t="str">
            <v>No</v>
          </cell>
          <cell r="K1196">
            <v>1</v>
          </cell>
          <cell r="L1196">
            <v>110153</v>
          </cell>
          <cell r="M1196" t="str">
            <v>APR 21</v>
          </cell>
          <cell r="N1196">
            <v>44288</v>
          </cell>
          <cell r="O1196">
            <v>11116553</v>
          </cell>
          <cell r="Q1196">
            <v>44287</v>
          </cell>
          <cell r="R1196" t="str">
            <v>Yes</v>
          </cell>
          <cell r="S1196" t="str">
            <v>C49</v>
          </cell>
          <cell r="T1196" t="str">
            <v>SOUTH</v>
          </cell>
          <cell r="U1196" t="str">
            <v>深圳</v>
          </cell>
          <cell r="V1196" t="str">
            <v>SZ 深圳</v>
          </cell>
          <cell r="W1196" t="str">
            <v>JY</v>
          </cell>
          <cell r="X1196" t="str">
            <v>JPY</v>
          </cell>
          <cell r="Y1196">
            <v>12400000</v>
          </cell>
          <cell r="Z1196">
            <v>1</v>
          </cell>
          <cell r="AA1196">
            <v>12400000</v>
          </cell>
          <cell r="AB1196">
            <v>7.6100000000000001E-2</v>
          </cell>
          <cell r="AC1196">
            <v>943640</v>
          </cell>
          <cell r="AD1196">
            <v>113236.8</v>
          </cell>
          <cell r="AE1196">
            <v>0.12</v>
          </cell>
          <cell r="AF1196">
            <v>44193</v>
          </cell>
          <cell r="AG1196" t="str">
            <v>DAP SZ</v>
          </cell>
          <cell r="AK1196">
            <v>0.1</v>
          </cell>
          <cell r="AL1196">
            <v>1240000</v>
          </cell>
          <cell r="AM1196">
            <v>44195</v>
          </cell>
          <cell r="AN1196" t="str">
            <v>Yes</v>
          </cell>
          <cell r="AO1196">
            <v>0.9</v>
          </cell>
          <cell r="AP1196">
            <v>11160000</v>
          </cell>
          <cell r="AQ1196">
            <v>44284</v>
          </cell>
          <cell r="AR1196">
            <v>44284</v>
          </cell>
          <cell r="AS1196">
            <v>0</v>
          </cell>
          <cell r="AT1196">
            <v>0</v>
          </cell>
          <cell r="AX1196" t="str">
            <v>Yes</v>
          </cell>
          <cell r="AZ1196" t="str">
            <v>Y</v>
          </cell>
          <cell r="BA1196" t="str">
            <v>Yes</v>
          </cell>
        </row>
        <row r="1197">
          <cell r="B1197">
            <v>1047</v>
          </cell>
          <cell r="C1197" t="str">
            <v>C49SZX20200257JY</v>
          </cell>
          <cell r="D1197" t="str">
            <v>精德鸿</v>
          </cell>
          <cell r="E1197" t="str">
            <v>YSM20R-2</v>
          </cell>
          <cell r="F1197" t="str">
            <v>#05357</v>
          </cell>
          <cell r="G1197" t="e">
            <v>#REF!</v>
          </cell>
          <cell r="H1197" t="e">
            <v>#REF!</v>
          </cell>
          <cell r="I1197" t="str">
            <v>L-&gt;R</v>
          </cell>
          <cell r="J1197" t="str">
            <v>No</v>
          </cell>
          <cell r="K1197">
            <v>1</v>
          </cell>
          <cell r="L1197">
            <v>110153</v>
          </cell>
          <cell r="M1197" t="str">
            <v>APR 21</v>
          </cell>
          <cell r="N1197">
            <v>44288</v>
          </cell>
          <cell r="O1197">
            <v>11116553</v>
          </cell>
          <cell r="Q1197">
            <v>44287</v>
          </cell>
          <cell r="R1197" t="str">
            <v>Yes</v>
          </cell>
          <cell r="S1197" t="str">
            <v>C49</v>
          </cell>
          <cell r="T1197" t="str">
            <v>SOUTH</v>
          </cell>
          <cell r="U1197" t="str">
            <v>深圳</v>
          </cell>
          <cell r="V1197" t="str">
            <v>SZ 深圳</v>
          </cell>
          <cell r="W1197" t="str">
            <v>JY</v>
          </cell>
          <cell r="X1197" t="str">
            <v>JPY</v>
          </cell>
          <cell r="Y1197">
            <v>12400000</v>
          </cell>
          <cell r="Z1197">
            <v>1</v>
          </cell>
          <cell r="AA1197">
            <v>12400000</v>
          </cell>
          <cell r="AB1197">
            <v>7.6100000000000001E-2</v>
          </cell>
          <cell r="AC1197">
            <v>943640</v>
          </cell>
          <cell r="AD1197">
            <v>113236.8</v>
          </cell>
          <cell r="AE1197">
            <v>0.12</v>
          </cell>
          <cell r="AF1197">
            <v>44193</v>
          </cell>
          <cell r="AG1197" t="str">
            <v>DAP SZ</v>
          </cell>
          <cell r="AK1197">
            <v>0.1</v>
          </cell>
          <cell r="AL1197">
            <v>1240000</v>
          </cell>
          <cell r="AM1197">
            <v>44195</v>
          </cell>
          <cell r="AN1197" t="str">
            <v>Yes</v>
          </cell>
          <cell r="AO1197">
            <v>0.9</v>
          </cell>
          <cell r="AP1197">
            <v>11160000</v>
          </cell>
          <cell r="AQ1197">
            <v>44284</v>
          </cell>
          <cell r="AR1197">
            <v>44284</v>
          </cell>
          <cell r="AS1197">
            <v>0</v>
          </cell>
          <cell r="AT1197">
            <v>0</v>
          </cell>
          <cell r="AX1197" t="str">
            <v>Yes</v>
          </cell>
          <cell r="AZ1197" t="str">
            <v>Y</v>
          </cell>
          <cell r="BA1197" t="str">
            <v>Yes</v>
          </cell>
        </row>
        <row r="1198">
          <cell r="B1198">
            <v>1048</v>
          </cell>
          <cell r="C1198" t="str">
            <v>C49SZX20200257JY</v>
          </cell>
          <cell r="D1198" t="str">
            <v>精德鸿</v>
          </cell>
          <cell r="E1198" t="str">
            <v>YSM10</v>
          </cell>
          <cell r="F1198" t="str">
            <v>#05357</v>
          </cell>
          <cell r="G1198" t="e">
            <v>#REF!</v>
          </cell>
          <cell r="H1198" t="e">
            <v>#REF!</v>
          </cell>
          <cell r="I1198" t="str">
            <v>L-&gt;R</v>
          </cell>
          <cell r="J1198" t="str">
            <v>MVC</v>
          </cell>
          <cell r="K1198">
            <v>1</v>
          </cell>
          <cell r="L1198">
            <v>110238</v>
          </cell>
          <cell r="M1198" t="str">
            <v>APR 21</v>
          </cell>
          <cell r="N1198">
            <v>44288</v>
          </cell>
          <cell r="O1198">
            <v>11116553</v>
          </cell>
          <cell r="Q1198">
            <v>44287</v>
          </cell>
          <cell r="R1198" t="str">
            <v>Yes</v>
          </cell>
          <cell r="S1198" t="str">
            <v>C49</v>
          </cell>
          <cell r="T1198" t="str">
            <v>SOUTH</v>
          </cell>
          <cell r="U1198" t="str">
            <v>深圳</v>
          </cell>
          <cell r="V1198" t="str">
            <v>SZ 深圳</v>
          </cell>
          <cell r="W1198" t="str">
            <v>JY</v>
          </cell>
          <cell r="X1198" t="str">
            <v>JPY</v>
          </cell>
          <cell r="Y1198">
            <v>8660000</v>
          </cell>
          <cell r="Z1198">
            <v>1</v>
          </cell>
          <cell r="AA1198">
            <v>8660000</v>
          </cell>
          <cell r="AB1198">
            <v>7.6100000000000001E-2</v>
          </cell>
          <cell r="AC1198">
            <v>659026</v>
          </cell>
          <cell r="AD1198">
            <v>79083.12</v>
          </cell>
          <cell r="AE1198">
            <v>0.12</v>
          </cell>
          <cell r="AF1198">
            <v>44193</v>
          </cell>
          <cell r="AG1198" t="str">
            <v>DAP SZ</v>
          </cell>
          <cell r="AK1198">
            <v>0.1</v>
          </cell>
          <cell r="AL1198">
            <v>866000</v>
          </cell>
          <cell r="AM1198">
            <v>44195</v>
          </cell>
          <cell r="AN1198" t="str">
            <v>Yes</v>
          </cell>
          <cell r="AO1198">
            <v>0.9</v>
          </cell>
          <cell r="AP1198">
            <v>7794000</v>
          </cell>
          <cell r="AQ1198">
            <v>44284</v>
          </cell>
          <cell r="AR1198">
            <v>44284</v>
          </cell>
          <cell r="AS1198">
            <v>0</v>
          </cell>
          <cell r="AT1198">
            <v>0</v>
          </cell>
          <cell r="AX1198" t="str">
            <v>Yes</v>
          </cell>
          <cell r="AZ1198" t="str">
            <v>Y</v>
          </cell>
          <cell r="BA1198" t="str">
            <v>Yes</v>
          </cell>
        </row>
        <row r="1199">
          <cell r="B1199">
            <v>1049</v>
          </cell>
          <cell r="C1199" t="str">
            <v>C49SZX20200257JY</v>
          </cell>
          <cell r="D1199" t="str">
            <v>精德鸿</v>
          </cell>
          <cell r="E1199" t="str">
            <v>YSM10</v>
          </cell>
          <cell r="F1199" t="str">
            <v>#05357</v>
          </cell>
          <cell r="G1199" t="e">
            <v>#REF!</v>
          </cell>
          <cell r="H1199" t="e">
            <v>#REF!</v>
          </cell>
          <cell r="I1199" t="str">
            <v>L-&gt;R</v>
          </cell>
          <cell r="J1199" t="str">
            <v>MVC+ATS15</v>
          </cell>
          <cell r="K1199">
            <v>1</v>
          </cell>
          <cell r="L1199">
            <v>110096</v>
          </cell>
          <cell r="M1199" t="str">
            <v>APR 21</v>
          </cell>
          <cell r="N1199">
            <v>44288</v>
          </cell>
          <cell r="O1199">
            <v>11116553</v>
          </cell>
          <cell r="Q1199">
            <v>44287</v>
          </cell>
          <cell r="R1199" t="str">
            <v>Yes</v>
          </cell>
          <cell r="S1199" t="str">
            <v>C49</v>
          </cell>
          <cell r="T1199" t="str">
            <v>SOUTH</v>
          </cell>
          <cell r="U1199" t="str">
            <v>深圳</v>
          </cell>
          <cell r="V1199" t="str">
            <v>SZ 深圳</v>
          </cell>
          <cell r="W1199" t="str">
            <v>JY</v>
          </cell>
          <cell r="X1199" t="str">
            <v>JPY</v>
          </cell>
          <cell r="Y1199">
            <v>8660000</v>
          </cell>
          <cell r="Z1199">
            <v>1</v>
          </cell>
          <cell r="AA1199">
            <v>8660000</v>
          </cell>
          <cell r="AB1199">
            <v>7.6100000000000001E-2</v>
          </cell>
          <cell r="AC1199">
            <v>659026</v>
          </cell>
          <cell r="AD1199">
            <v>79083.12</v>
          </cell>
          <cell r="AE1199">
            <v>0.12</v>
          </cell>
          <cell r="AF1199">
            <v>44193</v>
          </cell>
          <cell r="AG1199" t="str">
            <v>DAP SZ</v>
          </cell>
          <cell r="AK1199">
            <v>0.1</v>
          </cell>
          <cell r="AL1199">
            <v>866000</v>
          </cell>
          <cell r="AM1199">
            <v>44195</v>
          </cell>
          <cell r="AN1199" t="str">
            <v>Yes</v>
          </cell>
          <cell r="AO1199">
            <v>0.9</v>
          </cell>
          <cell r="AP1199">
            <v>7794000</v>
          </cell>
          <cell r="AQ1199">
            <v>44284</v>
          </cell>
          <cell r="AR1199">
            <v>44284</v>
          </cell>
          <cell r="AS1199">
            <v>0</v>
          </cell>
          <cell r="AT1199">
            <v>0</v>
          </cell>
          <cell r="AX1199" t="str">
            <v>Yes</v>
          </cell>
          <cell r="AZ1199" t="str">
            <v>Y</v>
          </cell>
          <cell r="BA1199" t="str">
            <v>Yes</v>
          </cell>
        </row>
        <row r="1200">
          <cell r="B1200">
            <v>1050</v>
          </cell>
          <cell r="C1200" t="str">
            <v>C49SZX20200258JY</v>
          </cell>
          <cell r="D1200" t="str">
            <v>精德鸿</v>
          </cell>
          <cell r="E1200" t="str">
            <v>YSM20R-2</v>
          </cell>
          <cell r="F1200" t="str">
            <v>#05357</v>
          </cell>
          <cell r="G1200" t="e">
            <v>#REF!</v>
          </cell>
          <cell r="H1200" t="e">
            <v>#REF!</v>
          </cell>
          <cell r="I1200" t="str">
            <v>L-&gt;R</v>
          </cell>
          <cell r="J1200" t="str">
            <v>No</v>
          </cell>
          <cell r="K1200">
            <v>1</v>
          </cell>
          <cell r="L1200" t="e">
            <v>#N/A</v>
          </cell>
          <cell r="M1200" t="e">
            <v>#N/A</v>
          </cell>
          <cell r="N1200"/>
          <cell r="O1200"/>
          <cell r="P1200"/>
          <cell r="Q1200"/>
          <cell r="R1200" t="str">
            <v>Yes</v>
          </cell>
          <cell r="S1200" t="str">
            <v>C49</v>
          </cell>
          <cell r="T1200" t="str">
            <v>SOUTH</v>
          </cell>
          <cell r="U1200" t="str">
            <v>深圳</v>
          </cell>
          <cell r="V1200" t="str">
            <v>SZ 深圳</v>
          </cell>
          <cell r="W1200" t="str">
            <v>JY</v>
          </cell>
          <cell r="X1200" t="str">
            <v>JPY</v>
          </cell>
          <cell r="Y1200">
            <v>12400000</v>
          </cell>
          <cell r="Z1200">
            <v>1</v>
          </cell>
          <cell r="AA1200">
            <v>12400000</v>
          </cell>
          <cell r="AB1200">
            <v>7.6100000000000001E-2</v>
          </cell>
          <cell r="AC1200">
            <v>943640</v>
          </cell>
          <cell r="AD1200">
            <v>113236.8</v>
          </cell>
          <cell r="AE1200">
            <v>0.12</v>
          </cell>
          <cell r="AF1200">
            <v>44193</v>
          </cell>
          <cell r="AG1200" t="str">
            <v>DAP SZ</v>
          </cell>
          <cell r="AI1200"/>
          <cell r="AJ1200"/>
          <cell r="AK1200">
            <v>0.1</v>
          </cell>
          <cell r="AL1200">
            <v>1240000</v>
          </cell>
          <cell r="AM1200">
            <v>44195</v>
          </cell>
          <cell r="AN1200" t="str">
            <v>Yes</v>
          </cell>
          <cell r="AO1200">
            <v>0.9</v>
          </cell>
          <cell r="AP1200">
            <v>11160000</v>
          </cell>
          <cell r="AQ1200"/>
          <cell r="AR1200"/>
          <cell r="AS1200">
            <v>0</v>
          </cell>
          <cell r="AT1200">
            <v>0</v>
          </cell>
          <cell r="AV1200"/>
          <cell r="AX1200"/>
          <cell r="AY1200"/>
          <cell r="AZ1200"/>
          <cell r="BA1200"/>
        </row>
        <row r="1201">
          <cell r="B1201">
            <v>1051</v>
          </cell>
          <cell r="C1201" t="str">
            <v>C49SZX20200258JY</v>
          </cell>
          <cell r="D1201" t="str">
            <v>精德鸿</v>
          </cell>
          <cell r="E1201" t="str">
            <v>YSM20R-2</v>
          </cell>
          <cell r="F1201" t="str">
            <v>#05357</v>
          </cell>
          <cell r="G1201" t="e">
            <v>#REF!</v>
          </cell>
          <cell r="H1201" t="e">
            <v>#REF!</v>
          </cell>
          <cell r="I1201" t="str">
            <v>L-&gt;R</v>
          </cell>
          <cell r="J1201" t="str">
            <v>No</v>
          </cell>
          <cell r="K1201">
            <v>1</v>
          </cell>
          <cell r="L1201" t="e">
            <v>#N/A</v>
          </cell>
          <cell r="M1201" t="e">
            <v>#N/A</v>
          </cell>
          <cell r="N1201"/>
          <cell r="O1201"/>
          <cell r="P1201"/>
          <cell r="Q1201"/>
          <cell r="R1201" t="str">
            <v>Yes</v>
          </cell>
          <cell r="S1201" t="str">
            <v>C49</v>
          </cell>
          <cell r="T1201" t="str">
            <v>SOUTH</v>
          </cell>
          <cell r="U1201" t="str">
            <v>深圳</v>
          </cell>
          <cell r="V1201" t="str">
            <v>SZ 深圳</v>
          </cell>
          <cell r="W1201" t="str">
            <v>JY</v>
          </cell>
          <cell r="X1201" t="str">
            <v>JPY</v>
          </cell>
          <cell r="Y1201">
            <v>12400000</v>
          </cell>
          <cell r="Z1201">
            <v>1</v>
          </cell>
          <cell r="AA1201">
            <v>12400000</v>
          </cell>
          <cell r="AB1201">
            <v>7.6100000000000001E-2</v>
          </cell>
          <cell r="AC1201">
            <v>943640</v>
          </cell>
          <cell r="AD1201">
            <v>113236.8</v>
          </cell>
          <cell r="AE1201">
            <v>0.12</v>
          </cell>
          <cell r="AF1201">
            <v>44193</v>
          </cell>
          <cell r="AG1201" t="str">
            <v>DAP SZ</v>
          </cell>
          <cell r="AI1201"/>
          <cell r="AJ1201"/>
          <cell r="AK1201">
            <v>0.1</v>
          </cell>
          <cell r="AL1201">
            <v>1240000</v>
          </cell>
          <cell r="AM1201">
            <v>44195</v>
          </cell>
          <cell r="AN1201" t="str">
            <v>Yes</v>
          </cell>
          <cell r="AO1201">
            <v>0.9</v>
          </cell>
          <cell r="AP1201">
            <v>11160000</v>
          </cell>
          <cell r="AQ1201"/>
          <cell r="AR1201"/>
          <cell r="AS1201">
            <v>0</v>
          </cell>
          <cell r="AT1201">
            <v>0</v>
          </cell>
          <cell r="AV1201"/>
          <cell r="AX1201"/>
          <cell r="AY1201"/>
          <cell r="AZ1201"/>
          <cell r="BA1201"/>
        </row>
        <row r="1202">
          <cell r="B1202">
            <v>1052</v>
          </cell>
          <cell r="C1202" t="str">
            <v>C49SZX20200258JY</v>
          </cell>
          <cell r="D1202" t="str">
            <v>精德鸿</v>
          </cell>
          <cell r="E1202" t="str">
            <v>YSM20R-2</v>
          </cell>
          <cell r="F1202" t="str">
            <v>#05357</v>
          </cell>
          <cell r="G1202" t="e">
            <v>#REF!</v>
          </cell>
          <cell r="H1202" t="e">
            <v>#REF!</v>
          </cell>
          <cell r="I1202" t="str">
            <v>L-&gt;R</v>
          </cell>
          <cell r="J1202" t="str">
            <v>No</v>
          </cell>
          <cell r="K1202">
            <v>1</v>
          </cell>
          <cell r="L1202" t="e">
            <v>#N/A</v>
          </cell>
          <cell r="M1202" t="e">
            <v>#N/A</v>
          </cell>
          <cell r="N1202"/>
          <cell r="O1202"/>
          <cell r="P1202"/>
          <cell r="Q1202"/>
          <cell r="R1202" t="str">
            <v>Yes</v>
          </cell>
          <cell r="S1202" t="str">
            <v>C49</v>
          </cell>
          <cell r="T1202" t="str">
            <v>SOUTH</v>
          </cell>
          <cell r="U1202" t="str">
            <v>深圳</v>
          </cell>
          <cell r="V1202" t="str">
            <v>SZ 深圳</v>
          </cell>
          <cell r="W1202" t="str">
            <v>JY</v>
          </cell>
          <cell r="X1202" t="str">
            <v>JPY</v>
          </cell>
          <cell r="Y1202">
            <v>12400000</v>
          </cell>
          <cell r="Z1202">
            <v>1</v>
          </cell>
          <cell r="AA1202">
            <v>12400000</v>
          </cell>
          <cell r="AB1202">
            <v>7.6100000000000001E-2</v>
          </cell>
          <cell r="AC1202">
            <v>943640</v>
          </cell>
          <cell r="AD1202">
            <v>113236.8</v>
          </cell>
          <cell r="AE1202">
            <v>0.12</v>
          </cell>
          <cell r="AF1202">
            <v>44193</v>
          </cell>
          <cell r="AG1202" t="str">
            <v>DAP SZ</v>
          </cell>
          <cell r="AI1202"/>
          <cell r="AJ1202"/>
          <cell r="AK1202">
            <v>0.1</v>
          </cell>
          <cell r="AL1202">
            <v>1240000</v>
          </cell>
          <cell r="AM1202">
            <v>44195</v>
          </cell>
          <cell r="AN1202" t="str">
            <v>Yes</v>
          </cell>
          <cell r="AO1202">
            <v>0.9</v>
          </cell>
          <cell r="AP1202">
            <v>11160000</v>
          </cell>
          <cell r="AQ1202"/>
          <cell r="AR1202"/>
          <cell r="AS1202">
            <v>0</v>
          </cell>
          <cell r="AT1202">
            <v>0</v>
          </cell>
          <cell r="AV1202"/>
          <cell r="AX1202"/>
          <cell r="AY1202"/>
          <cell r="AZ1202"/>
          <cell r="BA1202"/>
        </row>
        <row r="1203">
          <cell r="B1203">
            <v>1053</v>
          </cell>
          <cell r="C1203" t="str">
            <v>C49SZX20200258JY</v>
          </cell>
          <cell r="D1203" t="str">
            <v>精德鸿</v>
          </cell>
          <cell r="E1203" t="str">
            <v>YSM20R-2</v>
          </cell>
          <cell r="F1203" t="str">
            <v>#05357</v>
          </cell>
          <cell r="G1203" t="e">
            <v>#REF!</v>
          </cell>
          <cell r="H1203" t="e">
            <v>#REF!</v>
          </cell>
          <cell r="I1203" t="str">
            <v>L-&gt;R</v>
          </cell>
          <cell r="J1203" t="str">
            <v>No</v>
          </cell>
          <cell r="K1203">
            <v>1</v>
          </cell>
          <cell r="L1203" t="e">
            <v>#N/A</v>
          </cell>
          <cell r="M1203" t="e">
            <v>#N/A</v>
          </cell>
          <cell r="N1203"/>
          <cell r="O1203"/>
          <cell r="P1203"/>
          <cell r="Q1203"/>
          <cell r="R1203" t="str">
            <v>Yes</v>
          </cell>
          <cell r="S1203" t="str">
            <v>C49</v>
          </cell>
          <cell r="T1203" t="str">
            <v>SOUTH</v>
          </cell>
          <cell r="U1203" t="str">
            <v>深圳</v>
          </cell>
          <cell r="V1203" t="str">
            <v>SZ 深圳</v>
          </cell>
          <cell r="W1203" t="str">
            <v>JY</v>
          </cell>
          <cell r="X1203" t="str">
            <v>JPY</v>
          </cell>
          <cell r="Y1203">
            <v>12400000</v>
          </cell>
          <cell r="Z1203">
            <v>1</v>
          </cell>
          <cell r="AA1203">
            <v>12400000</v>
          </cell>
          <cell r="AB1203">
            <v>7.6100000000000001E-2</v>
          </cell>
          <cell r="AC1203">
            <v>943640</v>
          </cell>
          <cell r="AD1203">
            <v>113236.8</v>
          </cell>
          <cell r="AE1203">
            <v>0.12</v>
          </cell>
          <cell r="AF1203">
            <v>44193</v>
          </cell>
          <cell r="AG1203" t="str">
            <v>DAP SZ</v>
          </cell>
          <cell r="AI1203"/>
          <cell r="AJ1203"/>
          <cell r="AK1203">
            <v>0.1</v>
          </cell>
          <cell r="AL1203">
            <v>1240000</v>
          </cell>
          <cell r="AM1203">
            <v>44195</v>
          </cell>
          <cell r="AN1203" t="str">
            <v>Yes</v>
          </cell>
          <cell r="AO1203">
            <v>0.9</v>
          </cell>
          <cell r="AP1203">
            <v>11160000</v>
          </cell>
          <cell r="AQ1203"/>
          <cell r="AR1203"/>
          <cell r="AS1203">
            <v>0</v>
          </cell>
          <cell r="AT1203">
            <v>0</v>
          </cell>
          <cell r="AV1203"/>
          <cell r="AX1203"/>
          <cell r="AY1203"/>
          <cell r="AZ1203"/>
          <cell r="BA1203"/>
        </row>
        <row r="1204">
          <cell r="B1204">
            <v>1054</v>
          </cell>
          <cell r="C1204" t="str">
            <v>C49SZX20200258JY</v>
          </cell>
          <cell r="D1204" t="str">
            <v>精德鸿</v>
          </cell>
          <cell r="E1204" t="str">
            <v>YSM10</v>
          </cell>
          <cell r="F1204" t="str">
            <v>#05357</v>
          </cell>
          <cell r="G1204" t="e">
            <v>#REF!</v>
          </cell>
          <cell r="H1204" t="e">
            <v>#REF!</v>
          </cell>
          <cell r="I1204" t="str">
            <v>L-&gt;R</v>
          </cell>
          <cell r="J1204" t="str">
            <v>MVC</v>
          </cell>
          <cell r="K1204">
            <v>1</v>
          </cell>
          <cell r="L1204" t="e">
            <v>#N/A</v>
          </cell>
          <cell r="M1204" t="e">
            <v>#N/A</v>
          </cell>
          <cell r="N1204"/>
          <cell r="O1204"/>
          <cell r="P1204"/>
          <cell r="Q1204"/>
          <cell r="R1204" t="str">
            <v>Yes</v>
          </cell>
          <cell r="S1204" t="str">
            <v>C49</v>
          </cell>
          <cell r="T1204" t="str">
            <v>SOUTH</v>
          </cell>
          <cell r="U1204" t="str">
            <v>深圳</v>
          </cell>
          <cell r="V1204" t="str">
            <v>SZ 深圳</v>
          </cell>
          <cell r="W1204" t="str">
            <v>JY</v>
          </cell>
          <cell r="X1204" t="str">
            <v>JPY</v>
          </cell>
          <cell r="Y1204">
            <v>8518000</v>
          </cell>
          <cell r="Z1204">
            <v>1</v>
          </cell>
          <cell r="AA1204">
            <v>8518000</v>
          </cell>
          <cell r="AB1204">
            <v>7.6100000000000001E-2</v>
          </cell>
          <cell r="AC1204">
            <v>648219.80000000005</v>
          </cell>
          <cell r="AD1204">
            <v>77786.376000000004</v>
          </cell>
          <cell r="AE1204">
            <v>0.12</v>
          </cell>
          <cell r="AF1204">
            <v>44193</v>
          </cell>
          <cell r="AG1204" t="str">
            <v>DAP SZ</v>
          </cell>
          <cell r="AI1204"/>
          <cell r="AJ1204"/>
          <cell r="AK1204">
            <v>0.1</v>
          </cell>
          <cell r="AL1204">
            <v>851800</v>
          </cell>
          <cell r="AM1204">
            <v>44195</v>
          </cell>
          <cell r="AN1204" t="str">
            <v>Yes</v>
          </cell>
          <cell r="AO1204">
            <v>0.9</v>
          </cell>
          <cell r="AP1204">
            <v>7666200</v>
          </cell>
          <cell r="AQ1204"/>
          <cell r="AR1204"/>
          <cell r="AS1204">
            <v>0</v>
          </cell>
          <cell r="AT1204">
            <v>0</v>
          </cell>
          <cell r="AV1204"/>
          <cell r="AX1204"/>
          <cell r="AY1204"/>
          <cell r="AZ1204"/>
          <cell r="BA1204"/>
        </row>
        <row r="1205">
          <cell r="B1205">
            <v>1055</v>
          </cell>
          <cell r="C1205" t="str">
            <v>C49SZX20200258JY</v>
          </cell>
          <cell r="D1205" t="str">
            <v>精德鸿</v>
          </cell>
          <cell r="E1205" t="str">
            <v>YSM10</v>
          </cell>
          <cell r="F1205" t="str">
            <v>#05357</v>
          </cell>
          <cell r="G1205" t="e">
            <v>#REF!</v>
          </cell>
          <cell r="H1205" t="e">
            <v>#REF!</v>
          </cell>
          <cell r="I1205" t="str">
            <v>L-&gt;R</v>
          </cell>
          <cell r="J1205" t="str">
            <v>MVC</v>
          </cell>
          <cell r="K1205">
            <v>1</v>
          </cell>
          <cell r="L1205" t="e">
            <v>#N/A</v>
          </cell>
          <cell r="M1205" t="e">
            <v>#N/A</v>
          </cell>
          <cell r="N1205"/>
          <cell r="O1205"/>
          <cell r="P1205"/>
          <cell r="Q1205"/>
          <cell r="R1205" t="str">
            <v>Yes</v>
          </cell>
          <cell r="S1205" t="str">
            <v>C49</v>
          </cell>
          <cell r="T1205" t="str">
            <v>SOUTH</v>
          </cell>
          <cell r="U1205" t="str">
            <v>深圳</v>
          </cell>
          <cell r="V1205" t="str">
            <v>SZ 深圳</v>
          </cell>
          <cell r="W1205" t="str">
            <v>JY</v>
          </cell>
          <cell r="X1205" t="str">
            <v>JPY</v>
          </cell>
          <cell r="Y1205">
            <v>8518000</v>
          </cell>
          <cell r="Z1205">
            <v>1</v>
          </cell>
          <cell r="AA1205">
            <v>8518000</v>
          </cell>
          <cell r="AB1205">
            <v>7.6100000000000001E-2</v>
          </cell>
          <cell r="AC1205">
            <v>648219.80000000005</v>
          </cell>
          <cell r="AD1205">
            <v>77786.376000000004</v>
          </cell>
          <cell r="AE1205">
            <v>0.12</v>
          </cell>
          <cell r="AF1205">
            <v>44193</v>
          </cell>
          <cell r="AG1205" t="str">
            <v>DAP SZ</v>
          </cell>
          <cell r="AI1205"/>
          <cell r="AJ1205"/>
          <cell r="AK1205">
            <v>0.1</v>
          </cell>
          <cell r="AL1205">
            <v>851800</v>
          </cell>
          <cell r="AM1205">
            <v>44195</v>
          </cell>
          <cell r="AN1205" t="str">
            <v>Yes</v>
          </cell>
          <cell r="AO1205">
            <v>0.9</v>
          </cell>
          <cell r="AP1205">
            <v>7666200</v>
          </cell>
          <cell r="AQ1205"/>
          <cell r="AR1205"/>
          <cell r="AS1205">
            <v>0</v>
          </cell>
          <cell r="AT1205">
            <v>0</v>
          </cell>
          <cell r="AV1205"/>
          <cell r="AX1205"/>
          <cell r="AY1205"/>
          <cell r="AZ1205"/>
          <cell r="BA1205"/>
        </row>
        <row r="1206">
          <cell r="B1206">
            <v>1056</v>
          </cell>
          <cell r="C1206" t="str">
            <v>C49SZX20200260LC</v>
          </cell>
          <cell r="D1206" t="str">
            <v>永诺精密</v>
          </cell>
          <cell r="E1206" t="str">
            <v>YSM10</v>
          </cell>
          <cell r="F1206" t="str">
            <v>#05452</v>
          </cell>
          <cell r="G1206" t="e">
            <v>#REF!</v>
          </cell>
          <cell r="H1206" t="e">
            <v>#REF!</v>
          </cell>
          <cell r="I1206" t="str">
            <v>L-&gt;R</v>
          </cell>
          <cell r="J1206" t="str">
            <v>No</v>
          </cell>
          <cell r="K1206">
            <v>1</v>
          </cell>
          <cell r="L1206">
            <v>110131</v>
          </cell>
          <cell r="M1206" t="str">
            <v>FEB 21</v>
          </cell>
          <cell r="N1206">
            <v>44259</v>
          </cell>
          <cell r="O1206">
            <v>11116525</v>
          </cell>
          <cell r="P1206">
            <v>8110000</v>
          </cell>
          <cell r="Q1206">
            <v>44228</v>
          </cell>
          <cell r="R1206" t="str">
            <v>Yes</v>
          </cell>
          <cell r="S1206" t="str">
            <v>C49</v>
          </cell>
          <cell r="T1206" t="str">
            <v>SOUTH</v>
          </cell>
          <cell r="U1206" t="str">
            <v>深圳</v>
          </cell>
          <cell r="V1206" t="str">
            <v>SZ 深圳</v>
          </cell>
          <cell r="W1206" t="str">
            <v>LC</v>
          </cell>
          <cell r="X1206" t="str">
            <v>JPY</v>
          </cell>
          <cell r="Y1206">
            <v>8110000</v>
          </cell>
          <cell r="Z1206">
            <v>1</v>
          </cell>
          <cell r="AA1206">
            <v>8110000</v>
          </cell>
          <cell r="AB1206">
            <v>7.6100000000000001E-2</v>
          </cell>
          <cell r="AC1206">
            <v>617171</v>
          </cell>
          <cell r="AD1206">
            <v>74060.52</v>
          </cell>
          <cell r="AE1206">
            <v>0.12</v>
          </cell>
          <cell r="AF1206">
            <v>44193</v>
          </cell>
          <cell r="AG1206" t="str">
            <v>DAP DG</v>
          </cell>
          <cell r="AK1206">
            <v>0.1</v>
          </cell>
          <cell r="AL1206">
            <v>811000</v>
          </cell>
          <cell r="AM1206">
            <v>44197</v>
          </cell>
          <cell r="AN1206" t="str">
            <v>Yes</v>
          </cell>
          <cell r="AO1206">
            <v>0.9</v>
          </cell>
          <cell r="AP1206">
            <v>7299000</v>
          </cell>
          <cell r="AQ1206">
            <v>44252</v>
          </cell>
          <cell r="AR1206">
            <v>44252</v>
          </cell>
          <cell r="AS1206">
            <v>0</v>
          </cell>
          <cell r="AT1206">
            <v>0</v>
          </cell>
          <cell r="AX1206" t="str">
            <v>Yes</v>
          </cell>
          <cell r="AZ1206" t="str">
            <v>Y</v>
          </cell>
          <cell r="BA1206" t="str">
            <v>Yes</v>
          </cell>
        </row>
        <row r="1207">
          <cell r="B1207">
            <v>1057</v>
          </cell>
          <cell r="C1207" t="str">
            <v>C49SZX20210001SS</v>
          </cell>
          <cell r="D1207" t="str">
            <v>乐凡电子</v>
          </cell>
          <cell r="E1207" t="str">
            <v>YSM20R-2</v>
          </cell>
          <cell r="F1207" t="str">
            <v>#04319</v>
          </cell>
          <cell r="G1207" t="e">
            <v>#REF!</v>
          </cell>
          <cell r="H1207" t="e">
            <v>#REF!</v>
          </cell>
          <cell r="I1207" t="str">
            <v>L-&gt;R</v>
          </cell>
          <cell r="J1207" t="str">
            <v>No</v>
          </cell>
          <cell r="K1207">
            <v>1</v>
          </cell>
          <cell r="L1207">
            <v>110153</v>
          </cell>
          <cell r="M1207" t="str">
            <v>APR 21</v>
          </cell>
          <cell r="N1207">
            <v>44292</v>
          </cell>
          <cell r="O1207">
            <v>11116551</v>
          </cell>
          <cell r="P1207">
            <v>11000000</v>
          </cell>
          <cell r="Q1207">
            <v>44287</v>
          </cell>
          <cell r="R1207" t="str">
            <v>No</v>
          </cell>
          <cell r="S1207" t="str">
            <v>C49</v>
          </cell>
          <cell r="T1207" t="str">
            <v>SOUTH</v>
          </cell>
          <cell r="U1207" t="str">
            <v>深圳</v>
          </cell>
          <cell r="V1207" t="str">
            <v>SZ 深圳</v>
          </cell>
          <cell r="W1207" t="str">
            <v>SS</v>
          </cell>
          <cell r="X1207" t="str">
            <v>JPY</v>
          </cell>
          <cell r="Y1207">
            <v>11000000</v>
          </cell>
          <cell r="Z1207">
            <v>1</v>
          </cell>
          <cell r="AA1207">
            <v>11000000</v>
          </cell>
          <cell r="AB1207">
            <v>7.6100000000000001E-2</v>
          </cell>
          <cell r="AC1207">
            <v>837100</v>
          </cell>
          <cell r="AD1207">
            <v>100452</v>
          </cell>
          <cell r="AE1207">
            <v>0.12</v>
          </cell>
          <cell r="AF1207">
            <v>44196</v>
          </cell>
          <cell r="AG1207" t="str">
            <v>DAP SZ</v>
          </cell>
          <cell r="AI1207" t="str">
            <v>CNY 20,000</v>
          </cell>
          <cell r="AJ1207">
            <v>44203</v>
          </cell>
          <cell r="AK1207">
            <v>0.1</v>
          </cell>
          <cell r="AL1207">
            <v>1100000</v>
          </cell>
          <cell r="AM1207">
            <v>44198</v>
          </cell>
          <cell r="AN1207" t="str">
            <v>Yes</v>
          </cell>
          <cell r="AO1207">
            <v>0.9</v>
          </cell>
          <cell r="AP1207">
            <v>9900000</v>
          </cell>
          <cell r="AQ1207">
            <v>44295</v>
          </cell>
          <cell r="AR1207">
            <v>44295</v>
          </cell>
          <cell r="AS1207">
            <v>0</v>
          </cell>
          <cell r="AT1207">
            <v>0</v>
          </cell>
          <cell r="AX1207" t="str">
            <v>Yes</v>
          </cell>
          <cell r="AZ1207" t="str">
            <v>Yes</v>
          </cell>
          <cell r="BA1207" t="str">
            <v>Yes</v>
          </cell>
        </row>
        <row r="1208">
          <cell r="B1208">
            <v>1058</v>
          </cell>
          <cell r="C1208" t="str">
            <v>C49SZX20210002SX</v>
          </cell>
          <cell r="D1208" t="str">
            <v>利速达</v>
          </cell>
          <cell r="E1208" t="str">
            <v>YSM20R-2</v>
          </cell>
          <cell r="F1208" t="str">
            <v>#82124</v>
          </cell>
          <cell r="G1208" t="e">
            <v>#REF!</v>
          </cell>
          <cell r="H1208" t="e">
            <v>#REF!</v>
          </cell>
          <cell r="I1208" t="str">
            <v>L-&gt;R</v>
          </cell>
          <cell r="J1208" t="str">
            <v>No</v>
          </cell>
          <cell r="K1208">
            <v>1</v>
          </cell>
          <cell r="L1208">
            <v>110272</v>
          </cell>
          <cell r="M1208" t="str">
            <v>APR 21</v>
          </cell>
          <cell r="N1208">
            <v>44309</v>
          </cell>
          <cell r="O1208">
            <v>11116560</v>
          </cell>
          <cell r="P1208">
            <v>12605000</v>
          </cell>
          <cell r="Q1208">
            <v>44287</v>
          </cell>
          <cell r="R1208" t="str">
            <v>No</v>
          </cell>
          <cell r="S1208" t="str">
            <v>C49</v>
          </cell>
          <cell r="T1208" t="str">
            <v>SOUTH</v>
          </cell>
          <cell r="U1208" t="str">
            <v>深圳</v>
          </cell>
          <cell r="V1208" t="str">
            <v>SZ 深圳</v>
          </cell>
          <cell r="W1208" t="str">
            <v>SX</v>
          </cell>
          <cell r="X1208" t="str">
            <v>JPY</v>
          </cell>
          <cell r="Y1208">
            <v>12605000</v>
          </cell>
          <cell r="Z1208">
            <v>1</v>
          </cell>
          <cell r="AA1208">
            <v>12605000</v>
          </cell>
          <cell r="AB1208">
            <v>7.6799999999999993E-2</v>
          </cell>
          <cell r="AC1208">
            <v>968063.99999999988</v>
          </cell>
          <cell r="AD1208">
            <v>116167.67999999998</v>
          </cell>
          <cell r="AE1208">
            <v>0.12</v>
          </cell>
          <cell r="AF1208">
            <v>44200</v>
          </cell>
          <cell r="AG1208" t="str">
            <v>DAP SZ</v>
          </cell>
          <cell r="AK1208">
            <v>0.1</v>
          </cell>
          <cell r="AL1208">
            <v>1260500</v>
          </cell>
          <cell r="AM1208">
            <v>44199</v>
          </cell>
          <cell r="AN1208" t="str">
            <v>Yes</v>
          </cell>
          <cell r="AO1208">
            <v>0.9</v>
          </cell>
          <cell r="AP1208">
            <v>11344500</v>
          </cell>
          <cell r="AQ1208">
            <v>44307</v>
          </cell>
          <cell r="AR1208">
            <v>44307</v>
          </cell>
          <cell r="AS1208">
            <v>0</v>
          </cell>
          <cell r="AT1208">
            <v>0</v>
          </cell>
          <cell r="AX1208" t="str">
            <v>Yes</v>
          </cell>
          <cell r="AZ1208" t="str">
            <v>Y</v>
          </cell>
          <cell r="BA1208" t="str">
            <v>Yes</v>
          </cell>
        </row>
        <row r="1209">
          <cell r="B1209">
            <v>1059</v>
          </cell>
          <cell r="C1209" t="str">
            <v>C49SZX20210005SX</v>
          </cell>
          <cell r="D1209" t="str">
            <v>品诚伟创</v>
          </cell>
          <cell r="E1209" t="str">
            <v>YSM10</v>
          </cell>
          <cell r="F1209" t="str">
            <v>#05433</v>
          </cell>
          <cell r="G1209" t="e">
            <v>#REF!</v>
          </cell>
          <cell r="H1209" t="e">
            <v>#REF!</v>
          </cell>
          <cell r="I1209" t="str">
            <v>L-&gt;R</v>
          </cell>
          <cell r="J1209" t="str">
            <v>MVC</v>
          </cell>
          <cell r="K1209">
            <v>1</v>
          </cell>
          <cell r="L1209">
            <v>110238</v>
          </cell>
          <cell r="M1209" t="str">
            <v>APR 21</v>
          </cell>
          <cell r="N1209">
            <v>44295</v>
          </cell>
          <cell r="O1209">
            <v>11116550</v>
          </cell>
          <cell r="P1209">
            <v>8835532</v>
          </cell>
          <cell r="Q1209">
            <v>44287</v>
          </cell>
          <cell r="R1209" t="str">
            <v>Yes</v>
          </cell>
          <cell r="S1209" t="str">
            <v>C49</v>
          </cell>
          <cell r="T1209" t="str">
            <v>SOUTH</v>
          </cell>
          <cell r="U1209" t="str">
            <v>深圳</v>
          </cell>
          <cell r="V1209" t="str">
            <v>SZ 深圳</v>
          </cell>
          <cell r="W1209" t="str">
            <v>SX</v>
          </cell>
          <cell r="X1209" t="str">
            <v>JPY</v>
          </cell>
          <cell r="Y1209">
            <v>8835532</v>
          </cell>
          <cell r="Z1209">
            <v>1</v>
          </cell>
          <cell r="AA1209">
            <v>8835532</v>
          </cell>
          <cell r="AB1209">
            <v>7.6799999999999993E-2</v>
          </cell>
          <cell r="AC1209">
            <v>678568.85759999999</v>
          </cell>
          <cell r="AD1209">
            <v>81428.262911999991</v>
          </cell>
          <cell r="AE1209">
            <v>0.12</v>
          </cell>
          <cell r="AF1209">
            <v>44202</v>
          </cell>
          <cell r="AG1209" t="str">
            <v>DAP SZ</v>
          </cell>
          <cell r="AK1209">
            <v>0.1</v>
          </cell>
          <cell r="AL1209">
            <v>883553.20000000007</v>
          </cell>
          <cell r="AM1209">
            <v>44200</v>
          </cell>
          <cell r="AN1209" t="str">
            <v>Yes</v>
          </cell>
          <cell r="AO1209">
            <v>0.9</v>
          </cell>
          <cell r="AP1209">
            <v>7951978.7999999998</v>
          </cell>
          <cell r="AQ1209">
            <v>44281</v>
          </cell>
          <cell r="AR1209">
            <v>44281</v>
          </cell>
          <cell r="AS1209">
            <v>0</v>
          </cell>
          <cell r="AT1209">
            <v>0</v>
          </cell>
          <cell r="AX1209" t="str">
            <v>Yes</v>
          </cell>
          <cell r="AZ1209" t="str">
            <v>Y</v>
          </cell>
          <cell r="BA1209" t="str">
            <v>Yes</v>
          </cell>
        </row>
        <row r="1210">
          <cell r="B1210">
            <v>1060</v>
          </cell>
          <cell r="C1210" t="str">
            <v>C49SZX20210006SX</v>
          </cell>
          <cell r="D1210" t="str">
            <v>科迪电子</v>
          </cell>
          <cell r="E1210" t="str">
            <v>YSM10</v>
          </cell>
          <cell r="F1210" t="str">
            <v>#05356</v>
          </cell>
          <cell r="G1210" t="e">
            <v>#REF!</v>
          </cell>
          <cell r="H1210" t="e">
            <v>#REF!</v>
          </cell>
          <cell r="I1210" t="str">
            <v>L-&gt;R</v>
          </cell>
          <cell r="J1210" t="str">
            <v>MVC</v>
          </cell>
          <cell r="K1210">
            <v>1</v>
          </cell>
          <cell r="L1210" t="e">
            <v>#N/A</v>
          </cell>
          <cell r="M1210" t="e">
            <v>#N/A</v>
          </cell>
          <cell r="N1210"/>
          <cell r="O1210"/>
          <cell r="P1210"/>
          <cell r="Q1210"/>
          <cell r="R1210" t="str">
            <v>Yes</v>
          </cell>
          <cell r="S1210" t="str">
            <v>C49</v>
          </cell>
          <cell r="T1210" t="str">
            <v>SOUTH</v>
          </cell>
          <cell r="U1210" t="str">
            <v>深圳</v>
          </cell>
          <cell r="V1210" t="str">
            <v>SZ 深圳</v>
          </cell>
          <cell r="W1210" t="str">
            <v>SX</v>
          </cell>
          <cell r="X1210" t="str">
            <v>JPY</v>
          </cell>
          <cell r="Y1210">
            <v>9300000</v>
          </cell>
          <cell r="Z1210">
            <v>1</v>
          </cell>
          <cell r="AA1210">
            <v>9300000</v>
          </cell>
          <cell r="AB1210">
            <v>7.6799999999999993E-2</v>
          </cell>
          <cell r="AC1210">
            <v>714239.99999999988</v>
          </cell>
          <cell r="AD1210">
            <v>85708.799999999988</v>
          </cell>
          <cell r="AE1210">
            <v>0.12</v>
          </cell>
          <cell r="AF1210">
            <v>44203</v>
          </cell>
          <cell r="AG1210" t="str">
            <v>DAP FS</v>
          </cell>
          <cell r="AI1210"/>
          <cell r="AJ1210"/>
          <cell r="AK1210">
            <v>0.1</v>
          </cell>
          <cell r="AL1210">
            <v>930000</v>
          </cell>
          <cell r="AM1210"/>
          <cell r="AN1210" t="str">
            <v>No</v>
          </cell>
          <cell r="AO1210">
            <v>0.9</v>
          </cell>
          <cell r="AP1210">
            <v>8370000</v>
          </cell>
          <cell r="AQ1210"/>
          <cell r="AR1210"/>
          <cell r="AS1210">
            <v>0</v>
          </cell>
          <cell r="AT1210">
            <v>0</v>
          </cell>
          <cell r="AV1210"/>
          <cell r="AX1210" t="str">
            <v>Cancel</v>
          </cell>
          <cell r="AY1210"/>
          <cell r="AZ1210"/>
          <cell r="BA1210" t="str">
            <v>Cancel</v>
          </cell>
          <cell r="BB1210" t="str">
            <v>2022-3-25Ken邮件通知</v>
          </cell>
        </row>
        <row r="1211">
          <cell r="B1211">
            <v>1061</v>
          </cell>
          <cell r="C1211" t="str">
            <v>C49SZX20210007DZ</v>
          </cell>
          <cell r="D1211" t="str">
            <v>赛维显示</v>
          </cell>
          <cell r="E1211" t="str">
            <v>YSM20R-2</v>
          </cell>
          <cell r="F1211" t="str">
            <v>#04282</v>
          </cell>
          <cell r="G1211" t="e">
            <v>#REF!</v>
          </cell>
          <cell r="H1211" t="e">
            <v>#REF!</v>
          </cell>
          <cell r="I1211" t="str">
            <v>L-&gt;R</v>
          </cell>
          <cell r="J1211" t="str">
            <v>No</v>
          </cell>
          <cell r="K1211">
            <v>1</v>
          </cell>
          <cell r="L1211" t="str">
            <v>110245（拆单110361）</v>
          </cell>
          <cell r="M1211" t="str">
            <v>APR 21</v>
          </cell>
          <cell r="N1211">
            <v>44313</v>
          </cell>
          <cell r="O1211">
            <v>11100477</v>
          </cell>
          <cell r="P1211">
            <v>875000</v>
          </cell>
          <cell r="Q1211">
            <v>44287</v>
          </cell>
          <cell r="R1211" t="str">
            <v>No</v>
          </cell>
          <cell r="S1211" t="str">
            <v>C49</v>
          </cell>
          <cell r="T1211" t="str">
            <v>SOUTH</v>
          </cell>
          <cell r="U1211" t="str">
            <v>深圳</v>
          </cell>
          <cell r="V1211" t="str">
            <v>SZ 深圳</v>
          </cell>
          <cell r="W1211" t="str">
            <v>DZ</v>
          </cell>
          <cell r="X1211" t="str">
            <v>RMB</v>
          </cell>
          <cell r="Y1211">
            <v>875000</v>
          </cell>
          <cell r="Z1211">
            <v>1.1299999999999999</v>
          </cell>
          <cell r="AA1211">
            <v>875000</v>
          </cell>
          <cell r="AB1211">
            <v>1.1850000000000001</v>
          </cell>
          <cell r="AC1211">
            <v>917588.49557522137</v>
          </cell>
          <cell r="AD1211">
            <v>110110.61946902655</v>
          </cell>
          <cell r="AE1211">
            <v>0.12</v>
          </cell>
          <cell r="AF1211">
            <v>44205</v>
          </cell>
          <cell r="AG1211" t="str">
            <v>含税到厂</v>
          </cell>
          <cell r="AK1211">
            <v>0.2</v>
          </cell>
          <cell r="AL1211">
            <v>175000</v>
          </cell>
          <cell r="AM1211">
            <v>44210</v>
          </cell>
          <cell r="AN1211" t="str">
            <v>Yes</v>
          </cell>
          <cell r="AO1211">
            <v>0.8</v>
          </cell>
          <cell r="AP1211">
            <v>700000</v>
          </cell>
          <cell r="AQ1211">
            <v>44302</v>
          </cell>
          <cell r="AR1211">
            <v>44302</v>
          </cell>
          <cell r="AS1211">
            <v>0</v>
          </cell>
          <cell r="AT1211">
            <v>0</v>
          </cell>
          <cell r="AX1211" t="str">
            <v>Yes</v>
          </cell>
          <cell r="AZ1211" t="str">
            <v>Y</v>
          </cell>
          <cell r="BA1211" t="str">
            <v>Yes</v>
          </cell>
        </row>
        <row r="1212">
          <cell r="B1212">
            <v>1062</v>
          </cell>
          <cell r="C1212" t="str">
            <v>C49SZX20210007DZ</v>
          </cell>
          <cell r="D1212" t="str">
            <v>赛维显示</v>
          </cell>
          <cell r="E1212" t="str">
            <v>YSM20R-2</v>
          </cell>
          <cell r="F1212" t="str">
            <v>#04282</v>
          </cell>
          <cell r="G1212" t="e">
            <v>#REF!</v>
          </cell>
          <cell r="H1212" t="e">
            <v>#REF!</v>
          </cell>
          <cell r="I1212" t="str">
            <v>L-&gt;R</v>
          </cell>
          <cell r="J1212" t="str">
            <v>No</v>
          </cell>
          <cell r="K1212">
            <v>1</v>
          </cell>
          <cell r="L1212" t="str">
            <v>110245（拆单110361）</v>
          </cell>
          <cell r="M1212" t="str">
            <v>APR 21</v>
          </cell>
          <cell r="N1212">
            <v>44313</v>
          </cell>
          <cell r="O1212">
            <v>11100477</v>
          </cell>
          <cell r="P1212">
            <v>875000</v>
          </cell>
          <cell r="Q1212">
            <v>44287</v>
          </cell>
          <cell r="R1212" t="str">
            <v>No</v>
          </cell>
          <cell r="S1212" t="str">
            <v>C49</v>
          </cell>
          <cell r="T1212" t="str">
            <v>SOUTH</v>
          </cell>
          <cell r="U1212" t="str">
            <v>深圳</v>
          </cell>
          <cell r="V1212" t="str">
            <v>SZ 深圳</v>
          </cell>
          <cell r="W1212" t="str">
            <v>DZ</v>
          </cell>
          <cell r="X1212" t="str">
            <v>RMB</v>
          </cell>
          <cell r="Y1212">
            <v>875000</v>
          </cell>
          <cell r="Z1212">
            <v>1.1299999999999999</v>
          </cell>
          <cell r="AA1212">
            <v>875000</v>
          </cell>
          <cell r="AB1212">
            <v>1.1850000000000001</v>
          </cell>
          <cell r="AC1212">
            <v>917588.49557522137</v>
          </cell>
          <cell r="AD1212">
            <v>110110.61946902655</v>
          </cell>
          <cell r="AE1212">
            <v>0.12</v>
          </cell>
          <cell r="AF1212">
            <v>44205</v>
          </cell>
          <cell r="AG1212" t="str">
            <v>含税到厂</v>
          </cell>
          <cell r="AK1212">
            <v>0.2</v>
          </cell>
          <cell r="AL1212">
            <v>175000</v>
          </cell>
          <cell r="AM1212">
            <v>44210</v>
          </cell>
          <cell r="AN1212" t="str">
            <v>Yes</v>
          </cell>
          <cell r="AO1212">
            <v>0.8</v>
          </cell>
          <cell r="AP1212">
            <v>700000</v>
          </cell>
          <cell r="AQ1212">
            <v>44302</v>
          </cell>
          <cell r="AR1212">
            <v>44302</v>
          </cell>
          <cell r="AS1212">
            <v>0</v>
          </cell>
          <cell r="AT1212">
            <v>0</v>
          </cell>
          <cell r="AX1212" t="str">
            <v>Yes</v>
          </cell>
          <cell r="AZ1212" t="str">
            <v>Y</v>
          </cell>
          <cell r="BA1212" t="str">
            <v>Yes</v>
          </cell>
        </row>
        <row r="1213">
          <cell r="B1213">
            <v>1063</v>
          </cell>
          <cell r="C1213" t="str">
            <v>C49SZX20210007DZ</v>
          </cell>
          <cell r="D1213" t="str">
            <v>赛维显示</v>
          </cell>
          <cell r="E1213" t="str">
            <v>YSM20R-2</v>
          </cell>
          <cell r="F1213" t="str">
            <v>#04282</v>
          </cell>
          <cell r="G1213" t="e">
            <v>#REF!</v>
          </cell>
          <cell r="H1213" t="e">
            <v>#REF!</v>
          </cell>
          <cell r="I1213" t="str">
            <v>R-&gt;L</v>
          </cell>
          <cell r="J1213" t="str">
            <v>No</v>
          </cell>
          <cell r="K1213">
            <v>1</v>
          </cell>
          <cell r="L1213" t="str">
            <v>110245（拆单110361）</v>
          </cell>
          <cell r="M1213" t="str">
            <v>APR 21</v>
          </cell>
          <cell r="N1213">
            <v>44313</v>
          </cell>
          <cell r="O1213">
            <v>11100477</v>
          </cell>
          <cell r="P1213">
            <v>875000</v>
          </cell>
          <cell r="Q1213">
            <v>44287</v>
          </cell>
          <cell r="R1213" t="str">
            <v>No</v>
          </cell>
          <cell r="S1213" t="str">
            <v>C49</v>
          </cell>
          <cell r="T1213" t="str">
            <v>SOUTH</v>
          </cell>
          <cell r="U1213" t="str">
            <v>深圳</v>
          </cell>
          <cell r="V1213" t="str">
            <v>SZ 深圳</v>
          </cell>
          <cell r="W1213" t="str">
            <v>DZ</v>
          </cell>
          <cell r="X1213" t="str">
            <v>RMB</v>
          </cell>
          <cell r="Y1213">
            <v>875000</v>
          </cell>
          <cell r="Z1213">
            <v>1.1299999999999999</v>
          </cell>
          <cell r="AA1213">
            <v>875000</v>
          </cell>
          <cell r="AB1213">
            <v>1.1850000000000001</v>
          </cell>
          <cell r="AC1213">
            <v>917588.49557522137</v>
          </cell>
          <cell r="AD1213">
            <v>110110.61946902655</v>
          </cell>
          <cell r="AE1213">
            <v>0.12</v>
          </cell>
          <cell r="AF1213">
            <v>44205</v>
          </cell>
          <cell r="AG1213" t="str">
            <v>含税到厂</v>
          </cell>
          <cell r="AK1213">
            <v>0.2</v>
          </cell>
          <cell r="AL1213">
            <v>175000</v>
          </cell>
          <cell r="AM1213">
            <v>44210</v>
          </cell>
          <cell r="AN1213" t="str">
            <v>Yes</v>
          </cell>
          <cell r="AO1213">
            <v>0.8</v>
          </cell>
          <cell r="AP1213">
            <v>700000</v>
          </cell>
          <cell r="AQ1213">
            <v>44302</v>
          </cell>
          <cell r="AR1213">
            <v>44302</v>
          </cell>
          <cell r="AS1213">
            <v>0</v>
          </cell>
          <cell r="AT1213">
            <v>0</v>
          </cell>
          <cell r="AX1213" t="str">
            <v>Yes</v>
          </cell>
          <cell r="AZ1213" t="str">
            <v>Y</v>
          </cell>
          <cell r="BA1213" t="str">
            <v>Yes</v>
          </cell>
        </row>
        <row r="1214">
          <cell r="B1214">
            <v>1064</v>
          </cell>
          <cell r="C1214" t="str">
            <v>C49SZX20210007DZ</v>
          </cell>
          <cell r="D1214" t="str">
            <v>赛维显示</v>
          </cell>
          <cell r="E1214" t="str">
            <v>YSM20R-2</v>
          </cell>
          <cell r="F1214" t="str">
            <v>#04282</v>
          </cell>
          <cell r="G1214" t="e">
            <v>#REF!</v>
          </cell>
          <cell r="H1214" t="e">
            <v>#REF!</v>
          </cell>
          <cell r="I1214" t="str">
            <v>R-&gt;L</v>
          </cell>
          <cell r="J1214" t="str">
            <v>No</v>
          </cell>
          <cell r="K1214">
            <v>1</v>
          </cell>
          <cell r="L1214" t="str">
            <v>110245（拆单110361）</v>
          </cell>
          <cell r="M1214" t="str">
            <v>APR 21</v>
          </cell>
          <cell r="N1214">
            <v>44313</v>
          </cell>
          <cell r="O1214">
            <v>11100477</v>
          </cell>
          <cell r="P1214">
            <v>875000</v>
          </cell>
          <cell r="Q1214">
            <v>44287</v>
          </cell>
          <cell r="R1214" t="str">
            <v>No</v>
          </cell>
          <cell r="S1214" t="str">
            <v>C49</v>
          </cell>
          <cell r="T1214" t="str">
            <v>SOUTH</v>
          </cell>
          <cell r="U1214" t="str">
            <v>深圳</v>
          </cell>
          <cell r="V1214" t="str">
            <v>SZ 深圳</v>
          </cell>
          <cell r="W1214" t="str">
            <v>DZ</v>
          </cell>
          <cell r="X1214" t="str">
            <v>RMB</v>
          </cell>
          <cell r="Y1214">
            <v>875000</v>
          </cell>
          <cell r="Z1214">
            <v>1.1299999999999999</v>
          </cell>
          <cell r="AA1214">
            <v>875000</v>
          </cell>
          <cell r="AB1214">
            <v>1.1850000000000001</v>
          </cell>
          <cell r="AC1214">
            <v>917588.49557522137</v>
          </cell>
          <cell r="AD1214">
            <v>110110.61946902655</v>
          </cell>
          <cell r="AE1214">
            <v>0.12</v>
          </cell>
          <cell r="AF1214">
            <v>44205</v>
          </cell>
          <cell r="AG1214" t="str">
            <v>含税到厂</v>
          </cell>
          <cell r="AK1214">
            <v>0.2</v>
          </cell>
          <cell r="AL1214">
            <v>175000</v>
          </cell>
          <cell r="AM1214">
            <v>44210</v>
          </cell>
          <cell r="AN1214" t="str">
            <v>Yes</v>
          </cell>
          <cell r="AO1214">
            <v>0.8</v>
          </cell>
          <cell r="AP1214">
            <v>700000</v>
          </cell>
          <cell r="AQ1214">
            <v>44302</v>
          </cell>
          <cell r="AR1214">
            <v>44302</v>
          </cell>
          <cell r="AS1214">
            <v>0</v>
          </cell>
          <cell r="AT1214">
            <v>0</v>
          </cell>
          <cell r="AX1214" t="str">
            <v>Yes</v>
          </cell>
          <cell r="AZ1214" t="str">
            <v>Y</v>
          </cell>
          <cell r="BA1214" t="str">
            <v>Yes</v>
          </cell>
        </row>
        <row r="1215">
          <cell r="B1215">
            <v>1065</v>
          </cell>
          <cell r="C1215" t="str">
            <v>C49SZX20210012SX</v>
          </cell>
          <cell r="D1215" t="str">
            <v>赛朗斯</v>
          </cell>
          <cell r="E1215" t="str">
            <v>YSM10</v>
          </cell>
          <cell r="F1215" t="str">
            <v>#05475</v>
          </cell>
          <cell r="G1215" t="e">
            <v>#REF!</v>
          </cell>
          <cell r="H1215" t="e">
            <v>#REF!</v>
          </cell>
          <cell r="I1215" t="str">
            <v>L-&gt;R</v>
          </cell>
          <cell r="J1215" t="str">
            <v>MVC</v>
          </cell>
          <cell r="K1215">
            <v>1</v>
          </cell>
          <cell r="L1215">
            <v>110199</v>
          </cell>
          <cell r="M1215" t="str">
            <v>JAN 21</v>
          </cell>
          <cell r="N1215">
            <v>44231</v>
          </cell>
          <cell r="O1215">
            <v>11116516</v>
          </cell>
          <cell r="P1215">
            <v>6800000</v>
          </cell>
          <cell r="Q1215">
            <v>44228</v>
          </cell>
          <cell r="R1215" t="str">
            <v>Yes</v>
          </cell>
          <cell r="S1215" t="str">
            <v>C49</v>
          </cell>
          <cell r="T1215" t="str">
            <v>SOUTH</v>
          </cell>
          <cell r="U1215" t="str">
            <v>深圳</v>
          </cell>
          <cell r="V1215" t="str">
            <v>SZ 深圳</v>
          </cell>
          <cell r="W1215" t="str">
            <v>SX</v>
          </cell>
          <cell r="X1215" t="str">
            <v>JPY</v>
          </cell>
          <cell r="Y1215">
            <v>6800000</v>
          </cell>
          <cell r="Z1215">
            <v>1</v>
          </cell>
          <cell r="AA1215">
            <v>6800000</v>
          </cell>
          <cell r="AB1215">
            <v>7.6799999999999993E-2</v>
          </cell>
          <cell r="AC1215">
            <v>522239.99999999994</v>
          </cell>
          <cell r="AD1215">
            <v>62668.799999999988</v>
          </cell>
          <cell r="AE1215">
            <v>0.12</v>
          </cell>
          <cell r="AF1215">
            <v>44207</v>
          </cell>
          <cell r="AG1215" t="str">
            <v>DAP FS</v>
          </cell>
          <cell r="AK1215">
            <v>0.3</v>
          </cell>
          <cell r="AL1215">
            <v>2040000</v>
          </cell>
          <cell r="AM1215">
            <v>44197</v>
          </cell>
          <cell r="AN1215" t="str">
            <v>Yes</v>
          </cell>
          <cell r="AO1215">
            <v>0.7</v>
          </cell>
          <cell r="AP1215">
            <v>4760000</v>
          </cell>
          <cell r="AQ1215">
            <v>44197</v>
          </cell>
          <cell r="AR1215">
            <v>44225</v>
          </cell>
          <cell r="AS1215">
            <v>0</v>
          </cell>
          <cell r="AT1215">
            <v>0</v>
          </cell>
          <cell r="AX1215" t="str">
            <v>Yes</v>
          </cell>
          <cell r="AZ1215" t="str">
            <v>Y</v>
          </cell>
          <cell r="BA1215" t="str">
            <v>Yes</v>
          </cell>
        </row>
        <row r="1216">
          <cell r="B1216">
            <v>1066</v>
          </cell>
          <cell r="C1216">
            <v>4300001309</v>
          </cell>
          <cell r="D1216" t="str">
            <v>广州数控</v>
          </cell>
          <cell r="E1216" t="str">
            <v>Heller 1809MK5</v>
          </cell>
          <cell r="G1216" t="e">
            <v>#REF!</v>
          </cell>
          <cell r="H1216" t="e">
            <v>#REF!</v>
          </cell>
          <cell r="I1216" t="str">
            <v>No</v>
          </cell>
          <cell r="J1216" t="str">
            <v>No</v>
          </cell>
          <cell r="K1216">
            <v>1</v>
          </cell>
          <cell r="L1216" t="e">
            <v>#N/A</v>
          </cell>
          <cell r="M1216" t="e">
            <v>#N/A</v>
          </cell>
          <cell r="N1216">
            <v>44287</v>
          </cell>
          <cell r="O1216">
            <v>11101236</v>
          </cell>
          <cell r="P1216">
            <v>354000</v>
          </cell>
          <cell r="Q1216">
            <v>44307</v>
          </cell>
          <cell r="R1216" t="str">
            <v>No</v>
          </cell>
          <cell r="S1216" t="str">
            <v>C28</v>
          </cell>
          <cell r="T1216" t="str">
            <v>SOUTH</v>
          </cell>
          <cell r="U1216" t="str">
            <v>广州</v>
          </cell>
          <cell r="V1216" t="str">
            <v>GZ 广州</v>
          </cell>
          <cell r="W1216" t="str">
            <v>KC</v>
          </cell>
          <cell r="X1216" t="str">
            <v>RMB</v>
          </cell>
          <cell r="Y1216">
            <v>354000</v>
          </cell>
          <cell r="Z1216">
            <v>1.1299999999999999</v>
          </cell>
          <cell r="AA1216">
            <v>354000</v>
          </cell>
          <cell r="AB1216">
            <v>1.1850000000000001</v>
          </cell>
          <cell r="AC1216">
            <v>371230.0884955753</v>
          </cell>
          <cell r="AD1216">
            <v>44547.610619469036</v>
          </cell>
          <cell r="AE1216">
            <v>0.12</v>
          </cell>
          <cell r="AF1216">
            <v>44203</v>
          </cell>
          <cell r="AG1216" t="str">
            <v>含税到厂</v>
          </cell>
          <cell r="AK1216">
            <v>0.3</v>
          </cell>
          <cell r="AL1216">
            <v>106200</v>
          </cell>
          <cell r="AN1216" t="str">
            <v>No</v>
          </cell>
          <cell r="AO1216">
            <v>0.65</v>
          </cell>
          <cell r="AP1216">
            <v>230100</v>
          </cell>
          <cell r="AQ1216">
            <v>44280</v>
          </cell>
          <cell r="AR1216">
            <v>44280</v>
          </cell>
          <cell r="AS1216">
            <v>0.05</v>
          </cell>
          <cell r="AT1216">
            <v>17700</v>
          </cell>
          <cell r="AU1216">
            <v>44342</v>
          </cell>
          <cell r="AV1216">
            <v>44342</v>
          </cell>
          <cell r="AX1216" t="str">
            <v>Yes</v>
          </cell>
          <cell r="AZ1216" t="str">
            <v>Y</v>
          </cell>
          <cell r="BA1216" t="str">
            <v>Yes</v>
          </cell>
        </row>
        <row r="1217">
          <cell r="B1217">
            <v>1067</v>
          </cell>
          <cell r="C1217" t="str">
            <v>C49SZX20210013SS</v>
          </cell>
          <cell r="D1217" t="str">
            <v>泰润</v>
          </cell>
          <cell r="E1217" t="str">
            <v>YSM10</v>
          </cell>
          <cell r="F1217" t="str">
            <v>#05470</v>
          </cell>
          <cell r="G1217" t="e">
            <v>#REF!</v>
          </cell>
          <cell r="H1217" t="e">
            <v>#REF!</v>
          </cell>
          <cell r="I1217" t="str">
            <v>L-&gt;R</v>
          </cell>
          <cell r="J1217" t="str">
            <v>MVC</v>
          </cell>
          <cell r="K1217">
            <v>1</v>
          </cell>
          <cell r="L1217">
            <v>110244</v>
          </cell>
          <cell r="M1217" t="str">
            <v>MAY 21</v>
          </cell>
          <cell r="N1217">
            <v>44335</v>
          </cell>
          <cell r="O1217">
            <v>11116583</v>
          </cell>
          <cell r="P1217">
            <v>8900000</v>
          </cell>
          <cell r="Q1217">
            <v>44343</v>
          </cell>
          <cell r="R1217" t="str">
            <v>Yes</v>
          </cell>
          <cell r="S1217" t="str">
            <v>C49</v>
          </cell>
          <cell r="T1217" t="str">
            <v>SOUTH</v>
          </cell>
          <cell r="U1217" t="str">
            <v>深圳</v>
          </cell>
          <cell r="V1217" t="str">
            <v>SZ 深圳</v>
          </cell>
          <cell r="W1217" t="str">
            <v>SS</v>
          </cell>
          <cell r="X1217" t="str">
            <v>JPY</v>
          </cell>
          <cell r="Y1217">
            <v>8900000</v>
          </cell>
          <cell r="Z1217">
            <v>1</v>
          </cell>
          <cell r="AA1217">
            <v>8900000</v>
          </cell>
          <cell r="AB1217">
            <v>7.6799999999999993E-2</v>
          </cell>
          <cell r="AC1217">
            <v>683519.99999999988</v>
          </cell>
          <cell r="AD1217">
            <v>82022.39999999998</v>
          </cell>
          <cell r="AE1217">
            <v>0.12</v>
          </cell>
          <cell r="AF1217">
            <v>44208</v>
          </cell>
          <cell r="AG1217" t="str">
            <v>DAP SZ</v>
          </cell>
          <cell r="AI1217" t="str">
            <v>CNY 60,000</v>
          </cell>
          <cell r="AJ1217">
            <v>44215</v>
          </cell>
          <cell r="AK1217">
            <v>0</v>
          </cell>
          <cell r="AL1217">
            <v>0</v>
          </cell>
          <cell r="AM1217">
            <v>44197</v>
          </cell>
          <cell r="AN1217" t="str">
            <v>Yes</v>
          </cell>
          <cell r="AO1217">
            <v>1</v>
          </cell>
          <cell r="AP1217">
            <v>8900000</v>
          </cell>
          <cell r="AQ1217">
            <v>44333</v>
          </cell>
          <cell r="AR1217">
            <v>44333</v>
          </cell>
          <cell r="AS1217">
            <v>0</v>
          </cell>
          <cell r="AT1217">
            <v>0</v>
          </cell>
          <cell r="AX1217" t="str">
            <v>Yes</v>
          </cell>
          <cell r="AZ1217" t="str">
            <v>Y</v>
          </cell>
          <cell r="BA1217" t="str">
            <v>Yes</v>
          </cell>
        </row>
        <row r="1218">
          <cell r="B1218">
            <v>1068</v>
          </cell>
          <cell r="C1218" t="str">
            <v>C49SZX20210013SS</v>
          </cell>
          <cell r="D1218" t="str">
            <v>泰润</v>
          </cell>
          <cell r="E1218" t="str">
            <v>YSM20R-2</v>
          </cell>
          <cell r="F1218" t="str">
            <v>#05470</v>
          </cell>
          <cell r="G1218" t="e">
            <v>#REF!</v>
          </cell>
          <cell r="H1218" t="e">
            <v>#REF!</v>
          </cell>
          <cell r="I1218" t="str">
            <v>L-&gt;R</v>
          </cell>
          <cell r="J1218" t="str">
            <v>MVC</v>
          </cell>
          <cell r="K1218">
            <v>1</v>
          </cell>
          <cell r="L1218" t="str">
            <v>110228(拆单110338)</v>
          </cell>
          <cell r="M1218" t="str">
            <v>MAY 21</v>
          </cell>
          <cell r="N1218">
            <v>44335</v>
          </cell>
          <cell r="O1218">
            <v>11116585</v>
          </cell>
          <cell r="P1218">
            <v>12000000</v>
          </cell>
          <cell r="Q1218">
            <v>44343</v>
          </cell>
          <cell r="R1218" t="str">
            <v>Yes</v>
          </cell>
          <cell r="S1218" t="str">
            <v>C49</v>
          </cell>
          <cell r="T1218" t="str">
            <v>SOUTH</v>
          </cell>
          <cell r="U1218" t="str">
            <v>深圳</v>
          </cell>
          <cell r="V1218" t="str">
            <v>SZ 深圳</v>
          </cell>
          <cell r="W1218" t="str">
            <v>SS</v>
          </cell>
          <cell r="X1218" t="str">
            <v>JPY</v>
          </cell>
          <cell r="Y1218">
            <v>12000000</v>
          </cell>
          <cell r="Z1218">
            <v>1</v>
          </cell>
          <cell r="AA1218">
            <v>12000000</v>
          </cell>
          <cell r="AB1218">
            <v>7.6799999999999993E-2</v>
          </cell>
          <cell r="AC1218">
            <v>921599.99999999988</v>
          </cell>
          <cell r="AD1218">
            <v>110591.99999999999</v>
          </cell>
          <cell r="AE1218">
            <v>0.12</v>
          </cell>
          <cell r="AF1218">
            <v>44208</v>
          </cell>
          <cell r="AG1218" t="str">
            <v>DAP SZ</v>
          </cell>
          <cell r="AI1218"/>
          <cell r="AJ1218"/>
          <cell r="AK1218">
            <v>0</v>
          </cell>
          <cell r="AL1218">
            <v>0</v>
          </cell>
          <cell r="AM1218">
            <v>44197</v>
          </cell>
          <cell r="AN1218" t="str">
            <v>Yes</v>
          </cell>
          <cell r="AO1218">
            <v>1</v>
          </cell>
          <cell r="AP1218">
            <v>12000000</v>
          </cell>
          <cell r="AQ1218">
            <v>44333</v>
          </cell>
          <cell r="AR1218">
            <v>44333</v>
          </cell>
          <cell r="AS1218">
            <v>0</v>
          </cell>
          <cell r="AT1218">
            <v>0</v>
          </cell>
          <cell r="AX1218" t="str">
            <v>Yes</v>
          </cell>
          <cell r="AZ1218" t="str">
            <v>Y</v>
          </cell>
          <cell r="BA1218" t="str">
            <v>Yes</v>
          </cell>
        </row>
        <row r="1219">
          <cell r="B1219">
            <v>1069</v>
          </cell>
          <cell r="C1219" t="str">
            <v>C28SZX20200127RW</v>
          </cell>
          <cell r="D1219" t="str">
            <v>奕东</v>
          </cell>
          <cell r="E1219" t="str">
            <v>YSi-V</v>
          </cell>
          <cell r="F1219" t="str">
            <v>#04403</v>
          </cell>
          <cell r="G1219" t="e">
            <v>#REF!</v>
          </cell>
          <cell r="H1219" t="e">
            <v>#REF!</v>
          </cell>
          <cell r="I1219" t="str">
            <v>L-&gt;R</v>
          </cell>
          <cell r="J1219" t="str">
            <v>No</v>
          </cell>
          <cell r="K1219">
            <v>1</v>
          </cell>
          <cell r="L1219">
            <v>110301</v>
          </cell>
          <cell r="M1219" t="str">
            <v>MAY 21</v>
          </cell>
          <cell r="N1219">
            <v>44327</v>
          </cell>
          <cell r="O1219">
            <v>11116568</v>
          </cell>
          <cell r="P1219">
            <v>13880000</v>
          </cell>
          <cell r="Q1219">
            <v>44327</v>
          </cell>
          <cell r="R1219" t="str">
            <v>No</v>
          </cell>
          <cell r="S1219" t="str">
            <v>C28</v>
          </cell>
          <cell r="T1219" t="str">
            <v>SOUTH</v>
          </cell>
          <cell r="U1219" t="str">
            <v>东莞</v>
          </cell>
          <cell r="V1219" t="str">
            <v>DG 东莞</v>
          </cell>
          <cell r="W1219" t="str">
            <v>RW</v>
          </cell>
          <cell r="X1219" t="str">
            <v>JPY</v>
          </cell>
          <cell r="Y1219">
            <v>13880000</v>
          </cell>
          <cell r="Z1219">
            <v>1</v>
          </cell>
          <cell r="AA1219">
            <v>13880000</v>
          </cell>
          <cell r="AB1219">
            <v>7.6799999999999993E-2</v>
          </cell>
          <cell r="AC1219">
            <v>1065984</v>
          </cell>
          <cell r="AD1219">
            <v>127918.08</v>
          </cell>
          <cell r="AE1219">
            <v>0.12</v>
          </cell>
          <cell r="AF1219">
            <v>44204</v>
          </cell>
          <cell r="AG1219" t="str">
            <v>DAP DG</v>
          </cell>
          <cell r="AK1219">
            <v>0.2</v>
          </cell>
          <cell r="AL1219">
            <v>2776000</v>
          </cell>
          <cell r="AM1219">
            <v>44215</v>
          </cell>
          <cell r="AN1219" t="str">
            <v>Yes</v>
          </cell>
          <cell r="AO1219">
            <v>0.8</v>
          </cell>
          <cell r="AP1219">
            <v>11104000</v>
          </cell>
          <cell r="AQ1219">
            <v>44307</v>
          </cell>
          <cell r="AR1219">
            <v>44307</v>
          </cell>
          <cell r="AS1219">
            <v>0</v>
          </cell>
          <cell r="AT1219">
            <v>0</v>
          </cell>
          <cell r="AX1219" t="str">
            <v>Yes</v>
          </cell>
          <cell r="AZ1219" t="str">
            <v>Y</v>
          </cell>
          <cell r="BA1219" t="str">
            <v>Yes</v>
          </cell>
        </row>
        <row r="1220">
          <cell r="B1220">
            <v>1070</v>
          </cell>
          <cell r="C1220" t="str">
            <v>C49SZX20210018SX</v>
          </cell>
          <cell r="D1220" t="str">
            <v>恒泰</v>
          </cell>
          <cell r="E1220" t="str">
            <v>YSM10</v>
          </cell>
          <cell r="F1220" t="str">
            <v>#80305</v>
          </cell>
          <cell r="G1220" t="e">
            <v>#REF!</v>
          </cell>
          <cell r="H1220" t="e">
            <v>#REF!</v>
          </cell>
          <cell r="I1220" t="str">
            <v>R-&gt;L</v>
          </cell>
          <cell r="J1220" t="str">
            <v>No</v>
          </cell>
          <cell r="K1220">
            <v>1</v>
          </cell>
          <cell r="L1220">
            <v>110130</v>
          </cell>
          <cell r="M1220" t="str">
            <v>FEB 21</v>
          </cell>
          <cell r="N1220">
            <v>44256</v>
          </cell>
          <cell r="O1220">
            <v>11116513</v>
          </cell>
          <cell r="P1220">
            <v>7100000</v>
          </cell>
          <cell r="Q1220">
            <v>44228</v>
          </cell>
          <cell r="R1220" t="str">
            <v>No</v>
          </cell>
          <cell r="S1220" t="str">
            <v>C49</v>
          </cell>
          <cell r="T1220" t="str">
            <v>SOUTH</v>
          </cell>
          <cell r="U1220" t="str">
            <v>深圳</v>
          </cell>
          <cell r="V1220" t="str">
            <v>SZ 深圳</v>
          </cell>
          <cell r="W1220" t="str">
            <v>SX</v>
          </cell>
          <cell r="X1220" t="str">
            <v>JPY</v>
          </cell>
          <cell r="Y1220">
            <v>7100000</v>
          </cell>
          <cell r="Z1220">
            <v>1</v>
          </cell>
          <cell r="AA1220">
            <v>7100000</v>
          </cell>
          <cell r="AB1220">
            <v>7.6799999999999993E-2</v>
          </cell>
          <cell r="AC1220">
            <v>545280</v>
          </cell>
          <cell r="AD1220">
            <v>65433.599999999999</v>
          </cell>
          <cell r="AE1220">
            <v>0.12</v>
          </cell>
          <cell r="AF1220">
            <v>44214</v>
          </cell>
          <cell r="AG1220" t="str">
            <v>DAP JA</v>
          </cell>
          <cell r="AK1220">
            <v>0.3</v>
          </cell>
          <cell r="AL1220">
            <v>2130000</v>
          </cell>
          <cell r="AM1220">
            <v>44218</v>
          </cell>
          <cell r="AN1220" t="str">
            <v>Yes</v>
          </cell>
          <cell r="AO1220">
            <v>0.7</v>
          </cell>
          <cell r="AP1220">
            <v>4970000</v>
          </cell>
          <cell r="AQ1220">
            <v>44249</v>
          </cell>
          <cell r="AR1220">
            <v>44249</v>
          </cell>
          <cell r="AS1220">
            <v>0</v>
          </cell>
          <cell r="AT1220">
            <v>0</v>
          </cell>
          <cell r="AX1220" t="str">
            <v>Yes</v>
          </cell>
          <cell r="AZ1220" t="str">
            <v>Y</v>
          </cell>
          <cell r="BA1220" t="str">
            <v>Yes</v>
          </cell>
        </row>
        <row r="1221">
          <cell r="B1221">
            <v>1071</v>
          </cell>
          <cell r="C1221" t="str">
            <v>C49SZX20210009MZ</v>
          </cell>
          <cell r="D1221" t="str">
            <v>奥视通</v>
          </cell>
          <cell r="E1221" t="str">
            <v>YSM20R-2</v>
          </cell>
          <cell r="F1221" t="str">
            <v>#71342</v>
          </cell>
          <cell r="G1221" t="e">
            <v>#REF!</v>
          </cell>
          <cell r="H1221" t="e">
            <v>#REF!</v>
          </cell>
          <cell r="I1221" t="str">
            <v>L-&gt;R</v>
          </cell>
          <cell r="J1221" t="str">
            <v>No</v>
          </cell>
          <cell r="K1221">
            <v>1</v>
          </cell>
          <cell r="L1221">
            <v>110416</v>
          </cell>
          <cell r="M1221" t="str">
            <v>MAY 21</v>
          </cell>
          <cell r="N1221">
            <v>44334</v>
          </cell>
          <cell r="O1221">
            <v>11116579</v>
          </cell>
          <cell r="P1221">
            <v>12000000</v>
          </cell>
          <cell r="Q1221">
            <v>44317</v>
          </cell>
          <cell r="R1221" t="str">
            <v>No</v>
          </cell>
          <cell r="S1221" t="str">
            <v>C49</v>
          </cell>
          <cell r="T1221" t="str">
            <v>SOUTH</v>
          </cell>
          <cell r="U1221" t="str">
            <v>深圳</v>
          </cell>
          <cell r="V1221" t="str">
            <v>SZ 深圳</v>
          </cell>
          <cell r="W1221" t="str">
            <v>MZ</v>
          </cell>
          <cell r="X1221" t="str">
            <v>JPY</v>
          </cell>
          <cell r="Y1221">
            <v>12000000</v>
          </cell>
          <cell r="Z1221">
            <v>1</v>
          </cell>
          <cell r="AA1221">
            <v>12000000</v>
          </cell>
          <cell r="AB1221">
            <v>7.6799999999999993E-2</v>
          </cell>
          <cell r="AC1221">
            <v>921599.99999999988</v>
          </cell>
          <cell r="AD1221">
            <v>110591.99999999999</v>
          </cell>
          <cell r="AE1221">
            <v>0.12</v>
          </cell>
          <cell r="AF1221">
            <v>44215</v>
          </cell>
          <cell r="AG1221" t="str">
            <v>DAP HZ</v>
          </cell>
          <cell r="AI1221" t="str">
            <v>CNY 50,000</v>
          </cell>
          <cell r="AJ1221">
            <v>44229</v>
          </cell>
          <cell r="AK1221">
            <v>0.1</v>
          </cell>
          <cell r="AL1221">
            <v>1200000</v>
          </cell>
          <cell r="AM1221">
            <v>44249</v>
          </cell>
          <cell r="AN1221" t="str">
            <v>Yes</v>
          </cell>
          <cell r="AO1221">
            <v>0.9</v>
          </cell>
          <cell r="AP1221">
            <v>10800000</v>
          </cell>
          <cell r="AQ1221">
            <v>44328</v>
          </cell>
          <cell r="AR1221">
            <v>44328</v>
          </cell>
          <cell r="AS1221">
            <v>0</v>
          </cell>
          <cell r="AT1221">
            <v>0</v>
          </cell>
          <cell r="AX1221" t="str">
            <v>Yes</v>
          </cell>
          <cell r="AZ1221" t="str">
            <v>Y</v>
          </cell>
          <cell r="BA1221" t="str">
            <v>Yes</v>
          </cell>
        </row>
        <row r="1222">
          <cell r="B1222">
            <v>1072</v>
          </cell>
          <cell r="C1222" t="str">
            <v>C49SZX20210009MZ</v>
          </cell>
          <cell r="D1222" t="str">
            <v>奥视通</v>
          </cell>
          <cell r="E1222" t="str">
            <v>YSM20R-2</v>
          </cell>
          <cell r="F1222" t="str">
            <v>#71342</v>
          </cell>
          <cell r="G1222" t="e">
            <v>#REF!</v>
          </cell>
          <cell r="H1222" t="e">
            <v>#REF!</v>
          </cell>
          <cell r="I1222" t="str">
            <v>L-&gt;R</v>
          </cell>
          <cell r="J1222" t="str">
            <v>No</v>
          </cell>
          <cell r="K1222">
            <v>1</v>
          </cell>
          <cell r="L1222">
            <v>110416</v>
          </cell>
          <cell r="M1222" t="str">
            <v>MAY 21</v>
          </cell>
          <cell r="N1222">
            <v>44334</v>
          </cell>
          <cell r="O1222">
            <v>11116579</v>
          </cell>
          <cell r="P1222">
            <v>12000000</v>
          </cell>
          <cell r="Q1222">
            <v>44317</v>
          </cell>
          <cell r="R1222" t="str">
            <v>No</v>
          </cell>
          <cell r="S1222" t="str">
            <v>C49</v>
          </cell>
          <cell r="T1222" t="str">
            <v>SOUTH</v>
          </cell>
          <cell r="U1222" t="str">
            <v>深圳</v>
          </cell>
          <cell r="V1222" t="str">
            <v>SZ 深圳</v>
          </cell>
          <cell r="W1222" t="str">
            <v>MZ</v>
          </cell>
          <cell r="X1222" t="str">
            <v>JPY</v>
          </cell>
          <cell r="Y1222">
            <v>12000000</v>
          </cell>
          <cell r="Z1222">
            <v>1</v>
          </cell>
          <cell r="AA1222">
            <v>12000000</v>
          </cell>
          <cell r="AB1222">
            <v>7.6799999999999993E-2</v>
          </cell>
          <cell r="AC1222">
            <v>921599.99999999988</v>
          </cell>
          <cell r="AD1222">
            <v>110591.99999999999</v>
          </cell>
          <cell r="AE1222">
            <v>0.12</v>
          </cell>
          <cell r="AF1222">
            <v>44215</v>
          </cell>
          <cell r="AG1222" t="str">
            <v>DAP HZ</v>
          </cell>
          <cell r="AI1222"/>
          <cell r="AJ1222">
            <v>44229</v>
          </cell>
          <cell r="AK1222">
            <v>0.1</v>
          </cell>
          <cell r="AL1222">
            <v>1200000</v>
          </cell>
          <cell r="AM1222">
            <v>44249</v>
          </cell>
          <cell r="AN1222" t="str">
            <v>Yes</v>
          </cell>
          <cell r="AO1222">
            <v>0.9</v>
          </cell>
          <cell r="AP1222">
            <v>10800000</v>
          </cell>
          <cell r="AQ1222">
            <v>44328</v>
          </cell>
          <cell r="AR1222">
            <v>44328</v>
          </cell>
          <cell r="AS1222">
            <v>0</v>
          </cell>
          <cell r="AT1222">
            <v>0</v>
          </cell>
          <cell r="AX1222" t="str">
            <v>Yes</v>
          </cell>
          <cell r="AZ1222" t="str">
            <v>Y</v>
          </cell>
          <cell r="BA1222" t="str">
            <v>Yes</v>
          </cell>
        </row>
        <row r="1223">
          <cell r="B1223">
            <v>1073</v>
          </cell>
          <cell r="C1223" t="str">
            <v>C49SZX20210009MZ</v>
          </cell>
          <cell r="D1223" t="str">
            <v>奥视通</v>
          </cell>
          <cell r="E1223" t="str">
            <v>YSM20R-2</v>
          </cell>
          <cell r="F1223" t="str">
            <v>#71342</v>
          </cell>
          <cell r="G1223" t="e">
            <v>#REF!</v>
          </cell>
          <cell r="H1223" t="e">
            <v>#REF!</v>
          </cell>
          <cell r="I1223" t="str">
            <v>L-&gt;R</v>
          </cell>
          <cell r="J1223" t="str">
            <v>No</v>
          </cell>
          <cell r="K1223">
            <v>1</v>
          </cell>
          <cell r="L1223">
            <v>110416</v>
          </cell>
          <cell r="M1223" t="str">
            <v>MAY 21</v>
          </cell>
          <cell r="N1223">
            <v>44334</v>
          </cell>
          <cell r="O1223">
            <v>11116579</v>
          </cell>
          <cell r="P1223">
            <v>12000000</v>
          </cell>
          <cell r="Q1223">
            <v>44317</v>
          </cell>
          <cell r="R1223" t="str">
            <v>No</v>
          </cell>
          <cell r="S1223" t="str">
            <v>C49</v>
          </cell>
          <cell r="T1223" t="str">
            <v>SOUTH</v>
          </cell>
          <cell r="U1223" t="str">
            <v>深圳</v>
          </cell>
          <cell r="V1223" t="str">
            <v>SZ 深圳</v>
          </cell>
          <cell r="W1223" t="str">
            <v>MZ</v>
          </cell>
          <cell r="X1223" t="str">
            <v>JPY</v>
          </cell>
          <cell r="Y1223">
            <v>12000000</v>
          </cell>
          <cell r="Z1223">
            <v>1</v>
          </cell>
          <cell r="AA1223">
            <v>12000000</v>
          </cell>
          <cell r="AB1223">
            <v>7.6799999999999993E-2</v>
          </cell>
          <cell r="AC1223">
            <v>921599.99999999988</v>
          </cell>
          <cell r="AD1223">
            <v>110591.99999999999</v>
          </cell>
          <cell r="AE1223">
            <v>0.12</v>
          </cell>
          <cell r="AF1223">
            <v>44215</v>
          </cell>
          <cell r="AG1223" t="str">
            <v>DAP HZ</v>
          </cell>
          <cell r="AI1223"/>
          <cell r="AJ1223">
            <v>44229</v>
          </cell>
          <cell r="AK1223">
            <v>0.1</v>
          </cell>
          <cell r="AL1223">
            <v>1200000</v>
          </cell>
          <cell r="AM1223">
            <v>44249</v>
          </cell>
          <cell r="AN1223" t="str">
            <v>Yes</v>
          </cell>
          <cell r="AO1223">
            <v>0.9</v>
          </cell>
          <cell r="AP1223">
            <v>10800000</v>
          </cell>
          <cell r="AQ1223">
            <v>44328</v>
          </cell>
          <cell r="AR1223">
            <v>44328</v>
          </cell>
          <cell r="AS1223">
            <v>0</v>
          </cell>
          <cell r="AT1223">
            <v>0</v>
          </cell>
          <cell r="AX1223" t="str">
            <v>Yes</v>
          </cell>
          <cell r="AZ1223" t="str">
            <v>Y</v>
          </cell>
          <cell r="BA1223" t="str">
            <v>Yes</v>
          </cell>
        </row>
        <row r="1224">
          <cell r="B1224">
            <v>1074</v>
          </cell>
          <cell r="C1224" t="str">
            <v>C49SZX20210009MZ</v>
          </cell>
          <cell r="D1224" t="str">
            <v>奥视通</v>
          </cell>
          <cell r="E1224" t="str">
            <v>YSM10</v>
          </cell>
          <cell r="F1224" t="str">
            <v>#71342</v>
          </cell>
          <cell r="G1224" t="e">
            <v>#REF!</v>
          </cell>
          <cell r="H1224" t="e">
            <v>#REF!</v>
          </cell>
          <cell r="I1224" t="str">
            <v>L-&gt;R</v>
          </cell>
          <cell r="J1224" t="str">
            <v>MVC+ATS15</v>
          </cell>
          <cell r="K1224">
            <v>1</v>
          </cell>
          <cell r="L1224">
            <v>110210</v>
          </cell>
          <cell r="M1224" t="str">
            <v>MAY 21</v>
          </cell>
          <cell r="N1224">
            <v>44334</v>
          </cell>
          <cell r="O1224">
            <v>11116579</v>
          </cell>
          <cell r="P1224">
            <v>9300000</v>
          </cell>
          <cell r="Q1224">
            <v>44317</v>
          </cell>
          <cell r="R1224" t="str">
            <v>No</v>
          </cell>
          <cell r="S1224" t="str">
            <v>C49</v>
          </cell>
          <cell r="T1224" t="str">
            <v>SOUTH</v>
          </cell>
          <cell r="U1224" t="str">
            <v>深圳</v>
          </cell>
          <cell r="V1224" t="str">
            <v>SZ 深圳</v>
          </cell>
          <cell r="W1224" t="str">
            <v>MZ</v>
          </cell>
          <cell r="X1224" t="str">
            <v>JPY</v>
          </cell>
          <cell r="Y1224">
            <v>9300000</v>
          </cell>
          <cell r="Z1224">
            <v>1</v>
          </cell>
          <cell r="AA1224">
            <v>9300000</v>
          </cell>
          <cell r="AB1224">
            <v>7.6799999999999993E-2</v>
          </cell>
          <cell r="AC1224">
            <v>714239.99999999988</v>
          </cell>
          <cell r="AD1224">
            <v>85708.799999999988</v>
          </cell>
          <cell r="AE1224">
            <v>0.12</v>
          </cell>
          <cell r="AF1224">
            <v>44215</v>
          </cell>
          <cell r="AG1224" t="str">
            <v>DAP HZ</v>
          </cell>
          <cell r="AI1224"/>
          <cell r="AJ1224">
            <v>44229</v>
          </cell>
          <cell r="AK1224">
            <v>0.1</v>
          </cell>
          <cell r="AL1224">
            <v>930000</v>
          </cell>
          <cell r="AM1224">
            <v>44249</v>
          </cell>
          <cell r="AN1224" t="str">
            <v>Yes</v>
          </cell>
          <cell r="AO1224">
            <v>0.9</v>
          </cell>
          <cell r="AP1224">
            <v>8370000</v>
          </cell>
          <cell r="AQ1224">
            <v>44328</v>
          </cell>
          <cell r="AR1224">
            <v>44328</v>
          </cell>
          <cell r="AS1224">
            <v>0</v>
          </cell>
          <cell r="AT1224">
            <v>0</v>
          </cell>
          <cell r="AX1224" t="str">
            <v>Yes</v>
          </cell>
          <cell r="AZ1224" t="str">
            <v>Y</v>
          </cell>
          <cell r="BA1224" t="str">
            <v>Yes</v>
          </cell>
        </row>
        <row r="1225">
          <cell r="B1225">
            <v>1075</v>
          </cell>
          <cell r="C1225" t="str">
            <v>C49SZX20210009MZ</v>
          </cell>
          <cell r="D1225" t="str">
            <v>奥视通</v>
          </cell>
          <cell r="E1225" t="str">
            <v>YSM10</v>
          </cell>
          <cell r="F1225" t="str">
            <v>#71342</v>
          </cell>
          <cell r="G1225" t="e">
            <v>#REF!</v>
          </cell>
          <cell r="H1225" t="e">
            <v>#REF!</v>
          </cell>
          <cell r="I1225" t="str">
            <v>L-&gt;R</v>
          </cell>
          <cell r="J1225" t="str">
            <v>MVC+ATS15</v>
          </cell>
          <cell r="K1225">
            <v>1</v>
          </cell>
          <cell r="L1225">
            <v>110271</v>
          </cell>
          <cell r="M1225" t="str">
            <v>MAY 21</v>
          </cell>
          <cell r="N1225">
            <v>44334</v>
          </cell>
          <cell r="O1225">
            <v>11116579</v>
          </cell>
          <cell r="P1225">
            <v>9300000</v>
          </cell>
          <cell r="Q1225">
            <v>44317</v>
          </cell>
          <cell r="R1225" t="str">
            <v>No</v>
          </cell>
          <cell r="S1225" t="str">
            <v>C49</v>
          </cell>
          <cell r="T1225" t="str">
            <v>SOUTH</v>
          </cell>
          <cell r="U1225" t="str">
            <v>深圳</v>
          </cell>
          <cell r="V1225" t="str">
            <v>SZ 深圳</v>
          </cell>
          <cell r="W1225" t="str">
            <v>MZ</v>
          </cell>
          <cell r="X1225" t="str">
            <v>JPY</v>
          </cell>
          <cell r="Y1225">
            <v>9300000</v>
          </cell>
          <cell r="Z1225">
            <v>1</v>
          </cell>
          <cell r="AA1225">
            <v>9300000</v>
          </cell>
          <cell r="AB1225">
            <v>7.6799999999999993E-2</v>
          </cell>
          <cell r="AC1225">
            <v>714239.99999999988</v>
          </cell>
          <cell r="AD1225">
            <v>85708.799999999988</v>
          </cell>
          <cell r="AE1225">
            <v>0.12</v>
          </cell>
          <cell r="AF1225">
            <v>44215</v>
          </cell>
          <cell r="AG1225" t="str">
            <v>DAP HZ</v>
          </cell>
          <cell r="AI1225"/>
          <cell r="AJ1225">
            <v>44229</v>
          </cell>
          <cell r="AK1225">
            <v>0.1</v>
          </cell>
          <cell r="AL1225">
            <v>930000</v>
          </cell>
          <cell r="AM1225">
            <v>44249</v>
          </cell>
          <cell r="AN1225" t="str">
            <v>Yes</v>
          </cell>
          <cell r="AO1225">
            <v>0.9</v>
          </cell>
          <cell r="AP1225">
            <v>8370000</v>
          </cell>
          <cell r="AQ1225">
            <v>44328</v>
          </cell>
          <cell r="AR1225">
            <v>44328</v>
          </cell>
          <cell r="AS1225">
            <v>0</v>
          </cell>
          <cell r="AT1225">
            <v>0</v>
          </cell>
          <cell r="AX1225" t="str">
            <v>Yes</v>
          </cell>
          <cell r="AZ1225" t="str">
            <v>Y</v>
          </cell>
          <cell r="BA1225" t="str">
            <v>Yes</v>
          </cell>
        </row>
        <row r="1226">
          <cell r="B1226">
            <v>1076</v>
          </cell>
          <cell r="C1226" t="str">
            <v>C49SZX20210009MZ</v>
          </cell>
          <cell r="D1226" t="str">
            <v>奥视通</v>
          </cell>
          <cell r="E1226" t="str">
            <v>YSM10</v>
          </cell>
          <cell r="F1226" t="str">
            <v>#71342</v>
          </cell>
          <cell r="G1226" t="e">
            <v>#REF!</v>
          </cell>
          <cell r="H1226" t="e">
            <v>#REF!</v>
          </cell>
          <cell r="I1226" t="str">
            <v>L-&gt;R</v>
          </cell>
          <cell r="J1226" t="str">
            <v>MVC</v>
          </cell>
          <cell r="K1226">
            <v>1</v>
          </cell>
          <cell r="L1226">
            <v>110271</v>
          </cell>
          <cell r="M1226" t="str">
            <v>MAY 21</v>
          </cell>
          <cell r="N1226">
            <v>44334</v>
          </cell>
          <cell r="O1226">
            <v>11116579</v>
          </cell>
          <cell r="P1226">
            <v>9300000</v>
          </cell>
          <cell r="Q1226">
            <v>44317</v>
          </cell>
          <cell r="R1226" t="str">
            <v>No</v>
          </cell>
          <cell r="S1226" t="str">
            <v>C49</v>
          </cell>
          <cell r="T1226" t="str">
            <v>SOUTH</v>
          </cell>
          <cell r="U1226" t="str">
            <v>深圳</v>
          </cell>
          <cell r="V1226" t="str">
            <v>SZ 深圳</v>
          </cell>
          <cell r="W1226" t="str">
            <v>MZ</v>
          </cell>
          <cell r="X1226" t="str">
            <v>JPY</v>
          </cell>
          <cell r="Y1226">
            <v>9300000</v>
          </cell>
          <cell r="Z1226">
            <v>1</v>
          </cell>
          <cell r="AA1226">
            <v>9300000</v>
          </cell>
          <cell r="AB1226">
            <v>7.6799999999999993E-2</v>
          </cell>
          <cell r="AC1226">
            <v>714239.99999999988</v>
          </cell>
          <cell r="AD1226">
            <v>85708.799999999988</v>
          </cell>
          <cell r="AE1226">
            <v>0.12</v>
          </cell>
          <cell r="AF1226">
            <v>44215</v>
          </cell>
          <cell r="AG1226" t="str">
            <v>DAP HZ</v>
          </cell>
          <cell r="AI1226"/>
          <cell r="AJ1226">
            <v>44229</v>
          </cell>
          <cell r="AK1226">
            <v>0.1</v>
          </cell>
          <cell r="AL1226">
            <v>930000</v>
          </cell>
          <cell r="AM1226">
            <v>44249</v>
          </cell>
          <cell r="AN1226" t="str">
            <v>Yes</v>
          </cell>
          <cell r="AO1226">
            <v>0.9</v>
          </cell>
          <cell r="AP1226">
            <v>8370000</v>
          </cell>
          <cell r="AQ1226">
            <v>44328</v>
          </cell>
          <cell r="AR1226">
            <v>44328</v>
          </cell>
          <cell r="AS1226">
            <v>0</v>
          </cell>
          <cell r="AT1226">
            <v>0</v>
          </cell>
          <cell r="AX1226" t="str">
            <v>Yes</v>
          </cell>
          <cell r="AZ1226" t="str">
            <v>Y</v>
          </cell>
          <cell r="BA1226" t="str">
            <v>Yes</v>
          </cell>
        </row>
        <row r="1227">
          <cell r="B1227">
            <v>1077</v>
          </cell>
          <cell r="C1227" t="str">
            <v>C49SZX20210020SX</v>
          </cell>
          <cell r="D1227" t="str">
            <v>锐诚</v>
          </cell>
          <cell r="E1227" t="str">
            <v>YSM10</v>
          </cell>
          <cell r="F1227" t="str">
            <v>#78604</v>
          </cell>
          <cell r="G1227" t="e">
            <v>#REF!</v>
          </cell>
          <cell r="H1227" t="e">
            <v>#REF!</v>
          </cell>
          <cell r="I1227" t="str">
            <v>L-&gt;R</v>
          </cell>
          <cell r="J1227" t="str">
            <v>MVC</v>
          </cell>
          <cell r="K1227">
            <v>1</v>
          </cell>
          <cell r="L1227">
            <v>110130</v>
          </cell>
          <cell r="M1227" t="str">
            <v>FEB 21</v>
          </cell>
          <cell r="N1227">
            <v>44253</v>
          </cell>
          <cell r="O1227">
            <v>11116517</v>
          </cell>
          <cell r="P1227">
            <v>6920000</v>
          </cell>
          <cell r="Q1227">
            <v>44228</v>
          </cell>
          <cell r="R1227" t="str">
            <v>No</v>
          </cell>
          <cell r="S1227" t="str">
            <v>C49</v>
          </cell>
          <cell r="T1227" t="str">
            <v>SOUTH</v>
          </cell>
          <cell r="U1227" t="str">
            <v>深圳</v>
          </cell>
          <cell r="V1227" t="str">
            <v>SZ 深圳</v>
          </cell>
          <cell r="W1227" t="str">
            <v>SX</v>
          </cell>
          <cell r="X1227" t="str">
            <v>JPY</v>
          </cell>
          <cell r="Y1227">
            <v>6920000</v>
          </cell>
          <cell r="Z1227">
            <v>1</v>
          </cell>
          <cell r="AA1227">
            <v>6920000</v>
          </cell>
          <cell r="AB1227">
            <v>7.6799999999999993E-2</v>
          </cell>
          <cell r="AC1227">
            <v>531456</v>
          </cell>
          <cell r="AD1227">
            <v>63774.720000000001</v>
          </cell>
          <cell r="AE1227">
            <v>0.12</v>
          </cell>
          <cell r="AF1227">
            <v>44216</v>
          </cell>
          <cell r="AG1227" t="str">
            <v>DAP HZ</v>
          </cell>
          <cell r="AK1227">
            <v>0.1</v>
          </cell>
          <cell r="AL1227">
            <v>692000</v>
          </cell>
          <cell r="AM1227">
            <v>44197</v>
          </cell>
          <cell r="AN1227" t="str">
            <v>Yes</v>
          </cell>
          <cell r="AO1227">
            <v>0.9</v>
          </cell>
          <cell r="AP1227">
            <v>6228000</v>
          </cell>
          <cell r="AQ1227">
            <v>44228</v>
          </cell>
          <cell r="AR1227">
            <v>44250</v>
          </cell>
          <cell r="AS1227">
            <v>0</v>
          </cell>
          <cell r="AT1227">
            <v>0</v>
          </cell>
          <cell r="AX1227" t="str">
            <v>Yes</v>
          </cell>
          <cell r="AZ1227" t="str">
            <v>Y</v>
          </cell>
          <cell r="BA1227" t="str">
            <v>Yes</v>
          </cell>
        </row>
        <row r="1228">
          <cell r="B1228">
            <v>1078</v>
          </cell>
          <cell r="C1228" t="str">
            <v>C49SZX20210025DZ</v>
          </cell>
          <cell r="D1228" t="str">
            <v>巨鑫电子</v>
          </cell>
          <cell r="E1228" t="str">
            <v>YSM20R-2</v>
          </cell>
          <cell r="F1228" t="str">
            <v>#37282</v>
          </cell>
          <cell r="G1228" t="e">
            <v>#REF!</v>
          </cell>
          <cell r="H1228" t="e">
            <v>#REF!</v>
          </cell>
          <cell r="I1228" t="str">
            <v>R-&gt;L</v>
          </cell>
          <cell r="J1228" t="str">
            <v>No</v>
          </cell>
          <cell r="K1228">
            <v>1</v>
          </cell>
          <cell r="L1228">
            <v>110132</v>
          </cell>
          <cell r="M1228" t="str">
            <v>FEB 21</v>
          </cell>
          <cell r="N1228">
            <v>44250</v>
          </cell>
          <cell r="O1228">
            <v>11116508</v>
          </cell>
          <cell r="P1228">
            <v>12640000</v>
          </cell>
          <cell r="Q1228">
            <v>44228</v>
          </cell>
          <cell r="R1228" t="str">
            <v>No</v>
          </cell>
          <cell r="S1228" t="str">
            <v>C49</v>
          </cell>
          <cell r="T1228" t="str">
            <v>SOUTH</v>
          </cell>
          <cell r="U1228" t="str">
            <v>深圳</v>
          </cell>
          <cell r="V1228" t="str">
            <v>SZ 深圳</v>
          </cell>
          <cell r="W1228" t="str">
            <v>DZ</v>
          </cell>
          <cell r="X1228" t="str">
            <v>JPY</v>
          </cell>
          <cell r="Y1228">
            <v>12640000</v>
          </cell>
          <cell r="Z1228">
            <v>1</v>
          </cell>
          <cell r="AA1228">
            <v>12640000</v>
          </cell>
          <cell r="AB1228">
            <v>7.6799999999999993E-2</v>
          </cell>
          <cell r="AC1228">
            <v>970751.99999999988</v>
          </cell>
          <cell r="AD1228">
            <v>116490.23999999998</v>
          </cell>
          <cell r="AE1228">
            <v>0.12</v>
          </cell>
          <cell r="AF1228">
            <v>44216</v>
          </cell>
          <cell r="AG1228" t="str">
            <v>DAP SZ</v>
          </cell>
          <cell r="AI1228" t="str">
            <v>CNY 100,000</v>
          </cell>
          <cell r="AJ1228">
            <v>44217</v>
          </cell>
          <cell r="AK1228">
            <v>0.3</v>
          </cell>
          <cell r="AL1228">
            <v>3792000</v>
          </cell>
          <cell r="AM1228">
            <v>44218</v>
          </cell>
          <cell r="AN1228" t="str">
            <v>Yes</v>
          </cell>
          <cell r="AO1228">
            <v>0.7</v>
          </cell>
          <cell r="AP1228">
            <v>8848000</v>
          </cell>
          <cell r="AQ1228">
            <v>44229</v>
          </cell>
          <cell r="AR1228">
            <v>44229</v>
          </cell>
          <cell r="AS1228">
            <v>0</v>
          </cell>
          <cell r="AT1228">
            <v>0</v>
          </cell>
          <cell r="AX1228" t="str">
            <v>Yes</v>
          </cell>
          <cell r="AY1228"/>
          <cell r="AZ1228" t="str">
            <v>Y</v>
          </cell>
          <cell r="BA1228" t="str">
            <v>Yes</v>
          </cell>
        </row>
        <row r="1229">
          <cell r="B1229">
            <v>1079</v>
          </cell>
          <cell r="C1229" t="str">
            <v>C49SZX20210026DZ</v>
          </cell>
          <cell r="D1229" t="str">
            <v>航特</v>
          </cell>
          <cell r="E1229" t="str">
            <v>YSM20R-2</v>
          </cell>
          <cell r="F1229" t="str">
            <v>#81706</v>
          </cell>
          <cell r="G1229" t="e">
            <v>#REF!</v>
          </cell>
          <cell r="H1229" t="e">
            <v>#REF!</v>
          </cell>
          <cell r="I1229" t="str">
            <v>L-&gt;R</v>
          </cell>
          <cell r="J1229" t="str">
            <v>No</v>
          </cell>
          <cell r="K1229">
            <v>1</v>
          </cell>
          <cell r="L1229">
            <v>110133</v>
          </cell>
          <cell r="M1229" t="str">
            <v>MAR 21</v>
          </cell>
          <cell r="N1229">
            <v>44284</v>
          </cell>
          <cell r="O1229">
            <v>11116544</v>
          </cell>
          <cell r="P1229">
            <v>13700000</v>
          </cell>
          <cell r="Q1229">
            <v>44279</v>
          </cell>
          <cell r="R1229" t="str">
            <v>No</v>
          </cell>
          <cell r="S1229" t="str">
            <v>C49</v>
          </cell>
          <cell r="T1229" t="str">
            <v>SOUTH</v>
          </cell>
          <cell r="U1229" t="str">
            <v>深圳</v>
          </cell>
          <cell r="V1229" t="str">
            <v>SZ 深圳</v>
          </cell>
          <cell r="W1229" t="str">
            <v>DZ</v>
          </cell>
          <cell r="X1229" t="str">
            <v>JPY</v>
          </cell>
          <cell r="Y1229">
            <v>13700000</v>
          </cell>
          <cell r="Z1229">
            <v>1</v>
          </cell>
          <cell r="AA1229">
            <v>13700000</v>
          </cell>
          <cell r="AB1229">
            <v>7.6799999999999993E-2</v>
          </cell>
          <cell r="AC1229">
            <v>1052160</v>
          </cell>
          <cell r="AD1229">
            <v>126259.2</v>
          </cell>
          <cell r="AE1229">
            <v>0.12</v>
          </cell>
          <cell r="AF1229">
            <v>44218</v>
          </cell>
          <cell r="AG1229" t="str">
            <v>DAP CS</v>
          </cell>
          <cell r="AK1229">
            <v>0.3</v>
          </cell>
          <cell r="AL1229">
            <v>4110000</v>
          </cell>
          <cell r="AM1229">
            <v>44219</v>
          </cell>
          <cell r="AN1229" t="str">
            <v>Yes</v>
          </cell>
          <cell r="AO1229">
            <v>0.68</v>
          </cell>
          <cell r="AP1229">
            <v>9316000</v>
          </cell>
          <cell r="AQ1229">
            <v>44277</v>
          </cell>
          <cell r="AR1229">
            <v>44277</v>
          </cell>
          <cell r="AS1229">
            <v>0.02</v>
          </cell>
          <cell r="AT1229">
            <v>274000</v>
          </cell>
          <cell r="AU1229">
            <v>44306</v>
          </cell>
          <cell r="AV1229">
            <v>44306</v>
          </cell>
          <cell r="AX1229" t="str">
            <v>Yes</v>
          </cell>
          <cell r="AZ1229" t="str">
            <v>Y</v>
          </cell>
          <cell r="BA1229" t="str">
            <v>Yes</v>
          </cell>
        </row>
        <row r="1230">
          <cell r="B1230">
            <v>1080</v>
          </cell>
          <cell r="C1230" t="str">
            <v>C49SZX20210026DZ</v>
          </cell>
          <cell r="D1230" t="str">
            <v>航特</v>
          </cell>
          <cell r="E1230" t="str">
            <v>YSM20R-2</v>
          </cell>
          <cell r="F1230" t="str">
            <v>#81706</v>
          </cell>
          <cell r="G1230" t="e">
            <v>#REF!</v>
          </cell>
          <cell r="H1230" t="e">
            <v>#REF!</v>
          </cell>
          <cell r="I1230" t="str">
            <v>L-&gt;R</v>
          </cell>
          <cell r="J1230" t="str">
            <v>No</v>
          </cell>
          <cell r="K1230">
            <v>1</v>
          </cell>
          <cell r="L1230" t="str">
            <v>110235（拆单110242）</v>
          </cell>
          <cell r="M1230" t="str">
            <v>MAR 21</v>
          </cell>
          <cell r="N1230">
            <v>44284</v>
          </cell>
          <cell r="O1230">
            <v>11116544</v>
          </cell>
          <cell r="P1230">
            <v>13700000</v>
          </cell>
          <cell r="Q1230">
            <v>44279</v>
          </cell>
          <cell r="R1230" t="str">
            <v>No</v>
          </cell>
          <cell r="S1230" t="str">
            <v>C49</v>
          </cell>
          <cell r="T1230" t="str">
            <v>SOUTH</v>
          </cell>
          <cell r="U1230" t="str">
            <v>深圳</v>
          </cell>
          <cell r="V1230" t="str">
            <v>SZ 深圳</v>
          </cell>
          <cell r="W1230" t="str">
            <v>JY</v>
          </cell>
          <cell r="X1230" t="str">
            <v>JPY</v>
          </cell>
          <cell r="Y1230">
            <v>13700000</v>
          </cell>
          <cell r="Z1230">
            <v>1</v>
          </cell>
          <cell r="AA1230">
            <v>13700000</v>
          </cell>
          <cell r="AB1230">
            <v>7.6799999999999993E-2</v>
          </cell>
          <cell r="AC1230">
            <v>1052160</v>
          </cell>
          <cell r="AD1230">
            <v>126259.2</v>
          </cell>
          <cell r="AE1230">
            <v>0.12</v>
          </cell>
          <cell r="AF1230">
            <v>44218</v>
          </cell>
          <cell r="AG1230" t="str">
            <v>DAP CS</v>
          </cell>
          <cell r="AK1230">
            <v>0.3</v>
          </cell>
          <cell r="AL1230">
            <v>4110000</v>
          </cell>
          <cell r="AM1230">
            <v>44220</v>
          </cell>
          <cell r="AN1230" t="str">
            <v>Yes</v>
          </cell>
          <cell r="AO1230">
            <v>0.68</v>
          </cell>
          <cell r="AP1230">
            <v>9316000</v>
          </cell>
          <cell r="AQ1230">
            <v>44277</v>
          </cell>
          <cell r="AR1230">
            <v>44277</v>
          </cell>
          <cell r="AS1230">
            <v>0.02</v>
          </cell>
          <cell r="AT1230">
            <v>274000</v>
          </cell>
          <cell r="AU1230">
            <v>44306</v>
          </cell>
          <cell r="AV1230">
            <v>44306</v>
          </cell>
          <cell r="AX1230" t="str">
            <v>Yes</v>
          </cell>
          <cell r="AZ1230" t="str">
            <v>Y</v>
          </cell>
          <cell r="BA1230" t="str">
            <v>Yes</v>
          </cell>
        </row>
        <row r="1231">
          <cell r="B1231">
            <v>1081</v>
          </cell>
          <cell r="C1231" t="str">
            <v>C49SZX20210010JY</v>
          </cell>
          <cell r="D1231" t="str">
            <v>英拓邦</v>
          </cell>
          <cell r="E1231" t="str">
            <v>YSM20R-2</v>
          </cell>
          <cell r="F1231" t="str">
            <v>#05493</v>
          </cell>
          <cell r="G1231" t="e">
            <v>#REF!</v>
          </cell>
          <cell r="H1231" t="e">
            <v>#REF!</v>
          </cell>
          <cell r="I1231" t="str">
            <v>L-&gt;R</v>
          </cell>
          <cell r="J1231" t="str">
            <v>No</v>
          </cell>
          <cell r="K1231">
            <v>1</v>
          </cell>
          <cell r="L1231" t="e">
            <v>#N/A</v>
          </cell>
          <cell r="M1231" t="e">
            <v>#N/A</v>
          </cell>
          <cell r="N1231"/>
          <cell r="O1231"/>
          <cell r="P1231"/>
          <cell r="Q1231"/>
          <cell r="R1231" t="str">
            <v>No</v>
          </cell>
          <cell r="S1231" t="str">
            <v>C49</v>
          </cell>
          <cell r="T1231" t="str">
            <v>SOUTH</v>
          </cell>
          <cell r="U1231" t="str">
            <v>深圳</v>
          </cell>
          <cell r="V1231" t="str">
            <v>SZ 深圳</v>
          </cell>
          <cell r="W1231" t="str">
            <v>JY</v>
          </cell>
          <cell r="X1231" t="str">
            <v>JPY</v>
          </cell>
          <cell r="Y1231">
            <v>14400000</v>
          </cell>
          <cell r="Z1231">
            <v>1</v>
          </cell>
          <cell r="AA1231">
            <v>14400000</v>
          </cell>
          <cell r="AB1231">
            <v>7.6799999999999993E-2</v>
          </cell>
          <cell r="AC1231">
            <v>1105920</v>
          </cell>
          <cell r="AD1231">
            <v>132710.39999999999</v>
          </cell>
          <cell r="AE1231">
            <v>0.12</v>
          </cell>
          <cell r="AF1231">
            <v>44215</v>
          </cell>
          <cell r="AG1231" t="str">
            <v>CIF HK</v>
          </cell>
          <cell r="AI1231"/>
          <cell r="AJ1231"/>
          <cell r="AK1231">
            <v>0.1</v>
          </cell>
          <cell r="AL1231">
            <v>1440000</v>
          </cell>
          <cell r="AM1231"/>
          <cell r="AN1231" t="str">
            <v>No</v>
          </cell>
          <cell r="AO1231">
            <v>0.9</v>
          </cell>
          <cell r="AP1231">
            <v>12960000</v>
          </cell>
          <cell r="AQ1231"/>
          <cell r="AR1231"/>
          <cell r="AS1231">
            <v>0</v>
          </cell>
          <cell r="AT1231">
            <v>0</v>
          </cell>
          <cell r="AV1231"/>
          <cell r="AX1231"/>
          <cell r="AY1231"/>
          <cell r="AZ1231"/>
          <cell r="BA1231"/>
        </row>
        <row r="1232">
          <cell r="B1232">
            <v>1082</v>
          </cell>
          <cell r="C1232" t="str">
            <v>C49SZX20210010JY</v>
          </cell>
          <cell r="D1232" t="str">
            <v>英拓邦</v>
          </cell>
          <cell r="E1232" t="str">
            <v>YSM20R-2</v>
          </cell>
          <cell r="F1232" t="str">
            <v>#05493</v>
          </cell>
          <cell r="G1232" t="e">
            <v>#REF!</v>
          </cell>
          <cell r="H1232" t="e">
            <v>#REF!</v>
          </cell>
          <cell r="I1232" t="str">
            <v>R-&gt;L</v>
          </cell>
          <cell r="J1232" t="str">
            <v>No</v>
          </cell>
          <cell r="K1232">
            <v>1</v>
          </cell>
          <cell r="L1232" t="e">
            <v>#N/A</v>
          </cell>
          <cell r="M1232" t="e">
            <v>#N/A</v>
          </cell>
          <cell r="N1232"/>
          <cell r="O1232"/>
          <cell r="P1232"/>
          <cell r="Q1232"/>
          <cell r="R1232" t="str">
            <v>No</v>
          </cell>
          <cell r="S1232" t="str">
            <v>C49</v>
          </cell>
          <cell r="T1232" t="str">
            <v>SOUTH</v>
          </cell>
          <cell r="U1232" t="str">
            <v>深圳</v>
          </cell>
          <cell r="V1232" t="str">
            <v>SZ 深圳</v>
          </cell>
          <cell r="W1232" t="str">
            <v>JY</v>
          </cell>
          <cell r="X1232" t="str">
            <v>JPY</v>
          </cell>
          <cell r="Y1232">
            <v>14400000</v>
          </cell>
          <cell r="Z1232">
            <v>1</v>
          </cell>
          <cell r="AA1232">
            <v>14400000</v>
          </cell>
          <cell r="AB1232">
            <v>7.6799999999999993E-2</v>
          </cell>
          <cell r="AC1232">
            <v>1105920</v>
          </cell>
          <cell r="AD1232">
            <v>132710.39999999999</v>
          </cell>
          <cell r="AE1232">
            <v>0.12</v>
          </cell>
          <cell r="AF1232">
            <v>44215</v>
          </cell>
          <cell r="AG1232" t="str">
            <v>CIF HK</v>
          </cell>
          <cell r="AI1232"/>
          <cell r="AJ1232"/>
          <cell r="AK1232">
            <v>0.1</v>
          </cell>
          <cell r="AL1232">
            <v>1440000</v>
          </cell>
          <cell r="AM1232"/>
          <cell r="AN1232" t="str">
            <v>No</v>
          </cell>
          <cell r="AO1232">
            <v>0.9</v>
          </cell>
          <cell r="AP1232">
            <v>12960000</v>
          </cell>
          <cell r="AQ1232"/>
          <cell r="AR1232"/>
          <cell r="AS1232">
            <v>0</v>
          </cell>
          <cell r="AT1232">
            <v>0</v>
          </cell>
          <cell r="AV1232"/>
          <cell r="AX1232"/>
          <cell r="AY1232"/>
          <cell r="AZ1232"/>
          <cell r="BA1232"/>
        </row>
        <row r="1233">
          <cell r="B1233">
            <v>1083</v>
          </cell>
          <cell r="C1233" t="str">
            <v>C49SZX20210010JY</v>
          </cell>
          <cell r="D1233" t="str">
            <v>英拓邦</v>
          </cell>
          <cell r="E1233" t="str">
            <v>YSM20R-2</v>
          </cell>
          <cell r="F1233" t="str">
            <v>#05493</v>
          </cell>
          <cell r="G1233" t="e">
            <v>#REF!</v>
          </cell>
          <cell r="H1233" t="e">
            <v>#REF!</v>
          </cell>
          <cell r="I1233" t="str">
            <v>R-&gt;L</v>
          </cell>
          <cell r="J1233" t="str">
            <v>No</v>
          </cell>
          <cell r="K1233">
            <v>1</v>
          </cell>
          <cell r="L1233" t="e">
            <v>#N/A</v>
          </cell>
          <cell r="M1233" t="e">
            <v>#N/A</v>
          </cell>
          <cell r="N1233"/>
          <cell r="O1233"/>
          <cell r="P1233"/>
          <cell r="Q1233"/>
          <cell r="R1233" t="str">
            <v>No</v>
          </cell>
          <cell r="S1233" t="str">
            <v>C49</v>
          </cell>
          <cell r="T1233" t="str">
            <v>SOUTH</v>
          </cell>
          <cell r="U1233" t="str">
            <v>深圳</v>
          </cell>
          <cell r="V1233" t="str">
            <v>SZ 深圳</v>
          </cell>
          <cell r="W1233" t="str">
            <v>JY</v>
          </cell>
          <cell r="X1233" t="str">
            <v>JPY</v>
          </cell>
          <cell r="Y1233">
            <v>14400000</v>
          </cell>
          <cell r="Z1233">
            <v>1</v>
          </cell>
          <cell r="AA1233">
            <v>14400000</v>
          </cell>
          <cell r="AB1233">
            <v>7.6799999999999993E-2</v>
          </cell>
          <cell r="AC1233">
            <v>1105920</v>
          </cell>
          <cell r="AD1233">
            <v>132710.39999999999</v>
          </cell>
          <cell r="AE1233">
            <v>0.12</v>
          </cell>
          <cell r="AF1233">
            <v>44215</v>
          </cell>
          <cell r="AG1233" t="str">
            <v>CIF HK</v>
          </cell>
          <cell r="AI1233"/>
          <cell r="AJ1233"/>
          <cell r="AK1233">
            <v>0.1</v>
          </cell>
          <cell r="AL1233">
            <v>1440000</v>
          </cell>
          <cell r="AM1233"/>
          <cell r="AN1233" t="str">
            <v>No</v>
          </cell>
          <cell r="AO1233">
            <v>0.9</v>
          </cell>
          <cell r="AP1233">
            <v>12960000</v>
          </cell>
          <cell r="AQ1233"/>
          <cell r="AR1233"/>
          <cell r="AS1233">
            <v>0</v>
          </cell>
          <cell r="AT1233">
            <v>0</v>
          </cell>
          <cell r="AV1233"/>
          <cell r="AX1233"/>
          <cell r="AY1233"/>
          <cell r="AZ1233"/>
          <cell r="BA1233"/>
        </row>
        <row r="1234">
          <cell r="B1234">
            <v>1084</v>
          </cell>
          <cell r="C1234" t="str">
            <v>C49SZX20210010JY</v>
          </cell>
          <cell r="D1234" t="str">
            <v>英拓邦</v>
          </cell>
          <cell r="E1234" t="str">
            <v>YSM10</v>
          </cell>
          <cell r="F1234" t="str">
            <v>#05493</v>
          </cell>
          <cell r="G1234" t="e">
            <v>#REF!</v>
          </cell>
          <cell r="H1234" t="e">
            <v>#REF!</v>
          </cell>
          <cell r="I1234" t="str">
            <v>L-&gt;R</v>
          </cell>
          <cell r="J1234" t="str">
            <v>MVC</v>
          </cell>
          <cell r="K1234">
            <v>1</v>
          </cell>
          <cell r="L1234" t="e">
            <v>#N/A</v>
          </cell>
          <cell r="M1234" t="e">
            <v>#N/A</v>
          </cell>
          <cell r="N1234"/>
          <cell r="O1234"/>
          <cell r="P1234"/>
          <cell r="Q1234"/>
          <cell r="R1234" t="str">
            <v>No</v>
          </cell>
          <cell r="S1234" t="str">
            <v>C49</v>
          </cell>
          <cell r="T1234" t="str">
            <v>SOUTH</v>
          </cell>
          <cell r="U1234" t="str">
            <v>深圳</v>
          </cell>
          <cell r="V1234" t="str">
            <v>SZ 深圳</v>
          </cell>
          <cell r="W1234" t="str">
            <v>JY</v>
          </cell>
          <cell r="X1234" t="str">
            <v>JPY</v>
          </cell>
          <cell r="Y1234">
            <v>9000000</v>
          </cell>
          <cell r="Z1234">
            <v>1</v>
          </cell>
          <cell r="AA1234">
            <v>9000000</v>
          </cell>
          <cell r="AB1234">
            <v>7.6799999999999993E-2</v>
          </cell>
          <cell r="AC1234">
            <v>691199.99999999988</v>
          </cell>
          <cell r="AD1234">
            <v>82943.999999999985</v>
          </cell>
          <cell r="AE1234">
            <v>0.12</v>
          </cell>
          <cell r="AF1234">
            <v>44215</v>
          </cell>
          <cell r="AG1234" t="str">
            <v>CIF HK</v>
          </cell>
          <cell r="AI1234"/>
          <cell r="AJ1234"/>
          <cell r="AK1234">
            <v>0.1</v>
          </cell>
          <cell r="AL1234">
            <v>900000</v>
          </cell>
          <cell r="AM1234"/>
          <cell r="AN1234" t="str">
            <v>No</v>
          </cell>
          <cell r="AO1234">
            <v>0.9</v>
          </cell>
          <cell r="AP1234">
            <v>8100000</v>
          </cell>
          <cell r="AQ1234"/>
          <cell r="AR1234"/>
          <cell r="AS1234">
            <v>0</v>
          </cell>
          <cell r="AT1234">
            <v>0</v>
          </cell>
          <cell r="AV1234"/>
          <cell r="AX1234"/>
          <cell r="AY1234"/>
          <cell r="AZ1234"/>
          <cell r="BA1234"/>
        </row>
        <row r="1235">
          <cell r="B1235">
            <v>1085</v>
          </cell>
          <cell r="C1235" t="str">
            <v>C49SZX20210010JY</v>
          </cell>
          <cell r="D1235" t="str">
            <v>英拓邦</v>
          </cell>
          <cell r="E1235" t="str">
            <v>YSM10</v>
          </cell>
          <cell r="F1235" t="str">
            <v>#05493</v>
          </cell>
          <cell r="G1235" t="e">
            <v>#REF!</v>
          </cell>
          <cell r="H1235" t="e">
            <v>#REF!</v>
          </cell>
          <cell r="I1235" t="str">
            <v>R-&gt;L</v>
          </cell>
          <cell r="J1235" t="str">
            <v>MVC</v>
          </cell>
          <cell r="K1235">
            <v>1</v>
          </cell>
          <cell r="L1235" t="e">
            <v>#N/A</v>
          </cell>
          <cell r="M1235" t="e">
            <v>#N/A</v>
          </cell>
          <cell r="N1235"/>
          <cell r="O1235"/>
          <cell r="P1235"/>
          <cell r="Q1235"/>
          <cell r="R1235" t="str">
            <v>No</v>
          </cell>
          <cell r="S1235" t="str">
            <v>C49</v>
          </cell>
          <cell r="T1235" t="str">
            <v>SOUTH</v>
          </cell>
          <cell r="U1235" t="str">
            <v>深圳</v>
          </cell>
          <cell r="V1235" t="str">
            <v>SZ 深圳</v>
          </cell>
          <cell r="W1235" t="str">
            <v>JY</v>
          </cell>
          <cell r="X1235" t="str">
            <v>JPY</v>
          </cell>
          <cell r="Y1235">
            <v>9000000</v>
          </cell>
          <cell r="Z1235">
            <v>1</v>
          </cell>
          <cell r="AA1235">
            <v>9000000</v>
          </cell>
          <cell r="AB1235">
            <v>7.6799999999999993E-2</v>
          </cell>
          <cell r="AC1235">
            <v>691199.99999999988</v>
          </cell>
          <cell r="AD1235">
            <v>82943.999999999985</v>
          </cell>
          <cell r="AE1235">
            <v>0.12</v>
          </cell>
          <cell r="AF1235">
            <v>44215</v>
          </cell>
          <cell r="AG1235" t="str">
            <v>CIF HK</v>
          </cell>
          <cell r="AI1235"/>
          <cell r="AJ1235"/>
          <cell r="AK1235">
            <v>0.1</v>
          </cell>
          <cell r="AL1235">
            <v>900000</v>
          </cell>
          <cell r="AM1235"/>
          <cell r="AN1235" t="str">
            <v>No</v>
          </cell>
          <cell r="AO1235">
            <v>0.9</v>
          </cell>
          <cell r="AP1235">
            <v>8100000</v>
          </cell>
          <cell r="AQ1235"/>
          <cell r="AR1235"/>
          <cell r="AS1235">
            <v>0</v>
          </cell>
          <cell r="AT1235">
            <v>0</v>
          </cell>
          <cell r="AV1235"/>
          <cell r="AX1235"/>
          <cell r="AY1235"/>
          <cell r="AZ1235"/>
          <cell r="BA1235"/>
        </row>
        <row r="1236">
          <cell r="B1236">
            <v>1086</v>
          </cell>
          <cell r="C1236" t="str">
            <v>C49SZX20210010JY</v>
          </cell>
          <cell r="D1236" t="str">
            <v>英拓邦</v>
          </cell>
          <cell r="E1236" t="str">
            <v>YSM10</v>
          </cell>
          <cell r="F1236" t="str">
            <v>#05493</v>
          </cell>
          <cell r="G1236" t="e">
            <v>#REF!</v>
          </cell>
          <cell r="H1236" t="e">
            <v>#REF!</v>
          </cell>
          <cell r="I1236" t="str">
            <v>R-&gt;L</v>
          </cell>
          <cell r="J1236" t="str">
            <v>MVC</v>
          </cell>
          <cell r="K1236">
            <v>1</v>
          </cell>
          <cell r="L1236" t="e">
            <v>#N/A</v>
          </cell>
          <cell r="M1236" t="e">
            <v>#N/A</v>
          </cell>
          <cell r="N1236"/>
          <cell r="O1236"/>
          <cell r="P1236"/>
          <cell r="Q1236"/>
          <cell r="R1236" t="str">
            <v>No</v>
          </cell>
          <cell r="S1236" t="str">
            <v>C49</v>
          </cell>
          <cell r="T1236" t="str">
            <v>SOUTH</v>
          </cell>
          <cell r="U1236" t="str">
            <v>深圳</v>
          </cell>
          <cell r="V1236" t="str">
            <v>SZ 深圳</v>
          </cell>
          <cell r="W1236" t="str">
            <v>JY</v>
          </cell>
          <cell r="X1236" t="str">
            <v>JPY</v>
          </cell>
          <cell r="Y1236">
            <v>9000000</v>
          </cell>
          <cell r="Z1236">
            <v>1</v>
          </cell>
          <cell r="AA1236">
            <v>9000000</v>
          </cell>
          <cell r="AB1236">
            <v>7.6799999999999993E-2</v>
          </cell>
          <cell r="AC1236">
            <v>691199.99999999988</v>
          </cell>
          <cell r="AD1236">
            <v>82943.999999999985</v>
          </cell>
          <cell r="AE1236">
            <v>0.12</v>
          </cell>
          <cell r="AF1236">
            <v>44215</v>
          </cell>
          <cell r="AG1236" t="str">
            <v>CIF HK</v>
          </cell>
          <cell r="AI1236"/>
          <cell r="AJ1236"/>
          <cell r="AK1236">
            <v>0.1</v>
          </cell>
          <cell r="AL1236">
            <v>900000</v>
          </cell>
          <cell r="AM1236"/>
          <cell r="AN1236" t="str">
            <v>No</v>
          </cell>
          <cell r="AO1236">
            <v>0.9</v>
          </cell>
          <cell r="AP1236">
            <v>8100000</v>
          </cell>
          <cell r="AQ1236"/>
          <cell r="AR1236"/>
          <cell r="AS1236">
            <v>0</v>
          </cell>
          <cell r="AT1236">
            <v>0</v>
          </cell>
          <cell r="AV1236"/>
          <cell r="AX1236"/>
          <cell r="AY1236"/>
          <cell r="AZ1236"/>
          <cell r="BA1236"/>
        </row>
        <row r="1237">
          <cell r="B1237">
            <v>1087</v>
          </cell>
          <cell r="C1237" t="str">
            <v>C49SZX20210010JY</v>
          </cell>
          <cell r="D1237" t="str">
            <v>英拓邦</v>
          </cell>
          <cell r="E1237" t="str">
            <v>YSM10</v>
          </cell>
          <cell r="F1237" t="str">
            <v>#05493</v>
          </cell>
          <cell r="G1237" t="e">
            <v>#REF!</v>
          </cell>
          <cell r="H1237" t="e">
            <v>#REF!</v>
          </cell>
          <cell r="I1237" t="str">
            <v>R-&gt;L</v>
          </cell>
          <cell r="J1237" t="str">
            <v>MVC</v>
          </cell>
          <cell r="K1237">
            <v>1</v>
          </cell>
          <cell r="L1237" t="e">
            <v>#N/A</v>
          </cell>
          <cell r="M1237" t="e">
            <v>#N/A</v>
          </cell>
          <cell r="N1237"/>
          <cell r="O1237"/>
          <cell r="P1237"/>
          <cell r="Q1237"/>
          <cell r="R1237" t="str">
            <v>No</v>
          </cell>
          <cell r="S1237" t="str">
            <v>C49</v>
          </cell>
          <cell r="T1237" t="str">
            <v>SOUTH</v>
          </cell>
          <cell r="U1237" t="str">
            <v>深圳</v>
          </cell>
          <cell r="V1237" t="str">
            <v>SZ 深圳</v>
          </cell>
          <cell r="W1237" t="str">
            <v>JY</v>
          </cell>
          <cell r="X1237" t="str">
            <v>JPY</v>
          </cell>
          <cell r="Y1237">
            <v>9000000</v>
          </cell>
          <cell r="Z1237">
            <v>1</v>
          </cell>
          <cell r="AA1237">
            <v>9000000</v>
          </cell>
          <cell r="AB1237">
            <v>7.6799999999999993E-2</v>
          </cell>
          <cell r="AC1237">
            <v>691199.99999999988</v>
          </cell>
          <cell r="AD1237">
            <v>82943.999999999985</v>
          </cell>
          <cell r="AE1237">
            <v>0.12</v>
          </cell>
          <cell r="AF1237">
            <v>44215</v>
          </cell>
          <cell r="AG1237" t="str">
            <v>CIF HK</v>
          </cell>
          <cell r="AI1237"/>
          <cell r="AJ1237"/>
          <cell r="AK1237">
            <v>0.1</v>
          </cell>
          <cell r="AL1237">
            <v>900000</v>
          </cell>
          <cell r="AM1237"/>
          <cell r="AN1237" t="str">
            <v>No</v>
          </cell>
          <cell r="AO1237">
            <v>0.9</v>
          </cell>
          <cell r="AP1237">
            <v>8100000</v>
          </cell>
          <cell r="AQ1237"/>
          <cell r="AR1237"/>
          <cell r="AS1237">
            <v>0</v>
          </cell>
          <cell r="AT1237">
            <v>0</v>
          </cell>
          <cell r="AV1237"/>
          <cell r="AX1237"/>
          <cell r="AY1237"/>
          <cell r="AZ1237"/>
          <cell r="BA1237"/>
        </row>
        <row r="1238">
          <cell r="B1238">
            <v>1088</v>
          </cell>
          <cell r="C1238" t="str">
            <v>C49SZX20210029SS</v>
          </cell>
          <cell r="D1238" t="str">
            <v>锂动力</v>
          </cell>
          <cell r="E1238" t="str">
            <v>YSM10</v>
          </cell>
          <cell r="F1238" t="str">
            <v>#82464</v>
          </cell>
          <cell r="G1238" t="e">
            <v>#REF!</v>
          </cell>
          <cell r="H1238" t="e">
            <v>#REF!</v>
          </cell>
          <cell r="I1238" t="str">
            <v>R-&gt;L</v>
          </cell>
          <cell r="J1238" t="str">
            <v>No</v>
          </cell>
          <cell r="K1238">
            <v>1</v>
          </cell>
          <cell r="L1238">
            <v>110211</v>
          </cell>
          <cell r="M1238" t="str">
            <v>MAY 21</v>
          </cell>
          <cell r="N1238">
            <v>44329</v>
          </cell>
          <cell r="O1238">
            <v>11116572</v>
          </cell>
          <cell r="P1238">
            <v>6800000</v>
          </cell>
          <cell r="Q1238">
            <v>44333</v>
          </cell>
          <cell r="R1238" t="str">
            <v>No</v>
          </cell>
          <cell r="S1238" t="str">
            <v>C49</v>
          </cell>
          <cell r="T1238" t="str">
            <v>SOUTH</v>
          </cell>
          <cell r="U1238" t="str">
            <v>深圳</v>
          </cell>
          <cell r="V1238" t="str">
            <v>SZ 深圳</v>
          </cell>
          <cell r="W1238" t="str">
            <v>SS</v>
          </cell>
          <cell r="X1238" t="str">
            <v>JPY</v>
          </cell>
          <cell r="Y1238">
            <v>6800000</v>
          </cell>
          <cell r="Z1238">
            <v>1</v>
          </cell>
          <cell r="AA1238">
            <v>6800000</v>
          </cell>
          <cell r="AB1238">
            <v>7.6799999999999993E-2</v>
          </cell>
          <cell r="AC1238">
            <v>522239.99999999994</v>
          </cell>
          <cell r="AD1238">
            <v>62668.799999999988</v>
          </cell>
          <cell r="AE1238">
            <v>0.12</v>
          </cell>
          <cell r="AF1238">
            <v>44222</v>
          </cell>
          <cell r="AG1238" t="str">
            <v>DAP FS</v>
          </cell>
          <cell r="AI1238" t="str">
            <v>CNY 30,000</v>
          </cell>
          <cell r="AJ1238">
            <v>44229</v>
          </cell>
          <cell r="AK1238">
            <v>0</v>
          </cell>
          <cell r="AL1238">
            <v>0</v>
          </cell>
          <cell r="AN1238" t="str">
            <v>Yes</v>
          </cell>
          <cell r="AO1238">
            <v>1</v>
          </cell>
          <cell r="AP1238">
            <v>6800000</v>
          </cell>
          <cell r="AQ1238">
            <v>44326</v>
          </cell>
          <cell r="AR1238">
            <v>44326</v>
          </cell>
          <cell r="AS1238">
            <v>0</v>
          </cell>
          <cell r="AT1238">
            <v>0</v>
          </cell>
          <cell r="AX1238" t="str">
            <v>Yes</v>
          </cell>
          <cell r="AZ1238" t="str">
            <v>Yes</v>
          </cell>
          <cell r="BA1238" t="str">
            <v>Yes</v>
          </cell>
        </row>
        <row r="1239">
          <cell r="B1239">
            <v>1089</v>
          </cell>
          <cell r="C1239" t="str">
            <v>C49SZX20210015SS</v>
          </cell>
          <cell r="D1239" t="str">
            <v>保凌</v>
          </cell>
          <cell r="E1239" t="str">
            <v>YSM10</v>
          </cell>
          <cell r="G1239" t="e">
            <v>#REF!</v>
          </cell>
          <cell r="H1239" t="e">
            <v>#REF!</v>
          </cell>
          <cell r="I1239" t="str">
            <v>R-&gt;L</v>
          </cell>
          <cell r="J1239" t="str">
            <v>No</v>
          </cell>
          <cell r="K1239">
            <v>1</v>
          </cell>
          <cell r="L1239" t="str">
            <v>110383(拆单110406)</v>
          </cell>
          <cell r="M1239" t="str">
            <v>JUL 21</v>
          </cell>
          <cell r="N1239">
            <v>44407</v>
          </cell>
          <cell r="O1239">
            <v>11100493</v>
          </cell>
          <cell r="P1239">
            <v>628000</v>
          </cell>
          <cell r="Q1239">
            <v>44406</v>
          </cell>
          <cell r="R1239" t="str">
            <v>No</v>
          </cell>
          <cell r="S1239" t="str">
            <v>C49</v>
          </cell>
          <cell r="T1239" t="str">
            <v>SOUTH</v>
          </cell>
          <cell r="U1239" t="str">
            <v>深圳</v>
          </cell>
          <cell r="V1239" t="str">
            <v>SZ 深圳</v>
          </cell>
          <cell r="W1239" t="str">
            <v>SS</v>
          </cell>
          <cell r="X1239" t="str">
            <v>RMB</v>
          </cell>
          <cell r="Y1239">
            <v>628000</v>
          </cell>
          <cell r="Z1239">
            <v>1.1299999999999999</v>
          </cell>
          <cell r="AA1239">
            <v>628000</v>
          </cell>
          <cell r="AB1239">
            <v>1.1850000000000001</v>
          </cell>
          <cell r="AC1239">
            <v>658566.37168141594</v>
          </cell>
          <cell r="AD1239">
            <v>79027.964601769912</v>
          </cell>
          <cell r="AE1239">
            <v>0.12</v>
          </cell>
          <cell r="AF1239">
            <v>44221</v>
          </cell>
          <cell r="AG1239" t="str">
            <v>含税到厂</v>
          </cell>
          <cell r="AK1239" t="str">
            <v>agree</v>
          </cell>
          <cell r="AL1239">
            <v>200000</v>
          </cell>
          <cell r="AM1239">
            <v>44229</v>
          </cell>
          <cell r="AN1239" t="str">
            <v>Yes</v>
          </cell>
          <cell r="AO1239" t="str">
            <v>agree</v>
          </cell>
          <cell r="AP1239">
            <v>428000</v>
          </cell>
          <cell r="AQ1239">
            <v>44400</v>
          </cell>
          <cell r="AR1239">
            <v>44400</v>
          </cell>
          <cell r="AS1239">
            <v>0</v>
          </cell>
          <cell r="AT1239">
            <v>0</v>
          </cell>
          <cell r="AX1239" t="str">
            <v>Yes</v>
          </cell>
          <cell r="AZ1239" t="str">
            <v>Yes</v>
          </cell>
          <cell r="BA1239" t="str">
            <v>Yes</v>
          </cell>
        </row>
        <row r="1240">
          <cell r="B1240">
            <v>1090</v>
          </cell>
          <cell r="C1240" t="str">
            <v>C49SZX20210031SX</v>
          </cell>
          <cell r="D1240" t="str">
            <v>益田科技</v>
          </cell>
          <cell r="E1240" t="str">
            <v>YSM20R-2</v>
          </cell>
          <cell r="F1240" t="str">
            <v>#04930</v>
          </cell>
          <cell r="G1240" t="e">
            <v>#REF!</v>
          </cell>
          <cell r="H1240" t="e">
            <v>#REF!</v>
          </cell>
          <cell r="I1240" t="str">
            <v>L-&gt;R</v>
          </cell>
          <cell r="J1240" t="str">
            <v>No</v>
          </cell>
          <cell r="K1240">
            <v>1</v>
          </cell>
          <cell r="L1240">
            <v>110249</v>
          </cell>
          <cell r="M1240" t="str">
            <v>APR 22</v>
          </cell>
          <cell r="N1240">
            <v>44582</v>
          </cell>
          <cell r="O1240">
            <v>11116697</v>
          </cell>
          <cell r="P1240">
            <v>12650000</v>
          </cell>
          <cell r="Q1240">
            <v>44587</v>
          </cell>
          <cell r="R1240" t="str">
            <v>No</v>
          </cell>
          <cell r="S1240" t="str">
            <v>C49</v>
          </cell>
          <cell r="T1240" t="str">
            <v>SOUTH</v>
          </cell>
          <cell r="U1240" t="str">
            <v>深圳</v>
          </cell>
          <cell r="V1240" t="str">
            <v>SZ 深圳</v>
          </cell>
          <cell r="W1240" t="str">
            <v>SX</v>
          </cell>
          <cell r="X1240" t="str">
            <v>JPY</v>
          </cell>
          <cell r="Y1240">
            <v>12650000</v>
          </cell>
          <cell r="Z1240">
            <v>1</v>
          </cell>
          <cell r="AA1240">
            <v>12650000</v>
          </cell>
          <cell r="AB1240">
            <v>7.6799999999999993E-2</v>
          </cell>
          <cell r="AC1240">
            <v>971519.99999999988</v>
          </cell>
          <cell r="AD1240">
            <v>116582.39999999998</v>
          </cell>
          <cell r="AE1240">
            <v>0.12</v>
          </cell>
          <cell r="AF1240">
            <v>44222</v>
          </cell>
          <cell r="AG1240" t="str">
            <v>DAP SZ</v>
          </cell>
          <cell r="AK1240">
            <v>0.1</v>
          </cell>
          <cell r="AL1240">
            <v>1265000</v>
          </cell>
          <cell r="AM1240">
            <v>44225</v>
          </cell>
          <cell r="AN1240" t="str">
            <v>Yes</v>
          </cell>
          <cell r="AO1240">
            <v>0.9</v>
          </cell>
          <cell r="AP1240">
            <v>11385000</v>
          </cell>
          <cell r="AQ1240">
            <v>44581</v>
          </cell>
          <cell r="AR1240">
            <v>44581</v>
          </cell>
          <cell r="AS1240">
            <v>0</v>
          </cell>
          <cell r="AT1240">
            <v>0</v>
          </cell>
          <cell r="AX1240" t="str">
            <v>Yes</v>
          </cell>
          <cell r="AZ1240" t="str">
            <v>Yes</v>
          </cell>
          <cell r="BA1240" t="str">
            <v>Yes</v>
          </cell>
        </row>
        <row r="1241">
          <cell r="B1241">
            <v>1091</v>
          </cell>
          <cell r="C1241" t="str">
            <v>C49SZX20210031SX</v>
          </cell>
          <cell r="D1241" t="str">
            <v>益田科技</v>
          </cell>
          <cell r="E1241" t="str">
            <v>YSM20R-2</v>
          </cell>
          <cell r="F1241" t="str">
            <v>#04930</v>
          </cell>
          <cell r="G1241" t="e">
            <v>#REF!</v>
          </cell>
          <cell r="H1241" t="e">
            <v>#REF!</v>
          </cell>
          <cell r="I1241" t="str">
            <v>L-&gt;R</v>
          </cell>
          <cell r="J1241" t="str">
            <v>No</v>
          </cell>
          <cell r="K1241">
            <v>1</v>
          </cell>
          <cell r="L1241" t="str">
            <v>49F104088</v>
          </cell>
          <cell r="M1241" t="str">
            <v>JAN 22</v>
          </cell>
          <cell r="N1241">
            <v>44582</v>
          </cell>
          <cell r="O1241">
            <v>11116697</v>
          </cell>
          <cell r="P1241">
            <v>12650000</v>
          </cell>
          <cell r="Q1241">
            <v>44587</v>
          </cell>
          <cell r="R1241" t="str">
            <v>No</v>
          </cell>
          <cell r="S1241" t="str">
            <v>C49</v>
          </cell>
          <cell r="T1241" t="str">
            <v>SOUTH</v>
          </cell>
          <cell r="U1241" t="str">
            <v>深圳</v>
          </cell>
          <cell r="V1241" t="str">
            <v>SZ 深圳</v>
          </cell>
          <cell r="W1241" t="str">
            <v>SX</v>
          </cell>
          <cell r="X1241" t="str">
            <v>JPY</v>
          </cell>
          <cell r="Y1241">
            <v>12650000</v>
          </cell>
          <cell r="Z1241">
            <v>1</v>
          </cell>
          <cell r="AA1241">
            <v>12650000</v>
          </cell>
          <cell r="AB1241">
            <v>7.6799999999999993E-2</v>
          </cell>
          <cell r="AC1241">
            <v>971519.99999999988</v>
          </cell>
          <cell r="AD1241">
            <v>116582.39999999998</v>
          </cell>
          <cell r="AE1241">
            <v>0.12</v>
          </cell>
          <cell r="AF1241">
            <v>44222</v>
          </cell>
          <cell r="AG1241" t="str">
            <v>DAP SZ</v>
          </cell>
          <cell r="AK1241">
            <v>0.1</v>
          </cell>
          <cell r="AL1241">
            <v>1265000</v>
          </cell>
          <cell r="AM1241">
            <v>44225</v>
          </cell>
          <cell r="AN1241" t="str">
            <v>Yes</v>
          </cell>
          <cell r="AO1241">
            <v>0.9</v>
          </cell>
          <cell r="AP1241">
            <v>11385000</v>
          </cell>
          <cell r="AQ1241">
            <v>44581</v>
          </cell>
          <cell r="AR1241">
            <v>44581</v>
          </cell>
          <cell r="AS1241">
            <v>0</v>
          </cell>
          <cell r="AT1241">
            <v>0</v>
          </cell>
          <cell r="AX1241" t="str">
            <v>Yes</v>
          </cell>
          <cell r="AZ1241" t="str">
            <v>Yes</v>
          </cell>
          <cell r="BA1241" t="str">
            <v>Yes</v>
          </cell>
        </row>
        <row r="1242">
          <cell r="B1242">
            <v>1092</v>
          </cell>
          <cell r="C1242" t="str">
            <v>C49SZX20210031SX</v>
          </cell>
          <cell r="D1242" t="str">
            <v>益田科技</v>
          </cell>
          <cell r="E1242" t="str">
            <v>YSM20R-2</v>
          </cell>
          <cell r="F1242" t="str">
            <v>#04930</v>
          </cell>
          <cell r="G1242" t="e">
            <v>#REF!</v>
          </cell>
          <cell r="H1242" t="e">
            <v>#REF!</v>
          </cell>
          <cell r="I1242" t="str">
            <v>L-&gt;R</v>
          </cell>
          <cell r="J1242" t="str">
            <v>No</v>
          </cell>
          <cell r="K1242">
            <v>1</v>
          </cell>
          <cell r="L1242" t="str">
            <v>49F104087</v>
          </cell>
          <cell r="M1242" t="str">
            <v>JAN 22</v>
          </cell>
          <cell r="N1242">
            <v>44672</v>
          </cell>
          <cell r="O1242">
            <v>11116738</v>
          </cell>
          <cell r="P1242">
            <v>12650000</v>
          </cell>
          <cell r="Q1242">
            <v>44676</v>
          </cell>
          <cell r="R1242" t="str">
            <v>No</v>
          </cell>
          <cell r="S1242" t="str">
            <v>C49</v>
          </cell>
          <cell r="T1242" t="str">
            <v>SOUTH</v>
          </cell>
          <cell r="U1242" t="str">
            <v>深圳</v>
          </cell>
          <cell r="V1242" t="str">
            <v>SZ 深圳</v>
          </cell>
          <cell r="W1242" t="str">
            <v>SX</v>
          </cell>
          <cell r="X1242" t="str">
            <v>JPY</v>
          </cell>
          <cell r="Y1242">
            <v>12650000</v>
          </cell>
          <cell r="Z1242">
            <v>1</v>
          </cell>
          <cell r="AA1242">
            <v>12650000</v>
          </cell>
          <cell r="AB1242">
            <v>7.6799999999999993E-2</v>
          </cell>
          <cell r="AC1242">
            <v>971519.99999999988</v>
          </cell>
          <cell r="AD1242">
            <v>116582.39999999998</v>
          </cell>
          <cell r="AE1242">
            <v>0.12</v>
          </cell>
          <cell r="AF1242">
            <v>44222</v>
          </cell>
          <cell r="AG1242" t="str">
            <v>DAP SZ</v>
          </cell>
          <cell r="AK1242">
            <v>0.1</v>
          </cell>
          <cell r="AL1242">
            <v>1265000</v>
          </cell>
          <cell r="AM1242">
            <v>44225</v>
          </cell>
          <cell r="AN1242" t="str">
            <v>Yes</v>
          </cell>
          <cell r="AO1242">
            <v>0.9</v>
          </cell>
          <cell r="AP1242">
            <v>11385000</v>
          </cell>
          <cell r="AQ1242">
            <v>44671</v>
          </cell>
          <cell r="AR1242">
            <v>44671</v>
          </cell>
          <cell r="AS1242">
            <v>0</v>
          </cell>
          <cell r="AT1242">
            <v>0</v>
          </cell>
          <cell r="AX1242" t="str">
            <v>Yes</v>
          </cell>
          <cell r="AZ1242" t="str">
            <v>Yes</v>
          </cell>
          <cell r="BA1242" t="str">
            <v>Yes</v>
          </cell>
        </row>
        <row r="1243">
          <cell r="B1243">
            <v>1093</v>
          </cell>
          <cell r="C1243" t="str">
            <v>C49SZX20210031SX</v>
          </cell>
          <cell r="D1243" t="str">
            <v>益田科技</v>
          </cell>
          <cell r="E1243" t="str">
            <v>YSM10</v>
          </cell>
          <cell r="F1243" t="str">
            <v>#04930</v>
          </cell>
          <cell r="G1243" t="e">
            <v>#REF!</v>
          </cell>
          <cell r="H1243" t="e">
            <v>#REF!</v>
          </cell>
          <cell r="I1243" t="str">
            <v>R-&gt;L</v>
          </cell>
          <cell r="J1243" t="str">
            <v>No</v>
          </cell>
          <cell r="K1243">
            <v>1</v>
          </cell>
          <cell r="L1243">
            <v>110800</v>
          </cell>
          <cell r="M1243" t="str">
            <v>APR 22</v>
          </cell>
          <cell r="N1243">
            <v>44672</v>
          </cell>
          <cell r="O1243">
            <v>11116738</v>
          </cell>
          <cell r="P1243">
            <v>7419600</v>
          </cell>
          <cell r="Q1243">
            <v>44676</v>
          </cell>
          <cell r="R1243" t="str">
            <v>No</v>
          </cell>
          <cell r="S1243" t="str">
            <v>C49</v>
          </cell>
          <cell r="T1243" t="str">
            <v>SOUTH</v>
          </cell>
          <cell r="U1243" t="str">
            <v>深圳</v>
          </cell>
          <cell r="V1243" t="str">
            <v>SZ 深圳</v>
          </cell>
          <cell r="W1243" t="str">
            <v>SX</v>
          </cell>
          <cell r="X1243" t="str">
            <v>JPY</v>
          </cell>
          <cell r="Y1243">
            <v>7419600</v>
          </cell>
          <cell r="Z1243">
            <v>1</v>
          </cell>
          <cell r="AA1243">
            <v>7419600</v>
          </cell>
          <cell r="AB1243">
            <v>7.6799999999999993E-2</v>
          </cell>
          <cell r="AC1243">
            <v>569825.27999999991</v>
          </cell>
          <cell r="AD1243">
            <v>68379.033599999981</v>
          </cell>
          <cell r="AE1243">
            <v>0.12</v>
          </cell>
          <cell r="AF1243">
            <v>44222</v>
          </cell>
          <cell r="AG1243" t="str">
            <v>DAP SZ</v>
          </cell>
          <cell r="AK1243">
            <v>0.1</v>
          </cell>
          <cell r="AL1243">
            <v>741960</v>
          </cell>
          <cell r="AM1243">
            <v>44225</v>
          </cell>
          <cell r="AN1243" t="str">
            <v>Yes</v>
          </cell>
          <cell r="AO1243">
            <v>0.9</v>
          </cell>
          <cell r="AP1243">
            <v>6677640</v>
          </cell>
          <cell r="AQ1243">
            <v>44671</v>
          </cell>
          <cell r="AR1243">
            <v>44671</v>
          </cell>
          <cell r="AS1243">
            <v>0</v>
          </cell>
          <cell r="AT1243">
            <v>0</v>
          </cell>
          <cell r="AX1243" t="str">
            <v>Yes</v>
          </cell>
          <cell r="AZ1243" t="str">
            <v>Yes</v>
          </cell>
          <cell r="BA1243" t="str">
            <v>Yes</v>
          </cell>
        </row>
        <row r="1244">
          <cell r="B1244">
            <v>1094</v>
          </cell>
          <cell r="C1244" t="str">
            <v>C49SZX20210021SS</v>
          </cell>
          <cell r="D1244" t="str">
            <v>龙大光电</v>
          </cell>
          <cell r="E1244" t="str">
            <v>YSM40R-4</v>
          </cell>
          <cell r="F1244" t="str">
            <v>#02893</v>
          </cell>
          <cell r="G1244" t="e">
            <v>#REF!</v>
          </cell>
          <cell r="H1244" t="e">
            <v>#REF!</v>
          </cell>
          <cell r="I1244" t="str">
            <v>L-&gt;R</v>
          </cell>
          <cell r="J1244" t="str">
            <v>No</v>
          </cell>
          <cell r="K1244">
            <v>1</v>
          </cell>
          <cell r="L1244">
            <v>110333</v>
          </cell>
          <cell r="M1244" t="str">
            <v>MAY 21</v>
          </cell>
          <cell r="N1244">
            <v>44335</v>
          </cell>
          <cell r="O1244">
            <v>11100482</v>
          </cell>
          <cell r="P1244">
            <v>1430000</v>
          </cell>
          <cell r="Q1244">
            <v>44343</v>
          </cell>
          <cell r="R1244" t="str">
            <v>No</v>
          </cell>
          <cell r="S1244" t="str">
            <v>C49</v>
          </cell>
          <cell r="T1244" t="str">
            <v>SOUTH</v>
          </cell>
          <cell r="U1244" t="str">
            <v>深圳</v>
          </cell>
          <cell r="V1244" t="str">
            <v>SZ 深圳</v>
          </cell>
          <cell r="W1244" t="str">
            <v>SS</v>
          </cell>
          <cell r="X1244" t="str">
            <v>RMB</v>
          </cell>
          <cell r="Y1244">
            <v>1430000</v>
          </cell>
          <cell r="Z1244">
            <v>1.1299999999999999</v>
          </cell>
          <cell r="AA1244">
            <v>1430000</v>
          </cell>
          <cell r="AB1244">
            <v>1.1850000000000001</v>
          </cell>
          <cell r="AC1244">
            <v>1499601.7699115046</v>
          </cell>
          <cell r="AD1244">
            <v>179952.21238938055</v>
          </cell>
          <cell r="AE1244">
            <v>0.12</v>
          </cell>
          <cell r="AF1244">
            <v>44222</v>
          </cell>
          <cell r="AG1244" t="str">
            <v>含税到厂</v>
          </cell>
          <cell r="AK1244" t="str">
            <v>AGREE</v>
          </cell>
          <cell r="AL1244">
            <v>720000</v>
          </cell>
          <cell r="AM1244">
            <v>44231</v>
          </cell>
          <cell r="AN1244" t="str">
            <v>Yes</v>
          </cell>
          <cell r="AO1244" t="str">
            <v>agree</v>
          </cell>
          <cell r="AP1244">
            <v>5000000</v>
          </cell>
          <cell r="AQ1244">
            <v>44334</v>
          </cell>
          <cell r="AR1244">
            <v>44334</v>
          </cell>
          <cell r="AS1244">
            <v>0</v>
          </cell>
          <cell r="AT1244">
            <v>0</v>
          </cell>
          <cell r="AX1244" t="str">
            <v>Yes</v>
          </cell>
          <cell r="AZ1244" t="str">
            <v>Y</v>
          </cell>
          <cell r="BA1244" t="str">
            <v>Yes</v>
          </cell>
        </row>
        <row r="1245">
          <cell r="B1245">
            <v>1095</v>
          </cell>
          <cell r="C1245" t="str">
            <v>C49SZX20210021SS</v>
          </cell>
          <cell r="D1245" t="str">
            <v>龙大光电</v>
          </cell>
          <cell r="E1245" t="str">
            <v>YSM40R-4</v>
          </cell>
          <cell r="F1245" t="str">
            <v>#02893</v>
          </cell>
          <cell r="G1245" t="e">
            <v>#REF!</v>
          </cell>
          <cell r="H1245" t="e">
            <v>#REF!</v>
          </cell>
          <cell r="I1245" t="str">
            <v>L-&gt;R</v>
          </cell>
          <cell r="J1245" t="str">
            <v>No</v>
          </cell>
          <cell r="K1245">
            <v>1</v>
          </cell>
          <cell r="L1245">
            <v>110333</v>
          </cell>
          <cell r="M1245" t="str">
            <v>MAY 21</v>
          </cell>
          <cell r="N1245">
            <v>44335</v>
          </cell>
          <cell r="O1245">
            <v>11100482</v>
          </cell>
          <cell r="P1245">
            <v>1430000</v>
          </cell>
          <cell r="Q1245">
            <v>44343</v>
          </cell>
          <cell r="R1245" t="str">
            <v>No</v>
          </cell>
          <cell r="S1245" t="str">
            <v>C49</v>
          </cell>
          <cell r="T1245" t="str">
            <v>SOUTH</v>
          </cell>
          <cell r="U1245" t="str">
            <v>深圳</v>
          </cell>
          <cell r="V1245" t="str">
            <v>SZ 深圳</v>
          </cell>
          <cell r="W1245" t="str">
            <v>SS</v>
          </cell>
          <cell r="X1245" t="str">
            <v>RMB</v>
          </cell>
          <cell r="Y1245">
            <v>1430000</v>
          </cell>
          <cell r="Z1245">
            <v>1.1299999999999999</v>
          </cell>
          <cell r="AA1245">
            <v>1430000</v>
          </cell>
          <cell r="AB1245">
            <v>1.1850000000000001</v>
          </cell>
          <cell r="AC1245">
            <v>1499601.7699115046</v>
          </cell>
          <cell r="AD1245">
            <v>179952.21238938055</v>
          </cell>
          <cell r="AE1245">
            <v>0.12</v>
          </cell>
          <cell r="AF1245">
            <v>44222</v>
          </cell>
          <cell r="AG1245" t="str">
            <v>含税到厂</v>
          </cell>
          <cell r="AK1245"/>
          <cell r="AL1245"/>
          <cell r="AM1245">
            <v>44232</v>
          </cell>
          <cell r="AN1245" t="str">
            <v>Yes</v>
          </cell>
          <cell r="AO1245" t="str">
            <v>agree</v>
          </cell>
          <cell r="AP1245"/>
          <cell r="AQ1245">
            <v>44334</v>
          </cell>
          <cell r="AR1245">
            <v>44334</v>
          </cell>
          <cell r="AS1245">
            <v>0</v>
          </cell>
          <cell r="AT1245">
            <v>0</v>
          </cell>
          <cell r="AX1245" t="str">
            <v>Yes</v>
          </cell>
          <cell r="AZ1245" t="str">
            <v>Y</v>
          </cell>
          <cell r="BA1245" t="str">
            <v>Yes</v>
          </cell>
        </row>
        <row r="1246">
          <cell r="B1246">
            <v>1096</v>
          </cell>
          <cell r="C1246" t="str">
            <v>C49SZX20210021SS</v>
          </cell>
          <cell r="D1246" t="str">
            <v>龙大光电</v>
          </cell>
          <cell r="E1246" t="str">
            <v>YSM40R-4</v>
          </cell>
          <cell r="F1246" t="str">
            <v>#02893</v>
          </cell>
          <cell r="G1246" t="e">
            <v>#REF!</v>
          </cell>
          <cell r="H1246" t="e">
            <v>#REF!</v>
          </cell>
          <cell r="I1246" t="str">
            <v>L-&gt;R</v>
          </cell>
          <cell r="J1246" t="str">
            <v>No</v>
          </cell>
          <cell r="K1246">
            <v>1</v>
          </cell>
          <cell r="L1246">
            <v>110333</v>
          </cell>
          <cell r="M1246" t="str">
            <v>MAY 21</v>
          </cell>
          <cell r="N1246">
            <v>44335</v>
          </cell>
          <cell r="O1246">
            <v>11100482</v>
          </cell>
          <cell r="P1246">
            <v>1430000</v>
          </cell>
          <cell r="Q1246">
            <v>44343</v>
          </cell>
          <cell r="R1246" t="str">
            <v>No</v>
          </cell>
          <cell r="S1246" t="str">
            <v>C49</v>
          </cell>
          <cell r="T1246" t="str">
            <v>SOUTH</v>
          </cell>
          <cell r="U1246" t="str">
            <v>深圳</v>
          </cell>
          <cell r="V1246" t="str">
            <v>SZ 深圳</v>
          </cell>
          <cell r="W1246" t="str">
            <v>SS</v>
          </cell>
          <cell r="X1246" t="str">
            <v>RMB</v>
          </cell>
          <cell r="Y1246">
            <v>1430000</v>
          </cell>
          <cell r="Z1246">
            <v>1.1299999999999999</v>
          </cell>
          <cell r="AA1246">
            <v>1430000</v>
          </cell>
          <cell r="AB1246">
            <v>1.1850000000000001</v>
          </cell>
          <cell r="AC1246">
            <v>1499601.7699115046</v>
          </cell>
          <cell r="AD1246">
            <v>179952.21238938055</v>
          </cell>
          <cell r="AE1246">
            <v>0.12</v>
          </cell>
          <cell r="AF1246">
            <v>44222</v>
          </cell>
          <cell r="AG1246" t="str">
            <v>含税到厂</v>
          </cell>
          <cell r="AK1246"/>
          <cell r="AL1246"/>
          <cell r="AM1246">
            <v>44233</v>
          </cell>
          <cell r="AN1246" t="str">
            <v>Yes</v>
          </cell>
          <cell r="AO1246" t="str">
            <v>agree</v>
          </cell>
          <cell r="AP1246"/>
          <cell r="AQ1246">
            <v>44334</v>
          </cell>
          <cell r="AR1246">
            <v>44334</v>
          </cell>
          <cell r="AS1246">
            <v>0</v>
          </cell>
          <cell r="AT1246">
            <v>0</v>
          </cell>
          <cell r="AX1246" t="str">
            <v>Yes</v>
          </cell>
          <cell r="AZ1246" t="str">
            <v>Y</v>
          </cell>
          <cell r="BA1246" t="str">
            <v>Yes</v>
          </cell>
        </row>
        <row r="1247">
          <cell r="B1247">
            <v>1097</v>
          </cell>
          <cell r="C1247" t="str">
            <v>C49SZX20210021SS</v>
          </cell>
          <cell r="D1247" t="str">
            <v>龙大光电</v>
          </cell>
          <cell r="E1247" t="str">
            <v>YSM40R-4</v>
          </cell>
          <cell r="F1247" t="str">
            <v>#02893</v>
          </cell>
          <cell r="G1247" t="e">
            <v>#REF!</v>
          </cell>
          <cell r="H1247" t="e">
            <v>#REF!</v>
          </cell>
          <cell r="I1247" t="str">
            <v>L-&gt;R</v>
          </cell>
          <cell r="J1247" t="str">
            <v>No</v>
          </cell>
          <cell r="K1247">
            <v>1</v>
          </cell>
          <cell r="L1247">
            <v>110333</v>
          </cell>
          <cell r="M1247" t="str">
            <v>MAY 21</v>
          </cell>
          <cell r="N1247">
            <v>44335</v>
          </cell>
          <cell r="O1247">
            <v>11100482</v>
          </cell>
          <cell r="P1247">
            <v>1430000</v>
          </cell>
          <cell r="Q1247">
            <v>44343</v>
          </cell>
          <cell r="R1247" t="str">
            <v>No</v>
          </cell>
          <cell r="S1247" t="str">
            <v>C49</v>
          </cell>
          <cell r="T1247" t="str">
            <v>SOUTH</v>
          </cell>
          <cell r="U1247" t="str">
            <v>深圳</v>
          </cell>
          <cell r="V1247" t="str">
            <v>SZ 深圳</v>
          </cell>
          <cell r="W1247" t="str">
            <v>SS</v>
          </cell>
          <cell r="X1247" t="str">
            <v>RMB</v>
          </cell>
          <cell r="Y1247">
            <v>1430000</v>
          </cell>
          <cell r="Z1247">
            <v>1.1299999999999999</v>
          </cell>
          <cell r="AA1247">
            <v>1430000</v>
          </cell>
          <cell r="AB1247">
            <v>1.1850000000000001</v>
          </cell>
          <cell r="AC1247">
            <v>1499601.7699115046</v>
          </cell>
          <cell r="AD1247">
            <v>179952.21238938055</v>
          </cell>
          <cell r="AE1247">
            <v>0.12</v>
          </cell>
          <cell r="AF1247">
            <v>44222</v>
          </cell>
          <cell r="AG1247" t="str">
            <v>含税到厂</v>
          </cell>
          <cell r="AK1247"/>
          <cell r="AL1247"/>
          <cell r="AM1247">
            <v>44234</v>
          </cell>
          <cell r="AN1247" t="str">
            <v>Yes</v>
          </cell>
          <cell r="AO1247" t="str">
            <v>agree</v>
          </cell>
          <cell r="AP1247"/>
          <cell r="AQ1247">
            <v>44334</v>
          </cell>
          <cell r="AR1247">
            <v>44334</v>
          </cell>
          <cell r="AS1247">
            <v>0</v>
          </cell>
          <cell r="AT1247">
            <v>0</v>
          </cell>
          <cell r="AX1247" t="str">
            <v>Yes</v>
          </cell>
          <cell r="AZ1247" t="str">
            <v>Y</v>
          </cell>
          <cell r="BA1247" t="str">
            <v>Yes</v>
          </cell>
        </row>
        <row r="1248">
          <cell r="B1248">
            <v>1098</v>
          </cell>
          <cell r="C1248" t="str">
            <v>C49SZX20210022VG</v>
          </cell>
          <cell r="D1248" t="str">
            <v>吉鑫凯</v>
          </cell>
          <cell r="E1248" t="str">
            <v>YSM20R-2</v>
          </cell>
          <cell r="F1248" t="str">
            <v>#05560</v>
          </cell>
          <cell r="G1248" t="e">
            <v>#REF!</v>
          </cell>
          <cell r="H1248" t="e">
            <v>#REF!</v>
          </cell>
          <cell r="I1248" t="str">
            <v>L-&gt;R</v>
          </cell>
          <cell r="J1248" t="str">
            <v>MVC</v>
          </cell>
          <cell r="K1248">
            <v>1</v>
          </cell>
          <cell r="L1248">
            <v>110174</v>
          </cell>
          <cell r="M1248" t="str">
            <v>MAY 21</v>
          </cell>
          <cell r="N1248">
            <v>44324</v>
          </cell>
          <cell r="O1248">
            <v>11116569</v>
          </cell>
          <cell r="P1248">
            <v>12726000</v>
          </cell>
          <cell r="Q1248">
            <v>44270</v>
          </cell>
          <cell r="R1248" t="str">
            <v>Yes</v>
          </cell>
          <cell r="S1248" t="str">
            <v>C49</v>
          </cell>
          <cell r="T1248" t="str">
            <v>SOUTH</v>
          </cell>
          <cell r="U1248" t="str">
            <v>深圳</v>
          </cell>
          <cell r="V1248" t="str">
            <v>SZ 深圳</v>
          </cell>
          <cell r="W1248" t="str">
            <v>VG</v>
          </cell>
          <cell r="X1248" t="str">
            <v>JPY</v>
          </cell>
          <cell r="Y1248">
            <v>12726000</v>
          </cell>
          <cell r="Z1248">
            <v>1</v>
          </cell>
          <cell r="AA1248">
            <v>12726000</v>
          </cell>
          <cell r="AB1248">
            <v>7.6799999999999993E-2</v>
          </cell>
          <cell r="AC1248">
            <v>977356.79999999993</v>
          </cell>
          <cell r="AD1248">
            <v>117282.81599999999</v>
          </cell>
          <cell r="AE1248">
            <v>0.12</v>
          </cell>
          <cell r="AF1248">
            <v>44222</v>
          </cell>
          <cell r="AG1248" t="str">
            <v>DAP SZ</v>
          </cell>
          <cell r="AK1248">
            <v>0.1</v>
          </cell>
          <cell r="AL1248">
            <v>1272600</v>
          </cell>
          <cell r="AM1248">
            <v>44228</v>
          </cell>
          <cell r="AN1248" t="str">
            <v>Yes</v>
          </cell>
          <cell r="AO1248">
            <v>0.9</v>
          </cell>
          <cell r="AP1248">
            <v>11453400</v>
          </cell>
          <cell r="AQ1248">
            <v>44323</v>
          </cell>
          <cell r="AR1248">
            <v>44323</v>
          </cell>
          <cell r="AS1248">
            <v>0</v>
          </cell>
          <cell r="AT1248">
            <v>0</v>
          </cell>
          <cell r="AX1248" t="str">
            <v>Yes</v>
          </cell>
          <cell r="AZ1248" t="str">
            <v>Y</v>
          </cell>
          <cell r="BA1248" t="str">
            <v>Yes</v>
          </cell>
        </row>
        <row r="1249">
          <cell r="B1249">
            <v>1099</v>
          </cell>
          <cell r="C1249" t="str">
            <v>C49SZX20210023VG</v>
          </cell>
          <cell r="D1249" t="str">
            <v>优派芯</v>
          </cell>
          <cell r="E1249" t="str">
            <v>YSM20R-2</v>
          </cell>
          <cell r="F1249"/>
          <cell r="G1249" t="e">
            <v>#REF!</v>
          </cell>
          <cell r="H1249" t="e">
            <v>#REF!</v>
          </cell>
          <cell r="I1249" t="str">
            <v>L-&gt;R</v>
          </cell>
          <cell r="J1249" t="str">
            <v>No</v>
          </cell>
          <cell r="K1249">
            <v>1</v>
          </cell>
          <cell r="L1249" t="e">
            <v>#N/A</v>
          </cell>
          <cell r="M1249" t="e">
            <v>#N/A</v>
          </cell>
          <cell r="N1249"/>
          <cell r="O1249"/>
          <cell r="P1249"/>
          <cell r="Q1249"/>
          <cell r="R1249" t="str">
            <v>Yes</v>
          </cell>
          <cell r="S1249" t="str">
            <v>C49</v>
          </cell>
          <cell r="T1249" t="str">
            <v>SOUTH</v>
          </cell>
          <cell r="U1249" t="str">
            <v>深圳</v>
          </cell>
          <cell r="V1249" t="str">
            <v>SZ 深圳</v>
          </cell>
          <cell r="W1249" t="str">
            <v>VG</v>
          </cell>
          <cell r="X1249" t="str">
            <v>JPY</v>
          </cell>
          <cell r="Y1249">
            <v>13300000</v>
          </cell>
          <cell r="Z1249">
            <v>1</v>
          </cell>
          <cell r="AA1249">
            <v>13300000</v>
          </cell>
          <cell r="AB1249">
            <v>7.6799999999999993E-2</v>
          </cell>
          <cell r="AC1249">
            <v>1021439.9999999999</v>
          </cell>
          <cell r="AD1249">
            <v>122572.79999999999</v>
          </cell>
          <cell r="AE1249">
            <v>0.12</v>
          </cell>
          <cell r="AF1249">
            <v>44222</v>
          </cell>
          <cell r="AG1249" t="str">
            <v>DAP SZ</v>
          </cell>
          <cell r="AI1249"/>
          <cell r="AJ1249"/>
          <cell r="AK1249">
            <v>0.1</v>
          </cell>
          <cell r="AL1249">
            <v>1330000</v>
          </cell>
          <cell r="AM1249"/>
          <cell r="AN1249" t="str">
            <v>No</v>
          </cell>
          <cell r="AO1249">
            <v>0.9</v>
          </cell>
          <cell r="AP1249">
            <v>11970000</v>
          </cell>
          <cell r="AQ1249"/>
          <cell r="AR1249"/>
          <cell r="AS1249">
            <v>0</v>
          </cell>
          <cell r="AT1249">
            <v>0</v>
          </cell>
          <cell r="AV1249"/>
          <cell r="AX1249" t="str">
            <v>Cancel</v>
          </cell>
          <cell r="AY1249"/>
          <cell r="AZ1249"/>
          <cell r="BA1249" t="str">
            <v>Cancel</v>
          </cell>
          <cell r="BB1249" t="str">
            <v>2022/10/10 Ken邮件通知</v>
          </cell>
        </row>
        <row r="1250">
          <cell r="B1250">
            <v>1100</v>
          </cell>
          <cell r="C1250" t="str">
            <v>C49SZX20210019JY</v>
          </cell>
          <cell r="D1250" t="str">
            <v>晟锦威</v>
          </cell>
          <cell r="E1250" t="str">
            <v>YSM20R-2</v>
          </cell>
          <cell r="F1250" t="str">
            <v>#04459</v>
          </cell>
          <cell r="G1250" t="e">
            <v>#REF!</v>
          </cell>
          <cell r="H1250" t="e">
            <v>#REF!</v>
          </cell>
          <cell r="I1250" t="str">
            <v>R-&gt;L</v>
          </cell>
          <cell r="J1250" t="str">
            <v>No</v>
          </cell>
          <cell r="K1250">
            <v>1</v>
          </cell>
          <cell r="L1250">
            <v>110416</v>
          </cell>
          <cell r="M1250" t="str">
            <v>MAY 21</v>
          </cell>
          <cell r="N1250">
            <v>44329</v>
          </cell>
          <cell r="O1250">
            <v>11116571</v>
          </cell>
          <cell r="P1250">
            <v>12000000</v>
          </cell>
          <cell r="Q1250">
            <v>44333</v>
          </cell>
          <cell r="R1250" t="str">
            <v>No</v>
          </cell>
          <cell r="S1250" t="str">
            <v>C49</v>
          </cell>
          <cell r="T1250" t="str">
            <v>SOUTH</v>
          </cell>
          <cell r="U1250" t="str">
            <v>深圳</v>
          </cell>
          <cell r="V1250" t="str">
            <v>SZ 深圳</v>
          </cell>
          <cell r="W1250" t="str">
            <v>JY</v>
          </cell>
          <cell r="X1250" t="str">
            <v>JPY</v>
          </cell>
          <cell r="Y1250">
            <v>12000000</v>
          </cell>
          <cell r="Z1250">
            <v>1</v>
          </cell>
          <cell r="AA1250">
            <v>12000000</v>
          </cell>
          <cell r="AB1250">
            <v>7.6799999999999993E-2</v>
          </cell>
          <cell r="AC1250">
            <v>921599.99999999988</v>
          </cell>
          <cell r="AD1250">
            <v>110591.99999999999</v>
          </cell>
          <cell r="AE1250">
            <v>0.12</v>
          </cell>
          <cell r="AF1250">
            <v>44223</v>
          </cell>
          <cell r="AG1250" t="str">
            <v>DAP SZ</v>
          </cell>
          <cell r="AK1250">
            <v>0.1</v>
          </cell>
          <cell r="AL1250">
            <v>1200000</v>
          </cell>
          <cell r="AM1250">
            <v>44197</v>
          </cell>
          <cell r="AN1250" t="str">
            <v>Yes</v>
          </cell>
          <cell r="AO1250">
            <v>0.9</v>
          </cell>
          <cell r="AP1250">
            <v>10800000</v>
          </cell>
          <cell r="AQ1250">
            <v>44327</v>
          </cell>
          <cell r="AR1250">
            <v>44327</v>
          </cell>
          <cell r="AS1250">
            <v>0</v>
          </cell>
          <cell r="AT1250">
            <v>0</v>
          </cell>
          <cell r="AX1250" t="str">
            <v>Yes</v>
          </cell>
          <cell r="AZ1250" t="str">
            <v>Y</v>
          </cell>
          <cell r="BA1250" t="str">
            <v>Yes</v>
          </cell>
        </row>
        <row r="1251">
          <cell r="B1251">
            <v>1101</v>
          </cell>
          <cell r="C1251" t="str">
            <v>C49SZX20210019JY</v>
          </cell>
          <cell r="D1251" t="str">
            <v>晟锦威</v>
          </cell>
          <cell r="E1251" t="str">
            <v>YSM20R-2</v>
          </cell>
          <cell r="F1251" t="str">
            <v>#04459</v>
          </cell>
          <cell r="G1251" t="e">
            <v>#REF!</v>
          </cell>
          <cell r="H1251" t="e">
            <v>#REF!</v>
          </cell>
          <cell r="I1251" t="str">
            <v>R-&gt;L</v>
          </cell>
          <cell r="J1251" t="str">
            <v>No</v>
          </cell>
          <cell r="K1251">
            <v>1</v>
          </cell>
          <cell r="L1251">
            <v>110416</v>
          </cell>
          <cell r="M1251" t="str">
            <v>MAY 21</v>
          </cell>
          <cell r="N1251">
            <v>44329</v>
          </cell>
          <cell r="O1251">
            <v>11116571</v>
          </cell>
          <cell r="P1251">
            <v>12000000</v>
          </cell>
          <cell r="Q1251">
            <v>44333</v>
          </cell>
          <cell r="R1251" t="str">
            <v>No</v>
          </cell>
          <cell r="S1251" t="str">
            <v>C49</v>
          </cell>
          <cell r="T1251" t="str">
            <v>SOUTH</v>
          </cell>
          <cell r="U1251" t="str">
            <v>深圳</v>
          </cell>
          <cell r="V1251" t="str">
            <v>SZ 深圳</v>
          </cell>
          <cell r="W1251" t="str">
            <v>JY</v>
          </cell>
          <cell r="X1251" t="str">
            <v>JPY</v>
          </cell>
          <cell r="Y1251">
            <v>12000000</v>
          </cell>
          <cell r="Z1251">
            <v>1</v>
          </cell>
          <cell r="AA1251">
            <v>12000000</v>
          </cell>
          <cell r="AB1251">
            <v>7.6799999999999993E-2</v>
          </cell>
          <cell r="AC1251">
            <v>921599.99999999988</v>
          </cell>
          <cell r="AD1251">
            <v>110591.99999999999</v>
          </cell>
          <cell r="AE1251">
            <v>0.12</v>
          </cell>
          <cell r="AF1251">
            <v>44223</v>
          </cell>
          <cell r="AG1251" t="str">
            <v>DAP SZ</v>
          </cell>
          <cell r="AK1251">
            <v>0.1</v>
          </cell>
          <cell r="AL1251">
            <v>1200000</v>
          </cell>
          <cell r="AM1251">
            <v>44197</v>
          </cell>
          <cell r="AN1251" t="str">
            <v>Yes</v>
          </cell>
          <cell r="AO1251">
            <v>0.9</v>
          </cell>
          <cell r="AP1251">
            <v>10800000</v>
          </cell>
          <cell r="AQ1251">
            <v>44327</v>
          </cell>
          <cell r="AR1251">
            <v>44327</v>
          </cell>
          <cell r="AS1251">
            <v>0</v>
          </cell>
          <cell r="AT1251">
            <v>0</v>
          </cell>
          <cell r="AX1251" t="str">
            <v>Yes</v>
          </cell>
          <cell r="AZ1251" t="str">
            <v>Y</v>
          </cell>
          <cell r="BA1251" t="str">
            <v>Yes</v>
          </cell>
        </row>
        <row r="1252">
          <cell r="B1252">
            <v>1102</v>
          </cell>
          <cell r="C1252" t="str">
            <v>C49SZX20210019JY</v>
          </cell>
          <cell r="D1252" t="str">
            <v>晟锦威</v>
          </cell>
          <cell r="E1252" t="str">
            <v>YSM10</v>
          </cell>
          <cell r="F1252" t="str">
            <v>#04459</v>
          </cell>
          <cell r="G1252" t="e">
            <v>#REF!</v>
          </cell>
          <cell r="H1252" t="e">
            <v>#REF!</v>
          </cell>
          <cell r="I1252" t="str">
            <v>R-&gt;L</v>
          </cell>
          <cell r="J1252" t="str">
            <v>MVC</v>
          </cell>
          <cell r="K1252">
            <v>1</v>
          </cell>
          <cell r="L1252">
            <v>110403</v>
          </cell>
          <cell r="M1252" t="str">
            <v>MAY 21</v>
          </cell>
          <cell r="N1252">
            <v>44329</v>
          </cell>
          <cell r="O1252">
            <v>11116571</v>
          </cell>
          <cell r="P1252">
            <v>8000000</v>
          </cell>
          <cell r="Q1252">
            <v>44333</v>
          </cell>
          <cell r="R1252" t="str">
            <v>No</v>
          </cell>
          <cell r="S1252" t="str">
            <v>C49</v>
          </cell>
          <cell r="T1252" t="str">
            <v>SOUTH</v>
          </cell>
          <cell r="U1252" t="str">
            <v>深圳</v>
          </cell>
          <cell r="V1252" t="str">
            <v>SZ 深圳</v>
          </cell>
          <cell r="W1252" t="str">
            <v>JY</v>
          </cell>
          <cell r="X1252" t="str">
            <v>JPY</v>
          </cell>
          <cell r="Y1252">
            <v>8000000</v>
          </cell>
          <cell r="Z1252">
            <v>1</v>
          </cell>
          <cell r="AA1252">
            <v>8000000</v>
          </cell>
          <cell r="AB1252">
            <v>7.6799999999999993E-2</v>
          </cell>
          <cell r="AC1252">
            <v>614400</v>
          </cell>
          <cell r="AD1252">
            <v>73728</v>
          </cell>
          <cell r="AE1252">
            <v>0.12</v>
          </cell>
          <cell r="AF1252">
            <v>44223</v>
          </cell>
          <cell r="AG1252" t="str">
            <v>DAP SZ</v>
          </cell>
          <cell r="AK1252">
            <v>0.1</v>
          </cell>
          <cell r="AL1252">
            <v>800000</v>
          </cell>
          <cell r="AM1252">
            <v>44197</v>
          </cell>
          <cell r="AN1252" t="str">
            <v>Yes</v>
          </cell>
          <cell r="AO1252">
            <v>0.9</v>
          </cell>
          <cell r="AP1252">
            <v>7200000</v>
          </cell>
          <cell r="AQ1252">
            <v>44327</v>
          </cell>
          <cell r="AR1252">
            <v>44327</v>
          </cell>
          <cell r="AS1252">
            <v>0</v>
          </cell>
          <cell r="AT1252">
            <v>0</v>
          </cell>
          <cell r="AX1252" t="str">
            <v>Yes</v>
          </cell>
          <cell r="AZ1252" t="str">
            <v>Y</v>
          </cell>
          <cell r="BA1252" t="str">
            <v>Yes</v>
          </cell>
        </row>
        <row r="1253">
          <cell r="B1253">
            <v>1103</v>
          </cell>
          <cell r="C1253" t="str">
            <v>C49SZX20210019JY</v>
          </cell>
          <cell r="D1253" t="str">
            <v>晟锦威</v>
          </cell>
          <cell r="E1253" t="str">
            <v>YSM10</v>
          </cell>
          <cell r="F1253" t="str">
            <v>#04459</v>
          </cell>
          <cell r="G1253" t="e">
            <v>#REF!</v>
          </cell>
          <cell r="H1253" t="e">
            <v>#REF!</v>
          </cell>
          <cell r="I1253" t="str">
            <v>R-&gt;L</v>
          </cell>
          <cell r="J1253" t="str">
            <v>MVC</v>
          </cell>
          <cell r="K1253">
            <v>1</v>
          </cell>
          <cell r="L1253">
            <v>110403</v>
          </cell>
          <cell r="M1253" t="str">
            <v>MAY 21</v>
          </cell>
          <cell r="N1253">
            <v>44329</v>
          </cell>
          <cell r="O1253">
            <v>11116571</v>
          </cell>
          <cell r="P1253">
            <v>8000000</v>
          </cell>
          <cell r="Q1253">
            <v>44333</v>
          </cell>
          <cell r="R1253" t="str">
            <v>No</v>
          </cell>
          <cell r="S1253" t="str">
            <v>C49</v>
          </cell>
          <cell r="T1253" t="str">
            <v>SOUTH</v>
          </cell>
          <cell r="U1253" t="str">
            <v>深圳</v>
          </cell>
          <cell r="V1253" t="str">
            <v>SZ 深圳</v>
          </cell>
          <cell r="W1253" t="str">
            <v>JY</v>
          </cell>
          <cell r="X1253" t="str">
            <v>JPY</v>
          </cell>
          <cell r="Y1253">
            <v>8000000</v>
          </cell>
          <cell r="Z1253">
            <v>1</v>
          </cell>
          <cell r="AA1253">
            <v>8000000</v>
          </cell>
          <cell r="AB1253">
            <v>7.6799999999999993E-2</v>
          </cell>
          <cell r="AC1253">
            <v>614400</v>
          </cell>
          <cell r="AD1253">
            <v>73728</v>
          </cell>
          <cell r="AE1253">
            <v>0.12</v>
          </cell>
          <cell r="AF1253">
            <v>44223</v>
          </cell>
          <cell r="AG1253" t="str">
            <v>DAP SZ</v>
          </cell>
          <cell r="AK1253">
            <v>0.1</v>
          </cell>
          <cell r="AL1253">
            <v>800000</v>
          </cell>
          <cell r="AM1253">
            <v>44197</v>
          </cell>
          <cell r="AN1253" t="str">
            <v>Yes</v>
          </cell>
          <cell r="AO1253">
            <v>0.9</v>
          </cell>
          <cell r="AP1253">
            <v>7200000</v>
          </cell>
          <cell r="AQ1253">
            <v>44327</v>
          </cell>
          <cell r="AR1253">
            <v>44327</v>
          </cell>
          <cell r="AS1253">
            <v>0</v>
          </cell>
          <cell r="AT1253">
            <v>0</v>
          </cell>
          <cell r="AX1253" t="str">
            <v>Yes</v>
          </cell>
          <cell r="AZ1253" t="str">
            <v>Y</v>
          </cell>
          <cell r="BA1253" t="str">
            <v>Yes</v>
          </cell>
        </row>
        <row r="1254">
          <cell r="B1254">
            <v>1104</v>
          </cell>
          <cell r="C1254" t="str">
            <v>C49SZX20210019JY</v>
          </cell>
          <cell r="D1254" t="str">
            <v>晟锦威</v>
          </cell>
          <cell r="E1254" t="str">
            <v>YSM10</v>
          </cell>
          <cell r="F1254" t="str">
            <v>#04459</v>
          </cell>
          <cell r="G1254" t="e">
            <v>#REF!</v>
          </cell>
          <cell r="H1254" t="e">
            <v>#REF!</v>
          </cell>
          <cell r="I1254" t="str">
            <v>R-&gt;L</v>
          </cell>
          <cell r="J1254" t="str">
            <v>MVC</v>
          </cell>
          <cell r="K1254">
            <v>1</v>
          </cell>
          <cell r="L1254">
            <v>110403</v>
          </cell>
          <cell r="M1254" t="str">
            <v>MAY 21</v>
          </cell>
          <cell r="N1254">
            <v>44329</v>
          </cell>
          <cell r="O1254">
            <v>11116571</v>
          </cell>
          <cell r="P1254">
            <v>8000000</v>
          </cell>
          <cell r="Q1254">
            <v>44333</v>
          </cell>
          <cell r="R1254" t="str">
            <v>No</v>
          </cell>
          <cell r="S1254" t="str">
            <v>C49</v>
          </cell>
          <cell r="T1254" t="str">
            <v>SOUTH</v>
          </cell>
          <cell r="U1254" t="str">
            <v>深圳</v>
          </cell>
          <cell r="V1254" t="str">
            <v>SZ 深圳</v>
          </cell>
          <cell r="W1254" t="str">
            <v>JY</v>
          </cell>
          <cell r="X1254" t="str">
            <v>JPY</v>
          </cell>
          <cell r="Y1254">
            <v>8000000</v>
          </cell>
          <cell r="Z1254">
            <v>1</v>
          </cell>
          <cell r="AA1254">
            <v>8000000</v>
          </cell>
          <cell r="AB1254">
            <v>7.6799999999999993E-2</v>
          </cell>
          <cell r="AC1254">
            <v>614400</v>
          </cell>
          <cell r="AD1254">
            <v>73728</v>
          </cell>
          <cell r="AE1254">
            <v>0.12</v>
          </cell>
          <cell r="AF1254">
            <v>44223</v>
          </cell>
          <cell r="AG1254" t="str">
            <v>DAP SZ</v>
          </cell>
          <cell r="AK1254">
            <v>0.1</v>
          </cell>
          <cell r="AL1254">
            <v>800000</v>
          </cell>
          <cell r="AM1254">
            <v>44197</v>
          </cell>
          <cell r="AN1254" t="str">
            <v>Yes</v>
          </cell>
          <cell r="AO1254">
            <v>0.9</v>
          </cell>
          <cell r="AP1254">
            <v>7200000</v>
          </cell>
          <cell r="AQ1254">
            <v>44327</v>
          </cell>
          <cell r="AR1254">
            <v>44327</v>
          </cell>
          <cell r="AS1254">
            <v>0</v>
          </cell>
          <cell r="AT1254">
            <v>0</v>
          </cell>
          <cell r="AX1254" t="str">
            <v>Yes</v>
          </cell>
          <cell r="AZ1254" t="str">
            <v>Y</v>
          </cell>
          <cell r="BA1254" t="str">
            <v>Yes</v>
          </cell>
        </row>
        <row r="1255">
          <cell r="B1255">
            <v>1105</v>
          </cell>
          <cell r="C1255" t="str">
            <v>C49SZX20210029DZ</v>
          </cell>
          <cell r="D1255" t="str">
            <v>嘉裕</v>
          </cell>
          <cell r="E1255" t="str">
            <v>YSM20R-2</v>
          </cell>
          <cell r="F1255" t="str">
            <v>#04342</v>
          </cell>
          <cell r="G1255" t="e">
            <v>#REF!</v>
          </cell>
          <cell r="H1255" t="e">
            <v>#REF!</v>
          </cell>
          <cell r="I1255" t="str">
            <v>L-&gt;R</v>
          </cell>
          <cell r="J1255" t="str">
            <v>No</v>
          </cell>
          <cell r="K1255">
            <v>1</v>
          </cell>
          <cell r="L1255">
            <v>110245</v>
          </cell>
          <cell r="M1255" t="str">
            <v>APR 21</v>
          </cell>
          <cell r="N1255">
            <v>44313</v>
          </cell>
          <cell r="O1255">
            <v>11116562</v>
          </cell>
          <cell r="P1255">
            <v>24630000</v>
          </cell>
          <cell r="Q1255">
            <v>44287</v>
          </cell>
          <cell r="R1255" t="str">
            <v>No</v>
          </cell>
          <cell r="S1255" t="str">
            <v>C49</v>
          </cell>
          <cell r="T1255" t="str">
            <v>SOUTH</v>
          </cell>
          <cell r="U1255" t="str">
            <v>深圳</v>
          </cell>
          <cell r="V1255" t="str">
            <v>SZ 深圳</v>
          </cell>
          <cell r="W1255" t="str">
            <v>DZ</v>
          </cell>
          <cell r="X1255" t="str">
            <v>JPY</v>
          </cell>
          <cell r="Y1255">
            <v>24630000</v>
          </cell>
          <cell r="Z1255">
            <v>1</v>
          </cell>
          <cell r="AA1255">
            <v>24630000</v>
          </cell>
          <cell r="AB1255">
            <v>7.6799999999999993E-2</v>
          </cell>
          <cell r="AC1255">
            <v>1891583.9999999998</v>
          </cell>
          <cell r="AD1255">
            <v>226990.07999999996</v>
          </cell>
          <cell r="AE1255">
            <v>0.12</v>
          </cell>
          <cell r="AF1255">
            <v>44224</v>
          </cell>
          <cell r="AG1255" t="str">
            <v>CIF HK</v>
          </cell>
          <cell r="AK1255">
            <v>0.3</v>
          </cell>
          <cell r="AL1255">
            <v>7389000</v>
          </cell>
          <cell r="AM1255">
            <v>44197</v>
          </cell>
          <cell r="AN1255" t="str">
            <v>Yes</v>
          </cell>
          <cell r="AO1255">
            <v>0.7</v>
          </cell>
          <cell r="AP1255">
            <v>17241000</v>
          </cell>
          <cell r="AQ1255">
            <v>44312</v>
          </cell>
          <cell r="AR1255">
            <v>44312</v>
          </cell>
          <cell r="AS1255">
            <v>0</v>
          </cell>
          <cell r="AT1255">
            <v>0</v>
          </cell>
          <cell r="AX1255" t="str">
            <v>Yes</v>
          </cell>
        </row>
        <row r="1256">
          <cell r="B1256">
            <v>1106</v>
          </cell>
          <cell r="C1256" t="str">
            <v>C49SZX20210038SX</v>
          </cell>
          <cell r="D1256" t="str">
            <v>赛美达</v>
          </cell>
          <cell r="E1256" t="str">
            <v>YSM20R-2</v>
          </cell>
          <cell r="F1256" t="str">
            <v>#78325</v>
          </cell>
          <cell r="G1256" t="e">
            <v>#REF!</v>
          </cell>
          <cell r="H1256" t="e">
            <v>#REF!</v>
          </cell>
          <cell r="I1256" t="str">
            <v>L-&gt;R</v>
          </cell>
          <cell r="J1256" t="str">
            <v>No</v>
          </cell>
          <cell r="K1256">
            <v>1</v>
          </cell>
          <cell r="L1256">
            <v>110133</v>
          </cell>
          <cell r="M1256" t="str">
            <v>APR 21</v>
          </cell>
          <cell r="N1256">
            <v>44288</v>
          </cell>
          <cell r="O1256">
            <v>11116555</v>
          </cell>
          <cell r="P1256">
            <v>13000000</v>
          </cell>
          <cell r="Q1256">
            <v>44299</v>
          </cell>
          <cell r="R1256" t="str">
            <v>No</v>
          </cell>
          <cell r="S1256" t="str">
            <v>C49</v>
          </cell>
          <cell r="T1256" t="str">
            <v>SOUTH</v>
          </cell>
          <cell r="U1256" t="str">
            <v>深圳</v>
          </cell>
          <cell r="V1256" t="str">
            <v>SZ 深圳</v>
          </cell>
          <cell r="W1256" t="str">
            <v>SX</v>
          </cell>
          <cell r="X1256" t="str">
            <v>JPY</v>
          </cell>
          <cell r="Y1256">
            <v>13000000</v>
          </cell>
          <cell r="Z1256">
            <v>1</v>
          </cell>
          <cell r="AA1256">
            <v>13000000</v>
          </cell>
          <cell r="AB1256">
            <v>7.6799999999999993E-2</v>
          </cell>
          <cell r="AC1256">
            <v>998399.99999999988</v>
          </cell>
          <cell r="AD1256">
            <v>119807.99999999999</v>
          </cell>
          <cell r="AE1256">
            <v>0.12</v>
          </cell>
          <cell r="AF1256">
            <v>44225</v>
          </cell>
          <cell r="AG1256" t="str">
            <v>DAP SZ</v>
          </cell>
          <cell r="AK1256">
            <v>0.2</v>
          </cell>
          <cell r="AL1256">
            <v>2600000</v>
          </cell>
          <cell r="AM1256">
            <v>44228</v>
          </cell>
          <cell r="AN1256" t="str">
            <v>Yes</v>
          </cell>
          <cell r="AO1256">
            <v>0.8</v>
          </cell>
          <cell r="AP1256">
            <v>10400000</v>
          </cell>
          <cell r="AQ1256">
            <v>44285</v>
          </cell>
          <cell r="AR1256">
            <v>44285</v>
          </cell>
          <cell r="AS1256">
            <v>0</v>
          </cell>
          <cell r="AT1256">
            <v>0</v>
          </cell>
          <cell r="AX1256" t="str">
            <v>Yes</v>
          </cell>
          <cell r="AZ1256" t="str">
            <v>Y</v>
          </cell>
          <cell r="BA1256" t="str">
            <v>Yes</v>
          </cell>
        </row>
        <row r="1257">
          <cell r="B1257">
            <v>1107</v>
          </cell>
          <cell r="C1257" t="str">
            <v>C49SZX20210038SX</v>
          </cell>
          <cell r="D1257" t="str">
            <v>赛美达</v>
          </cell>
          <cell r="E1257" t="str">
            <v>YSM10</v>
          </cell>
          <cell r="F1257" t="str">
            <v>#78325</v>
          </cell>
          <cell r="G1257" t="e">
            <v>#REF!</v>
          </cell>
          <cell r="H1257" t="e">
            <v>#REF!</v>
          </cell>
          <cell r="I1257" t="str">
            <v>R-&gt;L</v>
          </cell>
          <cell r="J1257" t="str">
            <v>MVC</v>
          </cell>
          <cell r="K1257">
            <v>1</v>
          </cell>
          <cell r="L1257">
            <v>110173</v>
          </cell>
          <cell r="M1257" t="str">
            <v>APR 21</v>
          </cell>
          <cell r="N1257">
            <v>44288</v>
          </cell>
          <cell r="O1257">
            <v>11116555</v>
          </cell>
          <cell r="P1257">
            <v>7907000</v>
          </cell>
          <cell r="Q1257">
            <v>44287</v>
          </cell>
          <cell r="R1257" t="str">
            <v>No</v>
          </cell>
          <cell r="S1257" t="str">
            <v>C49</v>
          </cell>
          <cell r="T1257" t="str">
            <v>SOUTH</v>
          </cell>
          <cell r="U1257" t="str">
            <v>深圳</v>
          </cell>
          <cell r="V1257" t="str">
            <v>SZ 深圳</v>
          </cell>
          <cell r="W1257" t="str">
            <v>SX</v>
          </cell>
          <cell r="X1257" t="str">
            <v>JPY</v>
          </cell>
          <cell r="Y1257">
            <v>7907000</v>
          </cell>
          <cell r="Z1257">
            <v>1</v>
          </cell>
          <cell r="AA1257">
            <v>7907000</v>
          </cell>
          <cell r="AB1257">
            <v>7.6799999999999993E-2</v>
          </cell>
          <cell r="AC1257">
            <v>607257.59999999998</v>
          </cell>
          <cell r="AD1257">
            <v>72870.911999999997</v>
          </cell>
          <cell r="AE1257">
            <v>0.12</v>
          </cell>
          <cell r="AF1257">
            <v>44225</v>
          </cell>
          <cell r="AG1257" t="str">
            <v>DAP SZ</v>
          </cell>
          <cell r="AK1257">
            <v>0.2</v>
          </cell>
          <cell r="AL1257">
            <v>1581400</v>
          </cell>
          <cell r="AM1257">
            <v>44228</v>
          </cell>
          <cell r="AN1257" t="str">
            <v>Yes</v>
          </cell>
          <cell r="AO1257">
            <v>0.8</v>
          </cell>
          <cell r="AP1257">
            <v>6325600</v>
          </cell>
          <cell r="AQ1257">
            <v>44285</v>
          </cell>
          <cell r="AR1257">
            <v>44285</v>
          </cell>
          <cell r="AS1257">
            <v>0</v>
          </cell>
          <cell r="AT1257">
            <v>0</v>
          </cell>
          <cell r="AX1257" t="str">
            <v>Yes</v>
          </cell>
          <cell r="AZ1257" t="str">
            <v>Y</v>
          </cell>
          <cell r="BA1257" t="str">
            <v>Yes</v>
          </cell>
        </row>
        <row r="1258">
          <cell r="B1258">
            <v>1108</v>
          </cell>
          <cell r="C1258" t="str">
            <v>C49SZX20210030SX</v>
          </cell>
          <cell r="D1258" t="str">
            <v>华汛</v>
          </cell>
          <cell r="E1258" t="str">
            <v>YSM10</v>
          </cell>
          <cell r="F1258" t="str">
            <v>#00885</v>
          </cell>
          <cell r="G1258" t="e">
            <v>#REF!</v>
          </cell>
          <cell r="H1258" t="e">
            <v>#REF!</v>
          </cell>
          <cell r="I1258" t="str">
            <v>L-&gt;R</v>
          </cell>
          <cell r="J1258" t="str">
            <v>MVC</v>
          </cell>
          <cell r="K1258">
            <v>1</v>
          </cell>
          <cell r="L1258">
            <v>110244</v>
          </cell>
          <cell r="M1258" t="str">
            <v>MAY 21</v>
          </cell>
          <cell r="N1258">
            <v>44340</v>
          </cell>
          <cell r="O1258">
            <v>11116588</v>
          </cell>
          <cell r="P1258">
            <v>6950000</v>
          </cell>
          <cell r="Q1258">
            <v>44344</v>
          </cell>
          <cell r="R1258" t="str">
            <v>No</v>
          </cell>
          <cell r="S1258" t="str">
            <v>C49</v>
          </cell>
          <cell r="T1258" t="str">
            <v>SOUTH</v>
          </cell>
          <cell r="U1258" t="str">
            <v>深圳</v>
          </cell>
          <cell r="V1258" t="str">
            <v>SZ 深圳</v>
          </cell>
          <cell r="W1258" t="str">
            <v>SX</v>
          </cell>
          <cell r="X1258" t="str">
            <v>JPY</v>
          </cell>
          <cell r="Y1258">
            <v>6950000</v>
          </cell>
          <cell r="Z1258">
            <v>1</v>
          </cell>
          <cell r="AA1258">
            <v>6950000</v>
          </cell>
          <cell r="AB1258">
            <v>7.6799999999999993E-2</v>
          </cell>
          <cell r="AC1258">
            <v>533760</v>
          </cell>
          <cell r="AD1258">
            <v>64051.199999999997</v>
          </cell>
          <cell r="AE1258">
            <v>0.12</v>
          </cell>
          <cell r="AF1258">
            <v>44222</v>
          </cell>
          <cell r="AG1258" t="str">
            <v>DAP SZ</v>
          </cell>
          <cell r="AK1258">
            <v>0.1</v>
          </cell>
          <cell r="AL1258">
            <v>695000</v>
          </cell>
          <cell r="AM1258">
            <v>44234</v>
          </cell>
          <cell r="AN1258" t="str">
            <v>Yes</v>
          </cell>
          <cell r="AO1258">
            <v>0.9</v>
          </cell>
          <cell r="AP1258">
            <v>6255000</v>
          </cell>
          <cell r="AQ1258">
            <v>44334</v>
          </cell>
          <cell r="AR1258">
            <v>44334</v>
          </cell>
          <cell r="AS1258">
            <v>0</v>
          </cell>
          <cell r="AT1258">
            <v>0</v>
          </cell>
          <cell r="AX1258" t="str">
            <v>Yes</v>
          </cell>
          <cell r="AZ1258" t="str">
            <v>Y</v>
          </cell>
          <cell r="BA1258" t="str">
            <v>Yes</v>
          </cell>
        </row>
        <row r="1259">
          <cell r="B1259">
            <v>1109</v>
          </cell>
          <cell r="C1259" t="str">
            <v>C49SZX20210037SX</v>
          </cell>
          <cell r="D1259" t="str">
            <v>模鑫</v>
          </cell>
          <cell r="E1259" t="str">
            <v>YSM20R-2</v>
          </cell>
          <cell r="G1259" t="e">
            <v>#REF!</v>
          </cell>
          <cell r="H1259" t="e">
            <v>#REF!</v>
          </cell>
          <cell r="I1259" t="str">
            <v>L-&gt;R</v>
          </cell>
          <cell r="J1259" t="str">
            <v>No</v>
          </cell>
          <cell r="K1259">
            <v>1</v>
          </cell>
          <cell r="L1259" t="str">
            <v>110107（拆单110209）</v>
          </cell>
          <cell r="M1259" t="str">
            <v>MAR 21</v>
          </cell>
          <cell r="N1259">
            <v>44278</v>
          </cell>
          <cell r="O1259">
            <v>11116542</v>
          </cell>
          <cell r="P1259">
            <v>14000000</v>
          </cell>
          <cell r="Q1259">
            <v>44279</v>
          </cell>
          <cell r="R1259" t="str">
            <v>Yes</v>
          </cell>
          <cell r="S1259" t="str">
            <v>C49</v>
          </cell>
          <cell r="T1259" t="str">
            <v>SOUTH</v>
          </cell>
          <cell r="U1259" t="str">
            <v>深圳</v>
          </cell>
          <cell r="V1259" t="str">
            <v>SZ 深圳</v>
          </cell>
          <cell r="W1259" t="str">
            <v>SX</v>
          </cell>
          <cell r="X1259" t="str">
            <v>JPY</v>
          </cell>
          <cell r="Y1259">
            <v>14000000</v>
          </cell>
          <cell r="Z1259">
            <v>1</v>
          </cell>
          <cell r="AA1259">
            <v>14000000</v>
          </cell>
          <cell r="AB1259">
            <v>7.5700000000000003E-2</v>
          </cell>
          <cell r="AC1259">
            <v>1059800</v>
          </cell>
          <cell r="AD1259">
            <v>127176</v>
          </cell>
          <cell r="AE1259">
            <v>0.12</v>
          </cell>
          <cell r="AF1259">
            <v>44228</v>
          </cell>
          <cell r="AG1259" t="str">
            <v>DAP SZ</v>
          </cell>
          <cell r="AK1259">
            <v>0.1</v>
          </cell>
          <cell r="AL1259">
            <v>1400000</v>
          </cell>
          <cell r="AM1259">
            <v>44231</v>
          </cell>
          <cell r="AN1259" t="str">
            <v>Yes</v>
          </cell>
          <cell r="AO1259">
            <v>0.9</v>
          </cell>
          <cell r="AP1259">
            <v>12600000</v>
          </cell>
          <cell r="AQ1259">
            <v>44273</v>
          </cell>
          <cell r="AR1259">
            <v>44273</v>
          </cell>
          <cell r="AS1259">
            <v>0</v>
          </cell>
          <cell r="AT1259">
            <v>0</v>
          </cell>
          <cell r="AX1259" t="str">
            <v>Yes</v>
          </cell>
          <cell r="AZ1259" t="str">
            <v>Y</v>
          </cell>
          <cell r="BA1259" t="str">
            <v>Yes</v>
          </cell>
        </row>
        <row r="1260">
          <cell r="B1260">
            <v>1110</v>
          </cell>
          <cell r="C1260" t="str">
            <v>C49SZX20210037SX</v>
          </cell>
          <cell r="D1260" t="str">
            <v>模鑫</v>
          </cell>
          <cell r="E1260" t="str">
            <v>YSM10</v>
          </cell>
          <cell r="G1260" t="e">
            <v>#REF!</v>
          </cell>
          <cell r="H1260" t="e">
            <v>#REF!</v>
          </cell>
          <cell r="I1260" t="str">
            <v>L-&gt;R</v>
          </cell>
          <cell r="J1260" t="str">
            <v>MVC</v>
          </cell>
          <cell r="K1260">
            <v>1</v>
          </cell>
          <cell r="L1260">
            <v>110131</v>
          </cell>
          <cell r="M1260" t="str">
            <v>MAR 21</v>
          </cell>
          <cell r="N1260">
            <v>44278</v>
          </cell>
          <cell r="O1260">
            <v>11116542</v>
          </cell>
          <cell r="P1260">
            <v>10000000</v>
          </cell>
          <cell r="Q1260">
            <v>44279</v>
          </cell>
          <cell r="R1260" t="str">
            <v>Yes</v>
          </cell>
          <cell r="S1260" t="str">
            <v>C49</v>
          </cell>
          <cell r="T1260" t="str">
            <v>SOUTH</v>
          </cell>
          <cell r="U1260" t="str">
            <v>深圳</v>
          </cell>
          <cell r="V1260" t="str">
            <v>SZ 深圳</v>
          </cell>
          <cell r="W1260" t="str">
            <v>SX</v>
          </cell>
          <cell r="X1260" t="str">
            <v>JPY</v>
          </cell>
          <cell r="Y1260">
            <v>10000000</v>
          </cell>
          <cell r="Z1260">
            <v>1</v>
          </cell>
          <cell r="AA1260">
            <v>10000000</v>
          </cell>
          <cell r="AB1260">
            <v>7.5700000000000003E-2</v>
          </cell>
          <cell r="AC1260">
            <v>757000</v>
          </cell>
          <cell r="AD1260">
            <v>90840</v>
          </cell>
          <cell r="AE1260">
            <v>0.12</v>
          </cell>
          <cell r="AF1260">
            <v>44228</v>
          </cell>
          <cell r="AG1260" t="str">
            <v>DAP SZ</v>
          </cell>
          <cell r="AK1260">
            <v>0.1</v>
          </cell>
          <cell r="AL1260">
            <v>1000000</v>
          </cell>
          <cell r="AM1260">
            <v>44231</v>
          </cell>
          <cell r="AN1260" t="str">
            <v>Yes</v>
          </cell>
          <cell r="AO1260">
            <v>0.9</v>
          </cell>
          <cell r="AP1260">
            <v>9000000</v>
          </cell>
          <cell r="AQ1260">
            <v>44273</v>
          </cell>
          <cell r="AR1260">
            <v>44273</v>
          </cell>
          <cell r="AS1260">
            <v>0</v>
          </cell>
          <cell r="AT1260">
            <v>0</v>
          </cell>
          <cell r="AX1260" t="str">
            <v>Yes</v>
          </cell>
          <cell r="AZ1260" t="str">
            <v>Y</v>
          </cell>
          <cell r="BA1260" t="str">
            <v>Yes</v>
          </cell>
        </row>
        <row r="1261">
          <cell r="B1261">
            <v>1111</v>
          </cell>
          <cell r="C1261" t="str">
            <v>C49SZX20210032JL</v>
          </cell>
          <cell r="D1261" t="str">
            <v>捷舜诚</v>
          </cell>
          <cell r="E1261" t="str">
            <v>YSM20R-2</v>
          </cell>
          <cell r="F1261" t="str">
            <v>#71843</v>
          </cell>
          <cell r="G1261" t="e">
            <v>#REF!</v>
          </cell>
          <cell r="H1261" t="e">
            <v>#REF!</v>
          </cell>
          <cell r="I1261" t="str">
            <v>L-&gt;R</v>
          </cell>
          <cell r="J1261" t="str">
            <v>MVC</v>
          </cell>
          <cell r="K1261">
            <v>1</v>
          </cell>
          <cell r="L1261">
            <v>110132</v>
          </cell>
          <cell r="M1261" t="str">
            <v>FEB 21</v>
          </cell>
          <cell r="R1261" t="str">
            <v>No</v>
          </cell>
          <cell r="S1261" t="str">
            <v>C49</v>
          </cell>
          <cell r="T1261" t="str">
            <v>SOUTH</v>
          </cell>
          <cell r="U1261" t="str">
            <v>深圳</v>
          </cell>
          <cell r="V1261" t="str">
            <v>SZ 深圳</v>
          </cell>
          <cell r="W1261" t="str">
            <v>JL</v>
          </cell>
          <cell r="X1261" t="str">
            <v>JPY</v>
          </cell>
          <cell r="Y1261">
            <v>11570000</v>
          </cell>
          <cell r="Z1261">
            <v>1</v>
          </cell>
          <cell r="AA1261">
            <v>11570000</v>
          </cell>
          <cell r="AB1261">
            <v>7.6799999999999993E-2</v>
          </cell>
          <cell r="AC1261">
            <v>888575.99999999988</v>
          </cell>
          <cell r="AD1261">
            <v>106629.11999999998</v>
          </cell>
          <cell r="AE1261">
            <v>0.12</v>
          </cell>
          <cell r="AF1261">
            <v>44225</v>
          </cell>
          <cell r="AG1261" t="str">
            <v>DAP SZ</v>
          </cell>
          <cell r="AK1261">
            <v>0.1</v>
          </cell>
          <cell r="AL1261">
            <v>1157000</v>
          </cell>
          <cell r="AM1261">
            <v>44234</v>
          </cell>
          <cell r="AN1261" t="str">
            <v>Yes</v>
          </cell>
          <cell r="AO1261">
            <v>0.9</v>
          </cell>
          <cell r="AP1261">
            <v>10413000</v>
          </cell>
          <cell r="AQ1261">
            <v>44264</v>
          </cell>
          <cell r="AR1261">
            <v>44264</v>
          </cell>
          <cell r="AS1261">
            <v>0</v>
          </cell>
          <cell r="AT1261">
            <v>0</v>
          </cell>
          <cell r="AX1261" t="str">
            <v>Yes</v>
          </cell>
          <cell r="AZ1261" t="str">
            <v>Y</v>
          </cell>
          <cell r="BA1261" t="str">
            <v>Yes</v>
          </cell>
        </row>
        <row r="1262">
          <cell r="B1262">
            <v>1112</v>
          </cell>
          <cell r="C1262" t="str">
            <v>C49SZX20210032JL</v>
          </cell>
          <cell r="D1262" t="str">
            <v>捷舜诚</v>
          </cell>
          <cell r="E1262" t="str">
            <v>YSM20R-2</v>
          </cell>
          <cell r="F1262" t="str">
            <v>#71843</v>
          </cell>
          <cell r="G1262" t="e">
            <v>#REF!</v>
          </cell>
          <cell r="H1262" t="e">
            <v>#REF!</v>
          </cell>
          <cell r="I1262" t="str">
            <v>L-&gt;R</v>
          </cell>
          <cell r="J1262" t="str">
            <v>MVC</v>
          </cell>
          <cell r="K1262">
            <v>1</v>
          </cell>
          <cell r="L1262">
            <v>110152</v>
          </cell>
          <cell r="M1262" t="str">
            <v>MAR 21</v>
          </cell>
          <cell r="R1262" t="str">
            <v>No</v>
          </cell>
          <cell r="S1262" t="str">
            <v>C49</v>
          </cell>
          <cell r="T1262" t="str">
            <v>SOUTH</v>
          </cell>
          <cell r="U1262" t="str">
            <v>深圳</v>
          </cell>
          <cell r="V1262" t="str">
            <v>SZ 深圳</v>
          </cell>
          <cell r="W1262" t="str">
            <v>JL</v>
          </cell>
          <cell r="X1262" t="str">
            <v>JPY</v>
          </cell>
          <cell r="Y1262">
            <v>11570000</v>
          </cell>
          <cell r="Z1262">
            <v>1</v>
          </cell>
          <cell r="AA1262">
            <v>11570000</v>
          </cell>
          <cell r="AB1262">
            <v>7.6799999999999993E-2</v>
          </cell>
          <cell r="AC1262">
            <v>888575.99999999988</v>
          </cell>
          <cell r="AD1262">
            <v>106629.11999999998</v>
          </cell>
          <cell r="AE1262">
            <v>0.12</v>
          </cell>
          <cell r="AF1262">
            <v>44225</v>
          </cell>
          <cell r="AG1262" t="str">
            <v>DAP SZ</v>
          </cell>
          <cell r="AK1262">
            <v>0.1</v>
          </cell>
          <cell r="AL1262">
            <v>1157000</v>
          </cell>
          <cell r="AM1262">
            <v>44234</v>
          </cell>
          <cell r="AN1262" t="str">
            <v>Yes</v>
          </cell>
          <cell r="AO1262">
            <v>0.9</v>
          </cell>
          <cell r="AP1262">
            <v>10413000</v>
          </cell>
          <cell r="AQ1262">
            <v>44264</v>
          </cell>
          <cell r="AR1262">
            <v>44264</v>
          </cell>
          <cell r="AS1262">
            <v>0</v>
          </cell>
          <cell r="AT1262">
            <v>0</v>
          </cell>
          <cell r="AX1262" t="str">
            <v>Yes</v>
          </cell>
          <cell r="AZ1262" t="str">
            <v>Y</v>
          </cell>
          <cell r="BA1262" t="str">
            <v>Yes</v>
          </cell>
        </row>
        <row r="1263">
          <cell r="B1263">
            <v>1113</v>
          </cell>
          <cell r="C1263" t="str">
            <v>C49SZX20210032JL</v>
          </cell>
          <cell r="D1263" t="str">
            <v>捷舜诚</v>
          </cell>
          <cell r="E1263" t="str">
            <v>YSM20R-2</v>
          </cell>
          <cell r="F1263" t="str">
            <v>#71843</v>
          </cell>
          <cell r="G1263" t="e">
            <v>#REF!</v>
          </cell>
          <cell r="H1263" t="e">
            <v>#REF!</v>
          </cell>
          <cell r="I1263" t="str">
            <v>L-&gt;R</v>
          </cell>
          <cell r="J1263" t="str">
            <v>MVC</v>
          </cell>
          <cell r="K1263">
            <v>1</v>
          </cell>
          <cell r="L1263">
            <v>110152</v>
          </cell>
          <cell r="M1263" t="str">
            <v>MAR 21</v>
          </cell>
          <cell r="R1263" t="str">
            <v>No</v>
          </cell>
          <cell r="S1263" t="str">
            <v>C49</v>
          </cell>
          <cell r="T1263" t="str">
            <v>SOUTH</v>
          </cell>
          <cell r="U1263" t="str">
            <v>深圳</v>
          </cell>
          <cell r="V1263" t="str">
            <v>SZ 深圳</v>
          </cell>
          <cell r="W1263" t="str">
            <v>JL</v>
          </cell>
          <cell r="X1263" t="str">
            <v>JPY</v>
          </cell>
          <cell r="Y1263">
            <v>11570000</v>
          </cell>
          <cell r="Z1263">
            <v>1</v>
          </cell>
          <cell r="AA1263">
            <v>11570000</v>
          </cell>
          <cell r="AB1263">
            <v>7.6799999999999993E-2</v>
          </cell>
          <cell r="AC1263">
            <v>888575.99999999988</v>
          </cell>
          <cell r="AD1263">
            <v>106629.11999999998</v>
          </cell>
          <cell r="AE1263">
            <v>0.12</v>
          </cell>
          <cell r="AF1263">
            <v>44225</v>
          </cell>
          <cell r="AG1263" t="str">
            <v>DAP SZ</v>
          </cell>
          <cell r="AK1263">
            <v>0.1</v>
          </cell>
          <cell r="AL1263">
            <v>1157000</v>
          </cell>
          <cell r="AM1263">
            <v>44234</v>
          </cell>
          <cell r="AN1263" t="str">
            <v>Yes</v>
          </cell>
          <cell r="AO1263">
            <v>0.9</v>
          </cell>
          <cell r="AP1263">
            <v>10413000</v>
          </cell>
          <cell r="AQ1263">
            <v>44264</v>
          </cell>
          <cell r="AR1263">
            <v>44264</v>
          </cell>
          <cell r="AS1263">
            <v>0</v>
          </cell>
          <cell r="AT1263">
            <v>0</v>
          </cell>
          <cell r="AX1263" t="str">
            <v>Yes</v>
          </cell>
          <cell r="AZ1263" t="str">
            <v>Y</v>
          </cell>
          <cell r="BA1263" t="str">
            <v>Yes</v>
          </cell>
        </row>
        <row r="1264">
          <cell r="B1264">
            <v>1114</v>
          </cell>
          <cell r="C1264" t="str">
            <v>C49SZX20210032JL</v>
          </cell>
          <cell r="D1264" t="str">
            <v>捷舜诚</v>
          </cell>
          <cell r="E1264" t="str">
            <v>YSM10</v>
          </cell>
          <cell r="F1264" t="str">
            <v>#71843</v>
          </cell>
          <cell r="G1264" t="e">
            <v>#REF!</v>
          </cell>
          <cell r="H1264" t="e">
            <v>#REF!</v>
          </cell>
          <cell r="I1264" t="str">
            <v>L-&gt;R</v>
          </cell>
          <cell r="J1264" t="str">
            <v>MVC</v>
          </cell>
          <cell r="K1264">
            <v>1</v>
          </cell>
          <cell r="L1264" t="str">
            <v>110096（拆单110241）</v>
          </cell>
          <cell r="M1264" t="str">
            <v>FEB 21</v>
          </cell>
          <cell r="R1264" t="str">
            <v>No</v>
          </cell>
          <cell r="S1264" t="str">
            <v>C49</v>
          </cell>
          <cell r="T1264" t="str">
            <v>SOUTH</v>
          </cell>
          <cell r="U1264" t="str">
            <v>深圳</v>
          </cell>
          <cell r="V1264" t="str">
            <v>SZ 深圳</v>
          </cell>
          <cell r="W1264" t="str">
            <v>JL</v>
          </cell>
          <cell r="X1264" t="str">
            <v>JPY</v>
          </cell>
          <cell r="Y1264">
            <v>8150000</v>
          </cell>
          <cell r="Z1264">
            <v>1</v>
          </cell>
          <cell r="AA1264">
            <v>8150000</v>
          </cell>
          <cell r="AB1264">
            <v>7.6799999999999993E-2</v>
          </cell>
          <cell r="AC1264">
            <v>625920</v>
          </cell>
          <cell r="AD1264">
            <v>75110.399999999994</v>
          </cell>
          <cell r="AE1264">
            <v>0.12</v>
          </cell>
          <cell r="AF1264">
            <v>44225</v>
          </cell>
          <cell r="AG1264" t="str">
            <v>DAP SZ</v>
          </cell>
          <cell r="AK1264">
            <v>0.1</v>
          </cell>
          <cell r="AL1264">
            <v>815000</v>
          </cell>
          <cell r="AM1264">
            <v>44234</v>
          </cell>
          <cell r="AN1264" t="str">
            <v>Yes</v>
          </cell>
          <cell r="AO1264">
            <v>0.9</v>
          </cell>
          <cell r="AP1264">
            <v>7335000</v>
          </cell>
          <cell r="AQ1264">
            <v>44264</v>
          </cell>
          <cell r="AR1264">
            <v>44264</v>
          </cell>
          <cell r="AS1264">
            <v>0</v>
          </cell>
          <cell r="AT1264">
            <v>0</v>
          </cell>
          <cell r="AX1264" t="str">
            <v>Yes</v>
          </cell>
          <cell r="AZ1264" t="str">
            <v>Y</v>
          </cell>
          <cell r="BA1264" t="str">
            <v>Yes</v>
          </cell>
        </row>
        <row r="1265">
          <cell r="B1265">
            <v>1115</v>
          </cell>
          <cell r="C1265" t="str">
            <v>C49SZX20210033JL</v>
          </cell>
          <cell r="D1265" t="str">
            <v>捷舜诚</v>
          </cell>
          <cell r="E1265" t="str">
            <v>YSM20R-2</v>
          </cell>
          <cell r="F1265" t="str">
            <v>#71843</v>
          </cell>
          <cell r="G1265" t="e">
            <v>#REF!</v>
          </cell>
          <cell r="H1265" t="e">
            <v>#REF!</v>
          </cell>
          <cell r="I1265" t="str">
            <v>L-&gt;R</v>
          </cell>
          <cell r="J1265" t="str">
            <v>MVC</v>
          </cell>
          <cell r="K1265">
            <v>1</v>
          </cell>
          <cell r="L1265" t="e">
            <v>#N/A</v>
          </cell>
          <cell r="M1265" t="e">
            <v>#N/A</v>
          </cell>
          <cell r="N1265"/>
          <cell r="O1265"/>
          <cell r="P1265"/>
          <cell r="Q1265"/>
          <cell r="R1265" t="str">
            <v>No</v>
          </cell>
          <cell r="S1265" t="str">
            <v>C49</v>
          </cell>
          <cell r="T1265" t="str">
            <v>SOUTH</v>
          </cell>
          <cell r="U1265" t="str">
            <v>深圳</v>
          </cell>
          <cell r="V1265" t="str">
            <v>SZ 深圳</v>
          </cell>
          <cell r="W1265" t="str">
            <v>JL</v>
          </cell>
          <cell r="X1265" t="str">
            <v>JPY</v>
          </cell>
          <cell r="Y1265">
            <v>11570000</v>
          </cell>
          <cell r="Z1265">
            <v>1</v>
          </cell>
          <cell r="AA1265">
            <v>11570000</v>
          </cell>
          <cell r="AB1265">
            <v>7.6799999999999993E-2</v>
          </cell>
          <cell r="AC1265">
            <v>888575.99999999988</v>
          </cell>
          <cell r="AD1265">
            <v>106629.11999999998</v>
          </cell>
          <cell r="AE1265">
            <v>0.12</v>
          </cell>
          <cell r="AF1265">
            <v>44225</v>
          </cell>
          <cell r="AG1265" t="str">
            <v>DAP SZ</v>
          </cell>
          <cell r="AI1265"/>
          <cell r="AJ1265"/>
          <cell r="AK1265">
            <v>0.1</v>
          </cell>
          <cell r="AL1265">
            <v>1157000</v>
          </cell>
          <cell r="AM1265">
            <v>44258</v>
          </cell>
          <cell r="AN1265" t="str">
            <v>Yes</v>
          </cell>
          <cell r="AO1265">
            <v>0.9</v>
          </cell>
          <cell r="AP1265">
            <v>10413000</v>
          </cell>
          <cell r="AQ1265"/>
          <cell r="AR1265"/>
          <cell r="AS1265">
            <v>0</v>
          </cell>
          <cell r="AT1265">
            <v>0</v>
          </cell>
          <cell r="AV1265"/>
          <cell r="AX1265" t="str">
            <v>Cancel</v>
          </cell>
          <cell r="AY1265"/>
          <cell r="AZ1265"/>
          <cell r="BA1265" t="str">
            <v>Cancel</v>
          </cell>
          <cell r="BB1265" t="str">
            <v>2022/3/25 Ken邮件通知</v>
          </cell>
        </row>
        <row r="1266">
          <cell r="B1266">
            <v>1116</v>
          </cell>
          <cell r="C1266" t="str">
            <v>C49SZX20210033JL</v>
          </cell>
          <cell r="D1266" t="str">
            <v>捷舜诚</v>
          </cell>
          <cell r="E1266" t="str">
            <v>YSM20R-2</v>
          </cell>
          <cell r="F1266" t="str">
            <v>#71843</v>
          </cell>
          <cell r="G1266" t="e">
            <v>#REF!</v>
          </cell>
          <cell r="H1266" t="e">
            <v>#REF!</v>
          </cell>
          <cell r="I1266" t="str">
            <v>L-&gt;R</v>
          </cell>
          <cell r="J1266" t="str">
            <v>MVC</v>
          </cell>
          <cell r="K1266">
            <v>1</v>
          </cell>
          <cell r="L1266" t="e">
            <v>#N/A</v>
          </cell>
          <cell r="M1266" t="e">
            <v>#N/A</v>
          </cell>
          <cell r="N1266"/>
          <cell r="O1266"/>
          <cell r="P1266"/>
          <cell r="Q1266"/>
          <cell r="R1266" t="str">
            <v>No</v>
          </cell>
          <cell r="S1266" t="str">
            <v>C49</v>
          </cell>
          <cell r="T1266" t="str">
            <v>SOUTH</v>
          </cell>
          <cell r="U1266" t="str">
            <v>深圳</v>
          </cell>
          <cell r="V1266" t="str">
            <v>SZ 深圳</v>
          </cell>
          <cell r="W1266" t="str">
            <v>JL</v>
          </cell>
          <cell r="X1266" t="str">
            <v>JPY</v>
          </cell>
          <cell r="Y1266">
            <v>11570000</v>
          </cell>
          <cell r="Z1266">
            <v>1</v>
          </cell>
          <cell r="AA1266">
            <v>11570000</v>
          </cell>
          <cell r="AB1266">
            <v>7.6799999999999993E-2</v>
          </cell>
          <cell r="AC1266">
            <v>888575.99999999988</v>
          </cell>
          <cell r="AD1266">
            <v>106629.11999999998</v>
          </cell>
          <cell r="AE1266">
            <v>0.12</v>
          </cell>
          <cell r="AF1266">
            <v>44225</v>
          </cell>
          <cell r="AG1266" t="str">
            <v>DAP SZ</v>
          </cell>
          <cell r="AI1266"/>
          <cell r="AJ1266"/>
          <cell r="AK1266">
            <v>0.1</v>
          </cell>
          <cell r="AL1266">
            <v>1157000</v>
          </cell>
          <cell r="AM1266">
            <v>44258</v>
          </cell>
          <cell r="AN1266" t="str">
            <v>Yes</v>
          </cell>
          <cell r="AO1266">
            <v>0.9</v>
          </cell>
          <cell r="AP1266">
            <v>10413000</v>
          </cell>
          <cell r="AQ1266"/>
          <cell r="AR1266"/>
          <cell r="AS1266">
            <v>0</v>
          </cell>
          <cell r="AT1266">
            <v>0</v>
          </cell>
          <cell r="AV1266"/>
          <cell r="AX1266" t="str">
            <v>Cancel</v>
          </cell>
          <cell r="AY1266"/>
          <cell r="AZ1266"/>
          <cell r="BA1266" t="str">
            <v>Cancel</v>
          </cell>
          <cell r="BB1266" t="str">
            <v>2022/3/25 Ken邮件通知</v>
          </cell>
        </row>
        <row r="1267">
          <cell r="B1267">
            <v>1117</v>
          </cell>
          <cell r="C1267" t="str">
            <v>C49SZX20210033JL</v>
          </cell>
          <cell r="D1267" t="str">
            <v>捷舜诚</v>
          </cell>
          <cell r="E1267" t="str">
            <v>YSM20R-2</v>
          </cell>
          <cell r="F1267" t="str">
            <v>#71843</v>
          </cell>
          <cell r="G1267" t="e">
            <v>#REF!</v>
          </cell>
          <cell r="H1267" t="e">
            <v>#REF!</v>
          </cell>
          <cell r="I1267" t="str">
            <v>L-&gt;R</v>
          </cell>
          <cell r="J1267" t="str">
            <v>MVC</v>
          </cell>
          <cell r="K1267">
            <v>1</v>
          </cell>
          <cell r="L1267" t="e">
            <v>#N/A</v>
          </cell>
          <cell r="M1267" t="e">
            <v>#N/A</v>
          </cell>
          <cell r="N1267"/>
          <cell r="O1267"/>
          <cell r="P1267"/>
          <cell r="Q1267"/>
          <cell r="R1267" t="str">
            <v>No</v>
          </cell>
          <cell r="S1267" t="str">
            <v>C49</v>
          </cell>
          <cell r="T1267" t="str">
            <v>SOUTH</v>
          </cell>
          <cell r="U1267" t="str">
            <v>深圳</v>
          </cell>
          <cell r="V1267" t="str">
            <v>SZ 深圳</v>
          </cell>
          <cell r="W1267" t="str">
            <v>JL</v>
          </cell>
          <cell r="X1267" t="str">
            <v>JPY</v>
          </cell>
          <cell r="Y1267">
            <v>11570000</v>
          </cell>
          <cell r="Z1267">
            <v>1</v>
          </cell>
          <cell r="AA1267">
            <v>11570000</v>
          </cell>
          <cell r="AB1267">
            <v>7.6799999999999993E-2</v>
          </cell>
          <cell r="AC1267">
            <v>888575.99999999988</v>
          </cell>
          <cell r="AD1267">
            <v>106629.11999999998</v>
          </cell>
          <cell r="AE1267">
            <v>0.12</v>
          </cell>
          <cell r="AF1267">
            <v>44225</v>
          </cell>
          <cell r="AG1267" t="str">
            <v>DAP SZ</v>
          </cell>
          <cell r="AI1267"/>
          <cell r="AJ1267"/>
          <cell r="AK1267">
            <v>0.1</v>
          </cell>
          <cell r="AL1267">
            <v>1157000</v>
          </cell>
          <cell r="AM1267">
            <v>44258</v>
          </cell>
          <cell r="AN1267" t="str">
            <v>Yes</v>
          </cell>
          <cell r="AO1267">
            <v>0.9</v>
          </cell>
          <cell r="AP1267">
            <v>10413000</v>
          </cell>
          <cell r="AQ1267"/>
          <cell r="AR1267"/>
          <cell r="AS1267">
            <v>0</v>
          </cell>
          <cell r="AT1267">
            <v>0</v>
          </cell>
          <cell r="AV1267"/>
          <cell r="AX1267" t="str">
            <v>Cancel</v>
          </cell>
          <cell r="AY1267"/>
          <cell r="AZ1267"/>
          <cell r="BA1267" t="str">
            <v>Cancel</v>
          </cell>
          <cell r="BB1267" t="str">
            <v>2022/3/25 Ken邮件通知</v>
          </cell>
        </row>
        <row r="1268">
          <cell r="B1268">
            <v>1118</v>
          </cell>
          <cell r="C1268" t="str">
            <v>C49SZX20210033JL</v>
          </cell>
          <cell r="D1268" t="str">
            <v>捷舜诚</v>
          </cell>
          <cell r="E1268" t="str">
            <v>YSM10</v>
          </cell>
          <cell r="F1268" t="str">
            <v>#71843</v>
          </cell>
          <cell r="G1268" t="e">
            <v>#REF!</v>
          </cell>
          <cell r="H1268" t="e">
            <v>#REF!</v>
          </cell>
          <cell r="I1268" t="str">
            <v>L-&gt;R</v>
          </cell>
          <cell r="J1268" t="str">
            <v>MVC</v>
          </cell>
          <cell r="K1268">
            <v>1</v>
          </cell>
          <cell r="L1268" t="e">
            <v>#N/A</v>
          </cell>
          <cell r="M1268" t="e">
            <v>#N/A</v>
          </cell>
          <cell r="N1268"/>
          <cell r="O1268"/>
          <cell r="P1268"/>
          <cell r="Q1268"/>
          <cell r="R1268" t="str">
            <v>No</v>
          </cell>
          <cell r="S1268" t="str">
            <v>C49</v>
          </cell>
          <cell r="T1268" t="str">
            <v>SOUTH</v>
          </cell>
          <cell r="U1268" t="str">
            <v>深圳</v>
          </cell>
          <cell r="V1268" t="str">
            <v>SZ 深圳</v>
          </cell>
          <cell r="W1268" t="str">
            <v>JL</v>
          </cell>
          <cell r="X1268" t="str">
            <v>JPY</v>
          </cell>
          <cell r="Y1268">
            <v>8150000</v>
          </cell>
          <cell r="Z1268">
            <v>1</v>
          </cell>
          <cell r="AA1268">
            <v>8150000</v>
          </cell>
          <cell r="AB1268">
            <v>7.6799999999999993E-2</v>
          </cell>
          <cell r="AC1268">
            <v>625920</v>
          </cell>
          <cell r="AD1268">
            <v>75110.399999999994</v>
          </cell>
          <cell r="AE1268">
            <v>0.12</v>
          </cell>
          <cell r="AF1268">
            <v>44225</v>
          </cell>
          <cell r="AG1268" t="str">
            <v>DAP SZ</v>
          </cell>
          <cell r="AI1268"/>
          <cell r="AJ1268"/>
          <cell r="AK1268">
            <v>0.1</v>
          </cell>
          <cell r="AL1268">
            <v>815000</v>
          </cell>
          <cell r="AM1268">
            <v>44258</v>
          </cell>
          <cell r="AN1268" t="str">
            <v>No</v>
          </cell>
          <cell r="AO1268">
            <v>0.9</v>
          </cell>
          <cell r="AP1268">
            <v>7335000</v>
          </cell>
          <cell r="AQ1268"/>
          <cell r="AR1268"/>
          <cell r="AS1268">
            <v>0</v>
          </cell>
          <cell r="AT1268">
            <v>0</v>
          </cell>
          <cell r="AV1268"/>
          <cell r="AX1268" t="str">
            <v>Cancel</v>
          </cell>
          <cell r="AY1268"/>
          <cell r="AZ1268"/>
          <cell r="BA1268" t="str">
            <v>Cancel</v>
          </cell>
          <cell r="BB1268" t="str">
            <v>2022/10/10 Ken微信通知Anna删除</v>
          </cell>
        </row>
        <row r="1269">
          <cell r="B1269">
            <v>1119</v>
          </cell>
          <cell r="C1269" t="str">
            <v>C49SZX20210011JY</v>
          </cell>
          <cell r="D1269" t="str">
            <v>英拓邦</v>
          </cell>
          <cell r="E1269" t="str">
            <v>YSM20R-2</v>
          </cell>
          <cell r="F1269" t="str">
            <v>#05493</v>
          </cell>
          <cell r="G1269" t="e">
            <v>#REF!</v>
          </cell>
          <cell r="H1269" t="e">
            <v>#REF!</v>
          </cell>
          <cell r="I1269" t="str">
            <v>R-&gt;L</v>
          </cell>
          <cell r="J1269" t="str">
            <v>No</v>
          </cell>
          <cell r="K1269">
            <v>1</v>
          </cell>
          <cell r="L1269" t="str">
            <v>110287（拆单110276）</v>
          </cell>
          <cell r="M1269" t="str">
            <v>MAR 21</v>
          </cell>
          <cell r="N1269">
            <v>44273</v>
          </cell>
          <cell r="O1269">
            <v>11116541</v>
          </cell>
          <cell r="P1269">
            <v>13450000</v>
          </cell>
          <cell r="Q1269">
            <v>44279</v>
          </cell>
          <cell r="R1269" t="str">
            <v>No</v>
          </cell>
          <cell r="S1269" t="str">
            <v>C49</v>
          </cell>
          <cell r="T1269" t="str">
            <v>SOUTH</v>
          </cell>
          <cell r="U1269" t="str">
            <v>深圳</v>
          </cell>
          <cell r="V1269" t="str">
            <v>SZ 深圳</v>
          </cell>
          <cell r="W1269" t="str">
            <v>JY</v>
          </cell>
          <cell r="X1269" t="str">
            <v>JPY</v>
          </cell>
          <cell r="Y1269">
            <v>13450000</v>
          </cell>
          <cell r="Z1269">
            <v>1</v>
          </cell>
          <cell r="AA1269">
            <v>13450000</v>
          </cell>
          <cell r="AB1269">
            <v>7.6799999999999993E-2</v>
          </cell>
          <cell r="AC1269">
            <v>1032959.9999999999</v>
          </cell>
          <cell r="AD1269">
            <v>123955.19999999998</v>
          </cell>
          <cell r="AE1269">
            <v>0.12</v>
          </cell>
          <cell r="AF1269">
            <v>44222</v>
          </cell>
          <cell r="AG1269" t="str">
            <v>CIF HK</v>
          </cell>
          <cell r="AK1269">
            <v>0.1</v>
          </cell>
          <cell r="AL1269">
            <v>1345000</v>
          </cell>
          <cell r="AM1269">
            <v>44228</v>
          </cell>
          <cell r="AN1269" t="str">
            <v>Yes</v>
          </cell>
          <cell r="AO1269">
            <v>0.9</v>
          </cell>
          <cell r="AP1269">
            <v>12105000</v>
          </cell>
          <cell r="AQ1269">
            <v>44273</v>
          </cell>
          <cell r="AR1269">
            <v>44273</v>
          </cell>
          <cell r="AS1269">
            <v>0</v>
          </cell>
          <cell r="AT1269">
            <v>0</v>
          </cell>
          <cell r="AX1269" t="str">
            <v>Yes</v>
          </cell>
          <cell r="AZ1269" t="str">
            <v>Y</v>
          </cell>
          <cell r="BA1269" t="str">
            <v>Yes</v>
          </cell>
        </row>
        <row r="1270">
          <cell r="B1270">
            <v>1120</v>
          </cell>
          <cell r="C1270" t="str">
            <v>C49SZX20210011JY</v>
          </cell>
          <cell r="D1270" t="str">
            <v>英拓邦</v>
          </cell>
          <cell r="E1270" t="str">
            <v>YSM20R-2</v>
          </cell>
          <cell r="F1270" t="str">
            <v>#05493</v>
          </cell>
          <cell r="G1270" t="e">
            <v>#REF!</v>
          </cell>
          <cell r="H1270" t="e">
            <v>#REF!</v>
          </cell>
          <cell r="I1270" t="str">
            <v>R-&gt;L</v>
          </cell>
          <cell r="J1270" t="str">
            <v>No</v>
          </cell>
          <cell r="K1270">
            <v>1</v>
          </cell>
          <cell r="L1270">
            <v>110176</v>
          </cell>
          <cell r="M1270" t="str">
            <v>MAR 21</v>
          </cell>
          <cell r="N1270">
            <v>44273</v>
          </cell>
          <cell r="O1270">
            <v>11116541</v>
          </cell>
          <cell r="P1270">
            <v>13450000</v>
          </cell>
          <cell r="Q1270">
            <v>44279</v>
          </cell>
          <cell r="R1270" t="str">
            <v>No</v>
          </cell>
          <cell r="S1270" t="str">
            <v>C49</v>
          </cell>
          <cell r="T1270" t="str">
            <v>SOUTH</v>
          </cell>
          <cell r="U1270" t="str">
            <v>深圳</v>
          </cell>
          <cell r="V1270" t="str">
            <v>SZ 深圳</v>
          </cell>
          <cell r="W1270" t="str">
            <v>JY</v>
          </cell>
          <cell r="X1270" t="str">
            <v>JPY</v>
          </cell>
          <cell r="Y1270">
            <v>13450000</v>
          </cell>
          <cell r="Z1270">
            <v>1</v>
          </cell>
          <cell r="AA1270">
            <v>13450000</v>
          </cell>
          <cell r="AB1270">
            <v>7.6799999999999993E-2</v>
          </cell>
          <cell r="AC1270">
            <v>1032959.9999999999</v>
          </cell>
          <cell r="AD1270">
            <v>123955.19999999998</v>
          </cell>
          <cell r="AE1270">
            <v>0.12</v>
          </cell>
          <cell r="AF1270">
            <v>44222</v>
          </cell>
          <cell r="AG1270" t="str">
            <v>CIF HK</v>
          </cell>
          <cell r="AK1270">
            <v>0.1</v>
          </cell>
          <cell r="AL1270">
            <v>1345000</v>
          </cell>
          <cell r="AM1270">
            <v>44229</v>
          </cell>
          <cell r="AN1270" t="str">
            <v>Yes</v>
          </cell>
          <cell r="AO1270">
            <v>0.9</v>
          </cell>
          <cell r="AP1270">
            <v>12105000</v>
          </cell>
          <cell r="AQ1270">
            <v>44273</v>
          </cell>
          <cell r="AR1270">
            <v>44273</v>
          </cell>
          <cell r="AS1270">
            <v>0</v>
          </cell>
          <cell r="AT1270">
            <v>0</v>
          </cell>
          <cell r="AX1270" t="str">
            <v>Yes</v>
          </cell>
          <cell r="AZ1270" t="str">
            <v>Y</v>
          </cell>
          <cell r="BA1270" t="str">
            <v>Yes</v>
          </cell>
        </row>
        <row r="1271">
          <cell r="B1271">
            <v>1121</v>
          </cell>
          <cell r="C1271" t="str">
            <v>C49SZX20210011JY</v>
          </cell>
          <cell r="D1271" t="str">
            <v>英拓邦</v>
          </cell>
          <cell r="E1271" t="str">
            <v>YSM20R-2</v>
          </cell>
          <cell r="F1271" t="str">
            <v>#05493</v>
          </cell>
          <cell r="G1271" t="e">
            <v>#REF!</v>
          </cell>
          <cell r="H1271" t="e">
            <v>#REF!</v>
          </cell>
          <cell r="I1271" t="str">
            <v>L-&gt;R</v>
          </cell>
          <cell r="J1271" t="str">
            <v>MVC</v>
          </cell>
          <cell r="K1271">
            <v>1</v>
          </cell>
          <cell r="L1271">
            <v>110235</v>
          </cell>
          <cell r="M1271" t="str">
            <v>MAR 21</v>
          </cell>
          <cell r="N1271">
            <v>44273</v>
          </cell>
          <cell r="O1271">
            <v>11116541</v>
          </cell>
          <cell r="P1271">
            <v>13450000</v>
          </cell>
          <cell r="Q1271">
            <v>44279</v>
          </cell>
          <cell r="R1271" t="str">
            <v>No</v>
          </cell>
          <cell r="S1271" t="str">
            <v>C49</v>
          </cell>
          <cell r="T1271" t="str">
            <v>SOUTH</v>
          </cell>
          <cell r="U1271" t="str">
            <v>深圳</v>
          </cell>
          <cell r="V1271" t="str">
            <v>SZ 深圳</v>
          </cell>
          <cell r="W1271" t="str">
            <v>JY</v>
          </cell>
          <cell r="X1271" t="str">
            <v>JPY</v>
          </cell>
          <cell r="Y1271">
            <v>13450000</v>
          </cell>
          <cell r="Z1271">
            <v>1</v>
          </cell>
          <cell r="AA1271">
            <v>13450000</v>
          </cell>
          <cell r="AB1271">
            <v>7.6799999999999993E-2</v>
          </cell>
          <cell r="AC1271">
            <v>1032959.9999999999</v>
          </cell>
          <cell r="AD1271">
            <v>123955.19999999998</v>
          </cell>
          <cell r="AE1271">
            <v>0.12</v>
          </cell>
          <cell r="AF1271">
            <v>44222</v>
          </cell>
          <cell r="AG1271" t="str">
            <v>CIF HK</v>
          </cell>
          <cell r="AK1271">
            <v>0.1</v>
          </cell>
          <cell r="AL1271">
            <v>1345000</v>
          </cell>
          <cell r="AM1271">
            <v>44230</v>
          </cell>
          <cell r="AN1271" t="str">
            <v>Yes</v>
          </cell>
          <cell r="AO1271">
            <v>0.9</v>
          </cell>
          <cell r="AP1271">
            <v>12105000</v>
          </cell>
          <cell r="AQ1271">
            <v>44273</v>
          </cell>
          <cell r="AR1271">
            <v>44273</v>
          </cell>
          <cell r="AS1271">
            <v>0</v>
          </cell>
          <cell r="AT1271">
            <v>0</v>
          </cell>
          <cell r="AX1271" t="str">
            <v>Yes</v>
          </cell>
          <cell r="AZ1271" t="str">
            <v>Y</v>
          </cell>
          <cell r="BA1271" t="str">
            <v>Yes</v>
          </cell>
        </row>
        <row r="1272">
          <cell r="B1272">
            <v>1122</v>
          </cell>
          <cell r="C1272" t="str">
            <v>C49SZX20210011JY</v>
          </cell>
          <cell r="D1272" t="str">
            <v>英拓邦</v>
          </cell>
          <cell r="E1272" t="str">
            <v>YSM20R-2</v>
          </cell>
          <cell r="F1272" t="str">
            <v>#05493</v>
          </cell>
          <cell r="G1272" t="e">
            <v>#REF!</v>
          </cell>
          <cell r="H1272" t="e">
            <v>#REF!</v>
          </cell>
          <cell r="I1272" t="str">
            <v>L-&gt;R</v>
          </cell>
          <cell r="J1272" t="str">
            <v>No</v>
          </cell>
          <cell r="K1272">
            <v>1</v>
          </cell>
          <cell r="L1272">
            <v>110174</v>
          </cell>
          <cell r="M1272" t="str">
            <v>MAR 21</v>
          </cell>
          <cell r="N1272">
            <v>44273</v>
          </cell>
          <cell r="O1272">
            <v>11116541</v>
          </cell>
          <cell r="P1272">
            <v>13450000</v>
          </cell>
          <cell r="Q1272">
            <v>44279</v>
          </cell>
          <cell r="R1272" t="str">
            <v>No</v>
          </cell>
          <cell r="S1272" t="str">
            <v>C49</v>
          </cell>
          <cell r="T1272" t="str">
            <v>SOUTH</v>
          </cell>
          <cell r="U1272" t="str">
            <v>深圳</v>
          </cell>
          <cell r="V1272" t="str">
            <v>SZ 深圳</v>
          </cell>
          <cell r="W1272" t="str">
            <v>JY</v>
          </cell>
          <cell r="X1272" t="str">
            <v>JPY</v>
          </cell>
          <cell r="Y1272">
            <v>13450000</v>
          </cell>
          <cell r="Z1272">
            <v>1</v>
          </cell>
          <cell r="AA1272">
            <v>13450000</v>
          </cell>
          <cell r="AB1272">
            <v>7.6799999999999993E-2</v>
          </cell>
          <cell r="AC1272">
            <v>1032959.9999999999</v>
          </cell>
          <cell r="AD1272">
            <v>123955.19999999998</v>
          </cell>
          <cell r="AE1272">
            <v>0.12</v>
          </cell>
          <cell r="AF1272">
            <v>44222</v>
          </cell>
          <cell r="AG1272" t="str">
            <v>CIF HK</v>
          </cell>
          <cell r="AK1272">
            <v>0.1</v>
          </cell>
          <cell r="AL1272">
            <v>1345000</v>
          </cell>
          <cell r="AM1272">
            <v>44231</v>
          </cell>
          <cell r="AN1272" t="str">
            <v>Yes</v>
          </cell>
          <cell r="AO1272">
            <v>0.9</v>
          </cell>
          <cell r="AP1272">
            <v>12105000</v>
          </cell>
          <cell r="AQ1272">
            <v>44273</v>
          </cell>
          <cell r="AR1272">
            <v>44273</v>
          </cell>
          <cell r="AS1272">
            <v>0</v>
          </cell>
          <cell r="AT1272">
            <v>0</v>
          </cell>
          <cell r="AX1272" t="str">
            <v>Yes</v>
          </cell>
          <cell r="AZ1272" t="str">
            <v>Y</v>
          </cell>
          <cell r="BA1272" t="str">
            <v>Yes</v>
          </cell>
        </row>
        <row r="1273">
          <cell r="B1273">
            <v>1123</v>
          </cell>
          <cell r="C1273" t="str">
            <v>C49SZX20210011JY</v>
          </cell>
          <cell r="D1273" t="str">
            <v>英拓邦</v>
          </cell>
          <cell r="E1273" t="str">
            <v>YSM10</v>
          </cell>
          <cell r="F1273" t="str">
            <v>#05493</v>
          </cell>
          <cell r="G1273" t="e">
            <v>#REF!</v>
          </cell>
          <cell r="H1273" t="e">
            <v>#REF!</v>
          </cell>
          <cell r="I1273" t="str">
            <v>L-&gt;R</v>
          </cell>
          <cell r="J1273" t="str">
            <v>MVC</v>
          </cell>
          <cell r="K1273">
            <v>1</v>
          </cell>
          <cell r="L1273">
            <v>110131</v>
          </cell>
          <cell r="M1273" t="str">
            <v>MAR 21</v>
          </cell>
          <cell r="N1273">
            <v>44273</v>
          </cell>
          <cell r="O1273">
            <v>11116541</v>
          </cell>
          <cell r="P1273">
            <v>9000000</v>
          </cell>
          <cell r="Q1273">
            <v>44279</v>
          </cell>
          <cell r="R1273" t="str">
            <v>No</v>
          </cell>
          <cell r="S1273" t="str">
            <v>C49</v>
          </cell>
          <cell r="T1273" t="str">
            <v>SOUTH</v>
          </cell>
          <cell r="U1273" t="str">
            <v>深圳</v>
          </cell>
          <cell r="V1273" t="str">
            <v>SZ 深圳</v>
          </cell>
          <cell r="W1273" t="str">
            <v>JY</v>
          </cell>
          <cell r="X1273" t="str">
            <v>JPY</v>
          </cell>
          <cell r="Y1273">
            <v>9000000</v>
          </cell>
          <cell r="Z1273">
            <v>1</v>
          </cell>
          <cell r="AA1273">
            <v>9000000</v>
          </cell>
          <cell r="AB1273">
            <v>7.6799999999999993E-2</v>
          </cell>
          <cell r="AC1273">
            <v>691199.99999999988</v>
          </cell>
          <cell r="AD1273">
            <v>82943.999999999985</v>
          </cell>
          <cell r="AE1273">
            <v>0.12</v>
          </cell>
          <cell r="AF1273">
            <v>44222</v>
          </cell>
          <cell r="AG1273" t="str">
            <v>CIF HK</v>
          </cell>
          <cell r="AK1273">
            <v>0.1</v>
          </cell>
          <cell r="AL1273">
            <v>900000</v>
          </cell>
          <cell r="AM1273">
            <v>44232</v>
          </cell>
          <cell r="AN1273" t="str">
            <v>Yes</v>
          </cell>
          <cell r="AO1273">
            <v>0.9</v>
          </cell>
          <cell r="AP1273">
            <v>8100000</v>
          </cell>
          <cell r="AQ1273">
            <v>44273</v>
          </cell>
          <cell r="AR1273">
            <v>44273</v>
          </cell>
          <cell r="AS1273">
            <v>0</v>
          </cell>
          <cell r="AT1273">
            <v>0</v>
          </cell>
          <cell r="AX1273" t="str">
            <v>Yes</v>
          </cell>
          <cell r="AZ1273" t="str">
            <v>Y</v>
          </cell>
          <cell r="BA1273" t="str">
            <v>Yes</v>
          </cell>
        </row>
        <row r="1274">
          <cell r="B1274">
            <v>1124</v>
          </cell>
          <cell r="C1274" t="str">
            <v>C49SZX20210011JY</v>
          </cell>
          <cell r="D1274" t="str">
            <v>英拓邦</v>
          </cell>
          <cell r="E1274" t="str">
            <v>YSM10</v>
          </cell>
          <cell r="F1274" t="str">
            <v>#05493</v>
          </cell>
          <cell r="G1274" t="e">
            <v>#REF!</v>
          </cell>
          <cell r="H1274" t="e">
            <v>#REF!</v>
          </cell>
          <cell r="I1274" t="str">
            <v>R-&gt;L</v>
          </cell>
          <cell r="J1274" t="str">
            <v>MVC</v>
          </cell>
          <cell r="K1274">
            <v>1</v>
          </cell>
          <cell r="L1274">
            <v>110150</v>
          </cell>
          <cell r="M1274" t="str">
            <v>MAR 21</v>
          </cell>
          <cell r="N1274">
            <v>44273</v>
          </cell>
          <cell r="O1274">
            <v>11116541</v>
          </cell>
          <cell r="P1274">
            <v>9000000</v>
          </cell>
          <cell r="Q1274">
            <v>44279</v>
          </cell>
          <cell r="R1274" t="str">
            <v>No</v>
          </cell>
          <cell r="S1274" t="str">
            <v>C49</v>
          </cell>
          <cell r="T1274" t="str">
            <v>SOUTH</v>
          </cell>
          <cell r="U1274" t="str">
            <v>深圳</v>
          </cell>
          <cell r="V1274" t="str">
            <v>SZ 深圳</v>
          </cell>
          <cell r="W1274" t="str">
            <v>JY</v>
          </cell>
          <cell r="X1274" t="str">
            <v>JPY</v>
          </cell>
          <cell r="Y1274">
            <v>9000000</v>
          </cell>
          <cell r="Z1274">
            <v>1</v>
          </cell>
          <cell r="AA1274">
            <v>9000000</v>
          </cell>
          <cell r="AB1274">
            <v>7.6799999999999993E-2</v>
          </cell>
          <cell r="AC1274">
            <v>691199.99999999988</v>
          </cell>
          <cell r="AD1274">
            <v>82943.999999999985</v>
          </cell>
          <cell r="AE1274">
            <v>0.12</v>
          </cell>
          <cell r="AF1274">
            <v>44222</v>
          </cell>
          <cell r="AG1274" t="str">
            <v>CIF HK</v>
          </cell>
          <cell r="AK1274">
            <v>0.1</v>
          </cell>
          <cell r="AL1274">
            <v>900000</v>
          </cell>
          <cell r="AM1274">
            <v>44233</v>
          </cell>
          <cell r="AN1274" t="str">
            <v>Yes</v>
          </cell>
          <cell r="AO1274">
            <v>0.9</v>
          </cell>
          <cell r="AP1274">
            <v>8100000</v>
          </cell>
          <cell r="AQ1274">
            <v>44273</v>
          </cell>
          <cell r="AR1274">
            <v>44273</v>
          </cell>
          <cell r="AS1274">
            <v>0</v>
          </cell>
          <cell r="AT1274">
            <v>0</v>
          </cell>
          <cell r="AX1274" t="str">
            <v>Yes</v>
          </cell>
          <cell r="AZ1274" t="str">
            <v>Y</v>
          </cell>
          <cell r="BA1274" t="str">
            <v>Yes</v>
          </cell>
        </row>
        <row r="1275">
          <cell r="B1275">
            <v>1125</v>
          </cell>
          <cell r="C1275" t="str">
            <v>C49SZX20210011JY</v>
          </cell>
          <cell r="D1275" t="str">
            <v>英拓邦</v>
          </cell>
          <cell r="E1275" t="str">
            <v>YSM10</v>
          </cell>
          <cell r="F1275" t="str">
            <v>#05493</v>
          </cell>
          <cell r="G1275" t="e">
            <v>#REF!</v>
          </cell>
          <cell r="H1275" t="e">
            <v>#REF!</v>
          </cell>
          <cell r="I1275" t="str">
            <v>R-&gt;L</v>
          </cell>
          <cell r="J1275" t="str">
            <v>MVC</v>
          </cell>
          <cell r="K1275">
            <v>1</v>
          </cell>
          <cell r="L1275">
            <v>110150</v>
          </cell>
          <cell r="M1275" t="str">
            <v>MAR 21</v>
          </cell>
          <cell r="N1275">
            <v>44273</v>
          </cell>
          <cell r="O1275">
            <v>11116541</v>
          </cell>
          <cell r="P1275">
            <v>9000000</v>
          </cell>
          <cell r="Q1275">
            <v>44279</v>
          </cell>
          <cell r="R1275" t="str">
            <v>No</v>
          </cell>
          <cell r="S1275" t="str">
            <v>C49</v>
          </cell>
          <cell r="T1275" t="str">
            <v>SOUTH</v>
          </cell>
          <cell r="U1275" t="str">
            <v>深圳</v>
          </cell>
          <cell r="V1275" t="str">
            <v>SZ 深圳</v>
          </cell>
          <cell r="W1275" t="str">
            <v>JY</v>
          </cell>
          <cell r="X1275" t="str">
            <v>JPY</v>
          </cell>
          <cell r="Y1275">
            <v>9000000</v>
          </cell>
          <cell r="Z1275">
            <v>1</v>
          </cell>
          <cell r="AA1275">
            <v>9000000</v>
          </cell>
          <cell r="AB1275">
            <v>7.6799999999999993E-2</v>
          </cell>
          <cell r="AC1275">
            <v>691199.99999999988</v>
          </cell>
          <cell r="AD1275">
            <v>82943.999999999985</v>
          </cell>
          <cell r="AE1275">
            <v>0.12</v>
          </cell>
          <cell r="AF1275">
            <v>44222</v>
          </cell>
          <cell r="AG1275" t="str">
            <v>CIF HK</v>
          </cell>
          <cell r="AK1275">
            <v>0.1</v>
          </cell>
          <cell r="AL1275">
            <v>900000</v>
          </cell>
          <cell r="AM1275">
            <v>44234</v>
          </cell>
          <cell r="AN1275" t="str">
            <v>Yes</v>
          </cell>
          <cell r="AO1275">
            <v>0.9</v>
          </cell>
          <cell r="AP1275">
            <v>8100000</v>
          </cell>
          <cell r="AQ1275">
            <v>44273</v>
          </cell>
          <cell r="AR1275">
            <v>44273</v>
          </cell>
          <cell r="AS1275">
            <v>0</v>
          </cell>
          <cell r="AT1275">
            <v>0</v>
          </cell>
          <cell r="AX1275" t="str">
            <v>Yes</v>
          </cell>
          <cell r="AZ1275" t="str">
            <v>Y</v>
          </cell>
          <cell r="BA1275" t="str">
            <v>Yes</v>
          </cell>
        </row>
        <row r="1276">
          <cell r="B1276">
            <v>1126</v>
          </cell>
          <cell r="C1276" t="str">
            <v>C49SZX20210011JY</v>
          </cell>
          <cell r="D1276" t="str">
            <v>英拓邦</v>
          </cell>
          <cell r="E1276" t="str">
            <v>YSM10</v>
          </cell>
          <cell r="F1276" t="str">
            <v>#05493</v>
          </cell>
          <cell r="G1276" t="e">
            <v>#REF!</v>
          </cell>
          <cell r="H1276" t="e">
            <v>#REF!</v>
          </cell>
          <cell r="I1276" t="str">
            <v>R-&gt;L</v>
          </cell>
          <cell r="J1276" t="str">
            <v>MVC</v>
          </cell>
          <cell r="K1276">
            <v>1</v>
          </cell>
          <cell r="L1276">
            <v>110150</v>
          </cell>
          <cell r="M1276" t="str">
            <v>MAR 21</v>
          </cell>
          <cell r="N1276">
            <v>44273</v>
          </cell>
          <cell r="O1276">
            <v>11116541</v>
          </cell>
          <cell r="P1276">
            <v>9000000</v>
          </cell>
          <cell r="Q1276">
            <v>44279</v>
          </cell>
          <cell r="R1276" t="str">
            <v>No</v>
          </cell>
          <cell r="S1276" t="str">
            <v>C49</v>
          </cell>
          <cell r="T1276" t="str">
            <v>SOUTH</v>
          </cell>
          <cell r="U1276" t="str">
            <v>深圳</v>
          </cell>
          <cell r="V1276" t="str">
            <v>SZ 深圳</v>
          </cell>
          <cell r="W1276" t="str">
            <v>JY</v>
          </cell>
          <cell r="X1276" t="str">
            <v>JPY</v>
          </cell>
          <cell r="Y1276">
            <v>9000000</v>
          </cell>
          <cell r="Z1276">
            <v>1</v>
          </cell>
          <cell r="AA1276">
            <v>9000000</v>
          </cell>
          <cell r="AB1276">
            <v>7.6799999999999993E-2</v>
          </cell>
          <cell r="AC1276">
            <v>691199.99999999988</v>
          </cell>
          <cell r="AD1276">
            <v>82943.999999999985</v>
          </cell>
          <cell r="AE1276">
            <v>0.12</v>
          </cell>
          <cell r="AF1276">
            <v>44222</v>
          </cell>
          <cell r="AG1276" t="str">
            <v>CIF HK</v>
          </cell>
          <cell r="AK1276">
            <v>0.1</v>
          </cell>
          <cell r="AL1276">
            <v>900000</v>
          </cell>
          <cell r="AM1276">
            <v>44235</v>
          </cell>
          <cell r="AN1276" t="str">
            <v>Yes</v>
          </cell>
          <cell r="AO1276">
            <v>0.9</v>
          </cell>
          <cell r="AP1276">
            <v>8100000</v>
          </cell>
          <cell r="AQ1276">
            <v>44273</v>
          </cell>
          <cell r="AR1276">
            <v>44273</v>
          </cell>
          <cell r="AS1276">
            <v>0</v>
          </cell>
          <cell r="AT1276">
            <v>0</v>
          </cell>
          <cell r="AX1276" t="str">
            <v>Yes</v>
          </cell>
          <cell r="AZ1276" t="str">
            <v>Y</v>
          </cell>
          <cell r="BA1276" t="str">
            <v>Yes</v>
          </cell>
        </row>
        <row r="1277">
          <cell r="B1277">
            <v>1127</v>
          </cell>
          <cell r="C1277" t="str">
            <v>C28HKG2021013KC</v>
          </cell>
          <cell r="D1277" t="str">
            <v>嘉裕</v>
          </cell>
          <cell r="E1277" t="str">
            <v>YSi-V</v>
          </cell>
          <cell r="F1277" t="str">
            <v>#04342</v>
          </cell>
          <cell r="G1277" t="e">
            <v>#REF!</v>
          </cell>
          <cell r="H1277" t="e">
            <v>#REF!</v>
          </cell>
          <cell r="I1277" t="str">
            <v>L-&gt;R</v>
          </cell>
          <cell r="J1277" t="str">
            <v>No</v>
          </cell>
          <cell r="K1277">
            <v>1</v>
          </cell>
          <cell r="L1277">
            <v>110327</v>
          </cell>
          <cell r="M1277" t="str">
            <v>APR 21</v>
          </cell>
          <cell r="N1277">
            <v>44313</v>
          </cell>
          <cell r="O1277">
            <v>11116563</v>
          </cell>
          <cell r="P1277">
            <v>12780000</v>
          </cell>
          <cell r="Q1277">
            <v>44313</v>
          </cell>
          <cell r="R1277" t="str">
            <v>No</v>
          </cell>
          <cell r="S1277" t="str">
            <v>C28</v>
          </cell>
          <cell r="T1277" t="str">
            <v>SOUTH</v>
          </cell>
          <cell r="U1277" t="str">
            <v>香港</v>
          </cell>
          <cell r="V1277" t="str">
            <v>HK 香港</v>
          </cell>
          <cell r="W1277" t="str">
            <v>KC</v>
          </cell>
          <cell r="X1277" t="str">
            <v>JPY</v>
          </cell>
          <cell r="Y1277">
            <v>12780000</v>
          </cell>
          <cell r="Z1277">
            <v>1</v>
          </cell>
          <cell r="AA1277">
            <v>12780000</v>
          </cell>
          <cell r="AB1277">
            <v>7.6799999999999993E-2</v>
          </cell>
          <cell r="AC1277">
            <v>981503.99999999988</v>
          </cell>
          <cell r="AD1277">
            <v>117780.47999999998</v>
          </cell>
          <cell r="AE1277">
            <v>0.12</v>
          </cell>
          <cell r="AF1277">
            <v>44224</v>
          </cell>
          <cell r="AG1277" t="str">
            <v>CIF HK</v>
          </cell>
          <cell r="AK1277">
            <v>0.3</v>
          </cell>
          <cell r="AL1277">
            <v>3834000</v>
          </cell>
          <cell r="AM1277">
            <v>44228</v>
          </cell>
          <cell r="AN1277" t="str">
            <v>Yes</v>
          </cell>
          <cell r="AO1277">
            <v>0.7</v>
          </cell>
          <cell r="AP1277">
            <v>8946000</v>
          </cell>
          <cell r="AQ1277">
            <v>44309</v>
          </cell>
          <cell r="AR1277">
            <v>44309</v>
          </cell>
          <cell r="AS1277">
            <v>0</v>
          </cell>
          <cell r="AT1277">
            <v>0</v>
          </cell>
          <cell r="AX1277" t="str">
            <v>Yes</v>
          </cell>
          <cell r="AZ1277" t="str">
            <v>Y</v>
          </cell>
          <cell r="BA1277" t="str">
            <v>Yes</v>
          </cell>
        </row>
        <row r="1278">
          <cell r="B1278">
            <v>1128</v>
          </cell>
          <cell r="C1278" t="str">
            <v>C49SZX20210036JZ</v>
          </cell>
          <cell r="D1278" t="str">
            <v>恒泰创新</v>
          </cell>
          <cell r="E1278" t="str">
            <v>YSM20R-2</v>
          </cell>
          <cell r="F1278" t="str">
            <v>#03619</v>
          </cell>
          <cell r="G1278" t="e">
            <v>#REF!</v>
          </cell>
          <cell r="H1278" t="e">
            <v>#REF!</v>
          </cell>
          <cell r="I1278" t="str">
            <v>L-&gt;R</v>
          </cell>
          <cell r="J1278" t="str">
            <v>MVC</v>
          </cell>
          <cell r="K1278">
            <v>1</v>
          </cell>
          <cell r="L1278">
            <v>110175</v>
          </cell>
          <cell r="M1278" t="str">
            <v>APR 21</v>
          </cell>
          <cell r="N1278">
            <v>44306</v>
          </cell>
          <cell r="O1278">
            <v>11116559</v>
          </cell>
          <cell r="P1278">
            <v>14200000</v>
          </cell>
          <cell r="Q1278">
            <v>44287</v>
          </cell>
          <cell r="R1278" t="str">
            <v>No</v>
          </cell>
          <cell r="S1278" t="str">
            <v>C49</v>
          </cell>
          <cell r="T1278" t="str">
            <v>SOUTH</v>
          </cell>
          <cell r="U1278" t="str">
            <v>深圳</v>
          </cell>
          <cell r="V1278" t="str">
            <v>SZ 深圳</v>
          </cell>
          <cell r="W1278" t="str">
            <v>JZ</v>
          </cell>
          <cell r="X1278" t="str">
            <v>JPY</v>
          </cell>
          <cell r="Y1278">
            <v>14200000</v>
          </cell>
          <cell r="Z1278">
            <v>1</v>
          </cell>
          <cell r="AA1278">
            <v>14200000</v>
          </cell>
          <cell r="AB1278">
            <v>7.5700000000000003E-2</v>
          </cell>
          <cell r="AC1278">
            <v>1074940</v>
          </cell>
          <cell r="AD1278">
            <v>128992.79999999999</v>
          </cell>
          <cell r="AE1278">
            <v>0.12</v>
          </cell>
          <cell r="AF1278">
            <v>44229</v>
          </cell>
          <cell r="AG1278" t="str">
            <v>DAP SZ</v>
          </cell>
          <cell r="AK1278">
            <v>0.1</v>
          </cell>
          <cell r="AL1278">
            <v>1420000</v>
          </cell>
          <cell r="AM1278">
            <v>44231</v>
          </cell>
          <cell r="AN1278" t="str">
            <v>Yes</v>
          </cell>
          <cell r="AO1278">
            <v>0.9</v>
          </cell>
          <cell r="AP1278">
            <v>12780000</v>
          </cell>
          <cell r="AQ1278">
            <v>44302</v>
          </cell>
          <cell r="AR1278">
            <v>44302</v>
          </cell>
          <cell r="AS1278">
            <v>0</v>
          </cell>
          <cell r="AT1278">
            <v>0</v>
          </cell>
          <cell r="AX1278" t="str">
            <v>Yes</v>
          </cell>
          <cell r="AZ1278" t="str">
            <v>Y</v>
          </cell>
          <cell r="BA1278" t="str">
            <v>Yes</v>
          </cell>
        </row>
        <row r="1279">
          <cell r="B1279">
            <v>1129</v>
          </cell>
          <cell r="C1279" t="str">
            <v>C49SZX20210043AY</v>
          </cell>
          <cell r="D1279" t="str">
            <v>正宏兴</v>
          </cell>
          <cell r="E1279" t="str">
            <v>YSM10</v>
          </cell>
          <cell r="G1279" t="e">
            <v>#REF!</v>
          </cell>
          <cell r="H1279" t="e">
            <v>#REF!</v>
          </cell>
          <cell r="I1279" t="str">
            <v>L-&gt;R</v>
          </cell>
          <cell r="J1279" t="str">
            <v>MVC</v>
          </cell>
          <cell r="K1279">
            <v>1</v>
          </cell>
          <cell r="L1279">
            <v>0</v>
          </cell>
          <cell r="M1279">
            <v>0</v>
          </cell>
          <cell r="R1279" t="str">
            <v>Yes</v>
          </cell>
          <cell r="S1279" t="str">
            <v>C49</v>
          </cell>
          <cell r="T1279" t="str">
            <v>SOUTH</v>
          </cell>
          <cell r="U1279" t="str">
            <v>深圳</v>
          </cell>
          <cell r="V1279" t="str">
            <v>SZ 深圳</v>
          </cell>
          <cell r="W1279" t="str">
            <v>AY</v>
          </cell>
          <cell r="X1279" t="str">
            <v>JPY</v>
          </cell>
          <cell r="Y1279">
            <v>8900000</v>
          </cell>
          <cell r="Z1279">
            <v>1</v>
          </cell>
          <cell r="AA1279">
            <v>8900000</v>
          </cell>
          <cell r="AB1279">
            <v>7.5700000000000003E-2</v>
          </cell>
          <cell r="AC1279">
            <v>673730</v>
          </cell>
          <cell r="AD1279">
            <v>80847.599999999991</v>
          </cell>
          <cell r="AE1279">
            <v>0.12</v>
          </cell>
          <cell r="AF1279">
            <v>44230</v>
          </cell>
          <cell r="AG1279" t="str">
            <v>DAP SZ</v>
          </cell>
          <cell r="AI1279" t="str">
            <v>CNY60,000</v>
          </cell>
          <cell r="AJ1279">
            <v>44232</v>
          </cell>
          <cell r="AK1279">
            <v>0.1</v>
          </cell>
          <cell r="AL1279">
            <v>890000</v>
          </cell>
          <cell r="AN1279" t="str">
            <v>Yes</v>
          </cell>
          <cell r="AO1279">
            <v>0.9</v>
          </cell>
          <cell r="AP1279">
            <v>8010000</v>
          </cell>
          <cell r="AS1279">
            <v>0</v>
          </cell>
          <cell r="AT1279">
            <v>0</v>
          </cell>
        </row>
        <row r="1280">
          <cell r="B1280">
            <v>1130</v>
          </cell>
          <cell r="C1280" t="str">
            <v>C49SZX20210043AY</v>
          </cell>
          <cell r="D1280" t="str">
            <v>正宏兴</v>
          </cell>
          <cell r="E1280" t="str">
            <v>YSM20R-2</v>
          </cell>
          <cell r="G1280" t="e">
            <v>#REF!</v>
          </cell>
          <cell r="H1280" t="e">
            <v>#REF!</v>
          </cell>
          <cell r="I1280" t="str">
            <v>L-&gt;R</v>
          </cell>
          <cell r="J1280" t="str">
            <v>No</v>
          </cell>
          <cell r="K1280">
            <v>1</v>
          </cell>
          <cell r="L1280">
            <v>0</v>
          </cell>
          <cell r="M1280">
            <v>0</v>
          </cell>
          <cell r="R1280" t="str">
            <v>Yes</v>
          </cell>
          <cell r="S1280" t="str">
            <v>C49</v>
          </cell>
          <cell r="T1280" t="str">
            <v>SOUTH</v>
          </cell>
          <cell r="U1280" t="str">
            <v>深圳</v>
          </cell>
          <cell r="V1280" t="str">
            <v>SZ 深圳</v>
          </cell>
          <cell r="W1280" t="str">
            <v>AY</v>
          </cell>
          <cell r="X1280" t="str">
            <v>JPY</v>
          </cell>
          <cell r="Y1280">
            <v>11500000</v>
          </cell>
          <cell r="Z1280">
            <v>1</v>
          </cell>
          <cell r="AA1280">
            <v>11500000</v>
          </cell>
          <cell r="AB1280">
            <v>7.5700000000000003E-2</v>
          </cell>
          <cell r="AC1280">
            <v>870550</v>
          </cell>
          <cell r="AD1280">
            <v>104466</v>
          </cell>
          <cell r="AE1280">
            <v>0.12</v>
          </cell>
          <cell r="AF1280">
            <v>44230</v>
          </cell>
          <cell r="AG1280" t="str">
            <v>DAP SZ</v>
          </cell>
          <cell r="AI1280"/>
          <cell r="AJ1280"/>
          <cell r="AK1280">
            <v>0.1</v>
          </cell>
          <cell r="AL1280">
            <v>1150000</v>
          </cell>
          <cell r="AN1280" t="str">
            <v>Yes</v>
          </cell>
          <cell r="AO1280">
            <v>0.9</v>
          </cell>
          <cell r="AP1280">
            <v>10350000</v>
          </cell>
          <cell r="AS1280">
            <v>0</v>
          </cell>
          <cell r="AT1280">
            <v>0</v>
          </cell>
        </row>
        <row r="1281">
          <cell r="B1281">
            <v>1131</v>
          </cell>
          <cell r="C1281" t="str">
            <v>C49SZX20210040DY</v>
          </cell>
          <cell r="D1281" t="str">
            <v>惠宇</v>
          </cell>
          <cell r="E1281" t="str">
            <v>YSM20R-2</v>
          </cell>
          <cell r="G1281" t="e">
            <v>#REF!</v>
          </cell>
          <cell r="H1281" t="e">
            <v>#REF!</v>
          </cell>
          <cell r="I1281" t="str">
            <v>L-&gt;R</v>
          </cell>
          <cell r="J1281" t="str">
            <v>No</v>
          </cell>
          <cell r="K1281">
            <v>1</v>
          </cell>
          <cell r="L1281" t="str">
            <v>110437(拆单110410)</v>
          </cell>
          <cell r="M1281" t="str">
            <v>JUN 21</v>
          </cell>
          <cell r="N1281">
            <v>44358</v>
          </cell>
          <cell r="O1281">
            <v>11100491</v>
          </cell>
          <cell r="P1281">
            <v>1030000</v>
          </cell>
          <cell r="Q1281">
            <v>44384</v>
          </cell>
          <cell r="R1281" t="str">
            <v>Yes</v>
          </cell>
          <cell r="S1281" t="str">
            <v>C49</v>
          </cell>
          <cell r="T1281" t="str">
            <v>SOUTH</v>
          </cell>
          <cell r="U1281" t="str">
            <v>深圳</v>
          </cell>
          <cell r="V1281" t="str">
            <v>SZ 深圳</v>
          </cell>
          <cell r="W1281" t="str">
            <v>DY</v>
          </cell>
          <cell r="X1281" t="str">
            <v>RMB</v>
          </cell>
          <cell r="Y1281">
            <v>1030000</v>
          </cell>
          <cell r="Z1281">
            <v>1.1299999999999999</v>
          </cell>
          <cell r="AA1281">
            <v>1030000</v>
          </cell>
          <cell r="AB1281">
            <v>1.2</v>
          </cell>
          <cell r="AC1281">
            <v>1093805.3097345133</v>
          </cell>
          <cell r="AD1281">
            <v>131256.63716814158</v>
          </cell>
          <cell r="AE1281">
            <v>0.12</v>
          </cell>
          <cell r="AF1281">
            <v>44230</v>
          </cell>
          <cell r="AG1281" t="str">
            <v>含税到厂</v>
          </cell>
          <cell r="AK1281">
            <v>0.1</v>
          </cell>
          <cell r="AL1281">
            <v>103000</v>
          </cell>
          <cell r="AM1281">
            <v>44230</v>
          </cell>
          <cell r="AN1281" t="str">
            <v>Yes</v>
          </cell>
          <cell r="AO1281">
            <v>0.9</v>
          </cell>
          <cell r="AP1281">
            <v>927000</v>
          </cell>
          <cell r="AQ1281">
            <v>44356</v>
          </cell>
          <cell r="AR1281">
            <v>44356</v>
          </cell>
          <cell r="AS1281">
            <v>0</v>
          </cell>
          <cell r="AT1281">
            <v>0</v>
          </cell>
          <cell r="AX1281" t="str">
            <v>Yes</v>
          </cell>
          <cell r="AZ1281" t="str">
            <v>Y</v>
          </cell>
          <cell r="BA1281" t="str">
            <v>Yes</v>
          </cell>
        </row>
        <row r="1282">
          <cell r="B1282">
            <v>1132</v>
          </cell>
          <cell r="C1282" t="str">
            <v>C49SZX20210042VG</v>
          </cell>
          <cell r="D1282" t="str">
            <v>狂热者</v>
          </cell>
          <cell r="E1282" t="str">
            <v>YSM10</v>
          </cell>
          <cell r="F1282" t="str">
            <v>#05765</v>
          </cell>
          <cell r="G1282" t="e">
            <v>#REF!</v>
          </cell>
          <cell r="H1282" t="e">
            <v>#REF!</v>
          </cell>
          <cell r="I1282" t="str">
            <v>L-&gt;R</v>
          </cell>
          <cell r="J1282" t="str">
            <v>No</v>
          </cell>
          <cell r="K1282">
            <v>1</v>
          </cell>
          <cell r="L1282">
            <v>110211</v>
          </cell>
          <cell r="M1282" t="str">
            <v>MAY 21</v>
          </cell>
          <cell r="N1282">
            <v>44333</v>
          </cell>
          <cell r="O1282">
            <v>11116576</v>
          </cell>
          <cell r="P1282">
            <v>7800000</v>
          </cell>
          <cell r="Q1282">
            <v>44317</v>
          </cell>
          <cell r="R1282" t="str">
            <v>Yes</v>
          </cell>
          <cell r="S1282" t="str">
            <v>C49</v>
          </cell>
          <cell r="T1282" t="str">
            <v>SOUTH</v>
          </cell>
          <cell r="U1282" t="str">
            <v>深圳</v>
          </cell>
          <cell r="V1282" t="str">
            <v>SZ 深圳</v>
          </cell>
          <cell r="W1282" t="str">
            <v>VG</v>
          </cell>
          <cell r="X1282" t="str">
            <v>JPY</v>
          </cell>
          <cell r="Y1282">
            <v>7800000</v>
          </cell>
          <cell r="Z1282">
            <v>1</v>
          </cell>
          <cell r="AA1282">
            <v>7800000</v>
          </cell>
          <cell r="AB1282">
            <v>7.5700000000000003E-2</v>
          </cell>
          <cell r="AC1282">
            <v>590460</v>
          </cell>
          <cell r="AD1282">
            <v>70855.199999999997</v>
          </cell>
          <cell r="AE1282">
            <v>0.12</v>
          </cell>
          <cell r="AF1282">
            <v>44231</v>
          </cell>
          <cell r="AG1282" t="str">
            <v>DAP SZ</v>
          </cell>
          <cell r="AK1282">
            <v>0.1</v>
          </cell>
          <cell r="AL1282">
            <v>780000</v>
          </cell>
          <cell r="AM1282">
            <v>44232</v>
          </cell>
          <cell r="AN1282" t="str">
            <v>Yes</v>
          </cell>
          <cell r="AO1282">
            <v>0.9</v>
          </cell>
          <cell r="AP1282">
            <v>7020000</v>
          </cell>
          <cell r="AQ1282">
            <v>44327</v>
          </cell>
          <cell r="AR1282">
            <v>44327</v>
          </cell>
          <cell r="AS1282">
            <v>0</v>
          </cell>
          <cell r="AT1282">
            <v>0</v>
          </cell>
          <cell r="AX1282" t="str">
            <v>Yes</v>
          </cell>
          <cell r="AZ1282" t="str">
            <v>Y</v>
          </cell>
          <cell r="BA1282" t="str">
            <v>Yes</v>
          </cell>
        </row>
        <row r="1283">
          <cell r="B1283">
            <v>1133</v>
          </cell>
          <cell r="C1283" t="str">
            <v>C49SZX20210042VG</v>
          </cell>
          <cell r="D1283" t="str">
            <v>狂热者</v>
          </cell>
          <cell r="E1283" t="str">
            <v>YSM20R-2</v>
          </cell>
          <cell r="F1283" t="str">
            <v>#05765</v>
          </cell>
          <cell r="G1283" t="e">
            <v>#REF!</v>
          </cell>
          <cell r="H1283" t="e">
            <v>#REF!</v>
          </cell>
          <cell r="I1283" t="str">
            <v>L-&gt;R</v>
          </cell>
          <cell r="J1283" t="str">
            <v>No</v>
          </cell>
          <cell r="K1283">
            <v>1</v>
          </cell>
          <cell r="L1283" t="str">
            <v>110346(拆单110340)</v>
          </cell>
          <cell r="M1283" t="str">
            <v>MAY 21</v>
          </cell>
          <cell r="N1283">
            <v>44333</v>
          </cell>
          <cell r="O1283">
            <v>11116576</v>
          </cell>
          <cell r="P1283">
            <v>15000000</v>
          </cell>
          <cell r="Q1283">
            <v>44317</v>
          </cell>
          <cell r="R1283" t="str">
            <v>Yes</v>
          </cell>
          <cell r="S1283" t="str">
            <v>C49</v>
          </cell>
          <cell r="T1283" t="str">
            <v>SOUTH</v>
          </cell>
          <cell r="U1283" t="str">
            <v>深圳</v>
          </cell>
          <cell r="V1283" t="str">
            <v>SZ 深圳</v>
          </cell>
          <cell r="W1283" t="str">
            <v>VG</v>
          </cell>
          <cell r="X1283" t="str">
            <v>JPY</v>
          </cell>
          <cell r="Y1283">
            <v>15000000</v>
          </cell>
          <cell r="Z1283">
            <v>1</v>
          </cell>
          <cell r="AA1283">
            <v>15000000</v>
          </cell>
          <cell r="AB1283">
            <v>7.5700000000000003E-2</v>
          </cell>
          <cell r="AC1283">
            <v>1135500</v>
          </cell>
          <cell r="AD1283">
            <v>136260</v>
          </cell>
          <cell r="AE1283">
            <v>0.12</v>
          </cell>
          <cell r="AF1283">
            <v>44231</v>
          </cell>
          <cell r="AG1283" t="str">
            <v>DAP SZ</v>
          </cell>
          <cell r="AK1283">
            <v>0.1</v>
          </cell>
          <cell r="AL1283">
            <v>1500000</v>
          </cell>
          <cell r="AM1283">
            <v>44232</v>
          </cell>
          <cell r="AN1283" t="str">
            <v>Yes</v>
          </cell>
          <cell r="AO1283">
            <v>0.9</v>
          </cell>
          <cell r="AP1283">
            <v>13500000</v>
          </cell>
          <cell r="AQ1283">
            <v>44327</v>
          </cell>
          <cell r="AR1283">
            <v>44327</v>
          </cell>
          <cell r="AS1283">
            <v>0</v>
          </cell>
          <cell r="AT1283">
            <v>0</v>
          </cell>
          <cell r="AX1283" t="str">
            <v>Yes</v>
          </cell>
          <cell r="AZ1283" t="str">
            <v>Y</v>
          </cell>
          <cell r="BA1283" t="str">
            <v>Yes</v>
          </cell>
        </row>
        <row r="1284">
          <cell r="B1284">
            <v>1134</v>
          </cell>
          <cell r="C1284" t="str">
            <v>C49SZX20210042VG</v>
          </cell>
          <cell r="D1284" t="str">
            <v>狂热者</v>
          </cell>
          <cell r="E1284" t="str">
            <v>YSM20R-2</v>
          </cell>
          <cell r="F1284" t="str">
            <v>#05765</v>
          </cell>
          <cell r="G1284" t="e">
            <v>#REF!</v>
          </cell>
          <cell r="H1284" t="e">
            <v>#REF!</v>
          </cell>
          <cell r="I1284" t="str">
            <v>L-&gt;R</v>
          </cell>
          <cell r="J1284" t="str">
            <v>No</v>
          </cell>
          <cell r="K1284">
            <v>1</v>
          </cell>
          <cell r="L1284">
            <v>110272</v>
          </cell>
          <cell r="M1284" t="str">
            <v>MAY 21</v>
          </cell>
          <cell r="N1284">
            <v>44333</v>
          </cell>
          <cell r="O1284">
            <v>11116576</v>
          </cell>
          <cell r="P1284">
            <v>15000000</v>
          </cell>
          <cell r="Q1284">
            <v>44317</v>
          </cell>
          <cell r="R1284" t="str">
            <v>Yes</v>
          </cell>
          <cell r="S1284" t="str">
            <v>C49</v>
          </cell>
          <cell r="T1284" t="str">
            <v>SOUTH</v>
          </cell>
          <cell r="U1284" t="str">
            <v>深圳</v>
          </cell>
          <cell r="V1284" t="str">
            <v>SZ 深圳</v>
          </cell>
          <cell r="W1284" t="str">
            <v>VG</v>
          </cell>
          <cell r="X1284" t="str">
            <v>JPY</v>
          </cell>
          <cell r="Y1284">
            <v>15000000</v>
          </cell>
          <cell r="Z1284">
            <v>1</v>
          </cell>
          <cell r="AA1284">
            <v>15000000</v>
          </cell>
          <cell r="AB1284">
            <v>7.5700000000000003E-2</v>
          </cell>
          <cell r="AC1284">
            <v>1135500</v>
          </cell>
          <cell r="AD1284">
            <v>136260</v>
          </cell>
          <cell r="AE1284">
            <v>0.12</v>
          </cell>
          <cell r="AF1284">
            <v>44231</v>
          </cell>
          <cell r="AG1284" t="str">
            <v>DAP SZ</v>
          </cell>
          <cell r="AK1284">
            <v>0.1</v>
          </cell>
          <cell r="AL1284">
            <v>1500000</v>
          </cell>
          <cell r="AM1284">
            <v>44232</v>
          </cell>
          <cell r="AN1284" t="str">
            <v>Yes</v>
          </cell>
          <cell r="AO1284">
            <v>0.9</v>
          </cell>
          <cell r="AP1284">
            <v>13500000</v>
          </cell>
          <cell r="AQ1284">
            <v>44327</v>
          </cell>
          <cell r="AR1284">
            <v>44327</v>
          </cell>
          <cell r="AS1284">
            <v>0</v>
          </cell>
          <cell r="AT1284">
            <v>0</v>
          </cell>
          <cell r="AX1284" t="str">
            <v>Yes</v>
          </cell>
          <cell r="AZ1284" t="str">
            <v>Y</v>
          </cell>
          <cell r="BA1284" t="str">
            <v>Yes</v>
          </cell>
        </row>
        <row r="1285">
          <cell r="B1285">
            <v>1135</v>
          </cell>
          <cell r="C1285" t="str">
            <v>C49SZX20210046SS</v>
          </cell>
          <cell r="D1285" t="str">
            <v>恒业信</v>
          </cell>
          <cell r="E1285" t="str">
            <v>YSM20R-2</v>
          </cell>
          <cell r="F1285" t="str">
            <v>#04394</v>
          </cell>
          <cell r="G1285" t="e">
            <v>#REF!</v>
          </cell>
          <cell r="H1285" t="e">
            <v>#REF!</v>
          </cell>
          <cell r="I1285" t="str">
            <v>L-&gt;R</v>
          </cell>
          <cell r="J1285" t="str">
            <v>No</v>
          </cell>
          <cell r="K1285">
            <v>1</v>
          </cell>
          <cell r="L1285">
            <v>110245</v>
          </cell>
          <cell r="M1285" t="str">
            <v>MAY 21</v>
          </cell>
          <cell r="N1285">
            <v>44328</v>
          </cell>
          <cell r="O1285">
            <v>11116587</v>
          </cell>
          <cell r="P1285">
            <v>12700000</v>
          </cell>
          <cell r="Q1285">
            <v>44344</v>
          </cell>
          <cell r="R1285" t="str">
            <v>Yes</v>
          </cell>
          <cell r="S1285" t="str">
            <v>C49</v>
          </cell>
          <cell r="T1285" t="str">
            <v>SOUTH</v>
          </cell>
          <cell r="U1285" t="str">
            <v>深圳</v>
          </cell>
          <cell r="V1285" t="str">
            <v>SZ 深圳</v>
          </cell>
          <cell r="W1285" t="str">
            <v>SS</v>
          </cell>
          <cell r="X1285" t="str">
            <v>JPY</v>
          </cell>
          <cell r="Y1285">
            <v>12700000</v>
          </cell>
          <cell r="Z1285">
            <v>1</v>
          </cell>
          <cell r="AA1285">
            <v>12700000</v>
          </cell>
          <cell r="AB1285">
            <v>7.5700000000000003E-2</v>
          </cell>
          <cell r="AC1285">
            <v>961390</v>
          </cell>
          <cell r="AD1285">
            <v>115366.8</v>
          </cell>
          <cell r="AE1285">
            <v>0.12</v>
          </cell>
          <cell r="AF1285">
            <v>44231</v>
          </cell>
          <cell r="AG1285" t="str">
            <v>DAP SZ</v>
          </cell>
          <cell r="AI1285" t="str">
            <v>CNY30,000</v>
          </cell>
          <cell r="AJ1285">
            <v>44232</v>
          </cell>
          <cell r="AK1285">
            <v>0.1</v>
          </cell>
          <cell r="AL1285">
            <v>1270000</v>
          </cell>
          <cell r="AM1285">
            <v>44274</v>
          </cell>
          <cell r="AN1285" t="str">
            <v>Yes</v>
          </cell>
          <cell r="AO1285">
            <v>0.9</v>
          </cell>
          <cell r="AP1285">
            <v>11430000</v>
          </cell>
          <cell r="AQ1285">
            <v>44327</v>
          </cell>
          <cell r="AR1285">
            <v>44327</v>
          </cell>
          <cell r="AS1285">
            <v>0</v>
          </cell>
          <cell r="AT1285">
            <v>0</v>
          </cell>
          <cell r="AX1285" t="str">
            <v>Yes</v>
          </cell>
          <cell r="AZ1285" t="str">
            <v>Y</v>
          </cell>
          <cell r="BA1285" t="str">
            <v>Yes</v>
          </cell>
        </row>
        <row r="1286">
          <cell r="B1286">
            <v>1136</v>
          </cell>
          <cell r="C1286" t="str">
            <v>C49SZX20210045SX</v>
          </cell>
          <cell r="D1286" t="str">
            <v>百益晟</v>
          </cell>
          <cell r="E1286" t="str">
            <v>YSM10</v>
          </cell>
          <cell r="F1286" t="str">
            <v>#67687</v>
          </cell>
          <cell r="G1286" t="e">
            <v>#REF!</v>
          </cell>
          <cell r="H1286" t="e">
            <v>#REF!</v>
          </cell>
          <cell r="I1286" t="str">
            <v>L-&gt;R</v>
          </cell>
          <cell r="J1286" t="str">
            <v>MVC</v>
          </cell>
          <cell r="K1286">
            <v>1</v>
          </cell>
          <cell r="L1286" t="str">
            <v>110348(拆单110364)</v>
          </cell>
          <cell r="M1286" t="str">
            <v>MAY 21</v>
          </cell>
          <cell r="N1286">
            <v>44329</v>
          </cell>
          <cell r="O1286">
            <v>11116581</v>
          </cell>
          <cell r="P1286">
            <v>10500000</v>
          </cell>
          <cell r="Q1286">
            <v>44343</v>
          </cell>
          <cell r="R1286" t="str">
            <v>No</v>
          </cell>
          <cell r="S1286" t="str">
            <v>C49</v>
          </cell>
          <cell r="T1286" t="str">
            <v>SOUTH</v>
          </cell>
          <cell r="U1286" t="str">
            <v>深圳</v>
          </cell>
          <cell r="V1286" t="str">
            <v>SZ 深圳</v>
          </cell>
          <cell r="W1286" t="str">
            <v>SX</v>
          </cell>
          <cell r="X1286" t="str">
            <v>JPY</v>
          </cell>
          <cell r="Y1286">
            <v>10500000</v>
          </cell>
          <cell r="Z1286">
            <v>1</v>
          </cell>
          <cell r="AA1286">
            <v>10500000</v>
          </cell>
          <cell r="AB1286">
            <v>7.5700000000000003E-2</v>
          </cell>
          <cell r="AC1286">
            <v>794850</v>
          </cell>
          <cell r="AD1286">
            <v>95382</v>
          </cell>
          <cell r="AE1286">
            <v>0.12</v>
          </cell>
          <cell r="AF1286">
            <v>44231</v>
          </cell>
          <cell r="AG1286" t="str">
            <v>DAP SZ</v>
          </cell>
          <cell r="AI1286" t="str">
            <v>CNY  50,000</v>
          </cell>
          <cell r="AJ1286">
            <v>44233</v>
          </cell>
          <cell r="AK1286">
            <v>0.1</v>
          </cell>
          <cell r="AL1286">
            <v>1050000</v>
          </cell>
          <cell r="AM1286">
            <v>44280</v>
          </cell>
          <cell r="AN1286" t="str">
            <v>Yes</v>
          </cell>
          <cell r="AO1286">
            <v>0.9</v>
          </cell>
          <cell r="AP1286">
            <v>9450000</v>
          </cell>
          <cell r="AQ1286">
            <v>44326</v>
          </cell>
          <cell r="AR1286">
            <v>44326</v>
          </cell>
          <cell r="AS1286">
            <v>0</v>
          </cell>
          <cell r="AT1286">
            <v>0</v>
          </cell>
          <cell r="AX1286" t="str">
            <v>Yes</v>
          </cell>
          <cell r="AZ1286" t="str">
            <v>Y</v>
          </cell>
          <cell r="BA1286" t="str">
            <v>Yes</v>
          </cell>
        </row>
        <row r="1287">
          <cell r="B1287">
            <v>1137</v>
          </cell>
          <cell r="C1287" t="str">
            <v>C49SZX20210045SX</v>
          </cell>
          <cell r="D1287" t="str">
            <v>百益晟</v>
          </cell>
          <cell r="E1287" t="str">
            <v>YSM10</v>
          </cell>
          <cell r="F1287" t="str">
            <v>#67687</v>
          </cell>
          <cell r="G1287" t="e">
            <v>#REF!</v>
          </cell>
          <cell r="H1287" t="e">
            <v>#REF!</v>
          </cell>
          <cell r="I1287" t="str">
            <v>L-&gt;R</v>
          </cell>
          <cell r="J1287" t="str">
            <v>MVC</v>
          </cell>
          <cell r="K1287">
            <v>1</v>
          </cell>
          <cell r="L1287">
            <v>110348</v>
          </cell>
          <cell r="M1287" t="str">
            <v>MAY 21</v>
          </cell>
          <cell r="N1287">
            <v>44329</v>
          </cell>
          <cell r="O1287">
            <v>11116581</v>
          </cell>
          <cell r="P1287">
            <v>10500000</v>
          </cell>
          <cell r="Q1287">
            <v>44343</v>
          </cell>
          <cell r="R1287" t="str">
            <v>No</v>
          </cell>
          <cell r="S1287" t="str">
            <v>C49</v>
          </cell>
          <cell r="T1287" t="str">
            <v>SOUTH</v>
          </cell>
          <cell r="U1287" t="str">
            <v>深圳</v>
          </cell>
          <cell r="V1287" t="str">
            <v>SZ 深圳</v>
          </cell>
          <cell r="W1287" t="str">
            <v>SX</v>
          </cell>
          <cell r="X1287" t="str">
            <v>JPY</v>
          </cell>
          <cell r="Y1287">
            <v>10500000</v>
          </cell>
          <cell r="Z1287">
            <v>1</v>
          </cell>
          <cell r="AA1287">
            <v>10500000</v>
          </cell>
          <cell r="AB1287">
            <v>7.5700000000000003E-2</v>
          </cell>
          <cell r="AC1287">
            <v>794850</v>
          </cell>
          <cell r="AD1287">
            <v>95382</v>
          </cell>
          <cell r="AE1287">
            <v>0.12</v>
          </cell>
          <cell r="AF1287">
            <v>44231</v>
          </cell>
          <cell r="AG1287" t="str">
            <v>DAP SZ</v>
          </cell>
          <cell r="AI1287"/>
          <cell r="AJ1287"/>
          <cell r="AK1287">
            <v>0.1</v>
          </cell>
          <cell r="AL1287">
            <v>1050000</v>
          </cell>
          <cell r="AM1287">
            <v>44280</v>
          </cell>
          <cell r="AN1287" t="str">
            <v>Yes</v>
          </cell>
          <cell r="AO1287">
            <v>0.9</v>
          </cell>
          <cell r="AP1287">
            <v>9450000</v>
          </cell>
          <cell r="AQ1287">
            <v>44326</v>
          </cell>
          <cell r="AR1287">
            <v>44326</v>
          </cell>
          <cell r="AS1287">
            <v>0</v>
          </cell>
          <cell r="AT1287">
            <v>0</v>
          </cell>
          <cell r="AX1287" t="str">
            <v>Yes</v>
          </cell>
          <cell r="AZ1287" t="str">
            <v>Y</v>
          </cell>
          <cell r="BA1287" t="str">
            <v>Yes</v>
          </cell>
        </row>
        <row r="1288">
          <cell r="B1288">
            <v>1138</v>
          </cell>
          <cell r="C1288" t="str">
            <v>C49SZX20210016JY</v>
          </cell>
          <cell r="D1288" t="str">
            <v>芯联鑫</v>
          </cell>
          <cell r="E1288" t="str">
            <v>YSM20R-2</v>
          </cell>
          <cell r="F1288" t="str">
            <v>#04750</v>
          </cell>
          <cell r="G1288" t="e">
            <v>#REF!</v>
          </cell>
          <cell r="H1288" t="e">
            <v>#REF!</v>
          </cell>
          <cell r="I1288" t="str">
            <v>R-&gt;L</v>
          </cell>
          <cell r="J1288" t="str">
            <v>MVC</v>
          </cell>
          <cell r="K1288">
            <v>1</v>
          </cell>
          <cell r="L1288" t="str">
            <v>110228(拆单110338)</v>
          </cell>
          <cell r="M1288" t="str">
            <v>MAY 21</v>
          </cell>
          <cell r="N1288">
            <v>44333</v>
          </cell>
          <cell r="O1288">
            <v>11116573</v>
          </cell>
          <cell r="P1288">
            <v>13700000</v>
          </cell>
          <cell r="Q1288">
            <v>44334</v>
          </cell>
          <cell r="R1288" t="str">
            <v>No</v>
          </cell>
          <cell r="S1288" t="str">
            <v>C49</v>
          </cell>
          <cell r="T1288" t="str">
            <v>SOUTH</v>
          </cell>
          <cell r="U1288" t="str">
            <v>深圳</v>
          </cell>
          <cell r="V1288" t="str">
            <v>SZ 深圳</v>
          </cell>
          <cell r="W1288" t="str">
            <v>JY</v>
          </cell>
          <cell r="X1288" t="str">
            <v>JPY</v>
          </cell>
          <cell r="Y1288">
            <v>13700000</v>
          </cell>
          <cell r="Z1288">
            <v>1</v>
          </cell>
          <cell r="AA1288">
            <v>13700000</v>
          </cell>
          <cell r="AB1288">
            <v>7.5700000000000003E-2</v>
          </cell>
          <cell r="AC1288">
            <v>1037090</v>
          </cell>
          <cell r="AD1288">
            <v>124450.79999999999</v>
          </cell>
          <cell r="AE1288">
            <v>0.12</v>
          </cell>
          <cell r="AF1288">
            <v>44232</v>
          </cell>
          <cell r="AG1288" t="str">
            <v>DAP GZ</v>
          </cell>
          <cell r="AK1288">
            <v>0.1</v>
          </cell>
          <cell r="AL1288">
            <v>1370000</v>
          </cell>
          <cell r="AM1288">
            <v>44228</v>
          </cell>
          <cell r="AN1288" t="str">
            <v>Yes</v>
          </cell>
          <cell r="AO1288">
            <v>0.9</v>
          </cell>
          <cell r="AP1288">
            <v>12330000</v>
          </cell>
          <cell r="AQ1288">
            <v>44328</v>
          </cell>
          <cell r="AR1288">
            <v>44328</v>
          </cell>
          <cell r="AS1288">
            <v>0</v>
          </cell>
          <cell r="AT1288">
            <v>0</v>
          </cell>
          <cell r="AX1288" t="str">
            <v>Yes</v>
          </cell>
          <cell r="AZ1288" t="str">
            <v>Y</v>
          </cell>
          <cell r="BA1288" t="str">
            <v>Yes</v>
          </cell>
        </row>
        <row r="1289">
          <cell r="B1289">
            <v>1139</v>
          </cell>
          <cell r="C1289" t="str">
            <v>C49SZX20210126DZ</v>
          </cell>
          <cell r="D1289" t="str">
            <v>名商</v>
          </cell>
          <cell r="E1289" t="str">
            <v>YSM20R-2</v>
          </cell>
          <cell r="F1289" t="str">
            <v>#03539</v>
          </cell>
          <cell r="G1289" t="e">
            <v>#REF!</v>
          </cell>
          <cell r="H1289" t="e">
            <v>#REF!</v>
          </cell>
          <cell r="I1289" t="str">
            <v>L-&gt;R</v>
          </cell>
          <cell r="J1289" t="str">
            <v>No</v>
          </cell>
          <cell r="K1289">
            <v>1</v>
          </cell>
          <cell r="L1289">
            <v>110272</v>
          </cell>
          <cell r="M1289" t="str">
            <v>APR 21</v>
          </cell>
          <cell r="N1289">
            <v>44316</v>
          </cell>
          <cell r="O1289">
            <v>11116567</v>
          </cell>
          <cell r="P1289">
            <v>20900000</v>
          </cell>
          <cell r="Q1289">
            <v>44287</v>
          </cell>
          <cell r="R1289" t="str">
            <v>No</v>
          </cell>
          <cell r="S1289" t="str">
            <v>C49</v>
          </cell>
          <cell r="T1289" t="str">
            <v>SOUTH</v>
          </cell>
          <cell r="U1289" t="str">
            <v>深圳</v>
          </cell>
          <cell r="V1289" t="str">
            <v>SZ 深圳</v>
          </cell>
          <cell r="W1289" t="str">
            <v>DZ</v>
          </cell>
          <cell r="X1289" t="str">
            <v>JPY</v>
          </cell>
          <cell r="Y1289">
            <v>20900000</v>
          </cell>
          <cell r="Z1289">
            <v>1</v>
          </cell>
          <cell r="AA1289">
            <v>20900000</v>
          </cell>
          <cell r="AB1289">
            <v>7.5700000000000003E-2</v>
          </cell>
          <cell r="AC1289">
            <v>1582130</v>
          </cell>
          <cell r="AD1289">
            <v>189855.6</v>
          </cell>
          <cell r="AE1289">
            <v>0.12</v>
          </cell>
          <cell r="AF1289">
            <v>44233</v>
          </cell>
          <cell r="AG1289" t="str">
            <v>CIF HK</v>
          </cell>
          <cell r="AI1289" t="str">
            <v>CNY  518，975.69</v>
          </cell>
          <cell r="AJ1289">
            <v>44236</v>
          </cell>
          <cell r="AK1289">
            <v>0</v>
          </cell>
          <cell r="AL1289">
            <v>0</v>
          </cell>
          <cell r="AN1289" t="str">
            <v>Yes</v>
          </cell>
          <cell r="AO1289">
            <v>1</v>
          </cell>
          <cell r="AP1289">
            <v>20900000</v>
          </cell>
          <cell r="AQ1289">
            <v>44315</v>
          </cell>
          <cell r="AR1289">
            <v>44315</v>
          </cell>
          <cell r="AS1289">
            <v>0</v>
          </cell>
          <cell r="AT1289">
            <v>0</v>
          </cell>
          <cell r="AX1289" t="str">
            <v>Yes</v>
          </cell>
          <cell r="AZ1289" t="str">
            <v>Y</v>
          </cell>
          <cell r="BA1289" t="str">
            <v>Yes</v>
          </cell>
        </row>
        <row r="1290">
          <cell r="B1290">
            <v>1140</v>
          </cell>
          <cell r="C1290" t="str">
            <v>C49SZX20210126DZ</v>
          </cell>
          <cell r="D1290" t="str">
            <v>名商</v>
          </cell>
          <cell r="E1290" t="str">
            <v>YSM20R-2</v>
          </cell>
          <cell r="F1290" t="str">
            <v>#03539</v>
          </cell>
          <cell r="G1290" t="e">
            <v>#REF!</v>
          </cell>
          <cell r="H1290" t="e">
            <v>#REF!</v>
          </cell>
          <cell r="I1290" t="str">
            <v>L-&gt;R</v>
          </cell>
          <cell r="J1290" t="str">
            <v>cATS10+MVC+special layout</v>
          </cell>
          <cell r="K1290">
            <v>1</v>
          </cell>
          <cell r="L1290">
            <v>110212</v>
          </cell>
          <cell r="M1290" t="str">
            <v>APR 21</v>
          </cell>
          <cell r="N1290">
            <v>44316</v>
          </cell>
          <cell r="O1290">
            <v>11116567</v>
          </cell>
          <cell r="P1290">
            <v>20900000</v>
          </cell>
          <cell r="Q1290">
            <v>44287</v>
          </cell>
          <cell r="R1290" t="str">
            <v>No</v>
          </cell>
          <cell r="S1290" t="str">
            <v>C49</v>
          </cell>
          <cell r="T1290" t="str">
            <v>SOUTH</v>
          </cell>
          <cell r="U1290" t="str">
            <v>深圳</v>
          </cell>
          <cell r="V1290" t="str">
            <v>SZ 深圳</v>
          </cell>
          <cell r="W1290" t="str">
            <v>DZ</v>
          </cell>
          <cell r="X1290" t="str">
            <v>JPY</v>
          </cell>
          <cell r="Y1290">
            <v>20900000</v>
          </cell>
          <cell r="Z1290">
            <v>1</v>
          </cell>
          <cell r="AA1290">
            <v>20900000</v>
          </cell>
          <cell r="AB1290">
            <v>7.5700000000000003E-2</v>
          </cell>
          <cell r="AC1290">
            <v>1582130</v>
          </cell>
          <cell r="AD1290">
            <v>189855.6</v>
          </cell>
          <cell r="AE1290">
            <v>0.12</v>
          </cell>
          <cell r="AF1290">
            <v>44233</v>
          </cell>
          <cell r="AG1290" t="str">
            <v>CIF HK</v>
          </cell>
          <cell r="AI1290"/>
          <cell r="AJ1290"/>
          <cell r="AK1290">
            <v>0</v>
          </cell>
          <cell r="AL1290">
            <v>0</v>
          </cell>
          <cell r="AN1290" t="str">
            <v>Yes</v>
          </cell>
          <cell r="AO1290">
            <v>1</v>
          </cell>
          <cell r="AP1290">
            <v>20900000</v>
          </cell>
          <cell r="AQ1290">
            <v>44315</v>
          </cell>
          <cell r="AR1290">
            <v>44315</v>
          </cell>
          <cell r="AS1290">
            <v>0</v>
          </cell>
          <cell r="AT1290">
            <v>0</v>
          </cell>
          <cell r="AX1290" t="str">
            <v>Yes</v>
          </cell>
          <cell r="AZ1290" t="str">
            <v>Y</v>
          </cell>
          <cell r="BA1290" t="str">
            <v>Yes</v>
          </cell>
        </row>
        <row r="1291">
          <cell r="B1291">
            <v>1141</v>
          </cell>
          <cell r="C1291" t="str">
            <v>C49SZX20210050SX</v>
          </cell>
          <cell r="D1291" t="str">
            <v>模鑫</v>
          </cell>
          <cell r="E1291" t="str">
            <v>YSM20R-2</v>
          </cell>
          <cell r="F1291" t="str">
            <v>#05702</v>
          </cell>
          <cell r="G1291" t="e">
            <v>#REF!</v>
          </cell>
          <cell r="H1291" t="e">
            <v>#REF!</v>
          </cell>
          <cell r="I1291" t="str">
            <v>R-&gt;L</v>
          </cell>
          <cell r="J1291" t="str">
            <v>No</v>
          </cell>
          <cell r="K1291">
            <v>1</v>
          </cell>
          <cell r="L1291">
            <v>110212</v>
          </cell>
          <cell r="M1291" t="str">
            <v>APR 21</v>
          </cell>
          <cell r="N1291">
            <v>44288</v>
          </cell>
          <cell r="O1291">
            <v>11116556</v>
          </cell>
          <cell r="P1291">
            <v>11000000</v>
          </cell>
          <cell r="Q1291">
            <v>44287</v>
          </cell>
          <cell r="R1291" t="str">
            <v>Yes</v>
          </cell>
          <cell r="S1291" t="str">
            <v>C49</v>
          </cell>
          <cell r="T1291" t="str">
            <v>SOUTH</v>
          </cell>
          <cell r="U1291" t="str">
            <v>深圳</v>
          </cell>
          <cell r="V1291" t="str">
            <v>SZ 深圳</v>
          </cell>
          <cell r="W1291" t="str">
            <v>SX</v>
          </cell>
          <cell r="X1291" t="str">
            <v>JPY</v>
          </cell>
          <cell r="Y1291">
            <v>11000000</v>
          </cell>
          <cell r="Z1291">
            <v>1</v>
          </cell>
          <cell r="AA1291">
            <v>11000000</v>
          </cell>
          <cell r="AB1291">
            <v>7.5700000000000003E-2</v>
          </cell>
          <cell r="AC1291">
            <v>832700</v>
          </cell>
          <cell r="AD1291">
            <v>99924</v>
          </cell>
          <cell r="AE1291">
            <v>0.12</v>
          </cell>
          <cell r="AF1291">
            <v>44234</v>
          </cell>
          <cell r="AG1291" t="str">
            <v>DAP SZ</v>
          </cell>
          <cell r="AK1291">
            <v>0.1</v>
          </cell>
          <cell r="AL1291">
            <v>1100000</v>
          </cell>
          <cell r="AM1291">
            <v>44235</v>
          </cell>
          <cell r="AN1291" t="str">
            <v>Yes</v>
          </cell>
          <cell r="AO1291">
            <v>0.9</v>
          </cell>
          <cell r="AP1291">
            <v>9900000</v>
          </cell>
          <cell r="AQ1291">
            <v>44285</v>
          </cell>
          <cell r="AR1291">
            <v>44285</v>
          </cell>
          <cell r="AS1291">
            <v>0</v>
          </cell>
          <cell r="AT1291">
            <v>0</v>
          </cell>
          <cell r="AX1291" t="str">
            <v>Yes</v>
          </cell>
          <cell r="AZ1291" t="str">
            <v>Y</v>
          </cell>
          <cell r="BA1291" t="str">
            <v>Yes</v>
          </cell>
        </row>
        <row r="1292">
          <cell r="B1292">
            <v>1142</v>
          </cell>
          <cell r="C1292" t="str">
            <v>C49SZX20210050SX</v>
          </cell>
          <cell r="D1292" t="str">
            <v>模鑫</v>
          </cell>
          <cell r="E1292" t="str">
            <v>YSM10</v>
          </cell>
          <cell r="F1292" t="str">
            <v>#05702</v>
          </cell>
          <cell r="G1292" t="e">
            <v>#REF!</v>
          </cell>
          <cell r="H1292" t="e">
            <v>#REF!</v>
          </cell>
          <cell r="I1292" t="str">
            <v>R-&gt;L</v>
          </cell>
          <cell r="J1292" t="str">
            <v>MVC</v>
          </cell>
          <cell r="K1292">
            <v>1</v>
          </cell>
          <cell r="L1292">
            <v>110238</v>
          </cell>
          <cell r="M1292" t="str">
            <v>APR 21</v>
          </cell>
          <cell r="N1292">
            <v>44288</v>
          </cell>
          <cell r="O1292">
            <v>11116556</v>
          </cell>
          <cell r="P1292">
            <v>7350000</v>
          </cell>
          <cell r="Q1292">
            <v>44287</v>
          </cell>
          <cell r="R1292" t="str">
            <v>Yes</v>
          </cell>
          <cell r="S1292" t="str">
            <v>C49</v>
          </cell>
          <cell r="T1292" t="str">
            <v>SOUTH</v>
          </cell>
          <cell r="U1292" t="str">
            <v>深圳</v>
          </cell>
          <cell r="V1292" t="str">
            <v>SZ 深圳</v>
          </cell>
          <cell r="W1292" t="str">
            <v>SX</v>
          </cell>
          <cell r="X1292" t="str">
            <v>JPY</v>
          </cell>
          <cell r="Y1292">
            <v>7350000</v>
          </cell>
          <cell r="Z1292">
            <v>1</v>
          </cell>
          <cell r="AA1292">
            <v>7350000</v>
          </cell>
          <cell r="AB1292">
            <v>7.5700000000000003E-2</v>
          </cell>
          <cell r="AC1292">
            <v>556395</v>
          </cell>
          <cell r="AD1292">
            <v>66767.399999999994</v>
          </cell>
          <cell r="AE1292">
            <v>0.12</v>
          </cell>
          <cell r="AF1292">
            <v>44234</v>
          </cell>
          <cell r="AG1292" t="str">
            <v>DAP SZ</v>
          </cell>
          <cell r="AK1292">
            <v>0.1</v>
          </cell>
          <cell r="AL1292">
            <v>735000</v>
          </cell>
          <cell r="AM1292">
            <v>44235</v>
          </cell>
          <cell r="AN1292" t="str">
            <v>Yes</v>
          </cell>
          <cell r="AO1292">
            <v>0.9</v>
          </cell>
          <cell r="AP1292">
            <v>6615000</v>
          </cell>
          <cell r="AQ1292">
            <v>44285</v>
          </cell>
          <cell r="AR1292">
            <v>44285</v>
          </cell>
          <cell r="AS1292">
            <v>0</v>
          </cell>
          <cell r="AT1292">
            <v>0</v>
          </cell>
          <cell r="AX1292" t="str">
            <v>Yes</v>
          </cell>
          <cell r="AZ1292" t="str">
            <v>Y</v>
          </cell>
          <cell r="BA1292" t="str">
            <v>Yes</v>
          </cell>
        </row>
        <row r="1293">
          <cell r="B1293">
            <v>1143</v>
          </cell>
          <cell r="C1293" t="str">
            <v>C49SZX20210048SS</v>
          </cell>
          <cell r="D1293" t="str">
            <v>美田</v>
          </cell>
          <cell r="E1293" t="str">
            <v>YSM10</v>
          </cell>
          <cell r="F1293" t="str">
            <v>#79485</v>
          </cell>
          <cell r="G1293" t="e">
            <v>#REF!</v>
          </cell>
          <cell r="H1293" t="e">
            <v>#REF!</v>
          </cell>
          <cell r="I1293" t="str">
            <v>L-&gt;R</v>
          </cell>
          <cell r="J1293" t="str">
            <v>MVC F&amp;R+ATS15</v>
          </cell>
          <cell r="K1293">
            <v>1</v>
          </cell>
          <cell r="L1293" t="str">
            <v>110248(拆单110408)</v>
          </cell>
          <cell r="M1293" t="str">
            <v>JUN 21</v>
          </cell>
          <cell r="N1293">
            <v>44378</v>
          </cell>
          <cell r="O1293">
            <v>11100488</v>
          </cell>
          <cell r="P1293">
            <v>825000</v>
          </cell>
          <cell r="Q1293">
            <v>44376</v>
          </cell>
          <cell r="R1293" t="str">
            <v>No</v>
          </cell>
          <cell r="S1293" t="str">
            <v>C49</v>
          </cell>
          <cell r="T1293" t="str">
            <v>SOUTH</v>
          </cell>
          <cell r="U1293" t="str">
            <v>深圳</v>
          </cell>
          <cell r="V1293" t="str">
            <v>SZ 深圳</v>
          </cell>
          <cell r="W1293" t="str">
            <v>SS</v>
          </cell>
          <cell r="X1293" t="str">
            <v>RMB</v>
          </cell>
          <cell r="Y1293">
            <v>825000</v>
          </cell>
          <cell r="Z1293">
            <v>1.1299999999999999</v>
          </cell>
          <cell r="AA1293">
            <v>825000</v>
          </cell>
          <cell r="AB1293">
            <v>1.2</v>
          </cell>
          <cell r="AC1293">
            <v>876106.19469026546</v>
          </cell>
          <cell r="AD1293">
            <v>105132.74336283185</v>
          </cell>
          <cell r="AE1293">
            <v>0.12</v>
          </cell>
          <cell r="AF1293">
            <v>44236</v>
          </cell>
          <cell r="AG1293" t="str">
            <v>含税到厂</v>
          </cell>
          <cell r="AI1293" t="str">
            <v>CNY 100，000.00</v>
          </cell>
          <cell r="AJ1293">
            <v>44236</v>
          </cell>
          <cell r="AK1293">
            <v>0.2</v>
          </cell>
          <cell r="AL1293">
            <v>165000</v>
          </cell>
          <cell r="AM1293">
            <v>44344</v>
          </cell>
          <cell r="AN1293" t="str">
            <v>Yes</v>
          </cell>
          <cell r="AO1293">
            <v>0.8</v>
          </cell>
          <cell r="AP1293">
            <v>660000</v>
          </cell>
          <cell r="AQ1293">
            <v>44370</v>
          </cell>
          <cell r="AR1293">
            <v>44370</v>
          </cell>
          <cell r="AS1293">
            <v>0</v>
          </cell>
          <cell r="AT1293">
            <v>0</v>
          </cell>
          <cell r="AX1293" t="str">
            <v>Yes</v>
          </cell>
          <cell r="AZ1293" t="str">
            <v>Y</v>
          </cell>
          <cell r="BA1293" t="str">
            <v>Yes</v>
          </cell>
        </row>
        <row r="1294">
          <cell r="B1294">
            <v>1144</v>
          </cell>
          <cell r="C1294" t="str">
            <v>C49SZX20210048SS</v>
          </cell>
          <cell r="D1294" t="str">
            <v>美田</v>
          </cell>
          <cell r="E1294" t="str">
            <v>YSM10</v>
          </cell>
          <cell r="F1294" t="str">
            <v>#79485</v>
          </cell>
          <cell r="G1294" t="e">
            <v>#REF!</v>
          </cell>
          <cell r="H1294" t="e">
            <v>#REF!</v>
          </cell>
          <cell r="I1294" t="str">
            <v>L-&gt;R</v>
          </cell>
          <cell r="J1294" t="str">
            <v>MVC F&amp;R+ATS15</v>
          </cell>
          <cell r="K1294">
            <v>1</v>
          </cell>
          <cell r="L1294" t="str">
            <v>110248(拆单110408)</v>
          </cell>
          <cell r="M1294" t="str">
            <v>JUN 21</v>
          </cell>
          <cell r="N1294">
            <v>44378</v>
          </cell>
          <cell r="O1294">
            <v>11100488</v>
          </cell>
          <cell r="P1294">
            <v>825000</v>
          </cell>
          <cell r="Q1294">
            <v>44376</v>
          </cell>
          <cell r="R1294" t="str">
            <v>No</v>
          </cell>
          <cell r="S1294" t="str">
            <v>C49</v>
          </cell>
          <cell r="T1294" t="str">
            <v>SOUTH</v>
          </cell>
          <cell r="U1294" t="str">
            <v>深圳</v>
          </cell>
          <cell r="V1294" t="str">
            <v>SZ 深圳</v>
          </cell>
          <cell r="W1294" t="str">
            <v>SS</v>
          </cell>
          <cell r="X1294" t="str">
            <v>RMB</v>
          </cell>
          <cell r="Y1294">
            <v>825000</v>
          </cell>
          <cell r="Z1294">
            <v>1.1299999999999999</v>
          </cell>
          <cell r="AA1294">
            <v>825000</v>
          </cell>
          <cell r="AB1294">
            <v>1.2</v>
          </cell>
          <cell r="AC1294">
            <v>876106.19469026546</v>
          </cell>
          <cell r="AD1294">
            <v>105132.74336283185</v>
          </cell>
          <cell r="AE1294">
            <v>0.12</v>
          </cell>
          <cell r="AF1294">
            <v>44236</v>
          </cell>
          <cell r="AG1294" t="str">
            <v>含税到厂</v>
          </cell>
          <cell r="AI1294"/>
          <cell r="AJ1294"/>
          <cell r="AK1294">
            <v>0.2</v>
          </cell>
          <cell r="AL1294">
            <v>165000</v>
          </cell>
          <cell r="AM1294">
            <v>44344</v>
          </cell>
          <cell r="AN1294" t="str">
            <v>Yes</v>
          </cell>
          <cell r="AO1294">
            <v>0.8</v>
          </cell>
          <cell r="AP1294">
            <v>660000</v>
          </cell>
          <cell r="AQ1294">
            <v>44370</v>
          </cell>
          <cell r="AR1294">
            <v>44370</v>
          </cell>
          <cell r="AS1294">
            <v>0</v>
          </cell>
          <cell r="AT1294">
            <v>0</v>
          </cell>
          <cell r="AX1294" t="str">
            <v>Yes</v>
          </cell>
          <cell r="AZ1294" t="str">
            <v>Y</v>
          </cell>
          <cell r="BA1294" t="str">
            <v>Yes</v>
          </cell>
        </row>
        <row r="1295">
          <cell r="B1295">
            <v>1145</v>
          </cell>
          <cell r="C1295" t="str">
            <v>C49SZX20210048SS</v>
          </cell>
          <cell r="D1295" t="str">
            <v>美田</v>
          </cell>
          <cell r="E1295" t="str">
            <v>YSM20R-2</v>
          </cell>
          <cell r="F1295" t="str">
            <v>#79485</v>
          </cell>
          <cell r="G1295" t="e">
            <v>#REF!</v>
          </cell>
          <cell r="H1295" t="e">
            <v>#REF!</v>
          </cell>
          <cell r="I1295" t="str">
            <v>L-&gt;R</v>
          </cell>
          <cell r="J1295" t="str">
            <v>MVC</v>
          </cell>
          <cell r="K1295">
            <v>1</v>
          </cell>
          <cell r="L1295" t="str">
            <v>110236(拆单110475)</v>
          </cell>
          <cell r="M1295" t="str">
            <v>JUN 21</v>
          </cell>
          <cell r="N1295">
            <v>44378</v>
          </cell>
          <cell r="O1295">
            <v>11100488</v>
          </cell>
          <cell r="P1295">
            <v>1125000</v>
          </cell>
          <cell r="Q1295">
            <v>44376</v>
          </cell>
          <cell r="R1295" t="str">
            <v>No</v>
          </cell>
          <cell r="S1295" t="str">
            <v>C49</v>
          </cell>
          <cell r="T1295" t="str">
            <v>SOUTH</v>
          </cell>
          <cell r="U1295" t="str">
            <v>深圳</v>
          </cell>
          <cell r="V1295" t="str">
            <v>SZ 深圳</v>
          </cell>
          <cell r="W1295" t="str">
            <v>SS</v>
          </cell>
          <cell r="X1295" t="str">
            <v>RMB</v>
          </cell>
          <cell r="Y1295">
            <v>1025000</v>
          </cell>
          <cell r="Z1295">
            <v>1.1299999999999999</v>
          </cell>
          <cell r="AA1295">
            <v>1025000</v>
          </cell>
          <cell r="AB1295">
            <v>1.2</v>
          </cell>
          <cell r="AC1295">
            <v>1088495.5752212389</v>
          </cell>
          <cell r="AD1295">
            <v>130619.46902654866</v>
          </cell>
          <cell r="AE1295">
            <v>0.12</v>
          </cell>
          <cell r="AF1295">
            <v>44236</v>
          </cell>
          <cell r="AG1295" t="str">
            <v>含税到厂</v>
          </cell>
          <cell r="AI1295"/>
          <cell r="AJ1295"/>
          <cell r="AK1295">
            <v>0.2</v>
          </cell>
          <cell r="AL1295">
            <v>205000</v>
          </cell>
          <cell r="AM1295">
            <v>44344</v>
          </cell>
          <cell r="AN1295" t="str">
            <v>Yes</v>
          </cell>
          <cell r="AO1295">
            <v>0.8</v>
          </cell>
          <cell r="AP1295">
            <v>820000</v>
          </cell>
          <cell r="AQ1295">
            <v>44370</v>
          </cell>
          <cell r="AR1295">
            <v>44370</v>
          </cell>
          <cell r="AS1295">
            <v>0</v>
          </cell>
          <cell r="AT1295">
            <v>0</v>
          </cell>
          <cell r="AX1295" t="str">
            <v>Yes</v>
          </cell>
          <cell r="AZ1295" t="str">
            <v>Y</v>
          </cell>
          <cell r="BA1295" t="str">
            <v>Yes</v>
          </cell>
        </row>
        <row r="1296">
          <cell r="B1296">
            <v>1146</v>
          </cell>
          <cell r="C1296" t="str">
            <v>C49SZX20210048SS</v>
          </cell>
          <cell r="D1296" t="str">
            <v>美田</v>
          </cell>
          <cell r="E1296" t="str">
            <v>YSM20R-2</v>
          </cell>
          <cell r="F1296" t="str">
            <v>#79485</v>
          </cell>
          <cell r="G1296" t="e">
            <v>#REF!</v>
          </cell>
          <cell r="H1296" t="e">
            <v>#REF!</v>
          </cell>
          <cell r="I1296" t="str">
            <v>L-&gt;R</v>
          </cell>
          <cell r="J1296" t="str">
            <v>MVC</v>
          </cell>
          <cell r="K1296">
            <v>1</v>
          </cell>
          <cell r="L1296" t="str">
            <v>110236（拆单110363）</v>
          </cell>
          <cell r="M1296" t="str">
            <v>JUN 21</v>
          </cell>
          <cell r="N1296">
            <v>44378</v>
          </cell>
          <cell r="O1296">
            <v>11100488</v>
          </cell>
          <cell r="P1296">
            <v>1125000</v>
          </cell>
          <cell r="Q1296">
            <v>44376</v>
          </cell>
          <cell r="R1296" t="str">
            <v>No</v>
          </cell>
          <cell r="S1296" t="str">
            <v>C49</v>
          </cell>
          <cell r="T1296" t="str">
            <v>SOUTH</v>
          </cell>
          <cell r="U1296" t="str">
            <v>深圳</v>
          </cell>
          <cell r="V1296" t="str">
            <v>SZ 深圳</v>
          </cell>
          <cell r="W1296" t="str">
            <v>SS</v>
          </cell>
          <cell r="X1296" t="str">
            <v>RMB</v>
          </cell>
          <cell r="Y1296">
            <v>1125000</v>
          </cell>
          <cell r="Z1296">
            <v>1.1299999999999999</v>
          </cell>
          <cell r="AA1296">
            <v>1125000</v>
          </cell>
          <cell r="AB1296">
            <v>1.2</v>
          </cell>
          <cell r="AC1296">
            <v>1194690.2654867258</v>
          </cell>
          <cell r="AD1296">
            <v>143362.83185840709</v>
          </cell>
          <cell r="AE1296">
            <v>0.12</v>
          </cell>
          <cell r="AF1296">
            <v>44236</v>
          </cell>
          <cell r="AG1296" t="str">
            <v>含税到厂</v>
          </cell>
          <cell r="AI1296"/>
          <cell r="AJ1296"/>
          <cell r="AK1296">
            <v>0.2</v>
          </cell>
          <cell r="AL1296">
            <v>225000</v>
          </cell>
          <cell r="AM1296">
            <v>44344</v>
          </cell>
          <cell r="AN1296" t="str">
            <v>Yes</v>
          </cell>
          <cell r="AO1296">
            <v>0.8</v>
          </cell>
          <cell r="AP1296">
            <v>900000</v>
          </cell>
          <cell r="AQ1296">
            <v>44370</v>
          </cell>
          <cell r="AR1296">
            <v>44370</v>
          </cell>
          <cell r="AS1296">
            <v>0</v>
          </cell>
          <cell r="AT1296">
            <v>0</v>
          </cell>
          <cell r="AX1296" t="str">
            <v>Yes</v>
          </cell>
          <cell r="AZ1296" t="str">
            <v>Y</v>
          </cell>
          <cell r="BA1296" t="str">
            <v>Yes</v>
          </cell>
        </row>
        <row r="1297">
          <cell r="B1297">
            <v>1147</v>
          </cell>
          <cell r="C1297" t="str">
            <v>C49SZX20210055SS</v>
          </cell>
          <cell r="D1297" t="str">
            <v>中润互联</v>
          </cell>
          <cell r="E1297" t="str">
            <v>YSM10</v>
          </cell>
          <cell r="F1297" t="str">
            <v>#74022</v>
          </cell>
          <cell r="G1297" t="e">
            <v>#REF!</v>
          </cell>
          <cell r="H1297" t="e">
            <v>#REF!</v>
          </cell>
          <cell r="I1297" t="str">
            <v>L-&gt;R</v>
          </cell>
          <cell r="J1297" t="str">
            <v>MVC+ATS15</v>
          </cell>
          <cell r="K1297">
            <v>1</v>
          </cell>
          <cell r="L1297" t="str">
            <v>110227（拆单110362）</v>
          </cell>
          <cell r="M1297" t="str">
            <v>MAY 21</v>
          </cell>
          <cell r="N1297">
            <v>44328</v>
          </cell>
          <cell r="O1297">
            <v>1100483</v>
          </cell>
          <cell r="P1297">
            <v>620000</v>
          </cell>
          <cell r="Q1297">
            <v>44343</v>
          </cell>
          <cell r="R1297" t="str">
            <v>No</v>
          </cell>
          <cell r="S1297" t="str">
            <v>C49</v>
          </cell>
          <cell r="T1297" t="str">
            <v>SOUTH</v>
          </cell>
          <cell r="U1297" t="str">
            <v>深圳</v>
          </cell>
          <cell r="V1297" t="str">
            <v>SZ 深圳</v>
          </cell>
          <cell r="W1297" t="str">
            <v>SS</v>
          </cell>
          <cell r="X1297" t="str">
            <v>RMB</v>
          </cell>
          <cell r="Y1297">
            <v>620000</v>
          </cell>
          <cell r="Z1297">
            <v>1.1299999999999999</v>
          </cell>
          <cell r="AA1297">
            <v>620000</v>
          </cell>
          <cell r="AB1297">
            <v>1.2</v>
          </cell>
          <cell r="AC1297">
            <v>658407.07964601775</v>
          </cell>
          <cell r="AD1297">
            <v>79008.849557522131</v>
          </cell>
          <cell r="AE1297">
            <v>0.12</v>
          </cell>
          <cell r="AF1297">
            <v>44249</v>
          </cell>
          <cell r="AG1297" t="str">
            <v>含税到厂</v>
          </cell>
          <cell r="AK1297">
            <v>0.1</v>
          </cell>
          <cell r="AL1297">
            <v>62000</v>
          </cell>
          <cell r="AM1297">
            <v>44253</v>
          </cell>
          <cell r="AN1297" t="str">
            <v>Yes</v>
          </cell>
          <cell r="AO1297">
            <v>0.9</v>
          </cell>
          <cell r="AP1297">
            <v>558000</v>
          </cell>
          <cell r="AQ1297">
            <v>44288</v>
          </cell>
          <cell r="AR1297">
            <v>44288</v>
          </cell>
          <cell r="AS1297">
            <v>0</v>
          </cell>
          <cell r="AT1297">
            <v>0</v>
          </cell>
          <cell r="AX1297" t="str">
            <v>Yes</v>
          </cell>
          <cell r="AZ1297" t="str">
            <v>Y</v>
          </cell>
          <cell r="BA1297" t="str">
            <v>Yes</v>
          </cell>
        </row>
        <row r="1298">
          <cell r="B1298">
            <v>1148</v>
          </cell>
          <cell r="C1298" t="str">
            <v>C49SZX20210055SS</v>
          </cell>
          <cell r="D1298" t="str">
            <v>中润互联</v>
          </cell>
          <cell r="E1298" t="str">
            <v>YSM10</v>
          </cell>
          <cell r="F1298" t="str">
            <v>#74022</v>
          </cell>
          <cell r="G1298" t="e">
            <v>#REF!</v>
          </cell>
          <cell r="H1298" t="e">
            <v>#REF!</v>
          </cell>
          <cell r="I1298" t="str">
            <v>R-&gt;L</v>
          </cell>
          <cell r="J1298" t="str">
            <v>MVC+ATS15</v>
          </cell>
          <cell r="K1298">
            <v>1</v>
          </cell>
          <cell r="L1298" t="str">
            <v>110227（拆单110362）</v>
          </cell>
          <cell r="M1298" t="str">
            <v>MAY 21</v>
          </cell>
          <cell r="N1298">
            <v>44328</v>
          </cell>
          <cell r="O1298">
            <v>1100483</v>
          </cell>
          <cell r="P1298">
            <v>620000</v>
          </cell>
          <cell r="Q1298">
            <v>44343</v>
          </cell>
          <cell r="R1298" t="str">
            <v>No</v>
          </cell>
          <cell r="S1298" t="str">
            <v>C49</v>
          </cell>
          <cell r="T1298" t="str">
            <v>SOUTH</v>
          </cell>
          <cell r="U1298" t="str">
            <v>深圳</v>
          </cell>
          <cell r="V1298" t="str">
            <v>SZ 深圳</v>
          </cell>
          <cell r="W1298" t="str">
            <v>SS</v>
          </cell>
          <cell r="X1298" t="str">
            <v>RMB</v>
          </cell>
          <cell r="Y1298">
            <v>620000</v>
          </cell>
          <cell r="Z1298">
            <v>1.1299999999999999</v>
          </cell>
          <cell r="AA1298">
            <v>620000</v>
          </cell>
          <cell r="AB1298">
            <v>1.2</v>
          </cell>
          <cell r="AC1298">
            <v>658407.07964601775</v>
          </cell>
          <cell r="AD1298">
            <v>79008.849557522131</v>
          </cell>
          <cell r="AE1298">
            <v>0.12</v>
          </cell>
          <cell r="AF1298">
            <v>44249</v>
          </cell>
          <cell r="AG1298" t="str">
            <v>含税到厂</v>
          </cell>
          <cell r="AK1298">
            <v>0.1</v>
          </cell>
          <cell r="AL1298">
            <v>62000</v>
          </cell>
          <cell r="AM1298">
            <v>44253</v>
          </cell>
          <cell r="AN1298" t="str">
            <v>Yes</v>
          </cell>
          <cell r="AO1298">
            <v>0.9</v>
          </cell>
          <cell r="AP1298">
            <v>558000</v>
          </cell>
          <cell r="AQ1298">
            <v>44288</v>
          </cell>
          <cell r="AR1298">
            <v>44288</v>
          </cell>
          <cell r="AS1298">
            <v>0</v>
          </cell>
          <cell r="AT1298">
            <v>0</v>
          </cell>
          <cell r="AX1298" t="str">
            <v>Yes</v>
          </cell>
          <cell r="AZ1298" t="str">
            <v>Y</v>
          </cell>
          <cell r="BA1298" t="str">
            <v>Yes</v>
          </cell>
        </row>
        <row r="1299">
          <cell r="B1299">
            <v>1149</v>
          </cell>
          <cell r="C1299" t="str">
            <v>C49SZX20210055SS</v>
          </cell>
          <cell r="D1299" t="str">
            <v>中润互联</v>
          </cell>
          <cell r="E1299" t="str">
            <v>YSM20R-2</v>
          </cell>
          <cell r="F1299" t="str">
            <v>#74022</v>
          </cell>
          <cell r="G1299" t="e">
            <v>#REF!</v>
          </cell>
          <cell r="H1299" t="e">
            <v>#REF!</v>
          </cell>
          <cell r="I1299" t="str">
            <v>L-&gt;R</v>
          </cell>
          <cell r="J1299" t="str">
            <v>No</v>
          </cell>
          <cell r="K1299">
            <v>1</v>
          </cell>
          <cell r="L1299" t="str">
            <v>110346(拆单110409)</v>
          </cell>
          <cell r="M1299" t="str">
            <v>MAY 21</v>
          </cell>
          <cell r="N1299">
            <v>44328</v>
          </cell>
          <cell r="O1299">
            <v>1100483</v>
          </cell>
          <cell r="P1299">
            <v>805000</v>
          </cell>
          <cell r="Q1299">
            <v>44343</v>
          </cell>
          <cell r="R1299" t="str">
            <v>No</v>
          </cell>
          <cell r="S1299" t="str">
            <v>C49</v>
          </cell>
          <cell r="T1299" t="str">
            <v>SOUTH</v>
          </cell>
          <cell r="U1299" t="str">
            <v>深圳</v>
          </cell>
          <cell r="V1299" t="str">
            <v>SZ 深圳</v>
          </cell>
          <cell r="W1299" t="str">
            <v>SS</v>
          </cell>
          <cell r="X1299" t="str">
            <v>RMB</v>
          </cell>
          <cell r="Y1299">
            <v>805000</v>
          </cell>
          <cell r="Z1299">
            <v>1.1299999999999999</v>
          </cell>
          <cell r="AA1299">
            <v>805000</v>
          </cell>
          <cell r="AB1299">
            <v>1.2</v>
          </cell>
          <cell r="AC1299">
            <v>854867.25663716823</v>
          </cell>
          <cell r="AD1299">
            <v>102584.07079646019</v>
          </cell>
          <cell r="AE1299">
            <v>0.12</v>
          </cell>
          <cell r="AF1299">
            <v>44249</v>
          </cell>
          <cell r="AG1299" t="str">
            <v>含税到厂</v>
          </cell>
          <cell r="AK1299">
            <v>0.1</v>
          </cell>
          <cell r="AL1299">
            <v>80500</v>
          </cell>
          <cell r="AM1299">
            <v>44253</v>
          </cell>
          <cell r="AN1299" t="str">
            <v>Yes</v>
          </cell>
          <cell r="AO1299">
            <v>0.9</v>
          </cell>
          <cell r="AP1299">
            <v>724500</v>
          </cell>
          <cell r="AQ1299">
            <v>44288</v>
          </cell>
          <cell r="AR1299">
            <v>44288</v>
          </cell>
          <cell r="AS1299">
            <v>0</v>
          </cell>
          <cell r="AT1299">
            <v>0</v>
          </cell>
          <cell r="AX1299" t="str">
            <v>Yes</v>
          </cell>
          <cell r="AZ1299" t="str">
            <v>Y</v>
          </cell>
          <cell r="BA1299" t="str">
            <v>Yes</v>
          </cell>
        </row>
        <row r="1300">
          <cell r="B1300">
            <v>1150</v>
          </cell>
          <cell r="C1300" t="str">
            <v>C49SZX20210055SS</v>
          </cell>
          <cell r="D1300" t="str">
            <v>中润互联</v>
          </cell>
          <cell r="E1300" t="str">
            <v>YSM20R-2</v>
          </cell>
          <cell r="F1300" t="str">
            <v>#74022</v>
          </cell>
          <cell r="G1300" t="e">
            <v>#REF!</v>
          </cell>
          <cell r="H1300" t="e">
            <v>#REF!</v>
          </cell>
          <cell r="I1300" t="str">
            <v>R-&gt;L</v>
          </cell>
          <cell r="J1300" t="str">
            <v>No</v>
          </cell>
          <cell r="K1300">
            <v>1</v>
          </cell>
          <cell r="L1300" t="str">
            <v>110228(拆单110338)</v>
          </cell>
          <cell r="M1300" t="str">
            <v>MAY 21</v>
          </cell>
          <cell r="N1300">
            <v>44328</v>
          </cell>
          <cell r="O1300">
            <v>1100483</v>
          </cell>
          <cell r="P1300">
            <v>805000</v>
          </cell>
          <cell r="Q1300">
            <v>44343</v>
          </cell>
          <cell r="R1300" t="str">
            <v>No</v>
          </cell>
          <cell r="S1300" t="str">
            <v>C49</v>
          </cell>
          <cell r="T1300" t="str">
            <v>SOUTH</v>
          </cell>
          <cell r="U1300" t="str">
            <v>深圳</v>
          </cell>
          <cell r="V1300" t="str">
            <v>SZ 深圳</v>
          </cell>
          <cell r="W1300" t="str">
            <v>SS</v>
          </cell>
          <cell r="X1300" t="str">
            <v>RMB</v>
          </cell>
          <cell r="Y1300">
            <v>805000</v>
          </cell>
          <cell r="Z1300">
            <v>1.1299999999999999</v>
          </cell>
          <cell r="AA1300">
            <v>805000</v>
          </cell>
          <cell r="AB1300">
            <v>1.2</v>
          </cell>
          <cell r="AC1300">
            <v>854867.25663716823</v>
          </cell>
          <cell r="AD1300">
            <v>102584.07079646019</v>
          </cell>
          <cell r="AE1300">
            <v>0.12</v>
          </cell>
          <cell r="AF1300">
            <v>44249</v>
          </cell>
          <cell r="AG1300" t="str">
            <v>含税到厂</v>
          </cell>
          <cell r="AK1300">
            <v>0.1</v>
          </cell>
          <cell r="AL1300">
            <v>80500</v>
          </cell>
          <cell r="AM1300">
            <v>44253</v>
          </cell>
          <cell r="AN1300" t="str">
            <v>Yes</v>
          </cell>
          <cell r="AO1300">
            <v>0.9</v>
          </cell>
          <cell r="AP1300">
            <v>724500</v>
          </cell>
          <cell r="AQ1300">
            <v>44288</v>
          </cell>
          <cell r="AR1300">
            <v>44288</v>
          </cell>
          <cell r="AS1300">
            <v>0</v>
          </cell>
          <cell r="AT1300">
            <v>0</v>
          </cell>
          <cell r="AX1300" t="str">
            <v>Yes</v>
          </cell>
          <cell r="AZ1300" t="str">
            <v>Y</v>
          </cell>
          <cell r="BA1300" t="str">
            <v>Yes</v>
          </cell>
        </row>
        <row r="1301">
          <cell r="B1301">
            <v>1151</v>
          </cell>
          <cell r="C1301" t="str">
            <v>C49SZX20210219KW</v>
          </cell>
          <cell r="D1301" t="str">
            <v>伟盛贸易(富洛）/晶科</v>
          </cell>
          <cell r="E1301" t="str">
            <v>SIGMA G5S2</v>
          </cell>
          <cell r="F1301" t="str">
            <v>#03804</v>
          </cell>
          <cell r="G1301" t="e">
            <v>#REF!</v>
          </cell>
          <cell r="H1301" t="e">
            <v>#REF!</v>
          </cell>
          <cell r="I1301" t="str">
            <v>No</v>
          </cell>
          <cell r="J1301" t="str">
            <v>No</v>
          </cell>
          <cell r="K1301">
            <v>1</v>
          </cell>
          <cell r="L1301">
            <v>110352</v>
          </cell>
          <cell r="M1301" t="str">
            <v>JUN 21</v>
          </cell>
          <cell r="N1301">
            <v>44363</v>
          </cell>
          <cell r="O1301">
            <v>11116609</v>
          </cell>
          <cell r="P1301">
            <v>15800000</v>
          </cell>
          <cell r="Q1301">
            <v>44368</v>
          </cell>
          <cell r="R1301" t="str">
            <v>No</v>
          </cell>
          <cell r="S1301" t="str">
            <v>C49</v>
          </cell>
          <cell r="T1301" t="str">
            <v>SOUTH</v>
          </cell>
          <cell r="U1301" t="str">
            <v>深圳</v>
          </cell>
          <cell r="V1301" t="str">
            <v>SZ 深圳</v>
          </cell>
          <cell r="W1301" t="str">
            <v>KW</v>
          </cell>
          <cell r="X1301" t="str">
            <v>JPY</v>
          </cell>
          <cell r="Y1301">
            <v>15800000</v>
          </cell>
          <cell r="Z1301">
            <v>1</v>
          </cell>
          <cell r="AA1301">
            <v>15800000</v>
          </cell>
          <cell r="AB1301">
            <v>7.5700000000000003E-2</v>
          </cell>
          <cell r="AC1301">
            <v>1196060</v>
          </cell>
          <cell r="AD1301">
            <v>143527.19999999998</v>
          </cell>
          <cell r="AE1301">
            <v>0.12</v>
          </cell>
          <cell r="AF1301">
            <v>44252</v>
          </cell>
          <cell r="AG1301" t="str">
            <v>CIF HK</v>
          </cell>
          <cell r="AK1301">
            <v>0.3</v>
          </cell>
          <cell r="AL1301">
            <v>4740000</v>
          </cell>
          <cell r="AM1301">
            <v>44267</v>
          </cell>
          <cell r="AN1301" t="str">
            <v>Yes</v>
          </cell>
          <cell r="AO1301">
            <v>0.6</v>
          </cell>
          <cell r="AP1301">
            <v>9480000</v>
          </cell>
          <cell r="AQ1301">
            <v>44362</v>
          </cell>
          <cell r="AR1301">
            <v>44362</v>
          </cell>
          <cell r="AS1301">
            <v>0.1</v>
          </cell>
          <cell r="AT1301">
            <v>1580000</v>
          </cell>
          <cell r="AU1301">
            <v>44442</v>
          </cell>
          <cell r="AV1301">
            <v>44442</v>
          </cell>
          <cell r="AX1301" t="str">
            <v>Yes</v>
          </cell>
          <cell r="AZ1301" t="str">
            <v>Y</v>
          </cell>
          <cell r="BA1301" t="str">
            <v>Yes</v>
          </cell>
        </row>
        <row r="1302">
          <cell r="B1302">
            <v>1152</v>
          </cell>
          <cell r="C1302" t="str">
            <v>C49SZX20210051JY</v>
          </cell>
          <cell r="D1302" t="str">
            <v>络鑫（end user:东莞络鑫）</v>
          </cell>
          <cell r="E1302" t="str">
            <v>YSM20R-2</v>
          </cell>
          <cell r="F1302" t="str">
            <v>#03625</v>
          </cell>
          <cell r="G1302" t="e">
            <v>#REF!</v>
          </cell>
          <cell r="H1302" t="e">
            <v>#REF!</v>
          </cell>
          <cell r="I1302" t="str">
            <v>L-&gt;R</v>
          </cell>
          <cell r="J1302" t="str">
            <v>No</v>
          </cell>
          <cell r="K1302">
            <v>1</v>
          </cell>
          <cell r="L1302">
            <v>110245</v>
          </cell>
          <cell r="M1302" t="str">
            <v>APR 21</v>
          </cell>
          <cell r="N1302">
            <v>44314</v>
          </cell>
          <cell r="O1302">
            <v>11116564</v>
          </cell>
          <cell r="P1302">
            <v>13700000</v>
          </cell>
          <cell r="Q1302">
            <v>44287</v>
          </cell>
          <cell r="R1302" t="str">
            <v>No</v>
          </cell>
          <cell r="S1302" t="str">
            <v>C49</v>
          </cell>
          <cell r="T1302" t="str">
            <v>SOUTH</v>
          </cell>
          <cell r="U1302" t="str">
            <v>深圳</v>
          </cell>
          <cell r="V1302" t="str">
            <v>SZ 深圳</v>
          </cell>
          <cell r="W1302" t="str">
            <v>JY</v>
          </cell>
          <cell r="X1302" t="str">
            <v>JPY</v>
          </cell>
          <cell r="Y1302">
            <v>13700000</v>
          </cell>
          <cell r="Z1302">
            <v>1</v>
          </cell>
          <cell r="AA1302">
            <v>13700000</v>
          </cell>
          <cell r="AB1302">
            <v>7.4499999999999997E-2</v>
          </cell>
          <cell r="AC1302">
            <v>1020650</v>
          </cell>
          <cell r="AD1302">
            <v>122478</v>
          </cell>
          <cell r="AE1302">
            <v>0.12</v>
          </cell>
          <cell r="AF1302">
            <v>44259</v>
          </cell>
          <cell r="AG1302" t="str">
            <v>CIF HK</v>
          </cell>
          <cell r="AK1302">
            <v>0.1</v>
          </cell>
          <cell r="AL1302">
            <v>1370000</v>
          </cell>
          <cell r="AM1302">
            <v>44264</v>
          </cell>
          <cell r="AN1302" t="str">
            <v>Yes</v>
          </cell>
          <cell r="AO1302">
            <v>0.9</v>
          </cell>
          <cell r="AP1302">
            <v>12330000</v>
          </cell>
          <cell r="AQ1302">
            <v>44312</v>
          </cell>
          <cell r="AR1302">
            <v>44312</v>
          </cell>
          <cell r="AS1302">
            <v>0</v>
          </cell>
          <cell r="AT1302">
            <v>0</v>
          </cell>
          <cell r="AU1302">
            <v>44494</v>
          </cell>
          <cell r="AV1302">
            <v>44494</v>
          </cell>
          <cell r="AX1302" t="str">
            <v>Yes</v>
          </cell>
          <cell r="AZ1302" t="str">
            <v>Y</v>
          </cell>
          <cell r="BA1302" t="str">
            <v>Yes</v>
          </cell>
        </row>
        <row r="1303">
          <cell r="B1303">
            <v>1153</v>
          </cell>
          <cell r="C1303" t="str">
            <v>C49SZX20210052JY</v>
          </cell>
          <cell r="D1303" t="str">
            <v>江西络鑫</v>
          </cell>
          <cell r="E1303" t="str">
            <v>YSM20R-2</v>
          </cell>
          <cell r="F1303" t="str">
            <v>#03625</v>
          </cell>
          <cell r="G1303" t="e">
            <v>#REF!</v>
          </cell>
          <cell r="H1303" t="e">
            <v>#REF!</v>
          </cell>
          <cell r="I1303" t="str">
            <v>L-&gt;R</v>
          </cell>
          <cell r="J1303" t="str">
            <v>No</v>
          </cell>
          <cell r="K1303">
            <v>1</v>
          </cell>
          <cell r="L1303">
            <v>110635</v>
          </cell>
          <cell r="M1303" t="str">
            <v>DEC 21</v>
          </cell>
          <cell r="N1303">
            <v>44495</v>
          </cell>
          <cell r="O1303">
            <v>11116658</v>
          </cell>
          <cell r="P1303">
            <v>15000000</v>
          </cell>
          <cell r="Q1303">
            <v>44498</v>
          </cell>
          <cell r="R1303" t="str">
            <v>Yes</v>
          </cell>
          <cell r="S1303" t="str">
            <v>C49</v>
          </cell>
          <cell r="T1303" t="str">
            <v>SOUTH</v>
          </cell>
          <cell r="U1303" t="str">
            <v>深圳</v>
          </cell>
          <cell r="V1303" t="str">
            <v>SZ 深圳</v>
          </cell>
          <cell r="W1303" t="str">
            <v>JY</v>
          </cell>
          <cell r="X1303" t="str">
            <v>JPY</v>
          </cell>
          <cell r="Y1303">
            <v>15000000</v>
          </cell>
          <cell r="Z1303">
            <v>1</v>
          </cell>
          <cell r="AA1303">
            <v>15000000</v>
          </cell>
          <cell r="AB1303">
            <v>7.4499999999999997E-2</v>
          </cell>
          <cell r="AC1303">
            <v>1117500</v>
          </cell>
          <cell r="AD1303">
            <v>134100</v>
          </cell>
          <cell r="AE1303">
            <v>0.12</v>
          </cell>
          <cell r="AF1303">
            <v>44259</v>
          </cell>
          <cell r="AG1303" t="str">
            <v>CIF HK</v>
          </cell>
          <cell r="AK1303">
            <v>0.1</v>
          </cell>
          <cell r="AL1303">
            <v>1500000</v>
          </cell>
          <cell r="AM1303">
            <v>44264</v>
          </cell>
          <cell r="AN1303" t="str">
            <v>Yes</v>
          </cell>
          <cell r="AO1303">
            <v>0.9</v>
          </cell>
          <cell r="AP1303">
            <v>13500000</v>
          </cell>
          <cell r="AQ1303">
            <v>44494</v>
          </cell>
          <cell r="AR1303">
            <v>44494</v>
          </cell>
          <cell r="AS1303">
            <v>0</v>
          </cell>
          <cell r="AT1303">
            <v>0</v>
          </cell>
          <cell r="AX1303" t="str">
            <v>Yes</v>
          </cell>
          <cell r="AZ1303" t="str">
            <v>Y</v>
          </cell>
          <cell r="BA1303" t="str">
            <v>Yes</v>
          </cell>
        </row>
        <row r="1304">
          <cell r="B1304">
            <v>1154</v>
          </cell>
          <cell r="C1304" t="str">
            <v>C49SZX20210052JY</v>
          </cell>
          <cell r="D1304" t="str">
            <v>江西络鑫</v>
          </cell>
          <cell r="E1304" t="str">
            <v>YSM20R-2</v>
          </cell>
          <cell r="F1304" t="str">
            <v>#03625</v>
          </cell>
          <cell r="G1304" t="e">
            <v>#REF!</v>
          </cell>
          <cell r="H1304" t="e">
            <v>#REF!</v>
          </cell>
          <cell r="I1304" t="str">
            <v>L-&gt;R</v>
          </cell>
          <cell r="J1304" t="str">
            <v>No</v>
          </cell>
          <cell r="K1304">
            <v>1</v>
          </cell>
          <cell r="L1304">
            <v>110635</v>
          </cell>
          <cell r="M1304" t="str">
            <v>DEC 21</v>
          </cell>
          <cell r="N1304">
            <v>44495</v>
          </cell>
          <cell r="O1304">
            <v>11116658</v>
          </cell>
          <cell r="P1304">
            <v>15000000</v>
          </cell>
          <cell r="Q1304">
            <v>44498</v>
          </cell>
          <cell r="R1304" t="str">
            <v>Yes</v>
          </cell>
          <cell r="S1304" t="str">
            <v>C49</v>
          </cell>
          <cell r="T1304" t="str">
            <v>SOUTH</v>
          </cell>
          <cell r="U1304" t="str">
            <v>深圳</v>
          </cell>
          <cell r="V1304" t="str">
            <v>SZ 深圳</v>
          </cell>
          <cell r="W1304" t="str">
            <v>JY</v>
          </cell>
          <cell r="X1304" t="str">
            <v>JPY</v>
          </cell>
          <cell r="Y1304">
            <v>15000000</v>
          </cell>
          <cell r="Z1304">
            <v>1</v>
          </cell>
          <cell r="AA1304">
            <v>15000000</v>
          </cell>
          <cell r="AB1304">
            <v>7.4499999999999997E-2</v>
          </cell>
          <cell r="AC1304">
            <v>1117500</v>
          </cell>
          <cell r="AD1304">
            <v>134100</v>
          </cell>
          <cell r="AE1304">
            <v>0.12</v>
          </cell>
          <cell r="AF1304">
            <v>44259</v>
          </cell>
          <cell r="AG1304" t="str">
            <v>CIF HK</v>
          </cell>
          <cell r="AK1304">
            <v>0.1</v>
          </cell>
          <cell r="AL1304">
            <v>1500000</v>
          </cell>
          <cell r="AM1304">
            <v>44264</v>
          </cell>
          <cell r="AN1304" t="str">
            <v>Yes</v>
          </cell>
          <cell r="AO1304">
            <v>0.9</v>
          </cell>
          <cell r="AP1304">
            <v>13500000</v>
          </cell>
          <cell r="AQ1304">
            <v>44494</v>
          </cell>
          <cell r="AR1304">
            <v>44494</v>
          </cell>
          <cell r="AS1304">
            <v>0</v>
          </cell>
          <cell r="AT1304">
            <v>0</v>
          </cell>
          <cell r="AX1304" t="str">
            <v>Yes</v>
          </cell>
          <cell r="AZ1304" t="str">
            <v>Y</v>
          </cell>
          <cell r="BA1304" t="str">
            <v>Yes</v>
          </cell>
        </row>
        <row r="1305">
          <cell r="B1305">
            <v>1155</v>
          </cell>
          <cell r="C1305" t="str">
            <v>C49SZX20210052JY</v>
          </cell>
          <cell r="D1305" t="str">
            <v>江西络鑫</v>
          </cell>
          <cell r="E1305" t="str">
            <v>YSM20R-2</v>
          </cell>
          <cell r="F1305" t="str">
            <v>#03625</v>
          </cell>
          <cell r="G1305" t="e">
            <v>#REF!</v>
          </cell>
          <cell r="H1305" t="e">
            <v>#REF!</v>
          </cell>
          <cell r="I1305" t="str">
            <v>L-&gt;R</v>
          </cell>
          <cell r="J1305" t="str">
            <v>No</v>
          </cell>
          <cell r="K1305">
            <v>1</v>
          </cell>
          <cell r="L1305">
            <v>110558</v>
          </cell>
          <cell r="M1305" t="str">
            <v>OCT 21</v>
          </cell>
          <cell r="N1305">
            <v>44531</v>
          </cell>
          <cell r="O1305">
            <v>11116671</v>
          </cell>
          <cell r="P1305">
            <v>15000000</v>
          </cell>
          <cell r="Q1305">
            <v>44530</v>
          </cell>
          <cell r="R1305" t="str">
            <v>Yes</v>
          </cell>
          <cell r="S1305" t="str">
            <v>C49</v>
          </cell>
          <cell r="T1305" t="str">
            <v>SOUTH</v>
          </cell>
          <cell r="U1305" t="str">
            <v>深圳</v>
          </cell>
          <cell r="V1305" t="str">
            <v>SZ 深圳</v>
          </cell>
          <cell r="W1305" t="str">
            <v>JY</v>
          </cell>
          <cell r="X1305" t="str">
            <v>JPY</v>
          </cell>
          <cell r="Y1305">
            <v>15000000</v>
          </cell>
          <cell r="Z1305">
            <v>1</v>
          </cell>
          <cell r="AA1305">
            <v>15000000</v>
          </cell>
          <cell r="AB1305">
            <v>7.4499999999999997E-2</v>
          </cell>
          <cell r="AC1305">
            <v>1117500</v>
          </cell>
          <cell r="AD1305">
            <v>134100</v>
          </cell>
          <cell r="AE1305">
            <v>0.12</v>
          </cell>
          <cell r="AF1305">
            <v>44259</v>
          </cell>
          <cell r="AG1305" t="str">
            <v>CIF HK</v>
          </cell>
          <cell r="AK1305">
            <v>0.1</v>
          </cell>
          <cell r="AL1305">
            <v>1500000</v>
          </cell>
          <cell r="AM1305">
            <v>44264</v>
          </cell>
          <cell r="AN1305" t="str">
            <v>Yes</v>
          </cell>
          <cell r="AO1305">
            <v>0.9</v>
          </cell>
          <cell r="AP1305">
            <v>13500000</v>
          </cell>
          <cell r="AQ1305">
            <v>44529</v>
          </cell>
          <cell r="AR1305">
            <v>44529</v>
          </cell>
          <cell r="AS1305">
            <v>0</v>
          </cell>
          <cell r="AT1305">
            <v>0</v>
          </cell>
          <cell r="AX1305" t="str">
            <v>Yes</v>
          </cell>
          <cell r="AZ1305" t="str">
            <v>Y</v>
          </cell>
          <cell r="BA1305" t="str">
            <v>Yes</v>
          </cell>
        </row>
        <row r="1306">
          <cell r="B1306">
            <v>1156</v>
          </cell>
          <cell r="C1306" t="str">
            <v>C49SZX20210052JY</v>
          </cell>
          <cell r="D1306" t="str">
            <v>江西络鑫</v>
          </cell>
          <cell r="E1306" t="str">
            <v>YSM20R-2</v>
          </cell>
          <cell r="F1306" t="str">
            <v>#03625</v>
          </cell>
          <cell r="G1306" t="e">
            <v>#REF!</v>
          </cell>
          <cell r="H1306" t="e">
            <v>#REF!</v>
          </cell>
          <cell r="I1306" t="str">
            <v>L-&gt;R</v>
          </cell>
          <cell r="J1306" t="str">
            <v>No</v>
          </cell>
          <cell r="K1306">
            <v>1</v>
          </cell>
          <cell r="L1306">
            <v>110558</v>
          </cell>
          <cell r="M1306" t="str">
            <v>OCT 21</v>
          </cell>
          <cell r="N1306">
            <v>44531</v>
          </cell>
          <cell r="O1306">
            <v>11116671</v>
          </cell>
          <cell r="P1306">
            <v>15000000</v>
          </cell>
          <cell r="Q1306">
            <v>44530</v>
          </cell>
          <cell r="R1306" t="str">
            <v>Yes</v>
          </cell>
          <cell r="S1306" t="str">
            <v>C49</v>
          </cell>
          <cell r="T1306" t="str">
            <v>SOUTH</v>
          </cell>
          <cell r="U1306" t="str">
            <v>深圳</v>
          </cell>
          <cell r="V1306" t="str">
            <v>SZ 深圳</v>
          </cell>
          <cell r="W1306" t="str">
            <v>JY</v>
          </cell>
          <cell r="X1306" t="str">
            <v>JPY</v>
          </cell>
          <cell r="Y1306">
            <v>15000000</v>
          </cell>
          <cell r="Z1306">
            <v>1</v>
          </cell>
          <cell r="AA1306">
            <v>15000000</v>
          </cell>
          <cell r="AB1306">
            <v>7.4499999999999997E-2</v>
          </cell>
          <cell r="AC1306">
            <v>1117500</v>
          </cell>
          <cell r="AD1306">
            <v>134100</v>
          </cell>
          <cell r="AE1306">
            <v>0.12</v>
          </cell>
          <cell r="AF1306">
            <v>44259</v>
          </cell>
          <cell r="AG1306" t="str">
            <v>CIF HK</v>
          </cell>
          <cell r="AK1306">
            <v>0.1</v>
          </cell>
          <cell r="AL1306">
            <v>1500000</v>
          </cell>
          <cell r="AM1306">
            <v>44264</v>
          </cell>
          <cell r="AN1306" t="str">
            <v>Yes</v>
          </cell>
          <cell r="AO1306">
            <v>0.9</v>
          </cell>
          <cell r="AP1306">
            <v>13500000</v>
          </cell>
          <cell r="AQ1306">
            <v>44529</v>
          </cell>
          <cell r="AR1306">
            <v>44529</v>
          </cell>
          <cell r="AS1306">
            <v>0</v>
          </cell>
          <cell r="AT1306">
            <v>0</v>
          </cell>
          <cell r="AX1306" t="str">
            <v>Yes</v>
          </cell>
          <cell r="AZ1306" t="str">
            <v>Y</v>
          </cell>
          <cell r="BA1306" t="str">
            <v>Yes</v>
          </cell>
        </row>
        <row r="1307">
          <cell r="B1307">
            <v>1157</v>
          </cell>
          <cell r="C1307" t="str">
            <v>C49SZX20210051JY</v>
          </cell>
          <cell r="D1307" t="str">
            <v>络鑫（end user:东莞络鑫）</v>
          </cell>
          <cell r="E1307" t="str">
            <v>YSM10</v>
          </cell>
          <cell r="F1307" t="str">
            <v>#03625</v>
          </cell>
          <cell r="G1307" t="e">
            <v>#REF!</v>
          </cell>
          <cell r="H1307" t="e">
            <v>#REF!</v>
          </cell>
          <cell r="I1307" t="str">
            <v>L-&gt;R</v>
          </cell>
          <cell r="J1307" t="str">
            <v>MVC+ATS15</v>
          </cell>
          <cell r="K1307">
            <v>1</v>
          </cell>
          <cell r="L1307">
            <v>110096</v>
          </cell>
          <cell r="M1307" t="str">
            <v>APR 21</v>
          </cell>
          <cell r="N1307">
            <v>44314</v>
          </cell>
          <cell r="O1307">
            <v>11116564</v>
          </cell>
          <cell r="P1307">
            <v>7580700</v>
          </cell>
          <cell r="Q1307">
            <v>44287</v>
          </cell>
          <cell r="R1307" t="str">
            <v>No</v>
          </cell>
          <cell r="S1307" t="str">
            <v>C49</v>
          </cell>
          <cell r="T1307" t="str">
            <v>SOUTH</v>
          </cell>
          <cell r="U1307" t="str">
            <v>深圳</v>
          </cell>
          <cell r="V1307" t="str">
            <v>SZ 深圳</v>
          </cell>
          <cell r="W1307" t="str">
            <v>JY</v>
          </cell>
          <cell r="X1307" t="str">
            <v>JPY</v>
          </cell>
          <cell r="Y1307">
            <v>7580700</v>
          </cell>
          <cell r="Z1307">
            <v>1</v>
          </cell>
          <cell r="AA1307">
            <v>7580700</v>
          </cell>
          <cell r="AB1307">
            <v>7.4499999999999997E-2</v>
          </cell>
          <cell r="AC1307">
            <v>564762.15</v>
          </cell>
          <cell r="AD1307">
            <v>67771.457999999999</v>
          </cell>
          <cell r="AE1307">
            <v>0.12</v>
          </cell>
          <cell r="AF1307">
            <v>44259</v>
          </cell>
          <cell r="AG1307" t="str">
            <v>CIF HK</v>
          </cell>
          <cell r="AK1307">
            <v>0.1</v>
          </cell>
          <cell r="AL1307">
            <v>758070</v>
          </cell>
          <cell r="AM1307">
            <v>44264</v>
          </cell>
          <cell r="AN1307" t="str">
            <v>Yes</v>
          </cell>
          <cell r="AO1307">
            <v>0.9</v>
          </cell>
          <cell r="AP1307">
            <v>6822630</v>
          </cell>
          <cell r="AQ1307">
            <v>44312</v>
          </cell>
          <cell r="AR1307">
            <v>44312</v>
          </cell>
          <cell r="AS1307">
            <v>0</v>
          </cell>
          <cell r="AT1307">
            <v>0</v>
          </cell>
          <cell r="AX1307" t="str">
            <v>Yes</v>
          </cell>
          <cell r="AZ1307" t="str">
            <v>Y</v>
          </cell>
          <cell r="BA1307" t="str">
            <v>Yes</v>
          </cell>
        </row>
        <row r="1308">
          <cell r="B1308">
            <v>1158</v>
          </cell>
          <cell r="C1308" t="str">
            <v>C49SZX20210052JY</v>
          </cell>
          <cell r="D1308" t="str">
            <v>江西络鑫</v>
          </cell>
          <cell r="E1308" t="str">
            <v>YSM10</v>
          </cell>
          <cell r="F1308" t="str">
            <v>#03625</v>
          </cell>
          <cell r="G1308" t="e">
            <v>#REF!</v>
          </cell>
          <cell r="H1308" t="e">
            <v>#REF!</v>
          </cell>
          <cell r="I1308" t="str">
            <v>L-&gt;R</v>
          </cell>
          <cell r="J1308" t="str">
            <v>MVC+ATS15</v>
          </cell>
          <cell r="K1308">
            <v>1</v>
          </cell>
          <cell r="L1308">
            <v>110634</v>
          </cell>
          <cell r="M1308" t="str">
            <v>DEC 21</v>
          </cell>
          <cell r="N1308">
            <v>44495</v>
          </cell>
          <cell r="O1308">
            <v>11116658</v>
          </cell>
          <cell r="P1308">
            <v>8860125</v>
          </cell>
          <cell r="Q1308">
            <v>44498</v>
          </cell>
          <cell r="R1308" t="str">
            <v>Yes</v>
          </cell>
          <cell r="S1308" t="str">
            <v>C49</v>
          </cell>
          <cell r="T1308" t="str">
            <v>SOUTH</v>
          </cell>
          <cell r="U1308" t="str">
            <v>深圳</v>
          </cell>
          <cell r="V1308" t="str">
            <v>SZ 深圳</v>
          </cell>
          <cell r="W1308" t="str">
            <v>JY</v>
          </cell>
          <cell r="X1308" t="str">
            <v>JPY</v>
          </cell>
          <cell r="Y1308">
            <v>8860125</v>
          </cell>
          <cell r="Z1308">
            <v>1</v>
          </cell>
          <cell r="AA1308">
            <v>8860125</v>
          </cell>
          <cell r="AB1308">
            <v>7.4499999999999997E-2</v>
          </cell>
          <cell r="AC1308">
            <v>660079.3125</v>
          </cell>
          <cell r="AD1308">
            <v>79209.517500000002</v>
          </cell>
          <cell r="AE1308">
            <v>0.12</v>
          </cell>
          <cell r="AF1308">
            <v>44259</v>
          </cell>
          <cell r="AG1308" t="str">
            <v>CIF HK</v>
          </cell>
          <cell r="AK1308">
            <v>0.1</v>
          </cell>
          <cell r="AL1308">
            <v>886012.5</v>
          </cell>
          <cell r="AM1308">
            <v>44264</v>
          </cell>
          <cell r="AN1308" t="str">
            <v>Yes</v>
          </cell>
          <cell r="AO1308">
            <v>0.9</v>
          </cell>
          <cell r="AP1308">
            <v>7974112.5</v>
          </cell>
          <cell r="AQ1308">
            <v>44494</v>
          </cell>
          <cell r="AR1308">
            <v>44494</v>
          </cell>
          <cell r="AS1308">
            <v>0</v>
          </cell>
          <cell r="AT1308">
            <v>0</v>
          </cell>
          <cell r="AX1308" t="str">
            <v>Yes</v>
          </cell>
          <cell r="AZ1308" t="str">
            <v>Y</v>
          </cell>
          <cell r="BA1308" t="str">
            <v>Yes</v>
          </cell>
        </row>
        <row r="1309">
          <cell r="B1309">
            <v>1159</v>
          </cell>
          <cell r="C1309" t="str">
            <v>C49SZX20210052JY</v>
          </cell>
          <cell r="D1309" t="str">
            <v>江西络鑫</v>
          </cell>
          <cell r="E1309" t="str">
            <v>YSM10</v>
          </cell>
          <cell r="F1309" t="str">
            <v>#03625</v>
          </cell>
          <cell r="G1309" t="e">
            <v>#REF!</v>
          </cell>
          <cell r="H1309" t="e">
            <v>#REF!</v>
          </cell>
          <cell r="I1309" t="str">
            <v>L-&gt;R</v>
          </cell>
          <cell r="J1309" t="str">
            <v>MVC+ATS15</v>
          </cell>
          <cell r="K1309">
            <v>1</v>
          </cell>
          <cell r="L1309">
            <v>110634</v>
          </cell>
          <cell r="M1309" t="str">
            <v>DEC 21</v>
          </cell>
          <cell r="N1309">
            <v>44495</v>
          </cell>
          <cell r="O1309">
            <v>11116658</v>
          </cell>
          <cell r="P1309">
            <v>8860125</v>
          </cell>
          <cell r="Q1309">
            <v>44498</v>
          </cell>
          <cell r="R1309" t="str">
            <v>Yes</v>
          </cell>
          <cell r="S1309" t="str">
            <v>C49</v>
          </cell>
          <cell r="T1309" t="str">
            <v>SOUTH</v>
          </cell>
          <cell r="U1309" t="str">
            <v>深圳</v>
          </cell>
          <cell r="V1309" t="str">
            <v>SZ 深圳</v>
          </cell>
          <cell r="W1309" t="str">
            <v>JY</v>
          </cell>
          <cell r="X1309" t="str">
            <v>JPY</v>
          </cell>
          <cell r="Y1309">
            <v>8860125</v>
          </cell>
          <cell r="Z1309">
            <v>1</v>
          </cell>
          <cell r="AA1309">
            <v>8860125</v>
          </cell>
          <cell r="AB1309">
            <v>7.4499999999999997E-2</v>
          </cell>
          <cell r="AC1309">
            <v>660079.3125</v>
          </cell>
          <cell r="AD1309">
            <v>79209.517500000002</v>
          </cell>
          <cell r="AE1309">
            <v>0.12</v>
          </cell>
          <cell r="AF1309">
            <v>44259</v>
          </cell>
          <cell r="AG1309" t="str">
            <v>CIF HK</v>
          </cell>
          <cell r="AK1309">
            <v>0.1</v>
          </cell>
          <cell r="AL1309">
            <v>886012.5</v>
          </cell>
          <cell r="AM1309">
            <v>44264</v>
          </cell>
          <cell r="AN1309" t="str">
            <v>Yes</v>
          </cell>
          <cell r="AO1309">
            <v>0.9</v>
          </cell>
          <cell r="AP1309">
            <v>7974112.5</v>
          </cell>
          <cell r="AQ1309">
            <v>44494</v>
          </cell>
          <cell r="AR1309">
            <v>44494</v>
          </cell>
          <cell r="AS1309">
            <v>0</v>
          </cell>
          <cell r="AT1309">
            <v>0</v>
          </cell>
          <cell r="AX1309" t="str">
            <v>Yes</v>
          </cell>
          <cell r="AZ1309" t="str">
            <v>Y</v>
          </cell>
          <cell r="BA1309" t="str">
            <v>Yes</v>
          </cell>
        </row>
        <row r="1310">
          <cell r="B1310">
            <v>1160</v>
          </cell>
          <cell r="C1310" t="str">
            <v>C49SZX20210052JY</v>
          </cell>
          <cell r="D1310" t="str">
            <v>江西络鑫</v>
          </cell>
          <cell r="E1310" t="str">
            <v>YSM10</v>
          </cell>
          <cell r="F1310" t="str">
            <v>#03625</v>
          </cell>
          <cell r="G1310" t="e">
            <v>#REF!</v>
          </cell>
          <cell r="H1310" t="e">
            <v>#REF!</v>
          </cell>
          <cell r="I1310" t="str">
            <v>L-&gt;R</v>
          </cell>
          <cell r="J1310" t="str">
            <v>MVC+ATS15</v>
          </cell>
          <cell r="K1310">
            <v>1</v>
          </cell>
          <cell r="L1310">
            <v>110383</v>
          </cell>
          <cell r="M1310" t="str">
            <v>OCT 21</v>
          </cell>
          <cell r="N1310">
            <v>44531</v>
          </cell>
          <cell r="O1310">
            <v>11116671</v>
          </cell>
          <cell r="P1310">
            <v>8860125</v>
          </cell>
          <cell r="Q1310">
            <v>44530</v>
          </cell>
          <cell r="R1310" t="str">
            <v>Yes</v>
          </cell>
          <cell r="S1310" t="str">
            <v>C49</v>
          </cell>
          <cell r="T1310" t="str">
            <v>SOUTH</v>
          </cell>
          <cell r="U1310" t="str">
            <v>深圳</v>
          </cell>
          <cell r="V1310" t="str">
            <v>SZ 深圳</v>
          </cell>
          <cell r="W1310" t="str">
            <v>JY</v>
          </cell>
          <cell r="X1310" t="str">
            <v>JPY</v>
          </cell>
          <cell r="Y1310">
            <v>8860125</v>
          </cell>
          <cell r="Z1310">
            <v>1</v>
          </cell>
          <cell r="AA1310">
            <v>8860125</v>
          </cell>
          <cell r="AB1310">
            <v>7.4499999999999997E-2</v>
          </cell>
          <cell r="AC1310">
            <v>660079.3125</v>
          </cell>
          <cell r="AD1310">
            <v>79209.517500000002</v>
          </cell>
          <cell r="AE1310">
            <v>0.12</v>
          </cell>
          <cell r="AF1310">
            <v>44259</v>
          </cell>
          <cell r="AG1310" t="str">
            <v>CIF HK</v>
          </cell>
          <cell r="AK1310">
            <v>0.1</v>
          </cell>
          <cell r="AL1310">
            <v>886012.5</v>
          </cell>
          <cell r="AM1310">
            <v>44264</v>
          </cell>
          <cell r="AN1310" t="str">
            <v>Yes</v>
          </cell>
          <cell r="AO1310">
            <v>0.9</v>
          </cell>
          <cell r="AP1310">
            <v>7974112.5</v>
          </cell>
          <cell r="AQ1310">
            <v>44529</v>
          </cell>
          <cell r="AR1310">
            <v>44529</v>
          </cell>
          <cell r="AS1310">
            <v>0</v>
          </cell>
          <cell r="AT1310">
            <v>0</v>
          </cell>
          <cell r="AX1310" t="str">
            <v>Yes</v>
          </cell>
          <cell r="AZ1310" t="str">
            <v>Y</v>
          </cell>
          <cell r="BA1310" t="str">
            <v>Yes</v>
          </cell>
        </row>
        <row r="1311">
          <cell r="B1311">
            <v>1161</v>
          </cell>
          <cell r="C1311" t="str">
            <v>C49SZX20210052JY</v>
          </cell>
          <cell r="D1311" t="str">
            <v>江西络鑫</v>
          </cell>
          <cell r="E1311" t="str">
            <v>YSM10</v>
          </cell>
          <cell r="F1311" t="str">
            <v>#03625</v>
          </cell>
          <cell r="G1311" t="e">
            <v>#REF!</v>
          </cell>
          <cell r="H1311" t="e">
            <v>#REF!</v>
          </cell>
          <cell r="I1311" t="str">
            <v>L-&gt;R</v>
          </cell>
          <cell r="J1311" t="str">
            <v>MVC+ATS15</v>
          </cell>
          <cell r="K1311">
            <v>1</v>
          </cell>
          <cell r="L1311">
            <v>110593</v>
          </cell>
          <cell r="M1311" t="str">
            <v>OCT 21</v>
          </cell>
          <cell r="N1311">
            <v>44531</v>
          </cell>
          <cell r="O1311">
            <v>11116671</v>
          </cell>
          <cell r="P1311">
            <v>8860125</v>
          </cell>
          <cell r="Q1311">
            <v>44530</v>
          </cell>
          <cell r="R1311" t="str">
            <v>Yes</v>
          </cell>
          <cell r="S1311" t="str">
            <v>C49</v>
          </cell>
          <cell r="T1311" t="str">
            <v>SOUTH</v>
          </cell>
          <cell r="U1311" t="str">
            <v>深圳</v>
          </cell>
          <cell r="V1311" t="str">
            <v>SZ 深圳</v>
          </cell>
          <cell r="W1311" t="str">
            <v>JY</v>
          </cell>
          <cell r="X1311" t="str">
            <v>JPY</v>
          </cell>
          <cell r="Y1311">
            <v>8860125</v>
          </cell>
          <cell r="Z1311">
            <v>1</v>
          </cell>
          <cell r="AA1311">
            <v>8860125</v>
          </cell>
          <cell r="AB1311">
            <v>7.4499999999999997E-2</v>
          </cell>
          <cell r="AC1311">
            <v>660079.3125</v>
          </cell>
          <cell r="AD1311">
            <v>79209.517500000002</v>
          </cell>
          <cell r="AE1311">
            <v>0.12</v>
          </cell>
          <cell r="AF1311">
            <v>44259</v>
          </cell>
          <cell r="AG1311" t="str">
            <v>CIF HK</v>
          </cell>
          <cell r="AK1311">
            <v>0.1</v>
          </cell>
          <cell r="AL1311">
            <v>886012.5</v>
          </cell>
          <cell r="AM1311">
            <v>44264</v>
          </cell>
          <cell r="AN1311" t="str">
            <v>Yes</v>
          </cell>
          <cell r="AO1311">
            <v>0.9</v>
          </cell>
          <cell r="AP1311">
            <v>7974112.5</v>
          </cell>
          <cell r="AQ1311">
            <v>44529</v>
          </cell>
          <cell r="AR1311">
            <v>44529</v>
          </cell>
          <cell r="AS1311">
            <v>0</v>
          </cell>
          <cell r="AT1311">
            <v>0</v>
          </cell>
          <cell r="AX1311" t="str">
            <v>Yes</v>
          </cell>
          <cell r="AZ1311" t="str">
            <v>Y</v>
          </cell>
          <cell r="BA1311" t="str">
            <v>Yes</v>
          </cell>
        </row>
        <row r="1312">
          <cell r="B1312">
            <v>1162</v>
          </cell>
          <cell r="C1312" t="str">
            <v>C49SZX20210047JL</v>
          </cell>
          <cell r="D1312" t="str">
            <v>铭翔</v>
          </cell>
          <cell r="E1312" t="str">
            <v>YSM10</v>
          </cell>
          <cell r="F1312" t="str">
            <v>#54542</v>
          </cell>
          <cell r="G1312" t="e">
            <v>#REF!</v>
          </cell>
          <cell r="H1312" t="e">
            <v>#REF!</v>
          </cell>
          <cell r="I1312" t="str">
            <v>L-&gt;R</v>
          </cell>
          <cell r="J1312" t="str">
            <v>MVC</v>
          </cell>
          <cell r="K1312">
            <v>1</v>
          </cell>
          <cell r="L1312">
            <v>110347</v>
          </cell>
          <cell r="M1312" t="str">
            <v>APR 21</v>
          </cell>
          <cell r="N1312">
            <v>44313</v>
          </cell>
          <cell r="O1312">
            <v>11100478</v>
          </cell>
          <cell r="P1312">
            <v>500000</v>
          </cell>
          <cell r="Q1312">
            <v>44287</v>
          </cell>
          <cell r="R1312" t="str">
            <v>No</v>
          </cell>
          <cell r="S1312" t="str">
            <v>C49</v>
          </cell>
          <cell r="T1312" t="str">
            <v>SOUTH</v>
          </cell>
          <cell r="U1312" t="str">
            <v>深圳</v>
          </cell>
          <cell r="V1312" t="str">
            <v>SZ 深圳</v>
          </cell>
          <cell r="W1312" t="str">
            <v>JL</v>
          </cell>
          <cell r="X1312" t="str">
            <v>RMB</v>
          </cell>
          <cell r="Y1312">
            <v>500000</v>
          </cell>
          <cell r="Z1312">
            <v>1.1299999999999999</v>
          </cell>
          <cell r="AA1312">
            <v>500000</v>
          </cell>
          <cell r="AB1312">
            <v>1.2</v>
          </cell>
          <cell r="AC1312">
            <v>530973.45132743369</v>
          </cell>
          <cell r="AD1312">
            <v>63716.814159292044</v>
          </cell>
          <cell r="AE1312">
            <v>0.12</v>
          </cell>
          <cell r="AF1312">
            <v>44249</v>
          </cell>
          <cell r="AG1312" t="str">
            <v>含税到厂</v>
          </cell>
          <cell r="AK1312">
            <v>0.3</v>
          </cell>
          <cell r="AL1312">
            <v>150000</v>
          </cell>
          <cell r="AM1312">
            <v>44253</v>
          </cell>
          <cell r="AN1312" t="str">
            <v>Yes</v>
          </cell>
          <cell r="AO1312">
            <v>0.65</v>
          </cell>
          <cell r="AP1312">
            <v>325000</v>
          </cell>
          <cell r="AQ1312">
            <v>44302</v>
          </cell>
          <cell r="AR1312">
            <v>44302</v>
          </cell>
          <cell r="AS1312">
            <v>0.05</v>
          </cell>
          <cell r="AT1312">
            <v>25000</v>
          </cell>
          <cell r="AU1312">
            <v>44339</v>
          </cell>
          <cell r="AV1312">
            <v>44339</v>
          </cell>
          <cell r="AX1312" t="str">
            <v>Yes</v>
          </cell>
          <cell r="AZ1312" t="str">
            <v>Y</v>
          </cell>
          <cell r="BA1312" t="str">
            <v>Yes</v>
          </cell>
        </row>
        <row r="1313">
          <cell r="B1313">
            <v>1163</v>
          </cell>
          <cell r="C1313" t="str">
            <v>C49SZX20210059EC</v>
          </cell>
          <cell r="D1313" t="str">
            <v>骏孚</v>
          </cell>
          <cell r="E1313" t="str">
            <v>YSM10</v>
          </cell>
          <cell r="G1313" t="e">
            <v>#REF!</v>
          </cell>
          <cell r="H1313" t="e">
            <v>#REF!</v>
          </cell>
          <cell r="I1313" t="str">
            <v>R-&gt;L</v>
          </cell>
          <cell r="J1313" t="str">
            <v>MVC</v>
          </cell>
          <cell r="K1313">
            <v>1</v>
          </cell>
          <cell r="L1313">
            <v>110271</v>
          </cell>
          <cell r="M1313" t="str">
            <v>MAY 21</v>
          </cell>
          <cell r="N1313">
            <v>44323</v>
          </cell>
          <cell r="O1313">
            <v>1111650</v>
          </cell>
          <cell r="P1313">
            <v>8350000</v>
          </cell>
          <cell r="Q1313">
            <v>44333</v>
          </cell>
          <cell r="R1313" t="str">
            <v>Yes</v>
          </cell>
          <cell r="S1313" t="str">
            <v>C49</v>
          </cell>
          <cell r="T1313" t="str">
            <v>SOUTH</v>
          </cell>
          <cell r="U1313" t="str">
            <v>深圳</v>
          </cell>
          <cell r="V1313" t="str">
            <v>SZ 深圳</v>
          </cell>
          <cell r="W1313" t="str">
            <v>EC</v>
          </cell>
          <cell r="X1313" t="str">
            <v>JPY</v>
          </cell>
          <cell r="Y1313">
            <v>8350000</v>
          </cell>
          <cell r="Z1313">
            <v>1</v>
          </cell>
          <cell r="AA1313">
            <v>8350000</v>
          </cell>
          <cell r="AB1313">
            <v>7.4499999999999997E-2</v>
          </cell>
          <cell r="AC1313">
            <v>622075</v>
          </cell>
          <cell r="AD1313">
            <v>74649</v>
          </cell>
          <cell r="AE1313">
            <v>0.12</v>
          </cell>
          <cell r="AF1313">
            <v>44256</v>
          </cell>
          <cell r="AG1313" t="str">
            <v>DAP GZ</v>
          </cell>
          <cell r="AK1313">
            <v>0.1</v>
          </cell>
          <cell r="AL1313">
            <v>835000</v>
          </cell>
          <cell r="AM1313">
            <v>44257</v>
          </cell>
          <cell r="AN1313" t="str">
            <v>Yes</v>
          </cell>
          <cell r="AO1313">
            <v>0.9</v>
          </cell>
          <cell r="AP1313">
            <v>7515000</v>
          </cell>
          <cell r="AQ1313">
            <v>44314</v>
          </cell>
          <cell r="AR1313">
            <v>44314</v>
          </cell>
          <cell r="AS1313">
            <v>0</v>
          </cell>
          <cell r="AT1313">
            <v>0</v>
          </cell>
          <cell r="AX1313" t="str">
            <v>Yes</v>
          </cell>
          <cell r="AZ1313" t="str">
            <v>Y</v>
          </cell>
          <cell r="BA1313" t="str">
            <v>Yes</v>
          </cell>
        </row>
        <row r="1314">
          <cell r="B1314">
            <v>1164</v>
          </cell>
          <cell r="C1314" t="str">
            <v>C49SZX20210059EC</v>
          </cell>
          <cell r="D1314" t="str">
            <v>骏孚</v>
          </cell>
          <cell r="E1314" t="str">
            <v>YSM10</v>
          </cell>
          <cell r="G1314" t="e">
            <v>#REF!</v>
          </cell>
          <cell r="H1314" t="e">
            <v>#REF!</v>
          </cell>
          <cell r="I1314" t="str">
            <v>L-&gt;R</v>
          </cell>
          <cell r="J1314" t="str">
            <v>MVC</v>
          </cell>
          <cell r="K1314">
            <v>1</v>
          </cell>
          <cell r="L1314">
            <v>110872</v>
          </cell>
          <cell r="M1314" t="str">
            <v>JUL 22</v>
          </cell>
          <cell r="N1314">
            <v>44747</v>
          </cell>
          <cell r="O1314">
            <v>11116778</v>
          </cell>
          <cell r="P1314">
            <v>8350000</v>
          </cell>
          <cell r="Q1314">
            <v>44753</v>
          </cell>
          <cell r="R1314" t="str">
            <v>Yes</v>
          </cell>
          <cell r="S1314" t="str">
            <v>C49</v>
          </cell>
          <cell r="T1314" t="str">
            <v>SOUTH</v>
          </cell>
          <cell r="U1314" t="str">
            <v>深圳</v>
          </cell>
          <cell r="V1314" t="str">
            <v>SZ 深圳</v>
          </cell>
          <cell r="W1314" t="str">
            <v>EC</v>
          </cell>
          <cell r="X1314" t="str">
            <v>JPY</v>
          </cell>
          <cell r="Y1314">
            <v>8350000</v>
          </cell>
          <cell r="Z1314">
            <v>1</v>
          </cell>
          <cell r="AA1314">
            <v>8350000</v>
          </cell>
          <cell r="AB1314">
            <v>7.4499999999999997E-2</v>
          </cell>
          <cell r="AC1314">
            <v>622075</v>
          </cell>
          <cell r="AD1314">
            <v>74649</v>
          </cell>
          <cell r="AE1314">
            <v>0.12</v>
          </cell>
          <cell r="AF1314">
            <v>44256</v>
          </cell>
          <cell r="AG1314" t="str">
            <v>DAP GZ</v>
          </cell>
          <cell r="AK1314">
            <v>0.1</v>
          </cell>
          <cell r="AL1314">
            <v>835000</v>
          </cell>
          <cell r="AM1314">
            <v>44257</v>
          </cell>
          <cell r="AN1314" t="str">
            <v>Yes</v>
          </cell>
          <cell r="AO1314">
            <v>0.9</v>
          </cell>
          <cell r="AP1314">
            <v>7515000</v>
          </cell>
          <cell r="AQ1314">
            <v>44741</v>
          </cell>
          <cell r="AR1314">
            <v>44741</v>
          </cell>
          <cell r="AS1314">
            <v>0</v>
          </cell>
          <cell r="AT1314">
            <v>0</v>
          </cell>
          <cell r="AX1314" t="str">
            <v>Yes</v>
          </cell>
          <cell r="AZ1314" t="str">
            <v>Y</v>
          </cell>
          <cell r="BA1314" t="str">
            <v>Yes</v>
          </cell>
        </row>
        <row r="1315">
          <cell r="B1315">
            <v>1165</v>
          </cell>
          <cell r="C1315" t="str">
            <v>C49SZX20210056JL</v>
          </cell>
          <cell r="D1315" t="str">
            <v>瑞福联</v>
          </cell>
          <cell r="E1315" t="str">
            <v>YSM10</v>
          </cell>
          <cell r="F1315" t="str">
            <v>#75724</v>
          </cell>
          <cell r="G1315" t="e">
            <v>#REF!</v>
          </cell>
          <cell r="H1315" t="e">
            <v>#REF!</v>
          </cell>
          <cell r="I1315" t="str">
            <v>L-&gt;R</v>
          </cell>
          <cell r="J1315" t="str">
            <v>MVC</v>
          </cell>
          <cell r="K1315">
            <v>1</v>
          </cell>
          <cell r="L1315">
            <v>110246</v>
          </cell>
          <cell r="M1315" t="str">
            <v>MAY 21</v>
          </cell>
          <cell r="N1315">
            <v>44340</v>
          </cell>
          <cell r="O1315">
            <v>11116591</v>
          </cell>
          <cell r="P1315">
            <v>10500000</v>
          </cell>
          <cell r="Q1315">
            <v>44344</v>
          </cell>
          <cell r="R1315" t="str">
            <v>No</v>
          </cell>
          <cell r="S1315" t="str">
            <v>C49</v>
          </cell>
          <cell r="T1315" t="str">
            <v>SOUTH</v>
          </cell>
          <cell r="U1315" t="str">
            <v>深圳</v>
          </cell>
          <cell r="V1315" t="str">
            <v>SZ 深圳</v>
          </cell>
          <cell r="W1315" t="str">
            <v>JL</v>
          </cell>
          <cell r="X1315" t="str">
            <v>JPY</v>
          </cell>
          <cell r="Y1315">
            <v>10500000</v>
          </cell>
          <cell r="Z1315">
            <v>1</v>
          </cell>
          <cell r="AA1315">
            <v>10500000</v>
          </cell>
          <cell r="AB1315">
            <v>7.5700000000000003E-2</v>
          </cell>
          <cell r="AC1315">
            <v>794850</v>
          </cell>
          <cell r="AD1315">
            <v>95382</v>
          </cell>
          <cell r="AE1315">
            <v>0.12</v>
          </cell>
          <cell r="AF1315">
            <v>44251</v>
          </cell>
          <cell r="AG1315" t="str">
            <v>CIF HK</v>
          </cell>
          <cell r="AK1315" t="str">
            <v>Agree</v>
          </cell>
          <cell r="AL1315">
            <v>4769230</v>
          </cell>
          <cell r="AM1315">
            <v>44105</v>
          </cell>
          <cell r="AN1315" t="str">
            <v>Yes</v>
          </cell>
          <cell r="AO1315">
            <v>0.8</v>
          </cell>
          <cell r="AP1315">
            <v>5730770</v>
          </cell>
          <cell r="AQ1315">
            <v>44334</v>
          </cell>
          <cell r="AR1315">
            <v>44334</v>
          </cell>
          <cell r="AS1315">
            <v>0</v>
          </cell>
          <cell r="AT1315">
            <v>0</v>
          </cell>
          <cell r="AX1315" t="str">
            <v>Yes</v>
          </cell>
          <cell r="AZ1315" t="str">
            <v>Y</v>
          </cell>
          <cell r="BA1315" t="str">
            <v>Yes</v>
          </cell>
        </row>
        <row r="1316">
          <cell r="B1316">
            <v>1166</v>
          </cell>
          <cell r="C1316" t="str">
            <v>C49SZX20210060SX</v>
          </cell>
          <cell r="D1316" t="str">
            <v>岚新</v>
          </cell>
          <cell r="E1316" t="str">
            <v>YSM10</v>
          </cell>
          <cell r="F1316" t="str">
            <v>#05453</v>
          </cell>
          <cell r="G1316" t="e">
            <v>#REF!</v>
          </cell>
          <cell r="H1316" t="e">
            <v>#REF!</v>
          </cell>
          <cell r="I1316" t="str">
            <v>L-&gt;R</v>
          </cell>
          <cell r="J1316" t="str">
            <v>MVC</v>
          </cell>
          <cell r="K1316">
            <v>1</v>
          </cell>
          <cell r="L1316">
            <v>110271</v>
          </cell>
          <cell r="M1316" t="str">
            <v>MAY 21</v>
          </cell>
          <cell r="N1316">
            <v>44334</v>
          </cell>
          <cell r="O1316">
            <v>11116580</v>
          </cell>
          <cell r="P1316">
            <v>9600000</v>
          </cell>
          <cell r="Q1316">
            <v>44340</v>
          </cell>
          <cell r="R1316" t="str">
            <v>No</v>
          </cell>
          <cell r="S1316" t="str">
            <v>C49</v>
          </cell>
          <cell r="T1316" t="str">
            <v>SOUTH</v>
          </cell>
          <cell r="U1316" t="str">
            <v>深圳</v>
          </cell>
          <cell r="V1316" t="str">
            <v>SZ 深圳</v>
          </cell>
          <cell r="W1316" t="str">
            <v>SX</v>
          </cell>
          <cell r="X1316" t="str">
            <v>JPY</v>
          </cell>
          <cell r="Y1316">
            <v>9600000</v>
          </cell>
          <cell r="Z1316">
            <v>1</v>
          </cell>
          <cell r="AA1316">
            <v>9600000</v>
          </cell>
          <cell r="AB1316">
            <v>7.4499999999999997E-2</v>
          </cell>
          <cell r="AC1316">
            <v>715200</v>
          </cell>
          <cell r="AD1316">
            <v>85824</v>
          </cell>
          <cell r="AE1316">
            <v>0.12</v>
          </cell>
          <cell r="AF1316">
            <v>44256</v>
          </cell>
          <cell r="AG1316" t="str">
            <v>DAP DG</v>
          </cell>
          <cell r="AK1316">
            <v>0.2</v>
          </cell>
          <cell r="AL1316">
            <v>1920000</v>
          </cell>
          <cell r="AM1316">
            <v>44260</v>
          </cell>
          <cell r="AN1316" t="str">
            <v>Yes</v>
          </cell>
          <cell r="AO1316">
            <v>0.8</v>
          </cell>
          <cell r="AP1316">
            <v>7680000</v>
          </cell>
          <cell r="AQ1316">
            <v>44328</v>
          </cell>
          <cell r="AR1316">
            <v>44329</v>
          </cell>
          <cell r="AS1316">
            <v>0</v>
          </cell>
          <cell r="AT1316">
            <v>0</v>
          </cell>
          <cell r="AX1316" t="str">
            <v>Yes</v>
          </cell>
          <cell r="AZ1316" t="str">
            <v>Y</v>
          </cell>
          <cell r="BA1316" t="str">
            <v>Yes</v>
          </cell>
        </row>
        <row r="1317">
          <cell r="B1317">
            <v>1167</v>
          </cell>
          <cell r="C1317" t="str">
            <v>C49SZX20210049MX</v>
          </cell>
          <cell r="D1317" t="str">
            <v>智序</v>
          </cell>
          <cell r="E1317" t="str">
            <v>YSM20R-2</v>
          </cell>
          <cell r="F1317" t="str">
            <v>#04528</v>
          </cell>
          <cell r="G1317" t="e">
            <v>#REF!</v>
          </cell>
          <cell r="H1317" t="e">
            <v>#REF!</v>
          </cell>
          <cell r="I1317" t="str">
            <v>L-&gt;R</v>
          </cell>
          <cell r="J1317" t="str">
            <v>No</v>
          </cell>
          <cell r="K1317">
            <v>1</v>
          </cell>
          <cell r="L1317">
            <v>110212</v>
          </cell>
          <cell r="M1317" t="str">
            <v>APR 21</v>
          </cell>
          <cell r="N1317">
            <v>44316</v>
          </cell>
          <cell r="O1317">
            <v>11116565</v>
          </cell>
          <cell r="P1317">
            <v>10900000</v>
          </cell>
          <cell r="Q1317">
            <v>44287</v>
          </cell>
          <cell r="R1317" t="str">
            <v>No</v>
          </cell>
          <cell r="S1317" t="str">
            <v>C49</v>
          </cell>
          <cell r="T1317" t="str">
            <v>SOUTH</v>
          </cell>
          <cell r="U1317" t="str">
            <v>深圳</v>
          </cell>
          <cell r="V1317" t="str">
            <v>SZ 深圳</v>
          </cell>
          <cell r="W1317" t="str">
            <v>MX</v>
          </cell>
          <cell r="X1317" t="str">
            <v>JPY</v>
          </cell>
          <cell r="Y1317">
            <v>10900000</v>
          </cell>
          <cell r="Z1317">
            <v>1</v>
          </cell>
          <cell r="AA1317">
            <v>10900000</v>
          </cell>
          <cell r="AB1317">
            <v>7.4499999999999997E-2</v>
          </cell>
          <cell r="AC1317">
            <v>812050</v>
          </cell>
          <cell r="AD1317">
            <v>97446</v>
          </cell>
          <cell r="AE1317">
            <v>0.12</v>
          </cell>
          <cell r="AF1317">
            <v>44256</v>
          </cell>
          <cell r="AG1317" t="str">
            <v>DAP SZ</v>
          </cell>
          <cell r="AK1317">
            <v>0.1</v>
          </cell>
          <cell r="AL1317">
            <v>1090000</v>
          </cell>
          <cell r="AM1317">
            <v>44267</v>
          </cell>
          <cell r="AN1317" t="str">
            <v>Yes</v>
          </cell>
          <cell r="AO1317">
            <v>0.9</v>
          </cell>
          <cell r="AP1317">
            <v>9810000</v>
          </cell>
          <cell r="AQ1317">
            <v>44314</v>
          </cell>
          <cell r="AR1317">
            <v>44314</v>
          </cell>
          <cell r="AS1317">
            <v>0</v>
          </cell>
          <cell r="AT1317">
            <v>0</v>
          </cell>
          <cell r="AX1317" t="str">
            <v>Yes</v>
          </cell>
          <cell r="AZ1317" t="str">
            <v>Y</v>
          </cell>
          <cell r="BA1317" t="str">
            <v>Yes</v>
          </cell>
        </row>
        <row r="1318">
          <cell r="B1318">
            <v>1168</v>
          </cell>
          <cell r="C1318" t="str">
            <v>C49SZX20210049MX</v>
          </cell>
          <cell r="D1318" t="str">
            <v>智序</v>
          </cell>
          <cell r="E1318" t="str">
            <v>YSM20R-2</v>
          </cell>
          <cell r="F1318" t="str">
            <v>#04528</v>
          </cell>
          <cell r="G1318" t="e">
            <v>#REF!</v>
          </cell>
          <cell r="H1318" t="e">
            <v>#REF!</v>
          </cell>
          <cell r="I1318" t="str">
            <v>L-&gt;R</v>
          </cell>
          <cell r="J1318" t="str">
            <v>No</v>
          </cell>
          <cell r="K1318">
            <v>1</v>
          </cell>
          <cell r="L1318">
            <v>110153</v>
          </cell>
          <cell r="M1318" t="str">
            <v>APR 21</v>
          </cell>
          <cell r="N1318">
            <v>44316</v>
          </cell>
          <cell r="O1318">
            <v>11116565</v>
          </cell>
          <cell r="P1318">
            <v>10900000</v>
          </cell>
          <cell r="Q1318">
            <v>44287</v>
          </cell>
          <cell r="R1318" t="str">
            <v>No</v>
          </cell>
          <cell r="S1318" t="str">
            <v>C49</v>
          </cell>
          <cell r="T1318" t="str">
            <v>SOUTH</v>
          </cell>
          <cell r="U1318" t="str">
            <v>深圳</v>
          </cell>
          <cell r="V1318" t="str">
            <v>SZ 深圳</v>
          </cell>
          <cell r="W1318" t="str">
            <v>MX</v>
          </cell>
          <cell r="X1318" t="str">
            <v>JPY</v>
          </cell>
          <cell r="Y1318">
            <v>10900000</v>
          </cell>
          <cell r="Z1318">
            <v>1</v>
          </cell>
          <cell r="AA1318">
            <v>10900000</v>
          </cell>
          <cell r="AB1318">
            <v>7.4499999999999997E-2</v>
          </cell>
          <cell r="AC1318">
            <v>812050</v>
          </cell>
          <cell r="AD1318">
            <v>97446</v>
          </cell>
          <cell r="AE1318">
            <v>0.12</v>
          </cell>
          <cell r="AF1318">
            <v>44256</v>
          </cell>
          <cell r="AG1318" t="str">
            <v>DAP SZ</v>
          </cell>
          <cell r="AK1318">
            <v>0.1</v>
          </cell>
          <cell r="AL1318">
            <v>1090000</v>
          </cell>
          <cell r="AM1318">
            <v>44267</v>
          </cell>
          <cell r="AN1318" t="str">
            <v>Yes</v>
          </cell>
          <cell r="AO1318">
            <v>0.9</v>
          </cell>
          <cell r="AP1318">
            <v>9810000</v>
          </cell>
          <cell r="AQ1318">
            <v>44314</v>
          </cell>
          <cell r="AR1318">
            <v>44314</v>
          </cell>
          <cell r="AS1318">
            <v>0</v>
          </cell>
          <cell r="AT1318">
            <v>0</v>
          </cell>
          <cell r="AX1318" t="str">
            <v>Yes</v>
          </cell>
          <cell r="AZ1318" t="str">
            <v>Y</v>
          </cell>
          <cell r="BA1318" t="str">
            <v>Yes</v>
          </cell>
        </row>
        <row r="1319">
          <cell r="B1319">
            <v>1169</v>
          </cell>
          <cell r="C1319" t="str">
            <v>C49SZX20210049MX</v>
          </cell>
          <cell r="D1319" t="str">
            <v>智序</v>
          </cell>
          <cell r="E1319" t="str">
            <v>YSM20R-2</v>
          </cell>
          <cell r="F1319" t="str">
            <v>#04528</v>
          </cell>
          <cell r="G1319" t="e">
            <v>#REF!</v>
          </cell>
          <cell r="H1319" t="e">
            <v>#REF!</v>
          </cell>
          <cell r="I1319" t="str">
            <v>L-&gt;R</v>
          </cell>
          <cell r="J1319" t="str">
            <v>No</v>
          </cell>
          <cell r="K1319">
            <v>1</v>
          </cell>
          <cell r="L1319" t="str">
            <v>110437(拆单110365）</v>
          </cell>
          <cell r="M1319" t="str">
            <v>MAY 21</v>
          </cell>
          <cell r="N1319">
            <v>44347</v>
          </cell>
          <cell r="O1319">
            <v>11116595</v>
          </cell>
          <cell r="P1319">
            <v>10900000</v>
          </cell>
          <cell r="Q1319">
            <v>44347</v>
          </cell>
          <cell r="R1319" t="str">
            <v>No</v>
          </cell>
          <cell r="S1319" t="str">
            <v>C49</v>
          </cell>
          <cell r="T1319" t="str">
            <v>SOUTH</v>
          </cell>
          <cell r="U1319" t="str">
            <v>深圳</v>
          </cell>
          <cell r="V1319" t="str">
            <v>SZ 深圳</v>
          </cell>
          <cell r="W1319" t="str">
            <v>MX</v>
          </cell>
          <cell r="X1319" t="str">
            <v>JPY</v>
          </cell>
          <cell r="Y1319">
            <v>10900000</v>
          </cell>
          <cell r="Z1319">
            <v>1</v>
          </cell>
          <cell r="AA1319">
            <v>10900000</v>
          </cell>
          <cell r="AB1319">
            <v>7.4499999999999997E-2</v>
          </cell>
          <cell r="AC1319">
            <v>812050</v>
          </cell>
          <cell r="AD1319">
            <v>97446</v>
          </cell>
          <cell r="AE1319">
            <v>0.12</v>
          </cell>
          <cell r="AF1319">
            <v>44256</v>
          </cell>
          <cell r="AG1319" t="str">
            <v>DAP SZ</v>
          </cell>
          <cell r="AK1319">
            <v>0.1</v>
          </cell>
          <cell r="AL1319">
            <v>1090000</v>
          </cell>
          <cell r="AM1319">
            <v>44267</v>
          </cell>
          <cell r="AN1319" t="str">
            <v>Yes</v>
          </cell>
          <cell r="AO1319">
            <v>0.9</v>
          </cell>
          <cell r="AP1319">
            <v>9810000</v>
          </cell>
          <cell r="AQ1319">
            <v>44314</v>
          </cell>
          <cell r="AR1319">
            <v>44314</v>
          </cell>
          <cell r="AS1319">
            <v>0</v>
          </cell>
          <cell r="AT1319">
            <v>0</v>
          </cell>
          <cell r="AX1319" t="str">
            <v>Yes</v>
          </cell>
          <cell r="AZ1319" t="str">
            <v>Y</v>
          </cell>
          <cell r="BA1319" t="str">
            <v>Yes</v>
          </cell>
        </row>
        <row r="1320">
          <cell r="B1320">
            <v>1170</v>
          </cell>
          <cell r="C1320" t="str">
            <v>C49SZX20210049MX</v>
          </cell>
          <cell r="D1320" t="str">
            <v>智序</v>
          </cell>
          <cell r="E1320" t="str">
            <v>YSM20R-2</v>
          </cell>
          <cell r="F1320" t="str">
            <v>#04528</v>
          </cell>
          <cell r="G1320" t="e">
            <v>#REF!</v>
          </cell>
          <cell r="H1320" t="e">
            <v>#REF!</v>
          </cell>
          <cell r="I1320" t="str">
            <v>L-&gt;R</v>
          </cell>
          <cell r="J1320" t="str">
            <v>No</v>
          </cell>
          <cell r="K1320">
            <v>1</v>
          </cell>
          <cell r="L1320" t="e">
            <v>#N/A</v>
          </cell>
          <cell r="M1320" t="e">
            <v>#N/A</v>
          </cell>
          <cell r="N1320"/>
          <cell r="O1320"/>
          <cell r="P1320"/>
          <cell r="Q1320"/>
          <cell r="R1320" t="str">
            <v>No</v>
          </cell>
          <cell r="S1320" t="str">
            <v>C49</v>
          </cell>
          <cell r="T1320" t="str">
            <v>SOUTH</v>
          </cell>
          <cell r="U1320" t="str">
            <v>深圳</v>
          </cell>
          <cell r="V1320" t="str">
            <v>SZ 深圳</v>
          </cell>
          <cell r="W1320" t="str">
            <v>MX</v>
          </cell>
          <cell r="X1320" t="str">
            <v>JPY</v>
          </cell>
          <cell r="Y1320">
            <v>10900000</v>
          </cell>
          <cell r="Z1320">
            <v>1</v>
          </cell>
          <cell r="AA1320">
            <v>10900000</v>
          </cell>
          <cell r="AB1320">
            <v>7.4499999999999997E-2</v>
          </cell>
          <cell r="AC1320">
            <v>812050</v>
          </cell>
          <cell r="AD1320">
            <v>97446</v>
          </cell>
          <cell r="AE1320">
            <v>0.12</v>
          </cell>
          <cell r="AF1320">
            <v>44256</v>
          </cell>
          <cell r="AG1320" t="str">
            <v>DAP SZ</v>
          </cell>
          <cell r="AI1320"/>
          <cell r="AJ1320"/>
          <cell r="AK1320">
            <v>0.1</v>
          </cell>
          <cell r="AL1320">
            <v>1090000</v>
          </cell>
          <cell r="AM1320">
            <v>44267</v>
          </cell>
          <cell r="AN1320" t="str">
            <v>Yes</v>
          </cell>
          <cell r="AO1320">
            <v>0.9</v>
          </cell>
          <cell r="AP1320">
            <v>9810000</v>
          </cell>
          <cell r="AQ1320"/>
          <cell r="AR1320"/>
          <cell r="AS1320">
            <v>0</v>
          </cell>
          <cell r="AT1320">
            <v>0</v>
          </cell>
          <cell r="AV1320"/>
          <cell r="AX1320" t="str">
            <v>Cancel</v>
          </cell>
          <cell r="AY1320"/>
          <cell r="AZ1320"/>
          <cell r="BA1320" t="str">
            <v>Cancel</v>
          </cell>
          <cell r="BB1320" t="str">
            <v>2022-8-2Ken邮件通知</v>
          </cell>
        </row>
        <row r="1321">
          <cell r="B1321">
            <v>1171</v>
          </cell>
          <cell r="C1321" t="str">
            <v>C49SZX20210049MX</v>
          </cell>
          <cell r="D1321" t="str">
            <v>智序</v>
          </cell>
          <cell r="E1321" t="str">
            <v>YSM20R-2</v>
          </cell>
          <cell r="F1321" t="str">
            <v>#04528</v>
          </cell>
          <cell r="G1321" t="e">
            <v>#REF!</v>
          </cell>
          <cell r="H1321" t="e">
            <v>#REF!</v>
          </cell>
          <cell r="I1321" t="str">
            <v>L-&gt;R</v>
          </cell>
          <cell r="J1321" t="str">
            <v>No</v>
          </cell>
          <cell r="K1321">
            <v>1</v>
          </cell>
          <cell r="L1321" t="str">
            <v>110960(拆单111038)</v>
          </cell>
          <cell r="M1321" t="str">
            <v>AUG 22</v>
          </cell>
          <cell r="N1321">
            <v>44347</v>
          </cell>
          <cell r="O1321">
            <v>11116595</v>
          </cell>
          <cell r="P1321">
            <v>10900000</v>
          </cell>
          <cell r="Q1321">
            <v>44347</v>
          </cell>
          <cell r="R1321" t="str">
            <v>No</v>
          </cell>
          <cell r="S1321" t="str">
            <v>C49</v>
          </cell>
          <cell r="T1321" t="str">
            <v>SOUTH</v>
          </cell>
          <cell r="U1321" t="str">
            <v>深圳</v>
          </cell>
          <cell r="V1321" t="str">
            <v>SZ 深圳</v>
          </cell>
          <cell r="W1321" t="str">
            <v>MX</v>
          </cell>
          <cell r="X1321" t="str">
            <v>JPY</v>
          </cell>
          <cell r="Y1321">
            <v>10900000</v>
          </cell>
          <cell r="Z1321">
            <v>1</v>
          </cell>
          <cell r="AA1321">
            <v>10900000</v>
          </cell>
          <cell r="AB1321">
            <v>7.4499999999999997E-2</v>
          </cell>
          <cell r="AC1321">
            <v>812050</v>
          </cell>
          <cell r="AD1321">
            <v>97446</v>
          </cell>
          <cell r="AE1321">
            <v>0.12</v>
          </cell>
          <cell r="AF1321">
            <v>44256</v>
          </cell>
          <cell r="AG1321" t="str">
            <v>DAP SZ</v>
          </cell>
          <cell r="AK1321">
            <v>0.1</v>
          </cell>
          <cell r="AL1321">
            <v>1090000</v>
          </cell>
          <cell r="AM1321">
            <v>44267</v>
          </cell>
          <cell r="AN1321" t="str">
            <v>Yes</v>
          </cell>
          <cell r="AO1321">
            <v>0.9</v>
          </cell>
          <cell r="AP1321">
            <v>9810000</v>
          </cell>
          <cell r="AQ1321">
            <v>44314</v>
          </cell>
          <cell r="AR1321">
            <v>44314</v>
          </cell>
          <cell r="AS1321">
            <v>0</v>
          </cell>
          <cell r="AT1321">
            <v>0</v>
          </cell>
          <cell r="AX1321" t="str">
            <v>Yes</v>
          </cell>
        </row>
        <row r="1322">
          <cell r="B1322">
            <v>1172</v>
          </cell>
          <cell r="C1322" t="str">
            <v>C49SZX20210049MX</v>
          </cell>
          <cell r="D1322" t="str">
            <v>智序</v>
          </cell>
          <cell r="E1322" t="str">
            <v>YSM20R-2</v>
          </cell>
          <cell r="F1322" t="str">
            <v>#04528</v>
          </cell>
          <cell r="G1322" t="e">
            <v>#REF!</v>
          </cell>
          <cell r="H1322" t="e">
            <v>#REF!</v>
          </cell>
          <cell r="I1322" t="str">
            <v>L-&gt;R</v>
          </cell>
          <cell r="J1322" t="str">
            <v>No</v>
          </cell>
          <cell r="K1322">
            <v>1</v>
          </cell>
          <cell r="L1322" t="e">
            <v>#N/A</v>
          </cell>
          <cell r="M1322" t="e">
            <v>#N/A</v>
          </cell>
          <cell r="N1322"/>
          <cell r="O1322"/>
          <cell r="P1322"/>
          <cell r="Q1322"/>
          <cell r="R1322" t="str">
            <v>No</v>
          </cell>
          <cell r="S1322" t="str">
            <v>C49</v>
          </cell>
          <cell r="T1322" t="str">
            <v>SOUTH</v>
          </cell>
          <cell r="U1322" t="str">
            <v>深圳</v>
          </cell>
          <cell r="V1322" t="str">
            <v>SZ 深圳</v>
          </cell>
          <cell r="W1322" t="str">
            <v>MX</v>
          </cell>
          <cell r="X1322" t="str">
            <v>JPY</v>
          </cell>
          <cell r="Y1322">
            <v>10900000</v>
          </cell>
          <cell r="Z1322">
            <v>1</v>
          </cell>
          <cell r="AA1322">
            <v>10900000</v>
          </cell>
          <cell r="AB1322">
            <v>7.4499999999999997E-2</v>
          </cell>
          <cell r="AC1322">
            <v>812050</v>
          </cell>
          <cell r="AD1322">
            <v>97446</v>
          </cell>
          <cell r="AE1322">
            <v>0.12</v>
          </cell>
          <cell r="AF1322">
            <v>44256</v>
          </cell>
          <cell r="AG1322" t="str">
            <v>DAP SZ</v>
          </cell>
          <cell r="AI1322"/>
          <cell r="AJ1322"/>
          <cell r="AK1322">
            <v>0.1</v>
          </cell>
          <cell r="AL1322">
            <v>1090000</v>
          </cell>
          <cell r="AM1322">
            <v>44267</v>
          </cell>
          <cell r="AN1322" t="str">
            <v>Yes</v>
          </cell>
          <cell r="AO1322">
            <v>0.9</v>
          </cell>
          <cell r="AP1322">
            <v>9810000</v>
          </cell>
          <cell r="AQ1322"/>
          <cell r="AR1322"/>
          <cell r="AS1322">
            <v>0</v>
          </cell>
          <cell r="AT1322">
            <v>0</v>
          </cell>
          <cell r="AV1322"/>
          <cell r="AX1322" t="str">
            <v>Cancel</v>
          </cell>
          <cell r="AY1322"/>
          <cell r="AZ1322"/>
          <cell r="BA1322" t="str">
            <v>Cancel</v>
          </cell>
          <cell r="BB1322" t="str">
            <v>2022-8-2Ken邮件通知</v>
          </cell>
        </row>
        <row r="1323">
          <cell r="B1323">
            <v>1173</v>
          </cell>
          <cell r="C1323" t="str">
            <v>C49SZX20210049MX</v>
          </cell>
          <cell r="D1323" t="str">
            <v>智序</v>
          </cell>
          <cell r="E1323" t="str">
            <v>YSM20R-2</v>
          </cell>
          <cell r="F1323" t="str">
            <v>#04528</v>
          </cell>
          <cell r="G1323" t="e">
            <v>#REF!</v>
          </cell>
          <cell r="H1323" t="e">
            <v>#REF!</v>
          </cell>
          <cell r="I1323" t="str">
            <v>L-&gt;R</v>
          </cell>
          <cell r="J1323" t="str">
            <v>No</v>
          </cell>
          <cell r="K1323">
            <v>1</v>
          </cell>
          <cell r="L1323">
            <v>110212</v>
          </cell>
          <cell r="M1323" t="str">
            <v>APR 21</v>
          </cell>
          <cell r="N1323">
            <v>44316</v>
          </cell>
          <cell r="O1323">
            <v>11116565</v>
          </cell>
          <cell r="P1323">
            <v>10900000</v>
          </cell>
          <cell r="Q1323">
            <v>44287</v>
          </cell>
          <cell r="R1323" t="str">
            <v>No</v>
          </cell>
          <cell r="S1323" t="str">
            <v>C49</v>
          </cell>
          <cell r="T1323" t="str">
            <v>SOUTH</v>
          </cell>
          <cell r="U1323" t="str">
            <v>深圳</v>
          </cell>
          <cell r="V1323" t="str">
            <v>SZ 深圳</v>
          </cell>
          <cell r="W1323" t="str">
            <v>MX</v>
          </cell>
          <cell r="X1323" t="str">
            <v>JPY</v>
          </cell>
          <cell r="Y1323">
            <v>10900000</v>
          </cell>
          <cell r="Z1323">
            <v>1</v>
          </cell>
          <cell r="AA1323">
            <v>10900000</v>
          </cell>
          <cell r="AB1323">
            <v>7.4499999999999997E-2</v>
          </cell>
          <cell r="AC1323">
            <v>812050</v>
          </cell>
          <cell r="AD1323">
            <v>97446</v>
          </cell>
          <cell r="AE1323">
            <v>0.12</v>
          </cell>
          <cell r="AF1323">
            <v>44256</v>
          </cell>
          <cell r="AG1323" t="str">
            <v>DAP SZ</v>
          </cell>
          <cell r="AI1323"/>
          <cell r="AJ1323"/>
          <cell r="AK1323">
            <v>0.1</v>
          </cell>
          <cell r="AL1323">
            <v>1090000</v>
          </cell>
          <cell r="AM1323">
            <v>44267</v>
          </cell>
          <cell r="AN1323" t="str">
            <v>Yes</v>
          </cell>
          <cell r="AO1323">
            <v>0.9</v>
          </cell>
          <cell r="AP1323">
            <v>9810000</v>
          </cell>
          <cell r="AQ1323">
            <v>44314</v>
          </cell>
          <cell r="AR1323">
            <v>44314</v>
          </cell>
          <cell r="AS1323">
            <v>0</v>
          </cell>
          <cell r="AT1323">
            <v>0</v>
          </cell>
          <cell r="AV1323"/>
          <cell r="AX1323" t="str">
            <v>Yes</v>
          </cell>
          <cell r="AY1323"/>
          <cell r="AZ1323"/>
          <cell r="BA1323"/>
        </row>
        <row r="1324">
          <cell r="B1324">
            <v>1174</v>
          </cell>
          <cell r="C1324" t="str">
            <v>C49SZX20210049MX</v>
          </cell>
          <cell r="D1324" t="str">
            <v>智序</v>
          </cell>
          <cell r="E1324" t="str">
            <v>YSM20R-2</v>
          </cell>
          <cell r="F1324" t="str">
            <v>#04528</v>
          </cell>
          <cell r="G1324" t="e">
            <v>#REF!</v>
          </cell>
          <cell r="H1324" t="e">
            <v>#REF!</v>
          </cell>
          <cell r="I1324" t="str">
            <v>L-&gt;R</v>
          </cell>
          <cell r="J1324" t="str">
            <v>No</v>
          </cell>
          <cell r="K1324">
            <v>1</v>
          </cell>
          <cell r="L1324" t="e">
            <v>#N/A</v>
          </cell>
          <cell r="M1324" t="e">
            <v>#N/A</v>
          </cell>
          <cell r="N1324"/>
          <cell r="O1324"/>
          <cell r="P1324"/>
          <cell r="Q1324"/>
          <cell r="R1324" t="str">
            <v>No</v>
          </cell>
          <cell r="S1324" t="str">
            <v>C49</v>
          </cell>
          <cell r="T1324" t="str">
            <v>SOUTH</v>
          </cell>
          <cell r="U1324" t="str">
            <v>深圳</v>
          </cell>
          <cell r="V1324" t="str">
            <v>SZ 深圳</v>
          </cell>
          <cell r="W1324" t="str">
            <v>MX</v>
          </cell>
          <cell r="X1324" t="str">
            <v>JPY</v>
          </cell>
          <cell r="Y1324">
            <v>10900000</v>
          </cell>
          <cell r="Z1324">
            <v>1</v>
          </cell>
          <cell r="AA1324">
            <v>10900000</v>
          </cell>
          <cell r="AB1324">
            <v>7.4499999999999997E-2</v>
          </cell>
          <cell r="AC1324">
            <v>812050</v>
          </cell>
          <cell r="AD1324">
            <v>97446</v>
          </cell>
          <cell r="AE1324">
            <v>0.12</v>
          </cell>
          <cell r="AF1324">
            <v>44256</v>
          </cell>
          <cell r="AG1324" t="str">
            <v>DAP SZ</v>
          </cell>
          <cell r="AI1324"/>
          <cell r="AJ1324"/>
          <cell r="AK1324">
            <v>0.1</v>
          </cell>
          <cell r="AL1324">
            <v>1090000</v>
          </cell>
          <cell r="AM1324">
            <v>44267</v>
          </cell>
          <cell r="AN1324" t="str">
            <v>Yes</v>
          </cell>
          <cell r="AO1324">
            <v>0.9</v>
          </cell>
          <cell r="AP1324">
            <v>9810000</v>
          </cell>
          <cell r="AQ1324"/>
          <cell r="AR1324"/>
          <cell r="AS1324">
            <v>0</v>
          </cell>
          <cell r="AT1324">
            <v>0</v>
          </cell>
          <cell r="AV1324"/>
          <cell r="AX1324" t="str">
            <v>Cancel</v>
          </cell>
          <cell r="AY1324"/>
          <cell r="AZ1324"/>
          <cell r="BA1324" t="str">
            <v>Cancel</v>
          </cell>
          <cell r="BB1324" t="str">
            <v>2022-8-2Ken邮件通知</v>
          </cell>
        </row>
        <row r="1325">
          <cell r="B1325">
            <v>1175</v>
          </cell>
          <cell r="C1325" t="str">
            <v>C49SZX20210049MX</v>
          </cell>
          <cell r="D1325" t="str">
            <v>智序</v>
          </cell>
          <cell r="E1325" t="str">
            <v>YSM20R-2</v>
          </cell>
          <cell r="F1325" t="str">
            <v>#04528</v>
          </cell>
          <cell r="G1325" t="e">
            <v>#REF!</v>
          </cell>
          <cell r="H1325" t="e">
            <v>#REF!</v>
          </cell>
          <cell r="I1325" t="str">
            <v>L-&gt;R</v>
          </cell>
          <cell r="J1325" t="str">
            <v>No</v>
          </cell>
          <cell r="K1325">
            <v>1</v>
          </cell>
          <cell r="L1325">
            <v>110236</v>
          </cell>
          <cell r="M1325" t="str">
            <v>MAY 21</v>
          </cell>
          <cell r="N1325">
            <v>44347</v>
          </cell>
          <cell r="O1325">
            <v>11116595</v>
          </cell>
          <cell r="P1325">
            <v>10900000</v>
          </cell>
          <cell r="Q1325">
            <v>44347</v>
          </cell>
          <cell r="R1325" t="str">
            <v>No</v>
          </cell>
          <cell r="S1325" t="str">
            <v>C49</v>
          </cell>
          <cell r="T1325" t="str">
            <v>SOUTH</v>
          </cell>
          <cell r="U1325" t="str">
            <v>深圳</v>
          </cell>
          <cell r="V1325" t="str">
            <v>SZ 深圳</v>
          </cell>
          <cell r="W1325" t="str">
            <v>MX</v>
          </cell>
          <cell r="X1325" t="str">
            <v>JPY</v>
          </cell>
          <cell r="Y1325">
            <v>10900000</v>
          </cell>
          <cell r="Z1325">
            <v>1</v>
          </cell>
          <cell r="AA1325">
            <v>10900000</v>
          </cell>
          <cell r="AB1325">
            <v>7.4499999999999997E-2</v>
          </cell>
          <cell r="AC1325">
            <v>812050</v>
          </cell>
          <cell r="AD1325">
            <v>97446</v>
          </cell>
          <cell r="AE1325">
            <v>0.12</v>
          </cell>
          <cell r="AF1325">
            <v>44256</v>
          </cell>
          <cell r="AG1325" t="str">
            <v>DAP SZ</v>
          </cell>
          <cell r="AK1325">
            <v>0.1</v>
          </cell>
          <cell r="AL1325">
            <v>1090000</v>
          </cell>
          <cell r="AM1325">
            <v>44267</v>
          </cell>
          <cell r="AN1325" t="str">
            <v>Yes</v>
          </cell>
          <cell r="AO1325">
            <v>0.9</v>
          </cell>
          <cell r="AP1325">
            <v>9810000</v>
          </cell>
          <cell r="AQ1325">
            <v>44314</v>
          </cell>
          <cell r="AR1325">
            <v>44314</v>
          </cell>
          <cell r="AS1325">
            <v>0</v>
          </cell>
          <cell r="AT1325">
            <v>0</v>
          </cell>
          <cell r="AX1325" t="str">
            <v>Yes</v>
          </cell>
        </row>
        <row r="1326">
          <cell r="B1326">
            <v>1176</v>
          </cell>
          <cell r="C1326" t="str">
            <v>C49SZX20210049MX</v>
          </cell>
          <cell r="D1326" t="str">
            <v>智序</v>
          </cell>
          <cell r="E1326" t="str">
            <v>YSM20R-2</v>
          </cell>
          <cell r="F1326" t="str">
            <v>#04528</v>
          </cell>
          <cell r="G1326" t="e">
            <v>#REF!</v>
          </cell>
          <cell r="H1326" t="e">
            <v>#REF!</v>
          </cell>
          <cell r="I1326" t="str">
            <v>L-&gt;R</v>
          </cell>
          <cell r="J1326" t="str">
            <v>No</v>
          </cell>
          <cell r="K1326">
            <v>1</v>
          </cell>
          <cell r="L1326">
            <v>110236</v>
          </cell>
          <cell r="M1326"/>
          <cell r="N1326">
            <v>44797</v>
          </cell>
          <cell r="O1326">
            <v>11116796</v>
          </cell>
          <cell r="P1326">
            <v>10900000</v>
          </cell>
          <cell r="Q1326">
            <v>44796</v>
          </cell>
          <cell r="R1326" t="str">
            <v>No</v>
          </cell>
          <cell r="S1326" t="str">
            <v>C49</v>
          </cell>
          <cell r="T1326" t="str">
            <v>SOUTH</v>
          </cell>
          <cell r="U1326" t="str">
            <v>深圳</v>
          </cell>
          <cell r="V1326" t="str">
            <v>SZ 深圳</v>
          </cell>
          <cell r="W1326" t="str">
            <v>MX</v>
          </cell>
          <cell r="X1326" t="str">
            <v>JPY</v>
          </cell>
          <cell r="Y1326">
            <v>10900000</v>
          </cell>
          <cell r="Z1326">
            <v>1</v>
          </cell>
          <cell r="AA1326">
            <v>10900000</v>
          </cell>
          <cell r="AB1326">
            <v>7.4499999999999997E-2</v>
          </cell>
          <cell r="AC1326">
            <v>812050</v>
          </cell>
          <cell r="AD1326">
            <v>97446</v>
          </cell>
          <cell r="AE1326">
            <v>0.12</v>
          </cell>
          <cell r="AF1326">
            <v>44256</v>
          </cell>
          <cell r="AG1326" t="str">
            <v>DAP SZ</v>
          </cell>
          <cell r="AK1326">
            <v>0.1</v>
          </cell>
          <cell r="AL1326">
            <v>1090000</v>
          </cell>
          <cell r="AM1326">
            <v>44267</v>
          </cell>
          <cell r="AN1326" t="str">
            <v>Yes</v>
          </cell>
          <cell r="AO1326">
            <v>0.9</v>
          </cell>
          <cell r="AP1326">
            <v>9810000</v>
          </cell>
          <cell r="AQ1326">
            <v>44790</v>
          </cell>
          <cell r="AR1326">
            <v>44790</v>
          </cell>
          <cell r="AS1326">
            <v>0</v>
          </cell>
          <cell r="AT1326">
            <v>0</v>
          </cell>
          <cell r="AX1326" t="str">
            <v>Yes</v>
          </cell>
          <cell r="AZ1326" t="str">
            <v>Y</v>
          </cell>
          <cell r="BA1326" t="str">
            <v>Yes</v>
          </cell>
        </row>
        <row r="1327">
          <cell r="B1327">
            <v>1177</v>
          </cell>
          <cell r="C1327" t="str">
            <v>C49SZX20210057DZ</v>
          </cell>
          <cell r="D1327" t="str">
            <v>优品</v>
          </cell>
          <cell r="E1327" t="str">
            <v>YSM20R-2</v>
          </cell>
          <cell r="G1327" t="e">
            <v>#REF!</v>
          </cell>
          <cell r="H1327" t="e">
            <v>#REF!</v>
          </cell>
          <cell r="I1327" t="str">
            <v>R-&gt;L</v>
          </cell>
          <cell r="J1327" t="str">
            <v>MVC</v>
          </cell>
          <cell r="K1327">
            <v>1</v>
          </cell>
          <cell r="L1327">
            <v>110236</v>
          </cell>
          <cell r="M1327" t="str">
            <v>JUL 21</v>
          </cell>
          <cell r="N1327">
            <v>44406</v>
          </cell>
          <cell r="O1327">
            <v>11116629</v>
          </cell>
          <cell r="P1327">
            <v>14400000</v>
          </cell>
          <cell r="Q1327">
            <v>44406</v>
          </cell>
          <cell r="R1327" t="str">
            <v>No</v>
          </cell>
          <cell r="S1327" t="str">
            <v>C49</v>
          </cell>
          <cell r="T1327" t="str">
            <v>SOUTH</v>
          </cell>
          <cell r="U1327" t="str">
            <v>深圳</v>
          </cell>
          <cell r="V1327" t="str">
            <v>SZ 深圳</v>
          </cell>
          <cell r="W1327" t="str">
            <v>DZ</v>
          </cell>
          <cell r="X1327" t="str">
            <v>JPY</v>
          </cell>
          <cell r="Y1327">
            <v>14400000</v>
          </cell>
          <cell r="Z1327">
            <v>1</v>
          </cell>
          <cell r="AA1327">
            <v>14400000</v>
          </cell>
          <cell r="AB1327">
            <v>7.4499999999999997E-2</v>
          </cell>
          <cell r="AC1327">
            <v>1072800</v>
          </cell>
          <cell r="AD1327">
            <v>128736</v>
          </cell>
          <cell r="AE1327">
            <v>0.12</v>
          </cell>
          <cell r="AF1327">
            <v>44257</v>
          </cell>
          <cell r="AG1327" t="str">
            <v>CIF HK</v>
          </cell>
          <cell r="AK1327">
            <v>0.3</v>
          </cell>
          <cell r="AL1327">
            <v>4320000</v>
          </cell>
          <cell r="AM1327">
            <v>44265</v>
          </cell>
          <cell r="AN1327" t="str">
            <v>Yes</v>
          </cell>
          <cell r="AO1327">
            <v>0.65</v>
          </cell>
          <cell r="AP1327">
            <v>9360000</v>
          </cell>
          <cell r="AQ1327">
            <v>44403</v>
          </cell>
          <cell r="AR1327">
            <v>44403</v>
          </cell>
          <cell r="AS1327">
            <v>0.05</v>
          </cell>
          <cell r="AT1327">
            <v>720000</v>
          </cell>
          <cell r="AU1327">
            <v>44435</v>
          </cell>
          <cell r="AV1327">
            <v>44435</v>
          </cell>
          <cell r="AX1327" t="str">
            <v>Yes</v>
          </cell>
          <cell r="AZ1327" t="str">
            <v>Y</v>
          </cell>
          <cell r="BA1327" t="str">
            <v>Yes</v>
          </cell>
          <cell r="BB1327" t="str">
            <v>YSM10</v>
          </cell>
        </row>
        <row r="1328">
          <cell r="B1328">
            <v>1178</v>
          </cell>
          <cell r="C1328" t="str">
            <v>C49SZX20210057DZ</v>
          </cell>
          <cell r="D1328" t="str">
            <v>优品</v>
          </cell>
          <cell r="E1328" t="str">
            <v>YSM20R-2</v>
          </cell>
          <cell r="G1328" t="e">
            <v>#REF!</v>
          </cell>
          <cell r="H1328" t="e">
            <v>#REF!</v>
          </cell>
          <cell r="I1328" t="str">
            <v>R-&gt;L</v>
          </cell>
          <cell r="J1328" t="str">
            <v>MVC</v>
          </cell>
          <cell r="K1328">
            <v>1</v>
          </cell>
          <cell r="L1328">
            <v>110562</v>
          </cell>
          <cell r="M1328" t="str">
            <v>SEP 21</v>
          </cell>
          <cell r="N1328">
            <v>44455</v>
          </cell>
          <cell r="O1328">
            <v>11116647</v>
          </cell>
          <cell r="P1328">
            <v>14400000</v>
          </cell>
          <cell r="Q1328">
            <v>44455</v>
          </cell>
          <cell r="R1328" t="str">
            <v>No</v>
          </cell>
          <cell r="S1328" t="str">
            <v>C49</v>
          </cell>
          <cell r="T1328" t="str">
            <v>SOUTH</v>
          </cell>
          <cell r="U1328" t="str">
            <v>深圳</v>
          </cell>
          <cell r="V1328" t="str">
            <v>SZ 深圳</v>
          </cell>
          <cell r="W1328" t="str">
            <v>DZ</v>
          </cell>
          <cell r="X1328" t="str">
            <v>JPY</v>
          </cell>
          <cell r="Y1328">
            <v>14400000</v>
          </cell>
          <cell r="Z1328">
            <v>1</v>
          </cell>
          <cell r="AA1328">
            <v>14400000</v>
          </cell>
          <cell r="AB1328">
            <v>7.4499999999999997E-2</v>
          </cell>
          <cell r="AC1328">
            <v>1072800</v>
          </cell>
          <cell r="AD1328">
            <v>128736</v>
          </cell>
          <cell r="AE1328">
            <v>0.12</v>
          </cell>
          <cell r="AF1328">
            <v>44257</v>
          </cell>
          <cell r="AG1328" t="str">
            <v>CIF HK</v>
          </cell>
          <cell r="AK1328">
            <v>0.3</v>
          </cell>
          <cell r="AL1328">
            <v>4320000</v>
          </cell>
          <cell r="AM1328">
            <v>44265</v>
          </cell>
          <cell r="AN1328" t="str">
            <v>Yes</v>
          </cell>
          <cell r="AO1328">
            <v>0.65</v>
          </cell>
          <cell r="AP1328">
            <v>9360000</v>
          </cell>
          <cell r="AQ1328">
            <v>44449</v>
          </cell>
          <cell r="AR1328">
            <v>44449</v>
          </cell>
          <cell r="AS1328">
            <v>0.05</v>
          </cell>
          <cell r="AT1328">
            <v>720000</v>
          </cell>
          <cell r="AU1328">
            <v>44491</v>
          </cell>
          <cell r="AV1328">
            <v>44491</v>
          </cell>
          <cell r="AX1328" t="str">
            <v>Yes</v>
          </cell>
          <cell r="AZ1328" t="str">
            <v>Y</v>
          </cell>
          <cell r="BA1328" t="str">
            <v>Yes</v>
          </cell>
        </row>
        <row r="1329">
          <cell r="B1329">
            <v>1179</v>
          </cell>
          <cell r="C1329" t="str">
            <v>C49SZX20210062JY</v>
          </cell>
          <cell r="D1329" t="str">
            <v>海松微</v>
          </cell>
          <cell r="E1329" t="str">
            <v>YSM20R-2</v>
          </cell>
          <cell r="F1329" t="str">
            <v>#03950</v>
          </cell>
          <cell r="G1329" t="e">
            <v>#REF!</v>
          </cell>
          <cell r="H1329" t="e">
            <v>#REF!</v>
          </cell>
          <cell r="I1329" t="str">
            <v>L-&gt;R</v>
          </cell>
          <cell r="J1329" t="str">
            <v>No</v>
          </cell>
          <cell r="K1329">
            <v>1</v>
          </cell>
          <cell r="L1329">
            <v>110384</v>
          </cell>
          <cell r="M1329" t="str">
            <v>JUN 21</v>
          </cell>
          <cell r="N1329">
            <v>44377</v>
          </cell>
          <cell r="O1329">
            <v>11116618</v>
          </cell>
          <cell r="P1329">
            <v>13200000</v>
          </cell>
          <cell r="Q1329">
            <v>44377</v>
          </cell>
          <cell r="R1329" t="str">
            <v>No</v>
          </cell>
          <cell r="S1329" t="str">
            <v>C49</v>
          </cell>
          <cell r="T1329" t="str">
            <v>SOUTH</v>
          </cell>
          <cell r="U1329" t="str">
            <v>深圳</v>
          </cell>
          <cell r="V1329" t="str">
            <v>SZ 深圳</v>
          </cell>
          <cell r="W1329" t="str">
            <v>JY</v>
          </cell>
          <cell r="X1329" t="str">
            <v>JPY</v>
          </cell>
          <cell r="Y1329">
            <v>13200000</v>
          </cell>
          <cell r="Z1329">
            <v>1</v>
          </cell>
          <cell r="AA1329">
            <v>13200000</v>
          </cell>
          <cell r="AB1329">
            <v>7.4499999999999997E-2</v>
          </cell>
          <cell r="AC1329">
            <v>983400</v>
          </cell>
          <cell r="AD1329">
            <v>118008</v>
          </cell>
          <cell r="AE1329">
            <v>0.12</v>
          </cell>
          <cell r="AF1329">
            <v>44257</v>
          </cell>
          <cell r="AG1329" t="str">
            <v>DAP SZ</v>
          </cell>
          <cell r="AK1329" t="str">
            <v>agree</v>
          </cell>
          <cell r="AL1329">
            <v>829283</v>
          </cell>
          <cell r="AM1329">
            <v>44260</v>
          </cell>
          <cell r="AN1329" t="str">
            <v>Yes</v>
          </cell>
          <cell r="AO1329">
            <v>0.9</v>
          </cell>
          <cell r="AP1329">
            <v>11880000</v>
          </cell>
          <cell r="AQ1329">
            <v>44372</v>
          </cell>
          <cell r="AR1329">
            <v>44372</v>
          </cell>
          <cell r="AS1329">
            <v>0</v>
          </cell>
          <cell r="AT1329">
            <v>0</v>
          </cell>
          <cell r="AX1329" t="str">
            <v>Yes</v>
          </cell>
          <cell r="AZ1329" t="str">
            <v>Y</v>
          </cell>
          <cell r="BA1329" t="str">
            <v>Yes</v>
          </cell>
        </row>
        <row r="1330">
          <cell r="B1330">
            <v>1180</v>
          </cell>
          <cell r="C1330" t="str">
            <v>C49SZX20210065JD</v>
          </cell>
          <cell r="D1330" t="str">
            <v>贝爱婴童</v>
          </cell>
          <cell r="E1330" t="str">
            <v>YSM20R-2</v>
          </cell>
          <cell r="G1330" t="e">
            <v>#REF!</v>
          </cell>
          <cell r="H1330" t="e">
            <v>#REF!</v>
          </cell>
          <cell r="I1330" t="str">
            <v>L-&gt;R</v>
          </cell>
          <cell r="J1330" t="str">
            <v>No</v>
          </cell>
          <cell r="K1330">
            <v>1</v>
          </cell>
          <cell r="L1330" t="str">
            <v>110437(拆单110365）</v>
          </cell>
          <cell r="M1330" t="str">
            <v>JUN 21</v>
          </cell>
          <cell r="N1330">
            <v>44350</v>
          </cell>
          <cell r="O1330">
            <v>11116596</v>
          </cell>
          <cell r="P1330">
            <v>14800000</v>
          </cell>
          <cell r="Q1330">
            <v>44354</v>
          </cell>
          <cell r="R1330" t="str">
            <v>Yes</v>
          </cell>
          <cell r="S1330" t="str">
            <v>C49</v>
          </cell>
          <cell r="T1330" t="str">
            <v>SOUTH</v>
          </cell>
          <cell r="U1330" t="str">
            <v>深圳</v>
          </cell>
          <cell r="V1330" t="str">
            <v>SZ 深圳</v>
          </cell>
          <cell r="W1330" t="str">
            <v>JD</v>
          </cell>
          <cell r="X1330" t="str">
            <v>JPY</v>
          </cell>
          <cell r="Y1330">
            <v>14800000</v>
          </cell>
          <cell r="Z1330">
            <v>1</v>
          </cell>
          <cell r="AA1330">
            <v>14800000</v>
          </cell>
          <cell r="AB1330">
            <v>7.4499999999999997E-2</v>
          </cell>
          <cell r="AC1330">
            <v>1102600</v>
          </cell>
          <cell r="AD1330">
            <v>132312</v>
          </cell>
          <cell r="AE1330">
            <v>0.12</v>
          </cell>
          <cell r="AF1330">
            <v>44258</v>
          </cell>
          <cell r="AG1330" t="str">
            <v>DAP ZS</v>
          </cell>
          <cell r="AK1330">
            <v>0.3</v>
          </cell>
          <cell r="AL1330">
            <v>4440000</v>
          </cell>
          <cell r="AM1330">
            <v>44264</v>
          </cell>
          <cell r="AN1330" t="str">
            <v>Yes</v>
          </cell>
          <cell r="AO1330">
            <v>0.7</v>
          </cell>
          <cell r="AP1330">
            <v>10360000</v>
          </cell>
          <cell r="AQ1330">
            <v>44344</v>
          </cell>
          <cell r="AR1330">
            <v>44344</v>
          </cell>
          <cell r="AS1330">
            <v>0</v>
          </cell>
          <cell r="AT1330">
            <v>0</v>
          </cell>
          <cell r="AX1330" t="str">
            <v>Yes</v>
          </cell>
          <cell r="AZ1330" t="str">
            <v>Y</v>
          </cell>
          <cell r="BA1330" t="str">
            <v>Yes</v>
          </cell>
        </row>
        <row r="1331">
          <cell r="B1331">
            <v>1181</v>
          </cell>
          <cell r="C1331" t="str">
            <v>C49SZX20210041SX</v>
          </cell>
          <cell r="D1331" t="str">
            <v>美柏</v>
          </cell>
          <cell r="E1331" t="str">
            <v>YSM10</v>
          </cell>
          <cell r="F1331"/>
          <cell r="G1331" t="e">
            <v>#REF!</v>
          </cell>
          <cell r="H1331" t="e">
            <v>#REF!</v>
          </cell>
          <cell r="I1331" t="str">
            <v>R-&gt;L</v>
          </cell>
          <cell r="J1331" t="str">
            <v>No</v>
          </cell>
          <cell r="K1331">
            <v>1</v>
          </cell>
          <cell r="L1331" t="e">
            <v>#N/A</v>
          </cell>
          <cell r="M1331" t="e">
            <v>#N/A</v>
          </cell>
          <cell r="N1331"/>
          <cell r="O1331"/>
          <cell r="P1331"/>
          <cell r="Q1331"/>
          <cell r="R1331" t="str">
            <v>Yes</v>
          </cell>
          <cell r="S1331" t="str">
            <v>C49</v>
          </cell>
          <cell r="T1331" t="str">
            <v>SOUTH</v>
          </cell>
          <cell r="U1331" t="str">
            <v>深圳</v>
          </cell>
          <cell r="V1331" t="str">
            <v>SZ 深圳</v>
          </cell>
          <cell r="W1331" t="str">
            <v>SX</v>
          </cell>
          <cell r="X1331" t="str">
            <v>JPY</v>
          </cell>
          <cell r="Y1331">
            <v>6600000</v>
          </cell>
          <cell r="Z1331">
            <v>1</v>
          </cell>
          <cell r="AA1331">
            <v>6600000</v>
          </cell>
          <cell r="AB1331">
            <v>7.4499999999999997E-2</v>
          </cell>
          <cell r="AC1331">
            <v>491700</v>
          </cell>
          <cell r="AD1331">
            <v>59004</v>
          </cell>
          <cell r="AE1331">
            <v>0.12</v>
          </cell>
          <cell r="AF1331">
            <v>44258</v>
          </cell>
          <cell r="AG1331" t="str">
            <v>DAP DG</v>
          </cell>
          <cell r="AI1331"/>
          <cell r="AJ1331"/>
          <cell r="AK1331">
            <v>0.1</v>
          </cell>
          <cell r="AL1331">
            <v>660000</v>
          </cell>
          <cell r="AM1331"/>
          <cell r="AN1331" t="str">
            <v>No</v>
          </cell>
          <cell r="AO1331">
            <v>0.9</v>
          </cell>
          <cell r="AP1331">
            <v>5940000</v>
          </cell>
          <cell r="AQ1331"/>
          <cell r="AR1331"/>
          <cell r="AS1331">
            <v>0</v>
          </cell>
          <cell r="AT1331">
            <v>0</v>
          </cell>
          <cell r="AV1331"/>
          <cell r="AX1331" t="str">
            <v>Cancel</v>
          </cell>
          <cell r="AY1331"/>
          <cell r="AZ1331"/>
          <cell r="BA1331" t="str">
            <v>Cancel</v>
          </cell>
          <cell r="BB1331" t="str">
            <v>2022-10-10Ken邮件通知</v>
          </cell>
        </row>
        <row r="1332">
          <cell r="B1332">
            <v>1182</v>
          </cell>
          <cell r="C1332" t="str">
            <v>C49SZX20210058JL</v>
          </cell>
          <cell r="D1332" t="str">
            <v>奥祺</v>
          </cell>
          <cell r="E1332" t="str">
            <v>YSM20R-2</v>
          </cell>
          <cell r="F1332"/>
          <cell r="G1332" t="e">
            <v>#REF!</v>
          </cell>
          <cell r="H1332" t="e">
            <v>#REF!</v>
          </cell>
          <cell r="I1332" t="str">
            <v>L-&gt;R</v>
          </cell>
          <cell r="J1332" t="str">
            <v>No</v>
          </cell>
          <cell r="K1332">
            <v>1</v>
          </cell>
          <cell r="L1332" t="e">
            <v>#N/A</v>
          </cell>
          <cell r="M1332" t="e">
            <v>#N/A</v>
          </cell>
          <cell r="N1332"/>
          <cell r="O1332"/>
          <cell r="P1332"/>
          <cell r="Q1332"/>
          <cell r="R1332" t="str">
            <v>No</v>
          </cell>
          <cell r="S1332" t="str">
            <v>C49</v>
          </cell>
          <cell r="T1332" t="str">
            <v>SOUTH</v>
          </cell>
          <cell r="U1332" t="str">
            <v>深圳</v>
          </cell>
          <cell r="V1332" t="str">
            <v>SZ 深圳</v>
          </cell>
          <cell r="W1332" t="str">
            <v>JL</v>
          </cell>
          <cell r="X1332" t="str">
            <v>JPY</v>
          </cell>
          <cell r="Y1332">
            <v>13500000</v>
          </cell>
          <cell r="Z1332">
            <v>1</v>
          </cell>
          <cell r="AA1332">
            <v>13500000</v>
          </cell>
          <cell r="AB1332">
            <v>7.4499999999999997E-2</v>
          </cell>
          <cell r="AC1332">
            <v>1005750</v>
          </cell>
          <cell r="AD1332">
            <v>120690</v>
          </cell>
          <cell r="AE1332">
            <v>0.12</v>
          </cell>
          <cell r="AF1332">
            <v>44253</v>
          </cell>
          <cell r="AG1332" t="str">
            <v>DAP DG</v>
          </cell>
          <cell r="AI1332"/>
          <cell r="AJ1332"/>
          <cell r="AK1332">
            <v>0.2</v>
          </cell>
          <cell r="AL1332">
            <v>2700000</v>
          </cell>
          <cell r="AM1332"/>
          <cell r="AN1332" t="str">
            <v>No</v>
          </cell>
          <cell r="AO1332">
            <v>0.8</v>
          </cell>
          <cell r="AP1332">
            <v>10800000</v>
          </cell>
          <cell r="AQ1332"/>
          <cell r="AR1332"/>
          <cell r="AS1332">
            <v>0</v>
          </cell>
          <cell r="AT1332">
            <v>0</v>
          </cell>
          <cell r="AV1332"/>
          <cell r="AX1332" t="str">
            <v>Cancel</v>
          </cell>
          <cell r="AY1332"/>
          <cell r="AZ1332"/>
          <cell r="BA1332" t="str">
            <v>Cancel</v>
          </cell>
          <cell r="BB1332" t="str">
            <v>2023-12-18 Ken邮件通知Fay</v>
          </cell>
        </row>
        <row r="1333">
          <cell r="B1333">
            <v>1183</v>
          </cell>
          <cell r="C1333" t="str">
            <v>C49SZX20210058JL</v>
          </cell>
          <cell r="D1333" t="str">
            <v>奥祺</v>
          </cell>
          <cell r="E1333" t="str">
            <v>YSM20R-2</v>
          </cell>
          <cell r="F1333"/>
          <cell r="G1333" t="e">
            <v>#REF!</v>
          </cell>
          <cell r="H1333" t="e">
            <v>#REF!</v>
          </cell>
          <cell r="I1333" t="str">
            <v>L-&gt;R</v>
          </cell>
          <cell r="J1333" t="str">
            <v>No</v>
          </cell>
          <cell r="K1333">
            <v>1</v>
          </cell>
          <cell r="L1333" t="e">
            <v>#N/A</v>
          </cell>
          <cell r="M1333" t="e">
            <v>#N/A</v>
          </cell>
          <cell r="N1333"/>
          <cell r="O1333"/>
          <cell r="P1333"/>
          <cell r="Q1333"/>
          <cell r="R1333" t="str">
            <v>No</v>
          </cell>
          <cell r="S1333" t="str">
            <v>C49</v>
          </cell>
          <cell r="T1333" t="str">
            <v>SOUTH</v>
          </cell>
          <cell r="U1333" t="str">
            <v>深圳</v>
          </cell>
          <cell r="V1333" t="str">
            <v>SZ 深圳</v>
          </cell>
          <cell r="W1333" t="str">
            <v>JL</v>
          </cell>
          <cell r="X1333" t="str">
            <v>JPY</v>
          </cell>
          <cell r="Y1333">
            <v>13500000</v>
          </cell>
          <cell r="Z1333">
            <v>1</v>
          </cell>
          <cell r="AA1333">
            <v>13500000</v>
          </cell>
          <cell r="AB1333">
            <v>7.4499999999999997E-2</v>
          </cell>
          <cell r="AC1333">
            <v>1005750</v>
          </cell>
          <cell r="AD1333">
            <v>120690</v>
          </cell>
          <cell r="AE1333">
            <v>0.12</v>
          </cell>
          <cell r="AF1333">
            <v>44253</v>
          </cell>
          <cell r="AG1333" t="str">
            <v>DAP DG</v>
          </cell>
          <cell r="AI1333"/>
          <cell r="AJ1333"/>
          <cell r="AK1333">
            <v>0.2</v>
          </cell>
          <cell r="AL1333">
            <v>2700000</v>
          </cell>
          <cell r="AM1333"/>
          <cell r="AN1333" t="str">
            <v>No</v>
          </cell>
          <cell r="AO1333">
            <v>0.8</v>
          </cell>
          <cell r="AP1333">
            <v>10800000</v>
          </cell>
          <cell r="AQ1333"/>
          <cell r="AR1333"/>
          <cell r="AS1333">
            <v>0</v>
          </cell>
          <cell r="AT1333">
            <v>0</v>
          </cell>
          <cell r="AV1333"/>
          <cell r="AX1333" t="str">
            <v>Cancel</v>
          </cell>
          <cell r="AY1333"/>
          <cell r="AZ1333"/>
          <cell r="BA1333" t="str">
            <v>Cancel</v>
          </cell>
          <cell r="BB1333" t="str">
            <v>2023-12-18 Ken邮件通知Fay</v>
          </cell>
        </row>
        <row r="1334">
          <cell r="B1334">
            <v>1184</v>
          </cell>
          <cell r="C1334" t="str">
            <v>C49SZX20210058JL</v>
          </cell>
          <cell r="D1334" t="str">
            <v>奥祺</v>
          </cell>
          <cell r="E1334" t="str">
            <v>YSM10</v>
          </cell>
          <cell r="F1334"/>
          <cell r="G1334" t="e">
            <v>#REF!</v>
          </cell>
          <cell r="H1334" t="e">
            <v>#REF!</v>
          </cell>
          <cell r="I1334" t="str">
            <v>L-&gt;R</v>
          </cell>
          <cell r="J1334" t="str">
            <v>MVC+ATS15</v>
          </cell>
          <cell r="K1334">
            <v>1</v>
          </cell>
          <cell r="L1334" t="e">
            <v>#N/A</v>
          </cell>
          <cell r="M1334" t="e">
            <v>#N/A</v>
          </cell>
          <cell r="N1334"/>
          <cell r="O1334"/>
          <cell r="P1334"/>
          <cell r="Q1334"/>
          <cell r="R1334" t="str">
            <v>No</v>
          </cell>
          <cell r="S1334" t="str">
            <v>C49</v>
          </cell>
          <cell r="T1334" t="str">
            <v>SOUTH</v>
          </cell>
          <cell r="U1334" t="str">
            <v>深圳</v>
          </cell>
          <cell r="V1334" t="str">
            <v>SZ 深圳</v>
          </cell>
          <cell r="W1334" t="str">
            <v>JL</v>
          </cell>
          <cell r="X1334" t="str">
            <v>JPY</v>
          </cell>
          <cell r="Y1334">
            <v>10500000</v>
          </cell>
          <cell r="Z1334">
            <v>1</v>
          </cell>
          <cell r="AA1334">
            <v>10500000</v>
          </cell>
          <cell r="AB1334">
            <v>7.4499999999999997E-2</v>
          </cell>
          <cell r="AC1334">
            <v>782250</v>
          </cell>
          <cell r="AD1334">
            <v>93870</v>
          </cell>
          <cell r="AE1334">
            <v>0.12</v>
          </cell>
          <cell r="AF1334">
            <v>44253</v>
          </cell>
          <cell r="AG1334" t="str">
            <v>DAP DG</v>
          </cell>
          <cell r="AI1334"/>
          <cell r="AJ1334"/>
          <cell r="AK1334">
            <v>0.2</v>
          </cell>
          <cell r="AL1334">
            <v>2100000</v>
          </cell>
          <cell r="AM1334"/>
          <cell r="AN1334" t="str">
            <v>No</v>
          </cell>
          <cell r="AO1334">
            <v>0.8</v>
          </cell>
          <cell r="AP1334">
            <v>8400000</v>
          </cell>
          <cell r="AQ1334"/>
          <cell r="AR1334"/>
          <cell r="AS1334">
            <v>0</v>
          </cell>
          <cell r="AT1334">
            <v>0</v>
          </cell>
          <cell r="AV1334"/>
          <cell r="AX1334" t="str">
            <v>Cancel</v>
          </cell>
          <cell r="AY1334"/>
          <cell r="AZ1334"/>
          <cell r="BA1334" t="str">
            <v>Cancel</v>
          </cell>
          <cell r="BB1334" t="str">
            <v>2023-12-18 Ken邮件通知Fay</v>
          </cell>
        </row>
        <row r="1335">
          <cell r="B1335">
            <v>1185</v>
          </cell>
          <cell r="C1335" t="str">
            <v>C49SZX20210063LC</v>
          </cell>
          <cell r="D1335" t="str">
            <v>星辰宇</v>
          </cell>
          <cell r="E1335" t="str">
            <v>YSM20R-2</v>
          </cell>
          <cell r="F1335" t="str">
            <v>#04513</v>
          </cell>
          <cell r="G1335" t="e">
            <v>#REF!</v>
          </cell>
          <cell r="H1335" t="e">
            <v>#REF!</v>
          </cell>
          <cell r="I1335" t="str">
            <v>R-&gt;L</v>
          </cell>
          <cell r="J1335" t="str">
            <v>No</v>
          </cell>
          <cell r="K1335">
            <v>1</v>
          </cell>
          <cell r="L1335">
            <v>110416</v>
          </cell>
          <cell r="M1335" t="str">
            <v>MAY 21</v>
          </cell>
          <cell r="N1335">
            <v>44334</v>
          </cell>
          <cell r="O1335">
            <v>11116578</v>
          </cell>
          <cell r="P1335">
            <v>13193000</v>
          </cell>
          <cell r="Q1335">
            <v>44317</v>
          </cell>
          <cell r="R1335" t="str">
            <v>No</v>
          </cell>
          <cell r="S1335" t="str">
            <v>C49</v>
          </cell>
          <cell r="T1335" t="str">
            <v>SOUTH</v>
          </cell>
          <cell r="U1335" t="str">
            <v>深圳</v>
          </cell>
          <cell r="V1335" t="str">
            <v>SZ 深圳</v>
          </cell>
          <cell r="W1335" t="str">
            <v>LC</v>
          </cell>
          <cell r="X1335" t="str">
            <v>JPY</v>
          </cell>
          <cell r="Y1335">
            <v>13193000</v>
          </cell>
          <cell r="Z1335">
            <v>1</v>
          </cell>
          <cell r="AA1335">
            <v>13193000</v>
          </cell>
          <cell r="AB1335">
            <v>7.4499999999999997E-2</v>
          </cell>
          <cell r="AC1335">
            <v>982878.5</v>
          </cell>
          <cell r="AD1335">
            <v>117945.42</v>
          </cell>
          <cell r="AE1335">
            <v>0.12</v>
          </cell>
          <cell r="AF1335">
            <v>44259</v>
          </cell>
          <cell r="AG1335" t="str">
            <v>DAP SZ</v>
          </cell>
          <cell r="AK1335" t="str">
            <v>AGREE</v>
          </cell>
          <cell r="AL1335">
            <v>829283</v>
          </cell>
          <cell r="AM1335">
            <v>44263</v>
          </cell>
          <cell r="AN1335" t="str">
            <v>Yes</v>
          </cell>
          <cell r="AO1335" t="str">
            <v>AGREE</v>
          </cell>
          <cell r="AP1335">
            <v>13193000</v>
          </cell>
          <cell r="AQ1335">
            <v>44330</v>
          </cell>
          <cell r="AR1335">
            <v>44330</v>
          </cell>
          <cell r="AS1335">
            <v>0</v>
          </cell>
          <cell r="AT1335">
            <v>0</v>
          </cell>
          <cell r="AX1335" t="str">
            <v>Yes</v>
          </cell>
          <cell r="AZ1335" t="str">
            <v>Y</v>
          </cell>
          <cell r="BA1335" t="str">
            <v>Yes</v>
          </cell>
        </row>
        <row r="1336">
          <cell r="B1336">
            <v>1186</v>
          </cell>
          <cell r="C1336" t="str">
            <v>C49SZX20210161DZ</v>
          </cell>
          <cell r="D1336" t="str">
            <v>嘉裕</v>
          </cell>
          <cell r="E1336" t="str">
            <v>YSM20R-2</v>
          </cell>
          <cell r="F1336" t="str">
            <v>#04342</v>
          </cell>
          <cell r="G1336" t="e">
            <v>#REF!</v>
          </cell>
          <cell r="H1336" t="e">
            <v>#REF!</v>
          </cell>
          <cell r="I1336" t="str">
            <v>L-&gt;R</v>
          </cell>
          <cell r="J1336" t="str">
            <v>cATS30+MVC(F&amp;R)+10pallet for cATS30+交换台车</v>
          </cell>
          <cell r="K1336">
            <v>1</v>
          </cell>
          <cell r="L1336">
            <v>110380</v>
          </cell>
          <cell r="M1336" t="str">
            <v>JUN 21</v>
          </cell>
          <cell r="N1336">
            <v>44356</v>
          </cell>
          <cell r="O1336">
            <v>11116608</v>
          </cell>
          <cell r="P1336">
            <v>18810000</v>
          </cell>
          <cell r="Q1336">
            <v>44365</v>
          </cell>
          <cell r="R1336" t="str">
            <v>No</v>
          </cell>
          <cell r="S1336" t="str">
            <v>C49</v>
          </cell>
          <cell r="T1336" t="str">
            <v>SOUTH</v>
          </cell>
          <cell r="U1336" t="str">
            <v>深圳</v>
          </cell>
          <cell r="V1336" t="str">
            <v>SZ 深圳</v>
          </cell>
          <cell r="W1336" t="str">
            <v>DZ</v>
          </cell>
          <cell r="X1336" t="str">
            <v>JPY</v>
          </cell>
          <cell r="Y1336">
            <v>18810000</v>
          </cell>
          <cell r="Z1336">
            <v>1</v>
          </cell>
          <cell r="AA1336">
            <v>18810000</v>
          </cell>
          <cell r="AB1336">
            <v>7.4499999999999997E-2</v>
          </cell>
          <cell r="AC1336">
            <v>1401345</v>
          </cell>
          <cell r="AD1336">
            <v>168161.4</v>
          </cell>
          <cell r="AE1336">
            <v>0.12</v>
          </cell>
          <cell r="AF1336">
            <v>44260</v>
          </cell>
          <cell r="AG1336" t="str">
            <v>CIF HK</v>
          </cell>
          <cell r="AK1336">
            <v>0.3</v>
          </cell>
          <cell r="AL1336">
            <v>5643000</v>
          </cell>
          <cell r="AM1336">
            <v>44264</v>
          </cell>
          <cell r="AN1336" t="str">
            <v>Yes</v>
          </cell>
          <cell r="AO1336">
            <v>0.7</v>
          </cell>
          <cell r="AP1336">
            <v>13167000</v>
          </cell>
          <cell r="AQ1336">
            <v>44354</v>
          </cell>
          <cell r="AR1336">
            <v>44354</v>
          </cell>
          <cell r="AS1336">
            <v>0</v>
          </cell>
          <cell r="AT1336">
            <v>0</v>
          </cell>
          <cell r="AX1336" t="str">
            <v>Yes</v>
          </cell>
        </row>
        <row r="1337">
          <cell r="B1337">
            <v>1187</v>
          </cell>
          <cell r="C1337" t="str">
            <v>C49SZX20210161DZ</v>
          </cell>
          <cell r="D1337" t="str">
            <v>嘉裕</v>
          </cell>
          <cell r="E1337" t="str">
            <v>YSM20R-2</v>
          </cell>
          <cell r="F1337" t="str">
            <v>#04342</v>
          </cell>
          <cell r="G1337" t="e">
            <v>#REF!</v>
          </cell>
          <cell r="H1337" t="e">
            <v>#REF!</v>
          </cell>
          <cell r="I1337" t="str">
            <v>L-&gt;R</v>
          </cell>
          <cell r="J1337" t="str">
            <v>MVC(F&amp;R)+10pallet for cATS10+交换台车</v>
          </cell>
          <cell r="K1337">
            <v>1</v>
          </cell>
          <cell r="L1337">
            <v>110380</v>
          </cell>
          <cell r="M1337" t="str">
            <v>JUN 21</v>
          </cell>
          <cell r="N1337">
            <v>44356</v>
          </cell>
          <cell r="O1337">
            <v>11116608</v>
          </cell>
          <cell r="P1337">
            <v>18810000</v>
          </cell>
          <cell r="Q1337">
            <v>44365</v>
          </cell>
          <cell r="R1337" t="str">
            <v>No</v>
          </cell>
          <cell r="S1337" t="str">
            <v>C49</v>
          </cell>
          <cell r="T1337" t="str">
            <v>SOUTH</v>
          </cell>
          <cell r="U1337" t="str">
            <v>深圳</v>
          </cell>
          <cell r="V1337" t="str">
            <v>SZ 深圳</v>
          </cell>
          <cell r="W1337" t="str">
            <v>DZ</v>
          </cell>
          <cell r="X1337" t="str">
            <v>JPY</v>
          </cell>
          <cell r="Y1337">
            <v>18810000</v>
          </cell>
          <cell r="Z1337">
            <v>1</v>
          </cell>
          <cell r="AA1337">
            <v>18810000</v>
          </cell>
          <cell r="AB1337">
            <v>7.4499999999999997E-2</v>
          </cell>
          <cell r="AC1337">
            <v>1401345</v>
          </cell>
          <cell r="AD1337">
            <v>168161.4</v>
          </cell>
          <cell r="AE1337">
            <v>0.12</v>
          </cell>
          <cell r="AF1337">
            <v>44260</v>
          </cell>
          <cell r="AG1337" t="str">
            <v>CIF HK</v>
          </cell>
          <cell r="AK1337">
            <v>0.3</v>
          </cell>
          <cell r="AL1337">
            <v>5643000</v>
          </cell>
          <cell r="AM1337">
            <v>44264</v>
          </cell>
          <cell r="AN1337" t="str">
            <v>Yes</v>
          </cell>
          <cell r="AO1337">
            <v>0.7</v>
          </cell>
          <cell r="AP1337">
            <v>13167000</v>
          </cell>
          <cell r="AQ1337">
            <v>44354</v>
          </cell>
          <cell r="AR1337">
            <v>44354</v>
          </cell>
          <cell r="AS1337">
            <v>0</v>
          </cell>
          <cell r="AT1337">
            <v>0</v>
          </cell>
          <cell r="AX1337" t="str">
            <v>Yes</v>
          </cell>
        </row>
        <row r="1338">
          <cell r="B1338">
            <v>1188</v>
          </cell>
          <cell r="C1338" t="str">
            <v>C49SZX20210156DZ</v>
          </cell>
          <cell r="D1338" t="str">
            <v>海星</v>
          </cell>
          <cell r="E1338" t="str">
            <v>YSM20R-2</v>
          </cell>
          <cell r="F1338" t="str">
            <v>#04342</v>
          </cell>
          <cell r="G1338" t="e">
            <v>#REF!</v>
          </cell>
          <cell r="H1338" t="e">
            <v>#REF!</v>
          </cell>
          <cell r="I1338" t="str">
            <v>L-&gt;R</v>
          </cell>
          <cell r="J1338" t="str">
            <v>No</v>
          </cell>
          <cell r="K1338">
            <v>1</v>
          </cell>
          <cell r="L1338">
            <v>110272</v>
          </cell>
          <cell r="M1338" t="str">
            <v>JUN 21</v>
          </cell>
          <cell r="N1338">
            <v>44371</v>
          </cell>
          <cell r="O1338">
            <v>11100490</v>
          </cell>
          <cell r="P1338">
            <v>1210000</v>
          </cell>
          <cell r="Q1338">
            <v>44376</v>
          </cell>
          <cell r="R1338" t="str">
            <v>No</v>
          </cell>
          <cell r="S1338" t="str">
            <v>C49</v>
          </cell>
          <cell r="T1338" t="str">
            <v>SOUTH</v>
          </cell>
          <cell r="U1338" t="str">
            <v>深圳</v>
          </cell>
          <cell r="V1338" t="str">
            <v>SZ 深圳</v>
          </cell>
          <cell r="W1338" t="str">
            <v>DZ</v>
          </cell>
          <cell r="X1338" t="str">
            <v>RMB</v>
          </cell>
          <cell r="Y1338">
            <v>1210000</v>
          </cell>
          <cell r="Z1338">
            <v>1.1299999999999999</v>
          </cell>
          <cell r="AA1338">
            <v>1210000</v>
          </cell>
          <cell r="AB1338">
            <v>1.2150000000000001</v>
          </cell>
          <cell r="AC1338">
            <v>1301017.6991150444</v>
          </cell>
          <cell r="AD1338">
            <v>156122.12389380531</v>
          </cell>
          <cell r="AE1338">
            <v>0.12</v>
          </cell>
          <cell r="AF1338">
            <v>44260</v>
          </cell>
          <cell r="AG1338" t="str">
            <v>DDP SZ</v>
          </cell>
          <cell r="AK1338">
            <v>0.3</v>
          </cell>
          <cell r="AL1338">
            <v>363000</v>
          </cell>
          <cell r="AN1338" t="str">
            <v>Yes</v>
          </cell>
          <cell r="AO1338">
            <v>0.7</v>
          </cell>
          <cell r="AP1338">
            <v>847000</v>
          </cell>
          <cell r="AQ1338">
            <v>44351</v>
          </cell>
          <cell r="AR1338">
            <v>44351</v>
          </cell>
          <cell r="AS1338">
            <v>0</v>
          </cell>
          <cell r="AT1338">
            <v>0</v>
          </cell>
          <cell r="AX1338" t="str">
            <v>Yes</v>
          </cell>
          <cell r="AZ1338" t="str">
            <v>Y</v>
          </cell>
          <cell r="BA1338" t="str">
            <v>Yes</v>
          </cell>
        </row>
        <row r="1339">
          <cell r="B1339">
            <v>1189</v>
          </cell>
          <cell r="C1339" t="str">
            <v>C49SZX20210156DZ</v>
          </cell>
          <cell r="D1339" t="str">
            <v>海星</v>
          </cell>
          <cell r="E1339" t="str">
            <v>YSM20R-2</v>
          </cell>
          <cell r="F1339" t="str">
            <v>#04342</v>
          </cell>
          <cell r="G1339" t="e">
            <v>#REF!</v>
          </cell>
          <cell r="H1339" t="e">
            <v>#REF!</v>
          </cell>
          <cell r="I1339" t="str">
            <v>L-&gt;R</v>
          </cell>
          <cell r="J1339" t="str">
            <v>No</v>
          </cell>
          <cell r="K1339">
            <v>1</v>
          </cell>
          <cell r="L1339">
            <v>110437</v>
          </cell>
          <cell r="M1339" t="str">
            <v>JUN 21</v>
          </cell>
          <cell r="N1339">
            <v>44371</v>
          </cell>
          <cell r="O1339">
            <v>11100490</v>
          </cell>
          <cell r="P1339">
            <v>1210000</v>
          </cell>
          <cell r="Q1339">
            <v>44376</v>
          </cell>
          <cell r="R1339" t="str">
            <v>No</v>
          </cell>
          <cell r="S1339" t="str">
            <v>C49</v>
          </cell>
          <cell r="T1339" t="str">
            <v>SOUTH</v>
          </cell>
          <cell r="U1339" t="str">
            <v>深圳</v>
          </cell>
          <cell r="V1339" t="str">
            <v>SZ 深圳</v>
          </cell>
          <cell r="W1339" t="str">
            <v>DZ</v>
          </cell>
          <cell r="X1339" t="str">
            <v>RMB</v>
          </cell>
          <cell r="Y1339">
            <v>1210000</v>
          </cell>
          <cell r="Z1339">
            <v>1.1299999999999999</v>
          </cell>
          <cell r="AA1339">
            <v>1210000</v>
          </cell>
          <cell r="AB1339">
            <v>1.2150000000000001</v>
          </cell>
          <cell r="AC1339">
            <v>1301017.6991150444</v>
          </cell>
          <cell r="AD1339">
            <v>156122.12389380531</v>
          </cell>
          <cell r="AE1339">
            <v>0.12</v>
          </cell>
          <cell r="AF1339">
            <v>44260</v>
          </cell>
          <cell r="AG1339" t="str">
            <v>DDP SZ</v>
          </cell>
          <cell r="AK1339">
            <v>0.3</v>
          </cell>
          <cell r="AL1339">
            <v>363000</v>
          </cell>
          <cell r="AN1339" t="str">
            <v>Yes</v>
          </cell>
          <cell r="AO1339">
            <v>0.7</v>
          </cell>
          <cell r="AP1339">
            <v>847000</v>
          </cell>
          <cell r="AQ1339">
            <v>44351</v>
          </cell>
          <cell r="AR1339">
            <v>44351</v>
          </cell>
          <cell r="AS1339">
            <v>0</v>
          </cell>
          <cell r="AT1339">
            <v>0</v>
          </cell>
          <cell r="AX1339" t="str">
            <v>Yes</v>
          </cell>
          <cell r="AZ1339" t="str">
            <v>Y</v>
          </cell>
          <cell r="BA1339" t="str">
            <v>Yes</v>
          </cell>
        </row>
        <row r="1340">
          <cell r="B1340">
            <v>1190</v>
          </cell>
          <cell r="C1340" t="str">
            <v>C49SZX20210067JY</v>
          </cell>
          <cell r="D1340" t="str">
            <v>江西络鑫</v>
          </cell>
          <cell r="E1340" t="str">
            <v>YSM20R-2</v>
          </cell>
          <cell r="F1340"/>
          <cell r="G1340" t="e">
            <v>#REF!</v>
          </cell>
          <cell r="H1340" t="e">
            <v>#REF!</v>
          </cell>
          <cell r="I1340" t="str">
            <v>L-&gt;R</v>
          </cell>
          <cell r="J1340" t="str">
            <v>No</v>
          </cell>
          <cell r="K1340">
            <v>1</v>
          </cell>
          <cell r="L1340" t="e">
            <v>#N/A</v>
          </cell>
          <cell r="M1340" t="e">
            <v>#N/A</v>
          </cell>
          <cell r="N1340"/>
          <cell r="O1340"/>
          <cell r="P1340"/>
          <cell r="Q1340"/>
          <cell r="R1340" t="str">
            <v>Yes</v>
          </cell>
          <cell r="S1340" t="str">
            <v>C49</v>
          </cell>
          <cell r="T1340" t="str">
            <v>SOUTH</v>
          </cell>
          <cell r="U1340" t="str">
            <v>深圳</v>
          </cell>
          <cell r="V1340" t="str">
            <v>SZ 深圳</v>
          </cell>
          <cell r="W1340" t="str">
            <v>JY</v>
          </cell>
          <cell r="X1340" t="str">
            <v>JPY</v>
          </cell>
          <cell r="Y1340">
            <v>14645000</v>
          </cell>
          <cell r="Z1340">
            <v>1</v>
          </cell>
          <cell r="AA1340">
            <v>14645000</v>
          </cell>
          <cell r="AB1340">
            <v>7.4499999999999997E-2</v>
          </cell>
          <cell r="AC1340">
            <v>1091052.5</v>
          </cell>
          <cell r="AD1340">
            <v>130926.29999999999</v>
          </cell>
          <cell r="AE1340">
            <v>0.12</v>
          </cell>
          <cell r="AF1340">
            <v>44259</v>
          </cell>
          <cell r="AG1340" t="str">
            <v>DAP JX</v>
          </cell>
          <cell r="AI1340"/>
          <cell r="AJ1340"/>
          <cell r="AK1340">
            <v>0.1</v>
          </cell>
          <cell r="AL1340">
            <v>1464500</v>
          </cell>
          <cell r="AM1340"/>
          <cell r="AN1340" t="str">
            <v>No</v>
          </cell>
          <cell r="AO1340">
            <v>0.9</v>
          </cell>
          <cell r="AP1340">
            <v>13180500</v>
          </cell>
          <cell r="AQ1340"/>
          <cell r="AR1340"/>
          <cell r="AS1340">
            <v>0</v>
          </cell>
          <cell r="AT1340">
            <v>0</v>
          </cell>
          <cell r="AV1340"/>
          <cell r="AX1340" t="str">
            <v>Cancel</v>
          </cell>
          <cell r="AY1340"/>
          <cell r="AZ1340"/>
          <cell r="BA1340" t="str">
            <v>Cancel</v>
          </cell>
          <cell r="BB1340" t="str">
            <v>2022-8-2Ken邮件通知</v>
          </cell>
        </row>
        <row r="1341">
          <cell r="B1341">
            <v>1191</v>
          </cell>
          <cell r="C1341" t="str">
            <v>C49SZX20210067JY</v>
          </cell>
          <cell r="D1341" t="str">
            <v>江西络鑫</v>
          </cell>
          <cell r="E1341" t="str">
            <v>YSM20R-2</v>
          </cell>
          <cell r="F1341"/>
          <cell r="G1341" t="e">
            <v>#REF!</v>
          </cell>
          <cell r="H1341" t="e">
            <v>#REF!</v>
          </cell>
          <cell r="I1341" t="str">
            <v>L-&gt;R</v>
          </cell>
          <cell r="J1341" t="str">
            <v>No</v>
          </cell>
          <cell r="K1341">
            <v>1</v>
          </cell>
          <cell r="L1341" t="e">
            <v>#N/A</v>
          </cell>
          <cell r="M1341" t="e">
            <v>#N/A</v>
          </cell>
          <cell r="N1341"/>
          <cell r="O1341"/>
          <cell r="P1341"/>
          <cell r="Q1341"/>
          <cell r="R1341" t="str">
            <v>Yes</v>
          </cell>
          <cell r="S1341" t="str">
            <v>C49</v>
          </cell>
          <cell r="T1341" t="str">
            <v>SOUTH</v>
          </cell>
          <cell r="U1341" t="str">
            <v>深圳</v>
          </cell>
          <cell r="V1341" t="str">
            <v>SZ 深圳</v>
          </cell>
          <cell r="W1341" t="str">
            <v>JY</v>
          </cell>
          <cell r="X1341" t="str">
            <v>JPY</v>
          </cell>
          <cell r="Y1341">
            <v>14645000</v>
          </cell>
          <cell r="Z1341">
            <v>1</v>
          </cell>
          <cell r="AA1341">
            <v>14645000</v>
          </cell>
          <cell r="AB1341">
            <v>7.4499999999999997E-2</v>
          </cell>
          <cell r="AC1341">
            <v>1091052.5</v>
          </cell>
          <cell r="AD1341">
            <v>130926.29999999999</v>
          </cell>
          <cell r="AE1341">
            <v>0.12</v>
          </cell>
          <cell r="AF1341">
            <v>44259</v>
          </cell>
          <cell r="AG1341" t="str">
            <v>DAP JX</v>
          </cell>
          <cell r="AI1341"/>
          <cell r="AJ1341"/>
          <cell r="AK1341">
            <v>0.1</v>
          </cell>
          <cell r="AL1341">
            <v>1464500</v>
          </cell>
          <cell r="AM1341"/>
          <cell r="AN1341" t="str">
            <v>No</v>
          </cell>
          <cell r="AO1341">
            <v>0.9</v>
          </cell>
          <cell r="AP1341">
            <v>13180500</v>
          </cell>
          <cell r="AQ1341"/>
          <cell r="AR1341"/>
          <cell r="AS1341">
            <v>0</v>
          </cell>
          <cell r="AT1341">
            <v>0</v>
          </cell>
          <cell r="AV1341"/>
          <cell r="AX1341" t="str">
            <v>Cancel</v>
          </cell>
          <cell r="AY1341"/>
          <cell r="AZ1341"/>
          <cell r="BA1341" t="str">
            <v>Cancel</v>
          </cell>
          <cell r="BB1341" t="str">
            <v>2022-8-2Ken邮件通知</v>
          </cell>
        </row>
        <row r="1342">
          <cell r="B1342">
            <v>1192</v>
          </cell>
          <cell r="C1342" t="str">
            <v>C49SZX20210067JY</v>
          </cell>
          <cell r="D1342" t="str">
            <v>江西络鑫</v>
          </cell>
          <cell r="E1342" t="str">
            <v>YSM20R-2</v>
          </cell>
          <cell r="F1342"/>
          <cell r="G1342" t="e">
            <v>#REF!</v>
          </cell>
          <cell r="H1342" t="e">
            <v>#REF!</v>
          </cell>
          <cell r="I1342" t="str">
            <v>L-&gt;R</v>
          </cell>
          <cell r="J1342" t="str">
            <v>No</v>
          </cell>
          <cell r="K1342">
            <v>1</v>
          </cell>
          <cell r="L1342" t="e">
            <v>#N/A</v>
          </cell>
          <cell r="M1342" t="e">
            <v>#N/A</v>
          </cell>
          <cell r="N1342"/>
          <cell r="O1342"/>
          <cell r="P1342"/>
          <cell r="Q1342"/>
          <cell r="R1342" t="str">
            <v>Yes</v>
          </cell>
          <cell r="S1342" t="str">
            <v>C49</v>
          </cell>
          <cell r="T1342" t="str">
            <v>SOUTH</v>
          </cell>
          <cell r="U1342" t="str">
            <v>深圳</v>
          </cell>
          <cell r="V1342" t="str">
            <v>SZ 深圳</v>
          </cell>
          <cell r="W1342" t="str">
            <v>JY</v>
          </cell>
          <cell r="X1342" t="str">
            <v>JPY</v>
          </cell>
          <cell r="Y1342">
            <v>14645000</v>
          </cell>
          <cell r="Z1342">
            <v>1</v>
          </cell>
          <cell r="AA1342">
            <v>14645000</v>
          </cell>
          <cell r="AB1342">
            <v>7.4499999999999997E-2</v>
          </cell>
          <cell r="AC1342">
            <v>1091052.5</v>
          </cell>
          <cell r="AD1342">
            <v>130926.29999999999</v>
          </cell>
          <cell r="AE1342">
            <v>0.12</v>
          </cell>
          <cell r="AF1342">
            <v>44259</v>
          </cell>
          <cell r="AG1342" t="str">
            <v>DAP JX</v>
          </cell>
          <cell r="AI1342"/>
          <cell r="AJ1342"/>
          <cell r="AK1342">
            <v>0.1</v>
          </cell>
          <cell r="AL1342">
            <v>1464500</v>
          </cell>
          <cell r="AM1342"/>
          <cell r="AN1342" t="str">
            <v>No</v>
          </cell>
          <cell r="AO1342">
            <v>0.9</v>
          </cell>
          <cell r="AP1342">
            <v>13180500</v>
          </cell>
          <cell r="AQ1342"/>
          <cell r="AR1342"/>
          <cell r="AS1342">
            <v>0</v>
          </cell>
          <cell r="AT1342">
            <v>0</v>
          </cell>
          <cell r="AV1342"/>
          <cell r="AX1342" t="str">
            <v>Cancel</v>
          </cell>
          <cell r="AY1342"/>
          <cell r="AZ1342"/>
          <cell r="BA1342" t="str">
            <v>Cancel</v>
          </cell>
          <cell r="BB1342" t="str">
            <v>2022-8-2Ken邮件通知</v>
          </cell>
        </row>
        <row r="1343">
          <cell r="B1343">
            <v>1193</v>
          </cell>
          <cell r="C1343" t="str">
            <v>C49SZX20210067JY</v>
          </cell>
          <cell r="D1343" t="str">
            <v>江西络鑫</v>
          </cell>
          <cell r="E1343" t="str">
            <v>YSM20R-2</v>
          </cell>
          <cell r="F1343"/>
          <cell r="G1343" t="e">
            <v>#REF!</v>
          </cell>
          <cell r="H1343" t="e">
            <v>#REF!</v>
          </cell>
          <cell r="I1343" t="str">
            <v>L-&gt;R</v>
          </cell>
          <cell r="J1343" t="str">
            <v>No</v>
          </cell>
          <cell r="K1343">
            <v>1</v>
          </cell>
          <cell r="L1343" t="e">
            <v>#N/A</v>
          </cell>
          <cell r="M1343" t="e">
            <v>#N/A</v>
          </cell>
          <cell r="N1343"/>
          <cell r="O1343"/>
          <cell r="P1343"/>
          <cell r="Q1343"/>
          <cell r="R1343" t="str">
            <v>Yes</v>
          </cell>
          <cell r="S1343" t="str">
            <v>C49</v>
          </cell>
          <cell r="T1343" t="str">
            <v>SOUTH</v>
          </cell>
          <cell r="U1343" t="str">
            <v>深圳</v>
          </cell>
          <cell r="V1343" t="str">
            <v>SZ 深圳</v>
          </cell>
          <cell r="W1343" t="str">
            <v>JY</v>
          </cell>
          <cell r="X1343" t="str">
            <v>JPY</v>
          </cell>
          <cell r="Y1343">
            <v>14645000</v>
          </cell>
          <cell r="Z1343">
            <v>1</v>
          </cell>
          <cell r="AA1343">
            <v>14645000</v>
          </cell>
          <cell r="AB1343">
            <v>7.4499999999999997E-2</v>
          </cell>
          <cell r="AC1343">
            <v>1091052.5</v>
          </cell>
          <cell r="AD1343">
            <v>130926.29999999999</v>
          </cell>
          <cell r="AE1343">
            <v>0.12</v>
          </cell>
          <cell r="AF1343">
            <v>44259</v>
          </cell>
          <cell r="AG1343" t="str">
            <v>DAP JX</v>
          </cell>
          <cell r="AI1343"/>
          <cell r="AJ1343"/>
          <cell r="AK1343">
            <v>0.1</v>
          </cell>
          <cell r="AL1343">
            <v>1464500</v>
          </cell>
          <cell r="AM1343"/>
          <cell r="AN1343" t="str">
            <v>No</v>
          </cell>
          <cell r="AO1343">
            <v>0.9</v>
          </cell>
          <cell r="AP1343">
            <v>13180500</v>
          </cell>
          <cell r="AQ1343"/>
          <cell r="AR1343"/>
          <cell r="AS1343">
            <v>0</v>
          </cell>
          <cell r="AT1343">
            <v>0</v>
          </cell>
          <cell r="AV1343"/>
          <cell r="AX1343" t="str">
            <v>Cancel</v>
          </cell>
          <cell r="AY1343"/>
          <cell r="AZ1343"/>
          <cell r="BA1343" t="str">
            <v>Cancel</v>
          </cell>
          <cell r="BB1343" t="str">
            <v>2022-8-2Ken邮件通知</v>
          </cell>
        </row>
        <row r="1344">
          <cell r="B1344">
            <v>1194</v>
          </cell>
          <cell r="C1344" t="str">
            <v>C49SZX20210067JY</v>
          </cell>
          <cell r="D1344" t="str">
            <v>江西络鑫</v>
          </cell>
          <cell r="E1344" t="str">
            <v>YSM20R-2</v>
          </cell>
          <cell r="F1344"/>
          <cell r="G1344" t="e">
            <v>#REF!</v>
          </cell>
          <cell r="H1344" t="e">
            <v>#REF!</v>
          </cell>
          <cell r="I1344" t="str">
            <v>L-&gt;R</v>
          </cell>
          <cell r="J1344" t="str">
            <v>No</v>
          </cell>
          <cell r="K1344">
            <v>1</v>
          </cell>
          <cell r="L1344" t="e">
            <v>#N/A</v>
          </cell>
          <cell r="M1344" t="e">
            <v>#N/A</v>
          </cell>
          <cell r="N1344"/>
          <cell r="O1344"/>
          <cell r="P1344"/>
          <cell r="Q1344"/>
          <cell r="R1344" t="str">
            <v>Yes</v>
          </cell>
          <cell r="S1344" t="str">
            <v>C49</v>
          </cell>
          <cell r="T1344" t="str">
            <v>SOUTH</v>
          </cell>
          <cell r="U1344" t="str">
            <v>深圳</v>
          </cell>
          <cell r="V1344" t="str">
            <v>SZ 深圳</v>
          </cell>
          <cell r="W1344" t="str">
            <v>JY</v>
          </cell>
          <cell r="X1344" t="str">
            <v>JPY</v>
          </cell>
          <cell r="Y1344">
            <v>14645000</v>
          </cell>
          <cell r="Z1344">
            <v>1</v>
          </cell>
          <cell r="AA1344">
            <v>14645000</v>
          </cell>
          <cell r="AB1344">
            <v>7.4499999999999997E-2</v>
          </cell>
          <cell r="AC1344">
            <v>1091052.5</v>
          </cell>
          <cell r="AD1344">
            <v>130926.29999999999</v>
          </cell>
          <cell r="AE1344">
            <v>0.12</v>
          </cell>
          <cell r="AF1344">
            <v>44259</v>
          </cell>
          <cell r="AG1344" t="str">
            <v>DAP JX</v>
          </cell>
          <cell r="AI1344"/>
          <cell r="AJ1344"/>
          <cell r="AK1344">
            <v>0.1</v>
          </cell>
          <cell r="AL1344">
            <v>1464500</v>
          </cell>
          <cell r="AM1344"/>
          <cell r="AN1344" t="str">
            <v>No</v>
          </cell>
          <cell r="AO1344">
            <v>0.9</v>
          </cell>
          <cell r="AP1344">
            <v>13180500</v>
          </cell>
          <cell r="AQ1344"/>
          <cell r="AR1344"/>
          <cell r="AS1344">
            <v>0</v>
          </cell>
          <cell r="AT1344">
            <v>0</v>
          </cell>
          <cell r="AV1344"/>
          <cell r="AX1344" t="str">
            <v>Cancel</v>
          </cell>
          <cell r="AY1344"/>
          <cell r="AZ1344"/>
          <cell r="BA1344" t="str">
            <v>Cancel</v>
          </cell>
          <cell r="BB1344" t="str">
            <v>2022-8-2Ken邮件通知</v>
          </cell>
        </row>
        <row r="1345">
          <cell r="B1345">
            <v>1195</v>
          </cell>
          <cell r="C1345" t="str">
            <v>C49SZX20210067JY</v>
          </cell>
          <cell r="D1345" t="str">
            <v>江西络鑫</v>
          </cell>
          <cell r="E1345" t="str">
            <v>YSM20R-2</v>
          </cell>
          <cell r="F1345"/>
          <cell r="G1345" t="e">
            <v>#REF!</v>
          </cell>
          <cell r="H1345" t="e">
            <v>#REF!</v>
          </cell>
          <cell r="I1345" t="str">
            <v>L-&gt;R</v>
          </cell>
          <cell r="J1345" t="str">
            <v>No</v>
          </cell>
          <cell r="K1345">
            <v>1</v>
          </cell>
          <cell r="L1345" t="e">
            <v>#N/A</v>
          </cell>
          <cell r="M1345" t="e">
            <v>#N/A</v>
          </cell>
          <cell r="N1345"/>
          <cell r="O1345"/>
          <cell r="P1345"/>
          <cell r="Q1345"/>
          <cell r="R1345" t="str">
            <v>Yes</v>
          </cell>
          <cell r="S1345" t="str">
            <v>C49</v>
          </cell>
          <cell r="T1345" t="str">
            <v>SOUTH</v>
          </cell>
          <cell r="U1345" t="str">
            <v>深圳</v>
          </cell>
          <cell r="V1345" t="str">
            <v>SZ 深圳</v>
          </cell>
          <cell r="W1345" t="str">
            <v>JY</v>
          </cell>
          <cell r="X1345" t="str">
            <v>JPY</v>
          </cell>
          <cell r="Y1345">
            <v>14645000</v>
          </cell>
          <cell r="Z1345">
            <v>1</v>
          </cell>
          <cell r="AA1345">
            <v>14645000</v>
          </cell>
          <cell r="AB1345">
            <v>7.4499999999999997E-2</v>
          </cell>
          <cell r="AC1345">
            <v>1091052.5</v>
          </cell>
          <cell r="AD1345">
            <v>130926.29999999999</v>
          </cell>
          <cell r="AE1345">
            <v>0.12</v>
          </cell>
          <cell r="AF1345">
            <v>44259</v>
          </cell>
          <cell r="AG1345" t="str">
            <v>DAP JX</v>
          </cell>
          <cell r="AI1345"/>
          <cell r="AJ1345"/>
          <cell r="AK1345">
            <v>0.1</v>
          </cell>
          <cell r="AL1345">
            <v>1464500</v>
          </cell>
          <cell r="AM1345"/>
          <cell r="AN1345" t="str">
            <v>No</v>
          </cell>
          <cell r="AO1345">
            <v>0.9</v>
          </cell>
          <cell r="AP1345">
            <v>13180500</v>
          </cell>
          <cell r="AQ1345"/>
          <cell r="AR1345"/>
          <cell r="AS1345">
            <v>0</v>
          </cell>
          <cell r="AT1345">
            <v>0</v>
          </cell>
          <cell r="AV1345"/>
          <cell r="AX1345" t="str">
            <v>Cancel</v>
          </cell>
          <cell r="AY1345"/>
          <cell r="AZ1345"/>
          <cell r="BA1345" t="str">
            <v>Cancel</v>
          </cell>
          <cell r="BB1345" t="str">
            <v>2022-8-2Ken邮件通知</v>
          </cell>
        </row>
        <row r="1346">
          <cell r="B1346">
            <v>1196</v>
          </cell>
          <cell r="C1346" t="str">
            <v>C49SZX20210067JY</v>
          </cell>
          <cell r="D1346" t="str">
            <v>江西络鑫</v>
          </cell>
          <cell r="E1346" t="str">
            <v>YSM20R-2</v>
          </cell>
          <cell r="F1346"/>
          <cell r="G1346" t="e">
            <v>#REF!</v>
          </cell>
          <cell r="H1346" t="e">
            <v>#REF!</v>
          </cell>
          <cell r="I1346" t="str">
            <v>L-&gt;R</v>
          </cell>
          <cell r="J1346" t="str">
            <v>No</v>
          </cell>
          <cell r="K1346">
            <v>1</v>
          </cell>
          <cell r="L1346" t="e">
            <v>#N/A</v>
          </cell>
          <cell r="M1346" t="e">
            <v>#N/A</v>
          </cell>
          <cell r="N1346"/>
          <cell r="O1346"/>
          <cell r="P1346"/>
          <cell r="Q1346"/>
          <cell r="R1346" t="str">
            <v>Yes</v>
          </cell>
          <cell r="S1346" t="str">
            <v>C49</v>
          </cell>
          <cell r="T1346" t="str">
            <v>SOUTH</v>
          </cell>
          <cell r="U1346" t="str">
            <v>深圳</v>
          </cell>
          <cell r="V1346" t="str">
            <v>SZ 深圳</v>
          </cell>
          <cell r="W1346" t="str">
            <v>JY</v>
          </cell>
          <cell r="X1346" t="str">
            <v>JPY</v>
          </cell>
          <cell r="Y1346">
            <v>14645000</v>
          </cell>
          <cell r="Z1346">
            <v>1</v>
          </cell>
          <cell r="AA1346">
            <v>14645000</v>
          </cell>
          <cell r="AB1346">
            <v>7.4499999999999997E-2</v>
          </cell>
          <cell r="AC1346">
            <v>1091052.5</v>
          </cell>
          <cell r="AD1346">
            <v>130926.29999999999</v>
          </cell>
          <cell r="AE1346">
            <v>0.12</v>
          </cell>
          <cell r="AF1346">
            <v>44259</v>
          </cell>
          <cell r="AG1346" t="str">
            <v>DAP JX</v>
          </cell>
          <cell r="AI1346"/>
          <cell r="AJ1346"/>
          <cell r="AK1346">
            <v>0.1</v>
          </cell>
          <cell r="AL1346">
            <v>1464500</v>
          </cell>
          <cell r="AM1346"/>
          <cell r="AN1346" t="str">
            <v>No</v>
          </cell>
          <cell r="AO1346">
            <v>0.9</v>
          </cell>
          <cell r="AP1346">
            <v>13180500</v>
          </cell>
          <cell r="AQ1346"/>
          <cell r="AR1346"/>
          <cell r="AS1346">
            <v>0</v>
          </cell>
          <cell r="AT1346">
            <v>0</v>
          </cell>
          <cell r="AV1346"/>
          <cell r="AX1346" t="str">
            <v>Cancel</v>
          </cell>
          <cell r="AY1346"/>
          <cell r="AZ1346"/>
          <cell r="BA1346" t="str">
            <v>Cancel</v>
          </cell>
          <cell r="BB1346" t="str">
            <v>2022-8-2Ken邮件通知</v>
          </cell>
        </row>
        <row r="1347">
          <cell r="B1347">
            <v>1197</v>
          </cell>
          <cell r="C1347" t="str">
            <v>C49SZX20210067JY</v>
          </cell>
          <cell r="D1347" t="str">
            <v>江西络鑫</v>
          </cell>
          <cell r="E1347" t="str">
            <v>YSM20R-2</v>
          </cell>
          <cell r="F1347"/>
          <cell r="G1347" t="e">
            <v>#REF!</v>
          </cell>
          <cell r="H1347" t="e">
            <v>#REF!</v>
          </cell>
          <cell r="I1347" t="str">
            <v>L-&gt;R</v>
          </cell>
          <cell r="J1347" t="str">
            <v>No</v>
          </cell>
          <cell r="K1347">
            <v>1</v>
          </cell>
          <cell r="L1347" t="e">
            <v>#N/A</v>
          </cell>
          <cell r="M1347" t="e">
            <v>#N/A</v>
          </cell>
          <cell r="N1347"/>
          <cell r="O1347"/>
          <cell r="P1347"/>
          <cell r="Q1347"/>
          <cell r="R1347" t="str">
            <v>Yes</v>
          </cell>
          <cell r="S1347" t="str">
            <v>C49</v>
          </cell>
          <cell r="T1347" t="str">
            <v>SOUTH</v>
          </cell>
          <cell r="U1347" t="str">
            <v>深圳</v>
          </cell>
          <cell r="V1347" t="str">
            <v>SZ 深圳</v>
          </cell>
          <cell r="W1347" t="str">
            <v>JY</v>
          </cell>
          <cell r="X1347" t="str">
            <v>JPY</v>
          </cell>
          <cell r="Y1347">
            <v>14645000</v>
          </cell>
          <cell r="Z1347">
            <v>1</v>
          </cell>
          <cell r="AA1347">
            <v>14645000</v>
          </cell>
          <cell r="AB1347">
            <v>7.4499999999999997E-2</v>
          </cell>
          <cell r="AC1347">
            <v>1091052.5</v>
          </cell>
          <cell r="AD1347">
            <v>130926.29999999999</v>
          </cell>
          <cell r="AE1347">
            <v>0.12</v>
          </cell>
          <cell r="AF1347">
            <v>44259</v>
          </cell>
          <cell r="AG1347" t="str">
            <v>DAP JX</v>
          </cell>
          <cell r="AI1347"/>
          <cell r="AJ1347"/>
          <cell r="AK1347">
            <v>0.1</v>
          </cell>
          <cell r="AL1347">
            <v>1464500</v>
          </cell>
          <cell r="AM1347"/>
          <cell r="AN1347" t="str">
            <v>No</v>
          </cell>
          <cell r="AO1347">
            <v>0.9</v>
          </cell>
          <cell r="AP1347">
            <v>13180500</v>
          </cell>
          <cell r="AQ1347"/>
          <cell r="AR1347"/>
          <cell r="AS1347">
            <v>0</v>
          </cell>
          <cell r="AT1347">
            <v>0</v>
          </cell>
          <cell r="AV1347"/>
          <cell r="AX1347" t="str">
            <v>Cancel</v>
          </cell>
          <cell r="AY1347"/>
          <cell r="AZ1347"/>
          <cell r="BA1347" t="str">
            <v>Cancel</v>
          </cell>
          <cell r="BB1347" t="str">
            <v>2022-8-2Ken邮件通知</v>
          </cell>
        </row>
        <row r="1348">
          <cell r="B1348">
            <v>1198</v>
          </cell>
          <cell r="C1348" t="str">
            <v>C49SZX20210067JY</v>
          </cell>
          <cell r="D1348" t="str">
            <v>江西络鑫</v>
          </cell>
          <cell r="E1348" t="str">
            <v>YSM20R-2</v>
          </cell>
          <cell r="F1348"/>
          <cell r="G1348" t="e">
            <v>#REF!</v>
          </cell>
          <cell r="H1348" t="e">
            <v>#REF!</v>
          </cell>
          <cell r="I1348" t="str">
            <v>L-&gt;R</v>
          </cell>
          <cell r="J1348" t="str">
            <v>No</v>
          </cell>
          <cell r="K1348">
            <v>1</v>
          </cell>
          <cell r="L1348" t="e">
            <v>#N/A</v>
          </cell>
          <cell r="M1348" t="e">
            <v>#N/A</v>
          </cell>
          <cell r="N1348"/>
          <cell r="O1348"/>
          <cell r="P1348"/>
          <cell r="Q1348"/>
          <cell r="R1348" t="str">
            <v>Yes</v>
          </cell>
          <cell r="S1348" t="str">
            <v>C49</v>
          </cell>
          <cell r="T1348" t="str">
            <v>SOUTH</v>
          </cell>
          <cell r="U1348" t="str">
            <v>深圳</v>
          </cell>
          <cell r="V1348" t="str">
            <v>SZ 深圳</v>
          </cell>
          <cell r="W1348" t="str">
            <v>JY</v>
          </cell>
          <cell r="X1348" t="str">
            <v>JPY</v>
          </cell>
          <cell r="Y1348">
            <v>14645000</v>
          </cell>
          <cell r="Z1348">
            <v>1</v>
          </cell>
          <cell r="AA1348">
            <v>14645000</v>
          </cell>
          <cell r="AB1348">
            <v>7.4499999999999997E-2</v>
          </cell>
          <cell r="AC1348">
            <v>1091052.5</v>
          </cell>
          <cell r="AD1348">
            <v>130926.29999999999</v>
          </cell>
          <cell r="AE1348">
            <v>0.12</v>
          </cell>
          <cell r="AF1348">
            <v>44259</v>
          </cell>
          <cell r="AG1348" t="str">
            <v>DAP JX</v>
          </cell>
          <cell r="AI1348"/>
          <cell r="AJ1348"/>
          <cell r="AK1348">
            <v>0.1</v>
          </cell>
          <cell r="AL1348">
            <v>1464500</v>
          </cell>
          <cell r="AM1348"/>
          <cell r="AN1348" t="str">
            <v>No</v>
          </cell>
          <cell r="AO1348">
            <v>0.9</v>
          </cell>
          <cell r="AP1348">
            <v>13180500</v>
          </cell>
          <cell r="AQ1348"/>
          <cell r="AR1348"/>
          <cell r="AS1348">
            <v>0</v>
          </cell>
          <cell r="AT1348">
            <v>0</v>
          </cell>
          <cell r="AV1348"/>
          <cell r="AX1348" t="str">
            <v>Cancel</v>
          </cell>
          <cell r="AY1348"/>
          <cell r="AZ1348"/>
          <cell r="BA1348" t="str">
            <v>Cancel</v>
          </cell>
          <cell r="BB1348" t="str">
            <v>2022-8-2Ken邮件通知</v>
          </cell>
        </row>
        <row r="1349">
          <cell r="B1349">
            <v>1199</v>
          </cell>
          <cell r="C1349" t="str">
            <v>C49SZX20210067JY</v>
          </cell>
          <cell r="D1349" t="str">
            <v>江西络鑫</v>
          </cell>
          <cell r="E1349" t="str">
            <v>YSM20R-2</v>
          </cell>
          <cell r="F1349"/>
          <cell r="G1349" t="e">
            <v>#REF!</v>
          </cell>
          <cell r="H1349" t="e">
            <v>#REF!</v>
          </cell>
          <cell r="I1349" t="str">
            <v>L-&gt;R</v>
          </cell>
          <cell r="J1349" t="str">
            <v>No</v>
          </cell>
          <cell r="K1349">
            <v>1</v>
          </cell>
          <cell r="L1349" t="e">
            <v>#N/A</v>
          </cell>
          <cell r="M1349" t="e">
            <v>#N/A</v>
          </cell>
          <cell r="N1349"/>
          <cell r="O1349"/>
          <cell r="P1349"/>
          <cell r="Q1349"/>
          <cell r="R1349" t="str">
            <v>Yes</v>
          </cell>
          <cell r="S1349" t="str">
            <v>C49</v>
          </cell>
          <cell r="T1349" t="str">
            <v>SOUTH</v>
          </cell>
          <cell r="U1349" t="str">
            <v>深圳</v>
          </cell>
          <cell r="V1349" t="str">
            <v>SZ 深圳</v>
          </cell>
          <cell r="W1349" t="str">
            <v>JY</v>
          </cell>
          <cell r="X1349" t="str">
            <v>JPY</v>
          </cell>
          <cell r="Y1349">
            <v>14645000</v>
          </cell>
          <cell r="Z1349">
            <v>1</v>
          </cell>
          <cell r="AA1349">
            <v>14645000</v>
          </cell>
          <cell r="AB1349">
            <v>7.4499999999999997E-2</v>
          </cell>
          <cell r="AC1349">
            <v>1091052.5</v>
          </cell>
          <cell r="AD1349">
            <v>130926.29999999999</v>
          </cell>
          <cell r="AE1349">
            <v>0.12</v>
          </cell>
          <cell r="AF1349">
            <v>44259</v>
          </cell>
          <cell r="AG1349" t="str">
            <v>DAP JX</v>
          </cell>
          <cell r="AI1349"/>
          <cell r="AJ1349"/>
          <cell r="AK1349">
            <v>0.1</v>
          </cell>
          <cell r="AL1349">
            <v>1464500</v>
          </cell>
          <cell r="AM1349"/>
          <cell r="AN1349" t="str">
            <v>No</v>
          </cell>
          <cell r="AO1349">
            <v>0.9</v>
          </cell>
          <cell r="AP1349">
            <v>13180500</v>
          </cell>
          <cell r="AQ1349"/>
          <cell r="AR1349"/>
          <cell r="AS1349">
            <v>0</v>
          </cell>
          <cell r="AT1349">
            <v>0</v>
          </cell>
          <cell r="AV1349"/>
          <cell r="AX1349" t="str">
            <v>Cancel</v>
          </cell>
          <cell r="AY1349"/>
          <cell r="AZ1349"/>
          <cell r="BA1349" t="str">
            <v>Cancel</v>
          </cell>
          <cell r="BB1349" t="str">
            <v>2022-8-2Ken邮件通知</v>
          </cell>
        </row>
        <row r="1350">
          <cell r="B1350">
            <v>1200</v>
          </cell>
          <cell r="C1350" t="str">
            <v>C49SZX20210067JY</v>
          </cell>
          <cell r="D1350" t="str">
            <v>江西络鑫</v>
          </cell>
          <cell r="E1350" t="str">
            <v>YSM10</v>
          </cell>
          <cell r="F1350"/>
          <cell r="G1350" t="e">
            <v>#REF!</v>
          </cell>
          <cell r="H1350" t="e">
            <v>#REF!</v>
          </cell>
          <cell r="I1350" t="str">
            <v>L-&gt;R</v>
          </cell>
          <cell r="J1350" t="str">
            <v>MVC+ATS15</v>
          </cell>
          <cell r="K1350">
            <v>1</v>
          </cell>
          <cell r="L1350" t="e">
            <v>#N/A</v>
          </cell>
          <cell r="M1350" t="e">
            <v>#N/A</v>
          </cell>
          <cell r="N1350"/>
          <cell r="O1350"/>
          <cell r="P1350"/>
          <cell r="Q1350"/>
          <cell r="R1350" t="str">
            <v>Yes</v>
          </cell>
          <cell r="S1350" t="str">
            <v>C49</v>
          </cell>
          <cell r="T1350" t="str">
            <v>SOUTH</v>
          </cell>
          <cell r="U1350" t="str">
            <v>深圳</v>
          </cell>
          <cell r="V1350" t="str">
            <v>SZ 深圳</v>
          </cell>
          <cell r="W1350" t="str">
            <v>JY</v>
          </cell>
          <cell r="X1350" t="str">
            <v>JPY</v>
          </cell>
          <cell r="Y1350">
            <v>8593800</v>
          </cell>
          <cell r="Z1350">
            <v>1</v>
          </cell>
          <cell r="AA1350">
            <v>8593800</v>
          </cell>
          <cell r="AB1350">
            <v>7.4499999999999997E-2</v>
          </cell>
          <cell r="AC1350">
            <v>640238.1</v>
          </cell>
          <cell r="AD1350">
            <v>76828.572</v>
          </cell>
          <cell r="AE1350">
            <v>0.12</v>
          </cell>
          <cell r="AF1350">
            <v>44259</v>
          </cell>
          <cell r="AG1350" t="str">
            <v>DAP JX</v>
          </cell>
          <cell r="AI1350"/>
          <cell r="AJ1350"/>
          <cell r="AK1350">
            <v>0.1</v>
          </cell>
          <cell r="AL1350">
            <v>859380</v>
          </cell>
          <cell r="AM1350"/>
          <cell r="AN1350" t="str">
            <v>No</v>
          </cell>
          <cell r="AO1350">
            <v>0.9</v>
          </cell>
          <cell r="AP1350">
            <v>7734420</v>
          </cell>
          <cell r="AQ1350"/>
          <cell r="AR1350"/>
          <cell r="AS1350">
            <v>0</v>
          </cell>
          <cell r="AT1350">
            <v>0</v>
          </cell>
          <cell r="AV1350"/>
          <cell r="AX1350" t="str">
            <v>Cancel</v>
          </cell>
          <cell r="AY1350"/>
          <cell r="AZ1350"/>
          <cell r="BA1350" t="str">
            <v>Cancel</v>
          </cell>
          <cell r="BB1350" t="str">
            <v>2022-8-2Ken邮件通知</v>
          </cell>
        </row>
        <row r="1351">
          <cell r="B1351">
            <v>1201</v>
          </cell>
          <cell r="C1351" t="str">
            <v>C49SZX20210067JY</v>
          </cell>
          <cell r="D1351" t="str">
            <v>江西络鑫</v>
          </cell>
          <cell r="E1351" t="str">
            <v>YSM10</v>
          </cell>
          <cell r="F1351"/>
          <cell r="G1351" t="e">
            <v>#REF!</v>
          </cell>
          <cell r="H1351" t="e">
            <v>#REF!</v>
          </cell>
          <cell r="I1351" t="str">
            <v>L-&gt;R</v>
          </cell>
          <cell r="J1351" t="str">
            <v>MVC+ATS15</v>
          </cell>
          <cell r="K1351">
            <v>1</v>
          </cell>
          <cell r="L1351" t="e">
            <v>#N/A</v>
          </cell>
          <cell r="M1351" t="e">
            <v>#N/A</v>
          </cell>
          <cell r="N1351"/>
          <cell r="O1351"/>
          <cell r="P1351"/>
          <cell r="Q1351"/>
          <cell r="R1351" t="str">
            <v>Yes</v>
          </cell>
          <cell r="S1351" t="str">
            <v>C49</v>
          </cell>
          <cell r="T1351" t="str">
            <v>SOUTH</v>
          </cell>
          <cell r="U1351" t="str">
            <v>深圳</v>
          </cell>
          <cell r="V1351" t="str">
            <v>SZ 深圳</v>
          </cell>
          <cell r="W1351" t="str">
            <v>JY</v>
          </cell>
          <cell r="X1351" t="str">
            <v>JPY</v>
          </cell>
          <cell r="Y1351">
            <v>8593800</v>
          </cell>
          <cell r="Z1351">
            <v>1</v>
          </cell>
          <cell r="AA1351">
            <v>8593800</v>
          </cell>
          <cell r="AB1351">
            <v>7.4499999999999997E-2</v>
          </cell>
          <cell r="AC1351">
            <v>640238.1</v>
          </cell>
          <cell r="AD1351">
            <v>76828.572</v>
          </cell>
          <cell r="AE1351">
            <v>0.12</v>
          </cell>
          <cell r="AF1351">
            <v>44259</v>
          </cell>
          <cell r="AG1351" t="str">
            <v>DAP JX</v>
          </cell>
          <cell r="AI1351"/>
          <cell r="AJ1351"/>
          <cell r="AK1351">
            <v>0.1</v>
          </cell>
          <cell r="AL1351">
            <v>859380</v>
          </cell>
          <cell r="AM1351"/>
          <cell r="AN1351" t="str">
            <v>No</v>
          </cell>
          <cell r="AO1351">
            <v>0.9</v>
          </cell>
          <cell r="AP1351">
            <v>7734420</v>
          </cell>
          <cell r="AQ1351"/>
          <cell r="AR1351"/>
          <cell r="AS1351">
            <v>0</v>
          </cell>
          <cell r="AT1351">
            <v>0</v>
          </cell>
          <cell r="AV1351"/>
          <cell r="AX1351" t="str">
            <v>Cancel</v>
          </cell>
          <cell r="AY1351"/>
          <cell r="AZ1351"/>
          <cell r="BA1351" t="str">
            <v>Cancel</v>
          </cell>
          <cell r="BB1351" t="str">
            <v>2022-8-2Ken邮件通知</v>
          </cell>
        </row>
        <row r="1352">
          <cell r="B1352">
            <v>1202</v>
          </cell>
          <cell r="C1352" t="str">
            <v>C49SZX20210067JY</v>
          </cell>
          <cell r="D1352" t="str">
            <v>江西络鑫</v>
          </cell>
          <cell r="E1352" t="str">
            <v>YSM10</v>
          </cell>
          <cell r="F1352"/>
          <cell r="G1352" t="e">
            <v>#REF!</v>
          </cell>
          <cell r="H1352" t="e">
            <v>#REF!</v>
          </cell>
          <cell r="I1352" t="str">
            <v>L-&gt;R</v>
          </cell>
          <cell r="J1352" t="str">
            <v>MVC+ATS15</v>
          </cell>
          <cell r="K1352">
            <v>1</v>
          </cell>
          <cell r="L1352" t="e">
            <v>#N/A</v>
          </cell>
          <cell r="M1352" t="e">
            <v>#N/A</v>
          </cell>
          <cell r="N1352"/>
          <cell r="O1352"/>
          <cell r="P1352"/>
          <cell r="Q1352"/>
          <cell r="R1352" t="str">
            <v>Yes</v>
          </cell>
          <cell r="S1352" t="str">
            <v>C49</v>
          </cell>
          <cell r="T1352" t="str">
            <v>SOUTH</v>
          </cell>
          <cell r="U1352" t="str">
            <v>深圳</v>
          </cell>
          <cell r="V1352" t="str">
            <v>SZ 深圳</v>
          </cell>
          <cell r="W1352" t="str">
            <v>JY</v>
          </cell>
          <cell r="X1352" t="str">
            <v>JPY</v>
          </cell>
          <cell r="Y1352">
            <v>8593800</v>
          </cell>
          <cell r="Z1352">
            <v>1</v>
          </cell>
          <cell r="AA1352">
            <v>8593800</v>
          </cell>
          <cell r="AB1352">
            <v>7.4499999999999997E-2</v>
          </cell>
          <cell r="AC1352">
            <v>640238.1</v>
          </cell>
          <cell r="AD1352">
            <v>76828.572</v>
          </cell>
          <cell r="AE1352">
            <v>0.12</v>
          </cell>
          <cell r="AF1352">
            <v>44259</v>
          </cell>
          <cell r="AG1352" t="str">
            <v>DAP JX</v>
          </cell>
          <cell r="AI1352"/>
          <cell r="AJ1352"/>
          <cell r="AK1352">
            <v>0.1</v>
          </cell>
          <cell r="AL1352">
            <v>859380</v>
          </cell>
          <cell r="AM1352"/>
          <cell r="AN1352" t="str">
            <v>No</v>
          </cell>
          <cell r="AO1352">
            <v>0.9</v>
          </cell>
          <cell r="AP1352">
            <v>7734420</v>
          </cell>
          <cell r="AQ1352"/>
          <cell r="AR1352"/>
          <cell r="AS1352">
            <v>0</v>
          </cell>
          <cell r="AT1352">
            <v>0</v>
          </cell>
          <cell r="AV1352"/>
          <cell r="AX1352" t="str">
            <v>Cancel</v>
          </cell>
          <cell r="AY1352"/>
          <cell r="AZ1352"/>
          <cell r="BA1352" t="str">
            <v>Cancel</v>
          </cell>
          <cell r="BB1352" t="str">
            <v>2022-8-2Ken邮件通知</v>
          </cell>
        </row>
        <row r="1353">
          <cell r="B1353">
            <v>1203</v>
          </cell>
          <cell r="C1353" t="str">
            <v>C49SZX20210067JY</v>
          </cell>
          <cell r="D1353" t="str">
            <v>江西络鑫</v>
          </cell>
          <cell r="E1353" t="str">
            <v>YSM10</v>
          </cell>
          <cell r="F1353"/>
          <cell r="G1353" t="e">
            <v>#REF!</v>
          </cell>
          <cell r="H1353" t="e">
            <v>#REF!</v>
          </cell>
          <cell r="I1353" t="str">
            <v>L-&gt;R</v>
          </cell>
          <cell r="J1353" t="str">
            <v>MVC+ATS15</v>
          </cell>
          <cell r="K1353">
            <v>1</v>
          </cell>
          <cell r="L1353" t="e">
            <v>#N/A</v>
          </cell>
          <cell r="M1353" t="e">
            <v>#N/A</v>
          </cell>
          <cell r="N1353"/>
          <cell r="O1353"/>
          <cell r="P1353"/>
          <cell r="Q1353"/>
          <cell r="R1353" t="str">
            <v>Yes</v>
          </cell>
          <cell r="S1353" t="str">
            <v>C49</v>
          </cell>
          <cell r="T1353" t="str">
            <v>SOUTH</v>
          </cell>
          <cell r="U1353" t="str">
            <v>深圳</v>
          </cell>
          <cell r="V1353" t="str">
            <v>SZ 深圳</v>
          </cell>
          <cell r="W1353" t="str">
            <v>JY</v>
          </cell>
          <cell r="X1353" t="str">
            <v>JPY</v>
          </cell>
          <cell r="Y1353">
            <v>8593800</v>
          </cell>
          <cell r="Z1353">
            <v>1</v>
          </cell>
          <cell r="AA1353">
            <v>8593800</v>
          </cell>
          <cell r="AB1353">
            <v>7.4499999999999997E-2</v>
          </cell>
          <cell r="AC1353">
            <v>640238.1</v>
          </cell>
          <cell r="AD1353">
            <v>76828.572</v>
          </cell>
          <cell r="AE1353">
            <v>0.12</v>
          </cell>
          <cell r="AF1353">
            <v>44259</v>
          </cell>
          <cell r="AG1353" t="str">
            <v>DAP JX</v>
          </cell>
          <cell r="AI1353"/>
          <cell r="AJ1353"/>
          <cell r="AK1353">
            <v>0.1</v>
          </cell>
          <cell r="AL1353">
            <v>859380</v>
          </cell>
          <cell r="AM1353"/>
          <cell r="AN1353" t="str">
            <v>No</v>
          </cell>
          <cell r="AO1353">
            <v>0.9</v>
          </cell>
          <cell r="AP1353">
            <v>7734420</v>
          </cell>
          <cell r="AQ1353"/>
          <cell r="AR1353"/>
          <cell r="AS1353">
            <v>0</v>
          </cell>
          <cell r="AT1353">
            <v>0</v>
          </cell>
          <cell r="AV1353"/>
          <cell r="AX1353" t="str">
            <v>Cancel</v>
          </cell>
          <cell r="AY1353"/>
          <cell r="AZ1353"/>
          <cell r="BA1353" t="str">
            <v>Cancel</v>
          </cell>
          <cell r="BB1353" t="str">
            <v>2022-8-2Ken邮件通知</v>
          </cell>
        </row>
        <row r="1354">
          <cell r="B1354">
            <v>1204</v>
          </cell>
          <cell r="C1354" t="str">
            <v>C49SZX20210067JY</v>
          </cell>
          <cell r="D1354" t="str">
            <v>江西络鑫</v>
          </cell>
          <cell r="E1354" t="str">
            <v>YSM10</v>
          </cell>
          <cell r="F1354"/>
          <cell r="G1354" t="e">
            <v>#REF!</v>
          </cell>
          <cell r="H1354" t="e">
            <v>#REF!</v>
          </cell>
          <cell r="I1354" t="str">
            <v>L-&gt;R</v>
          </cell>
          <cell r="J1354" t="str">
            <v>MVC+ATS15</v>
          </cell>
          <cell r="K1354">
            <v>1</v>
          </cell>
          <cell r="L1354" t="e">
            <v>#N/A</v>
          </cell>
          <cell r="M1354" t="e">
            <v>#N/A</v>
          </cell>
          <cell r="N1354"/>
          <cell r="O1354"/>
          <cell r="P1354"/>
          <cell r="Q1354"/>
          <cell r="R1354" t="str">
            <v>Yes</v>
          </cell>
          <cell r="S1354" t="str">
            <v>C49</v>
          </cell>
          <cell r="T1354" t="str">
            <v>SOUTH</v>
          </cell>
          <cell r="U1354" t="str">
            <v>深圳</v>
          </cell>
          <cell r="V1354" t="str">
            <v>SZ 深圳</v>
          </cell>
          <cell r="W1354" t="str">
            <v>JY</v>
          </cell>
          <cell r="X1354" t="str">
            <v>JPY</v>
          </cell>
          <cell r="Y1354">
            <v>8593800</v>
          </cell>
          <cell r="Z1354">
            <v>1</v>
          </cell>
          <cell r="AA1354">
            <v>8593800</v>
          </cell>
          <cell r="AB1354">
            <v>7.4499999999999997E-2</v>
          </cell>
          <cell r="AC1354">
            <v>640238.1</v>
          </cell>
          <cell r="AD1354">
            <v>76828.572</v>
          </cell>
          <cell r="AE1354">
            <v>0.12</v>
          </cell>
          <cell r="AF1354">
            <v>44259</v>
          </cell>
          <cell r="AG1354" t="str">
            <v>DAP JX</v>
          </cell>
          <cell r="AI1354"/>
          <cell r="AJ1354"/>
          <cell r="AK1354">
            <v>0.1</v>
          </cell>
          <cell r="AL1354">
            <v>859380</v>
          </cell>
          <cell r="AM1354"/>
          <cell r="AN1354" t="str">
            <v>No</v>
          </cell>
          <cell r="AO1354">
            <v>0.9</v>
          </cell>
          <cell r="AP1354">
            <v>7734420</v>
          </cell>
          <cell r="AQ1354"/>
          <cell r="AR1354"/>
          <cell r="AS1354">
            <v>0</v>
          </cell>
          <cell r="AT1354">
            <v>0</v>
          </cell>
          <cell r="AV1354"/>
          <cell r="AX1354" t="str">
            <v>Cancel</v>
          </cell>
          <cell r="AY1354"/>
          <cell r="AZ1354"/>
          <cell r="BA1354" t="str">
            <v>Cancel</v>
          </cell>
          <cell r="BB1354" t="str">
            <v>2022-8-2Ken邮件通知</v>
          </cell>
        </row>
        <row r="1355">
          <cell r="B1355">
            <v>1205</v>
          </cell>
          <cell r="C1355" t="str">
            <v>C49SZX20210067JY</v>
          </cell>
          <cell r="D1355" t="str">
            <v>江西络鑫</v>
          </cell>
          <cell r="E1355" t="str">
            <v>YSM10</v>
          </cell>
          <cell r="F1355"/>
          <cell r="G1355" t="e">
            <v>#REF!</v>
          </cell>
          <cell r="H1355" t="e">
            <v>#REF!</v>
          </cell>
          <cell r="I1355" t="str">
            <v>L-&gt;R</v>
          </cell>
          <cell r="J1355" t="str">
            <v>MVC+ATS15</v>
          </cell>
          <cell r="K1355">
            <v>1</v>
          </cell>
          <cell r="L1355" t="e">
            <v>#N/A</v>
          </cell>
          <cell r="M1355" t="e">
            <v>#N/A</v>
          </cell>
          <cell r="N1355"/>
          <cell r="O1355"/>
          <cell r="P1355"/>
          <cell r="Q1355"/>
          <cell r="R1355" t="str">
            <v>Yes</v>
          </cell>
          <cell r="S1355" t="str">
            <v>C49</v>
          </cell>
          <cell r="T1355" t="str">
            <v>SOUTH</v>
          </cell>
          <cell r="U1355" t="str">
            <v>深圳</v>
          </cell>
          <cell r="V1355" t="str">
            <v>SZ 深圳</v>
          </cell>
          <cell r="W1355" t="str">
            <v>JY</v>
          </cell>
          <cell r="X1355" t="str">
            <v>JPY</v>
          </cell>
          <cell r="Y1355">
            <v>8593800</v>
          </cell>
          <cell r="Z1355">
            <v>1</v>
          </cell>
          <cell r="AA1355">
            <v>8593800</v>
          </cell>
          <cell r="AB1355">
            <v>7.4499999999999997E-2</v>
          </cell>
          <cell r="AC1355">
            <v>640238.1</v>
          </cell>
          <cell r="AD1355">
            <v>76828.572</v>
          </cell>
          <cell r="AE1355">
            <v>0.12</v>
          </cell>
          <cell r="AF1355">
            <v>44259</v>
          </cell>
          <cell r="AG1355" t="str">
            <v>DAP JX</v>
          </cell>
          <cell r="AI1355"/>
          <cell r="AJ1355"/>
          <cell r="AK1355">
            <v>0.1</v>
          </cell>
          <cell r="AL1355">
            <v>859380</v>
          </cell>
          <cell r="AM1355"/>
          <cell r="AN1355" t="str">
            <v>No</v>
          </cell>
          <cell r="AO1355">
            <v>0.9</v>
          </cell>
          <cell r="AP1355">
            <v>7734420</v>
          </cell>
          <cell r="AQ1355"/>
          <cell r="AR1355"/>
          <cell r="AS1355">
            <v>0</v>
          </cell>
          <cell r="AT1355">
            <v>0</v>
          </cell>
          <cell r="AV1355"/>
          <cell r="AX1355" t="str">
            <v>Cancel</v>
          </cell>
          <cell r="AY1355"/>
          <cell r="AZ1355"/>
          <cell r="BA1355" t="str">
            <v>Cancel</v>
          </cell>
          <cell r="BB1355" t="str">
            <v>2022-8-2Ken邮件通知</v>
          </cell>
        </row>
        <row r="1356">
          <cell r="B1356">
            <v>1206</v>
          </cell>
          <cell r="C1356" t="str">
            <v>C49SZX20210067JY</v>
          </cell>
          <cell r="D1356" t="str">
            <v>江西络鑫</v>
          </cell>
          <cell r="E1356" t="str">
            <v>YSM10</v>
          </cell>
          <cell r="F1356"/>
          <cell r="G1356" t="e">
            <v>#REF!</v>
          </cell>
          <cell r="H1356" t="e">
            <v>#REF!</v>
          </cell>
          <cell r="I1356" t="str">
            <v>L-&gt;R</v>
          </cell>
          <cell r="J1356" t="str">
            <v>MVC+ATS15</v>
          </cell>
          <cell r="K1356">
            <v>1</v>
          </cell>
          <cell r="L1356" t="e">
            <v>#N/A</v>
          </cell>
          <cell r="M1356" t="e">
            <v>#N/A</v>
          </cell>
          <cell r="N1356"/>
          <cell r="O1356"/>
          <cell r="P1356"/>
          <cell r="Q1356"/>
          <cell r="R1356" t="str">
            <v>Yes</v>
          </cell>
          <cell r="S1356" t="str">
            <v>C49</v>
          </cell>
          <cell r="T1356" t="str">
            <v>SOUTH</v>
          </cell>
          <cell r="U1356" t="str">
            <v>深圳</v>
          </cell>
          <cell r="V1356" t="str">
            <v>SZ 深圳</v>
          </cell>
          <cell r="W1356" t="str">
            <v>JY</v>
          </cell>
          <cell r="X1356" t="str">
            <v>JPY</v>
          </cell>
          <cell r="Y1356">
            <v>8593800</v>
          </cell>
          <cell r="Z1356">
            <v>1</v>
          </cell>
          <cell r="AA1356">
            <v>8593800</v>
          </cell>
          <cell r="AB1356">
            <v>7.4499999999999997E-2</v>
          </cell>
          <cell r="AC1356">
            <v>640238.1</v>
          </cell>
          <cell r="AD1356">
            <v>76828.572</v>
          </cell>
          <cell r="AE1356">
            <v>0.12</v>
          </cell>
          <cell r="AF1356">
            <v>44259</v>
          </cell>
          <cell r="AG1356" t="str">
            <v>DAP JX</v>
          </cell>
          <cell r="AI1356"/>
          <cell r="AJ1356"/>
          <cell r="AK1356">
            <v>0.1</v>
          </cell>
          <cell r="AL1356">
            <v>859380</v>
          </cell>
          <cell r="AM1356"/>
          <cell r="AN1356" t="str">
            <v>No</v>
          </cell>
          <cell r="AO1356">
            <v>0.9</v>
          </cell>
          <cell r="AP1356">
            <v>7734420</v>
          </cell>
          <cell r="AQ1356"/>
          <cell r="AR1356"/>
          <cell r="AS1356">
            <v>0</v>
          </cell>
          <cell r="AT1356">
            <v>0</v>
          </cell>
          <cell r="AV1356"/>
          <cell r="AX1356" t="str">
            <v>Cancel</v>
          </cell>
          <cell r="AY1356"/>
          <cell r="AZ1356"/>
          <cell r="BA1356" t="str">
            <v>Cancel</v>
          </cell>
          <cell r="BB1356" t="str">
            <v>2022-8-2Ken邮件通知</v>
          </cell>
        </row>
        <row r="1357">
          <cell r="B1357">
            <v>1207</v>
          </cell>
          <cell r="C1357" t="str">
            <v>C49SZX20210067JY</v>
          </cell>
          <cell r="D1357" t="str">
            <v>江西络鑫</v>
          </cell>
          <cell r="E1357" t="str">
            <v>YSM10</v>
          </cell>
          <cell r="F1357"/>
          <cell r="G1357" t="e">
            <v>#REF!</v>
          </cell>
          <cell r="H1357" t="e">
            <v>#REF!</v>
          </cell>
          <cell r="I1357" t="str">
            <v>L-&gt;R</v>
          </cell>
          <cell r="J1357" t="str">
            <v>MVC+ATS15</v>
          </cell>
          <cell r="K1357">
            <v>1</v>
          </cell>
          <cell r="L1357" t="e">
            <v>#N/A</v>
          </cell>
          <cell r="M1357" t="e">
            <v>#N/A</v>
          </cell>
          <cell r="N1357"/>
          <cell r="O1357"/>
          <cell r="P1357"/>
          <cell r="Q1357"/>
          <cell r="R1357" t="str">
            <v>Yes</v>
          </cell>
          <cell r="S1357" t="str">
            <v>C49</v>
          </cell>
          <cell r="T1357" t="str">
            <v>SOUTH</v>
          </cell>
          <cell r="U1357" t="str">
            <v>深圳</v>
          </cell>
          <cell r="V1357" t="str">
            <v>SZ 深圳</v>
          </cell>
          <cell r="W1357" t="str">
            <v>JY</v>
          </cell>
          <cell r="X1357" t="str">
            <v>JPY</v>
          </cell>
          <cell r="Y1357">
            <v>8593800</v>
          </cell>
          <cell r="Z1357">
            <v>1</v>
          </cell>
          <cell r="AA1357">
            <v>8593800</v>
          </cell>
          <cell r="AB1357">
            <v>7.4499999999999997E-2</v>
          </cell>
          <cell r="AC1357">
            <v>640238.1</v>
          </cell>
          <cell r="AD1357">
            <v>76828.572</v>
          </cell>
          <cell r="AE1357">
            <v>0.12</v>
          </cell>
          <cell r="AF1357">
            <v>44259</v>
          </cell>
          <cell r="AG1357" t="str">
            <v>DAP JX</v>
          </cell>
          <cell r="AI1357"/>
          <cell r="AJ1357"/>
          <cell r="AK1357">
            <v>0.1</v>
          </cell>
          <cell r="AL1357">
            <v>859380</v>
          </cell>
          <cell r="AM1357"/>
          <cell r="AN1357" t="str">
            <v>No</v>
          </cell>
          <cell r="AO1357">
            <v>0.9</v>
          </cell>
          <cell r="AP1357">
            <v>7734420</v>
          </cell>
          <cell r="AQ1357"/>
          <cell r="AR1357"/>
          <cell r="AS1357">
            <v>0</v>
          </cell>
          <cell r="AT1357">
            <v>0</v>
          </cell>
          <cell r="AV1357"/>
          <cell r="AX1357" t="str">
            <v>Cancel</v>
          </cell>
          <cell r="AY1357"/>
          <cell r="AZ1357"/>
          <cell r="BA1357" t="str">
            <v>Cancel</v>
          </cell>
          <cell r="BB1357" t="str">
            <v>2022-8-2Ken邮件通知</v>
          </cell>
        </row>
        <row r="1358">
          <cell r="B1358">
            <v>1208</v>
          </cell>
          <cell r="C1358" t="str">
            <v>C49SZX20210067JY</v>
          </cell>
          <cell r="D1358" t="str">
            <v>江西络鑫</v>
          </cell>
          <cell r="E1358" t="str">
            <v>YSM10</v>
          </cell>
          <cell r="F1358"/>
          <cell r="G1358" t="e">
            <v>#REF!</v>
          </cell>
          <cell r="H1358" t="e">
            <v>#REF!</v>
          </cell>
          <cell r="I1358" t="str">
            <v>L-&gt;R</v>
          </cell>
          <cell r="J1358" t="str">
            <v>MVC+ATS15</v>
          </cell>
          <cell r="K1358">
            <v>1</v>
          </cell>
          <cell r="L1358" t="e">
            <v>#N/A</v>
          </cell>
          <cell r="M1358" t="e">
            <v>#N/A</v>
          </cell>
          <cell r="N1358"/>
          <cell r="O1358"/>
          <cell r="P1358"/>
          <cell r="Q1358"/>
          <cell r="R1358" t="str">
            <v>Yes</v>
          </cell>
          <cell r="S1358" t="str">
            <v>C49</v>
          </cell>
          <cell r="T1358" t="str">
            <v>SOUTH</v>
          </cell>
          <cell r="U1358" t="str">
            <v>深圳</v>
          </cell>
          <cell r="V1358" t="str">
            <v>SZ 深圳</v>
          </cell>
          <cell r="W1358" t="str">
            <v>JY</v>
          </cell>
          <cell r="X1358" t="str">
            <v>JPY</v>
          </cell>
          <cell r="Y1358">
            <v>8593800</v>
          </cell>
          <cell r="Z1358">
            <v>1</v>
          </cell>
          <cell r="AA1358">
            <v>8593800</v>
          </cell>
          <cell r="AB1358">
            <v>7.4499999999999997E-2</v>
          </cell>
          <cell r="AC1358">
            <v>640238.1</v>
          </cell>
          <cell r="AD1358">
            <v>76828.572</v>
          </cell>
          <cell r="AE1358">
            <v>0.12</v>
          </cell>
          <cell r="AF1358">
            <v>44259</v>
          </cell>
          <cell r="AG1358" t="str">
            <v>DAP JX</v>
          </cell>
          <cell r="AI1358"/>
          <cell r="AJ1358"/>
          <cell r="AK1358">
            <v>0.1</v>
          </cell>
          <cell r="AL1358">
            <v>859380</v>
          </cell>
          <cell r="AM1358"/>
          <cell r="AN1358" t="str">
            <v>No</v>
          </cell>
          <cell r="AO1358">
            <v>0.9</v>
          </cell>
          <cell r="AP1358">
            <v>7734420</v>
          </cell>
          <cell r="AQ1358"/>
          <cell r="AR1358"/>
          <cell r="AS1358">
            <v>0</v>
          </cell>
          <cell r="AT1358">
            <v>0</v>
          </cell>
          <cell r="AV1358"/>
          <cell r="AX1358" t="str">
            <v>Cancel</v>
          </cell>
          <cell r="AY1358"/>
          <cell r="AZ1358"/>
          <cell r="BA1358" t="str">
            <v>Cancel</v>
          </cell>
          <cell r="BB1358" t="str">
            <v>2022-8-2Ken邮件通知</v>
          </cell>
        </row>
        <row r="1359">
          <cell r="B1359">
            <v>1209</v>
          </cell>
          <cell r="C1359" t="str">
            <v>C49SZX20210067JY</v>
          </cell>
          <cell r="D1359" t="str">
            <v>江西络鑫</v>
          </cell>
          <cell r="E1359" t="str">
            <v>YSM10</v>
          </cell>
          <cell r="F1359"/>
          <cell r="G1359" t="e">
            <v>#REF!</v>
          </cell>
          <cell r="H1359" t="e">
            <v>#REF!</v>
          </cell>
          <cell r="I1359" t="str">
            <v>L-&gt;R</v>
          </cell>
          <cell r="J1359" t="str">
            <v>MVC+ATS15</v>
          </cell>
          <cell r="K1359">
            <v>1</v>
          </cell>
          <cell r="L1359" t="e">
            <v>#N/A</v>
          </cell>
          <cell r="M1359" t="e">
            <v>#N/A</v>
          </cell>
          <cell r="N1359"/>
          <cell r="O1359"/>
          <cell r="P1359"/>
          <cell r="Q1359"/>
          <cell r="R1359" t="str">
            <v>Yes</v>
          </cell>
          <cell r="S1359" t="str">
            <v>C49</v>
          </cell>
          <cell r="T1359" t="str">
            <v>SOUTH</v>
          </cell>
          <cell r="U1359" t="str">
            <v>深圳</v>
          </cell>
          <cell r="V1359" t="str">
            <v>SZ 深圳</v>
          </cell>
          <cell r="W1359" t="str">
            <v>JY</v>
          </cell>
          <cell r="X1359" t="str">
            <v>JPY</v>
          </cell>
          <cell r="Y1359">
            <v>8593800</v>
          </cell>
          <cell r="Z1359">
            <v>1</v>
          </cell>
          <cell r="AA1359">
            <v>8593800</v>
          </cell>
          <cell r="AB1359">
            <v>7.4499999999999997E-2</v>
          </cell>
          <cell r="AC1359">
            <v>640238.1</v>
          </cell>
          <cell r="AD1359">
            <v>76828.572</v>
          </cell>
          <cell r="AE1359">
            <v>0.12</v>
          </cell>
          <cell r="AF1359">
            <v>44259</v>
          </cell>
          <cell r="AG1359" t="str">
            <v>DAP JX</v>
          </cell>
          <cell r="AI1359"/>
          <cell r="AJ1359"/>
          <cell r="AK1359">
            <v>0.1</v>
          </cell>
          <cell r="AL1359">
            <v>859380</v>
          </cell>
          <cell r="AM1359"/>
          <cell r="AN1359" t="str">
            <v>No</v>
          </cell>
          <cell r="AO1359">
            <v>0.9</v>
          </cell>
          <cell r="AP1359">
            <v>7734420</v>
          </cell>
          <cell r="AQ1359"/>
          <cell r="AR1359"/>
          <cell r="AS1359">
            <v>0</v>
          </cell>
          <cell r="AT1359">
            <v>0</v>
          </cell>
          <cell r="AV1359"/>
          <cell r="AX1359" t="str">
            <v>Cancel</v>
          </cell>
          <cell r="AY1359"/>
          <cell r="AZ1359"/>
          <cell r="BA1359" t="str">
            <v>Cancel</v>
          </cell>
          <cell r="BB1359" t="str">
            <v>2022-8-2Ken邮件通知</v>
          </cell>
        </row>
        <row r="1360">
          <cell r="B1360">
            <v>1210</v>
          </cell>
          <cell r="C1360" t="str">
            <v>C49SZX20210125DZ</v>
          </cell>
          <cell r="D1360" t="str">
            <v>斯迈电子</v>
          </cell>
          <cell r="E1360" t="str">
            <v>YSM20R-2</v>
          </cell>
          <cell r="F1360" t="str">
            <v>#18542</v>
          </cell>
          <cell r="G1360" t="e">
            <v>#REF!</v>
          </cell>
          <cell r="H1360" t="e">
            <v>#REF!</v>
          </cell>
          <cell r="I1360" t="str">
            <v>L-&gt;R</v>
          </cell>
          <cell r="J1360" t="str">
            <v>MVC</v>
          </cell>
          <cell r="K1360">
            <v>1</v>
          </cell>
          <cell r="L1360">
            <v>110314</v>
          </cell>
          <cell r="M1360" t="str">
            <v>AUG 21</v>
          </cell>
          <cell r="N1360">
            <v>44428</v>
          </cell>
          <cell r="O1360">
            <v>11116641</v>
          </cell>
          <cell r="P1360">
            <v>13200000</v>
          </cell>
          <cell r="Q1360">
            <v>44432</v>
          </cell>
          <cell r="R1360" t="str">
            <v>No</v>
          </cell>
          <cell r="S1360" t="str">
            <v>C49</v>
          </cell>
          <cell r="T1360" t="str">
            <v>SOUTH</v>
          </cell>
          <cell r="U1360" t="str">
            <v>深圳</v>
          </cell>
          <cell r="V1360" t="str">
            <v>SZ 深圳</v>
          </cell>
          <cell r="W1360" t="str">
            <v>JZ</v>
          </cell>
          <cell r="X1360" t="str">
            <v>JPY</v>
          </cell>
          <cell r="Y1360">
            <v>13200000</v>
          </cell>
          <cell r="Z1360">
            <v>1</v>
          </cell>
          <cell r="AA1360">
            <v>13200000</v>
          </cell>
          <cell r="AB1360">
            <v>7.4499999999999997E-2</v>
          </cell>
          <cell r="AC1360">
            <v>983400</v>
          </cell>
          <cell r="AD1360">
            <v>118008</v>
          </cell>
          <cell r="AE1360">
            <v>0.12</v>
          </cell>
          <cell r="AF1360">
            <v>44260</v>
          </cell>
          <cell r="AG1360" t="str">
            <v>DAP GZ</v>
          </cell>
          <cell r="AJ1360" t="str">
            <v>Argee</v>
          </cell>
          <cell r="AK1360">
            <v>0.1</v>
          </cell>
          <cell r="AL1360">
            <v>10594190</v>
          </cell>
          <cell r="AM1360">
            <v>44264</v>
          </cell>
          <cell r="AN1360" t="str">
            <v>Yes</v>
          </cell>
          <cell r="AO1360">
            <v>0.9</v>
          </cell>
          <cell r="AP1360">
            <v>11880000</v>
          </cell>
          <cell r="AQ1360">
            <v>44426</v>
          </cell>
          <cell r="AR1360">
            <v>44426</v>
          </cell>
          <cell r="AS1360">
            <v>0</v>
          </cell>
          <cell r="AT1360">
            <v>0</v>
          </cell>
          <cell r="AX1360" t="str">
            <v>Yes</v>
          </cell>
          <cell r="AZ1360" t="str">
            <v>Yes</v>
          </cell>
          <cell r="BA1360" t="str">
            <v>Yes</v>
          </cell>
        </row>
        <row r="1361">
          <cell r="B1361">
            <v>1211</v>
          </cell>
          <cell r="C1361" t="str">
            <v>C49SZX20210125DZ</v>
          </cell>
          <cell r="D1361" t="str">
            <v>斯迈电子</v>
          </cell>
          <cell r="E1361" t="str">
            <v>YSM20R-2</v>
          </cell>
          <cell r="F1361" t="str">
            <v>#18542</v>
          </cell>
          <cell r="G1361" t="e">
            <v>#REF!</v>
          </cell>
          <cell r="H1361" t="e">
            <v>#REF!</v>
          </cell>
          <cell r="I1361" t="str">
            <v>L-&gt;R</v>
          </cell>
          <cell r="J1361" t="str">
            <v>MVC</v>
          </cell>
          <cell r="K1361">
            <v>1</v>
          </cell>
          <cell r="L1361">
            <v>110823</v>
          </cell>
          <cell r="M1361" t="str">
            <v>APR 22</v>
          </cell>
          <cell r="N1361">
            <v>44428</v>
          </cell>
          <cell r="O1361">
            <v>11116641</v>
          </cell>
          <cell r="P1361">
            <v>13200000</v>
          </cell>
          <cell r="Q1361">
            <v>44432</v>
          </cell>
          <cell r="R1361" t="str">
            <v>No</v>
          </cell>
          <cell r="S1361" t="str">
            <v>C49</v>
          </cell>
          <cell r="T1361" t="str">
            <v>SOUTH</v>
          </cell>
          <cell r="U1361" t="str">
            <v>深圳</v>
          </cell>
          <cell r="V1361" t="str">
            <v>SZ 深圳</v>
          </cell>
          <cell r="W1361" t="str">
            <v>JZ</v>
          </cell>
          <cell r="X1361" t="str">
            <v>JPY</v>
          </cell>
          <cell r="Y1361">
            <v>13200000</v>
          </cell>
          <cell r="Z1361">
            <v>1</v>
          </cell>
          <cell r="AA1361">
            <v>13200000</v>
          </cell>
          <cell r="AB1361">
            <v>7.4499999999999997E-2</v>
          </cell>
          <cell r="AC1361">
            <v>983400</v>
          </cell>
          <cell r="AD1361">
            <v>118008</v>
          </cell>
          <cell r="AE1361">
            <v>0.12</v>
          </cell>
          <cell r="AF1361">
            <v>44260</v>
          </cell>
          <cell r="AG1361" t="str">
            <v>DAP GZ</v>
          </cell>
          <cell r="AJ1361"/>
          <cell r="AK1361">
            <v>0.1</v>
          </cell>
          <cell r="AL1361"/>
          <cell r="AM1361">
            <v>44264</v>
          </cell>
          <cell r="AN1361" t="str">
            <v>Yes</v>
          </cell>
          <cell r="AO1361">
            <v>0.9</v>
          </cell>
          <cell r="AP1361">
            <v>11880000</v>
          </cell>
          <cell r="AQ1361">
            <v>44426</v>
          </cell>
          <cell r="AR1361">
            <v>44426</v>
          </cell>
          <cell r="AS1361">
            <v>0</v>
          </cell>
          <cell r="AT1361">
            <v>0</v>
          </cell>
          <cell r="AX1361" t="str">
            <v>Yes</v>
          </cell>
          <cell r="AZ1361" t="str">
            <v>Yes</v>
          </cell>
          <cell r="BA1361" t="str">
            <v>Yes</v>
          </cell>
        </row>
        <row r="1362">
          <cell r="B1362">
            <v>1212</v>
          </cell>
          <cell r="C1362" t="str">
            <v>C49SZX20210125DZ</v>
          </cell>
          <cell r="D1362" t="str">
            <v>斯迈电子</v>
          </cell>
          <cell r="E1362" t="str">
            <v>YSM20R-2</v>
          </cell>
          <cell r="F1362" t="str">
            <v>#18542</v>
          </cell>
          <cell r="G1362" t="e">
            <v>#REF!</v>
          </cell>
          <cell r="H1362" t="e">
            <v>#REF!</v>
          </cell>
          <cell r="I1362" t="str">
            <v>L-&gt;R</v>
          </cell>
          <cell r="J1362" t="str">
            <v>No</v>
          </cell>
          <cell r="K1362">
            <v>1</v>
          </cell>
          <cell r="L1362">
            <v>110314</v>
          </cell>
          <cell r="M1362" t="str">
            <v>AUG 21</v>
          </cell>
          <cell r="N1362">
            <v>44428</v>
          </cell>
          <cell r="O1362">
            <v>11116641</v>
          </cell>
          <cell r="P1362">
            <v>13200000</v>
          </cell>
          <cell r="Q1362">
            <v>44432</v>
          </cell>
          <cell r="R1362" t="str">
            <v>No</v>
          </cell>
          <cell r="S1362" t="str">
            <v>C49</v>
          </cell>
          <cell r="T1362" t="str">
            <v>SOUTH</v>
          </cell>
          <cell r="U1362" t="str">
            <v>深圳</v>
          </cell>
          <cell r="V1362" t="str">
            <v>SZ 深圳</v>
          </cell>
          <cell r="W1362" t="str">
            <v>JZ</v>
          </cell>
          <cell r="X1362" t="str">
            <v>JPY</v>
          </cell>
          <cell r="Y1362">
            <v>13200000</v>
          </cell>
          <cell r="Z1362">
            <v>1</v>
          </cell>
          <cell r="AA1362">
            <v>13200000</v>
          </cell>
          <cell r="AB1362">
            <v>7.4499999999999997E-2</v>
          </cell>
          <cell r="AC1362">
            <v>983400</v>
          </cell>
          <cell r="AD1362">
            <v>118008</v>
          </cell>
          <cell r="AE1362">
            <v>0.12</v>
          </cell>
          <cell r="AF1362">
            <v>44260</v>
          </cell>
          <cell r="AG1362" t="str">
            <v>DAP GZ</v>
          </cell>
          <cell r="AJ1362"/>
          <cell r="AK1362">
            <v>0.1</v>
          </cell>
          <cell r="AL1362"/>
          <cell r="AM1362">
            <v>44264</v>
          </cell>
          <cell r="AN1362" t="str">
            <v>Yes</v>
          </cell>
          <cell r="AO1362">
            <v>0.9</v>
          </cell>
          <cell r="AP1362">
            <v>11880000</v>
          </cell>
          <cell r="AQ1362">
            <v>44426</v>
          </cell>
          <cell r="AR1362">
            <v>44426</v>
          </cell>
          <cell r="AS1362">
            <v>0</v>
          </cell>
          <cell r="AT1362">
            <v>0</v>
          </cell>
          <cell r="AX1362" t="str">
            <v>Yes</v>
          </cell>
          <cell r="AZ1362" t="str">
            <v>Yes</v>
          </cell>
          <cell r="BA1362" t="str">
            <v>Yes</v>
          </cell>
        </row>
        <row r="1363">
          <cell r="B1363">
            <v>1213</v>
          </cell>
          <cell r="C1363" t="str">
            <v>C49SZX20210125DZ</v>
          </cell>
          <cell r="D1363" t="str">
            <v>斯迈电子</v>
          </cell>
          <cell r="E1363" t="str">
            <v>YSM20R-2</v>
          </cell>
          <cell r="F1363" t="str">
            <v>#18542</v>
          </cell>
          <cell r="G1363" t="e">
            <v>#REF!</v>
          </cell>
          <cell r="H1363" t="e">
            <v>#REF!</v>
          </cell>
          <cell r="I1363" t="str">
            <v>L-&gt;R</v>
          </cell>
          <cell r="J1363" t="str">
            <v>MVC</v>
          </cell>
          <cell r="K1363">
            <v>1</v>
          </cell>
          <cell r="L1363">
            <v>110823</v>
          </cell>
          <cell r="M1363" t="str">
            <v>APR 22</v>
          </cell>
          <cell r="N1363">
            <v>44678</v>
          </cell>
          <cell r="O1363">
            <v>11116743</v>
          </cell>
          <cell r="P1363">
            <v>13200000</v>
          </cell>
          <cell r="Q1363">
            <v>44676</v>
          </cell>
          <cell r="R1363" t="str">
            <v>No</v>
          </cell>
          <cell r="S1363" t="str">
            <v>C49</v>
          </cell>
          <cell r="T1363" t="str">
            <v>SOUTH</v>
          </cell>
          <cell r="U1363" t="str">
            <v>深圳</v>
          </cell>
          <cell r="V1363" t="str">
            <v>SZ 深圳</v>
          </cell>
          <cell r="W1363" t="str">
            <v>JZ</v>
          </cell>
          <cell r="X1363" t="str">
            <v>JPY</v>
          </cell>
          <cell r="Y1363">
            <v>13200000</v>
          </cell>
          <cell r="Z1363">
            <v>1</v>
          </cell>
          <cell r="AA1363">
            <v>13200000</v>
          </cell>
          <cell r="AB1363">
            <v>7.4499999999999997E-2</v>
          </cell>
          <cell r="AC1363">
            <v>983400</v>
          </cell>
          <cell r="AD1363">
            <v>118008</v>
          </cell>
          <cell r="AE1363">
            <v>0.12</v>
          </cell>
          <cell r="AF1363">
            <v>44260</v>
          </cell>
          <cell r="AG1363" t="str">
            <v>DAP GZ</v>
          </cell>
          <cell r="AJ1363"/>
          <cell r="AK1363">
            <v>0.1</v>
          </cell>
          <cell r="AL1363"/>
          <cell r="AM1363">
            <v>44264</v>
          </cell>
          <cell r="AN1363" t="str">
            <v>Yes</v>
          </cell>
          <cell r="AO1363">
            <v>0.9</v>
          </cell>
          <cell r="AP1363">
            <v>11880000</v>
          </cell>
          <cell r="AQ1363">
            <v>44671</v>
          </cell>
          <cell r="AR1363">
            <v>44671</v>
          </cell>
          <cell r="AS1363">
            <v>0</v>
          </cell>
          <cell r="AT1363">
            <v>0</v>
          </cell>
          <cell r="AX1363" t="str">
            <v>Yes</v>
          </cell>
          <cell r="AZ1363" t="str">
            <v>Yes</v>
          </cell>
          <cell r="BA1363" t="str">
            <v>Yes</v>
          </cell>
        </row>
        <row r="1364">
          <cell r="B1364">
            <v>1214</v>
          </cell>
          <cell r="C1364" t="str">
            <v>C49SZX20210125DZ</v>
          </cell>
          <cell r="D1364" t="str">
            <v>斯迈电子</v>
          </cell>
          <cell r="E1364" t="str">
            <v>YSM20R-2</v>
          </cell>
          <cell r="F1364" t="str">
            <v>#18542</v>
          </cell>
          <cell r="G1364" t="e">
            <v>#REF!</v>
          </cell>
          <cell r="H1364" t="e">
            <v>#REF!</v>
          </cell>
          <cell r="I1364" t="str">
            <v>L-&gt;R</v>
          </cell>
          <cell r="J1364" t="str">
            <v>No</v>
          </cell>
          <cell r="K1364">
            <v>1</v>
          </cell>
          <cell r="L1364">
            <v>110314</v>
          </cell>
          <cell r="M1364" t="str">
            <v>AUG 21</v>
          </cell>
          <cell r="N1364">
            <v>44678</v>
          </cell>
          <cell r="O1364">
            <v>11116743</v>
          </cell>
          <cell r="P1364">
            <v>13200000</v>
          </cell>
          <cell r="Q1364">
            <v>44676</v>
          </cell>
          <cell r="R1364" t="str">
            <v>No</v>
          </cell>
          <cell r="S1364" t="str">
            <v>C49</v>
          </cell>
          <cell r="T1364" t="str">
            <v>SOUTH</v>
          </cell>
          <cell r="U1364" t="str">
            <v>深圳</v>
          </cell>
          <cell r="V1364" t="str">
            <v>SZ 深圳</v>
          </cell>
          <cell r="W1364" t="str">
            <v>JZ</v>
          </cell>
          <cell r="X1364" t="str">
            <v>JPY</v>
          </cell>
          <cell r="Y1364">
            <v>13200000</v>
          </cell>
          <cell r="Z1364">
            <v>1</v>
          </cell>
          <cell r="AA1364">
            <v>13200000</v>
          </cell>
          <cell r="AB1364">
            <v>7.4499999999999997E-2</v>
          </cell>
          <cell r="AC1364">
            <v>983400</v>
          </cell>
          <cell r="AD1364">
            <v>118008</v>
          </cell>
          <cell r="AE1364">
            <v>0.12</v>
          </cell>
          <cell r="AF1364">
            <v>44260</v>
          </cell>
          <cell r="AG1364" t="str">
            <v>DAP GZ</v>
          </cell>
          <cell r="AJ1364"/>
          <cell r="AK1364">
            <v>0.1</v>
          </cell>
          <cell r="AL1364"/>
          <cell r="AM1364">
            <v>44264</v>
          </cell>
          <cell r="AN1364" t="str">
            <v>Yes</v>
          </cell>
          <cell r="AO1364">
            <v>0.9</v>
          </cell>
          <cell r="AP1364">
            <v>11880000</v>
          </cell>
          <cell r="AQ1364">
            <v>44671</v>
          </cell>
          <cell r="AR1364">
            <v>44671</v>
          </cell>
          <cell r="AS1364">
            <v>0</v>
          </cell>
          <cell r="AT1364">
            <v>0</v>
          </cell>
          <cell r="AX1364" t="str">
            <v>Yes</v>
          </cell>
          <cell r="AZ1364" t="str">
            <v>Yes</v>
          </cell>
          <cell r="BA1364" t="str">
            <v>Yes</v>
          </cell>
        </row>
        <row r="1365">
          <cell r="B1365">
            <v>1215</v>
          </cell>
          <cell r="C1365" t="str">
            <v>C49SZX20210125DZ</v>
          </cell>
          <cell r="D1365" t="str">
            <v>斯迈电子</v>
          </cell>
          <cell r="E1365" t="str">
            <v>YSM20R-2</v>
          </cell>
          <cell r="F1365" t="str">
            <v>#18542</v>
          </cell>
          <cell r="G1365" t="e">
            <v>#REF!</v>
          </cell>
          <cell r="H1365" t="e">
            <v>#REF!</v>
          </cell>
          <cell r="I1365" t="str">
            <v>L-&gt;R</v>
          </cell>
          <cell r="J1365" t="str">
            <v>No</v>
          </cell>
          <cell r="K1365">
            <v>1</v>
          </cell>
          <cell r="L1365">
            <v>110823</v>
          </cell>
          <cell r="M1365" t="str">
            <v>APR 22</v>
          </cell>
          <cell r="N1365">
            <v>44678</v>
          </cell>
          <cell r="O1365">
            <v>11116743</v>
          </cell>
          <cell r="P1365">
            <v>13200000</v>
          </cell>
          <cell r="Q1365">
            <v>44676</v>
          </cell>
          <cell r="R1365" t="str">
            <v>No</v>
          </cell>
          <cell r="S1365" t="str">
            <v>C49</v>
          </cell>
          <cell r="T1365" t="str">
            <v>SOUTH</v>
          </cell>
          <cell r="U1365" t="str">
            <v>深圳</v>
          </cell>
          <cell r="V1365" t="str">
            <v>SZ 深圳</v>
          </cell>
          <cell r="W1365" t="str">
            <v>JZ</v>
          </cell>
          <cell r="X1365" t="str">
            <v>JPY</v>
          </cell>
          <cell r="Y1365">
            <v>13200000</v>
          </cell>
          <cell r="Z1365">
            <v>1</v>
          </cell>
          <cell r="AA1365">
            <v>13200000</v>
          </cell>
          <cell r="AB1365">
            <v>7.4499999999999997E-2</v>
          </cell>
          <cell r="AC1365">
            <v>983400</v>
          </cell>
          <cell r="AD1365">
            <v>118008</v>
          </cell>
          <cell r="AE1365">
            <v>0.12</v>
          </cell>
          <cell r="AF1365">
            <v>44260</v>
          </cell>
          <cell r="AG1365" t="str">
            <v>DAP GZ</v>
          </cell>
          <cell r="AJ1365"/>
          <cell r="AK1365">
            <v>0.1</v>
          </cell>
          <cell r="AL1365"/>
          <cell r="AM1365">
            <v>44264</v>
          </cell>
          <cell r="AN1365" t="str">
            <v>Yes</v>
          </cell>
          <cell r="AO1365">
            <v>0.9</v>
          </cell>
          <cell r="AP1365">
            <v>11880000</v>
          </cell>
          <cell r="AQ1365">
            <v>44671</v>
          </cell>
          <cell r="AR1365">
            <v>44671</v>
          </cell>
          <cell r="AS1365">
            <v>0</v>
          </cell>
          <cell r="AT1365">
            <v>0</v>
          </cell>
          <cell r="AX1365" t="str">
            <v>Yes</v>
          </cell>
          <cell r="AZ1365" t="str">
            <v>Yes</v>
          </cell>
          <cell r="BA1365" t="str">
            <v>Yes</v>
          </cell>
        </row>
        <row r="1366">
          <cell r="B1366">
            <v>1216</v>
          </cell>
          <cell r="C1366" t="str">
            <v>C28HKG2021020KC</v>
          </cell>
          <cell r="D1366" t="str">
            <v>昱为</v>
          </cell>
          <cell r="E1366" t="str">
            <v>Heller 1809MK5</v>
          </cell>
          <cell r="G1366" t="e">
            <v>#REF!</v>
          </cell>
          <cell r="H1366" t="e">
            <v>#N/A</v>
          </cell>
          <cell r="I1366" t="str">
            <v>L-&gt;R</v>
          </cell>
          <cell r="J1366" t="str">
            <v>No</v>
          </cell>
          <cell r="K1366">
            <v>1</v>
          </cell>
          <cell r="L1366">
            <v>110391</v>
          </cell>
          <cell r="M1366" t="e">
            <v>#N/A</v>
          </cell>
          <cell r="N1366">
            <v>44336</v>
          </cell>
          <cell r="O1366">
            <v>11116584</v>
          </cell>
          <cell r="P1366">
            <v>48000</v>
          </cell>
          <cell r="Q1366">
            <v>44343</v>
          </cell>
          <cell r="R1366" t="str">
            <v>No</v>
          </cell>
          <cell r="S1366" t="str">
            <v>C28</v>
          </cell>
          <cell r="T1366" t="str">
            <v>SOUTH</v>
          </cell>
          <cell r="U1366" t="str">
            <v>深圳</v>
          </cell>
          <cell r="V1366" t="str">
            <v>SZ 深圳</v>
          </cell>
          <cell r="W1366" t="str">
            <v>KC</v>
          </cell>
          <cell r="X1366" t="str">
            <v>USD</v>
          </cell>
          <cell r="Y1366">
            <v>48000</v>
          </cell>
          <cell r="Z1366">
            <v>1</v>
          </cell>
          <cell r="AA1366">
            <v>48000</v>
          </cell>
          <cell r="AB1366">
            <v>7.8</v>
          </cell>
          <cell r="AC1366">
            <v>374400</v>
          </cell>
          <cell r="AD1366">
            <v>44928</v>
          </cell>
          <cell r="AE1366">
            <v>0.12</v>
          </cell>
          <cell r="AF1366">
            <v>44259</v>
          </cell>
          <cell r="AG1366" t="str">
            <v>CIF 越南</v>
          </cell>
          <cell r="AK1366">
            <v>0.3</v>
          </cell>
          <cell r="AL1366">
            <v>14400</v>
          </cell>
          <cell r="AM1366">
            <v>44277</v>
          </cell>
          <cell r="AN1366" t="str">
            <v>No</v>
          </cell>
          <cell r="AO1366">
            <v>0.7</v>
          </cell>
          <cell r="AP1366">
            <v>33600</v>
          </cell>
          <cell r="AQ1366">
            <v>44330</v>
          </cell>
          <cell r="AR1366">
            <v>44330</v>
          </cell>
          <cell r="AS1366">
            <v>0</v>
          </cell>
          <cell r="AT1366">
            <v>0</v>
          </cell>
          <cell r="AX1366" t="str">
            <v>Yes</v>
          </cell>
          <cell r="BA1366" t="str">
            <v>Yes</v>
          </cell>
        </row>
        <row r="1367">
          <cell r="B1367">
            <v>1217</v>
          </cell>
          <cell r="C1367" t="str">
            <v>C49SZX20210068JL</v>
          </cell>
          <cell r="D1367" t="str">
            <v>芯睿视</v>
          </cell>
          <cell r="E1367" t="str">
            <v>YSM20R-2</v>
          </cell>
          <cell r="F1367" t="str">
            <v>#75724</v>
          </cell>
          <cell r="G1367" t="e">
            <v>#REF!</v>
          </cell>
          <cell r="H1367" t="e">
            <v>#REF!</v>
          </cell>
          <cell r="I1367" t="str">
            <v>L-&gt;R</v>
          </cell>
          <cell r="J1367" t="str">
            <v>No</v>
          </cell>
          <cell r="K1367">
            <v>1</v>
          </cell>
          <cell r="L1367">
            <v>110175</v>
          </cell>
          <cell r="M1367" t="str">
            <v>MAR 21</v>
          </cell>
          <cell r="N1367">
            <v>44267</v>
          </cell>
          <cell r="O1367">
            <v>11116538</v>
          </cell>
          <cell r="P1367">
            <v>11530000</v>
          </cell>
          <cell r="Q1367">
            <v>44279</v>
          </cell>
          <cell r="R1367" t="str">
            <v>No</v>
          </cell>
          <cell r="S1367" t="str">
            <v>C49</v>
          </cell>
          <cell r="T1367" t="str">
            <v>SOUTH</v>
          </cell>
          <cell r="U1367" t="str">
            <v>深圳</v>
          </cell>
          <cell r="V1367" t="str">
            <v>SZ 深圳</v>
          </cell>
          <cell r="W1367" t="str">
            <v>JL</v>
          </cell>
          <cell r="X1367" t="str">
            <v>JPY</v>
          </cell>
          <cell r="Y1367">
            <v>11530000</v>
          </cell>
          <cell r="Z1367">
            <v>1</v>
          </cell>
          <cell r="AA1367">
            <v>11530000</v>
          </cell>
          <cell r="AB1367">
            <v>7.4499999999999997E-2</v>
          </cell>
          <cell r="AC1367">
            <v>858985</v>
          </cell>
          <cell r="AD1367">
            <v>103078.2</v>
          </cell>
          <cell r="AE1367">
            <v>0.12</v>
          </cell>
          <cell r="AF1367">
            <v>44263</v>
          </cell>
          <cell r="AG1367" t="str">
            <v>CIF HK</v>
          </cell>
          <cell r="AK1367">
            <v>1</v>
          </cell>
          <cell r="AL1367">
            <v>11530000</v>
          </cell>
          <cell r="AM1367">
            <v>44265</v>
          </cell>
          <cell r="AN1367" t="str">
            <v>Yes</v>
          </cell>
          <cell r="AO1367">
            <v>0</v>
          </cell>
          <cell r="AP1367">
            <v>0</v>
          </cell>
          <cell r="AS1367">
            <v>0</v>
          </cell>
          <cell r="AT1367">
            <v>0</v>
          </cell>
          <cell r="AX1367" t="str">
            <v>Yes</v>
          </cell>
          <cell r="AZ1367" t="str">
            <v>Yes</v>
          </cell>
          <cell r="BA1367" t="str">
            <v>Yes</v>
          </cell>
        </row>
        <row r="1368">
          <cell r="B1368">
            <v>1218</v>
          </cell>
          <cell r="C1368" t="str">
            <v>C49SZX20210068JL</v>
          </cell>
          <cell r="D1368" t="str">
            <v>芯睿视</v>
          </cell>
          <cell r="E1368" t="str">
            <v>YSM20R-2</v>
          </cell>
          <cell r="F1368" t="str">
            <v>#75724</v>
          </cell>
          <cell r="G1368" t="e">
            <v>#REF!</v>
          </cell>
          <cell r="H1368" t="e">
            <v>#REF!</v>
          </cell>
          <cell r="I1368" t="str">
            <v>L-&gt;R</v>
          </cell>
          <cell r="J1368" t="str">
            <v>No</v>
          </cell>
          <cell r="K1368">
            <v>1</v>
          </cell>
          <cell r="L1368">
            <v>110175</v>
          </cell>
          <cell r="M1368" t="str">
            <v>MAR 21</v>
          </cell>
          <cell r="N1368">
            <v>44267</v>
          </cell>
          <cell r="O1368">
            <v>11116538</v>
          </cell>
          <cell r="P1368">
            <v>11530000</v>
          </cell>
          <cell r="Q1368">
            <v>44279</v>
          </cell>
          <cell r="R1368" t="str">
            <v>No</v>
          </cell>
          <cell r="S1368" t="str">
            <v>C49</v>
          </cell>
          <cell r="T1368" t="str">
            <v>SOUTH</v>
          </cell>
          <cell r="U1368" t="str">
            <v>深圳</v>
          </cell>
          <cell r="V1368" t="str">
            <v>SZ 深圳</v>
          </cell>
          <cell r="W1368" t="str">
            <v>JL</v>
          </cell>
          <cell r="X1368" t="str">
            <v>JPY</v>
          </cell>
          <cell r="Y1368">
            <v>11530000</v>
          </cell>
          <cell r="Z1368">
            <v>1</v>
          </cell>
          <cell r="AA1368">
            <v>11530000</v>
          </cell>
          <cell r="AB1368">
            <v>7.4499999999999997E-2</v>
          </cell>
          <cell r="AC1368">
            <v>858985</v>
          </cell>
          <cell r="AD1368">
            <v>103078.2</v>
          </cell>
          <cell r="AE1368">
            <v>0.12</v>
          </cell>
          <cell r="AF1368">
            <v>44263</v>
          </cell>
          <cell r="AG1368" t="str">
            <v>CIF HK</v>
          </cell>
          <cell r="AK1368">
            <v>1</v>
          </cell>
          <cell r="AL1368">
            <v>11530000</v>
          </cell>
          <cell r="AM1368">
            <v>44265</v>
          </cell>
          <cell r="AN1368" t="str">
            <v>Yes</v>
          </cell>
          <cell r="AO1368">
            <v>0</v>
          </cell>
          <cell r="AP1368">
            <v>0</v>
          </cell>
          <cell r="AS1368">
            <v>0</v>
          </cell>
          <cell r="AT1368">
            <v>0</v>
          </cell>
          <cell r="AX1368" t="str">
            <v>Yes</v>
          </cell>
          <cell r="AZ1368" t="str">
            <v>Yes</v>
          </cell>
          <cell r="BA1368" t="str">
            <v>Yes</v>
          </cell>
        </row>
        <row r="1369">
          <cell r="B1369">
            <v>1219</v>
          </cell>
          <cell r="C1369" t="str">
            <v>C49SZX20210068JL</v>
          </cell>
          <cell r="D1369" t="str">
            <v>芯睿视</v>
          </cell>
          <cell r="E1369" t="str">
            <v>YSM10</v>
          </cell>
          <cell r="F1369" t="str">
            <v>#75724</v>
          </cell>
          <cell r="G1369" t="e">
            <v>#REF!</v>
          </cell>
          <cell r="H1369" t="e">
            <v>#REF!</v>
          </cell>
          <cell r="I1369" t="str">
            <v>L-&gt;R</v>
          </cell>
          <cell r="J1369" t="str">
            <v>MVC</v>
          </cell>
          <cell r="K1369">
            <v>1</v>
          </cell>
          <cell r="L1369">
            <v>110173</v>
          </cell>
          <cell r="M1369" t="str">
            <v>MAR 21</v>
          </cell>
          <cell r="N1369">
            <v>44267</v>
          </cell>
          <cell r="O1369">
            <v>11116538</v>
          </cell>
          <cell r="P1369">
            <v>7500000</v>
          </cell>
          <cell r="Q1369">
            <v>44279</v>
          </cell>
          <cell r="R1369" t="str">
            <v>No</v>
          </cell>
          <cell r="S1369" t="str">
            <v>C49</v>
          </cell>
          <cell r="T1369" t="str">
            <v>SOUTH</v>
          </cell>
          <cell r="U1369" t="str">
            <v>深圳</v>
          </cell>
          <cell r="V1369" t="str">
            <v>SZ 深圳</v>
          </cell>
          <cell r="W1369" t="str">
            <v>JL</v>
          </cell>
          <cell r="X1369" t="str">
            <v>JPY</v>
          </cell>
          <cell r="Y1369">
            <v>7500000</v>
          </cell>
          <cell r="Z1369">
            <v>1</v>
          </cell>
          <cell r="AA1369">
            <v>7500000</v>
          </cell>
          <cell r="AB1369">
            <v>7.4499999999999997E-2</v>
          </cell>
          <cell r="AC1369">
            <v>558750</v>
          </cell>
          <cell r="AD1369">
            <v>67050</v>
          </cell>
          <cell r="AE1369">
            <v>0.12</v>
          </cell>
          <cell r="AF1369">
            <v>44263</v>
          </cell>
          <cell r="AG1369" t="str">
            <v>CIF HK</v>
          </cell>
          <cell r="AK1369">
            <v>1</v>
          </cell>
          <cell r="AL1369">
            <v>7500000</v>
          </cell>
          <cell r="AM1369">
            <v>44265</v>
          </cell>
          <cell r="AN1369" t="str">
            <v>Yes</v>
          </cell>
          <cell r="AO1369">
            <v>0</v>
          </cell>
          <cell r="AP1369">
            <v>0</v>
          </cell>
          <cell r="AS1369">
            <v>0</v>
          </cell>
          <cell r="AT1369">
            <v>0</v>
          </cell>
          <cell r="AX1369" t="str">
            <v>Yes</v>
          </cell>
          <cell r="AZ1369" t="str">
            <v>Yes</v>
          </cell>
          <cell r="BA1369" t="str">
            <v>Yes</v>
          </cell>
        </row>
        <row r="1370">
          <cell r="B1370">
            <v>1220</v>
          </cell>
          <cell r="C1370" t="str">
            <v>C49SZX20210068JL</v>
          </cell>
          <cell r="D1370" t="str">
            <v>芯睿视</v>
          </cell>
          <cell r="E1370" t="str">
            <v>YSM10</v>
          </cell>
          <cell r="F1370" t="str">
            <v>#75724</v>
          </cell>
          <cell r="G1370" t="e">
            <v>#REF!</v>
          </cell>
          <cell r="H1370" t="e">
            <v>#REF!</v>
          </cell>
          <cell r="I1370" t="str">
            <v>L-&gt;R</v>
          </cell>
          <cell r="J1370" t="str">
            <v>MVC</v>
          </cell>
          <cell r="K1370">
            <v>1</v>
          </cell>
          <cell r="L1370">
            <v>110173</v>
          </cell>
          <cell r="M1370" t="str">
            <v>MAR 21</v>
          </cell>
          <cell r="N1370">
            <v>44267</v>
          </cell>
          <cell r="O1370">
            <v>11116538</v>
          </cell>
          <cell r="P1370">
            <v>7500000</v>
          </cell>
          <cell r="Q1370">
            <v>44279</v>
          </cell>
          <cell r="R1370" t="str">
            <v>No</v>
          </cell>
          <cell r="S1370" t="str">
            <v>C49</v>
          </cell>
          <cell r="T1370" t="str">
            <v>SOUTH</v>
          </cell>
          <cell r="U1370" t="str">
            <v>深圳</v>
          </cell>
          <cell r="V1370" t="str">
            <v>SZ 深圳</v>
          </cell>
          <cell r="W1370" t="str">
            <v>JL</v>
          </cell>
          <cell r="X1370" t="str">
            <v>JPY</v>
          </cell>
          <cell r="Y1370">
            <v>7500000</v>
          </cell>
          <cell r="Z1370">
            <v>1</v>
          </cell>
          <cell r="AA1370">
            <v>7500000</v>
          </cell>
          <cell r="AB1370">
            <v>7.4499999999999997E-2</v>
          </cell>
          <cell r="AC1370">
            <v>558750</v>
          </cell>
          <cell r="AD1370">
            <v>67050</v>
          </cell>
          <cell r="AE1370">
            <v>0.12</v>
          </cell>
          <cell r="AF1370">
            <v>44263</v>
          </cell>
          <cell r="AG1370" t="str">
            <v>CIF HK</v>
          </cell>
          <cell r="AK1370">
            <v>1</v>
          </cell>
          <cell r="AL1370">
            <v>7500000</v>
          </cell>
          <cell r="AM1370">
            <v>44265</v>
          </cell>
          <cell r="AN1370" t="str">
            <v>Yes</v>
          </cell>
          <cell r="AO1370">
            <v>0</v>
          </cell>
          <cell r="AP1370">
            <v>0</v>
          </cell>
          <cell r="AS1370">
            <v>0</v>
          </cell>
          <cell r="AT1370">
            <v>0</v>
          </cell>
          <cell r="AX1370" t="str">
            <v>Yes</v>
          </cell>
          <cell r="AZ1370" t="str">
            <v>Yes</v>
          </cell>
          <cell r="BA1370" t="str">
            <v>Yes</v>
          </cell>
        </row>
        <row r="1371">
          <cell r="B1371">
            <v>1221</v>
          </cell>
          <cell r="C1371" t="str">
            <v>C49SZX20210068JL</v>
          </cell>
          <cell r="D1371" t="str">
            <v>芯睿视</v>
          </cell>
          <cell r="E1371" t="str">
            <v>YSM20R-2</v>
          </cell>
          <cell r="F1371" t="str">
            <v>#75724</v>
          </cell>
          <cell r="G1371" t="e">
            <v>#REF!</v>
          </cell>
          <cell r="H1371" t="e">
            <v>#REF!</v>
          </cell>
          <cell r="I1371" t="str">
            <v>L-&gt;R</v>
          </cell>
          <cell r="J1371" t="str">
            <v>No</v>
          </cell>
          <cell r="K1371">
            <v>1</v>
          </cell>
          <cell r="L1371">
            <v>110175</v>
          </cell>
          <cell r="M1371" t="str">
            <v>MAR 21</v>
          </cell>
          <cell r="N1371">
            <v>44267</v>
          </cell>
          <cell r="O1371">
            <v>11116538</v>
          </cell>
          <cell r="P1371">
            <v>11530000</v>
          </cell>
          <cell r="Q1371">
            <v>44279</v>
          </cell>
          <cell r="R1371" t="str">
            <v>No</v>
          </cell>
          <cell r="S1371" t="str">
            <v>C49</v>
          </cell>
          <cell r="T1371" t="str">
            <v>SOUTH</v>
          </cell>
          <cell r="U1371" t="str">
            <v>深圳</v>
          </cell>
          <cell r="V1371" t="str">
            <v>SZ 深圳</v>
          </cell>
          <cell r="W1371" t="str">
            <v>JL</v>
          </cell>
          <cell r="X1371" t="str">
            <v>JPY</v>
          </cell>
          <cell r="Y1371">
            <v>11530000</v>
          </cell>
          <cell r="Z1371">
            <v>1</v>
          </cell>
          <cell r="AA1371">
            <v>11530000</v>
          </cell>
          <cell r="AB1371">
            <v>7.4499999999999997E-2</v>
          </cell>
          <cell r="AC1371">
            <v>858985</v>
          </cell>
          <cell r="AD1371">
            <v>103078.2</v>
          </cell>
          <cell r="AE1371">
            <v>0.12</v>
          </cell>
          <cell r="AF1371">
            <v>44263</v>
          </cell>
          <cell r="AG1371" t="str">
            <v>CIF HK</v>
          </cell>
          <cell r="AK1371">
            <v>1</v>
          </cell>
          <cell r="AL1371">
            <v>11530000</v>
          </cell>
          <cell r="AM1371">
            <v>44265</v>
          </cell>
          <cell r="AN1371" t="str">
            <v>Yes</v>
          </cell>
          <cell r="AO1371">
            <v>0</v>
          </cell>
          <cell r="AP1371">
            <v>0</v>
          </cell>
          <cell r="AS1371">
            <v>0</v>
          </cell>
          <cell r="AT1371">
            <v>0</v>
          </cell>
          <cell r="AX1371" t="str">
            <v>Yes</v>
          </cell>
          <cell r="AZ1371" t="str">
            <v>Yes</v>
          </cell>
          <cell r="BA1371" t="str">
            <v>Yes</v>
          </cell>
        </row>
        <row r="1372">
          <cell r="B1372">
            <v>1222</v>
          </cell>
          <cell r="C1372" t="str">
            <v>C49SZX20210068JL</v>
          </cell>
          <cell r="D1372" t="str">
            <v>芯睿视</v>
          </cell>
          <cell r="E1372" t="str">
            <v>YSM20R-2</v>
          </cell>
          <cell r="F1372" t="str">
            <v>#75724</v>
          </cell>
          <cell r="G1372" t="e">
            <v>#REF!</v>
          </cell>
          <cell r="H1372" t="e">
            <v>#REF!</v>
          </cell>
          <cell r="I1372" t="str">
            <v>L-&gt;R</v>
          </cell>
          <cell r="J1372" t="str">
            <v>No</v>
          </cell>
          <cell r="K1372">
            <v>1</v>
          </cell>
          <cell r="L1372">
            <v>110175</v>
          </cell>
          <cell r="M1372" t="str">
            <v>MAR 21</v>
          </cell>
          <cell r="N1372">
            <v>44267</v>
          </cell>
          <cell r="O1372">
            <v>11116538</v>
          </cell>
          <cell r="P1372">
            <v>11530000</v>
          </cell>
          <cell r="Q1372">
            <v>44279</v>
          </cell>
          <cell r="R1372" t="str">
            <v>No</v>
          </cell>
          <cell r="S1372" t="str">
            <v>C49</v>
          </cell>
          <cell r="T1372" t="str">
            <v>SOUTH</v>
          </cell>
          <cell r="U1372" t="str">
            <v>深圳</v>
          </cell>
          <cell r="V1372" t="str">
            <v>SZ 深圳</v>
          </cell>
          <cell r="W1372" t="str">
            <v>JL</v>
          </cell>
          <cell r="X1372" t="str">
            <v>JPY</v>
          </cell>
          <cell r="Y1372">
            <v>11530000</v>
          </cell>
          <cell r="Z1372">
            <v>1</v>
          </cell>
          <cell r="AA1372">
            <v>11530000</v>
          </cell>
          <cell r="AB1372">
            <v>7.4499999999999997E-2</v>
          </cell>
          <cell r="AC1372">
            <v>858985</v>
          </cell>
          <cell r="AD1372">
            <v>103078.2</v>
          </cell>
          <cell r="AE1372">
            <v>0.12</v>
          </cell>
          <cell r="AF1372">
            <v>44263</v>
          </cell>
          <cell r="AG1372" t="str">
            <v>CIF HK</v>
          </cell>
          <cell r="AK1372">
            <v>1</v>
          </cell>
          <cell r="AL1372">
            <v>11530000</v>
          </cell>
          <cell r="AM1372">
            <v>44265</v>
          </cell>
          <cell r="AN1372" t="str">
            <v>Yes</v>
          </cell>
          <cell r="AO1372">
            <v>0</v>
          </cell>
          <cell r="AP1372">
            <v>0</v>
          </cell>
          <cell r="AS1372">
            <v>0</v>
          </cell>
          <cell r="AT1372">
            <v>0</v>
          </cell>
          <cell r="AX1372" t="str">
            <v>Yes</v>
          </cell>
          <cell r="AZ1372" t="str">
            <v>Yes</v>
          </cell>
          <cell r="BA1372" t="str">
            <v>Yes</v>
          </cell>
        </row>
        <row r="1373">
          <cell r="B1373">
            <v>1223</v>
          </cell>
          <cell r="C1373" t="str">
            <v>C49SZX20210068JL</v>
          </cell>
          <cell r="D1373" t="str">
            <v>芯睿视</v>
          </cell>
          <cell r="E1373" t="str">
            <v>YSM10</v>
          </cell>
          <cell r="F1373" t="str">
            <v>#75724</v>
          </cell>
          <cell r="G1373" t="e">
            <v>#REF!</v>
          </cell>
          <cell r="H1373" t="e">
            <v>#REF!</v>
          </cell>
          <cell r="I1373" t="str">
            <v>L-&gt;R</v>
          </cell>
          <cell r="J1373" t="str">
            <v>MVC</v>
          </cell>
          <cell r="K1373">
            <v>1</v>
          </cell>
          <cell r="L1373">
            <v>110173</v>
          </cell>
          <cell r="M1373" t="str">
            <v>MAR 21</v>
          </cell>
          <cell r="N1373">
            <v>44267</v>
          </cell>
          <cell r="O1373">
            <v>11116538</v>
          </cell>
          <cell r="P1373">
            <v>7500000</v>
          </cell>
          <cell r="Q1373">
            <v>44279</v>
          </cell>
          <cell r="R1373" t="str">
            <v>No</v>
          </cell>
          <cell r="S1373" t="str">
            <v>C49</v>
          </cell>
          <cell r="T1373" t="str">
            <v>SOUTH</v>
          </cell>
          <cell r="U1373" t="str">
            <v>深圳</v>
          </cell>
          <cell r="V1373" t="str">
            <v>SZ 深圳</v>
          </cell>
          <cell r="W1373" t="str">
            <v>JL</v>
          </cell>
          <cell r="X1373" t="str">
            <v>JPY</v>
          </cell>
          <cell r="Y1373">
            <v>7500000</v>
          </cell>
          <cell r="Z1373">
            <v>1</v>
          </cell>
          <cell r="AA1373">
            <v>7500000</v>
          </cell>
          <cell r="AB1373">
            <v>7.4499999999999997E-2</v>
          </cell>
          <cell r="AC1373">
            <v>558750</v>
          </cell>
          <cell r="AD1373">
            <v>67050</v>
          </cell>
          <cell r="AE1373">
            <v>0.12</v>
          </cell>
          <cell r="AF1373">
            <v>44263</v>
          </cell>
          <cell r="AG1373" t="str">
            <v>CIF HK</v>
          </cell>
          <cell r="AK1373">
            <v>1</v>
          </cell>
          <cell r="AL1373">
            <v>7500000</v>
          </cell>
          <cell r="AM1373">
            <v>44265</v>
          </cell>
          <cell r="AN1373" t="str">
            <v>Yes</v>
          </cell>
          <cell r="AO1373">
            <v>0</v>
          </cell>
          <cell r="AP1373">
            <v>0</v>
          </cell>
          <cell r="AS1373">
            <v>0</v>
          </cell>
          <cell r="AT1373">
            <v>0</v>
          </cell>
          <cell r="AX1373" t="str">
            <v>Yes</v>
          </cell>
          <cell r="AZ1373" t="str">
            <v>Yes</v>
          </cell>
          <cell r="BA1373" t="str">
            <v>Yes</v>
          </cell>
        </row>
        <row r="1374">
          <cell r="B1374">
            <v>1224</v>
          </cell>
          <cell r="C1374" t="str">
            <v>C49SZX20210068JL</v>
          </cell>
          <cell r="D1374" t="str">
            <v>芯睿视</v>
          </cell>
          <cell r="E1374" t="str">
            <v>YSM10</v>
          </cell>
          <cell r="F1374" t="str">
            <v>#75724</v>
          </cell>
          <cell r="G1374" t="e">
            <v>#REF!</v>
          </cell>
          <cell r="H1374" t="e">
            <v>#REF!</v>
          </cell>
          <cell r="I1374" t="str">
            <v>L-&gt;R</v>
          </cell>
          <cell r="J1374" t="str">
            <v>MVC</v>
          </cell>
          <cell r="K1374">
            <v>1</v>
          </cell>
          <cell r="L1374">
            <v>110173</v>
          </cell>
          <cell r="M1374" t="str">
            <v>MAR 21</v>
          </cell>
          <cell r="N1374">
            <v>44267</v>
          </cell>
          <cell r="O1374">
            <v>11116538</v>
          </cell>
          <cell r="P1374">
            <v>7500000</v>
          </cell>
          <cell r="Q1374">
            <v>44279</v>
          </cell>
          <cell r="R1374" t="str">
            <v>No</v>
          </cell>
          <cell r="S1374" t="str">
            <v>C49</v>
          </cell>
          <cell r="T1374" t="str">
            <v>SOUTH</v>
          </cell>
          <cell r="U1374" t="str">
            <v>深圳</v>
          </cell>
          <cell r="V1374" t="str">
            <v>SZ 深圳</v>
          </cell>
          <cell r="W1374" t="str">
            <v>JL</v>
          </cell>
          <cell r="X1374" t="str">
            <v>JPY</v>
          </cell>
          <cell r="Y1374">
            <v>7500000</v>
          </cell>
          <cell r="Z1374">
            <v>1</v>
          </cell>
          <cell r="AA1374">
            <v>7500000</v>
          </cell>
          <cell r="AB1374">
            <v>7.4499999999999997E-2</v>
          </cell>
          <cell r="AC1374">
            <v>558750</v>
          </cell>
          <cell r="AD1374">
            <v>67050</v>
          </cell>
          <cell r="AE1374">
            <v>0.12</v>
          </cell>
          <cell r="AF1374">
            <v>44263</v>
          </cell>
          <cell r="AG1374" t="str">
            <v>CIF HK</v>
          </cell>
          <cell r="AK1374">
            <v>1</v>
          </cell>
          <cell r="AL1374">
            <v>7500000</v>
          </cell>
          <cell r="AM1374">
            <v>44265</v>
          </cell>
          <cell r="AN1374" t="str">
            <v>Yes</v>
          </cell>
          <cell r="AO1374">
            <v>0</v>
          </cell>
          <cell r="AP1374">
            <v>0</v>
          </cell>
          <cell r="AS1374">
            <v>0</v>
          </cell>
          <cell r="AT1374">
            <v>0</v>
          </cell>
          <cell r="AX1374" t="str">
            <v>Yes</v>
          </cell>
          <cell r="AZ1374" t="str">
            <v>Yes</v>
          </cell>
          <cell r="BA1374" t="str">
            <v>Yes</v>
          </cell>
        </row>
        <row r="1375">
          <cell r="B1375">
            <v>1225</v>
          </cell>
          <cell r="C1375" t="str">
            <v>C49SZX20210083SS</v>
          </cell>
          <cell r="D1375" t="str">
            <v>世启纳</v>
          </cell>
          <cell r="E1375" t="str">
            <v>YSM10</v>
          </cell>
          <cell r="F1375" t="str">
            <v>#03532</v>
          </cell>
          <cell r="G1375" t="e">
            <v>#REF!</v>
          </cell>
          <cell r="H1375" t="e">
            <v>#REF!</v>
          </cell>
          <cell r="I1375" t="str">
            <v>R-&gt;L</v>
          </cell>
          <cell r="J1375" t="str">
            <v>MVC</v>
          </cell>
          <cell r="K1375">
            <v>1</v>
          </cell>
          <cell r="L1375">
            <v>110727</v>
          </cell>
          <cell r="M1375" t="str">
            <v>MAR 22</v>
          </cell>
          <cell r="N1375">
            <v>44624</v>
          </cell>
          <cell r="O1375">
            <v>11116708</v>
          </cell>
          <cell r="P1375">
            <v>7100000</v>
          </cell>
          <cell r="Q1375">
            <v>44620</v>
          </cell>
          <cell r="R1375" t="str">
            <v>No</v>
          </cell>
          <cell r="S1375" t="str">
            <v>C49</v>
          </cell>
          <cell r="T1375" t="str">
            <v>SOUTH</v>
          </cell>
          <cell r="U1375" t="str">
            <v>深圳</v>
          </cell>
          <cell r="V1375" t="str">
            <v>SZ 深圳</v>
          </cell>
          <cell r="W1375" t="str">
            <v>SS</v>
          </cell>
          <cell r="X1375" t="str">
            <v>JPY</v>
          </cell>
          <cell r="Y1375">
            <v>7100000</v>
          </cell>
          <cell r="Z1375">
            <v>1</v>
          </cell>
          <cell r="AA1375">
            <v>7100000</v>
          </cell>
          <cell r="AB1375">
            <v>7.4499999999999997E-2</v>
          </cell>
          <cell r="AC1375">
            <v>528950</v>
          </cell>
          <cell r="AD1375">
            <v>63474</v>
          </cell>
          <cell r="AE1375">
            <v>0.12</v>
          </cell>
          <cell r="AF1375">
            <v>44264</v>
          </cell>
          <cell r="AG1375" t="str">
            <v>DAP SZ</v>
          </cell>
          <cell r="AI1375" t="str">
            <v>CNY80,000</v>
          </cell>
          <cell r="AJ1375">
            <v>44271</v>
          </cell>
          <cell r="AK1375">
            <v>0.1</v>
          </cell>
          <cell r="AL1375">
            <v>710000</v>
          </cell>
          <cell r="AM1375">
            <v>44615</v>
          </cell>
          <cell r="AN1375" t="str">
            <v>Yes</v>
          </cell>
          <cell r="AO1375">
            <v>0.9</v>
          </cell>
          <cell r="AP1375">
            <v>6390000</v>
          </cell>
          <cell r="AQ1375">
            <v>44620</v>
          </cell>
          <cell r="AR1375">
            <v>44620</v>
          </cell>
          <cell r="AS1375">
            <v>0</v>
          </cell>
          <cell r="AT1375">
            <v>0</v>
          </cell>
          <cell r="AX1375" t="str">
            <v>Yes</v>
          </cell>
          <cell r="AZ1375" t="str">
            <v>Yes</v>
          </cell>
          <cell r="BA1375" t="str">
            <v>Yes</v>
          </cell>
        </row>
        <row r="1376">
          <cell r="B1376">
            <v>1226</v>
          </cell>
          <cell r="C1376" t="str">
            <v>C49SZX20210083SS</v>
          </cell>
          <cell r="D1376" t="str">
            <v>世启纳</v>
          </cell>
          <cell r="E1376" t="str">
            <v>YSM10</v>
          </cell>
          <cell r="F1376" t="str">
            <v>#03532</v>
          </cell>
          <cell r="G1376" t="e">
            <v>#REF!</v>
          </cell>
          <cell r="H1376" t="e">
            <v>#REF!</v>
          </cell>
          <cell r="I1376" t="str">
            <v>L-&gt;R</v>
          </cell>
          <cell r="J1376" t="str">
            <v>MVC</v>
          </cell>
          <cell r="K1376">
            <v>1</v>
          </cell>
          <cell r="L1376">
            <v>110727</v>
          </cell>
          <cell r="M1376" t="str">
            <v>MAR 22</v>
          </cell>
          <cell r="N1376">
            <v>44624</v>
          </cell>
          <cell r="O1376">
            <v>11116708</v>
          </cell>
          <cell r="P1376">
            <v>7100000</v>
          </cell>
          <cell r="Q1376">
            <v>44620</v>
          </cell>
          <cell r="R1376" t="str">
            <v>No</v>
          </cell>
          <cell r="S1376" t="str">
            <v>C49</v>
          </cell>
          <cell r="T1376" t="str">
            <v>SOUTH</v>
          </cell>
          <cell r="U1376" t="str">
            <v>深圳</v>
          </cell>
          <cell r="V1376" t="str">
            <v>SZ 深圳</v>
          </cell>
          <cell r="W1376" t="str">
            <v>SS</v>
          </cell>
          <cell r="X1376" t="str">
            <v>JPY</v>
          </cell>
          <cell r="Y1376">
            <v>7100000</v>
          </cell>
          <cell r="Z1376">
            <v>1</v>
          </cell>
          <cell r="AA1376">
            <v>7100000</v>
          </cell>
          <cell r="AB1376">
            <v>7.4499999999999997E-2</v>
          </cell>
          <cell r="AC1376">
            <v>528950</v>
          </cell>
          <cell r="AD1376">
            <v>63474</v>
          </cell>
          <cell r="AE1376">
            <v>0.12</v>
          </cell>
          <cell r="AF1376">
            <v>44264</v>
          </cell>
          <cell r="AG1376" t="str">
            <v>DAP SZ</v>
          </cell>
          <cell r="AI1376"/>
          <cell r="AJ1376">
            <v>44441</v>
          </cell>
          <cell r="AK1376">
            <v>0.1</v>
          </cell>
          <cell r="AL1376">
            <v>710000</v>
          </cell>
          <cell r="AM1376">
            <v>44615</v>
          </cell>
          <cell r="AN1376" t="str">
            <v>Yes</v>
          </cell>
          <cell r="AO1376">
            <v>0.9</v>
          </cell>
          <cell r="AP1376">
            <v>6390000</v>
          </cell>
          <cell r="AQ1376">
            <v>44620</v>
          </cell>
          <cell r="AR1376">
            <v>44620</v>
          </cell>
          <cell r="AS1376">
            <v>0</v>
          </cell>
          <cell r="AT1376">
            <v>0</v>
          </cell>
          <cell r="AX1376" t="str">
            <v>Yes</v>
          </cell>
          <cell r="AZ1376" t="str">
            <v>Yes</v>
          </cell>
          <cell r="BA1376" t="str">
            <v>Yes</v>
          </cell>
        </row>
        <row r="1377">
          <cell r="B1377">
            <v>1227</v>
          </cell>
          <cell r="C1377" t="str">
            <v>C49SZX20210035SX</v>
          </cell>
          <cell r="D1377" t="str">
            <v>巴科</v>
          </cell>
          <cell r="E1377" t="str">
            <v>YSM20R-2</v>
          </cell>
          <cell r="G1377" t="e">
            <v>#REF!</v>
          </cell>
          <cell r="H1377" t="e">
            <v>#REF!</v>
          </cell>
          <cell r="I1377" t="str">
            <v>L-&gt;R</v>
          </cell>
          <cell r="J1377" t="str">
            <v>No</v>
          </cell>
          <cell r="K1377">
            <v>1</v>
          </cell>
          <cell r="L1377" t="str">
            <v>110228(拆单110338)</v>
          </cell>
          <cell r="M1377" t="str">
            <v>JUN 21</v>
          </cell>
          <cell r="N1377">
            <v>44349</v>
          </cell>
          <cell r="O1377">
            <v>11116605</v>
          </cell>
          <cell r="P1377">
            <v>11000000</v>
          </cell>
          <cell r="Q1377">
            <v>44358</v>
          </cell>
          <cell r="R1377" t="str">
            <v>Yes</v>
          </cell>
          <cell r="S1377" t="str">
            <v>C49</v>
          </cell>
          <cell r="T1377" t="str">
            <v>SOUTH</v>
          </cell>
          <cell r="U1377" t="str">
            <v>深圳</v>
          </cell>
          <cell r="V1377" t="str">
            <v>SZ 深圳</v>
          </cell>
          <cell r="W1377" t="str">
            <v>SX</v>
          </cell>
          <cell r="X1377" t="str">
            <v>JPY</v>
          </cell>
          <cell r="Y1377">
            <v>11000000</v>
          </cell>
          <cell r="Z1377">
            <v>1</v>
          </cell>
          <cell r="AA1377">
            <v>11000000</v>
          </cell>
          <cell r="AB1377">
            <v>7.4499999999999997E-2</v>
          </cell>
          <cell r="AC1377">
            <v>819500</v>
          </cell>
          <cell r="AD1377">
            <v>98340</v>
          </cell>
          <cell r="AE1377">
            <v>0.12</v>
          </cell>
          <cell r="AF1377">
            <v>44264</v>
          </cell>
          <cell r="AG1377" t="str">
            <v>CIF HK</v>
          </cell>
          <cell r="AK1377">
            <v>0.1</v>
          </cell>
          <cell r="AL1377">
            <v>1100000</v>
          </cell>
          <cell r="AM1377">
            <v>44265</v>
          </cell>
          <cell r="AN1377" t="str">
            <v>Yes</v>
          </cell>
          <cell r="AO1377">
            <v>0.9</v>
          </cell>
          <cell r="AP1377">
            <v>9900000</v>
          </cell>
          <cell r="AQ1377">
            <v>44344</v>
          </cell>
          <cell r="AR1377">
            <v>44344</v>
          </cell>
          <cell r="AS1377">
            <v>0</v>
          </cell>
          <cell r="AT1377">
            <v>0</v>
          </cell>
          <cell r="AX1377" t="str">
            <v>Yes</v>
          </cell>
          <cell r="AZ1377" t="str">
            <v>Yes</v>
          </cell>
          <cell r="BA1377" t="str">
            <v>Yes</v>
          </cell>
        </row>
        <row r="1378">
          <cell r="B1378">
            <v>1228</v>
          </cell>
          <cell r="C1378" t="str">
            <v>C49SZX20210035SX</v>
          </cell>
          <cell r="D1378" t="str">
            <v>巴科</v>
          </cell>
          <cell r="E1378" t="str">
            <v>YSM20R-2</v>
          </cell>
          <cell r="G1378" t="e">
            <v>#REF!</v>
          </cell>
          <cell r="H1378" t="e">
            <v>#REF!</v>
          </cell>
          <cell r="I1378" t="str">
            <v>L-&gt;R</v>
          </cell>
          <cell r="J1378" t="str">
            <v>No</v>
          </cell>
          <cell r="K1378">
            <v>1</v>
          </cell>
          <cell r="L1378">
            <v>110346</v>
          </cell>
          <cell r="M1378" t="str">
            <v>JUN 21</v>
          </cell>
          <cell r="N1378">
            <v>44349</v>
          </cell>
          <cell r="O1378">
            <v>11116605</v>
          </cell>
          <cell r="P1378">
            <v>11000000</v>
          </cell>
          <cell r="Q1378">
            <v>44358</v>
          </cell>
          <cell r="R1378" t="str">
            <v>Yes</v>
          </cell>
          <cell r="S1378" t="str">
            <v>C49</v>
          </cell>
          <cell r="T1378" t="str">
            <v>SOUTH</v>
          </cell>
          <cell r="U1378" t="str">
            <v>深圳</v>
          </cell>
          <cell r="V1378" t="str">
            <v>SZ 深圳</v>
          </cell>
          <cell r="W1378" t="str">
            <v>SX</v>
          </cell>
          <cell r="X1378" t="str">
            <v>JPY</v>
          </cell>
          <cell r="Y1378">
            <v>11000000</v>
          </cell>
          <cell r="Z1378">
            <v>1</v>
          </cell>
          <cell r="AA1378">
            <v>11000000</v>
          </cell>
          <cell r="AB1378">
            <v>7.4499999999999997E-2</v>
          </cell>
          <cell r="AC1378">
            <v>819500</v>
          </cell>
          <cell r="AD1378">
            <v>98340</v>
          </cell>
          <cell r="AE1378">
            <v>0.12</v>
          </cell>
          <cell r="AF1378">
            <v>44264</v>
          </cell>
          <cell r="AG1378" t="str">
            <v>CIF HK</v>
          </cell>
          <cell r="AK1378">
            <v>0.1</v>
          </cell>
          <cell r="AL1378">
            <v>1100000</v>
          </cell>
          <cell r="AM1378">
            <v>44266</v>
          </cell>
          <cell r="AN1378" t="str">
            <v>Yes</v>
          </cell>
          <cell r="AO1378">
            <v>0.9</v>
          </cell>
          <cell r="AP1378">
            <v>9900000</v>
          </cell>
          <cell r="AQ1378">
            <v>44344</v>
          </cell>
          <cell r="AR1378">
            <v>44344</v>
          </cell>
          <cell r="AS1378">
            <v>0</v>
          </cell>
          <cell r="AT1378">
            <v>0</v>
          </cell>
          <cell r="AX1378" t="str">
            <v>Yes</v>
          </cell>
          <cell r="AZ1378" t="str">
            <v>Yes</v>
          </cell>
          <cell r="BA1378" t="str">
            <v>Yes</v>
          </cell>
        </row>
        <row r="1379">
          <cell r="B1379">
            <v>1229</v>
          </cell>
          <cell r="C1379" t="str">
            <v>C49SZX20210035SX</v>
          </cell>
          <cell r="D1379" t="str">
            <v>巴科</v>
          </cell>
          <cell r="E1379" t="str">
            <v>YSM20R-2</v>
          </cell>
          <cell r="G1379" t="e">
            <v>#REF!</v>
          </cell>
          <cell r="H1379" t="e">
            <v>#REF!</v>
          </cell>
          <cell r="I1379" t="str">
            <v>L-&gt;R</v>
          </cell>
          <cell r="J1379" t="str">
            <v>No</v>
          </cell>
          <cell r="K1379">
            <v>1</v>
          </cell>
          <cell r="L1379">
            <v>110228</v>
          </cell>
          <cell r="M1379" t="str">
            <v>JUN 21</v>
          </cell>
          <cell r="N1379">
            <v>44349</v>
          </cell>
          <cell r="O1379">
            <v>11116605</v>
          </cell>
          <cell r="P1379">
            <v>11000000</v>
          </cell>
          <cell r="Q1379">
            <v>44358</v>
          </cell>
          <cell r="R1379" t="str">
            <v>Yes</v>
          </cell>
          <cell r="S1379" t="str">
            <v>C49</v>
          </cell>
          <cell r="T1379" t="str">
            <v>SOUTH</v>
          </cell>
          <cell r="U1379" t="str">
            <v>深圳</v>
          </cell>
          <cell r="V1379" t="str">
            <v>SZ 深圳</v>
          </cell>
          <cell r="W1379" t="str">
            <v>SX</v>
          </cell>
          <cell r="X1379" t="str">
            <v>JPY</v>
          </cell>
          <cell r="Y1379">
            <v>11000000</v>
          </cell>
          <cell r="Z1379">
            <v>1</v>
          </cell>
          <cell r="AA1379">
            <v>11000000</v>
          </cell>
          <cell r="AB1379">
            <v>7.4499999999999997E-2</v>
          </cell>
          <cell r="AC1379">
            <v>819500</v>
          </cell>
          <cell r="AD1379">
            <v>98340</v>
          </cell>
          <cell r="AE1379">
            <v>0.12</v>
          </cell>
          <cell r="AF1379">
            <v>44264</v>
          </cell>
          <cell r="AG1379" t="str">
            <v>CIF HK</v>
          </cell>
          <cell r="AK1379">
            <v>0.1</v>
          </cell>
          <cell r="AL1379">
            <v>1100000</v>
          </cell>
          <cell r="AM1379">
            <v>44267</v>
          </cell>
          <cell r="AN1379" t="str">
            <v>Yes</v>
          </cell>
          <cell r="AO1379">
            <v>0.9</v>
          </cell>
          <cell r="AP1379">
            <v>9900000</v>
          </cell>
          <cell r="AQ1379">
            <v>44344</v>
          </cell>
          <cell r="AR1379">
            <v>44344</v>
          </cell>
          <cell r="AS1379">
            <v>0</v>
          </cell>
          <cell r="AT1379">
            <v>0</v>
          </cell>
          <cell r="AX1379" t="str">
            <v>Yes</v>
          </cell>
          <cell r="AZ1379" t="str">
            <v>Yes</v>
          </cell>
          <cell r="BA1379" t="str">
            <v>Yes</v>
          </cell>
        </row>
        <row r="1380">
          <cell r="B1380">
            <v>1230</v>
          </cell>
          <cell r="C1380" t="str">
            <v>C49SZX20210035SX</v>
          </cell>
          <cell r="D1380" t="str">
            <v>巴科</v>
          </cell>
          <cell r="E1380" t="str">
            <v>YSM20R-2</v>
          </cell>
          <cell r="G1380" t="e">
            <v>#REF!</v>
          </cell>
          <cell r="H1380" t="e">
            <v>#REF!</v>
          </cell>
          <cell r="I1380" t="str">
            <v>L-&gt;R</v>
          </cell>
          <cell r="J1380" t="str">
            <v>No</v>
          </cell>
          <cell r="K1380">
            <v>1</v>
          </cell>
          <cell r="L1380">
            <v>110228</v>
          </cell>
          <cell r="M1380" t="str">
            <v>JUN 21</v>
          </cell>
          <cell r="N1380">
            <v>44349</v>
          </cell>
          <cell r="O1380">
            <v>11116605</v>
          </cell>
          <cell r="P1380">
            <v>11000000</v>
          </cell>
          <cell r="Q1380">
            <v>44358</v>
          </cell>
          <cell r="R1380" t="str">
            <v>Yes</v>
          </cell>
          <cell r="S1380" t="str">
            <v>C49</v>
          </cell>
          <cell r="T1380" t="str">
            <v>SOUTH</v>
          </cell>
          <cell r="U1380" t="str">
            <v>深圳</v>
          </cell>
          <cell r="V1380" t="str">
            <v>SZ 深圳</v>
          </cell>
          <cell r="W1380" t="str">
            <v>SX</v>
          </cell>
          <cell r="X1380" t="str">
            <v>JPY</v>
          </cell>
          <cell r="Y1380">
            <v>11000000</v>
          </cell>
          <cell r="Z1380">
            <v>1</v>
          </cell>
          <cell r="AA1380">
            <v>11000000</v>
          </cell>
          <cell r="AB1380">
            <v>7.4499999999999997E-2</v>
          </cell>
          <cell r="AC1380">
            <v>819500</v>
          </cell>
          <cell r="AD1380">
            <v>98340</v>
          </cell>
          <cell r="AE1380">
            <v>0.12</v>
          </cell>
          <cell r="AF1380">
            <v>44264</v>
          </cell>
          <cell r="AG1380" t="str">
            <v>CIF HK</v>
          </cell>
          <cell r="AK1380">
            <v>0.1</v>
          </cell>
          <cell r="AL1380">
            <v>1100000</v>
          </cell>
          <cell r="AM1380">
            <v>44268</v>
          </cell>
          <cell r="AN1380" t="str">
            <v>Yes</v>
          </cell>
          <cell r="AO1380">
            <v>0.9</v>
          </cell>
          <cell r="AP1380">
            <v>9900000</v>
          </cell>
          <cell r="AQ1380">
            <v>44344</v>
          </cell>
          <cell r="AR1380">
            <v>44344</v>
          </cell>
          <cell r="AS1380">
            <v>0</v>
          </cell>
          <cell r="AT1380">
            <v>0</v>
          </cell>
          <cell r="AX1380" t="str">
            <v>Yes</v>
          </cell>
          <cell r="AZ1380" t="str">
            <v>Yes</v>
          </cell>
          <cell r="BA1380" t="str">
            <v>Yes</v>
          </cell>
        </row>
        <row r="1381">
          <cell r="B1381">
            <v>1231</v>
          </cell>
          <cell r="C1381" t="str">
            <v>C49SZX20210035SX</v>
          </cell>
          <cell r="D1381" t="str">
            <v>巴科</v>
          </cell>
          <cell r="E1381" t="str">
            <v>YSM20R-2</v>
          </cell>
          <cell r="G1381" t="e">
            <v>#REF!</v>
          </cell>
          <cell r="H1381" t="e">
            <v>#REF!</v>
          </cell>
          <cell r="I1381" t="str">
            <v>L-&gt;R</v>
          </cell>
          <cell r="J1381" t="str">
            <v>No</v>
          </cell>
          <cell r="K1381">
            <v>1</v>
          </cell>
          <cell r="L1381">
            <v>110228</v>
          </cell>
          <cell r="M1381" t="str">
            <v>JUN 21</v>
          </cell>
          <cell r="N1381">
            <v>44349</v>
          </cell>
          <cell r="O1381">
            <v>11116605</v>
          </cell>
          <cell r="P1381">
            <v>11000000</v>
          </cell>
          <cell r="Q1381">
            <v>44358</v>
          </cell>
          <cell r="R1381" t="str">
            <v>Yes</v>
          </cell>
          <cell r="S1381" t="str">
            <v>C49</v>
          </cell>
          <cell r="T1381" t="str">
            <v>SOUTH</v>
          </cell>
          <cell r="U1381" t="str">
            <v>深圳</v>
          </cell>
          <cell r="V1381" t="str">
            <v>SZ 深圳</v>
          </cell>
          <cell r="W1381" t="str">
            <v>SX</v>
          </cell>
          <cell r="X1381" t="str">
            <v>JPY</v>
          </cell>
          <cell r="Y1381">
            <v>11000000</v>
          </cell>
          <cell r="Z1381">
            <v>1</v>
          </cell>
          <cell r="AA1381">
            <v>11000000</v>
          </cell>
          <cell r="AB1381">
            <v>7.4499999999999997E-2</v>
          </cell>
          <cell r="AC1381">
            <v>819500</v>
          </cell>
          <cell r="AD1381">
            <v>98340</v>
          </cell>
          <cell r="AE1381">
            <v>0.12</v>
          </cell>
          <cell r="AF1381">
            <v>44264</v>
          </cell>
          <cell r="AG1381" t="str">
            <v>CIF HK</v>
          </cell>
          <cell r="AK1381">
            <v>0.1</v>
          </cell>
          <cell r="AL1381">
            <v>1100000</v>
          </cell>
          <cell r="AM1381">
            <v>44269</v>
          </cell>
          <cell r="AN1381" t="str">
            <v>Yes</v>
          </cell>
          <cell r="AO1381">
            <v>0.9</v>
          </cell>
          <cell r="AP1381">
            <v>9900000</v>
          </cell>
          <cell r="AQ1381">
            <v>44344</v>
          </cell>
          <cell r="AR1381">
            <v>44344</v>
          </cell>
          <cell r="AS1381">
            <v>0</v>
          </cell>
          <cell r="AT1381">
            <v>0</v>
          </cell>
          <cell r="AX1381" t="str">
            <v>Yes</v>
          </cell>
          <cell r="AZ1381" t="str">
            <v>Yes</v>
          </cell>
          <cell r="BA1381" t="str">
            <v>Yes</v>
          </cell>
        </row>
        <row r="1382">
          <cell r="B1382">
            <v>1232</v>
          </cell>
          <cell r="C1382" t="str">
            <v>C49SZX20210035SX</v>
          </cell>
          <cell r="D1382" t="str">
            <v>巴科</v>
          </cell>
          <cell r="E1382" t="str">
            <v>YSM20R-2</v>
          </cell>
          <cell r="G1382" t="e">
            <v>#REF!</v>
          </cell>
          <cell r="H1382" t="e">
            <v>#REF!</v>
          </cell>
          <cell r="I1382" t="str">
            <v>L-&gt;R</v>
          </cell>
          <cell r="J1382" t="str">
            <v>No</v>
          </cell>
          <cell r="K1382">
            <v>1</v>
          </cell>
          <cell r="L1382">
            <v>110228</v>
          </cell>
          <cell r="M1382" t="str">
            <v>JUN 21</v>
          </cell>
          <cell r="N1382">
            <v>44349</v>
          </cell>
          <cell r="O1382">
            <v>11116605</v>
          </cell>
          <cell r="P1382">
            <v>11000000</v>
          </cell>
          <cell r="Q1382">
            <v>44358</v>
          </cell>
          <cell r="R1382" t="str">
            <v>Yes</v>
          </cell>
          <cell r="S1382" t="str">
            <v>C49</v>
          </cell>
          <cell r="T1382" t="str">
            <v>SOUTH</v>
          </cell>
          <cell r="U1382" t="str">
            <v>深圳</v>
          </cell>
          <cell r="V1382" t="str">
            <v>SZ 深圳</v>
          </cell>
          <cell r="W1382" t="str">
            <v>SX</v>
          </cell>
          <cell r="X1382" t="str">
            <v>JPY</v>
          </cell>
          <cell r="Y1382">
            <v>11000000</v>
          </cell>
          <cell r="Z1382">
            <v>1</v>
          </cell>
          <cell r="AA1382">
            <v>11000000</v>
          </cell>
          <cell r="AB1382">
            <v>7.4499999999999997E-2</v>
          </cell>
          <cell r="AC1382">
            <v>819500</v>
          </cell>
          <cell r="AD1382">
            <v>98340</v>
          </cell>
          <cell r="AE1382">
            <v>0.12</v>
          </cell>
          <cell r="AF1382">
            <v>44264</v>
          </cell>
          <cell r="AG1382" t="str">
            <v>CIF HK</v>
          </cell>
          <cell r="AK1382">
            <v>0.1</v>
          </cell>
          <cell r="AL1382">
            <v>1100000</v>
          </cell>
          <cell r="AM1382">
            <v>44270</v>
          </cell>
          <cell r="AN1382" t="str">
            <v>Yes</v>
          </cell>
          <cell r="AO1382">
            <v>0.9</v>
          </cell>
          <cell r="AP1382">
            <v>9900000</v>
          </cell>
          <cell r="AQ1382">
            <v>44344</v>
          </cell>
          <cell r="AR1382">
            <v>44344</v>
          </cell>
          <cell r="AS1382">
            <v>0</v>
          </cell>
          <cell r="AT1382">
            <v>0</v>
          </cell>
          <cell r="AX1382" t="str">
            <v>Yes</v>
          </cell>
          <cell r="AZ1382" t="str">
            <v>Yes</v>
          </cell>
          <cell r="BA1382" t="str">
            <v>Yes</v>
          </cell>
        </row>
        <row r="1383">
          <cell r="B1383">
            <v>1233</v>
          </cell>
          <cell r="C1383" t="str">
            <v>C49SZX20210035SX</v>
          </cell>
          <cell r="D1383" t="str">
            <v>巴科</v>
          </cell>
          <cell r="E1383" t="str">
            <v>YSM20R-2</v>
          </cell>
          <cell r="G1383" t="e">
            <v>#REF!</v>
          </cell>
          <cell r="H1383" t="e">
            <v>#REF!</v>
          </cell>
          <cell r="I1383" t="str">
            <v>L-&gt;R</v>
          </cell>
          <cell r="J1383" t="str">
            <v>No</v>
          </cell>
          <cell r="K1383">
            <v>1</v>
          </cell>
          <cell r="L1383">
            <v>110416</v>
          </cell>
          <cell r="M1383" t="str">
            <v>JUN 21</v>
          </cell>
          <cell r="N1383">
            <v>44349</v>
          </cell>
          <cell r="O1383">
            <v>11116605</v>
          </cell>
          <cell r="P1383">
            <v>11000000</v>
          </cell>
          <cell r="Q1383">
            <v>44358</v>
          </cell>
          <cell r="R1383" t="str">
            <v>Yes</v>
          </cell>
          <cell r="S1383" t="str">
            <v>C49</v>
          </cell>
          <cell r="T1383" t="str">
            <v>SOUTH</v>
          </cell>
          <cell r="U1383" t="str">
            <v>深圳</v>
          </cell>
          <cell r="V1383" t="str">
            <v>SZ 深圳</v>
          </cell>
          <cell r="W1383" t="str">
            <v>SX</v>
          </cell>
          <cell r="X1383" t="str">
            <v>JPY</v>
          </cell>
          <cell r="Y1383">
            <v>11000000</v>
          </cell>
          <cell r="Z1383">
            <v>1</v>
          </cell>
          <cell r="AA1383">
            <v>11000000</v>
          </cell>
          <cell r="AB1383">
            <v>7.4499999999999997E-2</v>
          </cell>
          <cell r="AC1383">
            <v>819500</v>
          </cell>
          <cell r="AD1383">
            <v>98340</v>
          </cell>
          <cell r="AE1383">
            <v>0.12</v>
          </cell>
          <cell r="AF1383">
            <v>44264</v>
          </cell>
          <cell r="AG1383" t="str">
            <v>CIF HK</v>
          </cell>
          <cell r="AK1383">
            <v>0.1</v>
          </cell>
          <cell r="AL1383">
            <v>1100000</v>
          </cell>
          <cell r="AM1383">
            <v>44271</v>
          </cell>
          <cell r="AN1383" t="str">
            <v>Yes</v>
          </cell>
          <cell r="AO1383">
            <v>0.9</v>
          </cell>
          <cell r="AP1383">
            <v>9900000</v>
          </cell>
          <cell r="AQ1383">
            <v>44344</v>
          </cell>
          <cell r="AR1383">
            <v>44344</v>
          </cell>
          <cell r="AS1383">
            <v>0</v>
          </cell>
          <cell r="AT1383">
            <v>0</v>
          </cell>
          <cell r="AX1383" t="str">
            <v>Yes</v>
          </cell>
          <cell r="AZ1383" t="str">
            <v>Yes</v>
          </cell>
          <cell r="BA1383" t="str">
            <v>Yes</v>
          </cell>
        </row>
        <row r="1384">
          <cell r="B1384">
            <v>1234</v>
          </cell>
          <cell r="C1384" t="str">
            <v>C49SZX20210035SX</v>
          </cell>
          <cell r="D1384" t="str">
            <v>巴科</v>
          </cell>
          <cell r="E1384" t="str">
            <v>YSM20R-2</v>
          </cell>
          <cell r="G1384" t="e">
            <v>#REF!</v>
          </cell>
          <cell r="H1384" t="e">
            <v>#REF!</v>
          </cell>
          <cell r="I1384" t="str">
            <v>L-&gt;R</v>
          </cell>
          <cell r="J1384" t="str">
            <v>No</v>
          </cell>
          <cell r="K1384">
            <v>1</v>
          </cell>
          <cell r="L1384">
            <v>110228</v>
          </cell>
          <cell r="M1384" t="str">
            <v>JUN 21</v>
          </cell>
          <cell r="N1384">
            <v>44349</v>
          </cell>
          <cell r="O1384">
            <v>11116605</v>
          </cell>
          <cell r="P1384">
            <v>11000000</v>
          </cell>
          <cell r="Q1384">
            <v>44358</v>
          </cell>
          <cell r="R1384" t="str">
            <v>Yes</v>
          </cell>
          <cell r="S1384" t="str">
            <v>C49</v>
          </cell>
          <cell r="T1384" t="str">
            <v>SOUTH</v>
          </cell>
          <cell r="U1384" t="str">
            <v>深圳</v>
          </cell>
          <cell r="V1384" t="str">
            <v>SZ 深圳</v>
          </cell>
          <cell r="W1384" t="str">
            <v>SX</v>
          </cell>
          <cell r="X1384" t="str">
            <v>JPY</v>
          </cell>
          <cell r="Y1384">
            <v>11000000</v>
          </cell>
          <cell r="Z1384">
            <v>1</v>
          </cell>
          <cell r="AA1384">
            <v>11000000</v>
          </cell>
          <cell r="AB1384">
            <v>7.4499999999999997E-2</v>
          </cell>
          <cell r="AC1384">
            <v>819500</v>
          </cell>
          <cell r="AD1384">
            <v>98340</v>
          </cell>
          <cell r="AE1384">
            <v>0.12</v>
          </cell>
          <cell r="AF1384">
            <v>44264</v>
          </cell>
          <cell r="AG1384" t="str">
            <v>CIF HK</v>
          </cell>
          <cell r="AK1384">
            <v>0.1</v>
          </cell>
          <cell r="AL1384">
            <v>1100000</v>
          </cell>
          <cell r="AM1384">
            <v>44272</v>
          </cell>
          <cell r="AN1384" t="str">
            <v>Yes</v>
          </cell>
          <cell r="AO1384">
            <v>0.9</v>
          </cell>
          <cell r="AP1384">
            <v>9900000</v>
          </cell>
          <cell r="AQ1384">
            <v>44344</v>
          </cell>
          <cell r="AR1384">
            <v>44344</v>
          </cell>
          <cell r="AS1384">
            <v>0</v>
          </cell>
          <cell r="AT1384">
            <v>0</v>
          </cell>
          <cell r="AX1384" t="str">
            <v>Yes</v>
          </cell>
          <cell r="AZ1384" t="str">
            <v>Yes</v>
          </cell>
          <cell r="BA1384" t="str">
            <v>Yes</v>
          </cell>
        </row>
        <row r="1385">
          <cell r="B1385">
            <v>1235</v>
          </cell>
          <cell r="C1385" t="str">
            <v>C49SZX20210035SX</v>
          </cell>
          <cell r="D1385" t="str">
            <v>巴科</v>
          </cell>
          <cell r="E1385" t="str">
            <v>YSM20R-2</v>
          </cell>
          <cell r="G1385" t="e">
            <v>#REF!</v>
          </cell>
          <cell r="H1385" t="e">
            <v>#REF!</v>
          </cell>
          <cell r="I1385" t="str">
            <v>L-&gt;R</v>
          </cell>
          <cell r="J1385" t="str">
            <v>No</v>
          </cell>
          <cell r="K1385">
            <v>1</v>
          </cell>
          <cell r="L1385">
            <v>110416</v>
          </cell>
          <cell r="M1385" t="str">
            <v>JUN 21</v>
          </cell>
          <cell r="N1385">
            <v>44349</v>
          </cell>
          <cell r="O1385">
            <v>11116604</v>
          </cell>
          <cell r="P1385">
            <v>11000000</v>
          </cell>
          <cell r="Q1385">
            <v>44358</v>
          </cell>
          <cell r="R1385" t="str">
            <v>Yes</v>
          </cell>
          <cell r="S1385" t="str">
            <v>C49</v>
          </cell>
          <cell r="T1385" t="str">
            <v>SOUTH</v>
          </cell>
          <cell r="U1385" t="str">
            <v>深圳</v>
          </cell>
          <cell r="V1385" t="str">
            <v>SZ 深圳</v>
          </cell>
          <cell r="W1385" t="str">
            <v>SX</v>
          </cell>
          <cell r="X1385" t="str">
            <v>JPY</v>
          </cell>
          <cell r="Y1385">
            <v>11000000</v>
          </cell>
          <cell r="Z1385">
            <v>1</v>
          </cell>
          <cell r="AA1385">
            <v>11000000</v>
          </cell>
          <cell r="AB1385">
            <v>7.4499999999999997E-2</v>
          </cell>
          <cell r="AC1385">
            <v>819500</v>
          </cell>
          <cell r="AD1385">
            <v>98340</v>
          </cell>
          <cell r="AE1385">
            <v>0.12</v>
          </cell>
          <cell r="AF1385">
            <v>44264</v>
          </cell>
          <cell r="AG1385" t="str">
            <v>CIF HK</v>
          </cell>
          <cell r="AK1385">
            <v>0.1</v>
          </cell>
          <cell r="AL1385">
            <v>1100000</v>
          </cell>
          <cell r="AM1385">
            <v>44273</v>
          </cell>
          <cell r="AN1385" t="str">
            <v>Yes</v>
          </cell>
          <cell r="AO1385">
            <v>0.9</v>
          </cell>
          <cell r="AP1385">
            <v>9900000</v>
          </cell>
          <cell r="AQ1385">
            <v>44344</v>
          </cell>
          <cell r="AR1385">
            <v>44344</v>
          </cell>
          <cell r="AS1385">
            <v>0</v>
          </cell>
          <cell r="AT1385">
            <v>0</v>
          </cell>
          <cell r="AX1385" t="str">
            <v>Yes</v>
          </cell>
          <cell r="AZ1385" t="str">
            <v>Yes</v>
          </cell>
          <cell r="BA1385" t="str">
            <v>Yes</v>
          </cell>
        </row>
        <row r="1386">
          <cell r="B1386">
            <v>1236</v>
          </cell>
          <cell r="C1386" t="str">
            <v>C49SZX20210035SX</v>
          </cell>
          <cell r="D1386" t="str">
            <v>巴科</v>
          </cell>
          <cell r="E1386" t="str">
            <v>YSM20R-2</v>
          </cell>
          <cell r="G1386" t="e">
            <v>#REF!</v>
          </cell>
          <cell r="H1386" t="e">
            <v>#REF!</v>
          </cell>
          <cell r="I1386" t="str">
            <v>L-&gt;R</v>
          </cell>
          <cell r="J1386" t="str">
            <v>No</v>
          </cell>
          <cell r="K1386">
            <v>1</v>
          </cell>
          <cell r="L1386">
            <v>110228</v>
          </cell>
          <cell r="M1386" t="str">
            <v>JUN 21</v>
          </cell>
          <cell r="N1386">
            <v>44349</v>
          </cell>
          <cell r="O1386">
            <v>11116604</v>
          </cell>
          <cell r="P1386">
            <v>11000000</v>
          </cell>
          <cell r="Q1386">
            <v>44358</v>
          </cell>
          <cell r="R1386" t="str">
            <v>Yes</v>
          </cell>
          <cell r="S1386" t="str">
            <v>C49</v>
          </cell>
          <cell r="T1386" t="str">
            <v>SOUTH</v>
          </cell>
          <cell r="U1386" t="str">
            <v>深圳</v>
          </cell>
          <cell r="V1386" t="str">
            <v>SZ 深圳</v>
          </cell>
          <cell r="W1386" t="str">
            <v>SX</v>
          </cell>
          <cell r="X1386" t="str">
            <v>JPY</v>
          </cell>
          <cell r="Y1386">
            <v>11000000</v>
          </cell>
          <cell r="Z1386">
            <v>1</v>
          </cell>
          <cell r="AA1386">
            <v>11000000</v>
          </cell>
          <cell r="AB1386">
            <v>7.4499999999999997E-2</v>
          </cell>
          <cell r="AC1386">
            <v>819500</v>
          </cell>
          <cell r="AD1386">
            <v>98340</v>
          </cell>
          <cell r="AE1386">
            <v>0.12</v>
          </cell>
          <cell r="AF1386">
            <v>44264</v>
          </cell>
          <cell r="AG1386" t="str">
            <v>CIF HK</v>
          </cell>
          <cell r="AK1386">
            <v>0.1</v>
          </cell>
          <cell r="AL1386">
            <v>1100000</v>
          </cell>
          <cell r="AM1386">
            <v>44274</v>
          </cell>
          <cell r="AN1386" t="str">
            <v>Yes</v>
          </cell>
          <cell r="AO1386">
            <v>0.9</v>
          </cell>
          <cell r="AP1386">
            <v>9900000</v>
          </cell>
          <cell r="AQ1386">
            <v>44344</v>
          </cell>
          <cell r="AR1386">
            <v>44344</v>
          </cell>
          <cell r="AS1386">
            <v>0</v>
          </cell>
          <cell r="AT1386">
            <v>0</v>
          </cell>
          <cell r="AX1386" t="str">
            <v>Yes</v>
          </cell>
          <cell r="AZ1386" t="str">
            <v>Yes</v>
          </cell>
          <cell r="BA1386" t="str">
            <v>Yes</v>
          </cell>
        </row>
        <row r="1387">
          <cell r="B1387">
            <v>1237</v>
          </cell>
          <cell r="C1387" t="str">
            <v>C49SZX20210035SX</v>
          </cell>
          <cell r="D1387" t="str">
            <v>巴科</v>
          </cell>
          <cell r="E1387" t="str">
            <v>YSM20R-2</v>
          </cell>
          <cell r="G1387" t="e">
            <v>#REF!</v>
          </cell>
          <cell r="H1387" t="e">
            <v>#REF!</v>
          </cell>
          <cell r="I1387" t="str">
            <v>L-&gt;R</v>
          </cell>
          <cell r="J1387" t="str">
            <v>No</v>
          </cell>
          <cell r="K1387">
            <v>1</v>
          </cell>
          <cell r="L1387">
            <v>110416</v>
          </cell>
          <cell r="M1387" t="str">
            <v>JUN 21</v>
          </cell>
          <cell r="N1387">
            <v>44349</v>
          </cell>
          <cell r="O1387">
            <v>11116604</v>
          </cell>
          <cell r="P1387">
            <v>11000000</v>
          </cell>
          <cell r="Q1387">
            <v>44358</v>
          </cell>
          <cell r="R1387" t="str">
            <v>Yes</v>
          </cell>
          <cell r="S1387" t="str">
            <v>C49</v>
          </cell>
          <cell r="T1387" t="str">
            <v>SOUTH</v>
          </cell>
          <cell r="U1387" t="str">
            <v>深圳</v>
          </cell>
          <cell r="V1387" t="str">
            <v>SZ 深圳</v>
          </cell>
          <cell r="W1387" t="str">
            <v>SX</v>
          </cell>
          <cell r="X1387" t="str">
            <v>JPY</v>
          </cell>
          <cell r="Y1387">
            <v>11000000</v>
          </cell>
          <cell r="Z1387">
            <v>1</v>
          </cell>
          <cell r="AA1387">
            <v>11000000</v>
          </cell>
          <cell r="AB1387">
            <v>7.4499999999999997E-2</v>
          </cell>
          <cell r="AC1387">
            <v>819500</v>
          </cell>
          <cell r="AD1387">
            <v>98340</v>
          </cell>
          <cell r="AE1387">
            <v>0.12</v>
          </cell>
          <cell r="AF1387">
            <v>44264</v>
          </cell>
          <cell r="AG1387" t="str">
            <v>CIF HK</v>
          </cell>
          <cell r="AK1387">
            <v>0.1</v>
          </cell>
          <cell r="AL1387">
            <v>1100000</v>
          </cell>
          <cell r="AM1387">
            <v>44275</v>
          </cell>
          <cell r="AN1387" t="str">
            <v>Yes</v>
          </cell>
          <cell r="AO1387">
            <v>0.9</v>
          </cell>
          <cell r="AP1387">
            <v>9900000</v>
          </cell>
          <cell r="AQ1387">
            <v>44344</v>
          </cell>
          <cell r="AR1387">
            <v>44344</v>
          </cell>
          <cell r="AS1387">
            <v>0</v>
          </cell>
          <cell r="AT1387">
            <v>0</v>
          </cell>
          <cell r="AX1387" t="str">
            <v>Yes</v>
          </cell>
          <cell r="AZ1387" t="str">
            <v>Yes</v>
          </cell>
          <cell r="BA1387" t="str">
            <v>Yes</v>
          </cell>
        </row>
        <row r="1388">
          <cell r="B1388">
            <v>1238</v>
          </cell>
          <cell r="C1388" t="str">
            <v>C49SZX20210035SX</v>
          </cell>
          <cell r="D1388" t="str">
            <v>巴科</v>
          </cell>
          <cell r="E1388" t="str">
            <v>YSM20R-2</v>
          </cell>
          <cell r="G1388" t="e">
            <v>#REF!</v>
          </cell>
          <cell r="H1388" t="e">
            <v>#REF!</v>
          </cell>
          <cell r="I1388" t="str">
            <v>L-&gt;R</v>
          </cell>
          <cell r="J1388" t="str">
            <v>No</v>
          </cell>
          <cell r="K1388">
            <v>1</v>
          </cell>
          <cell r="L1388" t="str">
            <v>110228(拆单110338)</v>
          </cell>
          <cell r="M1388" t="str">
            <v>JUN 21</v>
          </cell>
          <cell r="N1388">
            <v>44349</v>
          </cell>
          <cell r="O1388">
            <v>11116604</v>
          </cell>
          <cell r="P1388">
            <v>11000000</v>
          </cell>
          <cell r="Q1388">
            <v>44358</v>
          </cell>
          <cell r="R1388" t="str">
            <v>Yes</v>
          </cell>
          <cell r="S1388" t="str">
            <v>C49</v>
          </cell>
          <cell r="T1388" t="str">
            <v>SOUTH</v>
          </cell>
          <cell r="U1388" t="str">
            <v>深圳</v>
          </cell>
          <cell r="V1388" t="str">
            <v>SZ 深圳</v>
          </cell>
          <cell r="W1388" t="str">
            <v>SX</v>
          </cell>
          <cell r="X1388" t="str">
            <v>JPY</v>
          </cell>
          <cell r="Y1388">
            <v>11000000</v>
          </cell>
          <cell r="Z1388">
            <v>1</v>
          </cell>
          <cell r="AA1388">
            <v>11000000</v>
          </cell>
          <cell r="AB1388">
            <v>7.4499999999999997E-2</v>
          </cell>
          <cell r="AC1388">
            <v>819500</v>
          </cell>
          <cell r="AD1388">
            <v>98340</v>
          </cell>
          <cell r="AE1388">
            <v>0.12</v>
          </cell>
          <cell r="AF1388">
            <v>44264</v>
          </cell>
          <cell r="AG1388" t="str">
            <v>CIF HK</v>
          </cell>
          <cell r="AK1388">
            <v>0.1</v>
          </cell>
          <cell r="AL1388">
            <v>1100000</v>
          </cell>
          <cell r="AM1388">
            <v>44276</v>
          </cell>
          <cell r="AN1388" t="str">
            <v>Yes</v>
          </cell>
          <cell r="AO1388">
            <v>0.9</v>
          </cell>
          <cell r="AP1388">
            <v>9900000</v>
          </cell>
          <cell r="AQ1388">
            <v>44344</v>
          </cell>
          <cell r="AR1388">
            <v>44344</v>
          </cell>
          <cell r="AS1388">
            <v>0</v>
          </cell>
          <cell r="AT1388">
            <v>0</v>
          </cell>
          <cell r="AX1388" t="str">
            <v>Yes</v>
          </cell>
          <cell r="AZ1388" t="str">
            <v>Yes</v>
          </cell>
          <cell r="BA1388" t="str">
            <v>Yes</v>
          </cell>
        </row>
        <row r="1389">
          <cell r="B1389">
            <v>1239</v>
          </cell>
          <cell r="C1389" t="str">
            <v>C49SZX20210035SX</v>
          </cell>
          <cell r="D1389" t="str">
            <v>巴科</v>
          </cell>
          <cell r="E1389" t="str">
            <v>YSM20R-2</v>
          </cell>
          <cell r="G1389" t="e">
            <v>#REF!</v>
          </cell>
          <cell r="H1389" t="e">
            <v>#REF!</v>
          </cell>
          <cell r="I1389" t="str">
            <v>L-&gt;R</v>
          </cell>
          <cell r="J1389" t="str">
            <v>No</v>
          </cell>
          <cell r="K1389">
            <v>1</v>
          </cell>
          <cell r="L1389">
            <v>110228</v>
          </cell>
          <cell r="M1389" t="str">
            <v>JUN 21</v>
          </cell>
          <cell r="N1389">
            <v>44349</v>
          </cell>
          <cell r="O1389">
            <v>11116604</v>
          </cell>
          <cell r="P1389">
            <v>11000000</v>
          </cell>
          <cell r="Q1389">
            <v>44358</v>
          </cell>
          <cell r="R1389" t="str">
            <v>Yes</v>
          </cell>
          <cell r="S1389" t="str">
            <v>C49</v>
          </cell>
          <cell r="T1389" t="str">
            <v>SOUTH</v>
          </cell>
          <cell r="U1389" t="str">
            <v>深圳</v>
          </cell>
          <cell r="V1389" t="str">
            <v>SZ 深圳</v>
          </cell>
          <cell r="W1389" t="str">
            <v>SX</v>
          </cell>
          <cell r="X1389" t="str">
            <v>JPY</v>
          </cell>
          <cell r="Y1389">
            <v>11000000</v>
          </cell>
          <cell r="Z1389">
            <v>1</v>
          </cell>
          <cell r="AA1389">
            <v>11000000</v>
          </cell>
          <cell r="AB1389">
            <v>7.4499999999999997E-2</v>
          </cell>
          <cell r="AC1389">
            <v>819500</v>
          </cell>
          <cell r="AD1389">
            <v>98340</v>
          </cell>
          <cell r="AE1389">
            <v>0.12</v>
          </cell>
          <cell r="AF1389">
            <v>44264</v>
          </cell>
          <cell r="AG1389" t="str">
            <v>CIF HK</v>
          </cell>
          <cell r="AK1389">
            <v>0.1</v>
          </cell>
          <cell r="AL1389">
            <v>1100000</v>
          </cell>
          <cell r="AM1389">
            <v>44277</v>
          </cell>
          <cell r="AN1389" t="str">
            <v>Yes</v>
          </cell>
          <cell r="AO1389">
            <v>0.9</v>
          </cell>
          <cell r="AP1389">
            <v>9900000</v>
          </cell>
          <cell r="AQ1389">
            <v>44344</v>
          </cell>
          <cell r="AR1389">
            <v>44344</v>
          </cell>
          <cell r="AS1389">
            <v>0</v>
          </cell>
          <cell r="AT1389">
            <v>0</v>
          </cell>
          <cell r="AX1389" t="str">
            <v>Yes</v>
          </cell>
          <cell r="AZ1389" t="str">
            <v>Yes</v>
          </cell>
          <cell r="BA1389" t="str">
            <v>Yes</v>
          </cell>
        </row>
        <row r="1390">
          <cell r="B1390">
            <v>1240</v>
          </cell>
          <cell r="C1390" t="str">
            <v>C49SZX20210035SX</v>
          </cell>
          <cell r="D1390" t="str">
            <v>巴科</v>
          </cell>
          <cell r="E1390" t="str">
            <v>YSM20R-2</v>
          </cell>
          <cell r="G1390" t="e">
            <v>#REF!</v>
          </cell>
          <cell r="H1390" t="e">
            <v>#REF!</v>
          </cell>
          <cell r="I1390" t="str">
            <v>L-&gt;R</v>
          </cell>
          <cell r="J1390" t="str">
            <v>No</v>
          </cell>
          <cell r="K1390">
            <v>1</v>
          </cell>
          <cell r="L1390">
            <v>110228</v>
          </cell>
          <cell r="M1390" t="str">
            <v>JUN 21</v>
          </cell>
          <cell r="N1390">
            <v>44349</v>
          </cell>
          <cell r="O1390">
            <v>11116604</v>
          </cell>
          <cell r="P1390">
            <v>11000000</v>
          </cell>
          <cell r="Q1390">
            <v>44358</v>
          </cell>
          <cell r="R1390" t="str">
            <v>Yes</v>
          </cell>
          <cell r="S1390" t="str">
            <v>C49</v>
          </cell>
          <cell r="T1390" t="str">
            <v>SOUTH</v>
          </cell>
          <cell r="U1390" t="str">
            <v>深圳</v>
          </cell>
          <cell r="V1390" t="str">
            <v>SZ 深圳</v>
          </cell>
          <cell r="W1390" t="str">
            <v>SX</v>
          </cell>
          <cell r="X1390" t="str">
            <v>JPY</v>
          </cell>
          <cell r="Y1390">
            <v>11000000</v>
          </cell>
          <cell r="Z1390">
            <v>1</v>
          </cell>
          <cell r="AA1390">
            <v>11000000</v>
          </cell>
          <cell r="AB1390">
            <v>7.4499999999999997E-2</v>
          </cell>
          <cell r="AC1390">
            <v>819500</v>
          </cell>
          <cell r="AD1390">
            <v>98340</v>
          </cell>
          <cell r="AE1390">
            <v>0.12</v>
          </cell>
          <cell r="AF1390">
            <v>44264</v>
          </cell>
          <cell r="AG1390" t="str">
            <v>CIF HK</v>
          </cell>
          <cell r="AK1390">
            <v>0.1</v>
          </cell>
          <cell r="AL1390">
            <v>1100000</v>
          </cell>
          <cell r="AM1390">
            <v>44278</v>
          </cell>
          <cell r="AN1390" t="str">
            <v>Yes</v>
          </cell>
          <cell r="AO1390">
            <v>0.9</v>
          </cell>
          <cell r="AP1390">
            <v>9900000</v>
          </cell>
          <cell r="AQ1390">
            <v>44344</v>
          </cell>
          <cell r="AR1390">
            <v>44344</v>
          </cell>
          <cell r="AS1390">
            <v>0</v>
          </cell>
          <cell r="AT1390">
            <v>0</v>
          </cell>
          <cell r="AX1390" t="str">
            <v>Yes</v>
          </cell>
          <cell r="AZ1390" t="str">
            <v>Yes</v>
          </cell>
          <cell r="BA1390" t="str">
            <v>Yes</v>
          </cell>
        </row>
        <row r="1391">
          <cell r="B1391">
            <v>1241</v>
          </cell>
          <cell r="C1391" t="str">
            <v>C49SZX20210035SX</v>
          </cell>
          <cell r="D1391" t="str">
            <v>巴科</v>
          </cell>
          <cell r="E1391" t="str">
            <v>YSM20R-2</v>
          </cell>
          <cell r="G1391" t="e">
            <v>#REF!</v>
          </cell>
          <cell r="H1391" t="e">
            <v>#REF!</v>
          </cell>
          <cell r="I1391" t="str">
            <v>L-&gt;R</v>
          </cell>
          <cell r="J1391" t="str">
            <v>No</v>
          </cell>
          <cell r="K1391">
            <v>1</v>
          </cell>
          <cell r="L1391">
            <v>110228</v>
          </cell>
          <cell r="M1391" t="str">
            <v>JUN 21</v>
          </cell>
          <cell r="N1391">
            <v>44349</v>
          </cell>
          <cell r="O1391">
            <v>11116604</v>
          </cell>
          <cell r="P1391">
            <v>11000000</v>
          </cell>
          <cell r="Q1391">
            <v>44358</v>
          </cell>
          <cell r="R1391" t="str">
            <v>Yes</v>
          </cell>
          <cell r="S1391" t="str">
            <v>C49</v>
          </cell>
          <cell r="T1391" t="str">
            <v>SOUTH</v>
          </cell>
          <cell r="U1391" t="str">
            <v>深圳</v>
          </cell>
          <cell r="V1391" t="str">
            <v>SZ 深圳</v>
          </cell>
          <cell r="W1391" t="str">
            <v>SX</v>
          </cell>
          <cell r="X1391" t="str">
            <v>JPY</v>
          </cell>
          <cell r="Y1391">
            <v>11000000</v>
          </cell>
          <cell r="Z1391">
            <v>1</v>
          </cell>
          <cell r="AA1391">
            <v>11000000</v>
          </cell>
          <cell r="AB1391">
            <v>7.4499999999999997E-2</v>
          </cell>
          <cell r="AC1391">
            <v>819500</v>
          </cell>
          <cell r="AD1391">
            <v>98340</v>
          </cell>
          <cell r="AE1391">
            <v>0.12</v>
          </cell>
          <cell r="AF1391">
            <v>44264</v>
          </cell>
          <cell r="AG1391" t="str">
            <v>CIF HK</v>
          </cell>
          <cell r="AK1391">
            <v>0.1</v>
          </cell>
          <cell r="AL1391">
            <v>1100000</v>
          </cell>
          <cell r="AM1391">
            <v>44279</v>
          </cell>
          <cell r="AN1391" t="str">
            <v>Yes</v>
          </cell>
          <cell r="AO1391">
            <v>0.9</v>
          </cell>
          <cell r="AP1391">
            <v>9900000</v>
          </cell>
          <cell r="AQ1391">
            <v>44344</v>
          </cell>
          <cell r="AR1391">
            <v>44344</v>
          </cell>
          <cell r="AS1391">
            <v>0</v>
          </cell>
          <cell r="AT1391">
            <v>0</v>
          </cell>
          <cell r="AX1391" t="str">
            <v>Yes</v>
          </cell>
          <cell r="AZ1391" t="str">
            <v>Yes</v>
          </cell>
          <cell r="BA1391" t="str">
            <v>Yes</v>
          </cell>
        </row>
        <row r="1392">
          <cell r="B1392">
            <v>1242</v>
          </cell>
          <cell r="C1392" t="str">
            <v>C49SZX20210035SX</v>
          </cell>
          <cell r="D1392" t="str">
            <v>巴科</v>
          </cell>
          <cell r="E1392" t="str">
            <v>YSM20R-2</v>
          </cell>
          <cell r="G1392" t="e">
            <v>#REF!</v>
          </cell>
          <cell r="H1392" t="e">
            <v>#REF!</v>
          </cell>
          <cell r="I1392" t="str">
            <v>L-&gt;R</v>
          </cell>
          <cell r="J1392" t="str">
            <v>No</v>
          </cell>
          <cell r="K1392">
            <v>1</v>
          </cell>
          <cell r="L1392">
            <v>110228</v>
          </cell>
          <cell r="M1392" t="str">
            <v>JUN 21</v>
          </cell>
          <cell r="N1392">
            <v>44349</v>
          </cell>
          <cell r="O1392">
            <v>11116604</v>
          </cell>
          <cell r="P1392">
            <v>11000000</v>
          </cell>
          <cell r="Q1392">
            <v>44358</v>
          </cell>
          <cell r="R1392" t="str">
            <v>Yes</v>
          </cell>
          <cell r="S1392" t="str">
            <v>C49</v>
          </cell>
          <cell r="T1392" t="str">
            <v>SOUTH</v>
          </cell>
          <cell r="U1392" t="str">
            <v>深圳</v>
          </cell>
          <cell r="V1392" t="str">
            <v>SZ 深圳</v>
          </cell>
          <cell r="W1392" t="str">
            <v>SX</v>
          </cell>
          <cell r="X1392" t="str">
            <v>JPY</v>
          </cell>
          <cell r="Y1392">
            <v>11000000</v>
          </cell>
          <cell r="Z1392">
            <v>1</v>
          </cell>
          <cell r="AA1392">
            <v>11000000</v>
          </cell>
          <cell r="AB1392">
            <v>7.4499999999999997E-2</v>
          </cell>
          <cell r="AC1392">
            <v>819500</v>
          </cell>
          <cell r="AD1392">
            <v>98340</v>
          </cell>
          <cell r="AE1392">
            <v>0.12</v>
          </cell>
          <cell r="AF1392">
            <v>44264</v>
          </cell>
          <cell r="AG1392" t="str">
            <v>CIF HK</v>
          </cell>
          <cell r="AK1392">
            <v>0.1</v>
          </cell>
          <cell r="AL1392">
            <v>1100000</v>
          </cell>
          <cell r="AM1392">
            <v>44280</v>
          </cell>
          <cell r="AN1392" t="str">
            <v>Yes</v>
          </cell>
          <cell r="AO1392">
            <v>0.9</v>
          </cell>
          <cell r="AP1392">
            <v>9900000</v>
          </cell>
          <cell r="AQ1392">
            <v>44344</v>
          </cell>
          <cell r="AR1392">
            <v>44344</v>
          </cell>
          <cell r="AS1392">
            <v>0</v>
          </cell>
          <cell r="AT1392">
            <v>0</v>
          </cell>
          <cell r="AX1392" t="str">
            <v>Yes</v>
          </cell>
          <cell r="AZ1392" t="str">
            <v>Yes</v>
          </cell>
          <cell r="BA1392" t="str">
            <v>Yes</v>
          </cell>
        </row>
        <row r="1393">
          <cell r="B1393">
            <v>1243</v>
          </cell>
          <cell r="C1393" t="str">
            <v>C49SZX20210035SX</v>
          </cell>
          <cell r="D1393" t="str">
            <v>巴科</v>
          </cell>
          <cell r="E1393" t="str">
            <v>YSM10</v>
          </cell>
          <cell r="G1393" t="e">
            <v>#REF!</v>
          </cell>
          <cell r="H1393" t="e">
            <v>#REF!</v>
          </cell>
          <cell r="I1393" t="str">
            <v>L-&gt;R</v>
          </cell>
          <cell r="J1393" t="str">
            <v>No</v>
          </cell>
          <cell r="K1393">
            <v>1</v>
          </cell>
          <cell r="L1393">
            <v>110248</v>
          </cell>
          <cell r="M1393" t="str">
            <v>JUN 21</v>
          </cell>
          <cell r="N1393">
            <v>44349</v>
          </cell>
          <cell r="O1393">
            <v>11116605</v>
          </cell>
          <cell r="P1393">
            <v>6900000</v>
          </cell>
          <cell r="Q1393">
            <v>44358</v>
          </cell>
          <cell r="R1393" t="str">
            <v>Yes</v>
          </cell>
          <cell r="S1393" t="str">
            <v>C49</v>
          </cell>
          <cell r="T1393" t="str">
            <v>SOUTH</v>
          </cell>
          <cell r="U1393" t="str">
            <v>深圳</v>
          </cell>
          <cell r="V1393" t="str">
            <v>SZ 深圳</v>
          </cell>
          <cell r="W1393" t="str">
            <v>SX</v>
          </cell>
          <cell r="X1393" t="str">
            <v>JPY</v>
          </cell>
          <cell r="Y1393">
            <v>6900000</v>
          </cell>
          <cell r="Z1393">
            <v>1</v>
          </cell>
          <cell r="AA1393">
            <v>6900000</v>
          </cell>
          <cell r="AB1393">
            <v>7.4499999999999997E-2</v>
          </cell>
          <cell r="AC1393">
            <v>514050</v>
          </cell>
          <cell r="AD1393">
            <v>61686</v>
          </cell>
          <cell r="AE1393">
            <v>0.12</v>
          </cell>
          <cell r="AF1393">
            <v>44264</v>
          </cell>
          <cell r="AG1393" t="str">
            <v>CIF HK</v>
          </cell>
          <cell r="AK1393">
            <v>0.1</v>
          </cell>
          <cell r="AL1393">
            <v>690000</v>
          </cell>
          <cell r="AM1393">
            <v>44281</v>
          </cell>
          <cell r="AN1393" t="str">
            <v>Yes</v>
          </cell>
          <cell r="AO1393">
            <v>0.9</v>
          </cell>
          <cell r="AP1393">
            <v>6210000</v>
          </cell>
          <cell r="AQ1393">
            <v>44344</v>
          </cell>
          <cell r="AR1393">
            <v>44344</v>
          </cell>
          <cell r="AS1393">
            <v>0</v>
          </cell>
          <cell r="AT1393">
            <v>0</v>
          </cell>
          <cell r="AX1393" t="str">
            <v>Yes</v>
          </cell>
          <cell r="AZ1393" t="str">
            <v>Yes</v>
          </cell>
          <cell r="BA1393" t="str">
            <v>Yes</v>
          </cell>
        </row>
        <row r="1394">
          <cell r="B1394">
            <v>1244</v>
          </cell>
          <cell r="C1394" t="str">
            <v>C49SZX20210035SX</v>
          </cell>
          <cell r="D1394" t="str">
            <v>巴科</v>
          </cell>
          <cell r="E1394" t="str">
            <v>YSM10</v>
          </cell>
          <cell r="G1394" t="e">
            <v>#REF!</v>
          </cell>
          <cell r="H1394" t="e">
            <v>#REF!</v>
          </cell>
          <cell r="I1394" t="str">
            <v>L-&gt;R</v>
          </cell>
          <cell r="J1394" t="str">
            <v>No</v>
          </cell>
          <cell r="K1394">
            <v>1</v>
          </cell>
          <cell r="L1394">
            <v>110248</v>
          </cell>
          <cell r="M1394" t="str">
            <v>JUN 21</v>
          </cell>
          <cell r="N1394">
            <v>44349</v>
          </cell>
          <cell r="O1394">
            <v>11116604</v>
          </cell>
          <cell r="P1394">
            <v>6900000</v>
          </cell>
          <cell r="Q1394">
            <v>44358</v>
          </cell>
          <cell r="R1394" t="str">
            <v>Yes</v>
          </cell>
          <cell r="S1394" t="str">
            <v>C49</v>
          </cell>
          <cell r="T1394" t="str">
            <v>SOUTH</v>
          </cell>
          <cell r="U1394" t="str">
            <v>深圳</v>
          </cell>
          <cell r="V1394" t="str">
            <v>SZ 深圳</v>
          </cell>
          <cell r="W1394" t="str">
            <v>SX</v>
          </cell>
          <cell r="X1394" t="str">
            <v>JPY</v>
          </cell>
          <cell r="Y1394">
            <v>6900000</v>
          </cell>
          <cell r="Z1394">
            <v>1</v>
          </cell>
          <cell r="AA1394">
            <v>6900000</v>
          </cell>
          <cell r="AB1394">
            <v>7.4499999999999997E-2</v>
          </cell>
          <cell r="AC1394">
            <v>514050</v>
          </cell>
          <cell r="AD1394">
            <v>61686</v>
          </cell>
          <cell r="AE1394">
            <v>0.12</v>
          </cell>
          <cell r="AF1394">
            <v>44264</v>
          </cell>
          <cell r="AG1394" t="str">
            <v>CIF HK</v>
          </cell>
          <cell r="AK1394">
            <v>0.1</v>
          </cell>
          <cell r="AL1394">
            <v>690000</v>
          </cell>
          <cell r="AM1394">
            <v>44282</v>
          </cell>
          <cell r="AN1394" t="str">
            <v>Yes</v>
          </cell>
          <cell r="AO1394">
            <v>0.9</v>
          </cell>
          <cell r="AP1394">
            <v>6210000</v>
          </cell>
          <cell r="AQ1394">
            <v>44344</v>
          </cell>
          <cell r="AR1394">
            <v>44344</v>
          </cell>
          <cell r="AS1394">
            <v>0</v>
          </cell>
          <cell r="AT1394">
            <v>0</v>
          </cell>
          <cell r="AX1394" t="str">
            <v>Yes</v>
          </cell>
          <cell r="AZ1394" t="str">
            <v>Yes</v>
          </cell>
          <cell r="BA1394" t="str">
            <v>Yes</v>
          </cell>
        </row>
        <row r="1395">
          <cell r="B1395">
            <v>1245</v>
          </cell>
          <cell r="C1395" t="str">
            <v>C49SZX20210035SX</v>
          </cell>
          <cell r="D1395" t="str">
            <v>巴科</v>
          </cell>
          <cell r="E1395" t="str">
            <v>YSM10</v>
          </cell>
          <cell r="G1395" t="e">
            <v>#REF!</v>
          </cell>
          <cell r="H1395" t="e">
            <v>#REF!</v>
          </cell>
          <cell r="I1395" t="str">
            <v>L-&gt;R</v>
          </cell>
          <cell r="J1395" t="str">
            <v>No</v>
          </cell>
          <cell r="K1395">
            <v>1</v>
          </cell>
          <cell r="L1395">
            <v>110248</v>
          </cell>
          <cell r="M1395" t="str">
            <v>JUN 21</v>
          </cell>
          <cell r="N1395">
            <v>44349</v>
          </cell>
          <cell r="O1395">
            <v>11116604</v>
          </cell>
          <cell r="P1395">
            <v>6900000</v>
          </cell>
          <cell r="Q1395">
            <v>44358</v>
          </cell>
          <cell r="R1395" t="str">
            <v>Yes</v>
          </cell>
          <cell r="S1395" t="str">
            <v>C49</v>
          </cell>
          <cell r="T1395" t="str">
            <v>SOUTH</v>
          </cell>
          <cell r="U1395" t="str">
            <v>深圳</v>
          </cell>
          <cell r="V1395" t="str">
            <v>SZ 深圳</v>
          </cell>
          <cell r="W1395" t="str">
            <v>SX</v>
          </cell>
          <cell r="X1395" t="str">
            <v>JPY</v>
          </cell>
          <cell r="Y1395">
            <v>6900000</v>
          </cell>
          <cell r="Z1395">
            <v>1</v>
          </cell>
          <cell r="AA1395">
            <v>6900000</v>
          </cell>
          <cell r="AB1395">
            <v>7.4499999999999997E-2</v>
          </cell>
          <cell r="AC1395">
            <v>514050</v>
          </cell>
          <cell r="AD1395">
            <v>61686</v>
          </cell>
          <cell r="AE1395">
            <v>0.12</v>
          </cell>
          <cell r="AF1395">
            <v>44264</v>
          </cell>
          <cell r="AG1395" t="str">
            <v>CIF HK</v>
          </cell>
          <cell r="AK1395">
            <v>0.1</v>
          </cell>
          <cell r="AL1395">
            <v>690000</v>
          </cell>
          <cell r="AM1395">
            <v>44283</v>
          </cell>
          <cell r="AN1395" t="str">
            <v>Yes</v>
          </cell>
          <cell r="AO1395">
            <v>0.9</v>
          </cell>
          <cell r="AP1395">
            <v>6210000</v>
          </cell>
          <cell r="AQ1395">
            <v>44344</v>
          </cell>
          <cell r="AR1395">
            <v>44344</v>
          </cell>
          <cell r="AS1395">
            <v>0</v>
          </cell>
          <cell r="AT1395">
            <v>0</v>
          </cell>
          <cell r="AX1395" t="str">
            <v>Yes</v>
          </cell>
          <cell r="AZ1395" t="str">
            <v>Yes</v>
          </cell>
          <cell r="BA1395" t="str">
            <v>Yes</v>
          </cell>
        </row>
        <row r="1396">
          <cell r="B1396">
            <v>1246</v>
          </cell>
          <cell r="C1396" t="str">
            <v>C49SZX20210073AY</v>
          </cell>
          <cell r="D1396" t="str">
            <v>铣米</v>
          </cell>
          <cell r="E1396" t="str">
            <v>YSM10</v>
          </cell>
          <cell r="G1396" t="e">
            <v>#REF!</v>
          </cell>
          <cell r="H1396" t="e">
            <v>#REF!</v>
          </cell>
          <cell r="I1396" t="str">
            <v>L-&gt;R</v>
          </cell>
          <cell r="J1396" t="str">
            <v>MVC</v>
          </cell>
          <cell r="K1396">
            <v>1</v>
          </cell>
          <cell r="L1396">
            <v>110581</v>
          </cell>
          <cell r="M1396" t="str">
            <v>NOV 21</v>
          </cell>
          <cell r="N1396">
            <v>44510</v>
          </cell>
          <cell r="O1396">
            <v>11116660</v>
          </cell>
          <cell r="P1396">
            <v>10100000</v>
          </cell>
          <cell r="Q1396">
            <v>44518</v>
          </cell>
          <cell r="R1396" t="str">
            <v>Yes</v>
          </cell>
          <cell r="S1396" t="str">
            <v>C49</v>
          </cell>
          <cell r="T1396" t="str">
            <v>SOUTH</v>
          </cell>
          <cell r="U1396" t="str">
            <v>深圳</v>
          </cell>
          <cell r="V1396" t="str">
            <v>SZ 深圳</v>
          </cell>
          <cell r="W1396" t="str">
            <v>AY</v>
          </cell>
          <cell r="X1396" t="str">
            <v>JPY</v>
          </cell>
          <cell r="Y1396">
            <v>10100000</v>
          </cell>
          <cell r="Z1396">
            <v>1</v>
          </cell>
          <cell r="AA1396">
            <v>10100000</v>
          </cell>
          <cell r="AB1396">
            <v>7.4499999999999997E-2</v>
          </cell>
          <cell r="AC1396">
            <v>752450</v>
          </cell>
          <cell r="AD1396">
            <v>90294</v>
          </cell>
          <cell r="AE1396">
            <v>0.12</v>
          </cell>
          <cell r="AF1396">
            <v>44265</v>
          </cell>
          <cell r="AG1396" t="str">
            <v>DAP SZ</v>
          </cell>
          <cell r="AK1396">
            <v>0.1</v>
          </cell>
          <cell r="AL1396">
            <v>1010000</v>
          </cell>
          <cell r="AM1396">
            <v>44273</v>
          </cell>
          <cell r="AN1396" t="str">
            <v>Yes</v>
          </cell>
          <cell r="AO1396">
            <v>0.9</v>
          </cell>
          <cell r="AP1396">
            <v>9090000</v>
          </cell>
          <cell r="AQ1396">
            <v>44344</v>
          </cell>
          <cell r="AR1396" t="str">
            <v xml:space="preserve"> 2021-7-26</v>
          </cell>
          <cell r="AS1396">
            <v>0.2</v>
          </cell>
          <cell r="AT1396">
            <v>2020000</v>
          </cell>
          <cell r="AU1396">
            <v>44434</v>
          </cell>
          <cell r="AV1396">
            <v>44434</v>
          </cell>
          <cell r="AX1396" t="str">
            <v>Yes</v>
          </cell>
          <cell r="AZ1396" t="str">
            <v>Yes</v>
          </cell>
          <cell r="BA1396" t="str">
            <v>Yes</v>
          </cell>
        </row>
        <row r="1397">
          <cell r="B1397">
            <v>1247</v>
          </cell>
          <cell r="C1397" t="str">
            <v>C49SZX20210061SX</v>
          </cell>
          <cell r="D1397" t="str">
            <v>嘉普达</v>
          </cell>
          <cell r="E1397" t="str">
            <v>YSM20R-2</v>
          </cell>
          <cell r="F1397" t="str">
            <v>#04895</v>
          </cell>
          <cell r="G1397" t="e">
            <v>#REF!</v>
          </cell>
          <cell r="H1397" t="e">
            <v>#REF!</v>
          </cell>
          <cell r="I1397" t="str">
            <v>L-&gt;R</v>
          </cell>
          <cell r="J1397" t="str">
            <v>cATS10+MVC+special layout</v>
          </cell>
          <cell r="K1397">
            <v>1</v>
          </cell>
          <cell r="L1397">
            <v>110479</v>
          </cell>
          <cell r="M1397" t="str">
            <v>JUL 21</v>
          </cell>
          <cell r="N1397">
            <v>44382</v>
          </cell>
          <cell r="O1397">
            <v>11116622</v>
          </cell>
          <cell r="P1397">
            <v>13887500</v>
          </cell>
          <cell r="Q1397">
            <v>44386</v>
          </cell>
          <cell r="R1397" t="str">
            <v>No</v>
          </cell>
          <cell r="S1397" t="str">
            <v>C49</v>
          </cell>
          <cell r="T1397" t="str">
            <v>SOUTH</v>
          </cell>
          <cell r="U1397" t="str">
            <v>深圳</v>
          </cell>
          <cell r="V1397" t="str">
            <v>SZ 深圳</v>
          </cell>
          <cell r="W1397" t="str">
            <v>SX</v>
          </cell>
          <cell r="X1397" t="str">
            <v>JPY</v>
          </cell>
          <cell r="Y1397">
            <v>13887500</v>
          </cell>
          <cell r="Z1397">
            <v>1</v>
          </cell>
          <cell r="AA1397">
            <v>13887500</v>
          </cell>
          <cell r="AB1397">
            <v>7.4499999999999997E-2</v>
          </cell>
          <cell r="AC1397">
            <v>1034618.75</v>
          </cell>
          <cell r="AD1397">
            <v>124154.25</v>
          </cell>
          <cell r="AE1397">
            <v>0.12</v>
          </cell>
          <cell r="AF1397">
            <v>44265</v>
          </cell>
          <cell r="AG1397" t="str">
            <v>DAP SZ</v>
          </cell>
          <cell r="AK1397">
            <v>0.1</v>
          </cell>
          <cell r="AL1397">
            <v>1388750</v>
          </cell>
          <cell r="AM1397">
            <v>44274</v>
          </cell>
          <cell r="AN1397" t="str">
            <v>Yes</v>
          </cell>
          <cell r="AO1397">
            <v>0.9</v>
          </cell>
          <cell r="AP1397">
            <v>12498750</v>
          </cell>
          <cell r="AQ1397">
            <v>44344</v>
          </cell>
          <cell r="AR1397">
            <v>44344</v>
          </cell>
          <cell r="AS1397">
            <v>0</v>
          </cell>
          <cell r="AT1397">
            <v>0</v>
          </cell>
          <cell r="AX1397" t="str">
            <v>Yes</v>
          </cell>
          <cell r="AZ1397" t="str">
            <v>Yes</v>
          </cell>
          <cell r="BA1397" t="str">
            <v>Yes</v>
          </cell>
        </row>
        <row r="1398">
          <cell r="B1398">
            <v>1248</v>
          </cell>
          <cell r="C1398" t="str">
            <v>C49SZX20210072SS</v>
          </cell>
          <cell r="D1398" t="str">
            <v>祥弘瑞</v>
          </cell>
          <cell r="E1398" t="str">
            <v>YSM10</v>
          </cell>
          <cell r="F1398" t="str">
            <v>#81705</v>
          </cell>
          <cell r="G1398" t="e">
            <v>#REF!</v>
          </cell>
          <cell r="H1398" t="e">
            <v>#REF!</v>
          </cell>
          <cell r="I1398" t="str">
            <v>L-&gt;R</v>
          </cell>
          <cell r="J1398" t="str">
            <v>MVC</v>
          </cell>
          <cell r="K1398">
            <v>1</v>
          </cell>
          <cell r="L1398">
            <v>110692</v>
          </cell>
          <cell r="M1398" t="str">
            <v>FEB 22</v>
          </cell>
          <cell r="O1398">
            <v>11116706</v>
          </cell>
          <cell r="P1398">
            <v>7300000</v>
          </cell>
          <cell r="Q1398">
            <v>44620</v>
          </cell>
          <cell r="R1398" t="str">
            <v>No</v>
          </cell>
          <cell r="S1398" t="str">
            <v>C49</v>
          </cell>
          <cell r="T1398" t="str">
            <v>SOUTH</v>
          </cell>
          <cell r="U1398" t="str">
            <v>深圳</v>
          </cell>
          <cell r="V1398" t="str">
            <v>SZ 深圳</v>
          </cell>
          <cell r="W1398" t="str">
            <v>SS</v>
          </cell>
          <cell r="X1398" t="str">
            <v>JPY</v>
          </cell>
          <cell r="Y1398">
            <v>7300000</v>
          </cell>
          <cell r="Z1398">
            <v>1</v>
          </cell>
          <cell r="AA1398">
            <v>7300000</v>
          </cell>
          <cell r="AB1398">
            <v>7.4499999999999997E-2</v>
          </cell>
          <cell r="AC1398">
            <v>543850</v>
          </cell>
          <cell r="AD1398">
            <v>65262</v>
          </cell>
          <cell r="AE1398">
            <v>0.12</v>
          </cell>
          <cell r="AF1398">
            <v>44266</v>
          </cell>
          <cell r="AG1398" t="str">
            <v>DAP SZ</v>
          </cell>
          <cell r="AK1398">
            <v>0.1</v>
          </cell>
          <cell r="AL1398">
            <v>730000</v>
          </cell>
          <cell r="AM1398">
            <v>44277</v>
          </cell>
          <cell r="AN1398" t="str">
            <v>Yes</v>
          </cell>
          <cell r="AO1398">
            <v>0.9</v>
          </cell>
          <cell r="AP1398">
            <v>6570000</v>
          </cell>
          <cell r="AQ1398">
            <v>44344</v>
          </cell>
          <cell r="AR1398">
            <v>44344</v>
          </cell>
          <cell r="AS1398">
            <v>0</v>
          </cell>
          <cell r="AT1398">
            <v>0</v>
          </cell>
          <cell r="AX1398" t="str">
            <v>Yes</v>
          </cell>
        </row>
        <row r="1399">
          <cell r="B1399">
            <v>1249</v>
          </cell>
          <cell r="C1399" t="str">
            <v>C49SZX20210071SS</v>
          </cell>
          <cell r="D1399" t="str">
            <v>泓凯</v>
          </cell>
          <cell r="E1399" t="str">
            <v>YSM20R-2</v>
          </cell>
          <cell r="G1399" t="e">
            <v>#REF!</v>
          </cell>
          <cell r="H1399" t="e">
            <v>#REF!</v>
          </cell>
          <cell r="I1399" t="str">
            <v>L-&gt;R</v>
          </cell>
          <cell r="J1399" t="str">
            <v>No</v>
          </cell>
          <cell r="K1399">
            <v>1</v>
          </cell>
          <cell r="L1399">
            <v>110452</v>
          </cell>
          <cell r="M1399" t="str">
            <v>JUL 21</v>
          </cell>
          <cell r="N1399">
            <v>44400</v>
          </cell>
          <cell r="O1399">
            <v>11116628</v>
          </cell>
          <cell r="P1399">
            <v>14000000</v>
          </cell>
          <cell r="Q1399">
            <v>44404</v>
          </cell>
          <cell r="R1399" t="str">
            <v>Yes</v>
          </cell>
          <cell r="S1399" t="str">
            <v>C49</v>
          </cell>
          <cell r="T1399" t="str">
            <v>SOUTH</v>
          </cell>
          <cell r="U1399" t="str">
            <v>深圳</v>
          </cell>
          <cell r="V1399" t="str">
            <v>SZ 深圳</v>
          </cell>
          <cell r="W1399" t="str">
            <v>SS</v>
          </cell>
          <cell r="X1399" t="str">
            <v>JPY</v>
          </cell>
          <cell r="Y1399">
            <v>14000000</v>
          </cell>
          <cell r="Z1399">
            <v>1</v>
          </cell>
          <cell r="AA1399">
            <v>14000000</v>
          </cell>
          <cell r="AB1399">
            <v>7.4499999999999997E-2</v>
          </cell>
          <cell r="AC1399">
            <v>1043000</v>
          </cell>
          <cell r="AD1399">
            <v>125160</v>
          </cell>
          <cell r="AE1399">
            <v>0.12</v>
          </cell>
          <cell r="AF1399">
            <v>44261</v>
          </cell>
          <cell r="AG1399" t="str">
            <v>DAP SZ</v>
          </cell>
          <cell r="AK1399">
            <v>0.3</v>
          </cell>
          <cell r="AL1399">
            <v>4200000</v>
          </cell>
          <cell r="AM1399">
            <v>44278</v>
          </cell>
          <cell r="AN1399" t="str">
            <v>Yes</v>
          </cell>
          <cell r="AO1399">
            <v>0.7</v>
          </cell>
          <cell r="AP1399">
            <v>9800000</v>
          </cell>
          <cell r="AQ1399">
            <v>44396</v>
          </cell>
          <cell r="AR1399">
            <v>44396</v>
          </cell>
          <cell r="AS1399">
            <v>0</v>
          </cell>
          <cell r="AT1399">
            <v>0</v>
          </cell>
          <cell r="AX1399" t="str">
            <v>Yes</v>
          </cell>
        </row>
        <row r="1400">
          <cell r="B1400">
            <v>1250</v>
          </cell>
          <cell r="C1400" t="str">
            <v>C49SZX20210071SS</v>
          </cell>
          <cell r="D1400" t="str">
            <v>泓凯</v>
          </cell>
          <cell r="E1400" t="str">
            <v>YSM10</v>
          </cell>
          <cell r="G1400" t="e">
            <v>#REF!</v>
          </cell>
          <cell r="H1400" t="e">
            <v>#REF!</v>
          </cell>
          <cell r="I1400" t="str">
            <v>L-&gt;R</v>
          </cell>
          <cell r="J1400" t="str">
            <v>MVC</v>
          </cell>
          <cell r="K1400">
            <v>1</v>
          </cell>
          <cell r="L1400">
            <v>110550</v>
          </cell>
          <cell r="M1400" t="str">
            <v>JUL 21</v>
          </cell>
          <cell r="N1400">
            <v>44400</v>
          </cell>
          <cell r="O1400">
            <v>11116628</v>
          </cell>
          <cell r="P1400">
            <v>9560000</v>
          </cell>
          <cell r="Q1400">
            <v>44404</v>
          </cell>
          <cell r="R1400" t="str">
            <v>Yes</v>
          </cell>
          <cell r="S1400" t="str">
            <v>C49</v>
          </cell>
          <cell r="T1400" t="str">
            <v>SOUTH</v>
          </cell>
          <cell r="U1400" t="str">
            <v>深圳</v>
          </cell>
          <cell r="V1400" t="str">
            <v>SZ 深圳</v>
          </cell>
          <cell r="W1400" t="str">
            <v>SS</v>
          </cell>
          <cell r="X1400" t="str">
            <v>JPY</v>
          </cell>
          <cell r="Y1400">
            <v>9560000</v>
          </cell>
          <cell r="Z1400">
            <v>1</v>
          </cell>
          <cell r="AA1400">
            <v>9560000</v>
          </cell>
          <cell r="AB1400">
            <v>7.4499999999999997E-2</v>
          </cell>
          <cell r="AC1400">
            <v>712220</v>
          </cell>
          <cell r="AD1400">
            <v>85466.4</v>
          </cell>
          <cell r="AE1400">
            <v>0.12</v>
          </cell>
          <cell r="AF1400">
            <v>44261</v>
          </cell>
          <cell r="AG1400" t="str">
            <v>DAP SZ</v>
          </cell>
          <cell r="AK1400">
            <v>0.3</v>
          </cell>
          <cell r="AL1400">
            <v>2868000</v>
          </cell>
          <cell r="AM1400">
            <v>44278</v>
          </cell>
          <cell r="AN1400" t="str">
            <v>Yes</v>
          </cell>
          <cell r="AO1400">
            <v>0.7</v>
          </cell>
          <cell r="AP1400">
            <v>6692000</v>
          </cell>
          <cell r="AQ1400">
            <v>44396</v>
          </cell>
          <cell r="AR1400">
            <v>44396</v>
          </cell>
          <cell r="AS1400">
            <v>0</v>
          </cell>
          <cell r="AT1400">
            <v>0</v>
          </cell>
          <cell r="AX1400" t="str">
            <v>Yes</v>
          </cell>
        </row>
        <row r="1401">
          <cell r="B1401">
            <v>1251</v>
          </cell>
          <cell r="C1401" t="str">
            <v>C49SZX20210080SX</v>
          </cell>
          <cell r="D1401" t="str">
            <v>美柏</v>
          </cell>
          <cell r="E1401" t="str">
            <v>YSM20R-2</v>
          </cell>
          <cell r="F1401"/>
          <cell r="G1401" t="e">
            <v>#REF!</v>
          </cell>
          <cell r="H1401" t="e">
            <v>#REF!</v>
          </cell>
          <cell r="I1401" t="str">
            <v>R-&gt;L</v>
          </cell>
          <cell r="J1401" t="str">
            <v>No</v>
          </cell>
          <cell r="K1401">
            <v>1</v>
          </cell>
          <cell r="L1401" t="e">
            <v>#N/A</v>
          </cell>
          <cell r="M1401" t="e">
            <v>#N/A</v>
          </cell>
          <cell r="N1401"/>
          <cell r="O1401"/>
          <cell r="P1401"/>
          <cell r="Q1401"/>
          <cell r="R1401" t="str">
            <v>Yes</v>
          </cell>
          <cell r="S1401" t="str">
            <v>C49</v>
          </cell>
          <cell r="T1401" t="str">
            <v>SOUTH</v>
          </cell>
          <cell r="U1401" t="str">
            <v>深圳</v>
          </cell>
          <cell r="V1401" t="str">
            <v>SZ 深圳</v>
          </cell>
          <cell r="W1401" t="str">
            <v>SX</v>
          </cell>
          <cell r="X1401" t="str">
            <v>JPY</v>
          </cell>
          <cell r="Y1401">
            <v>11500000</v>
          </cell>
          <cell r="Z1401">
            <v>1</v>
          </cell>
          <cell r="AA1401">
            <v>11500000</v>
          </cell>
          <cell r="AB1401">
            <v>7.4499999999999997E-2</v>
          </cell>
          <cell r="AC1401">
            <v>856750</v>
          </cell>
          <cell r="AD1401">
            <v>102810</v>
          </cell>
          <cell r="AE1401">
            <v>0.12</v>
          </cell>
          <cell r="AF1401">
            <v>44266</v>
          </cell>
          <cell r="AG1401" t="str">
            <v>DAP SZ</v>
          </cell>
          <cell r="AH1401"/>
          <cell r="AI1401"/>
          <cell r="AJ1401"/>
          <cell r="AK1401">
            <v>0.1</v>
          </cell>
          <cell r="AL1401">
            <v>1150000</v>
          </cell>
          <cell r="AM1401"/>
          <cell r="AN1401" t="str">
            <v>No</v>
          </cell>
          <cell r="AO1401">
            <v>0.9</v>
          </cell>
          <cell r="AP1401">
            <v>10350000</v>
          </cell>
          <cell r="AQ1401"/>
          <cell r="AR1401"/>
          <cell r="AS1401">
            <v>0</v>
          </cell>
          <cell r="AT1401">
            <v>0</v>
          </cell>
          <cell r="AU1401"/>
          <cell r="AV1401"/>
          <cell r="AW1401"/>
          <cell r="AX1401" t="str">
            <v>Cancel</v>
          </cell>
          <cell r="AY1401"/>
          <cell r="AZ1401"/>
          <cell r="BA1401" t="str">
            <v>Cancel</v>
          </cell>
          <cell r="BB1401" t="str">
            <v>2023-3-31Ken邮件通知</v>
          </cell>
        </row>
        <row r="1402">
          <cell r="B1402">
            <v>1252</v>
          </cell>
          <cell r="C1402" t="str">
            <v>C49SZX20210076JZ</v>
          </cell>
          <cell r="D1402" t="str">
            <v>圣亨</v>
          </cell>
          <cell r="E1402" t="str">
            <v>YSM20R-2</v>
          </cell>
          <cell r="F1402" t="str">
            <v>#03596</v>
          </cell>
          <cell r="G1402" t="e">
            <v>#REF!</v>
          </cell>
          <cell r="H1402" t="e">
            <v>#REF!</v>
          </cell>
          <cell r="I1402" t="str">
            <v>L-&gt;R</v>
          </cell>
          <cell r="J1402" t="str">
            <v>No</v>
          </cell>
          <cell r="K1402">
            <v>1</v>
          </cell>
          <cell r="L1402">
            <v>110245</v>
          </cell>
          <cell r="M1402" t="str">
            <v>MAY 21</v>
          </cell>
          <cell r="N1402">
            <v>44337</v>
          </cell>
          <cell r="O1402">
            <v>11116582</v>
          </cell>
          <cell r="P1402">
            <v>13250000</v>
          </cell>
          <cell r="Q1402">
            <v>44343</v>
          </cell>
          <cell r="R1402" t="str">
            <v>No</v>
          </cell>
          <cell r="S1402" t="str">
            <v>C49</v>
          </cell>
          <cell r="T1402" t="str">
            <v>SOUTH</v>
          </cell>
          <cell r="U1402" t="str">
            <v>深圳</v>
          </cell>
          <cell r="V1402" t="str">
            <v>SZ 深圳</v>
          </cell>
          <cell r="W1402" t="str">
            <v>JZ</v>
          </cell>
          <cell r="X1402" t="str">
            <v>JPY</v>
          </cell>
          <cell r="Y1402">
            <v>13250000</v>
          </cell>
          <cell r="Z1402">
            <v>1</v>
          </cell>
          <cell r="AA1402">
            <v>13250000</v>
          </cell>
          <cell r="AB1402">
            <v>7.4499999999999997E-2</v>
          </cell>
          <cell r="AC1402">
            <v>987125</v>
          </cell>
          <cell r="AD1402">
            <v>118455</v>
          </cell>
          <cell r="AE1402">
            <v>0.12</v>
          </cell>
          <cell r="AF1402">
            <v>44266</v>
          </cell>
          <cell r="AG1402" t="str">
            <v>DAP DG</v>
          </cell>
          <cell r="AK1402" t="str">
            <v xml:space="preserve">agree </v>
          </cell>
          <cell r="AL1402">
            <v>1600000</v>
          </cell>
          <cell r="AM1402">
            <v>44277</v>
          </cell>
          <cell r="AN1402" t="str">
            <v>Yes</v>
          </cell>
          <cell r="AO1402">
            <v>0.95</v>
          </cell>
          <cell r="AP1402">
            <v>12587500</v>
          </cell>
          <cell r="AQ1402">
            <v>44333</v>
          </cell>
          <cell r="AR1402">
            <v>44333</v>
          </cell>
          <cell r="AS1402">
            <v>0</v>
          </cell>
          <cell r="AT1402">
            <v>0</v>
          </cell>
          <cell r="AX1402" t="str">
            <v>Yes</v>
          </cell>
          <cell r="AZ1402" t="str">
            <v>Y</v>
          </cell>
          <cell r="BA1402" t="str">
            <v>Yes</v>
          </cell>
        </row>
        <row r="1403">
          <cell r="B1403">
            <v>1253</v>
          </cell>
          <cell r="C1403" t="str">
            <v>C49SZX20210076JZ</v>
          </cell>
          <cell r="D1403" t="str">
            <v>圣亨</v>
          </cell>
          <cell r="E1403" t="str">
            <v>YSM20R-2</v>
          </cell>
          <cell r="F1403" t="str">
            <v>#03596</v>
          </cell>
          <cell r="G1403" t="e">
            <v>#REF!</v>
          </cell>
          <cell r="H1403" t="e">
            <v>#REF!</v>
          </cell>
          <cell r="I1403" t="str">
            <v>L-&gt;R</v>
          </cell>
          <cell r="J1403" t="str">
            <v>No</v>
          </cell>
          <cell r="K1403">
            <v>1</v>
          </cell>
          <cell r="L1403">
            <v>110346</v>
          </cell>
          <cell r="M1403" t="str">
            <v>MAY 21</v>
          </cell>
          <cell r="N1403">
            <v>44337</v>
          </cell>
          <cell r="O1403">
            <v>11116582</v>
          </cell>
          <cell r="P1403">
            <v>13250000</v>
          </cell>
          <cell r="Q1403">
            <v>44343</v>
          </cell>
          <cell r="R1403" t="str">
            <v>No</v>
          </cell>
          <cell r="S1403" t="str">
            <v>C49</v>
          </cell>
          <cell r="T1403" t="str">
            <v>SOUTH</v>
          </cell>
          <cell r="U1403" t="str">
            <v>深圳</v>
          </cell>
          <cell r="V1403" t="str">
            <v>SZ 深圳</v>
          </cell>
          <cell r="W1403" t="str">
            <v>JZ</v>
          </cell>
          <cell r="X1403" t="str">
            <v>JPY</v>
          </cell>
          <cell r="Y1403">
            <v>13250000</v>
          </cell>
          <cell r="Z1403">
            <v>1</v>
          </cell>
          <cell r="AA1403">
            <v>13250000</v>
          </cell>
          <cell r="AB1403">
            <v>7.4499999999999997E-2</v>
          </cell>
          <cell r="AC1403">
            <v>987125</v>
          </cell>
          <cell r="AD1403">
            <v>118455</v>
          </cell>
          <cell r="AE1403">
            <v>0.12</v>
          </cell>
          <cell r="AF1403">
            <v>44266</v>
          </cell>
          <cell r="AG1403" t="str">
            <v>DAP DG</v>
          </cell>
          <cell r="AK1403"/>
          <cell r="AL1403"/>
          <cell r="AM1403">
            <v>44277</v>
          </cell>
          <cell r="AN1403" t="str">
            <v>Yes</v>
          </cell>
          <cell r="AO1403">
            <v>0.95</v>
          </cell>
          <cell r="AP1403">
            <v>12587500</v>
          </cell>
          <cell r="AQ1403">
            <v>44333</v>
          </cell>
          <cell r="AR1403">
            <v>44333</v>
          </cell>
          <cell r="AS1403">
            <v>0</v>
          </cell>
          <cell r="AT1403">
            <v>0</v>
          </cell>
          <cell r="AX1403" t="str">
            <v>Yes</v>
          </cell>
          <cell r="AZ1403" t="str">
            <v>Y</v>
          </cell>
          <cell r="BA1403" t="str">
            <v>Yes</v>
          </cell>
        </row>
        <row r="1404">
          <cell r="B1404">
            <v>1254</v>
          </cell>
          <cell r="C1404" t="str">
            <v>C49SZX20210090EC</v>
          </cell>
          <cell r="D1404" t="str">
            <v>景思</v>
          </cell>
          <cell r="E1404" t="str">
            <v>YSM10</v>
          </cell>
          <cell r="G1404" t="e">
            <v>#REF!</v>
          </cell>
          <cell r="H1404" t="e">
            <v>#REF!</v>
          </cell>
          <cell r="I1404" t="str">
            <v>L-&gt;R</v>
          </cell>
          <cell r="J1404" t="str">
            <v>MVC</v>
          </cell>
          <cell r="K1404">
            <v>1</v>
          </cell>
          <cell r="L1404">
            <v>110172</v>
          </cell>
          <cell r="M1404" t="str">
            <v>MAR 21</v>
          </cell>
          <cell r="N1404">
            <v>44285</v>
          </cell>
          <cell r="O1404">
            <v>11116547</v>
          </cell>
          <cell r="P1404">
            <v>7000000</v>
          </cell>
          <cell r="Q1404">
            <v>44285</v>
          </cell>
          <cell r="R1404" t="str">
            <v>Yes</v>
          </cell>
          <cell r="S1404" t="str">
            <v>C49</v>
          </cell>
          <cell r="T1404" t="str">
            <v>SOUTH</v>
          </cell>
          <cell r="U1404" t="str">
            <v>深圳</v>
          </cell>
          <cell r="V1404" t="str">
            <v>SZ 深圳</v>
          </cell>
          <cell r="W1404" t="str">
            <v>EC</v>
          </cell>
          <cell r="X1404" t="str">
            <v>JPY</v>
          </cell>
          <cell r="Y1404">
            <v>7000000</v>
          </cell>
          <cell r="Z1404">
            <v>1</v>
          </cell>
          <cell r="AA1404">
            <v>7000000</v>
          </cell>
          <cell r="AB1404">
            <v>7.4499999999999997E-2</v>
          </cell>
          <cell r="AC1404">
            <v>521500</v>
          </cell>
          <cell r="AD1404">
            <v>62580</v>
          </cell>
          <cell r="AE1404">
            <v>0.12</v>
          </cell>
          <cell r="AF1404">
            <v>44270</v>
          </cell>
          <cell r="AG1404" t="str">
            <v>DAP SZ</v>
          </cell>
          <cell r="AK1404">
            <v>0.1</v>
          </cell>
          <cell r="AL1404">
            <v>700000</v>
          </cell>
          <cell r="AM1404">
            <v>44272</v>
          </cell>
          <cell r="AN1404" t="str">
            <v>Yes</v>
          </cell>
          <cell r="AO1404">
            <v>0.9</v>
          </cell>
          <cell r="AP1404">
            <v>6300000</v>
          </cell>
          <cell r="AQ1404">
            <v>44281</v>
          </cell>
          <cell r="AR1404">
            <v>44281</v>
          </cell>
          <cell r="AS1404">
            <v>0</v>
          </cell>
          <cell r="AT1404">
            <v>0</v>
          </cell>
          <cell r="AX1404" t="str">
            <v>Yes</v>
          </cell>
          <cell r="AZ1404" t="str">
            <v>Y</v>
          </cell>
          <cell r="BA1404" t="str">
            <v>Yes</v>
          </cell>
        </row>
        <row r="1405">
          <cell r="B1405">
            <v>1255</v>
          </cell>
          <cell r="C1405" t="str">
            <v>C49SZX20210079EC</v>
          </cell>
          <cell r="D1405" t="str">
            <v>福瑞康</v>
          </cell>
          <cell r="E1405" t="str">
            <v>YSM10</v>
          </cell>
          <cell r="F1405" t="str">
            <v>＃05811</v>
          </cell>
          <cell r="G1405" t="e">
            <v>#REF!</v>
          </cell>
          <cell r="H1405" t="e">
            <v>#REF!</v>
          </cell>
          <cell r="I1405" t="str">
            <v>L-&gt;R</v>
          </cell>
          <cell r="J1405" t="str">
            <v>MVC</v>
          </cell>
          <cell r="K1405">
            <v>1</v>
          </cell>
          <cell r="L1405" t="str">
            <v>110347(拆单110339)</v>
          </cell>
          <cell r="M1405" t="str">
            <v>APR 21</v>
          </cell>
          <cell r="N1405">
            <v>44300</v>
          </cell>
          <cell r="O1405">
            <v>11116557</v>
          </cell>
          <cell r="P1405">
            <v>8410000</v>
          </cell>
          <cell r="Q1405">
            <v>44287</v>
          </cell>
          <cell r="R1405" t="str">
            <v>Yes</v>
          </cell>
          <cell r="S1405" t="str">
            <v>C49</v>
          </cell>
          <cell r="T1405" t="str">
            <v>SOUTH</v>
          </cell>
          <cell r="U1405" t="str">
            <v>深圳</v>
          </cell>
          <cell r="V1405" t="str">
            <v>SZ 深圳</v>
          </cell>
          <cell r="W1405" t="str">
            <v>EC</v>
          </cell>
          <cell r="X1405" t="str">
            <v>JPY</v>
          </cell>
          <cell r="Y1405">
            <v>8410000</v>
          </cell>
          <cell r="Z1405">
            <v>1</v>
          </cell>
          <cell r="AA1405">
            <v>8410000</v>
          </cell>
          <cell r="AB1405">
            <v>7.4499999999999997E-2</v>
          </cell>
          <cell r="AC1405">
            <v>626545</v>
          </cell>
          <cell r="AD1405">
            <v>75185.399999999994</v>
          </cell>
          <cell r="AE1405">
            <v>0.12</v>
          </cell>
          <cell r="AF1405">
            <v>44267</v>
          </cell>
          <cell r="AG1405" t="str">
            <v>DAP DG</v>
          </cell>
          <cell r="AK1405">
            <v>0.1</v>
          </cell>
          <cell r="AL1405">
            <v>841000</v>
          </cell>
          <cell r="AM1405">
            <v>44272</v>
          </cell>
          <cell r="AN1405" t="str">
            <v>Yes</v>
          </cell>
          <cell r="AO1405">
            <v>0.9</v>
          </cell>
          <cell r="AP1405">
            <v>7569000</v>
          </cell>
          <cell r="AQ1405">
            <v>44280</v>
          </cell>
          <cell r="AR1405">
            <v>44280</v>
          </cell>
          <cell r="AS1405">
            <v>0</v>
          </cell>
          <cell r="AT1405">
            <v>0</v>
          </cell>
          <cell r="AX1405" t="str">
            <v>Yes</v>
          </cell>
          <cell r="AZ1405" t="str">
            <v>Y</v>
          </cell>
          <cell r="BA1405" t="str">
            <v>Yes</v>
          </cell>
        </row>
        <row r="1406">
          <cell r="B1406">
            <v>1256</v>
          </cell>
          <cell r="C1406" t="str">
            <v>C49SZX20210081MZ</v>
          </cell>
          <cell r="D1406" t="str">
            <v>崧盛</v>
          </cell>
          <cell r="E1406" t="str">
            <v>YSM20R-2</v>
          </cell>
          <cell r="G1406" t="e">
            <v>#REF!</v>
          </cell>
          <cell r="H1406" t="e">
            <v>#REF!</v>
          </cell>
          <cell r="I1406" t="str">
            <v>L-&gt;R</v>
          </cell>
          <cell r="J1406" t="str">
            <v>No</v>
          </cell>
          <cell r="K1406">
            <v>1</v>
          </cell>
          <cell r="L1406">
            <v>110236</v>
          </cell>
          <cell r="M1406" t="str">
            <v>JUN 21</v>
          </cell>
          <cell r="N1406">
            <v>44376</v>
          </cell>
          <cell r="O1406">
            <v>11116616</v>
          </cell>
          <cell r="P1406">
            <v>14500000</v>
          </cell>
          <cell r="Q1406">
            <v>44377</v>
          </cell>
          <cell r="R1406" t="str">
            <v>No</v>
          </cell>
          <cell r="S1406" t="str">
            <v>C49</v>
          </cell>
          <cell r="T1406" t="str">
            <v>SOUTH</v>
          </cell>
          <cell r="U1406" t="str">
            <v>深圳</v>
          </cell>
          <cell r="V1406" t="str">
            <v>SZ 深圳</v>
          </cell>
          <cell r="W1406" t="str">
            <v>MZ</v>
          </cell>
          <cell r="X1406" t="str">
            <v>JPY</v>
          </cell>
          <cell r="Y1406">
            <v>14500000</v>
          </cell>
          <cell r="Z1406">
            <v>1</v>
          </cell>
          <cell r="AA1406">
            <v>14500000</v>
          </cell>
          <cell r="AB1406">
            <v>7.4499999999999997E-2</v>
          </cell>
          <cell r="AC1406">
            <v>1080250</v>
          </cell>
          <cell r="AD1406">
            <v>129630</v>
          </cell>
          <cell r="AE1406">
            <v>0.12</v>
          </cell>
          <cell r="AF1406">
            <v>44268</v>
          </cell>
          <cell r="AG1406" t="str">
            <v>CIF HK</v>
          </cell>
          <cell r="AK1406">
            <v>0.2</v>
          </cell>
          <cell r="AL1406">
            <v>2900000</v>
          </cell>
          <cell r="AM1406">
            <v>44274</v>
          </cell>
          <cell r="AN1406" t="str">
            <v>Yes</v>
          </cell>
          <cell r="AO1406">
            <v>0.8</v>
          </cell>
          <cell r="AP1406">
            <v>11600000</v>
          </cell>
          <cell r="AQ1406">
            <v>44375</v>
          </cell>
          <cell r="AR1406">
            <v>44375</v>
          </cell>
          <cell r="AS1406">
            <v>0</v>
          </cell>
          <cell r="AT1406">
            <v>0</v>
          </cell>
          <cell r="AX1406" t="str">
            <v>Yes</v>
          </cell>
          <cell r="AZ1406" t="str">
            <v>Y</v>
          </cell>
          <cell r="BA1406" t="str">
            <v>Yes</v>
          </cell>
        </row>
        <row r="1407">
          <cell r="B1407">
            <v>1257</v>
          </cell>
          <cell r="C1407" t="str">
            <v>C49SZX20210081MZ</v>
          </cell>
          <cell r="D1407" t="str">
            <v>崧盛</v>
          </cell>
          <cell r="E1407" t="str">
            <v>YSM20R-2</v>
          </cell>
          <cell r="G1407" t="e">
            <v>#REF!</v>
          </cell>
          <cell r="H1407" t="e">
            <v>#REF!</v>
          </cell>
          <cell r="I1407" t="str">
            <v>L-&gt;R</v>
          </cell>
          <cell r="J1407" t="str">
            <v>No</v>
          </cell>
          <cell r="K1407">
            <v>1</v>
          </cell>
          <cell r="L1407">
            <v>110236</v>
          </cell>
          <cell r="M1407" t="str">
            <v>JUN 21</v>
          </cell>
          <cell r="N1407">
            <v>44376</v>
          </cell>
          <cell r="O1407">
            <v>11116616</v>
          </cell>
          <cell r="P1407">
            <v>14500000</v>
          </cell>
          <cell r="Q1407">
            <v>44377</v>
          </cell>
          <cell r="R1407" t="str">
            <v>No</v>
          </cell>
          <cell r="S1407" t="str">
            <v>C49</v>
          </cell>
          <cell r="T1407" t="str">
            <v>SOUTH</v>
          </cell>
          <cell r="U1407" t="str">
            <v>深圳</v>
          </cell>
          <cell r="V1407" t="str">
            <v>SZ 深圳</v>
          </cell>
          <cell r="W1407" t="str">
            <v>MZ</v>
          </cell>
          <cell r="X1407" t="str">
            <v>JPY</v>
          </cell>
          <cell r="Y1407">
            <v>14500000</v>
          </cell>
          <cell r="Z1407">
            <v>1</v>
          </cell>
          <cell r="AA1407">
            <v>14500000</v>
          </cell>
          <cell r="AB1407">
            <v>7.4499999999999997E-2</v>
          </cell>
          <cell r="AC1407">
            <v>1080250</v>
          </cell>
          <cell r="AD1407">
            <v>129630</v>
          </cell>
          <cell r="AE1407">
            <v>0.12</v>
          </cell>
          <cell r="AF1407">
            <v>44268</v>
          </cell>
          <cell r="AG1407" t="str">
            <v>CIF HK</v>
          </cell>
          <cell r="AK1407">
            <v>0.2</v>
          </cell>
          <cell r="AL1407">
            <v>2900000</v>
          </cell>
          <cell r="AM1407">
            <v>44274</v>
          </cell>
          <cell r="AN1407" t="str">
            <v>Yes</v>
          </cell>
          <cell r="AO1407">
            <v>0.8</v>
          </cell>
          <cell r="AP1407">
            <v>11600000</v>
          </cell>
          <cell r="AQ1407">
            <v>44375</v>
          </cell>
          <cell r="AR1407">
            <v>44375</v>
          </cell>
          <cell r="AS1407">
            <v>0</v>
          </cell>
          <cell r="AT1407">
            <v>0</v>
          </cell>
          <cell r="AX1407" t="str">
            <v>Yes</v>
          </cell>
          <cell r="AZ1407" t="str">
            <v>Y</v>
          </cell>
          <cell r="BA1407" t="str">
            <v>Yes</v>
          </cell>
        </row>
        <row r="1408">
          <cell r="B1408">
            <v>1258</v>
          </cell>
          <cell r="C1408" t="str">
            <v>C49SZX20210081MZ</v>
          </cell>
          <cell r="D1408" t="str">
            <v>崧盛</v>
          </cell>
          <cell r="E1408" t="str">
            <v>YSM10</v>
          </cell>
          <cell r="G1408" t="e">
            <v>#REF!</v>
          </cell>
          <cell r="H1408" t="e">
            <v>#REF!</v>
          </cell>
          <cell r="I1408" t="str">
            <v>L-&gt;R</v>
          </cell>
          <cell r="J1408" t="str">
            <v>No</v>
          </cell>
          <cell r="K1408">
            <v>1</v>
          </cell>
          <cell r="L1408">
            <v>110348</v>
          </cell>
          <cell r="M1408" t="str">
            <v>JUN 21</v>
          </cell>
          <cell r="N1408">
            <v>44376</v>
          </cell>
          <cell r="O1408">
            <v>11116616</v>
          </cell>
          <cell r="P1408">
            <v>7340000</v>
          </cell>
          <cell r="Q1408">
            <v>44377</v>
          </cell>
          <cell r="R1408" t="str">
            <v>No</v>
          </cell>
          <cell r="S1408" t="str">
            <v>C49</v>
          </cell>
          <cell r="T1408" t="str">
            <v>SOUTH</v>
          </cell>
          <cell r="U1408" t="str">
            <v>深圳</v>
          </cell>
          <cell r="V1408" t="str">
            <v>SZ 深圳</v>
          </cell>
          <cell r="W1408" t="str">
            <v>MZ</v>
          </cell>
          <cell r="X1408" t="str">
            <v>JPY</v>
          </cell>
          <cell r="Y1408">
            <v>7340000</v>
          </cell>
          <cell r="Z1408">
            <v>1</v>
          </cell>
          <cell r="AA1408">
            <v>7340000</v>
          </cell>
          <cell r="AB1408">
            <v>7.4499999999999997E-2</v>
          </cell>
          <cell r="AC1408">
            <v>546830</v>
          </cell>
          <cell r="AD1408">
            <v>65619.599999999991</v>
          </cell>
          <cell r="AE1408">
            <v>0.12</v>
          </cell>
          <cell r="AF1408">
            <v>44268</v>
          </cell>
          <cell r="AG1408" t="str">
            <v>CIF HK</v>
          </cell>
          <cell r="AK1408">
            <v>0.2</v>
          </cell>
          <cell r="AL1408">
            <v>1468000</v>
          </cell>
          <cell r="AM1408">
            <v>44274</v>
          </cell>
          <cell r="AN1408" t="str">
            <v>Yes</v>
          </cell>
          <cell r="AO1408">
            <v>0.8</v>
          </cell>
          <cell r="AP1408">
            <v>5872000</v>
          </cell>
          <cell r="AQ1408">
            <v>44375</v>
          </cell>
          <cell r="AR1408">
            <v>44375</v>
          </cell>
          <cell r="AS1408">
            <v>0</v>
          </cell>
          <cell r="AT1408">
            <v>0</v>
          </cell>
          <cell r="AX1408" t="str">
            <v>Yes</v>
          </cell>
          <cell r="AZ1408" t="str">
            <v>Y</v>
          </cell>
          <cell r="BA1408" t="str">
            <v>Yes</v>
          </cell>
        </row>
        <row r="1409">
          <cell r="B1409">
            <v>1259</v>
          </cell>
          <cell r="C1409" t="str">
            <v>C49SZX20210081MZ</v>
          </cell>
          <cell r="D1409" t="str">
            <v>崧盛</v>
          </cell>
          <cell r="E1409" t="str">
            <v>YSM10</v>
          </cell>
          <cell r="G1409" t="e">
            <v>#REF!</v>
          </cell>
          <cell r="H1409" t="e">
            <v>#REF!</v>
          </cell>
          <cell r="I1409" t="str">
            <v>L-&gt;R</v>
          </cell>
          <cell r="J1409" t="str">
            <v>MVC</v>
          </cell>
          <cell r="K1409">
            <v>1</v>
          </cell>
          <cell r="L1409">
            <v>110550</v>
          </cell>
          <cell r="M1409" t="str">
            <v>JUL 21</v>
          </cell>
          <cell r="N1409">
            <v>44399</v>
          </cell>
          <cell r="O1409">
            <v>11116627</v>
          </cell>
          <cell r="P1409">
            <v>7340000</v>
          </cell>
          <cell r="Q1409">
            <v>44403</v>
          </cell>
          <cell r="R1409" t="str">
            <v>No</v>
          </cell>
          <cell r="S1409" t="str">
            <v>C49</v>
          </cell>
          <cell r="T1409" t="str">
            <v>SOUTH</v>
          </cell>
          <cell r="U1409" t="str">
            <v>深圳</v>
          </cell>
          <cell r="V1409" t="str">
            <v>SZ 深圳</v>
          </cell>
          <cell r="W1409" t="str">
            <v>MZ</v>
          </cell>
          <cell r="X1409" t="str">
            <v>JPY</v>
          </cell>
          <cell r="Y1409">
            <v>7340000</v>
          </cell>
          <cell r="Z1409">
            <v>1</v>
          </cell>
          <cell r="AA1409">
            <v>7340000</v>
          </cell>
          <cell r="AB1409">
            <v>7.4499999999999997E-2</v>
          </cell>
          <cell r="AC1409">
            <v>546830</v>
          </cell>
          <cell r="AD1409">
            <v>65619.599999999991</v>
          </cell>
          <cell r="AE1409">
            <v>0.12</v>
          </cell>
          <cell r="AF1409">
            <v>44268</v>
          </cell>
          <cell r="AG1409" t="str">
            <v>CIF HK</v>
          </cell>
          <cell r="AK1409">
            <v>0.2</v>
          </cell>
          <cell r="AL1409">
            <v>1468000</v>
          </cell>
          <cell r="AM1409">
            <v>44274</v>
          </cell>
          <cell r="AN1409" t="str">
            <v>Yes</v>
          </cell>
          <cell r="AO1409">
            <v>0.8</v>
          </cell>
          <cell r="AP1409">
            <v>5872000</v>
          </cell>
          <cell r="AQ1409">
            <v>44397</v>
          </cell>
          <cell r="AR1409">
            <v>44397</v>
          </cell>
          <cell r="AS1409">
            <v>0</v>
          </cell>
          <cell r="AT1409">
            <v>0</v>
          </cell>
          <cell r="AX1409" t="str">
            <v>Yes</v>
          </cell>
          <cell r="AZ1409" t="str">
            <v>Y</v>
          </cell>
          <cell r="BA1409" t="str">
            <v>Yes</v>
          </cell>
        </row>
        <row r="1410">
          <cell r="B1410">
            <v>1260</v>
          </cell>
          <cell r="C1410" t="str">
            <v>C49SZX20210082MZ</v>
          </cell>
          <cell r="D1410" t="str">
            <v>崧盛</v>
          </cell>
          <cell r="E1410" t="str">
            <v>YSM20R-2</v>
          </cell>
          <cell r="G1410" t="e">
            <v>#REF!</v>
          </cell>
          <cell r="H1410" t="e">
            <v>#REF!</v>
          </cell>
          <cell r="I1410" t="str">
            <v>L-&gt;R</v>
          </cell>
          <cell r="J1410" t="str">
            <v>No</v>
          </cell>
          <cell r="K1410">
            <v>1</v>
          </cell>
          <cell r="L1410">
            <v>110441</v>
          </cell>
          <cell r="M1410" t="str">
            <v>JUL 21</v>
          </cell>
          <cell r="N1410">
            <v>44405</v>
          </cell>
          <cell r="O1410">
            <v>11116631</v>
          </cell>
          <cell r="P1410">
            <v>14500000</v>
          </cell>
          <cell r="Q1410">
            <v>44406</v>
          </cell>
          <cell r="R1410" t="str">
            <v>No</v>
          </cell>
          <cell r="S1410" t="str">
            <v>C49</v>
          </cell>
          <cell r="T1410" t="str">
            <v>SOUTH</v>
          </cell>
          <cell r="U1410" t="str">
            <v>深圳</v>
          </cell>
          <cell r="V1410" t="str">
            <v>SZ 深圳</v>
          </cell>
          <cell r="W1410" t="str">
            <v>MZ</v>
          </cell>
          <cell r="X1410" t="str">
            <v>JPY</v>
          </cell>
          <cell r="Y1410">
            <v>14500000</v>
          </cell>
          <cell r="Z1410">
            <v>1</v>
          </cell>
          <cell r="AA1410">
            <v>14500000</v>
          </cell>
          <cell r="AB1410">
            <v>7.4499999999999997E-2</v>
          </cell>
          <cell r="AC1410">
            <v>1080250</v>
          </cell>
          <cell r="AD1410">
            <v>129630</v>
          </cell>
          <cell r="AE1410">
            <v>0.12</v>
          </cell>
          <cell r="AF1410">
            <v>44268</v>
          </cell>
          <cell r="AG1410" t="str">
            <v>CIF HK</v>
          </cell>
          <cell r="AK1410">
            <v>0.2</v>
          </cell>
          <cell r="AL1410">
            <v>2900000</v>
          </cell>
          <cell r="AM1410">
            <v>44274</v>
          </cell>
          <cell r="AN1410" t="str">
            <v>Yes</v>
          </cell>
          <cell r="AO1410">
            <v>0.8</v>
          </cell>
          <cell r="AP1410">
            <v>11600000</v>
          </cell>
          <cell r="AQ1410">
            <v>44404</v>
          </cell>
          <cell r="AR1410">
            <v>44404</v>
          </cell>
          <cell r="AS1410">
            <v>0</v>
          </cell>
          <cell r="AT1410">
            <v>0</v>
          </cell>
          <cell r="AX1410" t="str">
            <v>Yes</v>
          </cell>
          <cell r="AZ1410" t="str">
            <v>Y</v>
          </cell>
          <cell r="BA1410" t="str">
            <v>Yes</v>
          </cell>
        </row>
        <row r="1411">
          <cell r="B1411">
            <v>1261</v>
          </cell>
          <cell r="C1411" t="str">
            <v>C49SZX20210082MZ</v>
          </cell>
          <cell r="D1411" t="str">
            <v>崧盛</v>
          </cell>
          <cell r="E1411" t="str">
            <v>YSM20R-2</v>
          </cell>
          <cell r="G1411" t="e">
            <v>#REF!</v>
          </cell>
          <cell r="H1411" t="e">
            <v>#REF!</v>
          </cell>
          <cell r="I1411" t="str">
            <v>L-&gt;R</v>
          </cell>
          <cell r="J1411" t="str">
            <v>No</v>
          </cell>
          <cell r="K1411">
            <v>1</v>
          </cell>
          <cell r="L1411">
            <v>110441</v>
          </cell>
          <cell r="M1411" t="str">
            <v>JUL 21</v>
          </cell>
          <cell r="N1411">
            <v>44405</v>
          </cell>
          <cell r="O1411">
            <v>11116631</v>
          </cell>
          <cell r="P1411">
            <v>14500000</v>
          </cell>
          <cell r="Q1411">
            <v>44406</v>
          </cell>
          <cell r="R1411" t="str">
            <v>No</v>
          </cell>
          <cell r="S1411" t="str">
            <v>C49</v>
          </cell>
          <cell r="T1411" t="str">
            <v>SOUTH</v>
          </cell>
          <cell r="U1411" t="str">
            <v>深圳</v>
          </cell>
          <cell r="V1411" t="str">
            <v>SZ 深圳</v>
          </cell>
          <cell r="W1411" t="str">
            <v>MZ</v>
          </cell>
          <cell r="X1411" t="str">
            <v>JPY</v>
          </cell>
          <cell r="Y1411">
            <v>14500000</v>
          </cell>
          <cell r="Z1411">
            <v>1</v>
          </cell>
          <cell r="AA1411">
            <v>14500000</v>
          </cell>
          <cell r="AB1411">
            <v>7.4499999999999997E-2</v>
          </cell>
          <cell r="AC1411">
            <v>1080250</v>
          </cell>
          <cell r="AD1411">
            <v>129630</v>
          </cell>
          <cell r="AE1411">
            <v>0.12</v>
          </cell>
          <cell r="AF1411">
            <v>44268</v>
          </cell>
          <cell r="AG1411" t="str">
            <v>CIF HK</v>
          </cell>
          <cell r="AK1411">
            <v>0.2</v>
          </cell>
          <cell r="AL1411">
            <v>2900000</v>
          </cell>
          <cell r="AM1411">
            <v>44274</v>
          </cell>
          <cell r="AN1411" t="str">
            <v>Yes</v>
          </cell>
          <cell r="AO1411">
            <v>0.8</v>
          </cell>
          <cell r="AP1411">
            <v>11600000</v>
          </cell>
          <cell r="AQ1411">
            <v>44404</v>
          </cell>
          <cell r="AR1411">
            <v>44404</v>
          </cell>
          <cell r="AS1411">
            <v>0</v>
          </cell>
          <cell r="AT1411">
            <v>0</v>
          </cell>
          <cell r="AX1411" t="str">
            <v>Yes</v>
          </cell>
          <cell r="AZ1411" t="str">
            <v>Y</v>
          </cell>
          <cell r="BA1411" t="str">
            <v>Yes</v>
          </cell>
        </row>
        <row r="1412">
          <cell r="B1412">
            <v>1262</v>
          </cell>
          <cell r="C1412" t="str">
            <v>C49SZX20210082MZ</v>
          </cell>
          <cell r="D1412" t="str">
            <v>崧盛</v>
          </cell>
          <cell r="E1412" t="str">
            <v>YSM20R-2</v>
          </cell>
          <cell r="G1412" t="e">
            <v>#REF!</v>
          </cell>
          <cell r="H1412" t="e">
            <v>#REF!</v>
          </cell>
          <cell r="I1412" t="str">
            <v>L-&gt;R</v>
          </cell>
          <cell r="J1412" t="str">
            <v>No</v>
          </cell>
          <cell r="K1412">
            <v>1</v>
          </cell>
          <cell r="L1412">
            <v>110441</v>
          </cell>
          <cell r="M1412" t="str">
            <v>JUL 21</v>
          </cell>
          <cell r="N1412">
            <v>44405</v>
          </cell>
          <cell r="O1412">
            <v>11116631</v>
          </cell>
          <cell r="P1412">
            <v>14500000</v>
          </cell>
          <cell r="Q1412">
            <v>44406</v>
          </cell>
          <cell r="R1412" t="str">
            <v>No</v>
          </cell>
          <cell r="S1412" t="str">
            <v>C49</v>
          </cell>
          <cell r="T1412" t="str">
            <v>SOUTH</v>
          </cell>
          <cell r="U1412" t="str">
            <v>深圳</v>
          </cell>
          <cell r="V1412" t="str">
            <v>SZ 深圳</v>
          </cell>
          <cell r="W1412" t="str">
            <v>MZ</v>
          </cell>
          <cell r="X1412" t="str">
            <v>JPY</v>
          </cell>
          <cell r="Y1412">
            <v>14500000</v>
          </cell>
          <cell r="Z1412">
            <v>1</v>
          </cell>
          <cell r="AA1412">
            <v>14500000</v>
          </cell>
          <cell r="AB1412">
            <v>7.4499999999999997E-2</v>
          </cell>
          <cell r="AC1412">
            <v>1080250</v>
          </cell>
          <cell r="AD1412">
            <v>129630</v>
          </cell>
          <cell r="AE1412">
            <v>0.12</v>
          </cell>
          <cell r="AF1412">
            <v>44268</v>
          </cell>
          <cell r="AG1412" t="str">
            <v>CIF HK</v>
          </cell>
          <cell r="AK1412">
            <v>0.2</v>
          </cell>
          <cell r="AL1412">
            <v>2900000</v>
          </cell>
          <cell r="AM1412">
            <v>44274</v>
          </cell>
          <cell r="AN1412" t="str">
            <v>Yes</v>
          </cell>
          <cell r="AO1412">
            <v>0.8</v>
          </cell>
          <cell r="AP1412">
            <v>11600000</v>
          </cell>
          <cell r="AQ1412">
            <v>44404</v>
          </cell>
          <cell r="AR1412">
            <v>44404</v>
          </cell>
          <cell r="AS1412">
            <v>0</v>
          </cell>
          <cell r="AT1412">
            <v>0</v>
          </cell>
          <cell r="AX1412" t="str">
            <v>Yes</v>
          </cell>
          <cell r="AZ1412" t="str">
            <v>Y</v>
          </cell>
          <cell r="BA1412" t="str">
            <v>Yes</v>
          </cell>
        </row>
        <row r="1413">
          <cell r="B1413">
            <v>1263</v>
          </cell>
          <cell r="C1413" t="str">
            <v>C49SZX20210082MZ</v>
          </cell>
          <cell r="D1413" t="str">
            <v>崧盛</v>
          </cell>
          <cell r="E1413" t="str">
            <v>YSM20R-2</v>
          </cell>
          <cell r="G1413" t="e">
            <v>#REF!</v>
          </cell>
          <cell r="H1413" t="e">
            <v>#REF!</v>
          </cell>
          <cell r="I1413" t="str">
            <v>L-&gt;R</v>
          </cell>
          <cell r="J1413" t="str">
            <v>No</v>
          </cell>
          <cell r="K1413">
            <v>1</v>
          </cell>
          <cell r="L1413">
            <v>110441</v>
          </cell>
          <cell r="M1413" t="str">
            <v>JUL 21</v>
          </cell>
          <cell r="N1413">
            <v>44405</v>
          </cell>
          <cell r="O1413">
            <v>11116631</v>
          </cell>
          <cell r="P1413">
            <v>14500000</v>
          </cell>
          <cell r="Q1413">
            <v>44406</v>
          </cell>
          <cell r="R1413" t="str">
            <v>No</v>
          </cell>
          <cell r="S1413" t="str">
            <v>C49</v>
          </cell>
          <cell r="T1413" t="str">
            <v>SOUTH</v>
          </cell>
          <cell r="U1413" t="str">
            <v>深圳</v>
          </cell>
          <cell r="V1413" t="str">
            <v>SZ 深圳</v>
          </cell>
          <cell r="W1413" t="str">
            <v>MZ</v>
          </cell>
          <cell r="X1413" t="str">
            <v>JPY</v>
          </cell>
          <cell r="Y1413">
            <v>14500000</v>
          </cell>
          <cell r="Z1413">
            <v>1</v>
          </cell>
          <cell r="AA1413">
            <v>14500000</v>
          </cell>
          <cell r="AB1413">
            <v>7.4499999999999997E-2</v>
          </cell>
          <cell r="AC1413">
            <v>1080250</v>
          </cell>
          <cell r="AD1413">
            <v>129630</v>
          </cell>
          <cell r="AE1413">
            <v>0.12</v>
          </cell>
          <cell r="AF1413">
            <v>44268</v>
          </cell>
          <cell r="AG1413" t="str">
            <v>CIF HK</v>
          </cell>
          <cell r="AK1413">
            <v>0.2</v>
          </cell>
          <cell r="AL1413">
            <v>2900000</v>
          </cell>
          <cell r="AM1413">
            <v>44274</v>
          </cell>
          <cell r="AN1413" t="str">
            <v>Yes</v>
          </cell>
          <cell r="AO1413">
            <v>0.8</v>
          </cell>
          <cell r="AP1413">
            <v>11600000</v>
          </cell>
          <cell r="AQ1413">
            <v>44404</v>
          </cell>
          <cell r="AR1413">
            <v>44404</v>
          </cell>
          <cell r="AS1413">
            <v>0</v>
          </cell>
          <cell r="AT1413">
            <v>0</v>
          </cell>
          <cell r="AX1413" t="str">
            <v>Yes</v>
          </cell>
          <cell r="AZ1413" t="str">
            <v>Y</v>
          </cell>
          <cell r="BA1413" t="str">
            <v>Yes</v>
          </cell>
        </row>
        <row r="1414">
          <cell r="B1414">
            <v>1264</v>
          </cell>
          <cell r="C1414" t="str">
            <v>C49SZX20210087SX</v>
          </cell>
          <cell r="D1414" t="str">
            <v>特斯浦</v>
          </cell>
          <cell r="E1414" t="str">
            <v>YSM20R-2</v>
          </cell>
          <cell r="G1414" t="e">
            <v>#REF!</v>
          </cell>
          <cell r="H1414" t="e">
            <v>#REF!</v>
          </cell>
          <cell r="I1414" t="str">
            <v>L-&gt;R</v>
          </cell>
          <cell r="J1414" t="str">
            <v>No</v>
          </cell>
          <cell r="K1414">
            <v>1</v>
          </cell>
          <cell r="L1414">
            <v>110384</v>
          </cell>
          <cell r="M1414" t="str">
            <v>JUL 21</v>
          </cell>
          <cell r="N1414">
            <v>44382</v>
          </cell>
          <cell r="O1414">
            <v>11116621</v>
          </cell>
          <cell r="P1414">
            <v>12400000</v>
          </cell>
          <cell r="Q1414">
            <v>44386</v>
          </cell>
          <cell r="R1414" t="str">
            <v>Yes</v>
          </cell>
          <cell r="S1414" t="str">
            <v>C49</v>
          </cell>
          <cell r="T1414" t="str">
            <v>SOUTH</v>
          </cell>
          <cell r="U1414" t="str">
            <v>深圳</v>
          </cell>
          <cell r="V1414" t="str">
            <v>SZ 深圳</v>
          </cell>
          <cell r="W1414" t="str">
            <v>SX</v>
          </cell>
          <cell r="X1414" t="str">
            <v>JPY</v>
          </cell>
          <cell r="Y1414">
            <v>12400000</v>
          </cell>
          <cell r="Z1414">
            <v>1</v>
          </cell>
          <cell r="AA1414">
            <v>12400000</v>
          </cell>
          <cell r="AB1414">
            <v>7.4499999999999997E-2</v>
          </cell>
          <cell r="AC1414">
            <v>923800</v>
          </cell>
          <cell r="AD1414">
            <v>110856</v>
          </cell>
          <cell r="AE1414">
            <v>0.12</v>
          </cell>
          <cell r="AF1414">
            <v>44271</v>
          </cell>
          <cell r="AG1414" t="str">
            <v>DAP DG</v>
          </cell>
          <cell r="AK1414">
            <v>0.1</v>
          </cell>
          <cell r="AL1414">
            <v>1240000</v>
          </cell>
          <cell r="AM1414">
            <v>44280</v>
          </cell>
          <cell r="AN1414" t="str">
            <v>Yes</v>
          </cell>
          <cell r="AO1414">
            <v>0.9</v>
          </cell>
          <cell r="AP1414">
            <v>11160000</v>
          </cell>
          <cell r="AQ1414">
            <v>44375</v>
          </cell>
          <cell r="AR1414">
            <v>44375</v>
          </cell>
          <cell r="AS1414">
            <v>0</v>
          </cell>
          <cell r="AT1414">
            <v>0</v>
          </cell>
          <cell r="AX1414" t="str">
            <v>Yes</v>
          </cell>
          <cell r="AZ1414" t="str">
            <v>Y</v>
          </cell>
          <cell r="BA1414" t="str">
            <v>Yes</v>
          </cell>
        </row>
        <row r="1415">
          <cell r="B1415">
            <v>1265</v>
          </cell>
          <cell r="C1415" t="str">
            <v>C49SZX20210088SX</v>
          </cell>
          <cell r="D1415" t="str">
            <v>恒越通</v>
          </cell>
          <cell r="E1415" t="str">
            <v>YSM20R-2</v>
          </cell>
          <cell r="G1415" t="e">
            <v>#REF!</v>
          </cell>
          <cell r="H1415" t="e">
            <v>#REF!</v>
          </cell>
          <cell r="I1415" t="str">
            <v>L-&gt;R</v>
          </cell>
          <cell r="J1415" t="str">
            <v>No</v>
          </cell>
          <cell r="K1415">
            <v>1</v>
          </cell>
          <cell r="L1415">
            <v>110452</v>
          </cell>
          <cell r="M1415" t="str">
            <v>JUL 21</v>
          </cell>
          <cell r="N1415">
            <v>44377</v>
          </cell>
          <cell r="O1415">
            <v>11116620</v>
          </cell>
          <cell r="P1415">
            <v>13000000</v>
          </cell>
          <cell r="Q1415">
            <v>44386</v>
          </cell>
          <cell r="R1415" t="str">
            <v>Yes</v>
          </cell>
          <cell r="S1415" t="str">
            <v>C49</v>
          </cell>
          <cell r="T1415" t="str">
            <v>SOUTH</v>
          </cell>
          <cell r="U1415" t="str">
            <v>深圳</v>
          </cell>
          <cell r="V1415" t="str">
            <v>SZ 深圳</v>
          </cell>
          <cell r="W1415" t="str">
            <v>SX</v>
          </cell>
          <cell r="X1415" t="str">
            <v>JPY</v>
          </cell>
          <cell r="Y1415">
            <v>13000000</v>
          </cell>
          <cell r="Z1415">
            <v>1</v>
          </cell>
          <cell r="AA1415">
            <v>13000000</v>
          </cell>
          <cell r="AB1415">
            <v>7.4499999999999997E-2</v>
          </cell>
          <cell r="AC1415">
            <v>968500</v>
          </cell>
          <cell r="AD1415">
            <v>116220</v>
          </cell>
          <cell r="AE1415">
            <v>0.12</v>
          </cell>
          <cell r="AF1415">
            <v>44272</v>
          </cell>
          <cell r="AG1415" t="str">
            <v>DAP SZ</v>
          </cell>
          <cell r="AK1415">
            <v>0.3</v>
          </cell>
          <cell r="AL1415">
            <v>3900000</v>
          </cell>
          <cell r="AM1415">
            <v>44281</v>
          </cell>
          <cell r="AN1415" t="str">
            <v>Yes</v>
          </cell>
          <cell r="AO1415">
            <v>0.7</v>
          </cell>
          <cell r="AP1415">
            <v>9100000</v>
          </cell>
          <cell r="AQ1415">
            <v>44372</v>
          </cell>
          <cell r="AR1415">
            <v>44372</v>
          </cell>
          <cell r="AS1415">
            <v>0</v>
          </cell>
          <cell r="AT1415">
            <v>0</v>
          </cell>
          <cell r="AX1415" t="str">
            <v>Yes</v>
          </cell>
          <cell r="AZ1415" t="str">
            <v>Y</v>
          </cell>
          <cell r="BA1415" t="str">
            <v>Yes</v>
          </cell>
        </row>
        <row r="1416">
          <cell r="B1416">
            <v>1266</v>
          </cell>
          <cell r="C1416" t="str">
            <v>C49SZX20210088SX</v>
          </cell>
          <cell r="D1416" t="str">
            <v>恒越通</v>
          </cell>
          <cell r="E1416" t="str">
            <v>YSM10</v>
          </cell>
          <cell r="G1416" t="e">
            <v>#REF!</v>
          </cell>
          <cell r="H1416" t="e">
            <v>#REF!</v>
          </cell>
          <cell r="I1416" t="str">
            <v>L-&gt;R</v>
          </cell>
          <cell r="J1416" t="str">
            <v>MVC+ATS15</v>
          </cell>
          <cell r="K1416">
            <v>1</v>
          </cell>
          <cell r="L1416">
            <v>110481</v>
          </cell>
          <cell r="M1416" t="str">
            <v>JUL 21</v>
          </cell>
          <cell r="N1416">
            <v>44377</v>
          </cell>
          <cell r="O1416">
            <v>11116620</v>
          </cell>
          <cell r="P1416">
            <v>9200000</v>
          </cell>
          <cell r="Q1416">
            <v>44386</v>
          </cell>
          <cell r="R1416" t="str">
            <v>Yes</v>
          </cell>
          <cell r="S1416" t="str">
            <v>C49</v>
          </cell>
          <cell r="T1416" t="str">
            <v>SOUTH</v>
          </cell>
          <cell r="U1416" t="str">
            <v>深圳</v>
          </cell>
          <cell r="V1416" t="str">
            <v>SZ 深圳</v>
          </cell>
          <cell r="W1416" t="str">
            <v>SX</v>
          </cell>
          <cell r="X1416" t="str">
            <v>JPY</v>
          </cell>
          <cell r="Y1416">
            <v>9200000</v>
          </cell>
          <cell r="Z1416">
            <v>1</v>
          </cell>
          <cell r="AA1416">
            <v>9200000</v>
          </cell>
          <cell r="AB1416">
            <v>7.4499999999999997E-2</v>
          </cell>
          <cell r="AC1416">
            <v>685400</v>
          </cell>
          <cell r="AD1416">
            <v>82248</v>
          </cell>
          <cell r="AE1416">
            <v>0.12</v>
          </cell>
          <cell r="AF1416">
            <v>44272</v>
          </cell>
          <cell r="AG1416" t="str">
            <v>DAP SZ</v>
          </cell>
          <cell r="AK1416">
            <v>0.3</v>
          </cell>
          <cell r="AL1416">
            <v>2760000</v>
          </cell>
          <cell r="AM1416">
            <v>44281</v>
          </cell>
          <cell r="AN1416" t="str">
            <v>Yes</v>
          </cell>
          <cell r="AO1416">
            <v>0.7</v>
          </cell>
          <cell r="AP1416">
            <v>6440000</v>
          </cell>
          <cell r="AQ1416">
            <v>44372</v>
          </cell>
          <cell r="AR1416">
            <v>44372</v>
          </cell>
          <cell r="AS1416">
            <v>0</v>
          </cell>
          <cell r="AT1416">
            <v>0</v>
          </cell>
          <cell r="AX1416" t="str">
            <v>Yes</v>
          </cell>
          <cell r="AZ1416" t="str">
            <v>Y</v>
          </cell>
          <cell r="BA1416" t="str">
            <v>Yes</v>
          </cell>
        </row>
        <row r="1417">
          <cell r="B1417">
            <v>1267</v>
          </cell>
          <cell r="C1417" t="str">
            <v>C49SZX20210017R1JY</v>
          </cell>
          <cell r="D1417" t="str">
            <v>拓步</v>
          </cell>
          <cell r="E1417" t="str">
            <v>YSM20R-2</v>
          </cell>
          <cell r="F1417" t="str">
            <v>#69702</v>
          </cell>
          <cell r="G1417" t="e">
            <v>#REF!</v>
          </cell>
          <cell r="H1417" t="e">
            <v>#REF!</v>
          </cell>
          <cell r="I1417" t="str">
            <v>L-&gt;R</v>
          </cell>
          <cell r="J1417" t="str">
            <v>MVC</v>
          </cell>
          <cell r="K1417">
            <v>1</v>
          </cell>
          <cell r="L1417">
            <v>110557</v>
          </cell>
          <cell r="M1417" t="str">
            <v>OCT 21</v>
          </cell>
          <cell r="N1417">
            <v>44498</v>
          </cell>
          <cell r="O1417">
            <v>11116656</v>
          </cell>
          <cell r="P1417">
            <v>11800000</v>
          </cell>
          <cell r="Q1417">
            <v>44497</v>
          </cell>
          <cell r="R1417" t="str">
            <v>No</v>
          </cell>
          <cell r="S1417" t="str">
            <v>C49</v>
          </cell>
          <cell r="T1417" t="str">
            <v>SOUTH</v>
          </cell>
          <cell r="U1417" t="str">
            <v>深圳</v>
          </cell>
          <cell r="V1417" t="str">
            <v>SZ 深圳</v>
          </cell>
          <cell r="W1417" t="str">
            <v>JY</v>
          </cell>
          <cell r="X1417" t="str">
            <v>JPY</v>
          </cell>
          <cell r="Y1417">
            <v>11800000</v>
          </cell>
          <cell r="Z1417">
            <v>1</v>
          </cell>
          <cell r="AA1417">
            <v>11800000</v>
          </cell>
          <cell r="AB1417">
            <v>7.4499999999999997E-2</v>
          </cell>
          <cell r="AC1417">
            <v>879100</v>
          </cell>
          <cell r="AD1417">
            <v>105492</v>
          </cell>
          <cell r="AE1417">
            <v>0.12</v>
          </cell>
          <cell r="AF1417">
            <v>44272</v>
          </cell>
          <cell r="AG1417" t="str">
            <v>DAP GZ</v>
          </cell>
          <cell r="AK1417" t="str">
            <v>agree</v>
          </cell>
          <cell r="AL1417">
            <v>680328</v>
          </cell>
          <cell r="AM1417">
            <v>44287</v>
          </cell>
          <cell r="AN1417" t="str">
            <v>Yes</v>
          </cell>
          <cell r="AO1417">
            <v>0.9</v>
          </cell>
          <cell r="AP1417">
            <v>10620000</v>
          </cell>
          <cell r="AQ1417">
            <v>44495</v>
          </cell>
          <cell r="AR1417">
            <v>44495</v>
          </cell>
          <cell r="AS1417">
            <v>0</v>
          </cell>
          <cell r="AT1417">
            <v>0</v>
          </cell>
          <cell r="AX1417" t="str">
            <v>Yes</v>
          </cell>
          <cell r="AZ1417" t="str">
            <v>Y</v>
          </cell>
          <cell r="BA1417" t="str">
            <v>Yes</v>
          </cell>
        </row>
        <row r="1418">
          <cell r="B1418">
            <v>1268</v>
          </cell>
          <cell r="C1418" t="str">
            <v>C49SZX20210075JL</v>
          </cell>
          <cell r="D1418" t="str">
            <v>伯莱科</v>
          </cell>
          <cell r="E1418" t="str">
            <v>YSM10</v>
          </cell>
          <cell r="G1418" t="e">
            <v>#REF!</v>
          </cell>
          <cell r="H1418" t="e">
            <v>#REF!</v>
          </cell>
          <cell r="I1418" t="str">
            <v>L-&gt;R</v>
          </cell>
          <cell r="J1418" t="str">
            <v>MVC</v>
          </cell>
          <cell r="K1418">
            <v>1</v>
          </cell>
          <cell r="L1418">
            <v>110450</v>
          </cell>
          <cell r="M1418" t="str">
            <v>JUN 21</v>
          </cell>
          <cell r="N1418">
            <v>44375</v>
          </cell>
          <cell r="O1418">
            <v>11116612</v>
          </cell>
          <cell r="P1418">
            <v>6950000</v>
          </cell>
          <cell r="Q1418">
            <v>44375</v>
          </cell>
          <cell r="R1418" t="str">
            <v>No</v>
          </cell>
          <cell r="S1418" t="str">
            <v>C49</v>
          </cell>
          <cell r="T1418" t="str">
            <v>SOUTH</v>
          </cell>
          <cell r="U1418" t="str">
            <v>深圳</v>
          </cell>
          <cell r="V1418" t="str">
            <v>SZ 深圳</v>
          </cell>
          <cell r="W1418" t="str">
            <v>JL</v>
          </cell>
          <cell r="X1418" t="str">
            <v>JPY</v>
          </cell>
          <cell r="Y1418">
            <v>6950000</v>
          </cell>
          <cell r="Z1418">
            <v>1</v>
          </cell>
          <cell r="AA1418">
            <v>6950000</v>
          </cell>
          <cell r="AB1418">
            <v>7.4499999999999997E-2</v>
          </cell>
          <cell r="AC1418">
            <v>517775</v>
          </cell>
          <cell r="AD1418">
            <v>62133</v>
          </cell>
          <cell r="AE1418">
            <v>0.12</v>
          </cell>
          <cell r="AF1418">
            <v>44266</v>
          </cell>
          <cell r="AG1418" t="str">
            <v>DAP SZ</v>
          </cell>
          <cell r="AK1418" t="str">
            <v>agree</v>
          </cell>
          <cell r="AL1418">
            <v>836862</v>
          </cell>
          <cell r="AM1418">
            <v>44273</v>
          </cell>
          <cell r="AN1418" t="str">
            <v>Yes</v>
          </cell>
          <cell r="AO1418">
            <v>0.8</v>
          </cell>
          <cell r="AP1418">
            <v>5560000</v>
          </cell>
          <cell r="AQ1418">
            <v>44362</v>
          </cell>
          <cell r="AR1418">
            <v>44362</v>
          </cell>
          <cell r="AS1418">
            <v>0</v>
          </cell>
          <cell r="AT1418">
            <v>0</v>
          </cell>
          <cell r="AX1418" t="str">
            <v>Yes</v>
          </cell>
          <cell r="AZ1418" t="str">
            <v>Y</v>
          </cell>
          <cell r="BA1418" t="str">
            <v>Yes</v>
          </cell>
        </row>
        <row r="1419">
          <cell r="B1419">
            <v>1269</v>
          </cell>
          <cell r="C1419" t="str">
            <v>C49SZX20210075JL</v>
          </cell>
          <cell r="D1419" t="str">
            <v>伯莱科</v>
          </cell>
          <cell r="E1419" t="str">
            <v>YSM10</v>
          </cell>
          <cell r="G1419" t="e">
            <v>#REF!</v>
          </cell>
          <cell r="H1419" t="e">
            <v>#REF!</v>
          </cell>
          <cell r="I1419" t="str">
            <v>L-&gt;R</v>
          </cell>
          <cell r="J1419" t="str">
            <v>MVC</v>
          </cell>
          <cell r="K1419">
            <v>1</v>
          </cell>
          <cell r="L1419">
            <v>110450</v>
          </cell>
          <cell r="M1419" t="str">
            <v>JUN 21</v>
          </cell>
          <cell r="N1419">
            <v>44375</v>
          </cell>
          <cell r="O1419">
            <v>11116612</v>
          </cell>
          <cell r="P1419">
            <v>6950000</v>
          </cell>
          <cell r="Q1419">
            <v>44375</v>
          </cell>
          <cell r="R1419" t="str">
            <v>No</v>
          </cell>
          <cell r="S1419" t="str">
            <v>C49</v>
          </cell>
          <cell r="T1419" t="str">
            <v>SOUTH</v>
          </cell>
          <cell r="U1419" t="str">
            <v>深圳</v>
          </cell>
          <cell r="V1419" t="str">
            <v>SZ 深圳</v>
          </cell>
          <cell r="W1419" t="str">
            <v>JL</v>
          </cell>
          <cell r="X1419" t="str">
            <v>JPY</v>
          </cell>
          <cell r="Y1419">
            <v>6950000</v>
          </cell>
          <cell r="Z1419">
            <v>1</v>
          </cell>
          <cell r="AA1419">
            <v>6950000</v>
          </cell>
          <cell r="AB1419">
            <v>7.4499999999999997E-2</v>
          </cell>
          <cell r="AC1419">
            <v>517775</v>
          </cell>
          <cell r="AD1419">
            <v>62133</v>
          </cell>
          <cell r="AE1419">
            <v>0.12</v>
          </cell>
          <cell r="AF1419">
            <v>44266</v>
          </cell>
          <cell r="AG1419" t="str">
            <v>DAP SZ</v>
          </cell>
          <cell r="AK1419"/>
          <cell r="AL1419"/>
          <cell r="AM1419">
            <v>44273</v>
          </cell>
          <cell r="AN1419" t="str">
            <v>Yes</v>
          </cell>
          <cell r="AO1419">
            <v>0.8</v>
          </cell>
          <cell r="AP1419">
            <v>5560000</v>
          </cell>
          <cell r="AQ1419">
            <v>44362</v>
          </cell>
          <cell r="AR1419">
            <v>44362</v>
          </cell>
          <cell r="AS1419">
            <v>0</v>
          </cell>
          <cell r="AT1419">
            <v>0</v>
          </cell>
          <cell r="AX1419" t="str">
            <v>Yes</v>
          </cell>
          <cell r="AZ1419" t="str">
            <v>Y</v>
          </cell>
          <cell r="BA1419" t="str">
            <v>Yes</v>
          </cell>
        </row>
        <row r="1420">
          <cell r="B1420">
            <v>1270</v>
          </cell>
          <cell r="C1420" t="str">
            <v>C49SZX20210089SX</v>
          </cell>
          <cell r="D1420" t="str">
            <v>顺弘</v>
          </cell>
          <cell r="E1420" t="str">
            <v>YSM20R-2</v>
          </cell>
          <cell r="F1420" t="str">
            <v>#76504</v>
          </cell>
          <cell r="G1420" t="e">
            <v>#REF!</v>
          </cell>
          <cell r="H1420" t="e">
            <v>#REF!</v>
          </cell>
          <cell r="I1420" t="str">
            <v>L-&gt;R</v>
          </cell>
          <cell r="J1420" t="str">
            <v>No</v>
          </cell>
          <cell r="K1420">
            <v>1</v>
          </cell>
          <cell r="L1420" t="str">
            <v>110272(拆单110407)</v>
          </cell>
          <cell r="M1420" t="str">
            <v>JUN 21</v>
          </cell>
          <cell r="N1420">
            <v>44350</v>
          </cell>
          <cell r="O1420">
            <v>11116603</v>
          </cell>
          <cell r="P1420">
            <v>11200000</v>
          </cell>
          <cell r="Q1420">
            <v>44362</v>
          </cell>
          <cell r="R1420" t="str">
            <v>No</v>
          </cell>
          <cell r="S1420" t="str">
            <v>C49</v>
          </cell>
          <cell r="T1420" t="str">
            <v>SOUTH</v>
          </cell>
          <cell r="U1420" t="str">
            <v>深圳</v>
          </cell>
          <cell r="V1420" t="str">
            <v>SZ 深圳</v>
          </cell>
          <cell r="W1420" t="str">
            <v>SX</v>
          </cell>
          <cell r="X1420" t="str">
            <v>JPY</v>
          </cell>
          <cell r="Y1420">
            <v>11200000</v>
          </cell>
          <cell r="Z1420">
            <v>1</v>
          </cell>
          <cell r="AA1420">
            <v>11200000</v>
          </cell>
          <cell r="AB1420">
            <v>7.4499999999999997E-2</v>
          </cell>
          <cell r="AC1420">
            <v>834400</v>
          </cell>
          <cell r="AD1420">
            <v>100128</v>
          </cell>
          <cell r="AE1420">
            <v>0.12</v>
          </cell>
          <cell r="AF1420">
            <v>44273</v>
          </cell>
          <cell r="AG1420" t="str">
            <v>DAP DG</v>
          </cell>
          <cell r="AK1420" t="str">
            <v>agree</v>
          </cell>
          <cell r="AL1420">
            <v>839672</v>
          </cell>
          <cell r="AM1420">
            <v>44286</v>
          </cell>
          <cell r="AN1420" t="str">
            <v>No</v>
          </cell>
          <cell r="AO1420">
            <v>0.9</v>
          </cell>
          <cell r="AP1420">
            <v>10080000</v>
          </cell>
          <cell r="AQ1420">
            <v>44344</v>
          </cell>
          <cell r="AR1420">
            <v>44344</v>
          </cell>
          <cell r="AS1420">
            <v>0</v>
          </cell>
          <cell r="AT1420">
            <v>0</v>
          </cell>
          <cell r="AX1420" t="str">
            <v>Yes</v>
          </cell>
          <cell r="AZ1420" t="str">
            <v>Y</v>
          </cell>
          <cell r="BA1420" t="str">
            <v>Yes</v>
          </cell>
        </row>
        <row r="1421">
          <cell r="B1421">
            <v>1271</v>
          </cell>
          <cell r="C1421" t="str">
            <v>C49SZX20210086JL</v>
          </cell>
          <cell r="D1421" t="str">
            <v>鹏鑫达（end user：晶昌鸿业）</v>
          </cell>
          <cell r="E1421" t="str">
            <v>YSM10</v>
          </cell>
          <cell r="F1421" t="str">
            <v>#54762</v>
          </cell>
          <cell r="G1421" t="e">
            <v>#REF!</v>
          </cell>
          <cell r="H1421" t="e">
            <v>#REF!</v>
          </cell>
          <cell r="I1421" t="str">
            <v>L-&gt;R</v>
          </cell>
          <cell r="J1421" t="str">
            <v>MVC</v>
          </cell>
          <cell r="K1421">
            <v>1</v>
          </cell>
          <cell r="L1421">
            <v>110449</v>
          </cell>
          <cell r="M1421" t="str">
            <v>JUN 21</v>
          </cell>
          <cell r="N1421">
            <v>44351</v>
          </cell>
          <cell r="O1421">
            <v>11116599</v>
          </cell>
          <cell r="P1421">
            <v>7100000</v>
          </cell>
          <cell r="Q1421">
            <v>44355</v>
          </cell>
          <cell r="R1421" t="str">
            <v>No</v>
          </cell>
          <cell r="S1421" t="str">
            <v>C49</v>
          </cell>
          <cell r="T1421" t="str">
            <v>SOUTH</v>
          </cell>
          <cell r="U1421" t="str">
            <v>深圳</v>
          </cell>
          <cell r="V1421" t="str">
            <v>SZ 深圳</v>
          </cell>
          <cell r="W1421" t="str">
            <v>JL</v>
          </cell>
          <cell r="X1421" t="str">
            <v>JPY</v>
          </cell>
          <cell r="Y1421">
            <v>7100000</v>
          </cell>
          <cell r="Z1421">
            <v>1</v>
          </cell>
          <cell r="AA1421">
            <v>7100000</v>
          </cell>
          <cell r="AB1421">
            <v>7.4499999999999997E-2</v>
          </cell>
          <cell r="AC1421">
            <v>528950</v>
          </cell>
          <cell r="AD1421">
            <v>63474</v>
          </cell>
          <cell r="AE1421">
            <v>0.12</v>
          </cell>
          <cell r="AF1421">
            <v>44274</v>
          </cell>
          <cell r="AG1421" t="str">
            <v>DAP SZ</v>
          </cell>
          <cell r="AK1421" t="str">
            <v>agree</v>
          </cell>
          <cell r="AL1421">
            <v>4998833</v>
          </cell>
          <cell r="AM1421">
            <v>44278</v>
          </cell>
          <cell r="AN1421" t="str">
            <v>Yes</v>
          </cell>
          <cell r="AO1421">
            <v>0.8</v>
          </cell>
          <cell r="AP1421">
            <v>5680000</v>
          </cell>
          <cell r="AQ1421">
            <v>44349</v>
          </cell>
          <cell r="AR1421">
            <v>44349</v>
          </cell>
          <cell r="AS1421">
            <v>0</v>
          </cell>
          <cell r="AT1421">
            <v>0</v>
          </cell>
          <cell r="AX1421" t="str">
            <v>Yes</v>
          </cell>
          <cell r="AZ1421" t="str">
            <v>Y</v>
          </cell>
          <cell r="BA1421" t="str">
            <v>Yes</v>
          </cell>
        </row>
        <row r="1422">
          <cell r="B1422">
            <v>1272</v>
          </cell>
          <cell r="C1422" t="str">
            <v>C49SZX20210086JL</v>
          </cell>
          <cell r="D1422" t="str">
            <v>鹏鑫达（end user：晶昌鸿业）</v>
          </cell>
          <cell r="E1422" t="str">
            <v>YSM10</v>
          </cell>
          <cell r="F1422" t="str">
            <v>#54762</v>
          </cell>
          <cell r="G1422" t="e">
            <v>#REF!</v>
          </cell>
          <cell r="H1422" t="e">
            <v>#REF!</v>
          </cell>
          <cell r="I1422" t="str">
            <v>L-&gt;R</v>
          </cell>
          <cell r="J1422" t="str">
            <v>MVC</v>
          </cell>
          <cell r="K1422">
            <v>1</v>
          </cell>
          <cell r="L1422">
            <v>110449</v>
          </cell>
          <cell r="M1422" t="str">
            <v>JUN 21</v>
          </cell>
          <cell r="N1422">
            <v>44351</v>
          </cell>
          <cell r="O1422">
            <v>11116599</v>
          </cell>
          <cell r="P1422">
            <v>7100000</v>
          </cell>
          <cell r="Q1422">
            <v>44355</v>
          </cell>
          <cell r="R1422" t="str">
            <v>No</v>
          </cell>
          <cell r="S1422" t="str">
            <v>C49</v>
          </cell>
          <cell r="T1422" t="str">
            <v>SOUTH</v>
          </cell>
          <cell r="U1422" t="str">
            <v>深圳</v>
          </cell>
          <cell r="V1422" t="str">
            <v>SZ 深圳</v>
          </cell>
          <cell r="W1422" t="str">
            <v>JL</v>
          </cell>
          <cell r="X1422" t="str">
            <v>JPY</v>
          </cell>
          <cell r="Y1422">
            <v>7100000</v>
          </cell>
          <cell r="Z1422">
            <v>1</v>
          </cell>
          <cell r="AA1422">
            <v>7100000</v>
          </cell>
          <cell r="AB1422">
            <v>7.4499999999999997E-2</v>
          </cell>
          <cell r="AC1422">
            <v>528950</v>
          </cell>
          <cell r="AD1422">
            <v>63474</v>
          </cell>
          <cell r="AE1422">
            <v>0.12</v>
          </cell>
          <cell r="AF1422">
            <v>44274</v>
          </cell>
          <cell r="AG1422" t="str">
            <v>DAP SZ</v>
          </cell>
          <cell r="AK1422"/>
          <cell r="AL1422"/>
          <cell r="AM1422">
            <v>44278</v>
          </cell>
          <cell r="AN1422" t="str">
            <v>Yes</v>
          </cell>
          <cell r="AO1422">
            <v>0.8</v>
          </cell>
          <cell r="AP1422">
            <v>5680000</v>
          </cell>
          <cell r="AQ1422">
            <v>44349</v>
          </cell>
          <cell r="AR1422">
            <v>44349</v>
          </cell>
          <cell r="AS1422">
            <v>0</v>
          </cell>
          <cell r="AT1422">
            <v>0</v>
          </cell>
          <cell r="AX1422" t="str">
            <v>Yes</v>
          </cell>
          <cell r="AZ1422" t="str">
            <v>Y</v>
          </cell>
          <cell r="BA1422" t="str">
            <v>Yes</v>
          </cell>
        </row>
        <row r="1423">
          <cell r="B1423">
            <v>1273</v>
          </cell>
          <cell r="C1423" t="str">
            <v>C49SZX20210086JL</v>
          </cell>
          <cell r="D1423" t="str">
            <v>鹏鑫达（end user：晶昌鸿业）</v>
          </cell>
          <cell r="E1423" t="str">
            <v>YSM10</v>
          </cell>
          <cell r="F1423" t="str">
            <v>#54762</v>
          </cell>
          <cell r="G1423" t="e">
            <v>#REF!</v>
          </cell>
          <cell r="H1423" t="e">
            <v>#REF!</v>
          </cell>
          <cell r="I1423" t="str">
            <v>L-&gt;R</v>
          </cell>
          <cell r="J1423" t="str">
            <v>MVC</v>
          </cell>
          <cell r="K1423">
            <v>1</v>
          </cell>
          <cell r="L1423">
            <v>110729</v>
          </cell>
          <cell r="M1423" t="str">
            <v>MAR 22</v>
          </cell>
          <cell r="N1423">
            <v>44624</v>
          </cell>
          <cell r="O1423">
            <v>11116708</v>
          </cell>
          <cell r="P1423">
            <v>7100000</v>
          </cell>
          <cell r="Q1423">
            <v>44620</v>
          </cell>
          <cell r="R1423" t="str">
            <v>No</v>
          </cell>
          <cell r="S1423" t="str">
            <v>C49</v>
          </cell>
          <cell r="T1423" t="str">
            <v>SOUTH</v>
          </cell>
          <cell r="U1423" t="str">
            <v>深圳</v>
          </cell>
          <cell r="V1423" t="str">
            <v>SZ 深圳</v>
          </cell>
          <cell r="W1423" t="str">
            <v>JL</v>
          </cell>
          <cell r="X1423" t="str">
            <v>JPY</v>
          </cell>
          <cell r="Y1423">
            <v>7100000</v>
          </cell>
          <cell r="Z1423">
            <v>1</v>
          </cell>
          <cell r="AA1423">
            <v>7100000</v>
          </cell>
          <cell r="AB1423">
            <v>7.4499999999999997E-2</v>
          </cell>
          <cell r="AC1423">
            <v>528950</v>
          </cell>
          <cell r="AD1423">
            <v>63474</v>
          </cell>
          <cell r="AE1423">
            <v>0.12</v>
          </cell>
          <cell r="AF1423">
            <v>44274</v>
          </cell>
          <cell r="AG1423" t="str">
            <v>DAP SZ</v>
          </cell>
          <cell r="AK1423"/>
          <cell r="AL1423"/>
          <cell r="AM1423">
            <v>44278</v>
          </cell>
          <cell r="AN1423" t="str">
            <v>Yes</v>
          </cell>
          <cell r="AO1423">
            <v>0.8</v>
          </cell>
          <cell r="AP1423">
            <v>5051780</v>
          </cell>
          <cell r="AQ1423">
            <v>44431</v>
          </cell>
          <cell r="AR1423">
            <v>44431</v>
          </cell>
          <cell r="AS1423">
            <v>0</v>
          </cell>
          <cell r="AT1423">
            <v>0</v>
          </cell>
          <cell r="AX1423" t="str">
            <v>Yes</v>
          </cell>
          <cell r="AZ1423" t="str">
            <v>Y</v>
          </cell>
          <cell r="BA1423" t="str">
            <v>Yes</v>
          </cell>
        </row>
        <row r="1424">
          <cell r="B1424">
            <v>1274</v>
          </cell>
          <cell r="C1424" t="str">
            <v>C49SZX20210086JL</v>
          </cell>
          <cell r="D1424" t="str">
            <v>鹏鑫达（end user：晶昌鸿业）</v>
          </cell>
          <cell r="E1424" t="str">
            <v>YSM10</v>
          </cell>
          <cell r="F1424" t="str">
            <v>#54762</v>
          </cell>
          <cell r="G1424" t="e">
            <v>#REF!</v>
          </cell>
          <cell r="H1424" t="e">
            <v>#REF!</v>
          </cell>
          <cell r="I1424" t="str">
            <v>L-&gt;R</v>
          </cell>
          <cell r="J1424" t="str">
            <v>MVC</v>
          </cell>
          <cell r="K1424">
            <v>1</v>
          </cell>
          <cell r="L1424">
            <v>110729</v>
          </cell>
          <cell r="M1424" t="str">
            <v>MAR 22</v>
          </cell>
          <cell r="N1424">
            <v>44624</v>
          </cell>
          <cell r="O1424">
            <v>11116708</v>
          </cell>
          <cell r="P1424">
            <v>7100000</v>
          </cell>
          <cell r="Q1424">
            <v>44620</v>
          </cell>
          <cell r="R1424" t="str">
            <v>No</v>
          </cell>
          <cell r="S1424" t="str">
            <v>C49</v>
          </cell>
          <cell r="T1424" t="str">
            <v>SOUTH</v>
          </cell>
          <cell r="U1424" t="str">
            <v>深圳</v>
          </cell>
          <cell r="V1424" t="str">
            <v>SZ 深圳</v>
          </cell>
          <cell r="W1424" t="str">
            <v>JL</v>
          </cell>
          <cell r="X1424" t="str">
            <v>JPY</v>
          </cell>
          <cell r="Y1424">
            <v>7100000</v>
          </cell>
          <cell r="Z1424">
            <v>1</v>
          </cell>
          <cell r="AA1424">
            <v>7100000</v>
          </cell>
          <cell r="AB1424">
            <v>7.4499999999999997E-2</v>
          </cell>
          <cell r="AC1424">
            <v>528950</v>
          </cell>
          <cell r="AD1424">
            <v>63474</v>
          </cell>
          <cell r="AE1424">
            <v>0.12</v>
          </cell>
          <cell r="AF1424">
            <v>44274</v>
          </cell>
          <cell r="AG1424" t="str">
            <v>DAP SZ</v>
          </cell>
          <cell r="AK1424"/>
          <cell r="AL1424"/>
          <cell r="AM1424">
            <v>44278</v>
          </cell>
          <cell r="AN1424" t="str">
            <v>Yes</v>
          </cell>
          <cell r="AO1424">
            <v>0.8</v>
          </cell>
          <cell r="AP1424">
            <v>5680000</v>
          </cell>
          <cell r="AQ1424">
            <v>44621</v>
          </cell>
          <cell r="AR1424">
            <v>44621</v>
          </cell>
          <cell r="AS1424">
            <v>0</v>
          </cell>
          <cell r="AT1424">
            <v>0</v>
          </cell>
          <cell r="AX1424" t="str">
            <v>Yes</v>
          </cell>
          <cell r="AZ1424" t="str">
            <v>Y</v>
          </cell>
          <cell r="BA1424" t="str">
            <v>Yes</v>
          </cell>
        </row>
        <row r="1425">
          <cell r="B1425">
            <v>1275</v>
          </cell>
          <cell r="C1425" t="str">
            <v>C49SZX20210086JL</v>
          </cell>
          <cell r="D1425" t="str">
            <v>鹏鑫达（end user：晶昌鸿业）</v>
          </cell>
          <cell r="E1425" t="str">
            <v>YSM10</v>
          </cell>
          <cell r="F1425" t="str">
            <v>#54762</v>
          </cell>
          <cell r="G1425" t="e">
            <v>#REF!</v>
          </cell>
          <cell r="H1425" t="e">
            <v>#REF!</v>
          </cell>
          <cell r="I1425" t="str">
            <v>L-&gt;R</v>
          </cell>
          <cell r="J1425" t="str">
            <v>MVC</v>
          </cell>
          <cell r="K1425">
            <v>1</v>
          </cell>
          <cell r="L1425">
            <v>110757</v>
          </cell>
          <cell r="M1425" t="str">
            <v>APR 22</v>
          </cell>
          <cell r="N1425">
            <v>44663</v>
          </cell>
          <cell r="O1425">
            <v>11116732</v>
          </cell>
          <cell r="P1425">
            <v>7100000</v>
          </cell>
          <cell r="Q1425">
            <v>44673</v>
          </cell>
          <cell r="R1425" t="str">
            <v>No</v>
          </cell>
          <cell r="S1425" t="str">
            <v>C49</v>
          </cell>
          <cell r="T1425" t="str">
            <v>SOUTH</v>
          </cell>
          <cell r="U1425" t="str">
            <v>深圳</v>
          </cell>
          <cell r="V1425" t="str">
            <v>SZ 深圳</v>
          </cell>
          <cell r="W1425" t="str">
            <v>JL</v>
          </cell>
          <cell r="X1425" t="str">
            <v>JPY</v>
          </cell>
          <cell r="Y1425">
            <v>7100000</v>
          </cell>
          <cell r="Z1425">
            <v>1</v>
          </cell>
          <cell r="AA1425">
            <v>7100000</v>
          </cell>
          <cell r="AB1425">
            <v>7.4499999999999997E-2</v>
          </cell>
          <cell r="AC1425">
            <v>528950</v>
          </cell>
          <cell r="AD1425">
            <v>63474</v>
          </cell>
          <cell r="AE1425">
            <v>0.12</v>
          </cell>
          <cell r="AF1425">
            <v>44274</v>
          </cell>
          <cell r="AG1425" t="str">
            <v>DAP SZ</v>
          </cell>
          <cell r="AK1425"/>
          <cell r="AL1425"/>
          <cell r="AM1425">
            <v>44278</v>
          </cell>
          <cell r="AN1425" t="str">
            <v>Yes</v>
          </cell>
          <cell r="AO1425">
            <v>0.8</v>
          </cell>
          <cell r="AP1425">
            <v>5680000</v>
          </cell>
          <cell r="AQ1425">
            <v>44652</v>
          </cell>
          <cell r="AR1425">
            <v>44652</v>
          </cell>
          <cell r="AS1425">
            <v>0</v>
          </cell>
          <cell r="AT1425">
            <v>0</v>
          </cell>
          <cell r="AX1425" t="str">
            <v>Yes</v>
          </cell>
          <cell r="AZ1425" t="str">
            <v>Y</v>
          </cell>
          <cell r="BA1425" t="str">
            <v>Yes</v>
          </cell>
        </row>
        <row r="1426">
          <cell r="B1426">
            <v>1276</v>
          </cell>
          <cell r="C1426" t="str">
            <v>C49SZX20210086JL</v>
          </cell>
          <cell r="D1426" t="str">
            <v>鹏鑫达（end user：晶昌鸿业）</v>
          </cell>
          <cell r="E1426" t="str">
            <v>YSM10</v>
          </cell>
          <cell r="F1426" t="str">
            <v>#54762</v>
          </cell>
          <cell r="G1426" t="e">
            <v>#REF!</v>
          </cell>
          <cell r="H1426" t="e">
            <v>#REF!</v>
          </cell>
          <cell r="I1426" t="str">
            <v>L-&gt;R</v>
          </cell>
          <cell r="J1426" t="str">
            <v>MVC</v>
          </cell>
          <cell r="K1426">
            <v>1</v>
          </cell>
          <cell r="L1426">
            <v>110757</v>
          </cell>
          <cell r="M1426" t="str">
            <v>APR 22</v>
          </cell>
          <cell r="N1426">
            <v>44663</v>
          </cell>
          <cell r="O1426">
            <v>11116732</v>
          </cell>
          <cell r="P1426">
            <v>7100000</v>
          </cell>
          <cell r="Q1426">
            <v>44673</v>
          </cell>
          <cell r="R1426" t="str">
            <v>No</v>
          </cell>
          <cell r="S1426" t="str">
            <v>C49</v>
          </cell>
          <cell r="T1426" t="str">
            <v>SOUTH</v>
          </cell>
          <cell r="U1426" t="str">
            <v>深圳</v>
          </cell>
          <cell r="V1426" t="str">
            <v>SZ 深圳</v>
          </cell>
          <cell r="W1426" t="str">
            <v>JL</v>
          </cell>
          <cell r="X1426" t="str">
            <v>JPY</v>
          </cell>
          <cell r="Y1426">
            <v>7100000</v>
          </cell>
          <cell r="Z1426">
            <v>1</v>
          </cell>
          <cell r="AA1426">
            <v>7100000</v>
          </cell>
          <cell r="AB1426">
            <v>7.4499999999999997E-2</v>
          </cell>
          <cell r="AC1426">
            <v>528950</v>
          </cell>
          <cell r="AD1426">
            <v>63474</v>
          </cell>
          <cell r="AE1426">
            <v>0.12</v>
          </cell>
          <cell r="AF1426">
            <v>44274</v>
          </cell>
          <cell r="AG1426" t="str">
            <v>DAP SZ</v>
          </cell>
          <cell r="AK1426"/>
          <cell r="AL1426"/>
          <cell r="AM1426">
            <v>44278</v>
          </cell>
          <cell r="AN1426" t="str">
            <v>Yes</v>
          </cell>
          <cell r="AO1426">
            <v>0.8</v>
          </cell>
          <cell r="AP1426">
            <v>5680000</v>
          </cell>
          <cell r="AQ1426">
            <v>44652</v>
          </cell>
          <cell r="AR1426">
            <v>44652</v>
          </cell>
          <cell r="AS1426">
            <v>0</v>
          </cell>
          <cell r="AT1426">
            <v>0</v>
          </cell>
          <cell r="AX1426" t="str">
            <v>Yes</v>
          </cell>
          <cell r="AZ1426" t="str">
            <v>Y</v>
          </cell>
          <cell r="BA1426" t="str">
            <v>Yes</v>
          </cell>
        </row>
        <row r="1427">
          <cell r="B1427">
            <v>1277</v>
          </cell>
          <cell r="C1427" t="str">
            <v>C49SZX20210039JZ</v>
          </cell>
          <cell r="D1427" t="str">
            <v>世达威</v>
          </cell>
          <cell r="E1427" t="str">
            <v>YSM20R-2</v>
          </cell>
          <cell r="F1427" t="str">
            <v>#49402</v>
          </cell>
          <cell r="G1427" t="e">
            <v>#REF!</v>
          </cell>
          <cell r="H1427" t="e">
            <v>#REF!</v>
          </cell>
          <cell r="I1427" t="str">
            <v>R-&gt;L</v>
          </cell>
          <cell r="J1427" t="str">
            <v>No</v>
          </cell>
          <cell r="K1427">
            <v>1</v>
          </cell>
          <cell r="L1427">
            <v>110152</v>
          </cell>
          <cell r="M1427" t="str">
            <v>MAY 21</v>
          </cell>
          <cell r="N1427">
            <v>44328</v>
          </cell>
          <cell r="O1427">
            <v>11116586</v>
          </cell>
          <cell r="P1427">
            <v>13000000</v>
          </cell>
          <cell r="Q1427">
            <v>44344</v>
          </cell>
          <cell r="R1427" t="str">
            <v>No</v>
          </cell>
          <cell r="S1427" t="str">
            <v>C49</v>
          </cell>
          <cell r="T1427" t="str">
            <v>SOUTH</v>
          </cell>
          <cell r="U1427" t="str">
            <v>深圳</v>
          </cell>
          <cell r="V1427" t="str">
            <v>SZ 深圳</v>
          </cell>
          <cell r="W1427" t="str">
            <v>JZ</v>
          </cell>
          <cell r="X1427" t="str">
            <v>JPY</v>
          </cell>
          <cell r="Y1427">
            <v>13000000</v>
          </cell>
          <cell r="Z1427">
            <v>1</v>
          </cell>
          <cell r="AA1427">
            <v>13000000</v>
          </cell>
          <cell r="AB1427">
            <v>7.4499999999999997E-2</v>
          </cell>
          <cell r="AC1427">
            <v>968500</v>
          </cell>
          <cell r="AD1427">
            <v>116220</v>
          </cell>
          <cell r="AE1427">
            <v>0.12</v>
          </cell>
          <cell r="AF1427">
            <v>44278</v>
          </cell>
          <cell r="AG1427" t="str">
            <v>DAP SZ</v>
          </cell>
          <cell r="AK1427">
            <v>0.2</v>
          </cell>
          <cell r="AL1427">
            <v>2600000</v>
          </cell>
          <cell r="AM1427">
            <v>44284</v>
          </cell>
          <cell r="AN1427" t="str">
            <v>Yes</v>
          </cell>
          <cell r="AO1427">
            <v>0.8</v>
          </cell>
          <cell r="AP1427">
            <v>10400000</v>
          </cell>
          <cell r="AQ1427">
            <v>44315</v>
          </cell>
          <cell r="AR1427">
            <v>44315</v>
          </cell>
          <cell r="AS1427">
            <v>0</v>
          </cell>
          <cell r="AT1427">
            <v>0</v>
          </cell>
          <cell r="AX1427" t="str">
            <v>Yes</v>
          </cell>
          <cell r="AZ1427" t="str">
            <v>Y</v>
          </cell>
          <cell r="BA1427" t="str">
            <v>Yes</v>
          </cell>
        </row>
        <row r="1428">
          <cell r="B1428">
            <v>1278</v>
          </cell>
          <cell r="C1428" t="str">
            <v>C49SZX20210085JL</v>
          </cell>
          <cell r="D1428" t="str">
            <v>欧科讯</v>
          </cell>
          <cell r="E1428" t="str">
            <v>YSM10</v>
          </cell>
          <cell r="F1428" t="str">
            <v>#04371</v>
          </cell>
          <cell r="G1428" t="e">
            <v>#REF!</v>
          </cell>
          <cell r="H1428" t="e">
            <v>#REF!</v>
          </cell>
          <cell r="I1428" t="str">
            <v>R-&gt;L</v>
          </cell>
          <cell r="J1428" t="str">
            <v>MVC</v>
          </cell>
          <cell r="K1428">
            <v>1</v>
          </cell>
          <cell r="L1428">
            <v>110248</v>
          </cell>
          <cell r="M1428" t="str">
            <v>JUN 21</v>
          </cell>
          <cell r="N1428">
            <v>44350</v>
          </cell>
          <cell r="O1428">
            <v>111100487</v>
          </cell>
          <cell r="P1428">
            <v>611000</v>
          </cell>
          <cell r="Q1428">
            <v>44376</v>
          </cell>
          <cell r="R1428" t="str">
            <v>No</v>
          </cell>
          <cell r="S1428" t="str">
            <v>C49</v>
          </cell>
          <cell r="T1428" t="str">
            <v>SOUTH</v>
          </cell>
          <cell r="U1428" t="str">
            <v>深圳</v>
          </cell>
          <cell r="V1428" t="str">
            <v>SZ 深圳</v>
          </cell>
          <cell r="W1428" t="str">
            <v>JL</v>
          </cell>
          <cell r="X1428" t="str">
            <v>RMB</v>
          </cell>
          <cell r="Y1428">
            <v>611000</v>
          </cell>
          <cell r="Z1428">
            <v>1.1299999999999999</v>
          </cell>
          <cell r="AA1428">
            <v>611000</v>
          </cell>
          <cell r="AB1428">
            <v>1.2</v>
          </cell>
          <cell r="AC1428">
            <v>648849.55752212391</v>
          </cell>
          <cell r="AD1428">
            <v>77861.946902654861</v>
          </cell>
          <cell r="AE1428">
            <v>0.12</v>
          </cell>
          <cell r="AF1428">
            <v>44271</v>
          </cell>
          <cell r="AG1428" t="str">
            <v>DDP SZ</v>
          </cell>
          <cell r="AK1428">
            <v>0.1</v>
          </cell>
          <cell r="AL1428">
            <v>61100</v>
          </cell>
          <cell r="AM1428">
            <v>44284</v>
          </cell>
          <cell r="AN1428" t="str">
            <v>Yes</v>
          </cell>
          <cell r="AO1428">
            <v>0.9</v>
          </cell>
          <cell r="AP1428">
            <v>549900</v>
          </cell>
          <cell r="AQ1428">
            <v>44342</v>
          </cell>
          <cell r="AR1428">
            <v>44342</v>
          </cell>
          <cell r="AS1428">
            <v>0</v>
          </cell>
          <cell r="AT1428">
            <v>0</v>
          </cell>
          <cell r="AX1428" t="str">
            <v>Yes</v>
          </cell>
          <cell r="AZ1428" t="str">
            <v>Y</v>
          </cell>
          <cell r="BA1428" t="str">
            <v>Yes</v>
          </cell>
        </row>
        <row r="1429">
          <cell r="B1429">
            <v>1279</v>
          </cell>
          <cell r="C1429" t="str">
            <v>C49SZX20210077JY</v>
          </cell>
          <cell r="D1429" t="str">
            <v>创荣发</v>
          </cell>
          <cell r="E1429" t="str">
            <v>YSM20R-2</v>
          </cell>
          <cell r="F1429" t="str">
            <v>#03866</v>
          </cell>
          <cell r="G1429" t="e">
            <v>#REF!</v>
          </cell>
          <cell r="H1429" t="e">
            <v>#REF!</v>
          </cell>
          <cell r="I1429" t="str">
            <v>L-&gt;R</v>
          </cell>
          <cell r="J1429" t="str">
            <v>No</v>
          </cell>
          <cell r="K1429">
            <v>1</v>
          </cell>
          <cell r="L1429">
            <v>110212</v>
          </cell>
          <cell r="M1429" t="str">
            <v>APR 21</v>
          </cell>
          <cell r="N1429">
            <v>44308</v>
          </cell>
          <cell r="O1429">
            <v>11116561</v>
          </cell>
          <cell r="P1429">
            <v>12034882</v>
          </cell>
          <cell r="Q1429">
            <v>44287</v>
          </cell>
          <cell r="R1429" t="str">
            <v>No</v>
          </cell>
          <cell r="S1429" t="str">
            <v>C49</v>
          </cell>
          <cell r="T1429" t="str">
            <v>SOUTH</v>
          </cell>
          <cell r="U1429" t="str">
            <v>深圳</v>
          </cell>
          <cell r="V1429" t="str">
            <v>SZ 深圳</v>
          </cell>
          <cell r="W1429" t="str">
            <v>JY</v>
          </cell>
          <cell r="X1429" t="str">
            <v>JPY</v>
          </cell>
          <cell r="Y1429">
            <v>12034882</v>
          </cell>
          <cell r="Z1429">
            <v>1</v>
          </cell>
          <cell r="AA1429">
            <v>12034882</v>
          </cell>
          <cell r="AB1429">
            <v>7.4499999999999997E-2</v>
          </cell>
          <cell r="AC1429">
            <v>896598.70899999992</v>
          </cell>
          <cell r="AD1429">
            <v>107591.84507999998</v>
          </cell>
          <cell r="AE1429">
            <v>0.12</v>
          </cell>
          <cell r="AF1429">
            <v>44272</v>
          </cell>
          <cell r="AG1429" t="str">
            <v>DAP HZ</v>
          </cell>
          <cell r="AK1429">
            <v>0.3</v>
          </cell>
          <cell r="AL1429">
            <v>3610464.6</v>
          </cell>
          <cell r="AM1429">
            <v>44287</v>
          </cell>
          <cell r="AN1429" t="str">
            <v>Yes</v>
          </cell>
          <cell r="AO1429">
            <v>0.7</v>
          </cell>
          <cell r="AP1429">
            <v>8424417.4000000004</v>
          </cell>
          <cell r="AQ1429">
            <v>44300</v>
          </cell>
          <cell r="AR1429">
            <v>44300</v>
          </cell>
          <cell r="AS1429">
            <v>0</v>
          </cell>
          <cell r="AT1429">
            <v>0</v>
          </cell>
          <cell r="AX1429" t="str">
            <v>Yes</v>
          </cell>
          <cell r="AZ1429" t="str">
            <v>Y</v>
          </cell>
          <cell r="BA1429" t="str">
            <v>Yes</v>
          </cell>
        </row>
        <row r="1430">
          <cell r="B1430">
            <v>1280</v>
          </cell>
          <cell r="C1430" t="str">
            <v>C49SZX20210077JY</v>
          </cell>
          <cell r="D1430" t="str">
            <v>创荣发</v>
          </cell>
          <cell r="E1430" t="str">
            <v>YSM10</v>
          </cell>
          <cell r="F1430" t="str">
            <v>#03866</v>
          </cell>
          <cell r="G1430" t="e">
            <v>#REF!</v>
          </cell>
          <cell r="H1430" t="e">
            <v>#REF!</v>
          </cell>
          <cell r="I1430" t="str">
            <v>L-&gt;R</v>
          </cell>
          <cell r="J1430" t="str">
            <v>MVC</v>
          </cell>
          <cell r="K1430">
            <v>1</v>
          </cell>
          <cell r="L1430">
            <v>110348</v>
          </cell>
          <cell r="M1430" t="str">
            <v>APR 21</v>
          </cell>
          <cell r="N1430">
            <v>44308</v>
          </cell>
          <cell r="O1430">
            <v>11116561</v>
          </cell>
          <cell r="P1430">
            <v>8000000</v>
          </cell>
          <cell r="Q1430">
            <v>44287</v>
          </cell>
          <cell r="R1430" t="str">
            <v>No</v>
          </cell>
          <cell r="S1430" t="str">
            <v>C49</v>
          </cell>
          <cell r="T1430" t="str">
            <v>SOUTH</v>
          </cell>
          <cell r="U1430" t="str">
            <v>深圳</v>
          </cell>
          <cell r="V1430" t="str">
            <v>SZ 深圳</v>
          </cell>
          <cell r="W1430" t="str">
            <v>JY</v>
          </cell>
          <cell r="X1430" t="str">
            <v>JPY</v>
          </cell>
          <cell r="Y1430">
            <v>8000000</v>
          </cell>
          <cell r="Z1430">
            <v>1</v>
          </cell>
          <cell r="AA1430">
            <v>8000000</v>
          </cell>
          <cell r="AB1430">
            <v>7.4499999999999997E-2</v>
          </cell>
          <cell r="AC1430">
            <v>596000</v>
          </cell>
          <cell r="AD1430">
            <v>71520</v>
          </cell>
          <cell r="AE1430">
            <v>0.12</v>
          </cell>
          <cell r="AF1430">
            <v>44272</v>
          </cell>
          <cell r="AG1430" t="str">
            <v>DAP HZ</v>
          </cell>
          <cell r="AK1430">
            <v>0.3</v>
          </cell>
          <cell r="AL1430">
            <v>2400000</v>
          </cell>
          <cell r="AM1430">
            <v>44287</v>
          </cell>
          <cell r="AN1430" t="str">
            <v>Yes</v>
          </cell>
          <cell r="AO1430">
            <v>0.7</v>
          </cell>
          <cell r="AP1430">
            <v>5600000</v>
          </cell>
          <cell r="AQ1430">
            <v>44300</v>
          </cell>
          <cell r="AR1430">
            <v>44300</v>
          </cell>
          <cell r="AS1430">
            <v>0</v>
          </cell>
          <cell r="AT1430">
            <v>0</v>
          </cell>
          <cell r="AX1430" t="str">
            <v>Yes</v>
          </cell>
          <cell r="AZ1430" t="str">
            <v>Y</v>
          </cell>
          <cell r="BA1430" t="str">
            <v>Yes</v>
          </cell>
        </row>
        <row r="1431">
          <cell r="B1431">
            <v>1281</v>
          </cell>
          <cell r="C1431" t="str">
            <v>C49SZX20210078JY</v>
          </cell>
          <cell r="D1431" t="str">
            <v>创荣发</v>
          </cell>
          <cell r="E1431" t="str">
            <v>YSM20R-2</v>
          </cell>
          <cell r="F1431" t="str">
            <v>#03866</v>
          </cell>
          <cell r="G1431" t="e">
            <v>#REF!</v>
          </cell>
          <cell r="H1431" t="e">
            <v>#REF!</v>
          </cell>
          <cell r="I1431" t="str">
            <v>L-&gt;R</v>
          </cell>
          <cell r="J1431" t="str">
            <v>No</v>
          </cell>
          <cell r="K1431">
            <v>1</v>
          </cell>
          <cell r="L1431" t="e">
            <v>#N/A</v>
          </cell>
          <cell r="M1431" t="e">
            <v>#N/A</v>
          </cell>
          <cell r="N1431"/>
          <cell r="O1431"/>
          <cell r="P1431"/>
          <cell r="Q1431"/>
          <cell r="R1431" t="str">
            <v>No</v>
          </cell>
          <cell r="S1431" t="str">
            <v>C49</v>
          </cell>
          <cell r="T1431" t="str">
            <v>SOUTH</v>
          </cell>
          <cell r="U1431" t="str">
            <v>深圳</v>
          </cell>
          <cell r="V1431" t="str">
            <v>SZ 深圳</v>
          </cell>
          <cell r="W1431" t="str">
            <v>JY</v>
          </cell>
          <cell r="X1431" t="str">
            <v>JPY</v>
          </cell>
          <cell r="Y1431">
            <v>11918157</v>
          </cell>
          <cell r="Z1431">
            <v>1</v>
          </cell>
          <cell r="AA1431">
            <v>11918157</v>
          </cell>
          <cell r="AB1431">
            <v>7.4499999999999997E-2</v>
          </cell>
          <cell r="AC1431">
            <v>887902.69649999996</v>
          </cell>
          <cell r="AD1431">
            <v>106548.32358</v>
          </cell>
          <cell r="AE1431">
            <v>0.12</v>
          </cell>
          <cell r="AF1431">
            <v>44272</v>
          </cell>
          <cell r="AG1431" t="str">
            <v>DAP HZ</v>
          </cell>
          <cell r="AI1431"/>
          <cell r="AJ1431"/>
          <cell r="AK1431">
            <v>0.3</v>
          </cell>
          <cell r="AL1431">
            <v>3575447.1</v>
          </cell>
          <cell r="AM1431"/>
          <cell r="AN1431" t="str">
            <v>No</v>
          </cell>
          <cell r="AO1431">
            <v>0.7</v>
          </cell>
          <cell r="AP1431">
            <v>8342709.8999999994</v>
          </cell>
          <cell r="AQ1431"/>
          <cell r="AR1431"/>
          <cell r="AS1431">
            <v>0</v>
          </cell>
          <cell r="AT1431">
            <v>0</v>
          </cell>
          <cell r="AV1431"/>
          <cell r="AX1431" t="str">
            <v>Cancel</v>
          </cell>
          <cell r="AY1431"/>
          <cell r="AZ1431"/>
          <cell r="BA1431" t="str">
            <v>Cancel</v>
          </cell>
          <cell r="BB1431" t="str">
            <v>2022-10-10Ken邮件通知</v>
          </cell>
        </row>
        <row r="1432">
          <cell r="B1432">
            <v>1282</v>
          </cell>
          <cell r="C1432" t="str">
            <v>C49SZX20210078JY</v>
          </cell>
          <cell r="D1432" t="str">
            <v>创荣发</v>
          </cell>
          <cell r="E1432" t="str">
            <v>YSM20R-2</v>
          </cell>
          <cell r="F1432" t="str">
            <v>#03866</v>
          </cell>
          <cell r="G1432" t="e">
            <v>#REF!</v>
          </cell>
          <cell r="H1432" t="e">
            <v>#REF!</v>
          </cell>
          <cell r="I1432" t="str">
            <v>L-&gt;R</v>
          </cell>
          <cell r="J1432" t="str">
            <v>No</v>
          </cell>
          <cell r="K1432">
            <v>1</v>
          </cell>
          <cell r="L1432" t="e">
            <v>#N/A</v>
          </cell>
          <cell r="M1432" t="e">
            <v>#N/A</v>
          </cell>
          <cell r="N1432"/>
          <cell r="O1432"/>
          <cell r="P1432"/>
          <cell r="Q1432"/>
          <cell r="R1432" t="str">
            <v>No</v>
          </cell>
          <cell r="S1432" t="str">
            <v>C49</v>
          </cell>
          <cell r="T1432" t="str">
            <v>SOUTH</v>
          </cell>
          <cell r="U1432" t="str">
            <v>深圳</v>
          </cell>
          <cell r="V1432" t="str">
            <v>SZ 深圳</v>
          </cell>
          <cell r="W1432" t="str">
            <v>JY</v>
          </cell>
          <cell r="X1432" t="str">
            <v>JPY</v>
          </cell>
          <cell r="Y1432">
            <v>11918157</v>
          </cell>
          <cell r="Z1432">
            <v>1</v>
          </cell>
          <cell r="AA1432">
            <v>11918157</v>
          </cell>
          <cell r="AB1432">
            <v>7.4499999999999997E-2</v>
          </cell>
          <cell r="AC1432">
            <v>887902.69649999996</v>
          </cell>
          <cell r="AD1432">
            <v>106548.32358</v>
          </cell>
          <cell r="AE1432">
            <v>0.12</v>
          </cell>
          <cell r="AF1432">
            <v>44272</v>
          </cell>
          <cell r="AG1432" t="str">
            <v>DAP HZ</v>
          </cell>
          <cell r="AI1432"/>
          <cell r="AJ1432"/>
          <cell r="AK1432">
            <v>0.3</v>
          </cell>
          <cell r="AL1432">
            <v>3575447.1</v>
          </cell>
          <cell r="AM1432"/>
          <cell r="AN1432" t="str">
            <v>No</v>
          </cell>
          <cell r="AO1432">
            <v>0.7</v>
          </cell>
          <cell r="AP1432">
            <v>8342709.8999999994</v>
          </cell>
          <cell r="AQ1432"/>
          <cell r="AR1432"/>
          <cell r="AS1432">
            <v>0</v>
          </cell>
          <cell r="AT1432">
            <v>0</v>
          </cell>
          <cell r="AV1432"/>
          <cell r="AX1432" t="str">
            <v>Cancel</v>
          </cell>
          <cell r="AY1432"/>
          <cell r="AZ1432"/>
          <cell r="BA1432" t="str">
            <v>Cancel</v>
          </cell>
          <cell r="BB1432" t="str">
            <v>2022-10-10Ken邮件通知</v>
          </cell>
        </row>
        <row r="1433">
          <cell r="B1433">
            <v>1283</v>
          </cell>
          <cell r="C1433" t="str">
            <v>C49SZX20210078JY</v>
          </cell>
          <cell r="D1433" t="str">
            <v>创荣发</v>
          </cell>
          <cell r="E1433" t="str">
            <v>YSM20R-2</v>
          </cell>
          <cell r="F1433" t="str">
            <v>#03866</v>
          </cell>
          <cell r="G1433" t="e">
            <v>#REF!</v>
          </cell>
          <cell r="H1433" t="e">
            <v>#REF!</v>
          </cell>
          <cell r="I1433" t="str">
            <v>L-&gt;R</v>
          </cell>
          <cell r="J1433" t="str">
            <v>No</v>
          </cell>
          <cell r="K1433">
            <v>1</v>
          </cell>
          <cell r="L1433" t="e">
            <v>#N/A</v>
          </cell>
          <cell r="M1433" t="e">
            <v>#N/A</v>
          </cell>
          <cell r="N1433"/>
          <cell r="O1433"/>
          <cell r="P1433"/>
          <cell r="Q1433"/>
          <cell r="R1433" t="str">
            <v>No</v>
          </cell>
          <cell r="S1433" t="str">
            <v>C49</v>
          </cell>
          <cell r="T1433" t="str">
            <v>SOUTH</v>
          </cell>
          <cell r="U1433" t="str">
            <v>深圳</v>
          </cell>
          <cell r="V1433" t="str">
            <v>SZ 深圳</v>
          </cell>
          <cell r="W1433" t="str">
            <v>JY</v>
          </cell>
          <cell r="X1433" t="str">
            <v>JPY</v>
          </cell>
          <cell r="Y1433">
            <v>11918157</v>
          </cell>
          <cell r="Z1433">
            <v>1</v>
          </cell>
          <cell r="AA1433">
            <v>11918157</v>
          </cell>
          <cell r="AB1433">
            <v>7.4499999999999997E-2</v>
          </cell>
          <cell r="AC1433">
            <v>887902.69649999996</v>
          </cell>
          <cell r="AD1433">
            <v>106548.32358</v>
          </cell>
          <cell r="AE1433">
            <v>0.12</v>
          </cell>
          <cell r="AF1433">
            <v>44272</v>
          </cell>
          <cell r="AG1433" t="str">
            <v>DAP HZ</v>
          </cell>
          <cell r="AI1433"/>
          <cell r="AJ1433"/>
          <cell r="AK1433">
            <v>0.3</v>
          </cell>
          <cell r="AL1433">
            <v>3575447.1</v>
          </cell>
          <cell r="AM1433"/>
          <cell r="AN1433" t="str">
            <v>No</v>
          </cell>
          <cell r="AO1433">
            <v>0.7</v>
          </cell>
          <cell r="AP1433">
            <v>8342709.8999999994</v>
          </cell>
          <cell r="AQ1433"/>
          <cell r="AR1433"/>
          <cell r="AS1433">
            <v>0</v>
          </cell>
          <cell r="AT1433">
            <v>0</v>
          </cell>
          <cell r="AV1433"/>
          <cell r="AX1433" t="str">
            <v>Cancel</v>
          </cell>
          <cell r="AY1433"/>
          <cell r="AZ1433"/>
          <cell r="BA1433" t="str">
            <v>Cancel</v>
          </cell>
          <cell r="BB1433" t="str">
            <v>2022-10-10Ken邮件通知</v>
          </cell>
        </row>
        <row r="1434">
          <cell r="B1434">
            <v>1284</v>
          </cell>
          <cell r="C1434" t="str">
            <v>C49SZX20210078JY</v>
          </cell>
          <cell r="D1434" t="str">
            <v>创荣发</v>
          </cell>
          <cell r="E1434" t="str">
            <v>YSM10</v>
          </cell>
          <cell r="F1434" t="str">
            <v>#03866</v>
          </cell>
          <cell r="G1434" t="e">
            <v>#REF!</v>
          </cell>
          <cell r="H1434" t="e">
            <v>#REF!</v>
          </cell>
          <cell r="I1434" t="str">
            <v>L-&gt;R</v>
          </cell>
          <cell r="J1434" t="str">
            <v>MVC</v>
          </cell>
          <cell r="K1434">
            <v>1</v>
          </cell>
          <cell r="L1434" t="e">
            <v>#N/A</v>
          </cell>
          <cell r="M1434" t="e">
            <v>#N/A</v>
          </cell>
          <cell r="N1434"/>
          <cell r="O1434"/>
          <cell r="P1434"/>
          <cell r="Q1434"/>
          <cell r="R1434" t="str">
            <v>No</v>
          </cell>
          <cell r="S1434" t="str">
            <v>C49</v>
          </cell>
          <cell r="T1434" t="str">
            <v>SOUTH</v>
          </cell>
          <cell r="U1434" t="str">
            <v>深圳</v>
          </cell>
          <cell r="V1434" t="str">
            <v>SZ 深圳</v>
          </cell>
          <cell r="W1434" t="str">
            <v>JY</v>
          </cell>
          <cell r="X1434" t="str">
            <v>JPY</v>
          </cell>
          <cell r="Y1434">
            <v>8000000</v>
          </cell>
          <cell r="Z1434">
            <v>1</v>
          </cell>
          <cell r="AA1434">
            <v>8000000</v>
          </cell>
          <cell r="AB1434">
            <v>7.4499999999999997E-2</v>
          </cell>
          <cell r="AC1434">
            <v>596000</v>
          </cell>
          <cell r="AD1434">
            <v>71520</v>
          </cell>
          <cell r="AE1434">
            <v>0.12</v>
          </cell>
          <cell r="AF1434">
            <v>44272</v>
          </cell>
          <cell r="AG1434" t="str">
            <v>DAP HZ</v>
          </cell>
          <cell r="AI1434"/>
          <cell r="AJ1434"/>
          <cell r="AK1434">
            <v>0.3</v>
          </cell>
          <cell r="AL1434">
            <v>2400000</v>
          </cell>
          <cell r="AM1434"/>
          <cell r="AN1434" t="str">
            <v>No</v>
          </cell>
          <cell r="AO1434">
            <v>0.7</v>
          </cell>
          <cell r="AP1434">
            <v>5600000</v>
          </cell>
          <cell r="AQ1434"/>
          <cell r="AR1434"/>
          <cell r="AS1434">
            <v>0</v>
          </cell>
          <cell r="AT1434">
            <v>0</v>
          </cell>
          <cell r="AV1434"/>
          <cell r="AX1434" t="str">
            <v>Cancel</v>
          </cell>
          <cell r="AY1434"/>
          <cell r="AZ1434"/>
          <cell r="BA1434" t="str">
            <v>Cancel</v>
          </cell>
          <cell r="BB1434" t="str">
            <v>2022-10-10Ken邮件通知</v>
          </cell>
        </row>
        <row r="1435">
          <cell r="B1435">
            <v>1285</v>
          </cell>
          <cell r="C1435" t="str">
            <v>C49SZX20210078JY</v>
          </cell>
          <cell r="D1435" t="str">
            <v>创荣发</v>
          </cell>
          <cell r="E1435" t="str">
            <v>YSM10</v>
          </cell>
          <cell r="F1435" t="str">
            <v>#03866</v>
          </cell>
          <cell r="G1435" t="e">
            <v>#REF!</v>
          </cell>
          <cell r="H1435" t="e">
            <v>#REF!</v>
          </cell>
          <cell r="I1435" t="str">
            <v>L-&gt;R</v>
          </cell>
          <cell r="J1435" t="str">
            <v>MVC</v>
          </cell>
          <cell r="K1435">
            <v>1</v>
          </cell>
          <cell r="L1435" t="e">
            <v>#N/A</v>
          </cell>
          <cell r="M1435" t="e">
            <v>#N/A</v>
          </cell>
          <cell r="N1435"/>
          <cell r="O1435"/>
          <cell r="P1435"/>
          <cell r="Q1435"/>
          <cell r="R1435" t="str">
            <v>No</v>
          </cell>
          <cell r="S1435" t="str">
            <v>C49</v>
          </cell>
          <cell r="T1435" t="str">
            <v>SOUTH</v>
          </cell>
          <cell r="U1435" t="str">
            <v>深圳</v>
          </cell>
          <cell r="V1435" t="str">
            <v>SZ 深圳</v>
          </cell>
          <cell r="W1435" t="str">
            <v>JY</v>
          </cell>
          <cell r="X1435" t="str">
            <v>JPY</v>
          </cell>
          <cell r="Y1435">
            <v>8000000</v>
          </cell>
          <cell r="Z1435">
            <v>1</v>
          </cell>
          <cell r="AA1435">
            <v>8000000</v>
          </cell>
          <cell r="AB1435">
            <v>7.4499999999999997E-2</v>
          </cell>
          <cell r="AC1435">
            <v>596000</v>
          </cell>
          <cell r="AD1435">
            <v>71520</v>
          </cell>
          <cell r="AE1435">
            <v>0.12</v>
          </cell>
          <cell r="AF1435">
            <v>44272</v>
          </cell>
          <cell r="AG1435" t="str">
            <v>DAP HZ</v>
          </cell>
          <cell r="AI1435"/>
          <cell r="AJ1435"/>
          <cell r="AK1435">
            <v>0.3</v>
          </cell>
          <cell r="AL1435">
            <v>2400000</v>
          </cell>
          <cell r="AM1435"/>
          <cell r="AN1435" t="str">
            <v>No</v>
          </cell>
          <cell r="AO1435">
            <v>0.7</v>
          </cell>
          <cell r="AP1435">
            <v>5600000</v>
          </cell>
          <cell r="AQ1435"/>
          <cell r="AR1435"/>
          <cell r="AS1435">
            <v>0</v>
          </cell>
          <cell r="AT1435">
            <v>0</v>
          </cell>
          <cell r="AV1435"/>
          <cell r="AX1435" t="str">
            <v>Cancel</v>
          </cell>
          <cell r="AY1435"/>
          <cell r="AZ1435"/>
          <cell r="BA1435" t="str">
            <v>Cancel</v>
          </cell>
          <cell r="BB1435" t="str">
            <v>2022-10-10Ken邮件通知</v>
          </cell>
        </row>
        <row r="1436">
          <cell r="B1436">
            <v>1286</v>
          </cell>
          <cell r="C1436" t="str">
            <v>C49SZX20210078JY</v>
          </cell>
          <cell r="D1436" t="str">
            <v>创荣发</v>
          </cell>
          <cell r="E1436" t="str">
            <v>YSM10</v>
          </cell>
          <cell r="F1436" t="str">
            <v>#03866</v>
          </cell>
          <cell r="G1436" t="e">
            <v>#REF!</v>
          </cell>
          <cell r="H1436" t="e">
            <v>#REF!</v>
          </cell>
          <cell r="I1436" t="str">
            <v>L-&gt;R</v>
          </cell>
          <cell r="J1436" t="str">
            <v>MVC</v>
          </cell>
          <cell r="K1436">
            <v>1</v>
          </cell>
          <cell r="L1436" t="e">
            <v>#N/A</v>
          </cell>
          <cell r="M1436" t="e">
            <v>#N/A</v>
          </cell>
          <cell r="N1436"/>
          <cell r="O1436"/>
          <cell r="P1436"/>
          <cell r="Q1436"/>
          <cell r="R1436" t="str">
            <v>No</v>
          </cell>
          <cell r="S1436" t="str">
            <v>C49</v>
          </cell>
          <cell r="T1436" t="str">
            <v>SOUTH</v>
          </cell>
          <cell r="U1436" t="str">
            <v>深圳</v>
          </cell>
          <cell r="V1436" t="str">
            <v>SZ 深圳</v>
          </cell>
          <cell r="W1436" t="str">
            <v>JY</v>
          </cell>
          <cell r="X1436" t="str">
            <v>JPY</v>
          </cell>
          <cell r="Y1436">
            <v>8000000</v>
          </cell>
          <cell r="Z1436">
            <v>1</v>
          </cell>
          <cell r="AA1436">
            <v>8000000</v>
          </cell>
          <cell r="AB1436">
            <v>7.4499999999999997E-2</v>
          </cell>
          <cell r="AC1436">
            <v>596000</v>
          </cell>
          <cell r="AD1436">
            <v>71520</v>
          </cell>
          <cell r="AE1436">
            <v>0.12</v>
          </cell>
          <cell r="AF1436">
            <v>44272</v>
          </cell>
          <cell r="AG1436" t="str">
            <v>DAP HZ</v>
          </cell>
          <cell r="AI1436"/>
          <cell r="AJ1436"/>
          <cell r="AK1436">
            <v>0.3</v>
          </cell>
          <cell r="AL1436">
            <v>2400000</v>
          </cell>
          <cell r="AM1436"/>
          <cell r="AN1436" t="str">
            <v>No</v>
          </cell>
          <cell r="AO1436">
            <v>0.7</v>
          </cell>
          <cell r="AP1436">
            <v>5600000</v>
          </cell>
          <cell r="AQ1436"/>
          <cell r="AR1436"/>
          <cell r="AS1436">
            <v>0</v>
          </cell>
          <cell r="AT1436">
            <v>0</v>
          </cell>
          <cell r="AV1436"/>
          <cell r="AX1436" t="str">
            <v>Cancel</v>
          </cell>
          <cell r="AY1436"/>
          <cell r="AZ1436"/>
          <cell r="BA1436" t="str">
            <v>Cancel</v>
          </cell>
          <cell r="BB1436" t="str">
            <v>2022-10-10Ken邮件通知</v>
          </cell>
        </row>
        <row r="1437">
          <cell r="B1437">
            <v>1287</v>
          </cell>
          <cell r="C1437" t="str">
            <v>C49SZX20210099VG</v>
          </cell>
          <cell r="D1437" t="str">
            <v>鸿翔</v>
          </cell>
          <cell r="E1437" t="str">
            <v>YSM10</v>
          </cell>
          <cell r="G1437" t="e">
            <v>#REF!</v>
          </cell>
          <cell r="H1437" t="e">
            <v>#REF!</v>
          </cell>
          <cell r="I1437" t="str">
            <v>L-&gt;R</v>
          </cell>
          <cell r="J1437" t="str">
            <v>MVC</v>
          </cell>
          <cell r="K1437">
            <v>1</v>
          </cell>
          <cell r="L1437">
            <v>110211</v>
          </cell>
          <cell r="M1437" t="str">
            <v>MAY 21</v>
          </cell>
          <cell r="N1437">
            <v>44341</v>
          </cell>
          <cell r="O1437">
            <v>11116589</v>
          </cell>
          <cell r="P1437">
            <v>10540000</v>
          </cell>
          <cell r="Q1437">
            <v>44344</v>
          </cell>
          <cell r="R1437" t="str">
            <v>Yes</v>
          </cell>
          <cell r="S1437" t="str">
            <v>C49</v>
          </cell>
          <cell r="T1437" t="str">
            <v>SOUTH</v>
          </cell>
          <cell r="U1437" t="str">
            <v>深圳</v>
          </cell>
          <cell r="V1437" t="str">
            <v>SZ 深圳</v>
          </cell>
          <cell r="W1437" t="str">
            <v>JL</v>
          </cell>
          <cell r="X1437" t="str">
            <v>JPY</v>
          </cell>
          <cell r="Y1437">
            <v>10540000</v>
          </cell>
          <cell r="Z1437">
            <v>1</v>
          </cell>
          <cell r="AA1437">
            <v>10540000</v>
          </cell>
          <cell r="AB1437">
            <v>7.4499999999999997E-2</v>
          </cell>
          <cell r="AC1437">
            <v>785230</v>
          </cell>
          <cell r="AD1437">
            <v>94227.599999999991</v>
          </cell>
          <cell r="AE1437">
            <v>0.12</v>
          </cell>
          <cell r="AF1437">
            <v>44282</v>
          </cell>
          <cell r="AG1437" t="str">
            <v>DAP SZ</v>
          </cell>
          <cell r="AK1437" t="str">
            <v>agree</v>
          </cell>
          <cell r="AL1437">
            <v>1581000</v>
          </cell>
          <cell r="AM1437">
            <v>44671</v>
          </cell>
          <cell r="AN1437" t="str">
            <v>Yes</v>
          </cell>
          <cell r="AO1437">
            <v>0.9</v>
          </cell>
          <cell r="AP1437">
            <v>9486000</v>
          </cell>
          <cell r="AQ1437">
            <v>44328</v>
          </cell>
          <cell r="AR1437">
            <v>44328</v>
          </cell>
          <cell r="AS1437">
            <v>0</v>
          </cell>
          <cell r="AT1437">
            <v>0</v>
          </cell>
          <cell r="AX1437" t="str">
            <v>Yes</v>
          </cell>
          <cell r="AZ1437" t="str">
            <v>Y</v>
          </cell>
          <cell r="BA1437" t="str">
            <v>Yes</v>
          </cell>
        </row>
        <row r="1438">
          <cell r="B1438">
            <v>1288</v>
          </cell>
          <cell r="C1438" t="str">
            <v>C49SZX20210092MZ</v>
          </cell>
          <cell r="D1438" t="str">
            <v>懿美莱</v>
          </cell>
          <cell r="E1438" t="str">
            <v>YSM20R-2</v>
          </cell>
          <cell r="F1438" t="str">
            <v>#48425</v>
          </cell>
          <cell r="G1438" t="e">
            <v>#REF!</v>
          </cell>
          <cell r="H1438" t="e">
            <v>#REF!</v>
          </cell>
          <cell r="I1438" t="str">
            <v>L-&gt;R</v>
          </cell>
          <cell r="J1438" t="str">
            <v>cATS10+MVC+special layout</v>
          </cell>
          <cell r="K1438">
            <v>1</v>
          </cell>
          <cell r="L1438">
            <v>110732</v>
          </cell>
          <cell r="M1438" t="str">
            <v>APR 22</v>
          </cell>
          <cell r="N1438">
            <v>44673</v>
          </cell>
          <cell r="O1438">
            <v>11116740</v>
          </cell>
          <cell r="P1438">
            <v>13750000</v>
          </cell>
          <cell r="Q1438">
            <v>44676</v>
          </cell>
          <cell r="R1438" t="str">
            <v>No</v>
          </cell>
          <cell r="S1438" t="str">
            <v>C49</v>
          </cell>
          <cell r="T1438" t="str">
            <v>SOUTH</v>
          </cell>
          <cell r="U1438" t="str">
            <v>深圳</v>
          </cell>
          <cell r="V1438" t="str">
            <v>SZ 深圳</v>
          </cell>
          <cell r="W1438" t="str">
            <v>MZ</v>
          </cell>
          <cell r="X1438" t="str">
            <v>JPY</v>
          </cell>
          <cell r="Y1438">
            <v>13750000</v>
          </cell>
          <cell r="Z1438">
            <v>1</v>
          </cell>
          <cell r="AA1438">
            <v>13750000</v>
          </cell>
          <cell r="AB1438">
            <v>7.4499999999999997E-2</v>
          </cell>
          <cell r="AC1438">
            <v>1024375</v>
          </cell>
          <cell r="AD1438">
            <v>122925</v>
          </cell>
          <cell r="AE1438">
            <v>0.12</v>
          </cell>
          <cell r="AF1438">
            <v>44285</v>
          </cell>
          <cell r="AG1438" t="str">
            <v>DAP SZ</v>
          </cell>
          <cell r="AI1438">
            <v>200000</v>
          </cell>
          <cell r="AJ1438">
            <v>44288</v>
          </cell>
          <cell r="AK1438">
            <v>0.1</v>
          </cell>
          <cell r="AL1438">
            <v>1375000</v>
          </cell>
          <cell r="AM1438">
            <v>44671</v>
          </cell>
          <cell r="AN1438" t="str">
            <v>Yes</v>
          </cell>
          <cell r="AO1438">
            <v>0.9</v>
          </cell>
          <cell r="AP1438">
            <v>12375000</v>
          </cell>
          <cell r="AQ1438">
            <v>44671</v>
          </cell>
          <cell r="AR1438">
            <v>44671</v>
          </cell>
          <cell r="AS1438">
            <v>0</v>
          </cell>
          <cell r="AT1438">
            <v>0</v>
          </cell>
          <cell r="AX1438" t="str">
            <v>Yes</v>
          </cell>
          <cell r="AZ1438" t="str">
            <v>Y</v>
          </cell>
          <cell r="BA1438" t="str">
            <v>Yes</v>
          </cell>
        </row>
        <row r="1439">
          <cell r="B1439">
            <v>1289</v>
          </cell>
          <cell r="C1439" t="str">
            <v>C49SZX20210092MZ</v>
          </cell>
          <cell r="D1439" t="str">
            <v>懿美莱</v>
          </cell>
          <cell r="E1439" t="str">
            <v>YSM20R-2</v>
          </cell>
          <cell r="F1439" t="str">
            <v>#48425</v>
          </cell>
          <cell r="G1439" t="e">
            <v>#REF!</v>
          </cell>
          <cell r="H1439" t="e">
            <v>#REF!</v>
          </cell>
          <cell r="I1439" t="str">
            <v>L-&gt;R</v>
          </cell>
          <cell r="J1439" t="str">
            <v>cATS10+MVC+special layout</v>
          </cell>
          <cell r="K1439">
            <v>1</v>
          </cell>
          <cell r="L1439">
            <v>110774</v>
          </cell>
          <cell r="M1439" t="str">
            <v>APR 22</v>
          </cell>
          <cell r="N1439">
            <v>44673</v>
          </cell>
          <cell r="O1439">
            <v>11116740</v>
          </cell>
          <cell r="P1439">
            <v>13750000</v>
          </cell>
          <cell r="Q1439">
            <v>44676</v>
          </cell>
          <cell r="R1439" t="str">
            <v>No</v>
          </cell>
          <cell r="S1439" t="str">
            <v>C49</v>
          </cell>
          <cell r="T1439" t="str">
            <v>SOUTH</v>
          </cell>
          <cell r="U1439" t="str">
            <v>深圳</v>
          </cell>
          <cell r="V1439" t="str">
            <v>SZ 深圳</v>
          </cell>
          <cell r="W1439" t="str">
            <v>MZ</v>
          </cell>
          <cell r="X1439" t="str">
            <v>JPY</v>
          </cell>
          <cell r="Y1439">
            <v>13750000</v>
          </cell>
          <cell r="Z1439">
            <v>1</v>
          </cell>
          <cell r="AA1439">
            <v>13750000</v>
          </cell>
          <cell r="AB1439">
            <v>7.4499999999999997E-2</v>
          </cell>
          <cell r="AC1439">
            <v>1024375</v>
          </cell>
          <cell r="AD1439">
            <v>122925</v>
          </cell>
          <cell r="AE1439">
            <v>0.12</v>
          </cell>
          <cell r="AF1439">
            <v>44285</v>
          </cell>
          <cell r="AG1439" t="str">
            <v>DAP SZ</v>
          </cell>
          <cell r="AI1439"/>
          <cell r="AJ1439">
            <v>44288</v>
          </cell>
          <cell r="AK1439">
            <v>0.1</v>
          </cell>
          <cell r="AL1439">
            <v>1375000</v>
          </cell>
          <cell r="AM1439">
            <v>44671</v>
          </cell>
          <cell r="AN1439" t="str">
            <v>Yes</v>
          </cell>
          <cell r="AO1439">
            <v>0.9</v>
          </cell>
          <cell r="AP1439">
            <v>12375000</v>
          </cell>
          <cell r="AQ1439">
            <v>44671</v>
          </cell>
          <cell r="AR1439">
            <v>44671</v>
          </cell>
          <cell r="AS1439">
            <v>0</v>
          </cell>
          <cell r="AT1439">
            <v>0</v>
          </cell>
          <cell r="AX1439" t="str">
            <v>Yes</v>
          </cell>
          <cell r="AZ1439" t="str">
            <v>Y</v>
          </cell>
          <cell r="BA1439" t="str">
            <v>Yes</v>
          </cell>
        </row>
        <row r="1440">
          <cell r="B1440">
            <v>1290</v>
          </cell>
          <cell r="C1440" t="str">
            <v>C49SZX20210092MZ</v>
          </cell>
          <cell r="D1440" t="str">
            <v>懿美莱</v>
          </cell>
          <cell r="E1440" t="str">
            <v>YSM20R-2</v>
          </cell>
          <cell r="F1440" t="str">
            <v>#48425</v>
          </cell>
          <cell r="G1440" t="e">
            <v>#REF!</v>
          </cell>
          <cell r="H1440" t="e">
            <v>#REF!</v>
          </cell>
          <cell r="I1440" t="str">
            <v>L-&gt;R</v>
          </cell>
          <cell r="J1440" t="str">
            <v>No</v>
          </cell>
          <cell r="K1440">
            <v>1</v>
          </cell>
          <cell r="L1440">
            <v>110767</v>
          </cell>
          <cell r="M1440" t="str">
            <v>APR 22</v>
          </cell>
          <cell r="N1440">
            <v>44673</v>
          </cell>
          <cell r="O1440">
            <v>11116740</v>
          </cell>
          <cell r="P1440">
            <v>13750000</v>
          </cell>
          <cell r="Q1440">
            <v>44676</v>
          </cell>
          <cell r="R1440" t="str">
            <v>No</v>
          </cell>
          <cell r="S1440" t="str">
            <v>C49</v>
          </cell>
          <cell r="T1440" t="str">
            <v>SOUTH</v>
          </cell>
          <cell r="U1440" t="str">
            <v>深圳</v>
          </cell>
          <cell r="V1440" t="str">
            <v>SZ 深圳</v>
          </cell>
          <cell r="W1440" t="str">
            <v>MZ</v>
          </cell>
          <cell r="X1440" t="str">
            <v>JPY</v>
          </cell>
          <cell r="Y1440">
            <v>13750000</v>
          </cell>
          <cell r="Z1440">
            <v>1</v>
          </cell>
          <cell r="AA1440">
            <v>13750000</v>
          </cell>
          <cell r="AB1440">
            <v>7.4499999999999997E-2</v>
          </cell>
          <cell r="AC1440">
            <v>1024375</v>
          </cell>
          <cell r="AD1440">
            <v>122925</v>
          </cell>
          <cell r="AE1440">
            <v>0.12</v>
          </cell>
          <cell r="AF1440">
            <v>44285</v>
          </cell>
          <cell r="AG1440" t="str">
            <v>DAP SZ</v>
          </cell>
          <cell r="AI1440"/>
          <cell r="AJ1440">
            <v>44288</v>
          </cell>
          <cell r="AK1440">
            <v>0.1</v>
          </cell>
          <cell r="AL1440">
            <v>1375000</v>
          </cell>
          <cell r="AM1440">
            <v>44671</v>
          </cell>
          <cell r="AN1440" t="str">
            <v>Yes</v>
          </cell>
          <cell r="AO1440">
            <v>0.9</v>
          </cell>
          <cell r="AP1440">
            <v>12375000</v>
          </cell>
          <cell r="AQ1440">
            <v>44671</v>
          </cell>
          <cell r="AR1440">
            <v>44671</v>
          </cell>
          <cell r="AS1440">
            <v>0</v>
          </cell>
          <cell r="AT1440">
            <v>0</v>
          </cell>
          <cell r="AX1440" t="str">
            <v>Yes</v>
          </cell>
          <cell r="AZ1440" t="str">
            <v>Y</v>
          </cell>
          <cell r="BA1440" t="str">
            <v>Yes</v>
          </cell>
        </row>
        <row r="1441">
          <cell r="B1441">
            <v>1291</v>
          </cell>
          <cell r="C1441" t="str">
            <v>C49SZX20210092MZ</v>
          </cell>
          <cell r="D1441" t="str">
            <v>懿美莱</v>
          </cell>
          <cell r="E1441" t="str">
            <v>YSM20R-2</v>
          </cell>
          <cell r="F1441" t="str">
            <v>#48425</v>
          </cell>
          <cell r="G1441" t="e">
            <v>#REF!</v>
          </cell>
          <cell r="H1441" t="e">
            <v>#REF!</v>
          </cell>
          <cell r="I1441" t="str">
            <v>L-&gt;R</v>
          </cell>
          <cell r="J1441" t="str">
            <v>No</v>
          </cell>
          <cell r="K1441">
            <v>1</v>
          </cell>
          <cell r="L1441">
            <v>110773</v>
          </cell>
          <cell r="M1441" t="str">
            <v>APR 22</v>
          </cell>
          <cell r="N1441">
            <v>44673</v>
          </cell>
          <cell r="O1441">
            <v>11116740</v>
          </cell>
          <cell r="P1441">
            <v>13750000</v>
          </cell>
          <cell r="Q1441">
            <v>44676</v>
          </cell>
          <cell r="R1441" t="str">
            <v>No</v>
          </cell>
          <cell r="S1441" t="str">
            <v>C49</v>
          </cell>
          <cell r="T1441" t="str">
            <v>SOUTH</v>
          </cell>
          <cell r="U1441" t="str">
            <v>深圳</v>
          </cell>
          <cell r="V1441" t="str">
            <v>SZ 深圳</v>
          </cell>
          <cell r="W1441" t="str">
            <v>MZ</v>
          </cell>
          <cell r="X1441" t="str">
            <v>JPY</v>
          </cell>
          <cell r="Y1441">
            <v>13750000</v>
          </cell>
          <cell r="Z1441">
            <v>1</v>
          </cell>
          <cell r="AA1441">
            <v>13750000</v>
          </cell>
          <cell r="AB1441">
            <v>7.4499999999999997E-2</v>
          </cell>
          <cell r="AC1441">
            <v>1024375</v>
          </cell>
          <cell r="AD1441">
            <v>122925</v>
          </cell>
          <cell r="AE1441">
            <v>0.12</v>
          </cell>
          <cell r="AF1441">
            <v>44285</v>
          </cell>
          <cell r="AG1441" t="str">
            <v>DAP SZ</v>
          </cell>
          <cell r="AI1441"/>
          <cell r="AJ1441">
            <v>44288</v>
          </cell>
          <cell r="AK1441">
            <v>0.1</v>
          </cell>
          <cell r="AL1441">
            <v>1375000</v>
          </cell>
          <cell r="AM1441">
            <v>44671</v>
          </cell>
          <cell r="AN1441" t="str">
            <v>Yes</v>
          </cell>
          <cell r="AO1441">
            <v>0.9</v>
          </cell>
          <cell r="AP1441">
            <v>12375000</v>
          </cell>
          <cell r="AQ1441">
            <v>44671</v>
          </cell>
          <cell r="AR1441">
            <v>44671</v>
          </cell>
          <cell r="AS1441">
            <v>0</v>
          </cell>
          <cell r="AT1441">
            <v>0</v>
          </cell>
          <cell r="AX1441" t="str">
            <v>Yes</v>
          </cell>
          <cell r="AZ1441" t="str">
            <v>Y</v>
          </cell>
          <cell r="BA1441" t="str">
            <v>Yes</v>
          </cell>
        </row>
        <row r="1442">
          <cell r="B1442">
            <v>1292</v>
          </cell>
          <cell r="C1442" t="str">
            <v>C49SZX20210091SS</v>
          </cell>
          <cell r="D1442" t="str">
            <v>乘扬</v>
          </cell>
          <cell r="E1442" t="str">
            <v>YSM10</v>
          </cell>
          <cell r="F1442" t="str">
            <v>#04478</v>
          </cell>
          <cell r="G1442" t="e">
            <v>#REF!</v>
          </cell>
          <cell r="H1442" t="e">
            <v>#REF!</v>
          </cell>
          <cell r="I1442" t="str">
            <v>L-&gt;R</v>
          </cell>
          <cell r="J1442" t="str">
            <v>MVC</v>
          </cell>
          <cell r="K1442">
            <v>1</v>
          </cell>
          <cell r="L1442">
            <v>110756</v>
          </cell>
          <cell r="M1442" t="str">
            <v>APR 22</v>
          </cell>
          <cell r="N1442">
            <v>44663</v>
          </cell>
          <cell r="O1442">
            <v>11116720</v>
          </cell>
          <cell r="P1442">
            <v>8200000</v>
          </cell>
          <cell r="Q1442">
            <v>44650</v>
          </cell>
          <cell r="R1442" t="str">
            <v>No</v>
          </cell>
          <cell r="S1442" t="str">
            <v>C49</v>
          </cell>
          <cell r="T1442" t="str">
            <v>SOUTH</v>
          </cell>
          <cell r="U1442" t="str">
            <v>深圳</v>
          </cell>
          <cell r="V1442" t="str">
            <v>SZ 深圳</v>
          </cell>
          <cell r="W1442" t="str">
            <v>SS</v>
          </cell>
          <cell r="X1442" t="str">
            <v>JPY</v>
          </cell>
          <cell r="Y1442">
            <v>8200000</v>
          </cell>
          <cell r="Z1442">
            <v>1</v>
          </cell>
          <cell r="AA1442">
            <v>8200000</v>
          </cell>
          <cell r="AB1442">
            <v>7.4499999999999997E-2</v>
          </cell>
          <cell r="AC1442">
            <v>610900</v>
          </cell>
          <cell r="AD1442">
            <v>73308</v>
          </cell>
          <cell r="AE1442">
            <v>0.12</v>
          </cell>
          <cell r="AF1442">
            <v>44285</v>
          </cell>
          <cell r="AG1442" t="str">
            <v>CIF HK</v>
          </cell>
          <cell r="AK1442">
            <v>0.1</v>
          </cell>
          <cell r="AL1442">
            <v>820000</v>
          </cell>
          <cell r="AM1442">
            <v>44326</v>
          </cell>
          <cell r="AN1442" t="str">
            <v>Yes</v>
          </cell>
          <cell r="AO1442">
            <v>0.9</v>
          </cell>
          <cell r="AP1442">
            <v>7380000</v>
          </cell>
          <cell r="AQ1442">
            <v>44631</v>
          </cell>
          <cell r="AR1442">
            <v>44631</v>
          </cell>
          <cell r="AS1442">
            <v>0</v>
          </cell>
          <cell r="AT1442">
            <v>0</v>
          </cell>
          <cell r="AX1442" t="str">
            <v>Yes</v>
          </cell>
          <cell r="AZ1442" t="str">
            <v>Y</v>
          </cell>
          <cell r="BA1442" t="str">
            <v>Yes</v>
          </cell>
        </row>
        <row r="1443">
          <cell r="B1443">
            <v>1293</v>
          </cell>
          <cell r="C1443" t="str">
            <v>C49SZX20210091SS</v>
          </cell>
          <cell r="D1443" t="str">
            <v>乘扬</v>
          </cell>
          <cell r="E1443" t="str">
            <v>YSM20R-2</v>
          </cell>
          <cell r="F1443" t="str">
            <v>#04478</v>
          </cell>
          <cell r="G1443" t="e">
            <v>#REF!</v>
          </cell>
          <cell r="H1443" t="e">
            <v>#REF!</v>
          </cell>
          <cell r="I1443" t="str">
            <v>R-&gt;L</v>
          </cell>
          <cell r="J1443" t="str">
            <v>No</v>
          </cell>
          <cell r="K1443">
            <v>1</v>
          </cell>
          <cell r="L1443">
            <v>110670</v>
          </cell>
          <cell r="M1443" t="str">
            <v>JAN 22</v>
          </cell>
          <cell r="N1443">
            <v>44568</v>
          </cell>
          <cell r="O1443">
            <v>11116687</v>
          </cell>
          <cell r="P1443">
            <v>11800000</v>
          </cell>
          <cell r="Q1443">
            <v>44568</v>
          </cell>
          <cell r="R1443" t="str">
            <v>No</v>
          </cell>
          <cell r="S1443" t="str">
            <v>C49</v>
          </cell>
          <cell r="T1443" t="str">
            <v>SOUTH</v>
          </cell>
          <cell r="U1443" t="str">
            <v>深圳</v>
          </cell>
          <cell r="V1443" t="str">
            <v>SZ 深圳</v>
          </cell>
          <cell r="W1443" t="str">
            <v>SS</v>
          </cell>
          <cell r="X1443" t="str">
            <v>JPY</v>
          </cell>
          <cell r="Y1443">
            <v>11800000</v>
          </cell>
          <cell r="Z1443">
            <v>1</v>
          </cell>
          <cell r="AA1443">
            <v>11800000</v>
          </cell>
          <cell r="AB1443">
            <v>7.4499999999999997E-2</v>
          </cell>
          <cell r="AC1443">
            <v>879100</v>
          </cell>
          <cell r="AD1443">
            <v>105492</v>
          </cell>
          <cell r="AE1443">
            <v>0.12</v>
          </cell>
          <cell r="AF1443">
            <v>44285</v>
          </cell>
          <cell r="AG1443" t="str">
            <v>CIF HK</v>
          </cell>
          <cell r="AK1443">
            <v>0.1</v>
          </cell>
          <cell r="AL1443">
            <v>1180000</v>
          </cell>
          <cell r="AM1443">
            <v>44326</v>
          </cell>
          <cell r="AN1443" t="str">
            <v>Yes</v>
          </cell>
          <cell r="AO1443">
            <v>0.9</v>
          </cell>
          <cell r="AP1443">
            <v>10620000</v>
          </cell>
          <cell r="AQ1443">
            <v>44558</v>
          </cell>
          <cell r="AR1443">
            <v>44558</v>
          </cell>
          <cell r="AS1443">
            <v>0</v>
          </cell>
          <cell r="AT1443">
            <v>0</v>
          </cell>
          <cell r="AX1443" t="str">
            <v>Yes</v>
          </cell>
          <cell r="AZ1443" t="str">
            <v>Y</v>
          </cell>
          <cell r="BA1443" t="str">
            <v>Yes</v>
          </cell>
        </row>
        <row r="1444">
          <cell r="B1444">
            <v>1294</v>
          </cell>
          <cell r="C1444" t="str">
            <v>C49SZX20210101JD</v>
          </cell>
          <cell r="D1444" t="str">
            <v>聚亮兴业</v>
          </cell>
          <cell r="E1444" t="str">
            <v>YSM20R-2</v>
          </cell>
          <cell r="G1444" t="e">
            <v>#REF!</v>
          </cell>
          <cell r="H1444" t="e">
            <v>#REF!</v>
          </cell>
          <cell r="I1444" t="str">
            <v>L-&gt;R</v>
          </cell>
          <cell r="J1444" t="str">
            <v>No</v>
          </cell>
          <cell r="K1444">
            <v>1</v>
          </cell>
          <cell r="R1444" t="str">
            <v>Yes</v>
          </cell>
          <cell r="S1444" t="str">
            <v>C49</v>
          </cell>
          <cell r="T1444" t="str">
            <v>SOUTH</v>
          </cell>
          <cell r="U1444" t="str">
            <v>深圳</v>
          </cell>
          <cell r="V1444" t="str">
            <v>SZ 深圳</v>
          </cell>
          <cell r="W1444" t="str">
            <v>JD</v>
          </cell>
          <cell r="X1444" t="str">
            <v>JPY</v>
          </cell>
          <cell r="Y1444">
            <v>13600000</v>
          </cell>
          <cell r="Z1444">
            <v>1</v>
          </cell>
          <cell r="AA1444">
            <v>13600000</v>
          </cell>
          <cell r="AB1444">
            <v>7.4499999999999997E-2</v>
          </cell>
          <cell r="AC1444">
            <v>1013200</v>
          </cell>
          <cell r="AD1444">
            <v>121584</v>
          </cell>
          <cell r="AE1444">
            <v>0.12</v>
          </cell>
          <cell r="AF1444">
            <v>44286</v>
          </cell>
          <cell r="AG1444" t="str">
            <v>DAP SZ</v>
          </cell>
          <cell r="AK1444" t="str">
            <v>agree</v>
          </cell>
          <cell r="AL1444">
            <v>334112</v>
          </cell>
          <cell r="AM1444">
            <v>44294</v>
          </cell>
          <cell r="AN1444" t="str">
            <v>Yes</v>
          </cell>
          <cell r="AO1444">
            <v>0.65</v>
          </cell>
          <cell r="AP1444">
            <v>8840000</v>
          </cell>
          <cell r="AS1444">
            <v>0.05</v>
          </cell>
          <cell r="AT1444">
            <v>680000</v>
          </cell>
        </row>
        <row r="1445">
          <cell r="B1445">
            <v>1295</v>
          </cell>
          <cell r="C1445" t="str">
            <v>C49SZX20210102SX</v>
          </cell>
          <cell r="D1445" t="str">
            <v>昂迅</v>
          </cell>
          <cell r="E1445" t="str">
            <v>YSM20R-2</v>
          </cell>
          <cell r="F1445"/>
          <cell r="G1445" t="e">
            <v>#REF!</v>
          </cell>
          <cell r="H1445" t="e">
            <v>#REF!</v>
          </cell>
          <cell r="I1445" t="str">
            <v>R-&gt;L</v>
          </cell>
          <cell r="J1445" t="str">
            <v>No</v>
          </cell>
          <cell r="K1445">
            <v>1</v>
          </cell>
          <cell r="L1445"/>
          <cell r="N1445"/>
          <cell r="O1445"/>
          <cell r="P1445"/>
          <cell r="Q1445"/>
          <cell r="R1445" t="str">
            <v>Yes</v>
          </cell>
          <cell r="S1445" t="str">
            <v>C49</v>
          </cell>
          <cell r="T1445" t="str">
            <v>SOUTH</v>
          </cell>
          <cell r="U1445" t="str">
            <v>深圳</v>
          </cell>
          <cell r="V1445" t="str">
            <v>SZ 深圳</v>
          </cell>
          <cell r="W1445" t="str">
            <v>SX</v>
          </cell>
          <cell r="X1445" t="str">
            <v>JPY</v>
          </cell>
          <cell r="Y1445">
            <v>13200000</v>
          </cell>
          <cell r="Z1445">
            <v>1</v>
          </cell>
          <cell r="AA1445">
            <v>13200000</v>
          </cell>
          <cell r="AB1445">
            <v>7.17E-2</v>
          </cell>
          <cell r="AC1445">
            <v>946440</v>
          </cell>
          <cell r="AD1445">
            <v>113572.8</v>
          </cell>
          <cell r="AE1445">
            <v>0.12</v>
          </cell>
          <cell r="AF1445">
            <v>44288</v>
          </cell>
          <cell r="AG1445" t="str">
            <v>DAP SZ</v>
          </cell>
          <cell r="AI1445"/>
          <cell r="AJ1445"/>
          <cell r="AK1445">
            <v>0.1</v>
          </cell>
          <cell r="AL1445">
            <v>1320000</v>
          </cell>
          <cell r="AM1445"/>
          <cell r="AN1445" t="str">
            <v>No</v>
          </cell>
          <cell r="AO1445">
            <v>0.9</v>
          </cell>
          <cell r="AP1445">
            <v>11880000</v>
          </cell>
          <cell r="AQ1445"/>
          <cell r="AR1445"/>
          <cell r="AS1445">
            <v>0</v>
          </cell>
          <cell r="AT1445">
            <v>0</v>
          </cell>
          <cell r="AV1445"/>
          <cell r="AX1445" t="str">
            <v>Cancel</v>
          </cell>
          <cell r="AY1445"/>
          <cell r="AZ1445"/>
          <cell r="BA1445" t="str">
            <v>Cancel</v>
          </cell>
          <cell r="BB1445" t="str">
            <v>2023-3-31Ken邮件通知</v>
          </cell>
        </row>
        <row r="1446">
          <cell r="B1446">
            <v>1296</v>
          </cell>
          <cell r="C1446" t="str">
            <v>C49SZX20210107SX</v>
          </cell>
          <cell r="D1446" t="str">
            <v>君泽</v>
          </cell>
          <cell r="E1446" t="str">
            <v>YSM20R-2</v>
          </cell>
          <cell r="F1446" t="str">
            <v>#72404</v>
          </cell>
          <cell r="G1446" t="e">
            <v>#REF!</v>
          </cell>
          <cell r="H1446" t="e">
            <v>#REF!</v>
          </cell>
          <cell r="I1446" t="str">
            <v>R-&gt;L</v>
          </cell>
          <cell r="J1446" t="str">
            <v>No</v>
          </cell>
          <cell r="K1446">
            <v>1</v>
          </cell>
          <cell r="N1446">
            <v>44347</v>
          </cell>
          <cell r="O1446">
            <v>11116594</v>
          </cell>
          <cell r="P1446">
            <v>12500000</v>
          </cell>
          <cell r="Q1446">
            <v>44347</v>
          </cell>
          <cell r="R1446" t="str">
            <v>No</v>
          </cell>
          <cell r="S1446" t="str">
            <v>C49</v>
          </cell>
          <cell r="T1446" t="str">
            <v>SOUTH</v>
          </cell>
          <cell r="U1446" t="str">
            <v>深圳</v>
          </cell>
          <cell r="V1446" t="str">
            <v>SZ 深圳</v>
          </cell>
          <cell r="W1446" t="str">
            <v>SX</v>
          </cell>
          <cell r="X1446" t="str">
            <v>JPY</v>
          </cell>
          <cell r="Y1446">
            <v>12500000</v>
          </cell>
          <cell r="Z1446">
            <v>1</v>
          </cell>
          <cell r="AA1446">
            <v>12500000</v>
          </cell>
          <cell r="AB1446">
            <v>7.17E-2</v>
          </cell>
          <cell r="AC1446">
            <v>896250</v>
          </cell>
          <cell r="AD1446">
            <v>107550</v>
          </cell>
          <cell r="AE1446">
            <v>0.12</v>
          </cell>
          <cell r="AF1446">
            <v>44293</v>
          </cell>
          <cell r="AG1446" t="str">
            <v>DAP DG</v>
          </cell>
          <cell r="AK1446">
            <v>0.1</v>
          </cell>
          <cell r="AL1446">
            <v>1250000</v>
          </cell>
          <cell r="AM1446">
            <v>44298</v>
          </cell>
          <cell r="AN1446" t="str">
            <v>Yes</v>
          </cell>
          <cell r="AO1446">
            <v>0.9</v>
          </cell>
          <cell r="AP1446">
            <v>11250000</v>
          </cell>
          <cell r="AQ1446">
            <v>44341</v>
          </cell>
          <cell r="AR1446">
            <v>44341</v>
          </cell>
          <cell r="AS1446">
            <v>0</v>
          </cell>
          <cell r="AT1446">
            <v>0</v>
          </cell>
          <cell r="AX1446" t="str">
            <v>Yes</v>
          </cell>
          <cell r="AZ1446" t="str">
            <v>Y</v>
          </cell>
          <cell r="BA1446" t="str">
            <v>Yes</v>
          </cell>
        </row>
        <row r="1447">
          <cell r="B1447">
            <v>1297</v>
          </cell>
          <cell r="C1447" t="str">
            <v>C49SZX20210107SX</v>
          </cell>
          <cell r="D1447" t="str">
            <v>君泽</v>
          </cell>
          <cell r="E1447" t="str">
            <v>YSM10</v>
          </cell>
          <cell r="F1447" t="str">
            <v>#72404</v>
          </cell>
          <cell r="G1447" t="e">
            <v>#REF!</v>
          </cell>
          <cell r="H1447" t="e">
            <v>#REF!</v>
          </cell>
          <cell r="I1447" t="str">
            <v>L-&gt;R</v>
          </cell>
          <cell r="J1447" t="str">
            <v>MVC</v>
          </cell>
          <cell r="K1447">
            <v>1</v>
          </cell>
          <cell r="N1447">
            <v>44347</v>
          </cell>
          <cell r="O1447">
            <v>11116594</v>
          </cell>
          <cell r="P1447">
            <v>8353000</v>
          </cell>
          <cell r="Q1447">
            <v>44347</v>
          </cell>
          <cell r="R1447" t="str">
            <v>No</v>
          </cell>
          <cell r="S1447" t="str">
            <v>C49</v>
          </cell>
          <cell r="T1447" t="str">
            <v>SOUTH</v>
          </cell>
          <cell r="U1447" t="str">
            <v>深圳</v>
          </cell>
          <cell r="V1447" t="str">
            <v>SZ 深圳</v>
          </cell>
          <cell r="W1447" t="str">
            <v>SX</v>
          </cell>
          <cell r="X1447" t="str">
            <v>JPY</v>
          </cell>
          <cell r="Y1447">
            <v>8353000</v>
          </cell>
          <cell r="Z1447">
            <v>1</v>
          </cell>
          <cell r="AA1447">
            <v>8353000</v>
          </cell>
          <cell r="AB1447">
            <v>7.17E-2</v>
          </cell>
          <cell r="AC1447">
            <v>598910.1</v>
          </cell>
          <cell r="AD1447">
            <v>71869.212</v>
          </cell>
          <cell r="AE1447">
            <v>0.12</v>
          </cell>
          <cell r="AF1447">
            <v>44293</v>
          </cell>
          <cell r="AG1447" t="str">
            <v>DAP DG</v>
          </cell>
          <cell r="AK1447">
            <v>0.1</v>
          </cell>
          <cell r="AL1447">
            <v>835300</v>
          </cell>
          <cell r="AM1447">
            <v>44298</v>
          </cell>
          <cell r="AN1447" t="str">
            <v>Yes</v>
          </cell>
          <cell r="AO1447">
            <v>0.9</v>
          </cell>
          <cell r="AP1447">
            <v>7517700</v>
          </cell>
          <cell r="AQ1447">
            <v>44341</v>
          </cell>
          <cell r="AR1447">
            <v>44341</v>
          </cell>
          <cell r="AS1447">
            <v>0</v>
          </cell>
          <cell r="AT1447">
            <v>0</v>
          </cell>
          <cell r="AX1447" t="str">
            <v>Yes</v>
          </cell>
          <cell r="AZ1447" t="str">
            <v>Y</v>
          </cell>
          <cell r="BA1447" t="str">
            <v>Yes</v>
          </cell>
        </row>
        <row r="1448">
          <cell r="B1448">
            <v>1298</v>
          </cell>
          <cell r="C1448" t="str">
            <v>C49SZX20210107SX</v>
          </cell>
          <cell r="D1448" t="str">
            <v>君泽</v>
          </cell>
          <cell r="E1448" t="str">
            <v>YSM10</v>
          </cell>
          <cell r="F1448" t="str">
            <v>#72404</v>
          </cell>
          <cell r="G1448" t="e">
            <v>#REF!</v>
          </cell>
          <cell r="H1448" t="e">
            <v>#REF!</v>
          </cell>
          <cell r="I1448" t="str">
            <v>R-&gt;L</v>
          </cell>
          <cell r="J1448" t="str">
            <v>MVC</v>
          </cell>
          <cell r="K1448">
            <v>1</v>
          </cell>
          <cell r="N1448">
            <v>44347</v>
          </cell>
          <cell r="O1448">
            <v>11116594</v>
          </cell>
          <cell r="P1448">
            <v>8353000</v>
          </cell>
          <cell r="Q1448">
            <v>44347</v>
          </cell>
          <cell r="R1448" t="str">
            <v>No</v>
          </cell>
          <cell r="S1448" t="str">
            <v>C49</v>
          </cell>
          <cell r="T1448" t="str">
            <v>SOUTH</v>
          </cell>
          <cell r="U1448" t="str">
            <v>深圳</v>
          </cell>
          <cell r="V1448" t="str">
            <v>SZ 深圳</v>
          </cell>
          <cell r="W1448" t="str">
            <v>SX</v>
          </cell>
          <cell r="X1448" t="str">
            <v>JPY</v>
          </cell>
          <cell r="Y1448">
            <v>8353000</v>
          </cell>
          <cell r="Z1448">
            <v>1</v>
          </cell>
          <cell r="AA1448">
            <v>8353000</v>
          </cell>
          <cell r="AB1448">
            <v>7.17E-2</v>
          </cell>
          <cell r="AC1448">
            <v>598910.1</v>
          </cell>
          <cell r="AD1448">
            <v>71869.212</v>
          </cell>
          <cell r="AE1448">
            <v>0.12</v>
          </cell>
          <cell r="AF1448">
            <v>44293</v>
          </cell>
          <cell r="AG1448" t="str">
            <v>DAP DG</v>
          </cell>
          <cell r="AK1448">
            <v>0.1</v>
          </cell>
          <cell r="AL1448">
            <v>835300</v>
          </cell>
          <cell r="AM1448">
            <v>44298</v>
          </cell>
          <cell r="AN1448" t="str">
            <v>Yes</v>
          </cell>
          <cell r="AO1448">
            <v>0.9</v>
          </cell>
          <cell r="AP1448">
            <v>7517700</v>
          </cell>
          <cell r="AQ1448">
            <v>44341</v>
          </cell>
          <cell r="AR1448">
            <v>44341</v>
          </cell>
          <cell r="AS1448">
            <v>0</v>
          </cell>
          <cell r="AT1448">
            <v>0</v>
          </cell>
          <cell r="AX1448" t="str">
            <v>Yes</v>
          </cell>
          <cell r="AZ1448" t="str">
            <v>Y</v>
          </cell>
          <cell r="BA1448" t="str">
            <v>Yes</v>
          </cell>
        </row>
        <row r="1449">
          <cell r="B1449">
            <v>1299</v>
          </cell>
          <cell r="C1449" t="str">
            <v>C49SZX20210105JY</v>
          </cell>
          <cell r="D1449" t="str">
            <v>辉拓</v>
          </cell>
          <cell r="E1449" t="str">
            <v>YSM20R-2</v>
          </cell>
          <cell r="F1449" t="str">
            <v>#67642</v>
          </cell>
          <cell r="G1449" t="e">
            <v>#REF!</v>
          </cell>
          <cell r="H1449" t="e">
            <v>#REF!</v>
          </cell>
          <cell r="I1449" t="str">
            <v>L-&gt;R</v>
          </cell>
          <cell r="J1449" t="str">
            <v>MVC</v>
          </cell>
          <cell r="K1449">
            <v>1</v>
          </cell>
          <cell r="N1449">
            <v>44315</v>
          </cell>
          <cell r="O1449">
            <v>11100480</v>
          </cell>
          <cell r="P1449">
            <v>832000</v>
          </cell>
          <cell r="Q1449">
            <v>44317</v>
          </cell>
          <cell r="R1449" t="str">
            <v>No</v>
          </cell>
          <cell r="S1449" t="str">
            <v>C49</v>
          </cell>
          <cell r="T1449" t="str">
            <v>SOUTH</v>
          </cell>
          <cell r="U1449" t="str">
            <v>深圳</v>
          </cell>
          <cell r="V1449" t="str">
            <v>SZ 深圳</v>
          </cell>
          <cell r="W1449" t="str">
            <v>JY</v>
          </cell>
          <cell r="X1449" t="str">
            <v>RMB</v>
          </cell>
          <cell r="Y1449">
            <v>832000</v>
          </cell>
          <cell r="Z1449">
            <v>1.1299999999999999</v>
          </cell>
          <cell r="AA1449">
            <v>832000</v>
          </cell>
          <cell r="AB1449">
            <v>1.18</v>
          </cell>
          <cell r="AC1449">
            <v>868814.1592920355</v>
          </cell>
          <cell r="AD1449">
            <v>104257.69911504426</v>
          </cell>
          <cell r="AE1449">
            <v>0.12</v>
          </cell>
          <cell r="AF1449">
            <v>44292</v>
          </cell>
          <cell r="AG1449" t="str">
            <v>DDP SZ</v>
          </cell>
          <cell r="AK1449" t="str">
            <v>agree</v>
          </cell>
          <cell r="AL1449">
            <v>280000</v>
          </cell>
          <cell r="AM1449">
            <v>44295</v>
          </cell>
          <cell r="AN1449" t="str">
            <v>Yes</v>
          </cell>
          <cell r="AO1449">
            <v>0.8</v>
          </cell>
          <cell r="AP1449">
            <v>665600</v>
          </cell>
          <cell r="AQ1449">
            <v>44309</v>
          </cell>
          <cell r="AR1449">
            <v>44309</v>
          </cell>
          <cell r="AS1449">
            <v>0</v>
          </cell>
          <cell r="AT1449">
            <v>0</v>
          </cell>
          <cell r="AX1449" t="str">
            <v>Yes</v>
          </cell>
          <cell r="AZ1449" t="str">
            <v>Y</v>
          </cell>
          <cell r="BA1449" t="str">
            <v>Yes</v>
          </cell>
        </row>
        <row r="1450">
          <cell r="B1450">
            <v>1300</v>
          </cell>
          <cell r="C1450" t="str">
            <v>C49SZX20210105JY</v>
          </cell>
          <cell r="D1450" t="str">
            <v>辉拓</v>
          </cell>
          <cell r="E1450" t="str">
            <v>YSM10</v>
          </cell>
          <cell r="F1450" t="str">
            <v>#67642</v>
          </cell>
          <cell r="G1450" t="e">
            <v>#REF!</v>
          </cell>
          <cell r="H1450" t="e">
            <v>#REF!</v>
          </cell>
          <cell r="I1450" t="str">
            <v>L-&gt;R</v>
          </cell>
          <cell r="J1450" t="str">
            <v>MVC F&amp;R+ATS15</v>
          </cell>
          <cell r="K1450">
            <v>1</v>
          </cell>
          <cell r="N1450">
            <v>44315</v>
          </cell>
          <cell r="O1450">
            <v>11100480</v>
          </cell>
          <cell r="P1450">
            <v>590000</v>
          </cell>
          <cell r="Q1450">
            <v>44317</v>
          </cell>
          <cell r="R1450" t="str">
            <v>No</v>
          </cell>
          <cell r="S1450" t="str">
            <v>C49</v>
          </cell>
          <cell r="T1450" t="str">
            <v>SOUTH</v>
          </cell>
          <cell r="U1450" t="str">
            <v>深圳</v>
          </cell>
          <cell r="V1450" t="str">
            <v>SZ 深圳</v>
          </cell>
          <cell r="W1450" t="str">
            <v>JY</v>
          </cell>
          <cell r="X1450" t="str">
            <v>RMB</v>
          </cell>
          <cell r="Y1450">
            <v>590000</v>
          </cell>
          <cell r="Z1450">
            <v>1.1299999999999999</v>
          </cell>
          <cell r="AA1450">
            <v>590000</v>
          </cell>
          <cell r="AB1450">
            <v>1.18</v>
          </cell>
          <cell r="AC1450">
            <v>616106.19469026546</v>
          </cell>
          <cell r="AD1450">
            <v>73932.743362831854</v>
          </cell>
          <cell r="AE1450">
            <v>0.12</v>
          </cell>
          <cell r="AF1450">
            <v>44292</v>
          </cell>
          <cell r="AG1450" t="str">
            <v>DDP SZ</v>
          </cell>
          <cell r="AK1450"/>
          <cell r="AL1450"/>
          <cell r="AM1450">
            <v>44295</v>
          </cell>
          <cell r="AN1450" t="str">
            <v>Yes</v>
          </cell>
          <cell r="AO1450">
            <v>0.8</v>
          </cell>
          <cell r="AP1450">
            <v>472000</v>
          </cell>
          <cell r="AQ1450"/>
          <cell r="AR1450"/>
          <cell r="AS1450">
            <v>0</v>
          </cell>
          <cell r="AT1450">
            <v>0</v>
          </cell>
          <cell r="AX1450" t="str">
            <v>Yes</v>
          </cell>
          <cell r="AZ1450" t="str">
            <v>Y</v>
          </cell>
          <cell r="BA1450" t="str">
            <v>Yes</v>
          </cell>
        </row>
        <row r="1451">
          <cell r="B1451">
            <v>1301</v>
          </cell>
          <cell r="C1451" t="str">
            <v>C49SZX20210106JY</v>
          </cell>
          <cell r="D1451" t="str">
            <v>辉拓</v>
          </cell>
          <cell r="E1451" t="str">
            <v>YSM20R-2</v>
          </cell>
          <cell r="F1451" t="str">
            <v>#67642</v>
          </cell>
          <cell r="G1451" t="e">
            <v>#REF!</v>
          </cell>
          <cell r="H1451" t="e">
            <v>#REF!</v>
          </cell>
          <cell r="I1451" t="str">
            <v>L-&gt;R</v>
          </cell>
          <cell r="J1451" t="str">
            <v>MVC</v>
          </cell>
          <cell r="K1451">
            <v>1</v>
          </cell>
          <cell r="N1451">
            <v>44692</v>
          </cell>
          <cell r="O1451">
            <v>11116752</v>
          </cell>
          <cell r="P1451">
            <v>12300000</v>
          </cell>
          <cell r="Q1451">
            <v>44699</v>
          </cell>
          <cell r="R1451" t="str">
            <v>No</v>
          </cell>
          <cell r="S1451" t="str">
            <v>C49</v>
          </cell>
          <cell r="T1451" t="str">
            <v>SOUTH</v>
          </cell>
          <cell r="U1451" t="str">
            <v>深圳</v>
          </cell>
          <cell r="V1451" t="str">
            <v>SZ 深圳</v>
          </cell>
          <cell r="W1451" t="str">
            <v>JY</v>
          </cell>
          <cell r="X1451" t="str">
            <v>JPY</v>
          </cell>
          <cell r="Y1451">
            <v>12300000</v>
          </cell>
          <cell r="Z1451">
            <v>1</v>
          </cell>
          <cell r="AA1451">
            <v>12300000</v>
          </cell>
          <cell r="AB1451">
            <v>7.17E-2</v>
          </cell>
          <cell r="AC1451">
            <v>881910</v>
          </cell>
          <cell r="AD1451">
            <v>105829.2</v>
          </cell>
          <cell r="AE1451">
            <v>0.12</v>
          </cell>
          <cell r="AF1451">
            <v>44293</v>
          </cell>
          <cell r="AG1451" t="str">
            <v>DAP SZ</v>
          </cell>
          <cell r="AK1451">
            <v>0.1</v>
          </cell>
          <cell r="AL1451">
            <v>1230000</v>
          </cell>
          <cell r="AM1451">
            <v>44300</v>
          </cell>
          <cell r="AN1451" t="str">
            <v>Yes</v>
          </cell>
          <cell r="AO1451">
            <v>0.9</v>
          </cell>
          <cell r="AP1451">
            <v>11070000</v>
          </cell>
          <cell r="AQ1451">
            <v>44686</v>
          </cell>
          <cell r="AR1451">
            <v>44686</v>
          </cell>
          <cell r="AS1451">
            <v>0</v>
          </cell>
          <cell r="AT1451">
            <v>0</v>
          </cell>
          <cell r="AX1451" t="str">
            <v>Yes</v>
          </cell>
          <cell r="AZ1451" t="str">
            <v>Y</v>
          </cell>
          <cell r="BA1451" t="str">
            <v>Yes</v>
          </cell>
        </row>
        <row r="1452">
          <cell r="B1452">
            <v>1302</v>
          </cell>
          <cell r="C1452" t="str">
            <v>C49SZX20210106JY</v>
          </cell>
          <cell r="D1452" t="str">
            <v>辉拓</v>
          </cell>
          <cell r="E1452" t="str">
            <v>YSM20R-2</v>
          </cell>
          <cell r="F1452" t="str">
            <v>#67642</v>
          </cell>
          <cell r="G1452" t="e">
            <v>#REF!</v>
          </cell>
          <cell r="H1452" t="e">
            <v>#REF!</v>
          </cell>
          <cell r="I1452" t="str">
            <v>L-&gt;R</v>
          </cell>
          <cell r="J1452" t="str">
            <v>MVC</v>
          </cell>
          <cell r="K1452">
            <v>1</v>
          </cell>
          <cell r="N1452">
            <v>44692</v>
          </cell>
          <cell r="O1452">
            <v>11116752</v>
          </cell>
          <cell r="P1452">
            <v>12300000</v>
          </cell>
          <cell r="Q1452">
            <v>44699</v>
          </cell>
          <cell r="R1452" t="str">
            <v>No</v>
          </cell>
          <cell r="S1452" t="str">
            <v>C49</v>
          </cell>
          <cell r="T1452" t="str">
            <v>SOUTH</v>
          </cell>
          <cell r="U1452" t="str">
            <v>深圳</v>
          </cell>
          <cell r="V1452" t="str">
            <v>SZ 深圳</v>
          </cell>
          <cell r="W1452" t="str">
            <v>JY</v>
          </cell>
          <cell r="X1452" t="str">
            <v>JPY</v>
          </cell>
          <cell r="Y1452">
            <v>12300000</v>
          </cell>
          <cell r="Z1452">
            <v>1</v>
          </cell>
          <cell r="AA1452">
            <v>12300000</v>
          </cell>
          <cell r="AB1452">
            <v>7.17E-2</v>
          </cell>
          <cell r="AC1452">
            <v>881910</v>
          </cell>
          <cell r="AD1452">
            <v>105829.2</v>
          </cell>
          <cell r="AE1452">
            <v>0.12</v>
          </cell>
          <cell r="AF1452">
            <v>44293</v>
          </cell>
          <cell r="AG1452" t="str">
            <v>DAP SZ</v>
          </cell>
          <cell r="AK1452">
            <v>0.1</v>
          </cell>
          <cell r="AL1452">
            <v>1230000</v>
          </cell>
          <cell r="AM1452">
            <v>44300</v>
          </cell>
          <cell r="AN1452" t="str">
            <v>Yes</v>
          </cell>
          <cell r="AO1452">
            <v>0.9</v>
          </cell>
          <cell r="AP1452">
            <v>11070000</v>
          </cell>
          <cell r="AQ1452">
            <v>44686</v>
          </cell>
          <cell r="AR1452">
            <v>44686</v>
          </cell>
          <cell r="AS1452">
            <v>0</v>
          </cell>
          <cell r="AT1452">
            <v>0</v>
          </cell>
          <cell r="AX1452" t="str">
            <v>Yes</v>
          </cell>
          <cell r="AZ1452" t="str">
            <v>Y</v>
          </cell>
          <cell r="BA1452" t="str">
            <v>Yes</v>
          </cell>
        </row>
        <row r="1453">
          <cell r="B1453">
            <v>1303</v>
          </cell>
          <cell r="C1453" t="str">
            <v>C49SZX20210096JL</v>
          </cell>
          <cell r="D1453" t="str">
            <v>杉川</v>
          </cell>
          <cell r="E1453" t="str">
            <v>YSM40R-4</v>
          </cell>
          <cell r="G1453"/>
          <cell r="H1453"/>
          <cell r="I1453" t="str">
            <v>L-&gt;R</v>
          </cell>
          <cell r="J1453" t="str">
            <v>No</v>
          </cell>
          <cell r="K1453">
            <v>1</v>
          </cell>
          <cell r="N1453">
            <v>44427</v>
          </cell>
          <cell r="O1453">
            <v>11116635</v>
          </cell>
          <cell r="P1453">
            <v>25000000</v>
          </cell>
          <cell r="Q1453">
            <v>44427</v>
          </cell>
          <cell r="R1453" t="str">
            <v>Yes</v>
          </cell>
          <cell r="S1453" t="str">
            <v>C49</v>
          </cell>
          <cell r="T1453" t="str">
            <v>SOUTH</v>
          </cell>
          <cell r="U1453" t="str">
            <v>深圳</v>
          </cell>
          <cell r="V1453" t="str">
            <v>SZ 深圳</v>
          </cell>
          <cell r="W1453" t="str">
            <v>JL</v>
          </cell>
          <cell r="X1453" t="str">
            <v>JPY</v>
          </cell>
          <cell r="Y1453">
            <v>25000000</v>
          </cell>
          <cell r="Z1453">
            <v>1</v>
          </cell>
          <cell r="AA1453">
            <v>25000000</v>
          </cell>
          <cell r="AB1453">
            <v>7.17E-2</v>
          </cell>
          <cell r="AC1453">
            <v>1792500</v>
          </cell>
          <cell r="AD1453">
            <v>215100</v>
          </cell>
          <cell r="AE1453">
            <v>0.12</v>
          </cell>
          <cell r="AF1453">
            <v>44288</v>
          </cell>
          <cell r="AG1453" t="str">
            <v>DAP SZ</v>
          </cell>
          <cell r="AK1453">
            <v>0.3</v>
          </cell>
          <cell r="AL1453">
            <v>7500000</v>
          </cell>
          <cell r="AM1453">
            <v>44294</v>
          </cell>
          <cell r="AN1453" t="str">
            <v>Yes</v>
          </cell>
          <cell r="AO1453">
            <v>0.65</v>
          </cell>
          <cell r="AP1453">
            <v>16250000</v>
          </cell>
          <cell r="AQ1453">
            <v>44385</v>
          </cell>
          <cell r="AR1453">
            <v>44385</v>
          </cell>
          <cell r="AS1453">
            <v>0.05</v>
          </cell>
          <cell r="AT1453">
            <v>1250000</v>
          </cell>
          <cell r="AU1453">
            <v>44546</v>
          </cell>
          <cell r="AV1453">
            <v>44546</v>
          </cell>
          <cell r="AX1453" t="str">
            <v>Yes</v>
          </cell>
          <cell r="AZ1453" t="str">
            <v>Y</v>
          </cell>
          <cell r="BA1453" t="str">
            <v>Yes</v>
          </cell>
        </row>
        <row r="1454">
          <cell r="B1454">
            <v>1304</v>
          </cell>
          <cell r="C1454" t="str">
            <v>C49SZX20210096JL</v>
          </cell>
          <cell r="D1454" t="str">
            <v>杉川</v>
          </cell>
          <cell r="E1454" t="str">
            <v>YSM40R-4</v>
          </cell>
          <cell r="G1454"/>
          <cell r="H1454"/>
          <cell r="I1454" t="str">
            <v>L-&gt;R</v>
          </cell>
          <cell r="J1454" t="str">
            <v>No</v>
          </cell>
          <cell r="K1454">
            <v>1</v>
          </cell>
          <cell r="N1454">
            <v>44399</v>
          </cell>
          <cell r="O1454">
            <v>11116626</v>
          </cell>
          <cell r="P1454">
            <v>25000000</v>
          </cell>
          <cell r="Q1454">
            <v>44399</v>
          </cell>
          <cell r="R1454" t="str">
            <v>Yes</v>
          </cell>
          <cell r="S1454" t="str">
            <v>C49</v>
          </cell>
          <cell r="T1454" t="str">
            <v>SOUTH</v>
          </cell>
          <cell r="U1454" t="str">
            <v>深圳</v>
          </cell>
          <cell r="V1454" t="str">
            <v>SZ 深圳</v>
          </cell>
          <cell r="W1454" t="str">
            <v>JL</v>
          </cell>
          <cell r="X1454" t="str">
            <v>JPY</v>
          </cell>
          <cell r="Y1454">
            <v>25000000</v>
          </cell>
          <cell r="Z1454">
            <v>1</v>
          </cell>
          <cell r="AA1454">
            <v>25000000</v>
          </cell>
          <cell r="AB1454">
            <v>7.17E-2</v>
          </cell>
          <cell r="AC1454">
            <v>1792500</v>
          </cell>
          <cell r="AD1454">
            <v>215100</v>
          </cell>
          <cell r="AE1454">
            <v>0.12</v>
          </cell>
          <cell r="AF1454">
            <v>44288</v>
          </cell>
          <cell r="AG1454" t="str">
            <v>DAP SZ</v>
          </cell>
          <cell r="AK1454">
            <v>0.3</v>
          </cell>
          <cell r="AL1454">
            <v>7500000</v>
          </cell>
          <cell r="AM1454">
            <v>44294</v>
          </cell>
          <cell r="AN1454" t="str">
            <v>Yes</v>
          </cell>
          <cell r="AO1454">
            <v>0.65</v>
          </cell>
          <cell r="AP1454">
            <v>16250000</v>
          </cell>
          <cell r="AQ1454">
            <v>44424</v>
          </cell>
          <cell r="AR1454">
            <v>44424</v>
          </cell>
          <cell r="AS1454">
            <v>0.05</v>
          </cell>
          <cell r="AT1454">
            <v>1250000</v>
          </cell>
          <cell r="AU1454">
            <v>44546</v>
          </cell>
          <cell r="AV1454">
            <v>44546</v>
          </cell>
          <cell r="AX1454" t="str">
            <v>Yes</v>
          </cell>
          <cell r="AZ1454" t="str">
            <v>Y</v>
          </cell>
          <cell r="BA1454" t="str">
            <v>Yes</v>
          </cell>
        </row>
        <row r="1455">
          <cell r="B1455">
            <v>1305</v>
          </cell>
          <cell r="C1455" t="str">
            <v>C49SZX20210096JL</v>
          </cell>
          <cell r="D1455" t="str">
            <v>杉川</v>
          </cell>
          <cell r="E1455" t="str">
            <v>YSM40R-4</v>
          </cell>
          <cell r="G1455"/>
          <cell r="H1455"/>
          <cell r="I1455" t="str">
            <v>L-&gt;R</v>
          </cell>
          <cell r="J1455" t="str">
            <v>No</v>
          </cell>
          <cell r="K1455">
            <v>1</v>
          </cell>
          <cell r="N1455">
            <v>44427</v>
          </cell>
          <cell r="O1455">
            <v>11116635</v>
          </cell>
          <cell r="P1455">
            <v>25000000</v>
          </cell>
          <cell r="Q1455">
            <v>44427</v>
          </cell>
          <cell r="R1455" t="str">
            <v>Yes</v>
          </cell>
          <cell r="S1455" t="str">
            <v>C49</v>
          </cell>
          <cell r="T1455" t="str">
            <v>SOUTH</v>
          </cell>
          <cell r="U1455" t="str">
            <v>深圳</v>
          </cell>
          <cell r="V1455" t="str">
            <v>SZ 深圳</v>
          </cell>
          <cell r="W1455" t="str">
            <v>JL</v>
          </cell>
          <cell r="X1455" t="str">
            <v>JPY</v>
          </cell>
          <cell r="Y1455">
            <v>25000000</v>
          </cell>
          <cell r="Z1455">
            <v>1</v>
          </cell>
          <cell r="AA1455">
            <v>25000000</v>
          </cell>
          <cell r="AB1455">
            <v>7.17E-2</v>
          </cell>
          <cell r="AC1455">
            <v>1792500</v>
          </cell>
          <cell r="AD1455">
            <v>215100</v>
          </cell>
          <cell r="AE1455">
            <v>0.12</v>
          </cell>
          <cell r="AF1455">
            <v>44288</v>
          </cell>
          <cell r="AG1455" t="str">
            <v>DAP SZ</v>
          </cell>
          <cell r="AK1455">
            <v>0.3</v>
          </cell>
          <cell r="AL1455">
            <v>7500000</v>
          </cell>
          <cell r="AM1455">
            <v>44294</v>
          </cell>
          <cell r="AN1455" t="str">
            <v>Yes</v>
          </cell>
          <cell r="AO1455">
            <v>0.65</v>
          </cell>
          <cell r="AP1455">
            <v>16250000</v>
          </cell>
          <cell r="AQ1455">
            <v>44424</v>
          </cell>
          <cell r="AR1455">
            <v>44424</v>
          </cell>
          <cell r="AS1455">
            <v>0.05</v>
          </cell>
          <cell r="AT1455">
            <v>1250000</v>
          </cell>
          <cell r="AU1455">
            <v>44546</v>
          </cell>
          <cell r="AV1455">
            <v>44546</v>
          </cell>
          <cell r="AX1455" t="str">
            <v>Yes</v>
          </cell>
          <cell r="AZ1455" t="str">
            <v>Y</v>
          </cell>
          <cell r="BA1455" t="str">
            <v>Yes</v>
          </cell>
        </row>
        <row r="1456">
          <cell r="B1456">
            <v>1306</v>
          </cell>
          <cell r="C1456" t="str">
            <v>C49SZX20210096JL</v>
          </cell>
          <cell r="D1456" t="str">
            <v>杉川</v>
          </cell>
          <cell r="E1456" t="str">
            <v>YSM20R-2</v>
          </cell>
          <cell r="I1456" t="str">
            <v>L-&gt;R</v>
          </cell>
          <cell r="J1456" t="str">
            <v>No</v>
          </cell>
          <cell r="K1456">
            <v>1</v>
          </cell>
          <cell r="N1456">
            <v>44368</v>
          </cell>
          <cell r="O1456">
            <v>11116626</v>
          </cell>
          <cell r="P1456">
            <v>25000000</v>
          </cell>
          <cell r="Q1456">
            <v>44399</v>
          </cell>
          <cell r="R1456" t="str">
            <v>Yes</v>
          </cell>
          <cell r="S1456" t="str">
            <v>C49</v>
          </cell>
          <cell r="T1456" t="str">
            <v>SOUTH</v>
          </cell>
          <cell r="U1456" t="str">
            <v>深圳</v>
          </cell>
          <cell r="V1456" t="str">
            <v>SZ 深圳</v>
          </cell>
          <cell r="W1456" t="str">
            <v>JL</v>
          </cell>
          <cell r="X1456" t="str">
            <v>JPY</v>
          </cell>
          <cell r="Y1456">
            <v>15710000</v>
          </cell>
          <cell r="Z1456">
            <v>1</v>
          </cell>
          <cell r="AA1456">
            <v>15710000</v>
          </cell>
          <cell r="AB1456">
            <v>7.17E-2</v>
          </cell>
          <cell r="AC1456">
            <v>1126407</v>
          </cell>
          <cell r="AD1456">
            <v>135168.84</v>
          </cell>
          <cell r="AE1456">
            <v>0.12</v>
          </cell>
          <cell r="AF1456">
            <v>44288</v>
          </cell>
          <cell r="AG1456" t="str">
            <v>DAP SZ</v>
          </cell>
          <cell r="AK1456">
            <v>0.3</v>
          </cell>
          <cell r="AL1456">
            <v>4713000</v>
          </cell>
          <cell r="AM1456">
            <v>44294</v>
          </cell>
          <cell r="AN1456" t="str">
            <v>Yes</v>
          </cell>
          <cell r="AO1456">
            <v>0.65</v>
          </cell>
          <cell r="AP1456">
            <v>10211500</v>
          </cell>
          <cell r="AQ1456">
            <v>44351</v>
          </cell>
          <cell r="AR1456">
            <v>44351</v>
          </cell>
          <cell r="AS1456">
            <v>0.05</v>
          </cell>
          <cell r="AT1456">
            <v>785500</v>
          </cell>
          <cell r="AU1456">
            <v>44546</v>
          </cell>
          <cell r="AV1456">
            <v>44546</v>
          </cell>
          <cell r="AX1456" t="str">
            <v>Yes</v>
          </cell>
          <cell r="AZ1456" t="str">
            <v>Y</v>
          </cell>
          <cell r="BA1456" t="str">
            <v>Yes</v>
          </cell>
        </row>
        <row r="1457">
          <cell r="B1457">
            <v>1307</v>
          </cell>
          <cell r="C1457" t="str">
            <v>C49SZX20210096JL</v>
          </cell>
          <cell r="D1457" t="str">
            <v>杉川</v>
          </cell>
          <cell r="E1457" t="str">
            <v>YSM20WR-2</v>
          </cell>
          <cell r="I1457" t="str">
            <v>L-&gt;R</v>
          </cell>
          <cell r="J1457" t="str">
            <v>cATS10+MVC+Feeder Carriage</v>
          </cell>
          <cell r="K1457">
            <v>1</v>
          </cell>
          <cell r="N1457">
            <v>44368</v>
          </cell>
          <cell r="O1457">
            <v>11116626</v>
          </cell>
          <cell r="P1457">
            <v>15710000</v>
          </cell>
          <cell r="Q1457">
            <v>44399</v>
          </cell>
          <cell r="R1457" t="str">
            <v>Yes</v>
          </cell>
          <cell r="S1457" t="str">
            <v>C49</v>
          </cell>
          <cell r="T1457" t="str">
            <v>SOUTH</v>
          </cell>
          <cell r="U1457" t="str">
            <v>深圳</v>
          </cell>
          <cell r="V1457" t="str">
            <v>SZ 深圳</v>
          </cell>
          <cell r="W1457" t="str">
            <v>JL</v>
          </cell>
          <cell r="X1457" t="str">
            <v>JPY</v>
          </cell>
          <cell r="Y1457">
            <v>20300000</v>
          </cell>
          <cell r="Z1457">
            <v>1</v>
          </cell>
          <cell r="AA1457">
            <v>20300000</v>
          </cell>
          <cell r="AB1457">
            <v>7.17E-2</v>
          </cell>
          <cell r="AC1457">
            <v>1455510</v>
          </cell>
          <cell r="AD1457">
            <v>174661.19999999998</v>
          </cell>
          <cell r="AE1457">
            <v>0.12</v>
          </cell>
          <cell r="AF1457">
            <v>44288</v>
          </cell>
          <cell r="AG1457" t="str">
            <v>DAP SZ</v>
          </cell>
          <cell r="AK1457">
            <v>0.3</v>
          </cell>
          <cell r="AL1457">
            <v>6090000</v>
          </cell>
          <cell r="AM1457">
            <v>44294</v>
          </cell>
          <cell r="AN1457" t="str">
            <v>Yes</v>
          </cell>
          <cell r="AO1457">
            <v>0.65</v>
          </cell>
          <cell r="AP1457">
            <v>13195000</v>
          </cell>
          <cell r="AQ1457">
            <v>44351</v>
          </cell>
          <cell r="AR1457">
            <v>44351</v>
          </cell>
          <cell r="AS1457">
            <v>0.05</v>
          </cell>
          <cell r="AT1457">
            <v>1015000</v>
          </cell>
          <cell r="AU1457">
            <v>44546</v>
          </cell>
          <cell r="AV1457">
            <v>44546</v>
          </cell>
          <cell r="AX1457" t="str">
            <v>Yes</v>
          </cell>
          <cell r="AZ1457" t="str">
            <v>Y</v>
          </cell>
          <cell r="BA1457" t="str">
            <v>Yes</v>
          </cell>
        </row>
        <row r="1458">
          <cell r="B1458">
            <v>1308</v>
          </cell>
          <cell r="C1458" t="str">
            <v>C49SZX20210096JL</v>
          </cell>
          <cell r="D1458" t="str">
            <v>杉川</v>
          </cell>
          <cell r="E1458" t="str">
            <v>YSM20WR-2</v>
          </cell>
          <cell r="I1458" t="str">
            <v>L-&gt;R</v>
          </cell>
          <cell r="J1458" t="str">
            <v>cATS10+MVC+Feeder Carriage</v>
          </cell>
          <cell r="K1458">
            <v>1</v>
          </cell>
          <cell r="N1458">
            <v>44368</v>
          </cell>
          <cell r="O1458">
            <v>11116626</v>
          </cell>
          <cell r="P1458">
            <v>20300000</v>
          </cell>
          <cell r="Q1458">
            <v>44399</v>
          </cell>
          <cell r="R1458" t="str">
            <v>Yes</v>
          </cell>
          <cell r="S1458" t="str">
            <v>C49</v>
          </cell>
          <cell r="T1458" t="str">
            <v>SOUTH</v>
          </cell>
          <cell r="U1458" t="str">
            <v>深圳</v>
          </cell>
          <cell r="V1458" t="str">
            <v>SZ 深圳</v>
          </cell>
          <cell r="W1458" t="str">
            <v>JL</v>
          </cell>
          <cell r="X1458" t="str">
            <v>JPY</v>
          </cell>
          <cell r="Y1458">
            <v>20300000</v>
          </cell>
          <cell r="Z1458">
            <v>1</v>
          </cell>
          <cell r="AA1458">
            <v>20300000</v>
          </cell>
          <cell r="AB1458">
            <v>7.17E-2</v>
          </cell>
          <cell r="AC1458">
            <v>1455510</v>
          </cell>
          <cell r="AD1458">
            <v>174661.19999999998</v>
          </cell>
          <cell r="AE1458">
            <v>0.12</v>
          </cell>
          <cell r="AF1458">
            <v>44288</v>
          </cell>
          <cell r="AG1458" t="str">
            <v>DAP SZ</v>
          </cell>
          <cell r="AK1458">
            <v>0.3</v>
          </cell>
          <cell r="AL1458">
            <v>6090000</v>
          </cell>
          <cell r="AM1458">
            <v>44294</v>
          </cell>
          <cell r="AN1458" t="str">
            <v>Yes</v>
          </cell>
          <cell r="AO1458">
            <v>0.65</v>
          </cell>
          <cell r="AP1458">
            <v>13195000</v>
          </cell>
          <cell r="AQ1458">
            <v>44351</v>
          </cell>
          <cell r="AR1458">
            <v>44351</v>
          </cell>
          <cell r="AS1458">
            <v>0.05</v>
          </cell>
          <cell r="AT1458">
            <v>1015000</v>
          </cell>
          <cell r="AU1458">
            <v>44546</v>
          </cell>
          <cell r="AV1458">
            <v>44546</v>
          </cell>
          <cell r="AX1458" t="str">
            <v>Yes</v>
          </cell>
          <cell r="AZ1458" t="str">
            <v>Y</v>
          </cell>
          <cell r="BA1458" t="str">
            <v>Yes</v>
          </cell>
        </row>
        <row r="1459">
          <cell r="B1459">
            <v>1309</v>
          </cell>
          <cell r="C1459" t="str">
            <v>C49SZX20210096JL</v>
          </cell>
          <cell r="D1459" t="str">
            <v>杉川</v>
          </cell>
          <cell r="E1459" t="str">
            <v>YSM20WR-2</v>
          </cell>
          <cell r="I1459" t="str">
            <v>L-&gt;R</v>
          </cell>
          <cell r="J1459" t="str">
            <v>cATS10+MVC+Feeder Carriage</v>
          </cell>
          <cell r="K1459">
            <v>1</v>
          </cell>
          <cell r="N1459">
            <v>44368</v>
          </cell>
          <cell r="O1459">
            <v>11116626</v>
          </cell>
          <cell r="P1459">
            <v>20300000</v>
          </cell>
          <cell r="Q1459">
            <v>44399</v>
          </cell>
          <cell r="R1459" t="str">
            <v>Yes</v>
          </cell>
          <cell r="S1459" t="str">
            <v>C49</v>
          </cell>
          <cell r="T1459" t="str">
            <v>SOUTH</v>
          </cell>
          <cell r="U1459" t="str">
            <v>深圳</v>
          </cell>
          <cell r="V1459" t="str">
            <v>SZ 深圳</v>
          </cell>
          <cell r="W1459" t="str">
            <v>JL</v>
          </cell>
          <cell r="X1459" t="str">
            <v>JPY</v>
          </cell>
          <cell r="Y1459">
            <v>20300000</v>
          </cell>
          <cell r="Z1459">
            <v>1</v>
          </cell>
          <cell r="AA1459">
            <v>20300000</v>
          </cell>
          <cell r="AB1459">
            <v>7.17E-2</v>
          </cell>
          <cell r="AC1459">
            <v>1455510</v>
          </cell>
          <cell r="AD1459">
            <v>174661.19999999998</v>
          </cell>
          <cell r="AE1459">
            <v>0.12</v>
          </cell>
          <cell r="AF1459">
            <v>44288</v>
          </cell>
          <cell r="AG1459" t="str">
            <v>DAP SZ</v>
          </cell>
          <cell r="AK1459">
            <v>0.3</v>
          </cell>
          <cell r="AL1459">
            <v>6090000</v>
          </cell>
          <cell r="AM1459">
            <v>44294</v>
          </cell>
          <cell r="AN1459" t="str">
            <v>Yes</v>
          </cell>
          <cell r="AO1459">
            <v>0.65</v>
          </cell>
          <cell r="AP1459">
            <v>13195000</v>
          </cell>
          <cell r="AQ1459">
            <v>44351</v>
          </cell>
          <cell r="AR1459">
            <v>44351</v>
          </cell>
          <cell r="AS1459">
            <v>0.05</v>
          </cell>
          <cell r="AT1459">
            <v>1015000</v>
          </cell>
          <cell r="AU1459">
            <v>44546</v>
          </cell>
          <cell r="AV1459">
            <v>44546</v>
          </cell>
          <cell r="AX1459" t="str">
            <v>Yes</v>
          </cell>
          <cell r="AZ1459" t="str">
            <v>Y</v>
          </cell>
          <cell r="BA1459" t="str">
            <v>Yes</v>
          </cell>
        </row>
        <row r="1460">
          <cell r="B1460">
            <v>1310</v>
          </cell>
          <cell r="C1460" t="str">
            <v>C49SZX20210096JL</v>
          </cell>
          <cell r="D1460" t="str">
            <v>杉川</v>
          </cell>
          <cell r="E1460" t="str">
            <v>YSM20WR-2</v>
          </cell>
          <cell r="I1460" t="str">
            <v>L-&gt;R</v>
          </cell>
          <cell r="J1460" t="str">
            <v>cATS10+MVC+Feeder Carriage</v>
          </cell>
          <cell r="K1460">
            <v>1</v>
          </cell>
          <cell r="N1460">
            <v>44399</v>
          </cell>
          <cell r="O1460">
            <v>11116626</v>
          </cell>
          <cell r="P1460">
            <v>20300000</v>
          </cell>
          <cell r="Q1460">
            <v>44399</v>
          </cell>
          <cell r="R1460" t="str">
            <v>Yes</v>
          </cell>
          <cell r="S1460" t="str">
            <v>C49</v>
          </cell>
          <cell r="T1460" t="str">
            <v>SOUTH</v>
          </cell>
          <cell r="U1460" t="str">
            <v>深圳</v>
          </cell>
          <cell r="V1460" t="str">
            <v>SZ 深圳</v>
          </cell>
          <cell r="W1460" t="str">
            <v>JL</v>
          </cell>
          <cell r="X1460" t="str">
            <v>JPY</v>
          </cell>
          <cell r="Y1460">
            <v>20300000</v>
          </cell>
          <cell r="Z1460">
            <v>1</v>
          </cell>
          <cell r="AA1460">
            <v>20300000</v>
          </cell>
          <cell r="AB1460">
            <v>7.17E-2</v>
          </cell>
          <cell r="AC1460">
            <v>1455510</v>
          </cell>
          <cell r="AD1460">
            <v>174661.19999999998</v>
          </cell>
          <cell r="AE1460">
            <v>0.12</v>
          </cell>
          <cell r="AF1460">
            <v>44288</v>
          </cell>
          <cell r="AG1460" t="str">
            <v>DAP SZ</v>
          </cell>
          <cell r="AK1460">
            <v>0.3</v>
          </cell>
          <cell r="AL1460">
            <v>6090000</v>
          </cell>
          <cell r="AM1460">
            <v>44294</v>
          </cell>
          <cell r="AN1460" t="str">
            <v>Yes</v>
          </cell>
          <cell r="AO1460">
            <v>0.65</v>
          </cell>
          <cell r="AP1460">
            <v>13195000</v>
          </cell>
          <cell r="AQ1460">
            <v>44385</v>
          </cell>
          <cell r="AR1460">
            <v>44385</v>
          </cell>
          <cell r="AS1460">
            <v>0.05</v>
          </cell>
          <cell r="AT1460">
            <v>1015000</v>
          </cell>
          <cell r="AU1460">
            <v>44546</v>
          </cell>
          <cell r="AV1460">
            <v>44546</v>
          </cell>
          <cell r="AX1460" t="str">
            <v>Yes</v>
          </cell>
          <cell r="AZ1460" t="str">
            <v>Y</v>
          </cell>
          <cell r="BA1460" t="str">
            <v>Yes</v>
          </cell>
        </row>
        <row r="1461">
          <cell r="B1461">
            <v>1311</v>
          </cell>
          <cell r="C1461" t="str">
            <v>C49SZX20210096JL</v>
          </cell>
          <cell r="D1461" t="str">
            <v>杉川</v>
          </cell>
          <cell r="E1461" t="str">
            <v>YSM20WR-2</v>
          </cell>
          <cell r="I1461" t="str">
            <v>L-&gt;R</v>
          </cell>
          <cell r="J1461" t="str">
            <v>MVC</v>
          </cell>
          <cell r="K1461">
            <v>1</v>
          </cell>
          <cell r="N1461">
            <v>44399</v>
          </cell>
          <cell r="O1461">
            <v>11116626</v>
          </cell>
          <cell r="P1461">
            <v>20300000</v>
          </cell>
          <cell r="Q1461">
            <v>44399</v>
          </cell>
          <cell r="R1461" t="str">
            <v>Yes</v>
          </cell>
          <cell r="S1461" t="str">
            <v>C49</v>
          </cell>
          <cell r="T1461" t="str">
            <v>SOUTH</v>
          </cell>
          <cell r="U1461" t="str">
            <v>深圳</v>
          </cell>
          <cell r="V1461" t="str">
            <v>SZ 深圳</v>
          </cell>
          <cell r="W1461" t="str">
            <v>JL</v>
          </cell>
          <cell r="X1461" t="str">
            <v>JPY</v>
          </cell>
          <cell r="Y1461">
            <v>20300000</v>
          </cell>
          <cell r="Z1461">
            <v>1</v>
          </cell>
          <cell r="AA1461">
            <v>20300000</v>
          </cell>
          <cell r="AB1461">
            <v>7.17E-2</v>
          </cell>
          <cell r="AC1461">
            <v>1455510</v>
          </cell>
          <cell r="AD1461">
            <v>174661.19999999998</v>
          </cell>
          <cell r="AE1461">
            <v>0.12</v>
          </cell>
          <cell r="AF1461">
            <v>44288</v>
          </cell>
          <cell r="AG1461" t="str">
            <v>DAP SZ</v>
          </cell>
          <cell r="AK1461">
            <v>0.3</v>
          </cell>
          <cell r="AL1461">
            <v>6090000</v>
          </cell>
          <cell r="AM1461">
            <v>44294</v>
          </cell>
          <cell r="AN1461" t="str">
            <v>Yes</v>
          </cell>
          <cell r="AO1461">
            <v>0.65</v>
          </cell>
          <cell r="AP1461">
            <v>13195000</v>
          </cell>
          <cell r="AQ1461">
            <v>44385</v>
          </cell>
          <cell r="AR1461">
            <v>44385</v>
          </cell>
          <cell r="AS1461">
            <v>0.05</v>
          </cell>
          <cell r="AT1461">
            <v>1015000</v>
          </cell>
          <cell r="AU1461">
            <v>44546</v>
          </cell>
          <cell r="AV1461">
            <v>44546</v>
          </cell>
          <cell r="AX1461" t="str">
            <v>Yes</v>
          </cell>
          <cell r="AZ1461" t="str">
            <v>Y</v>
          </cell>
          <cell r="BA1461" t="str">
            <v>Yes</v>
          </cell>
        </row>
        <row r="1462">
          <cell r="B1462">
            <v>1312</v>
          </cell>
          <cell r="C1462" t="str">
            <v>C49SZX20210096JL</v>
          </cell>
          <cell r="D1462" t="str">
            <v>杉川</v>
          </cell>
          <cell r="E1462" t="str">
            <v>YSM20WR-2</v>
          </cell>
          <cell r="I1462" t="str">
            <v>L-&gt;R</v>
          </cell>
          <cell r="J1462" t="str">
            <v>MVC</v>
          </cell>
          <cell r="K1462">
            <v>1</v>
          </cell>
          <cell r="N1462">
            <v>44399</v>
          </cell>
          <cell r="O1462">
            <v>11116626</v>
          </cell>
          <cell r="P1462">
            <v>20300000</v>
          </cell>
          <cell r="Q1462">
            <v>44399</v>
          </cell>
          <cell r="R1462" t="str">
            <v>Yes</v>
          </cell>
          <cell r="S1462" t="str">
            <v>C49</v>
          </cell>
          <cell r="T1462" t="str">
            <v>SOUTH</v>
          </cell>
          <cell r="U1462" t="str">
            <v>深圳</v>
          </cell>
          <cell r="V1462" t="str">
            <v>SZ 深圳</v>
          </cell>
          <cell r="W1462" t="str">
            <v>JL</v>
          </cell>
          <cell r="X1462" t="str">
            <v>JPY</v>
          </cell>
          <cell r="Y1462">
            <v>20300000</v>
          </cell>
          <cell r="Z1462">
            <v>1</v>
          </cell>
          <cell r="AA1462">
            <v>20300000</v>
          </cell>
          <cell r="AB1462">
            <v>7.17E-2</v>
          </cell>
          <cell r="AC1462">
            <v>1455510</v>
          </cell>
          <cell r="AD1462">
            <v>174661.19999999998</v>
          </cell>
          <cell r="AE1462">
            <v>0.12</v>
          </cell>
          <cell r="AF1462">
            <v>44288</v>
          </cell>
          <cell r="AG1462" t="str">
            <v>DAP SZ</v>
          </cell>
          <cell r="AK1462">
            <v>0.3</v>
          </cell>
          <cell r="AL1462">
            <v>6090000</v>
          </cell>
          <cell r="AM1462">
            <v>44294</v>
          </cell>
          <cell r="AN1462" t="str">
            <v>Yes</v>
          </cell>
          <cell r="AO1462">
            <v>0.65</v>
          </cell>
          <cell r="AP1462">
            <v>13195000</v>
          </cell>
          <cell r="AQ1462">
            <v>44385</v>
          </cell>
          <cell r="AR1462">
            <v>44385</v>
          </cell>
          <cell r="AS1462">
            <v>0.05</v>
          </cell>
          <cell r="AT1462">
            <v>1015000</v>
          </cell>
          <cell r="AU1462">
            <v>44546</v>
          </cell>
          <cell r="AV1462">
            <v>44546</v>
          </cell>
          <cell r="AX1462" t="str">
            <v>Yes</v>
          </cell>
          <cell r="AZ1462" t="str">
            <v>Y</v>
          </cell>
          <cell r="BA1462" t="str">
            <v>Yes</v>
          </cell>
        </row>
        <row r="1463">
          <cell r="B1463">
            <v>1313</v>
          </cell>
          <cell r="C1463" t="str">
            <v>C49SZX20210096JL</v>
          </cell>
          <cell r="D1463" t="str">
            <v>杉川</v>
          </cell>
          <cell r="E1463" t="str">
            <v>YSM20WR-2</v>
          </cell>
          <cell r="I1463" t="str">
            <v>L-&gt;R</v>
          </cell>
          <cell r="J1463" t="str">
            <v>MVC</v>
          </cell>
          <cell r="K1463">
            <v>1</v>
          </cell>
          <cell r="N1463">
            <v>44427</v>
          </cell>
          <cell r="O1463">
            <v>11116635</v>
          </cell>
          <cell r="P1463">
            <v>20300000</v>
          </cell>
          <cell r="Q1463">
            <v>44427</v>
          </cell>
          <cell r="R1463" t="str">
            <v>Yes</v>
          </cell>
          <cell r="S1463" t="str">
            <v>C49</v>
          </cell>
          <cell r="T1463" t="str">
            <v>SOUTH</v>
          </cell>
          <cell r="U1463" t="str">
            <v>深圳</v>
          </cell>
          <cell r="V1463" t="str">
            <v>SZ 深圳</v>
          </cell>
          <cell r="W1463" t="str">
            <v>JL</v>
          </cell>
          <cell r="X1463" t="str">
            <v>JPY</v>
          </cell>
          <cell r="Y1463">
            <v>20300000</v>
          </cell>
          <cell r="Z1463">
            <v>1</v>
          </cell>
          <cell r="AA1463">
            <v>20300000</v>
          </cell>
          <cell r="AB1463">
            <v>7.17E-2</v>
          </cell>
          <cell r="AC1463">
            <v>1455510</v>
          </cell>
          <cell r="AD1463">
            <v>174661.19999999998</v>
          </cell>
          <cell r="AE1463">
            <v>0.12</v>
          </cell>
          <cell r="AF1463">
            <v>44288</v>
          </cell>
          <cell r="AG1463" t="str">
            <v>DAP SZ</v>
          </cell>
          <cell r="AK1463">
            <v>0.3</v>
          </cell>
          <cell r="AL1463">
            <v>6090000</v>
          </cell>
          <cell r="AM1463">
            <v>44294</v>
          </cell>
          <cell r="AN1463" t="str">
            <v>Yes</v>
          </cell>
          <cell r="AO1463">
            <v>0.65</v>
          </cell>
          <cell r="AP1463">
            <v>13195000</v>
          </cell>
          <cell r="AQ1463">
            <v>44424</v>
          </cell>
          <cell r="AR1463">
            <v>44424</v>
          </cell>
          <cell r="AS1463">
            <v>0.05</v>
          </cell>
          <cell r="AT1463">
            <v>1015000</v>
          </cell>
          <cell r="AU1463">
            <v>44546</v>
          </cell>
          <cell r="AV1463">
            <v>44546</v>
          </cell>
          <cell r="AX1463" t="str">
            <v>Yes</v>
          </cell>
          <cell r="AZ1463" t="str">
            <v>Y</v>
          </cell>
          <cell r="BA1463" t="str">
            <v>Yes</v>
          </cell>
        </row>
        <row r="1464">
          <cell r="B1464">
            <v>1314</v>
          </cell>
          <cell r="C1464" t="str">
            <v>C49SZX20210096JL</v>
          </cell>
          <cell r="D1464" t="str">
            <v>杉川</v>
          </cell>
          <cell r="E1464" t="str">
            <v>YSM20WR-2</v>
          </cell>
          <cell r="I1464" t="str">
            <v>L-&gt;R</v>
          </cell>
          <cell r="J1464" t="str">
            <v>MVC</v>
          </cell>
          <cell r="K1464">
            <v>1</v>
          </cell>
          <cell r="N1464">
            <v>44427</v>
          </cell>
          <cell r="O1464">
            <v>11116635</v>
          </cell>
          <cell r="P1464">
            <v>20300000</v>
          </cell>
          <cell r="Q1464">
            <v>44427</v>
          </cell>
          <cell r="R1464" t="str">
            <v>Yes</v>
          </cell>
          <cell r="S1464" t="str">
            <v>C49</v>
          </cell>
          <cell r="T1464" t="str">
            <v>SOUTH</v>
          </cell>
          <cell r="U1464" t="str">
            <v>深圳</v>
          </cell>
          <cell r="V1464" t="str">
            <v>SZ 深圳</v>
          </cell>
          <cell r="W1464" t="str">
            <v>JL</v>
          </cell>
          <cell r="X1464" t="str">
            <v>JPY</v>
          </cell>
          <cell r="Y1464">
            <v>20300000</v>
          </cell>
          <cell r="Z1464">
            <v>1</v>
          </cell>
          <cell r="AA1464">
            <v>20300000</v>
          </cell>
          <cell r="AB1464">
            <v>7.17E-2</v>
          </cell>
          <cell r="AC1464">
            <v>1455510</v>
          </cell>
          <cell r="AD1464">
            <v>174661.19999999998</v>
          </cell>
          <cell r="AE1464">
            <v>0.12</v>
          </cell>
          <cell r="AF1464">
            <v>44288</v>
          </cell>
          <cell r="AG1464" t="str">
            <v>DAP SZ</v>
          </cell>
          <cell r="AK1464">
            <v>0.3</v>
          </cell>
          <cell r="AL1464">
            <v>6090000</v>
          </cell>
          <cell r="AM1464">
            <v>44294</v>
          </cell>
          <cell r="AN1464" t="str">
            <v>Yes</v>
          </cell>
          <cell r="AO1464">
            <v>0.65</v>
          </cell>
          <cell r="AP1464">
            <v>13195000</v>
          </cell>
          <cell r="AQ1464">
            <v>44424</v>
          </cell>
          <cell r="AR1464">
            <v>44424</v>
          </cell>
          <cell r="AS1464">
            <v>0.05</v>
          </cell>
          <cell r="AT1464">
            <v>1015000</v>
          </cell>
          <cell r="AU1464">
            <v>44546</v>
          </cell>
          <cell r="AV1464">
            <v>44546</v>
          </cell>
          <cell r="AX1464" t="str">
            <v>Yes</v>
          </cell>
          <cell r="AZ1464" t="str">
            <v>Y</v>
          </cell>
          <cell r="BA1464" t="str">
            <v>Yes</v>
          </cell>
        </row>
        <row r="1465">
          <cell r="B1465">
            <v>1315</v>
          </cell>
          <cell r="C1465" t="str">
            <v>C49SZX20210096JL</v>
          </cell>
          <cell r="D1465" t="str">
            <v>杉川</v>
          </cell>
          <cell r="E1465" t="str">
            <v>YSM20WR-2</v>
          </cell>
          <cell r="I1465" t="str">
            <v>L-&gt;R</v>
          </cell>
          <cell r="J1465" t="str">
            <v>MVC</v>
          </cell>
          <cell r="K1465">
            <v>1</v>
          </cell>
          <cell r="N1465">
            <v>44427</v>
          </cell>
          <cell r="O1465">
            <v>11116635</v>
          </cell>
          <cell r="P1465">
            <v>20300000</v>
          </cell>
          <cell r="Q1465">
            <v>44427</v>
          </cell>
          <cell r="R1465" t="str">
            <v>Yes</v>
          </cell>
          <cell r="S1465" t="str">
            <v>C49</v>
          </cell>
          <cell r="T1465" t="str">
            <v>SOUTH</v>
          </cell>
          <cell r="U1465" t="str">
            <v>深圳</v>
          </cell>
          <cell r="V1465" t="str">
            <v>SZ 深圳</v>
          </cell>
          <cell r="W1465" t="str">
            <v>JL</v>
          </cell>
          <cell r="X1465" t="str">
            <v>JPY</v>
          </cell>
          <cell r="Y1465">
            <v>20300000</v>
          </cell>
          <cell r="Z1465">
            <v>1</v>
          </cell>
          <cell r="AA1465">
            <v>20300000</v>
          </cell>
          <cell r="AB1465">
            <v>7.17E-2</v>
          </cell>
          <cell r="AC1465">
            <v>1455510</v>
          </cell>
          <cell r="AD1465">
            <v>174661.19999999998</v>
          </cell>
          <cell r="AE1465">
            <v>0.12</v>
          </cell>
          <cell r="AF1465">
            <v>44288</v>
          </cell>
          <cell r="AG1465" t="str">
            <v>DAP SZ</v>
          </cell>
          <cell r="AK1465">
            <v>0.3</v>
          </cell>
          <cell r="AL1465">
            <v>6090000</v>
          </cell>
          <cell r="AM1465">
            <v>44294</v>
          </cell>
          <cell r="AN1465" t="str">
            <v>Yes</v>
          </cell>
          <cell r="AO1465">
            <v>0.65</v>
          </cell>
          <cell r="AP1465">
            <v>13195000</v>
          </cell>
          <cell r="AQ1465">
            <v>44424</v>
          </cell>
          <cell r="AR1465">
            <v>44424</v>
          </cell>
          <cell r="AS1465">
            <v>0.05</v>
          </cell>
          <cell r="AT1465">
            <v>1015000</v>
          </cell>
          <cell r="AU1465">
            <v>44546</v>
          </cell>
          <cell r="AV1465">
            <v>44546</v>
          </cell>
          <cell r="AX1465" t="str">
            <v>Yes</v>
          </cell>
          <cell r="AZ1465" t="str">
            <v>Y</v>
          </cell>
          <cell r="BA1465" t="str">
            <v>Yes</v>
          </cell>
        </row>
        <row r="1466">
          <cell r="B1466">
            <v>1316</v>
          </cell>
          <cell r="C1466" t="str">
            <v>C49SZX20210096JL</v>
          </cell>
          <cell r="D1466" t="str">
            <v>杉川</v>
          </cell>
          <cell r="E1466" t="str">
            <v>YSM20WR-2</v>
          </cell>
          <cell r="I1466" t="str">
            <v>L-&gt;R</v>
          </cell>
          <cell r="J1466" t="str">
            <v>MVC</v>
          </cell>
          <cell r="K1466">
            <v>1</v>
          </cell>
          <cell r="N1466">
            <v>44427</v>
          </cell>
          <cell r="O1466">
            <v>11116635</v>
          </cell>
          <cell r="P1466">
            <v>20300000</v>
          </cell>
          <cell r="Q1466">
            <v>44427</v>
          </cell>
          <cell r="R1466" t="str">
            <v>Yes</v>
          </cell>
          <cell r="S1466" t="str">
            <v>C49</v>
          </cell>
          <cell r="T1466" t="str">
            <v>SOUTH</v>
          </cell>
          <cell r="U1466" t="str">
            <v>深圳</v>
          </cell>
          <cell r="V1466" t="str">
            <v>SZ 深圳</v>
          </cell>
          <cell r="W1466" t="str">
            <v>JL</v>
          </cell>
          <cell r="X1466" t="str">
            <v>JPY</v>
          </cell>
          <cell r="Y1466">
            <v>20300000</v>
          </cell>
          <cell r="Z1466">
            <v>1</v>
          </cell>
          <cell r="AA1466">
            <v>20300000</v>
          </cell>
          <cell r="AB1466">
            <v>7.17E-2</v>
          </cell>
          <cell r="AC1466">
            <v>1455510</v>
          </cell>
          <cell r="AD1466">
            <v>174661.19999999998</v>
          </cell>
          <cell r="AE1466">
            <v>0.12</v>
          </cell>
          <cell r="AF1466">
            <v>44288</v>
          </cell>
          <cell r="AG1466" t="str">
            <v>DAP SZ</v>
          </cell>
          <cell r="AK1466">
            <v>0.3</v>
          </cell>
          <cell r="AL1466">
            <v>6090000</v>
          </cell>
          <cell r="AM1466">
            <v>44294</v>
          </cell>
          <cell r="AN1466" t="str">
            <v>Yes</v>
          </cell>
          <cell r="AO1466">
            <v>0.65</v>
          </cell>
          <cell r="AP1466">
            <v>13195000</v>
          </cell>
          <cell r="AQ1466">
            <v>44424</v>
          </cell>
          <cell r="AR1466">
            <v>44424</v>
          </cell>
          <cell r="AS1466">
            <v>0.05</v>
          </cell>
          <cell r="AT1466">
            <v>1015000</v>
          </cell>
          <cell r="AU1466">
            <v>44546</v>
          </cell>
          <cell r="AV1466">
            <v>44546</v>
          </cell>
          <cell r="AX1466" t="str">
            <v>Yes</v>
          </cell>
          <cell r="AZ1466" t="str">
            <v>Y</v>
          </cell>
          <cell r="BA1466" t="str">
            <v>Yes</v>
          </cell>
        </row>
        <row r="1467">
          <cell r="B1467">
            <v>1317</v>
          </cell>
          <cell r="C1467" t="str">
            <v>C49SZX20210096JL</v>
          </cell>
          <cell r="D1467" t="str">
            <v>杉川</v>
          </cell>
          <cell r="E1467" t="str">
            <v>YSM20WR-2</v>
          </cell>
          <cell r="I1467" t="str">
            <v>L-&gt;R</v>
          </cell>
          <cell r="J1467" t="str">
            <v>No</v>
          </cell>
          <cell r="K1467">
            <v>1</v>
          </cell>
          <cell r="N1467">
            <v>44427</v>
          </cell>
          <cell r="O1467">
            <v>11116635</v>
          </cell>
          <cell r="P1467">
            <v>20300000</v>
          </cell>
          <cell r="Q1467">
            <v>44427</v>
          </cell>
          <cell r="R1467" t="str">
            <v>Yes</v>
          </cell>
          <cell r="S1467" t="str">
            <v>C49</v>
          </cell>
          <cell r="T1467" t="str">
            <v>SOUTH</v>
          </cell>
          <cell r="U1467" t="str">
            <v>深圳</v>
          </cell>
          <cell r="V1467" t="str">
            <v>SZ 深圳</v>
          </cell>
          <cell r="W1467" t="str">
            <v>JL</v>
          </cell>
          <cell r="X1467" t="str">
            <v>JPY</v>
          </cell>
          <cell r="Y1467">
            <v>20300000</v>
          </cell>
          <cell r="Z1467">
            <v>1</v>
          </cell>
          <cell r="AA1467">
            <v>20300000</v>
          </cell>
          <cell r="AB1467">
            <v>7.17E-2</v>
          </cell>
          <cell r="AC1467">
            <v>1455510</v>
          </cell>
          <cell r="AD1467">
            <v>174661.19999999998</v>
          </cell>
          <cell r="AE1467">
            <v>0.12</v>
          </cell>
          <cell r="AF1467">
            <v>44288</v>
          </cell>
          <cell r="AG1467" t="str">
            <v>DAP SZ</v>
          </cell>
          <cell r="AK1467">
            <v>0.3</v>
          </cell>
          <cell r="AL1467">
            <v>6090000</v>
          </cell>
          <cell r="AM1467">
            <v>44294</v>
          </cell>
          <cell r="AN1467" t="str">
            <v>Yes</v>
          </cell>
          <cell r="AO1467">
            <v>0.65</v>
          </cell>
          <cell r="AP1467">
            <v>13195000</v>
          </cell>
          <cell r="AQ1467">
            <v>44424</v>
          </cell>
          <cell r="AR1467">
            <v>44424</v>
          </cell>
          <cell r="AS1467">
            <v>0.05</v>
          </cell>
          <cell r="AT1467">
            <v>1015000</v>
          </cell>
          <cell r="AU1467">
            <v>44546</v>
          </cell>
          <cell r="AV1467">
            <v>44546</v>
          </cell>
          <cell r="AX1467" t="str">
            <v>Yes</v>
          </cell>
          <cell r="AZ1467" t="str">
            <v>Y</v>
          </cell>
          <cell r="BA1467" t="str">
            <v>Yes</v>
          </cell>
        </row>
        <row r="1468">
          <cell r="B1468">
            <v>1318</v>
          </cell>
          <cell r="C1468" t="str">
            <v>C49SZX20210096JL</v>
          </cell>
          <cell r="D1468" t="str">
            <v>杉川</v>
          </cell>
          <cell r="E1468" t="str">
            <v>YSM20WR-2</v>
          </cell>
          <cell r="I1468" t="str">
            <v>L-&gt;R</v>
          </cell>
          <cell r="J1468" t="str">
            <v>No</v>
          </cell>
          <cell r="K1468">
            <v>1</v>
          </cell>
          <cell r="N1468">
            <v>44427</v>
          </cell>
          <cell r="O1468">
            <v>11116635</v>
          </cell>
          <cell r="P1468">
            <v>20300000</v>
          </cell>
          <cell r="Q1468">
            <v>44427</v>
          </cell>
          <cell r="R1468" t="str">
            <v>Yes</v>
          </cell>
          <cell r="S1468" t="str">
            <v>C49</v>
          </cell>
          <cell r="T1468" t="str">
            <v>SOUTH</v>
          </cell>
          <cell r="U1468" t="str">
            <v>深圳</v>
          </cell>
          <cell r="V1468" t="str">
            <v>SZ 深圳</v>
          </cell>
          <cell r="W1468" t="str">
            <v>JL</v>
          </cell>
          <cell r="X1468" t="str">
            <v>JPY</v>
          </cell>
          <cell r="Y1468">
            <v>20300000</v>
          </cell>
          <cell r="Z1468">
            <v>1</v>
          </cell>
          <cell r="AA1468">
            <v>20300000</v>
          </cell>
          <cell r="AB1468">
            <v>7.17E-2</v>
          </cell>
          <cell r="AC1468">
            <v>1455510</v>
          </cell>
          <cell r="AD1468">
            <v>174661.19999999998</v>
          </cell>
          <cell r="AE1468">
            <v>0.12</v>
          </cell>
          <cell r="AF1468">
            <v>44288</v>
          </cell>
          <cell r="AG1468" t="str">
            <v>DAP SZ</v>
          </cell>
          <cell r="AK1468">
            <v>0.3</v>
          </cell>
          <cell r="AL1468">
            <v>6090000</v>
          </cell>
          <cell r="AM1468">
            <v>44294</v>
          </cell>
          <cell r="AN1468" t="str">
            <v>Yes</v>
          </cell>
          <cell r="AO1468">
            <v>0.65</v>
          </cell>
          <cell r="AP1468">
            <v>13195000</v>
          </cell>
          <cell r="AQ1468">
            <v>44424</v>
          </cell>
          <cell r="AR1468">
            <v>44424</v>
          </cell>
          <cell r="AS1468">
            <v>0.05</v>
          </cell>
          <cell r="AT1468">
            <v>1015000</v>
          </cell>
          <cell r="AU1468">
            <v>44546</v>
          </cell>
          <cell r="AV1468">
            <v>44546</v>
          </cell>
          <cell r="AX1468" t="str">
            <v>Yes</v>
          </cell>
          <cell r="AZ1468" t="str">
            <v>Y</v>
          </cell>
          <cell r="BA1468" t="str">
            <v>Yes</v>
          </cell>
        </row>
        <row r="1469">
          <cell r="B1469">
            <v>1319</v>
          </cell>
          <cell r="C1469" t="str">
            <v>C49SZX20210111DZ</v>
          </cell>
          <cell r="D1469" t="str">
            <v>恒创兴</v>
          </cell>
          <cell r="E1469" t="str">
            <v>YSM20R-2</v>
          </cell>
          <cell r="I1469" t="str">
            <v>L-&gt;R</v>
          </cell>
          <cell r="J1469" t="str">
            <v>No</v>
          </cell>
          <cell r="K1469">
            <v>1</v>
          </cell>
          <cell r="N1469">
            <v>44485</v>
          </cell>
          <cell r="O1469">
            <v>11116654</v>
          </cell>
          <cell r="P1469">
            <v>13500000</v>
          </cell>
          <cell r="Q1469">
            <v>44495</v>
          </cell>
          <cell r="R1469" t="str">
            <v>Yes</v>
          </cell>
          <cell r="S1469" t="str">
            <v>C49</v>
          </cell>
          <cell r="T1469" t="str">
            <v>SOUTH</v>
          </cell>
          <cell r="U1469" t="str">
            <v>深圳</v>
          </cell>
          <cell r="V1469" t="str">
            <v>SZ 深圳</v>
          </cell>
          <cell r="W1469" t="str">
            <v>DZ</v>
          </cell>
          <cell r="X1469" t="str">
            <v>JPY</v>
          </cell>
          <cell r="Y1469">
            <v>13500000</v>
          </cell>
          <cell r="Z1469">
            <v>1</v>
          </cell>
          <cell r="AA1469">
            <v>13500000</v>
          </cell>
          <cell r="AB1469">
            <v>7.17E-2</v>
          </cell>
          <cell r="AC1469">
            <v>967950</v>
          </cell>
          <cell r="AD1469">
            <v>116154</v>
          </cell>
          <cell r="AE1469">
            <v>0.12</v>
          </cell>
          <cell r="AF1469">
            <v>44295</v>
          </cell>
          <cell r="AG1469" t="str">
            <v>CIF HK</v>
          </cell>
          <cell r="AK1469">
            <v>0.3</v>
          </cell>
          <cell r="AL1469">
            <v>4050000</v>
          </cell>
          <cell r="AM1469">
            <v>44305</v>
          </cell>
          <cell r="AN1469" t="str">
            <v>Yes</v>
          </cell>
          <cell r="AO1469">
            <v>0.7</v>
          </cell>
          <cell r="AP1469">
            <v>9450000</v>
          </cell>
          <cell r="AQ1469">
            <v>44469</v>
          </cell>
          <cell r="AR1469">
            <v>44469</v>
          </cell>
          <cell r="AS1469">
            <v>0</v>
          </cell>
          <cell r="AT1469">
            <v>0</v>
          </cell>
          <cell r="AX1469" t="str">
            <v>Yes</v>
          </cell>
          <cell r="AZ1469" t="str">
            <v>Y</v>
          </cell>
          <cell r="BA1469" t="str">
            <v>Yes</v>
          </cell>
        </row>
        <row r="1470">
          <cell r="B1470">
            <v>1320</v>
          </cell>
          <cell r="C1470" t="str">
            <v>C49SZX20210111DZ</v>
          </cell>
          <cell r="D1470" t="str">
            <v>恒创兴</v>
          </cell>
          <cell r="E1470" t="str">
            <v>YSM10</v>
          </cell>
          <cell r="I1470" t="str">
            <v>L-&gt;R</v>
          </cell>
          <cell r="J1470" t="str">
            <v>MVC</v>
          </cell>
          <cell r="K1470">
            <v>1</v>
          </cell>
          <cell r="N1470">
            <v>44644</v>
          </cell>
          <cell r="O1470">
            <v>11116716</v>
          </cell>
          <cell r="P1470">
            <v>8900000</v>
          </cell>
          <cell r="Q1470">
            <v>44645</v>
          </cell>
          <cell r="R1470" t="str">
            <v>Yes</v>
          </cell>
          <cell r="S1470" t="str">
            <v>C49</v>
          </cell>
          <cell r="T1470" t="str">
            <v>SOUTH</v>
          </cell>
          <cell r="U1470" t="str">
            <v>深圳</v>
          </cell>
          <cell r="V1470" t="str">
            <v>SZ 深圳</v>
          </cell>
          <cell r="W1470" t="str">
            <v>DZ</v>
          </cell>
          <cell r="X1470" t="str">
            <v>JPY</v>
          </cell>
          <cell r="Y1470">
            <v>8900000</v>
          </cell>
          <cell r="Z1470">
            <v>1</v>
          </cell>
          <cell r="AA1470">
            <v>8900000</v>
          </cell>
          <cell r="AB1470">
            <v>7.17E-2</v>
          </cell>
          <cell r="AC1470">
            <v>638130</v>
          </cell>
          <cell r="AD1470">
            <v>76575.599999999991</v>
          </cell>
          <cell r="AE1470">
            <v>0.12</v>
          </cell>
          <cell r="AF1470">
            <v>44295</v>
          </cell>
          <cell r="AG1470" t="str">
            <v>CIF HK</v>
          </cell>
          <cell r="AK1470">
            <v>0.3</v>
          </cell>
          <cell r="AL1470">
            <v>2670000</v>
          </cell>
          <cell r="AM1470">
            <v>44305</v>
          </cell>
          <cell r="AN1470" t="str">
            <v>Yes</v>
          </cell>
          <cell r="AO1470">
            <v>0.7</v>
          </cell>
          <cell r="AP1470">
            <v>6230000</v>
          </cell>
          <cell r="AQ1470">
            <v>44643</v>
          </cell>
          <cell r="AR1470">
            <v>44643</v>
          </cell>
          <cell r="AS1470">
            <v>0</v>
          </cell>
          <cell r="AT1470">
            <v>0</v>
          </cell>
          <cell r="AX1470" t="str">
            <v>Yes</v>
          </cell>
          <cell r="AZ1470" t="str">
            <v>Y</v>
          </cell>
          <cell r="BA1470" t="str">
            <v>Yes</v>
          </cell>
        </row>
        <row r="1471">
          <cell r="B1471">
            <v>1321</v>
          </cell>
          <cell r="C1471" t="str">
            <v>C49SZX20210109SX</v>
          </cell>
          <cell r="D1471" t="str">
            <v>华汛</v>
          </cell>
          <cell r="E1471" t="str">
            <v>YSM10</v>
          </cell>
          <cell r="F1471" t="str">
            <v>#00885</v>
          </cell>
          <cell r="G1471" t="e">
            <v>#REF!</v>
          </cell>
          <cell r="H1471" t="e">
            <v>#REF!</v>
          </cell>
          <cell r="I1471" t="str">
            <v>R-&gt;L</v>
          </cell>
          <cell r="J1471" t="str">
            <v>MVC+ATS15</v>
          </cell>
          <cell r="K1471">
            <v>1</v>
          </cell>
          <cell r="N1471">
            <v>44340</v>
          </cell>
          <cell r="O1471">
            <v>11116593</v>
          </cell>
          <cell r="P1471">
            <v>10300000</v>
          </cell>
          <cell r="Q1471">
            <v>44347</v>
          </cell>
          <cell r="R1471" t="str">
            <v>No</v>
          </cell>
          <cell r="S1471" t="str">
            <v>C49</v>
          </cell>
          <cell r="T1471" t="str">
            <v>SOUTH</v>
          </cell>
          <cell r="U1471" t="str">
            <v>深圳</v>
          </cell>
          <cell r="V1471" t="str">
            <v>SZ 深圳</v>
          </cell>
          <cell r="W1471" t="str">
            <v>SX</v>
          </cell>
          <cell r="X1471" t="str">
            <v>JPY</v>
          </cell>
          <cell r="Y1471">
            <v>10300000</v>
          </cell>
          <cell r="Z1471">
            <v>1</v>
          </cell>
          <cell r="AA1471">
            <v>10300000</v>
          </cell>
          <cell r="AB1471">
            <v>7.17E-2</v>
          </cell>
          <cell r="AC1471">
            <v>738510</v>
          </cell>
          <cell r="AD1471">
            <v>88621.2</v>
          </cell>
          <cell r="AE1471">
            <v>0.12</v>
          </cell>
          <cell r="AF1471">
            <v>44295</v>
          </cell>
          <cell r="AG1471" t="str">
            <v>DAP SZ</v>
          </cell>
          <cell r="AK1471" t="str">
            <v>Agree</v>
          </cell>
          <cell r="AL1471">
            <v>3290323</v>
          </cell>
          <cell r="AM1471">
            <v>44327</v>
          </cell>
          <cell r="AN1471" t="str">
            <v>Yes</v>
          </cell>
          <cell r="AO1471">
            <v>0.9</v>
          </cell>
          <cell r="AP1471">
            <v>9270000</v>
          </cell>
          <cell r="AQ1471">
            <v>44334</v>
          </cell>
          <cell r="AR1471">
            <v>44334</v>
          </cell>
          <cell r="AS1471">
            <v>0</v>
          </cell>
          <cell r="AT1471">
            <v>0</v>
          </cell>
          <cell r="AX1471" t="str">
            <v>Yes</v>
          </cell>
          <cell r="AZ1471" t="str">
            <v>Y</v>
          </cell>
          <cell r="BA1471" t="str">
            <v>Yes</v>
          </cell>
        </row>
        <row r="1472">
          <cell r="B1472">
            <v>1322</v>
          </cell>
          <cell r="C1472" t="str">
            <v>C49SZX20210110SS</v>
          </cell>
          <cell r="D1472" t="str">
            <v>蓝泰翔</v>
          </cell>
          <cell r="E1472" t="str">
            <v>YSM20R-2</v>
          </cell>
          <cell r="I1472" t="str">
            <v>L-&gt;R</v>
          </cell>
          <cell r="J1472" t="str">
            <v>No</v>
          </cell>
          <cell r="K1472">
            <v>1</v>
          </cell>
          <cell r="N1472">
            <v>44414</v>
          </cell>
          <cell r="O1472">
            <v>11100494</v>
          </cell>
          <cell r="P1472">
            <v>906000</v>
          </cell>
          <cell r="Q1472">
            <v>44421</v>
          </cell>
          <cell r="R1472" t="str">
            <v>Yes</v>
          </cell>
          <cell r="S1472" t="str">
            <v>C49</v>
          </cell>
          <cell r="T1472" t="str">
            <v>SOUTH</v>
          </cell>
          <cell r="U1472" t="str">
            <v>深圳</v>
          </cell>
          <cell r="V1472" t="str">
            <v>SZ 深圳</v>
          </cell>
          <cell r="W1472" t="str">
            <v>SS</v>
          </cell>
          <cell r="X1472" t="str">
            <v>RMB</v>
          </cell>
          <cell r="Y1472">
            <v>906000</v>
          </cell>
          <cell r="Z1472">
            <v>1.1299999999999999</v>
          </cell>
          <cell r="AA1472">
            <v>906000</v>
          </cell>
          <cell r="AB1472">
            <v>1.18</v>
          </cell>
          <cell r="AC1472">
            <v>946088.49557522126</v>
          </cell>
          <cell r="AD1472">
            <v>113530.61946902654</v>
          </cell>
          <cell r="AE1472">
            <v>0.12</v>
          </cell>
          <cell r="AF1472">
            <v>44296</v>
          </cell>
          <cell r="AG1472" t="str">
            <v>DDP SZ</v>
          </cell>
          <cell r="AK1472">
            <v>0.1</v>
          </cell>
          <cell r="AL1472">
            <v>90600</v>
          </cell>
          <cell r="AM1472">
            <v>44298</v>
          </cell>
          <cell r="AN1472" t="str">
            <v>Yes</v>
          </cell>
          <cell r="AO1472">
            <v>0.9</v>
          </cell>
          <cell r="AP1472">
            <v>815400</v>
          </cell>
          <cell r="AQ1472">
            <v>44410</v>
          </cell>
          <cell r="AR1472">
            <v>44410</v>
          </cell>
          <cell r="AS1472">
            <v>0</v>
          </cell>
          <cell r="AT1472">
            <v>0</v>
          </cell>
          <cell r="AX1472" t="str">
            <v>Yes</v>
          </cell>
          <cell r="AZ1472" t="str">
            <v>Y</v>
          </cell>
          <cell r="BA1472" t="str">
            <v>Yes</v>
          </cell>
        </row>
        <row r="1473">
          <cell r="B1473">
            <v>1323</v>
          </cell>
          <cell r="C1473" t="str">
            <v>C49SZX20210108MZ</v>
          </cell>
          <cell r="D1473" t="str">
            <v>捷盛达</v>
          </cell>
          <cell r="E1473" t="str">
            <v>YSM20R-2</v>
          </cell>
          <cell r="I1473" t="str">
            <v>L-&gt;R</v>
          </cell>
          <cell r="J1473" t="str">
            <v>No</v>
          </cell>
          <cell r="K1473">
            <v>1</v>
          </cell>
          <cell r="N1473">
            <v>44433</v>
          </cell>
          <cell r="O1473">
            <v>11116642</v>
          </cell>
          <cell r="P1473">
            <v>15000000</v>
          </cell>
          <cell r="Q1473">
            <v>44435</v>
          </cell>
          <cell r="R1473" t="str">
            <v>Yes</v>
          </cell>
          <cell r="S1473" t="str">
            <v>C49</v>
          </cell>
          <cell r="T1473" t="str">
            <v>SOUTH</v>
          </cell>
          <cell r="U1473" t="str">
            <v>深圳</v>
          </cell>
          <cell r="V1473" t="str">
            <v>SZ 深圳</v>
          </cell>
          <cell r="W1473" t="str">
            <v>MZ</v>
          </cell>
          <cell r="X1473" t="str">
            <v>JPY</v>
          </cell>
          <cell r="Y1473">
            <v>15000000</v>
          </cell>
          <cell r="Z1473">
            <v>1</v>
          </cell>
          <cell r="AA1473">
            <v>15000000</v>
          </cell>
          <cell r="AB1473">
            <v>7.17E-2</v>
          </cell>
          <cell r="AC1473">
            <v>1075500</v>
          </cell>
          <cell r="AD1473">
            <v>129060</v>
          </cell>
          <cell r="AE1473">
            <v>0.12</v>
          </cell>
          <cell r="AF1473">
            <v>44294</v>
          </cell>
          <cell r="AG1473" t="str">
            <v>DAP SZ</v>
          </cell>
          <cell r="AK1473">
            <v>0.1</v>
          </cell>
          <cell r="AL1473">
            <v>1500000</v>
          </cell>
          <cell r="AM1473">
            <v>44314</v>
          </cell>
          <cell r="AN1473" t="str">
            <v>Yes</v>
          </cell>
          <cell r="AO1473">
            <v>0.9</v>
          </cell>
          <cell r="AP1473">
            <v>13500000</v>
          </cell>
          <cell r="AQ1473">
            <v>44428</v>
          </cell>
          <cell r="AR1473">
            <v>44428</v>
          </cell>
          <cell r="AS1473">
            <v>0</v>
          </cell>
          <cell r="AT1473">
            <v>0</v>
          </cell>
          <cell r="AX1473" t="str">
            <v>Yes</v>
          </cell>
          <cell r="AZ1473" t="str">
            <v>Y</v>
          </cell>
          <cell r="BA1473" t="str">
            <v>Yes</v>
          </cell>
        </row>
        <row r="1474">
          <cell r="B1474">
            <v>1324</v>
          </cell>
          <cell r="C1474" t="str">
            <v>C49SZX20210066JYR1</v>
          </cell>
          <cell r="D1474" t="str">
            <v>旭日伟光</v>
          </cell>
          <cell r="E1474" t="str">
            <v>YSM10</v>
          </cell>
          <cell r="F1474" t="str">
            <v>#03817</v>
          </cell>
          <cell r="G1474" t="e">
            <v>#REF!</v>
          </cell>
          <cell r="H1474" t="e">
            <v>#REF!</v>
          </cell>
          <cell r="I1474" t="str">
            <v>L-&gt;R</v>
          </cell>
          <cell r="J1474" t="str">
            <v>MVC</v>
          </cell>
          <cell r="K1474">
            <v>1</v>
          </cell>
          <cell r="N1474">
            <v>44335</v>
          </cell>
          <cell r="O1474">
            <v>11116575</v>
          </cell>
          <cell r="P1474">
            <v>7500000</v>
          </cell>
          <cell r="Q1474">
            <v>44317</v>
          </cell>
          <cell r="R1474" t="str">
            <v>No</v>
          </cell>
          <cell r="S1474" t="str">
            <v>C49</v>
          </cell>
          <cell r="T1474" t="str">
            <v>SOUTH</v>
          </cell>
          <cell r="U1474" t="str">
            <v>深圳</v>
          </cell>
          <cell r="V1474" t="str">
            <v>SZ 深圳</v>
          </cell>
          <cell r="W1474" t="str">
            <v>JY</v>
          </cell>
          <cell r="X1474" t="str">
            <v>JPY</v>
          </cell>
          <cell r="Y1474">
            <v>7500000</v>
          </cell>
          <cell r="Z1474">
            <v>1</v>
          </cell>
          <cell r="AA1474">
            <v>7500000</v>
          </cell>
          <cell r="AB1474">
            <v>7.17E-2</v>
          </cell>
          <cell r="AC1474">
            <v>537750</v>
          </cell>
          <cell r="AD1474">
            <v>64530</v>
          </cell>
          <cell r="AE1474">
            <v>0.12</v>
          </cell>
          <cell r="AF1474">
            <v>44298</v>
          </cell>
          <cell r="AG1474" t="str">
            <v>DAP SZ</v>
          </cell>
          <cell r="AK1474">
            <v>0.2</v>
          </cell>
          <cell r="AL1474">
            <v>1500000</v>
          </cell>
          <cell r="AM1474">
            <v>44305</v>
          </cell>
          <cell r="AN1474" t="str">
            <v>Yes</v>
          </cell>
          <cell r="AO1474">
            <v>0.8</v>
          </cell>
          <cell r="AP1474">
            <v>6000000</v>
          </cell>
          <cell r="AQ1474">
            <v>44330</v>
          </cell>
          <cell r="AR1474">
            <v>44330</v>
          </cell>
          <cell r="AS1474">
            <v>0</v>
          </cell>
          <cell r="AT1474">
            <v>0</v>
          </cell>
          <cell r="AX1474" t="str">
            <v>Yes</v>
          </cell>
          <cell r="AZ1474" t="str">
            <v>Y</v>
          </cell>
          <cell r="BA1474" t="str">
            <v>Yes</v>
          </cell>
        </row>
        <row r="1475">
          <cell r="B1475" t="str">
            <v>1325</v>
          </cell>
          <cell r="C1475" t="str">
            <v>C49SZX20210114MZ</v>
          </cell>
          <cell r="D1475" t="str">
            <v>星原</v>
          </cell>
          <cell r="E1475" t="str">
            <v>YSM10</v>
          </cell>
          <cell r="F1475"/>
          <cell r="H1475"/>
          <cell r="I1475" t="str">
            <v>L-&gt;R</v>
          </cell>
          <cell r="J1475" t="str">
            <v>MVC</v>
          </cell>
          <cell r="K1475">
            <v>1</v>
          </cell>
          <cell r="O1475"/>
          <cell r="P1475"/>
          <cell r="Q1475"/>
          <cell r="R1475" t="str">
            <v>Yes</v>
          </cell>
          <cell r="S1475" t="str">
            <v>C49</v>
          </cell>
          <cell r="T1475" t="str">
            <v>SOUTH</v>
          </cell>
          <cell r="U1475" t="str">
            <v>深圳</v>
          </cell>
          <cell r="V1475" t="str">
            <v>SZ 深圳</v>
          </cell>
          <cell r="W1475" t="str">
            <v>MZ</v>
          </cell>
          <cell r="X1475" t="str">
            <v>RMB</v>
          </cell>
          <cell r="Y1475">
            <v>575000</v>
          </cell>
          <cell r="Z1475">
            <v>1.1299999999999999</v>
          </cell>
          <cell r="AA1475">
            <v>575000</v>
          </cell>
          <cell r="AB1475">
            <v>1.18</v>
          </cell>
          <cell r="AC1475">
            <v>600442.47787610628</v>
          </cell>
          <cell r="AD1475">
            <v>72053.097345132745</v>
          </cell>
          <cell r="AE1475">
            <v>0.12</v>
          </cell>
          <cell r="AF1475">
            <v>44299</v>
          </cell>
          <cell r="AG1475" t="str">
            <v>DDP SZ</v>
          </cell>
          <cell r="AI1475"/>
          <cell r="AK1475">
            <v>0.1</v>
          </cell>
          <cell r="AL1475">
            <v>57500</v>
          </cell>
          <cell r="AM1475">
            <v>44300</v>
          </cell>
          <cell r="AN1475" t="str">
            <v>Yes</v>
          </cell>
          <cell r="AO1475">
            <v>0.9</v>
          </cell>
          <cell r="AP1475">
            <v>517500</v>
          </cell>
          <cell r="AQ1475"/>
          <cell r="AR1475"/>
          <cell r="AS1475">
            <v>0</v>
          </cell>
          <cell r="AT1475">
            <v>0</v>
          </cell>
          <cell r="AX1475" t="str">
            <v>Cancel</v>
          </cell>
          <cell r="AY1475"/>
          <cell r="AZ1475"/>
          <cell r="BA1475"/>
        </row>
        <row r="1476">
          <cell r="B1476">
            <v>1326</v>
          </cell>
          <cell r="C1476" t="str">
            <v>C49SZX20210114MZ</v>
          </cell>
          <cell r="D1476" t="str">
            <v>星原</v>
          </cell>
          <cell r="E1476" t="str">
            <v>YSM10</v>
          </cell>
          <cell r="F1476"/>
          <cell r="H1476"/>
          <cell r="I1476" t="str">
            <v>L-&gt;R</v>
          </cell>
          <cell r="J1476" t="str">
            <v>MVC</v>
          </cell>
          <cell r="K1476">
            <v>1</v>
          </cell>
          <cell r="O1476"/>
          <cell r="P1476"/>
          <cell r="Q1476"/>
          <cell r="R1476" t="str">
            <v>Yes</v>
          </cell>
          <cell r="S1476" t="str">
            <v>C49</v>
          </cell>
          <cell r="T1476" t="str">
            <v>SOUTH</v>
          </cell>
          <cell r="U1476" t="str">
            <v>深圳</v>
          </cell>
          <cell r="V1476" t="str">
            <v>SZ 深圳</v>
          </cell>
          <cell r="W1476" t="str">
            <v>MZ</v>
          </cell>
          <cell r="X1476" t="str">
            <v>RMB</v>
          </cell>
          <cell r="Y1476">
            <v>575000</v>
          </cell>
          <cell r="Z1476">
            <v>1.1299999999999999</v>
          </cell>
          <cell r="AA1476">
            <v>575000</v>
          </cell>
          <cell r="AB1476">
            <v>1.18</v>
          </cell>
          <cell r="AC1476">
            <v>600442.47787610628</v>
          </cell>
          <cell r="AD1476">
            <v>72053.097345132745</v>
          </cell>
          <cell r="AE1476">
            <v>0.12</v>
          </cell>
          <cell r="AF1476">
            <v>44299</v>
          </cell>
          <cell r="AG1476" t="str">
            <v>DDP SZ</v>
          </cell>
          <cell r="AI1476"/>
          <cell r="AK1476">
            <v>0.1</v>
          </cell>
          <cell r="AL1476">
            <v>57500</v>
          </cell>
          <cell r="AM1476">
            <v>44300</v>
          </cell>
          <cell r="AN1476" t="str">
            <v>Yes</v>
          </cell>
          <cell r="AO1476">
            <v>0.9</v>
          </cell>
          <cell r="AP1476">
            <v>517500</v>
          </cell>
          <cell r="AQ1476"/>
          <cell r="AR1476"/>
          <cell r="AS1476">
            <v>0</v>
          </cell>
          <cell r="AT1476">
            <v>0</v>
          </cell>
          <cell r="AX1476" t="str">
            <v>Cancel</v>
          </cell>
          <cell r="AY1476"/>
          <cell r="AZ1476"/>
          <cell r="BA1476"/>
        </row>
        <row r="1477">
          <cell r="B1477">
            <v>1327</v>
          </cell>
          <cell r="C1477" t="str">
            <v>C49SZX20210114MZ</v>
          </cell>
          <cell r="D1477" t="str">
            <v>星原</v>
          </cell>
          <cell r="E1477" t="str">
            <v>YSM10</v>
          </cell>
          <cell r="F1477"/>
          <cell r="H1477"/>
          <cell r="I1477" t="str">
            <v>L-&gt;R</v>
          </cell>
          <cell r="J1477" t="str">
            <v>No</v>
          </cell>
          <cell r="K1477">
            <v>1</v>
          </cell>
          <cell r="O1477"/>
          <cell r="P1477"/>
          <cell r="Q1477"/>
          <cell r="R1477" t="str">
            <v>Yes</v>
          </cell>
          <cell r="S1477" t="str">
            <v>C49</v>
          </cell>
          <cell r="T1477" t="str">
            <v>SOUTH</v>
          </cell>
          <cell r="U1477" t="str">
            <v>深圳</v>
          </cell>
          <cell r="V1477" t="str">
            <v>SZ 深圳</v>
          </cell>
          <cell r="W1477" t="str">
            <v>MZ</v>
          </cell>
          <cell r="X1477" t="str">
            <v>RMB</v>
          </cell>
          <cell r="Y1477">
            <v>575000</v>
          </cell>
          <cell r="Z1477">
            <v>1.1299999999999999</v>
          </cell>
          <cell r="AA1477">
            <v>575000</v>
          </cell>
          <cell r="AB1477">
            <v>1.18</v>
          </cell>
          <cell r="AC1477">
            <v>600442.47787610628</v>
          </cell>
          <cell r="AD1477">
            <v>72053.097345132745</v>
          </cell>
          <cell r="AE1477">
            <v>0.12</v>
          </cell>
          <cell r="AF1477">
            <v>44299</v>
          </cell>
          <cell r="AG1477" t="str">
            <v>DDP SZ</v>
          </cell>
          <cell r="AI1477"/>
          <cell r="AK1477">
            <v>0.1</v>
          </cell>
          <cell r="AL1477">
            <v>57500</v>
          </cell>
          <cell r="AM1477">
            <v>44300</v>
          </cell>
          <cell r="AN1477" t="str">
            <v>Yes</v>
          </cell>
          <cell r="AO1477">
            <v>0.9</v>
          </cell>
          <cell r="AP1477">
            <v>517500</v>
          </cell>
          <cell r="AQ1477"/>
          <cell r="AR1477"/>
          <cell r="AS1477">
            <v>0</v>
          </cell>
          <cell r="AT1477">
            <v>0</v>
          </cell>
          <cell r="AX1477" t="str">
            <v>Cancel</v>
          </cell>
          <cell r="AY1477"/>
          <cell r="AZ1477"/>
          <cell r="BA1477"/>
        </row>
        <row r="1478">
          <cell r="B1478" t="str">
            <v>1328</v>
          </cell>
          <cell r="C1478" t="str">
            <v>C49SZX20210114MZ</v>
          </cell>
          <cell r="D1478" t="str">
            <v>星原</v>
          </cell>
          <cell r="E1478" t="str">
            <v>YSM10</v>
          </cell>
          <cell r="F1478"/>
          <cell r="H1478"/>
          <cell r="I1478" t="str">
            <v>L-&gt;R</v>
          </cell>
          <cell r="J1478" t="str">
            <v>No</v>
          </cell>
          <cell r="K1478">
            <v>1</v>
          </cell>
          <cell r="O1478"/>
          <cell r="P1478"/>
          <cell r="Q1478"/>
          <cell r="R1478" t="str">
            <v>Yes</v>
          </cell>
          <cell r="S1478" t="str">
            <v>C49</v>
          </cell>
          <cell r="T1478" t="str">
            <v>SOUTH</v>
          </cell>
          <cell r="U1478" t="str">
            <v>深圳</v>
          </cell>
          <cell r="V1478" t="str">
            <v>SZ 深圳</v>
          </cell>
          <cell r="W1478" t="str">
            <v>MZ</v>
          </cell>
          <cell r="X1478" t="str">
            <v>RMB</v>
          </cell>
          <cell r="Y1478">
            <v>575000</v>
          </cell>
          <cell r="Z1478">
            <v>1.1299999999999999</v>
          </cell>
          <cell r="AA1478">
            <v>575000</v>
          </cell>
          <cell r="AB1478">
            <v>1.18</v>
          </cell>
          <cell r="AC1478">
            <v>600442.47787610628</v>
          </cell>
          <cell r="AD1478">
            <v>72053.097345132745</v>
          </cell>
          <cell r="AE1478">
            <v>0.12</v>
          </cell>
          <cell r="AF1478">
            <v>44299</v>
          </cell>
          <cell r="AG1478" t="str">
            <v>DDP SZ</v>
          </cell>
          <cell r="AI1478"/>
          <cell r="AK1478">
            <v>0.1</v>
          </cell>
          <cell r="AL1478">
            <v>57500</v>
          </cell>
          <cell r="AM1478">
            <v>44300</v>
          </cell>
          <cell r="AN1478" t="str">
            <v>Yes</v>
          </cell>
          <cell r="AO1478">
            <v>0.9</v>
          </cell>
          <cell r="AP1478">
            <v>517500</v>
          </cell>
          <cell r="AQ1478"/>
          <cell r="AR1478"/>
          <cell r="AS1478">
            <v>0</v>
          </cell>
          <cell r="AT1478">
            <v>0</v>
          </cell>
          <cell r="AX1478" t="str">
            <v>Cancel</v>
          </cell>
          <cell r="AY1478"/>
          <cell r="AZ1478"/>
          <cell r="BA1478"/>
        </row>
        <row r="1479">
          <cell r="B1479">
            <v>1329</v>
          </cell>
          <cell r="C1479" t="str">
            <v>C49SZX20210178JY</v>
          </cell>
          <cell r="D1479" t="str">
            <v>毅诚科达</v>
          </cell>
          <cell r="E1479" t="str">
            <v>YSM20R-2</v>
          </cell>
          <cell r="I1479" t="str">
            <v>L-&gt;R</v>
          </cell>
          <cell r="J1479" t="str">
            <v>No</v>
          </cell>
          <cell r="K1479">
            <v>1</v>
          </cell>
          <cell r="N1479">
            <v>44414</v>
          </cell>
          <cell r="O1479">
            <v>11116637</v>
          </cell>
          <cell r="P1479">
            <v>11000000</v>
          </cell>
          <cell r="Q1479">
            <v>44427</v>
          </cell>
          <cell r="R1479" t="str">
            <v>No</v>
          </cell>
          <cell r="S1479" t="str">
            <v>C49</v>
          </cell>
          <cell r="T1479" t="str">
            <v>SOUTH</v>
          </cell>
          <cell r="U1479" t="str">
            <v>深圳</v>
          </cell>
          <cell r="V1479" t="str">
            <v>SZ 深圳</v>
          </cell>
          <cell r="W1479" t="str">
            <v>JY</v>
          </cell>
          <cell r="X1479" t="str">
            <v>JPY</v>
          </cell>
          <cell r="Y1479">
            <v>11000000</v>
          </cell>
          <cell r="Z1479">
            <v>1</v>
          </cell>
          <cell r="AA1479">
            <v>11000000</v>
          </cell>
          <cell r="AB1479">
            <v>7.17E-2</v>
          </cell>
          <cell r="AC1479">
            <v>788700</v>
          </cell>
          <cell r="AD1479">
            <v>94644</v>
          </cell>
          <cell r="AE1479">
            <v>0.12</v>
          </cell>
          <cell r="AF1479">
            <v>44300</v>
          </cell>
          <cell r="AG1479" t="str">
            <v>DAP SZ</v>
          </cell>
          <cell r="AI1479"/>
          <cell r="AK1479" t="str">
            <v>agree</v>
          </cell>
          <cell r="AL1479">
            <v>1658622</v>
          </cell>
          <cell r="AM1479">
            <v>44308</v>
          </cell>
          <cell r="AN1479" t="str">
            <v>Yes</v>
          </cell>
          <cell r="AO1479">
            <v>0.9</v>
          </cell>
          <cell r="AP1479">
            <v>9900000</v>
          </cell>
          <cell r="AQ1479">
            <v>44413</v>
          </cell>
          <cell r="AR1479">
            <v>44413</v>
          </cell>
          <cell r="AS1479">
            <v>0</v>
          </cell>
          <cell r="AT1479">
            <v>0</v>
          </cell>
          <cell r="AX1479" t="str">
            <v>Yes</v>
          </cell>
          <cell r="AZ1479" t="str">
            <v>Y</v>
          </cell>
          <cell r="BA1479" t="str">
            <v>Yes</v>
          </cell>
        </row>
        <row r="1480">
          <cell r="B1480">
            <v>1330</v>
          </cell>
          <cell r="C1480" t="str">
            <v>C49SZX20210178JY</v>
          </cell>
          <cell r="D1480" t="str">
            <v>毅诚科达</v>
          </cell>
          <cell r="E1480" t="str">
            <v>YSM20R-2</v>
          </cell>
          <cell r="I1480" t="str">
            <v>R-&gt;L</v>
          </cell>
          <cell r="J1480" t="str">
            <v>No</v>
          </cell>
          <cell r="K1480">
            <v>1</v>
          </cell>
          <cell r="N1480">
            <v>44456</v>
          </cell>
          <cell r="O1480">
            <v>11116648</v>
          </cell>
          <cell r="P1480">
            <v>11000000</v>
          </cell>
          <cell r="Q1480">
            <v>44455</v>
          </cell>
          <cell r="R1480" t="str">
            <v>No</v>
          </cell>
          <cell r="S1480" t="str">
            <v>C49</v>
          </cell>
          <cell r="T1480" t="str">
            <v>SOUTH</v>
          </cell>
          <cell r="U1480" t="str">
            <v>深圳</v>
          </cell>
          <cell r="V1480" t="str">
            <v>SZ 深圳</v>
          </cell>
          <cell r="W1480" t="str">
            <v>JY</v>
          </cell>
          <cell r="X1480" t="str">
            <v>JPY</v>
          </cell>
          <cell r="Y1480">
            <v>11000000</v>
          </cell>
          <cell r="Z1480">
            <v>1</v>
          </cell>
          <cell r="AA1480">
            <v>11000000</v>
          </cell>
          <cell r="AB1480">
            <v>7.17E-2</v>
          </cell>
          <cell r="AC1480">
            <v>788700</v>
          </cell>
          <cell r="AD1480">
            <v>94644</v>
          </cell>
          <cell r="AE1480">
            <v>0.12</v>
          </cell>
          <cell r="AF1480">
            <v>44300</v>
          </cell>
          <cell r="AG1480" t="str">
            <v>DAP SZ</v>
          </cell>
          <cell r="AI1480"/>
          <cell r="AK1480"/>
          <cell r="AL1480"/>
          <cell r="AM1480">
            <v>44308</v>
          </cell>
          <cell r="AN1480" t="str">
            <v>Yes</v>
          </cell>
          <cell r="AO1480">
            <v>0.9</v>
          </cell>
          <cell r="AP1480">
            <v>9900000</v>
          </cell>
          <cell r="AQ1480">
            <v>44454</v>
          </cell>
          <cell r="AR1480">
            <v>44454</v>
          </cell>
          <cell r="AS1480">
            <v>0</v>
          </cell>
          <cell r="AT1480">
            <v>0</v>
          </cell>
          <cell r="AX1480" t="str">
            <v>Yes</v>
          </cell>
          <cell r="AZ1480" t="str">
            <v>Y</v>
          </cell>
          <cell r="BA1480" t="str">
            <v>Yes</v>
          </cell>
        </row>
        <row r="1481">
          <cell r="B1481">
            <v>1331</v>
          </cell>
          <cell r="C1481" t="str">
            <v>C49SZX20210113SX</v>
          </cell>
          <cell r="D1481" t="str">
            <v>兴开泰</v>
          </cell>
          <cell r="E1481" t="str">
            <v>YSM20R-2</v>
          </cell>
          <cell r="F1481" t="str">
            <v>#46222</v>
          </cell>
          <cell r="G1481" t="e">
            <v>#REF!</v>
          </cell>
          <cell r="H1481" t="e">
            <v>#REF!</v>
          </cell>
          <cell r="I1481" t="str">
            <v>L-&gt;R</v>
          </cell>
          <cell r="J1481" t="str">
            <v>No</v>
          </cell>
          <cell r="K1481">
            <v>1</v>
          </cell>
          <cell r="L1481"/>
          <cell r="N1481"/>
          <cell r="O1481"/>
          <cell r="P1481"/>
          <cell r="Q1481"/>
          <cell r="R1481" t="str">
            <v>No</v>
          </cell>
          <cell r="S1481" t="str">
            <v>C49</v>
          </cell>
          <cell r="T1481" t="str">
            <v>SOUTH</v>
          </cell>
          <cell r="U1481" t="str">
            <v>深圳</v>
          </cell>
          <cell r="V1481" t="str">
            <v>SZ 深圳</v>
          </cell>
          <cell r="W1481" t="str">
            <v>SX</v>
          </cell>
          <cell r="X1481" t="str">
            <v>JPY</v>
          </cell>
          <cell r="Y1481">
            <v>12600000</v>
          </cell>
          <cell r="Z1481">
            <v>1</v>
          </cell>
          <cell r="AA1481">
            <v>12600000</v>
          </cell>
          <cell r="AB1481">
            <v>7.17E-2</v>
          </cell>
          <cell r="AC1481">
            <v>903420</v>
          </cell>
          <cell r="AD1481">
            <v>108410.4</v>
          </cell>
          <cell r="AE1481">
            <v>0.12</v>
          </cell>
          <cell r="AF1481">
            <v>44298</v>
          </cell>
          <cell r="AG1481" t="str">
            <v>DAP SZ</v>
          </cell>
          <cell r="AI1481"/>
          <cell r="AJ1481"/>
          <cell r="AK1481">
            <v>0.1</v>
          </cell>
          <cell r="AL1481">
            <v>1260000</v>
          </cell>
          <cell r="AM1481">
            <v>44334</v>
          </cell>
          <cell r="AN1481" t="str">
            <v>Yes</v>
          </cell>
          <cell r="AO1481">
            <v>0.9</v>
          </cell>
          <cell r="AP1481">
            <v>11340000</v>
          </cell>
          <cell r="AQ1481"/>
          <cell r="AR1481"/>
          <cell r="AS1481">
            <v>0</v>
          </cell>
          <cell r="AT1481">
            <v>0</v>
          </cell>
          <cell r="AV1481"/>
          <cell r="AX1481" t="str">
            <v>Cancel</v>
          </cell>
          <cell r="AY1481"/>
          <cell r="AZ1481"/>
          <cell r="BA1481" t="str">
            <v>Cancel</v>
          </cell>
          <cell r="BB1481" t="str">
            <v>2022-8-2Ken邮件通知</v>
          </cell>
        </row>
        <row r="1482">
          <cell r="B1482">
            <v>1332</v>
          </cell>
          <cell r="C1482" t="str">
            <v>C49SZX20210113SX</v>
          </cell>
          <cell r="D1482" t="str">
            <v>兴开泰</v>
          </cell>
          <cell r="E1482" t="str">
            <v>YSM20R-2</v>
          </cell>
          <cell r="F1482" t="str">
            <v>#46222</v>
          </cell>
          <cell r="G1482" t="e">
            <v>#REF!</v>
          </cell>
          <cell r="H1482" t="e">
            <v>#REF!</v>
          </cell>
          <cell r="I1482" t="str">
            <v>R-&gt;L</v>
          </cell>
          <cell r="J1482" t="str">
            <v>No</v>
          </cell>
          <cell r="K1482">
            <v>1</v>
          </cell>
          <cell r="L1482"/>
          <cell r="N1482"/>
          <cell r="O1482"/>
          <cell r="P1482"/>
          <cell r="Q1482"/>
          <cell r="R1482" t="str">
            <v>No</v>
          </cell>
          <cell r="S1482" t="str">
            <v>C49</v>
          </cell>
          <cell r="T1482" t="str">
            <v>SOUTH</v>
          </cell>
          <cell r="U1482" t="str">
            <v>深圳</v>
          </cell>
          <cell r="V1482" t="str">
            <v>SZ 深圳</v>
          </cell>
          <cell r="W1482" t="str">
            <v>SX</v>
          </cell>
          <cell r="X1482" t="str">
            <v>JPY</v>
          </cell>
          <cell r="Y1482">
            <v>12600000</v>
          </cell>
          <cell r="Z1482">
            <v>1</v>
          </cell>
          <cell r="AA1482">
            <v>12600000</v>
          </cell>
          <cell r="AB1482">
            <v>7.17E-2</v>
          </cell>
          <cell r="AC1482">
            <v>903420</v>
          </cell>
          <cell r="AD1482">
            <v>108410.4</v>
          </cell>
          <cell r="AE1482">
            <v>0.12</v>
          </cell>
          <cell r="AF1482">
            <v>44298</v>
          </cell>
          <cell r="AG1482" t="str">
            <v>DAP SZ</v>
          </cell>
          <cell r="AI1482"/>
          <cell r="AJ1482"/>
          <cell r="AK1482">
            <v>0.1</v>
          </cell>
          <cell r="AL1482">
            <v>1260000</v>
          </cell>
          <cell r="AM1482">
            <v>44334</v>
          </cell>
          <cell r="AN1482" t="str">
            <v>Yes</v>
          </cell>
          <cell r="AO1482">
            <v>0.9</v>
          </cell>
          <cell r="AP1482">
            <v>11340000</v>
          </cell>
          <cell r="AQ1482"/>
          <cell r="AR1482"/>
          <cell r="AS1482">
            <v>0</v>
          </cell>
          <cell r="AT1482">
            <v>0</v>
          </cell>
          <cell r="AV1482"/>
          <cell r="AX1482" t="str">
            <v>Cancel</v>
          </cell>
          <cell r="AY1482"/>
          <cell r="AZ1482"/>
          <cell r="BA1482" t="str">
            <v>Cancel</v>
          </cell>
          <cell r="BB1482" t="str">
            <v>2022-8-2Ken邮件通知</v>
          </cell>
        </row>
        <row r="1483">
          <cell r="B1483">
            <v>1333</v>
          </cell>
          <cell r="C1483" t="str">
            <v>C49SZX20210113SX</v>
          </cell>
          <cell r="D1483" t="str">
            <v>兴开泰</v>
          </cell>
          <cell r="E1483" t="str">
            <v>YSM10</v>
          </cell>
          <cell r="F1483" t="str">
            <v>#46222</v>
          </cell>
          <cell r="G1483" t="e">
            <v>#REF!</v>
          </cell>
          <cell r="H1483" t="e">
            <v>#REF!</v>
          </cell>
          <cell r="I1483" t="str">
            <v>L-&gt;R</v>
          </cell>
          <cell r="J1483" t="str">
            <v>MVC</v>
          </cell>
          <cell r="K1483">
            <v>1</v>
          </cell>
          <cell r="L1483"/>
          <cell r="N1483"/>
          <cell r="O1483"/>
          <cell r="P1483"/>
          <cell r="Q1483"/>
          <cell r="R1483" t="str">
            <v>No</v>
          </cell>
          <cell r="S1483" t="str">
            <v>C49</v>
          </cell>
          <cell r="T1483" t="str">
            <v>SOUTH</v>
          </cell>
          <cell r="U1483" t="str">
            <v>深圳</v>
          </cell>
          <cell r="V1483" t="str">
            <v>SZ 深圳</v>
          </cell>
          <cell r="W1483" t="str">
            <v>SX</v>
          </cell>
          <cell r="X1483" t="str">
            <v>JPY</v>
          </cell>
          <cell r="Y1483">
            <v>11498600</v>
          </cell>
          <cell r="Z1483">
            <v>1</v>
          </cell>
          <cell r="AA1483">
            <v>11498600</v>
          </cell>
          <cell r="AB1483">
            <v>7.17E-2</v>
          </cell>
          <cell r="AC1483">
            <v>824449.62</v>
          </cell>
          <cell r="AD1483">
            <v>98933.954400000002</v>
          </cell>
          <cell r="AE1483">
            <v>0.12</v>
          </cell>
          <cell r="AF1483">
            <v>44298</v>
          </cell>
          <cell r="AG1483" t="str">
            <v>DAP SZ</v>
          </cell>
          <cell r="AI1483"/>
          <cell r="AJ1483"/>
          <cell r="AK1483">
            <v>0.1</v>
          </cell>
          <cell r="AL1483">
            <v>1149860</v>
          </cell>
          <cell r="AM1483">
            <v>44334</v>
          </cell>
          <cell r="AN1483" t="str">
            <v>Yes</v>
          </cell>
          <cell r="AO1483">
            <v>0.9</v>
          </cell>
          <cell r="AP1483">
            <v>10348740</v>
          </cell>
          <cell r="AQ1483"/>
          <cell r="AR1483"/>
          <cell r="AS1483">
            <v>0</v>
          </cell>
          <cell r="AT1483">
            <v>0</v>
          </cell>
          <cell r="AV1483"/>
          <cell r="AX1483" t="str">
            <v>Cancel</v>
          </cell>
          <cell r="AY1483"/>
          <cell r="AZ1483"/>
          <cell r="BA1483" t="str">
            <v>Cancel</v>
          </cell>
          <cell r="BB1483" t="str">
            <v>2022-8-2Ken邮件通知</v>
          </cell>
        </row>
        <row r="1484">
          <cell r="B1484">
            <v>1334</v>
          </cell>
          <cell r="C1484" t="str">
            <v>C49SZX20210113SX</v>
          </cell>
          <cell r="D1484" t="str">
            <v>兴开泰</v>
          </cell>
          <cell r="E1484" t="str">
            <v>YSM10</v>
          </cell>
          <cell r="F1484" t="str">
            <v>#46222</v>
          </cell>
          <cell r="G1484" t="e">
            <v>#REF!</v>
          </cell>
          <cell r="H1484" t="e">
            <v>#REF!</v>
          </cell>
          <cell r="I1484" t="str">
            <v>R-&gt;L</v>
          </cell>
          <cell r="J1484" t="str">
            <v>MVC</v>
          </cell>
          <cell r="K1484">
            <v>1</v>
          </cell>
          <cell r="L1484"/>
          <cell r="N1484"/>
          <cell r="O1484"/>
          <cell r="P1484"/>
          <cell r="Q1484"/>
          <cell r="R1484" t="str">
            <v>No</v>
          </cell>
          <cell r="S1484" t="str">
            <v>C49</v>
          </cell>
          <cell r="T1484" t="str">
            <v>SOUTH</v>
          </cell>
          <cell r="U1484" t="str">
            <v>深圳</v>
          </cell>
          <cell r="V1484" t="str">
            <v>SZ 深圳</v>
          </cell>
          <cell r="W1484" t="str">
            <v>SX</v>
          </cell>
          <cell r="X1484" t="str">
            <v>JPY</v>
          </cell>
          <cell r="Y1484">
            <v>11498600</v>
          </cell>
          <cell r="Z1484">
            <v>1</v>
          </cell>
          <cell r="AA1484">
            <v>11498600</v>
          </cell>
          <cell r="AB1484">
            <v>7.17E-2</v>
          </cell>
          <cell r="AC1484">
            <v>824449.62</v>
          </cell>
          <cell r="AD1484">
            <v>98933.954400000002</v>
          </cell>
          <cell r="AE1484">
            <v>0.12</v>
          </cell>
          <cell r="AF1484">
            <v>44298</v>
          </cell>
          <cell r="AG1484" t="str">
            <v>DAP SZ</v>
          </cell>
          <cell r="AI1484"/>
          <cell r="AJ1484"/>
          <cell r="AK1484">
            <v>0.1</v>
          </cell>
          <cell r="AL1484">
            <v>1149860</v>
          </cell>
          <cell r="AM1484">
            <v>44334</v>
          </cell>
          <cell r="AN1484" t="str">
            <v>Yes</v>
          </cell>
          <cell r="AO1484">
            <v>0.9</v>
          </cell>
          <cell r="AP1484">
            <v>10348740</v>
          </cell>
          <cell r="AQ1484"/>
          <cell r="AR1484"/>
          <cell r="AS1484">
            <v>0</v>
          </cell>
          <cell r="AT1484">
            <v>0</v>
          </cell>
          <cell r="AV1484"/>
          <cell r="AX1484" t="str">
            <v>Cancel</v>
          </cell>
          <cell r="AY1484"/>
          <cell r="AZ1484"/>
          <cell r="BA1484" t="str">
            <v>Cancel</v>
          </cell>
          <cell r="BB1484" t="str">
            <v>2022-8-2Ken邮件通知</v>
          </cell>
        </row>
        <row r="1485">
          <cell r="B1485">
            <v>1335</v>
          </cell>
          <cell r="C1485" t="str">
            <v>C49SZX20210112JD</v>
          </cell>
          <cell r="D1485" t="str">
            <v>贝爱婴童</v>
          </cell>
          <cell r="E1485" t="str">
            <v>YSM10</v>
          </cell>
          <cell r="I1485" t="str">
            <v>L-&gt;R</v>
          </cell>
          <cell r="J1485" t="str">
            <v>MVC+ATS15</v>
          </cell>
          <cell r="K1485">
            <v>1</v>
          </cell>
          <cell r="N1485">
            <v>44350</v>
          </cell>
          <cell r="O1485">
            <v>11116597</v>
          </cell>
          <cell r="P1485">
            <v>9000000</v>
          </cell>
          <cell r="Q1485">
            <v>44354</v>
          </cell>
          <cell r="R1485" t="str">
            <v>No</v>
          </cell>
          <cell r="S1485" t="str">
            <v>C49</v>
          </cell>
          <cell r="T1485" t="str">
            <v>SOUTH</v>
          </cell>
          <cell r="U1485" t="str">
            <v>深圳</v>
          </cell>
          <cell r="V1485" t="str">
            <v>SZ 深圳</v>
          </cell>
          <cell r="W1485" t="str">
            <v>JD</v>
          </cell>
          <cell r="X1485" t="str">
            <v>JPY</v>
          </cell>
          <cell r="Y1485">
            <v>9000000</v>
          </cell>
          <cell r="Z1485">
            <v>1</v>
          </cell>
          <cell r="AA1485">
            <v>9000000</v>
          </cell>
          <cell r="AB1485">
            <v>7.17E-2</v>
          </cell>
          <cell r="AC1485">
            <v>645300</v>
          </cell>
          <cell r="AD1485">
            <v>77436</v>
          </cell>
          <cell r="AE1485">
            <v>0.12</v>
          </cell>
          <cell r="AF1485">
            <v>44300</v>
          </cell>
          <cell r="AG1485" t="str">
            <v>DAP ZS</v>
          </cell>
          <cell r="AK1485">
            <v>0.3</v>
          </cell>
          <cell r="AL1485">
            <v>2700000</v>
          </cell>
          <cell r="AM1485">
            <v>44302</v>
          </cell>
          <cell r="AN1485" t="str">
            <v>Yes</v>
          </cell>
          <cell r="AO1485">
            <v>0.7</v>
          </cell>
          <cell r="AP1485">
            <v>6300000</v>
          </cell>
          <cell r="AQ1485">
            <v>44344</v>
          </cell>
          <cell r="AR1485">
            <v>44344</v>
          </cell>
          <cell r="AS1485">
            <v>0</v>
          </cell>
          <cell r="AT1485">
            <v>0</v>
          </cell>
          <cell r="AX1485" t="str">
            <v>Yes</v>
          </cell>
          <cell r="AZ1485" t="str">
            <v>Y</v>
          </cell>
          <cell r="BA1485" t="str">
            <v>Yes</v>
          </cell>
        </row>
        <row r="1486">
          <cell r="B1486">
            <v>1336</v>
          </cell>
          <cell r="C1486" t="str">
            <v>C49SZX20210115DY</v>
          </cell>
          <cell r="D1486" t="str">
            <v>亮瑞</v>
          </cell>
          <cell r="E1486" t="str">
            <v>YSM10</v>
          </cell>
          <cell r="I1486" t="str">
            <v>L-&gt;R</v>
          </cell>
          <cell r="J1486" t="str">
            <v>MVC</v>
          </cell>
          <cell r="K1486">
            <v>1</v>
          </cell>
          <cell r="N1486">
            <v>44368</v>
          </cell>
          <cell r="O1486">
            <v>11100489</v>
          </cell>
          <cell r="P1486">
            <v>560000</v>
          </cell>
          <cell r="Q1486">
            <v>44376</v>
          </cell>
          <cell r="R1486" t="str">
            <v>Yes</v>
          </cell>
          <cell r="S1486" t="str">
            <v>C49</v>
          </cell>
          <cell r="T1486" t="str">
            <v>SOUTH</v>
          </cell>
          <cell r="U1486" t="str">
            <v>深圳</v>
          </cell>
          <cell r="V1486" t="str">
            <v>SZ 深圳</v>
          </cell>
          <cell r="W1486" t="str">
            <v>DY</v>
          </cell>
          <cell r="X1486" t="str">
            <v>RMB</v>
          </cell>
          <cell r="Y1486">
            <v>560000</v>
          </cell>
          <cell r="Z1486">
            <v>1.1299999999999999</v>
          </cell>
          <cell r="AA1486">
            <v>560000</v>
          </cell>
          <cell r="AB1486">
            <v>1.18</v>
          </cell>
          <cell r="AC1486">
            <v>584778.76106194698</v>
          </cell>
          <cell r="AD1486">
            <v>70173.451327433635</v>
          </cell>
          <cell r="AE1486">
            <v>0.12</v>
          </cell>
          <cell r="AF1486">
            <v>44300</v>
          </cell>
          <cell r="AG1486" t="str">
            <v>DDP SZ</v>
          </cell>
          <cell r="AK1486">
            <v>0.2</v>
          </cell>
          <cell r="AL1486">
            <v>112000</v>
          </cell>
          <cell r="AM1486">
            <v>44301</v>
          </cell>
          <cell r="AN1486" t="str">
            <v>Yes</v>
          </cell>
          <cell r="AO1486">
            <v>0.8</v>
          </cell>
          <cell r="AP1486">
            <v>448000</v>
          </cell>
          <cell r="AQ1486">
            <v>44364</v>
          </cell>
          <cell r="AR1486">
            <v>44364</v>
          </cell>
          <cell r="AS1486">
            <v>0</v>
          </cell>
          <cell r="AT1486">
            <v>0</v>
          </cell>
          <cell r="AX1486" t="str">
            <v>Yes</v>
          </cell>
          <cell r="AZ1486" t="str">
            <v>Y</v>
          </cell>
          <cell r="BA1486" t="str">
            <v>Yes</v>
          </cell>
        </row>
        <row r="1487">
          <cell r="B1487">
            <v>1337</v>
          </cell>
          <cell r="C1487" t="str">
            <v>C28SZX20210331</v>
          </cell>
          <cell r="D1487" t="str">
            <v>上海佳琥</v>
          </cell>
          <cell r="E1487" t="str">
            <v>EAGLE 3D 8800HS CPT</v>
          </cell>
          <cell r="J1487" t="str">
            <v>No</v>
          </cell>
          <cell r="K1487">
            <v>2</v>
          </cell>
          <cell r="L1487" t="str">
            <v>B28110422</v>
          </cell>
          <cell r="N1487">
            <v>44425</v>
          </cell>
          <cell r="O1487">
            <v>11100486</v>
          </cell>
          <cell r="P1487">
            <v>1188600</v>
          </cell>
          <cell r="Q1487">
            <v>44372</v>
          </cell>
          <cell r="R1487" t="str">
            <v>Yes</v>
          </cell>
          <cell r="S1487" t="str">
            <v>C28</v>
          </cell>
          <cell r="T1487" t="str">
            <v>SOUTH</v>
          </cell>
          <cell r="U1487" t="str">
            <v>深圳</v>
          </cell>
          <cell r="V1487" t="str">
            <v>SZ 深圳</v>
          </cell>
          <cell r="W1487" t="str">
            <v>KC</v>
          </cell>
          <cell r="X1487" t="str">
            <v>RMB</v>
          </cell>
          <cell r="Y1487">
            <v>594300</v>
          </cell>
          <cell r="Z1487">
            <v>1.1299999999999999</v>
          </cell>
          <cell r="AA1487">
            <v>1188600</v>
          </cell>
          <cell r="AB1487">
            <v>1.18</v>
          </cell>
          <cell r="AC1487">
            <v>1241192.9203539824</v>
          </cell>
          <cell r="AD1487">
            <v>148943.15044247787</v>
          </cell>
          <cell r="AE1487">
            <v>0.12</v>
          </cell>
          <cell r="AF1487">
            <v>44286</v>
          </cell>
          <cell r="AG1487" t="str">
            <v>DDP SZ</v>
          </cell>
          <cell r="AK1487">
            <v>0.3</v>
          </cell>
          <cell r="AL1487">
            <v>356580</v>
          </cell>
          <cell r="AM1487">
            <v>44298</v>
          </cell>
          <cell r="AN1487" t="str">
            <v>Yes</v>
          </cell>
          <cell r="AO1487">
            <v>0.65</v>
          </cell>
          <cell r="AP1487">
            <v>772590</v>
          </cell>
          <cell r="AQ1487">
            <v>44371</v>
          </cell>
          <cell r="AR1487">
            <v>44371</v>
          </cell>
          <cell r="AS1487">
            <v>0.05</v>
          </cell>
          <cell r="AT1487">
            <v>59430</v>
          </cell>
        </row>
        <row r="1488">
          <cell r="B1488">
            <v>1338</v>
          </cell>
          <cell r="C1488" t="str">
            <v>C49SZX20210119JY</v>
          </cell>
          <cell r="D1488" t="str">
            <v>百纳海</v>
          </cell>
          <cell r="E1488" t="str">
            <v>YSM20R-2</v>
          </cell>
          <cell r="F1488" t="str">
            <v>#04652</v>
          </cell>
          <cell r="G1488" t="e">
            <v>#REF!</v>
          </cell>
          <cell r="H1488" t="e">
            <v>#REF!</v>
          </cell>
          <cell r="I1488" t="str">
            <v>L-&gt;R</v>
          </cell>
          <cell r="J1488" t="str">
            <v>No</v>
          </cell>
          <cell r="K1488">
            <v>1</v>
          </cell>
          <cell r="N1488">
            <v>44489</v>
          </cell>
          <cell r="O1488">
            <v>11116655</v>
          </cell>
          <cell r="P1488">
            <v>11100000</v>
          </cell>
          <cell r="Q1488">
            <v>44497</v>
          </cell>
          <cell r="R1488" t="str">
            <v>No</v>
          </cell>
          <cell r="S1488" t="str">
            <v>C49</v>
          </cell>
          <cell r="T1488" t="str">
            <v>SOUTH</v>
          </cell>
          <cell r="U1488" t="str">
            <v>深圳</v>
          </cell>
          <cell r="V1488" t="str">
            <v>SZ 深圳</v>
          </cell>
          <cell r="W1488" t="str">
            <v>JY</v>
          </cell>
          <cell r="X1488" t="str">
            <v>JPY</v>
          </cell>
          <cell r="Y1488">
            <v>11100000</v>
          </cell>
          <cell r="Z1488">
            <v>1</v>
          </cell>
          <cell r="AA1488">
            <v>11100000</v>
          </cell>
          <cell r="AB1488">
            <v>7.17E-2</v>
          </cell>
          <cell r="AC1488">
            <v>795870</v>
          </cell>
          <cell r="AD1488">
            <v>95504.4</v>
          </cell>
          <cell r="AE1488">
            <v>0.12</v>
          </cell>
          <cell r="AF1488">
            <v>44306</v>
          </cell>
          <cell r="AG1488" t="str">
            <v>DAP SZ</v>
          </cell>
          <cell r="AK1488">
            <v>0.1</v>
          </cell>
          <cell r="AL1488">
            <v>1110000</v>
          </cell>
          <cell r="AM1488">
            <v>44314</v>
          </cell>
          <cell r="AN1488" t="str">
            <v>Yes</v>
          </cell>
          <cell r="AO1488">
            <v>0.9</v>
          </cell>
          <cell r="AP1488">
            <v>9990000</v>
          </cell>
          <cell r="AQ1488">
            <v>44484</v>
          </cell>
          <cell r="AR1488">
            <v>44484</v>
          </cell>
          <cell r="AS1488">
            <v>0</v>
          </cell>
          <cell r="AT1488">
            <v>0</v>
          </cell>
          <cell r="AX1488" t="str">
            <v>Yes</v>
          </cell>
          <cell r="AZ1488" t="str">
            <v>Y</v>
          </cell>
          <cell r="BA1488" t="str">
            <v>Yes</v>
          </cell>
        </row>
        <row r="1489">
          <cell r="B1489">
            <v>1339</v>
          </cell>
          <cell r="C1489" t="str">
            <v>C49SZX20210119JY</v>
          </cell>
          <cell r="D1489" t="str">
            <v>百纳海</v>
          </cell>
          <cell r="E1489" t="str">
            <v>YSM20R-2</v>
          </cell>
          <cell r="F1489" t="str">
            <v>#04652</v>
          </cell>
          <cell r="G1489" t="e">
            <v>#REF!</v>
          </cell>
          <cell r="H1489" t="e">
            <v>#REF!</v>
          </cell>
          <cell r="I1489" t="str">
            <v>L-&gt;R</v>
          </cell>
          <cell r="J1489" t="str">
            <v>No</v>
          </cell>
          <cell r="K1489">
            <v>1</v>
          </cell>
          <cell r="N1489">
            <v>44568</v>
          </cell>
          <cell r="O1489">
            <v>11116685</v>
          </cell>
          <cell r="P1489">
            <v>11100000</v>
          </cell>
          <cell r="Q1489">
            <v>44568</v>
          </cell>
          <cell r="R1489" t="str">
            <v>No</v>
          </cell>
          <cell r="S1489" t="str">
            <v>C49</v>
          </cell>
          <cell r="T1489" t="str">
            <v>SOUTH</v>
          </cell>
          <cell r="U1489" t="str">
            <v>深圳</v>
          </cell>
          <cell r="V1489" t="str">
            <v>SZ 深圳</v>
          </cell>
          <cell r="W1489" t="str">
            <v>JY</v>
          </cell>
          <cell r="X1489" t="str">
            <v>JPY</v>
          </cell>
          <cell r="Y1489">
            <v>11100000</v>
          </cell>
          <cell r="Z1489">
            <v>1</v>
          </cell>
          <cell r="AA1489">
            <v>11100000</v>
          </cell>
          <cell r="AB1489">
            <v>7.17E-2</v>
          </cell>
          <cell r="AC1489">
            <v>795870</v>
          </cell>
          <cell r="AD1489">
            <v>95504.4</v>
          </cell>
          <cell r="AE1489">
            <v>0.12</v>
          </cell>
          <cell r="AF1489">
            <v>44306</v>
          </cell>
          <cell r="AG1489" t="str">
            <v>DAP SZ</v>
          </cell>
          <cell r="AK1489">
            <v>0.1</v>
          </cell>
          <cell r="AL1489">
            <v>1110000</v>
          </cell>
          <cell r="AM1489">
            <v>44314</v>
          </cell>
          <cell r="AN1489" t="str">
            <v>Yes</v>
          </cell>
          <cell r="AO1489">
            <v>0.9</v>
          </cell>
          <cell r="AP1489">
            <v>9990000</v>
          </cell>
          <cell r="AQ1489">
            <v>44566</v>
          </cell>
          <cell r="AR1489">
            <v>44566</v>
          </cell>
          <cell r="AS1489">
            <v>0</v>
          </cell>
          <cell r="AT1489">
            <v>0</v>
          </cell>
          <cell r="AX1489" t="str">
            <v>Yes</v>
          </cell>
          <cell r="AZ1489" t="str">
            <v>Y</v>
          </cell>
          <cell r="BA1489" t="str">
            <v>Yes</v>
          </cell>
        </row>
        <row r="1490">
          <cell r="B1490">
            <v>1340</v>
          </cell>
          <cell r="C1490" t="str">
            <v>C49SZX20210117JY</v>
          </cell>
          <cell r="D1490" t="str">
            <v>精德鸿</v>
          </cell>
          <cell r="E1490" t="str">
            <v>YSM20R-2</v>
          </cell>
          <cell r="F1490" t="str">
            <v>#05357</v>
          </cell>
          <cell r="G1490" t="e">
            <v>#REF!</v>
          </cell>
          <cell r="H1490" t="e">
            <v>#REF!</v>
          </cell>
          <cell r="I1490" t="str">
            <v>L-&gt;R</v>
          </cell>
          <cell r="J1490" t="str">
            <v>MVC</v>
          </cell>
          <cell r="K1490">
            <v>1</v>
          </cell>
          <cell r="N1490">
            <v>44337</v>
          </cell>
          <cell r="O1490">
            <v>11116592</v>
          </cell>
          <cell r="P1490">
            <v>12600000</v>
          </cell>
          <cell r="Q1490">
            <v>44344</v>
          </cell>
          <cell r="R1490" t="str">
            <v>No</v>
          </cell>
          <cell r="S1490" t="str">
            <v>C49</v>
          </cell>
          <cell r="T1490" t="str">
            <v>SOUTH</v>
          </cell>
          <cell r="U1490" t="str">
            <v>深圳</v>
          </cell>
          <cell r="V1490" t="str">
            <v>SZ 深圳</v>
          </cell>
          <cell r="W1490" t="str">
            <v>JY</v>
          </cell>
          <cell r="X1490" t="str">
            <v>JPY</v>
          </cell>
          <cell r="Y1490">
            <v>12600000</v>
          </cell>
          <cell r="Z1490">
            <v>1</v>
          </cell>
          <cell r="AA1490">
            <v>12600000</v>
          </cell>
          <cell r="AB1490">
            <v>7.17E-2</v>
          </cell>
          <cell r="AC1490">
            <v>903420</v>
          </cell>
          <cell r="AD1490">
            <v>108410.4</v>
          </cell>
          <cell r="AE1490">
            <v>0.12</v>
          </cell>
          <cell r="AF1490">
            <v>44306</v>
          </cell>
          <cell r="AG1490" t="str">
            <v>DAP SZ</v>
          </cell>
          <cell r="AK1490" t="str">
            <v>Agree</v>
          </cell>
          <cell r="AL1490">
            <v>3331800</v>
          </cell>
          <cell r="AM1490">
            <v>44195</v>
          </cell>
          <cell r="AN1490" t="str">
            <v>Yes</v>
          </cell>
          <cell r="AO1490">
            <v>0.9</v>
          </cell>
          <cell r="AP1490">
            <v>11340000</v>
          </cell>
          <cell r="AQ1490">
            <v>44336</v>
          </cell>
          <cell r="AR1490">
            <v>44336</v>
          </cell>
          <cell r="AS1490">
            <v>0</v>
          </cell>
          <cell r="AT1490">
            <v>0</v>
          </cell>
          <cell r="AX1490" t="str">
            <v>Yes</v>
          </cell>
          <cell r="AZ1490" t="str">
            <v>Y</v>
          </cell>
          <cell r="BA1490" t="str">
            <v>Yes</v>
          </cell>
        </row>
        <row r="1491">
          <cell r="B1491">
            <v>1341</v>
          </cell>
          <cell r="C1491" t="str">
            <v>C49SZX20210117JY</v>
          </cell>
          <cell r="D1491" t="str">
            <v>精德鸿</v>
          </cell>
          <cell r="E1491" t="str">
            <v>YSM20R-2</v>
          </cell>
          <cell r="F1491" t="str">
            <v>#05357</v>
          </cell>
          <cell r="G1491" t="e">
            <v>#REF!</v>
          </cell>
          <cell r="H1491" t="e">
            <v>#REF!</v>
          </cell>
          <cell r="I1491" t="str">
            <v>L-&gt;R</v>
          </cell>
          <cell r="J1491" t="str">
            <v>No</v>
          </cell>
          <cell r="K1491">
            <v>1</v>
          </cell>
          <cell r="N1491">
            <v>44337</v>
          </cell>
          <cell r="O1491">
            <v>11116592</v>
          </cell>
          <cell r="P1491">
            <v>12600000</v>
          </cell>
          <cell r="Q1491">
            <v>44344</v>
          </cell>
          <cell r="R1491" t="str">
            <v>No</v>
          </cell>
          <cell r="S1491" t="str">
            <v>C49</v>
          </cell>
          <cell r="T1491" t="str">
            <v>SOUTH</v>
          </cell>
          <cell r="U1491" t="str">
            <v>深圳</v>
          </cell>
          <cell r="V1491" t="str">
            <v>SZ 深圳</v>
          </cell>
          <cell r="W1491" t="str">
            <v>JY</v>
          </cell>
          <cell r="X1491" t="str">
            <v>JPY</v>
          </cell>
          <cell r="Y1491">
            <v>12600000</v>
          </cell>
          <cell r="Z1491">
            <v>1</v>
          </cell>
          <cell r="AA1491">
            <v>12600000</v>
          </cell>
          <cell r="AB1491">
            <v>7.17E-2</v>
          </cell>
          <cell r="AC1491">
            <v>903420</v>
          </cell>
          <cell r="AD1491">
            <v>108410.4</v>
          </cell>
          <cell r="AE1491">
            <v>0.12</v>
          </cell>
          <cell r="AF1491">
            <v>44306</v>
          </cell>
          <cell r="AG1491" t="str">
            <v>DAP SZ</v>
          </cell>
          <cell r="AK1491"/>
          <cell r="AL1491"/>
          <cell r="AM1491">
            <v>44195</v>
          </cell>
          <cell r="AN1491" t="str">
            <v>Yes</v>
          </cell>
          <cell r="AO1491">
            <v>0.9</v>
          </cell>
          <cell r="AP1491">
            <v>11340000</v>
          </cell>
          <cell r="AQ1491">
            <v>44336</v>
          </cell>
          <cell r="AR1491">
            <v>44336</v>
          </cell>
          <cell r="AS1491">
            <v>0</v>
          </cell>
          <cell r="AT1491">
            <v>0</v>
          </cell>
          <cell r="AX1491" t="str">
            <v>Yes</v>
          </cell>
          <cell r="AZ1491" t="str">
            <v>Y</v>
          </cell>
          <cell r="BA1491" t="str">
            <v>Yes</v>
          </cell>
        </row>
        <row r="1492">
          <cell r="B1492">
            <v>1342</v>
          </cell>
          <cell r="C1492" t="str">
            <v>C49SZX20210117JY</v>
          </cell>
          <cell r="D1492" t="str">
            <v>精德鸿</v>
          </cell>
          <cell r="E1492" t="str">
            <v>YSM10</v>
          </cell>
          <cell r="F1492" t="str">
            <v>#05357</v>
          </cell>
          <cell r="G1492" t="e">
            <v>#REF!</v>
          </cell>
          <cell r="H1492" t="e">
            <v>#REF!</v>
          </cell>
          <cell r="I1492" t="str">
            <v>L-&gt;R</v>
          </cell>
          <cell r="J1492" t="str">
            <v>MVC+ATS15</v>
          </cell>
          <cell r="K1492">
            <v>1</v>
          </cell>
          <cell r="N1492">
            <v>44337</v>
          </cell>
          <cell r="O1492">
            <v>11116592</v>
          </cell>
          <cell r="P1492">
            <v>9408000</v>
          </cell>
          <cell r="Q1492">
            <v>44344</v>
          </cell>
          <cell r="R1492" t="str">
            <v>No</v>
          </cell>
          <cell r="S1492" t="str">
            <v>C49</v>
          </cell>
          <cell r="T1492" t="str">
            <v>SOUTH</v>
          </cell>
          <cell r="U1492" t="str">
            <v>深圳</v>
          </cell>
          <cell r="V1492" t="str">
            <v>SZ 深圳</v>
          </cell>
          <cell r="W1492" t="str">
            <v>JY</v>
          </cell>
          <cell r="X1492" t="str">
            <v>JPY</v>
          </cell>
          <cell r="Y1492">
            <v>9408000</v>
          </cell>
          <cell r="Z1492">
            <v>1</v>
          </cell>
          <cell r="AA1492">
            <v>9408000</v>
          </cell>
          <cell r="AB1492">
            <v>7.17E-2</v>
          </cell>
          <cell r="AC1492">
            <v>674553.6</v>
          </cell>
          <cell r="AD1492">
            <v>80946.432000000001</v>
          </cell>
          <cell r="AE1492">
            <v>0.12</v>
          </cell>
          <cell r="AF1492">
            <v>44306</v>
          </cell>
          <cell r="AG1492" t="str">
            <v>DAP SZ</v>
          </cell>
          <cell r="AK1492"/>
          <cell r="AL1492"/>
          <cell r="AM1492">
            <v>44195</v>
          </cell>
          <cell r="AN1492" t="str">
            <v>Yes</v>
          </cell>
          <cell r="AO1492">
            <v>0.9</v>
          </cell>
          <cell r="AP1492">
            <v>8467200</v>
          </cell>
          <cell r="AQ1492">
            <v>44336</v>
          </cell>
          <cell r="AR1492">
            <v>44336</v>
          </cell>
          <cell r="AS1492">
            <v>0</v>
          </cell>
          <cell r="AT1492">
            <v>0</v>
          </cell>
          <cell r="AX1492" t="str">
            <v>Yes</v>
          </cell>
          <cell r="AZ1492" t="str">
            <v>Y</v>
          </cell>
          <cell r="BA1492" t="str">
            <v>Yes</v>
          </cell>
        </row>
        <row r="1493">
          <cell r="B1493">
            <v>1343</v>
          </cell>
          <cell r="C1493" t="str">
            <v>C49SZX20210118R1JY</v>
          </cell>
          <cell r="D1493" t="str">
            <v>精德鸿</v>
          </cell>
          <cell r="E1493" t="str">
            <v>YSM20R-2</v>
          </cell>
          <cell r="F1493" t="str">
            <v>#05357</v>
          </cell>
          <cell r="G1493" t="e">
            <v>#REF!</v>
          </cell>
          <cell r="H1493" t="e">
            <v>#REF!</v>
          </cell>
          <cell r="I1493" t="str">
            <v>L-&gt;R</v>
          </cell>
          <cell r="J1493" t="str">
            <v>No</v>
          </cell>
          <cell r="K1493">
            <v>1</v>
          </cell>
          <cell r="N1493">
            <v>44748</v>
          </cell>
          <cell r="O1493">
            <v>11116780</v>
          </cell>
          <cell r="P1493">
            <v>15220000</v>
          </cell>
          <cell r="Q1493">
            <v>44764</v>
          </cell>
          <cell r="R1493" t="str">
            <v>No</v>
          </cell>
          <cell r="S1493" t="str">
            <v>C49</v>
          </cell>
          <cell r="T1493" t="str">
            <v>SOUTH</v>
          </cell>
          <cell r="U1493" t="str">
            <v>深圳</v>
          </cell>
          <cell r="V1493" t="str">
            <v>SZ 深圳</v>
          </cell>
          <cell r="W1493" t="str">
            <v>JY</v>
          </cell>
          <cell r="X1493" t="str">
            <v>JPY</v>
          </cell>
          <cell r="Y1493">
            <v>15220000</v>
          </cell>
          <cell r="Z1493">
            <v>1</v>
          </cell>
          <cell r="AA1493">
            <v>15220000</v>
          </cell>
          <cell r="AB1493">
            <v>7.17E-2</v>
          </cell>
          <cell r="AC1493">
            <v>1091274</v>
          </cell>
          <cell r="AD1493">
            <v>130952.87999999999</v>
          </cell>
          <cell r="AE1493">
            <v>0.12</v>
          </cell>
          <cell r="AF1493">
            <v>44306</v>
          </cell>
          <cell r="AG1493" t="str">
            <v>DAP SZ</v>
          </cell>
          <cell r="AK1493" t="str">
            <v>Agree</v>
          </cell>
          <cell r="AL1493">
            <v>3331800</v>
          </cell>
          <cell r="AM1493">
            <v>44195</v>
          </cell>
          <cell r="AN1493" t="str">
            <v>Yes</v>
          </cell>
          <cell r="AO1493">
            <v>0.9</v>
          </cell>
          <cell r="AP1493">
            <v>13698000</v>
          </cell>
          <cell r="AQ1493">
            <v>44742</v>
          </cell>
          <cell r="AR1493">
            <v>44742</v>
          </cell>
          <cell r="AS1493">
            <v>0</v>
          </cell>
          <cell r="AT1493">
            <v>0</v>
          </cell>
          <cell r="AX1493" t="str">
            <v>Yes</v>
          </cell>
          <cell r="AZ1493" t="str">
            <v>Y</v>
          </cell>
          <cell r="BA1493" t="str">
            <v>Yes</v>
          </cell>
        </row>
        <row r="1494">
          <cell r="B1494">
            <v>1344</v>
          </cell>
          <cell r="C1494" t="str">
            <v>C49SZX20210118JY</v>
          </cell>
          <cell r="D1494" t="str">
            <v>精德鸿</v>
          </cell>
          <cell r="E1494" t="str">
            <v>YSM20R-2</v>
          </cell>
          <cell r="F1494" t="str">
            <v>#05357</v>
          </cell>
          <cell r="G1494" t="e">
            <v>#REF!</v>
          </cell>
          <cell r="H1494" t="e">
            <v>#REF!</v>
          </cell>
          <cell r="I1494" t="str">
            <v>L-&gt;R</v>
          </cell>
          <cell r="J1494" t="str">
            <v>No</v>
          </cell>
          <cell r="K1494">
            <v>1</v>
          </cell>
          <cell r="L1494"/>
          <cell r="N1494"/>
          <cell r="O1494"/>
          <cell r="P1494"/>
          <cell r="Q1494"/>
          <cell r="R1494" t="str">
            <v>No</v>
          </cell>
          <cell r="S1494" t="str">
            <v>C49</v>
          </cell>
          <cell r="T1494" t="str">
            <v>SOUTH</v>
          </cell>
          <cell r="U1494" t="str">
            <v>深圳</v>
          </cell>
          <cell r="V1494" t="str">
            <v>SZ 深圳</v>
          </cell>
          <cell r="W1494" t="str">
            <v>JY</v>
          </cell>
          <cell r="X1494" t="str">
            <v>JPY</v>
          </cell>
          <cell r="Y1494">
            <v>12600000</v>
          </cell>
          <cell r="Z1494">
            <v>1</v>
          </cell>
          <cell r="AA1494">
            <v>12600000</v>
          </cell>
          <cell r="AB1494">
            <v>7.17E-2</v>
          </cell>
          <cell r="AC1494">
            <v>903420</v>
          </cell>
          <cell r="AD1494">
            <v>108410.4</v>
          </cell>
          <cell r="AE1494">
            <v>0.12</v>
          </cell>
          <cell r="AF1494">
            <v>44306</v>
          </cell>
          <cell r="AG1494" t="str">
            <v>DAP SZ</v>
          </cell>
          <cell r="AI1494"/>
          <cell r="AJ1494"/>
          <cell r="AK1494"/>
          <cell r="AL1494"/>
          <cell r="AM1494">
            <v>44195</v>
          </cell>
          <cell r="AN1494" t="str">
            <v>Yes</v>
          </cell>
          <cell r="AO1494">
            <v>0.9</v>
          </cell>
          <cell r="AP1494">
            <v>11340000</v>
          </cell>
          <cell r="AQ1494"/>
          <cell r="AR1494"/>
          <cell r="AS1494">
            <v>0</v>
          </cell>
          <cell r="AT1494">
            <v>0</v>
          </cell>
          <cell r="AV1494"/>
          <cell r="AX1494"/>
          <cell r="AY1494"/>
          <cell r="AZ1494"/>
          <cell r="BA1494"/>
        </row>
        <row r="1495">
          <cell r="B1495">
            <v>1345</v>
          </cell>
          <cell r="C1495" t="str">
            <v>C49SZX20210118JY</v>
          </cell>
          <cell r="D1495" t="str">
            <v>精德鸿</v>
          </cell>
          <cell r="E1495" t="str">
            <v>YSM10</v>
          </cell>
          <cell r="F1495" t="str">
            <v>#05357</v>
          </cell>
          <cell r="G1495" t="e">
            <v>#REF!</v>
          </cell>
          <cell r="H1495" t="e">
            <v>#REF!</v>
          </cell>
          <cell r="I1495" t="str">
            <v>L-&gt;R</v>
          </cell>
          <cell r="J1495" t="str">
            <v>MVC+ATS15</v>
          </cell>
          <cell r="K1495">
            <v>1</v>
          </cell>
          <cell r="L1495"/>
          <cell r="N1495"/>
          <cell r="O1495"/>
          <cell r="P1495"/>
          <cell r="Q1495"/>
          <cell r="R1495" t="str">
            <v>No</v>
          </cell>
          <cell r="S1495" t="str">
            <v>C49</v>
          </cell>
          <cell r="T1495" t="str">
            <v>SOUTH</v>
          </cell>
          <cell r="U1495" t="str">
            <v>深圳</v>
          </cell>
          <cell r="V1495" t="str">
            <v>SZ 深圳</v>
          </cell>
          <cell r="W1495" t="str">
            <v>JY</v>
          </cell>
          <cell r="X1495" t="str">
            <v>JPY</v>
          </cell>
          <cell r="Y1495">
            <v>8958000</v>
          </cell>
          <cell r="Z1495">
            <v>1</v>
          </cell>
          <cell r="AA1495">
            <v>8958000</v>
          </cell>
          <cell r="AB1495">
            <v>7.17E-2</v>
          </cell>
          <cell r="AC1495">
            <v>642288.6</v>
          </cell>
          <cell r="AD1495">
            <v>77074.631999999998</v>
          </cell>
          <cell r="AE1495">
            <v>0.12</v>
          </cell>
          <cell r="AF1495">
            <v>44306</v>
          </cell>
          <cell r="AG1495" t="str">
            <v>DAP SZ</v>
          </cell>
          <cell r="AI1495"/>
          <cell r="AJ1495"/>
          <cell r="AK1495"/>
          <cell r="AL1495"/>
          <cell r="AM1495">
            <v>44195</v>
          </cell>
          <cell r="AN1495" t="str">
            <v>Yes</v>
          </cell>
          <cell r="AO1495">
            <v>0.9</v>
          </cell>
          <cell r="AP1495">
            <v>8062200</v>
          </cell>
          <cell r="AQ1495"/>
          <cell r="AR1495"/>
          <cell r="AS1495">
            <v>0</v>
          </cell>
          <cell r="AT1495">
            <v>0</v>
          </cell>
          <cell r="AV1495"/>
          <cell r="AX1495"/>
          <cell r="AY1495"/>
          <cell r="AZ1495"/>
          <cell r="BA1495"/>
        </row>
        <row r="1496">
          <cell r="B1496">
            <v>1346</v>
          </cell>
          <cell r="C1496" t="str">
            <v>C49SZX20210120R1JY</v>
          </cell>
          <cell r="D1496" t="str">
            <v>海松微(此相机是C49SZX20210062JY相机）</v>
          </cell>
          <cell r="E1496" t="str">
            <v>YSM20R-2</v>
          </cell>
          <cell r="F1496" t="str">
            <v>#03950</v>
          </cell>
          <cell r="G1496" t="e">
            <v>#REF!</v>
          </cell>
          <cell r="H1496" t="e">
            <v>#REF!</v>
          </cell>
          <cell r="I1496" t="str">
            <v>L-&gt;R</v>
          </cell>
          <cell r="J1496" t="str">
            <v>No</v>
          </cell>
          <cell r="K1496">
            <v>1</v>
          </cell>
          <cell r="N1496">
            <v>44428</v>
          </cell>
          <cell r="O1496">
            <v>11116638</v>
          </cell>
          <cell r="P1496">
            <v>13612000</v>
          </cell>
          <cell r="Q1496">
            <v>44431</v>
          </cell>
          <cell r="R1496" t="str">
            <v>No</v>
          </cell>
          <cell r="S1496" t="str">
            <v>C49</v>
          </cell>
          <cell r="T1496" t="str">
            <v>SOUTH</v>
          </cell>
          <cell r="U1496" t="str">
            <v>深圳</v>
          </cell>
          <cell r="V1496" t="str">
            <v>SZ 深圳</v>
          </cell>
          <cell r="W1496" t="str">
            <v>JY</v>
          </cell>
          <cell r="X1496" t="str">
            <v>JPY</v>
          </cell>
          <cell r="Y1496">
            <v>13612000</v>
          </cell>
          <cell r="Z1496">
            <v>1</v>
          </cell>
          <cell r="AA1496">
            <v>13612000</v>
          </cell>
          <cell r="AB1496">
            <v>7.17E-2</v>
          </cell>
          <cell r="AC1496">
            <v>975980.4</v>
          </cell>
          <cell r="AD1496">
            <v>117117.648</v>
          </cell>
          <cell r="AE1496">
            <v>0.12</v>
          </cell>
          <cell r="AF1496">
            <v>44306</v>
          </cell>
          <cell r="AG1496" t="str">
            <v>DAP SZ</v>
          </cell>
          <cell r="AK1496" t="str">
            <v>agree</v>
          </cell>
          <cell r="AL1496">
            <v>827609</v>
          </cell>
          <cell r="AM1496">
            <v>44313</v>
          </cell>
          <cell r="AN1496" t="str">
            <v>Yes</v>
          </cell>
          <cell r="AO1496">
            <v>0.9</v>
          </cell>
          <cell r="AP1496">
            <v>12250800</v>
          </cell>
          <cell r="AQ1496">
            <v>44426</v>
          </cell>
          <cell r="AR1496">
            <v>44426</v>
          </cell>
          <cell r="AS1496">
            <v>0</v>
          </cell>
          <cell r="AT1496">
            <v>0</v>
          </cell>
          <cell r="AX1496" t="str">
            <v>Yes</v>
          </cell>
          <cell r="AZ1496" t="str">
            <v>Y</v>
          </cell>
          <cell r="BA1496" t="str">
            <v>Yes</v>
          </cell>
        </row>
        <row r="1497">
          <cell r="B1497">
            <v>1347</v>
          </cell>
          <cell r="C1497" t="str">
            <v>C49SZX20210127JL</v>
          </cell>
          <cell r="D1497" t="str">
            <v>同基</v>
          </cell>
          <cell r="E1497" t="str">
            <v>YSM20R-2</v>
          </cell>
          <cell r="F1497" t="str">
            <v>#03480</v>
          </cell>
          <cell r="G1497" t="e">
            <v>#REF!</v>
          </cell>
          <cell r="H1497" t="e">
            <v>#REF!</v>
          </cell>
          <cell r="I1497" t="str">
            <v>L-&gt;R</v>
          </cell>
          <cell r="J1497" t="str">
            <v>No</v>
          </cell>
          <cell r="K1497">
            <v>1</v>
          </cell>
          <cell r="N1497">
            <v>44333</v>
          </cell>
          <cell r="O1497">
            <v>11100484</v>
          </cell>
          <cell r="P1497">
            <v>760000</v>
          </cell>
          <cell r="Q1497">
            <v>44343</v>
          </cell>
          <cell r="R1497" t="str">
            <v>No</v>
          </cell>
          <cell r="S1497" t="str">
            <v>C49</v>
          </cell>
          <cell r="T1497" t="str">
            <v>SOUTH</v>
          </cell>
          <cell r="U1497" t="str">
            <v>深圳</v>
          </cell>
          <cell r="V1497" t="str">
            <v>SZ 深圳</v>
          </cell>
          <cell r="W1497" t="str">
            <v>JL</v>
          </cell>
          <cell r="X1497" t="str">
            <v>RMB</v>
          </cell>
          <cell r="Y1497">
            <v>760000</v>
          </cell>
          <cell r="Z1497">
            <v>1.1299999999999999</v>
          </cell>
          <cell r="AA1497">
            <v>760000</v>
          </cell>
          <cell r="AB1497">
            <v>1.18</v>
          </cell>
          <cell r="AC1497">
            <v>793628.31858407077</v>
          </cell>
          <cell r="AD1497">
            <v>95235.398230088496</v>
          </cell>
          <cell r="AE1497">
            <v>0.12</v>
          </cell>
          <cell r="AF1497">
            <v>44308</v>
          </cell>
          <cell r="AG1497" t="str">
            <v>DDP SZ</v>
          </cell>
          <cell r="AK1497" t="str">
            <v>agree</v>
          </cell>
          <cell r="AL1497">
            <v>50000</v>
          </cell>
          <cell r="AM1497">
            <v>44309</v>
          </cell>
          <cell r="AN1497" t="str">
            <v>Yes</v>
          </cell>
          <cell r="AO1497">
            <v>0.8</v>
          </cell>
          <cell r="AP1497">
            <v>608000</v>
          </cell>
          <cell r="AQ1497">
            <v>44330</v>
          </cell>
          <cell r="AR1497">
            <v>44330</v>
          </cell>
          <cell r="AS1497">
            <v>0</v>
          </cell>
          <cell r="AT1497">
            <v>0</v>
          </cell>
          <cell r="AX1497" t="str">
            <v>Yes</v>
          </cell>
          <cell r="AZ1497" t="str">
            <v>Y</v>
          </cell>
          <cell r="BA1497" t="str">
            <v>Yes</v>
          </cell>
        </row>
        <row r="1498">
          <cell r="B1498">
            <v>1348</v>
          </cell>
          <cell r="C1498" t="str">
            <v>C49SZX20210128SS</v>
          </cell>
          <cell r="D1498" t="str">
            <v>嘉兴</v>
          </cell>
          <cell r="E1498" t="str">
            <v>YSM10</v>
          </cell>
          <cell r="F1498" t="str">
            <v>#03672</v>
          </cell>
          <cell r="G1498" t="e">
            <v>#REF!</v>
          </cell>
          <cell r="H1498" t="e">
            <v>#REF!</v>
          </cell>
          <cell r="I1498" t="str">
            <v>L-&gt;R</v>
          </cell>
          <cell r="J1498" t="str">
            <v>MVC</v>
          </cell>
          <cell r="K1498">
            <v>1</v>
          </cell>
          <cell r="L1498"/>
          <cell r="N1498"/>
          <cell r="O1498"/>
          <cell r="P1498"/>
          <cell r="Q1498"/>
          <cell r="R1498" t="str">
            <v>No</v>
          </cell>
          <cell r="S1498" t="str">
            <v>C49</v>
          </cell>
          <cell r="T1498" t="str">
            <v>SOUTH</v>
          </cell>
          <cell r="U1498" t="str">
            <v>深圳</v>
          </cell>
          <cell r="V1498" t="str">
            <v>SZ 深圳</v>
          </cell>
          <cell r="W1498" t="str">
            <v>SS</v>
          </cell>
          <cell r="X1498" t="str">
            <v>JPY</v>
          </cell>
          <cell r="Y1498">
            <v>8600000</v>
          </cell>
          <cell r="Z1498">
            <v>1</v>
          </cell>
          <cell r="AA1498">
            <v>8600000</v>
          </cell>
          <cell r="AB1498">
            <v>7.17E-2</v>
          </cell>
          <cell r="AC1498">
            <v>616620</v>
          </cell>
          <cell r="AD1498">
            <v>73994.399999999994</v>
          </cell>
          <cell r="AE1498">
            <v>0.12</v>
          </cell>
          <cell r="AF1498">
            <v>44309</v>
          </cell>
          <cell r="AG1498" t="str">
            <v>DAP SZ</v>
          </cell>
          <cell r="AI1498">
            <v>50000</v>
          </cell>
          <cell r="AJ1498">
            <v>44328</v>
          </cell>
          <cell r="AK1498">
            <v>0.1</v>
          </cell>
          <cell r="AL1498">
            <v>860000</v>
          </cell>
          <cell r="AM1498"/>
          <cell r="AN1498" t="str">
            <v>Yes</v>
          </cell>
          <cell r="AO1498">
            <v>0.9</v>
          </cell>
          <cell r="AP1498">
            <v>7740000</v>
          </cell>
          <cell r="AQ1498"/>
          <cell r="AR1498"/>
          <cell r="AS1498">
            <v>0</v>
          </cell>
          <cell r="AT1498">
            <v>0</v>
          </cell>
          <cell r="AV1498"/>
          <cell r="AX1498"/>
          <cell r="AY1498"/>
          <cell r="AZ1498"/>
          <cell r="BA1498"/>
        </row>
        <row r="1499">
          <cell r="B1499">
            <v>1349</v>
          </cell>
          <cell r="C1499" t="str">
            <v>C49SZX20210128SS</v>
          </cell>
          <cell r="D1499" t="str">
            <v>嘉兴</v>
          </cell>
          <cell r="E1499" t="str">
            <v>YSM20R-2</v>
          </cell>
          <cell r="F1499" t="str">
            <v>#03672</v>
          </cell>
          <cell r="G1499" t="e">
            <v>#REF!</v>
          </cell>
          <cell r="H1499" t="e">
            <v>#REF!</v>
          </cell>
          <cell r="I1499" t="str">
            <v>L-&gt;R</v>
          </cell>
          <cell r="J1499" t="str">
            <v>No</v>
          </cell>
          <cell r="K1499">
            <v>1</v>
          </cell>
          <cell r="L1499"/>
          <cell r="N1499"/>
          <cell r="O1499"/>
          <cell r="P1499"/>
          <cell r="Q1499"/>
          <cell r="R1499" t="str">
            <v>No</v>
          </cell>
          <cell r="S1499" t="str">
            <v>C49</v>
          </cell>
          <cell r="T1499" t="str">
            <v>SOUTH</v>
          </cell>
          <cell r="U1499" t="str">
            <v>深圳</v>
          </cell>
          <cell r="V1499" t="str">
            <v>SZ 深圳</v>
          </cell>
          <cell r="W1499" t="str">
            <v>SS</v>
          </cell>
          <cell r="X1499" t="str">
            <v>JPY</v>
          </cell>
          <cell r="Y1499">
            <v>12000000</v>
          </cell>
          <cell r="Z1499">
            <v>1</v>
          </cell>
          <cell r="AA1499">
            <v>12000000</v>
          </cell>
          <cell r="AB1499">
            <v>7.17E-2</v>
          </cell>
          <cell r="AC1499">
            <v>860400</v>
          </cell>
          <cell r="AD1499">
            <v>103248</v>
          </cell>
          <cell r="AE1499">
            <v>0.12</v>
          </cell>
          <cell r="AF1499">
            <v>44309</v>
          </cell>
          <cell r="AG1499" t="str">
            <v>DAP SZ</v>
          </cell>
          <cell r="AI1499"/>
          <cell r="AJ1499"/>
          <cell r="AK1499">
            <v>0.1</v>
          </cell>
          <cell r="AL1499">
            <v>1200000</v>
          </cell>
          <cell r="AM1499"/>
          <cell r="AN1499" t="str">
            <v>Yes</v>
          </cell>
          <cell r="AO1499">
            <v>0.9</v>
          </cell>
          <cell r="AP1499">
            <v>10800000</v>
          </cell>
          <cell r="AQ1499"/>
          <cell r="AR1499"/>
          <cell r="AS1499">
            <v>0</v>
          </cell>
          <cell r="AT1499">
            <v>0</v>
          </cell>
          <cell r="AV1499"/>
          <cell r="AX1499"/>
          <cell r="AY1499"/>
          <cell r="AZ1499"/>
          <cell r="BA1499"/>
        </row>
        <row r="1500">
          <cell r="B1500">
            <v>1350</v>
          </cell>
          <cell r="C1500" t="str">
            <v>C49SZX20210124JL</v>
          </cell>
          <cell r="D1500" t="str">
            <v>小婉牛</v>
          </cell>
          <cell r="E1500" t="str">
            <v>YSM10</v>
          </cell>
          <cell r="I1500" t="str">
            <v>L-&gt;R</v>
          </cell>
          <cell r="J1500" t="str">
            <v>MVC</v>
          </cell>
          <cell r="K1500">
            <v>1</v>
          </cell>
          <cell r="N1500">
            <v>44354</v>
          </cell>
          <cell r="O1500">
            <v>11116598</v>
          </cell>
          <cell r="P1500">
            <v>9090000</v>
          </cell>
          <cell r="Q1500">
            <v>44354</v>
          </cell>
          <cell r="R1500" t="str">
            <v>Yes</v>
          </cell>
          <cell r="S1500" t="str">
            <v>C49</v>
          </cell>
          <cell r="T1500" t="str">
            <v>SOUTH</v>
          </cell>
          <cell r="U1500" t="str">
            <v>深圳</v>
          </cell>
          <cell r="V1500" t="str">
            <v>SZ 深圳</v>
          </cell>
          <cell r="W1500" t="str">
            <v>JL</v>
          </cell>
          <cell r="X1500" t="str">
            <v>JPY</v>
          </cell>
          <cell r="Y1500">
            <v>9090000</v>
          </cell>
          <cell r="Z1500">
            <v>1</v>
          </cell>
          <cell r="AA1500">
            <v>9090000</v>
          </cell>
          <cell r="AB1500">
            <v>7.17E-2</v>
          </cell>
          <cell r="AC1500">
            <v>651753</v>
          </cell>
          <cell r="AD1500">
            <v>78210.36</v>
          </cell>
          <cell r="AE1500">
            <v>0.12</v>
          </cell>
          <cell r="AF1500">
            <v>44308</v>
          </cell>
          <cell r="AG1500" t="str">
            <v>DAP SZ</v>
          </cell>
          <cell r="AK1500">
            <v>0.3</v>
          </cell>
          <cell r="AL1500">
            <v>2727000</v>
          </cell>
          <cell r="AM1500">
            <v>44312</v>
          </cell>
          <cell r="AN1500" t="str">
            <v>Yes</v>
          </cell>
          <cell r="AO1500">
            <v>0.7</v>
          </cell>
          <cell r="AP1500">
            <v>6363000</v>
          </cell>
          <cell r="AS1500">
            <v>0</v>
          </cell>
          <cell r="AT1500">
            <v>0</v>
          </cell>
          <cell r="AX1500" t="str">
            <v>Yes</v>
          </cell>
          <cell r="AZ1500" t="str">
            <v>Y</v>
          </cell>
          <cell r="BA1500" t="str">
            <v>Yes</v>
          </cell>
        </row>
        <row r="1501">
          <cell r="B1501">
            <v>1351</v>
          </cell>
          <cell r="C1501" t="str">
            <v>C49SZX20210123JY</v>
          </cell>
          <cell r="D1501" t="str">
            <v>四方信达</v>
          </cell>
          <cell r="E1501" t="str">
            <v>YSM10</v>
          </cell>
          <cell r="I1501" t="str">
            <v>L-&gt;R</v>
          </cell>
          <cell r="J1501" t="str">
            <v>MVC</v>
          </cell>
          <cell r="K1501">
            <v>1</v>
          </cell>
          <cell r="N1501">
            <v>44343</v>
          </cell>
          <cell r="O1501">
            <v>11116590</v>
          </cell>
          <cell r="P1501">
            <v>7000000</v>
          </cell>
          <cell r="Q1501">
            <v>44344</v>
          </cell>
          <cell r="R1501" t="str">
            <v>No</v>
          </cell>
          <cell r="S1501" t="str">
            <v>C49</v>
          </cell>
          <cell r="T1501" t="str">
            <v>SOUTH</v>
          </cell>
          <cell r="U1501" t="str">
            <v>深圳</v>
          </cell>
          <cell r="V1501" t="str">
            <v>SZ 深圳</v>
          </cell>
          <cell r="W1501" t="str">
            <v>JY</v>
          </cell>
          <cell r="X1501" t="str">
            <v>JPY</v>
          </cell>
          <cell r="Y1501">
            <v>7000000</v>
          </cell>
          <cell r="Z1501">
            <v>1</v>
          </cell>
          <cell r="AA1501">
            <v>7000000</v>
          </cell>
          <cell r="AB1501">
            <v>7.17E-2</v>
          </cell>
          <cell r="AC1501">
            <v>501900</v>
          </cell>
          <cell r="AD1501">
            <v>60228</v>
          </cell>
          <cell r="AE1501">
            <v>0.12</v>
          </cell>
          <cell r="AF1501">
            <v>44313</v>
          </cell>
          <cell r="AG1501" t="str">
            <v>DAP SZ</v>
          </cell>
          <cell r="AK1501">
            <v>0.1</v>
          </cell>
          <cell r="AL1501">
            <v>700000</v>
          </cell>
          <cell r="AM1501">
            <v>44316</v>
          </cell>
          <cell r="AN1501" t="str">
            <v>Yes</v>
          </cell>
          <cell r="AO1501">
            <v>0.9</v>
          </cell>
          <cell r="AP1501">
            <v>6300000</v>
          </cell>
          <cell r="AQ1501">
            <v>44330</v>
          </cell>
          <cell r="AR1501">
            <v>44330</v>
          </cell>
          <cell r="AS1501">
            <v>0</v>
          </cell>
          <cell r="AT1501">
            <v>0</v>
          </cell>
          <cell r="AX1501" t="str">
            <v>Yes</v>
          </cell>
          <cell r="AZ1501" t="str">
            <v>Y</v>
          </cell>
          <cell r="BA1501" t="str">
            <v>Yes</v>
          </cell>
        </row>
        <row r="1502">
          <cell r="B1502">
            <v>1352</v>
          </cell>
          <cell r="C1502" t="str">
            <v>C49SZX20210123JY</v>
          </cell>
          <cell r="D1502" t="str">
            <v>四方信达</v>
          </cell>
          <cell r="E1502" t="str">
            <v>YSM10</v>
          </cell>
          <cell r="I1502" t="str">
            <v>L-&gt;R</v>
          </cell>
          <cell r="J1502" t="str">
            <v>MVC</v>
          </cell>
          <cell r="K1502">
            <v>1</v>
          </cell>
          <cell r="N1502">
            <v>44354</v>
          </cell>
          <cell r="O1502">
            <v>11116601</v>
          </cell>
          <cell r="P1502">
            <v>7000000</v>
          </cell>
          <cell r="Q1502">
            <v>44358</v>
          </cell>
          <cell r="R1502" t="str">
            <v>No</v>
          </cell>
          <cell r="S1502" t="str">
            <v>C49</v>
          </cell>
          <cell r="T1502" t="str">
            <v>SOUTH</v>
          </cell>
          <cell r="U1502" t="str">
            <v>深圳</v>
          </cell>
          <cell r="V1502" t="str">
            <v>SZ 深圳</v>
          </cell>
          <cell r="W1502" t="str">
            <v>JY</v>
          </cell>
          <cell r="X1502" t="str">
            <v>JPY</v>
          </cell>
          <cell r="Y1502">
            <v>7000000</v>
          </cell>
          <cell r="Z1502">
            <v>1</v>
          </cell>
          <cell r="AA1502">
            <v>7000000</v>
          </cell>
          <cell r="AB1502">
            <v>7.17E-2</v>
          </cell>
          <cell r="AC1502">
            <v>501900</v>
          </cell>
          <cell r="AD1502">
            <v>60228</v>
          </cell>
          <cell r="AE1502">
            <v>0.12</v>
          </cell>
          <cell r="AF1502">
            <v>44313</v>
          </cell>
          <cell r="AG1502" t="str">
            <v>DAP SZ</v>
          </cell>
          <cell r="AK1502">
            <v>0.1</v>
          </cell>
          <cell r="AL1502">
            <v>700000</v>
          </cell>
          <cell r="AM1502">
            <v>44316</v>
          </cell>
          <cell r="AN1502" t="str">
            <v>Yes</v>
          </cell>
          <cell r="AO1502">
            <v>0.9</v>
          </cell>
          <cell r="AP1502">
            <v>6300000</v>
          </cell>
          <cell r="AQ1502">
            <v>44351</v>
          </cell>
          <cell r="AR1502">
            <v>44351</v>
          </cell>
          <cell r="AS1502">
            <v>0</v>
          </cell>
          <cell r="AT1502">
            <v>0</v>
          </cell>
          <cell r="AX1502" t="str">
            <v>Yes</v>
          </cell>
          <cell r="AZ1502" t="str">
            <v>Y</v>
          </cell>
          <cell r="BA1502" t="str">
            <v>Yes</v>
          </cell>
        </row>
        <row r="1503">
          <cell r="B1503">
            <v>1353</v>
          </cell>
          <cell r="C1503" t="str">
            <v>C49SZX20210132VG</v>
          </cell>
          <cell r="D1503" t="str">
            <v>睿昌</v>
          </cell>
          <cell r="E1503" t="str">
            <v>YSM10</v>
          </cell>
          <cell r="I1503" t="str">
            <v>L-&gt;R</v>
          </cell>
          <cell r="J1503" t="str">
            <v>MVC</v>
          </cell>
          <cell r="K1503">
            <v>1</v>
          </cell>
          <cell r="N1503">
            <v>44571</v>
          </cell>
          <cell r="O1503">
            <v>11116690</v>
          </cell>
          <cell r="P1503">
            <v>8300000</v>
          </cell>
          <cell r="Q1503">
            <v>44568</v>
          </cell>
          <cell r="R1503" t="str">
            <v>Yes</v>
          </cell>
          <cell r="S1503" t="str">
            <v>C49</v>
          </cell>
          <cell r="T1503" t="str">
            <v>SOUTH</v>
          </cell>
          <cell r="U1503" t="str">
            <v>深圳</v>
          </cell>
          <cell r="V1503" t="str">
            <v>SZ 深圳</v>
          </cell>
          <cell r="W1503" t="str">
            <v>VG</v>
          </cell>
          <cell r="X1503" t="str">
            <v>JPY</v>
          </cell>
          <cell r="Y1503">
            <v>8300000</v>
          </cell>
          <cell r="Z1503">
            <v>1</v>
          </cell>
          <cell r="AA1503">
            <v>8300000</v>
          </cell>
          <cell r="AB1503">
            <v>7.17E-2</v>
          </cell>
          <cell r="AC1503">
            <v>595110</v>
          </cell>
          <cell r="AD1503">
            <v>71413.2</v>
          </cell>
          <cell r="AE1503">
            <v>0.12</v>
          </cell>
          <cell r="AF1503">
            <v>44313</v>
          </cell>
          <cell r="AG1503" t="str">
            <v>DAP SZ</v>
          </cell>
          <cell r="AK1503">
            <v>0.1</v>
          </cell>
          <cell r="AL1503">
            <v>830000</v>
          </cell>
          <cell r="AM1503">
            <v>44328</v>
          </cell>
          <cell r="AN1503" t="str">
            <v>Yes</v>
          </cell>
          <cell r="AO1503">
            <v>0.9</v>
          </cell>
          <cell r="AP1503">
            <v>7470000</v>
          </cell>
          <cell r="AQ1503">
            <v>44567</v>
          </cell>
          <cell r="AR1503">
            <v>44567</v>
          </cell>
          <cell r="AS1503">
            <v>0</v>
          </cell>
          <cell r="AT1503">
            <v>0</v>
          </cell>
          <cell r="AX1503" t="str">
            <v>Yes</v>
          </cell>
          <cell r="AZ1503" t="str">
            <v>Y</v>
          </cell>
          <cell r="BA1503" t="str">
            <v>Yes</v>
          </cell>
        </row>
        <row r="1504">
          <cell r="B1504">
            <v>1354</v>
          </cell>
          <cell r="C1504" t="str">
            <v>C49SZX20210133EC</v>
          </cell>
          <cell r="D1504" t="str">
            <v>海红天远</v>
          </cell>
          <cell r="E1504" t="str">
            <v>YSM20WR-2</v>
          </cell>
          <cell r="F1504" t="str">
            <v>#04726</v>
          </cell>
          <cell r="G1504" t="e">
            <v>#REF!</v>
          </cell>
          <cell r="H1504" t="e">
            <v>#REF!</v>
          </cell>
          <cell r="I1504" t="str">
            <v>L-&gt;R</v>
          </cell>
          <cell r="J1504" t="str">
            <v>cATS10+MVC(F&amp;R)+Feeder Carriage</v>
          </cell>
          <cell r="K1504">
            <v>1</v>
          </cell>
          <cell r="N1504">
            <v>44530</v>
          </cell>
          <cell r="O1504">
            <v>11116668</v>
          </cell>
          <cell r="P1504">
            <v>18600000</v>
          </cell>
          <cell r="Q1504">
            <v>44526</v>
          </cell>
          <cell r="R1504" t="str">
            <v>No</v>
          </cell>
          <cell r="S1504" t="str">
            <v>C49</v>
          </cell>
          <cell r="T1504" t="str">
            <v>SOUTH</v>
          </cell>
          <cell r="U1504" t="str">
            <v>深圳</v>
          </cell>
          <cell r="V1504" t="str">
            <v>SZ 深圳</v>
          </cell>
          <cell r="W1504" t="str">
            <v>EC</v>
          </cell>
          <cell r="X1504" t="str">
            <v>JPY</v>
          </cell>
          <cell r="Y1504">
            <v>18600000</v>
          </cell>
          <cell r="Z1504">
            <v>1</v>
          </cell>
          <cell r="AA1504">
            <v>18600000</v>
          </cell>
          <cell r="AB1504">
            <v>7.17E-2</v>
          </cell>
          <cell r="AC1504">
            <v>1333620</v>
          </cell>
          <cell r="AD1504">
            <v>160034.4</v>
          </cell>
          <cell r="AE1504">
            <v>0.12</v>
          </cell>
          <cell r="AF1504">
            <v>44314</v>
          </cell>
          <cell r="AG1504" t="str">
            <v>CIF HK</v>
          </cell>
          <cell r="AK1504">
            <v>0.2</v>
          </cell>
          <cell r="AL1504">
            <v>3720000</v>
          </cell>
          <cell r="AM1504">
            <v>44315</v>
          </cell>
          <cell r="AN1504" t="str">
            <v>Yes</v>
          </cell>
          <cell r="AO1504">
            <v>0.8</v>
          </cell>
          <cell r="AP1504">
            <v>14880000</v>
          </cell>
          <cell r="AQ1504">
            <v>44518</v>
          </cell>
          <cell r="AR1504">
            <v>44518</v>
          </cell>
          <cell r="AS1504">
            <v>0</v>
          </cell>
          <cell r="AT1504">
            <v>0</v>
          </cell>
          <cell r="AX1504" t="str">
            <v>Yes</v>
          </cell>
          <cell r="AZ1504" t="str">
            <v>Y</v>
          </cell>
          <cell r="BA1504" t="str">
            <v>Yes</v>
          </cell>
        </row>
        <row r="1505">
          <cell r="B1505">
            <v>1355</v>
          </cell>
          <cell r="C1505" t="str">
            <v>C49SZX20210133EC</v>
          </cell>
          <cell r="D1505" t="str">
            <v>海红天远</v>
          </cell>
          <cell r="E1505" t="str">
            <v>YSM20WR-2</v>
          </cell>
          <cell r="F1505" t="str">
            <v>#04726</v>
          </cell>
          <cell r="G1505" t="e">
            <v>#REF!</v>
          </cell>
          <cell r="H1505" t="e">
            <v>#REF!</v>
          </cell>
          <cell r="I1505" t="str">
            <v>L-&gt;R</v>
          </cell>
          <cell r="J1505" t="str">
            <v>No</v>
          </cell>
          <cell r="K1505">
            <v>1</v>
          </cell>
          <cell r="N1505">
            <v>44530</v>
          </cell>
          <cell r="O1505">
            <v>11116668</v>
          </cell>
          <cell r="P1505">
            <v>18600000</v>
          </cell>
          <cell r="Q1505">
            <v>44526</v>
          </cell>
          <cell r="R1505" t="str">
            <v>No</v>
          </cell>
          <cell r="S1505" t="str">
            <v>C49</v>
          </cell>
          <cell r="T1505" t="str">
            <v>SOUTH</v>
          </cell>
          <cell r="U1505" t="str">
            <v>深圳</v>
          </cell>
          <cell r="V1505" t="str">
            <v>SZ 深圳</v>
          </cell>
          <cell r="W1505" t="str">
            <v>EC</v>
          </cell>
          <cell r="X1505" t="str">
            <v>JPY</v>
          </cell>
          <cell r="Y1505">
            <v>18600000</v>
          </cell>
          <cell r="Z1505">
            <v>1</v>
          </cell>
          <cell r="AA1505">
            <v>18600000</v>
          </cell>
          <cell r="AB1505">
            <v>7.17E-2</v>
          </cell>
          <cell r="AC1505">
            <v>1333620</v>
          </cell>
          <cell r="AD1505">
            <v>160034.4</v>
          </cell>
          <cell r="AE1505">
            <v>0.12</v>
          </cell>
          <cell r="AF1505">
            <v>44314</v>
          </cell>
          <cell r="AG1505" t="str">
            <v>CIF HK</v>
          </cell>
          <cell r="AK1505">
            <v>0.2</v>
          </cell>
          <cell r="AL1505">
            <v>3720000</v>
          </cell>
          <cell r="AM1505">
            <v>44315</v>
          </cell>
          <cell r="AN1505" t="str">
            <v>Yes</v>
          </cell>
          <cell r="AO1505">
            <v>0.8</v>
          </cell>
          <cell r="AP1505">
            <v>14880000</v>
          </cell>
          <cell r="AQ1505">
            <v>44518</v>
          </cell>
          <cell r="AR1505">
            <v>44518</v>
          </cell>
          <cell r="AS1505">
            <v>0</v>
          </cell>
          <cell r="AT1505">
            <v>0</v>
          </cell>
          <cell r="AX1505" t="str">
            <v>Yes</v>
          </cell>
          <cell r="AZ1505" t="str">
            <v>Y</v>
          </cell>
          <cell r="BA1505" t="str">
            <v>Yes</v>
          </cell>
        </row>
        <row r="1506">
          <cell r="B1506">
            <v>1356</v>
          </cell>
          <cell r="C1506" t="str">
            <v>C49SZX20210133EC</v>
          </cell>
          <cell r="D1506" t="str">
            <v>海红天远</v>
          </cell>
          <cell r="E1506" t="str">
            <v>YSM20WR-2</v>
          </cell>
          <cell r="F1506" t="str">
            <v>#04726</v>
          </cell>
          <cell r="G1506" t="e">
            <v>#REF!</v>
          </cell>
          <cell r="H1506" t="e">
            <v>#REF!</v>
          </cell>
          <cell r="I1506" t="str">
            <v>L-&gt;R</v>
          </cell>
          <cell r="J1506" t="str">
            <v>No</v>
          </cell>
          <cell r="K1506">
            <v>1</v>
          </cell>
          <cell r="N1506">
            <v>44530</v>
          </cell>
          <cell r="O1506">
            <v>11116668</v>
          </cell>
          <cell r="P1506">
            <v>18600000</v>
          </cell>
          <cell r="Q1506">
            <v>44526</v>
          </cell>
          <cell r="R1506" t="str">
            <v>No</v>
          </cell>
          <cell r="S1506" t="str">
            <v>C49</v>
          </cell>
          <cell r="T1506" t="str">
            <v>SOUTH</v>
          </cell>
          <cell r="U1506" t="str">
            <v>深圳</v>
          </cell>
          <cell r="V1506" t="str">
            <v>SZ 深圳</v>
          </cell>
          <cell r="W1506" t="str">
            <v>EC</v>
          </cell>
          <cell r="X1506" t="str">
            <v>JPY</v>
          </cell>
          <cell r="Y1506">
            <v>18600000</v>
          </cell>
          <cell r="Z1506">
            <v>1</v>
          </cell>
          <cell r="AA1506">
            <v>18600000</v>
          </cell>
          <cell r="AB1506">
            <v>7.17E-2</v>
          </cell>
          <cell r="AC1506">
            <v>1333620</v>
          </cell>
          <cell r="AD1506">
            <v>160034.4</v>
          </cell>
          <cell r="AE1506">
            <v>0.12</v>
          </cell>
          <cell r="AF1506">
            <v>44314</v>
          </cell>
          <cell r="AG1506" t="str">
            <v>CIF HK</v>
          </cell>
          <cell r="AK1506">
            <v>0.2</v>
          </cell>
          <cell r="AL1506">
            <v>3720000</v>
          </cell>
          <cell r="AM1506">
            <v>44315</v>
          </cell>
          <cell r="AN1506" t="str">
            <v>Yes</v>
          </cell>
          <cell r="AO1506">
            <v>0.8</v>
          </cell>
          <cell r="AP1506">
            <v>14880000</v>
          </cell>
          <cell r="AQ1506">
            <v>44518</v>
          </cell>
          <cell r="AR1506">
            <v>44518</v>
          </cell>
          <cell r="AS1506">
            <v>0</v>
          </cell>
          <cell r="AT1506">
            <v>0</v>
          </cell>
          <cell r="AX1506" t="str">
            <v>Yes</v>
          </cell>
          <cell r="AZ1506" t="str">
            <v>Y</v>
          </cell>
          <cell r="BA1506" t="str">
            <v>Yes</v>
          </cell>
        </row>
        <row r="1507">
          <cell r="B1507">
            <v>1357</v>
          </cell>
          <cell r="C1507" t="str">
            <v>C49SZX20210129SS</v>
          </cell>
          <cell r="D1507" t="str">
            <v>炑炑明</v>
          </cell>
          <cell r="E1507" t="str">
            <v>YSM10</v>
          </cell>
          <cell r="F1507" t="str">
            <v>#81364</v>
          </cell>
          <cell r="G1507" t="e">
            <v>#REF!</v>
          </cell>
          <cell r="H1507" t="e">
            <v>#REF!</v>
          </cell>
          <cell r="I1507" t="str">
            <v>L-&gt;R</v>
          </cell>
          <cell r="J1507" t="str">
            <v>MVC</v>
          </cell>
          <cell r="K1507">
            <v>1</v>
          </cell>
          <cell r="L1507"/>
          <cell r="N1507"/>
          <cell r="O1507"/>
          <cell r="P1507"/>
          <cell r="Q1507"/>
          <cell r="R1507" t="str">
            <v>No</v>
          </cell>
          <cell r="S1507" t="str">
            <v>C49</v>
          </cell>
          <cell r="T1507" t="str">
            <v>SOUTH</v>
          </cell>
          <cell r="U1507" t="str">
            <v>深圳</v>
          </cell>
          <cell r="V1507" t="str">
            <v>SZ 深圳</v>
          </cell>
          <cell r="W1507" t="str">
            <v>SS</v>
          </cell>
          <cell r="X1507" t="str">
            <v>JPY</v>
          </cell>
          <cell r="Y1507">
            <v>7590000</v>
          </cell>
          <cell r="Z1507">
            <v>1</v>
          </cell>
          <cell r="AA1507">
            <v>7590000</v>
          </cell>
          <cell r="AB1507">
            <v>7.17E-2</v>
          </cell>
          <cell r="AC1507">
            <v>544203</v>
          </cell>
          <cell r="AD1507">
            <v>65304.36</v>
          </cell>
          <cell r="AE1507">
            <v>0.12</v>
          </cell>
          <cell r="AF1507">
            <v>44313</v>
          </cell>
          <cell r="AG1507" t="str">
            <v>DAP SZ</v>
          </cell>
          <cell r="AI1507"/>
          <cell r="AJ1507"/>
          <cell r="AK1507">
            <v>0</v>
          </cell>
          <cell r="AL1507">
            <v>0</v>
          </cell>
          <cell r="AM1507">
            <v>44330</v>
          </cell>
          <cell r="AN1507" t="str">
            <v>Yes</v>
          </cell>
          <cell r="AO1507">
            <v>1</v>
          </cell>
          <cell r="AP1507">
            <v>7590000</v>
          </cell>
          <cell r="AQ1507">
            <v>44330</v>
          </cell>
          <cell r="AR1507">
            <v>44330</v>
          </cell>
          <cell r="AS1507">
            <v>0</v>
          </cell>
          <cell r="AT1507">
            <v>0</v>
          </cell>
          <cell r="AV1507"/>
          <cell r="AX1507" t="str">
            <v>Cancel</v>
          </cell>
          <cell r="AY1507"/>
          <cell r="AZ1507"/>
          <cell r="BA1507"/>
        </row>
        <row r="1508">
          <cell r="B1508">
            <v>1358</v>
          </cell>
          <cell r="C1508" t="str">
            <v>C49SZX20210122DZ</v>
          </cell>
          <cell r="D1508" t="str">
            <v>深圳健科</v>
          </cell>
          <cell r="E1508" t="str">
            <v>YSM20R-2</v>
          </cell>
          <cell r="F1508" t="str">
            <v>#13903</v>
          </cell>
          <cell r="G1508" t="e">
            <v>#REF!</v>
          </cell>
          <cell r="H1508" t="e">
            <v>#REF!</v>
          </cell>
          <cell r="I1508" t="str">
            <v>R-&gt;L</v>
          </cell>
          <cell r="J1508" t="str">
            <v>No</v>
          </cell>
          <cell r="K1508">
            <v>1</v>
          </cell>
          <cell r="N1508">
            <v>44488</v>
          </cell>
          <cell r="O1508">
            <v>11116652</v>
          </cell>
          <cell r="P1508">
            <v>14500000</v>
          </cell>
          <cell r="Q1508">
            <v>44494</v>
          </cell>
          <cell r="R1508" t="str">
            <v>No</v>
          </cell>
          <cell r="S1508" t="str">
            <v>C49</v>
          </cell>
          <cell r="T1508" t="str">
            <v>SOUTH</v>
          </cell>
          <cell r="U1508" t="str">
            <v>深圳</v>
          </cell>
          <cell r="V1508" t="str">
            <v>SZ 深圳</v>
          </cell>
          <cell r="W1508" t="str">
            <v>DZ</v>
          </cell>
          <cell r="X1508" t="str">
            <v>JPY</v>
          </cell>
          <cell r="Y1508">
            <v>14500000</v>
          </cell>
          <cell r="Z1508">
            <v>1</v>
          </cell>
          <cell r="AA1508">
            <v>14500000</v>
          </cell>
          <cell r="AB1508">
            <v>7.17E-2</v>
          </cell>
          <cell r="AC1508">
            <v>1039650</v>
          </cell>
          <cell r="AD1508">
            <v>124758</v>
          </cell>
          <cell r="AE1508">
            <v>0.12</v>
          </cell>
          <cell r="AF1508">
            <v>44314</v>
          </cell>
          <cell r="AG1508" t="str">
            <v>DAP SZ</v>
          </cell>
          <cell r="AK1508">
            <v>0.2</v>
          </cell>
          <cell r="AL1508">
            <v>2900000</v>
          </cell>
          <cell r="AM1508">
            <v>44323</v>
          </cell>
          <cell r="AN1508" t="str">
            <v>Yes</v>
          </cell>
          <cell r="AO1508">
            <v>0.7</v>
          </cell>
          <cell r="AP1508">
            <v>10150000</v>
          </cell>
          <cell r="AQ1508">
            <v>44469</v>
          </cell>
          <cell r="AR1508">
            <v>44469</v>
          </cell>
          <cell r="AS1508">
            <v>0.1</v>
          </cell>
          <cell r="AT1508">
            <v>1450000</v>
          </cell>
          <cell r="AU1508">
            <v>44512</v>
          </cell>
          <cell r="AV1508">
            <v>44512</v>
          </cell>
          <cell r="AX1508" t="str">
            <v>Yes</v>
          </cell>
          <cell r="AZ1508" t="str">
            <v>Y</v>
          </cell>
          <cell r="BA1508" t="str">
            <v>Yes</v>
          </cell>
        </row>
        <row r="1509">
          <cell r="B1509">
            <v>1359</v>
          </cell>
          <cell r="C1509" t="str">
            <v>C49SZX20210122DZ</v>
          </cell>
          <cell r="D1509" t="str">
            <v>深圳健科</v>
          </cell>
          <cell r="E1509" t="str">
            <v>YSM20R-2</v>
          </cell>
          <cell r="F1509" t="str">
            <v>#13903</v>
          </cell>
          <cell r="G1509" t="e">
            <v>#REF!</v>
          </cell>
          <cell r="H1509" t="e">
            <v>#REF!</v>
          </cell>
          <cell r="I1509" t="str">
            <v>R-&gt;L</v>
          </cell>
          <cell r="J1509" t="str">
            <v>MVC</v>
          </cell>
          <cell r="K1509">
            <v>1</v>
          </cell>
          <cell r="N1509">
            <v>44488</v>
          </cell>
          <cell r="O1509">
            <v>11116652</v>
          </cell>
          <cell r="P1509">
            <v>14500000</v>
          </cell>
          <cell r="Q1509">
            <v>44494</v>
          </cell>
          <cell r="R1509" t="str">
            <v>No</v>
          </cell>
          <cell r="S1509" t="str">
            <v>C49</v>
          </cell>
          <cell r="T1509" t="str">
            <v>SOUTH</v>
          </cell>
          <cell r="U1509" t="str">
            <v>深圳</v>
          </cell>
          <cell r="V1509" t="str">
            <v>SZ 深圳</v>
          </cell>
          <cell r="W1509" t="str">
            <v>DZ</v>
          </cell>
          <cell r="X1509" t="str">
            <v>JPY</v>
          </cell>
          <cell r="Y1509">
            <v>14500000</v>
          </cell>
          <cell r="Z1509">
            <v>1</v>
          </cell>
          <cell r="AA1509">
            <v>14500000</v>
          </cell>
          <cell r="AB1509">
            <v>7.17E-2</v>
          </cell>
          <cell r="AC1509">
            <v>1039650</v>
          </cell>
          <cell r="AD1509">
            <v>124758</v>
          </cell>
          <cell r="AE1509">
            <v>0.12</v>
          </cell>
          <cell r="AF1509">
            <v>44314</v>
          </cell>
          <cell r="AG1509" t="str">
            <v>DAP SZ</v>
          </cell>
          <cell r="AK1509">
            <v>0.2</v>
          </cell>
          <cell r="AL1509">
            <v>2900000</v>
          </cell>
          <cell r="AM1509">
            <v>44323</v>
          </cell>
          <cell r="AN1509" t="str">
            <v>Yes</v>
          </cell>
          <cell r="AO1509">
            <v>0.7</v>
          </cell>
          <cell r="AP1509">
            <v>10150000</v>
          </cell>
          <cell r="AQ1509">
            <v>44469</v>
          </cell>
          <cell r="AR1509">
            <v>44469</v>
          </cell>
          <cell r="AS1509">
            <v>0.1</v>
          </cell>
          <cell r="AT1509">
            <v>1450000</v>
          </cell>
          <cell r="AU1509">
            <v>44512</v>
          </cell>
          <cell r="AV1509">
            <v>44512</v>
          </cell>
          <cell r="AX1509" t="str">
            <v>Yes</v>
          </cell>
          <cell r="AZ1509" t="str">
            <v>Y</v>
          </cell>
          <cell r="BA1509" t="str">
            <v>Yes</v>
          </cell>
        </row>
        <row r="1510">
          <cell r="B1510">
            <v>1360</v>
          </cell>
          <cell r="C1510" t="str">
            <v>C49SZX20210131SX</v>
          </cell>
          <cell r="D1510" t="str">
            <v>利速达</v>
          </cell>
          <cell r="E1510" t="str">
            <v>YSM10</v>
          </cell>
          <cell r="F1510" t="str">
            <v>#82124</v>
          </cell>
          <cell r="G1510" t="e">
            <v>#REF!</v>
          </cell>
          <cell r="H1510" t="e">
            <v>#REF!</v>
          </cell>
          <cell r="I1510" t="str">
            <v>L-&gt;R</v>
          </cell>
          <cell r="J1510" t="str">
            <v>MVC</v>
          </cell>
          <cell r="K1510">
            <v>1</v>
          </cell>
          <cell r="N1510">
            <v>44568</v>
          </cell>
          <cell r="O1510">
            <v>11116686</v>
          </cell>
          <cell r="P1510">
            <v>8590000</v>
          </cell>
          <cell r="Q1510">
            <v>44568</v>
          </cell>
          <cell r="R1510" t="str">
            <v>No</v>
          </cell>
          <cell r="S1510" t="str">
            <v>C49</v>
          </cell>
          <cell r="T1510" t="str">
            <v>SOUTH</v>
          </cell>
          <cell r="U1510" t="str">
            <v>深圳</v>
          </cell>
          <cell r="V1510" t="str">
            <v>SZ 深圳</v>
          </cell>
          <cell r="W1510" t="str">
            <v>SX</v>
          </cell>
          <cell r="X1510" t="str">
            <v>JPY</v>
          </cell>
          <cell r="Y1510">
            <v>8590000</v>
          </cell>
          <cell r="Z1510">
            <v>1</v>
          </cell>
          <cell r="AA1510">
            <v>8590000</v>
          </cell>
          <cell r="AB1510">
            <v>7.17E-2</v>
          </cell>
          <cell r="AC1510">
            <v>615903</v>
          </cell>
          <cell r="AD1510">
            <v>73908.36</v>
          </cell>
          <cell r="AE1510">
            <v>0.12</v>
          </cell>
          <cell r="AF1510">
            <v>44314</v>
          </cell>
          <cell r="AG1510" t="str">
            <v>DAP SZ</v>
          </cell>
          <cell r="AK1510">
            <v>0.1</v>
          </cell>
          <cell r="AL1510">
            <v>859000</v>
          </cell>
          <cell r="AM1510">
            <v>44329</v>
          </cell>
          <cell r="AN1510" t="str">
            <v>Yes</v>
          </cell>
          <cell r="AO1510">
            <v>0.9</v>
          </cell>
          <cell r="AP1510">
            <v>7451000</v>
          </cell>
          <cell r="AQ1510">
            <v>44559</v>
          </cell>
          <cell r="AR1510">
            <v>44559</v>
          </cell>
          <cell r="AS1510">
            <v>0</v>
          </cell>
          <cell r="AT1510">
            <v>0</v>
          </cell>
          <cell r="AU1510"/>
          <cell r="AX1510" t="str">
            <v>Yes</v>
          </cell>
          <cell r="AZ1510" t="str">
            <v>Y</v>
          </cell>
          <cell r="BA1510" t="str">
            <v>Yes</v>
          </cell>
        </row>
        <row r="1511">
          <cell r="B1511">
            <v>1361</v>
          </cell>
          <cell r="C1511" t="str">
            <v>C49SZX20210136DZ</v>
          </cell>
          <cell r="D1511" t="str">
            <v>兆晖</v>
          </cell>
          <cell r="E1511" t="str">
            <v>YSM10</v>
          </cell>
          <cell r="F1511" t="str">
            <v>#34562</v>
          </cell>
          <cell r="G1511" t="e">
            <v>#REF!</v>
          </cell>
          <cell r="H1511" t="e">
            <v>#REF!</v>
          </cell>
          <cell r="I1511" t="str">
            <v>L-&gt;R</v>
          </cell>
          <cell r="J1511" t="str">
            <v>MVC</v>
          </cell>
          <cell r="K1511">
            <v>1</v>
          </cell>
          <cell r="N1511">
            <v>44335</v>
          </cell>
          <cell r="O1511">
            <v>11116577</v>
          </cell>
          <cell r="P1511">
            <v>7000000</v>
          </cell>
          <cell r="Q1511">
            <v>44317</v>
          </cell>
          <cell r="R1511" t="str">
            <v>No</v>
          </cell>
          <cell r="S1511" t="str">
            <v>C49</v>
          </cell>
          <cell r="T1511" t="str">
            <v>SOUTH</v>
          </cell>
          <cell r="U1511" t="str">
            <v>深圳</v>
          </cell>
          <cell r="V1511" t="str">
            <v>SZ 深圳</v>
          </cell>
          <cell r="W1511" t="str">
            <v>DZ</v>
          </cell>
          <cell r="X1511" t="str">
            <v>JPY</v>
          </cell>
          <cell r="Y1511">
            <v>7000000</v>
          </cell>
          <cell r="Z1511">
            <v>1</v>
          </cell>
          <cell r="AA1511">
            <v>7000000</v>
          </cell>
          <cell r="AB1511">
            <v>7.17E-2</v>
          </cell>
          <cell r="AC1511">
            <v>501900</v>
          </cell>
          <cell r="AD1511">
            <v>60228</v>
          </cell>
          <cell r="AE1511">
            <v>0.12</v>
          </cell>
          <cell r="AF1511">
            <v>44316</v>
          </cell>
          <cell r="AG1511" t="str">
            <v>DAP SZ</v>
          </cell>
          <cell r="AK1511">
            <v>0.2</v>
          </cell>
          <cell r="AL1511">
            <v>1400000</v>
          </cell>
          <cell r="AM1511">
            <v>44326</v>
          </cell>
          <cell r="AN1511" t="str">
            <v>Yes</v>
          </cell>
          <cell r="AO1511">
            <v>0.8</v>
          </cell>
          <cell r="AP1511">
            <v>5600000</v>
          </cell>
          <cell r="AQ1511">
            <v>44329</v>
          </cell>
          <cell r="AR1511">
            <v>44329</v>
          </cell>
          <cell r="AS1511">
            <v>0</v>
          </cell>
          <cell r="AT1511">
            <v>0</v>
          </cell>
          <cell r="AX1511" t="str">
            <v>Yes</v>
          </cell>
          <cell r="AZ1511" t="str">
            <v>Y</v>
          </cell>
          <cell r="BA1511" t="str">
            <v>Yes</v>
          </cell>
        </row>
        <row r="1512">
          <cell r="B1512">
            <v>1362</v>
          </cell>
          <cell r="C1512" t="str">
            <v>C49SZX20210136DZ</v>
          </cell>
          <cell r="D1512" t="str">
            <v>兆晖</v>
          </cell>
          <cell r="E1512" t="str">
            <v>YSM10</v>
          </cell>
          <cell r="F1512" t="str">
            <v>#34562</v>
          </cell>
          <cell r="G1512" t="e">
            <v>#REF!</v>
          </cell>
          <cell r="H1512" t="e">
            <v>#REF!</v>
          </cell>
          <cell r="I1512" t="str">
            <v>L-&gt;R</v>
          </cell>
          <cell r="J1512" t="str">
            <v>MVC</v>
          </cell>
          <cell r="K1512">
            <v>1</v>
          </cell>
          <cell r="N1512">
            <v>44335</v>
          </cell>
          <cell r="O1512">
            <v>11116577</v>
          </cell>
          <cell r="P1512">
            <v>7000000</v>
          </cell>
          <cell r="Q1512">
            <v>44317</v>
          </cell>
          <cell r="R1512" t="str">
            <v>No</v>
          </cell>
          <cell r="S1512" t="str">
            <v>C49</v>
          </cell>
          <cell r="T1512" t="str">
            <v>SOUTH</v>
          </cell>
          <cell r="U1512" t="str">
            <v>深圳</v>
          </cell>
          <cell r="V1512" t="str">
            <v>SZ 深圳</v>
          </cell>
          <cell r="W1512" t="str">
            <v>DZ</v>
          </cell>
          <cell r="X1512" t="str">
            <v>JPY</v>
          </cell>
          <cell r="Y1512">
            <v>7000000</v>
          </cell>
          <cell r="Z1512">
            <v>1</v>
          </cell>
          <cell r="AA1512">
            <v>7000000</v>
          </cell>
          <cell r="AB1512">
            <v>7.17E-2</v>
          </cell>
          <cell r="AC1512">
            <v>501900</v>
          </cell>
          <cell r="AD1512">
            <v>60228</v>
          </cell>
          <cell r="AE1512">
            <v>0.12</v>
          </cell>
          <cell r="AF1512">
            <v>44316</v>
          </cell>
          <cell r="AG1512" t="str">
            <v>DAP SZ</v>
          </cell>
          <cell r="AK1512">
            <v>0.2</v>
          </cell>
          <cell r="AL1512">
            <v>1400000</v>
          </cell>
          <cell r="AM1512">
            <v>44326</v>
          </cell>
          <cell r="AN1512" t="str">
            <v>Yes</v>
          </cell>
          <cell r="AO1512">
            <v>0.8</v>
          </cell>
          <cell r="AP1512">
            <v>5600000</v>
          </cell>
          <cell r="AQ1512">
            <v>44329</v>
          </cell>
          <cell r="AR1512">
            <v>44329</v>
          </cell>
          <cell r="AS1512">
            <v>0</v>
          </cell>
          <cell r="AT1512">
            <v>0</v>
          </cell>
          <cell r="AX1512" t="str">
            <v>Yes</v>
          </cell>
          <cell r="AZ1512" t="str">
            <v>Y</v>
          </cell>
          <cell r="BA1512" t="str">
            <v>Yes</v>
          </cell>
        </row>
        <row r="1513">
          <cell r="B1513">
            <v>1363</v>
          </cell>
          <cell r="C1513" t="str">
            <v>C28SHA2021029KC</v>
          </cell>
          <cell r="D1513" t="str">
            <v>西安诚悦</v>
          </cell>
          <cell r="E1513" t="str">
            <v>Heller 1826MK7</v>
          </cell>
          <cell r="I1513" t="str">
            <v>L-&gt;R</v>
          </cell>
          <cell r="J1513" t="str">
            <v>No</v>
          </cell>
          <cell r="K1513">
            <v>1</v>
          </cell>
          <cell r="L1513" t="str">
            <v>28Z103887</v>
          </cell>
          <cell r="R1513" t="str">
            <v>Yes</v>
          </cell>
          <cell r="S1513" t="str">
            <v>C28</v>
          </cell>
          <cell r="T1513" t="str">
            <v>WEST</v>
          </cell>
          <cell r="U1513" t="str">
            <v>西安</v>
          </cell>
          <cell r="V1513" t="str">
            <v>XA 西安</v>
          </cell>
          <cell r="W1513" t="str">
            <v>KC</v>
          </cell>
          <cell r="X1513" t="str">
            <v>RMB</v>
          </cell>
          <cell r="Y1513">
            <v>262000</v>
          </cell>
          <cell r="Z1513">
            <v>1</v>
          </cell>
          <cell r="AA1513">
            <v>262000</v>
          </cell>
          <cell r="AB1513">
            <v>1.1950000000000001</v>
          </cell>
          <cell r="AC1513">
            <v>313090</v>
          </cell>
          <cell r="AD1513">
            <v>37570.799999999996</v>
          </cell>
          <cell r="AE1513">
            <v>0.12</v>
          </cell>
          <cell r="AF1513">
            <v>44312</v>
          </cell>
          <cell r="AG1513" t="str">
            <v>含税到厂</v>
          </cell>
          <cell r="AK1513">
            <v>0.3</v>
          </cell>
          <cell r="AL1513">
            <v>78600</v>
          </cell>
          <cell r="AM1513">
            <v>44313</v>
          </cell>
          <cell r="AN1513" t="str">
            <v>Yes</v>
          </cell>
          <cell r="AO1513">
            <v>0.7</v>
          </cell>
          <cell r="AP1513">
            <v>183400</v>
          </cell>
          <cell r="AS1513">
            <v>0</v>
          </cell>
          <cell r="AT1513">
            <v>0</v>
          </cell>
        </row>
        <row r="1514">
          <cell r="B1514">
            <v>1364</v>
          </cell>
          <cell r="C1514" t="str">
            <v>C49SZX20210144VG</v>
          </cell>
          <cell r="D1514" t="str">
            <v>泰格</v>
          </cell>
          <cell r="E1514" t="str">
            <v>YSM20R-2</v>
          </cell>
          <cell r="F1514"/>
          <cell r="H1514"/>
          <cell r="I1514" t="str">
            <v>L-&gt;R</v>
          </cell>
          <cell r="J1514" t="str">
            <v>No</v>
          </cell>
          <cell r="K1514">
            <v>1</v>
          </cell>
          <cell r="L1514"/>
          <cell r="N1514"/>
          <cell r="O1514"/>
          <cell r="P1514"/>
          <cell r="Q1514"/>
          <cell r="R1514" t="str">
            <v>No</v>
          </cell>
          <cell r="S1514" t="str">
            <v>C49</v>
          </cell>
          <cell r="T1514" t="str">
            <v>SOUTH</v>
          </cell>
          <cell r="U1514" t="str">
            <v>深圳</v>
          </cell>
          <cell r="V1514" t="str">
            <v>SZ 深圳</v>
          </cell>
          <cell r="W1514" t="str">
            <v>VG</v>
          </cell>
          <cell r="X1514" t="str">
            <v>JPY</v>
          </cell>
          <cell r="Y1514">
            <v>12914000</v>
          </cell>
          <cell r="Z1514">
            <v>1</v>
          </cell>
          <cell r="AA1514">
            <v>12914000</v>
          </cell>
          <cell r="AB1514">
            <v>7.2800000000000004E-2</v>
          </cell>
          <cell r="AC1514">
            <v>940139.20000000007</v>
          </cell>
          <cell r="AD1514">
            <v>112816.704</v>
          </cell>
          <cell r="AE1514">
            <v>0.12</v>
          </cell>
          <cell r="AF1514">
            <v>44324</v>
          </cell>
          <cell r="AG1514" t="str">
            <v>DAP ZS</v>
          </cell>
          <cell r="AI1514"/>
          <cell r="AJ1514"/>
          <cell r="AK1514">
            <v>0.1</v>
          </cell>
          <cell r="AL1514">
            <v>1291400</v>
          </cell>
          <cell r="AM1514"/>
          <cell r="AN1514" t="str">
            <v>No</v>
          </cell>
          <cell r="AO1514">
            <v>0.9</v>
          </cell>
          <cell r="AP1514">
            <v>11622600</v>
          </cell>
          <cell r="AQ1514"/>
          <cell r="AR1514"/>
          <cell r="AS1514">
            <v>0</v>
          </cell>
          <cell r="AT1514">
            <v>0</v>
          </cell>
          <cell r="AV1514"/>
          <cell r="AX1514" t="str">
            <v>Cancel</v>
          </cell>
          <cell r="AY1514"/>
          <cell r="AZ1514"/>
          <cell r="BA1514"/>
        </row>
        <row r="1515">
          <cell r="B1515">
            <v>1365</v>
          </cell>
          <cell r="C1515" t="str">
            <v>C49SZX20210145SX</v>
          </cell>
          <cell r="D1515" t="str">
            <v>东陆</v>
          </cell>
          <cell r="E1515" t="str">
            <v>YSM10</v>
          </cell>
          <cell r="F1515" t="str">
            <v>#76624</v>
          </cell>
          <cell r="G1515" t="e">
            <v>#REF!</v>
          </cell>
          <cell r="H1515" t="e">
            <v>#REF!</v>
          </cell>
          <cell r="I1515" t="str">
            <v>L-&gt;R</v>
          </cell>
          <cell r="J1515" t="str">
            <v>MVC</v>
          </cell>
          <cell r="K1515">
            <v>1</v>
          </cell>
          <cell r="N1515">
            <v>44342</v>
          </cell>
          <cell r="O1515">
            <v>11100485</v>
          </cell>
          <cell r="P1515">
            <v>625776</v>
          </cell>
          <cell r="Q1515">
            <v>44344</v>
          </cell>
          <cell r="R1515" t="str">
            <v>No</v>
          </cell>
          <cell r="S1515" t="str">
            <v>C49</v>
          </cell>
          <cell r="T1515" t="str">
            <v>SOUTH</v>
          </cell>
          <cell r="U1515" t="str">
            <v>深圳</v>
          </cell>
          <cell r="V1515" t="str">
            <v>SZ 深圳</v>
          </cell>
          <cell r="W1515" t="str">
            <v>SX</v>
          </cell>
          <cell r="X1515" t="str">
            <v>RMB</v>
          </cell>
          <cell r="Y1515">
            <v>625776</v>
          </cell>
          <cell r="Z1515">
            <v>1.1299999999999999</v>
          </cell>
          <cell r="AA1515">
            <v>625776</v>
          </cell>
          <cell r="AB1515">
            <v>1.1950000000000001</v>
          </cell>
          <cell r="AC1515">
            <v>661771.96460177004</v>
          </cell>
          <cell r="AD1515">
            <v>79412.635752212402</v>
          </cell>
          <cell r="AE1515">
            <v>0.12</v>
          </cell>
          <cell r="AF1515">
            <v>44327</v>
          </cell>
          <cell r="AG1515" t="str">
            <v>DDP SZ</v>
          </cell>
          <cell r="AK1515">
            <v>0.3</v>
          </cell>
          <cell r="AL1515">
            <v>187732.8</v>
          </cell>
          <cell r="AM1515">
            <v>44328</v>
          </cell>
          <cell r="AN1515" t="str">
            <v>Yes</v>
          </cell>
          <cell r="AO1515">
            <v>0.7</v>
          </cell>
          <cell r="AP1515">
            <v>438043.19999999995</v>
          </cell>
          <cell r="AQ1515">
            <v>44335</v>
          </cell>
          <cell r="AR1515">
            <v>44335</v>
          </cell>
          <cell r="AS1515">
            <v>0</v>
          </cell>
          <cell r="AT1515">
            <v>0</v>
          </cell>
          <cell r="AX1515" t="str">
            <v>Yes</v>
          </cell>
          <cell r="AZ1515" t="str">
            <v>Y</v>
          </cell>
          <cell r="BA1515" t="str">
            <v>Yes</v>
          </cell>
        </row>
        <row r="1516">
          <cell r="B1516">
            <v>1366</v>
          </cell>
          <cell r="C1516" t="str">
            <v>C49SZX20210140DZ</v>
          </cell>
          <cell r="D1516" t="str">
            <v>锘铧</v>
          </cell>
          <cell r="E1516" t="str">
            <v>YSM10</v>
          </cell>
          <cell r="F1516" t="str">
            <v>#68462</v>
          </cell>
          <cell r="G1516" t="e">
            <v>#REF!</v>
          </cell>
          <cell r="H1516" t="e">
            <v>#REF!</v>
          </cell>
          <cell r="I1516" t="str">
            <v>L-&gt;R</v>
          </cell>
          <cell r="J1516" t="str">
            <v>MVC</v>
          </cell>
          <cell r="K1516">
            <v>1</v>
          </cell>
          <cell r="N1516">
            <v>44335</v>
          </cell>
          <cell r="O1516">
            <v>11116574</v>
          </cell>
          <cell r="P1516">
            <v>8000000</v>
          </cell>
          <cell r="Q1516">
            <v>44317</v>
          </cell>
          <cell r="R1516" t="str">
            <v>No</v>
          </cell>
          <cell r="S1516" t="str">
            <v>C49</v>
          </cell>
          <cell r="T1516" t="str">
            <v>SOUTH</v>
          </cell>
          <cell r="U1516" t="str">
            <v>深圳</v>
          </cell>
          <cell r="V1516" t="str">
            <v>GZ 广州</v>
          </cell>
          <cell r="W1516" t="str">
            <v>DZ</v>
          </cell>
          <cell r="X1516" t="str">
            <v>JPY</v>
          </cell>
          <cell r="Y1516">
            <v>8000000</v>
          </cell>
          <cell r="Z1516">
            <v>1</v>
          </cell>
          <cell r="AA1516">
            <v>8000000</v>
          </cell>
          <cell r="AB1516">
            <v>7.2800000000000004E-2</v>
          </cell>
          <cell r="AC1516">
            <v>582400</v>
          </cell>
          <cell r="AD1516">
            <v>69888</v>
          </cell>
          <cell r="AE1516">
            <v>0.12</v>
          </cell>
          <cell r="AF1516">
            <v>44327</v>
          </cell>
          <cell r="AG1516" t="str">
            <v>DAP GZ</v>
          </cell>
          <cell r="AK1516">
            <v>0</v>
          </cell>
          <cell r="AL1516">
            <v>0</v>
          </cell>
          <cell r="AN1516" t="str">
            <v>Yes</v>
          </cell>
          <cell r="AO1516">
            <v>1</v>
          </cell>
          <cell r="AP1516">
            <v>8000000</v>
          </cell>
          <cell r="AQ1516">
            <v>44330</v>
          </cell>
          <cell r="AR1516">
            <v>44330</v>
          </cell>
          <cell r="AS1516">
            <v>0</v>
          </cell>
          <cell r="AT1516">
            <v>0</v>
          </cell>
          <cell r="AX1516" t="str">
            <v>Yes</v>
          </cell>
          <cell r="AZ1516" t="str">
            <v>Y</v>
          </cell>
          <cell r="BA1516" t="str">
            <v>Yes</v>
          </cell>
        </row>
        <row r="1517">
          <cell r="B1517">
            <v>1367</v>
          </cell>
          <cell r="C1517" t="str">
            <v>C49SZX20210140DZ</v>
          </cell>
          <cell r="D1517" t="str">
            <v>锘铧</v>
          </cell>
          <cell r="E1517" t="str">
            <v>YSM10</v>
          </cell>
          <cell r="F1517" t="str">
            <v>#68462</v>
          </cell>
          <cell r="G1517" t="e">
            <v>#REF!</v>
          </cell>
          <cell r="H1517" t="e">
            <v>#REF!</v>
          </cell>
          <cell r="I1517" t="str">
            <v>L-&gt;R</v>
          </cell>
          <cell r="J1517" t="str">
            <v>MVC</v>
          </cell>
          <cell r="K1517">
            <v>1</v>
          </cell>
          <cell r="N1517">
            <v>44335</v>
          </cell>
          <cell r="O1517">
            <v>11116574</v>
          </cell>
          <cell r="P1517">
            <v>8000000</v>
          </cell>
          <cell r="Q1517">
            <v>44317</v>
          </cell>
          <cell r="R1517" t="str">
            <v>No</v>
          </cell>
          <cell r="S1517" t="str">
            <v>C49</v>
          </cell>
          <cell r="T1517" t="str">
            <v>SOUTH</v>
          </cell>
          <cell r="U1517" t="str">
            <v>深圳</v>
          </cell>
          <cell r="V1517" t="str">
            <v>GZ 广州</v>
          </cell>
          <cell r="W1517" t="str">
            <v>DZ</v>
          </cell>
          <cell r="X1517" t="str">
            <v>JPY</v>
          </cell>
          <cell r="Y1517">
            <v>8000000</v>
          </cell>
          <cell r="Z1517">
            <v>1</v>
          </cell>
          <cell r="AA1517">
            <v>8000000</v>
          </cell>
          <cell r="AB1517">
            <v>7.2800000000000004E-2</v>
          </cell>
          <cell r="AC1517">
            <v>582400</v>
          </cell>
          <cell r="AD1517">
            <v>69888</v>
          </cell>
          <cell r="AE1517">
            <v>0.12</v>
          </cell>
          <cell r="AF1517">
            <v>44327</v>
          </cell>
          <cell r="AG1517" t="str">
            <v>DAP GZ</v>
          </cell>
          <cell r="AK1517">
            <v>0</v>
          </cell>
          <cell r="AL1517">
            <v>0</v>
          </cell>
          <cell r="AN1517" t="str">
            <v>Yes</v>
          </cell>
          <cell r="AO1517">
            <v>1</v>
          </cell>
          <cell r="AP1517">
            <v>8000000</v>
          </cell>
          <cell r="AQ1517">
            <v>44330</v>
          </cell>
          <cell r="AR1517">
            <v>44330</v>
          </cell>
          <cell r="AS1517">
            <v>0</v>
          </cell>
          <cell r="AT1517">
            <v>0</v>
          </cell>
          <cell r="AX1517" t="str">
            <v>Yes</v>
          </cell>
          <cell r="AZ1517" t="str">
            <v>Y</v>
          </cell>
          <cell r="BA1517" t="str">
            <v>Yes</v>
          </cell>
        </row>
        <row r="1518">
          <cell r="B1518">
            <v>1368</v>
          </cell>
          <cell r="C1518" t="str">
            <v>C49SZX20210146SS</v>
          </cell>
          <cell r="D1518" t="str">
            <v>钜琪鑫</v>
          </cell>
          <cell r="E1518" t="str">
            <v>YSM10</v>
          </cell>
          <cell r="F1518"/>
          <cell r="H1518"/>
          <cell r="I1518" t="str">
            <v>L-&gt;R</v>
          </cell>
          <cell r="J1518" t="str">
            <v>MVC</v>
          </cell>
          <cell r="K1518">
            <v>1</v>
          </cell>
          <cell r="L1518"/>
          <cell r="N1518"/>
          <cell r="O1518"/>
          <cell r="P1518"/>
          <cell r="Q1518"/>
          <cell r="R1518" t="str">
            <v>Yes</v>
          </cell>
          <cell r="S1518" t="str">
            <v>C49</v>
          </cell>
          <cell r="T1518" t="str">
            <v>SOUTH</v>
          </cell>
          <cell r="U1518" t="str">
            <v>深圳</v>
          </cell>
          <cell r="V1518" t="str">
            <v>SZ 深圳</v>
          </cell>
          <cell r="W1518" t="str">
            <v>SS</v>
          </cell>
          <cell r="X1518" t="str">
            <v>JPY</v>
          </cell>
          <cell r="Y1518">
            <v>7200000</v>
          </cell>
          <cell r="Z1518">
            <v>1</v>
          </cell>
          <cell r="AA1518">
            <v>7200000</v>
          </cell>
          <cell r="AB1518">
            <v>7.2800000000000004E-2</v>
          </cell>
          <cell r="AC1518">
            <v>524160</v>
          </cell>
          <cell r="AD1518">
            <v>62899.199999999997</v>
          </cell>
          <cell r="AE1518">
            <v>0.12</v>
          </cell>
          <cell r="AF1518">
            <v>44328</v>
          </cell>
          <cell r="AG1518" t="str">
            <v>DAP SZ</v>
          </cell>
          <cell r="AI1518"/>
          <cell r="AJ1518"/>
          <cell r="AK1518">
            <v>0</v>
          </cell>
          <cell r="AL1518">
            <v>0</v>
          </cell>
          <cell r="AM1518"/>
          <cell r="AN1518" t="str">
            <v>No</v>
          </cell>
          <cell r="AO1518">
            <v>1</v>
          </cell>
          <cell r="AP1518">
            <v>7200000</v>
          </cell>
          <cell r="AQ1518"/>
          <cell r="AR1518"/>
          <cell r="AS1518">
            <v>0</v>
          </cell>
          <cell r="AT1518">
            <v>0</v>
          </cell>
          <cell r="AV1518"/>
          <cell r="AX1518"/>
          <cell r="AY1518"/>
          <cell r="AZ1518"/>
          <cell r="BA1518"/>
        </row>
        <row r="1519">
          <cell r="B1519">
            <v>1369</v>
          </cell>
          <cell r="C1519" t="str">
            <v>C49SZX20210149DY</v>
          </cell>
          <cell r="D1519" t="str">
            <v>格隆</v>
          </cell>
          <cell r="E1519" t="str">
            <v>YSM20R-2</v>
          </cell>
          <cell r="I1519" t="str">
            <v>L-&gt;R</v>
          </cell>
          <cell r="J1519" t="str">
            <v>No</v>
          </cell>
          <cell r="K1519">
            <v>1</v>
          </cell>
          <cell r="N1519">
            <v>44645</v>
          </cell>
          <cell r="O1519">
            <v>11116715</v>
          </cell>
          <cell r="P1519">
            <v>13000000</v>
          </cell>
          <cell r="Q1519">
            <v>44645</v>
          </cell>
          <cell r="R1519" t="str">
            <v>Yes</v>
          </cell>
          <cell r="S1519" t="str">
            <v>C49</v>
          </cell>
          <cell r="T1519" t="str">
            <v>SOUTH</v>
          </cell>
          <cell r="U1519" t="str">
            <v>深圳</v>
          </cell>
          <cell r="V1519" t="str">
            <v>SZ 深圳</v>
          </cell>
          <cell r="W1519" t="str">
            <v>DY</v>
          </cell>
          <cell r="X1519" t="str">
            <v>JPY</v>
          </cell>
          <cell r="Y1519">
            <v>13000000</v>
          </cell>
          <cell r="Z1519">
            <v>1</v>
          </cell>
          <cell r="AA1519">
            <v>13000000</v>
          </cell>
          <cell r="AB1519">
            <v>7.2800000000000004E-2</v>
          </cell>
          <cell r="AC1519">
            <v>946400</v>
          </cell>
          <cell r="AD1519">
            <v>113568</v>
          </cell>
          <cell r="AE1519">
            <v>0.12</v>
          </cell>
          <cell r="AF1519">
            <v>44330</v>
          </cell>
          <cell r="AG1519" t="str">
            <v>CIF HK</v>
          </cell>
          <cell r="AK1519">
            <v>0.3</v>
          </cell>
          <cell r="AL1519">
            <v>3900000</v>
          </cell>
          <cell r="AM1519">
            <v>44337</v>
          </cell>
          <cell r="AN1519" t="str">
            <v>Yes</v>
          </cell>
          <cell r="AO1519">
            <v>0.7</v>
          </cell>
          <cell r="AP1519">
            <v>9100000</v>
          </cell>
          <cell r="AQ1519">
            <v>44644</v>
          </cell>
          <cell r="AR1519">
            <v>44644</v>
          </cell>
          <cell r="AS1519">
            <v>0</v>
          </cell>
          <cell r="AT1519">
            <v>0</v>
          </cell>
          <cell r="AX1519" t="str">
            <v>Yes</v>
          </cell>
          <cell r="AZ1519" t="str">
            <v>Y</v>
          </cell>
          <cell r="BA1519" t="str">
            <v>Yes</v>
          </cell>
        </row>
        <row r="1520">
          <cell r="B1520">
            <v>1370</v>
          </cell>
          <cell r="C1520" t="str">
            <v>C49SZX20210149DY</v>
          </cell>
          <cell r="D1520" t="str">
            <v>格隆</v>
          </cell>
          <cell r="E1520" t="str">
            <v>YSM10</v>
          </cell>
          <cell r="I1520" t="str">
            <v>L-&gt;R</v>
          </cell>
          <cell r="J1520" t="str">
            <v>MVC</v>
          </cell>
          <cell r="K1520">
            <v>1</v>
          </cell>
          <cell r="N1520">
            <v>44363</v>
          </cell>
          <cell r="O1520">
            <v>11116610</v>
          </cell>
          <cell r="P1520">
            <v>8800000</v>
          </cell>
          <cell r="Q1520">
            <v>44369</v>
          </cell>
          <cell r="R1520" t="str">
            <v>Yes</v>
          </cell>
          <cell r="S1520" t="str">
            <v>C49</v>
          </cell>
          <cell r="T1520" t="str">
            <v>SOUTH</v>
          </cell>
          <cell r="U1520" t="str">
            <v>深圳</v>
          </cell>
          <cell r="V1520" t="str">
            <v>SZ 深圳</v>
          </cell>
          <cell r="W1520" t="str">
            <v>DY</v>
          </cell>
          <cell r="X1520" t="str">
            <v>JPY</v>
          </cell>
          <cell r="Y1520">
            <v>8800000</v>
          </cell>
          <cell r="Z1520">
            <v>1</v>
          </cell>
          <cell r="AA1520">
            <v>8800000</v>
          </cell>
          <cell r="AB1520">
            <v>7.2800000000000004E-2</v>
          </cell>
          <cell r="AC1520">
            <v>640640</v>
          </cell>
          <cell r="AD1520">
            <v>76876.800000000003</v>
          </cell>
          <cell r="AE1520">
            <v>0.12</v>
          </cell>
          <cell r="AF1520">
            <v>44330</v>
          </cell>
          <cell r="AG1520" t="str">
            <v>CIF HK</v>
          </cell>
          <cell r="AK1520">
            <v>0.3</v>
          </cell>
          <cell r="AL1520">
            <v>2640000</v>
          </cell>
          <cell r="AM1520">
            <v>44338</v>
          </cell>
          <cell r="AN1520" t="str">
            <v>Yes</v>
          </cell>
          <cell r="AO1520">
            <v>0.7</v>
          </cell>
          <cell r="AP1520">
            <v>6160000</v>
          </cell>
          <cell r="AQ1520">
            <v>44357</v>
          </cell>
          <cell r="AR1520">
            <v>44357</v>
          </cell>
          <cell r="AS1520">
            <v>0</v>
          </cell>
          <cell r="AT1520">
            <v>0</v>
          </cell>
          <cell r="AX1520" t="str">
            <v>Yes</v>
          </cell>
          <cell r="AZ1520" t="str">
            <v>Y</v>
          </cell>
          <cell r="BA1520" t="str">
            <v>Yes</v>
          </cell>
        </row>
        <row r="1521">
          <cell r="B1521">
            <v>1371</v>
          </cell>
          <cell r="C1521" t="str">
            <v>C49SZX20210147DY</v>
          </cell>
          <cell r="D1521" t="str">
            <v>朗迅</v>
          </cell>
          <cell r="E1521" t="str">
            <v>YSM20R-2</v>
          </cell>
          <cell r="I1521" t="str">
            <v>L-&gt;R</v>
          </cell>
          <cell r="J1521" t="str">
            <v>No</v>
          </cell>
          <cell r="K1521">
            <v>1</v>
          </cell>
          <cell r="N1521">
            <v>44512</v>
          </cell>
          <cell r="O1521">
            <v>11116662</v>
          </cell>
          <cell r="P1521">
            <v>13000000</v>
          </cell>
          <cell r="Q1521">
            <v>44519</v>
          </cell>
          <cell r="R1521" t="str">
            <v>Yes</v>
          </cell>
          <cell r="S1521" t="str">
            <v>C49</v>
          </cell>
          <cell r="T1521" t="str">
            <v>SOUTH</v>
          </cell>
          <cell r="U1521" t="str">
            <v>深圳</v>
          </cell>
          <cell r="V1521" t="str">
            <v>SZ 深圳</v>
          </cell>
          <cell r="W1521" t="str">
            <v>DY</v>
          </cell>
          <cell r="X1521" t="str">
            <v>JPY</v>
          </cell>
          <cell r="Y1521">
            <v>13000000</v>
          </cell>
          <cell r="Z1521">
            <v>1</v>
          </cell>
          <cell r="AA1521">
            <v>13000000</v>
          </cell>
          <cell r="AB1521">
            <v>7.2800000000000004E-2</v>
          </cell>
          <cell r="AC1521">
            <v>946400</v>
          </cell>
          <cell r="AD1521">
            <v>113568</v>
          </cell>
          <cell r="AE1521">
            <v>0.12</v>
          </cell>
          <cell r="AF1521">
            <v>44333</v>
          </cell>
          <cell r="AG1521" t="str">
            <v>DAP HZ</v>
          </cell>
          <cell r="AK1521">
            <v>0.1</v>
          </cell>
          <cell r="AL1521">
            <v>1300000</v>
          </cell>
          <cell r="AM1521">
            <v>44339</v>
          </cell>
          <cell r="AN1521" t="str">
            <v>Yes</v>
          </cell>
          <cell r="AO1521">
            <v>0.9</v>
          </cell>
          <cell r="AP1521">
            <v>11700000</v>
          </cell>
          <cell r="AQ1521">
            <v>44511</v>
          </cell>
          <cell r="AR1521">
            <v>44511</v>
          </cell>
          <cell r="AS1521">
            <v>0</v>
          </cell>
          <cell r="AT1521">
            <v>0</v>
          </cell>
          <cell r="AX1521" t="str">
            <v>Yes</v>
          </cell>
          <cell r="AZ1521" t="str">
            <v>Y</v>
          </cell>
          <cell r="BA1521" t="str">
            <v>Yes</v>
          </cell>
        </row>
        <row r="1522">
          <cell r="B1522">
            <v>1372</v>
          </cell>
          <cell r="C1522" t="str">
            <v>C49SZX20210147DY</v>
          </cell>
          <cell r="D1522" t="str">
            <v>朗迅</v>
          </cell>
          <cell r="E1522" t="str">
            <v>YSM20R-2</v>
          </cell>
          <cell r="I1522" t="str">
            <v>L-&gt;R</v>
          </cell>
          <cell r="J1522" t="str">
            <v>No</v>
          </cell>
          <cell r="K1522">
            <v>1</v>
          </cell>
          <cell r="N1522">
            <v>44512</v>
          </cell>
          <cell r="O1522">
            <v>11116662</v>
          </cell>
          <cell r="P1522">
            <v>13000000</v>
          </cell>
          <cell r="Q1522">
            <v>44519</v>
          </cell>
          <cell r="R1522" t="str">
            <v>Yes</v>
          </cell>
          <cell r="S1522" t="str">
            <v>C49</v>
          </cell>
          <cell r="T1522" t="str">
            <v>SOUTH</v>
          </cell>
          <cell r="U1522" t="str">
            <v>深圳</v>
          </cell>
          <cell r="V1522" t="str">
            <v>SZ 深圳</v>
          </cell>
          <cell r="W1522" t="str">
            <v>DY</v>
          </cell>
          <cell r="X1522" t="str">
            <v>JPY</v>
          </cell>
          <cell r="Y1522">
            <v>13000000</v>
          </cell>
          <cell r="Z1522">
            <v>1</v>
          </cell>
          <cell r="AA1522">
            <v>13000000</v>
          </cell>
          <cell r="AB1522">
            <v>7.2800000000000004E-2</v>
          </cell>
          <cell r="AC1522">
            <v>946400</v>
          </cell>
          <cell r="AD1522">
            <v>113568</v>
          </cell>
          <cell r="AE1522">
            <v>0.12</v>
          </cell>
          <cell r="AF1522">
            <v>44333</v>
          </cell>
          <cell r="AG1522" t="str">
            <v>DAP HZ</v>
          </cell>
          <cell r="AK1522">
            <v>0.1</v>
          </cell>
          <cell r="AL1522">
            <v>1300000</v>
          </cell>
          <cell r="AM1522">
            <v>44340</v>
          </cell>
          <cell r="AN1522" t="str">
            <v>Yes</v>
          </cell>
          <cell r="AO1522">
            <v>0.9</v>
          </cell>
          <cell r="AP1522">
            <v>11700000</v>
          </cell>
          <cell r="AQ1522">
            <v>44511</v>
          </cell>
          <cell r="AR1522">
            <v>44511</v>
          </cell>
          <cell r="AS1522">
            <v>0</v>
          </cell>
          <cell r="AT1522">
            <v>0</v>
          </cell>
          <cell r="AX1522" t="str">
            <v>Yes</v>
          </cell>
          <cell r="AZ1522" t="str">
            <v>Y</v>
          </cell>
          <cell r="BA1522" t="str">
            <v>Yes</v>
          </cell>
        </row>
        <row r="1523">
          <cell r="B1523">
            <v>1373</v>
          </cell>
          <cell r="C1523" t="str">
            <v>C49SZX20210147DY</v>
          </cell>
          <cell r="D1523" t="str">
            <v>朗迅</v>
          </cell>
          <cell r="E1523" t="str">
            <v>YSM10</v>
          </cell>
          <cell r="I1523" t="str">
            <v>L-&gt;R</v>
          </cell>
          <cell r="J1523" t="str">
            <v>MVC</v>
          </cell>
          <cell r="K1523">
            <v>1</v>
          </cell>
          <cell r="N1523">
            <v>44645</v>
          </cell>
          <cell r="O1523">
            <v>11116714</v>
          </cell>
          <cell r="P1523">
            <v>8360000</v>
          </cell>
          <cell r="Q1523">
            <v>44645</v>
          </cell>
          <cell r="R1523" t="str">
            <v>Yes</v>
          </cell>
          <cell r="S1523" t="str">
            <v>C49</v>
          </cell>
          <cell r="T1523" t="str">
            <v>SOUTH</v>
          </cell>
          <cell r="U1523" t="str">
            <v>深圳</v>
          </cell>
          <cell r="V1523" t="str">
            <v>SZ 深圳</v>
          </cell>
          <cell r="W1523" t="str">
            <v>DY</v>
          </cell>
          <cell r="X1523" t="str">
            <v>JPY</v>
          </cell>
          <cell r="Y1523">
            <v>8360000</v>
          </cell>
          <cell r="Z1523">
            <v>1</v>
          </cell>
          <cell r="AA1523">
            <v>8360000</v>
          </cell>
          <cell r="AB1523">
            <v>7.2800000000000004E-2</v>
          </cell>
          <cell r="AC1523">
            <v>608608</v>
          </cell>
          <cell r="AD1523">
            <v>73032.959999999992</v>
          </cell>
          <cell r="AE1523">
            <v>0.12</v>
          </cell>
          <cell r="AF1523">
            <v>44333</v>
          </cell>
          <cell r="AG1523" t="str">
            <v>DAP HZ</v>
          </cell>
          <cell r="AK1523">
            <v>0.1</v>
          </cell>
          <cell r="AL1523">
            <v>836000</v>
          </cell>
          <cell r="AM1523">
            <v>44341</v>
          </cell>
          <cell r="AN1523" t="str">
            <v>Yes</v>
          </cell>
          <cell r="AO1523">
            <v>0.9</v>
          </cell>
          <cell r="AP1523">
            <v>7524000</v>
          </cell>
          <cell r="AQ1523">
            <v>44615</v>
          </cell>
          <cell r="AR1523">
            <v>44615</v>
          </cell>
          <cell r="AS1523">
            <v>0</v>
          </cell>
          <cell r="AT1523">
            <v>0</v>
          </cell>
          <cell r="AX1523" t="str">
            <v>Yes</v>
          </cell>
          <cell r="AZ1523" t="str">
            <v>Y</v>
          </cell>
          <cell r="BA1523" t="str">
            <v>Yes</v>
          </cell>
        </row>
        <row r="1524">
          <cell r="B1524">
            <v>1374</v>
          </cell>
          <cell r="C1524" t="str">
            <v>C49SZX20210147DY</v>
          </cell>
          <cell r="D1524" t="str">
            <v>朗迅</v>
          </cell>
          <cell r="E1524" t="str">
            <v>YSM10</v>
          </cell>
          <cell r="I1524" t="str">
            <v>L-&gt;R</v>
          </cell>
          <cell r="J1524" t="str">
            <v>MVC</v>
          </cell>
          <cell r="K1524">
            <v>1</v>
          </cell>
          <cell r="N1524">
            <v>44645</v>
          </cell>
          <cell r="O1524">
            <v>11116714</v>
          </cell>
          <cell r="P1524">
            <v>8360000</v>
          </cell>
          <cell r="Q1524">
            <v>44645</v>
          </cell>
          <cell r="R1524" t="str">
            <v>Yes</v>
          </cell>
          <cell r="S1524" t="str">
            <v>C49</v>
          </cell>
          <cell r="T1524" t="str">
            <v>SOUTH</v>
          </cell>
          <cell r="U1524" t="str">
            <v>深圳</v>
          </cell>
          <cell r="V1524" t="str">
            <v>SZ 深圳</v>
          </cell>
          <cell r="W1524" t="str">
            <v>DY</v>
          </cell>
          <cell r="X1524" t="str">
            <v>JPY</v>
          </cell>
          <cell r="Y1524">
            <v>8360000</v>
          </cell>
          <cell r="Z1524">
            <v>1</v>
          </cell>
          <cell r="AA1524">
            <v>8360000</v>
          </cell>
          <cell r="AB1524">
            <v>7.2800000000000004E-2</v>
          </cell>
          <cell r="AC1524">
            <v>608608</v>
          </cell>
          <cell r="AD1524">
            <v>73032.959999999992</v>
          </cell>
          <cell r="AE1524">
            <v>0.12</v>
          </cell>
          <cell r="AF1524">
            <v>44333</v>
          </cell>
          <cell r="AG1524" t="str">
            <v>DAP HZ</v>
          </cell>
          <cell r="AK1524">
            <v>0.1</v>
          </cell>
          <cell r="AL1524">
            <v>836000</v>
          </cell>
          <cell r="AM1524">
            <v>44342</v>
          </cell>
          <cell r="AN1524" t="str">
            <v>Yes</v>
          </cell>
          <cell r="AO1524">
            <v>0.9</v>
          </cell>
          <cell r="AP1524">
            <v>7524000</v>
          </cell>
          <cell r="AQ1524">
            <v>44615</v>
          </cell>
          <cell r="AR1524">
            <v>44615</v>
          </cell>
          <cell r="AS1524">
            <v>0</v>
          </cell>
          <cell r="AT1524">
            <v>0</v>
          </cell>
          <cell r="AX1524" t="str">
            <v>Yes</v>
          </cell>
          <cell r="AZ1524" t="str">
            <v>Y</v>
          </cell>
          <cell r="BA1524" t="str">
            <v>Yes</v>
          </cell>
        </row>
        <row r="1525">
          <cell r="B1525">
            <v>1375</v>
          </cell>
          <cell r="C1525" t="str">
            <v>C49SZX20210138JL</v>
          </cell>
          <cell r="D1525" t="str">
            <v>力通威</v>
          </cell>
          <cell r="E1525" t="str">
            <v>YSM10</v>
          </cell>
          <cell r="F1525" t="str">
            <v>#18122</v>
          </cell>
          <cell r="G1525" t="e">
            <v>#REF!</v>
          </cell>
          <cell r="H1525" t="e">
            <v>#REF!</v>
          </cell>
          <cell r="I1525" t="str">
            <v>L-&gt;R</v>
          </cell>
          <cell r="J1525" t="str">
            <v xml:space="preserve">MVC+96 FEEDER PLATE (YSM10) </v>
          </cell>
          <cell r="K1525">
            <v>1</v>
          </cell>
          <cell r="N1525">
            <v>44357</v>
          </cell>
          <cell r="O1525">
            <v>11116602</v>
          </cell>
          <cell r="P1525">
            <v>9450000</v>
          </cell>
          <cell r="Q1525">
            <v>44358</v>
          </cell>
          <cell r="R1525" t="str">
            <v>No</v>
          </cell>
          <cell r="S1525" t="str">
            <v>C49</v>
          </cell>
          <cell r="T1525" t="str">
            <v>SOUTH</v>
          </cell>
          <cell r="U1525" t="str">
            <v>深圳</v>
          </cell>
          <cell r="V1525" t="str">
            <v>SZ 深圳</v>
          </cell>
          <cell r="W1525" t="str">
            <v>JL</v>
          </cell>
          <cell r="X1525" t="str">
            <v>JPY</v>
          </cell>
          <cell r="Y1525">
            <v>9450000</v>
          </cell>
          <cell r="Z1525">
            <v>1</v>
          </cell>
          <cell r="AA1525">
            <v>9450000</v>
          </cell>
          <cell r="AB1525">
            <v>7.2800000000000004E-2</v>
          </cell>
          <cell r="AC1525">
            <v>687960</v>
          </cell>
          <cell r="AD1525">
            <v>82555.199999999997</v>
          </cell>
          <cell r="AE1525">
            <v>0.12</v>
          </cell>
          <cell r="AF1525">
            <v>44333</v>
          </cell>
          <cell r="AG1525" t="str">
            <v>CIF HK</v>
          </cell>
          <cell r="AK1525">
            <v>0.2</v>
          </cell>
          <cell r="AL1525">
            <v>1890000</v>
          </cell>
          <cell r="AM1525">
            <v>44340</v>
          </cell>
          <cell r="AN1525" t="str">
            <v>Yes</v>
          </cell>
          <cell r="AO1525">
            <v>0.8</v>
          </cell>
          <cell r="AP1525">
            <v>7560000</v>
          </cell>
          <cell r="AQ1525">
            <v>44354</v>
          </cell>
          <cell r="AR1525">
            <v>44354</v>
          </cell>
          <cell r="AS1525">
            <v>0</v>
          </cell>
          <cell r="AT1525">
            <v>0</v>
          </cell>
          <cell r="AX1525" t="str">
            <v>Yes</v>
          </cell>
          <cell r="AZ1525" t="str">
            <v>Y</v>
          </cell>
          <cell r="BA1525" t="str">
            <v>Yes</v>
          </cell>
        </row>
        <row r="1526">
          <cell r="B1526">
            <v>1376</v>
          </cell>
          <cell r="C1526" t="str">
            <v>C49SZX20210150SX</v>
          </cell>
          <cell r="D1526" t="str">
            <v>莫思特</v>
          </cell>
          <cell r="E1526" t="str">
            <v>YSM10</v>
          </cell>
          <cell r="I1526" t="str">
            <v>L-&gt;R</v>
          </cell>
          <cell r="J1526" t="str">
            <v>No</v>
          </cell>
          <cell r="K1526">
            <v>1</v>
          </cell>
          <cell r="N1526">
            <v>44568</v>
          </cell>
          <cell r="O1526">
            <v>11116688</v>
          </cell>
          <cell r="P1526">
            <v>8221500</v>
          </cell>
          <cell r="Q1526">
            <v>44568</v>
          </cell>
          <cell r="R1526" t="str">
            <v>Yes</v>
          </cell>
          <cell r="S1526" t="str">
            <v>C49</v>
          </cell>
          <cell r="T1526" t="str">
            <v>SOUTH</v>
          </cell>
          <cell r="U1526" t="str">
            <v>深圳</v>
          </cell>
          <cell r="V1526" t="str">
            <v>SZ 深圳</v>
          </cell>
          <cell r="W1526" t="str">
            <v>SX</v>
          </cell>
          <cell r="X1526" t="str">
            <v>JPY</v>
          </cell>
          <cell r="Y1526">
            <v>8221500</v>
          </cell>
          <cell r="Z1526">
            <v>1</v>
          </cell>
          <cell r="AA1526">
            <v>8221500</v>
          </cell>
          <cell r="AB1526">
            <v>7.2800000000000004E-2</v>
          </cell>
          <cell r="AC1526">
            <v>598525.20000000007</v>
          </cell>
          <cell r="AD1526">
            <v>71823.024000000005</v>
          </cell>
          <cell r="AE1526">
            <v>0.12</v>
          </cell>
          <cell r="AF1526">
            <v>44334</v>
          </cell>
          <cell r="AG1526" t="str">
            <v>DAP HZ</v>
          </cell>
          <cell r="AK1526">
            <v>0.1</v>
          </cell>
          <cell r="AL1526">
            <v>822150</v>
          </cell>
          <cell r="AM1526">
            <v>44347</v>
          </cell>
          <cell r="AN1526" t="str">
            <v>Yes</v>
          </cell>
          <cell r="AO1526">
            <v>0.9</v>
          </cell>
          <cell r="AP1526">
            <v>7399350</v>
          </cell>
          <cell r="AQ1526">
            <v>44560</v>
          </cell>
          <cell r="AR1526">
            <v>44560</v>
          </cell>
          <cell r="AS1526">
            <v>0</v>
          </cell>
          <cell r="AT1526">
            <v>0</v>
          </cell>
          <cell r="AX1526" t="str">
            <v>Yes</v>
          </cell>
          <cell r="AZ1526" t="str">
            <v>Y</v>
          </cell>
          <cell r="BA1526" t="str">
            <v>Yes</v>
          </cell>
        </row>
        <row r="1527">
          <cell r="B1527">
            <v>1377</v>
          </cell>
          <cell r="C1527" t="str">
            <v>C49SZX20210151SX</v>
          </cell>
          <cell r="D1527" t="str">
            <v>龙腾共创</v>
          </cell>
          <cell r="E1527" t="str">
            <v>YSM20R-2</v>
          </cell>
          <cell r="I1527" t="str">
            <v>L-&gt;R</v>
          </cell>
          <cell r="J1527" t="str">
            <v>MVC</v>
          </cell>
          <cell r="K1527">
            <v>1</v>
          </cell>
          <cell r="N1527">
            <v>44530</v>
          </cell>
          <cell r="O1527">
            <v>11116666</v>
          </cell>
          <cell r="P1527">
            <v>14135177</v>
          </cell>
          <cell r="Q1527">
            <v>44526</v>
          </cell>
          <cell r="R1527" t="str">
            <v>No</v>
          </cell>
          <cell r="S1527" t="str">
            <v>C49</v>
          </cell>
          <cell r="T1527" t="str">
            <v>SOUTH</v>
          </cell>
          <cell r="U1527" t="str">
            <v>深圳</v>
          </cell>
          <cell r="V1527" t="str">
            <v>SZ 深圳</v>
          </cell>
          <cell r="W1527" t="str">
            <v>SX</v>
          </cell>
          <cell r="X1527" t="str">
            <v>JPY</v>
          </cell>
          <cell r="Y1527">
            <v>14135177</v>
          </cell>
          <cell r="Z1527">
            <v>1</v>
          </cell>
          <cell r="AA1527">
            <v>14135177</v>
          </cell>
          <cell r="AB1527">
            <v>7.2800000000000004E-2</v>
          </cell>
          <cell r="AC1527">
            <v>1029040.8856</v>
          </cell>
          <cell r="AD1527">
            <v>123484.90627199999</v>
          </cell>
          <cell r="AE1527">
            <v>0.12</v>
          </cell>
          <cell r="AF1527">
            <v>44336</v>
          </cell>
          <cell r="AG1527" t="str">
            <v>DAP SZ</v>
          </cell>
          <cell r="AK1527">
            <v>0.1</v>
          </cell>
          <cell r="AL1527">
            <v>1413517.7000000002</v>
          </cell>
          <cell r="AM1527">
            <v>44344</v>
          </cell>
          <cell r="AN1527" t="str">
            <v>Yes</v>
          </cell>
          <cell r="AO1527">
            <v>0.9</v>
          </cell>
          <cell r="AP1527">
            <v>12721659.300000001</v>
          </cell>
          <cell r="AQ1527">
            <v>44522</v>
          </cell>
          <cell r="AR1527">
            <v>44522</v>
          </cell>
          <cell r="AS1527">
            <v>0</v>
          </cell>
          <cell r="AT1527">
            <v>0</v>
          </cell>
          <cell r="AX1527" t="str">
            <v>Yes</v>
          </cell>
          <cell r="AZ1527" t="str">
            <v>Y</v>
          </cell>
          <cell r="BA1527" t="str">
            <v>Yes</v>
          </cell>
        </row>
        <row r="1528">
          <cell r="B1528">
            <v>1378</v>
          </cell>
          <cell r="C1528" t="str">
            <v>C49SZX20210153MZ</v>
          </cell>
          <cell r="D1528" t="str">
            <v>巨能</v>
          </cell>
          <cell r="E1528" t="str">
            <v>YSM10</v>
          </cell>
          <cell r="F1528" t="str">
            <v>#06084</v>
          </cell>
          <cell r="G1528" t="str">
            <v>C210640437</v>
          </cell>
          <cell r="H1528">
            <v>45093</v>
          </cell>
          <cell r="I1528" t="str">
            <v>L-&gt;R</v>
          </cell>
          <cell r="J1528" t="str">
            <v>MVC</v>
          </cell>
          <cell r="K1528">
            <v>1</v>
          </cell>
          <cell r="N1528">
            <v>44370</v>
          </cell>
          <cell r="O1528">
            <v>11116611</v>
          </cell>
          <cell r="P1528">
            <v>9000000</v>
          </cell>
          <cell r="Q1528">
            <v>44375</v>
          </cell>
          <cell r="R1528" t="str">
            <v>Yes</v>
          </cell>
          <cell r="S1528" t="str">
            <v>C49</v>
          </cell>
          <cell r="T1528" t="str">
            <v>SOUTH</v>
          </cell>
          <cell r="U1528" t="str">
            <v>深圳</v>
          </cell>
          <cell r="V1528" t="str">
            <v>SZ 深圳</v>
          </cell>
          <cell r="W1528" t="str">
            <v>MZ</v>
          </cell>
          <cell r="X1528" t="str">
            <v>JPY</v>
          </cell>
          <cell r="Y1528">
            <v>9000000</v>
          </cell>
          <cell r="Z1528">
            <v>1</v>
          </cell>
          <cell r="AA1528">
            <v>9000000</v>
          </cell>
          <cell r="AB1528">
            <v>7.2800000000000004E-2</v>
          </cell>
          <cell r="AC1528">
            <v>655200</v>
          </cell>
          <cell r="AD1528">
            <v>78624</v>
          </cell>
          <cell r="AE1528">
            <v>0.12</v>
          </cell>
          <cell r="AF1528">
            <v>44337</v>
          </cell>
          <cell r="AG1528" t="str">
            <v>DAP SZ</v>
          </cell>
          <cell r="AK1528">
            <v>0.1</v>
          </cell>
          <cell r="AL1528">
            <v>900000</v>
          </cell>
          <cell r="AM1528">
            <v>44342</v>
          </cell>
          <cell r="AN1528" t="str">
            <v>Yes</v>
          </cell>
          <cell r="AO1528">
            <v>0.9</v>
          </cell>
          <cell r="AP1528">
            <v>8100000</v>
          </cell>
          <cell r="AQ1528">
            <v>44369</v>
          </cell>
          <cell r="AR1528">
            <v>44369</v>
          </cell>
          <cell r="AS1528">
            <v>0</v>
          </cell>
          <cell r="AT1528">
            <v>0</v>
          </cell>
          <cell r="AX1528" t="str">
            <v>Yes</v>
          </cell>
          <cell r="AZ1528" t="str">
            <v>Y</v>
          </cell>
          <cell r="BA1528" t="str">
            <v>Yes</v>
          </cell>
        </row>
        <row r="1529">
          <cell r="B1529">
            <v>1379</v>
          </cell>
          <cell r="C1529" t="str">
            <v>C49SZX20210154MZ</v>
          </cell>
          <cell r="D1529" t="str">
            <v>巨能</v>
          </cell>
          <cell r="E1529" t="str">
            <v>YSM20R-2</v>
          </cell>
          <cell r="I1529" t="str">
            <v>L-&gt;R</v>
          </cell>
          <cell r="J1529" t="str">
            <v>No</v>
          </cell>
          <cell r="K1529">
            <v>1</v>
          </cell>
          <cell r="N1529">
            <v>44424</v>
          </cell>
          <cell r="O1529">
            <v>11116639</v>
          </cell>
          <cell r="P1529">
            <v>12000000</v>
          </cell>
          <cell r="Q1529">
            <v>44431</v>
          </cell>
          <cell r="R1529" t="str">
            <v>No</v>
          </cell>
          <cell r="S1529" t="str">
            <v>C49</v>
          </cell>
          <cell r="T1529" t="str">
            <v>SOUTH</v>
          </cell>
          <cell r="U1529" t="str">
            <v>深圳</v>
          </cell>
          <cell r="V1529" t="str">
            <v>SZ 深圳</v>
          </cell>
          <cell r="W1529" t="str">
            <v>MZ</v>
          </cell>
          <cell r="X1529" t="str">
            <v>JPY</v>
          </cell>
          <cell r="Y1529">
            <v>12000000</v>
          </cell>
          <cell r="Z1529">
            <v>1</v>
          </cell>
          <cell r="AA1529">
            <v>12000000</v>
          </cell>
          <cell r="AB1529">
            <v>7.2800000000000004E-2</v>
          </cell>
          <cell r="AC1529">
            <v>873600</v>
          </cell>
          <cell r="AD1529">
            <v>104832</v>
          </cell>
          <cell r="AE1529">
            <v>0.12</v>
          </cell>
          <cell r="AF1529">
            <v>44337</v>
          </cell>
          <cell r="AG1529" t="str">
            <v>DAP SZ</v>
          </cell>
          <cell r="AK1529">
            <v>0.1</v>
          </cell>
          <cell r="AL1529">
            <v>1200000</v>
          </cell>
          <cell r="AM1529">
            <v>44342</v>
          </cell>
          <cell r="AN1529" t="str">
            <v>Yes</v>
          </cell>
          <cell r="AO1529">
            <v>0.9</v>
          </cell>
          <cell r="AP1529">
            <v>10800000</v>
          </cell>
          <cell r="AQ1529">
            <v>44420</v>
          </cell>
          <cell r="AR1529">
            <v>44420</v>
          </cell>
          <cell r="AS1529">
            <v>0</v>
          </cell>
          <cell r="AT1529">
            <v>0</v>
          </cell>
          <cell r="AX1529" t="str">
            <v>Yes</v>
          </cell>
          <cell r="AZ1529" t="str">
            <v>Y</v>
          </cell>
          <cell r="BA1529" t="str">
            <v>Yes</v>
          </cell>
        </row>
        <row r="1530">
          <cell r="B1530">
            <v>1380</v>
          </cell>
          <cell r="C1530" t="str">
            <v>C49SZX20210155MZR1</v>
          </cell>
          <cell r="D1530" t="str">
            <v>巨能</v>
          </cell>
          <cell r="E1530" t="str">
            <v>YSM20R-2</v>
          </cell>
          <cell r="I1530" t="str">
            <v>L-&gt;R</v>
          </cell>
          <cell r="J1530" t="str">
            <v>No</v>
          </cell>
          <cell r="K1530">
            <v>1</v>
          </cell>
          <cell r="N1530">
            <v>44664</v>
          </cell>
          <cell r="O1530">
            <v>11116734</v>
          </cell>
          <cell r="P1530">
            <v>12000000</v>
          </cell>
          <cell r="Q1530">
            <v>44673</v>
          </cell>
          <cell r="R1530" t="str">
            <v>No</v>
          </cell>
          <cell r="S1530" t="str">
            <v>C49</v>
          </cell>
          <cell r="T1530" t="str">
            <v>SOUTH</v>
          </cell>
          <cell r="U1530" t="str">
            <v>深圳</v>
          </cell>
          <cell r="V1530" t="str">
            <v>SZ 深圳</v>
          </cell>
          <cell r="W1530" t="str">
            <v>MZ</v>
          </cell>
          <cell r="X1530" t="str">
            <v>JPY</v>
          </cell>
          <cell r="Y1530">
            <v>12000000</v>
          </cell>
          <cell r="Z1530">
            <v>1</v>
          </cell>
          <cell r="AA1530">
            <v>12000000</v>
          </cell>
          <cell r="AB1530">
            <v>7.2800000000000004E-2</v>
          </cell>
          <cell r="AC1530">
            <v>873600</v>
          </cell>
          <cell r="AD1530">
            <v>104832</v>
          </cell>
          <cell r="AE1530">
            <v>0.12</v>
          </cell>
          <cell r="AF1530">
            <v>44337</v>
          </cell>
          <cell r="AG1530" t="str">
            <v>DAP SZ</v>
          </cell>
          <cell r="AK1530">
            <v>0.1</v>
          </cell>
          <cell r="AL1530">
            <v>4200000</v>
          </cell>
          <cell r="AM1530">
            <v>44342</v>
          </cell>
          <cell r="AN1530" t="str">
            <v>Yes</v>
          </cell>
          <cell r="AO1530">
            <v>0.9</v>
          </cell>
          <cell r="AP1530">
            <v>10800000</v>
          </cell>
          <cell r="AQ1530">
            <v>44649</v>
          </cell>
          <cell r="AR1530">
            <v>44649</v>
          </cell>
          <cell r="AS1530">
            <v>0</v>
          </cell>
          <cell r="AT1530">
            <v>0</v>
          </cell>
          <cell r="AX1530" t="str">
            <v>Yes</v>
          </cell>
          <cell r="AZ1530" t="str">
            <v>Y</v>
          </cell>
          <cell r="BA1530" t="str">
            <v>Yes</v>
          </cell>
        </row>
        <row r="1531">
          <cell r="B1531">
            <v>1381</v>
          </cell>
          <cell r="C1531" t="str">
            <v>C49SZX20210182MZ</v>
          </cell>
          <cell r="D1531" t="str">
            <v>巨能</v>
          </cell>
          <cell r="E1531" t="str">
            <v>YSM20R-2</v>
          </cell>
          <cell r="I1531" t="str">
            <v>L-&gt;R</v>
          </cell>
          <cell r="J1531" t="str">
            <v>No</v>
          </cell>
          <cell r="K1531">
            <v>1</v>
          </cell>
          <cell r="N1531">
            <v>44664</v>
          </cell>
          <cell r="O1531">
            <v>11116735</v>
          </cell>
          <cell r="P1531">
            <v>12000000</v>
          </cell>
          <cell r="Q1531">
            <v>44673</v>
          </cell>
          <cell r="R1531" t="str">
            <v>No</v>
          </cell>
          <cell r="S1531" t="str">
            <v>C49</v>
          </cell>
          <cell r="T1531" t="str">
            <v>SOUTH</v>
          </cell>
          <cell r="U1531" t="str">
            <v>深圳</v>
          </cell>
          <cell r="V1531" t="str">
            <v>SZ 深圳</v>
          </cell>
          <cell r="W1531" t="str">
            <v>MZ</v>
          </cell>
          <cell r="X1531" t="str">
            <v>JPY</v>
          </cell>
          <cell r="Y1531">
            <v>12000000</v>
          </cell>
          <cell r="Z1531">
            <v>1</v>
          </cell>
          <cell r="AA1531">
            <v>12000000</v>
          </cell>
          <cell r="AB1531">
            <v>7.2800000000000004E-2</v>
          </cell>
          <cell r="AC1531">
            <v>873600</v>
          </cell>
          <cell r="AD1531">
            <v>104832</v>
          </cell>
          <cell r="AE1531">
            <v>0.12</v>
          </cell>
          <cell r="AF1531">
            <v>44337</v>
          </cell>
          <cell r="AG1531" t="str">
            <v>DAP SZ</v>
          </cell>
          <cell r="AK1531">
            <v>0.1</v>
          </cell>
          <cell r="AL1531"/>
          <cell r="AM1531">
            <v>44342</v>
          </cell>
          <cell r="AN1531" t="str">
            <v>Yes</v>
          </cell>
          <cell r="AO1531">
            <v>0.9</v>
          </cell>
          <cell r="AP1531">
            <v>10800000</v>
          </cell>
          <cell r="AQ1531">
            <v>44649</v>
          </cell>
          <cell r="AR1531">
            <v>44649</v>
          </cell>
          <cell r="AS1531">
            <v>0</v>
          </cell>
          <cell r="AT1531">
            <v>0</v>
          </cell>
          <cell r="AX1531" t="str">
            <v>Yes</v>
          </cell>
          <cell r="AZ1531" t="str">
            <v>Y</v>
          </cell>
          <cell r="BA1531" t="str">
            <v>Yes</v>
          </cell>
        </row>
        <row r="1532">
          <cell r="B1532">
            <v>1382</v>
          </cell>
          <cell r="C1532" t="str">
            <v>C49SZX20210155MZR1</v>
          </cell>
          <cell r="D1532" t="str">
            <v>巨能</v>
          </cell>
          <cell r="E1532" t="str">
            <v>YSM10</v>
          </cell>
          <cell r="I1532" t="str">
            <v>L-&gt;R</v>
          </cell>
          <cell r="J1532" t="str">
            <v>MVC</v>
          </cell>
          <cell r="K1532">
            <v>1</v>
          </cell>
          <cell r="N1532">
            <v>44650</v>
          </cell>
          <cell r="O1532">
            <v>11116721</v>
          </cell>
          <cell r="P1532">
            <v>9000000</v>
          </cell>
          <cell r="Q1532">
            <v>44650</v>
          </cell>
          <cell r="R1532" t="str">
            <v>No</v>
          </cell>
          <cell r="S1532" t="str">
            <v>C49</v>
          </cell>
          <cell r="T1532" t="str">
            <v>SOUTH</v>
          </cell>
          <cell r="U1532" t="str">
            <v>深圳</v>
          </cell>
          <cell r="V1532" t="str">
            <v>SZ 深圳</v>
          </cell>
          <cell r="W1532" t="str">
            <v>MZ</v>
          </cell>
          <cell r="X1532" t="str">
            <v>JPY</v>
          </cell>
          <cell r="Y1532">
            <v>9000000</v>
          </cell>
          <cell r="Z1532">
            <v>1</v>
          </cell>
          <cell r="AA1532">
            <v>9000000</v>
          </cell>
          <cell r="AB1532">
            <v>7.2800000000000004E-2</v>
          </cell>
          <cell r="AC1532">
            <v>655200</v>
          </cell>
          <cell r="AD1532">
            <v>78624</v>
          </cell>
          <cell r="AE1532">
            <v>0.12</v>
          </cell>
          <cell r="AF1532">
            <v>44337</v>
          </cell>
          <cell r="AG1532" t="str">
            <v>DAP SZ</v>
          </cell>
          <cell r="AK1532">
            <v>0.1</v>
          </cell>
          <cell r="AL1532"/>
          <cell r="AM1532">
            <v>44342</v>
          </cell>
          <cell r="AN1532" t="str">
            <v>Yes</v>
          </cell>
          <cell r="AO1532">
            <v>0.9</v>
          </cell>
          <cell r="AP1532">
            <v>8100000</v>
          </cell>
          <cell r="AQ1532">
            <v>44649</v>
          </cell>
          <cell r="AR1532">
            <v>44649</v>
          </cell>
          <cell r="AS1532">
            <v>0</v>
          </cell>
          <cell r="AT1532">
            <v>0</v>
          </cell>
          <cell r="AX1532" t="str">
            <v>Yes</v>
          </cell>
          <cell r="AZ1532" t="str">
            <v>Y</v>
          </cell>
          <cell r="BA1532" t="str">
            <v>Yes</v>
          </cell>
        </row>
        <row r="1533">
          <cell r="B1533">
            <v>1383</v>
          </cell>
          <cell r="C1533" t="str">
            <v>C49SZX20210182MZ</v>
          </cell>
          <cell r="D1533" t="str">
            <v>巨能</v>
          </cell>
          <cell r="E1533" t="str">
            <v>YSM10</v>
          </cell>
          <cell r="I1533" t="str">
            <v>L-&gt;R</v>
          </cell>
          <cell r="J1533" t="str">
            <v>MVC</v>
          </cell>
          <cell r="K1533">
            <v>1</v>
          </cell>
          <cell r="N1533">
            <v>44650</v>
          </cell>
          <cell r="O1533">
            <v>11116722</v>
          </cell>
          <cell r="P1533">
            <v>9000000</v>
          </cell>
          <cell r="Q1533">
            <v>44650</v>
          </cell>
          <cell r="R1533" t="str">
            <v>No</v>
          </cell>
          <cell r="S1533" t="str">
            <v>C49</v>
          </cell>
          <cell r="T1533" t="str">
            <v>SOUTH</v>
          </cell>
          <cell r="U1533" t="str">
            <v>深圳</v>
          </cell>
          <cell r="V1533" t="str">
            <v>SZ 深圳</v>
          </cell>
          <cell r="W1533" t="str">
            <v>MZ</v>
          </cell>
          <cell r="X1533" t="str">
            <v>JPY</v>
          </cell>
          <cell r="Y1533">
            <v>9000000</v>
          </cell>
          <cell r="Z1533">
            <v>1</v>
          </cell>
          <cell r="AA1533">
            <v>9000000</v>
          </cell>
          <cell r="AB1533">
            <v>7.2800000000000004E-2</v>
          </cell>
          <cell r="AC1533">
            <v>655200</v>
          </cell>
          <cell r="AD1533">
            <v>78624</v>
          </cell>
          <cell r="AE1533">
            <v>0.12</v>
          </cell>
          <cell r="AF1533">
            <v>44337</v>
          </cell>
          <cell r="AG1533" t="str">
            <v>DAP SZ</v>
          </cell>
          <cell r="AK1533">
            <v>0.1</v>
          </cell>
          <cell r="AL1533"/>
          <cell r="AM1533">
            <v>44342</v>
          </cell>
          <cell r="AN1533" t="str">
            <v>Yes</v>
          </cell>
          <cell r="AO1533">
            <v>0.9</v>
          </cell>
          <cell r="AP1533">
            <v>8100000</v>
          </cell>
          <cell r="AQ1533">
            <v>44649</v>
          </cell>
          <cell r="AR1533">
            <v>44649</v>
          </cell>
          <cell r="AS1533">
            <v>0</v>
          </cell>
          <cell r="AT1533">
            <v>0</v>
          </cell>
          <cell r="AX1533" t="str">
            <v>Yes</v>
          </cell>
          <cell r="AZ1533" t="str">
            <v>Y</v>
          </cell>
          <cell r="BA1533" t="str">
            <v>Yes</v>
          </cell>
        </row>
        <row r="1534">
          <cell r="B1534">
            <v>1384</v>
          </cell>
          <cell r="C1534" t="str">
            <v>C49SZX20220057DZ</v>
          </cell>
          <cell r="D1534" t="str">
            <v>广恒创新（enduser:深圳比尔乔）</v>
          </cell>
          <cell r="E1534" t="str">
            <v>YSM10</v>
          </cell>
          <cell r="I1534" t="str">
            <v>R-&gt;L</v>
          </cell>
          <cell r="J1534" t="str">
            <v>MVC</v>
          </cell>
          <cell r="K1534">
            <v>1</v>
          </cell>
          <cell r="N1534">
            <v>44377</v>
          </cell>
          <cell r="O1534">
            <v>11116624</v>
          </cell>
          <cell r="P1534">
            <v>6750000</v>
          </cell>
          <cell r="Q1534">
            <v>44393</v>
          </cell>
          <cell r="R1534" t="str">
            <v>Yes</v>
          </cell>
          <cell r="S1534" t="str">
            <v>C49</v>
          </cell>
          <cell r="T1534" t="str">
            <v>SOUTH</v>
          </cell>
          <cell r="U1534" t="str">
            <v>深圳</v>
          </cell>
          <cell r="V1534" t="str">
            <v>SZ 深圳</v>
          </cell>
          <cell r="W1534" t="str">
            <v>DZ</v>
          </cell>
          <cell r="X1534" t="str">
            <v>JPY</v>
          </cell>
          <cell r="Y1534">
            <v>6750000</v>
          </cell>
          <cell r="Z1534">
            <v>1</v>
          </cell>
          <cell r="AA1534">
            <v>6750000</v>
          </cell>
          <cell r="AB1534">
            <v>7.2800000000000004E-2</v>
          </cell>
          <cell r="AC1534">
            <v>491400</v>
          </cell>
          <cell r="AD1534">
            <v>58968</v>
          </cell>
          <cell r="AE1534">
            <v>0.12</v>
          </cell>
          <cell r="AF1534">
            <v>44340</v>
          </cell>
          <cell r="AG1534" t="str">
            <v>CIF HK</v>
          </cell>
          <cell r="AK1534">
            <v>0.05</v>
          </cell>
          <cell r="AL1534">
            <v>337500</v>
          </cell>
          <cell r="AM1534">
            <v>44370</v>
          </cell>
          <cell r="AN1534" t="str">
            <v>Yes</v>
          </cell>
          <cell r="AO1534">
            <v>0.95</v>
          </cell>
          <cell r="AP1534">
            <v>6412500</v>
          </cell>
          <cell r="AQ1534">
            <v>44376</v>
          </cell>
          <cell r="AR1534">
            <v>44376</v>
          </cell>
          <cell r="AS1534">
            <v>0</v>
          </cell>
          <cell r="AT1534">
            <v>0</v>
          </cell>
          <cell r="AX1534" t="str">
            <v>Yes</v>
          </cell>
          <cell r="AZ1534" t="str">
            <v>Y</v>
          </cell>
          <cell r="BA1534" t="str">
            <v>Yes</v>
          </cell>
        </row>
        <row r="1535">
          <cell r="B1535">
            <v>1385</v>
          </cell>
          <cell r="C1535" t="str">
            <v>C49SZX20220057DZ</v>
          </cell>
          <cell r="D1535" t="str">
            <v>广恒创新（enduser:深圳比尔乔）</v>
          </cell>
          <cell r="E1535" t="str">
            <v>YSM10</v>
          </cell>
          <cell r="I1535" t="str">
            <v>R-&gt;L</v>
          </cell>
          <cell r="J1535" t="str">
            <v>MVC</v>
          </cell>
          <cell r="K1535">
            <v>1</v>
          </cell>
          <cell r="N1535">
            <v>44377</v>
          </cell>
          <cell r="O1535">
            <v>11116624</v>
          </cell>
          <cell r="P1535">
            <v>6750000</v>
          </cell>
          <cell r="Q1535">
            <v>44393</v>
          </cell>
          <cell r="R1535" t="str">
            <v>Yes</v>
          </cell>
          <cell r="S1535" t="str">
            <v>C49</v>
          </cell>
          <cell r="T1535" t="str">
            <v>SOUTH</v>
          </cell>
          <cell r="U1535" t="str">
            <v>深圳</v>
          </cell>
          <cell r="V1535" t="str">
            <v>SZ 深圳</v>
          </cell>
          <cell r="W1535" t="str">
            <v>DZ</v>
          </cell>
          <cell r="X1535" t="str">
            <v>JPY</v>
          </cell>
          <cell r="Y1535">
            <v>6750000</v>
          </cell>
          <cell r="Z1535">
            <v>1</v>
          </cell>
          <cell r="AA1535">
            <v>6750000</v>
          </cell>
          <cell r="AB1535">
            <v>7.2800000000000004E-2</v>
          </cell>
          <cell r="AC1535">
            <v>491400</v>
          </cell>
          <cell r="AD1535">
            <v>58968</v>
          </cell>
          <cell r="AE1535">
            <v>0.12</v>
          </cell>
          <cell r="AF1535">
            <v>44340</v>
          </cell>
          <cell r="AG1535" t="str">
            <v>CIF HK</v>
          </cell>
          <cell r="AK1535">
            <v>0.05</v>
          </cell>
          <cell r="AL1535">
            <v>337500</v>
          </cell>
          <cell r="AM1535">
            <v>44370</v>
          </cell>
          <cell r="AN1535" t="str">
            <v>Yes</v>
          </cell>
          <cell r="AO1535">
            <v>0.95</v>
          </cell>
          <cell r="AP1535">
            <v>6412500</v>
          </cell>
          <cell r="AQ1535">
            <v>44376</v>
          </cell>
          <cell r="AR1535">
            <v>44376</v>
          </cell>
          <cell r="AS1535">
            <v>0</v>
          </cell>
          <cell r="AT1535">
            <v>0</v>
          </cell>
          <cell r="AX1535" t="str">
            <v>Yes</v>
          </cell>
          <cell r="AZ1535" t="str">
            <v>Y</v>
          </cell>
          <cell r="BA1535" t="str">
            <v>Yes</v>
          </cell>
        </row>
        <row r="1536">
          <cell r="B1536">
            <v>1386</v>
          </cell>
          <cell r="C1536" t="str">
            <v>C49SZX20220057DZ</v>
          </cell>
          <cell r="D1536" t="str">
            <v>广恒创新（enduser:深圳比尔乔）</v>
          </cell>
          <cell r="E1536" t="str">
            <v>YSM10</v>
          </cell>
          <cell r="I1536" t="str">
            <v>R-&gt;L</v>
          </cell>
          <cell r="J1536" t="str">
            <v>MVC</v>
          </cell>
          <cell r="K1536">
            <v>1</v>
          </cell>
          <cell r="N1536">
            <v>44377</v>
          </cell>
          <cell r="O1536">
            <v>11116624</v>
          </cell>
          <cell r="P1536">
            <v>6750000</v>
          </cell>
          <cell r="Q1536">
            <v>44393</v>
          </cell>
          <cell r="R1536" t="str">
            <v>Yes</v>
          </cell>
          <cell r="S1536" t="str">
            <v>C49</v>
          </cell>
          <cell r="T1536" t="str">
            <v>SOUTH</v>
          </cell>
          <cell r="U1536" t="str">
            <v>深圳</v>
          </cell>
          <cell r="V1536" t="str">
            <v>SZ 深圳</v>
          </cell>
          <cell r="W1536" t="str">
            <v>DZ</v>
          </cell>
          <cell r="X1536" t="str">
            <v>JPY</v>
          </cell>
          <cell r="Y1536">
            <v>6750000</v>
          </cell>
          <cell r="Z1536">
            <v>1</v>
          </cell>
          <cell r="AA1536">
            <v>6750000</v>
          </cell>
          <cell r="AB1536">
            <v>7.2800000000000004E-2</v>
          </cell>
          <cell r="AC1536">
            <v>491400</v>
          </cell>
          <cell r="AD1536">
            <v>58968</v>
          </cell>
          <cell r="AE1536">
            <v>0.12</v>
          </cell>
          <cell r="AF1536">
            <v>44340</v>
          </cell>
          <cell r="AG1536" t="str">
            <v>CIF HK</v>
          </cell>
          <cell r="AK1536">
            <v>0.05</v>
          </cell>
          <cell r="AL1536">
            <v>337500</v>
          </cell>
          <cell r="AM1536">
            <v>44370</v>
          </cell>
          <cell r="AN1536" t="str">
            <v>Yes</v>
          </cell>
          <cell r="AO1536">
            <v>0.95</v>
          </cell>
          <cell r="AP1536">
            <v>6412500</v>
          </cell>
          <cell r="AQ1536">
            <v>44376</v>
          </cell>
          <cell r="AR1536">
            <v>44376</v>
          </cell>
          <cell r="AS1536">
            <v>0</v>
          </cell>
          <cell r="AT1536">
            <v>0</v>
          </cell>
          <cell r="AX1536" t="str">
            <v>Yes</v>
          </cell>
          <cell r="AZ1536" t="str">
            <v>Y</v>
          </cell>
          <cell r="BA1536" t="str">
            <v>Yes</v>
          </cell>
        </row>
        <row r="1537">
          <cell r="B1537">
            <v>1387</v>
          </cell>
          <cell r="C1537" t="str">
            <v>C49SZX20220057DZ</v>
          </cell>
          <cell r="D1537" t="str">
            <v>广恒创新（enduser:深圳比尔乔）</v>
          </cell>
          <cell r="E1537" t="str">
            <v>YSM10</v>
          </cell>
          <cell r="I1537" t="str">
            <v>R-&gt;L</v>
          </cell>
          <cell r="J1537" t="str">
            <v>MVC</v>
          </cell>
          <cell r="K1537">
            <v>1</v>
          </cell>
          <cell r="N1537">
            <v>44712</v>
          </cell>
          <cell r="O1537">
            <v>11116764</v>
          </cell>
          <cell r="P1537">
            <v>6750000</v>
          </cell>
          <cell r="Q1537">
            <v>44712</v>
          </cell>
          <cell r="R1537" t="str">
            <v>Yes</v>
          </cell>
          <cell r="S1537" t="str">
            <v>C49</v>
          </cell>
          <cell r="T1537" t="str">
            <v>SOUTH</v>
          </cell>
          <cell r="U1537" t="str">
            <v>深圳</v>
          </cell>
          <cell r="V1537" t="str">
            <v>SZ 深圳</v>
          </cell>
          <cell r="W1537" t="str">
            <v>DZ</v>
          </cell>
          <cell r="X1537" t="str">
            <v>JPY</v>
          </cell>
          <cell r="Y1537">
            <v>6750000</v>
          </cell>
          <cell r="Z1537">
            <v>1</v>
          </cell>
          <cell r="AA1537">
            <v>6750000</v>
          </cell>
          <cell r="AB1537">
            <v>7.2800000000000004E-2</v>
          </cell>
          <cell r="AC1537">
            <v>491400</v>
          </cell>
          <cell r="AD1537">
            <v>58968</v>
          </cell>
          <cell r="AE1537">
            <v>0.12</v>
          </cell>
          <cell r="AF1537">
            <v>44340</v>
          </cell>
          <cell r="AG1537" t="str">
            <v>CIF HK</v>
          </cell>
          <cell r="AK1537">
            <v>0.05</v>
          </cell>
          <cell r="AL1537">
            <v>337500</v>
          </cell>
          <cell r="AM1537">
            <v>44370</v>
          </cell>
          <cell r="AN1537" t="str">
            <v>Yes</v>
          </cell>
          <cell r="AO1537">
            <v>0.95</v>
          </cell>
          <cell r="AP1537">
            <v>6412500</v>
          </cell>
          <cell r="AQ1537">
            <v>44708</v>
          </cell>
          <cell r="AR1537">
            <v>44708</v>
          </cell>
          <cell r="AS1537">
            <v>0</v>
          </cell>
          <cell r="AT1537">
            <v>0</v>
          </cell>
          <cell r="AX1537" t="str">
            <v>Yes</v>
          </cell>
          <cell r="AZ1537" t="str">
            <v>Y</v>
          </cell>
          <cell r="BA1537" t="str">
            <v>Yes</v>
          </cell>
        </row>
        <row r="1538">
          <cell r="B1538">
            <v>1388</v>
          </cell>
          <cell r="C1538" t="str">
            <v>C49SZX20220057DZ</v>
          </cell>
          <cell r="D1538" t="str">
            <v>广恒创新（enduser:深圳比尔乔）</v>
          </cell>
          <cell r="E1538" t="str">
            <v>YSM10</v>
          </cell>
          <cell r="I1538" t="str">
            <v>R-&gt;L</v>
          </cell>
          <cell r="J1538" t="str">
            <v>MVC</v>
          </cell>
          <cell r="K1538">
            <v>1</v>
          </cell>
          <cell r="N1538">
            <v>44712</v>
          </cell>
          <cell r="O1538">
            <v>11116764</v>
          </cell>
          <cell r="P1538">
            <v>6750000</v>
          </cell>
          <cell r="Q1538">
            <v>44712</v>
          </cell>
          <cell r="R1538" t="str">
            <v>Yes</v>
          </cell>
          <cell r="S1538" t="str">
            <v>C49</v>
          </cell>
          <cell r="T1538" t="str">
            <v>SOUTH</v>
          </cell>
          <cell r="U1538" t="str">
            <v>深圳</v>
          </cell>
          <cell r="V1538" t="str">
            <v>SZ 深圳</v>
          </cell>
          <cell r="W1538" t="str">
            <v>DZ</v>
          </cell>
          <cell r="X1538" t="str">
            <v>JPY</v>
          </cell>
          <cell r="Y1538">
            <v>6750000</v>
          </cell>
          <cell r="Z1538">
            <v>1</v>
          </cell>
          <cell r="AA1538">
            <v>6750000</v>
          </cell>
          <cell r="AB1538">
            <v>7.2800000000000004E-2</v>
          </cell>
          <cell r="AC1538">
            <v>491400</v>
          </cell>
          <cell r="AD1538">
            <v>58968</v>
          </cell>
          <cell r="AE1538">
            <v>0.12</v>
          </cell>
          <cell r="AF1538">
            <v>44340</v>
          </cell>
          <cell r="AG1538" t="str">
            <v>CIF HK</v>
          </cell>
          <cell r="AK1538">
            <v>0.05</v>
          </cell>
          <cell r="AL1538">
            <v>337500</v>
          </cell>
          <cell r="AM1538">
            <v>44370</v>
          </cell>
          <cell r="AN1538" t="str">
            <v>Yes</v>
          </cell>
          <cell r="AO1538">
            <v>0.95</v>
          </cell>
          <cell r="AP1538">
            <v>6412500</v>
          </cell>
          <cell r="AQ1538">
            <v>44708</v>
          </cell>
          <cell r="AR1538">
            <v>44708</v>
          </cell>
          <cell r="AS1538">
            <v>0</v>
          </cell>
          <cell r="AT1538">
            <v>0</v>
          </cell>
          <cell r="AX1538" t="str">
            <v>Yes</v>
          </cell>
          <cell r="AZ1538" t="str">
            <v>Y</v>
          </cell>
          <cell r="BA1538" t="str">
            <v>Yes</v>
          </cell>
        </row>
        <row r="1539">
          <cell r="B1539">
            <v>1389</v>
          </cell>
          <cell r="C1539" t="str">
            <v>C49SZX20210142DZ</v>
          </cell>
          <cell r="D1539" t="str">
            <v>广恒创新（enduser:深圳比尔乔）</v>
          </cell>
          <cell r="E1539" t="str">
            <v>YSM10</v>
          </cell>
          <cell r="F1539"/>
          <cell r="H1539"/>
          <cell r="I1539" t="str">
            <v>R-&gt;L</v>
          </cell>
          <cell r="J1539" t="str">
            <v>MVC</v>
          </cell>
          <cell r="K1539">
            <v>1</v>
          </cell>
          <cell r="L1539"/>
          <cell r="N1539"/>
          <cell r="O1539"/>
          <cell r="P1539"/>
          <cell r="Q1539"/>
          <cell r="R1539" t="str">
            <v>Yes</v>
          </cell>
          <cell r="S1539" t="str">
            <v>C49</v>
          </cell>
          <cell r="T1539" t="str">
            <v>SOUTH</v>
          </cell>
          <cell r="U1539" t="str">
            <v>深圳</v>
          </cell>
          <cell r="V1539" t="str">
            <v>SZ 深圳</v>
          </cell>
          <cell r="W1539" t="str">
            <v>DZ</v>
          </cell>
          <cell r="X1539" t="str">
            <v>JPY</v>
          </cell>
          <cell r="Y1539">
            <v>6750000</v>
          </cell>
          <cell r="Z1539">
            <v>1</v>
          </cell>
          <cell r="AA1539">
            <v>6750000</v>
          </cell>
          <cell r="AB1539">
            <v>7.2800000000000004E-2</v>
          </cell>
          <cell r="AC1539">
            <v>491400</v>
          </cell>
          <cell r="AD1539">
            <v>58968</v>
          </cell>
          <cell r="AE1539">
            <v>0.12</v>
          </cell>
          <cell r="AF1539">
            <v>44340</v>
          </cell>
          <cell r="AG1539" t="str">
            <v>CIF HK</v>
          </cell>
          <cell r="AI1539"/>
          <cell r="AJ1539"/>
          <cell r="AK1539">
            <v>0.05</v>
          </cell>
          <cell r="AL1539">
            <v>337500</v>
          </cell>
          <cell r="AM1539">
            <v>44370</v>
          </cell>
          <cell r="AN1539" t="str">
            <v>Yes</v>
          </cell>
          <cell r="AO1539">
            <v>0.95</v>
          </cell>
          <cell r="AP1539">
            <v>6412500</v>
          </cell>
          <cell r="AQ1539"/>
          <cell r="AR1539"/>
          <cell r="AS1539">
            <v>0</v>
          </cell>
          <cell r="AT1539">
            <v>0</v>
          </cell>
          <cell r="AV1539"/>
          <cell r="AX1539"/>
          <cell r="AY1539"/>
          <cell r="AZ1539"/>
          <cell r="BA1539"/>
          <cell r="BB1539" t="str">
            <v>修改合同，数量改为5台（新合同C49SZX20220057DZ）</v>
          </cell>
        </row>
        <row r="1540">
          <cell r="B1540">
            <v>1390</v>
          </cell>
          <cell r="C1540" t="str">
            <v>C49SZX20210142DZ</v>
          </cell>
          <cell r="D1540" t="str">
            <v>广恒创新（enduser:深圳比尔乔）</v>
          </cell>
          <cell r="E1540" t="str">
            <v>YSM10</v>
          </cell>
          <cell r="F1540"/>
          <cell r="H1540"/>
          <cell r="I1540" t="str">
            <v>R-&gt;L</v>
          </cell>
          <cell r="J1540" t="str">
            <v>MVC</v>
          </cell>
          <cell r="K1540">
            <v>1</v>
          </cell>
          <cell r="L1540"/>
          <cell r="N1540"/>
          <cell r="O1540"/>
          <cell r="P1540"/>
          <cell r="Q1540"/>
          <cell r="R1540" t="str">
            <v>Yes</v>
          </cell>
          <cell r="S1540" t="str">
            <v>C49</v>
          </cell>
          <cell r="T1540" t="str">
            <v>SOUTH</v>
          </cell>
          <cell r="U1540" t="str">
            <v>深圳</v>
          </cell>
          <cell r="V1540" t="str">
            <v>SZ 深圳</v>
          </cell>
          <cell r="W1540" t="str">
            <v>DZ</v>
          </cell>
          <cell r="X1540" t="str">
            <v>JPY</v>
          </cell>
          <cell r="Y1540">
            <v>6750000</v>
          </cell>
          <cell r="Z1540">
            <v>1</v>
          </cell>
          <cell r="AA1540">
            <v>6750000</v>
          </cell>
          <cell r="AB1540">
            <v>7.2800000000000004E-2</v>
          </cell>
          <cell r="AC1540">
            <v>491400</v>
          </cell>
          <cell r="AD1540">
            <v>58968</v>
          </cell>
          <cell r="AE1540">
            <v>0.12</v>
          </cell>
          <cell r="AF1540">
            <v>44340</v>
          </cell>
          <cell r="AG1540" t="str">
            <v>CIF HK</v>
          </cell>
          <cell r="AI1540"/>
          <cell r="AJ1540"/>
          <cell r="AK1540">
            <v>0.05</v>
          </cell>
          <cell r="AL1540">
            <v>337500</v>
          </cell>
          <cell r="AM1540">
            <v>44370</v>
          </cell>
          <cell r="AN1540" t="str">
            <v>Yes</v>
          </cell>
          <cell r="AO1540">
            <v>0.95</v>
          </cell>
          <cell r="AP1540">
            <v>6412500</v>
          </cell>
          <cell r="AQ1540"/>
          <cell r="AR1540"/>
          <cell r="AS1540">
            <v>0</v>
          </cell>
          <cell r="AT1540">
            <v>0</v>
          </cell>
          <cell r="AV1540"/>
          <cell r="AX1540"/>
          <cell r="AY1540"/>
          <cell r="AZ1540"/>
          <cell r="BA1540"/>
          <cell r="BB1540" t="str">
            <v>修改合同，数量改为5台（新合同C49SZX20220057DZ）</v>
          </cell>
        </row>
        <row r="1541">
          <cell r="B1541">
            <v>1391</v>
          </cell>
          <cell r="C1541" t="str">
            <v>C49SZX20210142DZ</v>
          </cell>
          <cell r="D1541" t="str">
            <v>广恒创新（enduser:深圳比尔乔）</v>
          </cell>
          <cell r="E1541" t="str">
            <v>YSM10</v>
          </cell>
          <cell r="F1541"/>
          <cell r="H1541"/>
          <cell r="I1541" t="str">
            <v>R-&gt;L</v>
          </cell>
          <cell r="J1541" t="str">
            <v>MVC</v>
          </cell>
          <cell r="K1541">
            <v>1</v>
          </cell>
          <cell r="L1541"/>
          <cell r="N1541"/>
          <cell r="O1541"/>
          <cell r="P1541"/>
          <cell r="Q1541"/>
          <cell r="R1541" t="str">
            <v>Yes</v>
          </cell>
          <cell r="S1541" t="str">
            <v>C49</v>
          </cell>
          <cell r="T1541" t="str">
            <v>SOUTH</v>
          </cell>
          <cell r="U1541" t="str">
            <v>深圳</v>
          </cell>
          <cell r="V1541" t="str">
            <v>SZ 深圳</v>
          </cell>
          <cell r="W1541" t="str">
            <v>DZ</v>
          </cell>
          <cell r="X1541" t="str">
            <v>JPY</v>
          </cell>
          <cell r="Y1541">
            <v>6750000</v>
          </cell>
          <cell r="Z1541">
            <v>1</v>
          </cell>
          <cell r="AA1541">
            <v>6750000</v>
          </cell>
          <cell r="AB1541">
            <v>7.2800000000000004E-2</v>
          </cell>
          <cell r="AC1541">
            <v>491400</v>
          </cell>
          <cell r="AD1541">
            <v>58968</v>
          </cell>
          <cell r="AE1541">
            <v>0.12</v>
          </cell>
          <cell r="AF1541">
            <v>44340</v>
          </cell>
          <cell r="AG1541" t="str">
            <v>CIF HK</v>
          </cell>
          <cell r="AI1541"/>
          <cell r="AJ1541"/>
          <cell r="AK1541">
            <v>0.05</v>
          </cell>
          <cell r="AL1541">
            <v>337500</v>
          </cell>
          <cell r="AM1541">
            <v>44370</v>
          </cell>
          <cell r="AN1541" t="str">
            <v>Yes</v>
          </cell>
          <cell r="AO1541">
            <v>0.95</v>
          </cell>
          <cell r="AP1541">
            <v>6412500</v>
          </cell>
          <cell r="AQ1541"/>
          <cell r="AR1541"/>
          <cell r="AS1541">
            <v>0</v>
          </cell>
          <cell r="AT1541">
            <v>0</v>
          </cell>
          <cell r="AV1541"/>
          <cell r="AX1541"/>
          <cell r="AY1541"/>
          <cell r="AZ1541"/>
          <cell r="BA1541"/>
          <cell r="BB1541" t="str">
            <v>修改合同，数量改为5台（新合同C49SZX20220057DZ）</v>
          </cell>
        </row>
        <row r="1542">
          <cell r="B1542">
            <v>1392</v>
          </cell>
          <cell r="C1542" t="str">
            <v>C49SZX20210142DZ</v>
          </cell>
          <cell r="D1542" t="str">
            <v>广恒创新（enduser:深圳比尔乔）</v>
          </cell>
          <cell r="E1542" t="str">
            <v>YSM10</v>
          </cell>
          <cell r="F1542"/>
          <cell r="H1542"/>
          <cell r="I1542" t="str">
            <v>R-&gt;L</v>
          </cell>
          <cell r="J1542" t="str">
            <v>MVC</v>
          </cell>
          <cell r="K1542">
            <v>1</v>
          </cell>
          <cell r="L1542"/>
          <cell r="N1542"/>
          <cell r="O1542"/>
          <cell r="P1542"/>
          <cell r="Q1542"/>
          <cell r="R1542" t="str">
            <v>Yes</v>
          </cell>
          <cell r="S1542" t="str">
            <v>C49</v>
          </cell>
          <cell r="T1542" t="str">
            <v>SOUTH</v>
          </cell>
          <cell r="U1542" t="str">
            <v>深圳</v>
          </cell>
          <cell r="V1542" t="str">
            <v>SZ 深圳</v>
          </cell>
          <cell r="W1542" t="str">
            <v>DZ</v>
          </cell>
          <cell r="X1542" t="str">
            <v>JPY</v>
          </cell>
          <cell r="Y1542">
            <v>6750000</v>
          </cell>
          <cell r="Z1542">
            <v>1</v>
          </cell>
          <cell r="AA1542">
            <v>6750000</v>
          </cell>
          <cell r="AB1542">
            <v>7.2800000000000004E-2</v>
          </cell>
          <cell r="AC1542">
            <v>491400</v>
          </cell>
          <cell r="AD1542">
            <v>58968</v>
          </cell>
          <cell r="AE1542">
            <v>0.12</v>
          </cell>
          <cell r="AF1542">
            <v>44340</v>
          </cell>
          <cell r="AG1542" t="str">
            <v>CIF HK</v>
          </cell>
          <cell r="AI1542"/>
          <cell r="AJ1542"/>
          <cell r="AK1542">
            <v>0.05</v>
          </cell>
          <cell r="AL1542">
            <v>337500</v>
          </cell>
          <cell r="AM1542">
            <v>44370</v>
          </cell>
          <cell r="AN1542" t="str">
            <v>Yes</v>
          </cell>
          <cell r="AO1542">
            <v>0.95</v>
          </cell>
          <cell r="AP1542">
            <v>6412500</v>
          </cell>
          <cell r="AQ1542"/>
          <cell r="AR1542"/>
          <cell r="AS1542">
            <v>0</v>
          </cell>
          <cell r="AT1542">
            <v>0</v>
          </cell>
          <cell r="AV1542"/>
          <cell r="AX1542"/>
          <cell r="AY1542"/>
          <cell r="AZ1542"/>
          <cell r="BA1542"/>
          <cell r="BB1542" t="str">
            <v>修改合同，数量改为5台（新合同C49SZX20220057DZ）</v>
          </cell>
        </row>
        <row r="1543">
          <cell r="B1543">
            <v>1393</v>
          </cell>
          <cell r="C1543" t="str">
            <v>C49SZX20210142DZ</v>
          </cell>
          <cell r="D1543" t="str">
            <v>广恒创新（enduser:深圳比尔乔）</v>
          </cell>
          <cell r="E1543" t="str">
            <v>YSM10</v>
          </cell>
          <cell r="F1543"/>
          <cell r="H1543"/>
          <cell r="I1543" t="str">
            <v>R-&gt;L</v>
          </cell>
          <cell r="J1543" t="str">
            <v>MVC</v>
          </cell>
          <cell r="K1543">
            <v>1</v>
          </cell>
          <cell r="L1543"/>
          <cell r="N1543"/>
          <cell r="O1543"/>
          <cell r="P1543"/>
          <cell r="Q1543"/>
          <cell r="R1543" t="str">
            <v>Yes</v>
          </cell>
          <cell r="S1543" t="str">
            <v>C49</v>
          </cell>
          <cell r="T1543" t="str">
            <v>SOUTH</v>
          </cell>
          <cell r="U1543" t="str">
            <v>深圳</v>
          </cell>
          <cell r="V1543" t="str">
            <v>SZ 深圳</v>
          </cell>
          <cell r="W1543" t="str">
            <v>DZ</v>
          </cell>
          <cell r="X1543" t="str">
            <v>JPY</v>
          </cell>
          <cell r="Y1543">
            <v>6750000</v>
          </cell>
          <cell r="Z1543">
            <v>1</v>
          </cell>
          <cell r="AA1543">
            <v>6750000</v>
          </cell>
          <cell r="AB1543">
            <v>7.2800000000000004E-2</v>
          </cell>
          <cell r="AC1543">
            <v>491400</v>
          </cell>
          <cell r="AD1543">
            <v>58968</v>
          </cell>
          <cell r="AE1543">
            <v>0.12</v>
          </cell>
          <cell r="AF1543">
            <v>44340</v>
          </cell>
          <cell r="AG1543" t="str">
            <v>CIF HK</v>
          </cell>
          <cell r="AI1543"/>
          <cell r="AJ1543"/>
          <cell r="AK1543">
            <v>0.05</v>
          </cell>
          <cell r="AL1543">
            <v>337500</v>
          </cell>
          <cell r="AM1543">
            <v>44370</v>
          </cell>
          <cell r="AN1543" t="str">
            <v>Yes</v>
          </cell>
          <cell r="AO1543">
            <v>0.95</v>
          </cell>
          <cell r="AP1543">
            <v>6412500</v>
          </cell>
          <cell r="AQ1543"/>
          <cell r="AR1543"/>
          <cell r="AS1543">
            <v>0</v>
          </cell>
          <cell r="AT1543">
            <v>0</v>
          </cell>
          <cell r="AV1543"/>
          <cell r="AX1543"/>
          <cell r="AY1543"/>
          <cell r="AZ1543"/>
          <cell r="BA1543"/>
          <cell r="BB1543" t="str">
            <v>修改合同，数量改为5台（新合同C49SZX20220057DZ）</v>
          </cell>
        </row>
        <row r="1544">
          <cell r="B1544">
            <v>1394</v>
          </cell>
          <cell r="C1544" t="str">
            <v>C49SZX20210143DZ</v>
          </cell>
          <cell r="D1544" t="str">
            <v>方案集</v>
          </cell>
          <cell r="E1544" t="str">
            <v>YSM10</v>
          </cell>
          <cell r="I1544" t="str">
            <v>R-&gt;L</v>
          </cell>
          <cell r="J1544" t="str">
            <v>MVC+ATS15</v>
          </cell>
          <cell r="K1544">
            <v>1</v>
          </cell>
          <cell r="N1544">
            <v>44572</v>
          </cell>
          <cell r="O1544">
            <v>11116692</v>
          </cell>
          <cell r="P1544">
            <v>11730000</v>
          </cell>
          <cell r="Q1544">
            <v>44571</v>
          </cell>
          <cell r="R1544" t="str">
            <v>No</v>
          </cell>
          <cell r="S1544" t="str">
            <v>C49</v>
          </cell>
          <cell r="T1544" t="str">
            <v>SOUTH</v>
          </cell>
          <cell r="U1544" t="str">
            <v>深圳</v>
          </cell>
          <cell r="V1544" t="str">
            <v>SZ 深圳</v>
          </cell>
          <cell r="W1544" t="str">
            <v>DZ</v>
          </cell>
          <cell r="X1544" t="str">
            <v>JPY</v>
          </cell>
          <cell r="Y1544">
            <v>11730000</v>
          </cell>
          <cell r="Z1544">
            <v>1</v>
          </cell>
          <cell r="AA1544">
            <v>11730000</v>
          </cell>
          <cell r="AB1544">
            <v>7.2800000000000004E-2</v>
          </cell>
          <cell r="AC1544">
            <v>853944</v>
          </cell>
          <cell r="AD1544">
            <v>102473.28</v>
          </cell>
          <cell r="AE1544">
            <v>0.12</v>
          </cell>
          <cell r="AF1544">
            <v>44341</v>
          </cell>
          <cell r="AG1544" t="str">
            <v>CIF HK</v>
          </cell>
          <cell r="AK1544">
            <v>0.1</v>
          </cell>
          <cell r="AL1544">
            <v>1173000</v>
          </cell>
          <cell r="AM1544">
            <v>44348</v>
          </cell>
          <cell r="AN1544" t="str">
            <v>Yes</v>
          </cell>
          <cell r="AO1544">
            <v>0.9</v>
          </cell>
          <cell r="AP1544">
            <v>10557000</v>
          </cell>
          <cell r="AQ1544">
            <v>44571</v>
          </cell>
          <cell r="AR1544">
            <v>44571</v>
          </cell>
          <cell r="AS1544">
            <v>0</v>
          </cell>
          <cell r="AT1544">
            <v>0</v>
          </cell>
          <cell r="AX1544" t="str">
            <v>Yes</v>
          </cell>
          <cell r="AZ1544" t="str">
            <v>Y</v>
          </cell>
          <cell r="BA1544" t="str">
            <v>Yes</v>
          </cell>
        </row>
        <row r="1545">
          <cell r="B1545">
            <v>1395</v>
          </cell>
          <cell r="C1545" t="str">
            <v>C28SZX2021027KC</v>
          </cell>
          <cell r="D1545" t="str">
            <v>海星</v>
          </cell>
          <cell r="E1545" t="str">
            <v>Heller 1936MK5</v>
          </cell>
          <cell r="I1545" t="str">
            <v>R-&gt;L</v>
          </cell>
          <cell r="J1545" t="str">
            <v>No</v>
          </cell>
          <cell r="K1545">
            <v>1</v>
          </cell>
          <cell r="L1545" t="str">
            <v>28P101388</v>
          </cell>
          <cell r="N1545">
            <v>44400</v>
          </cell>
          <cell r="O1545">
            <v>11100492</v>
          </cell>
          <cell r="P1545">
            <v>472375</v>
          </cell>
          <cell r="Q1545">
            <v>44405</v>
          </cell>
          <cell r="R1545" t="str">
            <v>No</v>
          </cell>
          <cell r="S1545" t="str">
            <v>C28</v>
          </cell>
          <cell r="T1545" t="str">
            <v>SOUTH</v>
          </cell>
          <cell r="U1545" t="str">
            <v>深圳</v>
          </cell>
          <cell r="V1545" t="str">
            <v>SZ 深圳</v>
          </cell>
          <cell r="W1545" t="str">
            <v>KC</v>
          </cell>
          <cell r="X1545" t="str">
            <v>RMB</v>
          </cell>
          <cell r="Y1545">
            <v>472375</v>
          </cell>
          <cell r="Z1545">
            <v>1.1299999999999999</v>
          </cell>
          <cell r="AA1545">
            <v>472375</v>
          </cell>
          <cell r="AB1545">
            <v>1.1950000000000001</v>
          </cell>
          <cell r="AC1545">
            <v>499547.01327433635</v>
          </cell>
          <cell r="AD1545">
            <v>59945.641592920358</v>
          </cell>
          <cell r="AE1545">
            <v>0.12</v>
          </cell>
          <cell r="AF1545">
            <v>44334</v>
          </cell>
          <cell r="AG1545" t="str">
            <v>含税到厂</v>
          </cell>
          <cell r="AK1545">
            <v>0.3</v>
          </cell>
          <cell r="AL1545">
            <v>141712.5</v>
          </cell>
          <cell r="AM1545">
            <v>44335</v>
          </cell>
          <cell r="AN1545" t="str">
            <v>Yes</v>
          </cell>
          <cell r="AO1545">
            <v>0.7</v>
          </cell>
          <cell r="AP1545">
            <v>330662.5</v>
          </cell>
          <cell r="AQ1545">
            <v>44397</v>
          </cell>
          <cell r="AR1545">
            <v>44397</v>
          </cell>
          <cell r="AS1545">
            <v>0</v>
          </cell>
          <cell r="AT1545">
            <v>0</v>
          </cell>
        </row>
        <row r="1546">
          <cell r="B1546">
            <v>1396</v>
          </cell>
          <cell r="C1546" t="str">
            <v>C28HKG2021021KC</v>
          </cell>
          <cell r="D1546" t="str">
            <v>嘉裕</v>
          </cell>
          <cell r="E1546" t="str">
            <v>Rifu CM350</v>
          </cell>
          <cell r="I1546" t="str">
            <v>L-&gt;R</v>
          </cell>
          <cell r="J1546" t="str">
            <v>No</v>
          </cell>
          <cell r="K1546">
            <v>1</v>
          </cell>
          <cell r="L1546" t="str">
            <v>28P101397</v>
          </cell>
          <cell r="N1546">
            <v>44399</v>
          </cell>
          <cell r="O1546">
            <v>11116634</v>
          </cell>
          <cell r="P1546">
            <v>298000</v>
          </cell>
          <cell r="Q1546">
            <v>44413</v>
          </cell>
          <cell r="R1546" t="str">
            <v>No</v>
          </cell>
          <cell r="S1546" t="str">
            <v>C28</v>
          </cell>
          <cell r="T1546" t="str">
            <v>SOUTH</v>
          </cell>
          <cell r="U1546" t="str">
            <v>深圳</v>
          </cell>
          <cell r="V1546" t="str">
            <v>SZ 深圳</v>
          </cell>
          <cell r="W1546" t="str">
            <v>KC</v>
          </cell>
          <cell r="X1546" t="str">
            <v>HKD</v>
          </cell>
          <cell r="Y1546">
            <v>298000</v>
          </cell>
          <cell r="Z1546">
            <v>1</v>
          </cell>
          <cell r="AA1546">
            <v>298000</v>
          </cell>
          <cell r="AB1546">
            <v>1</v>
          </cell>
          <cell r="AC1546">
            <v>298000</v>
          </cell>
          <cell r="AD1546">
            <v>35760</v>
          </cell>
          <cell r="AE1546">
            <v>0.12</v>
          </cell>
          <cell r="AF1546">
            <v>44334</v>
          </cell>
          <cell r="AG1546" t="str">
            <v>CIF HK</v>
          </cell>
          <cell r="AK1546">
            <v>0.3</v>
          </cell>
          <cell r="AL1546">
            <v>89400</v>
          </cell>
          <cell r="AM1546">
            <v>44338</v>
          </cell>
          <cell r="AN1546" t="str">
            <v>Yes</v>
          </cell>
          <cell r="AO1546">
            <v>0.7</v>
          </cell>
          <cell r="AP1546">
            <v>208600</v>
          </cell>
          <cell r="AQ1546">
            <v>44389</v>
          </cell>
          <cell r="AR1546">
            <v>44389</v>
          </cell>
          <cell r="AS1546">
            <v>0</v>
          </cell>
          <cell r="AT1546">
            <v>0</v>
          </cell>
        </row>
        <row r="1547">
          <cell r="B1547">
            <v>1397</v>
          </cell>
          <cell r="C1547" t="str">
            <v>C49SZX20210158SS</v>
          </cell>
          <cell r="D1547" t="str">
            <v>弛瑞</v>
          </cell>
          <cell r="E1547" t="str">
            <v>YSM20R-2</v>
          </cell>
          <cell r="I1547" t="str">
            <v>L-&gt;R</v>
          </cell>
          <cell r="J1547" t="str">
            <v>MVC</v>
          </cell>
          <cell r="K1547">
            <v>1</v>
          </cell>
          <cell r="N1547">
            <v>44512</v>
          </cell>
          <cell r="O1547">
            <v>11116663</v>
          </cell>
          <cell r="P1547">
            <v>14800000</v>
          </cell>
          <cell r="Q1547">
            <v>44519</v>
          </cell>
          <cell r="R1547" t="str">
            <v>No</v>
          </cell>
          <cell r="S1547" t="str">
            <v>C49</v>
          </cell>
          <cell r="T1547" t="str">
            <v>SOUTH</v>
          </cell>
          <cell r="U1547" t="str">
            <v>深圳</v>
          </cell>
          <cell r="V1547" t="str">
            <v>SZ 深圳</v>
          </cell>
          <cell r="W1547" t="str">
            <v>SS</v>
          </cell>
          <cell r="X1547" t="str">
            <v>JPY</v>
          </cell>
          <cell r="Y1547">
            <v>14800000</v>
          </cell>
          <cell r="Z1547">
            <v>1</v>
          </cell>
          <cell r="AA1547">
            <v>14800000</v>
          </cell>
          <cell r="AB1547">
            <v>7.2800000000000004E-2</v>
          </cell>
          <cell r="AC1547">
            <v>1077440</v>
          </cell>
          <cell r="AD1547">
            <v>129292.79999999999</v>
          </cell>
          <cell r="AE1547">
            <v>0.12</v>
          </cell>
          <cell r="AF1547">
            <v>44344</v>
          </cell>
          <cell r="AG1547" t="str">
            <v>DAP SZ</v>
          </cell>
          <cell r="AI1547">
            <v>20000</v>
          </cell>
          <cell r="AJ1547">
            <v>44355</v>
          </cell>
          <cell r="AK1547">
            <v>0.1</v>
          </cell>
          <cell r="AL1547">
            <v>1480000</v>
          </cell>
          <cell r="AM1547">
            <v>44509</v>
          </cell>
          <cell r="AN1547" t="str">
            <v>Yes</v>
          </cell>
          <cell r="AO1547">
            <v>0.9</v>
          </cell>
          <cell r="AP1547">
            <v>13320000</v>
          </cell>
          <cell r="AQ1547">
            <v>44509</v>
          </cell>
          <cell r="AR1547">
            <v>44509</v>
          </cell>
          <cell r="AS1547">
            <v>0</v>
          </cell>
          <cell r="AT1547">
            <v>0</v>
          </cell>
          <cell r="AX1547" t="str">
            <v>Yes</v>
          </cell>
          <cell r="AZ1547" t="str">
            <v>Y</v>
          </cell>
          <cell r="BA1547" t="str">
            <v>Yes</v>
          </cell>
        </row>
        <row r="1548">
          <cell r="B1548">
            <v>1398</v>
          </cell>
          <cell r="C1548" t="str">
            <v>C49SZX20210144VG</v>
          </cell>
          <cell r="D1548" t="str">
            <v>鑫华锋</v>
          </cell>
          <cell r="E1548" t="str">
            <v>YSM20R-2</v>
          </cell>
          <cell r="I1548" t="str">
            <v>L-&gt;R</v>
          </cell>
          <cell r="J1548" t="str">
            <v>No</v>
          </cell>
          <cell r="K1548">
            <v>1</v>
          </cell>
          <cell r="N1548">
            <v>44407</v>
          </cell>
          <cell r="O1548">
            <v>11116632</v>
          </cell>
          <cell r="P1548">
            <v>17150000</v>
          </cell>
          <cell r="Q1548">
            <v>44406</v>
          </cell>
          <cell r="R1548" t="str">
            <v>Yes</v>
          </cell>
          <cell r="S1548" t="str">
            <v>C49</v>
          </cell>
          <cell r="T1548" t="str">
            <v>SOUTH</v>
          </cell>
          <cell r="U1548" t="str">
            <v>深圳</v>
          </cell>
          <cell r="V1548" t="str">
            <v>SZ 深圳</v>
          </cell>
          <cell r="W1548" t="str">
            <v>VC</v>
          </cell>
          <cell r="X1548" t="str">
            <v>JPY</v>
          </cell>
          <cell r="Y1548">
            <v>17150000</v>
          </cell>
          <cell r="Z1548">
            <v>1</v>
          </cell>
          <cell r="AA1548">
            <v>17150000</v>
          </cell>
          <cell r="AB1548">
            <v>7.2800000000000004E-2</v>
          </cell>
          <cell r="AC1548">
            <v>1248520</v>
          </cell>
          <cell r="AD1548">
            <v>149822.39999999999</v>
          </cell>
          <cell r="AE1548">
            <v>0.12</v>
          </cell>
          <cell r="AF1548">
            <v>44344</v>
          </cell>
          <cell r="AG1548" t="str">
            <v>DAP SZ</v>
          </cell>
          <cell r="AK1548">
            <v>0.1</v>
          </cell>
          <cell r="AL1548">
            <v>1715000</v>
          </cell>
          <cell r="AM1548">
            <v>44350</v>
          </cell>
          <cell r="AN1548" t="str">
            <v>Yes</v>
          </cell>
          <cell r="AO1548">
            <v>0.9</v>
          </cell>
          <cell r="AP1548">
            <v>15435000</v>
          </cell>
          <cell r="AQ1548">
            <v>44405</v>
          </cell>
          <cell r="AR1548">
            <v>44405</v>
          </cell>
          <cell r="AS1548">
            <v>0</v>
          </cell>
          <cell r="AT1548">
            <v>0</v>
          </cell>
          <cell r="AX1548" t="str">
            <v>Yes</v>
          </cell>
          <cell r="AZ1548" t="str">
            <v>Y</v>
          </cell>
          <cell r="BA1548" t="str">
            <v>Yes</v>
          </cell>
        </row>
        <row r="1549">
          <cell r="B1549">
            <v>1399</v>
          </cell>
          <cell r="C1549" t="str">
            <v>C49SZX20210144VG</v>
          </cell>
          <cell r="D1549" t="str">
            <v>鑫华锋</v>
          </cell>
          <cell r="E1549" t="str">
            <v>YSM10</v>
          </cell>
          <cell r="I1549" t="str">
            <v>L-&gt;R</v>
          </cell>
          <cell r="J1549" t="str">
            <v>MVC+ATS15</v>
          </cell>
          <cell r="K1549">
            <v>1</v>
          </cell>
          <cell r="N1549">
            <v>44407</v>
          </cell>
          <cell r="O1549">
            <v>11116632</v>
          </cell>
          <cell r="P1549">
            <v>9500000</v>
          </cell>
          <cell r="Q1549">
            <v>44406</v>
          </cell>
          <cell r="R1549" t="str">
            <v>Yes</v>
          </cell>
          <cell r="S1549" t="str">
            <v>C49</v>
          </cell>
          <cell r="T1549" t="str">
            <v>SOUTH</v>
          </cell>
          <cell r="U1549" t="str">
            <v>深圳</v>
          </cell>
          <cell r="V1549" t="str">
            <v>SZ 深圳</v>
          </cell>
          <cell r="W1549" t="str">
            <v>VC</v>
          </cell>
          <cell r="X1549" t="str">
            <v>JPY</v>
          </cell>
          <cell r="Y1549">
            <v>9500000</v>
          </cell>
          <cell r="Z1549">
            <v>1</v>
          </cell>
          <cell r="AA1549">
            <v>9500000</v>
          </cell>
          <cell r="AB1549">
            <v>7.2800000000000004E-2</v>
          </cell>
          <cell r="AC1549">
            <v>691600</v>
          </cell>
          <cell r="AD1549">
            <v>82992</v>
          </cell>
          <cell r="AE1549">
            <v>0.12</v>
          </cell>
          <cell r="AF1549">
            <v>44344</v>
          </cell>
          <cell r="AG1549" t="str">
            <v>DAP SZ</v>
          </cell>
          <cell r="AK1549">
            <v>0.1</v>
          </cell>
          <cell r="AL1549">
            <v>950000</v>
          </cell>
          <cell r="AM1549">
            <v>44350</v>
          </cell>
          <cell r="AN1549" t="str">
            <v>Yes</v>
          </cell>
          <cell r="AO1549">
            <v>0.9</v>
          </cell>
          <cell r="AP1549">
            <v>8550000</v>
          </cell>
          <cell r="AQ1549">
            <v>44405</v>
          </cell>
          <cell r="AR1549">
            <v>44405</v>
          </cell>
          <cell r="AS1549">
            <v>0</v>
          </cell>
          <cell r="AT1549">
            <v>0</v>
          </cell>
          <cell r="AX1549" t="str">
            <v>Yes</v>
          </cell>
          <cell r="AZ1549" t="str">
            <v>Y</v>
          </cell>
          <cell r="BA1549" t="str">
            <v>Yes</v>
          </cell>
        </row>
        <row r="1550">
          <cell r="B1550">
            <v>1400</v>
          </cell>
          <cell r="C1550" t="str">
            <v>C49SZX20210144VG</v>
          </cell>
          <cell r="D1550" t="str">
            <v>鑫华锋</v>
          </cell>
          <cell r="E1550" t="str">
            <v>YSM10</v>
          </cell>
          <cell r="I1550" t="str">
            <v>L-&gt;R</v>
          </cell>
          <cell r="J1550" t="str">
            <v>MVC</v>
          </cell>
          <cell r="K1550">
            <v>1</v>
          </cell>
          <cell r="N1550">
            <v>44586</v>
          </cell>
          <cell r="O1550">
            <v>11116695</v>
          </cell>
          <cell r="P1550">
            <v>9500000</v>
          </cell>
          <cell r="Q1550">
            <v>44587</v>
          </cell>
          <cell r="R1550" t="str">
            <v>Yes</v>
          </cell>
          <cell r="S1550" t="str">
            <v>C49</v>
          </cell>
          <cell r="T1550" t="str">
            <v>SOUTH</v>
          </cell>
          <cell r="U1550" t="str">
            <v>深圳</v>
          </cell>
          <cell r="V1550" t="str">
            <v>SZ 深圳</v>
          </cell>
          <cell r="W1550" t="str">
            <v>VC</v>
          </cell>
          <cell r="X1550" t="str">
            <v>JPY</v>
          </cell>
          <cell r="Y1550">
            <v>9500000</v>
          </cell>
          <cell r="Z1550">
            <v>1</v>
          </cell>
          <cell r="AA1550">
            <v>9500000</v>
          </cell>
          <cell r="AB1550">
            <v>7.2800000000000004E-2</v>
          </cell>
          <cell r="AC1550">
            <v>691600</v>
          </cell>
          <cell r="AD1550">
            <v>82992</v>
          </cell>
          <cell r="AE1550">
            <v>0.12</v>
          </cell>
          <cell r="AF1550">
            <v>44344</v>
          </cell>
          <cell r="AG1550" t="str">
            <v>DAP SZ</v>
          </cell>
          <cell r="AK1550">
            <v>0.1</v>
          </cell>
          <cell r="AL1550">
            <v>950000</v>
          </cell>
          <cell r="AM1550">
            <v>44350</v>
          </cell>
          <cell r="AN1550" t="str">
            <v>Yes</v>
          </cell>
          <cell r="AO1550">
            <v>0.9</v>
          </cell>
          <cell r="AP1550">
            <v>8550000</v>
          </cell>
          <cell r="AQ1550">
            <v>44585</v>
          </cell>
          <cell r="AR1550">
            <v>44585</v>
          </cell>
          <cell r="AS1550">
            <v>0</v>
          </cell>
          <cell r="AT1550">
            <v>0</v>
          </cell>
          <cell r="AX1550" t="str">
            <v>Yes</v>
          </cell>
          <cell r="AZ1550" t="str">
            <v>Y</v>
          </cell>
          <cell r="BA1550" t="str">
            <v>Yes</v>
          </cell>
        </row>
        <row r="1551">
          <cell r="B1551">
            <v>1401</v>
          </cell>
          <cell r="C1551" t="str">
            <v>C49SZX20210157SS</v>
          </cell>
          <cell r="D1551" t="str">
            <v>艺通能</v>
          </cell>
          <cell r="E1551" t="str">
            <v>YSM20R-2</v>
          </cell>
          <cell r="I1551" t="str">
            <v>L-&gt;R</v>
          </cell>
          <cell r="J1551" t="str">
            <v>No</v>
          </cell>
          <cell r="K1551">
            <v>1</v>
          </cell>
          <cell r="N1551">
            <v>44530</v>
          </cell>
          <cell r="O1551">
            <v>11116669</v>
          </cell>
          <cell r="P1551">
            <v>14165000</v>
          </cell>
          <cell r="Q1551">
            <v>44530</v>
          </cell>
          <cell r="R1551" t="str">
            <v>Yes</v>
          </cell>
          <cell r="S1551" t="str">
            <v>C49</v>
          </cell>
          <cell r="T1551" t="str">
            <v>SOUTH</v>
          </cell>
          <cell r="U1551" t="str">
            <v>深圳</v>
          </cell>
          <cell r="V1551" t="str">
            <v>SZ 深圳</v>
          </cell>
          <cell r="W1551" t="str">
            <v>SS</v>
          </cell>
          <cell r="X1551" t="str">
            <v>JPY</v>
          </cell>
          <cell r="Y1551">
            <v>12165000</v>
          </cell>
          <cell r="Z1551">
            <v>1</v>
          </cell>
          <cell r="AA1551">
            <v>12165000</v>
          </cell>
          <cell r="AB1551">
            <v>7.2800000000000004E-2</v>
          </cell>
          <cell r="AC1551">
            <v>885612</v>
          </cell>
          <cell r="AD1551">
            <v>106273.44</v>
          </cell>
          <cell r="AE1551">
            <v>0.12</v>
          </cell>
          <cell r="AF1551">
            <v>44343</v>
          </cell>
          <cell r="AG1551" t="str">
            <v>DAP SZ</v>
          </cell>
          <cell r="AK1551">
            <v>0.1</v>
          </cell>
          <cell r="AL1551">
            <v>1216500</v>
          </cell>
          <cell r="AM1551">
            <v>44356</v>
          </cell>
          <cell r="AN1551" t="str">
            <v>Yes</v>
          </cell>
          <cell r="AO1551">
            <v>0.9</v>
          </cell>
          <cell r="AP1551">
            <v>10948500</v>
          </cell>
          <cell r="AQ1551">
            <v>44524</v>
          </cell>
          <cell r="AR1551">
            <v>44524</v>
          </cell>
          <cell r="AS1551">
            <v>0</v>
          </cell>
          <cell r="AT1551">
            <v>0</v>
          </cell>
          <cell r="AX1551" t="str">
            <v>Yes</v>
          </cell>
          <cell r="AZ1551" t="str">
            <v>Y</v>
          </cell>
          <cell r="BA1551" t="str">
            <v>Yes</v>
          </cell>
        </row>
        <row r="1552">
          <cell r="B1552">
            <v>1402</v>
          </cell>
          <cell r="C1552" t="str">
            <v>C49SZX20220034AY</v>
          </cell>
          <cell r="D1552" t="str">
            <v>清禾</v>
          </cell>
          <cell r="E1552" t="str">
            <v>YSM10</v>
          </cell>
          <cell r="I1552" t="str">
            <v>L-&gt;R</v>
          </cell>
          <cell r="J1552" t="str">
            <v>MVC</v>
          </cell>
          <cell r="K1552">
            <v>1</v>
          </cell>
          <cell r="N1552">
            <v>44665</v>
          </cell>
          <cell r="O1552">
            <v>11100528</v>
          </cell>
          <cell r="P1552">
            <v>529000</v>
          </cell>
          <cell r="Q1552">
            <v>44673</v>
          </cell>
          <cell r="R1552" t="str">
            <v>Yes</v>
          </cell>
          <cell r="S1552" t="str">
            <v>C49</v>
          </cell>
          <cell r="T1552" t="str">
            <v>SOUTH</v>
          </cell>
          <cell r="U1552" t="str">
            <v>深圳</v>
          </cell>
          <cell r="V1552" t="str">
            <v>SZ 深圳</v>
          </cell>
          <cell r="W1552" t="str">
            <v>AY</v>
          </cell>
          <cell r="X1552" t="str">
            <v>RMB</v>
          </cell>
          <cell r="Y1552">
            <v>529000</v>
          </cell>
          <cell r="Z1552">
            <v>1.1299999999999999</v>
          </cell>
          <cell r="AA1552">
            <v>529000</v>
          </cell>
          <cell r="AB1552">
            <v>1.22</v>
          </cell>
          <cell r="AC1552">
            <v>571132.74336283188</v>
          </cell>
          <cell r="AD1552">
            <v>68535.929203539825</v>
          </cell>
          <cell r="AE1552">
            <v>0.12</v>
          </cell>
          <cell r="AF1552">
            <v>44642</v>
          </cell>
          <cell r="AG1552" t="str">
            <v>DDP SZ</v>
          </cell>
          <cell r="AI1552" t="str">
            <v>JPY835,000.00</v>
          </cell>
          <cell r="AJ1552">
            <v>44371</v>
          </cell>
          <cell r="AK1552">
            <v>0.1</v>
          </cell>
          <cell r="AL1552">
            <v>80000</v>
          </cell>
          <cell r="AM1552">
            <v>44649</v>
          </cell>
          <cell r="AN1552" t="str">
            <v>Yes</v>
          </cell>
          <cell r="AO1552">
            <v>0.9</v>
          </cell>
          <cell r="AP1552">
            <v>476100</v>
          </cell>
          <cell r="AQ1552">
            <v>44651</v>
          </cell>
          <cell r="AR1552">
            <v>44651</v>
          </cell>
          <cell r="AS1552">
            <v>0</v>
          </cell>
          <cell r="AT1552">
            <v>0</v>
          </cell>
          <cell r="AX1552" t="str">
            <v>Yes</v>
          </cell>
          <cell r="AZ1552" t="str">
            <v>Y</v>
          </cell>
          <cell r="BA1552" t="str">
            <v>Yes</v>
          </cell>
        </row>
        <row r="1553">
          <cell r="B1553">
            <v>1403</v>
          </cell>
          <cell r="C1553" t="str">
            <v>C49SZX20210164SS</v>
          </cell>
          <cell r="D1553" t="str">
            <v>派勤</v>
          </cell>
          <cell r="E1553" t="str">
            <v>YSM20R-2</v>
          </cell>
          <cell r="I1553" t="str">
            <v>L-&gt;R</v>
          </cell>
          <cell r="J1553" t="str">
            <v>No</v>
          </cell>
          <cell r="K1553">
            <v>1</v>
          </cell>
          <cell r="N1553">
            <v>44526</v>
          </cell>
          <cell r="O1553">
            <v>11116665</v>
          </cell>
          <cell r="P1553">
            <v>15300000</v>
          </cell>
          <cell r="Q1553">
            <v>44525</v>
          </cell>
          <cell r="R1553" t="str">
            <v>No</v>
          </cell>
          <cell r="S1553" t="str">
            <v>C49</v>
          </cell>
          <cell r="T1553" t="str">
            <v>SOUTH</v>
          </cell>
          <cell r="U1553" t="str">
            <v>深圳</v>
          </cell>
          <cell r="V1553" t="str">
            <v>SZ 深圳</v>
          </cell>
          <cell r="W1553" t="str">
            <v>SS</v>
          </cell>
          <cell r="X1553" t="str">
            <v>JPY</v>
          </cell>
          <cell r="Y1553">
            <v>15300000</v>
          </cell>
          <cell r="Z1553">
            <v>1</v>
          </cell>
          <cell r="AA1553">
            <v>15300000</v>
          </cell>
          <cell r="AB1553">
            <v>7.2099999999999997E-2</v>
          </cell>
          <cell r="AC1553">
            <v>1103130</v>
          </cell>
          <cell r="AD1553">
            <v>132375.6</v>
          </cell>
          <cell r="AE1553">
            <v>0.12</v>
          </cell>
          <cell r="AF1553">
            <v>44350</v>
          </cell>
          <cell r="AG1553" t="str">
            <v>DAP SZ</v>
          </cell>
          <cell r="AK1553">
            <v>0.1</v>
          </cell>
          <cell r="AL1553">
            <v>1530000</v>
          </cell>
          <cell r="AM1553">
            <v>44355</v>
          </cell>
          <cell r="AN1553" t="str">
            <v>Yes</v>
          </cell>
          <cell r="AO1553">
            <v>0.9</v>
          </cell>
          <cell r="AP1553">
            <v>13770000</v>
          </cell>
          <cell r="AQ1553">
            <v>44524</v>
          </cell>
          <cell r="AR1553">
            <v>44524</v>
          </cell>
          <cell r="AS1553">
            <v>0</v>
          </cell>
          <cell r="AT1553">
            <v>0</v>
          </cell>
          <cell r="AX1553" t="str">
            <v>Yes</v>
          </cell>
          <cell r="AZ1553" t="str">
            <v>Y</v>
          </cell>
          <cell r="BA1553" t="str">
            <v>Yes</v>
          </cell>
        </row>
        <row r="1554">
          <cell r="B1554">
            <v>1404</v>
          </cell>
          <cell r="C1554" t="str">
            <v>C49SZX20210164SS</v>
          </cell>
          <cell r="D1554" t="str">
            <v>派勤</v>
          </cell>
          <cell r="E1554" t="str">
            <v>YSM10</v>
          </cell>
          <cell r="I1554" t="str">
            <v>L-&gt;R</v>
          </cell>
          <cell r="J1554" t="str">
            <v>MVC+ATS15</v>
          </cell>
          <cell r="K1554">
            <v>1</v>
          </cell>
          <cell r="N1554">
            <v>44526</v>
          </cell>
          <cell r="O1554">
            <v>11116665</v>
          </cell>
          <cell r="P1554">
            <v>11000000</v>
          </cell>
          <cell r="Q1554">
            <v>44525</v>
          </cell>
          <cell r="R1554" t="str">
            <v>No</v>
          </cell>
          <cell r="S1554" t="str">
            <v>C49</v>
          </cell>
          <cell r="T1554" t="str">
            <v>SOUTH</v>
          </cell>
          <cell r="U1554" t="str">
            <v>深圳</v>
          </cell>
          <cell r="V1554" t="str">
            <v>SZ 深圳</v>
          </cell>
          <cell r="W1554" t="str">
            <v>SS</v>
          </cell>
          <cell r="X1554" t="str">
            <v>JPY</v>
          </cell>
          <cell r="Y1554">
            <v>11000000</v>
          </cell>
          <cell r="Z1554">
            <v>1</v>
          </cell>
          <cell r="AA1554">
            <v>11000000</v>
          </cell>
          <cell r="AB1554">
            <v>7.2099999999999997E-2</v>
          </cell>
          <cell r="AC1554">
            <v>793100</v>
          </cell>
          <cell r="AD1554">
            <v>95172</v>
          </cell>
          <cell r="AE1554">
            <v>0.12</v>
          </cell>
          <cell r="AF1554">
            <v>44350</v>
          </cell>
          <cell r="AG1554" t="str">
            <v>DAP SZ</v>
          </cell>
          <cell r="AK1554">
            <v>0.1</v>
          </cell>
          <cell r="AL1554">
            <v>1100000</v>
          </cell>
          <cell r="AM1554">
            <v>44355</v>
          </cell>
          <cell r="AN1554" t="str">
            <v>Yes</v>
          </cell>
          <cell r="AO1554">
            <v>0.9</v>
          </cell>
          <cell r="AP1554">
            <v>9900000</v>
          </cell>
          <cell r="AQ1554">
            <v>44524</v>
          </cell>
          <cell r="AR1554">
            <v>44524</v>
          </cell>
          <cell r="AS1554">
            <v>0</v>
          </cell>
          <cell r="AT1554">
            <v>0</v>
          </cell>
          <cell r="AX1554" t="str">
            <v>Yes</v>
          </cell>
          <cell r="AZ1554" t="str">
            <v>Y</v>
          </cell>
          <cell r="BA1554" t="str">
            <v>Yes</v>
          </cell>
        </row>
        <row r="1555">
          <cell r="B1555">
            <v>1405</v>
          </cell>
          <cell r="C1555" t="str">
            <v>C49SZX20210165R1SS</v>
          </cell>
          <cell r="D1555" t="str">
            <v>三步/End user新佰浚</v>
          </cell>
          <cell r="E1555" t="str">
            <v>YSM10</v>
          </cell>
          <cell r="I1555" t="str">
            <v>L-&gt;R</v>
          </cell>
          <cell r="J1555" t="str">
            <v>MVC</v>
          </cell>
          <cell r="K1555">
            <v>1</v>
          </cell>
          <cell r="N1555">
            <v>44662</v>
          </cell>
          <cell r="O1555">
            <v>11116726</v>
          </cell>
          <cell r="P1555">
            <v>7400000</v>
          </cell>
          <cell r="Q1555">
            <v>44671</v>
          </cell>
          <cell r="R1555" t="str">
            <v>Yes</v>
          </cell>
          <cell r="S1555" t="str">
            <v>C49</v>
          </cell>
          <cell r="T1555" t="str">
            <v>SOUTH</v>
          </cell>
          <cell r="U1555" t="str">
            <v>深圳</v>
          </cell>
          <cell r="V1555" t="str">
            <v>SZ 深圳</v>
          </cell>
          <cell r="W1555" t="str">
            <v>SS</v>
          </cell>
          <cell r="X1555" t="str">
            <v>JPY</v>
          </cell>
          <cell r="Y1555">
            <v>7400000</v>
          </cell>
          <cell r="Z1555">
            <v>1</v>
          </cell>
          <cell r="AA1555">
            <v>7400000</v>
          </cell>
          <cell r="AB1555">
            <v>7.2099999999999997E-2</v>
          </cell>
          <cell r="AC1555">
            <v>533540</v>
          </cell>
          <cell r="AD1555">
            <v>64024.799999999996</v>
          </cell>
          <cell r="AE1555">
            <v>0.12</v>
          </cell>
          <cell r="AF1555">
            <v>44364</v>
          </cell>
          <cell r="AG1555" t="str">
            <v>DAP SZ</v>
          </cell>
          <cell r="AK1555">
            <v>0.1</v>
          </cell>
          <cell r="AL1555">
            <v>1419546</v>
          </cell>
          <cell r="AM1555">
            <v>44372</v>
          </cell>
          <cell r="AN1555" t="str">
            <v>Yes</v>
          </cell>
          <cell r="AO1555">
            <v>0.9</v>
          </cell>
          <cell r="AP1555">
            <v>6660000</v>
          </cell>
          <cell r="AQ1555">
            <v>44644</v>
          </cell>
          <cell r="AR1555">
            <v>44644</v>
          </cell>
          <cell r="AS1555">
            <v>0</v>
          </cell>
          <cell r="AT1555">
            <v>0</v>
          </cell>
          <cell r="AX1555" t="str">
            <v>Yes</v>
          </cell>
          <cell r="AZ1555" t="str">
            <v>Y</v>
          </cell>
          <cell r="BA1555" t="str">
            <v>Yes</v>
          </cell>
        </row>
        <row r="1556">
          <cell r="B1556">
            <v>1406</v>
          </cell>
          <cell r="C1556" t="str">
            <v>C49SZX20210141DZ</v>
          </cell>
          <cell r="D1556" t="str">
            <v>比泰利</v>
          </cell>
          <cell r="E1556" t="str">
            <v>YSM20R-2</v>
          </cell>
          <cell r="I1556" t="str">
            <v>L-&gt;R</v>
          </cell>
          <cell r="J1556" t="str">
            <v>cATS30+MVC(F&amp;R)+15pallet for cATS30+交换台车</v>
          </cell>
          <cell r="K1556">
            <v>1</v>
          </cell>
          <cell r="N1556">
            <v>44530</v>
          </cell>
          <cell r="O1556">
            <v>11116676</v>
          </cell>
          <cell r="P1556">
            <v>21250000</v>
          </cell>
          <cell r="Q1556">
            <v>44530</v>
          </cell>
          <cell r="R1556" t="str">
            <v>No</v>
          </cell>
          <cell r="S1556" t="str">
            <v>C49</v>
          </cell>
          <cell r="T1556" t="str">
            <v>SOUTH</v>
          </cell>
          <cell r="U1556" t="str">
            <v>深圳</v>
          </cell>
          <cell r="V1556" t="str">
            <v>SZ 深圳</v>
          </cell>
          <cell r="W1556" t="str">
            <v>DZ</v>
          </cell>
          <cell r="X1556" t="str">
            <v>JPY</v>
          </cell>
          <cell r="Y1556">
            <v>21250000</v>
          </cell>
          <cell r="Z1556">
            <v>1</v>
          </cell>
          <cell r="AA1556">
            <v>21250000</v>
          </cell>
          <cell r="AB1556">
            <v>7.2099999999999997E-2</v>
          </cell>
          <cell r="AC1556">
            <v>1532125</v>
          </cell>
          <cell r="AD1556">
            <v>183855</v>
          </cell>
          <cell r="AE1556">
            <v>0.12</v>
          </cell>
          <cell r="AF1556">
            <v>44355</v>
          </cell>
          <cell r="AG1556" t="str">
            <v>DAP SZ</v>
          </cell>
          <cell r="AK1556">
            <v>0.3</v>
          </cell>
          <cell r="AL1556">
            <v>6375000</v>
          </cell>
          <cell r="AM1556">
            <v>44358</v>
          </cell>
          <cell r="AN1556" t="str">
            <v>Yes</v>
          </cell>
          <cell r="AO1556">
            <v>0.65</v>
          </cell>
          <cell r="AP1556">
            <v>13812500</v>
          </cell>
          <cell r="AQ1556">
            <v>44523</v>
          </cell>
          <cell r="AR1556">
            <v>44523</v>
          </cell>
          <cell r="AS1556">
            <v>0.05</v>
          </cell>
          <cell r="AT1556">
            <v>1062500</v>
          </cell>
          <cell r="AU1556">
            <v>44554</v>
          </cell>
          <cell r="AV1556">
            <v>44554</v>
          </cell>
          <cell r="AX1556" t="str">
            <v>Yes</v>
          </cell>
          <cell r="AZ1556" t="str">
            <v>Y</v>
          </cell>
          <cell r="BA1556" t="str">
            <v>Yes</v>
          </cell>
        </row>
        <row r="1557">
          <cell r="B1557">
            <v>1407</v>
          </cell>
          <cell r="C1557" t="str">
            <v>C49SZX20210141DZ</v>
          </cell>
          <cell r="D1557" t="str">
            <v>比泰利</v>
          </cell>
          <cell r="E1557" t="str">
            <v>YSM20R-2</v>
          </cell>
          <cell r="I1557" t="str">
            <v>L-&gt;R</v>
          </cell>
          <cell r="J1557" t="str">
            <v>MVC F&amp;R</v>
          </cell>
          <cell r="K1557">
            <v>1</v>
          </cell>
          <cell r="N1557">
            <v>44530</v>
          </cell>
          <cell r="O1557">
            <v>11116676</v>
          </cell>
          <cell r="P1557">
            <v>21250000</v>
          </cell>
          <cell r="Q1557">
            <v>44530</v>
          </cell>
          <cell r="R1557" t="str">
            <v>No</v>
          </cell>
          <cell r="S1557" t="str">
            <v>C49</v>
          </cell>
          <cell r="T1557" t="str">
            <v>SOUTH</v>
          </cell>
          <cell r="U1557" t="str">
            <v>深圳</v>
          </cell>
          <cell r="V1557" t="str">
            <v>SZ 深圳</v>
          </cell>
          <cell r="W1557" t="str">
            <v>DZ</v>
          </cell>
          <cell r="X1557" t="str">
            <v>JPY</v>
          </cell>
          <cell r="Y1557">
            <v>21250000</v>
          </cell>
          <cell r="Z1557">
            <v>1</v>
          </cell>
          <cell r="AA1557">
            <v>21250000</v>
          </cell>
          <cell r="AB1557">
            <v>7.2099999999999997E-2</v>
          </cell>
          <cell r="AC1557">
            <v>1532125</v>
          </cell>
          <cell r="AD1557">
            <v>183855</v>
          </cell>
          <cell r="AE1557">
            <v>0.12</v>
          </cell>
          <cell r="AF1557">
            <v>44355</v>
          </cell>
          <cell r="AG1557" t="str">
            <v>DAP SZ</v>
          </cell>
          <cell r="AK1557">
            <v>0.3</v>
          </cell>
          <cell r="AL1557">
            <v>6375000</v>
          </cell>
          <cell r="AM1557">
            <v>44358</v>
          </cell>
          <cell r="AN1557" t="str">
            <v>Yes</v>
          </cell>
          <cell r="AO1557">
            <v>0.65</v>
          </cell>
          <cell r="AP1557">
            <v>13812500</v>
          </cell>
          <cell r="AQ1557">
            <v>44523</v>
          </cell>
          <cell r="AR1557">
            <v>44523</v>
          </cell>
          <cell r="AS1557">
            <v>0.05</v>
          </cell>
          <cell r="AT1557">
            <v>1062500</v>
          </cell>
          <cell r="AU1557">
            <v>44554</v>
          </cell>
          <cell r="AV1557">
            <v>44554</v>
          </cell>
          <cell r="AX1557" t="str">
            <v>Yes</v>
          </cell>
          <cell r="AZ1557" t="str">
            <v>Y</v>
          </cell>
          <cell r="BA1557" t="str">
            <v>Yes</v>
          </cell>
        </row>
        <row r="1558">
          <cell r="B1558">
            <v>1408</v>
          </cell>
          <cell r="C1558" t="str">
            <v>C49SZX20210166SX</v>
          </cell>
          <cell r="D1558" t="str">
            <v>晨鑫达</v>
          </cell>
          <cell r="E1558" t="str">
            <v>YSM20R-2</v>
          </cell>
          <cell r="I1558" t="str">
            <v>L-&gt;R</v>
          </cell>
          <cell r="J1558" t="str">
            <v>No</v>
          </cell>
          <cell r="K1558">
            <v>1</v>
          </cell>
          <cell r="N1558">
            <v>44645</v>
          </cell>
          <cell r="O1558">
            <v>11116703</v>
          </cell>
          <cell r="P1558">
            <v>15000000</v>
          </cell>
          <cell r="Q1558">
            <v>44615</v>
          </cell>
          <cell r="R1558" t="str">
            <v>No</v>
          </cell>
          <cell r="S1558" t="str">
            <v>C49</v>
          </cell>
          <cell r="T1558" t="str">
            <v>SOUTH</v>
          </cell>
          <cell r="U1558" t="str">
            <v>深圳</v>
          </cell>
          <cell r="V1558" t="str">
            <v>SZ 深圳</v>
          </cell>
          <cell r="W1558" t="str">
            <v>SX</v>
          </cell>
          <cell r="X1558" t="str">
            <v>JPY</v>
          </cell>
          <cell r="Y1558">
            <v>15000000</v>
          </cell>
          <cell r="Z1558">
            <v>1</v>
          </cell>
          <cell r="AA1558">
            <v>15000000</v>
          </cell>
          <cell r="AB1558">
            <v>7.2099999999999997E-2</v>
          </cell>
          <cell r="AC1558">
            <v>1081500</v>
          </cell>
          <cell r="AD1558">
            <v>129780</v>
          </cell>
          <cell r="AE1558">
            <v>0.12</v>
          </cell>
          <cell r="AF1558">
            <v>44356</v>
          </cell>
          <cell r="AG1558" t="str">
            <v>DAP SZ</v>
          </cell>
          <cell r="AK1558">
            <v>0.1</v>
          </cell>
          <cell r="AL1558">
            <v>1500000</v>
          </cell>
          <cell r="AM1558">
            <v>44369</v>
          </cell>
          <cell r="AN1558" t="str">
            <v>Yes</v>
          </cell>
          <cell r="AO1558">
            <v>0.9</v>
          </cell>
          <cell r="AP1558">
            <v>13500000</v>
          </cell>
          <cell r="AQ1558">
            <v>44609</v>
          </cell>
          <cell r="AR1558">
            <v>44609</v>
          </cell>
          <cell r="AS1558">
            <v>0</v>
          </cell>
          <cell r="AT1558">
            <v>0</v>
          </cell>
          <cell r="AX1558" t="str">
            <v>Yes</v>
          </cell>
          <cell r="AZ1558" t="str">
            <v>Y</v>
          </cell>
          <cell r="BA1558" t="str">
            <v>Yes</v>
          </cell>
        </row>
        <row r="1559">
          <cell r="B1559">
            <v>1409</v>
          </cell>
          <cell r="C1559" t="str">
            <v>C49SZX20210166SX</v>
          </cell>
          <cell r="D1559" t="str">
            <v>晨鑫达</v>
          </cell>
          <cell r="E1559" t="str">
            <v>YSM20R-2</v>
          </cell>
          <cell r="I1559" t="str">
            <v>L-&gt;R</v>
          </cell>
          <cell r="J1559" t="str">
            <v>No</v>
          </cell>
          <cell r="K1559">
            <v>1</v>
          </cell>
          <cell r="N1559">
            <v>44645</v>
          </cell>
          <cell r="O1559">
            <v>11116703</v>
          </cell>
          <cell r="P1559">
            <v>15000000</v>
          </cell>
          <cell r="Q1559">
            <v>44615</v>
          </cell>
          <cell r="R1559" t="str">
            <v>No</v>
          </cell>
          <cell r="S1559" t="str">
            <v>C49</v>
          </cell>
          <cell r="T1559" t="str">
            <v>SOUTH</v>
          </cell>
          <cell r="U1559" t="str">
            <v>深圳</v>
          </cell>
          <cell r="V1559" t="str">
            <v>SZ 深圳</v>
          </cell>
          <cell r="W1559" t="str">
            <v>SX</v>
          </cell>
          <cell r="X1559" t="str">
            <v>JPY</v>
          </cell>
          <cell r="Y1559">
            <v>15000000</v>
          </cell>
          <cell r="Z1559">
            <v>1</v>
          </cell>
          <cell r="AA1559">
            <v>15000000</v>
          </cell>
          <cell r="AB1559">
            <v>7.2099999999999997E-2</v>
          </cell>
          <cell r="AC1559">
            <v>1081500</v>
          </cell>
          <cell r="AD1559">
            <v>129780</v>
          </cell>
          <cell r="AE1559">
            <v>0.12</v>
          </cell>
          <cell r="AF1559">
            <v>44356</v>
          </cell>
          <cell r="AG1559" t="str">
            <v>DAP SZ</v>
          </cell>
          <cell r="AK1559">
            <v>0.1</v>
          </cell>
          <cell r="AL1559">
            <v>1500000</v>
          </cell>
          <cell r="AM1559">
            <v>44369</v>
          </cell>
          <cell r="AN1559" t="str">
            <v>Yes</v>
          </cell>
          <cell r="AO1559">
            <v>0.9</v>
          </cell>
          <cell r="AP1559">
            <v>13500000</v>
          </cell>
          <cell r="AQ1559">
            <v>44609</v>
          </cell>
          <cell r="AR1559">
            <v>44609</v>
          </cell>
          <cell r="AS1559">
            <v>0</v>
          </cell>
          <cell r="AT1559">
            <v>0</v>
          </cell>
          <cell r="AX1559" t="str">
            <v>Yes</v>
          </cell>
          <cell r="AZ1559" t="str">
            <v>Y</v>
          </cell>
          <cell r="BA1559" t="str">
            <v>Yes</v>
          </cell>
        </row>
        <row r="1560">
          <cell r="B1560">
            <v>1410</v>
          </cell>
          <cell r="C1560" t="str">
            <v>C49SZX20210166SX</v>
          </cell>
          <cell r="D1560" t="str">
            <v>晨鑫达</v>
          </cell>
          <cell r="E1560" t="str">
            <v>YSM10</v>
          </cell>
          <cell r="I1560" t="str">
            <v>L-&gt;R</v>
          </cell>
          <cell r="J1560" t="str">
            <v>MVC F&amp;R+ATS15</v>
          </cell>
          <cell r="K1560">
            <v>1</v>
          </cell>
          <cell r="N1560">
            <v>44645</v>
          </cell>
          <cell r="O1560">
            <v>11116703</v>
          </cell>
          <cell r="P1560">
            <v>15000000</v>
          </cell>
          <cell r="Q1560">
            <v>44615</v>
          </cell>
          <cell r="R1560" t="str">
            <v>No</v>
          </cell>
          <cell r="S1560" t="str">
            <v>C49</v>
          </cell>
          <cell r="T1560" t="str">
            <v>SOUTH</v>
          </cell>
          <cell r="U1560" t="str">
            <v>深圳</v>
          </cell>
          <cell r="V1560" t="str">
            <v>SZ 深圳</v>
          </cell>
          <cell r="W1560" t="str">
            <v>SX</v>
          </cell>
          <cell r="X1560" t="str">
            <v>JPY</v>
          </cell>
          <cell r="Y1560">
            <v>7689768</v>
          </cell>
          <cell r="Z1560">
            <v>1</v>
          </cell>
          <cell r="AA1560">
            <v>7689768</v>
          </cell>
          <cell r="AB1560">
            <v>7.2099999999999997E-2</v>
          </cell>
          <cell r="AC1560">
            <v>554432.27280000004</v>
          </cell>
          <cell r="AD1560">
            <v>66531.872736000005</v>
          </cell>
          <cell r="AE1560">
            <v>0.12</v>
          </cell>
          <cell r="AF1560">
            <v>44356</v>
          </cell>
          <cell r="AG1560" t="str">
            <v>DAP SZ</v>
          </cell>
          <cell r="AK1560">
            <v>0.1</v>
          </cell>
          <cell r="AL1560">
            <v>768976.8</v>
          </cell>
          <cell r="AM1560">
            <v>44369</v>
          </cell>
          <cell r="AN1560" t="str">
            <v>Yes</v>
          </cell>
          <cell r="AO1560">
            <v>0.9</v>
          </cell>
          <cell r="AP1560">
            <v>6920791.2000000002</v>
          </cell>
          <cell r="AQ1560">
            <v>44609</v>
          </cell>
          <cell r="AR1560">
            <v>44609</v>
          </cell>
          <cell r="AS1560">
            <v>0</v>
          </cell>
          <cell r="AT1560">
            <v>0</v>
          </cell>
          <cell r="AX1560" t="str">
            <v>Yes</v>
          </cell>
          <cell r="AZ1560" t="str">
            <v>Y</v>
          </cell>
          <cell r="BA1560" t="str">
            <v>Yes</v>
          </cell>
        </row>
        <row r="1561">
          <cell r="B1561">
            <v>1411</v>
          </cell>
          <cell r="C1561" t="str">
            <v>C49SZX20210167MW</v>
          </cell>
          <cell r="D1561" t="str">
            <v>众华</v>
          </cell>
          <cell r="E1561" t="str">
            <v>YSM10</v>
          </cell>
          <cell r="I1561" t="str">
            <v>L-&gt;R</v>
          </cell>
          <cell r="J1561" t="str">
            <v>MVC</v>
          </cell>
          <cell r="K1561">
            <v>1</v>
          </cell>
          <cell r="N1561">
            <v>44571</v>
          </cell>
          <cell r="O1561">
            <v>11116689</v>
          </cell>
          <cell r="P1561">
            <v>8452000</v>
          </cell>
          <cell r="Q1561">
            <v>44568</v>
          </cell>
          <cell r="R1561" t="str">
            <v>Yes</v>
          </cell>
          <cell r="S1561" t="str">
            <v>C49</v>
          </cell>
          <cell r="T1561" t="str">
            <v>SOUTH</v>
          </cell>
          <cell r="U1561" t="str">
            <v>深圳</v>
          </cell>
          <cell r="V1561" t="str">
            <v>SZ 深圳</v>
          </cell>
          <cell r="W1561" t="str">
            <v>MW</v>
          </cell>
          <cell r="X1561" t="str">
            <v>JPY</v>
          </cell>
          <cell r="Y1561">
            <v>8452000</v>
          </cell>
          <cell r="Z1561">
            <v>1</v>
          </cell>
          <cell r="AA1561">
            <v>8452000</v>
          </cell>
          <cell r="AB1561">
            <v>7.2099999999999997E-2</v>
          </cell>
          <cell r="AC1561">
            <v>609389.19999999995</v>
          </cell>
          <cell r="AD1561">
            <v>73126.703999999998</v>
          </cell>
          <cell r="AE1561">
            <v>0.12</v>
          </cell>
          <cell r="AF1561">
            <v>44357</v>
          </cell>
          <cell r="AG1561" t="str">
            <v>DAP HN</v>
          </cell>
          <cell r="AK1561">
            <v>0.1</v>
          </cell>
          <cell r="AL1561">
            <v>845200</v>
          </cell>
          <cell r="AM1561">
            <v>44368</v>
          </cell>
          <cell r="AN1561" t="str">
            <v>Yes</v>
          </cell>
          <cell r="AO1561">
            <v>0.9</v>
          </cell>
          <cell r="AP1561">
            <v>7606800</v>
          </cell>
          <cell r="AQ1561">
            <v>44566</v>
          </cell>
          <cell r="AR1561">
            <v>44566</v>
          </cell>
          <cell r="AS1561">
            <v>0</v>
          </cell>
          <cell r="AT1561">
            <v>0</v>
          </cell>
          <cell r="AX1561" t="str">
            <v>Yes</v>
          </cell>
          <cell r="AZ1561" t="str">
            <v>Y</v>
          </cell>
          <cell r="BA1561" t="str">
            <v>Yes</v>
          </cell>
        </row>
        <row r="1562">
          <cell r="B1562">
            <v>1412</v>
          </cell>
          <cell r="C1562" t="str">
            <v>C49SZX20210095JL</v>
          </cell>
          <cell r="D1562" t="str">
            <v>伟盛贸易(富洛）/晶科</v>
          </cell>
          <cell r="E1562" t="str">
            <v>YSM20R-2</v>
          </cell>
          <cell r="I1562" t="str">
            <v>L-&gt;R</v>
          </cell>
          <cell r="J1562" t="str">
            <v>No</v>
          </cell>
          <cell r="K1562">
            <v>1</v>
          </cell>
          <cell r="N1562">
            <v>44380</v>
          </cell>
          <cell r="O1562">
            <v>11116623</v>
          </cell>
          <cell r="P1562">
            <v>12950000</v>
          </cell>
          <cell r="Q1562">
            <v>44386</v>
          </cell>
          <cell r="R1562" t="str">
            <v>No</v>
          </cell>
          <cell r="S1562" t="str">
            <v>C49</v>
          </cell>
          <cell r="T1562" t="str">
            <v>SOUTH</v>
          </cell>
          <cell r="U1562" t="str">
            <v>深圳</v>
          </cell>
          <cell r="V1562" t="str">
            <v>SZ 深圳</v>
          </cell>
          <cell r="W1562" t="str">
            <v>JL</v>
          </cell>
          <cell r="X1562" t="str">
            <v>JPY</v>
          </cell>
          <cell r="Y1562">
            <v>12950000</v>
          </cell>
          <cell r="Z1562">
            <v>1</v>
          </cell>
          <cell r="AA1562">
            <v>12950000</v>
          </cell>
          <cell r="AB1562">
            <v>7.2099999999999997E-2</v>
          </cell>
          <cell r="AC1562">
            <v>933695</v>
          </cell>
          <cell r="AD1562">
            <v>112043.4</v>
          </cell>
          <cell r="AE1562">
            <v>0.12</v>
          </cell>
          <cell r="AF1562">
            <v>44355</v>
          </cell>
          <cell r="AG1562" t="str">
            <v>CIF HK</v>
          </cell>
          <cell r="AK1562">
            <v>0.3</v>
          </cell>
          <cell r="AL1562">
            <v>3885000</v>
          </cell>
          <cell r="AM1562">
            <v>44358</v>
          </cell>
          <cell r="AN1562" t="str">
            <v>Yes</v>
          </cell>
          <cell r="AO1562">
            <v>0.6</v>
          </cell>
          <cell r="AP1562">
            <v>7770000</v>
          </cell>
          <cell r="AQ1562">
            <v>44377</v>
          </cell>
          <cell r="AR1562">
            <v>44377</v>
          </cell>
          <cell r="AS1562">
            <v>0.1</v>
          </cell>
          <cell r="AT1562">
            <v>1295000</v>
          </cell>
          <cell r="AU1562">
            <v>44495</v>
          </cell>
          <cell r="AV1562">
            <v>44495</v>
          </cell>
          <cell r="AX1562" t="str">
            <v>Yes</v>
          </cell>
          <cell r="AZ1562" t="str">
            <v>Y</v>
          </cell>
          <cell r="BA1562" t="str">
            <v>Yes</v>
          </cell>
        </row>
        <row r="1563">
          <cell r="B1563">
            <v>1413</v>
          </cell>
          <cell r="C1563" t="str">
            <v>C49SZX20210095JL</v>
          </cell>
          <cell r="D1563" t="str">
            <v>伟盛贸易(富洛）/晶科</v>
          </cell>
          <cell r="E1563" t="str">
            <v>YSM20R-2</v>
          </cell>
          <cell r="I1563" t="str">
            <v>L-&gt;R</v>
          </cell>
          <cell r="J1563" t="str">
            <v>No</v>
          </cell>
          <cell r="K1563">
            <v>1</v>
          </cell>
          <cell r="N1563">
            <v>44380</v>
          </cell>
          <cell r="O1563">
            <v>11116623</v>
          </cell>
          <cell r="P1563">
            <v>12950000</v>
          </cell>
          <cell r="Q1563">
            <v>44386</v>
          </cell>
          <cell r="R1563" t="str">
            <v>No</v>
          </cell>
          <cell r="S1563" t="str">
            <v>C49</v>
          </cell>
          <cell r="T1563" t="str">
            <v>SOUTH</v>
          </cell>
          <cell r="U1563" t="str">
            <v>深圳</v>
          </cell>
          <cell r="V1563" t="str">
            <v>SZ 深圳</v>
          </cell>
          <cell r="W1563" t="str">
            <v>JL</v>
          </cell>
          <cell r="X1563" t="str">
            <v>JPY</v>
          </cell>
          <cell r="Y1563">
            <v>12950000</v>
          </cell>
          <cell r="Z1563">
            <v>1</v>
          </cell>
          <cell r="AA1563">
            <v>12950000</v>
          </cell>
          <cell r="AB1563">
            <v>7.2099999999999997E-2</v>
          </cell>
          <cell r="AC1563">
            <v>933695</v>
          </cell>
          <cell r="AD1563">
            <v>112043.4</v>
          </cell>
          <cell r="AE1563">
            <v>0.12</v>
          </cell>
          <cell r="AF1563">
            <v>44355</v>
          </cell>
          <cell r="AG1563" t="str">
            <v>CIF HK</v>
          </cell>
          <cell r="AK1563">
            <v>0.3</v>
          </cell>
          <cell r="AL1563">
            <v>3885000</v>
          </cell>
          <cell r="AM1563">
            <v>44358</v>
          </cell>
          <cell r="AN1563" t="str">
            <v>Yes</v>
          </cell>
          <cell r="AO1563">
            <v>0.6</v>
          </cell>
          <cell r="AP1563">
            <v>7770000</v>
          </cell>
          <cell r="AQ1563">
            <v>44377</v>
          </cell>
          <cell r="AR1563">
            <v>44377</v>
          </cell>
          <cell r="AS1563">
            <v>0.1</v>
          </cell>
          <cell r="AT1563">
            <v>1295000</v>
          </cell>
          <cell r="AU1563">
            <v>44495</v>
          </cell>
          <cell r="AV1563">
            <v>44495</v>
          </cell>
          <cell r="AX1563" t="str">
            <v>Yes</v>
          </cell>
          <cell r="AZ1563" t="str">
            <v>Y</v>
          </cell>
          <cell r="BA1563" t="str">
            <v>Yes</v>
          </cell>
        </row>
        <row r="1564">
          <cell r="B1564">
            <v>1414</v>
          </cell>
          <cell r="C1564" t="str">
            <v>C49SZX20210170DZ</v>
          </cell>
          <cell r="D1564" t="str">
            <v>鸿通宇</v>
          </cell>
          <cell r="E1564" t="str">
            <v>YSM20R-2</v>
          </cell>
          <cell r="I1564" t="str">
            <v>L-&gt;R</v>
          </cell>
          <cell r="J1564" t="str">
            <v>No</v>
          </cell>
          <cell r="K1564">
            <v>1</v>
          </cell>
          <cell r="N1564">
            <v>44580</v>
          </cell>
          <cell r="O1564">
            <v>11116693</v>
          </cell>
          <cell r="P1564">
            <v>12700000</v>
          </cell>
          <cell r="Q1564">
            <v>44579</v>
          </cell>
          <cell r="R1564" t="str">
            <v>No</v>
          </cell>
          <cell r="S1564" t="str">
            <v>C49</v>
          </cell>
          <cell r="T1564" t="str">
            <v>SOUTH</v>
          </cell>
          <cell r="U1564" t="str">
            <v>深圳</v>
          </cell>
          <cell r="V1564" t="str">
            <v>SZ 深圳</v>
          </cell>
          <cell r="W1564" t="str">
            <v>DZ</v>
          </cell>
          <cell r="X1564" t="str">
            <v>JPY</v>
          </cell>
          <cell r="Y1564">
            <v>12700000</v>
          </cell>
          <cell r="Z1564">
            <v>1</v>
          </cell>
          <cell r="AA1564">
            <v>12700000</v>
          </cell>
          <cell r="AB1564">
            <v>7.2099999999999997E-2</v>
          </cell>
          <cell r="AC1564">
            <v>915670</v>
          </cell>
          <cell r="AD1564">
            <v>109880.4</v>
          </cell>
          <cell r="AE1564">
            <v>0.12</v>
          </cell>
          <cell r="AF1564">
            <v>44358</v>
          </cell>
          <cell r="AG1564" t="str">
            <v>DAP SZ</v>
          </cell>
          <cell r="AK1564">
            <v>0.3</v>
          </cell>
          <cell r="AL1564">
            <v>3810000</v>
          </cell>
          <cell r="AM1564">
            <v>44369</v>
          </cell>
          <cell r="AN1564" t="str">
            <v>Yes</v>
          </cell>
          <cell r="AO1564">
            <v>0.7</v>
          </cell>
          <cell r="AP1564">
            <v>8890000</v>
          </cell>
          <cell r="AQ1564">
            <v>44578</v>
          </cell>
          <cell r="AR1564">
            <v>44578</v>
          </cell>
          <cell r="AS1564">
            <v>0</v>
          </cell>
          <cell r="AT1564">
            <v>0</v>
          </cell>
          <cell r="AX1564" t="str">
            <v>Yes</v>
          </cell>
          <cell r="AZ1564" t="str">
            <v>Y</v>
          </cell>
          <cell r="BA1564" t="str">
            <v>Yes</v>
          </cell>
        </row>
        <row r="1565">
          <cell r="B1565">
            <v>1415</v>
          </cell>
          <cell r="C1565" t="str">
            <v>C49SZX20210170DZ</v>
          </cell>
          <cell r="D1565" t="str">
            <v>鸿通宇</v>
          </cell>
          <cell r="E1565" t="str">
            <v>YSM20R-2</v>
          </cell>
          <cell r="I1565" t="str">
            <v>L-&gt;R</v>
          </cell>
          <cell r="J1565" t="str">
            <v>No</v>
          </cell>
          <cell r="K1565">
            <v>1</v>
          </cell>
          <cell r="N1565">
            <v>44580</v>
          </cell>
          <cell r="O1565">
            <v>11116693</v>
          </cell>
          <cell r="P1565">
            <v>12700000</v>
          </cell>
          <cell r="Q1565">
            <v>44579</v>
          </cell>
          <cell r="R1565" t="str">
            <v>No</v>
          </cell>
          <cell r="S1565" t="str">
            <v>C49</v>
          </cell>
          <cell r="T1565" t="str">
            <v>SOUTH</v>
          </cell>
          <cell r="U1565" t="str">
            <v>深圳</v>
          </cell>
          <cell r="V1565" t="str">
            <v>SZ 深圳</v>
          </cell>
          <cell r="W1565" t="str">
            <v>DZ</v>
          </cell>
          <cell r="X1565" t="str">
            <v>JPY</v>
          </cell>
          <cell r="Y1565">
            <v>12700000</v>
          </cell>
          <cell r="Z1565">
            <v>1</v>
          </cell>
          <cell r="AA1565">
            <v>12700000</v>
          </cell>
          <cell r="AB1565">
            <v>7.2099999999999997E-2</v>
          </cell>
          <cell r="AC1565">
            <v>915670</v>
          </cell>
          <cell r="AD1565">
            <v>109880.4</v>
          </cell>
          <cell r="AE1565">
            <v>0.12</v>
          </cell>
          <cell r="AF1565">
            <v>44358</v>
          </cell>
          <cell r="AG1565" t="str">
            <v>DAP SZ</v>
          </cell>
          <cell r="AK1565">
            <v>0.3</v>
          </cell>
          <cell r="AL1565">
            <v>3810000</v>
          </cell>
          <cell r="AM1565">
            <v>44369</v>
          </cell>
          <cell r="AN1565" t="str">
            <v>Yes</v>
          </cell>
          <cell r="AO1565">
            <v>0.7</v>
          </cell>
          <cell r="AP1565">
            <v>8890000</v>
          </cell>
          <cell r="AQ1565">
            <v>44578</v>
          </cell>
          <cell r="AR1565">
            <v>44578</v>
          </cell>
          <cell r="AS1565">
            <v>0</v>
          </cell>
          <cell r="AT1565">
            <v>0</v>
          </cell>
          <cell r="AX1565" t="str">
            <v>Yes</v>
          </cell>
          <cell r="AZ1565" t="str">
            <v>Y</v>
          </cell>
          <cell r="BA1565" t="str">
            <v>Yes</v>
          </cell>
        </row>
        <row r="1566">
          <cell r="B1566">
            <v>1416</v>
          </cell>
          <cell r="C1566" t="str">
            <v>C49SZX20210170DZ</v>
          </cell>
          <cell r="D1566" t="str">
            <v>鸿通宇</v>
          </cell>
          <cell r="E1566" t="str">
            <v>YSM10</v>
          </cell>
          <cell r="I1566" t="str">
            <v>L-&gt;R</v>
          </cell>
          <cell r="J1566" t="str">
            <v>MVC+ATS15</v>
          </cell>
          <cell r="K1566">
            <v>1</v>
          </cell>
          <cell r="N1566">
            <v>44580</v>
          </cell>
          <cell r="O1566">
            <v>11116693</v>
          </cell>
          <cell r="P1566">
            <v>9880000</v>
          </cell>
          <cell r="Q1566">
            <v>44579</v>
          </cell>
          <cell r="R1566" t="str">
            <v>No</v>
          </cell>
          <cell r="S1566" t="str">
            <v>C49</v>
          </cell>
          <cell r="T1566" t="str">
            <v>SOUTH</v>
          </cell>
          <cell r="U1566" t="str">
            <v>深圳</v>
          </cell>
          <cell r="V1566" t="str">
            <v>SZ 深圳</v>
          </cell>
          <cell r="W1566" t="str">
            <v>DZ</v>
          </cell>
          <cell r="X1566" t="str">
            <v>JPY</v>
          </cell>
          <cell r="Y1566">
            <v>9880000</v>
          </cell>
          <cell r="Z1566">
            <v>1</v>
          </cell>
          <cell r="AA1566">
            <v>9880000</v>
          </cell>
          <cell r="AB1566">
            <v>7.2099999999999997E-2</v>
          </cell>
          <cell r="AC1566">
            <v>712348</v>
          </cell>
          <cell r="AD1566">
            <v>85481.76</v>
          </cell>
          <cell r="AE1566">
            <v>0.12</v>
          </cell>
          <cell r="AF1566">
            <v>44358</v>
          </cell>
          <cell r="AG1566" t="str">
            <v>DAP SZ</v>
          </cell>
          <cell r="AK1566">
            <v>0.3</v>
          </cell>
          <cell r="AL1566">
            <v>2964000</v>
          </cell>
          <cell r="AM1566">
            <v>44369</v>
          </cell>
          <cell r="AN1566" t="str">
            <v>Yes</v>
          </cell>
          <cell r="AO1566">
            <v>0.7</v>
          </cell>
          <cell r="AP1566">
            <v>6916000</v>
          </cell>
          <cell r="AQ1566">
            <v>44578</v>
          </cell>
          <cell r="AR1566">
            <v>44578</v>
          </cell>
          <cell r="AS1566">
            <v>0</v>
          </cell>
          <cell r="AT1566">
            <v>0</v>
          </cell>
          <cell r="AX1566" t="str">
            <v>Yes</v>
          </cell>
          <cell r="AZ1566" t="str">
            <v>Y</v>
          </cell>
          <cell r="BA1566" t="str">
            <v>Yes</v>
          </cell>
        </row>
        <row r="1567">
          <cell r="B1567">
            <v>1417</v>
          </cell>
          <cell r="C1567" t="str">
            <v>C49SZX20210170DZ</v>
          </cell>
          <cell r="D1567" t="str">
            <v>鸿通宇</v>
          </cell>
          <cell r="E1567" t="str">
            <v>YSM10</v>
          </cell>
          <cell r="I1567" t="str">
            <v>L-&gt;R</v>
          </cell>
          <cell r="J1567" t="str">
            <v>MVC+ATS15</v>
          </cell>
          <cell r="K1567">
            <v>1</v>
          </cell>
          <cell r="N1567">
            <v>44580</v>
          </cell>
          <cell r="O1567">
            <v>11116693</v>
          </cell>
          <cell r="P1567">
            <v>9880000</v>
          </cell>
          <cell r="Q1567">
            <v>44579</v>
          </cell>
          <cell r="R1567" t="str">
            <v>No</v>
          </cell>
          <cell r="S1567" t="str">
            <v>C49</v>
          </cell>
          <cell r="T1567" t="str">
            <v>SOUTH</v>
          </cell>
          <cell r="U1567" t="str">
            <v>深圳</v>
          </cell>
          <cell r="V1567" t="str">
            <v>SZ 深圳</v>
          </cell>
          <cell r="W1567" t="str">
            <v>DZ</v>
          </cell>
          <cell r="X1567" t="str">
            <v>JPY</v>
          </cell>
          <cell r="Y1567">
            <v>9880000</v>
          </cell>
          <cell r="Z1567">
            <v>1</v>
          </cell>
          <cell r="AA1567">
            <v>9880000</v>
          </cell>
          <cell r="AB1567">
            <v>7.2099999999999997E-2</v>
          </cell>
          <cell r="AC1567">
            <v>712348</v>
          </cell>
          <cell r="AD1567">
            <v>85481.76</v>
          </cell>
          <cell r="AE1567">
            <v>0.12</v>
          </cell>
          <cell r="AF1567">
            <v>44358</v>
          </cell>
          <cell r="AG1567" t="str">
            <v>DAP SZ</v>
          </cell>
          <cell r="AK1567">
            <v>0.3</v>
          </cell>
          <cell r="AL1567">
            <v>2964000</v>
          </cell>
          <cell r="AM1567">
            <v>44369</v>
          </cell>
          <cell r="AN1567" t="str">
            <v>Yes</v>
          </cell>
          <cell r="AO1567">
            <v>0.7</v>
          </cell>
          <cell r="AP1567">
            <v>6916000</v>
          </cell>
          <cell r="AQ1567">
            <v>44578</v>
          </cell>
          <cell r="AR1567">
            <v>44578</v>
          </cell>
          <cell r="AS1567">
            <v>0</v>
          </cell>
          <cell r="AT1567">
            <v>0</v>
          </cell>
          <cell r="AX1567" t="str">
            <v>Yes</v>
          </cell>
          <cell r="AZ1567" t="str">
            <v>Y</v>
          </cell>
          <cell r="BA1567" t="str">
            <v>Yes</v>
          </cell>
        </row>
        <row r="1568">
          <cell r="B1568">
            <v>1418</v>
          </cell>
          <cell r="C1568" t="str">
            <v>C49SZX20210141VG</v>
          </cell>
          <cell r="D1568" t="str">
            <v>狂热者</v>
          </cell>
          <cell r="E1568" t="str">
            <v>YSM10</v>
          </cell>
          <cell r="I1568" t="str">
            <v>L-&gt;R</v>
          </cell>
          <cell r="J1568" t="str">
            <v>MVC+ATS15</v>
          </cell>
          <cell r="K1568">
            <v>1</v>
          </cell>
          <cell r="N1568">
            <v>44378</v>
          </cell>
          <cell r="O1568">
            <v>11116615</v>
          </cell>
          <cell r="P1568">
            <v>8989000</v>
          </cell>
          <cell r="Q1568">
            <v>44377</v>
          </cell>
          <cell r="R1568" t="str">
            <v>No</v>
          </cell>
          <cell r="S1568" t="str">
            <v>C49</v>
          </cell>
          <cell r="T1568" t="str">
            <v>SOUTH</v>
          </cell>
          <cell r="U1568" t="str">
            <v>深圳</v>
          </cell>
          <cell r="V1568" t="str">
            <v>SZ 深圳</v>
          </cell>
          <cell r="W1568" t="str">
            <v>VG</v>
          </cell>
          <cell r="X1568" t="str">
            <v>JPY</v>
          </cell>
          <cell r="Y1568">
            <v>8989000</v>
          </cell>
          <cell r="Z1568">
            <v>1</v>
          </cell>
          <cell r="AA1568">
            <v>8989000</v>
          </cell>
          <cell r="AB1568">
            <v>7.2099999999999997E-2</v>
          </cell>
          <cell r="AC1568">
            <v>648106.9</v>
          </cell>
          <cell r="AD1568">
            <v>77772.827999999994</v>
          </cell>
          <cell r="AE1568">
            <v>0.12</v>
          </cell>
          <cell r="AF1568">
            <v>44358</v>
          </cell>
          <cell r="AG1568" t="str">
            <v>DAP SZ</v>
          </cell>
          <cell r="AK1568">
            <v>0.1</v>
          </cell>
          <cell r="AL1568">
            <v>898900</v>
          </cell>
          <cell r="AM1568">
            <v>44365</v>
          </cell>
          <cell r="AN1568" t="str">
            <v>Yes</v>
          </cell>
          <cell r="AO1568">
            <v>0.9</v>
          </cell>
          <cell r="AP1568">
            <v>8090100</v>
          </cell>
          <cell r="AQ1568">
            <v>44372</v>
          </cell>
          <cell r="AR1568">
            <v>44372</v>
          </cell>
          <cell r="AS1568">
            <v>0</v>
          </cell>
          <cell r="AT1568">
            <v>0</v>
          </cell>
          <cell r="AX1568" t="str">
            <v>Yes</v>
          </cell>
          <cell r="AZ1568" t="str">
            <v>Y</v>
          </cell>
          <cell r="BA1568" t="str">
            <v>Yes</v>
          </cell>
        </row>
        <row r="1569">
          <cell r="B1569">
            <v>1419</v>
          </cell>
          <cell r="C1569" t="str">
            <v>C49SZX20210152SX</v>
          </cell>
          <cell r="D1569" t="str">
            <v>太美亚</v>
          </cell>
          <cell r="E1569" t="str">
            <v>YSM20R-2</v>
          </cell>
          <cell r="I1569" t="str">
            <v>L-&gt;R</v>
          </cell>
          <cell r="J1569" t="str">
            <v>No</v>
          </cell>
          <cell r="K1569">
            <v>1</v>
          </cell>
          <cell r="N1569">
            <v>44439</v>
          </cell>
          <cell r="O1569" t="str">
            <v xml:space="preserve">   11116643   </v>
          </cell>
          <cell r="P1569">
            <v>12000000</v>
          </cell>
          <cell r="Q1569">
            <v>44435</v>
          </cell>
          <cell r="R1569" t="str">
            <v>No</v>
          </cell>
          <cell r="S1569" t="str">
            <v>C49</v>
          </cell>
          <cell r="T1569" t="str">
            <v>SOUTH</v>
          </cell>
          <cell r="U1569" t="str">
            <v>深圳</v>
          </cell>
          <cell r="V1569" t="str">
            <v>SZ 深圳</v>
          </cell>
          <cell r="W1569" t="str">
            <v>SX</v>
          </cell>
          <cell r="X1569" t="str">
            <v>JPY</v>
          </cell>
          <cell r="Y1569">
            <v>12000000</v>
          </cell>
          <cell r="Z1569">
            <v>1</v>
          </cell>
          <cell r="AA1569">
            <v>12000000</v>
          </cell>
          <cell r="AB1569">
            <v>7.2099999999999997E-2</v>
          </cell>
          <cell r="AC1569">
            <v>865200</v>
          </cell>
          <cell r="AD1569">
            <v>103824</v>
          </cell>
          <cell r="AE1569">
            <v>0.12</v>
          </cell>
          <cell r="AF1569">
            <v>44351</v>
          </cell>
          <cell r="AG1569" t="str">
            <v>DAP SZ</v>
          </cell>
          <cell r="AK1569">
            <v>0.1</v>
          </cell>
          <cell r="AL1569">
            <v>1200000</v>
          </cell>
          <cell r="AM1569">
            <v>44369</v>
          </cell>
          <cell r="AN1569" t="str">
            <v>Yes</v>
          </cell>
          <cell r="AO1569">
            <v>0.9</v>
          </cell>
          <cell r="AP1569">
            <v>10800000</v>
          </cell>
          <cell r="AQ1569">
            <v>44433</v>
          </cell>
          <cell r="AR1569">
            <v>44433</v>
          </cell>
          <cell r="AS1569">
            <v>0</v>
          </cell>
          <cell r="AT1569">
            <v>0</v>
          </cell>
          <cell r="AX1569" t="str">
            <v>Yes</v>
          </cell>
          <cell r="AZ1569" t="str">
            <v>Y</v>
          </cell>
          <cell r="BA1569" t="str">
            <v>Yes</v>
          </cell>
        </row>
        <row r="1570">
          <cell r="B1570">
            <v>1420</v>
          </cell>
          <cell r="C1570" t="str">
            <v>C49SZX20210152SX</v>
          </cell>
          <cell r="D1570" t="str">
            <v>太美亚</v>
          </cell>
          <cell r="E1570" t="str">
            <v>YSM20R-2</v>
          </cell>
          <cell r="I1570" t="str">
            <v>L-&gt;R</v>
          </cell>
          <cell r="J1570" t="str">
            <v>MVC</v>
          </cell>
          <cell r="K1570">
            <v>1</v>
          </cell>
          <cell r="N1570">
            <v>44439</v>
          </cell>
          <cell r="O1570" t="str">
            <v xml:space="preserve">   11116643   </v>
          </cell>
          <cell r="P1570">
            <v>12000000</v>
          </cell>
          <cell r="Q1570">
            <v>44435</v>
          </cell>
          <cell r="R1570" t="str">
            <v>No</v>
          </cell>
          <cell r="S1570" t="str">
            <v>C49</v>
          </cell>
          <cell r="T1570" t="str">
            <v>SOUTH</v>
          </cell>
          <cell r="U1570" t="str">
            <v>深圳</v>
          </cell>
          <cell r="V1570" t="str">
            <v>SZ 深圳</v>
          </cell>
          <cell r="W1570" t="str">
            <v>SX</v>
          </cell>
          <cell r="X1570" t="str">
            <v>JPY</v>
          </cell>
          <cell r="Y1570">
            <v>12000000</v>
          </cell>
          <cell r="Z1570">
            <v>1</v>
          </cell>
          <cell r="AA1570">
            <v>12000000</v>
          </cell>
          <cell r="AB1570">
            <v>7.2099999999999997E-2</v>
          </cell>
          <cell r="AC1570">
            <v>865200</v>
          </cell>
          <cell r="AD1570">
            <v>103824</v>
          </cell>
          <cell r="AE1570">
            <v>0.12</v>
          </cell>
          <cell r="AF1570">
            <v>44351</v>
          </cell>
          <cell r="AG1570" t="str">
            <v>DAP SZ</v>
          </cell>
          <cell r="AK1570">
            <v>0.1</v>
          </cell>
          <cell r="AL1570">
            <v>1200000</v>
          </cell>
          <cell r="AM1570">
            <v>44369</v>
          </cell>
          <cell r="AN1570" t="str">
            <v>Yes</v>
          </cell>
          <cell r="AO1570">
            <v>0.9</v>
          </cell>
          <cell r="AP1570">
            <v>10800000</v>
          </cell>
          <cell r="AQ1570">
            <v>44433</v>
          </cell>
          <cell r="AR1570">
            <v>44433</v>
          </cell>
          <cell r="AS1570">
            <v>0</v>
          </cell>
          <cell r="AT1570">
            <v>0</v>
          </cell>
          <cell r="AX1570" t="str">
            <v>Yes</v>
          </cell>
          <cell r="AZ1570" t="str">
            <v>Y</v>
          </cell>
          <cell r="BA1570" t="str">
            <v>Yes</v>
          </cell>
        </row>
        <row r="1571">
          <cell r="B1571">
            <v>1421</v>
          </cell>
          <cell r="C1571" t="str">
            <v>C49SZX20210152SX</v>
          </cell>
          <cell r="D1571" t="str">
            <v>太美亚</v>
          </cell>
          <cell r="E1571" t="str">
            <v>YSM20R-2</v>
          </cell>
          <cell r="I1571" t="str">
            <v>L-&gt;R</v>
          </cell>
          <cell r="J1571" t="str">
            <v>MVC</v>
          </cell>
          <cell r="K1571">
            <v>1</v>
          </cell>
          <cell r="N1571">
            <v>44439</v>
          </cell>
          <cell r="O1571" t="str">
            <v xml:space="preserve">   11116643   </v>
          </cell>
          <cell r="P1571">
            <v>12000000</v>
          </cell>
          <cell r="Q1571">
            <v>44435</v>
          </cell>
          <cell r="R1571" t="str">
            <v>No</v>
          </cell>
          <cell r="S1571" t="str">
            <v>C49</v>
          </cell>
          <cell r="T1571" t="str">
            <v>SOUTH</v>
          </cell>
          <cell r="U1571" t="str">
            <v>深圳</v>
          </cell>
          <cell r="V1571" t="str">
            <v>SZ 深圳</v>
          </cell>
          <cell r="W1571" t="str">
            <v>SX</v>
          </cell>
          <cell r="X1571" t="str">
            <v>JPY</v>
          </cell>
          <cell r="Y1571">
            <v>12000000</v>
          </cell>
          <cell r="Z1571">
            <v>1</v>
          </cell>
          <cell r="AA1571">
            <v>12000000</v>
          </cell>
          <cell r="AB1571">
            <v>7.2099999999999997E-2</v>
          </cell>
          <cell r="AC1571">
            <v>865200</v>
          </cell>
          <cell r="AD1571">
            <v>103824</v>
          </cell>
          <cell r="AE1571">
            <v>0.12</v>
          </cell>
          <cell r="AF1571">
            <v>44351</v>
          </cell>
          <cell r="AG1571" t="str">
            <v>DAP SZ</v>
          </cell>
          <cell r="AK1571">
            <v>0.1</v>
          </cell>
          <cell r="AL1571">
            <v>1200000</v>
          </cell>
          <cell r="AM1571">
            <v>44369</v>
          </cell>
          <cell r="AN1571" t="str">
            <v>Yes</v>
          </cell>
          <cell r="AO1571">
            <v>0.9</v>
          </cell>
          <cell r="AP1571">
            <v>10800000</v>
          </cell>
          <cell r="AQ1571">
            <v>44433</v>
          </cell>
          <cell r="AR1571">
            <v>44433</v>
          </cell>
          <cell r="AS1571">
            <v>0</v>
          </cell>
          <cell r="AT1571">
            <v>0</v>
          </cell>
          <cell r="AX1571" t="str">
            <v>Yes</v>
          </cell>
          <cell r="AZ1571" t="str">
            <v>Y</v>
          </cell>
          <cell r="BA1571" t="str">
            <v>Yes</v>
          </cell>
        </row>
        <row r="1572">
          <cell r="B1572">
            <v>1422</v>
          </cell>
          <cell r="C1572" t="str">
            <v>C49SZX20210152SX</v>
          </cell>
          <cell r="D1572" t="str">
            <v>太美亚</v>
          </cell>
          <cell r="E1572" t="str">
            <v>YSM20R-2</v>
          </cell>
          <cell r="I1572" t="str">
            <v>R-&gt;L</v>
          </cell>
          <cell r="J1572" t="str">
            <v>No</v>
          </cell>
          <cell r="K1572">
            <v>1</v>
          </cell>
          <cell r="N1572">
            <v>44510</v>
          </cell>
          <cell r="O1572">
            <v>11116661</v>
          </cell>
          <cell r="P1572">
            <v>12000000</v>
          </cell>
          <cell r="Q1572">
            <v>44519</v>
          </cell>
          <cell r="R1572" t="str">
            <v>No</v>
          </cell>
          <cell r="S1572" t="str">
            <v>C49</v>
          </cell>
          <cell r="T1572" t="str">
            <v>SOUTH</v>
          </cell>
          <cell r="U1572" t="str">
            <v>深圳</v>
          </cell>
          <cell r="V1572" t="str">
            <v>SZ 深圳</v>
          </cell>
          <cell r="W1572" t="str">
            <v>SX</v>
          </cell>
          <cell r="X1572" t="str">
            <v>JPY</v>
          </cell>
          <cell r="Y1572">
            <v>12000000</v>
          </cell>
          <cell r="Z1572">
            <v>1</v>
          </cell>
          <cell r="AA1572">
            <v>12000000</v>
          </cell>
          <cell r="AB1572">
            <v>7.2099999999999997E-2</v>
          </cell>
          <cell r="AC1572">
            <v>865200</v>
          </cell>
          <cell r="AD1572">
            <v>103824</v>
          </cell>
          <cell r="AE1572">
            <v>0.12</v>
          </cell>
          <cell r="AF1572">
            <v>44351</v>
          </cell>
          <cell r="AG1572" t="str">
            <v>DAP SZ</v>
          </cell>
          <cell r="AK1572">
            <v>0.1</v>
          </cell>
          <cell r="AL1572">
            <v>1200000</v>
          </cell>
          <cell r="AM1572">
            <v>44369</v>
          </cell>
          <cell r="AN1572" t="str">
            <v>Yes</v>
          </cell>
          <cell r="AO1572">
            <v>0.9</v>
          </cell>
          <cell r="AP1572">
            <v>10800000</v>
          </cell>
          <cell r="AQ1572">
            <v>44510</v>
          </cell>
          <cell r="AR1572">
            <v>44510</v>
          </cell>
          <cell r="AS1572">
            <v>0</v>
          </cell>
          <cell r="AT1572">
            <v>0</v>
          </cell>
          <cell r="AX1572" t="str">
            <v>Yes</v>
          </cell>
          <cell r="AZ1572" t="str">
            <v>Y</v>
          </cell>
          <cell r="BA1572" t="str">
            <v>Yes</v>
          </cell>
        </row>
        <row r="1573">
          <cell r="B1573">
            <v>1423</v>
          </cell>
          <cell r="C1573" t="str">
            <v>C49SZX20210152SX</v>
          </cell>
          <cell r="D1573" t="str">
            <v>太美亚</v>
          </cell>
          <cell r="E1573" t="str">
            <v>YSM20R-2</v>
          </cell>
          <cell r="I1573" t="str">
            <v>R-&gt;L</v>
          </cell>
          <cell r="J1573" t="str">
            <v>No</v>
          </cell>
          <cell r="K1573">
            <v>1</v>
          </cell>
          <cell r="N1573">
            <v>44510</v>
          </cell>
          <cell r="O1573">
            <v>11116661</v>
          </cell>
          <cell r="P1573">
            <v>12000000</v>
          </cell>
          <cell r="Q1573">
            <v>44519</v>
          </cell>
          <cell r="R1573" t="str">
            <v>No</v>
          </cell>
          <cell r="S1573" t="str">
            <v>C49</v>
          </cell>
          <cell r="T1573" t="str">
            <v>SOUTH</v>
          </cell>
          <cell r="U1573" t="str">
            <v>深圳</v>
          </cell>
          <cell r="V1573" t="str">
            <v>SZ 深圳</v>
          </cell>
          <cell r="W1573" t="str">
            <v>SX</v>
          </cell>
          <cell r="X1573" t="str">
            <v>JPY</v>
          </cell>
          <cell r="Y1573">
            <v>12000000</v>
          </cell>
          <cell r="Z1573">
            <v>1</v>
          </cell>
          <cell r="AA1573">
            <v>12000000</v>
          </cell>
          <cell r="AB1573">
            <v>7.2099999999999997E-2</v>
          </cell>
          <cell r="AC1573">
            <v>865200</v>
          </cell>
          <cell r="AD1573">
            <v>103824</v>
          </cell>
          <cell r="AE1573">
            <v>0.12</v>
          </cell>
          <cell r="AF1573">
            <v>44351</v>
          </cell>
          <cell r="AG1573" t="str">
            <v>DAP SZ</v>
          </cell>
          <cell r="AK1573">
            <v>0.1</v>
          </cell>
          <cell r="AL1573">
            <v>1200000</v>
          </cell>
          <cell r="AM1573">
            <v>44369</v>
          </cell>
          <cell r="AN1573" t="str">
            <v>Yes</v>
          </cell>
          <cell r="AO1573">
            <v>0.9</v>
          </cell>
          <cell r="AP1573">
            <v>10800000</v>
          </cell>
          <cell r="AQ1573">
            <v>44510</v>
          </cell>
          <cell r="AR1573">
            <v>44510</v>
          </cell>
          <cell r="AS1573">
            <v>0</v>
          </cell>
          <cell r="AT1573">
            <v>0</v>
          </cell>
          <cell r="AX1573" t="str">
            <v>Yes</v>
          </cell>
          <cell r="AZ1573" t="str">
            <v>Y</v>
          </cell>
          <cell r="BA1573" t="str">
            <v>Yes</v>
          </cell>
        </row>
        <row r="1574">
          <cell r="B1574">
            <v>1424</v>
          </cell>
          <cell r="C1574" t="str">
            <v>C49SZX20210152SX</v>
          </cell>
          <cell r="D1574" t="str">
            <v>太美亚</v>
          </cell>
          <cell r="E1574" t="str">
            <v>YSM20R-2</v>
          </cell>
          <cell r="I1574" t="str">
            <v>R-&gt;L</v>
          </cell>
          <cell r="J1574" t="str">
            <v>No</v>
          </cell>
          <cell r="K1574">
            <v>1</v>
          </cell>
          <cell r="N1574">
            <v>44559</v>
          </cell>
          <cell r="O1574">
            <v>11116682</v>
          </cell>
          <cell r="P1574">
            <v>12000000</v>
          </cell>
          <cell r="Q1574">
            <v>44559</v>
          </cell>
          <cell r="R1574" t="str">
            <v>No</v>
          </cell>
          <cell r="S1574" t="str">
            <v>C49</v>
          </cell>
          <cell r="T1574" t="str">
            <v>SOUTH</v>
          </cell>
          <cell r="U1574" t="str">
            <v>深圳</v>
          </cell>
          <cell r="V1574" t="str">
            <v>SZ 深圳</v>
          </cell>
          <cell r="W1574" t="str">
            <v>SX</v>
          </cell>
          <cell r="X1574" t="str">
            <v>JPY</v>
          </cell>
          <cell r="Y1574">
            <v>12000000</v>
          </cell>
          <cell r="Z1574">
            <v>1</v>
          </cell>
          <cell r="AA1574">
            <v>12000000</v>
          </cell>
          <cell r="AB1574">
            <v>7.2099999999999997E-2</v>
          </cell>
          <cell r="AC1574">
            <v>865200</v>
          </cell>
          <cell r="AD1574">
            <v>103824</v>
          </cell>
          <cell r="AE1574">
            <v>0.12</v>
          </cell>
          <cell r="AF1574">
            <v>44351</v>
          </cell>
          <cell r="AG1574" t="str">
            <v>DAP SZ</v>
          </cell>
          <cell r="AK1574">
            <v>0.1</v>
          </cell>
          <cell r="AL1574">
            <v>1200000</v>
          </cell>
          <cell r="AM1574">
            <v>44369</v>
          </cell>
          <cell r="AN1574" t="str">
            <v>Yes</v>
          </cell>
          <cell r="AO1574">
            <v>0.9</v>
          </cell>
          <cell r="AP1574">
            <v>10800000</v>
          </cell>
          <cell r="AQ1574">
            <v>117602</v>
          </cell>
          <cell r="AR1574">
            <v>44554</v>
          </cell>
          <cell r="AS1574">
            <v>0</v>
          </cell>
          <cell r="AT1574">
            <v>0</v>
          </cell>
          <cell r="AX1574" t="str">
            <v>Yes</v>
          </cell>
          <cell r="AZ1574" t="str">
            <v>Y</v>
          </cell>
          <cell r="BA1574" t="str">
            <v>Yes</v>
          </cell>
        </row>
        <row r="1575">
          <cell r="B1575">
            <v>1425</v>
          </cell>
          <cell r="C1575" t="str">
            <v>C49SZX20210152SX</v>
          </cell>
          <cell r="D1575" t="str">
            <v>太美亚</v>
          </cell>
          <cell r="E1575" t="str">
            <v>YSM20R-2</v>
          </cell>
          <cell r="I1575" t="str">
            <v>R-&gt;L</v>
          </cell>
          <cell r="J1575" t="str">
            <v>No</v>
          </cell>
          <cell r="K1575">
            <v>1</v>
          </cell>
          <cell r="N1575">
            <v>44559</v>
          </cell>
          <cell r="O1575">
            <v>11116682</v>
          </cell>
          <cell r="P1575">
            <v>12000000</v>
          </cell>
          <cell r="Q1575">
            <v>44559</v>
          </cell>
          <cell r="R1575" t="str">
            <v>No</v>
          </cell>
          <cell r="S1575" t="str">
            <v>C49</v>
          </cell>
          <cell r="T1575" t="str">
            <v>SOUTH</v>
          </cell>
          <cell r="U1575" t="str">
            <v>深圳</v>
          </cell>
          <cell r="V1575" t="str">
            <v>SZ 深圳</v>
          </cell>
          <cell r="W1575" t="str">
            <v>SX</v>
          </cell>
          <cell r="X1575" t="str">
            <v>JPY</v>
          </cell>
          <cell r="Y1575">
            <v>12000000</v>
          </cell>
          <cell r="Z1575">
            <v>1</v>
          </cell>
          <cell r="AA1575">
            <v>12000000</v>
          </cell>
          <cell r="AB1575">
            <v>7.2099999999999997E-2</v>
          </cell>
          <cell r="AC1575">
            <v>865200</v>
          </cell>
          <cell r="AD1575">
            <v>103824</v>
          </cell>
          <cell r="AE1575">
            <v>0.12</v>
          </cell>
          <cell r="AF1575">
            <v>44351</v>
          </cell>
          <cell r="AG1575" t="str">
            <v>DAP SZ</v>
          </cell>
          <cell r="AK1575">
            <v>0.1</v>
          </cell>
          <cell r="AL1575">
            <v>1200000</v>
          </cell>
          <cell r="AM1575">
            <v>44369</v>
          </cell>
          <cell r="AN1575" t="str">
            <v>Yes</v>
          </cell>
          <cell r="AO1575">
            <v>0.9</v>
          </cell>
          <cell r="AP1575">
            <v>10800000</v>
          </cell>
          <cell r="AQ1575">
            <v>117602</v>
          </cell>
          <cell r="AR1575">
            <v>44554</v>
          </cell>
          <cell r="AS1575">
            <v>0</v>
          </cell>
          <cell r="AT1575">
            <v>0</v>
          </cell>
          <cell r="AX1575" t="str">
            <v>Yes</v>
          </cell>
          <cell r="AZ1575" t="str">
            <v>Y</v>
          </cell>
          <cell r="BA1575" t="str">
            <v>Yes</v>
          </cell>
        </row>
        <row r="1576">
          <cell r="B1576">
            <v>1426</v>
          </cell>
          <cell r="C1576" t="str">
            <v>C49SZX20210152SX</v>
          </cell>
          <cell r="D1576" t="str">
            <v>太美亚</v>
          </cell>
          <cell r="E1576" t="str">
            <v>YSM10</v>
          </cell>
          <cell r="I1576" t="str">
            <v>L-&gt;R</v>
          </cell>
          <cell r="J1576" t="str">
            <v>MVC+ATS15</v>
          </cell>
          <cell r="K1576">
            <v>1</v>
          </cell>
          <cell r="N1576">
            <v>44439</v>
          </cell>
          <cell r="O1576" t="str">
            <v xml:space="preserve">   11116643   </v>
          </cell>
          <cell r="P1576">
            <v>8980000</v>
          </cell>
          <cell r="Q1576">
            <v>44435</v>
          </cell>
          <cell r="R1576" t="str">
            <v>No</v>
          </cell>
          <cell r="S1576" t="str">
            <v>C49</v>
          </cell>
          <cell r="T1576" t="str">
            <v>SOUTH</v>
          </cell>
          <cell r="U1576" t="str">
            <v>深圳</v>
          </cell>
          <cell r="V1576" t="str">
            <v>SZ 深圳</v>
          </cell>
          <cell r="W1576" t="str">
            <v>SX</v>
          </cell>
          <cell r="X1576" t="str">
            <v>JPY</v>
          </cell>
          <cell r="Y1576">
            <v>8980000</v>
          </cell>
          <cell r="Z1576">
            <v>1</v>
          </cell>
          <cell r="AA1576">
            <v>8980000</v>
          </cell>
          <cell r="AB1576">
            <v>7.2099999999999997E-2</v>
          </cell>
          <cell r="AC1576">
            <v>647458</v>
          </cell>
          <cell r="AD1576">
            <v>77694.959999999992</v>
          </cell>
          <cell r="AE1576">
            <v>0.12</v>
          </cell>
          <cell r="AF1576">
            <v>44351</v>
          </cell>
          <cell r="AG1576" t="str">
            <v>DAP SZ</v>
          </cell>
          <cell r="AK1576">
            <v>0.1</v>
          </cell>
          <cell r="AL1576">
            <v>898000</v>
          </cell>
          <cell r="AM1576">
            <v>44369</v>
          </cell>
          <cell r="AN1576" t="str">
            <v>Yes</v>
          </cell>
          <cell r="AO1576">
            <v>0.9</v>
          </cell>
          <cell r="AP1576">
            <v>8082000</v>
          </cell>
          <cell r="AQ1576">
            <v>44433</v>
          </cell>
          <cell r="AR1576">
            <v>44433</v>
          </cell>
          <cell r="AS1576">
            <v>0</v>
          </cell>
          <cell r="AT1576">
            <v>0</v>
          </cell>
          <cell r="AX1576" t="str">
            <v>Yes</v>
          </cell>
          <cell r="AZ1576" t="str">
            <v>Y</v>
          </cell>
          <cell r="BA1576" t="str">
            <v>Yes</v>
          </cell>
        </row>
        <row r="1577">
          <cell r="B1577">
            <v>1427</v>
          </cell>
          <cell r="C1577" t="str">
            <v>C49SZX20210169VG</v>
          </cell>
          <cell r="D1577" t="str">
            <v>狂热者</v>
          </cell>
          <cell r="E1577" t="str">
            <v>YSM20R-2</v>
          </cell>
          <cell r="I1577" t="str">
            <v>L-&gt;R</v>
          </cell>
          <cell r="J1577" t="str">
            <v>No</v>
          </cell>
          <cell r="K1577">
            <v>1</v>
          </cell>
          <cell r="R1577" t="str">
            <v>No</v>
          </cell>
          <cell r="S1577" t="str">
            <v>C49</v>
          </cell>
          <cell r="T1577" t="str">
            <v>SOUTH</v>
          </cell>
          <cell r="U1577" t="str">
            <v>深圳</v>
          </cell>
          <cell r="V1577" t="str">
            <v>SZ 深圳</v>
          </cell>
          <cell r="W1577" t="str">
            <v>VG</v>
          </cell>
          <cell r="X1577" t="str">
            <v>JPY</v>
          </cell>
          <cell r="Y1577">
            <v>14345000</v>
          </cell>
          <cell r="Z1577">
            <v>1</v>
          </cell>
          <cell r="AA1577">
            <v>14345000</v>
          </cell>
          <cell r="AB1577">
            <v>7.2099999999999997E-2</v>
          </cell>
          <cell r="AC1577">
            <v>1034274.5</v>
          </cell>
          <cell r="AD1577">
            <v>124112.94</v>
          </cell>
          <cell r="AE1577">
            <v>0.12</v>
          </cell>
          <cell r="AF1577">
            <v>44358</v>
          </cell>
          <cell r="AG1577" t="str">
            <v>DAP SZ</v>
          </cell>
          <cell r="AK1577">
            <v>0.1</v>
          </cell>
          <cell r="AL1577">
            <v>1434500</v>
          </cell>
          <cell r="AM1577">
            <v>44365</v>
          </cell>
          <cell r="AN1577" t="str">
            <v>Yes</v>
          </cell>
          <cell r="AO1577">
            <v>0.9</v>
          </cell>
          <cell r="AP1577">
            <v>12910500</v>
          </cell>
          <cell r="AR1577">
            <v>44454</v>
          </cell>
          <cell r="AS1577">
            <v>0</v>
          </cell>
          <cell r="AT1577">
            <v>0</v>
          </cell>
        </row>
        <row r="1578">
          <cell r="B1578">
            <v>1428</v>
          </cell>
          <cell r="C1578" t="str">
            <v>C49SZX20210169VG</v>
          </cell>
          <cell r="D1578" t="str">
            <v>狂热者</v>
          </cell>
          <cell r="E1578" t="str">
            <v>YSM20R-2</v>
          </cell>
          <cell r="I1578" t="str">
            <v>L-&gt;R</v>
          </cell>
          <cell r="J1578" t="str">
            <v>No</v>
          </cell>
          <cell r="K1578">
            <v>1</v>
          </cell>
          <cell r="R1578" t="str">
            <v>No</v>
          </cell>
          <cell r="S1578" t="str">
            <v>C49</v>
          </cell>
          <cell r="T1578" t="str">
            <v>SOUTH</v>
          </cell>
          <cell r="U1578" t="str">
            <v>深圳</v>
          </cell>
          <cell r="V1578" t="str">
            <v>SZ 深圳</v>
          </cell>
          <cell r="W1578" t="str">
            <v>VG</v>
          </cell>
          <cell r="X1578" t="str">
            <v>JPY</v>
          </cell>
          <cell r="Y1578">
            <v>14345000</v>
          </cell>
          <cell r="Z1578">
            <v>1</v>
          </cell>
          <cell r="AA1578">
            <v>14345000</v>
          </cell>
          <cell r="AB1578">
            <v>7.2099999999999997E-2</v>
          </cell>
          <cell r="AC1578">
            <v>1034274.5</v>
          </cell>
          <cell r="AD1578">
            <v>124112.94</v>
          </cell>
          <cell r="AE1578">
            <v>0.12</v>
          </cell>
          <cell r="AF1578">
            <v>44358</v>
          </cell>
          <cell r="AG1578" t="str">
            <v>DAP SZ</v>
          </cell>
          <cell r="AK1578">
            <v>0.1</v>
          </cell>
          <cell r="AL1578">
            <v>1434500</v>
          </cell>
          <cell r="AM1578">
            <v>44365</v>
          </cell>
          <cell r="AN1578" t="str">
            <v>Yes</v>
          </cell>
          <cell r="AO1578">
            <v>0.9</v>
          </cell>
          <cell r="AP1578">
            <v>12910500</v>
          </cell>
          <cell r="AS1578">
            <v>0</v>
          </cell>
          <cell r="AT1578">
            <v>0</v>
          </cell>
        </row>
        <row r="1579">
          <cell r="B1579">
            <v>1429</v>
          </cell>
          <cell r="C1579" t="str">
            <v>C49SZX20210169VG</v>
          </cell>
          <cell r="D1579" t="str">
            <v>狂热者</v>
          </cell>
          <cell r="E1579" t="str">
            <v>YSM10</v>
          </cell>
          <cell r="I1579" t="str">
            <v>L-&gt;R</v>
          </cell>
          <cell r="J1579" t="str">
            <v>MVC F&amp;R+ATS15</v>
          </cell>
          <cell r="K1579">
            <v>1</v>
          </cell>
          <cell r="R1579" t="str">
            <v>No</v>
          </cell>
          <cell r="S1579" t="str">
            <v>C49</v>
          </cell>
          <cell r="T1579" t="str">
            <v>SOUTH</v>
          </cell>
          <cell r="U1579" t="str">
            <v>深圳</v>
          </cell>
          <cell r="V1579" t="str">
            <v>SZ 深圳</v>
          </cell>
          <cell r="W1579" t="str">
            <v>VG</v>
          </cell>
          <cell r="X1579" t="str">
            <v>JPY</v>
          </cell>
          <cell r="Y1579">
            <v>8989000</v>
          </cell>
          <cell r="Z1579">
            <v>1</v>
          </cell>
          <cell r="AA1579">
            <v>8989000</v>
          </cell>
          <cell r="AB1579">
            <v>7.2099999999999997E-2</v>
          </cell>
          <cell r="AC1579">
            <v>648106.9</v>
          </cell>
          <cell r="AD1579">
            <v>77772.827999999994</v>
          </cell>
          <cell r="AE1579">
            <v>0.12</v>
          </cell>
          <cell r="AF1579">
            <v>44358</v>
          </cell>
          <cell r="AG1579" t="str">
            <v>DAP SZ</v>
          </cell>
          <cell r="AK1579">
            <v>0.1</v>
          </cell>
          <cell r="AL1579">
            <v>898900</v>
          </cell>
          <cell r="AM1579">
            <v>44365</v>
          </cell>
          <cell r="AN1579" t="str">
            <v>Yes</v>
          </cell>
          <cell r="AO1579">
            <v>0.9</v>
          </cell>
          <cell r="AP1579">
            <v>8090100</v>
          </cell>
          <cell r="AS1579">
            <v>0</v>
          </cell>
          <cell r="AT1579">
            <v>0</v>
          </cell>
        </row>
        <row r="1580">
          <cell r="B1580">
            <v>1430</v>
          </cell>
          <cell r="C1580" t="str">
            <v>C49SZX20210169VG（已发相机）</v>
          </cell>
          <cell r="D1580" t="str">
            <v>狂热者</v>
          </cell>
          <cell r="E1580" t="str">
            <v>YSM10</v>
          </cell>
          <cell r="I1580" t="str">
            <v>L-&gt;R</v>
          </cell>
          <cell r="J1580" t="str">
            <v>MVC+ATS15</v>
          </cell>
          <cell r="K1580">
            <v>1</v>
          </cell>
          <cell r="R1580" t="str">
            <v>No</v>
          </cell>
          <cell r="S1580" t="str">
            <v>C49</v>
          </cell>
          <cell r="T1580" t="str">
            <v>SOUTH</v>
          </cell>
          <cell r="U1580" t="str">
            <v>深圳</v>
          </cell>
          <cell r="V1580" t="str">
            <v>SZ 深圳</v>
          </cell>
          <cell r="W1580" t="str">
            <v>VG</v>
          </cell>
          <cell r="X1580" t="str">
            <v>JPY</v>
          </cell>
          <cell r="Y1580">
            <v>8989000</v>
          </cell>
          <cell r="Z1580">
            <v>1</v>
          </cell>
          <cell r="AA1580">
            <v>8989000</v>
          </cell>
          <cell r="AB1580">
            <v>7.2099999999999997E-2</v>
          </cell>
          <cell r="AC1580">
            <v>648106.9</v>
          </cell>
          <cell r="AD1580">
            <v>77772.827999999994</v>
          </cell>
          <cell r="AE1580">
            <v>0.12</v>
          </cell>
          <cell r="AF1580">
            <v>44358</v>
          </cell>
          <cell r="AG1580" t="str">
            <v>DAP SZ</v>
          </cell>
          <cell r="AK1580">
            <v>0.1</v>
          </cell>
          <cell r="AL1580">
            <v>898900</v>
          </cell>
          <cell r="AM1580">
            <v>44365</v>
          </cell>
          <cell r="AN1580" t="str">
            <v>Yes</v>
          </cell>
          <cell r="AO1580">
            <v>0.9</v>
          </cell>
          <cell r="AP1580">
            <v>8090100</v>
          </cell>
          <cell r="AS1580">
            <v>0</v>
          </cell>
          <cell r="AT1580">
            <v>0</v>
          </cell>
        </row>
        <row r="1581">
          <cell r="B1581">
            <v>1431</v>
          </cell>
          <cell r="C1581" t="str">
            <v>C49SZX20210168MZ</v>
          </cell>
          <cell r="D1581" t="str">
            <v>厚朴</v>
          </cell>
          <cell r="E1581" t="str">
            <v>YSM10</v>
          </cell>
          <cell r="F1581"/>
          <cell r="H1581"/>
          <cell r="I1581" t="str">
            <v>L-&gt;R</v>
          </cell>
          <cell r="J1581" t="str">
            <v>MVC</v>
          </cell>
          <cell r="K1581">
            <v>1</v>
          </cell>
          <cell r="L1581"/>
          <cell r="N1581"/>
          <cell r="O1581"/>
          <cell r="P1581"/>
          <cell r="Q1581"/>
          <cell r="R1581" t="str">
            <v>Yes</v>
          </cell>
          <cell r="S1581" t="str">
            <v>C49</v>
          </cell>
          <cell r="T1581" t="str">
            <v>SOUTH</v>
          </cell>
          <cell r="U1581" t="str">
            <v>深圳</v>
          </cell>
          <cell r="V1581" t="str">
            <v>SZ 深圳</v>
          </cell>
          <cell r="W1581" t="str">
            <v>MZ</v>
          </cell>
          <cell r="X1581" t="str">
            <v>JPY</v>
          </cell>
          <cell r="Y1581">
            <v>9225000</v>
          </cell>
          <cell r="Z1581">
            <v>1</v>
          </cell>
          <cell r="AA1581">
            <v>9225000</v>
          </cell>
          <cell r="AB1581">
            <v>7.2099999999999997E-2</v>
          </cell>
          <cell r="AC1581">
            <v>665122.5</v>
          </cell>
          <cell r="AD1581">
            <v>79814.7</v>
          </cell>
          <cell r="AE1581">
            <v>0.12</v>
          </cell>
          <cell r="AF1581">
            <v>44356</v>
          </cell>
          <cell r="AG1581" t="str">
            <v>DAP SZ</v>
          </cell>
          <cell r="AI1581"/>
          <cell r="AJ1581"/>
          <cell r="AK1581">
            <v>0.1</v>
          </cell>
          <cell r="AL1581">
            <v>922500</v>
          </cell>
          <cell r="AM1581"/>
          <cell r="AN1581" t="str">
            <v>No</v>
          </cell>
          <cell r="AO1581">
            <v>0.9</v>
          </cell>
          <cell r="AP1581">
            <v>8302500</v>
          </cell>
          <cell r="AQ1581"/>
          <cell r="AR1581"/>
          <cell r="AS1581">
            <v>0</v>
          </cell>
          <cell r="AT1581">
            <v>0</v>
          </cell>
          <cell r="AV1581"/>
          <cell r="AX1581" t="str">
            <v>Cancel</v>
          </cell>
          <cell r="AY1581"/>
          <cell r="AZ1581"/>
          <cell r="BA1581" t="str">
            <v>Cancel</v>
          </cell>
          <cell r="BB1581" t="str">
            <v>2022/10/10 Ken邮件通知</v>
          </cell>
        </row>
        <row r="1582">
          <cell r="B1582">
            <v>1432</v>
          </cell>
          <cell r="C1582" t="str">
            <v>C49SZX20210168MZ</v>
          </cell>
          <cell r="D1582" t="str">
            <v>厚朴</v>
          </cell>
          <cell r="E1582" t="str">
            <v>YSM10</v>
          </cell>
          <cell r="F1582"/>
          <cell r="H1582"/>
          <cell r="I1582" t="str">
            <v>L-&gt;R</v>
          </cell>
          <cell r="J1582" t="str">
            <v>No</v>
          </cell>
          <cell r="K1582">
            <v>1</v>
          </cell>
          <cell r="L1582"/>
          <cell r="N1582"/>
          <cell r="O1582"/>
          <cell r="P1582"/>
          <cell r="Q1582"/>
          <cell r="R1582" t="str">
            <v>Yes</v>
          </cell>
          <cell r="S1582" t="str">
            <v>C49</v>
          </cell>
          <cell r="T1582" t="str">
            <v>SOUTH</v>
          </cell>
          <cell r="U1582" t="str">
            <v>深圳</v>
          </cell>
          <cell r="V1582" t="str">
            <v>SZ 深圳</v>
          </cell>
          <cell r="W1582" t="str">
            <v>MZ</v>
          </cell>
          <cell r="X1582" t="str">
            <v>JPY</v>
          </cell>
          <cell r="Y1582">
            <v>9225000</v>
          </cell>
          <cell r="Z1582">
            <v>1</v>
          </cell>
          <cell r="AA1582">
            <v>9225000</v>
          </cell>
          <cell r="AB1582">
            <v>7.2099999999999997E-2</v>
          </cell>
          <cell r="AC1582">
            <v>665122.5</v>
          </cell>
          <cell r="AD1582">
            <v>79814.7</v>
          </cell>
          <cell r="AE1582">
            <v>0.12</v>
          </cell>
          <cell r="AF1582">
            <v>44356</v>
          </cell>
          <cell r="AG1582" t="str">
            <v>DAP SZ</v>
          </cell>
          <cell r="AI1582"/>
          <cell r="AJ1582"/>
          <cell r="AK1582">
            <v>0.1</v>
          </cell>
          <cell r="AL1582">
            <v>922500</v>
          </cell>
          <cell r="AM1582"/>
          <cell r="AN1582" t="str">
            <v>No</v>
          </cell>
          <cell r="AO1582">
            <v>0.9</v>
          </cell>
          <cell r="AP1582">
            <v>8302500</v>
          </cell>
          <cell r="AQ1582"/>
          <cell r="AR1582"/>
          <cell r="AS1582">
            <v>0</v>
          </cell>
          <cell r="AT1582">
            <v>0</v>
          </cell>
          <cell r="AV1582"/>
          <cell r="AX1582" t="str">
            <v>Cancel</v>
          </cell>
          <cell r="AY1582"/>
          <cell r="AZ1582"/>
          <cell r="BA1582" t="str">
            <v>Cancel</v>
          </cell>
          <cell r="BB1582" t="str">
            <v>2022/10/10 Ken邮件通知</v>
          </cell>
        </row>
        <row r="1583">
          <cell r="B1583">
            <v>1433</v>
          </cell>
          <cell r="C1583" t="str">
            <v>3011004716</v>
          </cell>
          <cell r="D1583" t="str">
            <v>PROTECH</v>
          </cell>
          <cell r="E1583" t="str">
            <v>YSM10</v>
          </cell>
          <cell r="F1583"/>
          <cell r="H1583"/>
          <cell r="I1583" t="str">
            <v>L-&gt;R</v>
          </cell>
          <cell r="J1583" t="str">
            <v>MVC</v>
          </cell>
          <cell r="K1583">
            <v>1</v>
          </cell>
          <cell r="L1583"/>
          <cell r="N1583"/>
          <cell r="O1583"/>
          <cell r="P1583"/>
          <cell r="Q1583"/>
          <cell r="R1583" t="str">
            <v>No</v>
          </cell>
          <cell r="S1583" t="str">
            <v>C49</v>
          </cell>
          <cell r="T1583" t="str">
            <v>SOUTH</v>
          </cell>
          <cell r="U1583" t="str">
            <v>香港</v>
          </cell>
          <cell r="V1583" t="str">
            <v>SZ 深圳</v>
          </cell>
          <cell r="W1583" t="str">
            <v>DY</v>
          </cell>
          <cell r="X1583" t="str">
            <v>JPY</v>
          </cell>
          <cell r="Y1583">
            <v>6350000</v>
          </cell>
          <cell r="Z1583">
            <v>1</v>
          </cell>
          <cell r="AA1583">
            <v>6350000</v>
          </cell>
          <cell r="AB1583">
            <v>7.2099999999999997E-2</v>
          </cell>
          <cell r="AC1583">
            <v>457835</v>
          </cell>
          <cell r="AD1583">
            <v>54940.2</v>
          </cell>
          <cell r="AE1583">
            <v>0.12</v>
          </cell>
          <cell r="AF1583">
            <v>44358</v>
          </cell>
          <cell r="AG1583" t="str">
            <v>CIF HK</v>
          </cell>
          <cell r="AI1583"/>
          <cell r="AJ1583"/>
          <cell r="AK1583" t="str">
            <v>100%L/C at sight</v>
          </cell>
          <cell r="AL1583">
            <v>6350000</v>
          </cell>
          <cell r="AM1583"/>
          <cell r="AN1583" t="str">
            <v>No</v>
          </cell>
          <cell r="AO1583">
            <v>0</v>
          </cell>
          <cell r="AP1583">
            <v>0</v>
          </cell>
          <cell r="AQ1583"/>
          <cell r="AR1583"/>
          <cell r="AS1583">
            <v>0</v>
          </cell>
          <cell r="AT1583">
            <v>0</v>
          </cell>
          <cell r="AV1583"/>
          <cell r="AX1583" t="str">
            <v>Cancel</v>
          </cell>
          <cell r="AY1583"/>
          <cell r="AZ1583"/>
          <cell r="BA1583" t="str">
            <v>Cancel</v>
          </cell>
          <cell r="BB1583" t="str">
            <v>2022/12/9 Ken邮件通知</v>
          </cell>
        </row>
        <row r="1584">
          <cell r="B1584">
            <v>1434</v>
          </cell>
          <cell r="C1584" t="str">
            <v>C49SZX20210172EC</v>
          </cell>
          <cell r="D1584" t="str">
            <v>科华/End user 美斯特</v>
          </cell>
          <cell r="E1584" t="str">
            <v>YSM10</v>
          </cell>
          <cell r="I1584" t="str">
            <v>L-&gt;R</v>
          </cell>
          <cell r="J1584" t="str">
            <v>MVC</v>
          </cell>
          <cell r="K1584">
            <v>1</v>
          </cell>
          <cell r="N1584">
            <v>44512</v>
          </cell>
          <cell r="O1584">
            <v>11100503</v>
          </cell>
          <cell r="P1584">
            <v>670000</v>
          </cell>
          <cell r="Q1584">
            <v>44519</v>
          </cell>
          <cell r="R1584" t="str">
            <v>No</v>
          </cell>
          <cell r="S1584" t="str">
            <v>C49</v>
          </cell>
          <cell r="T1584" t="str">
            <v>SOUTH</v>
          </cell>
          <cell r="U1584" t="str">
            <v>深圳</v>
          </cell>
          <cell r="V1584" t="str">
            <v>SZ 深圳</v>
          </cell>
          <cell r="W1584" t="str">
            <v>EC</v>
          </cell>
          <cell r="X1584" t="str">
            <v>RMB</v>
          </cell>
          <cell r="Y1584">
            <v>670000</v>
          </cell>
          <cell r="Z1584">
            <v>1.1299999999999999</v>
          </cell>
          <cell r="AA1584">
            <v>670000</v>
          </cell>
          <cell r="AB1584">
            <v>1.2150000000000001</v>
          </cell>
          <cell r="AC1584">
            <v>720398.23008849577</v>
          </cell>
          <cell r="AD1584">
            <v>86447.787610619489</v>
          </cell>
          <cell r="AE1584">
            <v>0.12</v>
          </cell>
          <cell r="AF1584">
            <v>44365</v>
          </cell>
          <cell r="AG1584" t="str">
            <v>DDP SZ</v>
          </cell>
          <cell r="AK1584">
            <v>0.3</v>
          </cell>
          <cell r="AL1584">
            <v>201000</v>
          </cell>
          <cell r="AM1584">
            <v>44369</v>
          </cell>
          <cell r="AN1584" t="str">
            <v>Yes</v>
          </cell>
          <cell r="AO1584">
            <v>0.7</v>
          </cell>
          <cell r="AP1584">
            <v>468999.99999999994</v>
          </cell>
          <cell r="AQ1584">
            <v>44508</v>
          </cell>
          <cell r="AR1584">
            <v>44508</v>
          </cell>
          <cell r="AS1584">
            <v>0</v>
          </cell>
          <cell r="AT1584">
            <v>0</v>
          </cell>
          <cell r="AX1584" t="str">
            <v>Yes</v>
          </cell>
          <cell r="AZ1584" t="str">
            <v>Y</v>
          </cell>
          <cell r="BA1584" t="str">
            <v>Yes</v>
          </cell>
        </row>
        <row r="1585">
          <cell r="B1585">
            <v>1435</v>
          </cell>
          <cell r="C1585" t="str">
            <v>C49SZX20210173AY</v>
          </cell>
          <cell r="D1585" t="str">
            <v>三丽（End user:东莞长志）</v>
          </cell>
          <cell r="E1585" t="str">
            <v>YSM10</v>
          </cell>
          <cell r="I1585" t="str">
            <v>L-&gt;R</v>
          </cell>
          <cell r="J1585" t="str">
            <v>No</v>
          </cell>
          <cell r="K1585">
            <v>1</v>
          </cell>
          <cell r="N1585">
            <v>44782</v>
          </cell>
          <cell r="O1585">
            <v>11116792</v>
          </cell>
          <cell r="P1585">
            <v>9200000</v>
          </cell>
          <cell r="Q1585">
            <v>44783</v>
          </cell>
          <cell r="R1585" t="str">
            <v>Yes</v>
          </cell>
          <cell r="S1585" t="str">
            <v>C49</v>
          </cell>
          <cell r="T1585" t="str">
            <v>SOUTH</v>
          </cell>
          <cell r="U1585" t="str">
            <v>深圳</v>
          </cell>
          <cell r="V1585" t="str">
            <v>SZ 深圳</v>
          </cell>
          <cell r="W1585" t="str">
            <v>AY</v>
          </cell>
          <cell r="X1585" t="str">
            <v>JPY</v>
          </cell>
          <cell r="Y1585">
            <v>9200000</v>
          </cell>
          <cell r="Z1585">
            <v>1</v>
          </cell>
          <cell r="AA1585">
            <v>9200000</v>
          </cell>
          <cell r="AB1585">
            <v>7.2099999999999997E-2</v>
          </cell>
          <cell r="AC1585">
            <v>663320</v>
          </cell>
          <cell r="AD1585">
            <v>79598.399999999994</v>
          </cell>
          <cell r="AE1585">
            <v>0.12</v>
          </cell>
          <cell r="AF1585">
            <v>44369</v>
          </cell>
          <cell r="AG1585" t="str">
            <v>DAP SZ</v>
          </cell>
          <cell r="AI1585">
            <v>30000</v>
          </cell>
          <cell r="AJ1585">
            <v>44370</v>
          </cell>
          <cell r="AK1585">
            <v>0.1</v>
          </cell>
          <cell r="AL1585">
            <v>920000</v>
          </cell>
          <cell r="AM1585">
            <v>44775</v>
          </cell>
          <cell r="AN1585" t="str">
            <v>Yes</v>
          </cell>
          <cell r="AO1585">
            <v>0.9</v>
          </cell>
          <cell r="AP1585">
            <v>8280000</v>
          </cell>
          <cell r="AQ1585">
            <v>44778</v>
          </cell>
          <cell r="AR1585">
            <v>44778</v>
          </cell>
          <cell r="AS1585">
            <v>0</v>
          </cell>
          <cell r="AT1585">
            <v>0</v>
          </cell>
          <cell r="AX1585" t="str">
            <v>Yes</v>
          </cell>
          <cell r="AZ1585" t="str">
            <v>Y</v>
          </cell>
          <cell r="BA1585" t="str">
            <v>Yes</v>
          </cell>
        </row>
        <row r="1586">
          <cell r="B1586">
            <v>1436</v>
          </cell>
          <cell r="C1586" t="str">
            <v>C49SZX20210175SX</v>
          </cell>
          <cell r="D1586" t="str">
            <v>拓新伟业</v>
          </cell>
          <cell r="E1586" t="str">
            <v>YSM40R-4</v>
          </cell>
          <cell r="I1586" t="str">
            <v>L-&gt;R</v>
          </cell>
          <cell r="J1586" t="str">
            <v>No</v>
          </cell>
          <cell r="K1586">
            <v>1</v>
          </cell>
          <cell r="N1586">
            <v>44434</v>
          </cell>
          <cell r="O1586">
            <v>11100497</v>
          </cell>
          <cell r="P1586">
            <v>1244000</v>
          </cell>
          <cell r="Q1586">
            <v>44435</v>
          </cell>
          <cell r="R1586" t="str">
            <v>No</v>
          </cell>
          <cell r="S1586" t="str">
            <v>C49</v>
          </cell>
          <cell r="T1586" t="str">
            <v>SOUTH</v>
          </cell>
          <cell r="U1586" t="str">
            <v>深圳</v>
          </cell>
          <cell r="V1586" t="str">
            <v>SZ 深圳</v>
          </cell>
          <cell r="W1586" t="str">
            <v>SX</v>
          </cell>
          <cell r="X1586" t="str">
            <v>RMB</v>
          </cell>
          <cell r="Y1586">
            <v>1244000</v>
          </cell>
          <cell r="Z1586">
            <v>1.1299999999999999</v>
          </cell>
          <cell r="AA1586">
            <v>1244000</v>
          </cell>
          <cell r="AB1586">
            <v>1.2150000000000001</v>
          </cell>
          <cell r="AC1586">
            <v>1337575.2212389384</v>
          </cell>
          <cell r="AD1586">
            <v>160509.02654867261</v>
          </cell>
          <cell r="AE1586">
            <v>0.12</v>
          </cell>
          <cell r="AF1586">
            <v>44370</v>
          </cell>
          <cell r="AG1586" t="str">
            <v>DDP SZ</v>
          </cell>
          <cell r="AI1586"/>
          <cell r="AJ1586"/>
          <cell r="AK1586">
            <v>0.2</v>
          </cell>
          <cell r="AL1586">
            <v>248800</v>
          </cell>
          <cell r="AM1586">
            <v>44428</v>
          </cell>
          <cell r="AN1586" t="str">
            <v>Yes</v>
          </cell>
          <cell r="AO1586">
            <v>0.8</v>
          </cell>
          <cell r="AP1586">
            <v>995200</v>
          </cell>
          <cell r="AQ1586">
            <v>44432</v>
          </cell>
          <cell r="AR1586">
            <v>44432</v>
          </cell>
          <cell r="AS1586">
            <v>0</v>
          </cell>
          <cell r="AT1586">
            <v>0</v>
          </cell>
          <cell r="AX1586" t="str">
            <v>Yes</v>
          </cell>
          <cell r="AZ1586" t="str">
            <v>Y</v>
          </cell>
          <cell r="BA1586" t="str">
            <v>Yes</v>
          </cell>
        </row>
        <row r="1587">
          <cell r="B1587">
            <v>1437</v>
          </cell>
          <cell r="C1587" t="str">
            <v>C49SZX20210175SX</v>
          </cell>
          <cell r="D1587" t="str">
            <v>拓新伟业</v>
          </cell>
          <cell r="E1587" t="str">
            <v>YSM40R-4</v>
          </cell>
          <cell r="I1587" t="str">
            <v>L-&gt;R</v>
          </cell>
          <cell r="J1587" t="str">
            <v>No</v>
          </cell>
          <cell r="K1587">
            <v>1</v>
          </cell>
          <cell r="N1587">
            <v>44434</v>
          </cell>
          <cell r="O1587">
            <v>11100497</v>
          </cell>
          <cell r="P1587">
            <v>1244000</v>
          </cell>
          <cell r="Q1587">
            <v>44435</v>
          </cell>
          <cell r="R1587" t="str">
            <v>No</v>
          </cell>
          <cell r="S1587" t="str">
            <v>C49</v>
          </cell>
          <cell r="T1587" t="str">
            <v>SOUTH</v>
          </cell>
          <cell r="U1587" t="str">
            <v>深圳</v>
          </cell>
          <cell r="V1587" t="str">
            <v>SZ 深圳</v>
          </cell>
          <cell r="W1587" t="str">
            <v>SX</v>
          </cell>
          <cell r="X1587" t="str">
            <v>RMB</v>
          </cell>
          <cell r="Y1587">
            <v>1244000</v>
          </cell>
          <cell r="Z1587">
            <v>1.1299999999999999</v>
          </cell>
          <cell r="AA1587">
            <v>1244000</v>
          </cell>
          <cell r="AB1587">
            <v>1.2150000000000001</v>
          </cell>
          <cell r="AC1587">
            <v>1337575.2212389384</v>
          </cell>
          <cell r="AD1587">
            <v>160509.02654867261</v>
          </cell>
          <cell r="AE1587">
            <v>0.12</v>
          </cell>
          <cell r="AF1587">
            <v>44370</v>
          </cell>
          <cell r="AG1587" t="str">
            <v>DDP SZ</v>
          </cell>
          <cell r="AI1587"/>
          <cell r="AJ1587"/>
          <cell r="AK1587">
            <v>0.2</v>
          </cell>
          <cell r="AL1587">
            <v>248800</v>
          </cell>
          <cell r="AM1587">
            <v>44428</v>
          </cell>
          <cell r="AN1587" t="str">
            <v>Yes</v>
          </cell>
          <cell r="AO1587">
            <v>0.8</v>
          </cell>
          <cell r="AP1587">
            <v>995200</v>
          </cell>
          <cell r="AQ1587">
            <v>44432</v>
          </cell>
          <cell r="AR1587">
            <v>44432</v>
          </cell>
          <cell r="AS1587">
            <v>0</v>
          </cell>
          <cell r="AT1587">
            <v>0</v>
          </cell>
          <cell r="AX1587" t="str">
            <v>Yes</v>
          </cell>
          <cell r="AZ1587" t="str">
            <v>Y</v>
          </cell>
          <cell r="BA1587" t="str">
            <v>Yes</v>
          </cell>
        </row>
        <row r="1588">
          <cell r="B1588">
            <v>1438</v>
          </cell>
          <cell r="C1588" t="str">
            <v>C49SZX20210175SX</v>
          </cell>
          <cell r="D1588" t="str">
            <v>拓新伟业</v>
          </cell>
          <cell r="E1588" t="str">
            <v>YSM40R-4</v>
          </cell>
          <cell r="I1588" t="str">
            <v>L-&gt;R</v>
          </cell>
          <cell r="J1588" t="str">
            <v>No</v>
          </cell>
          <cell r="K1588">
            <v>1</v>
          </cell>
          <cell r="N1588">
            <v>44434</v>
          </cell>
          <cell r="O1588">
            <v>11100497</v>
          </cell>
          <cell r="P1588">
            <v>1244000</v>
          </cell>
          <cell r="Q1588">
            <v>44435</v>
          </cell>
          <cell r="R1588" t="str">
            <v>No</v>
          </cell>
          <cell r="S1588" t="str">
            <v>C49</v>
          </cell>
          <cell r="T1588" t="str">
            <v>SOUTH</v>
          </cell>
          <cell r="U1588" t="str">
            <v>深圳</v>
          </cell>
          <cell r="V1588" t="str">
            <v>SZ 深圳</v>
          </cell>
          <cell r="W1588" t="str">
            <v>SX</v>
          </cell>
          <cell r="X1588" t="str">
            <v>RMB</v>
          </cell>
          <cell r="Y1588">
            <v>1244000</v>
          </cell>
          <cell r="Z1588">
            <v>1.1299999999999999</v>
          </cell>
          <cell r="AA1588">
            <v>1244000</v>
          </cell>
          <cell r="AB1588">
            <v>1.2150000000000001</v>
          </cell>
          <cell r="AC1588">
            <v>1337575.2212389384</v>
          </cell>
          <cell r="AD1588">
            <v>160509.02654867261</v>
          </cell>
          <cell r="AE1588">
            <v>0.12</v>
          </cell>
          <cell r="AF1588">
            <v>44370</v>
          </cell>
          <cell r="AG1588" t="str">
            <v>DDP SZ</v>
          </cell>
          <cell r="AI1588"/>
          <cell r="AJ1588"/>
          <cell r="AK1588">
            <v>0.2</v>
          </cell>
          <cell r="AL1588">
            <v>248800</v>
          </cell>
          <cell r="AM1588">
            <v>44428</v>
          </cell>
          <cell r="AN1588" t="str">
            <v>Yes</v>
          </cell>
          <cell r="AO1588">
            <v>0.8</v>
          </cell>
          <cell r="AP1588">
            <v>995200</v>
          </cell>
          <cell r="AQ1588">
            <v>44432</v>
          </cell>
          <cell r="AR1588">
            <v>44432</v>
          </cell>
          <cell r="AS1588">
            <v>0</v>
          </cell>
          <cell r="AT1588">
            <v>0</v>
          </cell>
          <cell r="AX1588" t="str">
            <v>Yes</v>
          </cell>
          <cell r="AZ1588" t="str">
            <v>Y</v>
          </cell>
          <cell r="BA1588" t="str">
            <v>Yes</v>
          </cell>
        </row>
        <row r="1589">
          <cell r="B1589">
            <v>1439</v>
          </cell>
          <cell r="C1589" t="str">
            <v>C49SZX20210130R1JY</v>
          </cell>
          <cell r="D1589" t="str">
            <v>海松微</v>
          </cell>
          <cell r="E1589" t="str">
            <v>YSM20R-2</v>
          </cell>
          <cell r="I1589" t="str">
            <v>L-&gt;R</v>
          </cell>
          <cell r="J1589" t="str">
            <v>No</v>
          </cell>
          <cell r="K1589">
            <v>1</v>
          </cell>
          <cell r="N1589">
            <v>44663</v>
          </cell>
          <cell r="O1589">
            <v>11116736</v>
          </cell>
          <cell r="P1589">
            <v>13488000</v>
          </cell>
          <cell r="Q1589">
            <v>44673</v>
          </cell>
          <cell r="R1589" t="str">
            <v>No</v>
          </cell>
          <cell r="S1589" t="str">
            <v>C49</v>
          </cell>
          <cell r="T1589" t="str">
            <v>SOUTH</v>
          </cell>
          <cell r="U1589" t="str">
            <v>深圳</v>
          </cell>
          <cell r="V1589" t="str">
            <v>SZ 深圳</v>
          </cell>
          <cell r="W1589" t="str">
            <v>JY</v>
          </cell>
          <cell r="X1589" t="str">
            <v>JPY</v>
          </cell>
          <cell r="Y1589">
            <v>13488000</v>
          </cell>
          <cell r="Z1589">
            <v>1</v>
          </cell>
          <cell r="AA1589">
            <v>13488000</v>
          </cell>
          <cell r="AB1589">
            <v>7.2099999999999997E-2</v>
          </cell>
          <cell r="AC1589">
            <v>972484.79999999993</v>
          </cell>
          <cell r="AD1589">
            <v>116698.17599999999</v>
          </cell>
          <cell r="AE1589">
            <v>0.12</v>
          </cell>
          <cell r="AF1589">
            <v>44372</v>
          </cell>
          <cell r="AG1589" t="str">
            <v>DAP SZ</v>
          </cell>
          <cell r="AK1589" t="str">
            <v>Agree</v>
          </cell>
          <cell r="AL1589">
            <v>1000000</v>
          </cell>
          <cell r="AM1589">
            <v>44377</v>
          </cell>
          <cell r="AN1589" t="str">
            <v>Yes</v>
          </cell>
          <cell r="AO1589">
            <v>0.9</v>
          </cell>
          <cell r="AP1589">
            <v>12139200</v>
          </cell>
          <cell r="AQ1589">
            <v>44651</v>
          </cell>
          <cell r="AR1589">
            <v>44651</v>
          </cell>
          <cell r="AS1589">
            <v>0</v>
          </cell>
          <cell r="AT1589">
            <v>0</v>
          </cell>
          <cell r="AX1589" t="str">
            <v>Yes</v>
          </cell>
          <cell r="AZ1589" t="str">
            <v>Y</v>
          </cell>
          <cell r="BA1589" t="str">
            <v>Yes</v>
          </cell>
        </row>
        <row r="1590">
          <cell r="B1590">
            <v>1440</v>
          </cell>
          <cell r="C1590" t="str">
            <v>C49SZX20210130R1JY</v>
          </cell>
          <cell r="D1590" t="str">
            <v>海松微（最终需要从C49SZX20210120R1JY中拆除YSM20R相机改为YSM10相机）</v>
          </cell>
          <cell r="E1590" t="str">
            <v>YSM10</v>
          </cell>
          <cell r="I1590" t="str">
            <v>L-&gt;R</v>
          </cell>
          <cell r="J1590" t="str">
            <v>No</v>
          </cell>
          <cell r="K1590">
            <v>1</v>
          </cell>
          <cell r="N1590">
            <v>44663</v>
          </cell>
          <cell r="O1590">
            <v>11116736</v>
          </cell>
          <cell r="P1590">
            <v>7900000</v>
          </cell>
          <cell r="Q1590">
            <v>44673</v>
          </cell>
          <cell r="R1590" t="str">
            <v>No</v>
          </cell>
          <cell r="S1590" t="str">
            <v>C49</v>
          </cell>
          <cell r="T1590" t="str">
            <v>SOUTH</v>
          </cell>
          <cell r="U1590" t="str">
            <v>深圳</v>
          </cell>
          <cell r="V1590" t="str">
            <v>SZ 深圳</v>
          </cell>
          <cell r="W1590" t="str">
            <v>JY</v>
          </cell>
          <cell r="X1590" t="str">
            <v>JPY</v>
          </cell>
          <cell r="Y1590">
            <v>7900000</v>
          </cell>
          <cell r="Z1590">
            <v>1</v>
          </cell>
          <cell r="AA1590">
            <v>7900000</v>
          </cell>
          <cell r="AB1590">
            <v>7.2099999999999997E-2</v>
          </cell>
          <cell r="AC1590">
            <v>569590</v>
          </cell>
          <cell r="AD1590">
            <v>68350.8</v>
          </cell>
          <cell r="AE1590">
            <v>0.12</v>
          </cell>
          <cell r="AF1590">
            <v>44372</v>
          </cell>
          <cell r="AG1590" t="str">
            <v>DAP SZ</v>
          </cell>
          <cell r="AK1590"/>
          <cell r="AL1590"/>
          <cell r="AM1590">
            <v>44377</v>
          </cell>
          <cell r="AN1590" t="str">
            <v>Yes</v>
          </cell>
          <cell r="AO1590">
            <v>0.9</v>
          </cell>
          <cell r="AP1590">
            <v>7110000</v>
          </cell>
          <cell r="AQ1590">
            <v>44651</v>
          </cell>
          <cell r="AR1590">
            <v>44651</v>
          </cell>
          <cell r="AS1590">
            <v>0</v>
          </cell>
          <cell r="AT1590">
            <v>0</v>
          </cell>
          <cell r="AX1590" t="str">
            <v>Yes</v>
          </cell>
          <cell r="AZ1590" t="str">
            <v>Y</v>
          </cell>
          <cell r="BA1590" t="str">
            <v>Yes</v>
          </cell>
        </row>
        <row r="1591">
          <cell r="B1591">
            <v>1441</v>
          </cell>
          <cell r="C1591" t="str">
            <v>C49SZX20210130R1JY</v>
          </cell>
          <cell r="D1591" t="str">
            <v>海松微</v>
          </cell>
          <cell r="E1591" t="str">
            <v>YSM10</v>
          </cell>
          <cell r="I1591" t="str">
            <v>L-&gt;R</v>
          </cell>
          <cell r="J1591" t="str">
            <v>MVC</v>
          </cell>
          <cell r="K1591">
            <v>1</v>
          </cell>
          <cell r="N1591">
            <v>44663</v>
          </cell>
          <cell r="O1591">
            <v>11116731</v>
          </cell>
          <cell r="P1591">
            <v>7900000</v>
          </cell>
          <cell r="Q1591">
            <v>44673</v>
          </cell>
          <cell r="R1591" t="str">
            <v>No</v>
          </cell>
          <cell r="S1591" t="str">
            <v>C49</v>
          </cell>
          <cell r="T1591" t="str">
            <v>SOUTH</v>
          </cell>
          <cell r="U1591" t="str">
            <v>深圳</v>
          </cell>
          <cell r="V1591" t="str">
            <v>SZ 深圳</v>
          </cell>
          <cell r="W1591" t="str">
            <v>JY</v>
          </cell>
          <cell r="X1591" t="str">
            <v>JPY</v>
          </cell>
          <cell r="Y1591">
            <v>7900000</v>
          </cell>
          <cell r="Z1591">
            <v>1</v>
          </cell>
          <cell r="AA1591">
            <v>7900000</v>
          </cell>
          <cell r="AB1591">
            <v>7.2099999999999997E-2</v>
          </cell>
          <cell r="AC1591">
            <v>569590</v>
          </cell>
          <cell r="AD1591">
            <v>68350.8</v>
          </cell>
          <cell r="AE1591">
            <v>0.12</v>
          </cell>
          <cell r="AF1591">
            <v>44372</v>
          </cell>
          <cell r="AG1591" t="str">
            <v>DAP SZ</v>
          </cell>
          <cell r="AK1591"/>
          <cell r="AL1591"/>
          <cell r="AM1591">
            <v>44377</v>
          </cell>
          <cell r="AN1591" t="str">
            <v>Yes</v>
          </cell>
          <cell r="AO1591">
            <v>0.9</v>
          </cell>
          <cell r="AP1591">
            <v>7110000</v>
          </cell>
          <cell r="AQ1591">
            <v>44651</v>
          </cell>
          <cell r="AR1591">
            <v>44651</v>
          </cell>
          <cell r="AS1591">
            <v>0</v>
          </cell>
          <cell r="AT1591">
            <v>0</v>
          </cell>
          <cell r="AX1591" t="str">
            <v>Yes</v>
          </cell>
          <cell r="AZ1591" t="str">
            <v>Y</v>
          </cell>
          <cell r="BA1591" t="str">
            <v>Yes</v>
          </cell>
        </row>
        <row r="1592">
          <cell r="B1592">
            <v>1442</v>
          </cell>
          <cell r="C1592" t="str">
            <v>C49SZX20210176R1JY</v>
          </cell>
          <cell r="D1592" t="str">
            <v>建航</v>
          </cell>
          <cell r="E1592" t="str">
            <v>YSM20R-2</v>
          </cell>
          <cell r="I1592" t="str">
            <v>L-&gt;R</v>
          </cell>
          <cell r="J1592" t="str">
            <v>MVC</v>
          </cell>
          <cell r="K1592">
            <v>1</v>
          </cell>
          <cell r="N1592">
            <v>44586</v>
          </cell>
          <cell r="O1592">
            <v>11116696</v>
          </cell>
          <cell r="P1592">
            <v>12270000</v>
          </cell>
          <cell r="Q1592">
            <v>44587</v>
          </cell>
          <cell r="R1592" t="str">
            <v>No</v>
          </cell>
          <cell r="S1592" t="str">
            <v>C49</v>
          </cell>
          <cell r="T1592" t="str">
            <v>SOUTH</v>
          </cell>
          <cell r="U1592" t="str">
            <v>深圳</v>
          </cell>
          <cell r="V1592" t="str">
            <v>SZ 深圳</v>
          </cell>
          <cell r="W1592" t="str">
            <v>JY</v>
          </cell>
          <cell r="X1592" t="str">
            <v>JPY</v>
          </cell>
          <cell r="Y1592">
            <v>12270000</v>
          </cell>
          <cell r="Z1592">
            <v>1</v>
          </cell>
          <cell r="AA1592">
            <v>12270000</v>
          </cell>
          <cell r="AB1592">
            <v>7.2099999999999997E-2</v>
          </cell>
          <cell r="AC1592">
            <v>884667</v>
          </cell>
          <cell r="AD1592">
            <v>106160.04</v>
          </cell>
          <cell r="AE1592">
            <v>0.12</v>
          </cell>
          <cell r="AF1592">
            <v>44372</v>
          </cell>
          <cell r="AG1592" t="str">
            <v>DAP SZ</v>
          </cell>
          <cell r="AK1592" t="str">
            <v>Agree</v>
          </cell>
          <cell r="AL1592">
            <v>1030910</v>
          </cell>
          <cell r="AM1592">
            <v>44379</v>
          </cell>
          <cell r="AN1592" t="str">
            <v>Yes</v>
          </cell>
          <cell r="AO1592">
            <v>0.9</v>
          </cell>
          <cell r="AP1592">
            <v>11043000</v>
          </cell>
          <cell r="AQ1592">
            <v>44585</v>
          </cell>
          <cell r="AR1592">
            <v>44585</v>
          </cell>
          <cell r="AS1592">
            <v>0</v>
          </cell>
          <cell r="AT1592">
            <v>0</v>
          </cell>
          <cell r="AX1592" t="str">
            <v>Yes</v>
          </cell>
          <cell r="AZ1592" t="str">
            <v>Y</v>
          </cell>
          <cell r="BA1592" t="str">
            <v>Yes</v>
          </cell>
        </row>
        <row r="1593">
          <cell r="B1593">
            <v>1443</v>
          </cell>
          <cell r="C1593" t="str">
            <v>C49SZX20210176R1JY</v>
          </cell>
          <cell r="D1593" t="str">
            <v>建航</v>
          </cell>
          <cell r="E1593" t="str">
            <v>YSM20R-2</v>
          </cell>
          <cell r="I1593" t="str">
            <v>L-&gt;R</v>
          </cell>
          <cell r="J1593" t="str">
            <v>No</v>
          </cell>
          <cell r="K1593">
            <v>1</v>
          </cell>
          <cell r="N1593">
            <v>44741</v>
          </cell>
          <cell r="O1593">
            <v>11116774</v>
          </cell>
          <cell r="P1593">
            <v>12270000</v>
          </cell>
          <cell r="Q1593">
            <v>44741</v>
          </cell>
          <cell r="R1593" t="str">
            <v>No</v>
          </cell>
          <cell r="S1593" t="str">
            <v>C49</v>
          </cell>
          <cell r="T1593" t="str">
            <v>SOUTH</v>
          </cell>
          <cell r="U1593" t="str">
            <v>深圳</v>
          </cell>
          <cell r="V1593" t="str">
            <v>SZ 深圳</v>
          </cell>
          <cell r="W1593" t="str">
            <v>JY</v>
          </cell>
          <cell r="X1593" t="str">
            <v>JPY</v>
          </cell>
          <cell r="Y1593">
            <v>12270000</v>
          </cell>
          <cell r="Z1593">
            <v>1</v>
          </cell>
          <cell r="AA1593">
            <v>12270000</v>
          </cell>
          <cell r="AB1593">
            <v>7.2099999999999997E-2</v>
          </cell>
          <cell r="AC1593">
            <v>884667</v>
          </cell>
          <cell r="AD1593">
            <v>106160.04</v>
          </cell>
          <cell r="AE1593">
            <v>0.12</v>
          </cell>
          <cell r="AF1593">
            <v>44372</v>
          </cell>
          <cell r="AG1593" t="str">
            <v>DAP SZ</v>
          </cell>
          <cell r="AK1593"/>
          <cell r="AL1593"/>
          <cell r="AM1593">
            <v>44379</v>
          </cell>
          <cell r="AN1593" t="str">
            <v>Yes</v>
          </cell>
          <cell r="AO1593">
            <v>0.9</v>
          </cell>
          <cell r="AP1593">
            <v>11043000</v>
          </cell>
          <cell r="AS1593">
            <v>0</v>
          </cell>
          <cell r="AT1593">
            <v>0</v>
          </cell>
          <cell r="AX1593" t="str">
            <v>Yes</v>
          </cell>
          <cell r="AZ1593" t="str">
            <v>Y</v>
          </cell>
          <cell r="BA1593" t="str">
            <v>Yes</v>
          </cell>
        </row>
        <row r="1594">
          <cell r="B1594">
            <v>1444</v>
          </cell>
          <cell r="C1594" t="str">
            <v>C49SZX20210176R1JY</v>
          </cell>
          <cell r="D1594" t="str">
            <v>建航</v>
          </cell>
          <cell r="E1594" t="str">
            <v>YSM20R-2</v>
          </cell>
          <cell r="I1594" t="str">
            <v>L-&gt;R</v>
          </cell>
          <cell r="J1594" t="str">
            <v>No</v>
          </cell>
          <cell r="K1594">
            <v>1</v>
          </cell>
          <cell r="N1594">
            <v>44741</v>
          </cell>
          <cell r="O1594">
            <v>11116774</v>
          </cell>
          <cell r="P1594">
            <v>12270000</v>
          </cell>
          <cell r="Q1594">
            <v>44741</v>
          </cell>
          <cell r="R1594" t="str">
            <v>No</v>
          </cell>
          <cell r="S1594" t="str">
            <v>C49</v>
          </cell>
          <cell r="T1594" t="str">
            <v>SOUTH</v>
          </cell>
          <cell r="U1594" t="str">
            <v>深圳</v>
          </cell>
          <cell r="V1594" t="str">
            <v>SZ 深圳</v>
          </cell>
          <cell r="W1594" t="str">
            <v>JY</v>
          </cell>
          <cell r="X1594" t="str">
            <v>JPY</v>
          </cell>
          <cell r="Y1594">
            <v>12270000</v>
          </cell>
          <cell r="Z1594">
            <v>1</v>
          </cell>
          <cell r="AA1594">
            <v>12270000</v>
          </cell>
          <cell r="AB1594">
            <v>7.2099999999999997E-2</v>
          </cell>
          <cell r="AC1594">
            <v>884667</v>
          </cell>
          <cell r="AD1594">
            <v>106160.04</v>
          </cell>
          <cell r="AE1594">
            <v>0.12</v>
          </cell>
          <cell r="AF1594">
            <v>44372</v>
          </cell>
          <cell r="AG1594" t="str">
            <v>DAP SZ</v>
          </cell>
          <cell r="AK1594"/>
          <cell r="AL1594"/>
          <cell r="AM1594">
            <v>44379</v>
          </cell>
          <cell r="AN1594" t="str">
            <v>Yes</v>
          </cell>
          <cell r="AO1594">
            <v>0.9</v>
          </cell>
          <cell r="AP1594">
            <v>11043000</v>
          </cell>
          <cell r="AS1594">
            <v>0</v>
          </cell>
          <cell r="AT1594">
            <v>0</v>
          </cell>
          <cell r="AX1594" t="str">
            <v>Yes</v>
          </cell>
          <cell r="AZ1594" t="str">
            <v>Y</v>
          </cell>
          <cell r="BA1594" t="str">
            <v>Yes</v>
          </cell>
        </row>
        <row r="1595">
          <cell r="B1595">
            <v>1445</v>
          </cell>
          <cell r="C1595" t="str">
            <v>C49SZX20210177SS</v>
          </cell>
          <cell r="D1595" t="str">
            <v>乐凡电子</v>
          </cell>
          <cell r="E1595" t="str">
            <v>YSM20R-2</v>
          </cell>
          <cell r="I1595" t="str">
            <v>R-&gt;L</v>
          </cell>
          <cell r="J1595" t="str">
            <v>No</v>
          </cell>
          <cell r="K1595">
            <v>1</v>
          </cell>
          <cell r="N1595">
            <v>44665</v>
          </cell>
          <cell r="O1595">
            <v>11116741</v>
          </cell>
          <cell r="P1595">
            <v>12000000</v>
          </cell>
          <cell r="Q1595">
            <v>44676</v>
          </cell>
          <cell r="R1595" t="str">
            <v>No</v>
          </cell>
          <cell r="S1595" t="str">
            <v>C49</v>
          </cell>
          <cell r="T1595" t="str">
            <v>SOUTH</v>
          </cell>
          <cell r="U1595" t="str">
            <v>深圳</v>
          </cell>
          <cell r="V1595" t="str">
            <v>SZ 深圳</v>
          </cell>
          <cell r="W1595" t="str">
            <v>SS</v>
          </cell>
          <cell r="X1595" t="str">
            <v>JPY</v>
          </cell>
          <cell r="Y1595">
            <v>12000000</v>
          </cell>
          <cell r="Z1595">
            <v>1</v>
          </cell>
          <cell r="AA1595">
            <v>12000000</v>
          </cell>
          <cell r="AB1595">
            <v>7.2099999999999997E-2</v>
          </cell>
          <cell r="AC1595">
            <v>865200</v>
          </cell>
          <cell r="AD1595">
            <v>103824</v>
          </cell>
          <cell r="AE1595">
            <v>0.12</v>
          </cell>
          <cell r="AF1595">
            <v>44372</v>
          </cell>
          <cell r="AG1595" t="str">
            <v>DAP SZ</v>
          </cell>
          <cell r="AI1595">
            <v>30000</v>
          </cell>
          <cell r="AJ1595">
            <v>44431</v>
          </cell>
          <cell r="AK1595">
            <v>0.1</v>
          </cell>
          <cell r="AL1595">
            <v>1200000</v>
          </cell>
          <cell r="AM1595">
            <v>44573</v>
          </cell>
          <cell r="AN1595" t="str">
            <v>Yes</v>
          </cell>
          <cell r="AO1595">
            <v>0.9</v>
          </cell>
          <cell r="AP1595">
            <v>10800000</v>
          </cell>
          <cell r="AQ1595">
            <v>44624</v>
          </cell>
          <cell r="AR1595">
            <v>44624</v>
          </cell>
          <cell r="AS1595">
            <v>0</v>
          </cell>
          <cell r="AT1595">
            <v>0</v>
          </cell>
          <cell r="AX1595" t="str">
            <v>Yes</v>
          </cell>
          <cell r="AZ1595" t="str">
            <v>Y</v>
          </cell>
          <cell r="BA1595" t="str">
            <v>Yes</v>
          </cell>
        </row>
        <row r="1596">
          <cell r="B1596">
            <v>1446</v>
          </cell>
          <cell r="C1596" t="str">
            <v>C49SZX20210177SS</v>
          </cell>
          <cell r="D1596" t="str">
            <v>乐凡电子</v>
          </cell>
          <cell r="E1596" t="str">
            <v>YSM10</v>
          </cell>
          <cell r="I1596" t="str">
            <v>R-&gt;L</v>
          </cell>
          <cell r="J1596" t="str">
            <v>MVC</v>
          </cell>
          <cell r="K1596">
            <v>1</v>
          </cell>
          <cell r="N1596">
            <v>44665</v>
          </cell>
          <cell r="O1596">
            <v>11116741</v>
          </cell>
          <cell r="P1596">
            <v>8800000</v>
          </cell>
          <cell r="Q1596">
            <v>44676</v>
          </cell>
          <cell r="R1596" t="str">
            <v>No</v>
          </cell>
          <cell r="S1596" t="str">
            <v>C49</v>
          </cell>
          <cell r="T1596" t="str">
            <v>SOUTH</v>
          </cell>
          <cell r="U1596" t="str">
            <v>深圳</v>
          </cell>
          <cell r="V1596" t="str">
            <v>SZ 深圳</v>
          </cell>
          <cell r="W1596" t="str">
            <v>SS</v>
          </cell>
          <cell r="X1596" t="str">
            <v>JPY</v>
          </cell>
          <cell r="Y1596">
            <v>8800000</v>
          </cell>
          <cell r="Z1596">
            <v>1</v>
          </cell>
          <cell r="AA1596">
            <v>8800000</v>
          </cell>
          <cell r="AB1596">
            <v>7.2099999999999997E-2</v>
          </cell>
          <cell r="AC1596">
            <v>634480</v>
          </cell>
          <cell r="AD1596">
            <v>76137.599999999991</v>
          </cell>
          <cell r="AE1596">
            <v>0.12</v>
          </cell>
          <cell r="AF1596">
            <v>44372</v>
          </cell>
          <cell r="AG1596" t="str">
            <v>DAP SZ</v>
          </cell>
          <cell r="AI1596"/>
          <cell r="AJ1596"/>
          <cell r="AK1596">
            <v>0.1</v>
          </cell>
          <cell r="AL1596">
            <v>880000</v>
          </cell>
          <cell r="AM1596">
            <v>44573</v>
          </cell>
          <cell r="AN1596" t="str">
            <v>Yes</v>
          </cell>
          <cell r="AO1596">
            <v>0.9</v>
          </cell>
          <cell r="AP1596">
            <v>7920000</v>
          </cell>
          <cell r="AQ1596">
            <v>44624</v>
          </cell>
          <cell r="AR1596">
            <v>44624</v>
          </cell>
          <cell r="AS1596">
            <v>0</v>
          </cell>
          <cell r="AT1596">
            <v>0</v>
          </cell>
          <cell r="AX1596" t="str">
            <v>Yes</v>
          </cell>
          <cell r="AZ1596" t="str">
            <v>Y</v>
          </cell>
          <cell r="BA1596" t="str">
            <v>Yes</v>
          </cell>
        </row>
        <row r="1597">
          <cell r="B1597">
            <v>1447</v>
          </cell>
          <cell r="C1597" t="str">
            <v>C28SZX2021024KC</v>
          </cell>
          <cell r="D1597" t="str">
            <v>广东科士达</v>
          </cell>
          <cell r="E1597" t="str">
            <v>YSD</v>
          </cell>
          <cell r="F1597" t="str">
            <v>#73563</v>
          </cell>
          <cell r="G1597" t="str">
            <v>C170629620</v>
          </cell>
          <cell r="H1597">
            <v>44406</v>
          </cell>
          <cell r="I1597" t="str">
            <v>R-&gt;L</v>
          </cell>
          <cell r="J1597" t="str">
            <v>No</v>
          </cell>
          <cell r="K1597">
            <v>1</v>
          </cell>
          <cell r="L1597" t="str">
            <v>B28110530</v>
          </cell>
          <cell r="M1597">
            <v>44559</v>
          </cell>
          <cell r="N1597">
            <v>44559</v>
          </cell>
          <cell r="O1597">
            <v>11100508</v>
          </cell>
          <cell r="P1597">
            <v>630000</v>
          </cell>
          <cell r="Q1597">
            <v>44558</v>
          </cell>
          <cell r="R1597" t="str">
            <v>No</v>
          </cell>
          <cell r="S1597" t="str">
            <v>C28</v>
          </cell>
          <cell r="T1597" t="str">
            <v>SOUTH</v>
          </cell>
          <cell r="U1597" t="str">
            <v>惠州</v>
          </cell>
          <cell r="V1597" t="str">
            <v>HZ 惠州</v>
          </cell>
          <cell r="W1597" t="str">
            <v>KC</v>
          </cell>
          <cell r="X1597" t="str">
            <v>RMB</v>
          </cell>
          <cell r="Y1597">
            <v>630000</v>
          </cell>
          <cell r="Z1597">
            <v>1.1299999999999999</v>
          </cell>
          <cell r="AA1597">
            <v>630000</v>
          </cell>
          <cell r="AB1597">
            <v>1.2150000000000001</v>
          </cell>
          <cell r="AC1597">
            <v>677389.38053097355</v>
          </cell>
          <cell r="AD1597">
            <v>81286.725663716818</v>
          </cell>
          <cell r="AE1597">
            <v>0.12</v>
          </cell>
          <cell r="AF1597">
            <v>44364</v>
          </cell>
          <cell r="AG1597" t="str">
            <v>DDP SZ</v>
          </cell>
          <cell r="AK1597">
            <v>0.3</v>
          </cell>
          <cell r="AL1597">
            <v>189000</v>
          </cell>
          <cell r="AM1597">
            <v>44375</v>
          </cell>
          <cell r="AN1597" t="str">
            <v>Yes</v>
          </cell>
          <cell r="AO1597">
            <v>0.6</v>
          </cell>
          <cell r="AP1597">
            <v>378000</v>
          </cell>
          <cell r="AQ1597">
            <v>44552</v>
          </cell>
          <cell r="AR1597">
            <v>44552</v>
          </cell>
          <cell r="AS1597">
            <v>0.1</v>
          </cell>
          <cell r="AT1597">
            <v>63000</v>
          </cell>
        </row>
        <row r="1598">
          <cell r="B1598">
            <v>1448</v>
          </cell>
          <cell r="C1598" t="str">
            <v>C28SZX2021024KC</v>
          </cell>
          <cell r="D1598" t="str">
            <v>广东科士达</v>
          </cell>
          <cell r="E1598" t="str">
            <v>YSD</v>
          </cell>
          <cell r="F1598" t="str">
            <v>#73563</v>
          </cell>
          <cell r="G1598" t="str">
            <v>C170629620</v>
          </cell>
          <cell r="H1598">
            <v>44406</v>
          </cell>
          <cell r="I1598" t="str">
            <v>R-&gt;L</v>
          </cell>
          <cell r="J1598" t="str">
            <v>No</v>
          </cell>
          <cell r="K1598">
            <v>1</v>
          </cell>
          <cell r="L1598" t="str">
            <v>B28110530</v>
          </cell>
          <cell r="M1598">
            <v>44559</v>
          </cell>
          <cell r="N1598">
            <v>44559</v>
          </cell>
          <cell r="O1598">
            <v>11100508</v>
          </cell>
          <cell r="P1598">
            <v>630000</v>
          </cell>
          <cell r="Q1598">
            <v>44558</v>
          </cell>
          <cell r="R1598" t="str">
            <v>No</v>
          </cell>
          <cell r="S1598" t="str">
            <v>C28</v>
          </cell>
          <cell r="T1598" t="str">
            <v>SOUTH</v>
          </cell>
          <cell r="U1598" t="str">
            <v>惠州</v>
          </cell>
          <cell r="V1598" t="str">
            <v>HZ 惠州</v>
          </cell>
          <cell r="W1598" t="str">
            <v>KC</v>
          </cell>
          <cell r="X1598" t="str">
            <v>RMB</v>
          </cell>
          <cell r="Y1598">
            <v>630000</v>
          </cell>
          <cell r="Z1598">
            <v>1.1299999999999999</v>
          </cell>
          <cell r="AA1598">
            <v>630000</v>
          </cell>
          <cell r="AB1598">
            <v>1.2150000000000001</v>
          </cell>
          <cell r="AC1598">
            <v>677389.38053097355</v>
          </cell>
          <cell r="AD1598">
            <v>81286.725663716818</v>
          </cell>
          <cell r="AE1598">
            <v>0.12</v>
          </cell>
          <cell r="AF1598">
            <v>44364</v>
          </cell>
          <cell r="AG1598" t="str">
            <v>DDP SZ</v>
          </cell>
          <cell r="AK1598">
            <v>0.3</v>
          </cell>
          <cell r="AL1598">
            <v>189000</v>
          </cell>
          <cell r="AM1598">
            <v>44375</v>
          </cell>
          <cell r="AN1598" t="str">
            <v>Yes</v>
          </cell>
          <cell r="AO1598">
            <v>0.6</v>
          </cell>
          <cell r="AP1598">
            <v>378000</v>
          </cell>
          <cell r="AQ1598">
            <v>44552</v>
          </cell>
          <cell r="AR1598">
            <v>44552</v>
          </cell>
          <cell r="AS1598">
            <v>0.1</v>
          </cell>
          <cell r="AT1598">
            <v>63000</v>
          </cell>
        </row>
        <row r="1599">
          <cell r="B1599">
            <v>1449</v>
          </cell>
          <cell r="C1599" t="str">
            <v>C49SZX20210179SX</v>
          </cell>
          <cell r="D1599" t="str">
            <v>品诚伟创</v>
          </cell>
          <cell r="E1599" t="str">
            <v>YSM10</v>
          </cell>
          <cell r="F1599"/>
          <cell r="H1599"/>
          <cell r="I1599" t="str">
            <v>L-&gt;R</v>
          </cell>
          <cell r="J1599" t="str">
            <v>No</v>
          </cell>
          <cell r="K1599">
            <v>1</v>
          </cell>
          <cell r="L1599"/>
          <cell r="N1599"/>
          <cell r="O1599"/>
          <cell r="P1599"/>
          <cell r="Q1599"/>
          <cell r="R1599" t="str">
            <v>No</v>
          </cell>
          <cell r="S1599" t="str">
            <v>C49</v>
          </cell>
          <cell r="T1599" t="str">
            <v>SOUTH</v>
          </cell>
          <cell r="U1599" t="str">
            <v>深圳</v>
          </cell>
          <cell r="V1599" t="str">
            <v>SZ 深圳</v>
          </cell>
          <cell r="W1599" t="str">
            <v>SX</v>
          </cell>
          <cell r="X1599" t="str">
            <v>JPY</v>
          </cell>
          <cell r="Y1599">
            <v>7600000</v>
          </cell>
          <cell r="Z1599">
            <v>1</v>
          </cell>
          <cell r="AA1599">
            <v>7600000</v>
          </cell>
          <cell r="AB1599">
            <v>7.17E-2</v>
          </cell>
          <cell r="AC1599">
            <v>544920</v>
          </cell>
          <cell r="AD1599">
            <v>65390.399999999994</v>
          </cell>
          <cell r="AE1599">
            <v>0.12</v>
          </cell>
          <cell r="AF1599">
            <v>44377</v>
          </cell>
          <cell r="AG1599" t="str">
            <v>DAP SZ</v>
          </cell>
          <cell r="AI1599"/>
          <cell r="AJ1599"/>
          <cell r="AK1599">
            <v>0.1</v>
          </cell>
          <cell r="AL1599">
            <v>760000</v>
          </cell>
          <cell r="AM1599"/>
          <cell r="AN1599" t="str">
            <v>No</v>
          </cell>
          <cell r="AO1599">
            <v>0.9</v>
          </cell>
          <cell r="AP1599">
            <v>6840000</v>
          </cell>
          <cell r="AQ1599"/>
          <cell r="AR1599"/>
          <cell r="AS1599">
            <v>0</v>
          </cell>
          <cell r="AT1599">
            <v>0</v>
          </cell>
          <cell r="AV1599"/>
          <cell r="AX1599" t="str">
            <v>Cancel</v>
          </cell>
          <cell r="AY1599"/>
          <cell r="AZ1599"/>
          <cell r="BA1599" t="str">
            <v>2022/10/10 Ken邮件通知</v>
          </cell>
        </row>
        <row r="1600">
          <cell r="B1600">
            <v>1450</v>
          </cell>
          <cell r="C1600" t="str">
            <v>C49SZX20210181AY</v>
          </cell>
          <cell r="D1600" t="str">
            <v>勃旭</v>
          </cell>
          <cell r="E1600" t="str">
            <v>YSM20R-2</v>
          </cell>
          <cell r="F1600"/>
          <cell r="H1600"/>
          <cell r="I1600" t="str">
            <v>L-&gt;R</v>
          </cell>
          <cell r="J1600" t="str">
            <v>No</v>
          </cell>
          <cell r="K1600">
            <v>1</v>
          </cell>
          <cell r="L1600"/>
          <cell r="N1600"/>
          <cell r="O1600"/>
          <cell r="P1600"/>
          <cell r="Q1600"/>
          <cell r="R1600" t="str">
            <v>Yes</v>
          </cell>
          <cell r="S1600" t="str">
            <v>C49</v>
          </cell>
          <cell r="T1600" t="str">
            <v>SOUTH</v>
          </cell>
          <cell r="U1600" t="str">
            <v>深圳</v>
          </cell>
          <cell r="V1600" t="str">
            <v>SZ 深圳</v>
          </cell>
          <cell r="W1600" t="str">
            <v>AY</v>
          </cell>
          <cell r="X1600" t="str">
            <v>JPY</v>
          </cell>
          <cell r="Y1600">
            <v>13240000</v>
          </cell>
          <cell r="Z1600">
            <v>1</v>
          </cell>
          <cell r="AA1600">
            <v>13240000</v>
          </cell>
          <cell r="AB1600">
            <v>7.17E-2</v>
          </cell>
          <cell r="AC1600">
            <v>949308</v>
          </cell>
          <cell r="AD1600">
            <v>113916.95999999999</v>
          </cell>
          <cell r="AE1600">
            <v>0.12</v>
          </cell>
          <cell r="AF1600">
            <v>44386</v>
          </cell>
          <cell r="AG1600" t="str">
            <v>DDP SZ</v>
          </cell>
          <cell r="AI1600">
            <v>50000</v>
          </cell>
          <cell r="AJ1600">
            <v>44398</v>
          </cell>
          <cell r="AK1600">
            <v>0.1</v>
          </cell>
          <cell r="AL1600">
            <v>1324000</v>
          </cell>
          <cell r="AM1600">
            <v>44398</v>
          </cell>
          <cell r="AN1600" t="str">
            <v>Yes</v>
          </cell>
          <cell r="AO1600">
            <v>0.9</v>
          </cell>
          <cell r="AP1600">
            <v>11916000</v>
          </cell>
          <cell r="AQ1600"/>
          <cell r="AR1600"/>
          <cell r="AS1600">
            <v>0</v>
          </cell>
          <cell r="AT1600">
            <v>0</v>
          </cell>
          <cell r="AV1600"/>
          <cell r="AX1600" t="str">
            <v>Cancel</v>
          </cell>
          <cell r="AY1600"/>
          <cell r="AZ1600"/>
          <cell r="BA1600" t="str">
            <v>2022/3/25 Ken邮件通知</v>
          </cell>
        </row>
        <row r="1601">
          <cell r="B1601">
            <v>1451</v>
          </cell>
          <cell r="C1601" t="str">
            <v>C49SZX20210181AY</v>
          </cell>
          <cell r="D1601" t="str">
            <v>勃旭</v>
          </cell>
          <cell r="E1601" t="str">
            <v>YSM10</v>
          </cell>
          <cell r="F1601"/>
          <cell r="H1601"/>
          <cell r="I1601" t="str">
            <v>L-&gt;R</v>
          </cell>
          <cell r="J1601" t="str">
            <v>MVC</v>
          </cell>
          <cell r="K1601">
            <v>1</v>
          </cell>
          <cell r="L1601"/>
          <cell r="N1601"/>
          <cell r="O1601"/>
          <cell r="P1601"/>
          <cell r="Q1601"/>
          <cell r="R1601" t="str">
            <v>Yes</v>
          </cell>
          <cell r="S1601" t="str">
            <v>C49</v>
          </cell>
          <cell r="T1601" t="str">
            <v>SOUTH</v>
          </cell>
          <cell r="U1601" t="str">
            <v>深圳</v>
          </cell>
          <cell r="V1601" t="str">
            <v>SZ 深圳</v>
          </cell>
          <cell r="W1601" t="str">
            <v>AY</v>
          </cell>
          <cell r="X1601" t="str">
            <v>JPY</v>
          </cell>
          <cell r="Y1601">
            <v>8000000</v>
          </cell>
          <cell r="Z1601">
            <v>1</v>
          </cell>
          <cell r="AA1601">
            <v>8000000</v>
          </cell>
          <cell r="AB1601">
            <v>7.17E-2</v>
          </cell>
          <cell r="AC1601">
            <v>573600</v>
          </cell>
          <cell r="AD1601">
            <v>68832</v>
          </cell>
          <cell r="AE1601">
            <v>0.12</v>
          </cell>
          <cell r="AF1601">
            <v>44386</v>
          </cell>
          <cell r="AG1601" t="str">
            <v>DAP SZ</v>
          </cell>
          <cell r="AI1601"/>
          <cell r="AJ1601"/>
          <cell r="AK1601">
            <v>0.1</v>
          </cell>
          <cell r="AL1601">
            <v>800000</v>
          </cell>
          <cell r="AM1601">
            <v>44398</v>
          </cell>
          <cell r="AN1601" t="str">
            <v>Yes</v>
          </cell>
          <cell r="AO1601">
            <v>0.9</v>
          </cell>
          <cell r="AP1601">
            <v>7200000</v>
          </cell>
          <cell r="AQ1601"/>
          <cell r="AR1601"/>
          <cell r="AS1601">
            <v>0</v>
          </cell>
          <cell r="AT1601">
            <v>0</v>
          </cell>
          <cell r="AV1601"/>
          <cell r="AX1601" t="str">
            <v>Cancel</v>
          </cell>
          <cell r="AY1601"/>
          <cell r="AZ1601"/>
          <cell r="BA1601" t="str">
            <v>2022/3/25 Ken邮件通知</v>
          </cell>
        </row>
        <row r="1602">
          <cell r="B1602">
            <v>1452</v>
          </cell>
          <cell r="C1602" t="str">
            <v>HKFR-ESE-2021071301</v>
          </cell>
          <cell r="D1602" t="str">
            <v>富洛</v>
          </cell>
          <cell r="E1602" t="str">
            <v>YSM20R-2</v>
          </cell>
          <cell r="I1602" t="str">
            <v>L-&gt;R</v>
          </cell>
          <cell r="J1602" t="str">
            <v>MVC</v>
          </cell>
          <cell r="K1602">
            <v>1</v>
          </cell>
          <cell r="O1602">
            <v>11116633</v>
          </cell>
          <cell r="P1602">
            <v>10325000</v>
          </cell>
          <cell r="R1602" t="str">
            <v>No</v>
          </cell>
          <cell r="S1602" t="str">
            <v>C49</v>
          </cell>
          <cell r="T1602" t="str">
            <v>SOUTH</v>
          </cell>
          <cell r="U1602" t="str">
            <v>深圳</v>
          </cell>
          <cell r="V1602" t="str">
            <v>SZ 深圳</v>
          </cell>
          <cell r="W1602" t="str">
            <v>KH</v>
          </cell>
          <cell r="X1602" t="str">
            <v>JPY</v>
          </cell>
          <cell r="Y1602">
            <v>10325000</v>
          </cell>
          <cell r="Z1602">
            <v>1</v>
          </cell>
          <cell r="AA1602">
            <v>10325000</v>
          </cell>
          <cell r="AB1602">
            <v>7.17E-2</v>
          </cell>
          <cell r="AC1602">
            <v>740302.5</v>
          </cell>
          <cell r="AD1602">
            <v>88836.3</v>
          </cell>
          <cell r="AE1602">
            <v>0.12</v>
          </cell>
          <cell r="AF1602">
            <v>44391</v>
          </cell>
          <cell r="AG1602" t="str">
            <v>CIF HK</v>
          </cell>
          <cell r="AK1602">
            <v>1</v>
          </cell>
          <cell r="AL1602">
            <v>10325000</v>
          </cell>
          <cell r="AM1602">
            <v>44393</v>
          </cell>
          <cell r="AN1602" t="str">
            <v>Yes</v>
          </cell>
          <cell r="AO1602">
            <v>0</v>
          </cell>
          <cell r="AP1602">
            <v>0</v>
          </cell>
          <cell r="AS1602">
            <v>0</v>
          </cell>
          <cell r="AT1602">
            <v>0</v>
          </cell>
          <cell r="AX1602" t="str">
            <v>Yes</v>
          </cell>
          <cell r="BA1602" t="str">
            <v>Yes</v>
          </cell>
        </row>
        <row r="1603">
          <cell r="B1603">
            <v>1453</v>
          </cell>
          <cell r="C1603" t="str">
            <v>HKFR-ESE-2021071301</v>
          </cell>
          <cell r="D1603" t="str">
            <v>富洛</v>
          </cell>
          <cell r="E1603" t="str">
            <v>YSM20R-2</v>
          </cell>
          <cell r="I1603" t="str">
            <v>L-&gt;R</v>
          </cell>
          <cell r="J1603" t="str">
            <v>MVC</v>
          </cell>
          <cell r="K1603">
            <v>1</v>
          </cell>
          <cell r="O1603">
            <v>11116633</v>
          </cell>
          <cell r="P1603">
            <v>10325000</v>
          </cell>
          <cell r="R1603" t="str">
            <v>No</v>
          </cell>
          <cell r="S1603" t="str">
            <v>C49</v>
          </cell>
          <cell r="T1603" t="str">
            <v>SOUTH</v>
          </cell>
          <cell r="U1603" t="str">
            <v>深圳</v>
          </cell>
          <cell r="V1603" t="str">
            <v>SZ 深圳</v>
          </cell>
          <cell r="W1603" t="str">
            <v>KH</v>
          </cell>
          <cell r="X1603" t="str">
            <v>JPY</v>
          </cell>
          <cell r="Y1603">
            <v>10325000</v>
          </cell>
          <cell r="Z1603">
            <v>1</v>
          </cell>
          <cell r="AA1603">
            <v>10325000</v>
          </cell>
          <cell r="AB1603">
            <v>7.17E-2</v>
          </cell>
          <cell r="AC1603">
            <v>740302.5</v>
          </cell>
          <cell r="AD1603">
            <v>88836.3</v>
          </cell>
          <cell r="AE1603">
            <v>0.12</v>
          </cell>
          <cell r="AF1603">
            <v>44391</v>
          </cell>
          <cell r="AG1603" t="str">
            <v>CIF HK</v>
          </cell>
          <cell r="AK1603">
            <v>1</v>
          </cell>
          <cell r="AL1603">
            <v>10325000</v>
          </cell>
          <cell r="AM1603">
            <v>44393</v>
          </cell>
          <cell r="AN1603" t="str">
            <v>Yes</v>
          </cell>
          <cell r="AO1603">
            <v>0</v>
          </cell>
          <cell r="AP1603">
            <v>0</v>
          </cell>
          <cell r="AS1603">
            <v>0</v>
          </cell>
          <cell r="AT1603">
            <v>0</v>
          </cell>
          <cell r="AX1603" t="str">
            <v>Yes</v>
          </cell>
          <cell r="BA1603" t="str">
            <v>Yes</v>
          </cell>
        </row>
        <row r="1604">
          <cell r="B1604">
            <v>1454</v>
          </cell>
          <cell r="C1604" t="str">
            <v>C49SZX20210160EC</v>
          </cell>
          <cell r="D1604" t="str">
            <v>新明海</v>
          </cell>
          <cell r="E1604" t="str">
            <v>YSM10</v>
          </cell>
          <cell r="I1604" t="str">
            <v>L-&gt;R</v>
          </cell>
          <cell r="J1604" t="str">
            <v>MVC+Rear 站位</v>
          </cell>
          <cell r="K1604">
            <v>1</v>
          </cell>
          <cell r="N1604">
            <v>44499</v>
          </cell>
          <cell r="O1604">
            <v>11116657</v>
          </cell>
          <cell r="P1604">
            <v>11560000</v>
          </cell>
          <cell r="Q1604">
            <v>44497</v>
          </cell>
          <cell r="R1604" t="str">
            <v>No</v>
          </cell>
          <cell r="S1604" t="str">
            <v>C49</v>
          </cell>
          <cell r="T1604" t="str">
            <v>SOUTH</v>
          </cell>
          <cell r="U1604" t="str">
            <v>深圳</v>
          </cell>
          <cell r="V1604" t="str">
            <v>SZ 深圳</v>
          </cell>
          <cell r="W1604" t="str">
            <v>EC</v>
          </cell>
          <cell r="X1604" t="str">
            <v>JPY</v>
          </cell>
          <cell r="Y1604">
            <v>11560000</v>
          </cell>
          <cell r="Z1604">
            <v>1</v>
          </cell>
          <cell r="AA1604">
            <v>11560000</v>
          </cell>
          <cell r="AB1604">
            <v>7.17E-2</v>
          </cell>
          <cell r="AC1604">
            <v>828852</v>
          </cell>
          <cell r="AD1604">
            <v>99462.239999999991</v>
          </cell>
          <cell r="AE1604">
            <v>0.12</v>
          </cell>
          <cell r="AF1604">
            <v>44382</v>
          </cell>
          <cell r="AG1604" t="str">
            <v>DAP HZ</v>
          </cell>
          <cell r="AK1604">
            <v>0.05</v>
          </cell>
          <cell r="AL1604">
            <v>578000</v>
          </cell>
          <cell r="AM1604">
            <v>44403</v>
          </cell>
          <cell r="AN1604" t="str">
            <v>Yes</v>
          </cell>
          <cell r="AO1604">
            <v>0.95</v>
          </cell>
          <cell r="AP1604">
            <v>10982000</v>
          </cell>
          <cell r="AQ1604">
            <v>44496</v>
          </cell>
          <cell r="AR1604">
            <v>44496</v>
          </cell>
          <cell r="AS1604">
            <v>0</v>
          </cell>
          <cell r="AT1604">
            <v>0</v>
          </cell>
          <cell r="AX1604" t="str">
            <v>Yes</v>
          </cell>
          <cell r="AZ1604" t="str">
            <v>Y</v>
          </cell>
          <cell r="BA1604" t="str">
            <v>Yes</v>
          </cell>
        </row>
        <row r="1605">
          <cell r="B1605">
            <v>1455</v>
          </cell>
          <cell r="C1605" t="str">
            <v>C49SZX20210160EC</v>
          </cell>
          <cell r="D1605" t="str">
            <v>新明海</v>
          </cell>
          <cell r="E1605" t="str">
            <v>YSM10</v>
          </cell>
          <cell r="I1605" t="str">
            <v>R-&gt;L</v>
          </cell>
          <cell r="J1605" t="str">
            <v>MVC+Rear 站位</v>
          </cell>
          <cell r="K1605">
            <v>1</v>
          </cell>
          <cell r="N1605">
            <v>44531</v>
          </cell>
          <cell r="O1605">
            <v>11116673</v>
          </cell>
          <cell r="P1605">
            <v>11560000</v>
          </cell>
          <cell r="Q1605">
            <v>44530</v>
          </cell>
          <cell r="R1605" t="str">
            <v>No</v>
          </cell>
          <cell r="S1605" t="str">
            <v>C49</v>
          </cell>
          <cell r="T1605" t="str">
            <v>SOUTH</v>
          </cell>
          <cell r="U1605" t="str">
            <v>深圳</v>
          </cell>
          <cell r="V1605" t="str">
            <v>SZ 深圳</v>
          </cell>
          <cell r="W1605" t="str">
            <v>EC</v>
          </cell>
          <cell r="X1605" t="str">
            <v>JPY</v>
          </cell>
          <cell r="Y1605">
            <v>11560000</v>
          </cell>
          <cell r="Z1605">
            <v>1</v>
          </cell>
          <cell r="AA1605">
            <v>11560000</v>
          </cell>
          <cell r="AB1605">
            <v>7.17E-2</v>
          </cell>
          <cell r="AC1605">
            <v>828852</v>
          </cell>
          <cell r="AD1605">
            <v>99462.239999999991</v>
          </cell>
          <cell r="AE1605">
            <v>0.12</v>
          </cell>
          <cell r="AF1605">
            <v>44382</v>
          </cell>
          <cell r="AG1605" t="str">
            <v>DAP HZ</v>
          </cell>
          <cell r="AK1605">
            <v>0.05</v>
          </cell>
          <cell r="AL1605">
            <v>578000</v>
          </cell>
          <cell r="AM1605">
            <v>44403</v>
          </cell>
          <cell r="AN1605" t="str">
            <v>Yes</v>
          </cell>
          <cell r="AO1605">
            <v>0.95</v>
          </cell>
          <cell r="AP1605">
            <v>10982000</v>
          </cell>
          <cell r="AQ1605">
            <v>44529</v>
          </cell>
          <cell r="AR1605">
            <v>44529</v>
          </cell>
          <cell r="AS1605">
            <v>0</v>
          </cell>
          <cell r="AT1605">
            <v>0</v>
          </cell>
          <cell r="AX1605" t="str">
            <v>Yes</v>
          </cell>
          <cell r="AZ1605" t="str">
            <v>Y</v>
          </cell>
          <cell r="BA1605" t="str">
            <v>Yes</v>
          </cell>
        </row>
        <row r="1606">
          <cell r="B1606">
            <v>1456</v>
          </cell>
          <cell r="C1606" t="str">
            <v>C49SZX20210160EC</v>
          </cell>
          <cell r="D1606" t="str">
            <v>新明海</v>
          </cell>
          <cell r="E1606" t="str">
            <v>YSM10</v>
          </cell>
          <cell r="I1606" t="str">
            <v>R-&gt;L</v>
          </cell>
          <cell r="J1606" t="str">
            <v>MVC+Rear 站位</v>
          </cell>
          <cell r="K1606">
            <v>1</v>
          </cell>
          <cell r="N1606">
            <v>44531</v>
          </cell>
          <cell r="O1606">
            <v>11116673</v>
          </cell>
          <cell r="P1606">
            <v>11560000</v>
          </cell>
          <cell r="Q1606">
            <v>44530</v>
          </cell>
          <cell r="R1606" t="str">
            <v>No</v>
          </cell>
          <cell r="S1606" t="str">
            <v>C49</v>
          </cell>
          <cell r="T1606" t="str">
            <v>SOUTH</v>
          </cell>
          <cell r="U1606" t="str">
            <v>深圳</v>
          </cell>
          <cell r="V1606" t="str">
            <v>SZ 深圳</v>
          </cell>
          <cell r="W1606" t="str">
            <v>EC</v>
          </cell>
          <cell r="X1606" t="str">
            <v>JPY</v>
          </cell>
          <cell r="Y1606">
            <v>11560000</v>
          </cell>
          <cell r="Z1606">
            <v>1</v>
          </cell>
          <cell r="AA1606">
            <v>11560000</v>
          </cell>
          <cell r="AB1606">
            <v>7.17E-2</v>
          </cell>
          <cell r="AC1606">
            <v>828852</v>
          </cell>
          <cell r="AD1606">
            <v>99462.239999999991</v>
          </cell>
          <cell r="AE1606">
            <v>0.12</v>
          </cell>
          <cell r="AF1606">
            <v>44382</v>
          </cell>
          <cell r="AG1606" t="str">
            <v>DAP HZ</v>
          </cell>
          <cell r="AK1606">
            <v>0.05</v>
          </cell>
          <cell r="AL1606">
            <v>578000</v>
          </cell>
          <cell r="AM1606">
            <v>44403</v>
          </cell>
          <cell r="AN1606" t="str">
            <v>Yes</v>
          </cell>
          <cell r="AO1606">
            <v>0.95</v>
          </cell>
          <cell r="AP1606">
            <v>10982000</v>
          </cell>
          <cell r="AQ1606">
            <v>44529</v>
          </cell>
          <cell r="AR1606">
            <v>44529</v>
          </cell>
          <cell r="AS1606">
            <v>0</v>
          </cell>
          <cell r="AT1606">
            <v>0</v>
          </cell>
          <cell r="AX1606" t="str">
            <v>Yes</v>
          </cell>
          <cell r="AZ1606" t="str">
            <v>Y</v>
          </cell>
          <cell r="BA1606" t="str">
            <v>Yes</v>
          </cell>
        </row>
        <row r="1607">
          <cell r="B1607">
            <v>1457</v>
          </cell>
          <cell r="C1607" t="str">
            <v>TL2021061000078</v>
          </cell>
          <cell r="D1607" t="str">
            <v>合肥海尔</v>
          </cell>
          <cell r="E1607" t="str">
            <v>TROI-7700EL</v>
          </cell>
          <cell r="I1607" t="str">
            <v>L-&gt;R</v>
          </cell>
          <cell r="J1607" t="str">
            <v>No</v>
          </cell>
          <cell r="K1607">
            <v>1</v>
          </cell>
          <cell r="L1607" t="str">
            <v>28L103949</v>
          </cell>
          <cell r="M1607">
            <v>44449</v>
          </cell>
          <cell r="N1607">
            <v>44449</v>
          </cell>
          <cell r="R1607" t="str">
            <v>No</v>
          </cell>
          <cell r="S1607" t="str">
            <v>C28</v>
          </cell>
          <cell r="T1607" t="str">
            <v>NORTH</v>
          </cell>
          <cell r="U1607" t="str">
            <v>合肥</v>
          </cell>
          <cell r="V1607" t="str">
            <v>SHA 上海</v>
          </cell>
          <cell r="W1607" t="str">
            <v>Li Yong</v>
          </cell>
          <cell r="X1607" t="str">
            <v>RMB</v>
          </cell>
          <cell r="Y1607">
            <v>468000</v>
          </cell>
          <cell r="Z1607">
            <v>1.1299999999999999</v>
          </cell>
          <cell r="AA1607">
            <v>468000</v>
          </cell>
          <cell r="AB1607">
            <v>1.2</v>
          </cell>
          <cell r="AC1607">
            <v>496991.1504424779</v>
          </cell>
          <cell r="AD1607">
            <v>59638.938053097343</v>
          </cell>
          <cell r="AE1607">
            <v>0.12</v>
          </cell>
          <cell r="AF1607">
            <v>44357</v>
          </cell>
          <cell r="AG1607" t="str">
            <v>含税到厂</v>
          </cell>
          <cell r="AK1607">
            <v>0.3</v>
          </cell>
          <cell r="AL1607">
            <v>140400</v>
          </cell>
          <cell r="AM1607">
            <v>44404</v>
          </cell>
          <cell r="AN1607" t="str">
            <v>Yes</v>
          </cell>
          <cell r="AO1607">
            <v>0.3</v>
          </cell>
          <cell r="AP1607">
            <v>140400</v>
          </cell>
          <cell r="AQ1607">
            <v>44432</v>
          </cell>
          <cell r="AR1607">
            <v>44432</v>
          </cell>
          <cell r="AS1607">
            <v>0</v>
          </cell>
          <cell r="AT1607">
            <v>0</v>
          </cell>
        </row>
        <row r="1608">
          <cell r="B1608">
            <v>1458</v>
          </cell>
          <cell r="C1608" t="str">
            <v>TL2021061000078</v>
          </cell>
          <cell r="D1608" t="str">
            <v>合肥海尔</v>
          </cell>
          <cell r="E1608" t="str">
            <v>TROI-7700EL</v>
          </cell>
          <cell r="I1608" t="str">
            <v>L-&gt;R</v>
          </cell>
          <cell r="J1608" t="str">
            <v>No</v>
          </cell>
          <cell r="K1608">
            <v>1</v>
          </cell>
          <cell r="L1608" t="str">
            <v>28L103949</v>
          </cell>
          <cell r="M1608">
            <v>44449</v>
          </cell>
          <cell r="N1608">
            <v>44449</v>
          </cell>
          <cell r="R1608" t="str">
            <v>No</v>
          </cell>
          <cell r="S1608" t="str">
            <v>C28</v>
          </cell>
          <cell r="T1608" t="str">
            <v>NORTH</v>
          </cell>
          <cell r="U1608" t="str">
            <v>合肥</v>
          </cell>
          <cell r="V1608" t="str">
            <v>SHA 上海</v>
          </cell>
          <cell r="W1608" t="str">
            <v>Li Yong</v>
          </cell>
          <cell r="X1608" t="str">
            <v>RMB</v>
          </cell>
          <cell r="Y1608">
            <v>468000</v>
          </cell>
          <cell r="Z1608">
            <v>1.1299999999999999</v>
          </cell>
          <cell r="AA1608">
            <v>468000</v>
          </cell>
          <cell r="AB1608">
            <v>1.2</v>
          </cell>
          <cell r="AC1608">
            <v>496991.1504424779</v>
          </cell>
          <cell r="AD1608">
            <v>59638.938053097343</v>
          </cell>
          <cell r="AE1608">
            <v>0.12</v>
          </cell>
          <cell r="AF1608">
            <v>44357</v>
          </cell>
          <cell r="AG1608" t="str">
            <v>含税到厂</v>
          </cell>
          <cell r="AK1608">
            <v>0.3</v>
          </cell>
          <cell r="AL1608">
            <v>140400</v>
          </cell>
          <cell r="AM1608">
            <v>44404</v>
          </cell>
          <cell r="AN1608" t="str">
            <v>Yes</v>
          </cell>
          <cell r="AO1608">
            <v>0.3</v>
          </cell>
          <cell r="AP1608">
            <v>140400</v>
          </cell>
          <cell r="AQ1608">
            <v>44432</v>
          </cell>
          <cell r="AR1608">
            <v>44432</v>
          </cell>
          <cell r="AS1608">
            <v>0</v>
          </cell>
          <cell r="AT1608">
            <v>0</v>
          </cell>
        </row>
        <row r="1609">
          <cell r="B1609">
            <v>1459</v>
          </cell>
          <cell r="C1609" t="str">
            <v>C49SZX20210139DZ</v>
          </cell>
          <cell r="D1609" t="str">
            <v>力侬</v>
          </cell>
          <cell r="E1609" t="str">
            <v>YSM20R-2</v>
          </cell>
          <cell r="I1609" t="str">
            <v>L-&gt;R</v>
          </cell>
          <cell r="J1609" t="str">
            <v>No</v>
          </cell>
          <cell r="K1609">
            <v>1</v>
          </cell>
          <cell r="N1609">
            <v>44643</v>
          </cell>
          <cell r="O1609">
            <v>11100524</v>
          </cell>
          <cell r="P1609">
            <v>840000</v>
          </cell>
          <cell r="Q1609">
            <v>44645</v>
          </cell>
          <cell r="R1609" t="str">
            <v>No</v>
          </cell>
          <cell r="S1609" t="str">
            <v>C49</v>
          </cell>
          <cell r="T1609" t="str">
            <v>SOUTH</v>
          </cell>
          <cell r="U1609" t="str">
            <v>深圳</v>
          </cell>
          <cell r="V1609" t="str">
            <v>SZ 深圳</v>
          </cell>
          <cell r="W1609" t="str">
            <v>DZ</v>
          </cell>
          <cell r="X1609" t="str">
            <v>RMB</v>
          </cell>
          <cell r="Y1609">
            <v>840000</v>
          </cell>
          <cell r="Z1609">
            <v>1.1299999999999999</v>
          </cell>
          <cell r="AA1609">
            <v>840000</v>
          </cell>
          <cell r="AB1609">
            <v>1.2</v>
          </cell>
          <cell r="AC1609">
            <v>892035.39823008853</v>
          </cell>
          <cell r="AD1609">
            <v>107044.24778761061</v>
          </cell>
          <cell r="AE1609">
            <v>0.12</v>
          </cell>
          <cell r="AF1609">
            <v>44392</v>
          </cell>
          <cell r="AG1609" t="str">
            <v>DDP QY</v>
          </cell>
          <cell r="AK1609" t="str">
            <v>Agree</v>
          </cell>
          <cell r="AL1609">
            <v>280000</v>
          </cell>
          <cell r="AM1609">
            <v>44399</v>
          </cell>
          <cell r="AN1609" t="str">
            <v>Yes</v>
          </cell>
          <cell r="AO1609">
            <v>0.7</v>
          </cell>
          <cell r="AP1609">
            <v>588000</v>
          </cell>
          <cell r="AQ1609">
            <v>44638</v>
          </cell>
          <cell r="AR1609">
            <v>44638</v>
          </cell>
          <cell r="AS1609">
            <v>0</v>
          </cell>
          <cell r="AT1609">
            <v>0</v>
          </cell>
          <cell r="AX1609" t="str">
            <v>Yes</v>
          </cell>
        </row>
        <row r="1610">
          <cell r="B1610">
            <v>1460</v>
          </cell>
          <cell r="C1610" t="str">
            <v>C28SZX20210716</v>
          </cell>
          <cell r="D1610" t="str">
            <v>上海佳琥</v>
          </cell>
          <cell r="E1610" t="str">
            <v>EAGLE 3D 8800HS CPT</v>
          </cell>
          <cell r="J1610" t="str">
            <v>No</v>
          </cell>
          <cell r="K1610">
            <v>1</v>
          </cell>
          <cell r="L1610" t="str">
            <v>B28110568</v>
          </cell>
          <cell r="M1610">
            <v>44439</v>
          </cell>
          <cell r="N1610">
            <v>44439</v>
          </cell>
          <cell r="O1610">
            <v>11100498</v>
          </cell>
          <cell r="P1610">
            <v>570000</v>
          </cell>
          <cell r="Q1610">
            <v>44456</v>
          </cell>
          <cell r="R1610" t="str">
            <v>No</v>
          </cell>
          <cell r="S1610" t="str">
            <v>C28</v>
          </cell>
          <cell r="T1610" t="str">
            <v>SOUTH</v>
          </cell>
          <cell r="U1610" t="str">
            <v>深圳</v>
          </cell>
          <cell r="V1610" t="str">
            <v>SZ 深圳</v>
          </cell>
          <cell r="W1610" t="str">
            <v>KC</v>
          </cell>
          <cell r="X1610" t="str">
            <v>RMB</v>
          </cell>
          <cell r="Y1610">
            <v>570000</v>
          </cell>
          <cell r="Z1610">
            <v>1.1299999999999999</v>
          </cell>
          <cell r="AA1610">
            <v>570000</v>
          </cell>
          <cell r="AB1610">
            <v>1.2</v>
          </cell>
          <cell r="AC1610">
            <v>605309.73451327439</v>
          </cell>
          <cell r="AD1610">
            <v>72637.16814159292</v>
          </cell>
          <cell r="AE1610">
            <v>0.12</v>
          </cell>
          <cell r="AF1610">
            <v>44397</v>
          </cell>
          <cell r="AG1610" t="str">
            <v>DDP SZ</v>
          </cell>
          <cell r="AK1610">
            <v>0.3</v>
          </cell>
          <cell r="AL1610">
            <v>171000</v>
          </cell>
          <cell r="AM1610">
            <v>44406</v>
          </cell>
          <cell r="AN1610" t="str">
            <v>Yes</v>
          </cell>
          <cell r="AO1610">
            <v>0.65</v>
          </cell>
          <cell r="AP1610">
            <v>370500</v>
          </cell>
          <cell r="AQ1610">
            <v>44432</v>
          </cell>
          <cell r="AR1610">
            <v>44432</v>
          </cell>
          <cell r="AS1610">
            <v>0.05</v>
          </cell>
          <cell r="AT1610">
            <v>28500</v>
          </cell>
        </row>
        <row r="1611">
          <cell r="B1611">
            <v>1461</v>
          </cell>
          <cell r="C1611" t="str">
            <v>C49SZX20210183SX</v>
          </cell>
          <cell r="D1611" t="str">
            <v>奕东</v>
          </cell>
          <cell r="E1611" t="str">
            <v>YSM10</v>
          </cell>
          <cell r="I1611" t="str">
            <v>L-&gt;R</v>
          </cell>
          <cell r="J1611" t="str">
            <v>MVC</v>
          </cell>
          <cell r="K1611">
            <v>1</v>
          </cell>
          <cell r="N1611">
            <v>44467</v>
          </cell>
          <cell r="O1611">
            <v>11100502</v>
          </cell>
          <cell r="P1611">
            <v>544000</v>
          </cell>
          <cell r="Q1611">
            <v>44467</v>
          </cell>
          <cell r="R1611" t="str">
            <v>No</v>
          </cell>
          <cell r="S1611" t="str">
            <v>C49</v>
          </cell>
          <cell r="T1611" t="str">
            <v>SOUTH</v>
          </cell>
          <cell r="U1611" t="str">
            <v>深圳</v>
          </cell>
          <cell r="V1611" t="str">
            <v>SZ 深圳</v>
          </cell>
          <cell r="W1611" t="str">
            <v>DZ</v>
          </cell>
          <cell r="X1611" t="str">
            <v>RMB</v>
          </cell>
          <cell r="Y1611">
            <v>544000</v>
          </cell>
          <cell r="Z1611">
            <v>1.1299999999999999</v>
          </cell>
          <cell r="AA1611">
            <v>544000</v>
          </cell>
          <cell r="AB1611">
            <v>1.2</v>
          </cell>
          <cell r="AC1611">
            <v>577699.11504424782</v>
          </cell>
          <cell r="AD1611">
            <v>69323.893805309737</v>
          </cell>
          <cell r="AE1611">
            <v>0.12</v>
          </cell>
          <cell r="AF1611">
            <v>44403</v>
          </cell>
          <cell r="AG1611" t="str">
            <v>DDP DG</v>
          </cell>
          <cell r="AK1611">
            <v>0.3</v>
          </cell>
          <cell r="AL1611">
            <v>163200</v>
          </cell>
          <cell r="AM1611">
            <v>44413</v>
          </cell>
          <cell r="AN1611" t="str">
            <v>Yes</v>
          </cell>
          <cell r="AO1611">
            <v>0.7</v>
          </cell>
          <cell r="AP1611">
            <v>380800</v>
          </cell>
          <cell r="AQ1611">
            <v>44466</v>
          </cell>
          <cell r="AR1611">
            <v>44466</v>
          </cell>
          <cell r="AS1611">
            <v>0</v>
          </cell>
          <cell r="AT1611">
            <v>0</v>
          </cell>
          <cell r="AX1611" t="str">
            <v>Yes</v>
          </cell>
          <cell r="AZ1611" t="str">
            <v>Y</v>
          </cell>
          <cell r="BA1611" t="str">
            <v>Yes</v>
          </cell>
        </row>
        <row r="1612">
          <cell r="B1612">
            <v>1462</v>
          </cell>
          <cell r="C1612" t="str">
            <v>C49SZX20210183SX</v>
          </cell>
          <cell r="D1612" t="str">
            <v>奕东</v>
          </cell>
          <cell r="E1612" t="str">
            <v>YSM10</v>
          </cell>
          <cell r="I1612" t="str">
            <v>L-&gt;R</v>
          </cell>
          <cell r="J1612" t="str">
            <v>MVC</v>
          </cell>
          <cell r="K1612">
            <v>1</v>
          </cell>
          <cell r="N1612">
            <v>44467</v>
          </cell>
          <cell r="O1612">
            <v>11100502</v>
          </cell>
          <cell r="P1612">
            <v>544000</v>
          </cell>
          <cell r="Q1612">
            <v>44467</v>
          </cell>
          <cell r="R1612" t="str">
            <v>No</v>
          </cell>
          <cell r="S1612" t="str">
            <v>C49</v>
          </cell>
          <cell r="T1612" t="str">
            <v>SOUTH</v>
          </cell>
          <cell r="U1612" t="str">
            <v>深圳</v>
          </cell>
          <cell r="V1612" t="str">
            <v>SZ 深圳</v>
          </cell>
          <cell r="W1612" t="str">
            <v>DZ</v>
          </cell>
          <cell r="X1612" t="str">
            <v>RMB</v>
          </cell>
          <cell r="Y1612">
            <v>544000</v>
          </cell>
          <cell r="Z1612">
            <v>1.1299999999999999</v>
          </cell>
          <cell r="AA1612">
            <v>544000</v>
          </cell>
          <cell r="AB1612">
            <v>1.2</v>
          </cell>
          <cell r="AC1612">
            <v>577699.11504424782</v>
          </cell>
          <cell r="AD1612">
            <v>69323.893805309737</v>
          </cell>
          <cell r="AE1612">
            <v>0.12</v>
          </cell>
          <cell r="AF1612">
            <v>44403</v>
          </cell>
          <cell r="AG1612" t="str">
            <v>DDP DG</v>
          </cell>
          <cell r="AK1612">
            <v>0.3</v>
          </cell>
          <cell r="AL1612">
            <v>163200</v>
          </cell>
          <cell r="AM1612">
            <v>44413</v>
          </cell>
          <cell r="AN1612" t="str">
            <v>Yes</v>
          </cell>
          <cell r="AO1612">
            <v>0.7</v>
          </cell>
          <cell r="AP1612">
            <v>380800</v>
          </cell>
          <cell r="AQ1612">
            <v>44466</v>
          </cell>
          <cell r="AR1612">
            <v>44466</v>
          </cell>
          <cell r="AS1612">
            <v>0</v>
          </cell>
          <cell r="AT1612">
            <v>0</v>
          </cell>
          <cell r="AX1612" t="str">
            <v>Yes</v>
          </cell>
          <cell r="AZ1612" t="str">
            <v>Y</v>
          </cell>
          <cell r="BA1612" t="str">
            <v>Yes</v>
          </cell>
        </row>
        <row r="1613">
          <cell r="B1613">
            <v>1463</v>
          </cell>
          <cell r="C1613" t="str">
            <v>C49SZX20210183SX</v>
          </cell>
          <cell r="D1613" t="str">
            <v>奕东</v>
          </cell>
          <cell r="E1613" t="str">
            <v>YSM10</v>
          </cell>
          <cell r="I1613" t="str">
            <v>L-&gt;R</v>
          </cell>
          <cell r="J1613" t="str">
            <v>MVC</v>
          </cell>
          <cell r="K1613">
            <v>1</v>
          </cell>
          <cell r="N1613">
            <v>44467</v>
          </cell>
          <cell r="O1613">
            <v>11100502</v>
          </cell>
          <cell r="P1613">
            <v>544000</v>
          </cell>
          <cell r="Q1613">
            <v>44467</v>
          </cell>
          <cell r="R1613" t="str">
            <v>No</v>
          </cell>
          <cell r="S1613" t="str">
            <v>C49</v>
          </cell>
          <cell r="T1613" t="str">
            <v>SOUTH</v>
          </cell>
          <cell r="U1613" t="str">
            <v>深圳</v>
          </cell>
          <cell r="V1613" t="str">
            <v>SZ 深圳</v>
          </cell>
          <cell r="W1613" t="str">
            <v>DZ</v>
          </cell>
          <cell r="X1613" t="str">
            <v>RMB</v>
          </cell>
          <cell r="Y1613">
            <v>544000</v>
          </cell>
          <cell r="Z1613">
            <v>1.1299999999999999</v>
          </cell>
          <cell r="AA1613">
            <v>544000</v>
          </cell>
          <cell r="AB1613">
            <v>1.2</v>
          </cell>
          <cell r="AC1613">
            <v>577699.11504424782</v>
          </cell>
          <cell r="AD1613">
            <v>69323.893805309737</v>
          </cell>
          <cell r="AE1613">
            <v>0.12</v>
          </cell>
          <cell r="AF1613">
            <v>44403</v>
          </cell>
          <cell r="AG1613" t="str">
            <v>DDP DG</v>
          </cell>
          <cell r="AK1613">
            <v>0.3</v>
          </cell>
          <cell r="AL1613">
            <v>163200</v>
          </cell>
          <cell r="AM1613">
            <v>44413</v>
          </cell>
          <cell r="AN1613" t="str">
            <v>Yes</v>
          </cell>
          <cell r="AO1613">
            <v>0.7</v>
          </cell>
          <cell r="AP1613">
            <v>380800</v>
          </cell>
          <cell r="AQ1613">
            <v>44466</v>
          </cell>
          <cell r="AR1613">
            <v>44466</v>
          </cell>
          <cell r="AS1613">
            <v>0</v>
          </cell>
          <cell r="AT1613">
            <v>0</v>
          </cell>
          <cell r="AX1613" t="str">
            <v>Yes</v>
          </cell>
          <cell r="AZ1613" t="str">
            <v>Y</v>
          </cell>
          <cell r="BA1613" t="str">
            <v>Yes</v>
          </cell>
        </row>
        <row r="1614">
          <cell r="B1614">
            <v>1464</v>
          </cell>
          <cell r="C1614" t="str">
            <v>C49SZX20210183SX</v>
          </cell>
          <cell r="D1614" t="str">
            <v>奕东</v>
          </cell>
          <cell r="E1614" t="str">
            <v>YSM10</v>
          </cell>
          <cell r="I1614" t="str">
            <v>L-&gt;R</v>
          </cell>
          <cell r="J1614" t="str">
            <v>MVC</v>
          </cell>
          <cell r="K1614">
            <v>1</v>
          </cell>
          <cell r="N1614">
            <v>44467</v>
          </cell>
          <cell r="O1614">
            <v>11100502</v>
          </cell>
          <cell r="P1614">
            <v>544000</v>
          </cell>
          <cell r="Q1614">
            <v>44467</v>
          </cell>
          <cell r="R1614" t="str">
            <v>No</v>
          </cell>
          <cell r="S1614" t="str">
            <v>C49</v>
          </cell>
          <cell r="T1614" t="str">
            <v>SOUTH</v>
          </cell>
          <cell r="U1614" t="str">
            <v>深圳</v>
          </cell>
          <cell r="V1614" t="str">
            <v>SZ 深圳</v>
          </cell>
          <cell r="W1614" t="str">
            <v>DZ</v>
          </cell>
          <cell r="X1614" t="str">
            <v>RMB</v>
          </cell>
          <cell r="Y1614">
            <v>544000</v>
          </cell>
          <cell r="Z1614">
            <v>1.1299999999999999</v>
          </cell>
          <cell r="AA1614">
            <v>544000</v>
          </cell>
          <cell r="AB1614">
            <v>1.2</v>
          </cell>
          <cell r="AC1614">
            <v>577699.11504424782</v>
          </cell>
          <cell r="AD1614">
            <v>69323.893805309737</v>
          </cell>
          <cell r="AE1614">
            <v>0.12</v>
          </cell>
          <cell r="AF1614">
            <v>44403</v>
          </cell>
          <cell r="AG1614" t="str">
            <v>DDP DG</v>
          </cell>
          <cell r="AK1614">
            <v>0.3</v>
          </cell>
          <cell r="AL1614">
            <v>163200</v>
          </cell>
          <cell r="AM1614">
            <v>44413</v>
          </cell>
          <cell r="AN1614" t="str">
            <v>Yes</v>
          </cell>
          <cell r="AO1614">
            <v>0.7</v>
          </cell>
          <cell r="AP1614">
            <v>380800</v>
          </cell>
          <cell r="AQ1614">
            <v>44466</v>
          </cell>
          <cell r="AR1614">
            <v>44466</v>
          </cell>
          <cell r="AS1614">
            <v>0</v>
          </cell>
          <cell r="AT1614">
            <v>0</v>
          </cell>
          <cell r="AX1614" t="str">
            <v>Yes</v>
          </cell>
          <cell r="AZ1614" t="str">
            <v>Y</v>
          </cell>
          <cell r="BA1614" t="str">
            <v>Yes</v>
          </cell>
        </row>
        <row r="1615">
          <cell r="B1615">
            <v>1465</v>
          </cell>
          <cell r="C1615" t="str">
            <v>C49SZX20210184DZ</v>
          </cell>
          <cell r="D1615" t="str">
            <v>长沙健科</v>
          </cell>
          <cell r="E1615" t="str">
            <v>YSM20R-2</v>
          </cell>
          <cell r="I1615" t="str">
            <v>L-&gt;R</v>
          </cell>
          <cell r="J1615" t="str">
            <v>MVC+Feeder Carriage</v>
          </cell>
          <cell r="K1615">
            <v>1</v>
          </cell>
          <cell r="N1615">
            <v>44510</v>
          </cell>
          <cell r="O1615">
            <v>11116674</v>
          </cell>
          <cell r="P1615">
            <v>16500000</v>
          </cell>
          <cell r="Q1615">
            <v>44530</v>
          </cell>
          <cell r="R1615" t="str">
            <v>No</v>
          </cell>
          <cell r="S1615" t="str">
            <v>C49</v>
          </cell>
          <cell r="T1615" t="str">
            <v>SOUTH</v>
          </cell>
          <cell r="U1615" t="str">
            <v>深圳</v>
          </cell>
          <cell r="V1615" t="str">
            <v>SZ 深圳</v>
          </cell>
          <cell r="W1615" t="str">
            <v>DZ</v>
          </cell>
          <cell r="X1615" t="str">
            <v>JPY</v>
          </cell>
          <cell r="Y1615">
            <v>16500000</v>
          </cell>
          <cell r="Z1615">
            <v>1</v>
          </cell>
          <cell r="AA1615">
            <v>16500000</v>
          </cell>
          <cell r="AB1615">
            <v>7.2400000000000006E-2</v>
          </cell>
          <cell r="AC1615">
            <v>1194600</v>
          </cell>
          <cell r="AD1615">
            <v>143352</v>
          </cell>
          <cell r="AE1615">
            <v>0.12</v>
          </cell>
          <cell r="AF1615">
            <v>44408</v>
          </cell>
          <cell r="AG1615" t="str">
            <v>DAP CS</v>
          </cell>
          <cell r="AK1615">
            <v>0.2</v>
          </cell>
          <cell r="AL1615">
            <v>3300000</v>
          </cell>
          <cell r="AM1615">
            <v>44414</v>
          </cell>
          <cell r="AN1615" t="str">
            <v>Yes</v>
          </cell>
          <cell r="AO1615">
            <v>0.7</v>
          </cell>
          <cell r="AP1615">
            <v>11550000</v>
          </cell>
          <cell r="AQ1615">
            <v>44509</v>
          </cell>
          <cell r="AR1615">
            <v>44509</v>
          </cell>
          <cell r="AS1615">
            <v>0.1</v>
          </cell>
          <cell r="AT1615">
            <v>1650000</v>
          </cell>
          <cell r="AU1615">
            <v>44561</v>
          </cell>
          <cell r="AV1615">
            <v>44561</v>
          </cell>
          <cell r="AX1615" t="str">
            <v>Yes</v>
          </cell>
          <cell r="AZ1615" t="str">
            <v>Y</v>
          </cell>
          <cell r="BA1615" t="str">
            <v>Yes</v>
          </cell>
        </row>
        <row r="1616">
          <cell r="B1616">
            <v>1466</v>
          </cell>
          <cell r="C1616" t="str">
            <v>C49SZX20210184DZ</v>
          </cell>
          <cell r="D1616" t="str">
            <v>长沙健科</v>
          </cell>
          <cell r="E1616" t="str">
            <v>YSM20R-2</v>
          </cell>
          <cell r="I1616" t="str">
            <v>L-&gt;R</v>
          </cell>
          <cell r="J1616" t="str">
            <v>Feeder Carriage</v>
          </cell>
          <cell r="K1616">
            <v>1</v>
          </cell>
          <cell r="N1616">
            <v>44510</v>
          </cell>
          <cell r="O1616">
            <v>11116674</v>
          </cell>
          <cell r="P1616">
            <v>16500000</v>
          </cell>
          <cell r="Q1616">
            <v>44530</v>
          </cell>
          <cell r="R1616" t="str">
            <v>No</v>
          </cell>
          <cell r="S1616" t="str">
            <v>C49</v>
          </cell>
          <cell r="T1616" t="str">
            <v>SOUTH</v>
          </cell>
          <cell r="U1616" t="str">
            <v>深圳</v>
          </cell>
          <cell r="V1616" t="str">
            <v>SZ 深圳</v>
          </cell>
          <cell r="W1616" t="str">
            <v>DZ</v>
          </cell>
          <cell r="X1616" t="str">
            <v>JPY</v>
          </cell>
          <cell r="Y1616">
            <v>16500000</v>
          </cell>
          <cell r="Z1616">
            <v>1</v>
          </cell>
          <cell r="AA1616">
            <v>16500000</v>
          </cell>
          <cell r="AB1616">
            <v>7.2400000000000006E-2</v>
          </cell>
          <cell r="AC1616">
            <v>1194600</v>
          </cell>
          <cell r="AD1616">
            <v>143352</v>
          </cell>
          <cell r="AE1616">
            <v>0.12</v>
          </cell>
          <cell r="AF1616">
            <v>44408</v>
          </cell>
          <cell r="AG1616" t="str">
            <v>DAP CS</v>
          </cell>
          <cell r="AK1616">
            <v>0.2</v>
          </cell>
          <cell r="AL1616">
            <v>3300000</v>
          </cell>
          <cell r="AM1616">
            <v>44414</v>
          </cell>
          <cell r="AN1616" t="str">
            <v>Yes</v>
          </cell>
          <cell r="AO1616">
            <v>0.7</v>
          </cell>
          <cell r="AP1616">
            <v>11550000</v>
          </cell>
          <cell r="AQ1616">
            <v>44509</v>
          </cell>
          <cell r="AR1616">
            <v>44509</v>
          </cell>
          <cell r="AS1616">
            <v>0.1</v>
          </cell>
          <cell r="AT1616">
            <v>1650000</v>
          </cell>
          <cell r="AU1616">
            <v>44561</v>
          </cell>
          <cell r="AV1616">
            <v>44561</v>
          </cell>
          <cell r="AX1616" t="str">
            <v>Yes</v>
          </cell>
          <cell r="AZ1616" t="str">
            <v>Y</v>
          </cell>
          <cell r="BA1616" t="str">
            <v>Yes</v>
          </cell>
        </row>
        <row r="1617">
          <cell r="B1617">
            <v>1467</v>
          </cell>
          <cell r="C1617" t="str">
            <v>C49SZX20210186SS</v>
          </cell>
          <cell r="D1617" t="str">
            <v>恒业信</v>
          </cell>
          <cell r="E1617" t="str">
            <v>YSM20R-2</v>
          </cell>
          <cell r="I1617" t="str">
            <v>R-&gt;L</v>
          </cell>
          <cell r="J1617" t="str">
            <v>No</v>
          </cell>
          <cell r="K1617">
            <v>1</v>
          </cell>
          <cell r="N1617">
            <v>44532</v>
          </cell>
          <cell r="O1617">
            <v>11116675</v>
          </cell>
          <cell r="P1617">
            <v>14000000</v>
          </cell>
          <cell r="Q1617">
            <v>44530</v>
          </cell>
          <cell r="R1617" t="str">
            <v>No</v>
          </cell>
          <cell r="S1617" t="str">
            <v>C49</v>
          </cell>
          <cell r="T1617" t="str">
            <v>SOUTH</v>
          </cell>
          <cell r="U1617" t="str">
            <v>深圳</v>
          </cell>
          <cell r="V1617" t="str">
            <v>SZ 深圳</v>
          </cell>
          <cell r="W1617" t="str">
            <v>SS</v>
          </cell>
          <cell r="X1617" t="str">
            <v>JPY</v>
          </cell>
          <cell r="Y1617">
            <v>14000000</v>
          </cell>
          <cell r="Z1617">
            <v>1</v>
          </cell>
          <cell r="AA1617">
            <v>14000000</v>
          </cell>
          <cell r="AB1617">
            <v>7.2400000000000006E-2</v>
          </cell>
          <cell r="AC1617">
            <v>1013600.0000000001</v>
          </cell>
          <cell r="AD1617">
            <v>121632.00000000001</v>
          </cell>
          <cell r="AE1617">
            <v>0.12</v>
          </cell>
          <cell r="AF1617">
            <v>44411</v>
          </cell>
          <cell r="AG1617" t="str">
            <v>DAP SZ</v>
          </cell>
          <cell r="AI1617">
            <v>20000</v>
          </cell>
          <cell r="AJ1617">
            <v>44481</v>
          </cell>
          <cell r="AK1617" t="str">
            <v>Agree</v>
          </cell>
          <cell r="AL1617">
            <v>1700893</v>
          </cell>
          <cell r="AM1617">
            <v>44524</v>
          </cell>
          <cell r="AN1617" t="str">
            <v>Yes</v>
          </cell>
          <cell r="AO1617">
            <v>0.9</v>
          </cell>
          <cell r="AP1617">
            <v>12600000</v>
          </cell>
          <cell r="AQ1617">
            <v>44530</v>
          </cell>
          <cell r="AR1617">
            <v>44530</v>
          </cell>
          <cell r="AS1617">
            <v>0</v>
          </cell>
          <cell r="AT1617">
            <v>0</v>
          </cell>
          <cell r="AX1617" t="str">
            <v>Yes</v>
          </cell>
          <cell r="AZ1617" t="str">
            <v>Y</v>
          </cell>
          <cell r="BA1617" t="str">
            <v>Yes</v>
          </cell>
        </row>
        <row r="1618">
          <cell r="B1618">
            <v>1468</v>
          </cell>
          <cell r="C1618" t="str">
            <v>C49SZX20210185DZ</v>
          </cell>
          <cell r="D1618" t="str">
            <v>宝捷信</v>
          </cell>
          <cell r="E1618" t="str">
            <v>YSM20R-2</v>
          </cell>
          <cell r="I1618" t="str">
            <v>L-&gt;R</v>
          </cell>
          <cell r="J1618" t="str">
            <v>cATS10+MVC+Feeder Carriage</v>
          </cell>
          <cell r="K1618">
            <v>1</v>
          </cell>
          <cell r="N1618">
            <v>44649</v>
          </cell>
          <cell r="O1618">
            <v>11116717</v>
          </cell>
          <cell r="P1618">
            <v>21800000</v>
          </cell>
          <cell r="Q1618">
            <v>44645</v>
          </cell>
          <cell r="R1618" t="str">
            <v>No</v>
          </cell>
          <cell r="S1618" t="str">
            <v>C49</v>
          </cell>
          <cell r="T1618" t="str">
            <v>SOUTH</v>
          </cell>
          <cell r="U1618" t="str">
            <v>深圳</v>
          </cell>
          <cell r="V1618" t="str">
            <v>SZ 深圳</v>
          </cell>
          <cell r="W1618" t="str">
            <v>DZ</v>
          </cell>
          <cell r="X1618" t="str">
            <v>JPY</v>
          </cell>
          <cell r="Y1618">
            <v>21800000</v>
          </cell>
          <cell r="Z1618">
            <v>1</v>
          </cell>
          <cell r="AA1618">
            <v>21800000</v>
          </cell>
          <cell r="AB1618">
            <v>7.2400000000000006E-2</v>
          </cell>
          <cell r="AC1618">
            <v>1578320.0000000002</v>
          </cell>
          <cell r="AD1618">
            <v>189398.40000000002</v>
          </cell>
          <cell r="AE1618">
            <v>0.12</v>
          </cell>
          <cell r="AF1618">
            <v>44410</v>
          </cell>
          <cell r="AG1618" t="str">
            <v>DAP HZ</v>
          </cell>
          <cell r="AK1618">
            <v>0.1</v>
          </cell>
          <cell r="AL1618">
            <v>2180000</v>
          </cell>
          <cell r="AM1618">
            <v>44418</v>
          </cell>
          <cell r="AN1618" t="str">
            <v>Yes</v>
          </cell>
          <cell r="AO1618">
            <v>0.85</v>
          </cell>
          <cell r="AP1618">
            <v>18530000</v>
          </cell>
          <cell r="AQ1618">
            <v>44630</v>
          </cell>
          <cell r="AR1618">
            <v>44630</v>
          </cell>
          <cell r="AS1618">
            <v>0.05</v>
          </cell>
          <cell r="AT1618">
            <v>1090000</v>
          </cell>
          <cell r="AX1618" t="str">
            <v>Yes</v>
          </cell>
          <cell r="AZ1618" t="str">
            <v>Y</v>
          </cell>
          <cell r="BA1618" t="str">
            <v>Yes</v>
          </cell>
        </row>
        <row r="1619">
          <cell r="B1619">
            <v>1469</v>
          </cell>
          <cell r="C1619" t="str">
            <v>C49SZX20210185DZ</v>
          </cell>
          <cell r="D1619" t="str">
            <v>宝捷信</v>
          </cell>
          <cell r="E1619" t="str">
            <v>YSM20R-2</v>
          </cell>
          <cell r="I1619" t="str">
            <v>L-&gt;R</v>
          </cell>
          <cell r="J1619" t="str">
            <v>No</v>
          </cell>
          <cell r="K1619">
            <v>1</v>
          </cell>
          <cell r="N1619">
            <v>44649</v>
          </cell>
          <cell r="O1619">
            <v>11116717</v>
          </cell>
          <cell r="P1619">
            <v>21800000</v>
          </cell>
          <cell r="Q1619">
            <v>44645</v>
          </cell>
          <cell r="R1619" t="str">
            <v>No</v>
          </cell>
          <cell r="S1619" t="str">
            <v>C49</v>
          </cell>
          <cell r="T1619" t="str">
            <v>SOUTH</v>
          </cell>
          <cell r="U1619" t="str">
            <v>深圳</v>
          </cell>
          <cell r="V1619" t="str">
            <v>SZ 深圳</v>
          </cell>
          <cell r="W1619" t="str">
            <v>DZ</v>
          </cell>
          <cell r="X1619" t="str">
            <v>JPY</v>
          </cell>
          <cell r="Y1619">
            <v>21800000</v>
          </cell>
          <cell r="Z1619">
            <v>1</v>
          </cell>
          <cell r="AA1619">
            <v>21800000</v>
          </cell>
          <cell r="AB1619">
            <v>7.2400000000000006E-2</v>
          </cell>
          <cell r="AC1619">
            <v>1578320.0000000002</v>
          </cell>
          <cell r="AD1619">
            <v>189398.40000000002</v>
          </cell>
          <cell r="AE1619">
            <v>0.12</v>
          </cell>
          <cell r="AF1619">
            <v>44410</v>
          </cell>
          <cell r="AG1619" t="str">
            <v>DAP HZ</v>
          </cell>
          <cell r="AK1619">
            <v>0.1</v>
          </cell>
          <cell r="AL1619">
            <v>2180000</v>
          </cell>
          <cell r="AM1619">
            <v>44418</v>
          </cell>
          <cell r="AN1619" t="str">
            <v>Yes</v>
          </cell>
          <cell r="AO1619">
            <v>0.85</v>
          </cell>
          <cell r="AP1619">
            <v>18530000</v>
          </cell>
          <cell r="AQ1619">
            <v>44630</v>
          </cell>
          <cell r="AR1619">
            <v>44630</v>
          </cell>
          <cell r="AS1619">
            <v>0.05</v>
          </cell>
          <cell r="AT1619">
            <v>1090000</v>
          </cell>
          <cell r="AX1619" t="str">
            <v>Yes</v>
          </cell>
          <cell r="AZ1619" t="str">
            <v>Y</v>
          </cell>
          <cell r="BA1619" t="str">
            <v>Yes</v>
          </cell>
        </row>
        <row r="1620">
          <cell r="B1620">
            <v>1470</v>
          </cell>
          <cell r="C1620" t="str">
            <v>C49SZX20210187SS</v>
          </cell>
          <cell r="D1620" t="str">
            <v>盈通恒翼</v>
          </cell>
          <cell r="E1620" t="str">
            <v>YSM10</v>
          </cell>
          <cell r="I1620" t="str">
            <v>L-&gt;R</v>
          </cell>
          <cell r="J1620" t="str">
            <v>No</v>
          </cell>
          <cell r="K1620">
            <v>1</v>
          </cell>
          <cell r="N1620">
            <v>44659</v>
          </cell>
          <cell r="O1620">
            <v>11116729</v>
          </cell>
          <cell r="P1620">
            <v>8300000</v>
          </cell>
          <cell r="Q1620">
            <v>44673</v>
          </cell>
          <cell r="R1620" t="str">
            <v>No</v>
          </cell>
          <cell r="S1620" t="str">
            <v>C49</v>
          </cell>
          <cell r="T1620" t="str">
            <v>SOUTH</v>
          </cell>
          <cell r="U1620" t="str">
            <v>深圳</v>
          </cell>
          <cell r="V1620" t="str">
            <v>SZ 深圳</v>
          </cell>
          <cell r="W1620" t="str">
            <v>SS</v>
          </cell>
          <cell r="X1620" t="str">
            <v>JPY</v>
          </cell>
          <cell r="Y1620">
            <v>8300000</v>
          </cell>
          <cell r="Z1620">
            <v>1</v>
          </cell>
          <cell r="AA1620">
            <v>8300000</v>
          </cell>
          <cell r="AB1620">
            <v>7.2400000000000006E-2</v>
          </cell>
          <cell r="AC1620">
            <v>600920</v>
          </cell>
          <cell r="AD1620">
            <v>72110.399999999994</v>
          </cell>
          <cell r="AE1620">
            <v>0.12</v>
          </cell>
          <cell r="AF1620">
            <v>44439</v>
          </cell>
          <cell r="AG1620" t="str">
            <v>DAP SZ</v>
          </cell>
          <cell r="AK1620">
            <v>0.1</v>
          </cell>
          <cell r="AL1620">
            <v>830000</v>
          </cell>
          <cell r="AM1620">
            <v>44446</v>
          </cell>
          <cell r="AN1620" t="str">
            <v>Yes</v>
          </cell>
          <cell r="AO1620">
            <v>0.9</v>
          </cell>
          <cell r="AP1620">
            <v>7470000</v>
          </cell>
          <cell r="AQ1620">
            <v>44644</v>
          </cell>
          <cell r="AR1620">
            <v>44644</v>
          </cell>
          <cell r="AS1620">
            <v>0</v>
          </cell>
          <cell r="AT1620">
            <v>0</v>
          </cell>
          <cell r="AX1620" t="str">
            <v>Yes</v>
          </cell>
          <cell r="AZ1620" t="str">
            <v>Y</v>
          </cell>
          <cell r="BA1620" t="str">
            <v>Yes</v>
          </cell>
        </row>
        <row r="1621">
          <cell r="B1621">
            <v>1471</v>
          </cell>
          <cell r="C1621" t="str">
            <v>C49SZX20210187SS</v>
          </cell>
          <cell r="D1621" t="str">
            <v>盈通恒翼</v>
          </cell>
          <cell r="E1621" t="str">
            <v>YSM20R-2</v>
          </cell>
          <cell r="I1621" t="str">
            <v>L-&gt;R</v>
          </cell>
          <cell r="J1621" t="str">
            <v>No</v>
          </cell>
          <cell r="K1621">
            <v>1</v>
          </cell>
          <cell r="N1621">
            <v>44659</v>
          </cell>
          <cell r="O1621">
            <v>11116729</v>
          </cell>
          <cell r="P1621">
            <v>12700000</v>
          </cell>
          <cell r="Q1621">
            <v>44673</v>
          </cell>
          <cell r="R1621" t="str">
            <v>No</v>
          </cell>
          <cell r="S1621" t="str">
            <v>C49</v>
          </cell>
          <cell r="T1621" t="str">
            <v>SOUTH</v>
          </cell>
          <cell r="U1621" t="str">
            <v>深圳</v>
          </cell>
          <cell r="V1621" t="str">
            <v>SZ 深圳</v>
          </cell>
          <cell r="W1621" t="str">
            <v>SS</v>
          </cell>
          <cell r="X1621" t="str">
            <v>JPY</v>
          </cell>
          <cell r="Y1621">
            <v>12700000</v>
          </cell>
          <cell r="Z1621">
            <v>1</v>
          </cell>
          <cell r="AA1621">
            <v>12700000</v>
          </cell>
          <cell r="AB1621">
            <v>7.2400000000000006E-2</v>
          </cell>
          <cell r="AC1621">
            <v>919480.00000000012</v>
          </cell>
          <cell r="AD1621">
            <v>110337.60000000001</v>
          </cell>
          <cell r="AE1621">
            <v>0.12</v>
          </cell>
          <cell r="AF1621">
            <v>44439</v>
          </cell>
          <cell r="AG1621" t="str">
            <v>DAP SZ</v>
          </cell>
          <cell r="AK1621">
            <v>0.1</v>
          </cell>
          <cell r="AL1621">
            <v>1270000</v>
          </cell>
          <cell r="AM1621">
            <v>44446</v>
          </cell>
          <cell r="AN1621" t="str">
            <v>Yes</v>
          </cell>
          <cell r="AO1621">
            <v>0.9</v>
          </cell>
          <cell r="AP1621">
            <v>11430000</v>
          </cell>
          <cell r="AQ1621">
            <v>44644</v>
          </cell>
          <cell r="AR1621">
            <v>44644</v>
          </cell>
          <cell r="AS1621">
            <v>0</v>
          </cell>
          <cell r="AT1621">
            <v>0</v>
          </cell>
          <cell r="AX1621" t="str">
            <v>Yes</v>
          </cell>
          <cell r="AZ1621" t="str">
            <v>Y</v>
          </cell>
          <cell r="BA1621" t="str">
            <v>Yes</v>
          </cell>
        </row>
        <row r="1622">
          <cell r="B1622">
            <v>1472</v>
          </cell>
          <cell r="C1622" t="str">
            <v>C28SZX2021044KC</v>
          </cell>
          <cell r="D1622" t="str">
            <v>小婉牛</v>
          </cell>
          <cell r="E1622" t="str">
            <v>SolderStar R-0625L</v>
          </cell>
          <cell r="I1622" t="str">
            <v>No</v>
          </cell>
          <cell r="J1622" t="str">
            <v>No</v>
          </cell>
          <cell r="K1622">
            <v>1</v>
          </cell>
          <cell r="N1622">
            <v>44442</v>
          </cell>
          <cell r="O1622">
            <v>11100501</v>
          </cell>
          <cell r="P1622">
            <v>29000</v>
          </cell>
          <cell r="Q1622">
            <v>44467</v>
          </cell>
          <cell r="R1622" t="str">
            <v>No</v>
          </cell>
          <cell r="S1622" t="str">
            <v>C28</v>
          </cell>
          <cell r="T1622" t="str">
            <v>SOUTH</v>
          </cell>
          <cell r="U1622" t="str">
            <v>深圳</v>
          </cell>
          <cell r="V1622" t="str">
            <v>SZ 深圳</v>
          </cell>
          <cell r="W1622" t="str">
            <v>KC</v>
          </cell>
          <cell r="X1622" t="str">
            <v>RMB</v>
          </cell>
          <cell r="Y1622">
            <v>29000</v>
          </cell>
          <cell r="Z1622">
            <v>1.1299999999999999</v>
          </cell>
          <cell r="AA1622">
            <v>29000</v>
          </cell>
          <cell r="AB1622">
            <v>1.2</v>
          </cell>
          <cell r="AC1622">
            <v>30796.460176991153</v>
          </cell>
          <cell r="AD1622">
            <v>3695.5752212389384</v>
          </cell>
          <cell r="AE1622">
            <v>0.12</v>
          </cell>
          <cell r="AF1622">
            <v>44434</v>
          </cell>
          <cell r="AG1622" t="str">
            <v>含税到厂</v>
          </cell>
          <cell r="AK1622">
            <v>1</v>
          </cell>
          <cell r="AL1622">
            <v>29000</v>
          </cell>
          <cell r="AM1622">
            <v>44441</v>
          </cell>
          <cell r="AN1622" t="str">
            <v>Yes</v>
          </cell>
          <cell r="AO1622">
            <v>0</v>
          </cell>
          <cell r="AP1622">
            <v>0</v>
          </cell>
          <cell r="AS1622">
            <v>0</v>
          </cell>
          <cell r="AT1622">
            <v>0</v>
          </cell>
        </row>
        <row r="1623">
          <cell r="B1623">
            <v>1473</v>
          </cell>
          <cell r="C1623" t="str">
            <v>C49SZX20210188JL</v>
          </cell>
          <cell r="D1623" t="str">
            <v>博新</v>
          </cell>
          <cell r="E1623" t="str">
            <v>YSM20R-2</v>
          </cell>
          <cell r="F1623"/>
          <cell r="H1623"/>
          <cell r="I1623" t="str">
            <v>L-&gt;R</v>
          </cell>
          <cell r="J1623" t="str">
            <v>MVC</v>
          </cell>
          <cell r="K1623">
            <v>1</v>
          </cell>
          <cell r="L1623"/>
          <cell r="N1623"/>
          <cell r="O1623"/>
          <cell r="P1623"/>
          <cell r="Q1623"/>
          <cell r="R1623" t="str">
            <v>No</v>
          </cell>
          <cell r="S1623" t="str">
            <v>C49</v>
          </cell>
          <cell r="T1623" t="str">
            <v>SOUTH</v>
          </cell>
          <cell r="U1623" t="str">
            <v>深圳</v>
          </cell>
          <cell r="V1623" t="str">
            <v>SZ 深圳</v>
          </cell>
          <cell r="W1623" t="str">
            <v>JL</v>
          </cell>
          <cell r="X1623" t="str">
            <v>RMB</v>
          </cell>
          <cell r="Y1623">
            <v>850000</v>
          </cell>
          <cell r="Z1623">
            <v>1.1299999999999999</v>
          </cell>
          <cell r="AA1623">
            <v>850000</v>
          </cell>
          <cell r="AB1623">
            <v>1.2</v>
          </cell>
          <cell r="AC1623">
            <v>902654.8672566372</v>
          </cell>
          <cell r="AD1623">
            <v>108318.58407079645</v>
          </cell>
          <cell r="AE1623">
            <v>0.12</v>
          </cell>
          <cell r="AF1623">
            <v>44441</v>
          </cell>
          <cell r="AG1623" t="str">
            <v>DDP DG</v>
          </cell>
          <cell r="AI1623"/>
          <cell r="AJ1623"/>
          <cell r="AK1623">
            <v>0.1</v>
          </cell>
          <cell r="AL1623">
            <v>85000</v>
          </cell>
          <cell r="AM1623"/>
          <cell r="AN1623" t="str">
            <v>No</v>
          </cell>
          <cell r="AO1623">
            <v>0.9</v>
          </cell>
          <cell r="AP1623">
            <v>765000</v>
          </cell>
          <cell r="AQ1623"/>
          <cell r="AR1623"/>
          <cell r="AS1623">
            <v>0</v>
          </cell>
          <cell r="AT1623">
            <v>0</v>
          </cell>
          <cell r="AV1623"/>
          <cell r="AX1623" t="str">
            <v>Cancel</v>
          </cell>
          <cell r="AY1623"/>
          <cell r="AZ1623"/>
          <cell r="BA1623" t="str">
            <v>Cancel</v>
          </cell>
          <cell r="BB1623" t="str">
            <v>2022-3-25Ken邮件通知</v>
          </cell>
        </row>
        <row r="1624">
          <cell r="B1624">
            <v>1474</v>
          </cell>
          <cell r="C1624" t="str">
            <v>C49SZX20210189DZ</v>
          </cell>
          <cell r="D1624" t="str">
            <v>长沙健科</v>
          </cell>
          <cell r="E1624" t="str">
            <v>YRH10</v>
          </cell>
          <cell r="I1624" t="str">
            <v>L-&gt;R</v>
          </cell>
          <cell r="J1624" t="str">
            <v>No</v>
          </cell>
          <cell r="K1624">
            <v>1</v>
          </cell>
          <cell r="N1624">
            <v>44620</v>
          </cell>
          <cell r="O1624">
            <v>11116704</v>
          </cell>
          <cell r="P1624">
            <v>24300000</v>
          </cell>
          <cell r="Q1624">
            <v>44615</v>
          </cell>
          <cell r="R1624" t="str">
            <v>No</v>
          </cell>
          <cell r="S1624" t="str">
            <v>C49</v>
          </cell>
          <cell r="T1624" t="str">
            <v>SOUTH</v>
          </cell>
          <cell r="U1624" t="str">
            <v>深圳</v>
          </cell>
          <cell r="V1624" t="str">
            <v>SZ 深圳</v>
          </cell>
          <cell r="W1624" t="str">
            <v>DZ</v>
          </cell>
          <cell r="X1624" t="str">
            <v>JPY</v>
          </cell>
          <cell r="Y1624">
            <v>24300000</v>
          </cell>
          <cell r="Z1624">
            <v>1</v>
          </cell>
          <cell r="AA1624">
            <v>24300000</v>
          </cell>
          <cell r="AB1624">
            <v>7.2300000000000003E-2</v>
          </cell>
          <cell r="AC1624">
            <v>1756890</v>
          </cell>
          <cell r="AD1624">
            <v>210826.8</v>
          </cell>
          <cell r="AE1624">
            <v>0.12</v>
          </cell>
          <cell r="AF1624">
            <v>44447</v>
          </cell>
          <cell r="AG1624" t="str">
            <v>DAP CS</v>
          </cell>
          <cell r="AK1624">
            <v>0.2</v>
          </cell>
          <cell r="AL1624">
            <v>4860000</v>
          </cell>
          <cell r="AM1624">
            <v>44453</v>
          </cell>
          <cell r="AN1624" t="str">
            <v>Yes</v>
          </cell>
          <cell r="AO1624">
            <v>0.7</v>
          </cell>
          <cell r="AP1624">
            <v>17010000</v>
          </cell>
          <cell r="AQ1624">
            <v>44606</v>
          </cell>
          <cell r="AR1624">
            <v>44606</v>
          </cell>
          <cell r="AS1624">
            <v>0.1</v>
          </cell>
          <cell r="AT1624">
            <v>2430000</v>
          </cell>
          <cell r="AU1624">
            <v>44832</v>
          </cell>
          <cell r="AV1624">
            <v>44832</v>
          </cell>
          <cell r="AX1624" t="str">
            <v>Yes</v>
          </cell>
          <cell r="AZ1624" t="str">
            <v>Y</v>
          </cell>
          <cell r="BA1624" t="str">
            <v>Yes</v>
          </cell>
        </row>
        <row r="1625">
          <cell r="B1625">
            <v>1475</v>
          </cell>
          <cell r="C1625" t="str">
            <v>C49SZX20210191DY</v>
          </cell>
          <cell r="D1625" t="str">
            <v>穗晖</v>
          </cell>
          <cell r="E1625" t="str">
            <v>YSM20R-2</v>
          </cell>
          <cell r="I1625" t="str">
            <v>L-&gt;R</v>
          </cell>
          <cell r="J1625" t="str">
            <v>No</v>
          </cell>
          <cell r="K1625">
            <v>1</v>
          </cell>
          <cell r="N1625">
            <v>44581</v>
          </cell>
          <cell r="O1625">
            <v>11116694</v>
          </cell>
          <cell r="P1625">
            <v>14300000</v>
          </cell>
          <cell r="Q1625">
            <v>44581</v>
          </cell>
          <cell r="R1625" t="str">
            <v>Yes</v>
          </cell>
          <cell r="S1625" t="str">
            <v>C49</v>
          </cell>
          <cell r="T1625" t="str">
            <v>SOUTH</v>
          </cell>
          <cell r="U1625" t="str">
            <v>深圳</v>
          </cell>
          <cell r="V1625" t="str">
            <v>SZ 深圳</v>
          </cell>
          <cell r="W1625" t="str">
            <v>DY</v>
          </cell>
          <cell r="X1625" t="str">
            <v>JPY</v>
          </cell>
          <cell r="Y1625">
            <v>14300000</v>
          </cell>
          <cell r="Z1625">
            <v>1</v>
          </cell>
          <cell r="AA1625">
            <v>14300000</v>
          </cell>
          <cell r="AB1625">
            <v>7.2300000000000003E-2</v>
          </cell>
          <cell r="AC1625">
            <v>1033890</v>
          </cell>
          <cell r="AD1625">
            <v>124066.79999999999</v>
          </cell>
          <cell r="AE1625">
            <v>0.12</v>
          </cell>
          <cell r="AF1625">
            <v>44452</v>
          </cell>
          <cell r="AG1625" t="str">
            <v>CIF HK</v>
          </cell>
          <cell r="AK1625">
            <v>0.3</v>
          </cell>
          <cell r="AL1625">
            <v>4290000</v>
          </cell>
          <cell r="AM1625">
            <v>44462</v>
          </cell>
          <cell r="AN1625" t="str">
            <v>Yes</v>
          </cell>
          <cell r="AO1625">
            <v>0.7</v>
          </cell>
          <cell r="AP1625">
            <v>10010000</v>
          </cell>
          <cell r="AQ1625">
            <v>44574</v>
          </cell>
          <cell r="AR1625">
            <v>44574</v>
          </cell>
          <cell r="AS1625">
            <v>0</v>
          </cell>
          <cell r="AT1625">
            <v>0</v>
          </cell>
          <cell r="AX1625" t="str">
            <v>Yes</v>
          </cell>
          <cell r="AZ1625" t="str">
            <v>Y</v>
          </cell>
          <cell r="BA1625" t="str">
            <v>Yes</v>
          </cell>
        </row>
        <row r="1626">
          <cell r="B1626">
            <v>1476</v>
          </cell>
          <cell r="C1626" t="str">
            <v>C28HKG2021050KC</v>
          </cell>
          <cell r="D1626" t="str">
            <v>嘉裕</v>
          </cell>
          <cell r="E1626" t="str">
            <v>SolderStar R-0625P</v>
          </cell>
          <cell r="I1626" t="str">
            <v>No</v>
          </cell>
          <cell r="J1626" t="str">
            <v>No</v>
          </cell>
          <cell r="K1626">
            <v>1</v>
          </cell>
          <cell r="N1626">
            <v>44477</v>
          </cell>
          <cell r="R1626" t="str">
            <v>No</v>
          </cell>
          <cell r="S1626" t="str">
            <v>C28</v>
          </cell>
          <cell r="T1626" t="str">
            <v>SOUTH</v>
          </cell>
          <cell r="U1626" t="str">
            <v>香港</v>
          </cell>
          <cell r="V1626" t="str">
            <v>SZ 深圳</v>
          </cell>
          <cell r="W1626" t="str">
            <v>KC</v>
          </cell>
          <cell r="X1626" t="str">
            <v>USD</v>
          </cell>
          <cell r="Y1626">
            <v>6000</v>
          </cell>
          <cell r="Z1626">
            <v>1</v>
          </cell>
          <cell r="AA1626">
            <v>6000</v>
          </cell>
          <cell r="AB1626">
            <v>7.8</v>
          </cell>
          <cell r="AC1626">
            <v>46800</v>
          </cell>
          <cell r="AD1626">
            <v>5616</v>
          </cell>
          <cell r="AE1626">
            <v>0.12</v>
          </cell>
          <cell r="AF1626">
            <v>44448</v>
          </cell>
          <cell r="AG1626" t="str">
            <v>CIF HK</v>
          </cell>
          <cell r="AK1626">
            <v>0.3</v>
          </cell>
          <cell r="AL1626">
            <v>1800</v>
          </cell>
          <cell r="AM1626">
            <v>44455</v>
          </cell>
          <cell r="AN1626" t="str">
            <v>Yes</v>
          </cell>
          <cell r="AO1626">
            <v>0.7</v>
          </cell>
          <cell r="AP1626">
            <v>4200</v>
          </cell>
          <cell r="AQ1626">
            <v>44469</v>
          </cell>
          <cell r="AR1626">
            <v>44469</v>
          </cell>
          <cell r="AS1626">
            <v>0</v>
          </cell>
          <cell r="AT1626">
            <v>0</v>
          </cell>
          <cell r="AX1626" t="str">
            <v>Yes</v>
          </cell>
        </row>
        <row r="1627">
          <cell r="B1627">
            <v>1477</v>
          </cell>
          <cell r="C1627" t="str">
            <v>C49SZX20210192SX</v>
          </cell>
          <cell r="D1627" t="str">
            <v>正讯</v>
          </cell>
          <cell r="E1627" t="str">
            <v>YSM20R-2</v>
          </cell>
          <cell r="I1627" t="str">
            <v>L-&gt;R</v>
          </cell>
          <cell r="J1627" t="str">
            <v>No</v>
          </cell>
          <cell r="K1627">
            <v>1</v>
          </cell>
          <cell r="N1627">
            <v>44662</v>
          </cell>
          <cell r="O1627">
            <v>11116730</v>
          </cell>
          <cell r="P1627">
            <v>18000000</v>
          </cell>
          <cell r="Q1627">
            <v>44673</v>
          </cell>
          <cell r="R1627" t="str">
            <v>Yes</v>
          </cell>
          <cell r="S1627" t="str">
            <v>C49</v>
          </cell>
          <cell r="T1627" t="str">
            <v>SOUTH</v>
          </cell>
          <cell r="U1627" t="str">
            <v>深圳</v>
          </cell>
          <cell r="V1627" t="str">
            <v>SZ 深圳</v>
          </cell>
          <cell r="W1627" t="str">
            <v>SX</v>
          </cell>
          <cell r="X1627" t="str">
            <v>JPY</v>
          </cell>
          <cell r="Y1627">
            <v>18000000</v>
          </cell>
          <cell r="Z1627">
            <v>1</v>
          </cell>
          <cell r="AA1627">
            <v>18000000</v>
          </cell>
          <cell r="AB1627">
            <v>7.2300000000000003E-2</v>
          </cell>
          <cell r="AC1627">
            <v>1301400</v>
          </cell>
          <cell r="AD1627">
            <v>156168</v>
          </cell>
          <cell r="AE1627">
            <v>0.12</v>
          </cell>
          <cell r="AF1627">
            <v>44456</v>
          </cell>
          <cell r="AG1627" t="str">
            <v>DAP DG</v>
          </cell>
          <cell r="AK1627">
            <v>0.1</v>
          </cell>
          <cell r="AL1627">
            <v>1800000</v>
          </cell>
          <cell r="AM1627">
            <v>44468</v>
          </cell>
          <cell r="AN1627" t="str">
            <v>Yes</v>
          </cell>
          <cell r="AO1627">
            <v>0.9</v>
          </cell>
          <cell r="AP1627">
            <v>16200000</v>
          </cell>
          <cell r="AQ1627">
            <v>44649</v>
          </cell>
          <cell r="AR1627">
            <v>44649</v>
          </cell>
          <cell r="AS1627">
            <v>0</v>
          </cell>
          <cell r="AT1627">
            <v>0</v>
          </cell>
          <cell r="AX1627" t="str">
            <v>Yes</v>
          </cell>
          <cell r="AZ1627" t="str">
            <v>Y</v>
          </cell>
          <cell r="BA1627" t="str">
            <v>Yes</v>
          </cell>
        </row>
        <row r="1628">
          <cell r="B1628">
            <v>1478</v>
          </cell>
          <cell r="C1628" t="str">
            <v>C49SZX20210192SX</v>
          </cell>
          <cell r="D1628" t="str">
            <v>正讯</v>
          </cell>
          <cell r="E1628" t="str">
            <v>YSM10</v>
          </cell>
          <cell r="I1628" t="str">
            <v>L-&gt;R</v>
          </cell>
          <cell r="J1628" t="str">
            <v>MVC</v>
          </cell>
          <cell r="K1628">
            <v>1</v>
          </cell>
          <cell r="N1628">
            <v>44662</v>
          </cell>
          <cell r="O1628">
            <v>11116730</v>
          </cell>
          <cell r="P1628">
            <v>8200000</v>
          </cell>
          <cell r="Q1628">
            <v>44673</v>
          </cell>
          <cell r="R1628" t="str">
            <v>Yes</v>
          </cell>
          <cell r="S1628" t="str">
            <v>C49</v>
          </cell>
          <cell r="T1628" t="str">
            <v>SOUTH</v>
          </cell>
          <cell r="U1628" t="str">
            <v>深圳</v>
          </cell>
          <cell r="V1628" t="str">
            <v>SZ 深圳</v>
          </cell>
          <cell r="W1628" t="str">
            <v>SX</v>
          </cell>
          <cell r="X1628" t="str">
            <v>JPY</v>
          </cell>
          <cell r="Y1628">
            <v>8200000</v>
          </cell>
          <cell r="Z1628">
            <v>1</v>
          </cell>
          <cell r="AA1628">
            <v>8200000</v>
          </cell>
          <cell r="AB1628">
            <v>7.2300000000000003E-2</v>
          </cell>
          <cell r="AC1628">
            <v>592860</v>
          </cell>
          <cell r="AD1628">
            <v>71143.199999999997</v>
          </cell>
          <cell r="AE1628">
            <v>0.12</v>
          </cell>
          <cell r="AF1628">
            <v>44456</v>
          </cell>
          <cell r="AG1628" t="str">
            <v>DAP DG</v>
          </cell>
          <cell r="AK1628">
            <v>0.1</v>
          </cell>
          <cell r="AL1628">
            <v>820000</v>
          </cell>
          <cell r="AM1628">
            <v>44468</v>
          </cell>
          <cell r="AN1628" t="str">
            <v>Yes</v>
          </cell>
          <cell r="AO1628">
            <v>0.9</v>
          </cell>
          <cell r="AP1628">
            <v>7380000</v>
          </cell>
          <cell r="AQ1628">
            <v>44649</v>
          </cell>
          <cell r="AR1628">
            <v>44649</v>
          </cell>
          <cell r="AS1628">
            <v>0</v>
          </cell>
          <cell r="AT1628">
            <v>0</v>
          </cell>
          <cell r="AX1628" t="str">
            <v>Yes</v>
          </cell>
          <cell r="AZ1628" t="str">
            <v>Y</v>
          </cell>
          <cell r="BA1628" t="str">
            <v>Yes</v>
          </cell>
        </row>
        <row r="1629">
          <cell r="B1629">
            <v>1479</v>
          </cell>
          <cell r="C1629" t="str">
            <v>C49SZX20210193SX</v>
          </cell>
          <cell r="D1629" t="str">
            <v>锐诚</v>
          </cell>
          <cell r="E1629" t="str">
            <v>YSM40R-4</v>
          </cell>
          <cell r="I1629" t="str">
            <v>L-&gt;R</v>
          </cell>
          <cell r="J1629" t="str">
            <v>No</v>
          </cell>
          <cell r="K1629">
            <v>1</v>
          </cell>
          <cell r="N1629">
            <v>44481</v>
          </cell>
          <cell r="O1629">
            <v>11116651</v>
          </cell>
          <cell r="P1629">
            <v>21900000</v>
          </cell>
          <cell r="Q1629">
            <v>44488</v>
          </cell>
          <cell r="R1629" t="str">
            <v>No</v>
          </cell>
          <cell r="S1629" t="str">
            <v>C49</v>
          </cell>
          <cell r="T1629" t="str">
            <v>SOUTH</v>
          </cell>
          <cell r="U1629" t="str">
            <v>深圳</v>
          </cell>
          <cell r="V1629" t="str">
            <v>SZ 深圳</v>
          </cell>
          <cell r="W1629" t="str">
            <v>SX</v>
          </cell>
          <cell r="X1629" t="str">
            <v>JPY</v>
          </cell>
          <cell r="Y1629">
            <v>21900000</v>
          </cell>
          <cell r="Z1629">
            <v>1</v>
          </cell>
          <cell r="AA1629">
            <v>21900000</v>
          </cell>
          <cell r="AB1629">
            <v>7.2300000000000003E-2</v>
          </cell>
          <cell r="AC1629">
            <v>1583370</v>
          </cell>
          <cell r="AD1629">
            <v>190004.4</v>
          </cell>
          <cell r="AE1629">
            <v>0.12</v>
          </cell>
          <cell r="AF1629">
            <v>44457</v>
          </cell>
          <cell r="AG1629" t="str">
            <v>DAP HZ</v>
          </cell>
          <cell r="AK1629">
            <v>0.1</v>
          </cell>
          <cell r="AL1629">
            <v>2190000</v>
          </cell>
          <cell r="AM1629">
            <v>44466</v>
          </cell>
          <cell r="AN1629" t="str">
            <v>Yes</v>
          </cell>
          <cell r="AO1629">
            <v>0.9</v>
          </cell>
          <cell r="AP1629">
            <v>19710000</v>
          </cell>
          <cell r="AQ1629">
            <v>44480</v>
          </cell>
          <cell r="AR1629">
            <v>44480</v>
          </cell>
          <cell r="AS1629">
            <v>0</v>
          </cell>
          <cell r="AT1629">
            <v>0</v>
          </cell>
          <cell r="AX1629" t="str">
            <v>Yes</v>
          </cell>
          <cell r="AZ1629" t="str">
            <v>Y</v>
          </cell>
          <cell r="BA1629" t="str">
            <v>Yes</v>
          </cell>
        </row>
        <row r="1630">
          <cell r="B1630">
            <v>1480</v>
          </cell>
          <cell r="C1630" t="str">
            <v>C49SZX20220082MX</v>
          </cell>
          <cell r="D1630" t="str">
            <v>宇翔</v>
          </cell>
          <cell r="E1630" t="str">
            <v>YSM20R-2</v>
          </cell>
          <cell r="I1630" t="str">
            <v>L-&gt;R</v>
          </cell>
          <cell r="J1630" t="str">
            <v>No</v>
          </cell>
          <cell r="K1630">
            <v>1</v>
          </cell>
          <cell r="N1630">
            <v>45068</v>
          </cell>
          <cell r="R1630" t="str">
            <v>Yes</v>
          </cell>
          <cell r="S1630" t="str">
            <v>C49</v>
          </cell>
          <cell r="T1630" t="str">
            <v>SOUTH</v>
          </cell>
          <cell r="U1630" t="str">
            <v>深圳</v>
          </cell>
          <cell r="V1630" t="str">
            <v>SZ 深圳</v>
          </cell>
          <cell r="W1630" t="str">
            <v>MX</v>
          </cell>
          <cell r="X1630" t="str">
            <v>JPY</v>
          </cell>
          <cell r="Y1630">
            <v>13460000</v>
          </cell>
          <cell r="Z1630">
            <v>1</v>
          </cell>
          <cell r="AA1630">
            <v>13460000</v>
          </cell>
          <cell r="AB1630">
            <v>7.2300000000000003E-2</v>
          </cell>
          <cell r="AC1630">
            <v>973158</v>
          </cell>
          <cell r="AD1630">
            <v>116778.95999999999</v>
          </cell>
          <cell r="AE1630">
            <v>0.12</v>
          </cell>
          <cell r="AF1630">
            <v>44466</v>
          </cell>
          <cell r="AG1630" t="str">
            <v>DAP DG</v>
          </cell>
          <cell r="AI1630" t="str">
            <v>JPY1,032,759.00</v>
          </cell>
          <cell r="AJ1630">
            <v>44855</v>
          </cell>
          <cell r="AK1630">
            <v>0.1</v>
          </cell>
          <cell r="AL1630">
            <v>1346000</v>
          </cell>
          <cell r="AM1630">
            <v>44855</v>
          </cell>
          <cell r="AN1630" t="str">
            <v>Yes</v>
          </cell>
          <cell r="AO1630">
            <v>0.9</v>
          </cell>
          <cell r="AP1630">
            <v>12114000</v>
          </cell>
          <cell r="AQ1630">
            <v>45062</v>
          </cell>
          <cell r="AR1630">
            <v>45062</v>
          </cell>
          <cell r="AS1630">
            <v>0</v>
          </cell>
          <cell r="AT1630">
            <v>0</v>
          </cell>
          <cell r="AX1630" t="str">
            <v>Yes</v>
          </cell>
          <cell r="AZ1630" t="str">
            <v>Y</v>
          </cell>
          <cell r="BA1630" t="str">
            <v>Yes</v>
          </cell>
        </row>
        <row r="1631">
          <cell r="B1631">
            <v>1481</v>
          </cell>
          <cell r="C1631" t="str">
            <v>C49SZX20220082MX</v>
          </cell>
          <cell r="D1631" t="str">
            <v>宇翔</v>
          </cell>
          <cell r="E1631" t="str">
            <v>YSM10</v>
          </cell>
          <cell r="I1631" t="str">
            <v>L-&gt;R</v>
          </cell>
          <cell r="J1631" t="str">
            <v>MVC+ATS15</v>
          </cell>
          <cell r="K1631">
            <v>1</v>
          </cell>
          <cell r="N1631">
            <v>45068</v>
          </cell>
          <cell r="R1631" t="str">
            <v>Yes</v>
          </cell>
          <cell r="S1631" t="str">
            <v>C49</v>
          </cell>
          <cell r="T1631" t="str">
            <v>SOUTH</v>
          </cell>
          <cell r="U1631" t="str">
            <v>深圳</v>
          </cell>
          <cell r="V1631" t="str">
            <v>SZ 深圳</v>
          </cell>
          <cell r="W1631" t="str">
            <v>MX</v>
          </cell>
          <cell r="X1631" t="str">
            <v>JPY</v>
          </cell>
          <cell r="Y1631">
            <v>12000000</v>
          </cell>
          <cell r="Z1631">
            <v>1</v>
          </cell>
          <cell r="AA1631">
            <v>12000000</v>
          </cell>
          <cell r="AB1631">
            <v>7.2300000000000003E-2</v>
          </cell>
          <cell r="AC1631">
            <v>867600</v>
          </cell>
          <cell r="AD1631">
            <v>104112</v>
          </cell>
          <cell r="AE1631">
            <v>0.12</v>
          </cell>
          <cell r="AF1631">
            <v>44466</v>
          </cell>
          <cell r="AG1631" t="str">
            <v>DAP DG</v>
          </cell>
          <cell r="AI1631"/>
          <cell r="AJ1631">
            <v>44855</v>
          </cell>
          <cell r="AK1631">
            <v>0.1</v>
          </cell>
          <cell r="AL1631">
            <v>1200000</v>
          </cell>
          <cell r="AM1631">
            <v>44855</v>
          </cell>
          <cell r="AN1631" t="str">
            <v>Yes</v>
          </cell>
          <cell r="AO1631">
            <v>0.9</v>
          </cell>
          <cell r="AP1631">
            <v>10800000</v>
          </cell>
          <cell r="AQ1631">
            <v>45062</v>
          </cell>
          <cell r="AR1631">
            <v>45062</v>
          </cell>
          <cell r="AS1631">
            <v>0</v>
          </cell>
          <cell r="AT1631">
            <v>0</v>
          </cell>
          <cell r="AX1631" t="str">
            <v>Yes</v>
          </cell>
          <cell r="AZ1631" t="str">
            <v>Y</v>
          </cell>
          <cell r="BA1631" t="str">
            <v>Yes</v>
          </cell>
        </row>
        <row r="1632">
          <cell r="B1632">
            <v>1482</v>
          </cell>
          <cell r="C1632" t="str">
            <v>C49SZX20210196MZ</v>
          </cell>
          <cell r="D1632" t="str">
            <v>派诺</v>
          </cell>
          <cell r="E1632" t="str">
            <v>YSM20R-2</v>
          </cell>
          <cell r="I1632" t="str">
            <v>L-&gt;R</v>
          </cell>
          <cell r="J1632" t="str">
            <v>cATS10+MVC+Feeder Carriage</v>
          </cell>
          <cell r="K1632">
            <v>1</v>
          </cell>
          <cell r="N1632">
            <v>44608</v>
          </cell>
          <cell r="O1632">
            <v>11100516</v>
          </cell>
          <cell r="P1632">
            <v>1310000</v>
          </cell>
          <cell r="Q1632">
            <v>44616</v>
          </cell>
          <cell r="R1632" t="str">
            <v>No</v>
          </cell>
          <cell r="S1632" t="str">
            <v>C49</v>
          </cell>
          <cell r="T1632" t="str">
            <v>SOUTH</v>
          </cell>
          <cell r="U1632" t="str">
            <v>深圳</v>
          </cell>
          <cell r="V1632" t="str">
            <v>SZ 深圳</v>
          </cell>
          <cell r="W1632" t="str">
            <v>MZ</v>
          </cell>
          <cell r="X1632" t="str">
            <v>RMB</v>
          </cell>
          <cell r="Y1632">
            <v>1310000</v>
          </cell>
          <cell r="Z1632">
            <v>1.1299999999999999</v>
          </cell>
          <cell r="AA1632">
            <v>1310000</v>
          </cell>
          <cell r="AB1632">
            <v>1.2</v>
          </cell>
          <cell r="AC1632">
            <v>1391150.4424778761</v>
          </cell>
          <cell r="AD1632">
            <v>166938.05309734514</v>
          </cell>
          <cell r="AE1632">
            <v>0.12</v>
          </cell>
          <cell r="AF1632">
            <v>44465</v>
          </cell>
          <cell r="AG1632" t="str">
            <v>DDP ZH</v>
          </cell>
          <cell r="AK1632">
            <v>0.3</v>
          </cell>
          <cell r="AL1632">
            <v>393000</v>
          </cell>
          <cell r="AM1632">
            <v>44468</v>
          </cell>
          <cell r="AN1632" t="str">
            <v>Yes</v>
          </cell>
          <cell r="AO1632">
            <v>0.65</v>
          </cell>
          <cell r="AP1632">
            <v>851500</v>
          </cell>
          <cell r="AQ1632">
            <v>44602</v>
          </cell>
          <cell r="AR1632">
            <v>44602</v>
          </cell>
          <cell r="AS1632">
            <v>0.05</v>
          </cell>
          <cell r="AT1632">
            <v>65500</v>
          </cell>
          <cell r="AU1632">
            <v>44822</v>
          </cell>
          <cell r="AV1632">
            <v>44822</v>
          </cell>
          <cell r="AX1632" t="str">
            <v>Yes</v>
          </cell>
          <cell r="AZ1632" t="str">
            <v>Y</v>
          </cell>
          <cell r="BA1632" t="str">
            <v>Yes</v>
          </cell>
        </row>
        <row r="1633">
          <cell r="B1633">
            <v>1483</v>
          </cell>
          <cell r="C1633" t="str">
            <v>C49SZX20210198DZ</v>
          </cell>
          <cell r="D1633" t="str">
            <v>汇海通达</v>
          </cell>
          <cell r="E1633" t="str">
            <v>YSM10</v>
          </cell>
          <cell r="I1633" t="str">
            <v>L-&gt;R</v>
          </cell>
          <cell r="J1633" t="str">
            <v>No</v>
          </cell>
          <cell r="K1633">
            <v>1</v>
          </cell>
          <cell r="N1633">
            <v>44732</v>
          </cell>
          <cell r="O1633">
            <v>11116771</v>
          </cell>
          <cell r="P1633">
            <v>8600000</v>
          </cell>
          <cell r="Q1633">
            <v>44733</v>
          </cell>
          <cell r="R1633" t="str">
            <v>Yes</v>
          </cell>
          <cell r="S1633" t="str">
            <v>C49</v>
          </cell>
          <cell r="T1633" t="str">
            <v>SOUTH</v>
          </cell>
          <cell r="U1633" t="str">
            <v>深圳</v>
          </cell>
          <cell r="V1633" t="str">
            <v>SZ 深圳</v>
          </cell>
          <cell r="W1633" t="str">
            <v>DZ</v>
          </cell>
          <cell r="X1633" t="str">
            <v>JPY</v>
          </cell>
          <cell r="Y1633">
            <v>8600000</v>
          </cell>
          <cell r="Z1633">
            <v>1</v>
          </cell>
          <cell r="AA1633">
            <v>8600000</v>
          </cell>
          <cell r="AB1633">
            <v>7.0999999999999994E-2</v>
          </cell>
          <cell r="AC1633">
            <v>610600</v>
          </cell>
          <cell r="AD1633">
            <v>73272</v>
          </cell>
          <cell r="AE1633">
            <v>0.12</v>
          </cell>
          <cell r="AF1633">
            <v>44482</v>
          </cell>
          <cell r="AG1633" t="str">
            <v>DAP SZ</v>
          </cell>
          <cell r="AK1633">
            <v>0.463953</v>
          </cell>
          <cell r="AL1633">
            <v>3989995.8</v>
          </cell>
          <cell r="AM1633">
            <v>43193</v>
          </cell>
          <cell r="AN1633" t="str">
            <v>Yes</v>
          </cell>
          <cell r="AO1633">
            <v>0.53600000000000003</v>
          </cell>
          <cell r="AP1633">
            <v>4609600</v>
          </cell>
          <cell r="AQ1633">
            <v>44699</v>
          </cell>
          <cell r="AR1633">
            <v>44699</v>
          </cell>
          <cell r="AS1633">
            <v>0</v>
          </cell>
          <cell r="AT1633">
            <v>0</v>
          </cell>
          <cell r="AX1633" t="str">
            <v>Yes</v>
          </cell>
          <cell r="AZ1633" t="str">
            <v>Y</v>
          </cell>
          <cell r="BA1633" t="str">
            <v>Yes</v>
          </cell>
        </row>
        <row r="1634">
          <cell r="B1634">
            <v>1484</v>
          </cell>
          <cell r="C1634" t="str">
            <v>C49SZX20210197JY</v>
          </cell>
          <cell r="D1634" t="str">
            <v>高华（End user:龙高）</v>
          </cell>
          <cell r="E1634" t="str">
            <v>YSM10</v>
          </cell>
          <cell r="I1634" t="str">
            <v>L-&gt;R</v>
          </cell>
          <cell r="J1634" t="str">
            <v>MVC</v>
          </cell>
          <cell r="K1634">
            <v>1</v>
          </cell>
          <cell r="N1634">
            <v>44629</v>
          </cell>
          <cell r="O1634">
            <v>11100522</v>
          </cell>
          <cell r="P1634">
            <v>670000</v>
          </cell>
          <cell r="Q1634">
            <v>44644</v>
          </cell>
          <cell r="R1634" t="str">
            <v>Yes</v>
          </cell>
          <cell r="S1634" t="str">
            <v>C49</v>
          </cell>
          <cell r="T1634" t="str">
            <v>SOUTH</v>
          </cell>
          <cell r="U1634" t="str">
            <v>深圳</v>
          </cell>
          <cell r="V1634" t="str">
            <v>SZ 深圳</v>
          </cell>
          <cell r="W1634" t="str">
            <v>JY</v>
          </cell>
          <cell r="X1634" t="str">
            <v>RMB</v>
          </cell>
          <cell r="Y1634">
            <v>670000</v>
          </cell>
          <cell r="Z1634">
            <v>1.1299999999999999</v>
          </cell>
          <cell r="AA1634">
            <v>670000</v>
          </cell>
          <cell r="AB1634">
            <v>1.2</v>
          </cell>
          <cell r="AC1634">
            <v>711504.42477876111</v>
          </cell>
          <cell r="AD1634">
            <v>85380.530973451328</v>
          </cell>
          <cell r="AE1634">
            <v>0.12</v>
          </cell>
          <cell r="AF1634">
            <v>44490</v>
          </cell>
          <cell r="AG1634" t="str">
            <v>DDP FS</v>
          </cell>
          <cell r="AK1634">
            <v>0.3</v>
          </cell>
          <cell r="AL1634">
            <v>201000</v>
          </cell>
          <cell r="AM1634">
            <v>44494</v>
          </cell>
          <cell r="AN1634" t="str">
            <v>Yes</v>
          </cell>
          <cell r="AO1634">
            <v>0.7</v>
          </cell>
          <cell r="AP1634">
            <v>468999.99999999994</v>
          </cell>
          <cell r="AQ1634">
            <v>44627</v>
          </cell>
          <cell r="AR1634">
            <v>44627</v>
          </cell>
          <cell r="AS1634">
            <v>0</v>
          </cell>
          <cell r="AT1634">
            <v>0</v>
          </cell>
          <cell r="AX1634" t="str">
            <v>Yes</v>
          </cell>
          <cell r="AZ1634" t="str">
            <v>Y</v>
          </cell>
          <cell r="BA1634" t="str">
            <v>Yes</v>
          </cell>
        </row>
        <row r="1635">
          <cell r="B1635">
            <v>1485</v>
          </cell>
          <cell r="C1635" t="str">
            <v>C49SZX20210195JL</v>
          </cell>
          <cell r="D1635" t="str">
            <v>力通威</v>
          </cell>
          <cell r="E1635" t="str">
            <v>YSM10</v>
          </cell>
          <cell r="I1635" t="str">
            <v>L-&gt;R</v>
          </cell>
          <cell r="J1635" t="str">
            <v xml:space="preserve">MVC+96 FEEDER PLATE (YSM10) </v>
          </cell>
          <cell r="K1635">
            <v>1</v>
          </cell>
          <cell r="N1635">
            <v>44501</v>
          </cell>
          <cell r="O1635">
            <v>11116659</v>
          </cell>
          <cell r="P1635">
            <v>10000000</v>
          </cell>
          <cell r="Q1635">
            <v>44504</v>
          </cell>
          <cell r="R1635" t="str">
            <v>No</v>
          </cell>
          <cell r="S1635" t="str">
            <v>C49</v>
          </cell>
          <cell r="T1635" t="str">
            <v>SOUTH</v>
          </cell>
          <cell r="U1635" t="str">
            <v>深圳</v>
          </cell>
          <cell r="V1635" t="str">
            <v>SZ 深圳</v>
          </cell>
          <cell r="W1635" t="str">
            <v>JL</v>
          </cell>
          <cell r="X1635" t="str">
            <v>JPY</v>
          </cell>
          <cell r="Y1635">
            <v>10000000</v>
          </cell>
          <cell r="Z1635">
            <v>1</v>
          </cell>
          <cell r="AA1635">
            <v>10000000</v>
          </cell>
          <cell r="AB1635">
            <v>7.0999999999999994E-2</v>
          </cell>
          <cell r="AC1635">
            <v>709999.99999999988</v>
          </cell>
          <cell r="AD1635">
            <v>85199.999999999985</v>
          </cell>
          <cell r="AE1635">
            <v>0.12</v>
          </cell>
          <cell r="AF1635">
            <v>44491</v>
          </cell>
          <cell r="AG1635" t="str">
            <v>DAP DG</v>
          </cell>
          <cell r="AK1635">
            <v>0.2</v>
          </cell>
          <cell r="AL1635">
            <v>2000000</v>
          </cell>
          <cell r="AM1635">
            <v>44501</v>
          </cell>
          <cell r="AN1635" t="str">
            <v>Yes</v>
          </cell>
          <cell r="AO1635">
            <v>0.8</v>
          </cell>
          <cell r="AP1635">
            <v>8000000</v>
          </cell>
          <cell r="AQ1635">
            <v>44501</v>
          </cell>
          <cell r="AR1635">
            <v>44501</v>
          </cell>
          <cell r="AS1635">
            <v>0</v>
          </cell>
          <cell r="AT1635">
            <v>0</v>
          </cell>
          <cell r="AX1635" t="str">
            <v>Yes</v>
          </cell>
          <cell r="AZ1635" t="str">
            <v>Y</v>
          </cell>
          <cell r="BA1635" t="str">
            <v>Yes</v>
          </cell>
        </row>
        <row r="1636">
          <cell r="B1636">
            <v>1486</v>
          </cell>
          <cell r="C1636" t="str">
            <v>C49SZX20210180SX</v>
          </cell>
          <cell r="D1636" t="str">
            <v>恒磊</v>
          </cell>
          <cell r="E1636" t="str">
            <v>YSM20R-2</v>
          </cell>
          <cell r="I1636" t="str">
            <v>L-&gt;R</v>
          </cell>
          <cell r="J1636" t="str">
            <v>No</v>
          </cell>
          <cell r="K1636">
            <v>1</v>
          </cell>
          <cell r="N1636">
            <v>44664</v>
          </cell>
          <cell r="O1636">
            <v>11116737</v>
          </cell>
          <cell r="P1636">
            <v>14300000</v>
          </cell>
          <cell r="Q1636">
            <v>44673</v>
          </cell>
          <cell r="R1636" t="str">
            <v>Yes</v>
          </cell>
          <cell r="S1636" t="str">
            <v>C49</v>
          </cell>
          <cell r="T1636" t="str">
            <v>SOUTH</v>
          </cell>
          <cell r="U1636" t="str">
            <v>深圳</v>
          </cell>
          <cell r="V1636" t="str">
            <v>SZ 深圳</v>
          </cell>
          <cell r="W1636" t="str">
            <v>SX</v>
          </cell>
          <cell r="X1636" t="str">
            <v>JPY</v>
          </cell>
          <cell r="Y1636">
            <v>14300000</v>
          </cell>
          <cell r="Z1636">
            <v>1</v>
          </cell>
          <cell r="AA1636">
            <v>14300000</v>
          </cell>
          <cell r="AB1636">
            <v>7.0999999999999994E-2</v>
          </cell>
          <cell r="AC1636">
            <v>1015299.9999999999</v>
          </cell>
          <cell r="AD1636">
            <v>121835.99999999999</v>
          </cell>
          <cell r="AE1636">
            <v>0.12</v>
          </cell>
          <cell r="AF1636">
            <v>44496</v>
          </cell>
          <cell r="AG1636" t="str">
            <v>DAP SZ</v>
          </cell>
          <cell r="AK1636">
            <v>0.1</v>
          </cell>
          <cell r="AL1636">
            <v>1430000</v>
          </cell>
          <cell r="AM1636">
            <v>44643</v>
          </cell>
          <cell r="AN1636" t="str">
            <v>Yes</v>
          </cell>
          <cell r="AO1636">
            <v>0.9</v>
          </cell>
          <cell r="AP1636">
            <v>12870000</v>
          </cell>
          <cell r="AQ1636">
            <v>44649</v>
          </cell>
          <cell r="AR1636">
            <v>44649</v>
          </cell>
          <cell r="AS1636">
            <v>0</v>
          </cell>
          <cell r="AT1636">
            <v>0</v>
          </cell>
          <cell r="AX1636" t="str">
            <v>Yes</v>
          </cell>
          <cell r="AZ1636" t="str">
            <v>Y</v>
          </cell>
          <cell r="BA1636" t="str">
            <v>Yes</v>
          </cell>
        </row>
        <row r="1637">
          <cell r="B1637">
            <v>1487</v>
          </cell>
          <cell r="C1637" t="str">
            <v>C49SZX20210200JY</v>
          </cell>
          <cell r="D1637" t="str">
            <v>英拓邦（End user:深圳傲尔）</v>
          </cell>
          <cell r="E1637" t="str">
            <v>YSM20R-2</v>
          </cell>
          <cell r="I1637" t="str">
            <v>L-&gt;R</v>
          </cell>
          <cell r="J1637" t="str">
            <v>No</v>
          </cell>
          <cell r="K1637">
            <v>1</v>
          </cell>
          <cell r="N1637">
            <v>44628</v>
          </cell>
          <cell r="O1637">
            <v>11116712</v>
          </cell>
          <cell r="P1637">
            <v>16500000</v>
          </cell>
          <cell r="Q1637">
            <v>44636</v>
          </cell>
          <cell r="R1637" t="str">
            <v>No</v>
          </cell>
          <cell r="S1637" t="str">
            <v>C49</v>
          </cell>
          <cell r="T1637" t="str">
            <v>SOUTH</v>
          </cell>
          <cell r="U1637" t="str">
            <v>深圳</v>
          </cell>
          <cell r="V1637" t="str">
            <v>SZ 深圳</v>
          </cell>
          <cell r="W1637" t="str">
            <v>JY</v>
          </cell>
          <cell r="X1637" t="str">
            <v>JPY</v>
          </cell>
          <cell r="Y1637">
            <v>16500000</v>
          </cell>
          <cell r="Z1637">
            <v>1</v>
          </cell>
          <cell r="AA1637">
            <v>16500000</v>
          </cell>
          <cell r="AB1637">
            <v>7.0999999999999994E-2</v>
          </cell>
          <cell r="AC1637">
            <v>1171500</v>
          </cell>
          <cell r="AD1637">
            <v>140580</v>
          </cell>
          <cell r="AE1637">
            <v>0.12</v>
          </cell>
          <cell r="AF1637">
            <v>44496</v>
          </cell>
          <cell r="AG1637" t="str">
            <v>CIF HK</v>
          </cell>
          <cell r="AK1637">
            <v>0.1</v>
          </cell>
          <cell r="AL1637">
            <v>1650000</v>
          </cell>
          <cell r="AM1637">
            <v>44503</v>
          </cell>
          <cell r="AN1637" t="str">
            <v>Yes</v>
          </cell>
          <cell r="AO1637">
            <v>0.9</v>
          </cell>
          <cell r="AP1637">
            <v>14850000</v>
          </cell>
          <cell r="AQ1637">
            <v>44621</v>
          </cell>
          <cell r="AR1637">
            <v>44621</v>
          </cell>
          <cell r="AS1637">
            <v>0</v>
          </cell>
          <cell r="AT1637">
            <v>0</v>
          </cell>
          <cell r="AX1637" t="str">
            <v>Yes</v>
          </cell>
          <cell r="AZ1637" t="str">
            <v>Y</v>
          </cell>
          <cell r="BA1637" t="str">
            <v>Yes</v>
          </cell>
        </row>
        <row r="1638">
          <cell r="B1638">
            <v>1488</v>
          </cell>
          <cell r="C1638" t="str">
            <v>C49SZX20210200JY</v>
          </cell>
          <cell r="D1638" t="str">
            <v>英拓邦（End user:深圳傲尔）</v>
          </cell>
          <cell r="E1638" t="str">
            <v>YSM20R-2</v>
          </cell>
          <cell r="I1638" t="str">
            <v>R-&gt;L</v>
          </cell>
          <cell r="J1638" t="str">
            <v>No</v>
          </cell>
          <cell r="K1638">
            <v>1</v>
          </cell>
          <cell r="N1638">
            <v>44662</v>
          </cell>
          <cell r="O1638">
            <v>11116728</v>
          </cell>
          <cell r="P1638">
            <v>16500000</v>
          </cell>
          <cell r="Q1638">
            <v>44673</v>
          </cell>
          <cell r="R1638" t="str">
            <v>No</v>
          </cell>
          <cell r="S1638" t="str">
            <v>C49</v>
          </cell>
          <cell r="T1638" t="str">
            <v>SOUTH</v>
          </cell>
          <cell r="U1638" t="str">
            <v>深圳</v>
          </cell>
          <cell r="V1638" t="str">
            <v>SZ 深圳</v>
          </cell>
          <cell r="W1638" t="str">
            <v>JY</v>
          </cell>
          <cell r="X1638" t="str">
            <v>JPY</v>
          </cell>
          <cell r="Y1638">
            <v>16500000</v>
          </cell>
          <cell r="Z1638">
            <v>1</v>
          </cell>
          <cell r="AA1638">
            <v>16500000</v>
          </cell>
          <cell r="AB1638">
            <v>7.0999999999999994E-2</v>
          </cell>
          <cell r="AC1638">
            <v>1171500</v>
          </cell>
          <cell r="AD1638">
            <v>140580</v>
          </cell>
          <cell r="AE1638">
            <v>0.12</v>
          </cell>
          <cell r="AF1638">
            <v>44496</v>
          </cell>
          <cell r="AG1638" t="str">
            <v>CIF HK</v>
          </cell>
          <cell r="AK1638">
            <v>0.1</v>
          </cell>
          <cell r="AL1638">
            <v>1650000</v>
          </cell>
          <cell r="AM1638">
            <v>44503</v>
          </cell>
          <cell r="AN1638" t="str">
            <v>Yes</v>
          </cell>
          <cell r="AO1638">
            <v>0.9</v>
          </cell>
          <cell r="AP1638">
            <v>14850000</v>
          </cell>
          <cell r="AQ1638">
            <v>44651</v>
          </cell>
          <cell r="AR1638">
            <v>44651</v>
          </cell>
          <cell r="AS1638">
            <v>0</v>
          </cell>
          <cell r="AT1638">
            <v>0</v>
          </cell>
          <cell r="AX1638" t="str">
            <v>Yes</v>
          </cell>
          <cell r="AZ1638" t="str">
            <v>Y</v>
          </cell>
          <cell r="BA1638" t="str">
            <v>Yes</v>
          </cell>
        </row>
        <row r="1639">
          <cell r="B1639">
            <v>1489</v>
          </cell>
          <cell r="C1639" t="str">
            <v>C49SZX20210200JY</v>
          </cell>
          <cell r="D1639" t="str">
            <v>英拓邦（End user:深圳傲尔）</v>
          </cell>
          <cell r="E1639" t="str">
            <v>YSM10</v>
          </cell>
          <cell r="I1639" t="str">
            <v>L-&gt;R</v>
          </cell>
          <cell r="J1639" t="str">
            <v>MVC</v>
          </cell>
          <cell r="K1639">
            <v>1</v>
          </cell>
          <cell r="N1639">
            <v>44635</v>
          </cell>
          <cell r="O1639">
            <v>11116712</v>
          </cell>
          <cell r="P1639">
            <v>9000000</v>
          </cell>
          <cell r="Q1639">
            <v>44636</v>
          </cell>
          <cell r="R1639" t="str">
            <v>No</v>
          </cell>
          <cell r="S1639" t="str">
            <v>C49</v>
          </cell>
          <cell r="T1639" t="str">
            <v>SOUTH</v>
          </cell>
          <cell r="U1639" t="str">
            <v>深圳</v>
          </cell>
          <cell r="V1639" t="str">
            <v>SZ 深圳</v>
          </cell>
          <cell r="W1639" t="str">
            <v>JY</v>
          </cell>
          <cell r="X1639" t="str">
            <v>JPY</v>
          </cell>
          <cell r="Y1639">
            <v>9000000</v>
          </cell>
          <cell r="Z1639">
            <v>1</v>
          </cell>
          <cell r="AA1639">
            <v>9000000</v>
          </cell>
          <cell r="AB1639">
            <v>7.0999999999999994E-2</v>
          </cell>
          <cell r="AC1639">
            <v>639000</v>
          </cell>
          <cell r="AD1639">
            <v>76680</v>
          </cell>
          <cell r="AE1639">
            <v>0.12</v>
          </cell>
          <cell r="AF1639">
            <v>44496</v>
          </cell>
          <cell r="AG1639" t="str">
            <v>CIF HK</v>
          </cell>
          <cell r="AK1639">
            <v>0.1</v>
          </cell>
          <cell r="AL1639">
            <v>900000</v>
          </cell>
          <cell r="AM1639">
            <v>44503</v>
          </cell>
          <cell r="AN1639" t="str">
            <v>Yes</v>
          </cell>
          <cell r="AO1639">
            <v>0.9</v>
          </cell>
          <cell r="AP1639">
            <v>8100000</v>
          </cell>
          <cell r="AQ1639">
            <v>44621</v>
          </cell>
          <cell r="AR1639">
            <v>44621</v>
          </cell>
          <cell r="AS1639">
            <v>0</v>
          </cell>
          <cell r="AT1639">
            <v>0</v>
          </cell>
          <cell r="AX1639" t="str">
            <v>Yes</v>
          </cell>
          <cell r="AZ1639" t="str">
            <v>Y</v>
          </cell>
          <cell r="BA1639" t="str">
            <v>Yes</v>
          </cell>
        </row>
        <row r="1640">
          <cell r="B1640">
            <v>1490</v>
          </cell>
          <cell r="C1640" t="str">
            <v>C49SZX20210200JY</v>
          </cell>
          <cell r="D1640" t="str">
            <v>英拓邦（End user:深圳傲尔）</v>
          </cell>
          <cell r="E1640" t="str">
            <v>YSM10</v>
          </cell>
          <cell r="I1640" t="str">
            <v>L-&gt;R</v>
          </cell>
          <cell r="J1640" t="str">
            <v>MVC</v>
          </cell>
          <cell r="K1640">
            <v>1</v>
          </cell>
          <cell r="N1640">
            <v>44662</v>
          </cell>
          <cell r="O1640">
            <v>11116728</v>
          </cell>
          <cell r="P1640">
            <v>9000000</v>
          </cell>
          <cell r="Q1640">
            <v>44673</v>
          </cell>
          <cell r="R1640" t="str">
            <v>No</v>
          </cell>
          <cell r="S1640" t="str">
            <v>C49</v>
          </cell>
          <cell r="T1640" t="str">
            <v>SOUTH</v>
          </cell>
          <cell r="U1640" t="str">
            <v>深圳</v>
          </cell>
          <cell r="V1640" t="str">
            <v>SZ 深圳</v>
          </cell>
          <cell r="W1640" t="str">
            <v>JY</v>
          </cell>
          <cell r="X1640" t="str">
            <v>JPY</v>
          </cell>
          <cell r="Y1640">
            <v>9000000</v>
          </cell>
          <cell r="Z1640">
            <v>1</v>
          </cell>
          <cell r="AA1640">
            <v>9000000</v>
          </cell>
          <cell r="AB1640">
            <v>7.0999999999999994E-2</v>
          </cell>
          <cell r="AC1640">
            <v>639000</v>
          </cell>
          <cell r="AD1640">
            <v>76680</v>
          </cell>
          <cell r="AE1640">
            <v>0.12</v>
          </cell>
          <cell r="AF1640">
            <v>44496</v>
          </cell>
          <cell r="AG1640" t="str">
            <v>CIF HK</v>
          </cell>
          <cell r="AK1640">
            <v>0.1</v>
          </cell>
          <cell r="AL1640">
            <v>900000</v>
          </cell>
          <cell r="AM1640">
            <v>44503</v>
          </cell>
          <cell r="AN1640" t="str">
            <v>Yes</v>
          </cell>
          <cell r="AO1640">
            <v>0.9</v>
          </cell>
          <cell r="AP1640">
            <v>8100000</v>
          </cell>
          <cell r="AQ1640">
            <v>44649</v>
          </cell>
          <cell r="AR1640">
            <v>44649</v>
          </cell>
          <cell r="AS1640">
            <v>0</v>
          </cell>
          <cell r="AT1640">
            <v>0</v>
          </cell>
          <cell r="AX1640" t="str">
            <v>Yes</v>
          </cell>
          <cell r="AZ1640" t="str">
            <v>Y</v>
          </cell>
          <cell r="BA1640" t="str">
            <v>Yes</v>
          </cell>
        </row>
        <row r="1641">
          <cell r="B1641">
            <v>1491</v>
          </cell>
          <cell r="C1641" t="str">
            <v>C49SZX20210200JY</v>
          </cell>
          <cell r="D1641" t="str">
            <v>英拓邦（End user:深圳傲尔）</v>
          </cell>
          <cell r="E1641" t="str">
            <v>YSM10</v>
          </cell>
          <cell r="I1641" t="str">
            <v>R-&gt;L</v>
          </cell>
          <cell r="J1641" t="str">
            <v>MVC</v>
          </cell>
          <cell r="K1641">
            <v>1</v>
          </cell>
          <cell r="N1641">
            <v>44662</v>
          </cell>
          <cell r="O1641">
            <v>11116728</v>
          </cell>
          <cell r="P1641">
            <v>9000000</v>
          </cell>
          <cell r="Q1641">
            <v>44673</v>
          </cell>
          <cell r="R1641" t="str">
            <v>No</v>
          </cell>
          <cell r="S1641" t="str">
            <v>C49</v>
          </cell>
          <cell r="T1641" t="str">
            <v>SOUTH</v>
          </cell>
          <cell r="U1641" t="str">
            <v>深圳</v>
          </cell>
          <cell r="V1641" t="str">
            <v>SZ 深圳</v>
          </cell>
          <cell r="W1641" t="str">
            <v>JY</v>
          </cell>
          <cell r="X1641" t="str">
            <v>JPY</v>
          </cell>
          <cell r="Y1641">
            <v>9000000</v>
          </cell>
          <cell r="Z1641">
            <v>1</v>
          </cell>
          <cell r="AA1641">
            <v>9000000</v>
          </cell>
          <cell r="AB1641">
            <v>7.0999999999999994E-2</v>
          </cell>
          <cell r="AC1641">
            <v>639000</v>
          </cell>
          <cell r="AD1641">
            <v>76680</v>
          </cell>
          <cell r="AE1641">
            <v>0.12</v>
          </cell>
          <cell r="AF1641">
            <v>44496</v>
          </cell>
          <cell r="AG1641" t="str">
            <v>CIF HK</v>
          </cell>
          <cell r="AK1641">
            <v>0.1</v>
          </cell>
          <cell r="AL1641">
            <v>900000</v>
          </cell>
          <cell r="AM1641">
            <v>44503</v>
          </cell>
          <cell r="AN1641" t="str">
            <v>Yes</v>
          </cell>
          <cell r="AO1641">
            <v>0.9</v>
          </cell>
          <cell r="AP1641">
            <v>8100000</v>
          </cell>
          <cell r="AQ1641">
            <v>44651</v>
          </cell>
          <cell r="AR1641">
            <v>44651</v>
          </cell>
          <cell r="AS1641">
            <v>0</v>
          </cell>
          <cell r="AT1641">
            <v>0</v>
          </cell>
          <cell r="AX1641" t="str">
            <v>Yes</v>
          </cell>
          <cell r="AZ1641" t="str">
            <v>Y</v>
          </cell>
          <cell r="BA1641" t="str">
            <v>Yes</v>
          </cell>
        </row>
        <row r="1642">
          <cell r="B1642">
            <v>1492</v>
          </cell>
          <cell r="C1642" t="str">
            <v>C49SZX20210194SQ</v>
          </cell>
          <cell r="D1642" t="str">
            <v>旭协（End user 驰电）</v>
          </cell>
          <cell r="E1642" t="str">
            <v>YSM10</v>
          </cell>
          <cell r="I1642" t="str">
            <v>R-&gt;L</v>
          </cell>
          <cell r="J1642" t="str">
            <v>MVC</v>
          </cell>
          <cell r="K1642">
            <v>1</v>
          </cell>
          <cell r="N1642">
            <v>44662</v>
          </cell>
          <cell r="O1642">
            <v>11116724</v>
          </cell>
          <cell r="P1642">
            <v>9346000</v>
          </cell>
          <cell r="Q1642">
            <v>44671</v>
          </cell>
          <cell r="R1642" t="str">
            <v>Yes</v>
          </cell>
          <cell r="S1642" t="str">
            <v>C49</v>
          </cell>
          <cell r="T1642" t="str">
            <v>SOUTH</v>
          </cell>
          <cell r="U1642" t="str">
            <v>深圳</v>
          </cell>
          <cell r="V1642" t="str">
            <v>SZ 深圳</v>
          </cell>
          <cell r="W1642" t="str">
            <v>SQ</v>
          </cell>
          <cell r="X1642" t="str">
            <v>JPY</v>
          </cell>
          <cell r="Y1642">
            <v>9346000</v>
          </cell>
          <cell r="Z1642">
            <v>1</v>
          </cell>
          <cell r="AA1642">
            <v>9346000</v>
          </cell>
          <cell r="AB1642">
            <v>7.0000000000000007E-2</v>
          </cell>
          <cell r="AC1642">
            <v>654220.00000000012</v>
          </cell>
          <cell r="AD1642">
            <v>78506.400000000009</v>
          </cell>
          <cell r="AE1642">
            <v>0.12</v>
          </cell>
          <cell r="AF1642">
            <v>44499</v>
          </cell>
          <cell r="AG1642" t="str">
            <v>DAPSZ</v>
          </cell>
          <cell r="AK1642">
            <v>0.3</v>
          </cell>
          <cell r="AL1642">
            <v>2803800</v>
          </cell>
          <cell r="AM1642">
            <v>44509</v>
          </cell>
          <cell r="AN1642" t="str">
            <v>Yes</v>
          </cell>
          <cell r="AO1642">
            <v>0.7</v>
          </cell>
          <cell r="AP1642">
            <v>6542200</v>
          </cell>
          <cell r="AQ1642">
            <v>44509</v>
          </cell>
          <cell r="AR1642">
            <v>44509</v>
          </cell>
          <cell r="AS1642">
            <v>0</v>
          </cell>
          <cell r="AT1642">
            <v>0</v>
          </cell>
          <cell r="AX1642" t="str">
            <v>Yes</v>
          </cell>
          <cell r="AZ1642" t="str">
            <v>Y</v>
          </cell>
          <cell r="BA1642" t="str">
            <v>Yes</v>
          </cell>
        </row>
        <row r="1643">
          <cell r="B1643">
            <v>1493</v>
          </cell>
          <cell r="C1643">
            <v>4300001502</v>
          </cell>
          <cell r="D1643" t="str">
            <v>广州数控</v>
          </cell>
          <cell r="E1643" t="str">
            <v>Heller 1809MK5</v>
          </cell>
          <cell r="I1643" t="str">
            <v>L-&gt;R</v>
          </cell>
          <cell r="J1643" t="str">
            <v>No</v>
          </cell>
          <cell r="K1643">
            <v>1</v>
          </cell>
          <cell r="L1643" t="str">
            <v>28L104069</v>
          </cell>
          <cell r="M1643">
            <v>44557</v>
          </cell>
          <cell r="N1643">
            <v>44557</v>
          </cell>
          <cell r="O1643">
            <v>11101320</v>
          </cell>
          <cell r="P1643">
            <v>350000</v>
          </cell>
          <cell r="Q1643">
            <v>44557</v>
          </cell>
          <cell r="R1643" t="str">
            <v>No</v>
          </cell>
          <cell r="S1643" t="str">
            <v>C28</v>
          </cell>
          <cell r="T1643" t="str">
            <v>SOUTH</v>
          </cell>
          <cell r="U1643" t="str">
            <v>深圳</v>
          </cell>
          <cell r="V1643" t="str">
            <v>SZ 深圳</v>
          </cell>
          <cell r="W1643" t="str">
            <v>KC</v>
          </cell>
          <cell r="X1643" t="str">
            <v>RMB</v>
          </cell>
          <cell r="Y1643">
            <v>350000</v>
          </cell>
          <cell r="Z1643">
            <v>1.1299999999999999</v>
          </cell>
          <cell r="AA1643">
            <v>350000</v>
          </cell>
          <cell r="AB1643">
            <v>1.21</v>
          </cell>
          <cell r="AC1643">
            <v>374778.76106194692</v>
          </cell>
          <cell r="AD1643">
            <v>44973.451327433628</v>
          </cell>
          <cell r="AE1643">
            <v>0.12</v>
          </cell>
          <cell r="AF1643">
            <v>44426</v>
          </cell>
          <cell r="AG1643" t="str">
            <v>含税到厂</v>
          </cell>
          <cell r="AK1643">
            <v>0.3</v>
          </cell>
          <cell r="AL1643">
            <v>105000</v>
          </cell>
          <cell r="AM1643">
            <v>44505</v>
          </cell>
          <cell r="AN1643" t="str">
            <v>Yes</v>
          </cell>
          <cell r="AO1643">
            <v>0.65</v>
          </cell>
          <cell r="AP1643">
            <v>227500</v>
          </cell>
          <cell r="AQ1643">
            <v>44540</v>
          </cell>
          <cell r="AR1643">
            <v>44540</v>
          </cell>
          <cell r="AS1643">
            <v>0.05</v>
          </cell>
          <cell r="AT1643">
            <v>17500</v>
          </cell>
          <cell r="AU1643">
            <v>44629</v>
          </cell>
          <cell r="AV1643">
            <v>44629</v>
          </cell>
          <cell r="AX1643" t="str">
            <v>Yes</v>
          </cell>
          <cell r="AZ1643" t="str">
            <v>Y</v>
          </cell>
          <cell r="BA1643" t="str">
            <v>Yes</v>
          </cell>
        </row>
        <row r="1644">
          <cell r="B1644">
            <v>1494</v>
          </cell>
          <cell r="C1644">
            <v>4300001502</v>
          </cell>
          <cell r="D1644" t="str">
            <v>广州数控</v>
          </cell>
          <cell r="E1644" t="str">
            <v>Heller 1809MK5</v>
          </cell>
          <cell r="I1644" t="str">
            <v>L-&gt;R</v>
          </cell>
          <cell r="J1644" t="str">
            <v>No</v>
          </cell>
          <cell r="K1644">
            <v>1</v>
          </cell>
          <cell r="L1644" t="str">
            <v>28L104069</v>
          </cell>
          <cell r="M1644">
            <v>44557</v>
          </cell>
          <cell r="N1644">
            <v>44557</v>
          </cell>
          <cell r="O1644">
            <v>11101320</v>
          </cell>
          <cell r="P1644">
            <v>350000</v>
          </cell>
          <cell r="Q1644">
            <v>44557</v>
          </cell>
          <cell r="R1644" t="str">
            <v>No</v>
          </cell>
          <cell r="S1644" t="str">
            <v>C28</v>
          </cell>
          <cell r="T1644" t="str">
            <v>SOUTH</v>
          </cell>
          <cell r="U1644" t="str">
            <v>深圳</v>
          </cell>
          <cell r="V1644" t="str">
            <v>SZ 深圳</v>
          </cell>
          <cell r="W1644" t="str">
            <v>KC</v>
          </cell>
          <cell r="X1644" t="str">
            <v>RMB</v>
          </cell>
          <cell r="Y1644">
            <v>350000</v>
          </cell>
          <cell r="Z1644">
            <v>1.1299999999999999</v>
          </cell>
          <cell r="AA1644">
            <v>350000</v>
          </cell>
          <cell r="AB1644">
            <v>1.21</v>
          </cell>
          <cell r="AC1644">
            <v>374778.76106194692</v>
          </cell>
          <cell r="AD1644">
            <v>44973.451327433628</v>
          </cell>
          <cell r="AE1644">
            <v>0.12</v>
          </cell>
          <cell r="AF1644">
            <v>44426</v>
          </cell>
          <cell r="AG1644" t="str">
            <v>含税到厂</v>
          </cell>
          <cell r="AK1644">
            <v>0.3</v>
          </cell>
          <cell r="AL1644">
            <v>105000</v>
          </cell>
          <cell r="AM1644">
            <v>44505</v>
          </cell>
          <cell r="AN1644" t="str">
            <v>Yes</v>
          </cell>
          <cell r="AO1644">
            <v>0.65</v>
          </cell>
          <cell r="AP1644">
            <v>227500</v>
          </cell>
          <cell r="AQ1644">
            <v>44540</v>
          </cell>
          <cell r="AR1644">
            <v>44540</v>
          </cell>
          <cell r="AS1644">
            <v>0.05</v>
          </cell>
          <cell r="AT1644">
            <v>17500</v>
          </cell>
          <cell r="AU1644">
            <v>44629</v>
          </cell>
          <cell r="AV1644">
            <v>44629</v>
          </cell>
          <cell r="AX1644" t="str">
            <v>Yes</v>
          </cell>
          <cell r="AZ1644" t="str">
            <v>Y</v>
          </cell>
          <cell r="BA1644" t="str">
            <v>Yes</v>
          </cell>
        </row>
        <row r="1645">
          <cell r="B1645">
            <v>1495</v>
          </cell>
          <cell r="C1645" t="str">
            <v>C49SZX20210199R1SX</v>
          </cell>
          <cell r="D1645" t="str">
            <v>湖北奕宏</v>
          </cell>
          <cell r="E1645" t="str">
            <v>YSM10</v>
          </cell>
          <cell r="I1645" t="str">
            <v>L-&gt;R</v>
          </cell>
          <cell r="J1645" t="str">
            <v>MVC+ATS15</v>
          </cell>
          <cell r="K1645">
            <v>1</v>
          </cell>
          <cell r="N1645">
            <v>44530</v>
          </cell>
          <cell r="O1645">
            <v>11100509</v>
          </cell>
          <cell r="P1645">
            <v>868670</v>
          </cell>
          <cell r="Q1645">
            <v>44558</v>
          </cell>
          <cell r="R1645" t="str">
            <v>No</v>
          </cell>
          <cell r="S1645" t="str">
            <v>C49</v>
          </cell>
          <cell r="T1645" t="str">
            <v>SOUTH</v>
          </cell>
          <cell r="U1645" t="str">
            <v>深圳</v>
          </cell>
          <cell r="V1645" t="str">
            <v>SZ 深圳</v>
          </cell>
          <cell r="W1645" t="str">
            <v>SX</v>
          </cell>
          <cell r="X1645" t="str">
            <v>RMB</v>
          </cell>
          <cell r="Y1645">
            <v>868670</v>
          </cell>
          <cell r="Z1645">
            <v>1.1299999999999999</v>
          </cell>
          <cell r="AA1645">
            <v>868670</v>
          </cell>
          <cell r="AB1645">
            <v>1.21</v>
          </cell>
          <cell r="AC1645">
            <v>930168.76106194698</v>
          </cell>
          <cell r="AD1645">
            <v>111620.25132743364</v>
          </cell>
          <cell r="AE1645">
            <v>0.12</v>
          </cell>
          <cell r="AF1645">
            <v>44497</v>
          </cell>
          <cell r="AG1645" t="str">
            <v>DDP HB</v>
          </cell>
          <cell r="AK1645">
            <v>0.3</v>
          </cell>
          <cell r="AL1645">
            <v>260601</v>
          </cell>
          <cell r="AM1645">
            <v>44515</v>
          </cell>
          <cell r="AN1645" t="str">
            <v>Yes</v>
          </cell>
          <cell r="AO1645">
            <v>0.7</v>
          </cell>
          <cell r="AP1645">
            <v>608069</v>
          </cell>
          <cell r="AQ1645">
            <v>44525</v>
          </cell>
          <cell r="AR1645">
            <v>44525</v>
          </cell>
          <cell r="AS1645">
            <v>0</v>
          </cell>
          <cell r="AT1645">
            <v>0</v>
          </cell>
          <cell r="AX1645" t="str">
            <v>Yes</v>
          </cell>
          <cell r="AZ1645" t="str">
            <v>Y</v>
          </cell>
          <cell r="BA1645" t="str">
            <v>Yes</v>
          </cell>
        </row>
        <row r="1646">
          <cell r="B1646">
            <v>1496</v>
          </cell>
          <cell r="C1646" t="str">
            <v>C49SZX20210199R1SX</v>
          </cell>
          <cell r="D1646" t="str">
            <v>湖北奕宏</v>
          </cell>
          <cell r="E1646" t="str">
            <v>YSM10</v>
          </cell>
          <cell r="I1646" t="str">
            <v>L-&gt;R</v>
          </cell>
          <cell r="J1646" t="str">
            <v>MVC+ATS15</v>
          </cell>
          <cell r="K1646">
            <v>1</v>
          </cell>
          <cell r="N1646">
            <v>44530</v>
          </cell>
          <cell r="O1646">
            <v>11100509</v>
          </cell>
          <cell r="P1646">
            <v>868670</v>
          </cell>
          <cell r="Q1646">
            <v>44558</v>
          </cell>
          <cell r="R1646" t="str">
            <v>No</v>
          </cell>
          <cell r="S1646" t="str">
            <v>C49</v>
          </cell>
          <cell r="T1646" t="str">
            <v>SOUTH</v>
          </cell>
          <cell r="U1646" t="str">
            <v>深圳</v>
          </cell>
          <cell r="V1646" t="str">
            <v>SZ 深圳</v>
          </cell>
          <cell r="W1646" t="str">
            <v>SX</v>
          </cell>
          <cell r="X1646" t="str">
            <v>RMB</v>
          </cell>
          <cell r="Y1646">
            <v>868670</v>
          </cell>
          <cell r="Z1646">
            <v>1.1299999999999999</v>
          </cell>
          <cell r="AA1646">
            <v>868670</v>
          </cell>
          <cell r="AB1646">
            <v>1.21</v>
          </cell>
          <cell r="AC1646">
            <v>930168.76106194698</v>
          </cell>
          <cell r="AD1646">
            <v>111620.25132743364</v>
          </cell>
          <cell r="AE1646">
            <v>0.12</v>
          </cell>
          <cell r="AF1646">
            <v>44497</v>
          </cell>
          <cell r="AG1646" t="str">
            <v>DDP HB</v>
          </cell>
          <cell r="AK1646">
            <v>0.3</v>
          </cell>
          <cell r="AL1646">
            <v>260601</v>
          </cell>
          <cell r="AM1646">
            <v>44515</v>
          </cell>
          <cell r="AN1646" t="str">
            <v>Yes</v>
          </cell>
          <cell r="AO1646">
            <v>0.7</v>
          </cell>
          <cell r="AP1646">
            <v>608069</v>
          </cell>
          <cell r="AQ1646">
            <v>44525</v>
          </cell>
          <cell r="AR1646">
            <v>44525</v>
          </cell>
          <cell r="AS1646">
            <v>0</v>
          </cell>
          <cell r="AT1646">
            <v>0</v>
          </cell>
          <cell r="AX1646" t="str">
            <v>Yes</v>
          </cell>
          <cell r="AZ1646" t="str">
            <v>Y</v>
          </cell>
          <cell r="BA1646" t="str">
            <v>Yes</v>
          </cell>
        </row>
        <row r="1647">
          <cell r="B1647">
            <v>1497</v>
          </cell>
          <cell r="C1647" t="str">
            <v>C49SZX20210203EC</v>
          </cell>
          <cell r="D1647" t="str">
            <v>领德创</v>
          </cell>
          <cell r="E1647" t="str">
            <v>YSM20R-2</v>
          </cell>
          <cell r="I1647" t="str">
            <v>L-&gt;R</v>
          </cell>
          <cell r="J1647" t="str">
            <v>No</v>
          </cell>
          <cell r="K1647">
            <v>1</v>
          </cell>
          <cell r="N1647">
            <v>44616</v>
          </cell>
          <cell r="O1647">
            <v>11116702</v>
          </cell>
          <cell r="P1647">
            <v>14500000</v>
          </cell>
          <cell r="Q1647">
            <v>44615</v>
          </cell>
          <cell r="R1647" t="str">
            <v>No</v>
          </cell>
          <cell r="S1647" t="str">
            <v>C49</v>
          </cell>
          <cell r="T1647" t="str">
            <v>SOUTH</v>
          </cell>
          <cell r="U1647" t="str">
            <v>深圳</v>
          </cell>
          <cell r="V1647" t="str">
            <v>SZ 深圳</v>
          </cell>
          <cell r="W1647" t="str">
            <v>EC</v>
          </cell>
          <cell r="X1647" t="str">
            <v>JPY</v>
          </cell>
          <cell r="Y1647">
            <v>14500000</v>
          </cell>
          <cell r="Z1647">
            <v>1</v>
          </cell>
          <cell r="AA1647">
            <v>14500000</v>
          </cell>
          <cell r="AB1647">
            <v>7.0000000000000007E-2</v>
          </cell>
          <cell r="AC1647">
            <v>1015000.0000000001</v>
          </cell>
          <cell r="AD1647">
            <v>121800.00000000001</v>
          </cell>
          <cell r="AE1647">
            <v>0.12</v>
          </cell>
          <cell r="AF1647">
            <v>44511</v>
          </cell>
          <cell r="AG1647" t="str">
            <v>DAP SZ</v>
          </cell>
          <cell r="AK1647">
            <v>0.1</v>
          </cell>
          <cell r="AL1647">
            <v>1450000</v>
          </cell>
          <cell r="AM1647">
            <v>44516</v>
          </cell>
          <cell r="AN1647" t="str">
            <v>Yes</v>
          </cell>
          <cell r="AO1647">
            <v>0.9</v>
          </cell>
          <cell r="AP1647">
            <v>13050000</v>
          </cell>
          <cell r="AQ1647">
            <v>44610</v>
          </cell>
          <cell r="AR1647">
            <v>44610</v>
          </cell>
          <cell r="AS1647">
            <v>0</v>
          </cell>
          <cell r="AT1647">
            <v>0</v>
          </cell>
          <cell r="AX1647" t="str">
            <v>Yes</v>
          </cell>
          <cell r="AZ1647" t="str">
            <v>Y</v>
          </cell>
          <cell r="BA1647" t="str">
            <v>Yes</v>
          </cell>
        </row>
        <row r="1648">
          <cell r="B1648">
            <v>1498</v>
          </cell>
          <cell r="C1648" t="str">
            <v>C49SZX20210203EC</v>
          </cell>
          <cell r="D1648" t="str">
            <v>领德创</v>
          </cell>
          <cell r="E1648" t="str">
            <v>YSM20R-2</v>
          </cell>
          <cell r="I1648" t="str">
            <v>L-&gt;R</v>
          </cell>
          <cell r="J1648" t="str">
            <v>No</v>
          </cell>
          <cell r="K1648">
            <v>1</v>
          </cell>
          <cell r="N1648">
            <v>44616</v>
          </cell>
          <cell r="O1648">
            <v>11116702</v>
          </cell>
          <cell r="P1648">
            <v>14500000</v>
          </cell>
          <cell r="Q1648">
            <v>44615</v>
          </cell>
          <cell r="R1648" t="str">
            <v>No</v>
          </cell>
          <cell r="S1648" t="str">
            <v>C49</v>
          </cell>
          <cell r="T1648" t="str">
            <v>SOUTH</v>
          </cell>
          <cell r="U1648" t="str">
            <v>深圳</v>
          </cell>
          <cell r="V1648" t="str">
            <v>SZ 深圳</v>
          </cell>
          <cell r="W1648" t="str">
            <v>EC</v>
          </cell>
          <cell r="X1648" t="str">
            <v>JPY</v>
          </cell>
          <cell r="Y1648">
            <v>14500000</v>
          </cell>
          <cell r="Z1648">
            <v>1</v>
          </cell>
          <cell r="AA1648">
            <v>14500000</v>
          </cell>
          <cell r="AB1648">
            <v>7.0000000000000007E-2</v>
          </cell>
          <cell r="AC1648">
            <v>1015000.0000000001</v>
          </cell>
          <cell r="AD1648">
            <v>121800.00000000001</v>
          </cell>
          <cell r="AE1648">
            <v>0.12</v>
          </cell>
          <cell r="AF1648">
            <v>44511</v>
          </cell>
          <cell r="AG1648" t="str">
            <v>DAP SZ</v>
          </cell>
          <cell r="AK1648">
            <v>0.1</v>
          </cell>
          <cell r="AL1648">
            <v>1450000</v>
          </cell>
          <cell r="AM1648">
            <v>44516</v>
          </cell>
          <cell r="AN1648" t="str">
            <v>Yes</v>
          </cell>
          <cell r="AO1648">
            <v>0.9</v>
          </cell>
          <cell r="AP1648">
            <v>13050000</v>
          </cell>
          <cell r="AQ1648">
            <v>44610</v>
          </cell>
          <cell r="AR1648">
            <v>44610</v>
          </cell>
          <cell r="AS1648">
            <v>0</v>
          </cell>
          <cell r="AT1648">
            <v>0</v>
          </cell>
          <cell r="AX1648" t="str">
            <v>Yes</v>
          </cell>
          <cell r="AZ1648" t="str">
            <v>Y</v>
          </cell>
          <cell r="BA1648" t="str">
            <v>Yes</v>
          </cell>
        </row>
        <row r="1649">
          <cell r="B1649">
            <v>1499</v>
          </cell>
          <cell r="C1649" t="str">
            <v>C49SZX20210203EC</v>
          </cell>
          <cell r="D1649" t="str">
            <v>领德创</v>
          </cell>
          <cell r="E1649" t="str">
            <v>YSM10</v>
          </cell>
          <cell r="I1649" t="str">
            <v>L-&gt;R</v>
          </cell>
          <cell r="J1649" t="str">
            <v>MVC+ATS15</v>
          </cell>
          <cell r="K1649">
            <v>1</v>
          </cell>
          <cell r="N1649">
            <v>44616</v>
          </cell>
          <cell r="O1649">
            <v>11116702</v>
          </cell>
          <cell r="P1649">
            <v>10000000</v>
          </cell>
          <cell r="Q1649">
            <v>44615</v>
          </cell>
          <cell r="R1649" t="str">
            <v>No</v>
          </cell>
          <cell r="S1649" t="str">
            <v>C49</v>
          </cell>
          <cell r="T1649" t="str">
            <v>SOUTH</v>
          </cell>
          <cell r="U1649" t="str">
            <v>深圳</v>
          </cell>
          <cell r="V1649" t="str">
            <v>SZ 深圳</v>
          </cell>
          <cell r="W1649" t="str">
            <v>EC</v>
          </cell>
          <cell r="X1649" t="str">
            <v>JPY</v>
          </cell>
          <cell r="Y1649">
            <v>10000000</v>
          </cell>
          <cell r="Z1649">
            <v>1</v>
          </cell>
          <cell r="AA1649">
            <v>10000000</v>
          </cell>
          <cell r="AB1649">
            <v>7.0000000000000007E-2</v>
          </cell>
          <cell r="AC1649">
            <v>700000.00000000012</v>
          </cell>
          <cell r="AD1649">
            <v>84000.000000000015</v>
          </cell>
          <cell r="AE1649">
            <v>0.12</v>
          </cell>
          <cell r="AF1649">
            <v>44511</v>
          </cell>
          <cell r="AG1649" t="str">
            <v>DAP SZ</v>
          </cell>
          <cell r="AK1649">
            <v>0.1</v>
          </cell>
          <cell r="AL1649">
            <v>1000000</v>
          </cell>
          <cell r="AM1649">
            <v>44516</v>
          </cell>
          <cell r="AN1649" t="str">
            <v>Yes</v>
          </cell>
          <cell r="AO1649">
            <v>0.9</v>
          </cell>
          <cell r="AP1649">
            <v>9000000</v>
          </cell>
          <cell r="AQ1649">
            <v>44610</v>
          </cell>
          <cell r="AR1649">
            <v>44610</v>
          </cell>
          <cell r="AS1649">
            <v>0</v>
          </cell>
          <cell r="AT1649">
            <v>0</v>
          </cell>
          <cell r="AX1649" t="str">
            <v>Yes</v>
          </cell>
          <cell r="AZ1649" t="str">
            <v>Y</v>
          </cell>
          <cell r="BA1649" t="str">
            <v>Yes</v>
          </cell>
        </row>
        <row r="1650">
          <cell r="B1650">
            <v>1500</v>
          </cell>
          <cell r="C1650" t="str">
            <v>C28HKG2021055KC</v>
          </cell>
          <cell r="D1650" t="str">
            <v>晶光电业（Crystalite)</v>
          </cell>
          <cell r="E1650" t="str">
            <v>Rifu CM350</v>
          </cell>
          <cell r="I1650" t="str">
            <v>L-&gt;R</v>
          </cell>
          <cell r="J1650" t="str">
            <v>No</v>
          </cell>
          <cell r="K1650">
            <v>1</v>
          </cell>
          <cell r="L1650" t="str">
            <v>B28110661</v>
          </cell>
          <cell r="M1650">
            <v>44559</v>
          </cell>
          <cell r="N1650">
            <v>44559</v>
          </cell>
          <cell r="O1650">
            <v>11116681</v>
          </cell>
          <cell r="P1650">
            <v>282000</v>
          </cell>
          <cell r="Q1650">
            <v>44559</v>
          </cell>
          <cell r="R1650" t="str">
            <v>No</v>
          </cell>
          <cell r="S1650" t="str">
            <v>C28</v>
          </cell>
          <cell r="T1650" t="str">
            <v>SOUTH</v>
          </cell>
          <cell r="U1650" t="str">
            <v>香港</v>
          </cell>
          <cell r="V1650" t="str">
            <v>HK 香港</v>
          </cell>
          <cell r="W1650" t="str">
            <v>KC</v>
          </cell>
          <cell r="X1650" t="str">
            <v>HKD</v>
          </cell>
          <cell r="Y1650">
            <v>282000</v>
          </cell>
          <cell r="Z1650">
            <v>1</v>
          </cell>
          <cell r="AA1650">
            <v>282000</v>
          </cell>
          <cell r="AB1650">
            <v>1</v>
          </cell>
          <cell r="AC1650">
            <v>282000</v>
          </cell>
          <cell r="AD1650">
            <v>33840</v>
          </cell>
          <cell r="AE1650">
            <v>0.12</v>
          </cell>
          <cell r="AF1650">
            <v>44488</v>
          </cell>
          <cell r="AG1650" t="str">
            <v>CIF HK</v>
          </cell>
          <cell r="AK1650">
            <v>0.3</v>
          </cell>
          <cell r="AL1650">
            <v>84600</v>
          </cell>
          <cell r="AM1650">
            <v>44494</v>
          </cell>
          <cell r="AN1650" t="str">
            <v>Yes</v>
          </cell>
          <cell r="AO1650">
            <v>0.7</v>
          </cell>
          <cell r="AP1650">
            <v>197400</v>
          </cell>
          <cell r="AQ1650">
            <v>44552</v>
          </cell>
          <cell r="AR1650">
            <v>44552</v>
          </cell>
          <cell r="AS1650">
            <v>0</v>
          </cell>
          <cell r="AT1650">
            <v>0</v>
          </cell>
        </row>
        <row r="1651">
          <cell r="B1651">
            <v>1501</v>
          </cell>
          <cell r="C1651" t="str">
            <v>C49SZX20210204SS</v>
          </cell>
          <cell r="D1651" t="str">
            <v>嘉力达</v>
          </cell>
          <cell r="E1651" t="str">
            <v>YSM20R-2</v>
          </cell>
          <cell r="I1651" t="str">
            <v>L-&gt;R</v>
          </cell>
          <cell r="J1651" t="str">
            <v>No</v>
          </cell>
          <cell r="K1651">
            <v>1</v>
          </cell>
          <cell r="N1651">
            <v>44543</v>
          </cell>
          <cell r="O1651">
            <v>11100505</v>
          </cell>
          <cell r="P1651">
            <v>874688</v>
          </cell>
          <cell r="Q1651">
            <v>44545</v>
          </cell>
          <cell r="R1651" t="str">
            <v>Yes</v>
          </cell>
          <cell r="S1651" t="str">
            <v>C49</v>
          </cell>
          <cell r="T1651" t="str">
            <v>SOUTH</v>
          </cell>
          <cell r="U1651" t="str">
            <v>深圳</v>
          </cell>
          <cell r="V1651" t="str">
            <v>SZ 深圳</v>
          </cell>
          <cell r="W1651" t="str">
            <v>SS</v>
          </cell>
          <cell r="X1651" t="str">
            <v>RMB</v>
          </cell>
          <cell r="Y1651">
            <v>874688</v>
          </cell>
          <cell r="Z1651">
            <v>1.1299999999999999</v>
          </cell>
          <cell r="AA1651">
            <v>874688</v>
          </cell>
          <cell r="AB1651">
            <v>1.21</v>
          </cell>
          <cell r="AC1651">
            <v>936612.81415929203</v>
          </cell>
          <cell r="AD1651">
            <v>112393.53769911504</v>
          </cell>
          <cell r="AE1651">
            <v>0.12</v>
          </cell>
          <cell r="AF1651">
            <v>44513</v>
          </cell>
          <cell r="AG1651" t="str">
            <v>DDP HZ</v>
          </cell>
          <cell r="AK1651">
            <v>1</v>
          </cell>
          <cell r="AL1651">
            <v>874688</v>
          </cell>
          <cell r="AM1651">
            <v>44538</v>
          </cell>
          <cell r="AN1651" t="str">
            <v>Yes</v>
          </cell>
          <cell r="AO1651">
            <v>0</v>
          </cell>
          <cell r="AP1651">
            <v>0</v>
          </cell>
          <cell r="AS1651">
            <v>0</v>
          </cell>
          <cell r="AT1651">
            <v>0</v>
          </cell>
          <cell r="AX1651" t="str">
            <v>Yes</v>
          </cell>
          <cell r="AZ1651" t="str">
            <v>Y</v>
          </cell>
          <cell r="BA1651" t="str">
            <v>Yes</v>
          </cell>
        </row>
        <row r="1652">
          <cell r="B1652">
            <v>1502</v>
          </cell>
          <cell r="C1652" t="str">
            <v>C49SZX20210205SS</v>
          </cell>
          <cell r="D1652" t="str">
            <v>嘉力达</v>
          </cell>
          <cell r="E1652" t="str">
            <v>YSM10</v>
          </cell>
          <cell r="I1652" t="str">
            <v>L-&gt;R</v>
          </cell>
          <cell r="J1652" t="str">
            <v>MVC</v>
          </cell>
          <cell r="K1652">
            <v>1</v>
          </cell>
          <cell r="N1652">
            <v>44645</v>
          </cell>
          <cell r="O1652">
            <v>11116718</v>
          </cell>
          <cell r="P1652">
            <v>7020000</v>
          </cell>
          <cell r="Q1652">
            <v>44648</v>
          </cell>
          <cell r="R1652" t="str">
            <v>Yes</v>
          </cell>
          <cell r="S1652" t="str">
            <v>C49</v>
          </cell>
          <cell r="T1652" t="str">
            <v>SOUTH</v>
          </cell>
          <cell r="U1652" t="str">
            <v>深圳</v>
          </cell>
          <cell r="V1652" t="str">
            <v>SZ 深圳</v>
          </cell>
          <cell r="W1652" t="str">
            <v>SS</v>
          </cell>
          <cell r="X1652" t="str">
            <v>JPY</v>
          </cell>
          <cell r="Y1652">
            <v>7020000</v>
          </cell>
          <cell r="Z1652">
            <v>1</v>
          </cell>
          <cell r="AA1652">
            <v>7020000</v>
          </cell>
          <cell r="AB1652">
            <v>7.0000000000000007E-2</v>
          </cell>
          <cell r="AC1652">
            <v>491400.00000000006</v>
          </cell>
          <cell r="AD1652">
            <v>58968.000000000007</v>
          </cell>
          <cell r="AE1652">
            <v>0.12</v>
          </cell>
          <cell r="AF1652">
            <v>44513</v>
          </cell>
          <cell r="AG1652" t="str">
            <v>DAP HZ</v>
          </cell>
          <cell r="AI1652">
            <v>20000</v>
          </cell>
          <cell r="AJ1652">
            <v>44581</v>
          </cell>
          <cell r="AK1652">
            <v>0.1</v>
          </cell>
          <cell r="AL1652">
            <v>702000</v>
          </cell>
          <cell r="AM1652">
            <v>44631</v>
          </cell>
          <cell r="AN1652" t="str">
            <v>Yes</v>
          </cell>
          <cell r="AO1652">
            <v>0.9</v>
          </cell>
          <cell r="AP1652">
            <v>6318000</v>
          </cell>
          <cell r="AQ1652">
            <v>44631</v>
          </cell>
          <cell r="AR1652">
            <v>44631</v>
          </cell>
          <cell r="AS1652">
            <v>0</v>
          </cell>
          <cell r="AT1652">
            <v>0</v>
          </cell>
          <cell r="AX1652" t="str">
            <v>Yes</v>
          </cell>
          <cell r="AZ1652" t="str">
            <v>Y</v>
          </cell>
          <cell r="BA1652" t="str">
            <v>Yes</v>
          </cell>
        </row>
        <row r="1653">
          <cell r="B1653">
            <v>1503</v>
          </cell>
          <cell r="C1653" t="str">
            <v>C49SZX20220007AY</v>
          </cell>
          <cell r="D1653" t="str">
            <v>易通</v>
          </cell>
          <cell r="E1653" t="str">
            <v>YSM20R-2</v>
          </cell>
          <cell r="F1653"/>
          <cell r="G1653"/>
          <cell r="H1653"/>
          <cell r="I1653" t="str">
            <v>R-&gt;L</v>
          </cell>
          <cell r="J1653" t="str">
            <v>No</v>
          </cell>
          <cell r="K1653">
            <v>1</v>
          </cell>
          <cell r="L1653"/>
          <cell r="M1653"/>
          <cell r="N1653"/>
          <cell r="O1653"/>
          <cell r="P1653"/>
          <cell r="Q1653"/>
          <cell r="R1653" t="str">
            <v>Yes</v>
          </cell>
          <cell r="S1653" t="str">
            <v>C49</v>
          </cell>
          <cell r="T1653" t="str">
            <v>SOUTH</v>
          </cell>
          <cell r="U1653" t="str">
            <v>深圳</v>
          </cell>
          <cell r="V1653" t="str">
            <v>SZ 深圳</v>
          </cell>
          <cell r="W1653" t="str">
            <v>AY</v>
          </cell>
          <cell r="X1653" t="str">
            <v>JPY</v>
          </cell>
          <cell r="Y1653">
            <v>13600000</v>
          </cell>
          <cell r="Z1653">
            <v>1</v>
          </cell>
          <cell r="AA1653">
            <v>13600000</v>
          </cell>
          <cell r="AB1653">
            <v>7.0000000000000007E-2</v>
          </cell>
          <cell r="AC1653">
            <v>952000.00000000012</v>
          </cell>
          <cell r="AD1653">
            <v>114240.00000000001</v>
          </cell>
          <cell r="AE1653">
            <v>0.12</v>
          </cell>
          <cell r="AF1653">
            <v>44575</v>
          </cell>
          <cell r="AG1653" t="str">
            <v>DAP SZ</v>
          </cell>
          <cell r="AH1653"/>
          <cell r="AI1653"/>
          <cell r="AJ1653"/>
          <cell r="AK1653">
            <v>0.1</v>
          </cell>
          <cell r="AL1653">
            <v>1360000</v>
          </cell>
          <cell r="AM1653"/>
          <cell r="AN1653" t="str">
            <v>No</v>
          </cell>
          <cell r="AO1653">
            <v>0.9</v>
          </cell>
          <cell r="AP1653">
            <v>12240000</v>
          </cell>
          <cell r="AQ1653"/>
          <cell r="AR1653"/>
          <cell r="AS1653">
            <v>0</v>
          </cell>
          <cell r="AT1653">
            <v>0</v>
          </cell>
          <cell r="AU1653"/>
          <cell r="AV1653"/>
          <cell r="AW1653"/>
          <cell r="AX1653" t="str">
            <v>Cancel</v>
          </cell>
          <cell r="AY1653"/>
          <cell r="AZ1653"/>
          <cell r="BA1653" t="str">
            <v>Cancel</v>
          </cell>
          <cell r="BB1653" t="str">
            <v>2023-3-31Ken邮件通知</v>
          </cell>
        </row>
        <row r="1654">
          <cell r="B1654">
            <v>1504</v>
          </cell>
          <cell r="C1654" t="str">
            <v>C49SZX20210103MZ</v>
          </cell>
          <cell r="D1654" t="str">
            <v>河南融创</v>
          </cell>
          <cell r="E1654" t="str">
            <v>YSM20R-2</v>
          </cell>
          <cell r="I1654" t="str">
            <v>L-&gt;R</v>
          </cell>
          <cell r="J1654" t="str">
            <v>No</v>
          </cell>
          <cell r="K1654">
            <v>1</v>
          </cell>
          <cell r="N1654">
            <v>44642</v>
          </cell>
          <cell r="O1654">
            <v>11116709</v>
          </cell>
          <cell r="P1654">
            <v>15000000</v>
          </cell>
          <cell r="Q1654">
            <v>44620</v>
          </cell>
          <cell r="R1654" t="str">
            <v>No</v>
          </cell>
          <cell r="S1654" t="str">
            <v>C49</v>
          </cell>
          <cell r="T1654" t="str">
            <v>SOUTH</v>
          </cell>
          <cell r="U1654" t="str">
            <v>深圳</v>
          </cell>
          <cell r="V1654" t="str">
            <v>HN 河南</v>
          </cell>
          <cell r="W1654" t="str">
            <v>MZ</v>
          </cell>
          <cell r="X1654" t="str">
            <v>JPY</v>
          </cell>
          <cell r="Y1654">
            <v>15000000</v>
          </cell>
          <cell r="Z1654">
            <v>1</v>
          </cell>
          <cell r="AA1654">
            <v>15000000</v>
          </cell>
          <cell r="AB1654">
            <v>7.0000000000000007E-2</v>
          </cell>
          <cell r="AC1654">
            <v>1050000</v>
          </cell>
          <cell r="AD1654">
            <v>126000</v>
          </cell>
          <cell r="AE1654">
            <v>0.12</v>
          </cell>
          <cell r="AF1654">
            <v>44524</v>
          </cell>
          <cell r="AG1654" t="str">
            <v>CIF HK</v>
          </cell>
          <cell r="AK1654">
            <v>0.1</v>
          </cell>
          <cell r="AL1654">
            <v>1500000</v>
          </cell>
          <cell r="AM1654">
            <v>44608</v>
          </cell>
          <cell r="AN1654" t="str">
            <v>Yes</v>
          </cell>
          <cell r="AO1654">
            <v>0.9</v>
          </cell>
          <cell r="AP1654">
            <v>13500000</v>
          </cell>
          <cell r="AQ1654">
            <v>44609</v>
          </cell>
          <cell r="AR1654">
            <v>44609</v>
          </cell>
          <cell r="AS1654">
            <v>0</v>
          </cell>
          <cell r="AT1654">
            <v>0</v>
          </cell>
          <cell r="AX1654" t="str">
            <v>Yes</v>
          </cell>
        </row>
        <row r="1655">
          <cell r="B1655">
            <v>1505</v>
          </cell>
          <cell r="C1655" t="str">
            <v>C49SZX20210103MZ</v>
          </cell>
          <cell r="D1655" t="str">
            <v>河南融创</v>
          </cell>
          <cell r="E1655" t="str">
            <v>YSM20R-2</v>
          </cell>
          <cell r="I1655" t="str">
            <v>L-&gt;R</v>
          </cell>
          <cell r="J1655" t="str">
            <v>No</v>
          </cell>
          <cell r="K1655">
            <v>1</v>
          </cell>
          <cell r="N1655">
            <v>44701</v>
          </cell>
          <cell r="O1655">
            <v>11116763</v>
          </cell>
          <cell r="P1655">
            <v>15000000</v>
          </cell>
          <cell r="Q1655">
            <v>44712</v>
          </cell>
          <cell r="R1655" t="str">
            <v>No</v>
          </cell>
          <cell r="S1655" t="str">
            <v>C49</v>
          </cell>
          <cell r="T1655" t="str">
            <v>SOUTH</v>
          </cell>
          <cell r="U1655" t="str">
            <v>深圳</v>
          </cell>
          <cell r="V1655" t="str">
            <v>HN 河南</v>
          </cell>
          <cell r="W1655" t="str">
            <v>MZ</v>
          </cell>
          <cell r="X1655" t="str">
            <v>JPY</v>
          </cell>
          <cell r="Y1655">
            <v>15000000</v>
          </cell>
          <cell r="Z1655">
            <v>1</v>
          </cell>
          <cell r="AA1655">
            <v>15000000</v>
          </cell>
          <cell r="AB1655">
            <v>7.0000000000000007E-2</v>
          </cell>
          <cell r="AC1655">
            <v>1050000</v>
          </cell>
          <cell r="AD1655">
            <v>126000</v>
          </cell>
          <cell r="AE1655">
            <v>0.12</v>
          </cell>
          <cell r="AF1655">
            <v>44524</v>
          </cell>
          <cell r="AG1655" t="str">
            <v>CIF HK</v>
          </cell>
          <cell r="AK1655">
            <v>0.1</v>
          </cell>
          <cell r="AL1655">
            <v>1500000</v>
          </cell>
          <cell r="AM1655">
            <v>44608</v>
          </cell>
          <cell r="AN1655" t="str">
            <v>Yes</v>
          </cell>
          <cell r="AO1655">
            <v>0.9</v>
          </cell>
          <cell r="AP1655">
            <v>13500000</v>
          </cell>
          <cell r="AQ1655">
            <v>44697</v>
          </cell>
          <cell r="AR1655">
            <v>44697</v>
          </cell>
          <cell r="AS1655">
            <v>0</v>
          </cell>
          <cell r="AT1655">
            <v>0</v>
          </cell>
          <cell r="AX1655" t="str">
            <v>Yes</v>
          </cell>
        </row>
        <row r="1656">
          <cell r="B1656">
            <v>1506</v>
          </cell>
          <cell r="C1656" t="str">
            <v>C49SZX20210103MZ</v>
          </cell>
          <cell r="D1656" t="str">
            <v>河南融创</v>
          </cell>
          <cell r="E1656" t="str">
            <v>YSM10</v>
          </cell>
          <cell r="I1656" t="str">
            <v>L-&gt;R</v>
          </cell>
          <cell r="J1656" t="str">
            <v>MVC+ATS15</v>
          </cell>
          <cell r="K1656">
            <v>1</v>
          </cell>
          <cell r="N1656">
            <v>44642</v>
          </cell>
          <cell r="O1656">
            <v>11116709</v>
          </cell>
          <cell r="P1656">
            <v>11000000</v>
          </cell>
          <cell r="Q1656">
            <v>44620</v>
          </cell>
          <cell r="R1656" t="str">
            <v>No</v>
          </cell>
          <cell r="S1656" t="str">
            <v>C49</v>
          </cell>
          <cell r="T1656" t="str">
            <v>SOUTH</v>
          </cell>
          <cell r="U1656" t="str">
            <v>深圳</v>
          </cell>
          <cell r="V1656" t="str">
            <v>HN 河南</v>
          </cell>
          <cell r="W1656" t="str">
            <v>MZ</v>
          </cell>
          <cell r="X1656" t="str">
            <v>JPY</v>
          </cell>
          <cell r="Y1656">
            <v>11000000</v>
          </cell>
          <cell r="Z1656">
            <v>1</v>
          </cell>
          <cell r="AA1656">
            <v>11000000</v>
          </cell>
          <cell r="AB1656">
            <v>7.0000000000000007E-2</v>
          </cell>
          <cell r="AC1656">
            <v>770000.00000000012</v>
          </cell>
          <cell r="AD1656">
            <v>92400.000000000015</v>
          </cell>
          <cell r="AE1656">
            <v>0.12</v>
          </cell>
          <cell r="AF1656">
            <v>44524</v>
          </cell>
          <cell r="AG1656" t="str">
            <v>CIF HK</v>
          </cell>
          <cell r="AK1656">
            <v>0.1</v>
          </cell>
          <cell r="AL1656">
            <v>1100000</v>
          </cell>
          <cell r="AM1656">
            <v>44608</v>
          </cell>
          <cell r="AN1656" t="str">
            <v>Yes</v>
          </cell>
          <cell r="AO1656">
            <v>0.9</v>
          </cell>
          <cell r="AP1656">
            <v>9900000</v>
          </cell>
          <cell r="AQ1656">
            <v>44609</v>
          </cell>
          <cell r="AR1656">
            <v>44609</v>
          </cell>
          <cell r="AS1656">
            <v>0</v>
          </cell>
          <cell r="AT1656">
            <v>0</v>
          </cell>
          <cell r="AX1656" t="str">
            <v>Yes</v>
          </cell>
        </row>
        <row r="1657">
          <cell r="B1657">
            <v>1507</v>
          </cell>
          <cell r="C1657" t="str">
            <v>C49SZX20210103MZ</v>
          </cell>
          <cell r="D1657" t="str">
            <v>河南融创</v>
          </cell>
          <cell r="E1657" t="str">
            <v>YSM10</v>
          </cell>
          <cell r="I1657" t="str">
            <v>L-&gt;R</v>
          </cell>
          <cell r="J1657" t="str">
            <v>MVC+ATS15</v>
          </cell>
          <cell r="K1657">
            <v>1</v>
          </cell>
          <cell r="N1657">
            <v>44701</v>
          </cell>
          <cell r="O1657">
            <v>11116763</v>
          </cell>
          <cell r="P1657">
            <v>11000000</v>
          </cell>
          <cell r="Q1657">
            <v>44712</v>
          </cell>
          <cell r="R1657" t="str">
            <v>No</v>
          </cell>
          <cell r="S1657" t="str">
            <v>C49</v>
          </cell>
          <cell r="T1657" t="str">
            <v>SOUTH</v>
          </cell>
          <cell r="U1657" t="str">
            <v>深圳</v>
          </cell>
          <cell r="V1657" t="str">
            <v>HN 河南</v>
          </cell>
          <cell r="W1657" t="str">
            <v>MZ</v>
          </cell>
          <cell r="X1657" t="str">
            <v>JPY</v>
          </cell>
          <cell r="Y1657">
            <v>11000000</v>
          </cell>
          <cell r="Z1657">
            <v>1</v>
          </cell>
          <cell r="AA1657">
            <v>11000000</v>
          </cell>
          <cell r="AB1657">
            <v>7.0000000000000007E-2</v>
          </cell>
          <cell r="AC1657">
            <v>770000.00000000012</v>
          </cell>
          <cell r="AD1657">
            <v>92400.000000000015</v>
          </cell>
          <cell r="AE1657">
            <v>0.12</v>
          </cell>
          <cell r="AF1657">
            <v>44524</v>
          </cell>
          <cell r="AG1657" t="str">
            <v>CIF HK</v>
          </cell>
          <cell r="AK1657">
            <v>0.1</v>
          </cell>
          <cell r="AL1657">
            <v>1100000</v>
          </cell>
          <cell r="AM1657">
            <v>44608</v>
          </cell>
          <cell r="AN1657" t="str">
            <v>Yes</v>
          </cell>
          <cell r="AO1657">
            <v>0.9</v>
          </cell>
          <cell r="AP1657">
            <v>9900000</v>
          </cell>
          <cell r="AQ1657">
            <v>44697</v>
          </cell>
          <cell r="AR1657">
            <v>44697</v>
          </cell>
          <cell r="AS1657">
            <v>0</v>
          </cell>
          <cell r="AT1657">
            <v>0</v>
          </cell>
          <cell r="AX1657" t="str">
            <v>Yes</v>
          </cell>
        </row>
        <row r="1658">
          <cell r="B1658">
            <v>1508</v>
          </cell>
          <cell r="C1658" t="str">
            <v>C49SZX20210207JY</v>
          </cell>
          <cell r="D1658" t="str">
            <v>海凌科达</v>
          </cell>
          <cell r="E1658" t="str">
            <v>YSM10</v>
          </cell>
          <cell r="I1658" t="str">
            <v>L-&gt;R</v>
          </cell>
          <cell r="J1658" t="str">
            <v>No</v>
          </cell>
          <cell r="K1658">
            <v>1</v>
          </cell>
          <cell r="N1658">
            <v>44691</v>
          </cell>
          <cell r="O1658">
            <v>11116747</v>
          </cell>
          <cell r="P1658">
            <v>8100000</v>
          </cell>
          <cell r="Q1658">
            <v>44697</v>
          </cell>
          <cell r="R1658" t="str">
            <v>No</v>
          </cell>
          <cell r="S1658" t="str">
            <v>C49</v>
          </cell>
          <cell r="T1658" t="str">
            <v>SOUTH</v>
          </cell>
          <cell r="U1658" t="str">
            <v>深圳</v>
          </cell>
          <cell r="V1658" t="str">
            <v>SZ 深圳</v>
          </cell>
          <cell r="W1658" t="str">
            <v>JY</v>
          </cell>
          <cell r="X1658" t="str">
            <v>JPY</v>
          </cell>
          <cell r="Y1658">
            <v>8100000</v>
          </cell>
          <cell r="Z1658">
            <v>1</v>
          </cell>
          <cell r="AA1658">
            <v>8100000</v>
          </cell>
          <cell r="AB1658">
            <v>7.0000000000000007E-2</v>
          </cell>
          <cell r="AC1658">
            <v>567000</v>
          </cell>
          <cell r="AD1658">
            <v>68040</v>
          </cell>
          <cell r="AE1658">
            <v>0.12</v>
          </cell>
          <cell r="AF1658">
            <v>44530</v>
          </cell>
          <cell r="AG1658" t="str">
            <v>CIF HK</v>
          </cell>
          <cell r="AK1658">
            <v>0.1</v>
          </cell>
          <cell r="AL1658">
            <v>810000</v>
          </cell>
          <cell r="AM1658">
            <v>44536</v>
          </cell>
          <cell r="AN1658" t="str">
            <v>Yes</v>
          </cell>
          <cell r="AO1658">
            <v>0.9</v>
          </cell>
          <cell r="AP1658">
            <v>7290000</v>
          </cell>
          <cell r="AQ1658">
            <v>44671</v>
          </cell>
          <cell r="AR1658">
            <v>44671</v>
          </cell>
          <cell r="AS1658">
            <v>0</v>
          </cell>
          <cell r="AT1658">
            <v>0</v>
          </cell>
          <cell r="AX1658" t="str">
            <v>Yes</v>
          </cell>
          <cell r="AZ1658" t="str">
            <v>Y</v>
          </cell>
          <cell r="BA1658" t="str">
            <v>Yes</v>
          </cell>
        </row>
        <row r="1659">
          <cell r="B1659">
            <v>1509</v>
          </cell>
          <cell r="C1659" t="str">
            <v>C49SZX20210207JY</v>
          </cell>
          <cell r="D1659" t="str">
            <v>海凌科达</v>
          </cell>
          <cell r="E1659" t="str">
            <v>YSM10</v>
          </cell>
          <cell r="I1659" t="str">
            <v>R-&gt;L</v>
          </cell>
          <cell r="J1659" t="str">
            <v>No</v>
          </cell>
          <cell r="K1659">
            <v>1</v>
          </cell>
          <cell r="N1659">
            <v>44691</v>
          </cell>
          <cell r="O1659">
            <v>11116747</v>
          </cell>
          <cell r="P1659">
            <v>8100000</v>
          </cell>
          <cell r="Q1659">
            <v>44697</v>
          </cell>
          <cell r="R1659" t="str">
            <v>No</v>
          </cell>
          <cell r="S1659" t="str">
            <v>C49</v>
          </cell>
          <cell r="T1659" t="str">
            <v>SOUTH</v>
          </cell>
          <cell r="U1659" t="str">
            <v>深圳</v>
          </cell>
          <cell r="V1659" t="str">
            <v>SZ 深圳</v>
          </cell>
          <cell r="W1659" t="str">
            <v>JY</v>
          </cell>
          <cell r="X1659" t="str">
            <v>JPY</v>
          </cell>
          <cell r="Y1659">
            <v>8100000</v>
          </cell>
          <cell r="Z1659">
            <v>1</v>
          </cell>
          <cell r="AA1659">
            <v>8100000</v>
          </cell>
          <cell r="AB1659">
            <v>7.0000000000000007E-2</v>
          </cell>
          <cell r="AC1659">
            <v>567000</v>
          </cell>
          <cell r="AD1659">
            <v>68040</v>
          </cell>
          <cell r="AE1659">
            <v>0.12</v>
          </cell>
          <cell r="AF1659">
            <v>44530</v>
          </cell>
          <cell r="AG1659" t="str">
            <v>CIF HK</v>
          </cell>
          <cell r="AK1659">
            <v>0.1</v>
          </cell>
          <cell r="AL1659">
            <v>810000</v>
          </cell>
          <cell r="AM1659">
            <v>44536</v>
          </cell>
          <cell r="AN1659" t="str">
            <v>Yes</v>
          </cell>
          <cell r="AO1659">
            <v>0.9</v>
          </cell>
          <cell r="AP1659">
            <v>7290000</v>
          </cell>
          <cell r="AQ1659">
            <v>44671</v>
          </cell>
          <cell r="AR1659">
            <v>44671</v>
          </cell>
          <cell r="AS1659">
            <v>0</v>
          </cell>
          <cell r="AT1659">
            <v>0</v>
          </cell>
          <cell r="AX1659" t="str">
            <v>Yes</v>
          </cell>
          <cell r="AZ1659" t="str">
            <v>Y</v>
          </cell>
          <cell r="BA1659" t="str">
            <v>Yes</v>
          </cell>
        </row>
        <row r="1660">
          <cell r="B1660">
            <v>1510</v>
          </cell>
          <cell r="C1660" t="str">
            <v>C49SZX20210213SS</v>
          </cell>
          <cell r="D1660" t="str">
            <v>维益</v>
          </cell>
          <cell r="E1660" t="str">
            <v>YSM10</v>
          </cell>
          <cell r="I1660" t="str">
            <v>R-&gt;L</v>
          </cell>
          <cell r="J1660" t="str">
            <v>MVC</v>
          </cell>
          <cell r="K1660">
            <v>1</v>
          </cell>
          <cell r="N1660">
            <v>44659</v>
          </cell>
          <cell r="O1660">
            <v>11116723</v>
          </cell>
          <cell r="P1660">
            <v>8500000</v>
          </cell>
          <cell r="Q1660">
            <v>44671</v>
          </cell>
          <cell r="R1660" t="str">
            <v>No</v>
          </cell>
          <cell r="S1660" t="str">
            <v>C49</v>
          </cell>
          <cell r="T1660" t="str">
            <v>SOUTH</v>
          </cell>
          <cell r="U1660" t="str">
            <v>深圳</v>
          </cell>
          <cell r="V1660" t="str">
            <v>SZ 深圳</v>
          </cell>
          <cell r="W1660" t="str">
            <v>SS</v>
          </cell>
          <cell r="X1660" t="str">
            <v>JPY</v>
          </cell>
          <cell r="Y1660">
            <v>8500000</v>
          </cell>
          <cell r="Z1660">
            <v>1</v>
          </cell>
          <cell r="AA1660">
            <v>8500000</v>
          </cell>
          <cell r="AB1660">
            <v>7.0000000000000007E-2</v>
          </cell>
          <cell r="AC1660">
            <v>595000</v>
          </cell>
          <cell r="AD1660">
            <v>71400</v>
          </cell>
          <cell r="AE1660">
            <v>0.12</v>
          </cell>
          <cell r="AF1660">
            <v>44532</v>
          </cell>
          <cell r="AG1660" t="str">
            <v>DAP DG</v>
          </cell>
          <cell r="AK1660">
            <v>0.3</v>
          </cell>
          <cell r="AL1660">
            <v>2675370</v>
          </cell>
          <cell r="AM1660">
            <v>44554</v>
          </cell>
          <cell r="AN1660" t="str">
            <v>Yes</v>
          </cell>
          <cell r="AO1660">
            <v>0.7</v>
          </cell>
          <cell r="AP1660">
            <v>5950000</v>
          </cell>
          <cell r="AQ1660">
            <v>44649</v>
          </cell>
          <cell r="AR1660">
            <v>44649</v>
          </cell>
          <cell r="AS1660">
            <v>0</v>
          </cell>
          <cell r="AT1660">
            <v>0</v>
          </cell>
          <cell r="AX1660" t="str">
            <v>Yes</v>
          </cell>
          <cell r="AZ1660" t="str">
            <v>Y</v>
          </cell>
          <cell r="BA1660" t="str">
            <v>Yes</v>
          </cell>
        </row>
        <row r="1661">
          <cell r="B1661">
            <v>1511</v>
          </cell>
          <cell r="C1661" t="str">
            <v>C49SZX20210214EC</v>
          </cell>
          <cell r="D1661" t="str">
            <v>骏孚</v>
          </cell>
          <cell r="E1661" t="str">
            <v>YSM20R-2</v>
          </cell>
          <cell r="I1661" t="str">
            <v>L-&gt;R</v>
          </cell>
          <cell r="J1661" t="str">
            <v>No</v>
          </cell>
          <cell r="K1661">
            <v>1</v>
          </cell>
          <cell r="N1661">
            <v>44539</v>
          </cell>
          <cell r="O1661">
            <v>11100507</v>
          </cell>
          <cell r="P1661">
            <v>1250000</v>
          </cell>
          <cell r="Q1661">
            <v>44545</v>
          </cell>
          <cell r="R1661" t="str">
            <v>No</v>
          </cell>
          <cell r="S1661" t="str">
            <v>C49</v>
          </cell>
          <cell r="T1661" t="str">
            <v>SOUTH</v>
          </cell>
          <cell r="U1661" t="str">
            <v>深圳</v>
          </cell>
          <cell r="V1661" t="str">
            <v>SZ 深圳</v>
          </cell>
          <cell r="W1661" t="str">
            <v>EC</v>
          </cell>
          <cell r="X1661" t="str">
            <v>RMB</v>
          </cell>
          <cell r="Y1661">
            <v>1250000</v>
          </cell>
          <cell r="Z1661">
            <v>1.1299999999999999</v>
          </cell>
          <cell r="AA1661">
            <v>1250000</v>
          </cell>
          <cell r="AB1661">
            <v>1.2150000000000001</v>
          </cell>
          <cell r="AC1661">
            <v>1344026.5486725664</v>
          </cell>
          <cell r="AD1661">
            <v>161283.18584070797</v>
          </cell>
          <cell r="AE1661">
            <v>0.12</v>
          </cell>
          <cell r="AF1661">
            <v>44532</v>
          </cell>
          <cell r="AG1661" t="str">
            <v>DDP GZ</v>
          </cell>
          <cell r="AK1661">
            <v>0.3</v>
          </cell>
          <cell r="AL1661">
            <v>375000</v>
          </cell>
          <cell r="AM1661">
            <v>44536</v>
          </cell>
          <cell r="AN1661" t="str">
            <v>Yes</v>
          </cell>
          <cell r="AO1661">
            <v>0.7</v>
          </cell>
          <cell r="AP1661">
            <v>875000</v>
          </cell>
          <cell r="AQ1661">
            <v>44538</v>
          </cell>
          <cell r="AR1661">
            <v>44538</v>
          </cell>
          <cell r="AS1661">
            <v>0</v>
          </cell>
          <cell r="AT1661">
            <v>0</v>
          </cell>
          <cell r="AX1661" t="str">
            <v>Yes</v>
          </cell>
          <cell r="AZ1661" t="str">
            <v>Y</v>
          </cell>
          <cell r="BA1661" t="str">
            <v>Yes</v>
          </cell>
        </row>
        <row r="1662">
          <cell r="B1662">
            <v>1512</v>
          </cell>
          <cell r="C1662" t="str">
            <v>C49SZX20210216AY</v>
          </cell>
          <cell r="D1662" t="str">
            <v>勃旭</v>
          </cell>
          <cell r="E1662" t="str">
            <v>YSM10</v>
          </cell>
          <cell r="I1662" t="str">
            <v>L-&gt;R</v>
          </cell>
          <cell r="J1662" t="str">
            <v>MVC</v>
          </cell>
          <cell r="K1662">
            <v>1</v>
          </cell>
          <cell r="N1662">
            <v>44616</v>
          </cell>
          <cell r="O1662">
            <v>11100514</v>
          </cell>
          <cell r="P1662">
            <v>548800</v>
          </cell>
          <cell r="Q1662">
            <v>44615</v>
          </cell>
          <cell r="R1662" t="str">
            <v>No</v>
          </cell>
          <cell r="S1662" t="str">
            <v>C49</v>
          </cell>
          <cell r="T1662" t="str">
            <v>SOUTH</v>
          </cell>
          <cell r="U1662" t="str">
            <v>深圳</v>
          </cell>
          <cell r="V1662" t="str">
            <v>SZ 深圳</v>
          </cell>
          <cell r="W1662" t="str">
            <v>AY</v>
          </cell>
          <cell r="X1662" t="str">
            <v>RMB</v>
          </cell>
          <cell r="Y1662">
            <v>548800</v>
          </cell>
          <cell r="Z1662">
            <v>1.1299999999999999</v>
          </cell>
          <cell r="AA1662">
            <v>548800</v>
          </cell>
          <cell r="AB1662">
            <v>1.2150000000000001</v>
          </cell>
          <cell r="AC1662">
            <v>590081.41592920362</v>
          </cell>
          <cell r="AD1662">
            <v>70809.769911504438</v>
          </cell>
          <cell r="AE1662">
            <v>0.12</v>
          </cell>
          <cell r="AF1662">
            <v>44537</v>
          </cell>
          <cell r="AG1662" t="str">
            <v>DDP SZ</v>
          </cell>
          <cell r="AK1662" t="str">
            <v>Agree</v>
          </cell>
          <cell r="AL1662">
            <v>268800</v>
          </cell>
          <cell r="AM1662">
            <v>44558</v>
          </cell>
          <cell r="AN1662" t="str">
            <v>Yes</v>
          </cell>
          <cell r="AO1662">
            <v>0.9</v>
          </cell>
          <cell r="AP1662">
            <v>493920</v>
          </cell>
          <cell r="AQ1662">
            <v>44562</v>
          </cell>
          <cell r="AR1662">
            <v>44587</v>
          </cell>
          <cell r="AS1662">
            <v>0</v>
          </cell>
          <cell r="AT1662">
            <v>0</v>
          </cell>
          <cell r="AX1662" t="str">
            <v>Yes</v>
          </cell>
          <cell r="AZ1662" t="str">
            <v>Y</v>
          </cell>
          <cell r="BA1662" t="str">
            <v>Yes</v>
          </cell>
        </row>
        <row r="1663">
          <cell r="B1663">
            <v>1513</v>
          </cell>
          <cell r="C1663" t="str">
            <v>C49SZX20210216AY</v>
          </cell>
          <cell r="D1663" t="str">
            <v>勃旭</v>
          </cell>
          <cell r="E1663" t="str">
            <v>YSM20R-2</v>
          </cell>
          <cell r="I1663" t="str">
            <v>L-&gt;R</v>
          </cell>
          <cell r="J1663" t="str">
            <v>No</v>
          </cell>
          <cell r="K1663">
            <v>1</v>
          </cell>
          <cell r="N1663">
            <v>44583</v>
          </cell>
          <cell r="O1663">
            <v>11100513</v>
          </cell>
          <cell r="P1663">
            <v>850000</v>
          </cell>
          <cell r="Q1663">
            <v>44586</v>
          </cell>
          <cell r="R1663" t="str">
            <v>No</v>
          </cell>
          <cell r="S1663" t="str">
            <v>C49</v>
          </cell>
          <cell r="T1663" t="str">
            <v>SOUTH</v>
          </cell>
          <cell r="U1663" t="str">
            <v>深圳</v>
          </cell>
          <cell r="V1663" t="str">
            <v>SZ 深圳</v>
          </cell>
          <cell r="W1663" t="str">
            <v>AY</v>
          </cell>
          <cell r="X1663" t="str">
            <v>RMB</v>
          </cell>
          <cell r="Y1663">
            <v>850000</v>
          </cell>
          <cell r="Z1663">
            <v>1.1299999999999999</v>
          </cell>
          <cell r="AA1663">
            <v>850000</v>
          </cell>
          <cell r="AB1663">
            <v>1.2150000000000001</v>
          </cell>
          <cell r="AC1663">
            <v>913938.05309734528</v>
          </cell>
          <cell r="AD1663">
            <v>109672.56637168143</v>
          </cell>
          <cell r="AE1663">
            <v>0.12</v>
          </cell>
          <cell r="AF1663">
            <v>44537</v>
          </cell>
          <cell r="AG1663" t="str">
            <v>DDP SZ</v>
          </cell>
          <cell r="AK1663"/>
          <cell r="AL1663"/>
          <cell r="AM1663">
            <v>44558</v>
          </cell>
          <cell r="AN1663" t="str">
            <v>Yes</v>
          </cell>
          <cell r="AO1663">
            <v>0.9</v>
          </cell>
          <cell r="AP1663">
            <v>765000</v>
          </cell>
          <cell r="AQ1663">
            <v>44581</v>
          </cell>
          <cell r="AR1663">
            <v>44581</v>
          </cell>
          <cell r="AS1663">
            <v>0</v>
          </cell>
          <cell r="AT1663">
            <v>0</v>
          </cell>
          <cell r="AX1663" t="str">
            <v>Yes</v>
          </cell>
          <cell r="AZ1663" t="str">
            <v>Y</v>
          </cell>
          <cell r="BA1663" t="str">
            <v>Yes</v>
          </cell>
        </row>
        <row r="1664">
          <cell r="B1664">
            <v>1514</v>
          </cell>
          <cell r="C1664" t="str">
            <v>C49SZX20210206MZ</v>
          </cell>
          <cell r="D1664" t="str">
            <v>魔乐视</v>
          </cell>
          <cell r="E1664" t="str">
            <v>YSM20R-2</v>
          </cell>
          <cell r="I1664" t="str">
            <v>L-&gt;R</v>
          </cell>
          <cell r="J1664" t="str">
            <v>No</v>
          </cell>
          <cell r="K1664">
            <v>1</v>
          </cell>
          <cell r="N1664">
            <v>44670</v>
          </cell>
          <cell r="O1664">
            <v>11116727</v>
          </cell>
          <cell r="P1664">
            <v>14500000</v>
          </cell>
          <cell r="Q1664">
            <v>44673</v>
          </cell>
          <cell r="R1664" t="str">
            <v>No</v>
          </cell>
          <cell r="S1664" t="str">
            <v>C49</v>
          </cell>
          <cell r="T1664" t="str">
            <v>SOUTH</v>
          </cell>
          <cell r="U1664" t="str">
            <v>深圳</v>
          </cell>
          <cell r="V1664" t="str">
            <v>SZ 深圳</v>
          </cell>
          <cell r="W1664" t="str">
            <v>MZ</v>
          </cell>
          <cell r="X1664" t="str">
            <v>JPY</v>
          </cell>
          <cell r="Y1664">
            <v>14500000</v>
          </cell>
          <cell r="Z1664">
            <v>1</v>
          </cell>
          <cell r="AA1664">
            <v>14500000</v>
          </cell>
          <cell r="AB1664">
            <v>7.0000000000000007E-2</v>
          </cell>
          <cell r="AC1664">
            <v>1015000.0000000001</v>
          </cell>
          <cell r="AD1664">
            <v>121800.00000000001</v>
          </cell>
          <cell r="AE1664">
            <v>0.12</v>
          </cell>
          <cell r="AF1664">
            <v>44540</v>
          </cell>
          <cell r="AG1664" t="str">
            <v>DAP SZ</v>
          </cell>
          <cell r="AK1664">
            <v>0.1</v>
          </cell>
          <cell r="AL1664">
            <v>1450000</v>
          </cell>
          <cell r="AM1664">
            <v>44546</v>
          </cell>
          <cell r="AN1664" t="str">
            <v>Yes</v>
          </cell>
          <cell r="AO1664">
            <v>0.9</v>
          </cell>
          <cell r="AP1664">
            <v>13050000</v>
          </cell>
          <cell r="AQ1664">
            <v>44650</v>
          </cell>
          <cell r="AR1664">
            <v>44650</v>
          </cell>
          <cell r="AS1664">
            <v>0</v>
          </cell>
          <cell r="AT1664">
            <v>0</v>
          </cell>
          <cell r="AX1664" t="str">
            <v>Yes</v>
          </cell>
          <cell r="AZ1664" t="str">
            <v>Y</v>
          </cell>
          <cell r="BA1664" t="str">
            <v>Yes</v>
          </cell>
        </row>
        <row r="1665">
          <cell r="B1665">
            <v>1515</v>
          </cell>
          <cell r="C1665" t="str">
            <v>C49SZX20210206MZ</v>
          </cell>
          <cell r="D1665" t="str">
            <v>魔乐视</v>
          </cell>
          <cell r="E1665" t="str">
            <v>YSM20R-2</v>
          </cell>
          <cell r="I1665" t="str">
            <v>L-&gt;R</v>
          </cell>
          <cell r="J1665" t="str">
            <v>No</v>
          </cell>
          <cell r="K1665">
            <v>1</v>
          </cell>
          <cell r="N1665">
            <v>44670</v>
          </cell>
          <cell r="O1665">
            <v>11116727</v>
          </cell>
          <cell r="P1665">
            <v>14500000</v>
          </cell>
          <cell r="Q1665">
            <v>44673</v>
          </cell>
          <cell r="R1665" t="str">
            <v>No</v>
          </cell>
          <cell r="S1665" t="str">
            <v>C49</v>
          </cell>
          <cell r="T1665" t="str">
            <v>SOUTH</v>
          </cell>
          <cell r="U1665" t="str">
            <v>深圳</v>
          </cell>
          <cell r="V1665" t="str">
            <v>SZ 深圳</v>
          </cell>
          <cell r="W1665" t="str">
            <v>MZ</v>
          </cell>
          <cell r="X1665" t="str">
            <v>JPY</v>
          </cell>
          <cell r="Y1665">
            <v>14500000</v>
          </cell>
          <cell r="Z1665">
            <v>1</v>
          </cell>
          <cell r="AA1665">
            <v>14500000</v>
          </cell>
          <cell r="AB1665">
            <v>7.0000000000000007E-2</v>
          </cell>
          <cell r="AC1665">
            <v>1015000.0000000001</v>
          </cell>
          <cell r="AD1665">
            <v>121800.00000000001</v>
          </cell>
          <cell r="AE1665">
            <v>0.12</v>
          </cell>
          <cell r="AF1665">
            <v>44540</v>
          </cell>
          <cell r="AG1665" t="str">
            <v>DAP SZ</v>
          </cell>
          <cell r="AK1665">
            <v>0.1</v>
          </cell>
          <cell r="AL1665">
            <v>1450000</v>
          </cell>
          <cell r="AM1665">
            <v>44546</v>
          </cell>
          <cell r="AN1665" t="str">
            <v>Yes</v>
          </cell>
          <cell r="AO1665">
            <v>0.9</v>
          </cell>
          <cell r="AP1665">
            <v>13050000</v>
          </cell>
          <cell r="AQ1665">
            <v>44650</v>
          </cell>
          <cell r="AR1665">
            <v>44650</v>
          </cell>
          <cell r="AS1665">
            <v>0</v>
          </cell>
          <cell r="AT1665">
            <v>0</v>
          </cell>
          <cell r="AX1665" t="str">
            <v>Yes</v>
          </cell>
          <cell r="AZ1665" t="str">
            <v>Y</v>
          </cell>
          <cell r="BA1665" t="str">
            <v>Yes</v>
          </cell>
        </row>
        <row r="1666">
          <cell r="B1666">
            <v>1516</v>
          </cell>
          <cell r="C1666" t="str">
            <v>C49SZX20210206MZ</v>
          </cell>
          <cell r="D1666" t="str">
            <v>魔乐视</v>
          </cell>
          <cell r="E1666" t="str">
            <v>YSM10</v>
          </cell>
          <cell r="I1666" t="str">
            <v>L-&gt;R</v>
          </cell>
          <cell r="J1666" t="str">
            <v>MVC+ATS15</v>
          </cell>
          <cell r="K1666">
            <v>1</v>
          </cell>
          <cell r="N1666">
            <v>44670</v>
          </cell>
          <cell r="O1666">
            <v>11116727</v>
          </cell>
          <cell r="P1666">
            <v>11000000</v>
          </cell>
          <cell r="Q1666">
            <v>44673</v>
          </cell>
          <cell r="R1666" t="str">
            <v>No</v>
          </cell>
          <cell r="S1666" t="str">
            <v>C49</v>
          </cell>
          <cell r="T1666" t="str">
            <v>SOUTH</v>
          </cell>
          <cell r="U1666" t="str">
            <v>深圳</v>
          </cell>
          <cell r="V1666" t="str">
            <v>SZ 深圳</v>
          </cell>
          <cell r="W1666" t="str">
            <v>MZ</v>
          </cell>
          <cell r="X1666" t="str">
            <v>JPY</v>
          </cell>
          <cell r="Y1666">
            <v>11000000</v>
          </cell>
          <cell r="Z1666">
            <v>1</v>
          </cell>
          <cell r="AA1666">
            <v>11000000</v>
          </cell>
          <cell r="AB1666">
            <v>7.0000000000000007E-2</v>
          </cell>
          <cell r="AC1666">
            <v>770000.00000000012</v>
          </cell>
          <cell r="AD1666">
            <v>92400.000000000015</v>
          </cell>
          <cell r="AE1666">
            <v>0.12</v>
          </cell>
          <cell r="AF1666">
            <v>44540</v>
          </cell>
          <cell r="AG1666" t="str">
            <v>DAP SZ</v>
          </cell>
          <cell r="AK1666">
            <v>0.1</v>
          </cell>
          <cell r="AL1666">
            <v>1100000</v>
          </cell>
          <cell r="AM1666">
            <v>44546</v>
          </cell>
          <cell r="AN1666" t="str">
            <v>Yes</v>
          </cell>
          <cell r="AO1666">
            <v>0.9</v>
          </cell>
          <cell r="AP1666">
            <v>9900000</v>
          </cell>
          <cell r="AQ1666">
            <v>44650</v>
          </cell>
          <cell r="AR1666">
            <v>44650</v>
          </cell>
          <cell r="AS1666">
            <v>0</v>
          </cell>
          <cell r="AT1666">
            <v>0</v>
          </cell>
          <cell r="AX1666" t="str">
            <v>Yes</v>
          </cell>
          <cell r="AZ1666" t="str">
            <v>Y</v>
          </cell>
          <cell r="BA1666" t="str">
            <v>Yes</v>
          </cell>
        </row>
        <row r="1667">
          <cell r="B1667">
            <v>1517</v>
          </cell>
          <cell r="C1667" t="str">
            <v>C49SZX20210206MZ</v>
          </cell>
          <cell r="D1667" t="str">
            <v>魔乐视</v>
          </cell>
          <cell r="E1667" t="str">
            <v>YSM10</v>
          </cell>
          <cell r="I1667" t="str">
            <v>L-&gt;R</v>
          </cell>
          <cell r="J1667" t="str">
            <v>MVC+ATS15</v>
          </cell>
          <cell r="K1667">
            <v>1</v>
          </cell>
          <cell r="N1667">
            <v>44670</v>
          </cell>
          <cell r="O1667">
            <v>11116727</v>
          </cell>
          <cell r="P1667">
            <v>11000000</v>
          </cell>
          <cell r="Q1667">
            <v>44673</v>
          </cell>
          <cell r="R1667" t="str">
            <v>No</v>
          </cell>
          <cell r="S1667" t="str">
            <v>C49</v>
          </cell>
          <cell r="T1667" t="str">
            <v>SOUTH</v>
          </cell>
          <cell r="U1667" t="str">
            <v>深圳</v>
          </cell>
          <cell r="V1667" t="str">
            <v>SZ 深圳</v>
          </cell>
          <cell r="W1667" t="str">
            <v>MZ</v>
          </cell>
          <cell r="X1667" t="str">
            <v>JPY</v>
          </cell>
          <cell r="Y1667">
            <v>11000000</v>
          </cell>
          <cell r="Z1667">
            <v>1</v>
          </cell>
          <cell r="AA1667">
            <v>11000000</v>
          </cell>
          <cell r="AB1667">
            <v>7.0000000000000007E-2</v>
          </cell>
          <cell r="AC1667">
            <v>770000.00000000012</v>
          </cell>
          <cell r="AD1667">
            <v>92400.000000000015</v>
          </cell>
          <cell r="AE1667">
            <v>0.12</v>
          </cell>
          <cell r="AF1667">
            <v>44540</v>
          </cell>
          <cell r="AG1667" t="str">
            <v>DAP SZ</v>
          </cell>
          <cell r="AK1667">
            <v>0.1</v>
          </cell>
          <cell r="AL1667">
            <v>1100000</v>
          </cell>
          <cell r="AM1667">
            <v>44546</v>
          </cell>
          <cell r="AN1667" t="str">
            <v>Yes</v>
          </cell>
          <cell r="AO1667">
            <v>0.9</v>
          </cell>
          <cell r="AP1667">
            <v>9900000</v>
          </cell>
          <cell r="AQ1667">
            <v>44650</v>
          </cell>
          <cell r="AR1667">
            <v>44650</v>
          </cell>
          <cell r="AS1667">
            <v>0</v>
          </cell>
          <cell r="AT1667">
            <v>0</v>
          </cell>
          <cell r="AX1667" t="str">
            <v>Yes</v>
          </cell>
          <cell r="AZ1667" t="str">
            <v>Y</v>
          </cell>
          <cell r="BA1667" t="str">
            <v>Yes</v>
          </cell>
        </row>
        <row r="1668">
          <cell r="B1668">
            <v>1518</v>
          </cell>
          <cell r="C1668" t="str">
            <v>C49SZX20210215MZ</v>
          </cell>
          <cell r="D1668" t="str">
            <v>魔乐视</v>
          </cell>
          <cell r="E1668" t="str">
            <v>YSM20R-2</v>
          </cell>
          <cell r="I1668" t="str">
            <v>L-&gt;R</v>
          </cell>
          <cell r="J1668" t="str">
            <v>No</v>
          </cell>
          <cell r="K1668">
            <v>1</v>
          </cell>
          <cell r="N1668">
            <v>44843</v>
          </cell>
          <cell r="O1668">
            <v>11116803</v>
          </cell>
          <cell r="P1668">
            <v>14500000</v>
          </cell>
          <cell r="Q1668">
            <v>44834</v>
          </cell>
          <cell r="R1668" t="str">
            <v>No</v>
          </cell>
          <cell r="S1668" t="str">
            <v>C49</v>
          </cell>
          <cell r="T1668" t="str">
            <v>SOUTH</v>
          </cell>
          <cell r="U1668" t="str">
            <v>深圳</v>
          </cell>
          <cell r="V1668" t="str">
            <v>SZ 深圳</v>
          </cell>
          <cell r="W1668" t="str">
            <v>MZ</v>
          </cell>
          <cell r="X1668" t="str">
            <v>JPY</v>
          </cell>
          <cell r="Y1668">
            <v>14500000</v>
          </cell>
          <cell r="Z1668">
            <v>1</v>
          </cell>
          <cell r="AA1668">
            <v>14500000</v>
          </cell>
          <cell r="AB1668">
            <v>7.0000000000000007E-2</v>
          </cell>
          <cell r="AC1668">
            <v>1015000.0000000001</v>
          </cell>
          <cell r="AD1668">
            <v>121800.00000000001</v>
          </cell>
          <cell r="AE1668">
            <v>0.12</v>
          </cell>
          <cell r="AF1668">
            <v>44540</v>
          </cell>
          <cell r="AG1668" t="str">
            <v>DAP SZ</v>
          </cell>
          <cell r="AK1668" t="str">
            <v>Agree</v>
          </cell>
          <cell r="AL1668">
            <v>2550000</v>
          </cell>
          <cell r="AM1668">
            <v>44546</v>
          </cell>
          <cell r="AN1668" t="str">
            <v>Yes</v>
          </cell>
          <cell r="AO1668">
            <v>0.9</v>
          </cell>
          <cell r="AP1668">
            <v>13050000</v>
          </cell>
          <cell r="AQ1668">
            <v>44837</v>
          </cell>
          <cell r="AR1668">
            <v>44837</v>
          </cell>
          <cell r="AS1668">
            <v>0</v>
          </cell>
          <cell r="AT1668">
            <v>0</v>
          </cell>
          <cell r="AX1668" t="str">
            <v>Yes</v>
          </cell>
          <cell r="AZ1668" t="str">
            <v>Y</v>
          </cell>
          <cell r="BA1668" t="str">
            <v>Yes</v>
          </cell>
        </row>
        <row r="1669">
          <cell r="B1669">
            <v>1519</v>
          </cell>
          <cell r="C1669" t="str">
            <v>C49SZX20210215MZ</v>
          </cell>
          <cell r="D1669" t="str">
            <v>魔乐视</v>
          </cell>
          <cell r="E1669" t="str">
            <v>YSM20R-2</v>
          </cell>
          <cell r="I1669" t="str">
            <v>L-&gt;R</v>
          </cell>
          <cell r="J1669" t="str">
            <v>No</v>
          </cell>
          <cell r="K1669">
            <v>1</v>
          </cell>
          <cell r="N1669">
            <v>44843</v>
          </cell>
          <cell r="O1669">
            <v>11116803</v>
          </cell>
          <cell r="P1669">
            <v>14500000</v>
          </cell>
          <cell r="Q1669">
            <v>44834</v>
          </cell>
          <cell r="R1669" t="str">
            <v>No</v>
          </cell>
          <cell r="S1669" t="str">
            <v>C49</v>
          </cell>
          <cell r="T1669" t="str">
            <v>SOUTH</v>
          </cell>
          <cell r="U1669" t="str">
            <v>深圳</v>
          </cell>
          <cell r="V1669" t="str">
            <v>SZ 深圳</v>
          </cell>
          <cell r="W1669" t="str">
            <v>MZ</v>
          </cell>
          <cell r="X1669" t="str">
            <v>JPY</v>
          </cell>
          <cell r="Y1669">
            <v>14500000</v>
          </cell>
          <cell r="Z1669">
            <v>1</v>
          </cell>
          <cell r="AA1669">
            <v>14500000</v>
          </cell>
          <cell r="AB1669">
            <v>7.0000000000000007E-2</v>
          </cell>
          <cell r="AC1669">
            <v>1015000.0000000001</v>
          </cell>
          <cell r="AD1669">
            <v>121800.00000000001</v>
          </cell>
          <cell r="AE1669">
            <v>0.12</v>
          </cell>
          <cell r="AF1669">
            <v>44540</v>
          </cell>
          <cell r="AG1669" t="str">
            <v>DAP SZ</v>
          </cell>
          <cell r="AK1669"/>
          <cell r="AL1669"/>
          <cell r="AM1669">
            <v>44546</v>
          </cell>
          <cell r="AN1669" t="str">
            <v>Yes</v>
          </cell>
          <cell r="AO1669">
            <v>0.9</v>
          </cell>
          <cell r="AP1669">
            <v>13050000</v>
          </cell>
          <cell r="AQ1669">
            <v>44837</v>
          </cell>
          <cell r="AR1669">
            <v>44837</v>
          </cell>
          <cell r="AS1669">
            <v>0</v>
          </cell>
          <cell r="AT1669">
            <v>0</v>
          </cell>
          <cell r="AX1669" t="str">
            <v>Yes</v>
          </cell>
          <cell r="AZ1669" t="str">
            <v>Y</v>
          </cell>
          <cell r="BA1669" t="str">
            <v>Yes</v>
          </cell>
        </row>
        <row r="1670">
          <cell r="B1670">
            <v>1520</v>
          </cell>
          <cell r="C1670" t="str">
            <v>C49SZX20210215MZ</v>
          </cell>
          <cell r="D1670" t="str">
            <v>魔乐视</v>
          </cell>
          <cell r="E1670" t="str">
            <v>YSM10</v>
          </cell>
          <cell r="I1670" t="str">
            <v>L-&gt;R</v>
          </cell>
          <cell r="J1670" t="str">
            <v>MVC+ATS15</v>
          </cell>
          <cell r="K1670">
            <v>1</v>
          </cell>
          <cell r="N1670">
            <v>44843</v>
          </cell>
          <cell r="O1670">
            <v>11116803</v>
          </cell>
          <cell r="P1670">
            <v>11000000</v>
          </cell>
          <cell r="Q1670">
            <v>44834</v>
          </cell>
          <cell r="R1670" t="str">
            <v>No</v>
          </cell>
          <cell r="S1670" t="str">
            <v>C49</v>
          </cell>
          <cell r="T1670" t="str">
            <v>SOUTH</v>
          </cell>
          <cell r="U1670" t="str">
            <v>深圳</v>
          </cell>
          <cell r="V1670" t="str">
            <v>SZ 深圳</v>
          </cell>
          <cell r="W1670" t="str">
            <v>MZ</v>
          </cell>
          <cell r="X1670" t="str">
            <v>JPY</v>
          </cell>
          <cell r="Y1670">
            <v>11000000</v>
          </cell>
          <cell r="Z1670">
            <v>1</v>
          </cell>
          <cell r="AA1670">
            <v>11000000</v>
          </cell>
          <cell r="AB1670">
            <v>7.0000000000000007E-2</v>
          </cell>
          <cell r="AC1670">
            <v>770000.00000000012</v>
          </cell>
          <cell r="AD1670">
            <v>92400.000000000015</v>
          </cell>
          <cell r="AE1670">
            <v>0.12</v>
          </cell>
          <cell r="AF1670">
            <v>44540</v>
          </cell>
          <cell r="AG1670" t="str">
            <v>DAP SZ</v>
          </cell>
          <cell r="AK1670"/>
          <cell r="AL1670"/>
          <cell r="AM1670">
            <v>44546</v>
          </cell>
          <cell r="AN1670" t="str">
            <v>Yes</v>
          </cell>
          <cell r="AO1670">
            <v>0.9</v>
          </cell>
          <cell r="AP1670">
            <v>9900000</v>
          </cell>
          <cell r="AQ1670">
            <v>44837</v>
          </cell>
          <cell r="AR1670">
            <v>44837</v>
          </cell>
          <cell r="AS1670">
            <v>0</v>
          </cell>
          <cell r="AT1670">
            <v>0</v>
          </cell>
          <cell r="AX1670" t="str">
            <v>Yes</v>
          </cell>
          <cell r="AZ1670" t="str">
            <v>Y</v>
          </cell>
          <cell r="BA1670" t="str">
            <v>Yes</v>
          </cell>
        </row>
        <row r="1671">
          <cell r="B1671">
            <v>1521</v>
          </cell>
          <cell r="C1671" t="str">
            <v>C49SZX20210215MZ</v>
          </cell>
          <cell r="D1671" t="str">
            <v>魔乐视</v>
          </cell>
          <cell r="E1671" t="str">
            <v>YSM10</v>
          </cell>
          <cell r="I1671" t="str">
            <v>L-&gt;R</v>
          </cell>
          <cell r="J1671" t="str">
            <v>MVC+ATS15</v>
          </cell>
          <cell r="K1671">
            <v>1</v>
          </cell>
          <cell r="N1671">
            <v>44843</v>
          </cell>
          <cell r="O1671">
            <v>11116803</v>
          </cell>
          <cell r="P1671">
            <v>11000000</v>
          </cell>
          <cell r="Q1671">
            <v>44834</v>
          </cell>
          <cell r="R1671" t="str">
            <v>No</v>
          </cell>
          <cell r="S1671" t="str">
            <v>C49</v>
          </cell>
          <cell r="T1671" t="str">
            <v>SOUTH</v>
          </cell>
          <cell r="U1671" t="str">
            <v>深圳</v>
          </cell>
          <cell r="V1671" t="str">
            <v>SZ 深圳</v>
          </cell>
          <cell r="W1671" t="str">
            <v>MZ</v>
          </cell>
          <cell r="X1671" t="str">
            <v>JPY</v>
          </cell>
          <cell r="Y1671">
            <v>11000000</v>
          </cell>
          <cell r="Z1671">
            <v>1</v>
          </cell>
          <cell r="AA1671">
            <v>11000000</v>
          </cell>
          <cell r="AB1671">
            <v>7.0000000000000007E-2</v>
          </cell>
          <cell r="AC1671">
            <v>770000.00000000012</v>
          </cell>
          <cell r="AD1671">
            <v>92400.000000000015</v>
          </cell>
          <cell r="AE1671">
            <v>0.12</v>
          </cell>
          <cell r="AF1671">
            <v>44540</v>
          </cell>
          <cell r="AG1671" t="str">
            <v>DAP SZ</v>
          </cell>
          <cell r="AK1671"/>
          <cell r="AL1671"/>
          <cell r="AM1671">
            <v>44546</v>
          </cell>
          <cell r="AN1671" t="str">
            <v>Yes</v>
          </cell>
          <cell r="AO1671">
            <v>0.9</v>
          </cell>
          <cell r="AP1671">
            <v>9900000</v>
          </cell>
          <cell r="AQ1671">
            <v>44837</v>
          </cell>
          <cell r="AR1671">
            <v>44837</v>
          </cell>
          <cell r="AS1671">
            <v>0</v>
          </cell>
          <cell r="AT1671">
            <v>0</v>
          </cell>
          <cell r="AX1671" t="str">
            <v>Yes</v>
          </cell>
          <cell r="AZ1671" t="str">
            <v>Y</v>
          </cell>
          <cell r="BA1671" t="str">
            <v>Yes</v>
          </cell>
        </row>
        <row r="1672">
          <cell r="B1672">
            <v>1522</v>
          </cell>
          <cell r="C1672" t="str">
            <v>C28SZX20210215SX</v>
          </cell>
          <cell r="D1672" t="str">
            <v>晨鑫达</v>
          </cell>
          <cell r="E1672" t="str">
            <v>Heller 1936MK7</v>
          </cell>
          <cell r="I1672" t="str">
            <v>L-&gt;R</v>
          </cell>
          <cell r="J1672" t="str">
            <v>No</v>
          </cell>
          <cell r="K1672">
            <v>1</v>
          </cell>
          <cell r="N1672">
            <v>44645</v>
          </cell>
          <cell r="O1672">
            <v>11100519</v>
          </cell>
          <cell r="P1672">
            <v>406243</v>
          </cell>
          <cell r="Q1672">
            <v>44620</v>
          </cell>
          <cell r="R1672" t="str">
            <v>No</v>
          </cell>
          <cell r="S1672" t="str">
            <v>C49</v>
          </cell>
          <cell r="T1672" t="str">
            <v>SOUTH</v>
          </cell>
          <cell r="U1672" t="str">
            <v>深圳</v>
          </cell>
          <cell r="V1672" t="str">
            <v>SZ 深圳</v>
          </cell>
          <cell r="W1672" t="str">
            <v>SX</v>
          </cell>
          <cell r="X1672" t="str">
            <v>RMB</v>
          </cell>
          <cell r="Y1672">
            <v>406243</v>
          </cell>
          <cell r="Z1672">
            <v>1.1299999999999999</v>
          </cell>
          <cell r="AA1672">
            <v>406243</v>
          </cell>
          <cell r="AB1672">
            <v>1.2150000000000001</v>
          </cell>
          <cell r="AC1672">
            <v>436801.10176991159</v>
          </cell>
          <cell r="AD1672">
            <v>52416.132212389391</v>
          </cell>
          <cell r="AE1672">
            <v>0.12</v>
          </cell>
          <cell r="AF1672">
            <v>44543</v>
          </cell>
          <cell r="AG1672" t="str">
            <v>DDP SZ</v>
          </cell>
          <cell r="AK1672">
            <v>0.3</v>
          </cell>
          <cell r="AL1672">
            <v>121872.9</v>
          </cell>
          <cell r="AM1672">
            <v>44546</v>
          </cell>
          <cell r="AN1672" t="str">
            <v>Yes</v>
          </cell>
          <cell r="AO1672">
            <v>0.7</v>
          </cell>
          <cell r="AP1672">
            <v>284370.09999999998</v>
          </cell>
          <cell r="AQ1672">
            <v>44601</v>
          </cell>
          <cell r="AR1672">
            <v>44601</v>
          </cell>
          <cell r="AS1672">
            <v>0</v>
          </cell>
          <cell r="AT1672">
            <v>0</v>
          </cell>
          <cell r="AX1672" t="str">
            <v>Yes</v>
          </cell>
          <cell r="AZ1672" t="str">
            <v>Y</v>
          </cell>
          <cell r="BA1672" t="str">
            <v>Yes</v>
          </cell>
        </row>
        <row r="1673">
          <cell r="B1673">
            <v>1523</v>
          </cell>
          <cell r="C1673" t="str">
            <v>C49SZX20210220SX</v>
          </cell>
          <cell r="D1673" t="str">
            <v>赛美达</v>
          </cell>
          <cell r="E1673" t="str">
            <v>YSM20R-2</v>
          </cell>
          <cell r="I1673" t="str">
            <v>L-&gt;R</v>
          </cell>
          <cell r="J1673" t="str">
            <v>No</v>
          </cell>
          <cell r="K1673">
            <v>1</v>
          </cell>
          <cell r="N1673">
            <v>44776</v>
          </cell>
          <cell r="O1673">
            <v>11116784</v>
          </cell>
          <cell r="P1673">
            <v>15000000</v>
          </cell>
          <cell r="Q1673">
            <v>44770</v>
          </cell>
          <cell r="R1673" t="str">
            <v>No</v>
          </cell>
          <cell r="S1673" t="str">
            <v>C49</v>
          </cell>
          <cell r="T1673" t="str">
            <v>SOUTH</v>
          </cell>
          <cell r="U1673" t="str">
            <v>深圳</v>
          </cell>
          <cell r="V1673" t="str">
            <v>SZ 深圳</v>
          </cell>
          <cell r="W1673" t="str">
            <v>SX</v>
          </cell>
          <cell r="X1673" t="str">
            <v>JPY</v>
          </cell>
          <cell r="Y1673">
            <v>15000000</v>
          </cell>
          <cell r="Z1673">
            <v>1</v>
          </cell>
          <cell r="AA1673">
            <v>15000000</v>
          </cell>
          <cell r="AB1673">
            <v>7.0000000000000007E-2</v>
          </cell>
          <cell r="AC1673">
            <v>1050000</v>
          </cell>
          <cell r="AD1673">
            <v>126000</v>
          </cell>
          <cell r="AE1673">
            <v>0.12</v>
          </cell>
          <cell r="AF1673">
            <v>44547</v>
          </cell>
          <cell r="AG1673" t="str">
            <v>DAP SZ</v>
          </cell>
          <cell r="AK1673">
            <v>0.2</v>
          </cell>
          <cell r="AL1673">
            <v>3000000</v>
          </cell>
          <cell r="AM1673">
            <v>44560</v>
          </cell>
          <cell r="AN1673" t="str">
            <v>Yes</v>
          </cell>
          <cell r="AO1673">
            <v>0.8</v>
          </cell>
          <cell r="AP1673">
            <v>12000000</v>
          </cell>
          <cell r="AQ1673">
            <v>44769</v>
          </cell>
          <cell r="AR1673">
            <v>44769</v>
          </cell>
          <cell r="AS1673">
            <v>0</v>
          </cell>
          <cell r="AT1673">
            <v>0</v>
          </cell>
          <cell r="AX1673" t="str">
            <v>Yes</v>
          </cell>
          <cell r="AZ1673" t="str">
            <v>Y</v>
          </cell>
          <cell r="BA1673" t="str">
            <v>Yes</v>
          </cell>
        </row>
        <row r="1674">
          <cell r="B1674">
            <v>1524</v>
          </cell>
          <cell r="C1674" t="str">
            <v>C49SZX20210220SX</v>
          </cell>
          <cell r="D1674" t="str">
            <v>赛美达</v>
          </cell>
          <cell r="E1674" t="str">
            <v>YSM10</v>
          </cell>
          <cell r="I1674" t="str">
            <v>R-&gt;L</v>
          </cell>
          <cell r="J1674" t="str">
            <v>MVC</v>
          </cell>
          <cell r="K1674">
            <v>1</v>
          </cell>
          <cell r="N1674">
            <v>44776</v>
          </cell>
          <cell r="O1674">
            <v>11116784</v>
          </cell>
          <cell r="P1674">
            <v>9500000</v>
          </cell>
          <cell r="Q1674">
            <v>44770</v>
          </cell>
          <cell r="R1674" t="str">
            <v>No</v>
          </cell>
          <cell r="S1674" t="str">
            <v>C49</v>
          </cell>
          <cell r="T1674" t="str">
            <v>SOUTH</v>
          </cell>
          <cell r="U1674" t="str">
            <v>深圳</v>
          </cell>
          <cell r="V1674" t="str">
            <v>SZ 深圳</v>
          </cell>
          <cell r="W1674" t="str">
            <v>SX</v>
          </cell>
          <cell r="X1674" t="str">
            <v>JPY</v>
          </cell>
          <cell r="Y1674">
            <v>9500000</v>
          </cell>
          <cell r="Z1674">
            <v>1</v>
          </cell>
          <cell r="AA1674">
            <v>9500000</v>
          </cell>
          <cell r="AB1674">
            <v>7.0000000000000007E-2</v>
          </cell>
          <cell r="AC1674">
            <v>665000.00000000012</v>
          </cell>
          <cell r="AD1674">
            <v>79800.000000000015</v>
          </cell>
          <cell r="AE1674">
            <v>0.12</v>
          </cell>
          <cell r="AF1674">
            <v>44547</v>
          </cell>
          <cell r="AG1674" t="str">
            <v>DAP SZ</v>
          </cell>
          <cell r="AK1674">
            <v>0.2</v>
          </cell>
          <cell r="AL1674">
            <v>1900000</v>
          </cell>
          <cell r="AM1674">
            <v>44560</v>
          </cell>
          <cell r="AN1674" t="str">
            <v>Yes</v>
          </cell>
          <cell r="AO1674">
            <v>0.8</v>
          </cell>
          <cell r="AP1674">
            <v>7600000</v>
          </cell>
          <cell r="AQ1674">
            <v>44769</v>
          </cell>
          <cell r="AR1674">
            <v>44769</v>
          </cell>
          <cell r="AS1674">
            <v>0</v>
          </cell>
          <cell r="AT1674">
            <v>0</v>
          </cell>
          <cell r="AX1674" t="str">
            <v>Yes</v>
          </cell>
          <cell r="AZ1674" t="str">
            <v>Y</v>
          </cell>
          <cell r="BA1674" t="str">
            <v>Yes</v>
          </cell>
        </row>
        <row r="1675">
          <cell r="B1675">
            <v>1525</v>
          </cell>
          <cell r="C1675" t="str">
            <v>C49SZX20220030SS</v>
          </cell>
          <cell r="D1675" t="str">
            <v>微克（end user：蓝极光）</v>
          </cell>
          <cell r="E1675" t="str">
            <v>YSM20R-2</v>
          </cell>
          <cell r="I1675" t="str">
            <v>L-&gt;R</v>
          </cell>
          <cell r="J1675" t="str">
            <v>No</v>
          </cell>
          <cell r="K1675">
            <v>1</v>
          </cell>
          <cell r="N1675">
            <v>44712</v>
          </cell>
          <cell r="O1675">
            <v>11116760</v>
          </cell>
          <cell r="P1675">
            <v>13220000</v>
          </cell>
          <cell r="Q1675">
            <v>44708</v>
          </cell>
          <cell r="R1675" t="str">
            <v>Yes</v>
          </cell>
          <cell r="S1675" t="str">
            <v>C49</v>
          </cell>
          <cell r="T1675" t="str">
            <v>SOUTH</v>
          </cell>
          <cell r="U1675" t="str">
            <v>深圳</v>
          </cell>
          <cell r="V1675" t="str">
            <v>SZ 深圳</v>
          </cell>
          <cell r="W1675" t="str">
            <v>SS</v>
          </cell>
          <cell r="X1675" t="str">
            <v>JPY</v>
          </cell>
          <cell r="Y1675">
            <v>13220000</v>
          </cell>
          <cell r="Z1675">
            <v>1</v>
          </cell>
          <cell r="AA1675">
            <v>13220000</v>
          </cell>
          <cell r="AB1675">
            <v>7.0000000000000007E-2</v>
          </cell>
          <cell r="AC1675">
            <v>910000.00000000012</v>
          </cell>
          <cell r="AD1675">
            <v>109200.00000000001</v>
          </cell>
          <cell r="AE1675">
            <v>0.12</v>
          </cell>
          <cell r="AF1675">
            <v>44551</v>
          </cell>
          <cell r="AG1675" t="str">
            <v>DAP SZ</v>
          </cell>
          <cell r="AI1675">
            <v>50000</v>
          </cell>
          <cell r="AJ1675">
            <v>44566</v>
          </cell>
          <cell r="AK1675">
            <v>0.1</v>
          </cell>
          <cell r="AL1675">
            <v>1322000</v>
          </cell>
          <cell r="AM1675">
            <v>44658</v>
          </cell>
          <cell r="AN1675" t="str">
            <v>Yes</v>
          </cell>
          <cell r="AO1675">
            <v>0.9</v>
          </cell>
          <cell r="AP1675">
            <v>11700000</v>
          </cell>
          <cell r="AQ1675">
            <v>44692</v>
          </cell>
          <cell r="AR1675">
            <v>44692</v>
          </cell>
          <cell r="AS1675">
            <v>0</v>
          </cell>
          <cell r="AT1675">
            <v>0</v>
          </cell>
          <cell r="AX1675" t="str">
            <v>Yes</v>
          </cell>
          <cell r="AZ1675" t="str">
            <v>Y</v>
          </cell>
          <cell r="BA1675" t="str">
            <v>Yes</v>
          </cell>
        </row>
        <row r="1676">
          <cell r="B1676">
            <v>1526</v>
          </cell>
          <cell r="C1676" t="str">
            <v>C49SZX20220030SS</v>
          </cell>
          <cell r="D1676" t="str">
            <v>微克（end user：蓝极光）</v>
          </cell>
          <cell r="E1676" t="str">
            <v>YSM20R-2</v>
          </cell>
          <cell r="I1676" t="str">
            <v>L-&gt;R</v>
          </cell>
          <cell r="J1676" t="str">
            <v>No</v>
          </cell>
          <cell r="K1676">
            <v>1</v>
          </cell>
          <cell r="N1676">
            <v>44712</v>
          </cell>
          <cell r="O1676">
            <v>11116760</v>
          </cell>
          <cell r="P1676">
            <v>13220000</v>
          </cell>
          <cell r="Q1676">
            <v>44708</v>
          </cell>
          <cell r="R1676" t="str">
            <v>Yes</v>
          </cell>
          <cell r="S1676" t="str">
            <v>C49</v>
          </cell>
          <cell r="T1676" t="str">
            <v>SOUTH</v>
          </cell>
          <cell r="U1676" t="str">
            <v>深圳</v>
          </cell>
          <cell r="V1676" t="str">
            <v>SZ 深圳</v>
          </cell>
          <cell r="W1676" t="str">
            <v>SS</v>
          </cell>
          <cell r="X1676" t="str">
            <v>JPY</v>
          </cell>
          <cell r="Y1676">
            <v>13220000</v>
          </cell>
          <cell r="Z1676">
            <v>1</v>
          </cell>
          <cell r="AA1676">
            <v>13220000</v>
          </cell>
          <cell r="AB1676">
            <v>7.0000000000000007E-2</v>
          </cell>
          <cell r="AC1676">
            <v>910000.00000000012</v>
          </cell>
          <cell r="AD1676">
            <v>109200.00000000001</v>
          </cell>
          <cell r="AE1676">
            <v>0.12</v>
          </cell>
          <cell r="AF1676">
            <v>44551</v>
          </cell>
          <cell r="AG1676" t="str">
            <v>DAP SZ</v>
          </cell>
          <cell r="AI1676"/>
          <cell r="AJ1676"/>
          <cell r="AK1676">
            <v>0.1</v>
          </cell>
          <cell r="AL1676">
            <v>1322000</v>
          </cell>
          <cell r="AM1676">
            <v>44658</v>
          </cell>
          <cell r="AN1676" t="str">
            <v>Yes</v>
          </cell>
          <cell r="AO1676">
            <v>0.9</v>
          </cell>
          <cell r="AP1676">
            <v>11700000</v>
          </cell>
          <cell r="AQ1676">
            <v>44692</v>
          </cell>
          <cell r="AR1676">
            <v>44692</v>
          </cell>
          <cell r="AS1676">
            <v>0</v>
          </cell>
          <cell r="AT1676">
            <v>0</v>
          </cell>
          <cell r="AX1676" t="str">
            <v>Yes</v>
          </cell>
          <cell r="AZ1676" t="str">
            <v>Y</v>
          </cell>
          <cell r="BA1676" t="str">
            <v>Yes</v>
          </cell>
        </row>
        <row r="1677">
          <cell r="B1677">
            <v>1527</v>
          </cell>
          <cell r="C1677" t="str">
            <v>C49SZX20220030SS</v>
          </cell>
          <cell r="D1677" t="str">
            <v>微克（end user：蓝极光）</v>
          </cell>
          <cell r="E1677" t="str">
            <v>YSM20R-2</v>
          </cell>
          <cell r="I1677" t="str">
            <v>L-&gt;R</v>
          </cell>
          <cell r="J1677" t="str">
            <v>No</v>
          </cell>
          <cell r="K1677">
            <v>1</v>
          </cell>
          <cell r="N1677">
            <v>44712</v>
          </cell>
          <cell r="O1677">
            <v>11116760</v>
          </cell>
          <cell r="P1677">
            <v>13220000</v>
          </cell>
          <cell r="Q1677">
            <v>44708</v>
          </cell>
          <cell r="R1677" t="str">
            <v>Yes</v>
          </cell>
          <cell r="S1677" t="str">
            <v>C49</v>
          </cell>
          <cell r="T1677" t="str">
            <v>SOUTH</v>
          </cell>
          <cell r="U1677" t="str">
            <v>深圳</v>
          </cell>
          <cell r="V1677" t="str">
            <v>SZ 深圳</v>
          </cell>
          <cell r="W1677" t="str">
            <v>SS</v>
          </cell>
          <cell r="X1677" t="str">
            <v>JPY</v>
          </cell>
          <cell r="Y1677">
            <v>13220000</v>
          </cell>
          <cell r="Z1677">
            <v>1</v>
          </cell>
          <cell r="AA1677">
            <v>13220000</v>
          </cell>
          <cell r="AB1677">
            <v>7.0000000000000007E-2</v>
          </cell>
          <cell r="AC1677">
            <v>925400.00000000012</v>
          </cell>
          <cell r="AD1677">
            <v>111048.00000000001</v>
          </cell>
          <cell r="AE1677">
            <v>0.12</v>
          </cell>
          <cell r="AF1677">
            <v>44551</v>
          </cell>
          <cell r="AG1677" t="str">
            <v>DAP SZ</v>
          </cell>
          <cell r="AI1677"/>
          <cell r="AJ1677"/>
          <cell r="AK1677">
            <v>0.1</v>
          </cell>
          <cell r="AL1677">
            <v>1322000</v>
          </cell>
          <cell r="AM1677">
            <v>44658</v>
          </cell>
          <cell r="AN1677" t="str">
            <v>Yes</v>
          </cell>
          <cell r="AO1677">
            <v>0.9</v>
          </cell>
          <cell r="AP1677">
            <v>11898000</v>
          </cell>
          <cell r="AQ1677">
            <v>44692</v>
          </cell>
          <cell r="AR1677">
            <v>44692</v>
          </cell>
          <cell r="AS1677">
            <v>0</v>
          </cell>
          <cell r="AT1677">
            <v>0</v>
          </cell>
          <cell r="AX1677" t="str">
            <v>Yes</v>
          </cell>
          <cell r="AZ1677" t="str">
            <v>Y</v>
          </cell>
          <cell r="BA1677" t="str">
            <v>Yes</v>
          </cell>
        </row>
        <row r="1678">
          <cell r="B1678">
            <v>1528</v>
          </cell>
          <cell r="C1678" t="str">
            <v>C49SZX20220030SS</v>
          </cell>
          <cell r="D1678" t="str">
            <v>微克（end user：蓝极光）</v>
          </cell>
          <cell r="E1678" t="str">
            <v>YSM20R-2</v>
          </cell>
          <cell r="I1678" t="str">
            <v>L-&gt;R</v>
          </cell>
          <cell r="J1678" t="str">
            <v>No</v>
          </cell>
          <cell r="K1678">
            <v>1</v>
          </cell>
          <cell r="N1678">
            <v>44712</v>
          </cell>
          <cell r="O1678">
            <v>11116760</v>
          </cell>
          <cell r="P1678">
            <v>13220000</v>
          </cell>
          <cell r="Q1678">
            <v>44708</v>
          </cell>
          <cell r="R1678" t="str">
            <v>Yes</v>
          </cell>
          <cell r="S1678" t="str">
            <v>C49</v>
          </cell>
          <cell r="T1678" t="str">
            <v>SOUTH</v>
          </cell>
          <cell r="U1678" t="str">
            <v>深圳</v>
          </cell>
          <cell r="V1678" t="str">
            <v>SZ 深圳</v>
          </cell>
          <cell r="W1678" t="str">
            <v>SS</v>
          </cell>
          <cell r="X1678" t="str">
            <v>JPY</v>
          </cell>
          <cell r="Y1678">
            <v>13220000</v>
          </cell>
          <cell r="Z1678">
            <v>1</v>
          </cell>
          <cell r="AA1678">
            <v>13220000</v>
          </cell>
          <cell r="AB1678">
            <v>7.0000000000000007E-2</v>
          </cell>
          <cell r="AC1678">
            <v>925400.00000000012</v>
          </cell>
          <cell r="AD1678">
            <v>111048.00000000001</v>
          </cell>
          <cell r="AE1678">
            <v>0.12</v>
          </cell>
          <cell r="AF1678">
            <v>44551</v>
          </cell>
          <cell r="AG1678" t="str">
            <v>DAP SZ</v>
          </cell>
          <cell r="AI1678"/>
          <cell r="AJ1678"/>
          <cell r="AK1678">
            <v>0.1</v>
          </cell>
          <cell r="AL1678">
            <v>1322000</v>
          </cell>
          <cell r="AM1678">
            <v>44658</v>
          </cell>
          <cell r="AN1678" t="str">
            <v>Yes</v>
          </cell>
          <cell r="AO1678">
            <v>0.9</v>
          </cell>
          <cell r="AP1678">
            <v>11898000</v>
          </cell>
          <cell r="AQ1678">
            <v>44692</v>
          </cell>
          <cell r="AR1678">
            <v>44692</v>
          </cell>
          <cell r="AS1678">
            <v>0</v>
          </cell>
          <cell r="AT1678">
            <v>0</v>
          </cell>
          <cell r="AX1678" t="str">
            <v>Yes</v>
          </cell>
          <cell r="AZ1678" t="str">
            <v>Y</v>
          </cell>
          <cell r="BA1678" t="str">
            <v>Yes</v>
          </cell>
        </row>
        <row r="1679">
          <cell r="B1679">
            <v>1529</v>
          </cell>
          <cell r="C1679" t="str">
            <v>C49SZX20210210DZ</v>
          </cell>
          <cell r="D1679" t="str">
            <v>湖南新亚胜</v>
          </cell>
          <cell r="E1679" t="str">
            <v>YSM40R-4</v>
          </cell>
          <cell r="I1679" t="str">
            <v>L-&gt;R</v>
          </cell>
          <cell r="J1679" t="str">
            <v>No</v>
          </cell>
          <cell r="K1679">
            <v>1</v>
          </cell>
          <cell r="N1679">
            <v>44629</v>
          </cell>
          <cell r="O1679">
            <v>11100520</v>
          </cell>
          <cell r="P1679">
            <v>1300000</v>
          </cell>
          <cell r="Q1679">
            <v>44642</v>
          </cell>
          <cell r="R1679" t="str">
            <v>No</v>
          </cell>
          <cell r="S1679" t="str">
            <v>C49</v>
          </cell>
          <cell r="T1679" t="str">
            <v>SOUTH</v>
          </cell>
          <cell r="U1679" t="str">
            <v>深圳</v>
          </cell>
          <cell r="V1679" t="str">
            <v>SZ 深圳</v>
          </cell>
          <cell r="W1679" t="str">
            <v>DZ</v>
          </cell>
          <cell r="X1679" t="str">
            <v>RMB</v>
          </cell>
          <cell r="Y1679">
            <v>1300000</v>
          </cell>
          <cell r="Z1679">
            <v>1.1299999999999999</v>
          </cell>
          <cell r="AA1679">
            <v>1300000</v>
          </cell>
          <cell r="AB1679">
            <v>1.2150000000000001</v>
          </cell>
          <cell r="AC1679">
            <v>1397787.6106194693</v>
          </cell>
          <cell r="AD1679">
            <v>167734.51327433632</v>
          </cell>
          <cell r="AE1679">
            <v>0.12</v>
          </cell>
          <cell r="AF1679">
            <v>44546</v>
          </cell>
          <cell r="AG1679" t="str">
            <v>DDP CS</v>
          </cell>
          <cell r="AI1679">
            <v>100000</v>
          </cell>
          <cell r="AJ1679">
            <v>44572</v>
          </cell>
          <cell r="AK1679">
            <v>0.15</v>
          </cell>
          <cell r="AL1679">
            <v>195000</v>
          </cell>
          <cell r="AM1679">
            <v>44769</v>
          </cell>
          <cell r="AN1679" t="str">
            <v>Yes</v>
          </cell>
          <cell r="AO1679">
            <v>0.75</v>
          </cell>
          <cell r="AP1679">
            <v>975000</v>
          </cell>
          <cell r="AQ1679">
            <v>44729</v>
          </cell>
          <cell r="AR1679">
            <v>44729</v>
          </cell>
          <cell r="AS1679">
            <v>0.1</v>
          </cell>
          <cell r="AT1679">
            <v>130000</v>
          </cell>
          <cell r="AU1679">
            <v>44783</v>
          </cell>
          <cell r="AV1679">
            <v>44783</v>
          </cell>
          <cell r="AX1679" t="str">
            <v>Yes</v>
          </cell>
          <cell r="AZ1679" t="str">
            <v>Y</v>
          </cell>
          <cell r="BA1679" t="str">
            <v>Yes</v>
          </cell>
          <cell r="BB1679" t="str">
            <v>银行承兑汇票，贴现日期为contract logbook登记收款日期.</v>
          </cell>
        </row>
        <row r="1680">
          <cell r="B1680">
            <v>1530</v>
          </cell>
          <cell r="C1680" t="str">
            <v>C49SZX20210210DZ</v>
          </cell>
          <cell r="D1680" t="str">
            <v>湖南新亚胜</v>
          </cell>
          <cell r="E1680" t="str">
            <v>YSM40R-4</v>
          </cell>
          <cell r="I1680" t="str">
            <v>L-&gt;R</v>
          </cell>
          <cell r="J1680" t="str">
            <v>No</v>
          </cell>
          <cell r="K1680">
            <v>1</v>
          </cell>
          <cell r="N1680">
            <v>44629</v>
          </cell>
          <cell r="O1680">
            <v>11100520</v>
          </cell>
          <cell r="P1680">
            <v>1300000</v>
          </cell>
          <cell r="Q1680">
            <v>44642</v>
          </cell>
          <cell r="R1680" t="str">
            <v>No</v>
          </cell>
          <cell r="S1680" t="str">
            <v>C49</v>
          </cell>
          <cell r="T1680" t="str">
            <v>SOUTH</v>
          </cell>
          <cell r="U1680" t="str">
            <v>深圳</v>
          </cell>
          <cell r="V1680" t="str">
            <v>SZ 深圳</v>
          </cell>
          <cell r="W1680" t="str">
            <v>DZ</v>
          </cell>
          <cell r="X1680" t="str">
            <v>RMB</v>
          </cell>
          <cell r="Y1680">
            <v>1300000</v>
          </cell>
          <cell r="Z1680">
            <v>1.1299999999999999</v>
          </cell>
          <cell r="AA1680">
            <v>1300000</v>
          </cell>
          <cell r="AB1680">
            <v>1.2150000000000001</v>
          </cell>
          <cell r="AC1680">
            <v>1397787.6106194693</v>
          </cell>
          <cell r="AD1680">
            <v>167734.51327433632</v>
          </cell>
          <cell r="AE1680">
            <v>0.12</v>
          </cell>
          <cell r="AF1680">
            <v>44546</v>
          </cell>
          <cell r="AG1680" t="str">
            <v>DDP CS</v>
          </cell>
          <cell r="AI1680"/>
          <cell r="AJ1680"/>
          <cell r="AK1680">
            <v>0.15</v>
          </cell>
          <cell r="AL1680">
            <v>195000</v>
          </cell>
          <cell r="AM1680">
            <v>44769</v>
          </cell>
          <cell r="AN1680" t="str">
            <v>Yes</v>
          </cell>
          <cell r="AO1680">
            <v>0.75</v>
          </cell>
          <cell r="AP1680">
            <v>975000</v>
          </cell>
          <cell r="AQ1680">
            <v>44729</v>
          </cell>
          <cell r="AR1680">
            <v>44729</v>
          </cell>
          <cell r="AS1680">
            <v>0.1</v>
          </cell>
          <cell r="AT1680">
            <v>130000</v>
          </cell>
          <cell r="AU1680">
            <v>44783</v>
          </cell>
          <cell r="AV1680">
            <v>44783</v>
          </cell>
          <cell r="AX1680" t="str">
            <v>Yes</v>
          </cell>
          <cell r="AZ1680" t="str">
            <v>Y</v>
          </cell>
          <cell r="BA1680" t="str">
            <v>Yes</v>
          </cell>
          <cell r="BB1680" t="str">
            <v>银行承兑汇票，贴现日期为contract logbook登记收款日期.</v>
          </cell>
        </row>
        <row r="1681">
          <cell r="B1681">
            <v>1531</v>
          </cell>
          <cell r="C1681" t="str">
            <v>C49SZX20210223MZR1</v>
          </cell>
          <cell r="D1681" t="str">
            <v>东莞鸿楠</v>
          </cell>
          <cell r="E1681" t="str">
            <v>YSM20R-2</v>
          </cell>
          <cell r="I1681" t="str">
            <v>R-&gt;L</v>
          </cell>
          <cell r="J1681" t="str">
            <v>No</v>
          </cell>
          <cell r="K1681">
            <v>1</v>
          </cell>
          <cell r="N1681">
            <v>44613</v>
          </cell>
          <cell r="O1681">
            <v>11116699</v>
          </cell>
          <cell r="P1681">
            <v>14250000</v>
          </cell>
          <cell r="Q1681">
            <v>44610</v>
          </cell>
          <cell r="R1681" t="str">
            <v>Yes</v>
          </cell>
          <cell r="S1681" t="str">
            <v>C49</v>
          </cell>
          <cell r="T1681" t="str">
            <v>SOUTH</v>
          </cell>
          <cell r="U1681" t="str">
            <v>深圳</v>
          </cell>
          <cell r="V1681" t="str">
            <v>SZ 深圳</v>
          </cell>
          <cell r="W1681" t="str">
            <v>MZ</v>
          </cell>
          <cell r="X1681" t="str">
            <v>JPY</v>
          </cell>
          <cell r="Y1681">
            <v>15100000</v>
          </cell>
          <cell r="Z1681">
            <v>1</v>
          </cell>
          <cell r="AA1681">
            <v>15100000</v>
          </cell>
          <cell r="AB1681">
            <v>7.0000000000000007E-2</v>
          </cell>
          <cell r="AC1681">
            <v>1057000</v>
          </cell>
          <cell r="AD1681">
            <v>126840</v>
          </cell>
          <cell r="AE1681">
            <v>0.12</v>
          </cell>
          <cell r="AF1681">
            <v>45120</v>
          </cell>
          <cell r="AG1681" t="str">
            <v>CIF  HK</v>
          </cell>
          <cell r="AK1681">
            <v>0.1</v>
          </cell>
          <cell r="AL1681">
            <v>1510000</v>
          </cell>
          <cell r="AM1681">
            <v>44571</v>
          </cell>
          <cell r="AN1681" t="str">
            <v>Yes</v>
          </cell>
          <cell r="AO1681">
            <v>0.9</v>
          </cell>
          <cell r="AP1681">
            <v>13590000</v>
          </cell>
          <cell r="AQ1681">
            <v>44608</v>
          </cell>
          <cell r="AR1681">
            <v>44608</v>
          </cell>
          <cell r="AS1681">
            <v>0</v>
          </cell>
          <cell r="AT1681">
            <v>0</v>
          </cell>
          <cell r="AX1681" t="str">
            <v>Yes</v>
          </cell>
          <cell r="AZ1681" t="str">
            <v>Y</v>
          </cell>
          <cell r="BA1681" t="str">
            <v>Yes</v>
          </cell>
        </row>
        <row r="1682">
          <cell r="B1682">
            <v>1532</v>
          </cell>
          <cell r="C1682" t="str">
            <v>C49SZX20230088MZ</v>
          </cell>
          <cell r="D1682" t="str">
            <v>东莞鸿楠</v>
          </cell>
          <cell r="E1682" t="str">
            <v>YSM20R-2</v>
          </cell>
          <cell r="I1682" t="str">
            <v>R-&gt;L</v>
          </cell>
          <cell r="J1682" t="str">
            <v>No</v>
          </cell>
          <cell r="K1682">
            <v>1</v>
          </cell>
          <cell r="O1682">
            <v>11116842</v>
          </cell>
          <cell r="P1682">
            <v>14000000</v>
          </cell>
          <cell r="Q1682">
            <v>45135</v>
          </cell>
          <cell r="R1682" t="str">
            <v>Yes</v>
          </cell>
          <cell r="S1682" t="str">
            <v>C49</v>
          </cell>
          <cell r="T1682" t="str">
            <v>SOUTH</v>
          </cell>
          <cell r="U1682" t="str">
            <v>深圳</v>
          </cell>
          <cell r="V1682" t="str">
            <v>SZ 深圳</v>
          </cell>
          <cell r="W1682" t="str">
            <v>MZ</v>
          </cell>
          <cell r="X1682" t="str">
            <v>JPY</v>
          </cell>
          <cell r="Y1682">
            <v>14000000</v>
          </cell>
          <cell r="Z1682">
            <v>1</v>
          </cell>
          <cell r="AA1682">
            <v>14000000</v>
          </cell>
          <cell r="AB1682">
            <v>5.5199999999999999E-2</v>
          </cell>
          <cell r="AC1682">
            <v>772800</v>
          </cell>
          <cell r="AD1682">
            <v>92736</v>
          </cell>
          <cell r="AE1682">
            <v>0.12</v>
          </cell>
          <cell r="AF1682">
            <v>45127</v>
          </cell>
          <cell r="AG1682" t="str">
            <v>CIF  HK</v>
          </cell>
          <cell r="AK1682">
            <v>0.1</v>
          </cell>
          <cell r="AL1682">
            <v>1400000</v>
          </cell>
          <cell r="AM1682">
            <v>44571</v>
          </cell>
          <cell r="AN1682" t="str">
            <v>Yes</v>
          </cell>
          <cell r="AO1682">
            <v>0.9</v>
          </cell>
          <cell r="AP1682">
            <v>12600000</v>
          </cell>
          <cell r="AQ1682">
            <v>45134</v>
          </cell>
          <cell r="AR1682">
            <v>45134</v>
          </cell>
          <cell r="AS1682">
            <v>0</v>
          </cell>
          <cell r="AT1682">
            <v>0</v>
          </cell>
          <cell r="AX1682" t="str">
            <v>Yes</v>
          </cell>
          <cell r="AZ1682" t="str">
            <v>Y</v>
          </cell>
          <cell r="BA1682" t="str">
            <v>Yes</v>
          </cell>
        </row>
        <row r="1683">
          <cell r="B1683">
            <v>1533</v>
          </cell>
          <cell r="C1683" t="str">
            <v>C49SZX20230088MZ</v>
          </cell>
          <cell r="D1683" t="str">
            <v>东莞鸿楠</v>
          </cell>
          <cell r="E1683" t="str">
            <v>YSM20R-2</v>
          </cell>
          <cell r="I1683" t="str">
            <v>R-&gt;L</v>
          </cell>
          <cell r="J1683" t="str">
            <v>No</v>
          </cell>
          <cell r="K1683">
            <v>1</v>
          </cell>
          <cell r="O1683">
            <v>11116842</v>
          </cell>
          <cell r="P1683">
            <v>14000000</v>
          </cell>
          <cell r="Q1683">
            <v>45135</v>
          </cell>
          <cell r="R1683" t="str">
            <v>Yes</v>
          </cell>
          <cell r="S1683" t="str">
            <v>C49</v>
          </cell>
          <cell r="T1683" t="str">
            <v>SOUTH</v>
          </cell>
          <cell r="U1683" t="str">
            <v>深圳</v>
          </cell>
          <cell r="V1683" t="str">
            <v>SZ 深圳</v>
          </cell>
          <cell r="W1683" t="str">
            <v>MZ</v>
          </cell>
          <cell r="X1683" t="str">
            <v>JPY</v>
          </cell>
          <cell r="Y1683">
            <v>14000000</v>
          </cell>
          <cell r="Z1683">
            <v>1</v>
          </cell>
          <cell r="AA1683">
            <v>14000000</v>
          </cell>
          <cell r="AB1683">
            <v>5.5199999999999999E-2</v>
          </cell>
          <cell r="AC1683">
            <v>772800</v>
          </cell>
          <cell r="AD1683">
            <v>92736</v>
          </cell>
          <cell r="AE1683">
            <v>0.12</v>
          </cell>
          <cell r="AF1683">
            <v>45127</v>
          </cell>
          <cell r="AG1683" t="str">
            <v>CIF  HK</v>
          </cell>
          <cell r="AK1683">
            <v>0.1</v>
          </cell>
          <cell r="AL1683">
            <v>1400000</v>
          </cell>
          <cell r="AM1683">
            <v>44571</v>
          </cell>
          <cell r="AN1683" t="str">
            <v>Yes</v>
          </cell>
          <cell r="AO1683">
            <v>0.9</v>
          </cell>
          <cell r="AP1683">
            <v>12600000</v>
          </cell>
          <cell r="AQ1683">
            <v>45134</v>
          </cell>
          <cell r="AR1683">
            <v>45134</v>
          </cell>
          <cell r="AS1683">
            <v>0</v>
          </cell>
          <cell r="AT1683">
            <v>0</v>
          </cell>
          <cell r="AX1683" t="str">
            <v>Yes</v>
          </cell>
          <cell r="AZ1683" t="str">
            <v>Y</v>
          </cell>
          <cell r="BA1683" t="str">
            <v>Yes</v>
          </cell>
          <cell r="BB1683"/>
        </row>
        <row r="1684">
          <cell r="B1684">
            <v>1534</v>
          </cell>
          <cell r="C1684" t="str">
            <v>C49SZX20210223MZ</v>
          </cell>
          <cell r="D1684" t="str">
            <v>东莞鸿楠</v>
          </cell>
          <cell r="E1684" t="str">
            <v>YSM20R-2</v>
          </cell>
          <cell r="F1684"/>
          <cell r="H1684"/>
          <cell r="I1684" t="str">
            <v>R-&gt;L</v>
          </cell>
          <cell r="J1684" t="str">
            <v>No</v>
          </cell>
          <cell r="K1684">
            <v>1</v>
          </cell>
          <cell r="L1684"/>
          <cell r="N1684"/>
          <cell r="O1684"/>
          <cell r="P1684"/>
          <cell r="Q1684"/>
          <cell r="R1684" t="str">
            <v>Yes</v>
          </cell>
          <cell r="S1684" t="str">
            <v>C49</v>
          </cell>
          <cell r="T1684" t="str">
            <v>SOUTH</v>
          </cell>
          <cell r="U1684" t="str">
            <v>深圳</v>
          </cell>
          <cell r="V1684" t="str">
            <v>SZ 深圳</v>
          </cell>
          <cell r="W1684" t="str">
            <v>MZ</v>
          </cell>
          <cell r="X1684" t="str">
            <v>JPY</v>
          </cell>
          <cell r="Y1684">
            <v>14250000</v>
          </cell>
          <cell r="Z1684">
            <v>1</v>
          </cell>
          <cell r="AA1684">
            <v>14250000</v>
          </cell>
          <cell r="AB1684">
            <v>7.0000000000000007E-2</v>
          </cell>
          <cell r="AC1684">
            <v>997500.00000000012</v>
          </cell>
          <cell r="AD1684">
            <v>119700.00000000001</v>
          </cell>
          <cell r="AE1684">
            <v>0.12</v>
          </cell>
          <cell r="AF1684">
            <v>44557</v>
          </cell>
          <cell r="AG1684" t="str">
            <v>CIF  HK</v>
          </cell>
          <cell r="AI1684"/>
          <cell r="AJ1684"/>
          <cell r="AK1684">
            <v>0.1</v>
          </cell>
          <cell r="AL1684">
            <v>1425000</v>
          </cell>
          <cell r="AM1684">
            <v>44571</v>
          </cell>
          <cell r="AN1684" t="str">
            <v>Yes</v>
          </cell>
          <cell r="AO1684">
            <v>0.9</v>
          </cell>
          <cell r="AP1684">
            <v>12825000</v>
          </cell>
          <cell r="AQ1684"/>
          <cell r="AR1684"/>
          <cell r="AS1684">
            <v>0</v>
          </cell>
          <cell r="AT1684">
            <v>0</v>
          </cell>
          <cell r="AV1684"/>
          <cell r="AX1684"/>
          <cell r="AY1684"/>
          <cell r="AZ1684"/>
          <cell r="BA1684"/>
          <cell r="BB1684" t="str">
            <v>根据合同补充文件取消</v>
          </cell>
        </row>
        <row r="1685">
          <cell r="B1685">
            <v>1535</v>
          </cell>
          <cell r="C1685" t="str">
            <v>C49SZX20210223MZ</v>
          </cell>
          <cell r="D1685" t="str">
            <v>东莞鸿楠</v>
          </cell>
          <cell r="E1685" t="str">
            <v>YSM10</v>
          </cell>
          <cell r="F1685"/>
          <cell r="H1685"/>
          <cell r="I1685" t="str">
            <v>R-&gt;L</v>
          </cell>
          <cell r="J1685" t="str">
            <v>MVC</v>
          </cell>
          <cell r="K1685">
            <v>1</v>
          </cell>
          <cell r="L1685"/>
          <cell r="N1685"/>
          <cell r="O1685"/>
          <cell r="P1685"/>
          <cell r="Q1685"/>
          <cell r="R1685" t="str">
            <v>Yes</v>
          </cell>
          <cell r="S1685" t="str">
            <v>C49</v>
          </cell>
          <cell r="T1685" t="str">
            <v>SOUTH</v>
          </cell>
          <cell r="U1685" t="str">
            <v>深圳</v>
          </cell>
          <cell r="V1685" t="str">
            <v>SZ 深圳</v>
          </cell>
          <cell r="W1685" t="str">
            <v>MZ</v>
          </cell>
          <cell r="X1685" t="str">
            <v>JPY</v>
          </cell>
          <cell r="Y1685">
            <v>10000000</v>
          </cell>
          <cell r="Z1685">
            <v>1</v>
          </cell>
          <cell r="AA1685">
            <v>10000000</v>
          </cell>
          <cell r="AB1685">
            <v>7.0000000000000007E-2</v>
          </cell>
          <cell r="AC1685">
            <v>700000.00000000012</v>
          </cell>
          <cell r="AD1685">
            <v>84000.000000000015</v>
          </cell>
          <cell r="AE1685">
            <v>0.12</v>
          </cell>
          <cell r="AF1685">
            <v>44557</v>
          </cell>
          <cell r="AG1685" t="str">
            <v>CIF  HK</v>
          </cell>
          <cell r="AI1685"/>
          <cell r="AJ1685"/>
          <cell r="AK1685">
            <v>0.1</v>
          </cell>
          <cell r="AL1685">
            <v>1000000</v>
          </cell>
          <cell r="AM1685">
            <v>44571</v>
          </cell>
          <cell r="AN1685" t="str">
            <v>Yes</v>
          </cell>
          <cell r="AO1685">
            <v>0.9</v>
          </cell>
          <cell r="AP1685">
            <v>9000000</v>
          </cell>
          <cell r="AQ1685"/>
          <cell r="AR1685"/>
          <cell r="AS1685">
            <v>0</v>
          </cell>
          <cell r="AT1685">
            <v>0</v>
          </cell>
          <cell r="AV1685"/>
          <cell r="AX1685"/>
          <cell r="AY1685"/>
          <cell r="AZ1685"/>
          <cell r="BA1685"/>
          <cell r="BB1685" t="str">
            <v>根据合同补充文件取消</v>
          </cell>
        </row>
        <row r="1686">
          <cell r="B1686">
            <v>1536</v>
          </cell>
          <cell r="C1686" t="str">
            <v>C49SZX20210223MZ</v>
          </cell>
          <cell r="D1686" t="str">
            <v>东莞鸿楠</v>
          </cell>
          <cell r="E1686" t="str">
            <v>YSM10</v>
          </cell>
          <cell r="F1686"/>
          <cell r="H1686"/>
          <cell r="I1686" t="str">
            <v>R-&gt;L</v>
          </cell>
          <cell r="J1686" t="str">
            <v>MVC</v>
          </cell>
          <cell r="K1686">
            <v>1</v>
          </cell>
          <cell r="L1686"/>
          <cell r="N1686"/>
          <cell r="O1686"/>
          <cell r="P1686"/>
          <cell r="Q1686"/>
          <cell r="R1686" t="str">
            <v>Yes</v>
          </cell>
          <cell r="S1686" t="str">
            <v>C49</v>
          </cell>
          <cell r="T1686" t="str">
            <v>SOUTH</v>
          </cell>
          <cell r="U1686" t="str">
            <v>深圳</v>
          </cell>
          <cell r="V1686" t="str">
            <v>SZ 深圳</v>
          </cell>
          <cell r="W1686" t="str">
            <v>MZ</v>
          </cell>
          <cell r="X1686" t="str">
            <v>JPY</v>
          </cell>
          <cell r="Y1686">
            <v>10000000</v>
          </cell>
          <cell r="Z1686">
            <v>1</v>
          </cell>
          <cell r="AA1686">
            <v>10000000</v>
          </cell>
          <cell r="AB1686">
            <v>7.0000000000000007E-2</v>
          </cell>
          <cell r="AC1686">
            <v>700000.00000000012</v>
          </cell>
          <cell r="AD1686">
            <v>84000.000000000015</v>
          </cell>
          <cell r="AE1686">
            <v>0.12</v>
          </cell>
          <cell r="AF1686">
            <v>44557</v>
          </cell>
          <cell r="AG1686" t="str">
            <v>CIF  HK</v>
          </cell>
          <cell r="AI1686"/>
          <cell r="AJ1686"/>
          <cell r="AK1686">
            <v>0.1</v>
          </cell>
          <cell r="AL1686">
            <v>1000000</v>
          </cell>
          <cell r="AM1686">
            <v>44571</v>
          </cell>
          <cell r="AN1686" t="str">
            <v>Yes</v>
          </cell>
          <cell r="AO1686">
            <v>0.9</v>
          </cell>
          <cell r="AP1686">
            <v>9000000</v>
          </cell>
          <cell r="AQ1686"/>
          <cell r="AR1686"/>
          <cell r="AS1686">
            <v>0</v>
          </cell>
          <cell r="AT1686">
            <v>0</v>
          </cell>
          <cell r="AV1686"/>
          <cell r="AX1686"/>
          <cell r="AY1686"/>
          <cell r="AZ1686"/>
          <cell r="BA1686"/>
          <cell r="BB1686" t="str">
            <v>根据合同补充文件取消</v>
          </cell>
        </row>
        <row r="1687">
          <cell r="B1687">
            <v>1537</v>
          </cell>
          <cell r="C1687" t="str">
            <v>C49SZX20210223MZ</v>
          </cell>
          <cell r="D1687" t="str">
            <v>东莞鸿楠</v>
          </cell>
          <cell r="E1687" t="str">
            <v>YSM10</v>
          </cell>
          <cell r="F1687"/>
          <cell r="H1687"/>
          <cell r="I1687" t="str">
            <v>R-&gt;L</v>
          </cell>
          <cell r="J1687" t="str">
            <v>MVC</v>
          </cell>
          <cell r="K1687">
            <v>1</v>
          </cell>
          <cell r="L1687"/>
          <cell r="N1687"/>
          <cell r="O1687"/>
          <cell r="P1687"/>
          <cell r="Q1687"/>
          <cell r="R1687" t="str">
            <v>Yes</v>
          </cell>
          <cell r="S1687" t="str">
            <v>C49</v>
          </cell>
          <cell r="T1687" t="str">
            <v>SOUTH</v>
          </cell>
          <cell r="U1687" t="str">
            <v>深圳</v>
          </cell>
          <cell r="V1687" t="str">
            <v>SZ 深圳</v>
          </cell>
          <cell r="W1687" t="str">
            <v>MZ</v>
          </cell>
          <cell r="X1687" t="str">
            <v>JPY</v>
          </cell>
          <cell r="Y1687">
            <v>10000000</v>
          </cell>
          <cell r="Z1687">
            <v>1</v>
          </cell>
          <cell r="AA1687">
            <v>10000000</v>
          </cell>
          <cell r="AB1687">
            <v>7.0000000000000007E-2</v>
          </cell>
          <cell r="AC1687">
            <v>700000.00000000012</v>
          </cell>
          <cell r="AD1687">
            <v>84000.000000000015</v>
          </cell>
          <cell r="AE1687">
            <v>0.12</v>
          </cell>
          <cell r="AF1687">
            <v>44557</v>
          </cell>
          <cell r="AG1687" t="str">
            <v>CIF  HK</v>
          </cell>
          <cell r="AI1687"/>
          <cell r="AJ1687"/>
          <cell r="AK1687">
            <v>0.1</v>
          </cell>
          <cell r="AL1687">
            <v>1000000</v>
          </cell>
          <cell r="AM1687">
            <v>44571</v>
          </cell>
          <cell r="AN1687" t="str">
            <v>Yes</v>
          </cell>
          <cell r="AO1687">
            <v>0.9</v>
          </cell>
          <cell r="AP1687">
            <v>9000000</v>
          </cell>
          <cell r="AQ1687"/>
          <cell r="AR1687"/>
          <cell r="AS1687">
            <v>0</v>
          </cell>
          <cell r="AT1687">
            <v>0</v>
          </cell>
          <cell r="AV1687"/>
          <cell r="AX1687"/>
          <cell r="AY1687"/>
          <cell r="AZ1687"/>
          <cell r="BA1687"/>
          <cell r="BB1687" t="str">
            <v>根据合同补充文件取消</v>
          </cell>
        </row>
        <row r="1688">
          <cell r="B1688">
            <v>1538</v>
          </cell>
          <cell r="C1688" t="str">
            <v>C28SZX20210216MZ</v>
          </cell>
          <cell r="D1688" t="str">
            <v>东莞鸿楠</v>
          </cell>
          <cell r="E1688" t="str">
            <v>YSi-V</v>
          </cell>
          <cell r="I1688" t="str">
            <v>R-&gt;L</v>
          </cell>
          <cell r="J1688" t="str">
            <v>No</v>
          </cell>
          <cell r="K1688">
            <v>1</v>
          </cell>
          <cell r="N1688">
            <v>44672</v>
          </cell>
          <cell r="O1688">
            <v>11116744</v>
          </cell>
          <cell r="P1688">
            <v>11000000</v>
          </cell>
          <cell r="Q1688">
            <v>44677</v>
          </cell>
          <cell r="R1688" t="str">
            <v>Yes</v>
          </cell>
          <cell r="S1688" t="str">
            <v>C28</v>
          </cell>
          <cell r="T1688" t="str">
            <v>SOUTH</v>
          </cell>
          <cell r="U1688" t="str">
            <v>深圳</v>
          </cell>
          <cell r="V1688" t="str">
            <v>SZ 深圳</v>
          </cell>
          <cell r="W1688" t="str">
            <v>MZ</v>
          </cell>
          <cell r="X1688" t="str">
            <v>JPY</v>
          </cell>
          <cell r="Y1688">
            <v>11000000</v>
          </cell>
          <cell r="Z1688">
            <v>1</v>
          </cell>
          <cell r="AA1688">
            <v>11000000</v>
          </cell>
          <cell r="AB1688">
            <v>7.0000000000000007E-2</v>
          </cell>
          <cell r="AC1688">
            <v>770000.00000000012</v>
          </cell>
          <cell r="AD1688">
            <v>92400.000000000015</v>
          </cell>
          <cell r="AE1688">
            <v>0.12</v>
          </cell>
          <cell r="AF1688">
            <v>44557</v>
          </cell>
          <cell r="AG1688" t="str">
            <v>CIF  HK</v>
          </cell>
          <cell r="AK1688">
            <v>0.2</v>
          </cell>
          <cell r="AL1688">
            <v>2200000</v>
          </cell>
          <cell r="AM1688">
            <v>44571</v>
          </cell>
          <cell r="AN1688" t="str">
            <v>Yes</v>
          </cell>
          <cell r="AO1688">
            <v>0.8</v>
          </cell>
          <cell r="AP1688">
            <v>8800000</v>
          </cell>
          <cell r="AQ1688">
            <v>44664</v>
          </cell>
          <cell r="AR1688">
            <v>44664</v>
          </cell>
          <cell r="AS1688">
            <v>0</v>
          </cell>
          <cell r="AT1688">
            <v>0</v>
          </cell>
          <cell r="AX1688" t="str">
            <v>Yes</v>
          </cell>
          <cell r="AZ1688" t="str">
            <v>Y</v>
          </cell>
          <cell r="BA1688" t="str">
            <v>Yes</v>
          </cell>
        </row>
        <row r="1689">
          <cell r="B1689">
            <v>1539</v>
          </cell>
          <cell r="C1689" t="str">
            <v>C28SZX20210217MZ</v>
          </cell>
          <cell r="D1689" t="str">
            <v>东莞鸿楠</v>
          </cell>
          <cell r="E1689" t="str">
            <v>YSi-V</v>
          </cell>
          <cell r="F1689"/>
          <cell r="H1689"/>
          <cell r="I1689" t="str">
            <v>R-&gt;L</v>
          </cell>
          <cell r="J1689" t="str">
            <v>No</v>
          </cell>
          <cell r="K1689">
            <v>1</v>
          </cell>
          <cell r="L1689"/>
          <cell r="N1689"/>
          <cell r="O1689"/>
          <cell r="P1689"/>
          <cell r="Q1689"/>
          <cell r="R1689" t="str">
            <v>Yes</v>
          </cell>
          <cell r="S1689" t="str">
            <v>C28</v>
          </cell>
          <cell r="T1689" t="str">
            <v>SOUTH</v>
          </cell>
          <cell r="U1689" t="str">
            <v>深圳</v>
          </cell>
          <cell r="V1689" t="str">
            <v>SZ 深圳</v>
          </cell>
          <cell r="W1689" t="str">
            <v>MZ</v>
          </cell>
          <cell r="X1689" t="str">
            <v>JPY</v>
          </cell>
          <cell r="Y1689">
            <v>11000000</v>
          </cell>
          <cell r="Z1689">
            <v>1</v>
          </cell>
          <cell r="AA1689">
            <v>11000000</v>
          </cell>
          <cell r="AB1689">
            <v>7.0000000000000007E-2</v>
          </cell>
          <cell r="AC1689">
            <v>770000.00000000012</v>
          </cell>
          <cell r="AD1689">
            <v>92400.000000000015</v>
          </cell>
          <cell r="AE1689">
            <v>0.12</v>
          </cell>
          <cell r="AF1689">
            <v>44557</v>
          </cell>
          <cell r="AG1689" t="str">
            <v>CIF  HK</v>
          </cell>
          <cell r="AI1689"/>
          <cell r="AJ1689"/>
          <cell r="AK1689">
            <v>0.1</v>
          </cell>
          <cell r="AL1689">
            <v>1100000</v>
          </cell>
          <cell r="AM1689"/>
          <cell r="AN1689" t="str">
            <v>No</v>
          </cell>
          <cell r="AO1689">
            <v>0.9</v>
          </cell>
          <cell r="AP1689">
            <v>9900000</v>
          </cell>
          <cell r="AQ1689"/>
          <cell r="AR1689"/>
          <cell r="AS1689">
            <v>0</v>
          </cell>
          <cell r="AT1689">
            <v>0</v>
          </cell>
          <cell r="AV1689"/>
          <cell r="AX1689" t="str">
            <v>Cancel</v>
          </cell>
          <cell r="AY1689"/>
          <cell r="AZ1689"/>
          <cell r="BA1689" t="str">
            <v>Cancel</v>
          </cell>
          <cell r="BB1689" t="str">
            <v>2023-12-18 Ken邮件通知Fay</v>
          </cell>
        </row>
        <row r="1690">
          <cell r="B1690">
            <v>1540</v>
          </cell>
          <cell r="C1690" t="str">
            <v>C49SZX20210222JL</v>
          </cell>
          <cell r="D1690" t="str">
            <v>深圳快宇</v>
          </cell>
          <cell r="E1690" t="str">
            <v>YSM40R-4</v>
          </cell>
          <cell r="I1690" t="str">
            <v>L-&gt;R</v>
          </cell>
          <cell r="J1690" t="str">
            <v>No</v>
          </cell>
          <cell r="K1690">
            <v>1</v>
          </cell>
          <cell r="N1690">
            <v>44574</v>
          </cell>
          <cell r="O1690">
            <v>11100511</v>
          </cell>
          <cell r="P1690">
            <v>1310000</v>
          </cell>
          <cell r="Q1690">
            <v>44580</v>
          </cell>
          <cell r="R1690" t="str">
            <v>Yes</v>
          </cell>
          <cell r="S1690" t="str">
            <v>C49</v>
          </cell>
          <cell r="T1690" t="str">
            <v>SOUTH</v>
          </cell>
          <cell r="U1690" t="str">
            <v>深圳</v>
          </cell>
          <cell r="V1690" t="str">
            <v>SZ 深圳</v>
          </cell>
          <cell r="W1690" t="str">
            <v>JL</v>
          </cell>
          <cell r="X1690" t="str">
            <v>RMB</v>
          </cell>
          <cell r="Y1690">
            <v>1310000</v>
          </cell>
          <cell r="Z1690">
            <v>1.1299999999999999</v>
          </cell>
          <cell r="AA1690">
            <v>1310000</v>
          </cell>
          <cell r="AB1690">
            <v>1.2150000000000001</v>
          </cell>
          <cell r="AC1690">
            <v>1408539.8230088498</v>
          </cell>
          <cell r="AD1690">
            <v>169024.77876106196</v>
          </cell>
          <cell r="AE1690">
            <v>0.12</v>
          </cell>
          <cell r="AF1690">
            <v>44557</v>
          </cell>
          <cell r="AG1690" t="str">
            <v>DDP SZ</v>
          </cell>
          <cell r="AK1690">
            <v>0.2</v>
          </cell>
          <cell r="AL1690">
            <v>262000</v>
          </cell>
          <cell r="AN1690" t="str">
            <v>Yes</v>
          </cell>
          <cell r="AO1690">
            <v>0.8</v>
          </cell>
          <cell r="AP1690">
            <v>1048000</v>
          </cell>
          <cell r="AQ1690">
            <v>44561</v>
          </cell>
          <cell r="AR1690">
            <v>44561</v>
          </cell>
          <cell r="AS1690">
            <v>0</v>
          </cell>
          <cell r="AT1690">
            <v>0</v>
          </cell>
          <cell r="AX1690" t="str">
            <v>Yes</v>
          </cell>
          <cell r="AZ1690" t="str">
            <v>Y</v>
          </cell>
          <cell r="BA1690" t="str">
            <v>Yes</v>
          </cell>
        </row>
        <row r="1691">
          <cell r="B1691">
            <v>1541</v>
          </cell>
          <cell r="C1691" t="str">
            <v>C49SZX20220001SS</v>
          </cell>
          <cell r="D1691" t="str">
            <v>深圳世达威</v>
          </cell>
          <cell r="E1691" t="str">
            <v>YSM40R-4</v>
          </cell>
          <cell r="I1691" t="str">
            <v>L-&gt;R</v>
          </cell>
          <cell r="J1691" t="str">
            <v>No</v>
          </cell>
          <cell r="K1691">
            <v>1</v>
          </cell>
          <cell r="N1691">
            <v>44578</v>
          </cell>
          <cell r="O1691">
            <v>11100512</v>
          </cell>
          <cell r="P1691">
            <v>1298000</v>
          </cell>
          <cell r="Q1691">
            <v>44580</v>
          </cell>
          <cell r="R1691" t="str">
            <v>No</v>
          </cell>
          <cell r="S1691" t="str">
            <v>C49</v>
          </cell>
          <cell r="T1691" t="str">
            <v>SOUTH</v>
          </cell>
          <cell r="U1691" t="str">
            <v>深圳</v>
          </cell>
          <cell r="V1691" t="str">
            <v>SZ 深圳</v>
          </cell>
          <cell r="W1691" t="str">
            <v>SS</v>
          </cell>
          <cell r="X1691" t="str">
            <v>RMB</v>
          </cell>
          <cell r="Y1691">
            <v>1298000</v>
          </cell>
          <cell r="Z1691">
            <v>1.1299999999999999</v>
          </cell>
          <cell r="AA1691">
            <v>1298000</v>
          </cell>
          <cell r="AB1691">
            <v>1.22</v>
          </cell>
          <cell r="AC1691">
            <v>1401380.5309734517</v>
          </cell>
          <cell r="AD1691">
            <v>168165.66371681419</v>
          </cell>
          <cell r="AE1691">
            <v>0.12</v>
          </cell>
          <cell r="AF1691">
            <v>44565</v>
          </cell>
          <cell r="AG1691" t="str">
            <v>DDP SZ</v>
          </cell>
          <cell r="AK1691">
            <v>0.3</v>
          </cell>
          <cell r="AL1691">
            <v>389400</v>
          </cell>
          <cell r="AM1691">
            <v>44573</v>
          </cell>
          <cell r="AN1691" t="str">
            <v>Yes</v>
          </cell>
          <cell r="AO1691">
            <v>0.7</v>
          </cell>
          <cell r="AP1691">
            <v>908600</v>
          </cell>
          <cell r="AQ1691">
            <v>44573</v>
          </cell>
          <cell r="AR1691">
            <v>44573</v>
          </cell>
          <cell r="AS1691">
            <v>0</v>
          </cell>
          <cell r="AT1691">
            <v>0</v>
          </cell>
          <cell r="AX1691" t="str">
            <v>Yes</v>
          </cell>
          <cell r="AZ1691" t="str">
            <v>Y</v>
          </cell>
          <cell r="BA1691" t="str">
            <v>Yes</v>
          </cell>
        </row>
        <row r="1692">
          <cell r="B1692">
            <v>1542</v>
          </cell>
          <cell r="C1692" t="str">
            <v>C49SZX20220004EC</v>
          </cell>
          <cell r="D1692" t="str">
            <v>恒泰创新</v>
          </cell>
          <cell r="E1692" t="str">
            <v>YSM10</v>
          </cell>
          <cell r="I1692" t="str">
            <v>L-&gt;R</v>
          </cell>
          <cell r="J1692" t="str">
            <v>MVC</v>
          </cell>
          <cell r="K1692">
            <v>1</v>
          </cell>
          <cell r="N1692">
            <v>44823</v>
          </cell>
          <cell r="O1692">
            <v>11116801</v>
          </cell>
          <cell r="P1692">
            <v>11200000</v>
          </cell>
          <cell r="Q1692">
            <v>44824</v>
          </cell>
          <cell r="R1692" t="str">
            <v>No</v>
          </cell>
          <cell r="S1692" t="str">
            <v>C49</v>
          </cell>
          <cell r="T1692" t="str">
            <v>SOUTH</v>
          </cell>
          <cell r="U1692" t="str">
            <v>深圳</v>
          </cell>
          <cell r="V1692" t="str">
            <v>SZ 深圳</v>
          </cell>
          <cell r="W1692" t="str">
            <v>EC</v>
          </cell>
          <cell r="X1692" t="str">
            <v>JPY</v>
          </cell>
          <cell r="Y1692">
            <v>11200000</v>
          </cell>
          <cell r="Z1692">
            <v>1</v>
          </cell>
          <cell r="AA1692">
            <v>11200000</v>
          </cell>
          <cell r="AB1692">
            <v>7.0000000000000007E-2</v>
          </cell>
          <cell r="AC1692">
            <v>784000.00000000012</v>
          </cell>
          <cell r="AD1692">
            <v>94080.000000000015</v>
          </cell>
          <cell r="AE1692">
            <v>0.12</v>
          </cell>
          <cell r="AF1692">
            <v>44568</v>
          </cell>
          <cell r="AG1692" t="str">
            <v>DAP SZ</v>
          </cell>
          <cell r="AK1692">
            <v>0.1</v>
          </cell>
          <cell r="AL1692">
            <v>1120000</v>
          </cell>
          <cell r="AM1692">
            <v>44578</v>
          </cell>
          <cell r="AN1692" t="str">
            <v>Yes</v>
          </cell>
          <cell r="AO1692">
            <v>0.9</v>
          </cell>
          <cell r="AP1692">
            <v>10080000</v>
          </cell>
          <cell r="AQ1692">
            <v>44823</v>
          </cell>
          <cell r="AR1692">
            <v>44823</v>
          </cell>
          <cell r="AS1692">
            <v>0</v>
          </cell>
          <cell r="AT1692">
            <v>0</v>
          </cell>
          <cell r="AX1692" t="str">
            <v>Yes</v>
          </cell>
          <cell r="AZ1692" t="str">
            <v>Y</v>
          </cell>
          <cell r="BA1692" t="str">
            <v>Yes</v>
          </cell>
        </row>
        <row r="1693">
          <cell r="B1693">
            <v>1543</v>
          </cell>
          <cell r="C1693" t="str">
            <v>C49SZX20220005SS</v>
          </cell>
          <cell r="D1693" t="str">
            <v>龙大光电</v>
          </cell>
          <cell r="E1693" t="str">
            <v>YSM40R-4</v>
          </cell>
          <cell r="I1693" t="str">
            <v>L-&gt;R</v>
          </cell>
          <cell r="J1693" t="str">
            <v>No</v>
          </cell>
          <cell r="K1693">
            <v>1</v>
          </cell>
          <cell r="N1693">
            <v>44614</v>
          </cell>
          <cell r="O1693">
            <v>11100515</v>
          </cell>
          <cell r="P1693">
            <v>1300000</v>
          </cell>
          <cell r="Q1693">
            <v>44616</v>
          </cell>
          <cell r="R1693" t="str">
            <v>No</v>
          </cell>
          <cell r="S1693" t="str">
            <v>C49</v>
          </cell>
          <cell r="T1693" t="str">
            <v>SOUTH</v>
          </cell>
          <cell r="U1693" t="str">
            <v>深圳</v>
          </cell>
          <cell r="V1693" t="str">
            <v>SZ 深圳</v>
          </cell>
          <cell r="W1693" t="str">
            <v>SS</v>
          </cell>
          <cell r="X1693" t="str">
            <v>RMB</v>
          </cell>
          <cell r="Y1693">
            <v>1300000</v>
          </cell>
          <cell r="Z1693">
            <v>1.1299999999999999</v>
          </cell>
          <cell r="AA1693">
            <v>1300000</v>
          </cell>
          <cell r="AB1693">
            <v>1.22</v>
          </cell>
          <cell r="AC1693">
            <v>1403539.8230088495</v>
          </cell>
          <cell r="AD1693">
            <v>168424.77876106193</v>
          </cell>
          <cell r="AE1693">
            <v>0.12</v>
          </cell>
          <cell r="AF1693">
            <v>44572</v>
          </cell>
          <cell r="AG1693" t="str">
            <v>DDP SZ</v>
          </cell>
          <cell r="AI1693">
            <v>6500000</v>
          </cell>
          <cell r="AJ1693" t="str">
            <v>2022-1-29签收银行承兑汇票</v>
          </cell>
          <cell r="AK1693">
            <v>1</v>
          </cell>
          <cell r="AL1693">
            <v>1300000</v>
          </cell>
          <cell r="AM1693">
            <v>44590</v>
          </cell>
          <cell r="AN1693" t="str">
            <v>Yes</v>
          </cell>
          <cell r="AO1693">
            <v>0</v>
          </cell>
          <cell r="AP1693">
            <v>0</v>
          </cell>
          <cell r="AS1693">
            <v>0</v>
          </cell>
          <cell r="AT1693">
            <v>0</v>
          </cell>
          <cell r="AX1693" t="str">
            <v>Yes</v>
          </cell>
          <cell r="AZ1693" t="str">
            <v>Y</v>
          </cell>
          <cell r="BA1693" t="str">
            <v>Yes</v>
          </cell>
        </row>
        <row r="1694">
          <cell r="B1694">
            <v>1544</v>
          </cell>
          <cell r="C1694" t="str">
            <v>C49SZX20220005SS</v>
          </cell>
          <cell r="D1694" t="str">
            <v>龙大光电</v>
          </cell>
          <cell r="E1694" t="str">
            <v>YSM40R-4</v>
          </cell>
          <cell r="I1694" t="str">
            <v>L-&gt;R</v>
          </cell>
          <cell r="J1694" t="str">
            <v>No</v>
          </cell>
          <cell r="K1694">
            <v>1</v>
          </cell>
          <cell r="N1694">
            <v>44614</v>
          </cell>
          <cell r="O1694">
            <v>11100515</v>
          </cell>
          <cell r="P1694">
            <v>1300000</v>
          </cell>
          <cell r="Q1694">
            <v>44616</v>
          </cell>
          <cell r="R1694" t="str">
            <v>No</v>
          </cell>
          <cell r="S1694" t="str">
            <v>C49</v>
          </cell>
          <cell r="T1694" t="str">
            <v>SOUTH</v>
          </cell>
          <cell r="U1694" t="str">
            <v>深圳</v>
          </cell>
          <cell r="V1694" t="str">
            <v>SZ 深圳</v>
          </cell>
          <cell r="W1694" t="str">
            <v>SS</v>
          </cell>
          <cell r="X1694" t="str">
            <v>RMB</v>
          </cell>
          <cell r="Y1694">
            <v>1300000</v>
          </cell>
          <cell r="Z1694">
            <v>1.1299999999999999</v>
          </cell>
          <cell r="AA1694">
            <v>1300000</v>
          </cell>
          <cell r="AB1694">
            <v>1.22</v>
          </cell>
          <cell r="AC1694">
            <v>1403539.8230088495</v>
          </cell>
          <cell r="AD1694">
            <v>168424.77876106193</v>
          </cell>
          <cell r="AE1694">
            <v>0.12</v>
          </cell>
          <cell r="AF1694">
            <v>44572</v>
          </cell>
          <cell r="AG1694" t="str">
            <v>DDP SZ</v>
          </cell>
          <cell r="AI1694"/>
          <cell r="AJ1694"/>
          <cell r="AK1694">
            <v>1</v>
          </cell>
          <cell r="AL1694">
            <v>1300000</v>
          </cell>
          <cell r="AM1694">
            <v>44590</v>
          </cell>
          <cell r="AN1694" t="str">
            <v>Yes</v>
          </cell>
          <cell r="AO1694">
            <v>0</v>
          </cell>
          <cell r="AP1694">
            <v>0</v>
          </cell>
          <cell r="AS1694">
            <v>0</v>
          </cell>
          <cell r="AT1694">
            <v>0</v>
          </cell>
          <cell r="AX1694" t="str">
            <v>Yes</v>
          </cell>
          <cell r="AZ1694" t="str">
            <v>Y</v>
          </cell>
          <cell r="BA1694" t="str">
            <v>Yes</v>
          </cell>
        </row>
        <row r="1695">
          <cell r="B1695">
            <v>1545</v>
          </cell>
          <cell r="C1695" t="str">
            <v>C49SZX20220005SS</v>
          </cell>
          <cell r="D1695" t="str">
            <v>龙大光电</v>
          </cell>
          <cell r="E1695" t="str">
            <v>YSM40R-4</v>
          </cell>
          <cell r="I1695" t="str">
            <v>L-&gt;R</v>
          </cell>
          <cell r="J1695" t="str">
            <v>No</v>
          </cell>
          <cell r="K1695">
            <v>1</v>
          </cell>
          <cell r="N1695">
            <v>44614</v>
          </cell>
          <cell r="O1695">
            <v>11100515</v>
          </cell>
          <cell r="P1695">
            <v>1300000</v>
          </cell>
          <cell r="Q1695">
            <v>44616</v>
          </cell>
          <cell r="R1695" t="str">
            <v>No</v>
          </cell>
          <cell r="S1695" t="str">
            <v>C49</v>
          </cell>
          <cell r="T1695" t="str">
            <v>SOUTH</v>
          </cell>
          <cell r="U1695" t="str">
            <v>深圳</v>
          </cell>
          <cell r="V1695" t="str">
            <v>SZ 深圳</v>
          </cell>
          <cell r="W1695" t="str">
            <v>SS</v>
          </cell>
          <cell r="X1695" t="str">
            <v>RMB</v>
          </cell>
          <cell r="Y1695">
            <v>1300000</v>
          </cell>
          <cell r="Z1695">
            <v>1.1299999999999999</v>
          </cell>
          <cell r="AA1695">
            <v>1300000</v>
          </cell>
          <cell r="AB1695">
            <v>1.22</v>
          </cell>
          <cell r="AC1695">
            <v>1403539.8230088495</v>
          </cell>
          <cell r="AD1695">
            <v>168424.77876106193</v>
          </cell>
          <cell r="AE1695">
            <v>0.12</v>
          </cell>
          <cell r="AF1695">
            <v>44572</v>
          </cell>
          <cell r="AG1695" t="str">
            <v>DDP SZ</v>
          </cell>
          <cell r="AI1695"/>
          <cell r="AJ1695"/>
          <cell r="AK1695">
            <v>1</v>
          </cell>
          <cell r="AL1695">
            <v>1300000</v>
          </cell>
          <cell r="AM1695">
            <v>44590</v>
          </cell>
          <cell r="AN1695" t="str">
            <v>Yes</v>
          </cell>
          <cell r="AO1695">
            <v>0</v>
          </cell>
          <cell r="AP1695">
            <v>0</v>
          </cell>
          <cell r="AS1695">
            <v>0</v>
          </cell>
          <cell r="AT1695">
            <v>0</v>
          </cell>
          <cell r="AX1695" t="str">
            <v>Yes</v>
          </cell>
          <cell r="AZ1695" t="str">
            <v>Y</v>
          </cell>
          <cell r="BA1695" t="str">
            <v>Yes</v>
          </cell>
        </row>
        <row r="1696">
          <cell r="B1696">
            <v>1546</v>
          </cell>
          <cell r="C1696" t="str">
            <v>C49SZX20220005SS</v>
          </cell>
          <cell r="D1696" t="str">
            <v>龙大光电</v>
          </cell>
          <cell r="E1696" t="str">
            <v>YSM40R-4</v>
          </cell>
          <cell r="I1696" t="str">
            <v>L-&gt;R</v>
          </cell>
          <cell r="J1696" t="str">
            <v>No</v>
          </cell>
          <cell r="K1696">
            <v>1</v>
          </cell>
          <cell r="N1696">
            <v>44614</v>
          </cell>
          <cell r="O1696">
            <v>11100515</v>
          </cell>
          <cell r="P1696">
            <v>1300000</v>
          </cell>
          <cell r="Q1696">
            <v>44616</v>
          </cell>
          <cell r="R1696" t="str">
            <v>No</v>
          </cell>
          <cell r="S1696" t="str">
            <v>C49</v>
          </cell>
          <cell r="T1696" t="str">
            <v>SOUTH</v>
          </cell>
          <cell r="U1696" t="str">
            <v>深圳</v>
          </cell>
          <cell r="V1696" t="str">
            <v>SZ 深圳</v>
          </cell>
          <cell r="W1696" t="str">
            <v>SS</v>
          </cell>
          <cell r="X1696" t="str">
            <v>RMB</v>
          </cell>
          <cell r="Y1696">
            <v>1300000</v>
          </cell>
          <cell r="Z1696">
            <v>1.1299999999999999</v>
          </cell>
          <cell r="AA1696">
            <v>1300000</v>
          </cell>
          <cell r="AB1696">
            <v>1.22</v>
          </cell>
          <cell r="AC1696">
            <v>1403539.8230088495</v>
          </cell>
          <cell r="AD1696">
            <v>168424.77876106193</v>
          </cell>
          <cell r="AE1696">
            <v>0.12</v>
          </cell>
          <cell r="AF1696">
            <v>44572</v>
          </cell>
          <cell r="AG1696" t="str">
            <v>DDP SZ</v>
          </cell>
          <cell r="AI1696"/>
          <cell r="AJ1696"/>
          <cell r="AK1696">
            <v>1</v>
          </cell>
          <cell r="AL1696">
            <v>1300000</v>
          </cell>
          <cell r="AM1696">
            <v>44590</v>
          </cell>
          <cell r="AN1696" t="str">
            <v>Yes</v>
          </cell>
          <cell r="AO1696">
            <v>0</v>
          </cell>
          <cell r="AP1696">
            <v>0</v>
          </cell>
          <cell r="AS1696">
            <v>0</v>
          </cell>
          <cell r="AT1696">
            <v>0</v>
          </cell>
          <cell r="AX1696" t="str">
            <v>Yes</v>
          </cell>
          <cell r="AZ1696" t="str">
            <v>Y</v>
          </cell>
          <cell r="BA1696" t="str">
            <v>Yes</v>
          </cell>
        </row>
        <row r="1697">
          <cell r="B1697">
            <v>1547</v>
          </cell>
          <cell r="C1697" t="str">
            <v>C49SZX20220005SS</v>
          </cell>
          <cell r="D1697" t="str">
            <v>龙大光电</v>
          </cell>
          <cell r="E1697" t="str">
            <v>YSM40R-4</v>
          </cell>
          <cell r="I1697" t="str">
            <v>L-&gt;R</v>
          </cell>
          <cell r="J1697" t="str">
            <v>No</v>
          </cell>
          <cell r="K1697">
            <v>1</v>
          </cell>
          <cell r="N1697">
            <v>44614</v>
          </cell>
          <cell r="O1697">
            <v>11100515</v>
          </cell>
          <cell r="P1697">
            <v>1300000</v>
          </cell>
          <cell r="Q1697">
            <v>44616</v>
          </cell>
          <cell r="R1697" t="str">
            <v>No</v>
          </cell>
          <cell r="S1697" t="str">
            <v>C49</v>
          </cell>
          <cell r="T1697" t="str">
            <v>SOUTH</v>
          </cell>
          <cell r="U1697" t="str">
            <v>深圳</v>
          </cell>
          <cell r="V1697" t="str">
            <v>SZ 深圳</v>
          </cell>
          <cell r="W1697" t="str">
            <v>SS</v>
          </cell>
          <cell r="X1697" t="str">
            <v>RMB</v>
          </cell>
          <cell r="Y1697">
            <v>1300000</v>
          </cell>
          <cell r="Z1697">
            <v>1.1299999999999999</v>
          </cell>
          <cell r="AA1697">
            <v>1300000</v>
          </cell>
          <cell r="AB1697">
            <v>1.22</v>
          </cell>
          <cell r="AC1697">
            <v>1403539.8230088495</v>
          </cell>
          <cell r="AD1697">
            <v>168424.77876106193</v>
          </cell>
          <cell r="AE1697">
            <v>0.12</v>
          </cell>
          <cell r="AF1697">
            <v>44572</v>
          </cell>
          <cell r="AG1697" t="str">
            <v>DDP SZ</v>
          </cell>
          <cell r="AI1697"/>
          <cell r="AJ1697"/>
          <cell r="AK1697">
            <v>1</v>
          </cell>
          <cell r="AL1697">
            <v>1300000</v>
          </cell>
          <cell r="AM1697">
            <v>44590</v>
          </cell>
          <cell r="AN1697" t="str">
            <v>Yes</v>
          </cell>
          <cell r="AO1697">
            <v>0</v>
          </cell>
          <cell r="AP1697">
            <v>0</v>
          </cell>
          <cell r="AS1697">
            <v>0</v>
          </cell>
          <cell r="AT1697">
            <v>0</v>
          </cell>
          <cell r="AX1697" t="str">
            <v>Yes</v>
          </cell>
          <cell r="AZ1697" t="str">
            <v>Y</v>
          </cell>
          <cell r="BA1697" t="str">
            <v>Yes</v>
          </cell>
        </row>
        <row r="1698">
          <cell r="B1698">
            <v>1548</v>
          </cell>
          <cell r="C1698" t="str">
            <v>C49SZX20220006SX</v>
          </cell>
          <cell r="D1698" t="str">
            <v>微观</v>
          </cell>
          <cell r="E1698" t="str">
            <v>SIGMA G5S2</v>
          </cell>
          <cell r="I1698" t="str">
            <v>L-&gt;R</v>
          </cell>
          <cell r="J1698" t="str">
            <v>No</v>
          </cell>
          <cell r="K1698">
            <v>1</v>
          </cell>
          <cell r="N1698">
            <v>44670</v>
          </cell>
          <cell r="O1698">
            <v>11116739</v>
          </cell>
          <cell r="P1698">
            <v>16665000</v>
          </cell>
          <cell r="Q1698">
            <v>44676</v>
          </cell>
          <cell r="R1698" t="str">
            <v>Yes</v>
          </cell>
          <cell r="S1698" t="str">
            <v>C49</v>
          </cell>
          <cell r="T1698" t="str">
            <v>SOUTH</v>
          </cell>
          <cell r="U1698" t="str">
            <v>深圳</v>
          </cell>
          <cell r="V1698" t="str">
            <v>SZ 深圳</v>
          </cell>
          <cell r="W1698" t="str">
            <v>SX</v>
          </cell>
          <cell r="X1698" t="str">
            <v>JPY</v>
          </cell>
          <cell r="Y1698">
            <v>16665000</v>
          </cell>
          <cell r="Z1698">
            <v>1</v>
          </cell>
          <cell r="AA1698">
            <v>16665000</v>
          </cell>
          <cell r="AB1698">
            <v>7.0000000000000007E-2</v>
          </cell>
          <cell r="AC1698">
            <v>1166550</v>
          </cell>
          <cell r="AD1698">
            <v>139986</v>
          </cell>
          <cell r="AE1698">
            <v>0.12</v>
          </cell>
          <cell r="AF1698">
            <v>44575</v>
          </cell>
          <cell r="AG1698" t="str">
            <v>DAP ZS</v>
          </cell>
          <cell r="AK1698">
            <v>0.1</v>
          </cell>
          <cell r="AL1698">
            <v>1666500</v>
          </cell>
          <cell r="AM1698">
            <v>44581</v>
          </cell>
          <cell r="AN1698" t="str">
            <v>Yes</v>
          </cell>
          <cell r="AO1698">
            <v>0.9</v>
          </cell>
          <cell r="AP1698">
            <v>14998500</v>
          </cell>
          <cell r="AQ1698">
            <v>44670</v>
          </cell>
          <cell r="AR1698">
            <v>44670</v>
          </cell>
          <cell r="AS1698">
            <v>0</v>
          </cell>
          <cell r="AT1698">
            <v>0</v>
          </cell>
          <cell r="AX1698" t="str">
            <v>Yes</v>
          </cell>
          <cell r="AZ1698" t="str">
            <v>Y</v>
          </cell>
          <cell r="BA1698" t="str">
            <v>Yes</v>
          </cell>
        </row>
        <row r="1699">
          <cell r="B1699">
            <v>1549</v>
          </cell>
          <cell r="C1699" t="str">
            <v>C49SZX20220006SX</v>
          </cell>
          <cell r="D1699" t="str">
            <v>微观</v>
          </cell>
          <cell r="E1699" t="str">
            <v>SIGMA G5S2</v>
          </cell>
          <cell r="I1699" t="str">
            <v>L-&gt;R</v>
          </cell>
          <cell r="J1699" t="str">
            <v>No</v>
          </cell>
          <cell r="K1699">
            <v>1</v>
          </cell>
          <cell r="N1699">
            <v>44670</v>
          </cell>
          <cell r="O1699">
            <v>11116739</v>
          </cell>
          <cell r="P1699">
            <v>16665000</v>
          </cell>
          <cell r="Q1699">
            <v>44676</v>
          </cell>
          <cell r="R1699" t="str">
            <v>Yes</v>
          </cell>
          <cell r="S1699" t="str">
            <v>C49</v>
          </cell>
          <cell r="T1699" t="str">
            <v>SOUTH</v>
          </cell>
          <cell r="U1699" t="str">
            <v>深圳</v>
          </cell>
          <cell r="V1699" t="str">
            <v>SZ 深圳</v>
          </cell>
          <cell r="W1699" t="str">
            <v>SX</v>
          </cell>
          <cell r="X1699" t="str">
            <v>JPY</v>
          </cell>
          <cell r="Y1699">
            <v>16665000</v>
          </cell>
          <cell r="Z1699">
            <v>1</v>
          </cell>
          <cell r="AA1699">
            <v>16665000</v>
          </cell>
          <cell r="AB1699">
            <v>7.0000000000000007E-2</v>
          </cell>
          <cell r="AC1699">
            <v>1166550</v>
          </cell>
          <cell r="AD1699">
            <v>139986</v>
          </cell>
          <cell r="AE1699">
            <v>0.12</v>
          </cell>
          <cell r="AF1699">
            <v>44575</v>
          </cell>
          <cell r="AG1699" t="str">
            <v>DAP ZS</v>
          </cell>
          <cell r="AK1699">
            <v>0.1</v>
          </cell>
          <cell r="AL1699">
            <v>1666500</v>
          </cell>
          <cell r="AM1699">
            <v>44581</v>
          </cell>
          <cell r="AN1699" t="str">
            <v>Yes</v>
          </cell>
          <cell r="AO1699">
            <v>0.9</v>
          </cell>
          <cell r="AP1699">
            <v>14998500</v>
          </cell>
          <cell r="AQ1699">
            <v>44670</v>
          </cell>
          <cell r="AR1699">
            <v>44670</v>
          </cell>
          <cell r="AS1699">
            <v>0</v>
          </cell>
          <cell r="AT1699">
            <v>0</v>
          </cell>
          <cell r="AX1699" t="str">
            <v>Yes</v>
          </cell>
          <cell r="AZ1699" t="str">
            <v>Y</v>
          </cell>
          <cell r="BA1699" t="str">
            <v>Yes</v>
          </cell>
        </row>
        <row r="1700">
          <cell r="B1700">
            <v>1550</v>
          </cell>
          <cell r="C1700" t="str">
            <v>C49SZX20220006SX</v>
          </cell>
          <cell r="D1700" t="str">
            <v>微观</v>
          </cell>
          <cell r="E1700" t="str">
            <v>SIGMA G5S2</v>
          </cell>
          <cell r="I1700" t="str">
            <v>L-&gt;R</v>
          </cell>
          <cell r="J1700" t="str">
            <v>No</v>
          </cell>
          <cell r="K1700">
            <v>1</v>
          </cell>
          <cell r="N1700">
            <v>44670</v>
          </cell>
          <cell r="O1700">
            <v>11116739</v>
          </cell>
          <cell r="P1700">
            <v>16665000</v>
          </cell>
          <cell r="Q1700">
            <v>44676</v>
          </cell>
          <cell r="R1700" t="str">
            <v>Yes</v>
          </cell>
          <cell r="S1700" t="str">
            <v>C49</v>
          </cell>
          <cell r="T1700" t="str">
            <v>SOUTH</v>
          </cell>
          <cell r="U1700" t="str">
            <v>深圳</v>
          </cell>
          <cell r="V1700" t="str">
            <v>SZ 深圳</v>
          </cell>
          <cell r="W1700" t="str">
            <v>SX</v>
          </cell>
          <cell r="X1700" t="str">
            <v>JPY</v>
          </cell>
          <cell r="Y1700">
            <v>16665000</v>
          </cell>
          <cell r="Z1700">
            <v>1</v>
          </cell>
          <cell r="AA1700">
            <v>16665000</v>
          </cell>
          <cell r="AB1700">
            <v>7.0000000000000007E-2</v>
          </cell>
          <cell r="AC1700">
            <v>1166550</v>
          </cell>
          <cell r="AD1700">
            <v>139986</v>
          </cell>
          <cell r="AE1700">
            <v>0.12</v>
          </cell>
          <cell r="AF1700">
            <v>44575</v>
          </cell>
          <cell r="AG1700" t="str">
            <v>DAP ZS</v>
          </cell>
          <cell r="AK1700">
            <v>0.1</v>
          </cell>
          <cell r="AL1700">
            <v>1666500</v>
          </cell>
          <cell r="AM1700">
            <v>44581</v>
          </cell>
          <cell r="AN1700" t="str">
            <v>Yes</v>
          </cell>
          <cell r="AO1700">
            <v>0.9</v>
          </cell>
          <cell r="AP1700">
            <v>14998500</v>
          </cell>
          <cell r="AQ1700">
            <v>44670</v>
          </cell>
          <cell r="AR1700">
            <v>44670</v>
          </cell>
          <cell r="AS1700">
            <v>0</v>
          </cell>
          <cell r="AT1700">
            <v>0</v>
          </cell>
          <cell r="AX1700" t="str">
            <v>Yes</v>
          </cell>
          <cell r="AZ1700" t="str">
            <v>Y</v>
          </cell>
          <cell r="BA1700" t="str">
            <v>Yes</v>
          </cell>
        </row>
        <row r="1701">
          <cell r="B1701">
            <v>1551</v>
          </cell>
          <cell r="C1701" t="str">
            <v>C49SZX20220006SX</v>
          </cell>
          <cell r="D1701" t="str">
            <v>微观</v>
          </cell>
          <cell r="E1701" t="str">
            <v>SIGMA G5S2</v>
          </cell>
          <cell r="I1701" t="str">
            <v>L-&gt;R</v>
          </cell>
          <cell r="J1701" t="str">
            <v>No</v>
          </cell>
          <cell r="K1701">
            <v>1</v>
          </cell>
          <cell r="N1701">
            <v>44670</v>
          </cell>
          <cell r="O1701">
            <v>11116739</v>
          </cell>
          <cell r="P1701">
            <v>16665000</v>
          </cell>
          <cell r="Q1701">
            <v>44676</v>
          </cell>
          <cell r="R1701" t="str">
            <v>Yes</v>
          </cell>
          <cell r="S1701" t="str">
            <v>C49</v>
          </cell>
          <cell r="T1701" t="str">
            <v>SOUTH</v>
          </cell>
          <cell r="U1701" t="str">
            <v>深圳</v>
          </cell>
          <cell r="V1701" t="str">
            <v>SZ 深圳</v>
          </cell>
          <cell r="W1701" t="str">
            <v>SX</v>
          </cell>
          <cell r="X1701" t="str">
            <v>JPY</v>
          </cell>
          <cell r="Y1701">
            <v>16665000</v>
          </cell>
          <cell r="Z1701">
            <v>1</v>
          </cell>
          <cell r="AA1701">
            <v>16665000</v>
          </cell>
          <cell r="AB1701">
            <v>7.0000000000000007E-2</v>
          </cell>
          <cell r="AC1701">
            <v>1166550</v>
          </cell>
          <cell r="AD1701">
            <v>139986</v>
          </cell>
          <cell r="AE1701">
            <v>0.12</v>
          </cell>
          <cell r="AF1701">
            <v>44575</v>
          </cell>
          <cell r="AG1701" t="str">
            <v>DAP ZS</v>
          </cell>
          <cell r="AK1701">
            <v>0.1</v>
          </cell>
          <cell r="AL1701">
            <v>1666500</v>
          </cell>
          <cell r="AM1701">
            <v>44581</v>
          </cell>
          <cell r="AN1701" t="str">
            <v>Yes</v>
          </cell>
          <cell r="AO1701">
            <v>0.9</v>
          </cell>
          <cell r="AP1701">
            <v>14998500</v>
          </cell>
          <cell r="AQ1701">
            <v>44670</v>
          </cell>
          <cell r="AR1701">
            <v>44670</v>
          </cell>
          <cell r="AS1701">
            <v>0</v>
          </cell>
          <cell r="AT1701">
            <v>0</v>
          </cell>
          <cell r="AX1701" t="str">
            <v>Yes</v>
          </cell>
          <cell r="AZ1701" t="str">
            <v>Y</v>
          </cell>
          <cell r="BA1701" t="str">
            <v>Yes</v>
          </cell>
        </row>
        <row r="1702">
          <cell r="B1702">
            <v>1552</v>
          </cell>
          <cell r="C1702" t="str">
            <v>C49SZX20220006SX</v>
          </cell>
          <cell r="D1702" t="str">
            <v>微观</v>
          </cell>
          <cell r="E1702" t="str">
            <v>SIGMA G5S2</v>
          </cell>
          <cell r="I1702" t="str">
            <v>L-&gt;R</v>
          </cell>
          <cell r="J1702" t="str">
            <v>No</v>
          </cell>
          <cell r="K1702">
            <v>1</v>
          </cell>
          <cell r="N1702">
            <v>44670</v>
          </cell>
          <cell r="O1702">
            <v>11116739</v>
          </cell>
          <cell r="P1702">
            <v>16665000</v>
          </cell>
          <cell r="Q1702">
            <v>44676</v>
          </cell>
          <cell r="R1702" t="str">
            <v>Yes</v>
          </cell>
          <cell r="S1702" t="str">
            <v>C49</v>
          </cell>
          <cell r="T1702" t="str">
            <v>SOUTH</v>
          </cell>
          <cell r="U1702" t="str">
            <v>深圳</v>
          </cell>
          <cell r="V1702" t="str">
            <v>SZ 深圳</v>
          </cell>
          <cell r="W1702" t="str">
            <v>SX</v>
          </cell>
          <cell r="X1702" t="str">
            <v>JPY</v>
          </cell>
          <cell r="Y1702">
            <v>16665000</v>
          </cell>
          <cell r="Z1702">
            <v>1</v>
          </cell>
          <cell r="AA1702">
            <v>16665000</v>
          </cell>
          <cell r="AB1702">
            <v>7.0000000000000007E-2</v>
          </cell>
          <cell r="AC1702">
            <v>1166550</v>
          </cell>
          <cell r="AD1702">
            <v>139986</v>
          </cell>
          <cell r="AE1702">
            <v>0.12</v>
          </cell>
          <cell r="AF1702">
            <v>44575</v>
          </cell>
          <cell r="AG1702" t="str">
            <v>DAP ZS</v>
          </cell>
          <cell r="AK1702">
            <v>0.1</v>
          </cell>
          <cell r="AL1702">
            <v>1666500</v>
          </cell>
          <cell r="AM1702">
            <v>44581</v>
          </cell>
          <cell r="AN1702" t="str">
            <v>Yes</v>
          </cell>
          <cell r="AO1702">
            <v>0.9</v>
          </cell>
          <cell r="AP1702">
            <v>14998500</v>
          </cell>
          <cell r="AQ1702">
            <v>44670</v>
          </cell>
          <cell r="AR1702">
            <v>44670</v>
          </cell>
          <cell r="AS1702">
            <v>0</v>
          </cell>
          <cell r="AT1702">
            <v>0</v>
          </cell>
          <cell r="AX1702" t="str">
            <v>Yes</v>
          </cell>
          <cell r="AZ1702" t="str">
            <v>Y</v>
          </cell>
          <cell r="BA1702" t="str">
            <v>Yes</v>
          </cell>
        </row>
        <row r="1703">
          <cell r="B1703">
            <v>1553</v>
          </cell>
          <cell r="C1703" t="str">
            <v>C49SZX20220006SX</v>
          </cell>
          <cell r="D1703" t="str">
            <v>微观</v>
          </cell>
          <cell r="E1703" t="str">
            <v>SIGMA G5S2</v>
          </cell>
          <cell r="I1703" t="str">
            <v>L-&gt;R</v>
          </cell>
          <cell r="J1703" t="str">
            <v>No</v>
          </cell>
          <cell r="K1703">
            <v>1</v>
          </cell>
          <cell r="N1703">
            <v>44670</v>
          </cell>
          <cell r="O1703">
            <v>11116739</v>
          </cell>
          <cell r="P1703">
            <v>16665000</v>
          </cell>
          <cell r="Q1703">
            <v>44676</v>
          </cell>
          <cell r="R1703" t="str">
            <v>Yes</v>
          </cell>
          <cell r="S1703" t="str">
            <v>C49</v>
          </cell>
          <cell r="T1703" t="str">
            <v>SOUTH</v>
          </cell>
          <cell r="U1703" t="str">
            <v>深圳</v>
          </cell>
          <cell r="V1703" t="str">
            <v>SZ 深圳</v>
          </cell>
          <cell r="W1703" t="str">
            <v>SX</v>
          </cell>
          <cell r="X1703" t="str">
            <v>JPY</v>
          </cell>
          <cell r="Y1703">
            <v>16665000</v>
          </cell>
          <cell r="Z1703">
            <v>1</v>
          </cell>
          <cell r="AA1703">
            <v>16665000</v>
          </cell>
          <cell r="AB1703">
            <v>7.0000000000000007E-2</v>
          </cell>
          <cell r="AC1703">
            <v>1166550</v>
          </cell>
          <cell r="AD1703">
            <v>139986</v>
          </cell>
          <cell r="AE1703">
            <v>0.12</v>
          </cell>
          <cell r="AF1703">
            <v>44575</v>
          </cell>
          <cell r="AG1703" t="str">
            <v>DAP ZS</v>
          </cell>
          <cell r="AK1703">
            <v>0.1</v>
          </cell>
          <cell r="AL1703">
            <v>1666500</v>
          </cell>
          <cell r="AM1703">
            <v>44581</v>
          </cell>
          <cell r="AN1703" t="str">
            <v>Yes</v>
          </cell>
          <cell r="AO1703">
            <v>0.9</v>
          </cell>
          <cell r="AP1703">
            <v>14998500</v>
          </cell>
          <cell r="AQ1703">
            <v>44670</v>
          </cell>
          <cell r="AR1703">
            <v>44670</v>
          </cell>
          <cell r="AS1703">
            <v>0</v>
          </cell>
          <cell r="AT1703">
            <v>0</v>
          </cell>
          <cell r="AX1703" t="str">
            <v>Yes</v>
          </cell>
          <cell r="AZ1703" t="str">
            <v>Y</v>
          </cell>
          <cell r="BA1703" t="str">
            <v>Yes</v>
          </cell>
        </row>
        <row r="1704">
          <cell r="B1704">
            <v>1554</v>
          </cell>
          <cell r="C1704" t="str">
            <v>C49SZX20220008AY</v>
          </cell>
          <cell r="D1704" t="str">
            <v>雨艺</v>
          </cell>
          <cell r="E1704" t="str">
            <v>YSM40R-4</v>
          </cell>
          <cell r="F1704"/>
          <cell r="H1704"/>
          <cell r="I1704" t="str">
            <v>L-&gt;R</v>
          </cell>
          <cell r="J1704" t="str">
            <v>No</v>
          </cell>
          <cell r="K1704">
            <v>1</v>
          </cell>
          <cell r="L1704"/>
          <cell r="N1704"/>
          <cell r="O1704"/>
          <cell r="P1704"/>
          <cell r="Q1704"/>
          <cell r="R1704" t="str">
            <v>Yes</v>
          </cell>
          <cell r="S1704" t="str">
            <v>C49</v>
          </cell>
          <cell r="T1704" t="str">
            <v>SOUTH</v>
          </cell>
          <cell r="U1704" t="str">
            <v>深圳</v>
          </cell>
          <cell r="V1704" t="str">
            <v>SZ 深圳</v>
          </cell>
          <cell r="W1704" t="str">
            <v>AY</v>
          </cell>
          <cell r="X1704" t="str">
            <v>RMB</v>
          </cell>
          <cell r="Y1704">
            <v>1300000</v>
          </cell>
          <cell r="Z1704">
            <v>1.1299999999999999</v>
          </cell>
          <cell r="AA1704">
            <v>1300000</v>
          </cell>
          <cell r="AB1704">
            <v>1.22</v>
          </cell>
          <cell r="AC1704">
            <v>1403539.8230088495</v>
          </cell>
          <cell r="AD1704">
            <v>168424.77876106193</v>
          </cell>
          <cell r="AE1704">
            <v>0.12</v>
          </cell>
          <cell r="AF1704">
            <v>44575</v>
          </cell>
          <cell r="AG1704" t="str">
            <v>DDP SZ</v>
          </cell>
          <cell r="AI1704"/>
          <cell r="AJ1704"/>
          <cell r="AK1704">
            <v>0.1</v>
          </cell>
          <cell r="AL1704">
            <v>130000</v>
          </cell>
          <cell r="AM1704"/>
          <cell r="AN1704" t="str">
            <v>No</v>
          </cell>
          <cell r="AO1704">
            <v>0.9</v>
          </cell>
          <cell r="AP1704">
            <v>1170000</v>
          </cell>
          <cell r="AQ1704"/>
          <cell r="AR1704"/>
          <cell r="AS1704">
            <v>0</v>
          </cell>
          <cell r="AT1704">
            <v>0</v>
          </cell>
          <cell r="AV1704"/>
          <cell r="AX1704" t="str">
            <v>Cancel</v>
          </cell>
          <cell r="AY1704"/>
          <cell r="AZ1704"/>
          <cell r="BA1704" t="str">
            <v>Cancel</v>
          </cell>
          <cell r="BB1704" t="str">
            <v>2022-10-10Ken邮件通知</v>
          </cell>
        </row>
        <row r="1705">
          <cell r="B1705">
            <v>1555</v>
          </cell>
          <cell r="C1705" t="str">
            <v>C49SZX20220008AY</v>
          </cell>
          <cell r="D1705" t="str">
            <v>雨艺</v>
          </cell>
          <cell r="E1705" t="str">
            <v>YSM40R-4</v>
          </cell>
          <cell r="F1705"/>
          <cell r="H1705"/>
          <cell r="I1705" t="str">
            <v>L-&gt;R</v>
          </cell>
          <cell r="J1705" t="str">
            <v>No</v>
          </cell>
          <cell r="K1705">
            <v>1</v>
          </cell>
          <cell r="L1705"/>
          <cell r="N1705"/>
          <cell r="O1705"/>
          <cell r="P1705"/>
          <cell r="Q1705"/>
          <cell r="R1705" t="str">
            <v>Yes</v>
          </cell>
          <cell r="S1705" t="str">
            <v>C49</v>
          </cell>
          <cell r="T1705" t="str">
            <v>SOUTH</v>
          </cell>
          <cell r="U1705" t="str">
            <v>深圳</v>
          </cell>
          <cell r="V1705" t="str">
            <v>SZ 深圳</v>
          </cell>
          <cell r="W1705" t="str">
            <v>AY</v>
          </cell>
          <cell r="X1705" t="str">
            <v>RMB</v>
          </cell>
          <cell r="Y1705">
            <v>1300000</v>
          </cell>
          <cell r="Z1705">
            <v>1.1299999999999999</v>
          </cell>
          <cell r="AA1705">
            <v>1300000</v>
          </cell>
          <cell r="AB1705">
            <v>1.22</v>
          </cell>
          <cell r="AC1705">
            <v>1403539.8230088495</v>
          </cell>
          <cell r="AD1705">
            <v>168424.77876106193</v>
          </cell>
          <cell r="AE1705">
            <v>0.12</v>
          </cell>
          <cell r="AF1705">
            <v>44575</v>
          </cell>
          <cell r="AG1705" t="str">
            <v>DDP SZ</v>
          </cell>
          <cell r="AI1705"/>
          <cell r="AJ1705"/>
          <cell r="AK1705">
            <v>0.1</v>
          </cell>
          <cell r="AL1705">
            <v>130000</v>
          </cell>
          <cell r="AM1705"/>
          <cell r="AN1705" t="str">
            <v>No</v>
          </cell>
          <cell r="AO1705">
            <v>0.9</v>
          </cell>
          <cell r="AP1705">
            <v>1170000</v>
          </cell>
          <cell r="AQ1705"/>
          <cell r="AR1705"/>
          <cell r="AS1705">
            <v>0</v>
          </cell>
          <cell r="AT1705">
            <v>0</v>
          </cell>
          <cell r="AV1705"/>
          <cell r="AX1705" t="str">
            <v>Cancel</v>
          </cell>
          <cell r="AY1705"/>
          <cell r="AZ1705"/>
          <cell r="BA1705" t="str">
            <v>Cancel</v>
          </cell>
          <cell r="BB1705" t="str">
            <v>2022-10-10Ken邮件通知</v>
          </cell>
        </row>
        <row r="1706">
          <cell r="B1706">
            <v>1556</v>
          </cell>
          <cell r="C1706" t="str">
            <v>C49SZX20220002BX</v>
          </cell>
          <cell r="D1706" t="str">
            <v>渝溢三甲</v>
          </cell>
          <cell r="E1706" t="str">
            <v>YSM20R-2</v>
          </cell>
          <cell r="I1706" t="str">
            <v>R-&gt;L</v>
          </cell>
          <cell r="J1706" t="str">
            <v>No</v>
          </cell>
          <cell r="K1706">
            <v>1</v>
          </cell>
          <cell r="N1706">
            <v>44606</v>
          </cell>
          <cell r="O1706">
            <v>11116707</v>
          </cell>
          <cell r="P1706">
            <v>12800000</v>
          </cell>
          <cell r="Q1706">
            <v>44620</v>
          </cell>
          <cell r="R1706" t="str">
            <v>Yes</v>
          </cell>
          <cell r="S1706" t="str">
            <v>C49</v>
          </cell>
          <cell r="T1706" t="str">
            <v>SOUTH</v>
          </cell>
          <cell r="U1706" t="str">
            <v>深圳</v>
          </cell>
          <cell r="V1706" t="str">
            <v>SZ 深圳</v>
          </cell>
          <cell r="W1706" t="str">
            <v>BX</v>
          </cell>
          <cell r="X1706" t="str">
            <v>JPY</v>
          </cell>
          <cell r="Y1706">
            <v>12800000</v>
          </cell>
          <cell r="Z1706">
            <v>1</v>
          </cell>
          <cell r="AA1706">
            <v>12800000</v>
          </cell>
          <cell r="AB1706">
            <v>7.0000000000000007E-2</v>
          </cell>
          <cell r="AC1706">
            <v>896000.00000000012</v>
          </cell>
          <cell r="AD1706">
            <v>107520.00000000001</v>
          </cell>
          <cell r="AE1706">
            <v>0.12</v>
          </cell>
          <cell r="AF1706">
            <v>44567</v>
          </cell>
          <cell r="AG1706" t="str">
            <v>DAP HZ</v>
          </cell>
          <cell r="AK1706">
            <v>0.1</v>
          </cell>
          <cell r="AL1706">
            <v>1280000</v>
          </cell>
          <cell r="AM1706">
            <v>44585</v>
          </cell>
          <cell r="AN1706" t="str">
            <v>Yes</v>
          </cell>
          <cell r="AO1706">
            <v>0.9</v>
          </cell>
          <cell r="AP1706">
            <v>11520000</v>
          </cell>
          <cell r="AQ1706">
            <v>44603</v>
          </cell>
          <cell r="AR1706">
            <v>44603</v>
          </cell>
          <cell r="AS1706">
            <v>0</v>
          </cell>
          <cell r="AT1706">
            <v>0</v>
          </cell>
          <cell r="AX1706" t="str">
            <v>Yes</v>
          </cell>
          <cell r="AZ1706" t="str">
            <v>Y</v>
          </cell>
          <cell r="BA1706" t="str">
            <v>Yes</v>
          </cell>
        </row>
        <row r="1707">
          <cell r="B1707">
            <v>1557</v>
          </cell>
          <cell r="C1707" t="str">
            <v>C49SZX20220002BX</v>
          </cell>
          <cell r="D1707" t="str">
            <v>渝溢三甲</v>
          </cell>
          <cell r="E1707" t="str">
            <v>YSM10</v>
          </cell>
          <cell r="I1707" t="str">
            <v>R-&gt;L</v>
          </cell>
          <cell r="J1707" t="str">
            <v>No</v>
          </cell>
          <cell r="K1707">
            <v>1</v>
          </cell>
          <cell r="N1707">
            <v>44659</v>
          </cell>
          <cell r="O1707">
            <v>11116745</v>
          </cell>
          <cell r="P1707">
            <v>7800000</v>
          </cell>
          <cell r="Q1707">
            <v>44677</v>
          </cell>
          <cell r="R1707" t="str">
            <v>Yes</v>
          </cell>
          <cell r="S1707" t="str">
            <v>C49</v>
          </cell>
          <cell r="T1707" t="str">
            <v>SOUTH</v>
          </cell>
          <cell r="U1707" t="str">
            <v>深圳</v>
          </cell>
          <cell r="V1707" t="str">
            <v>SZ 深圳</v>
          </cell>
          <cell r="W1707" t="str">
            <v>BX</v>
          </cell>
          <cell r="X1707" t="str">
            <v>JPY</v>
          </cell>
          <cell r="Y1707">
            <v>7800000</v>
          </cell>
          <cell r="Z1707">
            <v>1</v>
          </cell>
          <cell r="AA1707">
            <v>7800000</v>
          </cell>
          <cell r="AB1707">
            <v>7.0000000000000007E-2</v>
          </cell>
          <cell r="AC1707">
            <v>546000</v>
          </cell>
          <cell r="AD1707">
            <v>65520</v>
          </cell>
          <cell r="AE1707">
            <v>0.12</v>
          </cell>
          <cell r="AF1707">
            <v>44567</v>
          </cell>
          <cell r="AG1707" t="str">
            <v>DAP HZ</v>
          </cell>
          <cell r="AK1707">
            <v>0.1</v>
          </cell>
          <cell r="AL1707">
            <v>780000</v>
          </cell>
          <cell r="AM1707">
            <v>44585</v>
          </cell>
          <cell r="AN1707" t="str">
            <v>Yes</v>
          </cell>
          <cell r="AO1707">
            <v>0.9</v>
          </cell>
          <cell r="AP1707">
            <v>7020000</v>
          </cell>
          <cell r="AQ1707">
            <v>44603</v>
          </cell>
          <cell r="AR1707">
            <v>44603</v>
          </cell>
          <cell r="AS1707">
            <v>0</v>
          </cell>
          <cell r="AT1707">
            <v>0</v>
          </cell>
          <cell r="AX1707" t="str">
            <v>Yes</v>
          </cell>
          <cell r="AZ1707" t="str">
            <v>Y</v>
          </cell>
          <cell r="BA1707" t="str">
            <v>Yes</v>
          </cell>
        </row>
        <row r="1708">
          <cell r="B1708">
            <v>1558</v>
          </cell>
          <cell r="C1708" t="str">
            <v>C49SZX20220010SQ</v>
          </cell>
          <cell r="D1708" t="str">
            <v>达锂</v>
          </cell>
          <cell r="E1708" t="str">
            <v>YSM20R-2</v>
          </cell>
          <cell r="I1708" t="str">
            <v>L-&gt;R</v>
          </cell>
          <cell r="J1708" t="str">
            <v>No</v>
          </cell>
          <cell r="K1708">
            <v>1</v>
          </cell>
          <cell r="N1708">
            <v>44659</v>
          </cell>
          <cell r="O1708">
            <v>11116719</v>
          </cell>
          <cell r="P1708">
            <v>17000000</v>
          </cell>
          <cell r="Q1708">
            <v>44648</v>
          </cell>
          <cell r="R1708" t="str">
            <v>Yes</v>
          </cell>
          <cell r="S1708" t="str">
            <v>C49</v>
          </cell>
          <cell r="T1708" t="str">
            <v>SOUTH</v>
          </cell>
          <cell r="U1708" t="str">
            <v>深圳</v>
          </cell>
          <cell r="V1708" t="str">
            <v>SZ 深圳</v>
          </cell>
          <cell r="W1708" t="str">
            <v>SQ</v>
          </cell>
          <cell r="X1708" t="str">
            <v>JPY</v>
          </cell>
          <cell r="Y1708">
            <v>17000000</v>
          </cell>
          <cell r="Z1708">
            <v>1</v>
          </cell>
          <cell r="AA1708">
            <v>17000000</v>
          </cell>
          <cell r="AB1708">
            <v>7.0000000000000007E-2</v>
          </cell>
          <cell r="AC1708">
            <v>1190000</v>
          </cell>
          <cell r="AD1708">
            <v>142800</v>
          </cell>
          <cell r="AE1708">
            <v>0.12</v>
          </cell>
          <cell r="AF1708">
            <v>44581</v>
          </cell>
          <cell r="AG1708" t="str">
            <v>DAP DG</v>
          </cell>
          <cell r="AK1708">
            <v>0.15</v>
          </cell>
          <cell r="AL1708">
            <v>2550000</v>
          </cell>
          <cell r="AM1708">
            <v>44588</v>
          </cell>
          <cell r="AN1708" t="str">
            <v>Yes</v>
          </cell>
          <cell r="AO1708">
            <v>0.85</v>
          </cell>
          <cell r="AP1708">
            <v>14450000</v>
          </cell>
          <cell r="AQ1708">
            <v>44624</v>
          </cell>
          <cell r="AR1708">
            <v>44624</v>
          </cell>
          <cell r="AS1708">
            <v>0</v>
          </cell>
          <cell r="AT1708">
            <v>0</v>
          </cell>
          <cell r="AX1708" t="str">
            <v>Yes</v>
          </cell>
          <cell r="AZ1708" t="str">
            <v>Y</v>
          </cell>
          <cell r="BA1708" t="str">
            <v>Yes</v>
          </cell>
        </row>
        <row r="1709">
          <cell r="B1709">
            <v>1559</v>
          </cell>
          <cell r="C1709" t="str">
            <v>C49SZX20220010SQ</v>
          </cell>
          <cell r="D1709" t="str">
            <v>达锂</v>
          </cell>
          <cell r="E1709" t="str">
            <v>YSM10</v>
          </cell>
          <cell r="I1709" t="str">
            <v>L-&gt;R</v>
          </cell>
          <cell r="J1709" t="str">
            <v>MVC+ATS15</v>
          </cell>
          <cell r="K1709">
            <v>1</v>
          </cell>
          <cell r="N1709">
            <v>44659</v>
          </cell>
          <cell r="O1709">
            <v>11116719</v>
          </cell>
          <cell r="P1709">
            <v>11800000</v>
          </cell>
          <cell r="Q1709">
            <v>44648</v>
          </cell>
          <cell r="R1709" t="str">
            <v>Yes</v>
          </cell>
          <cell r="S1709" t="str">
            <v>C49</v>
          </cell>
          <cell r="T1709" t="str">
            <v>SOUTH</v>
          </cell>
          <cell r="U1709" t="str">
            <v>深圳</v>
          </cell>
          <cell r="V1709" t="str">
            <v>SZ 深圳</v>
          </cell>
          <cell r="W1709" t="str">
            <v>SQ</v>
          </cell>
          <cell r="X1709" t="str">
            <v>JPY</v>
          </cell>
          <cell r="Y1709">
            <v>11800000</v>
          </cell>
          <cell r="Z1709">
            <v>1</v>
          </cell>
          <cell r="AA1709">
            <v>11800000</v>
          </cell>
          <cell r="AB1709">
            <v>7.0000000000000007E-2</v>
          </cell>
          <cell r="AC1709">
            <v>826000.00000000012</v>
          </cell>
          <cell r="AD1709">
            <v>99120.000000000015</v>
          </cell>
          <cell r="AE1709">
            <v>0.12</v>
          </cell>
          <cell r="AF1709">
            <v>44581</v>
          </cell>
          <cell r="AG1709" t="str">
            <v>DAP DG</v>
          </cell>
          <cell r="AK1709">
            <v>0.15</v>
          </cell>
          <cell r="AL1709">
            <v>1770000</v>
          </cell>
          <cell r="AM1709">
            <v>44588</v>
          </cell>
          <cell r="AN1709" t="str">
            <v>Yes</v>
          </cell>
          <cell r="AO1709">
            <v>0.85</v>
          </cell>
          <cell r="AP1709">
            <v>10030000</v>
          </cell>
          <cell r="AQ1709">
            <v>44624</v>
          </cell>
          <cell r="AR1709">
            <v>44624</v>
          </cell>
          <cell r="AS1709">
            <v>0</v>
          </cell>
          <cell r="AT1709">
            <v>0</v>
          </cell>
          <cell r="AX1709" t="str">
            <v>Yes</v>
          </cell>
          <cell r="AZ1709" t="str">
            <v>Y</v>
          </cell>
          <cell r="BA1709" t="str">
            <v>Yes</v>
          </cell>
        </row>
        <row r="1710">
          <cell r="B1710">
            <v>1560</v>
          </cell>
          <cell r="C1710" t="str">
            <v>C49SZX20220009JL</v>
          </cell>
          <cell r="D1710" t="str">
            <v>博新</v>
          </cell>
          <cell r="E1710" t="str">
            <v>YSM20R-2</v>
          </cell>
          <cell r="F1710"/>
          <cell r="H1710"/>
          <cell r="I1710" t="str">
            <v>R-&gt;L</v>
          </cell>
          <cell r="J1710" t="str">
            <v>No</v>
          </cell>
          <cell r="K1710">
            <v>1</v>
          </cell>
          <cell r="L1710"/>
          <cell r="N1710"/>
          <cell r="O1710"/>
          <cell r="P1710"/>
          <cell r="Q1710"/>
          <cell r="R1710" t="str">
            <v>No</v>
          </cell>
          <cell r="S1710" t="str">
            <v>C49</v>
          </cell>
          <cell r="T1710" t="str">
            <v>SOUTH</v>
          </cell>
          <cell r="U1710" t="str">
            <v>深圳</v>
          </cell>
          <cell r="V1710" t="str">
            <v>SZ 深圳</v>
          </cell>
          <cell r="W1710" t="str">
            <v>JL</v>
          </cell>
          <cell r="X1710" t="str">
            <v>JPY</v>
          </cell>
          <cell r="Y1710">
            <v>12300000</v>
          </cell>
          <cell r="Z1710">
            <v>1</v>
          </cell>
          <cell r="AA1710">
            <v>12300000</v>
          </cell>
          <cell r="AB1710">
            <v>7.0000000000000007E-2</v>
          </cell>
          <cell r="AC1710">
            <v>861000.00000000012</v>
          </cell>
          <cell r="AD1710">
            <v>103320.00000000001</v>
          </cell>
          <cell r="AE1710">
            <v>0.12</v>
          </cell>
          <cell r="AF1710">
            <v>44581</v>
          </cell>
          <cell r="AG1710" t="str">
            <v>DAP DG</v>
          </cell>
          <cell r="AI1710"/>
          <cell r="AJ1710"/>
          <cell r="AK1710">
            <v>0.1</v>
          </cell>
          <cell r="AL1710">
            <v>1230000</v>
          </cell>
          <cell r="AM1710"/>
          <cell r="AN1710" t="str">
            <v>No</v>
          </cell>
          <cell r="AO1710">
            <v>0.9</v>
          </cell>
          <cell r="AP1710">
            <v>11070000</v>
          </cell>
          <cell r="AQ1710"/>
          <cell r="AR1710"/>
          <cell r="AS1710">
            <v>0</v>
          </cell>
          <cell r="AT1710">
            <v>0</v>
          </cell>
          <cell r="AV1710"/>
          <cell r="AX1710" t="str">
            <v>Cancel</v>
          </cell>
          <cell r="AY1710"/>
          <cell r="AZ1710"/>
          <cell r="BA1710" t="str">
            <v>Cancel</v>
          </cell>
          <cell r="BB1710" t="str">
            <v>2023-3-31Ken邮件通知</v>
          </cell>
        </row>
        <row r="1711">
          <cell r="B1711">
            <v>1561</v>
          </cell>
          <cell r="C1711" t="str">
            <v>C49SZX20220003EC</v>
          </cell>
          <cell r="D1711" t="str">
            <v>海红天远</v>
          </cell>
          <cell r="E1711" t="str">
            <v>YSM20R-2</v>
          </cell>
          <cell r="I1711" t="str">
            <v>R-&gt;L</v>
          </cell>
          <cell r="J1711" t="str">
            <v>No</v>
          </cell>
          <cell r="K1711">
            <v>1</v>
          </cell>
          <cell r="N1711">
            <v>44691</v>
          </cell>
          <cell r="O1711">
            <v>11116748</v>
          </cell>
          <cell r="P1711">
            <v>18000000</v>
          </cell>
          <cell r="Q1711">
            <v>44697</v>
          </cell>
          <cell r="R1711" t="str">
            <v>No</v>
          </cell>
          <cell r="S1711" t="str">
            <v>C49</v>
          </cell>
          <cell r="T1711" t="str">
            <v>SOUTH</v>
          </cell>
          <cell r="U1711" t="str">
            <v>深圳</v>
          </cell>
          <cell r="V1711" t="str">
            <v>SZ 深圳</v>
          </cell>
          <cell r="W1711" t="str">
            <v>EC</v>
          </cell>
          <cell r="X1711" t="str">
            <v>JPY</v>
          </cell>
          <cell r="Y1711">
            <v>18000000</v>
          </cell>
          <cell r="Z1711">
            <v>1</v>
          </cell>
          <cell r="AA1711">
            <v>18000000</v>
          </cell>
          <cell r="AB1711">
            <v>7.0000000000000007E-2</v>
          </cell>
          <cell r="AC1711">
            <v>1260000.0000000002</v>
          </cell>
          <cell r="AD1711">
            <v>151200.00000000003</v>
          </cell>
          <cell r="AE1711">
            <v>0.12</v>
          </cell>
          <cell r="AF1711">
            <v>44585</v>
          </cell>
          <cell r="AG1711" t="str">
            <v>CIF HK</v>
          </cell>
          <cell r="AK1711">
            <v>0.2</v>
          </cell>
          <cell r="AL1711">
            <v>3600000</v>
          </cell>
          <cell r="AM1711">
            <v>44586</v>
          </cell>
          <cell r="AN1711" t="str">
            <v>Yes</v>
          </cell>
          <cell r="AO1711">
            <v>0.8</v>
          </cell>
          <cell r="AP1711">
            <v>14400000</v>
          </cell>
          <cell r="AQ1711">
            <v>44680</v>
          </cell>
          <cell r="AR1711">
            <v>44680</v>
          </cell>
          <cell r="AS1711">
            <v>0</v>
          </cell>
          <cell r="AT1711">
            <v>0</v>
          </cell>
          <cell r="AX1711" t="str">
            <v>Yes</v>
          </cell>
          <cell r="AZ1711" t="str">
            <v>Y</v>
          </cell>
          <cell r="BA1711" t="str">
            <v>Yes</v>
          </cell>
        </row>
        <row r="1712">
          <cell r="B1712">
            <v>1562</v>
          </cell>
          <cell r="C1712" t="str">
            <v>C49SZX20220003EC</v>
          </cell>
          <cell r="D1712" t="str">
            <v>海红天远</v>
          </cell>
          <cell r="E1712" t="str">
            <v>YSM20R-2</v>
          </cell>
          <cell r="I1712" t="str">
            <v>L-&gt;R</v>
          </cell>
          <cell r="J1712" t="str">
            <v>No</v>
          </cell>
          <cell r="K1712">
            <v>1</v>
          </cell>
          <cell r="N1712">
            <v>44691</v>
          </cell>
          <cell r="O1712">
            <v>11116748</v>
          </cell>
          <cell r="P1712">
            <v>18000000</v>
          </cell>
          <cell r="Q1712">
            <v>44697</v>
          </cell>
          <cell r="R1712" t="str">
            <v>No</v>
          </cell>
          <cell r="S1712" t="str">
            <v>C49</v>
          </cell>
          <cell r="T1712" t="str">
            <v>SOUTH</v>
          </cell>
          <cell r="U1712" t="str">
            <v>深圳</v>
          </cell>
          <cell r="V1712" t="str">
            <v>SZ 深圳</v>
          </cell>
          <cell r="W1712" t="str">
            <v>EC</v>
          </cell>
          <cell r="X1712" t="str">
            <v>JPY</v>
          </cell>
          <cell r="Y1712">
            <v>18000000</v>
          </cell>
          <cell r="Z1712">
            <v>1</v>
          </cell>
          <cell r="AA1712">
            <v>18000000</v>
          </cell>
          <cell r="AB1712">
            <v>7.0000000000000007E-2</v>
          </cell>
          <cell r="AC1712">
            <v>1260000.0000000002</v>
          </cell>
          <cell r="AD1712">
            <v>151200.00000000003</v>
          </cell>
          <cell r="AE1712">
            <v>0.12</v>
          </cell>
          <cell r="AF1712">
            <v>44585</v>
          </cell>
          <cell r="AG1712" t="str">
            <v>CIF HK</v>
          </cell>
          <cell r="AK1712">
            <v>0.2</v>
          </cell>
          <cell r="AL1712">
            <v>3600000</v>
          </cell>
          <cell r="AM1712">
            <v>44586</v>
          </cell>
          <cell r="AN1712" t="str">
            <v>Yes</v>
          </cell>
          <cell r="AO1712">
            <v>0.8</v>
          </cell>
          <cell r="AP1712">
            <v>14400000</v>
          </cell>
          <cell r="AQ1712">
            <v>44680</v>
          </cell>
          <cell r="AR1712">
            <v>44680</v>
          </cell>
          <cell r="AS1712">
            <v>0</v>
          </cell>
          <cell r="AT1712">
            <v>0</v>
          </cell>
          <cell r="AX1712" t="str">
            <v>Yes</v>
          </cell>
          <cell r="AZ1712" t="str">
            <v>Y</v>
          </cell>
          <cell r="BA1712" t="str">
            <v>Yes</v>
          </cell>
        </row>
        <row r="1713">
          <cell r="B1713">
            <v>1563</v>
          </cell>
          <cell r="C1713" t="str">
            <v>C49SZX20220003EC</v>
          </cell>
          <cell r="D1713" t="str">
            <v>海红天远</v>
          </cell>
          <cell r="E1713" t="str">
            <v>YSM10</v>
          </cell>
          <cell r="I1713" t="str">
            <v>L-&gt;R</v>
          </cell>
          <cell r="J1713" t="str">
            <v>MVC+ATS15</v>
          </cell>
          <cell r="K1713">
            <v>1</v>
          </cell>
          <cell r="N1713">
            <v>44688</v>
          </cell>
          <cell r="O1713">
            <v>11116748</v>
          </cell>
          <cell r="P1713">
            <v>11500000</v>
          </cell>
          <cell r="Q1713">
            <v>44697</v>
          </cell>
          <cell r="R1713" t="str">
            <v>No</v>
          </cell>
          <cell r="S1713" t="str">
            <v>C49</v>
          </cell>
          <cell r="T1713" t="str">
            <v>SOUTH</v>
          </cell>
          <cell r="U1713" t="str">
            <v>深圳</v>
          </cell>
          <cell r="V1713" t="str">
            <v>SZ 深圳</v>
          </cell>
          <cell r="W1713" t="str">
            <v>EC</v>
          </cell>
          <cell r="X1713" t="str">
            <v>JPY</v>
          </cell>
          <cell r="Y1713">
            <v>11500000</v>
          </cell>
          <cell r="Z1713">
            <v>1</v>
          </cell>
          <cell r="AA1713">
            <v>11500000</v>
          </cell>
          <cell r="AB1713">
            <v>7.0000000000000007E-2</v>
          </cell>
          <cell r="AC1713">
            <v>805000.00000000012</v>
          </cell>
          <cell r="AD1713">
            <v>96600.000000000015</v>
          </cell>
          <cell r="AE1713">
            <v>0.12</v>
          </cell>
          <cell r="AF1713">
            <v>44585</v>
          </cell>
          <cell r="AG1713" t="str">
            <v>CIF HK</v>
          </cell>
          <cell r="AK1713">
            <v>0.2</v>
          </cell>
          <cell r="AL1713">
            <v>2300000</v>
          </cell>
          <cell r="AM1713">
            <v>44586</v>
          </cell>
          <cell r="AN1713" t="str">
            <v>Yes</v>
          </cell>
          <cell r="AO1713">
            <v>0.8</v>
          </cell>
          <cell r="AP1713">
            <v>9200000</v>
          </cell>
          <cell r="AQ1713">
            <v>44680</v>
          </cell>
          <cell r="AR1713">
            <v>44680</v>
          </cell>
          <cell r="AS1713">
            <v>0</v>
          </cell>
          <cell r="AT1713">
            <v>0</v>
          </cell>
          <cell r="AX1713" t="str">
            <v>Yes</v>
          </cell>
          <cell r="AZ1713" t="str">
            <v>Y</v>
          </cell>
          <cell r="BA1713" t="str">
            <v>Yes</v>
          </cell>
        </row>
        <row r="1714">
          <cell r="B1714">
            <v>1564</v>
          </cell>
          <cell r="C1714" t="str">
            <v>C49SZX20220003EC</v>
          </cell>
          <cell r="D1714" t="str">
            <v>海红天远</v>
          </cell>
          <cell r="E1714" t="str">
            <v>YSM10</v>
          </cell>
          <cell r="I1714" t="str">
            <v>L-&gt;R</v>
          </cell>
          <cell r="J1714" t="str">
            <v>MVC+ATS15</v>
          </cell>
          <cell r="K1714">
            <v>1</v>
          </cell>
          <cell r="N1714">
            <v>44691</v>
          </cell>
          <cell r="O1714">
            <v>11116748</v>
          </cell>
          <cell r="P1714">
            <v>11500000</v>
          </cell>
          <cell r="Q1714">
            <v>44697</v>
          </cell>
          <cell r="R1714" t="str">
            <v>No</v>
          </cell>
          <cell r="S1714" t="str">
            <v>C49</v>
          </cell>
          <cell r="T1714" t="str">
            <v>SOUTH</v>
          </cell>
          <cell r="U1714" t="str">
            <v>深圳</v>
          </cell>
          <cell r="V1714" t="str">
            <v>SZ 深圳</v>
          </cell>
          <cell r="W1714" t="str">
            <v>EC</v>
          </cell>
          <cell r="X1714" t="str">
            <v>JPY</v>
          </cell>
          <cell r="Y1714">
            <v>11500000</v>
          </cell>
          <cell r="Z1714">
            <v>1</v>
          </cell>
          <cell r="AA1714">
            <v>11500000</v>
          </cell>
          <cell r="AB1714">
            <v>7.0000000000000007E-2</v>
          </cell>
          <cell r="AC1714">
            <v>805000.00000000012</v>
          </cell>
          <cell r="AD1714">
            <v>96600.000000000015</v>
          </cell>
          <cell r="AE1714">
            <v>0.12</v>
          </cell>
          <cell r="AF1714">
            <v>44585</v>
          </cell>
          <cell r="AG1714" t="str">
            <v>CIF HK</v>
          </cell>
          <cell r="AK1714">
            <v>0.2</v>
          </cell>
          <cell r="AL1714">
            <v>2300000</v>
          </cell>
          <cell r="AM1714">
            <v>44586</v>
          </cell>
          <cell r="AN1714" t="str">
            <v>Yes</v>
          </cell>
          <cell r="AO1714">
            <v>0.8</v>
          </cell>
          <cell r="AP1714">
            <v>9200000</v>
          </cell>
          <cell r="AQ1714">
            <v>44680</v>
          </cell>
          <cell r="AR1714">
            <v>44680</v>
          </cell>
          <cell r="AS1714">
            <v>0</v>
          </cell>
          <cell r="AT1714">
            <v>0</v>
          </cell>
          <cell r="AX1714" t="str">
            <v>Yes</v>
          </cell>
          <cell r="AZ1714" t="str">
            <v>Y</v>
          </cell>
          <cell r="BA1714" t="str">
            <v>Yes</v>
          </cell>
        </row>
        <row r="1715">
          <cell r="B1715">
            <v>1565</v>
          </cell>
          <cell r="C1715" t="str">
            <v>C49SZX20220003EC</v>
          </cell>
          <cell r="D1715" t="str">
            <v>海红天远</v>
          </cell>
          <cell r="E1715" t="str">
            <v>YSM10</v>
          </cell>
          <cell r="I1715" t="str">
            <v>R-&gt;L</v>
          </cell>
          <cell r="J1715" t="str">
            <v>No</v>
          </cell>
          <cell r="K1715">
            <v>1</v>
          </cell>
          <cell r="N1715">
            <v>44691</v>
          </cell>
          <cell r="O1715">
            <v>11116748</v>
          </cell>
          <cell r="P1715">
            <v>11500000</v>
          </cell>
          <cell r="Q1715">
            <v>44697</v>
          </cell>
          <cell r="R1715" t="str">
            <v>No</v>
          </cell>
          <cell r="S1715" t="str">
            <v>C49</v>
          </cell>
          <cell r="T1715" t="str">
            <v>SOUTH</v>
          </cell>
          <cell r="U1715" t="str">
            <v>深圳</v>
          </cell>
          <cell r="V1715" t="str">
            <v>SZ 深圳</v>
          </cell>
          <cell r="W1715" t="str">
            <v>EC</v>
          </cell>
          <cell r="X1715" t="str">
            <v>JPY</v>
          </cell>
          <cell r="Y1715">
            <v>11500000</v>
          </cell>
          <cell r="Z1715">
            <v>1</v>
          </cell>
          <cell r="AA1715">
            <v>11500000</v>
          </cell>
          <cell r="AB1715">
            <v>7.0000000000000007E-2</v>
          </cell>
          <cell r="AC1715">
            <v>805000.00000000012</v>
          </cell>
          <cell r="AD1715">
            <v>96600.000000000015</v>
          </cell>
          <cell r="AE1715">
            <v>0.12</v>
          </cell>
          <cell r="AF1715">
            <v>44585</v>
          </cell>
          <cell r="AG1715" t="str">
            <v>CIF HK</v>
          </cell>
          <cell r="AK1715">
            <v>0.2</v>
          </cell>
          <cell r="AL1715">
            <v>2300000</v>
          </cell>
          <cell r="AM1715">
            <v>44586</v>
          </cell>
          <cell r="AN1715" t="str">
            <v>Yes</v>
          </cell>
          <cell r="AO1715">
            <v>0.8</v>
          </cell>
          <cell r="AP1715">
            <v>9200000</v>
          </cell>
          <cell r="AQ1715">
            <v>44680</v>
          </cell>
          <cell r="AR1715">
            <v>44680</v>
          </cell>
          <cell r="AS1715">
            <v>0</v>
          </cell>
          <cell r="AT1715">
            <v>0</v>
          </cell>
          <cell r="AX1715" t="str">
            <v>Yes</v>
          </cell>
          <cell r="AZ1715" t="str">
            <v>Y</v>
          </cell>
          <cell r="BA1715" t="str">
            <v>Yes</v>
          </cell>
        </row>
        <row r="1716">
          <cell r="B1716">
            <v>1566</v>
          </cell>
          <cell r="C1716" t="str">
            <v>C49SZX20220003EC</v>
          </cell>
          <cell r="D1716" t="str">
            <v>海红天远</v>
          </cell>
          <cell r="E1716" t="str">
            <v>YSM10</v>
          </cell>
          <cell r="I1716" t="str">
            <v>R-&gt;L</v>
          </cell>
          <cell r="J1716" t="str">
            <v>No</v>
          </cell>
          <cell r="K1716">
            <v>1</v>
          </cell>
          <cell r="N1716">
            <v>44691</v>
          </cell>
          <cell r="O1716">
            <v>11116748</v>
          </cell>
          <cell r="P1716">
            <v>11500000</v>
          </cell>
          <cell r="Q1716">
            <v>44697</v>
          </cell>
          <cell r="R1716" t="str">
            <v>No</v>
          </cell>
          <cell r="S1716" t="str">
            <v>C49</v>
          </cell>
          <cell r="T1716" t="str">
            <v>SOUTH</v>
          </cell>
          <cell r="U1716" t="str">
            <v>深圳</v>
          </cell>
          <cell r="V1716" t="str">
            <v>SZ 深圳</v>
          </cell>
          <cell r="W1716" t="str">
            <v>EC</v>
          </cell>
          <cell r="X1716" t="str">
            <v>JPY</v>
          </cell>
          <cell r="Y1716">
            <v>11500000</v>
          </cell>
          <cell r="Z1716">
            <v>1</v>
          </cell>
          <cell r="AA1716">
            <v>11500000</v>
          </cell>
          <cell r="AB1716">
            <v>7.0000000000000007E-2</v>
          </cell>
          <cell r="AC1716">
            <v>805000.00000000012</v>
          </cell>
          <cell r="AD1716">
            <v>96600.000000000015</v>
          </cell>
          <cell r="AE1716">
            <v>0.12</v>
          </cell>
          <cell r="AF1716">
            <v>44585</v>
          </cell>
          <cell r="AG1716" t="str">
            <v>CIF HK</v>
          </cell>
          <cell r="AK1716">
            <v>0.2</v>
          </cell>
          <cell r="AL1716">
            <v>2300000</v>
          </cell>
          <cell r="AM1716">
            <v>44586</v>
          </cell>
          <cell r="AN1716" t="str">
            <v>Yes</v>
          </cell>
          <cell r="AO1716">
            <v>0.8</v>
          </cell>
          <cell r="AP1716">
            <v>9200000</v>
          </cell>
          <cell r="AQ1716">
            <v>44680</v>
          </cell>
          <cell r="AR1716">
            <v>44680</v>
          </cell>
          <cell r="AS1716">
            <v>0</v>
          </cell>
          <cell r="AT1716">
            <v>0</v>
          </cell>
          <cell r="AX1716" t="str">
            <v>Yes</v>
          </cell>
          <cell r="AZ1716" t="str">
            <v>Y</v>
          </cell>
          <cell r="BA1716" t="str">
            <v>Yes</v>
          </cell>
        </row>
        <row r="1717">
          <cell r="B1717">
            <v>1567</v>
          </cell>
          <cell r="C1717" t="str">
            <v>C49SZX20220014JL</v>
          </cell>
          <cell r="D1717" t="str">
            <v>捷舜诚</v>
          </cell>
          <cell r="E1717" t="str">
            <v>YSM20R-2</v>
          </cell>
          <cell r="I1717" t="str">
            <v>L-&gt;R</v>
          </cell>
          <cell r="J1717" t="str">
            <v>MVC</v>
          </cell>
          <cell r="K1717">
            <v>1</v>
          </cell>
          <cell r="N1717">
            <v>44616</v>
          </cell>
          <cell r="O1717">
            <v>11116701</v>
          </cell>
          <cell r="P1717">
            <v>14390000</v>
          </cell>
          <cell r="Q1717">
            <v>44615</v>
          </cell>
          <cell r="R1717" t="str">
            <v>No</v>
          </cell>
          <cell r="S1717" t="str">
            <v>C49</v>
          </cell>
          <cell r="T1717" t="str">
            <v>SOUTH</v>
          </cell>
          <cell r="U1717" t="str">
            <v>深圳</v>
          </cell>
          <cell r="V1717" t="str">
            <v>SZ 深圳</v>
          </cell>
          <cell r="W1717" t="str">
            <v>JL</v>
          </cell>
          <cell r="X1717" t="str">
            <v>JPY</v>
          </cell>
          <cell r="Y1717">
            <v>14390000</v>
          </cell>
          <cell r="Z1717">
            <v>1</v>
          </cell>
          <cell r="AA1717">
            <v>14390000</v>
          </cell>
          <cell r="AB1717">
            <v>7.0000000000000007E-2</v>
          </cell>
          <cell r="AC1717">
            <v>1007300.0000000001</v>
          </cell>
          <cell r="AD1717">
            <v>120876.00000000001</v>
          </cell>
          <cell r="AE1717">
            <v>0.12</v>
          </cell>
          <cell r="AF1717">
            <v>44586</v>
          </cell>
          <cell r="AG1717" t="str">
            <v>DAP SZ</v>
          </cell>
          <cell r="AI1717">
            <v>2732215</v>
          </cell>
          <cell r="AJ1717">
            <v>44645</v>
          </cell>
          <cell r="AK1717">
            <v>0.1</v>
          </cell>
          <cell r="AL1717">
            <v>1439000</v>
          </cell>
          <cell r="AM1717">
            <v>44606</v>
          </cell>
          <cell r="AN1717" t="str">
            <v>Yes</v>
          </cell>
          <cell r="AO1717">
            <v>0.9</v>
          </cell>
          <cell r="AP1717">
            <v>12951000</v>
          </cell>
          <cell r="AQ1717">
            <v>44614</v>
          </cell>
          <cell r="AR1717">
            <v>44614</v>
          </cell>
          <cell r="AS1717">
            <v>0</v>
          </cell>
          <cell r="AT1717">
            <v>0</v>
          </cell>
          <cell r="AX1717" t="str">
            <v>Yes</v>
          </cell>
          <cell r="AZ1717" t="str">
            <v>Y</v>
          </cell>
          <cell r="BA1717" t="str">
            <v>Yes</v>
          </cell>
        </row>
        <row r="1718">
          <cell r="B1718">
            <v>1568</v>
          </cell>
          <cell r="C1718" t="str">
            <v>C49SZX20220014JL</v>
          </cell>
          <cell r="D1718" t="str">
            <v>捷舜诚</v>
          </cell>
          <cell r="E1718" t="str">
            <v>YSM20R-2</v>
          </cell>
          <cell r="I1718" t="str">
            <v>L-&gt;R</v>
          </cell>
          <cell r="J1718" t="str">
            <v>MVC</v>
          </cell>
          <cell r="K1718">
            <v>1</v>
          </cell>
          <cell r="N1718">
            <v>44665</v>
          </cell>
          <cell r="O1718">
            <v>11116733</v>
          </cell>
          <cell r="P1718">
            <v>14390000</v>
          </cell>
          <cell r="Q1718">
            <v>44673</v>
          </cell>
          <cell r="R1718" t="str">
            <v>No</v>
          </cell>
          <cell r="S1718" t="str">
            <v>C49</v>
          </cell>
          <cell r="T1718" t="str">
            <v>SOUTH</v>
          </cell>
          <cell r="U1718" t="str">
            <v>深圳</v>
          </cell>
          <cell r="V1718" t="str">
            <v>SZ 深圳</v>
          </cell>
          <cell r="W1718" t="str">
            <v>JL</v>
          </cell>
          <cell r="X1718" t="str">
            <v>JPY</v>
          </cell>
          <cell r="Y1718">
            <v>14390000</v>
          </cell>
          <cell r="Z1718">
            <v>1</v>
          </cell>
          <cell r="AA1718">
            <v>14390000</v>
          </cell>
          <cell r="AB1718">
            <v>7.0000000000000007E-2</v>
          </cell>
          <cell r="AC1718">
            <v>1007300.0000000001</v>
          </cell>
          <cell r="AD1718">
            <v>120876.00000000001</v>
          </cell>
          <cell r="AE1718">
            <v>0.12</v>
          </cell>
          <cell r="AF1718">
            <v>44586</v>
          </cell>
          <cell r="AG1718" t="str">
            <v>DAP SZ</v>
          </cell>
          <cell r="AI1718"/>
          <cell r="AJ1718">
            <v>44645</v>
          </cell>
          <cell r="AK1718">
            <v>0.1</v>
          </cell>
          <cell r="AL1718">
            <v>1439000</v>
          </cell>
          <cell r="AM1718">
            <v>44606</v>
          </cell>
          <cell r="AN1718" t="str">
            <v>Yes</v>
          </cell>
          <cell r="AO1718">
            <v>0.9</v>
          </cell>
          <cell r="AP1718">
            <v>12951000</v>
          </cell>
          <cell r="AQ1718">
            <v>44651</v>
          </cell>
          <cell r="AR1718">
            <v>44651</v>
          </cell>
          <cell r="AS1718">
            <v>0</v>
          </cell>
          <cell r="AT1718">
            <v>0</v>
          </cell>
          <cell r="AX1718" t="str">
            <v>Yes</v>
          </cell>
          <cell r="AZ1718" t="str">
            <v>Y</v>
          </cell>
          <cell r="BA1718" t="str">
            <v>Yes</v>
          </cell>
        </row>
        <row r="1719">
          <cell r="B1719">
            <v>1569</v>
          </cell>
          <cell r="C1719" t="str">
            <v>C49SZX20220012SX</v>
          </cell>
          <cell r="D1719" t="str">
            <v>奕东(End user:湖北奕宏)</v>
          </cell>
          <cell r="E1719" t="str">
            <v>YSM10</v>
          </cell>
          <cell r="I1719" t="str">
            <v>L-&gt;R</v>
          </cell>
          <cell r="J1719" t="str">
            <v>MVC（F&amp;R）+大板相机</v>
          </cell>
          <cell r="K1719">
            <v>1</v>
          </cell>
          <cell r="N1719">
            <v>44668</v>
          </cell>
          <cell r="O1719">
            <v>11100529</v>
          </cell>
          <cell r="P1719">
            <v>747200</v>
          </cell>
          <cell r="Q1719">
            <v>44676</v>
          </cell>
          <cell r="R1719" t="str">
            <v>No</v>
          </cell>
          <cell r="S1719" t="str">
            <v>C49</v>
          </cell>
          <cell r="T1719" t="str">
            <v>SOUTH</v>
          </cell>
          <cell r="U1719" t="str">
            <v>深圳</v>
          </cell>
          <cell r="V1719" t="str">
            <v>SZ 深圳</v>
          </cell>
          <cell r="W1719" t="str">
            <v>SX</v>
          </cell>
          <cell r="X1719" t="str">
            <v>RMB</v>
          </cell>
          <cell r="Y1719">
            <v>747200</v>
          </cell>
          <cell r="Z1719">
            <v>1.1299999999999999</v>
          </cell>
          <cell r="AA1719">
            <v>747200</v>
          </cell>
          <cell r="AB1719">
            <v>1.22</v>
          </cell>
          <cell r="AC1719">
            <v>806711.50442477886</v>
          </cell>
          <cell r="AD1719">
            <v>96805.38053097346</v>
          </cell>
          <cell r="AE1719">
            <v>0.12</v>
          </cell>
          <cell r="AF1719">
            <v>44588</v>
          </cell>
          <cell r="AG1719" t="str">
            <v>DDP HB</v>
          </cell>
          <cell r="AK1719">
            <v>0.3</v>
          </cell>
          <cell r="AL1719">
            <v>224160</v>
          </cell>
          <cell r="AM1719">
            <v>44589</v>
          </cell>
          <cell r="AN1719" t="str">
            <v>Yes</v>
          </cell>
          <cell r="AO1719">
            <v>0.7</v>
          </cell>
          <cell r="AP1719">
            <v>523039.99999999994</v>
          </cell>
          <cell r="AQ1719">
            <v>44660</v>
          </cell>
          <cell r="AR1719">
            <v>44660</v>
          </cell>
          <cell r="AS1719">
            <v>0</v>
          </cell>
          <cell r="AT1719">
            <v>0</v>
          </cell>
          <cell r="AX1719" t="str">
            <v>Yes</v>
          </cell>
          <cell r="AZ1719" t="str">
            <v>Y</v>
          </cell>
          <cell r="BA1719" t="str">
            <v>Yes</v>
          </cell>
        </row>
        <row r="1720">
          <cell r="B1720">
            <v>1570</v>
          </cell>
          <cell r="C1720" t="str">
            <v>C49SZX20220012SX</v>
          </cell>
          <cell r="D1720" t="str">
            <v>奕东(End user:湖北奕宏)</v>
          </cell>
          <cell r="E1720" t="str">
            <v>YSM10</v>
          </cell>
          <cell r="I1720" t="str">
            <v>L-&gt;R</v>
          </cell>
          <cell r="J1720" t="str">
            <v>MVC（F&amp;R）+大板相机</v>
          </cell>
          <cell r="K1720">
            <v>1</v>
          </cell>
          <cell r="N1720">
            <v>44668</v>
          </cell>
          <cell r="O1720">
            <v>11100529</v>
          </cell>
          <cell r="P1720">
            <v>747200</v>
          </cell>
          <cell r="Q1720">
            <v>44676</v>
          </cell>
          <cell r="R1720" t="str">
            <v>No</v>
          </cell>
          <cell r="S1720" t="str">
            <v>C49</v>
          </cell>
          <cell r="T1720" t="str">
            <v>SOUTH</v>
          </cell>
          <cell r="U1720" t="str">
            <v>深圳</v>
          </cell>
          <cell r="V1720" t="str">
            <v>SZ 深圳</v>
          </cell>
          <cell r="W1720" t="str">
            <v>SX</v>
          </cell>
          <cell r="X1720" t="str">
            <v>RMB</v>
          </cell>
          <cell r="Y1720">
            <v>747200</v>
          </cell>
          <cell r="Z1720">
            <v>1.1299999999999999</v>
          </cell>
          <cell r="AA1720">
            <v>747200</v>
          </cell>
          <cell r="AB1720">
            <v>1.22</v>
          </cell>
          <cell r="AC1720">
            <v>806711.50442477886</v>
          </cell>
          <cell r="AD1720">
            <v>96805.38053097346</v>
          </cell>
          <cell r="AE1720">
            <v>0.12</v>
          </cell>
          <cell r="AF1720">
            <v>44588</v>
          </cell>
          <cell r="AG1720" t="str">
            <v>DDP HB</v>
          </cell>
          <cell r="AK1720">
            <v>0.3</v>
          </cell>
          <cell r="AL1720">
            <v>224160</v>
          </cell>
          <cell r="AM1720">
            <v>44589</v>
          </cell>
          <cell r="AN1720" t="str">
            <v>Yes</v>
          </cell>
          <cell r="AO1720">
            <v>0.7</v>
          </cell>
          <cell r="AP1720">
            <v>523039.99999999994</v>
          </cell>
          <cell r="AQ1720">
            <v>44660</v>
          </cell>
          <cell r="AR1720">
            <v>44660</v>
          </cell>
          <cell r="AS1720">
            <v>0</v>
          </cell>
          <cell r="AT1720">
            <v>0</v>
          </cell>
          <cell r="AX1720" t="str">
            <v>Yes</v>
          </cell>
          <cell r="AZ1720" t="str">
            <v>Y</v>
          </cell>
          <cell r="BA1720" t="str">
            <v>Yes</v>
          </cell>
        </row>
        <row r="1721">
          <cell r="B1721">
            <v>1571</v>
          </cell>
          <cell r="C1721" t="str">
            <v>C49SZX20220012SX</v>
          </cell>
          <cell r="D1721" t="str">
            <v>奕东(End user:湖北奕宏)</v>
          </cell>
          <cell r="E1721" t="str">
            <v>YSM10</v>
          </cell>
          <cell r="I1721" t="str">
            <v>L-&gt;R</v>
          </cell>
          <cell r="J1721" t="str">
            <v>MVC（F&amp;R）+大板相机</v>
          </cell>
          <cell r="K1721">
            <v>1</v>
          </cell>
          <cell r="N1721">
            <v>44668</v>
          </cell>
          <cell r="O1721">
            <v>11100529</v>
          </cell>
          <cell r="P1721">
            <v>747200</v>
          </cell>
          <cell r="Q1721">
            <v>44676</v>
          </cell>
          <cell r="R1721" t="str">
            <v>No</v>
          </cell>
          <cell r="S1721" t="str">
            <v>C49</v>
          </cell>
          <cell r="T1721" t="str">
            <v>SOUTH</v>
          </cell>
          <cell r="U1721" t="str">
            <v>深圳</v>
          </cell>
          <cell r="V1721" t="str">
            <v>SZ 深圳</v>
          </cell>
          <cell r="W1721" t="str">
            <v>SX</v>
          </cell>
          <cell r="X1721" t="str">
            <v>RMB</v>
          </cell>
          <cell r="Y1721">
            <v>747200</v>
          </cell>
          <cell r="Z1721">
            <v>1.1299999999999999</v>
          </cell>
          <cell r="AA1721">
            <v>747200</v>
          </cell>
          <cell r="AB1721">
            <v>1.22</v>
          </cell>
          <cell r="AC1721">
            <v>806711.50442477886</v>
          </cell>
          <cell r="AD1721">
            <v>96805.38053097346</v>
          </cell>
          <cell r="AE1721">
            <v>0.12</v>
          </cell>
          <cell r="AF1721">
            <v>44588</v>
          </cell>
          <cell r="AG1721" t="str">
            <v>DDP HB</v>
          </cell>
          <cell r="AK1721">
            <v>0.3</v>
          </cell>
          <cell r="AL1721">
            <v>224160</v>
          </cell>
          <cell r="AM1721">
            <v>44589</v>
          </cell>
          <cell r="AN1721" t="str">
            <v>Yes</v>
          </cell>
          <cell r="AO1721">
            <v>0.7</v>
          </cell>
          <cell r="AP1721">
            <v>523039.99999999994</v>
          </cell>
          <cell r="AQ1721">
            <v>44660</v>
          </cell>
          <cell r="AR1721">
            <v>44660</v>
          </cell>
          <cell r="AS1721">
            <v>0</v>
          </cell>
          <cell r="AT1721">
            <v>0</v>
          </cell>
          <cell r="AX1721" t="str">
            <v>Yes</v>
          </cell>
          <cell r="AZ1721" t="str">
            <v>Y</v>
          </cell>
          <cell r="BA1721" t="str">
            <v>Yes</v>
          </cell>
        </row>
        <row r="1722">
          <cell r="B1722">
            <v>1572</v>
          </cell>
          <cell r="C1722" t="str">
            <v>C49SZX20220012SX</v>
          </cell>
          <cell r="D1722" t="str">
            <v>奕东(End user:湖北奕宏)</v>
          </cell>
          <cell r="E1722" t="str">
            <v>YSM10</v>
          </cell>
          <cell r="I1722" t="str">
            <v>R-&gt;L</v>
          </cell>
          <cell r="J1722" t="str">
            <v>MVC（F&amp;R）+大板相机</v>
          </cell>
          <cell r="K1722">
            <v>1</v>
          </cell>
          <cell r="N1722">
            <v>44668</v>
          </cell>
          <cell r="O1722">
            <v>11100529</v>
          </cell>
          <cell r="P1722">
            <v>747200</v>
          </cell>
          <cell r="Q1722">
            <v>44676</v>
          </cell>
          <cell r="R1722" t="str">
            <v>No</v>
          </cell>
          <cell r="S1722" t="str">
            <v>C49</v>
          </cell>
          <cell r="T1722" t="str">
            <v>SOUTH</v>
          </cell>
          <cell r="U1722" t="str">
            <v>深圳</v>
          </cell>
          <cell r="V1722" t="str">
            <v>SZ 深圳</v>
          </cell>
          <cell r="W1722" t="str">
            <v>SX</v>
          </cell>
          <cell r="X1722" t="str">
            <v>RMB</v>
          </cell>
          <cell r="Y1722">
            <v>747200</v>
          </cell>
          <cell r="Z1722">
            <v>1.1299999999999999</v>
          </cell>
          <cell r="AA1722">
            <v>747200</v>
          </cell>
          <cell r="AB1722">
            <v>1.22</v>
          </cell>
          <cell r="AC1722">
            <v>806711.50442477886</v>
          </cell>
          <cell r="AD1722">
            <v>96805.38053097346</v>
          </cell>
          <cell r="AE1722">
            <v>0.12</v>
          </cell>
          <cell r="AF1722">
            <v>44588</v>
          </cell>
          <cell r="AG1722" t="str">
            <v>DDP HB</v>
          </cell>
          <cell r="AK1722">
            <v>0.3</v>
          </cell>
          <cell r="AL1722">
            <v>224160</v>
          </cell>
          <cell r="AM1722">
            <v>44589</v>
          </cell>
          <cell r="AN1722" t="str">
            <v>Yes</v>
          </cell>
          <cell r="AO1722">
            <v>0.7</v>
          </cell>
          <cell r="AP1722">
            <v>523039.99999999994</v>
          </cell>
          <cell r="AQ1722">
            <v>44660</v>
          </cell>
          <cell r="AR1722">
            <v>44660</v>
          </cell>
          <cell r="AS1722">
            <v>0</v>
          </cell>
          <cell r="AT1722">
            <v>0</v>
          </cell>
          <cell r="AX1722" t="str">
            <v>Yes</v>
          </cell>
          <cell r="AZ1722" t="str">
            <v>Y</v>
          </cell>
          <cell r="BA1722" t="str">
            <v>Yes</v>
          </cell>
        </row>
        <row r="1723">
          <cell r="B1723">
            <v>1573</v>
          </cell>
          <cell r="C1723" t="str">
            <v>C49SZX20220012SX</v>
          </cell>
          <cell r="D1723" t="str">
            <v>奕东(End user:湖北奕宏)</v>
          </cell>
          <cell r="E1723" t="str">
            <v>YSM10</v>
          </cell>
          <cell r="I1723" t="str">
            <v>R-&gt;L</v>
          </cell>
          <cell r="J1723" t="str">
            <v>MVC（F&amp;R）+大板相机</v>
          </cell>
          <cell r="K1723">
            <v>1</v>
          </cell>
          <cell r="N1723">
            <v>44668</v>
          </cell>
          <cell r="O1723">
            <v>11100529</v>
          </cell>
          <cell r="P1723">
            <v>747200</v>
          </cell>
          <cell r="Q1723">
            <v>44676</v>
          </cell>
          <cell r="R1723" t="str">
            <v>No</v>
          </cell>
          <cell r="S1723" t="str">
            <v>C49</v>
          </cell>
          <cell r="T1723" t="str">
            <v>SOUTH</v>
          </cell>
          <cell r="U1723" t="str">
            <v>深圳</v>
          </cell>
          <cell r="V1723" t="str">
            <v>SZ 深圳</v>
          </cell>
          <cell r="W1723" t="str">
            <v>SX</v>
          </cell>
          <cell r="X1723" t="str">
            <v>RMB</v>
          </cell>
          <cell r="Y1723">
            <v>747200</v>
          </cell>
          <cell r="Z1723">
            <v>1.1299999999999999</v>
          </cell>
          <cell r="AA1723">
            <v>747200</v>
          </cell>
          <cell r="AB1723">
            <v>1.22</v>
          </cell>
          <cell r="AC1723">
            <v>806711.50442477886</v>
          </cell>
          <cell r="AD1723">
            <v>96805.38053097346</v>
          </cell>
          <cell r="AE1723">
            <v>0.12</v>
          </cell>
          <cell r="AF1723">
            <v>44588</v>
          </cell>
          <cell r="AG1723" t="str">
            <v>DDP HB</v>
          </cell>
          <cell r="AK1723">
            <v>0.3</v>
          </cell>
          <cell r="AL1723">
            <v>224160</v>
          </cell>
          <cell r="AM1723">
            <v>44589</v>
          </cell>
          <cell r="AN1723" t="str">
            <v>Yes</v>
          </cell>
          <cell r="AO1723">
            <v>0.7</v>
          </cell>
          <cell r="AP1723">
            <v>523039.99999999994</v>
          </cell>
          <cell r="AQ1723">
            <v>44660</v>
          </cell>
          <cell r="AR1723">
            <v>44660</v>
          </cell>
          <cell r="AS1723">
            <v>0</v>
          </cell>
          <cell r="AT1723">
            <v>0</v>
          </cell>
          <cell r="AX1723" t="str">
            <v>Yes</v>
          </cell>
          <cell r="AZ1723" t="str">
            <v>Y</v>
          </cell>
          <cell r="BA1723" t="str">
            <v>Yes</v>
          </cell>
        </row>
        <row r="1724">
          <cell r="B1724">
            <v>1574</v>
          </cell>
          <cell r="C1724" t="str">
            <v>C49SZX20220015SX</v>
          </cell>
          <cell r="D1724" t="str">
            <v>普德新星</v>
          </cell>
          <cell r="E1724" t="str">
            <v>YSM20R-2</v>
          </cell>
          <cell r="I1724" t="str">
            <v>L-&gt;R</v>
          </cell>
          <cell r="J1724" t="str">
            <v>No</v>
          </cell>
          <cell r="K1724">
            <v>1</v>
          </cell>
          <cell r="N1724">
            <v>44691</v>
          </cell>
          <cell r="O1724">
            <v>11116749</v>
          </cell>
          <cell r="P1724">
            <v>18000000</v>
          </cell>
          <cell r="Q1724">
            <v>44697</v>
          </cell>
          <cell r="R1724" t="str">
            <v>No</v>
          </cell>
          <cell r="S1724" t="str">
            <v>C49</v>
          </cell>
          <cell r="T1724" t="str">
            <v>SOUTH</v>
          </cell>
          <cell r="U1724" t="str">
            <v>深圳</v>
          </cell>
          <cell r="V1724" t="str">
            <v>SZ 深圳</v>
          </cell>
          <cell r="W1724" t="str">
            <v>SX</v>
          </cell>
          <cell r="X1724" t="str">
            <v>JPY</v>
          </cell>
          <cell r="Y1724">
            <v>18000000</v>
          </cell>
          <cell r="Z1724">
            <v>1</v>
          </cell>
          <cell r="AA1724">
            <v>18000000</v>
          </cell>
          <cell r="AB1724">
            <v>7.0000000000000007E-2</v>
          </cell>
          <cell r="AC1724">
            <v>1260000.0000000002</v>
          </cell>
          <cell r="AD1724">
            <v>151200.00000000003</v>
          </cell>
          <cell r="AE1724">
            <v>0.12</v>
          </cell>
          <cell r="AF1724">
            <v>44585</v>
          </cell>
          <cell r="AG1724" t="str">
            <v>DAP GX</v>
          </cell>
          <cell r="AK1724">
            <v>0.2</v>
          </cell>
          <cell r="AL1724">
            <v>3600000</v>
          </cell>
          <cell r="AM1724">
            <v>44607</v>
          </cell>
          <cell r="AN1724" t="str">
            <v>Yes</v>
          </cell>
          <cell r="AO1724">
            <v>0.8</v>
          </cell>
          <cell r="AP1724">
            <v>14400000</v>
          </cell>
          <cell r="AQ1724">
            <v>44687</v>
          </cell>
          <cell r="AR1724">
            <v>44687</v>
          </cell>
          <cell r="AS1724">
            <v>0</v>
          </cell>
          <cell r="AT1724">
            <v>0</v>
          </cell>
          <cell r="AX1724" t="str">
            <v>Yes</v>
          </cell>
          <cell r="AZ1724" t="str">
            <v>Y</v>
          </cell>
          <cell r="BA1724" t="str">
            <v>Yes</v>
          </cell>
        </row>
        <row r="1725">
          <cell r="B1725">
            <v>1575</v>
          </cell>
          <cell r="C1725" t="str">
            <v>C49SZX20220015SX</v>
          </cell>
          <cell r="D1725" t="str">
            <v>普德新星</v>
          </cell>
          <cell r="E1725" t="str">
            <v>YSM20R-2</v>
          </cell>
          <cell r="I1725" t="str">
            <v>L-&gt;R</v>
          </cell>
          <cell r="J1725" t="str">
            <v>No</v>
          </cell>
          <cell r="K1725">
            <v>1</v>
          </cell>
          <cell r="N1725">
            <v>44691</v>
          </cell>
          <cell r="O1725">
            <v>11116749</v>
          </cell>
          <cell r="P1725">
            <v>18000000</v>
          </cell>
          <cell r="Q1725">
            <v>44697</v>
          </cell>
          <cell r="R1725" t="str">
            <v>No</v>
          </cell>
          <cell r="S1725" t="str">
            <v>C49</v>
          </cell>
          <cell r="T1725" t="str">
            <v>SOUTH</v>
          </cell>
          <cell r="U1725" t="str">
            <v>深圳</v>
          </cell>
          <cell r="V1725" t="str">
            <v>SZ 深圳</v>
          </cell>
          <cell r="W1725" t="str">
            <v>SX</v>
          </cell>
          <cell r="X1725" t="str">
            <v>JPY</v>
          </cell>
          <cell r="Y1725">
            <v>18000000</v>
          </cell>
          <cell r="Z1725">
            <v>1</v>
          </cell>
          <cell r="AA1725">
            <v>18000000</v>
          </cell>
          <cell r="AB1725">
            <v>7.0000000000000007E-2</v>
          </cell>
          <cell r="AC1725">
            <v>1260000.0000000002</v>
          </cell>
          <cell r="AD1725">
            <v>151200.00000000003</v>
          </cell>
          <cell r="AE1725">
            <v>0.12</v>
          </cell>
          <cell r="AF1725">
            <v>44585</v>
          </cell>
          <cell r="AG1725" t="str">
            <v>DAP GX</v>
          </cell>
          <cell r="AK1725">
            <v>0.2</v>
          </cell>
          <cell r="AL1725">
            <v>3600000</v>
          </cell>
          <cell r="AM1725">
            <v>44607</v>
          </cell>
          <cell r="AN1725" t="str">
            <v>Yes</v>
          </cell>
          <cell r="AO1725">
            <v>0.8</v>
          </cell>
          <cell r="AP1725">
            <v>14400000</v>
          </cell>
          <cell r="AQ1725">
            <v>44687</v>
          </cell>
          <cell r="AR1725">
            <v>44687</v>
          </cell>
          <cell r="AS1725">
            <v>0</v>
          </cell>
          <cell r="AT1725">
            <v>0</v>
          </cell>
          <cell r="AX1725" t="str">
            <v>Yes</v>
          </cell>
          <cell r="AZ1725" t="str">
            <v>Y</v>
          </cell>
          <cell r="BA1725" t="str">
            <v>Yes</v>
          </cell>
        </row>
        <row r="1726">
          <cell r="B1726">
            <v>1576</v>
          </cell>
          <cell r="C1726" t="str">
            <v>C49SZX20220015SX</v>
          </cell>
          <cell r="D1726" t="str">
            <v>普德新星</v>
          </cell>
          <cell r="E1726" t="str">
            <v>YSM10</v>
          </cell>
          <cell r="I1726" t="str">
            <v>L-&gt;R</v>
          </cell>
          <cell r="J1726" t="str">
            <v>MVC</v>
          </cell>
          <cell r="K1726">
            <v>1</v>
          </cell>
          <cell r="N1726">
            <v>44691</v>
          </cell>
          <cell r="O1726">
            <v>11116749</v>
          </cell>
          <cell r="P1726">
            <v>13453405</v>
          </cell>
          <cell r="Q1726">
            <v>44697</v>
          </cell>
          <cell r="R1726" t="str">
            <v>No</v>
          </cell>
          <cell r="S1726" t="str">
            <v>C49</v>
          </cell>
          <cell r="T1726" t="str">
            <v>SOUTH</v>
          </cell>
          <cell r="U1726" t="str">
            <v>深圳</v>
          </cell>
          <cell r="V1726" t="str">
            <v>SZ 深圳</v>
          </cell>
          <cell r="W1726" t="str">
            <v>SX</v>
          </cell>
          <cell r="X1726" t="str">
            <v>JPY</v>
          </cell>
          <cell r="Y1726">
            <v>13453405</v>
          </cell>
          <cell r="Z1726">
            <v>1</v>
          </cell>
          <cell r="AA1726">
            <v>13453405</v>
          </cell>
          <cell r="AB1726">
            <v>7.0000000000000007E-2</v>
          </cell>
          <cell r="AC1726">
            <v>941738.35000000009</v>
          </cell>
          <cell r="AD1726">
            <v>113008.60200000001</v>
          </cell>
          <cell r="AE1726">
            <v>0.12</v>
          </cell>
          <cell r="AF1726">
            <v>44585</v>
          </cell>
          <cell r="AG1726" t="str">
            <v>DAP GX</v>
          </cell>
          <cell r="AK1726">
            <v>0.2</v>
          </cell>
          <cell r="AL1726">
            <v>2690681</v>
          </cell>
          <cell r="AM1726">
            <v>44607</v>
          </cell>
          <cell r="AN1726" t="str">
            <v>Yes</v>
          </cell>
          <cell r="AO1726">
            <v>0.8</v>
          </cell>
          <cell r="AP1726">
            <v>10762724</v>
          </cell>
          <cell r="AQ1726">
            <v>44687</v>
          </cell>
          <cell r="AR1726">
            <v>44687</v>
          </cell>
          <cell r="AS1726">
            <v>0</v>
          </cell>
          <cell r="AT1726">
            <v>0</v>
          </cell>
          <cell r="AX1726" t="str">
            <v>Yes</v>
          </cell>
          <cell r="AZ1726" t="str">
            <v>Y</v>
          </cell>
          <cell r="BA1726" t="str">
            <v>Yes</v>
          </cell>
        </row>
        <row r="1727">
          <cell r="B1727">
            <v>1577</v>
          </cell>
          <cell r="C1727" t="str">
            <v>C49SZX20220015SX</v>
          </cell>
          <cell r="D1727" t="str">
            <v>普德新星</v>
          </cell>
          <cell r="E1727" t="str">
            <v>YSM10</v>
          </cell>
          <cell r="I1727" t="str">
            <v>L-&gt;R</v>
          </cell>
          <cell r="J1727" t="str">
            <v>MVC</v>
          </cell>
          <cell r="K1727">
            <v>1</v>
          </cell>
          <cell r="N1727">
            <v>44691</v>
          </cell>
          <cell r="O1727">
            <v>11116749</v>
          </cell>
          <cell r="P1727">
            <v>13453405</v>
          </cell>
          <cell r="Q1727">
            <v>44697</v>
          </cell>
          <cell r="R1727" t="str">
            <v>No</v>
          </cell>
          <cell r="S1727" t="str">
            <v>C49</v>
          </cell>
          <cell r="T1727" t="str">
            <v>SOUTH</v>
          </cell>
          <cell r="U1727" t="str">
            <v>深圳</v>
          </cell>
          <cell r="V1727" t="str">
            <v>SZ 深圳</v>
          </cell>
          <cell r="W1727" t="str">
            <v>SX</v>
          </cell>
          <cell r="X1727" t="str">
            <v>JPY</v>
          </cell>
          <cell r="Y1727">
            <v>13453405</v>
          </cell>
          <cell r="Z1727">
            <v>1</v>
          </cell>
          <cell r="AA1727">
            <v>13453405</v>
          </cell>
          <cell r="AB1727">
            <v>7.0000000000000007E-2</v>
          </cell>
          <cell r="AC1727">
            <v>941738.35000000009</v>
          </cell>
          <cell r="AD1727">
            <v>113008.60200000001</v>
          </cell>
          <cell r="AE1727">
            <v>0.12</v>
          </cell>
          <cell r="AF1727">
            <v>44585</v>
          </cell>
          <cell r="AG1727" t="str">
            <v>DAP GX</v>
          </cell>
          <cell r="AK1727">
            <v>0.2</v>
          </cell>
          <cell r="AL1727">
            <v>2690681</v>
          </cell>
          <cell r="AM1727">
            <v>44607</v>
          </cell>
          <cell r="AN1727" t="str">
            <v>Yes</v>
          </cell>
          <cell r="AO1727">
            <v>0.8</v>
          </cell>
          <cell r="AP1727">
            <v>10762724</v>
          </cell>
          <cell r="AQ1727">
            <v>44687</v>
          </cell>
          <cell r="AR1727">
            <v>44687</v>
          </cell>
          <cell r="AS1727">
            <v>0</v>
          </cell>
          <cell r="AT1727">
            <v>0</v>
          </cell>
          <cell r="AX1727" t="str">
            <v>Yes</v>
          </cell>
          <cell r="AZ1727" t="str">
            <v>Y</v>
          </cell>
          <cell r="BA1727" t="str">
            <v>Yes</v>
          </cell>
        </row>
        <row r="1728">
          <cell r="B1728">
            <v>1578</v>
          </cell>
          <cell r="C1728" t="str">
            <v>C49SZX20220011DZ</v>
          </cell>
          <cell r="D1728" t="str">
            <v>昌大</v>
          </cell>
          <cell r="E1728" t="str">
            <v>YSM10</v>
          </cell>
          <cell r="I1728" t="str">
            <v>L-&gt;R</v>
          </cell>
          <cell r="J1728" t="str">
            <v>No</v>
          </cell>
          <cell r="K1728">
            <v>1</v>
          </cell>
          <cell r="N1728">
            <v>44677</v>
          </cell>
          <cell r="O1728">
            <v>11100532</v>
          </cell>
          <cell r="P1728">
            <v>600000</v>
          </cell>
          <cell r="Q1728">
            <v>44677</v>
          </cell>
          <cell r="R1728" t="str">
            <v>Yes</v>
          </cell>
          <cell r="S1728" t="str">
            <v>C49</v>
          </cell>
          <cell r="T1728" t="str">
            <v>SOUTH</v>
          </cell>
          <cell r="U1728" t="str">
            <v>深圳</v>
          </cell>
          <cell r="V1728" t="str">
            <v>SZ 深圳</v>
          </cell>
          <cell r="W1728" t="str">
            <v>DZ</v>
          </cell>
          <cell r="X1728" t="str">
            <v>RMB</v>
          </cell>
          <cell r="Y1728">
            <v>600000</v>
          </cell>
          <cell r="Z1728">
            <v>1.1299999999999999</v>
          </cell>
          <cell r="AA1728">
            <v>600000</v>
          </cell>
          <cell r="AB1728">
            <v>1.22</v>
          </cell>
          <cell r="AC1728">
            <v>647787.61061946908</v>
          </cell>
          <cell r="AD1728">
            <v>77734.513274336292</v>
          </cell>
          <cell r="AE1728">
            <v>0.12</v>
          </cell>
          <cell r="AF1728">
            <v>44585</v>
          </cell>
          <cell r="AG1728" t="str">
            <v>DDP JX</v>
          </cell>
          <cell r="AK1728">
            <v>0.3</v>
          </cell>
          <cell r="AL1728">
            <v>180000</v>
          </cell>
          <cell r="AM1728">
            <v>44610</v>
          </cell>
          <cell r="AN1728" t="str">
            <v>Yes</v>
          </cell>
          <cell r="AO1728">
            <v>0.7</v>
          </cell>
          <cell r="AP1728">
            <v>420000</v>
          </cell>
          <cell r="AQ1728">
            <v>44676</v>
          </cell>
          <cell r="AR1728">
            <v>44676</v>
          </cell>
          <cell r="AS1728">
            <v>0</v>
          </cell>
          <cell r="AT1728">
            <v>0</v>
          </cell>
          <cell r="AX1728" t="str">
            <v>Yes</v>
          </cell>
          <cell r="AZ1728" t="str">
            <v>Y</v>
          </cell>
          <cell r="BA1728" t="str">
            <v>Yes</v>
          </cell>
        </row>
        <row r="1729">
          <cell r="B1729">
            <v>1579</v>
          </cell>
          <cell r="C1729" t="str">
            <v>C49SZX20220016JL</v>
          </cell>
          <cell r="D1729" t="str">
            <v>伯莱科</v>
          </cell>
          <cell r="E1729" t="str">
            <v>YSM20R-2</v>
          </cell>
          <cell r="I1729" t="str">
            <v>L-&gt;R</v>
          </cell>
          <cell r="J1729" t="str">
            <v>No</v>
          </cell>
          <cell r="K1729">
            <v>1</v>
          </cell>
          <cell r="N1729">
            <v>44725</v>
          </cell>
          <cell r="O1729">
            <v>11116766</v>
          </cell>
          <cell r="P1729">
            <v>13000000</v>
          </cell>
          <cell r="Q1729">
            <v>44726</v>
          </cell>
          <cell r="R1729" t="str">
            <v>No</v>
          </cell>
          <cell r="S1729" t="str">
            <v>C49</v>
          </cell>
          <cell r="T1729" t="str">
            <v>SOUTH</v>
          </cell>
          <cell r="U1729" t="str">
            <v>深圳</v>
          </cell>
          <cell r="V1729" t="str">
            <v>SZ 深圳</v>
          </cell>
          <cell r="W1729" t="str">
            <v>JL</v>
          </cell>
          <cell r="X1729" t="str">
            <v>JPY</v>
          </cell>
          <cell r="Y1729">
            <v>13000000</v>
          </cell>
          <cell r="Z1729">
            <v>1</v>
          </cell>
          <cell r="AA1729">
            <v>13000000</v>
          </cell>
          <cell r="AB1729">
            <v>6.7799999999999999E-2</v>
          </cell>
          <cell r="AC1729">
            <v>881400</v>
          </cell>
          <cell r="AD1729">
            <v>105768</v>
          </cell>
          <cell r="AE1729">
            <v>0.12</v>
          </cell>
          <cell r="AF1729">
            <v>44607</v>
          </cell>
          <cell r="AG1729" t="str">
            <v>DAP SZ</v>
          </cell>
          <cell r="AI1729" t="str">
            <v>JPY915,013.00</v>
          </cell>
          <cell r="AJ1729">
            <v>44631</v>
          </cell>
          <cell r="AK1729">
            <v>0.1</v>
          </cell>
          <cell r="AL1729">
            <v>1300000</v>
          </cell>
          <cell r="AM1729">
            <v>44631</v>
          </cell>
          <cell r="AN1729" t="str">
            <v>Yes</v>
          </cell>
          <cell r="AO1729">
            <v>0.9</v>
          </cell>
          <cell r="AP1729">
            <v>11700000</v>
          </cell>
          <cell r="AQ1729">
            <v>44657</v>
          </cell>
          <cell r="AR1729">
            <v>44657</v>
          </cell>
          <cell r="AS1729">
            <v>0</v>
          </cell>
          <cell r="AT1729">
            <v>0</v>
          </cell>
          <cell r="AX1729" t="str">
            <v>Yes</v>
          </cell>
          <cell r="AZ1729" t="str">
            <v>Y</v>
          </cell>
          <cell r="BA1729" t="str">
            <v>Yes</v>
          </cell>
        </row>
        <row r="1730">
          <cell r="B1730">
            <v>1580</v>
          </cell>
          <cell r="C1730" t="str">
            <v>C49SZX20220016JL</v>
          </cell>
          <cell r="D1730" t="str">
            <v>伯莱科</v>
          </cell>
          <cell r="E1730" t="str">
            <v>YSM10</v>
          </cell>
          <cell r="I1730" t="str">
            <v>L-&gt;R</v>
          </cell>
          <cell r="J1730" t="str">
            <v>MVC+ATS15</v>
          </cell>
          <cell r="K1730">
            <v>1</v>
          </cell>
          <cell r="N1730">
            <v>44725</v>
          </cell>
          <cell r="O1730">
            <v>11116766</v>
          </cell>
          <cell r="P1730">
            <v>8000000</v>
          </cell>
          <cell r="Q1730">
            <v>44726</v>
          </cell>
          <cell r="R1730" t="str">
            <v>No</v>
          </cell>
          <cell r="S1730" t="str">
            <v>C49</v>
          </cell>
          <cell r="T1730" t="str">
            <v>SOUTH</v>
          </cell>
          <cell r="U1730" t="str">
            <v>深圳</v>
          </cell>
          <cell r="V1730" t="str">
            <v>SZ 深圳</v>
          </cell>
          <cell r="W1730" t="str">
            <v>JL</v>
          </cell>
          <cell r="X1730" t="str">
            <v>JPY</v>
          </cell>
          <cell r="Y1730">
            <v>8000000</v>
          </cell>
          <cell r="Z1730">
            <v>1</v>
          </cell>
          <cell r="AA1730">
            <v>8000000</v>
          </cell>
          <cell r="AB1730">
            <v>6.7799999999999999E-2</v>
          </cell>
          <cell r="AC1730">
            <v>542400</v>
          </cell>
          <cell r="AD1730">
            <v>65088</v>
          </cell>
          <cell r="AE1730">
            <v>0.12</v>
          </cell>
          <cell r="AF1730">
            <v>44607</v>
          </cell>
          <cell r="AG1730" t="str">
            <v>DAP SZ</v>
          </cell>
          <cell r="AI1730"/>
          <cell r="AJ1730"/>
          <cell r="AK1730">
            <v>0.1</v>
          </cell>
          <cell r="AL1730">
            <v>800000</v>
          </cell>
          <cell r="AM1730">
            <v>44631</v>
          </cell>
          <cell r="AN1730" t="str">
            <v>Yes</v>
          </cell>
          <cell r="AO1730">
            <v>0.9</v>
          </cell>
          <cell r="AP1730">
            <v>7200000</v>
          </cell>
          <cell r="AQ1730">
            <v>44657</v>
          </cell>
          <cell r="AR1730">
            <v>44657</v>
          </cell>
          <cell r="AS1730">
            <v>0</v>
          </cell>
          <cell r="AT1730">
            <v>0</v>
          </cell>
          <cell r="AX1730" t="str">
            <v>Yes</v>
          </cell>
          <cell r="AZ1730" t="str">
            <v>Y</v>
          </cell>
          <cell r="BA1730" t="str">
            <v>Yes</v>
          </cell>
        </row>
        <row r="1731">
          <cell r="B1731">
            <v>1581</v>
          </cell>
          <cell r="C1731" t="str">
            <v>C49SZX20220018SX</v>
          </cell>
          <cell r="D1731" t="str">
            <v>岚新</v>
          </cell>
          <cell r="E1731" t="str">
            <v>YSM10</v>
          </cell>
          <cell r="I1731" t="str">
            <v>L-&gt;R</v>
          </cell>
          <cell r="J1731" t="str">
            <v>MVC</v>
          </cell>
          <cell r="K1731">
            <v>1</v>
          </cell>
          <cell r="N1731">
            <v>44699</v>
          </cell>
          <cell r="O1731">
            <v>11116753</v>
          </cell>
          <cell r="P1731">
            <v>9000000</v>
          </cell>
          <cell r="Q1731">
            <v>44700</v>
          </cell>
          <cell r="R1731" t="str">
            <v>No</v>
          </cell>
          <cell r="S1731" t="str">
            <v>C49</v>
          </cell>
          <cell r="T1731" t="str">
            <v>SOUTH</v>
          </cell>
          <cell r="U1731" t="str">
            <v>深圳</v>
          </cell>
          <cell r="V1731" t="str">
            <v>SZ 深圳</v>
          </cell>
          <cell r="W1731" t="str">
            <v>SX</v>
          </cell>
          <cell r="X1731" t="str">
            <v>JPY</v>
          </cell>
          <cell r="Y1731">
            <v>9000000</v>
          </cell>
          <cell r="Z1731">
            <v>1</v>
          </cell>
          <cell r="AA1731">
            <v>9000000</v>
          </cell>
          <cell r="AB1731">
            <v>6.7799999999999999E-2</v>
          </cell>
          <cell r="AC1731">
            <v>610200</v>
          </cell>
          <cell r="AD1731">
            <v>73224</v>
          </cell>
          <cell r="AE1731">
            <v>0.12</v>
          </cell>
          <cell r="AF1731">
            <v>44608</v>
          </cell>
          <cell r="AG1731" t="str">
            <v>DAP SZ</v>
          </cell>
          <cell r="AK1731">
            <v>0.2</v>
          </cell>
          <cell r="AL1731">
            <v>1800000</v>
          </cell>
          <cell r="AM1731">
            <v>44615</v>
          </cell>
          <cell r="AN1731" t="str">
            <v>Yes</v>
          </cell>
          <cell r="AO1731">
            <v>0.8</v>
          </cell>
          <cell r="AP1731">
            <v>7200000</v>
          </cell>
          <cell r="AQ1731">
            <v>44693</v>
          </cell>
          <cell r="AR1731">
            <v>44693</v>
          </cell>
          <cell r="AS1731">
            <v>0</v>
          </cell>
          <cell r="AT1731">
            <v>0</v>
          </cell>
          <cell r="AX1731" t="str">
            <v>Yes</v>
          </cell>
          <cell r="AZ1731" t="str">
            <v>Y</v>
          </cell>
          <cell r="BA1731" t="str">
            <v>Yes</v>
          </cell>
        </row>
        <row r="1732">
          <cell r="B1732">
            <v>1582</v>
          </cell>
          <cell r="C1732" t="str">
            <v>C49SZX20220018SX</v>
          </cell>
          <cell r="D1732" t="str">
            <v>岚新</v>
          </cell>
          <cell r="E1732" t="str">
            <v>YSM10</v>
          </cell>
          <cell r="I1732" t="str">
            <v>L-&gt;R</v>
          </cell>
          <cell r="J1732" t="str">
            <v>No</v>
          </cell>
          <cell r="K1732">
            <v>1</v>
          </cell>
          <cell r="N1732">
            <v>44699</v>
          </cell>
          <cell r="O1732">
            <v>11116753</v>
          </cell>
          <cell r="P1732">
            <v>9000000</v>
          </cell>
          <cell r="Q1732">
            <v>44700</v>
          </cell>
          <cell r="R1732" t="str">
            <v>No</v>
          </cell>
          <cell r="S1732" t="str">
            <v>C49</v>
          </cell>
          <cell r="T1732" t="str">
            <v>SOUTH</v>
          </cell>
          <cell r="U1732" t="str">
            <v>深圳</v>
          </cell>
          <cell r="V1732" t="str">
            <v>SZ 深圳</v>
          </cell>
          <cell r="W1732" t="str">
            <v>SX</v>
          </cell>
          <cell r="X1732" t="str">
            <v>JPY</v>
          </cell>
          <cell r="Y1732">
            <v>9000000</v>
          </cell>
          <cell r="Z1732">
            <v>1</v>
          </cell>
          <cell r="AA1732">
            <v>9000000</v>
          </cell>
          <cell r="AB1732">
            <v>6.7799999999999999E-2</v>
          </cell>
          <cell r="AC1732">
            <v>610200</v>
          </cell>
          <cell r="AD1732">
            <v>73224</v>
          </cell>
          <cell r="AE1732">
            <v>0.12</v>
          </cell>
          <cell r="AF1732">
            <v>44608</v>
          </cell>
          <cell r="AG1732" t="str">
            <v>DAP SZ</v>
          </cell>
          <cell r="AK1732">
            <v>0.2</v>
          </cell>
          <cell r="AL1732">
            <v>1800000</v>
          </cell>
          <cell r="AM1732">
            <v>44615</v>
          </cell>
          <cell r="AN1732" t="str">
            <v>Yes</v>
          </cell>
          <cell r="AO1732">
            <v>0.8</v>
          </cell>
          <cell r="AP1732">
            <v>7200000</v>
          </cell>
          <cell r="AQ1732">
            <v>44693</v>
          </cell>
          <cell r="AR1732">
            <v>44693</v>
          </cell>
          <cell r="AS1732">
            <v>0</v>
          </cell>
          <cell r="AT1732">
            <v>0</v>
          </cell>
          <cell r="AX1732" t="str">
            <v>Yes</v>
          </cell>
          <cell r="AZ1732" t="str">
            <v>Y</v>
          </cell>
          <cell r="BA1732" t="str">
            <v>Yes</v>
          </cell>
        </row>
        <row r="1733">
          <cell r="B1733">
            <v>1583</v>
          </cell>
          <cell r="C1733" t="str">
            <v>C49SZX20220020R1SS</v>
          </cell>
          <cell r="D1733" t="str">
            <v>弛瑞</v>
          </cell>
          <cell r="E1733" t="str">
            <v>YSM10</v>
          </cell>
          <cell r="I1733" t="str">
            <v>L-&gt;R</v>
          </cell>
          <cell r="J1733" t="str">
            <v>No</v>
          </cell>
          <cell r="K1733">
            <v>1</v>
          </cell>
          <cell r="N1733">
            <v>44746</v>
          </cell>
          <cell r="O1733">
            <v>11116777</v>
          </cell>
          <cell r="P1733">
            <v>9600000</v>
          </cell>
          <cell r="Q1733">
            <v>44753</v>
          </cell>
          <cell r="R1733" t="str">
            <v>No</v>
          </cell>
          <cell r="S1733" t="str">
            <v>C49</v>
          </cell>
          <cell r="T1733" t="str">
            <v>SOUTH</v>
          </cell>
          <cell r="U1733" t="str">
            <v>深圳</v>
          </cell>
          <cell r="V1733" t="str">
            <v>SZ 深圳</v>
          </cell>
          <cell r="W1733" t="str">
            <v>SS</v>
          </cell>
          <cell r="X1733" t="str">
            <v>JPY</v>
          </cell>
          <cell r="Y1733">
            <v>9600000</v>
          </cell>
          <cell r="Z1733">
            <v>1</v>
          </cell>
          <cell r="AA1733">
            <v>9600000</v>
          </cell>
          <cell r="AB1733">
            <v>6.7799999999999999E-2</v>
          </cell>
          <cell r="AC1733">
            <v>650880</v>
          </cell>
          <cell r="AD1733">
            <v>78105.599999999991</v>
          </cell>
          <cell r="AE1733">
            <v>0.12</v>
          </cell>
          <cell r="AF1733">
            <v>44614</v>
          </cell>
          <cell r="AG1733" t="str">
            <v>DAP SZ</v>
          </cell>
          <cell r="AK1733">
            <v>0.1</v>
          </cell>
          <cell r="AL1733">
            <v>960000</v>
          </cell>
          <cell r="AM1733">
            <v>44672</v>
          </cell>
          <cell r="AN1733" t="str">
            <v>Yes</v>
          </cell>
          <cell r="AO1733">
            <v>0.9</v>
          </cell>
          <cell r="AP1733">
            <v>8640000</v>
          </cell>
          <cell r="AQ1733">
            <v>44742</v>
          </cell>
          <cell r="AR1733">
            <v>44742</v>
          </cell>
          <cell r="AS1733">
            <v>0</v>
          </cell>
          <cell r="AT1733">
            <v>0</v>
          </cell>
          <cell r="AX1733" t="str">
            <v>Yes</v>
          </cell>
          <cell r="AZ1733" t="str">
            <v>Y</v>
          </cell>
          <cell r="BA1733" t="str">
            <v>Yes</v>
          </cell>
        </row>
        <row r="1734">
          <cell r="B1734">
            <v>1584</v>
          </cell>
          <cell r="C1734" t="str">
            <v>C49SZX20220019MX</v>
          </cell>
          <cell r="D1734" t="str">
            <v>智序</v>
          </cell>
          <cell r="E1734" t="str">
            <v>YSM40R-4</v>
          </cell>
          <cell r="F1734"/>
          <cell r="H1734"/>
          <cell r="I1734" t="str">
            <v>L-&gt;R</v>
          </cell>
          <cell r="J1734" t="str">
            <v>ANC</v>
          </cell>
          <cell r="K1734">
            <v>1</v>
          </cell>
          <cell r="L1734"/>
          <cell r="N1734"/>
          <cell r="O1734"/>
          <cell r="P1734"/>
          <cell r="Q1734"/>
          <cell r="R1734" t="str">
            <v>No</v>
          </cell>
          <cell r="S1734" t="str">
            <v>C49</v>
          </cell>
          <cell r="T1734" t="str">
            <v>SOUTH</v>
          </cell>
          <cell r="U1734" t="str">
            <v>深圳</v>
          </cell>
          <cell r="V1734" t="str">
            <v>SZ 深圳</v>
          </cell>
          <cell r="W1734" t="str">
            <v>MX</v>
          </cell>
          <cell r="X1734" t="str">
            <v>RMB</v>
          </cell>
          <cell r="Y1734">
            <v>1300000</v>
          </cell>
          <cell r="Z1734">
            <v>1.1299999999999999</v>
          </cell>
          <cell r="AA1734">
            <v>1300000</v>
          </cell>
          <cell r="AB1734">
            <v>1.22</v>
          </cell>
          <cell r="AC1734">
            <v>1403539.8230088495</v>
          </cell>
          <cell r="AD1734">
            <v>168424.77876106193</v>
          </cell>
          <cell r="AE1734">
            <v>0.12</v>
          </cell>
          <cell r="AF1734">
            <v>44614</v>
          </cell>
          <cell r="AG1734" t="str">
            <v>DDP SZ</v>
          </cell>
          <cell r="AI1734"/>
          <cell r="AJ1734"/>
          <cell r="AK1734">
            <v>0.1</v>
          </cell>
          <cell r="AL1734">
            <v>130000</v>
          </cell>
          <cell r="AM1734"/>
          <cell r="AN1734" t="str">
            <v>No</v>
          </cell>
          <cell r="AO1734">
            <v>0.8</v>
          </cell>
          <cell r="AP1734">
            <v>1040000</v>
          </cell>
          <cell r="AQ1734"/>
          <cell r="AR1734"/>
          <cell r="AS1734">
            <v>0</v>
          </cell>
          <cell r="AT1734">
            <v>0</v>
          </cell>
          <cell r="AV1734"/>
          <cell r="AX1734" t="str">
            <v>Cancel</v>
          </cell>
          <cell r="AY1734"/>
          <cell r="AZ1734"/>
          <cell r="BA1734"/>
          <cell r="BB1734" t="str">
            <v>2022-6-28合同补充文件删除合同。</v>
          </cell>
        </row>
        <row r="1735">
          <cell r="B1735">
            <v>1585</v>
          </cell>
          <cell r="C1735" t="str">
            <v>C49SZX20220013DZ</v>
          </cell>
          <cell r="D1735" t="str">
            <v>朗特</v>
          </cell>
          <cell r="E1735" t="str">
            <v>YSM20WR-2</v>
          </cell>
          <cell r="I1735" t="str">
            <v>L-&gt;R</v>
          </cell>
          <cell r="J1735" t="str">
            <v>MVC F&amp;R</v>
          </cell>
          <cell r="K1735">
            <v>1</v>
          </cell>
          <cell r="N1735">
            <v>44694</v>
          </cell>
          <cell r="O1735">
            <v>11116756</v>
          </cell>
          <cell r="P1735">
            <v>18000000</v>
          </cell>
          <cell r="Q1735">
            <v>44699</v>
          </cell>
          <cell r="R1735" t="str">
            <v>No</v>
          </cell>
          <cell r="S1735" t="str">
            <v>C49</v>
          </cell>
          <cell r="T1735" t="str">
            <v>SOUTH</v>
          </cell>
          <cell r="U1735" t="str">
            <v>深圳</v>
          </cell>
          <cell r="V1735" t="str">
            <v>SZ 深圳</v>
          </cell>
          <cell r="W1735" t="str">
            <v>DZ</v>
          </cell>
          <cell r="X1735" t="str">
            <v>JPY</v>
          </cell>
          <cell r="Y1735">
            <v>18000000</v>
          </cell>
          <cell r="Z1735">
            <v>1</v>
          </cell>
          <cell r="AA1735">
            <v>18000000</v>
          </cell>
          <cell r="AB1735">
            <v>6.7799999999999999E-2</v>
          </cell>
          <cell r="AC1735">
            <v>1220400</v>
          </cell>
          <cell r="AD1735">
            <v>146448</v>
          </cell>
          <cell r="AE1735">
            <v>0.12</v>
          </cell>
          <cell r="AF1735">
            <v>44614</v>
          </cell>
          <cell r="AG1735" t="str">
            <v>CIF HK</v>
          </cell>
          <cell r="AK1735">
            <v>0.3</v>
          </cell>
          <cell r="AL1735">
            <v>5400000</v>
          </cell>
          <cell r="AM1735">
            <v>44623</v>
          </cell>
          <cell r="AN1735" t="str">
            <v>Yes</v>
          </cell>
          <cell r="AO1735">
            <v>0.7</v>
          </cell>
          <cell r="AP1735">
            <v>12600000</v>
          </cell>
          <cell r="AQ1735">
            <v>44691</v>
          </cell>
          <cell r="AR1735">
            <v>44691</v>
          </cell>
          <cell r="AS1735">
            <v>0</v>
          </cell>
          <cell r="AT1735">
            <v>0</v>
          </cell>
          <cell r="AX1735" t="str">
            <v>Yes</v>
          </cell>
          <cell r="AZ1735" t="str">
            <v>Y</v>
          </cell>
          <cell r="BA1735" t="str">
            <v>Yes</v>
          </cell>
        </row>
        <row r="1736">
          <cell r="B1736">
            <v>1586</v>
          </cell>
          <cell r="C1736" t="str">
            <v>C49SZX20220013DZ</v>
          </cell>
          <cell r="D1736" t="str">
            <v>朗特</v>
          </cell>
          <cell r="E1736" t="str">
            <v>YSM20WR-2</v>
          </cell>
          <cell r="I1736" t="str">
            <v>L-&gt;R</v>
          </cell>
          <cell r="J1736" t="str">
            <v>cATS10+MVC(F&amp;R)+Feeder Carriage</v>
          </cell>
          <cell r="K1736">
            <v>1</v>
          </cell>
          <cell r="N1736">
            <v>44694</v>
          </cell>
          <cell r="O1736">
            <v>11116756</v>
          </cell>
          <cell r="P1736">
            <v>18000000</v>
          </cell>
          <cell r="Q1736">
            <v>44699</v>
          </cell>
          <cell r="R1736" t="str">
            <v>No</v>
          </cell>
          <cell r="S1736" t="str">
            <v>C49</v>
          </cell>
          <cell r="T1736" t="str">
            <v>SOUTH</v>
          </cell>
          <cell r="U1736" t="str">
            <v>深圳</v>
          </cell>
          <cell r="V1736" t="str">
            <v>SZ 深圳</v>
          </cell>
          <cell r="W1736" t="str">
            <v>DZ</v>
          </cell>
          <cell r="X1736" t="str">
            <v>JPY</v>
          </cell>
          <cell r="Y1736">
            <v>18000000</v>
          </cell>
          <cell r="Z1736">
            <v>1</v>
          </cell>
          <cell r="AA1736">
            <v>18000000</v>
          </cell>
          <cell r="AB1736">
            <v>6.7799999999999999E-2</v>
          </cell>
          <cell r="AC1736">
            <v>1220400</v>
          </cell>
          <cell r="AD1736">
            <v>146448</v>
          </cell>
          <cell r="AE1736">
            <v>0.12</v>
          </cell>
          <cell r="AF1736">
            <v>44614</v>
          </cell>
          <cell r="AG1736" t="str">
            <v>CIF HK</v>
          </cell>
          <cell r="AK1736">
            <v>0.3</v>
          </cell>
          <cell r="AL1736">
            <v>5400000</v>
          </cell>
          <cell r="AM1736">
            <v>44623</v>
          </cell>
          <cell r="AN1736" t="str">
            <v>Yes</v>
          </cell>
          <cell r="AO1736">
            <v>0.7</v>
          </cell>
          <cell r="AP1736">
            <v>12600000</v>
          </cell>
          <cell r="AQ1736">
            <v>44691</v>
          </cell>
          <cell r="AR1736">
            <v>44691</v>
          </cell>
          <cell r="AS1736">
            <v>0</v>
          </cell>
          <cell r="AT1736">
            <v>0</v>
          </cell>
          <cell r="AX1736" t="str">
            <v>Yes</v>
          </cell>
          <cell r="AZ1736" t="str">
            <v>Y</v>
          </cell>
          <cell r="BA1736" t="str">
            <v>Yes</v>
          </cell>
        </row>
        <row r="1737">
          <cell r="B1737">
            <v>1587</v>
          </cell>
          <cell r="C1737" t="str">
            <v>C49SZX20220013DZ</v>
          </cell>
          <cell r="D1737" t="str">
            <v>朗特</v>
          </cell>
          <cell r="E1737" t="str">
            <v>YSM20WR-2</v>
          </cell>
          <cell r="I1737" t="str">
            <v>L-&gt;R</v>
          </cell>
          <cell r="J1737" t="str">
            <v>No</v>
          </cell>
          <cell r="K1737">
            <v>1</v>
          </cell>
          <cell r="N1737">
            <v>44694</v>
          </cell>
          <cell r="O1737">
            <v>11116756</v>
          </cell>
          <cell r="P1737">
            <v>18000000</v>
          </cell>
          <cell r="Q1737">
            <v>44699</v>
          </cell>
          <cell r="R1737" t="str">
            <v>No</v>
          </cell>
          <cell r="S1737" t="str">
            <v>C49</v>
          </cell>
          <cell r="T1737" t="str">
            <v>SOUTH</v>
          </cell>
          <cell r="U1737" t="str">
            <v>深圳</v>
          </cell>
          <cell r="V1737" t="str">
            <v>SZ 深圳</v>
          </cell>
          <cell r="W1737" t="str">
            <v>DZ</v>
          </cell>
          <cell r="X1737" t="str">
            <v>JPY</v>
          </cell>
          <cell r="Y1737">
            <v>18000000</v>
          </cell>
          <cell r="Z1737">
            <v>1</v>
          </cell>
          <cell r="AA1737">
            <v>18000000</v>
          </cell>
          <cell r="AB1737">
            <v>6.7799999999999999E-2</v>
          </cell>
          <cell r="AC1737">
            <v>1220400</v>
          </cell>
          <cell r="AD1737">
            <v>146448</v>
          </cell>
          <cell r="AE1737">
            <v>0.12</v>
          </cell>
          <cell r="AF1737">
            <v>44614</v>
          </cell>
          <cell r="AG1737" t="str">
            <v>CIF HK</v>
          </cell>
          <cell r="AK1737">
            <v>0.3</v>
          </cell>
          <cell r="AL1737">
            <v>5400000</v>
          </cell>
          <cell r="AM1737">
            <v>44623</v>
          </cell>
          <cell r="AN1737" t="str">
            <v>Yes</v>
          </cell>
          <cell r="AO1737">
            <v>0.7</v>
          </cell>
          <cell r="AP1737">
            <v>12600000</v>
          </cell>
          <cell r="AQ1737">
            <v>44691</v>
          </cell>
          <cell r="AR1737">
            <v>44691</v>
          </cell>
          <cell r="AS1737">
            <v>0</v>
          </cell>
          <cell r="AT1737">
            <v>0</v>
          </cell>
          <cell r="AX1737" t="str">
            <v>Yes</v>
          </cell>
          <cell r="AZ1737" t="str">
            <v>Y</v>
          </cell>
          <cell r="BA1737" t="str">
            <v>Yes</v>
          </cell>
        </row>
        <row r="1738">
          <cell r="B1738">
            <v>1588</v>
          </cell>
          <cell r="C1738" t="str">
            <v>C49SZX20220013DZ</v>
          </cell>
          <cell r="D1738" t="str">
            <v>朗特</v>
          </cell>
          <cell r="E1738" t="str">
            <v>YSM20R-2</v>
          </cell>
          <cell r="I1738" t="str">
            <v>R-&gt;L</v>
          </cell>
          <cell r="J1738" t="str">
            <v>No</v>
          </cell>
          <cell r="K1738">
            <v>1</v>
          </cell>
          <cell r="N1738">
            <v>44694</v>
          </cell>
          <cell r="O1738">
            <v>11116751</v>
          </cell>
          <cell r="P1738">
            <v>16000000</v>
          </cell>
          <cell r="Q1738">
            <v>44699</v>
          </cell>
          <cell r="R1738" t="str">
            <v>No</v>
          </cell>
          <cell r="S1738" t="str">
            <v>C49</v>
          </cell>
          <cell r="T1738" t="str">
            <v>SOUTH</v>
          </cell>
          <cell r="U1738" t="str">
            <v>深圳</v>
          </cell>
          <cell r="V1738" t="str">
            <v>SZ 深圳</v>
          </cell>
          <cell r="W1738" t="str">
            <v>DZ</v>
          </cell>
          <cell r="X1738" t="str">
            <v>JPY</v>
          </cell>
          <cell r="Y1738">
            <v>16000000</v>
          </cell>
          <cell r="Z1738">
            <v>1</v>
          </cell>
          <cell r="AA1738">
            <v>16000000</v>
          </cell>
          <cell r="AB1738">
            <v>6.7799999999999999E-2</v>
          </cell>
          <cell r="AC1738">
            <v>1084800</v>
          </cell>
          <cell r="AD1738">
            <v>130176</v>
          </cell>
          <cell r="AE1738">
            <v>0.12</v>
          </cell>
          <cell r="AF1738">
            <v>44614</v>
          </cell>
          <cell r="AG1738" t="str">
            <v>CIF HK</v>
          </cell>
          <cell r="AK1738">
            <v>0.3</v>
          </cell>
          <cell r="AL1738">
            <v>4800000</v>
          </cell>
          <cell r="AM1738">
            <v>44623</v>
          </cell>
          <cell r="AN1738" t="str">
            <v>Yes</v>
          </cell>
          <cell r="AO1738">
            <v>0.7</v>
          </cell>
          <cell r="AP1738">
            <v>11200000</v>
          </cell>
          <cell r="AQ1738">
            <v>44691</v>
          </cell>
          <cell r="AR1738">
            <v>44691</v>
          </cell>
          <cell r="AS1738">
            <v>0</v>
          </cell>
          <cell r="AT1738">
            <v>0</v>
          </cell>
          <cell r="AX1738" t="str">
            <v>Yes</v>
          </cell>
          <cell r="AZ1738" t="str">
            <v>Y</v>
          </cell>
          <cell r="BA1738" t="str">
            <v>Yes</v>
          </cell>
        </row>
        <row r="1739">
          <cell r="B1739">
            <v>1589</v>
          </cell>
          <cell r="C1739" t="str">
            <v>C49SZX20220013DZ</v>
          </cell>
          <cell r="D1739" t="str">
            <v>朗特</v>
          </cell>
          <cell r="E1739" t="str">
            <v>YSM20R-2</v>
          </cell>
          <cell r="I1739" t="str">
            <v>R-&gt;L</v>
          </cell>
          <cell r="J1739" t="str">
            <v>No</v>
          </cell>
          <cell r="K1739">
            <v>1</v>
          </cell>
          <cell r="N1739">
            <v>44694</v>
          </cell>
          <cell r="O1739">
            <v>11116751</v>
          </cell>
          <cell r="P1739">
            <v>16000000</v>
          </cell>
          <cell r="Q1739">
            <v>44699</v>
          </cell>
          <cell r="R1739" t="str">
            <v>No</v>
          </cell>
          <cell r="S1739" t="str">
            <v>C49</v>
          </cell>
          <cell r="T1739" t="str">
            <v>SOUTH</v>
          </cell>
          <cell r="U1739" t="str">
            <v>深圳</v>
          </cell>
          <cell r="V1739" t="str">
            <v>SZ 深圳</v>
          </cell>
          <cell r="W1739" t="str">
            <v>DZ</v>
          </cell>
          <cell r="X1739" t="str">
            <v>JPY</v>
          </cell>
          <cell r="Y1739">
            <v>16000000</v>
          </cell>
          <cell r="Z1739">
            <v>1</v>
          </cell>
          <cell r="AA1739">
            <v>16000000</v>
          </cell>
          <cell r="AB1739">
            <v>6.7799999999999999E-2</v>
          </cell>
          <cell r="AC1739">
            <v>1084800</v>
          </cell>
          <cell r="AD1739">
            <v>130176</v>
          </cell>
          <cell r="AE1739">
            <v>0.12</v>
          </cell>
          <cell r="AF1739">
            <v>44614</v>
          </cell>
          <cell r="AG1739" t="str">
            <v>CIF HK</v>
          </cell>
          <cell r="AK1739">
            <v>0.3</v>
          </cell>
          <cell r="AL1739">
            <v>4800000</v>
          </cell>
          <cell r="AM1739">
            <v>44623</v>
          </cell>
          <cell r="AN1739" t="str">
            <v>Yes</v>
          </cell>
          <cell r="AO1739">
            <v>0.7</v>
          </cell>
          <cell r="AP1739">
            <v>11200000</v>
          </cell>
          <cell r="AQ1739">
            <v>44691</v>
          </cell>
          <cell r="AR1739">
            <v>44691</v>
          </cell>
          <cell r="AS1739">
            <v>0</v>
          </cell>
          <cell r="AT1739">
            <v>0</v>
          </cell>
          <cell r="AX1739" t="str">
            <v>Yes</v>
          </cell>
          <cell r="AZ1739" t="str">
            <v>Y</v>
          </cell>
          <cell r="BA1739" t="str">
            <v>Yes</v>
          </cell>
        </row>
        <row r="1740">
          <cell r="B1740">
            <v>1590</v>
          </cell>
          <cell r="C1740" t="str">
            <v>C49SZX20220013DZ</v>
          </cell>
          <cell r="D1740" t="str">
            <v>朗特</v>
          </cell>
          <cell r="E1740" t="str">
            <v>YSM10</v>
          </cell>
          <cell r="I1740" t="str">
            <v>R-&gt;L</v>
          </cell>
          <cell r="J1740" t="str">
            <v>No</v>
          </cell>
          <cell r="K1740">
            <v>1</v>
          </cell>
          <cell r="N1740">
            <v>44719</v>
          </cell>
          <cell r="O1740">
            <v>11116765</v>
          </cell>
          <cell r="P1740">
            <v>11000000</v>
          </cell>
          <cell r="Q1740">
            <v>44725</v>
          </cell>
          <cell r="R1740" t="str">
            <v>No</v>
          </cell>
          <cell r="S1740" t="str">
            <v>C49</v>
          </cell>
          <cell r="T1740" t="str">
            <v>SOUTH</v>
          </cell>
          <cell r="U1740" t="str">
            <v>深圳</v>
          </cell>
          <cell r="V1740" t="str">
            <v>SZ 深圳</v>
          </cell>
          <cell r="W1740" t="str">
            <v>DZ</v>
          </cell>
          <cell r="X1740" t="str">
            <v>JPY</v>
          </cell>
          <cell r="Y1740">
            <v>11000000</v>
          </cell>
          <cell r="Z1740">
            <v>1</v>
          </cell>
          <cell r="AA1740">
            <v>11000000</v>
          </cell>
          <cell r="AB1740">
            <v>6.7799999999999999E-2</v>
          </cell>
          <cell r="AC1740">
            <v>745800</v>
          </cell>
          <cell r="AD1740">
            <v>89496</v>
          </cell>
          <cell r="AE1740">
            <v>0.12</v>
          </cell>
          <cell r="AF1740">
            <v>44614</v>
          </cell>
          <cell r="AG1740" t="str">
            <v>CIF HK</v>
          </cell>
          <cell r="AK1740">
            <v>0.3</v>
          </cell>
          <cell r="AL1740">
            <v>3300000</v>
          </cell>
          <cell r="AM1740">
            <v>44623</v>
          </cell>
          <cell r="AN1740" t="str">
            <v>Yes</v>
          </cell>
          <cell r="AO1740">
            <v>0.7</v>
          </cell>
          <cell r="AP1740">
            <v>7699999.9999999991</v>
          </cell>
          <cell r="AQ1740">
            <v>44713</v>
          </cell>
          <cell r="AR1740">
            <v>44713</v>
          </cell>
          <cell r="AS1740">
            <v>0</v>
          </cell>
          <cell r="AT1740">
            <v>0</v>
          </cell>
          <cell r="AX1740" t="str">
            <v>Yes</v>
          </cell>
          <cell r="AZ1740" t="str">
            <v>Y</v>
          </cell>
          <cell r="BA1740" t="str">
            <v>Yes</v>
          </cell>
        </row>
        <row r="1741">
          <cell r="B1741">
            <v>1591</v>
          </cell>
          <cell r="C1741" t="str">
            <v>C49SZX20220013DZ</v>
          </cell>
          <cell r="D1741" t="str">
            <v>朗特</v>
          </cell>
          <cell r="E1741" t="str">
            <v>YSM10</v>
          </cell>
          <cell r="I1741" t="str">
            <v>R-&gt;L</v>
          </cell>
          <cell r="J1741" t="str">
            <v>MVC+ATS15</v>
          </cell>
          <cell r="K1741">
            <v>1</v>
          </cell>
          <cell r="N1741">
            <v>44694</v>
          </cell>
          <cell r="O1741">
            <v>11116751</v>
          </cell>
          <cell r="P1741">
            <v>11000000</v>
          </cell>
          <cell r="Q1741">
            <v>44699</v>
          </cell>
          <cell r="R1741" t="str">
            <v>No</v>
          </cell>
          <cell r="S1741" t="str">
            <v>C49</v>
          </cell>
          <cell r="T1741" t="str">
            <v>SOUTH</v>
          </cell>
          <cell r="U1741" t="str">
            <v>深圳</v>
          </cell>
          <cell r="V1741" t="str">
            <v>SZ 深圳</v>
          </cell>
          <cell r="W1741" t="str">
            <v>DZ</v>
          </cell>
          <cell r="X1741" t="str">
            <v>JPY</v>
          </cell>
          <cell r="Y1741">
            <v>11000000</v>
          </cell>
          <cell r="Z1741">
            <v>1</v>
          </cell>
          <cell r="AA1741">
            <v>11000000</v>
          </cell>
          <cell r="AB1741">
            <v>6.7799999999999999E-2</v>
          </cell>
          <cell r="AC1741">
            <v>745800</v>
          </cell>
          <cell r="AD1741">
            <v>89496</v>
          </cell>
          <cell r="AE1741">
            <v>0.12</v>
          </cell>
          <cell r="AF1741">
            <v>44614</v>
          </cell>
          <cell r="AG1741" t="str">
            <v>CIF HK</v>
          </cell>
          <cell r="AK1741">
            <v>0.3</v>
          </cell>
          <cell r="AL1741">
            <v>3300000</v>
          </cell>
          <cell r="AM1741">
            <v>44623</v>
          </cell>
          <cell r="AN1741" t="str">
            <v>Yes</v>
          </cell>
          <cell r="AO1741">
            <v>0.7</v>
          </cell>
          <cell r="AP1741">
            <v>7699999.9999999991</v>
          </cell>
          <cell r="AQ1741">
            <v>44691</v>
          </cell>
          <cell r="AR1741">
            <v>44691</v>
          </cell>
          <cell r="AS1741">
            <v>0</v>
          </cell>
          <cell r="AT1741">
            <v>0</v>
          </cell>
          <cell r="AX1741" t="str">
            <v>Yes</v>
          </cell>
          <cell r="AZ1741" t="str">
            <v>Y</v>
          </cell>
          <cell r="BA1741" t="str">
            <v>Yes</v>
          </cell>
        </row>
        <row r="1742">
          <cell r="B1742">
            <v>1592</v>
          </cell>
          <cell r="C1742" t="str">
            <v>C49SZX20220013DZ</v>
          </cell>
          <cell r="D1742" t="str">
            <v>朗特</v>
          </cell>
          <cell r="E1742" t="str">
            <v>YSM10</v>
          </cell>
          <cell r="I1742" t="str">
            <v>R-&gt;L</v>
          </cell>
          <cell r="J1742" t="str">
            <v>MVC+ATS15</v>
          </cell>
          <cell r="K1742">
            <v>1</v>
          </cell>
          <cell r="N1742">
            <v>44694</v>
          </cell>
          <cell r="O1742">
            <v>11116751</v>
          </cell>
          <cell r="P1742">
            <v>11000000</v>
          </cell>
          <cell r="Q1742">
            <v>44699</v>
          </cell>
          <cell r="R1742" t="str">
            <v>No</v>
          </cell>
          <cell r="S1742" t="str">
            <v>C49</v>
          </cell>
          <cell r="T1742" t="str">
            <v>SOUTH</v>
          </cell>
          <cell r="U1742" t="str">
            <v>深圳</v>
          </cell>
          <cell r="V1742" t="str">
            <v>SZ 深圳</v>
          </cell>
          <cell r="W1742" t="str">
            <v>DZ</v>
          </cell>
          <cell r="X1742" t="str">
            <v>JPY</v>
          </cell>
          <cell r="Y1742">
            <v>11000000</v>
          </cell>
          <cell r="Z1742">
            <v>1</v>
          </cell>
          <cell r="AA1742">
            <v>11000000</v>
          </cell>
          <cell r="AB1742">
            <v>6.7799999999999999E-2</v>
          </cell>
          <cell r="AC1742">
            <v>745800</v>
          </cell>
          <cell r="AD1742">
            <v>89496</v>
          </cell>
          <cell r="AE1742">
            <v>0.12</v>
          </cell>
          <cell r="AF1742">
            <v>44614</v>
          </cell>
          <cell r="AG1742" t="str">
            <v>CIF HK</v>
          </cell>
          <cell r="AK1742">
            <v>0.3</v>
          </cell>
          <cell r="AL1742">
            <v>3300000</v>
          </cell>
          <cell r="AM1742">
            <v>44623</v>
          </cell>
          <cell r="AN1742" t="str">
            <v>Yes</v>
          </cell>
          <cell r="AO1742">
            <v>0.7</v>
          </cell>
          <cell r="AP1742">
            <v>7699999.9999999991</v>
          </cell>
          <cell r="AQ1742">
            <v>44691</v>
          </cell>
          <cell r="AR1742">
            <v>44691</v>
          </cell>
          <cell r="AS1742">
            <v>0</v>
          </cell>
          <cell r="AT1742">
            <v>0</v>
          </cell>
          <cell r="AX1742" t="str">
            <v>Yes</v>
          </cell>
          <cell r="AZ1742" t="str">
            <v>Y</v>
          </cell>
          <cell r="BA1742" t="str">
            <v>Yes</v>
          </cell>
        </row>
        <row r="1743">
          <cell r="B1743">
            <v>1593</v>
          </cell>
          <cell r="C1743" t="str">
            <v>C49SZX20220013DZ</v>
          </cell>
          <cell r="D1743" t="str">
            <v>朗特</v>
          </cell>
          <cell r="E1743" t="str">
            <v>YSM10</v>
          </cell>
          <cell r="I1743" t="str">
            <v>R-&gt;L</v>
          </cell>
          <cell r="J1743" t="str">
            <v>No</v>
          </cell>
          <cell r="K1743">
            <v>1</v>
          </cell>
          <cell r="N1743">
            <v>44694</v>
          </cell>
          <cell r="O1743">
            <v>11116751</v>
          </cell>
          <cell r="P1743">
            <v>11000000</v>
          </cell>
          <cell r="Q1743">
            <v>44699</v>
          </cell>
          <cell r="R1743" t="str">
            <v>No</v>
          </cell>
          <cell r="S1743" t="str">
            <v>C49</v>
          </cell>
          <cell r="T1743" t="str">
            <v>SOUTH</v>
          </cell>
          <cell r="U1743" t="str">
            <v>深圳</v>
          </cell>
          <cell r="V1743" t="str">
            <v>SZ 深圳</v>
          </cell>
          <cell r="W1743" t="str">
            <v>DZ</v>
          </cell>
          <cell r="X1743" t="str">
            <v>JPY</v>
          </cell>
          <cell r="Y1743">
            <v>11000000</v>
          </cell>
          <cell r="Z1743">
            <v>1</v>
          </cell>
          <cell r="AA1743">
            <v>11000000</v>
          </cell>
          <cell r="AB1743">
            <v>6.7799999999999999E-2</v>
          </cell>
          <cell r="AC1743">
            <v>745800</v>
          </cell>
          <cell r="AD1743">
            <v>89496</v>
          </cell>
          <cell r="AE1743">
            <v>0.12</v>
          </cell>
          <cell r="AF1743">
            <v>44614</v>
          </cell>
          <cell r="AG1743" t="str">
            <v>CIF HK</v>
          </cell>
          <cell r="AK1743">
            <v>0.3</v>
          </cell>
          <cell r="AL1743">
            <v>3300000</v>
          </cell>
          <cell r="AM1743">
            <v>44623</v>
          </cell>
          <cell r="AN1743" t="str">
            <v>Yes</v>
          </cell>
          <cell r="AO1743">
            <v>0.7</v>
          </cell>
          <cell r="AP1743">
            <v>7699999.9999999991</v>
          </cell>
          <cell r="AQ1743">
            <v>44691</v>
          </cell>
          <cell r="AR1743">
            <v>44691</v>
          </cell>
          <cell r="AS1743">
            <v>0</v>
          </cell>
          <cell r="AT1743">
            <v>0</v>
          </cell>
          <cell r="AX1743" t="str">
            <v>Yes</v>
          </cell>
          <cell r="AZ1743" t="str">
            <v>Y</v>
          </cell>
          <cell r="BA1743" t="str">
            <v>Yes</v>
          </cell>
        </row>
        <row r="1744">
          <cell r="B1744">
            <v>1594</v>
          </cell>
          <cell r="C1744" t="str">
            <v>C49SZX20220013DZ</v>
          </cell>
          <cell r="D1744" t="str">
            <v>朗特</v>
          </cell>
          <cell r="E1744" t="str">
            <v>YSM20R-2</v>
          </cell>
          <cell r="I1744" t="str">
            <v>R-&gt;L</v>
          </cell>
          <cell r="J1744" t="str">
            <v>No</v>
          </cell>
          <cell r="K1744">
            <v>1</v>
          </cell>
          <cell r="N1744">
            <v>44719</v>
          </cell>
          <cell r="O1744">
            <v>11116765</v>
          </cell>
          <cell r="P1744">
            <v>16000000</v>
          </cell>
          <cell r="Q1744">
            <v>44725</v>
          </cell>
          <cell r="R1744" t="str">
            <v>No</v>
          </cell>
          <cell r="S1744" t="str">
            <v>C49</v>
          </cell>
          <cell r="T1744" t="str">
            <v>SOUTH</v>
          </cell>
          <cell r="U1744" t="str">
            <v>深圳</v>
          </cell>
          <cell r="V1744" t="str">
            <v>SZ 深圳</v>
          </cell>
          <cell r="W1744" t="str">
            <v>DZ</v>
          </cell>
          <cell r="X1744" t="str">
            <v>JPY</v>
          </cell>
          <cell r="Y1744">
            <v>16000000</v>
          </cell>
          <cell r="Z1744">
            <v>1</v>
          </cell>
          <cell r="AA1744">
            <v>16000000</v>
          </cell>
          <cell r="AB1744">
            <v>6.7799999999999999E-2</v>
          </cell>
          <cell r="AC1744">
            <v>1084800</v>
          </cell>
          <cell r="AD1744">
            <v>130176</v>
          </cell>
          <cell r="AE1744">
            <v>0.12</v>
          </cell>
          <cell r="AF1744">
            <v>44614</v>
          </cell>
          <cell r="AG1744" t="str">
            <v>CIF HK</v>
          </cell>
          <cell r="AK1744">
            <v>0.3</v>
          </cell>
          <cell r="AL1744">
            <v>4800000</v>
          </cell>
          <cell r="AM1744">
            <v>44623</v>
          </cell>
          <cell r="AN1744" t="str">
            <v>Yes</v>
          </cell>
          <cell r="AO1744">
            <v>0.7</v>
          </cell>
          <cell r="AP1744">
            <v>11200000</v>
          </cell>
          <cell r="AQ1744">
            <v>44713</v>
          </cell>
          <cell r="AR1744">
            <v>44713</v>
          </cell>
          <cell r="AS1744">
            <v>0</v>
          </cell>
          <cell r="AT1744">
            <v>0</v>
          </cell>
          <cell r="AX1744" t="str">
            <v>Yes</v>
          </cell>
          <cell r="AZ1744" t="str">
            <v>Y</v>
          </cell>
          <cell r="BA1744" t="str">
            <v>Yes</v>
          </cell>
        </row>
        <row r="1745">
          <cell r="B1745">
            <v>1595</v>
          </cell>
          <cell r="C1745" t="str">
            <v>C49SZX20220013DZ</v>
          </cell>
          <cell r="D1745" t="str">
            <v>朗特</v>
          </cell>
          <cell r="E1745" t="str">
            <v>YSM10</v>
          </cell>
          <cell r="I1745" t="str">
            <v>R-&gt;L</v>
          </cell>
          <cell r="J1745" t="str">
            <v>MVC+ATS15</v>
          </cell>
          <cell r="K1745">
            <v>1</v>
          </cell>
          <cell r="N1745">
            <v>44694</v>
          </cell>
          <cell r="O1745">
            <v>11116751</v>
          </cell>
          <cell r="P1745">
            <v>11000000</v>
          </cell>
          <cell r="Q1745">
            <v>44699</v>
          </cell>
          <cell r="R1745" t="str">
            <v>No</v>
          </cell>
          <cell r="S1745" t="str">
            <v>C49</v>
          </cell>
          <cell r="T1745" t="str">
            <v>SOUTH</v>
          </cell>
          <cell r="U1745" t="str">
            <v>深圳</v>
          </cell>
          <cell r="V1745" t="str">
            <v>SZ 深圳</v>
          </cell>
          <cell r="W1745" t="str">
            <v>DZ</v>
          </cell>
          <cell r="X1745" t="str">
            <v>JPY</v>
          </cell>
          <cell r="Y1745">
            <v>11000000</v>
          </cell>
          <cell r="Z1745">
            <v>1</v>
          </cell>
          <cell r="AA1745">
            <v>11000000</v>
          </cell>
          <cell r="AB1745">
            <v>6.7799999999999999E-2</v>
          </cell>
          <cell r="AC1745">
            <v>745800</v>
          </cell>
          <cell r="AD1745">
            <v>89496</v>
          </cell>
          <cell r="AE1745">
            <v>0.12</v>
          </cell>
          <cell r="AF1745">
            <v>44614</v>
          </cell>
          <cell r="AG1745" t="str">
            <v>CIF HK</v>
          </cell>
          <cell r="AK1745">
            <v>0.3</v>
          </cell>
          <cell r="AL1745">
            <v>3300000</v>
          </cell>
          <cell r="AM1745">
            <v>44623</v>
          </cell>
          <cell r="AN1745" t="str">
            <v>Yes</v>
          </cell>
          <cell r="AO1745">
            <v>0.7</v>
          </cell>
          <cell r="AP1745">
            <v>7699999.9999999991</v>
          </cell>
          <cell r="AQ1745">
            <v>44691</v>
          </cell>
          <cell r="AR1745">
            <v>44691</v>
          </cell>
          <cell r="AS1745">
            <v>0</v>
          </cell>
          <cell r="AT1745">
            <v>0</v>
          </cell>
          <cell r="AX1745" t="str">
            <v>Yes</v>
          </cell>
          <cell r="AZ1745" t="str">
            <v>Y</v>
          </cell>
          <cell r="BA1745" t="str">
            <v>Yes</v>
          </cell>
        </row>
        <row r="1746">
          <cell r="B1746">
            <v>1596</v>
          </cell>
          <cell r="C1746" t="str">
            <v>C49SZX20220013DZ</v>
          </cell>
          <cell r="D1746" t="str">
            <v>朗特</v>
          </cell>
          <cell r="E1746" t="str">
            <v>YSM10</v>
          </cell>
          <cell r="I1746" t="str">
            <v>R-&gt;L</v>
          </cell>
          <cell r="J1746" t="str">
            <v>MVC</v>
          </cell>
          <cell r="K1746">
            <v>1</v>
          </cell>
          <cell r="N1746">
            <v>44694</v>
          </cell>
          <cell r="O1746">
            <v>11116751</v>
          </cell>
          <cell r="P1746">
            <v>11000000</v>
          </cell>
          <cell r="Q1746">
            <v>44699</v>
          </cell>
          <cell r="R1746" t="str">
            <v>No</v>
          </cell>
          <cell r="S1746" t="str">
            <v>C49</v>
          </cell>
          <cell r="T1746" t="str">
            <v>SOUTH</v>
          </cell>
          <cell r="U1746" t="str">
            <v>深圳</v>
          </cell>
          <cell r="V1746" t="str">
            <v>SZ 深圳</v>
          </cell>
          <cell r="W1746" t="str">
            <v>DZ</v>
          </cell>
          <cell r="X1746" t="str">
            <v>JPY</v>
          </cell>
          <cell r="Y1746">
            <v>11000000</v>
          </cell>
          <cell r="Z1746">
            <v>1</v>
          </cell>
          <cell r="AA1746">
            <v>11000000</v>
          </cell>
          <cell r="AB1746">
            <v>6.7799999999999999E-2</v>
          </cell>
          <cell r="AC1746">
            <v>745800</v>
          </cell>
          <cell r="AD1746">
            <v>89496</v>
          </cell>
          <cell r="AE1746">
            <v>0.12</v>
          </cell>
          <cell r="AF1746">
            <v>44614</v>
          </cell>
          <cell r="AG1746" t="str">
            <v>CIF HK</v>
          </cell>
          <cell r="AK1746">
            <v>0.3</v>
          </cell>
          <cell r="AL1746">
            <v>3300000</v>
          </cell>
          <cell r="AM1746">
            <v>44623</v>
          </cell>
          <cell r="AN1746" t="str">
            <v>Yes</v>
          </cell>
          <cell r="AO1746">
            <v>0.7</v>
          </cell>
          <cell r="AP1746">
            <v>7699999.9999999991</v>
          </cell>
          <cell r="AQ1746">
            <v>44691</v>
          </cell>
          <cell r="AR1746">
            <v>44691</v>
          </cell>
          <cell r="AS1746">
            <v>0</v>
          </cell>
          <cell r="AT1746">
            <v>0</v>
          </cell>
          <cell r="AX1746" t="str">
            <v>Yes</v>
          </cell>
          <cell r="AZ1746" t="str">
            <v>Y</v>
          </cell>
          <cell r="BA1746" t="str">
            <v>Yes</v>
          </cell>
        </row>
        <row r="1747">
          <cell r="B1747">
            <v>1597</v>
          </cell>
          <cell r="C1747" t="str">
            <v>C49SZX20220021SS</v>
          </cell>
          <cell r="D1747" t="str">
            <v>钧溢电子</v>
          </cell>
          <cell r="E1747" t="str">
            <v>YSM20R-2</v>
          </cell>
          <cell r="I1747" t="str">
            <v>L-&gt;R</v>
          </cell>
          <cell r="J1747" t="str">
            <v>No</v>
          </cell>
          <cell r="K1747">
            <v>1</v>
          </cell>
          <cell r="N1747">
            <v>44725</v>
          </cell>
          <cell r="O1747">
            <v>11116767</v>
          </cell>
          <cell r="P1747">
            <v>14190000</v>
          </cell>
          <cell r="Q1747">
            <v>44726</v>
          </cell>
          <cell r="R1747" t="str">
            <v>No</v>
          </cell>
          <cell r="S1747" t="str">
            <v>C49</v>
          </cell>
          <cell r="T1747" t="str">
            <v>SOUTH</v>
          </cell>
          <cell r="U1747" t="str">
            <v>深圳</v>
          </cell>
          <cell r="V1747" t="str">
            <v>SZ 深圳</v>
          </cell>
          <cell r="W1747" t="str">
            <v>SS</v>
          </cell>
          <cell r="X1747" t="str">
            <v>JPY</v>
          </cell>
          <cell r="Y1747">
            <v>14190000</v>
          </cell>
          <cell r="Z1747">
            <v>1</v>
          </cell>
          <cell r="AA1747">
            <v>14190000</v>
          </cell>
          <cell r="AB1747">
            <v>6.7799999999999999E-2</v>
          </cell>
          <cell r="AC1747">
            <v>962082</v>
          </cell>
          <cell r="AD1747">
            <v>115449.84</v>
          </cell>
          <cell r="AE1747">
            <v>0.12</v>
          </cell>
          <cell r="AF1747">
            <v>44617</v>
          </cell>
          <cell r="AG1747" t="str">
            <v>DAP SZ</v>
          </cell>
          <cell r="AK1747">
            <v>0.1</v>
          </cell>
          <cell r="AL1747">
            <v>1419000</v>
          </cell>
          <cell r="AM1747">
            <v>44645</v>
          </cell>
          <cell r="AN1747" t="str">
            <v>Yes</v>
          </cell>
          <cell r="AO1747">
            <v>0.9</v>
          </cell>
          <cell r="AP1747">
            <v>12771000</v>
          </cell>
          <cell r="AQ1747">
            <v>44713</v>
          </cell>
          <cell r="AR1747">
            <v>44720</v>
          </cell>
          <cell r="AS1747">
            <v>0</v>
          </cell>
          <cell r="AT1747">
            <v>0</v>
          </cell>
          <cell r="AX1747" t="str">
            <v>Yes</v>
          </cell>
          <cell r="AZ1747" t="str">
            <v>Y</v>
          </cell>
          <cell r="BA1747" t="str">
            <v>Yes</v>
          </cell>
        </row>
        <row r="1748">
          <cell r="B1748">
            <v>1598</v>
          </cell>
          <cell r="C1748" t="str">
            <v>C49SZX20220023SX</v>
          </cell>
          <cell r="D1748" t="str">
            <v>拓新伟业</v>
          </cell>
          <cell r="E1748" t="str">
            <v>YSM20R-2</v>
          </cell>
          <cell r="I1748" t="str">
            <v>L-&gt;R</v>
          </cell>
          <cell r="J1748" t="str">
            <v>MVC</v>
          </cell>
          <cell r="K1748">
            <v>1</v>
          </cell>
          <cell r="N1748">
            <v>44625</v>
          </cell>
          <cell r="O1748">
            <v>11100525</v>
          </cell>
          <cell r="P1748">
            <v>967200</v>
          </cell>
          <cell r="Q1748">
            <v>44649</v>
          </cell>
          <cell r="R1748" t="str">
            <v>No</v>
          </cell>
          <cell r="S1748" t="str">
            <v>C49</v>
          </cell>
          <cell r="T1748" t="str">
            <v>SOUTH</v>
          </cell>
          <cell r="U1748" t="str">
            <v>深圳</v>
          </cell>
          <cell r="V1748" t="str">
            <v>SZ 深圳</v>
          </cell>
          <cell r="W1748" t="str">
            <v>SX</v>
          </cell>
          <cell r="X1748" t="str">
            <v>RMB</v>
          </cell>
          <cell r="Y1748">
            <v>967200</v>
          </cell>
          <cell r="Z1748">
            <v>1.1299999999999999</v>
          </cell>
          <cell r="AA1748">
            <v>967200</v>
          </cell>
          <cell r="AB1748">
            <v>1.22</v>
          </cell>
          <cell r="AC1748">
            <v>1044233.6283185842</v>
          </cell>
          <cell r="AD1748">
            <v>125308.0353982301</v>
          </cell>
          <cell r="AE1748">
            <v>0.12</v>
          </cell>
          <cell r="AF1748">
            <v>44615</v>
          </cell>
          <cell r="AG1748" t="str">
            <v>DDP SZ</v>
          </cell>
          <cell r="AI1748">
            <v>96720</v>
          </cell>
          <cell r="AJ1748">
            <v>44621</v>
          </cell>
          <cell r="AK1748">
            <v>0.3</v>
          </cell>
          <cell r="AL1748">
            <v>290160</v>
          </cell>
          <cell r="AN1748" t="str">
            <v>Yes</v>
          </cell>
          <cell r="AO1748">
            <v>0.7</v>
          </cell>
          <cell r="AP1748">
            <v>677040</v>
          </cell>
          <cell r="AQ1748">
            <v>44623</v>
          </cell>
          <cell r="AR1748">
            <v>44623</v>
          </cell>
          <cell r="AS1748">
            <v>0</v>
          </cell>
          <cell r="AT1748">
            <v>0</v>
          </cell>
          <cell r="AX1748" t="str">
            <v>Yes</v>
          </cell>
          <cell r="AZ1748" t="str">
            <v>Y</v>
          </cell>
          <cell r="BA1748" t="str">
            <v>Yes</v>
          </cell>
        </row>
        <row r="1749">
          <cell r="B1749">
            <v>1599</v>
          </cell>
          <cell r="C1749" t="str">
            <v>C49SZX20220017JL</v>
          </cell>
          <cell r="D1749" t="str">
            <v>英特莱</v>
          </cell>
          <cell r="E1749" t="str">
            <v>YSM20R-2</v>
          </cell>
          <cell r="I1749" t="str">
            <v>L-&gt;R</v>
          </cell>
          <cell r="J1749" t="str">
            <v>No</v>
          </cell>
          <cell r="K1749">
            <v>1</v>
          </cell>
          <cell r="N1749">
            <v>44644</v>
          </cell>
          <cell r="O1749">
            <v>11116713</v>
          </cell>
          <cell r="P1749">
            <v>13200000</v>
          </cell>
          <cell r="Q1749">
            <v>44644</v>
          </cell>
          <cell r="R1749" t="str">
            <v>Yes</v>
          </cell>
          <cell r="S1749" t="str">
            <v>C49</v>
          </cell>
          <cell r="T1749" t="str">
            <v>SOUTH</v>
          </cell>
          <cell r="U1749" t="str">
            <v>深圳</v>
          </cell>
          <cell r="V1749" t="str">
            <v>SZ 深圳</v>
          </cell>
          <cell r="W1749" t="str">
            <v>JL</v>
          </cell>
          <cell r="X1749" t="str">
            <v>JPY</v>
          </cell>
          <cell r="Y1749">
            <v>13200000</v>
          </cell>
          <cell r="Z1749">
            <v>1</v>
          </cell>
          <cell r="AA1749">
            <v>13200000</v>
          </cell>
          <cell r="AB1749">
            <v>6.7799999999999999E-2</v>
          </cell>
          <cell r="AC1749">
            <v>894960</v>
          </cell>
          <cell r="AD1749">
            <v>107395.2</v>
          </cell>
          <cell r="AE1749">
            <v>0.12</v>
          </cell>
          <cell r="AF1749">
            <v>44616</v>
          </cell>
          <cell r="AG1749" t="str">
            <v>DAP SZ</v>
          </cell>
          <cell r="AK1749">
            <v>0.3</v>
          </cell>
          <cell r="AL1749">
            <v>3960000</v>
          </cell>
          <cell r="AM1749">
            <v>44627</v>
          </cell>
          <cell r="AN1749" t="str">
            <v>Yes</v>
          </cell>
          <cell r="AO1749">
            <v>0.7</v>
          </cell>
          <cell r="AP1749">
            <v>9240000</v>
          </cell>
          <cell r="AQ1749">
            <v>44641</v>
          </cell>
          <cell r="AR1749">
            <v>44641</v>
          </cell>
          <cell r="AS1749">
            <v>0</v>
          </cell>
          <cell r="AT1749">
            <v>0</v>
          </cell>
          <cell r="AX1749" t="str">
            <v>Yes</v>
          </cell>
          <cell r="AZ1749" t="str">
            <v>Y</v>
          </cell>
          <cell r="BA1749" t="str">
            <v>Yes</v>
          </cell>
        </row>
        <row r="1750">
          <cell r="B1750">
            <v>1600</v>
          </cell>
          <cell r="C1750" t="str">
            <v>C49SZX20220024VC</v>
          </cell>
          <cell r="D1750" t="str">
            <v>友艺</v>
          </cell>
          <cell r="E1750" t="str">
            <v>YSM20R-2</v>
          </cell>
          <cell r="I1750" t="str">
            <v>L-&gt;R</v>
          </cell>
          <cell r="J1750" t="str">
            <v>No</v>
          </cell>
          <cell r="K1750">
            <v>1</v>
          </cell>
          <cell r="N1750">
            <v>44768</v>
          </cell>
          <cell r="O1750">
            <v>11116782</v>
          </cell>
          <cell r="P1750">
            <v>17846000</v>
          </cell>
          <cell r="Q1750">
            <v>44769</v>
          </cell>
          <cell r="R1750" t="str">
            <v>Yes</v>
          </cell>
          <cell r="S1750" t="str">
            <v>C49</v>
          </cell>
          <cell r="T1750" t="str">
            <v>SOUTH</v>
          </cell>
          <cell r="U1750" t="str">
            <v>深圳</v>
          </cell>
          <cell r="V1750" t="str">
            <v>SZ 深圳</v>
          </cell>
          <cell r="W1750" t="str">
            <v>VG</v>
          </cell>
          <cell r="X1750" t="str">
            <v>JPY</v>
          </cell>
          <cell r="Y1750">
            <v>17846000</v>
          </cell>
          <cell r="Z1750">
            <v>1</v>
          </cell>
          <cell r="AA1750">
            <v>17846000</v>
          </cell>
          <cell r="AB1750">
            <v>6.7799999999999999E-2</v>
          </cell>
          <cell r="AC1750">
            <v>1209958.8</v>
          </cell>
          <cell r="AD1750">
            <v>145195.05600000001</v>
          </cell>
          <cell r="AE1750">
            <v>0.12</v>
          </cell>
          <cell r="AF1750">
            <v>44620</v>
          </cell>
          <cell r="AG1750" t="str">
            <v>DAP SZ</v>
          </cell>
          <cell r="AK1750">
            <v>0.1</v>
          </cell>
          <cell r="AL1750">
            <v>1784600</v>
          </cell>
          <cell r="AM1750">
            <v>44627</v>
          </cell>
          <cell r="AN1750" t="str">
            <v>Yes</v>
          </cell>
          <cell r="AO1750">
            <v>0.9</v>
          </cell>
          <cell r="AP1750">
            <v>16061400</v>
          </cell>
          <cell r="AQ1750">
            <v>44755</v>
          </cell>
          <cell r="AR1750">
            <v>44755</v>
          </cell>
          <cell r="AS1750">
            <v>0</v>
          </cell>
          <cell r="AT1750">
            <v>0</v>
          </cell>
          <cell r="AX1750" t="str">
            <v>Yes</v>
          </cell>
          <cell r="AZ1750" t="str">
            <v>Y</v>
          </cell>
          <cell r="BA1750" t="str">
            <v>Yes</v>
          </cell>
        </row>
        <row r="1751">
          <cell r="B1751">
            <v>1601</v>
          </cell>
          <cell r="C1751" t="str">
            <v>C49SZX20220026SX</v>
          </cell>
          <cell r="D1751" t="str">
            <v>骏仁达</v>
          </cell>
          <cell r="E1751" t="str">
            <v>YSM20R-2</v>
          </cell>
          <cell r="I1751" t="str">
            <v>L-&gt;R</v>
          </cell>
          <cell r="J1751" t="str">
            <v>No</v>
          </cell>
          <cell r="K1751">
            <v>1</v>
          </cell>
          <cell r="N1751">
            <v>44729</v>
          </cell>
          <cell r="O1751">
            <v>11116769</v>
          </cell>
          <cell r="P1751">
            <v>13500000</v>
          </cell>
          <cell r="Q1751">
            <v>44728</v>
          </cell>
          <cell r="R1751" t="str">
            <v>No</v>
          </cell>
          <cell r="S1751" t="str">
            <v>C49</v>
          </cell>
          <cell r="T1751" t="str">
            <v>SOUTH</v>
          </cell>
          <cell r="U1751" t="str">
            <v>深圳</v>
          </cell>
          <cell r="V1751" t="str">
            <v>SZ 深圳</v>
          </cell>
          <cell r="W1751" t="str">
            <v>SX</v>
          </cell>
          <cell r="X1751" t="str">
            <v>JPY</v>
          </cell>
          <cell r="Y1751">
            <v>13500000</v>
          </cell>
          <cell r="Z1751">
            <v>1</v>
          </cell>
          <cell r="AA1751">
            <v>13500000</v>
          </cell>
          <cell r="AB1751">
            <v>6.7799999999999999E-2</v>
          </cell>
          <cell r="AC1751">
            <v>915300</v>
          </cell>
          <cell r="AD1751">
            <v>109836</v>
          </cell>
          <cell r="AE1751">
            <v>0.12</v>
          </cell>
          <cell r="AF1751">
            <v>44621</v>
          </cell>
          <cell r="AG1751" t="str">
            <v>DAP SZ</v>
          </cell>
          <cell r="AK1751">
            <v>0.1</v>
          </cell>
          <cell r="AL1751">
            <v>1350000</v>
          </cell>
          <cell r="AM1751">
            <v>44627</v>
          </cell>
          <cell r="AN1751" t="str">
            <v>Yes</v>
          </cell>
          <cell r="AO1751">
            <v>0.9</v>
          </cell>
          <cell r="AP1751">
            <v>12150000</v>
          </cell>
          <cell r="AQ1751">
            <v>44722</v>
          </cell>
          <cell r="AR1751">
            <v>44722</v>
          </cell>
          <cell r="AS1751">
            <v>0</v>
          </cell>
          <cell r="AT1751">
            <v>0</v>
          </cell>
          <cell r="AX1751" t="str">
            <v>Yes</v>
          </cell>
          <cell r="AZ1751" t="str">
            <v>Y</v>
          </cell>
          <cell r="BA1751" t="str">
            <v>Yes</v>
          </cell>
        </row>
        <row r="1752">
          <cell r="B1752">
            <v>1602</v>
          </cell>
          <cell r="C1752" t="str">
            <v>C49SZX20220026SX</v>
          </cell>
          <cell r="D1752" t="str">
            <v>骏仁达</v>
          </cell>
          <cell r="E1752" t="str">
            <v>YSM10</v>
          </cell>
          <cell r="I1752" t="str">
            <v>L-&gt;R</v>
          </cell>
          <cell r="J1752" t="str">
            <v>MVC</v>
          </cell>
          <cell r="K1752">
            <v>1</v>
          </cell>
          <cell r="N1752">
            <v>44729</v>
          </cell>
          <cell r="O1752">
            <v>11116769</v>
          </cell>
          <cell r="P1752">
            <v>10500000</v>
          </cell>
          <cell r="Q1752">
            <v>44728</v>
          </cell>
          <cell r="R1752" t="str">
            <v>No</v>
          </cell>
          <cell r="S1752" t="str">
            <v>C49</v>
          </cell>
          <cell r="T1752" t="str">
            <v>SOUTH</v>
          </cell>
          <cell r="U1752" t="str">
            <v>深圳</v>
          </cell>
          <cell r="V1752" t="str">
            <v>SZ 深圳</v>
          </cell>
          <cell r="W1752" t="str">
            <v>SX</v>
          </cell>
          <cell r="X1752" t="str">
            <v>JPY</v>
          </cell>
          <cell r="Y1752">
            <v>10500000</v>
          </cell>
          <cell r="Z1752">
            <v>1</v>
          </cell>
          <cell r="AA1752">
            <v>10500000</v>
          </cell>
          <cell r="AB1752">
            <v>6.7799999999999999E-2</v>
          </cell>
          <cell r="AC1752">
            <v>711900</v>
          </cell>
          <cell r="AD1752">
            <v>85428</v>
          </cell>
          <cell r="AE1752">
            <v>0.12</v>
          </cell>
          <cell r="AF1752">
            <v>44621</v>
          </cell>
          <cell r="AG1752" t="str">
            <v>DAP SZ</v>
          </cell>
          <cell r="AK1752">
            <v>0.1</v>
          </cell>
          <cell r="AL1752">
            <v>1050000</v>
          </cell>
          <cell r="AM1752">
            <v>44627</v>
          </cell>
          <cell r="AN1752" t="str">
            <v>Yes</v>
          </cell>
          <cell r="AO1752">
            <v>0.9</v>
          </cell>
          <cell r="AP1752">
            <v>9450000</v>
          </cell>
          <cell r="AQ1752">
            <v>44722</v>
          </cell>
          <cell r="AR1752">
            <v>44722</v>
          </cell>
          <cell r="AS1752">
            <v>0</v>
          </cell>
          <cell r="AT1752">
            <v>0</v>
          </cell>
          <cell r="AX1752" t="str">
            <v>Yes</v>
          </cell>
          <cell r="AZ1752" t="str">
            <v>Y</v>
          </cell>
          <cell r="BA1752" t="str">
            <v>Yes</v>
          </cell>
        </row>
        <row r="1753">
          <cell r="B1753">
            <v>1603</v>
          </cell>
          <cell r="C1753" t="str">
            <v>C49SZX20220026SX</v>
          </cell>
          <cell r="D1753" t="str">
            <v>骏仁达</v>
          </cell>
          <cell r="E1753" t="str">
            <v>YSM10</v>
          </cell>
          <cell r="I1753" t="str">
            <v>R-&gt;L</v>
          </cell>
          <cell r="J1753" t="str">
            <v>MVC</v>
          </cell>
          <cell r="K1753">
            <v>1</v>
          </cell>
          <cell r="N1753">
            <v>44729</v>
          </cell>
          <cell r="O1753">
            <v>11116769</v>
          </cell>
          <cell r="P1753">
            <v>10500000</v>
          </cell>
          <cell r="Q1753">
            <v>44728</v>
          </cell>
          <cell r="R1753" t="str">
            <v>No</v>
          </cell>
          <cell r="S1753" t="str">
            <v>C49</v>
          </cell>
          <cell r="T1753" t="str">
            <v>SOUTH</v>
          </cell>
          <cell r="U1753" t="str">
            <v>深圳</v>
          </cell>
          <cell r="V1753" t="str">
            <v>SZ 深圳</v>
          </cell>
          <cell r="W1753" t="str">
            <v>SX</v>
          </cell>
          <cell r="X1753" t="str">
            <v>JPY</v>
          </cell>
          <cell r="Y1753">
            <v>10500000</v>
          </cell>
          <cell r="Z1753">
            <v>1</v>
          </cell>
          <cell r="AA1753">
            <v>10500000</v>
          </cell>
          <cell r="AB1753">
            <v>6.7799999999999999E-2</v>
          </cell>
          <cell r="AC1753">
            <v>711900</v>
          </cell>
          <cell r="AD1753">
            <v>85428</v>
          </cell>
          <cell r="AE1753">
            <v>0.12</v>
          </cell>
          <cell r="AF1753">
            <v>44621</v>
          </cell>
          <cell r="AG1753" t="str">
            <v>DAP SZ</v>
          </cell>
          <cell r="AK1753">
            <v>0.1</v>
          </cell>
          <cell r="AL1753">
            <v>1050000</v>
          </cell>
          <cell r="AM1753">
            <v>44627</v>
          </cell>
          <cell r="AN1753" t="str">
            <v>Yes</v>
          </cell>
          <cell r="AO1753">
            <v>0.9</v>
          </cell>
          <cell r="AP1753">
            <v>9450000</v>
          </cell>
          <cell r="AQ1753">
            <v>44722</v>
          </cell>
          <cell r="AR1753">
            <v>44722</v>
          </cell>
          <cell r="AS1753">
            <v>0</v>
          </cell>
          <cell r="AT1753">
            <v>0</v>
          </cell>
          <cell r="AX1753" t="str">
            <v>Yes</v>
          </cell>
          <cell r="AZ1753" t="str">
            <v>Y</v>
          </cell>
          <cell r="BA1753" t="str">
            <v>Yes</v>
          </cell>
        </row>
        <row r="1754">
          <cell r="B1754">
            <v>1604</v>
          </cell>
          <cell r="C1754" t="str">
            <v>C49SZX20220028R1SX</v>
          </cell>
          <cell r="D1754" t="str">
            <v>通达科信</v>
          </cell>
          <cell r="E1754" t="str">
            <v>YCP10</v>
          </cell>
          <cell r="I1754" t="str">
            <v>L-&gt;R</v>
          </cell>
          <cell r="J1754" t="str">
            <v>No</v>
          </cell>
          <cell r="K1754">
            <v>1</v>
          </cell>
          <cell r="N1754">
            <v>44748</v>
          </cell>
          <cell r="O1754">
            <v>11113776</v>
          </cell>
          <cell r="P1754">
            <v>6700000</v>
          </cell>
          <cell r="Q1754">
            <v>44748</v>
          </cell>
          <cell r="R1754" t="str">
            <v>Yes</v>
          </cell>
          <cell r="S1754" t="str">
            <v>C28</v>
          </cell>
          <cell r="T1754" t="str">
            <v>SOUTH</v>
          </cell>
          <cell r="U1754" t="str">
            <v>深圳</v>
          </cell>
          <cell r="V1754" t="str">
            <v>SZ 深圳</v>
          </cell>
          <cell r="W1754" t="str">
            <v>SX</v>
          </cell>
          <cell r="X1754" t="str">
            <v>JPY</v>
          </cell>
          <cell r="Y1754">
            <v>6700000</v>
          </cell>
          <cell r="Z1754">
            <v>1</v>
          </cell>
          <cell r="AA1754">
            <v>6700000</v>
          </cell>
          <cell r="AB1754">
            <v>6.7799999999999999E-2</v>
          </cell>
          <cell r="AC1754">
            <v>454260</v>
          </cell>
          <cell r="AD1754">
            <v>54511.199999999997</v>
          </cell>
          <cell r="AE1754">
            <v>0.12</v>
          </cell>
          <cell r="AF1754">
            <v>44627</v>
          </cell>
          <cell r="AG1754" t="str">
            <v>CIF HK</v>
          </cell>
          <cell r="AK1754">
            <v>0.1</v>
          </cell>
          <cell r="AL1754">
            <v>670000</v>
          </cell>
          <cell r="AM1754">
            <v>44721</v>
          </cell>
          <cell r="AN1754" t="str">
            <v>Yes</v>
          </cell>
          <cell r="AO1754">
            <v>0.9</v>
          </cell>
          <cell r="AP1754">
            <v>6030000</v>
          </cell>
          <cell r="AQ1754">
            <v>44734</v>
          </cell>
          <cell r="AR1754">
            <v>44734</v>
          </cell>
          <cell r="AS1754">
            <v>0</v>
          </cell>
          <cell r="AT1754">
            <v>0</v>
          </cell>
          <cell r="AX1754" t="str">
            <v>Yes</v>
          </cell>
          <cell r="AZ1754" t="str">
            <v>Y</v>
          </cell>
          <cell r="BA1754" t="str">
            <v>Yes</v>
          </cell>
        </row>
        <row r="1755">
          <cell r="B1755">
            <v>1605</v>
          </cell>
          <cell r="C1755" t="str">
            <v>C49SZX20220028R1SX</v>
          </cell>
          <cell r="D1755" t="str">
            <v>通达科信</v>
          </cell>
          <cell r="E1755" t="str">
            <v>YSM20R-2</v>
          </cell>
          <cell r="I1755" t="str">
            <v>L-&gt;R</v>
          </cell>
          <cell r="J1755" t="str">
            <v>cATS10+MVC+6pcs special layout</v>
          </cell>
          <cell r="K1755">
            <v>1</v>
          </cell>
          <cell r="N1755">
            <v>44737</v>
          </cell>
          <cell r="O1755">
            <v>11116775</v>
          </cell>
          <cell r="P1755">
            <v>25000000</v>
          </cell>
          <cell r="Q1755">
            <v>44742</v>
          </cell>
          <cell r="R1755" t="str">
            <v>Yes</v>
          </cell>
          <cell r="S1755" t="str">
            <v>C49</v>
          </cell>
          <cell r="T1755" t="str">
            <v>SOUTH</v>
          </cell>
          <cell r="U1755" t="str">
            <v>深圳</v>
          </cell>
          <cell r="V1755" t="str">
            <v>SZ 深圳</v>
          </cell>
          <cell r="W1755" t="str">
            <v>SX</v>
          </cell>
          <cell r="X1755" t="str">
            <v>JPY</v>
          </cell>
          <cell r="Y1755">
            <v>25000000</v>
          </cell>
          <cell r="Z1755">
            <v>1</v>
          </cell>
          <cell r="AA1755">
            <v>25000000</v>
          </cell>
          <cell r="AB1755">
            <v>6.7799999999999999E-2</v>
          </cell>
          <cell r="AC1755">
            <v>1695000</v>
          </cell>
          <cell r="AD1755">
            <v>203400</v>
          </cell>
          <cell r="AE1755">
            <v>0.12</v>
          </cell>
          <cell r="AF1755">
            <v>44627</v>
          </cell>
          <cell r="AG1755" t="str">
            <v>CIF HK</v>
          </cell>
          <cell r="AK1755">
            <v>0.1</v>
          </cell>
          <cell r="AL1755">
            <v>2500000</v>
          </cell>
          <cell r="AM1755">
            <v>44721</v>
          </cell>
          <cell r="AN1755" t="str">
            <v>Yes</v>
          </cell>
          <cell r="AO1755">
            <v>0.9</v>
          </cell>
          <cell r="AP1755">
            <v>22500000</v>
          </cell>
          <cell r="AQ1755">
            <v>44734</v>
          </cell>
          <cell r="AR1755">
            <v>44734</v>
          </cell>
          <cell r="AS1755">
            <v>0</v>
          </cell>
          <cell r="AT1755">
            <v>0</v>
          </cell>
          <cell r="AX1755" t="str">
            <v>Yes</v>
          </cell>
          <cell r="AZ1755" t="str">
            <v>Y</v>
          </cell>
          <cell r="BA1755" t="str">
            <v>Yes</v>
          </cell>
        </row>
        <row r="1756">
          <cell r="B1756">
            <v>1606</v>
          </cell>
          <cell r="C1756" t="str">
            <v>C49SZX20220028R1SX</v>
          </cell>
          <cell r="D1756" t="str">
            <v>通达科信</v>
          </cell>
          <cell r="E1756" t="str">
            <v>YSi-V</v>
          </cell>
          <cell r="I1756" t="str">
            <v>L-&gt;R</v>
          </cell>
          <cell r="J1756" t="str">
            <v>No</v>
          </cell>
          <cell r="K1756">
            <v>1</v>
          </cell>
          <cell r="N1756">
            <v>44748</v>
          </cell>
          <cell r="O1756">
            <v>11113776</v>
          </cell>
          <cell r="P1756">
            <v>12800000</v>
          </cell>
          <cell r="Q1756">
            <v>44748</v>
          </cell>
          <cell r="R1756" t="str">
            <v>Yes</v>
          </cell>
          <cell r="S1756" t="str">
            <v>C28</v>
          </cell>
          <cell r="T1756" t="str">
            <v>SOUTH</v>
          </cell>
          <cell r="U1756" t="str">
            <v>深圳</v>
          </cell>
          <cell r="V1756" t="str">
            <v>SZ 深圳</v>
          </cell>
          <cell r="W1756" t="str">
            <v>SX</v>
          </cell>
          <cell r="X1756" t="str">
            <v>JPY</v>
          </cell>
          <cell r="Y1756">
            <v>12800000</v>
          </cell>
          <cell r="Z1756">
            <v>1</v>
          </cell>
          <cell r="AA1756">
            <v>12800000</v>
          </cell>
          <cell r="AB1756">
            <v>6.7799999999999999E-2</v>
          </cell>
          <cell r="AC1756">
            <v>867840</v>
          </cell>
          <cell r="AD1756">
            <v>104140.8</v>
          </cell>
          <cell r="AE1756">
            <v>0.12</v>
          </cell>
          <cell r="AF1756">
            <v>44627</v>
          </cell>
          <cell r="AG1756" t="str">
            <v>CIF HK</v>
          </cell>
          <cell r="AK1756">
            <v>0.1</v>
          </cell>
          <cell r="AL1756">
            <v>1280000</v>
          </cell>
          <cell r="AM1756">
            <v>44721</v>
          </cell>
          <cell r="AN1756" t="str">
            <v>Yes</v>
          </cell>
          <cell r="AO1756">
            <v>0.9</v>
          </cell>
          <cell r="AP1756">
            <v>11520000</v>
          </cell>
          <cell r="AQ1756">
            <v>44734</v>
          </cell>
          <cell r="AR1756">
            <v>44734</v>
          </cell>
          <cell r="AS1756">
            <v>0</v>
          </cell>
          <cell r="AT1756">
            <v>0</v>
          </cell>
          <cell r="AX1756" t="str">
            <v>Yes</v>
          </cell>
          <cell r="AZ1756" t="str">
            <v>Y</v>
          </cell>
          <cell r="BA1756" t="str">
            <v>Yes</v>
          </cell>
        </row>
        <row r="1757">
          <cell r="B1757">
            <v>1607</v>
          </cell>
          <cell r="C1757" t="str">
            <v>C28SZX20220029R1SX</v>
          </cell>
          <cell r="D1757" t="str">
            <v>通达科信</v>
          </cell>
          <cell r="E1757" t="str">
            <v>Heller 1936MK7</v>
          </cell>
          <cell r="I1757" t="str">
            <v>L-&gt;R</v>
          </cell>
          <cell r="J1757" t="str">
            <v>No</v>
          </cell>
          <cell r="K1757">
            <v>1</v>
          </cell>
          <cell r="N1757">
            <v>44737</v>
          </cell>
          <cell r="O1757">
            <v>11116772</v>
          </cell>
          <cell r="P1757">
            <v>57000</v>
          </cell>
          <cell r="Q1757">
            <v>44741</v>
          </cell>
          <cell r="R1757" t="str">
            <v>Yes</v>
          </cell>
          <cell r="S1757" t="str">
            <v>C28</v>
          </cell>
          <cell r="T1757" t="str">
            <v>SOUTH</v>
          </cell>
          <cell r="U1757" t="str">
            <v>深圳</v>
          </cell>
          <cell r="V1757" t="str">
            <v>SZ 深圳</v>
          </cell>
          <cell r="W1757" t="str">
            <v>SX</v>
          </cell>
          <cell r="X1757" t="str">
            <v>USD</v>
          </cell>
          <cell r="Y1757">
            <v>57000</v>
          </cell>
          <cell r="Z1757">
            <v>1</v>
          </cell>
          <cell r="AA1757">
            <v>57000</v>
          </cell>
          <cell r="AB1757">
            <v>7.8</v>
          </cell>
          <cell r="AC1757">
            <v>444600</v>
          </cell>
          <cell r="AD1757">
            <v>53352</v>
          </cell>
          <cell r="AE1757">
            <v>0.12</v>
          </cell>
          <cell r="AF1757">
            <v>44627</v>
          </cell>
          <cell r="AG1757" t="str">
            <v>CIF HK</v>
          </cell>
          <cell r="AK1757">
            <v>0.1</v>
          </cell>
          <cell r="AL1757">
            <v>5700</v>
          </cell>
          <cell r="AM1757">
            <v>44721</v>
          </cell>
          <cell r="AN1757" t="str">
            <v>Yes</v>
          </cell>
          <cell r="AO1757">
            <v>0.9</v>
          </cell>
          <cell r="AP1757">
            <v>51300</v>
          </cell>
          <cell r="AQ1757">
            <v>44733</v>
          </cell>
          <cell r="AR1757">
            <v>44733</v>
          </cell>
          <cell r="AS1757">
            <v>0</v>
          </cell>
          <cell r="AT1757">
            <v>0</v>
          </cell>
          <cell r="AX1757" t="str">
            <v>Yes</v>
          </cell>
          <cell r="AZ1757" t="str">
            <v>Y</v>
          </cell>
          <cell r="BA1757" t="str">
            <v>Yes</v>
          </cell>
        </row>
        <row r="1758">
          <cell r="B1758">
            <v>1608</v>
          </cell>
          <cell r="C1758" t="str">
            <v>C49SZX20220027VG</v>
          </cell>
          <cell r="D1758" t="str">
            <v>煜诺信</v>
          </cell>
          <cell r="E1758" t="str">
            <v>YSM10</v>
          </cell>
          <cell r="F1758"/>
          <cell r="H1758"/>
          <cell r="I1758" t="str">
            <v>L-&gt;R</v>
          </cell>
          <cell r="J1758" t="str">
            <v>MVC</v>
          </cell>
          <cell r="K1758">
            <v>1</v>
          </cell>
          <cell r="L1758"/>
          <cell r="N1758"/>
          <cell r="O1758"/>
          <cell r="P1758"/>
          <cell r="Q1758"/>
          <cell r="R1758" t="str">
            <v>Yes</v>
          </cell>
          <cell r="S1758" t="str">
            <v>C49</v>
          </cell>
          <cell r="T1758" t="str">
            <v>SOUTH</v>
          </cell>
          <cell r="U1758" t="str">
            <v>深圳</v>
          </cell>
          <cell r="V1758" t="str">
            <v>SZ 深圳</v>
          </cell>
          <cell r="W1758" t="str">
            <v>VG</v>
          </cell>
          <cell r="X1758" t="str">
            <v>RMB</v>
          </cell>
          <cell r="Y1758">
            <v>660000</v>
          </cell>
          <cell r="Z1758">
            <v>1.1299999999999999</v>
          </cell>
          <cell r="AA1758">
            <v>660000</v>
          </cell>
          <cell r="AB1758">
            <v>1.22</v>
          </cell>
          <cell r="AC1758">
            <v>712566.37168141594</v>
          </cell>
          <cell r="AD1758">
            <v>85507.964601769912</v>
          </cell>
          <cell r="AE1758">
            <v>0.12</v>
          </cell>
          <cell r="AF1758">
            <v>44624</v>
          </cell>
          <cell r="AG1758" t="str">
            <v>DDP SZ</v>
          </cell>
          <cell r="AI1758"/>
          <cell r="AJ1758"/>
          <cell r="AK1758">
            <v>0.1</v>
          </cell>
          <cell r="AL1758">
            <v>66000</v>
          </cell>
          <cell r="AM1758">
            <v>44630</v>
          </cell>
          <cell r="AN1758" t="str">
            <v>Yes</v>
          </cell>
          <cell r="AO1758">
            <v>0.9</v>
          </cell>
          <cell r="AP1758">
            <v>594000</v>
          </cell>
          <cell r="AQ1758"/>
          <cell r="AR1758"/>
          <cell r="AS1758">
            <v>0</v>
          </cell>
          <cell r="AT1758">
            <v>0</v>
          </cell>
          <cell r="AV1758"/>
          <cell r="AX1758"/>
          <cell r="AY1758"/>
          <cell r="AZ1758"/>
          <cell r="BA1758"/>
          <cell r="BB1758" t="str">
            <v>取消合同，详见合同解除协议.</v>
          </cell>
        </row>
        <row r="1759">
          <cell r="B1759">
            <v>1609</v>
          </cell>
          <cell r="C1759" t="str">
            <v>C49SZX20220033JL</v>
          </cell>
          <cell r="D1759" t="str">
            <v>拓普艾</v>
          </cell>
          <cell r="E1759" t="str">
            <v>YSM20R-2</v>
          </cell>
          <cell r="I1759" t="str">
            <v>L-&gt;R</v>
          </cell>
          <cell r="J1759" t="str">
            <v>No</v>
          </cell>
          <cell r="K1759">
            <v>1</v>
          </cell>
          <cell r="N1759">
            <v>44775</v>
          </cell>
          <cell r="O1759">
            <v>11116787</v>
          </cell>
          <cell r="P1759">
            <v>13000000</v>
          </cell>
          <cell r="Q1759">
            <v>44771</v>
          </cell>
          <cell r="R1759" t="str">
            <v>No</v>
          </cell>
          <cell r="S1759" t="str">
            <v>C49</v>
          </cell>
          <cell r="T1759" t="str">
            <v>SOUTH</v>
          </cell>
          <cell r="U1759" t="str">
            <v>深圳</v>
          </cell>
          <cell r="V1759" t="str">
            <v>SZ 深圳</v>
          </cell>
          <cell r="W1759" t="str">
            <v>JL</v>
          </cell>
          <cell r="X1759" t="str">
            <v>JPY</v>
          </cell>
          <cell r="Y1759">
            <v>13000000</v>
          </cell>
          <cell r="Z1759">
            <v>1</v>
          </cell>
          <cell r="AA1759">
            <v>13000000</v>
          </cell>
          <cell r="AB1759">
            <v>6.7799999999999999E-2</v>
          </cell>
          <cell r="AC1759">
            <v>881400</v>
          </cell>
          <cell r="AD1759">
            <v>105768</v>
          </cell>
          <cell r="AE1759">
            <v>0.12</v>
          </cell>
          <cell r="AF1759">
            <v>44630</v>
          </cell>
          <cell r="AG1759" t="str">
            <v>CIF HK</v>
          </cell>
          <cell r="AK1759">
            <v>0.3</v>
          </cell>
          <cell r="AL1759">
            <v>74000000</v>
          </cell>
          <cell r="AM1759">
            <v>44658</v>
          </cell>
          <cell r="AN1759" t="str">
            <v>Yes</v>
          </cell>
          <cell r="AO1759">
            <v>0.7</v>
          </cell>
          <cell r="AP1759">
            <v>9100000</v>
          </cell>
          <cell r="AQ1759">
            <v>44768</v>
          </cell>
          <cell r="AR1759">
            <v>44768</v>
          </cell>
          <cell r="AS1759">
            <v>0</v>
          </cell>
          <cell r="AT1759">
            <v>0</v>
          </cell>
          <cell r="AX1759" t="str">
            <v>Yes</v>
          </cell>
          <cell r="AZ1759" t="str">
            <v>Y</v>
          </cell>
          <cell r="BA1759" t="str">
            <v>Yes</v>
          </cell>
        </row>
        <row r="1760">
          <cell r="B1760">
            <v>1610</v>
          </cell>
          <cell r="C1760" t="str">
            <v>C49SZX20220033JL</v>
          </cell>
          <cell r="D1760" t="str">
            <v>拓普艾</v>
          </cell>
          <cell r="E1760" t="str">
            <v>YSM20R-2</v>
          </cell>
          <cell r="I1760" t="str">
            <v>L-&gt;R</v>
          </cell>
          <cell r="J1760" t="str">
            <v>No</v>
          </cell>
          <cell r="K1760">
            <v>1</v>
          </cell>
          <cell r="N1760">
            <v>44775</v>
          </cell>
          <cell r="O1760">
            <v>11116787</v>
          </cell>
          <cell r="P1760">
            <v>13000000</v>
          </cell>
          <cell r="Q1760">
            <v>44771</v>
          </cell>
          <cell r="R1760" t="str">
            <v>No</v>
          </cell>
          <cell r="S1760" t="str">
            <v>C49</v>
          </cell>
          <cell r="T1760" t="str">
            <v>SOUTH</v>
          </cell>
          <cell r="U1760" t="str">
            <v>深圳</v>
          </cell>
          <cell r="V1760" t="str">
            <v>SZ 深圳</v>
          </cell>
          <cell r="W1760" t="str">
            <v>JL</v>
          </cell>
          <cell r="X1760" t="str">
            <v>JPY</v>
          </cell>
          <cell r="Y1760">
            <v>13000000</v>
          </cell>
          <cell r="Z1760">
            <v>1</v>
          </cell>
          <cell r="AA1760">
            <v>13000000</v>
          </cell>
          <cell r="AB1760">
            <v>6.7799999999999999E-2</v>
          </cell>
          <cell r="AC1760">
            <v>881400</v>
          </cell>
          <cell r="AD1760">
            <v>105768</v>
          </cell>
          <cell r="AE1760">
            <v>0.12</v>
          </cell>
          <cell r="AF1760">
            <v>44630</v>
          </cell>
          <cell r="AG1760" t="str">
            <v>CIF HK</v>
          </cell>
          <cell r="AK1760">
            <v>0.3</v>
          </cell>
          <cell r="AL1760"/>
          <cell r="AM1760">
            <v>44658</v>
          </cell>
          <cell r="AN1760" t="str">
            <v>Yes</v>
          </cell>
          <cell r="AO1760">
            <v>0.7</v>
          </cell>
          <cell r="AP1760">
            <v>9100000</v>
          </cell>
          <cell r="AQ1760">
            <v>44768</v>
          </cell>
          <cell r="AR1760">
            <v>44768</v>
          </cell>
          <cell r="AS1760">
            <v>0</v>
          </cell>
          <cell r="AT1760">
            <v>0</v>
          </cell>
          <cell r="AX1760" t="str">
            <v>Yes</v>
          </cell>
          <cell r="AZ1760" t="str">
            <v>Y</v>
          </cell>
          <cell r="BA1760" t="str">
            <v>Yes</v>
          </cell>
        </row>
        <row r="1761">
          <cell r="B1761">
            <v>1611</v>
          </cell>
          <cell r="C1761" t="str">
            <v>C49SZX20220033JL</v>
          </cell>
          <cell r="D1761" t="str">
            <v>拓普艾</v>
          </cell>
          <cell r="E1761" t="str">
            <v>YSM20R-2</v>
          </cell>
          <cell r="I1761" t="str">
            <v>L-&gt;R</v>
          </cell>
          <cell r="J1761" t="str">
            <v>No</v>
          </cell>
          <cell r="K1761">
            <v>1</v>
          </cell>
          <cell r="N1761">
            <v>44775</v>
          </cell>
          <cell r="O1761">
            <v>11116787</v>
          </cell>
          <cell r="P1761">
            <v>13000000</v>
          </cell>
          <cell r="Q1761">
            <v>44771</v>
          </cell>
          <cell r="R1761" t="str">
            <v>No</v>
          </cell>
          <cell r="S1761" t="str">
            <v>C49</v>
          </cell>
          <cell r="T1761" t="str">
            <v>SOUTH</v>
          </cell>
          <cell r="U1761" t="str">
            <v>深圳</v>
          </cell>
          <cell r="V1761" t="str">
            <v>SZ 深圳</v>
          </cell>
          <cell r="W1761" t="str">
            <v>JL</v>
          </cell>
          <cell r="X1761" t="str">
            <v>JPY</v>
          </cell>
          <cell r="Y1761">
            <v>13000000</v>
          </cell>
          <cell r="Z1761">
            <v>1</v>
          </cell>
          <cell r="AA1761">
            <v>13000000</v>
          </cell>
          <cell r="AB1761">
            <v>6.7799999999999999E-2</v>
          </cell>
          <cell r="AC1761">
            <v>881400</v>
          </cell>
          <cell r="AD1761">
            <v>105768</v>
          </cell>
          <cell r="AE1761">
            <v>0.12</v>
          </cell>
          <cell r="AF1761">
            <v>44630</v>
          </cell>
          <cell r="AG1761" t="str">
            <v>CIF HK</v>
          </cell>
          <cell r="AK1761">
            <v>0.3</v>
          </cell>
          <cell r="AL1761"/>
          <cell r="AM1761">
            <v>44658</v>
          </cell>
          <cell r="AN1761" t="str">
            <v>Yes</v>
          </cell>
          <cell r="AO1761">
            <v>0.7</v>
          </cell>
          <cell r="AP1761">
            <v>9100000</v>
          </cell>
          <cell r="AQ1761">
            <v>44768</v>
          </cell>
          <cell r="AR1761">
            <v>44768</v>
          </cell>
          <cell r="AS1761">
            <v>0</v>
          </cell>
          <cell r="AT1761">
            <v>0</v>
          </cell>
          <cell r="AX1761" t="str">
            <v>Yes</v>
          </cell>
          <cell r="AZ1761" t="str">
            <v>Y</v>
          </cell>
          <cell r="BA1761" t="str">
            <v>Yes</v>
          </cell>
        </row>
        <row r="1762">
          <cell r="B1762">
            <v>1612</v>
          </cell>
          <cell r="C1762" t="str">
            <v>C49SZX20220033JL</v>
          </cell>
          <cell r="D1762" t="str">
            <v>拓普艾</v>
          </cell>
          <cell r="E1762" t="str">
            <v>YSM20R-2</v>
          </cell>
          <cell r="I1762" t="str">
            <v>L-&gt;R</v>
          </cell>
          <cell r="J1762" t="str">
            <v>No</v>
          </cell>
          <cell r="K1762">
            <v>1</v>
          </cell>
          <cell r="N1762">
            <v>44775</v>
          </cell>
          <cell r="O1762">
            <v>11116787</v>
          </cell>
          <cell r="P1762">
            <v>13000000</v>
          </cell>
          <cell r="Q1762">
            <v>44771</v>
          </cell>
          <cell r="R1762" t="str">
            <v>No</v>
          </cell>
          <cell r="S1762" t="str">
            <v>C49</v>
          </cell>
          <cell r="T1762" t="str">
            <v>SOUTH</v>
          </cell>
          <cell r="U1762" t="str">
            <v>深圳</v>
          </cell>
          <cell r="V1762" t="str">
            <v>SZ 深圳</v>
          </cell>
          <cell r="W1762" t="str">
            <v>JL</v>
          </cell>
          <cell r="X1762" t="str">
            <v>JPY</v>
          </cell>
          <cell r="Y1762">
            <v>13000000</v>
          </cell>
          <cell r="Z1762">
            <v>1</v>
          </cell>
          <cell r="AA1762">
            <v>13000000</v>
          </cell>
          <cell r="AB1762">
            <v>6.7799999999999999E-2</v>
          </cell>
          <cell r="AC1762">
            <v>881400</v>
          </cell>
          <cell r="AD1762">
            <v>105768</v>
          </cell>
          <cell r="AE1762">
            <v>0.12</v>
          </cell>
          <cell r="AF1762">
            <v>44630</v>
          </cell>
          <cell r="AG1762" t="str">
            <v>CIF HK</v>
          </cell>
          <cell r="AK1762">
            <v>0.3</v>
          </cell>
          <cell r="AL1762"/>
          <cell r="AM1762">
            <v>44658</v>
          </cell>
          <cell r="AN1762" t="str">
            <v>Yes</v>
          </cell>
          <cell r="AO1762">
            <v>0.7</v>
          </cell>
          <cell r="AP1762">
            <v>9100000</v>
          </cell>
          <cell r="AQ1762">
            <v>44768</v>
          </cell>
          <cell r="AR1762">
            <v>44768</v>
          </cell>
          <cell r="AS1762">
            <v>0</v>
          </cell>
          <cell r="AT1762">
            <v>0</v>
          </cell>
          <cell r="AX1762" t="str">
            <v>Yes</v>
          </cell>
          <cell r="AZ1762" t="str">
            <v>Y</v>
          </cell>
          <cell r="BA1762" t="str">
            <v>Yes</v>
          </cell>
        </row>
        <row r="1763">
          <cell r="B1763">
            <v>1613</v>
          </cell>
          <cell r="C1763" t="str">
            <v>C49SZX20220033JL</v>
          </cell>
          <cell r="D1763" t="str">
            <v>拓普艾</v>
          </cell>
          <cell r="E1763" t="str">
            <v>YSM20R-2</v>
          </cell>
          <cell r="I1763" t="str">
            <v>L-&gt;R</v>
          </cell>
          <cell r="J1763" t="str">
            <v>No</v>
          </cell>
          <cell r="K1763">
            <v>1</v>
          </cell>
          <cell r="N1763">
            <v>44775</v>
          </cell>
          <cell r="O1763">
            <v>11116787</v>
          </cell>
          <cell r="P1763">
            <v>13000000</v>
          </cell>
          <cell r="Q1763">
            <v>44771</v>
          </cell>
          <cell r="R1763" t="str">
            <v>No</v>
          </cell>
          <cell r="S1763" t="str">
            <v>C49</v>
          </cell>
          <cell r="T1763" t="str">
            <v>SOUTH</v>
          </cell>
          <cell r="U1763" t="str">
            <v>深圳</v>
          </cell>
          <cell r="V1763" t="str">
            <v>SZ 深圳</v>
          </cell>
          <cell r="W1763" t="str">
            <v>JL</v>
          </cell>
          <cell r="X1763" t="str">
            <v>JPY</v>
          </cell>
          <cell r="Y1763">
            <v>13000000</v>
          </cell>
          <cell r="Z1763">
            <v>1</v>
          </cell>
          <cell r="AA1763">
            <v>13000000</v>
          </cell>
          <cell r="AB1763">
            <v>6.7799999999999999E-2</v>
          </cell>
          <cell r="AC1763">
            <v>881400</v>
          </cell>
          <cell r="AD1763">
            <v>105768</v>
          </cell>
          <cell r="AE1763">
            <v>0.12</v>
          </cell>
          <cell r="AF1763">
            <v>44630</v>
          </cell>
          <cell r="AG1763" t="str">
            <v>CIF HK</v>
          </cell>
          <cell r="AK1763">
            <v>0.3</v>
          </cell>
          <cell r="AL1763"/>
          <cell r="AM1763">
            <v>44658</v>
          </cell>
          <cell r="AN1763" t="str">
            <v>Yes</v>
          </cell>
          <cell r="AO1763">
            <v>0.7</v>
          </cell>
          <cell r="AP1763">
            <v>9100000</v>
          </cell>
          <cell r="AQ1763">
            <v>44768</v>
          </cell>
          <cell r="AR1763">
            <v>44768</v>
          </cell>
          <cell r="AS1763">
            <v>0</v>
          </cell>
          <cell r="AT1763">
            <v>0</v>
          </cell>
          <cell r="AX1763" t="str">
            <v>Yes</v>
          </cell>
          <cell r="AZ1763" t="str">
            <v>Y</v>
          </cell>
          <cell r="BA1763" t="str">
            <v>Yes</v>
          </cell>
        </row>
        <row r="1764">
          <cell r="B1764">
            <v>1614</v>
          </cell>
          <cell r="C1764" t="str">
            <v>C49SZX20220033JL</v>
          </cell>
          <cell r="D1764" t="str">
            <v>拓普艾</v>
          </cell>
          <cell r="E1764" t="str">
            <v>YSM10</v>
          </cell>
          <cell r="I1764" t="str">
            <v>L-&gt;R</v>
          </cell>
          <cell r="J1764" t="str">
            <v>MVC+ATS15</v>
          </cell>
          <cell r="K1764">
            <v>1</v>
          </cell>
          <cell r="N1764">
            <v>44775</v>
          </cell>
          <cell r="O1764">
            <v>11116787</v>
          </cell>
          <cell r="P1764">
            <v>8000000</v>
          </cell>
          <cell r="Q1764">
            <v>44771</v>
          </cell>
          <cell r="R1764" t="str">
            <v>No</v>
          </cell>
          <cell r="S1764" t="str">
            <v>C49</v>
          </cell>
          <cell r="T1764" t="str">
            <v>SOUTH</v>
          </cell>
          <cell r="U1764" t="str">
            <v>深圳</v>
          </cell>
          <cell r="V1764" t="str">
            <v>SZ 深圳</v>
          </cell>
          <cell r="W1764" t="str">
            <v>JL</v>
          </cell>
          <cell r="X1764" t="str">
            <v>JPY</v>
          </cell>
          <cell r="Y1764">
            <v>8000000</v>
          </cell>
          <cell r="Z1764">
            <v>1</v>
          </cell>
          <cell r="AA1764">
            <v>8000000</v>
          </cell>
          <cell r="AB1764">
            <v>6.7799999999999999E-2</v>
          </cell>
          <cell r="AC1764">
            <v>542400</v>
          </cell>
          <cell r="AD1764">
            <v>65088</v>
          </cell>
          <cell r="AE1764">
            <v>0.12</v>
          </cell>
          <cell r="AF1764">
            <v>44630</v>
          </cell>
          <cell r="AG1764" t="str">
            <v>CIF HK</v>
          </cell>
          <cell r="AK1764">
            <v>0.3</v>
          </cell>
          <cell r="AL1764"/>
          <cell r="AM1764">
            <v>44658</v>
          </cell>
          <cell r="AN1764" t="str">
            <v>Yes</v>
          </cell>
          <cell r="AO1764">
            <v>0.7</v>
          </cell>
          <cell r="AP1764">
            <v>5600000</v>
          </cell>
          <cell r="AQ1764">
            <v>44768</v>
          </cell>
          <cell r="AR1764">
            <v>44768</v>
          </cell>
          <cell r="AS1764">
            <v>0</v>
          </cell>
          <cell r="AT1764">
            <v>0</v>
          </cell>
          <cell r="AX1764" t="str">
            <v>Yes</v>
          </cell>
          <cell r="AZ1764" t="str">
            <v>Y</v>
          </cell>
          <cell r="BA1764" t="str">
            <v>Yes</v>
          </cell>
        </row>
        <row r="1765">
          <cell r="B1765">
            <v>1615</v>
          </cell>
          <cell r="C1765" t="str">
            <v>C49SZX20220033JL</v>
          </cell>
          <cell r="D1765" t="str">
            <v>拓普艾</v>
          </cell>
          <cell r="E1765" t="str">
            <v>YSM10</v>
          </cell>
          <cell r="I1765" t="str">
            <v>L-&gt;R</v>
          </cell>
          <cell r="J1765" t="str">
            <v>MVC</v>
          </cell>
          <cell r="K1765">
            <v>1</v>
          </cell>
          <cell r="N1765">
            <v>44775</v>
          </cell>
          <cell r="O1765">
            <v>11116787</v>
          </cell>
          <cell r="P1765">
            <v>8000000</v>
          </cell>
          <cell r="Q1765">
            <v>44771</v>
          </cell>
          <cell r="R1765" t="str">
            <v>No</v>
          </cell>
          <cell r="S1765" t="str">
            <v>C49</v>
          </cell>
          <cell r="T1765" t="str">
            <v>SOUTH</v>
          </cell>
          <cell r="U1765" t="str">
            <v>深圳</v>
          </cell>
          <cell r="V1765" t="str">
            <v>SZ 深圳</v>
          </cell>
          <cell r="W1765" t="str">
            <v>JL</v>
          </cell>
          <cell r="X1765" t="str">
            <v>JPY</v>
          </cell>
          <cell r="Y1765">
            <v>8000000</v>
          </cell>
          <cell r="Z1765">
            <v>1</v>
          </cell>
          <cell r="AA1765">
            <v>8000000</v>
          </cell>
          <cell r="AB1765">
            <v>6.7799999999999999E-2</v>
          </cell>
          <cell r="AC1765">
            <v>542400</v>
          </cell>
          <cell r="AD1765">
            <v>65088</v>
          </cell>
          <cell r="AE1765">
            <v>0.12</v>
          </cell>
          <cell r="AF1765">
            <v>44630</v>
          </cell>
          <cell r="AG1765" t="str">
            <v>CIF HK</v>
          </cell>
          <cell r="AK1765">
            <v>0.3</v>
          </cell>
          <cell r="AL1765"/>
          <cell r="AM1765">
            <v>44658</v>
          </cell>
          <cell r="AN1765" t="str">
            <v>Yes</v>
          </cell>
          <cell r="AO1765">
            <v>0.7</v>
          </cell>
          <cell r="AP1765">
            <v>5600000</v>
          </cell>
          <cell r="AQ1765">
            <v>44768</v>
          </cell>
          <cell r="AR1765">
            <v>44768</v>
          </cell>
          <cell r="AS1765">
            <v>0</v>
          </cell>
          <cell r="AT1765">
            <v>0</v>
          </cell>
          <cell r="AX1765" t="str">
            <v>Yes</v>
          </cell>
          <cell r="AZ1765" t="str">
            <v>Y</v>
          </cell>
          <cell r="BA1765" t="str">
            <v>Yes</v>
          </cell>
        </row>
        <row r="1766">
          <cell r="B1766">
            <v>1616</v>
          </cell>
          <cell r="C1766" t="str">
            <v>C49SZX20220033JL</v>
          </cell>
          <cell r="D1766" t="str">
            <v>拓普艾</v>
          </cell>
          <cell r="E1766" t="str">
            <v>YSM10</v>
          </cell>
          <cell r="I1766" t="str">
            <v>L-&gt;R</v>
          </cell>
          <cell r="J1766" t="str">
            <v>MVC</v>
          </cell>
          <cell r="K1766">
            <v>1</v>
          </cell>
          <cell r="N1766">
            <v>44775</v>
          </cell>
          <cell r="O1766">
            <v>11116787</v>
          </cell>
          <cell r="P1766">
            <v>8000000</v>
          </cell>
          <cell r="Q1766">
            <v>44771</v>
          </cell>
          <cell r="R1766" t="str">
            <v>No</v>
          </cell>
          <cell r="S1766" t="str">
            <v>C49</v>
          </cell>
          <cell r="T1766" t="str">
            <v>SOUTH</v>
          </cell>
          <cell r="U1766" t="str">
            <v>深圳</v>
          </cell>
          <cell r="V1766" t="str">
            <v>SZ 深圳</v>
          </cell>
          <cell r="W1766" t="str">
            <v>JL</v>
          </cell>
          <cell r="X1766" t="str">
            <v>JPY</v>
          </cell>
          <cell r="Y1766">
            <v>8000000</v>
          </cell>
          <cell r="Z1766">
            <v>1</v>
          </cell>
          <cell r="AA1766">
            <v>8000000</v>
          </cell>
          <cell r="AB1766">
            <v>6.7799999999999999E-2</v>
          </cell>
          <cell r="AC1766">
            <v>542400</v>
          </cell>
          <cell r="AD1766">
            <v>65088</v>
          </cell>
          <cell r="AE1766">
            <v>0.12</v>
          </cell>
          <cell r="AF1766">
            <v>44630</v>
          </cell>
          <cell r="AG1766" t="str">
            <v>CIF HK</v>
          </cell>
          <cell r="AK1766">
            <v>0.3</v>
          </cell>
          <cell r="AL1766"/>
          <cell r="AM1766">
            <v>44658</v>
          </cell>
          <cell r="AN1766" t="str">
            <v>Yes</v>
          </cell>
          <cell r="AO1766">
            <v>0.7</v>
          </cell>
          <cell r="AP1766">
            <v>5600000</v>
          </cell>
          <cell r="AQ1766">
            <v>44768</v>
          </cell>
          <cell r="AR1766">
            <v>44768</v>
          </cell>
          <cell r="AS1766">
            <v>0</v>
          </cell>
          <cell r="AT1766">
            <v>0</v>
          </cell>
          <cell r="AX1766" t="str">
            <v>Yes</v>
          </cell>
          <cell r="AZ1766" t="str">
            <v>Y</v>
          </cell>
          <cell r="BA1766" t="str">
            <v>Yes</v>
          </cell>
        </row>
        <row r="1767">
          <cell r="B1767">
            <v>1617</v>
          </cell>
          <cell r="C1767" t="str">
            <v>C49SZX20220033JL</v>
          </cell>
          <cell r="D1767" t="str">
            <v>拓普艾</v>
          </cell>
          <cell r="E1767" t="str">
            <v>YSM10</v>
          </cell>
          <cell r="I1767" t="str">
            <v>L-&gt;R</v>
          </cell>
          <cell r="J1767" t="str">
            <v>MVC</v>
          </cell>
          <cell r="K1767">
            <v>1</v>
          </cell>
          <cell r="N1767">
            <v>44775</v>
          </cell>
          <cell r="O1767">
            <v>11116787</v>
          </cell>
          <cell r="P1767">
            <v>8000000</v>
          </cell>
          <cell r="Q1767">
            <v>44771</v>
          </cell>
          <cell r="R1767" t="str">
            <v>No</v>
          </cell>
          <cell r="S1767" t="str">
            <v>C49</v>
          </cell>
          <cell r="T1767" t="str">
            <v>SOUTH</v>
          </cell>
          <cell r="U1767" t="str">
            <v>深圳</v>
          </cell>
          <cell r="V1767" t="str">
            <v>SZ 深圳</v>
          </cell>
          <cell r="W1767" t="str">
            <v>JL</v>
          </cell>
          <cell r="X1767" t="str">
            <v>JPY</v>
          </cell>
          <cell r="Y1767">
            <v>8000000</v>
          </cell>
          <cell r="Z1767">
            <v>1</v>
          </cell>
          <cell r="AA1767">
            <v>8000000</v>
          </cell>
          <cell r="AB1767">
            <v>6.7799999999999999E-2</v>
          </cell>
          <cell r="AC1767">
            <v>542400</v>
          </cell>
          <cell r="AD1767">
            <v>65088</v>
          </cell>
          <cell r="AE1767">
            <v>0.12</v>
          </cell>
          <cell r="AF1767">
            <v>44630</v>
          </cell>
          <cell r="AG1767" t="str">
            <v>CIF HK</v>
          </cell>
          <cell r="AK1767">
            <v>0.3</v>
          </cell>
          <cell r="AL1767"/>
          <cell r="AM1767">
            <v>44658</v>
          </cell>
          <cell r="AN1767" t="str">
            <v>Yes</v>
          </cell>
          <cell r="AO1767">
            <v>0.7</v>
          </cell>
          <cell r="AP1767">
            <v>5600000</v>
          </cell>
          <cell r="AQ1767">
            <v>44768</v>
          </cell>
          <cell r="AR1767">
            <v>44768</v>
          </cell>
          <cell r="AS1767">
            <v>0</v>
          </cell>
          <cell r="AT1767">
            <v>0</v>
          </cell>
          <cell r="AX1767" t="str">
            <v>Yes</v>
          </cell>
          <cell r="AZ1767" t="str">
            <v>Y</v>
          </cell>
          <cell r="BA1767" t="str">
            <v>Yes</v>
          </cell>
        </row>
        <row r="1768">
          <cell r="B1768">
            <v>1618</v>
          </cell>
          <cell r="C1768" t="str">
            <v>C49SZX20220025AY</v>
          </cell>
          <cell r="D1768" t="str">
            <v>创舰</v>
          </cell>
          <cell r="E1768" t="str">
            <v>YSM10</v>
          </cell>
          <cell r="I1768" t="str">
            <v>R-&gt;L</v>
          </cell>
          <cell r="J1768" t="str">
            <v>MVC</v>
          </cell>
          <cell r="K1768">
            <v>1</v>
          </cell>
          <cell r="N1768">
            <v>44714</v>
          </cell>
          <cell r="O1768">
            <v>11100536</v>
          </cell>
          <cell r="P1768">
            <v>516500</v>
          </cell>
          <cell r="Q1768">
            <v>44711</v>
          </cell>
          <cell r="R1768" t="str">
            <v>Yes</v>
          </cell>
          <cell r="S1768" t="str">
            <v>C49</v>
          </cell>
          <cell r="T1768" t="str">
            <v>SOUTH</v>
          </cell>
          <cell r="U1768" t="str">
            <v>深圳</v>
          </cell>
          <cell r="V1768" t="str">
            <v>SZ 深圳</v>
          </cell>
          <cell r="W1768" t="str">
            <v>AY</v>
          </cell>
          <cell r="X1768" t="str">
            <v>RMB</v>
          </cell>
          <cell r="Y1768">
            <v>516500</v>
          </cell>
          <cell r="Z1768">
            <v>1.1299999999999999</v>
          </cell>
          <cell r="AA1768">
            <v>516500</v>
          </cell>
          <cell r="AB1768">
            <v>1.22</v>
          </cell>
          <cell r="AC1768">
            <v>557637.16814159299</v>
          </cell>
          <cell r="AD1768">
            <v>66916.460176991153</v>
          </cell>
          <cell r="AE1768">
            <v>0.12</v>
          </cell>
          <cell r="AF1768">
            <v>44634</v>
          </cell>
          <cell r="AG1768" t="str">
            <v>DDP HZ</v>
          </cell>
          <cell r="AI1768">
            <v>7100</v>
          </cell>
          <cell r="AJ1768">
            <v>44634</v>
          </cell>
          <cell r="AK1768">
            <v>0.1</v>
          </cell>
          <cell r="AL1768">
            <v>51650</v>
          </cell>
          <cell r="AM1768">
            <v>44637</v>
          </cell>
          <cell r="AN1768" t="str">
            <v>Yes</v>
          </cell>
          <cell r="AO1768">
            <v>0.9</v>
          </cell>
          <cell r="AP1768">
            <v>464850</v>
          </cell>
          <cell r="AQ1768">
            <v>44713</v>
          </cell>
          <cell r="AR1768">
            <v>44713</v>
          </cell>
          <cell r="AS1768">
            <v>0</v>
          </cell>
          <cell r="AT1768">
            <v>0</v>
          </cell>
          <cell r="AX1768" t="str">
            <v>Yes</v>
          </cell>
          <cell r="AZ1768" t="str">
            <v>Y</v>
          </cell>
          <cell r="BA1768" t="str">
            <v>Yes</v>
          </cell>
        </row>
        <row r="1769">
          <cell r="B1769">
            <v>1619</v>
          </cell>
          <cell r="C1769" t="str">
            <v>C49SZX20220025AY</v>
          </cell>
          <cell r="D1769" t="str">
            <v>创舰</v>
          </cell>
          <cell r="E1769" t="str">
            <v>YSM10</v>
          </cell>
          <cell r="I1769" t="str">
            <v>R-&gt;L</v>
          </cell>
          <cell r="J1769" t="str">
            <v>No</v>
          </cell>
          <cell r="K1769">
            <v>1</v>
          </cell>
          <cell r="N1769">
            <v>44714</v>
          </cell>
          <cell r="O1769">
            <v>11100536</v>
          </cell>
          <cell r="P1769">
            <v>554500</v>
          </cell>
          <cell r="Q1769">
            <v>44711</v>
          </cell>
          <cell r="R1769" t="str">
            <v>Yes</v>
          </cell>
          <cell r="S1769" t="str">
            <v>C49</v>
          </cell>
          <cell r="T1769" t="str">
            <v>SOUTH</v>
          </cell>
          <cell r="U1769" t="str">
            <v>深圳</v>
          </cell>
          <cell r="V1769" t="str">
            <v>SZ 深圳</v>
          </cell>
          <cell r="W1769" t="str">
            <v>AY</v>
          </cell>
          <cell r="X1769" t="str">
            <v>RMB</v>
          </cell>
          <cell r="Y1769">
            <v>554500</v>
          </cell>
          <cell r="Z1769">
            <v>1.1299999999999999</v>
          </cell>
          <cell r="AA1769">
            <v>554500</v>
          </cell>
          <cell r="AB1769">
            <v>1.22</v>
          </cell>
          <cell r="AC1769">
            <v>598663.71681415942</v>
          </cell>
          <cell r="AD1769">
            <v>71839.646017699124</v>
          </cell>
          <cell r="AE1769">
            <v>0.12</v>
          </cell>
          <cell r="AF1769">
            <v>44634</v>
          </cell>
          <cell r="AG1769" t="str">
            <v>DDP HZ</v>
          </cell>
          <cell r="AI1769"/>
          <cell r="AJ1769"/>
          <cell r="AK1769">
            <v>0.1</v>
          </cell>
          <cell r="AL1769">
            <v>55450</v>
          </cell>
          <cell r="AM1769">
            <v>44637</v>
          </cell>
          <cell r="AN1769" t="str">
            <v>Yes</v>
          </cell>
          <cell r="AO1769">
            <v>0.9</v>
          </cell>
          <cell r="AP1769">
            <v>499050</v>
          </cell>
          <cell r="AQ1769">
            <v>44713</v>
          </cell>
          <cell r="AR1769">
            <v>44713</v>
          </cell>
          <cell r="AS1769">
            <v>0</v>
          </cell>
          <cell r="AT1769">
            <v>0</v>
          </cell>
          <cell r="AX1769" t="str">
            <v>Yes</v>
          </cell>
          <cell r="AZ1769" t="str">
            <v>Y</v>
          </cell>
          <cell r="BA1769" t="str">
            <v>Yes</v>
          </cell>
        </row>
        <row r="1770">
          <cell r="B1770">
            <v>1620</v>
          </cell>
          <cell r="C1770" t="str">
            <v>C49SZX20220031JL</v>
          </cell>
          <cell r="D1770" t="str">
            <v>万恒光电</v>
          </cell>
          <cell r="E1770" t="str">
            <v>YSM40R-4</v>
          </cell>
          <cell r="F1770"/>
          <cell r="H1770"/>
          <cell r="I1770" t="str">
            <v>R-&gt;L</v>
          </cell>
          <cell r="J1770" t="str">
            <v>No</v>
          </cell>
          <cell r="K1770">
            <v>1</v>
          </cell>
          <cell r="L1770"/>
          <cell r="N1770"/>
          <cell r="O1770"/>
          <cell r="P1770"/>
          <cell r="Q1770"/>
          <cell r="R1770" t="str">
            <v>No</v>
          </cell>
          <cell r="S1770" t="str">
            <v>C49</v>
          </cell>
          <cell r="T1770" t="str">
            <v>SOUTH</v>
          </cell>
          <cell r="U1770" t="str">
            <v>深圳</v>
          </cell>
          <cell r="V1770" t="str">
            <v>SZ 深圳</v>
          </cell>
          <cell r="W1770" t="str">
            <v>JL</v>
          </cell>
          <cell r="X1770" t="str">
            <v>RMB</v>
          </cell>
          <cell r="Y1770">
            <v>1290000</v>
          </cell>
          <cell r="Z1770">
            <v>1.1299999999999999</v>
          </cell>
          <cell r="AA1770">
            <v>1290000</v>
          </cell>
          <cell r="AB1770">
            <v>1.22</v>
          </cell>
          <cell r="AC1770">
            <v>1392743.3628318585</v>
          </cell>
          <cell r="AD1770">
            <v>167129.20353982301</v>
          </cell>
          <cell r="AE1770">
            <v>0.12</v>
          </cell>
          <cell r="AF1770">
            <v>44631</v>
          </cell>
          <cell r="AG1770" t="str">
            <v>DDP SZ</v>
          </cell>
          <cell r="AI1770"/>
          <cell r="AJ1770"/>
          <cell r="AK1770">
            <v>0.1</v>
          </cell>
          <cell r="AL1770">
            <v>129000</v>
          </cell>
          <cell r="AM1770"/>
          <cell r="AN1770" t="str">
            <v>No</v>
          </cell>
          <cell r="AO1770">
            <v>0.9</v>
          </cell>
          <cell r="AP1770">
            <v>1161000</v>
          </cell>
          <cell r="AQ1770"/>
          <cell r="AR1770"/>
          <cell r="AS1770">
            <v>0</v>
          </cell>
          <cell r="AT1770">
            <v>0</v>
          </cell>
          <cell r="AV1770"/>
          <cell r="AX1770" t="str">
            <v>Cancel</v>
          </cell>
          <cell r="AY1770"/>
          <cell r="AZ1770"/>
          <cell r="BA1770" t="str">
            <v>Cancel</v>
          </cell>
          <cell r="BB1770" t="str">
            <v>2022-10-10Ken邮件通知</v>
          </cell>
        </row>
        <row r="1771">
          <cell r="B1771">
            <v>1621</v>
          </cell>
          <cell r="C1771" t="str">
            <v>C49SZX20220032JL</v>
          </cell>
          <cell r="D1771" t="str">
            <v>万恒光电</v>
          </cell>
          <cell r="E1771" t="str">
            <v>YSM40R-4</v>
          </cell>
          <cell r="F1771"/>
          <cell r="H1771"/>
          <cell r="I1771" t="str">
            <v>L-&gt;R</v>
          </cell>
          <cell r="J1771" t="str">
            <v>No</v>
          </cell>
          <cell r="K1771">
            <v>1</v>
          </cell>
          <cell r="L1771"/>
          <cell r="N1771"/>
          <cell r="O1771"/>
          <cell r="P1771"/>
          <cell r="Q1771"/>
          <cell r="R1771" t="str">
            <v>No</v>
          </cell>
          <cell r="S1771" t="str">
            <v>C49</v>
          </cell>
          <cell r="T1771" t="str">
            <v>SOUTH</v>
          </cell>
          <cell r="U1771" t="str">
            <v>深圳</v>
          </cell>
          <cell r="V1771" t="str">
            <v>SZ 深圳</v>
          </cell>
          <cell r="W1771" t="str">
            <v>JL</v>
          </cell>
          <cell r="X1771" t="str">
            <v>JPY</v>
          </cell>
          <cell r="Y1771">
            <v>20800000</v>
          </cell>
          <cell r="Z1771">
            <v>1</v>
          </cell>
          <cell r="AA1771">
            <v>20800000</v>
          </cell>
          <cell r="AB1771">
            <v>6.7799999999999999E-2</v>
          </cell>
          <cell r="AC1771">
            <v>1410240</v>
          </cell>
          <cell r="AD1771">
            <v>169228.79999999999</v>
          </cell>
          <cell r="AE1771">
            <v>0.12</v>
          </cell>
          <cell r="AF1771">
            <v>44631</v>
          </cell>
          <cell r="AG1771" t="str">
            <v>DAP SZ</v>
          </cell>
          <cell r="AI1771"/>
          <cell r="AJ1771"/>
          <cell r="AK1771">
            <v>0.1</v>
          </cell>
          <cell r="AL1771">
            <v>2080000</v>
          </cell>
          <cell r="AM1771"/>
          <cell r="AN1771" t="str">
            <v>No</v>
          </cell>
          <cell r="AO1771">
            <v>0.9</v>
          </cell>
          <cell r="AP1771">
            <v>18720000</v>
          </cell>
          <cell r="AQ1771"/>
          <cell r="AR1771"/>
          <cell r="AS1771">
            <v>0</v>
          </cell>
          <cell r="AT1771">
            <v>0</v>
          </cell>
          <cell r="AV1771"/>
          <cell r="AX1771" t="str">
            <v>Cancel</v>
          </cell>
          <cell r="AY1771"/>
          <cell r="AZ1771"/>
          <cell r="BA1771" t="str">
            <v>Cancel</v>
          </cell>
          <cell r="BB1771" t="str">
            <v>2022-8-2 Ken邮件通知</v>
          </cell>
        </row>
        <row r="1772">
          <cell r="B1772">
            <v>1622</v>
          </cell>
          <cell r="C1772" t="str">
            <v>C49SZX20220032JL</v>
          </cell>
          <cell r="D1772" t="str">
            <v>万恒光电</v>
          </cell>
          <cell r="E1772" t="str">
            <v>YSM40R-4</v>
          </cell>
          <cell r="F1772"/>
          <cell r="H1772"/>
          <cell r="I1772" t="str">
            <v>L-&gt;R</v>
          </cell>
          <cell r="J1772" t="str">
            <v>No</v>
          </cell>
          <cell r="K1772">
            <v>1</v>
          </cell>
          <cell r="L1772"/>
          <cell r="N1772"/>
          <cell r="O1772"/>
          <cell r="P1772"/>
          <cell r="Q1772"/>
          <cell r="R1772" t="str">
            <v>No</v>
          </cell>
          <cell r="S1772" t="str">
            <v>C49</v>
          </cell>
          <cell r="T1772" t="str">
            <v>SOUTH</v>
          </cell>
          <cell r="U1772" t="str">
            <v>深圳</v>
          </cell>
          <cell r="V1772" t="str">
            <v>SZ 深圳</v>
          </cell>
          <cell r="W1772" t="str">
            <v>JL</v>
          </cell>
          <cell r="X1772" t="str">
            <v>JPY</v>
          </cell>
          <cell r="Y1772">
            <v>20800000</v>
          </cell>
          <cell r="Z1772">
            <v>1</v>
          </cell>
          <cell r="AA1772">
            <v>20800000</v>
          </cell>
          <cell r="AB1772">
            <v>6.7799999999999999E-2</v>
          </cell>
          <cell r="AC1772">
            <v>1410240</v>
          </cell>
          <cell r="AD1772">
            <v>169228.79999999999</v>
          </cell>
          <cell r="AE1772">
            <v>0.12</v>
          </cell>
          <cell r="AF1772">
            <v>44631</v>
          </cell>
          <cell r="AG1772" t="str">
            <v>DAP SZ</v>
          </cell>
          <cell r="AI1772"/>
          <cell r="AJ1772"/>
          <cell r="AK1772">
            <v>0.1</v>
          </cell>
          <cell r="AL1772">
            <v>2080000</v>
          </cell>
          <cell r="AM1772"/>
          <cell r="AN1772" t="str">
            <v>No</v>
          </cell>
          <cell r="AO1772">
            <v>0.9</v>
          </cell>
          <cell r="AP1772">
            <v>18720000</v>
          </cell>
          <cell r="AQ1772"/>
          <cell r="AR1772"/>
          <cell r="AS1772">
            <v>0</v>
          </cell>
          <cell r="AT1772">
            <v>0</v>
          </cell>
          <cell r="AV1772"/>
          <cell r="AX1772" t="str">
            <v>Cancel</v>
          </cell>
          <cell r="AY1772"/>
          <cell r="AZ1772"/>
          <cell r="BA1772" t="str">
            <v>Cancel</v>
          </cell>
          <cell r="BB1772" t="str">
            <v>2022-8-2 Ken邮件通知</v>
          </cell>
        </row>
        <row r="1773">
          <cell r="B1773">
            <v>1623</v>
          </cell>
          <cell r="C1773" t="str">
            <v>C49SZX20220032JL</v>
          </cell>
          <cell r="D1773" t="str">
            <v>万恒光电</v>
          </cell>
          <cell r="E1773" t="str">
            <v>YSM40R-4</v>
          </cell>
          <cell r="F1773"/>
          <cell r="H1773"/>
          <cell r="I1773" t="str">
            <v>L-&gt;R</v>
          </cell>
          <cell r="J1773" t="str">
            <v>No</v>
          </cell>
          <cell r="K1773">
            <v>1</v>
          </cell>
          <cell r="L1773"/>
          <cell r="N1773"/>
          <cell r="O1773"/>
          <cell r="P1773"/>
          <cell r="Q1773"/>
          <cell r="R1773" t="str">
            <v>No</v>
          </cell>
          <cell r="S1773" t="str">
            <v>C49</v>
          </cell>
          <cell r="T1773" t="str">
            <v>SOUTH</v>
          </cell>
          <cell r="U1773" t="str">
            <v>深圳</v>
          </cell>
          <cell r="V1773" t="str">
            <v>SZ 深圳</v>
          </cell>
          <cell r="W1773" t="str">
            <v>JL</v>
          </cell>
          <cell r="X1773" t="str">
            <v>JPY</v>
          </cell>
          <cell r="Y1773">
            <v>20800000</v>
          </cell>
          <cell r="Z1773">
            <v>1</v>
          </cell>
          <cell r="AA1773">
            <v>20800000</v>
          </cell>
          <cell r="AB1773">
            <v>6.7799999999999999E-2</v>
          </cell>
          <cell r="AC1773">
            <v>1410240</v>
          </cell>
          <cell r="AD1773">
            <v>169228.79999999999</v>
          </cell>
          <cell r="AE1773">
            <v>0.12</v>
          </cell>
          <cell r="AF1773">
            <v>44631</v>
          </cell>
          <cell r="AG1773" t="str">
            <v>DAP SZ</v>
          </cell>
          <cell r="AI1773"/>
          <cell r="AJ1773"/>
          <cell r="AK1773">
            <v>0.1</v>
          </cell>
          <cell r="AL1773">
            <v>2080000</v>
          </cell>
          <cell r="AM1773"/>
          <cell r="AN1773" t="str">
            <v>No</v>
          </cell>
          <cell r="AO1773">
            <v>0.9</v>
          </cell>
          <cell r="AP1773">
            <v>18720000</v>
          </cell>
          <cell r="AQ1773"/>
          <cell r="AR1773"/>
          <cell r="AS1773">
            <v>0</v>
          </cell>
          <cell r="AT1773">
            <v>0</v>
          </cell>
          <cell r="AV1773"/>
          <cell r="AX1773" t="str">
            <v>Cancel</v>
          </cell>
          <cell r="AY1773"/>
          <cell r="AZ1773"/>
          <cell r="BA1773" t="str">
            <v>Cancel</v>
          </cell>
          <cell r="BB1773" t="str">
            <v>2022-8-2 Ken邮件通知</v>
          </cell>
        </row>
        <row r="1774">
          <cell r="B1774">
            <v>1624</v>
          </cell>
          <cell r="C1774" t="str">
            <v>C49SZX20220032JL</v>
          </cell>
          <cell r="D1774" t="str">
            <v>万恒光电</v>
          </cell>
          <cell r="E1774" t="str">
            <v>YSM40R-4</v>
          </cell>
          <cell r="F1774"/>
          <cell r="H1774"/>
          <cell r="I1774" t="str">
            <v>L-&gt;R</v>
          </cell>
          <cell r="J1774" t="str">
            <v>No</v>
          </cell>
          <cell r="K1774">
            <v>1</v>
          </cell>
          <cell r="L1774"/>
          <cell r="N1774"/>
          <cell r="O1774"/>
          <cell r="P1774"/>
          <cell r="Q1774"/>
          <cell r="R1774" t="str">
            <v>No</v>
          </cell>
          <cell r="S1774" t="str">
            <v>C49</v>
          </cell>
          <cell r="T1774" t="str">
            <v>SOUTH</v>
          </cell>
          <cell r="U1774" t="str">
            <v>深圳</v>
          </cell>
          <cell r="V1774" t="str">
            <v>SZ 深圳</v>
          </cell>
          <cell r="W1774" t="str">
            <v>JL</v>
          </cell>
          <cell r="X1774" t="str">
            <v>JPY</v>
          </cell>
          <cell r="Y1774">
            <v>20800000</v>
          </cell>
          <cell r="Z1774">
            <v>1</v>
          </cell>
          <cell r="AA1774">
            <v>20800000</v>
          </cell>
          <cell r="AB1774">
            <v>6.7799999999999999E-2</v>
          </cell>
          <cell r="AC1774">
            <v>1410240</v>
          </cell>
          <cell r="AD1774">
            <v>169228.79999999999</v>
          </cell>
          <cell r="AE1774">
            <v>0.12</v>
          </cell>
          <cell r="AF1774">
            <v>44631</v>
          </cell>
          <cell r="AG1774" t="str">
            <v>DAP SZ</v>
          </cell>
          <cell r="AI1774"/>
          <cell r="AJ1774"/>
          <cell r="AK1774">
            <v>0.1</v>
          </cell>
          <cell r="AL1774">
            <v>2080000</v>
          </cell>
          <cell r="AM1774"/>
          <cell r="AN1774" t="str">
            <v>No</v>
          </cell>
          <cell r="AO1774">
            <v>0.9</v>
          </cell>
          <cell r="AP1774">
            <v>18720000</v>
          </cell>
          <cell r="AQ1774"/>
          <cell r="AR1774"/>
          <cell r="AS1774">
            <v>0</v>
          </cell>
          <cell r="AT1774">
            <v>0</v>
          </cell>
          <cell r="AV1774"/>
          <cell r="AX1774" t="str">
            <v>Cancel</v>
          </cell>
          <cell r="AY1774"/>
          <cell r="AZ1774"/>
          <cell r="BA1774" t="str">
            <v>Cancel</v>
          </cell>
          <cell r="BB1774" t="str">
            <v>2022-8-2 Ken邮件通知</v>
          </cell>
        </row>
        <row r="1775">
          <cell r="B1775">
            <v>1625</v>
          </cell>
          <cell r="C1775" t="str">
            <v>C49SZX20220035R1SS</v>
          </cell>
          <cell r="D1775" t="str">
            <v>中润互联</v>
          </cell>
          <cell r="E1775" t="str">
            <v>YSM20R-2</v>
          </cell>
          <cell r="I1775" t="str">
            <v>L-&gt;R</v>
          </cell>
          <cell r="J1775" t="str">
            <v>No</v>
          </cell>
          <cell r="K1775">
            <v>1</v>
          </cell>
          <cell r="N1775">
            <v>44767</v>
          </cell>
          <cell r="O1775">
            <v>11116781</v>
          </cell>
          <cell r="P1775">
            <v>15786000</v>
          </cell>
          <cell r="Q1775">
            <v>44768</v>
          </cell>
          <cell r="R1775" t="str">
            <v>No</v>
          </cell>
          <cell r="S1775" t="str">
            <v>C49</v>
          </cell>
          <cell r="T1775" t="str">
            <v>SOUTH</v>
          </cell>
          <cell r="U1775" t="str">
            <v>深圳</v>
          </cell>
          <cell r="V1775" t="str">
            <v>SZ 深圳</v>
          </cell>
          <cell r="W1775" t="str">
            <v>SS</v>
          </cell>
          <cell r="X1775" t="str">
            <v>JPY</v>
          </cell>
          <cell r="Y1775">
            <v>15786000</v>
          </cell>
          <cell r="Z1775">
            <v>1</v>
          </cell>
          <cell r="AA1775">
            <v>15786000</v>
          </cell>
          <cell r="AB1775">
            <v>6.7799999999999999E-2</v>
          </cell>
          <cell r="AC1775">
            <v>1070290.8</v>
          </cell>
          <cell r="AD1775">
            <v>128434.89600000001</v>
          </cell>
          <cell r="AE1775">
            <v>0.12</v>
          </cell>
          <cell r="AF1775">
            <v>44641</v>
          </cell>
          <cell r="AG1775" t="str">
            <v>DDP SZ</v>
          </cell>
          <cell r="AK1775">
            <v>0.1</v>
          </cell>
          <cell r="AL1775">
            <v>1578600</v>
          </cell>
          <cell r="AM1775">
            <v>44645</v>
          </cell>
          <cell r="AN1775" t="str">
            <v>Yes</v>
          </cell>
          <cell r="AO1775">
            <v>0.9</v>
          </cell>
          <cell r="AP1775">
            <v>14207400</v>
          </cell>
          <cell r="AQ1775">
            <v>44722</v>
          </cell>
          <cell r="AR1775">
            <v>44722</v>
          </cell>
          <cell r="AS1775">
            <v>0</v>
          </cell>
          <cell r="AT1775">
            <v>0</v>
          </cell>
          <cell r="AX1775" t="str">
            <v>Yes</v>
          </cell>
          <cell r="AZ1775" t="str">
            <v>Y</v>
          </cell>
          <cell r="BA1775" t="str">
            <v>Yes</v>
          </cell>
        </row>
        <row r="1776">
          <cell r="B1776">
            <v>1626</v>
          </cell>
          <cell r="C1776" t="str">
            <v>C49SZX20220035R1SS</v>
          </cell>
          <cell r="D1776" t="str">
            <v>中润互联</v>
          </cell>
          <cell r="E1776" t="str">
            <v>YSM20R-2</v>
          </cell>
          <cell r="I1776" t="str">
            <v>R-&gt;L</v>
          </cell>
          <cell r="J1776" t="str">
            <v>No</v>
          </cell>
          <cell r="K1776">
            <v>1</v>
          </cell>
          <cell r="N1776">
            <v>44767</v>
          </cell>
          <cell r="O1776">
            <v>11116781</v>
          </cell>
          <cell r="P1776">
            <v>15786000</v>
          </cell>
          <cell r="Q1776">
            <v>44768</v>
          </cell>
          <cell r="R1776" t="str">
            <v>No</v>
          </cell>
          <cell r="S1776" t="str">
            <v>C49</v>
          </cell>
          <cell r="T1776" t="str">
            <v>SOUTH</v>
          </cell>
          <cell r="U1776" t="str">
            <v>深圳</v>
          </cell>
          <cell r="V1776" t="str">
            <v>SZ 深圳</v>
          </cell>
          <cell r="W1776" t="str">
            <v>SS</v>
          </cell>
          <cell r="X1776" t="str">
            <v>JPY</v>
          </cell>
          <cell r="Y1776">
            <v>15786000</v>
          </cell>
          <cell r="Z1776">
            <v>1</v>
          </cell>
          <cell r="AA1776">
            <v>15786000</v>
          </cell>
          <cell r="AB1776">
            <v>6.7799999999999999E-2</v>
          </cell>
          <cell r="AC1776">
            <v>1070290.8</v>
          </cell>
          <cell r="AD1776">
            <v>128434.89600000001</v>
          </cell>
          <cell r="AE1776">
            <v>0.12</v>
          </cell>
          <cell r="AF1776">
            <v>44641</v>
          </cell>
          <cell r="AG1776" t="str">
            <v>DAP SZ</v>
          </cell>
          <cell r="AK1776">
            <v>0.1</v>
          </cell>
          <cell r="AL1776">
            <v>1578600</v>
          </cell>
          <cell r="AM1776">
            <v>44645</v>
          </cell>
          <cell r="AN1776" t="str">
            <v>Yes</v>
          </cell>
          <cell r="AO1776">
            <v>0.9</v>
          </cell>
          <cell r="AP1776">
            <v>14207400</v>
          </cell>
          <cell r="AQ1776">
            <v>44722</v>
          </cell>
          <cell r="AR1776">
            <v>44722</v>
          </cell>
          <cell r="AS1776">
            <v>0</v>
          </cell>
          <cell r="AT1776">
            <v>0</v>
          </cell>
          <cell r="AX1776" t="str">
            <v>Yes</v>
          </cell>
          <cell r="AZ1776" t="str">
            <v>Y</v>
          </cell>
          <cell r="BA1776" t="str">
            <v>Yes</v>
          </cell>
        </row>
        <row r="1777">
          <cell r="B1777">
            <v>1627</v>
          </cell>
          <cell r="C1777" t="str">
            <v>C49SZX20220035R1SS</v>
          </cell>
          <cell r="D1777" t="str">
            <v>中润互联</v>
          </cell>
          <cell r="E1777" t="str">
            <v>YSM20R-2</v>
          </cell>
          <cell r="I1777" t="str">
            <v>R-&gt;L</v>
          </cell>
          <cell r="J1777" t="str">
            <v>No</v>
          </cell>
          <cell r="K1777">
            <v>1</v>
          </cell>
          <cell r="N1777">
            <v>44767</v>
          </cell>
          <cell r="O1777">
            <v>11116781</v>
          </cell>
          <cell r="P1777">
            <v>15786000</v>
          </cell>
          <cell r="Q1777">
            <v>44768</v>
          </cell>
          <cell r="R1777" t="str">
            <v>No</v>
          </cell>
          <cell r="S1777" t="str">
            <v>C49</v>
          </cell>
          <cell r="T1777" t="str">
            <v>SOUTH</v>
          </cell>
          <cell r="U1777" t="str">
            <v>深圳</v>
          </cell>
          <cell r="V1777" t="str">
            <v>SZ 深圳</v>
          </cell>
          <cell r="W1777" t="str">
            <v>SS</v>
          </cell>
          <cell r="X1777" t="str">
            <v>JPY</v>
          </cell>
          <cell r="Y1777">
            <v>15786000</v>
          </cell>
          <cell r="Z1777">
            <v>1</v>
          </cell>
          <cell r="AA1777">
            <v>15786000</v>
          </cell>
          <cell r="AB1777">
            <v>6.7799999999999999E-2</v>
          </cell>
          <cell r="AC1777">
            <v>1070290.8</v>
          </cell>
          <cell r="AD1777">
            <v>128434.89600000001</v>
          </cell>
          <cell r="AE1777">
            <v>0.12</v>
          </cell>
          <cell r="AF1777">
            <v>44641</v>
          </cell>
          <cell r="AG1777" t="str">
            <v>DAP SZ</v>
          </cell>
          <cell r="AK1777">
            <v>0.1</v>
          </cell>
          <cell r="AL1777">
            <v>1578600</v>
          </cell>
          <cell r="AM1777">
            <v>44645</v>
          </cell>
          <cell r="AN1777" t="str">
            <v>Yes</v>
          </cell>
          <cell r="AO1777">
            <v>0.9</v>
          </cell>
          <cell r="AP1777">
            <v>14207400</v>
          </cell>
          <cell r="AQ1777">
            <v>44722</v>
          </cell>
          <cell r="AR1777">
            <v>44722</v>
          </cell>
          <cell r="AS1777">
            <v>0</v>
          </cell>
          <cell r="AT1777">
            <v>0</v>
          </cell>
          <cell r="AX1777" t="str">
            <v>Yes</v>
          </cell>
          <cell r="AZ1777" t="str">
            <v>Y</v>
          </cell>
          <cell r="BA1777" t="str">
            <v>Yes</v>
          </cell>
        </row>
        <row r="1778">
          <cell r="B1778">
            <v>1628</v>
          </cell>
          <cell r="C1778" t="str">
            <v>C49SZX20220035R1SS</v>
          </cell>
          <cell r="D1778" t="str">
            <v>中润互联</v>
          </cell>
          <cell r="E1778" t="str">
            <v>YSM10</v>
          </cell>
          <cell r="I1778" t="str">
            <v>R-&gt;L</v>
          </cell>
          <cell r="J1778" t="str">
            <v>MVC</v>
          </cell>
          <cell r="K1778">
            <v>1</v>
          </cell>
          <cell r="N1778">
            <v>44767</v>
          </cell>
          <cell r="O1778">
            <v>11116781</v>
          </cell>
          <cell r="P1778">
            <v>8700000</v>
          </cell>
          <cell r="Q1778">
            <v>44768</v>
          </cell>
          <cell r="R1778" t="str">
            <v>No</v>
          </cell>
          <cell r="S1778" t="str">
            <v>C49</v>
          </cell>
          <cell r="T1778" t="str">
            <v>SOUTH</v>
          </cell>
          <cell r="U1778" t="str">
            <v>深圳</v>
          </cell>
          <cell r="V1778" t="str">
            <v>SZ 深圳</v>
          </cell>
          <cell r="W1778" t="str">
            <v>SS</v>
          </cell>
          <cell r="X1778" t="str">
            <v>JPY</v>
          </cell>
          <cell r="Y1778">
            <v>8700000</v>
          </cell>
          <cell r="Z1778">
            <v>1</v>
          </cell>
          <cell r="AA1778">
            <v>8700000</v>
          </cell>
          <cell r="AB1778">
            <v>6.7799999999999999E-2</v>
          </cell>
          <cell r="AC1778">
            <v>589860</v>
          </cell>
          <cell r="AD1778">
            <v>70783.199999999997</v>
          </cell>
          <cell r="AE1778">
            <v>0.12</v>
          </cell>
          <cell r="AF1778">
            <v>44641</v>
          </cell>
          <cell r="AG1778" t="str">
            <v>DAP SZ</v>
          </cell>
          <cell r="AK1778">
            <v>0.1</v>
          </cell>
          <cell r="AL1778">
            <v>870000</v>
          </cell>
          <cell r="AM1778">
            <v>44645</v>
          </cell>
          <cell r="AN1778" t="str">
            <v>Yes</v>
          </cell>
          <cell r="AO1778">
            <v>0.9</v>
          </cell>
          <cell r="AP1778">
            <v>7830000</v>
          </cell>
          <cell r="AQ1778">
            <v>44722</v>
          </cell>
          <cell r="AR1778">
            <v>44722</v>
          </cell>
          <cell r="AS1778">
            <v>0</v>
          </cell>
          <cell r="AT1778">
            <v>0</v>
          </cell>
          <cell r="AX1778" t="str">
            <v>Yes</v>
          </cell>
          <cell r="AZ1778" t="str">
            <v>Y</v>
          </cell>
          <cell r="BA1778" t="str">
            <v>Yes</v>
          </cell>
        </row>
        <row r="1779">
          <cell r="B1779">
            <v>1629</v>
          </cell>
          <cell r="C1779" t="str">
            <v>C49SZX20220035R1SS</v>
          </cell>
          <cell r="D1779" t="str">
            <v>中润互联</v>
          </cell>
          <cell r="E1779" t="str">
            <v>YSM10</v>
          </cell>
          <cell r="I1779" t="str">
            <v>L-&gt;R</v>
          </cell>
          <cell r="J1779" t="str">
            <v>MVC+ATS15</v>
          </cell>
          <cell r="K1779">
            <v>1</v>
          </cell>
          <cell r="N1779">
            <v>44767</v>
          </cell>
          <cell r="O1779">
            <v>11116781</v>
          </cell>
          <cell r="P1779">
            <v>8700000</v>
          </cell>
          <cell r="Q1779">
            <v>44768</v>
          </cell>
          <cell r="R1779" t="str">
            <v>No</v>
          </cell>
          <cell r="S1779" t="str">
            <v>C49</v>
          </cell>
          <cell r="T1779" t="str">
            <v>SOUTH</v>
          </cell>
          <cell r="U1779" t="str">
            <v>深圳</v>
          </cell>
          <cell r="V1779" t="str">
            <v>SZ 深圳</v>
          </cell>
          <cell r="W1779" t="str">
            <v>SS</v>
          </cell>
          <cell r="X1779" t="str">
            <v>JPY</v>
          </cell>
          <cell r="Y1779">
            <v>8700000</v>
          </cell>
          <cell r="Z1779">
            <v>1</v>
          </cell>
          <cell r="AA1779">
            <v>8700000</v>
          </cell>
          <cell r="AB1779">
            <v>6.7799999999999999E-2</v>
          </cell>
          <cell r="AC1779">
            <v>589860</v>
          </cell>
          <cell r="AD1779">
            <v>70783.199999999997</v>
          </cell>
          <cell r="AE1779">
            <v>0.12</v>
          </cell>
          <cell r="AF1779">
            <v>44641</v>
          </cell>
          <cell r="AG1779" t="str">
            <v>DAP SZ</v>
          </cell>
          <cell r="AK1779">
            <v>0.1</v>
          </cell>
          <cell r="AL1779">
            <v>870000</v>
          </cell>
          <cell r="AM1779">
            <v>44645</v>
          </cell>
          <cell r="AN1779" t="str">
            <v>Yes</v>
          </cell>
          <cell r="AO1779">
            <v>0.9</v>
          </cell>
          <cell r="AP1779">
            <v>7830000</v>
          </cell>
          <cell r="AQ1779">
            <v>44722</v>
          </cell>
          <cell r="AR1779">
            <v>44722</v>
          </cell>
          <cell r="AS1779">
            <v>0</v>
          </cell>
          <cell r="AT1779">
            <v>0</v>
          </cell>
          <cell r="AX1779" t="str">
            <v>Yes</v>
          </cell>
          <cell r="AZ1779" t="str">
            <v>Y</v>
          </cell>
          <cell r="BA1779" t="str">
            <v>Yes</v>
          </cell>
        </row>
        <row r="1780">
          <cell r="B1780">
            <v>1630</v>
          </cell>
          <cell r="C1780" t="str">
            <v>C49SZX20220036SS</v>
          </cell>
          <cell r="D1780" t="str">
            <v>泰鑫荣</v>
          </cell>
          <cell r="E1780" t="str">
            <v>YSM20R-2</v>
          </cell>
          <cell r="I1780" t="str">
            <v>L-&gt;R</v>
          </cell>
          <cell r="J1780" t="str">
            <v>No</v>
          </cell>
          <cell r="K1780">
            <v>1</v>
          </cell>
          <cell r="N1780">
            <v>44775</v>
          </cell>
          <cell r="O1780">
            <v>11116785</v>
          </cell>
          <cell r="P1780">
            <v>13990000</v>
          </cell>
          <cell r="Q1780">
            <v>44770</v>
          </cell>
          <cell r="R1780" t="str">
            <v>No</v>
          </cell>
          <cell r="S1780" t="str">
            <v>C49</v>
          </cell>
          <cell r="T1780" t="str">
            <v>SOUTH</v>
          </cell>
          <cell r="U1780" t="str">
            <v>深圳</v>
          </cell>
          <cell r="V1780" t="str">
            <v>SZ 深圳</v>
          </cell>
          <cell r="W1780" t="str">
            <v>SS</v>
          </cell>
          <cell r="X1780" t="str">
            <v>JPY</v>
          </cell>
          <cell r="Y1780">
            <v>13990000</v>
          </cell>
          <cell r="Z1780">
            <v>1</v>
          </cell>
          <cell r="AA1780">
            <v>13990000</v>
          </cell>
          <cell r="AB1780">
            <v>6.7799999999999999E-2</v>
          </cell>
          <cell r="AC1780">
            <v>948522</v>
          </cell>
          <cell r="AD1780">
            <v>113822.64</v>
          </cell>
          <cell r="AE1780">
            <v>0.12</v>
          </cell>
          <cell r="AF1780">
            <v>44641</v>
          </cell>
          <cell r="AG1780" t="str">
            <v>DAP SZ</v>
          </cell>
          <cell r="AK1780">
            <v>0.1</v>
          </cell>
          <cell r="AL1780">
            <v>1399000</v>
          </cell>
          <cell r="AM1780">
            <v>44651</v>
          </cell>
          <cell r="AN1780" t="str">
            <v>Yes</v>
          </cell>
          <cell r="AO1780">
            <v>0.9</v>
          </cell>
          <cell r="AP1780">
            <v>12591000</v>
          </cell>
          <cell r="AQ1780">
            <v>44764</v>
          </cell>
          <cell r="AR1780">
            <v>44764</v>
          </cell>
          <cell r="AS1780">
            <v>0</v>
          </cell>
          <cell r="AT1780">
            <v>0</v>
          </cell>
          <cell r="AX1780" t="str">
            <v>Yes</v>
          </cell>
          <cell r="AZ1780" t="str">
            <v>Y</v>
          </cell>
          <cell r="BA1780" t="str">
            <v>Yes</v>
          </cell>
        </row>
        <row r="1781">
          <cell r="B1781">
            <v>1631</v>
          </cell>
          <cell r="C1781" t="str">
            <v>C49SZX20220037SS</v>
          </cell>
          <cell r="D1781" t="str">
            <v>盈通恒翼</v>
          </cell>
          <cell r="E1781" t="str">
            <v>YSM10</v>
          </cell>
          <cell r="F1781"/>
          <cell r="H1781"/>
          <cell r="I1781" t="str">
            <v>L-&gt;R</v>
          </cell>
          <cell r="J1781" t="str">
            <v>No</v>
          </cell>
          <cell r="K1781">
            <v>1</v>
          </cell>
          <cell r="L1781"/>
          <cell r="N1781"/>
          <cell r="O1781"/>
          <cell r="P1781"/>
          <cell r="Q1781"/>
          <cell r="R1781" t="str">
            <v>No</v>
          </cell>
          <cell r="S1781" t="str">
            <v>C49</v>
          </cell>
          <cell r="T1781" t="str">
            <v>SOUTH</v>
          </cell>
          <cell r="U1781" t="str">
            <v>深圳</v>
          </cell>
          <cell r="V1781" t="str">
            <v>SZ 深圳</v>
          </cell>
          <cell r="W1781" t="str">
            <v>SS</v>
          </cell>
          <cell r="X1781" t="str">
            <v>RMB</v>
          </cell>
          <cell r="Y1781">
            <v>490000</v>
          </cell>
          <cell r="Z1781">
            <v>1.1299999999999999</v>
          </cell>
          <cell r="AA1781">
            <v>490000</v>
          </cell>
          <cell r="AB1781">
            <v>1.22</v>
          </cell>
          <cell r="AC1781">
            <v>529026.54867256642</v>
          </cell>
          <cell r="AD1781">
            <v>63483.185840707971</v>
          </cell>
          <cell r="AE1781">
            <v>0.12</v>
          </cell>
          <cell r="AF1781">
            <v>44642</v>
          </cell>
          <cell r="AG1781" t="str">
            <v>DDP SZ</v>
          </cell>
          <cell r="AI1781"/>
          <cell r="AJ1781"/>
          <cell r="AK1781">
            <v>1</v>
          </cell>
          <cell r="AL1781">
            <v>490000</v>
          </cell>
          <cell r="AM1781"/>
          <cell r="AN1781" t="str">
            <v>No</v>
          </cell>
          <cell r="AO1781">
            <v>0</v>
          </cell>
          <cell r="AP1781">
            <v>0</v>
          </cell>
          <cell r="AQ1781"/>
          <cell r="AR1781"/>
          <cell r="AS1781">
            <v>0</v>
          </cell>
          <cell r="AT1781">
            <v>0</v>
          </cell>
          <cell r="AV1781"/>
          <cell r="AX1781" t="str">
            <v>Cancel</v>
          </cell>
          <cell r="AY1781"/>
          <cell r="AZ1781"/>
          <cell r="BA1781" t="str">
            <v>Cancel</v>
          </cell>
          <cell r="BB1781" t="str">
            <v>2022/3/25 Ken邮件通知</v>
          </cell>
        </row>
        <row r="1782">
          <cell r="B1782">
            <v>1632</v>
          </cell>
          <cell r="C1782" t="str">
            <v>C49SZX20220037SS</v>
          </cell>
          <cell r="D1782" t="str">
            <v>盈通恒翼</v>
          </cell>
          <cell r="E1782" t="str">
            <v>YSM20R-2</v>
          </cell>
          <cell r="F1782"/>
          <cell r="H1782"/>
          <cell r="I1782" t="str">
            <v>L-&gt;R</v>
          </cell>
          <cell r="J1782" t="str">
            <v>No</v>
          </cell>
          <cell r="K1782">
            <v>1</v>
          </cell>
          <cell r="L1782"/>
          <cell r="N1782"/>
          <cell r="O1782"/>
          <cell r="P1782"/>
          <cell r="Q1782"/>
          <cell r="R1782" t="str">
            <v>No</v>
          </cell>
          <cell r="S1782" t="str">
            <v>C49</v>
          </cell>
          <cell r="T1782" t="str">
            <v>SOUTH</v>
          </cell>
          <cell r="U1782" t="str">
            <v>深圳</v>
          </cell>
          <cell r="V1782" t="str">
            <v>SZ 深圳</v>
          </cell>
          <cell r="W1782" t="str">
            <v>SS</v>
          </cell>
          <cell r="X1782" t="str">
            <v>RMB</v>
          </cell>
          <cell r="Y1782">
            <v>803285</v>
          </cell>
          <cell r="Z1782">
            <v>1.1299999999999999</v>
          </cell>
          <cell r="AA1782">
            <v>803285</v>
          </cell>
          <cell r="AB1782">
            <v>1.22</v>
          </cell>
          <cell r="AC1782">
            <v>867263.45132743369</v>
          </cell>
          <cell r="AD1782">
            <v>104071.61415929203</v>
          </cell>
          <cell r="AE1782">
            <v>0.12</v>
          </cell>
          <cell r="AF1782">
            <v>44642</v>
          </cell>
          <cell r="AG1782" t="str">
            <v>DDP SZ</v>
          </cell>
          <cell r="AI1782"/>
          <cell r="AJ1782"/>
          <cell r="AK1782">
            <v>1</v>
          </cell>
          <cell r="AL1782">
            <v>803285</v>
          </cell>
          <cell r="AM1782"/>
          <cell r="AN1782" t="str">
            <v>No</v>
          </cell>
          <cell r="AO1782">
            <v>0</v>
          </cell>
          <cell r="AP1782">
            <v>0</v>
          </cell>
          <cell r="AQ1782"/>
          <cell r="AR1782"/>
          <cell r="AS1782">
            <v>0</v>
          </cell>
          <cell r="AT1782">
            <v>0</v>
          </cell>
          <cell r="AV1782"/>
          <cell r="AX1782" t="str">
            <v>Cancel</v>
          </cell>
          <cell r="AY1782"/>
          <cell r="AZ1782"/>
          <cell r="BA1782" t="str">
            <v>Cancel</v>
          </cell>
          <cell r="BB1782" t="str">
            <v>2022/3/25 Ken邮件通知</v>
          </cell>
        </row>
        <row r="1783">
          <cell r="B1783">
            <v>1633</v>
          </cell>
          <cell r="C1783" t="str">
            <v>C49SZX20220038JY</v>
          </cell>
          <cell r="D1783" t="str">
            <v>和创永泰</v>
          </cell>
          <cell r="E1783" t="str">
            <v>YSM20R-2</v>
          </cell>
          <cell r="I1783" t="str">
            <v>R-&gt;L</v>
          </cell>
          <cell r="J1783" t="str">
            <v>No</v>
          </cell>
          <cell r="K1783">
            <v>1</v>
          </cell>
          <cell r="N1783">
            <v>44712</v>
          </cell>
          <cell r="O1783">
            <v>11100537</v>
          </cell>
          <cell r="P1783">
            <v>850000</v>
          </cell>
          <cell r="Q1783">
            <v>44733</v>
          </cell>
          <cell r="R1783" t="str">
            <v>No</v>
          </cell>
          <cell r="S1783" t="str">
            <v>C49</v>
          </cell>
          <cell r="T1783" t="str">
            <v>SOUTH</v>
          </cell>
          <cell r="U1783" t="str">
            <v>深圳</v>
          </cell>
          <cell r="V1783" t="str">
            <v>SZ 深圳</v>
          </cell>
          <cell r="W1783" t="str">
            <v>JY</v>
          </cell>
          <cell r="X1783" t="str">
            <v>RMB</v>
          </cell>
          <cell r="Y1783">
            <v>850000</v>
          </cell>
          <cell r="Z1783">
            <v>1.1299999999999999</v>
          </cell>
          <cell r="AA1783">
            <v>850000</v>
          </cell>
          <cell r="AB1783">
            <v>1.22</v>
          </cell>
          <cell r="AC1783">
            <v>917699.11504424782</v>
          </cell>
          <cell r="AD1783">
            <v>110123.89380530974</v>
          </cell>
          <cell r="AE1783">
            <v>0.12</v>
          </cell>
          <cell r="AF1783">
            <v>44644</v>
          </cell>
          <cell r="AG1783" t="str">
            <v>DDP SZ</v>
          </cell>
          <cell r="AK1783">
            <v>0.1</v>
          </cell>
          <cell r="AL1783">
            <v>85000</v>
          </cell>
          <cell r="AM1783">
            <v>44649</v>
          </cell>
          <cell r="AN1783" t="str">
            <v>Yes</v>
          </cell>
          <cell r="AO1783">
            <v>0.9</v>
          </cell>
          <cell r="AP1783">
            <v>765000</v>
          </cell>
          <cell r="AQ1783">
            <v>44705</v>
          </cell>
          <cell r="AR1783">
            <v>44705</v>
          </cell>
          <cell r="AS1783">
            <v>0</v>
          </cell>
          <cell r="AT1783">
            <v>0</v>
          </cell>
          <cell r="AX1783" t="str">
            <v>Yes</v>
          </cell>
          <cell r="AZ1783" t="str">
            <v>Y</v>
          </cell>
          <cell r="BA1783" t="str">
            <v>Yes</v>
          </cell>
        </row>
        <row r="1784">
          <cell r="B1784">
            <v>1634</v>
          </cell>
          <cell r="C1784" t="str">
            <v>C49SZX20220039JY</v>
          </cell>
          <cell r="D1784" t="str">
            <v>顺禾</v>
          </cell>
          <cell r="E1784" t="str">
            <v>YSM20R-2</v>
          </cell>
          <cell r="I1784" t="str">
            <v>L-&gt;R</v>
          </cell>
          <cell r="J1784" t="str">
            <v>MVC</v>
          </cell>
          <cell r="K1784">
            <v>1</v>
          </cell>
          <cell r="N1784">
            <v>44672</v>
          </cell>
          <cell r="O1784">
            <v>11100527</v>
          </cell>
          <cell r="P1784">
            <v>900000</v>
          </cell>
          <cell r="Q1784">
            <v>44672</v>
          </cell>
          <cell r="R1784" t="str">
            <v>No</v>
          </cell>
          <cell r="S1784" t="str">
            <v>C49</v>
          </cell>
          <cell r="T1784" t="str">
            <v>SOUTH</v>
          </cell>
          <cell r="U1784" t="str">
            <v>深圳</v>
          </cell>
          <cell r="V1784" t="str">
            <v>SZ 深圳</v>
          </cell>
          <cell r="W1784" t="str">
            <v>JY</v>
          </cell>
          <cell r="X1784" t="str">
            <v>RMB</v>
          </cell>
          <cell r="Y1784">
            <v>900000</v>
          </cell>
          <cell r="Z1784">
            <v>1.1299999999999999</v>
          </cell>
          <cell r="AA1784">
            <v>900000</v>
          </cell>
          <cell r="AB1784">
            <v>1.22</v>
          </cell>
          <cell r="AC1784">
            <v>971681.41592920362</v>
          </cell>
          <cell r="AD1784">
            <v>116601.76991150442</v>
          </cell>
          <cell r="AE1784">
            <v>0.12</v>
          </cell>
          <cell r="AF1784">
            <v>44644</v>
          </cell>
          <cell r="AG1784" t="str">
            <v>DDP SZ</v>
          </cell>
          <cell r="AI1784">
            <v>30000</v>
          </cell>
          <cell r="AJ1784">
            <v>44650</v>
          </cell>
          <cell r="AK1784">
            <v>0.3</v>
          </cell>
          <cell r="AL1784">
            <v>270000</v>
          </cell>
          <cell r="AM1784">
            <v>44670</v>
          </cell>
          <cell r="AN1784" t="str">
            <v>Yes</v>
          </cell>
          <cell r="AO1784">
            <v>0.7</v>
          </cell>
          <cell r="AP1784">
            <v>630000</v>
          </cell>
          <cell r="AQ1784">
            <v>44670</v>
          </cell>
          <cell r="AR1784">
            <v>44670</v>
          </cell>
          <cell r="AS1784">
            <v>0</v>
          </cell>
          <cell r="AT1784">
            <v>0</v>
          </cell>
          <cell r="AX1784" t="str">
            <v>Yes</v>
          </cell>
          <cell r="AZ1784" t="str">
            <v>Y</v>
          </cell>
          <cell r="BA1784" t="str">
            <v>Yes</v>
          </cell>
        </row>
        <row r="1785">
          <cell r="B1785">
            <v>1635</v>
          </cell>
          <cell r="C1785" t="str">
            <v>C49SZX20220041SQ</v>
          </cell>
          <cell r="D1785" t="str">
            <v>华富快捷</v>
          </cell>
          <cell r="E1785" t="str">
            <v>YSM10</v>
          </cell>
          <cell r="I1785" t="str">
            <v>R-&gt;L</v>
          </cell>
          <cell r="J1785" t="str">
            <v>MVC</v>
          </cell>
          <cell r="K1785">
            <v>1</v>
          </cell>
          <cell r="N1785">
            <v>44706</v>
          </cell>
          <cell r="O1785">
            <v>11116759</v>
          </cell>
          <cell r="P1785">
            <v>10068000</v>
          </cell>
          <cell r="Q1785">
            <v>44707</v>
          </cell>
          <cell r="R1785" t="str">
            <v>Yes</v>
          </cell>
          <cell r="S1785" t="str">
            <v>C49</v>
          </cell>
          <cell r="T1785" t="str">
            <v>SOUTH</v>
          </cell>
          <cell r="U1785" t="str">
            <v>深圳</v>
          </cell>
          <cell r="V1785" t="str">
            <v>SZ 深圳</v>
          </cell>
          <cell r="W1785" t="str">
            <v>SQ</v>
          </cell>
          <cell r="X1785" t="str">
            <v>JPY</v>
          </cell>
          <cell r="Y1785">
            <v>10068000</v>
          </cell>
          <cell r="Z1785">
            <v>1</v>
          </cell>
          <cell r="AA1785">
            <v>10068000</v>
          </cell>
          <cell r="AB1785">
            <v>6.7799999999999999E-2</v>
          </cell>
          <cell r="AC1785">
            <v>682610.4</v>
          </cell>
          <cell r="AD1785">
            <v>81913.248000000007</v>
          </cell>
          <cell r="AE1785">
            <v>0.12</v>
          </cell>
          <cell r="AF1785">
            <v>44650</v>
          </cell>
          <cell r="AG1785" t="str">
            <v>DAP SZ</v>
          </cell>
          <cell r="AK1785">
            <v>0.2</v>
          </cell>
          <cell r="AL1785">
            <v>2231803</v>
          </cell>
          <cell r="AM1785">
            <v>44670</v>
          </cell>
          <cell r="AN1785" t="str">
            <v>Yes</v>
          </cell>
          <cell r="AO1785">
            <v>0.8</v>
          </cell>
          <cell r="AP1785">
            <v>8054400</v>
          </cell>
          <cell r="AQ1785">
            <v>44676</v>
          </cell>
          <cell r="AR1785">
            <v>44676</v>
          </cell>
          <cell r="AS1785">
            <v>0</v>
          </cell>
          <cell r="AT1785">
            <v>0</v>
          </cell>
          <cell r="AX1785" t="str">
            <v>Yes</v>
          </cell>
          <cell r="AZ1785" t="str">
            <v>Y</v>
          </cell>
          <cell r="BA1785" t="str">
            <v>Yes</v>
          </cell>
        </row>
        <row r="1786">
          <cell r="B1786">
            <v>1636</v>
          </cell>
          <cell r="C1786" t="str">
            <v>C49SZX20220043SQ</v>
          </cell>
          <cell r="D1786" t="str">
            <v>有泽</v>
          </cell>
          <cell r="E1786" t="str">
            <v>YSM20R-2</v>
          </cell>
          <cell r="I1786" t="str">
            <v>L-&gt;R</v>
          </cell>
          <cell r="J1786" t="str">
            <v>No</v>
          </cell>
          <cell r="K1786">
            <v>1</v>
          </cell>
          <cell r="N1786">
            <v>44680</v>
          </cell>
          <cell r="O1786">
            <v>11100535</v>
          </cell>
          <cell r="P1786">
            <v>986383</v>
          </cell>
          <cell r="Q1786">
            <v>44698</v>
          </cell>
          <cell r="R1786" t="str">
            <v>Yes</v>
          </cell>
          <cell r="S1786" t="str">
            <v>C49</v>
          </cell>
          <cell r="T1786" t="str">
            <v>SOUTH</v>
          </cell>
          <cell r="U1786" t="str">
            <v>深圳</v>
          </cell>
          <cell r="V1786" t="str">
            <v>SZ 深圳</v>
          </cell>
          <cell r="W1786" t="str">
            <v>SQ</v>
          </cell>
          <cell r="X1786" t="str">
            <v>RMB</v>
          </cell>
          <cell r="Y1786">
            <v>986383</v>
          </cell>
          <cell r="Z1786">
            <v>1.1299999999999999</v>
          </cell>
          <cell r="AA1786">
            <v>986383</v>
          </cell>
          <cell r="AB1786">
            <v>1.22</v>
          </cell>
          <cell r="AC1786">
            <v>1064944.4778761063</v>
          </cell>
          <cell r="AD1786">
            <v>127793.33734513275</v>
          </cell>
          <cell r="AE1786">
            <v>0.12</v>
          </cell>
          <cell r="AF1786">
            <v>44659</v>
          </cell>
          <cell r="AG1786" t="str">
            <v>DDP SZ</v>
          </cell>
          <cell r="AI1786"/>
          <cell r="AK1786" t="str">
            <v>Agree</v>
          </cell>
          <cell r="AL1786">
            <v>99383</v>
          </cell>
          <cell r="AM1786">
            <v>44677</v>
          </cell>
          <cell r="AN1786" t="str">
            <v>Yes</v>
          </cell>
          <cell r="AO1786">
            <v>0.8</v>
          </cell>
          <cell r="AP1786">
            <v>789106.4</v>
          </cell>
          <cell r="AQ1786">
            <v>44679</v>
          </cell>
          <cell r="AR1786">
            <v>44679</v>
          </cell>
          <cell r="AS1786">
            <v>0</v>
          </cell>
          <cell r="AT1786">
            <v>0</v>
          </cell>
          <cell r="AX1786" t="str">
            <v>Yes</v>
          </cell>
          <cell r="AZ1786" t="str">
            <v>Y</v>
          </cell>
          <cell r="BA1786" t="str">
            <v>Yes</v>
          </cell>
        </row>
        <row r="1787">
          <cell r="B1787">
            <v>1637</v>
          </cell>
          <cell r="C1787" t="str">
            <v>C49SZX20220045SX</v>
          </cell>
          <cell r="D1787" t="str">
            <v>恒磊</v>
          </cell>
          <cell r="E1787" t="str">
            <v>YSM10</v>
          </cell>
          <cell r="I1787" t="str">
            <v>L-&gt;R</v>
          </cell>
          <cell r="J1787" t="str">
            <v>MVC</v>
          </cell>
          <cell r="K1787">
            <v>1</v>
          </cell>
          <cell r="N1787">
            <v>44713</v>
          </cell>
          <cell r="O1787">
            <v>11116762</v>
          </cell>
          <cell r="P1787">
            <v>9393000</v>
          </cell>
          <cell r="Q1787">
            <v>44712</v>
          </cell>
          <cell r="R1787" t="str">
            <v>No</v>
          </cell>
          <cell r="S1787" t="str">
            <v>C49</v>
          </cell>
          <cell r="T1787" t="str">
            <v>SOUTH</v>
          </cell>
          <cell r="U1787" t="str">
            <v>深圳</v>
          </cell>
          <cell r="V1787" t="str">
            <v>SZ 深圳</v>
          </cell>
          <cell r="W1787" t="str">
            <v>SX</v>
          </cell>
          <cell r="X1787" t="str">
            <v>JPY</v>
          </cell>
          <cell r="Y1787">
            <v>9393000</v>
          </cell>
          <cell r="Z1787">
            <v>1</v>
          </cell>
          <cell r="AA1787">
            <v>9393000</v>
          </cell>
          <cell r="AB1787">
            <v>6.54E-2</v>
          </cell>
          <cell r="AC1787">
            <v>614302.19999999995</v>
          </cell>
          <cell r="AD1787">
            <v>73716.263999999996</v>
          </cell>
          <cell r="AE1787">
            <v>0.12</v>
          </cell>
          <cell r="AF1787">
            <v>44664</v>
          </cell>
          <cell r="AG1787" t="str">
            <v>DAP SZ</v>
          </cell>
          <cell r="AK1787">
            <v>0.1</v>
          </cell>
          <cell r="AL1787">
            <v>939300</v>
          </cell>
          <cell r="AM1787">
            <v>44672</v>
          </cell>
          <cell r="AN1787" t="str">
            <v>Yes</v>
          </cell>
          <cell r="AO1787">
            <v>0.9</v>
          </cell>
          <cell r="AP1787">
            <v>8453700</v>
          </cell>
          <cell r="AQ1787">
            <v>44708</v>
          </cell>
          <cell r="AR1787">
            <v>44708</v>
          </cell>
          <cell r="AS1787">
            <v>0</v>
          </cell>
          <cell r="AT1787">
            <v>0</v>
          </cell>
          <cell r="AX1787" t="str">
            <v>Yes</v>
          </cell>
          <cell r="AZ1787" t="str">
            <v>Y</v>
          </cell>
          <cell r="BA1787" t="str">
            <v>Yes</v>
          </cell>
        </row>
        <row r="1788">
          <cell r="B1788">
            <v>1638</v>
          </cell>
          <cell r="C1788" t="str">
            <v>C49SZX20220045SX</v>
          </cell>
          <cell r="D1788" t="str">
            <v>恒磊</v>
          </cell>
          <cell r="E1788" t="str">
            <v>YSM10</v>
          </cell>
          <cell r="I1788" t="str">
            <v>L-&gt;R</v>
          </cell>
          <cell r="J1788" t="str">
            <v>MVC</v>
          </cell>
          <cell r="K1788">
            <v>1</v>
          </cell>
          <cell r="N1788">
            <v>44713</v>
          </cell>
          <cell r="O1788">
            <v>11116762</v>
          </cell>
          <cell r="P1788">
            <v>9393000</v>
          </cell>
          <cell r="Q1788">
            <v>44712</v>
          </cell>
          <cell r="R1788" t="str">
            <v>No</v>
          </cell>
          <cell r="S1788" t="str">
            <v>C49</v>
          </cell>
          <cell r="T1788" t="str">
            <v>SOUTH</v>
          </cell>
          <cell r="U1788" t="str">
            <v>深圳</v>
          </cell>
          <cell r="V1788" t="str">
            <v>SZ 深圳</v>
          </cell>
          <cell r="W1788" t="str">
            <v>SX</v>
          </cell>
          <cell r="X1788" t="str">
            <v>JPY</v>
          </cell>
          <cell r="Y1788">
            <v>9393000</v>
          </cell>
          <cell r="Z1788">
            <v>1</v>
          </cell>
          <cell r="AA1788">
            <v>9393000</v>
          </cell>
          <cell r="AB1788">
            <v>6.54E-2</v>
          </cell>
          <cell r="AC1788">
            <v>614302.19999999995</v>
          </cell>
          <cell r="AD1788">
            <v>73716.263999999996</v>
          </cell>
          <cell r="AE1788">
            <v>0.12</v>
          </cell>
          <cell r="AF1788">
            <v>44664</v>
          </cell>
          <cell r="AG1788" t="str">
            <v>DDP SZ</v>
          </cell>
          <cell r="AK1788">
            <v>0.1</v>
          </cell>
          <cell r="AL1788">
            <v>939300</v>
          </cell>
          <cell r="AM1788">
            <v>44672</v>
          </cell>
          <cell r="AN1788" t="str">
            <v>Yes</v>
          </cell>
          <cell r="AO1788">
            <v>0.9</v>
          </cell>
          <cell r="AP1788">
            <v>8453700</v>
          </cell>
          <cell r="AQ1788">
            <v>44708</v>
          </cell>
          <cell r="AR1788">
            <v>44708</v>
          </cell>
          <cell r="AS1788">
            <v>0</v>
          </cell>
          <cell r="AT1788">
            <v>0</v>
          </cell>
          <cell r="AX1788" t="str">
            <v>Yes</v>
          </cell>
          <cell r="AZ1788" t="str">
            <v>Y</v>
          </cell>
          <cell r="BA1788" t="str">
            <v>Yes</v>
          </cell>
        </row>
        <row r="1789">
          <cell r="B1789">
            <v>1639</v>
          </cell>
          <cell r="C1789" t="str">
            <v>C49SZX20210097JL</v>
          </cell>
          <cell r="D1789" t="str">
            <v>金睿通</v>
          </cell>
          <cell r="E1789" t="str">
            <v>YSM20R-2</v>
          </cell>
          <cell r="F1789"/>
          <cell r="H1789"/>
          <cell r="I1789" t="str">
            <v>L-&gt;R</v>
          </cell>
          <cell r="J1789" t="str">
            <v>No</v>
          </cell>
          <cell r="K1789">
            <v>1</v>
          </cell>
          <cell r="L1789"/>
          <cell r="N1789"/>
          <cell r="O1789"/>
          <cell r="P1789"/>
          <cell r="Q1789"/>
          <cell r="R1789" t="str">
            <v>No</v>
          </cell>
          <cell r="S1789" t="str">
            <v>C49</v>
          </cell>
          <cell r="T1789" t="str">
            <v>SOUTH</v>
          </cell>
          <cell r="U1789" t="str">
            <v>深圳</v>
          </cell>
          <cell r="V1789" t="str">
            <v>SZ 深圳</v>
          </cell>
          <cell r="W1789" t="str">
            <v>JL</v>
          </cell>
          <cell r="X1789" t="str">
            <v>JPY</v>
          </cell>
          <cell r="Y1789">
            <v>11920000</v>
          </cell>
          <cell r="Z1789">
            <v>1</v>
          </cell>
          <cell r="AA1789">
            <v>11920000</v>
          </cell>
          <cell r="AB1789">
            <v>6.54E-2</v>
          </cell>
          <cell r="AC1789">
            <v>779568</v>
          </cell>
          <cell r="AD1789">
            <v>93548.160000000003</v>
          </cell>
          <cell r="AE1789">
            <v>0.12</v>
          </cell>
          <cell r="AF1789">
            <v>44285</v>
          </cell>
          <cell r="AG1789" t="str">
            <v>CIF HK</v>
          </cell>
          <cell r="AI1789"/>
          <cell r="AJ1789"/>
          <cell r="AK1789" t="str">
            <v>Agree</v>
          </cell>
          <cell r="AL1789"/>
          <cell r="AM1789">
            <v>44166</v>
          </cell>
          <cell r="AN1789" t="str">
            <v>Yes</v>
          </cell>
          <cell r="AO1789">
            <v>0.8</v>
          </cell>
          <cell r="AP1789">
            <v>9536000</v>
          </cell>
          <cell r="AQ1789"/>
          <cell r="AR1789"/>
          <cell r="AS1789">
            <v>0</v>
          </cell>
          <cell r="AT1789">
            <v>0</v>
          </cell>
          <cell r="AV1789"/>
          <cell r="AX1789"/>
          <cell r="AY1789"/>
          <cell r="AZ1789"/>
          <cell r="BA1789"/>
        </row>
        <row r="1790">
          <cell r="B1790">
            <v>1640</v>
          </cell>
          <cell r="C1790" t="str">
            <v>C49SZX20220124JL</v>
          </cell>
          <cell r="D1790" t="str">
            <v>金睿通</v>
          </cell>
          <cell r="E1790" t="str">
            <v>YSM20R-2</v>
          </cell>
          <cell r="I1790" t="str">
            <v>L-&gt;R</v>
          </cell>
          <cell r="J1790" t="str">
            <v>No</v>
          </cell>
          <cell r="K1790">
            <v>1</v>
          </cell>
          <cell r="N1790">
            <v>44956</v>
          </cell>
          <cell r="O1790">
            <v>11116818</v>
          </cell>
          <cell r="P1790">
            <v>10500000</v>
          </cell>
          <cell r="Q1790">
            <v>44943</v>
          </cell>
          <cell r="R1790" t="str">
            <v>No</v>
          </cell>
          <cell r="S1790" t="str">
            <v>C49</v>
          </cell>
          <cell r="T1790" t="str">
            <v>SOUTH</v>
          </cell>
          <cell r="U1790" t="str">
            <v>深圳</v>
          </cell>
          <cell r="V1790" t="str">
            <v>SZ 深圳</v>
          </cell>
          <cell r="W1790" t="str">
            <v>JL</v>
          </cell>
          <cell r="X1790" t="str">
            <v>JPY</v>
          </cell>
          <cell r="Y1790">
            <v>10500000</v>
          </cell>
          <cell r="Z1790">
            <v>1</v>
          </cell>
          <cell r="AA1790">
            <v>10500000</v>
          </cell>
          <cell r="AB1790">
            <v>6.54E-2</v>
          </cell>
          <cell r="AC1790">
            <v>686700</v>
          </cell>
          <cell r="AD1790">
            <v>82404</v>
          </cell>
          <cell r="AE1790">
            <v>0.12</v>
          </cell>
          <cell r="AF1790">
            <v>44895</v>
          </cell>
          <cell r="AG1790" t="str">
            <v>CIF HK</v>
          </cell>
          <cell r="AI1790"/>
          <cell r="AK1790"/>
          <cell r="AL1790" t="str">
            <v>JPY 784,088</v>
          </cell>
          <cell r="AM1790">
            <v>44166</v>
          </cell>
          <cell r="AN1790" t="str">
            <v>Yes</v>
          </cell>
          <cell r="AO1790">
            <v>0.8</v>
          </cell>
          <cell r="AP1790">
            <v>8400000</v>
          </cell>
          <cell r="AQ1790">
            <v>44929</v>
          </cell>
          <cell r="AR1790">
            <v>44929</v>
          </cell>
          <cell r="AS1790">
            <v>0</v>
          </cell>
          <cell r="AT1790">
            <v>0</v>
          </cell>
          <cell r="AX1790" t="str">
            <v>Yes</v>
          </cell>
          <cell r="AZ1790" t="str">
            <v>Y</v>
          </cell>
          <cell r="BA1790" t="str">
            <v>Yes</v>
          </cell>
        </row>
        <row r="1791">
          <cell r="B1791">
            <v>1641</v>
          </cell>
          <cell r="C1791" t="str">
            <v>C49SZX20220124JL</v>
          </cell>
          <cell r="D1791" t="str">
            <v>金睿通</v>
          </cell>
          <cell r="E1791" t="str">
            <v>YSM10</v>
          </cell>
          <cell r="I1791" t="str">
            <v>L-&gt;R</v>
          </cell>
          <cell r="J1791" t="str">
            <v>MVC</v>
          </cell>
          <cell r="K1791">
            <v>1</v>
          </cell>
          <cell r="N1791">
            <v>44956</v>
          </cell>
          <cell r="O1791">
            <v>11116818</v>
          </cell>
          <cell r="P1791">
            <v>6400000</v>
          </cell>
          <cell r="Q1791">
            <v>44943</v>
          </cell>
          <cell r="R1791" t="str">
            <v>No</v>
          </cell>
          <cell r="S1791" t="str">
            <v>C49</v>
          </cell>
          <cell r="T1791" t="str">
            <v>SOUTH</v>
          </cell>
          <cell r="U1791" t="str">
            <v>深圳</v>
          </cell>
          <cell r="V1791" t="str">
            <v>SZ 深圳</v>
          </cell>
          <cell r="W1791" t="str">
            <v>JL</v>
          </cell>
          <cell r="X1791" t="str">
            <v>JPY</v>
          </cell>
          <cell r="Y1791">
            <v>6400000</v>
          </cell>
          <cell r="Z1791">
            <v>1</v>
          </cell>
          <cell r="AA1791">
            <v>6400000</v>
          </cell>
          <cell r="AB1791">
            <v>6.54E-2</v>
          </cell>
          <cell r="AC1791">
            <v>418560</v>
          </cell>
          <cell r="AD1791">
            <v>50227.199999999997</v>
          </cell>
          <cell r="AE1791">
            <v>0.12</v>
          </cell>
          <cell r="AF1791">
            <v>44895</v>
          </cell>
          <cell r="AG1791" t="str">
            <v>CIF HK</v>
          </cell>
          <cell r="AI1791"/>
          <cell r="AK1791"/>
          <cell r="AL1791"/>
          <cell r="AM1791">
            <v>44166</v>
          </cell>
          <cell r="AN1791" t="str">
            <v>Yes</v>
          </cell>
          <cell r="AO1791">
            <v>0.8</v>
          </cell>
          <cell r="AP1791">
            <v>5120000</v>
          </cell>
          <cell r="AQ1791">
            <v>44929</v>
          </cell>
          <cell r="AR1791">
            <v>44929</v>
          </cell>
          <cell r="AS1791">
            <v>0</v>
          </cell>
          <cell r="AT1791">
            <v>0</v>
          </cell>
          <cell r="AX1791" t="str">
            <v>Yes</v>
          </cell>
          <cell r="AZ1791" t="str">
            <v>Y</v>
          </cell>
          <cell r="BA1791" t="str">
            <v>Yes</v>
          </cell>
        </row>
        <row r="1792">
          <cell r="B1792">
            <v>1642</v>
          </cell>
          <cell r="C1792" t="str">
            <v>C49SZX20210097JL</v>
          </cell>
          <cell r="D1792" t="str">
            <v>金睿通</v>
          </cell>
          <cell r="E1792" t="str">
            <v>YSM10</v>
          </cell>
          <cell r="F1792"/>
          <cell r="H1792"/>
          <cell r="I1792" t="str">
            <v>L-&gt;R</v>
          </cell>
          <cell r="J1792" t="str">
            <v>MVC</v>
          </cell>
          <cell r="K1792">
            <v>1</v>
          </cell>
          <cell r="L1792"/>
          <cell r="N1792"/>
          <cell r="O1792"/>
          <cell r="P1792"/>
          <cell r="Q1792"/>
          <cell r="R1792" t="str">
            <v>No</v>
          </cell>
          <cell r="S1792" t="str">
            <v>C49</v>
          </cell>
          <cell r="T1792" t="str">
            <v>SOUTH</v>
          </cell>
          <cell r="U1792" t="str">
            <v>深圳</v>
          </cell>
          <cell r="V1792" t="str">
            <v>SZ 深圳</v>
          </cell>
          <cell r="W1792" t="str">
            <v>JL</v>
          </cell>
          <cell r="X1792" t="str">
            <v>JPY</v>
          </cell>
          <cell r="Y1792">
            <v>7920000</v>
          </cell>
          <cell r="Z1792">
            <v>1</v>
          </cell>
          <cell r="AA1792">
            <v>7920000</v>
          </cell>
          <cell r="AB1792">
            <v>6.54E-2</v>
          </cell>
          <cell r="AC1792">
            <v>517968</v>
          </cell>
          <cell r="AD1792">
            <v>62156.159999999996</v>
          </cell>
          <cell r="AE1792">
            <v>0.12</v>
          </cell>
          <cell r="AF1792">
            <v>44285</v>
          </cell>
          <cell r="AG1792" t="str">
            <v>CIF HK</v>
          </cell>
          <cell r="AI1792"/>
          <cell r="AJ1792"/>
          <cell r="AK1792"/>
          <cell r="AL1792"/>
          <cell r="AM1792">
            <v>44166</v>
          </cell>
          <cell r="AN1792" t="str">
            <v>Yes</v>
          </cell>
          <cell r="AO1792">
            <v>0.8</v>
          </cell>
          <cell r="AP1792">
            <v>6336000</v>
          </cell>
          <cell r="AQ1792"/>
          <cell r="AR1792"/>
          <cell r="AS1792">
            <v>0</v>
          </cell>
          <cell r="AT1792">
            <v>0</v>
          </cell>
          <cell r="AV1792"/>
          <cell r="AX1792"/>
          <cell r="AY1792"/>
          <cell r="AZ1792"/>
          <cell r="BA1792"/>
        </row>
        <row r="1793">
          <cell r="B1793">
            <v>1643</v>
          </cell>
          <cell r="C1793" t="str">
            <v>C49SZX20220046JL</v>
          </cell>
          <cell r="D1793" t="str">
            <v>快宇</v>
          </cell>
          <cell r="E1793" t="str">
            <v>YSM20R-2</v>
          </cell>
          <cell r="I1793" t="str">
            <v>L-&gt;R</v>
          </cell>
          <cell r="J1793" t="str">
            <v>No</v>
          </cell>
          <cell r="K1793">
            <v>1</v>
          </cell>
          <cell r="N1793">
            <v>44726</v>
          </cell>
          <cell r="O1793">
            <v>11116770</v>
          </cell>
          <cell r="P1793">
            <v>11300000</v>
          </cell>
          <cell r="Q1793">
            <v>44729</v>
          </cell>
          <cell r="R1793" t="str">
            <v>No</v>
          </cell>
          <cell r="S1793" t="str">
            <v>C49</v>
          </cell>
          <cell r="T1793" t="str">
            <v>SOUTH</v>
          </cell>
          <cell r="U1793" t="str">
            <v>深圳</v>
          </cell>
          <cell r="V1793" t="str">
            <v>SZ 深圳</v>
          </cell>
          <cell r="W1793" t="str">
            <v>JL</v>
          </cell>
          <cell r="X1793" t="str">
            <v>JPY</v>
          </cell>
          <cell r="Y1793">
            <v>11300000</v>
          </cell>
          <cell r="Z1793">
            <v>1</v>
          </cell>
          <cell r="AA1793">
            <v>11300000</v>
          </cell>
          <cell r="AB1793">
            <v>6.54E-2</v>
          </cell>
          <cell r="AC1793">
            <v>739020</v>
          </cell>
          <cell r="AD1793">
            <v>88682.4</v>
          </cell>
          <cell r="AE1793">
            <v>0.12</v>
          </cell>
          <cell r="AF1793">
            <v>44669</v>
          </cell>
          <cell r="AG1793" t="str">
            <v>DAP SZ</v>
          </cell>
          <cell r="AK1793">
            <v>0.1</v>
          </cell>
          <cell r="AL1793">
            <v>1130000</v>
          </cell>
          <cell r="AM1793">
            <v>44697</v>
          </cell>
          <cell r="AN1793" t="str">
            <v>Yes</v>
          </cell>
          <cell r="AO1793">
            <v>0.9</v>
          </cell>
          <cell r="AP1793">
            <v>10170000</v>
          </cell>
          <cell r="AQ1793">
            <v>44721</v>
          </cell>
          <cell r="AR1793">
            <v>44721</v>
          </cell>
          <cell r="AS1793">
            <v>0</v>
          </cell>
          <cell r="AT1793">
            <v>0</v>
          </cell>
          <cell r="AX1793" t="str">
            <v>Yes</v>
          </cell>
          <cell r="AZ1793" t="str">
            <v>Y</v>
          </cell>
          <cell r="BA1793" t="str">
            <v>Yes</v>
          </cell>
        </row>
        <row r="1794">
          <cell r="B1794">
            <v>1644</v>
          </cell>
          <cell r="C1794" t="str">
            <v>C49SZX20220046JL</v>
          </cell>
          <cell r="D1794" t="str">
            <v>快宇</v>
          </cell>
          <cell r="E1794" t="str">
            <v>YSM20R-2</v>
          </cell>
          <cell r="I1794" t="str">
            <v>L-&gt;R</v>
          </cell>
          <cell r="J1794" t="str">
            <v>No</v>
          </cell>
          <cell r="K1794">
            <v>1</v>
          </cell>
          <cell r="N1794">
            <v>44785</v>
          </cell>
          <cell r="O1794">
            <v>11116795</v>
          </cell>
          <cell r="P1794">
            <v>11300000</v>
          </cell>
          <cell r="Q1794">
            <v>44790</v>
          </cell>
          <cell r="R1794" t="str">
            <v>No</v>
          </cell>
          <cell r="S1794" t="str">
            <v>C49</v>
          </cell>
          <cell r="T1794" t="str">
            <v>SOUTH</v>
          </cell>
          <cell r="U1794" t="str">
            <v>深圳</v>
          </cell>
          <cell r="V1794" t="str">
            <v>SZ 深圳</v>
          </cell>
          <cell r="W1794" t="str">
            <v>JL</v>
          </cell>
          <cell r="X1794" t="str">
            <v>JPY</v>
          </cell>
          <cell r="Y1794">
            <v>11300000</v>
          </cell>
          <cell r="Z1794">
            <v>1</v>
          </cell>
          <cell r="AA1794">
            <v>11300000</v>
          </cell>
          <cell r="AB1794">
            <v>6.54E-2</v>
          </cell>
          <cell r="AC1794">
            <v>739020</v>
          </cell>
          <cell r="AD1794">
            <v>88682.4</v>
          </cell>
          <cell r="AE1794">
            <v>0.12</v>
          </cell>
          <cell r="AF1794">
            <v>44669</v>
          </cell>
          <cell r="AG1794" t="str">
            <v>DAP SZ</v>
          </cell>
          <cell r="AK1794">
            <v>0.1</v>
          </cell>
          <cell r="AL1794">
            <v>1130000</v>
          </cell>
          <cell r="AM1794">
            <v>44697</v>
          </cell>
          <cell r="AN1794" t="str">
            <v>Yes</v>
          </cell>
          <cell r="AO1794">
            <v>0.9</v>
          </cell>
          <cell r="AP1794">
            <v>10170000</v>
          </cell>
          <cell r="AQ1794">
            <v>44783</v>
          </cell>
          <cell r="AR1794">
            <v>44783</v>
          </cell>
          <cell r="AS1794">
            <v>0</v>
          </cell>
          <cell r="AT1794">
            <v>0</v>
          </cell>
          <cell r="AX1794" t="str">
            <v>Yes</v>
          </cell>
          <cell r="AZ1794" t="str">
            <v>Y</v>
          </cell>
          <cell r="BA1794" t="str">
            <v>Yes</v>
          </cell>
        </row>
        <row r="1795">
          <cell r="B1795">
            <v>1645</v>
          </cell>
          <cell r="C1795" t="str">
            <v>C49SZX20220046JL</v>
          </cell>
          <cell r="D1795" t="str">
            <v>快宇</v>
          </cell>
          <cell r="E1795" t="str">
            <v>YSM10</v>
          </cell>
          <cell r="I1795" t="str">
            <v>L-&gt;R</v>
          </cell>
          <cell r="J1795" t="str">
            <v>MVC</v>
          </cell>
          <cell r="K1795">
            <v>1</v>
          </cell>
          <cell r="N1795">
            <v>44726</v>
          </cell>
          <cell r="O1795">
            <v>11116770</v>
          </cell>
          <cell r="P1795">
            <v>7000000</v>
          </cell>
          <cell r="Q1795">
            <v>44729</v>
          </cell>
          <cell r="R1795" t="str">
            <v>No</v>
          </cell>
          <cell r="S1795" t="str">
            <v>C49</v>
          </cell>
          <cell r="T1795" t="str">
            <v>SOUTH</v>
          </cell>
          <cell r="U1795" t="str">
            <v>深圳</v>
          </cell>
          <cell r="V1795" t="str">
            <v>SZ 深圳</v>
          </cell>
          <cell r="W1795" t="str">
            <v>JL</v>
          </cell>
          <cell r="X1795" t="str">
            <v>JPY</v>
          </cell>
          <cell r="Y1795">
            <v>7000000</v>
          </cell>
          <cell r="Z1795">
            <v>1</v>
          </cell>
          <cell r="AA1795">
            <v>7000000</v>
          </cell>
          <cell r="AB1795">
            <v>6.54E-2</v>
          </cell>
          <cell r="AC1795">
            <v>457800</v>
          </cell>
          <cell r="AD1795">
            <v>54936</v>
          </cell>
          <cell r="AE1795">
            <v>0.12</v>
          </cell>
          <cell r="AF1795">
            <v>44669</v>
          </cell>
          <cell r="AG1795" t="str">
            <v>DAP SZ</v>
          </cell>
          <cell r="AK1795">
            <v>0.1</v>
          </cell>
          <cell r="AL1795">
            <v>700000</v>
          </cell>
          <cell r="AM1795">
            <v>44697</v>
          </cell>
          <cell r="AN1795" t="str">
            <v>Yes</v>
          </cell>
          <cell r="AO1795">
            <v>0.9</v>
          </cell>
          <cell r="AP1795">
            <v>6300000</v>
          </cell>
          <cell r="AQ1795">
            <v>44783</v>
          </cell>
          <cell r="AR1795">
            <v>44783</v>
          </cell>
          <cell r="AS1795">
            <v>0</v>
          </cell>
          <cell r="AT1795">
            <v>0</v>
          </cell>
          <cell r="AX1795" t="str">
            <v>Yes</v>
          </cell>
          <cell r="AZ1795" t="str">
            <v>Y</v>
          </cell>
          <cell r="BA1795" t="str">
            <v>Yes</v>
          </cell>
        </row>
        <row r="1796">
          <cell r="B1796">
            <v>1646</v>
          </cell>
          <cell r="C1796" t="str">
            <v>C49SZX20220046JL</v>
          </cell>
          <cell r="D1796" t="str">
            <v>快宇</v>
          </cell>
          <cell r="E1796" t="str">
            <v>YSM10</v>
          </cell>
          <cell r="I1796" t="str">
            <v>L-&gt;R</v>
          </cell>
          <cell r="J1796" t="str">
            <v>MVC</v>
          </cell>
          <cell r="K1796">
            <v>1</v>
          </cell>
          <cell r="N1796">
            <v>44785</v>
          </cell>
          <cell r="O1796">
            <v>11116795</v>
          </cell>
          <cell r="P1796">
            <v>7000000</v>
          </cell>
          <cell r="Q1796">
            <v>44790</v>
          </cell>
          <cell r="R1796" t="str">
            <v>No</v>
          </cell>
          <cell r="S1796" t="str">
            <v>C49</v>
          </cell>
          <cell r="T1796" t="str">
            <v>SOUTH</v>
          </cell>
          <cell r="U1796" t="str">
            <v>深圳</v>
          </cell>
          <cell r="V1796" t="str">
            <v>SZ 深圳</v>
          </cell>
          <cell r="W1796" t="str">
            <v>JL</v>
          </cell>
          <cell r="X1796" t="str">
            <v>JPY</v>
          </cell>
          <cell r="Y1796">
            <v>7000000</v>
          </cell>
          <cell r="Z1796">
            <v>1</v>
          </cell>
          <cell r="AA1796">
            <v>7000000</v>
          </cell>
          <cell r="AB1796">
            <v>6.54E-2</v>
          </cell>
          <cell r="AC1796">
            <v>457800</v>
          </cell>
          <cell r="AD1796">
            <v>54936</v>
          </cell>
          <cell r="AE1796">
            <v>0.12</v>
          </cell>
          <cell r="AF1796">
            <v>44669</v>
          </cell>
          <cell r="AG1796" t="str">
            <v>DAP SZ</v>
          </cell>
          <cell r="AK1796">
            <v>0.1</v>
          </cell>
          <cell r="AL1796">
            <v>700000</v>
          </cell>
          <cell r="AM1796">
            <v>44697</v>
          </cell>
          <cell r="AN1796" t="str">
            <v>Yes</v>
          </cell>
          <cell r="AO1796">
            <v>0.9</v>
          </cell>
          <cell r="AP1796">
            <v>6300000</v>
          </cell>
          <cell r="AQ1796">
            <v>44721</v>
          </cell>
          <cell r="AR1796">
            <v>44721</v>
          </cell>
          <cell r="AS1796">
            <v>0</v>
          </cell>
          <cell r="AT1796">
            <v>0</v>
          </cell>
          <cell r="AX1796" t="str">
            <v>Yes</v>
          </cell>
          <cell r="AZ1796" t="str">
            <v>Y</v>
          </cell>
          <cell r="BA1796" t="str">
            <v>Yes</v>
          </cell>
        </row>
        <row r="1797">
          <cell r="B1797">
            <v>1647</v>
          </cell>
          <cell r="C1797" t="str">
            <v>C49SZX20220047JL</v>
          </cell>
          <cell r="D1797" t="str">
            <v>快宇</v>
          </cell>
          <cell r="E1797" t="str">
            <v>YSM20R-2</v>
          </cell>
          <cell r="F1797"/>
          <cell r="H1797"/>
          <cell r="I1797" t="str">
            <v>L-&gt;R</v>
          </cell>
          <cell r="J1797" t="str">
            <v>No</v>
          </cell>
          <cell r="K1797">
            <v>1</v>
          </cell>
          <cell r="L1797"/>
          <cell r="N1797"/>
          <cell r="O1797"/>
          <cell r="P1797"/>
          <cell r="Q1797"/>
          <cell r="R1797" t="str">
            <v>No</v>
          </cell>
          <cell r="S1797" t="str">
            <v>C49</v>
          </cell>
          <cell r="T1797" t="str">
            <v>SOUTH</v>
          </cell>
          <cell r="U1797" t="str">
            <v>深圳</v>
          </cell>
          <cell r="V1797" t="str">
            <v>SZ 深圳</v>
          </cell>
          <cell r="W1797" t="str">
            <v>JL</v>
          </cell>
          <cell r="X1797" t="str">
            <v>JPY</v>
          </cell>
          <cell r="Y1797">
            <v>13000000</v>
          </cell>
          <cell r="Z1797">
            <v>1</v>
          </cell>
          <cell r="AA1797">
            <v>13000000</v>
          </cell>
          <cell r="AB1797">
            <v>6.54E-2</v>
          </cell>
          <cell r="AC1797">
            <v>850200</v>
          </cell>
          <cell r="AD1797">
            <v>102024</v>
          </cell>
          <cell r="AE1797">
            <v>0.12</v>
          </cell>
          <cell r="AF1797">
            <v>44669</v>
          </cell>
          <cell r="AG1797" t="str">
            <v>DAP SZ</v>
          </cell>
          <cell r="AI1797"/>
          <cell r="AJ1797"/>
          <cell r="AK1797">
            <v>0.2</v>
          </cell>
          <cell r="AL1797">
            <v>2600000</v>
          </cell>
          <cell r="AM1797"/>
          <cell r="AN1797" t="str">
            <v>No</v>
          </cell>
          <cell r="AO1797">
            <v>0.8</v>
          </cell>
          <cell r="AP1797">
            <v>10400000</v>
          </cell>
          <cell r="AQ1797"/>
          <cell r="AR1797"/>
          <cell r="AS1797">
            <v>0</v>
          </cell>
          <cell r="AT1797">
            <v>0</v>
          </cell>
          <cell r="AV1797"/>
          <cell r="AX1797" t="str">
            <v>Cancel</v>
          </cell>
          <cell r="AY1797"/>
          <cell r="AZ1797"/>
          <cell r="BA1797" t="str">
            <v>Cancel</v>
          </cell>
          <cell r="BB1797" t="str">
            <v>2023-3-31Ken邮件通知</v>
          </cell>
        </row>
        <row r="1798">
          <cell r="B1798">
            <v>1648</v>
          </cell>
          <cell r="C1798" t="str">
            <v>C49SZX20220047JL</v>
          </cell>
          <cell r="D1798" t="str">
            <v>快宇</v>
          </cell>
          <cell r="E1798" t="str">
            <v>YSM20R-2</v>
          </cell>
          <cell r="F1798"/>
          <cell r="H1798"/>
          <cell r="I1798" t="str">
            <v>L-&gt;R</v>
          </cell>
          <cell r="J1798" t="str">
            <v>No</v>
          </cell>
          <cell r="K1798">
            <v>1</v>
          </cell>
          <cell r="L1798"/>
          <cell r="N1798"/>
          <cell r="O1798"/>
          <cell r="P1798"/>
          <cell r="Q1798"/>
          <cell r="R1798" t="str">
            <v>No</v>
          </cell>
          <cell r="S1798" t="str">
            <v>C49</v>
          </cell>
          <cell r="T1798" t="str">
            <v>SOUTH</v>
          </cell>
          <cell r="U1798" t="str">
            <v>深圳</v>
          </cell>
          <cell r="V1798" t="str">
            <v>SZ 深圳</v>
          </cell>
          <cell r="W1798" t="str">
            <v>JL</v>
          </cell>
          <cell r="X1798" t="str">
            <v>JPY</v>
          </cell>
          <cell r="Y1798">
            <v>13000000</v>
          </cell>
          <cell r="Z1798">
            <v>1</v>
          </cell>
          <cell r="AA1798">
            <v>13000000</v>
          </cell>
          <cell r="AB1798">
            <v>6.54E-2</v>
          </cell>
          <cell r="AC1798">
            <v>850200</v>
          </cell>
          <cell r="AD1798">
            <v>102024</v>
          </cell>
          <cell r="AE1798">
            <v>0.12</v>
          </cell>
          <cell r="AF1798">
            <v>44669</v>
          </cell>
          <cell r="AG1798" t="str">
            <v>DAP SZ</v>
          </cell>
          <cell r="AI1798"/>
          <cell r="AJ1798"/>
          <cell r="AK1798">
            <v>0.2</v>
          </cell>
          <cell r="AL1798">
            <v>2600000</v>
          </cell>
          <cell r="AM1798"/>
          <cell r="AN1798" t="str">
            <v>No</v>
          </cell>
          <cell r="AO1798">
            <v>0.8</v>
          </cell>
          <cell r="AP1798">
            <v>10400000</v>
          </cell>
          <cell r="AQ1798"/>
          <cell r="AR1798"/>
          <cell r="AS1798">
            <v>0</v>
          </cell>
          <cell r="AT1798">
            <v>0</v>
          </cell>
          <cell r="AV1798"/>
          <cell r="AX1798" t="str">
            <v>Cancel</v>
          </cell>
          <cell r="AY1798"/>
          <cell r="AZ1798"/>
          <cell r="BA1798" t="str">
            <v>Cancel</v>
          </cell>
          <cell r="BB1798" t="str">
            <v>2023-3-31Ken邮件通知</v>
          </cell>
        </row>
        <row r="1799">
          <cell r="B1799">
            <v>1649</v>
          </cell>
          <cell r="C1799" t="str">
            <v>C49SZX20220047JL</v>
          </cell>
          <cell r="D1799" t="str">
            <v>快宇</v>
          </cell>
          <cell r="E1799" t="str">
            <v>YSM10</v>
          </cell>
          <cell r="F1799"/>
          <cell r="H1799"/>
          <cell r="I1799" t="str">
            <v>L-&gt;R</v>
          </cell>
          <cell r="J1799" t="str">
            <v>MVC</v>
          </cell>
          <cell r="K1799">
            <v>1</v>
          </cell>
          <cell r="L1799"/>
          <cell r="N1799"/>
          <cell r="O1799"/>
          <cell r="P1799"/>
          <cell r="Q1799"/>
          <cell r="R1799" t="str">
            <v>No</v>
          </cell>
          <cell r="S1799" t="str">
            <v>C49</v>
          </cell>
          <cell r="T1799" t="str">
            <v>SOUTH</v>
          </cell>
          <cell r="U1799" t="str">
            <v>深圳</v>
          </cell>
          <cell r="V1799" t="str">
            <v>SZ 深圳</v>
          </cell>
          <cell r="W1799" t="str">
            <v>JL</v>
          </cell>
          <cell r="X1799" t="str">
            <v>JPY</v>
          </cell>
          <cell r="Y1799">
            <v>8300000</v>
          </cell>
          <cell r="Z1799">
            <v>1</v>
          </cell>
          <cell r="AA1799">
            <v>8300000</v>
          </cell>
          <cell r="AB1799">
            <v>6.54E-2</v>
          </cell>
          <cell r="AC1799">
            <v>542820</v>
          </cell>
          <cell r="AD1799">
            <v>65138.399999999994</v>
          </cell>
          <cell r="AE1799">
            <v>0.12</v>
          </cell>
          <cell r="AF1799">
            <v>44669</v>
          </cell>
          <cell r="AG1799" t="str">
            <v>DAP SZ</v>
          </cell>
          <cell r="AI1799"/>
          <cell r="AJ1799"/>
          <cell r="AK1799">
            <v>0.2</v>
          </cell>
          <cell r="AL1799">
            <v>1660000</v>
          </cell>
          <cell r="AM1799"/>
          <cell r="AN1799" t="str">
            <v>No</v>
          </cell>
          <cell r="AO1799">
            <v>0.8</v>
          </cell>
          <cell r="AP1799">
            <v>6640000</v>
          </cell>
          <cell r="AQ1799"/>
          <cell r="AR1799"/>
          <cell r="AS1799">
            <v>0</v>
          </cell>
          <cell r="AT1799">
            <v>0</v>
          </cell>
          <cell r="AV1799"/>
          <cell r="AX1799" t="str">
            <v>Cancel</v>
          </cell>
          <cell r="AY1799"/>
          <cell r="AZ1799"/>
          <cell r="BA1799" t="str">
            <v>Cancel</v>
          </cell>
          <cell r="BB1799" t="str">
            <v>2023-3-31Ken邮件通知</v>
          </cell>
        </row>
        <row r="1800">
          <cell r="B1800">
            <v>1650</v>
          </cell>
          <cell r="C1800" t="str">
            <v>C49SZX20220047JL</v>
          </cell>
          <cell r="D1800" t="str">
            <v>快宇</v>
          </cell>
          <cell r="E1800" t="str">
            <v>YSM10</v>
          </cell>
          <cell r="F1800"/>
          <cell r="H1800"/>
          <cell r="I1800" t="str">
            <v>L-&gt;R</v>
          </cell>
          <cell r="J1800" t="str">
            <v>MVC</v>
          </cell>
          <cell r="K1800">
            <v>1</v>
          </cell>
          <cell r="L1800"/>
          <cell r="N1800"/>
          <cell r="O1800"/>
          <cell r="P1800"/>
          <cell r="Q1800"/>
          <cell r="R1800" t="str">
            <v>No</v>
          </cell>
          <cell r="S1800" t="str">
            <v>C49</v>
          </cell>
          <cell r="T1800" t="str">
            <v>SOUTH</v>
          </cell>
          <cell r="U1800" t="str">
            <v>深圳</v>
          </cell>
          <cell r="V1800" t="str">
            <v>SZ 深圳</v>
          </cell>
          <cell r="W1800" t="str">
            <v>JL</v>
          </cell>
          <cell r="X1800" t="str">
            <v>JPY</v>
          </cell>
          <cell r="Y1800">
            <v>8300000</v>
          </cell>
          <cell r="Z1800">
            <v>1</v>
          </cell>
          <cell r="AA1800">
            <v>8300000</v>
          </cell>
          <cell r="AB1800">
            <v>6.54E-2</v>
          </cell>
          <cell r="AC1800">
            <v>542820</v>
          </cell>
          <cell r="AD1800">
            <v>65138.399999999994</v>
          </cell>
          <cell r="AE1800">
            <v>0.12</v>
          </cell>
          <cell r="AF1800">
            <v>44669</v>
          </cell>
          <cell r="AG1800" t="str">
            <v>DAP SZ</v>
          </cell>
          <cell r="AI1800"/>
          <cell r="AJ1800"/>
          <cell r="AK1800">
            <v>0.2</v>
          </cell>
          <cell r="AL1800">
            <v>1660000</v>
          </cell>
          <cell r="AM1800"/>
          <cell r="AN1800" t="str">
            <v>No</v>
          </cell>
          <cell r="AO1800">
            <v>0.8</v>
          </cell>
          <cell r="AP1800">
            <v>6640000</v>
          </cell>
          <cell r="AQ1800"/>
          <cell r="AR1800"/>
          <cell r="AS1800">
            <v>0</v>
          </cell>
          <cell r="AT1800">
            <v>0</v>
          </cell>
          <cell r="AV1800"/>
          <cell r="AX1800" t="str">
            <v>Cancel</v>
          </cell>
          <cell r="AY1800"/>
          <cell r="AZ1800"/>
          <cell r="BA1800" t="str">
            <v>Cancel</v>
          </cell>
          <cell r="BB1800" t="str">
            <v>2023-3-31Ken邮件通知</v>
          </cell>
        </row>
        <row r="1801">
          <cell r="B1801">
            <v>1651</v>
          </cell>
          <cell r="C1801" t="str">
            <v>C49SZX20220048SX</v>
          </cell>
          <cell r="D1801" t="str">
            <v>志华鑫</v>
          </cell>
          <cell r="E1801" t="str">
            <v>YSM10</v>
          </cell>
          <cell r="I1801" t="str">
            <v>R-&gt;L</v>
          </cell>
          <cell r="J1801" t="str">
            <v>MVC</v>
          </cell>
          <cell r="K1801">
            <v>1</v>
          </cell>
          <cell r="N1801">
            <v>44714</v>
          </cell>
          <cell r="O1801">
            <v>11100539</v>
          </cell>
          <cell r="P1801">
            <v>490000</v>
          </cell>
          <cell r="Q1801">
            <v>44734</v>
          </cell>
          <cell r="R1801" t="str">
            <v>No</v>
          </cell>
          <cell r="S1801" t="str">
            <v>C49</v>
          </cell>
          <cell r="T1801" t="str">
            <v>SOUTH</v>
          </cell>
          <cell r="U1801" t="str">
            <v>深圳</v>
          </cell>
          <cell r="V1801" t="str">
            <v>SZ 深圳</v>
          </cell>
          <cell r="W1801" t="str">
            <v>SX</v>
          </cell>
          <cell r="X1801" t="str">
            <v>RMB</v>
          </cell>
          <cell r="Y1801">
            <v>490000</v>
          </cell>
          <cell r="Z1801">
            <v>1.1299999999999999</v>
          </cell>
          <cell r="AA1801">
            <v>490000</v>
          </cell>
          <cell r="AB1801">
            <v>1.22</v>
          </cell>
          <cell r="AC1801">
            <v>529026.54867256642</v>
          </cell>
          <cell r="AD1801">
            <v>63483.185840707971</v>
          </cell>
          <cell r="AE1801">
            <v>0.12</v>
          </cell>
          <cell r="AF1801">
            <v>44671</v>
          </cell>
          <cell r="AG1801" t="str">
            <v>DDP SZ</v>
          </cell>
          <cell r="AK1801">
            <v>0.1</v>
          </cell>
          <cell r="AL1801">
            <v>50000</v>
          </cell>
          <cell r="AM1801">
            <v>44677</v>
          </cell>
          <cell r="AN1801" t="str">
            <v>Yes</v>
          </cell>
          <cell r="AO1801">
            <v>0.9</v>
          </cell>
          <cell r="AP1801">
            <v>441000</v>
          </cell>
          <cell r="AQ1801">
            <v>44711</v>
          </cell>
          <cell r="AR1801">
            <v>44711</v>
          </cell>
          <cell r="AS1801">
            <v>0</v>
          </cell>
          <cell r="AT1801">
            <v>0</v>
          </cell>
          <cell r="AX1801" t="str">
            <v>Yes</v>
          </cell>
          <cell r="AZ1801" t="str">
            <v>Y</v>
          </cell>
          <cell r="BA1801" t="str">
            <v>Yes</v>
          </cell>
        </row>
        <row r="1802">
          <cell r="B1802">
            <v>1652</v>
          </cell>
          <cell r="C1802" t="str">
            <v>C49SZX20220049JY</v>
          </cell>
          <cell r="D1802" t="str">
            <v>辉拓</v>
          </cell>
          <cell r="E1802" t="str">
            <v>YSM20R-2</v>
          </cell>
          <cell r="I1802" t="str">
            <v>L-&gt;R</v>
          </cell>
          <cell r="J1802" t="str">
            <v>MVC</v>
          </cell>
          <cell r="K1802">
            <v>1</v>
          </cell>
          <cell r="R1802" t="str">
            <v>No</v>
          </cell>
          <cell r="S1802" t="str">
            <v>C49</v>
          </cell>
          <cell r="T1802" t="str">
            <v>SOUTH</v>
          </cell>
          <cell r="U1802" t="str">
            <v>深圳</v>
          </cell>
          <cell r="V1802" t="str">
            <v>SZ 深圳</v>
          </cell>
          <cell r="W1802" t="str">
            <v>JY</v>
          </cell>
          <cell r="X1802" t="str">
            <v>JPY</v>
          </cell>
          <cell r="Y1802">
            <v>13900000</v>
          </cell>
          <cell r="Z1802">
            <v>1</v>
          </cell>
          <cell r="AA1802">
            <v>13900000</v>
          </cell>
          <cell r="AB1802">
            <v>6.54E-2</v>
          </cell>
          <cell r="AC1802">
            <v>909060</v>
          </cell>
          <cell r="AD1802">
            <v>109087.2</v>
          </cell>
          <cell r="AE1802">
            <v>0.12</v>
          </cell>
          <cell r="AF1802">
            <v>44672</v>
          </cell>
          <cell r="AG1802" t="str">
            <v>CIF HK</v>
          </cell>
          <cell r="AK1802">
            <v>0.1</v>
          </cell>
          <cell r="AL1802">
            <v>1390000</v>
          </cell>
          <cell r="AM1802">
            <v>44677</v>
          </cell>
          <cell r="AN1802" t="str">
            <v>Yes</v>
          </cell>
          <cell r="AO1802">
            <v>0.9</v>
          </cell>
          <cell r="AP1802">
            <v>12510000</v>
          </cell>
          <cell r="AS1802">
            <v>0</v>
          </cell>
          <cell r="AT1802">
            <v>0</v>
          </cell>
        </row>
        <row r="1803">
          <cell r="B1803">
            <v>1653</v>
          </cell>
          <cell r="C1803" t="str">
            <v>C49SZX20220049JY</v>
          </cell>
          <cell r="D1803" t="str">
            <v>辉拓</v>
          </cell>
          <cell r="E1803" t="str">
            <v>YSM20R-2</v>
          </cell>
          <cell r="I1803" t="str">
            <v>L-&gt;R</v>
          </cell>
          <cell r="J1803" t="str">
            <v>No</v>
          </cell>
          <cell r="K1803">
            <v>1</v>
          </cell>
          <cell r="R1803" t="str">
            <v>No</v>
          </cell>
          <cell r="S1803" t="str">
            <v>C49</v>
          </cell>
          <cell r="T1803" t="str">
            <v>SOUTH</v>
          </cell>
          <cell r="U1803" t="str">
            <v>深圳</v>
          </cell>
          <cell r="V1803" t="str">
            <v>SZ 深圳</v>
          </cell>
          <cell r="W1803" t="str">
            <v>JY</v>
          </cell>
          <cell r="X1803" t="str">
            <v>JPY</v>
          </cell>
          <cell r="Y1803">
            <v>13900000</v>
          </cell>
          <cell r="Z1803">
            <v>1</v>
          </cell>
          <cell r="AA1803">
            <v>13900000</v>
          </cell>
          <cell r="AB1803">
            <v>6.54E-2</v>
          </cell>
          <cell r="AC1803">
            <v>909060</v>
          </cell>
          <cell r="AD1803">
            <v>109087.2</v>
          </cell>
          <cell r="AE1803">
            <v>0.12</v>
          </cell>
          <cell r="AF1803">
            <v>44672</v>
          </cell>
          <cell r="AG1803" t="str">
            <v>CIF HK</v>
          </cell>
          <cell r="AK1803">
            <v>0.1</v>
          </cell>
          <cell r="AL1803">
            <v>1390000</v>
          </cell>
          <cell r="AM1803">
            <v>44677</v>
          </cell>
          <cell r="AN1803" t="str">
            <v>Yes</v>
          </cell>
          <cell r="AO1803">
            <v>0.9</v>
          </cell>
          <cell r="AP1803">
            <v>12510000</v>
          </cell>
          <cell r="AS1803">
            <v>0</v>
          </cell>
          <cell r="AT1803">
            <v>0</v>
          </cell>
        </row>
        <row r="1804">
          <cell r="B1804">
            <v>1654</v>
          </cell>
          <cell r="C1804" t="str">
            <v>C49SZX20220049JY</v>
          </cell>
          <cell r="D1804" t="str">
            <v>辉拓</v>
          </cell>
          <cell r="E1804" t="str">
            <v>YSM20R-2</v>
          </cell>
          <cell r="I1804" t="str">
            <v>L-&gt;R</v>
          </cell>
          <cell r="J1804" t="str">
            <v>No</v>
          </cell>
          <cell r="K1804">
            <v>1</v>
          </cell>
          <cell r="N1804">
            <v>44789</v>
          </cell>
          <cell r="O1804">
            <v>11116794</v>
          </cell>
          <cell r="P1804">
            <v>13900000</v>
          </cell>
          <cell r="Q1804">
            <v>44789</v>
          </cell>
          <cell r="R1804" t="str">
            <v>No</v>
          </cell>
          <cell r="S1804" t="str">
            <v>C49</v>
          </cell>
          <cell r="T1804" t="str">
            <v>SOUTH</v>
          </cell>
          <cell r="U1804" t="str">
            <v>深圳</v>
          </cell>
          <cell r="V1804" t="str">
            <v>SZ 深圳</v>
          </cell>
          <cell r="W1804" t="str">
            <v>JY</v>
          </cell>
          <cell r="X1804" t="str">
            <v>JPY</v>
          </cell>
          <cell r="Y1804">
            <v>13900000</v>
          </cell>
          <cell r="Z1804">
            <v>1</v>
          </cell>
          <cell r="AA1804">
            <v>13900000</v>
          </cell>
          <cell r="AB1804">
            <v>6.54E-2</v>
          </cell>
          <cell r="AC1804">
            <v>909060</v>
          </cell>
          <cell r="AD1804">
            <v>109087.2</v>
          </cell>
          <cell r="AE1804">
            <v>0.12</v>
          </cell>
          <cell r="AF1804">
            <v>44672</v>
          </cell>
          <cell r="AG1804" t="str">
            <v>CIF HK</v>
          </cell>
          <cell r="AK1804">
            <v>0.1</v>
          </cell>
          <cell r="AL1804">
            <v>1390000</v>
          </cell>
          <cell r="AM1804">
            <v>44677</v>
          </cell>
          <cell r="AN1804" t="str">
            <v>Yes</v>
          </cell>
          <cell r="AO1804">
            <v>0.9</v>
          </cell>
          <cell r="AP1804">
            <v>12510000</v>
          </cell>
          <cell r="AQ1804">
            <v>44788</v>
          </cell>
          <cell r="AR1804">
            <v>44788</v>
          </cell>
          <cell r="AS1804">
            <v>0</v>
          </cell>
          <cell r="AT1804">
            <v>0</v>
          </cell>
          <cell r="AX1804" t="str">
            <v>Yes</v>
          </cell>
          <cell r="AZ1804" t="str">
            <v>Y</v>
          </cell>
          <cell r="BA1804" t="str">
            <v>Yes</v>
          </cell>
        </row>
        <row r="1805">
          <cell r="B1805">
            <v>1655</v>
          </cell>
          <cell r="C1805" t="str">
            <v>C49SZX20220049JY</v>
          </cell>
          <cell r="D1805" t="str">
            <v>辉拓</v>
          </cell>
          <cell r="E1805" t="str">
            <v>YSM10</v>
          </cell>
          <cell r="I1805" t="str">
            <v>L-&gt;R</v>
          </cell>
          <cell r="J1805" t="str">
            <v>MVC F&amp;R+ATS15</v>
          </cell>
          <cell r="K1805">
            <v>1</v>
          </cell>
          <cell r="N1805">
            <v>44789</v>
          </cell>
          <cell r="O1805">
            <v>11116794</v>
          </cell>
          <cell r="P1805">
            <v>9978000</v>
          </cell>
          <cell r="Q1805">
            <v>44789</v>
          </cell>
          <cell r="R1805" t="str">
            <v>No</v>
          </cell>
          <cell r="S1805" t="str">
            <v>C49</v>
          </cell>
          <cell r="T1805" t="str">
            <v>SOUTH</v>
          </cell>
          <cell r="U1805" t="str">
            <v>深圳</v>
          </cell>
          <cell r="V1805" t="str">
            <v>SZ 深圳</v>
          </cell>
          <cell r="W1805" t="str">
            <v>JY</v>
          </cell>
          <cell r="X1805" t="str">
            <v>JPY</v>
          </cell>
          <cell r="Y1805">
            <v>9978000</v>
          </cell>
          <cell r="Z1805">
            <v>1</v>
          </cell>
          <cell r="AA1805">
            <v>9978000</v>
          </cell>
          <cell r="AB1805">
            <v>6.54E-2</v>
          </cell>
          <cell r="AC1805">
            <v>652561.19999999995</v>
          </cell>
          <cell r="AD1805">
            <v>78307.343999999997</v>
          </cell>
          <cell r="AE1805">
            <v>0.12</v>
          </cell>
          <cell r="AF1805">
            <v>44672</v>
          </cell>
          <cell r="AG1805" t="str">
            <v>CIF HK</v>
          </cell>
          <cell r="AK1805">
            <v>0.1</v>
          </cell>
          <cell r="AL1805">
            <v>997800</v>
          </cell>
          <cell r="AM1805">
            <v>44677</v>
          </cell>
          <cell r="AN1805" t="str">
            <v>Yes</v>
          </cell>
          <cell r="AO1805">
            <v>0.9</v>
          </cell>
          <cell r="AP1805">
            <v>8980200</v>
          </cell>
          <cell r="AQ1805">
            <v>44788</v>
          </cell>
          <cell r="AR1805">
            <v>44788</v>
          </cell>
          <cell r="AS1805">
            <v>0</v>
          </cell>
          <cell r="AT1805">
            <v>0</v>
          </cell>
          <cell r="AX1805" t="str">
            <v>Yes</v>
          </cell>
          <cell r="AZ1805" t="str">
            <v>Y</v>
          </cell>
          <cell r="BA1805" t="str">
            <v>Yes</v>
          </cell>
        </row>
        <row r="1806">
          <cell r="B1806">
            <v>1656</v>
          </cell>
          <cell r="C1806" t="str">
            <v>SNFPC-CG-2022-008</v>
          </cell>
          <cell r="D1806" t="str">
            <v>康佳</v>
          </cell>
          <cell r="E1806" t="str">
            <v>YSM20R-2</v>
          </cell>
          <cell r="I1806" t="str">
            <v>R-&gt;L</v>
          </cell>
          <cell r="J1806" t="str">
            <v>No</v>
          </cell>
          <cell r="K1806">
            <v>1</v>
          </cell>
          <cell r="N1806">
            <v>45159</v>
          </cell>
          <cell r="R1806" t="str">
            <v>Yes</v>
          </cell>
          <cell r="S1806" t="str">
            <v>C49</v>
          </cell>
          <cell r="T1806" t="str">
            <v>WEST</v>
          </cell>
          <cell r="U1806" t="str">
            <v>遂宁</v>
          </cell>
          <cell r="V1806" t="str">
            <v>SN遂宁</v>
          </cell>
          <cell r="W1806" t="str">
            <v>JL</v>
          </cell>
          <cell r="X1806" t="str">
            <v>RMB</v>
          </cell>
          <cell r="Y1806">
            <v>990000</v>
          </cell>
          <cell r="Z1806">
            <v>1.1299999999999999</v>
          </cell>
          <cell r="AA1806">
            <v>990000</v>
          </cell>
          <cell r="AB1806">
            <v>1.22</v>
          </cell>
          <cell r="AC1806">
            <v>1068849.5575221239</v>
          </cell>
          <cell r="AD1806">
            <v>128261.94690265486</v>
          </cell>
          <cell r="AE1806">
            <v>0.12</v>
          </cell>
          <cell r="AF1806">
            <v>44678</v>
          </cell>
          <cell r="AG1806" t="str">
            <v>DDP SN</v>
          </cell>
          <cell r="AK1806">
            <v>0.3</v>
          </cell>
          <cell r="AL1806">
            <v>297000</v>
          </cell>
          <cell r="AM1806">
            <v>44692</v>
          </cell>
          <cell r="AN1806" t="str">
            <v>Yes</v>
          </cell>
          <cell r="AO1806">
            <v>0.6</v>
          </cell>
          <cell r="AP1806">
            <v>594000</v>
          </cell>
          <cell r="AQ1806">
            <v>45148</v>
          </cell>
          <cell r="AR1806">
            <v>45148</v>
          </cell>
          <cell r="AS1806">
            <v>0.1</v>
          </cell>
          <cell r="AT1806">
            <v>99000</v>
          </cell>
        </row>
        <row r="1807">
          <cell r="B1807">
            <v>1657</v>
          </cell>
          <cell r="C1807" t="str">
            <v>SNFPC-CG-2022-008</v>
          </cell>
          <cell r="D1807" t="str">
            <v>康佳</v>
          </cell>
          <cell r="E1807" t="str">
            <v>YSM20R-2</v>
          </cell>
          <cell r="I1807" t="str">
            <v>R-&gt;L</v>
          </cell>
          <cell r="J1807" t="str">
            <v>No</v>
          </cell>
          <cell r="K1807">
            <v>1</v>
          </cell>
          <cell r="N1807">
            <v>45159</v>
          </cell>
          <cell r="R1807" t="str">
            <v>Yes</v>
          </cell>
          <cell r="S1807" t="str">
            <v>C49</v>
          </cell>
          <cell r="T1807" t="str">
            <v>WEST</v>
          </cell>
          <cell r="U1807" t="str">
            <v>遂宁</v>
          </cell>
          <cell r="V1807" t="str">
            <v>SN遂宁</v>
          </cell>
          <cell r="W1807" t="str">
            <v>JL</v>
          </cell>
          <cell r="X1807" t="str">
            <v>RMB</v>
          </cell>
          <cell r="Y1807">
            <v>990000</v>
          </cell>
          <cell r="Z1807">
            <v>1.1299999999999999</v>
          </cell>
          <cell r="AA1807">
            <v>990000</v>
          </cell>
          <cell r="AB1807">
            <v>1.22</v>
          </cell>
          <cell r="AC1807">
            <v>1068849.5575221239</v>
          </cell>
          <cell r="AD1807">
            <v>128261.94690265486</v>
          </cell>
          <cell r="AE1807">
            <v>0.12</v>
          </cell>
          <cell r="AF1807">
            <v>44678</v>
          </cell>
          <cell r="AG1807" t="str">
            <v>DDP SN</v>
          </cell>
          <cell r="AK1807">
            <v>0.3</v>
          </cell>
          <cell r="AL1807">
            <v>297000</v>
          </cell>
          <cell r="AM1807">
            <v>44692</v>
          </cell>
          <cell r="AN1807" t="str">
            <v>Yes</v>
          </cell>
          <cell r="AO1807">
            <v>0.6</v>
          </cell>
          <cell r="AP1807">
            <v>594000</v>
          </cell>
          <cell r="AQ1807">
            <v>45148</v>
          </cell>
          <cell r="AR1807">
            <v>45148</v>
          </cell>
          <cell r="AS1807">
            <v>0.1</v>
          </cell>
          <cell r="AT1807">
            <v>99000</v>
          </cell>
        </row>
        <row r="1808">
          <cell r="B1808">
            <v>1658</v>
          </cell>
          <cell r="C1808" t="str">
            <v>SNFPC-CG-2022-008</v>
          </cell>
          <cell r="D1808" t="str">
            <v>康佳</v>
          </cell>
          <cell r="E1808" t="str">
            <v>YSM20R-2</v>
          </cell>
          <cell r="I1808" t="str">
            <v>R-&gt;L</v>
          </cell>
          <cell r="J1808" t="str">
            <v>No</v>
          </cell>
          <cell r="K1808">
            <v>1</v>
          </cell>
          <cell r="N1808">
            <v>45159</v>
          </cell>
          <cell r="R1808" t="str">
            <v>Yes</v>
          </cell>
          <cell r="S1808" t="str">
            <v>C49</v>
          </cell>
          <cell r="T1808" t="str">
            <v>WEST</v>
          </cell>
          <cell r="U1808" t="str">
            <v>遂宁</v>
          </cell>
          <cell r="V1808" t="str">
            <v>SN遂宁</v>
          </cell>
          <cell r="W1808" t="str">
            <v>JL</v>
          </cell>
          <cell r="X1808" t="str">
            <v>RMB</v>
          </cell>
          <cell r="Y1808">
            <v>990000</v>
          </cell>
          <cell r="Z1808">
            <v>1.1299999999999999</v>
          </cell>
          <cell r="AA1808">
            <v>990000</v>
          </cell>
          <cell r="AB1808">
            <v>1.22</v>
          </cell>
          <cell r="AC1808">
            <v>1068849.5575221239</v>
          </cell>
          <cell r="AD1808">
            <v>128261.94690265486</v>
          </cell>
          <cell r="AE1808">
            <v>0.12</v>
          </cell>
          <cell r="AF1808">
            <v>44678</v>
          </cell>
          <cell r="AG1808" t="str">
            <v>DDP SN</v>
          </cell>
          <cell r="AK1808">
            <v>0.3</v>
          </cell>
          <cell r="AL1808">
            <v>297000</v>
          </cell>
          <cell r="AM1808">
            <v>44692</v>
          </cell>
          <cell r="AN1808" t="str">
            <v>Yes</v>
          </cell>
          <cell r="AO1808">
            <v>0.6</v>
          </cell>
          <cell r="AP1808">
            <v>594000</v>
          </cell>
          <cell r="AQ1808">
            <v>45148</v>
          </cell>
          <cell r="AR1808">
            <v>45148</v>
          </cell>
          <cell r="AS1808">
            <v>0.1</v>
          </cell>
          <cell r="AT1808">
            <v>99000</v>
          </cell>
        </row>
        <row r="1809">
          <cell r="B1809">
            <v>1659</v>
          </cell>
          <cell r="C1809" t="str">
            <v>SNFPC-CG-2022-008</v>
          </cell>
          <cell r="D1809" t="str">
            <v>康佳</v>
          </cell>
          <cell r="E1809" t="str">
            <v>YSM20R-2</v>
          </cell>
          <cell r="I1809" t="str">
            <v>L-&gt;R</v>
          </cell>
          <cell r="J1809" t="str">
            <v>No</v>
          </cell>
          <cell r="K1809">
            <v>1</v>
          </cell>
          <cell r="N1809">
            <v>45159</v>
          </cell>
          <cell r="R1809" t="str">
            <v>Yes</v>
          </cell>
          <cell r="S1809" t="str">
            <v>C49</v>
          </cell>
          <cell r="T1809" t="str">
            <v>WEST</v>
          </cell>
          <cell r="U1809" t="str">
            <v>遂宁</v>
          </cell>
          <cell r="V1809" t="str">
            <v>SN遂宁</v>
          </cell>
          <cell r="W1809" t="str">
            <v>JL</v>
          </cell>
          <cell r="X1809" t="str">
            <v>RMB</v>
          </cell>
          <cell r="Y1809">
            <v>990000</v>
          </cell>
          <cell r="Z1809">
            <v>1.1299999999999999</v>
          </cell>
          <cell r="AA1809">
            <v>990000</v>
          </cell>
          <cell r="AB1809">
            <v>1.22</v>
          </cell>
          <cell r="AC1809">
            <v>1068849.5575221239</v>
          </cell>
          <cell r="AD1809">
            <v>128261.94690265486</v>
          </cell>
          <cell r="AE1809">
            <v>0.12</v>
          </cell>
          <cell r="AF1809">
            <v>44678</v>
          </cell>
          <cell r="AG1809" t="str">
            <v>DDP SN</v>
          </cell>
          <cell r="AK1809">
            <v>0.3</v>
          </cell>
          <cell r="AL1809">
            <v>297000</v>
          </cell>
          <cell r="AM1809">
            <v>44692</v>
          </cell>
          <cell r="AN1809" t="str">
            <v>Yes</v>
          </cell>
          <cell r="AO1809">
            <v>0.6</v>
          </cell>
          <cell r="AP1809">
            <v>594000</v>
          </cell>
          <cell r="AQ1809">
            <v>45148</v>
          </cell>
          <cell r="AR1809">
            <v>45148</v>
          </cell>
          <cell r="AS1809">
            <v>0.1</v>
          </cell>
          <cell r="AT1809">
            <v>99000</v>
          </cell>
        </row>
        <row r="1810">
          <cell r="B1810">
            <v>1660</v>
          </cell>
          <cell r="C1810" t="str">
            <v>SNFPC-CG-2022-008</v>
          </cell>
          <cell r="D1810" t="str">
            <v>康佳</v>
          </cell>
          <cell r="E1810" t="str">
            <v>YSM20R-2</v>
          </cell>
          <cell r="I1810" t="str">
            <v>L-&gt;R</v>
          </cell>
          <cell r="J1810" t="str">
            <v>No</v>
          </cell>
          <cell r="K1810">
            <v>1</v>
          </cell>
          <cell r="N1810">
            <v>45159</v>
          </cell>
          <cell r="R1810" t="str">
            <v>Yes</v>
          </cell>
          <cell r="S1810" t="str">
            <v>C49</v>
          </cell>
          <cell r="T1810" t="str">
            <v>WEST</v>
          </cell>
          <cell r="U1810" t="str">
            <v>遂宁</v>
          </cell>
          <cell r="V1810" t="str">
            <v>SN遂宁</v>
          </cell>
          <cell r="W1810" t="str">
            <v>JL</v>
          </cell>
          <cell r="X1810" t="str">
            <v>RMB</v>
          </cell>
          <cell r="Y1810">
            <v>990000</v>
          </cell>
          <cell r="Z1810">
            <v>1.1299999999999999</v>
          </cell>
          <cell r="AA1810">
            <v>990000</v>
          </cell>
          <cell r="AB1810">
            <v>1.22</v>
          </cell>
          <cell r="AC1810">
            <v>1068849.5575221239</v>
          </cell>
          <cell r="AD1810">
            <v>128261.94690265486</v>
          </cell>
          <cell r="AE1810">
            <v>0.12</v>
          </cell>
          <cell r="AF1810">
            <v>44678</v>
          </cell>
          <cell r="AG1810" t="str">
            <v>DDP SN</v>
          </cell>
          <cell r="AK1810">
            <v>0.3</v>
          </cell>
          <cell r="AL1810">
            <v>297000</v>
          </cell>
          <cell r="AM1810">
            <v>44692</v>
          </cell>
          <cell r="AN1810" t="str">
            <v>Yes</v>
          </cell>
          <cell r="AO1810">
            <v>0.6</v>
          </cell>
          <cell r="AP1810">
            <v>594000</v>
          </cell>
          <cell r="AQ1810">
            <v>45148</v>
          </cell>
          <cell r="AR1810">
            <v>45148</v>
          </cell>
          <cell r="AS1810">
            <v>0.1</v>
          </cell>
          <cell r="AT1810">
            <v>99000</v>
          </cell>
        </row>
        <row r="1811">
          <cell r="B1811">
            <v>1661</v>
          </cell>
          <cell r="C1811" t="str">
            <v>SNFPC-CG-2022-008</v>
          </cell>
          <cell r="D1811" t="str">
            <v>康佳</v>
          </cell>
          <cell r="E1811" t="str">
            <v>YSM20R-2</v>
          </cell>
          <cell r="I1811" t="str">
            <v>L-&gt;R</v>
          </cell>
          <cell r="J1811" t="str">
            <v>No</v>
          </cell>
          <cell r="K1811">
            <v>1</v>
          </cell>
          <cell r="N1811">
            <v>45159</v>
          </cell>
          <cell r="R1811" t="str">
            <v>Yes</v>
          </cell>
          <cell r="S1811" t="str">
            <v>C49</v>
          </cell>
          <cell r="T1811" t="str">
            <v>WEST</v>
          </cell>
          <cell r="U1811" t="str">
            <v>遂宁</v>
          </cell>
          <cell r="V1811" t="str">
            <v>SN遂宁</v>
          </cell>
          <cell r="W1811" t="str">
            <v>JL</v>
          </cell>
          <cell r="X1811" t="str">
            <v>RMB</v>
          </cell>
          <cell r="Y1811">
            <v>990000</v>
          </cell>
          <cell r="Z1811">
            <v>1.1299999999999999</v>
          </cell>
          <cell r="AA1811">
            <v>990000</v>
          </cell>
          <cell r="AB1811">
            <v>1.22</v>
          </cell>
          <cell r="AC1811">
            <v>1068849.5575221239</v>
          </cell>
          <cell r="AD1811">
            <v>128261.94690265486</v>
          </cell>
          <cell r="AE1811">
            <v>0.12</v>
          </cell>
          <cell r="AF1811">
            <v>44678</v>
          </cell>
          <cell r="AG1811" t="str">
            <v>DDP SN</v>
          </cell>
          <cell r="AK1811">
            <v>0.3</v>
          </cell>
          <cell r="AL1811">
            <v>297000</v>
          </cell>
          <cell r="AM1811">
            <v>44692</v>
          </cell>
          <cell r="AN1811" t="str">
            <v>Yes</v>
          </cell>
          <cell r="AO1811">
            <v>0.6</v>
          </cell>
          <cell r="AP1811">
            <v>594000</v>
          </cell>
          <cell r="AQ1811">
            <v>45148</v>
          </cell>
          <cell r="AR1811">
            <v>45148</v>
          </cell>
          <cell r="AS1811">
            <v>0.1</v>
          </cell>
          <cell r="AT1811">
            <v>99000</v>
          </cell>
        </row>
        <row r="1812">
          <cell r="B1812">
            <v>1662</v>
          </cell>
          <cell r="C1812" t="str">
            <v>SNFPC-CG-2022-008</v>
          </cell>
          <cell r="D1812" t="str">
            <v>康佳</v>
          </cell>
          <cell r="E1812" t="str">
            <v>YSM10</v>
          </cell>
          <cell r="I1812" t="str">
            <v>R-&gt;L</v>
          </cell>
          <cell r="J1812" t="str">
            <v>MVC+ATS15+ANC</v>
          </cell>
          <cell r="K1812">
            <v>1</v>
          </cell>
          <cell r="N1812">
            <v>45159</v>
          </cell>
          <cell r="R1812" t="str">
            <v>Yes</v>
          </cell>
          <cell r="S1812" t="str">
            <v>C49</v>
          </cell>
          <cell r="T1812" t="str">
            <v>WEST</v>
          </cell>
          <cell r="U1812" t="str">
            <v>遂宁</v>
          </cell>
          <cell r="V1812" t="str">
            <v>SN遂宁</v>
          </cell>
          <cell r="W1812" t="str">
            <v>JL</v>
          </cell>
          <cell r="X1812" t="str">
            <v>RMB</v>
          </cell>
          <cell r="Y1812">
            <v>650000</v>
          </cell>
          <cell r="Z1812">
            <v>1.1299999999999999</v>
          </cell>
          <cell r="AA1812">
            <v>650000</v>
          </cell>
          <cell r="AB1812">
            <v>1.22</v>
          </cell>
          <cell r="AC1812">
            <v>701769.91150442476</v>
          </cell>
          <cell r="AD1812">
            <v>84212.389380530964</v>
          </cell>
          <cell r="AE1812">
            <v>0.12</v>
          </cell>
          <cell r="AF1812">
            <v>44678</v>
          </cell>
          <cell r="AG1812" t="str">
            <v>DDP SN</v>
          </cell>
          <cell r="AK1812">
            <v>0.3</v>
          </cell>
          <cell r="AL1812">
            <v>195000</v>
          </cell>
          <cell r="AM1812">
            <v>44692</v>
          </cell>
          <cell r="AN1812" t="str">
            <v>Yes</v>
          </cell>
          <cell r="AO1812">
            <v>0.6</v>
          </cell>
          <cell r="AP1812">
            <v>390000</v>
          </cell>
          <cell r="AQ1812">
            <v>45148</v>
          </cell>
          <cell r="AR1812">
            <v>45148</v>
          </cell>
          <cell r="AS1812">
            <v>0.1</v>
          </cell>
          <cell r="AT1812">
            <v>65000</v>
          </cell>
        </row>
        <row r="1813">
          <cell r="B1813">
            <v>1663</v>
          </cell>
          <cell r="C1813" t="str">
            <v>SNFPC-CG-2022-008</v>
          </cell>
          <cell r="D1813" t="str">
            <v>康佳</v>
          </cell>
          <cell r="E1813" t="str">
            <v>YSM10</v>
          </cell>
          <cell r="I1813" t="str">
            <v>L-&gt;R</v>
          </cell>
          <cell r="J1813" t="str">
            <v>MVC+ATS15+ANC</v>
          </cell>
          <cell r="K1813">
            <v>1</v>
          </cell>
          <cell r="N1813">
            <v>45159</v>
          </cell>
          <cell r="R1813" t="str">
            <v>Yes</v>
          </cell>
          <cell r="S1813" t="str">
            <v>C49</v>
          </cell>
          <cell r="T1813" t="str">
            <v>WEST</v>
          </cell>
          <cell r="U1813" t="str">
            <v>遂宁</v>
          </cell>
          <cell r="V1813" t="str">
            <v>SN遂宁</v>
          </cell>
          <cell r="W1813" t="str">
            <v>JL</v>
          </cell>
          <cell r="X1813" t="str">
            <v>RMB</v>
          </cell>
          <cell r="Y1813">
            <v>650000</v>
          </cell>
          <cell r="Z1813">
            <v>1.1299999999999999</v>
          </cell>
          <cell r="AA1813">
            <v>650000</v>
          </cell>
          <cell r="AB1813">
            <v>1.22</v>
          </cell>
          <cell r="AC1813">
            <v>701769.91150442476</v>
          </cell>
          <cell r="AD1813">
            <v>84212.389380530964</v>
          </cell>
          <cell r="AE1813">
            <v>0.12</v>
          </cell>
          <cell r="AF1813">
            <v>44678</v>
          </cell>
          <cell r="AG1813" t="str">
            <v>DDP SN</v>
          </cell>
          <cell r="AK1813">
            <v>0.3</v>
          </cell>
          <cell r="AL1813">
            <v>195000</v>
          </cell>
          <cell r="AM1813">
            <v>44692</v>
          </cell>
          <cell r="AN1813" t="str">
            <v>Yes</v>
          </cell>
          <cell r="AO1813">
            <v>0.6</v>
          </cell>
          <cell r="AP1813">
            <v>390000</v>
          </cell>
          <cell r="AQ1813">
            <v>45148</v>
          </cell>
          <cell r="AR1813">
            <v>45148</v>
          </cell>
          <cell r="AS1813">
            <v>0.1</v>
          </cell>
          <cell r="AT1813">
            <v>65000</v>
          </cell>
        </row>
        <row r="1814">
          <cell r="B1814">
            <v>1664</v>
          </cell>
          <cell r="C1814" t="str">
            <v>C49SZX20220051DZ</v>
          </cell>
          <cell r="D1814" t="str">
            <v>诺亚兴</v>
          </cell>
          <cell r="E1814" t="str">
            <v>YSM20R-2</v>
          </cell>
          <cell r="I1814" t="str">
            <v>L-&gt;R</v>
          </cell>
          <cell r="J1814" t="str">
            <v>MVC</v>
          </cell>
          <cell r="K1814">
            <v>1</v>
          </cell>
          <cell r="N1814">
            <v>44782</v>
          </cell>
          <cell r="O1814">
            <v>11116786</v>
          </cell>
          <cell r="P1814">
            <v>12800000</v>
          </cell>
          <cell r="Q1814">
            <v>44770</v>
          </cell>
          <cell r="R1814" t="str">
            <v>No</v>
          </cell>
          <cell r="S1814" t="str">
            <v>C49</v>
          </cell>
          <cell r="T1814" t="str">
            <v>SOUTH</v>
          </cell>
          <cell r="U1814" t="str">
            <v>深圳</v>
          </cell>
          <cell r="V1814" t="str">
            <v>SZ 深圳</v>
          </cell>
          <cell r="W1814" t="str">
            <v>DZ</v>
          </cell>
          <cell r="X1814" t="str">
            <v>JPY</v>
          </cell>
          <cell r="Y1814">
            <v>12800000</v>
          </cell>
          <cell r="Z1814">
            <v>1</v>
          </cell>
          <cell r="AA1814">
            <v>12800000</v>
          </cell>
          <cell r="AB1814">
            <v>6.54E-2</v>
          </cell>
          <cell r="AC1814">
            <v>837120</v>
          </cell>
          <cell r="AD1814">
            <v>100454.39999999999</v>
          </cell>
          <cell r="AE1814">
            <v>0.12</v>
          </cell>
          <cell r="AF1814">
            <v>44680</v>
          </cell>
          <cell r="AG1814" t="str">
            <v>CIF HK</v>
          </cell>
          <cell r="AK1814">
            <v>0.3</v>
          </cell>
          <cell r="AL1814">
            <v>3840000</v>
          </cell>
          <cell r="AM1814">
            <v>44691</v>
          </cell>
          <cell r="AN1814" t="str">
            <v>Yes</v>
          </cell>
          <cell r="AO1814">
            <v>0.65</v>
          </cell>
          <cell r="AP1814">
            <v>8320000</v>
          </cell>
          <cell r="AQ1814">
            <v>44767</v>
          </cell>
          <cell r="AR1814">
            <v>44767</v>
          </cell>
          <cell r="AS1814">
            <v>0.05</v>
          </cell>
          <cell r="AT1814">
            <v>640000</v>
          </cell>
          <cell r="AU1814">
            <v>44811</v>
          </cell>
          <cell r="AV1814">
            <v>44811</v>
          </cell>
          <cell r="AX1814" t="str">
            <v>Yes</v>
          </cell>
          <cell r="AZ1814" t="str">
            <v>Y</v>
          </cell>
          <cell r="BA1814" t="str">
            <v>Yes</v>
          </cell>
        </row>
        <row r="1815">
          <cell r="B1815">
            <v>1665</v>
          </cell>
          <cell r="C1815" t="str">
            <v>C49SZX20220055SX</v>
          </cell>
          <cell r="D1815" t="str">
            <v>利速达</v>
          </cell>
          <cell r="E1815" t="str">
            <v>YSM20R-2</v>
          </cell>
          <cell r="I1815" t="str">
            <v>L-&gt;R</v>
          </cell>
          <cell r="J1815" t="str">
            <v>No</v>
          </cell>
          <cell r="K1815">
            <v>1</v>
          </cell>
          <cell r="N1815">
            <v>44818</v>
          </cell>
          <cell r="O1815">
            <v>11116798</v>
          </cell>
          <cell r="P1815">
            <v>14000000</v>
          </cell>
          <cell r="Q1815">
            <v>44799</v>
          </cell>
          <cell r="R1815" t="str">
            <v>No</v>
          </cell>
          <cell r="S1815" t="str">
            <v>C49</v>
          </cell>
          <cell r="T1815" t="str">
            <v>SOUTH</v>
          </cell>
          <cell r="U1815" t="str">
            <v>深圳</v>
          </cell>
          <cell r="V1815" t="str">
            <v>SZ 深圳</v>
          </cell>
          <cell r="W1815" t="str">
            <v>SX</v>
          </cell>
          <cell r="X1815" t="str">
            <v>JPY</v>
          </cell>
          <cell r="Y1815">
            <v>14000000</v>
          </cell>
          <cell r="Z1815">
            <v>1</v>
          </cell>
          <cell r="AA1815">
            <v>14000000</v>
          </cell>
          <cell r="AB1815">
            <v>6.2799999999999995E-2</v>
          </cell>
          <cell r="AC1815">
            <v>879199.99999999988</v>
          </cell>
          <cell r="AD1815">
            <v>105503.99999999999</v>
          </cell>
          <cell r="AE1815">
            <v>0.12</v>
          </cell>
          <cell r="AF1815">
            <v>44691</v>
          </cell>
          <cell r="AG1815" t="str">
            <v>DAP SZ</v>
          </cell>
          <cell r="AI1815" t="str">
            <v>JPY3,530,000.00</v>
          </cell>
          <cell r="AJ1815" t="str">
            <v>2022-6-29,客户先提货feeder，支付feeder货款.</v>
          </cell>
          <cell r="AK1815">
            <v>0.1</v>
          </cell>
          <cell r="AL1815">
            <v>1400000</v>
          </cell>
          <cell r="AM1815">
            <v>44698</v>
          </cell>
          <cell r="AN1815" t="str">
            <v>Yes</v>
          </cell>
          <cell r="AO1815">
            <v>0.9</v>
          </cell>
          <cell r="AP1815">
            <v>12600000</v>
          </cell>
          <cell r="AQ1815">
            <v>44796</v>
          </cell>
          <cell r="AR1815">
            <v>44796</v>
          </cell>
          <cell r="AS1815">
            <v>0</v>
          </cell>
          <cell r="AT1815">
            <v>0</v>
          </cell>
          <cell r="AX1815" t="str">
            <v>Yes</v>
          </cell>
          <cell r="AZ1815" t="str">
            <v>Y</v>
          </cell>
          <cell r="BA1815" t="str">
            <v>Yes</v>
          </cell>
        </row>
        <row r="1816">
          <cell r="B1816">
            <v>1666</v>
          </cell>
          <cell r="C1816" t="str">
            <v>C49SZX20220055SX</v>
          </cell>
          <cell r="D1816" t="str">
            <v>利速达</v>
          </cell>
          <cell r="E1816" t="str">
            <v>YSM10</v>
          </cell>
          <cell r="I1816" t="str">
            <v>L-&gt;R</v>
          </cell>
          <cell r="J1816" t="str">
            <v>MVC</v>
          </cell>
          <cell r="K1816">
            <v>1</v>
          </cell>
          <cell r="N1816">
            <v>44818</v>
          </cell>
          <cell r="O1816">
            <v>11116797</v>
          </cell>
          <cell r="P1816">
            <v>10000000</v>
          </cell>
          <cell r="Q1816">
            <v>44799</v>
          </cell>
          <cell r="R1816" t="str">
            <v>No</v>
          </cell>
          <cell r="S1816" t="str">
            <v>C49</v>
          </cell>
          <cell r="T1816" t="str">
            <v>SOUTH</v>
          </cell>
          <cell r="U1816" t="str">
            <v>深圳</v>
          </cell>
          <cell r="V1816" t="str">
            <v>SZ 深圳</v>
          </cell>
          <cell r="W1816" t="str">
            <v>SX</v>
          </cell>
          <cell r="X1816" t="str">
            <v>JPY</v>
          </cell>
          <cell r="Y1816">
            <v>10000000</v>
          </cell>
          <cell r="Z1816">
            <v>1</v>
          </cell>
          <cell r="AA1816">
            <v>10000000</v>
          </cell>
          <cell r="AB1816">
            <v>6.2799999999999995E-2</v>
          </cell>
          <cell r="AC1816">
            <v>628000</v>
          </cell>
          <cell r="AD1816">
            <v>75360</v>
          </cell>
          <cell r="AE1816">
            <v>0.12</v>
          </cell>
          <cell r="AF1816">
            <v>44691</v>
          </cell>
          <cell r="AG1816" t="str">
            <v>DAP SZ</v>
          </cell>
          <cell r="AI1816"/>
          <cell r="AJ1816"/>
          <cell r="AK1816">
            <v>0.1</v>
          </cell>
          <cell r="AL1816">
            <v>1000000</v>
          </cell>
          <cell r="AM1816">
            <v>44698</v>
          </cell>
          <cell r="AN1816" t="str">
            <v>Yes</v>
          </cell>
          <cell r="AO1816">
            <v>0.9</v>
          </cell>
          <cell r="AP1816">
            <v>9000000</v>
          </cell>
          <cell r="AQ1816">
            <v>44796</v>
          </cell>
          <cell r="AR1816">
            <v>44796</v>
          </cell>
          <cell r="AS1816">
            <v>0</v>
          </cell>
          <cell r="AT1816">
            <v>0</v>
          </cell>
          <cell r="AX1816" t="str">
            <v>Yes</v>
          </cell>
          <cell r="AZ1816" t="str">
            <v>Y</v>
          </cell>
          <cell r="BA1816" t="str">
            <v>Yes</v>
          </cell>
        </row>
        <row r="1817">
          <cell r="B1817">
            <v>1667</v>
          </cell>
          <cell r="C1817" t="str">
            <v>C49SZX20220056EC</v>
          </cell>
          <cell r="D1817" t="str">
            <v>鑫天泰</v>
          </cell>
          <cell r="E1817" t="str">
            <v>YSM10</v>
          </cell>
          <cell r="I1817" t="str">
            <v>L-&gt;R</v>
          </cell>
          <cell r="J1817" t="str">
            <v>MVC</v>
          </cell>
          <cell r="K1817">
            <v>1</v>
          </cell>
          <cell r="N1817">
            <v>44727</v>
          </cell>
          <cell r="O1817">
            <v>11116768</v>
          </cell>
          <cell r="P1817">
            <v>10500000</v>
          </cell>
          <cell r="Q1817">
            <v>44728</v>
          </cell>
          <cell r="R1817" t="str">
            <v>No</v>
          </cell>
          <cell r="S1817" t="str">
            <v>C49</v>
          </cell>
          <cell r="T1817" t="str">
            <v>SOUTH</v>
          </cell>
          <cell r="U1817" t="str">
            <v>深圳</v>
          </cell>
          <cell r="V1817" t="str">
            <v>SZ 深圳</v>
          </cell>
          <cell r="W1817" t="str">
            <v>EC</v>
          </cell>
          <cell r="X1817" t="str">
            <v>JPY</v>
          </cell>
          <cell r="Y1817">
            <v>10500000</v>
          </cell>
          <cell r="Z1817">
            <v>1</v>
          </cell>
          <cell r="AA1817">
            <v>10500000</v>
          </cell>
          <cell r="AB1817">
            <v>6.2799999999999995E-2</v>
          </cell>
          <cell r="AC1817">
            <v>659400</v>
          </cell>
          <cell r="AD1817">
            <v>79128</v>
          </cell>
          <cell r="AE1817">
            <v>0.12</v>
          </cell>
          <cell r="AF1817">
            <v>44694</v>
          </cell>
          <cell r="AG1817" t="str">
            <v>DAP SZ</v>
          </cell>
          <cell r="AK1817">
            <v>0.1</v>
          </cell>
          <cell r="AL1817">
            <v>1050000</v>
          </cell>
          <cell r="AM1817">
            <v>44698</v>
          </cell>
          <cell r="AN1817" t="str">
            <v>Yes</v>
          </cell>
          <cell r="AO1817">
            <v>0.9</v>
          </cell>
          <cell r="AP1817">
            <v>9450000</v>
          </cell>
          <cell r="AQ1817">
            <v>44722</v>
          </cell>
          <cell r="AR1817">
            <v>44722</v>
          </cell>
          <cell r="AS1817">
            <v>0</v>
          </cell>
          <cell r="AT1817">
            <v>0</v>
          </cell>
          <cell r="AX1817" t="str">
            <v>Yes</v>
          </cell>
          <cell r="AZ1817" t="str">
            <v>Y</v>
          </cell>
          <cell r="BA1817" t="str">
            <v>Yes</v>
          </cell>
        </row>
        <row r="1818">
          <cell r="B1818">
            <v>1668</v>
          </cell>
          <cell r="C1818" t="str">
            <v>SNFPC-CG-2022-013</v>
          </cell>
          <cell r="D1818" t="str">
            <v>康佳</v>
          </cell>
          <cell r="E1818" t="str">
            <v>YSi-V</v>
          </cell>
          <cell r="I1818" t="str">
            <v>L-&gt;R</v>
          </cell>
          <cell r="J1818" t="str">
            <v>No</v>
          </cell>
          <cell r="K1818">
            <v>1</v>
          </cell>
          <cell r="N1818">
            <v>45159</v>
          </cell>
          <cell r="R1818" t="str">
            <v>Yes</v>
          </cell>
          <cell r="S1818" t="str">
            <v>C28</v>
          </cell>
          <cell r="T1818" t="str">
            <v>WEST</v>
          </cell>
          <cell r="U1818" t="str">
            <v>深圳</v>
          </cell>
          <cell r="V1818" t="str">
            <v>SN遂宁</v>
          </cell>
          <cell r="W1818" t="str">
            <v>TS</v>
          </cell>
          <cell r="X1818" t="str">
            <v>RMB</v>
          </cell>
          <cell r="Y1818">
            <v>700000</v>
          </cell>
          <cell r="Z1818">
            <v>1.1299999999999999</v>
          </cell>
          <cell r="AA1818">
            <v>700000</v>
          </cell>
          <cell r="AB1818">
            <v>1.1950000000000001</v>
          </cell>
          <cell r="AC1818">
            <v>740265.48672566377</v>
          </cell>
          <cell r="AD1818">
            <v>88831.85840707965</v>
          </cell>
          <cell r="AE1818">
            <v>0.12</v>
          </cell>
          <cell r="AF1818">
            <v>44694</v>
          </cell>
          <cell r="AG1818" t="str">
            <v>DDP SN</v>
          </cell>
          <cell r="AK1818">
            <v>0.3</v>
          </cell>
          <cell r="AL1818">
            <v>210000</v>
          </cell>
          <cell r="AM1818">
            <v>44714</v>
          </cell>
          <cell r="AN1818" t="str">
            <v>Yes</v>
          </cell>
          <cell r="AO1818">
            <v>0.6</v>
          </cell>
          <cell r="AP1818">
            <v>420000</v>
          </cell>
          <cell r="AQ1818">
            <v>45148</v>
          </cell>
          <cell r="AR1818">
            <v>45148</v>
          </cell>
          <cell r="AS1818">
            <v>0.1</v>
          </cell>
          <cell r="AT1818">
            <v>70000</v>
          </cell>
        </row>
        <row r="1819">
          <cell r="B1819">
            <v>1669</v>
          </cell>
          <cell r="C1819" t="str">
            <v>SNFPC-CG-2022-013</v>
          </cell>
          <cell r="D1819" t="str">
            <v>康佳</v>
          </cell>
          <cell r="E1819" t="str">
            <v>YSi-V</v>
          </cell>
          <cell r="I1819" t="str">
            <v>L-&gt;R</v>
          </cell>
          <cell r="J1819" t="str">
            <v>No</v>
          </cell>
          <cell r="K1819">
            <v>1</v>
          </cell>
          <cell r="N1819">
            <v>45159</v>
          </cell>
          <cell r="R1819" t="str">
            <v>Yes</v>
          </cell>
          <cell r="S1819" t="str">
            <v>C28</v>
          </cell>
          <cell r="T1819" t="str">
            <v>WEST</v>
          </cell>
          <cell r="U1819" t="str">
            <v>深圳</v>
          </cell>
          <cell r="V1819" t="str">
            <v>SN遂宁</v>
          </cell>
          <cell r="W1819" t="str">
            <v>TS</v>
          </cell>
          <cell r="X1819" t="str">
            <v>RMB</v>
          </cell>
          <cell r="Y1819">
            <v>700000</v>
          </cell>
          <cell r="Z1819">
            <v>1.1299999999999999</v>
          </cell>
          <cell r="AA1819">
            <v>700000</v>
          </cell>
          <cell r="AB1819">
            <v>1.1950000000000001</v>
          </cell>
          <cell r="AC1819">
            <v>740265.48672566377</v>
          </cell>
          <cell r="AD1819">
            <v>88831.85840707965</v>
          </cell>
          <cell r="AE1819">
            <v>0.12</v>
          </cell>
          <cell r="AF1819">
            <v>44694</v>
          </cell>
          <cell r="AG1819" t="str">
            <v>DDP SN</v>
          </cell>
          <cell r="AK1819">
            <v>0.3</v>
          </cell>
          <cell r="AL1819">
            <v>210000</v>
          </cell>
          <cell r="AM1819">
            <v>44714</v>
          </cell>
          <cell r="AN1819" t="str">
            <v>Yes</v>
          </cell>
          <cell r="AO1819">
            <v>0.6</v>
          </cell>
          <cell r="AP1819">
            <v>420000</v>
          </cell>
          <cell r="AQ1819">
            <v>45148</v>
          </cell>
          <cell r="AR1819">
            <v>45148</v>
          </cell>
          <cell r="AS1819">
            <v>0.1</v>
          </cell>
          <cell r="AT1819">
            <v>70000</v>
          </cell>
        </row>
        <row r="1820">
          <cell r="B1820">
            <v>1670</v>
          </cell>
          <cell r="C1820" t="str">
            <v>SNFPC-CG-2022-013</v>
          </cell>
          <cell r="D1820" t="str">
            <v>康佳</v>
          </cell>
          <cell r="E1820" t="str">
            <v>YSi-V</v>
          </cell>
          <cell r="I1820" t="str">
            <v>R-&gt;L</v>
          </cell>
          <cell r="J1820" t="str">
            <v>No</v>
          </cell>
          <cell r="K1820">
            <v>1</v>
          </cell>
          <cell r="N1820">
            <v>45159</v>
          </cell>
          <cell r="R1820" t="str">
            <v>Yes</v>
          </cell>
          <cell r="S1820" t="str">
            <v>C28</v>
          </cell>
          <cell r="T1820" t="str">
            <v>WEST</v>
          </cell>
          <cell r="U1820" t="str">
            <v>深圳</v>
          </cell>
          <cell r="V1820" t="str">
            <v>SN遂宁</v>
          </cell>
          <cell r="W1820" t="str">
            <v>TS</v>
          </cell>
          <cell r="X1820" t="str">
            <v>RMB</v>
          </cell>
          <cell r="Y1820">
            <v>700000</v>
          </cell>
          <cell r="Z1820">
            <v>1.1299999999999999</v>
          </cell>
          <cell r="AA1820">
            <v>700000</v>
          </cell>
          <cell r="AB1820">
            <v>1.1950000000000001</v>
          </cell>
          <cell r="AC1820">
            <v>740265.48672566377</v>
          </cell>
          <cell r="AD1820">
            <v>88831.85840707965</v>
          </cell>
          <cell r="AE1820">
            <v>0.12</v>
          </cell>
          <cell r="AF1820">
            <v>44694</v>
          </cell>
          <cell r="AG1820" t="str">
            <v>DDP SN</v>
          </cell>
          <cell r="AK1820">
            <v>0.3</v>
          </cell>
          <cell r="AL1820">
            <v>210000</v>
          </cell>
          <cell r="AM1820">
            <v>44714</v>
          </cell>
          <cell r="AN1820" t="str">
            <v>Yes</v>
          </cell>
          <cell r="AO1820">
            <v>0.6</v>
          </cell>
          <cell r="AP1820">
            <v>420000</v>
          </cell>
          <cell r="AQ1820">
            <v>45148</v>
          </cell>
          <cell r="AR1820">
            <v>45148</v>
          </cell>
          <cell r="AS1820">
            <v>0.1</v>
          </cell>
          <cell r="AT1820">
            <v>70000</v>
          </cell>
        </row>
        <row r="1821">
          <cell r="B1821">
            <v>1671</v>
          </cell>
          <cell r="C1821" t="str">
            <v>SNFPC-CG-2022-013</v>
          </cell>
          <cell r="D1821" t="str">
            <v>康佳</v>
          </cell>
          <cell r="E1821" t="str">
            <v>YSi-V</v>
          </cell>
          <cell r="I1821" t="str">
            <v>R-&gt;L</v>
          </cell>
          <cell r="J1821" t="str">
            <v>No</v>
          </cell>
          <cell r="K1821">
            <v>1</v>
          </cell>
          <cell r="N1821">
            <v>45159</v>
          </cell>
          <cell r="R1821" t="str">
            <v>Yes</v>
          </cell>
          <cell r="S1821" t="str">
            <v>C28</v>
          </cell>
          <cell r="T1821" t="str">
            <v>WEST</v>
          </cell>
          <cell r="U1821" t="str">
            <v>深圳</v>
          </cell>
          <cell r="V1821" t="str">
            <v>SN遂宁</v>
          </cell>
          <cell r="W1821" t="str">
            <v>TS</v>
          </cell>
          <cell r="X1821" t="str">
            <v>RMB</v>
          </cell>
          <cell r="Y1821">
            <v>700000</v>
          </cell>
          <cell r="Z1821">
            <v>1.1299999999999999</v>
          </cell>
          <cell r="AA1821">
            <v>700000</v>
          </cell>
          <cell r="AB1821">
            <v>1.1950000000000001</v>
          </cell>
          <cell r="AC1821">
            <v>740265.48672566377</v>
          </cell>
          <cell r="AD1821">
            <v>88831.85840707965</v>
          </cell>
          <cell r="AE1821">
            <v>0.12</v>
          </cell>
          <cell r="AF1821">
            <v>44694</v>
          </cell>
          <cell r="AG1821" t="str">
            <v>DDP SN</v>
          </cell>
          <cell r="AK1821">
            <v>0.3</v>
          </cell>
          <cell r="AL1821">
            <v>210000</v>
          </cell>
          <cell r="AM1821">
            <v>44714</v>
          </cell>
          <cell r="AN1821" t="str">
            <v>Yes</v>
          </cell>
          <cell r="AO1821">
            <v>0.6</v>
          </cell>
          <cell r="AP1821">
            <v>420000</v>
          </cell>
          <cell r="AQ1821">
            <v>45148</v>
          </cell>
          <cell r="AR1821">
            <v>45148</v>
          </cell>
          <cell r="AS1821">
            <v>0.1</v>
          </cell>
          <cell r="AT1821">
            <v>70000</v>
          </cell>
        </row>
        <row r="1822">
          <cell r="B1822">
            <v>1672</v>
          </cell>
          <cell r="C1822" t="str">
            <v>C49SZX20220060DZ</v>
          </cell>
          <cell r="D1822" t="str">
            <v>方案集</v>
          </cell>
          <cell r="E1822" t="str">
            <v>YSM20R-2</v>
          </cell>
          <cell r="I1822" t="str">
            <v>R-&gt;L</v>
          </cell>
          <cell r="J1822" t="str">
            <v>No</v>
          </cell>
          <cell r="K1822">
            <v>1</v>
          </cell>
          <cell r="N1822">
            <v>44755</v>
          </cell>
          <cell r="O1822">
            <v>11116779</v>
          </cell>
          <cell r="P1822">
            <v>15000000</v>
          </cell>
          <cell r="Q1822">
            <v>44762</v>
          </cell>
          <cell r="R1822" t="str">
            <v>No</v>
          </cell>
          <cell r="S1822" t="str">
            <v>C49</v>
          </cell>
          <cell r="T1822" t="str">
            <v>SOUTH</v>
          </cell>
          <cell r="U1822" t="str">
            <v>深圳</v>
          </cell>
          <cell r="V1822" t="str">
            <v>SZ 深圳</v>
          </cell>
          <cell r="W1822" t="str">
            <v>DZ</v>
          </cell>
          <cell r="X1822" t="str">
            <v>JPY</v>
          </cell>
          <cell r="Y1822">
            <v>15000000</v>
          </cell>
          <cell r="Z1822">
            <v>1</v>
          </cell>
          <cell r="AA1822">
            <v>15000000</v>
          </cell>
          <cell r="AB1822">
            <v>6.2799999999999995E-2</v>
          </cell>
          <cell r="AC1822">
            <v>941999.99999999988</v>
          </cell>
          <cell r="AD1822">
            <v>113039.99999999999</v>
          </cell>
          <cell r="AE1822">
            <v>0.12</v>
          </cell>
          <cell r="AF1822">
            <v>44705</v>
          </cell>
          <cell r="AG1822" t="str">
            <v>CIF HK</v>
          </cell>
          <cell r="AK1822">
            <v>0.1</v>
          </cell>
          <cell r="AL1822">
            <v>1500000</v>
          </cell>
          <cell r="AM1822">
            <v>44724</v>
          </cell>
          <cell r="AN1822" t="str">
            <v>Yes</v>
          </cell>
          <cell r="AO1822">
            <v>0.9</v>
          </cell>
          <cell r="AP1822">
            <v>13500000</v>
          </cell>
          <cell r="AQ1822">
            <v>44754</v>
          </cell>
          <cell r="AR1822">
            <v>44754</v>
          </cell>
          <cell r="AS1822">
            <v>0</v>
          </cell>
          <cell r="AT1822">
            <v>0</v>
          </cell>
          <cell r="AX1822" t="str">
            <v>Yes</v>
          </cell>
          <cell r="AZ1822" t="str">
            <v>Y</v>
          </cell>
          <cell r="BA1822" t="str">
            <v>Yes</v>
          </cell>
        </row>
        <row r="1823">
          <cell r="B1823">
            <v>1673</v>
          </cell>
          <cell r="C1823" t="str">
            <v>C49SZX20220060DZ</v>
          </cell>
          <cell r="D1823" t="str">
            <v>方案集</v>
          </cell>
          <cell r="E1823" t="str">
            <v>YSM10</v>
          </cell>
          <cell r="I1823" t="str">
            <v>L-&gt;R</v>
          </cell>
          <cell r="J1823" t="str">
            <v>MVC+ATS15</v>
          </cell>
          <cell r="K1823">
            <v>1</v>
          </cell>
          <cell r="N1823">
            <v>44755</v>
          </cell>
          <cell r="O1823">
            <v>11116779</v>
          </cell>
          <cell r="P1823">
            <v>10400000</v>
          </cell>
          <cell r="Q1823">
            <v>44762</v>
          </cell>
          <cell r="R1823" t="str">
            <v>No</v>
          </cell>
          <cell r="S1823" t="str">
            <v>C49</v>
          </cell>
          <cell r="T1823" t="str">
            <v>SOUTH</v>
          </cell>
          <cell r="U1823" t="str">
            <v>深圳</v>
          </cell>
          <cell r="V1823" t="str">
            <v>SZ 深圳</v>
          </cell>
          <cell r="W1823" t="str">
            <v>DZ</v>
          </cell>
          <cell r="X1823" t="str">
            <v>JPY</v>
          </cell>
          <cell r="Y1823">
            <v>10400000</v>
          </cell>
          <cell r="Z1823">
            <v>1</v>
          </cell>
          <cell r="AA1823">
            <v>10400000</v>
          </cell>
          <cell r="AB1823">
            <v>6.2799999999999995E-2</v>
          </cell>
          <cell r="AC1823">
            <v>653120</v>
          </cell>
          <cell r="AD1823">
            <v>78374.399999999994</v>
          </cell>
          <cell r="AE1823">
            <v>0.12</v>
          </cell>
          <cell r="AF1823">
            <v>44705</v>
          </cell>
          <cell r="AG1823" t="str">
            <v>CIF HK</v>
          </cell>
          <cell r="AK1823">
            <v>0.1</v>
          </cell>
          <cell r="AL1823">
            <v>1040000</v>
          </cell>
          <cell r="AM1823">
            <v>44724</v>
          </cell>
          <cell r="AN1823" t="str">
            <v>Yes</v>
          </cell>
          <cell r="AO1823">
            <v>0.9</v>
          </cell>
          <cell r="AP1823">
            <v>9360000</v>
          </cell>
          <cell r="AQ1823">
            <v>44754</v>
          </cell>
          <cell r="AR1823">
            <v>44754</v>
          </cell>
          <cell r="AS1823">
            <v>0</v>
          </cell>
          <cell r="AT1823">
            <v>0</v>
          </cell>
          <cell r="AX1823" t="str">
            <v>Yes</v>
          </cell>
          <cell r="AZ1823" t="str">
            <v>Y</v>
          </cell>
          <cell r="BA1823" t="str">
            <v>Yes</v>
          </cell>
        </row>
        <row r="1824">
          <cell r="B1824">
            <v>1674</v>
          </cell>
          <cell r="C1824" t="str">
            <v>C49SZX20220062SS</v>
          </cell>
          <cell r="D1824" t="str">
            <v>世启纳</v>
          </cell>
          <cell r="E1824" t="str">
            <v>YSM10</v>
          </cell>
          <cell r="I1824" t="str">
            <v>L-&gt;R</v>
          </cell>
          <cell r="J1824" t="str">
            <v>MVC</v>
          </cell>
          <cell r="K1824">
            <v>1</v>
          </cell>
          <cell r="N1824">
            <v>44732</v>
          </cell>
          <cell r="O1824">
            <v>11100541</v>
          </cell>
          <cell r="P1824">
            <v>515000</v>
          </cell>
          <cell r="Q1824">
            <v>44740</v>
          </cell>
          <cell r="R1824" t="str">
            <v>No</v>
          </cell>
          <cell r="S1824" t="str">
            <v>C49</v>
          </cell>
          <cell r="T1824" t="str">
            <v>SOUTH</v>
          </cell>
          <cell r="U1824" t="str">
            <v>深圳</v>
          </cell>
          <cell r="V1824" t="str">
            <v>SZ 深圳</v>
          </cell>
          <cell r="W1824" t="str">
            <v>SS</v>
          </cell>
          <cell r="X1824" t="str">
            <v>RMB</v>
          </cell>
          <cell r="Y1824">
            <v>515000</v>
          </cell>
          <cell r="Z1824">
            <v>1.1299999999999999</v>
          </cell>
          <cell r="AA1824">
            <v>515000</v>
          </cell>
          <cell r="AB1824">
            <v>1.1950000000000001</v>
          </cell>
          <cell r="AC1824">
            <v>544623.89380530978</v>
          </cell>
          <cell r="AD1824">
            <v>65354.867256637168</v>
          </cell>
          <cell r="AE1824">
            <v>0.12</v>
          </cell>
          <cell r="AF1824">
            <v>44707</v>
          </cell>
          <cell r="AG1824" t="str">
            <v>DDP SZ</v>
          </cell>
          <cell r="AK1824">
            <v>0.1</v>
          </cell>
          <cell r="AL1824">
            <v>51500</v>
          </cell>
          <cell r="AM1824">
            <v>44707</v>
          </cell>
          <cell r="AN1824" t="str">
            <v>Yes</v>
          </cell>
          <cell r="AO1824">
            <v>0.9</v>
          </cell>
          <cell r="AP1824">
            <v>463500</v>
          </cell>
          <cell r="AQ1824">
            <v>44729</v>
          </cell>
          <cell r="AR1824">
            <v>44729</v>
          </cell>
          <cell r="AS1824">
            <v>0</v>
          </cell>
          <cell r="AT1824">
            <v>0</v>
          </cell>
          <cell r="AX1824" t="str">
            <v>Yes</v>
          </cell>
          <cell r="AZ1824" t="str">
            <v>Y</v>
          </cell>
          <cell r="BA1824" t="str">
            <v>Yes</v>
          </cell>
        </row>
        <row r="1825">
          <cell r="B1825">
            <v>1675</v>
          </cell>
          <cell r="C1825" t="str">
            <v>C49SZX20220059DY</v>
          </cell>
          <cell r="D1825" t="str">
            <v>朗迅</v>
          </cell>
          <cell r="E1825" t="str">
            <v>YSM20R-2</v>
          </cell>
          <cell r="I1825" t="str">
            <v>R-&gt;L</v>
          </cell>
          <cell r="J1825" t="str">
            <v>MVC</v>
          </cell>
          <cell r="K1825">
            <v>1</v>
          </cell>
          <cell r="N1825">
            <v>44804</v>
          </cell>
          <cell r="O1825">
            <v>11116799</v>
          </cell>
          <cell r="P1825">
            <v>15000000</v>
          </cell>
          <cell r="Q1825">
            <v>44803</v>
          </cell>
          <cell r="R1825" t="str">
            <v>No</v>
          </cell>
          <cell r="S1825" t="str">
            <v>C49</v>
          </cell>
          <cell r="T1825" t="str">
            <v>SOUTH</v>
          </cell>
          <cell r="U1825" t="str">
            <v>深圳</v>
          </cell>
          <cell r="V1825" t="str">
            <v>SZ 深圳</v>
          </cell>
          <cell r="W1825" t="str">
            <v>DY</v>
          </cell>
          <cell r="X1825" t="str">
            <v>JPY</v>
          </cell>
          <cell r="Y1825">
            <v>15000000</v>
          </cell>
          <cell r="Z1825">
            <v>1</v>
          </cell>
          <cell r="AA1825">
            <v>15000000</v>
          </cell>
          <cell r="AB1825">
            <v>6.2799999999999995E-2</v>
          </cell>
          <cell r="AC1825">
            <v>941999.99999999988</v>
          </cell>
          <cell r="AD1825">
            <v>113039.99999999999</v>
          </cell>
          <cell r="AE1825">
            <v>0.12</v>
          </cell>
          <cell r="AF1825">
            <v>44708</v>
          </cell>
          <cell r="AG1825" t="str">
            <v>DAP HZ</v>
          </cell>
          <cell r="AK1825">
            <v>0.1</v>
          </cell>
          <cell r="AL1825">
            <v>1500000</v>
          </cell>
          <cell r="AM1825">
            <v>44727</v>
          </cell>
          <cell r="AN1825" t="str">
            <v>Yes</v>
          </cell>
          <cell r="AO1825">
            <v>0.9</v>
          </cell>
          <cell r="AP1825">
            <v>13500000</v>
          </cell>
          <cell r="AQ1825">
            <v>44771</v>
          </cell>
          <cell r="AR1825">
            <v>44771</v>
          </cell>
          <cell r="AS1825">
            <v>0</v>
          </cell>
          <cell r="AT1825">
            <v>0</v>
          </cell>
          <cell r="AX1825" t="str">
            <v>Yes</v>
          </cell>
          <cell r="AZ1825" t="str">
            <v>Y</v>
          </cell>
          <cell r="BA1825" t="str">
            <v>Yes</v>
          </cell>
        </row>
        <row r="1826">
          <cell r="B1826">
            <v>1676</v>
          </cell>
          <cell r="C1826" t="str">
            <v>C49SZX20220059DY</v>
          </cell>
          <cell r="D1826" t="str">
            <v>朗迅</v>
          </cell>
          <cell r="E1826" t="str">
            <v>YSM20R-2</v>
          </cell>
          <cell r="I1826" t="str">
            <v>R-&gt;L</v>
          </cell>
          <cell r="J1826" t="str">
            <v>MVC</v>
          </cell>
          <cell r="K1826">
            <v>1</v>
          </cell>
          <cell r="O1826">
            <v>11116799</v>
          </cell>
          <cell r="P1826">
            <v>15000000</v>
          </cell>
          <cell r="Q1826">
            <v>44803</v>
          </cell>
          <cell r="R1826" t="str">
            <v>No</v>
          </cell>
          <cell r="S1826" t="str">
            <v>C49</v>
          </cell>
          <cell r="T1826" t="str">
            <v>SOUTH</v>
          </cell>
          <cell r="U1826" t="str">
            <v>深圳</v>
          </cell>
          <cell r="V1826" t="str">
            <v>SZ 深圳</v>
          </cell>
          <cell r="W1826" t="str">
            <v>DY</v>
          </cell>
          <cell r="X1826" t="str">
            <v>JPY</v>
          </cell>
          <cell r="Y1826">
            <v>15000000</v>
          </cell>
          <cell r="Z1826">
            <v>1</v>
          </cell>
          <cell r="AA1826">
            <v>15000000</v>
          </cell>
          <cell r="AB1826">
            <v>6.2799999999999995E-2</v>
          </cell>
          <cell r="AC1826">
            <v>941999.99999999988</v>
          </cell>
          <cell r="AD1826">
            <v>113039.99999999999</v>
          </cell>
          <cell r="AE1826">
            <v>0.12</v>
          </cell>
          <cell r="AF1826">
            <v>44708</v>
          </cell>
          <cell r="AG1826" t="str">
            <v>DAP HZ</v>
          </cell>
          <cell r="AK1826">
            <v>0.1</v>
          </cell>
          <cell r="AL1826">
            <v>1500000</v>
          </cell>
          <cell r="AM1826">
            <v>44727</v>
          </cell>
          <cell r="AN1826" t="str">
            <v>Yes</v>
          </cell>
          <cell r="AO1826">
            <v>0.9</v>
          </cell>
          <cell r="AP1826">
            <v>13500000</v>
          </cell>
          <cell r="AQ1826">
            <v>44771</v>
          </cell>
          <cell r="AR1826">
            <v>44771</v>
          </cell>
          <cell r="AS1826">
            <v>0</v>
          </cell>
          <cell r="AT1826">
            <v>0</v>
          </cell>
          <cell r="AX1826" t="str">
            <v>Yes</v>
          </cell>
          <cell r="AZ1826" t="str">
            <v>Y</v>
          </cell>
          <cell r="BA1826" t="str">
            <v>Yes</v>
          </cell>
        </row>
        <row r="1827">
          <cell r="B1827">
            <v>1677</v>
          </cell>
          <cell r="C1827" t="str">
            <v>C49SZX202200066SS</v>
          </cell>
          <cell r="D1827" t="str">
            <v>思迈</v>
          </cell>
          <cell r="E1827" t="str">
            <v>YSM10</v>
          </cell>
          <cell r="I1827" t="str">
            <v>L-&gt;R</v>
          </cell>
          <cell r="J1827" t="str">
            <v>MVC</v>
          </cell>
          <cell r="K1827">
            <v>1</v>
          </cell>
          <cell r="N1827">
            <v>44733</v>
          </cell>
          <cell r="O1827">
            <v>11100538</v>
          </cell>
          <cell r="P1827">
            <v>460000</v>
          </cell>
          <cell r="Q1827">
            <v>44734</v>
          </cell>
          <cell r="R1827" t="str">
            <v>No</v>
          </cell>
          <cell r="S1827" t="str">
            <v>C49</v>
          </cell>
          <cell r="T1827" t="str">
            <v>SOUTH</v>
          </cell>
          <cell r="U1827" t="str">
            <v>深圳</v>
          </cell>
          <cell r="V1827" t="str">
            <v>SZ 深圳</v>
          </cell>
          <cell r="W1827" t="str">
            <v>SS</v>
          </cell>
          <cell r="X1827" t="str">
            <v>RMB</v>
          </cell>
          <cell r="Y1827">
            <v>460000</v>
          </cell>
          <cell r="Z1827">
            <v>1.1299999999999999</v>
          </cell>
          <cell r="AA1827">
            <v>460000</v>
          </cell>
          <cell r="AB1827">
            <v>1.175</v>
          </cell>
          <cell r="AC1827">
            <v>478318.5840707965</v>
          </cell>
          <cell r="AD1827">
            <v>57398.230088495577</v>
          </cell>
          <cell r="AE1827">
            <v>0.12</v>
          </cell>
          <cell r="AF1827">
            <v>44718</v>
          </cell>
          <cell r="AG1827" t="str">
            <v>DDP SZ</v>
          </cell>
          <cell r="AK1827">
            <v>0.1</v>
          </cell>
          <cell r="AL1827">
            <v>60000</v>
          </cell>
          <cell r="AM1827">
            <v>44720</v>
          </cell>
          <cell r="AN1827" t="str">
            <v>Yes</v>
          </cell>
          <cell r="AO1827">
            <v>0.9</v>
          </cell>
          <cell r="AP1827">
            <v>400000</v>
          </cell>
          <cell r="AQ1827">
            <v>44732</v>
          </cell>
          <cell r="AR1827">
            <v>44732</v>
          </cell>
          <cell r="AS1827">
            <v>0</v>
          </cell>
          <cell r="AT1827">
            <v>0</v>
          </cell>
          <cell r="AX1827" t="str">
            <v>Yes</v>
          </cell>
          <cell r="AZ1827" t="str">
            <v>Y</v>
          </cell>
          <cell r="BA1827" t="str">
            <v>Yes</v>
          </cell>
        </row>
        <row r="1828">
          <cell r="B1828">
            <v>1678</v>
          </cell>
          <cell r="C1828" t="str">
            <v>C49SZX20220065SX</v>
          </cell>
          <cell r="D1828" t="str">
            <v>正讯</v>
          </cell>
          <cell r="E1828" t="str">
            <v>YSM10</v>
          </cell>
          <cell r="I1828" t="str">
            <v>R-&gt;L</v>
          </cell>
          <cell r="J1828" t="str">
            <v>MVC</v>
          </cell>
          <cell r="K1828">
            <v>1</v>
          </cell>
          <cell r="N1828">
            <v>44725</v>
          </cell>
          <cell r="O1828">
            <v>11100540</v>
          </cell>
          <cell r="P1828">
            <v>660000</v>
          </cell>
          <cell r="Q1828">
            <v>44735</v>
          </cell>
          <cell r="R1828" t="str">
            <v>No</v>
          </cell>
          <cell r="S1828" t="str">
            <v>C49</v>
          </cell>
          <cell r="T1828" t="str">
            <v>SOUTH</v>
          </cell>
          <cell r="U1828" t="str">
            <v>深圳</v>
          </cell>
          <cell r="V1828" t="str">
            <v>SZ 深圳</v>
          </cell>
          <cell r="W1828" t="str">
            <v>SX</v>
          </cell>
          <cell r="X1828" t="str">
            <v>RMB</v>
          </cell>
          <cell r="Y1828">
            <v>660000</v>
          </cell>
          <cell r="Z1828">
            <v>1.1299999999999999</v>
          </cell>
          <cell r="AA1828">
            <v>660000</v>
          </cell>
          <cell r="AB1828">
            <v>1.175</v>
          </cell>
          <cell r="AC1828">
            <v>686283.18584070809</v>
          </cell>
          <cell r="AD1828">
            <v>82353.982300884963</v>
          </cell>
          <cell r="AE1828">
            <v>0.12</v>
          </cell>
          <cell r="AF1828">
            <v>44718</v>
          </cell>
          <cell r="AG1828" t="str">
            <v>DDP SZ</v>
          </cell>
          <cell r="AK1828">
            <v>0.1</v>
          </cell>
          <cell r="AL1828">
            <v>66000</v>
          </cell>
          <cell r="AM1828">
            <v>44721</v>
          </cell>
          <cell r="AN1828" t="str">
            <v>Yes</v>
          </cell>
          <cell r="AO1828">
            <v>0.9</v>
          </cell>
          <cell r="AP1828">
            <v>594000</v>
          </cell>
          <cell r="AQ1828">
            <v>44722</v>
          </cell>
          <cell r="AR1828">
            <v>44722</v>
          </cell>
          <cell r="AS1828">
            <v>0</v>
          </cell>
          <cell r="AT1828">
            <v>0</v>
          </cell>
          <cell r="AX1828" t="str">
            <v>Yes</v>
          </cell>
          <cell r="AZ1828" t="str">
            <v>Y</v>
          </cell>
          <cell r="BA1828" t="str">
            <v>Yes</v>
          </cell>
        </row>
        <row r="1829">
          <cell r="B1829">
            <v>1679</v>
          </cell>
          <cell r="C1829" t="str">
            <v>C49SZX20220065SX</v>
          </cell>
          <cell r="D1829" t="str">
            <v>正讯</v>
          </cell>
          <cell r="E1829" t="str">
            <v>YSM20R-2</v>
          </cell>
          <cell r="I1829" t="str">
            <v>R-&gt;L</v>
          </cell>
          <cell r="J1829" t="str">
            <v>No</v>
          </cell>
          <cell r="K1829">
            <v>1</v>
          </cell>
          <cell r="N1829">
            <v>44725</v>
          </cell>
          <cell r="O1829">
            <v>11100540</v>
          </cell>
          <cell r="P1829">
            <v>900000</v>
          </cell>
          <cell r="Q1829">
            <v>44735</v>
          </cell>
          <cell r="R1829" t="str">
            <v>No</v>
          </cell>
          <cell r="S1829" t="str">
            <v>C49</v>
          </cell>
          <cell r="T1829" t="str">
            <v>SOUTH</v>
          </cell>
          <cell r="U1829" t="str">
            <v>深圳</v>
          </cell>
          <cell r="V1829" t="str">
            <v>SZ 深圳</v>
          </cell>
          <cell r="W1829" t="str">
            <v>SX</v>
          </cell>
          <cell r="X1829" t="str">
            <v>RMB</v>
          </cell>
          <cell r="Y1829">
            <v>900000</v>
          </cell>
          <cell r="Z1829">
            <v>1.1299999999999999</v>
          </cell>
          <cell r="AA1829">
            <v>900000</v>
          </cell>
          <cell r="AB1829">
            <v>1.175</v>
          </cell>
          <cell r="AC1829">
            <v>935840.70796460181</v>
          </cell>
          <cell r="AD1829">
            <v>112300.88495575222</v>
          </cell>
          <cell r="AE1829">
            <v>0.12</v>
          </cell>
          <cell r="AF1829">
            <v>44718</v>
          </cell>
          <cell r="AG1829" t="str">
            <v>DDP SZ</v>
          </cell>
          <cell r="AK1829">
            <v>0.1</v>
          </cell>
          <cell r="AL1829">
            <v>90000</v>
          </cell>
          <cell r="AM1829">
            <v>44721</v>
          </cell>
          <cell r="AN1829" t="str">
            <v>Yes</v>
          </cell>
          <cell r="AO1829">
            <v>0.9</v>
          </cell>
          <cell r="AP1829">
            <v>810000</v>
          </cell>
          <cell r="AQ1829">
            <v>44722</v>
          </cell>
          <cell r="AR1829">
            <v>44722</v>
          </cell>
          <cell r="AS1829">
            <v>0</v>
          </cell>
          <cell r="AT1829">
            <v>0</v>
          </cell>
          <cell r="AX1829" t="str">
            <v>Yes</v>
          </cell>
          <cell r="AZ1829" t="str">
            <v>Y</v>
          </cell>
          <cell r="BA1829" t="str">
            <v>Yes</v>
          </cell>
        </row>
        <row r="1830">
          <cell r="B1830">
            <v>1680</v>
          </cell>
          <cell r="C1830" t="str">
            <v>C49SZX20220067SQ</v>
          </cell>
          <cell r="D1830" t="str">
            <v>湘浩</v>
          </cell>
          <cell r="E1830" t="str">
            <v>YSM10</v>
          </cell>
          <cell r="I1830" t="str">
            <v>L-&gt;R</v>
          </cell>
          <cell r="J1830" t="str">
            <v>No</v>
          </cell>
          <cell r="K1830">
            <v>1</v>
          </cell>
          <cell r="N1830">
            <v>44757</v>
          </cell>
          <cell r="O1830">
            <v>11100544</v>
          </cell>
          <cell r="P1830">
            <v>623546</v>
          </cell>
          <cell r="Q1830">
            <v>44768</v>
          </cell>
          <cell r="R1830" t="str">
            <v>Yes</v>
          </cell>
          <cell r="S1830" t="str">
            <v>C49</v>
          </cell>
          <cell r="T1830" t="str">
            <v>SOUTH</v>
          </cell>
          <cell r="U1830" t="str">
            <v>深圳</v>
          </cell>
          <cell r="V1830" t="str">
            <v>SZ 深圳</v>
          </cell>
          <cell r="W1830" t="str">
            <v>SQ</v>
          </cell>
          <cell r="X1830" t="str">
            <v>RMB</v>
          </cell>
          <cell r="Y1830">
            <v>623546</v>
          </cell>
          <cell r="Z1830">
            <v>1.1299999999999999</v>
          </cell>
          <cell r="AA1830">
            <v>623546</v>
          </cell>
          <cell r="AB1830">
            <v>1.175</v>
          </cell>
          <cell r="AC1830">
            <v>648377.47787610628</v>
          </cell>
          <cell r="AD1830">
            <v>77805.297345132756</v>
          </cell>
          <cell r="AE1830">
            <v>0.12</v>
          </cell>
          <cell r="AF1830">
            <v>44720</v>
          </cell>
          <cell r="AG1830" t="str">
            <v>DDP FS</v>
          </cell>
          <cell r="AK1830">
            <v>0.1</v>
          </cell>
          <cell r="AL1830">
            <v>62354.600000000006</v>
          </cell>
          <cell r="AM1830">
            <v>44726</v>
          </cell>
          <cell r="AN1830" t="str">
            <v>Yes</v>
          </cell>
          <cell r="AO1830">
            <v>0.9</v>
          </cell>
          <cell r="AP1830">
            <v>561191.4</v>
          </cell>
          <cell r="AQ1830">
            <v>44755</v>
          </cell>
          <cell r="AR1830">
            <v>44755</v>
          </cell>
          <cell r="AS1830">
            <v>0</v>
          </cell>
          <cell r="AT1830">
            <v>0</v>
          </cell>
          <cell r="AX1830" t="str">
            <v>Yes</v>
          </cell>
          <cell r="AZ1830" t="str">
            <v>Y</v>
          </cell>
          <cell r="BA1830" t="str">
            <v>Yes</v>
          </cell>
        </row>
        <row r="1831">
          <cell r="B1831">
            <v>1681</v>
          </cell>
          <cell r="C1831" t="str">
            <v>C49SZX20220061MX</v>
          </cell>
          <cell r="D1831" t="str">
            <v>欣华</v>
          </cell>
          <cell r="E1831" t="str">
            <v>YSM10</v>
          </cell>
          <cell r="F1831"/>
          <cell r="H1831"/>
          <cell r="I1831" t="str">
            <v>L-&gt;R</v>
          </cell>
          <cell r="J1831" t="str">
            <v>MVC</v>
          </cell>
          <cell r="K1831">
            <v>1</v>
          </cell>
          <cell r="L1831"/>
          <cell r="N1831"/>
          <cell r="O1831"/>
          <cell r="P1831"/>
          <cell r="Q1831"/>
          <cell r="R1831" t="str">
            <v>No</v>
          </cell>
          <cell r="S1831" t="str">
            <v>C49</v>
          </cell>
          <cell r="T1831" t="str">
            <v>SOUTH</v>
          </cell>
          <cell r="U1831" t="str">
            <v>深圳</v>
          </cell>
          <cell r="V1831" t="str">
            <v>SZ 深圳</v>
          </cell>
          <cell r="W1831" t="str">
            <v>MX</v>
          </cell>
          <cell r="X1831" t="str">
            <v>JPY</v>
          </cell>
          <cell r="Y1831">
            <v>10000000</v>
          </cell>
          <cell r="Z1831">
            <v>1</v>
          </cell>
          <cell r="AA1831">
            <v>10000000</v>
          </cell>
          <cell r="AB1831">
            <v>6.25E-2</v>
          </cell>
          <cell r="AC1831">
            <v>625000</v>
          </cell>
          <cell r="AD1831">
            <v>75000</v>
          </cell>
          <cell r="AE1831">
            <v>0.12</v>
          </cell>
          <cell r="AF1831">
            <v>44721</v>
          </cell>
          <cell r="AG1831" t="str">
            <v>DAP SZ</v>
          </cell>
          <cell r="AI1831"/>
          <cell r="AJ1831"/>
          <cell r="AK1831">
            <v>0.2</v>
          </cell>
          <cell r="AL1831">
            <v>2000000</v>
          </cell>
          <cell r="AM1831"/>
          <cell r="AN1831" t="str">
            <v>No</v>
          </cell>
          <cell r="AO1831">
            <v>0.8</v>
          </cell>
          <cell r="AP1831">
            <v>8000000</v>
          </cell>
          <cell r="AQ1831"/>
          <cell r="AR1831"/>
          <cell r="AS1831">
            <v>0</v>
          </cell>
          <cell r="AT1831">
            <v>0</v>
          </cell>
          <cell r="AV1831"/>
          <cell r="AX1831" t="str">
            <v>Cancel</v>
          </cell>
          <cell r="AY1831"/>
          <cell r="AZ1831"/>
          <cell r="BA1831" t="str">
            <v>Cancel</v>
          </cell>
          <cell r="BB1831" t="str">
            <v>2023-3-31Ken邮件通知</v>
          </cell>
        </row>
        <row r="1832">
          <cell r="B1832">
            <v>1682</v>
          </cell>
          <cell r="C1832" t="str">
            <v>C49SZX20220061MX</v>
          </cell>
          <cell r="D1832" t="str">
            <v>欣华</v>
          </cell>
          <cell r="E1832" t="str">
            <v>YSM20R-2</v>
          </cell>
          <cell r="F1832"/>
          <cell r="H1832"/>
          <cell r="I1832" t="str">
            <v>L-&gt;R</v>
          </cell>
          <cell r="J1832" t="str">
            <v>No</v>
          </cell>
          <cell r="K1832">
            <v>1</v>
          </cell>
          <cell r="L1832"/>
          <cell r="N1832"/>
          <cell r="O1832"/>
          <cell r="P1832"/>
          <cell r="Q1832"/>
          <cell r="R1832" t="str">
            <v>No</v>
          </cell>
          <cell r="S1832" t="str">
            <v>C49</v>
          </cell>
          <cell r="T1832" t="str">
            <v>SOUTH</v>
          </cell>
          <cell r="U1832" t="str">
            <v>深圳</v>
          </cell>
          <cell r="V1832" t="str">
            <v>SZ 深圳</v>
          </cell>
          <cell r="W1832" t="str">
            <v>MX</v>
          </cell>
          <cell r="X1832" t="str">
            <v>JPY</v>
          </cell>
          <cell r="Y1832">
            <v>13000000</v>
          </cell>
          <cell r="Z1832">
            <v>1</v>
          </cell>
          <cell r="AA1832">
            <v>13000000</v>
          </cell>
          <cell r="AB1832">
            <v>6.25E-2</v>
          </cell>
          <cell r="AC1832">
            <v>812500</v>
          </cell>
          <cell r="AD1832">
            <v>97500</v>
          </cell>
          <cell r="AE1832">
            <v>0.12</v>
          </cell>
          <cell r="AF1832">
            <v>44721</v>
          </cell>
          <cell r="AG1832" t="str">
            <v>DAP SZ</v>
          </cell>
          <cell r="AI1832"/>
          <cell r="AJ1832"/>
          <cell r="AK1832">
            <v>0.2</v>
          </cell>
          <cell r="AL1832">
            <v>2600000</v>
          </cell>
          <cell r="AM1832"/>
          <cell r="AN1832" t="str">
            <v>No</v>
          </cell>
          <cell r="AO1832">
            <v>0.8</v>
          </cell>
          <cell r="AP1832">
            <v>10400000</v>
          </cell>
          <cell r="AQ1832"/>
          <cell r="AR1832"/>
          <cell r="AS1832">
            <v>0</v>
          </cell>
          <cell r="AT1832">
            <v>0</v>
          </cell>
          <cell r="AV1832"/>
          <cell r="AX1832" t="str">
            <v>Cancel</v>
          </cell>
          <cell r="AY1832"/>
          <cell r="AZ1832"/>
          <cell r="BA1832" t="str">
            <v>Cancel</v>
          </cell>
          <cell r="BB1832" t="str">
            <v>2023-3-31Ken邮件通知</v>
          </cell>
        </row>
        <row r="1833">
          <cell r="B1833">
            <v>1683</v>
          </cell>
          <cell r="C1833" t="str">
            <v>C49SZX20220063JY</v>
          </cell>
          <cell r="D1833" t="str">
            <v>芯联鑫</v>
          </cell>
          <cell r="E1833" t="str">
            <v>YSM10</v>
          </cell>
          <cell r="I1833" t="str">
            <v>L-&gt;R</v>
          </cell>
          <cell r="J1833" t="str">
            <v>No</v>
          </cell>
          <cell r="K1833">
            <v>1</v>
          </cell>
          <cell r="N1833">
            <v>44741</v>
          </cell>
          <cell r="P1833">
            <v>450000</v>
          </cell>
          <cell r="R1833" t="str">
            <v>No</v>
          </cell>
          <cell r="S1833" t="str">
            <v>C49</v>
          </cell>
          <cell r="T1833" t="str">
            <v>SOUTH</v>
          </cell>
          <cell r="U1833" t="str">
            <v>深圳</v>
          </cell>
          <cell r="V1833" t="str">
            <v>SZ 深圳</v>
          </cell>
          <cell r="W1833" t="str">
            <v>JY</v>
          </cell>
          <cell r="X1833" t="str">
            <v>RMB</v>
          </cell>
          <cell r="Y1833">
            <v>450000</v>
          </cell>
          <cell r="Z1833">
            <v>1.1299999999999999</v>
          </cell>
          <cell r="AA1833">
            <v>450000</v>
          </cell>
          <cell r="AB1833">
            <v>1.175</v>
          </cell>
          <cell r="AC1833">
            <v>467920.35398230091</v>
          </cell>
          <cell r="AD1833">
            <v>56150.442477876109</v>
          </cell>
          <cell r="AE1833">
            <v>0.12</v>
          </cell>
          <cell r="AF1833">
            <v>44723</v>
          </cell>
          <cell r="AG1833" t="str">
            <v>DDP GZ</v>
          </cell>
          <cell r="AI1833">
            <v>90000</v>
          </cell>
          <cell r="AJ1833">
            <v>44726</v>
          </cell>
          <cell r="AK1833">
            <v>0.2</v>
          </cell>
          <cell r="AL1833">
            <v>90000</v>
          </cell>
          <cell r="AM1833">
            <v>44726</v>
          </cell>
          <cell r="AN1833" t="str">
            <v>Yes</v>
          </cell>
          <cell r="AO1833">
            <v>0.8</v>
          </cell>
          <cell r="AP1833">
            <v>360000</v>
          </cell>
          <cell r="AQ1833">
            <v>44739</v>
          </cell>
          <cell r="AR1833">
            <v>44739</v>
          </cell>
          <cell r="AS1833">
            <v>0</v>
          </cell>
          <cell r="AT1833">
            <v>0</v>
          </cell>
          <cell r="AX1833" t="str">
            <v>Yes</v>
          </cell>
          <cell r="AZ1833" t="str">
            <v>Y</v>
          </cell>
          <cell r="BA1833" t="str">
            <v>Yes</v>
          </cell>
        </row>
        <row r="1834">
          <cell r="B1834">
            <v>1684</v>
          </cell>
          <cell r="C1834" t="str">
            <v>C49SZX20220063JY</v>
          </cell>
          <cell r="D1834" t="str">
            <v>芯联鑫</v>
          </cell>
          <cell r="E1834" t="str">
            <v>YSM10</v>
          </cell>
          <cell r="I1834" t="str">
            <v>L-&gt;R</v>
          </cell>
          <cell r="J1834" t="str">
            <v>No</v>
          </cell>
          <cell r="K1834">
            <v>1</v>
          </cell>
          <cell r="N1834">
            <v>44741</v>
          </cell>
          <cell r="P1834">
            <v>450000</v>
          </cell>
          <cell r="R1834" t="str">
            <v>No</v>
          </cell>
          <cell r="S1834" t="str">
            <v>C49</v>
          </cell>
          <cell r="T1834" t="str">
            <v>SOUTH</v>
          </cell>
          <cell r="U1834" t="str">
            <v>深圳</v>
          </cell>
          <cell r="V1834" t="str">
            <v>SZ 深圳</v>
          </cell>
          <cell r="W1834" t="str">
            <v>JY</v>
          </cell>
          <cell r="X1834" t="str">
            <v>RMB</v>
          </cell>
          <cell r="Y1834">
            <v>450000</v>
          </cell>
          <cell r="Z1834">
            <v>1.1299999999999999</v>
          </cell>
          <cell r="AA1834">
            <v>450000</v>
          </cell>
          <cell r="AB1834">
            <v>1.175</v>
          </cell>
          <cell r="AC1834">
            <v>467920.35398230091</v>
          </cell>
          <cell r="AD1834">
            <v>56150.442477876109</v>
          </cell>
          <cell r="AE1834">
            <v>0.12</v>
          </cell>
          <cell r="AF1834">
            <v>44723</v>
          </cell>
          <cell r="AG1834" t="str">
            <v>DDP GZ</v>
          </cell>
          <cell r="AI1834"/>
          <cell r="AJ1834"/>
          <cell r="AK1834">
            <v>0.2</v>
          </cell>
          <cell r="AL1834">
            <v>90000</v>
          </cell>
          <cell r="AM1834">
            <v>44726</v>
          </cell>
          <cell r="AN1834" t="str">
            <v>Yes</v>
          </cell>
          <cell r="AO1834">
            <v>0.8</v>
          </cell>
          <cell r="AP1834">
            <v>360000</v>
          </cell>
          <cell r="AQ1834">
            <v>44739</v>
          </cell>
          <cell r="AR1834">
            <v>44739</v>
          </cell>
          <cell r="AS1834">
            <v>0</v>
          </cell>
          <cell r="AT1834">
            <v>0</v>
          </cell>
          <cell r="AX1834" t="str">
            <v>Yes</v>
          </cell>
          <cell r="AZ1834" t="str">
            <v>Y</v>
          </cell>
          <cell r="BA1834" t="str">
            <v>Yes</v>
          </cell>
        </row>
        <row r="1835">
          <cell r="B1835">
            <v>1685</v>
          </cell>
          <cell r="C1835" t="str">
            <v>C49SZX20220068MZ</v>
          </cell>
          <cell r="D1835" t="str">
            <v>斯迈拓</v>
          </cell>
          <cell r="E1835" t="str">
            <v>YSM20R-2</v>
          </cell>
          <cell r="F1835"/>
          <cell r="H1835"/>
          <cell r="I1835" t="str">
            <v>L-&gt;R</v>
          </cell>
          <cell r="J1835" t="str">
            <v>MVC</v>
          </cell>
          <cell r="K1835">
            <v>1</v>
          </cell>
          <cell r="L1835"/>
          <cell r="N1835"/>
          <cell r="O1835"/>
          <cell r="P1835"/>
          <cell r="Q1835"/>
          <cell r="R1835" t="str">
            <v>Yes</v>
          </cell>
          <cell r="S1835" t="str">
            <v>C49</v>
          </cell>
          <cell r="T1835" t="str">
            <v>SOUTH</v>
          </cell>
          <cell r="U1835" t="str">
            <v>深圳</v>
          </cell>
          <cell r="V1835" t="str">
            <v>SZ 深圳</v>
          </cell>
          <cell r="W1835" t="str">
            <v>MZ</v>
          </cell>
          <cell r="X1835" t="str">
            <v>JPY</v>
          </cell>
          <cell r="Y1835">
            <v>18100000</v>
          </cell>
          <cell r="Z1835">
            <v>1</v>
          </cell>
          <cell r="AA1835">
            <v>18100000</v>
          </cell>
          <cell r="AB1835">
            <v>6.25E-2</v>
          </cell>
          <cell r="AC1835">
            <v>1131250</v>
          </cell>
          <cell r="AD1835">
            <v>135750</v>
          </cell>
          <cell r="AE1835">
            <v>0.12</v>
          </cell>
          <cell r="AF1835">
            <v>44721</v>
          </cell>
          <cell r="AG1835" t="str">
            <v>DAP HZ</v>
          </cell>
          <cell r="AI1835"/>
          <cell r="AJ1835"/>
          <cell r="AK1835">
            <v>0.1</v>
          </cell>
          <cell r="AL1835">
            <v>1810000</v>
          </cell>
          <cell r="AM1835"/>
          <cell r="AN1835" t="str">
            <v>No</v>
          </cell>
          <cell r="AO1835">
            <v>0.9</v>
          </cell>
          <cell r="AP1835">
            <v>16290000</v>
          </cell>
          <cell r="AQ1835"/>
          <cell r="AR1835"/>
          <cell r="AS1835">
            <v>0</v>
          </cell>
          <cell r="AT1835">
            <v>0</v>
          </cell>
          <cell r="AV1835"/>
          <cell r="AX1835" t="str">
            <v>Cancel</v>
          </cell>
          <cell r="AY1835"/>
          <cell r="AZ1835"/>
          <cell r="BA1835" t="str">
            <v>Cancel</v>
          </cell>
          <cell r="BB1835" t="str">
            <v>2022-10-10Ken邮件通知</v>
          </cell>
        </row>
        <row r="1836">
          <cell r="B1836">
            <v>1686</v>
          </cell>
          <cell r="C1836" t="str">
            <v>C49SZX20220068MZ</v>
          </cell>
          <cell r="D1836" t="str">
            <v>斯迈拓</v>
          </cell>
          <cell r="E1836" t="str">
            <v>YSM20R-2</v>
          </cell>
          <cell r="F1836"/>
          <cell r="H1836"/>
          <cell r="I1836" t="str">
            <v>L-&gt;R</v>
          </cell>
          <cell r="J1836" t="str">
            <v>MVC</v>
          </cell>
          <cell r="K1836">
            <v>1</v>
          </cell>
          <cell r="L1836"/>
          <cell r="N1836"/>
          <cell r="O1836"/>
          <cell r="P1836"/>
          <cell r="Q1836"/>
          <cell r="R1836" t="str">
            <v>Yes</v>
          </cell>
          <cell r="S1836" t="str">
            <v>C49</v>
          </cell>
          <cell r="T1836" t="str">
            <v>SOUTH</v>
          </cell>
          <cell r="U1836" t="str">
            <v>深圳</v>
          </cell>
          <cell r="V1836" t="str">
            <v>SZ 深圳</v>
          </cell>
          <cell r="W1836" t="str">
            <v>MZ</v>
          </cell>
          <cell r="X1836" t="str">
            <v>JPY</v>
          </cell>
          <cell r="Y1836">
            <v>18100000</v>
          </cell>
          <cell r="Z1836">
            <v>1</v>
          </cell>
          <cell r="AA1836">
            <v>18100000</v>
          </cell>
          <cell r="AB1836">
            <v>6.25E-2</v>
          </cell>
          <cell r="AC1836">
            <v>1131250</v>
          </cell>
          <cell r="AD1836">
            <v>135750</v>
          </cell>
          <cell r="AE1836">
            <v>0.12</v>
          </cell>
          <cell r="AF1836">
            <v>44721</v>
          </cell>
          <cell r="AG1836" t="str">
            <v>DAP HZ</v>
          </cell>
          <cell r="AI1836"/>
          <cell r="AJ1836"/>
          <cell r="AK1836">
            <v>0.1</v>
          </cell>
          <cell r="AL1836">
            <v>1810000</v>
          </cell>
          <cell r="AM1836"/>
          <cell r="AN1836" t="str">
            <v>No</v>
          </cell>
          <cell r="AO1836">
            <v>0.9</v>
          </cell>
          <cell r="AP1836">
            <v>16290000</v>
          </cell>
          <cell r="AQ1836"/>
          <cell r="AR1836"/>
          <cell r="AS1836">
            <v>0</v>
          </cell>
          <cell r="AT1836">
            <v>0</v>
          </cell>
          <cell r="AV1836"/>
          <cell r="AX1836" t="str">
            <v>Cancel</v>
          </cell>
          <cell r="AY1836"/>
          <cell r="AZ1836"/>
          <cell r="BA1836" t="str">
            <v>Cancel</v>
          </cell>
          <cell r="BB1836" t="str">
            <v>2022-10-10Ken邮件通知</v>
          </cell>
        </row>
        <row r="1837">
          <cell r="B1837">
            <v>1687</v>
          </cell>
          <cell r="C1837" t="str">
            <v>C49SZX20220072DZ</v>
          </cell>
          <cell r="D1837" t="str">
            <v>朗特</v>
          </cell>
          <cell r="E1837" t="str">
            <v>YSM20R-2</v>
          </cell>
          <cell r="I1837" t="str">
            <v>R-&gt;L</v>
          </cell>
          <cell r="J1837" t="str">
            <v>No</v>
          </cell>
          <cell r="K1837">
            <v>1</v>
          </cell>
          <cell r="N1837">
            <v>44754</v>
          </cell>
          <cell r="O1837">
            <v>11100545</v>
          </cell>
          <cell r="P1837">
            <v>762233</v>
          </cell>
          <cell r="Q1837">
            <v>44768</v>
          </cell>
          <cell r="R1837" t="str">
            <v>No</v>
          </cell>
          <cell r="S1837" t="str">
            <v>C49</v>
          </cell>
          <cell r="T1837" t="str">
            <v>SOUTH</v>
          </cell>
          <cell r="U1837" t="str">
            <v>深圳</v>
          </cell>
          <cell r="V1837" t="str">
            <v>SZ 深圳</v>
          </cell>
          <cell r="W1837" t="str">
            <v>MZ</v>
          </cell>
          <cell r="X1837" t="str">
            <v>RMB</v>
          </cell>
          <cell r="Y1837">
            <v>762233</v>
          </cell>
          <cell r="Z1837">
            <v>1.1299999999999999</v>
          </cell>
          <cell r="AA1837">
            <v>762233</v>
          </cell>
          <cell r="AB1837">
            <v>1.175</v>
          </cell>
          <cell r="AC1837">
            <v>792587.41150442488</v>
          </cell>
          <cell r="AD1837">
            <v>95110.489380530984</v>
          </cell>
          <cell r="AE1837">
            <v>0.12</v>
          </cell>
          <cell r="AF1837">
            <v>44734</v>
          </cell>
          <cell r="AG1837" t="str">
            <v>DDP SZ</v>
          </cell>
          <cell r="AK1837">
            <v>0.3</v>
          </cell>
          <cell r="AL1837">
            <v>228669.9</v>
          </cell>
          <cell r="AM1837">
            <v>44741</v>
          </cell>
          <cell r="AN1837" t="str">
            <v>Yes</v>
          </cell>
          <cell r="AO1837">
            <v>0.7</v>
          </cell>
          <cell r="AP1837">
            <v>533563.1</v>
          </cell>
          <cell r="AQ1837">
            <v>44749</v>
          </cell>
          <cell r="AR1837">
            <v>44749</v>
          </cell>
          <cell r="AS1837">
            <v>0</v>
          </cell>
          <cell r="AT1837">
            <v>0</v>
          </cell>
          <cell r="AX1837" t="str">
            <v>Yes</v>
          </cell>
          <cell r="AZ1837" t="str">
            <v>Y</v>
          </cell>
          <cell r="BA1837" t="str">
            <v>Yes</v>
          </cell>
        </row>
        <row r="1838">
          <cell r="B1838">
            <v>1688</v>
          </cell>
          <cell r="C1838" t="str">
            <v>C49SZX20220072DZ</v>
          </cell>
          <cell r="D1838" t="str">
            <v>朗特</v>
          </cell>
          <cell r="E1838" t="str">
            <v>YSM20R-2</v>
          </cell>
          <cell r="I1838" t="str">
            <v>R-&gt;L</v>
          </cell>
          <cell r="J1838" t="str">
            <v>No</v>
          </cell>
          <cell r="K1838">
            <v>1</v>
          </cell>
          <cell r="N1838">
            <v>44742</v>
          </cell>
          <cell r="O1838">
            <v>11100545</v>
          </cell>
          <cell r="P1838">
            <v>762233</v>
          </cell>
          <cell r="Q1838">
            <v>44768</v>
          </cell>
          <cell r="R1838" t="str">
            <v>No</v>
          </cell>
          <cell r="S1838" t="str">
            <v>C49</v>
          </cell>
          <cell r="T1838" t="str">
            <v>SOUTH</v>
          </cell>
          <cell r="U1838" t="str">
            <v>深圳</v>
          </cell>
          <cell r="V1838" t="str">
            <v>SZ 深圳</v>
          </cell>
          <cell r="W1838" t="str">
            <v>MZ</v>
          </cell>
          <cell r="X1838" t="str">
            <v>RMB</v>
          </cell>
          <cell r="Y1838">
            <v>762233</v>
          </cell>
          <cell r="Z1838">
            <v>1.1299999999999999</v>
          </cell>
          <cell r="AA1838">
            <v>762233</v>
          </cell>
          <cell r="AB1838">
            <v>1.175</v>
          </cell>
          <cell r="AC1838">
            <v>792587.41150442488</v>
          </cell>
          <cell r="AD1838">
            <v>95110.489380530984</v>
          </cell>
          <cell r="AE1838">
            <v>0.12</v>
          </cell>
          <cell r="AF1838">
            <v>44734</v>
          </cell>
          <cell r="AG1838" t="str">
            <v>DDP SZ</v>
          </cell>
          <cell r="AK1838">
            <v>0.3</v>
          </cell>
          <cell r="AL1838">
            <v>228669.9</v>
          </cell>
          <cell r="AM1838">
            <v>44739</v>
          </cell>
          <cell r="AN1838" t="str">
            <v>Yes</v>
          </cell>
          <cell r="AO1838">
            <v>0.7</v>
          </cell>
          <cell r="AP1838">
            <v>533563.1</v>
          </cell>
          <cell r="AQ1838">
            <v>44741</v>
          </cell>
          <cell r="AR1838">
            <v>44741</v>
          </cell>
          <cell r="AS1838">
            <v>0</v>
          </cell>
          <cell r="AT1838">
            <v>0</v>
          </cell>
          <cell r="AX1838" t="str">
            <v>Yes</v>
          </cell>
          <cell r="AZ1838" t="str">
            <v>Y</v>
          </cell>
          <cell r="BA1838" t="str">
            <v>Yes</v>
          </cell>
        </row>
        <row r="1839">
          <cell r="B1839">
            <v>1689</v>
          </cell>
          <cell r="C1839" t="str">
            <v>C49SZX20220072DZ</v>
          </cell>
          <cell r="D1839" t="str">
            <v>朗特</v>
          </cell>
          <cell r="E1839" t="str">
            <v>YSM10</v>
          </cell>
          <cell r="I1839" t="str">
            <v>R-&gt;L</v>
          </cell>
          <cell r="J1839" t="str">
            <v>MVC+ATS15</v>
          </cell>
          <cell r="K1839">
            <v>1</v>
          </cell>
          <cell r="N1839">
            <v>44742</v>
          </cell>
          <cell r="O1839">
            <v>11100545</v>
          </cell>
          <cell r="P1839">
            <v>575779</v>
          </cell>
          <cell r="Q1839">
            <v>44768</v>
          </cell>
          <cell r="R1839" t="str">
            <v>No</v>
          </cell>
          <cell r="S1839" t="str">
            <v>C49</v>
          </cell>
          <cell r="T1839" t="str">
            <v>SOUTH</v>
          </cell>
          <cell r="U1839" t="str">
            <v>深圳</v>
          </cell>
          <cell r="V1839" t="str">
            <v>SZ 深圳</v>
          </cell>
          <cell r="W1839" t="str">
            <v>MZ</v>
          </cell>
          <cell r="X1839" t="str">
            <v>RMB</v>
          </cell>
          <cell r="Y1839">
            <v>575779</v>
          </cell>
          <cell r="Z1839">
            <v>1.1299999999999999</v>
          </cell>
          <cell r="AA1839">
            <v>575779</v>
          </cell>
          <cell r="AB1839">
            <v>1.175</v>
          </cell>
          <cell r="AC1839">
            <v>598708.25221238949</v>
          </cell>
          <cell r="AD1839">
            <v>71844.990265486733</v>
          </cell>
          <cell r="AE1839">
            <v>0.12</v>
          </cell>
          <cell r="AF1839">
            <v>44734</v>
          </cell>
          <cell r="AG1839" t="str">
            <v>DDP SZ</v>
          </cell>
          <cell r="AK1839">
            <v>0.3</v>
          </cell>
          <cell r="AL1839">
            <v>172733.69999999998</v>
          </cell>
          <cell r="AM1839">
            <v>44739</v>
          </cell>
          <cell r="AN1839" t="str">
            <v>Yes</v>
          </cell>
          <cell r="AO1839">
            <v>0.7</v>
          </cell>
          <cell r="AP1839">
            <v>403045.3</v>
          </cell>
          <cell r="AQ1839">
            <v>44741</v>
          </cell>
          <cell r="AR1839">
            <v>44741</v>
          </cell>
          <cell r="AS1839">
            <v>0</v>
          </cell>
          <cell r="AT1839">
            <v>0</v>
          </cell>
          <cell r="AX1839" t="str">
            <v>Yes</v>
          </cell>
          <cell r="AZ1839" t="str">
            <v>Y</v>
          </cell>
          <cell r="BA1839" t="str">
            <v>Yes</v>
          </cell>
        </row>
        <row r="1840">
          <cell r="B1840">
            <v>1690</v>
          </cell>
          <cell r="C1840" t="str">
            <v>C49SZX20220042JY</v>
          </cell>
          <cell r="D1840" t="str">
            <v>德天伟</v>
          </cell>
          <cell r="E1840" t="str">
            <v>YSM20R-2</v>
          </cell>
          <cell r="I1840" t="str">
            <v>L-&gt;R</v>
          </cell>
          <cell r="J1840" t="str">
            <v>No</v>
          </cell>
          <cell r="K1840">
            <v>1</v>
          </cell>
          <cell r="N1840">
            <v>44862</v>
          </cell>
          <cell r="O1840">
            <v>11116808</v>
          </cell>
          <cell r="P1840">
            <v>13980000</v>
          </cell>
          <cell r="Q1840">
            <v>44861</v>
          </cell>
          <cell r="R1840" t="str">
            <v>Yes</v>
          </cell>
          <cell r="S1840" t="str">
            <v>C49</v>
          </cell>
          <cell r="T1840" t="str">
            <v>SOUTH</v>
          </cell>
          <cell r="U1840" t="str">
            <v>深圳</v>
          </cell>
          <cell r="V1840" t="str">
            <v>SZ 深圳</v>
          </cell>
          <cell r="W1840" t="str">
            <v>JY</v>
          </cell>
          <cell r="X1840" t="str">
            <v>JPY</v>
          </cell>
          <cell r="Y1840">
            <v>13980000</v>
          </cell>
          <cell r="Z1840">
            <v>1</v>
          </cell>
          <cell r="AA1840">
            <v>13980000</v>
          </cell>
          <cell r="AB1840">
            <v>6.25E-2</v>
          </cell>
          <cell r="AC1840">
            <v>873750</v>
          </cell>
          <cell r="AD1840">
            <v>104850</v>
          </cell>
          <cell r="AE1840">
            <v>0.12</v>
          </cell>
          <cell r="AF1840">
            <v>44734</v>
          </cell>
          <cell r="AG1840" t="str">
            <v>DAP SZ</v>
          </cell>
          <cell r="AI1840">
            <v>20000</v>
          </cell>
          <cell r="AJ1840">
            <v>44764</v>
          </cell>
          <cell r="AK1840">
            <v>1</v>
          </cell>
          <cell r="AL1840">
            <v>13980000</v>
          </cell>
          <cell r="AM1840">
            <v>44858</v>
          </cell>
          <cell r="AN1840" t="str">
            <v>Yes</v>
          </cell>
          <cell r="AO1840">
            <v>0</v>
          </cell>
          <cell r="AP1840">
            <v>0</v>
          </cell>
          <cell r="AS1840">
            <v>0</v>
          </cell>
          <cell r="AT1840">
            <v>0</v>
          </cell>
          <cell r="AX1840" t="str">
            <v>Yes</v>
          </cell>
          <cell r="AZ1840" t="str">
            <v>Y</v>
          </cell>
          <cell r="BA1840" t="str">
            <v>Yes</v>
          </cell>
        </row>
        <row r="1841">
          <cell r="B1841">
            <v>1691</v>
          </cell>
          <cell r="C1841" t="str">
            <v>C49SZX20220075SX</v>
          </cell>
          <cell r="D1841" t="str">
            <v>柏星</v>
          </cell>
          <cell r="E1841" t="str">
            <v>YSM10</v>
          </cell>
          <cell r="I1841" t="str">
            <v>R-&gt;L</v>
          </cell>
          <cell r="J1841" t="str">
            <v>MVC</v>
          </cell>
          <cell r="K1841">
            <v>1</v>
          </cell>
          <cell r="N1841">
            <v>44746</v>
          </cell>
          <cell r="O1841">
            <v>11100543</v>
          </cell>
          <cell r="P1841">
            <v>570000</v>
          </cell>
          <cell r="Q1841">
            <v>44754</v>
          </cell>
          <cell r="R1841" t="str">
            <v>No</v>
          </cell>
          <cell r="S1841" t="str">
            <v>C49</v>
          </cell>
          <cell r="T1841" t="str">
            <v>SOUTH</v>
          </cell>
          <cell r="U1841" t="str">
            <v>深圳</v>
          </cell>
          <cell r="V1841" t="str">
            <v>SZ 深圳</v>
          </cell>
          <cell r="W1841" t="str">
            <v>SX</v>
          </cell>
          <cell r="X1841" t="str">
            <v>RMB</v>
          </cell>
          <cell r="Y1841">
            <v>570000</v>
          </cell>
          <cell r="Z1841">
            <v>1.1299999999999999</v>
          </cell>
          <cell r="AA1841">
            <v>570000</v>
          </cell>
          <cell r="AB1841">
            <v>1.175</v>
          </cell>
          <cell r="AC1841">
            <v>592699.11504424794</v>
          </cell>
          <cell r="AD1841">
            <v>71123.893805309752</v>
          </cell>
          <cell r="AE1841">
            <v>0.12</v>
          </cell>
          <cell r="AF1841">
            <v>44735</v>
          </cell>
          <cell r="AG1841" t="str">
            <v>DDP DG</v>
          </cell>
          <cell r="AK1841">
            <v>0.1</v>
          </cell>
          <cell r="AL1841">
            <v>57000</v>
          </cell>
          <cell r="AM1841">
            <v>44735</v>
          </cell>
          <cell r="AN1841" t="str">
            <v>Yes</v>
          </cell>
          <cell r="AO1841">
            <v>0.9</v>
          </cell>
          <cell r="AP1841">
            <v>513000</v>
          </cell>
          <cell r="AQ1841">
            <v>44739</v>
          </cell>
          <cell r="AR1841">
            <v>44739</v>
          </cell>
          <cell r="AS1841">
            <v>0</v>
          </cell>
          <cell r="AT1841">
            <v>0</v>
          </cell>
          <cell r="AX1841" t="str">
            <v>Yes</v>
          </cell>
          <cell r="AZ1841" t="str">
            <v>Y</v>
          </cell>
          <cell r="BA1841" t="str">
            <v>Yes</v>
          </cell>
        </row>
        <row r="1842">
          <cell r="B1842">
            <v>1692</v>
          </cell>
          <cell r="C1842" t="str">
            <v>C49SZX20220070JY</v>
          </cell>
          <cell r="D1842" t="str">
            <v>宏翔福</v>
          </cell>
          <cell r="E1842" t="str">
            <v>YSM10</v>
          </cell>
          <cell r="I1842" t="str">
            <v>L-&gt;R</v>
          </cell>
          <cell r="J1842" t="str">
            <v>MVC</v>
          </cell>
          <cell r="K1842">
            <v>1</v>
          </cell>
          <cell r="N1842">
            <v>44931</v>
          </cell>
          <cell r="O1842">
            <v>11116817</v>
          </cell>
          <cell r="P1842">
            <v>8300000</v>
          </cell>
          <cell r="Q1842">
            <v>44925</v>
          </cell>
          <cell r="R1842" t="str">
            <v>Yes</v>
          </cell>
          <cell r="S1842" t="str">
            <v>C49</v>
          </cell>
          <cell r="T1842" t="str">
            <v>SOUTH</v>
          </cell>
          <cell r="U1842" t="str">
            <v>深圳</v>
          </cell>
          <cell r="V1842" t="str">
            <v>SZ 深圳</v>
          </cell>
          <cell r="W1842" t="str">
            <v>JY</v>
          </cell>
          <cell r="X1842" t="str">
            <v>JPY</v>
          </cell>
          <cell r="Y1842">
            <v>8300000</v>
          </cell>
          <cell r="Z1842">
            <v>1</v>
          </cell>
          <cell r="AA1842">
            <v>8300000</v>
          </cell>
          <cell r="AB1842">
            <v>6.25E-2</v>
          </cell>
          <cell r="AC1842">
            <v>518750</v>
          </cell>
          <cell r="AD1842">
            <v>62250</v>
          </cell>
          <cell r="AE1842">
            <v>0.12</v>
          </cell>
          <cell r="AF1842">
            <v>44740</v>
          </cell>
          <cell r="AG1842" t="str">
            <v>CIF HK</v>
          </cell>
          <cell r="AK1842">
            <v>0.1</v>
          </cell>
          <cell r="AL1842">
            <v>830000</v>
          </cell>
          <cell r="AM1842">
            <v>44747</v>
          </cell>
          <cell r="AN1842" t="str">
            <v>Yes</v>
          </cell>
          <cell r="AO1842">
            <v>0.9</v>
          </cell>
          <cell r="AP1842">
            <v>7470000</v>
          </cell>
          <cell r="AQ1842">
            <v>44924</v>
          </cell>
          <cell r="AR1842">
            <v>44924</v>
          </cell>
          <cell r="AS1842">
            <v>0</v>
          </cell>
          <cell r="AT1842">
            <v>0</v>
          </cell>
          <cell r="AX1842" t="str">
            <v>Yes</v>
          </cell>
          <cell r="AZ1842" t="str">
            <v>Y</v>
          </cell>
          <cell r="BA1842" t="str">
            <v>Yes</v>
          </cell>
        </row>
        <row r="1843">
          <cell r="B1843">
            <v>1693</v>
          </cell>
          <cell r="C1843" t="str">
            <v>C49SZX20220070JY</v>
          </cell>
          <cell r="D1843" t="str">
            <v>宏翔福</v>
          </cell>
          <cell r="E1843" t="str">
            <v>YSM10</v>
          </cell>
          <cell r="I1843" t="str">
            <v>R-&gt;L</v>
          </cell>
          <cell r="J1843" t="str">
            <v>MVC</v>
          </cell>
          <cell r="K1843">
            <v>1</v>
          </cell>
          <cell r="N1843">
            <v>44931</v>
          </cell>
          <cell r="O1843">
            <v>11116817</v>
          </cell>
          <cell r="P1843">
            <v>8300000</v>
          </cell>
          <cell r="Q1843">
            <v>44925</v>
          </cell>
          <cell r="R1843" t="str">
            <v>Yes</v>
          </cell>
          <cell r="S1843" t="str">
            <v>C49</v>
          </cell>
          <cell r="T1843" t="str">
            <v>SOUTH</v>
          </cell>
          <cell r="U1843" t="str">
            <v>深圳</v>
          </cell>
          <cell r="V1843" t="str">
            <v>SZ 深圳</v>
          </cell>
          <cell r="W1843" t="str">
            <v>JY</v>
          </cell>
          <cell r="X1843" t="str">
            <v>JPY</v>
          </cell>
          <cell r="Y1843">
            <v>8300000</v>
          </cell>
          <cell r="Z1843">
            <v>1</v>
          </cell>
          <cell r="AA1843">
            <v>8300000</v>
          </cell>
          <cell r="AB1843">
            <v>6.25E-2</v>
          </cell>
          <cell r="AC1843">
            <v>518750</v>
          </cell>
          <cell r="AD1843">
            <v>62250</v>
          </cell>
          <cell r="AE1843">
            <v>0.12</v>
          </cell>
          <cell r="AF1843">
            <v>44740</v>
          </cell>
          <cell r="AG1843" t="str">
            <v>CIF HK</v>
          </cell>
          <cell r="AK1843">
            <v>0.1</v>
          </cell>
          <cell r="AL1843">
            <v>830000</v>
          </cell>
          <cell r="AM1843">
            <v>44747</v>
          </cell>
          <cell r="AN1843" t="str">
            <v>Yes</v>
          </cell>
          <cell r="AO1843">
            <v>0.9</v>
          </cell>
          <cell r="AP1843">
            <v>7470000</v>
          </cell>
          <cell r="AQ1843">
            <v>44924</v>
          </cell>
          <cell r="AR1843">
            <v>44924</v>
          </cell>
          <cell r="AS1843">
            <v>0</v>
          </cell>
          <cell r="AT1843">
            <v>0</v>
          </cell>
          <cell r="AX1843" t="str">
            <v>Yes</v>
          </cell>
          <cell r="AZ1843" t="str">
            <v>Y</v>
          </cell>
          <cell r="BA1843" t="str">
            <v>Yes</v>
          </cell>
        </row>
        <row r="1844">
          <cell r="B1844">
            <v>1694</v>
          </cell>
          <cell r="C1844" t="str">
            <v>C28SZX20220076R1TS</v>
          </cell>
          <cell r="D1844" t="str">
            <v>杰龙</v>
          </cell>
          <cell r="E1844" t="str">
            <v>Solader Star VP-0640P-V</v>
          </cell>
          <cell r="K1844">
            <v>1</v>
          </cell>
          <cell r="N1844">
            <v>44769</v>
          </cell>
          <cell r="O1844">
            <v>11100547</v>
          </cell>
          <cell r="P1844">
            <v>53744</v>
          </cell>
          <cell r="Q1844">
            <v>44771</v>
          </cell>
          <cell r="R1844" t="str">
            <v>Yes</v>
          </cell>
          <cell r="S1844" t="str">
            <v>C28</v>
          </cell>
          <cell r="T1844" t="str">
            <v>SOUTH</v>
          </cell>
          <cell r="U1844" t="str">
            <v>深圳</v>
          </cell>
          <cell r="V1844" t="str">
            <v>SZ 深圳</v>
          </cell>
          <cell r="W1844" t="str">
            <v>SK</v>
          </cell>
          <cell r="X1844" t="str">
            <v>RMB</v>
          </cell>
          <cell r="Y1844">
            <v>53744</v>
          </cell>
          <cell r="Z1844">
            <v>1.1299999999999999</v>
          </cell>
          <cell r="AA1844">
            <v>53744</v>
          </cell>
          <cell r="AB1844">
            <v>1.175</v>
          </cell>
          <cell r="AC1844">
            <v>55884.24778761062</v>
          </cell>
          <cell r="AD1844">
            <v>6706.1097345132739</v>
          </cell>
          <cell r="AE1844">
            <v>0.12</v>
          </cell>
          <cell r="AF1844">
            <v>44742</v>
          </cell>
          <cell r="AG1844" t="str">
            <v>DDP SH</v>
          </cell>
          <cell r="AK1844">
            <v>1</v>
          </cell>
          <cell r="AL1844">
            <v>53744</v>
          </cell>
          <cell r="AM1844">
            <v>44749</v>
          </cell>
          <cell r="AN1844" t="str">
            <v>Yes</v>
          </cell>
          <cell r="AO1844">
            <v>0</v>
          </cell>
          <cell r="AP1844">
            <v>0</v>
          </cell>
          <cell r="AS1844">
            <v>0</v>
          </cell>
          <cell r="AT1844">
            <v>0</v>
          </cell>
          <cell r="AX1844" t="str">
            <v>Yes</v>
          </cell>
          <cell r="AZ1844" t="str">
            <v>Y</v>
          </cell>
          <cell r="BA1844" t="str">
            <v>Yes</v>
          </cell>
        </row>
        <row r="1845">
          <cell r="B1845">
            <v>1695</v>
          </cell>
          <cell r="C1845" t="str">
            <v>C49SZX20220077SS</v>
          </cell>
          <cell r="D1845" t="str">
            <v>世启纳</v>
          </cell>
          <cell r="E1845" t="str">
            <v>YSM20R-2</v>
          </cell>
          <cell r="I1845" t="str">
            <v>R-&gt;L</v>
          </cell>
          <cell r="J1845" t="str">
            <v>No</v>
          </cell>
          <cell r="K1845">
            <v>1</v>
          </cell>
          <cell r="N1845">
            <v>44760</v>
          </cell>
          <cell r="O1845">
            <v>11100546</v>
          </cell>
          <cell r="P1845">
            <v>750000</v>
          </cell>
          <cell r="Q1845">
            <v>44768</v>
          </cell>
          <cell r="R1845" t="str">
            <v>No</v>
          </cell>
          <cell r="S1845" t="str">
            <v>C49</v>
          </cell>
          <cell r="T1845" t="str">
            <v>SOUTH</v>
          </cell>
          <cell r="U1845" t="str">
            <v>深圳</v>
          </cell>
          <cell r="V1845" t="str">
            <v>SZ 深圳</v>
          </cell>
          <cell r="W1845" t="str">
            <v>SS</v>
          </cell>
          <cell r="X1845" t="str">
            <v>RMB</v>
          </cell>
          <cell r="Y1845">
            <v>750000</v>
          </cell>
          <cell r="Z1845">
            <v>1.1299999999999999</v>
          </cell>
          <cell r="AA1845">
            <v>750000</v>
          </cell>
          <cell r="AB1845">
            <v>1.17</v>
          </cell>
          <cell r="AC1845">
            <v>776548.67256637174</v>
          </cell>
          <cell r="AD1845">
            <v>93185.840707964599</v>
          </cell>
          <cell r="AE1845">
            <v>0.12</v>
          </cell>
          <cell r="AF1845">
            <v>44747</v>
          </cell>
          <cell r="AG1845" t="str">
            <v>DDP SZ</v>
          </cell>
          <cell r="AK1845">
            <v>0.1</v>
          </cell>
          <cell r="AL1845">
            <v>286000</v>
          </cell>
          <cell r="AM1845">
            <v>44749</v>
          </cell>
          <cell r="AN1845" t="str">
            <v>Yes</v>
          </cell>
          <cell r="AO1845">
            <v>0.9</v>
          </cell>
          <cell r="AP1845">
            <v>464000</v>
          </cell>
          <cell r="AQ1845">
            <v>44756</v>
          </cell>
          <cell r="AR1845">
            <v>44756</v>
          </cell>
          <cell r="AS1845">
            <v>0</v>
          </cell>
          <cell r="AT1845">
            <v>0</v>
          </cell>
          <cell r="AX1845" t="str">
            <v>Yes</v>
          </cell>
          <cell r="AZ1845" t="str">
            <v>Y</v>
          </cell>
          <cell r="BA1845" t="str">
            <v>Yes</v>
          </cell>
        </row>
        <row r="1846">
          <cell r="B1846">
            <v>1696</v>
          </cell>
          <cell r="C1846" t="str">
            <v>C49SZX20220053SS</v>
          </cell>
          <cell r="D1846" t="str">
            <v>阿姆斯特</v>
          </cell>
          <cell r="E1846" t="str">
            <v>YSM20R-2</v>
          </cell>
          <cell r="I1846" t="str">
            <v>L-&gt;R</v>
          </cell>
          <cell r="J1846" t="str">
            <v>No</v>
          </cell>
          <cell r="K1846">
            <v>1</v>
          </cell>
          <cell r="N1846">
            <v>44764</v>
          </cell>
          <cell r="O1846">
            <v>11100550</v>
          </cell>
          <cell r="P1846">
            <v>740000</v>
          </cell>
          <cell r="Q1846">
            <v>44781</v>
          </cell>
          <cell r="R1846" t="str">
            <v>Yes</v>
          </cell>
          <cell r="S1846" t="str">
            <v>C49</v>
          </cell>
          <cell r="T1846" t="str">
            <v>SOUTH</v>
          </cell>
          <cell r="U1846" t="str">
            <v>深圳</v>
          </cell>
          <cell r="V1846" t="str">
            <v>SZ 深圳</v>
          </cell>
          <cell r="W1846" t="str">
            <v>SS</v>
          </cell>
          <cell r="X1846" t="str">
            <v>RMB</v>
          </cell>
          <cell r="Y1846">
            <v>740000</v>
          </cell>
          <cell r="Z1846">
            <v>1.1299999999999999</v>
          </cell>
          <cell r="AA1846">
            <v>740000</v>
          </cell>
          <cell r="AB1846">
            <v>1.17</v>
          </cell>
          <cell r="AC1846">
            <v>766194.69026548683</v>
          </cell>
          <cell r="AD1846">
            <v>91943.362831858423</v>
          </cell>
          <cell r="AE1846">
            <v>0.12</v>
          </cell>
          <cell r="AF1846">
            <v>44750</v>
          </cell>
          <cell r="AG1846" t="str">
            <v>DDP DG</v>
          </cell>
          <cell r="AI1846"/>
          <cell r="AJ1846"/>
          <cell r="AK1846">
            <v>1</v>
          </cell>
          <cell r="AL1846">
            <v>740000</v>
          </cell>
          <cell r="AM1846">
            <v>44754</v>
          </cell>
          <cell r="AN1846" t="str">
            <v>Yes</v>
          </cell>
          <cell r="AO1846">
            <v>0</v>
          </cell>
          <cell r="AP1846">
            <v>0</v>
          </cell>
          <cell r="AS1846">
            <v>0</v>
          </cell>
          <cell r="AT1846">
            <v>0</v>
          </cell>
          <cell r="AX1846" t="str">
            <v>Yes</v>
          </cell>
          <cell r="AZ1846" t="str">
            <v>Y</v>
          </cell>
          <cell r="BA1846" t="str">
            <v>Yes</v>
          </cell>
        </row>
        <row r="1847">
          <cell r="B1847">
            <v>1697</v>
          </cell>
          <cell r="C1847" t="str">
            <v>C49SZX20220053SS</v>
          </cell>
          <cell r="D1847" t="str">
            <v>阿姆斯特</v>
          </cell>
          <cell r="E1847" t="str">
            <v>YSM10</v>
          </cell>
          <cell r="I1847" t="str">
            <v>L-&gt;R</v>
          </cell>
          <cell r="J1847" t="str">
            <v>MVC</v>
          </cell>
          <cell r="K1847">
            <v>1</v>
          </cell>
          <cell r="N1847">
            <v>44764</v>
          </cell>
          <cell r="O1847">
            <v>11100550</v>
          </cell>
          <cell r="P1847">
            <v>435000</v>
          </cell>
          <cell r="Q1847">
            <v>44781</v>
          </cell>
          <cell r="R1847" t="str">
            <v>Yes</v>
          </cell>
          <cell r="S1847" t="str">
            <v>C49</v>
          </cell>
          <cell r="T1847" t="str">
            <v>SOUTH</v>
          </cell>
          <cell r="U1847" t="str">
            <v>深圳</v>
          </cell>
          <cell r="V1847" t="str">
            <v>SZ 深圳</v>
          </cell>
          <cell r="W1847" t="str">
            <v>SS</v>
          </cell>
          <cell r="X1847" t="str">
            <v>RMB</v>
          </cell>
          <cell r="Y1847">
            <v>435000</v>
          </cell>
          <cell r="Z1847">
            <v>1.1299999999999999</v>
          </cell>
          <cell r="AA1847">
            <v>435000</v>
          </cell>
          <cell r="AB1847">
            <v>1.17</v>
          </cell>
          <cell r="AC1847">
            <v>450398.23008849559</v>
          </cell>
          <cell r="AD1847">
            <v>54047.787610619467</v>
          </cell>
          <cell r="AE1847">
            <v>0.12</v>
          </cell>
          <cell r="AF1847">
            <v>44750</v>
          </cell>
          <cell r="AG1847" t="str">
            <v>DDP DG</v>
          </cell>
          <cell r="AI1847"/>
          <cell r="AJ1847"/>
          <cell r="AK1847">
            <v>1</v>
          </cell>
          <cell r="AL1847">
            <v>435000</v>
          </cell>
          <cell r="AM1847">
            <v>44754</v>
          </cell>
          <cell r="AN1847" t="str">
            <v>Yes</v>
          </cell>
          <cell r="AO1847">
            <v>0</v>
          </cell>
          <cell r="AP1847">
            <v>0</v>
          </cell>
          <cell r="AS1847">
            <v>0</v>
          </cell>
          <cell r="AT1847">
            <v>0</v>
          </cell>
          <cell r="AX1847" t="str">
            <v>Yes</v>
          </cell>
          <cell r="AZ1847" t="str">
            <v>Y</v>
          </cell>
          <cell r="BA1847" t="str">
            <v>Yes</v>
          </cell>
        </row>
        <row r="1848">
          <cell r="B1848">
            <v>1698</v>
          </cell>
          <cell r="C1848" t="str">
            <v>C49SZX20220071VC</v>
          </cell>
          <cell r="D1848" t="str">
            <v>友艺</v>
          </cell>
          <cell r="E1848" t="str">
            <v>YSM10</v>
          </cell>
          <cell r="F1848"/>
          <cell r="H1848"/>
          <cell r="I1848" t="str">
            <v>L-&gt;R</v>
          </cell>
          <cell r="J1848" t="str">
            <v>MVC+ATS15</v>
          </cell>
          <cell r="K1848">
            <v>1</v>
          </cell>
          <cell r="L1848"/>
          <cell r="N1848"/>
          <cell r="O1848"/>
          <cell r="P1848"/>
          <cell r="Q1848"/>
          <cell r="R1848" t="str">
            <v>No</v>
          </cell>
          <cell r="S1848" t="str">
            <v>C49</v>
          </cell>
          <cell r="T1848" t="str">
            <v>SOUTH</v>
          </cell>
          <cell r="U1848" t="str">
            <v>深圳</v>
          </cell>
          <cell r="V1848" t="str">
            <v>SZ 深圳</v>
          </cell>
          <cell r="W1848" t="str">
            <v>VG</v>
          </cell>
          <cell r="X1848" t="str">
            <v>RMB</v>
          </cell>
          <cell r="Y1848">
            <v>522400</v>
          </cell>
          <cell r="Z1848">
            <v>1.1299999999999999</v>
          </cell>
          <cell r="AA1848">
            <v>522400</v>
          </cell>
          <cell r="AB1848">
            <v>1.17</v>
          </cell>
          <cell r="AC1848">
            <v>540892.03539823007</v>
          </cell>
          <cell r="AD1848">
            <v>64907.044247787606</v>
          </cell>
          <cell r="AE1848">
            <v>0.12</v>
          </cell>
          <cell r="AF1848">
            <v>44750</v>
          </cell>
          <cell r="AG1848" t="str">
            <v>DDP SZ</v>
          </cell>
          <cell r="AI1848"/>
          <cell r="AJ1848"/>
          <cell r="AK1848">
            <v>0.1</v>
          </cell>
          <cell r="AL1848">
            <v>52240</v>
          </cell>
          <cell r="AM1848"/>
          <cell r="AN1848" t="str">
            <v>No</v>
          </cell>
          <cell r="AO1848">
            <v>0.9</v>
          </cell>
          <cell r="AP1848">
            <v>470160</v>
          </cell>
          <cell r="AQ1848"/>
          <cell r="AR1848"/>
          <cell r="AS1848">
            <v>0</v>
          </cell>
          <cell r="AT1848">
            <v>0</v>
          </cell>
          <cell r="AV1848"/>
          <cell r="AX1848" t="str">
            <v>Cancel</v>
          </cell>
          <cell r="AY1848"/>
          <cell r="AZ1848"/>
          <cell r="BA1848" t="str">
            <v>Cancel</v>
          </cell>
          <cell r="BB1848" t="str">
            <v>2023-3-31Ken邮件通知</v>
          </cell>
        </row>
        <row r="1849">
          <cell r="B1849">
            <v>1699</v>
          </cell>
          <cell r="C1849" t="str">
            <v>C49SZX20220079JL</v>
          </cell>
          <cell r="D1849" t="str">
            <v>铭翔</v>
          </cell>
          <cell r="E1849" t="str">
            <v>YSM10</v>
          </cell>
          <cell r="I1849" t="str">
            <v>L-&gt;R</v>
          </cell>
          <cell r="J1849" t="str">
            <v>MVC</v>
          </cell>
          <cell r="K1849">
            <v>1</v>
          </cell>
          <cell r="N1849">
            <v>44827</v>
          </cell>
          <cell r="O1849">
            <v>11100553</v>
          </cell>
          <cell r="P1849">
            <v>475000</v>
          </cell>
          <cell r="Q1849">
            <v>44797</v>
          </cell>
          <cell r="R1849" t="str">
            <v>No</v>
          </cell>
          <cell r="S1849" t="str">
            <v>C49</v>
          </cell>
          <cell r="T1849" t="str">
            <v>SOUTH</v>
          </cell>
          <cell r="U1849" t="str">
            <v>深圳</v>
          </cell>
          <cell r="V1849" t="str">
            <v>SZ 深圳</v>
          </cell>
          <cell r="W1849" t="str">
            <v>JL</v>
          </cell>
          <cell r="X1849" t="str">
            <v>RMB</v>
          </cell>
          <cell r="Y1849">
            <v>475000</v>
          </cell>
          <cell r="Z1849">
            <v>1.1299999999999999</v>
          </cell>
          <cell r="AA1849">
            <v>475000</v>
          </cell>
          <cell r="AB1849">
            <v>1.17</v>
          </cell>
          <cell r="AC1849">
            <v>491814.15929203545</v>
          </cell>
          <cell r="AD1849">
            <v>59017.699115044248</v>
          </cell>
          <cell r="AE1849">
            <v>0.12</v>
          </cell>
          <cell r="AF1849">
            <v>44751</v>
          </cell>
          <cell r="AG1849" t="str">
            <v>DDP  DG</v>
          </cell>
          <cell r="AK1849">
            <v>0.3</v>
          </cell>
          <cell r="AL1849">
            <v>142500</v>
          </cell>
          <cell r="AM1849">
            <v>44763</v>
          </cell>
          <cell r="AN1849" t="str">
            <v>Yes</v>
          </cell>
          <cell r="AO1849">
            <v>0.65</v>
          </cell>
          <cell r="AP1849">
            <v>308750</v>
          </cell>
          <cell r="AQ1849">
            <v>44825</v>
          </cell>
          <cell r="AR1849">
            <v>44825</v>
          </cell>
          <cell r="AS1849">
            <v>0.05</v>
          </cell>
          <cell r="AT1849">
            <v>23750</v>
          </cell>
          <cell r="AX1849" t="str">
            <v>Yes</v>
          </cell>
          <cell r="AZ1849" t="str">
            <v>Y</v>
          </cell>
          <cell r="BA1849" t="str">
            <v>Yes</v>
          </cell>
        </row>
        <row r="1850">
          <cell r="B1850">
            <v>1700</v>
          </cell>
          <cell r="C1850" t="str">
            <v>C49SZX20220079JL</v>
          </cell>
          <cell r="D1850" t="str">
            <v>铭翔</v>
          </cell>
          <cell r="E1850" t="str">
            <v>YSM10</v>
          </cell>
          <cell r="I1850" t="str">
            <v>L-&gt;R</v>
          </cell>
          <cell r="J1850" t="str">
            <v>MVC</v>
          </cell>
          <cell r="K1850">
            <v>1</v>
          </cell>
          <cell r="N1850">
            <v>44827</v>
          </cell>
          <cell r="O1850">
            <v>11100556</v>
          </cell>
          <cell r="P1850">
            <v>475000</v>
          </cell>
          <cell r="Q1850">
            <v>44827</v>
          </cell>
          <cell r="R1850" t="str">
            <v>No</v>
          </cell>
          <cell r="S1850" t="str">
            <v>C49</v>
          </cell>
          <cell r="T1850" t="str">
            <v>SOUTH</v>
          </cell>
          <cell r="U1850" t="str">
            <v>深圳</v>
          </cell>
          <cell r="V1850" t="str">
            <v>SZ 深圳</v>
          </cell>
          <cell r="W1850" t="str">
            <v>JL</v>
          </cell>
          <cell r="X1850" t="str">
            <v>RMB</v>
          </cell>
          <cell r="Y1850">
            <v>475000</v>
          </cell>
          <cell r="Z1850">
            <v>1.1299999999999999</v>
          </cell>
          <cell r="AA1850">
            <v>475000</v>
          </cell>
          <cell r="AB1850">
            <v>1.17</v>
          </cell>
          <cell r="AC1850">
            <v>491814.15929203545</v>
          </cell>
          <cell r="AD1850">
            <v>59017.699115044248</v>
          </cell>
          <cell r="AE1850">
            <v>0.12</v>
          </cell>
          <cell r="AF1850">
            <v>44751</v>
          </cell>
          <cell r="AG1850" t="str">
            <v>DDP  DG</v>
          </cell>
          <cell r="AK1850">
            <v>0.3</v>
          </cell>
          <cell r="AL1850">
            <v>142500</v>
          </cell>
          <cell r="AM1850">
            <v>44763</v>
          </cell>
          <cell r="AN1850" t="str">
            <v>Yes</v>
          </cell>
          <cell r="AO1850">
            <v>0.65</v>
          </cell>
          <cell r="AP1850">
            <v>308750</v>
          </cell>
          <cell r="AQ1850">
            <v>44825</v>
          </cell>
          <cell r="AR1850">
            <v>44825</v>
          </cell>
          <cell r="AS1850">
            <v>0.05</v>
          </cell>
          <cell r="AT1850">
            <v>23750</v>
          </cell>
          <cell r="AX1850" t="str">
            <v>Yes</v>
          </cell>
          <cell r="AZ1850" t="str">
            <v>Y</v>
          </cell>
          <cell r="BA1850" t="str">
            <v>Yes</v>
          </cell>
        </row>
        <row r="1851">
          <cell r="B1851">
            <v>1701</v>
          </cell>
          <cell r="C1851" t="str">
            <v>C49SZX20220073DZ</v>
          </cell>
          <cell r="D1851" t="str">
            <v>朗特</v>
          </cell>
          <cell r="E1851" t="str">
            <v>YSM20R-2</v>
          </cell>
          <cell r="I1851" t="str">
            <v>L-&gt;R</v>
          </cell>
          <cell r="J1851" t="str">
            <v>No</v>
          </cell>
          <cell r="K1851">
            <v>1</v>
          </cell>
          <cell r="N1851">
            <v>44777</v>
          </cell>
          <cell r="O1851">
            <v>11116791</v>
          </cell>
          <cell r="P1851">
            <v>17000000</v>
          </cell>
          <cell r="Q1851">
            <v>44783</v>
          </cell>
          <cell r="R1851" t="str">
            <v>No</v>
          </cell>
          <cell r="S1851" t="str">
            <v>C49</v>
          </cell>
          <cell r="T1851" t="str">
            <v>SOUTH</v>
          </cell>
          <cell r="U1851" t="str">
            <v>深圳</v>
          </cell>
          <cell r="V1851" t="str">
            <v>SZ 深圳</v>
          </cell>
          <cell r="W1851" t="str">
            <v>MZ</v>
          </cell>
          <cell r="X1851" t="str">
            <v>JPY</v>
          </cell>
          <cell r="Y1851">
            <v>17000000</v>
          </cell>
          <cell r="Z1851">
            <v>1</v>
          </cell>
          <cell r="AA1851">
            <v>17000000</v>
          </cell>
          <cell r="AB1851">
            <v>6.25E-2</v>
          </cell>
          <cell r="AC1851">
            <v>1062500</v>
          </cell>
          <cell r="AD1851">
            <v>127500</v>
          </cell>
          <cell r="AE1851">
            <v>0.12</v>
          </cell>
          <cell r="AF1851">
            <v>44754</v>
          </cell>
          <cell r="AG1851" t="str">
            <v>CIF HK</v>
          </cell>
          <cell r="AK1851">
            <v>0.3</v>
          </cell>
          <cell r="AL1851">
            <v>5100000</v>
          </cell>
          <cell r="AM1851">
            <v>44761</v>
          </cell>
          <cell r="AN1851" t="str">
            <v>Yes</v>
          </cell>
          <cell r="AO1851">
            <v>0.7</v>
          </cell>
          <cell r="AP1851">
            <v>11900000</v>
          </cell>
          <cell r="AQ1851">
            <v>44771</v>
          </cell>
          <cell r="AR1851">
            <v>44771</v>
          </cell>
          <cell r="AS1851">
            <v>0</v>
          </cell>
          <cell r="AT1851">
            <v>0</v>
          </cell>
          <cell r="AX1851" t="str">
            <v>Yes</v>
          </cell>
          <cell r="AZ1851" t="str">
            <v>Y</v>
          </cell>
          <cell r="BA1851" t="str">
            <v>Yes</v>
          </cell>
        </row>
        <row r="1852">
          <cell r="B1852">
            <v>1702</v>
          </cell>
          <cell r="C1852" t="str">
            <v>C49SZX20220073DZ</v>
          </cell>
          <cell r="D1852" t="str">
            <v>朗特</v>
          </cell>
          <cell r="E1852" t="str">
            <v>YSM20R-2</v>
          </cell>
          <cell r="I1852" t="str">
            <v>L-&gt;R</v>
          </cell>
          <cell r="J1852" t="str">
            <v>No</v>
          </cell>
          <cell r="K1852">
            <v>1</v>
          </cell>
          <cell r="N1852">
            <v>44777</v>
          </cell>
          <cell r="O1852">
            <v>11116791</v>
          </cell>
          <cell r="P1852">
            <v>17000000</v>
          </cell>
          <cell r="Q1852">
            <v>44783</v>
          </cell>
          <cell r="R1852" t="str">
            <v>No</v>
          </cell>
          <cell r="S1852" t="str">
            <v>C49</v>
          </cell>
          <cell r="T1852" t="str">
            <v>SOUTH</v>
          </cell>
          <cell r="U1852" t="str">
            <v>深圳</v>
          </cell>
          <cell r="V1852" t="str">
            <v>SZ 深圳</v>
          </cell>
          <cell r="W1852" t="str">
            <v>MZ</v>
          </cell>
          <cell r="X1852" t="str">
            <v>JPY</v>
          </cell>
          <cell r="Y1852">
            <v>17000000</v>
          </cell>
          <cell r="Z1852">
            <v>1</v>
          </cell>
          <cell r="AA1852">
            <v>17000000</v>
          </cell>
          <cell r="AB1852">
            <v>6.25E-2</v>
          </cell>
          <cell r="AC1852">
            <v>1062500</v>
          </cell>
          <cell r="AD1852">
            <v>127500</v>
          </cell>
          <cell r="AE1852">
            <v>0.12</v>
          </cell>
          <cell r="AF1852">
            <v>44754</v>
          </cell>
          <cell r="AG1852" t="str">
            <v>CIF HK</v>
          </cell>
          <cell r="AK1852">
            <v>0.3</v>
          </cell>
          <cell r="AL1852">
            <v>5100000</v>
          </cell>
          <cell r="AM1852">
            <v>44761</v>
          </cell>
          <cell r="AN1852" t="str">
            <v>Yes</v>
          </cell>
          <cell r="AO1852">
            <v>0.7</v>
          </cell>
          <cell r="AP1852">
            <v>11900000</v>
          </cell>
          <cell r="AQ1852">
            <v>44771</v>
          </cell>
          <cell r="AR1852">
            <v>44771</v>
          </cell>
          <cell r="AS1852">
            <v>0</v>
          </cell>
          <cell r="AT1852">
            <v>0</v>
          </cell>
          <cell r="AX1852" t="str">
            <v>Yes</v>
          </cell>
          <cell r="AZ1852" t="str">
            <v>Y</v>
          </cell>
          <cell r="BA1852" t="str">
            <v>Yes</v>
          </cell>
        </row>
        <row r="1853">
          <cell r="B1853">
            <v>1703</v>
          </cell>
          <cell r="C1853" t="str">
            <v>C49SZX20220073DZ</v>
          </cell>
          <cell r="D1853" t="str">
            <v>朗特</v>
          </cell>
          <cell r="E1853" t="str">
            <v>YSM20R-2</v>
          </cell>
          <cell r="I1853" t="str">
            <v>L-&gt;R</v>
          </cell>
          <cell r="J1853" t="str">
            <v>No</v>
          </cell>
          <cell r="K1853">
            <v>1</v>
          </cell>
          <cell r="N1853">
            <v>44777</v>
          </cell>
          <cell r="O1853">
            <v>11116791</v>
          </cell>
          <cell r="P1853">
            <v>17000000</v>
          </cell>
          <cell r="Q1853">
            <v>44783</v>
          </cell>
          <cell r="R1853" t="str">
            <v>No</v>
          </cell>
          <cell r="S1853" t="str">
            <v>C49</v>
          </cell>
          <cell r="T1853" t="str">
            <v>SOUTH</v>
          </cell>
          <cell r="U1853" t="str">
            <v>深圳</v>
          </cell>
          <cell r="V1853" t="str">
            <v>SZ 深圳</v>
          </cell>
          <cell r="W1853" t="str">
            <v>MZ</v>
          </cell>
          <cell r="X1853" t="str">
            <v>JPY</v>
          </cell>
          <cell r="Y1853">
            <v>17000000</v>
          </cell>
          <cell r="Z1853">
            <v>1</v>
          </cell>
          <cell r="AA1853">
            <v>17000000</v>
          </cell>
          <cell r="AB1853">
            <v>6.25E-2</v>
          </cell>
          <cell r="AC1853">
            <v>1062500</v>
          </cell>
          <cell r="AD1853">
            <v>127500</v>
          </cell>
          <cell r="AE1853">
            <v>0.12</v>
          </cell>
          <cell r="AF1853">
            <v>44754</v>
          </cell>
          <cell r="AG1853" t="str">
            <v>CIF HK</v>
          </cell>
          <cell r="AK1853">
            <v>0.3</v>
          </cell>
          <cell r="AL1853">
            <v>5100000</v>
          </cell>
          <cell r="AM1853">
            <v>44761</v>
          </cell>
          <cell r="AN1853" t="str">
            <v>Yes</v>
          </cell>
          <cell r="AO1853">
            <v>0.7</v>
          </cell>
          <cell r="AP1853">
            <v>11900000</v>
          </cell>
          <cell r="AQ1853">
            <v>44771</v>
          </cell>
          <cell r="AR1853">
            <v>44771</v>
          </cell>
          <cell r="AS1853">
            <v>0</v>
          </cell>
          <cell r="AT1853">
            <v>0</v>
          </cell>
          <cell r="AX1853" t="str">
            <v>Yes</v>
          </cell>
          <cell r="AZ1853" t="str">
            <v>Y</v>
          </cell>
          <cell r="BA1853" t="str">
            <v>Yes</v>
          </cell>
        </row>
        <row r="1854">
          <cell r="B1854">
            <v>1704</v>
          </cell>
          <cell r="C1854" t="str">
            <v>C49SZX20220073DZ</v>
          </cell>
          <cell r="D1854" t="str">
            <v>朗特</v>
          </cell>
          <cell r="E1854" t="str">
            <v>YSM10</v>
          </cell>
          <cell r="I1854" t="str">
            <v>L-&gt;R</v>
          </cell>
          <cell r="J1854" t="str">
            <v>MVC+ATS15</v>
          </cell>
          <cell r="K1854">
            <v>1</v>
          </cell>
          <cell r="N1854">
            <v>44777</v>
          </cell>
          <cell r="O1854">
            <v>11116791</v>
          </cell>
          <cell r="P1854">
            <v>12014500</v>
          </cell>
          <cell r="Q1854">
            <v>44783</v>
          </cell>
          <cell r="R1854" t="str">
            <v>No</v>
          </cell>
          <cell r="S1854" t="str">
            <v>C49</v>
          </cell>
          <cell r="T1854" t="str">
            <v>SOUTH</v>
          </cell>
          <cell r="U1854" t="str">
            <v>深圳</v>
          </cell>
          <cell r="V1854" t="str">
            <v>SZ 深圳</v>
          </cell>
          <cell r="W1854" t="str">
            <v>MZ</v>
          </cell>
          <cell r="X1854" t="str">
            <v>JPY</v>
          </cell>
          <cell r="Y1854">
            <v>12014500</v>
          </cell>
          <cell r="Z1854">
            <v>1</v>
          </cell>
          <cell r="AA1854">
            <v>12014500</v>
          </cell>
          <cell r="AB1854">
            <v>6.25E-2</v>
          </cell>
          <cell r="AC1854">
            <v>750906.25</v>
          </cell>
          <cell r="AD1854">
            <v>90108.75</v>
          </cell>
          <cell r="AE1854">
            <v>0.12</v>
          </cell>
          <cell r="AF1854">
            <v>44754</v>
          </cell>
          <cell r="AG1854" t="str">
            <v>CIF HK</v>
          </cell>
          <cell r="AK1854">
            <v>0.3</v>
          </cell>
          <cell r="AL1854">
            <v>3604350</v>
          </cell>
          <cell r="AM1854">
            <v>44761</v>
          </cell>
          <cell r="AN1854" t="str">
            <v>Yes</v>
          </cell>
          <cell r="AO1854">
            <v>0.7</v>
          </cell>
          <cell r="AP1854">
            <v>8410150</v>
          </cell>
          <cell r="AQ1854">
            <v>44771</v>
          </cell>
          <cell r="AR1854">
            <v>44771</v>
          </cell>
          <cell r="AS1854">
            <v>0</v>
          </cell>
          <cell r="AT1854">
            <v>0</v>
          </cell>
          <cell r="AX1854" t="str">
            <v>Yes</v>
          </cell>
          <cell r="AZ1854" t="str">
            <v>Y</v>
          </cell>
          <cell r="BA1854" t="str">
            <v>Yes</v>
          </cell>
        </row>
        <row r="1855">
          <cell r="B1855">
            <v>1705</v>
          </cell>
          <cell r="C1855" t="str">
            <v>C49SZX20220073DZ</v>
          </cell>
          <cell r="D1855" t="str">
            <v>朗特</v>
          </cell>
          <cell r="E1855" t="str">
            <v>YSM10</v>
          </cell>
          <cell r="I1855" t="str">
            <v>L-&gt;R</v>
          </cell>
          <cell r="J1855" t="str">
            <v>MVC+ATS15</v>
          </cell>
          <cell r="K1855">
            <v>1</v>
          </cell>
          <cell r="N1855">
            <v>44777</v>
          </cell>
          <cell r="O1855">
            <v>11116791</v>
          </cell>
          <cell r="P1855">
            <v>12014500</v>
          </cell>
          <cell r="Q1855">
            <v>44783</v>
          </cell>
          <cell r="R1855" t="str">
            <v>No</v>
          </cell>
          <cell r="S1855" t="str">
            <v>C49</v>
          </cell>
          <cell r="T1855" t="str">
            <v>SOUTH</v>
          </cell>
          <cell r="U1855" t="str">
            <v>深圳</v>
          </cell>
          <cell r="V1855" t="str">
            <v>SZ 深圳</v>
          </cell>
          <cell r="W1855" t="str">
            <v>MZ</v>
          </cell>
          <cell r="X1855" t="str">
            <v>JPY</v>
          </cell>
          <cell r="Y1855">
            <v>12014500</v>
          </cell>
          <cell r="Z1855">
            <v>1</v>
          </cell>
          <cell r="AA1855">
            <v>12014500</v>
          </cell>
          <cell r="AB1855">
            <v>6.25E-2</v>
          </cell>
          <cell r="AC1855">
            <v>750906.25</v>
          </cell>
          <cell r="AD1855">
            <v>90108.75</v>
          </cell>
          <cell r="AE1855">
            <v>0.12</v>
          </cell>
          <cell r="AF1855">
            <v>44754</v>
          </cell>
          <cell r="AG1855" t="str">
            <v>CIF HK</v>
          </cell>
          <cell r="AK1855">
            <v>0.3</v>
          </cell>
          <cell r="AL1855">
            <v>3604350</v>
          </cell>
          <cell r="AM1855">
            <v>44761</v>
          </cell>
          <cell r="AN1855" t="str">
            <v>Yes</v>
          </cell>
          <cell r="AO1855">
            <v>0.7</v>
          </cell>
          <cell r="AP1855">
            <v>8410150</v>
          </cell>
          <cell r="AQ1855">
            <v>44771</v>
          </cell>
          <cell r="AR1855">
            <v>44771</v>
          </cell>
          <cell r="AS1855">
            <v>0</v>
          </cell>
          <cell r="AT1855">
            <v>0</v>
          </cell>
          <cell r="AX1855" t="str">
            <v>Yes</v>
          </cell>
          <cell r="AZ1855" t="str">
            <v>Y</v>
          </cell>
          <cell r="BA1855" t="str">
            <v>Yes</v>
          </cell>
        </row>
        <row r="1856">
          <cell r="B1856">
            <v>1706</v>
          </cell>
          <cell r="C1856" t="str">
            <v>C49SZX20220073DZ</v>
          </cell>
          <cell r="D1856" t="str">
            <v>朗特</v>
          </cell>
          <cell r="E1856" t="str">
            <v>YSM10</v>
          </cell>
          <cell r="I1856" t="str">
            <v>L-&gt;R</v>
          </cell>
          <cell r="J1856" t="str">
            <v>MVC</v>
          </cell>
          <cell r="K1856">
            <v>1</v>
          </cell>
          <cell r="N1856">
            <v>44777</v>
          </cell>
          <cell r="O1856">
            <v>11116791</v>
          </cell>
          <cell r="P1856">
            <v>12014500</v>
          </cell>
          <cell r="Q1856">
            <v>44783</v>
          </cell>
          <cell r="R1856" t="str">
            <v>No</v>
          </cell>
          <cell r="S1856" t="str">
            <v>C49</v>
          </cell>
          <cell r="T1856" t="str">
            <v>SOUTH</v>
          </cell>
          <cell r="U1856" t="str">
            <v>深圳</v>
          </cell>
          <cell r="V1856" t="str">
            <v>SZ 深圳</v>
          </cell>
          <cell r="W1856" t="str">
            <v>MZ</v>
          </cell>
          <cell r="X1856" t="str">
            <v>JPY</v>
          </cell>
          <cell r="Y1856">
            <v>12014500</v>
          </cell>
          <cell r="Z1856">
            <v>1</v>
          </cell>
          <cell r="AA1856">
            <v>12014500</v>
          </cell>
          <cell r="AB1856">
            <v>6.25E-2</v>
          </cell>
          <cell r="AC1856">
            <v>750906.25</v>
          </cell>
          <cell r="AD1856">
            <v>90108.75</v>
          </cell>
          <cell r="AE1856">
            <v>0.12</v>
          </cell>
          <cell r="AF1856">
            <v>44754</v>
          </cell>
          <cell r="AG1856" t="str">
            <v>CIF HK</v>
          </cell>
          <cell r="AK1856">
            <v>0.3</v>
          </cell>
          <cell r="AL1856">
            <v>3604350</v>
          </cell>
          <cell r="AM1856">
            <v>44761</v>
          </cell>
          <cell r="AN1856" t="str">
            <v>Yes</v>
          </cell>
          <cell r="AO1856">
            <v>0.7</v>
          </cell>
          <cell r="AP1856">
            <v>8410150</v>
          </cell>
          <cell r="AQ1856">
            <v>44771</v>
          </cell>
          <cell r="AR1856">
            <v>44771</v>
          </cell>
          <cell r="AS1856">
            <v>0</v>
          </cell>
          <cell r="AT1856">
            <v>0</v>
          </cell>
          <cell r="AX1856" t="str">
            <v>Yes</v>
          </cell>
          <cell r="AZ1856" t="str">
            <v>Y</v>
          </cell>
          <cell r="BA1856" t="str">
            <v>Yes</v>
          </cell>
        </row>
        <row r="1857">
          <cell r="B1857">
            <v>1707</v>
          </cell>
          <cell r="C1857" t="str">
            <v>C49SZX20220083DZ</v>
          </cell>
          <cell r="D1857" t="str">
            <v>惠州耕创</v>
          </cell>
          <cell r="E1857" t="str">
            <v>YSM40R-4</v>
          </cell>
          <cell r="I1857" t="str">
            <v>L-&gt;R</v>
          </cell>
          <cell r="J1857" t="str">
            <v>No</v>
          </cell>
          <cell r="K1857">
            <v>1</v>
          </cell>
          <cell r="N1857">
            <v>44789</v>
          </cell>
          <cell r="O1857">
            <v>11100552</v>
          </cell>
          <cell r="P1857">
            <v>1440000</v>
          </cell>
          <cell r="Q1857">
            <v>44790</v>
          </cell>
          <cell r="R1857" t="str">
            <v>No</v>
          </cell>
          <cell r="S1857" t="str">
            <v>C49</v>
          </cell>
          <cell r="T1857" t="str">
            <v>SOUTH</v>
          </cell>
          <cell r="U1857" t="str">
            <v>深圳</v>
          </cell>
          <cell r="V1857" t="str">
            <v>SZ 深圳</v>
          </cell>
          <cell r="W1857" t="str">
            <v>JY</v>
          </cell>
          <cell r="X1857" t="str">
            <v>RMB</v>
          </cell>
          <cell r="Y1857">
            <v>1440000</v>
          </cell>
          <cell r="Z1857">
            <v>1.1299999999999999</v>
          </cell>
          <cell r="AA1857">
            <v>1440000</v>
          </cell>
          <cell r="AB1857">
            <v>1.17</v>
          </cell>
          <cell r="AC1857">
            <v>1490973.4513274336</v>
          </cell>
          <cell r="AD1857">
            <v>178916.81415929203</v>
          </cell>
          <cell r="AE1857">
            <v>0.12</v>
          </cell>
          <cell r="AF1857">
            <v>44762</v>
          </cell>
          <cell r="AG1857" t="str">
            <v>DDP HZ</v>
          </cell>
          <cell r="AK1857">
            <v>0.2</v>
          </cell>
          <cell r="AL1857">
            <v>288000</v>
          </cell>
          <cell r="AM1857">
            <v>44764</v>
          </cell>
          <cell r="AN1857" t="str">
            <v>Yes</v>
          </cell>
          <cell r="AO1857">
            <v>0.8</v>
          </cell>
          <cell r="AP1857">
            <v>1152000</v>
          </cell>
          <cell r="AQ1857">
            <v>44788</v>
          </cell>
          <cell r="AR1857">
            <v>44788</v>
          </cell>
          <cell r="AS1857">
            <v>0</v>
          </cell>
          <cell r="AT1857">
            <v>0</v>
          </cell>
          <cell r="AX1857" t="str">
            <v>Yes</v>
          </cell>
          <cell r="AZ1857" t="str">
            <v>Y</v>
          </cell>
          <cell r="BA1857" t="str">
            <v>Yes</v>
          </cell>
        </row>
        <row r="1858">
          <cell r="B1858">
            <v>1708</v>
          </cell>
          <cell r="C1858" t="str">
            <v>C49SZX20220083DZ</v>
          </cell>
          <cell r="D1858" t="str">
            <v>惠州耕创</v>
          </cell>
          <cell r="E1858" t="str">
            <v>YSM40R-4</v>
          </cell>
          <cell r="I1858" t="str">
            <v>L-&gt;R</v>
          </cell>
          <cell r="J1858" t="str">
            <v>No</v>
          </cell>
          <cell r="K1858">
            <v>1</v>
          </cell>
          <cell r="N1858">
            <v>44789</v>
          </cell>
          <cell r="O1858">
            <v>11100552</v>
          </cell>
          <cell r="P1858">
            <v>1440000</v>
          </cell>
          <cell r="Q1858">
            <v>44790</v>
          </cell>
          <cell r="R1858" t="str">
            <v>No</v>
          </cell>
          <cell r="S1858" t="str">
            <v>C49</v>
          </cell>
          <cell r="T1858" t="str">
            <v>SOUTH</v>
          </cell>
          <cell r="U1858" t="str">
            <v>深圳</v>
          </cell>
          <cell r="V1858" t="str">
            <v>SZ 深圳</v>
          </cell>
          <cell r="W1858" t="str">
            <v>JY</v>
          </cell>
          <cell r="X1858" t="str">
            <v>RMB</v>
          </cell>
          <cell r="Y1858">
            <v>1440000</v>
          </cell>
          <cell r="Z1858">
            <v>1.1299999999999999</v>
          </cell>
          <cell r="AA1858">
            <v>1440000</v>
          </cell>
          <cell r="AB1858">
            <v>1.17</v>
          </cell>
          <cell r="AC1858">
            <v>1490973.4513274336</v>
          </cell>
          <cell r="AD1858">
            <v>178916.81415929203</v>
          </cell>
          <cell r="AE1858">
            <v>0.12</v>
          </cell>
          <cell r="AF1858">
            <v>44762</v>
          </cell>
          <cell r="AG1858" t="str">
            <v>DDP HZ</v>
          </cell>
          <cell r="AK1858">
            <v>0.2</v>
          </cell>
          <cell r="AL1858">
            <v>288000</v>
          </cell>
          <cell r="AM1858">
            <v>44764</v>
          </cell>
          <cell r="AN1858" t="str">
            <v>Yes</v>
          </cell>
          <cell r="AO1858">
            <v>0.8</v>
          </cell>
          <cell r="AP1858">
            <v>1152000</v>
          </cell>
          <cell r="AQ1858">
            <v>44788</v>
          </cell>
          <cell r="AR1858">
            <v>44788</v>
          </cell>
          <cell r="AS1858">
            <v>0</v>
          </cell>
          <cell r="AT1858">
            <v>0</v>
          </cell>
          <cell r="AX1858" t="str">
            <v>Yes</v>
          </cell>
          <cell r="AZ1858" t="str">
            <v>Y</v>
          </cell>
          <cell r="BA1858" t="str">
            <v>Yes</v>
          </cell>
        </row>
        <row r="1859">
          <cell r="B1859">
            <v>1709</v>
          </cell>
          <cell r="C1859" t="str">
            <v>C49SZX20220080JY</v>
          </cell>
          <cell r="D1859" t="str">
            <v>顺禾</v>
          </cell>
          <cell r="E1859" t="str">
            <v>YSM20R-2</v>
          </cell>
          <cell r="I1859" t="str">
            <v>L-&gt;R</v>
          </cell>
          <cell r="J1859" t="str">
            <v>No</v>
          </cell>
          <cell r="K1859">
            <v>1</v>
          </cell>
          <cell r="N1859">
            <v>44785</v>
          </cell>
          <cell r="O1859">
            <v>11100551</v>
          </cell>
          <cell r="P1859">
            <v>860640</v>
          </cell>
          <cell r="Q1859">
            <v>44789</v>
          </cell>
          <cell r="R1859" t="str">
            <v>No</v>
          </cell>
          <cell r="S1859" t="str">
            <v>C49</v>
          </cell>
          <cell r="T1859" t="str">
            <v>SOUTH</v>
          </cell>
          <cell r="U1859" t="str">
            <v>深圳</v>
          </cell>
          <cell r="V1859" t="str">
            <v>SZ 深圳</v>
          </cell>
          <cell r="W1859" t="str">
            <v>JY</v>
          </cell>
          <cell r="X1859" t="str">
            <v>RMB</v>
          </cell>
          <cell r="Y1859">
            <v>860640</v>
          </cell>
          <cell r="Z1859">
            <v>1.1299999999999999</v>
          </cell>
          <cell r="AA1859">
            <v>860640</v>
          </cell>
          <cell r="AB1859">
            <v>1.17</v>
          </cell>
          <cell r="AC1859">
            <v>891105.13274336292</v>
          </cell>
          <cell r="AD1859">
            <v>106932.61592920354</v>
          </cell>
          <cell r="AE1859">
            <v>0.12</v>
          </cell>
          <cell r="AF1859">
            <v>44762</v>
          </cell>
          <cell r="AG1859" t="str">
            <v>DDP SZ</v>
          </cell>
          <cell r="AK1859" t="str">
            <v>agree</v>
          </cell>
          <cell r="AL1859">
            <v>128410</v>
          </cell>
          <cell r="AM1859">
            <v>44769</v>
          </cell>
          <cell r="AN1859" t="str">
            <v>Yes</v>
          </cell>
          <cell r="AO1859">
            <v>0.7</v>
          </cell>
          <cell r="AP1859">
            <v>732230</v>
          </cell>
          <cell r="AQ1859">
            <v>44782</v>
          </cell>
          <cell r="AR1859">
            <v>44782</v>
          </cell>
          <cell r="AS1859">
            <v>0</v>
          </cell>
          <cell r="AT1859">
            <v>0</v>
          </cell>
          <cell r="AX1859" t="str">
            <v>Yes</v>
          </cell>
          <cell r="AZ1859" t="str">
            <v>Y</v>
          </cell>
          <cell r="BA1859" t="str">
            <v>Yes</v>
          </cell>
        </row>
        <row r="1860">
          <cell r="B1860">
            <v>1710</v>
          </cell>
          <cell r="C1860" t="str">
            <v>C49SZX20220084DZ</v>
          </cell>
          <cell r="D1860" t="str">
            <v>朗特</v>
          </cell>
          <cell r="E1860" t="str">
            <v>YSM20R-2</v>
          </cell>
          <cell r="I1860" t="str">
            <v>R-&gt;L</v>
          </cell>
          <cell r="J1860" t="str">
            <v>No</v>
          </cell>
          <cell r="K1860">
            <v>1</v>
          </cell>
          <cell r="N1860">
            <v>44824</v>
          </cell>
          <cell r="O1860">
            <v>11116802</v>
          </cell>
          <cell r="P1860">
            <v>17000000</v>
          </cell>
          <cell r="Q1860">
            <v>44824</v>
          </cell>
          <cell r="R1860" t="str">
            <v>No</v>
          </cell>
          <cell r="S1860" t="str">
            <v>C49</v>
          </cell>
          <cell r="T1860" t="str">
            <v>SOUTH</v>
          </cell>
          <cell r="U1860" t="str">
            <v>深圳</v>
          </cell>
          <cell r="V1860" t="str">
            <v>SZ 深圳</v>
          </cell>
          <cell r="W1860" t="str">
            <v>MZ</v>
          </cell>
          <cell r="X1860" t="str">
            <v>JPY</v>
          </cell>
          <cell r="Y1860">
            <v>17000000</v>
          </cell>
          <cell r="Z1860">
            <v>1</v>
          </cell>
          <cell r="AA1860">
            <v>17000000</v>
          </cell>
          <cell r="AB1860">
            <v>6.25E-2</v>
          </cell>
          <cell r="AC1860">
            <v>1062500</v>
          </cell>
          <cell r="AD1860">
            <v>127500</v>
          </cell>
          <cell r="AE1860">
            <v>0.12</v>
          </cell>
          <cell r="AF1860">
            <v>44768</v>
          </cell>
          <cell r="AG1860" t="str">
            <v>CIF HK</v>
          </cell>
          <cell r="AK1860">
            <v>0.3</v>
          </cell>
          <cell r="AL1860">
            <v>5100000</v>
          </cell>
          <cell r="AM1860">
            <v>44777</v>
          </cell>
          <cell r="AN1860" t="str">
            <v>Yes</v>
          </cell>
          <cell r="AO1860">
            <v>0.8</v>
          </cell>
          <cell r="AP1860">
            <v>13600000</v>
          </cell>
          <cell r="AQ1860">
            <v>44824</v>
          </cell>
          <cell r="AR1860">
            <v>44824</v>
          </cell>
          <cell r="AS1860">
            <v>0</v>
          </cell>
          <cell r="AT1860">
            <v>0</v>
          </cell>
          <cell r="AX1860" t="str">
            <v>Yes</v>
          </cell>
          <cell r="AZ1860" t="str">
            <v>Y</v>
          </cell>
          <cell r="BA1860" t="str">
            <v>Yes</v>
          </cell>
        </row>
        <row r="1861">
          <cell r="B1861">
            <v>1711</v>
          </cell>
          <cell r="C1861" t="str">
            <v>C49SZX20220084DZ</v>
          </cell>
          <cell r="D1861" t="str">
            <v>朗特</v>
          </cell>
          <cell r="E1861" t="str">
            <v>YSM10</v>
          </cell>
          <cell r="I1861" t="str">
            <v>R-&gt;L</v>
          </cell>
          <cell r="J1861" t="str">
            <v>MVC F&amp;R+ATS15+MVC</v>
          </cell>
          <cell r="K1861">
            <v>1</v>
          </cell>
          <cell r="N1861">
            <v>44824</v>
          </cell>
          <cell r="O1861">
            <v>11116802</v>
          </cell>
          <cell r="P1861">
            <v>12294000</v>
          </cell>
          <cell r="Q1861">
            <v>44824</v>
          </cell>
          <cell r="R1861" t="str">
            <v>No</v>
          </cell>
          <cell r="S1861" t="str">
            <v>C49</v>
          </cell>
          <cell r="T1861" t="str">
            <v>SOUTH</v>
          </cell>
          <cell r="U1861" t="str">
            <v>深圳</v>
          </cell>
          <cell r="V1861" t="str">
            <v>SZ 深圳</v>
          </cell>
          <cell r="W1861" t="str">
            <v>MZ</v>
          </cell>
          <cell r="X1861" t="str">
            <v>JPY</v>
          </cell>
          <cell r="Y1861">
            <v>12294000</v>
          </cell>
          <cell r="Z1861">
            <v>1</v>
          </cell>
          <cell r="AA1861">
            <v>12294000</v>
          </cell>
          <cell r="AB1861">
            <v>6.25E-2</v>
          </cell>
          <cell r="AC1861">
            <v>768375</v>
          </cell>
          <cell r="AD1861">
            <v>92205</v>
          </cell>
          <cell r="AE1861">
            <v>0.12</v>
          </cell>
          <cell r="AF1861">
            <v>44768</v>
          </cell>
          <cell r="AG1861" t="str">
            <v>CIF HK</v>
          </cell>
          <cell r="AK1861">
            <v>0.3</v>
          </cell>
          <cell r="AL1861">
            <v>3688200</v>
          </cell>
          <cell r="AM1861">
            <v>44777</v>
          </cell>
          <cell r="AN1861" t="str">
            <v>Yes</v>
          </cell>
          <cell r="AO1861">
            <v>0.8</v>
          </cell>
          <cell r="AP1861">
            <v>9835200</v>
          </cell>
          <cell r="AQ1861">
            <v>44824</v>
          </cell>
          <cell r="AR1861">
            <v>44824</v>
          </cell>
          <cell r="AS1861">
            <v>0</v>
          </cell>
          <cell r="AT1861">
            <v>0</v>
          </cell>
          <cell r="AX1861" t="str">
            <v>Yes</v>
          </cell>
          <cell r="AZ1861" t="str">
            <v>Y</v>
          </cell>
          <cell r="BA1861" t="str">
            <v>Yes</v>
          </cell>
        </row>
        <row r="1862">
          <cell r="B1862">
            <v>1712</v>
          </cell>
          <cell r="C1862" t="str">
            <v>C28SZX20220085DZ</v>
          </cell>
          <cell r="D1862" t="str">
            <v>鸿通宇</v>
          </cell>
          <cell r="E1862" t="str">
            <v>YSi-V</v>
          </cell>
          <cell r="I1862" t="str">
            <v>L-&gt;R</v>
          </cell>
          <cell r="J1862" t="str">
            <v>No</v>
          </cell>
          <cell r="K1862">
            <v>1</v>
          </cell>
          <cell r="N1862">
            <v>44876</v>
          </cell>
          <cell r="O1862">
            <v>11116811</v>
          </cell>
          <cell r="P1862">
            <v>11500000</v>
          </cell>
          <cell r="Q1862">
            <v>44890</v>
          </cell>
          <cell r="R1862" t="str">
            <v>No</v>
          </cell>
          <cell r="S1862" t="str">
            <v>C28</v>
          </cell>
          <cell r="T1862" t="str">
            <v>SOUTH</v>
          </cell>
          <cell r="U1862" t="str">
            <v>深圳</v>
          </cell>
          <cell r="V1862" t="str">
            <v>SZ 深圳</v>
          </cell>
          <cell r="W1862" t="str">
            <v>DZ</v>
          </cell>
          <cell r="X1862" t="str">
            <v>JPY</v>
          </cell>
          <cell r="Y1862">
            <v>11500000</v>
          </cell>
          <cell r="Z1862">
            <v>1</v>
          </cell>
          <cell r="AA1862">
            <v>11500000</v>
          </cell>
          <cell r="AB1862">
            <v>6.25E-2</v>
          </cell>
          <cell r="AC1862">
            <v>718750</v>
          </cell>
          <cell r="AD1862">
            <v>86250</v>
          </cell>
          <cell r="AE1862">
            <v>0.12</v>
          </cell>
          <cell r="AF1862">
            <v>44776</v>
          </cell>
          <cell r="AG1862" t="str">
            <v>CIF HK</v>
          </cell>
          <cell r="AK1862">
            <v>0.3</v>
          </cell>
          <cell r="AL1862">
            <v>3450000</v>
          </cell>
          <cell r="AM1862">
            <v>44781</v>
          </cell>
          <cell r="AN1862" t="str">
            <v>Yes</v>
          </cell>
          <cell r="AO1862">
            <v>0.7</v>
          </cell>
          <cell r="AP1862">
            <v>8049999.9999999991</v>
          </cell>
          <cell r="AQ1862">
            <v>44867</v>
          </cell>
          <cell r="AR1862">
            <v>44867</v>
          </cell>
          <cell r="AS1862">
            <v>0</v>
          </cell>
          <cell r="AT1862">
            <v>0</v>
          </cell>
          <cell r="AX1862" t="str">
            <v>Yes</v>
          </cell>
          <cell r="AZ1862" t="str">
            <v>Y</v>
          </cell>
          <cell r="BA1862" t="str">
            <v>Yes</v>
          </cell>
        </row>
        <row r="1863">
          <cell r="B1863">
            <v>1713</v>
          </cell>
          <cell r="C1863" t="str">
            <v>C49SZX20220086VG/ESE220803STOCK-OS</v>
          </cell>
          <cell r="D1863" t="str">
            <v>WKK(end user:熵基）</v>
          </cell>
          <cell r="E1863" t="str">
            <v>YSM20R-2</v>
          </cell>
          <cell r="I1863" t="str">
            <v>L-&gt;R</v>
          </cell>
          <cell r="J1863" t="str">
            <v>cATS30+MVC+Feeder Carriage</v>
          </cell>
          <cell r="K1863">
            <v>1</v>
          </cell>
          <cell r="N1863">
            <v>44888</v>
          </cell>
          <cell r="O1863">
            <v>11116810</v>
          </cell>
          <cell r="P1863">
            <v>20507500</v>
          </cell>
          <cell r="Q1863">
            <v>44889</v>
          </cell>
          <cell r="R1863" t="str">
            <v>No</v>
          </cell>
          <cell r="S1863" t="str">
            <v>C49</v>
          </cell>
          <cell r="T1863" t="str">
            <v>SOUTH</v>
          </cell>
          <cell r="U1863" t="str">
            <v>深圳</v>
          </cell>
          <cell r="V1863" t="str">
            <v>SZ 深圳</v>
          </cell>
          <cell r="W1863" t="str">
            <v>VG</v>
          </cell>
          <cell r="X1863" t="str">
            <v>JPY</v>
          </cell>
          <cell r="Y1863">
            <v>20507500</v>
          </cell>
          <cell r="Z1863">
            <v>1</v>
          </cell>
          <cell r="AA1863">
            <v>20507500</v>
          </cell>
          <cell r="AB1863">
            <v>6.25E-2</v>
          </cell>
          <cell r="AC1863">
            <v>1281718.75</v>
          </cell>
          <cell r="AD1863">
            <v>153806.25</v>
          </cell>
          <cell r="AE1863">
            <v>0.12</v>
          </cell>
          <cell r="AF1863">
            <v>44776</v>
          </cell>
          <cell r="AG1863" t="str">
            <v>CIF HK</v>
          </cell>
          <cell r="AK1863">
            <v>0.1</v>
          </cell>
          <cell r="AL1863">
            <v>2050750</v>
          </cell>
          <cell r="AM1863">
            <v>44795</v>
          </cell>
          <cell r="AN1863" t="str">
            <v>Yes</v>
          </cell>
          <cell r="AO1863">
            <v>0.9</v>
          </cell>
          <cell r="AP1863">
            <v>18456750</v>
          </cell>
          <cell r="AQ1863">
            <v>44882</v>
          </cell>
          <cell r="AR1863">
            <v>44882</v>
          </cell>
          <cell r="AS1863">
            <v>0</v>
          </cell>
          <cell r="AT1863">
            <v>0</v>
          </cell>
          <cell r="AX1863" t="str">
            <v>Yes</v>
          </cell>
          <cell r="AZ1863" t="str">
            <v>Y</v>
          </cell>
          <cell r="BA1863" t="str">
            <v>Yes</v>
          </cell>
        </row>
        <row r="1864">
          <cell r="B1864">
            <v>1714</v>
          </cell>
          <cell r="C1864" t="str">
            <v>C49SZX20220086VG/ESE220803STOCK-OS</v>
          </cell>
          <cell r="D1864" t="str">
            <v>WKK(end user:熵基）</v>
          </cell>
          <cell r="E1864" t="str">
            <v>YSM20R-2</v>
          </cell>
          <cell r="I1864" t="str">
            <v>L-&gt;R</v>
          </cell>
          <cell r="J1864" t="str">
            <v>No</v>
          </cell>
          <cell r="K1864">
            <v>1</v>
          </cell>
          <cell r="N1864">
            <v>44888</v>
          </cell>
          <cell r="O1864">
            <v>11116810</v>
          </cell>
          <cell r="P1864">
            <v>20507500</v>
          </cell>
          <cell r="Q1864">
            <v>44889</v>
          </cell>
          <cell r="R1864" t="str">
            <v>No</v>
          </cell>
          <cell r="S1864" t="str">
            <v>C49</v>
          </cell>
          <cell r="T1864" t="str">
            <v>SOUTH</v>
          </cell>
          <cell r="U1864" t="str">
            <v>深圳</v>
          </cell>
          <cell r="V1864" t="str">
            <v>SZ 深圳</v>
          </cell>
          <cell r="W1864" t="str">
            <v>VG</v>
          </cell>
          <cell r="X1864" t="str">
            <v>JPY</v>
          </cell>
          <cell r="Y1864">
            <v>20507500</v>
          </cell>
          <cell r="Z1864">
            <v>1</v>
          </cell>
          <cell r="AA1864">
            <v>20507500</v>
          </cell>
          <cell r="AB1864">
            <v>6.25E-2</v>
          </cell>
          <cell r="AC1864">
            <v>1281718.75</v>
          </cell>
          <cell r="AD1864">
            <v>153806.25</v>
          </cell>
          <cell r="AE1864">
            <v>0.12</v>
          </cell>
          <cell r="AF1864">
            <v>44776</v>
          </cell>
          <cell r="AG1864" t="str">
            <v>CIF HK</v>
          </cell>
          <cell r="AK1864">
            <v>0.1</v>
          </cell>
          <cell r="AL1864">
            <v>2050750</v>
          </cell>
          <cell r="AM1864">
            <v>44795</v>
          </cell>
          <cell r="AN1864" t="str">
            <v>Yes</v>
          </cell>
          <cell r="AO1864">
            <v>0.9</v>
          </cell>
          <cell r="AP1864">
            <v>18456750</v>
          </cell>
          <cell r="AQ1864">
            <v>44882</v>
          </cell>
          <cell r="AR1864">
            <v>44882</v>
          </cell>
          <cell r="AS1864">
            <v>0</v>
          </cell>
          <cell r="AT1864">
            <v>0</v>
          </cell>
          <cell r="AX1864" t="str">
            <v>Yes</v>
          </cell>
          <cell r="AZ1864" t="str">
            <v>Y</v>
          </cell>
          <cell r="BA1864" t="str">
            <v>Yes</v>
          </cell>
        </row>
        <row r="1865">
          <cell r="B1865">
            <v>1715</v>
          </cell>
          <cell r="C1865" t="str">
            <v>C49SZX20220088SX</v>
          </cell>
          <cell r="D1865" t="str">
            <v>安林</v>
          </cell>
          <cell r="E1865" t="str">
            <v>YSM10</v>
          </cell>
          <cell r="I1865" t="str">
            <v>L-&gt;R</v>
          </cell>
          <cell r="J1865" t="str">
            <v>MVC</v>
          </cell>
          <cell r="K1865">
            <v>1</v>
          </cell>
          <cell r="N1865">
            <v>44790</v>
          </cell>
          <cell r="O1865">
            <v>11100554</v>
          </cell>
          <cell r="P1865">
            <v>480000</v>
          </cell>
          <cell r="Q1865">
            <v>44797</v>
          </cell>
          <cell r="R1865" t="str">
            <v>No</v>
          </cell>
          <cell r="S1865" t="str">
            <v>C49</v>
          </cell>
          <cell r="T1865" t="str">
            <v>SOUTH</v>
          </cell>
          <cell r="U1865" t="str">
            <v>深圳</v>
          </cell>
          <cell r="V1865" t="str">
            <v>SZ 深圳</v>
          </cell>
          <cell r="W1865" t="str">
            <v>SX</v>
          </cell>
          <cell r="X1865" t="str">
            <v>RMB</v>
          </cell>
          <cell r="Y1865">
            <v>480000</v>
          </cell>
          <cell r="Z1865">
            <v>1.1299999999999999</v>
          </cell>
          <cell r="AA1865">
            <v>480000</v>
          </cell>
          <cell r="AB1865">
            <v>1.163</v>
          </cell>
          <cell r="AC1865">
            <v>494017.69911504426</v>
          </cell>
          <cell r="AD1865">
            <v>59282.123893805307</v>
          </cell>
          <cell r="AE1865">
            <v>0.12</v>
          </cell>
          <cell r="AF1865">
            <v>44783</v>
          </cell>
          <cell r="AG1865" t="str">
            <v>DDP SZ</v>
          </cell>
          <cell r="AK1865">
            <v>0.1</v>
          </cell>
          <cell r="AL1865">
            <v>48000</v>
          </cell>
          <cell r="AM1865">
            <v>44788</v>
          </cell>
          <cell r="AN1865" t="str">
            <v>Yes</v>
          </cell>
          <cell r="AO1865">
            <v>0.9</v>
          </cell>
          <cell r="AP1865">
            <v>432000</v>
          </cell>
          <cell r="AQ1865">
            <v>44788</v>
          </cell>
          <cell r="AR1865">
            <v>44788</v>
          </cell>
          <cell r="AS1865">
            <v>0</v>
          </cell>
          <cell r="AT1865">
            <v>0</v>
          </cell>
          <cell r="AX1865" t="str">
            <v>Yes</v>
          </cell>
          <cell r="AZ1865" t="str">
            <v>Y</v>
          </cell>
          <cell r="BA1865" t="str">
            <v>Yes</v>
          </cell>
        </row>
        <row r="1866">
          <cell r="B1866">
            <v>1716</v>
          </cell>
          <cell r="C1866" t="str">
            <v>C49SZX20220088SX</v>
          </cell>
          <cell r="D1866" t="str">
            <v>安林</v>
          </cell>
          <cell r="E1866" t="str">
            <v>YSi-V</v>
          </cell>
          <cell r="I1866" t="str">
            <v>L-&gt;R</v>
          </cell>
          <cell r="J1866" t="str">
            <v>No</v>
          </cell>
          <cell r="K1866">
            <v>1</v>
          </cell>
          <cell r="N1866">
            <v>44867</v>
          </cell>
          <cell r="O1866">
            <v>11100565</v>
          </cell>
          <cell r="P1866">
            <v>520000</v>
          </cell>
          <cell r="Q1866">
            <v>44862</v>
          </cell>
          <cell r="R1866" t="str">
            <v>No</v>
          </cell>
          <cell r="S1866" t="str">
            <v>C28</v>
          </cell>
          <cell r="T1866" t="str">
            <v>SOUTH</v>
          </cell>
          <cell r="U1866" t="str">
            <v>深圳</v>
          </cell>
          <cell r="V1866" t="str">
            <v>SZ 深圳</v>
          </cell>
          <cell r="W1866" t="str">
            <v>SX</v>
          </cell>
          <cell r="X1866" t="str">
            <v>RMB</v>
          </cell>
          <cell r="Y1866">
            <v>520000</v>
          </cell>
          <cell r="Z1866">
            <v>1.1299999999999999</v>
          </cell>
          <cell r="AA1866">
            <v>520000</v>
          </cell>
          <cell r="AB1866">
            <v>1.163</v>
          </cell>
          <cell r="AC1866">
            <v>535185.84070796461</v>
          </cell>
          <cell r="AD1866">
            <v>64222.300884955752</v>
          </cell>
          <cell r="AE1866">
            <v>0.12</v>
          </cell>
          <cell r="AF1866">
            <v>44783</v>
          </cell>
          <cell r="AG1866" t="str">
            <v>DDP SZ</v>
          </cell>
          <cell r="AK1866">
            <v>0.1</v>
          </cell>
          <cell r="AL1866">
            <v>52000</v>
          </cell>
          <cell r="AM1866">
            <v>44788</v>
          </cell>
          <cell r="AN1866" t="str">
            <v>Yes</v>
          </cell>
          <cell r="AO1866">
            <v>0.9</v>
          </cell>
          <cell r="AP1866">
            <v>468000</v>
          </cell>
          <cell r="AQ1866">
            <v>44861</v>
          </cell>
          <cell r="AR1866">
            <v>44861</v>
          </cell>
          <cell r="AS1866">
            <v>0</v>
          </cell>
          <cell r="AT1866">
            <v>0</v>
          </cell>
          <cell r="AX1866" t="str">
            <v>Yes</v>
          </cell>
          <cell r="AZ1866" t="str">
            <v>Y</v>
          </cell>
          <cell r="BA1866" t="str">
            <v>Yes</v>
          </cell>
        </row>
        <row r="1867">
          <cell r="B1867">
            <v>1717</v>
          </cell>
          <cell r="C1867" t="str">
            <v>C49SZX20220090SQ</v>
          </cell>
          <cell r="D1867" t="str">
            <v>维创斯特</v>
          </cell>
          <cell r="E1867" t="str">
            <v>YSM10</v>
          </cell>
          <cell r="I1867" t="str">
            <v>L-&gt;R</v>
          </cell>
          <cell r="J1867" t="str">
            <v>MVC</v>
          </cell>
          <cell r="K1867">
            <v>1</v>
          </cell>
          <cell r="N1867">
            <v>44833</v>
          </cell>
          <cell r="O1867">
            <v>11100557</v>
          </cell>
          <cell r="P1867">
            <v>570000</v>
          </cell>
          <cell r="Q1867">
            <v>44832</v>
          </cell>
          <cell r="R1867" t="str">
            <v>Yes</v>
          </cell>
          <cell r="S1867" t="str">
            <v>C49</v>
          </cell>
          <cell r="T1867" t="str">
            <v>SOUTH</v>
          </cell>
          <cell r="U1867" t="str">
            <v>深圳</v>
          </cell>
          <cell r="V1867" t="str">
            <v>SZ 深圳</v>
          </cell>
          <cell r="W1867" t="str">
            <v>SQ</v>
          </cell>
          <cell r="X1867" t="str">
            <v>RMB</v>
          </cell>
          <cell r="Y1867">
            <v>570000</v>
          </cell>
          <cell r="Z1867">
            <v>1.1299999999999999</v>
          </cell>
          <cell r="AA1867">
            <v>570000</v>
          </cell>
          <cell r="AB1867">
            <v>1.163</v>
          </cell>
          <cell r="AC1867">
            <v>586646.01769911509</v>
          </cell>
          <cell r="AD1867">
            <v>70397.52212389381</v>
          </cell>
          <cell r="AE1867">
            <v>0.12</v>
          </cell>
          <cell r="AF1867">
            <v>44791</v>
          </cell>
          <cell r="AG1867" t="str">
            <v>DDP SZ</v>
          </cell>
          <cell r="AI1867">
            <v>50000</v>
          </cell>
          <cell r="AJ1867">
            <v>44802</v>
          </cell>
          <cell r="AK1867">
            <v>0.1</v>
          </cell>
          <cell r="AL1867">
            <v>57000</v>
          </cell>
          <cell r="AM1867">
            <v>44816</v>
          </cell>
          <cell r="AN1867" t="str">
            <v>Yes</v>
          </cell>
          <cell r="AO1867">
            <v>0.9</v>
          </cell>
          <cell r="AP1867">
            <v>513000</v>
          </cell>
          <cell r="AQ1867">
            <v>44831</v>
          </cell>
          <cell r="AR1867">
            <v>44831</v>
          </cell>
          <cell r="AS1867">
            <v>0</v>
          </cell>
          <cell r="AT1867">
            <v>0</v>
          </cell>
          <cell r="AX1867" t="str">
            <v>Yes</v>
          </cell>
          <cell r="AZ1867" t="str">
            <v>Y</v>
          </cell>
          <cell r="BA1867" t="str">
            <v>Yes</v>
          </cell>
        </row>
        <row r="1868">
          <cell r="B1868">
            <v>1718</v>
          </cell>
          <cell r="C1868" t="str">
            <v>C49SZX20220090SQ</v>
          </cell>
          <cell r="D1868" t="str">
            <v>维创斯特</v>
          </cell>
          <cell r="E1868" t="str">
            <v>YSM20R-2</v>
          </cell>
          <cell r="I1868" t="str">
            <v>L-&gt;R</v>
          </cell>
          <cell r="J1868" t="str">
            <v>No</v>
          </cell>
          <cell r="K1868">
            <v>1</v>
          </cell>
          <cell r="N1868">
            <v>44833</v>
          </cell>
          <cell r="O1868">
            <v>11100557</v>
          </cell>
          <cell r="P1868">
            <v>800000</v>
          </cell>
          <cell r="Q1868">
            <v>44832</v>
          </cell>
          <cell r="R1868" t="str">
            <v>Yes</v>
          </cell>
          <cell r="S1868" t="str">
            <v>C49</v>
          </cell>
          <cell r="T1868" t="str">
            <v>SOUTH</v>
          </cell>
          <cell r="U1868" t="str">
            <v>深圳</v>
          </cell>
          <cell r="V1868" t="str">
            <v>SZ 深圳</v>
          </cell>
          <cell r="W1868" t="str">
            <v>SQ</v>
          </cell>
          <cell r="X1868" t="str">
            <v>RMB</v>
          </cell>
          <cell r="Y1868">
            <v>800000</v>
          </cell>
          <cell r="Z1868">
            <v>1.1299999999999999</v>
          </cell>
          <cell r="AA1868">
            <v>800000</v>
          </cell>
          <cell r="AB1868">
            <v>1.163</v>
          </cell>
          <cell r="AC1868">
            <v>823362.83185840724</v>
          </cell>
          <cell r="AD1868">
            <v>98803.539823008861</v>
          </cell>
          <cell r="AE1868">
            <v>0.12</v>
          </cell>
          <cell r="AF1868">
            <v>44791</v>
          </cell>
          <cell r="AG1868" t="str">
            <v>DDP SZ</v>
          </cell>
          <cell r="AI1868"/>
          <cell r="AJ1868">
            <v>44802</v>
          </cell>
          <cell r="AK1868">
            <v>0.1</v>
          </cell>
          <cell r="AL1868">
            <v>80000</v>
          </cell>
          <cell r="AM1868">
            <v>44816</v>
          </cell>
          <cell r="AN1868" t="str">
            <v>Yes</v>
          </cell>
          <cell r="AO1868">
            <v>0.9</v>
          </cell>
          <cell r="AP1868">
            <v>720000</v>
          </cell>
          <cell r="AQ1868">
            <v>44831</v>
          </cell>
          <cell r="AR1868">
            <v>44831</v>
          </cell>
          <cell r="AS1868">
            <v>0</v>
          </cell>
          <cell r="AT1868">
            <v>0</v>
          </cell>
          <cell r="AX1868" t="str">
            <v>Yes</v>
          </cell>
          <cell r="AZ1868" t="str">
            <v>Y</v>
          </cell>
          <cell r="BA1868" t="str">
            <v>Yes</v>
          </cell>
        </row>
        <row r="1869">
          <cell r="B1869">
            <v>1719</v>
          </cell>
          <cell r="C1869" t="str">
            <v>C49SZX20220091MZ</v>
          </cell>
          <cell r="D1869" t="str">
            <v>华烨(end user:华煜）</v>
          </cell>
          <cell r="E1869" t="str">
            <v>YSM10</v>
          </cell>
          <cell r="I1869" t="str">
            <v>L-&gt;R</v>
          </cell>
          <cell r="J1869" t="str">
            <v>MVC</v>
          </cell>
          <cell r="K1869">
            <v>1</v>
          </cell>
          <cell r="O1869">
            <v>11100628</v>
          </cell>
          <cell r="P1869">
            <v>550000</v>
          </cell>
          <cell r="Q1869">
            <v>45070</v>
          </cell>
          <cell r="R1869" t="str">
            <v>Yes</v>
          </cell>
          <cell r="S1869" t="str">
            <v>C49</v>
          </cell>
          <cell r="T1869" t="str">
            <v>SOUTH</v>
          </cell>
          <cell r="U1869" t="str">
            <v>深圳</v>
          </cell>
          <cell r="V1869" t="str">
            <v>SZ 深圳</v>
          </cell>
          <cell r="W1869" t="str">
            <v>MZ</v>
          </cell>
          <cell r="X1869" t="str">
            <v>RMB</v>
          </cell>
          <cell r="Y1869">
            <v>550000</v>
          </cell>
          <cell r="Z1869">
            <v>1.1299999999999999</v>
          </cell>
          <cell r="AA1869">
            <v>550000</v>
          </cell>
          <cell r="AB1869">
            <v>1.163</v>
          </cell>
          <cell r="AC1869">
            <v>566061.94690265495</v>
          </cell>
          <cell r="AD1869">
            <v>67927.433628318598</v>
          </cell>
          <cell r="AE1869">
            <v>0.12</v>
          </cell>
          <cell r="AF1869">
            <v>44793</v>
          </cell>
          <cell r="AG1869" t="str">
            <v>DDP LJ</v>
          </cell>
          <cell r="AK1869">
            <v>0.2</v>
          </cell>
          <cell r="AL1869">
            <v>110000</v>
          </cell>
          <cell r="AM1869">
            <v>44833</v>
          </cell>
          <cell r="AN1869" t="str">
            <v>Yes</v>
          </cell>
          <cell r="AO1869">
            <v>0.8</v>
          </cell>
          <cell r="AP1869">
            <v>440000</v>
          </cell>
          <cell r="AQ1869">
            <v>45043</v>
          </cell>
          <cell r="AR1869">
            <v>45043</v>
          </cell>
          <cell r="AS1869">
            <v>0</v>
          </cell>
          <cell r="AT1869">
            <v>0</v>
          </cell>
          <cell r="AX1869" t="str">
            <v>Yes</v>
          </cell>
          <cell r="AZ1869" t="str">
            <v>Y</v>
          </cell>
          <cell r="BA1869" t="str">
            <v>Yes</v>
          </cell>
        </row>
        <row r="1870">
          <cell r="B1870">
            <v>1720</v>
          </cell>
          <cell r="C1870" t="str">
            <v>C49SZX20220096JL</v>
          </cell>
          <cell r="D1870" t="str">
            <v>倍斯特</v>
          </cell>
          <cell r="E1870" t="str">
            <v>YSM20R-2</v>
          </cell>
          <cell r="I1870" t="str">
            <v>L-&gt;R</v>
          </cell>
          <cell r="J1870" t="str">
            <v>No</v>
          </cell>
          <cell r="K1870">
            <v>1</v>
          </cell>
          <cell r="N1870">
            <v>44852</v>
          </cell>
          <cell r="O1870">
            <v>11116804</v>
          </cell>
          <cell r="P1870">
            <v>12600000</v>
          </cell>
          <cell r="Q1870">
            <v>44853</v>
          </cell>
          <cell r="R1870" t="str">
            <v>No</v>
          </cell>
          <cell r="S1870" t="str">
            <v>C49</v>
          </cell>
          <cell r="T1870" t="str">
            <v>SOUTH</v>
          </cell>
          <cell r="U1870" t="str">
            <v>深圳</v>
          </cell>
          <cell r="V1870" t="str">
            <v>SZ 深圳</v>
          </cell>
          <cell r="W1870" t="str">
            <v>JL</v>
          </cell>
          <cell r="X1870" t="str">
            <v>JPY</v>
          </cell>
          <cell r="Y1870">
            <v>12600000</v>
          </cell>
          <cell r="Z1870">
            <v>1</v>
          </cell>
          <cell r="AA1870">
            <v>12600000</v>
          </cell>
          <cell r="AB1870">
            <v>5.7799999999999997E-2</v>
          </cell>
          <cell r="AC1870">
            <v>728280</v>
          </cell>
          <cell r="AD1870">
            <v>87393.599999999991</v>
          </cell>
          <cell r="AE1870">
            <v>0.12</v>
          </cell>
          <cell r="AF1870">
            <v>44819</v>
          </cell>
          <cell r="AG1870" t="str">
            <v>DAP SZ</v>
          </cell>
          <cell r="AK1870">
            <v>0.3</v>
          </cell>
          <cell r="AL1870">
            <v>3780000</v>
          </cell>
          <cell r="AM1870">
            <v>44824</v>
          </cell>
          <cell r="AN1870" t="str">
            <v>Yes</v>
          </cell>
          <cell r="AO1870">
            <v>0.7</v>
          </cell>
          <cell r="AP1870">
            <v>8820000</v>
          </cell>
          <cell r="AQ1870">
            <v>44851</v>
          </cell>
          <cell r="AR1870">
            <v>44851</v>
          </cell>
          <cell r="AS1870">
            <v>0</v>
          </cell>
          <cell r="AT1870">
            <v>0</v>
          </cell>
          <cell r="AU1870">
            <v>44935</v>
          </cell>
          <cell r="AV1870">
            <v>44935</v>
          </cell>
          <cell r="AX1870" t="str">
            <v>Yes</v>
          </cell>
          <cell r="AZ1870" t="str">
            <v>Y</v>
          </cell>
          <cell r="BA1870" t="str">
            <v>Yes</v>
          </cell>
        </row>
        <row r="1871">
          <cell r="B1871">
            <v>1721</v>
          </cell>
          <cell r="C1871" t="str">
            <v>C49SZX20220096JL</v>
          </cell>
          <cell r="D1871" t="str">
            <v>倍斯特</v>
          </cell>
          <cell r="E1871" t="str">
            <v>YSM10</v>
          </cell>
          <cell r="I1871" t="str">
            <v>L-&gt;R</v>
          </cell>
          <cell r="J1871" t="str">
            <v>MVC</v>
          </cell>
          <cell r="K1871">
            <v>1</v>
          </cell>
          <cell r="N1871">
            <v>44852</v>
          </cell>
          <cell r="O1871">
            <v>11116804</v>
          </cell>
          <cell r="P1871">
            <v>7600000</v>
          </cell>
          <cell r="Q1871">
            <v>44853</v>
          </cell>
          <cell r="R1871" t="str">
            <v>No</v>
          </cell>
          <cell r="S1871" t="str">
            <v>C49</v>
          </cell>
          <cell r="T1871" t="str">
            <v>SOUTH</v>
          </cell>
          <cell r="U1871" t="str">
            <v>深圳</v>
          </cell>
          <cell r="V1871" t="str">
            <v>SZ 深圳</v>
          </cell>
          <cell r="W1871" t="str">
            <v>JL</v>
          </cell>
          <cell r="X1871" t="str">
            <v>JPY</v>
          </cell>
          <cell r="Y1871">
            <v>7600000</v>
          </cell>
          <cell r="Z1871">
            <v>1</v>
          </cell>
          <cell r="AA1871">
            <v>7600000</v>
          </cell>
          <cell r="AB1871">
            <v>5.7799999999999997E-2</v>
          </cell>
          <cell r="AC1871">
            <v>439280</v>
          </cell>
          <cell r="AD1871">
            <v>52713.599999999999</v>
          </cell>
          <cell r="AE1871">
            <v>0.12</v>
          </cell>
          <cell r="AF1871">
            <v>44819</v>
          </cell>
          <cell r="AG1871" t="str">
            <v>DAP SZ</v>
          </cell>
          <cell r="AK1871">
            <v>0.3</v>
          </cell>
          <cell r="AL1871">
            <v>2280000</v>
          </cell>
          <cell r="AM1871">
            <v>44824</v>
          </cell>
          <cell r="AN1871" t="str">
            <v>Yes</v>
          </cell>
          <cell r="AO1871">
            <v>0.7</v>
          </cell>
          <cell r="AP1871">
            <v>5320000</v>
          </cell>
          <cell r="AQ1871">
            <v>44851</v>
          </cell>
          <cell r="AR1871">
            <v>44851</v>
          </cell>
          <cell r="AS1871">
            <v>0</v>
          </cell>
          <cell r="AT1871">
            <v>0</v>
          </cell>
          <cell r="AU1871">
            <v>44935</v>
          </cell>
          <cell r="AV1871">
            <v>44935</v>
          </cell>
          <cell r="AX1871" t="str">
            <v>Yes</v>
          </cell>
          <cell r="AZ1871" t="str">
            <v>Y</v>
          </cell>
          <cell r="BA1871" t="str">
            <v>Yes</v>
          </cell>
        </row>
        <row r="1872">
          <cell r="B1872">
            <v>1722</v>
          </cell>
          <cell r="C1872" t="str">
            <v>C49SZX20220096JL</v>
          </cell>
          <cell r="D1872" t="str">
            <v>倍斯特</v>
          </cell>
          <cell r="E1872" t="str">
            <v>YSM10</v>
          </cell>
          <cell r="I1872" t="str">
            <v>R-&gt;L</v>
          </cell>
          <cell r="J1872" t="str">
            <v>MVC</v>
          </cell>
          <cell r="K1872">
            <v>1</v>
          </cell>
          <cell r="N1872">
            <v>44852</v>
          </cell>
          <cell r="O1872">
            <v>11116804</v>
          </cell>
          <cell r="P1872">
            <v>7600000</v>
          </cell>
          <cell r="Q1872">
            <v>44853</v>
          </cell>
          <cell r="R1872" t="str">
            <v>No</v>
          </cell>
          <cell r="S1872" t="str">
            <v>C49</v>
          </cell>
          <cell r="T1872" t="str">
            <v>SOUTH</v>
          </cell>
          <cell r="U1872" t="str">
            <v>深圳</v>
          </cell>
          <cell r="V1872" t="str">
            <v>SZ 深圳</v>
          </cell>
          <cell r="W1872" t="str">
            <v>JL</v>
          </cell>
          <cell r="X1872" t="str">
            <v>JPY</v>
          </cell>
          <cell r="Y1872">
            <v>7600000</v>
          </cell>
          <cell r="Z1872">
            <v>1</v>
          </cell>
          <cell r="AA1872">
            <v>7600000</v>
          </cell>
          <cell r="AB1872">
            <v>5.7799999999999997E-2</v>
          </cell>
          <cell r="AC1872">
            <v>439280</v>
          </cell>
          <cell r="AD1872">
            <v>52713.599999999999</v>
          </cell>
          <cell r="AE1872">
            <v>0.12</v>
          </cell>
          <cell r="AF1872">
            <v>44819</v>
          </cell>
          <cell r="AG1872" t="str">
            <v>DAP SZ</v>
          </cell>
          <cell r="AK1872">
            <v>0.3</v>
          </cell>
          <cell r="AL1872">
            <v>2280000</v>
          </cell>
          <cell r="AM1872">
            <v>44824</v>
          </cell>
          <cell r="AN1872" t="str">
            <v>Yes</v>
          </cell>
          <cell r="AO1872">
            <v>0.7</v>
          </cell>
          <cell r="AP1872">
            <v>5320000</v>
          </cell>
          <cell r="AQ1872">
            <v>44851</v>
          </cell>
          <cell r="AR1872">
            <v>44851</v>
          </cell>
          <cell r="AS1872">
            <v>0</v>
          </cell>
          <cell r="AT1872">
            <v>0</v>
          </cell>
          <cell r="AU1872">
            <v>44935</v>
          </cell>
          <cell r="AV1872">
            <v>44935</v>
          </cell>
          <cell r="AX1872" t="str">
            <v>Yes</v>
          </cell>
          <cell r="AZ1872" t="str">
            <v>Y</v>
          </cell>
          <cell r="BA1872" t="str">
            <v>Yes</v>
          </cell>
        </row>
        <row r="1873">
          <cell r="B1873">
            <v>1723</v>
          </cell>
          <cell r="C1873" t="str">
            <v>C49SZX20220096JL</v>
          </cell>
          <cell r="D1873" t="str">
            <v>倍斯特</v>
          </cell>
          <cell r="E1873" t="str">
            <v>YSM10</v>
          </cell>
          <cell r="I1873" t="str">
            <v>R-&gt;L</v>
          </cell>
          <cell r="J1873" t="str">
            <v>MVC</v>
          </cell>
          <cell r="K1873">
            <v>1</v>
          </cell>
          <cell r="N1873">
            <v>44852</v>
          </cell>
          <cell r="O1873">
            <v>11116804</v>
          </cell>
          <cell r="P1873">
            <v>7600000</v>
          </cell>
          <cell r="Q1873">
            <v>44853</v>
          </cell>
          <cell r="R1873" t="str">
            <v>No</v>
          </cell>
          <cell r="S1873" t="str">
            <v>C49</v>
          </cell>
          <cell r="T1873" t="str">
            <v>SOUTH</v>
          </cell>
          <cell r="U1873" t="str">
            <v>深圳</v>
          </cell>
          <cell r="V1873" t="str">
            <v>SZ 深圳</v>
          </cell>
          <cell r="W1873" t="str">
            <v>JL</v>
          </cell>
          <cell r="X1873" t="str">
            <v>JPY</v>
          </cell>
          <cell r="Y1873">
            <v>7600000</v>
          </cell>
          <cell r="Z1873">
            <v>1</v>
          </cell>
          <cell r="AA1873">
            <v>7600000</v>
          </cell>
          <cell r="AB1873">
            <v>5.7799999999999997E-2</v>
          </cell>
          <cell r="AC1873">
            <v>439280</v>
          </cell>
          <cell r="AD1873">
            <v>52713.599999999999</v>
          </cell>
          <cell r="AE1873">
            <v>0.12</v>
          </cell>
          <cell r="AF1873">
            <v>44819</v>
          </cell>
          <cell r="AG1873" t="str">
            <v>DAP SZ</v>
          </cell>
          <cell r="AK1873">
            <v>0.3</v>
          </cell>
          <cell r="AL1873">
            <v>2280000</v>
          </cell>
          <cell r="AM1873">
            <v>44824</v>
          </cell>
          <cell r="AN1873" t="str">
            <v>Yes</v>
          </cell>
          <cell r="AO1873">
            <v>0.7</v>
          </cell>
          <cell r="AP1873">
            <v>5320000</v>
          </cell>
          <cell r="AQ1873">
            <v>44851</v>
          </cell>
          <cell r="AR1873">
            <v>44851</v>
          </cell>
          <cell r="AS1873">
            <v>0</v>
          </cell>
          <cell r="AT1873">
            <v>0</v>
          </cell>
          <cell r="AU1873">
            <v>44935</v>
          </cell>
          <cell r="AV1873">
            <v>44935</v>
          </cell>
          <cell r="AX1873" t="str">
            <v>Yes</v>
          </cell>
          <cell r="AZ1873" t="str">
            <v>Y</v>
          </cell>
          <cell r="BA1873" t="str">
            <v>Yes</v>
          </cell>
        </row>
        <row r="1874">
          <cell r="B1874">
            <v>1724</v>
          </cell>
          <cell r="C1874" t="str">
            <v>159851(R2)-ELE</v>
          </cell>
          <cell r="D1874" t="str">
            <v>WKK</v>
          </cell>
          <cell r="E1874" t="str">
            <v>YSM20R-2</v>
          </cell>
          <cell r="I1874" t="str">
            <v>L-&gt;R</v>
          </cell>
          <cell r="J1874" t="str">
            <v>MVC</v>
          </cell>
          <cell r="K1874">
            <v>1</v>
          </cell>
          <cell r="N1874">
            <v>44872</v>
          </cell>
          <cell r="O1874">
            <v>11116809</v>
          </cell>
          <cell r="P1874">
            <v>11425308.710000001</v>
          </cell>
          <cell r="Q1874">
            <v>44882</v>
          </cell>
          <cell r="R1874" t="str">
            <v>No</v>
          </cell>
          <cell r="S1874" t="str">
            <v>C49</v>
          </cell>
          <cell r="T1874" t="str">
            <v>SOUTH</v>
          </cell>
          <cell r="U1874" t="str">
            <v>深圳</v>
          </cell>
          <cell r="V1874" t="str">
            <v>SZ 深圳</v>
          </cell>
          <cell r="W1874" t="str">
            <v>KH</v>
          </cell>
          <cell r="X1874" t="str">
            <v>JPY</v>
          </cell>
          <cell r="Y1874">
            <v>11425308.710000001</v>
          </cell>
          <cell r="Z1874">
            <v>1</v>
          </cell>
          <cell r="AA1874">
            <v>11425308.710000001</v>
          </cell>
          <cell r="AB1874">
            <v>5.7799999999999997E-2</v>
          </cell>
          <cell r="AC1874">
            <v>660382.84343800007</v>
          </cell>
          <cell r="AD1874">
            <v>79245.941212560007</v>
          </cell>
          <cell r="AE1874">
            <v>0.12</v>
          </cell>
          <cell r="AF1874">
            <v>44823</v>
          </cell>
          <cell r="AG1874" t="str">
            <v>CIF HK</v>
          </cell>
          <cell r="AK1874">
            <v>0.3</v>
          </cell>
          <cell r="AL1874">
            <v>3427592.6130000004</v>
          </cell>
          <cell r="AM1874">
            <v>44846</v>
          </cell>
          <cell r="AN1874" t="str">
            <v>Yes</v>
          </cell>
          <cell r="AO1874">
            <v>0.7</v>
          </cell>
          <cell r="AP1874">
            <v>7997716.0970000001</v>
          </cell>
          <cell r="AQ1874">
            <v>44872</v>
          </cell>
          <cell r="AR1874">
            <v>44872</v>
          </cell>
          <cell r="AS1874">
            <v>0</v>
          </cell>
          <cell r="AT1874">
            <v>0</v>
          </cell>
          <cell r="AX1874" t="str">
            <v>Yes</v>
          </cell>
        </row>
        <row r="1875">
          <cell r="B1875">
            <v>1725</v>
          </cell>
          <cell r="C1875" t="str">
            <v>159851(R2)-ELE</v>
          </cell>
          <cell r="D1875" t="str">
            <v>WKK</v>
          </cell>
          <cell r="E1875" t="str">
            <v>YSM20R-2</v>
          </cell>
          <cell r="I1875" t="str">
            <v>R-&gt;L</v>
          </cell>
          <cell r="J1875" t="str">
            <v>No</v>
          </cell>
          <cell r="K1875">
            <v>1</v>
          </cell>
          <cell r="N1875">
            <v>44872</v>
          </cell>
          <cell r="O1875">
            <v>11116809</v>
          </cell>
          <cell r="P1875">
            <v>11425308.710000001</v>
          </cell>
          <cell r="Q1875">
            <v>44882</v>
          </cell>
          <cell r="R1875" t="str">
            <v>No</v>
          </cell>
          <cell r="S1875" t="str">
            <v>C49</v>
          </cell>
          <cell r="T1875" t="str">
            <v>SOUTH</v>
          </cell>
          <cell r="U1875" t="str">
            <v>深圳</v>
          </cell>
          <cell r="V1875" t="str">
            <v>SZ 深圳</v>
          </cell>
          <cell r="W1875" t="str">
            <v>KH</v>
          </cell>
          <cell r="X1875" t="str">
            <v>JPY</v>
          </cell>
          <cell r="Y1875">
            <v>11425308.710000001</v>
          </cell>
          <cell r="Z1875">
            <v>1</v>
          </cell>
          <cell r="AA1875">
            <v>11425308.710000001</v>
          </cell>
          <cell r="AB1875">
            <v>5.7799999999999997E-2</v>
          </cell>
          <cell r="AC1875">
            <v>660382.84343800007</v>
          </cell>
          <cell r="AD1875">
            <v>79245.941212560007</v>
          </cell>
          <cell r="AE1875">
            <v>0.12</v>
          </cell>
          <cell r="AF1875">
            <v>44823</v>
          </cell>
          <cell r="AG1875" t="str">
            <v>CIF HK</v>
          </cell>
          <cell r="AK1875">
            <v>0.3</v>
          </cell>
          <cell r="AL1875">
            <v>3427592.6130000004</v>
          </cell>
          <cell r="AM1875">
            <v>44846</v>
          </cell>
          <cell r="AN1875" t="str">
            <v>Yes</v>
          </cell>
          <cell r="AO1875">
            <v>0.7</v>
          </cell>
          <cell r="AP1875">
            <v>7997716.0970000001</v>
          </cell>
          <cell r="AQ1875">
            <v>44872</v>
          </cell>
          <cell r="AR1875">
            <v>44872</v>
          </cell>
          <cell r="AS1875">
            <v>0</v>
          </cell>
          <cell r="AT1875">
            <v>0</v>
          </cell>
          <cell r="AX1875" t="str">
            <v>Yes</v>
          </cell>
        </row>
        <row r="1876">
          <cell r="B1876">
            <v>1726</v>
          </cell>
          <cell r="C1876" t="str">
            <v>159851(R2)-ELE</v>
          </cell>
          <cell r="D1876" t="str">
            <v>WKK</v>
          </cell>
          <cell r="E1876" t="str">
            <v>YSM10</v>
          </cell>
          <cell r="I1876" t="str">
            <v>L-&gt;R</v>
          </cell>
          <cell r="J1876" t="str">
            <v>MVC</v>
          </cell>
          <cell r="K1876">
            <v>1</v>
          </cell>
          <cell r="N1876">
            <v>44872</v>
          </cell>
          <cell r="O1876">
            <v>11116809</v>
          </cell>
          <cell r="P1876">
            <v>7202455.29</v>
          </cell>
          <cell r="Q1876">
            <v>44882</v>
          </cell>
          <cell r="R1876" t="str">
            <v>No</v>
          </cell>
          <cell r="S1876" t="str">
            <v>C49</v>
          </cell>
          <cell r="T1876" t="str">
            <v>SOUTH</v>
          </cell>
          <cell r="U1876" t="str">
            <v>深圳</v>
          </cell>
          <cell r="V1876" t="str">
            <v>SZ 深圳</v>
          </cell>
          <cell r="W1876" t="str">
            <v>KH</v>
          </cell>
          <cell r="X1876" t="str">
            <v>JPY</v>
          </cell>
          <cell r="Y1876">
            <v>7202455.29</v>
          </cell>
          <cell r="Z1876">
            <v>1</v>
          </cell>
          <cell r="AA1876">
            <v>7202455.29</v>
          </cell>
          <cell r="AB1876">
            <v>5.7799999999999997E-2</v>
          </cell>
          <cell r="AC1876">
            <v>416301.91576199996</v>
          </cell>
          <cell r="AD1876">
            <v>49956.229891439994</v>
          </cell>
          <cell r="AE1876">
            <v>0.12</v>
          </cell>
          <cell r="AF1876">
            <v>44823</v>
          </cell>
          <cell r="AG1876" t="str">
            <v>CIF HK</v>
          </cell>
          <cell r="AK1876">
            <v>0.3</v>
          </cell>
          <cell r="AL1876">
            <v>2160736.5869999998</v>
          </cell>
          <cell r="AM1876">
            <v>44846</v>
          </cell>
          <cell r="AN1876" t="str">
            <v>Yes</v>
          </cell>
          <cell r="AO1876">
            <v>0.7</v>
          </cell>
          <cell r="AP1876">
            <v>5041718.7029999997</v>
          </cell>
          <cell r="AQ1876">
            <v>44872</v>
          </cell>
          <cell r="AR1876">
            <v>44872</v>
          </cell>
          <cell r="AS1876">
            <v>0</v>
          </cell>
          <cell r="AT1876">
            <v>0</v>
          </cell>
          <cell r="AX1876" t="str">
            <v>Yes</v>
          </cell>
        </row>
        <row r="1877">
          <cell r="B1877">
            <v>1727</v>
          </cell>
          <cell r="C1877" t="str">
            <v>159851(R2)-ELE</v>
          </cell>
          <cell r="D1877" t="str">
            <v>WKK</v>
          </cell>
          <cell r="E1877" t="str">
            <v>YSM10</v>
          </cell>
          <cell r="I1877" t="str">
            <v>L-&gt;R</v>
          </cell>
          <cell r="J1877" t="str">
            <v>MVC</v>
          </cell>
          <cell r="K1877">
            <v>1</v>
          </cell>
          <cell r="N1877">
            <v>44872</v>
          </cell>
          <cell r="O1877">
            <v>11116809</v>
          </cell>
          <cell r="P1877">
            <v>7202455.29</v>
          </cell>
          <cell r="Q1877">
            <v>44882</v>
          </cell>
          <cell r="R1877" t="str">
            <v>No</v>
          </cell>
          <cell r="S1877" t="str">
            <v>C49</v>
          </cell>
          <cell r="T1877" t="str">
            <v>SOUTH</v>
          </cell>
          <cell r="U1877" t="str">
            <v>深圳</v>
          </cell>
          <cell r="V1877" t="str">
            <v>SZ 深圳</v>
          </cell>
          <cell r="W1877" t="str">
            <v>KH</v>
          </cell>
          <cell r="X1877" t="str">
            <v>JPY</v>
          </cell>
          <cell r="Y1877">
            <v>7202455.29</v>
          </cell>
          <cell r="Z1877">
            <v>1</v>
          </cell>
          <cell r="AA1877">
            <v>7202455.29</v>
          </cell>
          <cell r="AB1877">
            <v>5.7799999999999997E-2</v>
          </cell>
          <cell r="AC1877">
            <v>416301.91576199996</v>
          </cell>
          <cell r="AD1877">
            <v>49956.229891439994</v>
          </cell>
          <cell r="AE1877">
            <v>0.12</v>
          </cell>
          <cell r="AF1877">
            <v>44823</v>
          </cell>
          <cell r="AG1877" t="str">
            <v>CIF HK</v>
          </cell>
          <cell r="AK1877">
            <v>0.3</v>
          </cell>
          <cell r="AL1877">
            <v>2160736.5869999998</v>
          </cell>
          <cell r="AM1877">
            <v>44846</v>
          </cell>
          <cell r="AN1877" t="str">
            <v>Yes</v>
          </cell>
          <cell r="AO1877">
            <v>0.7</v>
          </cell>
          <cell r="AP1877">
            <v>5041718.7029999997</v>
          </cell>
          <cell r="AQ1877">
            <v>44872</v>
          </cell>
          <cell r="AR1877">
            <v>44872</v>
          </cell>
          <cell r="AS1877">
            <v>0</v>
          </cell>
          <cell r="AT1877">
            <v>0</v>
          </cell>
          <cell r="AX1877" t="str">
            <v>Yes</v>
          </cell>
        </row>
        <row r="1878">
          <cell r="B1878">
            <v>1728</v>
          </cell>
          <cell r="C1878" t="str">
            <v>C49SZX20220100SS</v>
          </cell>
          <cell r="D1878" t="str">
            <v>世启纳</v>
          </cell>
          <cell r="E1878" t="str">
            <v>YSM10</v>
          </cell>
          <cell r="I1878" t="str">
            <v>R-&gt;L</v>
          </cell>
          <cell r="J1878" t="str">
            <v>MVC</v>
          </cell>
          <cell r="K1878">
            <v>1</v>
          </cell>
          <cell r="N1878">
            <v>44846</v>
          </cell>
          <cell r="O1878">
            <v>11100559</v>
          </cell>
          <cell r="P1878">
            <v>440000</v>
          </cell>
          <cell r="Q1878">
            <v>44853</v>
          </cell>
          <cell r="R1878" t="str">
            <v>No</v>
          </cell>
          <cell r="S1878" t="str">
            <v>C49</v>
          </cell>
          <cell r="T1878" t="str">
            <v>SOUTH</v>
          </cell>
          <cell r="U1878" t="str">
            <v>深圳</v>
          </cell>
          <cell r="V1878" t="str">
            <v>SZ 深圳</v>
          </cell>
          <cell r="W1878" t="str">
            <v>SS</v>
          </cell>
          <cell r="X1878" t="str">
            <v>RMB</v>
          </cell>
          <cell r="Y1878">
            <v>440000</v>
          </cell>
          <cell r="Z1878">
            <v>1.1299999999999999</v>
          </cell>
          <cell r="AA1878">
            <v>440000</v>
          </cell>
          <cell r="AB1878">
            <v>1.135</v>
          </cell>
          <cell r="AC1878">
            <v>441946.90265486733</v>
          </cell>
          <cell r="AD1878">
            <v>53033.62831858408</v>
          </cell>
          <cell r="AE1878">
            <v>0.12</v>
          </cell>
          <cell r="AF1878">
            <v>44825</v>
          </cell>
          <cell r="AG1878" t="str">
            <v>DDP SZ</v>
          </cell>
          <cell r="AK1878">
            <v>0.1</v>
          </cell>
          <cell r="AL1878">
            <v>44000</v>
          </cell>
          <cell r="AM1878">
            <v>44827</v>
          </cell>
          <cell r="AN1878" t="str">
            <v>Yes</v>
          </cell>
          <cell r="AO1878">
            <v>0.9</v>
          </cell>
          <cell r="AP1878">
            <v>396000</v>
          </cell>
          <cell r="AQ1878">
            <v>44844</v>
          </cell>
          <cell r="AR1878">
            <v>44844</v>
          </cell>
          <cell r="AS1878">
            <v>0</v>
          </cell>
          <cell r="AT1878">
            <v>0</v>
          </cell>
          <cell r="AX1878" t="str">
            <v>Yes</v>
          </cell>
          <cell r="AZ1878" t="str">
            <v>Y</v>
          </cell>
          <cell r="BA1878" t="str">
            <v>Yes</v>
          </cell>
        </row>
        <row r="1879">
          <cell r="B1879">
            <v>1729</v>
          </cell>
          <cell r="C1879" t="str">
            <v>C49SZX20220099JY</v>
          </cell>
          <cell r="D1879" t="str">
            <v>创荣发</v>
          </cell>
          <cell r="E1879" t="str">
            <v>YSM20R-2</v>
          </cell>
          <cell r="I1879" t="str">
            <v>R-&gt;L</v>
          </cell>
          <cell r="J1879" t="str">
            <v>No</v>
          </cell>
          <cell r="K1879">
            <v>1</v>
          </cell>
          <cell r="N1879">
            <v>44924</v>
          </cell>
          <cell r="O1879">
            <v>11116816</v>
          </cell>
          <cell r="P1879">
            <v>12669000</v>
          </cell>
          <cell r="Q1879">
            <v>44915</v>
          </cell>
          <cell r="R1879" t="str">
            <v>No</v>
          </cell>
          <cell r="S1879" t="str">
            <v>C49</v>
          </cell>
          <cell r="T1879" t="str">
            <v>SOUTH</v>
          </cell>
          <cell r="U1879" t="str">
            <v>深圳</v>
          </cell>
          <cell r="V1879" t="str">
            <v>SZ 深圳</v>
          </cell>
          <cell r="W1879" t="str">
            <v>JY</v>
          </cell>
          <cell r="X1879" t="str">
            <v>JPY</v>
          </cell>
          <cell r="Y1879">
            <v>12669000</v>
          </cell>
          <cell r="Z1879">
            <v>1</v>
          </cell>
          <cell r="AA1879">
            <v>12669000</v>
          </cell>
          <cell r="AB1879">
            <v>5.7799999999999997E-2</v>
          </cell>
          <cell r="AC1879">
            <v>732268.2</v>
          </cell>
          <cell r="AD1879">
            <v>87872.183999999994</v>
          </cell>
          <cell r="AE1879">
            <v>0.12</v>
          </cell>
          <cell r="AF1879">
            <v>44826</v>
          </cell>
          <cell r="AG1879" t="str">
            <v>DAP HZ</v>
          </cell>
          <cell r="AK1879">
            <v>0.3</v>
          </cell>
          <cell r="AL1879">
            <v>3800700</v>
          </cell>
          <cell r="AM1879">
            <v>44833</v>
          </cell>
          <cell r="AN1879" t="str">
            <v>Yes</v>
          </cell>
          <cell r="AO1879">
            <v>0.7</v>
          </cell>
          <cell r="AP1879">
            <v>8868300</v>
          </cell>
          <cell r="AQ1879">
            <v>44900</v>
          </cell>
          <cell r="AR1879">
            <v>44900</v>
          </cell>
          <cell r="AS1879">
            <v>0</v>
          </cell>
          <cell r="AT1879">
            <v>0</v>
          </cell>
          <cell r="AX1879" t="str">
            <v>Yes</v>
          </cell>
          <cell r="AZ1879" t="str">
            <v>Y</v>
          </cell>
          <cell r="BA1879" t="str">
            <v>Yes</v>
          </cell>
        </row>
        <row r="1880">
          <cell r="B1880">
            <v>1730</v>
          </cell>
          <cell r="C1880" t="str">
            <v>C49SZX20220099JY</v>
          </cell>
          <cell r="D1880" t="str">
            <v>创荣发</v>
          </cell>
          <cell r="E1880" t="str">
            <v>YSM10</v>
          </cell>
          <cell r="I1880" t="str">
            <v>R-&gt;L</v>
          </cell>
          <cell r="J1880" t="str">
            <v>MVC</v>
          </cell>
          <cell r="K1880">
            <v>1</v>
          </cell>
          <cell r="N1880">
            <v>44924</v>
          </cell>
          <cell r="O1880">
            <v>11116816</v>
          </cell>
          <cell r="P1880">
            <v>7416000</v>
          </cell>
          <cell r="Q1880">
            <v>44915</v>
          </cell>
          <cell r="R1880" t="str">
            <v>No</v>
          </cell>
          <cell r="S1880" t="str">
            <v>C49</v>
          </cell>
          <cell r="T1880" t="str">
            <v>SOUTH</v>
          </cell>
          <cell r="U1880" t="str">
            <v>深圳</v>
          </cell>
          <cell r="V1880" t="str">
            <v>SZ 深圳</v>
          </cell>
          <cell r="W1880" t="str">
            <v>JY</v>
          </cell>
          <cell r="X1880" t="str">
            <v>JPY</v>
          </cell>
          <cell r="Y1880">
            <v>7416000</v>
          </cell>
          <cell r="Z1880">
            <v>1</v>
          </cell>
          <cell r="AA1880">
            <v>7416000</v>
          </cell>
          <cell r="AB1880">
            <v>5.7799999999999997E-2</v>
          </cell>
          <cell r="AC1880">
            <v>428644.8</v>
          </cell>
          <cell r="AD1880">
            <v>51437.375999999997</v>
          </cell>
          <cell r="AE1880">
            <v>0.12</v>
          </cell>
          <cell r="AF1880">
            <v>44826</v>
          </cell>
          <cell r="AG1880" t="str">
            <v>DAP HZ</v>
          </cell>
          <cell r="AK1880">
            <v>0.3</v>
          </cell>
          <cell r="AL1880">
            <v>2224800</v>
          </cell>
          <cell r="AM1880">
            <v>44833</v>
          </cell>
          <cell r="AN1880" t="str">
            <v>Yes</v>
          </cell>
          <cell r="AO1880">
            <v>0.7</v>
          </cell>
          <cell r="AP1880">
            <v>5191200</v>
          </cell>
          <cell r="AQ1880">
            <v>44900</v>
          </cell>
          <cell r="AR1880">
            <v>44900</v>
          </cell>
          <cell r="AS1880">
            <v>0</v>
          </cell>
          <cell r="AT1880">
            <v>0</v>
          </cell>
          <cell r="AX1880" t="str">
            <v>Yes</v>
          </cell>
          <cell r="AZ1880" t="str">
            <v>Y</v>
          </cell>
          <cell r="BA1880" t="str">
            <v>Yes</v>
          </cell>
        </row>
        <row r="1881">
          <cell r="B1881">
            <v>1731</v>
          </cell>
          <cell r="C1881" t="str">
            <v>C49SZX20220098MZ</v>
          </cell>
          <cell r="D1881" t="str">
            <v>河南融创</v>
          </cell>
          <cell r="E1881" t="str">
            <v>YSM20R-2</v>
          </cell>
          <cell r="I1881" t="str">
            <v>L-&gt;R</v>
          </cell>
          <cell r="J1881" t="str">
            <v>No</v>
          </cell>
          <cell r="K1881">
            <v>1</v>
          </cell>
          <cell r="N1881">
            <v>44863</v>
          </cell>
          <cell r="O1881">
            <v>11100564</v>
          </cell>
          <cell r="P1881">
            <v>775000</v>
          </cell>
          <cell r="Q1881">
            <v>44862</v>
          </cell>
          <cell r="R1881" t="str">
            <v>No</v>
          </cell>
          <cell r="S1881" t="str">
            <v>C49</v>
          </cell>
          <cell r="T1881" t="str">
            <v>SOUTH</v>
          </cell>
          <cell r="U1881" t="str">
            <v>深圳</v>
          </cell>
          <cell r="V1881" t="str">
            <v>SZ 深圳</v>
          </cell>
          <cell r="W1881" t="str">
            <v>MZ</v>
          </cell>
          <cell r="X1881" t="str">
            <v>RMB</v>
          </cell>
          <cell r="Y1881">
            <v>775000</v>
          </cell>
          <cell r="Z1881">
            <v>1.1299999999999999</v>
          </cell>
          <cell r="AA1881">
            <v>775000</v>
          </cell>
          <cell r="AB1881">
            <v>1.135</v>
          </cell>
          <cell r="AC1881">
            <v>778429.20353982307</v>
          </cell>
          <cell r="AD1881">
            <v>93411.504424778759</v>
          </cell>
          <cell r="AE1881">
            <v>0.12</v>
          </cell>
          <cell r="AF1881">
            <v>44827</v>
          </cell>
          <cell r="AG1881" t="str">
            <v>DDP HN</v>
          </cell>
          <cell r="AI1881">
            <v>50000</v>
          </cell>
          <cell r="AJ1881">
            <v>44834</v>
          </cell>
          <cell r="AK1881">
            <v>0.1</v>
          </cell>
          <cell r="AL1881">
            <v>77500</v>
          </cell>
          <cell r="AM1881">
            <v>44834</v>
          </cell>
          <cell r="AN1881" t="str">
            <v>Yes</v>
          </cell>
          <cell r="AO1881">
            <v>0.9</v>
          </cell>
          <cell r="AP1881">
            <v>697500</v>
          </cell>
          <cell r="AQ1881">
            <v>44861</v>
          </cell>
          <cell r="AR1881">
            <v>44861</v>
          </cell>
          <cell r="AS1881">
            <v>0</v>
          </cell>
          <cell r="AT1881">
            <v>0</v>
          </cell>
          <cell r="AX1881" t="str">
            <v>Yes</v>
          </cell>
          <cell r="AZ1881" t="str">
            <v>Y</v>
          </cell>
          <cell r="BA1881" t="str">
            <v>Yes</v>
          </cell>
        </row>
        <row r="1882">
          <cell r="B1882">
            <v>1732</v>
          </cell>
          <cell r="C1882" t="str">
            <v>C49SZX20220098MZ</v>
          </cell>
          <cell r="D1882" t="str">
            <v>河南融创</v>
          </cell>
          <cell r="E1882" t="str">
            <v>YSM20R-2</v>
          </cell>
          <cell r="I1882" t="str">
            <v>L-&gt;R</v>
          </cell>
          <cell r="J1882" t="str">
            <v>No</v>
          </cell>
          <cell r="K1882">
            <v>1</v>
          </cell>
          <cell r="N1882">
            <v>44863</v>
          </cell>
          <cell r="O1882">
            <v>11100564</v>
          </cell>
          <cell r="P1882">
            <v>775000</v>
          </cell>
          <cell r="Q1882">
            <v>44862</v>
          </cell>
          <cell r="R1882" t="str">
            <v>No</v>
          </cell>
          <cell r="S1882" t="str">
            <v>C49</v>
          </cell>
          <cell r="T1882" t="str">
            <v>SOUTH</v>
          </cell>
          <cell r="U1882" t="str">
            <v>深圳</v>
          </cell>
          <cell r="V1882" t="str">
            <v>SZ 深圳</v>
          </cell>
          <cell r="W1882" t="str">
            <v>MZ</v>
          </cell>
          <cell r="X1882" t="str">
            <v>RMB</v>
          </cell>
          <cell r="Y1882">
            <v>775000</v>
          </cell>
          <cell r="Z1882">
            <v>1.1299999999999999</v>
          </cell>
          <cell r="AA1882">
            <v>775000</v>
          </cell>
          <cell r="AB1882">
            <v>1.135</v>
          </cell>
          <cell r="AC1882">
            <v>778429.20353982307</v>
          </cell>
          <cell r="AD1882">
            <v>93411.504424778759</v>
          </cell>
          <cell r="AE1882">
            <v>0.12</v>
          </cell>
          <cell r="AF1882">
            <v>44827</v>
          </cell>
          <cell r="AG1882" t="str">
            <v>DDP HN</v>
          </cell>
          <cell r="AI1882"/>
          <cell r="AJ1882"/>
          <cell r="AK1882">
            <v>0.1</v>
          </cell>
          <cell r="AL1882">
            <v>77500</v>
          </cell>
          <cell r="AM1882">
            <v>44845</v>
          </cell>
          <cell r="AN1882" t="str">
            <v>Yes</v>
          </cell>
          <cell r="AO1882">
            <v>0.9</v>
          </cell>
          <cell r="AP1882">
            <v>697500</v>
          </cell>
          <cell r="AQ1882">
            <v>44861</v>
          </cell>
          <cell r="AR1882">
            <v>44861</v>
          </cell>
          <cell r="AS1882">
            <v>0</v>
          </cell>
          <cell r="AT1882">
            <v>0</v>
          </cell>
          <cell r="AX1882" t="str">
            <v>Yes</v>
          </cell>
          <cell r="AZ1882" t="str">
            <v>Y</v>
          </cell>
          <cell r="BA1882" t="str">
            <v>Yes</v>
          </cell>
        </row>
        <row r="1883">
          <cell r="B1883">
            <v>1733</v>
          </cell>
          <cell r="C1883" t="str">
            <v>C49SZX20220102DZ</v>
          </cell>
          <cell r="D1883" t="str">
            <v>朗特</v>
          </cell>
          <cell r="E1883" t="str">
            <v>YSM20R-2</v>
          </cell>
          <cell r="I1883" t="str">
            <v>L-&gt;R</v>
          </cell>
          <cell r="J1883" t="str">
            <v>No</v>
          </cell>
          <cell r="K1883">
            <v>1</v>
          </cell>
          <cell r="N1883">
            <v>44834</v>
          </cell>
          <cell r="O1883">
            <v>11100562</v>
          </cell>
          <cell r="P1883">
            <v>910000</v>
          </cell>
          <cell r="Q1883">
            <v>44861</v>
          </cell>
          <cell r="R1883" t="str">
            <v>No</v>
          </cell>
          <cell r="S1883" t="str">
            <v>C49</v>
          </cell>
          <cell r="T1883" t="str">
            <v>SOUTH</v>
          </cell>
          <cell r="U1883" t="str">
            <v>深圳</v>
          </cell>
          <cell r="V1883" t="str">
            <v>SZ 深圳</v>
          </cell>
          <cell r="W1883" t="str">
            <v>MZ</v>
          </cell>
          <cell r="X1883" t="str">
            <v>RMB</v>
          </cell>
          <cell r="Y1883">
            <v>910000</v>
          </cell>
          <cell r="Z1883">
            <v>1.1299999999999999</v>
          </cell>
          <cell r="AA1883">
            <v>910000</v>
          </cell>
          <cell r="AB1883">
            <v>1.135</v>
          </cell>
          <cell r="AC1883">
            <v>914026.54867256642</v>
          </cell>
          <cell r="AD1883">
            <v>109683.18584070797</v>
          </cell>
          <cell r="AE1883">
            <v>0.12</v>
          </cell>
          <cell r="AF1883">
            <v>44834</v>
          </cell>
          <cell r="AG1883" t="str">
            <v>DDP JX</v>
          </cell>
          <cell r="AK1883">
            <v>0.3</v>
          </cell>
          <cell r="AL1883">
            <v>273000</v>
          </cell>
          <cell r="AM1883">
            <v>44845</v>
          </cell>
          <cell r="AN1883" t="str">
            <v>Yes</v>
          </cell>
          <cell r="AO1883">
            <v>0.7</v>
          </cell>
          <cell r="AP1883">
            <v>637000</v>
          </cell>
          <cell r="AQ1883">
            <v>44834</v>
          </cell>
          <cell r="AR1883">
            <v>44834</v>
          </cell>
          <cell r="AS1883">
            <v>0</v>
          </cell>
          <cell r="AT1883">
            <v>0</v>
          </cell>
          <cell r="AX1883" t="str">
            <v>Yes</v>
          </cell>
          <cell r="AZ1883" t="str">
            <v>Y</v>
          </cell>
          <cell r="BA1883" t="str">
            <v>Yes</v>
          </cell>
        </row>
        <row r="1884">
          <cell r="B1884">
            <v>1734</v>
          </cell>
          <cell r="C1884" t="str">
            <v>C49SZX20220102DZ</v>
          </cell>
          <cell r="D1884" t="str">
            <v>朗特</v>
          </cell>
          <cell r="E1884" t="str">
            <v>YSM10</v>
          </cell>
          <cell r="I1884" t="str">
            <v>L-&gt;R</v>
          </cell>
          <cell r="J1884" t="str">
            <v>MVC+ATS15</v>
          </cell>
          <cell r="K1884">
            <v>1</v>
          </cell>
          <cell r="N1884">
            <v>44834</v>
          </cell>
          <cell r="O1884">
            <v>11100562</v>
          </cell>
          <cell r="P1884">
            <v>700000</v>
          </cell>
          <cell r="Q1884">
            <v>44861</v>
          </cell>
          <cell r="R1884" t="str">
            <v>No</v>
          </cell>
          <cell r="S1884" t="str">
            <v>C49</v>
          </cell>
          <cell r="T1884" t="str">
            <v>SOUTH</v>
          </cell>
          <cell r="U1884" t="str">
            <v>深圳</v>
          </cell>
          <cell r="V1884" t="str">
            <v>SZ 深圳</v>
          </cell>
          <cell r="W1884" t="str">
            <v>MZ</v>
          </cell>
          <cell r="X1884" t="str">
            <v>RMB</v>
          </cell>
          <cell r="Y1884">
            <v>700000</v>
          </cell>
          <cell r="Z1884">
            <v>1.1299999999999999</v>
          </cell>
          <cell r="AA1884">
            <v>700000</v>
          </cell>
          <cell r="AB1884">
            <v>1.135</v>
          </cell>
          <cell r="AC1884">
            <v>703097.34513274336</v>
          </cell>
          <cell r="AD1884">
            <v>84371.681415929197</v>
          </cell>
          <cell r="AE1884">
            <v>0.12</v>
          </cell>
          <cell r="AF1884">
            <v>44834</v>
          </cell>
          <cell r="AG1884" t="str">
            <v>DDP JX</v>
          </cell>
          <cell r="AK1884">
            <v>0.3</v>
          </cell>
          <cell r="AL1884">
            <v>210000</v>
          </cell>
          <cell r="AM1884">
            <v>44834</v>
          </cell>
          <cell r="AN1884" t="str">
            <v>Yes</v>
          </cell>
          <cell r="AO1884">
            <v>0.7</v>
          </cell>
          <cell r="AP1884">
            <v>489999.99999999994</v>
          </cell>
          <cell r="AQ1884">
            <v>44834</v>
          </cell>
          <cell r="AR1884">
            <v>44834</v>
          </cell>
          <cell r="AS1884">
            <v>0</v>
          </cell>
          <cell r="AT1884">
            <v>0</v>
          </cell>
          <cell r="AX1884" t="str">
            <v>Yes</v>
          </cell>
          <cell r="AZ1884" t="str">
            <v>Y</v>
          </cell>
          <cell r="BA1884" t="str">
            <v>Yes</v>
          </cell>
        </row>
        <row r="1885">
          <cell r="B1885">
            <v>1735</v>
          </cell>
          <cell r="C1885" t="str">
            <v>C49SZX20220105SX</v>
          </cell>
          <cell r="D1885" t="str">
            <v>联众斯通</v>
          </cell>
          <cell r="E1885" t="str">
            <v>YSM10</v>
          </cell>
          <cell r="F1885"/>
          <cell r="H1885"/>
          <cell r="I1885" t="str">
            <v>L-&gt;R</v>
          </cell>
          <cell r="J1885" t="str">
            <v>MVC</v>
          </cell>
          <cell r="K1885">
            <v>1</v>
          </cell>
          <cell r="L1885"/>
          <cell r="N1885"/>
          <cell r="O1885"/>
          <cell r="P1885"/>
          <cell r="Q1885"/>
          <cell r="R1885" t="str">
            <v>Yes</v>
          </cell>
          <cell r="S1885" t="str">
            <v>C49</v>
          </cell>
          <cell r="T1885" t="str">
            <v>SOUTH</v>
          </cell>
          <cell r="U1885" t="str">
            <v>深圳</v>
          </cell>
          <cell r="V1885" t="str">
            <v>SZ 深圳</v>
          </cell>
          <cell r="W1885" t="str">
            <v>SX</v>
          </cell>
          <cell r="X1885" t="str">
            <v>RMB</v>
          </cell>
          <cell r="Y1885">
            <v>425000</v>
          </cell>
          <cell r="Z1885">
            <v>1.1299999999999999</v>
          </cell>
          <cell r="AA1885">
            <v>425000</v>
          </cell>
          <cell r="AB1885">
            <v>1.1000000000000001</v>
          </cell>
          <cell r="AC1885">
            <v>413716.81415929209</v>
          </cell>
          <cell r="AD1885">
            <v>49646.017699115051</v>
          </cell>
          <cell r="AE1885">
            <v>0.12</v>
          </cell>
          <cell r="AF1885">
            <v>44845</v>
          </cell>
          <cell r="AG1885" t="str">
            <v>DDP SZ</v>
          </cell>
          <cell r="AI1885"/>
          <cell r="AJ1885"/>
          <cell r="AK1885">
            <v>0.3</v>
          </cell>
          <cell r="AL1885">
            <v>127500</v>
          </cell>
          <cell r="AM1885"/>
          <cell r="AN1885" t="str">
            <v>No</v>
          </cell>
          <cell r="AO1885">
            <v>0.7</v>
          </cell>
          <cell r="AP1885">
            <v>297500</v>
          </cell>
          <cell r="AQ1885"/>
          <cell r="AR1885"/>
          <cell r="AS1885">
            <v>0</v>
          </cell>
          <cell r="AT1885">
            <v>0</v>
          </cell>
          <cell r="AV1885"/>
          <cell r="AX1885" t="str">
            <v>Cancel</v>
          </cell>
          <cell r="AY1885"/>
          <cell r="AZ1885"/>
          <cell r="BA1885" t="str">
            <v>Cancel</v>
          </cell>
          <cell r="BB1885" t="str">
            <v>2023-11-29 Ken邮件通知</v>
          </cell>
        </row>
        <row r="1886">
          <cell r="B1886">
            <v>1736</v>
          </cell>
          <cell r="C1886" t="str">
            <v>C49SZX20220105SX</v>
          </cell>
          <cell r="D1886" t="str">
            <v>联众斯通</v>
          </cell>
          <cell r="E1886" t="str">
            <v>YSM10</v>
          </cell>
          <cell r="F1886"/>
          <cell r="H1886"/>
          <cell r="I1886" t="str">
            <v>L-&gt;R</v>
          </cell>
          <cell r="J1886" t="str">
            <v>MVC</v>
          </cell>
          <cell r="K1886">
            <v>1</v>
          </cell>
          <cell r="L1886"/>
          <cell r="N1886"/>
          <cell r="O1886"/>
          <cell r="P1886"/>
          <cell r="Q1886"/>
          <cell r="R1886" t="str">
            <v>Yes</v>
          </cell>
          <cell r="S1886" t="str">
            <v>C49</v>
          </cell>
          <cell r="T1886" t="str">
            <v>SOUTH</v>
          </cell>
          <cell r="U1886" t="str">
            <v>深圳</v>
          </cell>
          <cell r="V1886" t="str">
            <v>SZ 深圳</v>
          </cell>
          <cell r="W1886" t="str">
            <v>SX</v>
          </cell>
          <cell r="X1886" t="str">
            <v>RMB</v>
          </cell>
          <cell r="Y1886">
            <v>425000</v>
          </cell>
          <cell r="Z1886">
            <v>1.1299999999999999</v>
          </cell>
          <cell r="AA1886">
            <v>425000</v>
          </cell>
          <cell r="AB1886">
            <v>1.1000000000000001</v>
          </cell>
          <cell r="AC1886">
            <v>413716.81415929209</v>
          </cell>
          <cell r="AD1886">
            <v>49646.017699115051</v>
          </cell>
          <cell r="AE1886">
            <v>0.12</v>
          </cell>
          <cell r="AF1886">
            <v>44845</v>
          </cell>
          <cell r="AG1886" t="str">
            <v>DDP SZ</v>
          </cell>
          <cell r="AI1886"/>
          <cell r="AJ1886"/>
          <cell r="AK1886">
            <v>0.3</v>
          </cell>
          <cell r="AL1886">
            <v>127500</v>
          </cell>
          <cell r="AM1886"/>
          <cell r="AN1886" t="str">
            <v>No</v>
          </cell>
          <cell r="AO1886">
            <v>0.7</v>
          </cell>
          <cell r="AP1886">
            <v>297500</v>
          </cell>
          <cell r="AQ1886"/>
          <cell r="AR1886"/>
          <cell r="AS1886">
            <v>0</v>
          </cell>
          <cell r="AT1886">
            <v>0</v>
          </cell>
          <cell r="AV1886"/>
          <cell r="AX1886" t="str">
            <v>Cancel</v>
          </cell>
          <cell r="AY1886"/>
          <cell r="AZ1886"/>
          <cell r="BA1886" t="str">
            <v>Cancel</v>
          </cell>
          <cell r="BB1886" t="str">
            <v>2023-11-29 Ken邮件通知</v>
          </cell>
        </row>
        <row r="1887">
          <cell r="B1887">
            <v>1737</v>
          </cell>
          <cell r="C1887" t="str">
            <v>C49SZX20220105SX</v>
          </cell>
          <cell r="D1887" t="str">
            <v>联众斯通</v>
          </cell>
          <cell r="E1887" t="str">
            <v>YSM20R-2</v>
          </cell>
          <cell r="F1887"/>
          <cell r="H1887"/>
          <cell r="I1887" t="str">
            <v>L-&gt;R</v>
          </cell>
          <cell r="J1887" t="str">
            <v>No</v>
          </cell>
          <cell r="K1887">
            <v>1</v>
          </cell>
          <cell r="L1887"/>
          <cell r="N1887"/>
          <cell r="O1887"/>
          <cell r="P1887"/>
          <cell r="Q1887"/>
          <cell r="R1887" t="str">
            <v>Yes</v>
          </cell>
          <cell r="S1887" t="str">
            <v>C49</v>
          </cell>
          <cell r="T1887" t="str">
            <v>SOUTH</v>
          </cell>
          <cell r="U1887" t="str">
            <v>深圳</v>
          </cell>
          <cell r="V1887" t="str">
            <v>SZ 深圳</v>
          </cell>
          <cell r="W1887" t="str">
            <v>SX</v>
          </cell>
          <cell r="X1887" t="str">
            <v>RMB</v>
          </cell>
          <cell r="Y1887">
            <v>710000</v>
          </cell>
          <cell r="Z1887">
            <v>1.1299999999999999</v>
          </cell>
          <cell r="AA1887">
            <v>710000</v>
          </cell>
          <cell r="AB1887">
            <v>1.1000000000000001</v>
          </cell>
          <cell r="AC1887">
            <v>691150.4424778762</v>
          </cell>
          <cell r="AD1887">
            <v>82938.053097345139</v>
          </cell>
          <cell r="AE1887">
            <v>0.12</v>
          </cell>
          <cell r="AF1887">
            <v>44845</v>
          </cell>
          <cell r="AG1887" t="str">
            <v>DDP SZ</v>
          </cell>
          <cell r="AI1887"/>
          <cell r="AJ1887"/>
          <cell r="AK1887">
            <v>0.3</v>
          </cell>
          <cell r="AL1887">
            <v>213000</v>
          </cell>
          <cell r="AM1887"/>
          <cell r="AN1887" t="str">
            <v>No</v>
          </cell>
          <cell r="AO1887">
            <v>0.7</v>
          </cell>
          <cell r="AP1887">
            <v>496999.99999999994</v>
          </cell>
          <cell r="AQ1887"/>
          <cell r="AR1887"/>
          <cell r="AS1887">
            <v>0</v>
          </cell>
          <cell r="AT1887">
            <v>0</v>
          </cell>
          <cell r="AV1887"/>
          <cell r="AX1887" t="str">
            <v>Cancel</v>
          </cell>
          <cell r="AY1887"/>
          <cell r="AZ1887"/>
          <cell r="BA1887" t="str">
            <v>Cancel</v>
          </cell>
          <cell r="BB1887" t="str">
            <v>2023-11-29 Ken邮件通知</v>
          </cell>
        </row>
        <row r="1888">
          <cell r="B1888">
            <v>1738</v>
          </cell>
          <cell r="C1888" t="str">
            <v>C49SZX20220105SX</v>
          </cell>
          <cell r="D1888" t="str">
            <v>联众斯通</v>
          </cell>
          <cell r="E1888" t="str">
            <v>YSM20R-2</v>
          </cell>
          <cell r="F1888"/>
          <cell r="H1888"/>
          <cell r="I1888" t="str">
            <v>L-&gt;R</v>
          </cell>
          <cell r="J1888" t="str">
            <v>No</v>
          </cell>
          <cell r="K1888">
            <v>1</v>
          </cell>
          <cell r="L1888"/>
          <cell r="N1888"/>
          <cell r="O1888"/>
          <cell r="P1888"/>
          <cell r="Q1888"/>
          <cell r="R1888" t="str">
            <v>Yes</v>
          </cell>
          <cell r="S1888" t="str">
            <v>C49</v>
          </cell>
          <cell r="T1888" t="str">
            <v>SOUTH</v>
          </cell>
          <cell r="U1888" t="str">
            <v>深圳</v>
          </cell>
          <cell r="V1888" t="str">
            <v>SZ 深圳</v>
          </cell>
          <cell r="W1888" t="str">
            <v>SX</v>
          </cell>
          <cell r="X1888" t="str">
            <v>RMB</v>
          </cell>
          <cell r="Y1888">
            <v>710000</v>
          </cell>
          <cell r="Z1888">
            <v>1.1299999999999999</v>
          </cell>
          <cell r="AA1888">
            <v>710000</v>
          </cell>
          <cell r="AB1888">
            <v>1.1000000000000001</v>
          </cell>
          <cell r="AC1888">
            <v>691150.4424778762</v>
          </cell>
          <cell r="AD1888">
            <v>82938.053097345139</v>
          </cell>
          <cell r="AE1888">
            <v>0.12</v>
          </cell>
          <cell r="AF1888">
            <v>44845</v>
          </cell>
          <cell r="AG1888" t="str">
            <v>DDP SZ</v>
          </cell>
          <cell r="AI1888"/>
          <cell r="AJ1888"/>
          <cell r="AK1888">
            <v>0.3</v>
          </cell>
          <cell r="AL1888">
            <v>213000</v>
          </cell>
          <cell r="AM1888"/>
          <cell r="AN1888" t="str">
            <v>No</v>
          </cell>
          <cell r="AO1888">
            <v>0.7</v>
          </cell>
          <cell r="AP1888">
            <v>496999.99999999994</v>
          </cell>
          <cell r="AQ1888"/>
          <cell r="AR1888"/>
          <cell r="AS1888">
            <v>0</v>
          </cell>
          <cell r="AT1888">
            <v>0</v>
          </cell>
          <cell r="AV1888"/>
          <cell r="AX1888" t="str">
            <v>Cancel</v>
          </cell>
          <cell r="AY1888"/>
          <cell r="AZ1888"/>
          <cell r="BA1888" t="str">
            <v>Cancel</v>
          </cell>
          <cell r="BB1888" t="str">
            <v>2023-11-29 Ken邮件通知</v>
          </cell>
        </row>
        <row r="1889">
          <cell r="B1889">
            <v>1739</v>
          </cell>
          <cell r="C1889" t="str">
            <v>C49SZX20220106SX</v>
          </cell>
          <cell r="D1889" t="str">
            <v>锐诚</v>
          </cell>
          <cell r="E1889" t="str">
            <v>YSM20R-2</v>
          </cell>
          <cell r="I1889" t="str">
            <v>L-&gt;R</v>
          </cell>
          <cell r="J1889" t="str">
            <v>No</v>
          </cell>
          <cell r="K1889">
            <v>1</v>
          </cell>
          <cell r="N1889">
            <v>44854</v>
          </cell>
          <cell r="O1889">
            <v>11100561</v>
          </cell>
          <cell r="P1889">
            <v>826000</v>
          </cell>
          <cell r="Q1889">
            <v>44855</v>
          </cell>
          <cell r="R1889" t="str">
            <v>No</v>
          </cell>
          <cell r="S1889" t="str">
            <v>C49</v>
          </cell>
          <cell r="T1889" t="str">
            <v>SOUTH</v>
          </cell>
          <cell r="U1889" t="str">
            <v>深圳</v>
          </cell>
          <cell r="V1889" t="str">
            <v>SZ 深圳</v>
          </cell>
          <cell r="W1889" t="str">
            <v>SX</v>
          </cell>
          <cell r="X1889" t="str">
            <v>RMB</v>
          </cell>
          <cell r="Y1889">
            <v>826000</v>
          </cell>
          <cell r="Z1889">
            <v>1.1299999999999999</v>
          </cell>
          <cell r="AA1889">
            <v>826000</v>
          </cell>
          <cell r="AB1889">
            <v>1.1000000000000001</v>
          </cell>
          <cell r="AC1889">
            <v>804070.79646017717</v>
          </cell>
          <cell r="AD1889">
            <v>96488.495575221255</v>
          </cell>
          <cell r="AE1889">
            <v>0.12</v>
          </cell>
          <cell r="AF1889">
            <v>44845</v>
          </cell>
          <cell r="AG1889" t="str">
            <v>DDP HZ</v>
          </cell>
          <cell r="AK1889">
            <v>1</v>
          </cell>
          <cell r="AL1889">
            <v>826000</v>
          </cell>
          <cell r="AM1889">
            <v>44852</v>
          </cell>
          <cell r="AN1889" t="str">
            <v>Yes</v>
          </cell>
          <cell r="AO1889">
            <v>0</v>
          </cell>
          <cell r="AP1889">
            <v>0</v>
          </cell>
          <cell r="AS1889">
            <v>0</v>
          </cell>
          <cell r="AT1889">
            <v>0</v>
          </cell>
          <cell r="AX1889" t="str">
            <v>Yes</v>
          </cell>
          <cell r="AZ1889" t="str">
            <v>Y</v>
          </cell>
          <cell r="BA1889" t="str">
            <v>Yes</v>
          </cell>
        </row>
        <row r="1890">
          <cell r="B1890">
            <v>1740</v>
          </cell>
          <cell r="C1890" t="str">
            <v>C49SZX20220107DZ</v>
          </cell>
          <cell r="D1890" t="str">
            <v>朗特</v>
          </cell>
          <cell r="E1890" t="str">
            <v>YSM20R-2</v>
          </cell>
          <cell r="I1890" t="str">
            <v>L-&gt;R</v>
          </cell>
          <cell r="J1890" t="str">
            <v>No</v>
          </cell>
          <cell r="K1890">
            <v>1</v>
          </cell>
          <cell r="N1890">
            <v>44853</v>
          </cell>
          <cell r="O1890">
            <v>11100563</v>
          </cell>
          <cell r="P1890">
            <v>925000</v>
          </cell>
          <cell r="Q1890">
            <v>44861</v>
          </cell>
          <cell r="R1890" t="str">
            <v>No</v>
          </cell>
          <cell r="S1890" t="str">
            <v>C49</v>
          </cell>
          <cell r="T1890" t="str">
            <v>SOUTH</v>
          </cell>
          <cell r="U1890" t="str">
            <v>深圳</v>
          </cell>
          <cell r="V1890" t="str">
            <v>SZ 深圳</v>
          </cell>
          <cell r="W1890" t="str">
            <v>MZ</v>
          </cell>
          <cell r="X1890" t="str">
            <v>RMB</v>
          </cell>
          <cell r="Y1890">
            <v>925000</v>
          </cell>
          <cell r="Z1890">
            <v>1.1299999999999999</v>
          </cell>
          <cell r="AA1890">
            <v>925000</v>
          </cell>
          <cell r="AB1890">
            <v>1.1000000000000001</v>
          </cell>
          <cell r="AC1890">
            <v>900442.47787610639</v>
          </cell>
          <cell r="AD1890">
            <v>108053.09734513276</v>
          </cell>
          <cell r="AE1890">
            <v>0.12</v>
          </cell>
          <cell r="AF1890">
            <v>44846</v>
          </cell>
          <cell r="AG1890" t="str">
            <v>DDP SZ</v>
          </cell>
          <cell r="AK1890">
            <v>1</v>
          </cell>
          <cell r="AL1890">
            <v>925000</v>
          </cell>
          <cell r="AM1890">
            <v>44851</v>
          </cell>
          <cell r="AN1890" t="str">
            <v>Yes</v>
          </cell>
          <cell r="AO1890">
            <v>0</v>
          </cell>
          <cell r="AP1890">
            <v>0</v>
          </cell>
          <cell r="AS1890">
            <v>0</v>
          </cell>
          <cell r="AT1890">
            <v>0</v>
          </cell>
          <cell r="AX1890" t="str">
            <v>Yes</v>
          </cell>
          <cell r="AZ1890" t="str">
            <v>Y</v>
          </cell>
          <cell r="BA1890" t="str">
            <v>Yes</v>
          </cell>
        </row>
        <row r="1891">
          <cell r="B1891">
            <v>1741</v>
          </cell>
          <cell r="C1891" t="str">
            <v>C49SZX20220107DZ</v>
          </cell>
          <cell r="D1891" t="str">
            <v>朗特</v>
          </cell>
          <cell r="E1891" t="str">
            <v>YSM20R-2</v>
          </cell>
          <cell r="I1891" t="str">
            <v>L-&gt;R</v>
          </cell>
          <cell r="J1891" t="str">
            <v>No</v>
          </cell>
          <cell r="K1891">
            <v>1</v>
          </cell>
          <cell r="N1891">
            <v>44853</v>
          </cell>
          <cell r="O1891">
            <v>11100563</v>
          </cell>
          <cell r="P1891">
            <v>925000</v>
          </cell>
          <cell r="Q1891">
            <v>44861</v>
          </cell>
          <cell r="R1891" t="str">
            <v>No</v>
          </cell>
          <cell r="S1891" t="str">
            <v>C49</v>
          </cell>
          <cell r="T1891" t="str">
            <v>SOUTH</v>
          </cell>
          <cell r="U1891" t="str">
            <v>深圳</v>
          </cell>
          <cell r="V1891" t="str">
            <v>SZ 深圳</v>
          </cell>
          <cell r="W1891" t="str">
            <v>MZ</v>
          </cell>
          <cell r="X1891" t="str">
            <v>RMB</v>
          </cell>
          <cell r="Y1891">
            <v>925000</v>
          </cell>
          <cell r="Z1891">
            <v>1.1299999999999999</v>
          </cell>
          <cell r="AA1891">
            <v>925000</v>
          </cell>
          <cell r="AB1891">
            <v>1.1000000000000001</v>
          </cell>
          <cell r="AC1891">
            <v>900442.47787610639</v>
          </cell>
          <cell r="AD1891">
            <v>108053.09734513276</v>
          </cell>
          <cell r="AE1891">
            <v>0.12</v>
          </cell>
          <cell r="AF1891">
            <v>44846</v>
          </cell>
          <cell r="AG1891" t="str">
            <v>DDP SZ</v>
          </cell>
          <cell r="AK1891">
            <v>1</v>
          </cell>
          <cell r="AL1891">
            <v>925000</v>
          </cell>
          <cell r="AM1891">
            <v>44851</v>
          </cell>
          <cell r="AN1891" t="str">
            <v>Yes</v>
          </cell>
          <cell r="AO1891">
            <v>0</v>
          </cell>
          <cell r="AP1891">
            <v>0</v>
          </cell>
          <cell r="AS1891">
            <v>0</v>
          </cell>
          <cell r="AT1891">
            <v>0</v>
          </cell>
          <cell r="AX1891" t="str">
            <v>Yes</v>
          </cell>
          <cell r="AZ1891" t="str">
            <v>Y</v>
          </cell>
          <cell r="BA1891" t="str">
            <v>Yes</v>
          </cell>
        </row>
        <row r="1892">
          <cell r="B1892">
            <v>1742</v>
          </cell>
          <cell r="C1892" t="str">
            <v>C49SZX20220107DZ</v>
          </cell>
          <cell r="D1892" t="str">
            <v>朗特</v>
          </cell>
          <cell r="E1892" t="str">
            <v>YSM20R-2</v>
          </cell>
          <cell r="I1892" t="str">
            <v>R-&gt;L</v>
          </cell>
          <cell r="J1892" t="str">
            <v>No</v>
          </cell>
          <cell r="K1892">
            <v>1</v>
          </cell>
          <cell r="N1892">
            <v>44853</v>
          </cell>
          <cell r="O1892">
            <v>11100563</v>
          </cell>
          <cell r="P1892">
            <v>925000</v>
          </cell>
          <cell r="Q1892">
            <v>44861</v>
          </cell>
          <cell r="R1892" t="str">
            <v>No</v>
          </cell>
          <cell r="S1892" t="str">
            <v>C49</v>
          </cell>
          <cell r="T1892" t="str">
            <v>SOUTH</v>
          </cell>
          <cell r="U1892" t="str">
            <v>深圳</v>
          </cell>
          <cell r="V1892" t="str">
            <v>SZ 深圳</v>
          </cell>
          <cell r="W1892" t="str">
            <v>MZ</v>
          </cell>
          <cell r="X1892" t="str">
            <v>RMB</v>
          </cell>
          <cell r="Y1892">
            <v>925000</v>
          </cell>
          <cell r="Z1892">
            <v>1.1299999999999999</v>
          </cell>
          <cell r="AA1892">
            <v>925000</v>
          </cell>
          <cell r="AB1892">
            <v>1.1000000000000001</v>
          </cell>
          <cell r="AC1892">
            <v>900442.47787610639</v>
          </cell>
          <cell r="AD1892">
            <v>108053.09734513276</v>
          </cell>
          <cell r="AE1892">
            <v>0.12</v>
          </cell>
          <cell r="AF1892">
            <v>44846</v>
          </cell>
          <cell r="AG1892" t="str">
            <v>DDP SZ</v>
          </cell>
          <cell r="AK1892">
            <v>1</v>
          </cell>
          <cell r="AL1892">
            <v>925000</v>
          </cell>
          <cell r="AM1892">
            <v>44851</v>
          </cell>
          <cell r="AN1892" t="str">
            <v>Yes</v>
          </cell>
          <cell r="AO1892">
            <v>0</v>
          </cell>
          <cell r="AP1892">
            <v>0</v>
          </cell>
          <cell r="AS1892">
            <v>0</v>
          </cell>
          <cell r="AT1892">
            <v>0</v>
          </cell>
          <cell r="AX1892" t="str">
            <v>Yes</v>
          </cell>
          <cell r="AZ1892" t="str">
            <v>Y</v>
          </cell>
          <cell r="BA1892" t="str">
            <v>Yes</v>
          </cell>
        </row>
        <row r="1893">
          <cell r="B1893">
            <v>1743</v>
          </cell>
          <cell r="C1893" t="str">
            <v>C49SZX20220107DZ</v>
          </cell>
          <cell r="D1893" t="str">
            <v>朗特</v>
          </cell>
          <cell r="E1893" t="str">
            <v>YSM20R-2</v>
          </cell>
          <cell r="I1893" t="str">
            <v>R-&gt;L</v>
          </cell>
          <cell r="J1893" t="str">
            <v>No</v>
          </cell>
          <cell r="K1893">
            <v>1</v>
          </cell>
          <cell r="N1893">
            <v>44853</v>
          </cell>
          <cell r="O1893">
            <v>11100563</v>
          </cell>
          <cell r="P1893">
            <v>925000</v>
          </cell>
          <cell r="Q1893">
            <v>44861</v>
          </cell>
          <cell r="R1893" t="str">
            <v>No</v>
          </cell>
          <cell r="S1893" t="str">
            <v>C49</v>
          </cell>
          <cell r="T1893" t="str">
            <v>SOUTH</v>
          </cell>
          <cell r="U1893" t="str">
            <v>深圳</v>
          </cell>
          <cell r="V1893" t="str">
            <v>SZ 深圳</v>
          </cell>
          <cell r="W1893" t="str">
            <v>MZ</v>
          </cell>
          <cell r="X1893" t="str">
            <v>RMB</v>
          </cell>
          <cell r="Y1893">
            <v>925000</v>
          </cell>
          <cell r="Z1893">
            <v>1.1299999999999999</v>
          </cell>
          <cell r="AA1893">
            <v>925000</v>
          </cell>
          <cell r="AB1893">
            <v>1.1000000000000001</v>
          </cell>
          <cell r="AC1893">
            <v>900442.47787610639</v>
          </cell>
          <cell r="AD1893">
            <v>108053.09734513276</v>
          </cell>
          <cell r="AE1893">
            <v>0.12</v>
          </cell>
          <cell r="AF1893">
            <v>44846</v>
          </cell>
          <cell r="AG1893" t="str">
            <v>DDP SZ</v>
          </cell>
          <cell r="AK1893">
            <v>1</v>
          </cell>
          <cell r="AL1893">
            <v>925000</v>
          </cell>
          <cell r="AM1893">
            <v>44851</v>
          </cell>
          <cell r="AN1893" t="str">
            <v>Yes</v>
          </cell>
          <cell r="AO1893">
            <v>0</v>
          </cell>
          <cell r="AP1893">
            <v>0</v>
          </cell>
          <cell r="AS1893">
            <v>0</v>
          </cell>
          <cell r="AT1893">
            <v>0</v>
          </cell>
          <cell r="AX1893" t="str">
            <v>Yes</v>
          </cell>
          <cell r="AZ1893" t="str">
            <v>Y</v>
          </cell>
          <cell r="BA1893" t="str">
            <v>Yes</v>
          </cell>
        </row>
        <row r="1894">
          <cell r="B1894">
            <v>1744</v>
          </cell>
          <cell r="C1894" t="str">
            <v>C49SZX20220107DZ</v>
          </cell>
          <cell r="D1894" t="str">
            <v>朗特</v>
          </cell>
          <cell r="E1894" t="str">
            <v>YSM10</v>
          </cell>
          <cell r="I1894" t="str">
            <v>L-&gt;R</v>
          </cell>
          <cell r="J1894" t="str">
            <v>MVC+ATS15</v>
          </cell>
          <cell r="K1894">
            <v>1</v>
          </cell>
          <cell r="N1894">
            <v>44853</v>
          </cell>
          <cell r="O1894">
            <v>11100563</v>
          </cell>
          <cell r="P1894">
            <v>710800</v>
          </cell>
          <cell r="Q1894">
            <v>44861</v>
          </cell>
          <cell r="R1894" t="str">
            <v>No</v>
          </cell>
          <cell r="S1894" t="str">
            <v>C49</v>
          </cell>
          <cell r="T1894" t="str">
            <v>SOUTH</v>
          </cell>
          <cell r="U1894" t="str">
            <v>深圳</v>
          </cell>
          <cell r="V1894" t="str">
            <v>SZ 深圳</v>
          </cell>
          <cell r="W1894" t="str">
            <v>MZ</v>
          </cell>
          <cell r="X1894" t="str">
            <v>RMB</v>
          </cell>
          <cell r="Y1894">
            <v>710800</v>
          </cell>
          <cell r="Z1894">
            <v>1.1299999999999999</v>
          </cell>
          <cell r="AA1894">
            <v>710800</v>
          </cell>
          <cell r="AB1894">
            <v>1.1000000000000001</v>
          </cell>
          <cell r="AC1894">
            <v>691929.20353982307</v>
          </cell>
          <cell r="AD1894">
            <v>83031.504424778759</v>
          </cell>
          <cell r="AE1894">
            <v>0.12</v>
          </cell>
          <cell r="AF1894">
            <v>44846</v>
          </cell>
          <cell r="AG1894" t="str">
            <v>DDP SZ</v>
          </cell>
          <cell r="AK1894">
            <v>1</v>
          </cell>
          <cell r="AL1894">
            <v>710800</v>
          </cell>
          <cell r="AM1894">
            <v>44851</v>
          </cell>
          <cell r="AN1894" t="str">
            <v>Yes</v>
          </cell>
          <cell r="AO1894">
            <v>0</v>
          </cell>
          <cell r="AP1894">
            <v>0</v>
          </cell>
          <cell r="AS1894">
            <v>0</v>
          </cell>
          <cell r="AT1894">
            <v>0</v>
          </cell>
          <cell r="AX1894" t="str">
            <v>Yes</v>
          </cell>
          <cell r="AZ1894" t="str">
            <v>Y</v>
          </cell>
          <cell r="BA1894" t="str">
            <v>Yes</v>
          </cell>
        </row>
        <row r="1895">
          <cell r="B1895">
            <v>1745</v>
          </cell>
          <cell r="C1895" t="str">
            <v>C49SZX20220107DZ</v>
          </cell>
          <cell r="D1895" t="str">
            <v>朗特</v>
          </cell>
          <cell r="E1895" t="str">
            <v>YSM10</v>
          </cell>
          <cell r="I1895" t="str">
            <v>R-&gt;L</v>
          </cell>
          <cell r="J1895" t="str">
            <v>MVC+ATS15</v>
          </cell>
          <cell r="K1895">
            <v>1</v>
          </cell>
          <cell r="N1895">
            <v>44853</v>
          </cell>
          <cell r="O1895">
            <v>11100563</v>
          </cell>
          <cell r="P1895">
            <v>710800</v>
          </cell>
          <cell r="Q1895">
            <v>44861</v>
          </cell>
          <cell r="R1895" t="str">
            <v>No</v>
          </cell>
          <cell r="S1895" t="str">
            <v>C49</v>
          </cell>
          <cell r="T1895" t="str">
            <v>SOUTH</v>
          </cell>
          <cell r="U1895" t="str">
            <v>深圳</v>
          </cell>
          <cell r="V1895" t="str">
            <v>SZ 深圳</v>
          </cell>
          <cell r="W1895" t="str">
            <v>MZ</v>
          </cell>
          <cell r="X1895" t="str">
            <v>RMB</v>
          </cell>
          <cell r="Y1895">
            <v>710800</v>
          </cell>
          <cell r="Z1895">
            <v>1.1299999999999999</v>
          </cell>
          <cell r="AA1895">
            <v>710800</v>
          </cell>
          <cell r="AB1895">
            <v>1.1000000000000001</v>
          </cell>
          <cell r="AC1895">
            <v>691929.20353982307</v>
          </cell>
          <cell r="AD1895">
            <v>83031.504424778759</v>
          </cell>
          <cell r="AE1895">
            <v>0.12</v>
          </cell>
          <cell r="AF1895">
            <v>44846</v>
          </cell>
          <cell r="AG1895" t="str">
            <v>DDP SZ</v>
          </cell>
          <cell r="AK1895">
            <v>1</v>
          </cell>
          <cell r="AL1895">
            <v>710800</v>
          </cell>
          <cell r="AM1895">
            <v>44851</v>
          </cell>
          <cell r="AN1895" t="str">
            <v>Yes</v>
          </cell>
          <cell r="AO1895">
            <v>0</v>
          </cell>
          <cell r="AP1895">
            <v>0</v>
          </cell>
          <cell r="AS1895">
            <v>0</v>
          </cell>
          <cell r="AT1895">
            <v>0</v>
          </cell>
          <cell r="AX1895" t="str">
            <v>Yes</v>
          </cell>
          <cell r="AZ1895" t="str">
            <v>Y</v>
          </cell>
          <cell r="BA1895" t="str">
            <v>Yes</v>
          </cell>
        </row>
        <row r="1896">
          <cell r="B1896">
            <v>1746</v>
          </cell>
          <cell r="C1896" t="str">
            <v>C49SZX20220108SX</v>
          </cell>
          <cell r="D1896" t="str">
            <v>赛朗斯</v>
          </cell>
          <cell r="E1896" t="str">
            <v>YSM10</v>
          </cell>
          <cell r="I1896" t="str">
            <v>R-&gt;L</v>
          </cell>
          <cell r="J1896" t="str">
            <v>MVC</v>
          </cell>
          <cell r="K1896">
            <v>1</v>
          </cell>
          <cell r="N1896">
            <v>44853</v>
          </cell>
          <cell r="O1896">
            <v>11100560</v>
          </cell>
          <cell r="P1896">
            <v>430000</v>
          </cell>
          <cell r="Q1896">
            <v>44855</v>
          </cell>
          <cell r="R1896" t="str">
            <v>No</v>
          </cell>
          <cell r="S1896" t="str">
            <v>C49</v>
          </cell>
          <cell r="T1896" t="str">
            <v>SOUTH</v>
          </cell>
          <cell r="U1896" t="str">
            <v>深圳</v>
          </cell>
          <cell r="V1896" t="str">
            <v>SZ 深圳</v>
          </cell>
          <cell r="W1896" t="str">
            <v>SX</v>
          </cell>
          <cell r="X1896" t="str">
            <v>RMB</v>
          </cell>
          <cell r="Y1896">
            <v>430000</v>
          </cell>
          <cell r="Z1896">
            <v>1.1299999999999999</v>
          </cell>
          <cell r="AA1896">
            <v>430000</v>
          </cell>
          <cell r="AB1896">
            <v>1.1000000000000001</v>
          </cell>
          <cell r="AC1896">
            <v>418584.07079646026</v>
          </cell>
          <cell r="AD1896">
            <v>50230.088495575226</v>
          </cell>
          <cell r="AE1896">
            <v>0.12</v>
          </cell>
          <cell r="AF1896">
            <v>44846</v>
          </cell>
          <cell r="AG1896" t="str">
            <v>DDP FS</v>
          </cell>
          <cell r="AK1896">
            <v>0.3</v>
          </cell>
          <cell r="AL1896">
            <v>129000</v>
          </cell>
          <cell r="AM1896">
            <v>44849</v>
          </cell>
          <cell r="AN1896" t="str">
            <v>Yes</v>
          </cell>
          <cell r="AO1896">
            <v>0.7</v>
          </cell>
          <cell r="AP1896">
            <v>301000</v>
          </cell>
          <cell r="AS1896">
            <v>0</v>
          </cell>
          <cell r="AT1896">
            <v>0</v>
          </cell>
          <cell r="AX1896" t="str">
            <v>Yes</v>
          </cell>
          <cell r="AZ1896" t="str">
            <v>Y</v>
          </cell>
          <cell r="BA1896" t="str">
            <v>Yes</v>
          </cell>
        </row>
        <row r="1897">
          <cell r="B1897">
            <v>1747</v>
          </cell>
          <cell r="C1897" t="str">
            <v>C49SZX20220103SS</v>
          </cell>
          <cell r="D1897" t="str">
            <v>银杏</v>
          </cell>
          <cell r="E1897" t="str">
            <v>YSM20R-2</v>
          </cell>
          <cell r="I1897" t="str">
            <v>L-&gt;R</v>
          </cell>
          <cell r="J1897" t="str">
            <v>MVC</v>
          </cell>
          <cell r="K1897">
            <v>1</v>
          </cell>
          <cell r="N1897">
            <v>44866</v>
          </cell>
          <cell r="O1897">
            <v>11116805</v>
          </cell>
          <cell r="P1897">
            <v>18000000</v>
          </cell>
          <cell r="Q1897">
            <v>44860</v>
          </cell>
          <cell r="R1897" t="str">
            <v>Yes</v>
          </cell>
          <cell r="S1897" t="str">
            <v>C49</v>
          </cell>
          <cell r="T1897" t="str">
            <v>SOUTH</v>
          </cell>
          <cell r="U1897" t="str">
            <v>深圳</v>
          </cell>
          <cell r="V1897" t="str">
            <v>SZ 深圳</v>
          </cell>
          <cell r="W1897" t="str">
            <v>SS</v>
          </cell>
          <cell r="X1897" t="str">
            <v>JPY</v>
          </cell>
          <cell r="Y1897">
            <v>18000000</v>
          </cell>
          <cell r="Z1897">
            <v>1</v>
          </cell>
          <cell r="AA1897">
            <v>18000000</v>
          </cell>
          <cell r="AB1897">
            <v>5.5399999999999998E-2</v>
          </cell>
          <cell r="AC1897">
            <v>997200</v>
          </cell>
          <cell r="AD1897">
            <v>119664</v>
          </cell>
          <cell r="AE1897">
            <v>0.12</v>
          </cell>
          <cell r="AF1897">
            <v>44846</v>
          </cell>
          <cell r="AG1897" t="str">
            <v>DAP CS</v>
          </cell>
          <cell r="AK1897">
            <v>0.95</v>
          </cell>
          <cell r="AL1897">
            <v>17100000</v>
          </cell>
          <cell r="AM1897">
            <v>44855</v>
          </cell>
          <cell r="AN1897" t="str">
            <v>Yes</v>
          </cell>
          <cell r="AO1897">
            <v>0</v>
          </cell>
          <cell r="AP1897">
            <v>0</v>
          </cell>
          <cell r="AS1897">
            <v>0.05</v>
          </cell>
          <cell r="AT1897">
            <v>900000</v>
          </cell>
          <cell r="AU1897">
            <v>44938</v>
          </cell>
          <cell r="AV1897">
            <v>44938</v>
          </cell>
          <cell r="AX1897" t="str">
            <v>Yes</v>
          </cell>
          <cell r="AZ1897" t="str">
            <v>Y</v>
          </cell>
          <cell r="BA1897" t="str">
            <v>Yes</v>
          </cell>
          <cell r="BB1897" t="str">
            <v>所有的装机资料和安贸资料用“长沙三才”，三才合同仅作为一个补充合同，如有需要以便提交给到Yamaha .</v>
          </cell>
        </row>
        <row r="1898">
          <cell r="B1898">
            <v>1748</v>
          </cell>
          <cell r="C1898" t="str">
            <v>C49SZX20220103SS</v>
          </cell>
          <cell r="D1898" t="str">
            <v>银杏</v>
          </cell>
          <cell r="E1898" t="str">
            <v>YSM10</v>
          </cell>
          <cell r="I1898" t="str">
            <v>L-&gt;R</v>
          </cell>
          <cell r="J1898" t="str">
            <v>MVC</v>
          </cell>
          <cell r="K1898">
            <v>1</v>
          </cell>
          <cell r="N1898">
            <v>44866</v>
          </cell>
          <cell r="O1898">
            <v>11116805</v>
          </cell>
          <cell r="P1898">
            <v>11500000</v>
          </cell>
          <cell r="Q1898">
            <v>44860</v>
          </cell>
          <cell r="R1898" t="str">
            <v>Yes</v>
          </cell>
          <cell r="S1898" t="str">
            <v>C49</v>
          </cell>
          <cell r="T1898" t="str">
            <v>SOUTH</v>
          </cell>
          <cell r="U1898" t="str">
            <v>深圳</v>
          </cell>
          <cell r="V1898" t="str">
            <v>SZ 深圳</v>
          </cell>
          <cell r="W1898" t="str">
            <v>SS</v>
          </cell>
          <cell r="X1898" t="str">
            <v>JPY</v>
          </cell>
          <cell r="Y1898">
            <v>11500000</v>
          </cell>
          <cell r="Z1898">
            <v>1</v>
          </cell>
          <cell r="AA1898">
            <v>11500000</v>
          </cell>
          <cell r="AB1898">
            <v>5.5399999999999998E-2</v>
          </cell>
          <cell r="AC1898">
            <v>637100</v>
          </cell>
          <cell r="AD1898">
            <v>76452</v>
          </cell>
          <cell r="AE1898">
            <v>0.12</v>
          </cell>
          <cell r="AF1898">
            <v>44846</v>
          </cell>
          <cell r="AG1898" t="str">
            <v>DAP CS</v>
          </cell>
          <cell r="AK1898">
            <v>0.95</v>
          </cell>
          <cell r="AL1898">
            <v>10925000</v>
          </cell>
          <cell r="AM1898">
            <v>44855</v>
          </cell>
          <cell r="AN1898" t="str">
            <v>Yes</v>
          </cell>
          <cell r="AO1898">
            <v>0</v>
          </cell>
          <cell r="AP1898">
            <v>0</v>
          </cell>
          <cell r="AS1898">
            <v>0.05</v>
          </cell>
          <cell r="AT1898">
            <v>575000</v>
          </cell>
          <cell r="AU1898">
            <v>44938</v>
          </cell>
          <cell r="AV1898">
            <v>44938</v>
          </cell>
          <cell r="AX1898" t="str">
            <v>Yes</v>
          </cell>
          <cell r="AZ1898" t="str">
            <v>Y</v>
          </cell>
          <cell r="BA1898" t="str">
            <v>Yes</v>
          </cell>
          <cell r="BB1898" t="str">
            <v>所有的装机资料和安贸资料用“长沙三才”，三才合同仅作为一个补充合同，如有需要以便提交给到Yamaha .</v>
          </cell>
        </row>
        <row r="1899">
          <cell r="B1899">
            <v>1749</v>
          </cell>
          <cell r="C1899" t="str">
            <v>C49SZX20220111MZ</v>
          </cell>
          <cell r="D1899" t="str">
            <v>天星创展</v>
          </cell>
          <cell r="E1899" t="str">
            <v>YSM10</v>
          </cell>
          <cell r="I1899" t="str">
            <v>L-&gt;R</v>
          </cell>
          <cell r="J1899" t="str">
            <v>MVC+ATS15</v>
          </cell>
          <cell r="K1899">
            <v>1</v>
          </cell>
          <cell r="N1899">
            <v>44867</v>
          </cell>
          <cell r="O1899">
            <v>11100567</v>
          </cell>
          <cell r="P1899">
            <v>490000</v>
          </cell>
          <cell r="Q1899">
            <v>44880</v>
          </cell>
          <cell r="R1899" t="str">
            <v>No</v>
          </cell>
          <cell r="S1899" t="str">
            <v>C49</v>
          </cell>
          <cell r="T1899" t="str">
            <v>SOUTH</v>
          </cell>
          <cell r="U1899" t="str">
            <v>深圳</v>
          </cell>
          <cell r="V1899" t="str">
            <v>SZ 深圳</v>
          </cell>
          <cell r="W1899" t="str">
            <v>MZ</v>
          </cell>
          <cell r="X1899" t="str">
            <v>RMB</v>
          </cell>
          <cell r="Y1899">
            <v>490000</v>
          </cell>
          <cell r="Z1899">
            <v>1.1299999999999999</v>
          </cell>
          <cell r="AA1899">
            <v>490000</v>
          </cell>
          <cell r="AB1899">
            <v>1.1000000000000001</v>
          </cell>
          <cell r="AC1899">
            <v>476991.15044247796</v>
          </cell>
          <cell r="AD1899">
            <v>57238.93805309735</v>
          </cell>
          <cell r="AE1899">
            <v>0.12</v>
          </cell>
          <cell r="AF1899">
            <v>44862</v>
          </cell>
          <cell r="AG1899" t="str">
            <v>DDP SZ</v>
          </cell>
          <cell r="AK1899">
            <v>1</v>
          </cell>
          <cell r="AL1899">
            <v>490000</v>
          </cell>
          <cell r="AM1899">
            <v>44862</v>
          </cell>
          <cell r="AN1899" t="str">
            <v>Yes</v>
          </cell>
          <cell r="AO1899">
            <v>0</v>
          </cell>
          <cell r="AP1899">
            <v>0</v>
          </cell>
          <cell r="AS1899">
            <v>0</v>
          </cell>
          <cell r="AT1899">
            <v>0</v>
          </cell>
          <cell r="AX1899" t="str">
            <v>Yes</v>
          </cell>
          <cell r="AZ1899" t="str">
            <v>Y</v>
          </cell>
          <cell r="BA1899" t="str">
            <v>Yes</v>
          </cell>
        </row>
        <row r="1900">
          <cell r="B1900">
            <v>1750</v>
          </cell>
          <cell r="C1900" t="str">
            <v>C49SZX20220093EC</v>
          </cell>
          <cell r="D1900" t="str">
            <v>格美通</v>
          </cell>
          <cell r="E1900" t="str">
            <v>YSM20R-2</v>
          </cell>
          <cell r="I1900" t="str">
            <v>L-&gt;R</v>
          </cell>
          <cell r="J1900" t="str">
            <v>No</v>
          </cell>
          <cell r="K1900">
            <v>1</v>
          </cell>
          <cell r="N1900">
            <v>44868</v>
          </cell>
          <cell r="O1900">
            <v>11100566</v>
          </cell>
          <cell r="P1900">
            <v>840000</v>
          </cell>
          <cell r="Q1900">
            <v>44880</v>
          </cell>
          <cell r="R1900" t="str">
            <v>No</v>
          </cell>
          <cell r="S1900" t="str">
            <v>C49</v>
          </cell>
          <cell r="T1900" t="str">
            <v>SOUTH</v>
          </cell>
          <cell r="U1900" t="str">
            <v>深圳</v>
          </cell>
          <cell r="V1900" t="str">
            <v>SZ 深圳</v>
          </cell>
          <cell r="W1900" t="str">
            <v>EC</v>
          </cell>
          <cell r="X1900" t="str">
            <v>RMB</v>
          </cell>
          <cell r="Y1900">
            <v>840000</v>
          </cell>
          <cell r="Z1900">
            <v>1.1299999999999999</v>
          </cell>
          <cell r="AA1900">
            <v>840000</v>
          </cell>
          <cell r="AB1900">
            <v>1.1000000000000001</v>
          </cell>
          <cell r="AC1900">
            <v>817699.11504424794</v>
          </cell>
          <cell r="AD1900">
            <v>98123.893805309752</v>
          </cell>
          <cell r="AE1900">
            <v>0.12</v>
          </cell>
          <cell r="AF1900">
            <v>44863</v>
          </cell>
          <cell r="AG1900" t="str">
            <v>DDP SZ</v>
          </cell>
          <cell r="AK1900">
            <v>0.3</v>
          </cell>
          <cell r="AL1900">
            <v>252000</v>
          </cell>
          <cell r="AM1900">
            <v>44865</v>
          </cell>
          <cell r="AN1900" t="str">
            <v>Yes</v>
          </cell>
          <cell r="AO1900">
            <v>0.7</v>
          </cell>
          <cell r="AP1900">
            <v>588000</v>
          </cell>
          <cell r="AQ1900">
            <v>44866</v>
          </cell>
          <cell r="AR1900">
            <v>44866</v>
          </cell>
          <cell r="AS1900">
            <v>0</v>
          </cell>
          <cell r="AT1900">
            <v>0</v>
          </cell>
          <cell r="AX1900" t="str">
            <v>Yes</v>
          </cell>
          <cell r="AZ1900" t="str">
            <v>Y</v>
          </cell>
          <cell r="BA1900" t="str">
            <v>Yes</v>
          </cell>
        </row>
        <row r="1901">
          <cell r="B1901">
            <v>1751</v>
          </cell>
          <cell r="C1901" t="str">
            <v>C49SZX20220113DZ</v>
          </cell>
          <cell r="D1901" t="str">
            <v>比泰利</v>
          </cell>
          <cell r="E1901" t="str">
            <v>YSM20R-2</v>
          </cell>
          <cell r="I1901" t="str">
            <v>L-&gt;R</v>
          </cell>
          <cell r="J1901" t="str">
            <v>cATS10+MVC(F&amp;R)+special layout</v>
          </cell>
          <cell r="K1901">
            <v>1</v>
          </cell>
          <cell r="N1901">
            <v>44880</v>
          </cell>
          <cell r="O1901">
            <v>11100568</v>
          </cell>
          <cell r="P1901">
            <v>1375000</v>
          </cell>
          <cell r="Q1901">
            <v>44889</v>
          </cell>
          <cell r="R1901" t="str">
            <v>No</v>
          </cell>
          <cell r="S1901" t="str">
            <v>C49</v>
          </cell>
          <cell r="T1901" t="str">
            <v>SOUTH</v>
          </cell>
          <cell r="U1901" t="str">
            <v>深圳</v>
          </cell>
          <cell r="V1901" t="str">
            <v>SZ 深圳</v>
          </cell>
          <cell r="W1901" t="str">
            <v>DZ</v>
          </cell>
          <cell r="X1901" t="str">
            <v>RMB</v>
          </cell>
          <cell r="Y1901">
            <v>1375000</v>
          </cell>
          <cell r="Z1901">
            <v>1.1299999999999999</v>
          </cell>
          <cell r="AA1901">
            <v>1375000</v>
          </cell>
          <cell r="AB1901">
            <v>1.08</v>
          </cell>
          <cell r="AC1901">
            <v>1314159.2920353985</v>
          </cell>
          <cell r="AD1901">
            <v>157699.11504424782</v>
          </cell>
          <cell r="AE1901">
            <v>0.12</v>
          </cell>
          <cell r="AF1901">
            <v>44867</v>
          </cell>
          <cell r="AG1901" t="str">
            <v>DDP SZ</v>
          </cell>
          <cell r="AK1901">
            <v>0.1</v>
          </cell>
          <cell r="AL1901">
            <v>137500</v>
          </cell>
          <cell r="AM1901">
            <v>44869</v>
          </cell>
          <cell r="AN1901" t="str">
            <v>Yes</v>
          </cell>
          <cell r="AO1901">
            <v>0.85</v>
          </cell>
          <cell r="AP1901">
            <v>1168750</v>
          </cell>
          <cell r="AQ1901">
            <v>44873</v>
          </cell>
          <cell r="AR1901">
            <v>44873</v>
          </cell>
          <cell r="AS1901">
            <v>0.05</v>
          </cell>
          <cell r="AT1901">
            <v>68750</v>
          </cell>
          <cell r="AU1901">
            <v>44923</v>
          </cell>
          <cell r="AV1901">
            <v>44923</v>
          </cell>
          <cell r="AX1901" t="str">
            <v>Yes</v>
          </cell>
          <cell r="AZ1901" t="str">
            <v>Y</v>
          </cell>
          <cell r="BA1901" t="str">
            <v>Yes</v>
          </cell>
        </row>
        <row r="1902">
          <cell r="B1902">
            <v>1752</v>
          </cell>
          <cell r="C1902" t="str">
            <v>C49SZX20220113DZ</v>
          </cell>
          <cell r="D1902" t="str">
            <v>比泰利</v>
          </cell>
          <cell r="E1902" t="str">
            <v>YSM20R-2</v>
          </cell>
          <cell r="I1902" t="str">
            <v>L-&gt;R</v>
          </cell>
          <cell r="J1902" t="str">
            <v>MVC F&amp;R</v>
          </cell>
          <cell r="K1902">
            <v>1</v>
          </cell>
          <cell r="N1902">
            <v>44880</v>
          </cell>
          <cell r="O1902">
            <v>11100568</v>
          </cell>
          <cell r="P1902">
            <v>1375000</v>
          </cell>
          <cell r="Q1902">
            <v>44889</v>
          </cell>
          <cell r="R1902" t="str">
            <v>No</v>
          </cell>
          <cell r="S1902" t="str">
            <v>C49</v>
          </cell>
          <cell r="T1902" t="str">
            <v>SOUTH</v>
          </cell>
          <cell r="U1902" t="str">
            <v>深圳</v>
          </cell>
          <cell r="V1902" t="str">
            <v>SZ 深圳</v>
          </cell>
          <cell r="W1902" t="str">
            <v>DZ</v>
          </cell>
          <cell r="X1902" t="str">
            <v>RMB</v>
          </cell>
          <cell r="Y1902">
            <v>1375000</v>
          </cell>
          <cell r="Z1902">
            <v>1.1299999999999999</v>
          </cell>
          <cell r="AA1902">
            <v>1375000</v>
          </cell>
          <cell r="AB1902">
            <v>1.08</v>
          </cell>
          <cell r="AC1902">
            <v>1314159.2920353985</v>
          </cell>
          <cell r="AD1902">
            <v>157699.11504424782</v>
          </cell>
          <cell r="AE1902">
            <v>0.12</v>
          </cell>
          <cell r="AF1902">
            <v>44867</v>
          </cell>
          <cell r="AG1902" t="str">
            <v>DDP SZ</v>
          </cell>
          <cell r="AK1902">
            <v>0.1</v>
          </cell>
          <cell r="AL1902">
            <v>137500</v>
          </cell>
          <cell r="AM1902">
            <v>44869</v>
          </cell>
          <cell r="AN1902" t="str">
            <v>Yes</v>
          </cell>
          <cell r="AO1902">
            <v>0.85</v>
          </cell>
          <cell r="AP1902">
            <v>1168750</v>
          </cell>
          <cell r="AQ1902">
            <v>44873</v>
          </cell>
          <cell r="AR1902">
            <v>44873</v>
          </cell>
          <cell r="AS1902">
            <v>0.05</v>
          </cell>
          <cell r="AT1902">
            <v>68750</v>
          </cell>
          <cell r="AU1902">
            <v>44923</v>
          </cell>
          <cell r="AV1902">
            <v>44923</v>
          </cell>
          <cell r="AX1902" t="str">
            <v>Yes</v>
          </cell>
          <cell r="AZ1902" t="str">
            <v>Y</v>
          </cell>
          <cell r="BA1902" t="str">
            <v>Yes</v>
          </cell>
        </row>
        <row r="1903">
          <cell r="B1903">
            <v>1753</v>
          </cell>
          <cell r="C1903" t="str">
            <v>C49SZX20220112SX</v>
          </cell>
          <cell r="D1903" t="str">
            <v>永诺精密</v>
          </cell>
          <cell r="E1903" t="str">
            <v>YSM20R-2</v>
          </cell>
          <cell r="I1903" t="str">
            <v>L-&gt;R</v>
          </cell>
          <cell r="J1903" t="str">
            <v>No</v>
          </cell>
          <cell r="K1903">
            <v>1</v>
          </cell>
          <cell r="N1903">
            <v>44887</v>
          </cell>
          <cell r="O1903">
            <v>11100569</v>
          </cell>
          <cell r="P1903">
            <v>720000</v>
          </cell>
          <cell r="Q1903">
            <v>44893</v>
          </cell>
          <cell r="R1903" t="str">
            <v>No</v>
          </cell>
          <cell r="S1903" t="str">
            <v>C49</v>
          </cell>
          <cell r="T1903" t="str">
            <v>SOUTH</v>
          </cell>
          <cell r="U1903" t="str">
            <v>深圳</v>
          </cell>
          <cell r="V1903" t="str">
            <v>SZ 深圳</v>
          </cell>
          <cell r="W1903" t="str">
            <v>SX</v>
          </cell>
          <cell r="X1903" t="str">
            <v>RMB</v>
          </cell>
          <cell r="Y1903">
            <v>720000</v>
          </cell>
          <cell r="Z1903">
            <v>1.1299999999999999</v>
          </cell>
          <cell r="AA1903">
            <v>720000</v>
          </cell>
          <cell r="AB1903">
            <v>1.08</v>
          </cell>
          <cell r="AC1903">
            <v>688141.5929203541</v>
          </cell>
          <cell r="AD1903">
            <v>82576.991150442496</v>
          </cell>
          <cell r="AE1903">
            <v>0.12</v>
          </cell>
          <cell r="AF1903">
            <v>44873</v>
          </cell>
          <cell r="AG1903" t="str">
            <v>DDP DG</v>
          </cell>
          <cell r="AK1903">
            <v>0.1</v>
          </cell>
          <cell r="AL1903">
            <v>72000</v>
          </cell>
          <cell r="AM1903">
            <v>44882</v>
          </cell>
          <cell r="AN1903" t="str">
            <v>Yes</v>
          </cell>
          <cell r="AO1903">
            <v>0.9</v>
          </cell>
          <cell r="AP1903">
            <v>648000</v>
          </cell>
          <cell r="AQ1903">
            <v>44883</v>
          </cell>
          <cell r="AR1903">
            <v>44883</v>
          </cell>
          <cell r="AS1903">
            <v>0</v>
          </cell>
          <cell r="AT1903">
            <v>0</v>
          </cell>
          <cell r="AX1903" t="str">
            <v>Yes</v>
          </cell>
          <cell r="AZ1903" t="str">
            <v>Y</v>
          </cell>
          <cell r="BA1903" t="str">
            <v>Yes</v>
          </cell>
        </row>
        <row r="1904">
          <cell r="B1904">
            <v>1754</v>
          </cell>
          <cell r="C1904" t="str">
            <v>C49SZX20220119DZ</v>
          </cell>
          <cell r="D1904" t="str">
            <v>深圳健科</v>
          </cell>
          <cell r="E1904" t="str">
            <v>YSM20R-2</v>
          </cell>
          <cell r="I1904" t="str">
            <v>R-&gt;L</v>
          </cell>
          <cell r="J1904" t="str">
            <v>No</v>
          </cell>
          <cell r="K1904">
            <v>1</v>
          </cell>
          <cell r="N1904">
            <v>44894</v>
          </cell>
          <cell r="O1904">
            <v>11100571</v>
          </cell>
          <cell r="P1904">
            <v>1000000</v>
          </cell>
          <cell r="Q1904">
            <v>44893</v>
          </cell>
          <cell r="R1904" t="str">
            <v>No</v>
          </cell>
          <cell r="S1904" t="str">
            <v>C49</v>
          </cell>
          <cell r="T1904" t="str">
            <v>SOUTH</v>
          </cell>
          <cell r="U1904" t="str">
            <v>深圳</v>
          </cell>
          <cell r="V1904" t="str">
            <v>SZ 深圳</v>
          </cell>
          <cell r="W1904" t="str">
            <v>MZ</v>
          </cell>
          <cell r="X1904" t="str">
            <v>RMB</v>
          </cell>
          <cell r="Y1904">
            <v>1000000</v>
          </cell>
          <cell r="Z1904">
            <v>1.1299999999999999</v>
          </cell>
          <cell r="AA1904">
            <v>1000000</v>
          </cell>
          <cell r="AB1904">
            <v>1.08</v>
          </cell>
          <cell r="AC1904">
            <v>955752.21238938067</v>
          </cell>
          <cell r="AD1904">
            <v>114690.26548672568</v>
          </cell>
          <cell r="AE1904">
            <v>0.12</v>
          </cell>
          <cell r="AF1904">
            <v>44879</v>
          </cell>
          <cell r="AG1904" t="str">
            <v>DDP SZ</v>
          </cell>
          <cell r="AK1904">
            <v>1</v>
          </cell>
          <cell r="AL1904">
            <v>1000000</v>
          </cell>
          <cell r="AM1904">
            <v>44890</v>
          </cell>
          <cell r="AN1904" t="str">
            <v>Yes</v>
          </cell>
          <cell r="AO1904">
            <v>0</v>
          </cell>
          <cell r="AP1904">
            <v>0</v>
          </cell>
          <cell r="AS1904">
            <v>0</v>
          </cell>
          <cell r="AT1904">
            <v>0</v>
          </cell>
          <cell r="AX1904" t="str">
            <v>Yes</v>
          </cell>
          <cell r="AZ1904" t="str">
            <v>Y</v>
          </cell>
          <cell r="BA1904" t="str">
            <v>Yes</v>
          </cell>
        </row>
        <row r="1905">
          <cell r="B1905">
            <v>1755</v>
          </cell>
          <cell r="C1905" t="str">
            <v>C49SZX20220117DZ</v>
          </cell>
          <cell r="D1905" t="str">
            <v>朗特</v>
          </cell>
          <cell r="E1905" t="str">
            <v>YSM20R-2</v>
          </cell>
          <cell r="I1905" t="str">
            <v>L-&gt;R</v>
          </cell>
          <cell r="J1905" t="str">
            <v>No</v>
          </cell>
          <cell r="K1905">
            <v>1</v>
          </cell>
          <cell r="N1905">
            <v>44890</v>
          </cell>
          <cell r="O1905">
            <v>11100570</v>
          </cell>
          <cell r="P1905">
            <v>990000</v>
          </cell>
          <cell r="Q1905">
            <v>44893</v>
          </cell>
          <cell r="R1905" t="str">
            <v>No</v>
          </cell>
          <cell r="S1905" t="str">
            <v>C49</v>
          </cell>
          <cell r="T1905" t="str">
            <v>SOUTH</v>
          </cell>
          <cell r="U1905" t="str">
            <v>深圳</v>
          </cell>
          <cell r="V1905" t="str">
            <v>SZ 深圳</v>
          </cell>
          <cell r="W1905" t="str">
            <v>MZ</v>
          </cell>
          <cell r="X1905" t="str">
            <v>RMB</v>
          </cell>
          <cell r="Y1905">
            <v>990000</v>
          </cell>
          <cell r="Z1905">
            <v>1.1299999999999999</v>
          </cell>
          <cell r="AA1905">
            <v>990000</v>
          </cell>
          <cell r="AB1905">
            <v>1.08</v>
          </cell>
          <cell r="AC1905">
            <v>946194.69026548683</v>
          </cell>
          <cell r="AD1905">
            <v>113543.36283185841</v>
          </cell>
          <cell r="AE1905">
            <v>0.12</v>
          </cell>
          <cell r="AF1905">
            <v>44879</v>
          </cell>
          <cell r="AG1905" t="str">
            <v>DDP SZ</v>
          </cell>
          <cell r="AK1905">
            <v>1</v>
          </cell>
          <cell r="AL1905">
            <v>990000</v>
          </cell>
          <cell r="AM1905">
            <v>44886</v>
          </cell>
          <cell r="AN1905" t="str">
            <v>Yes</v>
          </cell>
          <cell r="AO1905">
            <v>0</v>
          </cell>
          <cell r="AP1905">
            <v>0</v>
          </cell>
          <cell r="AS1905">
            <v>0</v>
          </cell>
          <cell r="AT1905">
            <v>0</v>
          </cell>
          <cell r="AX1905" t="str">
            <v>Yes</v>
          </cell>
          <cell r="AZ1905" t="str">
            <v>Y</v>
          </cell>
          <cell r="BA1905" t="str">
            <v>Yes</v>
          </cell>
        </row>
        <row r="1906">
          <cell r="B1906">
            <v>1756</v>
          </cell>
          <cell r="C1906" t="str">
            <v>C49SZX20220117DZ</v>
          </cell>
          <cell r="D1906" t="str">
            <v>朗特</v>
          </cell>
          <cell r="E1906" t="str">
            <v>YSM20R-2</v>
          </cell>
          <cell r="I1906" t="str">
            <v>L-&gt;R</v>
          </cell>
          <cell r="J1906" t="str">
            <v>No</v>
          </cell>
          <cell r="K1906">
            <v>1</v>
          </cell>
          <cell r="N1906">
            <v>44890</v>
          </cell>
          <cell r="O1906">
            <v>11100570</v>
          </cell>
          <cell r="P1906">
            <v>990000</v>
          </cell>
          <cell r="Q1906">
            <v>44893</v>
          </cell>
          <cell r="R1906" t="str">
            <v>No</v>
          </cell>
          <cell r="S1906" t="str">
            <v>C49</v>
          </cell>
          <cell r="T1906" t="str">
            <v>SOUTH</v>
          </cell>
          <cell r="U1906" t="str">
            <v>深圳</v>
          </cell>
          <cell r="V1906" t="str">
            <v>SZ 深圳</v>
          </cell>
          <cell r="W1906" t="str">
            <v>MZ</v>
          </cell>
          <cell r="X1906" t="str">
            <v>RMB</v>
          </cell>
          <cell r="Y1906">
            <v>990000</v>
          </cell>
          <cell r="Z1906">
            <v>1.1299999999999999</v>
          </cell>
          <cell r="AA1906">
            <v>990000</v>
          </cell>
          <cell r="AB1906">
            <v>1.08</v>
          </cell>
          <cell r="AC1906">
            <v>946194.69026548683</v>
          </cell>
          <cell r="AD1906">
            <v>113543.36283185841</v>
          </cell>
          <cell r="AE1906">
            <v>0.12</v>
          </cell>
          <cell r="AF1906">
            <v>44879</v>
          </cell>
          <cell r="AG1906" t="str">
            <v>DDP SZ</v>
          </cell>
          <cell r="AK1906">
            <v>1</v>
          </cell>
          <cell r="AL1906">
            <v>990000</v>
          </cell>
          <cell r="AM1906">
            <v>44886</v>
          </cell>
          <cell r="AN1906" t="str">
            <v>Yes</v>
          </cell>
          <cell r="AO1906">
            <v>0</v>
          </cell>
          <cell r="AP1906">
            <v>0</v>
          </cell>
          <cell r="AS1906">
            <v>0</v>
          </cell>
          <cell r="AT1906">
            <v>0</v>
          </cell>
          <cell r="AX1906" t="str">
            <v>Yes</v>
          </cell>
          <cell r="AZ1906" t="str">
            <v>Y</v>
          </cell>
          <cell r="BA1906" t="str">
            <v>Yes</v>
          </cell>
        </row>
        <row r="1907">
          <cell r="B1907">
            <v>1757</v>
          </cell>
          <cell r="C1907" t="str">
            <v>C49SZX20220117DZ</v>
          </cell>
          <cell r="D1907" t="str">
            <v>朗特</v>
          </cell>
          <cell r="E1907" t="str">
            <v>YSM20R-2</v>
          </cell>
          <cell r="I1907" t="str">
            <v>R-&gt;L</v>
          </cell>
          <cell r="J1907" t="str">
            <v>No</v>
          </cell>
          <cell r="K1907">
            <v>1</v>
          </cell>
          <cell r="N1907">
            <v>44890</v>
          </cell>
          <cell r="O1907">
            <v>11100570</v>
          </cell>
          <cell r="P1907">
            <v>990000</v>
          </cell>
          <cell r="Q1907">
            <v>44893</v>
          </cell>
          <cell r="R1907" t="str">
            <v>No</v>
          </cell>
          <cell r="S1907" t="str">
            <v>C49</v>
          </cell>
          <cell r="T1907" t="str">
            <v>SOUTH</v>
          </cell>
          <cell r="U1907" t="str">
            <v>深圳</v>
          </cell>
          <cell r="V1907" t="str">
            <v>SZ 深圳</v>
          </cell>
          <cell r="W1907" t="str">
            <v>MZ</v>
          </cell>
          <cell r="X1907" t="str">
            <v>RMB</v>
          </cell>
          <cell r="Y1907">
            <v>990000</v>
          </cell>
          <cell r="Z1907">
            <v>1.1299999999999999</v>
          </cell>
          <cell r="AA1907">
            <v>990000</v>
          </cell>
          <cell r="AB1907">
            <v>1.08</v>
          </cell>
          <cell r="AC1907">
            <v>946194.69026548683</v>
          </cell>
          <cell r="AD1907">
            <v>113543.36283185841</v>
          </cell>
          <cell r="AE1907">
            <v>0.12</v>
          </cell>
          <cell r="AF1907">
            <v>44879</v>
          </cell>
          <cell r="AG1907" t="str">
            <v>DDP SZ</v>
          </cell>
          <cell r="AK1907">
            <v>1</v>
          </cell>
          <cell r="AL1907">
            <v>990000</v>
          </cell>
          <cell r="AM1907">
            <v>44886</v>
          </cell>
          <cell r="AN1907" t="str">
            <v>Yes</v>
          </cell>
          <cell r="AO1907">
            <v>0</v>
          </cell>
          <cell r="AP1907">
            <v>0</v>
          </cell>
          <cell r="AS1907">
            <v>0</v>
          </cell>
          <cell r="AT1907">
            <v>0</v>
          </cell>
          <cell r="AX1907" t="str">
            <v>Yes</v>
          </cell>
          <cell r="AZ1907" t="str">
            <v>Y</v>
          </cell>
          <cell r="BA1907" t="str">
            <v>Yes</v>
          </cell>
        </row>
        <row r="1908">
          <cell r="B1908">
            <v>1758</v>
          </cell>
          <cell r="C1908" t="str">
            <v>C49SZX20220117DZ</v>
          </cell>
          <cell r="D1908" t="str">
            <v>朗特</v>
          </cell>
          <cell r="E1908" t="str">
            <v>YSM20R-2</v>
          </cell>
          <cell r="I1908" t="str">
            <v>R-&gt;L</v>
          </cell>
          <cell r="J1908" t="str">
            <v>No</v>
          </cell>
          <cell r="K1908">
            <v>1</v>
          </cell>
          <cell r="N1908">
            <v>44890</v>
          </cell>
          <cell r="O1908">
            <v>11100570</v>
          </cell>
          <cell r="P1908">
            <v>990000</v>
          </cell>
          <cell r="Q1908">
            <v>44893</v>
          </cell>
          <cell r="R1908" t="str">
            <v>No</v>
          </cell>
          <cell r="S1908" t="str">
            <v>C49</v>
          </cell>
          <cell r="T1908" t="str">
            <v>SOUTH</v>
          </cell>
          <cell r="U1908" t="str">
            <v>深圳</v>
          </cell>
          <cell r="V1908" t="str">
            <v>SZ 深圳</v>
          </cell>
          <cell r="W1908" t="str">
            <v>MZ</v>
          </cell>
          <cell r="X1908" t="str">
            <v>RMB</v>
          </cell>
          <cell r="Y1908">
            <v>990000</v>
          </cell>
          <cell r="Z1908">
            <v>1.1299999999999999</v>
          </cell>
          <cell r="AA1908">
            <v>990000</v>
          </cell>
          <cell r="AB1908">
            <v>1.08</v>
          </cell>
          <cell r="AC1908">
            <v>946194.69026548683</v>
          </cell>
          <cell r="AD1908">
            <v>113543.36283185841</v>
          </cell>
          <cell r="AE1908">
            <v>0.12</v>
          </cell>
          <cell r="AF1908">
            <v>44879</v>
          </cell>
          <cell r="AG1908" t="str">
            <v>DDP SZ</v>
          </cell>
          <cell r="AK1908">
            <v>1</v>
          </cell>
          <cell r="AL1908">
            <v>990000</v>
          </cell>
          <cell r="AM1908">
            <v>44886</v>
          </cell>
          <cell r="AN1908" t="str">
            <v>Yes</v>
          </cell>
          <cell r="AO1908">
            <v>0</v>
          </cell>
          <cell r="AP1908">
            <v>0</v>
          </cell>
          <cell r="AS1908">
            <v>0</v>
          </cell>
          <cell r="AT1908">
            <v>0</v>
          </cell>
          <cell r="AX1908" t="str">
            <v>Yes</v>
          </cell>
          <cell r="AZ1908" t="str">
            <v>Y</v>
          </cell>
          <cell r="BA1908" t="str">
            <v>Yes</v>
          </cell>
        </row>
        <row r="1909">
          <cell r="B1909">
            <v>1759</v>
          </cell>
          <cell r="C1909" t="str">
            <v>C49SZX20220117DZ</v>
          </cell>
          <cell r="D1909" t="str">
            <v>朗特</v>
          </cell>
          <cell r="E1909" t="str">
            <v>YSM10</v>
          </cell>
          <cell r="I1909" t="str">
            <v>L-&gt;R</v>
          </cell>
          <cell r="J1909" t="str">
            <v>MVC+ATS15</v>
          </cell>
          <cell r="K1909">
            <v>1</v>
          </cell>
          <cell r="N1909">
            <v>44890</v>
          </cell>
          <cell r="O1909">
            <v>11100570</v>
          </cell>
          <cell r="P1909">
            <v>851000</v>
          </cell>
          <cell r="Q1909">
            <v>44893</v>
          </cell>
          <cell r="R1909" t="str">
            <v>No</v>
          </cell>
          <cell r="S1909" t="str">
            <v>C49</v>
          </cell>
          <cell r="T1909" t="str">
            <v>SOUTH</v>
          </cell>
          <cell r="U1909" t="str">
            <v>深圳</v>
          </cell>
          <cell r="V1909" t="str">
            <v>SZ 深圳</v>
          </cell>
          <cell r="W1909" t="str">
            <v>MZ</v>
          </cell>
          <cell r="X1909" t="str">
            <v>RMB</v>
          </cell>
          <cell r="Y1909">
            <v>851000</v>
          </cell>
          <cell r="Z1909">
            <v>1.1299999999999999</v>
          </cell>
          <cell r="AA1909">
            <v>851000</v>
          </cell>
          <cell r="AB1909">
            <v>1.08</v>
          </cell>
          <cell r="AC1909">
            <v>813345.13274336304</v>
          </cell>
          <cell r="AD1909">
            <v>97601.415929203562</v>
          </cell>
          <cell r="AE1909">
            <v>0.12</v>
          </cell>
          <cell r="AF1909">
            <v>44879</v>
          </cell>
          <cell r="AG1909" t="str">
            <v>DDP SZ</v>
          </cell>
          <cell r="AK1909">
            <v>1</v>
          </cell>
          <cell r="AL1909">
            <v>851000</v>
          </cell>
          <cell r="AM1909">
            <v>44886</v>
          </cell>
          <cell r="AN1909" t="str">
            <v>Yes</v>
          </cell>
          <cell r="AO1909">
            <v>0</v>
          </cell>
          <cell r="AP1909">
            <v>0</v>
          </cell>
          <cell r="AS1909">
            <v>0</v>
          </cell>
          <cell r="AT1909">
            <v>0</v>
          </cell>
          <cell r="AX1909" t="str">
            <v>Yes</v>
          </cell>
          <cell r="AZ1909" t="str">
            <v>Y</v>
          </cell>
          <cell r="BA1909" t="str">
            <v>Yes</v>
          </cell>
        </row>
        <row r="1910">
          <cell r="B1910">
            <v>1760</v>
          </cell>
          <cell r="C1910" t="str">
            <v>C49SZX20220117DZ</v>
          </cell>
          <cell r="D1910" t="str">
            <v>朗特</v>
          </cell>
          <cell r="E1910" t="str">
            <v>YSM10</v>
          </cell>
          <cell r="I1910" t="str">
            <v>L-&gt;R</v>
          </cell>
          <cell r="J1910" t="str">
            <v>MVC+ATS15</v>
          </cell>
          <cell r="K1910">
            <v>1</v>
          </cell>
          <cell r="N1910">
            <v>44890</v>
          </cell>
          <cell r="O1910">
            <v>11100570</v>
          </cell>
          <cell r="P1910">
            <v>851000</v>
          </cell>
          <cell r="Q1910">
            <v>44893</v>
          </cell>
          <cell r="R1910" t="str">
            <v>No</v>
          </cell>
          <cell r="S1910" t="str">
            <v>C49</v>
          </cell>
          <cell r="T1910" t="str">
            <v>SOUTH</v>
          </cell>
          <cell r="U1910" t="str">
            <v>深圳</v>
          </cell>
          <cell r="V1910" t="str">
            <v>SZ 深圳</v>
          </cell>
          <cell r="W1910" t="str">
            <v>MZ</v>
          </cell>
          <cell r="X1910" t="str">
            <v>RMB</v>
          </cell>
          <cell r="Y1910">
            <v>851000</v>
          </cell>
          <cell r="Z1910">
            <v>1.1299999999999999</v>
          </cell>
          <cell r="AA1910">
            <v>851000</v>
          </cell>
          <cell r="AB1910">
            <v>1.08</v>
          </cell>
          <cell r="AC1910">
            <v>813345.13274336304</v>
          </cell>
          <cell r="AD1910">
            <v>97601.415929203562</v>
          </cell>
          <cell r="AE1910">
            <v>0.12</v>
          </cell>
          <cell r="AF1910">
            <v>44879</v>
          </cell>
          <cell r="AG1910" t="str">
            <v>DDP SZ</v>
          </cell>
          <cell r="AK1910">
            <v>1</v>
          </cell>
          <cell r="AL1910">
            <v>851000</v>
          </cell>
          <cell r="AM1910">
            <v>44886</v>
          </cell>
          <cell r="AN1910" t="str">
            <v>Yes</v>
          </cell>
          <cell r="AO1910">
            <v>0</v>
          </cell>
          <cell r="AP1910">
            <v>0</v>
          </cell>
          <cell r="AS1910">
            <v>0</v>
          </cell>
          <cell r="AT1910">
            <v>0</v>
          </cell>
          <cell r="AX1910" t="str">
            <v>Yes</v>
          </cell>
          <cell r="AZ1910" t="str">
            <v>Y</v>
          </cell>
          <cell r="BA1910" t="str">
            <v>Yes</v>
          </cell>
        </row>
        <row r="1911">
          <cell r="B1911">
            <v>1761</v>
          </cell>
          <cell r="C1911" t="str">
            <v>C49SZX20220117DZ</v>
          </cell>
          <cell r="D1911" t="str">
            <v>朗特</v>
          </cell>
          <cell r="E1911" t="str">
            <v>YSM10</v>
          </cell>
          <cell r="I1911" t="str">
            <v>R-&gt;L</v>
          </cell>
          <cell r="J1911" t="str">
            <v>MVC+ATS15</v>
          </cell>
          <cell r="K1911">
            <v>1</v>
          </cell>
          <cell r="N1911">
            <v>44890</v>
          </cell>
          <cell r="O1911">
            <v>11100570</v>
          </cell>
          <cell r="P1911">
            <v>851000</v>
          </cell>
          <cell r="Q1911">
            <v>44893</v>
          </cell>
          <cell r="R1911" t="str">
            <v>No</v>
          </cell>
          <cell r="S1911" t="str">
            <v>C49</v>
          </cell>
          <cell r="T1911" t="str">
            <v>SOUTH</v>
          </cell>
          <cell r="U1911" t="str">
            <v>深圳</v>
          </cell>
          <cell r="V1911" t="str">
            <v>SZ 深圳</v>
          </cell>
          <cell r="W1911" t="str">
            <v>MZ</v>
          </cell>
          <cell r="X1911" t="str">
            <v>RMB</v>
          </cell>
          <cell r="Y1911">
            <v>851000</v>
          </cell>
          <cell r="Z1911">
            <v>1.1299999999999999</v>
          </cell>
          <cell r="AA1911">
            <v>851000</v>
          </cell>
          <cell r="AB1911">
            <v>1.08</v>
          </cell>
          <cell r="AC1911">
            <v>813345.13274336304</v>
          </cell>
          <cell r="AD1911">
            <v>97601.415929203562</v>
          </cell>
          <cell r="AE1911">
            <v>0.12</v>
          </cell>
          <cell r="AF1911">
            <v>44879</v>
          </cell>
          <cell r="AG1911" t="str">
            <v>DDP SZ</v>
          </cell>
          <cell r="AK1911">
            <v>1</v>
          </cell>
          <cell r="AL1911">
            <v>851000</v>
          </cell>
          <cell r="AM1911">
            <v>44886</v>
          </cell>
          <cell r="AN1911" t="str">
            <v>Yes</v>
          </cell>
          <cell r="AO1911">
            <v>0</v>
          </cell>
          <cell r="AP1911">
            <v>0</v>
          </cell>
          <cell r="AS1911">
            <v>0</v>
          </cell>
          <cell r="AT1911">
            <v>0</v>
          </cell>
          <cell r="AX1911" t="str">
            <v>Yes</v>
          </cell>
          <cell r="AZ1911" t="str">
            <v>Y</v>
          </cell>
          <cell r="BA1911" t="str">
            <v>Yes</v>
          </cell>
        </row>
        <row r="1912">
          <cell r="B1912">
            <v>1762</v>
          </cell>
          <cell r="C1912" t="str">
            <v>C49SZX20220117DZ</v>
          </cell>
          <cell r="D1912" t="str">
            <v>朗特</v>
          </cell>
          <cell r="E1912" t="str">
            <v>YSM10</v>
          </cell>
          <cell r="I1912" t="str">
            <v>R-&gt;L</v>
          </cell>
          <cell r="J1912" t="str">
            <v>MVC+ATS15</v>
          </cell>
          <cell r="K1912">
            <v>1</v>
          </cell>
          <cell r="N1912">
            <v>44890</v>
          </cell>
          <cell r="O1912">
            <v>11100570</v>
          </cell>
          <cell r="P1912">
            <v>851000</v>
          </cell>
          <cell r="Q1912">
            <v>44893</v>
          </cell>
          <cell r="R1912" t="str">
            <v>No</v>
          </cell>
          <cell r="S1912" t="str">
            <v>C49</v>
          </cell>
          <cell r="T1912" t="str">
            <v>SOUTH</v>
          </cell>
          <cell r="U1912" t="str">
            <v>深圳</v>
          </cell>
          <cell r="V1912" t="str">
            <v>SZ 深圳</v>
          </cell>
          <cell r="W1912" t="str">
            <v>MZ</v>
          </cell>
          <cell r="X1912" t="str">
            <v>RMB</v>
          </cell>
          <cell r="Y1912">
            <v>851000</v>
          </cell>
          <cell r="Z1912">
            <v>1.1299999999999999</v>
          </cell>
          <cell r="AA1912">
            <v>851000</v>
          </cell>
          <cell r="AB1912">
            <v>1.08</v>
          </cell>
          <cell r="AC1912">
            <v>813345.13274336304</v>
          </cell>
          <cell r="AD1912">
            <v>97601.415929203562</v>
          </cell>
          <cell r="AE1912">
            <v>0.12</v>
          </cell>
          <cell r="AF1912">
            <v>44879</v>
          </cell>
          <cell r="AG1912" t="str">
            <v>DDP SZ</v>
          </cell>
          <cell r="AK1912">
            <v>1</v>
          </cell>
          <cell r="AL1912">
            <v>851000</v>
          </cell>
          <cell r="AM1912">
            <v>44886</v>
          </cell>
          <cell r="AN1912" t="str">
            <v>Yes</v>
          </cell>
          <cell r="AO1912">
            <v>0</v>
          </cell>
          <cell r="AP1912">
            <v>0</v>
          </cell>
          <cell r="AS1912">
            <v>0</v>
          </cell>
          <cell r="AT1912">
            <v>0</v>
          </cell>
          <cell r="AX1912" t="str">
            <v>Yes</v>
          </cell>
          <cell r="AZ1912" t="str">
            <v>Y</v>
          </cell>
          <cell r="BA1912" t="str">
            <v>Yes</v>
          </cell>
        </row>
        <row r="1913">
          <cell r="B1913">
            <v>1763</v>
          </cell>
          <cell r="C1913" t="str">
            <v>C49SZX20220122SX</v>
          </cell>
          <cell r="D1913" t="str">
            <v>莫思特</v>
          </cell>
          <cell r="E1913" t="str">
            <v>YSM10</v>
          </cell>
          <cell r="I1913" t="str">
            <v>L-&gt;R</v>
          </cell>
          <cell r="J1913" t="str">
            <v>MVC</v>
          </cell>
          <cell r="K1913">
            <v>1</v>
          </cell>
          <cell r="N1913">
            <v>44900</v>
          </cell>
          <cell r="O1913">
            <v>11100573</v>
          </cell>
          <cell r="P1913">
            <v>600000</v>
          </cell>
          <cell r="Q1913">
            <v>44915</v>
          </cell>
          <cell r="R1913" t="str">
            <v>No</v>
          </cell>
          <cell r="S1913" t="str">
            <v>C49</v>
          </cell>
          <cell r="T1913" t="str">
            <v>SOUTH</v>
          </cell>
          <cell r="U1913" t="str">
            <v>深圳</v>
          </cell>
          <cell r="V1913" t="str">
            <v>SZ 深圳</v>
          </cell>
          <cell r="W1913" t="str">
            <v>SX</v>
          </cell>
          <cell r="X1913" t="str">
            <v>RMB</v>
          </cell>
          <cell r="Y1913">
            <v>600000</v>
          </cell>
          <cell r="Z1913">
            <v>1.1299999999999999</v>
          </cell>
          <cell r="AA1913">
            <v>600000</v>
          </cell>
          <cell r="AB1913">
            <v>1.08</v>
          </cell>
          <cell r="AC1913">
            <v>573451.32743362838</v>
          </cell>
          <cell r="AD1913">
            <v>68814.159292035401</v>
          </cell>
          <cell r="AE1913">
            <v>0.12</v>
          </cell>
          <cell r="AF1913">
            <v>44887</v>
          </cell>
          <cell r="AG1913" t="str">
            <v>DDP HZ</v>
          </cell>
          <cell r="AK1913">
            <v>0.1</v>
          </cell>
          <cell r="AL1913">
            <v>60000</v>
          </cell>
          <cell r="AM1913">
            <v>44894</v>
          </cell>
          <cell r="AN1913" t="str">
            <v>Yes</v>
          </cell>
          <cell r="AO1913">
            <v>0.9</v>
          </cell>
          <cell r="AP1913">
            <v>540000</v>
          </cell>
          <cell r="AQ1913">
            <v>44896</v>
          </cell>
          <cell r="AR1913">
            <v>44896</v>
          </cell>
          <cell r="AS1913">
            <v>0</v>
          </cell>
          <cell r="AT1913">
            <v>0</v>
          </cell>
          <cell r="AX1913" t="str">
            <v>Yes</v>
          </cell>
          <cell r="AZ1913" t="str">
            <v>Y</v>
          </cell>
          <cell r="BA1913" t="str">
            <v>Yes</v>
          </cell>
        </row>
        <row r="1914">
          <cell r="B1914">
            <v>1764</v>
          </cell>
          <cell r="C1914" t="str">
            <v>C49SZX20220125RZ</v>
          </cell>
          <cell r="D1914" t="str">
            <v>乐迪泰</v>
          </cell>
          <cell r="E1914" t="str">
            <v>YSM10</v>
          </cell>
          <cell r="I1914" t="str">
            <v>L-&gt;R</v>
          </cell>
          <cell r="J1914" t="str">
            <v>大板相机</v>
          </cell>
          <cell r="K1914">
            <v>1</v>
          </cell>
          <cell r="N1914">
            <v>44904</v>
          </cell>
          <cell r="O1914">
            <v>11100574</v>
          </cell>
          <cell r="P1914">
            <v>513000</v>
          </cell>
          <cell r="Q1914">
            <v>44918</v>
          </cell>
          <cell r="R1914" t="str">
            <v>Yes</v>
          </cell>
          <cell r="S1914" t="str">
            <v>C49</v>
          </cell>
          <cell r="T1914" t="str">
            <v>SOUTH</v>
          </cell>
          <cell r="U1914" t="str">
            <v>深圳</v>
          </cell>
          <cell r="V1914" t="str">
            <v>SZ 深圳</v>
          </cell>
          <cell r="W1914" t="str">
            <v>RZ</v>
          </cell>
          <cell r="X1914" t="str">
            <v>RMB</v>
          </cell>
          <cell r="Y1914">
            <v>513000</v>
          </cell>
          <cell r="Z1914">
            <v>1.1299999999999999</v>
          </cell>
          <cell r="AA1914">
            <v>513000</v>
          </cell>
          <cell r="AB1914">
            <v>1.08</v>
          </cell>
          <cell r="AC1914">
            <v>490300.88495575229</v>
          </cell>
          <cell r="AD1914">
            <v>58836.10619469027</v>
          </cell>
          <cell r="AE1914">
            <v>0.12</v>
          </cell>
          <cell r="AF1914">
            <v>44895</v>
          </cell>
          <cell r="AG1914" t="str">
            <v>DDP SZ</v>
          </cell>
          <cell r="AK1914">
            <v>0.1</v>
          </cell>
          <cell r="AL1914">
            <v>85000</v>
          </cell>
          <cell r="AM1914">
            <v>44896</v>
          </cell>
          <cell r="AN1914" t="str">
            <v>Yes</v>
          </cell>
          <cell r="AO1914">
            <v>0.9</v>
          </cell>
          <cell r="AP1914">
            <v>461700</v>
          </cell>
          <cell r="AQ1914">
            <v>44902</v>
          </cell>
          <cell r="AR1914">
            <v>44902</v>
          </cell>
          <cell r="AS1914">
            <v>0</v>
          </cell>
          <cell r="AT1914">
            <v>0</v>
          </cell>
          <cell r="AX1914" t="str">
            <v>Yes</v>
          </cell>
          <cell r="AZ1914" t="str">
            <v>Y</v>
          </cell>
          <cell r="BA1914" t="str">
            <v>Yes</v>
          </cell>
        </row>
        <row r="1915">
          <cell r="B1915">
            <v>1765</v>
          </cell>
          <cell r="C1915" t="str">
            <v>C49SZX20220126JL</v>
          </cell>
          <cell r="D1915" t="str">
            <v>伯莱科</v>
          </cell>
          <cell r="E1915" t="str">
            <v>YSM10</v>
          </cell>
          <cell r="I1915" t="str">
            <v>L-&gt;R</v>
          </cell>
          <cell r="J1915" t="str">
            <v>MVC</v>
          </cell>
          <cell r="K1915">
            <v>1</v>
          </cell>
          <cell r="N1915">
            <v>45030</v>
          </cell>
          <cell r="O1915">
            <v>11100611</v>
          </cell>
          <cell r="P1915">
            <v>415000</v>
          </cell>
          <cell r="Q1915">
            <v>45042</v>
          </cell>
          <cell r="R1915" t="str">
            <v>No</v>
          </cell>
          <cell r="S1915" t="str">
            <v>C49</v>
          </cell>
          <cell r="T1915" t="str">
            <v>SOUTH</v>
          </cell>
          <cell r="U1915" t="str">
            <v>深圳</v>
          </cell>
          <cell r="V1915" t="str">
            <v>SZ 深圳</v>
          </cell>
          <cell r="W1915" t="str">
            <v>JL</v>
          </cell>
          <cell r="X1915" t="str">
            <v>RMB</v>
          </cell>
          <cell r="Y1915">
            <v>415000</v>
          </cell>
          <cell r="Z1915">
            <v>1.1299999999999999</v>
          </cell>
          <cell r="AA1915">
            <v>415000</v>
          </cell>
          <cell r="AB1915">
            <v>1.0900000000000001</v>
          </cell>
          <cell r="AC1915">
            <v>400309.73451327439</v>
          </cell>
          <cell r="AD1915">
            <v>48037.168141592927</v>
          </cell>
          <cell r="AE1915">
            <v>0.12</v>
          </cell>
          <cell r="AF1915">
            <v>44898</v>
          </cell>
          <cell r="AG1915" t="str">
            <v>DDP SZ</v>
          </cell>
          <cell r="AI1915">
            <v>30000</v>
          </cell>
          <cell r="AJ1915">
            <v>44911</v>
          </cell>
          <cell r="AK1915">
            <v>0.3</v>
          </cell>
          <cell r="AL1915">
            <v>124500</v>
          </cell>
          <cell r="AM1915">
            <v>45026</v>
          </cell>
          <cell r="AN1915" t="str">
            <v>Yes</v>
          </cell>
          <cell r="AO1915">
            <v>0.7</v>
          </cell>
          <cell r="AP1915">
            <v>290500</v>
          </cell>
          <cell r="AQ1915">
            <v>45019</v>
          </cell>
          <cell r="AR1915">
            <v>45019</v>
          </cell>
          <cell r="AS1915">
            <v>0</v>
          </cell>
          <cell r="AT1915">
            <v>0</v>
          </cell>
          <cell r="AX1915" t="str">
            <v>Yes</v>
          </cell>
          <cell r="AZ1915" t="str">
            <v>Y</v>
          </cell>
          <cell r="BA1915" t="str">
            <v>Yes</v>
          </cell>
        </row>
        <row r="1916">
          <cell r="B1916">
            <v>1766</v>
          </cell>
          <cell r="C1916" t="str">
            <v>C49SZX20220126JL</v>
          </cell>
          <cell r="D1916" t="str">
            <v>伯莱科</v>
          </cell>
          <cell r="E1916" t="str">
            <v>YSM10</v>
          </cell>
          <cell r="I1916" t="str">
            <v>L-&gt;R</v>
          </cell>
          <cell r="J1916" t="str">
            <v>MVC</v>
          </cell>
          <cell r="K1916">
            <v>1</v>
          </cell>
          <cell r="N1916">
            <v>45030</v>
          </cell>
          <cell r="O1916">
            <v>11100611</v>
          </cell>
          <cell r="P1916">
            <v>415000</v>
          </cell>
          <cell r="Q1916">
            <v>45042</v>
          </cell>
          <cell r="R1916" t="str">
            <v>No</v>
          </cell>
          <cell r="S1916" t="str">
            <v>C49</v>
          </cell>
          <cell r="T1916" t="str">
            <v>SOUTH</v>
          </cell>
          <cell r="U1916" t="str">
            <v>深圳</v>
          </cell>
          <cell r="V1916" t="str">
            <v>SZ 深圳</v>
          </cell>
          <cell r="W1916" t="str">
            <v>JL</v>
          </cell>
          <cell r="X1916" t="str">
            <v>RMB</v>
          </cell>
          <cell r="Y1916">
            <v>415000</v>
          </cell>
          <cell r="Z1916">
            <v>1.1299999999999999</v>
          </cell>
          <cell r="AA1916">
            <v>415000</v>
          </cell>
          <cell r="AB1916">
            <v>1.0900000000000001</v>
          </cell>
          <cell r="AC1916">
            <v>400309.73451327439</v>
          </cell>
          <cell r="AD1916">
            <v>48037.168141592927</v>
          </cell>
          <cell r="AE1916">
            <v>0.12</v>
          </cell>
          <cell r="AF1916">
            <v>44898</v>
          </cell>
          <cell r="AG1916" t="str">
            <v>DDP SZ</v>
          </cell>
          <cell r="AI1916"/>
          <cell r="AJ1916">
            <v>44911</v>
          </cell>
          <cell r="AK1916">
            <v>0.3</v>
          </cell>
          <cell r="AL1916">
            <v>124500</v>
          </cell>
          <cell r="AM1916">
            <v>45026</v>
          </cell>
          <cell r="AN1916" t="str">
            <v>Yes</v>
          </cell>
          <cell r="AO1916">
            <v>0.7</v>
          </cell>
          <cell r="AP1916">
            <v>290500</v>
          </cell>
          <cell r="AQ1916">
            <v>45019</v>
          </cell>
          <cell r="AR1916">
            <v>45019</v>
          </cell>
          <cell r="AS1916">
            <v>0</v>
          </cell>
          <cell r="AT1916">
            <v>0</v>
          </cell>
          <cell r="AX1916" t="str">
            <v>Yes</v>
          </cell>
          <cell r="AZ1916" t="str">
            <v>Y</v>
          </cell>
          <cell r="BA1916" t="str">
            <v>Yes</v>
          </cell>
        </row>
        <row r="1917">
          <cell r="B1917">
            <v>1767</v>
          </cell>
          <cell r="C1917" t="str">
            <v>C49SZX20220110SS</v>
          </cell>
          <cell r="D1917" t="str">
            <v>龙大光电</v>
          </cell>
          <cell r="E1917" t="str">
            <v>YSM40R-4</v>
          </cell>
          <cell r="I1917" t="str">
            <v>L-&gt;R</v>
          </cell>
          <cell r="J1917" t="str">
            <v>No</v>
          </cell>
          <cell r="K1917">
            <v>1</v>
          </cell>
          <cell r="N1917">
            <v>44910</v>
          </cell>
          <cell r="O1917">
            <v>11100572</v>
          </cell>
          <cell r="P1917">
            <v>1140000</v>
          </cell>
          <cell r="Q1917">
            <v>44911</v>
          </cell>
          <cell r="R1917" t="str">
            <v>No</v>
          </cell>
          <cell r="S1917" t="str">
            <v>C49</v>
          </cell>
          <cell r="T1917" t="str">
            <v>SOUTH</v>
          </cell>
          <cell r="U1917" t="str">
            <v>深圳</v>
          </cell>
          <cell r="V1917" t="str">
            <v>SZ 深圳</v>
          </cell>
          <cell r="W1917" t="str">
            <v>SS</v>
          </cell>
          <cell r="X1917" t="str">
            <v>RMB</v>
          </cell>
          <cell r="Y1917">
            <v>1140000</v>
          </cell>
          <cell r="Z1917">
            <v>1.1299999999999999</v>
          </cell>
          <cell r="AA1917">
            <v>1140000</v>
          </cell>
          <cell r="AB1917">
            <v>1.0900000000000001</v>
          </cell>
          <cell r="AC1917">
            <v>1099646.0176991152</v>
          </cell>
          <cell r="AD1917">
            <v>131957.52212389381</v>
          </cell>
          <cell r="AE1917">
            <v>0.12</v>
          </cell>
          <cell r="AF1917">
            <v>44901</v>
          </cell>
          <cell r="AG1917" t="str">
            <v>DDP SZ</v>
          </cell>
          <cell r="AK1917">
            <v>1</v>
          </cell>
          <cell r="AL1917">
            <v>1140000</v>
          </cell>
          <cell r="AM1917">
            <v>44902</v>
          </cell>
          <cell r="AN1917" t="str">
            <v>Yes</v>
          </cell>
          <cell r="AO1917">
            <v>0</v>
          </cell>
          <cell r="AP1917">
            <v>0</v>
          </cell>
          <cell r="AS1917">
            <v>0</v>
          </cell>
          <cell r="AT1917">
            <v>0</v>
          </cell>
          <cell r="AX1917" t="str">
            <v>Yes</v>
          </cell>
          <cell r="AZ1917" t="str">
            <v>Y</v>
          </cell>
          <cell r="BA1917" t="str">
            <v>Yes</v>
          </cell>
        </row>
        <row r="1918">
          <cell r="B1918">
            <v>1768</v>
          </cell>
          <cell r="C1918" t="str">
            <v>C49SZX20220110SS</v>
          </cell>
          <cell r="D1918" t="str">
            <v>龙大光电</v>
          </cell>
          <cell r="E1918" t="str">
            <v>YSM40R-4</v>
          </cell>
          <cell r="I1918" t="str">
            <v>L-&gt;R</v>
          </cell>
          <cell r="J1918" t="str">
            <v>No</v>
          </cell>
          <cell r="K1918">
            <v>1</v>
          </cell>
          <cell r="N1918">
            <v>44910</v>
          </cell>
          <cell r="O1918">
            <v>11100572</v>
          </cell>
          <cell r="P1918">
            <v>1140000</v>
          </cell>
          <cell r="Q1918">
            <v>44911</v>
          </cell>
          <cell r="R1918" t="str">
            <v>No</v>
          </cell>
          <cell r="S1918" t="str">
            <v>C49</v>
          </cell>
          <cell r="T1918" t="str">
            <v>SOUTH</v>
          </cell>
          <cell r="U1918" t="str">
            <v>深圳</v>
          </cell>
          <cell r="V1918" t="str">
            <v>SZ 深圳</v>
          </cell>
          <cell r="W1918" t="str">
            <v>SS</v>
          </cell>
          <cell r="X1918" t="str">
            <v>RMB</v>
          </cell>
          <cell r="Y1918">
            <v>1140000</v>
          </cell>
          <cell r="Z1918">
            <v>1.1299999999999999</v>
          </cell>
          <cell r="AA1918">
            <v>1140000</v>
          </cell>
          <cell r="AB1918">
            <v>1.0900000000000001</v>
          </cell>
          <cell r="AC1918">
            <v>1099646.0176991152</v>
          </cell>
          <cell r="AD1918">
            <v>131957.52212389381</v>
          </cell>
          <cell r="AE1918">
            <v>0.12</v>
          </cell>
          <cell r="AF1918">
            <v>44901</v>
          </cell>
          <cell r="AG1918" t="str">
            <v>DDP SZ</v>
          </cell>
          <cell r="AK1918">
            <v>1</v>
          </cell>
          <cell r="AL1918">
            <v>1140000</v>
          </cell>
          <cell r="AM1918">
            <v>44902</v>
          </cell>
          <cell r="AN1918" t="str">
            <v>Yes</v>
          </cell>
          <cell r="AO1918">
            <v>0</v>
          </cell>
          <cell r="AP1918">
            <v>0</v>
          </cell>
          <cell r="AS1918">
            <v>0</v>
          </cell>
          <cell r="AT1918">
            <v>0</v>
          </cell>
          <cell r="AX1918" t="str">
            <v>Yes</v>
          </cell>
          <cell r="AZ1918" t="str">
            <v>Y</v>
          </cell>
          <cell r="BA1918" t="str">
            <v>Yes</v>
          </cell>
        </row>
        <row r="1919">
          <cell r="B1919">
            <v>1769</v>
          </cell>
          <cell r="C1919" t="str">
            <v>C49SZX20220110SS</v>
          </cell>
          <cell r="D1919" t="str">
            <v>龙大光电</v>
          </cell>
          <cell r="E1919" t="str">
            <v>YSM40R-4</v>
          </cell>
          <cell r="I1919" t="str">
            <v>L-&gt;R</v>
          </cell>
          <cell r="J1919" t="str">
            <v>No</v>
          </cell>
          <cell r="K1919">
            <v>1</v>
          </cell>
          <cell r="N1919">
            <v>44910</v>
          </cell>
          <cell r="O1919">
            <v>11100572</v>
          </cell>
          <cell r="P1919">
            <v>1140000</v>
          </cell>
          <cell r="Q1919">
            <v>44911</v>
          </cell>
          <cell r="R1919" t="str">
            <v>No</v>
          </cell>
          <cell r="S1919" t="str">
            <v>C49</v>
          </cell>
          <cell r="T1919" t="str">
            <v>SOUTH</v>
          </cell>
          <cell r="U1919" t="str">
            <v>深圳</v>
          </cell>
          <cell r="V1919" t="str">
            <v>SZ 深圳</v>
          </cell>
          <cell r="W1919" t="str">
            <v>SS</v>
          </cell>
          <cell r="X1919" t="str">
            <v>RMB</v>
          </cell>
          <cell r="Y1919">
            <v>1140000</v>
          </cell>
          <cell r="Z1919">
            <v>1.1299999999999999</v>
          </cell>
          <cell r="AA1919">
            <v>1140000</v>
          </cell>
          <cell r="AB1919">
            <v>1.0900000000000001</v>
          </cell>
          <cell r="AC1919">
            <v>1099646.0176991152</v>
          </cell>
          <cell r="AD1919">
            <v>131957.52212389381</v>
          </cell>
          <cell r="AE1919">
            <v>0.12</v>
          </cell>
          <cell r="AF1919">
            <v>44901</v>
          </cell>
          <cell r="AG1919" t="str">
            <v>DDP SZ</v>
          </cell>
          <cell r="AK1919">
            <v>1</v>
          </cell>
          <cell r="AL1919">
            <v>1140000</v>
          </cell>
          <cell r="AM1919">
            <v>44902</v>
          </cell>
          <cell r="AN1919" t="str">
            <v>Yes</v>
          </cell>
          <cell r="AO1919">
            <v>0</v>
          </cell>
          <cell r="AP1919">
            <v>0</v>
          </cell>
          <cell r="AS1919">
            <v>0</v>
          </cell>
          <cell r="AT1919">
            <v>0</v>
          </cell>
          <cell r="AX1919" t="str">
            <v>Yes</v>
          </cell>
          <cell r="AZ1919" t="str">
            <v>Y</v>
          </cell>
          <cell r="BA1919" t="str">
            <v>Yes</v>
          </cell>
        </row>
        <row r="1920">
          <cell r="B1920">
            <v>1770</v>
          </cell>
          <cell r="C1920" t="str">
            <v>C49SZX20220130SX</v>
          </cell>
          <cell r="D1920" t="str">
            <v>益田科技</v>
          </cell>
          <cell r="E1920" t="str">
            <v>YSM10</v>
          </cell>
          <cell r="I1920" t="str">
            <v>L-&gt;R</v>
          </cell>
          <cell r="J1920" t="str">
            <v>No</v>
          </cell>
          <cell r="K1920">
            <v>1</v>
          </cell>
          <cell r="N1920">
            <v>44973</v>
          </cell>
          <cell r="O1920">
            <v>11100584</v>
          </cell>
          <cell r="P1920">
            <v>450000</v>
          </cell>
          <cell r="Q1920">
            <v>44981</v>
          </cell>
          <cell r="R1920" t="str">
            <v>No</v>
          </cell>
          <cell r="S1920" t="str">
            <v>C49</v>
          </cell>
          <cell r="T1920" t="str">
            <v>SOUTH</v>
          </cell>
          <cell r="U1920" t="str">
            <v>深圳</v>
          </cell>
          <cell r="V1920" t="str">
            <v>SZ 深圳</v>
          </cell>
          <cell r="W1920" t="str">
            <v>SX</v>
          </cell>
          <cell r="X1920" t="str">
            <v>RMB</v>
          </cell>
          <cell r="Y1920">
            <v>450000</v>
          </cell>
          <cell r="Z1920">
            <v>1.1299999999999999</v>
          </cell>
          <cell r="AA1920">
            <v>450000</v>
          </cell>
          <cell r="AB1920">
            <v>1.0900000000000001</v>
          </cell>
          <cell r="AC1920">
            <v>434070.79646017705</v>
          </cell>
          <cell r="AD1920">
            <v>52088.495575221241</v>
          </cell>
          <cell r="AE1920">
            <v>0.12</v>
          </cell>
          <cell r="AF1920">
            <v>44903</v>
          </cell>
          <cell r="AG1920" t="str">
            <v>DDP SZ</v>
          </cell>
          <cell r="AK1920">
            <v>0.1</v>
          </cell>
          <cell r="AL1920">
            <v>45000</v>
          </cell>
          <cell r="AM1920">
            <v>44925</v>
          </cell>
          <cell r="AN1920" t="str">
            <v>Yes</v>
          </cell>
          <cell r="AO1920">
            <v>0.9</v>
          </cell>
          <cell r="AP1920">
            <v>405000</v>
          </cell>
          <cell r="AQ1920">
            <v>44971</v>
          </cell>
          <cell r="AR1920">
            <v>44971</v>
          </cell>
          <cell r="AS1920">
            <v>0</v>
          </cell>
          <cell r="AT1920">
            <v>0</v>
          </cell>
          <cell r="AX1920" t="str">
            <v>Yes</v>
          </cell>
          <cell r="AZ1920" t="str">
            <v>Y</v>
          </cell>
          <cell r="BA1920" t="str">
            <v>Yes</v>
          </cell>
        </row>
        <row r="1921">
          <cell r="B1921">
            <v>1771</v>
          </cell>
          <cell r="C1921" t="str">
            <v>C49SZX20220130SX</v>
          </cell>
          <cell r="D1921" t="str">
            <v>益田科技</v>
          </cell>
          <cell r="E1921" t="str">
            <v>YSM10</v>
          </cell>
          <cell r="I1921" t="str">
            <v>L-&gt;R</v>
          </cell>
          <cell r="J1921" t="str">
            <v>No</v>
          </cell>
          <cell r="K1921">
            <v>1</v>
          </cell>
          <cell r="N1921">
            <v>44973</v>
          </cell>
          <cell r="O1921">
            <v>11100584</v>
          </cell>
          <cell r="P1921">
            <v>450000</v>
          </cell>
          <cell r="Q1921">
            <v>44981</v>
          </cell>
          <cell r="R1921" t="str">
            <v>No</v>
          </cell>
          <cell r="S1921" t="str">
            <v>C49</v>
          </cell>
          <cell r="T1921" t="str">
            <v>SOUTH</v>
          </cell>
          <cell r="U1921" t="str">
            <v>深圳</v>
          </cell>
          <cell r="V1921" t="str">
            <v>SZ 深圳</v>
          </cell>
          <cell r="W1921" t="str">
            <v>SX</v>
          </cell>
          <cell r="X1921" t="str">
            <v>RMB</v>
          </cell>
          <cell r="Y1921">
            <v>450000</v>
          </cell>
          <cell r="Z1921">
            <v>1.1299999999999999</v>
          </cell>
          <cell r="AA1921">
            <v>450000</v>
          </cell>
          <cell r="AB1921">
            <v>1.0900000000000001</v>
          </cell>
          <cell r="AC1921">
            <v>434070.79646017705</v>
          </cell>
          <cell r="AD1921">
            <v>52088.495575221241</v>
          </cell>
          <cell r="AE1921">
            <v>0.12</v>
          </cell>
          <cell r="AF1921">
            <v>44903</v>
          </cell>
          <cell r="AG1921" t="str">
            <v>DDP SZ</v>
          </cell>
          <cell r="AK1921">
            <v>0.1</v>
          </cell>
          <cell r="AL1921">
            <v>45000</v>
          </cell>
          <cell r="AM1921">
            <v>44925</v>
          </cell>
          <cell r="AN1921" t="str">
            <v>Yes</v>
          </cell>
          <cell r="AO1921">
            <v>0.9</v>
          </cell>
          <cell r="AP1921">
            <v>405000</v>
          </cell>
          <cell r="AQ1921">
            <v>44971</v>
          </cell>
          <cell r="AR1921">
            <v>44971</v>
          </cell>
          <cell r="AS1921">
            <v>0</v>
          </cell>
          <cell r="AT1921">
            <v>0</v>
          </cell>
          <cell r="AX1921" t="str">
            <v>Yes</v>
          </cell>
          <cell r="AZ1921" t="str">
            <v>Y</v>
          </cell>
          <cell r="BA1921" t="str">
            <v>Yes</v>
          </cell>
        </row>
        <row r="1922">
          <cell r="B1922">
            <v>1772</v>
          </cell>
          <cell r="C1922" t="str">
            <v>C49SZX20220130SX</v>
          </cell>
          <cell r="D1922" t="str">
            <v>益田科技</v>
          </cell>
          <cell r="E1922" t="str">
            <v>YSM10</v>
          </cell>
          <cell r="I1922" t="str">
            <v>L-&gt;R</v>
          </cell>
          <cell r="J1922" t="str">
            <v>No</v>
          </cell>
          <cell r="K1922">
            <v>1</v>
          </cell>
          <cell r="N1922">
            <v>44973</v>
          </cell>
          <cell r="O1922">
            <v>11100584</v>
          </cell>
          <cell r="P1922">
            <v>450000</v>
          </cell>
          <cell r="Q1922">
            <v>44981</v>
          </cell>
          <cell r="R1922" t="str">
            <v>No</v>
          </cell>
          <cell r="S1922" t="str">
            <v>C49</v>
          </cell>
          <cell r="T1922" t="str">
            <v>SOUTH</v>
          </cell>
          <cell r="U1922" t="str">
            <v>深圳</v>
          </cell>
          <cell r="V1922" t="str">
            <v>SZ 深圳</v>
          </cell>
          <cell r="W1922" t="str">
            <v>SX</v>
          </cell>
          <cell r="X1922" t="str">
            <v>RMB</v>
          </cell>
          <cell r="Y1922">
            <v>450000</v>
          </cell>
          <cell r="Z1922">
            <v>1.1299999999999999</v>
          </cell>
          <cell r="AA1922">
            <v>450000</v>
          </cell>
          <cell r="AB1922">
            <v>1.0900000000000001</v>
          </cell>
          <cell r="AC1922">
            <v>434070.79646017705</v>
          </cell>
          <cell r="AD1922">
            <v>52088.495575221241</v>
          </cell>
          <cell r="AE1922">
            <v>0.12</v>
          </cell>
          <cell r="AF1922">
            <v>44903</v>
          </cell>
          <cell r="AG1922" t="str">
            <v>DDP SZ</v>
          </cell>
          <cell r="AK1922">
            <v>0.1</v>
          </cell>
          <cell r="AL1922">
            <v>45000</v>
          </cell>
          <cell r="AM1922">
            <v>44925</v>
          </cell>
          <cell r="AN1922" t="str">
            <v>Yes</v>
          </cell>
          <cell r="AO1922">
            <v>0.9</v>
          </cell>
          <cell r="AP1922">
            <v>405000</v>
          </cell>
          <cell r="AQ1922">
            <v>44971</v>
          </cell>
          <cell r="AR1922">
            <v>44971</v>
          </cell>
          <cell r="AS1922">
            <v>0</v>
          </cell>
          <cell r="AT1922">
            <v>0</v>
          </cell>
          <cell r="AX1922" t="str">
            <v>Yes</v>
          </cell>
          <cell r="AZ1922" t="str">
            <v>Y</v>
          </cell>
          <cell r="BA1922" t="str">
            <v>Yes</v>
          </cell>
        </row>
        <row r="1923">
          <cell r="B1923">
            <v>1773</v>
          </cell>
          <cell r="C1923" t="str">
            <v>C49SZX20220130SX</v>
          </cell>
          <cell r="D1923" t="str">
            <v>益田科技</v>
          </cell>
          <cell r="E1923" t="str">
            <v>YSM10</v>
          </cell>
          <cell r="I1923" t="str">
            <v>L-&gt;R</v>
          </cell>
          <cell r="J1923" t="str">
            <v>No</v>
          </cell>
          <cell r="K1923">
            <v>1</v>
          </cell>
          <cell r="N1923">
            <v>44973</v>
          </cell>
          <cell r="O1923">
            <v>11100584</v>
          </cell>
          <cell r="P1923">
            <v>450000</v>
          </cell>
          <cell r="Q1923">
            <v>44981</v>
          </cell>
          <cell r="R1923" t="str">
            <v>No</v>
          </cell>
          <cell r="S1923" t="str">
            <v>C49</v>
          </cell>
          <cell r="T1923" t="str">
            <v>SOUTH</v>
          </cell>
          <cell r="U1923" t="str">
            <v>深圳</v>
          </cell>
          <cell r="V1923" t="str">
            <v>SZ 深圳</v>
          </cell>
          <cell r="W1923" t="str">
            <v>SX</v>
          </cell>
          <cell r="X1923" t="str">
            <v>RMB</v>
          </cell>
          <cell r="Y1923">
            <v>450000</v>
          </cell>
          <cell r="Z1923">
            <v>1.1299999999999999</v>
          </cell>
          <cell r="AA1923">
            <v>450000</v>
          </cell>
          <cell r="AB1923">
            <v>1.0900000000000001</v>
          </cell>
          <cell r="AC1923">
            <v>434070.79646017705</v>
          </cell>
          <cell r="AD1923">
            <v>52088.495575221241</v>
          </cell>
          <cell r="AE1923">
            <v>0.12</v>
          </cell>
          <cell r="AF1923">
            <v>44903</v>
          </cell>
          <cell r="AG1923" t="str">
            <v>DDP SZ</v>
          </cell>
          <cell r="AK1923">
            <v>0.1</v>
          </cell>
          <cell r="AL1923">
            <v>45000</v>
          </cell>
          <cell r="AM1923">
            <v>44925</v>
          </cell>
          <cell r="AN1923" t="str">
            <v>Yes</v>
          </cell>
          <cell r="AO1923">
            <v>0.9</v>
          </cell>
          <cell r="AP1923">
            <v>405000</v>
          </cell>
          <cell r="AQ1923">
            <v>44971</v>
          </cell>
          <cell r="AR1923">
            <v>44971</v>
          </cell>
          <cell r="AS1923">
            <v>0</v>
          </cell>
          <cell r="AT1923">
            <v>0</v>
          </cell>
          <cell r="AX1923" t="str">
            <v>Yes</v>
          </cell>
          <cell r="AZ1923" t="str">
            <v>Y</v>
          </cell>
          <cell r="BA1923" t="str">
            <v>Yes</v>
          </cell>
        </row>
        <row r="1924">
          <cell r="B1924">
            <v>1774</v>
          </cell>
          <cell r="C1924" t="str">
            <v>C49SZX20220130SX</v>
          </cell>
          <cell r="D1924" t="str">
            <v>益田科技</v>
          </cell>
          <cell r="E1924" t="str">
            <v>YSM10</v>
          </cell>
          <cell r="I1924" t="str">
            <v>L-&gt;R</v>
          </cell>
          <cell r="J1924" t="str">
            <v>No</v>
          </cell>
          <cell r="K1924">
            <v>1</v>
          </cell>
          <cell r="N1924">
            <v>44973</v>
          </cell>
          <cell r="O1924">
            <v>11100584</v>
          </cell>
          <cell r="P1924">
            <v>450000</v>
          </cell>
          <cell r="Q1924">
            <v>44981</v>
          </cell>
          <cell r="R1924" t="str">
            <v>No</v>
          </cell>
          <cell r="S1924" t="str">
            <v>C49</v>
          </cell>
          <cell r="T1924" t="str">
            <v>SOUTH</v>
          </cell>
          <cell r="U1924" t="str">
            <v>深圳</v>
          </cell>
          <cell r="V1924" t="str">
            <v>SZ 深圳</v>
          </cell>
          <cell r="W1924" t="str">
            <v>SX</v>
          </cell>
          <cell r="X1924" t="str">
            <v>RMB</v>
          </cell>
          <cell r="Y1924">
            <v>450000</v>
          </cell>
          <cell r="Z1924">
            <v>1.1299999999999999</v>
          </cell>
          <cell r="AA1924">
            <v>450000</v>
          </cell>
          <cell r="AB1924">
            <v>1.0900000000000001</v>
          </cell>
          <cell r="AC1924">
            <v>434070.79646017705</v>
          </cell>
          <cell r="AD1924">
            <v>52088.495575221241</v>
          </cell>
          <cell r="AE1924">
            <v>0.12</v>
          </cell>
          <cell r="AF1924">
            <v>44903</v>
          </cell>
          <cell r="AG1924" t="str">
            <v>DDP SZ</v>
          </cell>
          <cell r="AK1924">
            <v>0.1</v>
          </cell>
          <cell r="AL1924">
            <v>45000</v>
          </cell>
          <cell r="AM1924">
            <v>44925</v>
          </cell>
          <cell r="AN1924" t="str">
            <v>Yes</v>
          </cell>
          <cell r="AO1924">
            <v>0.9</v>
          </cell>
          <cell r="AP1924">
            <v>405000</v>
          </cell>
          <cell r="AQ1924">
            <v>44971</v>
          </cell>
          <cell r="AR1924">
            <v>44971</v>
          </cell>
          <cell r="AS1924">
            <v>0</v>
          </cell>
          <cell r="AT1924">
            <v>0</v>
          </cell>
          <cell r="AX1924" t="str">
            <v>Yes</v>
          </cell>
          <cell r="AZ1924" t="str">
            <v>Y</v>
          </cell>
          <cell r="BA1924" t="str">
            <v>Yes</v>
          </cell>
        </row>
        <row r="1925">
          <cell r="B1925">
            <v>1775</v>
          </cell>
          <cell r="C1925" t="str">
            <v>C49SZX20220130SX</v>
          </cell>
          <cell r="D1925" t="str">
            <v>益田科技</v>
          </cell>
          <cell r="E1925" t="str">
            <v>YSM20R-2</v>
          </cell>
          <cell r="I1925" t="str">
            <v>L-&gt;R</v>
          </cell>
          <cell r="J1925" t="str">
            <v>No</v>
          </cell>
          <cell r="K1925">
            <v>1</v>
          </cell>
          <cell r="N1925">
            <v>44973</v>
          </cell>
          <cell r="O1925">
            <v>11100584</v>
          </cell>
          <cell r="P1925">
            <v>726000</v>
          </cell>
          <cell r="Q1925">
            <v>44981</v>
          </cell>
          <cell r="R1925" t="str">
            <v>No</v>
          </cell>
          <cell r="S1925" t="str">
            <v>C49</v>
          </cell>
          <cell r="T1925" t="str">
            <v>SOUTH</v>
          </cell>
          <cell r="U1925" t="str">
            <v>深圳</v>
          </cell>
          <cell r="V1925" t="str">
            <v>SZ 深圳</v>
          </cell>
          <cell r="W1925" t="str">
            <v>SX</v>
          </cell>
          <cell r="X1925" t="str">
            <v>RMB</v>
          </cell>
          <cell r="Y1925">
            <v>726000</v>
          </cell>
          <cell r="Z1925">
            <v>1.1299999999999999</v>
          </cell>
          <cell r="AA1925">
            <v>726000</v>
          </cell>
          <cell r="AB1925">
            <v>1.0900000000000001</v>
          </cell>
          <cell r="AC1925">
            <v>700300.88495575241</v>
          </cell>
          <cell r="AD1925">
            <v>84036.106194690292</v>
          </cell>
          <cell r="AE1925">
            <v>0.12</v>
          </cell>
          <cell r="AF1925">
            <v>44903</v>
          </cell>
          <cell r="AG1925" t="str">
            <v>DDP SZ</v>
          </cell>
          <cell r="AK1925">
            <v>0.1</v>
          </cell>
          <cell r="AL1925">
            <v>72600</v>
          </cell>
          <cell r="AM1925">
            <v>44925</v>
          </cell>
          <cell r="AN1925" t="str">
            <v>Yes</v>
          </cell>
          <cell r="AO1925">
            <v>0.9</v>
          </cell>
          <cell r="AP1925">
            <v>653400</v>
          </cell>
          <cell r="AQ1925">
            <v>44971</v>
          </cell>
          <cell r="AR1925">
            <v>44971</v>
          </cell>
          <cell r="AS1925">
            <v>0</v>
          </cell>
          <cell r="AT1925">
            <v>0</v>
          </cell>
          <cell r="AX1925" t="str">
            <v>Yes</v>
          </cell>
          <cell r="AZ1925" t="str">
            <v>Y</v>
          </cell>
          <cell r="BA1925" t="str">
            <v>Yes</v>
          </cell>
        </row>
        <row r="1926">
          <cell r="B1926">
            <v>1776</v>
          </cell>
          <cell r="C1926" t="str">
            <v>C28SZX20220129SS</v>
          </cell>
          <cell r="D1926" t="str">
            <v>世曜光电</v>
          </cell>
          <cell r="E1926" t="str">
            <v>Heller 1826MK7</v>
          </cell>
          <cell r="I1926" t="str">
            <v>L-&gt;R</v>
          </cell>
          <cell r="J1926" t="str">
            <v>No</v>
          </cell>
          <cell r="K1926">
            <v>1</v>
          </cell>
          <cell r="N1926">
            <v>44943</v>
          </cell>
          <cell r="O1926">
            <v>11100580</v>
          </cell>
          <cell r="P1926">
            <v>290000</v>
          </cell>
          <cell r="Q1926">
            <v>44944</v>
          </cell>
          <cell r="R1926" t="str">
            <v>Yes</v>
          </cell>
          <cell r="S1926" t="str">
            <v>C28</v>
          </cell>
          <cell r="T1926" t="str">
            <v>SOUTH</v>
          </cell>
          <cell r="U1926" t="str">
            <v>深圳</v>
          </cell>
          <cell r="V1926" t="str">
            <v>SZ 深圳</v>
          </cell>
          <cell r="W1926" t="str">
            <v>SS</v>
          </cell>
          <cell r="X1926" t="str">
            <v>RMB</v>
          </cell>
          <cell r="Y1926">
            <v>290000</v>
          </cell>
          <cell r="Z1926">
            <v>1.1299999999999999</v>
          </cell>
          <cell r="AA1926">
            <v>290000</v>
          </cell>
          <cell r="AB1926">
            <v>1.0900000000000001</v>
          </cell>
          <cell r="AC1926">
            <v>279734.51327433629</v>
          </cell>
          <cell r="AD1926">
            <v>33568.14159292035</v>
          </cell>
          <cell r="AE1926">
            <v>0.12</v>
          </cell>
          <cell r="AF1926">
            <v>44903</v>
          </cell>
          <cell r="AG1926" t="str">
            <v>DDP SZ</v>
          </cell>
          <cell r="AK1926">
            <v>0.3</v>
          </cell>
          <cell r="AL1926">
            <v>87000</v>
          </cell>
          <cell r="AM1926">
            <v>44907</v>
          </cell>
          <cell r="AN1926" t="str">
            <v>Yes</v>
          </cell>
          <cell r="AO1926">
            <v>0.7</v>
          </cell>
          <cell r="AP1926">
            <v>203000</v>
          </cell>
          <cell r="AQ1926">
            <v>44929</v>
          </cell>
          <cell r="AR1926">
            <v>44929</v>
          </cell>
          <cell r="AS1926">
            <v>0</v>
          </cell>
          <cell r="AT1926">
            <v>0</v>
          </cell>
          <cell r="AX1926" t="str">
            <v>Yes</v>
          </cell>
          <cell r="AZ1926" t="str">
            <v>Y</v>
          </cell>
          <cell r="BA1926" t="str">
            <v>Yes</v>
          </cell>
        </row>
        <row r="1927">
          <cell r="B1927">
            <v>1777</v>
          </cell>
          <cell r="C1927" t="str">
            <v>C49SZX20220132R1ZX(H207006-BET-221214 ESE)</v>
          </cell>
          <cell r="D1927" t="str">
            <v>海星</v>
          </cell>
          <cell r="E1927" t="str">
            <v>YSM10</v>
          </cell>
          <cell r="I1927" t="str">
            <v>L-&gt;R</v>
          </cell>
          <cell r="J1927" t="str">
            <v>No</v>
          </cell>
          <cell r="K1927">
            <v>1</v>
          </cell>
          <cell r="N1927">
            <v>45027</v>
          </cell>
          <cell r="O1927">
            <v>11100610</v>
          </cell>
          <cell r="P1927">
            <v>495000</v>
          </cell>
          <cell r="Q1927">
            <v>45035</v>
          </cell>
          <cell r="R1927" t="str">
            <v>No</v>
          </cell>
          <cell r="S1927" t="str">
            <v>C49</v>
          </cell>
          <cell r="T1927" t="str">
            <v>SOUTH</v>
          </cell>
          <cell r="U1927" t="str">
            <v>深圳</v>
          </cell>
          <cell r="V1927" t="str">
            <v>SZ 深圳</v>
          </cell>
          <cell r="W1927" t="str">
            <v>ZX</v>
          </cell>
          <cell r="X1927" t="str">
            <v>RMB</v>
          </cell>
          <cell r="Y1927">
            <v>495000</v>
          </cell>
          <cell r="Z1927">
            <v>1.1299999999999999</v>
          </cell>
          <cell r="AA1927">
            <v>495000</v>
          </cell>
          <cell r="AB1927">
            <v>1.0900000000000001</v>
          </cell>
          <cell r="AC1927">
            <v>477477.8761061948</v>
          </cell>
          <cell r="AD1927">
            <v>57297.345132743372</v>
          </cell>
          <cell r="AE1927">
            <v>0.12</v>
          </cell>
          <cell r="AF1927">
            <v>44900</v>
          </cell>
          <cell r="AG1927" t="str">
            <v>DDP SZ</v>
          </cell>
          <cell r="AK1927">
            <v>0.3</v>
          </cell>
          <cell r="AL1927">
            <v>148500</v>
          </cell>
          <cell r="AM1927">
            <v>44916</v>
          </cell>
          <cell r="AN1927" t="str">
            <v>Yes</v>
          </cell>
          <cell r="AO1927">
            <v>0.7</v>
          </cell>
          <cell r="AP1927">
            <v>346500</v>
          </cell>
          <cell r="AQ1927">
            <v>45020</v>
          </cell>
          <cell r="AR1927">
            <v>45020</v>
          </cell>
          <cell r="AS1927">
            <v>0</v>
          </cell>
          <cell r="AT1927">
            <v>0</v>
          </cell>
          <cell r="AX1927" t="str">
            <v>Yes</v>
          </cell>
          <cell r="AZ1927" t="str">
            <v>Y</v>
          </cell>
          <cell r="BA1927" t="str">
            <v>Yes</v>
          </cell>
        </row>
        <row r="1928">
          <cell r="B1928">
            <v>1778</v>
          </cell>
          <cell r="C1928" t="str">
            <v>C49SZX20220132R1ZX(H207006-BET-221214 ESE)</v>
          </cell>
          <cell r="D1928" t="str">
            <v>海星</v>
          </cell>
          <cell r="E1928" t="str">
            <v>YSM10</v>
          </cell>
          <cell r="I1928" t="str">
            <v>L-&gt;R</v>
          </cell>
          <cell r="J1928" t="str">
            <v>No</v>
          </cell>
          <cell r="K1928">
            <v>1</v>
          </cell>
          <cell r="N1928">
            <v>45027</v>
          </cell>
          <cell r="O1928">
            <v>11100610</v>
          </cell>
          <cell r="P1928">
            <v>495000</v>
          </cell>
          <cell r="Q1928">
            <v>45035</v>
          </cell>
          <cell r="R1928" t="str">
            <v>No</v>
          </cell>
          <cell r="S1928" t="str">
            <v>C49</v>
          </cell>
          <cell r="T1928" t="str">
            <v>SOUTH</v>
          </cell>
          <cell r="U1928" t="str">
            <v>深圳</v>
          </cell>
          <cell r="V1928" t="str">
            <v>SZ 深圳</v>
          </cell>
          <cell r="W1928" t="str">
            <v>ZX</v>
          </cell>
          <cell r="X1928" t="str">
            <v>RMB</v>
          </cell>
          <cell r="Y1928">
            <v>495000</v>
          </cell>
          <cell r="Z1928">
            <v>1.1299999999999999</v>
          </cell>
          <cell r="AA1928">
            <v>495000</v>
          </cell>
          <cell r="AB1928">
            <v>1.0900000000000001</v>
          </cell>
          <cell r="AC1928">
            <v>477477.8761061948</v>
          </cell>
          <cell r="AD1928">
            <v>57297.345132743372</v>
          </cell>
          <cell r="AE1928">
            <v>0.12</v>
          </cell>
          <cell r="AF1928">
            <v>44900</v>
          </cell>
          <cell r="AG1928" t="str">
            <v>DDP SZ</v>
          </cell>
          <cell r="AK1928">
            <v>0.3</v>
          </cell>
          <cell r="AL1928">
            <v>148500</v>
          </cell>
          <cell r="AM1928">
            <v>44916</v>
          </cell>
          <cell r="AN1928" t="str">
            <v>Yes</v>
          </cell>
          <cell r="AO1928">
            <v>0.7</v>
          </cell>
          <cell r="AP1928">
            <v>346500</v>
          </cell>
          <cell r="AQ1928">
            <v>45020</v>
          </cell>
          <cell r="AR1928">
            <v>45020</v>
          </cell>
          <cell r="AS1928">
            <v>0</v>
          </cell>
          <cell r="AT1928">
            <v>0</v>
          </cell>
          <cell r="AX1928" t="str">
            <v>Yes</v>
          </cell>
          <cell r="AZ1928" t="str">
            <v>Y</v>
          </cell>
          <cell r="BA1928" t="str">
            <v>Yes</v>
          </cell>
        </row>
        <row r="1929">
          <cell r="B1929">
            <v>1779</v>
          </cell>
          <cell r="C1929" t="str">
            <v>C49SZX20220132R1ZX(H207006-BET-221214 ESE)</v>
          </cell>
          <cell r="D1929" t="str">
            <v>海星</v>
          </cell>
          <cell r="E1929" t="str">
            <v>YSM10</v>
          </cell>
          <cell r="I1929" t="str">
            <v>L-&gt;R</v>
          </cell>
          <cell r="J1929" t="str">
            <v>No</v>
          </cell>
          <cell r="K1929">
            <v>1</v>
          </cell>
          <cell r="N1929">
            <v>45027</v>
          </cell>
          <cell r="O1929">
            <v>11100610</v>
          </cell>
          <cell r="P1929">
            <v>495000</v>
          </cell>
          <cell r="Q1929">
            <v>45035</v>
          </cell>
          <cell r="R1929" t="str">
            <v>No</v>
          </cell>
          <cell r="S1929" t="str">
            <v>C49</v>
          </cell>
          <cell r="T1929" t="str">
            <v>SOUTH</v>
          </cell>
          <cell r="U1929" t="str">
            <v>深圳</v>
          </cell>
          <cell r="V1929" t="str">
            <v>SZ 深圳</v>
          </cell>
          <cell r="W1929" t="str">
            <v>ZX</v>
          </cell>
          <cell r="X1929" t="str">
            <v>RMB</v>
          </cell>
          <cell r="Y1929">
            <v>495000</v>
          </cell>
          <cell r="Z1929">
            <v>1.1299999999999999</v>
          </cell>
          <cell r="AA1929">
            <v>495000</v>
          </cell>
          <cell r="AB1929">
            <v>1.0900000000000001</v>
          </cell>
          <cell r="AC1929">
            <v>477477.8761061948</v>
          </cell>
          <cell r="AD1929">
            <v>57297.345132743372</v>
          </cell>
          <cell r="AE1929">
            <v>0.12</v>
          </cell>
          <cell r="AF1929">
            <v>44900</v>
          </cell>
          <cell r="AG1929" t="str">
            <v>DDP SZ</v>
          </cell>
          <cell r="AK1929">
            <v>0.3</v>
          </cell>
          <cell r="AL1929">
            <v>148500</v>
          </cell>
          <cell r="AM1929">
            <v>44916</v>
          </cell>
          <cell r="AN1929" t="str">
            <v>Yes</v>
          </cell>
          <cell r="AO1929">
            <v>0.7</v>
          </cell>
          <cell r="AP1929">
            <v>346500</v>
          </cell>
          <cell r="AQ1929">
            <v>45020</v>
          </cell>
          <cell r="AR1929">
            <v>45020</v>
          </cell>
          <cell r="AS1929">
            <v>0</v>
          </cell>
          <cell r="AT1929">
            <v>0</v>
          </cell>
          <cell r="AX1929" t="str">
            <v>Yes</v>
          </cell>
          <cell r="AZ1929" t="str">
            <v>Y</v>
          </cell>
          <cell r="BA1929" t="str">
            <v>Yes</v>
          </cell>
        </row>
        <row r="1930">
          <cell r="B1930">
            <v>1780</v>
          </cell>
          <cell r="C1930" t="str">
            <v>C49SZX20220132R1ZX(H207006-BET-221214 ESE)</v>
          </cell>
          <cell r="D1930" t="str">
            <v>海星</v>
          </cell>
          <cell r="E1930" t="str">
            <v>YSM10</v>
          </cell>
          <cell r="I1930" t="str">
            <v>L-&gt;R</v>
          </cell>
          <cell r="J1930" t="str">
            <v>No</v>
          </cell>
          <cell r="K1930">
            <v>1</v>
          </cell>
          <cell r="N1930">
            <v>45027</v>
          </cell>
          <cell r="O1930">
            <v>11100610</v>
          </cell>
          <cell r="P1930">
            <v>495000</v>
          </cell>
          <cell r="Q1930">
            <v>45035</v>
          </cell>
          <cell r="R1930" t="str">
            <v>No</v>
          </cell>
          <cell r="S1930" t="str">
            <v>C49</v>
          </cell>
          <cell r="T1930" t="str">
            <v>SOUTH</v>
          </cell>
          <cell r="U1930" t="str">
            <v>深圳</v>
          </cell>
          <cell r="V1930" t="str">
            <v>SZ 深圳</v>
          </cell>
          <cell r="W1930" t="str">
            <v>ZX</v>
          </cell>
          <cell r="X1930" t="str">
            <v>RMB</v>
          </cell>
          <cell r="Y1930">
            <v>495000</v>
          </cell>
          <cell r="Z1930">
            <v>1.1299999999999999</v>
          </cell>
          <cell r="AA1930">
            <v>495000</v>
          </cell>
          <cell r="AB1930">
            <v>1.0900000000000001</v>
          </cell>
          <cell r="AC1930">
            <v>477477.8761061948</v>
          </cell>
          <cell r="AD1930">
            <v>57297.345132743372</v>
          </cell>
          <cell r="AE1930">
            <v>0.12</v>
          </cell>
          <cell r="AF1930">
            <v>44900</v>
          </cell>
          <cell r="AG1930" t="str">
            <v>DDP SZ</v>
          </cell>
          <cell r="AK1930">
            <v>0.3</v>
          </cell>
          <cell r="AL1930">
            <v>148500</v>
          </cell>
          <cell r="AM1930">
            <v>44916</v>
          </cell>
          <cell r="AN1930" t="str">
            <v>Yes</v>
          </cell>
          <cell r="AO1930">
            <v>0.7</v>
          </cell>
          <cell r="AP1930">
            <v>346500</v>
          </cell>
          <cell r="AQ1930">
            <v>45020</v>
          </cell>
          <cell r="AR1930">
            <v>45020</v>
          </cell>
          <cell r="AS1930">
            <v>0</v>
          </cell>
          <cell r="AT1930">
            <v>0</v>
          </cell>
          <cell r="AX1930" t="str">
            <v>Yes</v>
          </cell>
          <cell r="AZ1930" t="str">
            <v>Y</v>
          </cell>
          <cell r="BA1930" t="str">
            <v>Yes</v>
          </cell>
        </row>
        <row r="1931">
          <cell r="B1931">
            <v>1781</v>
          </cell>
          <cell r="C1931" t="str">
            <v>C49SZX20220132R1ZX(H207006-BET-221214 ESE)</v>
          </cell>
          <cell r="D1931" t="str">
            <v>海星</v>
          </cell>
          <cell r="E1931" t="str">
            <v>YSM10</v>
          </cell>
          <cell r="I1931" t="str">
            <v>L-&gt;R</v>
          </cell>
          <cell r="J1931" t="str">
            <v>No</v>
          </cell>
          <cell r="K1931">
            <v>1</v>
          </cell>
          <cell r="N1931">
            <v>45027</v>
          </cell>
          <cell r="O1931">
            <v>11100610</v>
          </cell>
          <cell r="P1931">
            <v>495000</v>
          </cell>
          <cell r="Q1931">
            <v>45035</v>
          </cell>
          <cell r="R1931" t="str">
            <v>No</v>
          </cell>
          <cell r="S1931" t="str">
            <v>C49</v>
          </cell>
          <cell r="T1931" t="str">
            <v>SOUTH</v>
          </cell>
          <cell r="U1931" t="str">
            <v>深圳</v>
          </cell>
          <cell r="V1931" t="str">
            <v>SZ 深圳</v>
          </cell>
          <cell r="W1931" t="str">
            <v>ZX</v>
          </cell>
          <cell r="X1931" t="str">
            <v>RMB</v>
          </cell>
          <cell r="Y1931">
            <v>495000</v>
          </cell>
          <cell r="Z1931">
            <v>1.1299999999999999</v>
          </cell>
          <cell r="AA1931">
            <v>495000</v>
          </cell>
          <cell r="AB1931">
            <v>1.0900000000000001</v>
          </cell>
          <cell r="AC1931">
            <v>477477.8761061948</v>
          </cell>
          <cell r="AD1931">
            <v>57297.345132743372</v>
          </cell>
          <cell r="AE1931">
            <v>0.12</v>
          </cell>
          <cell r="AF1931">
            <v>44900</v>
          </cell>
          <cell r="AG1931" t="str">
            <v>DDP SZ</v>
          </cell>
          <cell r="AK1931">
            <v>0.3</v>
          </cell>
          <cell r="AL1931">
            <v>148500</v>
          </cell>
          <cell r="AM1931">
            <v>44916</v>
          </cell>
          <cell r="AN1931" t="str">
            <v>Yes</v>
          </cell>
          <cell r="AO1931">
            <v>0.7</v>
          </cell>
          <cell r="AP1931">
            <v>346500</v>
          </cell>
          <cell r="AQ1931">
            <v>45020</v>
          </cell>
          <cell r="AR1931">
            <v>45020</v>
          </cell>
          <cell r="AS1931">
            <v>0</v>
          </cell>
          <cell r="AT1931">
            <v>0</v>
          </cell>
          <cell r="AX1931" t="str">
            <v>Yes</v>
          </cell>
          <cell r="AZ1931" t="str">
            <v>Y</v>
          </cell>
          <cell r="BA1931" t="str">
            <v>Yes</v>
          </cell>
        </row>
        <row r="1932">
          <cell r="B1932">
            <v>1782</v>
          </cell>
          <cell r="C1932" t="str">
            <v>C49SZX20220132R1ZX(H207006-BET-221214 ESE)</v>
          </cell>
          <cell r="D1932" t="str">
            <v>海星</v>
          </cell>
          <cell r="E1932" t="str">
            <v>YSM10</v>
          </cell>
          <cell r="I1932" t="str">
            <v>L-&gt;R</v>
          </cell>
          <cell r="J1932" t="str">
            <v>No</v>
          </cell>
          <cell r="K1932">
            <v>1</v>
          </cell>
          <cell r="N1932">
            <v>45027</v>
          </cell>
          <cell r="O1932">
            <v>11100610</v>
          </cell>
          <cell r="P1932">
            <v>495000</v>
          </cell>
          <cell r="Q1932">
            <v>45035</v>
          </cell>
          <cell r="R1932" t="str">
            <v>No</v>
          </cell>
          <cell r="S1932" t="str">
            <v>C49</v>
          </cell>
          <cell r="T1932" t="str">
            <v>SOUTH</v>
          </cell>
          <cell r="U1932" t="str">
            <v>深圳</v>
          </cell>
          <cell r="V1932" t="str">
            <v>SZ 深圳</v>
          </cell>
          <cell r="W1932" t="str">
            <v>ZX</v>
          </cell>
          <cell r="X1932" t="str">
            <v>RMB</v>
          </cell>
          <cell r="Y1932">
            <v>495000</v>
          </cell>
          <cell r="Z1932">
            <v>1.1299999999999999</v>
          </cell>
          <cell r="AA1932">
            <v>495000</v>
          </cell>
          <cell r="AB1932">
            <v>1.0900000000000001</v>
          </cell>
          <cell r="AC1932">
            <v>477477.8761061948</v>
          </cell>
          <cell r="AD1932">
            <v>57297.345132743372</v>
          </cell>
          <cell r="AE1932">
            <v>0.12</v>
          </cell>
          <cell r="AF1932">
            <v>44900</v>
          </cell>
          <cell r="AG1932" t="str">
            <v>DDP SZ</v>
          </cell>
          <cell r="AK1932">
            <v>0.3</v>
          </cell>
          <cell r="AL1932">
            <v>148500</v>
          </cell>
          <cell r="AM1932">
            <v>44916</v>
          </cell>
          <cell r="AN1932" t="str">
            <v>Yes</v>
          </cell>
          <cell r="AO1932">
            <v>0.7</v>
          </cell>
          <cell r="AP1932">
            <v>346500</v>
          </cell>
          <cell r="AQ1932">
            <v>45020</v>
          </cell>
          <cell r="AR1932">
            <v>45020</v>
          </cell>
          <cell r="AS1932">
            <v>0</v>
          </cell>
          <cell r="AT1932">
            <v>0</v>
          </cell>
          <cell r="AX1932" t="str">
            <v>Yes</v>
          </cell>
          <cell r="AZ1932" t="str">
            <v>Y</v>
          </cell>
          <cell r="BA1932" t="str">
            <v>Yes</v>
          </cell>
        </row>
        <row r="1933">
          <cell r="B1933">
            <v>1783</v>
          </cell>
          <cell r="C1933" t="str">
            <v>C49SZX20220127EC</v>
          </cell>
          <cell r="D1933" t="str">
            <v>海红天远</v>
          </cell>
          <cell r="E1933" t="str">
            <v>YSM20R-2</v>
          </cell>
          <cell r="I1933" t="str">
            <v>L-&gt;R</v>
          </cell>
          <cell r="J1933" t="str">
            <v>MVC</v>
          </cell>
          <cell r="K1933">
            <v>1</v>
          </cell>
          <cell r="N1933">
            <v>44925</v>
          </cell>
          <cell r="O1933">
            <v>11100577</v>
          </cell>
          <cell r="P1933">
            <v>990000</v>
          </cell>
          <cell r="Q1933">
            <v>44923</v>
          </cell>
          <cell r="R1933" t="str">
            <v>No</v>
          </cell>
          <cell r="S1933" t="str">
            <v>C49</v>
          </cell>
          <cell r="T1933" t="str">
            <v>SOUTH</v>
          </cell>
          <cell r="U1933" t="str">
            <v>深圳</v>
          </cell>
          <cell r="V1933" t="str">
            <v>SZ 深圳</v>
          </cell>
          <cell r="W1933" t="str">
            <v>EC</v>
          </cell>
          <cell r="X1933" t="str">
            <v>RMB</v>
          </cell>
          <cell r="Y1933">
            <v>990000</v>
          </cell>
          <cell r="Z1933">
            <v>1.1299999999999999</v>
          </cell>
          <cell r="AA1933">
            <v>990000</v>
          </cell>
          <cell r="AB1933">
            <v>1.0900000000000001</v>
          </cell>
          <cell r="AC1933">
            <v>954955.75221238961</v>
          </cell>
          <cell r="AD1933">
            <v>114594.69026548674</v>
          </cell>
          <cell r="AE1933">
            <v>0.12</v>
          </cell>
          <cell r="AF1933">
            <v>44914</v>
          </cell>
          <cell r="AG1933" t="str">
            <v>DDP SZ</v>
          </cell>
          <cell r="AK1933">
            <v>0.3</v>
          </cell>
          <cell r="AL1933">
            <v>297000</v>
          </cell>
          <cell r="AM1933">
            <v>44915</v>
          </cell>
          <cell r="AN1933" t="str">
            <v>Yes</v>
          </cell>
          <cell r="AO1933">
            <v>0.7</v>
          </cell>
          <cell r="AP1933">
            <v>693000</v>
          </cell>
          <cell r="AQ1933">
            <v>44916</v>
          </cell>
          <cell r="AR1933">
            <v>44916</v>
          </cell>
          <cell r="AS1933">
            <v>0</v>
          </cell>
          <cell r="AT1933">
            <v>0</v>
          </cell>
          <cell r="AX1933" t="str">
            <v>Yes</v>
          </cell>
          <cell r="AZ1933" t="str">
            <v>Y</v>
          </cell>
          <cell r="BA1933" t="str">
            <v>Yes</v>
          </cell>
        </row>
        <row r="1934">
          <cell r="B1934">
            <v>1784</v>
          </cell>
          <cell r="C1934" t="str">
            <v>C49SZX20220127EC</v>
          </cell>
          <cell r="D1934" t="str">
            <v>海红天远</v>
          </cell>
          <cell r="E1934" t="str">
            <v>YSM20R-2</v>
          </cell>
          <cell r="I1934" t="str">
            <v>L-&gt;R</v>
          </cell>
          <cell r="J1934" t="str">
            <v>MVC</v>
          </cell>
          <cell r="K1934">
            <v>1</v>
          </cell>
          <cell r="N1934">
            <v>44925</v>
          </cell>
          <cell r="O1934">
            <v>11100577</v>
          </cell>
          <cell r="P1934">
            <v>990000</v>
          </cell>
          <cell r="Q1934">
            <v>44923</v>
          </cell>
          <cell r="R1934" t="str">
            <v>No</v>
          </cell>
          <cell r="S1934" t="str">
            <v>C49</v>
          </cell>
          <cell r="T1934" t="str">
            <v>SOUTH</v>
          </cell>
          <cell r="U1934" t="str">
            <v>深圳</v>
          </cell>
          <cell r="V1934" t="str">
            <v>SZ 深圳</v>
          </cell>
          <cell r="W1934" t="str">
            <v>EC</v>
          </cell>
          <cell r="X1934" t="str">
            <v>RMB</v>
          </cell>
          <cell r="Y1934">
            <v>990000</v>
          </cell>
          <cell r="Z1934">
            <v>1.1299999999999999</v>
          </cell>
          <cell r="AA1934">
            <v>990000</v>
          </cell>
          <cell r="AB1934">
            <v>1.0900000000000001</v>
          </cell>
          <cell r="AC1934">
            <v>954955.75221238961</v>
          </cell>
          <cell r="AD1934">
            <v>114594.69026548674</v>
          </cell>
          <cell r="AE1934">
            <v>0.12</v>
          </cell>
          <cell r="AF1934">
            <v>44914</v>
          </cell>
          <cell r="AG1934" t="str">
            <v>DDP SZ</v>
          </cell>
          <cell r="AK1934">
            <v>0.3</v>
          </cell>
          <cell r="AL1934">
            <v>297000</v>
          </cell>
          <cell r="AM1934">
            <v>44915</v>
          </cell>
          <cell r="AN1934" t="str">
            <v>Yes</v>
          </cell>
          <cell r="AO1934">
            <v>0.7</v>
          </cell>
          <cell r="AP1934">
            <v>693000</v>
          </cell>
          <cell r="AQ1934">
            <v>44916</v>
          </cell>
          <cell r="AR1934">
            <v>44916</v>
          </cell>
          <cell r="AS1934">
            <v>0</v>
          </cell>
          <cell r="AT1934">
            <v>0</v>
          </cell>
          <cell r="AX1934" t="str">
            <v>Yes</v>
          </cell>
          <cell r="AZ1934" t="str">
            <v>Y</v>
          </cell>
          <cell r="BA1934" t="str">
            <v>Yes</v>
          </cell>
        </row>
        <row r="1935">
          <cell r="B1935">
            <v>1785</v>
          </cell>
          <cell r="C1935" t="str">
            <v>C49SZX20220127EC</v>
          </cell>
          <cell r="D1935" t="str">
            <v>海红天远</v>
          </cell>
          <cell r="E1935" t="str">
            <v>YSM10</v>
          </cell>
          <cell r="I1935" t="str">
            <v>L-&gt;R</v>
          </cell>
          <cell r="J1935" t="str">
            <v>MVC+ATS15</v>
          </cell>
          <cell r="K1935">
            <v>1</v>
          </cell>
          <cell r="N1935">
            <v>44925</v>
          </cell>
          <cell r="O1935">
            <v>11100577</v>
          </cell>
          <cell r="P1935">
            <v>756000</v>
          </cell>
          <cell r="Q1935">
            <v>44923</v>
          </cell>
          <cell r="R1935" t="str">
            <v>No</v>
          </cell>
          <cell r="S1935" t="str">
            <v>C49</v>
          </cell>
          <cell r="T1935" t="str">
            <v>SOUTH</v>
          </cell>
          <cell r="U1935" t="str">
            <v>深圳</v>
          </cell>
          <cell r="V1935" t="str">
            <v>SZ 深圳</v>
          </cell>
          <cell r="W1935" t="str">
            <v>EC</v>
          </cell>
          <cell r="X1935" t="str">
            <v>RMB</v>
          </cell>
          <cell r="Y1935">
            <v>756000</v>
          </cell>
          <cell r="Z1935">
            <v>1.1299999999999999</v>
          </cell>
          <cell r="AA1935">
            <v>756000</v>
          </cell>
          <cell r="AB1935">
            <v>1.0900000000000001</v>
          </cell>
          <cell r="AC1935">
            <v>729238.93805309746</v>
          </cell>
          <cell r="AD1935">
            <v>87508.672566371693</v>
          </cell>
          <cell r="AE1935">
            <v>0.12</v>
          </cell>
          <cell r="AF1935">
            <v>44914</v>
          </cell>
          <cell r="AG1935" t="str">
            <v>DDP SZ</v>
          </cell>
          <cell r="AK1935">
            <v>0.3</v>
          </cell>
          <cell r="AL1935">
            <v>226800</v>
          </cell>
          <cell r="AM1935">
            <v>44915</v>
          </cell>
          <cell r="AN1935" t="str">
            <v>Yes</v>
          </cell>
          <cell r="AO1935">
            <v>0.7</v>
          </cell>
          <cell r="AP1935">
            <v>529200</v>
          </cell>
          <cell r="AQ1935">
            <v>44916</v>
          </cell>
          <cell r="AR1935">
            <v>44916</v>
          </cell>
          <cell r="AS1935">
            <v>0</v>
          </cell>
          <cell r="AT1935">
            <v>0</v>
          </cell>
          <cell r="AX1935" t="str">
            <v>Yes</v>
          </cell>
          <cell r="AZ1935" t="str">
            <v>Y</v>
          </cell>
          <cell r="BA1935" t="str">
            <v>Yes</v>
          </cell>
        </row>
        <row r="1936">
          <cell r="B1936">
            <v>1786</v>
          </cell>
          <cell r="C1936" t="str">
            <v>C49SZX20220127EC</v>
          </cell>
          <cell r="D1936" t="str">
            <v>海红天远</v>
          </cell>
          <cell r="E1936" t="str">
            <v>YSM10</v>
          </cell>
          <cell r="I1936" t="str">
            <v>R-&gt;L</v>
          </cell>
          <cell r="J1936" t="str">
            <v>MVC+ATS15</v>
          </cell>
          <cell r="K1936">
            <v>1</v>
          </cell>
          <cell r="N1936">
            <v>44925</v>
          </cell>
          <cell r="O1936">
            <v>11100577</v>
          </cell>
          <cell r="P1936">
            <v>756000</v>
          </cell>
          <cell r="Q1936">
            <v>44923</v>
          </cell>
          <cell r="R1936" t="str">
            <v>No</v>
          </cell>
          <cell r="S1936" t="str">
            <v>C49</v>
          </cell>
          <cell r="T1936" t="str">
            <v>SOUTH</v>
          </cell>
          <cell r="U1936" t="str">
            <v>深圳</v>
          </cell>
          <cell r="V1936" t="str">
            <v>SZ 深圳</v>
          </cell>
          <cell r="W1936" t="str">
            <v>EC</v>
          </cell>
          <cell r="X1936" t="str">
            <v>RMB</v>
          </cell>
          <cell r="Y1936">
            <v>756000</v>
          </cell>
          <cell r="Z1936">
            <v>1.1299999999999999</v>
          </cell>
          <cell r="AA1936">
            <v>756000</v>
          </cell>
          <cell r="AB1936">
            <v>1.0900000000000001</v>
          </cell>
          <cell r="AC1936">
            <v>729238.93805309746</v>
          </cell>
          <cell r="AD1936">
            <v>87508.672566371693</v>
          </cell>
          <cell r="AE1936">
            <v>0.12</v>
          </cell>
          <cell r="AF1936">
            <v>44914</v>
          </cell>
          <cell r="AG1936" t="str">
            <v>DDP SZ</v>
          </cell>
          <cell r="AK1936">
            <v>0.3</v>
          </cell>
          <cell r="AL1936">
            <v>226800</v>
          </cell>
          <cell r="AM1936">
            <v>44915</v>
          </cell>
          <cell r="AN1936" t="str">
            <v>Yes</v>
          </cell>
          <cell r="AO1936">
            <v>0.7</v>
          </cell>
          <cell r="AP1936">
            <v>529200</v>
          </cell>
          <cell r="AQ1936">
            <v>44916</v>
          </cell>
          <cell r="AR1936">
            <v>44916</v>
          </cell>
          <cell r="AS1936">
            <v>0</v>
          </cell>
          <cell r="AT1936">
            <v>0</v>
          </cell>
          <cell r="AX1936" t="str">
            <v>Yes</v>
          </cell>
          <cell r="AZ1936" t="str">
            <v>Y</v>
          </cell>
          <cell r="BA1936" t="str">
            <v>Yes</v>
          </cell>
        </row>
        <row r="1937">
          <cell r="B1937">
            <v>1787</v>
          </cell>
          <cell r="C1937" t="str">
            <v>C49SZX20220128EC</v>
          </cell>
          <cell r="D1937" t="str">
            <v>海红天远</v>
          </cell>
          <cell r="E1937" t="str">
            <v>YSM20WR-2</v>
          </cell>
          <cell r="I1937" t="str">
            <v>R-&gt;L</v>
          </cell>
          <cell r="J1937" t="str">
            <v>No</v>
          </cell>
          <cell r="K1937">
            <v>1</v>
          </cell>
          <cell r="N1937">
            <v>45013</v>
          </cell>
          <cell r="O1937">
            <v>11116822</v>
          </cell>
          <cell r="P1937">
            <v>21000000</v>
          </cell>
          <cell r="Q1937">
            <v>45012</v>
          </cell>
          <cell r="R1937" t="str">
            <v>No</v>
          </cell>
          <cell r="S1937" t="str">
            <v>C49</v>
          </cell>
          <cell r="T1937" t="str">
            <v>SOUTH</v>
          </cell>
          <cell r="U1937" t="str">
            <v>深圳</v>
          </cell>
          <cell r="V1937" t="str">
            <v>SZ 深圳</v>
          </cell>
          <cell r="W1937" t="str">
            <v>EC</v>
          </cell>
          <cell r="X1937" t="str">
            <v>JPY</v>
          </cell>
          <cell r="Y1937">
            <v>21000000</v>
          </cell>
          <cell r="Z1937">
            <v>1</v>
          </cell>
          <cell r="AA1937">
            <v>21000000</v>
          </cell>
          <cell r="AB1937">
            <v>5.7500000000000002E-2</v>
          </cell>
          <cell r="AC1937">
            <v>1207500</v>
          </cell>
          <cell r="AD1937">
            <v>144900</v>
          </cell>
          <cell r="AE1937">
            <v>0.12</v>
          </cell>
          <cell r="AF1937">
            <v>44914</v>
          </cell>
          <cell r="AG1937" t="str">
            <v>CIF HK</v>
          </cell>
          <cell r="AK1937">
            <v>0.3</v>
          </cell>
          <cell r="AL1937">
            <v>6300000</v>
          </cell>
          <cell r="AM1937">
            <v>44915</v>
          </cell>
          <cell r="AN1937" t="str">
            <v>Yes</v>
          </cell>
          <cell r="AO1937">
            <v>0.7</v>
          </cell>
          <cell r="AP1937">
            <v>14699999.999999998</v>
          </cell>
          <cell r="AQ1937">
            <v>45006</v>
          </cell>
          <cell r="AR1937">
            <v>45006</v>
          </cell>
          <cell r="AS1937">
            <v>0</v>
          </cell>
          <cell r="AT1937">
            <v>0</v>
          </cell>
          <cell r="AX1937" t="str">
            <v>Yes</v>
          </cell>
          <cell r="AZ1937" t="str">
            <v>Y</v>
          </cell>
          <cell r="BA1937" t="str">
            <v>Yes</v>
          </cell>
        </row>
        <row r="1938">
          <cell r="B1938">
            <v>1788</v>
          </cell>
          <cell r="C1938" t="str">
            <v>C49SZX20220128EC</v>
          </cell>
          <cell r="D1938" t="str">
            <v>海红天远</v>
          </cell>
          <cell r="E1938" t="str">
            <v>YSM20WR-2</v>
          </cell>
          <cell r="I1938" t="str">
            <v>R-&gt;L</v>
          </cell>
          <cell r="J1938" t="str">
            <v>No</v>
          </cell>
          <cell r="K1938">
            <v>1</v>
          </cell>
          <cell r="N1938">
            <v>45013</v>
          </cell>
          <cell r="O1938">
            <v>11116822</v>
          </cell>
          <cell r="P1938">
            <v>21000000</v>
          </cell>
          <cell r="Q1938">
            <v>45012</v>
          </cell>
          <cell r="R1938" t="str">
            <v>No</v>
          </cell>
          <cell r="S1938" t="str">
            <v>C49</v>
          </cell>
          <cell r="T1938" t="str">
            <v>SOUTH</v>
          </cell>
          <cell r="U1938" t="str">
            <v>深圳</v>
          </cell>
          <cell r="V1938" t="str">
            <v>SZ 深圳</v>
          </cell>
          <cell r="W1938" t="str">
            <v>EC</v>
          </cell>
          <cell r="X1938" t="str">
            <v>JPY</v>
          </cell>
          <cell r="Y1938">
            <v>21000000</v>
          </cell>
          <cell r="Z1938">
            <v>1</v>
          </cell>
          <cell r="AA1938">
            <v>21000000</v>
          </cell>
          <cell r="AB1938">
            <v>5.7500000000000002E-2</v>
          </cell>
          <cell r="AC1938">
            <v>1207500</v>
          </cell>
          <cell r="AD1938">
            <v>144900</v>
          </cell>
          <cell r="AE1938">
            <v>0.12</v>
          </cell>
          <cell r="AF1938">
            <v>44914</v>
          </cell>
          <cell r="AG1938" t="str">
            <v>CIF HK</v>
          </cell>
          <cell r="AK1938">
            <v>0.3</v>
          </cell>
          <cell r="AL1938">
            <v>6300000</v>
          </cell>
          <cell r="AM1938">
            <v>44915</v>
          </cell>
          <cell r="AN1938" t="str">
            <v>Yes</v>
          </cell>
          <cell r="AO1938">
            <v>0.7</v>
          </cell>
          <cell r="AP1938">
            <v>14699999.999999998</v>
          </cell>
          <cell r="AQ1938">
            <v>45006</v>
          </cell>
          <cell r="AR1938">
            <v>45006</v>
          </cell>
          <cell r="AS1938">
            <v>0</v>
          </cell>
          <cell r="AT1938">
            <v>0</v>
          </cell>
          <cell r="AX1938" t="str">
            <v>Yes</v>
          </cell>
          <cell r="AZ1938" t="str">
            <v>Y</v>
          </cell>
          <cell r="BA1938" t="str">
            <v>Yes</v>
          </cell>
        </row>
        <row r="1939">
          <cell r="B1939">
            <v>1789</v>
          </cell>
          <cell r="C1939" t="str">
            <v>C49SZX20220128EC</v>
          </cell>
          <cell r="D1939" t="str">
            <v>海红天远</v>
          </cell>
          <cell r="E1939" t="str">
            <v>YSM20WR-2</v>
          </cell>
          <cell r="I1939" t="str">
            <v>R-&gt;L</v>
          </cell>
          <cell r="J1939" t="str">
            <v>cATS10+MVC(F&amp;R)+Feeder Carriage</v>
          </cell>
          <cell r="K1939">
            <v>1</v>
          </cell>
          <cell r="N1939">
            <v>45013</v>
          </cell>
          <cell r="O1939">
            <v>11116822</v>
          </cell>
          <cell r="P1939">
            <v>21000000</v>
          </cell>
          <cell r="Q1939">
            <v>45012</v>
          </cell>
          <cell r="R1939" t="str">
            <v>No</v>
          </cell>
          <cell r="S1939" t="str">
            <v>C49</v>
          </cell>
          <cell r="T1939" t="str">
            <v>SOUTH</v>
          </cell>
          <cell r="U1939" t="str">
            <v>深圳</v>
          </cell>
          <cell r="V1939" t="str">
            <v>SZ 深圳</v>
          </cell>
          <cell r="W1939" t="str">
            <v>EC</v>
          </cell>
          <cell r="X1939" t="str">
            <v>JPY</v>
          </cell>
          <cell r="Y1939">
            <v>21000000</v>
          </cell>
          <cell r="Z1939">
            <v>1</v>
          </cell>
          <cell r="AA1939">
            <v>21000000</v>
          </cell>
          <cell r="AB1939">
            <v>5.7500000000000002E-2</v>
          </cell>
          <cell r="AC1939">
            <v>1207500</v>
          </cell>
          <cell r="AD1939">
            <v>144900</v>
          </cell>
          <cell r="AE1939">
            <v>0.12</v>
          </cell>
          <cell r="AF1939">
            <v>44914</v>
          </cell>
          <cell r="AG1939" t="str">
            <v>CIF HK</v>
          </cell>
          <cell r="AK1939">
            <v>0.3</v>
          </cell>
          <cell r="AL1939">
            <v>6300000</v>
          </cell>
          <cell r="AM1939">
            <v>44915</v>
          </cell>
          <cell r="AN1939" t="str">
            <v>Yes</v>
          </cell>
          <cell r="AO1939">
            <v>0.7</v>
          </cell>
          <cell r="AP1939">
            <v>14699999.999999998</v>
          </cell>
          <cell r="AQ1939">
            <v>45006</v>
          </cell>
          <cell r="AR1939">
            <v>45006</v>
          </cell>
          <cell r="AS1939">
            <v>0</v>
          </cell>
          <cell r="AT1939">
            <v>0</v>
          </cell>
          <cell r="AX1939" t="str">
            <v>Yes</v>
          </cell>
          <cell r="AZ1939" t="str">
            <v>Y</v>
          </cell>
          <cell r="BA1939" t="str">
            <v>Yes</v>
          </cell>
        </row>
        <row r="1940">
          <cell r="B1940">
            <v>1790</v>
          </cell>
          <cell r="C1940" t="str">
            <v>C49SZX20220135EC</v>
          </cell>
          <cell r="D1940" t="str">
            <v>福瑞康</v>
          </cell>
          <cell r="E1940" t="str">
            <v>YSM20R-2</v>
          </cell>
          <cell r="I1940" t="str">
            <v>L-&gt;R</v>
          </cell>
          <cell r="J1940" t="str">
            <v>No</v>
          </cell>
          <cell r="K1940">
            <v>1</v>
          </cell>
          <cell r="N1940">
            <v>44918</v>
          </cell>
          <cell r="O1940">
            <v>11100575</v>
          </cell>
          <cell r="P1940">
            <v>840000</v>
          </cell>
          <cell r="Q1940">
            <v>44923</v>
          </cell>
          <cell r="R1940" t="str">
            <v>No</v>
          </cell>
          <cell r="S1940" t="str">
            <v>C49</v>
          </cell>
          <cell r="T1940" t="str">
            <v>SOUTH</v>
          </cell>
          <cell r="U1940" t="str">
            <v>深圳</v>
          </cell>
          <cell r="V1940" t="str">
            <v>SZ 深圳</v>
          </cell>
          <cell r="W1940" t="str">
            <v>EC</v>
          </cell>
          <cell r="X1940" t="str">
            <v>RMB</v>
          </cell>
          <cell r="Y1940">
            <v>840000</v>
          </cell>
          <cell r="Z1940">
            <v>1.1299999999999999</v>
          </cell>
          <cell r="AA1940">
            <v>840000</v>
          </cell>
          <cell r="AB1940">
            <v>1.0900000000000001</v>
          </cell>
          <cell r="AC1940">
            <v>810265.48672566388</v>
          </cell>
          <cell r="AD1940">
            <v>97231.858407079664</v>
          </cell>
          <cell r="AE1940">
            <v>0.12</v>
          </cell>
          <cell r="AF1940">
            <v>44915</v>
          </cell>
          <cell r="AG1940" t="str">
            <v>DDP DG</v>
          </cell>
          <cell r="AK1940">
            <v>0.1</v>
          </cell>
          <cell r="AL1940">
            <v>84000</v>
          </cell>
          <cell r="AM1940">
            <v>44916</v>
          </cell>
          <cell r="AN1940" t="str">
            <v>Yes</v>
          </cell>
          <cell r="AO1940">
            <v>0.9</v>
          </cell>
          <cell r="AP1940">
            <v>756000</v>
          </cell>
          <cell r="AQ1940">
            <v>44917</v>
          </cell>
          <cell r="AR1940">
            <v>44917</v>
          </cell>
          <cell r="AS1940">
            <v>0</v>
          </cell>
          <cell r="AT1940">
            <v>0</v>
          </cell>
          <cell r="AX1940" t="str">
            <v>Yes</v>
          </cell>
          <cell r="AZ1940" t="str">
            <v>Y</v>
          </cell>
          <cell r="BA1940" t="str">
            <v>Yes</v>
          </cell>
        </row>
        <row r="1941">
          <cell r="B1941">
            <v>1791</v>
          </cell>
          <cell r="C1941" t="str">
            <v>C49SZX20220141SS</v>
          </cell>
          <cell r="D1941" t="str">
            <v>乐凡</v>
          </cell>
          <cell r="E1941" t="str">
            <v>YSM10</v>
          </cell>
          <cell r="I1941" t="str">
            <v>R-&gt;L</v>
          </cell>
          <cell r="J1941" t="str">
            <v>MVC+ATS15</v>
          </cell>
          <cell r="K1941">
            <v>1</v>
          </cell>
          <cell r="N1941">
            <v>44932</v>
          </cell>
          <cell r="O1941">
            <v>11100576</v>
          </cell>
          <cell r="P1941">
            <v>550000</v>
          </cell>
          <cell r="Q1941">
            <v>44923</v>
          </cell>
          <cell r="R1941" t="str">
            <v>No</v>
          </cell>
          <cell r="S1941" t="str">
            <v>C49</v>
          </cell>
          <cell r="T1941" t="str">
            <v>SOUTH</v>
          </cell>
          <cell r="U1941" t="str">
            <v>深圳</v>
          </cell>
          <cell r="V1941" t="str">
            <v>SZ 深圳</v>
          </cell>
          <cell r="W1941" t="str">
            <v>SS</v>
          </cell>
          <cell r="X1941" t="str">
            <v>RMB</v>
          </cell>
          <cell r="Y1941">
            <v>550000</v>
          </cell>
          <cell r="Z1941">
            <v>1.1299999999999999</v>
          </cell>
          <cell r="AA1941">
            <v>550000</v>
          </cell>
          <cell r="AB1941">
            <v>1.0900000000000001</v>
          </cell>
          <cell r="AC1941">
            <v>530530.97345132753</v>
          </cell>
          <cell r="AD1941">
            <v>63663.716814159299</v>
          </cell>
          <cell r="AE1941">
            <v>0.12</v>
          </cell>
          <cell r="AF1941">
            <v>44916</v>
          </cell>
          <cell r="AG1941" t="str">
            <v>DDP SZ</v>
          </cell>
          <cell r="AI1941">
            <v>320000</v>
          </cell>
          <cell r="AJ1941">
            <v>44916</v>
          </cell>
          <cell r="AK1941">
            <v>0.1</v>
          </cell>
          <cell r="AL1941">
            <v>55000</v>
          </cell>
          <cell r="AM1941">
            <v>44916</v>
          </cell>
          <cell r="AN1941" t="str">
            <v>Yes</v>
          </cell>
          <cell r="AO1941">
            <v>0.9</v>
          </cell>
          <cell r="AP1941">
            <v>495000</v>
          </cell>
          <cell r="AQ1941">
            <v>44898</v>
          </cell>
          <cell r="AR1941">
            <v>44898</v>
          </cell>
          <cell r="AS1941">
            <v>0</v>
          </cell>
          <cell r="AT1941">
            <v>0</v>
          </cell>
          <cell r="AX1941" t="str">
            <v>Yes</v>
          </cell>
          <cell r="AZ1941" t="str">
            <v>Y</v>
          </cell>
          <cell r="BA1941" t="str">
            <v>Yes</v>
          </cell>
        </row>
        <row r="1942">
          <cell r="B1942">
            <v>1792</v>
          </cell>
          <cell r="C1942" t="str">
            <v>C49SZX20220141SS</v>
          </cell>
          <cell r="D1942" t="str">
            <v>乐凡</v>
          </cell>
          <cell r="E1942" t="str">
            <v>YSM20R-2</v>
          </cell>
          <cell r="I1942" t="str">
            <v>R-&gt;L</v>
          </cell>
          <cell r="J1942" t="str">
            <v>No</v>
          </cell>
          <cell r="K1942">
            <v>1</v>
          </cell>
          <cell r="N1942">
            <v>44932</v>
          </cell>
          <cell r="O1942">
            <v>11100576</v>
          </cell>
          <cell r="P1942">
            <v>800000</v>
          </cell>
          <cell r="Q1942">
            <v>44923</v>
          </cell>
          <cell r="R1942" t="str">
            <v>No</v>
          </cell>
          <cell r="S1942" t="str">
            <v>C49</v>
          </cell>
          <cell r="T1942" t="str">
            <v>SOUTH</v>
          </cell>
          <cell r="U1942" t="str">
            <v>深圳</v>
          </cell>
          <cell r="V1942" t="str">
            <v>SZ 深圳</v>
          </cell>
          <cell r="W1942" t="str">
            <v>SS</v>
          </cell>
          <cell r="X1942" t="str">
            <v>RMB</v>
          </cell>
          <cell r="Y1942">
            <v>800000</v>
          </cell>
          <cell r="Z1942">
            <v>1.1299999999999999</v>
          </cell>
          <cell r="AA1942">
            <v>800000</v>
          </cell>
          <cell r="AB1942">
            <v>1.0900000000000001</v>
          </cell>
          <cell r="AC1942">
            <v>771681.41592920374</v>
          </cell>
          <cell r="AD1942">
            <v>92601.769911504438</v>
          </cell>
          <cell r="AE1942">
            <v>0.12</v>
          </cell>
          <cell r="AF1942">
            <v>44916</v>
          </cell>
          <cell r="AG1942" t="str">
            <v>DDP SZ</v>
          </cell>
          <cell r="AI1942"/>
          <cell r="AJ1942">
            <v>44916</v>
          </cell>
          <cell r="AK1942">
            <v>0.1</v>
          </cell>
          <cell r="AL1942">
            <v>80000</v>
          </cell>
          <cell r="AM1942">
            <v>44916</v>
          </cell>
          <cell r="AN1942" t="str">
            <v>Yes</v>
          </cell>
          <cell r="AO1942">
            <v>0.9</v>
          </cell>
          <cell r="AP1942">
            <v>720000</v>
          </cell>
          <cell r="AQ1942">
            <v>44898</v>
          </cell>
          <cell r="AR1942">
            <v>44898</v>
          </cell>
          <cell r="AS1942">
            <v>0</v>
          </cell>
          <cell r="AT1942">
            <v>0</v>
          </cell>
          <cell r="AX1942" t="str">
            <v>Yes</v>
          </cell>
          <cell r="AZ1942" t="str">
            <v>Y</v>
          </cell>
          <cell r="BA1942" t="str">
            <v>Yes</v>
          </cell>
        </row>
        <row r="1943">
          <cell r="B1943">
            <v>1793</v>
          </cell>
          <cell r="C1943" t="str">
            <v>C49SZX20230008SS</v>
          </cell>
          <cell r="D1943" t="str">
            <v>蓝极光</v>
          </cell>
          <cell r="E1943" t="str">
            <v>YSM20R-2</v>
          </cell>
          <cell r="I1943" t="str">
            <v>L-&gt;R</v>
          </cell>
          <cell r="J1943" t="str">
            <v>No</v>
          </cell>
          <cell r="K1943">
            <v>1</v>
          </cell>
          <cell r="N1943">
            <v>44959</v>
          </cell>
          <cell r="O1943">
            <v>11100581</v>
          </cell>
          <cell r="P1943">
            <v>776666</v>
          </cell>
          <cell r="Q1943">
            <v>44970</v>
          </cell>
          <cell r="R1943" t="str">
            <v>No</v>
          </cell>
          <cell r="S1943" t="str">
            <v>C49</v>
          </cell>
          <cell r="T1943" t="str">
            <v>SOUTH</v>
          </cell>
          <cell r="U1943" t="str">
            <v>深圳</v>
          </cell>
          <cell r="V1943" t="str">
            <v>SZ 深圳</v>
          </cell>
          <cell r="W1943" t="str">
            <v>SS</v>
          </cell>
          <cell r="X1943" t="str">
            <v>RMB</v>
          </cell>
          <cell r="Y1943">
            <v>776666</v>
          </cell>
          <cell r="Z1943">
            <v>1.1299999999999999</v>
          </cell>
          <cell r="AA1943">
            <v>776666</v>
          </cell>
          <cell r="AB1943">
            <v>1.1200000000000001</v>
          </cell>
          <cell r="AC1943">
            <v>769792.84955752222</v>
          </cell>
          <cell r="AD1943">
            <v>92375.141946902659</v>
          </cell>
          <cell r="AE1943">
            <v>0.12</v>
          </cell>
          <cell r="AF1943">
            <v>44925</v>
          </cell>
          <cell r="AG1943" t="str">
            <v>DDP SZ</v>
          </cell>
          <cell r="AK1943">
            <v>0.1</v>
          </cell>
          <cell r="AL1943">
            <v>77666.600000000006</v>
          </cell>
          <cell r="AM1943">
            <v>44938</v>
          </cell>
          <cell r="AN1943" t="str">
            <v>Yes</v>
          </cell>
          <cell r="AO1943">
            <v>0.9</v>
          </cell>
          <cell r="AP1943">
            <v>698999.4</v>
          </cell>
          <cell r="AQ1943">
            <v>44957</v>
          </cell>
          <cell r="AR1943">
            <v>44957</v>
          </cell>
          <cell r="AS1943">
            <v>0</v>
          </cell>
          <cell r="AT1943">
            <v>0</v>
          </cell>
          <cell r="AX1943" t="str">
            <v>Yes</v>
          </cell>
          <cell r="AZ1943" t="str">
            <v>Y</v>
          </cell>
          <cell r="BA1943" t="str">
            <v>Yes</v>
          </cell>
        </row>
        <row r="1944">
          <cell r="B1944">
            <v>1794</v>
          </cell>
          <cell r="C1944" t="str">
            <v>C49SZX20230008SS</v>
          </cell>
          <cell r="D1944" t="str">
            <v>蓝极光</v>
          </cell>
          <cell r="E1944" t="str">
            <v>YSM20R-2</v>
          </cell>
          <cell r="I1944" t="str">
            <v>L-&gt;R</v>
          </cell>
          <cell r="J1944" t="str">
            <v>No</v>
          </cell>
          <cell r="K1944">
            <v>1</v>
          </cell>
          <cell r="N1944">
            <v>44959</v>
          </cell>
          <cell r="O1944">
            <v>11100581</v>
          </cell>
          <cell r="P1944">
            <v>776666</v>
          </cell>
          <cell r="Q1944">
            <v>44970</v>
          </cell>
          <cell r="R1944" t="str">
            <v>No</v>
          </cell>
          <cell r="S1944" t="str">
            <v>C49</v>
          </cell>
          <cell r="T1944" t="str">
            <v>SOUTH</v>
          </cell>
          <cell r="U1944" t="str">
            <v>深圳</v>
          </cell>
          <cell r="V1944" t="str">
            <v>SZ 深圳</v>
          </cell>
          <cell r="W1944" t="str">
            <v>SS</v>
          </cell>
          <cell r="X1944" t="str">
            <v>RMB</v>
          </cell>
          <cell r="Y1944">
            <v>776666</v>
          </cell>
          <cell r="Z1944">
            <v>1.1299999999999999</v>
          </cell>
          <cell r="AA1944">
            <v>776666</v>
          </cell>
          <cell r="AB1944">
            <v>1.1200000000000001</v>
          </cell>
          <cell r="AC1944">
            <v>769792.84955752222</v>
          </cell>
          <cell r="AD1944">
            <v>92375.141946902659</v>
          </cell>
          <cell r="AE1944">
            <v>0.12</v>
          </cell>
          <cell r="AF1944">
            <v>44925</v>
          </cell>
          <cell r="AG1944" t="str">
            <v>DDP SZ</v>
          </cell>
          <cell r="AK1944">
            <v>0.1</v>
          </cell>
          <cell r="AL1944">
            <v>77666.600000000006</v>
          </cell>
          <cell r="AM1944">
            <v>44938</v>
          </cell>
          <cell r="AN1944" t="str">
            <v>Yes</v>
          </cell>
          <cell r="AO1944">
            <v>0.9</v>
          </cell>
          <cell r="AP1944">
            <v>698999.4</v>
          </cell>
          <cell r="AQ1944">
            <v>44957</v>
          </cell>
          <cell r="AR1944">
            <v>44957</v>
          </cell>
          <cell r="AS1944">
            <v>0</v>
          </cell>
          <cell r="AT1944">
            <v>0</v>
          </cell>
          <cell r="AX1944" t="str">
            <v>Yes</v>
          </cell>
          <cell r="AZ1944" t="str">
            <v>Y</v>
          </cell>
          <cell r="BA1944" t="str">
            <v>Yes</v>
          </cell>
        </row>
        <row r="1945">
          <cell r="B1945">
            <v>1795</v>
          </cell>
          <cell r="C1945" t="str">
            <v>C49SZX20230008SS</v>
          </cell>
          <cell r="D1945" t="str">
            <v>蓝极光</v>
          </cell>
          <cell r="E1945" t="str">
            <v>YSM20R-2</v>
          </cell>
          <cell r="I1945" t="str">
            <v>L-&gt;R</v>
          </cell>
          <cell r="J1945" t="str">
            <v>No</v>
          </cell>
          <cell r="K1945">
            <v>1</v>
          </cell>
          <cell r="N1945">
            <v>44959</v>
          </cell>
          <cell r="O1945">
            <v>11100581</v>
          </cell>
          <cell r="P1945">
            <v>776666</v>
          </cell>
          <cell r="Q1945">
            <v>44970</v>
          </cell>
          <cell r="R1945" t="str">
            <v>No</v>
          </cell>
          <cell r="S1945" t="str">
            <v>C49</v>
          </cell>
          <cell r="T1945" t="str">
            <v>SOUTH</v>
          </cell>
          <cell r="U1945" t="str">
            <v>深圳</v>
          </cell>
          <cell r="V1945" t="str">
            <v>SZ 深圳</v>
          </cell>
          <cell r="W1945" t="str">
            <v>SS</v>
          </cell>
          <cell r="X1945" t="str">
            <v>RMB</v>
          </cell>
          <cell r="Y1945">
            <v>776666</v>
          </cell>
          <cell r="Z1945">
            <v>1.1299999999999999</v>
          </cell>
          <cell r="AA1945">
            <v>776666</v>
          </cell>
          <cell r="AB1945">
            <v>1.1200000000000001</v>
          </cell>
          <cell r="AC1945">
            <v>769792.84955752222</v>
          </cell>
          <cell r="AD1945">
            <v>92375.141946902659</v>
          </cell>
          <cell r="AE1945">
            <v>0.12</v>
          </cell>
          <cell r="AF1945">
            <v>44925</v>
          </cell>
          <cell r="AG1945" t="str">
            <v>DDP SZ</v>
          </cell>
          <cell r="AK1945">
            <v>0.1</v>
          </cell>
          <cell r="AL1945">
            <v>77666.600000000006</v>
          </cell>
          <cell r="AM1945">
            <v>44938</v>
          </cell>
          <cell r="AN1945" t="str">
            <v>Yes</v>
          </cell>
          <cell r="AO1945">
            <v>0.9</v>
          </cell>
          <cell r="AP1945">
            <v>698999.4</v>
          </cell>
          <cell r="AQ1945">
            <v>44957</v>
          </cell>
          <cell r="AR1945">
            <v>44957</v>
          </cell>
          <cell r="AS1945">
            <v>0</v>
          </cell>
          <cell r="AT1945">
            <v>0</v>
          </cell>
          <cell r="AX1945" t="str">
            <v>Yes</v>
          </cell>
          <cell r="AZ1945" t="str">
            <v>Y</v>
          </cell>
          <cell r="BA1945" t="str">
            <v>Yes</v>
          </cell>
        </row>
        <row r="1946">
          <cell r="B1946">
            <v>1796</v>
          </cell>
          <cell r="C1946" t="str">
            <v>C49SZX20220143SS</v>
          </cell>
          <cell r="D1946" t="str">
            <v>蓝极光</v>
          </cell>
          <cell r="E1946" t="str">
            <v>YSM10</v>
          </cell>
          <cell r="F1946"/>
          <cell r="H1946"/>
          <cell r="I1946" t="str">
            <v>L-&gt;R</v>
          </cell>
          <cell r="J1946" t="str">
            <v>MVC</v>
          </cell>
          <cell r="K1946">
            <v>1</v>
          </cell>
          <cell r="L1946"/>
          <cell r="N1946"/>
          <cell r="O1946"/>
          <cell r="P1946"/>
          <cell r="Q1946"/>
          <cell r="R1946" t="str">
            <v>No</v>
          </cell>
          <cell r="S1946" t="str">
            <v>C49</v>
          </cell>
          <cell r="T1946" t="str">
            <v>SOUTH</v>
          </cell>
          <cell r="U1946" t="str">
            <v>深圳</v>
          </cell>
          <cell r="V1946" t="str">
            <v>SZ 深圳</v>
          </cell>
          <cell r="W1946" t="str">
            <v>SS</v>
          </cell>
          <cell r="X1946" t="str">
            <v>RMB</v>
          </cell>
          <cell r="Y1946">
            <v>462500</v>
          </cell>
          <cell r="Z1946">
            <v>1.1299999999999999</v>
          </cell>
          <cell r="AA1946">
            <v>462500</v>
          </cell>
          <cell r="AB1946">
            <v>1.0900000000000001</v>
          </cell>
          <cell r="AC1946">
            <v>446128.31858407089</v>
          </cell>
          <cell r="AD1946">
            <v>53535.398230088504</v>
          </cell>
          <cell r="AE1946">
            <v>0.12</v>
          </cell>
          <cell r="AF1946">
            <v>44925</v>
          </cell>
          <cell r="AG1946" t="str">
            <v>DDP SZ</v>
          </cell>
          <cell r="AI1946"/>
          <cell r="AJ1946"/>
          <cell r="AK1946">
            <v>0.1</v>
          </cell>
          <cell r="AL1946">
            <v>46250</v>
          </cell>
          <cell r="AM1946"/>
          <cell r="AN1946" t="str">
            <v>No</v>
          </cell>
          <cell r="AO1946">
            <v>0.9</v>
          </cell>
          <cell r="AP1946">
            <v>416250</v>
          </cell>
          <cell r="AQ1946"/>
          <cell r="AR1946"/>
          <cell r="AS1946">
            <v>0</v>
          </cell>
          <cell r="AT1946">
            <v>0</v>
          </cell>
          <cell r="AV1946"/>
          <cell r="AX1946"/>
          <cell r="AY1946"/>
          <cell r="AZ1946"/>
          <cell r="BA1946"/>
        </row>
        <row r="1947">
          <cell r="B1947">
            <v>1797</v>
          </cell>
          <cell r="C1947" t="str">
            <v>C49SZX20220143SS</v>
          </cell>
          <cell r="D1947" t="str">
            <v>蓝极光</v>
          </cell>
          <cell r="E1947" t="str">
            <v>YSM10</v>
          </cell>
          <cell r="F1947"/>
          <cell r="H1947"/>
          <cell r="I1947" t="str">
            <v>L-&gt;R</v>
          </cell>
          <cell r="J1947" t="str">
            <v>MVC</v>
          </cell>
          <cell r="K1947">
            <v>1</v>
          </cell>
          <cell r="L1947"/>
          <cell r="N1947"/>
          <cell r="O1947"/>
          <cell r="P1947"/>
          <cell r="Q1947"/>
          <cell r="R1947" t="str">
            <v>No</v>
          </cell>
          <cell r="S1947" t="str">
            <v>C49</v>
          </cell>
          <cell r="T1947" t="str">
            <v>SOUTH</v>
          </cell>
          <cell r="U1947" t="str">
            <v>深圳</v>
          </cell>
          <cell r="V1947" t="str">
            <v>SZ 深圳</v>
          </cell>
          <cell r="W1947" t="str">
            <v>SS</v>
          </cell>
          <cell r="X1947" t="str">
            <v>RMB</v>
          </cell>
          <cell r="Y1947">
            <v>462500</v>
          </cell>
          <cell r="Z1947">
            <v>1.1299999999999999</v>
          </cell>
          <cell r="AA1947">
            <v>462500</v>
          </cell>
          <cell r="AB1947">
            <v>1.0900000000000001</v>
          </cell>
          <cell r="AC1947">
            <v>446128.31858407089</v>
          </cell>
          <cell r="AD1947">
            <v>53535.398230088504</v>
          </cell>
          <cell r="AE1947">
            <v>0.12</v>
          </cell>
          <cell r="AF1947">
            <v>44925</v>
          </cell>
          <cell r="AG1947" t="str">
            <v>DDP SZ</v>
          </cell>
          <cell r="AI1947"/>
          <cell r="AJ1947"/>
          <cell r="AK1947">
            <v>0.1</v>
          </cell>
          <cell r="AL1947">
            <v>46250</v>
          </cell>
          <cell r="AM1947"/>
          <cell r="AN1947" t="str">
            <v>No</v>
          </cell>
          <cell r="AO1947">
            <v>0.9</v>
          </cell>
          <cell r="AP1947">
            <v>416250</v>
          </cell>
          <cell r="AQ1947"/>
          <cell r="AR1947"/>
          <cell r="AS1947">
            <v>0</v>
          </cell>
          <cell r="AT1947">
            <v>0</v>
          </cell>
          <cell r="AV1947"/>
          <cell r="AX1947"/>
          <cell r="AY1947"/>
          <cell r="AZ1947"/>
          <cell r="BA1947"/>
        </row>
        <row r="1948">
          <cell r="B1948">
            <v>1798</v>
          </cell>
          <cell r="C1948" t="str">
            <v>C49SZX20220143SS</v>
          </cell>
          <cell r="D1948" t="str">
            <v>蓝极光</v>
          </cell>
          <cell r="E1948" t="str">
            <v>YSM10</v>
          </cell>
          <cell r="F1948"/>
          <cell r="H1948"/>
          <cell r="I1948" t="str">
            <v>L-&gt;R</v>
          </cell>
          <cell r="J1948" t="str">
            <v>MVC</v>
          </cell>
          <cell r="K1948">
            <v>1</v>
          </cell>
          <cell r="L1948"/>
          <cell r="N1948"/>
          <cell r="O1948"/>
          <cell r="P1948"/>
          <cell r="Q1948"/>
          <cell r="R1948" t="str">
            <v>No</v>
          </cell>
          <cell r="S1948" t="str">
            <v>C49</v>
          </cell>
          <cell r="T1948" t="str">
            <v>SOUTH</v>
          </cell>
          <cell r="U1948" t="str">
            <v>深圳</v>
          </cell>
          <cell r="V1948" t="str">
            <v>SZ 深圳</v>
          </cell>
          <cell r="W1948" t="str">
            <v>SS</v>
          </cell>
          <cell r="X1948" t="str">
            <v>RMB</v>
          </cell>
          <cell r="Y1948">
            <v>462500</v>
          </cell>
          <cell r="Z1948">
            <v>1.1299999999999999</v>
          </cell>
          <cell r="AA1948">
            <v>462500</v>
          </cell>
          <cell r="AB1948">
            <v>1.0900000000000001</v>
          </cell>
          <cell r="AC1948">
            <v>446128.31858407089</v>
          </cell>
          <cell r="AD1948">
            <v>53535.398230088504</v>
          </cell>
          <cell r="AE1948">
            <v>0.12</v>
          </cell>
          <cell r="AF1948">
            <v>44925</v>
          </cell>
          <cell r="AG1948" t="str">
            <v>DDP SZ</v>
          </cell>
          <cell r="AI1948"/>
          <cell r="AJ1948"/>
          <cell r="AK1948">
            <v>0.1</v>
          </cell>
          <cell r="AL1948">
            <v>46250</v>
          </cell>
          <cell r="AM1948"/>
          <cell r="AN1948" t="str">
            <v>No</v>
          </cell>
          <cell r="AO1948">
            <v>0.9</v>
          </cell>
          <cell r="AP1948">
            <v>416250</v>
          </cell>
          <cell r="AQ1948"/>
          <cell r="AR1948"/>
          <cell r="AS1948">
            <v>0</v>
          </cell>
          <cell r="AT1948">
            <v>0</v>
          </cell>
          <cell r="AV1948"/>
          <cell r="AX1948"/>
          <cell r="AY1948"/>
          <cell r="AZ1948"/>
          <cell r="BA1948"/>
        </row>
        <row r="1949">
          <cell r="B1949">
            <v>1799</v>
          </cell>
          <cell r="C1949" t="str">
            <v>C49SZX20230003SQ</v>
          </cell>
          <cell r="D1949" t="str">
            <v>呈承</v>
          </cell>
          <cell r="E1949" t="str">
            <v>YSM40R-4</v>
          </cell>
          <cell r="F1949"/>
          <cell r="G1949"/>
          <cell r="H1949"/>
          <cell r="I1949" t="str">
            <v>L-&gt;R</v>
          </cell>
          <cell r="J1949" t="str">
            <v>No</v>
          </cell>
          <cell r="K1949">
            <v>1</v>
          </cell>
          <cell r="L1949"/>
          <cell r="M1949"/>
          <cell r="N1949"/>
          <cell r="O1949"/>
          <cell r="P1949"/>
          <cell r="Q1949"/>
          <cell r="R1949" t="str">
            <v>Yes</v>
          </cell>
          <cell r="S1949" t="str">
            <v>C49</v>
          </cell>
          <cell r="T1949" t="str">
            <v>SOUTH</v>
          </cell>
          <cell r="U1949" t="str">
            <v>深圳</v>
          </cell>
          <cell r="V1949" t="str">
            <v>SZ 深圳</v>
          </cell>
          <cell r="W1949" t="str">
            <v>SQ</v>
          </cell>
          <cell r="X1949" t="str">
            <v>RMB</v>
          </cell>
          <cell r="Y1949">
            <v>1150000</v>
          </cell>
          <cell r="Z1949">
            <v>1.1299999999999999</v>
          </cell>
          <cell r="AA1949">
            <v>1150000</v>
          </cell>
          <cell r="AB1949">
            <v>1.1200000000000001</v>
          </cell>
          <cell r="AC1949">
            <v>1139823.0088495577</v>
          </cell>
          <cell r="AD1949">
            <v>136778.76106194692</v>
          </cell>
          <cell r="AE1949">
            <v>0.12</v>
          </cell>
          <cell r="AF1949">
            <v>44929</v>
          </cell>
          <cell r="AG1949" t="str">
            <v>DDP ZS</v>
          </cell>
          <cell r="AH1949"/>
          <cell r="AI1949"/>
          <cell r="AJ1949"/>
          <cell r="AK1949">
            <v>0.3</v>
          </cell>
          <cell r="AL1949">
            <v>345000</v>
          </cell>
          <cell r="AM1949"/>
          <cell r="AN1949" t="str">
            <v>No</v>
          </cell>
          <cell r="AO1949">
            <v>0.7</v>
          </cell>
          <cell r="AP1949">
            <v>805000</v>
          </cell>
          <cell r="AQ1949"/>
          <cell r="AR1949"/>
          <cell r="AS1949">
            <v>0</v>
          </cell>
          <cell r="AT1949">
            <v>0</v>
          </cell>
          <cell r="AU1949"/>
          <cell r="AV1949"/>
          <cell r="AW1949"/>
          <cell r="AX1949" t="str">
            <v>Cancel</v>
          </cell>
          <cell r="AY1949"/>
          <cell r="AZ1949"/>
          <cell r="BA1949" t="str">
            <v>Cancel</v>
          </cell>
          <cell r="BB1949" t="str">
            <v>2023-6-6Ken邮件通知</v>
          </cell>
        </row>
        <row r="1950">
          <cell r="B1950">
            <v>1800</v>
          </cell>
          <cell r="C1950" t="str">
            <v>C49SZX20230003SQ</v>
          </cell>
          <cell r="D1950" t="str">
            <v>呈承</v>
          </cell>
          <cell r="E1950" t="str">
            <v>YSM40R-4</v>
          </cell>
          <cell r="F1950"/>
          <cell r="G1950"/>
          <cell r="H1950"/>
          <cell r="I1950" t="str">
            <v>L-&gt;R</v>
          </cell>
          <cell r="J1950" t="str">
            <v>No</v>
          </cell>
          <cell r="K1950">
            <v>1</v>
          </cell>
          <cell r="L1950"/>
          <cell r="M1950"/>
          <cell r="N1950"/>
          <cell r="O1950"/>
          <cell r="P1950"/>
          <cell r="Q1950"/>
          <cell r="R1950" t="str">
            <v>Yes</v>
          </cell>
          <cell r="S1950" t="str">
            <v>C49</v>
          </cell>
          <cell r="T1950" t="str">
            <v>SOUTH</v>
          </cell>
          <cell r="U1950" t="str">
            <v>深圳</v>
          </cell>
          <cell r="V1950" t="str">
            <v>SZ 深圳</v>
          </cell>
          <cell r="W1950" t="str">
            <v>SQ</v>
          </cell>
          <cell r="X1950" t="str">
            <v>RMB</v>
          </cell>
          <cell r="Y1950">
            <v>1150000</v>
          </cell>
          <cell r="Z1950">
            <v>1.1299999999999999</v>
          </cell>
          <cell r="AA1950">
            <v>1150000</v>
          </cell>
          <cell r="AB1950">
            <v>1.1200000000000001</v>
          </cell>
          <cell r="AC1950">
            <v>1139823.0088495577</v>
          </cell>
          <cell r="AD1950">
            <v>136778.76106194692</v>
          </cell>
          <cell r="AE1950">
            <v>0.12</v>
          </cell>
          <cell r="AF1950">
            <v>44929</v>
          </cell>
          <cell r="AG1950" t="str">
            <v>DDP ZS</v>
          </cell>
          <cell r="AH1950"/>
          <cell r="AI1950"/>
          <cell r="AJ1950"/>
          <cell r="AK1950">
            <v>0.3</v>
          </cell>
          <cell r="AL1950">
            <v>345000</v>
          </cell>
          <cell r="AM1950"/>
          <cell r="AN1950" t="str">
            <v>No</v>
          </cell>
          <cell r="AO1950">
            <v>0.7</v>
          </cell>
          <cell r="AP1950">
            <v>805000</v>
          </cell>
          <cell r="AQ1950"/>
          <cell r="AR1950"/>
          <cell r="AS1950">
            <v>0</v>
          </cell>
          <cell r="AT1950">
            <v>0</v>
          </cell>
          <cell r="AU1950"/>
          <cell r="AV1950"/>
          <cell r="AW1950"/>
          <cell r="AX1950" t="str">
            <v>Cancel</v>
          </cell>
          <cell r="AY1950"/>
          <cell r="AZ1950"/>
          <cell r="BA1950" t="str">
            <v>Cancel</v>
          </cell>
          <cell r="BB1950" t="str">
            <v>2023-6-6Ken邮件通知</v>
          </cell>
        </row>
        <row r="1951">
          <cell r="B1951">
            <v>1801</v>
          </cell>
          <cell r="C1951" t="str">
            <v>C49SZX20230003SQ</v>
          </cell>
          <cell r="D1951" t="str">
            <v>呈承</v>
          </cell>
          <cell r="E1951" t="str">
            <v>YSM40R-4</v>
          </cell>
          <cell r="F1951"/>
          <cell r="G1951"/>
          <cell r="H1951"/>
          <cell r="I1951" t="str">
            <v>L-&gt;R</v>
          </cell>
          <cell r="J1951" t="str">
            <v>No</v>
          </cell>
          <cell r="K1951">
            <v>1</v>
          </cell>
          <cell r="L1951"/>
          <cell r="M1951"/>
          <cell r="N1951"/>
          <cell r="O1951"/>
          <cell r="P1951"/>
          <cell r="Q1951"/>
          <cell r="R1951" t="str">
            <v>Yes</v>
          </cell>
          <cell r="S1951" t="str">
            <v>C49</v>
          </cell>
          <cell r="T1951" t="str">
            <v>SOUTH</v>
          </cell>
          <cell r="U1951" t="str">
            <v>深圳</v>
          </cell>
          <cell r="V1951" t="str">
            <v>SZ 深圳</v>
          </cell>
          <cell r="W1951" t="str">
            <v>SQ</v>
          </cell>
          <cell r="X1951" t="str">
            <v>RMB</v>
          </cell>
          <cell r="Y1951">
            <v>1150000</v>
          </cell>
          <cell r="Z1951">
            <v>1.1299999999999999</v>
          </cell>
          <cell r="AA1951">
            <v>1150000</v>
          </cell>
          <cell r="AB1951">
            <v>1.1200000000000001</v>
          </cell>
          <cell r="AC1951">
            <v>1139823.0088495577</v>
          </cell>
          <cell r="AD1951">
            <v>136778.76106194692</v>
          </cell>
          <cell r="AE1951">
            <v>0.12</v>
          </cell>
          <cell r="AF1951">
            <v>44929</v>
          </cell>
          <cell r="AG1951" t="str">
            <v>DDP ZS</v>
          </cell>
          <cell r="AH1951"/>
          <cell r="AI1951"/>
          <cell r="AJ1951"/>
          <cell r="AK1951">
            <v>0.3</v>
          </cell>
          <cell r="AL1951">
            <v>345000</v>
          </cell>
          <cell r="AM1951"/>
          <cell r="AN1951" t="str">
            <v>No</v>
          </cell>
          <cell r="AO1951">
            <v>0.7</v>
          </cell>
          <cell r="AP1951">
            <v>805000</v>
          </cell>
          <cell r="AQ1951"/>
          <cell r="AR1951"/>
          <cell r="AS1951">
            <v>0</v>
          </cell>
          <cell r="AT1951">
            <v>0</v>
          </cell>
          <cell r="AU1951"/>
          <cell r="AV1951"/>
          <cell r="AW1951"/>
          <cell r="AX1951" t="str">
            <v>Cancel</v>
          </cell>
          <cell r="AY1951"/>
          <cell r="AZ1951"/>
          <cell r="BA1951" t="str">
            <v>Cancel</v>
          </cell>
          <cell r="BB1951" t="str">
            <v>2023-6-6Ken邮件通知</v>
          </cell>
        </row>
        <row r="1952">
          <cell r="B1952">
            <v>1802</v>
          </cell>
          <cell r="C1952" t="str">
            <v>C49SZX20230003SQ</v>
          </cell>
          <cell r="D1952" t="str">
            <v>呈承</v>
          </cell>
          <cell r="E1952" t="str">
            <v>YSM40R-4</v>
          </cell>
          <cell r="F1952"/>
          <cell r="G1952"/>
          <cell r="H1952"/>
          <cell r="I1952" t="str">
            <v>L-&gt;R</v>
          </cell>
          <cell r="J1952" t="str">
            <v>No</v>
          </cell>
          <cell r="K1952">
            <v>1</v>
          </cell>
          <cell r="L1952"/>
          <cell r="M1952"/>
          <cell r="N1952"/>
          <cell r="O1952"/>
          <cell r="P1952"/>
          <cell r="Q1952"/>
          <cell r="R1952" t="str">
            <v>Yes</v>
          </cell>
          <cell r="S1952" t="str">
            <v>C49</v>
          </cell>
          <cell r="T1952" t="str">
            <v>SOUTH</v>
          </cell>
          <cell r="U1952" t="str">
            <v>深圳</v>
          </cell>
          <cell r="V1952" t="str">
            <v>SZ 深圳</v>
          </cell>
          <cell r="W1952" t="str">
            <v>SQ</v>
          </cell>
          <cell r="X1952" t="str">
            <v>RMB</v>
          </cell>
          <cell r="Y1952">
            <v>1150000</v>
          </cell>
          <cell r="Z1952">
            <v>1.1299999999999999</v>
          </cell>
          <cell r="AA1952">
            <v>1150000</v>
          </cell>
          <cell r="AB1952">
            <v>1.1200000000000001</v>
          </cell>
          <cell r="AC1952">
            <v>1139823.0088495577</v>
          </cell>
          <cell r="AD1952">
            <v>136778.76106194692</v>
          </cell>
          <cell r="AE1952">
            <v>0.12</v>
          </cell>
          <cell r="AF1952">
            <v>44929</v>
          </cell>
          <cell r="AG1952" t="str">
            <v>DDP ZS</v>
          </cell>
          <cell r="AH1952"/>
          <cell r="AI1952"/>
          <cell r="AJ1952"/>
          <cell r="AK1952">
            <v>0.3</v>
          </cell>
          <cell r="AL1952">
            <v>345000</v>
          </cell>
          <cell r="AM1952"/>
          <cell r="AN1952" t="str">
            <v>No</v>
          </cell>
          <cell r="AO1952">
            <v>0.7</v>
          </cell>
          <cell r="AP1952">
            <v>805000</v>
          </cell>
          <cell r="AQ1952"/>
          <cell r="AR1952"/>
          <cell r="AS1952">
            <v>0</v>
          </cell>
          <cell r="AT1952">
            <v>0</v>
          </cell>
          <cell r="AU1952"/>
          <cell r="AV1952"/>
          <cell r="AW1952"/>
          <cell r="AX1952" t="str">
            <v>Cancel</v>
          </cell>
          <cell r="AY1952"/>
          <cell r="AZ1952"/>
          <cell r="BA1952" t="str">
            <v>Cancel</v>
          </cell>
          <cell r="BB1952" t="str">
            <v>2023-6-6Ken邮件通知</v>
          </cell>
        </row>
        <row r="1953">
          <cell r="B1953">
            <v>1803</v>
          </cell>
          <cell r="C1953" t="str">
            <v>C49SZX20230003SQ</v>
          </cell>
          <cell r="D1953" t="str">
            <v>呈承</v>
          </cell>
          <cell r="E1953" t="str">
            <v>YSM40R-4</v>
          </cell>
          <cell r="F1953"/>
          <cell r="G1953"/>
          <cell r="H1953"/>
          <cell r="I1953" t="str">
            <v>L-&gt;R</v>
          </cell>
          <cell r="J1953" t="str">
            <v>No</v>
          </cell>
          <cell r="K1953">
            <v>1</v>
          </cell>
          <cell r="L1953"/>
          <cell r="M1953"/>
          <cell r="N1953"/>
          <cell r="O1953"/>
          <cell r="P1953"/>
          <cell r="Q1953"/>
          <cell r="R1953" t="str">
            <v>Yes</v>
          </cell>
          <cell r="S1953" t="str">
            <v>C49</v>
          </cell>
          <cell r="T1953" t="str">
            <v>SOUTH</v>
          </cell>
          <cell r="U1953" t="str">
            <v>深圳</v>
          </cell>
          <cell r="V1953" t="str">
            <v>SZ 深圳</v>
          </cell>
          <cell r="W1953" t="str">
            <v>SQ</v>
          </cell>
          <cell r="X1953" t="str">
            <v>RMB</v>
          </cell>
          <cell r="Y1953">
            <v>1150000</v>
          </cell>
          <cell r="Z1953">
            <v>1.1299999999999999</v>
          </cell>
          <cell r="AA1953">
            <v>1150000</v>
          </cell>
          <cell r="AB1953">
            <v>1.1200000000000001</v>
          </cell>
          <cell r="AC1953">
            <v>1139823.0088495577</v>
          </cell>
          <cell r="AD1953">
            <v>136778.76106194692</v>
          </cell>
          <cell r="AE1953">
            <v>0.12</v>
          </cell>
          <cell r="AF1953">
            <v>44929</v>
          </cell>
          <cell r="AG1953" t="str">
            <v>DDP ZS</v>
          </cell>
          <cell r="AH1953"/>
          <cell r="AI1953"/>
          <cell r="AJ1953"/>
          <cell r="AK1953">
            <v>0.3</v>
          </cell>
          <cell r="AL1953">
            <v>345000</v>
          </cell>
          <cell r="AM1953"/>
          <cell r="AN1953" t="str">
            <v>No</v>
          </cell>
          <cell r="AO1953">
            <v>0.7</v>
          </cell>
          <cell r="AP1953">
            <v>805000</v>
          </cell>
          <cell r="AQ1953"/>
          <cell r="AR1953"/>
          <cell r="AS1953">
            <v>0</v>
          </cell>
          <cell r="AT1953">
            <v>0</v>
          </cell>
          <cell r="AU1953"/>
          <cell r="AV1953"/>
          <cell r="AW1953"/>
          <cell r="AX1953" t="str">
            <v>Cancel</v>
          </cell>
          <cell r="AY1953"/>
          <cell r="AZ1953"/>
          <cell r="BA1953" t="str">
            <v>Cancel</v>
          </cell>
          <cell r="BB1953" t="str">
            <v>2023-6-6Ken邮件通知</v>
          </cell>
        </row>
        <row r="1954">
          <cell r="B1954">
            <v>1804</v>
          </cell>
          <cell r="C1954" t="str">
            <v>C49SZX20230003SQ</v>
          </cell>
          <cell r="D1954" t="str">
            <v>呈承</v>
          </cell>
          <cell r="E1954" t="str">
            <v>YSM20WR-2</v>
          </cell>
          <cell r="F1954"/>
          <cell r="G1954"/>
          <cell r="H1954"/>
          <cell r="I1954" t="str">
            <v>L-&gt;R</v>
          </cell>
          <cell r="J1954" t="str">
            <v>MVC F&amp;R</v>
          </cell>
          <cell r="K1954">
            <v>1</v>
          </cell>
          <cell r="L1954"/>
          <cell r="M1954"/>
          <cell r="N1954"/>
          <cell r="O1954"/>
          <cell r="P1954"/>
          <cell r="Q1954"/>
          <cell r="R1954" t="str">
            <v>Yes</v>
          </cell>
          <cell r="S1954" t="str">
            <v>C49</v>
          </cell>
          <cell r="T1954" t="str">
            <v>SOUTH</v>
          </cell>
          <cell r="U1954" t="str">
            <v>深圳</v>
          </cell>
          <cell r="V1954" t="str">
            <v>SZ 深圳</v>
          </cell>
          <cell r="W1954" t="str">
            <v>SQ</v>
          </cell>
          <cell r="X1954" t="str">
            <v>RMB</v>
          </cell>
          <cell r="Y1954">
            <v>1050000</v>
          </cell>
          <cell r="Z1954">
            <v>1.1299999999999999</v>
          </cell>
          <cell r="AA1954">
            <v>1050000</v>
          </cell>
          <cell r="AB1954">
            <v>1.1200000000000001</v>
          </cell>
          <cell r="AC1954">
            <v>1040707.9646017702</v>
          </cell>
          <cell r="AD1954">
            <v>124884.95575221241</v>
          </cell>
          <cell r="AE1954">
            <v>0.12</v>
          </cell>
          <cell r="AF1954">
            <v>44929</v>
          </cell>
          <cell r="AG1954" t="str">
            <v>DDP ZS</v>
          </cell>
          <cell r="AH1954"/>
          <cell r="AI1954"/>
          <cell r="AJ1954"/>
          <cell r="AK1954">
            <v>0.3</v>
          </cell>
          <cell r="AL1954">
            <v>315000</v>
          </cell>
          <cell r="AM1954"/>
          <cell r="AN1954" t="str">
            <v>No</v>
          </cell>
          <cell r="AO1954">
            <v>0.7</v>
          </cell>
          <cell r="AP1954">
            <v>735000</v>
          </cell>
          <cell r="AQ1954"/>
          <cell r="AR1954"/>
          <cell r="AS1954">
            <v>0</v>
          </cell>
          <cell r="AT1954">
            <v>0</v>
          </cell>
          <cell r="AU1954"/>
          <cell r="AV1954"/>
          <cell r="AW1954"/>
          <cell r="AX1954" t="str">
            <v>Cancel</v>
          </cell>
          <cell r="AY1954"/>
          <cell r="AZ1954"/>
          <cell r="BA1954" t="str">
            <v>Cancel</v>
          </cell>
          <cell r="BB1954" t="str">
            <v>2023-6-6Ken邮件通知</v>
          </cell>
        </row>
        <row r="1955">
          <cell r="B1955">
            <v>1805</v>
          </cell>
          <cell r="C1955" t="str">
            <v>C49SZX20230003SQ</v>
          </cell>
          <cell r="D1955" t="str">
            <v>呈承</v>
          </cell>
          <cell r="E1955" t="str">
            <v>YSM20WR-2</v>
          </cell>
          <cell r="F1955"/>
          <cell r="G1955"/>
          <cell r="H1955"/>
          <cell r="I1955" t="str">
            <v>L-&gt;R</v>
          </cell>
          <cell r="J1955" t="str">
            <v>MVC F&amp;R</v>
          </cell>
          <cell r="K1955">
            <v>1</v>
          </cell>
          <cell r="L1955"/>
          <cell r="M1955"/>
          <cell r="N1955"/>
          <cell r="O1955"/>
          <cell r="P1955"/>
          <cell r="Q1955"/>
          <cell r="R1955" t="str">
            <v>Yes</v>
          </cell>
          <cell r="S1955" t="str">
            <v>C49</v>
          </cell>
          <cell r="T1955" t="str">
            <v>SOUTH</v>
          </cell>
          <cell r="U1955" t="str">
            <v>深圳</v>
          </cell>
          <cell r="V1955" t="str">
            <v>SZ 深圳</v>
          </cell>
          <cell r="W1955" t="str">
            <v>SQ</v>
          </cell>
          <cell r="X1955" t="str">
            <v>RMB</v>
          </cell>
          <cell r="Y1955">
            <v>1050000</v>
          </cell>
          <cell r="Z1955">
            <v>1.1299999999999999</v>
          </cell>
          <cell r="AA1955">
            <v>1050000</v>
          </cell>
          <cell r="AB1955">
            <v>1.1200000000000001</v>
          </cell>
          <cell r="AC1955">
            <v>1040707.9646017702</v>
          </cell>
          <cell r="AD1955">
            <v>124884.95575221241</v>
          </cell>
          <cell r="AE1955">
            <v>0.12</v>
          </cell>
          <cell r="AF1955">
            <v>44929</v>
          </cell>
          <cell r="AG1955" t="str">
            <v>DDP ZS</v>
          </cell>
          <cell r="AH1955"/>
          <cell r="AI1955"/>
          <cell r="AJ1955"/>
          <cell r="AK1955">
            <v>0.3</v>
          </cell>
          <cell r="AL1955">
            <v>315000</v>
          </cell>
          <cell r="AM1955"/>
          <cell r="AN1955" t="str">
            <v>No</v>
          </cell>
          <cell r="AO1955">
            <v>0.7</v>
          </cell>
          <cell r="AP1955">
            <v>735000</v>
          </cell>
          <cell r="AQ1955"/>
          <cell r="AR1955"/>
          <cell r="AS1955">
            <v>0</v>
          </cell>
          <cell r="AT1955">
            <v>0</v>
          </cell>
          <cell r="AU1955"/>
          <cell r="AV1955"/>
          <cell r="AW1955"/>
          <cell r="AX1955" t="str">
            <v>Cancel</v>
          </cell>
          <cell r="AY1955"/>
          <cell r="AZ1955"/>
          <cell r="BA1955" t="str">
            <v>Cancel</v>
          </cell>
          <cell r="BB1955" t="str">
            <v>2023-6-6Ken邮件通知</v>
          </cell>
        </row>
        <row r="1956">
          <cell r="B1956">
            <v>1806</v>
          </cell>
          <cell r="C1956" t="str">
            <v>C49SZX20230003SQ</v>
          </cell>
          <cell r="D1956" t="str">
            <v>呈承</v>
          </cell>
          <cell r="E1956" t="str">
            <v>YSM20WR-2</v>
          </cell>
          <cell r="F1956"/>
          <cell r="G1956"/>
          <cell r="H1956"/>
          <cell r="I1956" t="str">
            <v>L-&gt;R</v>
          </cell>
          <cell r="J1956" t="str">
            <v>cATS10+MVC(F&amp;R)+Feeder Carriage</v>
          </cell>
          <cell r="K1956">
            <v>1</v>
          </cell>
          <cell r="L1956"/>
          <cell r="M1956"/>
          <cell r="N1956"/>
          <cell r="O1956"/>
          <cell r="P1956"/>
          <cell r="Q1956"/>
          <cell r="R1956" t="str">
            <v>Yes</v>
          </cell>
          <cell r="S1956" t="str">
            <v>C49</v>
          </cell>
          <cell r="T1956" t="str">
            <v>SOUTH</v>
          </cell>
          <cell r="U1956" t="str">
            <v>深圳</v>
          </cell>
          <cell r="V1956" t="str">
            <v>SZ 深圳</v>
          </cell>
          <cell r="W1956" t="str">
            <v>SQ</v>
          </cell>
          <cell r="X1956" t="str">
            <v>RMB</v>
          </cell>
          <cell r="Y1956">
            <v>1050000</v>
          </cell>
          <cell r="Z1956">
            <v>1.1299999999999999</v>
          </cell>
          <cell r="AA1956">
            <v>1050000</v>
          </cell>
          <cell r="AB1956">
            <v>1.1200000000000001</v>
          </cell>
          <cell r="AC1956">
            <v>1040707.9646017702</v>
          </cell>
          <cell r="AD1956">
            <v>124884.95575221241</v>
          </cell>
          <cell r="AE1956">
            <v>0.12</v>
          </cell>
          <cell r="AF1956">
            <v>44929</v>
          </cell>
          <cell r="AG1956" t="str">
            <v>DDP ZS</v>
          </cell>
          <cell r="AH1956"/>
          <cell r="AI1956"/>
          <cell r="AJ1956"/>
          <cell r="AK1956">
            <v>0.3</v>
          </cell>
          <cell r="AL1956">
            <v>315000</v>
          </cell>
          <cell r="AM1956"/>
          <cell r="AN1956" t="str">
            <v>No</v>
          </cell>
          <cell r="AO1956">
            <v>0.7</v>
          </cell>
          <cell r="AP1956">
            <v>735000</v>
          </cell>
          <cell r="AQ1956"/>
          <cell r="AR1956"/>
          <cell r="AS1956">
            <v>0</v>
          </cell>
          <cell r="AT1956">
            <v>0</v>
          </cell>
          <cell r="AU1956"/>
          <cell r="AV1956"/>
          <cell r="AW1956"/>
          <cell r="AX1956" t="str">
            <v>Cancel</v>
          </cell>
          <cell r="AY1956"/>
          <cell r="AZ1956"/>
          <cell r="BA1956" t="str">
            <v>Cancel</v>
          </cell>
          <cell r="BB1956" t="str">
            <v>2023-6-6Ken邮件通知</v>
          </cell>
        </row>
        <row r="1957">
          <cell r="B1957">
            <v>1807</v>
          </cell>
          <cell r="C1957" t="str">
            <v>C49SZX20230003SQ</v>
          </cell>
          <cell r="D1957" t="str">
            <v>呈承</v>
          </cell>
          <cell r="E1957" t="str">
            <v>YSM20R-2</v>
          </cell>
          <cell r="F1957"/>
          <cell r="G1957"/>
          <cell r="H1957"/>
          <cell r="I1957" t="str">
            <v>L-&gt;R</v>
          </cell>
          <cell r="J1957" t="str">
            <v>No</v>
          </cell>
          <cell r="K1957">
            <v>1</v>
          </cell>
          <cell r="L1957"/>
          <cell r="M1957"/>
          <cell r="N1957"/>
          <cell r="O1957"/>
          <cell r="P1957"/>
          <cell r="Q1957"/>
          <cell r="R1957" t="str">
            <v>Yes</v>
          </cell>
          <cell r="S1957" t="str">
            <v>C49</v>
          </cell>
          <cell r="T1957" t="str">
            <v>SOUTH</v>
          </cell>
          <cell r="U1957" t="str">
            <v>深圳</v>
          </cell>
          <cell r="V1957" t="str">
            <v>SZ 深圳</v>
          </cell>
          <cell r="W1957" t="str">
            <v>SQ</v>
          </cell>
          <cell r="X1957" t="str">
            <v>RMB</v>
          </cell>
          <cell r="Y1957">
            <v>900000</v>
          </cell>
          <cell r="Z1957">
            <v>1.1299999999999999</v>
          </cell>
          <cell r="AA1957">
            <v>900000</v>
          </cell>
          <cell r="AB1957">
            <v>1.1200000000000001</v>
          </cell>
          <cell r="AC1957">
            <v>892035.39823008864</v>
          </cell>
          <cell r="AD1957">
            <v>107044.24778761063</v>
          </cell>
          <cell r="AE1957">
            <v>0.12</v>
          </cell>
          <cell r="AF1957">
            <v>44929</v>
          </cell>
          <cell r="AG1957" t="str">
            <v>DDP ZS</v>
          </cell>
          <cell r="AH1957"/>
          <cell r="AI1957"/>
          <cell r="AJ1957"/>
          <cell r="AK1957">
            <v>0.3</v>
          </cell>
          <cell r="AL1957">
            <v>270000</v>
          </cell>
          <cell r="AM1957"/>
          <cell r="AN1957" t="str">
            <v>No</v>
          </cell>
          <cell r="AO1957">
            <v>0.7</v>
          </cell>
          <cell r="AP1957">
            <v>630000</v>
          </cell>
          <cell r="AQ1957"/>
          <cell r="AR1957"/>
          <cell r="AS1957">
            <v>0</v>
          </cell>
          <cell r="AT1957">
            <v>0</v>
          </cell>
          <cell r="AU1957"/>
          <cell r="AV1957"/>
          <cell r="AW1957"/>
          <cell r="AX1957" t="str">
            <v>Cancel</v>
          </cell>
          <cell r="AY1957"/>
          <cell r="AZ1957"/>
          <cell r="BA1957" t="str">
            <v>Cancel</v>
          </cell>
          <cell r="BB1957" t="str">
            <v>2023-6-6Ken邮件通知</v>
          </cell>
        </row>
        <row r="1958">
          <cell r="B1958">
            <v>1808</v>
          </cell>
          <cell r="C1958" t="str">
            <v>C49SZX20230003SQ</v>
          </cell>
          <cell r="D1958" t="str">
            <v>呈承</v>
          </cell>
          <cell r="E1958" t="str">
            <v>YSM20R-2</v>
          </cell>
          <cell r="F1958"/>
          <cell r="G1958"/>
          <cell r="H1958"/>
          <cell r="I1958" t="str">
            <v>L-&gt;R</v>
          </cell>
          <cell r="J1958" t="str">
            <v>No</v>
          </cell>
          <cell r="K1958">
            <v>1</v>
          </cell>
          <cell r="L1958"/>
          <cell r="M1958"/>
          <cell r="N1958"/>
          <cell r="O1958"/>
          <cell r="P1958"/>
          <cell r="Q1958"/>
          <cell r="R1958" t="str">
            <v>Yes</v>
          </cell>
          <cell r="S1958" t="str">
            <v>C49</v>
          </cell>
          <cell r="T1958" t="str">
            <v>SOUTH</v>
          </cell>
          <cell r="U1958" t="str">
            <v>深圳</v>
          </cell>
          <cell r="V1958" t="str">
            <v>SZ 深圳</v>
          </cell>
          <cell r="W1958" t="str">
            <v>SQ</v>
          </cell>
          <cell r="X1958" t="str">
            <v>RMB</v>
          </cell>
          <cell r="Y1958">
            <v>900000</v>
          </cell>
          <cell r="Z1958">
            <v>1.1299999999999999</v>
          </cell>
          <cell r="AA1958">
            <v>900000</v>
          </cell>
          <cell r="AB1958">
            <v>1.1200000000000001</v>
          </cell>
          <cell r="AC1958">
            <v>892035.39823008864</v>
          </cell>
          <cell r="AD1958">
            <v>107044.24778761063</v>
          </cell>
          <cell r="AE1958">
            <v>0.12</v>
          </cell>
          <cell r="AF1958">
            <v>44929</v>
          </cell>
          <cell r="AG1958" t="str">
            <v>DDP ZS</v>
          </cell>
          <cell r="AH1958"/>
          <cell r="AI1958"/>
          <cell r="AJ1958"/>
          <cell r="AK1958">
            <v>0.3</v>
          </cell>
          <cell r="AL1958">
            <v>270000</v>
          </cell>
          <cell r="AM1958"/>
          <cell r="AN1958" t="str">
            <v>No</v>
          </cell>
          <cell r="AO1958">
            <v>0.7</v>
          </cell>
          <cell r="AP1958">
            <v>630000</v>
          </cell>
          <cell r="AQ1958"/>
          <cell r="AR1958"/>
          <cell r="AS1958">
            <v>0</v>
          </cell>
          <cell r="AT1958">
            <v>0</v>
          </cell>
          <cell r="AU1958"/>
          <cell r="AV1958"/>
          <cell r="AW1958"/>
          <cell r="AX1958" t="str">
            <v>Cancel</v>
          </cell>
          <cell r="AY1958"/>
          <cell r="AZ1958"/>
          <cell r="BA1958" t="str">
            <v>Cancel</v>
          </cell>
          <cell r="BB1958" t="str">
            <v>2023-6-6Ken邮件通知</v>
          </cell>
        </row>
        <row r="1959">
          <cell r="B1959">
            <v>1809</v>
          </cell>
          <cell r="C1959" t="str">
            <v>C49SZX20230003SQ</v>
          </cell>
          <cell r="D1959" t="str">
            <v>呈承</v>
          </cell>
          <cell r="E1959" t="str">
            <v>YSM10</v>
          </cell>
          <cell r="F1959"/>
          <cell r="G1959"/>
          <cell r="H1959"/>
          <cell r="I1959" t="str">
            <v>L-&gt;R</v>
          </cell>
          <cell r="J1959" t="str">
            <v>MVC</v>
          </cell>
          <cell r="K1959">
            <v>1</v>
          </cell>
          <cell r="L1959"/>
          <cell r="M1959"/>
          <cell r="N1959"/>
          <cell r="O1959"/>
          <cell r="P1959"/>
          <cell r="Q1959"/>
          <cell r="R1959" t="str">
            <v>Yes</v>
          </cell>
          <cell r="S1959" t="str">
            <v>C49</v>
          </cell>
          <cell r="T1959" t="str">
            <v>SOUTH</v>
          </cell>
          <cell r="U1959" t="str">
            <v>深圳</v>
          </cell>
          <cell r="V1959" t="str">
            <v>SZ 深圳</v>
          </cell>
          <cell r="W1959" t="str">
            <v>SQ</v>
          </cell>
          <cell r="X1959" t="str">
            <v>RMB</v>
          </cell>
          <cell r="Y1959">
            <v>600000</v>
          </cell>
          <cell r="Z1959">
            <v>1.1299999999999999</v>
          </cell>
          <cell r="AA1959">
            <v>600000</v>
          </cell>
          <cell r="AB1959">
            <v>1.1200000000000001</v>
          </cell>
          <cell r="AC1959">
            <v>594690.26548672584</v>
          </cell>
          <cell r="AD1959">
            <v>71362.831858407095</v>
          </cell>
          <cell r="AE1959">
            <v>0.12</v>
          </cell>
          <cell r="AF1959">
            <v>44929</v>
          </cell>
          <cell r="AG1959" t="str">
            <v>DDP ZS</v>
          </cell>
          <cell r="AH1959"/>
          <cell r="AI1959"/>
          <cell r="AJ1959"/>
          <cell r="AK1959">
            <v>0.3</v>
          </cell>
          <cell r="AL1959">
            <v>180000</v>
          </cell>
          <cell r="AM1959"/>
          <cell r="AN1959" t="str">
            <v>No</v>
          </cell>
          <cell r="AO1959">
            <v>0.7</v>
          </cell>
          <cell r="AP1959">
            <v>420000</v>
          </cell>
          <cell r="AQ1959"/>
          <cell r="AR1959"/>
          <cell r="AS1959">
            <v>0</v>
          </cell>
          <cell r="AT1959">
            <v>0</v>
          </cell>
          <cell r="AU1959"/>
          <cell r="AV1959"/>
          <cell r="AW1959"/>
          <cell r="AX1959" t="str">
            <v>Cancel</v>
          </cell>
          <cell r="AY1959"/>
          <cell r="AZ1959"/>
          <cell r="BA1959" t="str">
            <v>Cancel</v>
          </cell>
          <cell r="BB1959" t="str">
            <v>2023-6-6Ken邮件通知</v>
          </cell>
        </row>
        <row r="1960">
          <cell r="B1960">
            <v>1810</v>
          </cell>
          <cell r="C1960" t="str">
            <v>C49SZX20230003SQ</v>
          </cell>
          <cell r="D1960" t="str">
            <v>呈承</v>
          </cell>
          <cell r="E1960" t="str">
            <v>YSM10</v>
          </cell>
          <cell r="F1960"/>
          <cell r="G1960"/>
          <cell r="H1960"/>
          <cell r="I1960" t="str">
            <v>L-&gt;R</v>
          </cell>
          <cell r="J1960" t="str">
            <v>MVC</v>
          </cell>
          <cell r="K1960">
            <v>1</v>
          </cell>
          <cell r="L1960"/>
          <cell r="M1960"/>
          <cell r="N1960"/>
          <cell r="O1960"/>
          <cell r="P1960"/>
          <cell r="Q1960"/>
          <cell r="R1960" t="str">
            <v>Yes</v>
          </cell>
          <cell r="S1960" t="str">
            <v>C49</v>
          </cell>
          <cell r="T1960" t="str">
            <v>SOUTH</v>
          </cell>
          <cell r="U1960" t="str">
            <v>深圳</v>
          </cell>
          <cell r="V1960" t="str">
            <v>SZ 深圳</v>
          </cell>
          <cell r="W1960" t="str">
            <v>SQ</v>
          </cell>
          <cell r="X1960" t="str">
            <v>RMB</v>
          </cell>
          <cell r="Y1960">
            <v>600000</v>
          </cell>
          <cell r="Z1960">
            <v>1.1299999999999999</v>
          </cell>
          <cell r="AA1960">
            <v>600000</v>
          </cell>
          <cell r="AB1960">
            <v>1.1200000000000001</v>
          </cell>
          <cell r="AC1960">
            <v>594690.26548672584</v>
          </cell>
          <cell r="AD1960">
            <v>71362.831858407095</v>
          </cell>
          <cell r="AE1960">
            <v>0.12</v>
          </cell>
          <cell r="AF1960">
            <v>44929</v>
          </cell>
          <cell r="AG1960" t="str">
            <v>DDP ZS</v>
          </cell>
          <cell r="AH1960"/>
          <cell r="AI1960"/>
          <cell r="AJ1960"/>
          <cell r="AK1960">
            <v>0.3</v>
          </cell>
          <cell r="AL1960">
            <v>180000</v>
          </cell>
          <cell r="AM1960"/>
          <cell r="AN1960" t="str">
            <v>No</v>
          </cell>
          <cell r="AO1960">
            <v>0.7</v>
          </cell>
          <cell r="AP1960">
            <v>420000</v>
          </cell>
          <cell r="AQ1960"/>
          <cell r="AR1960"/>
          <cell r="AS1960">
            <v>0</v>
          </cell>
          <cell r="AT1960">
            <v>0</v>
          </cell>
          <cell r="AU1960"/>
          <cell r="AV1960"/>
          <cell r="AW1960"/>
          <cell r="AX1960" t="str">
            <v>Cancel</v>
          </cell>
          <cell r="AY1960"/>
          <cell r="AZ1960"/>
          <cell r="BA1960" t="str">
            <v>Cancel</v>
          </cell>
          <cell r="BB1960" t="str">
            <v>2023-6-6Ken邮件通知</v>
          </cell>
        </row>
        <row r="1961">
          <cell r="B1961">
            <v>1811</v>
          </cell>
          <cell r="C1961" t="str">
            <v>C49SZX20230001SX</v>
          </cell>
          <cell r="D1961" t="str">
            <v>恒磊</v>
          </cell>
          <cell r="E1961" t="str">
            <v>YSM10</v>
          </cell>
          <cell r="F1961"/>
          <cell r="H1961"/>
          <cell r="I1961" t="str">
            <v>L-&gt;R</v>
          </cell>
          <cell r="J1961" t="str">
            <v>MVC</v>
          </cell>
          <cell r="K1961">
            <v>1</v>
          </cell>
          <cell r="L1961"/>
          <cell r="N1961"/>
          <cell r="O1961"/>
          <cell r="P1961"/>
          <cell r="Q1961"/>
          <cell r="R1961" t="str">
            <v>No</v>
          </cell>
          <cell r="S1961" t="str">
            <v>C49</v>
          </cell>
          <cell r="T1961" t="str">
            <v>SOUTH</v>
          </cell>
          <cell r="U1961" t="str">
            <v>深圳</v>
          </cell>
          <cell r="V1961" t="str">
            <v>SZ 深圳</v>
          </cell>
          <cell r="W1961" t="str">
            <v>SX</v>
          </cell>
          <cell r="X1961" t="str">
            <v>RMB</v>
          </cell>
          <cell r="Y1961">
            <v>550000</v>
          </cell>
          <cell r="Z1961">
            <v>1.1299999999999999</v>
          </cell>
          <cell r="AA1961">
            <v>550000</v>
          </cell>
          <cell r="AB1961">
            <v>1.1200000000000001</v>
          </cell>
          <cell r="AC1961">
            <v>545132.743362832</v>
          </cell>
          <cell r="AD1961">
            <v>65415.929203539839</v>
          </cell>
          <cell r="AE1961">
            <v>0.12</v>
          </cell>
          <cell r="AF1961">
            <v>44931</v>
          </cell>
          <cell r="AG1961" t="str">
            <v>DDP SZ</v>
          </cell>
          <cell r="AI1961" t="str">
            <v>RMB50,000</v>
          </cell>
          <cell r="AJ1961">
            <v>44967</v>
          </cell>
          <cell r="AK1961">
            <v>0.1</v>
          </cell>
          <cell r="AL1961">
            <v>55000</v>
          </cell>
          <cell r="AM1961">
            <v>44967</v>
          </cell>
          <cell r="AN1961" t="str">
            <v>Yes</v>
          </cell>
          <cell r="AO1961">
            <v>0.9</v>
          </cell>
          <cell r="AP1961">
            <v>495000</v>
          </cell>
          <cell r="AQ1961"/>
          <cell r="AR1961"/>
          <cell r="AS1961">
            <v>0</v>
          </cell>
          <cell r="AT1961">
            <v>0</v>
          </cell>
          <cell r="AV1961"/>
          <cell r="AX1961" t="str">
            <v>Cancel</v>
          </cell>
          <cell r="AY1961"/>
          <cell r="AZ1961"/>
          <cell r="BA1961" t="str">
            <v>Cancel</v>
          </cell>
          <cell r="BB1961" t="str">
            <v>2023-12-13 Ken邮件通知Fay</v>
          </cell>
        </row>
        <row r="1962">
          <cell r="B1962">
            <v>1812</v>
          </cell>
          <cell r="C1962" t="str">
            <v>C49SZX20230001SX</v>
          </cell>
          <cell r="D1962" t="str">
            <v>恒磊</v>
          </cell>
          <cell r="E1962" t="str">
            <v>YSM20R-2</v>
          </cell>
          <cell r="F1962"/>
          <cell r="H1962"/>
          <cell r="I1962" t="str">
            <v>L-&gt;R</v>
          </cell>
          <cell r="J1962" t="str">
            <v>No</v>
          </cell>
          <cell r="K1962">
            <v>1</v>
          </cell>
          <cell r="L1962"/>
          <cell r="N1962"/>
          <cell r="O1962"/>
          <cell r="P1962"/>
          <cell r="Q1962"/>
          <cell r="R1962" t="str">
            <v>No</v>
          </cell>
          <cell r="S1962" t="str">
            <v>C49</v>
          </cell>
          <cell r="T1962" t="str">
            <v>SOUTH</v>
          </cell>
          <cell r="U1962" t="str">
            <v>深圳</v>
          </cell>
          <cell r="V1962" t="str">
            <v>SZ 深圳</v>
          </cell>
          <cell r="W1962" t="str">
            <v>SX</v>
          </cell>
          <cell r="X1962" t="str">
            <v>RMB</v>
          </cell>
          <cell r="Y1962">
            <v>1000000</v>
          </cell>
          <cell r="Z1962">
            <v>1.1299999999999999</v>
          </cell>
          <cell r="AA1962">
            <v>1000000</v>
          </cell>
          <cell r="AB1962">
            <v>1.1200000000000001</v>
          </cell>
          <cell r="AC1962">
            <v>991150.44247787632</v>
          </cell>
          <cell r="AD1962">
            <v>118938.05309734515</v>
          </cell>
          <cell r="AE1962">
            <v>0.12</v>
          </cell>
          <cell r="AF1962">
            <v>44931</v>
          </cell>
          <cell r="AG1962" t="str">
            <v>DDP SZ</v>
          </cell>
          <cell r="AI1962"/>
          <cell r="AJ1962">
            <v>44967</v>
          </cell>
          <cell r="AK1962">
            <v>0.1</v>
          </cell>
          <cell r="AL1962">
            <v>100000</v>
          </cell>
          <cell r="AM1962">
            <v>44967</v>
          </cell>
          <cell r="AN1962" t="str">
            <v>Yes</v>
          </cell>
          <cell r="AO1962">
            <v>0.9</v>
          </cell>
          <cell r="AP1962">
            <v>900000</v>
          </cell>
          <cell r="AQ1962"/>
          <cell r="AR1962"/>
          <cell r="AS1962">
            <v>0</v>
          </cell>
          <cell r="AT1962">
            <v>0</v>
          </cell>
          <cell r="AV1962"/>
          <cell r="AX1962" t="str">
            <v>Cancel</v>
          </cell>
          <cell r="AY1962"/>
          <cell r="AZ1962"/>
          <cell r="BA1962" t="str">
            <v>Cancel</v>
          </cell>
          <cell r="BB1962" t="str">
            <v>2023-12-13 Ken邮件通知Fay</v>
          </cell>
        </row>
        <row r="1963">
          <cell r="B1963">
            <v>1813</v>
          </cell>
          <cell r="C1963" t="str">
            <v>C49SZX20230009SX</v>
          </cell>
          <cell r="D1963" t="str">
            <v>利速达</v>
          </cell>
          <cell r="E1963" t="str">
            <v>YSM10</v>
          </cell>
          <cell r="I1963" t="str">
            <v>L-&gt;R</v>
          </cell>
          <cell r="J1963" t="str">
            <v>MVC</v>
          </cell>
          <cell r="K1963">
            <v>1</v>
          </cell>
          <cell r="N1963">
            <v>44995</v>
          </cell>
          <cell r="O1963">
            <v>11100588</v>
          </cell>
          <cell r="P1963">
            <v>458000</v>
          </cell>
          <cell r="Q1963">
            <v>44995</v>
          </cell>
          <cell r="R1963" t="str">
            <v>No</v>
          </cell>
          <cell r="S1963" t="str">
            <v>C49</v>
          </cell>
          <cell r="T1963" t="str">
            <v>SOUTH</v>
          </cell>
          <cell r="U1963" t="str">
            <v>深圳</v>
          </cell>
          <cell r="V1963" t="str">
            <v>SZ 深圳</v>
          </cell>
          <cell r="W1963" t="str">
            <v>SX</v>
          </cell>
          <cell r="X1963" t="str">
            <v>RMB</v>
          </cell>
          <cell r="Y1963">
            <v>458000</v>
          </cell>
          <cell r="Z1963">
            <v>1.1299999999999999</v>
          </cell>
          <cell r="AA1963">
            <v>458000</v>
          </cell>
          <cell r="AB1963">
            <v>1.1200000000000001</v>
          </cell>
          <cell r="AC1963">
            <v>453946.90265486739</v>
          </cell>
          <cell r="AD1963">
            <v>54473.628318584088</v>
          </cell>
          <cell r="AE1963">
            <v>0.12</v>
          </cell>
          <cell r="AF1963">
            <v>44937</v>
          </cell>
          <cell r="AG1963" t="str">
            <v>DDP SZ</v>
          </cell>
          <cell r="AK1963">
            <v>0.1</v>
          </cell>
          <cell r="AL1963">
            <v>45800</v>
          </cell>
          <cell r="AM1963">
            <v>44964</v>
          </cell>
          <cell r="AN1963" t="str">
            <v>Yes</v>
          </cell>
          <cell r="AO1963">
            <v>0.9</v>
          </cell>
          <cell r="AP1963">
            <v>412200</v>
          </cell>
          <cell r="AQ1963">
            <v>44992</v>
          </cell>
          <cell r="AR1963">
            <v>44992</v>
          </cell>
          <cell r="AS1963">
            <v>0</v>
          </cell>
          <cell r="AT1963">
            <v>0</v>
          </cell>
          <cell r="AX1963" t="str">
            <v>Yes</v>
          </cell>
          <cell r="AZ1963" t="str">
            <v>Y</v>
          </cell>
          <cell r="BA1963" t="str">
            <v>Yes</v>
          </cell>
        </row>
        <row r="1964">
          <cell r="B1964">
            <v>1814</v>
          </cell>
          <cell r="C1964" t="str">
            <v>C49SZX20230010SX</v>
          </cell>
          <cell r="D1964" t="str">
            <v>嘉普达</v>
          </cell>
          <cell r="E1964" t="str">
            <v>YSM10</v>
          </cell>
          <cell r="I1964" t="str">
            <v>L-&gt;R</v>
          </cell>
          <cell r="J1964" t="str">
            <v>MVC</v>
          </cell>
          <cell r="K1964">
            <v>1</v>
          </cell>
          <cell r="N1964">
            <v>44938</v>
          </cell>
          <cell r="O1964">
            <v>11100578</v>
          </cell>
          <cell r="P1964">
            <v>600000</v>
          </cell>
          <cell r="Q1964">
            <v>44944</v>
          </cell>
          <cell r="R1964" t="str">
            <v>No</v>
          </cell>
          <cell r="S1964" t="str">
            <v>C49</v>
          </cell>
          <cell r="T1964" t="str">
            <v>SOUTH</v>
          </cell>
          <cell r="U1964" t="str">
            <v>深圳</v>
          </cell>
          <cell r="V1964" t="str">
            <v>SZ 深圳</v>
          </cell>
          <cell r="W1964" t="str">
            <v>SX</v>
          </cell>
          <cell r="X1964" t="str">
            <v>RMB</v>
          </cell>
          <cell r="Y1964">
            <v>600000</v>
          </cell>
          <cell r="Z1964">
            <v>1.1299999999999999</v>
          </cell>
          <cell r="AA1964">
            <v>600000</v>
          </cell>
          <cell r="AB1964">
            <v>1.1200000000000001</v>
          </cell>
          <cell r="AC1964">
            <v>594690.26548672584</v>
          </cell>
          <cell r="AD1964">
            <v>71362.831858407095</v>
          </cell>
          <cell r="AE1964">
            <v>0.12</v>
          </cell>
          <cell r="AF1964">
            <v>44938</v>
          </cell>
          <cell r="AG1964" t="str">
            <v>DDP SZ</v>
          </cell>
          <cell r="AK1964">
            <v>1</v>
          </cell>
          <cell r="AL1964">
            <v>600000</v>
          </cell>
          <cell r="AM1964">
            <v>44938</v>
          </cell>
          <cell r="AN1964" t="str">
            <v>Yes</v>
          </cell>
          <cell r="AO1964">
            <v>0</v>
          </cell>
          <cell r="AP1964">
            <v>0</v>
          </cell>
          <cell r="AS1964">
            <v>0</v>
          </cell>
          <cell r="AT1964">
            <v>0</v>
          </cell>
          <cell r="AX1964" t="str">
            <v>Yes</v>
          </cell>
          <cell r="AZ1964" t="str">
            <v>Y</v>
          </cell>
          <cell r="BA1964" t="str">
            <v>Yes</v>
          </cell>
        </row>
        <row r="1965">
          <cell r="B1965">
            <v>1815</v>
          </cell>
          <cell r="C1965" t="str">
            <v>C49SZX20230010SX</v>
          </cell>
          <cell r="D1965" t="str">
            <v>嘉普达</v>
          </cell>
          <cell r="E1965" t="str">
            <v>YSM20R-2</v>
          </cell>
          <cell r="I1965" t="str">
            <v>L-&gt;R</v>
          </cell>
          <cell r="J1965" t="str">
            <v>No</v>
          </cell>
          <cell r="K1965">
            <v>1</v>
          </cell>
          <cell r="N1965">
            <v>44938</v>
          </cell>
          <cell r="O1965">
            <v>11100578</v>
          </cell>
          <cell r="P1965">
            <v>800000</v>
          </cell>
          <cell r="Q1965">
            <v>44944</v>
          </cell>
          <cell r="R1965" t="str">
            <v>No</v>
          </cell>
          <cell r="S1965" t="str">
            <v>C49</v>
          </cell>
          <cell r="T1965" t="str">
            <v>SOUTH</v>
          </cell>
          <cell r="U1965" t="str">
            <v>深圳</v>
          </cell>
          <cell r="V1965" t="str">
            <v>SZ 深圳</v>
          </cell>
          <cell r="W1965" t="str">
            <v>SX</v>
          </cell>
          <cell r="X1965" t="str">
            <v>RMB</v>
          </cell>
          <cell r="Y1965">
            <v>800000</v>
          </cell>
          <cell r="Z1965">
            <v>1.1299999999999999</v>
          </cell>
          <cell r="AA1965">
            <v>800000</v>
          </cell>
          <cell r="AB1965">
            <v>1.1200000000000001</v>
          </cell>
          <cell r="AC1965">
            <v>792920.35398230108</v>
          </cell>
          <cell r="AD1965">
            <v>95150.442477876131</v>
          </cell>
          <cell r="AE1965">
            <v>0.12</v>
          </cell>
          <cell r="AF1965">
            <v>44938</v>
          </cell>
          <cell r="AG1965" t="str">
            <v>DDP SZ</v>
          </cell>
          <cell r="AK1965">
            <v>1</v>
          </cell>
          <cell r="AL1965">
            <v>800000</v>
          </cell>
          <cell r="AM1965">
            <v>44938</v>
          </cell>
          <cell r="AN1965" t="str">
            <v>Yes</v>
          </cell>
          <cell r="AO1965">
            <v>0</v>
          </cell>
          <cell r="AP1965">
            <v>0</v>
          </cell>
          <cell r="AS1965">
            <v>0</v>
          </cell>
          <cell r="AT1965">
            <v>0</v>
          </cell>
          <cell r="AX1965" t="str">
            <v>Yes</v>
          </cell>
          <cell r="AZ1965" t="str">
            <v>Y</v>
          </cell>
          <cell r="BA1965" t="str">
            <v>Yes</v>
          </cell>
        </row>
        <row r="1966">
          <cell r="B1966">
            <v>1816</v>
          </cell>
          <cell r="C1966" t="str">
            <v>C49SZX20230005SQ</v>
          </cell>
          <cell r="D1966" t="str">
            <v>德润通</v>
          </cell>
          <cell r="E1966" t="str">
            <v>YSM20R-2</v>
          </cell>
          <cell r="I1966" t="str">
            <v>L-&gt;R</v>
          </cell>
          <cell r="J1966" t="str">
            <v>No</v>
          </cell>
          <cell r="K1966">
            <v>1</v>
          </cell>
          <cell r="N1966">
            <v>44999</v>
          </cell>
          <cell r="O1966">
            <v>11100595</v>
          </cell>
          <cell r="P1966">
            <v>900000</v>
          </cell>
          <cell r="Q1966">
            <v>45007</v>
          </cell>
          <cell r="R1966" t="str">
            <v>Yes</v>
          </cell>
          <cell r="S1966" t="str">
            <v>C49</v>
          </cell>
          <cell r="T1966" t="str">
            <v>SOUTH</v>
          </cell>
          <cell r="U1966" t="str">
            <v>深圳</v>
          </cell>
          <cell r="V1966" t="str">
            <v>SZ 深圳</v>
          </cell>
          <cell r="W1966" t="str">
            <v>SQ</v>
          </cell>
          <cell r="X1966" t="str">
            <v>RMB</v>
          </cell>
          <cell r="Y1966">
            <v>900000</v>
          </cell>
          <cell r="Z1966">
            <v>1.1299999999999999</v>
          </cell>
          <cell r="AA1966">
            <v>900000</v>
          </cell>
          <cell r="AB1966">
            <v>1.1200000000000001</v>
          </cell>
          <cell r="AC1966">
            <v>892035.39823008864</v>
          </cell>
          <cell r="AD1966">
            <v>107044.24778761063</v>
          </cell>
          <cell r="AE1966">
            <v>0.12</v>
          </cell>
          <cell r="AF1966">
            <v>44937</v>
          </cell>
          <cell r="AG1966" t="str">
            <v>DDP ZH</v>
          </cell>
          <cell r="AK1966">
            <v>0.3</v>
          </cell>
          <cell r="AL1966">
            <v>270000</v>
          </cell>
          <cell r="AM1966">
            <v>44939</v>
          </cell>
          <cell r="AN1966" t="str">
            <v>Yes</v>
          </cell>
          <cell r="AO1966">
            <v>0.65</v>
          </cell>
          <cell r="AP1966">
            <v>585000</v>
          </cell>
          <cell r="AQ1966">
            <v>44994</v>
          </cell>
          <cell r="AR1966">
            <v>44994</v>
          </cell>
          <cell r="AS1966">
            <v>0.05</v>
          </cell>
          <cell r="AT1966">
            <v>45000</v>
          </cell>
          <cell r="AU1966">
            <v>45023</v>
          </cell>
          <cell r="AV1966">
            <v>45023</v>
          </cell>
          <cell r="AX1966" t="str">
            <v>Yes</v>
          </cell>
          <cell r="AZ1966" t="str">
            <v>Y</v>
          </cell>
          <cell r="BA1966" t="str">
            <v>Yes</v>
          </cell>
        </row>
        <row r="1967">
          <cell r="B1967">
            <v>1817</v>
          </cell>
          <cell r="C1967" t="str">
            <v>C49SZX20230007SX</v>
          </cell>
          <cell r="D1967" t="str">
            <v>雷特</v>
          </cell>
          <cell r="E1967" t="str">
            <v>YSM20R-2</v>
          </cell>
          <cell r="I1967" t="str">
            <v>L-&gt;R</v>
          </cell>
          <cell r="J1967" t="str">
            <v>cATS10+MVC+Feeder Carriage</v>
          </cell>
          <cell r="K1967">
            <v>1</v>
          </cell>
          <cell r="N1967">
            <v>45001</v>
          </cell>
          <cell r="O1967">
            <v>11100605</v>
          </cell>
          <cell r="P1967">
            <v>1225000</v>
          </cell>
          <cell r="Q1967">
            <v>45013</v>
          </cell>
          <cell r="R1967" t="str">
            <v>Yes</v>
          </cell>
          <cell r="S1967" t="str">
            <v>C49</v>
          </cell>
          <cell r="T1967" t="str">
            <v>SOUTH</v>
          </cell>
          <cell r="U1967" t="str">
            <v>深圳</v>
          </cell>
          <cell r="V1967" t="str">
            <v>SZ 深圳</v>
          </cell>
          <cell r="W1967" t="str">
            <v>SX</v>
          </cell>
          <cell r="X1967" t="str">
            <v>RMB</v>
          </cell>
          <cell r="Y1967">
            <v>1225000</v>
          </cell>
          <cell r="Z1967">
            <v>1.1299999999999999</v>
          </cell>
          <cell r="AA1967">
            <v>1225000</v>
          </cell>
          <cell r="AB1967">
            <v>1.1200000000000001</v>
          </cell>
          <cell r="AC1967">
            <v>1214159.2920353983</v>
          </cell>
          <cell r="AD1967">
            <v>145699.1150442478</v>
          </cell>
          <cell r="AE1967">
            <v>0.12</v>
          </cell>
          <cell r="AF1967">
            <v>44942</v>
          </cell>
          <cell r="AG1967" t="str">
            <v>DDP ZH</v>
          </cell>
          <cell r="AK1967">
            <v>0.1</v>
          </cell>
          <cell r="AL1967">
            <v>122500</v>
          </cell>
          <cell r="AM1967">
            <v>44929</v>
          </cell>
          <cell r="AN1967" t="str">
            <v>Yes</v>
          </cell>
          <cell r="AO1967">
            <v>0.85</v>
          </cell>
          <cell r="AP1967">
            <v>1041250</v>
          </cell>
          <cell r="AQ1967">
            <v>44995</v>
          </cell>
          <cell r="AR1967">
            <v>44995</v>
          </cell>
          <cell r="AS1967">
            <v>0.05</v>
          </cell>
          <cell r="AT1967">
            <v>61250</v>
          </cell>
          <cell r="AU1967">
            <v>45096</v>
          </cell>
          <cell r="AV1967">
            <v>45096</v>
          </cell>
          <cell r="AX1967" t="str">
            <v>Yes</v>
          </cell>
          <cell r="AZ1967" t="str">
            <v>Y</v>
          </cell>
          <cell r="BA1967" t="str">
            <v>Yes</v>
          </cell>
        </row>
        <row r="1968">
          <cell r="B1968">
            <v>1818</v>
          </cell>
          <cell r="C1968" t="str">
            <v>C49SZX20230007SX</v>
          </cell>
          <cell r="D1968" t="str">
            <v>雷特</v>
          </cell>
          <cell r="E1968" t="str">
            <v>YSM20R-2</v>
          </cell>
          <cell r="I1968" t="str">
            <v>L-&gt;R</v>
          </cell>
          <cell r="J1968" t="str">
            <v>cATS10+MVC+Feeder Carriage</v>
          </cell>
          <cell r="K1968">
            <v>1</v>
          </cell>
          <cell r="N1968">
            <v>45001</v>
          </cell>
          <cell r="O1968">
            <v>11100605</v>
          </cell>
          <cell r="P1968">
            <v>1225000</v>
          </cell>
          <cell r="Q1968">
            <v>45013</v>
          </cell>
          <cell r="R1968" t="str">
            <v>Yes</v>
          </cell>
          <cell r="S1968" t="str">
            <v>C49</v>
          </cell>
          <cell r="T1968" t="str">
            <v>SOUTH</v>
          </cell>
          <cell r="U1968" t="str">
            <v>深圳</v>
          </cell>
          <cell r="V1968" t="str">
            <v>SZ 深圳</v>
          </cell>
          <cell r="W1968" t="str">
            <v>SX</v>
          </cell>
          <cell r="X1968" t="str">
            <v>RMB</v>
          </cell>
          <cell r="Y1968">
            <v>1225000</v>
          </cell>
          <cell r="Z1968">
            <v>1.1299999999999999</v>
          </cell>
          <cell r="AA1968">
            <v>1225000</v>
          </cell>
          <cell r="AB1968">
            <v>1.1200000000000001</v>
          </cell>
          <cell r="AC1968">
            <v>1214159.2920353983</v>
          </cell>
          <cell r="AD1968">
            <v>145699.1150442478</v>
          </cell>
          <cell r="AE1968">
            <v>0.12</v>
          </cell>
          <cell r="AF1968">
            <v>44942</v>
          </cell>
          <cell r="AG1968" t="str">
            <v>DDP ZH</v>
          </cell>
          <cell r="AK1968">
            <v>0.1</v>
          </cell>
          <cell r="AL1968">
            <v>122500</v>
          </cell>
          <cell r="AM1968">
            <v>44929</v>
          </cell>
          <cell r="AN1968" t="str">
            <v>Yes</v>
          </cell>
          <cell r="AO1968">
            <v>0.85</v>
          </cell>
          <cell r="AP1968">
            <v>1041250</v>
          </cell>
          <cell r="AQ1968">
            <v>44995</v>
          </cell>
          <cell r="AR1968">
            <v>44995</v>
          </cell>
          <cell r="AS1968">
            <v>0.05</v>
          </cell>
          <cell r="AT1968">
            <v>61250</v>
          </cell>
          <cell r="AU1968">
            <v>45096</v>
          </cell>
          <cell r="AV1968">
            <v>45096</v>
          </cell>
          <cell r="AX1968" t="str">
            <v>Yes</v>
          </cell>
          <cell r="AZ1968" t="str">
            <v>Y</v>
          </cell>
          <cell r="BA1968" t="str">
            <v>Yes</v>
          </cell>
        </row>
        <row r="1969">
          <cell r="B1969">
            <v>1819</v>
          </cell>
          <cell r="C1969" t="str">
            <v>C49SZX20230007SX</v>
          </cell>
          <cell r="D1969" t="str">
            <v>雷特</v>
          </cell>
          <cell r="E1969" t="str">
            <v>YSM20R-2</v>
          </cell>
          <cell r="I1969" t="str">
            <v>L-&gt;R</v>
          </cell>
          <cell r="J1969" t="str">
            <v>Feeder Carriage</v>
          </cell>
          <cell r="K1969">
            <v>1</v>
          </cell>
          <cell r="N1969">
            <v>45001</v>
          </cell>
          <cell r="O1969">
            <v>11100605</v>
          </cell>
          <cell r="P1969">
            <v>1225000</v>
          </cell>
          <cell r="Q1969">
            <v>45013</v>
          </cell>
          <cell r="R1969" t="str">
            <v>Yes</v>
          </cell>
          <cell r="S1969" t="str">
            <v>C49</v>
          </cell>
          <cell r="T1969" t="str">
            <v>SOUTH</v>
          </cell>
          <cell r="U1969" t="str">
            <v>深圳</v>
          </cell>
          <cell r="V1969" t="str">
            <v>SZ 深圳</v>
          </cell>
          <cell r="W1969" t="str">
            <v>SX</v>
          </cell>
          <cell r="X1969" t="str">
            <v>RMB</v>
          </cell>
          <cell r="Y1969">
            <v>1225000</v>
          </cell>
          <cell r="Z1969">
            <v>1.1299999999999999</v>
          </cell>
          <cell r="AA1969">
            <v>1225000</v>
          </cell>
          <cell r="AB1969">
            <v>1.1200000000000001</v>
          </cell>
          <cell r="AC1969">
            <v>1214159.2920353983</v>
          </cell>
          <cell r="AD1969">
            <v>145699.1150442478</v>
          </cell>
          <cell r="AE1969">
            <v>0.12</v>
          </cell>
          <cell r="AF1969">
            <v>44942</v>
          </cell>
          <cell r="AG1969" t="str">
            <v>DDP ZH</v>
          </cell>
          <cell r="AK1969">
            <v>0.1</v>
          </cell>
          <cell r="AL1969">
            <v>122500</v>
          </cell>
          <cell r="AM1969">
            <v>44929</v>
          </cell>
          <cell r="AN1969" t="str">
            <v>Yes</v>
          </cell>
          <cell r="AO1969">
            <v>0.85</v>
          </cell>
          <cell r="AP1969">
            <v>1041250</v>
          </cell>
          <cell r="AQ1969">
            <v>44995</v>
          </cell>
          <cell r="AR1969">
            <v>44995</v>
          </cell>
          <cell r="AS1969">
            <v>0.05</v>
          </cell>
          <cell r="AT1969">
            <v>61250</v>
          </cell>
          <cell r="AU1969">
            <v>45096</v>
          </cell>
          <cell r="AV1969">
            <v>45096</v>
          </cell>
          <cell r="AX1969" t="str">
            <v>Yes</v>
          </cell>
          <cell r="AZ1969" t="str">
            <v>Y</v>
          </cell>
          <cell r="BA1969" t="str">
            <v>Yes</v>
          </cell>
        </row>
        <row r="1970">
          <cell r="B1970">
            <v>1820</v>
          </cell>
          <cell r="C1970" t="str">
            <v>C49SZX20230007SX</v>
          </cell>
          <cell r="D1970" t="str">
            <v>雷特</v>
          </cell>
          <cell r="E1970" t="str">
            <v>YSM20R-2</v>
          </cell>
          <cell r="I1970" t="str">
            <v>L-&gt;R</v>
          </cell>
          <cell r="J1970" t="str">
            <v>Feeder Carriage</v>
          </cell>
          <cell r="K1970">
            <v>1</v>
          </cell>
          <cell r="N1970">
            <v>45028</v>
          </cell>
          <cell r="O1970">
            <v>1110612</v>
          </cell>
          <cell r="P1970">
            <v>1225000</v>
          </cell>
          <cell r="Q1970">
            <v>45026</v>
          </cell>
          <cell r="R1970" t="str">
            <v>Yes</v>
          </cell>
          <cell r="S1970" t="str">
            <v>C49</v>
          </cell>
          <cell r="T1970" t="str">
            <v>SOUTH</v>
          </cell>
          <cell r="U1970" t="str">
            <v>深圳</v>
          </cell>
          <cell r="V1970" t="str">
            <v>SZ 深圳</v>
          </cell>
          <cell r="W1970" t="str">
            <v>SX</v>
          </cell>
          <cell r="X1970" t="str">
            <v>RMB</v>
          </cell>
          <cell r="Y1970">
            <v>1225000</v>
          </cell>
          <cell r="Z1970">
            <v>1.1299999999999999</v>
          </cell>
          <cell r="AA1970">
            <v>1225000</v>
          </cell>
          <cell r="AB1970">
            <v>1.1200000000000001</v>
          </cell>
          <cell r="AC1970">
            <v>1214159.2920353983</v>
          </cell>
          <cell r="AD1970">
            <v>145699.1150442478</v>
          </cell>
          <cell r="AE1970">
            <v>0.12</v>
          </cell>
          <cell r="AF1970">
            <v>44942</v>
          </cell>
          <cell r="AG1970" t="str">
            <v>DDP ZH</v>
          </cell>
          <cell r="AK1970">
            <v>0.1</v>
          </cell>
          <cell r="AL1970">
            <v>122500</v>
          </cell>
          <cell r="AM1970">
            <v>44929</v>
          </cell>
          <cell r="AN1970" t="str">
            <v>Yes</v>
          </cell>
          <cell r="AO1970">
            <v>0.85</v>
          </cell>
          <cell r="AP1970">
            <v>1041250</v>
          </cell>
          <cell r="AQ1970">
            <v>45028</v>
          </cell>
          <cell r="AR1970">
            <v>45028</v>
          </cell>
          <cell r="AS1970">
            <v>0.05</v>
          </cell>
          <cell r="AT1970">
            <v>61250</v>
          </cell>
          <cell r="AU1970">
            <v>45096</v>
          </cell>
          <cell r="AV1970">
            <v>45096</v>
          </cell>
          <cell r="AX1970" t="str">
            <v>Yes</v>
          </cell>
          <cell r="AZ1970" t="str">
            <v>Y</v>
          </cell>
          <cell r="BA1970" t="str">
            <v>Yes</v>
          </cell>
        </row>
        <row r="1971">
          <cell r="B1971">
            <v>1821</v>
          </cell>
          <cell r="C1971" t="str">
            <v>C49SZX202300011SX</v>
          </cell>
          <cell r="D1971" t="str">
            <v>益田科技</v>
          </cell>
          <cell r="E1971" t="str">
            <v>YSM10</v>
          </cell>
          <cell r="I1971" t="str">
            <v>L-&gt;R</v>
          </cell>
          <cell r="J1971" t="str">
            <v>No</v>
          </cell>
          <cell r="K1971">
            <v>1</v>
          </cell>
          <cell r="N1971">
            <v>44980</v>
          </cell>
          <cell r="O1971">
            <v>11100585</v>
          </cell>
          <cell r="P1971">
            <v>500000</v>
          </cell>
          <cell r="Q1971">
            <v>44981</v>
          </cell>
          <cell r="R1971" t="str">
            <v>No</v>
          </cell>
          <cell r="S1971" t="str">
            <v>C49</v>
          </cell>
          <cell r="T1971" t="str">
            <v>SOUTH</v>
          </cell>
          <cell r="U1971" t="str">
            <v>深圳</v>
          </cell>
          <cell r="V1971" t="str">
            <v>SZ 深圳</v>
          </cell>
          <cell r="W1971" t="str">
            <v>SX</v>
          </cell>
          <cell r="X1971" t="str">
            <v>RMB</v>
          </cell>
          <cell r="Y1971">
            <v>500000</v>
          </cell>
          <cell r="Z1971">
            <v>1.1299999999999999</v>
          </cell>
          <cell r="AA1971">
            <v>500000</v>
          </cell>
          <cell r="AB1971">
            <v>1.1599999999999999</v>
          </cell>
          <cell r="AC1971">
            <v>513274.33628318587</v>
          </cell>
          <cell r="AD1971">
            <v>61592.920353982299</v>
          </cell>
          <cell r="AE1971">
            <v>0.12</v>
          </cell>
          <cell r="AF1971">
            <v>44960</v>
          </cell>
          <cell r="AG1971" t="str">
            <v>DDP SZ</v>
          </cell>
          <cell r="AK1971">
            <v>0.1</v>
          </cell>
          <cell r="AL1971">
            <v>50000</v>
          </cell>
          <cell r="AM1971">
            <v>44967</v>
          </cell>
          <cell r="AN1971" t="str">
            <v>Yes</v>
          </cell>
          <cell r="AO1971">
            <v>0.9</v>
          </cell>
          <cell r="AP1971">
            <v>450000</v>
          </cell>
          <cell r="AQ1971">
            <v>44979</v>
          </cell>
          <cell r="AR1971">
            <v>44979</v>
          </cell>
          <cell r="AS1971">
            <v>0</v>
          </cell>
          <cell r="AT1971">
            <v>0</v>
          </cell>
          <cell r="AX1971" t="str">
            <v>Yes</v>
          </cell>
          <cell r="AZ1971" t="str">
            <v>Y</v>
          </cell>
          <cell r="BA1971" t="str">
            <v>Yes</v>
          </cell>
        </row>
        <row r="1972">
          <cell r="B1972">
            <v>1822</v>
          </cell>
          <cell r="C1972" t="str">
            <v>C49SZX202300011SX</v>
          </cell>
          <cell r="D1972" t="str">
            <v>益田科技</v>
          </cell>
          <cell r="E1972" t="str">
            <v>YSM10</v>
          </cell>
          <cell r="I1972" t="str">
            <v>L-&gt;R</v>
          </cell>
          <cell r="J1972" t="str">
            <v>No</v>
          </cell>
          <cell r="K1972">
            <v>1</v>
          </cell>
          <cell r="N1972">
            <v>44980</v>
          </cell>
          <cell r="O1972">
            <v>11100585</v>
          </cell>
          <cell r="P1972">
            <v>500000</v>
          </cell>
          <cell r="Q1972">
            <v>44981</v>
          </cell>
          <cell r="R1972" t="str">
            <v>No</v>
          </cell>
          <cell r="S1972" t="str">
            <v>C49</v>
          </cell>
          <cell r="T1972" t="str">
            <v>SOUTH</v>
          </cell>
          <cell r="U1972" t="str">
            <v>深圳</v>
          </cell>
          <cell r="V1972" t="str">
            <v>SZ 深圳</v>
          </cell>
          <cell r="W1972" t="str">
            <v>SX</v>
          </cell>
          <cell r="X1972" t="str">
            <v>RMB</v>
          </cell>
          <cell r="Y1972">
            <v>500000</v>
          </cell>
          <cell r="Z1972">
            <v>1.1299999999999999</v>
          </cell>
          <cell r="AA1972">
            <v>500000</v>
          </cell>
          <cell r="AB1972">
            <v>1.1599999999999999</v>
          </cell>
          <cell r="AC1972">
            <v>513274.33628318587</v>
          </cell>
          <cell r="AD1972">
            <v>61592.920353982299</v>
          </cell>
          <cell r="AE1972">
            <v>0.12</v>
          </cell>
          <cell r="AF1972">
            <v>44960</v>
          </cell>
          <cell r="AG1972" t="str">
            <v>DDP SZ</v>
          </cell>
          <cell r="AK1972">
            <v>0.1</v>
          </cell>
          <cell r="AL1972">
            <v>50000</v>
          </cell>
          <cell r="AM1972">
            <v>44967</v>
          </cell>
          <cell r="AN1972" t="str">
            <v>Yes</v>
          </cell>
          <cell r="AO1972">
            <v>0.9</v>
          </cell>
          <cell r="AP1972">
            <v>450000</v>
          </cell>
          <cell r="AQ1972">
            <v>44979</v>
          </cell>
          <cell r="AR1972">
            <v>44979</v>
          </cell>
          <cell r="AS1972">
            <v>0</v>
          </cell>
          <cell r="AT1972">
            <v>0</v>
          </cell>
          <cell r="AX1972" t="str">
            <v>Yes</v>
          </cell>
          <cell r="AZ1972" t="str">
            <v>Y</v>
          </cell>
          <cell r="BA1972" t="str">
            <v>Yes</v>
          </cell>
        </row>
        <row r="1973">
          <cell r="B1973">
            <v>1823</v>
          </cell>
          <cell r="C1973" t="str">
            <v>C49SZX202300011SX</v>
          </cell>
          <cell r="D1973" t="str">
            <v>益田科技</v>
          </cell>
          <cell r="E1973" t="str">
            <v>YSM20R-2</v>
          </cell>
          <cell r="I1973" t="str">
            <v>L-&gt;R</v>
          </cell>
          <cell r="J1973" t="str">
            <v>No</v>
          </cell>
          <cell r="K1973">
            <v>1</v>
          </cell>
          <cell r="N1973">
            <v>44980</v>
          </cell>
          <cell r="O1973">
            <v>11100585</v>
          </cell>
          <cell r="P1973">
            <v>746812.5</v>
          </cell>
          <cell r="Q1973">
            <v>44981</v>
          </cell>
          <cell r="R1973" t="str">
            <v>No</v>
          </cell>
          <cell r="S1973" t="str">
            <v>C49</v>
          </cell>
          <cell r="T1973" t="str">
            <v>SOUTH</v>
          </cell>
          <cell r="U1973" t="str">
            <v>深圳</v>
          </cell>
          <cell r="V1973" t="str">
            <v>SZ 深圳</v>
          </cell>
          <cell r="W1973" t="str">
            <v>SX</v>
          </cell>
          <cell r="X1973" t="str">
            <v>RMB</v>
          </cell>
          <cell r="Y1973">
            <v>746812.5</v>
          </cell>
          <cell r="Z1973">
            <v>1.1299999999999999</v>
          </cell>
          <cell r="AA1973">
            <v>746812.5</v>
          </cell>
          <cell r="AB1973">
            <v>1.1599999999999999</v>
          </cell>
          <cell r="AC1973">
            <v>766639.38053097343</v>
          </cell>
          <cell r="AD1973">
            <v>91996.725663716803</v>
          </cell>
          <cell r="AE1973">
            <v>0.12</v>
          </cell>
          <cell r="AF1973">
            <v>44960</v>
          </cell>
          <cell r="AG1973" t="str">
            <v>DDP SZ</v>
          </cell>
          <cell r="AK1973">
            <v>0.1</v>
          </cell>
          <cell r="AL1973">
            <v>74681.25</v>
          </cell>
          <cell r="AM1973">
            <v>44967</v>
          </cell>
          <cell r="AN1973" t="str">
            <v>Yes</v>
          </cell>
          <cell r="AO1973">
            <v>0.9</v>
          </cell>
          <cell r="AP1973">
            <v>672131.25</v>
          </cell>
          <cell r="AQ1973">
            <v>44979</v>
          </cell>
          <cell r="AR1973">
            <v>44979</v>
          </cell>
          <cell r="AS1973">
            <v>0</v>
          </cell>
          <cell r="AT1973">
            <v>0</v>
          </cell>
          <cell r="AX1973" t="str">
            <v>Yes</v>
          </cell>
          <cell r="AZ1973" t="str">
            <v>Y</v>
          </cell>
          <cell r="BA1973" t="str">
            <v>Yes</v>
          </cell>
        </row>
        <row r="1974">
          <cell r="B1974">
            <v>1824</v>
          </cell>
          <cell r="C1974" t="str">
            <v>C49SZX202300011SX</v>
          </cell>
          <cell r="D1974" t="str">
            <v>益田科技</v>
          </cell>
          <cell r="E1974" t="str">
            <v>YSM20R-2</v>
          </cell>
          <cell r="I1974" t="str">
            <v>L-&gt;R</v>
          </cell>
          <cell r="J1974" t="str">
            <v>No</v>
          </cell>
          <cell r="K1974">
            <v>1</v>
          </cell>
          <cell r="N1974">
            <v>44980</v>
          </cell>
          <cell r="O1974">
            <v>11100585</v>
          </cell>
          <cell r="P1974">
            <v>746812.5</v>
          </cell>
          <cell r="Q1974">
            <v>44981</v>
          </cell>
          <cell r="R1974" t="str">
            <v>No</v>
          </cell>
          <cell r="S1974" t="str">
            <v>C49</v>
          </cell>
          <cell r="T1974" t="str">
            <v>SOUTH</v>
          </cell>
          <cell r="U1974" t="str">
            <v>深圳</v>
          </cell>
          <cell r="V1974" t="str">
            <v>SZ 深圳</v>
          </cell>
          <cell r="W1974" t="str">
            <v>SX</v>
          </cell>
          <cell r="X1974" t="str">
            <v>RMB</v>
          </cell>
          <cell r="Y1974">
            <v>746812.5</v>
          </cell>
          <cell r="Z1974">
            <v>1.1299999999999999</v>
          </cell>
          <cell r="AA1974">
            <v>746812.5</v>
          </cell>
          <cell r="AB1974">
            <v>1.1599999999999999</v>
          </cell>
          <cell r="AC1974">
            <v>766639.38053097343</v>
          </cell>
          <cell r="AD1974">
            <v>91996.725663716803</v>
          </cell>
          <cell r="AE1974">
            <v>0.12</v>
          </cell>
          <cell r="AF1974">
            <v>44960</v>
          </cell>
          <cell r="AG1974" t="str">
            <v>DDP SZ</v>
          </cell>
          <cell r="AK1974">
            <v>0.1</v>
          </cell>
          <cell r="AL1974">
            <v>74681.25</v>
          </cell>
          <cell r="AM1974">
            <v>44967</v>
          </cell>
          <cell r="AN1974" t="str">
            <v>Yes</v>
          </cell>
          <cell r="AO1974">
            <v>0.9</v>
          </cell>
          <cell r="AP1974">
            <v>672131.25</v>
          </cell>
          <cell r="AQ1974">
            <v>44979</v>
          </cell>
          <cell r="AR1974">
            <v>44979</v>
          </cell>
          <cell r="AS1974">
            <v>0</v>
          </cell>
          <cell r="AT1974">
            <v>0</v>
          </cell>
          <cell r="AX1974" t="str">
            <v>Yes</v>
          </cell>
          <cell r="AZ1974" t="str">
            <v>Y</v>
          </cell>
          <cell r="BA1974" t="str">
            <v>Yes</v>
          </cell>
        </row>
        <row r="1975">
          <cell r="B1975">
            <v>1825</v>
          </cell>
          <cell r="C1975" t="str">
            <v>C49SZX202300011SX</v>
          </cell>
          <cell r="D1975" t="str">
            <v>益田科技</v>
          </cell>
          <cell r="E1975" t="str">
            <v>YSM20R-2</v>
          </cell>
          <cell r="I1975" t="str">
            <v>L-&gt;R</v>
          </cell>
          <cell r="J1975" t="str">
            <v>No</v>
          </cell>
          <cell r="K1975">
            <v>1</v>
          </cell>
          <cell r="N1975">
            <v>44980</v>
          </cell>
          <cell r="O1975">
            <v>11100585</v>
          </cell>
          <cell r="P1975">
            <v>746812.5</v>
          </cell>
          <cell r="Q1975">
            <v>44981</v>
          </cell>
          <cell r="R1975" t="str">
            <v>No</v>
          </cell>
          <cell r="S1975" t="str">
            <v>C49</v>
          </cell>
          <cell r="T1975" t="str">
            <v>SOUTH</v>
          </cell>
          <cell r="U1975" t="str">
            <v>深圳</v>
          </cell>
          <cell r="V1975" t="str">
            <v>SZ 深圳</v>
          </cell>
          <cell r="W1975" t="str">
            <v>SX</v>
          </cell>
          <cell r="X1975" t="str">
            <v>RMB</v>
          </cell>
          <cell r="Y1975">
            <v>746812.5</v>
          </cell>
          <cell r="Z1975">
            <v>1.1299999999999999</v>
          </cell>
          <cell r="AA1975">
            <v>746812.5</v>
          </cell>
          <cell r="AB1975">
            <v>1.1599999999999999</v>
          </cell>
          <cell r="AC1975">
            <v>766639.38053097343</v>
          </cell>
          <cell r="AD1975">
            <v>91996.725663716803</v>
          </cell>
          <cell r="AE1975">
            <v>0.12</v>
          </cell>
          <cell r="AF1975">
            <v>44960</v>
          </cell>
          <cell r="AG1975" t="str">
            <v>DDP SZ</v>
          </cell>
          <cell r="AK1975">
            <v>0.1</v>
          </cell>
          <cell r="AL1975">
            <v>74681.25</v>
          </cell>
          <cell r="AM1975">
            <v>44967</v>
          </cell>
          <cell r="AN1975" t="str">
            <v>Yes</v>
          </cell>
          <cell r="AO1975">
            <v>0.9</v>
          </cell>
          <cell r="AP1975">
            <v>672131.25</v>
          </cell>
          <cell r="AQ1975">
            <v>44979</v>
          </cell>
          <cell r="AR1975">
            <v>44979</v>
          </cell>
          <cell r="AS1975">
            <v>0</v>
          </cell>
          <cell r="AT1975">
            <v>0</v>
          </cell>
          <cell r="AX1975" t="str">
            <v>Yes</v>
          </cell>
          <cell r="AZ1975" t="str">
            <v>Y</v>
          </cell>
          <cell r="BA1975" t="str">
            <v>Yes</v>
          </cell>
        </row>
        <row r="1976">
          <cell r="B1976">
            <v>1826</v>
          </cell>
          <cell r="C1976" t="str">
            <v>C49SZX202300011SX</v>
          </cell>
          <cell r="D1976" t="str">
            <v>益田科技</v>
          </cell>
          <cell r="E1976" t="str">
            <v>YSM20R-2</v>
          </cell>
          <cell r="I1976" t="str">
            <v>L-&gt;R</v>
          </cell>
          <cell r="J1976" t="str">
            <v>No</v>
          </cell>
          <cell r="K1976">
            <v>1</v>
          </cell>
          <cell r="N1976">
            <v>44980</v>
          </cell>
          <cell r="O1976">
            <v>11100585</v>
          </cell>
          <cell r="P1976">
            <v>746812.5</v>
          </cell>
          <cell r="Q1976">
            <v>44981</v>
          </cell>
          <cell r="R1976" t="str">
            <v>No</v>
          </cell>
          <cell r="S1976" t="str">
            <v>C49</v>
          </cell>
          <cell r="T1976" t="str">
            <v>SOUTH</v>
          </cell>
          <cell r="U1976" t="str">
            <v>深圳</v>
          </cell>
          <cell r="V1976" t="str">
            <v>SZ 深圳</v>
          </cell>
          <cell r="W1976" t="str">
            <v>SX</v>
          </cell>
          <cell r="X1976" t="str">
            <v>RMB</v>
          </cell>
          <cell r="Y1976">
            <v>746812.5</v>
          </cell>
          <cell r="Z1976">
            <v>1.1299999999999999</v>
          </cell>
          <cell r="AA1976">
            <v>746812.5</v>
          </cell>
          <cell r="AB1976">
            <v>1.1599999999999999</v>
          </cell>
          <cell r="AC1976">
            <v>766639.38053097343</v>
          </cell>
          <cell r="AD1976">
            <v>91996.725663716803</v>
          </cell>
          <cell r="AE1976">
            <v>0.12</v>
          </cell>
          <cell r="AF1976">
            <v>44960</v>
          </cell>
          <cell r="AG1976" t="str">
            <v>DDP SZ</v>
          </cell>
          <cell r="AK1976">
            <v>0.1</v>
          </cell>
          <cell r="AL1976">
            <v>74681.25</v>
          </cell>
          <cell r="AM1976">
            <v>44967</v>
          </cell>
          <cell r="AN1976" t="str">
            <v>Yes</v>
          </cell>
          <cell r="AO1976">
            <v>0.9</v>
          </cell>
          <cell r="AP1976">
            <v>672131.25</v>
          </cell>
          <cell r="AQ1976">
            <v>44979</v>
          </cell>
          <cell r="AR1976">
            <v>44979</v>
          </cell>
          <cell r="AS1976">
            <v>0</v>
          </cell>
          <cell r="AT1976">
            <v>0</v>
          </cell>
          <cell r="AX1976" t="str">
            <v>Yes</v>
          </cell>
          <cell r="AZ1976" t="str">
            <v>Y</v>
          </cell>
          <cell r="BA1976" t="str">
            <v>Yes</v>
          </cell>
        </row>
        <row r="1977">
          <cell r="B1977">
            <v>1827</v>
          </cell>
          <cell r="C1977" t="str">
            <v>C49SZX202300011SX</v>
          </cell>
          <cell r="D1977" t="str">
            <v>益田科技</v>
          </cell>
          <cell r="E1977" t="str">
            <v>YSM20R-2</v>
          </cell>
          <cell r="I1977" t="str">
            <v>L-&gt;R</v>
          </cell>
          <cell r="J1977" t="str">
            <v>No</v>
          </cell>
          <cell r="K1977">
            <v>1</v>
          </cell>
          <cell r="N1977">
            <v>44980</v>
          </cell>
          <cell r="O1977">
            <v>11100585</v>
          </cell>
          <cell r="P1977">
            <v>746812.5</v>
          </cell>
          <cell r="Q1977">
            <v>44981</v>
          </cell>
          <cell r="R1977" t="str">
            <v>No</v>
          </cell>
          <cell r="S1977" t="str">
            <v>C49</v>
          </cell>
          <cell r="T1977" t="str">
            <v>SOUTH</v>
          </cell>
          <cell r="U1977" t="str">
            <v>深圳</v>
          </cell>
          <cell r="V1977" t="str">
            <v>SZ 深圳</v>
          </cell>
          <cell r="W1977" t="str">
            <v>SX</v>
          </cell>
          <cell r="X1977" t="str">
            <v>RMB</v>
          </cell>
          <cell r="Y1977">
            <v>746812.5</v>
          </cell>
          <cell r="Z1977">
            <v>1.1299999999999999</v>
          </cell>
          <cell r="AA1977">
            <v>746812.5</v>
          </cell>
          <cell r="AB1977">
            <v>1.1599999999999999</v>
          </cell>
          <cell r="AC1977">
            <v>766639.38053097343</v>
          </cell>
          <cell r="AD1977">
            <v>91996.725663716803</v>
          </cell>
          <cell r="AE1977">
            <v>0.12</v>
          </cell>
          <cell r="AF1977">
            <v>44960</v>
          </cell>
          <cell r="AG1977" t="str">
            <v>DDP SZ</v>
          </cell>
          <cell r="AK1977">
            <v>0.1</v>
          </cell>
          <cell r="AL1977">
            <v>74681.25</v>
          </cell>
          <cell r="AM1977">
            <v>44967</v>
          </cell>
          <cell r="AN1977" t="str">
            <v>Yes</v>
          </cell>
          <cell r="AO1977">
            <v>0.9</v>
          </cell>
          <cell r="AP1977">
            <v>672131.25</v>
          </cell>
          <cell r="AQ1977">
            <v>44979</v>
          </cell>
          <cell r="AR1977">
            <v>44979</v>
          </cell>
          <cell r="AS1977">
            <v>0</v>
          </cell>
          <cell r="AT1977">
            <v>0</v>
          </cell>
          <cell r="AX1977" t="str">
            <v>Yes</v>
          </cell>
          <cell r="AZ1977" t="str">
            <v>Y</v>
          </cell>
          <cell r="BA1977" t="str">
            <v>Yes</v>
          </cell>
        </row>
        <row r="1978">
          <cell r="B1978">
            <v>1828</v>
          </cell>
          <cell r="C1978" t="str">
            <v>C49SZX202300011SX</v>
          </cell>
          <cell r="D1978" t="str">
            <v>益田科技</v>
          </cell>
          <cell r="E1978" t="str">
            <v>YSM20R-2</v>
          </cell>
          <cell r="I1978" t="str">
            <v>L-&gt;R</v>
          </cell>
          <cell r="J1978" t="str">
            <v>No</v>
          </cell>
          <cell r="K1978">
            <v>1</v>
          </cell>
          <cell r="N1978">
            <v>44980</v>
          </cell>
          <cell r="O1978">
            <v>11100585</v>
          </cell>
          <cell r="P1978">
            <v>746812.5</v>
          </cell>
          <cell r="Q1978">
            <v>44981</v>
          </cell>
          <cell r="R1978" t="str">
            <v>No</v>
          </cell>
          <cell r="S1978" t="str">
            <v>C49</v>
          </cell>
          <cell r="T1978" t="str">
            <v>SOUTH</v>
          </cell>
          <cell r="U1978" t="str">
            <v>深圳</v>
          </cell>
          <cell r="V1978" t="str">
            <v>SZ 深圳</v>
          </cell>
          <cell r="W1978" t="str">
            <v>SX</v>
          </cell>
          <cell r="X1978" t="str">
            <v>RMB</v>
          </cell>
          <cell r="Y1978">
            <v>746812.5</v>
          </cell>
          <cell r="Z1978">
            <v>1.1299999999999999</v>
          </cell>
          <cell r="AA1978">
            <v>746812.5</v>
          </cell>
          <cell r="AB1978">
            <v>1.1599999999999999</v>
          </cell>
          <cell r="AC1978">
            <v>766639.38053097343</v>
          </cell>
          <cell r="AD1978">
            <v>91996.725663716803</v>
          </cell>
          <cell r="AE1978">
            <v>0.12</v>
          </cell>
          <cell r="AF1978">
            <v>44960</v>
          </cell>
          <cell r="AG1978" t="str">
            <v>DDP SZ</v>
          </cell>
          <cell r="AK1978">
            <v>0.1</v>
          </cell>
          <cell r="AL1978">
            <v>74681.25</v>
          </cell>
          <cell r="AM1978">
            <v>44967</v>
          </cell>
          <cell r="AN1978" t="str">
            <v>Yes</v>
          </cell>
          <cell r="AO1978">
            <v>0.9</v>
          </cell>
          <cell r="AP1978">
            <v>672131.25</v>
          </cell>
          <cell r="AQ1978">
            <v>44979</v>
          </cell>
          <cell r="AR1978">
            <v>44979</v>
          </cell>
          <cell r="AS1978">
            <v>0</v>
          </cell>
          <cell r="AT1978">
            <v>0</v>
          </cell>
          <cell r="AX1978" t="str">
            <v>Yes</v>
          </cell>
          <cell r="AZ1978" t="str">
            <v>Y</v>
          </cell>
          <cell r="BA1978" t="str">
            <v>Yes</v>
          </cell>
        </row>
        <row r="1979">
          <cell r="B1979">
            <v>1829</v>
          </cell>
          <cell r="C1979" t="str">
            <v>C49SZX202300011SX</v>
          </cell>
          <cell r="D1979" t="str">
            <v>益田科技</v>
          </cell>
          <cell r="E1979" t="str">
            <v>YSM20R-2</v>
          </cell>
          <cell r="I1979" t="str">
            <v>L-&gt;R</v>
          </cell>
          <cell r="J1979" t="str">
            <v>No</v>
          </cell>
          <cell r="K1979">
            <v>1</v>
          </cell>
          <cell r="N1979">
            <v>44980</v>
          </cell>
          <cell r="O1979">
            <v>11100585</v>
          </cell>
          <cell r="P1979">
            <v>746812.5</v>
          </cell>
          <cell r="Q1979">
            <v>44981</v>
          </cell>
          <cell r="R1979" t="str">
            <v>No</v>
          </cell>
          <cell r="S1979" t="str">
            <v>C49</v>
          </cell>
          <cell r="T1979" t="str">
            <v>SOUTH</v>
          </cell>
          <cell r="U1979" t="str">
            <v>深圳</v>
          </cell>
          <cell r="V1979" t="str">
            <v>SZ 深圳</v>
          </cell>
          <cell r="W1979" t="str">
            <v>SX</v>
          </cell>
          <cell r="X1979" t="str">
            <v>RMB</v>
          </cell>
          <cell r="Y1979">
            <v>746812.5</v>
          </cell>
          <cell r="Z1979">
            <v>1.1299999999999999</v>
          </cell>
          <cell r="AA1979">
            <v>746812.5</v>
          </cell>
          <cell r="AB1979">
            <v>1.1599999999999999</v>
          </cell>
          <cell r="AC1979">
            <v>766639.38053097343</v>
          </cell>
          <cell r="AD1979">
            <v>91996.725663716803</v>
          </cell>
          <cell r="AE1979">
            <v>0.12</v>
          </cell>
          <cell r="AF1979">
            <v>44960</v>
          </cell>
          <cell r="AG1979" t="str">
            <v>DDP SZ</v>
          </cell>
          <cell r="AK1979">
            <v>0.1</v>
          </cell>
          <cell r="AL1979">
            <v>74681.25</v>
          </cell>
          <cell r="AM1979">
            <v>44967</v>
          </cell>
          <cell r="AN1979" t="str">
            <v>Yes</v>
          </cell>
          <cell r="AO1979">
            <v>0.9</v>
          </cell>
          <cell r="AP1979">
            <v>672131.25</v>
          </cell>
          <cell r="AQ1979">
            <v>44979</v>
          </cell>
          <cell r="AR1979">
            <v>44979</v>
          </cell>
          <cell r="AS1979">
            <v>0</v>
          </cell>
          <cell r="AT1979">
            <v>0</v>
          </cell>
          <cell r="AX1979" t="str">
            <v>Yes</v>
          </cell>
          <cell r="AZ1979" t="str">
            <v>Y</v>
          </cell>
          <cell r="BA1979" t="str">
            <v>Yes</v>
          </cell>
        </row>
        <row r="1980">
          <cell r="B1980">
            <v>1830</v>
          </cell>
          <cell r="C1980" t="str">
            <v>C49SZX202300011SX</v>
          </cell>
          <cell r="D1980" t="str">
            <v>益田科技</v>
          </cell>
          <cell r="E1980" t="str">
            <v>YSM20R-2</v>
          </cell>
          <cell r="I1980" t="str">
            <v>L-&gt;R</v>
          </cell>
          <cell r="J1980" t="str">
            <v>No</v>
          </cell>
          <cell r="K1980">
            <v>1</v>
          </cell>
          <cell r="N1980">
            <v>44980</v>
          </cell>
          <cell r="O1980">
            <v>11100585</v>
          </cell>
          <cell r="P1980">
            <v>746812.5</v>
          </cell>
          <cell r="Q1980">
            <v>44981</v>
          </cell>
          <cell r="R1980" t="str">
            <v>No</v>
          </cell>
          <cell r="S1980" t="str">
            <v>C49</v>
          </cell>
          <cell r="T1980" t="str">
            <v>SOUTH</v>
          </cell>
          <cell r="U1980" t="str">
            <v>深圳</v>
          </cell>
          <cell r="V1980" t="str">
            <v>SZ 深圳</v>
          </cell>
          <cell r="W1980" t="str">
            <v>SX</v>
          </cell>
          <cell r="X1980" t="str">
            <v>RMB</v>
          </cell>
          <cell r="Y1980">
            <v>746812.5</v>
          </cell>
          <cell r="Z1980">
            <v>1.1299999999999999</v>
          </cell>
          <cell r="AA1980">
            <v>746812.5</v>
          </cell>
          <cell r="AB1980">
            <v>1.1599999999999999</v>
          </cell>
          <cell r="AC1980">
            <v>766639.38053097343</v>
          </cell>
          <cell r="AD1980">
            <v>91996.725663716803</v>
          </cell>
          <cell r="AE1980">
            <v>0.12</v>
          </cell>
          <cell r="AF1980">
            <v>44960</v>
          </cell>
          <cell r="AG1980" t="str">
            <v>DDP SZ</v>
          </cell>
          <cell r="AK1980">
            <v>0.1</v>
          </cell>
          <cell r="AL1980">
            <v>74681.25</v>
          </cell>
          <cell r="AM1980">
            <v>44967</v>
          </cell>
          <cell r="AN1980" t="str">
            <v>Yes</v>
          </cell>
          <cell r="AO1980">
            <v>0.9</v>
          </cell>
          <cell r="AP1980">
            <v>672131.25</v>
          </cell>
          <cell r="AQ1980">
            <v>44979</v>
          </cell>
          <cell r="AR1980">
            <v>44979</v>
          </cell>
          <cell r="AS1980">
            <v>0</v>
          </cell>
          <cell r="AT1980">
            <v>0</v>
          </cell>
          <cell r="AX1980" t="str">
            <v>Yes</v>
          </cell>
          <cell r="AZ1980" t="str">
            <v>Y</v>
          </cell>
          <cell r="BA1980" t="str">
            <v>Yes</v>
          </cell>
        </row>
        <row r="1981">
          <cell r="B1981">
            <v>1831</v>
          </cell>
          <cell r="C1981" t="str">
            <v>C28SZX20230004TS</v>
          </cell>
          <cell r="D1981" t="str">
            <v>昱为</v>
          </cell>
          <cell r="E1981" t="str">
            <v>Heller 1936MK7</v>
          </cell>
          <cell r="I1981" t="str">
            <v>L-&gt;R</v>
          </cell>
          <cell r="J1981" t="str">
            <v>No</v>
          </cell>
          <cell r="K1981">
            <v>1</v>
          </cell>
          <cell r="N1981">
            <v>45037</v>
          </cell>
          <cell r="O1981">
            <v>11116826</v>
          </cell>
          <cell r="P1981">
            <v>50000</v>
          </cell>
          <cell r="Q1981">
            <v>45042</v>
          </cell>
          <cell r="R1981" t="str">
            <v>No</v>
          </cell>
          <cell r="S1981" t="str">
            <v>C28</v>
          </cell>
          <cell r="T1981" t="str">
            <v>SOUTH</v>
          </cell>
          <cell r="U1981" t="str">
            <v>深圳</v>
          </cell>
          <cell r="V1981" t="str">
            <v>SZ 深圳</v>
          </cell>
          <cell r="W1981" t="str">
            <v>TS</v>
          </cell>
          <cell r="X1981" t="str">
            <v>USD</v>
          </cell>
          <cell r="Y1981">
            <v>50000</v>
          </cell>
          <cell r="Z1981">
            <v>1</v>
          </cell>
          <cell r="AA1981">
            <v>50000</v>
          </cell>
          <cell r="AB1981">
            <v>7.8</v>
          </cell>
          <cell r="AC1981">
            <v>390000</v>
          </cell>
          <cell r="AD1981">
            <v>46800</v>
          </cell>
          <cell r="AE1981">
            <v>0.12</v>
          </cell>
          <cell r="AF1981">
            <v>44943</v>
          </cell>
          <cell r="AG1981" t="str">
            <v>CIF 越南</v>
          </cell>
          <cell r="AH1981"/>
          <cell r="AK1981">
            <v>0.2</v>
          </cell>
          <cell r="AL1981">
            <v>10000</v>
          </cell>
          <cell r="AM1981">
            <v>44960</v>
          </cell>
          <cell r="AN1981" t="str">
            <v>Yes</v>
          </cell>
          <cell r="AO1981">
            <v>0.8</v>
          </cell>
          <cell r="AP1981">
            <v>40000</v>
          </cell>
          <cell r="AQ1981">
            <v>45036</v>
          </cell>
          <cell r="AR1981">
            <v>45036</v>
          </cell>
          <cell r="AS1981">
            <v>0</v>
          </cell>
          <cell r="AT1981">
            <v>0</v>
          </cell>
          <cell r="AX1981" t="str">
            <v>Yes</v>
          </cell>
          <cell r="AZ1981" t="str">
            <v>Y</v>
          </cell>
          <cell r="BA1981" t="str">
            <v>Yes</v>
          </cell>
        </row>
        <row r="1982">
          <cell r="B1982">
            <v>1832</v>
          </cell>
          <cell r="C1982" t="str">
            <v>C28SZX20230004TS</v>
          </cell>
          <cell r="D1982" t="str">
            <v>昱为</v>
          </cell>
          <cell r="E1982" t="str">
            <v>Heller 1936MK7</v>
          </cell>
          <cell r="I1982" t="str">
            <v>L-&gt;R</v>
          </cell>
          <cell r="J1982" t="str">
            <v>No</v>
          </cell>
          <cell r="K1982">
            <v>1</v>
          </cell>
          <cell r="N1982">
            <v>45108</v>
          </cell>
          <cell r="O1982">
            <v>11116835</v>
          </cell>
          <cell r="P1982">
            <v>50000</v>
          </cell>
          <cell r="Q1982">
            <v>45118</v>
          </cell>
          <cell r="R1982" t="str">
            <v>No</v>
          </cell>
          <cell r="S1982" t="str">
            <v>C28</v>
          </cell>
          <cell r="T1982" t="str">
            <v>SOUTH</v>
          </cell>
          <cell r="U1982" t="str">
            <v>深圳</v>
          </cell>
          <cell r="V1982" t="str">
            <v>SZ 深圳</v>
          </cell>
          <cell r="W1982" t="str">
            <v>TS</v>
          </cell>
          <cell r="X1982" t="str">
            <v>USD</v>
          </cell>
          <cell r="Y1982">
            <v>50000</v>
          </cell>
          <cell r="Z1982">
            <v>1</v>
          </cell>
          <cell r="AA1982">
            <v>50000</v>
          </cell>
          <cell r="AB1982">
            <v>7.8</v>
          </cell>
          <cell r="AC1982">
            <v>390000</v>
          </cell>
          <cell r="AD1982">
            <v>46800</v>
          </cell>
          <cell r="AE1982">
            <v>0.12</v>
          </cell>
          <cell r="AF1982">
            <v>44943</v>
          </cell>
          <cell r="AG1982" t="str">
            <v>CIF 越南</v>
          </cell>
          <cell r="AH1982"/>
          <cell r="AK1982">
            <v>0.2</v>
          </cell>
          <cell r="AL1982">
            <v>10000</v>
          </cell>
          <cell r="AM1982">
            <v>44960</v>
          </cell>
          <cell r="AN1982" t="str">
            <v>Yes</v>
          </cell>
          <cell r="AO1982">
            <v>0.8</v>
          </cell>
          <cell r="AP1982">
            <v>40000</v>
          </cell>
          <cell r="AQ1982">
            <v>45112</v>
          </cell>
          <cell r="AR1982">
            <v>45112</v>
          </cell>
          <cell r="AS1982">
            <v>0</v>
          </cell>
          <cell r="AT1982">
            <v>0</v>
          </cell>
          <cell r="AX1982" t="str">
            <v>Yes</v>
          </cell>
        </row>
        <row r="1983">
          <cell r="B1983">
            <v>1833</v>
          </cell>
          <cell r="C1983" t="str">
            <v>C28SZX20230004TS</v>
          </cell>
          <cell r="D1983" t="str">
            <v>昱为</v>
          </cell>
          <cell r="E1983" t="str">
            <v>Heller 1936MK7</v>
          </cell>
          <cell r="I1983" t="str">
            <v>L-&gt;R</v>
          </cell>
          <cell r="J1983" t="str">
            <v>No</v>
          </cell>
          <cell r="K1983">
            <v>1</v>
          </cell>
          <cell r="N1983">
            <v>45108</v>
          </cell>
          <cell r="O1983">
            <v>11116835</v>
          </cell>
          <cell r="P1983">
            <v>50000</v>
          </cell>
          <cell r="Q1983">
            <v>45118</v>
          </cell>
          <cell r="R1983" t="str">
            <v>No</v>
          </cell>
          <cell r="S1983" t="str">
            <v>C28</v>
          </cell>
          <cell r="T1983" t="str">
            <v>SOUTH</v>
          </cell>
          <cell r="U1983" t="str">
            <v>深圳</v>
          </cell>
          <cell r="V1983" t="str">
            <v>SZ 深圳</v>
          </cell>
          <cell r="W1983" t="str">
            <v>TS</v>
          </cell>
          <cell r="X1983" t="str">
            <v>USD</v>
          </cell>
          <cell r="Y1983">
            <v>50000</v>
          </cell>
          <cell r="Z1983">
            <v>1</v>
          </cell>
          <cell r="AA1983">
            <v>50000</v>
          </cell>
          <cell r="AB1983">
            <v>7.8</v>
          </cell>
          <cell r="AC1983">
            <v>390000</v>
          </cell>
          <cell r="AD1983">
            <v>46800</v>
          </cell>
          <cell r="AE1983">
            <v>0.12</v>
          </cell>
          <cell r="AF1983">
            <v>44943</v>
          </cell>
          <cell r="AG1983" t="str">
            <v>CIF 越南</v>
          </cell>
          <cell r="AH1983"/>
          <cell r="AK1983">
            <v>0.2</v>
          </cell>
          <cell r="AL1983">
            <v>10000</v>
          </cell>
          <cell r="AM1983">
            <v>44960</v>
          </cell>
          <cell r="AN1983" t="str">
            <v>Yes</v>
          </cell>
          <cell r="AO1983">
            <v>0.8</v>
          </cell>
          <cell r="AP1983">
            <v>40000</v>
          </cell>
          <cell r="AQ1983">
            <v>45112</v>
          </cell>
          <cell r="AR1983">
            <v>45112</v>
          </cell>
          <cell r="AS1983">
            <v>0</v>
          </cell>
          <cell r="AT1983">
            <v>0</v>
          </cell>
          <cell r="AX1983" t="str">
            <v>Yes</v>
          </cell>
        </row>
        <row r="1984">
          <cell r="B1984">
            <v>1834</v>
          </cell>
          <cell r="C1984" t="str">
            <v>C49SZX20230012EC</v>
          </cell>
          <cell r="D1984" t="str">
            <v>海红天远</v>
          </cell>
          <cell r="E1984" t="str">
            <v>YSM20R-2</v>
          </cell>
          <cell r="I1984" t="str">
            <v>R-&gt;L</v>
          </cell>
          <cell r="J1984" t="str">
            <v>MVC F&amp;R</v>
          </cell>
          <cell r="K1984">
            <v>1</v>
          </cell>
          <cell r="N1984">
            <v>44972</v>
          </cell>
          <cell r="O1984">
            <v>11100853</v>
          </cell>
          <cell r="P1984">
            <v>850000</v>
          </cell>
          <cell r="Q1984">
            <v>44978</v>
          </cell>
          <cell r="R1984" t="str">
            <v>No</v>
          </cell>
          <cell r="S1984" t="str">
            <v>C49</v>
          </cell>
          <cell r="T1984" t="str">
            <v>SOUTH</v>
          </cell>
          <cell r="U1984" t="str">
            <v>深圳</v>
          </cell>
          <cell r="V1984" t="str">
            <v>SZ 深圳</v>
          </cell>
          <cell r="W1984" t="str">
            <v>EC</v>
          </cell>
          <cell r="X1984" t="str">
            <v>RMB</v>
          </cell>
          <cell r="Y1984">
            <v>850000</v>
          </cell>
          <cell r="Z1984">
            <v>1.1299999999999999</v>
          </cell>
          <cell r="AA1984">
            <v>850000</v>
          </cell>
          <cell r="AB1984">
            <v>1.1599999999999999</v>
          </cell>
          <cell r="AC1984">
            <v>872566.37168141594</v>
          </cell>
          <cell r="AD1984">
            <v>104707.96460176991</v>
          </cell>
          <cell r="AE1984">
            <v>0.12</v>
          </cell>
          <cell r="AF1984">
            <v>44966</v>
          </cell>
          <cell r="AG1984" t="str">
            <v>DDP SZ</v>
          </cell>
          <cell r="AK1984">
            <v>1</v>
          </cell>
          <cell r="AL1984">
            <v>850000</v>
          </cell>
          <cell r="AM1984">
            <v>44967</v>
          </cell>
          <cell r="AN1984" t="str">
            <v>Yes</v>
          </cell>
          <cell r="AO1984">
            <v>0</v>
          </cell>
          <cell r="AP1984">
            <v>0</v>
          </cell>
          <cell r="AS1984">
            <v>0</v>
          </cell>
          <cell r="AT1984">
            <v>0</v>
          </cell>
          <cell r="AX1984" t="str">
            <v>Yes</v>
          </cell>
          <cell r="AZ1984" t="str">
            <v>Y</v>
          </cell>
          <cell r="BA1984" t="str">
            <v>Yes</v>
          </cell>
        </row>
        <row r="1985">
          <cell r="B1985">
            <v>1835</v>
          </cell>
          <cell r="C1985" t="str">
            <v>C49SZX20230013JY</v>
          </cell>
          <cell r="D1985" t="str">
            <v>德天伟</v>
          </cell>
          <cell r="E1985" t="str">
            <v>YSM20R-2</v>
          </cell>
          <cell r="I1985" t="str">
            <v>L-&gt;R</v>
          </cell>
          <cell r="J1985" t="str">
            <v>No</v>
          </cell>
          <cell r="K1985">
            <v>1</v>
          </cell>
          <cell r="N1985">
            <v>44978</v>
          </cell>
          <cell r="O1985">
            <v>11100586</v>
          </cell>
          <cell r="P1985">
            <v>771500</v>
          </cell>
          <cell r="Q1985">
            <v>44981</v>
          </cell>
          <cell r="R1985" t="str">
            <v>No</v>
          </cell>
          <cell r="S1985" t="str">
            <v>C49</v>
          </cell>
          <cell r="T1985" t="str">
            <v>SOUTH</v>
          </cell>
          <cell r="U1985" t="str">
            <v>深圳</v>
          </cell>
          <cell r="V1985" t="str">
            <v>SZ 深圳</v>
          </cell>
          <cell r="W1985" t="str">
            <v>JY</v>
          </cell>
          <cell r="X1985" t="str">
            <v>RMB</v>
          </cell>
          <cell r="Y1985">
            <v>771500</v>
          </cell>
          <cell r="Z1985">
            <v>1.1299999999999999</v>
          </cell>
          <cell r="AA1985">
            <v>771500</v>
          </cell>
          <cell r="AB1985">
            <v>1.1599999999999999</v>
          </cell>
          <cell r="AC1985">
            <v>791982.3008849558</v>
          </cell>
          <cell r="AD1985">
            <v>95037.876106194686</v>
          </cell>
          <cell r="AE1985">
            <v>0.12</v>
          </cell>
          <cell r="AF1985">
            <v>44967</v>
          </cell>
          <cell r="AG1985" t="str">
            <v>DDP SZ</v>
          </cell>
          <cell r="AK1985">
            <v>0.1</v>
          </cell>
          <cell r="AL1985">
            <v>77150</v>
          </cell>
          <cell r="AM1985">
            <v>44971</v>
          </cell>
          <cell r="AN1985" t="str">
            <v>Yes</v>
          </cell>
          <cell r="AO1985">
            <v>0.9</v>
          </cell>
          <cell r="AP1985">
            <v>694350</v>
          </cell>
          <cell r="AQ1985">
            <v>44974</v>
          </cell>
          <cell r="AR1985">
            <v>44974</v>
          </cell>
          <cell r="AS1985">
            <v>0</v>
          </cell>
          <cell r="AT1985">
            <v>0</v>
          </cell>
          <cell r="AX1985" t="str">
            <v>Yes</v>
          </cell>
          <cell r="AZ1985" t="str">
            <v>Y</v>
          </cell>
          <cell r="BA1985" t="str">
            <v>Yes</v>
          </cell>
        </row>
        <row r="1986">
          <cell r="B1986">
            <v>1836</v>
          </cell>
          <cell r="C1986" t="str">
            <v>C28SZX20230085MZ</v>
          </cell>
          <cell r="D1986" t="str">
            <v>东莞鸿楠</v>
          </cell>
          <cell r="E1986" t="str">
            <v>YSi-V</v>
          </cell>
          <cell r="I1986" t="str">
            <v>R-&gt;L</v>
          </cell>
          <cell r="J1986" t="str">
            <v>No</v>
          </cell>
          <cell r="K1986">
            <v>1</v>
          </cell>
          <cell r="N1986">
            <v>45245</v>
          </cell>
          <cell r="O1986">
            <v>11116854</v>
          </cell>
          <cell r="P1986">
            <v>10600000</v>
          </cell>
          <cell r="Q1986">
            <v>45243</v>
          </cell>
          <cell r="R1986" t="str">
            <v>No</v>
          </cell>
          <cell r="S1986" t="str">
            <v>C28</v>
          </cell>
          <cell r="T1986" t="str">
            <v>SOUTH</v>
          </cell>
          <cell r="U1986" t="str">
            <v>深圳</v>
          </cell>
          <cell r="V1986" t="str">
            <v>SZ 深圳</v>
          </cell>
          <cell r="W1986" t="str">
            <v>MZ</v>
          </cell>
          <cell r="X1986" t="str">
            <v>JPY</v>
          </cell>
          <cell r="Y1986">
            <v>10600000</v>
          </cell>
          <cell r="Z1986">
            <v>1</v>
          </cell>
          <cell r="AA1986">
            <v>10600000</v>
          </cell>
          <cell r="AB1986">
            <v>6.1400000000000003E-2</v>
          </cell>
          <cell r="AC1986">
            <v>650840</v>
          </cell>
          <cell r="AD1986">
            <v>78100.800000000003</v>
          </cell>
          <cell r="AE1986">
            <v>0.12</v>
          </cell>
          <cell r="AF1986">
            <v>45118</v>
          </cell>
          <cell r="AG1986" t="str">
            <v>CIF HK</v>
          </cell>
          <cell r="AK1986">
            <v>0.2</v>
          </cell>
          <cell r="AL1986">
            <v>2120000</v>
          </cell>
          <cell r="AM1986">
            <v>45134</v>
          </cell>
          <cell r="AN1986" t="str">
            <v>Yes</v>
          </cell>
          <cell r="AO1986">
            <v>0.8</v>
          </cell>
          <cell r="AP1986">
            <v>8480000</v>
          </cell>
          <cell r="AQ1986">
            <v>45238</v>
          </cell>
          <cell r="AR1986">
            <v>45238</v>
          </cell>
          <cell r="AS1986">
            <v>0</v>
          </cell>
          <cell r="AT1986">
            <v>0</v>
          </cell>
          <cell r="AX1986" t="str">
            <v>Yes</v>
          </cell>
          <cell r="AZ1986" t="str">
            <v>Y</v>
          </cell>
          <cell r="BA1986" t="str">
            <v>Yes</v>
          </cell>
        </row>
        <row r="1987">
          <cell r="B1987">
            <v>1837</v>
          </cell>
          <cell r="C1987" t="str">
            <v>C49SZX20230022SX</v>
          </cell>
          <cell r="D1987" t="str">
            <v>锐诚</v>
          </cell>
          <cell r="E1987" t="str">
            <v>YSM10</v>
          </cell>
          <cell r="I1987" t="str">
            <v>L-&gt;R</v>
          </cell>
          <cell r="J1987" t="str">
            <v>MVC</v>
          </cell>
          <cell r="K1987">
            <v>1</v>
          </cell>
          <cell r="N1987">
            <v>44991</v>
          </cell>
          <cell r="O1987">
            <v>11100589</v>
          </cell>
          <cell r="P1987">
            <v>415000</v>
          </cell>
          <cell r="Q1987">
            <v>44995</v>
          </cell>
          <cell r="R1987" t="str">
            <v>No</v>
          </cell>
          <cell r="S1987" t="str">
            <v>C49</v>
          </cell>
          <cell r="T1987" t="str">
            <v>SOUTH</v>
          </cell>
          <cell r="U1987" t="str">
            <v>深圳</v>
          </cell>
          <cell r="V1987" t="str">
            <v>SZ 深圳</v>
          </cell>
          <cell r="W1987" t="str">
            <v>SX</v>
          </cell>
          <cell r="X1987" t="str">
            <v>RMB</v>
          </cell>
          <cell r="Y1987">
            <v>415000</v>
          </cell>
          <cell r="Z1987">
            <v>1.1299999999999999</v>
          </cell>
          <cell r="AA1987">
            <v>415000</v>
          </cell>
          <cell r="AB1987">
            <v>1.1599999999999999</v>
          </cell>
          <cell r="AC1987">
            <v>426017.6991150442</v>
          </cell>
          <cell r="AD1987">
            <v>51122.123893805299</v>
          </cell>
          <cell r="AE1987">
            <v>0.12</v>
          </cell>
          <cell r="AF1987">
            <v>44978</v>
          </cell>
          <cell r="AG1987" t="str">
            <v>DDP HZ</v>
          </cell>
          <cell r="AK1987">
            <v>0.3</v>
          </cell>
          <cell r="AL1987">
            <v>124500</v>
          </cell>
          <cell r="AM1987">
            <v>44980</v>
          </cell>
          <cell r="AN1987" t="str">
            <v>Yes</v>
          </cell>
          <cell r="AO1987">
            <v>0.7</v>
          </cell>
          <cell r="AP1987">
            <v>290500</v>
          </cell>
          <cell r="AS1987">
            <v>0</v>
          </cell>
          <cell r="AT1987">
            <v>0</v>
          </cell>
          <cell r="AX1987" t="str">
            <v>Yes</v>
          </cell>
          <cell r="AZ1987" t="str">
            <v>Y</v>
          </cell>
          <cell r="BA1987" t="str">
            <v>Yes</v>
          </cell>
        </row>
        <row r="1988">
          <cell r="B1988">
            <v>1838</v>
          </cell>
          <cell r="C1988" t="str">
            <v>C49SZX20230022SX</v>
          </cell>
          <cell r="D1988" t="str">
            <v>锐诚</v>
          </cell>
          <cell r="E1988" t="str">
            <v>YSM10</v>
          </cell>
          <cell r="I1988" t="str">
            <v>L-&gt;R</v>
          </cell>
          <cell r="J1988" t="str">
            <v>MVC</v>
          </cell>
          <cell r="K1988">
            <v>1</v>
          </cell>
          <cell r="N1988">
            <v>44991</v>
          </cell>
          <cell r="O1988">
            <v>11100589</v>
          </cell>
          <cell r="P1988">
            <v>415000</v>
          </cell>
          <cell r="Q1988">
            <v>44995</v>
          </cell>
          <cell r="R1988" t="str">
            <v>No</v>
          </cell>
          <cell r="S1988" t="str">
            <v>C49</v>
          </cell>
          <cell r="T1988" t="str">
            <v>SOUTH</v>
          </cell>
          <cell r="U1988" t="str">
            <v>深圳</v>
          </cell>
          <cell r="V1988" t="str">
            <v>SZ 深圳</v>
          </cell>
          <cell r="W1988" t="str">
            <v>SX</v>
          </cell>
          <cell r="X1988" t="str">
            <v>RMB</v>
          </cell>
          <cell r="Y1988">
            <v>415000</v>
          </cell>
          <cell r="Z1988">
            <v>1.1299999999999999</v>
          </cell>
          <cell r="AA1988">
            <v>415000</v>
          </cell>
          <cell r="AB1988">
            <v>1.1599999999999999</v>
          </cell>
          <cell r="AC1988">
            <v>426017.6991150442</v>
          </cell>
          <cell r="AD1988">
            <v>51122.123893805299</v>
          </cell>
          <cell r="AE1988">
            <v>0.12</v>
          </cell>
          <cell r="AF1988">
            <v>44978</v>
          </cell>
          <cell r="AG1988" t="str">
            <v>DDP HZ</v>
          </cell>
          <cell r="AK1988">
            <v>0.3</v>
          </cell>
          <cell r="AL1988">
            <v>124500</v>
          </cell>
          <cell r="AM1988">
            <v>44980</v>
          </cell>
          <cell r="AN1988" t="str">
            <v>Yes</v>
          </cell>
          <cell r="AO1988">
            <v>0.7</v>
          </cell>
          <cell r="AP1988">
            <v>290500</v>
          </cell>
          <cell r="AS1988">
            <v>0</v>
          </cell>
          <cell r="AT1988">
            <v>0</v>
          </cell>
          <cell r="AX1988" t="str">
            <v>Yes</v>
          </cell>
          <cell r="AZ1988" t="str">
            <v>Y</v>
          </cell>
          <cell r="BA1988" t="str">
            <v>Yes</v>
          </cell>
        </row>
        <row r="1989">
          <cell r="B1989">
            <v>1839</v>
          </cell>
          <cell r="C1989" t="str">
            <v>C49SZX20230022SX</v>
          </cell>
          <cell r="D1989" t="str">
            <v>锐诚</v>
          </cell>
          <cell r="E1989" t="str">
            <v>YSM10</v>
          </cell>
          <cell r="I1989" t="str">
            <v>L-&gt;R</v>
          </cell>
          <cell r="J1989" t="str">
            <v>MVC</v>
          </cell>
          <cell r="K1989">
            <v>1</v>
          </cell>
          <cell r="N1989">
            <v>44991</v>
          </cell>
          <cell r="O1989">
            <v>11100589</v>
          </cell>
          <cell r="P1989">
            <v>415000</v>
          </cell>
          <cell r="Q1989">
            <v>44995</v>
          </cell>
          <cell r="R1989" t="str">
            <v>No</v>
          </cell>
          <cell r="S1989" t="str">
            <v>C49</v>
          </cell>
          <cell r="T1989" t="str">
            <v>SOUTH</v>
          </cell>
          <cell r="U1989" t="str">
            <v>深圳</v>
          </cell>
          <cell r="V1989" t="str">
            <v>SZ 深圳</v>
          </cell>
          <cell r="W1989" t="str">
            <v>SX</v>
          </cell>
          <cell r="X1989" t="str">
            <v>RMB</v>
          </cell>
          <cell r="Y1989">
            <v>415000</v>
          </cell>
          <cell r="Z1989">
            <v>1.1299999999999999</v>
          </cell>
          <cell r="AA1989">
            <v>415000</v>
          </cell>
          <cell r="AB1989">
            <v>1.1599999999999999</v>
          </cell>
          <cell r="AC1989">
            <v>426017.6991150442</v>
          </cell>
          <cell r="AD1989">
            <v>51122.123893805299</v>
          </cell>
          <cell r="AE1989">
            <v>0.12</v>
          </cell>
          <cell r="AF1989">
            <v>44978</v>
          </cell>
          <cell r="AG1989" t="str">
            <v>DDP HZ</v>
          </cell>
          <cell r="AK1989">
            <v>0.3</v>
          </cell>
          <cell r="AL1989">
            <v>124500</v>
          </cell>
          <cell r="AM1989">
            <v>44980</v>
          </cell>
          <cell r="AN1989" t="str">
            <v>Yes</v>
          </cell>
          <cell r="AO1989">
            <v>0.7</v>
          </cell>
          <cell r="AP1989">
            <v>290500</v>
          </cell>
          <cell r="AS1989">
            <v>0</v>
          </cell>
          <cell r="AT1989">
            <v>0</v>
          </cell>
          <cell r="AX1989" t="str">
            <v>Yes</v>
          </cell>
          <cell r="AZ1989" t="str">
            <v>Y</v>
          </cell>
          <cell r="BA1989" t="str">
            <v>Yes</v>
          </cell>
        </row>
        <row r="1990">
          <cell r="B1990">
            <v>1840</v>
          </cell>
          <cell r="C1990" t="str">
            <v>SUESE#001/23</v>
          </cell>
          <cell r="D1990" t="str">
            <v>SUPERIOR丰卓</v>
          </cell>
          <cell r="E1990" t="str">
            <v>YSM10</v>
          </cell>
          <cell r="I1990" t="str">
            <v>L-&gt;R</v>
          </cell>
          <cell r="J1990" t="str">
            <v>MVC+ATS15</v>
          </cell>
          <cell r="K1990">
            <v>1</v>
          </cell>
          <cell r="N1990">
            <v>45009</v>
          </cell>
          <cell r="O1990">
            <v>11116823</v>
          </cell>
          <cell r="P1990">
            <v>91263</v>
          </cell>
          <cell r="Q1990">
            <v>45013</v>
          </cell>
          <cell r="R1990" t="str">
            <v>Yes</v>
          </cell>
          <cell r="S1990" t="str">
            <v>C49</v>
          </cell>
          <cell r="T1990" t="str">
            <v>SOUTH</v>
          </cell>
          <cell r="U1990" t="str">
            <v>深圳</v>
          </cell>
          <cell r="V1990" t="str">
            <v>Vietnam</v>
          </cell>
          <cell r="W1990" t="str">
            <v>SS</v>
          </cell>
          <cell r="X1990" t="str">
            <v>USD</v>
          </cell>
          <cell r="Y1990">
            <v>91263</v>
          </cell>
          <cell r="Z1990">
            <v>1</v>
          </cell>
          <cell r="AA1990">
            <v>91263</v>
          </cell>
          <cell r="AB1990">
            <v>7.8</v>
          </cell>
          <cell r="AC1990">
            <v>711851.4</v>
          </cell>
          <cell r="AD1990">
            <v>85422.168000000005</v>
          </cell>
          <cell r="AE1990">
            <v>0.12</v>
          </cell>
          <cell r="AF1990">
            <v>44978</v>
          </cell>
          <cell r="AG1990" t="str">
            <v>CIF Vietnam</v>
          </cell>
          <cell r="AK1990">
            <v>0.3</v>
          </cell>
          <cell r="AL1990">
            <v>27378.899999999998</v>
          </cell>
          <cell r="AM1990">
            <v>44985</v>
          </cell>
          <cell r="AN1990" t="str">
            <v>Yes</v>
          </cell>
          <cell r="AO1990">
            <v>0.6</v>
          </cell>
          <cell r="AP1990">
            <v>54757.799999999996</v>
          </cell>
          <cell r="AQ1990">
            <v>44992</v>
          </cell>
          <cell r="AR1990">
            <v>44992</v>
          </cell>
          <cell r="AS1990">
            <v>0.1</v>
          </cell>
          <cell r="AT1990">
            <v>9126.3000000000011</v>
          </cell>
          <cell r="AU1990">
            <v>45063</v>
          </cell>
          <cell r="AV1990">
            <v>45063</v>
          </cell>
          <cell r="AX1990" t="str">
            <v>Yes</v>
          </cell>
          <cell r="AZ1990" t="str">
            <v>Y</v>
          </cell>
          <cell r="BA1990" t="str">
            <v>Yes</v>
          </cell>
        </row>
        <row r="1991">
          <cell r="B1991">
            <v>1841</v>
          </cell>
          <cell r="C1991" t="str">
            <v>SUESE#001/23</v>
          </cell>
          <cell r="D1991" t="str">
            <v>SUPERIOR丰卓</v>
          </cell>
          <cell r="E1991" t="str">
            <v>YSM10</v>
          </cell>
          <cell r="I1991" t="str">
            <v>L-&gt;R</v>
          </cell>
          <cell r="J1991" t="str">
            <v>No</v>
          </cell>
          <cell r="K1991">
            <v>1</v>
          </cell>
          <cell r="N1991">
            <v>45009</v>
          </cell>
          <cell r="O1991">
            <v>11116823</v>
          </cell>
          <cell r="P1991">
            <v>91263</v>
          </cell>
          <cell r="Q1991">
            <v>45013</v>
          </cell>
          <cell r="R1991" t="str">
            <v>Yes</v>
          </cell>
          <cell r="S1991" t="str">
            <v>C49</v>
          </cell>
          <cell r="T1991" t="str">
            <v>SOUTH</v>
          </cell>
          <cell r="U1991" t="str">
            <v>深圳</v>
          </cell>
          <cell r="V1991" t="str">
            <v>Vietnam</v>
          </cell>
          <cell r="W1991" t="str">
            <v>SS</v>
          </cell>
          <cell r="X1991" t="str">
            <v>USD</v>
          </cell>
          <cell r="Y1991">
            <v>91263</v>
          </cell>
          <cell r="Z1991">
            <v>1</v>
          </cell>
          <cell r="AA1991">
            <v>91263</v>
          </cell>
          <cell r="AB1991">
            <v>7.8</v>
          </cell>
          <cell r="AC1991">
            <v>711851.4</v>
          </cell>
          <cell r="AD1991">
            <v>85422.168000000005</v>
          </cell>
          <cell r="AE1991">
            <v>0.12</v>
          </cell>
          <cell r="AF1991">
            <v>44978</v>
          </cell>
          <cell r="AG1991" t="str">
            <v>CIF Vietnam</v>
          </cell>
          <cell r="AK1991">
            <v>0.3</v>
          </cell>
          <cell r="AL1991">
            <v>27378.899999999998</v>
          </cell>
          <cell r="AM1991">
            <v>44985</v>
          </cell>
          <cell r="AN1991" t="str">
            <v>Yes</v>
          </cell>
          <cell r="AO1991">
            <v>0.6</v>
          </cell>
          <cell r="AP1991">
            <v>54757.799999999996</v>
          </cell>
          <cell r="AQ1991">
            <v>44992</v>
          </cell>
          <cell r="AR1991">
            <v>44992</v>
          </cell>
          <cell r="AS1991">
            <v>0.1</v>
          </cell>
          <cell r="AT1991">
            <v>9126.3000000000011</v>
          </cell>
          <cell r="AU1991">
            <v>45063</v>
          </cell>
          <cell r="AV1991">
            <v>45063</v>
          </cell>
          <cell r="AX1991" t="str">
            <v>Yes</v>
          </cell>
          <cell r="AZ1991" t="str">
            <v>Y</v>
          </cell>
          <cell r="BA1991" t="str">
            <v>Yes</v>
          </cell>
        </row>
        <row r="1992">
          <cell r="B1992">
            <v>1842</v>
          </cell>
          <cell r="C1992" t="str">
            <v>C49SZX20230015DZ</v>
          </cell>
          <cell r="D1992" t="str">
            <v>深圳耕创</v>
          </cell>
          <cell r="E1992" t="str">
            <v>YSM40R-4</v>
          </cell>
          <cell r="I1992" t="str">
            <v>L-&gt;R</v>
          </cell>
          <cell r="J1992" t="str">
            <v>No</v>
          </cell>
          <cell r="K1992">
            <v>1</v>
          </cell>
          <cell r="N1992">
            <v>45057</v>
          </cell>
          <cell r="O1992">
            <v>11100622</v>
          </cell>
          <cell r="P1992">
            <v>1475000</v>
          </cell>
          <cell r="Q1992">
            <v>45061</v>
          </cell>
          <cell r="R1992" t="str">
            <v>No</v>
          </cell>
          <cell r="S1992" t="str">
            <v>C49</v>
          </cell>
          <cell r="T1992" t="str">
            <v>SOUTH</v>
          </cell>
          <cell r="U1992" t="str">
            <v>深圳</v>
          </cell>
          <cell r="V1992" t="str">
            <v>SZ 深圳</v>
          </cell>
          <cell r="W1992" t="str">
            <v>DZ</v>
          </cell>
          <cell r="X1992" t="str">
            <v>RMB</v>
          </cell>
          <cell r="Y1992">
            <v>1475000</v>
          </cell>
          <cell r="Z1992">
            <v>1.1299999999999999</v>
          </cell>
          <cell r="AA1992">
            <v>1475000</v>
          </cell>
          <cell r="AB1992">
            <v>1.1599999999999999</v>
          </cell>
          <cell r="AC1992">
            <v>1514159.2920353983</v>
          </cell>
          <cell r="AD1992">
            <v>181699.1150442478</v>
          </cell>
          <cell r="AE1992">
            <v>0.12</v>
          </cell>
          <cell r="AF1992">
            <v>44978</v>
          </cell>
          <cell r="AG1992" t="str">
            <v>DDP SZ</v>
          </cell>
          <cell r="AK1992">
            <v>0.2</v>
          </cell>
          <cell r="AL1992">
            <v>295000</v>
          </cell>
          <cell r="AM1992">
            <v>44981</v>
          </cell>
          <cell r="AN1992" t="str">
            <v>Yes</v>
          </cell>
          <cell r="AO1992">
            <v>0.8</v>
          </cell>
          <cell r="AP1992">
            <v>1180000</v>
          </cell>
          <cell r="AQ1992">
            <v>45056</v>
          </cell>
          <cell r="AR1992">
            <v>45056</v>
          </cell>
          <cell r="AS1992">
            <v>0</v>
          </cell>
          <cell r="AT1992">
            <v>0</v>
          </cell>
          <cell r="AU1992"/>
          <cell r="AX1992" t="str">
            <v>Yes</v>
          </cell>
          <cell r="AZ1992" t="str">
            <v>Y</v>
          </cell>
          <cell r="BA1992" t="str">
            <v>Yes</v>
          </cell>
        </row>
        <row r="1993">
          <cell r="B1993">
            <v>1843</v>
          </cell>
          <cell r="C1993" t="str">
            <v>C49SZX20230016DZ</v>
          </cell>
          <cell r="D1993" t="str">
            <v>惠州耕创</v>
          </cell>
          <cell r="E1993" t="str">
            <v>YSM40R-4</v>
          </cell>
          <cell r="I1993" t="str">
            <v>L-&gt;R</v>
          </cell>
          <cell r="J1993" t="str">
            <v>No</v>
          </cell>
          <cell r="K1993">
            <v>1</v>
          </cell>
          <cell r="N1993">
            <v>45057</v>
          </cell>
          <cell r="O1993">
            <v>11100623</v>
          </cell>
          <cell r="P1993">
            <v>1475000</v>
          </cell>
          <cell r="Q1993">
            <v>45061</v>
          </cell>
          <cell r="R1993" t="str">
            <v>No</v>
          </cell>
          <cell r="S1993" t="str">
            <v>C49</v>
          </cell>
          <cell r="T1993" t="str">
            <v>SOUTH</v>
          </cell>
          <cell r="U1993" t="str">
            <v>深圳</v>
          </cell>
          <cell r="V1993" t="str">
            <v>SZ 深圳</v>
          </cell>
          <cell r="W1993" t="str">
            <v>DZ</v>
          </cell>
          <cell r="X1993" t="str">
            <v>RMB</v>
          </cell>
          <cell r="Y1993">
            <v>1475000</v>
          </cell>
          <cell r="Z1993">
            <v>1.1299999999999999</v>
          </cell>
          <cell r="AA1993">
            <v>1475000</v>
          </cell>
          <cell r="AB1993">
            <v>1.1599999999999999</v>
          </cell>
          <cell r="AC1993">
            <v>1514159.2920353983</v>
          </cell>
          <cell r="AD1993">
            <v>181699.1150442478</v>
          </cell>
          <cell r="AE1993">
            <v>0.12</v>
          </cell>
          <cell r="AF1993">
            <v>44978</v>
          </cell>
          <cell r="AG1993" t="str">
            <v>DDP HZ</v>
          </cell>
          <cell r="AK1993">
            <v>0.2</v>
          </cell>
          <cell r="AL1993">
            <v>295000</v>
          </cell>
          <cell r="AM1993">
            <v>44981</v>
          </cell>
          <cell r="AN1993" t="str">
            <v>Yes</v>
          </cell>
          <cell r="AO1993">
            <v>0.8</v>
          </cell>
          <cell r="AP1993">
            <v>1180000</v>
          </cell>
          <cell r="AQ1993">
            <v>45056</v>
          </cell>
          <cell r="AR1993">
            <v>45056</v>
          </cell>
          <cell r="AS1993">
            <v>0</v>
          </cell>
          <cell r="AT1993">
            <v>0</v>
          </cell>
          <cell r="AX1993" t="str">
            <v>Yes</v>
          </cell>
          <cell r="AZ1993" t="str">
            <v>Y</v>
          </cell>
          <cell r="BA1993" t="str">
            <v>Yes</v>
          </cell>
        </row>
        <row r="1994">
          <cell r="B1994">
            <v>1844</v>
          </cell>
          <cell r="C1994" t="str">
            <v>C49SZX20230016DZ</v>
          </cell>
          <cell r="D1994" t="str">
            <v>惠州耕创</v>
          </cell>
          <cell r="E1994" t="str">
            <v>YSM40R-4</v>
          </cell>
          <cell r="I1994" t="str">
            <v>L-&gt;R</v>
          </cell>
          <cell r="J1994" t="str">
            <v>No</v>
          </cell>
          <cell r="K1994">
            <v>1</v>
          </cell>
          <cell r="N1994">
            <v>45057</v>
          </cell>
          <cell r="O1994">
            <v>11100623</v>
          </cell>
          <cell r="P1994">
            <v>1475000</v>
          </cell>
          <cell r="Q1994">
            <v>45061</v>
          </cell>
          <cell r="R1994" t="str">
            <v>No</v>
          </cell>
          <cell r="S1994" t="str">
            <v>C49</v>
          </cell>
          <cell r="T1994" t="str">
            <v>SOUTH</v>
          </cell>
          <cell r="U1994" t="str">
            <v>深圳</v>
          </cell>
          <cell r="V1994" t="str">
            <v>SZ 深圳</v>
          </cell>
          <cell r="W1994" t="str">
            <v>DZ</v>
          </cell>
          <cell r="X1994" t="str">
            <v>RMB</v>
          </cell>
          <cell r="Y1994">
            <v>1475000</v>
          </cell>
          <cell r="Z1994">
            <v>1.1299999999999999</v>
          </cell>
          <cell r="AA1994">
            <v>1475000</v>
          </cell>
          <cell r="AB1994">
            <v>1.1599999999999999</v>
          </cell>
          <cell r="AC1994">
            <v>1514159.2920353983</v>
          </cell>
          <cell r="AD1994">
            <v>181699.1150442478</v>
          </cell>
          <cell r="AE1994">
            <v>0.12</v>
          </cell>
          <cell r="AF1994">
            <v>44978</v>
          </cell>
          <cell r="AG1994" t="str">
            <v>DDP HZ</v>
          </cell>
          <cell r="AK1994">
            <v>0.2</v>
          </cell>
          <cell r="AL1994">
            <v>295000</v>
          </cell>
          <cell r="AM1994">
            <v>44981</v>
          </cell>
          <cell r="AN1994" t="str">
            <v>Yes</v>
          </cell>
          <cell r="AO1994">
            <v>0.8</v>
          </cell>
          <cell r="AP1994">
            <v>1180000</v>
          </cell>
          <cell r="AQ1994">
            <v>45056</v>
          </cell>
          <cell r="AR1994">
            <v>45056</v>
          </cell>
          <cell r="AS1994">
            <v>0</v>
          </cell>
          <cell r="AT1994">
            <v>0</v>
          </cell>
          <cell r="AX1994" t="str">
            <v>Yes</v>
          </cell>
          <cell r="AZ1994" t="str">
            <v>Y</v>
          </cell>
          <cell r="BA1994" t="str">
            <v>Yes</v>
          </cell>
        </row>
        <row r="1995">
          <cell r="B1995">
            <v>1845</v>
          </cell>
          <cell r="C1995" t="str">
            <v>C49SZX20230016DZ</v>
          </cell>
          <cell r="D1995" t="str">
            <v>惠州耕创</v>
          </cell>
          <cell r="E1995" t="str">
            <v>YSM40R-4</v>
          </cell>
          <cell r="I1995" t="str">
            <v>L-&gt;R</v>
          </cell>
          <cell r="J1995" t="str">
            <v>No</v>
          </cell>
          <cell r="K1995">
            <v>1</v>
          </cell>
          <cell r="N1995">
            <v>45057</v>
          </cell>
          <cell r="O1995">
            <v>11100623</v>
          </cell>
          <cell r="P1995">
            <v>1475000</v>
          </cell>
          <cell r="Q1995">
            <v>45061</v>
          </cell>
          <cell r="R1995" t="str">
            <v>No</v>
          </cell>
          <cell r="S1995" t="str">
            <v>C49</v>
          </cell>
          <cell r="T1995" t="str">
            <v>SOUTH</v>
          </cell>
          <cell r="U1995" t="str">
            <v>深圳</v>
          </cell>
          <cell r="V1995" t="str">
            <v>SZ 深圳</v>
          </cell>
          <cell r="W1995" t="str">
            <v>DZ</v>
          </cell>
          <cell r="X1995" t="str">
            <v>RMB</v>
          </cell>
          <cell r="Y1995">
            <v>1475000</v>
          </cell>
          <cell r="Z1995">
            <v>1.1299999999999999</v>
          </cell>
          <cell r="AA1995">
            <v>1475000</v>
          </cell>
          <cell r="AB1995">
            <v>1.1599999999999999</v>
          </cell>
          <cell r="AC1995">
            <v>1514159.2920353983</v>
          </cell>
          <cell r="AD1995">
            <v>181699.1150442478</v>
          </cell>
          <cell r="AE1995">
            <v>0.12</v>
          </cell>
          <cell r="AF1995">
            <v>44978</v>
          </cell>
          <cell r="AG1995" t="str">
            <v>DDP HZ</v>
          </cell>
          <cell r="AK1995">
            <v>0.2</v>
          </cell>
          <cell r="AL1995">
            <v>295000</v>
          </cell>
          <cell r="AM1995">
            <v>44981</v>
          </cell>
          <cell r="AN1995" t="str">
            <v>Yes</v>
          </cell>
          <cell r="AO1995">
            <v>0.8</v>
          </cell>
          <cell r="AP1995">
            <v>1180000</v>
          </cell>
          <cell r="AQ1995">
            <v>45056</v>
          </cell>
          <cell r="AR1995">
            <v>45056</v>
          </cell>
          <cell r="AS1995">
            <v>0</v>
          </cell>
          <cell r="AT1995">
            <v>0</v>
          </cell>
          <cell r="AX1995" t="str">
            <v>Yes</v>
          </cell>
          <cell r="AZ1995" t="str">
            <v>Y</v>
          </cell>
          <cell r="BA1995" t="str">
            <v>Yes</v>
          </cell>
        </row>
        <row r="1996">
          <cell r="B1996">
            <v>1846</v>
          </cell>
          <cell r="C1996" t="str">
            <v>C49SZX20230023R1SX</v>
          </cell>
          <cell r="D1996" t="str">
            <v>裕达盛</v>
          </cell>
          <cell r="E1996" t="str">
            <v>YSM10</v>
          </cell>
          <cell r="I1996" t="str">
            <v>L-&gt;R</v>
          </cell>
          <cell r="J1996" t="str">
            <v>MVC</v>
          </cell>
          <cell r="K1996">
            <v>1</v>
          </cell>
          <cell r="N1996">
            <v>45006</v>
          </cell>
          <cell r="O1996">
            <v>11100603</v>
          </cell>
          <cell r="P1996">
            <v>419500</v>
          </cell>
          <cell r="Q1996">
            <v>45013</v>
          </cell>
          <cell r="R1996" t="str">
            <v>No</v>
          </cell>
          <cell r="S1996" t="str">
            <v>C49</v>
          </cell>
          <cell r="T1996" t="str">
            <v>SOUTH</v>
          </cell>
          <cell r="U1996" t="str">
            <v>深圳</v>
          </cell>
          <cell r="V1996" t="str">
            <v>SZ 深圳</v>
          </cell>
          <cell r="W1996" t="str">
            <v>SX</v>
          </cell>
          <cell r="X1996" t="str">
            <v>RMB</v>
          </cell>
          <cell r="Y1996">
            <v>415000</v>
          </cell>
          <cell r="Z1996">
            <v>1.1299999999999999</v>
          </cell>
          <cell r="AA1996">
            <v>419500</v>
          </cell>
          <cell r="AB1996">
            <v>1.1599999999999999</v>
          </cell>
          <cell r="AC1996">
            <v>430637.16814159293</v>
          </cell>
          <cell r="AD1996">
            <v>51676.460176991153</v>
          </cell>
          <cell r="AE1996">
            <v>0.12</v>
          </cell>
          <cell r="AF1996">
            <v>44979</v>
          </cell>
          <cell r="AG1996" t="str">
            <v>DDP HZ</v>
          </cell>
          <cell r="AI1996">
            <v>10000</v>
          </cell>
          <cell r="AJ1996">
            <v>44984</v>
          </cell>
          <cell r="AK1996">
            <v>0.1</v>
          </cell>
          <cell r="AL1996">
            <v>41500</v>
          </cell>
          <cell r="AM1996">
            <v>44984</v>
          </cell>
          <cell r="AN1996" t="str">
            <v>Yes</v>
          </cell>
          <cell r="AO1996">
            <v>0.9</v>
          </cell>
          <cell r="AP1996">
            <v>377550</v>
          </cell>
          <cell r="AQ1996">
            <v>45005</v>
          </cell>
          <cell r="AR1996">
            <v>45005</v>
          </cell>
          <cell r="AS1996">
            <v>0</v>
          </cell>
          <cell r="AT1996">
            <v>0</v>
          </cell>
          <cell r="AX1996" t="str">
            <v>Yes</v>
          </cell>
          <cell r="AZ1996" t="str">
            <v>Y</v>
          </cell>
          <cell r="BA1996" t="str">
            <v>Yes</v>
          </cell>
        </row>
        <row r="1997">
          <cell r="B1997">
            <v>1847</v>
          </cell>
          <cell r="C1997" t="str">
            <v>C49SZX20230024MZ</v>
          </cell>
          <cell r="D1997" t="str">
            <v>斯路迅</v>
          </cell>
          <cell r="E1997" t="str">
            <v>YSM10</v>
          </cell>
          <cell r="I1997" t="str">
            <v>L-&gt;R</v>
          </cell>
          <cell r="J1997" t="str">
            <v>MVC</v>
          </cell>
          <cell r="K1997">
            <v>1</v>
          </cell>
          <cell r="N1997">
            <v>44990</v>
          </cell>
          <cell r="O1997">
            <v>11100590</v>
          </cell>
          <cell r="P1997">
            <v>400000</v>
          </cell>
          <cell r="Q1997">
            <v>44999</v>
          </cell>
          <cell r="R1997" t="str">
            <v>No</v>
          </cell>
          <cell r="S1997" t="str">
            <v>C49</v>
          </cell>
          <cell r="T1997" t="str">
            <v>SOUTH</v>
          </cell>
          <cell r="U1997" t="str">
            <v>深圳</v>
          </cell>
          <cell r="V1997" t="str">
            <v>SZ 深圳</v>
          </cell>
          <cell r="W1997" t="str">
            <v>MZ</v>
          </cell>
          <cell r="X1997" t="str">
            <v>RMB</v>
          </cell>
          <cell r="Y1997">
            <v>400000</v>
          </cell>
          <cell r="Z1997">
            <v>1.1299999999999999</v>
          </cell>
          <cell r="AA1997">
            <v>400000</v>
          </cell>
          <cell r="AB1997">
            <v>1.1599999999999999</v>
          </cell>
          <cell r="AC1997">
            <v>410619.46902654867</v>
          </cell>
          <cell r="AD1997">
            <v>49274.336283185839</v>
          </cell>
          <cell r="AE1997">
            <v>0.12</v>
          </cell>
          <cell r="AF1997">
            <v>44978</v>
          </cell>
          <cell r="AG1997" t="str">
            <v>DDP SZ</v>
          </cell>
          <cell r="AK1997">
            <v>0.1</v>
          </cell>
          <cell r="AL1997">
            <v>40000</v>
          </cell>
          <cell r="AM1997">
            <v>44987</v>
          </cell>
          <cell r="AN1997" t="str">
            <v>Yes</v>
          </cell>
          <cell r="AO1997">
            <v>0.9</v>
          </cell>
          <cell r="AP1997">
            <v>360000</v>
          </cell>
          <cell r="AQ1997">
            <v>44988</v>
          </cell>
          <cell r="AR1997">
            <v>44988</v>
          </cell>
          <cell r="AS1997">
            <v>0</v>
          </cell>
          <cell r="AT1997">
            <v>0</v>
          </cell>
          <cell r="AX1997" t="str">
            <v>Yes</v>
          </cell>
          <cell r="AZ1997" t="str">
            <v>Y</v>
          </cell>
          <cell r="BA1997" t="str">
            <v>Yes</v>
          </cell>
        </row>
        <row r="1998">
          <cell r="B1998">
            <v>1848</v>
          </cell>
          <cell r="C1998" t="str">
            <v>C49SZX20230024MZ</v>
          </cell>
          <cell r="D1998" t="str">
            <v>斯路迅</v>
          </cell>
          <cell r="E1998" t="str">
            <v>YSM20R-2</v>
          </cell>
          <cell r="I1998" t="str">
            <v>L-&gt;R</v>
          </cell>
          <cell r="J1998" t="str">
            <v>No</v>
          </cell>
          <cell r="K1998">
            <v>1</v>
          </cell>
          <cell r="N1998">
            <v>44990</v>
          </cell>
          <cell r="O1998">
            <v>11100590</v>
          </cell>
          <cell r="P1998">
            <v>700000</v>
          </cell>
          <cell r="Q1998">
            <v>44999</v>
          </cell>
          <cell r="R1998" t="str">
            <v>No</v>
          </cell>
          <cell r="S1998" t="str">
            <v>C49</v>
          </cell>
          <cell r="T1998" t="str">
            <v>SOUTH</v>
          </cell>
          <cell r="U1998" t="str">
            <v>深圳</v>
          </cell>
          <cell r="V1998" t="str">
            <v>SZ 深圳</v>
          </cell>
          <cell r="W1998" t="str">
            <v>MZ</v>
          </cell>
          <cell r="X1998" t="str">
            <v>RMB</v>
          </cell>
          <cell r="Y1998">
            <v>700000</v>
          </cell>
          <cell r="Z1998">
            <v>1.1299999999999999</v>
          </cell>
          <cell r="AA1998">
            <v>700000</v>
          </cell>
          <cell r="AB1998">
            <v>1.1599999999999999</v>
          </cell>
          <cell r="AC1998">
            <v>718584.07079646015</v>
          </cell>
          <cell r="AD1998">
            <v>86230.088495575212</v>
          </cell>
          <cell r="AE1998">
            <v>0.12</v>
          </cell>
          <cell r="AF1998">
            <v>44978</v>
          </cell>
          <cell r="AG1998" t="str">
            <v>DDP SZ</v>
          </cell>
          <cell r="AK1998">
            <v>0.1</v>
          </cell>
          <cell r="AL1998">
            <v>70000</v>
          </cell>
          <cell r="AM1998">
            <v>44987</v>
          </cell>
          <cell r="AN1998" t="str">
            <v>Yes</v>
          </cell>
          <cell r="AO1998">
            <v>0.9</v>
          </cell>
          <cell r="AP1998">
            <v>630000</v>
          </cell>
          <cell r="AQ1998">
            <v>44988</v>
          </cell>
          <cell r="AR1998">
            <v>44988</v>
          </cell>
          <cell r="AS1998">
            <v>0</v>
          </cell>
          <cell r="AT1998">
            <v>0</v>
          </cell>
          <cell r="AX1998" t="str">
            <v>Yes</v>
          </cell>
          <cell r="AZ1998" t="str">
            <v>Y</v>
          </cell>
          <cell r="BA1998" t="str">
            <v>Yes</v>
          </cell>
        </row>
        <row r="1999">
          <cell r="B1999">
            <v>1849</v>
          </cell>
          <cell r="C1999" t="str">
            <v>C49SZX20230028JY</v>
          </cell>
          <cell r="D1999" t="str">
            <v>建航</v>
          </cell>
          <cell r="E1999" t="str">
            <v>YSM10</v>
          </cell>
          <cell r="I1999" t="str">
            <v>L-&gt;R</v>
          </cell>
          <cell r="J1999" t="str">
            <v>MVC</v>
          </cell>
          <cell r="K1999">
            <v>1</v>
          </cell>
          <cell r="N1999">
            <v>45031</v>
          </cell>
          <cell r="O1999">
            <v>11100608</v>
          </cell>
          <cell r="P1999">
            <v>739000</v>
          </cell>
          <cell r="Q1999">
            <v>45034</v>
          </cell>
          <cell r="R1999" t="str">
            <v>No</v>
          </cell>
          <cell r="S1999" t="str">
            <v>C49</v>
          </cell>
          <cell r="T1999" t="str">
            <v>SOUTH</v>
          </cell>
          <cell r="U1999" t="str">
            <v>深圳</v>
          </cell>
          <cell r="V1999" t="str">
            <v>SZ 深圳</v>
          </cell>
          <cell r="W1999" t="str">
            <v>JY</v>
          </cell>
          <cell r="X1999" t="str">
            <v>RMB</v>
          </cell>
          <cell r="Y1999">
            <v>739000</v>
          </cell>
          <cell r="Z1999">
            <v>1.1299999999999999</v>
          </cell>
          <cell r="AA1999">
            <v>739000</v>
          </cell>
          <cell r="AB1999">
            <v>1.1599999999999999</v>
          </cell>
          <cell r="AC1999">
            <v>758619.46902654867</v>
          </cell>
          <cell r="AD1999">
            <v>91034.336283185839</v>
          </cell>
          <cell r="AE1999">
            <v>0.12</v>
          </cell>
          <cell r="AF1999">
            <v>44980</v>
          </cell>
          <cell r="AG1999" t="str">
            <v>DDP SZ</v>
          </cell>
          <cell r="AI1999"/>
          <cell r="AK1999">
            <v>0.1</v>
          </cell>
          <cell r="AL1999">
            <v>73900</v>
          </cell>
          <cell r="AM1999">
            <v>45023</v>
          </cell>
          <cell r="AN1999" t="str">
            <v>Yes</v>
          </cell>
          <cell r="AO1999">
            <v>0.9</v>
          </cell>
          <cell r="AP1999">
            <v>665100</v>
          </cell>
          <cell r="AQ1999">
            <v>45026</v>
          </cell>
          <cell r="AR1999">
            <v>45026</v>
          </cell>
          <cell r="AS1999">
            <v>0</v>
          </cell>
          <cell r="AT1999">
            <v>0</v>
          </cell>
          <cell r="AX1999" t="str">
            <v>Yes</v>
          </cell>
          <cell r="AZ1999" t="str">
            <v>Y</v>
          </cell>
          <cell r="BA1999" t="str">
            <v>Yes</v>
          </cell>
        </row>
        <row r="2000">
          <cell r="B2000">
            <v>1850</v>
          </cell>
          <cell r="C2000" t="str">
            <v>C49SZX20230025DZ</v>
          </cell>
          <cell r="D2000" t="str">
            <v>兆晖</v>
          </cell>
          <cell r="E2000" t="str">
            <v>YSM20R-2</v>
          </cell>
          <cell r="I2000" t="str">
            <v>R-&gt;L</v>
          </cell>
          <cell r="J2000" t="str">
            <v>No</v>
          </cell>
          <cell r="K2000">
            <v>1</v>
          </cell>
          <cell r="N2000">
            <v>44999</v>
          </cell>
          <cell r="O2000">
            <v>11100597</v>
          </cell>
          <cell r="P2000">
            <v>720000</v>
          </cell>
          <cell r="Q2000">
            <v>45008</v>
          </cell>
          <cell r="R2000" t="str">
            <v>No</v>
          </cell>
          <cell r="S2000" t="str">
            <v>C49</v>
          </cell>
          <cell r="T2000" t="str">
            <v>SOUTH</v>
          </cell>
          <cell r="U2000" t="str">
            <v>深圳</v>
          </cell>
          <cell r="V2000" t="str">
            <v>SZ 深圳</v>
          </cell>
          <cell r="W2000" t="str">
            <v>EC</v>
          </cell>
          <cell r="X2000" t="str">
            <v>RMB</v>
          </cell>
          <cell r="Y2000">
            <v>720000</v>
          </cell>
          <cell r="Z2000">
            <v>1.1299999999999999</v>
          </cell>
          <cell r="AA2000">
            <v>720000</v>
          </cell>
          <cell r="AB2000">
            <v>1.1599999999999999</v>
          </cell>
          <cell r="AC2000">
            <v>739115.04424778768</v>
          </cell>
          <cell r="AD2000">
            <v>88693.805309734511</v>
          </cell>
          <cell r="AE2000">
            <v>0.12</v>
          </cell>
          <cell r="AF2000">
            <v>44979</v>
          </cell>
          <cell r="AG2000" t="str">
            <v>DDP SZ</v>
          </cell>
          <cell r="AK2000">
            <v>0.1</v>
          </cell>
          <cell r="AL2000">
            <v>72000</v>
          </cell>
          <cell r="AM2000">
            <v>44986</v>
          </cell>
          <cell r="AN2000" t="str">
            <v>Yes</v>
          </cell>
          <cell r="AO2000">
            <v>0.9</v>
          </cell>
          <cell r="AP2000">
            <v>648000</v>
          </cell>
          <cell r="AQ2000">
            <v>44995</v>
          </cell>
          <cell r="AR2000">
            <v>44995</v>
          </cell>
          <cell r="AS2000">
            <v>0</v>
          </cell>
          <cell r="AT2000">
            <v>0</v>
          </cell>
          <cell r="AX2000" t="str">
            <v>Yes</v>
          </cell>
          <cell r="AZ2000" t="str">
            <v>Y</v>
          </cell>
          <cell r="BA2000" t="str">
            <v>Yes</v>
          </cell>
        </row>
        <row r="2001">
          <cell r="B2001">
            <v>1851</v>
          </cell>
          <cell r="C2001" t="str">
            <v>C49SZX20230025DZ</v>
          </cell>
          <cell r="D2001" t="str">
            <v>兆晖</v>
          </cell>
          <cell r="E2001" t="str">
            <v>YSM10</v>
          </cell>
          <cell r="I2001" t="str">
            <v>R-&gt;L</v>
          </cell>
          <cell r="J2001" t="str">
            <v>MVC</v>
          </cell>
          <cell r="K2001">
            <v>1</v>
          </cell>
          <cell r="N2001">
            <v>44999</v>
          </cell>
          <cell r="O2001">
            <v>11100597</v>
          </cell>
          <cell r="P2001">
            <v>430000</v>
          </cell>
          <cell r="Q2001">
            <v>45008</v>
          </cell>
          <cell r="R2001" t="str">
            <v>No</v>
          </cell>
          <cell r="S2001" t="str">
            <v>C49</v>
          </cell>
          <cell r="T2001" t="str">
            <v>SOUTH</v>
          </cell>
          <cell r="U2001" t="str">
            <v>深圳</v>
          </cell>
          <cell r="V2001" t="str">
            <v>SZ 深圳</v>
          </cell>
          <cell r="W2001" t="str">
            <v>EC</v>
          </cell>
          <cell r="X2001" t="str">
            <v>RMB</v>
          </cell>
          <cell r="Y2001">
            <v>430000</v>
          </cell>
          <cell r="Z2001">
            <v>1.1299999999999999</v>
          </cell>
          <cell r="AA2001">
            <v>430000</v>
          </cell>
          <cell r="AB2001">
            <v>1.1599999999999999</v>
          </cell>
          <cell r="AC2001">
            <v>441415.92920353985</v>
          </cell>
          <cell r="AD2001">
            <v>52969.911504424781</v>
          </cell>
          <cell r="AE2001">
            <v>0.12</v>
          </cell>
          <cell r="AF2001">
            <v>44979</v>
          </cell>
          <cell r="AG2001" t="str">
            <v>DDP SZ</v>
          </cell>
          <cell r="AK2001">
            <v>0.1</v>
          </cell>
          <cell r="AL2001">
            <v>43000</v>
          </cell>
          <cell r="AM2001">
            <v>44986</v>
          </cell>
          <cell r="AN2001" t="str">
            <v>Yes</v>
          </cell>
          <cell r="AO2001">
            <v>0.9</v>
          </cell>
          <cell r="AP2001">
            <v>387000</v>
          </cell>
          <cell r="AQ2001">
            <v>44995</v>
          </cell>
          <cell r="AR2001">
            <v>44995</v>
          </cell>
          <cell r="AS2001">
            <v>0</v>
          </cell>
          <cell r="AT2001">
            <v>0</v>
          </cell>
          <cell r="AX2001" t="str">
            <v>Yes</v>
          </cell>
          <cell r="AZ2001" t="str">
            <v>Y</v>
          </cell>
          <cell r="BA2001" t="str">
            <v>Yes</v>
          </cell>
        </row>
        <row r="2002">
          <cell r="B2002">
            <v>1852</v>
          </cell>
          <cell r="C2002" t="str">
            <v>C49SZX20230026EC</v>
          </cell>
          <cell r="D2002" t="str">
            <v>乐福源</v>
          </cell>
          <cell r="E2002" t="str">
            <v>YSM20R-2</v>
          </cell>
          <cell r="I2002" t="str">
            <v>L-&gt;R</v>
          </cell>
          <cell r="J2002" t="str">
            <v>No</v>
          </cell>
          <cell r="K2002">
            <v>1</v>
          </cell>
          <cell r="N2002">
            <v>45029</v>
          </cell>
          <cell r="O2002">
            <v>11100609</v>
          </cell>
          <cell r="P2002">
            <v>850000</v>
          </cell>
          <cell r="Q2002">
            <v>45034</v>
          </cell>
          <cell r="R2002" t="str">
            <v>Yes</v>
          </cell>
          <cell r="S2002" t="str">
            <v>C49</v>
          </cell>
          <cell r="T2002" t="str">
            <v>SOUTH</v>
          </cell>
          <cell r="U2002" t="str">
            <v>深圳</v>
          </cell>
          <cell r="V2002" t="str">
            <v>SZ 深圳</v>
          </cell>
          <cell r="W2002" t="str">
            <v>EC</v>
          </cell>
          <cell r="X2002" t="str">
            <v>RMB</v>
          </cell>
          <cell r="Y2002">
            <v>850000</v>
          </cell>
          <cell r="Z2002">
            <v>1.1299999999999999</v>
          </cell>
          <cell r="AA2002">
            <v>850000</v>
          </cell>
          <cell r="AB2002">
            <v>1.1599999999999999</v>
          </cell>
          <cell r="AC2002">
            <v>872566.37168141594</v>
          </cell>
          <cell r="AD2002">
            <v>104707.96460176991</v>
          </cell>
          <cell r="AE2002">
            <v>0.12</v>
          </cell>
          <cell r="AF2002">
            <v>44979</v>
          </cell>
          <cell r="AG2002" t="str">
            <v>DDP HZ</v>
          </cell>
          <cell r="AK2002">
            <v>0.1</v>
          </cell>
          <cell r="AL2002">
            <v>85000</v>
          </cell>
          <cell r="AM2002">
            <v>44981</v>
          </cell>
          <cell r="AN2002" t="str">
            <v>Yes</v>
          </cell>
          <cell r="AO2002">
            <v>0.9</v>
          </cell>
          <cell r="AP2002">
            <v>765000</v>
          </cell>
          <cell r="AQ2002">
            <v>45026</v>
          </cell>
          <cell r="AR2002">
            <v>45026</v>
          </cell>
          <cell r="AS2002">
            <v>0</v>
          </cell>
          <cell r="AT2002">
            <v>0</v>
          </cell>
          <cell r="AX2002" t="str">
            <v>Yes</v>
          </cell>
          <cell r="AZ2002" t="str">
            <v>Y</v>
          </cell>
          <cell r="BA2002" t="str">
            <v>Yes</v>
          </cell>
        </row>
        <row r="2003">
          <cell r="B2003">
            <v>1853</v>
          </cell>
          <cell r="C2003" t="str">
            <v>C49SZX20230026EC</v>
          </cell>
          <cell r="D2003" t="str">
            <v>乐福源</v>
          </cell>
          <cell r="E2003" t="str">
            <v>YSM10</v>
          </cell>
          <cell r="I2003" t="str">
            <v>L-&gt;R</v>
          </cell>
          <cell r="J2003" t="str">
            <v>MVC</v>
          </cell>
          <cell r="K2003">
            <v>1</v>
          </cell>
          <cell r="N2003">
            <v>45029</v>
          </cell>
          <cell r="O2003">
            <v>11100609</v>
          </cell>
          <cell r="P2003">
            <v>500000</v>
          </cell>
          <cell r="Q2003">
            <v>45034</v>
          </cell>
          <cell r="R2003" t="str">
            <v>Yes</v>
          </cell>
          <cell r="S2003" t="str">
            <v>C49</v>
          </cell>
          <cell r="T2003" t="str">
            <v>SOUTH</v>
          </cell>
          <cell r="U2003" t="str">
            <v>深圳</v>
          </cell>
          <cell r="V2003" t="str">
            <v>SZ 深圳</v>
          </cell>
          <cell r="W2003" t="str">
            <v>EC</v>
          </cell>
          <cell r="X2003" t="str">
            <v>RMB</v>
          </cell>
          <cell r="Y2003">
            <v>500000</v>
          </cell>
          <cell r="Z2003">
            <v>1.1299999999999999</v>
          </cell>
          <cell r="AA2003">
            <v>500000</v>
          </cell>
          <cell r="AB2003">
            <v>1.1599999999999999</v>
          </cell>
          <cell r="AC2003">
            <v>513274.33628318587</v>
          </cell>
          <cell r="AD2003">
            <v>61592.920353982299</v>
          </cell>
          <cell r="AE2003">
            <v>0.12</v>
          </cell>
          <cell r="AF2003">
            <v>44979</v>
          </cell>
          <cell r="AG2003" t="str">
            <v>DDP HZ</v>
          </cell>
          <cell r="AK2003">
            <v>0.1</v>
          </cell>
          <cell r="AL2003">
            <v>50000</v>
          </cell>
          <cell r="AM2003">
            <v>44981</v>
          </cell>
          <cell r="AN2003" t="str">
            <v>Yes</v>
          </cell>
          <cell r="AO2003">
            <v>0.9</v>
          </cell>
          <cell r="AP2003">
            <v>450000</v>
          </cell>
          <cell r="AQ2003">
            <v>45026</v>
          </cell>
          <cell r="AR2003">
            <v>45026</v>
          </cell>
          <cell r="AS2003">
            <v>0</v>
          </cell>
          <cell r="AT2003">
            <v>0</v>
          </cell>
          <cell r="AX2003" t="str">
            <v>Yes</v>
          </cell>
          <cell r="AZ2003" t="str">
            <v>Y</v>
          </cell>
          <cell r="BA2003" t="str">
            <v>Yes</v>
          </cell>
        </row>
        <row r="2004">
          <cell r="B2004">
            <v>1854</v>
          </cell>
          <cell r="C2004" t="str">
            <v>C49SZX20230030JY</v>
          </cell>
          <cell r="D2004" t="str">
            <v>和创永泰</v>
          </cell>
          <cell r="E2004" t="str">
            <v>YSM10</v>
          </cell>
          <cell r="I2004" t="str">
            <v>L-&gt;R</v>
          </cell>
          <cell r="J2004" t="str">
            <v>MVC</v>
          </cell>
          <cell r="K2004">
            <v>1</v>
          </cell>
          <cell r="N2004">
            <v>44987</v>
          </cell>
          <cell r="O2004">
            <v>11100587</v>
          </cell>
          <cell r="P2004">
            <v>520000</v>
          </cell>
          <cell r="Q2004">
            <v>44992</v>
          </cell>
          <cell r="R2004" t="str">
            <v>No</v>
          </cell>
          <cell r="S2004" t="str">
            <v>C49</v>
          </cell>
          <cell r="T2004" t="str">
            <v>SOUTH</v>
          </cell>
          <cell r="U2004" t="str">
            <v>深圳</v>
          </cell>
          <cell r="V2004" t="str">
            <v>SZ 深圳</v>
          </cell>
          <cell r="W2004" t="str">
            <v>JY</v>
          </cell>
          <cell r="X2004" t="str">
            <v>RMB</v>
          </cell>
          <cell r="Y2004">
            <v>520000</v>
          </cell>
          <cell r="Z2004">
            <v>1.1299999999999999</v>
          </cell>
          <cell r="AA2004">
            <v>520000</v>
          </cell>
          <cell r="AB2004">
            <v>1.1599999999999999</v>
          </cell>
          <cell r="AC2004">
            <v>533805.30973451328</v>
          </cell>
          <cell r="AD2004">
            <v>64056.637168141591</v>
          </cell>
          <cell r="AE2004">
            <v>0.12</v>
          </cell>
          <cell r="AF2004">
            <v>44980</v>
          </cell>
          <cell r="AG2004" t="str">
            <v>DDP SZ</v>
          </cell>
          <cell r="AK2004">
            <v>0.1</v>
          </cell>
          <cell r="AL2004">
            <v>52000</v>
          </cell>
          <cell r="AM2004">
            <v>44985</v>
          </cell>
          <cell r="AN2004" t="str">
            <v>Yes</v>
          </cell>
          <cell r="AO2004">
            <v>0.9</v>
          </cell>
          <cell r="AP2004">
            <v>468000</v>
          </cell>
          <cell r="AQ2004">
            <v>44985</v>
          </cell>
          <cell r="AR2004">
            <v>44985</v>
          </cell>
          <cell r="AS2004">
            <v>0</v>
          </cell>
          <cell r="AT2004">
            <v>0</v>
          </cell>
          <cell r="AX2004" t="str">
            <v>Yes</v>
          </cell>
          <cell r="AZ2004" t="str">
            <v>Y</v>
          </cell>
          <cell r="BA2004" t="str">
            <v>Yes</v>
          </cell>
        </row>
        <row r="2005">
          <cell r="B2005">
            <v>1855</v>
          </cell>
          <cell r="C2005" t="str">
            <v>C49SZX20230020SX</v>
          </cell>
          <cell r="D2005" t="str">
            <v>奕东</v>
          </cell>
          <cell r="E2005" t="str">
            <v>YSM10</v>
          </cell>
          <cell r="I2005" t="str">
            <v>L-&gt;R</v>
          </cell>
          <cell r="J2005" t="str">
            <v>MVC +大板相机</v>
          </cell>
          <cell r="K2005">
            <v>1</v>
          </cell>
          <cell r="N2005">
            <v>45089</v>
          </cell>
          <cell r="O2005">
            <v>11100632</v>
          </cell>
          <cell r="P2005">
            <v>710000</v>
          </cell>
          <cell r="Q2005">
            <v>45103</v>
          </cell>
          <cell r="R2005" t="str">
            <v>No</v>
          </cell>
          <cell r="S2005" t="str">
            <v>C49</v>
          </cell>
          <cell r="T2005" t="str">
            <v>SOUTH</v>
          </cell>
          <cell r="U2005" t="str">
            <v>深圳</v>
          </cell>
          <cell r="V2005" t="str">
            <v>SZ 深圳</v>
          </cell>
          <cell r="W2005" t="str">
            <v>SX</v>
          </cell>
          <cell r="X2005" t="str">
            <v>RMB</v>
          </cell>
          <cell r="Y2005">
            <v>710000</v>
          </cell>
          <cell r="Z2005">
            <v>1.1299999999999999</v>
          </cell>
          <cell r="AA2005">
            <v>710000</v>
          </cell>
          <cell r="AB2005">
            <v>1.1599999999999999</v>
          </cell>
          <cell r="AC2005">
            <v>728849.55752212391</v>
          </cell>
          <cell r="AD2005">
            <v>87461.946902654861</v>
          </cell>
          <cell r="AE2005">
            <v>0.12</v>
          </cell>
          <cell r="AF2005" t="str">
            <v>2023-2--20</v>
          </cell>
          <cell r="AG2005" t="str">
            <v>DDP DG</v>
          </cell>
          <cell r="AK2005">
            <v>0.3</v>
          </cell>
          <cell r="AL2005">
            <v>213000</v>
          </cell>
          <cell r="AM2005">
            <v>45006</v>
          </cell>
          <cell r="AN2005" t="str">
            <v>Yes</v>
          </cell>
          <cell r="AO2005">
            <v>0.7</v>
          </cell>
          <cell r="AP2005">
            <v>496999.99999999994</v>
          </cell>
          <cell r="AQ2005">
            <v>45086</v>
          </cell>
          <cell r="AR2005">
            <v>45086</v>
          </cell>
          <cell r="AS2005">
            <v>0</v>
          </cell>
          <cell r="AT2005">
            <v>0</v>
          </cell>
          <cell r="AX2005" t="str">
            <v>Yes</v>
          </cell>
          <cell r="AZ2005" t="str">
            <v>Y</v>
          </cell>
          <cell r="BA2005" t="str">
            <v>Yes</v>
          </cell>
        </row>
        <row r="2006">
          <cell r="B2006">
            <v>1856</v>
          </cell>
          <cell r="C2006" t="str">
            <v>C49SZX20230029SS</v>
          </cell>
          <cell r="D2006" t="str">
            <v>龙大光电</v>
          </cell>
          <cell r="E2006" t="str">
            <v>YSM40R-4</v>
          </cell>
          <cell r="I2006" t="str">
            <v>R-&gt;L</v>
          </cell>
          <cell r="J2006" t="str">
            <v>No</v>
          </cell>
          <cell r="K2006">
            <v>1</v>
          </cell>
          <cell r="N2006">
            <v>45042</v>
          </cell>
          <cell r="O2006">
            <v>11100616</v>
          </cell>
          <cell r="P2006">
            <v>1210000</v>
          </cell>
          <cell r="Q2006">
            <v>45043</v>
          </cell>
          <cell r="R2006" t="str">
            <v>No</v>
          </cell>
          <cell r="S2006" t="str">
            <v>C49</v>
          </cell>
          <cell r="T2006" t="str">
            <v>SOUTH</v>
          </cell>
          <cell r="U2006" t="str">
            <v>深圳</v>
          </cell>
          <cell r="V2006" t="str">
            <v>SZ 深圳</v>
          </cell>
          <cell r="W2006" t="str">
            <v>SS</v>
          </cell>
          <cell r="X2006" t="str">
            <v>RMB</v>
          </cell>
          <cell r="Y2006">
            <v>1210000</v>
          </cell>
          <cell r="Z2006">
            <v>1.1299999999999999</v>
          </cell>
          <cell r="AA2006">
            <v>1210000</v>
          </cell>
          <cell r="AB2006">
            <v>1.1599999999999999</v>
          </cell>
          <cell r="AC2006">
            <v>1242123.8938053099</v>
          </cell>
          <cell r="AD2006">
            <v>149054.86725663717</v>
          </cell>
          <cell r="AE2006">
            <v>0.12</v>
          </cell>
          <cell r="AF2006">
            <v>44985</v>
          </cell>
          <cell r="AG2006" t="str">
            <v>DDP SZ</v>
          </cell>
          <cell r="AK2006">
            <v>0.1</v>
          </cell>
          <cell r="AL2006">
            <v>121000</v>
          </cell>
          <cell r="AM2006">
            <v>44987</v>
          </cell>
          <cell r="AN2006" t="str">
            <v>Yes</v>
          </cell>
          <cell r="AO2006">
            <v>0.9</v>
          </cell>
          <cell r="AP2006">
            <v>1089000</v>
          </cell>
          <cell r="AQ2006">
            <v>45093</v>
          </cell>
          <cell r="AR2006">
            <v>45093</v>
          </cell>
          <cell r="AS2006">
            <v>0</v>
          </cell>
          <cell r="AT2006">
            <v>0</v>
          </cell>
          <cell r="AX2006" t="str">
            <v>Yes</v>
          </cell>
          <cell r="AZ2006" t="str">
            <v>Y</v>
          </cell>
          <cell r="BA2006" t="str">
            <v>Yes</v>
          </cell>
        </row>
        <row r="2007">
          <cell r="B2007">
            <v>1857</v>
          </cell>
          <cell r="C2007" t="str">
            <v>C49SZX20230029SS</v>
          </cell>
          <cell r="D2007" t="str">
            <v>龙大光电</v>
          </cell>
          <cell r="E2007" t="str">
            <v>YSM40R-4</v>
          </cell>
          <cell r="I2007" t="str">
            <v>R-&gt;L</v>
          </cell>
          <cell r="J2007" t="str">
            <v>No</v>
          </cell>
          <cell r="K2007">
            <v>1</v>
          </cell>
          <cell r="N2007">
            <v>45042</v>
          </cell>
          <cell r="O2007">
            <v>11100616</v>
          </cell>
          <cell r="P2007">
            <v>1210000</v>
          </cell>
          <cell r="Q2007">
            <v>45043</v>
          </cell>
          <cell r="R2007" t="str">
            <v>No</v>
          </cell>
          <cell r="S2007" t="str">
            <v>C49</v>
          </cell>
          <cell r="T2007" t="str">
            <v>SOUTH</v>
          </cell>
          <cell r="U2007" t="str">
            <v>深圳</v>
          </cell>
          <cell r="V2007" t="str">
            <v>SZ 深圳</v>
          </cell>
          <cell r="W2007" t="str">
            <v>SS</v>
          </cell>
          <cell r="X2007" t="str">
            <v>RMB</v>
          </cell>
          <cell r="Y2007">
            <v>1210000</v>
          </cell>
          <cell r="Z2007">
            <v>1.1299999999999999</v>
          </cell>
          <cell r="AA2007">
            <v>1210000</v>
          </cell>
          <cell r="AB2007">
            <v>1.1599999999999999</v>
          </cell>
          <cell r="AC2007">
            <v>1242123.8938053099</v>
          </cell>
          <cell r="AD2007">
            <v>149054.86725663717</v>
          </cell>
          <cell r="AE2007">
            <v>0.12</v>
          </cell>
          <cell r="AF2007">
            <v>44985</v>
          </cell>
          <cell r="AG2007" t="str">
            <v>DDP SZ</v>
          </cell>
          <cell r="AK2007">
            <v>0.1</v>
          </cell>
          <cell r="AL2007">
            <v>121000</v>
          </cell>
          <cell r="AM2007">
            <v>44987</v>
          </cell>
          <cell r="AN2007" t="str">
            <v>Yes</v>
          </cell>
          <cell r="AO2007">
            <v>0.9</v>
          </cell>
          <cell r="AP2007">
            <v>1089000</v>
          </cell>
          <cell r="AQ2007">
            <v>45093</v>
          </cell>
          <cell r="AR2007">
            <v>45093</v>
          </cell>
          <cell r="AS2007">
            <v>0</v>
          </cell>
          <cell r="AT2007">
            <v>0</v>
          </cell>
          <cell r="AX2007" t="str">
            <v>Yes</v>
          </cell>
          <cell r="AZ2007" t="str">
            <v>Y</v>
          </cell>
          <cell r="BA2007" t="str">
            <v>Yes</v>
          </cell>
        </row>
        <row r="2008">
          <cell r="B2008">
            <v>1858</v>
          </cell>
          <cell r="C2008" t="str">
            <v>C49SZX20230029SS</v>
          </cell>
          <cell r="D2008" t="str">
            <v>龙大光电</v>
          </cell>
          <cell r="E2008" t="str">
            <v>YSM40R-4</v>
          </cell>
          <cell r="I2008" t="str">
            <v>L-&gt;R</v>
          </cell>
          <cell r="J2008" t="str">
            <v>No</v>
          </cell>
          <cell r="K2008">
            <v>1</v>
          </cell>
          <cell r="N2008">
            <v>45042</v>
          </cell>
          <cell r="O2008">
            <v>11100616</v>
          </cell>
          <cell r="P2008">
            <v>1210000</v>
          </cell>
          <cell r="Q2008">
            <v>45043</v>
          </cell>
          <cell r="R2008" t="str">
            <v>No</v>
          </cell>
          <cell r="S2008" t="str">
            <v>C49</v>
          </cell>
          <cell r="T2008" t="str">
            <v>SOUTH</v>
          </cell>
          <cell r="U2008" t="str">
            <v>深圳</v>
          </cell>
          <cell r="V2008" t="str">
            <v>SZ 深圳</v>
          </cell>
          <cell r="W2008" t="str">
            <v>SS</v>
          </cell>
          <cell r="X2008" t="str">
            <v>RMB</v>
          </cell>
          <cell r="Y2008">
            <v>1210000</v>
          </cell>
          <cell r="Z2008">
            <v>1.1299999999999999</v>
          </cell>
          <cell r="AA2008">
            <v>1210000</v>
          </cell>
          <cell r="AB2008">
            <v>1.1599999999999999</v>
          </cell>
          <cell r="AC2008">
            <v>1242123.8938053099</v>
          </cell>
          <cell r="AD2008">
            <v>149054.86725663717</v>
          </cell>
          <cell r="AE2008">
            <v>0.12</v>
          </cell>
          <cell r="AF2008">
            <v>44985</v>
          </cell>
          <cell r="AG2008" t="str">
            <v>DDP SZ</v>
          </cell>
          <cell r="AK2008">
            <v>0.1</v>
          </cell>
          <cell r="AL2008">
            <v>121000</v>
          </cell>
          <cell r="AM2008">
            <v>44987</v>
          </cell>
          <cell r="AN2008" t="str">
            <v>Yes</v>
          </cell>
          <cell r="AO2008">
            <v>0.9</v>
          </cell>
          <cell r="AP2008">
            <v>1089000</v>
          </cell>
          <cell r="AQ2008">
            <v>45093</v>
          </cell>
          <cell r="AR2008">
            <v>45093</v>
          </cell>
          <cell r="AS2008">
            <v>0</v>
          </cell>
          <cell r="AT2008">
            <v>0</v>
          </cell>
          <cell r="AX2008" t="str">
            <v>Yes</v>
          </cell>
          <cell r="AZ2008" t="str">
            <v>Y</v>
          </cell>
          <cell r="BA2008" t="str">
            <v>Yes</v>
          </cell>
        </row>
        <row r="2009">
          <cell r="B2009">
            <v>1859</v>
          </cell>
          <cell r="C2009" t="str">
            <v>C49SZX20230029SS</v>
          </cell>
          <cell r="D2009" t="str">
            <v>龙大光电</v>
          </cell>
          <cell r="E2009" t="str">
            <v>YSM40R-4</v>
          </cell>
          <cell r="I2009" t="str">
            <v>L-&gt;R</v>
          </cell>
          <cell r="J2009" t="str">
            <v>No</v>
          </cell>
          <cell r="K2009">
            <v>1</v>
          </cell>
          <cell r="N2009">
            <v>45042</v>
          </cell>
          <cell r="O2009">
            <v>11100616</v>
          </cell>
          <cell r="P2009">
            <v>1210000</v>
          </cell>
          <cell r="Q2009">
            <v>45043</v>
          </cell>
          <cell r="R2009" t="str">
            <v>No</v>
          </cell>
          <cell r="S2009" t="str">
            <v>C49</v>
          </cell>
          <cell r="T2009" t="str">
            <v>SOUTH</v>
          </cell>
          <cell r="U2009" t="str">
            <v>深圳</v>
          </cell>
          <cell r="V2009" t="str">
            <v>SZ 深圳</v>
          </cell>
          <cell r="W2009" t="str">
            <v>SS</v>
          </cell>
          <cell r="X2009" t="str">
            <v>RMB</v>
          </cell>
          <cell r="Y2009">
            <v>1210000</v>
          </cell>
          <cell r="Z2009">
            <v>1.1299999999999999</v>
          </cell>
          <cell r="AA2009">
            <v>1210000</v>
          </cell>
          <cell r="AB2009">
            <v>1.1599999999999999</v>
          </cell>
          <cell r="AC2009">
            <v>1242123.8938053099</v>
          </cell>
          <cell r="AD2009">
            <v>149054.86725663717</v>
          </cell>
          <cell r="AE2009">
            <v>0.12</v>
          </cell>
          <cell r="AF2009">
            <v>44985</v>
          </cell>
          <cell r="AG2009" t="str">
            <v>DDP SZ</v>
          </cell>
          <cell r="AK2009">
            <v>0.1</v>
          </cell>
          <cell r="AL2009">
            <v>121000</v>
          </cell>
          <cell r="AM2009">
            <v>44987</v>
          </cell>
          <cell r="AN2009" t="str">
            <v>Yes</v>
          </cell>
          <cell r="AO2009">
            <v>0.9</v>
          </cell>
          <cell r="AP2009">
            <v>1089000</v>
          </cell>
          <cell r="AQ2009">
            <v>45093</v>
          </cell>
          <cell r="AR2009">
            <v>45093</v>
          </cell>
          <cell r="AS2009">
            <v>0</v>
          </cell>
          <cell r="AT2009">
            <v>0</v>
          </cell>
          <cell r="AX2009" t="str">
            <v>Yes</v>
          </cell>
          <cell r="AZ2009" t="str">
            <v>Y</v>
          </cell>
          <cell r="BA2009" t="str">
            <v>Yes</v>
          </cell>
        </row>
        <row r="2010">
          <cell r="B2010">
            <v>1860</v>
          </cell>
          <cell r="C2010" t="str">
            <v>C49SZX20230032R1SS</v>
          </cell>
          <cell r="D2010" t="str">
            <v>四川三创（End use:阿姆斯特）</v>
          </cell>
          <cell r="E2010" t="str">
            <v>YSM20R-2</v>
          </cell>
          <cell r="I2010" t="str">
            <v>L-&gt;R</v>
          </cell>
          <cell r="J2010" t="str">
            <v>No</v>
          </cell>
          <cell r="K2010">
            <v>1</v>
          </cell>
          <cell r="N2010">
            <v>44992</v>
          </cell>
          <cell r="O2010">
            <v>11100592</v>
          </cell>
          <cell r="P2010">
            <v>700000</v>
          </cell>
          <cell r="Q2010">
            <v>45001</v>
          </cell>
          <cell r="R2010" t="str">
            <v>No</v>
          </cell>
          <cell r="S2010" t="str">
            <v>C49</v>
          </cell>
          <cell r="T2010" t="str">
            <v>SOUTH</v>
          </cell>
          <cell r="U2010" t="str">
            <v>深圳</v>
          </cell>
          <cell r="V2010" t="str">
            <v>SZ 深圳</v>
          </cell>
          <cell r="W2010" t="str">
            <v>SS</v>
          </cell>
          <cell r="X2010" t="str">
            <v>RMB</v>
          </cell>
          <cell r="Y2010">
            <v>700000</v>
          </cell>
          <cell r="Z2010">
            <v>1.1299999999999999</v>
          </cell>
          <cell r="AA2010">
            <v>700000</v>
          </cell>
          <cell r="AB2010">
            <v>1.1599999999999999</v>
          </cell>
          <cell r="AC2010">
            <v>718584.07079646015</v>
          </cell>
          <cell r="AD2010">
            <v>86230.088495575212</v>
          </cell>
          <cell r="AE2010">
            <v>0.12</v>
          </cell>
          <cell r="AF2010">
            <v>44985</v>
          </cell>
          <cell r="AG2010" t="str">
            <v>DDP DG</v>
          </cell>
          <cell r="AK2010">
            <v>1</v>
          </cell>
          <cell r="AL2010">
            <v>700000</v>
          </cell>
          <cell r="AM2010">
            <v>44988</v>
          </cell>
          <cell r="AN2010" t="str">
            <v>Yes</v>
          </cell>
          <cell r="AO2010">
            <v>0</v>
          </cell>
          <cell r="AP2010">
            <v>0</v>
          </cell>
          <cell r="AS2010">
            <v>0</v>
          </cell>
          <cell r="AT2010">
            <v>0</v>
          </cell>
          <cell r="AX2010" t="str">
            <v>Yes</v>
          </cell>
          <cell r="AZ2010" t="str">
            <v>Y</v>
          </cell>
          <cell r="BA2010" t="str">
            <v>Yes</v>
          </cell>
        </row>
        <row r="2011">
          <cell r="B2011">
            <v>1861</v>
          </cell>
          <cell r="C2011" t="str">
            <v>C49SZX20230031MZ</v>
          </cell>
          <cell r="D2011" t="str">
            <v>朗迅</v>
          </cell>
          <cell r="E2011" t="str">
            <v>YSM10</v>
          </cell>
          <cell r="I2011" t="str">
            <v>R-&gt;L</v>
          </cell>
          <cell r="J2011" t="str">
            <v>MVC</v>
          </cell>
          <cell r="K2011">
            <v>1</v>
          </cell>
          <cell r="N2011">
            <v>44998</v>
          </cell>
          <cell r="O2011">
            <v>11100593</v>
          </cell>
          <cell r="P2011">
            <v>430000</v>
          </cell>
          <cell r="Q2011">
            <v>45001</v>
          </cell>
          <cell r="R2011" t="str">
            <v>No</v>
          </cell>
          <cell r="S2011" t="str">
            <v>C49</v>
          </cell>
          <cell r="T2011" t="str">
            <v>SOUTH</v>
          </cell>
          <cell r="U2011" t="str">
            <v>深圳</v>
          </cell>
          <cell r="V2011" t="str">
            <v>SZ 深圳</v>
          </cell>
          <cell r="W2011" t="str">
            <v>MZ</v>
          </cell>
          <cell r="X2011" t="str">
            <v>RMB</v>
          </cell>
          <cell r="Y2011">
            <v>430000</v>
          </cell>
          <cell r="Z2011">
            <v>1.1299999999999999</v>
          </cell>
          <cell r="AA2011">
            <v>430000</v>
          </cell>
          <cell r="AB2011">
            <v>1.1299999999999999</v>
          </cell>
          <cell r="AC2011">
            <v>430000</v>
          </cell>
          <cell r="AD2011">
            <v>51600</v>
          </cell>
          <cell r="AE2011">
            <v>0.12</v>
          </cell>
          <cell r="AF2011">
            <v>44985</v>
          </cell>
          <cell r="AG2011" t="str">
            <v>DDP  HZ</v>
          </cell>
          <cell r="AI2011">
            <v>8888</v>
          </cell>
          <cell r="AJ2011">
            <v>44991</v>
          </cell>
          <cell r="AK2011">
            <v>0.1</v>
          </cell>
          <cell r="AL2011">
            <v>43000</v>
          </cell>
          <cell r="AM2011">
            <v>44988</v>
          </cell>
          <cell r="AN2011" t="str">
            <v>Yes</v>
          </cell>
          <cell r="AO2011">
            <v>0.9</v>
          </cell>
          <cell r="AP2011">
            <v>387000</v>
          </cell>
          <cell r="AQ2011">
            <v>44995</v>
          </cell>
          <cell r="AR2011">
            <v>44995</v>
          </cell>
          <cell r="AS2011">
            <v>0</v>
          </cell>
          <cell r="AT2011">
            <v>0</v>
          </cell>
          <cell r="AX2011" t="str">
            <v>Yes</v>
          </cell>
          <cell r="AZ2011" t="str">
            <v>Y</v>
          </cell>
          <cell r="BA2011" t="str">
            <v>Yes</v>
          </cell>
        </row>
        <row r="2012">
          <cell r="B2012">
            <v>1862</v>
          </cell>
          <cell r="C2012" t="str">
            <v>C49SZX20230031MZ</v>
          </cell>
          <cell r="D2012" t="str">
            <v>朗迅</v>
          </cell>
          <cell r="E2012" t="str">
            <v>YSM10</v>
          </cell>
          <cell r="I2012" t="str">
            <v>L-&gt;R</v>
          </cell>
          <cell r="J2012" t="str">
            <v>MVC</v>
          </cell>
          <cell r="K2012">
            <v>1</v>
          </cell>
          <cell r="N2012">
            <v>44998</v>
          </cell>
          <cell r="O2012">
            <v>11100593</v>
          </cell>
          <cell r="P2012">
            <v>430000</v>
          </cell>
          <cell r="Q2012">
            <v>45001</v>
          </cell>
          <cell r="R2012" t="str">
            <v>No</v>
          </cell>
          <cell r="S2012" t="str">
            <v>C49</v>
          </cell>
          <cell r="T2012" t="str">
            <v>SOUTH</v>
          </cell>
          <cell r="U2012" t="str">
            <v>深圳</v>
          </cell>
          <cell r="V2012" t="str">
            <v>SZ 深圳</v>
          </cell>
          <cell r="W2012" t="str">
            <v>MZ</v>
          </cell>
          <cell r="X2012" t="str">
            <v>RMB</v>
          </cell>
          <cell r="Y2012">
            <v>430000</v>
          </cell>
          <cell r="Z2012">
            <v>1.1299999999999999</v>
          </cell>
          <cell r="AA2012">
            <v>430000</v>
          </cell>
          <cell r="AB2012">
            <v>1.1299999999999999</v>
          </cell>
          <cell r="AC2012">
            <v>430000</v>
          </cell>
          <cell r="AD2012">
            <v>51600</v>
          </cell>
          <cell r="AE2012">
            <v>0.12</v>
          </cell>
          <cell r="AF2012">
            <v>44985</v>
          </cell>
          <cell r="AG2012" t="str">
            <v>DDP  HZ</v>
          </cell>
          <cell r="AI2012"/>
          <cell r="AJ2012">
            <v>44991</v>
          </cell>
          <cell r="AK2012">
            <v>0.1</v>
          </cell>
          <cell r="AL2012">
            <v>43000</v>
          </cell>
          <cell r="AM2012">
            <v>44991</v>
          </cell>
          <cell r="AN2012" t="str">
            <v>Yes</v>
          </cell>
          <cell r="AO2012">
            <v>0.9</v>
          </cell>
          <cell r="AP2012">
            <v>387000</v>
          </cell>
          <cell r="AQ2012">
            <v>44995</v>
          </cell>
          <cell r="AR2012">
            <v>44995</v>
          </cell>
          <cell r="AS2012">
            <v>0</v>
          </cell>
          <cell r="AT2012">
            <v>0</v>
          </cell>
          <cell r="AX2012" t="str">
            <v>Yes</v>
          </cell>
          <cell r="AZ2012" t="str">
            <v>Y</v>
          </cell>
          <cell r="BA2012" t="str">
            <v>Yes</v>
          </cell>
        </row>
        <row r="2013">
          <cell r="B2013">
            <v>1863</v>
          </cell>
          <cell r="C2013" t="str">
            <v>C49SZX20230035SX</v>
          </cell>
          <cell r="D2013" t="str">
            <v>博祯</v>
          </cell>
          <cell r="E2013" t="str">
            <v>YSM20R-2</v>
          </cell>
          <cell r="I2013" t="str">
            <v>R-&gt;L</v>
          </cell>
          <cell r="J2013" t="str">
            <v>No</v>
          </cell>
          <cell r="K2013">
            <v>1</v>
          </cell>
          <cell r="N2013">
            <v>45142</v>
          </cell>
          <cell r="O2013">
            <v>11100639</v>
          </cell>
          <cell r="P2013">
            <v>900000</v>
          </cell>
          <cell r="Q2013">
            <v>45135</v>
          </cell>
          <cell r="R2013" t="str">
            <v>Yes</v>
          </cell>
          <cell r="S2013" t="str">
            <v>C49</v>
          </cell>
          <cell r="T2013" t="str">
            <v>SOUTH</v>
          </cell>
          <cell r="U2013" t="str">
            <v>深圳</v>
          </cell>
          <cell r="V2013" t="str">
            <v>SZ 深圳</v>
          </cell>
          <cell r="W2013" t="str">
            <v>SX</v>
          </cell>
          <cell r="X2013" t="str">
            <v>RMB</v>
          </cell>
          <cell r="Y2013">
            <v>900000</v>
          </cell>
          <cell r="Z2013">
            <v>1.1299999999999999</v>
          </cell>
          <cell r="AA2013">
            <v>900000</v>
          </cell>
          <cell r="AB2013">
            <v>1.1299999999999999</v>
          </cell>
          <cell r="AC2013">
            <v>900000</v>
          </cell>
          <cell r="AD2013">
            <v>108000</v>
          </cell>
          <cell r="AE2013">
            <v>0.12</v>
          </cell>
          <cell r="AF2013">
            <v>44986</v>
          </cell>
          <cell r="AG2013" t="str">
            <v>DDP SZ</v>
          </cell>
          <cell r="AK2013">
            <v>0.1</v>
          </cell>
          <cell r="AL2013">
            <v>90000</v>
          </cell>
          <cell r="AM2013">
            <v>44988</v>
          </cell>
          <cell r="AN2013" t="str">
            <v>Yes</v>
          </cell>
          <cell r="AO2013">
            <v>0.9</v>
          </cell>
          <cell r="AP2013">
            <v>810000</v>
          </cell>
          <cell r="AQ2013">
            <v>45135</v>
          </cell>
          <cell r="AR2013">
            <v>45135</v>
          </cell>
          <cell r="AS2013">
            <v>0</v>
          </cell>
          <cell r="AT2013">
            <v>0</v>
          </cell>
          <cell r="AX2013" t="str">
            <v>Yes</v>
          </cell>
          <cell r="AZ2013" t="str">
            <v>Y</v>
          </cell>
          <cell r="BA2013" t="str">
            <v>Yes</v>
          </cell>
        </row>
        <row r="2014">
          <cell r="B2014">
            <v>1864</v>
          </cell>
          <cell r="C2014" t="str">
            <v>C49SZX20230035SX</v>
          </cell>
          <cell r="D2014" t="str">
            <v>博祯</v>
          </cell>
          <cell r="E2014" t="str">
            <v>YSM20R-2</v>
          </cell>
          <cell r="I2014" t="str">
            <v>R-&gt;L</v>
          </cell>
          <cell r="J2014" t="str">
            <v>No</v>
          </cell>
          <cell r="K2014">
            <v>1</v>
          </cell>
          <cell r="N2014">
            <v>45003</v>
          </cell>
          <cell r="O2014">
            <v>11100596</v>
          </cell>
          <cell r="P2014">
            <v>900000</v>
          </cell>
          <cell r="Q2014">
            <v>45008</v>
          </cell>
          <cell r="R2014" t="str">
            <v>Yes</v>
          </cell>
          <cell r="S2014" t="str">
            <v>C49</v>
          </cell>
          <cell r="T2014" t="str">
            <v>SOUTH</v>
          </cell>
          <cell r="U2014" t="str">
            <v>深圳</v>
          </cell>
          <cell r="V2014" t="str">
            <v>SZ 深圳</v>
          </cell>
          <cell r="W2014" t="str">
            <v>SX</v>
          </cell>
          <cell r="X2014" t="str">
            <v>RMB</v>
          </cell>
          <cell r="Y2014">
            <v>900000</v>
          </cell>
          <cell r="Z2014">
            <v>1.1299999999999999</v>
          </cell>
          <cell r="AA2014">
            <v>900000</v>
          </cell>
          <cell r="AB2014">
            <v>1.1299999999999999</v>
          </cell>
          <cell r="AC2014">
            <v>900000</v>
          </cell>
          <cell r="AD2014">
            <v>108000</v>
          </cell>
          <cell r="AE2014">
            <v>0.12</v>
          </cell>
          <cell r="AF2014">
            <v>44986</v>
          </cell>
          <cell r="AG2014" t="str">
            <v>DDP SZ</v>
          </cell>
          <cell r="AK2014">
            <v>0.1</v>
          </cell>
          <cell r="AL2014">
            <v>90000</v>
          </cell>
          <cell r="AM2014">
            <v>44988</v>
          </cell>
          <cell r="AN2014" t="str">
            <v>Yes</v>
          </cell>
          <cell r="AO2014">
            <v>0.9</v>
          </cell>
          <cell r="AP2014">
            <v>810000</v>
          </cell>
          <cell r="AQ2014">
            <v>45001</v>
          </cell>
          <cell r="AR2014">
            <v>45001</v>
          </cell>
          <cell r="AS2014">
            <v>0</v>
          </cell>
          <cell r="AT2014">
            <v>0</v>
          </cell>
          <cell r="AX2014" t="str">
            <v>Yes</v>
          </cell>
          <cell r="AZ2014" t="str">
            <v>Y</v>
          </cell>
          <cell r="BA2014" t="str">
            <v>Yes</v>
          </cell>
        </row>
        <row r="2015">
          <cell r="B2015">
            <v>1865</v>
          </cell>
          <cell r="C2015" t="str">
            <v>C49SZX20230035SX</v>
          </cell>
          <cell r="D2015" t="str">
            <v>博祯</v>
          </cell>
          <cell r="E2015" t="str">
            <v>YSM10</v>
          </cell>
          <cell r="I2015" t="str">
            <v>R-&gt;L</v>
          </cell>
          <cell r="J2015" t="str">
            <v>MVC+ATS15</v>
          </cell>
          <cell r="K2015">
            <v>1</v>
          </cell>
          <cell r="N2015">
            <v>45003</v>
          </cell>
          <cell r="O2015">
            <v>11100596</v>
          </cell>
          <cell r="P2015">
            <v>690000</v>
          </cell>
          <cell r="Q2015">
            <v>45008</v>
          </cell>
          <cell r="R2015" t="str">
            <v>Yes</v>
          </cell>
          <cell r="S2015" t="str">
            <v>C49</v>
          </cell>
          <cell r="T2015" t="str">
            <v>SOUTH</v>
          </cell>
          <cell r="U2015" t="str">
            <v>深圳</v>
          </cell>
          <cell r="V2015" t="str">
            <v>SZ 深圳</v>
          </cell>
          <cell r="W2015" t="str">
            <v>SX</v>
          </cell>
          <cell r="X2015" t="str">
            <v>RMB</v>
          </cell>
          <cell r="Y2015">
            <v>690000</v>
          </cell>
          <cell r="Z2015">
            <v>1.1299999999999999</v>
          </cell>
          <cell r="AA2015">
            <v>690000</v>
          </cell>
          <cell r="AB2015">
            <v>1.1299999999999999</v>
          </cell>
          <cell r="AC2015">
            <v>690000.00000000012</v>
          </cell>
          <cell r="AD2015">
            <v>82800.000000000015</v>
          </cell>
          <cell r="AE2015">
            <v>0.12</v>
          </cell>
          <cell r="AF2015">
            <v>44986</v>
          </cell>
          <cell r="AG2015" t="str">
            <v>DDP SZ</v>
          </cell>
          <cell r="AK2015">
            <v>0.1</v>
          </cell>
          <cell r="AL2015">
            <v>69000</v>
          </cell>
          <cell r="AM2015">
            <v>44988</v>
          </cell>
          <cell r="AN2015" t="str">
            <v>Yes</v>
          </cell>
          <cell r="AO2015">
            <v>0.9</v>
          </cell>
          <cell r="AP2015">
            <v>621000</v>
          </cell>
          <cell r="AQ2015">
            <v>45001</v>
          </cell>
          <cell r="AR2015">
            <v>45001</v>
          </cell>
          <cell r="AS2015">
            <v>0</v>
          </cell>
          <cell r="AT2015">
            <v>0</v>
          </cell>
          <cell r="AX2015" t="str">
            <v>Yes</v>
          </cell>
          <cell r="AZ2015" t="str">
            <v>Y</v>
          </cell>
          <cell r="BA2015" t="str">
            <v>Yes</v>
          </cell>
        </row>
        <row r="2016">
          <cell r="B2016">
            <v>1866</v>
          </cell>
          <cell r="C2016" t="str">
            <v>C49SZX20230035SX</v>
          </cell>
          <cell r="D2016" t="str">
            <v>博祯</v>
          </cell>
          <cell r="E2016" t="str">
            <v>YSM10</v>
          </cell>
          <cell r="I2016" t="str">
            <v>R-&gt;L</v>
          </cell>
          <cell r="J2016" t="str">
            <v>MVC+ATS15</v>
          </cell>
          <cell r="K2016">
            <v>1</v>
          </cell>
          <cell r="N2016">
            <v>45142</v>
          </cell>
          <cell r="O2016">
            <v>11100639</v>
          </cell>
          <cell r="P2016">
            <v>690000</v>
          </cell>
          <cell r="Q2016">
            <v>45135</v>
          </cell>
          <cell r="R2016" t="str">
            <v>Yes</v>
          </cell>
          <cell r="S2016" t="str">
            <v>C49</v>
          </cell>
          <cell r="T2016" t="str">
            <v>SOUTH</v>
          </cell>
          <cell r="U2016" t="str">
            <v>深圳</v>
          </cell>
          <cell r="V2016" t="str">
            <v>SZ 深圳</v>
          </cell>
          <cell r="W2016" t="str">
            <v>SX</v>
          </cell>
          <cell r="X2016" t="str">
            <v>RMB</v>
          </cell>
          <cell r="Y2016">
            <v>690000</v>
          </cell>
          <cell r="Z2016">
            <v>1.1299999999999999</v>
          </cell>
          <cell r="AA2016">
            <v>690000</v>
          </cell>
          <cell r="AB2016">
            <v>1.1299999999999999</v>
          </cell>
          <cell r="AC2016">
            <v>690000.00000000012</v>
          </cell>
          <cell r="AD2016">
            <v>82800.000000000015</v>
          </cell>
          <cell r="AE2016">
            <v>0.12</v>
          </cell>
          <cell r="AF2016">
            <v>44986</v>
          </cell>
          <cell r="AG2016" t="str">
            <v>DDP SZ</v>
          </cell>
          <cell r="AK2016">
            <v>0.1</v>
          </cell>
          <cell r="AL2016">
            <v>69000</v>
          </cell>
          <cell r="AM2016">
            <v>44988</v>
          </cell>
          <cell r="AN2016" t="str">
            <v>Yes</v>
          </cell>
          <cell r="AO2016">
            <v>0.9</v>
          </cell>
          <cell r="AP2016">
            <v>621000</v>
          </cell>
          <cell r="AQ2016">
            <v>45135</v>
          </cell>
          <cell r="AR2016">
            <v>45135</v>
          </cell>
          <cell r="AS2016">
            <v>0</v>
          </cell>
          <cell r="AT2016">
            <v>0</v>
          </cell>
          <cell r="AX2016" t="str">
            <v>Yes</v>
          </cell>
          <cell r="AZ2016" t="str">
            <v>Y</v>
          </cell>
          <cell r="BA2016" t="str">
            <v>Yes</v>
          </cell>
        </row>
        <row r="2017">
          <cell r="B2017">
            <v>1867</v>
          </cell>
          <cell r="C2017" t="str">
            <v>C49SZX20230036SS</v>
          </cell>
          <cell r="D2017" t="str">
            <v>龙大光电</v>
          </cell>
          <cell r="E2017" t="str">
            <v>YSM40R-4</v>
          </cell>
          <cell r="I2017" t="str">
            <v>L-&gt;R</v>
          </cell>
          <cell r="J2017" t="str">
            <v>No</v>
          </cell>
          <cell r="K2017">
            <v>1</v>
          </cell>
          <cell r="N2017">
            <v>45057</v>
          </cell>
          <cell r="O2017">
            <v>11100629</v>
          </cell>
          <cell r="P2017">
            <v>1170000</v>
          </cell>
          <cell r="Q2017">
            <v>45070</v>
          </cell>
          <cell r="R2017" t="str">
            <v>No</v>
          </cell>
          <cell r="S2017" t="str">
            <v>C49</v>
          </cell>
          <cell r="T2017" t="str">
            <v>SOUTH</v>
          </cell>
          <cell r="U2017" t="str">
            <v>深圳</v>
          </cell>
          <cell r="V2017" t="str">
            <v>SZ 深圳</v>
          </cell>
          <cell r="W2017" t="str">
            <v>SS</v>
          </cell>
          <cell r="X2017" t="str">
            <v>RMB</v>
          </cell>
          <cell r="Y2017">
            <v>1170000</v>
          </cell>
          <cell r="Z2017">
            <v>1.1299999999999999</v>
          </cell>
          <cell r="AA2017">
            <v>1170000</v>
          </cell>
          <cell r="AB2017">
            <v>1.1299999999999999</v>
          </cell>
          <cell r="AC2017">
            <v>1170000</v>
          </cell>
          <cell r="AD2017">
            <v>140400</v>
          </cell>
          <cell r="AE2017">
            <v>0.12</v>
          </cell>
          <cell r="AF2017">
            <v>44988</v>
          </cell>
          <cell r="AG2017" t="str">
            <v>DDP SZ</v>
          </cell>
          <cell r="AK2017">
            <v>1</v>
          </cell>
          <cell r="AL2017">
            <v>1170000</v>
          </cell>
          <cell r="AM2017">
            <v>44999</v>
          </cell>
          <cell r="AN2017" t="str">
            <v>Yes</v>
          </cell>
          <cell r="AO2017">
            <v>0</v>
          </cell>
          <cell r="AP2017">
            <v>0</v>
          </cell>
          <cell r="AS2017">
            <v>0</v>
          </cell>
          <cell r="AT2017">
            <v>0</v>
          </cell>
          <cell r="AX2017" t="str">
            <v>Yes</v>
          </cell>
          <cell r="AZ2017" t="str">
            <v>Y</v>
          </cell>
          <cell r="BA2017" t="str">
            <v>Yes</v>
          </cell>
        </row>
        <row r="2018">
          <cell r="B2018">
            <v>1868</v>
          </cell>
          <cell r="C2018" t="str">
            <v>C49SZX20230036SS</v>
          </cell>
          <cell r="D2018" t="str">
            <v>龙大光电</v>
          </cell>
          <cell r="E2018" t="str">
            <v>YSM40R-4</v>
          </cell>
          <cell r="I2018" t="str">
            <v>L-&gt;R</v>
          </cell>
          <cell r="J2018" t="str">
            <v>No</v>
          </cell>
          <cell r="K2018">
            <v>1</v>
          </cell>
          <cell r="N2018">
            <v>45057</v>
          </cell>
          <cell r="O2018">
            <v>11100629</v>
          </cell>
          <cell r="P2018">
            <v>1170000</v>
          </cell>
          <cell r="Q2018">
            <v>45070</v>
          </cell>
          <cell r="R2018" t="str">
            <v>No</v>
          </cell>
          <cell r="S2018" t="str">
            <v>C49</v>
          </cell>
          <cell r="T2018" t="str">
            <v>SOUTH</v>
          </cell>
          <cell r="U2018" t="str">
            <v>深圳</v>
          </cell>
          <cell r="V2018" t="str">
            <v>SZ 深圳</v>
          </cell>
          <cell r="W2018" t="str">
            <v>SS</v>
          </cell>
          <cell r="X2018" t="str">
            <v>RMB</v>
          </cell>
          <cell r="Y2018">
            <v>1170000</v>
          </cell>
          <cell r="Z2018">
            <v>1.1299999999999999</v>
          </cell>
          <cell r="AA2018">
            <v>1170000</v>
          </cell>
          <cell r="AB2018">
            <v>1.1299999999999999</v>
          </cell>
          <cell r="AC2018">
            <v>1170000</v>
          </cell>
          <cell r="AD2018">
            <v>140400</v>
          </cell>
          <cell r="AE2018">
            <v>0.12</v>
          </cell>
          <cell r="AF2018">
            <v>44988</v>
          </cell>
          <cell r="AG2018" t="str">
            <v>DDP SZ</v>
          </cell>
          <cell r="AK2018">
            <v>1</v>
          </cell>
          <cell r="AL2018">
            <v>1170000</v>
          </cell>
          <cell r="AM2018">
            <v>44999</v>
          </cell>
          <cell r="AN2018" t="str">
            <v>Yes</v>
          </cell>
          <cell r="AO2018">
            <v>0</v>
          </cell>
          <cell r="AP2018">
            <v>0</v>
          </cell>
          <cell r="AS2018">
            <v>0</v>
          </cell>
          <cell r="AT2018">
            <v>0</v>
          </cell>
          <cell r="AX2018" t="str">
            <v>Yes</v>
          </cell>
          <cell r="AZ2018" t="str">
            <v>Y</v>
          </cell>
          <cell r="BA2018" t="str">
            <v>Yes</v>
          </cell>
        </row>
        <row r="2019">
          <cell r="B2019">
            <v>1869</v>
          </cell>
          <cell r="C2019" t="str">
            <v>C49SZX20230037SS</v>
          </cell>
          <cell r="D2019" t="str">
            <v>清禾实业</v>
          </cell>
          <cell r="E2019" t="str">
            <v>YSM10</v>
          </cell>
          <cell r="I2019" t="str">
            <v>L-&gt;R</v>
          </cell>
          <cell r="J2019" t="str">
            <v>MVC</v>
          </cell>
          <cell r="K2019">
            <v>1</v>
          </cell>
          <cell r="N2019">
            <v>45008</v>
          </cell>
          <cell r="O2019">
            <v>11100600</v>
          </cell>
          <cell r="P2019">
            <v>510000</v>
          </cell>
          <cell r="Q2019">
            <v>45009</v>
          </cell>
          <cell r="R2019" t="str">
            <v>No</v>
          </cell>
          <cell r="S2019" t="str">
            <v>C49</v>
          </cell>
          <cell r="T2019" t="str">
            <v>SOUTH</v>
          </cell>
          <cell r="U2019" t="str">
            <v>深圳</v>
          </cell>
          <cell r="V2019" t="str">
            <v>SZ 深圳</v>
          </cell>
          <cell r="W2019" t="str">
            <v>SS</v>
          </cell>
          <cell r="X2019" t="str">
            <v>RMB</v>
          </cell>
          <cell r="Y2019">
            <v>510000</v>
          </cell>
          <cell r="Z2019">
            <v>1.1299999999999999</v>
          </cell>
          <cell r="AA2019">
            <v>510000</v>
          </cell>
          <cell r="AB2019">
            <v>1.1299999999999999</v>
          </cell>
          <cell r="AC2019">
            <v>509999.99999999994</v>
          </cell>
          <cell r="AD2019">
            <v>61199.999999999993</v>
          </cell>
          <cell r="AE2019">
            <v>0.12</v>
          </cell>
          <cell r="AF2019">
            <v>44992</v>
          </cell>
          <cell r="AG2019" t="str">
            <v>DDP SZ</v>
          </cell>
          <cell r="AK2019">
            <v>0.1</v>
          </cell>
          <cell r="AL2019">
            <v>50000</v>
          </cell>
          <cell r="AM2019">
            <v>44998</v>
          </cell>
          <cell r="AN2019" t="str">
            <v>Yes</v>
          </cell>
          <cell r="AO2019">
            <v>0.9</v>
          </cell>
          <cell r="AP2019">
            <v>460000</v>
          </cell>
          <cell r="AQ2019">
            <v>45006</v>
          </cell>
          <cell r="AR2019">
            <v>45006</v>
          </cell>
          <cell r="AS2019">
            <v>0</v>
          </cell>
          <cell r="AT2019">
            <v>0</v>
          </cell>
          <cell r="AX2019" t="str">
            <v>Yes</v>
          </cell>
          <cell r="AZ2019" t="str">
            <v>Y</v>
          </cell>
          <cell r="BA2019" t="str">
            <v>Yes</v>
          </cell>
        </row>
        <row r="2020">
          <cell r="B2020">
            <v>1870</v>
          </cell>
          <cell r="C2020" t="str">
            <v>C49SZX20230038SS</v>
          </cell>
          <cell r="D2020" t="str">
            <v>清禾电路</v>
          </cell>
          <cell r="E2020" t="str">
            <v>YSM10</v>
          </cell>
          <cell r="I2020" t="str">
            <v>L-&gt;R</v>
          </cell>
          <cell r="J2020" t="str">
            <v>MVC</v>
          </cell>
          <cell r="K2020">
            <v>1</v>
          </cell>
          <cell r="N2020">
            <v>45000</v>
          </cell>
          <cell r="O2020">
            <v>11100594</v>
          </cell>
          <cell r="P2020">
            <v>460000</v>
          </cell>
          <cell r="Q2020">
            <v>45002</v>
          </cell>
          <cell r="R2020" t="str">
            <v>Yes</v>
          </cell>
          <cell r="S2020" t="str">
            <v>C49</v>
          </cell>
          <cell r="T2020" t="str">
            <v>SOUTH</v>
          </cell>
          <cell r="U2020" t="str">
            <v>深圳</v>
          </cell>
          <cell r="V2020" t="str">
            <v>SZ 深圳</v>
          </cell>
          <cell r="W2020" t="str">
            <v>SS</v>
          </cell>
          <cell r="X2020" t="str">
            <v>RMB</v>
          </cell>
          <cell r="Y2020">
            <v>460000</v>
          </cell>
          <cell r="Z2020">
            <v>1.1299999999999999</v>
          </cell>
          <cell r="AA2020">
            <v>460000</v>
          </cell>
          <cell r="AB2020">
            <v>1.1299999999999999</v>
          </cell>
          <cell r="AC2020">
            <v>460000</v>
          </cell>
          <cell r="AD2020">
            <v>55200</v>
          </cell>
          <cell r="AE2020">
            <v>0.12</v>
          </cell>
          <cell r="AF2020">
            <v>44992</v>
          </cell>
          <cell r="AG2020" t="str">
            <v>DDP SZ</v>
          </cell>
          <cell r="AK2020">
            <v>0.1</v>
          </cell>
          <cell r="AL2020">
            <v>46000</v>
          </cell>
          <cell r="AM2020">
            <v>44995</v>
          </cell>
          <cell r="AN2020" t="str">
            <v>Yes</v>
          </cell>
          <cell r="AO2020">
            <v>0.9</v>
          </cell>
          <cell r="AP2020">
            <v>414000</v>
          </cell>
          <cell r="AQ2020">
            <v>44998</v>
          </cell>
          <cell r="AR2020">
            <v>44998</v>
          </cell>
          <cell r="AS2020">
            <v>0</v>
          </cell>
          <cell r="AT2020">
            <v>0</v>
          </cell>
          <cell r="AX2020" t="str">
            <v>Yes</v>
          </cell>
          <cell r="AZ2020" t="str">
            <v>Y</v>
          </cell>
          <cell r="BA2020" t="str">
            <v>Yes</v>
          </cell>
        </row>
        <row r="2021">
          <cell r="B2021">
            <v>1871</v>
          </cell>
          <cell r="C2021" t="str">
            <v>C49SZX20230040JY</v>
          </cell>
          <cell r="D2021" t="str">
            <v>百纳海</v>
          </cell>
          <cell r="E2021" t="str">
            <v>YSM20R-2</v>
          </cell>
          <cell r="I2021" t="str">
            <v>L-&gt;R</v>
          </cell>
          <cell r="J2021" t="str">
            <v>No</v>
          </cell>
          <cell r="K2021">
            <v>1</v>
          </cell>
          <cell r="N2021">
            <v>45007</v>
          </cell>
          <cell r="O2021">
            <v>11100601</v>
          </cell>
          <cell r="P2021">
            <v>846000</v>
          </cell>
          <cell r="Q2021">
            <v>45012</v>
          </cell>
          <cell r="R2021" t="str">
            <v>No</v>
          </cell>
          <cell r="S2021" t="str">
            <v>C49</v>
          </cell>
          <cell r="T2021" t="str">
            <v>SOUTH</v>
          </cell>
          <cell r="U2021" t="str">
            <v>深圳</v>
          </cell>
          <cell r="V2021" t="str">
            <v>SZ 深圳</v>
          </cell>
          <cell r="W2021" t="str">
            <v>JY</v>
          </cell>
          <cell r="X2021" t="str">
            <v>RMB</v>
          </cell>
          <cell r="Y2021">
            <v>846000</v>
          </cell>
          <cell r="Z2021">
            <v>1.1299999999999999</v>
          </cell>
          <cell r="AA2021">
            <v>846000</v>
          </cell>
          <cell r="AB2021">
            <v>1.1299999999999999</v>
          </cell>
          <cell r="AC2021">
            <v>846000</v>
          </cell>
          <cell r="AD2021">
            <v>101520</v>
          </cell>
          <cell r="AE2021">
            <v>0.12</v>
          </cell>
          <cell r="AF2021">
            <v>44995</v>
          </cell>
          <cell r="AG2021" t="str">
            <v>DDP SZ</v>
          </cell>
          <cell r="AK2021">
            <v>0.1</v>
          </cell>
          <cell r="AL2021">
            <v>84600</v>
          </cell>
          <cell r="AM2021">
            <v>45005</v>
          </cell>
          <cell r="AN2021" t="str">
            <v>Yes</v>
          </cell>
          <cell r="AO2021">
            <v>0.9</v>
          </cell>
          <cell r="AP2021">
            <v>761400</v>
          </cell>
          <cell r="AQ2021">
            <v>45005</v>
          </cell>
          <cell r="AR2021">
            <v>45005</v>
          </cell>
          <cell r="AS2021">
            <v>0</v>
          </cell>
          <cell r="AT2021">
            <v>0</v>
          </cell>
          <cell r="AX2021" t="str">
            <v>Yes</v>
          </cell>
          <cell r="AZ2021" t="str">
            <v>Y</v>
          </cell>
          <cell r="BA2021" t="str">
            <v>Yes</v>
          </cell>
        </row>
        <row r="2022">
          <cell r="B2022">
            <v>1872</v>
          </cell>
          <cell r="C2022" t="str">
            <v>C49SZX20230040JY</v>
          </cell>
          <cell r="D2022" t="str">
            <v>百纳海</v>
          </cell>
          <cell r="E2022" t="str">
            <v>YSM20R-2</v>
          </cell>
          <cell r="I2022" t="str">
            <v>L-&gt;R</v>
          </cell>
          <cell r="J2022" t="str">
            <v>No</v>
          </cell>
          <cell r="K2022">
            <v>1</v>
          </cell>
          <cell r="N2022">
            <v>45007</v>
          </cell>
          <cell r="O2022">
            <v>11100601</v>
          </cell>
          <cell r="P2022">
            <v>846000</v>
          </cell>
          <cell r="Q2022">
            <v>45012</v>
          </cell>
          <cell r="R2022" t="str">
            <v>No</v>
          </cell>
          <cell r="S2022" t="str">
            <v>C49</v>
          </cell>
          <cell r="T2022" t="str">
            <v>SOUTH</v>
          </cell>
          <cell r="U2022" t="str">
            <v>深圳</v>
          </cell>
          <cell r="V2022" t="str">
            <v>SZ 深圳</v>
          </cell>
          <cell r="W2022" t="str">
            <v>JY</v>
          </cell>
          <cell r="X2022" t="str">
            <v>RMB</v>
          </cell>
          <cell r="Y2022">
            <v>846000</v>
          </cell>
          <cell r="Z2022">
            <v>1.1299999999999999</v>
          </cell>
          <cell r="AA2022">
            <v>846000</v>
          </cell>
          <cell r="AB2022">
            <v>1.1299999999999999</v>
          </cell>
          <cell r="AC2022">
            <v>846000</v>
          </cell>
          <cell r="AD2022">
            <v>101520</v>
          </cell>
          <cell r="AE2022">
            <v>0.12</v>
          </cell>
          <cell r="AF2022">
            <v>44995</v>
          </cell>
          <cell r="AG2022" t="str">
            <v>DDP SZ</v>
          </cell>
          <cell r="AK2022">
            <v>0.1</v>
          </cell>
          <cell r="AL2022">
            <v>84600</v>
          </cell>
          <cell r="AM2022">
            <v>45005</v>
          </cell>
          <cell r="AN2022" t="str">
            <v>Yes</v>
          </cell>
          <cell r="AO2022">
            <v>0.9</v>
          </cell>
          <cell r="AP2022">
            <v>761400</v>
          </cell>
          <cell r="AQ2022">
            <v>45005</v>
          </cell>
          <cell r="AR2022">
            <v>45005</v>
          </cell>
          <cell r="AS2022">
            <v>0</v>
          </cell>
          <cell r="AT2022">
            <v>0</v>
          </cell>
          <cell r="AX2022" t="str">
            <v>Yes</v>
          </cell>
          <cell r="AZ2022" t="str">
            <v>Y</v>
          </cell>
          <cell r="BA2022" t="str">
            <v>Yes</v>
          </cell>
        </row>
        <row r="2023">
          <cell r="B2023">
            <v>1873</v>
          </cell>
          <cell r="C2023" t="str">
            <v>C49SZX20230018MX</v>
          </cell>
          <cell r="D2023" t="str">
            <v>徕芬</v>
          </cell>
          <cell r="E2023" t="str">
            <v>YSM20R-2</v>
          </cell>
          <cell r="I2023" t="str">
            <v>L-&gt;R</v>
          </cell>
          <cell r="J2023" t="str">
            <v>No</v>
          </cell>
          <cell r="K2023">
            <v>1</v>
          </cell>
          <cell r="N2023">
            <v>45012</v>
          </cell>
          <cell r="O2023">
            <v>11100604</v>
          </cell>
          <cell r="P2023">
            <v>810000</v>
          </cell>
          <cell r="Q2023">
            <v>45013</v>
          </cell>
          <cell r="R2023" t="str">
            <v>Yes</v>
          </cell>
          <cell r="S2023" t="str">
            <v>C49</v>
          </cell>
          <cell r="T2023" t="str">
            <v>SOUTH</v>
          </cell>
          <cell r="U2023" t="str">
            <v>深圳</v>
          </cell>
          <cell r="V2023" t="str">
            <v>SZ 深圳</v>
          </cell>
          <cell r="W2023" t="str">
            <v>MX</v>
          </cell>
          <cell r="X2023" t="str">
            <v>RMB</v>
          </cell>
          <cell r="Y2023">
            <v>810000</v>
          </cell>
          <cell r="Z2023">
            <v>1.1299999999999999</v>
          </cell>
          <cell r="AA2023">
            <v>810000</v>
          </cell>
          <cell r="AB2023">
            <v>1.1299999999999999</v>
          </cell>
          <cell r="AC2023">
            <v>810000</v>
          </cell>
          <cell r="AD2023">
            <v>97200</v>
          </cell>
          <cell r="AE2023">
            <v>0.12</v>
          </cell>
          <cell r="AF2023">
            <v>44995</v>
          </cell>
          <cell r="AG2023" t="str">
            <v>DDP DG</v>
          </cell>
          <cell r="AK2023">
            <v>0.3</v>
          </cell>
          <cell r="AL2023">
            <v>243000</v>
          </cell>
          <cell r="AM2023">
            <v>44995</v>
          </cell>
          <cell r="AN2023" t="str">
            <v>Yes</v>
          </cell>
          <cell r="AO2023">
            <v>0.7</v>
          </cell>
          <cell r="AP2023">
            <v>567000</v>
          </cell>
          <cell r="AQ2023">
            <v>45008</v>
          </cell>
          <cell r="AR2023">
            <v>45008</v>
          </cell>
          <cell r="AS2023">
            <v>0</v>
          </cell>
          <cell r="AT2023">
            <v>0</v>
          </cell>
          <cell r="AX2023" t="str">
            <v>Yes</v>
          </cell>
          <cell r="AZ2023" t="str">
            <v>Y</v>
          </cell>
          <cell r="BA2023" t="str">
            <v>Yes</v>
          </cell>
        </row>
        <row r="2024">
          <cell r="B2024">
            <v>1874</v>
          </cell>
          <cell r="C2024" t="str">
            <v>C49SZX20230018MX</v>
          </cell>
          <cell r="D2024" t="str">
            <v>徕芬</v>
          </cell>
          <cell r="E2024" t="str">
            <v>YSM10</v>
          </cell>
          <cell r="I2024" t="str">
            <v>L-&gt;R</v>
          </cell>
          <cell r="J2024" t="str">
            <v>MVC+ATS15</v>
          </cell>
          <cell r="K2024">
            <v>1</v>
          </cell>
          <cell r="N2024">
            <v>45012</v>
          </cell>
          <cell r="O2024">
            <v>11100604</v>
          </cell>
          <cell r="P2024">
            <v>490000</v>
          </cell>
          <cell r="Q2024">
            <v>45013</v>
          </cell>
          <cell r="R2024" t="str">
            <v>Yes</v>
          </cell>
          <cell r="S2024" t="str">
            <v>C49</v>
          </cell>
          <cell r="T2024" t="str">
            <v>SOUTH</v>
          </cell>
          <cell r="U2024" t="str">
            <v>深圳</v>
          </cell>
          <cell r="V2024" t="str">
            <v>SZ 深圳</v>
          </cell>
          <cell r="W2024" t="str">
            <v>MX</v>
          </cell>
          <cell r="X2024" t="str">
            <v>RMB</v>
          </cell>
          <cell r="Y2024">
            <v>490000</v>
          </cell>
          <cell r="Z2024">
            <v>1.1299999999999999</v>
          </cell>
          <cell r="AA2024">
            <v>490000</v>
          </cell>
          <cell r="AB2024">
            <v>1.1299999999999999</v>
          </cell>
          <cell r="AC2024">
            <v>490000</v>
          </cell>
          <cell r="AD2024">
            <v>58800</v>
          </cell>
          <cell r="AE2024">
            <v>0.12</v>
          </cell>
          <cell r="AF2024">
            <v>44995</v>
          </cell>
          <cell r="AG2024" t="str">
            <v>DDP DG</v>
          </cell>
          <cell r="AK2024">
            <v>0.3</v>
          </cell>
          <cell r="AL2024">
            <v>147000</v>
          </cell>
          <cell r="AM2024">
            <v>44995</v>
          </cell>
          <cell r="AN2024" t="str">
            <v>Yes</v>
          </cell>
          <cell r="AO2024">
            <v>0.7</v>
          </cell>
          <cell r="AP2024">
            <v>343000</v>
          </cell>
          <cell r="AQ2024">
            <v>45008</v>
          </cell>
          <cell r="AR2024">
            <v>45008</v>
          </cell>
          <cell r="AS2024">
            <v>0</v>
          </cell>
          <cell r="AT2024">
            <v>0</v>
          </cell>
          <cell r="AX2024" t="str">
            <v>Yes</v>
          </cell>
          <cell r="AZ2024" t="str">
            <v>Y</v>
          </cell>
          <cell r="BA2024" t="str">
            <v>Yes</v>
          </cell>
        </row>
        <row r="2025">
          <cell r="B2025">
            <v>1875</v>
          </cell>
          <cell r="C2025" t="str">
            <v>C28SZX20230021MX</v>
          </cell>
          <cell r="D2025" t="str">
            <v>徕芬</v>
          </cell>
          <cell r="E2025" t="str">
            <v>GKG-GSE</v>
          </cell>
          <cell r="K2025">
            <v>1</v>
          </cell>
          <cell r="N2025">
            <v>45014</v>
          </cell>
          <cell r="O2025">
            <v>11100636</v>
          </cell>
          <cell r="P2025">
            <v>129000</v>
          </cell>
          <cell r="Q2025">
            <v>45104</v>
          </cell>
          <cell r="R2025" t="str">
            <v>Yes</v>
          </cell>
          <cell r="S2025" t="str">
            <v>C28</v>
          </cell>
          <cell r="T2025" t="str">
            <v>SOUTH</v>
          </cell>
          <cell r="U2025" t="str">
            <v>深圳</v>
          </cell>
          <cell r="V2025" t="str">
            <v>SZ 深圳</v>
          </cell>
          <cell r="W2025" t="str">
            <v>MX</v>
          </cell>
          <cell r="X2025" t="str">
            <v>RMB</v>
          </cell>
          <cell r="Y2025">
            <v>129000</v>
          </cell>
          <cell r="Z2025">
            <v>1.1299999999999999</v>
          </cell>
          <cell r="AA2025">
            <v>129000</v>
          </cell>
          <cell r="AB2025">
            <v>1.1299999999999999</v>
          </cell>
          <cell r="AC2025">
            <v>129000.00000000001</v>
          </cell>
          <cell r="AD2025">
            <v>15480.000000000002</v>
          </cell>
          <cell r="AE2025">
            <v>0.12</v>
          </cell>
          <cell r="AF2025">
            <v>44995</v>
          </cell>
          <cell r="AG2025" t="str">
            <v>DDP DG</v>
          </cell>
          <cell r="AK2025">
            <v>0.3</v>
          </cell>
          <cell r="AL2025">
            <v>38700</v>
          </cell>
          <cell r="AM2025">
            <v>44995</v>
          </cell>
          <cell r="AN2025" t="str">
            <v>Yes</v>
          </cell>
          <cell r="AO2025">
            <v>0.7</v>
          </cell>
          <cell r="AP2025">
            <v>90300</v>
          </cell>
          <cell r="AQ2025">
            <v>45008</v>
          </cell>
          <cell r="AR2025">
            <v>45008</v>
          </cell>
          <cell r="AS2025">
            <v>0</v>
          </cell>
          <cell r="AT2025">
            <v>0</v>
          </cell>
          <cell r="AX2025" t="str">
            <v>Yes</v>
          </cell>
        </row>
        <row r="2026">
          <cell r="B2026">
            <v>1876</v>
          </cell>
          <cell r="C2026" t="str">
            <v>C28SZX20230021MX</v>
          </cell>
          <cell r="D2026" t="str">
            <v>徕芬</v>
          </cell>
          <cell r="E2026" t="str">
            <v>3DSPI</v>
          </cell>
          <cell r="K2026">
            <v>1</v>
          </cell>
          <cell r="N2026">
            <v>45014</v>
          </cell>
          <cell r="O2026">
            <v>11100636</v>
          </cell>
          <cell r="P2026">
            <v>171000</v>
          </cell>
          <cell r="Q2026">
            <v>45104</v>
          </cell>
          <cell r="R2026" t="str">
            <v>Yes</v>
          </cell>
          <cell r="S2026" t="str">
            <v>C28</v>
          </cell>
          <cell r="T2026" t="str">
            <v>SOUTH</v>
          </cell>
          <cell r="U2026" t="str">
            <v>深圳</v>
          </cell>
          <cell r="V2026" t="str">
            <v>SZ 深圳</v>
          </cell>
          <cell r="W2026" t="str">
            <v>MX</v>
          </cell>
          <cell r="X2026" t="str">
            <v>RMB</v>
          </cell>
          <cell r="Y2026">
            <v>171000</v>
          </cell>
          <cell r="Z2026">
            <v>1.1299999999999999</v>
          </cell>
          <cell r="AA2026">
            <v>171000</v>
          </cell>
          <cell r="AB2026">
            <v>1.1299999999999999</v>
          </cell>
          <cell r="AC2026">
            <v>171000</v>
          </cell>
          <cell r="AD2026">
            <v>20520</v>
          </cell>
          <cell r="AE2026">
            <v>0.12</v>
          </cell>
          <cell r="AF2026">
            <v>44995</v>
          </cell>
          <cell r="AG2026" t="str">
            <v>DDP DG</v>
          </cell>
          <cell r="AK2026">
            <v>0.3</v>
          </cell>
          <cell r="AL2026">
            <v>51300</v>
          </cell>
          <cell r="AM2026">
            <v>44995</v>
          </cell>
          <cell r="AN2026" t="str">
            <v>Yes</v>
          </cell>
          <cell r="AO2026">
            <v>0.7</v>
          </cell>
          <cell r="AP2026">
            <v>119699.99999999999</v>
          </cell>
          <cell r="AQ2026">
            <v>45008</v>
          </cell>
          <cell r="AR2026">
            <v>45008</v>
          </cell>
          <cell r="AS2026">
            <v>0</v>
          </cell>
          <cell r="AT2026">
            <v>0</v>
          </cell>
          <cell r="AX2026" t="str">
            <v>Yes</v>
          </cell>
        </row>
        <row r="2027">
          <cell r="B2027">
            <v>1877</v>
          </cell>
          <cell r="C2027" t="str">
            <v>C28SZX20230021MX</v>
          </cell>
          <cell r="D2027" t="str">
            <v>徕芬</v>
          </cell>
          <cell r="E2027" t="str">
            <v>SER-710AH</v>
          </cell>
          <cell r="K2027">
            <v>1</v>
          </cell>
          <cell r="N2027">
            <v>45014</v>
          </cell>
          <cell r="O2027">
            <v>11100636</v>
          </cell>
          <cell r="P2027">
            <v>171000</v>
          </cell>
          <cell r="Q2027">
            <v>45104</v>
          </cell>
          <cell r="R2027" t="str">
            <v>Yes</v>
          </cell>
          <cell r="S2027" t="str">
            <v>C28</v>
          </cell>
          <cell r="T2027" t="str">
            <v>SOUTH</v>
          </cell>
          <cell r="U2027" t="str">
            <v>深圳</v>
          </cell>
          <cell r="V2027" t="str">
            <v>SZ 深圳</v>
          </cell>
          <cell r="W2027" t="str">
            <v>MX</v>
          </cell>
          <cell r="X2027" t="str">
            <v>RMB</v>
          </cell>
          <cell r="Y2027">
            <v>171000</v>
          </cell>
          <cell r="Z2027">
            <v>1.1299999999999999</v>
          </cell>
          <cell r="AA2027">
            <v>171000</v>
          </cell>
          <cell r="AB2027">
            <v>1.1299999999999999</v>
          </cell>
          <cell r="AC2027">
            <v>171000</v>
          </cell>
          <cell r="AD2027">
            <v>20520</v>
          </cell>
          <cell r="AE2027">
            <v>0.12</v>
          </cell>
          <cell r="AF2027">
            <v>44995</v>
          </cell>
          <cell r="AG2027" t="str">
            <v>DDP DG</v>
          </cell>
          <cell r="AK2027">
            <v>0.3</v>
          </cell>
          <cell r="AL2027">
            <v>51300</v>
          </cell>
          <cell r="AM2027">
            <v>44995</v>
          </cell>
          <cell r="AN2027" t="str">
            <v>Yes</v>
          </cell>
          <cell r="AO2027">
            <v>0.7</v>
          </cell>
          <cell r="AP2027">
            <v>119699.99999999999</v>
          </cell>
          <cell r="AQ2027">
            <v>45008</v>
          </cell>
          <cell r="AR2027">
            <v>45008</v>
          </cell>
          <cell r="AS2027">
            <v>0</v>
          </cell>
          <cell r="AT2027">
            <v>0</v>
          </cell>
          <cell r="AX2027" t="str">
            <v>Yes</v>
          </cell>
        </row>
        <row r="2028">
          <cell r="B2028">
            <v>1878</v>
          </cell>
          <cell r="C2028" t="str">
            <v>C28SZX20230021MX</v>
          </cell>
          <cell r="D2028" t="str">
            <v>徕芬</v>
          </cell>
          <cell r="E2028" t="str">
            <v>D830</v>
          </cell>
          <cell r="K2028">
            <v>1</v>
          </cell>
          <cell r="N2028">
            <v>45014</v>
          </cell>
          <cell r="O2028">
            <v>11100636</v>
          </cell>
          <cell r="P2028">
            <v>195000</v>
          </cell>
          <cell r="Q2028">
            <v>45104</v>
          </cell>
          <cell r="R2028" t="str">
            <v>Yes</v>
          </cell>
          <cell r="S2028" t="str">
            <v>C28</v>
          </cell>
          <cell r="T2028" t="str">
            <v>SOUTH</v>
          </cell>
          <cell r="U2028" t="str">
            <v>深圳</v>
          </cell>
          <cell r="V2028" t="str">
            <v>SZ 深圳</v>
          </cell>
          <cell r="W2028" t="str">
            <v>MX</v>
          </cell>
          <cell r="X2028" t="str">
            <v>RMB</v>
          </cell>
          <cell r="Y2028">
            <v>195000</v>
          </cell>
          <cell r="Z2028">
            <v>1.1299999999999999</v>
          </cell>
          <cell r="AA2028">
            <v>195000</v>
          </cell>
          <cell r="AB2028">
            <v>1.1299999999999999</v>
          </cell>
          <cell r="AC2028">
            <v>195000</v>
          </cell>
          <cell r="AD2028">
            <v>23400</v>
          </cell>
          <cell r="AE2028">
            <v>0.12</v>
          </cell>
          <cell r="AF2028">
            <v>44995</v>
          </cell>
          <cell r="AG2028" t="str">
            <v>DDP DG</v>
          </cell>
          <cell r="AK2028">
            <v>0.3</v>
          </cell>
          <cell r="AL2028">
            <v>58500</v>
          </cell>
          <cell r="AM2028">
            <v>44995</v>
          </cell>
          <cell r="AN2028" t="str">
            <v>Yes</v>
          </cell>
          <cell r="AO2028">
            <v>0.7</v>
          </cell>
          <cell r="AP2028">
            <v>136500</v>
          </cell>
          <cell r="AQ2028">
            <v>45008</v>
          </cell>
          <cell r="AR2028">
            <v>45008</v>
          </cell>
          <cell r="AS2028">
            <v>0</v>
          </cell>
          <cell r="AT2028">
            <v>0</v>
          </cell>
          <cell r="AX2028" t="str">
            <v>Yes</v>
          </cell>
        </row>
        <row r="2029">
          <cell r="B2029">
            <v>1879</v>
          </cell>
          <cell r="C2029" t="str">
            <v>C28SZX20230021MX</v>
          </cell>
          <cell r="D2029" t="str">
            <v>徕芬</v>
          </cell>
          <cell r="E2029" t="str">
            <v>E-FLOW</v>
          </cell>
          <cell r="K2029">
            <v>1</v>
          </cell>
          <cell r="N2029">
            <v>45014</v>
          </cell>
          <cell r="O2029">
            <v>11100636</v>
          </cell>
          <cell r="P2029">
            <v>127000</v>
          </cell>
          <cell r="Q2029">
            <v>45104</v>
          </cell>
          <cell r="R2029" t="str">
            <v>Yes</v>
          </cell>
          <cell r="S2029" t="str">
            <v>C28</v>
          </cell>
          <cell r="T2029" t="str">
            <v>SOUTH</v>
          </cell>
          <cell r="U2029" t="str">
            <v>深圳</v>
          </cell>
          <cell r="V2029" t="str">
            <v>SZ 深圳</v>
          </cell>
          <cell r="W2029" t="str">
            <v>MX</v>
          </cell>
          <cell r="X2029" t="str">
            <v>RMB</v>
          </cell>
          <cell r="Y2029">
            <v>127000</v>
          </cell>
          <cell r="Z2029">
            <v>1.1299999999999999</v>
          </cell>
          <cell r="AA2029">
            <v>127000</v>
          </cell>
          <cell r="AB2029">
            <v>1.1299999999999999</v>
          </cell>
          <cell r="AC2029">
            <v>127000</v>
          </cell>
          <cell r="AD2029">
            <v>15240</v>
          </cell>
          <cell r="AE2029">
            <v>0.12</v>
          </cell>
          <cell r="AF2029">
            <v>44995</v>
          </cell>
          <cell r="AG2029" t="str">
            <v>DDP DG</v>
          </cell>
          <cell r="AK2029">
            <v>0.3</v>
          </cell>
          <cell r="AL2029">
            <v>38100</v>
          </cell>
          <cell r="AM2029">
            <v>44995</v>
          </cell>
          <cell r="AN2029" t="str">
            <v>Yes</v>
          </cell>
          <cell r="AO2029">
            <v>0.7</v>
          </cell>
          <cell r="AP2029">
            <v>88900</v>
          </cell>
          <cell r="AQ2029">
            <v>45008</v>
          </cell>
          <cell r="AR2029">
            <v>45008</v>
          </cell>
          <cell r="AS2029">
            <v>0</v>
          </cell>
          <cell r="AT2029">
            <v>0</v>
          </cell>
          <cell r="AX2029" t="str">
            <v>Yes</v>
          </cell>
        </row>
        <row r="2030">
          <cell r="B2030">
            <v>1880</v>
          </cell>
          <cell r="C2030" t="str">
            <v>C28SZX20230039MX</v>
          </cell>
          <cell r="D2030" t="str">
            <v>徕芬</v>
          </cell>
          <cell r="E2030" t="str">
            <v>上板机 LD-M-SN</v>
          </cell>
          <cell r="K2030">
            <v>1</v>
          </cell>
          <cell r="N2030">
            <v>45014</v>
          </cell>
          <cell r="O2030">
            <v>11100637</v>
          </cell>
          <cell r="P2030">
            <v>12600</v>
          </cell>
          <cell r="Q2030">
            <v>45104</v>
          </cell>
          <cell r="R2030" t="str">
            <v>Yes</v>
          </cell>
          <cell r="S2030" t="str">
            <v>C28</v>
          </cell>
          <cell r="T2030" t="str">
            <v>SOUTH</v>
          </cell>
          <cell r="U2030" t="str">
            <v>深圳</v>
          </cell>
          <cell r="V2030" t="str">
            <v>SZ 深圳</v>
          </cell>
          <cell r="W2030" t="str">
            <v>MX</v>
          </cell>
          <cell r="X2030" t="str">
            <v>RMB</v>
          </cell>
          <cell r="Y2030">
            <v>12600</v>
          </cell>
          <cell r="Z2030">
            <v>1.1299999999999999</v>
          </cell>
          <cell r="AA2030">
            <v>12600</v>
          </cell>
          <cell r="AB2030">
            <v>1.1299999999999999</v>
          </cell>
          <cell r="AC2030">
            <v>12600</v>
          </cell>
          <cell r="AD2030">
            <v>1512</v>
          </cell>
          <cell r="AE2030">
            <v>0.12</v>
          </cell>
          <cell r="AF2030">
            <v>44995</v>
          </cell>
          <cell r="AG2030" t="str">
            <v>DDP DG</v>
          </cell>
          <cell r="AK2030">
            <v>0.3</v>
          </cell>
          <cell r="AL2030">
            <v>3780</v>
          </cell>
          <cell r="AM2030">
            <v>44995</v>
          </cell>
          <cell r="AN2030" t="str">
            <v>Yes</v>
          </cell>
          <cell r="AO2030">
            <v>0.7</v>
          </cell>
          <cell r="AP2030">
            <v>8820</v>
          </cell>
          <cell r="AQ2030">
            <v>45008</v>
          </cell>
          <cell r="AR2030">
            <v>45008</v>
          </cell>
          <cell r="AS2030">
            <v>0</v>
          </cell>
          <cell r="AT2030">
            <v>0</v>
          </cell>
          <cell r="AX2030" t="str">
            <v>Yes</v>
          </cell>
        </row>
        <row r="2031">
          <cell r="B2031">
            <v>1881</v>
          </cell>
          <cell r="C2031" t="str">
            <v>C28SZX20230039MX</v>
          </cell>
          <cell r="D2031" t="str">
            <v>徕芬</v>
          </cell>
          <cell r="E2031" t="str">
            <v>接驳输送机</v>
          </cell>
          <cell r="K2031">
            <v>1</v>
          </cell>
          <cell r="N2031">
            <v>45014</v>
          </cell>
          <cell r="O2031">
            <v>11100637</v>
          </cell>
          <cell r="P2031">
            <v>2700</v>
          </cell>
          <cell r="Q2031">
            <v>45104</v>
          </cell>
          <cell r="R2031" t="str">
            <v>Yes</v>
          </cell>
          <cell r="S2031" t="str">
            <v>C28</v>
          </cell>
          <cell r="T2031" t="str">
            <v>SOUTH</v>
          </cell>
          <cell r="U2031" t="str">
            <v>深圳</v>
          </cell>
          <cell r="V2031" t="str">
            <v>SZ 深圳</v>
          </cell>
          <cell r="W2031" t="str">
            <v>MX</v>
          </cell>
          <cell r="X2031" t="str">
            <v>RMB</v>
          </cell>
          <cell r="Y2031">
            <v>2700</v>
          </cell>
          <cell r="Z2031">
            <v>1.1299999999999999</v>
          </cell>
          <cell r="AA2031">
            <v>2700</v>
          </cell>
          <cell r="AB2031">
            <v>1.1299999999999999</v>
          </cell>
          <cell r="AC2031">
            <v>2700</v>
          </cell>
          <cell r="AD2031">
            <v>324</v>
          </cell>
          <cell r="AE2031">
            <v>0.12</v>
          </cell>
          <cell r="AF2031">
            <v>44995</v>
          </cell>
          <cell r="AG2031" t="str">
            <v>DDP DG</v>
          </cell>
          <cell r="AK2031">
            <v>0.3</v>
          </cell>
          <cell r="AL2031">
            <v>810</v>
          </cell>
          <cell r="AM2031">
            <v>44995</v>
          </cell>
          <cell r="AN2031" t="str">
            <v>Yes</v>
          </cell>
          <cell r="AO2031">
            <v>0.7</v>
          </cell>
          <cell r="AP2031">
            <v>1889.9999999999998</v>
          </cell>
          <cell r="AQ2031">
            <v>45008</v>
          </cell>
          <cell r="AR2031">
            <v>45008</v>
          </cell>
          <cell r="AS2031">
            <v>0</v>
          </cell>
          <cell r="AT2031">
            <v>0</v>
          </cell>
          <cell r="AX2031" t="str">
            <v>Yes</v>
          </cell>
        </row>
        <row r="2032">
          <cell r="B2032">
            <v>1882</v>
          </cell>
          <cell r="C2032" t="str">
            <v>C28SZX20230039MX</v>
          </cell>
          <cell r="D2032" t="str">
            <v>徕芬</v>
          </cell>
          <cell r="E2032" t="str">
            <v>平移输送机</v>
          </cell>
          <cell r="K2032">
            <v>1</v>
          </cell>
          <cell r="N2032">
            <v>45014</v>
          </cell>
          <cell r="O2032">
            <v>11100637</v>
          </cell>
          <cell r="P2032">
            <v>32000</v>
          </cell>
          <cell r="Q2032">
            <v>45104</v>
          </cell>
          <cell r="R2032" t="str">
            <v>Yes</v>
          </cell>
          <cell r="S2032" t="str">
            <v>C28</v>
          </cell>
          <cell r="T2032" t="str">
            <v>SOUTH</v>
          </cell>
          <cell r="U2032" t="str">
            <v>深圳</v>
          </cell>
          <cell r="V2032" t="str">
            <v>SZ 深圳</v>
          </cell>
          <cell r="W2032" t="str">
            <v>MX</v>
          </cell>
          <cell r="X2032" t="str">
            <v>RMB</v>
          </cell>
          <cell r="Y2032">
            <v>32000</v>
          </cell>
          <cell r="Z2032">
            <v>1.1299999999999999</v>
          </cell>
          <cell r="AA2032">
            <v>32000</v>
          </cell>
          <cell r="AB2032">
            <v>1.1299999999999999</v>
          </cell>
          <cell r="AC2032">
            <v>32000</v>
          </cell>
          <cell r="AD2032">
            <v>3840</v>
          </cell>
          <cell r="AE2032">
            <v>0.12</v>
          </cell>
          <cell r="AF2032">
            <v>44995</v>
          </cell>
          <cell r="AG2032" t="str">
            <v>DDP DG</v>
          </cell>
          <cell r="AK2032">
            <v>0.3</v>
          </cell>
          <cell r="AL2032">
            <v>9600</v>
          </cell>
          <cell r="AM2032">
            <v>44995</v>
          </cell>
          <cell r="AN2032" t="str">
            <v>Yes</v>
          </cell>
          <cell r="AO2032">
            <v>0.7</v>
          </cell>
          <cell r="AP2032">
            <v>22400</v>
          </cell>
          <cell r="AQ2032">
            <v>45008</v>
          </cell>
          <cell r="AR2032">
            <v>45008</v>
          </cell>
          <cell r="AS2032">
            <v>0</v>
          </cell>
          <cell r="AT2032">
            <v>0</v>
          </cell>
          <cell r="AX2032" t="str">
            <v>Yes</v>
          </cell>
        </row>
        <row r="2033">
          <cell r="B2033">
            <v>1883</v>
          </cell>
          <cell r="C2033" t="str">
            <v>C28SZX20230039MX</v>
          </cell>
          <cell r="D2033" t="str">
            <v>徕芬</v>
          </cell>
          <cell r="E2033" t="str">
            <v>接驳输送机</v>
          </cell>
          <cell r="K2033">
            <v>1</v>
          </cell>
          <cell r="N2033">
            <v>45014</v>
          </cell>
          <cell r="O2033">
            <v>11100637</v>
          </cell>
          <cell r="P2033">
            <v>4000</v>
          </cell>
          <cell r="Q2033">
            <v>45104</v>
          </cell>
          <cell r="R2033" t="str">
            <v>Yes</v>
          </cell>
          <cell r="S2033" t="str">
            <v>C28</v>
          </cell>
          <cell r="T2033" t="str">
            <v>SOUTH</v>
          </cell>
          <cell r="U2033" t="str">
            <v>深圳</v>
          </cell>
          <cell r="V2033" t="str">
            <v>SZ 深圳</v>
          </cell>
          <cell r="W2033" t="str">
            <v>MX</v>
          </cell>
          <cell r="X2033" t="str">
            <v>RMB</v>
          </cell>
          <cell r="Y2033">
            <v>4000</v>
          </cell>
          <cell r="Z2033">
            <v>1.1299999999999999</v>
          </cell>
          <cell r="AA2033">
            <v>4000</v>
          </cell>
          <cell r="AB2033">
            <v>1.1299999999999999</v>
          </cell>
          <cell r="AC2033">
            <v>4000</v>
          </cell>
          <cell r="AD2033">
            <v>480</v>
          </cell>
          <cell r="AE2033">
            <v>0.12</v>
          </cell>
          <cell r="AF2033">
            <v>44995</v>
          </cell>
          <cell r="AG2033" t="str">
            <v>DDP DG</v>
          </cell>
          <cell r="AK2033">
            <v>0.3</v>
          </cell>
          <cell r="AL2033">
            <v>1200</v>
          </cell>
          <cell r="AM2033">
            <v>44995</v>
          </cell>
          <cell r="AN2033" t="str">
            <v>Yes</v>
          </cell>
          <cell r="AO2033">
            <v>0.7</v>
          </cell>
          <cell r="AP2033">
            <v>2800</v>
          </cell>
          <cell r="AQ2033">
            <v>45008</v>
          </cell>
          <cell r="AR2033">
            <v>45008</v>
          </cell>
          <cell r="AS2033">
            <v>0</v>
          </cell>
          <cell r="AT2033">
            <v>0</v>
          </cell>
          <cell r="AX2033" t="str">
            <v>Yes</v>
          </cell>
        </row>
        <row r="2034">
          <cell r="B2034">
            <v>1884</v>
          </cell>
          <cell r="C2034" t="str">
            <v>C28SZX20230039MX</v>
          </cell>
          <cell r="D2034" t="str">
            <v>徕芬</v>
          </cell>
          <cell r="E2034" t="str">
            <v>接驳输送机</v>
          </cell>
          <cell r="K2034">
            <v>1</v>
          </cell>
          <cell r="N2034">
            <v>45014</v>
          </cell>
          <cell r="O2034">
            <v>11100637</v>
          </cell>
          <cell r="P2034">
            <v>6200</v>
          </cell>
          <cell r="Q2034">
            <v>45104</v>
          </cell>
          <cell r="R2034" t="str">
            <v>Yes</v>
          </cell>
          <cell r="S2034" t="str">
            <v>C28</v>
          </cell>
          <cell r="T2034" t="str">
            <v>SOUTH</v>
          </cell>
          <cell r="U2034" t="str">
            <v>深圳</v>
          </cell>
          <cell r="V2034" t="str">
            <v>SZ 深圳</v>
          </cell>
          <cell r="W2034" t="str">
            <v>MX</v>
          </cell>
          <cell r="X2034" t="str">
            <v>RMB</v>
          </cell>
          <cell r="Y2034">
            <v>6200</v>
          </cell>
          <cell r="Z2034">
            <v>1.1299999999999999</v>
          </cell>
          <cell r="AA2034">
            <v>6200</v>
          </cell>
          <cell r="AB2034">
            <v>1.1299999999999999</v>
          </cell>
          <cell r="AC2034">
            <v>6200</v>
          </cell>
          <cell r="AD2034">
            <v>744</v>
          </cell>
          <cell r="AE2034">
            <v>0.12</v>
          </cell>
          <cell r="AF2034">
            <v>44995</v>
          </cell>
          <cell r="AG2034" t="str">
            <v>DDP DG</v>
          </cell>
          <cell r="AK2034">
            <v>0.3</v>
          </cell>
          <cell r="AL2034">
            <v>1860</v>
          </cell>
          <cell r="AM2034">
            <v>44995</v>
          </cell>
          <cell r="AN2034" t="str">
            <v>Yes</v>
          </cell>
          <cell r="AO2034">
            <v>0.7</v>
          </cell>
          <cell r="AP2034">
            <v>4340</v>
          </cell>
          <cell r="AQ2034">
            <v>45008</v>
          </cell>
          <cell r="AR2034">
            <v>45008</v>
          </cell>
          <cell r="AS2034">
            <v>0</v>
          </cell>
          <cell r="AT2034">
            <v>0</v>
          </cell>
          <cell r="AX2034" t="str">
            <v>Yes</v>
          </cell>
        </row>
        <row r="2035">
          <cell r="B2035">
            <v>1885</v>
          </cell>
          <cell r="C2035" t="str">
            <v>C28SZX20230039MX</v>
          </cell>
          <cell r="D2035" t="str">
            <v>徕芬</v>
          </cell>
          <cell r="E2035" t="str">
            <v>下板机</v>
          </cell>
          <cell r="K2035">
            <v>1</v>
          </cell>
          <cell r="N2035">
            <v>45014</v>
          </cell>
          <cell r="O2035">
            <v>11100637</v>
          </cell>
          <cell r="P2035">
            <v>30000</v>
          </cell>
          <cell r="Q2035">
            <v>45104</v>
          </cell>
          <cell r="R2035" t="str">
            <v>Yes</v>
          </cell>
          <cell r="S2035" t="str">
            <v>C28</v>
          </cell>
          <cell r="T2035" t="str">
            <v>SOUTH</v>
          </cell>
          <cell r="U2035" t="str">
            <v>深圳</v>
          </cell>
          <cell r="V2035" t="str">
            <v>SZ 深圳</v>
          </cell>
          <cell r="W2035" t="str">
            <v>MX</v>
          </cell>
          <cell r="X2035" t="str">
            <v>RMB</v>
          </cell>
          <cell r="Y2035">
            <v>30000</v>
          </cell>
          <cell r="Z2035">
            <v>1.1299999999999999</v>
          </cell>
          <cell r="AA2035">
            <v>30000</v>
          </cell>
          <cell r="AB2035">
            <v>1.1299999999999999</v>
          </cell>
          <cell r="AC2035">
            <v>30000</v>
          </cell>
          <cell r="AD2035">
            <v>3600</v>
          </cell>
          <cell r="AE2035">
            <v>0.12</v>
          </cell>
          <cell r="AF2035">
            <v>44995</v>
          </cell>
          <cell r="AG2035" t="str">
            <v>DDP DG</v>
          </cell>
          <cell r="AK2035">
            <v>0.3</v>
          </cell>
          <cell r="AL2035">
            <v>9000</v>
          </cell>
          <cell r="AM2035">
            <v>44995</v>
          </cell>
          <cell r="AN2035" t="str">
            <v>Yes</v>
          </cell>
          <cell r="AO2035">
            <v>0.7</v>
          </cell>
          <cell r="AP2035">
            <v>21000</v>
          </cell>
          <cell r="AQ2035">
            <v>45008</v>
          </cell>
          <cell r="AR2035">
            <v>45008</v>
          </cell>
          <cell r="AS2035">
            <v>0</v>
          </cell>
          <cell r="AT2035">
            <v>0</v>
          </cell>
          <cell r="AX2035" t="str">
            <v>Yes</v>
          </cell>
        </row>
        <row r="2036">
          <cell r="B2036">
            <v>1886</v>
          </cell>
          <cell r="C2036" t="str">
            <v>C28SZX20230039MX</v>
          </cell>
          <cell r="D2036" t="str">
            <v>徕芬</v>
          </cell>
          <cell r="E2036" t="str">
            <v>2.4M插件线</v>
          </cell>
          <cell r="K2036">
            <v>1</v>
          </cell>
          <cell r="N2036">
            <v>45014</v>
          </cell>
          <cell r="O2036">
            <v>11100637</v>
          </cell>
          <cell r="P2036">
            <v>4166.6670000000004</v>
          </cell>
          <cell r="Q2036">
            <v>45104</v>
          </cell>
          <cell r="R2036" t="str">
            <v>Yes</v>
          </cell>
          <cell r="S2036" t="str">
            <v>C28</v>
          </cell>
          <cell r="T2036" t="str">
            <v>SOUTH</v>
          </cell>
          <cell r="U2036" t="str">
            <v>深圳</v>
          </cell>
          <cell r="V2036" t="str">
            <v>SZ 深圳</v>
          </cell>
          <cell r="W2036" t="str">
            <v>MX</v>
          </cell>
          <cell r="X2036" t="str">
            <v>RMB</v>
          </cell>
          <cell r="Y2036">
            <v>4166.6670000000004</v>
          </cell>
          <cell r="Z2036">
            <v>1.1299999999999999</v>
          </cell>
          <cell r="AA2036">
            <v>4166.6670000000004</v>
          </cell>
          <cell r="AB2036">
            <v>1.1299999999999999</v>
          </cell>
          <cell r="AC2036">
            <v>4166.6670000000004</v>
          </cell>
          <cell r="AD2036">
            <v>500.00004000000001</v>
          </cell>
          <cell r="AE2036">
            <v>0.12</v>
          </cell>
          <cell r="AF2036">
            <v>44995</v>
          </cell>
          <cell r="AG2036" t="str">
            <v>DDP DG</v>
          </cell>
          <cell r="AK2036">
            <v>0.3</v>
          </cell>
          <cell r="AL2036">
            <v>1250.0001</v>
          </cell>
          <cell r="AM2036">
            <v>44995</v>
          </cell>
          <cell r="AN2036" t="str">
            <v>Yes</v>
          </cell>
          <cell r="AO2036">
            <v>0.7</v>
          </cell>
          <cell r="AP2036">
            <v>2916.6669000000002</v>
          </cell>
          <cell r="AQ2036">
            <v>45008</v>
          </cell>
          <cell r="AR2036">
            <v>45008</v>
          </cell>
          <cell r="AS2036">
            <v>0</v>
          </cell>
          <cell r="AT2036">
            <v>0</v>
          </cell>
          <cell r="AX2036" t="str">
            <v>Yes</v>
          </cell>
        </row>
        <row r="2037">
          <cell r="B2037">
            <v>1887</v>
          </cell>
          <cell r="C2037" t="str">
            <v>C28SZX20230039MX</v>
          </cell>
          <cell r="D2037" t="str">
            <v>徕芬</v>
          </cell>
          <cell r="E2037" t="str">
            <v>2.4M插件线</v>
          </cell>
          <cell r="K2037">
            <v>1</v>
          </cell>
          <cell r="N2037">
            <v>45014</v>
          </cell>
          <cell r="O2037">
            <v>11100637</v>
          </cell>
          <cell r="P2037">
            <v>4166.6670000000004</v>
          </cell>
          <cell r="Q2037">
            <v>45104</v>
          </cell>
          <cell r="R2037" t="str">
            <v>Yes</v>
          </cell>
          <cell r="S2037" t="str">
            <v>C28</v>
          </cell>
          <cell r="T2037" t="str">
            <v>SOUTH</v>
          </cell>
          <cell r="U2037" t="str">
            <v>深圳</v>
          </cell>
          <cell r="V2037" t="str">
            <v>SZ 深圳</v>
          </cell>
          <cell r="W2037" t="str">
            <v>MX</v>
          </cell>
          <cell r="X2037" t="str">
            <v>RMB</v>
          </cell>
          <cell r="Y2037">
            <v>4166.6670000000004</v>
          </cell>
          <cell r="Z2037">
            <v>1.1299999999999999</v>
          </cell>
          <cell r="AA2037">
            <v>4166.6670000000004</v>
          </cell>
          <cell r="AB2037">
            <v>1.1299999999999999</v>
          </cell>
          <cell r="AC2037">
            <v>4166.6670000000004</v>
          </cell>
          <cell r="AD2037">
            <v>500.00004000000001</v>
          </cell>
          <cell r="AE2037">
            <v>0.12</v>
          </cell>
          <cell r="AF2037">
            <v>44995</v>
          </cell>
          <cell r="AG2037" t="str">
            <v>DDP DG</v>
          </cell>
          <cell r="AK2037">
            <v>0.3</v>
          </cell>
          <cell r="AL2037">
            <v>1250.0001</v>
          </cell>
          <cell r="AM2037">
            <v>44995</v>
          </cell>
          <cell r="AN2037" t="str">
            <v>Yes</v>
          </cell>
          <cell r="AO2037">
            <v>0.7</v>
          </cell>
          <cell r="AP2037">
            <v>2916.6669000000002</v>
          </cell>
          <cell r="AQ2037">
            <v>45008</v>
          </cell>
          <cell r="AR2037">
            <v>45008</v>
          </cell>
          <cell r="AS2037">
            <v>0</v>
          </cell>
          <cell r="AT2037">
            <v>0</v>
          </cell>
          <cell r="AX2037" t="str">
            <v>Yes</v>
          </cell>
        </row>
        <row r="2038">
          <cell r="B2038">
            <v>1888</v>
          </cell>
          <cell r="C2038" t="str">
            <v>C28SZX20230039MX</v>
          </cell>
          <cell r="D2038" t="str">
            <v>徕芬</v>
          </cell>
          <cell r="E2038" t="str">
            <v>2.4M插件线</v>
          </cell>
          <cell r="K2038">
            <v>1</v>
          </cell>
          <cell r="N2038">
            <v>45014</v>
          </cell>
          <cell r="O2038">
            <v>11100637</v>
          </cell>
          <cell r="P2038">
            <v>4166.6670000000004</v>
          </cell>
          <cell r="Q2038">
            <v>45104</v>
          </cell>
          <cell r="R2038" t="str">
            <v>Yes</v>
          </cell>
          <cell r="S2038" t="str">
            <v>C28</v>
          </cell>
          <cell r="T2038" t="str">
            <v>SOUTH</v>
          </cell>
          <cell r="U2038" t="str">
            <v>深圳</v>
          </cell>
          <cell r="V2038" t="str">
            <v>SZ 深圳</v>
          </cell>
          <cell r="W2038" t="str">
            <v>MX</v>
          </cell>
          <cell r="X2038" t="str">
            <v>RMB</v>
          </cell>
          <cell r="Y2038">
            <v>4166.6670000000004</v>
          </cell>
          <cell r="Z2038">
            <v>1.1299999999999999</v>
          </cell>
          <cell r="AA2038">
            <v>4166.6670000000004</v>
          </cell>
          <cell r="AB2038">
            <v>1.1299999999999999</v>
          </cell>
          <cell r="AC2038">
            <v>4166.6670000000004</v>
          </cell>
          <cell r="AD2038">
            <v>500.00004000000001</v>
          </cell>
          <cell r="AE2038">
            <v>0.12</v>
          </cell>
          <cell r="AF2038">
            <v>44995</v>
          </cell>
          <cell r="AG2038" t="str">
            <v>DDP DG</v>
          </cell>
          <cell r="AK2038">
            <v>0.3</v>
          </cell>
          <cell r="AL2038">
            <v>1250.0001</v>
          </cell>
          <cell r="AM2038">
            <v>44995</v>
          </cell>
          <cell r="AN2038" t="str">
            <v>Yes</v>
          </cell>
          <cell r="AO2038">
            <v>0.7</v>
          </cell>
          <cell r="AP2038">
            <v>2916.6669000000002</v>
          </cell>
          <cell r="AQ2038">
            <v>45008</v>
          </cell>
          <cell r="AR2038">
            <v>45008</v>
          </cell>
          <cell r="AS2038">
            <v>0</v>
          </cell>
          <cell r="AT2038">
            <v>0</v>
          </cell>
          <cell r="AX2038" t="str">
            <v>Yes</v>
          </cell>
        </row>
        <row r="2039">
          <cell r="B2039">
            <v>1889</v>
          </cell>
          <cell r="C2039" t="str">
            <v>C28SZX20230039MX</v>
          </cell>
          <cell r="D2039" t="str">
            <v>徕芬</v>
          </cell>
          <cell r="E2039" t="str">
            <v>5米皮带线</v>
          </cell>
          <cell r="K2039">
            <v>1</v>
          </cell>
          <cell r="N2039">
            <v>45014</v>
          </cell>
          <cell r="O2039">
            <v>11100637</v>
          </cell>
          <cell r="P2039">
            <v>11500</v>
          </cell>
          <cell r="Q2039">
            <v>45104</v>
          </cell>
          <cell r="R2039" t="str">
            <v>Yes</v>
          </cell>
          <cell r="S2039" t="str">
            <v>C28</v>
          </cell>
          <cell r="T2039" t="str">
            <v>SOUTH</v>
          </cell>
          <cell r="U2039" t="str">
            <v>深圳</v>
          </cell>
          <cell r="V2039" t="str">
            <v>SZ 深圳</v>
          </cell>
          <cell r="W2039" t="str">
            <v>MX</v>
          </cell>
          <cell r="X2039" t="str">
            <v>RMB</v>
          </cell>
          <cell r="Y2039">
            <v>11500</v>
          </cell>
          <cell r="Z2039">
            <v>1.1299999999999999</v>
          </cell>
          <cell r="AA2039">
            <v>11500</v>
          </cell>
          <cell r="AB2039">
            <v>1.1299999999999999</v>
          </cell>
          <cell r="AC2039">
            <v>11500</v>
          </cell>
          <cell r="AD2039">
            <v>1380</v>
          </cell>
          <cell r="AE2039">
            <v>0.12</v>
          </cell>
          <cell r="AF2039">
            <v>44995</v>
          </cell>
          <cell r="AG2039" t="str">
            <v>DDP DG</v>
          </cell>
          <cell r="AK2039">
            <v>0.3</v>
          </cell>
          <cell r="AL2039">
            <v>3450</v>
          </cell>
          <cell r="AM2039">
            <v>44995</v>
          </cell>
          <cell r="AN2039" t="str">
            <v>Yes</v>
          </cell>
          <cell r="AO2039">
            <v>0.7</v>
          </cell>
          <cell r="AP2039">
            <v>8049.9999999999991</v>
          </cell>
          <cell r="AQ2039">
            <v>45008</v>
          </cell>
          <cell r="AR2039">
            <v>45008</v>
          </cell>
          <cell r="AS2039">
            <v>0</v>
          </cell>
          <cell r="AT2039">
            <v>0</v>
          </cell>
          <cell r="AX2039" t="str">
            <v>Yes</v>
          </cell>
        </row>
        <row r="2040">
          <cell r="B2040">
            <v>1890</v>
          </cell>
          <cell r="C2040" t="str">
            <v>C49SZX20230033JL</v>
          </cell>
          <cell r="D2040" t="str">
            <v>力通威</v>
          </cell>
          <cell r="E2040" t="str">
            <v>YSM10</v>
          </cell>
          <cell r="I2040" t="str">
            <v>R-&gt;L</v>
          </cell>
          <cell r="J2040" t="str">
            <v xml:space="preserve">MVC+96 FEEDER PLATE (YSM10) </v>
          </cell>
          <cell r="K2040">
            <v>1</v>
          </cell>
          <cell r="N2040">
            <v>44982</v>
          </cell>
          <cell r="O2040">
            <v>11100602</v>
          </cell>
          <cell r="P2040">
            <v>541500</v>
          </cell>
          <cell r="Q2040">
            <v>45012</v>
          </cell>
          <cell r="R2040" t="str">
            <v>No</v>
          </cell>
          <cell r="S2040" t="str">
            <v>C49</v>
          </cell>
          <cell r="T2040" t="str">
            <v>SOUTH</v>
          </cell>
          <cell r="U2040" t="str">
            <v>深圳</v>
          </cell>
          <cell r="V2040" t="str">
            <v>SZ 深圳</v>
          </cell>
          <cell r="W2040" t="str">
            <v>JL</v>
          </cell>
          <cell r="X2040" t="str">
            <v>RMB</v>
          </cell>
          <cell r="Y2040">
            <v>541500</v>
          </cell>
          <cell r="Z2040">
            <v>1.1299999999999999</v>
          </cell>
          <cell r="AA2040">
            <v>541500</v>
          </cell>
          <cell r="AB2040">
            <v>1.1299999999999999</v>
          </cell>
          <cell r="AC2040">
            <v>541500</v>
          </cell>
          <cell r="AD2040">
            <v>64980</v>
          </cell>
          <cell r="AE2040">
            <v>0.12</v>
          </cell>
          <cell r="AF2040">
            <v>44994</v>
          </cell>
          <cell r="AG2040" t="str">
            <v>DDP SZ</v>
          </cell>
          <cell r="AK2040">
            <v>0.3</v>
          </cell>
          <cell r="AL2040">
            <v>162450</v>
          </cell>
          <cell r="AM2040">
            <v>45002</v>
          </cell>
          <cell r="AN2040" t="str">
            <v>Yes</v>
          </cell>
          <cell r="AO2040">
            <v>0.65</v>
          </cell>
          <cell r="AP2040">
            <v>351975</v>
          </cell>
          <cell r="AQ2040">
            <v>45006</v>
          </cell>
          <cell r="AR2040">
            <v>45006</v>
          </cell>
          <cell r="AS2040">
            <v>0.05</v>
          </cell>
          <cell r="AT2040">
            <v>27075</v>
          </cell>
          <cell r="AU2040">
            <v>45040</v>
          </cell>
          <cell r="AV2040">
            <v>45040</v>
          </cell>
          <cell r="AX2040" t="str">
            <v>Yes</v>
          </cell>
          <cell r="AZ2040" t="str">
            <v>Y</v>
          </cell>
          <cell r="BA2040" t="str">
            <v>Yes</v>
          </cell>
        </row>
        <row r="2041">
          <cell r="B2041">
            <v>1891</v>
          </cell>
          <cell r="C2041" t="str">
            <v>C49SZX20230033JL</v>
          </cell>
          <cell r="D2041" t="str">
            <v>力通威</v>
          </cell>
          <cell r="E2041" t="str">
            <v>YSM10</v>
          </cell>
          <cell r="I2041" t="str">
            <v>R-&gt;L</v>
          </cell>
          <cell r="J2041" t="str">
            <v xml:space="preserve">MVC+96 FEEDER PLATE (YSM10) </v>
          </cell>
          <cell r="K2041">
            <v>1</v>
          </cell>
          <cell r="N2041">
            <v>44982</v>
          </cell>
          <cell r="O2041">
            <v>11100602</v>
          </cell>
          <cell r="P2041">
            <v>541500</v>
          </cell>
          <cell r="Q2041">
            <v>45012</v>
          </cell>
          <cell r="R2041" t="str">
            <v>No</v>
          </cell>
          <cell r="S2041" t="str">
            <v>C49</v>
          </cell>
          <cell r="T2041" t="str">
            <v>SOUTH</v>
          </cell>
          <cell r="U2041" t="str">
            <v>深圳</v>
          </cell>
          <cell r="V2041" t="str">
            <v>SZ 深圳</v>
          </cell>
          <cell r="W2041" t="str">
            <v>JL</v>
          </cell>
          <cell r="X2041" t="str">
            <v>RMB</v>
          </cell>
          <cell r="Y2041">
            <v>541500</v>
          </cell>
          <cell r="Z2041">
            <v>1.1299999999999999</v>
          </cell>
          <cell r="AA2041">
            <v>541500</v>
          </cell>
          <cell r="AB2041">
            <v>1.1299999999999999</v>
          </cell>
          <cell r="AC2041">
            <v>541500</v>
          </cell>
          <cell r="AD2041">
            <v>64980</v>
          </cell>
          <cell r="AE2041">
            <v>0.12</v>
          </cell>
          <cell r="AF2041">
            <v>44994</v>
          </cell>
          <cell r="AG2041" t="str">
            <v>DDP SZ</v>
          </cell>
          <cell r="AK2041">
            <v>0.3</v>
          </cell>
          <cell r="AL2041">
            <v>162450</v>
          </cell>
          <cell r="AM2041">
            <v>45002</v>
          </cell>
          <cell r="AN2041" t="str">
            <v>Yes</v>
          </cell>
          <cell r="AO2041">
            <v>0.65</v>
          </cell>
          <cell r="AP2041">
            <v>351975</v>
          </cell>
          <cell r="AQ2041">
            <v>45006</v>
          </cell>
          <cell r="AR2041">
            <v>45006</v>
          </cell>
          <cell r="AS2041">
            <v>0.05</v>
          </cell>
          <cell r="AT2041">
            <v>27075</v>
          </cell>
          <cell r="AU2041">
            <v>45040</v>
          </cell>
          <cell r="AV2041">
            <v>45040</v>
          </cell>
          <cell r="AX2041" t="str">
            <v>Yes</v>
          </cell>
          <cell r="AZ2041" t="str">
            <v>Y</v>
          </cell>
          <cell r="BA2041" t="str">
            <v>Yes</v>
          </cell>
        </row>
        <row r="2042">
          <cell r="B2042">
            <v>1892</v>
          </cell>
          <cell r="C2042" t="str">
            <v>C49SZX20230045RSX</v>
          </cell>
          <cell r="D2042" t="str">
            <v>安林</v>
          </cell>
          <cell r="E2042" t="str">
            <v>YSM20R-2</v>
          </cell>
          <cell r="I2042" t="str">
            <v>L-&gt;R</v>
          </cell>
          <cell r="J2042" t="str">
            <v>No</v>
          </cell>
          <cell r="K2042">
            <v>1</v>
          </cell>
          <cell r="N2042">
            <v>45008</v>
          </cell>
          <cell r="O2042">
            <v>11100599</v>
          </cell>
          <cell r="P2042">
            <v>1056200</v>
          </cell>
          <cell r="Q2042">
            <v>45009</v>
          </cell>
          <cell r="R2042" t="str">
            <v>No</v>
          </cell>
          <cell r="S2042" t="str">
            <v>C49</v>
          </cell>
          <cell r="T2042" t="str">
            <v>SOUTH</v>
          </cell>
          <cell r="U2042" t="str">
            <v>深圳</v>
          </cell>
          <cell r="V2042" t="str">
            <v>SZ 深圳</v>
          </cell>
          <cell r="W2042" t="str">
            <v>SX</v>
          </cell>
          <cell r="X2042" t="str">
            <v>RMB</v>
          </cell>
          <cell r="Y2042">
            <v>1000000</v>
          </cell>
          <cell r="Z2042">
            <v>1.1299999999999999</v>
          </cell>
          <cell r="AA2042">
            <v>1056200</v>
          </cell>
          <cell r="AB2042">
            <v>1.1299999999999999</v>
          </cell>
          <cell r="AC2042">
            <v>1056200</v>
          </cell>
          <cell r="AD2042">
            <v>126744</v>
          </cell>
          <cell r="AE2042">
            <v>0.12</v>
          </cell>
          <cell r="AF2042">
            <v>45001</v>
          </cell>
          <cell r="AG2042" t="str">
            <v>DDP DG</v>
          </cell>
          <cell r="AI2042">
            <v>8888</v>
          </cell>
          <cell r="AJ2042">
            <v>45002</v>
          </cell>
          <cell r="AK2042">
            <v>0.1</v>
          </cell>
          <cell r="AL2042">
            <v>100000</v>
          </cell>
          <cell r="AM2042">
            <v>45007</v>
          </cell>
          <cell r="AN2042" t="str">
            <v>Yes</v>
          </cell>
          <cell r="AO2042">
            <v>0.9</v>
          </cell>
          <cell r="AP2042">
            <v>950580</v>
          </cell>
          <cell r="AQ2042">
            <v>45007</v>
          </cell>
          <cell r="AR2042">
            <v>45007</v>
          </cell>
          <cell r="AS2042">
            <v>0</v>
          </cell>
          <cell r="AT2042">
            <v>0</v>
          </cell>
          <cell r="AX2042" t="str">
            <v>Yes</v>
          </cell>
          <cell r="AZ2042" t="str">
            <v>Y</v>
          </cell>
          <cell r="BA2042" t="str">
            <v>Yes</v>
          </cell>
        </row>
        <row r="2043">
          <cell r="B2043">
            <v>1893</v>
          </cell>
          <cell r="C2043" t="str">
            <v>C49SZX20230046DM</v>
          </cell>
          <cell r="D2043" t="str">
            <v>菲帆</v>
          </cell>
          <cell r="E2043" t="str">
            <v>YSM20R-2</v>
          </cell>
          <cell r="I2043" t="str">
            <v>L-&gt;R</v>
          </cell>
          <cell r="J2043" t="str">
            <v>No</v>
          </cell>
          <cell r="K2043">
            <v>1</v>
          </cell>
          <cell r="N2043">
            <v>45035</v>
          </cell>
          <cell r="O2043">
            <v>11100615</v>
          </cell>
          <cell r="P2043">
            <v>1000000</v>
          </cell>
          <cell r="Q2043">
            <v>45043</v>
          </cell>
          <cell r="R2043" t="str">
            <v>Yes</v>
          </cell>
          <cell r="S2043" t="str">
            <v>C49</v>
          </cell>
          <cell r="T2043" t="str">
            <v>SOUTH</v>
          </cell>
          <cell r="U2043" t="str">
            <v>深圳</v>
          </cell>
          <cell r="V2043" t="str">
            <v>SZ 深圳</v>
          </cell>
          <cell r="W2043" t="str">
            <v>DM</v>
          </cell>
          <cell r="X2043" t="str">
            <v>RMB</v>
          </cell>
          <cell r="Y2043">
            <v>1160000</v>
          </cell>
          <cell r="Z2043">
            <v>1.1299999999999999</v>
          </cell>
          <cell r="AA2043">
            <v>1160000</v>
          </cell>
          <cell r="AB2043">
            <v>1.1299999999999999</v>
          </cell>
          <cell r="AC2043">
            <v>1160000</v>
          </cell>
          <cell r="AD2043">
            <v>139200</v>
          </cell>
          <cell r="AE2043">
            <v>0.12</v>
          </cell>
          <cell r="AF2043">
            <v>45002</v>
          </cell>
          <cell r="AG2043" t="str">
            <v>DDP HZ</v>
          </cell>
          <cell r="AI2043">
            <v>50000</v>
          </cell>
          <cell r="AJ2043">
            <v>44992</v>
          </cell>
          <cell r="AK2043">
            <v>0.1</v>
          </cell>
          <cell r="AL2043">
            <v>116000</v>
          </cell>
          <cell r="AM2043">
            <v>45009</v>
          </cell>
          <cell r="AN2043" t="str">
            <v>Yes</v>
          </cell>
          <cell r="AO2043">
            <v>0.9</v>
          </cell>
          <cell r="AP2043">
            <v>1044000</v>
          </cell>
          <cell r="AQ2043">
            <v>45035</v>
          </cell>
          <cell r="AR2043">
            <v>45035</v>
          </cell>
          <cell r="AS2043">
            <v>0</v>
          </cell>
          <cell r="AT2043">
            <v>0</v>
          </cell>
          <cell r="AX2043" t="str">
            <v>Yes</v>
          </cell>
          <cell r="AZ2043" t="str">
            <v>Y</v>
          </cell>
          <cell r="BA2043" t="str">
            <v>Yes</v>
          </cell>
        </row>
        <row r="2044">
          <cell r="B2044">
            <v>1894</v>
          </cell>
          <cell r="C2044" t="str">
            <v>C49SZX20230046DM</v>
          </cell>
          <cell r="D2044" t="str">
            <v>菲帆</v>
          </cell>
          <cell r="E2044" t="str">
            <v>YSM10</v>
          </cell>
          <cell r="I2044" t="str">
            <v>L-&gt;R</v>
          </cell>
          <cell r="J2044" t="str">
            <v>MVC+ATS15</v>
          </cell>
          <cell r="K2044">
            <v>1</v>
          </cell>
          <cell r="N2044">
            <v>45035</v>
          </cell>
          <cell r="O2044">
            <v>11100615</v>
          </cell>
          <cell r="P2044">
            <v>1160000</v>
          </cell>
          <cell r="Q2044">
            <v>45043</v>
          </cell>
          <cell r="R2044" t="str">
            <v>Yes</v>
          </cell>
          <cell r="S2044" t="str">
            <v>C49</v>
          </cell>
          <cell r="T2044" t="str">
            <v>SOUTH</v>
          </cell>
          <cell r="U2044" t="str">
            <v>深圳</v>
          </cell>
          <cell r="V2044" t="str">
            <v>SZ 深圳</v>
          </cell>
          <cell r="W2044" t="str">
            <v>DM</v>
          </cell>
          <cell r="X2044" t="str">
            <v>RMB</v>
          </cell>
          <cell r="Y2044">
            <v>600000</v>
          </cell>
          <cell r="Z2044">
            <v>1.1299999999999999</v>
          </cell>
          <cell r="AA2044">
            <v>600000</v>
          </cell>
          <cell r="AB2044">
            <v>1.1299999999999999</v>
          </cell>
          <cell r="AC2044">
            <v>600000</v>
          </cell>
          <cell r="AD2044">
            <v>72000</v>
          </cell>
          <cell r="AE2044">
            <v>0.12</v>
          </cell>
          <cell r="AF2044">
            <v>45002</v>
          </cell>
          <cell r="AG2044" t="str">
            <v>DDP HZ</v>
          </cell>
          <cell r="AI2044"/>
          <cell r="AJ2044">
            <v>44992</v>
          </cell>
          <cell r="AK2044">
            <v>0.1</v>
          </cell>
          <cell r="AL2044">
            <v>60000</v>
          </cell>
          <cell r="AM2044">
            <v>45009</v>
          </cell>
          <cell r="AN2044" t="str">
            <v>Yes</v>
          </cell>
          <cell r="AO2044">
            <v>0.9</v>
          </cell>
          <cell r="AP2044">
            <v>540000</v>
          </cell>
          <cell r="AQ2044">
            <v>45035</v>
          </cell>
          <cell r="AR2044">
            <v>45035</v>
          </cell>
          <cell r="AS2044">
            <v>0</v>
          </cell>
          <cell r="AT2044">
            <v>0</v>
          </cell>
          <cell r="AX2044" t="str">
            <v>Yes</v>
          </cell>
          <cell r="AZ2044" t="str">
            <v>Y</v>
          </cell>
          <cell r="BA2044" t="str">
            <v>Yes</v>
          </cell>
        </row>
        <row r="2045">
          <cell r="B2045">
            <v>1895</v>
          </cell>
          <cell r="C2045" t="str">
            <v>C49SZX20230047R1SS</v>
          </cell>
          <cell r="D2045" t="str">
            <v>阿姆斯特</v>
          </cell>
          <cell r="E2045" t="str">
            <v>YSM20R-2</v>
          </cell>
          <cell r="I2045" t="str">
            <v>L-&gt;R</v>
          </cell>
          <cell r="J2045" t="str">
            <v>No</v>
          </cell>
          <cell r="K2045">
            <v>1</v>
          </cell>
          <cell r="N2045">
            <v>45013</v>
          </cell>
          <cell r="O2045">
            <v>11100607</v>
          </cell>
          <cell r="P2045">
            <v>720000</v>
          </cell>
          <cell r="Q2045">
            <v>45014</v>
          </cell>
          <cell r="R2045" t="str">
            <v>No</v>
          </cell>
          <cell r="S2045" t="str">
            <v>C49</v>
          </cell>
          <cell r="T2045" t="str">
            <v>SOUTH</v>
          </cell>
          <cell r="U2045" t="str">
            <v>深圳</v>
          </cell>
          <cell r="V2045" t="str">
            <v>SZ 深圳</v>
          </cell>
          <cell r="W2045" t="str">
            <v>SS</v>
          </cell>
          <cell r="X2045" t="str">
            <v>RMB</v>
          </cell>
          <cell r="Y2045">
            <v>720000</v>
          </cell>
          <cell r="Z2045">
            <v>1.1299999999999999</v>
          </cell>
          <cell r="AA2045">
            <v>720000</v>
          </cell>
          <cell r="AB2045">
            <v>1.1299999999999999</v>
          </cell>
          <cell r="AC2045">
            <v>720000</v>
          </cell>
          <cell r="AD2045">
            <v>86400</v>
          </cell>
          <cell r="AE2045">
            <v>0.12</v>
          </cell>
          <cell r="AF2045">
            <v>45007</v>
          </cell>
          <cell r="AG2045" t="str">
            <v>DDP DG</v>
          </cell>
          <cell r="AK2045">
            <v>1</v>
          </cell>
          <cell r="AL2045">
            <v>720000</v>
          </cell>
          <cell r="AM2045">
            <v>45008</v>
          </cell>
          <cell r="AN2045" t="str">
            <v>Yes</v>
          </cell>
          <cell r="AO2045">
            <v>0</v>
          </cell>
          <cell r="AP2045">
            <v>0</v>
          </cell>
          <cell r="AS2045">
            <v>0</v>
          </cell>
          <cell r="AT2045">
            <v>0</v>
          </cell>
          <cell r="AX2045" t="str">
            <v>Yes</v>
          </cell>
          <cell r="AZ2045" t="str">
            <v>Y</v>
          </cell>
          <cell r="BA2045" t="str">
            <v>Yes</v>
          </cell>
        </row>
        <row r="2046">
          <cell r="B2046">
            <v>1896</v>
          </cell>
          <cell r="C2046" t="str">
            <v>YJY-2023040701</v>
          </cell>
          <cell r="D2046" t="str">
            <v>清水湾（End use:呈承）</v>
          </cell>
          <cell r="E2046" t="str">
            <v>YSM20R-2</v>
          </cell>
          <cell r="I2046" t="str">
            <v>L-&gt;R</v>
          </cell>
          <cell r="J2046" t="str">
            <v>No</v>
          </cell>
          <cell r="K2046">
            <v>1</v>
          </cell>
          <cell r="N2046">
            <v>45036</v>
          </cell>
          <cell r="O2046">
            <v>11100614</v>
          </cell>
          <cell r="P2046">
            <v>822900</v>
          </cell>
          <cell r="Q2046">
            <v>45043</v>
          </cell>
          <cell r="R2046" t="str">
            <v>Yes</v>
          </cell>
          <cell r="S2046" t="str">
            <v>C49</v>
          </cell>
          <cell r="T2046" t="str">
            <v>SOUTH</v>
          </cell>
          <cell r="U2046" t="str">
            <v>深圳</v>
          </cell>
          <cell r="V2046" t="str">
            <v>SZ 深圳</v>
          </cell>
          <cell r="W2046" t="str">
            <v>SQ</v>
          </cell>
          <cell r="X2046" t="str">
            <v>RMB</v>
          </cell>
          <cell r="Y2046">
            <v>822900</v>
          </cell>
          <cell r="Z2046">
            <v>1.1299999999999999</v>
          </cell>
          <cell r="AA2046">
            <v>822900</v>
          </cell>
          <cell r="AB2046">
            <v>1.1399999999999999</v>
          </cell>
          <cell r="AC2046">
            <v>830182.30088495568</v>
          </cell>
          <cell r="AD2046">
            <v>99621.876106194672</v>
          </cell>
          <cell r="AE2046">
            <v>0.12</v>
          </cell>
          <cell r="AF2046">
            <v>45019</v>
          </cell>
          <cell r="AG2046" t="str">
            <v>DDP ZS</v>
          </cell>
          <cell r="AK2046">
            <v>1</v>
          </cell>
          <cell r="AL2046">
            <v>822900</v>
          </cell>
          <cell r="AM2046">
            <v>45033</v>
          </cell>
          <cell r="AN2046" t="str">
            <v>Yes</v>
          </cell>
          <cell r="AO2046">
            <v>0</v>
          </cell>
          <cell r="AP2046">
            <v>0</v>
          </cell>
          <cell r="AS2046">
            <v>0</v>
          </cell>
          <cell r="AT2046">
            <v>0</v>
          </cell>
          <cell r="AX2046" t="str">
            <v>Yes</v>
          </cell>
          <cell r="AZ2046" t="str">
            <v>Y</v>
          </cell>
          <cell r="BA2046" t="str">
            <v>Yes</v>
          </cell>
        </row>
        <row r="2047">
          <cell r="B2047">
            <v>1897</v>
          </cell>
          <cell r="C2047" t="str">
            <v>YJY-2023040701</v>
          </cell>
          <cell r="D2047" t="str">
            <v>清水湾（End use:呈承）</v>
          </cell>
          <cell r="E2047" t="str">
            <v>YSM20R-2</v>
          </cell>
          <cell r="I2047" t="str">
            <v>L-&gt;R</v>
          </cell>
          <cell r="J2047" t="str">
            <v>No</v>
          </cell>
          <cell r="K2047">
            <v>1</v>
          </cell>
          <cell r="N2047">
            <v>45036</v>
          </cell>
          <cell r="O2047">
            <v>11100614</v>
          </cell>
          <cell r="P2047">
            <v>822900</v>
          </cell>
          <cell r="Q2047">
            <v>45043</v>
          </cell>
          <cell r="R2047" t="str">
            <v>Yes</v>
          </cell>
          <cell r="S2047" t="str">
            <v>C49</v>
          </cell>
          <cell r="T2047" t="str">
            <v>SOUTH</v>
          </cell>
          <cell r="U2047" t="str">
            <v>深圳</v>
          </cell>
          <cell r="V2047" t="str">
            <v>SZ 深圳</v>
          </cell>
          <cell r="W2047" t="str">
            <v>SQ</v>
          </cell>
          <cell r="X2047" t="str">
            <v>RMB</v>
          </cell>
          <cell r="Y2047">
            <v>822900</v>
          </cell>
          <cell r="Z2047">
            <v>1.1299999999999999</v>
          </cell>
          <cell r="AA2047">
            <v>822900</v>
          </cell>
          <cell r="AB2047">
            <v>1.1399999999999999</v>
          </cell>
          <cell r="AC2047">
            <v>830182.30088495568</v>
          </cell>
          <cell r="AD2047">
            <v>99621.876106194672</v>
          </cell>
          <cell r="AE2047">
            <v>0.12</v>
          </cell>
          <cell r="AF2047">
            <v>45019</v>
          </cell>
          <cell r="AG2047" t="str">
            <v>DDP ZS</v>
          </cell>
          <cell r="AK2047">
            <v>1</v>
          </cell>
          <cell r="AL2047">
            <v>822900</v>
          </cell>
          <cell r="AM2047">
            <v>45033</v>
          </cell>
          <cell r="AN2047" t="str">
            <v>Yes</v>
          </cell>
          <cell r="AO2047">
            <v>0</v>
          </cell>
          <cell r="AP2047">
            <v>0</v>
          </cell>
          <cell r="AS2047">
            <v>0</v>
          </cell>
          <cell r="AT2047">
            <v>0</v>
          </cell>
          <cell r="AX2047" t="str">
            <v>Yes</v>
          </cell>
          <cell r="AZ2047" t="str">
            <v>Y</v>
          </cell>
          <cell r="BA2047" t="str">
            <v>Yes</v>
          </cell>
        </row>
        <row r="2048">
          <cell r="B2048">
            <v>1898</v>
          </cell>
          <cell r="C2048" t="str">
            <v>YJY-2023040701</v>
          </cell>
          <cell r="D2048" t="str">
            <v>清水湾（End use:呈承）</v>
          </cell>
          <cell r="E2048" t="str">
            <v>YSM10</v>
          </cell>
          <cell r="I2048" t="str">
            <v>L-&gt;R</v>
          </cell>
          <cell r="J2048" t="str">
            <v>MVC</v>
          </cell>
          <cell r="K2048">
            <v>1</v>
          </cell>
          <cell r="N2048">
            <v>45036</v>
          </cell>
          <cell r="O2048">
            <v>11100614</v>
          </cell>
          <cell r="P2048">
            <v>601000</v>
          </cell>
          <cell r="Q2048">
            <v>45043</v>
          </cell>
          <cell r="R2048" t="str">
            <v>Yes</v>
          </cell>
          <cell r="S2048" t="str">
            <v>C49</v>
          </cell>
          <cell r="T2048" t="str">
            <v>SOUTH</v>
          </cell>
          <cell r="U2048" t="str">
            <v>深圳</v>
          </cell>
          <cell r="V2048" t="str">
            <v>SZ 深圳</v>
          </cell>
          <cell r="W2048" t="str">
            <v>SQ</v>
          </cell>
          <cell r="X2048" t="str">
            <v>RMB</v>
          </cell>
          <cell r="Y2048">
            <v>601000</v>
          </cell>
          <cell r="Z2048">
            <v>1.1299999999999999</v>
          </cell>
          <cell r="AA2048">
            <v>601000</v>
          </cell>
          <cell r="AB2048">
            <v>1.1399999999999999</v>
          </cell>
          <cell r="AC2048">
            <v>606318.58407079638</v>
          </cell>
          <cell r="AD2048">
            <v>72758.230088495562</v>
          </cell>
          <cell r="AE2048">
            <v>0.12</v>
          </cell>
          <cell r="AF2048">
            <v>45019</v>
          </cell>
          <cell r="AG2048" t="str">
            <v>DDP ZS</v>
          </cell>
          <cell r="AK2048">
            <v>1</v>
          </cell>
          <cell r="AL2048">
            <v>601000</v>
          </cell>
          <cell r="AM2048">
            <v>45033</v>
          </cell>
          <cell r="AN2048" t="str">
            <v>Yes</v>
          </cell>
          <cell r="AO2048">
            <v>0</v>
          </cell>
          <cell r="AP2048">
            <v>0</v>
          </cell>
          <cell r="AS2048">
            <v>0</v>
          </cell>
          <cell r="AT2048">
            <v>0</v>
          </cell>
          <cell r="AX2048" t="str">
            <v>Yes</v>
          </cell>
          <cell r="AZ2048" t="str">
            <v>Y</v>
          </cell>
          <cell r="BA2048" t="str">
            <v>Yes</v>
          </cell>
        </row>
        <row r="2049">
          <cell r="B2049">
            <v>1899</v>
          </cell>
          <cell r="C2049" t="str">
            <v>YJY-2023040701</v>
          </cell>
          <cell r="D2049" t="str">
            <v>清水湾（End use:呈承）</v>
          </cell>
          <cell r="E2049" t="str">
            <v>YSM10</v>
          </cell>
          <cell r="I2049" t="str">
            <v>L-&gt;R</v>
          </cell>
          <cell r="J2049" t="str">
            <v>MVC</v>
          </cell>
          <cell r="K2049">
            <v>1</v>
          </cell>
          <cell r="N2049">
            <v>45036</v>
          </cell>
          <cell r="O2049">
            <v>11100614</v>
          </cell>
          <cell r="P2049">
            <v>601000</v>
          </cell>
          <cell r="Q2049">
            <v>45043</v>
          </cell>
          <cell r="R2049" t="str">
            <v>Yes</v>
          </cell>
          <cell r="S2049" t="str">
            <v>C49</v>
          </cell>
          <cell r="T2049" t="str">
            <v>SOUTH</v>
          </cell>
          <cell r="U2049" t="str">
            <v>深圳</v>
          </cell>
          <cell r="V2049" t="str">
            <v>SZ 深圳</v>
          </cell>
          <cell r="W2049" t="str">
            <v>SQ</v>
          </cell>
          <cell r="X2049" t="str">
            <v>RMB</v>
          </cell>
          <cell r="Y2049">
            <v>601000</v>
          </cell>
          <cell r="Z2049">
            <v>1.1299999999999999</v>
          </cell>
          <cell r="AA2049">
            <v>601000</v>
          </cell>
          <cell r="AB2049">
            <v>1.1399999999999999</v>
          </cell>
          <cell r="AC2049">
            <v>606318.58407079638</v>
          </cell>
          <cell r="AD2049">
            <v>72758.230088495562</v>
          </cell>
          <cell r="AE2049">
            <v>0.12</v>
          </cell>
          <cell r="AF2049">
            <v>45019</v>
          </cell>
          <cell r="AG2049" t="str">
            <v>DDP ZS</v>
          </cell>
          <cell r="AK2049">
            <v>1</v>
          </cell>
          <cell r="AL2049">
            <v>601000</v>
          </cell>
          <cell r="AM2049">
            <v>45033</v>
          </cell>
          <cell r="AN2049" t="str">
            <v>Yes</v>
          </cell>
          <cell r="AO2049">
            <v>0</v>
          </cell>
          <cell r="AP2049">
            <v>0</v>
          </cell>
          <cell r="AS2049">
            <v>0</v>
          </cell>
          <cell r="AT2049">
            <v>0</v>
          </cell>
          <cell r="AX2049" t="str">
            <v>Yes</v>
          </cell>
          <cell r="AZ2049" t="str">
            <v>Y</v>
          </cell>
          <cell r="BA2049" t="str">
            <v>Yes</v>
          </cell>
        </row>
        <row r="2050">
          <cell r="B2050">
            <v>1900</v>
          </cell>
          <cell r="C2050" t="str">
            <v>C49SZX20230048SQ</v>
          </cell>
          <cell r="D2050" t="str">
            <v>旭宇盛翔</v>
          </cell>
          <cell r="E2050" t="str">
            <v>YSM20R-2</v>
          </cell>
          <cell r="I2050" t="str">
            <v>L-&gt;R</v>
          </cell>
          <cell r="J2050" t="str">
            <v>No</v>
          </cell>
          <cell r="K2050">
            <v>1</v>
          </cell>
          <cell r="N2050">
            <v>45156</v>
          </cell>
          <cell r="O2050">
            <v>11100642</v>
          </cell>
          <cell r="P2050">
            <v>790000</v>
          </cell>
          <cell r="Q2050">
            <v>45160</v>
          </cell>
          <cell r="R2050" t="str">
            <v>Yes</v>
          </cell>
          <cell r="S2050" t="str">
            <v>C49</v>
          </cell>
          <cell r="T2050" t="str">
            <v>SOUTH</v>
          </cell>
          <cell r="U2050" t="str">
            <v>深圳</v>
          </cell>
          <cell r="V2050" t="str">
            <v>SZ 深圳</v>
          </cell>
          <cell r="W2050" t="str">
            <v>SQ</v>
          </cell>
          <cell r="X2050" t="str">
            <v>RMB</v>
          </cell>
          <cell r="Y2050">
            <v>790000</v>
          </cell>
          <cell r="Z2050">
            <v>1.1299999999999999</v>
          </cell>
          <cell r="AA2050">
            <v>790000</v>
          </cell>
          <cell r="AB2050">
            <v>1.1399999999999999</v>
          </cell>
          <cell r="AC2050">
            <v>796991.1504424779</v>
          </cell>
          <cell r="AD2050">
            <v>95638.938053097343</v>
          </cell>
          <cell r="AE2050">
            <v>0.12</v>
          </cell>
          <cell r="AF2050">
            <v>45034</v>
          </cell>
          <cell r="AG2050" t="str">
            <v>DDP SZ</v>
          </cell>
          <cell r="AI2050">
            <v>20000</v>
          </cell>
          <cell r="AJ2050">
            <v>45037</v>
          </cell>
          <cell r="AK2050">
            <v>0.1</v>
          </cell>
          <cell r="AL2050">
            <v>79000</v>
          </cell>
          <cell r="AM2050">
            <v>45128</v>
          </cell>
          <cell r="AN2050" t="str">
            <v>Yes</v>
          </cell>
          <cell r="AO2050">
            <v>0.9</v>
          </cell>
          <cell r="AP2050">
            <v>711000</v>
          </cell>
          <cell r="AQ2050">
            <v>45149</v>
          </cell>
          <cell r="AR2050">
            <v>45149</v>
          </cell>
          <cell r="AS2050">
            <v>0</v>
          </cell>
          <cell r="AT2050">
            <v>0</v>
          </cell>
          <cell r="AX2050" t="str">
            <v>Yes</v>
          </cell>
          <cell r="AZ2050" t="str">
            <v>Y</v>
          </cell>
          <cell r="BA2050" t="str">
            <v>Yes</v>
          </cell>
        </row>
        <row r="2051">
          <cell r="B2051">
            <v>1901</v>
          </cell>
          <cell r="C2051" t="str">
            <v>C49SZX20230050SQ</v>
          </cell>
          <cell r="D2051" t="str">
            <v>旭宇盛翔</v>
          </cell>
          <cell r="E2051" t="str">
            <v>YSM20R-2</v>
          </cell>
          <cell r="F2051"/>
          <cell r="H2051"/>
          <cell r="I2051" t="str">
            <v>L-&gt;R</v>
          </cell>
          <cell r="J2051" t="str">
            <v>No</v>
          </cell>
          <cell r="K2051">
            <v>1</v>
          </cell>
          <cell r="L2051"/>
          <cell r="N2051"/>
          <cell r="O2051"/>
          <cell r="P2051"/>
          <cell r="Q2051"/>
          <cell r="R2051" t="str">
            <v>Yes</v>
          </cell>
          <cell r="S2051" t="str">
            <v>C49</v>
          </cell>
          <cell r="T2051" t="str">
            <v>SOUTH</v>
          </cell>
          <cell r="U2051" t="str">
            <v>深圳</v>
          </cell>
          <cell r="V2051" t="str">
            <v>SZ 深圳</v>
          </cell>
          <cell r="W2051" t="str">
            <v>SQ</v>
          </cell>
          <cell r="X2051" t="str">
            <v>RMB</v>
          </cell>
          <cell r="Y2051">
            <v>790000</v>
          </cell>
          <cell r="Z2051">
            <v>1.1299999999999999</v>
          </cell>
          <cell r="AA2051">
            <v>790000</v>
          </cell>
          <cell r="AB2051">
            <v>1.1399999999999999</v>
          </cell>
          <cell r="AC2051">
            <v>796991.1504424779</v>
          </cell>
          <cell r="AD2051">
            <v>95638.938053097343</v>
          </cell>
          <cell r="AE2051">
            <v>0.12</v>
          </cell>
          <cell r="AF2051">
            <v>45034</v>
          </cell>
          <cell r="AG2051" t="str">
            <v>DDP SZ</v>
          </cell>
          <cell r="AI2051"/>
          <cell r="AJ2051"/>
          <cell r="AK2051">
            <v>0.1</v>
          </cell>
          <cell r="AL2051">
            <v>79000</v>
          </cell>
          <cell r="AM2051"/>
          <cell r="AN2051" t="str">
            <v>Yes</v>
          </cell>
          <cell r="AO2051">
            <v>0.9</v>
          </cell>
          <cell r="AP2051">
            <v>711000</v>
          </cell>
          <cell r="AQ2051"/>
          <cell r="AR2051"/>
          <cell r="AS2051">
            <v>0</v>
          </cell>
          <cell r="AT2051">
            <v>0</v>
          </cell>
          <cell r="AV2051"/>
          <cell r="AX2051" t="str">
            <v>Cancel</v>
          </cell>
          <cell r="AY2051"/>
          <cell r="AZ2051"/>
          <cell r="BA2051" t="str">
            <v>Cancel</v>
          </cell>
          <cell r="BB2051" t="str">
            <v>2023-12-13 Ken邮件通知Fay</v>
          </cell>
        </row>
        <row r="2052">
          <cell r="B2052">
            <v>1902</v>
          </cell>
          <cell r="C2052" t="str">
            <v>C49SZX20230049JY</v>
          </cell>
          <cell r="D2052" t="str">
            <v>和创永泰</v>
          </cell>
          <cell r="E2052" t="str">
            <v>YSM10</v>
          </cell>
          <cell r="I2052" t="str">
            <v>L-&gt;R</v>
          </cell>
          <cell r="J2052" t="str">
            <v>MVC</v>
          </cell>
          <cell r="K2052">
            <v>1</v>
          </cell>
          <cell r="N2052">
            <v>45042</v>
          </cell>
          <cell r="O2052">
            <v>11100587</v>
          </cell>
          <cell r="P2052">
            <v>714000</v>
          </cell>
          <cell r="Q2052">
            <v>45043</v>
          </cell>
          <cell r="R2052" t="str">
            <v>No</v>
          </cell>
          <cell r="S2052" t="str">
            <v>C49</v>
          </cell>
          <cell r="T2052" t="str">
            <v>SOUTH</v>
          </cell>
          <cell r="U2052" t="str">
            <v>深圳</v>
          </cell>
          <cell r="V2052" t="str">
            <v>SZ 深圳</v>
          </cell>
          <cell r="W2052" t="str">
            <v>JY</v>
          </cell>
          <cell r="X2052" t="str">
            <v>RMB</v>
          </cell>
          <cell r="Y2052">
            <v>714000</v>
          </cell>
          <cell r="Z2052">
            <v>1.1299999999999999</v>
          </cell>
          <cell r="AA2052">
            <v>714000</v>
          </cell>
          <cell r="AB2052">
            <v>1.1399999999999999</v>
          </cell>
          <cell r="AC2052">
            <v>720318.5840707965</v>
          </cell>
          <cell r="AD2052">
            <v>86438.230088495577</v>
          </cell>
          <cell r="AE2052">
            <v>0.12</v>
          </cell>
          <cell r="AF2052">
            <v>45036</v>
          </cell>
          <cell r="AG2052" t="str">
            <v>DDP SZ</v>
          </cell>
          <cell r="AK2052">
            <v>0.2</v>
          </cell>
          <cell r="AL2052">
            <v>142800</v>
          </cell>
          <cell r="AM2052">
            <v>45037</v>
          </cell>
          <cell r="AN2052" t="str">
            <v>Yes</v>
          </cell>
          <cell r="AO2052">
            <v>0.8</v>
          </cell>
          <cell r="AP2052">
            <v>571200</v>
          </cell>
          <cell r="AQ2052">
            <v>45040</v>
          </cell>
          <cell r="AR2052">
            <v>45040</v>
          </cell>
          <cell r="AS2052">
            <v>0</v>
          </cell>
          <cell r="AT2052">
            <v>0</v>
          </cell>
          <cell r="AX2052" t="str">
            <v>Yes</v>
          </cell>
          <cell r="AZ2052" t="str">
            <v>Y</v>
          </cell>
          <cell r="BA2052" t="str">
            <v>Yes</v>
          </cell>
        </row>
        <row r="2053">
          <cell r="B2053">
            <v>1903</v>
          </cell>
          <cell r="C2053" t="str">
            <v>C49SZX20230049JY</v>
          </cell>
          <cell r="D2053" t="str">
            <v>和创永泰</v>
          </cell>
          <cell r="E2053" t="str">
            <v>YSM10</v>
          </cell>
          <cell r="I2053" t="str">
            <v>L-&gt;R</v>
          </cell>
          <cell r="J2053" t="str">
            <v>MVC+ATS15</v>
          </cell>
          <cell r="K2053">
            <v>1</v>
          </cell>
          <cell r="N2053">
            <v>45042</v>
          </cell>
          <cell r="O2053">
            <v>11100587</v>
          </cell>
          <cell r="P2053">
            <v>714000</v>
          </cell>
          <cell r="Q2053">
            <v>45043</v>
          </cell>
          <cell r="R2053" t="str">
            <v>No</v>
          </cell>
          <cell r="S2053" t="str">
            <v>C49</v>
          </cell>
          <cell r="T2053" t="str">
            <v>SOUTH</v>
          </cell>
          <cell r="U2053" t="str">
            <v>深圳</v>
          </cell>
          <cell r="V2053" t="str">
            <v>SZ 深圳</v>
          </cell>
          <cell r="W2053" t="str">
            <v>JY</v>
          </cell>
          <cell r="X2053" t="str">
            <v>RMB</v>
          </cell>
          <cell r="Y2053">
            <v>714000</v>
          </cell>
          <cell r="Z2053">
            <v>1.1299999999999999</v>
          </cell>
          <cell r="AA2053">
            <v>714000</v>
          </cell>
          <cell r="AB2053">
            <v>1.1399999999999999</v>
          </cell>
          <cell r="AC2053">
            <v>720318.5840707965</v>
          </cell>
          <cell r="AD2053">
            <v>86438.230088495577</v>
          </cell>
          <cell r="AE2053">
            <v>0.12</v>
          </cell>
          <cell r="AF2053">
            <v>45036</v>
          </cell>
          <cell r="AG2053" t="str">
            <v>DDP SZ</v>
          </cell>
          <cell r="AK2053">
            <v>0.2</v>
          </cell>
          <cell r="AL2053">
            <v>142800</v>
          </cell>
          <cell r="AM2053">
            <v>45037</v>
          </cell>
          <cell r="AN2053" t="str">
            <v>Yes</v>
          </cell>
          <cell r="AO2053">
            <v>0.8</v>
          </cell>
          <cell r="AP2053">
            <v>571200</v>
          </cell>
          <cell r="AQ2053">
            <v>45040</v>
          </cell>
          <cell r="AR2053">
            <v>45040</v>
          </cell>
          <cell r="AS2053">
            <v>0</v>
          </cell>
          <cell r="AT2053">
            <v>0</v>
          </cell>
          <cell r="AX2053" t="str">
            <v>Yes</v>
          </cell>
          <cell r="AZ2053" t="str">
            <v>Y</v>
          </cell>
          <cell r="BA2053" t="str">
            <v>Yes</v>
          </cell>
        </row>
        <row r="2054">
          <cell r="B2054">
            <v>1904</v>
          </cell>
          <cell r="C2054" t="str">
            <v>C49SZX20230050SQ</v>
          </cell>
          <cell r="D2054" t="str">
            <v>旭宇盛翔</v>
          </cell>
          <cell r="E2054" t="str">
            <v>YSM20R-2</v>
          </cell>
          <cell r="F2054"/>
          <cell r="H2054"/>
          <cell r="I2054" t="str">
            <v>L-&gt;R</v>
          </cell>
          <cell r="J2054" t="str">
            <v>No</v>
          </cell>
          <cell r="K2054">
            <v>1</v>
          </cell>
          <cell r="L2054"/>
          <cell r="N2054"/>
          <cell r="O2054"/>
          <cell r="P2054"/>
          <cell r="Q2054"/>
          <cell r="R2054" t="str">
            <v>Yes</v>
          </cell>
          <cell r="S2054" t="str">
            <v>C49</v>
          </cell>
          <cell r="T2054" t="str">
            <v>SOUTH</v>
          </cell>
          <cell r="U2054" t="str">
            <v>深圳</v>
          </cell>
          <cell r="V2054" t="str">
            <v>SZ 深圳</v>
          </cell>
          <cell r="W2054" t="str">
            <v>SQ</v>
          </cell>
          <cell r="X2054" t="str">
            <v>RMB</v>
          </cell>
          <cell r="Y2054">
            <v>790000</v>
          </cell>
          <cell r="Z2054">
            <v>1.1299999999999999</v>
          </cell>
          <cell r="AA2054">
            <v>790000</v>
          </cell>
          <cell r="AB2054">
            <v>1.1399999999999999</v>
          </cell>
          <cell r="AC2054">
            <v>796991.1504424779</v>
          </cell>
          <cell r="AD2054">
            <v>95638.938053097343</v>
          </cell>
          <cell r="AE2054">
            <v>0.12</v>
          </cell>
          <cell r="AF2054">
            <v>45034</v>
          </cell>
          <cell r="AG2054" t="str">
            <v>DDP SZ</v>
          </cell>
          <cell r="AI2054"/>
          <cell r="AJ2054"/>
          <cell r="AK2054">
            <v>0.1</v>
          </cell>
          <cell r="AL2054">
            <v>79000</v>
          </cell>
          <cell r="AM2054"/>
          <cell r="AN2054" t="str">
            <v>No</v>
          </cell>
          <cell r="AO2054">
            <v>0.9</v>
          </cell>
          <cell r="AP2054">
            <v>711000</v>
          </cell>
          <cell r="AQ2054"/>
          <cell r="AR2054"/>
          <cell r="AS2054">
            <v>0</v>
          </cell>
          <cell r="AT2054">
            <v>0</v>
          </cell>
          <cell r="AV2054"/>
          <cell r="AX2054" t="str">
            <v>Cancel</v>
          </cell>
          <cell r="AY2054"/>
          <cell r="AZ2054"/>
          <cell r="BA2054" t="str">
            <v>Cancel</v>
          </cell>
          <cell r="BB2054" t="str">
            <v>2023-12-13 Ken邮件通知Fay</v>
          </cell>
        </row>
        <row r="2055">
          <cell r="B2055">
            <v>1905</v>
          </cell>
          <cell r="C2055" t="str">
            <v>C49SZX20230054SQ</v>
          </cell>
          <cell r="D2055" t="str">
            <v>格第</v>
          </cell>
          <cell r="E2055" t="str">
            <v>YSM10</v>
          </cell>
          <cell r="I2055" t="str">
            <v>R-&gt;L</v>
          </cell>
          <cell r="J2055" t="str">
            <v>MVC+ATS15</v>
          </cell>
          <cell r="K2055">
            <v>1</v>
          </cell>
          <cell r="N2055">
            <v>45044</v>
          </cell>
          <cell r="O2055">
            <v>11116827</v>
          </cell>
          <cell r="P2055">
            <v>10000000</v>
          </cell>
          <cell r="Q2055">
            <v>45043</v>
          </cell>
          <cell r="R2055" t="str">
            <v>Yes</v>
          </cell>
          <cell r="S2055" t="str">
            <v>C49</v>
          </cell>
          <cell r="T2055" t="str">
            <v>SOUTH</v>
          </cell>
          <cell r="U2055" t="str">
            <v>深圳</v>
          </cell>
          <cell r="V2055" t="str">
            <v>SZ 深圳</v>
          </cell>
          <cell r="W2055" t="str">
            <v>SQ</v>
          </cell>
          <cell r="X2055" t="str">
            <v>JPY</v>
          </cell>
          <cell r="Y2055">
            <v>10000000</v>
          </cell>
          <cell r="Z2055">
            <v>1</v>
          </cell>
          <cell r="AA2055">
            <v>10000000</v>
          </cell>
          <cell r="AB2055">
            <v>0.06</v>
          </cell>
          <cell r="AC2055">
            <v>600000</v>
          </cell>
          <cell r="AD2055">
            <v>72000</v>
          </cell>
          <cell r="AE2055">
            <v>0.12</v>
          </cell>
          <cell r="AF2055">
            <v>45037</v>
          </cell>
          <cell r="AG2055" t="str">
            <v>DAP SZ</v>
          </cell>
          <cell r="AK2055">
            <v>0.1</v>
          </cell>
          <cell r="AL2055">
            <v>1000000</v>
          </cell>
          <cell r="AM2055">
            <v>45041</v>
          </cell>
          <cell r="AN2055" t="str">
            <v>Yes</v>
          </cell>
          <cell r="AO2055">
            <v>0.9</v>
          </cell>
          <cell r="AP2055">
            <v>9000000</v>
          </cell>
          <cell r="AQ2055">
            <v>45042</v>
          </cell>
          <cell r="AR2055">
            <v>45042</v>
          </cell>
          <cell r="AS2055">
            <v>0</v>
          </cell>
          <cell r="AT2055">
            <v>0</v>
          </cell>
          <cell r="AX2055" t="str">
            <v>Yes</v>
          </cell>
          <cell r="AZ2055" t="str">
            <v>Y</v>
          </cell>
          <cell r="BA2055" t="str">
            <v>Yes</v>
          </cell>
        </row>
        <row r="2056">
          <cell r="B2056">
            <v>1906</v>
          </cell>
          <cell r="C2056" t="str">
            <v>C49SZX20230054SQ</v>
          </cell>
          <cell r="D2056" t="str">
            <v>格第</v>
          </cell>
          <cell r="E2056" t="str">
            <v>YSM20R-2</v>
          </cell>
          <cell r="I2056" t="str">
            <v>R-&gt;L</v>
          </cell>
          <cell r="J2056" t="str">
            <v>No</v>
          </cell>
          <cell r="K2056">
            <v>1</v>
          </cell>
          <cell r="N2056">
            <v>45044</v>
          </cell>
          <cell r="O2056">
            <v>11116827</v>
          </cell>
          <cell r="P2056">
            <v>13800000</v>
          </cell>
          <cell r="Q2056">
            <v>45043</v>
          </cell>
          <cell r="R2056" t="str">
            <v>Yes</v>
          </cell>
          <cell r="S2056" t="str">
            <v>C49</v>
          </cell>
          <cell r="T2056" t="str">
            <v>SOUTH</v>
          </cell>
          <cell r="U2056" t="str">
            <v>深圳</v>
          </cell>
          <cell r="V2056" t="str">
            <v>SZ 深圳</v>
          </cell>
          <cell r="W2056" t="str">
            <v>SQ</v>
          </cell>
          <cell r="X2056" t="str">
            <v>JPY</v>
          </cell>
          <cell r="Y2056">
            <v>13800000</v>
          </cell>
          <cell r="Z2056">
            <v>1</v>
          </cell>
          <cell r="AA2056">
            <v>13800000</v>
          </cell>
          <cell r="AB2056">
            <v>0.06</v>
          </cell>
          <cell r="AC2056">
            <v>828000</v>
          </cell>
          <cell r="AD2056">
            <v>99360</v>
          </cell>
          <cell r="AE2056">
            <v>0.12</v>
          </cell>
          <cell r="AF2056">
            <v>45037</v>
          </cell>
          <cell r="AG2056" t="str">
            <v>DAP SZ</v>
          </cell>
          <cell r="AK2056">
            <v>0.1</v>
          </cell>
          <cell r="AL2056">
            <v>1380000</v>
          </cell>
          <cell r="AM2056">
            <v>45041</v>
          </cell>
          <cell r="AN2056" t="str">
            <v>Yes</v>
          </cell>
          <cell r="AO2056">
            <v>0.9</v>
          </cell>
          <cell r="AP2056">
            <v>12420000</v>
          </cell>
          <cell r="AQ2056">
            <v>45042</v>
          </cell>
          <cell r="AR2056">
            <v>45042</v>
          </cell>
          <cell r="AS2056">
            <v>0</v>
          </cell>
          <cell r="AT2056">
            <v>0</v>
          </cell>
          <cell r="AX2056" t="str">
            <v>Yes</v>
          </cell>
          <cell r="AZ2056" t="str">
            <v>Y</v>
          </cell>
          <cell r="BA2056" t="str">
            <v>Yes</v>
          </cell>
        </row>
        <row r="2057">
          <cell r="B2057">
            <v>1907</v>
          </cell>
          <cell r="C2057" t="str">
            <v>C28SZX20230051SX/VN20230406</v>
          </cell>
          <cell r="D2057" t="str">
            <v>得意</v>
          </cell>
          <cell r="E2057" t="str">
            <v>Heller 1913MK5N2</v>
          </cell>
          <cell r="F2057"/>
          <cell r="H2057"/>
          <cell r="I2057" t="str">
            <v>L-&gt;R</v>
          </cell>
          <cell r="J2057" t="str">
            <v>No</v>
          </cell>
          <cell r="K2057">
            <v>1</v>
          </cell>
          <cell r="L2057"/>
          <cell r="N2057"/>
          <cell r="O2057"/>
          <cell r="P2057"/>
          <cell r="Q2057"/>
          <cell r="R2057" t="str">
            <v>No</v>
          </cell>
          <cell r="S2057" t="str">
            <v>C28</v>
          </cell>
          <cell r="T2057" t="str">
            <v>SOUTH</v>
          </cell>
          <cell r="U2057" t="str">
            <v>深圳</v>
          </cell>
          <cell r="V2057" t="str">
            <v>SZ 深圳</v>
          </cell>
          <cell r="W2057" t="str">
            <v>SX</v>
          </cell>
          <cell r="X2057" t="str">
            <v>USD</v>
          </cell>
          <cell r="Y2057">
            <v>76000</v>
          </cell>
          <cell r="Z2057">
            <v>1</v>
          </cell>
          <cell r="AA2057">
            <v>76000</v>
          </cell>
          <cell r="AB2057">
            <v>7.8</v>
          </cell>
          <cell r="AC2057">
            <v>592800</v>
          </cell>
          <cell r="AD2057">
            <v>71136</v>
          </cell>
          <cell r="AE2057">
            <v>0.12</v>
          </cell>
          <cell r="AF2057">
            <v>45037</v>
          </cell>
          <cell r="AG2057" t="str">
            <v>CIF Vietnam</v>
          </cell>
          <cell r="AI2057"/>
          <cell r="AJ2057"/>
          <cell r="AK2057">
            <v>0.3</v>
          </cell>
          <cell r="AL2057">
            <v>22800</v>
          </cell>
          <cell r="AM2057"/>
          <cell r="AN2057" t="str">
            <v>No</v>
          </cell>
          <cell r="AO2057">
            <v>0.7</v>
          </cell>
          <cell r="AP2057">
            <v>53200</v>
          </cell>
          <cell r="AQ2057"/>
          <cell r="AR2057"/>
          <cell r="AS2057">
            <v>0</v>
          </cell>
          <cell r="AT2057">
            <v>0</v>
          </cell>
          <cell r="AV2057"/>
          <cell r="AX2057" t="str">
            <v>Yes</v>
          </cell>
          <cell r="AY2057"/>
          <cell r="AZ2057"/>
          <cell r="BA2057"/>
        </row>
        <row r="2058">
          <cell r="B2058">
            <v>1908</v>
          </cell>
          <cell r="C2058" t="str">
            <v>C49SZX20230055SX</v>
          </cell>
          <cell r="D2058" t="str">
            <v>鑫亿特</v>
          </cell>
          <cell r="E2058" t="str">
            <v>YSM20R-2</v>
          </cell>
          <cell r="I2058" t="str">
            <v>L-&gt;R</v>
          </cell>
          <cell r="J2058" t="str">
            <v>No</v>
          </cell>
          <cell r="K2058">
            <v>1</v>
          </cell>
          <cell r="N2058">
            <v>45091</v>
          </cell>
          <cell r="O2058">
            <v>11116831</v>
          </cell>
          <cell r="P2058">
            <v>10692000</v>
          </cell>
          <cell r="Q2058">
            <v>45093</v>
          </cell>
          <cell r="R2058" t="str">
            <v>No</v>
          </cell>
          <cell r="S2058" t="str">
            <v>C49</v>
          </cell>
          <cell r="T2058" t="str">
            <v>SOUTH</v>
          </cell>
          <cell r="U2058" t="str">
            <v>深圳</v>
          </cell>
          <cell r="V2058" t="str">
            <v>SZ 深圳</v>
          </cell>
          <cell r="W2058" t="str">
            <v>SX</v>
          </cell>
          <cell r="X2058" t="str">
            <v>JPY</v>
          </cell>
          <cell r="Y2058">
            <v>11880000</v>
          </cell>
          <cell r="Z2058">
            <v>1</v>
          </cell>
          <cell r="AA2058">
            <v>11880000</v>
          </cell>
          <cell r="AB2058">
            <v>0.06</v>
          </cell>
          <cell r="AC2058">
            <v>712800</v>
          </cell>
          <cell r="AD2058">
            <v>85536</v>
          </cell>
          <cell r="AE2058">
            <v>0.12</v>
          </cell>
          <cell r="AF2058">
            <v>45038</v>
          </cell>
          <cell r="AG2058" t="str">
            <v>DAP SZ</v>
          </cell>
          <cell r="AK2058">
            <v>0.1</v>
          </cell>
          <cell r="AL2058">
            <v>1188000</v>
          </cell>
          <cell r="AM2058">
            <v>45054</v>
          </cell>
          <cell r="AN2058" t="str">
            <v>Yes</v>
          </cell>
          <cell r="AO2058">
            <v>0.9</v>
          </cell>
          <cell r="AP2058">
            <v>10692000</v>
          </cell>
          <cell r="AQ2058">
            <v>45089</v>
          </cell>
          <cell r="AR2058">
            <v>45089</v>
          </cell>
          <cell r="AS2058">
            <v>0</v>
          </cell>
          <cell r="AT2058">
            <v>0</v>
          </cell>
          <cell r="AX2058" t="str">
            <v>Yes</v>
          </cell>
          <cell r="AZ2058" t="str">
            <v>Y</v>
          </cell>
          <cell r="BA2058" t="str">
            <v>Yes</v>
          </cell>
        </row>
        <row r="2059">
          <cell r="B2059">
            <v>1909</v>
          </cell>
          <cell r="C2059" t="str">
            <v>C49SZX20230052MZ</v>
          </cell>
          <cell r="D2059" t="str">
            <v>佳润</v>
          </cell>
          <cell r="E2059" t="str">
            <v>YSM10</v>
          </cell>
          <cell r="I2059" t="str">
            <v>R-&gt;L</v>
          </cell>
          <cell r="J2059" t="str">
            <v>MVC</v>
          </cell>
          <cell r="K2059">
            <v>1</v>
          </cell>
          <cell r="N2059">
            <v>45054</v>
          </cell>
          <cell r="O2059">
            <v>11100627</v>
          </cell>
          <cell r="P2059">
            <v>800000</v>
          </cell>
          <cell r="Q2059">
            <v>45070</v>
          </cell>
          <cell r="R2059" t="str">
            <v>Yes</v>
          </cell>
          <cell r="S2059" t="str">
            <v>C49</v>
          </cell>
          <cell r="T2059" t="str">
            <v>SOUTH</v>
          </cell>
          <cell r="U2059" t="str">
            <v>深圳</v>
          </cell>
          <cell r="V2059" t="str">
            <v>SZ 深圳</v>
          </cell>
          <cell r="W2059" t="str">
            <v>MZ</v>
          </cell>
          <cell r="X2059" t="str">
            <v>RMB</v>
          </cell>
          <cell r="Y2059">
            <v>800000</v>
          </cell>
          <cell r="Z2059">
            <v>1.1299999999999999</v>
          </cell>
          <cell r="AA2059">
            <v>800000</v>
          </cell>
          <cell r="AB2059">
            <v>1.1399999999999999</v>
          </cell>
          <cell r="AC2059">
            <v>807079.64601769915</v>
          </cell>
          <cell r="AD2059">
            <v>96849.557522123898</v>
          </cell>
          <cell r="AE2059">
            <v>0.12</v>
          </cell>
          <cell r="AF2059">
            <v>45037</v>
          </cell>
          <cell r="AG2059" t="str">
            <v>DDP HZ</v>
          </cell>
          <cell r="AK2059">
            <v>0.1</v>
          </cell>
          <cell r="AL2059">
            <v>80000</v>
          </cell>
          <cell r="AM2059">
            <v>45050</v>
          </cell>
          <cell r="AN2059" t="str">
            <v>Yes</v>
          </cell>
          <cell r="AO2059">
            <v>0.9</v>
          </cell>
          <cell r="AP2059">
            <v>720000</v>
          </cell>
          <cell r="AQ2059">
            <v>45051</v>
          </cell>
          <cell r="AR2059">
            <v>45051</v>
          </cell>
          <cell r="AS2059">
            <v>0</v>
          </cell>
          <cell r="AT2059">
            <v>0</v>
          </cell>
          <cell r="AX2059" t="str">
            <v>Yes</v>
          </cell>
          <cell r="AZ2059" t="str">
            <v>Y</v>
          </cell>
          <cell r="BA2059" t="str">
            <v>Yes</v>
          </cell>
        </row>
        <row r="2060">
          <cell r="B2060">
            <v>1910</v>
          </cell>
          <cell r="C2060" t="str">
            <v>C49SZX20230053MZ</v>
          </cell>
          <cell r="D2060" t="str">
            <v>佳润</v>
          </cell>
          <cell r="E2060" t="str">
            <v>YSM20R-2</v>
          </cell>
          <cell r="I2060" t="str">
            <v>L-&gt;R</v>
          </cell>
          <cell r="J2060" t="str">
            <v>No</v>
          </cell>
          <cell r="K2060">
            <v>1</v>
          </cell>
          <cell r="N2060">
            <v>45069</v>
          </cell>
          <cell r="O2060">
            <v>111000630</v>
          </cell>
          <cell r="P2060">
            <v>1120000</v>
          </cell>
          <cell r="Q2060">
            <v>45072</v>
          </cell>
          <cell r="R2060" t="str">
            <v>Yes</v>
          </cell>
          <cell r="S2060" t="str">
            <v>C49</v>
          </cell>
          <cell r="T2060" t="str">
            <v>SOUTH</v>
          </cell>
          <cell r="U2060" t="str">
            <v>深圳</v>
          </cell>
          <cell r="V2060" t="str">
            <v>SZ 深圳</v>
          </cell>
          <cell r="W2060" t="str">
            <v>MZ</v>
          </cell>
          <cell r="X2060" t="str">
            <v>RMB</v>
          </cell>
          <cell r="Y2060">
            <v>1120000</v>
          </cell>
          <cell r="Z2060">
            <v>1.1299999999999999</v>
          </cell>
          <cell r="AA2060">
            <v>1120000</v>
          </cell>
          <cell r="AB2060">
            <v>1.1399999999999999</v>
          </cell>
          <cell r="AC2060">
            <v>1129911.5044247787</v>
          </cell>
          <cell r="AD2060">
            <v>135589.38053097343</v>
          </cell>
          <cell r="AE2060">
            <v>0.12</v>
          </cell>
          <cell r="AF2060">
            <v>45037</v>
          </cell>
          <cell r="AG2060" t="str">
            <v>DDP HZ</v>
          </cell>
          <cell r="AI2060">
            <v>20000</v>
          </cell>
          <cell r="AJ2060">
            <v>45052</v>
          </cell>
          <cell r="AK2060">
            <v>0.1</v>
          </cell>
          <cell r="AL2060">
            <v>112000</v>
          </cell>
          <cell r="AM2060">
            <v>45065</v>
          </cell>
          <cell r="AN2060" t="str">
            <v>Yes</v>
          </cell>
          <cell r="AO2060">
            <v>0.9</v>
          </cell>
          <cell r="AP2060">
            <v>1008000</v>
          </cell>
          <cell r="AQ2060">
            <v>45064</v>
          </cell>
          <cell r="AR2060">
            <v>45064</v>
          </cell>
          <cell r="AS2060">
            <v>0</v>
          </cell>
          <cell r="AT2060">
            <v>0</v>
          </cell>
          <cell r="AX2060" t="str">
            <v>Yes</v>
          </cell>
          <cell r="AZ2060" t="str">
            <v>Y</v>
          </cell>
          <cell r="BA2060" t="str">
            <v>Yes</v>
          </cell>
        </row>
        <row r="2061">
          <cell r="B2061">
            <v>1911</v>
          </cell>
          <cell r="C2061" t="str">
            <v>C49SZX20230058EC</v>
          </cell>
          <cell r="D2061" t="str">
            <v>圣亨</v>
          </cell>
          <cell r="E2061" t="str">
            <v>YSM20R-2</v>
          </cell>
          <cell r="I2061" t="str">
            <v>L-&gt;R</v>
          </cell>
          <cell r="J2061" t="str">
            <v>No</v>
          </cell>
          <cell r="K2061">
            <v>1</v>
          </cell>
          <cell r="N2061">
            <v>45054</v>
          </cell>
          <cell r="O2061">
            <v>11100265</v>
          </cell>
          <cell r="P2061">
            <v>770000</v>
          </cell>
          <cell r="Q2061">
            <v>45063</v>
          </cell>
          <cell r="R2061" t="str">
            <v>No</v>
          </cell>
          <cell r="S2061" t="str">
            <v>C49</v>
          </cell>
          <cell r="T2061" t="str">
            <v>SOUTH</v>
          </cell>
          <cell r="U2061" t="str">
            <v>深圳</v>
          </cell>
          <cell r="V2061" t="str">
            <v>SZ 深圳</v>
          </cell>
          <cell r="W2061" t="str">
            <v>EC</v>
          </cell>
          <cell r="X2061" t="str">
            <v>RMB</v>
          </cell>
          <cell r="Y2061">
            <v>770000</v>
          </cell>
          <cell r="Z2061">
            <v>1.1299999999999999</v>
          </cell>
          <cell r="AA2061">
            <v>770000</v>
          </cell>
          <cell r="AB2061">
            <v>1.1399999999999999</v>
          </cell>
          <cell r="AC2061">
            <v>776814.15929203539</v>
          </cell>
          <cell r="AD2061">
            <v>93217.699115044248</v>
          </cell>
          <cell r="AE2061">
            <v>0.12</v>
          </cell>
          <cell r="AF2061">
            <v>45042</v>
          </cell>
          <cell r="AG2061" t="str">
            <v>DDP DG</v>
          </cell>
          <cell r="AK2061">
            <v>0.1</v>
          </cell>
          <cell r="AL2061">
            <v>77000</v>
          </cell>
          <cell r="AM2061">
            <v>45050</v>
          </cell>
          <cell r="AN2061" t="str">
            <v>Yes</v>
          </cell>
          <cell r="AO2061">
            <v>0.9</v>
          </cell>
          <cell r="AP2061">
            <v>693000</v>
          </cell>
          <cell r="AQ2061">
            <v>45051</v>
          </cell>
          <cell r="AR2061">
            <v>45051</v>
          </cell>
          <cell r="AS2061">
            <v>0</v>
          </cell>
          <cell r="AT2061">
            <v>0</v>
          </cell>
          <cell r="AX2061" t="str">
            <v>Yes</v>
          </cell>
          <cell r="AZ2061" t="str">
            <v>Y</v>
          </cell>
          <cell r="BA2061" t="str">
            <v>Yes</v>
          </cell>
        </row>
        <row r="2062">
          <cell r="B2062">
            <v>1912</v>
          </cell>
          <cell r="C2062" t="str">
            <v>C49SZX20230056SX</v>
          </cell>
          <cell r="D2062" t="str">
            <v>台山新欣</v>
          </cell>
          <cell r="E2062" t="str">
            <v>YSM10</v>
          </cell>
          <cell r="I2062" t="str">
            <v>L-&gt;R</v>
          </cell>
          <cell r="J2062" t="str">
            <v>MVC</v>
          </cell>
          <cell r="K2062">
            <v>1</v>
          </cell>
          <cell r="N2062">
            <v>45096</v>
          </cell>
          <cell r="O2062">
            <v>11100633</v>
          </cell>
          <cell r="P2062">
            <v>500000</v>
          </cell>
          <cell r="Q2062">
            <v>45103</v>
          </cell>
          <cell r="R2062" t="str">
            <v>Yes</v>
          </cell>
          <cell r="S2062" t="str">
            <v>C49</v>
          </cell>
          <cell r="T2062" t="str">
            <v>SOUTH</v>
          </cell>
          <cell r="U2062" t="str">
            <v>深圳</v>
          </cell>
          <cell r="V2062" t="str">
            <v>SZ 深圳</v>
          </cell>
          <cell r="W2062" t="str">
            <v>SX</v>
          </cell>
          <cell r="X2062" t="str">
            <v>RMB</v>
          </cell>
          <cell r="Y2062">
            <v>500000</v>
          </cell>
          <cell r="Z2062">
            <v>1.1299999999999999</v>
          </cell>
          <cell r="AA2062">
            <v>500000</v>
          </cell>
          <cell r="AB2062">
            <v>1.1399999999999999</v>
          </cell>
          <cell r="AC2062">
            <v>504424.77876106196</v>
          </cell>
          <cell r="AD2062">
            <v>60530.973451327431</v>
          </cell>
          <cell r="AE2062">
            <v>0.12</v>
          </cell>
          <cell r="AF2062">
            <v>45040</v>
          </cell>
          <cell r="AG2062" t="str">
            <v>DDP TS</v>
          </cell>
          <cell r="AK2062">
            <v>0.3</v>
          </cell>
          <cell r="AL2062">
            <v>150000</v>
          </cell>
          <cell r="AM2062">
            <v>45054</v>
          </cell>
          <cell r="AN2062" t="str">
            <v>Yes</v>
          </cell>
          <cell r="AO2062">
            <v>0.7</v>
          </cell>
          <cell r="AP2062">
            <v>350000</v>
          </cell>
          <cell r="AQ2062">
            <v>45091</v>
          </cell>
          <cell r="AR2062">
            <v>45091</v>
          </cell>
          <cell r="AS2062">
            <v>0</v>
          </cell>
          <cell r="AT2062">
            <v>0</v>
          </cell>
          <cell r="AX2062" t="str">
            <v>Yes</v>
          </cell>
          <cell r="AZ2062" t="str">
            <v>Y</v>
          </cell>
          <cell r="BA2062" t="str">
            <v>Yes</v>
          </cell>
        </row>
        <row r="2063">
          <cell r="B2063">
            <v>1913</v>
          </cell>
          <cell r="C2063" t="str">
            <v>C49SZX20230056SX</v>
          </cell>
          <cell r="D2063" t="str">
            <v>台山新欣</v>
          </cell>
          <cell r="E2063" t="str">
            <v>YSM10</v>
          </cell>
          <cell r="I2063" t="str">
            <v>L-&gt;R</v>
          </cell>
          <cell r="J2063" t="str">
            <v>No</v>
          </cell>
          <cell r="K2063">
            <v>1</v>
          </cell>
          <cell r="N2063">
            <v>45096</v>
          </cell>
          <cell r="O2063">
            <v>11100633</v>
          </cell>
          <cell r="P2063">
            <v>500000</v>
          </cell>
          <cell r="Q2063">
            <v>45103</v>
          </cell>
          <cell r="R2063" t="str">
            <v>Yes</v>
          </cell>
          <cell r="S2063" t="str">
            <v>C49</v>
          </cell>
          <cell r="T2063" t="str">
            <v>SOUTH</v>
          </cell>
          <cell r="U2063" t="str">
            <v>深圳</v>
          </cell>
          <cell r="V2063" t="str">
            <v>SZ 深圳</v>
          </cell>
          <cell r="W2063" t="str">
            <v>SX</v>
          </cell>
          <cell r="X2063" t="str">
            <v>RMB</v>
          </cell>
          <cell r="Y2063">
            <v>500000</v>
          </cell>
          <cell r="Z2063">
            <v>1.1299999999999999</v>
          </cell>
          <cell r="AA2063">
            <v>500000</v>
          </cell>
          <cell r="AB2063">
            <v>1.1399999999999999</v>
          </cell>
          <cell r="AC2063">
            <v>504424.77876106196</v>
          </cell>
          <cell r="AD2063">
            <v>60530.973451327431</v>
          </cell>
          <cell r="AE2063">
            <v>0.12</v>
          </cell>
          <cell r="AF2063">
            <v>45040</v>
          </cell>
          <cell r="AG2063" t="str">
            <v>DDP TS</v>
          </cell>
          <cell r="AK2063">
            <v>0.3</v>
          </cell>
          <cell r="AL2063">
            <v>150000</v>
          </cell>
          <cell r="AM2063">
            <v>45054</v>
          </cell>
          <cell r="AN2063" t="str">
            <v>Yes</v>
          </cell>
          <cell r="AO2063">
            <v>0.7</v>
          </cell>
          <cell r="AP2063">
            <v>350000</v>
          </cell>
          <cell r="AQ2063">
            <v>45091</v>
          </cell>
          <cell r="AR2063">
            <v>45091</v>
          </cell>
          <cell r="AS2063">
            <v>0</v>
          </cell>
          <cell r="AT2063">
            <v>0</v>
          </cell>
          <cell r="AX2063" t="str">
            <v>Yes</v>
          </cell>
          <cell r="AZ2063" t="str">
            <v>Y</v>
          </cell>
          <cell r="BA2063" t="str">
            <v>Yes</v>
          </cell>
        </row>
        <row r="2064">
          <cell r="B2064">
            <v>1914</v>
          </cell>
          <cell r="C2064" t="str">
            <v>C49SZX20230060RZ</v>
          </cell>
          <cell r="D2064" t="str">
            <v>艾为康</v>
          </cell>
          <cell r="E2064" t="str">
            <v>YSM20R-2</v>
          </cell>
          <cell r="I2064" t="str">
            <v>L-&gt;R</v>
          </cell>
          <cell r="J2064" t="str">
            <v>No</v>
          </cell>
          <cell r="K2064">
            <v>1</v>
          </cell>
          <cell r="N2064">
            <v>45058</v>
          </cell>
          <cell r="O2064">
            <v>11100626</v>
          </cell>
          <cell r="P2064">
            <v>812550</v>
          </cell>
          <cell r="Q2064">
            <v>45063</v>
          </cell>
          <cell r="R2064" t="str">
            <v>Yes</v>
          </cell>
          <cell r="S2064" t="str">
            <v>C49</v>
          </cell>
          <cell r="T2064" t="str">
            <v>SOUTH</v>
          </cell>
          <cell r="U2064" t="str">
            <v>深圳</v>
          </cell>
          <cell r="V2064" t="str">
            <v>SZ 深圳</v>
          </cell>
          <cell r="W2064" t="str">
            <v>RZ</v>
          </cell>
          <cell r="X2064" t="str">
            <v>RMB</v>
          </cell>
          <cell r="Y2064">
            <v>812550</v>
          </cell>
          <cell r="Z2064">
            <v>1.1299999999999999</v>
          </cell>
          <cell r="AA2064">
            <v>812550</v>
          </cell>
          <cell r="AB2064">
            <v>1.1399999999999999</v>
          </cell>
          <cell r="AC2064">
            <v>819740.70796460181</v>
          </cell>
          <cell r="AD2064">
            <v>98368.884955752219</v>
          </cell>
          <cell r="AE2064">
            <v>0.12</v>
          </cell>
          <cell r="AF2064">
            <v>45052</v>
          </cell>
          <cell r="AG2064" t="str">
            <v>DDP SZ</v>
          </cell>
          <cell r="AK2064">
            <v>0.2</v>
          </cell>
          <cell r="AL2064">
            <v>162510</v>
          </cell>
          <cell r="AM2064">
            <v>45056</v>
          </cell>
          <cell r="AN2064" t="str">
            <v>Yes</v>
          </cell>
          <cell r="AO2064">
            <v>0.8</v>
          </cell>
          <cell r="AP2064">
            <v>650040</v>
          </cell>
          <cell r="AQ2064">
            <v>45056</v>
          </cell>
          <cell r="AR2064">
            <v>45056</v>
          </cell>
          <cell r="AS2064">
            <v>0</v>
          </cell>
          <cell r="AT2064">
            <v>0</v>
          </cell>
          <cell r="AX2064" t="str">
            <v>Yes</v>
          </cell>
          <cell r="AZ2064" t="str">
            <v>Y</v>
          </cell>
          <cell r="BA2064" t="str">
            <v>Yes</v>
          </cell>
        </row>
        <row r="2065">
          <cell r="B2065">
            <v>1915</v>
          </cell>
          <cell r="C2065" t="str">
            <v>C49SZX20230060RZ</v>
          </cell>
          <cell r="D2065" t="str">
            <v>艾为康</v>
          </cell>
          <cell r="E2065" t="str">
            <v>YSM20R-2</v>
          </cell>
          <cell r="I2065" t="str">
            <v>L-&gt;R</v>
          </cell>
          <cell r="J2065" t="str">
            <v>No</v>
          </cell>
          <cell r="K2065">
            <v>1</v>
          </cell>
          <cell r="N2065">
            <v>45058</v>
          </cell>
          <cell r="O2065">
            <v>11100626</v>
          </cell>
          <cell r="P2065">
            <v>812550</v>
          </cell>
          <cell r="Q2065">
            <v>45063</v>
          </cell>
          <cell r="R2065" t="str">
            <v>Yes</v>
          </cell>
          <cell r="S2065" t="str">
            <v>C49</v>
          </cell>
          <cell r="T2065" t="str">
            <v>SOUTH</v>
          </cell>
          <cell r="U2065" t="str">
            <v>深圳</v>
          </cell>
          <cell r="V2065" t="str">
            <v>SZ 深圳</v>
          </cell>
          <cell r="W2065" t="str">
            <v>RZ</v>
          </cell>
          <cell r="X2065" t="str">
            <v>RMB</v>
          </cell>
          <cell r="Y2065">
            <v>812550</v>
          </cell>
          <cell r="Z2065">
            <v>1.1299999999999999</v>
          </cell>
          <cell r="AA2065">
            <v>812550</v>
          </cell>
          <cell r="AB2065">
            <v>1.1399999999999999</v>
          </cell>
          <cell r="AC2065">
            <v>819740.70796460181</v>
          </cell>
          <cell r="AD2065">
            <v>98368.884955752219</v>
          </cell>
          <cell r="AE2065">
            <v>0.12</v>
          </cell>
          <cell r="AF2065">
            <v>45052</v>
          </cell>
          <cell r="AG2065" t="str">
            <v>DDP SZ</v>
          </cell>
          <cell r="AK2065">
            <v>0.2</v>
          </cell>
          <cell r="AL2065">
            <v>162510</v>
          </cell>
          <cell r="AM2065">
            <v>45056</v>
          </cell>
          <cell r="AN2065" t="str">
            <v>Yes</v>
          </cell>
          <cell r="AO2065">
            <v>0.8</v>
          </cell>
          <cell r="AP2065">
            <v>650040</v>
          </cell>
          <cell r="AQ2065">
            <v>45056</v>
          </cell>
          <cell r="AR2065">
            <v>45056</v>
          </cell>
          <cell r="AS2065">
            <v>0</v>
          </cell>
          <cell r="AT2065">
            <v>0</v>
          </cell>
          <cell r="AX2065" t="str">
            <v>Yes</v>
          </cell>
          <cell r="AZ2065" t="str">
            <v>Y</v>
          </cell>
          <cell r="BA2065" t="str">
            <v>Yes</v>
          </cell>
        </row>
        <row r="2066">
          <cell r="B2066">
            <v>1916</v>
          </cell>
          <cell r="C2066" t="str">
            <v>C49SZX20230063TS</v>
          </cell>
          <cell r="D2066" t="str">
            <v>TBS</v>
          </cell>
          <cell r="E2066" t="str">
            <v>YSM20R-2</v>
          </cell>
          <cell r="I2066" t="str">
            <v>L-&gt;R</v>
          </cell>
          <cell r="J2066" t="str">
            <v>No</v>
          </cell>
          <cell r="K2066">
            <v>1</v>
          </cell>
          <cell r="N2066">
            <v>45069</v>
          </cell>
          <cell r="O2066">
            <v>11116829</v>
          </cell>
          <cell r="P2066">
            <v>1003000</v>
          </cell>
          <cell r="Q2066">
            <v>45068</v>
          </cell>
          <cell r="R2066" t="str">
            <v>Yes</v>
          </cell>
          <cell r="S2066" t="str">
            <v>C49</v>
          </cell>
          <cell r="T2066" t="str">
            <v>SOUTH</v>
          </cell>
          <cell r="U2066" t="str">
            <v>深圳</v>
          </cell>
          <cell r="V2066" t="str">
            <v>SZ 深圳</v>
          </cell>
          <cell r="W2066" t="str">
            <v>TS</v>
          </cell>
          <cell r="X2066" t="str">
            <v>HKD</v>
          </cell>
          <cell r="Y2066">
            <v>1003000</v>
          </cell>
          <cell r="Z2066">
            <v>1</v>
          </cell>
          <cell r="AA2066">
            <v>1003000</v>
          </cell>
          <cell r="AB2066">
            <v>1</v>
          </cell>
          <cell r="AC2066">
            <v>1003000</v>
          </cell>
          <cell r="AD2066">
            <v>120360</v>
          </cell>
          <cell r="AE2066">
            <v>0.12</v>
          </cell>
          <cell r="AF2066">
            <v>45048</v>
          </cell>
          <cell r="AG2066" t="str">
            <v>CIF HK</v>
          </cell>
          <cell r="AK2066">
            <v>0.3</v>
          </cell>
          <cell r="AL2066">
            <v>480000</v>
          </cell>
          <cell r="AM2066">
            <v>45050</v>
          </cell>
          <cell r="AN2066" t="str">
            <v>Yes</v>
          </cell>
          <cell r="AO2066">
            <v>0.7</v>
          </cell>
          <cell r="AP2066">
            <v>523000</v>
          </cell>
          <cell r="AQ2066">
            <v>45057</v>
          </cell>
          <cell r="AR2066">
            <v>45057</v>
          </cell>
          <cell r="AS2066">
            <v>0</v>
          </cell>
          <cell r="AT2066">
            <v>0</v>
          </cell>
          <cell r="AX2066" t="str">
            <v>Yes</v>
          </cell>
          <cell r="AZ2066" t="str">
            <v>Y</v>
          </cell>
          <cell r="BA2066" t="str">
            <v>Yes</v>
          </cell>
        </row>
        <row r="2067">
          <cell r="B2067">
            <v>1917</v>
          </cell>
          <cell r="C2067" t="str">
            <v>C28SZX20230063TS</v>
          </cell>
          <cell r="D2067" t="str">
            <v>TBS</v>
          </cell>
          <cell r="E2067" t="str">
            <v>Heller 1505MK5</v>
          </cell>
          <cell r="I2067" t="str">
            <v>L-&gt;R</v>
          </cell>
          <cell r="J2067" t="str">
            <v>No</v>
          </cell>
          <cell r="K2067">
            <v>1</v>
          </cell>
          <cell r="N2067">
            <v>45107</v>
          </cell>
          <cell r="O2067">
            <v>11116834</v>
          </cell>
          <cell r="P2067">
            <v>284000</v>
          </cell>
          <cell r="Q2067">
            <v>45111</v>
          </cell>
          <cell r="R2067" t="str">
            <v>Yes</v>
          </cell>
          <cell r="S2067" t="str">
            <v>C28</v>
          </cell>
          <cell r="T2067" t="str">
            <v>SOUTH</v>
          </cell>
          <cell r="U2067" t="str">
            <v>深圳</v>
          </cell>
          <cell r="V2067" t="str">
            <v>SZ 深圳</v>
          </cell>
          <cell r="W2067" t="str">
            <v>TS</v>
          </cell>
          <cell r="X2067" t="str">
            <v>HKD</v>
          </cell>
          <cell r="Y2067">
            <v>284000</v>
          </cell>
          <cell r="Z2067">
            <v>1</v>
          </cell>
          <cell r="AA2067">
            <v>284000</v>
          </cell>
          <cell r="AB2067">
            <v>1</v>
          </cell>
          <cell r="AC2067">
            <v>284000</v>
          </cell>
          <cell r="AD2067">
            <v>34080</v>
          </cell>
          <cell r="AE2067">
            <v>0.12</v>
          </cell>
          <cell r="AF2067">
            <v>45048</v>
          </cell>
          <cell r="AG2067" t="str">
            <v>CIF HK</v>
          </cell>
          <cell r="AK2067">
            <v>1</v>
          </cell>
          <cell r="AL2067">
            <v>284000</v>
          </cell>
          <cell r="AM2067">
            <v>45057</v>
          </cell>
          <cell r="AN2067" t="str">
            <v>Yes</v>
          </cell>
          <cell r="AO2067">
            <v>0</v>
          </cell>
          <cell r="AP2067">
            <v>0</v>
          </cell>
          <cell r="AQ2067">
            <v>45057</v>
          </cell>
          <cell r="AR2067">
            <v>45057</v>
          </cell>
          <cell r="AS2067">
            <v>0</v>
          </cell>
          <cell r="AT2067">
            <v>0</v>
          </cell>
          <cell r="AX2067" t="str">
            <v>Yes</v>
          </cell>
          <cell r="AZ2067" t="str">
            <v>Y</v>
          </cell>
          <cell r="BA2067" t="str">
            <v>Yes</v>
          </cell>
        </row>
        <row r="2068">
          <cell r="B2068">
            <v>1918</v>
          </cell>
          <cell r="C2068" t="str">
            <v>C49SZX20230065EC</v>
          </cell>
          <cell r="D2068" t="str">
            <v>聚合信</v>
          </cell>
          <cell r="E2068" t="str">
            <v>YSM10</v>
          </cell>
          <cell r="I2068" t="str">
            <v>L-&gt;R</v>
          </cell>
          <cell r="J2068" t="str">
            <v>MVC</v>
          </cell>
          <cell r="K2068">
            <v>1</v>
          </cell>
          <cell r="N2068">
            <v>45084</v>
          </cell>
          <cell r="O2068">
            <v>11100631</v>
          </cell>
          <cell r="P2068">
            <v>460000</v>
          </cell>
          <cell r="Q2068">
            <v>45097</v>
          </cell>
          <cell r="R2068" t="str">
            <v>Yes</v>
          </cell>
          <cell r="S2068" t="str">
            <v>C49</v>
          </cell>
          <cell r="T2068" t="str">
            <v>SOUTH</v>
          </cell>
          <cell r="U2068" t="str">
            <v>深圳</v>
          </cell>
          <cell r="V2068" t="str">
            <v>SZ 深圳</v>
          </cell>
          <cell r="W2068" t="str">
            <v>EC</v>
          </cell>
          <cell r="X2068" t="str">
            <v>RMB</v>
          </cell>
          <cell r="Y2068">
            <v>460000</v>
          </cell>
          <cell r="Z2068">
            <v>1.1299999999999999</v>
          </cell>
          <cell r="AA2068">
            <v>460000</v>
          </cell>
          <cell r="AB2068">
            <v>1.135</v>
          </cell>
          <cell r="AC2068">
            <v>462035.39823008853</v>
          </cell>
          <cell r="AD2068">
            <v>55444.24778761062</v>
          </cell>
          <cell r="AE2068">
            <v>0.12</v>
          </cell>
          <cell r="AF2068">
            <v>45061</v>
          </cell>
          <cell r="AG2068" t="str">
            <v>DDP DG</v>
          </cell>
          <cell r="AK2068">
            <v>0.1</v>
          </cell>
          <cell r="AL2068">
            <v>46000</v>
          </cell>
          <cell r="AM2068">
            <v>45069</v>
          </cell>
          <cell r="AN2068" t="str">
            <v>Yes</v>
          </cell>
          <cell r="AO2068">
            <v>0.9</v>
          </cell>
          <cell r="AP2068">
            <v>414000</v>
          </cell>
          <cell r="AQ2068">
            <v>45084</v>
          </cell>
          <cell r="AR2068">
            <v>45084</v>
          </cell>
          <cell r="AS2068">
            <v>0</v>
          </cell>
          <cell r="AT2068">
            <v>0</v>
          </cell>
          <cell r="AX2068" t="str">
            <v>Yes</v>
          </cell>
          <cell r="AZ2068" t="str">
            <v>Y</v>
          </cell>
          <cell r="BA2068" t="str">
            <v>Yes</v>
          </cell>
        </row>
        <row r="2069">
          <cell r="B2069">
            <v>1919</v>
          </cell>
          <cell r="C2069" t="str">
            <v>C49SZX20230066JL/HJD23050525</v>
          </cell>
          <cell r="D2069" t="str">
            <v>皓吉达</v>
          </cell>
          <cell r="E2069" t="str">
            <v>YSM10</v>
          </cell>
          <cell r="I2069" t="str">
            <v>L-&gt;R</v>
          </cell>
          <cell r="J2069" t="str">
            <v>ATS15</v>
          </cell>
          <cell r="K2069">
            <v>1</v>
          </cell>
          <cell r="N2069">
            <v>45082</v>
          </cell>
          <cell r="O2069">
            <v>11100634</v>
          </cell>
          <cell r="P2069">
            <v>515000</v>
          </cell>
          <cell r="Q2069">
            <v>45103</v>
          </cell>
          <cell r="R2069" t="str">
            <v>Yes</v>
          </cell>
          <cell r="S2069" t="str">
            <v>C49</v>
          </cell>
          <cell r="T2069" t="str">
            <v>SOUTH</v>
          </cell>
          <cell r="U2069" t="str">
            <v>深圳</v>
          </cell>
          <cell r="V2069" t="str">
            <v>SZ 深圳</v>
          </cell>
          <cell r="W2069" t="str">
            <v>JL</v>
          </cell>
          <cell r="X2069" t="str">
            <v>RMB</v>
          </cell>
          <cell r="Y2069">
            <v>515000</v>
          </cell>
          <cell r="Z2069">
            <v>1.1299999999999999</v>
          </cell>
          <cell r="AA2069">
            <v>515000</v>
          </cell>
          <cell r="AB2069">
            <v>1.135</v>
          </cell>
          <cell r="AC2069">
            <v>517278.76106194692</v>
          </cell>
          <cell r="AD2069">
            <v>62073.451327433628</v>
          </cell>
          <cell r="AE2069">
            <v>0.12</v>
          </cell>
          <cell r="AF2069">
            <v>45063</v>
          </cell>
          <cell r="AG2069" t="str">
            <v>DDP HY</v>
          </cell>
          <cell r="AK2069">
            <v>0.3</v>
          </cell>
          <cell r="AL2069">
            <v>154500</v>
          </cell>
          <cell r="AM2069">
            <v>45068</v>
          </cell>
          <cell r="AN2069" t="str">
            <v>Yes</v>
          </cell>
          <cell r="AO2069">
            <v>0.65</v>
          </cell>
          <cell r="AP2069">
            <v>334750</v>
          </cell>
          <cell r="AQ2069">
            <v>45077</v>
          </cell>
          <cell r="AR2069">
            <v>45077</v>
          </cell>
          <cell r="AS2069">
            <v>0.05</v>
          </cell>
          <cell r="AT2069">
            <v>25750</v>
          </cell>
          <cell r="AZ2069" t="str">
            <v>Y</v>
          </cell>
        </row>
        <row r="2070">
          <cell r="B2070">
            <v>1920</v>
          </cell>
          <cell r="C2070" t="str">
            <v>C28SZX20230069R1SX</v>
          </cell>
          <cell r="D2070" t="str">
            <v>纬博特（End user：成景）</v>
          </cell>
          <cell r="E2070" t="str">
            <v>YSi-V</v>
          </cell>
          <cell r="I2070" t="str">
            <v>R-&gt;L</v>
          </cell>
          <cell r="J2070" t="str">
            <v>No</v>
          </cell>
          <cell r="K2070">
            <v>1</v>
          </cell>
          <cell r="N2070">
            <v>45153</v>
          </cell>
          <cell r="O2070">
            <v>11100643</v>
          </cell>
          <cell r="P2070">
            <v>650000</v>
          </cell>
          <cell r="Q2070">
            <v>45162</v>
          </cell>
          <cell r="R2070" t="str">
            <v>No</v>
          </cell>
          <cell r="S2070" t="str">
            <v>C28</v>
          </cell>
          <cell r="T2070" t="str">
            <v>SOUTH</v>
          </cell>
          <cell r="U2070" t="str">
            <v>深圳</v>
          </cell>
          <cell r="V2070" t="str">
            <v>SZ 深圳</v>
          </cell>
          <cell r="W2070" t="str">
            <v>SX</v>
          </cell>
          <cell r="X2070" t="str">
            <v>RMB</v>
          </cell>
          <cell r="Y2070">
            <v>650000</v>
          </cell>
          <cell r="Z2070">
            <v>1.1299999999999999</v>
          </cell>
          <cell r="AA2070">
            <v>650000</v>
          </cell>
          <cell r="AB2070">
            <v>1.135</v>
          </cell>
          <cell r="AC2070">
            <v>652876.10619469034</v>
          </cell>
          <cell r="AD2070">
            <v>78345.132743362832</v>
          </cell>
          <cell r="AE2070">
            <v>0.12</v>
          </cell>
          <cell r="AF2070">
            <v>45070</v>
          </cell>
          <cell r="AG2070" t="str">
            <v>DDP FS</v>
          </cell>
          <cell r="AK2070">
            <v>0.1</v>
          </cell>
          <cell r="AL2070">
            <v>65000</v>
          </cell>
          <cell r="AM2070">
            <v>45072</v>
          </cell>
          <cell r="AN2070" t="str">
            <v>Yes</v>
          </cell>
          <cell r="AO2070">
            <v>0.9</v>
          </cell>
          <cell r="AP2070">
            <v>585000</v>
          </cell>
          <cell r="AQ2070">
            <v>45148</v>
          </cell>
          <cell r="AR2070">
            <v>45148</v>
          </cell>
          <cell r="AS2070">
            <v>0</v>
          </cell>
          <cell r="AT2070">
            <v>0</v>
          </cell>
          <cell r="AX2070" t="str">
            <v>Yes</v>
          </cell>
          <cell r="AZ2070" t="str">
            <v>Y</v>
          </cell>
          <cell r="BA2070" t="str">
            <v>Yes</v>
          </cell>
        </row>
        <row r="2071">
          <cell r="B2071">
            <v>1921</v>
          </cell>
          <cell r="C2071" t="str">
            <v>HX20230601A</v>
          </cell>
          <cell r="D2071" t="str">
            <v>恒鑫（End user:开普）</v>
          </cell>
          <cell r="E2071" t="str">
            <v>YSM20R-2</v>
          </cell>
          <cell r="I2071" t="str">
            <v>R-&gt;L</v>
          </cell>
          <cell r="J2071" t="str">
            <v>No</v>
          </cell>
          <cell r="K2071">
            <v>1</v>
          </cell>
          <cell r="N2071">
            <v>45153</v>
          </cell>
          <cell r="O2071">
            <v>11100638</v>
          </cell>
          <cell r="P2071">
            <v>778000</v>
          </cell>
          <cell r="Q2071">
            <v>45133</v>
          </cell>
          <cell r="R2071" t="str">
            <v>Yes</v>
          </cell>
          <cell r="S2071" t="str">
            <v>C49</v>
          </cell>
          <cell r="T2071" t="str">
            <v>SOUTH</v>
          </cell>
          <cell r="U2071" t="str">
            <v>深圳</v>
          </cell>
          <cell r="V2071" t="str">
            <v>JS江苏</v>
          </cell>
          <cell r="W2071" t="str">
            <v>HC</v>
          </cell>
          <cell r="X2071" t="str">
            <v>RMB</v>
          </cell>
          <cell r="Y2071">
            <v>778000</v>
          </cell>
          <cell r="Z2071">
            <v>1.1299999999999999</v>
          </cell>
          <cell r="AA2071">
            <v>778000</v>
          </cell>
          <cell r="AB2071">
            <v>1.105</v>
          </cell>
          <cell r="AC2071">
            <v>760787.61061946908</v>
          </cell>
          <cell r="AD2071">
            <v>91294.513274336292</v>
          </cell>
          <cell r="AE2071">
            <v>0.12</v>
          </cell>
          <cell r="AF2071">
            <v>45079</v>
          </cell>
          <cell r="AG2071" t="str">
            <v>DDP ZS</v>
          </cell>
          <cell r="AK2071">
            <v>0.3</v>
          </cell>
          <cell r="AL2071">
            <v>233400</v>
          </cell>
          <cell r="AM2071">
            <v>45086</v>
          </cell>
          <cell r="AN2071" t="str">
            <v>Yes</v>
          </cell>
          <cell r="AO2071">
            <v>0.6</v>
          </cell>
          <cell r="AP2071">
            <v>466800</v>
          </cell>
          <cell r="AQ2071">
            <v>45124</v>
          </cell>
          <cell r="AR2071">
            <v>45124</v>
          </cell>
          <cell r="AS2071">
            <v>0.1</v>
          </cell>
          <cell r="AT2071">
            <v>77800</v>
          </cell>
          <cell r="AX2071" t="str">
            <v>Yes</v>
          </cell>
          <cell r="AZ2071" t="str">
            <v>Y</v>
          </cell>
          <cell r="BA2071" t="str">
            <v>Yes</v>
          </cell>
        </row>
        <row r="2072">
          <cell r="B2072">
            <v>1922</v>
          </cell>
          <cell r="C2072" t="str">
            <v>C49SZX20230068JY</v>
          </cell>
          <cell r="D2072" t="str">
            <v>海凌科</v>
          </cell>
          <cell r="E2072" t="str">
            <v>YSM10</v>
          </cell>
          <cell r="I2072" t="str">
            <v>L-&gt;R</v>
          </cell>
          <cell r="J2072" t="str">
            <v>No</v>
          </cell>
          <cell r="K2072">
            <v>1</v>
          </cell>
          <cell r="R2072" t="str">
            <v>No</v>
          </cell>
          <cell r="S2072" t="str">
            <v>C49</v>
          </cell>
          <cell r="T2072" t="str">
            <v>SOUTH</v>
          </cell>
          <cell r="U2072" t="str">
            <v>深圳</v>
          </cell>
          <cell r="V2072" t="str">
            <v>JS江苏</v>
          </cell>
          <cell r="W2072" t="str">
            <v>JY</v>
          </cell>
          <cell r="X2072" t="str">
            <v>JPY</v>
          </cell>
          <cell r="Y2072">
            <v>7960000</v>
          </cell>
          <cell r="Z2072">
            <v>1</v>
          </cell>
          <cell r="AA2072">
            <v>7960000</v>
          </cell>
          <cell r="AB2072">
            <v>5.7099999999999998E-2</v>
          </cell>
          <cell r="AC2072">
            <v>454516</v>
          </cell>
          <cell r="AD2072">
            <v>54541.919999999998</v>
          </cell>
          <cell r="AE2072">
            <v>0.12</v>
          </cell>
          <cell r="AF2072">
            <v>45066</v>
          </cell>
          <cell r="AG2072" t="str">
            <v>DAP LS</v>
          </cell>
          <cell r="AI2072">
            <v>22535848</v>
          </cell>
          <cell r="AJ2072">
            <v>45079</v>
          </cell>
          <cell r="AK2072">
            <v>0.1</v>
          </cell>
          <cell r="AL2072">
            <v>796000</v>
          </cell>
          <cell r="AM2072">
            <v>45079</v>
          </cell>
          <cell r="AN2072" t="str">
            <v>Yes</v>
          </cell>
          <cell r="AO2072">
            <v>0.9</v>
          </cell>
          <cell r="AP2072">
            <v>7164000</v>
          </cell>
          <cell r="AS2072">
            <v>0</v>
          </cell>
          <cell r="AT2072">
            <v>0</v>
          </cell>
        </row>
        <row r="2073">
          <cell r="B2073">
            <v>1923</v>
          </cell>
          <cell r="C2073" t="str">
            <v>C49SZX20230068JY</v>
          </cell>
          <cell r="D2073" t="str">
            <v>海凌科</v>
          </cell>
          <cell r="E2073" t="str">
            <v>YSM10</v>
          </cell>
          <cell r="I2073" t="str">
            <v>L-&gt;R</v>
          </cell>
          <cell r="J2073" t="str">
            <v>No</v>
          </cell>
          <cell r="K2073">
            <v>1</v>
          </cell>
          <cell r="R2073" t="str">
            <v>No</v>
          </cell>
          <cell r="S2073" t="str">
            <v>C49</v>
          </cell>
          <cell r="T2073" t="str">
            <v>SOUTH</v>
          </cell>
          <cell r="U2073" t="str">
            <v>深圳</v>
          </cell>
          <cell r="V2073" t="str">
            <v>JS江苏</v>
          </cell>
          <cell r="W2073" t="str">
            <v>JY</v>
          </cell>
          <cell r="X2073" t="str">
            <v>JPY</v>
          </cell>
          <cell r="Y2073">
            <v>7960000</v>
          </cell>
          <cell r="Z2073">
            <v>1</v>
          </cell>
          <cell r="AA2073">
            <v>7960000</v>
          </cell>
          <cell r="AB2073">
            <v>5.7099999999999998E-2</v>
          </cell>
          <cell r="AC2073">
            <v>454516</v>
          </cell>
          <cell r="AD2073">
            <v>54541.919999999998</v>
          </cell>
          <cell r="AE2073">
            <v>0.12</v>
          </cell>
          <cell r="AF2073">
            <v>45066</v>
          </cell>
          <cell r="AG2073" t="str">
            <v>DAP LS</v>
          </cell>
          <cell r="AI2073"/>
          <cell r="AJ2073">
            <v>45079</v>
          </cell>
          <cell r="AK2073">
            <v>0.1</v>
          </cell>
          <cell r="AL2073">
            <v>796000</v>
          </cell>
          <cell r="AM2073">
            <v>45079</v>
          </cell>
          <cell r="AN2073" t="str">
            <v>Yes</v>
          </cell>
          <cell r="AO2073">
            <v>0.9</v>
          </cell>
          <cell r="AP2073">
            <v>7164000</v>
          </cell>
          <cell r="AS2073">
            <v>0</v>
          </cell>
          <cell r="AT2073">
            <v>0</v>
          </cell>
        </row>
        <row r="2074">
          <cell r="B2074">
            <v>1924</v>
          </cell>
          <cell r="C2074" t="str">
            <v>C49SZX20230068JY</v>
          </cell>
          <cell r="D2074" t="str">
            <v>海凌科</v>
          </cell>
          <cell r="E2074" t="str">
            <v>YSM10</v>
          </cell>
          <cell r="I2074" t="str">
            <v>L-&gt;R</v>
          </cell>
          <cell r="J2074" t="str">
            <v>No</v>
          </cell>
          <cell r="K2074">
            <v>1</v>
          </cell>
          <cell r="R2074" t="str">
            <v>No</v>
          </cell>
          <cell r="S2074" t="str">
            <v>C49</v>
          </cell>
          <cell r="T2074" t="str">
            <v>SOUTH</v>
          </cell>
          <cell r="U2074" t="str">
            <v>深圳</v>
          </cell>
          <cell r="V2074" t="str">
            <v>JS江苏</v>
          </cell>
          <cell r="W2074" t="str">
            <v>JY</v>
          </cell>
          <cell r="X2074" t="str">
            <v>JPY</v>
          </cell>
          <cell r="Y2074">
            <v>7960000</v>
          </cell>
          <cell r="Z2074">
            <v>1</v>
          </cell>
          <cell r="AA2074">
            <v>7960000</v>
          </cell>
          <cell r="AB2074">
            <v>5.7099999999999998E-2</v>
          </cell>
          <cell r="AC2074">
            <v>454516</v>
          </cell>
          <cell r="AD2074">
            <v>54541.919999999998</v>
          </cell>
          <cell r="AE2074">
            <v>0.12</v>
          </cell>
          <cell r="AF2074">
            <v>45066</v>
          </cell>
          <cell r="AG2074" t="str">
            <v>DAP LS</v>
          </cell>
          <cell r="AI2074"/>
          <cell r="AJ2074">
            <v>45079</v>
          </cell>
          <cell r="AK2074">
            <v>0.1</v>
          </cell>
          <cell r="AL2074">
            <v>796000</v>
          </cell>
          <cell r="AM2074">
            <v>45079</v>
          </cell>
          <cell r="AN2074" t="str">
            <v>Yes</v>
          </cell>
          <cell r="AO2074">
            <v>0.9</v>
          </cell>
          <cell r="AP2074">
            <v>7164000</v>
          </cell>
          <cell r="AS2074">
            <v>0</v>
          </cell>
          <cell r="AT2074">
            <v>0</v>
          </cell>
        </row>
        <row r="2075">
          <cell r="B2075">
            <v>1925</v>
          </cell>
          <cell r="C2075" t="str">
            <v>C49SZX20230068JY</v>
          </cell>
          <cell r="D2075" t="str">
            <v>海凌科</v>
          </cell>
          <cell r="E2075" t="str">
            <v>YSM10</v>
          </cell>
          <cell r="I2075" t="str">
            <v>R-&gt;L</v>
          </cell>
          <cell r="J2075" t="str">
            <v>No</v>
          </cell>
          <cell r="K2075">
            <v>1</v>
          </cell>
          <cell r="R2075" t="str">
            <v>No</v>
          </cell>
          <cell r="S2075" t="str">
            <v>C49</v>
          </cell>
          <cell r="T2075" t="str">
            <v>SOUTH</v>
          </cell>
          <cell r="U2075" t="str">
            <v>深圳</v>
          </cell>
          <cell r="V2075" t="str">
            <v>JS江苏</v>
          </cell>
          <cell r="W2075" t="str">
            <v>JY</v>
          </cell>
          <cell r="X2075" t="str">
            <v>JPY</v>
          </cell>
          <cell r="Y2075">
            <v>7960000</v>
          </cell>
          <cell r="Z2075">
            <v>1</v>
          </cell>
          <cell r="AA2075">
            <v>7960000</v>
          </cell>
          <cell r="AB2075">
            <v>5.7099999999999998E-2</v>
          </cell>
          <cell r="AC2075">
            <v>454516</v>
          </cell>
          <cell r="AD2075">
            <v>54541.919999999998</v>
          </cell>
          <cell r="AE2075">
            <v>0.12</v>
          </cell>
          <cell r="AF2075">
            <v>45066</v>
          </cell>
          <cell r="AG2075" t="str">
            <v>DAP LS</v>
          </cell>
          <cell r="AI2075"/>
          <cell r="AJ2075">
            <v>45079</v>
          </cell>
          <cell r="AK2075">
            <v>0.1</v>
          </cell>
          <cell r="AL2075">
            <v>796000</v>
          </cell>
          <cell r="AM2075">
            <v>45079</v>
          </cell>
          <cell r="AN2075" t="str">
            <v>Yes</v>
          </cell>
          <cell r="AO2075">
            <v>0.9</v>
          </cell>
          <cell r="AP2075">
            <v>7164000</v>
          </cell>
          <cell r="AS2075">
            <v>0</v>
          </cell>
          <cell r="AT2075">
            <v>0</v>
          </cell>
        </row>
        <row r="2076">
          <cell r="B2076">
            <v>1926</v>
          </cell>
          <cell r="C2076" t="str">
            <v>C49SZX20230068JY</v>
          </cell>
          <cell r="D2076" t="str">
            <v>海凌科</v>
          </cell>
          <cell r="E2076" t="str">
            <v>YSM10</v>
          </cell>
          <cell r="I2076" t="str">
            <v>R-&gt;L</v>
          </cell>
          <cell r="J2076" t="str">
            <v>No</v>
          </cell>
          <cell r="K2076">
            <v>1</v>
          </cell>
          <cell r="R2076" t="str">
            <v>No</v>
          </cell>
          <cell r="S2076" t="str">
            <v>C49</v>
          </cell>
          <cell r="T2076" t="str">
            <v>SOUTH</v>
          </cell>
          <cell r="U2076" t="str">
            <v>深圳</v>
          </cell>
          <cell r="V2076" t="str">
            <v>JS江苏</v>
          </cell>
          <cell r="W2076" t="str">
            <v>JY</v>
          </cell>
          <cell r="X2076" t="str">
            <v>JPY</v>
          </cell>
          <cell r="Y2076">
            <v>7960000</v>
          </cell>
          <cell r="Z2076">
            <v>1</v>
          </cell>
          <cell r="AA2076">
            <v>7960000</v>
          </cell>
          <cell r="AB2076">
            <v>5.7099999999999998E-2</v>
          </cell>
          <cell r="AC2076">
            <v>454516</v>
          </cell>
          <cell r="AD2076">
            <v>54541.919999999998</v>
          </cell>
          <cell r="AE2076">
            <v>0.12</v>
          </cell>
          <cell r="AF2076">
            <v>45066</v>
          </cell>
          <cell r="AG2076" t="str">
            <v>DAP LS</v>
          </cell>
          <cell r="AI2076"/>
          <cell r="AJ2076">
            <v>45079</v>
          </cell>
          <cell r="AK2076">
            <v>0.1</v>
          </cell>
          <cell r="AL2076">
            <v>796000</v>
          </cell>
          <cell r="AM2076">
            <v>45079</v>
          </cell>
          <cell r="AN2076" t="str">
            <v>Yes</v>
          </cell>
          <cell r="AO2076">
            <v>0.9</v>
          </cell>
          <cell r="AP2076">
            <v>7164000</v>
          </cell>
          <cell r="AS2076">
            <v>0</v>
          </cell>
          <cell r="AT2076">
            <v>0</v>
          </cell>
        </row>
        <row r="2077">
          <cell r="B2077">
            <v>1927</v>
          </cell>
          <cell r="C2077" t="str">
            <v>C49SZX20230068JY</v>
          </cell>
          <cell r="D2077" t="str">
            <v>海凌科</v>
          </cell>
          <cell r="E2077" t="str">
            <v>YSM10</v>
          </cell>
          <cell r="I2077" t="str">
            <v>R-&gt;L</v>
          </cell>
          <cell r="J2077" t="str">
            <v>No</v>
          </cell>
          <cell r="K2077">
            <v>1</v>
          </cell>
          <cell r="R2077" t="str">
            <v>No</v>
          </cell>
          <cell r="S2077" t="str">
            <v>C49</v>
          </cell>
          <cell r="T2077" t="str">
            <v>SOUTH</v>
          </cell>
          <cell r="U2077" t="str">
            <v>深圳</v>
          </cell>
          <cell r="V2077" t="str">
            <v>JS江苏</v>
          </cell>
          <cell r="W2077" t="str">
            <v>JY</v>
          </cell>
          <cell r="X2077" t="str">
            <v>JPY</v>
          </cell>
          <cell r="Y2077">
            <v>7960000</v>
          </cell>
          <cell r="Z2077">
            <v>1</v>
          </cell>
          <cell r="AA2077">
            <v>7960000</v>
          </cell>
          <cell r="AB2077">
            <v>5.7099999999999998E-2</v>
          </cell>
          <cell r="AC2077">
            <v>454516</v>
          </cell>
          <cell r="AD2077">
            <v>54541.919999999998</v>
          </cell>
          <cell r="AE2077">
            <v>0.12</v>
          </cell>
          <cell r="AF2077">
            <v>45066</v>
          </cell>
          <cell r="AG2077" t="str">
            <v>DAP LS</v>
          </cell>
          <cell r="AI2077"/>
          <cell r="AJ2077">
            <v>45079</v>
          </cell>
          <cell r="AK2077">
            <v>0.1</v>
          </cell>
          <cell r="AL2077">
            <v>796000</v>
          </cell>
          <cell r="AM2077">
            <v>45079</v>
          </cell>
          <cell r="AN2077" t="str">
            <v>Yes</v>
          </cell>
          <cell r="AO2077">
            <v>0.9</v>
          </cell>
          <cell r="AP2077">
            <v>7164000</v>
          </cell>
          <cell r="AS2077">
            <v>0</v>
          </cell>
          <cell r="AT2077">
            <v>0</v>
          </cell>
        </row>
        <row r="2078">
          <cell r="B2078">
            <v>1928</v>
          </cell>
          <cell r="C2078" t="str">
            <v>C49SZX20230073MZ</v>
          </cell>
          <cell r="D2078" t="str">
            <v>方案集（End user:陆巡）</v>
          </cell>
          <cell r="E2078" t="str">
            <v>YSM20R-2</v>
          </cell>
          <cell r="I2078" t="str">
            <v>L-&gt;R</v>
          </cell>
          <cell r="J2078" t="str">
            <v>No</v>
          </cell>
          <cell r="K2078">
            <v>1</v>
          </cell>
          <cell r="N2078">
            <v>45152</v>
          </cell>
          <cell r="O2078">
            <v>11116841</v>
          </cell>
          <cell r="P2078">
            <v>15000000</v>
          </cell>
          <cell r="Q2078">
            <v>45128</v>
          </cell>
          <cell r="R2078" t="str">
            <v>Yes</v>
          </cell>
          <cell r="S2078" t="str">
            <v>C49</v>
          </cell>
          <cell r="T2078" t="str">
            <v>SOUTH</v>
          </cell>
          <cell r="U2078" t="str">
            <v>深圳</v>
          </cell>
          <cell r="V2078" t="str">
            <v>SZ 深圳</v>
          </cell>
          <cell r="W2078" t="str">
            <v>MZ</v>
          </cell>
          <cell r="X2078" t="str">
            <v>JPY</v>
          </cell>
          <cell r="Y2078">
            <v>15000000</v>
          </cell>
          <cell r="Z2078">
            <v>1</v>
          </cell>
          <cell r="AA2078">
            <v>15000000</v>
          </cell>
          <cell r="AB2078">
            <v>5.7099999999999998E-2</v>
          </cell>
          <cell r="AC2078">
            <v>856500</v>
          </cell>
          <cell r="AD2078">
            <v>102780</v>
          </cell>
          <cell r="AE2078">
            <v>0.12</v>
          </cell>
          <cell r="AF2078">
            <v>45097</v>
          </cell>
          <cell r="AG2078" t="str">
            <v>CIF HK</v>
          </cell>
          <cell r="AK2078">
            <v>0.1</v>
          </cell>
          <cell r="AL2078">
            <v>1500000</v>
          </cell>
          <cell r="AM2078">
            <v>45104</v>
          </cell>
          <cell r="AN2078" t="str">
            <v>Yes</v>
          </cell>
          <cell r="AO2078">
            <v>0.9</v>
          </cell>
          <cell r="AP2078">
            <v>13500000</v>
          </cell>
          <cell r="AQ2078">
            <v>45113</v>
          </cell>
          <cell r="AR2078">
            <v>45113</v>
          </cell>
          <cell r="AS2078">
            <v>0</v>
          </cell>
          <cell r="AT2078">
            <v>0</v>
          </cell>
          <cell r="AX2078" t="str">
            <v>Yes</v>
          </cell>
          <cell r="AZ2078" t="str">
            <v>Y</v>
          </cell>
          <cell r="BA2078" t="str">
            <v>Yes</v>
          </cell>
        </row>
        <row r="2079">
          <cell r="B2079">
            <v>1929</v>
          </cell>
          <cell r="C2079" t="str">
            <v>C49SZX20230073MZ</v>
          </cell>
          <cell r="D2079" t="str">
            <v>方案集（End user:陆巡）</v>
          </cell>
          <cell r="E2079" t="str">
            <v>YSM20R-2</v>
          </cell>
          <cell r="I2079" t="str">
            <v>L-&gt;R</v>
          </cell>
          <cell r="J2079" t="str">
            <v>No</v>
          </cell>
          <cell r="K2079">
            <v>1</v>
          </cell>
          <cell r="N2079">
            <v>45152</v>
          </cell>
          <cell r="O2079">
            <v>11116841</v>
          </cell>
          <cell r="P2079">
            <v>15000000</v>
          </cell>
          <cell r="Q2079">
            <v>45128</v>
          </cell>
          <cell r="R2079" t="str">
            <v>Yes</v>
          </cell>
          <cell r="S2079" t="str">
            <v>C49</v>
          </cell>
          <cell r="T2079" t="str">
            <v>SOUTH</v>
          </cell>
          <cell r="U2079" t="str">
            <v>深圳</v>
          </cell>
          <cell r="V2079" t="str">
            <v>SZ 深圳</v>
          </cell>
          <cell r="W2079" t="str">
            <v>MZ</v>
          </cell>
          <cell r="X2079" t="str">
            <v>JPY</v>
          </cell>
          <cell r="Y2079">
            <v>15000000</v>
          </cell>
          <cell r="Z2079">
            <v>1</v>
          </cell>
          <cell r="AA2079">
            <v>15000000</v>
          </cell>
          <cell r="AB2079">
            <v>5.7099999999999998E-2</v>
          </cell>
          <cell r="AC2079">
            <v>856500</v>
          </cell>
          <cell r="AD2079">
            <v>102780</v>
          </cell>
          <cell r="AE2079">
            <v>0.12</v>
          </cell>
          <cell r="AF2079">
            <v>45097</v>
          </cell>
          <cell r="AG2079" t="str">
            <v>CIF HK</v>
          </cell>
          <cell r="AK2079">
            <v>0.1</v>
          </cell>
          <cell r="AL2079">
            <v>1500000</v>
          </cell>
          <cell r="AM2079">
            <v>45104</v>
          </cell>
          <cell r="AN2079" t="str">
            <v>Yes</v>
          </cell>
          <cell r="AO2079">
            <v>0.9</v>
          </cell>
          <cell r="AP2079">
            <v>13500000</v>
          </cell>
          <cell r="AQ2079">
            <v>45113</v>
          </cell>
          <cell r="AR2079">
            <v>45113</v>
          </cell>
          <cell r="AS2079">
            <v>0</v>
          </cell>
          <cell r="AT2079">
            <v>0</v>
          </cell>
          <cell r="AX2079" t="str">
            <v>Yes</v>
          </cell>
          <cell r="AZ2079" t="str">
            <v>Y</v>
          </cell>
          <cell r="BA2079" t="str">
            <v>Yes</v>
          </cell>
        </row>
        <row r="2080">
          <cell r="B2080">
            <v>1930</v>
          </cell>
          <cell r="C2080" t="str">
            <v>C49SZX20230073MZ</v>
          </cell>
          <cell r="D2080" t="str">
            <v>方案集（End user:陆巡）</v>
          </cell>
          <cell r="E2080" t="str">
            <v>YSM10</v>
          </cell>
          <cell r="I2080" t="str">
            <v>L-&gt;R</v>
          </cell>
          <cell r="J2080" t="str">
            <v>MVC+ATS15</v>
          </cell>
          <cell r="K2080">
            <v>1</v>
          </cell>
          <cell r="N2080">
            <v>45152</v>
          </cell>
          <cell r="O2080">
            <v>11116841</v>
          </cell>
          <cell r="P2080">
            <v>10000000</v>
          </cell>
          <cell r="Q2080">
            <v>45128</v>
          </cell>
          <cell r="R2080" t="str">
            <v>Yes</v>
          </cell>
          <cell r="S2080" t="str">
            <v>C49</v>
          </cell>
          <cell r="T2080" t="str">
            <v>SOUTH</v>
          </cell>
          <cell r="U2080" t="str">
            <v>深圳</v>
          </cell>
          <cell r="V2080" t="str">
            <v>SZ 深圳</v>
          </cell>
          <cell r="W2080" t="str">
            <v>MZ</v>
          </cell>
          <cell r="X2080" t="str">
            <v>JPY</v>
          </cell>
          <cell r="Y2080">
            <v>10000000</v>
          </cell>
          <cell r="Z2080">
            <v>1</v>
          </cell>
          <cell r="AA2080">
            <v>10000000</v>
          </cell>
          <cell r="AB2080">
            <v>5.7099999999999998E-2</v>
          </cell>
          <cell r="AC2080">
            <v>571000</v>
          </cell>
          <cell r="AD2080">
            <v>68520</v>
          </cell>
          <cell r="AE2080">
            <v>0.12</v>
          </cell>
          <cell r="AF2080">
            <v>45097</v>
          </cell>
          <cell r="AG2080" t="str">
            <v>CIF HK</v>
          </cell>
          <cell r="AK2080">
            <v>0.1</v>
          </cell>
          <cell r="AL2080">
            <v>1000000</v>
          </cell>
          <cell r="AM2080">
            <v>45104</v>
          </cell>
          <cell r="AN2080" t="str">
            <v>Yes</v>
          </cell>
          <cell r="AO2080">
            <v>0.9</v>
          </cell>
          <cell r="AP2080">
            <v>9000000</v>
          </cell>
          <cell r="AQ2080">
            <v>45113</v>
          </cell>
          <cell r="AR2080">
            <v>45113</v>
          </cell>
          <cell r="AS2080">
            <v>0</v>
          </cell>
          <cell r="AT2080">
            <v>0</v>
          </cell>
          <cell r="AX2080" t="str">
            <v>Yes</v>
          </cell>
          <cell r="AZ2080" t="str">
            <v>Y</v>
          </cell>
          <cell r="BA2080" t="str">
            <v>Yes</v>
          </cell>
        </row>
        <row r="2081">
          <cell r="B2081">
            <v>1931</v>
          </cell>
          <cell r="C2081" t="str">
            <v>C49SZX20230079JL</v>
          </cell>
          <cell r="D2081" t="str">
            <v>友艺</v>
          </cell>
          <cell r="E2081" t="str">
            <v>YSM10</v>
          </cell>
          <cell r="I2081" t="str">
            <v>L-&gt;R</v>
          </cell>
          <cell r="J2081" t="str">
            <v>MVC</v>
          </cell>
          <cell r="K2081">
            <v>1</v>
          </cell>
          <cell r="N2081">
            <v>45118</v>
          </cell>
          <cell r="O2081">
            <v>11116836</v>
          </cell>
          <cell r="P2081">
            <v>710000</v>
          </cell>
          <cell r="Q2081">
            <v>45125</v>
          </cell>
          <cell r="R2081" t="str">
            <v>No</v>
          </cell>
          <cell r="S2081" t="str">
            <v>C49</v>
          </cell>
          <cell r="T2081" t="str">
            <v>SOUTH</v>
          </cell>
          <cell r="U2081" t="str">
            <v>深圳</v>
          </cell>
          <cell r="V2081" t="str">
            <v>SZ 深圳</v>
          </cell>
          <cell r="W2081" t="str">
            <v>JL</v>
          </cell>
          <cell r="X2081" t="str">
            <v>JPY</v>
          </cell>
          <cell r="Y2081">
            <v>7100000</v>
          </cell>
          <cell r="Z2081">
            <v>1</v>
          </cell>
          <cell r="AA2081">
            <v>7100000</v>
          </cell>
          <cell r="AB2081">
            <v>5.7099999999999998E-2</v>
          </cell>
          <cell r="AC2081">
            <v>405410</v>
          </cell>
          <cell r="AD2081">
            <v>48649.2</v>
          </cell>
          <cell r="AE2081">
            <v>0.12</v>
          </cell>
          <cell r="AF2081">
            <v>45107</v>
          </cell>
          <cell r="AG2081" t="str">
            <v>DAP SZ</v>
          </cell>
          <cell r="AI2081">
            <v>993699</v>
          </cell>
          <cell r="AJ2081">
            <v>45112</v>
          </cell>
          <cell r="AK2081">
            <v>0.3</v>
          </cell>
          <cell r="AL2081">
            <v>2130000</v>
          </cell>
          <cell r="AM2081">
            <v>45112</v>
          </cell>
          <cell r="AN2081" t="str">
            <v>Yes</v>
          </cell>
          <cell r="AO2081">
            <v>0.7</v>
          </cell>
          <cell r="AP2081">
            <v>4970000</v>
          </cell>
          <cell r="AQ2081">
            <v>45117</v>
          </cell>
          <cell r="AR2081">
            <v>45117</v>
          </cell>
          <cell r="AS2081">
            <v>0</v>
          </cell>
          <cell r="AT2081">
            <v>0</v>
          </cell>
          <cell r="AX2081" t="str">
            <v>Yes</v>
          </cell>
          <cell r="AZ2081" t="str">
            <v>Y</v>
          </cell>
          <cell r="BA2081" t="str">
            <v>Yes</v>
          </cell>
        </row>
        <row r="2082">
          <cell r="B2082">
            <v>1932</v>
          </cell>
          <cell r="C2082" t="str">
            <v>C49SZX20230076JL/4600002395</v>
          </cell>
          <cell r="D2082" t="str">
            <v>高伟</v>
          </cell>
          <cell r="E2082" t="str">
            <v>YSM10</v>
          </cell>
          <cell r="I2082" t="str">
            <v>L-&gt;R</v>
          </cell>
          <cell r="J2082" t="str">
            <v>MVC+ATS15(with 5 heads)</v>
          </cell>
          <cell r="K2082">
            <v>1</v>
          </cell>
          <cell r="N2082">
            <v>45197</v>
          </cell>
          <cell r="O2082">
            <v>11116847</v>
          </cell>
          <cell r="P2082">
            <v>58000</v>
          </cell>
          <cell r="Q2082">
            <v>45196</v>
          </cell>
          <cell r="R2082" t="str">
            <v>No</v>
          </cell>
          <cell r="S2082" t="str">
            <v>C49</v>
          </cell>
          <cell r="T2082" t="str">
            <v>SOUTH</v>
          </cell>
          <cell r="U2082" t="str">
            <v>深圳</v>
          </cell>
          <cell r="V2082" t="str">
            <v>SZ 深圳</v>
          </cell>
          <cell r="W2082" t="str">
            <v>JL</v>
          </cell>
          <cell r="X2082" t="str">
            <v>USD</v>
          </cell>
          <cell r="Y2082">
            <v>58000</v>
          </cell>
          <cell r="Z2082">
            <v>1</v>
          </cell>
          <cell r="AA2082">
            <v>58000</v>
          </cell>
          <cell r="AB2082">
            <v>7.8</v>
          </cell>
          <cell r="AC2082">
            <v>452400</v>
          </cell>
          <cell r="AD2082">
            <v>54288</v>
          </cell>
          <cell r="AE2082">
            <v>0.12</v>
          </cell>
          <cell r="AF2082">
            <v>45104</v>
          </cell>
          <cell r="AG2082" t="str">
            <v>CIF HK</v>
          </cell>
          <cell r="AK2082">
            <v>0.3</v>
          </cell>
          <cell r="AL2082">
            <v>17400</v>
          </cell>
          <cell r="AM2082">
            <v>45117</v>
          </cell>
          <cell r="AN2082" t="str">
            <v>Yes</v>
          </cell>
          <cell r="AO2082">
            <v>0.6</v>
          </cell>
          <cell r="AP2082">
            <v>34800</v>
          </cell>
          <cell r="AQ2082">
            <v>45194</v>
          </cell>
          <cell r="AR2082">
            <v>45194</v>
          </cell>
          <cell r="AS2082">
            <v>0.1</v>
          </cell>
          <cell r="AT2082">
            <v>5800</v>
          </cell>
        </row>
        <row r="2083">
          <cell r="B2083">
            <v>1933</v>
          </cell>
          <cell r="C2083" t="str">
            <v>C49SZX20230083LC</v>
          </cell>
          <cell r="D2083" t="str">
            <v>兴原星</v>
          </cell>
          <cell r="E2083" t="str">
            <v>YSM20R-2</v>
          </cell>
          <cell r="I2083" t="str">
            <v>L-&gt;R</v>
          </cell>
          <cell r="J2083" t="str">
            <v>No</v>
          </cell>
          <cell r="K2083">
            <v>1</v>
          </cell>
          <cell r="N2083">
            <v>45152</v>
          </cell>
          <cell r="O2083">
            <v>11100640</v>
          </cell>
          <cell r="P2083">
            <v>830000</v>
          </cell>
          <cell r="Q2083">
            <v>45155</v>
          </cell>
          <cell r="R2083" t="str">
            <v>Yes</v>
          </cell>
          <cell r="S2083" t="str">
            <v>C49</v>
          </cell>
          <cell r="T2083" t="str">
            <v>SOUTH</v>
          </cell>
          <cell r="U2083" t="str">
            <v>深圳</v>
          </cell>
          <cell r="V2083" t="str">
            <v>JX江西</v>
          </cell>
          <cell r="W2083" t="str">
            <v>LC</v>
          </cell>
          <cell r="X2083" t="str">
            <v>RMB</v>
          </cell>
          <cell r="Y2083">
            <v>830000</v>
          </cell>
          <cell r="Z2083">
            <v>1.1299999999999999</v>
          </cell>
          <cell r="AA2083">
            <v>830000</v>
          </cell>
          <cell r="AB2083">
            <v>1.081</v>
          </cell>
          <cell r="AC2083">
            <v>794008.8495575221</v>
          </cell>
          <cell r="AD2083">
            <v>95281.061946902642</v>
          </cell>
          <cell r="AE2083">
            <v>0.12</v>
          </cell>
          <cell r="AF2083">
            <v>45117</v>
          </cell>
          <cell r="AG2083" t="str">
            <v>DDP GZ</v>
          </cell>
          <cell r="AK2083">
            <v>0.3</v>
          </cell>
          <cell r="AL2083">
            <v>249000</v>
          </cell>
          <cell r="AM2083">
            <v>45122</v>
          </cell>
          <cell r="AN2083" t="str">
            <v>Yes</v>
          </cell>
          <cell r="AO2083">
            <v>0.7</v>
          </cell>
          <cell r="AP2083">
            <v>581000</v>
          </cell>
          <cell r="AQ2083">
            <v>45147</v>
          </cell>
          <cell r="AR2083">
            <v>45147</v>
          </cell>
          <cell r="AS2083">
            <v>0</v>
          </cell>
          <cell r="AT2083">
            <v>0</v>
          </cell>
          <cell r="AX2083" t="str">
            <v>Yes</v>
          </cell>
          <cell r="AZ2083" t="str">
            <v>Y</v>
          </cell>
          <cell r="BA2083" t="str">
            <v>Yes</v>
          </cell>
        </row>
        <row r="2084">
          <cell r="B2084">
            <v>1934</v>
          </cell>
          <cell r="C2084" t="str">
            <v>C49SZX20230086SS</v>
          </cell>
          <cell r="D2084" t="str">
            <v>铣米</v>
          </cell>
          <cell r="E2084" t="str">
            <v>YSM10</v>
          </cell>
          <cell r="I2084" t="str">
            <v>L-&gt;R</v>
          </cell>
          <cell r="J2084" t="str">
            <v>MVC</v>
          </cell>
          <cell r="K2084">
            <v>1</v>
          </cell>
          <cell r="N2084">
            <v>45149</v>
          </cell>
          <cell r="O2084">
            <v>11100641</v>
          </cell>
          <cell r="P2084">
            <v>420000</v>
          </cell>
          <cell r="Q2084">
            <v>45160</v>
          </cell>
          <cell r="R2084" t="str">
            <v>No</v>
          </cell>
          <cell r="S2084" t="str">
            <v>C49</v>
          </cell>
          <cell r="T2084" t="str">
            <v>SOUTH</v>
          </cell>
          <cell r="U2084" t="str">
            <v>深圳</v>
          </cell>
          <cell r="V2084" t="str">
            <v>SZ 深圳</v>
          </cell>
          <cell r="W2084" t="str">
            <v>SS</v>
          </cell>
          <cell r="X2084" t="str">
            <v>RMB</v>
          </cell>
          <cell r="Y2084">
            <v>420000</v>
          </cell>
          <cell r="Z2084">
            <v>1.1299999999999999</v>
          </cell>
          <cell r="AA2084">
            <v>420000</v>
          </cell>
          <cell r="AB2084">
            <v>1.081</v>
          </cell>
          <cell r="AC2084">
            <v>401787.61061946902</v>
          </cell>
          <cell r="AD2084">
            <v>48214.513274336277</v>
          </cell>
          <cell r="AE2084">
            <v>0.12</v>
          </cell>
          <cell r="AF2084">
            <v>45118</v>
          </cell>
          <cell r="AG2084" t="str">
            <v>DDP SZ</v>
          </cell>
          <cell r="AI2084">
            <v>15000</v>
          </cell>
          <cell r="AJ2084">
            <v>45119</v>
          </cell>
          <cell r="AK2084">
            <v>0.1</v>
          </cell>
          <cell r="AL2084">
            <v>42000</v>
          </cell>
          <cell r="AM2084">
            <v>45119</v>
          </cell>
          <cell r="AN2084" t="str">
            <v>Yes</v>
          </cell>
          <cell r="AO2084">
            <v>0.9</v>
          </cell>
          <cell r="AP2084">
            <v>378000</v>
          </cell>
          <cell r="AQ2084">
            <v>45146</v>
          </cell>
          <cell r="AR2084">
            <v>45146</v>
          </cell>
          <cell r="AS2084">
            <v>0</v>
          </cell>
          <cell r="AT2084">
            <v>0</v>
          </cell>
          <cell r="AX2084" t="str">
            <v>Yes</v>
          </cell>
          <cell r="AZ2084" t="str">
            <v>Y</v>
          </cell>
          <cell r="BA2084" t="str">
            <v>Yes</v>
          </cell>
        </row>
        <row r="2085">
          <cell r="B2085">
            <v>1935</v>
          </cell>
          <cell r="C2085" t="str">
            <v>C49SZX20230078SX</v>
          </cell>
          <cell r="D2085" t="str">
            <v>威力斯（End user:瑞杰鑫）</v>
          </cell>
          <cell r="E2085" t="str">
            <v>YSM10</v>
          </cell>
          <cell r="I2085" t="str">
            <v>L-&gt;R</v>
          </cell>
          <cell r="J2085" t="str">
            <v>MVC</v>
          </cell>
          <cell r="K2085">
            <v>1</v>
          </cell>
          <cell r="N2085">
            <v>45148</v>
          </cell>
          <cell r="O2085">
            <v>11116843</v>
          </cell>
          <cell r="P2085">
            <v>7100000</v>
          </cell>
          <cell r="Q2085">
            <v>45156</v>
          </cell>
          <cell r="R2085" t="str">
            <v>Yes</v>
          </cell>
          <cell r="S2085" t="str">
            <v>C49</v>
          </cell>
          <cell r="T2085" t="str">
            <v>SOUTH</v>
          </cell>
          <cell r="U2085" t="str">
            <v>深圳</v>
          </cell>
          <cell r="V2085" t="str">
            <v>SZ 深圳</v>
          </cell>
          <cell r="W2085" t="str">
            <v>SX</v>
          </cell>
          <cell r="X2085" t="str">
            <v>JPY</v>
          </cell>
          <cell r="Y2085">
            <v>7100000</v>
          </cell>
          <cell r="Z2085">
            <v>1</v>
          </cell>
          <cell r="AA2085">
            <v>7100000</v>
          </cell>
          <cell r="AB2085">
            <v>5.5199999999999999E-2</v>
          </cell>
          <cell r="AC2085">
            <v>391920</v>
          </cell>
          <cell r="AD2085">
            <v>47030.400000000001</v>
          </cell>
          <cell r="AE2085">
            <v>0.12</v>
          </cell>
          <cell r="AF2085">
            <v>45118</v>
          </cell>
          <cell r="AG2085" t="str">
            <v>DAP EP</v>
          </cell>
          <cell r="AI2085" t="str">
            <v>JPY1,420,000</v>
          </cell>
          <cell r="AJ2085">
            <v>45132</v>
          </cell>
          <cell r="AK2085">
            <v>0.3</v>
          </cell>
          <cell r="AL2085">
            <v>2130000</v>
          </cell>
          <cell r="AM2085">
            <v>45132</v>
          </cell>
          <cell r="AN2085" t="str">
            <v>Yes</v>
          </cell>
          <cell r="AO2085">
            <v>0.7</v>
          </cell>
          <cell r="AP2085">
            <v>4970000</v>
          </cell>
          <cell r="AQ2085">
            <v>45146</v>
          </cell>
          <cell r="AR2085">
            <v>45146</v>
          </cell>
          <cell r="AS2085">
            <v>0</v>
          </cell>
          <cell r="AT2085">
            <v>0</v>
          </cell>
          <cell r="AX2085" t="str">
            <v>Yes</v>
          </cell>
          <cell r="AZ2085" t="str">
            <v>Y</v>
          </cell>
          <cell r="BA2085" t="str">
            <v>Yes</v>
          </cell>
        </row>
        <row r="2086">
          <cell r="B2086">
            <v>1936</v>
          </cell>
          <cell r="C2086" t="str">
            <v>C49SZX20230078SX</v>
          </cell>
          <cell r="D2086" t="str">
            <v>威力斯（End user:瑞杰鑫）</v>
          </cell>
          <cell r="E2086" t="str">
            <v>YSM10</v>
          </cell>
          <cell r="I2086" t="str">
            <v>R-&gt;L</v>
          </cell>
          <cell r="J2086" t="str">
            <v>MVC</v>
          </cell>
          <cell r="K2086">
            <v>1</v>
          </cell>
          <cell r="N2086">
            <v>45148</v>
          </cell>
          <cell r="O2086">
            <v>11116843</v>
          </cell>
          <cell r="P2086">
            <v>7100000</v>
          </cell>
          <cell r="Q2086">
            <v>45156</v>
          </cell>
          <cell r="R2086" t="str">
            <v>Yes</v>
          </cell>
          <cell r="S2086" t="str">
            <v>C49</v>
          </cell>
          <cell r="T2086" t="str">
            <v>SOUTH</v>
          </cell>
          <cell r="U2086" t="str">
            <v>深圳</v>
          </cell>
          <cell r="V2086" t="str">
            <v>SZ 深圳</v>
          </cell>
          <cell r="W2086" t="str">
            <v>SX</v>
          </cell>
          <cell r="X2086" t="str">
            <v>JPY</v>
          </cell>
          <cell r="Y2086">
            <v>7100000</v>
          </cell>
          <cell r="Z2086">
            <v>1</v>
          </cell>
          <cell r="AA2086">
            <v>7100000</v>
          </cell>
          <cell r="AB2086">
            <v>5.5199999999999999E-2</v>
          </cell>
          <cell r="AC2086">
            <v>391920</v>
          </cell>
          <cell r="AD2086">
            <v>47030.400000000001</v>
          </cell>
          <cell r="AE2086">
            <v>0.12</v>
          </cell>
          <cell r="AF2086">
            <v>45118</v>
          </cell>
          <cell r="AG2086" t="str">
            <v>DAP EP</v>
          </cell>
          <cell r="AI2086"/>
          <cell r="AJ2086">
            <v>45132</v>
          </cell>
          <cell r="AK2086">
            <v>0.3</v>
          </cell>
          <cell r="AL2086">
            <v>2130000</v>
          </cell>
          <cell r="AM2086">
            <v>45132</v>
          </cell>
          <cell r="AN2086" t="str">
            <v>Yes</v>
          </cell>
          <cell r="AO2086">
            <v>0.7</v>
          </cell>
          <cell r="AP2086">
            <v>4970000</v>
          </cell>
          <cell r="AQ2086">
            <v>45146</v>
          </cell>
          <cell r="AR2086">
            <v>45146</v>
          </cell>
          <cell r="AS2086">
            <v>0</v>
          </cell>
          <cell r="AT2086">
            <v>0</v>
          </cell>
          <cell r="AX2086" t="str">
            <v>Yes</v>
          </cell>
          <cell r="AZ2086" t="str">
            <v>Y</v>
          </cell>
          <cell r="BA2086" t="str">
            <v>Yes</v>
          </cell>
        </row>
        <row r="2087">
          <cell r="B2087">
            <v>1937</v>
          </cell>
          <cell r="C2087" t="str">
            <v>C49SZX20230090SS</v>
          </cell>
          <cell r="D2087" t="str">
            <v>世启纳</v>
          </cell>
          <cell r="E2087" t="str">
            <v>YSM10</v>
          </cell>
          <cell r="F2087"/>
          <cell r="H2087"/>
          <cell r="I2087" t="str">
            <v>L-&gt;R</v>
          </cell>
          <cell r="J2087" t="str">
            <v>MVC</v>
          </cell>
          <cell r="K2087">
            <v>1</v>
          </cell>
          <cell r="L2087"/>
          <cell r="N2087"/>
          <cell r="O2087"/>
          <cell r="P2087"/>
          <cell r="Q2087"/>
          <cell r="R2087" t="str">
            <v>No</v>
          </cell>
          <cell r="S2087" t="str">
            <v>C49</v>
          </cell>
          <cell r="T2087" t="str">
            <v>SOUTH</v>
          </cell>
          <cell r="U2087" t="str">
            <v>深圳</v>
          </cell>
          <cell r="V2087" t="str">
            <v>SZ 深圳</v>
          </cell>
          <cell r="W2087" t="str">
            <v>SS</v>
          </cell>
          <cell r="X2087" t="str">
            <v>RMB</v>
          </cell>
          <cell r="Y2087">
            <v>410000</v>
          </cell>
          <cell r="Z2087">
            <v>1.1299999999999999</v>
          </cell>
          <cell r="AA2087">
            <v>410000</v>
          </cell>
          <cell r="AB2087">
            <v>1.081</v>
          </cell>
          <cell r="AC2087">
            <v>392221.23893805314</v>
          </cell>
          <cell r="AD2087">
            <v>47066.548672566372</v>
          </cell>
          <cell r="AE2087">
            <v>0.12</v>
          </cell>
          <cell r="AF2087">
            <v>45125</v>
          </cell>
          <cell r="AG2087" t="str">
            <v>DDP SZ</v>
          </cell>
          <cell r="AI2087"/>
          <cell r="AJ2087"/>
          <cell r="AK2087">
            <v>0.1</v>
          </cell>
          <cell r="AL2087">
            <v>41000</v>
          </cell>
          <cell r="AM2087"/>
          <cell r="AN2087" t="str">
            <v>No</v>
          </cell>
          <cell r="AO2087">
            <v>0.9</v>
          </cell>
          <cell r="AP2087">
            <v>369000</v>
          </cell>
          <cell r="AQ2087"/>
          <cell r="AR2087"/>
          <cell r="AS2087">
            <v>0</v>
          </cell>
          <cell r="AT2087">
            <v>0</v>
          </cell>
          <cell r="AV2087"/>
          <cell r="AX2087" t="str">
            <v>Cancel</v>
          </cell>
          <cell r="AY2087"/>
          <cell r="AZ2087"/>
          <cell r="BA2087" t="str">
            <v>Cancel</v>
          </cell>
          <cell r="BB2087" t="str">
            <v>2023-12-13 Ken邮件通知Fay</v>
          </cell>
        </row>
        <row r="2088">
          <cell r="B2088">
            <v>1938</v>
          </cell>
          <cell r="C2088" t="str">
            <v>C49SZX20230091SX</v>
          </cell>
          <cell r="D2088" t="str">
            <v>万赢丰</v>
          </cell>
          <cell r="E2088" t="str">
            <v>YSM20R-2</v>
          </cell>
          <cell r="I2088" t="str">
            <v>R-&gt;L</v>
          </cell>
          <cell r="J2088" t="str">
            <v>No</v>
          </cell>
          <cell r="K2088">
            <v>1</v>
          </cell>
          <cell r="N2088">
            <v>45250</v>
          </cell>
          <cell r="O2088">
            <v>11100662</v>
          </cell>
          <cell r="P2088">
            <v>800000</v>
          </cell>
          <cell r="Q2088">
            <v>45254</v>
          </cell>
          <cell r="R2088" t="str">
            <v>Yes</v>
          </cell>
          <cell r="S2088" t="str">
            <v>C49</v>
          </cell>
          <cell r="T2088" t="str">
            <v>SOUTH</v>
          </cell>
          <cell r="U2088" t="str">
            <v>深圳</v>
          </cell>
          <cell r="V2088" t="str">
            <v>SZ 深圳</v>
          </cell>
          <cell r="W2088" t="str">
            <v>SX</v>
          </cell>
          <cell r="X2088" t="str">
            <v>RMB</v>
          </cell>
          <cell r="Y2088">
            <v>800000</v>
          </cell>
          <cell r="Z2088">
            <v>1.1299999999999999</v>
          </cell>
          <cell r="AA2088">
            <v>800000</v>
          </cell>
          <cell r="AB2088">
            <v>1.081</v>
          </cell>
          <cell r="AC2088">
            <v>765309.73451327439</v>
          </cell>
          <cell r="AD2088">
            <v>91837.16814159292</v>
          </cell>
          <cell r="AE2088">
            <v>0.12</v>
          </cell>
          <cell r="AF2088">
            <v>45125</v>
          </cell>
          <cell r="AG2088" t="str">
            <v>DDP SZ</v>
          </cell>
          <cell r="AK2088">
            <v>0.1</v>
          </cell>
          <cell r="AL2088">
            <v>80000</v>
          </cell>
          <cell r="AM2088">
            <v>45132</v>
          </cell>
          <cell r="AN2088" t="str">
            <v>Yes</v>
          </cell>
          <cell r="AO2088">
            <v>0.9</v>
          </cell>
          <cell r="AP2088">
            <v>720000</v>
          </cell>
          <cell r="AS2088">
            <v>0</v>
          </cell>
          <cell r="AT2088">
            <v>0</v>
          </cell>
        </row>
        <row r="2089">
          <cell r="B2089">
            <v>1939</v>
          </cell>
          <cell r="C2089" t="str">
            <v>C49SZX20230091SX</v>
          </cell>
          <cell r="D2089" t="str">
            <v>万赢丰</v>
          </cell>
          <cell r="E2089" t="str">
            <v>YSM10</v>
          </cell>
          <cell r="I2089" t="str">
            <v>R-&gt;L</v>
          </cell>
          <cell r="J2089" t="str">
            <v>MVC</v>
          </cell>
          <cell r="K2089">
            <v>1</v>
          </cell>
          <cell r="N2089">
            <v>45250</v>
          </cell>
          <cell r="O2089">
            <v>11100662</v>
          </cell>
          <cell r="P2089">
            <v>480000</v>
          </cell>
          <cell r="Q2089">
            <v>45254</v>
          </cell>
          <cell r="R2089" t="str">
            <v>Yes</v>
          </cell>
          <cell r="S2089" t="str">
            <v>C49</v>
          </cell>
          <cell r="T2089" t="str">
            <v>SOUTH</v>
          </cell>
          <cell r="U2089" t="str">
            <v>深圳</v>
          </cell>
          <cell r="V2089" t="str">
            <v>SZ 深圳</v>
          </cell>
          <cell r="W2089" t="str">
            <v>SX</v>
          </cell>
          <cell r="X2089" t="str">
            <v>RMB</v>
          </cell>
          <cell r="Y2089">
            <v>480000</v>
          </cell>
          <cell r="Z2089">
            <v>1.1299999999999999</v>
          </cell>
          <cell r="AA2089">
            <v>480000</v>
          </cell>
          <cell r="AB2089">
            <v>1.081</v>
          </cell>
          <cell r="AC2089">
            <v>459185.84070796461</v>
          </cell>
          <cell r="AD2089">
            <v>55102.300884955752</v>
          </cell>
          <cell r="AE2089">
            <v>0.12</v>
          </cell>
          <cell r="AF2089">
            <v>45125</v>
          </cell>
          <cell r="AG2089" t="str">
            <v>DDP SZ</v>
          </cell>
          <cell r="AK2089">
            <v>0.1</v>
          </cell>
          <cell r="AL2089">
            <v>48000</v>
          </cell>
          <cell r="AM2089">
            <v>45132</v>
          </cell>
          <cell r="AN2089" t="str">
            <v>Yes</v>
          </cell>
          <cell r="AO2089">
            <v>0.9</v>
          </cell>
          <cell r="AP2089">
            <v>432000</v>
          </cell>
          <cell r="AS2089">
            <v>0</v>
          </cell>
          <cell r="AT2089">
            <v>0</v>
          </cell>
        </row>
        <row r="2090">
          <cell r="B2090">
            <v>1940</v>
          </cell>
          <cell r="C2090" t="str">
            <v>C49SZX20230089EC</v>
          </cell>
          <cell r="D2090" t="str">
            <v>领德创</v>
          </cell>
          <cell r="E2090" t="str">
            <v>YSM20R-2</v>
          </cell>
          <cell r="I2090" t="str">
            <v>L-&gt;R</v>
          </cell>
          <cell r="J2090" t="str">
            <v>No</v>
          </cell>
          <cell r="K2090">
            <v>1</v>
          </cell>
          <cell r="N2090">
            <v>45247</v>
          </cell>
          <cell r="O2090">
            <v>1116855</v>
          </cell>
          <cell r="P2090">
            <v>15000000</v>
          </cell>
          <cell r="Q2090">
            <v>45246</v>
          </cell>
          <cell r="R2090" t="str">
            <v>No</v>
          </cell>
          <cell r="S2090" t="str">
            <v>C49</v>
          </cell>
          <cell r="T2090" t="str">
            <v>SOUTH</v>
          </cell>
          <cell r="U2090" t="str">
            <v>深圳</v>
          </cell>
          <cell r="V2090" t="str">
            <v>SZ 深圳</v>
          </cell>
          <cell r="W2090" t="str">
            <v>EC</v>
          </cell>
          <cell r="X2090" t="str">
            <v>JPY</v>
          </cell>
          <cell r="Y2090">
            <v>15000000</v>
          </cell>
          <cell r="Z2090">
            <v>1</v>
          </cell>
          <cell r="AA2090">
            <v>15000000</v>
          </cell>
          <cell r="AB2090">
            <v>5.5199999999999999E-2</v>
          </cell>
          <cell r="AC2090">
            <v>828000</v>
          </cell>
          <cell r="AD2090">
            <v>99360</v>
          </cell>
          <cell r="AE2090">
            <v>0.12</v>
          </cell>
          <cell r="AF2090">
            <v>45126</v>
          </cell>
          <cell r="AG2090" t="str">
            <v>DAP SZ</v>
          </cell>
          <cell r="AK2090">
            <v>0.2</v>
          </cell>
          <cell r="AL2090">
            <v>3000000</v>
          </cell>
          <cell r="AM2090">
            <v>45132</v>
          </cell>
          <cell r="AN2090" t="str">
            <v>Yes</v>
          </cell>
          <cell r="AO2090">
            <v>0.8</v>
          </cell>
          <cell r="AP2090">
            <v>12000000</v>
          </cell>
          <cell r="AQ2090">
            <v>45240</v>
          </cell>
          <cell r="AR2090">
            <v>45240</v>
          </cell>
          <cell r="AS2090">
            <v>0</v>
          </cell>
          <cell r="AT2090">
            <v>0</v>
          </cell>
          <cell r="AX2090" t="str">
            <v>Yes</v>
          </cell>
          <cell r="AZ2090" t="str">
            <v>Y</v>
          </cell>
          <cell r="BA2090" t="str">
            <v>Yes</v>
          </cell>
        </row>
        <row r="2091">
          <cell r="B2091">
            <v>1941</v>
          </cell>
          <cell r="C2091" t="str">
            <v>C49SZX20230089EC</v>
          </cell>
          <cell r="D2091" t="str">
            <v>领德创</v>
          </cell>
          <cell r="E2091" t="str">
            <v>YSM20R-2</v>
          </cell>
          <cell r="I2091" t="str">
            <v>L-&gt;R</v>
          </cell>
          <cell r="J2091" t="str">
            <v>No</v>
          </cell>
          <cell r="K2091">
            <v>1</v>
          </cell>
          <cell r="N2091">
            <v>45247</v>
          </cell>
          <cell r="O2091">
            <v>1116855</v>
          </cell>
          <cell r="P2091">
            <v>15000000</v>
          </cell>
          <cell r="Q2091">
            <v>45246</v>
          </cell>
          <cell r="R2091" t="str">
            <v>No</v>
          </cell>
          <cell r="S2091" t="str">
            <v>C49</v>
          </cell>
          <cell r="T2091" t="str">
            <v>SOUTH</v>
          </cell>
          <cell r="U2091" t="str">
            <v>深圳</v>
          </cell>
          <cell r="V2091" t="str">
            <v>SZ 深圳</v>
          </cell>
          <cell r="W2091" t="str">
            <v>EC</v>
          </cell>
          <cell r="X2091" t="str">
            <v>JPY</v>
          </cell>
          <cell r="Y2091">
            <v>15000000</v>
          </cell>
          <cell r="Z2091">
            <v>1</v>
          </cell>
          <cell r="AA2091">
            <v>15000000</v>
          </cell>
          <cell r="AB2091">
            <v>5.5199999999999999E-2</v>
          </cell>
          <cell r="AC2091">
            <v>828000</v>
          </cell>
          <cell r="AD2091">
            <v>99360</v>
          </cell>
          <cell r="AE2091">
            <v>0.12</v>
          </cell>
          <cell r="AF2091">
            <v>45126</v>
          </cell>
          <cell r="AG2091" t="str">
            <v>DAP SZ</v>
          </cell>
          <cell r="AK2091">
            <v>0.2</v>
          </cell>
          <cell r="AL2091">
            <v>3000000</v>
          </cell>
          <cell r="AM2091">
            <v>45132</v>
          </cell>
          <cell r="AN2091" t="str">
            <v>Yes</v>
          </cell>
          <cell r="AO2091">
            <v>0.8</v>
          </cell>
          <cell r="AP2091">
            <v>12000000</v>
          </cell>
          <cell r="AQ2091">
            <v>45240</v>
          </cell>
          <cell r="AR2091">
            <v>45240</v>
          </cell>
          <cell r="AS2091">
            <v>0</v>
          </cell>
          <cell r="AT2091">
            <v>0</v>
          </cell>
          <cell r="AX2091" t="str">
            <v>Yes</v>
          </cell>
          <cell r="AZ2091" t="str">
            <v>Y</v>
          </cell>
          <cell r="BA2091" t="str">
            <v>Yes</v>
          </cell>
        </row>
        <row r="2092">
          <cell r="B2092">
            <v>1942</v>
          </cell>
          <cell r="C2092" t="str">
            <v>C49SZX20230092EC</v>
          </cell>
          <cell r="D2092" t="str">
            <v>领德创</v>
          </cell>
          <cell r="E2092" t="str">
            <v>YSM20R-2</v>
          </cell>
          <cell r="F2092"/>
          <cell r="G2092"/>
          <cell r="H2092"/>
          <cell r="I2092" t="str">
            <v>L-&gt;R</v>
          </cell>
          <cell r="J2092" t="str">
            <v>No</v>
          </cell>
          <cell r="K2092">
            <v>1</v>
          </cell>
          <cell r="L2092"/>
          <cell r="M2092"/>
          <cell r="N2092"/>
          <cell r="O2092"/>
          <cell r="P2092"/>
          <cell r="Q2092"/>
          <cell r="R2092" t="str">
            <v>No</v>
          </cell>
          <cell r="S2092" t="str">
            <v>C49</v>
          </cell>
          <cell r="T2092" t="str">
            <v>SOUTH</v>
          </cell>
          <cell r="U2092" t="str">
            <v>深圳</v>
          </cell>
          <cell r="V2092" t="str">
            <v>SZ 深圳</v>
          </cell>
          <cell r="W2092" t="str">
            <v>EC</v>
          </cell>
          <cell r="X2092" t="str">
            <v>JPY</v>
          </cell>
          <cell r="Y2092">
            <v>15000000</v>
          </cell>
          <cell r="Z2092">
            <v>1</v>
          </cell>
          <cell r="AA2092">
            <v>15000000</v>
          </cell>
          <cell r="AB2092">
            <v>5.5199999999999999E-2</v>
          </cell>
          <cell r="AC2092">
            <v>828000</v>
          </cell>
          <cell r="AD2092">
            <v>99360</v>
          </cell>
          <cell r="AE2092">
            <v>0.12</v>
          </cell>
          <cell r="AF2092">
            <v>45126</v>
          </cell>
          <cell r="AG2092" t="str">
            <v>DAP SZ</v>
          </cell>
          <cell r="AH2092"/>
          <cell r="AI2092"/>
          <cell r="AJ2092"/>
          <cell r="AK2092">
            <v>0.2</v>
          </cell>
          <cell r="AL2092">
            <v>3000000</v>
          </cell>
          <cell r="AM2092"/>
          <cell r="AN2092" t="str">
            <v>No</v>
          </cell>
          <cell r="AO2092">
            <v>0.8</v>
          </cell>
          <cell r="AP2092">
            <v>12000000</v>
          </cell>
          <cell r="AQ2092"/>
          <cell r="AR2092"/>
          <cell r="AS2092">
            <v>0</v>
          </cell>
          <cell r="AT2092">
            <v>0</v>
          </cell>
          <cell r="AU2092"/>
          <cell r="AV2092"/>
          <cell r="AW2092"/>
          <cell r="AX2092" t="str">
            <v>Cancel</v>
          </cell>
          <cell r="AY2092"/>
          <cell r="AZ2092"/>
          <cell r="BA2092" t="str">
            <v>Cancel</v>
          </cell>
          <cell r="BB2092" t="str">
            <v>2023-11-29 Ken邮件通知</v>
          </cell>
        </row>
        <row r="2093">
          <cell r="B2093">
            <v>1943</v>
          </cell>
          <cell r="C2093" t="str">
            <v>C49SZX20230092EC</v>
          </cell>
          <cell r="D2093" t="str">
            <v>领德创</v>
          </cell>
          <cell r="E2093" t="str">
            <v>YSM20R-2</v>
          </cell>
          <cell r="F2093"/>
          <cell r="G2093"/>
          <cell r="H2093"/>
          <cell r="I2093" t="str">
            <v>L-&gt;R</v>
          </cell>
          <cell r="J2093" t="str">
            <v>No</v>
          </cell>
          <cell r="K2093">
            <v>1</v>
          </cell>
          <cell r="L2093"/>
          <cell r="M2093"/>
          <cell r="N2093"/>
          <cell r="O2093"/>
          <cell r="P2093"/>
          <cell r="Q2093"/>
          <cell r="R2093" t="str">
            <v>No</v>
          </cell>
          <cell r="S2093" t="str">
            <v>C49</v>
          </cell>
          <cell r="T2093" t="str">
            <v>SOUTH</v>
          </cell>
          <cell r="U2093" t="str">
            <v>深圳</v>
          </cell>
          <cell r="V2093" t="str">
            <v>SZ 深圳</v>
          </cell>
          <cell r="W2093" t="str">
            <v>EC</v>
          </cell>
          <cell r="X2093" t="str">
            <v>JPY</v>
          </cell>
          <cell r="Y2093">
            <v>15000000</v>
          </cell>
          <cell r="Z2093">
            <v>1</v>
          </cell>
          <cell r="AA2093">
            <v>15000000</v>
          </cell>
          <cell r="AB2093">
            <v>5.5199999999999999E-2</v>
          </cell>
          <cell r="AC2093">
            <v>828000</v>
          </cell>
          <cell r="AD2093">
            <v>99360</v>
          </cell>
          <cell r="AE2093">
            <v>0.12</v>
          </cell>
          <cell r="AF2093">
            <v>45126</v>
          </cell>
          <cell r="AG2093" t="str">
            <v>DAP SZ</v>
          </cell>
          <cell r="AH2093"/>
          <cell r="AI2093"/>
          <cell r="AJ2093"/>
          <cell r="AK2093">
            <v>0.2</v>
          </cell>
          <cell r="AL2093">
            <v>3000000</v>
          </cell>
          <cell r="AM2093"/>
          <cell r="AN2093" t="str">
            <v>No</v>
          </cell>
          <cell r="AO2093">
            <v>0.8</v>
          </cell>
          <cell r="AP2093">
            <v>12000000</v>
          </cell>
          <cell r="AQ2093"/>
          <cell r="AR2093"/>
          <cell r="AS2093">
            <v>0</v>
          </cell>
          <cell r="AT2093">
            <v>0</v>
          </cell>
          <cell r="AU2093"/>
          <cell r="AV2093"/>
          <cell r="AW2093"/>
          <cell r="AX2093" t="str">
            <v>Cancel</v>
          </cell>
          <cell r="AY2093"/>
          <cell r="AZ2093"/>
          <cell r="BA2093" t="str">
            <v>Cancel</v>
          </cell>
          <cell r="BB2093" t="str">
            <v>2023-11-29 Ken邮件通知</v>
          </cell>
        </row>
        <row r="2094">
          <cell r="B2094">
            <v>1944</v>
          </cell>
          <cell r="C2094" t="str">
            <v>C49SZX20230092EC</v>
          </cell>
          <cell r="D2094" t="str">
            <v>领德创</v>
          </cell>
          <cell r="E2094" t="str">
            <v>YSM20R-2</v>
          </cell>
          <cell r="F2094"/>
          <cell r="G2094"/>
          <cell r="H2094"/>
          <cell r="I2094" t="str">
            <v>L-&gt;R</v>
          </cell>
          <cell r="J2094" t="str">
            <v>No</v>
          </cell>
          <cell r="K2094">
            <v>1</v>
          </cell>
          <cell r="L2094"/>
          <cell r="M2094"/>
          <cell r="N2094"/>
          <cell r="O2094"/>
          <cell r="P2094"/>
          <cell r="Q2094"/>
          <cell r="R2094" t="str">
            <v>No</v>
          </cell>
          <cell r="S2094" t="str">
            <v>C49</v>
          </cell>
          <cell r="T2094" t="str">
            <v>SOUTH</v>
          </cell>
          <cell r="U2094" t="str">
            <v>深圳</v>
          </cell>
          <cell r="V2094" t="str">
            <v>SZ 深圳</v>
          </cell>
          <cell r="W2094" t="str">
            <v>EC</v>
          </cell>
          <cell r="X2094" t="str">
            <v>JPY</v>
          </cell>
          <cell r="Y2094">
            <v>15000000</v>
          </cell>
          <cell r="Z2094">
            <v>1</v>
          </cell>
          <cell r="AA2094">
            <v>15000000</v>
          </cell>
          <cell r="AB2094">
            <v>5.5199999999999999E-2</v>
          </cell>
          <cell r="AC2094">
            <v>828000</v>
          </cell>
          <cell r="AD2094">
            <v>99360</v>
          </cell>
          <cell r="AE2094">
            <v>0.12</v>
          </cell>
          <cell r="AF2094">
            <v>45126</v>
          </cell>
          <cell r="AG2094" t="str">
            <v>DAP SZ</v>
          </cell>
          <cell r="AH2094"/>
          <cell r="AI2094"/>
          <cell r="AJ2094"/>
          <cell r="AK2094">
            <v>0.2</v>
          </cell>
          <cell r="AL2094">
            <v>3000000</v>
          </cell>
          <cell r="AM2094"/>
          <cell r="AN2094" t="str">
            <v>No</v>
          </cell>
          <cell r="AO2094">
            <v>0.8</v>
          </cell>
          <cell r="AP2094">
            <v>12000000</v>
          </cell>
          <cell r="AQ2094"/>
          <cell r="AR2094"/>
          <cell r="AS2094">
            <v>0</v>
          </cell>
          <cell r="AT2094">
            <v>0</v>
          </cell>
          <cell r="AU2094"/>
          <cell r="AV2094"/>
          <cell r="AW2094"/>
          <cell r="AX2094" t="str">
            <v>Cancel</v>
          </cell>
          <cell r="AY2094"/>
          <cell r="AZ2094"/>
          <cell r="BA2094" t="str">
            <v>Cancel</v>
          </cell>
          <cell r="BB2094" t="str">
            <v>2023-11-29 Ken邮件通知</v>
          </cell>
        </row>
        <row r="2095">
          <cell r="B2095">
            <v>1945</v>
          </cell>
          <cell r="C2095" t="str">
            <v>C49SZX20230092EC</v>
          </cell>
          <cell r="D2095" t="str">
            <v>领德创</v>
          </cell>
          <cell r="E2095" t="str">
            <v>YSM20R-2</v>
          </cell>
          <cell r="F2095"/>
          <cell r="G2095"/>
          <cell r="H2095"/>
          <cell r="I2095" t="str">
            <v>L-&gt;R</v>
          </cell>
          <cell r="J2095" t="str">
            <v>No</v>
          </cell>
          <cell r="K2095">
            <v>1</v>
          </cell>
          <cell r="L2095"/>
          <cell r="M2095"/>
          <cell r="N2095"/>
          <cell r="O2095"/>
          <cell r="P2095"/>
          <cell r="Q2095"/>
          <cell r="R2095" t="str">
            <v>No</v>
          </cell>
          <cell r="S2095" t="str">
            <v>C49</v>
          </cell>
          <cell r="T2095" t="str">
            <v>SOUTH</v>
          </cell>
          <cell r="U2095" t="str">
            <v>深圳</v>
          </cell>
          <cell r="V2095" t="str">
            <v>SZ 深圳</v>
          </cell>
          <cell r="W2095" t="str">
            <v>EC</v>
          </cell>
          <cell r="X2095" t="str">
            <v>JPY</v>
          </cell>
          <cell r="Y2095">
            <v>15000000</v>
          </cell>
          <cell r="Z2095">
            <v>1</v>
          </cell>
          <cell r="AA2095">
            <v>15000000</v>
          </cell>
          <cell r="AB2095">
            <v>5.5199999999999999E-2</v>
          </cell>
          <cell r="AC2095">
            <v>828000</v>
          </cell>
          <cell r="AD2095">
            <v>99360</v>
          </cell>
          <cell r="AE2095">
            <v>0.12</v>
          </cell>
          <cell r="AF2095">
            <v>45126</v>
          </cell>
          <cell r="AG2095" t="str">
            <v>DAP SZ</v>
          </cell>
          <cell r="AH2095"/>
          <cell r="AI2095"/>
          <cell r="AJ2095"/>
          <cell r="AK2095">
            <v>0.2</v>
          </cell>
          <cell r="AL2095">
            <v>3000000</v>
          </cell>
          <cell r="AM2095"/>
          <cell r="AN2095" t="str">
            <v>No</v>
          </cell>
          <cell r="AO2095">
            <v>0.8</v>
          </cell>
          <cell r="AP2095">
            <v>12000000</v>
          </cell>
          <cell r="AQ2095"/>
          <cell r="AR2095"/>
          <cell r="AS2095">
            <v>0</v>
          </cell>
          <cell r="AT2095">
            <v>0</v>
          </cell>
          <cell r="AU2095"/>
          <cell r="AV2095"/>
          <cell r="AW2095"/>
          <cell r="AX2095" t="str">
            <v>Cancel</v>
          </cell>
          <cell r="AY2095"/>
          <cell r="AZ2095"/>
          <cell r="BA2095" t="str">
            <v>Cancel</v>
          </cell>
          <cell r="BB2095" t="str">
            <v>2023-11-29 Ken邮件通知</v>
          </cell>
        </row>
        <row r="2096">
          <cell r="B2096">
            <v>1946</v>
          </cell>
          <cell r="C2096" t="str">
            <v>C49SZX20230093SX</v>
          </cell>
          <cell r="D2096" t="str">
            <v>益田科技(End uer:泓裕）</v>
          </cell>
          <cell r="E2096" t="str">
            <v>YSM10</v>
          </cell>
          <cell r="I2096" t="str">
            <v>L-&gt;R</v>
          </cell>
          <cell r="J2096" t="str">
            <v>No</v>
          </cell>
          <cell r="K2096">
            <v>1</v>
          </cell>
          <cell r="N2096">
            <v>45191</v>
          </cell>
          <cell r="O2096">
            <v>11100650</v>
          </cell>
          <cell r="P2096">
            <v>460000</v>
          </cell>
          <cell r="Q2096">
            <v>45196</v>
          </cell>
          <cell r="R2096" t="str">
            <v>No</v>
          </cell>
          <cell r="S2096" t="str">
            <v>C49</v>
          </cell>
          <cell r="T2096" t="str">
            <v>SOUTH</v>
          </cell>
          <cell r="U2096" t="str">
            <v>深圳</v>
          </cell>
          <cell r="V2096" t="str">
            <v>SZ 深圳</v>
          </cell>
          <cell r="W2096" t="str">
            <v>SX</v>
          </cell>
          <cell r="X2096" t="str">
            <v>RMB</v>
          </cell>
          <cell r="Y2096">
            <v>460000</v>
          </cell>
          <cell r="Z2096">
            <v>1.1299999999999999</v>
          </cell>
          <cell r="AA2096">
            <v>460000</v>
          </cell>
          <cell r="AB2096">
            <v>1.081</v>
          </cell>
          <cell r="AC2096">
            <v>440053.09734513279</v>
          </cell>
          <cell r="AD2096">
            <v>52806.371681415934</v>
          </cell>
          <cell r="AE2096">
            <v>0.12</v>
          </cell>
          <cell r="AF2096">
            <v>45127</v>
          </cell>
          <cell r="AG2096" t="str">
            <v>DDP SZ</v>
          </cell>
          <cell r="AI2096">
            <v>100000</v>
          </cell>
          <cell r="AJ2096">
            <v>45131</v>
          </cell>
          <cell r="AK2096">
            <v>0.1</v>
          </cell>
          <cell r="AL2096">
            <v>46000</v>
          </cell>
          <cell r="AM2096">
            <v>45131</v>
          </cell>
          <cell r="AN2096" t="str">
            <v>Yes</v>
          </cell>
          <cell r="AO2096">
            <v>0.9</v>
          </cell>
          <cell r="AP2096">
            <v>414000</v>
          </cell>
          <cell r="AQ2096">
            <v>45189</v>
          </cell>
          <cell r="AR2096">
            <v>45189</v>
          </cell>
          <cell r="AS2096">
            <v>0</v>
          </cell>
          <cell r="AT2096">
            <v>0</v>
          </cell>
          <cell r="AX2096" t="str">
            <v>Yes</v>
          </cell>
          <cell r="AZ2096" t="str">
            <v>Y</v>
          </cell>
          <cell r="BA2096" t="str">
            <v>Yes</v>
          </cell>
        </row>
        <row r="2097">
          <cell r="B2097">
            <v>1947</v>
          </cell>
          <cell r="C2097" t="str">
            <v>C49SZX20230093SX</v>
          </cell>
          <cell r="D2097" t="str">
            <v>益田科技(End uer:泓裕）</v>
          </cell>
          <cell r="E2097" t="str">
            <v>YSM10</v>
          </cell>
          <cell r="I2097" t="str">
            <v>R-&gt;L</v>
          </cell>
          <cell r="J2097" t="str">
            <v>No</v>
          </cell>
          <cell r="K2097">
            <v>1</v>
          </cell>
          <cell r="N2097">
            <v>45191</v>
          </cell>
          <cell r="O2097">
            <v>11100650</v>
          </cell>
          <cell r="P2097">
            <v>460000</v>
          </cell>
          <cell r="Q2097">
            <v>45196</v>
          </cell>
          <cell r="R2097" t="str">
            <v>No</v>
          </cell>
          <cell r="S2097" t="str">
            <v>C49</v>
          </cell>
          <cell r="T2097" t="str">
            <v>SOUTH</v>
          </cell>
          <cell r="U2097" t="str">
            <v>深圳</v>
          </cell>
          <cell r="V2097" t="str">
            <v>SZ 深圳</v>
          </cell>
          <cell r="W2097" t="str">
            <v>SX</v>
          </cell>
          <cell r="X2097" t="str">
            <v>RMB</v>
          </cell>
          <cell r="Y2097">
            <v>460000</v>
          </cell>
          <cell r="Z2097">
            <v>1.1299999999999999</v>
          </cell>
          <cell r="AA2097">
            <v>460000</v>
          </cell>
          <cell r="AB2097">
            <v>1.081</v>
          </cell>
          <cell r="AC2097">
            <v>440053.09734513279</v>
          </cell>
          <cell r="AD2097">
            <v>52806.371681415934</v>
          </cell>
          <cell r="AE2097">
            <v>0.12</v>
          </cell>
          <cell r="AF2097">
            <v>45127</v>
          </cell>
          <cell r="AG2097" t="str">
            <v>DDP SZ</v>
          </cell>
          <cell r="AI2097"/>
          <cell r="AJ2097"/>
          <cell r="AK2097">
            <v>0.1</v>
          </cell>
          <cell r="AL2097">
            <v>46000</v>
          </cell>
          <cell r="AM2097">
            <v>45131</v>
          </cell>
          <cell r="AN2097" t="str">
            <v>Yes</v>
          </cell>
          <cell r="AO2097">
            <v>0.9</v>
          </cell>
          <cell r="AP2097">
            <v>414000</v>
          </cell>
          <cell r="AQ2097">
            <v>45189</v>
          </cell>
          <cell r="AR2097">
            <v>45189</v>
          </cell>
          <cell r="AS2097">
            <v>0</v>
          </cell>
          <cell r="AT2097">
            <v>0</v>
          </cell>
          <cell r="AX2097" t="str">
            <v>Yes</v>
          </cell>
          <cell r="AZ2097" t="str">
            <v>Y</v>
          </cell>
          <cell r="BA2097" t="str">
            <v>Yes</v>
          </cell>
        </row>
        <row r="2098">
          <cell r="B2098">
            <v>1948</v>
          </cell>
          <cell r="C2098" t="str">
            <v>C49SZX20230093SX</v>
          </cell>
          <cell r="D2098" t="str">
            <v>益田科技(End uer:泓裕）</v>
          </cell>
          <cell r="E2098" t="str">
            <v>YSM20R-2</v>
          </cell>
          <cell r="I2098" t="str">
            <v>L-&gt;R</v>
          </cell>
          <cell r="J2098" t="str">
            <v>No</v>
          </cell>
          <cell r="K2098">
            <v>1</v>
          </cell>
          <cell r="N2098">
            <v>45191</v>
          </cell>
          <cell r="O2098">
            <v>11100650</v>
          </cell>
          <cell r="P2098">
            <v>771800</v>
          </cell>
          <cell r="Q2098">
            <v>45196</v>
          </cell>
          <cell r="R2098" t="str">
            <v>No</v>
          </cell>
          <cell r="S2098" t="str">
            <v>C49</v>
          </cell>
          <cell r="T2098" t="str">
            <v>SOUTH</v>
          </cell>
          <cell r="U2098" t="str">
            <v>深圳</v>
          </cell>
          <cell r="V2098" t="str">
            <v>SZ 深圳</v>
          </cell>
          <cell r="W2098" t="str">
            <v>SX</v>
          </cell>
          <cell r="X2098" t="str">
            <v>RMB</v>
          </cell>
          <cell r="Y2098">
            <v>771800</v>
          </cell>
          <cell r="Z2098">
            <v>1.1299999999999999</v>
          </cell>
          <cell r="AA2098">
            <v>771800</v>
          </cell>
          <cell r="AB2098">
            <v>1.081</v>
          </cell>
          <cell r="AC2098">
            <v>738332.56637168152</v>
          </cell>
          <cell r="AD2098">
            <v>88599.907964601778</v>
          </cell>
          <cell r="AE2098">
            <v>0.12</v>
          </cell>
          <cell r="AF2098">
            <v>45127</v>
          </cell>
          <cell r="AG2098" t="str">
            <v>DDP SZ</v>
          </cell>
          <cell r="AI2098"/>
          <cell r="AJ2098"/>
          <cell r="AK2098">
            <v>0.1</v>
          </cell>
          <cell r="AL2098">
            <v>77180</v>
          </cell>
          <cell r="AM2098">
            <v>45131</v>
          </cell>
          <cell r="AN2098" t="str">
            <v>Yes</v>
          </cell>
          <cell r="AO2098">
            <v>0.9</v>
          </cell>
          <cell r="AP2098">
            <v>694620</v>
          </cell>
          <cell r="AQ2098">
            <v>45189</v>
          </cell>
          <cell r="AR2098">
            <v>45189</v>
          </cell>
          <cell r="AS2098">
            <v>0</v>
          </cell>
          <cell r="AT2098">
            <v>0</v>
          </cell>
          <cell r="AX2098" t="str">
            <v>Yes</v>
          </cell>
          <cell r="AZ2098" t="str">
            <v>Y</v>
          </cell>
          <cell r="BA2098" t="str">
            <v>Yes</v>
          </cell>
        </row>
        <row r="2099">
          <cell r="B2099">
            <v>1949</v>
          </cell>
          <cell r="C2099" t="str">
            <v>C49SZX20230093SX</v>
          </cell>
          <cell r="D2099" t="str">
            <v>益田科技(End uer:泓裕）</v>
          </cell>
          <cell r="E2099" t="str">
            <v>YSM20R-2</v>
          </cell>
          <cell r="I2099" t="str">
            <v>L-&gt;R</v>
          </cell>
          <cell r="J2099" t="str">
            <v>No</v>
          </cell>
          <cell r="K2099">
            <v>1</v>
          </cell>
          <cell r="N2099">
            <v>45191</v>
          </cell>
          <cell r="O2099">
            <v>11100650</v>
          </cell>
          <cell r="P2099">
            <v>771800</v>
          </cell>
          <cell r="Q2099">
            <v>45196</v>
          </cell>
          <cell r="R2099" t="str">
            <v>No</v>
          </cell>
          <cell r="S2099" t="str">
            <v>C49</v>
          </cell>
          <cell r="T2099" t="str">
            <v>SOUTH</v>
          </cell>
          <cell r="U2099" t="str">
            <v>深圳</v>
          </cell>
          <cell r="V2099" t="str">
            <v>SZ 深圳</v>
          </cell>
          <cell r="W2099" t="str">
            <v>SX</v>
          </cell>
          <cell r="X2099" t="str">
            <v>RMB</v>
          </cell>
          <cell r="Y2099">
            <v>771800</v>
          </cell>
          <cell r="Z2099">
            <v>1.1299999999999999</v>
          </cell>
          <cell r="AA2099">
            <v>771800</v>
          </cell>
          <cell r="AB2099">
            <v>1.081</v>
          </cell>
          <cell r="AC2099">
            <v>738332.56637168152</v>
          </cell>
          <cell r="AD2099">
            <v>88599.907964601778</v>
          </cell>
          <cell r="AE2099">
            <v>0.12</v>
          </cell>
          <cell r="AF2099">
            <v>45127</v>
          </cell>
          <cell r="AG2099" t="str">
            <v>DDP SZ</v>
          </cell>
          <cell r="AI2099"/>
          <cell r="AJ2099"/>
          <cell r="AK2099">
            <v>0.1</v>
          </cell>
          <cell r="AL2099">
            <v>77180</v>
          </cell>
          <cell r="AM2099">
            <v>45131</v>
          </cell>
          <cell r="AN2099" t="str">
            <v>Yes</v>
          </cell>
          <cell r="AO2099">
            <v>0.9</v>
          </cell>
          <cell r="AP2099">
            <v>694620</v>
          </cell>
          <cell r="AQ2099">
            <v>45189</v>
          </cell>
          <cell r="AR2099">
            <v>45189</v>
          </cell>
          <cell r="AS2099">
            <v>0</v>
          </cell>
          <cell r="AT2099">
            <v>0</v>
          </cell>
          <cell r="AX2099" t="str">
            <v>Yes</v>
          </cell>
          <cell r="AZ2099" t="str">
            <v>Y</v>
          </cell>
          <cell r="BA2099" t="str">
            <v>Yes</v>
          </cell>
        </row>
        <row r="2100">
          <cell r="B2100">
            <v>1950</v>
          </cell>
          <cell r="C2100" t="str">
            <v>C49SZX20230093SX</v>
          </cell>
          <cell r="D2100" t="str">
            <v>益田科技(End uer:泓裕）</v>
          </cell>
          <cell r="E2100" t="str">
            <v>YSM20R-2</v>
          </cell>
          <cell r="I2100" t="str">
            <v>L-&gt;R</v>
          </cell>
          <cell r="J2100" t="str">
            <v>No</v>
          </cell>
          <cell r="K2100">
            <v>1</v>
          </cell>
          <cell r="N2100">
            <v>45191</v>
          </cell>
          <cell r="O2100">
            <v>11100650</v>
          </cell>
          <cell r="P2100">
            <v>771800</v>
          </cell>
          <cell r="Q2100">
            <v>45196</v>
          </cell>
          <cell r="R2100" t="str">
            <v>No</v>
          </cell>
          <cell r="S2100" t="str">
            <v>C49</v>
          </cell>
          <cell r="T2100" t="str">
            <v>SOUTH</v>
          </cell>
          <cell r="U2100" t="str">
            <v>深圳</v>
          </cell>
          <cell r="V2100" t="str">
            <v>SZ 深圳</v>
          </cell>
          <cell r="W2100" t="str">
            <v>SX</v>
          </cell>
          <cell r="X2100" t="str">
            <v>RMB</v>
          </cell>
          <cell r="Y2100">
            <v>771800</v>
          </cell>
          <cell r="Z2100">
            <v>1.1299999999999999</v>
          </cell>
          <cell r="AA2100">
            <v>771800</v>
          </cell>
          <cell r="AB2100">
            <v>1.081</v>
          </cell>
          <cell r="AC2100">
            <v>738332.56637168152</v>
          </cell>
          <cell r="AD2100">
            <v>88599.907964601778</v>
          </cell>
          <cell r="AE2100">
            <v>0.12</v>
          </cell>
          <cell r="AF2100">
            <v>45127</v>
          </cell>
          <cell r="AG2100" t="str">
            <v>DDP SZ</v>
          </cell>
          <cell r="AI2100"/>
          <cell r="AJ2100"/>
          <cell r="AK2100">
            <v>0.1</v>
          </cell>
          <cell r="AL2100">
            <v>77180</v>
          </cell>
          <cell r="AM2100">
            <v>45131</v>
          </cell>
          <cell r="AN2100" t="str">
            <v>Yes</v>
          </cell>
          <cell r="AO2100">
            <v>0.9</v>
          </cell>
          <cell r="AP2100">
            <v>694620</v>
          </cell>
          <cell r="AQ2100">
            <v>45189</v>
          </cell>
          <cell r="AR2100">
            <v>45189</v>
          </cell>
          <cell r="AS2100">
            <v>0</v>
          </cell>
          <cell r="AT2100">
            <v>0</v>
          </cell>
          <cell r="AX2100" t="str">
            <v>Yes</v>
          </cell>
          <cell r="AZ2100" t="str">
            <v>Y</v>
          </cell>
          <cell r="BA2100" t="str">
            <v>Yes</v>
          </cell>
        </row>
        <row r="2101">
          <cell r="B2101">
            <v>1951</v>
          </cell>
          <cell r="C2101" t="str">
            <v>C49SZX20230093SX</v>
          </cell>
          <cell r="D2101" t="str">
            <v>益田科技(End uer:泓裕）</v>
          </cell>
          <cell r="E2101" t="str">
            <v>YSM20R-2</v>
          </cell>
          <cell r="I2101" t="str">
            <v>R-&gt;L</v>
          </cell>
          <cell r="J2101" t="str">
            <v>No</v>
          </cell>
          <cell r="K2101">
            <v>1</v>
          </cell>
          <cell r="N2101">
            <v>45191</v>
          </cell>
          <cell r="O2101">
            <v>11100650</v>
          </cell>
          <cell r="P2101">
            <v>771800</v>
          </cell>
          <cell r="Q2101">
            <v>45196</v>
          </cell>
          <cell r="R2101" t="str">
            <v>No</v>
          </cell>
          <cell r="S2101" t="str">
            <v>C49</v>
          </cell>
          <cell r="T2101" t="str">
            <v>SOUTH</v>
          </cell>
          <cell r="U2101" t="str">
            <v>深圳</v>
          </cell>
          <cell r="V2101" t="str">
            <v>SZ 深圳</v>
          </cell>
          <cell r="W2101" t="str">
            <v>SX</v>
          </cell>
          <cell r="X2101" t="str">
            <v>RMB</v>
          </cell>
          <cell r="Y2101">
            <v>771800</v>
          </cell>
          <cell r="Z2101">
            <v>1.1299999999999999</v>
          </cell>
          <cell r="AA2101">
            <v>771800</v>
          </cell>
          <cell r="AB2101">
            <v>1.081</v>
          </cell>
          <cell r="AC2101">
            <v>738332.56637168152</v>
          </cell>
          <cell r="AD2101">
            <v>88599.907964601778</v>
          </cell>
          <cell r="AE2101">
            <v>0.12</v>
          </cell>
          <cell r="AF2101">
            <v>45127</v>
          </cell>
          <cell r="AG2101" t="str">
            <v>DDP SZ</v>
          </cell>
          <cell r="AI2101"/>
          <cell r="AJ2101"/>
          <cell r="AK2101">
            <v>0.1</v>
          </cell>
          <cell r="AL2101">
            <v>77180</v>
          </cell>
          <cell r="AM2101">
            <v>45131</v>
          </cell>
          <cell r="AN2101" t="str">
            <v>Yes</v>
          </cell>
          <cell r="AO2101">
            <v>0.9</v>
          </cell>
          <cell r="AP2101">
            <v>694620</v>
          </cell>
          <cell r="AQ2101">
            <v>45189</v>
          </cell>
          <cell r="AR2101">
            <v>45189</v>
          </cell>
          <cell r="AS2101">
            <v>0</v>
          </cell>
          <cell r="AT2101">
            <v>0</v>
          </cell>
          <cell r="AX2101" t="str">
            <v>Yes</v>
          </cell>
          <cell r="AZ2101" t="str">
            <v>Y</v>
          </cell>
          <cell r="BA2101" t="str">
            <v>Yes</v>
          </cell>
        </row>
        <row r="2102">
          <cell r="B2102">
            <v>1952</v>
          </cell>
          <cell r="C2102" t="str">
            <v>C49SZX20230093SX</v>
          </cell>
          <cell r="D2102" t="str">
            <v>益田科技(End uer:泓裕）</v>
          </cell>
          <cell r="E2102" t="str">
            <v>YSM20R-2</v>
          </cell>
          <cell r="I2102" t="str">
            <v>R-&gt;L</v>
          </cell>
          <cell r="J2102" t="str">
            <v>No</v>
          </cell>
          <cell r="K2102">
            <v>1</v>
          </cell>
          <cell r="N2102">
            <v>45191</v>
          </cell>
          <cell r="O2102">
            <v>11100650</v>
          </cell>
          <cell r="P2102">
            <v>771800</v>
          </cell>
          <cell r="Q2102">
            <v>45196</v>
          </cell>
          <cell r="R2102" t="str">
            <v>No</v>
          </cell>
          <cell r="S2102" t="str">
            <v>C49</v>
          </cell>
          <cell r="T2102" t="str">
            <v>SOUTH</v>
          </cell>
          <cell r="U2102" t="str">
            <v>深圳</v>
          </cell>
          <cell r="V2102" t="str">
            <v>SZ 深圳</v>
          </cell>
          <cell r="W2102" t="str">
            <v>SX</v>
          </cell>
          <cell r="X2102" t="str">
            <v>RMB</v>
          </cell>
          <cell r="Y2102">
            <v>771800</v>
          </cell>
          <cell r="Z2102">
            <v>1.1299999999999999</v>
          </cell>
          <cell r="AA2102">
            <v>771800</v>
          </cell>
          <cell r="AB2102">
            <v>1.081</v>
          </cell>
          <cell r="AC2102">
            <v>738332.56637168152</v>
          </cell>
          <cell r="AD2102">
            <v>88599.907964601778</v>
          </cell>
          <cell r="AE2102">
            <v>0.12</v>
          </cell>
          <cell r="AF2102">
            <v>45127</v>
          </cell>
          <cell r="AG2102" t="str">
            <v>DDP SZ</v>
          </cell>
          <cell r="AI2102"/>
          <cell r="AJ2102"/>
          <cell r="AK2102">
            <v>0.1</v>
          </cell>
          <cell r="AL2102">
            <v>77180</v>
          </cell>
          <cell r="AM2102">
            <v>45131</v>
          </cell>
          <cell r="AN2102" t="str">
            <v>Yes</v>
          </cell>
          <cell r="AO2102">
            <v>0.9</v>
          </cell>
          <cell r="AP2102">
            <v>694620</v>
          </cell>
          <cell r="AQ2102">
            <v>45189</v>
          </cell>
          <cell r="AR2102">
            <v>45189</v>
          </cell>
          <cell r="AS2102">
            <v>0</v>
          </cell>
          <cell r="AT2102">
            <v>0</v>
          </cell>
          <cell r="AX2102" t="str">
            <v>Yes</v>
          </cell>
          <cell r="AZ2102" t="str">
            <v>Y</v>
          </cell>
          <cell r="BA2102" t="str">
            <v>Yes</v>
          </cell>
        </row>
        <row r="2103">
          <cell r="B2103">
            <v>1953</v>
          </cell>
          <cell r="C2103" t="str">
            <v>C49SZX20230093SX</v>
          </cell>
          <cell r="D2103" t="str">
            <v>益田科技(End uer:泓裕）</v>
          </cell>
          <cell r="E2103" t="str">
            <v>YSM20R-2</v>
          </cell>
          <cell r="I2103" t="str">
            <v>R-&gt;L</v>
          </cell>
          <cell r="J2103" t="str">
            <v>No</v>
          </cell>
          <cell r="K2103">
            <v>1</v>
          </cell>
          <cell r="N2103">
            <v>45191</v>
          </cell>
          <cell r="O2103">
            <v>11100650</v>
          </cell>
          <cell r="P2103">
            <v>771800</v>
          </cell>
          <cell r="Q2103">
            <v>45196</v>
          </cell>
          <cell r="R2103" t="str">
            <v>No</v>
          </cell>
          <cell r="S2103" t="str">
            <v>C49</v>
          </cell>
          <cell r="T2103" t="str">
            <v>SOUTH</v>
          </cell>
          <cell r="U2103" t="str">
            <v>深圳</v>
          </cell>
          <cell r="V2103" t="str">
            <v>SZ 深圳</v>
          </cell>
          <cell r="W2103" t="str">
            <v>SX</v>
          </cell>
          <cell r="X2103" t="str">
            <v>RMB</v>
          </cell>
          <cell r="Y2103">
            <v>771800</v>
          </cell>
          <cell r="Z2103">
            <v>1.1299999999999999</v>
          </cell>
          <cell r="AA2103">
            <v>771800</v>
          </cell>
          <cell r="AB2103">
            <v>1.081</v>
          </cell>
          <cell r="AC2103">
            <v>738332.56637168152</v>
          </cell>
          <cell r="AD2103">
            <v>88599.907964601778</v>
          </cell>
          <cell r="AE2103">
            <v>0.12</v>
          </cell>
          <cell r="AF2103">
            <v>45127</v>
          </cell>
          <cell r="AG2103" t="str">
            <v>DDP SZ</v>
          </cell>
          <cell r="AI2103"/>
          <cell r="AJ2103"/>
          <cell r="AK2103">
            <v>0.1</v>
          </cell>
          <cell r="AL2103">
            <v>77180</v>
          </cell>
          <cell r="AM2103">
            <v>45131</v>
          </cell>
          <cell r="AN2103" t="str">
            <v>Yes</v>
          </cell>
          <cell r="AO2103">
            <v>0.9</v>
          </cell>
          <cell r="AP2103">
            <v>694620</v>
          </cell>
          <cell r="AQ2103">
            <v>45189</v>
          </cell>
          <cell r="AR2103">
            <v>45189</v>
          </cell>
          <cell r="AS2103">
            <v>0</v>
          </cell>
          <cell r="AT2103">
            <v>0</v>
          </cell>
          <cell r="AX2103" t="str">
            <v>Yes</v>
          </cell>
          <cell r="AZ2103" t="str">
            <v>Y</v>
          </cell>
          <cell r="BA2103" t="str">
            <v>Yes</v>
          </cell>
        </row>
        <row r="2104">
          <cell r="B2104">
            <v>1954</v>
          </cell>
          <cell r="C2104" t="str">
            <v>LDY-2023071801</v>
          </cell>
          <cell r="D2104" t="str">
            <v>莱帝亚</v>
          </cell>
          <cell r="E2104" t="str">
            <v>YSM20R-2</v>
          </cell>
          <cell r="I2104" t="str">
            <v>L-&gt;R</v>
          </cell>
          <cell r="J2104" t="str">
            <v>MVC</v>
          </cell>
          <cell r="K2104">
            <v>1</v>
          </cell>
          <cell r="N2104">
            <v>45168</v>
          </cell>
          <cell r="O2104">
            <v>11100644</v>
          </cell>
          <cell r="P2104">
            <v>860000</v>
          </cell>
          <cell r="Q2104">
            <v>45168</v>
          </cell>
          <cell r="R2104" t="str">
            <v>Yes</v>
          </cell>
          <cell r="S2104" t="str">
            <v>C49</v>
          </cell>
          <cell r="T2104" t="str">
            <v>SOUTH</v>
          </cell>
          <cell r="U2104" t="str">
            <v>深圳</v>
          </cell>
          <cell r="V2104" t="str">
            <v>SZ 深圳</v>
          </cell>
          <cell r="W2104" t="str">
            <v>SQ</v>
          </cell>
          <cell r="X2104" t="str">
            <v>RMB</v>
          </cell>
          <cell r="Y2104">
            <v>860000</v>
          </cell>
          <cell r="Z2104">
            <v>1.1299999999999999</v>
          </cell>
          <cell r="AA2104">
            <v>860000</v>
          </cell>
          <cell r="AB2104">
            <v>1.081</v>
          </cell>
          <cell r="AC2104">
            <v>822707.96460176993</v>
          </cell>
          <cell r="AD2104">
            <v>98724.955752212394</v>
          </cell>
          <cell r="AE2104">
            <v>0.12</v>
          </cell>
          <cell r="AF2104">
            <v>45131</v>
          </cell>
          <cell r="AG2104" t="str">
            <v>DDP GZ</v>
          </cell>
          <cell r="AK2104">
            <v>0.3</v>
          </cell>
          <cell r="AL2104">
            <v>258000</v>
          </cell>
          <cell r="AM2104">
            <v>45138</v>
          </cell>
          <cell r="AN2104" t="str">
            <v>Yes</v>
          </cell>
          <cell r="AO2104">
            <v>0.7</v>
          </cell>
          <cell r="AP2104">
            <v>602000</v>
          </cell>
          <cell r="AQ2104">
            <v>45163</v>
          </cell>
          <cell r="AR2104">
            <v>45163</v>
          </cell>
          <cell r="AS2104">
            <v>0</v>
          </cell>
          <cell r="AT2104">
            <v>0</v>
          </cell>
          <cell r="AX2104" t="str">
            <v>Yes</v>
          </cell>
          <cell r="AZ2104" t="str">
            <v>Y</v>
          </cell>
          <cell r="BA2104" t="str">
            <v>Yes</v>
          </cell>
        </row>
        <row r="2105">
          <cell r="B2105">
            <v>1955</v>
          </cell>
          <cell r="C2105" t="str">
            <v>GD-20230250</v>
          </cell>
          <cell r="D2105" t="str">
            <v>泰永</v>
          </cell>
          <cell r="E2105" t="str">
            <v>YSM10</v>
          </cell>
          <cell r="I2105" t="str">
            <v>R-&gt;L</v>
          </cell>
          <cell r="J2105" t="str">
            <v>MVC</v>
          </cell>
          <cell r="K2105">
            <v>1</v>
          </cell>
          <cell r="N2105">
            <v>45182</v>
          </cell>
          <cell r="O2105">
            <v>11100647</v>
          </cell>
          <cell r="P2105">
            <v>523000</v>
          </cell>
          <cell r="Q2105">
            <v>45187</v>
          </cell>
          <cell r="R2105" t="str">
            <v>Yes</v>
          </cell>
          <cell r="S2105" t="str">
            <v>C49</v>
          </cell>
          <cell r="T2105" t="str">
            <v>SOUTH</v>
          </cell>
          <cell r="U2105" t="str">
            <v>深圳</v>
          </cell>
          <cell r="V2105" t="str">
            <v>SZ 深圳</v>
          </cell>
          <cell r="W2105" t="str">
            <v>JL</v>
          </cell>
          <cell r="X2105" t="str">
            <v>RMB</v>
          </cell>
          <cell r="Y2105">
            <v>523000</v>
          </cell>
          <cell r="Z2105">
            <v>1.1299999999999999</v>
          </cell>
          <cell r="AA2105">
            <v>523000</v>
          </cell>
          <cell r="AB2105">
            <v>1.081</v>
          </cell>
          <cell r="AC2105">
            <v>500321.23893805314</v>
          </cell>
          <cell r="AD2105">
            <v>60038.548672566372</v>
          </cell>
          <cell r="AE2105">
            <v>0.12</v>
          </cell>
          <cell r="AF2105">
            <v>45128</v>
          </cell>
          <cell r="AG2105" t="str">
            <v>DDP ZH</v>
          </cell>
          <cell r="AK2105">
            <v>0.3</v>
          </cell>
          <cell r="AL2105">
            <v>156900</v>
          </cell>
          <cell r="AM2105">
            <v>45141</v>
          </cell>
          <cell r="AN2105" t="str">
            <v>Yes</v>
          </cell>
          <cell r="AO2105">
            <v>0.6</v>
          </cell>
          <cell r="AP2105">
            <v>313800</v>
          </cell>
          <cell r="AQ2105">
            <v>45177</v>
          </cell>
          <cell r="AR2105">
            <v>45177</v>
          </cell>
          <cell r="AS2105">
            <v>0.1</v>
          </cell>
          <cell r="AT2105">
            <v>52300</v>
          </cell>
          <cell r="AU2105">
            <v>45237</v>
          </cell>
          <cell r="AV2105">
            <v>45237</v>
          </cell>
          <cell r="AX2105" t="str">
            <v>Yes</v>
          </cell>
          <cell r="AZ2105" t="str">
            <v>Y</v>
          </cell>
        </row>
        <row r="2106">
          <cell r="B2106">
            <v>1956</v>
          </cell>
          <cell r="C2106" t="str">
            <v>GD-20230250</v>
          </cell>
          <cell r="D2106" t="str">
            <v>泰永</v>
          </cell>
          <cell r="E2106" t="str">
            <v>YSM10</v>
          </cell>
          <cell r="I2106" t="str">
            <v>R-&gt;L</v>
          </cell>
          <cell r="J2106" t="str">
            <v>No</v>
          </cell>
          <cell r="K2106">
            <v>1</v>
          </cell>
          <cell r="N2106">
            <v>45182</v>
          </cell>
          <cell r="O2106">
            <v>11100647</v>
          </cell>
          <cell r="P2106">
            <v>523000</v>
          </cell>
          <cell r="Q2106">
            <v>45187</v>
          </cell>
          <cell r="R2106" t="str">
            <v>Yes</v>
          </cell>
          <cell r="S2106" t="str">
            <v>C49</v>
          </cell>
          <cell r="T2106" t="str">
            <v>SOUTH</v>
          </cell>
          <cell r="U2106" t="str">
            <v>深圳</v>
          </cell>
          <cell r="V2106" t="str">
            <v>SZ 深圳</v>
          </cell>
          <cell r="W2106" t="str">
            <v>JL</v>
          </cell>
          <cell r="X2106" t="str">
            <v>RMB</v>
          </cell>
          <cell r="Y2106">
            <v>523000</v>
          </cell>
          <cell r="Z2106">
            <v>1.1299999999999999</v>
          </cell>
          <cell r="AA2106">
            <v>523000</v>
          </cell>
          <cell r="AB2106">
            <v>1.081</v>
          </cell>
          <cell r="AC2106">
            <v>500321.23893805314</v>
          </cell>
          <cell r="AD2106">
            <v>60038.548672566372</v>
          </cell>
          <cell r="AE2106">
            <v>0.12</v>
          </cell>
          <cell r="AF2106">
            <v>45128</v>
          </cell>
          <cell r="AG2106" t="str">
            <v>DDP ZH</v>
          </cell>
          <cell r="AK2106">
            <v>0.3</v>
          </cell>
          <cell r="AL2106">
            <v>156900</v>
          </cell>
          <cell r="AM2106">
            <v>45141</v>
          </cell>
          <cell r="AN2106" t="str">
            <v>Yes</v>
          </cell>
          <cell r="AO2106">
            <v>0.6</v>
          </cell>
          <cell r="AP2106">
            <v>313800</v>
          </cell>
          <cell r="AQ2106">
            <v>45177</v>
          </cell>
          <cell r="AR2106">
            <v>45177</v>
          </cell>
          <cell r="AS2106">
            <v>0.1</v>
          </cell>
          <cell r="AT2106">
            <v>52300</v>
          </cell>
          <cell r="AU2106">
            <v>45237</v>
          </cell>
          <cell r="AV2106">
            <v>45237</v>
          </cell>
          <cell r="AX2106" t="str">
            <v>Yes</v>
          </cell>
          <cell r="AZ2106" t="str">
            <v>Y</v>
          </cell>
        </row>
        <row r="2107">
          <cell r="B2107">
            <v>1957</v>
          </cell>
          <cell r="C2107" t="str">
            <v>C49SZX20230072MZ</v>
          </cell>
          <cell r="D2107" t="str">
            <v>河南融创</v>
          </cell>
          <cell r="E2107" t="str">
            <v>YSM20R-2</v>
          </cell>
          <cell r="F2107"/>
          <cell r="H2107"/>
          <cell r="I2107" t="str">
            <v>L-&gt;R</v>
          </cell>
          <cell r="J2107" t="str">
            <v>No</v>
          </cell>
          <cell r="K2107">
            <v>1</v>
          </cell>
          <cell r="L2107"/>
          <cell r="N2107"/>
          <cell r="O2107"/>
          <cell r="P2107"/>
          <cell r="Q2107"/>
          <cell r="R2107" t="str">
            <v>No</v>
          </cell>
          <cell r="S2107" t="str">
            <v>C49</v>
          </cell>
          <cell r="T2107" t="str">
            <v>SOUTH</v>
          </cell>
          <cell r="U2107" t="str">
            <v>河南</v>
          </cell>
          <cell r="V2107" t="str">
            <v>HN 河南</v>
          </cell>
          <cell r="W2107" t="str">
            <v>MZ</v>
          </cell>
          <cell r="X2107" t="str">
            <v>JPY</v>
          </cell>
          <cell r="Y2107">
            <v>15000000</v>
          </cell>
          <cell r="Z2107">
            <v>1</v>
          </cell>
          <cell r="AA2107">
            <v>15000000</v>
          </cell>
          <cell r="AB2107">
            <v>5.6099999999999997E-2</v>
          </cell>
          <cell r="AC2107">
            <v>841500</v>
          </cell>
          <cell r="AD2107">
            <v>100980</v>
          </cell>
          <cell r="AE2107">
            <v>0.12</v>
          </cell>
          <cell r="AF2107">
            <v>45139</v>
          </cell>
          <cell r="AG2107" t="str">
            <v>CIF HK</v>
          </cell>
          <cell r="AI2107"/>
          <cell r="AJ2107"/>
          <cell r="AK2107">
            <v>0.1</v>
          </cell>
          <cell r="AL2107">
            <v>1500000</v>
          </cell>
          <cell r="AM2107"/>
          <cell r="AN2107" t="str">
            <v>No</v>
          </cell>
          <cell r="AO2107">
            <v>0.9</v>
          </cell>
          <cell r="AP2107">
            <v>13500000</v>
          </cell>
          <cell r="AQ2107"/>
          <cell r="AR2107"/>
          <cell r="AS2107">
            <v>0</v>
          </cell>
          <cell r="AT2107">
            <v>0</v>
          </cell>
          <cell r="AV2107"/>
          <cell r="AX2107" t="str">
            <v>Cancel</v>
          </cell>
          <cell r="AY2107"/>
          <cell r="AZ2107"/>
          <cell r="BA2107" t="str">
            <v>Cancel</v>
          </cell>
          <cell r="BB2107" t="str">
            <v>2023-12-13 Ken邮件通知Fay</v>
          </cell>
        </row>
        <row r="2108">
          <cell r="B2108">
            <v>1958</v>
          </cell>
          <cell r="C2108" t="str">
            <v>C49SZX20230072MZ</v>
          </cell>
          <cell r="D2108" t="str">
            <v>河南融创</v>
          </cell>
          <cell r="E2108" t="str">
            <v>YSM20R-2</v>
          </cell>
          <cell r="F2108"/>
          <cell r="H2108"/>
          <cell r="I2108" t="str">
            <v>L-&gt;R</v>
          </cell>
          <cell r="J2108" t="str">
            <v>No</v>
          </cell>
          <cell r="K2108">
            <v>1</v>
          </cell>
          <cell r="L2108"/>
          <cell r="N2108"/>
          <cell r="O2108"/>
          <cell r="P2108"/>
          <cell r="Q2108"/>
          <cell r="R2108" t="str">
            <v>No</v>
          </cell>
          <cell r="S2108" t="str">
            <v>C49</v>
          </cell>
          <cell r="T2108" t="str">
            <v>SOUTH</v>
          </cell>
          <cell r="U2108" t="str">
            <v>河南</v>
          </cell>
          <cell r="V2108" t="str">
            <v>HN 河南</v>
          </cell>
          <cell r="W2108" t="str">
            <v>MZ</v>
          </cell>
          <cell r="X2108" t="str">
            <v>JPY</v>
          </cell>
          <cell r="Y2108">
            <v>15000000</v>
          </cell>
          <cell r="Z2108">
            <v>1</v>
          </cell>
          <cell r="AA2108">
            <v>15000000</v>
          </cell>
          <cell r="AB2108">
            <v>5.6099999999999997E-2</v>
          </cell>
          <cell r="AC2108">
            <v>841500</v>
          </cell>
          <cell r="AD2108">
            <v>100980</v>
          </cell>
          <cell r="AE2108">
            <v>0.12</v>
          </cell>
          <cell r="AF2108">
            <v>45139</v>
          </cell>
          <cell r="AG2108" t="str">
            <v>CIF HK</v>
          </cell>
          <cell r="AI2108"/>
          <cell r="AJ2108"/>
          <cell r="AK2108">
            <v>0.1</v>
          </cell>
          <cell r="AL2108">
            <v>1500000</v>
          </cell>
          <cell r="AM2108"/>
          <cell r="AN2108" t="str">
            <v>No</v>
          </cell>
          <cell r="AO2108">
            <v>0.9</v>
          </cell>
          <cell r="AP2108">
            <v>13500000</v>
          </cell>
          <cell r="AQ2108"/>
          <cell r="AR2108"/>
          <cell r="AS2108">
            <v>0</v>
          </cell>
          <cell r="AT2108">
            <v>0</v>
          </cell>
          <cell r="AV2108"/>
          <cell r="AX2108" t="str">
            <v>Cancel</v>
          </cell>
          <cell r="AY2108"/>
          <cell r="AZ2108"/>
          <cell r="BA2108" t="str">
            <v>Cancel</v>
          </cell>
          <cell r="BB2108" t="str">
            <v>2023-12-13 Ken邮件通知Fay</v>
          </cell>
        </row>
        <row r="2109">
          <cell r="B2109">
            <v>1959</v>
          </cell>
          <cell r="C2109" t="str">
            <v>C49SZX20230072MZ</v>
          </cell>
          <cell r="D2109" t="str">
            <v>河南融创</v>
          </cell>
          <cell r="E2109" t="str">
            <v>YSM20R-2</v>
          </cell>
          <cell r="F2109"/>
          <cell r="H2109"/>
          <cell r="I2109" t="str">
            <v>L-&gt;R</v>
          </cell>
          <cell r="J2109" t="str">
            <v>No</v>
          </cell>
          <cell r="K2109">
            <v>1</v>
          </cell>
          <cell r="L2109"/>
          <cell r="N2109"/>
          <cell r="O2109"/>
          <cell r="P2109"/>
          <cell r="Q2109"/>
          <cell r="R2109" t="str">
            <v>No</v>
          </cell>
          <cell r="S2109" t="str">
            <v>C49</v>
          </cell>
          <cell r="T2109" t="str">
            <v>SOUTH</v>
          </cell>
          <cell r="U2109" t="str">
            <v>河南</v>
          </cell>
          <cell r="V2109" t="str">
            <v>HN 河南</v>
          </cell>
          <cell r="W2109" t="str">
            <v>MZ</v>
          </cell>
          <cell r="X2109" t="str">
            <v>JPY</v>
          </cell>
          <cell r="Y2109">
            <v>15000000</v>
          </cell>
          <cell r="Z2109">
            <v>1</v>
          </cell>
          <cell r="AA2109">
            <v>15000000</v>
          </cell>
          <cell r="AB2109">
            <v>5.6099999999999997E-2</v>
          </cell>
          <cell r="AC2109">
            <v>841500</v>
          </cell>
          <cell r="AD2109">
            <v>100980</v>
          </cell>
          <cell r="AE2109">
            <v>0.12</v>
          </cell>
          <cell r="AF2109">
            <v>45139</v>
          </cell>
          <cell r="AG2109" t="str">
            <v>CIF HK</v>
          </cell>
          <cell r="AI2109"/>
          <cell r="AJ2109"/>
          <cell r="AK2109">
            <v>0.1</v>
          </cell>
          <cell r="AL2109">
            <v>1500000</v>
          </cell>
          <cell r="AM2109"/>
          <cell r="AN2109" t="str">
            <v>No</v>
          </cell>
          <cell r="AO2109">
            <v>0.9</v>
          </cell>
          <cell r="AP2109">
            <v>13500000</v>
          </cell>
          <cell r="AQ2109"/>
          <cell r="AR2109"/>
          <cell r="AS2109">
            <v>0</v>
          </cell>
          <cell r="AT2109">
            <v>0</v>
          </cell>
          <cell r="AV2109"/>
          <cell r="AX2109" t="str">
            <v>Cancel</v>
          </cell>
          <cell r="AY2109"/>
          <cell r="AZ2109"/>
          <cell r="BA2109" t="str">
            <v>Cancel</v>
          </cell>
          <cell r="BB2109" t="str">
            <v>2023-12-13 Ken邮件通知Fay</v>
          </cell>
        </row>
        <row r="2110">
          <cell r="B2110">
            <v>1960</v>
          </cell>
          <cell r="C2110" t="str">
            <v>C49SZX20230072MZ</v>
          </cell>
          <cell r="D2110" t="str">
            <v>河南融创</v>
          </cell>
          <cell r="E2110" t="str">
            <v>YSM20R-2</v>
          </cell>
          <cell r="F2110"/>
          <cell r="H2110"/>
          <cell r="I2110" t="str">
            <v>L-&gt;R</v>
          </cell>
          <cell r="J2110" t="str">
            <v>No</v>
          </cell>
          <cell r="K2110">
            <v>1</v>
          </cell>
          <cell r="L2110"/>
          <cell r="N2110"/>
          <cell r="O2110"/>
          <cell r="P2110"/>
          <cell r="Q2110"/>
          <cell r="R2110" t="str">
            <v>No</v>
          </cell>
          <cell r="S2110" t="str">
            <v>C49</v>
          </cell>
          <cell r="T2110" t="str">
            <v>SOUTH</v>
          </cell>
          <cell r="U2110" t="str">
            <v>河南</v>
          </cell>
          <cell r="V2110" t="str">
            <v>HN 河南</v>
          </cell>
          <cell r="W2110" t="str">
            <v>MZ</v>
          </cell>
          <cell r="X2110" t="str">
            <v>JPY</v>
          </cell>
          <cell r="Y2110">
            <v>15000000</v>
          </cell>
          <cell r="Z2110">
            <v>1</v>
          </cell>
          <cell r="AA2110">
            <v>15000000</v>
          </cell>
          <cell r="AB2110">
            <v>5.6099999999999997E-2</v>
          </cell>
          <cell r="AC2110">
            <v>841500</v>
          </cell>
          <cell r="AD2110">
            <v>100980</v>
          </cell>
          <cell r="AE2110">
            <v>0.12</v>
          </cell>
          <cell r="AF2110">
            <v>45139</v>
          </cell>
          <cell r="AG2110" t="str">
            <v>CIF HK</v>
          </cell>
          <cell r="AI2110"/>
          <cell r="AJ2110"/>
          <cell r="AK2110">
            <v>0.1</v>
          </cell>
          <cell r="AL2110">
            <v>1500000</v>
          </cell>
          <cell r="AM2110"/>
          <cell r="AN2110" t="str">
            <v>No</v>
          </cell>
          <cell r="AO2110">
            <v>0.9</v>
          </cell>
          <cell r="AP2110">
            <v>13500000</v>
          </cell>
          <cell r="AQ2110"/>
          <cell r="AR2110"/>
          <cell r="AS2110">
            <v>0</v>
          </cell>
          <cell r="AT2110">
            <v>0</v>
          </cell>
          <cell r="AV2110"/>
          <cell r="AX2110" t="str">
            <v>Cancel</v>
          </cell>
          <cell r="AY2110"/>
          <cell r="AZ2110"/>
          <cell r="BA2110" t="str">
            <v>Cancel</v>
          </cell>
          <cell r="BB2110" t="str">
            <v>2023-12-13 Ken邮件通知Fay</v>
          </cell>
        </row>
        <row r="2111">
          <cell r="B2111">
            <v>1961</v>
          </cell>
          <cell r="C2111" t="str">
            <v>C49SZX20230072MZ</v>
          </cell>
          <cell r="D2111" t="str">
            <v>河南融创</v>
          </cell>
          <cell r="E2111" t="str">
            <v>YSM20R-2</v>
          </cell>
          <cell r="F2111"/>
          <cell r="H2111"/>
          <cell r="I2111" t="str">
            <v>L-&gt;R</v>
          </cell>
          <cell r="J2111" t="str">
            <v>No</v>
          </cell>
          <cell r="K2111">
            <v>1</v>
          </cell>
          <cell r="L2111"/>
          <cell r="N2111"/>
          <cell r="O2111"/>
          <cell r="P2111"/>
          <cell r="Q2111"/>
          <cell r="R2111" t="str">
            <v>No</v>
          </cell>
          <cell r="S2111" t="str">
            <v>C49</v>
          </cell>
          <cell r="T2111" t="str">
            <v>SOUTH</v>
          </cell>
          <cell r="U2111" t="str">
            <v>河南</v>
          </cell>
          <cell r="V2111" t="str">
            <v>HN 河南</v>
          </cell>
          <cell r="W2111" t="str">
            <v>MZ</v>
          </cell>
          <cell r="X2111" t="str">
            <v>JPY</v>
          </cell>
          <cell r="Y2111">
            <v>15000000</v>
          </cell>
          <cell r="Z2111">
            <v>1</v>
          </cell>
          <cell r="AA2111">
            <v>15000000</v>
          </cell>
          <cell r="AB2111">
            <v>5.6099999999999997E-2</v>
          </cell>
          <cell r="AC2111">
            <v>841500</v>
          </cell>
          <cell r="AD2111">
            <v>100980</v>
          </cell>
          <cell r="AE2111">
            <v>0.12</v>
          </cell>
          <cell r="AF2111">
            <v>45139</v>
          </cell>
          <cell r="AG2111" t="str">
            <v>CIF HK</v>
          </cell>
          <cell r="AI2111"/>
          <cell r="AJ2111"/>
          <cell r="AK2111">
            <v>0.1</v>
          </cell>
          <cell r="AL2111">
            <v>1500000</v>
          </cell>
          <cell r="AM2111"/>
          <cell r="AN2111" t="str">
            <v>No</v>
          </cell>
          <cell r="AO2111">
            <v>0.9</v>
          </cell>
          <cell r="AP2111">
            <v>13500000</v>
          </cell>
          <cell r="AQ2111"/>
          <cell r="AR2111"/>
          <cell r="AS2111">
            <v>0</v>
          </cell>
          <cell r="AT2111">
            <v>0</v>
          </cell>
          <cell r="AV2111"/>
          <cell r="AX2111" t="str">
            <v>Cancel</v>
          </cell>
          <cell r="AY2111"/>
          <cell r="AZ2111"/>
          <cell r="BA2111" t="str">
            <v>Cancel</v>
          </cell>
          <cell r="BB2111" t="str">
            <v>2023-12-13 Ken邮件通知Fay</v>
          </cell>
        </row>
        <row r="2112">
          <cell r="B2112">
            <v>1962</v>
          </cell>
          <cell r="C2112" t="str">
            <v>C49SZX20230072MZ</v>
          </cell>
          <cell r="D2112" t="str">
            <v>河南融创</v>
          </cell>
          <cell r="E2112" t="str">
            <v>YSM20R-2</v>
          </cell>
          <cell r="F2112"/>
          <cell r="H2112"/>
          <cell r="I2112" t="str">
            <v>L-&gt;R</v>
          </cell>
          <cell r="J2112" t="str">
            <v>No</v>
          </cell>
          <cell r="K2112">
            <v>1</v>
          </cell>
          <cell r="L2112"/>
          <cell r="N2112"/>
          <cell r="O2112"/>
          <cell r="P2112"/>
          <cell r="Q2112"/>
          <cell r="R2112" t="str">
            <v>No</v>
          </cell>
          <cell r="S2112" t="str">
            <v>C49</v>
          </cell>
          <cell r="T2112" t="str">
            <v>SOUTH</v>
          </cell>
          <cell r="U2112" t="str">
            <v>河南</v>
          </cell>
          <cell r="V2112" t="str">
            <v>HN 河南</v>
          </cell>
          <cell r="W2112" t="str">
            <v>MZ</v>
          </cell>
          <cell r="X2112" t="str">
            <v>JPY</v>
          </cell>
          <cell r="Y2112">
            <v>15000000</v>
          </cell>
          <cell r="Z2112">
            <v>1</v>
          </cell>
          <cell r="AA2112">
            <v>15000000</v>
          </cell>
          <cell r="AB2112">
            <v>5.6099999999999997E-2</v>
          </cell>
          <cell r="AC2112">
            <v>841500</v>
          </cell>
          <cell r="AD2112">
            <v>100980</v>
          </cell>
          <cell r="AE2112">
            <v>0.12</v>
          </cell>
          <cell r="AF2112">
            <v>45139</v>
          </cell>
          <cell r="AG2112" t="str">
            <v>CIF HK</v>
          </cell>
          <cell r="AI2112"/>
          <cell r="AJ2112"/>
          <cell r="AK2112">
            <v>0.1</v>
          </cell>
          <cell r="AL2112">
            <v>1500000</v>
          </cell>
          <cell r="AM2112"/>
          <cell r="AN2112" t="str">
            <v>No</v>
          </cell>
          <cell r="AO2112">
            <v>0.9</v>
          </cell>
          <cell r="AP2112">
            <v>13500000</v>
          </cell>
          <cell r="AQ2112"/>
          <cell r="AR2112"/>
          <cell r="AS2112">
            <v>0</v>
          </cell>
          <cell r="AT2112">
            <v>0</v>
          </cell>
          <cell r="AV2112"/>
          <cell r="AX2112" t="str">
            <v>Cancel</v>
          </cell>
          <cell r="AY2112"/>
          <cell r="AZ2112"/>
          <cell r="BA2112" t="str">
            <v>Cancel</v>
          </cell>
          <cell r="BB2112" t="str">
            <v>2023-12-13 Ken邮件通知Fay</v>
          </cell>
        </row>
        <row r="2113">
          <cell r="B2113">
            <v>1963</v>
          </cell>
          <cell r="C2113" t="str">
            <v>C49SZX20230072MZ</v>
          </cell>
          <cell r="D2113" t="str">
            <v>河南融创</v>
          </cell>
          <cell r="E2113" t="str">
            <v>YSM10</v>
          </cell>
          <cell r="F2113"/>
          <cell r="H2113"/>
          <cell r="I2113" t="str">
            <v>L-&gt;R</v>
          </cell>
          <cell r="J2113" t="str">
            <v>MVC+ATS15</v>
          </cell>
          <cell r="K2113">
            <v>1</v>
          </cell>
          <cell r="L2113"/>
          <cell r="N2113"/>
          <cell r="O2113"/>
          <cell r="P2113"/>
          <cell r="Q2113"/>
          <cell r="R2113" t="str">
            <v>No</v>
          </cell>
          <cell r="S2113" t="str">
            <v>C49</v>
          </cell>
          <cell r="T2113" t="str">
            <v>SOUTH</v>
          </cell>
          <cell r="U2113" t="str">
            <v>河南</v>
          </cell>
          <cell r="V2113" t="str">
            <v>HN 河南</v>
          </cell>
          <cell r="W2113" t="str">
            <v>MZ</v>
          </cell>
          <cell r="X2113" t="str">
            <v>JPY</v>
          </cell>
          <cell r="Y2113">
            <v>11250000</v>
          </cell>
          <cell r="Z2113">
            <v>1</v>
          </cell>
          <cell r="AA2113">
            <v>11250000</v>
          </cell>
          <cell r="AB2113">
            <v>5.6099999999999997E-2</v>
          </cell>
          <cell r="AC2113">
            <v>631125</v>
          </cell>
          <cell r="AD2113">
            <v>75735</v>
          </cell>
          <cell r="AE2113">
            <v>0.12</v>
          </cell>
          <cell r="AF2113">
            <v>45139</v>
          </cell>
          <cell r="AG2113" t="str">
            <v>CIF HK</v>
          </cell>
          <cell r="AI2113"/>
          <cell r="AJ2113"/>
          <cell r="AK2113">
            <v>0.1</v>
          </cell>
          <cell r="AL2113">
            <v>1125000</v>
          </cell>
          <cell r="AM2113"/>
          <cell r="AN2113" t="str">
            <v>No</v>
          </cell>
          <cell r="AO2113">
            <v>0.9</v>
          </cell>
          <cell r="AP2113">
            <v>10125000</v>
          </cell>
          <cell r="AQ2113"/>
          <cell r="AR2113"/>
          <cell r="AS2113">
            <v>0</v>
          </cell>
          <cell r="AT2113">
            <v>0</v>
          </cell>
          <cell r="AV2113"/>
          <cell r="AX2113" t="str">
            <v>Cancel</v>
          </cell>
          <cell r="AY2113"/>
          <cell r="AZ2113"/>
          <cell r="BA2113" t="str">
            <v>Cancel</v>
          </cell>
          <cell r="BB2113" t="str">
            <v>2023-12-13 Ken邮件通知Fay</v>
          </cell>
        </row>
        <row r="2114">
          <cell r="B2114">
            <v>1964</v>
          </cell>
          <cell r="C2114" t="str">
            <v>C49SZX20230072MZ</v>
          </cell>
          <cell r="D2114" t="str">
            <v>河南融创</v>
          </cell>
          <cell r="E2114" t="str">
            <v>YSM10</v>
          </cell>
          <cell r="F2114"/>
          <cell r="H2114"/>
          <cell r="I2114" t="str">
            <v>L-&gt;R</v>
          </cell>
          <cell r="J2114" t="str">
            <v>MVC+ATS15</v>
          </cell>
          <cell r="K2114">
            <v>1</v>
          </cell>
          <cell r="L2114"/>
          <cell r="N2114"/>
          <cell r="O2114"/>
          <cell r="P2114"/>
          <cell r="Q2114"/>
          <cell r="R2114" t="str">
            <v>No</v>
          </cell>
          <cell r="S2114" t="str">
            <v>C49</v>
          </cell>
          <cell r="T2114" t="str">
            <v>SOUTH</v>
          </cell>
          <cell r="U2114" t="str">
            <v>河南</v>
          </cell>
          <cell r="V2114" t="str">
            <v>HN 河南</v>
          </cell>
          <cell r="W2114" t="str">
            <v>MZ</v>
          </cell>
          <cell r="X2114" t="str">
            <v>JPY</v>
          </cell>
          <cell r="Y2114">
            <v>11250000</v>
          </cell>
          <cell r="Z2114">
            <v>1</v>
          </cell>
          <cell r="AA2114">
            <v>11250000</v>
          </cell>
          <cell r="AB2114">
            <v>5.6099999999999997E-2</v>
          </cell>
          <cell r="AC2114">
            <v>631125</v>
          </cell>
          <cell r="AD2114">
            <v>75735</v>
          </cell>
          <cell r="AE2114">
            <v>0.12</v>
          </cell>
          <cell r="AF2114">
            <v>45139</v>
          </cell>
          <cell r="AG2114" t="str">
            <v>CIF HK</v>
          </cell>
          <cell r="AI2114"/>
          <cell r="AJ2114"/>
          <cell r="AK2114">
            <v>0.1</v>
          </cell>
          <cell r="AL2114">
            <v>1125000</v>
          </cell>
          <cell r="AM2114"/>
          <cell r="AN2114" t="str">
            <v>No</v>
          </cell>
          <cell r="AO2114">
            <v>0.9</v>
          </cell>
          <cell r="AP2114">
            <v>10125000</v>
          </cell>
          <cell r="AQ2114"/>
          <cell r="AR2114"/>
          <cell r="AS2114">
            <v>0</v>
          </cell>
          <cell r="AT2114">
            <v>0</v>
          </cell>
          <cell r="AV2114"/>
          <cell r="AX2114" t="str">
            <v>Cancel</v>
          </cell>
          <cell r="AY2114"/>
          <cell r="AZ2114"/>
          <cell r="BA2114" t="str">
            <v>Cancel</v>
          </cell>
          <cell r="BB2114" t="str">
            <v>2023-12-13 Ken邮件通知Fay</v>
          </cell>
        </row>
        <row r="2115">
          <cell r="B2115">
            <v>1965</v>
          </cell>
          <cell r="C2115" t="str">
            <v>C49SZX20230072MZ</v>
          </cell>
          <cell r="D2115" t="str">
            <v>河南融创</v>
          </cell>
          <cell r="E2115" t="str">
            <v>YSM10</v>
          </cell>
          <cell r="F2115"/>
          <cell r="H2115"/>
          <cell r="I2115" t="str">
            <v>L-&gt;R</v>
          </cell>
          <cell r="J2115" t="str">
            <v>MVC+ATS15</v>
          </cell>
          <cell r="K2115">
            <v>1</v>
          </cell>
          <cell r="L2115"/>
          <cell r="N2115"/>
          <cell r="O2115"/>
          <cell r="P2115"/>
          <cell r="Q2115"/>
          <cell r="R2115" t="str">
            <v>No</v>
          </cell>
          <cell r="S2115" t="str">
            <v>C49</v>
          </cell>
          <cell r="T2115" t="str">
            <v>SOUTH</v>
          </cell>
          <cell r="U2115" t="str">
            <v>河南</v>
          </cell>
          <cell r="V2115" t="str">
            <v>HN 河南</v>
          </cell>
          <cell r="W2115" t="str">
            <v>MZ</v>
          </cell>
          <cell r="X2115" t="str">
            <v>JPY</v>
          </cell>
          <cell r="Y2115">
            <v>11250000</v>
          </cell>
          <cell r="Z2115">
            <v>1</v>
          </cell>
          <cell r="AA2115">
            <v>11250000</v>
          </cell>
          <cell r="AB2115">
            <v>5.6099999999999997E-2</v>
          </cell>
          <cell r="AC2115">
            <v>631125</v>
          </cell>
          <cell r="AD2115">
            <v>75735</v>
          </cell>
          <cell r="AE2115">
            <v>0.12</v>
          </cell>
          <cell r="AF2115">
            <v>45139</v>
          </cell>
          <cell r="AG2115" t="str">
            <v>CIF HK</v>
          </cell>
          <cell r="AI2115"/>
          <cell r="AJ2115"/>
          <cell r="AK2115">
            <v>0.1</v>
          </cell>
          <cell r="AL2115">
            <v>1125000</v>
          </cell>
          <cell r="AM2115"/>
          <cell r="AN2115" t="str">
            <v>No</v>
          </cell>
          <cell r="AO2115">
            <v>0.9</v>
          </cell>
          <cell r="AP2115">
            <v>10125000</v>
          </cell>
          <cell r="AQ2115"/>
          <cell r="AR2115"/>
          <cell r="AS2115">
            <v>0</v>
          </cell>
          <cell r="AT2115">
            <v>0</v>
          </cell>
          <cell r="AV2115"/>
          <cell r="AX2115" t="str">
            <v>Cancel</v>
          </cell>
          <cell r="AY2115"/>
          <cell r="AZ2115"/>
          <cell r="BA2115" t="str">
            <v>Cancel</v>
          </cell>
          <cell r="BB2115" t="str">
            <v>2023-12-13 Ken邮件通知Fay</v>
          </cell>
        </row>
        <row r="2116">
          <cell r="B2116">
            <v>1966</v>
          </cell>
          <cell r="C2116" t="str">
            <v>C49SZX20230072MZ</v>
          </cell>
          <cell r="D2116" t="str">
            <v>河南融创</v>
          </cell>
          <cell r="E2116" t="str">
            <v>YSM10</v>
          </cell>
          <cell r="F2116"/>
          <cell r="H2116"/>
          <cell r="I2116" t="str">
            <v>L-&gt;R</v>
          </cell>
          <cell r="J2116" t="str">
            <v>MVC+ATS15</v>
          </cell>
          <cell r="K2116">
            <v>1</v>
          </cell>
          <cell r="L2116"/>
          <cell r="N2116"/>
          <cell r="O2116"/>
          <cell r="P2116"/>
          <cell r="Q2116"/>
          <cell r="R2116" t="str">
            <v>No</v>
          </cell>
          <cell r="S2116" t="str">
            <v>C49</v>
          </cell>
          <cell r="T2116" t="str">
            <v>SOUTH</v>
          </cell>
          <cell r="U2116" t="str">
            <v>河南</v>
          </cell>
          <cell r="V2116" t="str">
            <v>HN 河南</v>
          </cell>
          <cell r="W2116" t="str">
            <v>MZ</v>
          </cell>
          <cell r="X2116" t="str">
            <v>JPY</v>
          </cell>
          <cell r="Y2116">
            <v>11250000</v>
          </cell>
          <cell r="Z2116">
            <v>1</v>
          </cell>
          <cell r="AA2116">
            <v>11250000</v>
          </cell>
          <cell r="AB2116">
            <v>5.6099999999999997E-2</v>
          </cell>
          <cell r="AC2116">
            <v>631125</v>
          </cell>
          <cell r="AD2116">
            <v>75735</v>
          </cell>
          <cell r="AE2116">
            <v>0.12</v>
          </cell>
          <cell r="AF2116">
            <v>45139</v>
          </cell>
          <cell r="AG2116" t="str">
            <v>CIF HK</v>
          </cell>
          <cell r="AI2116"/>
          <cell r="AJ2116"/>
          <cell r="AK2116">
            <v>0.1</v>
          </cell>
          <cell r="AL2116">
            <v>1125000</v>
          </cell>
          <cell r="AM2116"/>
          <cell r="AN2116" t="str">
            <v>No</v>
          </cell>
          <cell r="AO2116">
            <v>0.9</v>
          </cell>
          <cell r="AP2116">
            <v>10125000</v>
          </cell>
          <cell r="AQ2116"/>
          <cell r="AR2116"/>
          <cell r="AS2116">
            <v>0</v>
          </cell>
          <cell r="AT2116">
            <v>0</v>
          </cell>
          <cell r="AV2116"/>
          <cell r="AX2116" t="str">
            <v>Cancel</v>
          </cell>
          <cell r="AY2116"/>
          <cell r="AZ2116"/>
          <cell r="BA2116" t="str">
            <v>Cancel</v>
          </cell>
          <cell r="BB2116" t="str">
            <v>2023-12-13 Ken邮件通知Fay</v>
          </cell>
        </row>
        <row r="2117">
          <cell r="B2117">
            <v>1967</v>
          </cell>
          <cell r="C2117" t="str">
            <v>C49SZX20230096JL/4600003030</v>
          </cell>
          <cell r="D2117" t="str">
            <v>高伟</v>
          </cell>
          <cell r="E2117" t="str">
            <v>YSM10</v>
          </cell>
          <cell r="I2117" t="str">
            <v>L-&gt;R</v>
          </cell>
          <cell r="J2117" t="str">
            <v xml:space="preserve">MVC(with 5 heads) </v>
          </cell>
          <cell r="K2117">
            <v>1</v>
          </cell>
          <cell r="N2117">
            <v>45265</v>
          </cell>
          <cell r="O2117">
            <v>11116862</v>
          </cell>
          <cell r="P2117">
            <v>60000</v>
          </cell>
          <cell r="Q2117">
            <v>45273</v>
          </cell>
          <cell r="R2117" t="str">
            <v>No</v>
          </cell>
          <cell r="S2117" t="str">
            <v>C49</v>
          </cell>
          <cell r="T2117" t="str">
            <v>SOUTH</v>
          </cell>
          <cell r="U2117" t="str">
            <v>深圳</v>
          </cell>
          <cell r="V2117" t="str">
            <v>SZ 深圳</v>
          </cell>
          <cell r="W2117" t="str">
            <v>JL</v>
          </cell>
          <cell r="X2117" t="str">
            <v>USD</v>
          </cell>
          <cell r="Y2117">
            <v>60000</v>
          </cell>
          <cell r="Z2117">
            <v>1</v>
          </cell>
          <cell r="AA2117">
            <v>60000</v>
          </cell>
          <cell r="AB2117">
            <v>7.8</v>
          </cell>
          <cell r="AC2117">
            <v>468000</v>
          </cell>
          <cell r="AD2117">
            <v>56160</v>
          </cell>
          <cell r="AE2117">
            <v>0.12</v>
          </cell>
          <cell r="AF2117">
            <v>45159</v>
          </cell>
          <cell r="AG2117" t="str">
            <v>CIF HK</v>
          </cell>
          <cell r="AK2117">
            <v>0.3</v>
          </cell>
          <cell r="AL2117">
            <v>18000</v>
          </cell>
          <cell r="AM2117">
            <v>45177</v>
          </cell>
          <cell r="AN2117" t="str">
            <v>Yes</v>
          </cell>
          <cell r="AO2117">
            <v>0.6</v>
          </cell>
          <cell r="AP2117">
            <v>36000</v>
          </cell>
          <cell r="AQ2117">
            <v>45261</v>
          </cell>
          <cell r="AR2117">
            <v>45261</v>
          </cell>
          <cell r="AS2117">
            <v>0.1</v>
          </cell>
          <cell r="AT2117">
            <v>6000</v>
          </cell>
        </row>
        <row r="2118">
          <cell r="B2118">
            <v>1968</v>
          </cell>
          <cell r="C2118" t="str">
            <v>C49SZX20230096JL/4600003030</v>
          </cell>
          <cell r="D2118" t="str">
            <v>高伟</v>
          </cell>
          <cell r="E2118" t="str">
            <v>YSM10</v>
          </cell>
          <cell r="I2118" t="str">
            <v>L-&gt;R</v>
          </cell>
          <cell r="J2118" t="str">
            <v xml:space="preserve">MVC(with 5 heads) </v>
          </cell>
          <cell r="K2118">
            <v>1</v>
          </cell>
          <cell r="N2118">
            <v>45265</v>
          </cell>
          <cell r="O2118">
            <v>11116862</v>
          </cell>
          <cell r="P2118">
            <v>60000</v>
          </cell>
          <cell r="Q2118">
            <v>45273</v>
          </cell>
          <cell r="R2118" t="str">
            <v>No</v>
          </cell>
          <cell r="S2118" t="str">
            <v>C49</v>
          </cell>
          <cell r="T2118" t="str">
            <v>SOUTH</v>
          </cell>
          <cell r="U2118" t="str">
            <v>深圳</v>
          </cell>
          <cell r="V2118" t="str">
            <v>SZ 深圳</v>
          </cell>
          <cell r="W2118" t="str">
            <v>JL</v>
          </cell>
          <cell r="X2118" t="str">
            <v>USD</v>
          </cell>
          <cell r="Y2118">
            <v>60000</v>
          </cell>
          <cell r="Z2118">
            <v>1</v>
          </cell>
          <cell r="AA2118">
            <v>60000</v>
          </cell>
          <cell r="AB2118">
            <v>7.8</v>
          </cell>
          <cell r="AC2118">
            <v>468000</v>
          </cell>
          <cell r="AD2118">
            <v>56160</v>
          </cell>
          <cell r="AE2118">
            <v>0.12</v>
          </cell>
          <cell r="AF2118">
            <v>45159</v>
          </cell>
          <cell r="AG2118" t="str">
            <v>CIF HK</v>
          </cell>
          <cell r="AK2118">
            <v>0.3</v>
          </cell>
          <cell r="AL2118">
            <v>18000</v>
          </cell>
          <cell r="AM2118">
            <v>45177</v>
          </cell>
          <cell r="AN2118" t="str">
            <v>Yes</v>
          </cell>
          <cell r="AO2118">
            <v>0.6</v>
          </cell>
          <cell r="AP2118">
            <v>36000</v>
          </cell>
          <cell r="AQ2118">
            <v>45261</v>
          </cell>
          <cell r="AR2118">
            <v>45261</v>
          </cell>
          <cell r="AS2118">
            <v>0.1</v>
          </cell>
          <cell r="AT2118">
            <v>6000</v>
          </cell>
        </row>
        <row r="2119">
          <cell r="B2119">
            <v>1969</v>
          </cell>
          <cell r="C2119" t="str">
            <v>SNFPC-CG-2023-006</v>
          </cell>
          <cell r="D2119" t="str">
            <v xml:space="preserve">康佳 </v>
          </cell>
          <cell r="E2119" t="str">
            <v>S20</v>
          </cell>
          <cell r="I2119" t="str">
            <v>L-&gt;R</v>
          </cell>
          <cell r="J2119" t="str">
            <v>No</v>
          </cell>
          <cell r="K2119">
            <v>1</v>
          </cell>
          <cell r="R2119" t="str">
            <v>No</v>
          </cell>
          <cell r="S2119" t="str">
            <v>C49</v>
          </cell>
          <cell r="T2119" t="str">
            <v>WEST</v>
          </cell>
          <cell r="U2119" t="str">
            <v>遂宁</v>
          </cell>
          <cell r="V2119" t="str">
            <v>SN遂宁</v>
          </cell>
          <cell r="W2119" t="str">
            <v>JL</v>
          </cell>
          <cell r="X2119" t="str">
            <v>RMB</v>
          </cell>
          <cell r="Y2119">
            <v>740000</v>
          </cell>
          <cell r="Z2119">
            <v>1.1299999999999999</v>
          </cell>
          <cell r="AA2119">
            <v>740000</v>
          </cell>
          <cell r="AB2119">
            <v>1.0920000000000001</v>
          </cell>
          <cell r="AC2119">
            <v>715115.0442477878</v>
          </cell>
          <cell r="AD2119">
            <v>85813.805309734526</v>
          </cell>
          <cell r="AE2119">
            <v>0.12</v>
          </cell>
          <cell r="AF2119">
            <v>45142</v>
          </cell>
          <cell r="AG2119" t="str">
            <v>DDP SN</v>
          </cell>
          <cell r="AK2119">
            <v>0.3</v>
          </cell>
          <cell r="AL2119">
            <v>222000</v>
          </cell>
          <cell r="AM2119">
            <v>45190</v>
          </cell>
          <cell r="AN2119" t="str">
            <v>Yes</v>
          </cell>
          <cell r="AO2119">
            <v>0.6</v>
          </cell>
          <cell r="AP2119">
            <v>444000</v>
          </cell>
          <cell r="AS2119">
            <v>0.1</v>
          </cell>
          <cell r="AT2119">
            <v>74000</v>
          </cell>
        </row>
        <row r="2120">
          <cell r="B2120">
            <v>1970</v>
          </cell>
          <cell r="C2120" t="str">
            <v>C49SZX20230098SX</v>
          </cell>
          <cell r="D2120" t="str">
            <v>锐诚</v>
          </cell>
          <cell r="E2120" t="str">
            <v>YSM10</v>
          </cell>
          <cell r="I2120" t="str">
            <v>L-&gt;R</v>
          </cell>
          <cell r="J2120" t="str">
            <v>MVC+ATS15</v>
          </cell>
          <cell r="K2120">
            <v>1</v>
          </cell>
          <cell r="N2120">
            <v>45229</v>
          </cell>
          <cell r="O2120">
            <v>11100658</v>
          </cell>
          <cell r="P2120">
            <v>460000</v>
          </cell>
          <cell r="Q2120">
            <v>45229</v>
          </cell>
          <cell r="R2120" t="str">
            <v>No</v>
          </cell>
          <cell r="S2120" t="str">
            <v>C49</v>
          </cell>
          <cell r="T2120" t="str">
            <v>SOUTH</v>
          </cell>
          <cell r="U2120" t="str">
            <v>深圳</v>
          </cell>
          <cell r="V2120" t="str">
            <v>HZ 惠州</v>
          </cell>
          <cell r="W2120" t="str">
            <v>SX</v>
          </cell>
          <cell r="X2120" t="str">
            <v>RMB</v>
          </cell>
          <cell r="Y2120">
            <v>460000</v>
          </cell>
          <cell r="Z2120">
            <v>1.1299999999999999</v>
          </cell>
          <cell r="AA2120">
            <v>460000</v>
          </cell>
          <cell r="AB2120">
            <v>1.0920000000000001</v>
          </cell>
          <cell r="AC2120">
            <v>444530.97345132753</v>
          </cell>
          <cell r="AD2120">
            <v>53343.716814159299</v>
          </cell>
          <cell r="AE2120">
            <v>0.12</v>
          </cell>
          <cell r="AF2120">
            <v>45169</v>
          </cell>
          <cell r="AG2120" t="str">
            <v>DDP HZ</v>
          </cell>
          <cell r="AK2120">
            <v>0.1</v>
          </cell>
          <cell r="AL2120">
            <v>46000</v>
          </cell>
          <cell r="AM2120">
            <v>45169</v>
          </cell>
          <cell r="AN2120" t="str">
            <v>Yes</v>
          </cell>
          <cell r="AO2120">
            <v>0.9</v>
          </cell>
          <cell r="AP2120">
            <v>414000</v>
          </cell>
          <cell r="AQ2120">
            <v>45224</v>
          </cell>
          <cell r="AR2120">
            <v>45224</v>
          </cell>
          <cell r="AS2120">
            <v>0</v>
          </cell>
          <cell r="AT2120">
            <v>0</v>
          </cell>
          <cell r="AX2120" t="str">
            <v>Yes</v>
          </cell>
          <cell r="AZ2120" t="str">
            <v>Y</v>
          </cell>
          <cell r="BA2120" t="str">
            <v>Yes</v>
          </cell>
        </row>
        <row r="2121">
          <cell r="B2121">
            <v>1971</v>
          </cell>
          <cell r="C2121" t="str">
            <v>C49SZX20230099EC</v>
          </cell>
          <cell r="D2121" t="str">
            <v>和兴美成</v>
          </cell>
          <cell r="E2121" t="str">
            <v>YSM20R-2</v>
          </cell>
          <cell r="I2121" t="str">
            <v>L-&gt;R</v>
          </cell>
          <cell r="J2121" t="str">
            <v>No</v>
          </cell>
          <cell r="K2121">
            <v>1</v>
          </cell>
          <cell r="N2121">
            <v>45207</v>
          </cell>
          <cell r="O2121">
            <v>11100656</v>
          </cell>
          <cell r="P2121">
            <v>730000</v>
          </cell>
          <cell r="Q2121">
            <v>45226</v>
          </cell>
          <cell r="R2121" t="str">
            <v>No</v>
          </cell>
          <cell r="S2121" t="str">
            <v>C49</v>
          </cell>
          <cell r="T2121" t="str">
            <v>SOUTH</v>
          </cell>
          <cell r="U2121" t="str">
            <v>深圳</v>
          </cell>
          <cell r="V2121" t="str">
            <v>HZ 惠州</v>
          </cell>
          <cell r="W2121" t="str">
            <v>EC</v>
          </cell>
          <cell r="X2121" t="str">
            <v>RMB</v>
          </cell>
          <cell r="Y2121">
            <v>730000</v>
          </cell>
          <cell r="Z2121">
            <v>1.1299999999999999</v>
          </cell>
          <cell r="AA2121">
            <v>730000</v>
          </cell>
          <cell r="AB2121">
            <v>1.077</v>
          </cell>
          <cell r="AC2121">
            <v>695761.06194690266</v>
          </cell>
          <cell r="AD2121">
            <v>83491.327433628321</v>
          </cell>
          <cell r="AE2121">
            <v>0.12</v>
          </cell>
          <cell r="AF2121">
            <v>45173</v>
          </cell>
          <cell r="AG2121" t="str">
            <v>DDP HZ</v>
          </cell>
          <cell r="AK2121">
            <v>0.1</v>
          </cell>
          <cell r="AL2121">
            <v>73000</v>
          </cell>
          <cell r="AM2121">
            <v>45192</v>
          </cell>
          <cell r="AN2121" t="str">
            <v>Yes</v>
          </cell>
          <cell r="AO2121">
            <v>0.9</v>
          </cell>
          <cell r="AP2121">
            <v>657000</v>
          </cell>
          <cell r="AQ2121">
            <v>45196</v>
          </cell>
          <cell r="AR2121">
            <v>45196</v>
          </cell>
          <cell r="AS2121">
            <v>0</v>
          </cell>
          <cell r="AT2121">
            <v>0</v>
          </cell>
          <cell r="AX2121" t="str">
            <v>Yes</v>
          </cell>
          <cell r="AZ2121" t="str">
            <v>Y</v>
          </cell>
          <cell r="BA2121" t="str">
            <v>Yes</v>
          </cell>
        </row>
        <row r="2122">
          <cell r="B2122">
            <v>1972</v>
          </cell>
          <cell r="C2122" t="str">
            <v>PO#101295-KDY-LEL</v>
          </cell>
          <cell r="D2122" t="str">
            <v>力丰</v>
          </cell>
          <cell r="E2122" t="str">
            <v>SolderStar R-0625L</v>
          </cell>
          <cell r="I2122" t="str">
            <v>No</v>
          </cell>
          <cell r="J2122" t="str">
            <v>No</v>
          </cell>
          <cell r="K2122">
            <v>1</v>
          </cell>
          <cell r="N2122">
            <v>45183</v>
          </cell>
          <cell r="O2122">
            <v>11100646</v>
          </cell>
          <cell r="P2122">
            <v>30222</v>
          </cell>
          <cell r="Q2122">
            <v>45187</v>
          </cell>
          <cell r="R2122" t="str">
            <v>No</v>
          </cell>
          <cell r="S2122" t="str">
            <v>C28</v>
          </cell>
          <cell r="T2122" t="str">
            <v>SOUTH</v>
          </cell>
          <cell r="U2122" t="str">
            <v>深圳</v>
          </cell>
          <cell r="V2122" t="str">
            <v>SZ 深圳</v>
          </cell>
          <cell r="W2122" t="str">
            <v>Jason Liu</v>
          </cell>
          <cell r="X2122" t="str">
            <v>RMB</v>
          </cell>
          <cell r="Y2122">
            <v>30222</v>
          </cell>
          <cell r="Z2122">
            <v>1.1299999999999999</v>
          </cell>
          <cell r="AA2122">
            <v>30222</v>
          </cell>
          <cell r="AB2122">
            <v>1.077</v>
          </cell>
          <cell r="AC2122">
            <v>28804.507964601773</v>
          </cell>
          <cell r="AD2122">
            <v>3456.5409557522125</v>
          </cell>
          <cell r="AE2122">
            <v>0.12</v>
          </cell>
          <cell r="AF2122">
            <v>45173</v>
          </cell>
          <cell r="AG2122" t="str">
            <v>DDP SZ</v>
          </cell>
          <cell r="AK2122">
            <v>1</v>
          </cell>
          <cell r="AL2122">
            <v>30222</v>
          </cell>
          <cell r="AM2122">
            <v>45180</v>
          </cell>
          <cell r="AN2122" t="str">
            <v>Yes</v>
          </cell>
          <cell r="AO2122">
            <v>0</v>
          </cell>
          <cell r="AP2122">
            <v>0</v>
          </cell>
          <cell r="AS2122">
            <v>0</v>
          </cell>
          <cell r="AT2122">
            <v>0</v>
          </cell>
          <cell r="AX2122" t="str">
            <v>Yes</v>
          </cell>
          <cell r="AZ2122" t="str">
            <v>Y</v>
          </cell>
          <cell r="BA2122" t="str">
            <v>Yes</v>
          </cell>
        </row>
        <row r="2123">
          <cell r="B2123">
            <v>1973</v>
          </cell>
          <cell r="C2123" t="str">
            <v>C49SZX202300095SX</v>
          </cell>
          <cell r="D2123" t="str">
            <v>利速达</v>
          </cell>
          <cell r="E2123" t="str">
            <v>YSM20R-2</v>
          </cell>
          <cell r="I2123" t="str">
            <v>L-&gt;R</v>
          </cell>
          <cell r="J2123" t="str">
            <v>No</v>
          </cell>
          <cell r="K2123">
            <v>1</v>
          </cell>
          <cell r="N2123">
            <v>45184</v>
          </cell>
          <cell r="O2123">
            <v>11100648</v>
          </cell>
          <cell r="P2123">
            <v>670000</v>
          </cell>
          <cell r="Q2123">
            <v>45188</v>
          </cell>
          <cell r="R2123" t="str">
            <v>No</v>
          </cell>
          <cell r="S2123" t="str">
            <v>C49</v>
          </cell>
          <cell r="T2123" t="str">
            <v>SOUTH</v>
          </cell>
          <cell r="U2123" t="str">
            <v>深圳</v>
          </cell>
          <cell r="V2123" t="str">
            <v>SZ 深圳</v>
          </cell>
          <cell r="W2123" t="str">
            <v>SX</v>
          </cell>
          <cell r="X2123" t="str">
            <v>RMB</v>
          </cell>
          <cell r="Y2123">
            <v>670000</v>
          </cell>
          <cell r="Z2123">
            <v>1.1299999999999999</v>
          </cell>
          <cell r="AA2123">
            <v>670000</v>
          </cell>
          <cell r="AB2123">
            <v>1.077</v>
          </cell>
          <cell r="AC2123">
            <v>638575.22123893816</v>
          </cell>
          <cell r="AD2123">
            <v>76629.026548672569</v>
          </cell>
          <cell r="AE2123">
            <v>0.12</v>
          </cell>
          <cell r="AF2123">
            <v>45161</v>
          </cell>
          <cell r="AG2123" t="str">
            <v>DDP SZ</v>
          </cell>
          <cell r="AK2123">
            <v>0.1</v>
          </cell>
          <cell r="AL2123">
            <v>67000</v>
          </cell>
          <cell r="AM2123">
            <v>45180</v>
          </cell>
          <cell r="AN2123" t="str">
            <v>Yes</v>
          </cell>
          <cell r="AO2123">
            <v>0.9</v>
          </cell>
          <cell r="AP2123">
            <v>603000</v>
          </cell>
          <cell r="AQ2123">
            <v>45183</v>
          </cell>
          <cell r="AR2123">
            <v>45183</v>
          </cell>
          <cell r="AS2123">
            <v>0</v>
          </cell>
          <cell r="AT2123">
            <v>0</v>
          </cell>
          <cell r="AX2123" t="str">
            <v>Yes</v>
          </cell>
          <cell r="AZ2123" t="str">
            <v>Y</v>
          </cell>
          <cell r="BA2123" t="str">
            <v>Yes</v>
          </cell>
        </row>
        <row r="2124">
          <cell r="B2124">
            <v>1974</v>
          </cell>
          <cell r="C2124" t="str">
            <v>C49SZX20230100JL</v>
          </cell>
          <cell r="D2124" t="str">
            <v>海龙智通</v>
          </cell>
          <cell r="E2124" t="str">
            <v>YSM20R-2</v>
          </cell>
          <cell r="I2124" t="str">
            <v>L-&gt;R</v>
          </cell>
          <cell r="J2124" t="str">
            <v>No</v>
          </cell>
          <cell r="K2124">
            <v>1</v>
          </cell>
          <cell r="N2124">
            <v>45188</v>
          </cell>
          <cell r="O2124">
            <v>11116846</v>
          </cell>
          <cell r="P2124">
            <v>11860000</v>
          </cell>
          <cell r="Q2124">
            <v>45191</v>
          </cell>
          <cell r="R2124" t="str">
            <v>No</v>
          </cell>
          <cell r="S2124" t="str">
            <v>C49</v>
          </cell>
          <cell r="T2124" t="str">
            <v>SOUTH</v>
          </cell>
          <cell r="U2124" t="str">
            <v>东莞</v>
          </cell>
          <cell r="V2124" t="str">
            <v>DG 东莞</v>
          </cell>
          <cell r="W2124" t="str">
            <v>JL</v>
          </cell>
          <cell r="X2124" t="str">
            <v>JPY</v>
          </cell>
          <cell r="Y2124">
            <v>11860000</v>
          </cell>
          <cell r="Z2124">
            <v>1</v>
          </cell>
          <cell r="AA2124">
            <v>11860000</v>
          </cell>
          <cell r="AB2124">
            <v>5.4899999999999997E-2</v>
          </cell>
          <cell r="AC2124">
            <v>651114</v>
          </cell>
          <cell r="AD2124">
            <v>78133.679999999993</v>
          </cell>
          <cell r="AE2124">
            <v>0.12</v>
          </cell>
          <cell r="AF2124">
            <v>45182</v>
          </cell>
          <cell r="AG2124" t="str">
            <v>DAP DG</v>
          </cell>
          <cell r="AK2124">
            <v>1</v>
          </cell>
          <cell r="AL2124">
            <v>11860000</v>
          </cell>
          <cell r="AM2124">
            <v>45184</v>
          </cell>
          <cell r="AN2124" t="str">
            <v>Yes</v>
          </cell>
          <cell r="AO2124">
            <v>0</v>
          </cell>
          <cell r="AP2124">
            <v>0</v>
          </cell>
          <cell r="AS2124">
            <v>0</v>
          </cell>
          <cell r="AT2124">
            <v>0</v>
          </cell>
          <cell r="AX2124" t="str">
            <v>Yes</v>
          </cell>
          <cell r="AZ2124" t="str">
            <v>Y</v>
          </cell>
          <cell r="BA2124" t="str">
            <v>Yes</v>
          </cell>
        </row>
        <row r="2125">
          <cell r="B2125">
            <v>1975</v>
          </cell>
          <cell r="C2125" t="str">
            <v xml:space="preserve">FP3098563 </v>
          </cell>
          <cell r="D2125" t="str">
            <v>闻诺</v>
          </cell>
          <cell r="E2125" t="str">
            <v>SolderStar R-1225-SLX</v>
          </cell>
          <cell r="I2125" t="str">
            <v>No</v>
          </cell>
          <cell r="J2125" t="str">
            <v>No</v>
          </cell>
          <cell r="K2125">
            <v>1</v>
          </cell>
          <cell r="N2125">
            <v>45210</v>
          </cell>
          <cell r="O2125">
            <v>11100654</v>
          </cell>
          <cell r="P2125">
            <v>59605</v>
          </cell>
          <cell r="Q2125">
            <v>45224</v>
          </cell>
          <cell r="R2125" t="str">
            <v>Yes</v>
          </cell>
          <cell r="S2125" t="str">
            <v>C28</v>
          </cell>
          <cell r="T2125" t="str">
            <v>EAST</v>
          </cell>
          <cell r="U2125" t="str">
            <v>深圳</v>
          </cell>
          <cell r="V2125" t="str">
            <v>SHA 上海</v>
          </cell>
          <cell r="W2125" t="str">
            <v>Jason Liu</v>
          </cell>
          <cell r="X2125" t="str">
            <v>RMB</v>
          </cell>
          <cell r="Y2125">
            <v>59605</v>
          </cell>
          <cell r="Z2125">
            <v>1.1299999999999999</v>
          </cell>
          <cell r="AA2125">
            <v>59605</v>
          </cell>
          <cell r="AB2125">
            <v>1.077</v>
          </cell>
          <cell r="AC2125">
            <v>56809.367256637175</v>
          </cell>
          <cell r="AD2125">
            <v>6817.1240707964607</v>
          </cell>
          <cell r="AE2125">
            <v>0.12</v>
          </cell>
          <cell r="AF2125">
            <v>45183</v>
          </cell>
          <cell r="AG2125" t="str">
            <v>DDP SH</v>
          </cell>
          <cell r="AK2125">
            <v>0.3</v>
          </cell>
          <cell r="AL2125">
            <v>17881.5</v>
          </cell>
          <cell r="AM2125">
            <v>45184</v>
          </cell>
          <cell r="AN2125" t="str">
            <v>Yes</v>
          </cell>
          <cell r="AO2125">
            <v>0.7</v>
          </cell>
          <cell r="AP2125">
            <v>41723.5</v>
          </cell>
          <cell r="AQ2125">
            <v>45210</v>
          </cell>
          <cell r="AR2125">
            <v>45210</v>
          </cell>
          <cell r="AS2125">
            <v>0</v>
          </cell>
          <cell r="AT2125">
            <v>0</v>
          </cell>
          <cell r="AX2125" t="str">
            <v>Yes</v>
          </cell>
          <cell r="AZ2125" t="str">
            <v>Y</v>
          </cell>
          <cell r="BA2125" t="str">
            <v>Yes</v>
          </cell>
        </row>
        <row r="2126">
          <cell r="B2126">
            <v>1976</v>
          </cell>
          <cell r="C2126" t="str">
            <v>C49SZX20230102SX</v>
          </cell>
          <cell r="D2126" t="str">
            <v>太美亚</v>
          </cell>
          <cell r="E2126" t="str">
            <v>YSM20R-2</v>
          </cell>
          <cell r="I2126" t="str">
            <v>L-&gt;R</v>
          </cell>
          <cell r="J2126" t="str">
            <v>No</v>
          </cell>
          <cell r="K2126">
            <v>1</v>
          </cell>
          <cell r="N2126">
            <v>45191</v>
          </cell>
          <cell r="O2126">
            <v>11116845</v>
          </cell>
          <cell r="P2126">
            <v>20000000</v>
          </cell>
          <cell r="Q2126">
            <v>45191</v>
          </cell>
          <cell r="R2126" t="str">
            <v>No</v>
          </cell>
          <cell r="S2126" t="str">
            <v>C49</v>
          </cell>
          <cell r="T2126" t="str">
            <v>SOUTH</v>
          </cell>
          <cell r="U2126" t="str">
            <v>盐城</v>
          </cell>
          <cell r="V2126" t="str">
            <v>盐城</v>
          </cell>
          <cell r="W2126" t="str">
            <v>SX</v>
          </cell>
          <cell r="X2126" t="str">
            <v>JPY</v>
          </cell>
          <cell r="Y2126">
            <v>20000000</v>
          </cell>
          <cell r="Z2126">
            <v>1</v>
          </cell>
          <cell r="AA2126">
            <v>20000000</v>
          </cell>
          <cell r="AB2126">
            <v>5.4899999999999997E-2</v>
          </cell>
          <cell r="AC2126">
            <v>1098000</v>
          </cell>
          <cell r="AD2126">
            <v>131760</v>
          </cell>
          <cell r="AE2126">
            <v>0.12</v>
          </cell>
          <cell r="AF2126">
            <v>45184</v>
          </cell>
          <cell r="AG2126" t="str">
            <v>DAP YC</v>
          </cell>
          <cell r="AK2126">
            <v>1</v>
          </cell>
          <cell r="AL2126">
            <v>20000000</v>
          </cell>
          <cell r="AM2126">
            <v>45188</v>
          </cell>
          <cell r="AN2126" t="str">
            <v>Yes</v>
          </cell>
          <cell r="AO2126">
            <v>0</v>
          </cell>
          <cell r="AP2126">
            <v>0</v>
          </cell>
          <cell r="AS2126">
            <v>0</v>
          </cell>
          <cell r="AT2126">
            <v>0</v>
          </cell>
          <cell r="AX2126" t="str">
            <v>Yes</v>
          </cell>
          <cell r="AZ2126" t="str">
            <v>Y</v>
          </cell>
          <cell r="BA2126" t="str">
            <v>Yes</v>
          </cell>
        </row>
        <row r="2127">
          <cell r="B2127">
            <v>1977</v>
          </cell>
          <cell r="C2127" t="str">
            <v>C49SZX20230102SX</v>
          </cell>
          <cell r="D2127" t="str">
            <v>太美亚</v>
          </cell>
          <cell r="E2127" t="str">
            <v>YSM20R-2</v>
          </cell>
          <cell r="I2127" t="str">
            <v>L-&gt;R</v>
          </cell>
          <cell r="J2127" t="str">
            <v>No</v>
          </cell>
          <cell r="K2127">
            <v>1</v>
          </cell>
          <cell r="N2127">
            <v>45191</v>
          </cell>
          <cell r="O2127">
            <v>11116845</v>
          </cell>
          <cell r="P2127">
            <v>20000000</v>
          </cell>
          <cell r="Q2127">
            <v>45191</v>
          </cell>
          <cell r="R2127" t="str">
            <v>No</v>
          </cell>
          <cell r="S2127" t="str">
            <v>C49</v>
          </cell>
          <cell r="T2127" t="str">
            <v>SOUTH</v>
          </cell>
          <cell r="U2127" t="str">
            <v>盐城</v>
          </cell>
          <cell r="V2127" t="str">
            <v>盐城</v>
          </cell>
          <cell r="W2127" t="str">
            <v>SX</v>
          </cell>
          <cell r="X2127" t="str">
            <v>JPY</v>
          </cell>
          <cell r="Y2127">
            <v>20000000</v>
          </cell>
          <cell r="Z2127">
            <v>1</v>
          </cell>
          <cell r="AA2127">
            <v>20000000</v>
          </cell>
          <cell r="AB2127">
            <v>5.4899999999999997E-2</v>
          </cell>
          <cell r="AC2127">
            <v>1098000</v>
          </cell>
          <cell r="AD2127">
            <v>131760</v>
          </cell>
          <cell r="AE2127">
            <v>0.12</v>
          </cell>
          <cell r="AF2127">
            <v>45184</v>
          </cell>
          <cell r="AG2127" t="str">
            <v>DAP YC</v>
          </cell>
          <cell r="AK2127">
            <v>1</v>
          </cell>
          <cell r="AL2127">
            <v>20000000</v>
          </cell>
          <cell r="AM2127">
            <v>45188</v>
          </cell>
          <cell r="AN2127" t="str">
            <v>Yes</v>
          </cell>
          <cell r="AO2127">
            <v>0</v>
          </cell>
          <cell r="AP2127">
            <v>0</v>
          </cell>
          <cell r="AS2127">
            <v>0</v>
          </cell>
          <cell r="AT2127">
            <v>0</v>
          </cell>
          <cell r="AX2127" t="str">
            <v>Yes</v>
          </cell>
          <cell r="AZ2127" t="str">
            <v>Y</v>
          </cell>
          <cell r="BA2127" t="str">
            <v>Yes</v>
          </cell>
        </row>
        <row r="2128">
          <cell r="B2128">
            <v>1978</v>
          </cell>
          <cell r="C2128" t="str">
            <v>C49SZX20230102SX</v>
          </cell>
          <cell r="D2128" t="str">
            <v>太美亚</v>
          </cell>
          <cell r="E2128" t="str">
            <v>YSM10</v>
          </cell>
          <cell r="I2128" t="str">
            <v>L-&gt;R</v>
          </cell>
          <cell r="J2128" t="str">
            <v>MVC+ATS15</v>
          </cell>
          <cell r="K2128">
            <v>1</v>
          </cell>
          <cell r="N2128">
            <v>45191</v>
          </cell>
          <cell r="O2128">
            <v>11116845</v>
          </cell>
          <cell r="P2128">
            <v>8800000</v>
          </cell>
          <cell r="Q2128">
            <v>45191</v>
          </cell>
          <cell r="R2128" t="str">
            <v>No</v>
          </cell>
          <cell r="S2128" t="str">
            <v>C49</v>
          </cell>
          <cell r="T2128" t="str">
            <v>SOUTH</v>
          </cell>
          <cell r="U2128" t="str">
            <v>盐城</v>
          </cell>
          <cell r="V2128" t="str">
            <v>盐城</v>
          </cell>
          <cell r="W2128" t="str">
            <v>SX</v>
          </cell>
          <cell r="X2128" t="str">
            <v>JPY</v>
          </cell>
          <cell r="Y2128">
            <v>8800000</v>
          </cell>
          <cell r="Z2128">
            <v>1</v>
          </cell>
          <cell r="AA2128">
            <v>8800000</v>
          </cell>
          <cell r="AB2128">
            <v>5.4899999999999997E-2</v>
          </cell>
          <cell r="AC2128">
            <v>483120</v>
          </cell>
          <cell r="AD2128">
            <v>57974.400000000001</v>
          </cell>
          <cell r="AE2128">
            <v>0.12</v>
          </cell>
          <cell r="AF2128">
            <v>45184</v>
          </cell>
          <cell r="AG2128" t="str">
            <v>DAP YC</v>
          </cell>
          <cell r="AK2128">
            <v>1</v>
          </cell>
          <cell r="AL2128">
            <v>8800000</v>
          </cell>
          <cell r="AM2128">
            <v>45188</v>
          </cell>
          <cell r="AN2128" t="str">
            <v>Yes</v>
          </cell>
          <cell r="AO2128">
            <v>0</v>
          </cell>
          <cell r="AP2128">
            <v>0</v>
          </cell>
          <cell r="AS2128">
            <v>0</v>
          </cell>
          <cell r="AT2128">
            <v>0</v>
          </cell>
          <cell r="AX2128" t="str">
            <v>Yes</v>
          </cell>
          <cell r="AZ2128" t="str">
            <v>Y</v>
          </cell>
          <cell r="BA2128" t="str">
            <v>Yes</v>
          </cell>
        </row>
        <row r="2129">
          <cell r="B2129">
            <v>1979</v>
          </cell>
          <cell r="C2129" t="str">
            <v>C49SZX20230102SX</v>
          </cell>
          <cell r="D2129" t="str">
            <v>太美亚</v>
          </cell>
          <cell r="E2129" t="str">
            <v>YSM10</v>
          </cell>
          <cell r="I2129" t="str">
            <v>L-&gt;R</v>
          </cell>
          <cell r="J2129" t="str">
            <v>MVC+ATS15</v>
          </cell>
          <cell r="K2129">
            <v>1</v>
          </cell>
          <cell r="N2129">
            <v>45191</v>
          </cell>
          <cell r="O2129">
            <v>11116845</v>
          </cell>
          <cell r="P2129">
            <v>8800000</v>
          </cell>
          <cell r="Q2129">
            <v>45191</v>
          </cell>
          <cell r="R2129" t="str">
            <v>No</v>
          </cell>
          <cell r="S2129" t="str">
            <v>C49</v>
          </cell>
          <cell r="T2129" t="str">
            <v>SOUTH</v>
          </cell>
          <cell r="U2129" t="str">
            <v>盐城</v>
          </cell>
          <cell r="V2129" t="str">
            <v>盐城</v>
          </cell>
          <cell r="W2129" t="str">
            <v>SX</v>
          </cell>
          <cell r="X2129" t="str">
            <v>JPY</v>
          </cell>
          <cell r="Y2129">
            <v>8800000</v>
          </cell>
          <cell r="Z2129">
            <v>1</v>
          </cell>
          <cell r="AA2129">
            <v>8800000</v>
          </cell>
          <cell r="AB2129">
            <v>5.4899999999999997E-2</v>
          </cell>
          <cell r="AC2129">
            <v>483120</v>
          </cell>
          <cell r="AD2129">
            <v>57974.400000000001</v>
          </cell>
          <cell r="AE2129">
            <v>0.12</v>
          </cell>
          <cell r="AF2129">
            <v>45184</v>
          </cell>
          <cell r="AG2129" t="str">
            <v>DAP YC</v>
          </cell>
          <cell r="AK2129">
            <v>1</v>
          </cell>
          <cell r="AL2129">
            <v>8800000</v>
          </cell>
          <cell r="AM2129">
            <v>45188</v>
          </cell>
          <cell r="AN2129" t="str">
            <v>Yes</v>
          </cell>
          <cell r="AO2129">
            <v>0</v>
          </cell>
          <cell r="AP2129">
            <v>0</v>
          </cell>
          <cell r="AS2129">
            <v>0</v>
          </cell>
          <cell r="AT2129">
            <v>0</v>
          </cell>
          <cell r="AX2129" t="str">
            <v>Yes</v>
          </cell>
          <cell r="AZ2129" t="str">
            <v>Y</v>
          </cell>
          <cell r="BA2129" t="str">
            <v>Yes</v>
          </cell>
        </row>
        <row r="2130">
          <cell r="B2130">
            <v>1980</v>
          </cell>
          <cell r="C2130" t="str">
            <v>C49SZX20230101DM</v>
          </cell>
          <cell r="D2130" t="str">
            <v>菲帆</v>
          </cell>
          <cell r="E2130" t="str">
            <v>YSM20R-2</v>
          </cell>
          <cell r="F2130"/>
          <cell r="H2130"/>
          <cell r="I2130" t="str">
            <v>L-&gt;R</v>
          </cell>
          <cell r="J2130" t="str">
            <v>No</v>
          </cell>
          <cell r="K2130">
            <v>1</v>
          </cell>
          <cell r="O2130"/>
          <cell r="P2130"/>
          <cell r="Q2130"/>
          <cell r="R2130" t="str">
            <v>No</v>
          </cell>
          <cell r="S2130" t="str">
            <v>C49</v>
          </cell>
          <cell r="T2130" t="str">
            <v>SOUTH</v>
          </cell>
          <cell r="U2130" t="str">
            <v>惠州</v>
          </cell>
          <cell r="V2130" t="str">
            <v>HZ 惠州</v>
          </cell>
          <cell r="W2130" t="str">
            <v>DM</v>
          </cell>
          <cell r="X2130" t="str">
            <v>JPY</v>
          </cell>
          <cell r="Y2130">
            <v>12450000</v>
          </cell>
          <cell r="Z2130">
            <v>1</v>
          </cell>
          <cell r="AA2130">
            <v>12450000</v>
          </cell>
          <cell r="AB2130">
            <v>5.4899999999999997E-2</v>
          </cell>
          <cell r="AC2130">
            <v>683505</v>
          </cell>
          <cell r="AD2130">
            <v>82020.599999999991</v>
          </cell>
          <cell r="AE2130">
            <v>0.12</v>
          </cell>
          <cell r="AF2130">
            <v>45190</v>
          </cell>
          <cell r="AG2130" t="str">
            <v>DAP HZ</v>
          </cell>
          <cell r="AI2130"/>
          <cell r="AK2130">
            <v>0.1</v>
          </cell>
          <cell r="AL2130">
            <v>1245000</v>
          </cell>
          <cell r="AM2130"/>
          <cell r="AN2130" t="str">
            <v>No</v>
          </cell>
          <cell r="AO2130">
            <v>0.9</v>
          </cell>
          <cell r="AP2130">
            <v>11205000</v>
          </cell>
          <cell r="AQ2130"/>
          <cell r="AR2130"/>
          <cell r="AS2130">
            <v>0</v>
          </cell>
          <cell r="AT2130">
            <v>0</v>
          </cell>
          <cell r="AX2130"/>
          <cell r="AY2130"/>
          <cell r="AZ2130"/>
          <cell r="BA2130"/>
        </row>
        <row r="2131">
          <cell r="B2131">
            <v>1981</v>
          </cell>
          <cell r="C2131" t="str">
            <v>C49SZX20230101R1DM</v>
          </cell>
          <cell r="D2131" t="str">
            <v>菲帆</v>
          </cell>
          <cell r="E2131" t="str">
            <v>YSM20R-2</v>
          </cell>
          <cell r="I2131" t="str">
            <v>L-&gt;R</v>
          </cell>
          <cell r="J2131" t="str">
            <v>No</v>
          </cell>
          <cell r="K2131">
            <v>1</v>
          </cell>
          <cell r="N2131">
            <v>45225</v>
          </cell>
          <cell r="O2131">
            <v>11116850</v>
          </cell>
          <cell r="P2131">
            <v>12500000</v>
          </cell>
          <cell r="Q2131">
            <v>45226</v>
          </cell>
          <cell r="R2131" t="str">
            <v>No</v>
          </cell>
          <cell r="S2131" t="str">
            <v>C49</v>
          </cell>
          <cell r="T2131" t="str">
            <v>SOUTH</v>
          </cell>
          <cell r="U2131" t="str">
            <v>惠州</v>
          </cell>
          <cell r="V2131" t="str">
            <v>HZ 惠州</v>
          </cell>
          <cell r="W2131" t="str">
            <v>DM</v>
          </cell>
          <cell r="X2131" t="str">
            <v>JPY</v>
          </cell>
          <cell r="Y2131">
            <v>12500000</v>
          </cell>
          <cell r="Z2131">
            <v>1</v>
          </cell>
          <cell r="AA2131">
            <v>12500000</v>
          </cell>
          <cell r="AB2131">
            <v>5.4899999999999997E-2</v>
          </cell>
          <cell r="AC2131">
            <v>686250</v>
          </cell>
          <cell r="AD2131">
            <v>82350</v>
          </cell>
          <cell r="AE2131">
            <v>0.12</v>
          </cell>
          <cell r="AF2131">
            <v>45190</v>
          </cell>
          <cell r="AG2131" t="str">
            <v>DAP HZ</v>
          </cell>
          <cell r="AK2131">
            <v>0.1</v>
          </cell>
          <cell r="AL2131">
            <v>1250000</v>
          </cell>
          <cell r="AM2131">
            <v>45223</v>
          </cell>
          <cell r="AN2131" t="str">
            <v>Yes</v>
          </cell>
          <cell r="AO2131">
            <v>0.9</v>
          </cell>
          <cell r="AP2131">
            <v>11250000</v>
          </cell>
          <cell r="AQ2131">
            <v>45223</v>
          </cell>
          <cell r="AR2131">
            <v>45223</v>
          </cell>
          <cell r="AS2131">
            <v>0</v>
          </cell>
          <cell r="AT2131">
            <v>0</v>
          </cell>
          <cell r="AX2131" t="str">
            <v>Yes</v>
          </cell>
          <cell r="AZ2131" t="str">
            <v>Y</v>
          </cell>
          <cell r="BA2131" t="str">
            <v>Yes</v>
          </cell>
        </row>
        <row r="2132">
          <cell r="B2132">
            <v>1982</v>
          </cell>
          <cell r="C2132" t="str">
            <v>C49SZX20230101R1DM</v>
          </cell>
          <cell r="D2132" t="str">
            <v>菲帆</v>
          </cell>
          <cell r="E2132" t="str">
            <v>YSM10</v>
          </cell>
          <cell r="I2132" t="str">
            <v>L-&gt;R</v>
          </cell>
          <cell r="J2132" t="str">
            <v>MVC</v>
          </cell>
          <cell r="K2132">
            <v>1</v>
          </cell>
          <cell r="N2132">
            <v>45225</v>
          </cell>
          <cell r="O2132">
            <v>11116850</v>
          </cell>
          <cell r="P2132">
            <v>8170000</v>
          </cell>
          <cell r="Q2132">
            <v>45226</v>
          </cell>
          <cell r="R2132" t="str">
            <v>No</v>
          </cell>
          <cell r="S2132" t="str">
            <v>C49</v>
          </cell>
          <cell r="T2132" t="str">
            <v>SOUTH</v>
          </cell>
          <cell r="U2132" t="str">
            <v>惠州</v>
          </cell>
          <cell r="V2132" t="str">
            <v>HZ 惠州</v>
          </cell>
          <cell r="W2132" t="str">
            <v>DM</v>
          </cell>
          <cell r="X2132" t="str">
            <v>JPY</v>
          </cell>
          <cell r="Y2132">
            <v>8170000</v>
          </cell>
          <cell r="Z2132">
            <v>1</v>
          </cell>
          <cell r="AA2132">
            <v>8170000</v>
          </cell>
          <cell r="AB2132">
            <v>5.4899999999999997E-2</v>
          </cell>
          <cell r="AC2132">
            <v>448533</v>
          </cell>
          <cell r="AD2132">
            <v>53823.96</v>
          </cell>
          <cell r="AE2132">
            <v>0.12</v>
          </cell>
          <cell r="AF2132">
            <v>45190</v>
          </cell>
          <cell r="AG2132" t="str">
            <v>DAP HZ</v>
          </cell>
          <cell r="AK2132">
            <v>0.1</v>
          </cell>
          <cell r="AL2132">
            <v>817000</v>
          </cell>
          <cell r="AM2132">
            <v>45223</v>
          </cell>
          <cell r="AN2132" t="str">
            <v>Yes</v>
          </cell>
          <cell r="AO2132">
            <v>0.9</v>
          </cell>
          <cell r="AP2132">
            <v>7353000</v>
          </cell>
          <cell r="AQ2132">
            <v>45223</v>
          </cell>
          <cell r="AR2132">
            <v>45223</v>
          </cell>
          <cell r="AS2132">
            <v>0</v>
          </cell>
          <cell r="AT2132">
            <v>0</v>
          </cell>
          <cell r="AX2132" t="str">
            <v>Yes</v>
          </cell>
          <cell r="AZ2132" t="str">
            <v>Y</v>
          </cell>
          <cell r="BA2132" t="str">
            <v>Yes</v>
          </cell>
        </row>
        <row r="2133">
          <cell r="B2133">
            <v>1983</v>
          </cell>
          <cell r="C2133" t="str">
            <v>C49SZX20230101DM</v>
          </cell>
          <cell r="D2133" t="str">
            <v>菲帆</v>
          </cell>
          <cell r="E2133" t="str">
            <v>YSM10</v>
          </cell>
          <cell r="F2133"/>
          <cell r="H2133"/>
          <cell r="I2133" t="str">
            <v>L-&gt;R</v>
          </cell>
          <cell r="J2133" t="str">
            <v>MVC</v>
          </cell>
          <cell r="K2133">
            <v>1</v>
          </cell>
          <cell r="L2133"/>
          <cell r="N2133"/>
          <cell r="O2133"/>
          <cell r="P2133"/>
          <cell r="Q2133"/>
          <cell r="R2133" t="str">
            <v>No</v>
          </cell>
          <cell r="S2133" t="str">
            <v>C49</v>
          </cell>
          <cell r="T2133" t="str">
            <v>SOUTH</v>
          </cell>
          <cell r="U2133" t="str">
            <v>惠州</v>
          </cell>
          <cell r="V2133" t="str">
            <v>HZ 惠州</v>
          </cell>
          <cell r="W2133" t="str">
            <v>DM</v>
          </cell>
          <cell r="X2133" t="str">
            <v>JPY</v>
          </cell>
          <cell r="Y2133">
            <v>7800000</v>
          </cell>
          <cell r="Z2133">
            <v>1</v>
          </cell>
          <cell r="AA2133">
            <v>7800000</v>
          </cell>
          <cell r="AB2133">
            <v>5.4899999999999997E-2</v>
          </cell>
          <cell r="AC2133">
            <v>428220</v>
          </cell>
          <cell r="AD2133">
            <v>51386.400000000001</v>
          </cell>
          <cell r="AE2133">
            <v>0.12</v>
          </cell>
          <cell r="AF2133">
            <v>45190</v>
          </cell>
          <cell r="AG2133" t="str">
            <v>DAP HZ</v>
          </cell>
          <cell r="AI2133"/>
          <cell r="AJ2133"/>
          <cell r="AK2133">
            <v>0.1</v>
          </cell>
          <cell r="AL2133">
            <v>780000</v>
          </cell>
          <cell r="AM2133"/>
          <cell r="AN2133" t="str">
            <v>No</v>
          </cell>
          <cell r="AO2133">
            <v>0.9</v>
          </cell>
          <cell r="AP2133">
            <v>7020000</v>
          </cell>
          <cell r="AQ2133"/>
          <cell r="AR2133"/>
          <cell r="AS2133">
            <v>0</v>
          </cell>
          <cell r="AT2133">
            <v>0</v>
          </cell>
          <cell r="AV2133"/>
          <cell r="AX2133"/>
          <cell r="AY2133"/>
          <cell r="AZ2133"/>
          <cell r="BA2133"/>
        </row>
        <row r="2134">
          <cell r="B2134">
            <v>1984</v>
          </cell>
          <cell r="C2134" t="str">
            <v>C49SZX20230109JY</v>
          </cell>
          <cell r="D2134" t="str">
            <v>精德鸿（end user:海纳科)</v>
          </cell>
          <cell r="E2134" t="str">
            <v>YSM20R-2</v>
          </cell>
          <cell r="I2134" t="str">
            <v>L-&gt;R</v>
          </cell>
          <cell r="J2134" t="str">
            <v>MVC F&amp;R</v>
          </cell>
          <cell r="K2134">
            <v>1</v>
          </cell>
          <cell r="N2134">
            <v>45212</v>
          </cell>
          <cell r="O2134">
            <v>11116849</v>
          </cell>
          <cell r="P2134">
            <v>13000000</v>
          </cell>
          <cell r="Q2134">
            <v>45223</v>
          </cell>
          <cell r="R2134" t="str">
            <v>No</v>
          </cell>
          <cell r="S2134" t="str">
            <v>C49</v>
          </cell>
          <cell r="T2134" t="str">
            <v>SOUTH</v>
          </cell>
          <cell r="U2134" t="str">
            <v>深圳</v>
          </cell>
          <cell r="V2134" t="str">
            <v>SZ 深圳</v>
          </cell>
          <cell r="W2134" t="str">
            <v>JY</v>
          </cell>
          <cell r="X2134" t="str">
            <v>JPY</v>
          </cell>
          <cell r="Y2134">
            <v>13000000</v>
          </cell>
          <cell r="Z2134">
            <v>1</v>
          </cell>
          <cell r="AA2134">
            <v>13000000</v>
          </cell>
          <cell r="AB2134">
            <v>5.4899999999999997E-2</v>
          </cell>
          <cell r="AC2134">
            <v>713700</v>
          </cell>
          <cell r="AD2134">
            <v>85644</v>
          </cell>
          <cell r="AE2134">
            <v>0.12</v>
          </cell>
          <cell r="AF2134">
            <v>45190</v>
          </cell>
          <cell r="AG2134" t="str">
            <v>DAP SZ</v>
          </cell>
          <cell r="AI2134">
            <v>50000</v>
          </cell>
          <cell r="AJ2134">
            <v>45194</v>
          </cell>
          <cell r="AK2134">
            <v>1</v>
          </cell>
          <cell r="AL2134">
            <v>13000000</v>
          </cell>
          <cell r="AM2134">
            <v>45210</v>
          </cell>
          <cell r="AN2134" t="str">
            <v>Yes</v>
          </cell>
          <cell r="AO2134">
            <v>0</v>
          </cell>
          <cell r="AP2134">
            <v>0</v>
          </cell>
          <cell r="AS2134">
            <v>0</v>
          </cell>
          <cell r="AT2134">
            <v>0</v>
          </cell>
          <cell r="AX2134" t="str">
            <v>Yes</v>
          </cell>
          <cell r="AZ2134" t="str">
            <v>Y</v>
          </cell>
          <cell r="BA2134" t="str">
            <v>Yes</v>
          </cell>
        </row>
        <row r="2135">
          <cell r="B2135">
            <v>1985</v>
          </cell>
          <cell r="C2135" t="str">
            <v>C49SZX20230106SX</v>
          </cell>
          <cell r="D2135" t="str">
            <v>众鑫科</v>
          </cell>
          <cell r="E2135" t="str">
            <v>YSM20R-2</v>
          </cell>
          <cell r="F2135"/>
          <cell r="H2135"/>
          <cell r="I2135" t="str">
            <v>R-&gt;L</v>
          </cell>
          <cell r="J2135" t="str">
            <v>No</v>
          </cell>
          <cell r="K2135">
            <v>1</v>
          </cell>
          <cell r="L2135"/>
          <cell r="N2135"/>
          <cell r="O2135"/>
          <cell r="P2135"/>
          <cell r="Q2135"/>
          <cell r="R2135" t="str">
            <v>No</v>
          </cell>
          <cell r="S2135" t="str">
            <v>C49</v>
          </cell>
          <cell r="T2135" t="str">
            <v>SOUTH</v>
          </cell>
          <cell r="U2135" t="str">
            <v>惠州</v>
          </cell>
          <cell r="V2135" t="str">
            <v>SZ 深圳</v>
          </cell>
          <cell r="W2135" t="str">
            <v>SX</v>
          </cell>
          <cell r="X2135" t="str">
            <v>JPY</v>
          </cell>
          <cell r="Y2135">
            <v>17000000</v>
          </cell>
          <cell r="Z2135">
            <v>1</v>
          </cell>
          <cell r="AA2135">
            <v>17000000</v>
          </cell>
          <cell r="AB2135">
            <v>5.4899999999999997E-2</v>
          </cell>
          <cell r="AC2135">
            <v>933300</v>
          </cell>
          <cell r="AD2135">
            <v>111996</v>
          </cell>
          <cell r="AE2135">
            <v>0.12</v>
          </cell>
          <cell r="AF2135">
            <v>45191</v>
          </cell>
          <cell r="AG2135" t="str">
            <v>DAP HZ</v>
          </cell>
          <cell r="AI2135"/>
          <cell r="AJ2135"/>
          <cell r="AK2135">
            <v>0.1</v>
          </cell>
          <cell r="AL2135">
            <v>1700000</v>
          </cell>
          <cell r="AM2135"/>
          <cell r="AN2135" t="str">
            <v>No</v>
          </cell>
          <cell r="AO2135">
            <v>0.9</v>
          </cell>
          <cell r="AP2135">
            <v>15300000</v>
          </cell>
          <cell r="AQ2135"/>
          <cell r="AR2135"/>
          <cell r="AS2135">
            <v>0</v>
          </cell>
          <cell r="AT2135">
            <v>0</v>
          </cell>
          <cell r="AV2135"/>
          <cell r="AX2135" t="str">
            <v>Cancel</v>
          </cell>
          <cell r="AY2135"/>
          <cell r="AZ2135"/>
          <cell r="BA2135" t="str">
            <v>Cancel</v>
          </cell>
          <cell r="BB2135" t="str">
            <v>2023-12-13 Ken邮件通知Fay</v>
          </cell>
        </row>
        <row r="2136">
          <cell r="B2136">
            <v>1986</v>
          </cell>
          <cell r="C2136" t="str">
            <v>C49SZX20230106SX</v>
          </cell>
          <cell r="D2136" t="str">
            <v>众鑫科</v>
          </cell>
          <cell r="E2136" t="str">
            <v>YSM10</v>
          </cell>
          <cell r="F2136"/>
          <cell r="H2136"/>
          <cell r="I2136" t="str">
            <v>R-&gt;L</v>
          </cell>
          <cell r="J2136" t="str">
            <v>MVC+ATS15</v>
          </cell>
          <cell r="K2136">
            <v>1</v>
          </cell>
          <cell r="L2136"/>
          <cell r="N2136"/>
          <cell r="O2136"/>
          <cell r="P2136"/>
          <cell r="Q2136"/>
          <cell r="R2136" t="str">
            <v>No</v>
          </cell>
          <cell r="S2136" t="str">
            <v>C49</v>
          </cell>
          <cell r="T2136" t="str">
            <v>SOUTH</v>
          </cell>
          <cell r="U2136" t="str">
            <v>惠州</v>
          </cell>
          <cell r="V2136" t="str">
            <v>SZ 深圳</v>
          </cell>
          <cell r="W2136" t="str">
            <v>SX</v>
          </cell>
          <cell r="X2136" t="str">
            <v>JPY</v>
          </cell>
          <cell r="Y2136">
            <v>8993000</v>
          </cell>
          <cell r="Z2136">
            <v>1</v>
          </cell>
          <cell r="AA2136">
            <v>8993000</v>
          </cell>
          <cell r="AB2136">
            <v>5.4899999999999997E-2</v>
          </cell>
          <cell r="AC2136">
            <v>493715.69999999995</v>
          </cell>
          <cell r="AD2136">
            <v>59245.883999999991</v>
          </cell>
          <cell r="AE2136">
            <v>0.12</v>
          </cell>
          <cell r="AF2136">
            <v>45191</v>
          </cell>
          <cell r="AG2136" t="str">
            <v>DAP HZ</v>
          </cell>
          <cell r="AI2136"/>
          <cell r="AJ2136"/>
          <cell r="AK2136">
            <v>0.1</v>
          </cell>
          <cell r="AL2136">
            <v>899300</v>
          </cell>
          <cell r="AM2136"/>
          <cell r="AN2136" t="str">
            <v>No</v>
          </cell>
          <cell r="AO2136">
            <v>0.9</v>
          </cell>
          <cell r="AP2136">
            <v>8093700</v>
          </cell>
          <cell r="AQ2136"/>
          <cell r="AR2136"/>
          <cell r="AS2136">
            <v>0</v>
          </cell>
          <cell r="AT2136">
            <v>0</v>
          </cell>
          <cell r="AV2136"/>
          <cell r="AX2136" t="str">
            <v>Cancel</v>
          </cell>
          <cell r="AY2136"/>
          <cell r="AZ2136"/>
          <cell r="BA2136" t="str">
            <v>Cancel</v>
          </cell>
          <cell r="BB2136" t="str">
            <v>2023-12-13 Ken邮件通知Fay</v>
          </cell>
        </row>
        <row r="2137">
          <cell r="B2137">
            <v>1987</v>
          </cell>
          <cell r="C2137" t="str">
            <v>C49SZX20230105HC</v>
          </cell>
          <cell r="D2137" t="str">
            <v>云视兴</v>
          </cell>
          <cell r="E2137" t="str">
            <v>YSM20R-2</v>
          </cell>
          <cell r="F2137"/>
          <cell r="H2137"/>
          <cell r="I2137" t="str">
            <v>L-&gt;R</v>
          </cell>
          <cell r="J2137" t="str">
            <v>No</v>
          </cell>
          <cell r="K2137">
            <v>1</v>
          </cell>
          <cell r="L2137"/>
          <cell r="N2137"/>
          <cell r="O2137"/>
          <cell r="P2137"/>
          <cell r="Q2137"/>
          <cell r="R2137" t="str">
            <v>Yes</v>
          </cell>
          <cell r="S2137" t="str">
            <v>C49</v>
          </cell>
          <cell r="T2137" t="str">
            <v>SOUTH</v>
          </cell>
          <cell r="U2137" t="str">
            <v>深圳</v>
          </cell>
          <cell r="V2137" t="str">
            <v>AQ安庆</v>
          </cell>
          <cell r="W2137" t="str">
            <v>HC</v>
          </cell>
          <cell r="X2137" t="str">
            <v>RMB</v>
          </cell>
          <cell r="Y2137">
            <v>760000</v>
          </cell>
          <cell r="Z2137">
            <v>1.1299999999999999</v>
          </cell>
          <cell r="AA2137">
            <v>760000</v>
          </cell>
          <cell r="AB2137">
            <v>1.077</v>
          </cell>
          <cell r="AC2137">
            <v>724353.98230088491</v>
          </cell>
          <cell r="AD2137">
            <v>86922.47787610619</v>
          </cell>
          <cell r="AE2137">
            <v>0.12</v>
          </cell>
          <cell r="AF2137">
            <v>45197</v>
          </cell>
          <cell r="AG2137" t="str">
            <v>DDP AQ</v>
          </cell>
          <cell r="AI2137"/>
          <cell r="AJ2137"/>
          <cell r="AK2137">
            <v>1</v>
          </cell>
          <cell r="AL2137">
            <v>760000</v>
          </cell>
          <cell r="AM2137"/>
          <cell r="AN2137" t="str">
            <v>No</v>
          </cell>
          <cell r="AO2137">
            <v>0</v>
          </cell>
          <cell r="AP2137">
            <v>0</v>
          </cell>
          <cell r="AQ2137"/>
          <cell r="AR2137"/>
          <cell r="AS2137">
            <v>0</v>
          </cell>
          <cell r="AT2137">
            <v>0</v>
          </cell>
          <cell r="AV2137"/>
          <cell r="AX2137" t="str">
            <v>Cancel</v>
          </cell>
          <cell r="AY2137"/>
          <cell r="AZ2137"/>
          <cell r="BA2137" t="str">
            <v>Cancel</v>
          </cell>
          <cell r="BB2137" t="str">
            <v>2023-12-18 Ken邮件通知Fay</v>
          </cell>
        </row>
        <row r="2138">
          <cell r="B2138">
            <v>1988</v>
          </cell>
          <cell r="C2138" t="str">
            <v>C49SZX20230105HC</v>
          </cell>
          <cell r="D2138" t="str">
            <v>云视兴</v>
          </cell>
          <cell r="E2138" t="str">
            <v>YSM20R-2</v>
          </cell>
          <cell r="F2138"/>
          <cell r="H2138"/>
          <cell r="I2138" t="str">
            <v>L-&gt;R</v>
          </cell>
          <cell r="J2138" t="str">
            <v>No</v>
          </cell>
          <cell r="K2138">
            <v>1</v>
          </cell>
          <cell r="L2138"/>
          <cell r="N2138"/>
          <cell r="O2138"/>
          <cell r="P2138"/>
          <cell r="Q2138"/>
          <cell r="R2138" t="str">
            <v>Yes</v>
          </cell>
          <cell r="S2138" t="str">
            <v>C49</v>
          </cell>
          <cell r="T2138" t="str">
            <v>SOUTH</v>
          </cell>
          <cell r="U2138" t="str">
            <v>深圳</v>
          </cell>
          <cell r="V2138" t="str">
            <v>AQ安庆</v>
          </cell>
          <cell r="W2138" t="str">
            <v>HC</v>
          </cell>
          <cell r="X2138" t="str">
            <v>RMB</v>
          </cell>
          <cell r="Y2138">
            <v>760000</v>
          </cell>
          <cell r="Z2138">
            <v>1.1299999999999999</v>
          </cell>
          <cell r="AA2138">
            <v>760000</v>
          </cell>
          <cell r="AB2138">
            <v>1.077</v>
          </cell>
          <cell r="AC2138">
            <v>724353.98230088491</v>
          </cell>
          <cell r="AD2138">
            <v>86922.47787610619</v>
          </cell>
          <cell r="AE2138">
            <v>0.12</v>
          </cell>
          <cell r="AF2138">
            <v>45197</v>
          </cell>
          <cell r="AG2138" t="str">
            <v>DDP AQ</v>
          </cell>
          <cell r="AI2138"/>
          <cell r="AJ2138"/>
          <cell r="AK2138">
            <v>1</v>
          </cell>
          <cell r="AL2138">
            <v>760000</v>
          </cell>
          <cell r="AM2138"/>
          <cell r="AN2138" t="str">
            <v>No</v>
          </cell>
          <cell r="AO2138">
            <v>0</v>
          </cell>
          <cell r="AP2138">
            <v>0</v>
          </cell>
          <cell r="AQ2138"/>
          <cell r="AR2138"/>
          <cell r="AS2138">
            <v>0</v>
          </cell>
          <cell r="AT2138">
            <v>0</v>
          </cell>
          <cell r="AV2138"/>
          <cell r="AX2138" t="str">
            <v>Cancel</v>
          </cell>
          <cell r="AY2138"/>
          <cell r="AZ2138"/>
          <cell r="BA2138" t="str">
            <v>Cancel</v>
          </cell>
          <cell r="BB2138" t="str">
            <v>2023-12-18 Ken邮件通知Fay</v>
          </cell>
        </row>
        <row r="2139">
          <cell r="B2139">
            <v>1989</v>
          </cell>
          <cell r="C2139" t="str">
            <v>C49SZX20230105HC</v>
          </cell>
          <cell r="D2139" t="str">
            <v>云视兴</v>
          </cell>
          <cell r="E2139" t="str">
            <v>YSM10</v>
          </cell>
          <cell r="F2139"/>
          <cell r="H2139"/>
          <cell r="I2139" t="str">
            <v>L-&gt;R</v>
          </cell>
          <cell r="J2139" t="str">
            <v>MVC</v>
          </cell>
          <cell r="K2139">
            <v>1</v>
          </cell>
          <cell r="L2139"/>
          <cell r="N2139"/>
          <cell r="O2139"/>
          <cell r="P2139"/>
          <cell r="Q2139"/>
          <cell r="R2139" t="str">
            <v>Yes</v>
          </cell>
          <cell r="S2139" t="str">
            <v>C49</v>
          </cell>
          <cell r="T2139" t="str">
            <v>SOUTH</v>
          </cell>
          <cell r="U2139" t="str">
            <v>深圳</v>
          </cell>
          <cell r="V2139" t="str">
            <v>AQ安庆</v>
          </cell>
          <cell r="W2139" t="str">
            <v>HC</v>
          </cell>
          <cell r="X2139" t="str">
            <v>RMB</v>
          </cell>
          <cell r="Y2139">
            <v>430000</v>
          </cell>
          <cell r="Z2139">
            <v>1.1299999999999999</v>
          </cell>
          <cell r="AA2139">
            <v>430000</v>
          </cell>
          <cell r="AB2139">
            <v>1.077</v>
          </cell>
          <cell r="AC2139">
            <v>409831.85840707965</v>
          </cell>
          <cell r="AD2139">
            <v>49179.823008849555</v>
          </cell>
          <cell r="AE2139">
            <v>0.12</v>
          </cell>
          <cell r="AF2139">
            <v>45197</v>
          </cell>
          <cell r="AG2139" t="str">
            <v>DDP AQ</v>
          </cell>
          <cell r="AI2139"/>
          <cell r="AJ2139"/>
          <cell r="AK2139">
            <v>1</v>
          </cell>
          <cell r="AL2139">
            <v>430000</v>
          </cell>
          <cell r="AM2139"/>
          <cell r="AN2139" t="str">
            <v>No</v>
          </cell>
          <cell r="AO2139">
            <v>0</v>
          </cell>
          <cell r="AP2139">
            <v>0</v>
          </cell>
          <cell r="AQ2139"/>
          <cell r="AR2139"/>
          <cell r="AS2139">
            <v>0</v>
          </cell>
          <cell r="AT2139">
            <v>0</v>
          </cell>
          <cell r="AV2139"/>
          <cell r="AX2139" t="str">
            <v>Cancel</v>
          </cell>
          <cell r="AY2139"/>
          <cell r="AZ2139"/>
          <cell r="BA2139" t="str">
            <v>Cancel</v>
          </cell>
          <cell r="BB2139" t="str">
            <v>2023-12-18 Ken邮件通知Fay</v>
          </cell>
        </row>
        <row r="2140">
          <cell r="B2140">
            <v>1990</v>
          </cell>
          <cell r="C2140" t="str">
            <v>C49SZX20230105HC</v>
          </cell>
          <cell r="D2140" t="str">
            <v>云视兴</v>
          </cell>
          <cell r="E2140" t="str">
            <v>YSM10</v>
          </cell>
          <cell r="F2140"/>
          <cell r="H2140"/>
          <cell r="I2140" t="str">
            <v>L-&gt;R</v>
          </cell>
          <cell r="J2140" t="str">
            <v>MVC</v>
          </cell>
          <cell r="K2140">
            <v>1</v>
          </cell>
          <cell r="L2140"/>
          <cell r="N2140"/>
          <cell r="O2140"/>
          <cell r="P2140"/>
          <cell r="Q2140"/>
          <cell r="R2140" t="str">
            <v>Yes</v>
          </cell>
          <cell r="S2140" t="str">
            <v>C49</v>
          </cell>
          <cell r="T2140" t="str">
            <v>SOUTH</v>
          </cell>
          <cell r="U2140" t="str">
            <v>深圳</v>
          </cell>
          <cell r="V2140" t="str">
            <v>AQ安庆</v>
          </cell>
          <cell r="W2140" t="str">
            <v>HC</v>
          </cell>
          <cell r="X2140" t="str">
            <v>RMB</v>
          </cell>
          <cell r="Y2140">
            <v>430000</v>
          </cell>
          <cell r="Z2140">
            <v>1.1299999999999999</v>
          </cell>
          <cell r="AA2140">
            <v>460000</v>
          </cell>
          <cell r="AB2140">
            <v>1.077</v>
          </cell>
          <cell r="AC2140">
            <v>438424.77876106196</v>
          </cell>
          <cell r="AD2140">
            <v>52610.973451327431</v>
          </cell>
          <cell r="AE2140">
            <v>0.12</v>
          </cell>
          <cell r="AF2140">
            <v>45197</v>
          </cell>
          <cell r="AG2140" t="str">
            <v>DDP AQ</v>
          </cell>
          <cell r="AI2140"/>
          <cell r="AJ2140"/>
          <cell r="AK2140">
            <v>1</v>
          </cell>
          <cell r="AL2140">
            <v>430000</v>
          </cell>
          <cell r="AM2140"/>
          <cell r="AN2140" t="str">
            <v>No</v>
          </cell>
          <cell r="AO2140">
            <v>0</v>
          </cell>
          <cell r="AP2140">
            <v>0</v>
          </cell>
          <cell r="AQ2140"/>
          <cell r="AR2140"/>
          <cell r="AS2140">
            <v>0</v>
          </cell>
          <cell r="AT2140">
            <v>0</v>
          </cell>
          <cell r="AV2140"/>
          <cell r="AX2140" t="str">
            <v>Cancel</v>
          </cell>
          <cell r="AY2140"/>
          <cell r="AZ2140"/>
          <cell r="BA2140" t="str">
            <v>Cancel</v>
          </cell>
          <cell r="BB2140" t="str">
            <v>2023-12-18 Ken邮件通知Fay</v>
          </cell>
        </row>
        <row r="2141">
          <cell r="B2141">
            <v>1991</v>
          </cell>
          <cell r="C2141">
            <v>4600079330</v>
          </cell>
          <cell r="D2141" t="str">
            <v>协丰</v>
          </cell>
          <cell r="E2141" t="str">
            <v>SolderStar R-0925-SLX</v>
          </cell>
          <cell r="I2141" t="str">
            <v>No</v>
          </cell>
          <cell r="J2141" t="str">
            <v>No</v>
          </cell>
          <cell r="K2141">
            <v>1</v>
          </cell>
          <cell r="N2141">
            <v>45231</v>
          </cell>
          <cell r="O2141">
            <v>11116853</v>
          </cell>
          <cell r="P2141">
            <v>7650</v>
          </cell>
          <cell r="Q2141">
            <v>45233</v>
          </cell>
          <cell r="R2141" t="str">
            <v>Yes</v>
          </cell>
          <cell r="S2141" t="str">
            <v>C28</v>
          </cell>
          <cell r="T2141" t="str">
            <v>SOUTH</v>
          </cell>
          <cell r="U2141" t="str">
            <v>深圳</v>
          </cell>
          <cell r="V2141" t="str">
            <v>HK 香港</v>
          </cell>
          <cell r="W2141" t="str">
            <v>Jason Liu</v>
          </cell>
          <cell r="X2141" t="str">
            <v>USD</v>
          </cell>
          <cell r="Y2141">
            <v>7650</v>
          </cell>
          <cell r="Z2141">
            <v>1</v>
          </cell>
          <cell r="AA2141">
            <v>7650</v>
          </cell>
          <cell r="AB2141">
            <v>7.8</v>
          </cell>
          <cell r="AC2141">
            <v>59670</v>
          </cell>
          <cell r="AD2141">
            <v>7160.4</v>
          </cell>
          <cell r="AE2141">
            <v>0.12</v>
          </cell>
          <cell r="AF2141">
            <v>45197</v>
          </cell>
          <cell r="AG2141" t="str">
            <v>CIF HK</v>
          </cell>
          <cell r="AK2141">
            <v>0.9</v>
          </cell>
          <cell r="AL2141">
            <v>6885</v>
          </cell>
          <cell r="AN2141" t="str">
            <v>Yes</v>
          </cell>
          <cell r="AO2141">
            <v>0</v>
          </cell>
          <cell r="AP2141">
            <v>0</v>
          </cell>
          <cell r="AS2141">
            <v>0.1</v>
          </cell>
          <cell r="AT2141">
            <v>765</v>
          </cell>
          <cell r="AU2141">
            <v>45260</v>
          </cell>
          <cell r="AX2141" t="str">
            <v>Yes</v>
          </cell>
          <cell r="AZ2141" t="str">
            <v>Y</v>
          </cell>
          <cell r="BA2141" t="str">
            <v>Yes</v>
          </cell>
        </row>
        <row r="2142">
          <cell r="B2142">
            <v>1992</v>
          </cell>
          <cell r="C2142" t="str">
            <v>C49SZX20230110SS</v>
          </cell>
          <cell r="D2142" t="str">
            <v>泰润</v>
          </cell>
          <cell r="E2142" t="str">
            <v>YSM10</v>
          </cell>
          <cell r="F2142"/>
          <cell r="H2142"/>
          <cell r="I2142" t="str">
            <v>L-&gt;R</v>
          </cell>
          <cell r="J2142" t="str">
            <v>MVC</v>
          </cell>
          <cell r="K2142">
            <v>1</v>
          </cell>
          <cell r="L2142"/>
          <cell r="N2142"/>
          <cell r="O2142"/>
          <cell r="P2142"/>
          <cell r="Q2142"/>
          <cell r="R2142" t="str">
            <v>No</v>
          </cell>
          <cell r="S2142" t="str">
            <v>C49</v>
          </cell>
          <cell r="T2142" t="str">
            <v>SOUTH</v>
          </cell>
          <cell r="U2142" t="str">
            <v>深圳</v>
          </cell>
          <cell r="V2142" t="str">
            <v>SZ 深圳</v>
          </cell>
          <cell r="W2142" t="str">
            <v>SS</v>
          </cell>
          <cell r="X2142" t="str">
            <v>JPY</v>
          </cell>
          <cell r="Y2142">
            <v>8400000</v>
          </cell>
          <cell r="Z2142">
            <v>1</v>
          </cell>
          <cell r="AA2142">
            <v>8400000</v>
          </cell>
          <cell r="AB2142">
            <v>5.3400000000000003E-2</v>
          </cell>
          <cell r="AC2142">
            <v>448560</v>
          </cell>
          <cell r="AD2142">
            <v>53827.199999999997</v>
          </cell>
          <cell r="AE2142">
            <v>0.12</v>
          </cell>
          <cell r="AF2142">
            <v>45216</v>
          </cell>
          <cell r="AG2142" t="str">
            <v>DAP SZ</v>
          </cell>
          <cell r="AI2142"/>
          <cell r="AJ2142"/>
          <cell r="AK2142">
            <v>0.1</v>
          </cell>
          <cell r="AL2142">
            <v>840000</v>
          </cell>
          <cell r="AM2142"/>
          <cell r="AN2142" t="str">
            <v>No</v>
          </cell>
          <cell r="AO2142">
            <v>0.9</v>
          </cell>
          <cell r="AP2142">
            <v>7560000</v>
          </cell>
          <cell r="AQ2142"/>
          <cell r="AR2142"/>
          <cell r="AS2142">
            <v>0</v>
          </cell>
          <cell r="AT2142">
            <v>0</v>
          </cell>
          <cell r="AV2142"/>
          <cell r="AX2142" t="str">
            <v>Cancel</v>
          </cell>
          <cell r="AY2142"/>
          <cell r="AZ2142"/>
          <cell r="BA2142" t="str">
            <v>Cancel</v>
          </cell>
          <cell r="BB2142" t="str">
            <v>2023-12-13 Ken邮件通知Fay</v>
          </cell>
        </row>
        <row r="2143">
          <cell r="B2143">
            <v>1993</v>
          </cell>
          <cell r="C2143" t="str">
            <v>C49SZX20230110SS</v>
          </cell>
          <cell r="D2143" t="str">
            <v>泰润</v>
          </cell>
          <cell r="E2143" t="str">
            <v>YSM20R-2</v>
          </cell>
          <cell r="F2143"/>
          <cell r="H2143"/>
          <cell r="I2143" t="str">
            <v>L-&gt;R</v>
          </cell>
          <cell r="J2143" t="str">
            <v>MVC</v>
          </cell>
          <cell r="K2143">
            <v>1</v>
          </cell>
          <cell r="L2143"/>
          <cell r="N2143"/>
          <cell r="O2143"/>
          <cell r="P2143"/>
          <cell r="Q2143"/>
          <cell r="R2143" t="str">
            <v>No</v>
          </cell>
          <cell r="S2143" t="str">
            <v>C49</v>
          </cell>
          <cell r="T2143" t="str">
            <v>SOUTH</v>
          </cell>
          <cell r="U2143" t="str">
            <v>深圳</v>
          </cell>
          <cell r="V2143" t="str">
            <v>SZ 深圳</v>
          </cell>
          <cell r="W2143" t="str">
            <v>SS</v>
          </cell>
          <cell r="X2143" t="str">
            <v>JPY</v>
          </cell>
          <cell r="Y2143">
            <v>14000000</v>
          </cell>
          <cell r="Z2143">
            <v>1</v>
          </cell>
          <cell r="AA2143">
            <v>14000000</v>
          </cell>
          <cell r="AB2143">
            <v>5.3400000000000003E-2</v>
          </cell>
          <cell r="AC2143">
            <v>747600</v>
          </cell>
          <cell r="AD2143">
            <v>89712</v>
          </cell>
          <cell r="AE2143">
            <v>0.12</v>
          </cell>
          <cell r="AF2143">
            <v>45216</v>
          </cell>
          <cell r="AG2143" t="str">
            <v>DAP SZ</v>
          </cell>
          <cell r="AI2143"/>
          <cell r="AJ2143"/>
          <cell r="AK2143">
            <v>0.1</v>
          </cell>
          <cell r="AL2143">
            <v>1400000</v>
          </cell>
          <cell r="AM2143"/>
          <cell r="AN2143" t="str">
            <v>No</v>
          </cell>
          <cell r="AO2143">
            <v>0.9</v>
          </cell>
          <cell r="AP2143">
            <v>12600000</v>
          </cell>
          <cell r="AQ2143"/>
          <cell r="AR2143"/>
          <cell r="AS2143">
            <v>0</v>
          </cell>
          <cell r="AT2143">
            <v>0</v>
          </cell>
          <cell r="AV2143"/>
          <cell r="AX2143" t="str">
            <v>Cancel</v>
          </cell>
          <cell r="AY2143"/>
          <cell r="AZ2143"/>
          <cell r="BA2143" t="str">
            <v>Cancel</v>
          </cell>
          <cell r="BB2143" t="str">
            <v>2023-12-13 Ken邮件通知Fay</v>
          </cell>
        </row>
        <row r="2144">
          <cell r="B2144">
            <v>1994</v>
          </cell>
          <cell r="C2144" t="str">
            <v>HJD-ESE20231016</v>
          </cell>
          <cell r="D2144" t="str">
            <v>越南皓吉达</v>
          </cell>
          <cell r="E2144" t="str">
            <v>YSM10</v>
          </cell>
          <cell r="I2144" t="str">
            <v>L-&gt;R</v>
          </cell>
          <cell r="J2144" t="str">
            <v>ATS15</v>
          </cell>
          <cell r="K2144">
            <v>1</v>
          </cell>
          <cell r="N2144">
            <v>45246</v>
          </cell>
          <cell r="O2144">
            <v>11116861</v>
          </cell>
          <cell r="P2144">
            <v>63000</v>
          </cell>
          <cell r="Q2144">
            <v>45258</v>
          </cell>
          <cell r="R2144" t="str">
            <v>No</v>
          </cell>
          <cell r="S2144" t="str">
            <v>C49</v>
          </cell>
          <cell r="T2144" t="str">
            <v>SOUTH</v>
          </cell>
          <cell r="U2144" t="str">
            <v>深圳</v>
          </cell>
          <cell r="V2144" t="str">
            <v>Vietnam</v>
          </cell>
          <cell r="W2144" t="str">
            <v>JL</v>
          </cell>
          <cell r="X2144" t="str">
            <v>USD</v>
          </cell>
          <cell r="Y2144">
            <v>63000</v>
          </cell>
          <cell r="Z2144">
            <v>1</v>
          </cell>
          <cell r="AA2144">
            <v>63000</v>
          </cell>
          <cell r="AB2144">
            <v>7.8</v>
          </cell>
          <cell r="AC2144">
            <v>491400</v>
          </cell>
          <cell r="AD2144">
            <v>58968</v>
          </cell>
          <cell r="AE2144">
            <v>0.12</v>
          </cell>
          <cell r="AF2144">
            <v>45215</v>
          </cell>
          <cell r="AG2144" t="str">
            <v>CIF Vietnam</v>
          </cell>
          <cell r="AK2144">
            <v>0.3</v>
          </cell>
          <cell r="AL2144">
            <v>18900</v>
          </cell>
          <cell r="AM2144">
            <v>45225</v>
          </cell>
          <cell r="AN2144" t="str">
            <v>Yes</v>
          </cell>
          <cell r="AO2144">
            <v>0.7</v>
          </cell>
          <cell r="AP2144">
            <v>44100</v>
          </cell>
          <cell r="AQ2144">
            <v>45238</v>
          </cell>
          <cell r="AR2144">
            <v>45238</v>
          </cell>
          <cell r="AS2144">
            <v>0</v>
          </cell>
          <cell r="AT2144">
            <v>0</v>
          </cell>
          <cell r="AX2144" t="str">
            <v>Yes</v>
          </cell>
          <cell r="AZ2144" t="str">
            <v>Y</v>
          </cell>
        </row>
        <row r="2145">
          <cell r="B2145">
            <v>1995</v>
          </cell>
          <cell r="C2145" t="str">
            <v>PO#101321-KDY-LEL</v>
          </cell>
          <cell r="D2145" t="str">
            <v>力丰</v>
          </cell>
          <cell r="E2145" t="str">
            <v>SolderStar R-0625L</v>
          </cell>
          <cell r="I2145" t="str">
            <v>No</v>
          </cell>
          <cell r="J2145" t="str">
            <v>No</v>
          </cell>
          <cell r="K2145">
            <v>1</v>
          </cell>
          <cell r="N2145">
            <v>45254</v>
          </cell>
          <cell r="O2145">
            <v>11100663</v>
          </cell>
          <cell r="P2145">
            <v>30000</v>
          </cell>
          <cell r="Q2145">
            <v>45257</v>
          </cell>
          <cell r="R2145" t="str">
            <v>No</v>
          </cell>
          <cell r="S2145" t="str">
            <v>C28</v>
          </cell>
          <cell r="T2145" t="str">
            <v>EAST</v>
          </cell>
          <cell r="U2145" t="str">
            <v>深圳</v>
          </cell>
          <cell r="V2145" t="str">
            <v>SHA 上海</v>
          </cell>
          <cell r="W2145" t="str">
            <v>Jason Liu</v>
          </cell>
          <cell r="X2145" t="str">
            <v>RMB</v>
          </cell>
          <cell r="Y2145">
            <v>30000</v>
          </cell>
          <cell r="Z2145">
            <v>1.1299999999999999</v>
          </cell>
          <cell r="AA2145">
            <v>30000</v>
          </cell>
          <cell r="AB2145">
            <v>1.07</v>
          </cell>
          <cell r="AC2145">
            <v>28407.079646017701</v>
          </cell>
          <cell r="AD2145">
            <v>3408.8495575221241</v>
          </cell>
          <cell r="AE2145">
            <v>0.12</v>
          </cell>
          <cell r="AF2145">
            <v>45224</v>
          </cell>
          <cell r="AG2145" t="str">
            <v>DDP SH</v>
          </cell>
          <cell r="AK2145">
            <v>1</v>
          </cell>
          <cell r="AL2145">
            <v>30000</v>
          </cell>
          <cell r="AM2145">
            <v>45252</v>
          </cell>
          <cell r="AN2145" t="str">
            <v>Yes</v>
          </cell>
          <cell r="AO2145">
            <v>0</v>
          </cell>
          <cell r="AP2145">
            <v>0</v>
          </cell>
          <cell r="AS2145">
            <v>0</v>
          </cell>
          <cell r="AT2145">
            <v>0</v>
          </cell>
          <cell r="AX2145" t="str">
            <v>Yes</v>
          </cell>
        </row>
        <row r="2146">
          <cell r="B2146">
            <v>1996</v>
          </cell>
          <cell r="C2146" t="str">
            <v>C49SZX20230112JL</v>
          </cell>
          <cell r="D2146" t="str">
            <v>瑞福联</v>
          </cell>
          <cell r="E2146" t="str">
            <v>YSM20R-2</v>
          </cell>
          <cell r="F2146"/>
          <cell r="H2146"/>
          <cell r="I2146" t="str">
            <v>L-&gt;R</v>
          </cell>
          <cell r="J2146" t="str">
            <v>No</v>
          </cell>
          <cell r="K2146">
            <v>1</v>
          </cell>
          <cell r="L2146"/>
          <cell r="N2146"/>
          <cell r="O2146"/>
          <cell r="P2146"/>
          <cell r="Q2146"/>
          <cell r="R2146" t="str">
            <v>No</v>
          </cell>
          <cell r="S2146" t="str">
            <v>C49</v>
          </cell>
          <cell r="T2146" t="str">
            <v>SOUTH</v>
          </cell>
          <cell r="U2146" t="str">
            <v>深圳</v>
          </cell>
          <cell r="V2146" t="str">
            <v>SZ 深圳</v>
          </cell>
          <cell r="W2146" t="str">
            <v>JL</v>
          </cell>
          <cell r="X2146" t="str">
            <v>JPY</v>
          </cell>
          <cell r="Y2146">
            <v>11800000</v>
          </cell>
          <cell r="Z2146">
            <v>1</v>
          </cell>
          <cell r="AA2146">
            <v>11800000</v>
          </cell>
          <cell r="AB2146">
            <v>5.3400000000000003E-2</v>
          </cell>
          <cell r="AC2146">
            <v>630120</v>
          </cell>
          <cell r="AD2146">
            <v>75614.399999999994</v>
          </cell>
          <cell r="AE2146">
            <v>0.12</v>
          </cell>
          <cell r="AF2146">
            <v>45224</v>
          </cell>
          <cell r="AG2146" t="str">
            <v>DAP SZ</v>
          </cell>
          <cell r="AI2146"/>
          <cell r="AJ2146"/>
          <cell r="AK2146">
            <v>0.2</v>
          </cell>
          <cell r="AL2146">
            <v>2360000</v>
          </cell>
          <cell r="AM2146"/>
          <cell r="AN2146" t="str">
            <v>No</v>
          </cell>
          <cell r="AO2146">
            <v>0.8</v>
          </cell>
          <cell r="AP2146">
            <v>9440000</v>
          </cell>
          <cell r="AQ2146"/>
          <cell r="AR2146"/>
          <cell r="AS2146">
            <v>0</v>
          </cell>
          <cell r="AT2146">
            <v>0</v>
          </cell>
          <cell r="AV2146"/>
          <cell r="AX2146" t="str">
            <v>Cancel</v>
          </cell>
          <cell r="AY2146"/>
          <cell r="AZ2146"/>
          <cell r="BA2146" t="str">
            <v>Cancel</v>
          </cell>
          <cell r="BB2146" t="str">
            <v>2023-12-13 Ken邮件通知Fay</v>
          </cell>
        </row>
        <row r="2147">
          <cell r="B2147">
            <v>1997</v>
          </cell>
          <cell r="C2147" t="str">
            <v>C49SZX20230112JL</v>
          </cell>
          <cell r="D2147" t="str">
            <v>瑞福联</v>
          </cell>
          <cell r="E2147" t="str">
            <v>YSM20R-2</v>
          </cell>
          <cell r="F2147"/>
          <cell r="H2147"/>
          <cell r="I2147" t="str">
            <v>L-&gt;R</v>
          </cell>
          <cell r="J2147" t="str">
            <v>No</v>
          </cell>
          <cell r="K2147">
            <v>1</v>
          </cell>
          <cell r="L2147"/>
          <cell r="N2147"/>
          <cell r="O2147"/>
          <cell r="P2147"/>
          <cell r="Q2147"/>
          <cell r="R2147" t="str">
            <v>No</v>
          </cell>
          <cell r="S2147" t="str">
            <v>C49</v>
          </cell>
          <cell r="T2147" t="str">
            <v>SOUTH</v>
          </cell>
          <cell r="U2147" t="str">
            <v>深圳</v>
          </cell>
          <cell r="V2147" t="str">
            <v>SZ 深圳</v>
          </cell>
          <cell r="W2147" t="str">
            <v>JL</v>
          </cell>
          <cell r="X2147" t="str">
            <v>JPY</v>
          </cell>
          <cell r="Y2147">
            <v>11800000</v>
          </cell>
          <cell r="Z2147">
            <v>1</v>
          </cell>
          <cell r="AA2147">
            <v>11800000</v>
          </cell>
          <cell r="AB2147">
            <v>5.3400000000000003E-2</v>
          </cell>
          <cell r="AC2147">
            <v>630120</v>
          </cell>
          <cell r="AD2147">
            <v>75614.399999999994</v>
          </cell>
          <cell r="AE2147">
            <v>0.12</v>
          </cell>
          <cell r="AF2147">
            <v>45224</v>
          </cell>
          <cell r="AG2147" t="str">
            <v>DAP SZ</v>
          </cell>
          <cell r="AI2147"/>
          <cell r="AJ2147"/>
          <cell r="AK2147">
            <v>0.2</v>
          </cell>
          <cell r="AL2147">
            <v>2360000</v>
          </cell>
          <cell r="AM2147"/>
          <cell r="AN2147" t="str">
            <v>No</v>
          </cell>
          <cell r="AO2147">
            <v>0.8</v>
          </cell>
          <cell r="AP2147">
            <v>9440000</v>
          </cell>
          <cell r="AQ2147"/>
          <cell r="AR2147"/>
          <cell r="AS2147">
            <v>0</v>
          </cell>
          <cell r="AT2147">
            <v>0</v>
          </cell>
          <cell r="AV2147"/>
          <cell r="AX2147" t="str">
            <v>Cancel</v>
          </cell>
          <cell r="AY2147"/>
          <cell r="AZ2147"/>
          <cell r="BA2147" t="str">
            <v>Cancel</v>
          </cell>
          <cell r="BB2147" t="str">
            <v>2023-12-13 Ken邮件通知Fay</v>
          </cell>
        </row>
        <row r="2148">
          <cell r="B2148">
            <v>1998</v>
          </cell>
          <cell r="C2148" t="str">
            <v>C49SZX20230113EC</v>
          </cell>
          <cell r="D2148" t="str">
            <v>骏孚</v>
          </cell>
          <cell r="E2148" t="str">
            <v>YSM20R-2</v>
          </cell>
          <cell r="I2148" t="str">
            <v>L-&gt;R</v>
          </cell>
          <cell r="J2148" t="str">
            <v>No</v>
          </cell>
          <cell r="K2148">
            <v>1</v>
          </cell>
          <cell r="N2148">
            <v>45236</v>
          </cell>
          <cell r="O2148">
            <v>11116852</v>
          </cell>
          <cell r="P2148">
            <v>15000000</v>
          </cell>
          <cell r="Q2148">
            <v>45230</v>
          </cell>
          <cell r="R2148" t="str">
            <v>No</v>
          </cell>
          <cell r="S2148" t="str">
            <v>C49</v>
          </cell>
          <cell r="T2148" t="str">
            <v>SOUTH</v>
          </cell>
          <cell r="U2148" t="str">
            <v>深圳</v>
          </cell>
          <cell r="V2148" t="str">
            <v>SZ 深圳</v>
          </cell>
          <cell r="W2148" t="str">
            <v>EC</v>
          </cell>
          <cell r="X2148" t="str">
            <v>JPY</v>
          </cell>
          <cell r="Y2148">
            <v>15000000</v>
          </cell>
          <cell r="Z2148">
            <v>1</v>
          </cell>
          <cell r="AA2148">
            <v>15000000</v>
          </cell>
          <cell r="AB2148">
            <v>5.3400000000000003E-2</v>
          </cell>
          <cell r="AC2148">
            <v>801000</v>
          </cell>
          <cell r="AD2148">
            <v>96120</v>
          </cell>
          <cell r="AE2148">
            <v>0.12</v>
          </cell>
          <cell r="AF2148">
            <v>45226</v>
          </cell>
          <cell r="AG2148" t="str">
            <v>DAP GZ</v>
          </cell>
          <cell r="AK2148">
            <v>1</v>
          </cell>
          <cell r="AL2148">
            <v>15000000</v>
          </cell>
          <cell r="AM2148">
            <v>45230</v>
          </cell>
          <cell r="AN2148" t="str">
            <v>Yes</v>
          </cell>
          <cell r="AO2148">
            <v>0</v>
          </cell>
          <cell r="AP2148">
            <v>0</v>
          </cell>
          <cell r="AS2148">
            <v>0</v>
          </cell>
          <cell r="AT2148">
            <v>0</v>
          </cell>
          <cell r="AX2148" t="str">
            <v>Yes</v>
          </cell>
        </row>
        <row r="2149">
          <cell r="B2149">
            <v>1999</v>
          </cell>
          <cell r="C2149" t="str">
            <v>C49SZX20230118SS</v>
          </cell>
          <cell r="D2149" t="str">
            <v>易通</v>
          </cell>
          <cell r="E2149" t="str">
            <v>YSM10</v>
          </cell>
          <cell r="I2149" t="str">
            <v>R-&gt;L</v>
          </cell>
          <cell r="J2149" t="str">
            <v>No</v>
          </cell>
          <cell r="K2149">
            <v>1</v>
          </cell>
          <cell r="N2149">
            <v>45251</v>
          </cell>
          <cell r="O2149">
            <v>11100661</v>
          </cell>
          <cell r="P2149">
            <v>430000</v>
          </cell>
          <cell r="Q2149">
            <v>45254</v>
          </cell>
          <cell r="R2149" t="str">
            <v>No</v>
          </cell>
          <cell r="S2149" t="str">
            <v>C49</v>
          </cell>
          <cell r="T2149" t="str">
            <v>SOUTH</v>
          </cell>
          <cell r="U2149" t="str">
            <v>深圳</v>
          </cell>
          <cell r="V2149" t="str">
            <v>SZ 深圳</v>
          </cell>
          <cell r="W2149" t="str">
            <v>SS</v>
          </cell>
          <cell r="X2149" t="str">
            <v>RMB</v>
          </cell>
          <cell r="Y2149">
            <v>430000</v>
          </cell>
          <cell r="Z2149">
            <v>1.1299999999999999</v>
          </cell>
          <cell r="AA2149">
            <v>430000</v>
          </cell>
          <cell r="AB2149">
            <v>1.07</v>
          </cell>
          <cell r="AC2149">
            <v>407168.14159292041</v>
          </cell>
          <cell r="AD2149">
            <v>48860.176991150445</v>
          </cell>
          <cell r="AE2149">
            <v>0.12</v>
          </cell>
          <cell r="AF2149">
            <v>45232</v>
          </cell>
          <cell r="AG2149" t="str">
            <v>DDP SZ</v>
          </cell>
          <cell r="AI2149">
            <v>10000</v>
          </cell>
          <cell r="AJ2149">
            <v>45240</v>
          </cell>
          <cell r="AK2149">
            <v>0.1</v>
          </cell>
          <cell r="AL2149">
            <v>43000</v>
          </cell>
          <cell r="AM2149">
            <v>45240</v>
          </cell>
          <cell r="AN2149" t="str">
            <v>Yes</v>
          </cell>
          <cell r="AO2149">
            <v>0.9</v>
          </cell>
          <cell r="AP2149">
            <v>387000</v>
          </cell>
          <cell r="AQ2149">
            <v>45246</v>
          </cell>
          <cell r="AR2149">
            <v>45246</v>
          </cell>
          <cell r="AS2149">
            <v>0</v>
          </cell>
          <cell r="AT2149">
            <v>0</v>
          </cell>
          <cell r="AX2149" t="str">
            <v>Yes</v>
          </cell>
          <cell r="AZ2149" t="str">
            <v>Y</v>
          </cell>
          <cell r="BA2149" t="str">
            <v>Yes</v>
          </cell>
        </row>
        <row r="2150">
          <cell r="B2150">
            <v>2000</v>
          </cell>
          <cell r="C2150" t="str">
            <v>C49SZX20230119JL/4600003615</v>
          </cell>
          <cell r="D2150" t="str">
            <v>高伟</v>
          </cell>
          <cell r="E2150" t="str">
            <v>YSM10</v>
          </cell>
          <cell r="I2150" t="str">
            <v>L-&gt;R</v>
          </cell>
          <cell r="J2150" t="str">
            <v>MVC+ATS15(with 5 heads)</v>
          </cell>
          <cell r="K2150">
            <v>1</v>
          </cell>
          <cell r="N2150">
            <v>45300</v>
          </cell>
          <cell r="O2150">
            <v>11116868</v>
          </cell>
          <cell r="P2150">
            <v>58000</v>
          </cell>
          <cell r="Q2150">
            <v>45306</v>
          </cell>
          <cell r="R2150" t="str">
            <v>No</v>
          </cell>
          <cell r="S2150" t="str">
            <v>C49</v>
          </cell>
          <cell r="T2150" t="str">
            <v>SOUTH</v>
          </cell>
          <cell r="U2150" t="str">
            <v>深圳</v>
          </cell>
          <cell r="V2150" t="str">
            <v>SZ 深圳</v>
          </cell>
          <cell r="W2150" t="str">
            <v>JL</v>
          </cell>
          <cell r="X2150" t="str">
            <v>USD</v>
          </cell>
          <cell r="Y2150">
            <v>58000</v>
          </cell>
          <cell r="Z2150">
            <v>1</v>
          </cell>
          <cell r="AA2150">
            <v>58000</v>
          </cell>
          <cell r="AB2150">
            <v>7.8</v>
          </cell>
          <cell r="AC2150">
            <v>452400</v>
          </cell>
          <cell r="AD2150">
            <v>54288</v>
          </cell>
          <cell r="AE2150">
            <v>0.12</v>
          </cell>
          <cell r="AF2150">
            <v>45233</v>
          </cell>
          <cell r="AG2150" t="str">
            <v>CIF HK</v>
          </cell>
          <cell r="AK2150">
            <v>0.3</v>
          </cell>
          <cell r="AL2150">
            <v>17400</v>
          </cell>
          <cell r="AM2150">
            <v>45240</v>
          </cell>
          <cell r="AN2150" t="str">
            <v>Yes</v>
          </cell>
          <cell r="AO2150">
            <v>0.6</v>
          </cell>
          <cell r="AP2150">
            <v>34800</v>
          </cell>
          <cell r="AQ2150">
            <v>45296</v>
          </cell>
          <cell r="AR2150">
            <v>45296</v>
          </cell>
          <cell r="AS2150">
            <v>0.1</v>
          </cell>
          <cell r="AT2150">
            <v>5800</v>
          </cell>
        </row>
        <row r="2151">
          <cell r="B2151">
            <v>2001</v>
          </cell>
          <cell r="C2151" t="str">
            <v>C49SZX20230119JL/4600003615</v>
          </cell>
          <cell r="D2151" t="str">
            <v>高伟</v>
          </cell>
          <cell r="E2151" t="str">
            <v>YSM10</v>
          </cell>
          <cell r="I2151" t="str">
            <v>L-&gt;R</v>
          </cell>
          <cell r="J2151" t="str">
            <v>MVC+ATS15(with 5 heads)</v>
          </cell>
          <cell r="K2151">
            <v>1</v>
          </cell>
          <cell r="N2151">
            <v>45300</v>
          </cell>
          <cell r="O2151">
            <v>11116868</v>
          </cell>
          <cell r="P2151">
            <v>58000</v>
          </cell>
          <cell r="Q2151">
            <v>45306</v>
          </cell>
          <cell r="R2151" t="str">
            <v>No</v>
          </cell>
          <cell r="S2151" t="str">
            <v>C49</v>
          </cell>
          <cell r="T2151" t="str">
            <v>SOUTH</v>
          </cell>
          <cell r="U2151" t="str">
            <v>深圳</v>
          </cell>
          <cell r="V2151" t="str">
            <v>SZ 深圳</v>
          </cell>
          <cell r="W2151" t="str">
            <v>JL</v>
          </cell>
          <cell r="X2151" t="str">
            <v>USD</v>
          </cell>
          <cell r="Y2151">
            <v>58000</v>
          </cell>
          <cell r="Z2151">
            <v>1</v>
          </cell>
          <cell r="AA2151">
            <v>58000</v>
          </cell>
          <cell r="AB2151">
            <v>7.8</v>
          </cell>
          <cell r="AC2151">
            <v>452400</v>
          </cell>
          <cell r="AD2151">
            <v>54288</v>
          </cell>
          <cell r="AE2151">
            <v>0.12</v>
          </cell>
          <cell r="AF2151">
            <v>45233</v>
          </cell>
          <cell r="AG2151" t="str">
            <v>CIF HK</v>
          </cell>
          <cell r="AK2151">
            <v>0.3</v>
          </cell>
          <cell r="AL2151">
            <v>17400</v>
          </cell>
          <cell r="AM2151">
            <v>45240</v>
          </cell>
          <cell r="AN2151" t="str">
            <v>Yes</v>
          </cell>
          <cell r="AO2151">
            <v>0.6</v>
          </cell>
          <cell r="AP2151">
            <v>34800</v>
          </cell>
          <cell r="AQ2151">
            <v>45296</v>
          </cell>
          <cell r="AR2151">
            <v>45296</v>
          </cell>
          <cell r="AS2151">
            <v>0.1</v>
          </cell>
          <cell r="AT2151">
            <v>5800</v>
          </cell>
        </row>
        <row r="2152">
          <cell r="B2152">
            <v>2002</v>
          </cell>
          <cell r="C2152" t="str">
            <v>C49SZX20230120SX</v>
          </cell>
          <cell r="D2152" t="str">
            <v>锐诚</v>
          </cell>
          <cell r="E2152" t="str">
            <v>YSM20R-2</v>
          </cell>
          <cell r="I2152" t="str">
            <v>L-&gt;R</v>
          </cell>
          <cell r="J2152" t="str">
            <v>MVC</v>
          </cell>
          <cell r="K2152">
            <v>1</v>
          </cell>
          <cell r="N2152">
            <v>45254</v>
          </cell>
          <cell r="O2152">
            <v>11116857</v>
          </cell>
          <cell r="P2152">
            <v>12200000</v>
          </cell>
          <cell r="Q2152">
            <v>45254</v>
          </cell>
          <cell r="R2152" t="str">
            <v>No</v>
          </cell>
          <cell r="S2152" t="str">
            <v>C49</v>
          </cell>
          <cell r="T2152" t="str">
            <v>SOUTH</v>
          </cell>
          <cell r="U2152" t="str">
            <v>深圳</v>
          </cell>
          <cell r="V2152" t="str">
            <v>SZ 深圳</v>
          </cell>
          <cell r="W2152" t="str">
            <v>SX</v>
          </cell>
          <cell r="X2152" t="str">
            <v>JPY</v>
          </cell>
          <cell r="Y2152">
            <v>12200000</v>
          </cell>
          <cell r="Z2152">
            <v>1</v>
          </cell>
          <cell r="AA2152">
            <v>12200000</v>
          </cell>
          <cell r="AB2152">
            <v>5.3400000000000003E-2</v>
          </cell>
          <cell r="AC2152">
            <v>651480</v>
          </cell>
          <cell r="AD2152">
            <v>78177.599999999991</v>
          </cell>
          <cell r="AE2152">
            <v>0.12</v>
          </cell>
          <cell r="AF2152">
            <v>45236</v>
          </cell>
          <cell r="AG2152" t="str">
            <v>DAP HZ</v>
          </cell>
          <cell r="AK2152">
            <v>0.1</v>
          </cell>
          <cell r="AL2152">
            <v>1220000</v>
          </cell>
          <cell r="AM2152">
            <v>45240</v>
          </cell>
          <cell r="AN2152" t="str">
            <v>Yes</v>
          </cell>
          <cell r="AO2152">
            <v>0.9</v>
          </cell>
          <cell r="AP2152">
            <v>10980000</v>
          </cell>
          <cell r="AS2152">
            <v>0</v>
          </cell>
          <cell r="AT2152">
            <v>0</v>
          </cell>
          <cell r="AX2152" t="str">
            <v>Yes</v>
          </cell>
          <cell r="AZ2152" t="str">
            <v>Y</v>
          </cell>
          <cell r="BA2152" t="str">
            <v>Yes</v>
          </cell>
        </row>
        <row r="2153">
          <cell r="B2153">
            <v>2003</v>
          </cell>
          <cell r="C2153" t="str">
            <v>C49SZX20230120SX</v>
          </cell>
          <cell r="D2153" t="str">
            <v>锐诚</v>
          </cell>
          <cell r="E2153" t="str">
            <v>YSM10</v>
          </cell>
          <cell r="I2153" t="str">
            <v>L-&gt;R</v>
          </cell>
          <cell r="J2153" t="str">
            <v>MVC</v>
          </cell>
          <cell r="K2153">
            <v>1</v>
          </cell>
          <cell r="N2153">
            <v>45254</v>
          </cell>
          <cell r="O2153">
            <v>11116857</v>
          </cell>
          <cell r="P2153">
            <v>7200000</v>
          </cell>
          <cell r="Q2153">
            <v>45254</v>
          </cell>
          <cell r="R2153" t="str">
            <v>No</v>
          </cell>
          <cell r="S2153" t="str">
            <v>C49</v>
          </cell>
          <cell r="T2153" t="str">
            <v>SOUTH</v>
          </cell>
          <cell r="U2153" t="str">
            <v>深圳</v>
          </cell>
          <cell r="V2153" t="str">
            <v>SZ 深圳</v>
          </cell>
          <cell r="W2153" t="str">
            <v>SX</v>
          </cell>
          <cell r="X2153" t="str">
            <v>JPY</v>
          </cell>
          <cell r="Y2153">
            <v>7200000</v>
          </cell>
          <cell r="Z2153">
            <v>1</v>
          </cell>
          <cell r="AA2153">
            <v>7200000</v>
          </cell>
          <cell r="AB2153">
            <v>5.3400000000000003E-2</v>
          </cell>
          <cell r="AC2153">
            <v>384480</v>
          </cell>
          <cell r="AD2153">
            <v>46137.599999999999</v>
          </cell>
          <cell r="AE2153">
            <v>0.12</v>
          </cell>
          <cell r="AF2153">
            <v>45236</v>
          </cell>
          <cell r="AG2153" t="str">
            <v>DAP HZ</v>
          </cell>
          <cell r="AK2153">
            <v>0.1</v>
          </cell>
          <cell r="AL2153">
            <v>720000</v>
          </cell>
          <cell r="AM2153">
            <v>45240</v>
          </cell>
          <cell r="AN2153" t="str">
            <v>Yes</v>
          </cell>
          <cell r="AO2153">
            <v>0.9</v>
          </cell>
          <cell r="AP2153">
            <v>6480000</v>
          </cell>
          <cell r="AS2153">
            <v>0</v>
          </cell>
          <cell r="AT2153">
            <v>0</v>
          </cell>
          <cell r="AX2153" t="str">
            <v>Yes</v>
          </cell>
          <cell r="AZ2153" t="str">
            <v>Y</v>
          </cell>
          <cell r="BA2153" t="str">
            <v>Yes</v>
          </cell>
        </row>
        <row r="2154">
          <cell r="B2154">
            <v>2004</v>
          </cell>
          <cell r="C2154" t="str">
            <v>C28SZX20230122SX</v>
          </cell>
          <cell r="D2154" t="str">
            <v>锐诚</v>
          </cell>
          <cell r="E2154" t="str">
            <v>YSi-V</v>
          </cell>
          <cell r="I2154" t="str">
            <v>L-&gt;R</v>
          </cell>
          <cell r="J2154" t="str">
            <v>No</v>
          </cell>
          <cell r="K2154">
            <v>1</v>
          </cell>
          <cell r="R2154" t="str">
            <v>No</v>
          </cell>
          <cell r="S2154" t="str">
            <v>C28</v>
          </cell>
          <cell r="T2154" t="str">
            <v>SOUTH</v>
          </cell>
          <cell r="U2154" t="str">
            <v>深圳</v>
          </cell>
          <cell r="V2154" t="str">
            <v>SZ 深圳</v>
          </cell>
          <cell r="W2154" t="str">
            <v>SX</v>
          </cell>
          <cell r="X2154" t="str">
            <v>JPY</v>
          </cell>
          <cell r="Y2154">
            <v>8160000</v>
          </cell>
          <cell r="Z2154">
            <v>1</v>
          </cell>
          <cell r="AA2154">
            <v>8160000</v>
          </cell>
          <cell r="AB2154">
            <v>5.3400000000000003E-2</v>
          </cell>
          <cell r="AC2154">
            <v>435744</v>
          </cell>
          <cell r="AD2154">
            <v>52289.279999999999</v>
          </cell>
          <cell r="AE2154">
            <v>0.12</v>
          </cell>
          <cell r="AF2154">
            <v>45236</v>
          </cell>
          <cell r="AG2154" t="str">
            <v>DAP HZ</v>
          </cell>
          <cell r="AK2154">
            <v>0.1</v>
          </cell>
          <cell r="AL2154">
            <v>816000</v>
          </cell>
          <cell r="AM2154">
            <v>45257</v>
          </cell>
          <cell r="AN2154" t="str">
            <v>Yes</v>
          </cell>
          <cell r="AO2154">
            <v>0.9</v>
          </cell>
          <cell r="AP2154">
            <v>7344000</v>
          </cell>
          <cell r="AS2154">
            <v>0</v>
          </cell>
          <cell r="AT2154">
            <v>0</v>
          </cell>
        </row>
        <row r="2155">
          <cell r="B2155">
            <v>2005</v>
          </cell>
          <cell r="C2155" t="str">
            <v>C49SZX20230115JY</v>
          </cell>
          <cell r="D2155" t="str">
            <v>万有</v>
          </cell>
          <cell r="E2155" t="str">
            <v>YSM20R-2</v>
          </cell>
          <cell r="I2155" t="str">
            <v>L-&gt;R</v>
          </cell>
          <cell r="J2155" t="str">
            <v>No</v>
          </cell>
          <cell r="K2155">
            <v>1</v>
          </cell>
          <cell r="R2155" t="str">
            <v>No</v>
          </cell>
          <cell r="S2155" t="str">
            <v>C49</v>
          </cell>
          <cell r="T2155" t="str">
            <v>SOUTH</v>
          </cell>
          <cell r="U2155" t="str">
            <v>深圳</v>
          </cell>
          <cell r="V2155" t="str">
            <v>DG 东莞</v>
          </cell>
          <cell r="W2155" t="str">
            <v>JY</v>
          </cell>
          <cell r="X2155" t="str">
            <v>JPY</v>
          </cell>
          <cell r="Y2155">
            <v>11900000</v>
          </cell>
          <cell r="Z2155">
            <v>1</v>
          </cell>
          <cell r="AA2155">
            <v>11900000</v>
          </cell>
          <cell r="AB2155">
            <v>5.3400000000000003E-2</v>
          </cell>
          <cell r="AC2155">
            <v>635460</v>
          </cell>
          <cell r="AD2155">
            <v>76255.199999999997</v>
          </cell>
          <cell r="AE2155">
            <v>0.12</v>
          </cell>
          <cell r="AF2155">
            <v>45239</v>
          </cell>
          <cell r="AG2155" t="str">
            <v>DAP DG</v>
          </cell>
          <cell r="AK2155">
            <v>0.1</v>
          </cell>
          <cell r="AL2155">
            <v>1190000</v>
          </cell>
          <cell r="AM2155">
            <v>45247</v>
          </cell>
          <cell r="AN2155" t="str">
            <v>Yes</v>
          </cell>
          <cell r="AO2155">
            <v>0.9</v>
          </cell>
          <cell r="AP2155">
            <v>10710000</v>
          </cell>
          <cell r="AS2155">
            <v>0</v>
          </cell>
          <cell r="AT2155">
            <v>0</v>
          </cell>
        </row>
        <row r="2156">
          <cell r="B2156">
            <v>2006</v>
          </cell>
          <cell r="C2156" t="str">
            <v>C49SZX20230111SX</v>
          </cell>
          <cell r="D2156" t="str">
            <v>兴开泰（end user:兴连）</v>
          </cell>
          <cell r="E2156" t="str">
            <v>YSM20R-2</v>
          </cell>
          <cell r="I2156" t="str">
            <v>L-&gt;R</v>
          </cell>
          <cell r="J2156" t="str">
            <v>No</v>
          </cell>
          <cell r="K2156">
            <v>1</v>
          </cell>
          <cell r="N2156">
            <v>45324</v>
          </cell>
          <cell r="O2156">
            <v>11116879</v>
          </cell>
          <cell r="P2156">
            <v>13000000</v>
          </cell>
          <cell r="Q2156">
            <v>45322</v>
          </cell>
          <cell r="R2156" t="str">
            <v>No</v>
          </cell>
          <cell r="S2156" t="str">
            <v>C49</v>
          </cell>
          <cell r="T2156" t="str">
            <v>SOUTH</v>
          </cell>
          <cell r="U2156" t="str">
            <v>深圳</v>
          </cell>
          <cell r="V2156" t="str">
            <v>DG 东莞</v>
          </cell>
          <cell r="W2156" t="str">
            <v>SX</v>
          </cell>
          <cell r="X2156" t="str">
            <v>JPY</v>
          </cell>
          <cell r="Y2156">
            <v>13000000</v>
          </cell>
          <cell r="Z2156">
            <v>1</v>
          </cell>
          <cell r="AA2156">
            <v>13000000</v>
          </cell>
          <cell r="AB2156">
            <v>5.3400000000000003E-2</v>
          </cell>
          <cell r="AC2156">
            <v>694200</v>
          </cell>
          <cell r="AD2156">
            <v>83304</v>
          </cell>
          <cell r="AE2156">
            <v>0.12</v>
          </cell>
          <cell r="AF2156">
            <v>45237</v>
          </cell>
          <cell r="AG2156" t="str">
            <v>DAP DG</v>
          </cell>
          <cell r="AK2156">
            <v>0.1</v>
          </cell>
          <cell r="AL2156">
            <v>1300000</v>
          </cell>
          <cell r="AM2156">
            <v>45251</v>
          </cell>
          <cell r="AN2156" t="str">
            <v>Yes</v>
          </cell>
          <cell r="AO2156">
            <v>0.9</v>
          </cell>
          <cell r="AP2156">
            <v>11700000</v>
          </cell>
          <cell r="AQ2156">
            <v>45321</v>
          </cell>
          <cell r="AR2156">
            <v>45321</v>
          </cell>
          <cell r="AS2156">
            <v>0</v>
          </cell>
          <cell r="AT2156">
            <v>0</v>
          </cell>
          <cell r="AX2156" t="str">
            <v>Yes</v>
          </cell>
        </row>
        <row r="2157">
          <cell r="B2157">
            <v>2007</v>
          </cell>
          <cell r="C2157" t="str">
            <v>C49SZX20230111SX</v>
          </cell>
          <cell r="D2157" t="str">
            <v>兴开泰（end user:兴连）</v>
          </cell>
          <cell r="E2157" t="str">
            <v>YSM20R-2</v>
          </cell>
          <cell r="I2157" t="str">
            <v>L-&gt;R</v>
          </cell>
          <cell r="J2157" t="str">
            <v>No</v>
          </cell>
          <cell r="K2157">
            <v>1</v>
          </cell>
          <cell r="N2157">
            <v>45324</v>
          </cell>
          <cell r="O2157">
            <v>11116879</v>
          </cell>
          <cell r="P2157">
            <v>13000000</v>
          </cell>
          <cell r="Q2157">
            <v>45322</v>
          </cell>
          <cell r="R2157" t="str">
            <v>No</v>
          </cell>
          <cell r="S2157" t="str">
            <v>C49</v>
          </cell>
          <cell r="T2157" t="str">
            <v>SOUTH</v>
          </cell>
          <cell r="U2157" t="str">
            <v>深圳</v>
          </cell>
          <cell r="V2157" t="str">
            <v>DG 东莞</v>
          </cell>
          <cell r="W2157" t="str">
            <v>SX</v>
          </cell>
          <cell r="X2157" t="str">
            <v>JPY</v>
          </cell>
          <cell r="Y2157">
            <v>13000000</v>
          </cell>
          <cell r="Z2157">
            <v>1</v>
          </cell>
          <cell r="AA2157">
            <v>13000000</v>
          </cell>
          <cell r="AB2157">
            <v>5.3400000000000003E-2</v>
          </cell>
          <cell r="AC2157">
            <v>694200</v>
          </cell>
          <cell r="AD2157">
            <v>83304</v>
          </cell>
          <cell r="AE2157">
            <v>0.12</v>
          </cell>
          <cell r="AF2157">
            <v>45237</v>
          </cell>
          <cell r="AG2157" t="str">
            <v>DAP DG</v>
          </cell>
          <cell r="AK2157">
            <v>0.1</v>
          </cell>
          <cell r="AL2157">
            <v>1300000</v>
          </cell>
          <cell r="AM2157">
            <v>45251</v>
          </cell>
          <cell r="AN2157" t="str">
            <v>Yes</v>
          </cell>
          <cell r="AO2157">
            <v>0.9</v>
          </cell>
          <cell r="AP2157">
            <v>11700000</v>
          </cell>
          <cell r="AQ2157">
            <v>45321</v>
          </cell>
          <cell r="AR2157">
            <v>45321</v>
          </cell>
          <cell r="AS2157">
            <v>0</v>
          </cell>
          <cell r="AT2157">
            <v>0</v>
          </cell>
          <cell r="AX2157" t="str">
            <v>Yes</v>
          </cell>
        </row>
        <row r="2158">
          <cell r="B2158">
            <v>2008</v>
          </cell>
          <cell r="C2158" t="str">
            <v>C49SZX20230111SX</v>
          </cell>
          <cell r="D2158" t="str">
            <v>兴开泰（end user:兴连）</v>
          </cell>
          <cell r="E2158" t="str">
            <v>YSM20R-2</v>
          </cell>
          <cell r="I2158" t="str">
            <v>R-&gt;L</v>
          </cell>
          <cell r="J2158" t="str">
            <v>No</v>
          </cell>
          <cell r="K2158">
            <v>1</v>
          </cell>
          <cell r="N2158">
            <v>45324</v>
          </cell>
          <cell r="O2158">
            <v>11116879</v>
          </cell>
          <cell r="P2158">
            <v>13000000</v>
          </cell>
          <cell r="Q2158">
            <v>45322</v>
          </cell>
          <cell r="R2158" t="str">
            <v>No</v>
          </cell>
          <cell r="S2158" t="str">
            <v>C49</v>
          </cell>
          <cell r="T2158" t="str">
            <v>SOUTH</v>
          </cell>
          <cell r="U2158" t="str">
            <v>深圳</v>
          </cell>
          <cell r="V2158" t="str">
            <v>DG 东莞</v>
          </cell>
          <cell r="W2158" t="str">
            <v>SX</v>
          </cell>
          <cell r="X2158" t="str">
            <v>JPY</v>
          </cell>
          <cell r="Y2158">
            <v>13000000</v>
          </cell>
          <cell r="Z2158">
            <v>1</v>
          </cell>
          <cell r="AA2158">
            <v>13000000</v>
          </cell>
          <cell r="AB2158">
            <v>5.3400000000000003E-2</v>
          </cell>
          <cell r="AC2158">
            <v>694200</v>
          </cell>
          <cell r="AD2158">
            <v>83304</v>
          </cell>
          <cell r="AE2158">
            <v>0.12</v>
          </cell>
          <cell r="AF2158">
            <v>45237</v>
          </cell>
          <cell r="AG2158" t="str">
            <v>DAP DG</v>
          </cell>
          <cell r="AK2158">
            <v>0.1</v>
          </cell>
          <cell r="AL2158">
            <v>1300000</v>
          </cell>
          <cell r="AM2158">
            <v>45251</v>
          </cell>
          <cell r="AN2158" t="str">
            <v>Yes</v>
          </cell>
          <cell r="AO2158">
            <v>0.9</v>
          </cell>
          <cell r="AP2158">
            <v>11700000</v>
          </cell>
          <cell r="AQ2158">
            <v>45321</v>
          </cell>
          <cell r="AR2158">
            <v>45321</v>
          </cell>
          <cell r="AS2158">
            <v>0</v>
          </cell>
          <cell r="AT2158">
            <v>0</v>
          </cell>
          <cell r="AX2158" t="str">
            <v>Yes</v>
          </cell>
        </row>
        <row r="2159">
          <cell r="B2159">
            <v>2009</v>
          </cell>
          <cell r="C2159" t="str">
            <v>C49SZX20230111SX</v>
          </cell>
          <cell r="D2159" t="str">
            <v>兴开泰（end user:兴连）</v>
          </cell>
          <cell r="E2159" t="str">
            <v>YSM20R-2</v>
          </cell>
          <cell r="I2159" t="str">
            <v>R-&gt;L</v>
          </cell>
          <cell r="J2159" t="str">
            <v>No</v>
          </cell>
          <cell r="K2159">
            <v>1</v>
          </cell>
          <cell r="N2159">
            <v>45324</v>
          </cell>
          <cell r="O2159">
            <v>11116879</v>
          </cell>
          <cell r="P2159">
            <v>13000000</v>
          </cell>
          <cell r="Q2159">
            <v>45322</v>
          </cell>
          <cell r="R2159" t="str">
            <v>No</v>
          </cell>
          <cell r="S2159" t="str">
            <v>C49</v>
          </cell>
          <cell r="T2159" t="str">
            <v>SOUTH</v>
          </cell>
          <cell r="U2159" t="str">
            <v>深圳</v>
          </cell>
          <cell r="V2159" t="str">
            <v>DG 东莞</v>
          </cell>
          <cell r="W2159" t="str">
            <v>SX</v>
          </cell>
          <cell r="X2159" t="str">
            <v>JPY</v>
          </cell>
          <cell r="Y2159">
            <v>13000000</v>
          </cell>
          <cell r="Z2159">
            <v>1</v>
          </cell>
          <cell r="AA2159">
            <v>13000000</v>
          </cell>
          <cell r="AB2159">
            <v>5.3400000000000003E-2</v>
          </cell>
          <cell r="AC2159">
            <v>694200</v>
          </cell>
          <cell r="AD2159">
            <v>83304</v>
          </cell>
          <cell r="AE2159">
            <v>0.12</v>
          </cell>
          <cell r="AF2159">
            <v>45237</v>
          </cell>
          <cell r="AG2159" t="str">
            <v>DAP DG</v>
          </cell>
          <cell r="AK2159">
            <v>0.1</v>
          </cell>
          <cell r="AL2159">
            <v>1300000</v>
          </cell>
          <cell r="AM2159">
            <v>45251</v>
          </cell>
          <cell r="AN2159" t="str">
            <v>Yes</v>
          </cell>
          <cell r="AO2159">
            <v>0.9</v>
          </cell>
          <cell r="AP2159">
            <v>11700000</v>
          </cell>
          <cell r="AQ2159">
            <v>45321</v>
          </cell>
          <cell r="AR2159">
            <v>45321</v>
          </cell>
          <cell r="AS2159">
            <v>0</v>
          </cell>
          <cell r="AT2159">
            <v>0</v>
          </cell>
          <cell r="AX2159" t="str">
            <v>Yes</v>
          </cell>
        </row>
        <row r="2160">
          <cell r="B2160">
            <v>2010</v>
          </cell>
          <cell r="C2160" t="str">
            <v>C49SZX20230111SX</v>
          </cell>
          <cell r="D2160" t="str">
            <v>兴开泰（end user:兴连）</v>
          </cell>
          <cell r="E2160" t="str">
            <v>YSM10</v>
          </cell>
          <cell r="I2160" t="str">
            <v>L-&gt;R</v>
          </cell>
          <cell r="J2160" t="str">
            <v>MVC</v>
          </cell>
          <cell r="K2160">
            <v>1</v>
          </cell>
          <cell r="N2160">
            <v>45324</v>
          </cell>
          <cell r="O2160">
            <v>11116879</v>
          </cell>
          <cell r="P2160">
            <v>8500000</v>
          </cell>
          <cell r="Q2160">
            <v>45322</v>
          </cell>
          <cell r="R2160" t="str">
            <v>No</v>
          </cell>
          <cell r="S2160" t="str">
            <v>C49</v>
          </cell>
          <cell r="T2160" t="str">
            <v>SOUTH</v>
          </cell>
          <cell r="U2160" t="str">
            <v>深圳</v>
          </cell>
          <cell r="V2160" t="str">
            <v>DG 东莞</v>
          </cell>
          <cell r="W2160" t="str">
            <v>SX</v>
          </cell>
          <cell r="X2160" t="str">
            <v>JPY</v>
          </cell>
          <cell r="Y2160">
            <v>8500000</v>
          </cell>
          <cell r="Z2160">
            <v>1</v>
          </cell>
          <cell r="AA2160">
            <v>8500000</v>
          </cell>
          <cell r="AB2160">
            <v>5.3400000000000003E-2</v>
          </cell>
          <cell r="AC2160">
            <v>453900</v>
          </cell>
          <cell r="AD2160">
            <v>54468</v>
          </cell>
          <cell r="AE2160">
            <v>0.12</v>
          </cell>
          <cell r="AF2160">
            <v>45237</v>
          </cell>
          <cell r="AG2160" t="str">
            <v>DAP DG</v>
          </cell>
          <cell r="AK2160">
            <v>0.1</v>
          </cell>
          <cell r="AL2160">
            <v>850000</v>
          </cell>
          <cell r="AM2160">
            <v>45251</v>
          </cell>
          <cell r="AN2160" t="str">
            <v>Yes</v>
          </cell>
          <cell r="AO2160">
            <v>0.9</v>
          </cell>
          <cell r="AP2160">
            <v>7650000</v>
          </cell>
          <cell r="AQ2160">
            <v>45321</v>
          </cell>
          <cell r="AR2160">
            <v>45321</v>
          </cell>
          <cell r="AS2160">
            <v>0</v>
          </cell>
          <cell r="AT2160">
            <v>0</v>
          </cell>
          <cell r="AX2160" t="str">
            <v>Yes</v>
          </cell>
        </row>
        <row r="2161">
          <cell r="B2161">
            <v>2011</v>
          </cell>
          <cell r="C2161" t="str">
            <v>C49SZX20230111SX</v>
          </cell>
          <cell r="D2161" t="str">
            <v>兴开泰（end user:兴连）</v>
          </cell>
          <cell r="E2161" t="str">
            <v>YSM10</v>
          </cell>
          <cell r="I2161" t="str">
            <v>L-&gt;R</v>
          </cell>
          <cell r="J2161" t="str">
            <v>MVC</v>
          </cell>
          <cell r="K2161">
            <v>1</v>
          </cell>
          <cell r="N2161">
            <v>45324</v>
          </cell>
          <cell r="O2161">
            <v>11116879</v>
          </cell>
          <cell r="P2161">
            <v>8500000</v>
          </cell>
          <cell r="Q2161">
            <v>45322</v>
          </cell>
          <cell r="R2161" t="str">
            <v>No</v>
          </cell>
          <cell r="S2161" t="str">
            <v>C49</v>
          </cell>
          <cell r="T2161" t="str">
            <v>SOUTH</v>
          </cell>
          <cell r="U2161" t="str">
            <v>深圳</v>
          </cell>
          <cell r="V2161" t="str">
            <v>DG 东莞</v>
          </cell>
          <cell r="W2161" t="str">
            <v>SX</v>
          </cell>
          <cell r="X2161" t="str">
            <v>JPY</v>
          </cell>
          <cell r="Y2161">
            <v>8500000</v>
          </cell>
          <cell r="Z2161">
            <v>1</v>
          </cell>
          <cell r="AA2161">
            <v>8500000</v>
          </cell>
          <cell r="AB2161">
            <v>5.3400000000000003E-2</v>
          </cell>
          <cell r="AC2161">
            <v>453900</v>
          </cell>
          <cell r="AD2161">
            <v>54468</v>
          </cell>
          <cell r="AE2161">
            <v>0.12</v>
          </cell>
          <cell r="AF2161">
            <v>45237</v>
          </cell>
          <cell r="AG2161" t="str">
            <v>DAP DG</v>
          </cell>
          <cell r="AK2161">
            <v>0.1</v>
          </cell>
          <cell r="AL2161">
            <v>850000</v>
          </cell>
          <cell r="AM2161">
            <v>45251</v>
          </cell>
          <cell r="AN2161" t="str">
            <v>Yes</v>
          </cell>
          <cell r="AO2161">
            <v>0.9</v>
          </cell>
          <cell r="AP2161">
            <v>7650000</v>
          </cell>
          <cell r="AQ2161">
            <v>45321</v>
          </cell>
          <cell r="AR2161">
            <v>45321</v>
          </cell>
          <cell r="AS2161">
            <v>0</v>
          </cell>
          <cell r="AT2161">
            <v>0</v>
          </cell>
          <cell r="AX2161" t="str">
            <v>Yes</v>
          </cell>
        </row>
        <row r="2162">
          <cell r="B2162">
            <v>2012</v>
          </cell>
          <cell r="C2162" t="str">
            <v>C49SZX20230111SX</v>
          </cell>
          <cell r="D2162" t="str">
            <v>兴开泰（end user:兴连）</v>
          </cell>
          <cell r="E2162" t="str">
            <v>YSM10</v>
          </cell>
          <cell r="I2162" t="str">
            <v>L-&gt;R</v>
          </cell>
          <cell r="J2162" t="str">
            <v>MVC</v>
          </cell>
          <cell r="K2162">
            <v>1</v>
          </cell>
          <cell r="N2162">
            <v>45324</v>
          </cell>
          <cell r="O2162">
            <v>11116879</v>
          </cell>
          <cell r="P2162">
            <v>8500000</v>
          </cell>
          <cell r="Q2162">
            <v>45322</v>
          </cell>
          <cell r="R2162" t="str">
            <v>No</v>
          </cell>
          <cell r="S2162" t="str">
            <v>C49</v>
          </cell>
          <cell r="T2162" t="str">
            <v>SOUTH</v>
          </cell>
          <cell r="U2162" t="str">
            <v>深圳</v>
          </cell>
          <cell r="V2162" t="str">
            <v>DG 东莞</v>
          </cell>
          <cell r="W2162" t="str">
            <v>SX</v>
          </cell>
          <cell r="X2162" t="str">
            <v>JPY</v>
          </cell>
          <cell r="Y2162">
            <v>8500000</v>
          </cell>
          <cell r="Z2162">
            <v>1</v>
          </cell>
          <cell r="AA2162">
            <v>8500000</v>
          </cell>
          <cell r="AB2162">
            <v>5.3400000000000003E-2</v>
          </cell>
          <cell r="AC2162">
            <v>453900</v>
          </cell>
          <cell r="AD2162">
            <v>54468</v>
          </cell>
          <cell r="AE2162">
            <v>0.12</v>
          </cell>
          <cell r="AF2162">
            <v>45237</v>
          </cell>
          <cell r="AG2162" t="str">
            <v>DAP DG</v>
          </cell>
          <cell r="AK2162">
            <v>0.1</v>
          </cell>
          <cell r="AL2162">
            <v>850000</v>
          </cell>
          <cell r="AM2162">
            <v>45251</v>
          </cell>
          <cell r="AN2162" t="str">
            <v>Yes</v>
          </cell>
          <cell r="AO2162">
            <v>0.9</v>
          </cell>
          <cell r="AP2162">
            <v>7650000</v>
          </cell>
          <cell r="AQ2162">
            <v>45321</v>
          </cell>
          <cell r="AR2162">
            <v>45321</v>
          </cell>
          <cell r="AS2162">
            <v>0</v>
          </cell>
          <cell r="AT2162">
            <v>0</v>
          </cell>
          <cell r="AX2162" t="str">
            <v>Yes</v>
          </cell>
        </row>
        <row r="2163">
          <cell r="B2163">
            <v>2013</v>
          </cell>
          <cell r="C2163" t="str">
            <v>C49SZX20230111SX</v>
          </cell>
          <cell r="D2163" t="str">
            <v>兴开泰（end user:兴连）</v>
          </cell>
          <cell r="E2163" t="str">
            <v>YSM10</v>
          </cell>
          <cell r="I2163" t="str">
            <v>L-&gt;R</v>
          </cell>
          <cell r="J2163" t="str">
            <v>MVC</v>
          </cell>
          <cell r="K2163">
            <v>1</v>
          </cell>
          <cell r="N2163">
            <v>45324</v>
          </cell>
          <cell r="O2163">
            <v>11116879</v>
          </cell>
          <cell r="P2163">
            <v>8500000</v>
          </cell>
          <cell r="Q2163">
            <v>45322</v>
          </cell>
          <cell r="R2163" t="str">
            <v>No</v>
          </cell>
          <cell r="S2163" t="str">
            <v>C49</v>
          </cell>
          <cell r="T2163" t="str">
            <v>SOUTH</v>
          </cell>
          <cell r="U2163" t="str">
            <v>深圳</v>
          </cell>
          <cell r="V2163" t="str">
            <v>DG 东莞</v>
          </cell>
          <cell r="W2163" t="str">
            <v>SX</v>
          </cell>
          <cell r="X2163" t="str">
            <v>JPY</v>
          </cell>
          <cell r="Y2163">
            <v>8500000</v>
          </cell>
          <cell r="Z2163">
            <v>1</v>
          </cell>
          <cell r="AA2163">
            <v>8500000</v>
          </cell>
          <cell r="AB2163">
            <v>5.3400000000000003E-2</v>
          </cell>
          <cell r="AC2163">
            <v>453900</v>
          </cell>
          <cell r="AD2163">
            <v>54468</v>
          </cell>
          <cell r="AE2163">
            <v>0.12</v>
          </cell>
          <cell r="AF2163">
            <v>45237</v>
          </cell>
          <cell r="AG2163" t="str">
            <v>DAP DG</v>
          </cell>
          <cell r="AK2163">
            <v>0.1</v>
          </cell>
          <cell r="AL2163">
            <v>850000</v>
          </cell>
          <cell r="AM2163">
            <v>45251</v>
          </cell>
          <cell r="AN2163" t="str">
            <v>Yes</v>
          </cell>
          <cell r="AO2163">
            <v>0.9</v>
          </cell>
          <cell r="AP2163">
            <v>7650000</v>
          </cell>
          <cell r="AQ2163">
            <v>45321</v>
          </cell>
          <cell r="AR2163">
            <v>45321</v>
          </cell>
          <cell r="AS2163">
            <v>0</v>
          </cell>
          <cell r="AT2163">
            <v>0</v>
          </cell>
          <cell r="AX2163" t="str">
            <v>Yes</v>
          </cell>
        </row>
        <row r="2164">
          <cell r="B2164">
            <v>2014</v>
          </cell>
          <cell r="C2164" t="str">
            <v>C49SZX20230111SX</v>
          </cell>
          <cell r="D2164" t="str">
            <v>兴开泰（end user:兴连）</v>
          </cell>
          <cell r="E2164" t="str">
            <v>YSM10</v>
          </cell>
          <cell r="I2164" t="str">
            <v>R-&gt;L</v>
          </cell>
          <cell r="J2164" t="str">
            <v>MVC</v>
          </cell>
          <cell r="K2164">
            <v>1</v>
          </cell>
          <cell r="N2164">
            <v>45324</v>
          </cell>
          <cell r="O2164">
            <v>11116879</v>
          </cell>
          <cell r="P2164">
            <v>8500000</v>
          </cell>
          <cell r="Q2164">
            <v>45322</v>
          </cell>
          <cell r="R2164" t="str">
            <v>No</v>
          </cell>
          <cell r="S2164" t="str">
            <v>C49</v>
          </cell>
          <cell r="T2164" t="str">
            <v>SOUTH</v>
          </cell>
          <cell r="U2164" t="str">
            <v>深圳</v>
          </cell>
          <cell r="V2164" t="str">
            <v>DG 东莞</v>
          </cell>
          <cell r="W2164" t="str">
            <v>SX</v>
          </cell>
          <cell r="X2164" t="str">
            <v>JPY</v>
          </cell>
          <cell r="Y2164">
            <v>8500000</v>
          </cell>
          <cell r="Z2164">
            <v>1</v>
          </cell>
          <cell r="AA2164">
            <v>8500000</v>
          </cell>
          <cell r="AB2164">
            <v>5.3400000000000003E-2</v>
          </cell>
          <cell r="AC2164">
            <v>453900</v>
          </cell>
          <cell r="AD2164">
            <v>54468</v>
          </cell>
          <cell r="AE2164">
            <v>0.12</v>
          </cell>
          <cell r="AF2164">
            <v>45237</v>
          </cell>
          <cell r="AG2164" t="str">
            <v>DAP DG</v>
          </cell>
          <cell r="AK2164">
            <v>0.1</v>
          </cell>
          <cell r="AL2164">
            <v>850000</v>
          </cell>
          <cell r="AM2164">
            <v>45251</v>
          </cell>
          <cell r="AN2164" t="str">
            <v>Yes</v>
          </cell>
          <cell r="AO2164">
            <v>0.9</v>
          </cell>
          <cell r="AP2164">
            <v>7650000</v>
          </cell>
          <cell r="AQ2164">
            <v>45321</v>
          </cell>
          <cell r="AR2164">
            <v>45321</v>
          </cell>
          <cell r="AS2164">
            <v>0</v>
          </cell>
          <cell r="AT2164">
            <v>0</v>
          </cell>
          <cell r="AX2164" t="str">
            <v>Yes</v>
          </cell>
        </row>
        <row r="2165">
          <cell r="B2165">
            <v>2015</v>
          </cell>
          <cell r="C2165" t="str">
            <v>C49SZX20230111SX</v>
          </cell>
          <cell r="D2165" t="str">
            <v>兴开泰（end user:兴连）</v>
          </cell>
          <cell r="E2165" t="str">
            <v>YSM10</v>
          </cell>
          <cell r="I2165" t="str">
            <v>R-&gt;L</v>
          </cell>
          <cell r="J2165" t="str">
            <v>MVC</v>
          </cell>
          <cell r="K2165">
            <v>1</v>
          </cell>
          <cell r="N2165">
            <v>45324</v>
          </cell>
          <cell r="O2165">
            <v>11116879</v>
          </cell>
          <cell r="P2165">
            <v>8500000</v>
          </cell>
          <cell r="Q2165">
            <v>45322</v>
          </cell>
          <cell r="R2165" t="str">
            <v>No</v>
          </cell>
          <cell r="S2165" t="str">
            <v>C49</v>
          </cell>
          <cell r="T2165" t="str">
            <v>SOUTH</v>
          </cell>
          <cell r="U2165" t="str">
            <v>深圳</v>
          </cell>
          <cell r="V2165" t="str">
            <v>DG 东莞</v>
          </cell>
          <cell r="W2165" t="str">
            <v>SX</v>
          </cell>
          <cell r="X2165" t="str">
            <v>JPY</v>
          </cell>
          <cell r="Y2165">
            <v>8500000</v>
          </cell>
          <cell r="Z2165">
            <v>1</v>
          </cell>
          <cell r="AA2165">
            <v>8500000</v>
          </cell>
          <cell r="AB2165">
            <v>5.3400000000000003E-2</v>
          </cell>
          <cell r="AC2165">
            <v>453900</v>
          </cell>
          <cell r="AD2165">
            <v>54468</v>
          </cell>
          <cell r="AE2165">
            <v>0.12</v>
          </cell>
          <cell r="AF2165">
            <v>45237</v>
          </cell>
          <cell r="AG2165" t="str">
            <v>DAP DG</v>
          </cell>
          <cell r="AK2165">
            <v>0.1</v>
          </cell>
          <cell r="AL2165">
            <v>850000</v>
          </cell>
          <cell r="AM2165">
            <v>45251</v>
          </cell>
          <cell r="AN2165" t="str">
            <v>Yes</v>
          </cell>
          <cell r="AO2165">
            <v>0.9</v>
          </cell>
          <cell r="AP2165">
            <v>7650000</v>
          </cell>
          <cell r="AQ2165">
            <v>45321</v>
          </cell>
          <cell r="AR2165">
            <v>45321</v>
          </cell>
          <cell r="AS2165">
            <v>0</v>
          </cell>
          <cell r="AT2165">
            <v>0</v>
          </cell>
          <cell r="AX2165" t="str">
            <v>Yes</v>
          </cell>
        </row>
        <row r="2166">
          <cell r="B2166">
            <v>2016</v>
          </cell>
          <cell r="C2166" t="str">
            <v>C49SZX20230111SX</v>
          </cell>
          <cell r="D2166" t="str">
            <v>兴开泰（end user:兴连）</v>
          </cell>
          <cell r="E2166" t="str">
            <v>YSM10</v>
          </cell>
          <cell r="I2166" t="str">
            <v>R-&gt;L</v>
          </cell>
          <cell r="J2166" t="str">
            <v>MVC</v>
          </cell>
          <cell r="K2166">
            <v>1</v>
          </cell>
          <cell r="N2166">
            <v>45324</v>
          </cell>
          <cell r="O2166">
            <v>11116879</v>
          </cell>
          <cell r="P2166">
            <v>8500000</v>
          </cell>
          <cell r="Q2166">
            <v>45322</v>
          </cell>
          <cell r="R2166" t="str">
            <v>No</v>
          </cell>
          <cell r="S2166" t="str">
            <v>C49</v>
          </cell>
          <cell r="T2166" t="str">
            <v>SOUTH</v>
          </cell>
          <cell r="U2166" t="str">
            <v>深圳</v>
          </cell>
          <cell r="V2166" t="str">
            <v>DG 东莞</v>
          </cell>
          <cell r="W2166" t="str">
            <v>SX</v>
          </cell>
          <cell r="X2166" t="str">
            <v>JPY</v>
          </cell>
          <cell r="Y2166">
            <v>8500000</v>
          </cell>
          <cell r="Z2166">
            <v>1</v>
          </cell>
          <cell r="AA2166">
            <v>8500000</v>
          </cell>
          <cell r="AB2166">
            <v>5.3400000000000003E-2</v>
          </cell>
          <cell r="AC2166">
            <v>453900</v>
          </cell>
          <cell r="AD2166">
            <v>54468</v>
          </cell>
          <cell r="AE2166">
            <v>0.12</v>
          </cell>
          <cell r="AF2166">
            <v>45237</v>
          </cell>
          <cell r="AG2166" t="str">
            <v>DAP DG</v>
          </cell>
          <cell r="AK2166">
            <v>0.1</v>
          </cell>
          <cell r="AL2166">
            <v>850000</v>
          </cell>
          <cell r="AM2166">
            <v>45251</v>
          </cell>
          <cell r="AN2166" t="str">
            <v>Yes</v>
          </cell>
          <cell r="AO2166">
            <v>0.9</v>
          </cell>
          <cell r="AP2166">
            <v>7650000</v>
          </cell>
          <cell r="AQ2166">
            <v>45321</v>
          </cell>
          <cell r="AR2166">
            <v>45321</v>
          </cell>
          <cell r="AS2166">
            <v>0</v>
          </cell>
          <cell r="AT2166">
            <v>0</v>
          </cell>
          <cell r="AX2166" t="str">
            <v>Yes</v>
          </cell>
        </row>
        <row r="2167">
          <cell r="B2167">
            <v>2017</v>
          </cell>
          <cell r="C2167" t="str">
            <v>C49SZX20230111SX</v>
          </cell>
          <cell r="D2167" t="str">
            <v>兴开泰（end user:兴连）</v>
          </cell>
          <cell r="E2167" t="str">
            <v>YSM10</v>
          </cell>
          <cell r="I2167" t="str">
            <v>R-&gt;L</v>
          </cell>
          <cell r="J2167" t="str">
            <v>MVC</v>
          </cell>
          <cell r="K2167">
            <v>1</v>
          </cell>
          <cell r="N2167">
            <v>45324</v>
          </cell>
          <cell r="O2167">
            <v>11116879</v>
          </cell>
          <cell r="P2167">
            <v>8500000</v>
          </cell>
          <cell r="Q2167">
            <v>45322</v>
          </cell>
          <cell r="R2167" t="str">
            <v>No</v>
          </cell>
          <cell r="S2167" t="str">
            <v>C49</v>
          </cell>
          <cell r="T2167" t="str">
            <v>SOUTH</v>
          </cell>
          <cell r="U2167" t="str">
            <v>深圳</v>
          </cell>
          <cell r="V2167" t="str">
            <v>DG 东莞</v>
          </cell>
          <cell r="W2167" t="str">
            <v>SX</v>
          </cell>
          <cell r="X2167" t="str">
            <v>JPY</v>
          </cell>
          <cell r="Y2167">
            <v>8500000</v>
          </cell>
          <cell r="Z2167">
            <v>1</v>
          </cell>
          <cell r="AA2167">
            <v>8500000</v>
          </cell>
          <cell r="AB2167">
            <v>5.3400000000000003E-2</v>
          </cell>
          <cell r="AC2167">
            <v>453900</v>
          </cell>
          <cell r="AD2167">
            <v>54468</v>
          </cell>
          <cell r="AE2167">
            <v>0.12</v>
          </cell>
          <cell r="AF2167">
            <v>45237</v>
          </cell>
          <cell r="AG2167" t="str">
            <v>DAP DG</v>
          </cell>
          <cell r="AK2167">
            <v>0.1</v>
          </cell>
          <cell r="AL2167">
            <v>850000</v>
          </cell>
          <cell r="AM2167">
            <v>45251</v>
          </cell>
          <cell r="AN2167" t="str">
            <v>Yes</v>
          </cell>
          <cell r="AO2167">
            <v>0.9</v>
          </cell>
          <cell r="AP2167">
            <v>7650000</v>
          </cell>
          <cell r="AQ2167">
            <v>45321</v>
          </cell>
          <cell r="AR2167">
            <v>45321</v>
          </cell>
          <cell r="AS2167">
            <v>0</v>
          </cell>
          <cell r="AT2167">
            <v>0</v>
          </cell>
          <cell r="AX2167" t="str">
            <v>Yes</v>
          </cell>
        </row>
        <row r="2168">
          <cell r="B2168">
            <v>2018</v>
          </cell>
          <cell r="C2168" t="str">
            <v>C49SZX20230123SX</v>
          </cell>
          <cell r="D2168" t="str">
            <v>永顺创</v>
          </cell>
          <cell r="E2168" t="str">
            <v>YSM20R-2</v>
          </cell>
          <cell r="I2168" t="str">
            <v>L-&gt;R</v>
          </cell>
          <cell r="J2168" t="str">
            <v>No</v>
          </cell>
          <cell r="K2168">
            <v>1</v>
          </cell>
          <cell r="N2168">
            <v>45257</v>
          </cell>
          <cell r="O2168">
            <v>11116859</v>
          </cell>
          <cell r="P2168">
            <v>12200000</v>
          </cell>
          <cell r="Q2168">
            <v>45258</v>
          </cell>
          <cell r="R2168" t="str">
            <v>No</v>
          </cell>
          <cell r="S2168" t="str">
            <v>C49</v>
          </cell>
          <cell r="T2168" t="str">
            <v>SOUTH</v>
          </cell>
          <cell r="U2168" t="str">
            <v>深圳</v>
          </cell>
          <cell r="V2168" t="str">
            <v>SZ 深圳</v>
          </cell>
          <cell r="W2168" t="str">
            <v>SX</v>
          </cell>
          <cell r="X2168" t="str">
            <v>JPY</v>
          </cell>
          <cell r="Y2168">
            <v>12200000</v>
          </cell>
          <cell r="Z2168">
            <v>1</v>
          </cell>
          <cell r="AA2168">
            <v>12200000</v>
          </cell>
          <cell r="AB2168">
            <v>5.3400000000000003E-2</v>
          </cell>
          <cell r="AC2168">
            <v>651480</v>
          </cell>
          <cell r="AD2168">
            <v>78177.599999999991</v>
          </cell>
          <cell r="AE2168">
            <v>0.12</v>
          </cell>
          <cell r="AF2168">
            <v>45240</v>
          </cell>
          <cell r="AG2168" t="str">
            <v>DAP SZ</v>
          </cell>
          <cell r="AK2168">
            <v>0.1</v>
          </cell>
          <cell r="AL2168">
            <v>1220000</v>
          </cell>
          <cell r="AM2168">
            <v>45245</v>
          </cell>
          <cell r="AN2168" t="str">
            <v>Yes</v>
          </cell>
          <cell r="AO2168">
            <v>0.9</v>
          </cell>
          <cell r="AP2168">
            <v>10980000</v>
          </cell>
          <cell r="AQ2168">
            <v>45251</v>
          </cell>
          <cell r="AR2168">
            <v>45251</v>
          </cell>
          <cell r="AS2168">
            <v>0</v>
          </cell>
          <cell r="AT2168">
            <v>0</v>
          </cell>
          <cell r="AX2168" t="str">
            <v>Yes</v>
          </cell>
          <cell r="AZ2168" t="str">
            <v>Y</v>
          </cell>
          <cell r="BA2168" t="str">
            <v>Yes</v>
          </cell>
        </row>
        <row r="2169">
          <cell r="B2169">
            <v>2019</v>
          </cell>
          <cell r="C2169" t="str">
            <v>C49SZX20230123SX</v>
          </cell>
          <cell r="D2169" t="str">
            <v>永顺创</v>
          </cell>
          <cell r="E2169" t="str">
            <v>YSM10</v>
          </cell>
          <cell r="I2169" t="str">
            <v>L-&gt;R</v>
          </cell>
          <cell r="J2169" t="str">
            <v>MVC+ATS15</v>
          </cell>
          <cell r="K2169">
            <v>1</v>
          </cell>
          <cell r="N2169">
            <v>45257</v>
          </cell>
          <cell r="O2169">
            <v>11116859</v>
          </cell>
          <cell r="P2169">
            <v>7950000</v>
          </cell>
          <cell r="Q2169">
            <v>45258</v>
          </cell>
          <cell r="R2169" t="str">
            <v>No</v>
          </cell>
          <cell r="S2169" t="str">
            <v>C49</v>
          </cell>
          <cell r="T2169" t="str">
            <v>SOUTH</v>
          </cell>
          <cell r="U2169" t="str">
            <v>深圳</v>
          </cell>
          <cell r="V2169" t="str">
            <v>SZ 深圳</v>
          </cell>
          <cell r="W2169" t="str">
            <v>SX</v>
          </cell>
          <cell r="X2169" t="str">
            <v>JPY</v>
          </cell>
          <cell r="Y2169">
            <v>7950000</v>
          </cell>
          <cell r="Z2169">
            <v>1</v>
          </cell>
          <cell r="AA2169">
            <v>7950000</v>
          </cell>
          <cell r="AB2169">
            <v>5.3400000000000003E-2</v>
          </cell>
          <cell r="AC2169">
            <v>424530</v>
          </cell>
          <cell r="AD2169">
            <v>50943.6</v>
          </cell>
          <cell r="AE2169">
            <v>0.12</v>
          </cell>
          <cell r="AF2169">
            <v>45240</v>
          </cell>
          <cell r="AG2169" t="str">
            <v>DAP SZ</v>
          </cell>
          <cell r="AK2169">
            <v>0.1</v>
          </cell>
          <cell r="AL2169">
            <v>795000</v>
          </cell>
          <cell r="AM2169">
            <v>45245</v>
          </cell>
          <cell r="AN2169" t="str">
            <v>Yes</v>
          </cell>
          <cell r="AO2169">
            <v>0.9</v>
          </cell>
          <cell r="AP2169">
            <v>7155000</v>
          </cell>
          <cell r="AQ2169">
            <v>45251</v>
          </cell>
          <cell r="AR2169">
            <v>45251</v>
          </cell>
          <cell r="AS2169">
            <v>0</v>
          </cell>
          <cell r="AT2169">
            <v>0</v>
          </cell>
          <cell r="AX2169" t="str">
            <v>Yes</v>
          </cell>
          <cell r="AZ2169" t="str">
            <v>Y</v>
          </cell>
          <cell r="BA2169" t="str">
            <v>Yes</v>
          </cell>
        </row>
        <row r="2170">
          <cell r="B2170">
            <v>2020</v>
          </cell>
          <cell r="C2170" t="str">
            <v>C49SZX20230125JY</v>
          </cell>
          <cell r="D2170" t="str">
            <v>百施达（end user:海纳科）</v>
          </cell>
          <cell r="E2170" t="str">
            <v>YSM10</v>
          </cell>
          <cell r="I2170" t="str">
            <v>L-&gt;R</v>
          </cell>
          <cell r="J2170" t="str">
            <v>MVC</v>
          </cell>
          <cell r="K2170">
            <v>1</v>
          </cell>
          <cell r="N2170">
            <v>45251</v>
          </cell>
          <cell r="O2170">
            <v>11116856</v>
          </cell>
          <cell r="P2170">
            <v>7100000</v>
          </cell>
          <cell r="Q2170">
            <v>45253</v>
          </cell>
          <cell r="R2170" t="str">
            <v>No</v>
          </cell>
          <cell r="S2170" t="str">
            <v>C49</v>
          </cell>
          <cell r="T2170" t="str">
            <v>SOUTH</v>
          </cell>
          <cell r="U2170" t="str">
            <v>深圳</v>
          </cell>
          <cell r="V2170" t="str">
            <v>SZ 深圳</v>
          </cell>
          <cell r="W2170" t="str">
            <v>JY</v>
          </cell>
          <cell r="X2170" t="str">
            <v>JPY</v>
          </cell>
          <cell r="Y2170">
            <v>7100000</v>
          </cell>
          <cell r="Z2170">
            <v>1</v>
          </cell>
          <cell r="AA2170">
            <v>7100000</v>
          </cell>
          <cell r="AB2170">
            <v>5.3400000000000003E-2</v>
          </cell>
          <cell r="AC2170">
            <v>379140</v>
          </cell>
          <cell r="AD2170">
            <v>45496.799999999996</v>
          </cell>
          <cell r="AE2170">
            <v>0.12</v>
          </cell>
          <cell r="AF2170">
            <v>45246</v>
          </cell>
          <cell r="AG2170" t="str">
            <v>DAP SZ</v>
          </cell>
          <cell r="AK2170">
            <v>1</v>
          </cell>
          <cell r="AL2170">
            <v>7100000</v>
          </cell>
          <cell r="AM2170">
            <v>45246</v>
          </cell>
          <cell r="AN2170" t="str">
            <v>Yes</v>
          </cell>
          <cell r="AO2170">
            <v>0</v>
          </cell>
          <cell r="AP2170">
            <v>0</v>
          </cell>
          <cell r="AQ2170">
            <v>45251</v>
          </cell>
          <cell r="AR2170">
            <v>45251</v>
          </cell>
          <cell r="AS2170">
            <v>0</v>
          </cell>
          <cell r="AT2170">
            <v>0</v>
          </cell>
          <cell r="AX2170" t="str">
            <v>Yes</v>
          </cell>
          <cell r="AZ2170" t="str">
            <v>Y</v>
          </cell>
          <cell r="BA2170" t="str">
            <v>Yes</v>
          </cell>
        </row>
        <row r="2171">
          <cell r="B2171">
            <v>2021</v>
          </cell>
          <cell r="C2171" t="str">
            <v>C49SZX20230125JY</v>
          </cell>
          <cell r="D2171" t="str">
            <v>百施达（end user:海纳科）</v>
          </cell>
          <cell r="E2171" t="str">
            <v>YSM10</v>
          </cell>
          <cell r="I2171" t="str">
            <v>L-&gt;R</v>
          </cell>
          <cell r="J2171" t="str">
            <v>MVC</v>
          </cell>
          <cell r="K2171">
            <v>1</v>
          </cell>
          <cell r="N2171">
            <v>45251</v>
          </cell>
          <cell r="O2171">
            <v>11116856</v>
          </cell>
          <cell r="P2171">
            <v>7100000</v>
          </cell>
          <cell r="Q2171">
            <v>45253</v>
          </cell>
          <cell r="R2171" t="str">
            <v>No</v>
          </cell>
          <cell r="S2171" t="str">
            <v>C49</v>
          </cell>
          <cell r="T2171" t="str">
            <v>SOUTH</v>
          </cell>
          <cell r="U2171" t="str">
            <v>深圳</v>
          </cell>
          <cell r="V2171" t="str">
            <v>SZ 深圳</v>
          </cell>
          <cell r="W2171" t="str">
            <v>JY</v>
          </cell>
          <cell r="X2171" t="str">
            <v>JPY</v>
          </cell>
          <cell r="Y2171">
            <v>7100000</v>
          </cell>
          <cell r="Z2171">
            <v>1</v>
          </cell>
          <cell r="AA2171">
            <v>7100000</v>
          </cell>
          <cell r="AB2171">
            <v>5.3400000000000003E-2</v>
          </cell>
          <cell r="AC2171">
            <v>379140</v>
          </cell>
          <cell r="AD2171">
            <v>45496.799999999996</v>
          </cell>
          <cell r="AE2171">
            <v>0.12</v>
          </cell>
          <cell r="AF2171">
            <v>45246</v>
          </cell>
          <cell r="AG2171" t="str">
            <v>DAP SZ</v>
          </cell>
          <cell r="AK2171">
            <v>1</v>
          </cell>
          <cell r="AL2171">
            <v>7100000</v>
          </cell>
          <cell r="AM2171">
            <v>45246</v>
          </cell>
          <cell r="AN2171" t="str">
            <v>Yes</v>
          </cell>
          <cell r="AO2171">
            <v>0</v>
          </cell>
          <cell r="AP2171">
            <v>0</v>
          </cell>
          <cell r="AQ2171">
            <v>45251</v>
          </cell>
          <cell r="AR2171">
            <v>45251</v>
          </cell>
          <cell r="AS2171">
            <v>0</v>
          </cell>
          <cell r="AT2171">
            <v>0</v>
          </cell>
          <cell r="AX2171" t="str">
            <v>Yes</v>
          </cell>
          <cell r="AZ2171" t="str">
            <v>Y</v>
          </cell>
          <cell r="BA2171" t="str">
            <v>Yes</v>
          </cell>
        </row>
        <row r="2172">
          <cell r="B2172">
            <v>2022</v>
          </cell>
          <cell r="C2172" t="str">
            <v>C49SZX20230129JL/HJD23110851</v>
          </cell>
          <cell r="D2172" t="str">
            <v>皓吉达</v>
          </cell>
          <cell r="E2172" t="str">
            <v>YSM10</v>
          </cell>
          <cell r="I2172" t="str">
            <v>L-&gt;R</v>
          </cell>
          <cell r="J2172" t="str">
            <v>ATS15</v>
          </cell>
          <cell r="K2172">
            <v>1</v>
          </cell>
          <cell r="R2172" t="str">
            <v>No</v>
          </cell>
          <cell r="S2172" t="str">
            <v>C49</v>
          </cell>
          <cell r="T2172" t="str">
            <v>SOUTH</v>
          </cell>
          <cell r="U2172" t="str">
            <v>深圳</v>
          </cell>
          <cell r="V2172" t="str">
            <v>HY河源</v>
          </cell>
          <cell r="W2172" t="str">
            <v>JL</v>
          </cell>
          <cell r="X2172" t="str">
            <v>RMB</v>
          </cell>
          <cell r="Y2172">
            <v>506000</v>
          </cell>
          <cell r="Z2172">
            <v>1.1299999999999999</v>
          </cell>
          <cell r="AA2172">
            <v>506000</v>
          </cell>
          <cell r="AB2172">
            <v>1.07</v>
          </cell>
          <cell r="AC2172">
            <v>479132.74336283194</v>
          </cell>
          <cell r="AD2172">
            <v>57495.929203539832</v>
          </cell>
          <cell r="AE2172">
            <v>0.12</v>
          </cell>
          <cell r="AF2172">
            <v>45250</v>
          </cell>
          <cell r="AG2172" t="str">
            <v>DDP HY</v>
          </cell>
          <cell r="AK2172">
            <v>0.3</v>
          </cell>
          <cell r="AL2172">
            <v>151800</v>
          </cell>
          <cell r="AM2172">
            <v>45252</v>
          </cell>
          <cell r="AN2172" t="str">
            <v>Yes</v>
          </cell>
          <cell r="AO2172">
            <v>0.65</v>
          </cell>
          <cell r="AP2172">
            <v>328900</v>
          </cell>
          <cell r="AQ2172">
            <v>45259</v>
          </cell>
          <cell r="AR2172">
            <v>45259</v>
          </cell>
          <cell r="AS2172">
            <v>0.05</v>
          </cell>
          <cell r="AT2172">
            <v>25300</v>
          </cell>
          <cell r="AU2172">
            <v>45310</v>
          </cell>
          <cell r="AV2172">
            <v>45310</v>
          </cell>
          <cell r="AX2172" t="str">
            <v>Yes</v>
          </cell>
          <cell r="AZ2172" t="str">
            <v>Y</v>
          </cell>
          <cell r="BA2172" t="str">
            <v>Yes</v>
          </cell>
        </row>
        <row r="2173">
          <cell r="B2173">
            <v>2023</v>
          </cell>
          <cell r="C2173" t="str">
            <v>C49SZX20230128SX</v>
          </cell>
          <cell r="D2173" t="str">
            <v>江西奕东</v>
          </cell>
          <cell r="E2173" t="str">
            <v>YSM10</v>
          </cell>
          <cell r="I2173" t="str">
            <v>L-&gt;R</v>
          </cell>
          <cell r="J2173" t="str">
            <v>MVC+ATS15</v>
          </cell>
          <cell r="K2173">
            <v>1</v>
          </cell>
          <cell r="N2173">
            <v>45255</v>
          </cell>
          <cell r="O2173">
            <v>11116858</v>
          </cell>
          <cell r="P2173">
            <v>9252610</v>
          </cell>
          <cell r="Q2173">
            <v>45258</v>
          </cell>
          <cell r="R2173" t="str">
            <v>No</v>
          </cell>
          <cell r="S2173" t="str">
            <v>C49</v>
          </cell>
          <cell r="T2173" t="str">
            <v>SOUTH</v>
          </cell>
          <cell r="U2173" t="str">
            <v>深圳</v>
          </cell>
          <cell r="V2173" t="str">
            <v>JX江西</v>
          </cell>
          <cell r="W2173" t="str">
            <v>SX</v>
          </cell>
          <cell r="X2173" t="str">
            <v>JPY</v>
          </cell>
          <cell r="Y2173">
            <v>9252610</v>
          </cell>
          <cell r="Z2173">
            <v>1</v>
          </cell>
          <cell r="AA2173">
            <v>9252610</v>
          </cell>
          <cell r="AB2173">
            <v>5.3400000000000003E-2</v>
          </cell>
          <cell r="AC2173">
            <v>494089.37400000001</v>
          </cell>
          <cell r="AD2173">
            <v>59290.724880000002</v>
          </cell>
          <cell r="AE2173">
            <v>0.12</v>
          </cell>
          <cell r="AF2173">
            <v>45250</v>
          </cell>
          <cell r="AG2173" t="str">
            <v>DAP JX</v>
          </cell>
          <cell r="AK2173">
            <v>1</v>
          </cell>
          <cell r="AL2173">
            <v>9252610</v>
          </cell>
          <cell r="AM2173">
            <v>45254</v>
          </cell>
          <cell r="AN2173" t="str">
            <v>Yes</v>
          </cell>
          <cell r="AO2173">
            <v>0</v>
          </cell>
          <cell r="AP2173">
            <v>0</v>
          </cell>
          <cell r="AS2173">
            <v>0</v>
          </cell>
          <cell r="AT2173">
            <v>0</v>
          </cell>
          <cell r="AX2173" t="str">
            <v>Yes</v>
          </cell>
          <cell r="AZ2173" t="str">
            <v>Y</v>
          </cell>
          <cell r="BA2173" t="str">
            <v>Yes</v>
          </cell>
        </row>
        <row r="2174">
          <cell r="B2174">
            <v>2024</v>
          </cell>
          <cell r="C2174" t="str">
            <v>C49SZX20230128SX</v>
          </cell>
          <cell r="D2174" t="str">
            <v>江西奕东</v>
          </cell>
          <cell r="E2174" t="str">
            <v>YSM10</v>
          </cell>
          <cell r="I2174" t="str">
            <v>L-&gt;R</v>
          </cell>
          <cell r="J2174" t="str">
            <v>MVC+ATS15</v>
          </cell>
          <cell r="K2174">
            <v>1</v>
          </cell>
          <cell r="N2174">
            <v>45255</v>
          </cell>
          <cell r="O2174">
            <v>11116858</v>
          </cell>
          <cell r="P2174">
            <v>9252610</v>
          </cell>
          <cell r="Q2174">
            <v>45258</v>
          </cell>
          <cell r="R2174" t="str">
            <v>No</v>
          </cell>
          <cell r="S2174" t="str">
            <v>C49</v>
          </cell>
          <cell r="T2174" t="str">
            <v>SOUTH</v>
          </cell>
          <cell r="U2174" t="str">
            <v>深圳</v>
          </cell>
          <cell r="V2174" t="str">
            <v>JX江西</v>
          </cell>
          <cell r="W2174" t="str">
            <v>SX</v>
          </cell>
          <cell r="X2174" t="str">
            <v>JPY</v>
          </cell>
          <cell r="Y2174">
            <v>9252610</v>
          </cell>
          <cell r="Z2174">
            <v>1</v>
          </cell>
          <cell r="AA2174">
            <v>9252610</v>
          </cell>
          <cell r="AB2174">
            <v>5.3400000000000003E-2</v>
          </cell>
          <cell r="AC2174">
            <v>494089.37400000001</v>
          </cell>
          <cell r="AD2174">
            <v>59290.724880000002</v>
          </cell>
          <cell r="AE2174">
            <v>0.12</v>
          </cell>
          <cell r="AF2174">
            <v>45250</v>
          </cell>
          <cell r="AG2174" t="str">
            <v>DAP JX</v>
          </cell>
          <cell r="AK2174">
            <v>1</v>
          </cell>
          <cell r="AL2174">
            <v>9252610</v>
          </cell>
          <cell r="AM2174">
            <v>45254</v>
          </cell>
          <cell r="AN2174" t="str">
            <v>Yes</v>
          </cell>
          <cell r="AO2174">
            <v>0</v>
          </cell>
          <cell r="AP2174">
            <v>0</v>
          </cell>
          <cell r="AS2174">
            <v>0</v>
          </cell>
          <cell r="AT2174">
            <v>0</v>
          </cell>
          <cell r="AX2174" t="str">
            <v>Yes</v>
          </cell>
          <cell r="AZ2174" t="str">
            <v>Y</v>
          </cell>
          <cell r="BA2174" t="str">
            <v>Yes</v>
          </cell>
        </row>
        <row r="2175">
          <cell r="B2175">
            <v>2025</v>
          </cell>
          <cell r="C2175" t="str">
            <v>C49SZX20230128SX</v>
          </cell>
          <cell r="D2175" t="str">
            <v>江西奕东</v>
          </cell>
          <cell r="E2175" t="str">
            <v>YSM10</v>
          </cell>
          <cell r="I2175" t="str">
            <v>L-&gt;R</v>
          </cell>
          <cell r="J2175" t="str">
            <v>MVC</v>
          </cell>
          <cell r="K2175">
            <v>1</v>
          </cell>
          <cell r="N2175">
            <v>45255</v>
          </cell>
          <cell r="O2175">
            <v>11116858</v>
          </cell>
          <cell r="P2175">
            <v>9252610</v>
          </cell>
          <cell r="Q2175">
            <v>45258</v>
          </cell>
          <cell r="R2175" t="str">
            <v>No</v>
          </cell>
          <cell r="S2175" t="str">
            <v>C49</v>
          </cell>
          <cell r="T2175" t="str">
            <v>SOUTH</v>
          </cell>
          <cell r="U2175" t="str">
            <v>深圳</v>
          </cell>
          <cell r="V2175" t="str">
            <v>JX江西</v>
          </cell>
          <cell r="W2175" t="str">
            <v>SX</v>
          </cell>
          <cell r="X2175" t="str">
            <v>JPY</v>
          </cell>
          <cell r="Y2175">
            <v>9252610</v>
          </cell>
          <cell r="Z2175">
            <v>1</v>
          </cell>
          <cell r="AA2175">
            <v>9252610</v>
          </cell>
          <cell r="AB2175">
            <v>5.3400000000000003E-2</v>
          </cell>
          <cell r="AC2175">
            <v>494089.37400000001</v>
          </cell>
          <cell r="AD2175">
            <v>59290.724880000002</v>
          </cell>
          <cell r="AE2175">
            <v>0.12</v>
          </cell>
          <cell r="AF2175">
            <v>45250</v>
          </cell>
          <cell r="AG2175" t="str">
            <v>DAP JX</v>
          </cell>
          <cell r="AK2175">
            <v>1</v>
          </cell>
          <cell r="AL2175">
            <v>9252610</v>
          </cell>
          <cell r="AM2175">
            <v>45254</v>
          </cell>
          <cell r="AN2175" t="str">
            <v>Yes</v>
          </cell>
          <cell r="AO2175">
            <v>0</v>
          </cell>
          <cell r="AP2175">
            <v>0</v>
          </cell>
          <cell r="AS2175">
            <v>0</v>
          </cell>
          <cell r="AT2175">
            <v>0</v>
          </cell>
          <cell r="AX2175" t="str">
            <v>Yes</v>
          </cell>
          <cell r="AZ2175" t="str">
            <v>Y</v>
          </cell>
          <cell r="BA2175" t="str">
            <v>Yes</v>
          </cell>
        </row>
        <row r="2176">
          <cell r="B2176">
            <v>2026</v>
          </cell>
          <cell r="C2176" t="str">
            <v>C49SZX20230128SX</v>
          </cell>
          <cell r="D2176" t="str">
            <v>江西奕东</v>
          </cell>
          <cell r="E2176" t="str">
            <v>YSM10</v>
          </cell>
          <cell r="I2176" t="str">
            <v>L-&gt;R</v>
          </cell>
          <cell r="J2176" t="str">
            <v>MVC</v>
          </cell>
          <cell r="K2176">
            <v>1</v>
          </cell>
          <cell r="N2176">
            <v>45255</v>
          </cell>
          <cell r="O2176">
            <v>11116858</v>
          </cell>
          <cell r="P2176">
            <v>9252610</v>
          </cell>
          <cell r="Q2176">
            <v>45258</v>
          </cell>
          <cell r="R2176" t="str">
            <v>No</v>
          </cell>
          <cell r="S2176" t="str">
            <v>C49</v>
          </cell>
          <cell r="T2176" t="str">
            <v>SOUTH</v>
          </cell>
          <cell r="U2176" t="str">
            <v>深圳</v>
          </cell>
          <cell r="V2176" t="str">
            <v>JX江西</v>
          </cell>
          <cell r="W2176" t="str">
            <v>SX</v>
          </cell>
          <cell r="X2176" t="str">
            <v>JPY</v>
          </cell>
          <cell r="Y2176">
            <v>9252610</v>
          </cell>
          <cell r="Z2176">
            <v>1</v>
          </cell>
          <cell r="AA2176">
            <v>9252610</v>
          </cell>
          <cell r="AB2176">
            <v>5.3400000000000003E-2</v>
          </cell>
          <cell r="AC2176">
            <v>494089.37400000001</v>
          </cell>
          <cell r="AD2176">
            <v>59290.724880000002</v>
          </cell>
          <cell r="AE2176">
            <v>0.12</v>
          </cell>
          <cell r="AF2176">
            <v>45250</v>
          </cell>
          <cell r="AG2176" t="str">
            <v>DAP JX</v>
          </cell>
          <cell r="AK2176">
            <v>1</v>
          </cell>
          <cell r="AL2176">
            <v>9252610</v>
          </cell>
          <cell r="AM2176">
            <v>45254</v>
          </cell>
          <cell r="AN2176" t="str">
            <v>Yes</v>
          </cell>
          <cell r="AO2176">
            <v>0</v>
          </cell>
          <cell r="AP2176">
            <v>0</v>
          </cell>
          <cell r="AS2176">
            <v>0</v>
          </cell>
          <cell r="AT2176">
            <v>0</v>
          </cell>
          <cell r="AX2176" t="str">
            <v>Yes</v>
          </cell>
          <cell r="AZ2176" t="str">
            <v>Y</v>
          </cell>
          <cell r="BA2176" t="str">
            <v>Yes</v>
          </cell>
        </row>
        <row r="2177">
          <cell r="B2177">
            <v>2027</v>
          </cell>
          <cell r="C2177" t="str">
            <v>C49SZX20230130JY</v>
          </cell>
          <cell r="D2177" t="str">
            <v>精莞盈</v>
          </cell>
          <cell r="E2177" t="str">
            <v>YSM20R-2</v>
          </cell>
          <cell r="I2177" t="str">
            <v>L-&gt;R</v>
          </cell>
          <cell r="J2177" t="str">
            <v>MVC</v>
          </cell>
          <cell r="K2177">
            <v>1</v>
          </cell>
          <cell r="N2177">
            <v>45275</v>
          </cell>
          <cell r="O2177">
            <v>11116864</v>
          </cell>
          <cell r="P2177">
            <v>13225000</v>
          </cell>
          <cell r="Q2177">
            <v>45274</v>
          </cell>
          <cell r="R2177" t="str">
            <v>Yes</v>
          </cell>
          <cell r="S2177" t="str">
            <v>C49</v>
          </cell>
          <cell r="T2177" t="str">
            <v>SOUTH</v>
          </cell>
          <cell r="U2177" t="str">
            <v>深圳</v>
          </cell>
          <cell r="V2177" t="str">
            <v>SZ 深圳</v>
          </cell>
          <cell r="W2177" t="str">
            <v>JY</v>
          </cell>
          <cell r="X2177" t="str">
            <v>JPY</v>
          </cell>
          <cell r="Y2177">
            <v>13225000</v>
          </cell>
          <cell r="Z2177">
            <v>1</v>
          </cell>
          <cell r="AA2177">
            <v>13225000</v>
          </cell>
          <cell r="AB2177">
            <v>5.3400000000000003E-2</v>
          </cell>
          <cell r="AC2177">
            <v>706215</v>
          </cell>
          <cell r="AD2177">
            <v>84745.8</v>
          </cell>
          <cell r="AE2177">
            <v>0.12</v>
          </cell>
          <cell r="AF2177">
            <v>45257</v>
          </cell>
          <cell r="AG2177" t="str">
            <v>DAP SZ</v>
          </cell>
          <cell r="AI2177" t="str">
            <v>JPY598,336</v>
          </cell>
          <cell r="AJ2177">
            <v>45271</v>
          </cell>
          <cell r="AK2177">
            <v>0.1</v>
          </cell>
          <cell r="AL2177">
            <v>1322500</v>
          </cell>
          <cell r="AM2177">
            <v>45271</v>
          </cell>
          <cell r="AN2177" t="str">
            <v>Yes</v>
          </cell>
          <cell r="AO2177">
            <v>0.9</v>
          </cell>
          <cell r="AP2177">
            <v>11902500</v>
          </cell>
          <cell r="AQ2177">
            <v>45272</v>
          </cell>
          <cell r="AR2177">
            <v>45272</v>
          </cell>
          <cell r="AS2177">
            <v>0</v>
          </cell>
          <cell r="AT2177">
            <v>0</v>
          </cell>
          <cell r="AX2177" t="str">
            <v>Yes</v>
          </cell>
          <cell r="AZ2177" t="str">
            <v>Y</v>
          </cell>
          <cell r="BA2177" t="str">
            <v>Yes</v>
          </cell>
        </row>
        <row r="2178">
          <cell r="B2178">
            <v>2028</v>
          </cell>
          <cell r="C2178" t="str">
            <v>C49SZX20230130JY</v>
          </cell>
          <cell r="D2178" t="str">
            <v>精莞盈</v>
          </cell>
          <cell r="E2178" t="str">
            <v>YSM20R-2</v>
          </cell>
          <cell r="I2178" t="str">
            <v>L-&gt;R</v>
          </cell>
          <cell r="J2178" t="str">
            <v>No</v>
          </cell>
          <cell r="K2178">
            <v>1</v>
          </cell>
          <cell r="N2178">
            <v>45275</v>
          </cell>
          <cell r="O2178">
            <v>11116864</v>
          </cell>
          <cell r="P2178">
            <v>13225000</v>
          </cell>
          <cell r="Q2178">
            <v>45274</v>
          </cell>
          <cell r="R2178" t="str">
            <v>Yes</v>
          </cell>
          <cell r="S2178" t="str">
            <v>C49</v>
          </cell>
          <cell r="T2178" t="str">
            <v>SOUTH</v>
          </cell>
          <cell r="U2178" t="str">
            <v>深圳</v>
          </cell>
          <cell r="V2178" t="str">
            <v>SZ 深圳</v>
          </cell>
          <cell r="W2178" t="str">
            <v>JY</v>
          </cell>
          <cell r="X2178" t="str">
            <v>JPY</v>
          </cell>
          <cell r="Y2178">
            <v>13225000</v>
          </cell>
          <cell r="Z2178">
            <v>1</v>
          </cell>
          <cell r="AA2178">
            <v>13225000</v>
          </cell>
          <cell r="AB2178">
            <v>5.3400000000000003E-2</v>
          </cell>
          <cell r="AC2178">
            <v>706215</v>
          </cell>
          <cell r="AD2178">
            <v>84745.8</v>
          </cell>
          <cell r="AE2178">
            <v>0.12</v>
          </cell>
          <cell r="AF2178">
            <v>45257</v>
          </cell>
          <cell r="AG2178" t="str">
            <v>DAP SZ</v>
          </cell>
          <cell r="AI2178"/>
          <cell r="AJ2178"/>
          <cell r="AK2178">
            <v>0.1</v>
          </cell>
          <cell r="AL2178">
            <v>1322500</v>
          </cell>
          <cell r="AM2178">
            <v>45271</v>
          </cell>
          <cell r="AN2178" t="str">
            <v>Yes</v>
          </cell>
          <cell r="AO2178">
            <v>0.9</v>
          </cell>
          <cell r="AP2178">
            <v>11902500</v>
          </cell>
          <cell r="AQ2178">
            <v>45272</v>
          </cell>
          <cell r="AR2178">
            <v>45272</v>
          </cell>
          <cell r="AS2178">
            <v>0</v>
          </cell>
          <cell r="AT2178">
            <v>0</v>
          </cell>
          <cell r="AX2178" t="str">
            <v>Yes</v>
          </cell>
          <cell r="AZ2178" t="str">
            <v>Y</v>
          </cell>
          <cell r="BA2178" t="str">
            <v>Yes</v>
          </cell>
        </row>
        <row r="2179">
          <cell r="B2179">
            <v>2029</v>
          </cell>
          <cell r="C2179" t="str">
            <v>C49SZX20230132LC</v>
          </cell>
          <cell r="D2179" t="str">
            <v>声韵</v>
          </cell>
          <cell r="E2179" t="str">
            <v>YSM20R-2</v>
          </cell>
          <cell r="I2179" t="str">
            <v>L-&gt;R</v>
          </cell>
          <cell r="J2179" t="str">
            <v>No</v>
          </cell>
          <cell r="K2179">
            <v>1</v>
          </cell>
          <cell r="N2179">
            <v>45287</v>
          </cell>
          <cell r="O2179">
            <v>11116871</v>
          </cell>
          <cell r="P2179">
            <v>12600000</v>
          </cell>
          <cell r="Q2179">
            <v>45288</v>
          </cell>
          <cell r="R2179" t="str">
            <v>Yes</v>
          </cell>
          <cell r="S2179" t="str">
            <v>C49</v>
          </cell>
          <cell r="T2179" t="str">
            <v>SOUTH</v>
          </cell>
          <cell r="U2179" t="str">
            <v>深圳</v>
          </cell>
          <cell r="V2179" t="str">
            <v>DG 东莞</v>
          </cell>
          <cell r="W2179" t="str">
            <v>LC</v>
          </cell>
          <cell r="X2179" t="str">
            <v>JPY</v>
          </cell>
          <cell r="Y2179">
            <v>12600000</v>
          </cell>
          <cell r="Z2179">
            <v>1</v>
          </cell>
          <cell r="AA2179">
            <v>12600000</v>
          </cell>
          <cell r="AB2179">
            <v>5.3400000000000003E-2</v>
          </cell>
          <cell r="AC2179">
            <v>672840</v>
          </cell>
          <cell r="AD2179">
            <v>80740.800000000003</v>
          </cell>
          <cell r="AE2179">
            <v>0.12</v>
          </cell>
          <cell r="AF2179">
            <v>45259</v>
          </cell>
          <cell r="AG2179" t="str">
            <v>DAP DG</v>
          </cell>
          <cell r="AI2179" t="str">
            <v>JPY483,276</v>
          </cell>
          <cell r="AJ2179">
            <v>45268</v>
          </cell>
          <cell r="AK2179">
            <v>0.1</v>
          </cell>
          <cell r="AL2179">
            <v>1260000</v>
          </cell>
          <cell r="AM2179">
            <v>45268</v>
          </cell>
          <cell r="AN2179" t="str">
            <v>Yes</v>
          </cell>
          <cell r="AO2179">
            <v>0.9</v>
          </cell>
          <cell r="AP2179">
            <v>11340000</v>
          </cell>
          <cell r="AQ2179">
            <v>45273</v>
          </cell>
          <cell r="AR2179">
            <v>45273</v>
          </cell>
          <cell r="AS2179">
            <v>0</v>
          </cell>
          <cell r="AT2179">
            <v>0</v>
          </cell>
          <cell r="AX2179" t="str">
            <v>Yes</v>
          </cell>
          <cell r="AZ2179" t="str">
            <v>Y</v>
          </cell>
          <cell r="BA2179" t="str">
            <v>Yes</v>
          </cell>
        </row>
        <row r="2180">
          <cell r="B2180">
            <v>2030</v>
          </cell>
          <cell r="C2180" t="str">
            <v>C49SZX20230132LC</v>
          </cell>
          <cell r="D2180" t="str">
            <v>声韵</v>
          </cell>
          <cell r="E2180" t="str">
            <v>YSM10</v>
          </cell>
          <cell r="I2180" t="str">
            <v>L-&gt;R</v>
          </cell>
          <cell r="J2180" t="str">
            <v>MVC</v>
          </cell>
          <cell r="K2180">
            <v>1</v>
          </cell>
          <cell r="N2180">
            <v>45287</v>
          </cell>
          <cell r="O2180">
            <v>11116870</v>
          </cell>
          <cell r="P2180">
            <v>9510000</v>
          </cell>
          <cell r="Q2180">
            <v>45288</v>
          </cell>
          <cell r="R2180" t="str">
            <v>Yes</v>
          </cell>
          <cell r="S2180" t="str">
            <v>C49</v>
          </cell>
          <cell r="T2180" t="str">
            <v>SOUTH</v>
          </cell>
          <cell r="U2180" t="str">
            <v>深圳</v>
          </cell>
          <cell r="V2180" t="str">
            <v>DG 东莞</v>
          </cell>
          <cell r="W2180" t="str">
            <v>LC</v>
          </cell>
          <cell r="X2180" t="str">
            <v>JPY</v>
          </cell>
          <cell r="Y2180">
            <v>9510000</v>
          </cell>
          <cell r="Z2180">
            <v>1</v>
          </cell>
          <cell r="AA2180">
            <v>9510000</v>
          </cell>
          <cell r="AB2180">
            <v>5.3400000000000003E-2</v>
          </cell>
          <cell r="AC2180">
            <v>507834</v>
          </cell>
          <cell r="AD2180">
            <v>60940.079999999994</v>
          </cell>
          <cell r="AE2180">
            <v>0.12</v>
          </cell>
          <cell r="AF2180">
            <v>45259</v>
          </cell>
          <cell r="AG2180" t="str">
            <v>DAP DG</v>
          </cell>
          <cell r="AI2180"/>
          <cell r="AJ2180"/>
          <cell r="AK2180">
            <v>0.1</v>
          </cell>
          <cell r="AL2180">
            <v>951000</v>
          </cell>
          <cell r="AM2180">
            <v>45268</v>
          </cell>
          <cell r="AN2180" t="str">
            <v>Yes</v>
          </cell>
          <cell r="AO2180">
            <v>0.9</v>
          </cell>
          <cell r="AP2180">
            <v>8559000</v>
          </cell>
          <cell r="AQ2180">
            <v>45273</v>
          </cell>
          <cell r="AR2180">
            <v>45273</v>
          </cell>
          <cell r="AS2180">
            <v>0</v>
          </cell>
          <cell r="AT2180">
            <v>0</v>
          </cell>
          <cell r="AX2180" t="str">
            <v>Yes</v>
          </cell>
          <cell r="AZ2180" t="str">
            <v>Y</v>
          </cell>
          <cell r="BA2180" t="str">
            <v>Yes</v>
          </cell>
        </row>
        <row r="2181">
          <cell r="B2181">
            <v>2031</v>
          </cell>
          <cell r="C2181" t="str">
            <v>C49SZX20230131EC</v>
          </cell>
          <cell r="D2181" t="str">
            <v>福瑞康</v>
          </cell>
          <cell r="E2181" t="str">
            <v>YSM10</v>
          </cell>
          <cell r="I2181" t="str">
            <v>L-&gt;R</v>
          </cell>
          <cell r="J2181" t="str">
            <v>MVC</v>
          </cell>
          <cell r="K2181">
            <v>1</v>
          </cell>
          <cell r="N2181">
            <v>45272</v>
          </cell>
          <cell r="O2181">
            <v>11116863</v>
          </cell>
          <cell r="P2181">
            <v>8500000</v>
          </cell>
          <cell r="Q2181">
            <v>45274</v>
          </cell>
          <cell r="R2181" t="str">
            <v>No</v>
          </cell>
          <cell r="S2181" t="str">
            <v>C49</v>
          </cell>
          <cell r="T2181" t="str">
            <v>SOUTH</v>
          </cell>
          <cell r="U2181" t="str">
            <v>深圳</v>
          </cell>
          <cell r="V2181" t="str">
            <v>DG 东莞</v>
          </cell>
          <cell r="W2181" t="str">
            <v>EC</v>
          </cell>
          <cell r="X2181" t="str">
            <v>JPY</v>
          </cell>
          <cell r="Y2181">
            <v>8500000</v>
          </cell>
          <cell r="Z2181">
            <v>1</v>
          </cell>
          <cell r="AA2181">
            <v>8500000</v>
          </cell>
          <cell r="AB2181">
            <v>5.3400000000000003E-2</v>
          </cell>
          <cell r="AC2181">
            <v>453900</v>
          </cell>
          <cell r="AD2181">
            <v>54468</v>
          </cell>
          <cell r="AE2181">
            <v>0.12</v>
          </cell>
          <cell r="AF2181">
            <v>45259</v>
          </cell>
          <cell r="AG2181" t="str">
            <v>DAP DG</v>
          </cell>
          <cell r="AK2181">
            <v>0.1</v>
          </cell>
          <cell r="AL2181">
            <v>850000</v>
          </cell>
          <cell r="AM2181">
            <v>45261</v>
          </cell>
          <cell r="AN2181" t="str">
            <v>Yes</v>
          </cell>
          <cell r="AO2181">
            <v>0.9</v>
          </cell>
          <cell r="AP2181">
            <v>7650000</v>
          </cell>
          <cell r="AQ2181">
            <v>45267</v>
          </cell>
          <cell r="AR2181">
            <v>45267</v>
          </cell>
          <cell r="AS2181">
            <v>0</v>
          </cell>
          <cell r="AT2181">
            <v>0</v>
          </cell>
          <cell r="AX2181" t="str">
            <v>Yes</v>
          </cell>
          <cell r="AZ2181" t="str">
            <v>Y</v>
          </cell>
          <cell r="BA2181" t="str">
            <v>Yes</v>
          </cell>
        </row>
        <row r="2182">
          <cell r="B2182">
            <v>2032</v>
          </cell>
          <cell r="C2182" t="str">
            <v>C49SZX20230133JL/4600003765</v>
          </cell>
          <cell r="D2182" t="str">
            <v>高伟</v>
          </cell>
          <cell r="E2182" t="str">
            <v>YSM10</v>
          </cell>
          <cell r="I2182" t="str">
            <v>L-&gt;R</v>
          </cell>
          <cell r="J2182" t="str">
            <v>MVC+ATS15(with 5 heads)</v>
          </cell>
          <cell r="N2182">
            <v>45327</v>
          </cell>
          <cell r="O2182">
            <v>11116881</v>
          </cell>
          <cell r="P2182">
            <v>58000</v>
          </cell>
          <cell r="Q2182">
            <v>45341</v>
          </cell>
          <cell r="R2182" t="str">
            <v>No</v>
          </cell>
          <cell r="S2182" t="str">
            <v>C49</v>
          </cell>
          <cell r="T2182" t="str">
            <v>SOUTH</v>
          </cell>
          <cell r="U2182" t="str">
            <v>深圳</v>
          </cell>
          <cell r="V2182" t="str">
            <v>DG 东莞</v>
          </cell>
          <cell r="W2182" t="str">
            <v>JL</v>
          </cell>
          <cell r="X2182" t="str">
            <v>USD</v>
          </cell>
          <cell r="Y2182">
            <v>58000</v>
          </cell>
          <cell r="Z2182">
            <v>1</v>
          </cell>
          <cell r="AA2182">
            <v>58000</v>
          </cell>
          <cell r="AB2182">
            <v>7.8</v>
          </cell>
          <cell r="AC2182">
            <v>452400</v>
          </cell>
          <cell r="AD2182">
            <v>54288</v>
          </cell>
          <cell r="AE2182">
            <v>0.12</v>
          </cell>
          <cell r="AF2182">
            <v>45260</v>
          </cell>
          <cell r="AG2182" t="str">
            <v>CIF HK</v>
          </cell>
          <cell r="AK2182">
            <v>0.3</v>
          </cell>
          <cell r="AL2182">
            <v>17400</v>
          </cell>
          <cell r="AM2182">
            <v>45268</v>
          </cell>
          <cell r="AN2182" t="str">
            <v>Yes</v>
          </cell>
          <cell r="AO2182">
            <v>0.6</v>
          </cell>
          <cell r="AP2182">
            <v>34800</v>
          </cell>
          <cell r="AQ2182">
            <v>45324</v>
          </cell>
          <cell r="AR2182">
            <v>45324</v>
          </cell>
          <cell r="AS2182">
            <v>0.1</v>
          </cell>
          <cell r="AT2182">
            <v>5800</v>
          </cell>
        </row>
        <row r="2183">
          <cell r="B2183">
            <v>2033</v>
          </cell>
          <cell r="C2183" t="str">
            <v>C49SZX20230133JL/4600003765</v>
          </cell>
          <cell r="D2183" t="str">
            <v>高伟</v>
          </cell>
          <cell r="E2183" t="str">
            <v>YSM10</v>
          </cell>
          <cell r="I2183" t="str">
            <v>L-&gt;R</v>
          </cell>
          <cell r="J2183" t="str">
            <v>MVC+ATS15(with 5 heads)</v>
          </cell>
          <cell r="N2183">
            <v>45327</v>
          </cell>
          <cell r="O2183">
            <v>11116881</v>
          </cell>
          <cell r="P2183">
            <v>58000</v>
          </cell>
          <cell r="Q2183">
            <v>45341</v>
          </cell>
          <cell r="R2183" t="str">
            <v>No</v>
          </cell>
          <cell r="S2183" t="str">
            <v>C49</v>
          </cell>
          <cell r="T2183" t="str">
            <v>SOUTH</v>
          </cell>
          <cell r="U2183" t="str">
            <v>深圳</v>
          </cell>
          <cell r="V2183" t="str">
            <v>DG 东莞</v>
          </cell>
          <cell r="W2183" t="str">
            <v>JL</v>
          </cell>
          <cell r="X2183" t="str">
            <v>USD</v>
          </cell>
          <cell r="Y2183">
            <v>58000</v>
          </cell>
          <cell r="Z2183">
            <v>1</v>
          </cell>
          <cell r="AA2183">
            <v>58000</v>
          </cell>
          <cell r="AB2183">
            <v>7.8</v>
          </cell>
          <cell r="AC2183">
            <v>452400</v>
          </cell>
          <cell r="AD2183">
            <v>54288</v>
          </cell>
          <cell r="AE2183">
            <v>0.12</v>
          </cell>
          <cell r="AF2183">
            <v>45260</v>
          </cell>
          <cell r="AG2183" t="str">
            <v>CIF HK</v>
          </cell>
          <cell r="AK2183">
            <v>0.3</v>
          </cell>
          <cell r="AL2183">
            <v>17400</v>
          </cell>
          <cell r="AM2183">
            <v>45268</v>
          </cell>
          <cell r="AN2183" t="str">
            <v>Yes</v>
          </cell>
          <cell r="AO2183">
            <v>0.6</v>
          </cell>
          <cell r="AP2183">
            <v>34800</v>
          </cell>
          <cell r="AQ2183">
            <v>45324</v>
          </cell>
          <cell r="AR2183">
            <v>45324</v>
          </cell>
          <cell r="AS2183">
            <v>0.1</v>
          </cell>
          <cell r="AT2183">
            <v>5800</v>
          </cell>
        </row>
        <row r="2184">
          <cell r="B2184">
            <v>2034</v>
          </cell>
          <cell r="C2184" t="str">
            <v>CG20231204009</v>
          </cell>
          <cell r="D2184" t="str">
            <v>徕芬</v>
          </cell>
          <cell r="E2184" t="str">
            <v>YSM20R-2</v>
          </cell>
          <cell r="I2184" t="str">
            <v>L-&gt;R</v>
          </cell>
          <cell r="J2184" t="str">
            <v>No</v>
          </cell>
          <cell r="K2184">
            <v>1</v>
          </cell>
          <cell r="N2184">
            <v>45295</v>
          </cell>
          <cell r="O2184">
            <v>11100668</v>
          </cell>
          <cell r="P2184">
            <v>800000</v>
          </cell>
          <cell r="Q2184">
            <v>45308</v>
          </cell>
          <cell r="R2184" t="str">
            <v>No</v>
          </cell>
          <cell r="S2184" t="str">
            <v>C49</v>
          </cell>
          <cell r="T2184" t="str">
            <v>SOUTH</v>
          </cell>
          <cell r="U2184" t="str">
            <v>深圳</v>
          </cell>
          <cell r="V2184" t="str">
            <v>DG 东莞</v>
          </cell>
          <cell r="W2184" t="str">
            <v>JL</v>
          </cell>
          <cell r="X2184" t="str">
            <v>RMB</v>
          </cell>
          <cell r="Y2184">
            <v>800000</v>
          </cell>
          <cell r="Z2184">
            <v>1.1299999999999999</v>
          </cell>
          <cell r="AA2184">
            <v>800000</v>
          </cell>
          <cell r="AB2184">
            <v>1.095</v>
          </cell>
          <cell r="AC2184">
            <v>775221.23893805314</v>
          </cell>
          <cell r="AD2184">
            <v>93026.54867256638</v>
          </cell>
          <cell r="AE2184">
            <v>0.12</v>
          </cell>
          <cell r="AF2184">
            <v>45261</v>
          </cell>
          <cell r="AG2184" t="str">
            <v>DDP DG</v>
          </cell>
          <cell r="AK2184">
            <v>0.3</v>
          </cell>
          <cell r="AL2184">
            <v>240000</v>
          </cell>
          <cell r="AM2184">
            <v>45271</v>
          </cell>
          <cell r="AN2184" t="str">
            <v>Yes</v>
          </cell>
          <cell r="AO2184">
            <v>0.7</v>
          </cell>
          <cell r="AP2184">
            <v>560000</v>
          </cell>
          <cell r="AS2184">
            <v>0</v>
          </cell>
          <cell r="AT2184">
            <v>0</v>
          </cell>
          <cell r="AX2184" t="str">
            <v>Yes</v>
          </cell>
        </row>
        <row r="2185">
          <cell r="B2185">
            <v>2035</v>
          </cell>
          <cell r="C2185" t="str">
            <v>CG20231204009</v>
          </cell>
          <cell r="D2185" t="str">
            <v>徕芬</v>
          </cell>
          <cell r="E2185" t="str">
            <v>YSM20R-2</v>
          </cell>
          <cell r="I2185" t="str">
            <v>L-&gt;R</v>
          </cell>
          <cell r="J2185" t="str">
            <v>No</v>
          </cell>
          <cell r="K2185">
            <v>1</v>
          </cell>
          <cell r="N2185">
            <v>45295</v>
          </cell>
          <cell r="O2185">
            <v>11100668</v>
          </cell>
          <cell r="P2185">
            <v>800000</v>
          </cell>
          <cell r="Q2185">
            <v>45308</v>
          </cell>
          <cell r="R2185" t="str">
            <v>No</v>
          </cell>
          <cell r="S2185" t="str">
            <v>C49</v>
          </cell>
          <cell r="T2185" t="str">
            <v>SOUTH</v>
          </cell>
          <cell r="U2185" t="str">
            <v>深圳</v>
          </cell>
          <cell r="V2185" t="str">
            <v>DG 东莞</v>
          </cell>
          <cell r="W2185" t="str">
            <v>JL</v>
          </cell>
          <cell r="X2185" t="str">
            <v>RMB</v>
          </cell>
          <cell r="Y2185">
            <v>800000</v>
          </cell>
          <cell r="Z2185">
            <v>1.1299999999999999</v>
          </cell>
          <cell r="AA2185">
            <v>800000</v>
          </cell>
          <cell r="AB2185">
            <v>1.095</v>
          </cell>
          <cell r="AC2185">
            <v>775221.23893805314</v>
          </cell>
          <cell r="AD2185">
            <v>93026.54867256638</v>
          </cell>
          <cell r="AE2185">
            <v>0.12</v>
          </cell>
          <cell r="AF2185">
            <v>45261</v>
          </cell>
          <cell r="AG2185" t="str">
            <v>DDP DG</v>
          </cell>
          <cell r="AK2185">
            <v>0.3</v>
          </cell>
          <cell r="AL2185">
            <v>240000</v>
          </cell>
          <cell r="AM2185">
            <v>45271</v>
          </cell>
          <cell r="AN2185" t="str">
            <v>Yes</v>
          </cell>
          <cell r="AO2185">
            <v>0.7</v>
          </cell>
          <cell r="AP2185">
            <v>560000</v>
          </cell>
          <cell r="AS2185">
            <v>0</v>
          </cell>
          <cell r="AT2185">
            <v>0</v>
          </cell>
          <cell r="AX2185" t="str">
            <v>Yes</v>
          </cell>
        </row>
        <row r="2186">
          <cell r="B2186">
            <v>2036</v>
          </cell>
          <cell r="C2186" t="str">
            <v>CG20231204009</v>
          </cell>
          <cell r="D2186" t="str">
            <v>徕芬</v>
          </cell>
          <cell r="E2186" t="str">
            <v>YSM10</v>
          </cell>
          <cell r="I2186" t="str">
            <v>L-&gt;R</v>
          </cell>
          <cell r="J2186" t="str">
            <v>MVC+ATS15</v>
          </cell>
          <cell r="K2186">
            <v>1</v>
          </cell>
          <cell r="N2186">
            <v>45295</v>
          </cell>
          <cell r="O2186">
            <v>11100668</v>
          </cell>
          <cell r="P2186">
            <v>554800</v>
          </cell>
          <cell r="Q2186">
            <v>45308</v>
          </cell>
          <cell r="R2186" t="str">
            <v>No</v>
          </cell>
          <cell r="S2186" t="str">
            <v>C49</v>
          </cell>
          <cell r="T2186" t="str">
            <v>SOUTH</v>
          </cell>
          <cell r="U2186" t="str">
            <v>深圳</v>
          </cell>
          <cell r="V2186" t="str">
            <v>DG 东莞</v>
          </cell>
          <cell r="W2186" t="str">
            <v>JL</v>
          </cell>
          <cell r="X2186" t="str">
            <v>RMB</v>
          </cell>
          <cell r="Y2186">
            <v>554800</v>
          </cell>
          <cell r="Z2186">
            <v>1.1299999999999999</v>
          </cell>
          <cell r="AA2186">
            <v>554800</v>
          </cell>
          <cell r="AB2186">
            <v>1.095</v>
          </cell>
          <cell r="AC2186">
            <v>537615.92920353985</v>
          </cell>
          <cell r="AD2186">
            <v>64513.911504424781</v>
          </cell>
          <cell r="AE2186">
            <v>0.12</v>
          </cell>
          <cell r="AF2186">
            <v>45261</v>
          </cell>
          <cell r="AG2186" t="str">
            <v>DDP DG</v>
          </cell>
          <cell r="AK2186">
            <v>0.3</v>
          </cell>
          <cell r="AL2186">
            <v>166440</v>
          </cell>
          <cell r="AM2186">
            <v>45271</v>
          </cell>
          <cell r="AN2186" t="str">
            <v>Yes</v>
          </cell>
          <cell r="AO2186">
            <v>0.7</v>
          </cell>
          <cell r="AP2186">
            <v>388360</v>
          </cell>
          <cell r="AS2186">
            <v>0</v>
          </cell>
          <cell r="AT2186">
            <v>0</v>
          </cell>
          <cell r="AX2186" t="str">
            <v>Yes</v>
          </cell>
        </row>
        <row r="2187">
          <cell r="B2187">
            <v>2037</v>
          </cell>
          <cell r="C2187" t="str">
            <v>CG20231204009</v>
          </cell>
          <cell r="D2187" t="str">
            <v>徕芬</v>
          </cell>
          <cell r="E2187" t="str">
            <v>YSM20R-2</v>
          </cell>
          <cell r="I2187" t="str">
            <v>L-&gt;R</v>
          </cell>
          <cell r="J2187" t="str">
            <v>cATS10+MVC+Feeder Carriage</v>
          </cell>
          <cell r="K2187">
            <v>1</v>
          </cell>
          <cell r="R2187" t="str">
            <v>No</v>
          </cell>
          <cell r="S2187" t="str">
            <v>C49</v>
          </cell>
          <cell r="T2187" t="str">
            <v>SOUTH</v>
          </cell>
          <cell r="U2187" t="str">
            <v>深圳</v>
          </cell>
          <cell r="V2187" t="str">
            <v>DG 东莞</v>
          </cell>
          <cell r="W2187" t="str">
            <v>JL</v>
          </cell>
          <cell r="X2187" t="str">
            <v>RMB</v>
          </cell>
          <cell r="Y2187">
            <v>900000</v>
          </cell>
          <cell r="Z2187">
            <v>1.1299999999999999</v>
          </cell>
          <cell r="AA2187">
            <v>900000</v>
          </cell>
          <cell r="AB2187">
            <v>1.095</v>
          </cell>
          <cell r="AC2187">
            <v>872123.89380530978</v>
          </cell>
          <cell r="AD2187">
            <v>104654.86725663717</v>
          </cell>
          <cell r="AE2187">
            <v>0.12</v>
          </cell>
          <cell r="AF2187">
            <v>45261</v>
          </cell>
          <cell r="AG2187" t="str">
            <v>DDP DG</v>
          </cell>
          <cell r="AK2187">
            <v>0.3</v>
          </cell>
          <cell r="AL2187">
            <v>270000</v>
          </cell>
          <cell r="AM2187">
            <v>45271</v>
          </cell>
          <cell r="AN2187" t="str">
            <v>Yes</v>
          </cell>
          <cell r="AO2187">
            <v>0.7</v>
          </cell>
          <cell r="AP2187">
            <v>630000</v>
          </cell>
          <cell r="AS2187">
            <v>0</v>
          </cell>
          <cell r="AT2187">
            <v>0</v>
          </cell>
        </row>
        <row r="2188">
          <cell r="B2188">
            <v>2038</v>
          </cell>
          <cell r="C2188" t="str">
            <v>CG20231204009</v>
          </cell>
          <cell r="D2188" t="str">
            <v>徕芬</v>
          </cell>
          <cell r="E2188" t="str">
            <v>YSM20R-2</v>
          </cell>
          <cell r="I2188" t="str">
            <v>L-&gt;R</v>
          </cell>
          <cell r="J2188" t="str">
            <v>cATS10+MVC+Feeder Carriage</v>
          </cell>
          <cell r="K2188">
            <v>1</v>
          </cell>
          <cell r="R2188" t="str">
            <v>No</v>
          </cell>
          <cell r="S2188" t="str">
            <v>C49</v>
          </cell>
          <cell r="T2188" t="str">
            <v>SOUTH</v>
          </cell>
          <cell r="U2188" t="str">
            <v>深圳</v>
          </cell>
          <cell r="V2188" t="str">
            <v>DG 东莞</v>
          </cell>
          <cell r="W2188" t="str">
            <v>JL</v>
          </cell>
          <cell r="X2188" t="str">
            <v>RMB</v>
          </cell>
          <cell r="Y2188">
            <v>900000</v>
          </cell>
          <cell r="Z2188">
            <v>1.1299999999999999</v>
          </cell>
          <cell r="AA2188">
            <v>900000</v>
          </cell>
          <cell r="AB2188">
            <v>1.095</v>
          </cell>
          <cell r="AC2188">
            <v>872123.89380530978</v>
          </cell>
          <cell r="AD2188">
            <v>104654.86725663717</v>
          </cell>
          <cell r="AE2188">
            <v>0.12</v>
          </cell>
          <cell r="AF2188">
            <v>45261</v>
          </cell>
          <cell r="AG2188" t="str">
            <v>DDP DG</v>
          </cell>
          <cell r="AK2188">
            <v>0.3</v>
          </cell>
          <cell r="AL2188">
            <v>270000</v>
          </cell>
          <cell r="AM2188">
            <v>45271</v>
          </cell>
          <cell r="AN2188" t="str">
            <v>Yes</v>
          </cell>
          <cell r="AO2188">
            <v>0.7</v>
          </cell>
          <cell r="AP2188">
            <v>630000</v>
          </cell>
          <cell r="AS2188">
            <v>0</v>
          </cell>
          <cell r="AT2188">
            <v>0</v>
          </cell>
        </row>
        <row r="2189">
          <cell r="B2189">
            <v>2039</v>
          </cell>
          <cell r="C2189" t="str">
            <v>C49SZX20230138LC</v>
          </cell>
          <cell r="D2189" t="str">
            <v>星辰宇</v>
          </cell>
          <cell r="E2189" t="str">
            <v>YSM20R-2</v>
          </cell>
          <cell r="F2189"/>
          <cell r="H2189"/>
          <cell r="I2189" t="str">
            <v>L-&gt;R</v>
          </cell>
          <cell r="J2189" t="str">
            <v>No</v>
          </cell>
          <cell r="K2189">
            <v>1</v>
          </cell>
          <cell r="L2189"/>
          <cell r="N2189"/>
          <cell r="O2189"/>
          <cell r="P2189"/>
          <cell r="Q2189"/>
          <cell r="R2189" t="str">
            <v>No</v>
          </cell>
          <cell r="S2189" t="str">
            <v>C49</v>
          </cell>
          <cell r="T2189" t="str">
            <v>SOUTH</v>
          </cell>
          <cell r="U2189" t="str">
            <v>深圳</v>
          </cell>
          <cell r="V2189" t="str">
            <v>SZ 深圳</v>
          </cell>
          <cell r="W2189" t="str">
            <v>LC</v>
          </cell>
          <cell r="X2189" t="str">
            <v>JPY</v>
          </cell>
          <cell r="Y2189">
            <v>12000000</v>
          </cell>
          <cell r="Z2189">
            <v>1</v>
          </cell>
          <cell r="AA2189">
            <v>12000000</v>
          </cell>
          <cell r="AB2189">
            <v>5.4199999999999998E-2</v>
          </cell>
          <cell r="AC2189">
            <v>650400</v>
          </cell>
          <cell r="AD2189">
            <v>78048</v>
          </cell>
          <cell r="AE2189">
            <v>0.12</v>
          </cell>
          <cell r="AF2189">
            <v>45265</v>
          </cell>
          <cell r="AG2189" t="str">
            <v>DAP SZ</v>
          </cell>
          <cell r="AI2189"/>
          <cell r="AJ2189"/>
          <cell r="AK2189">
            <v>0.2</v>
          </cell>
          <cell r="AL2189">
            <v>2400000</v>
          </cell>
          <cell r="AM2189">
            <v>45271</v>
          </cell>
          <cell r="AN2189" t="str">
            <v>Yes</v>
          </cell>
          <cell r="AO2189">
            <v>0.8</v>
          </cell>
          <cell r="AP2189">
            <v>9600000</v>
          </cell>
          <cell r="AQ2189"/>
          <cell r="AR2189"/>
          <cell r="AS2189">
            <v>0</v>
          </cell>
          <cell r="AT2189">
            <v>0</v>
          </cell>
          <cell r="AV2189"/>
          <cell r="AX2189" t="str">
            <v>Cancel</v>
          </cell>
          <cell r="AY2189"/>
          <cell r="AZ2189"/>
          <cell r="BA2189" t="str">
            <v>Cancel</v>
          </cell>
          <cell r="BB2189" t="str">
            <v>2023-12-13 Ken邮件通知Fay</v>
          </cell>
        </row>
        <row r="2190">
          <cell r="B2190">
            <v>2040</v>
          </cell>
          <cell r="C2190" t="str">
            <v>C49SZX20230136JAL</v>
          </cell>
          <cell r="D2190" t="str">
            <v>TBS</v>
          </cell>
          <cell r="E2190" t="str">
            <v>YSM20R-2</v>
          </cell>
          <cell r="I2190" t="str">
            <v>L-&gt;R</v>
          </cell>
          <cell r="J2190" t="str">
            <v>MVC+cATS10+ANC</v>
          </cell>
          <cell r="K2190">
            <v>1</v>
          </cell>
          <cell r="N2190">
            <v>45356</v>
          </cell>
          <cell r="O2190">
            <v>11116883</v>
          </cell>
          <cell r="P2190">
            <v>134000</v>
          </cell>
          <cell r="Q2190">
            <v>45344</v>
          </cell>
          <cell r="R2190" t="str">
            <v>No</v>
          </cell>
          <cell r="S2190" t="str">
            <v>C49</v>
          </cell>
          <cell r="T2190" t="str">
            <v>SOUTH</v>
          </cell>
          <cell r="U2190" t="str">
            <v>深圳</v>
          </cell>
          <cell r="V2190" t="str">
            <v>CIF HK</v>
          </cell>
          <cell r="W2190" t="str">
            <v>Jason Liu</v>
          </cell>
          <cell r="X2190" t="str">
            <v>USD</v>
          </cell>
          <cell r="Y2190">
            <v>134000</v>
          </cell>
          <cell r="Z2190">
            <v>1</v>
          </cell>
          <cell r="AA2190">
            <v>134000</v>
          </cell>
          <cell r="AB2190">
            <v>7.8</v>
          </cell>
          <cell r="AC2190">
            <v>1045200</v>
          </cell>
          <cell r="AD2190">
            <v>125424</v>
          </cell>
          <cell r="AE2190">
            <v>0.12</v>
          </cell>
          <cell r="AF2190">
            <v>45264</v>
          </cell>
          <cell r="AG2190" t="str">
            <v>CIF HK</v>
          </cell>
          <cell r="AK2190">
            <v>0.3</v>
          </cell>
          <cell r="AL2190">
            <v>40200</v>
          </cell>
          <cell r="AM2190">
            <v>45271</v>
          </cell>
          <cell r="AN2190" t="str">
            <v>Yes</v>
          </cell>
          <cell r="AO2190">
            <v>0.7</v>
          </cell>
          <cell r="AP2190">
            <v>93800</v>
          </cell>
          <cell r="AQ2190">
            <v>45293</v>
          </cell>
          <cell r="AR2190">
            <v>44930</v>
          </cell>
          <cell r="AS2190">
            <v>0</v>
          </cell>
          <cell r="AT2190">
            <v>0</v>
          </cell>
        </row>
        <row r="2191">
          <cell r="B2191">
            <v>2041</v>
          </cell>
          <cell r="C2191" t="str">
            <v>C28SZX20230135JAL</v>
          </cell>
          <cell r="D2191" t="str">
            <v>TBS</v>
          </cell>
          <cell r="E2191" t="str">
            <v xml:space="preserve">Heller 1707MK5 </v>
          </cell>
          <cell r="I2191" t="str">
            <v>L-&gt;R</v>
          </cell>
          <cell r="J2191" t="str">
            <v>No</v>
          </cell>
          <cell r="K2191">
            <v>1</v>
          </cell>
          <cell r="N2191">
            <v>45355</v>
          </cell>
          <cell r="O2191">
            <v>11116885</v>
          </cell>
          <cell r="P2191">
            <v>64000</v>
          </cell>
          <cell r="Q2191">
            <v>45344</v>
          </cell>
          <cell r="R2191" t="str">
            <v>No</v>
          </cell>
          <cell r="S2191" t="str">
            <v>C28</v>
          </cell>
          <cell r="T2191" t="str">
            <v>SOUTH</v>
          </cell>
          <cell r="U2191" t="str">
            <v>深圳</v>
          </cell>
          <cell r="V2191" t="str">
            <v>CIF HK</v>
          </cell>
          <cell r="W2191" t="str">
            <v>Anson Shi</v>
          </cell>
          <cell r="X2191" t="str">
            <v>USD</v>
          </cell>
          <cell r="Y2191">
            <v>64000</v>
          </cell>
          <cell r="Z2191">
            <v>1</v>
          </cell>
          <cell r="AA2191">
            <v>64000</v>
          </cell>
          <cell r="AB2191">
            <v>7.8</v>
          </cell>
          <cell r="AC2191">
            <v>499200</v>
          </cell>
          <cell r="AD2191">
            <v>59904</v>
          </cell>
          <cell r="AE2191">
            <v>0.12</v>
          </cell>
          <cell r="AF2191">
            <v>45264</v>
          </cell>
          <cell r="AG2191" t="str">
            <v>CIF HK</v>
          </cell>
          <cell r="AK2191">
            <v>0.3</v>
          </cell>
          <cell r="AL2191">
            <v>19200</v>
          </cell>
          <cell r="AM2191">
            <v>45271</v>
          </cell>
          <cell r="AN2191" t="str">
            <v>Yes</v>
          </cell>
          <cell r="AO2191">
            <v>0.7</v>
          </cell>
          <cell r="AP2191">
            <v>44800</v>
          </cell>
          <cell r="AQ2191">
            <v>45293</v>
          </cell>
          <cell r="AR2191">
            <v>44930</v>
          </cell>
          <cell r="AS2191">
            <v>0</v>
          </cell>
          <cell r="AT2191">
            <v>0</v>
          </cell>
        </row>
        <row r="2192">
          <cell r="B2192">
            <v>2042</v>
          </cell>
          <cell r="C2192" t="str">
            <v>C28SZX20230135JAL</v>
          </cell>
          <cell r="D2192" t="str">
            <v>TBS</v>
          </cell>
          <cell r="E2192" t="str">
            <v>PEMTRONTRO-7700EL</v>
          </cell>
          <cell r="I2192" t="str">
            <v>L-&gt;R</v>
          </cell>
          <cell r="J2192" t="str">
            <v>No</v>
          </cell>
          <cell r="K2192">
            <v>1</v>
          </cell>
          <cell r="N2192">
            <v>45356</v>
          </cell>
          <cell r="O2192">
            <v>11116885</v>
          </cell>
          <cell r="P2192">
            <v>45000</v>
          </cell>
          <cell r="R2192" t="str">
            <v>No</v>
          </cell>
          <cell r="S2192" t="str">
            <v>C28</v>
          </cell>
          <cell r="T2192" t="str">
            <v>SOUTH</v>
          </cell>
          <cell r="U2192" t="str">
            <v>深圳</v>
          </cell>
          <cell r="V2192" t="str">
            <v>CIF HK</v>
          </cell>
          <cell r="W2192" t="str">
            <v>Anson Shi</v>
          </cell>
          <cell r="X2192" t="str">
            <v>USD</v>
          </cell>
          <cell r="Y2192">
            <v>45000</v>
          </cell>
          <cell r="Z2192">
            <v>1</v>
          </cell>
          <cell r="AA2192">
            <v>45000</v>
          </cell>
          <cell r="AB2192">
            <v>7.8</v>
          </cell>
          <cell r="AC2192">
            <v>351000</v>
          </cell>
          <cell r="AD2192">
            <v>42120</v>
          </cell>
          <cell r="AE2192">
            <v>0.12</v>
          </cell>
          <cell r="AF2192">
            <v>45264</v>
          </cell>
          <cell r="AG2192" t="str">
            <v>CIF HK</v>
          </cell>
          <cell r="AK2192">
            <v>0.3</v>
          </cell>
          <cell r="AL2192">
            <v>13500</v>
          </cell>
          <cell r="AM2192">
            <v>45271</v>
          </cell>
          <cell r="AN2192" t="str">
            <v>Yes</v>
          </cell>
          <cell r="AO2192">
            <v>0.7</v>
          </cell>
          <cell r="AP2192">
            <v>31499.999999999996</v>
          </cell>
          <cell r="AQ2192">
            <v>45293</v>
          </cell>
          <cell r="AR2192">
            <v>44930</v>
          </cell>
          <cell r="AS2192">
            <v>0</v>
          </cell>
          <cell r="AT2192">
            <v>0</v>
          </cell>
        </row>
        <row r="2193">
          <cell r="B2193">
            <v>2043</v>
          </cell>
          <cell r="C2193" t="str">
            <v>C49SZX20230140SX</v>
          </cell>
          <cell r="D2193" t="str">
            <v>莫思特</v>
          </cell>
          <cell r="E2193" t="str">
            <v>YSM20R-2</v>
          </cell>
          <cell r="I2193" t="str">
            <v>L-&gt;R</v>
          </cell>
          <cell r="J2193" t="str">
            <v>No</v>
          </cell>
          <cell r="K2193">
            <v>1</v>
          </cell>
          <cell r="N2193">
            <v>45278</v>
          </cell>
          <cell r="O2193">
            <v>11100666</v>
          </cell>
          <cell r="P2193">
            <v>660000</v>
          </cell>
          <cell r="Q2193">
            <v>45287</v>
          </cell>
          <cell r="R2193" t="str">
            <v>No</v>
          </cell>
          <cell r="S2193" t="str">
            <v>C49</v>
          </cell>
          <cell r="T2193" t="str">
            <v>SOUTH</v>
          </cell>
          <cell r="U2193" t="str">
            <v>惠州</v>
          </cell>
          <cell r="V2193" t="str">
            <v>HZ 惠州</v>
          </cell>
          <cell r="W2193" t="str">
            <v>SX</v>
          </cell>
          <cell r="X2193" t="str">
            <v>RMB</v>
          </cell>
          <cell r="Y2193">
            <v>660000</v>
          </cell>
          <cell r="Z2193">
            <v>1.1299999999999999</v>
          </cell>
          <cell r="AA2193">
            <v>660000</v>
          </cell>
          <cell r="AB2193">
            <v>1.095</v>
          </cell>
          <cell r="AC2193">
            <v>639557.52212389384</v>
          </cell>
          <cell r="AD2193">
            <v>76746.902654867255</v>
          </cell>
          <cell r="AE2193">
            <v>0.12</v>
          </cell>
          <cell r="AF2193">
            <v>45271</v>
          </cell>
          <cell r="AG2193" t="str">
            <v>DDP HZ</v>
          </cell>
          <cell r="AK2193">
            <v>0.2</v>
          </cell>
          <cell r="AL2193">
            <v>132000</v>
          </cell>
          <cell r="AM2193">
            <v>45272</v>
          </cell>
          <cell r="AN2193" t="str">
            <v>Yes</v>
          </cell>
          <cell r="AO2193">
            <v>0.8</v>
          </cell>
          <cell r="AP2193">
            <v>528000</v>
          </cell>
          <cell r="AQ2193">
            <v>45274</v>
          </cell>
          <cell r="AR2193">
            <v>45274</v>
          </cell>
          <cell r="AS2193">
            <v>0</v>
          </cell>
          <cell r="AT2193">
            <v>0</v>
          </cell>
          <cell r="AX2193" t="str">
            <v>Yes</v>
          </cell>
          <cell r="AZ2193" t="str">
            <v>Y</v>
          </cell>
          <cell r="BA2193" t="str">
            <v>Yes</v>
          </cell>
        </row>
        <row r="2194">
          <cell r="B2194">
            <v>2044</v>
          </cell>
          <cell r="C2194" t="str">
            <v>C49SZX202300141SS</v>
          </cell>
          <cell r="D2194" t="str">
            <v>派勤</v>
          </cell>
          <cell r="E2194" t="str">
            <v>YSM20R-2</v>
          </cell>
          <cell r="I2194" t="str">
            <v>L-&gt;R</v>
          </cell>
          <cell r="J2194" t="str">
            <v>MVC</v>
          </cell>
          <cell r="K2194">
            <v>1</v>
          </cell>
          <cell r="N2194">
            <v>45285</v>
          </cell>
          <cell r="O2194">
            <v>11116866</v>
          </cell>
          <cell r="P2194">
            <v>15200000</v>
          </cell>
          <cell r="Q2194">
            <v>45288</v>
          </cell>
          <cell r="R2194" t="str">
            <v>No</v>
          </cell>
          <cell r="S2194" t="str">
            <v>C49</v>
          </cell>
          <cell r="T2194" t="str">
            <v>SOUTH</v>
          </cell>
          <cell r="U2194" t="str">
            <v>深圳</v>
          </cell>
          <cell r="V2194" t="str">
            <v>SZ 深圳</v>
          </cell>
          <cell r="W2194" t="str">
            <v>SS</v>
          </cell>
          <cell r="X2194" t="str">
            <v>JPY</v>
          </cell>
          <cell r="Y2194">
            <v>15200000</v>
          </cell>
          <cell r="Z2194">
            <v>1</v>
          </cell>
          <cell r="AA2194">
            <v>15200000</v>
          </cell>
          <cell r="AB2194">
            <v>5.4199999999999998E-2</v>
          </cell>
          <cell r="AC2194">
            <v>823840</v>
          </cell>
          <cell r="AD2194">
            <v>98860.800000000003</v>
          </cell>
          <cell r="AE2194">
            <v>0.12</v>
          </cell>
          <cell r="AF2194">
            <v>45268</v>
          </cell>
          <cell r="AG2194" t="str">
            <v>DAP SZ</v>
          </cell>
          <cell r="AK2194">
            <v>0.1</v>
          </cell>
          <cell r="AL2194">
            <v>1520000</v>
          </cell>
          <cell r="AM2194">
            <v>45275</v>
          </cell>
          <cell r="AN2194" t="str">
            <v>Yes</v>
          </cell>
          <cell r="AO2194">
            <v>0.9</v>
          </cell>
          <cell r="AP2194">
            <v>13680000</v>
          </cell>
          <cell r="AQ2194">
            <v>45281</v>
          </cell>
          <cell r="AR2194">
            <v>45281</v>
          </cell>
          <cell r="AS2194">
            <v>0</v>
          </cell>
          <cell r="AT2194">
            <v>0</v>
          </cell>
          <cell r="AX2194" t="str">
            <v>Yes</v>
          </cell>
          <cell r="AZ2194" t="str">
            <v>Y</v>
          </cell>
          <cell r="BA2194" t="str">
            <v>Yes</v>
          </cell>
        </row>
        <row r="2195">
          <cell r="B2195">
            <v>2045</v>
          </cell>
          <cell r="C2195" t="str">
            <v>C49SZX20230142MZ</v>
          </cell>
          <cell r="D2195" t="str">
            <v>朗格邦定</v>
          </cell>
          <cell r="E2195" t="str">
            <v>YSM20R-2</v>
          </cell>
          <cell r="I2195" t="str">
            <v>L-&gt;R</v>
          </cell>
          <cell r="J2195" t="str">
            <v>No</v>
          </cell>
          <cell r="K2195">
            <v>1</v>
          </cell>
          <cell r="N2195">
            <v>45315</v>
          </cell>
          <cell r="O2195">
            <v>11116875</v>
          </cell>
          <cell r="P2195">
            <v>13000000</v>
          </cell>
          <cell r="Q2195">
            <v>45320</v>
          </cell>
          <cell r="R2195" t="str">
            <v>Yes</v>
          </cell>
          <cell r="S2195" t="str">
            <v>C49</v>
          </cell>
          <cell r="T2195" t="str">
            <v>SOUTH</v>
          </cell>
          <cell r="U2195" t="str">
            <v>深圳</v>
          </cell>
          <cell r="V2195" t="str">
            <v>SZ 深圳</v>
          </cell>
          <cell r="W2195" t="str">
            <v>MZ</v>
          </cell>
          <cell r="X2195" t="str">
            <v>JPY</v>
          </cell>
          <cell r="Y2195">
            <v>13000000</v>
          </cell>
          <cell r="Z2195">
            <v>1</v>
          </cell>
          <cell r="AA2195">
            <v>13000000</v>
          </cell>
          <cell r="AB2195">
            <v>5.4199999999999998E-2</v>
          </cell>
          <cell r="AC2195">
            <v>704600</v>
          </cell>
          <cell r="AD2195">
            <v>84552</v>
          </cell>
          <cell r="AE2195">
            <v>0.12</v>
          </cell>
          <cell r="AF2195">
            <v>45271</v>
          </cell>
          <cell r="AG2195" t="str">
            <v>DAP SZ</v>
          </cell>
          <cell r="AK2195">
            <v>0.2</v>
          </cell>
          <cell r="AL2195">
            <v>2600000</v>
          </cell>
          <cell r="AM2195">
            <v>45275</v>
          </cell>
          <cell r="AN2195" t="str">
            <v>Yes</v>
          </cell>
          <cell r="AO2195">
            <v>0.8</v>
          </cell>
          <cell r="AP2195">
            <v>10400000</v>
          </cell>
          <cell r="AQ2195">
            <v>45310</v>
          </cell>
          <cell r="AR2195">
            <v>45310</v>
          </cell>
          <cell r="AS2195">
            <v>0</v>
          </cell>
          <cell r="AT2195">
            <v>0</v>
          </cell>
          <cell r="AX2195" t="str">
            <v>Yes</v>
          </cell>
        </row>
        <row r="2196">
          <cell r="B2196">
            <v>2046</v>
          </cell>
          <cell r="C2196" t="str">
            <v>C49SZX20230142MZ</v>
          </cell>
          <cell r="D2196" t="str">
            <v>朗格邦定</v>
          </cell>
          <cell r="E2196" t="str">
            <v>YSM10</v>
          </cell>
          <cell r="I2196" t="str">
            <v>R-&gt;L</v>
          </cell>
          <cell r="J2196" t="str">
            <v>MVC</v>
          </cell>
          <cell r="K2196">
            <v>1</v>
          </cell>
          <cell r="N2196">
            <v>45315</v>
          </cell>
          <cell r="O2196">
            <v>11116875</v>
          </cell>
          <cell r="P2196">
            <v>7500000</v>
          </cell>
          <cell r="Q2196">
            <v>45320</v>
          </cell>
          <cell r="R2196" t="str">
            <v>Yes</v>
          </cell>
          <cell r="S2196" t="str">
            <v>C49</v>
          </cell>
          <cell r="T2196" t="str">
            <v>SOUTH</v>
          </cell>
          <cell r="U2196" t="str">
            <v>深圳</v>
          </cell>
          <cell r="V2196" t="str">
            <v>SZ 深圳</v>
          </cell>
          <cell r="W2196" t="str">
            <v>MZ</v>
          </cell>
          <cell r="X2196" t="str">
            <v>JPY</v>
          </cell>
          <cell r="Y2196">
            <v>7500000</v>
          </cell>
          <cell r="Z2196">
            <v>1</v>
          </cell>
          <cell r="AA2196">
            <v>7500000</v>
          </cell>
          <cell r="AB2196">
            <v>5.4199999999999998E-2</v>
          </cell>
          <cell r="AC2196">
            <v>406500</v>
          </cell>
          <cell r="AD2196">
            <v>48780</v>
          </cell>
          <cell r="AE2196">
            <v>0.12</v>
          </cell>
          <cell r="AF2196">
            <v>45271</v>
          </cell>
          <cell r="AG2196" t="str">
            <v>DAP SZ</v>
          </cell>
          <cell r="AK2196">
            <v>0.2</v>
          </cell>
          <cell r="AL2196">
            <v>1500000</v>
          </cell>
          <cell r="AM2196">
            <v>45275</v>
          </cell>
          <cell r="AN2196" t="str">
            <v>Yes</v>
          </cell>
          <cell r="AO2196">
            <v>0.8</v>
          </cell>
          <cell r="AP2196">
            <v>6000000</v>
          </cell>
          <cell r="AQ2196">
            <v>45310</v>
          </cell>
          <cell r="AR2196">
            <v>45310</v>
          </cell>
          <cell r="AS2196">
            <v>0</v>
          </cell>
          <cell r="AT2196">
            <v>0</v>
          </cell>
          <cell r="AX2196" t="str">
            <v>Yes</v>
          </cell>
          <cell r="BB2196" t="str">
            <v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v>
          </cell>
        </row>
        <row r="2197">
          <cell r="B2197">
            <v>2047</v>
          </cell>
          <cell r="C2197" t="str">
            <v>C49SZX20230139DX</v>
          </cell>
          <cell r="D2197" t="str">
            <v>联鸿精密（end user:倍美斯）</v>
          </cell>
          <cell r="E2197" t="str">
            <v>YSM20R-2</v>
          </cell>
          <cell r="I2197" t="str">
            <v>L-&gt;R</v>
          </cell>
          <cell r="J2197" t="str">
            <v>MVC</v>
          </cell>
          <cell r="K2197">
            <v>1</v>
          </cell>
          <cell r="N2197">
            <v>45281</v>
          </cell>
          <cell r="O2197">
            <v>11116865</v>
          </cell>
          <cell r="P2197">
            <v>14600000</v>
          </cell>
          <cell r="Q2197">
            <v>45282</v>
          </cell>
          <cell r="R2197" t="str">
            <v>Yes</v>
          </cell>
          <cell r="S2197" t="str">
            <v>C49</v>
          </cell>
          <cell r="T2197" t="str">
            <v>SOUTH</v>
          </cell>
          <cell r="U2197" t="str">
            <v>深圳</v>
          </cell>
          <cell r="V2197" t="str">
            <v>SZ 深圳</v>
          </cell>
          <cell r="W2197" t="str">
            <v>DX</v>
          </cell>
          <cell r="X2197" t="str">
            <v>JPY</v>
          </cell>
          <cell r="Y2197">
            <v>14600000</v>
          </cell>
          <cell r="Z2197">
            <v>1</v>
          </cell>
          <cell r="AA2197">
            <v>14600000</v>
          </cell>
          <cell r="AB2197">
            <v>5.4199999999999998E-2</v>
          </cell>
          <cell r="AC2197">
            <v>791320</v>
          </cell>
          <cell r="AD2197">
            <v>94958.399999999994</v>
          </cell>
          <cell r="AE2197">
            <v>0.12</v>
          </cell>
          <cell r="AF2197">
            <v>45273</v>
          </cell>
          <cell r="AG2197" t="str">
            <v>DAP SZ</v>
          </cell>
          <cell r="AK2197">
            <v>0.1</v>
          </cell>
          <cell r="AL2197">
            <v>1460000</v>
          </cell>
          <cell r="AM2197">
            <v>45274</v>
          </cell>
          <cell r="AN2197" t="str">
            <v>Yes</v>
          </cell>
          <cell r="AO2197">
            <v>0.9</v>
          </cell>
          <cell r="AP2197">
            <v>13140000</v>
          </cell>
          <cell r="AQ2197">
            <v>45279</v>
          </cell>
          <cell r="AR2197">
            <v>45279</v>
          </cell>
          <cell r="AS2197">
            <v>0</v>
          </cell>
          <cell r="AT2197">
            <v>0</v>
          </cell>
          <cell r="AX2197" t="str">
            <v>Yes</v>
          </cell>
          <cell r="AZ2197" t="str">
            <v>Y</v>
          </cell>
          <cell r="BA2197" t="str">
            <v>Yes</v>
          </cell>
        </row>
        <row r="2198">
          <cell r="B2198">
            <v>2048</v>
          </cell>
          <cell r="C2198" t="str">
            <v>PO#101338-KDY-LEL</v>
          </cell>
          <cell r="D2198" t="str">
            <v>力丰</v>
          </cell>
          <cell r="E2198" t="str">
            <v>SolderStar R-0625L</v>
          </cell>
          <cell r="I2198" t="str">
            <v>No</v>
          </cell>
          <cell r="J2198" t="str">
            <v>No</v>
          </cell>
          <cell r="K2198">
            <v>1</v>
          </cell>
          <cell r="N2198">
            <v>45296</v>
          </cell>
          <cell r="O2198">
            <v>11100667</v>
          </cell>
          <cell r="P2198">
            <v>30000</v>
          </cell>
          <cell r="Q2198">
            <v>45295</v>
          </cell>
          <cell r="R2198" t="str">
            <v>No</v>
          </cell>
          <cell r="S2198" t="str">
            <v>C28</v>
          </cell>
          <cell r="T2198" t="str">
            <v>EAST</v>
          </cell>
          <cell r="U2198" t="str">
            <v>深圳</v>
          </cell>
          <cell r="V2198" t="str">
            <v>SHA 上海</v>
          </cell>
          <cell r="W2198" t="str">
            <v>Jason Liu</v>
          </cell>
          <cell r="X2198" t="str">
            <v>RMB</v>
          </cell>
          <cell r="Y2198">
            <v>30000</v>
          </cell>
          <cell r="Z2198">
            <v>1.1299999999999999</v>
          </cell>
          <cell r="AA2198">
            <v>30000</v>
          </cell>
          <cell r="AB2198">
            <v>1.095</v>
          </cell>
          <cell r="AC2198">
            <v>29070.796460176993</v>
          </cell>
          <cell r="AD2198">
            <v>3488.4955752212391</v>
          </cell>
          <cell r="AE2198">
            <v>0.12</v>
          </cell>
          <cell r="AF2198">
            <v>45279</v>
          </cell>
          <cell r="AG2198" t="str">
            <v>DDP SH</v>
          </cell>
          <cell r="AK2198">
            <v>1</v>
          </cell>
          <cell r="AL2198">
            <v>30000</v>
          </cell>
          <cell r="AM2198">
            <v>45282</v>
          </cell>
          <cell r="AN2198" t="str">
            <v>Yes</v>
          </cell>
          <cell r="AO2198">
            <v>0</v>
          </cell>
          <cell r="AP2198">
            <v>0</v>
          </cell>
          <cell r="AS2198">
            <v>0</v>
          </cell>
          <cell r="AT2198">
            <v>0</v>
          </cell>
          <cell r="AX2198" t="str">
            <v>Yes</v>
          </cell>
          <cell r="BA2198" t="str">
            <v xml:space="preserve">                             </v>
          </cell>
        </row>
        <row r="2199">
          <cell r="B2199">
            <v>2049</v>
          </cell>
          <cell r="C2199" t="str">
            <v>C49SZX20230142SS</v>
          </cell>
          <cell r="D2199" t="str">
            <v>盈通恒翼</v>
          </cell>
          <cell r="E2199" t="str">
            <v>YSM10</v>
          </cell>
          <cell r="I2199" t="str">
            <v>L-&gt;R</v>
          </cell>
          <cell r="J2199" t="str">
            <v>No</v>
          </cell>
          <cell r="K2199">
            <v>1</v>
          </cell>
          <cell r="N2199">
            <v>45314</v>
          </cell>
          <cell r="O2199">
            <v>11116874</v>
          </cell>
          <cell r="P2199">
            <v>6600000</v>
          </cell>
          <cell r="Q2199">
            <v>45317</v>
          </cell>
          <cell r="R2199" t="str">
            <v>No</v>
          </cell>
          <cell r="S2199" t="str">
            <v>C49</v>
          </cell>
          <cell r="T2199" t="str">
            <v>SOUTH</v>
          </cell>
          <cell r="U2199" t="str">
            <v>深圳</v>
          </cell>
          <cell r="V2199" t="str">
            <v>SZ 深圳</v>
          </cell>
          <cell r="W2199" t="str">
            <v>SS</v>
          </cell>
          <cell r="X2199" t="str">
            <v>JPY</v>
          </cell>
          <cell r="Y2199">
            <v>6600000</v>
          </cell>
          <cell r="Z2199">
            <v>1</v>
          </cell>
          <cell r="AA2199">
            <v>6600000</v>
          </cell>
          <cell r="AB2199">
            <v>5.4199999999999998E-2</v>
          </cell>
          <cell r="AC2199">
            <v>357720</v>
          </cell>
          <cell r="AD2199">
            <v>42926.400000000001</v>
          </cell>
          <cell r="AE2199">
            <v>0.12</v>
          </cell>
          <cell r="AF2199">
            <v>45282</v>
          </cell>
          <cell r="AG2199" t="str">
            <v>DAP SZ</v>
          </cell>
          <cell r="AK2199">
            <v>0.1</v>
          </cell>
          <cell r="AL2199">
            <v>660000</v>
          </cell>
          <cell r="AM2199">
            <v>45288</v>
          </cell>
          <cell r="AN2199" t="str">
            <v>Yes</v>
          </cell>
          <cell r="AO2199">
            <v>0.9</v>
          </cell>
          <cell r="AP2199">
            <v>5940000</v>
          </cell>
          <cell r="AQ2199">
            <v>45313</v>
          </cell>
          <cell r="AR2199">
            <v>45313</v>
          </cell>
          <cell r="AS2199">
            <v>0</v>
          </cell>
          <cell r="AT2199">
            <v>0</v>
          </cell>
          <cell r="AX2199" t="str">
            <v>Yes</v>
          </cell>
          <cell r="AZ2199" t="str">
            <v>Y</v>
          </cell>
          <cell r="BA2199" t="str">
            <v>Yes</v>
          </cell>
        </row>
        <row r="2200">
          <cell r="B2200">
            <v>2050</v>
          </cell>
          <cell r="C2200" t="str">
            <v>C49SZX20230142SS</v>
          </cell>
          <cell r="D2200" t="str">
            <v>盈通恒翼</v>
          </cell>
          <cell r="E2200" t="str">
            <v>YSM10</v>
          </cell>
          <cell r="I2200" t="str">
            <v>L-&gt;R</v>
          </cell>
          <cell r="J2200" t="str">
            <v>No</v>
          </cell>
          <cell r="K2200">
            <v>1</v>
          </cell>
          <cell r="N2200">
            <v>45314</v>
          </cell>
          <cell r="O2200">
            <v>11116874</v>
          </cell>
          <cell r="P2200">
            <v>6600000</v>
          </cell>
          <cell r="Q2200">
            <v>45317</v>
          </cell>
          <cell r="R2200" t="str">
            <v>No</v>
          </cell>
          <cell r="S2200" t="str">
            <v>C49</v>
          </cell>
          <cell r="T2200" t="str">
            <v>SOUTH</v>
          </cell>
          <cell r="U2200" t="str">
            <v>深圳</v>
          </cell>
          <cell r="V2200" t="str">
            <v>SZ 深圳</v>
          </cell>
          <cell r="W2200" t="str">
            <v>SS</v>
          </cell>
          <cell r="X2200" t="str">
            <v>JPY</v>
          </cell>
          <cell r="Y2200">
            <v>6600000</v>
          </cell>
          <cell r="Z2200">
            <v>1</v>
          </cell>
          <cell r="AA2200">
            <v>6600000</v>
          </cell>
          <cell r="AB2200">
            <v>5.4199999999999998E-2</v>
          </cell>
          <cell r="AC2200">
            <v>357720</v>
          </cell>
          <cell r="AD2200">
            <v>42926.400000000001</v>
          </cell>
          <cell r="AE2200">
            <v>0.12</v>
          </cell>
          <cell r="AF2200">
            <v>45282</v>
          </cell>
          <cell r="AG2200" t="str">
            <v>DAP SZ</v>
          </cell>
          <cell r="AK2200">
            <v>0.1</v>
          </cell>
          <cell r="AL2200">
            <v>660000</v>
          </cell>
          <cell r="AM2200">
            <v>45288</v>
          </cell>
          <cell r="AN2200" t="str">
            <v>Yes</v>
          </cell>
          <cell r="AO2200">
            <v>0.9</v>
          </cell>
          <cell r="AP2200">
            <v>5940000</v>
          </cell>
          <cell r="AQ2200">
            <v>45313</v>
          </cell>
          <cell r="AR2200">
            <v>45313</v>
          </cell>
          <cell r="AS2200">
            <v>0</v>
          </cell>
          <cell r="AT2200">
            <v>0</v>
          </cell>
          <cell r="AX2200" t="str">
            <v>Yes</v>
          </cell>
          <cell r="AZ2200" t="str">
            <v>Y</v>
          </cell>
          <cell r="BA2200" t="str">
            <v>Yes</v>
          </cell>
        </row>
        <row r="2201">
          <cell r="B2201">
            <v>2051</v>
          </cell>
          <cell r="C2201" t="str">
            <v>C49SZX20230142SS</v>
          </cell>
          <cell r="D2201" t="str">
            <v>盈通恒翼</v>
          </cell>
          <cell r="E2201" t="str">
            <v>YSM10</v>
          </cell>
          <cell r="I2201" t="str">
            <v>R-&gt;L</v>
          </cell>
          <cell r="J2201" t="str">
            <v>No</v>
          </cell>
          <cell r="K2201">
            <v>1</v>
          </cell>
          <cell r="N2201">
            <v>45314</v>
          </cell>
          <cell r="O2201">
            <v>11116874</v>
          </cell>
          <cell r="P2201">
            <v>6600000</v>
          </cell>
          <cell r="Q2201">
            <v>45317</v>
          </cell>
          <cell r="R2201" t="str">
            <v>No</v>
          </cell>
          <cell r="S2201" t="str">
            <v>C49</v>
          </cell>
          <cell r="T2201" t="str">
            <v>SOUTH</v>
          </cell>
          <cell r="U2201" t="str">
            <v>深圳</v>
          </cell>
          <cell r="V2201" t="str">
            <v>SZ 深圳</v>
          </cell>
          <cell r="W2201" t="str">
            <v>SS</v>
          </cell>
          <cell r="X2201" t="str">
            <v>JPY</v>
          </cell>
          <cell r="Y2201">
            <v>6600000</v>
          </cell>
          <cell r="Z2201">
            <v>1</v>
          </cell>
          <cell r="AA2201">
            <v>6600000</v>
          </cell>
          <cell r="AB2201">
            <v>5.4199999999999998E-2</v>
          </cell>
          <cell r="AC2201">
            <v>357720</v>
          </cell>
          <cell r="AD2201">
            <v>42926.400000000001</v>
          </cell>
          <cell r="AE2201">
            <v>0.12</v>
          </cell>
          <cell r="AF2201">
            <v>45282</v>
          </cell>
          <cell r="AG2201" t="str">
            <v>DAP SZ</v>
          </cell>
          <cell r="AK2201">
            <v>0.1</v>
          </cell>
          <cell r="AL2201">
            <v>660000</v>
          </cell>
          <cell r="AM2201">
            <v>45288</v>
          </cell>
          <cell r="AN2201" t="str">
            <v>Yes</v>
          </cell>
          <cell r="AO2201">
            <v>0.9</v>
          </cell>
          <cell r="AP2201">
            <v>5940000</v>
          </cell>
          <cell r="AQ2201">
            <v>45313</v>
          </cell>
          <cell r="AR2201">
            <v>45313</v>
          </cell>
          <cell r="AS2201">
            <v>0</v>
          </cell>
          <cell r="AT2201">
            <v>0</v>
          </cell>
          <cell r="AX2201" t="str">
            <v>Yes</v>
          </cell>
          <cell r="AZ2201" t="str">
            <v>Y</v>
          </cell>
          <cell r="BA2201" t="str">
            <v>Yes</v>
          </cell>
        </row>
        <row r="2202">
          <cell r="B2202">
            <v>2052</v>
          </cell>
          <cell r="C2202" t="str">
            <v>C49SZX20230142SS</v>
          </cell>
          <cell r="D2202" t="str">
            <v>盈通恒翼</v>
          </cell>
          <cell r="E2202" t="str">
            <v>YSM10</v>
          </cell>
          <cell r="I2202" t="str">
            <v>R-&gt;L</v>
          </cell>
          <cell r="J2202" t="str">
            <v>No</v>
          </cell>
          <cell r="K2202">
            <v>1</v>
          </cell>
          <cell r="N2202">
            <v>45314</v>
          </cell>
          <cell r="O2202">
            <v>11116874</v>
          </cell>
          <cell r="P2202">
            <v>6600000</v>
          </cell>
          <cell r="Q2202">
            <v>45317</v>
          </cell>
          <cell r="R2202" t="str">
            <v>No</v>
          </cell>
          <cell r="S2202" t="str">
            <v>C49</v>
          </cell>
          <cell r="T2202" t="str">
            <v>SOUTH</v>
          </cell>
          <cell r="U2202" t="str">
            <v>深圳</v>
          </cell>
          <cell r="V2202" t="str">
            <v>SZ 深圳</v>
          </cell>
          <cell r="W2202" t="str">
            <v>SS</v>
          </cell>
          <cell r="X2202" t="str">
            <v>JPY</v>
          </cell>
          <cell r="Y2202">
            <v>6600000</v>
          </cell>
          <cell r="Z2202">
            <v>1</v>
          </cell>
          <cell r="AA2202">
            <v>6600000</v>
          </cell>
          <cell r="AB2202">
            <v>5.4199999999999998E-2</v>
          </cell>
          <cell r="AC2202">
            <v>357720</v>
          </cell>
          <cell r="AD2202">
            <v>42926.400000000001</v>
          </cell>
          <cell r="AE2202">
            <v>0.12</v>
          </cell>
          <cell r="AF2202">
            <v>45282</v>
          </cell>
          <cell r="AG2202" t="str">
            <v>DAP SZ</v>
          </cell>
          <cell r="AK2202">
            <v>0.1</v>
          </cell>
          <cell r="AL2202">
            <v>660000</v>
          </cell>
          <cell r="AM2202">
            <v>45288</v>
          </cell>
          <cell r="AN2202" t="str">
            <v>Yes</v>
          </cell>
          <cell r="AO2202">
            <v>0.9</v>
          </cell>
          <cell r="AP2202">
            <v>5940000</v>
          </cell>
          <cell r="AQ2202">
            <v>45313</v>
          </cell>
          <cell r="AR2202">
            <v>45313</v>
          </cell>
          <cell r="AS2202">
            <v>0</v>
          </cell>
          <cell r="AT2202">
            <v>0</v>
          </cell>
          <cell r="AX2202" t="str">
            <v>Yes</v>
          </cell>
          <cell r="AZ2202" t="str">
            <v>Y</v>
          </cell>
          <cell r="BA2202" t="str">
            <v>Yes</v>
          </cell>
        </row>
        <row r="2203">
          <cell r="B2203">
            <v>2053</v>
          </cell>
          <cell r="C2203" t="str">
            <v>C49SZX20230142SS</v>
          </cell>
          <cell r="D2203" t="str">
            <v>盈通恒翼</v>
          </cell>
          <cell r="E2203" t="str">
            <v>YSM20R-2</v>
          </cell>
          <cell r="I2203" t="str">
            <v>L-&gt;R</v>
          </cell>
          <cell r="J2203" t="str">
            <v>No</v>
          </cell>
          <cell r="K2203">
            <v>1</v>
          </cell>
          <cell r="N2203">
            <v>45314</v>
          </cell>
          <cell r="O2203">
            <v>11116874</v>
          </cell>
          <cell r="P2203">
            <v>12044000</v>
          </cell>
          <cell r="Q2203">
            <v>45317</v>
          </cell>
          <cell r="R2203" t="str">
            <v>No</v>
          </cell>
          <cell r="S2203" t="str">
            <v>C49</v>
          </cell>
          <cell r="T2203" t="str">
            <v>SOUTH</v>
          </cell>
          <cell r="U2203" t="str">
            <v>深圳</v>
          </cell>
          <cell r="V2203" t="str">
            <v>SZ 深圳</v>
          </cell>
          <cell r="W2203" t="str">
            <v>SS</v>
          </cell>
          <cell r="X2203" t="str">
            <v>JPY</v>
          </cell>
          <cell r="Y2203">
            <v>12044000</v>
          </cell>
          <cell r="Z2203">
            <v>1</v>
          </cell>
          <cell r="AA2203">
            <v>12044000</v>
          </cell>
          <cell r="AB2203">
            <v>5.4199999999999998E-2</v>
          </cell>
          <cell r="AC2203">
            <v>652784.79999999993</v>
          </cell>
          <cell r="AD2203">
            <v>78334.175999999992</v>
          </cell>
          <cell r="AE2203">
            <v>0.12</v>
          </cell>
          <cell r="AF2203">
            <v>45282</v>
          </cell>
          <cell r="AG2203" t="str">
            <v>DAP SZ</v>
          </cell>
          <cell r="AK2203">
            <v>0.1</v>
          </cell>
          <cell r="AL2203">
            <v>1204400</v>
          </cell>
          <cell r="AM2203">
            <v>45288</v>
          </cell>
          <cell r="AN2203" t="str">
            <v>Yes</v>
          </cell>
          <cell r="AO2203">
            <v>0.9</v>
          </cell>
          <cell r="AP2203">
            <v>10839600</v>
          </cell>
          <cell r="AQ2203">
            <v>45313</v>
          </cell>
          <cell r="AR2203">
            <v>45313</v>
          </cell>
          <cell r="AS2203">
            <v>0</v>
          </cell>
          <cell r="AT2203">
            <v>0</v>
          </cell>
          <cell r="AX2203" t="str">
            <v>Yes</v>
          </cell>
          <cell r="AZ2203" t="str">
            <v>Y</v>
          </cell>
          <cell r="BA2203" t="str">
            <v>Yes</v>
          </cell>
        </row>
        <row r="2204">
          <cell r="B2204">
            <v>2054</v>
          </cell>
          <cell r="C2204" t="str">
            <v>C49SZX20230142SS</v>
          </cell>
          <cell r="D2204" t="str">
            <v>盈通恒翼</v>
          </cell>
          <cell r="E2204" t="str">
            <v>YSM20R-2</v>
          </cell>
          <cell r="I2204" t="str">
            <v>R-&gt;L</v>
          </cell>
          <cell r="J2204" t="str">
            <v>No</v>
          </cell>
          <cell r="K2204">
            <v>1</v>
          </cell>
          <cell r="N2204">
            <v>45314</v>
          </cell>
          <cell r="O2204">
            <v>11116874</v>
          </cell>
          <cell r="P2204">
            <v>12044000</v>
          </cell>
          <cell r="Q2204">
            <v>45317</v>
          </cell>
          <cell r="R2204" t="str">
            <v>No</v>
          </cell>
          <cell r="S2204" t="str">
            <v>C49</v>
          </cell>
          <cell r="T2204" t="str">
            <v>SOUTH</v>
          </cell>
          <cell r="U2204" t="str">
            <v>深圳</v>
          </cell>
          <cell r="V2204" t="str">
            <v>SZ 深圳</v>
          </cell>
          <cell r="W2204" t="str">
            <v>SS</v>
          </cell>
          <cell r="X2204" t="str">
            <v>JPY</v>
          </cell>
          <cell r="Y2204">
            <v>12044000</v>
          </cell>
          <cell r="Z2204">
            <v>1</v>
          </cell>
          <cell r="AA2204">
            <v>12044000</v>
          </cell>
          <cell r="AB2204">
            <v>5.4199999999999998E-2</v>
          </cell>
          <cell r="AC2204">
            <v>652784.79999999993</v>
          </cell>
          <cell r="AD2204">
            <v>78334.175999999992</v>
          </cell>
          <cell r="AE2204">
            <v>0.12</v>
          </cell>
          <cell r="AF2204">
            <v>45282</v>
          </cell>
          <cell r="AG2204" t="str">
            <v>DAP SZ</v>
          </cell>
          <cell r="AK2204">
            <v>0.1</v>
          </cell>
          <cell r="AL2204">
            <v>1204400</v>
          </cell>
          <cell r="AM2204">
            <v>45288</v>
          </cell>
          <cell r="AN2204" t="str">
            <v>Yes</v>
          </cell>
          <cell r="AO2204">
            <v>0.9</v>
          </cell>
          <cell r="AP2204">
            <v>10839600</v>
          </cell>
          <cell r="AQ2204">
            <v>45313</v>
          </cell>
          <cell r="AR2204">
            <v>45313</v>
          </cell>
          <cell r="AS2204">
            <v>0</v>
          </cell>
          <cell r="AT2204">
            <v>0</v>
          </cell>
          <cell r="AX2204" t="str">
            <v>Yes</v>
          </cell>
          <cell r="AZ2204" t="str">
            <v>Y</v>
          </cell>
          <cell r="BA2204" t="str">
            <v>Yes</v>
          </cell>
        </row>
        <row r="2205">
          <cell r="B2205">
            <v>2055</v>
          </cell>
          <cell r="C2205" t="str">
            <v>C49SZX20230145BH</v>
          </cell>
          <cell r="D2205" t="str">
            <v>世纪佳柔</v>
          </cell>
          <cell r="E2205" t="str">
            <v>YSM20R-2</v>
          </cell>
          <cell r="I2205" t="str">
            <v>L-&gt;R</v>
          </cell>
          <cell r="J2205" t="str">
            <v>No</v>
          </cell>
          <cell r="K2205">
            <v>1</v>
          </cell>
          <cell r="N2205">
            <v>45313</v>
          </cell>
          <cell r="O2205">
            <v>11116873</v>
          </cell>
          <cell r="P2205">
            <v>11150000</v>
          </cell>
          <cell r="Q2205">
            <v>45314</v>
          </cell>
          <cell r="R2205" t="str">
            <v>Yes</v>
          </cell>
          <cell r="S2205" t="str">
            <v>C49</v>
          </cell>
          <cell r="T2205" t="str">
            <v>SOUTH</v>
          </cell>
          <cell r="U2205" t="str">
            <v>东莞</v>
          </cell>
          <cell r="V2205" t="str">
            <v>DG 东莞</v>
          </cell>
          <cell r="W2205" t="str">
            <v>BH</v>
          </cell>
          <cell r="X2205" t="str">
            <v>JPY</v>
          </cell>
          <cell r="Y2205">
            <v>11150000</v>
          </cell>
          <cell r="Z2205">
            <v>1</v>
          </cell>
          <cell r="AA2205">
            <v>11150000</v>
          </cell>
          <cell r="AB2205">
            <v>5.4199999999999998E-2</v>
          </cell>
          <cell r="AC2205">
            <v>604330</v>
          </cell>
          <cell r="AD2205">
            <v>72519.599999999991</v>
          </cell>
          <cell r="AE2205">
            <v>0.12</v>
          </cell>
          <cell r="AF2205">
            <v>45283</v>
          </cell>
          <cell r="AG2205" t="str">
            <v>DAP DG</v>
          </cell>
          <cell r="AK2205">
            <v>0.1</v>
          </cell>
          <cell r="AL2205">
            <v>1115000</v>
          </cell>
          <cell r="AM2205">
            <v>45287</v>
          </cell>
          <cell r="AN2205" t="str">
            <v>Yes</v>
          </cell>
          <cell r="AO2205">
            <v>0.9</v>
          </cell>
          <cell r="AP2205">
            <v>10035000</v>
          </cell>
          <cell r="AQ2205">
            <v>45303</v>
          </cell>
          <cell r="AR2205">
            <v>45303</v>
          </cell>
          <cell r="AS2205">
            <v>0</v>
          </cell>
          <cell r="AT2205">
            <v>0</v>
          </cell>
          <cell r="AX2205" t="str">
            <v>Yes</v>
          </cell>
          <cell r="AZ2205" t="str">
            <v>Y</v>
          </cell>
          <cell r="BA2205" t="str">
            <v>Yes</v>
          </cell>
        </row>
        <row r="2206">
          <cell r="B2206">
            <v>2056</v>
          </cell>
          <cell r="C2206" t="str">
            <v>C49SZX20230145BH</v>
          </cell>
          <cell r="D2206" t="str">
            <v>世纪佳柔</v>
          </cell>
          <cell r="E2206" t="str">
            <v>YSM20R-2</v>
          </cell>
          <cell r="I2206" t="str">
            <v>L-&gt;R</v>
          </cell>
          <cell r="J2206" t="str">
            <v>No</v>
          </cell>
          <cell r="K2206">
            <v>1</v>
          </cell>
          <cell r="N2206">
            <v>45313</v>
          </cell>
          <cell r="O2206">
            <v>11116873</v>
          </cell>
          <cell r="P2206">
            <v>11150000</v>
          </cell>
          <cell r="Q2206">
            <v>45314</v>
          </cell>
          <cell r="R2206" t="str">
            <v>Yes</v>
          </cell>
          <cell r="S2206" t="str">
            <v>C49</v>
          </cell>
          <cell r="T2206" t="str">
            <v>SOUTH</v>
          </cell>
          <cell r="U2206" t="str">
            <v>东莞</v>
          </cell>
          <cell r="V2206" t="str">
            <v>DG 东莞</v>
          </cell>
          <cell r="W2206" t="str">
            <v>BH</v>
          </cell>
          <cell r="X2206" t="str">
            <v>JPY</v>
          </cell>
          <cell r="Y2206">
            <v>11150000</v>
          </cell>
          <cell r="Z2206">
            <v>1</v>
          </cell>
          <cell r="AA2206">
            <v>11150000</v>
          </cell>
          <cell r="AB2206">
            <v>5.4199999999999998E-2</v>
          </cell>
          <cell r="AC2206">
            <v>604330</v>
          </cell>
          <cell r="AD2206">
            <v>72519.599999999991</v>
          </cell>
          <cell r="AE2206">
            <v>0.12</v>
          </cell>
          <cell r="AF2206">
            <v>45283</v>
          </cell>
          <cell r="AG2206" t="str">
            <v>DAP DG</v>
          </cell>
          <cell r="AK2206">
            <v>0.1</v>
          </cell>
          <cell r="AL2206">
            <v>1115000</v>
          </cell>
          <cell r="AM2206">
            <v>45287</v>
          </cell>
          <cell r="AN2206" t="str">
            <v>Yes</v>
          </cell>
          <cell r="AO2206">
            <v>0.9</v>
          </cell>
          <cell r="AP2206">
            <v>10035000</v>
          </cell>
          <cell r="AQ2206">
            <v>45303</v>
          </cell>
          <cell r="AR2206">
            <v>45303</v>
          </cell>
          <cell r="AS2206">
            <v>0</v>
          </cell>
          <cell r="AT2206">
            <v>0</v>
          </cell>
          <cell r="AX2206" t="str">
            <v>Yes</v>
          </cell>
          <cell r="AZ2206" t="str">
            <v>Y</v>
          </cell>
          <cell r="BA2206" t="str">
            <v>Yes</v>
          </cell>
        </row>
        <row r="2207">
          <cell r="B2207">
            <v>2057</v>
          </cell>
          <cell r="C2207" t="str">
            <v>C49SZX20230145BH</v>
          </cell>
          <cell r="D2207" t="str">
            <v>世纪佳柔</v>
          </cell>
          <cell r="E2207" t="str">
            <v>YSM10</v>
          </cell>
          <cell r="I2207" t="str">
            <v>L-&gt;R</v>
          </cell>
          <cell r="J2207" t="str">
            <v>MVC</v>
          </cell>
          <cell r="K2207">
            <v>1</v>
          </cell>
          <cell r="N2207">
            <v>45313</v>
          </cell>
          <cell r="O2207">
            <v>11116873</v>
          </cell>
          <cell r="P2207">
            <v>6720000</v>
          </cell>
          <cell r="Q2207">
            <v>45315</v>
          </cell>
          <cell r="R2207" t="str">
            <v>Yes</v>
          </cell>
          <cell r="S2207" t="str">
            <v>C49</v>
          </cell>
          <cell r="T2207" t="str">
            <v>SOUTH</v>
          </cell>
          <cell r="U2207" t="str">
            <v>东莞</v>
          </cell>
          <cell r="V2207" t="str">
            <v>DG 东莞</v>
          </cell>
          <cell r="W2207" t="str">
            <v>BH</v>
          </cell>
          <cell r="X2207" t="str">
            <v>JPY</v>
          </cell>
          <cell r="Y2207">
            <v>6720000</v>
          </cell>
          <cell r="Z2207">
            <v>1</v>
          </cell>
          <cell r="AA2207">
            <v>6720000</v>
          </cell>
          <cell r="AB2207">
            <v>5.4199999999999998E-2</v>
          </cell>
          <cell r="AC2207">
            <v>364224</v>
          </cell>
          <cell r="AD2207">
            <v>43706.879999999997</v>
          </cell>
          <cell r="AE2207">
            <v>0.12</v>
          </cell>
          <cell r="AF2207">
            <v>45283</v>
          </cell>
          <cell r="AG2207" t="str">
            <v>DAP DG</v>
          </cell>
          <cell r="AK2207">
            <v>0.1</v>
          </cell>
          <cell r="AL2207">
            <v>672000</v>
          </cell>
          <cell r="AM2207">
            <v>45287</v>
          </cell>
          <cell r="AN2207" t="str">
            <v>Yes</v>
          </cell>
          <cell r="AO2207">
            <v>0.9</v>
          </cell>
          <cell r="AP2207">
            <v>6048000</v>
          </cell>
          <cell r="AQ2207">
            <v>45303</v>
          </cell>
          <cell r="AR2207">
            <v>45303</v>
          </cell>
          <cell r="AS2207">
            <v>0</v>
          </cell>
          <cell r="AT2207">
            <v>0</v>
          </cell>
          <cell r="AX2207" t="str">
            <v>Yes</v>
          </cell>
          <cell r="AZ2207" t="str">
            <v>Y</v>
          </cell>
          <cell r="BA2207" t="str">
            <v>Yes</v>
          </cell>
        </row>
        <row r="2208">
          <cell r="B2208">
            <v>2058</v>
          </cell>
          <cell r="C2208" t="str">
            <v>C49SZX20230143SX</v>
          </cell>
          <cell r="D2208" t="str">
            <v>柏星</v>
          </cell>
          <cell r="E2208" t="str">
            <v>YSM10</v>
          </cell>
          <cell r="I2208" t="str">
            <v>L-&gt;R</v>
          </cell>
          <cell r="J2208" t="str">
            <v>MVC</v>
          </cell>
          <cell r="K2208">
            <v>1</v>
          </cell>
          <cell r="N2208">
            <v>45306</v>
          </cell>
          <cell r="O2208">
            <v>11116869</v>
          </cell>
          <cell r="P2208">
            <v>8730000</v>
          </cell>
          <cell r="Q2208">
            <v>45307</v>
          </cell>
          <cell r="R2208" t="str">
            <v>No</v>
          </cell>
          <cell r="S2208" t="str">
            <v>C49</v>
          </cell>
          <cell r="T2208" t="str">
            <v>SOUTH</v>
          </cell>
          <cell r="U2208" t="str">
            <v>东莞</v>
          </cell>
          <cell r="V2208" t="str">
            <v>DG 东莞</v>
          </cell>
          <cell r="W2208" t="str">
            <v>SX</v>
          </cell>
          <cell r="X2208" t="str">
            <v>JPY</v>
          </cell>
          <cell r="Y2208">
            <v>8730000</v>
          </cell>
          <cell r="Z2208">
            <v>1</v>
          </cell>
          <cell r="AA2208">
            <v>8730000</v>
          </cell>
          <cell r="AB2208">
            <v>5.4199999999999998E-2</v>
          </cell>
          <cell r="AC2208">
            <v>473166</v>
          </cell>
          <cell r="AD2208">
            <v>56779.92</v>
          </cell>
          <cell r="AE2208">
            <v>0.12</v>
          </cell>
          <cell r="AF2208">
            <v>45282</v>
          </cell>
          <cell r="AG2208" t="str">
            <v>DAP DG</v>
          </cell>
          <cell r="AK2208">
            <v>0.1</v>
          </cell>
          <cell r="AL2208">
            <v>873000</v>
          </cell>
          <cell r="AM2208">
            <v>45287</v>
          </cell>
          <cell r="AN2208" t="str">
            <v>Yes</v>
          </cell>
          <cell r="AO2208">
            <v>0.9</v>
          </cell>
          <cell r="AP2208">
            <v>7857000</v>
          </cell>
          <cell r="AQ2208">
            <v>45302</v>
          </cell>
          <cell r="AR2208">
            <v>45302</v>
          </cell>
          <cell r="AS2208">
            <v>0</v>
          </cell>
          <cell r="AT2208">
            <v>0</v>
          </cell>
          <cell r="AX2208" t="str">
            <v>Yes</v>
          </cell>
          <cell r="AZ2208" t="str">
            <v>Y</v>
          </cell>
          <cell r="BA2208" t="str">
            <v>Yes</v>
          </cell>
        </row>
        <row r="2209">
          <cell r="B2209">
            <v>2059</v>
          </cell>
          <cell r="C2209" t="str">
            <v>C49SZX20240002SX</v>
          </cell>
          <cell r="D2209" t="str">
            <v>悦之彩</v>
          </cell>
          <cell r="E2209" t="str">
            <v>YSM10</v>
          </cell>
          <cell r="I2209" t="str">
            <v>L-&gt;R</v>
          </cell>
          <cell r="J2209" t="str">
            <v>MVC</v>
          </cell>
          <cell r="K2209">
            <v>1</v>
          </cell>
          <cell r="N2209">
            <v>45307</v>
          </cell>
          <cell r="O2209">
            <v>11116872</v>
          </cell>
          <cell r="P2209">
            <v>6900000</v>
          </cell>
          <cell r="Q2209">
            <v>45308</v>
          </cell>
          <cell r="R2209" t="str">
            <v>No</v>
          </cell>
          <cell r="S2209" t="str">
            <v>C49</v>
          </cell>
          <cell r="T2209" t="str">
            <v>SOUTH</v>
          </cell>
          <cell r="U2209" t="str">
            <v>深圳</v>
          </cell>
          <cell r="V2209" t="str">
            <v>SZ 深圳</v>
          </cell>
          <cell r="W2209" t="str">
            <v>SX</v>
          </cell>
          <cell r="X2209" t="str">
            <v>JPY</v>
          </cell>
          <cell r="Y2209">
            <v>6900000</v>
          </cell>
          <cell r="Z2209">
            <v>1</v>
          </cell>
          <cell r="AA2209">
            <v>6900000</v>
          </cell>
          <cell r="AB2209">
            <v>5.6099999999999997E-2</v>
          </cell>
          <cell r="AC2209">
            <v>387090</v>
          </cell>
          <cell r="AD2209">
            <v>46450.799999999996</v>
          </cell>
          <cell r="AE2209">
            <v>0.12</v>
          </cell>
          <cell r="AF2209">
            <v>45300</v>
          </cell>
          <cell r="AG2209" t="str">
            <v>DAP SZ</v>
          </cell>
          <cell r="AK2209">
            <v>0.1</v>
          </cell>
          <cell r="AL2209">
            <v>690000</v>
          </cell>
          <cell r="AM2209">
            <v>45302</v>
          </cell>
          <cell r="AN2209" t="str">
            <v>Yes</v>
          </cell>
          <cell r="AO2209">
            <v>0.9</v>
          </cell>
          <cell r="AP2209">
            <v>6210000</v>
          </cell>
          <cell r="AQ2209">
            <v>45303</v>
          </cell>
          <cell r="AR2209">
            <v>45303</v>
          </cell>
          <cell r="AS2209">
            <v>0</v>
          </cell>
          <cell r="AT2209">
            <v>0</v>
          </cell>
          <cell r="AX2209" t="str">
            <v>Yes</v>
          </cell>
          <cell r="AZ2209" t="str">
            <v>Y</v>
          </cell>
          <cell r="BA2209" t="str">
            <v>Yes</v>
          </cell>
        </row>
        <row r="2210">
          <cell r="B2210">
            <v>2060</v>
          </cell>
          <cell r="C2210" t="str">
            <v>C49SZX20240002SX</v>
          </cell>
          <cell r="D2210" t="str">
            <v>悦之彩</v>
          </cell>
          <cell r="E2210" t="str">
            <v>YSM10</v>
          </cell>
          <cell r="I2210" t="str">
            <v>L-&gt;R</v>
          </cell>
          <cell r="J2210" t="str">
            <v>MVC</v>
          </cell>
          <cell r="K2210">
            <v>1</v>
          </cell>
          <cell r="N2210">
            <v>45307</v>
          </cell>
          <cell r="O2210">
            <v>11116872</v>
          </cell>
          <cell r="P2210">
            <v>6900000</v>
          </cell>
          <cell r="Q2210">
            <v>45308</v>
          </cell>
          <cell r="R2210" t="str">
            <v>No</v>
          </cell>
          <cell r="S2210" t="str">
            <v>C49</v>
          </cell>
          <cell r="T2210" t="str">
            <v>SOUTH</v>
          </cell>
          <cell r="U2210" t="str">
            <v>深圳</v>
          </cell>
          <cell r="V2210" t="str">
            <v>SZ 深圳</v>
          </cell>
          <cell r="W2210" t="str">
            <v>SX</v>
          </cell>
          <cell r="X2210" t="str">
            <v>JPY</v>
          </cell>
          <cell r="Y2210">
            <v>6900000</v>
          </cell>
          <cell r="Z2210">
            <v>1</v>
          </cell>
          <cell r="AA2210">
            <v>6900000</v>
          </cell>
          <cell r="AB2210">
            <v>5.6099999999999997E-2</v>
          </cell>
          <cell r="AC2210">
            <v>387090</v>
          </cell>
          <cell r="AD2210">
            <v>46450.799999999996</v>
          </cell>
          <cell r="AE2210">
            <v>0.12</v>
          </cell>
          <cell r="AF2210">
            <v>45300</v>
          </cell>
          <cell r="AG2210" t="str">
            <v>DAP SZ</v>
          </cell>
          <cell r="AK2210">
            <v>0.1</v>
          </cell>
          <cell r="AL2210">
            <v>690000</v>
          </cell>
          <cell r="AM2210">
            <v>45302</v>
          </cell>
          <cell r="AN2210" t="str">
            <v>Yes</v>
          </cell>
          <cell r="AO2210">
            <v>0.9</v>
          </cell>
          <cell r="AP2210">
            <v>6210000</v>
          </cell>
          <cell r="AQ2210">
            <v>45303</v>
          </cell>
          <cell r="AR2210">
            <v>45303</v>
          </cell>
          <cell r="AS2210">
            <v>0</v>
          </cell>
          <cell r="AT2210">
            <v>0</v>
          </cell>
          <cell r="AX2210" t="str">
            <v>Yes</v>
          </cell>
          <cell r="AZ2210" t="str">
            <v>Y</v>
          </cell>
          <cell r="BA2210" t="str">
            <v>Yes</v>
          </cell>
        </row>
        <row r="2211">
          <cell r="B2211">
            <v>2061</v>
          </cell>
          <cell r="C2211" t="str">
            <v>C49SZX20240001JY</v>
          </cell>
          <cell r="D2211" t="str">
            <v>豫龙辉</v>
          </cell>
          <cell r="E2211" t="str">
            <v>YSM20R-2</v>
          </cell>
          <cell r="I2211" t="str">
            <v>L-&gt;R</v>
          </cell>
          <cell r="J2211" t="str">
            <v>MVC</v>
          </cell>
          <cell r="K2211">
            <v>1</v>
          </cell>
          <cell r="N2211">
            <v>45349</v>
          </cell>
          <cell r="O2211">
            <v>11116886</v>
          </cell>
          <cell r="P2211">
            <v>12660000</v>
          </cell>
          <cell r="Q2211">
            <v>45349</v>
          </cell>
          <cell r="R2211" t="str">
            <v>No</v>
          </cell>
          <cell r="S2211" t="str">
            <v>C49</v>
          </cell>
          <cell r="T2211" t="str">
            <v>SOUTH</v>
          </cell>
          <cell r="U2211" t="str">
            <v>深圳</v>
          </cell>
          <cell r="V2211" t="str">
            <v>SZ 深圳</v>
          </cell>
          <cell r="W2211" t="str">
            <v>JY</v>
          </cell>
          <cell r="X2211" t="str">
            <v>JPY</v>
          </cell>
          <cell r="Y2211">
            <v>12660000</v>
          </cell>
          <cell r="Z2211">
            <v>1</v>
          </cell>
          <cell r="AA2211">
            <v>12660000</v>
          </cell>
          <cell r="AB2211">
            <v>5.6099999999999997E-2</v>
          </cell>
          <cell r="AC2211">
            <v>710226</v>
          </cell>
          <cell r="AD2211">
            <v>85227.12</v>
          </cell>
          <cell r="AE2211">
            <v>0.12</v>
          </cell>
          <cell r="AF2211">
            <v>45303</v>
          </cell>
          <cell r="AG2211" t="str">
            <v>DAP SZ</v>
          </cell>
          <cell r="AK2211">
            <v>0.1</v>
          </cell>
          <cell r="AL2211">
            <v>1266000</v>
          </cell>
          <cell r="AM2211">
            <v>45309</v>
          </cell>
          <cell r="AN2211" t="str">
            <v>Yes</v>
          </cell>
          <cell r="AO2211">
            <v>0.9</v>
          </cell>
          <cell r="AP2211">
            <v>11394000</v>
          </cell>
          <cell r="AQ2211">
            <v>45348</v>
          </cell>
          <cell r="AR2211">
            <v>45348</v>
          </cell>
          <cell r="AS2211">
            <v>0</v>
          </cell>
          <cell r="AT2211">
            <v>0</v>
          </cell>
          <cell r="AX2211" t="str">
            <v>Yes</v>
          </cell>
          <cell r="AZ2211" t="str">
            <v>Y</v>
          </cell>
          <cell r="BA2211" t="str">
            <v>Yes</v>
          </cell>
        </row>
        <row r="2212">
          <cell r="B2212">
            <v>2062</v>
          </cell>
          <cell r="C2212" t="str">
            <v>C49SZX20240006SQ</v>
          </cell>
          <cell r="D2212" t="str">
            <v>中孟</v>
          </cell>
          <cell r="E2212" t="str">
            <v>YSM10</v>
          </cell>
          <cell r="I2212" t="str">
            <v>L-&gt;R</v>
          </cell>
          <cell r="J2212" t="str">
            <v>MVC</v>
          </cell>
          <cell r="K2212">
            <v>1</v>
          </cell>
          <cell r="R2212" t="str">
            <v>Yes</v>
          </cell>
          <cell r="S2212" t="str">
            <v>C49</v>
          </cell>
          <cell r="T2212" t="str">
            <v>SOUTH</v>
          </cell>
          <cell r="U2212" t="str">
            <v>广州</v>
          </cell>
          <cell r="V2212" t="str">
            <v>GZ 广州</v>
          </cell>
          <cell r="W2212" t="str">
            <v>SQ</v>
          </cell>
          <cell r="X2212" t="str">
            <v>RMB</v>
          </cell>
          <cell r="Y2212">
            <v>650000</v>
          </cell>
          <cell r="Z2212">
            <v>1.1299999999999999</v>
          </cell>
          <cell r="AA2212">
            <v>650000</v>
          </cell>
          <cell r="AB2212">
            <v>1.0920000000000001</v>
          </cell>
          <cell r="AC2212">
            <v>628141.5929203541</v>
          </cell>
          <cell r="AD2212">
            <v>75376.991150442496</v>
          </cell>
          <cell r="AE2212">
            <v>0.12</v>
          </cell>
          <cell r="AF2212">
            <v>45307</v>
          </cell>
          <cell r="AG2212" t="str">
            <v>DDP GZ</v>
          </cell>
          <cell r="AK2212">
            <v>0.1</v>
          </cell>
          <cell r="AL2212">
            <v>65000</v>
          </cell>
          <cell r="AM2212">
            <v>45309</v>
          </cell>
          <cell r="AN2212" t="str">
            <v>Yes</v>
          </cell>
          <cell r="AO2212">
            <v>0.9</v>
          </cell>
          <cell r="AP2212">
            <v>585000</v>
          </cell>
          <cell r="AS2212">
            <v>0</v>
          </cell>
          <cell r="AT2212">
            <v>0</v>
          </cell>
        </row>
        <row r="2213">
          <cell r="B2213">
            <v>2063</v>
          </cell>
          <cell r="C2213" t="str">
            <v>C49SZX20240005EC</v>
          </cell>
          <cell r="D2213" t="str">
            <v>诺亚兴</v>
          </cell>
          <cell r="E2213" t="str">
            <v>YSM20R-2</v>
          </cell>
          <cell r="I2213" t="str">
            <v>L-&gt;R</v>
          </cell>
          <cell r="J2213" t="str">
            <v>MVC</v>
          </cell>
          <cell r="K2213">
            <v>1</v>
          </cell>
          <cell r="N2213">
            <v>45320</v>
          </cell>
          <cell r="O2213">
            <v>11116877</v>
          </cell>
          <cell r="P2213">
            <v>12000000</v>
          </cell>
          <cell r="Q2213">
            <v>45321</v>
          </cell>
          <cell r="R2213" t="str">
            <v>No</v>
          </cell>
          <cell r="S2213" t="str">
            <v>C49</v>
          </cell>
          <cell r="T2213" t="str">
            <v>SOUTH</v>
          </cell>
          <cell r="U2213" t="str">
            <v>深圳</v>
          </cell>
          <cell r="V2213" t="str">
            <v>SZ 深圳</v>
          </cell>
          <cell r="W2213" t="str">
            <v>EC</v>
          </cell>
          <cell r="X2213" t="str">
            <v>JPY</v>
          </cell>
          <cell r="Y2213">
            <v>12000000</v>
          </cell>
          <cell r="Z2213">
            <v>1</v>
          </cell>
          <cell r="AA2213">
            <v>12000000</v>
          </cell>
          <cell r="AB2213">
            <v>5.6099999999999997E-2</v>
          </cell>
          <cell r="AC2213">
            <v>673200</v>
          </cell>
          <cell r="AD2213">
            <v>80784</v>
          </cell>
          <cell r="AE2213">
            <v>0.12</v>
          </cell>
          <cell r="AF2213">
            <v>45308</v>
          </cell>
          <cell r="AG2213" t="str">
            <v>CIF HK</v>
          </cell>
          <cell r="AK2213">
            <v>0.5</v>
          </cell>
          <cell r="AL2213">
            <v>6000000</v>
          </cell>
          <cell r="AM2213">
            <v>45309</v>
          </cell>
          <cell r="AN2213" t="str">
            <v>Yes</v>
          </cell>
          <cell r="AO2213">
            <v>0.5</v>
          </cell>
          <cell r="AP2213">
            <v>6000000</v>
          </cell>
          <cell r="AQ2213">
            <v>45315</v>
          </cell>
          <cell r="AR2213">
            <v>45315</v>
          </cell>
          <cell r="AS2213">
            <v>0</v>
          </cell>
          <cell r="AT2213">
            <v>0</v>
          </cell>
          <cell r="AX2213" t="str">
            <v>Yes</v>
          </cell>
          <cell r="AZ2213" t="str">
            <v>Y</v>
          </cell>
          <cell r="BA2213" t="str">
            <v>Yes</v>
          </cell>
        </row>
        <row r="2214">
          <cell r="B2214">
            <v>2064</v>
          </cell>
          <cell r="C2214" t="str">
            <v>C49SZX20240007MZ</v>
          </cell>
          <cell r="D2214" t="str">
            <v>飞霖</v>
          </cell>
          <cell r="E2214" t="str">
            <v>YSM20R-2</v>
          </cell>
          <cell r="I2214" t="str">
            <v>L-&gt;R</v>
          </cell>
          <cell r="J2214" t="str">
            <v>No</v>
          </cell>
          <cell r="K2214">
            <v>1</v>
          </cell>
          <cell r="R2214" t="str">
            <v>Yes</v>
          </cell>
          <cell r="S2214" t="str">
            <v>C49</v>
          </cell>
          <cell r="T2214" t="str">
            <v>SOUTH</v>
          </cell>
          <cell r="U2214" t="str">
            <v>东莞</v>
          </cell>
          <cell r="V2214" t="str">
            <v>DG 东莞</v>
          </cell>
          <cell r="W2214" t="str">
            <v>MZ</v>
          </cell>
          <cell r="X2214" t="str">
            <v>RMB</v>
          </cell>
          <cell r="Y2214">
            <v>770000</v>
          </cell>
          <cell r="Z2214">
            <v>1.1299999999999999</v>
          </cell>
          <cell r="AA2214">
            <v>770000</v>
          </cell>
          <cell r="AB2214">
            <v>1.0920000000000001</v>
          </cell>
          <cell r="AC2214">
            <v>744106.19469026558</v>
          </cell>
          <cell r="AD2214">
            <v>89292.743362831869</v>
          </cell>
          <cell r="AE2214">
            <v>0.12</v>
          </cell>
          <cell r="AF2214">
            <v>45308</v>
          </cell>
          <cell r="AG2214" t="str">
            <v>DDP DG</v>
          </cell>
          <cell r="AK2214">
            <v>0.2</v>
          </cell>
          <cell r="AL2214">
            <v>154000</v>
          </cell>
          <cell r="AN2214" t="str">
            <v>No</v>
          </cell>
          <cell r="AO2214">
            <v>0.9</v>
          </cell>
          <cell r="AP2214">
            <v>693000</v>
          </cell>
          <cell r="AS2214">
            <v>0</v>
          </cell>
          <cell r="AT2214">
            <v>0</v>
          </cell>
        </row>
        <row r="2215">
          <cell r="B2215">
            <v>2065</v>
          </cell>
          <cell r="C2215" t="str">
            <v>C49SZX20240007MZ</v>
          </cell>
          <cell r="D2215" t="str">
            <v>飞霖</v>
          </cell>
          <cell r="E2215" t="str">
            <v>YSM10</v>
          </cell>
          <cell r="I2215" t="str">
            <v>L-&gt;R</v>
          </cell>
          <cell r="J2215" t="str">
            <v>MVC+ATS15</v>
          </cell>
          <cell r="K2215">
            <v>1</v>
          </cell>
          <cell r="R2215" t="str">
            <v>Yes</v>
          </cell>
          <cell r="S2215" t="str">
            <v>C49</v>
          </cell>
          <cell r="T2215" t="str">
            <v>SOUTH</v>
          </cell>
          <cell r="U2215" t="str">
            <v>东莞</v>
          </cell>
          <cell r="V2215" t="str">
            <v>DG 东莞</v>
          </cell>
          <cell r="W2215" t="str">
            <v>MZ</v>
          </cell>
          <cell r="X2215" t="str">
            <v>RMB</v>
          </cell>
          <cell r="Y2215">
            <v>600000</v>
          </cell>
          <cell r="Z2215">
            <v>1.1299999999999999</v>
          </cell>
          <cell r="AA2215">
            <v>600000</v>
          </cell>
          <cell r="AB2215">
            <v>1.0920000000000001</v>
          </cell>
          <cell r="AC2215">
            <v>579823.00884955761</v>
          </cell>
          <cell r="AD2215">
            <v>69578.761061946905</v>
          </cell>
          <cell r="AE2215">
            <v>0.12</v>
          </cell>
          <cell r="AF2215">
            <v>45308</v>
          </cell>
          <cell r="AG2215" t="str">
            <v>DDP DG</v>
          </cell>
          <cell r="AK2215">
            <v>0.2</v>
          </cell>
          <cell r="AL2215">
            <v>120000</v>
          </cell>
          <cell r="AN2215" t="str">
            <v>No</v>
          </cell>
          <cell r="AO2215">
            <v>0.9</v>
          </cell>
          <cell r="AP2215">
            <v>540000</v>
          </cell>
          <cell r="AS2215">
            <v>0</v>
          </cell>
          <cell r="AT2215">
            <v>0</v>
          </cell>
        </row>
        <row r="2216">
          <cell r="B2216">
            <v>2066</v>
          </cell>
          <cell r="C2216" t="str">
            <v>C49SZX20240008JL/4600004037</v>
          </cell>
          <cell r="D2216" t="str">
            <v>高伟</v>
          </cell>
          <cell r="E2216" t="str">
            <v>YSM10</v>
          </cell>
          <cell r="I2216" t="str">
            <v>L-&gt;R</v>
          </cell>
          <cell r="J2216" t="str">
            <v xml:space="preserve">MVC(with 5 heads) </v>
          </cell>
          <cell r="K2216">
            <v>1</v>
          </cell>
          <cell r="R2216" t="str">
            <v>No</v>
          </cell>
          <cell r="S2216" t="str">
            <v>C49</v>
          </cell>
          <cell r="T2216" t="str">
            <v>SOUTH</v>
          </cell>
          <cell r="U2216" t="str">
            <v>东莞</v>
          </cell>
          <cell r="V2216" t="str">
            <v>DG 东莞</v>
          </cell>
          <cell r="W2216" t="str">
            <v>JL</v>
          </cell>
          <cell r="X2216" t="str">
            <v>USD</v>
          </cell>
          <cell r="Y2216">
            <v>60000</v>
          </cell>
          <cell r="Z2216">
            <v>1</v>
          </cell>
          <cell r="AA2216">
            <v>60000</v>
          </cell>
          <cell r="AB2216">
            <v>7.8</v>
          </cell>
          <cell r="AC2216">
            <v>468000</v>
          </cell>
          <cell r="AD2216">
            <v>56160</v>
          </cell>
          <cell r="AE2216">
            <v>0.12</v>
          </cell>
          <cell r="AF2216">
            <v>45313</v>
          </cell>
          <cell r="AG2216" t="str">
            <v>CIF HK</v>
          </cell>
          <cell r="AK2216">
            <v>0.3</v>
          </cell>
          <cell r="AL2216">
            <v>18000</v>
          </cell>
          <cell r="AM2216">
            <v>45315</v>
          </cell>
          <cell r="AN2216" t="str">
            <v>Yes</v>
          </cell>
          <cell r="AO2216">
            <v>0.6</v>
          </cell>
          <cell r="AP2216">
            <v>36000</v>
          </cell>
          <cell r="AS2216">
            <v>0.05</v>
          </cell>
          <cell r="AT2216">
            <v>3000</v>
          </cell>
        </row>
        <row r="2217">
          <cell r="B2217">
            <v>2067</v>
          </cell>
          <cell r="C2217" t="str">
            <v>C49SZX20240008JL/4600004037</v>
          </cell>
          <cell r="D2217" t="str">
            <v>高伟</v>
          </cell>
          <cell r="E2217" t="str">
            <v>YSM10</v>
          </cell>
          <cell r="I2217" t="str">
            <v>L-&gt;R</v>
          </cell>
          <cell r="J2217" t="str">
            <v xml:space="preserve">MVC(with 5 heads) </v>
          </cell>
          <cell r="K2217">
            <v>1</v>
          </cell>
          <cell r="R2217" t="str">
            <v>No</v>
          </cell>
          <cell r="S2217" t="str">
            <v>C49</v>
          </cell>
          <cell r="T2217" t="str">
            <v>SOUTH</v>
          </cell>
          <cell r="U2217" t="str">
            <v>东莞</v>
          </cell>
          <cell r="V2217" t="str">
            <v>DG 东莞</v>
          </cell>
          <cell r="W2217" t="str">
            <v>JL</v>
          </cell>
          <cell r="X2217" t="str">
            <v>USD</v>
          </cell>
          <cell r="Y2217">
            <v>60000</v>
          </cell>
          <cell r="Z2217">
            <v>1</v>
          </cell>
          <cell r="AA2217">
            <v>60000</v>
          </cell>
          <cell r="AB2217">
            <v>7.8</v>
          </cell>
          <cell r="AC2217">
            <v>468000</v>
          </cell>
          <cell r="AD2217">
            <v>56160</v>
          </cell>
          <cell r="AE2217">
            <v>0.12</v>
          </cell>
          <cell r="AF2217">
            <v>45313</v>
          </cell>
          <cell r="AG2217" t="str">
            <v>CIF HK</v>
          </cell>
          <cell r="AK2217">
            <v>0.3</v>
          </cell>
          <cell r="AL2217">
            <v>18000</v>
          </cell>
          <cell r="AM2217">
            <v>45315</v>
          </cell>
          <cell r="AN2217" t="str">
            <v>Yes</v>
          </cell>
          <cell r="AO2217">
            <v>0.6</v>
          </cell>
          <cell r="AP2217">
            <v>36000</v>
          </cell>
          <cell r="AS2217">
            <v>0.05</v>
          </cell>
          <cell r="AT2217">
            <v>3000</v>
          </cell>
        </row>
        <row r="2218">
          <cell r="B2218">
            <v>2068</v>
          </cell>
          <cell r="C2218" t="str">
            <v>C49SZX20240009MZ</v>
          </cell>
          <cell r="D2218" t="str">
            <v>鸿楠</v>
          </cell>
          <cell r="E2218" t="str">
            <v>YSM20R-2</v>
          </cell>
          <cell r="I2218" t="str">
            <v>R-&gt;L</v>
          </cell>
          <cell r="J2218" t="str">
            <v>MVC</v>
          </cell>
          <cell r="K2218">
            <v>1</v>
          </cell>
          <cell r="R2218" t="str">
            <v>No</v>
          </cell>
          <cell r="S2218" t="str">
            <v>C49</v>
          </cell>
          <cell r="T2218" t="str">
            <v>SOUTH</v>
          </cell>
          <cell r="U2218" t="str">
            <v>东莞</v>
          </cell>
          <cell r="V2218" t="str">
            <v>DG 东莞</v>
          </cell>
          <cell r="W2218" t="str">
            <v>MZ</v>
          </cell>
          <cell r="X2218" t="str">
            <v>JPY</v>
          </cell>
          <cell r="Y2218">
            <v>12750000</v>
          </cell>
          <cell r="Z2218">
            <v>1</v>
          </cell>
          <cell r="AA2218">
            <v>12750000</v>
          </cell>
          <cell r="AB2218">
            <v>5.6099999999999997E-2</v>
          </cell>
          <cell r="AC2218">
            <v>715275</v>
          </cell>
          <cell r="AD2218">
            <v>85833</v>
          </cell>
          <cell r="AE2218">
            <v>0.12</v>
          </cell>
          <cell r="AF2218">
            <v>45313</v>
          </cell>
          <cell r="AG2218" t="str">
            <v>CIF HK</v>
          </cell>
          <cell r="AJ2218" t="str">
            <v>JPY21,598,733</v>
          </cell>
          <cell r="AK2218">
            <v>0.1</v>
          </cell>
          <cell r="AL2218">
            <v>1275000</v>
          </cell>
          <cell r="AM2218">
            <v>45320</v>
          </cell>
          <cell r="AN2218" t="str">
            <v>Yes</v>
          </cell>
          <cell r="AO2218">
            <v>0.9</v>
          </cell>
          <cell r="AP2218">
            <v>11475000</v>
          </cell>
          <cell r="AS2218">
            <v>0</v>
          </cell>
          <cell r="AT2218">
            <v>0</v>
          </cell>
        </row>
        <row r="2219">
          <cell r="B2219">
            <v>2069</v>
          </cell>
          <cell r="C2219" t="str">
            <v>C49SZX20240009MZ</v>
          </cell>
          <cell r="D2219" t="str">
            <v>鸿楠</v>
          </cell>
          <cell r="E2219" t="str">
            <v>YSM20R-2</v>
          </cell>
          <cell r="I2219" t="str">
            <v>R-&gt;L</v>
          </cell>
          <cell r="J2219" t="str">
            <v>No</v>
          </cell>
          <cell r="K2219">
            <v>1</v>
          </cell>
          <cell r="R2219" t="str">
            <v>No</v>
          </cell>
          <cell r="S2219" t="str">
            <v>C49</v>
          </cell>
          <cell r="T2219" t="str">
            <v>SOUTH</v>
          </cell>
          <cell r="U2219" t="str">
            <v>东莞</v>
          </cell>
          <cell r="V2219" t="str">
            <v>DG 东莞</v>
          </cell>
          <cell r="W2219" t="str">
            <v>MZ</v>
          </cell>
          <cell r="X2219" t="str">
            <v>JPY</v>
          </cell>
          <cell r="Y2219">
            <v>12750000</v>
          </cell>
          <cell r="Z2219">
            <v>1</v>
          </cell>
          <cell r="AA2219">
            <v>12750000</v>
          </cell>
          <cell r="AB2219">
            <v>5.6099999999999997E-2</v>
          </cell>
          <cell r="AC2219">
            <v>715275</v>
          </cell>
          <cell r="AD2219">
            <v>85833</v>
          </cell>
          <cell r="AE2219">
            <v>0.12</v>
          </cell>
          <cell r="AF2219">
            <v>45313</v>
          </cell>
          <cell r="AG2219" t="str">
            <v>CIF HK</v>
          </cell>
          <cell r="AJ2219"/>
          <cell r="AK2219">
            <v>0.1</v>
          </cell>
          <cell r="AL2219">
            <v>1275000</v>
          </cell>
          <cell r="AM2219">
            <v>45320</v>
          </cell>
          <cell r="AN2219" t="str">
            <v>Yes</v>
          </cell>
          <cell r="AO2219">
            <v>0.9</v>
          </cell>
          <cell r="AP2219">
            <v>11475000</v>
          </cell>
          <cell r="AS2219">
            <v>0</v>
          </cell>
          <cell r="AT2219">
            <v>0</v>
          </cell>
        </row>
        <row r="2220">
          <cell r="B2220">
            <v>2070</v>
          </cell>
          <cell r="C2220" t="str">
            <v>C49SZX20240009MZ</v>
          </cell>
          <cell r="D2220" t="str">
            <v>鸿楠</v>
          </cell>
          <cell r="E2220" t="str">
            <v>YSM10</v>
          </cell>
          <cell r="I2220" t="str">
            <v>R-&gt;L</v>
          </cell>
          <cell r="J2220" t="str">
            <v>MVC</v>
          </cell>
          <cell r="K2220">
            <v>1</v>
          </cell>
          <cell r="R2220" t="str">
            <v>No</v>
          </cell>
          <cell r="S2220" t="str">
            <v>C49</v>
          </cell>
          <cell r="T2220" t="str">
            <v>SOUTH</v>
          </cell>
          <cell r="U2220" t="str">
            <v>东莞</v>
          </cell>
          <cell r="V2220" t="str">
            <v>DG 东莞</v>
          </cell>
          <cell r="W2220" t="str">
            <v>MZ</v>
          </cell>
          <cell r="X2220" t="str">
            <v>JPY</v>
          </cell>
          <cell r="Y2220">
            <v>8000000</v>
          </cell>
          <cell r="Z2220">
            <v>1</v>
          </cell>
          <cell r="AA2220">
            <v>8000000</v>
          </cell>
          <cell r="AB2220">
            <v>5.6099999999999997E-2</v>
          </cell>
          <cell r="AC2220">
            <v>448800</v>
          </cell>
          <cell r="AD2220">
            <v>53856</v>
          </cell>
          <cell r="AE2220">
            <v>0.12</v>
          </cell>
          <cell r="AF2220">
            <v>45313</v>
          </cell>
          <cell r="AG2220" t="str">
            <v>CIF HK</v>
          </cell>
          <cell r="AJ2220"/>
          <cell r="AK2220">
            <v>0.1</v>
          </cell>
          <cell r="AL2220">
            <v>800000</v>
          </cell>
          <cell r="AM2220">
            <v>45320</v>
          </cell>
          <cell r="AN2220" t="str">
            <v>Yes</v>
          </cell>
          <cell r="AO2220">
            <v>0.9</v>
          </cell>
          <cell r="AP2220">
            <v>7200000</v>
          </cell>
          <cell r="AS2220">
            <v>0</v>
          </cell>
          <cell r="AT2220">
            <v>0</v>
          </cell>
        </row>
        <row r="2221">
          <cell r="B2221">
            <v>2071</v>
          </cell>
          <cell r="C2221" t="str">
            <v>C49SZX20240009MZ</v>
          </cell>
          <cell r="D2221" t="str">
            <v>鸿楠</v>
          </cell>
          <cell r="E2221" t="str">
            <v>YSM10</v>
          </cell>
          <cell r="I2221" t="str">
            <v>R-&gt;L</v>
          </cell>
          <cell r="J2221" t="str">
            <v>MVC</v>
          </cell>
          <cell r="K2221">
            <v>1</v>
          </cell>
          <cell r="R2221" t="str">
            <v>No</v>
          </cell>
          <cell r="S2221" t="str">
            <v>C49</v>
          </cell>
          <cell r="T2221" t="str">
            <v>SOUTH</v>
          </cell>
          <cell r="U2221" t="str">
            <v>东莞</v>
          </cell>
          <cell r="V2221" t="str">
            <v>DG 东莞</v>
          </cell>
          <cell r="W2221" t="str">
            <v>MZ</v>
          </cell>
          <cell r="X2221" t="str">
            <v>JPY</v>
          </cell>
          <cell r="Y2221">
            <v>8000000</v>
          </cell>
          <cell r="Z2221">
            <v>1</v>
          </cell>
          <cell r="AA2221">
            <v>8000000</v>
          </cell>
          <cell r="AB2221">
            <v>5.6099999999999997E-2</v>
          </cell>
          <cell r="AC2221">
            <v>448800</v>
          </cell>
          <cell r="AD2221">
            <v>53856</v>
          </cell>
          <cell r="AE2221">
            <v>0.12</v>
          </cell>
          <cell r="AF2221">
            <v>45313</v>
          </cell>
          <cell r="AG2221" t="str">
            <v>CIF HK</v>
          </cell>
          <cell r="AJ2221"/>
          <cell r="AK2221">
            <v>0.1</v>
          </cell>
          <cell r="AL2221">
            <v>800000</v>
          </cell>
          <cell r="AM2221">
            <v>45320</v>
          </cell>
          <cell r="AN2221" t="str">
            <v>Yes</v>
          </cell>
          <cell r="AO2221">
            <v>0.9</v>
          </cell>
          <cell r="AP2221">
            <v>7200000</v>
          </cell>
          <cell r="AS2221">
            <v>0</v>
          </cell>
          <cell r="AT2221">
            <v>0</v>
          </cell>
        </row>
        <row r="2222">
          <cell r="B2222">
            <v>2072</v>
          </cell>
          <cell r="C2222" t="str">
            <v>C49SZX20240009MZ</v>
          </cell>
          <cell r="D2222" t="str">
            <v>鸿楠</v>
          </cell>
          <cell r="E2222" t="str">
            <v>YSM10</v>
          </cell>
          <cell r="I2222" t="str">
            <v>R-&gt;L</v>
          </cell>
          <cell r="J2222" t="str">
            <v>MVC</v>
          </cell>
          <cell r="K2222">
            <v>1</v>
          </cell>
          <cell r="R2222" t="str">
            <v>No</v>
          </cell>
          <cell r="S2222" t="str">
            <v>C49</v>
          </cell>
          <cell r="T2222" t="str">
            <v>SOUTH</v>
          </cell>
          <cell r="U2222" t="str">
            <v>东莞</v>
          </cell>
          <cell r="V2222" t="str">
            <v>DG 东莞</v>
          </cell>
          <cell r="W2222" t="str">
            <v>MZ</v>
          </cell>
          <cell r="X2222" t="str">
            <v>JPY</v>
          </cell>
          <cell r="Y2222">
            <v>8000000</v>
          </cell>
          <cell r="Z2222">
            <v>1</v>
          </cell>
          <cell r="AA2222">
            <v>8000000</v>
          </cell>
          <cell r="AB2222">
            <v>5.6099999999999997E-2</v>
          </cell>
          <cell r="AC2222">
            <v>448800</v>
          </cell>
          <cell r="AD2222">
            <v>53856</v>
          </cell>
          <cell r="AE2222">
            <v>0.12</v>
          </cell>
          <cell r="AF2222">
            <v>45313</v>
          </cell>
          <cell r="AG2222" t="str">
            <v>CIF HK</v>
          </cell>
          <cell r="AJ2222"/>
          <cell r="AK2222">
            <v>0.1</v>
          </cell>
          <cell r="AL2222">
            <v>800000</v>
          </cell>
          <cell r="AM2222">
            <v>45320</v>
          </cell>
          <cell r="AN2222" t="str">
            <v>Yes</v>
          </cell>
          <cell r="AO2222">
            <v>0.9</v>
          </cell>
          <cell r="AP2222">
            <v>7200000</v>
          </cell>
          <cell r="AS2222">
            <v>0</v>
          </cell>
          <cell r="AT2222">
            <v>0</v>
          </cell>
        </row>
        <row r="2223">
          <cell r="B2223">
            <v>2073</v>
          </cell>
          <cell r="C2223" t="str">
            <v>C49SZX20240010MZ</v>
          </cell>
          <cell r="D2223" t="str">
            <v>鸿楠</v>
          </cell>
          <cell r="E2223" t="str">
            <v>YSM20R-2</v>
          </cell>
          <cell r="I2223" t="str">
            <v>R-&gt;L</v>
          </cell>
          <cell r="J2223" t="str">
            <v>No</v>
          </cell>
          <cell r="K2223">
            <v>1</v>
          </cell>
          <cell r="R2223" t="str">
            <v>No</v>
          </cell>
          <cell r="S2223" t="str">
            <v>C49</v>
          </cell>
          <cell r="T2223" t="str">
            <v>SOUTH</v>
          </cell>
          <cell r="U2223" t="str">
            <v>东莞</v>
          </cell>
          <cell r="V2223" t="str">
            <v>DG 东莞</v>
          </cell>
          <cell r="W2223" t="str">
            <v>MZ</v>
          </cell>
          <cell r="X2223" t="str">
            <v>JPY</v>
          </cell>
          <cell r="Y2223">
            <v>12700000</v>
          </cell>
          <cell r="Z2223">
            <v>1</v>
          </cell>
          <cell r="AA2223">
            <v>12700000</v>
          </cell>
          <cell r="AB2223">
            <v>5.6099999999999997E-2</v>
          </cell>
          <cell r="AC2223">
            <v>712470</v>
          </cell>
          <cell r="AD2223">
            <v>85496.4</v>
          </cell>
          <cell r="AE2223">
            <v>0.12</v>
          </cell>
          <cell r="AF2223">
            <v>45313</v>
          </cell>
          <cell r="AG2223" t="str">
            <v>CIF HK</v>
          </cell>
          <cell r="AK2223">
            <v>0.1</v>
          </cell>
          <cell r="AL2223">
            <v>1270000</v>
          </cell>
          <cell r="AN2223" t="str">
            <v>No</v>
          </cell>
          <cell r="AO2223">
            <v>0.9</v>
          </cell>
          <cell r="AP2223">
            <v>11430000</v>
          </cell>
          <cell r="AS2223">
            <v>0</v>
          </cell>
          <cell r="AT2223">
            <v>0</v>
          </cell>
        </row>
        <row r="2224">
          <cell r="B2224">
            <v>2074</v>
          </cell>
          <cell r="C2224" t="str">
            <v>C49SZX20240010MZ</v>
          </cell>
          <cell r="D2224" t="str">
            <v>鸿楠</v>
          </cell>
          <cell r="E2224" t="str">
            <v>YSM20R-2</v>
          </cell>
          <cell r="I2224" t="str">
            <v>R-&gt;L</v>
          </cell>
          <cell r="J2224" t="str">
            <v>No</v>
          </cell>
          <cell r="K2224">
            <v>1</v>
          </cell>
          <cell r="R2224" t="str">
            <v>No</v>
          </cell>
          <cell r="S2224" t="str">
            <v>C49</v>
          </cell>
          <cell r="T2224" t="str">
            <v>SOUTH</v>
          </cell>
          <cell r="U2224" t="str">
            <v>东莞</v>
          </cell>
          <cell r="V2224" t="str">
            <v>DG 东莞</v>
          </cell>
          <cell r="W2224" t="str">
            <v>MZ</v>
          </cell>
          <cell r="X2224" t="str">
            <v>JPY</v>
          </cell>
          <cell r="Y2224">
            <v>12700000</v>
          </cell>
          <cell r="Z2224">
            <v>1</v>
          </cell>
          <cell r="AA2224">
            <v>12700000</v>
          </cell>
          <cell r="AB2224">
            <v>5.6099999999999997E-2</v>
          </cell>
          <cell r="AC2224">
            <v>712470</v>
          </cell>
          <cell r="AD2224">
            <v>85496.4</v>
          </cell>
          <cell r="AE2224">
            <v>0.12</v>
          </cell>
          <cell r="AF2224">
            <v>45313</v>
          </cell>
          <cell r="AG2224" t="str">
            <v>CIF HK</v>
          </cell>
          <cell r="AK2224">
            <v>0.1</v>
          </cell>
          <cell r="AL2224">
            <v>1270000</v>
          </cell>
          <cell r="AN2224" t="str">
            <v>No</v>
          </cell>
          <cell r="AO2224">
            <v>0.9</v>
          </cell>
          <cell r="AP2224">
            <v>11430000</v>
          </cell>
          <cell r="AS2224">
            <v>0</v>
          </cell>
          <cell r="AT2224">
            <v>0</v>
          </cell>
        </row>
        <row r="2225">
          <cell r="B2225">
            <v>2075</v>
          </cell>
          <cell r="C2225" t="str">
            <v>C49SZX20240010MZ</v>
          </cell>
          <cell r="D2225" t="str">
            <v>鸿楠</v>
          </cell>
          <cell r="E2225" t="str">
            <v>YSM10</v>
          </cell>
          <cell r="I2225" t="str">
            <v>R-&gt;L</v>
          </cell>
          <cell r="J2225" t="str">
            <v>MVC</v>
          </cell>
          <cell r="K2225">
            <v>1</v>
          </cell>
          <cell r="R2225" t="str">
            <v>No</v>
          </cell>
          <cell r="S2225" t="str">
            <v>C49</v>
          </cell>
          <cell r="T2225" t="str">
            <v>SOUTH</v>
          </cell>
          <cell r="U2225" t="str">
            <v>东莞</v>
          </cell>
          <cell r="V2225" t="str">
            <v>DG 东莞</v>
          </cell>
          <cell r="W2225" t="str">
            <v>MZ</v>
          </cell>
          <cell r="X2225" t="str">
            <v>JPY</v>
          </cell>
          <cell r="Y2225">
            <v>8000000</v>
          </cell>
          <cell r="Z2225">
            <v>1</v>
          </cell>
          <cell r="AA2225">
            <v>8000000</v>
          </cell>
          <cell r="AB2225">
            <v>5.6099999999999997E-2</v>
          </cell>
          <cell r="AC2225">
            <v>448800</v>
          </cell>
          <cell r="AD2225">
            <v>53856</v>
          </cell>
          <cell r="AE2225">
            <v>0.12</v>
          </cell>
          <cell r="AF2225">
            <v>45313</v>
          </cell>
          <cell r="AG2225" t="str">
            <v>CIF HK</v>
          </cell>
          <cell r="AK2225">
            <v>0.1</v>
          </cell>
          <cell r="AL2225">
            <v>800000</v>
          </cell>
          <cell r="AN2225" t="str">
            <v>No</v>
          </cell>
          <cell r="AO2225">
            <v>0.9</v>
          </cell>
          <cell r="AP2225">
            <v>7200000</v>
          </cell>
          <cell r="AS2225">
            <v>0</v>
          </cell>
          <cell r="AT2225">
            <v>0</v>
          </cell>
        </row>
        <row r="2226">
          <cell r="B2226">
            <v>2076</v>
          </cell>
          <cell r="C2226" t="str">
            <v>C49SZX20240010MZ</v>
          </cell>
          <cell r="D2226" t="str">
            <v>鸿楠</v>
          </cell>
          <cell r="E2226" t="str">
            <v>YSM10</v>
          </cell>
          <cell r="I2226" t="str">
            <v>R-&gt;L</v>
          </cell>
          <cell r="J2226" t="str">
            <v>MVC</v>
          </cell>
          <cell r="K2226">
            <v>1</v>
          </cell>
          <cell r="R2226" t="str">
            <v>No</v>
          </cell>
          <cell r="S2226" t="str">
            <v>C49</v>
          </cell>
          <cell r="T2226" t="str">
            <v>SOUTH</v>
          </cell>
          <cell r="U2226" t="str">
            <v>东莞</v>
          </cell>
          <cell r="V2226" t="str">
            <v>DG 东莞</v>
          </cell>
          <cell r="W2226" t="str">
            <v>MZ</v>
          </cell>
          <cell r="X2226" t="str">
            <v>JPY</v>
          </cell>
          <cell r="Y2226">
            <v>8000000</v>
          </cell>
          <cell r="Z2226">
            <v>1</v>
          </cell>
          <cell r="AA2226">
            <v>8000000</v>
          </cell>
          <cell r="AB2226">
            <v>5.6099999999999997E-2</v>
          </cell>
          <cell r="AC2226">
            <v>448800</v>
          </cell>
          <cell r="AD2226">
            <v>53856</v>
          </cell>
          <cell r="AE2226">
            <v>0.12</v>
          </cell>
          <cell r="AF2226">
            <v>45313</v>
          </cell>
          <cell r="AG2226" t="str">
            <v>CIF HK</v>
          </cell>
          <cell r="AK2226">
            <v>0.1</v>
          </cell>
          <cell r="AL2226">
            <v>800000</v>
          </cell>
          <cell r="AN2226" t="str">
            <v>No</v>
          </cell>
          <cell r="AO2226">
            <v>0.9</v>
          </cell>
          <cell r="AP2226">
            <v>7200000</v>
          </cell>
          <cell r="AS2226">
            <v>0</v>
          </cell>
          <cell r="AT2226">
            <v>0</v>
          </cell>
        </row>
        <row r="2227">
          <cell r="B2227">
            <v>2077</v>
          </cell>
          <cell r="C2227" t="str">
            <v>C28SZX20240011MZ</v>
          </cell>
          <cell r="D2227" t="str">
            <v>鸿楠</v>
          </cell>
          <cell r="E2227" t="str">
            <v>YSi-V</v>
          </cell>
          <cell r="I2227" t="str">
            <v>R-&gt;L</v>
          </cell>
          <cell r="J2227" t="str">
            <v>No</v>
          </cell>
          <cell r="K2227">
            <v>1</v>
          </cell>
          <cell r="R2227" t="str">
            <v>No</v>
          </cell>
          <cell r="S2227" t="str">
            <v>C28</v>
          </cell>
          <cell r="T2227" t="str">
            <v>SOUTH</v>
          </cell>
          <cell r="U2227" t="str">
            <v>东莞</v>
          </cell>
          <cell r="V2227" t="str">
            <v>DG 东莞</v>
          </cell>
          <cell r="W2227" t="str">
            <v>MZ</v>
          </cell>
          <cell r="X2227" t="str">
            <v>JPY</v>
          </cell>
          <cell r="Y2227">
            <v>8500000</v>
          </cell>
          <cell r="Z2227">
            <v>1</v>
          </cell>
          <cell r="AA2227">
            <v>8500000</v>
          </cell>
          <cell r="AB2227">
            <v>5.6099999999999997E-2</v>
          </cell>
          <cell r="AC2227">
            <v>476850</v>
          </cell>
          <cell r="AD2227">
            <v>57222</v>
          </cell>
          <cell r="AE2227">
            <v>0.12</v>
          </cell>
          <cell r="AF2227">
            <v>45313</v>
          </cell>
          <cell r="AG2227" t="str">
            <v>CIF HK</v>
          </cell>
          <cell r="AK2227">
            <v>0.1</v>
          </cell>
          <cell r="AL2227">
            <v>850000</v>
          </cell>
          <cell r="AM2227">
            <v>45320</v>
          </cell>
          <cell r="AN2227" t="str">
            <v>Yes</v>
          </cell>
          <cell r="AO2227">
            <v>0.9</v>
          </cell>
          <cell r="AP2227">
            <v>7650000</v>
          </cell>
          <cell r="AS2227">
            <v>0</v>
          </cell>
          <cell r="AT2227">
            <v>0</v>
          </cell>
        </row>
        <row r="2228">
          <cell r="B2228">
            <v>2078</v>
          </cell>
          <cell r="C2228" t="str">
            <v>C28SZX20240012MZ</v>
          </cell>
          <cell r="D2228" t="str">
            <v>鸿楠</v>
          </cell>
          <cell r="E2228" t="str">
            <v>YSi-V</v>
          </cell>
          <cell r="I2228" t="str">
            <v>R-&gt;L</v>
          </cell>
          <cell r="J2228" t="str">
            <v>No</v>
          </cell>
          <cell r="K2228">
            <v>1</v>
          </cell>
          <cell r="R2228" t="str">
            <v>No</v>
          </cell>
          <cell r="S2228" t="str">
            <v>C28</v>
          </cell>
          <cell r="T2228" t="str">
            <v>SOUTH</v>
          </cell>
          <cell r="U2228" t="str">
            <v>东莞</v>
          </cell>
          <cell r="V2228" t="str">
            <v>DG 东莞</v>
          </cell>
          <cell r="W2228" t="str">
            <v>MZ</v>
          </cell>
          <cell r="X2228" t="str">
            <v>JPY</v>
          </cell>
          <cell r="Y2228">
            <v>8500000</v>
          </cell>
          <cell r="Z2228">
            <v>1</v>
          </cell>
          <cell r="AA2228">
            <v>8500000</v>
          </cell>
          <cell r="AB2228">
            <v>5.6099999999999997E-2</v>
          </cell>
          <cell r="AC2228">
            <v>476850</v>
          </cell>
          <cell r="AD2228">
            <v>57222</v>
          </cell>
          <cell r="AE2228">
            <v>0.12</v>
          </cell>
          <cell r="AF2228">
            <v>45313</v>
          </cell>
          <cell r="AG2228" t="str">
            <v>CIF HK</v>
          </cell>
          <cell r="AK2228">
            <v>0.1</v>
          </cell>
          <cell r="AL2228">
            <v>850000</v>
          </cell>
          <cell r="AN2228" t="str">
            <v>No</v>
          </cell>
          <cell r="AO2228">
            <v>0.9</v>
          </cell>
          <cell r="AP2228">
            <v>7650000</v>
          </cell>
          <cell r="AS2228">
            <v>0</v>
          </cell>
          <cell r="AT2228">
            <v>0</v>
          </cell>
        </row>
        <row r="2229">
          <cell r="B2229">
            <v>2079</v>
          </cell>
          <cell r="C2229" t="str">
            <v>C49SZX20240015DX</v>
          </cell>
          <cell r="D2229" t="str">
            <v>盟思拓</v>
          </cell>
          <cell r="E2229" t="str">
            <v>YSM40R-4</v>
          </cell>
          <cell r="I2229" t="str">
            <v>L-&gt;R</v>
          </cell>
          <cell r="J2229" t="str">
            <v>No</v>
          </cell>
          <cell r="K2229">
            <v>1</v>
          </cell>
          <cell r="N2229">
            <v>45348</v>
          </cell>
          <cell r="O2229">
            <v>11100669</v>
          </cell>
          <cell r="P2229">
            <v>970000</v>
          </cell>
          <cell r="Q2229">
            <v>45349</v>
          </cell>
          <cell r="R2229" t="str">
            <v>Yes</v>
          </cell>
          <cell r="S2229" t="str">
            <v>C49</v>
          </cell>
          <cell r="T2229" t="str">
            <v>SOUTH</v>
          </cell>
          <cell r="U2229" t="str">
            <v>深圳</v>
          </cell>
          <cell r="V2229" t="str">
            <v>SZ 深圳</v>
          </cell>
          <cell r="W2229" t="str">
            <v>DX</v>
          </cell>
          <cell r="X2229" t="str">
            <v>RMB</v>
          </cell>
          <cell r="Y2229">
            <v>970000</v>
          </cell>
          <cell r="Z2229">
            <v>1.1299999999999999</v>
          </cell>
          <cell r="AA2229">
            <v>970000</v>
          </cell>
          <cell r="AB2229">
            <v>1.0920000000000001</v>
          </cell>
          <cell r="AC2229">
            <v>937380.53097345144</v>
          </cell>
          <cell r="AD2229">
            <v>112485.66371681418</v>
          </cell>
          <cell r="AE2229">
            <v>0.12</v>
          </cell>
          <cell r="AF2229">
            <v>45316</v>
          </cell>
          <cell r="AG2229" t="str">
            <v>DDP SZ</v>
          </cell>
          <cell r="AK2229">
            <v>0.1</v>
          </cell>
          <cell r="AL2229">
            <v>97000</v>
          </cell>
          <cell r="AM2229">
            <v>45317</v>
          </cell>
          <cell r="AN2229" t="str">
            <v>Yes</v>
          </cell>
          <cell r="AO2229">
            <v>0.9</v>
          </cell>
          <cell r="AP2229">
            <v>873000</v>
          </cell>
          <cell r="AQ2229">
            <v>45343</v>
          </cell>
          <cell r="AR2229">
            <v>45343</v>
          </cell>
          <cell r="AS2229">
            <v>0</v>
          </cell>
          <cell r="AT2229">
            <v>0</v>
          </cell>
          <cell r="AX2229" t="str">
            <v>Yes</v>
          </cell>
        </row>
        <row r="2230">
          <cell r="B2230">
            <v>2080</v>
          </cell>
          <cell r="C2230" t="str">
            <v>C49SZX20240015DX</v>
          </cell>
          <cell r="D2230" t="str">
            <v>盟思拓</v>
          </cell>
          <cell r="E2230" t="str">
            <v>YSM40R-4</v>
          </cell>
          <cell r="I2230" t="str">
            <v>L-&gt;R</v>
          </cell>
          <cell r="J2230" t="str">
            <v>No</v>
          </cell>
          <cell r="K2230">
            <v>1</v>
          </cell>
          <cell r="N2230">
            <v>45348</v>
          </cell>
          <cell r="O2230">
            <v>11100669</v>
          </cell>
          <cell r="P2230">
            <v>970000</v>
          </cell>
          <cell r="Q2230">
            <v>45349</v>
          </cell>
          <cell r="R2230" t="str">
            <v>Yes</v>
          </cell>
          <cell r="S2230" t="str">
            <v>C49</v>
          </cell>
          <cell r="T2230" t="str">
            <v>SOUTH</v>
          </cell>
          <cell r="U2230" t="str">
            <v>深圳</v>
          </cell>
          <cell r="V2230" t="str">
            <v>SZ 深圳</v>
          </cell>
          <cell r="W2230" t="str">
            <v>DX</v>
          </cell>
          <cell r="X2230" t="str">
            <v>RMB</v>
          </cell>
          <cell r="Y2230">
            <v>970000</v>
          </cell>
          <cell r="Z2230">
            <v>1.1299999999999999</v>
          </cell>
          <cell r="AA2230">
            <v>970000</v>
          </cell>
          <cell r="AB2230">
            <v>1.0920000000000001</v>
          </cell>
          <cell r="AC2230">
            <v>937380.53097345144</v>
          </cell>
          <cell r="AD2230">
            <v>112485.66371681418</v>
          </cell>
          <cell r="AE2230">
            <v>0.12</v>
          </cell>
          <cell r="AF2230">
            <v>45316</v>
          </cell>
          <cell r="AG2230" t="str">
            <v>DDP SZ</v>
          </cell>
          <cell r="AK2230">
            <v>0.1</v>
          </cell>
          <cell r="AL2230">
            <v>97000</v>
          </cell>
          <cell r="AM2230">
            <v>45317</v>
          </cell>
          <cell r="AN2230" t="str">
            <v>Yes</v>
          </cell>
          <cell r="AO2230">
            <v>0.9</v>
          </cell>
          <cell r="AP2230">
            <v>873000</v>
          </cell>
          <cell r="AQ2230">
            <v>45343</v>
          </cell>
          <cell r="AR2230">
            <v>45343</v>
          </cell>
          <cell r="AS2230">
            <v>0</v>
          </cell>
          <cell r="AT2230">
            <v>0</v>
          </cell>
          <cell r="AX2230" t="str">
            <v>Yes</v>
          </cell>
        </row>
        <row r="2231">
          <cell r="B2231">
            <v>2081</v>
          </cell>
          <cell r="C2231" t="str">
            <v>C49SZX20240018DZ</v>
          </cell>
          <cell r="D2231" t="str">
            <v>斯迈</v>
          </cell>
          <cell r="E2231" t="str">
            <v>YSM20R-2</v>
          </cell>
          <cell r="I2231" t="str">
            <v>L-&gt;R</v>
          </cell>
          <cell r="J2231" t="str">
            <v>No</v>
          </cell>
          <cell r="K2231">
            <v>1</v>
          </cell>
          <cell r="N2231">
            <v>45323</v>
          </cell>
          <cell r="O2231">
            <v>11116876</v>
          </cell>
          <cell r="P2231">
            <v>12397500</v>
          </cell>
          <cell r="Q2231">
            <v>45321</v>
          </cell>
          <cell r="R2231" t="str">
            <v>No</v>
          </cell>
          <cell r="S2231" t="str">
            <v>C49</v>
          </cell>
          <cell r="T2231" t="str">
            <v>SOUTH</v>
          </cell>
          <cell r="U2231" t="str">
            <v>广州</v>
          </cell>
          <cell r="V2231" t="str">
            <v>GZ 广州</v>
          </cell>
          <cell r="W2231" t="str">
            <v>DZ</v>
          </cell>
          <cell r="X2231" t="str">
            <v>JPY</v>
          </cell>
          <cell r="Y2231">
            <v>12397500</v>
          </cell>
          <cell r="Z2231">
            <v>1</v>
          </cell>
          <cell r="AA2231">
            <v>12397500</v>
          </cell>
          <cell r="AB2231">
            <v>5.6099999999999997E-2</v>
          </cell>
          <cell r="AC2231">
            <v>695499.75</v>
          </cell>
          <cell r="AD2231">
            <v>83459.97</v>
          </cell>
          <cell r="AE2231">
            <v>0.12</v>
          </cell>
          <cell r="AF2231">
            <v>45316</v>
          </cell>
          <cell r="AG2231" t="str">
            <v>DAP GZ</v>
          </cell>
          <cell r="AK2231">
            <v>1</v>
          </cell>
          <cell r="AL2231">
            <v>12397500</v>
          </cell>
          <cell r="AM2231">
            <v>45321</v>
          </cell>
          <cell r="AN2231" t="str">
            <v>Yes</v>
          </cell>
          <cell r="AO2231">
            <v>0</v>
          </cell>
          <cell r="AP2231">
            <v>0</v>
          </cell>
          <cell r="AS2231">
            <v>0</v>
          </cell>
          <cell r="AT2231">
            <v>0</v>
          </cell>
          <cell r="AX2231" t="str">
            <v>Yes</v>
          </cell>
          <cell r="AZ2231" t="str">
            <v>Y</v>
          </cell>
          <cell r="BA2231" t="str">
            <v>Yes</v>
          </cell>
        </row>
        <row r="2232">
          <cell r="B2232">
            <v>2082</v>
          </cell>
          <cell r="C2232" t="str">
            <v>C49SZX20240018DZ</v>
          </cell>
          <cell r="D2232" t="str">
            <v>斯迈</v>
          </cell>
          <cell r="E2232" t="str">
            <v>YSM20R-2</v>
          </cell>
          <cell r="I2232" t="str">
            <v>L-&gt;R</v>
          </cell>
          <cell r="J2232" t="str">
            <v>No</v>
          </cell>
          <cell r="K2232">
            <v>1</v>
          </cell>
          <cell r="N2232">
            <v>45323</v>
          </cell>
          <cell r="O2232">
            <v>11116876</v>
          </cell>
          <cell r="P2232">
            <v>12397500</v>
          </cell>
          <cell r="Q2232">
            <v>45321</v>
          </cell>
          <cell r="R2232" t="str">
            <v>No</v>
          </cell>
          <cell r="S2232" t="str">
            <v>C49</v>
          </cell>
          <cell r="T2232" t="str">
            <v>SOUTH</v>
          </cell>
          <cell r="U2232" t="str">
            <v>广州</v>
          </cell>
          <cell r="V2232" t="str">
            <v>GZ 广州</v>
          </cell>
          <cell r="W2232" t="str">
            <v>DZ</v>
          </cell>
          <cell r="X2232" t="str">
            <v>JPY</v>
          </cell>
          <cell r="Y2232">
            <v>12397500</v>
          </cell>
          <cell r="Z2232">
            <v>1</v>
          </cell>
          <cell r="AA2232">
            <v>12397500</v>
          </cell>
          <cell r="AB2232">
            <v>5.6099999999999997E-2</v>
          </cell>
          <cell r="AC2232">
            <v>695499.75</v>
          </cell>
          <cell r="AD2232">
            <v>83459.97</v>
          </cell>
          <cell r="AE2232">
            <v>0.12</v>
          </cell>
          <cell r="AF2232">
            <v>45316</v>
          </cell>
          <cell r="AG2232" t="str">
            <v>DAP GZ</v>
          </cell>
          <cell r="AK2232">
            <v>1</v>
          </cell>
          <cell r="AL2232">
            <v>12397500</v>
          </cell>
          <cell r="AM2232">
            <v>45321</v>
          </cell>
          <cell r="AN2232" t="str">
            <v>Yes</v>
          </cell>
          <cell r="AO2232">
            <v>0</v>
          </cell>
          <cell r="AP2232">
            <v>0</v>
          </cell>
          <cell r="AS2232">
            <v>0</v>
          </cell>
          <cell r="AT2232">
            <v>0</v>
          </cell>
          <cell r="AX2232" t="str">
            <v>Yes</v>
          </cell>
          <cell r="AZ2232" t="str">
            <v>Y</v>
          </cell>
          <cell r="BA2232" t="str">
            <v>Yes</v>
          </cell>
        </row>
        <row r="2233">
          <cell r="B2233">
            <v>2083</v>
          </cell>
          <cell r="C2233" t="str">
            <v>C49SZX20240018DZ</v>
          </cell>
          <cell r="D2233" t="str">
            <v>斯迈</v>
          </cell>
          <cell r="E2233" t="str">
            <v>YSM20R-2</v>
          </cell>
          <cell r="I2233" t="str">
            <v>L-&gt;R</v>
          </cell>
          <cell r="J2233" t="str">
            <v>No</v>
          </cell>
          <cell r="K2233">
            <v>1</v>
          </cell>
          <cell r="N2233">
            <v>45323</v>
          </cell>
          <cell r="O2233">
            <v>11116876</v>
          </cell>
          <cell r="P2233">
            <v>12397500</v>
          </cell>
          <cell r="Q2233">
            <v>45321</v>
          </cell>
          <cell r="R2233" t="str">
            <v>No</v>
          </cell>
          <cell r="S2233" t="str">
            <v>C49</v>
          </cell>
          <cell r="T2233" t="str">
            <v>SOUTH</v>
          </cell>
          <cell r="U2233" t="str">
            <v>广州</v>
          </cell>
          <cell r="V2233" t="str">
            <v>GZ 广州</v>
          </cell>
          <cell r="W2233" t="str">
            <v>DZ</v>
          </cell>
          <cell r="X2233" t="str">
            <v>JPY</v>
          </cell>
          <cell r="Y2233">
            <v>12397500</v>
          </cell>
          <cell r="Z2233">
            <v>1</v>
          </cell>
          <cell r="AA2233">
            <v>12397500</v>
          </cell>
          <cell r="AB2233">
            <v>5.6099999999999997E-2</v>
          </cell>
          <cell r="AC2233">
            <v>695499.75</v>
          </cell>
          <cell r="AD2233">
            <v>83459.97</v>
          </cell>
          <cell r="AE2233">
            <v>0.12</v>
          </cell>
          <cell r="AF2233">
            <v>45316</v>
          </cell>
          <cell r="AG2233" t="str">
            <v>DAP GZ</v>
          </cell>
          <cell r="AK2233">
            <v>1</v>
          </cell>
          <cell r="AL2233">
            <v>12397500</v>
          </cell>
          <cell r="AM2233">
            <v>45321</v>
          </cell>
          <cell r="AN2233" t="str">
            <v>Yes</v>
          </cell>
          <cell r="AO2233">
            <v>0</v>
          </cell>
          <cell r="AP2233">
            <v>0</v>
          </cell>
          <cell r="AS2233">
            <v>0</v>
          </cell>
          <cell r="AT2233">
            <v>0</v>
          </cell>
          <cell r="AX2233" t="str">
            <v>Yes</v>
          </cell>
          <cell r="AZ2233" t="str">
            <v>Y</v>
          </cell>
          <cell r="BA2233" t="str">
            <v>Yes</v>
          </cell>
        </row>
        <row r="2234">
          <cell r="B2234">
            <v>2084</v>
          </cell>
          <cell r="C2234" t="str">
            <v>C49SZX20240018DZ</v>
          </cell>
          <cell r="D2234" t="str">
            <v>斯迈</v>
          </cell>
          <cell r="E2234" t="str">
            <v>YSM20R-2</v>
          </cell>
          <cell r="I2234" t="str">
            <v>L-&gt;R</v>
          </cell>
          <cell r="J2234" t="str">
            <v>No</v>
          </cell>
          <cell r="K2234">
            <v>1</v>
          </cell>
          <cell r="N2234">
            <v>45323</v>
          </cell>
          <cell r="O2234">
            <v>11116876</v>
          </cell>
          <cell r="P2234">
            <v>12397500</v>
          </cell>
          <cell r="Q2234">
            <v>45321</v>
          </cell>
          <cell r="R2234" t="str">
            <v>No</v>
          </cell>
          <cell r="S2234" t="str">
            <v>C49</v>
          </cell>
          <cell r="T2234" t="str">
            <v>SOUTH</v>
          </cell>
          <cell r="U2234" t="str">
            <v>广州</v>
          </cell>
          <cell r="V2234" t="str">
            <v>GZ 广州</v>
          </cell>
          <cell r="W2234" t="str">
            <v>DZ</v>
          </cell>
          <cell r="X2234" t="str">
            <v>JPY</v>
          </cell>
          <cell r="Y2234">
            <v>12397500</v>
          </cell>
          <cell r="Z2234">
            <v>1</v>
          </cell>
          <cell r="AA2234">
            <v>12397500</v>
          </cell>
          <cell r="AB2234">
            <v>5.6099999999999997E-2</v>
          </cell>
          <cell r="AC2234">
            <v>695499.75</v>
          </cell>
          <cell r="AD2234">
            <v>83459.97</v>
          </cell>
          <cell r="AE2234">
            <v>0.12</v>
          </cell>
          <cell r="AF2234">
            <v>45316</v>
          </cell>
          <cell r="AG2234" t="str">
            <v>DAP GZ</v>
          </cell>
          <cell r="AK2234">
            <v>1</v>
          </cell>
          <cell r="AL2234">
            <v>12397500</v>
          </cell>
          <cell r="AM2234">
            <v>45321</v>
          </cell>
          <cell r="AN2234" t="str">
            <v>Yes</v>
          </cell>
          <cell r="AO2234">
            <v>0</v>
          </cell>
          <cell r="AP2234">
            <v>0</v>
          </cell>
          <cell r="AS2234">
            <v>0</v>
          </cell>
          <cell r="AT2234">
            <v>0</v>
          </cell>
          <cell r="AX2234" t="str">
            <v>Yes</v>
          </cell>
          <cell r="AZ2234" t="str">
            <v>Y</v>
          </cell>
          <cell r="BA2234" t="str">
            <v>Yes</v>
          </cell>
        </row>
        <row r="2235">
          <cell r="B2235">
            <v>2085</v>
          </cell>
          <cell r="C2235" t="str">
            <v>C49SZX20240013SX</v>
          </cell>
          <cell r="D2235" t="str">
            <v>江西优控</v>
          </cell>
          <cell r="E2235" t="str">
            <v>YSM20R-2</v>
          </cell>
          <cell r="I2235" t="str">
            <v>L-&gt;R</v>
          </cell>
          <cell r="J2235" t="str">
            <v>No</v>
          </cell>
          <cell r="K2235">
            <v>1</v>
          </cell>
          <cell r="N2235">
            <v>45346</v>
          </cell>
          <cell r="O2235">
            <v>11116884</v>
          </cell>
          <cell r="P2235">
            <v>1200000</v>
          </cell>
          <cell r="Q2235">
            <v>45344</v>
          </cell>
          <cell r="R2235" t="str">
            <v>Yes</v>
          </cell>
          <cell r="S2235" t="str">
            <v>C49</v>
          </cell>
          <cell r="T2235" t="str">
            <v>SOUTH</v>
          </cell>
          <cell r="U2235" t="str">
            <v>江西</v>
          </cell>
          <cell r="V2235" t="str">
            <v>JX江西</v>
          </cell>
          <cell r="W2235" t="str">
            <v>SX</v>
          </cell>
          <cell r="X2235" t="str">
            <v>JPY</v>
          </cell>
          <cell r="Y2235">
            <v>12000000</v>
          </cell>
          <cell r="Z2235">
            <v>1</v>
          </cell>
          <cell r="AA2235">
            <v>12000000</v>
          </cell>
          <cell r="AB2235">
            <v>5.6099999999999997E-2</v>
          </cell>
          <cell r="AC2235">
            <v>673200</v>
          </cell>
          <cell r="AD2235">
            <v>80784</v>
          </cell>
          <cell r="AE2235">
            <v>0.12</v>
          </cell>
          <cell r="AF2235">
            <v>45314</v>
          </cell>
          <cell r="AG2235" t="str">
            <v>DAP JX</v>
          </cell>
          <cell r="AK2235">
            <v>0.1</v>
          </cell>
          <cell r="AL2235">
            <v>1200000</v>
          </cell>
          <cell r="AM2235">
            <v>45321</v>
          </cell>
          <cell r="AN2235" t="str">
            <v>Yes</v>
          </cell>
          <cell r="AO2235">
            <v>0.9</v>
          </cell>
          <cell r="AP2235">
            <v>10800000</v>
          </cell>
          <cell r="AQ2235">
            <v>44978</v>
          </cell>
          <cell r="AR2235">
            <v>44978</v>
          </cell>
          <cell r="AS2235">
            <v>0</v>
          </cell>
          <cell r="AT2235">
            <v>0</v>
          </cell>
          <cell r="AX2235" t="str">
            <v>Yes</v>
          </cell>
          <cell r="AZ2235" t="str">
            <v>Y</v>
          </cell>
          <cell r="BA2235" t="str">
            <v>Yes</v>
          </cell>
        </row>
        <row r="2236">
          <cell r="B2236">
            <v>2086</v>
          </cell>
          <cell r="C2236" t="str">
            <v>C49SZX20240013SX</v>
          </cell>
          <cell r="D2236" t="str">
            <v>江西优控</v>
          </cell>
          <cell r="E2236" t="str">
            <v>YSM10</v>
          </cell>
          <cell r="I2236" t="str">
            <v>L-&gt;R</v>
          </cell>
          <cell r="J2236" t="str">
            <v>MVC</v>
          </cell>
          <cell r="K2236">
            <v>1</v>
          </cell>
          <cell r="N2236">
            <v>45346</v>
          </cell>
          <cell r="O2236">
            <v>11116884</v>
          </cell>
          <cell r="P2236">
            <v>7686000</v>
          </cell>
          <cell r="Q2236">
            <v>45344</v>
          </cell>
          <cell r="R2236" t="str">
            <v>Yes</v>
          </cell>
          <cell r="S2236" t="str">
            <v>C49</v>
          </cell>
          <cell r="T2236" t="str">
            <v>SOUTH</v>
          </cell>
          <cell r="U2236" t="str">
            <v>江西</v>
          </cell>
          <cell r="V2236" t="str">
            <v>JX江西</v>
          </cell>
          <cell r="W2236" t="str">
            <v>SX</v>
          </cell>
          <cell r="X2236" t="str">
            <v>JPY</v>
          </cell>
          <cell r="Y2236">
            <v>7686000</v>
          </cell>
          <cell r="Z2236">
            <v>1</v>
          </cell>
          <cell r="AA2236">
            <v>7686000</v>
          </cell>
          <cell r="AB2236">
            <v>5.6099999999999997E-2</v>
          </cell>
          <cell r="AC2236">
            <v>431184.6</v>
          </cell>
          <cell r="AD2236">
            <v>51742.151999999995</v>
          </cell>
          <cell r="AE2236">
            <v>0.12</v>
          </cell>
          <cell r="AF2236">
            <v>45314</v>
          </cell>
          <cell r="AG2236" t="str">
            <v>DAP JX</v>
          </cell>
          <cell r="AK2236">
            <v>0.1</v>
          </cell>
          <cell r="AL2236">
            <v>768600</v>
          </cell>
          <cell r="AM2236">
            <v>45321</v>
          </cell>
          <cell r="AN2236" t="str">
            <v>Yes</v>
          </cell>
          <cell r="AO2236">
            <v>0.9</v>
          </cell>
          <cell r="AP2236">
            <v>6917400</v>
          </cell>
          <cell r="AQ2236">
            <v>44978</v>
          </cell>
          <cell r="AR2236">
            <v>44978</v>
          </cell>
          <cell r="AS2236">
            <v>0</v>
          </cell>
          <cell r="AT2236">
            <v>0</v>
          </cell>
          <cell r="AX2236" t="str">
            <v>Yes</v>
          </cell>
          <cell r="AZ2236" t="str">
            <v>Y</v>
          </cell>
          <cell r="BA2236" t="str">
            <v>Yes</v>
          </cell>
        </row>
        <row r="2237">
          <cell r="B2237">
            <v>2087</v>
          </cell>
          <cell r="C2237" t="str">
            <v>C49SZX20240030SX</v>
          </cell>
          <cell r="D2237" t="str">
            <v>广基达</v>
          </cell>
          <cell r="E2237" t="str">
            <v>YSM20R-2</v>
          </cell>
          <cell r="I2237" t="str">
            <v>L-&gt;R</v>
          </cell>
          <cell r="J2237" t="str">
            <v>No</v>
          </cell>
          <cell r="K2237">
            <v>1</v>
          </cell>
          <cell r="R2237" t="str">
            <v>Yes</v>
          </cell>
          <cell r="S2237" t="str">
            <v>C49</v>
          </cell>
          <cell r="T2237" t="str">
            <v>SOUTH</v>
          </cell>
          <cell r="U2237" t="str">
            <v>深圳</v>
          </cell>
          <cell r="V2237" t="str">
            <v>Vietnam</v>
          </cell>
          <cell r="W2237" t="str">
            <v>SX</v>
          </cell>
          <cell r="X2237" t="str">
            <v>USD</v>
          </cell>
          <cell r="Y2237">
            <v>100000</v>
          </cell>
          <cell r="Z2237">
            <v>1</v>
          </cell>
          <cell r="AA2237">
            <v>100000</v>
          </cell>
          <cell r="AB2237">
            <v>7.8</v>
          </cell>
          <cell r="AC2237">
            <v>780000</v>
          </cell>
          <cell r="AD2237">
            <v>93600</v>
          </cell>
          <cell r="AE2237">
            <v>0.12</v>
          </cell>
          <cell r="AF2237">
            <v>45317</v>
          </cell>
          <cell r="AG2237" t="str">
            <v>CIF Vietnam</v>
          </cell>
          <cell r="AK2237">
            <v>0.1</v>
          </cell>
          <cell r="AL2237">
            <v>10000</v>
          </cell>
          <cell r="AM2237">
            <v>45350</v>
          </cell>
          <cell r="AN2237" t="str">
            <v>Yes</v>
          </cell>
          <cell r="AO2237">
            <v>0.9</v>
          </cell>
          <cell r="AP2237">
            <v>90000</v>
          </cell>
          <cell r="AS2237">
            <v>0</v>
          </cell>
          <cell r="AT2237">
            <v>0</v>
          </cell>
        </row>
        <row r="2238">
          <cell r="B2238">
            <v>2088</v>
          </cell>
          <cell r="C2238" t="str">
            <v>C49SZX20240030SX</v>
          </cell>
          <cell r="D2238" t="str">
            <v>广基达</v>
          </cell>
          <cell r="E2238" t="str">
            <v>YSM10</v>
          </cell>
          <cell r="I2238" t="str">
            <v>L-&gt;R</v>
          </cell>
          <cell r="J2238" t="str">
            <v>MVC+ATS15</v>
          </cell>
          <cell r="K2238">
            <v>1</v>
          </cell>
          <cell r="R2238" t="str">
            <v>Yes</v>
          </cell>
          <cell r="S2238" t="str">
            <v>C49</v>
          </cell>
          <cell r="T2238" t="str">
            <v>SOUTH</v>
          </cell>
          <cell r="U2238" t="str">
            <v>深圳</v>
          </cell>
          <cell r="V2238" t="str">
            <v>Vietnam</v>
          </cell>
          <cell r="W2238" t="str">
            <v>SX</v>
          </cell>
          <cell r="X2238" t="str">
            <v>USD</v>
          </cell>
          <cell r="Y2238">
            <v>88000</v>
          </cell>
          <cell r="Z2238">
            <v>1</v>
          </cell>
          <cell r="AA2238">
            <v>88000</v>
          </cell>
          <cell r="AB2238">
            <v>7.8</v>
          </cell>
          <cell r="AC2238">
            <v>686400</v>
          </cell>
          <cell r="AD2238">
            <v>82368</v>
          </cell>
          <cell r="AE2238">
            <v>0.12</v>
          </cell>
          <cell r="AF2238">
            <v>45317</v>
          </cell>
          <cell r="AG2238" t="str">
            <v>CIF Vietnam</v>
          </cell>
          <cell r="AK2238">
            <v>0.1</v>
          </cell>
          <cell r="AL2238">
            <v>8800</v>
          </cell>
          <cell r="AM2238">
            <v>45350</v>
          </cell>
          <cell r="AN2238" t="str">
            <v>Yes</v>
          </cell>
          <cell r="AO2238">
            <v>0.9</v>
          </cell>
          <cell r="AP2238">
            <v>79200</v>
          </cell>
          <cell r="AS2238">
            <v>0</v>
          </cell>
          <cell r="AT2238">
            <v>0</v>
          </cell>
        </row>
        <row r="2239">
          <cell r="B2239">
            <v>2089</v>
          </cell>
          <cell r="C2239" t="str">
            <v>C49SZX20240022SS/ZC20240119106</v>
          </cell>
          <cell r="D2239" t="str">
            <v>创舰</v>
          </cell>
          <cell r="E2239" t="str">
            <v>YSM10</v>
          </cell>
          <cell r="I2239" t="str">
            <v>L-&gt;R</v>
          </cell>
          <cell r="J2239" t="str">
            <v>MVC</v>
          </cell>
          <cell r="K2239">
            <v>1</v>
          </cell>
          <cell r="N2239">
            <v>45341</v>
          </cell>
          <cell r="O2239">
            <v>11116882</v>
          </cell>
          <cell r="P2239">
            <v>12500000</v>
          </cell>
          <cell r="Q2239">
            <v>45343</v>
          </cell>
          <cell r="R2239" t="str">
            <v>No</v>
          </cell>
          <cell r="S2239" t="str">
            <v>C49</v>
          </cell>
          <cell r="T2239" t="str">
            <v>SOUTH</v>
          </cell>
          <cell r="U2239" t="str">
            <v>惠州</v>
          </cell>
          <cell r="V2239" t="str">
            <v>HZ 惠州</v>
          </cell>
          <cell r="W2239" t="str">
            <v>SS</v>
          </cell>
          <cell r="X2239" t="str">
            <v>RMB</v>
          </cell>
          <cell r="Y2239">
            <v>440000</v>
          </cell>
          <cell r="Z2239">
            <v>1.1299999999999999</v>
          </cell>
          <cell r="AA2239">
            <v>440000</v>
          </cell>
          <cell r="AB2239">
            <v>1.0920000000000001</v>
          </cell>
          <cell r="AC2239">
            <v>425203.53982300893</v>
          </cell>
          <cell r="AD2239">
            <v>51024.424778761073</v>
          </cell>
          <cell r="AE2239">
            <v>0.12</v>
          </cell>
          <cell r="AF2239">
            <v>45321</v>
          </cell>
          <cell r="AG2239" t="str">
            <v>DDP HZ</v>
          </cell>
          <cell r="AK2239">
            <v>0.3</v>
          </cell>
          <cell r="AL2239">
            <v>132000</v>
          </cell>
          <cell r="AM2239">
            <v>45327</v>
          </cell>
          <cell r="AN2239" t="str">
            <v>Yes</v>
          </cell>
          <cell r="AO2239">
            <v>0.7</v>
          </cell>
          <cell r="AP2239">
            <v>308000</v>
          </cell>
          <cell r="AS2239">
            <v>0</v>
          </cell>
          <cell r="AT2239">
            <v>0</v>
          </cell>
        </row>
        <row r="2240">
          <cell r="B2240">
            <v>2090</v>
          </cell>
          <cell r="C2240" t="str">
            <v>C49SZX20240021EC</v>
          </cell>
          <cell r="D2240" t="str">
            <v>格美通</v>
          </cell>
          <cell r="E2240" t="str">
            <v>YSM20R-2</v>
          </cell>
          <cell r="I2240" t="str">
            <v>L-&gt;R</v>
          </cell>
          <cell r="J2240" t="str">
            <v>No</v>
          </cell>
          <cell r="K2240">
            <v>1</v>
          </cell>
          <cell r="R2240" t="str">
            <v>No</v>
          </cell>
          <cell r="S2240" t="str">
            <v>C49</v>
          </cell>
          <cell r="T2240" t="str">
            <v>SOUTH</v>
          </cell>
          <cell r="U2240" t="str">
            <v>深圳</v>
          </cell>
          <cell r="V2240" t="str">
            <v>深圳</v>
          </cell>
          <cell r="W2240" t="str">
            <v>EC</v>
          </cell>
          <cell r="X2240" t="str">
            <v>JPY</v>
          </cell>
          <cell r="Y2240">
            <v>12500000</v>
          </cell>
          <cell r="Z2240">
            <v>1</v>
          </cell>
          <cell r="AA2240">
            <v>12500000</v>
          </cell>
          <cell r="AB2240">
            <v>5.6099999999999997E-2</v>
          </cell>
          <cell r="AC2240">
            <v>701250</v>
          </cell>
          <cell r="AD2240">
            <v>84150</v>
          </cell>
          <cell r="AE2240">
            <v>0.12</v>
          </cell>
          <cell r="AF2240">
            <v>45320</v>
          </cell>
          <cell r="AG2240" t="str">
            <v>DAP SZ</v>
          </cell>
          <cell r="AK2240">
            <v>1</v>
          </cell>
          <cell r="AL2240">
            <v>12500000</v>
          </cell>
          <cell r="AM2240">
            <v>45328</v>
          </cell>
          <cell r="AN2240" t="str">
            <v>Yes</v>
          </cell>
          <cell r="AO2240">
            <v>0</v>
          </cell>
          <cell r="AP2240">
            <v>0</v>
          </cell>
          <cell r="AS2240">
            <v>0</v>
          </cell>
          <cell r="AT2240">
            <v>0</v>
          </cell>
        </row>
        <row r="2241">
          <cell r="B2241">
            <v>2091</v>
          </cell>
          <cell r="C2241" t="str">
            <v>C49SZX20240023SQ</v>
          </cell>
          <cell r="D2241" t="str">
            <v>益友新鑫</v>
          </cell>
          <cell r="E2241" t="str">
            <v>YSM10</v>
          </cell>
          <cell r="I2241" t="str">
            <v>R-&gt;L</v>
          </cell>
          <cell r="J2241" t="str">
            <v>MVC</v>
          </cell>
          <cell r="K2241">
            <v>1</v>
          </cell>
          <cell r="R2241" t="str">
            <v>Yes</v>
          </cell>
          <cell r="S2241" t="str">
            <v>C49</v>
          </cell>
          <cell r="T2241" t="str">
            <v>SOUTH</v>
          </cell>
          <cell r="U2241" t="str">
            <v>东莞</v>
          </cell>
          <cell r="V2241" t="str">
            <v>DG 东莞</v>
          </cell>
          <cell r="W2241" t="str">
            <v>SQ</v>
          </cell>
          <cell r="X2241" t="str">
            <v>RMB</v>
          </cell>
          <cell r="Y2241">
            <v>530000</v>
          </cell>
          <cell r="Z2241">
            <v>1.1299999999999999</v>
          </cell>
          <cell r="AA2241">
            <v>530000</v>
          </cell>
          <cell r="AB2241">
            <v>1.0920000000000001</v>
          </cell>
          <cell r="AC2241">
            <v>512176.99115044257</v>
          </cell>
          <cell r="AD2241">
            <v>61461.238938053109</v>
          </cell>
          <cell r="AE2241">
            <v>0.12</v>
          </cell>
          <cell r="AF2241">
            <v>45321</v>
          </cell>
          <cell r="AG2241" t="str">
            <v>DDP DG</v>
          </cell>
          <cell r="AK2241">
            <v>0.1</v>
          </cell>
          <cell r="AL2241">
            <v>53000</v>
          </cell>
          <cell r="AN2241" t="str">
            <v>No</v>
          </cell>
          <cell r="AO2241">
            <v>0.9</v>
          </cell>
          <cell r="AP2241">
            <v>477000</v>
          </cell>
          <cell r="AS2241">
            <v>0</v>
          </cell>
          <cell r="AT2241">
            <v>0</v>
          </cell>
        </row>
        <row r="2242">
          <cell r="B2242">
            <v>2092</v>
          </cell>
          <cell r="C2242" t="str">
            <v>C49SZX20240023SQ</v>
          </cell>
          <cell r="D2242" t="str">
            <v>益友新鑫</v>
          </cell>
          <cell r="E2242" t="str">
            <v>YSM20R-2</v>
          </cell>
          <cell r="I2242" t="str">
            <v>R-&gt;L</v>
          </cell>
          <cell r="J2242" t="str">
            <v>No</v>
          </cell>
          <cell r="K2242">
            <v>1</v>
          </cell>
          <cell r="R2242" t="str">
            <v>Yes</v>
          </cell>
          <cell r="S2242" t="str">
            <v>C49</v>
          </cell>
          <cell r="T2242" t="str">
            <v>SOUTH</v>
          </cell>
          <cell r="U2242" t="str">
            <v>东莞</v>
          </cell>
          <cell r="V2242" t="str">
            <v>DG 东莞</v>
          </cell>
          <cell r="W2242" t="str">
            <v>SQ</v>
          </cell>
          <cell r="X2242" t="str">
            <v>RMB</v>
          </cell>
          <cell r="Y2242">
            <v>850000</v>
          </cell>
          <cell r="Z2242">
            <v>1.1299999999999999</v>
          </cell>
          <cell r="AA2242">
            <v>850000</v>
          </cell>
          <cell r="AB2242">
            <v>1.0920000000000001</v>
          </cell>
          <cell r="AC2242">
            <v>821415.92920353997</v>
          </cell>
          <cell r="AD2242">
            <v>98569.911504424788</v>
          </cell>
          <cell r="AE2242">
            <v>0.12</v>
          </cell>
          <cell r="AF2242">
            <v>45321</v>
          </cell>
          <cell r="AG2242" t="str">
            <v>DDP DG</v>
          </cell>
          <cell r="AK2242">
            <v>0.1</v>
          </cell>
          <cell r="AL2242">
            <v>85000</v>
          </cell>
          <cell r="AN2242" t="str">
            <v>No</v>
          </cell>
          <cell r="AO2242">
            <v>0.9</v>
          </cell>
          <cell r="AP2242">
            <v>765000</v>
          </cell>
          <cell r="AS2242">
            <v>0</v>
          </cell>
          <cell r="AT2242">
            <v>0</v>
          </cell>
        </row>
        <row r="2243">
          <cell r="B2243">
            <v>2093</v>
          </cell>
          <cell r="C2243" t="str">
            <v>C49SZX20240025JL</v>
          </cell>
          <cell r="D2243" t="str">
            <v>博新</v>
          </cell>
          <cell r="E2243" t="str">
            <v>YSM20R-2</v>
          </cell>
          <cell r="I2243" t="str">
            <v>L-&gt;R</v>
          </cell>
          <cell r="J2243" t="str">
            <v>No</v>
          </cell>
          <cell r="K2243">
            <v>1</v>
          </cell>
          <cell r="R2243" t="str">
            <v>No</v>
          </cell>
          <cell r="S2243" t="str">
            <v>C49</v>
          </cell>
          <cell r="T2243" t="str">
            <v>SOUTH</v>
          </cell>
          <cell r="U2243" t="str">
            <v>深圳</v>
          </cell>
          <cell r="V2243" t="str">
            <v>深圳</v>
          </cell>
          <cell r="W2243" t="str">
            <v>JL</v>
          </cell>
          <cell r="X2243" t="str">
            <v>RMB</v>
          </cell>
          <cell r="Y2243">
            <v>635000</v>
          </cell>
          <cell r="Z2243">
            <v>1.1299999999999999</v>
          </cell>
          <cell r="AA2243">
            <v>635000</v>
          </cell>
          <cell r="AB2243">
            <v>1.0900000000000001</v>
          </cell>
          <cell r="AC2243">
            <v>612522.12389380531</v>
          </cell>
          <cell r="AD2243">
            <v>73502.654867256628</v>
          </cell>
          <cell r="AE2243">
            <v>0.12</v>
          </cell>
          <cell r="AF2243">
            <v>45322</v>
          </cell>
          <cell r="AG2243" t="str">
            <v>DDP SZ</v>
          </cell>
          <cell r="AI2243">
            <v>20000</v>
          </cell>
          <cell r="AJ2243">
            <v>45353</v>
          </cell>
          <cell r="AK2243">
            <v>0.1</v>
          </cell>
          <cell r="AL2243">
            <v>63500</v>
          </cell>
          <cell r="AM2243">
            <v>45353</v>
          </cell>
          <cell r="AN2243" t="str">
            <v>Yes</v>
          </cell>
          <cell r="AO2243">
            <v>0.9</v>
          </cell>
          <cell r="AP2243">
            <v>571500</v>
          </cell>
          <cell r="AS2243">
            <v>0</v>
          </cell>
          <cell r="AT2243">
            <v>0</v>
          </cell>
        </row>
        <row r="2244">
          <cell r="B2244">
            <v>2094</v>
          </cell>
          <cell r="C2244" t="str">
            <v>C49SZX20240026JL/4600004198</v>
          </cell>
          <cell r="D2244" t="str">
            <v>高伟</v>
          </cell>
          <cell r="E2244" t="str">
            <v>YSM10</v>
          </cell>
          <cell r="I2244" t="str">
            <v>L-&gt;R</v>
          </cell>
          <cell r="J2244" t="str">
            <v>MVC+ATS15</v>
          </cell>
          <cell r="K2244">
            <v>1</v>
          </cell>
          <cell r="R2244" t="str">
            <v>No</v>
          </cell>
          <cell r="S2244" t="str">
            <v>C49</v>
          </cell>
          <cell r="T2244" t="str">
            <v>SOUTH</v>
          </cell>
          <cell r="U2244" t="str">
            <v>东莞</v>
          </cell>
          <cell r="V2244" t="str">
            <v>DG 东莞</v>
          </cell>
          <cell r="W2244" t="str">
            <v>JL</v>
          </cell>
          <cell r="X2244" t="str">
            <v>USD</v>
          </cell>
          <cell r="Y2244">
            <v>68800</v>
          </cell>
          <cell r="Z2244">
            <v>1</v>
          </cell>
          <cell r="AA2244">
            <v>68800</v>
          </cell>
          <cell r="AB2244">
            <v>7.8</v>
          </cell>
          <cell r="AC2244">
            <v>536640</v>
          </cell>
          <cell r="AD2244">
            <v>64396.799999999996</v>
          </cell>
          <cell r="AE2244">
            <v>0.12</v>
          </cell>
          <cell r="AF2244">
            <v>45323</v>
          </cell>
          <cell r="AG2244" t="str">
            <v>CIF HK</v>
          </cell>
          <cell r="AK2244">
            <v>0.3</v>
          </cell>
          <cell r="AL2244">
            <v>20640</v>
          </cell>
          <cell r="AM2244">
            <v>45331</v>
          </cell>
          <cell r="AN2244" t="str">
            <v>Yes</v>
          </cell>
          <cell r="AO2244">
            <v>0.6</v>
          </cell>
          <cell r="AP2244">
            <v>41280</v>
          </cell>
          <cell r="AS2244">
            <v>0.1</v>
          </cell>
          <cell r="AT2244">
            <v>6880</v>
          </cell>
        </row>
        <row r="2245">
          <cell r="B2245">
            <v>2095</v>
          </cell>
          <cell r="C2245" t="str">
            <v>C49SZX20240026JL/4600004198</v>
          </cell>
          <cell r="D2245" t="str">
            <v>高伟</v>
          </cell>
          <cell r="E2245" t="str">
            <v>YSM10</v>
          </cell>
          <cell r="I2245" t="str">
            <v>L-&gt;R</v>
          </cell>
          <cell r="J2245" t="str">
            <v>MVC+ATS15</v>
          </cell>
          <cell r="K2245">
            <v>1</v>
          </cell>
          <cell r="R2245" t="str">
            <v>No</v>
          </cell>
          <cell r="S2245" t="str">
            <v>C49</v>
          </cell>
          <cell r="T2245" t="str">
            <v>SOUTH</v>
          </cell>
          <cell r="U2245" t="str">
            <v>东莞</v>
          </cell>
          <cell r="V2245" t="str">
            <v>DG 东莞</v>
          </cell>
          <cell r="W2245" t="str">
            <v>JL</v>
          </cell>
          <cell r="X2245" t="str">
            <v>USD</v>
          </cell>
          <cell r="Y2245">
            <v>68800</v>
          </cell>
          <cell r="Z2245">
            <v>1</v>
          </cell>
          <cell r="AA2245">
            <v>68800</v>
          </cell>
          <cell r="AB2245">
            <v>7.8</v>
          </cell>
          <cell r="AC2245">
            <v>536640</v>
          </cell>
          <cell r="AD2245">
            <v>64396.799999999996</v>
          </cell>
          <cell r="AE2245">
            <v>0.12</v>
          </cell>
          <cell r="AF2245">
            <v>45323</v>
          </cell>
          <cell r="AG2245" t="str">
            <v>CIF HK</v>
          </cell>
          <cell r="AK2245">
            <v>0.3</v>
          </cell>
          <cell r="AL2245">
            <v>20640</v>
          </cell>
          <cell r="AM2245">
            <v>45331</v>
          </cell>
          <cell r="AN2245" t="str">
            <v>Yes</v>
          </cell>
          <cell r="AO2245">
            <v>0.6</v>
          </cell>
          <cell r="AP2245">
            <v>41280</v>
          </cell>
          <cell r="AS2245">
            <v>0.1</v>
          </cell>
          <cell r="AT2245">
            <v>6880</v>
          </cell>
        </row>
        <row r="2246">
          <cell r="B2246">
            <v>2096</v>
          </cell>
          <cell r="C2246" t="str">
            <v>C49SZX20240027JL/4600004199</v>
          </cell>
          <cell r="D2246" t="str">
            <v>高伟</v>
          </cell>
          <cell r="E2246" t="str">
            <v>YSM10</v>
          </cell>
          <cell r="I2246" t="str">
            <v>L-&gt;R</v>
          </cell>
          <cell r="J2246" t="str">
            <v>MVC+ATS15</v>
          </cell>
          <cell r="K2246">
            <v>1</v>
          </cell>
          <cell r="R2246" t="str">
            <v>No</v>
          </cell>
          <cell r="S2246" t="str">
            <v>C49</v>
          </cell>
          <cell r="T2246" t="str">
            <v>SOUTH</v>
          </cell>
          <cell r="U2246" t="str">
            <v>东莞</v>
          </cell>
          <cell r="V2246" t="str">
            <v>DG 东莞</v>
          </cell>
          <cell r="W2246" t="str">
            <v>JL</v>
          </cell>
          <cell r="X2246" t="str">
            <v>USD</v>
          </cell>
          <cell r="Y2246">
            <v>68800</v>
          </cell>
          <cell r="Z2246">
            <v>1</v>
          </cell>
          <cell r="AA2246">
            <v>68800</v>
          </cell>
          <cell r="AB2246">
            <v>7.8</v>
          </cell>
          <cell r="AC2246">
            <v>536640</v>
          </cell>
          <cell r="AD2246">
            <v>64396.799999999996</v>
          </cell>
          <cell r="AE2246">
            <v>0.12</v>
          </cell>
          <cell r="AF2246">
            <v>45323</v>
          </cell>
          <cell r="AG2246" t="str">
            <v>CIF HK</v>
          </cell>
          <cell r="AK2246">
            <v>0.3</v>
          </cell>
          <cell r="AL2246">
            <v>20640</v>
          </cell>
          <cell r="AM2246">
            <v>45331</v>
          </cell>
          <cell r="AN2246" t="str">
            <v>Yes</v>
          </cell>
          <cell r="AO2246">
            <v>0.6</v>
          </cell>
          <cell r="AP2246">
            <v>41280</v>
          </cell>
          <cell r="AS2246">
            <v>0.1</v>
          </cell>
          <cell r="AT2246">
            <v>6880</v>
          </cell>
        </row>
        <row r="2247">
          <cell r="B2247">
            <v>2097</v>
          </cell>
          <cell r="C2247" t="str">
            <v>C49SZX20240028JL/HJD24020240</v>
          </cell>
          <cell r="D2247" t="str">
            <v>皓吉达</v>
          </cell>
          <cell r="E2247" t="str">
            <v>YSM10</v>
          </cell>
          <cell r="I2247" t="str">
            <v>L-&gt;R</v>
          </cell>
          <cell r="J2247" t="str">
            <v>ATS15</v>
          </cell>
          <cell r="K2247">
            <v>1</v>
          </cell>
          <cell r="R2247" t="str">
            <v>No</v>
          </cell>
          <cell r="S2247" t="str">
            <v>C49</v>
          </cell>
          <cell r="T2247" t="str">
            <v>SOUTH</v>
          </cell>
          <cell r="U2247" t="str">
            <v>深圳</v>
          </cell>
          <cell r="V2247" t="str">
            <v>HY河源</v>
          </cell>
          <cell r="W2247" t="str">
            <v>JL</v>
          </cell>
          <cell r="X2247" t="str">
            <v>RMB</v>
          </cell>
          <cell r="Y2247">
            <v>500000</v>
          </cell>
          <cell r="Z2247">
            <v>1.1299999999999999</v>
          </cell>
          <cell r="AA2247">
            <v>500000</v>
          </cell>
          <cell r="AB2247">
            <v>1.0900000000000001</v>
          </cell>
          <cell r="AC2247">
            <v>482300.88495575229</v>
          </cell>
          <cell r="AD2247">
            <v>57876.10619469027</v>
          </cell>
          <cell r="AE2247">
            <v>0.12</v>
          </cell>
          <cell r="AF2247">
            <v>45329</v>
          </cell>
          <cell r="AG2247" t="str">
            <v>DDP HY</v>
          </cell>
          <cell r="AK2247">
            <v>0.1</v>
          </cell>
          <cell r="AL2247">
            <v>50000</v>
          </cell>
          <cell r="AM2247">
            <v>45344</v>
          </cell>
          <cell r="AN2247" t="str">
            <v>Yes</v>
          </cell>
          <cell r="AO2247">
            <v>0.9</v>
          </cell>
          <cell r="AP2247">
            <v>450000</v>
          </cell>
          <cell r="AS2247">
            <v>0</v>
          </cell>
          <cell r="AT2247">
            <v>0</v>
          </cell>
        </row>
        <row r="2248">
          <cell r="B2248">
            <v>2098</v>
          </cell>
          <cell r="C2248" t="str">
            <v>C49SZX20240029JY</v>
          </cell>
          <cell r="D2248" t="str">
            <v>建航</v>
          </cell>
          <cell r="E2248" t="str">
            <v>YSM10</v>
          </cell>
          <cell r="I2248" t="str">
            <v>L-&gt;R</v>
          </cell>
          <cell r="J2248" t="str">
            <v>MVC</v>
          </cell>
          <cell r="K2248">
            <v>1</v>
          </cell>
          <cell r="R2248" t="str">
            <v>No</v>
          </cell>
          <cell r="S2248" t="str">
            <v>C49</v>
          </cell>
          <cell r="T2248" t="str">
            <v>SOUTH</v>
          </cell>
          <cell r="U2248" t="str">
            <v>深圳</v>
          </cell>
          <cell r="V2248" t="str">
            <v>深圳</v>
          </cell>
          <cell r="W2248" t="str">
            <v>JY</v>
          </cell>
          <cell r="X2248" t="str">
            <v>JPY</v>
          </cell>
          <cell r="Y2248">
            <v>8120000</v>
          </cell>
          <cell r="Z2248">
            <v>1</v>
          </cell>
          <cell r="AA2248">
            <v>8120000</v>
          </cell>
          <cell r="AB2248">
            <v>5.4100000000000002E-2</v>
          </cell>
          <cell r="AC2248">
            <v>439292</v>
          </cell>
          <cell r="AD2248">
            <v>52715.040000000001</v>
          </cell>
          <cell r="AE2248">
            <v>0.12</v>
          </cell>
          <cell r="AF2248">
            <v>45344</v>
          </cell>
          <cell r="AG2248" t="str">
            <v>DAP SZ</v>
          </cell>
          <cell r="AI2248" t="str">
            <v>JPY832,500</v>
          </cell>
          <cell r="AJ2248">
            <v>45348</v>
          </cell>
          <cell r="AK2248">
            <v>0.2</v>
          </cell>
          <cell r="AL2248">
            <v>1624000</v>
          </cell>
          <cell r="AM2248">
            <v>45348</v>
          </cell>
          <cell r="AN2248" t="str">
            <v>Yes</v>
          </cell>
          <cell r="AO2248">
            <v>0.8</v>
          </cell>
          <cell r="AP2248">
            <v>6496000</v>
          </cell>
          <cell r="AS2248">
            <v>0</v>
          </cell>
          <cell r="AT2248">
            <v>0</v>
          </cell>
        </row>
        <row r="2249">
          <cell r="B2249">
            <v>2099</v>
          </cell>
          <cell r="C2249" t="str">
            <v>VNHJD20230226</v>
          </cell>
          <cell r="D2249" t="str">
            <v>越南皓吉达</v>
          </cell>
          <cell r="E2249" t="str">
            <v>YSM20R-2</v>
          </cell>
          <cell r="I2249" t="str">
            <v>L-&gt;R</v>
          </cell>
          <cell r="J2249" t="str">
            <v>No</v>
          </cell>
          <cell r="K2249">
            <v>1</v>
          </cell>
          <cell r="R2249" t="str">
            <v>No</v>
          </cell>
          <cell r="S2249" t="str">
            <v>C49</v>
          </cell>
          <cell r="T2249" t="str">
            <v>SOUTH</v>
          </cell>
          <cell r="U2249" t="str">
            <v>深圳</v>
          </cell>
          <cell r="V2249" t="str">
            <v>Vietnam</v>
          </cell>
          <cell r="W2249" t="str">
            <v>JL</v>
          </cell>
          <cell r="X2249" t="str">
            <v>USD</v>
          </cell>
          <cell r="Y2249">
            <v>94600</v>
          </cell>
          <cell r="Z2249">
            <v>1</v>
          </cell>
          <cell r="AA2249">
            <v>94600</v>
          </cell>
          <cell r="AB2249">
            <v>7.8</v>
          </cell>
          <cell r="AC2249">
            <v>737880</v>
          </cell>
          <cell r="AD2249">
            <v>88545.599999999991</v>
          </cell>
          <cell r="AE2249">
            <v>0.12</v>
          </cell>
          <cell r="AF2249">
            <v>45348</v>
          </cell>
          <cell r="AG2249" t="str">
            <v>CIF Vietnam</v>
          </cell>
          <cell r="AK2249">
            <v>0.3</v>
          </cell>
          <cell r="AL2249">
            <v>28380</v>
          </cell>
          <cell r="AM2249">
            <v>45356</v>
          </cell>
          <cell r="AN2249" t="str">
            <v>Yes</v>
          </cell>
          <cell r="AO2249">
            <v>0.7</v>
          </cell>
          <cell r="AP2249">
            <v>66220</v>
          </cell>
          <cell r="AS2249">
            <v>0</v>
          </cell>
          <cell r="AT2249">
            <v>0</v>
          </cell>
        </row>
      </sheetData>
      <sheetData sheetId="2"/>
      <sheetData sheetId="3"/>
      <sheetData sheetId="4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_vti_history\1455616\Shared%2520Documents\c49\c49szx.cs-common\stock%2520list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_vti_history\1455616\Shared%2520Documents\c49\c49szx.cs-common\stock%2520list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_vti_history\1455616\Shared%2520Documents\c49\c49szx.cs-common\stock%2520list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microsoft.com/office/2006/relationships/xlExternalLinkPath/xlPathMissing" Target="SMT%20quote%20rate.xlsx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microsoft.com/office/2006/relationships/xlExternalLinkPath/xlPathMissing" Target="SMT%20quote%20rate.xlsx" TargetMode="External"/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2" Type="http://schemas.microsoft.com/office/2006/relationships/xlExternalLinkPath/xlPathMissing" Target="SMT%20quote%20rate.xlsx" TargetMode="External"/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203.779725462962" createdVersion="6" refreshedVersion="6" minRefreshableVersion="3" recordCount="1006" xr:uid="{0CA6D246-ECDA-49DC-84DD-53974EBC2F09}">
  <cacheSource type="worksheet">
    <worksheetSource ref="A1:V1048576" sheet="Stock list " r:id="rId2"/>
  </cacheSource>
  <cacheFields count="22">
    <cacheField name="序号" numFmtId="0">
      <sharedItems containsBlank="1" containsMixedTypes="1" containsNumber="1" containsInteger="1" minValue="7" maxValue="1058"/>
    </cacheField>
    <cacheField name="ETA Month" numFmtId="0">
      <sharedItems containsBlank="1"/>
    </cacheField>
    <cacheField name="Org. " numFmtId="179">
      <sharedItems containsBlank="1"/>
    </cacheField>
    <cacheField name="PO Number" numFmtId="0">
      <sharedItems containsBlank="1" containsMixedTypes="1" containsNumber="1" containsInteger="1" minValue="109202" maxValue="110274"/>
    </cacheField>
    <cacheField name="Customer name or STK" numFmtId="179">
      <sharedItems containsBlank="1"/>
    </cacheField>
    <cacheField name="Item" numFmtId="179">
      <sharedItems containsBlank="1"/>
    </cacheField>
    <cacheField name="Direction" numFmtId="179">
      <sharedItems containsBlank="1"/>
    </cacheField>
    <cacheField name="Item w config" numFmtId="179">
      <sharedItems containsBlank="1"/>
    </cacheField>
    <cacheField name="SN" numFmtId="0">
      <sharedItems containsBlank="1" containsMixedTypes="1" containsNumber="1" containsInteger="1" minValue="6818" maxValue="6822"/>
    </cacheField>
    <cacheField name="QTY" numFmtId="0">
      <sharedItems containsBlank="1" containsMixedTypes="1" containsNumber="1" containsInteger="1" minValue="1" maxValue="1"/>
    </cacheField>
    <cacheField name="Warehouse" numFmtId="0">
      <sharedItems containsBlank="1"/>
    </cacheField>
    <cacheField name="ETA HK" numFmtId="0">
      <sharedItems containsDate="1" containsBlank="1" containsMixedTypes="1" minDate="2018-06-27T00:00:00" maxDate="2021-01-23T00:00:00"/>
    </cacheField>
    <cacheField name="Rate (JPY/CNY）" numFmtId="0">
      <sharedItems containsBlank="1" containsMixedTypes="1" containsNumber="1" minValue="5.9499999999999997E-2" maxValue="7.8"/>
    </cacheField>
    <cacheField name="Delivery schedule" numFmtId="179">
      <sharedItems containsBlank="1" count="33">
        <s v="DEC 19"/>
        <s v="DEC 18"/>
        <s v="JAN 19"/>
        <s v="JUL 20"/>
        <s v="OCT 18"/>
        <s v="SEP 19"/>
        <s v="JUL 19"/>
        <s v="MAR 19"/>
        <s v="APR 19"/>
        <s v="NOV 18"/>
        <s v="FEB 19"/>
        <s v="MAY 19"/>
        <s v="JUN 19"/>
        <s v="AUG 19"/>
        <s v="OCT 19"/>
        <s v="NOV 19"/>
        <s v="APR 20"/>
        <s v="已发货"/>
        <s v="JAN 20"/>
        <s v="MAR 20"/>
        <s v="FEB 20"/>
        <s v="MAY 20"/>
        <s v="JUN 20"/>
        <s v="SEP 20"/>
        <s v="AUG 20"/>
        <s v="OCT 20"/>
        <s v="DEC 20"/>
        <s v="JAN 21"/>
        <s v="NOV 20"/>
        <s v="TBA"/>
        <m/>
        <s v="FEB 21"/>
        <s v="MAR 21"/>
      </sharedItems>
    </cacheField>
    <cacheField name="生产日期" numFmtId="0">
      <sharedItems containsDate="1" containsBlank="1" containsMixedTypes="1" minDate="1905-07-10T02:09:36" maxDate="1899-12-30T00:00:00"/>
    </cacheField>
    <cacheField name="Currency" numFmtId="0">
      <sharedItems containsBlank="1"/>
    </cacheField>
    <cacheField name="Customer Reserved Contract No." numFmtId="0">
      <sharedItems containsBlank="1" count="386">
        <s v="C49SZX20190175SX"/>
        <s v="C49SZX20180133SX"/>
        <s v="C49SZX20180162SS"/>
        <s v="C49SZX20190193SS"/>
        <s v="C49SZX20180166ZX"/>
        <s v="C49SZX20180101JL"/>
        <s v="C49SZX20180152ZX"/>
        <s v="C49SZX20190121JY"/>
        <s v="C49SZX20190107DZ"/>
        <s v="SDPUR-20180047"/>
        <s v="C49SZX20180131DZ"/>
        <s v="C49SZX20180086DZ"/>
        <s v="C49SZX20180180ZX"/>
        <s v="C49SZX20180154JL"/>
        <s v="C49SZX20180058KW"/>
        <s v="C49SZX20180124JL"/>
        <s v="C49SZX20180102JL"/>
        <s v="C49SZX20180109SX"/>
        <s v="P8544EQYM44"/>
        <s v="C49SZX20180083DZ"/>
        <s v="C49SZX20190032SX"/>
        <s v="C49SZX20190046SX"/>
        <s v="C49SZX20180158ZX"/>
        <s v="C49SZX20190040JL"/>
        <s v="C49SZX20190048JY"/>
        <s v="C49SZX20180161RY"/>
        <s v="C49SZX20190007JL"/>
        <s v="C49SZX20190016KW"/>
        <s v="C49SZX20180172ZX"/>
        <s v="C49SZX20190027MZ"/>
        <s v="C49SZX20190049SS"/>
        <s v="C49SZX20190035ZX"/>
        <s v="C49SZX20190047SS"/>
        <s v="C49SZX20180066JY"/>
        <s v="C49SZX20190052SS"/>
        <s v="C49SZX20190061JL"/>
        <s v="C49SZX20190023SS"/>
        <s v="C49SZX20180070SX"/>
        <s v="C49SZX20180135SX"/>
        <s v="C49SZX20190135SX"/>
        <s v="C49SZX201900131JL"/>
        <s v="C49SZX20190031MZ"/>
        <e v="#N/A"/>
        <s v="C49SZX20190091JL"/>
        <s v="C49SZX20190099SX"/>
        <s v="C49SZX20180033GL"/>
        <s v="C49SZX20180165ZX"/>
        <s v="C49SZX20190060DZ"/>
        <s v="C49SZX20190030SX"/>
        <s v="C49SZX20190011SX"/>
        <s v="C49SZX20190005SX"/>
        <s v="C49SZX20190012SX"/>
        <s v="C49SZX20180137DZ"/>
        <s v="C49SZX20180173ZX"/>
        <s v="C49SZX20190006ZX"/>
        <s v="C49SZX20190077SX"/>
        <s v="C49SZX20190066MZ"/>
        <s v="C49SZX20190019SX"/>
        <s v="C49SZX20190001JY"/>
        <s v="C49SZX20190075ZX"/>
        <s v="C49SZX20190021JL"/>
        <s v="C49SZX20180177JL"/>
        <s v="C49SZX20190085JL"/>
        <s v="C49SZX201800038SS"/>
        <s v="C49SZX20190024JL"/>
        <s v="C49SZX20180078DZ"/>
        <s v="C49SZX20180105JY"/>
        <s v="C49SZX20180136JY"/>
        <s v="C49SZX20180185ZX"/>
        <s v="C49SZX20180103MZ"/>
        <s v="C49SZX20180176SX"/>
        <s v="C49SZX20190139SX"/>
        <s v="C49SZX20190042JL"/>
        <s v="C49SZX20180156SX"/>
        <s v="C49SZX20180175SX"/>
        <s v="C49SZX20190013DZ"/>
        <s v="C49SZX20190022SS"/>
        <s v="C49SZX20190089ZX"/>
        <s v="C49SZX20180113JL "/>
        <s v="C49SZX20190138ZX"/>
        <s v="C49SZX20190029ZX"/>
        <s v="C49SZX20190051SS"/>
        <s v="C49SZX20190045SS"/>
        <s v="C49SZX20190025SX"/>
        <s v="C49SZX20190058SX"/>
        <s v="C49SZX20180167DZ"/>
        <s v="C49SZX20190041JL"/>
        <s v="C49SZX20190056RW"/>
        <s v="C49SZX20190069KW"/>
        <s v="C49SZX20190108ZX"/>
        <s v="C28SZX20190098YY"/>
        <s v="C49SZX20190118R1SS"/>
        <s v="C49SZX20190119SX"/>
        <s v="C49SZX20190100SX"/>
        <s v="C49SZX20190090SX"/>
        <s v="C49SZX20190073JL"/>
        <s v="C49SZX20190050SX"/>
        <s v="C49SZX20190080ZX"/>
        <s v="C49SZX20190093JL"/>
        <s v="C49SZX20190071SX"/>
        <s v="C49SZX201901008ZX"/>
        <s v="C49SZX20190114MX"/>
        <s v="C49SZX20190102SX"/>
        <s v="C49SZX20190149SX"/>
        <s v="C49SZX20190130JL"/>
        <s v="C49SZX20190126MZ"/>
        <s v="C49SZX20190068ZX"/>
        <s v="C49SZX20190095ZX"/>
        <s v="C49SZX20190043SX"/>
        <s v="C49SZX20190065JY"/>
        <s v="C49SZX20190123SX"/>
        <s v="C49SZX20190129DZ"/>
        <s v="C49SZX20190026ZX"/>
        <s v="C49SZX20190110ZX"/>
        <s v="C49SZX20190117SX"/>
        <s v="C49SZX20190094MZ"/>
        <s v="C49SZX20190115SS"/>
        <s v="C49SZX20190082ZX"/>
        <s v="C49SZX20190109MZ"/>
        <s v="C49SZX20190072ZX"/>
        <s v="C49SZX20190155JY"/>
        <s v="C49SZX20190076SS"/>
        <s v="C49SZX20190120DY"/>
        <s v="C49SZX20190145DZ"/>
        <s v="C49SZX20190148SX"/>
        <s v="C49SZX20190152JL"/>
        <s v="C49SZX20190128DZ"/>
        <s v="C49SZX20190101KW"/>
        <s v="C49SZX20190127JY"/>
        <s v="C49SZX20190133MX"/>
        <s v="C49SZX20190150JY"/>
        <s v="C49SZX20190113LC"/>
        <s v="PG-GL02-201906140004"/>
        <s v="C49SZX20190015JY"/>
        <s v="C49SZX20190125KW"/>
        <s v="C49SZX20190143SX"/>
        <s v="C49SZX20200038SX"/>
        <s v="C49SZX20190140SS"/>
        <s v="C49SZX20190168JL"/>
        <s v="C49SZX20190172ZX"/>
        <s v="C49SZX20190180SS"/>
        <s v="C49SZX20190028MZR1"/>
        <s v="C49SZX20190181DY"/>
        <s v="C49SZX20190156-1ZX"/>
        <s v="C49SZX20190161SX"/>
        <s v="C49SZX20190142KW"/>
        <s v="C49SZX20190163JY"/>
        <s v="C49SZX20190165DZ"/>
        <s v="C49SZX20190171CX"/>
        <s v="C49SZX20190617SS"/>
        <s v="C49SZX20190159SS"/>
        <s v="C49SZX20190153JL"/>
        <s v="C49SZX20200001SX"/>
        <s v="C49SZX20200009MX"/>
        <s v="C49SZX20200003CX"/>
        <s v="C49SZX20190156-2ZX"/>
        <s v="C49SZX20200039SX"/>
        <s v="C49SZX20200018SX"/>
        <s v="C49SZX20190192MZ"/>
        <s v="C49SZX20190189DY"/>
        <s v="C49SZX20200022SX"/>
        <s v="C49SZX20200015JL"/>
        <s v="C49SZX20200019SX"/>
        <s v="C49SZX20190116CX"/>
        <s v="C49SZX20200008MX"/>
        <s v="C49SZX20200055SX"/>
        <s v="C49SZX20200051SX"/>
        <s v="C49SZX20200062SS"/>
        <s v="C49SZX20190167SS"/>
        <s v="C49SZX20200021SS"/>
        <s v="C49SZX20190141SS"/>
        <s v="C49SZX20200027JY"/>
        <s v="C49SZX20190160R1ZX"/>
        <s v="C49SZX20190169MZ"/>
        <s v="C49SZX20190182JL"/>
        <s v="C49SZX20190033SX"/>
        <s v="C49SZX20200040MZ"/>
        <s v="C49SZX20200041JY"/>
        <s v="C49SZX20200020SS"/>
        <s v="C49SZX20200016SX"/>
        <s v="C49SZX20200010DZ"/>
        <s v="FS20191216"/>
        <s v="C49SZX20200002MZ"/>
        <s v="C49SZX20200056MZ"/>
        <s v="C49SZX20200050SX"/>
        <s v="C49SZX20200030SX"/>
        <s v="C49SZX20190186SS"/>
        <s v="C49SZX20200023SX"/>
        <s v="C49SZX20190185DZ"/>
        <s v="C49SZX20200053SS"/>
        <s v="C49SZX20200046JY"/>
        <s v="C49SZX20200028JYR1"/>
        <s v="C49SZX20190173DZ"/>
        <s v="C49SZX20200012SS"/>
        <s v="C49SZX20200035JY"/>
        <s v="C49SZX20200007SS"/>
        <s v="C49SZX20200123DZ"/>
        <s v="C49SZX20200042JL"/>
        <s v="C49SZX20200013SS"/>
        <s v="C49SZX20200079KW"/>
        <s v="C49SZX20200081DZ"/>
        <s v="C49SZX20200058SS"/>
        <s v="C49SZX20200036CX"/>
        <s v="C49SZX20200011DZ"/>
        <s v="C49SZX20200047MZ"/>
        <s v="C49SZX20200031DZ"/>
        <s v="C49SZX20200037SX-R1"/>
        <s v="C49SZX20200049MX"/>
        <s v="C49SZX20200043CY"/>
        <s v="C49SZX20200071JY"/>
        <s v="C49SZX20200017CX"/>
        <s v="C49SZX20200026SX"/>
        <s v="C49SZX20200052JY"/>
        <s v="C49SZX20200025MX"/>
        <s v="C49SZX20200061JY"/>
        <s v="C49SZX20200065JZ"/>
        <s v="C49SZX20200006KW"/>
        <s v="C49SZX20200048DZ"/>
        <s v="C49SZX20200060SX"/>
        <s v="C28SZX20200026YY"/>
        <s v="C49SZX20200076JL"/>
        <s v="C49SZX20200083JL"/>
        <s v="C49SZX20200090SS"/>
        <s v="C49SZX20200032DZ"/>
        <s v="C49SZX20200085JL"/>
        <s v="C49SZX20200063SS"/>
        <s v="C49SZX20200069JY"/>
        <s v="C49SZX20200087DZ"/>
        <s v="C49SZX20200101MZ"/>
        <s v="C49SZX20200092SS"/>
        <s v="C49SZX20200033DZ"/>
        <s v="C49SZX20200116JL"/>
        <s v="C49SZX20200193SX"/>
        <s v="C49SZX20200068MZ"/>
        <s v="C49SZX20200070JY"/>
        <s v="C49SZX20200106SS"/>
        <s v="C49SZX20200072JY"/>
        <s v="C49SZX20200098ZX"/>
        <s v="C49SZX20200097JY"/>
        <s v="C49SZX20200131KW"/>
        <s v="C49SZX20200119SS"/>
        <s v="C49SZX20190151MZ"/>
        <s v="C49SZX20200078CY"/>
        <s v="C49SZX20200110MZ"/>
        <s v="C49SZX20200082DZ"/>
        <s v="C49SZX20200077JZ"/>
        <s v="C49SZX20200075EC"/>
        <s v="C49SZX20200125JY"/>
        <s v="C49SZX20200066SX"/>
        <s v="C49SZX20200126JY"/>
        <s v="C49SZX20200127KW"/>
        <s v="C49SZX20200102MZ"/>
        <s v="C49SZX20200103SS"/>
        <s v="C49SZX20200111JY"/>
        <s v="C49SZX20200096MZ"/>
        <s v="C49SZX20200130JZ"/>
        <s v="C49SZX20200108JL"/>
        <s v="C49SZX20200089JL-R2"/>
        <s v="C49SZX20200089JL-R3"/>
        <s v="C49SZX20200095R1SS"/>
        <s v="C49SZX20200122JY"/>
        <s v="C49SZX20200112SS"/>
        <s v="C49SZX20200170DZ"/>
        <s v="C49SZX20200145JL"/>
        <s v="C49SZX20200141SX"/>
        <s v="C49SZX20200166DY"/>
        <s v="C49SZX20200088SS"/>
        <s v="C49SZX20200109JL"/>
        <s v="C28SZX20200055KC"/>
        <s v="C49SZX20200140RSX"/>
        <s v="C49SZX20200155JD"/>
        <s v="C49SZX20200153SS"/>
        <s v="C49SZX20200135DZ"/>
        <s v="C49SZX20200177DY"/>
        <s v="C49SZX20200148JYR1"/>
        <s v="C49SZX20200165SX"/>
        <s v="C49SZX20200118SS"/>
        <s v="C49SZX20190187JY"/>
        <s v="C49SZX20200159EC"/>
        <s v="C49SZX20200099R1SS"/>
        <s v="C49SZX20200121JL"/>
        <s v="C49SZX20200143MZ"/>
        <s v="C49SZX20200232SX"/>
        <s v="C49SZX20200210RSX"/>
        <s v="C49SZX20200138JZ"/>
        <s v="C49SZX20200132SX"/>
        <s v="BS-SZGZ20071306-ZB"/>
        <s v="C49SZX20200120SX"/>
        <s v="C49SZX20200188JY"/>
        <s v="C49SZX20200133JL"/>
        <s v="C49SZX20200091DZ"/>
        <s v="C49SZX20200146RW"/>
        <s v="C49SZX20200200SS"/>
        <s v="C49SZX20200242DZ"/>
        <s v="C49SZX20200115SX"/>
        <s v="C49SZX20200137SS"/>
        <s v="C49SZX20200150SS"/>
        <s v="C49SZX20200168SX"/>
        <s v="C49SZX20200171DZ"/>
        <s v="C28SZX20200087KC"/>
        <s v="C28SZX20200084KC"/>
        <s v="C49SZX20200160JL"/>
        <s v="C49SZX20200167EC"/>
        <s v="C49SZX20200159JY"/>
        <s v="C49SZX20200157SX"/>
        <s v="C49SZX20200129JL"/>
        <s v="C49SZX20200175JY"/>
        <s v="C49SZX20200152SX"/>
        <s v="C49SZX20200215JL"/>
        <s v="C49SZX20200149JL"/>
        <s v="C49SZX20200173MX"/>
        <s v="C49SZX20200209SX"/>
        <s v="C49SZX20200179MZ"/>
        <s v="C49SZX20200187SX"/>
        <s v="C49SZX20200169DZ"/>
        <s v="C49SZX20200216JL"/>
        <s v="C49SZX20200113SS"/>
        <s v="C49SZX20200196EC"/>
        <s v="C49SZX20200203SS"/>
        <s v="C49SZX20200190SS"/>
        <s v="C49SZX20200178SS"/>
        <s v="C49SZX20200142SX"/>
        <s v="C49SZX20200206MZ"/>
        <s v="C49SZX20200205JZ"/>
        <s v="C49SZX20200219SS"/>
        <s v="C49SZX20200183JY"/>
        <s v="C49SZX20200191SS"/>
        <s v="C49SZX20200211SX"/>
        <s v="C49SZX20200199MZ"/>
        <s v="C49SZX20200201JY"/>
        <s v="C49SZX20200212SX"/>
        <s v="C49SZX20200220SX"/>
        <s v="C28SZX20200081KC"/>
        <s v="C49SZX20200195SS"/>
        <s v="C49SZX20200182JY"/>
        <s v="C49SZX20200180SX"/>
        <s v="C49SZX20200158JL"/>
        <s v="C49SZX20200207MZ"/>
        <s v="C49SZX20200192SS"/>
        <s v="C49SZX20200162CY"/>
        <s v="SOLMT2061001"/>
        <s v="C49SZX20200080DY"/>
        <s v="C49SZX20200213MX"/>
        <s v="C49SZX20200221MZ"/>
        <s v="C49SZX20200198JZ"/>
        <s v="C49SZX20200229JY"/>
        <s v="C49SZX20200237SX"/>
        <s v="C49SZX20200227MZ"/>
        <s v="C49SZX20200246MX"/>
        <s v="C49SZX20200239JL"/>
        <s v="C49SZX20200222SS"/>
        <s v="C49SZX20200230SS"/>
        <s v="C49SZX20200231SX"/>
        <s v="C49SZX20200228JZ"/>
        <s v="C49SZX20200230JY"/>
        <s v="C49SZX20200240JL"/>
        <s v="C49SZX20200233JL"/>
        <s v="C49SZX20200240MZ"/>
        <s v="C49SZX20200247MZ"/>
        <s v="C49SZX20210001SS"/>
        <s v="C49SZX20210002SX"/>
        <s v="C49SZX20200218JZ"/>
        <s v="C49SZX20200245MZ"/>
        <s v="C49SZX20200243DZ"/>
        <s v="C49SZX20200248SX"/>
        <s v="C49SZX20200255JY"/>
        <s v="C49SZX20200260LC"/>
        <s v="C49SZX20200249SX"/>
        <s v="C49SZX20200257JY"/>
        <s v="C49SZX20200258JY"/>
        <s v="C49SZX20200202JY"/>
        <s v="C49SZX20200086JL"/>
        <s v="C49SZX20200217JL"/>
        <s v="C49SZX20190105ZX"/>
        <s v="C49SZX20200176SX"/>
        <s v="C49SZX20200241JL"/>
        <s v="C49SZX20200226SS"/>
        <s v="C49SZX20200238SX"/>
        <s v="ZS202012031533"/>
        <s v="C49SZX20200117SX"/>
        <s v="C49SZX20200156JL"/>
        <s v="C49SZX20200167MX-R1"/>
        <s v="C49SZX20200181SX"/>
        <s v="C49SZX20200223SS"/>
        <m/>
        <s v="C49SZX20200151RX" u="1"/>
      </sharedItems>
    </cacheField>
    <cacheField name="Customer Reserved" numFmtId="0">
      <sharedItems containsBlank="1" count="243">
        <s v="安林"/>
        <s v="维众"/>
        <s v="龙大光电"/>
        <s v="明昌"/>
        <s v="比泰利"/>
        <s v="易而达"/>
        <s v="雅鑫特"/>
        <s v="建航"/>
        <s v="方案集"/>
        <s v="上达"/>
        <s v="朗特"/>
        <s v="BBS好兄弟"/>
        <s v="世达威"/>
        <s v="奥晨"/>
        <s v="STK深台"/>
        <s v="通通旺"/>
        <s v="利速达"/>
        <s v="PROTECH"/>
        <s v="HangTe航特"/>
        <s v="凌鑫"/>
        <s v="永顺创"/>
        <s v="德兰明海"/>
        <s v="瑞福联"/>
        <s v="络鑫"/>
        <s v="恩圣"/>
        <s v="昶达CHEERSTAR"/>
        <s v="同基"/>
        <s v="网娱视通"/>
        <s v="魔乐视/end user:拓普赛特"/>
        <s v="存封"/>
        <s v="恒泰创新"/>
        <s v="卡迪圣"/>
        <s v="格力创"/>
        <s v="乐上"/>
        <s v="微力创/end user 昶达"/>
        <s v="世启纳"/>
        <s v="永顺创（Sales accurel in Oct)"/>
        <s v="兴开泰"/>
        <s v="迅丰"/>
        <s v="杉川/end user:放德劲"/>
        <s v="鸿南"/>
        <e v="#N/A"/>
        <s v="达人高科"/>
        <s v="柏星"/>
        <s v="鼎鸿"/>
        <s v="格美通"/>
        <s v="宝捷"/>
        <s v="惠阳锐诚"/>
        <s v="安林An Lin"/>
        <s v="An Lin东莞安林"/>
        <s v="恒泰"/>
        <s v="KeChengDa科诚达"/>
        <s v="派诺"/>
        <s v="Kingtron络鑫"/>
        <s v="宽宏/End user:亿联"/>
        <s v="名佳"/>
        <s v="Tuopuai拓普艾"/>
        <s v="鹏鑫达/end user:晶昌"/>
        <s v="祥弘瑞"/>
        <s v="睿视科技"/>
        <s v="恒润"/>
        <s v="安嘉"/>
        <s v="美斯特"/>
        <s v="小耳朵"/>
        <s v="太美亚"/>
        <s v="可祁"/>
        <s v="兆晖"/>
        <s v="智宏创"/>
        <s v="伯莱科"/>
        <s v="Bittele 比泰利"/>
        <s v="东莞圣亨"/>
        <s v="兴丰源"/>
        <s v="玮芯电子"/>
        <s v="富斯迈"/>
        <s v="帝泰克"/>
        <s v="嘉裕"/>
        <s v="锐诚"/>
        <s v="力通威"/>
        <s v="丰硕"/>
        <s v="长沙健科"/>
        <s v="东陆"/>
        <s v="城宇"/>
        <s v="凯瑞丰"/>
        <s v="铭华"/>
        <s v="天星创展"/>
        <s v="梵想"/>
        <s v="旭日"/>
        <s v="君泽"/>
        <s v="博星"/>
        <s v="锘铧"/>
        <s v="崧盛"/>
        <s v="正创/End user:世启纳"/>
        <s v="深圳健科"/>
        <s v="汇杰伟业"/>
        <s v="恒康佳业"/>
        <s v="海松微"/>
        <s v="嘉兴"/>
        <s v="妙琪"/>
        <s v="GCL 耕创"/>
        <s v="悦之彩"/>
        <s v="捷舜诚"/>
        <s v="富斯迈/end user:蓝普视讯"/>
        <s v="伟盛贸易(富洛）/晶科"/>
        <s v="海川伟业"/>
        <s v="尖端电子 end user海凌科达"/>
        <s v="首航"/>
        <s v="科士达"/>
        <s v="创荣发"/>
        <s v="中研"/>
        <s v="中润互联"/>
        <s v="宽宏"/>
        <s v="正创"/>
        <s v="杰森泰"/>
        <s v="海龙智通"/>
        <s v="灿明"/>
        <s v="铁甲"/>
        <s v="君博信"/>
        <s v="思迈科技"/>
        <s v="硕泰克/end user 铭翔"/>
        <s v="民龙/End user 众立创"/>
        <s v="靓颖电子"/>
        <s v="福瑞康"/>
        <s v="鸿南电子"/>
        <s v="鹏鑫达/欧科讯"/>
        <s v="华汛"/>
        <s v="豪恩"/>
        <s v="长源兴/end user美联辉"/>
        <s v="中科阿尔法"/>
        <s v="康腾"/>
        <s v="宏威创"/>
        <s v="格瑞智达/END USER 智宏创"/>
        <s v="博睿通"/>
        <s v="新明海"/>
        <s v="创伟峰"/>
        <s v="志恒兴盛"/>
        <s v="裕达盛"/>
        <s v="晟锦威"/>
        <s v="赛美达"/>
        <s v="赛维显示"/>
        <s v="光世代"/>
        <s v="熙洲电子"/>
        <s v="顺弘"/>
        <s v="奕东"/>
        <s v="耕创"/>
        <s v="弛瑞"/>
        <s v="珠海太川"/>
        <s v="海星"/>
        <s v="铭翔"/>
        <s v="新平泰/end user:弛瑞"/>
        <s v="晨日电子"/>
        <s v="钧溢电子"/>
        <s v="和盛光电"/>
        <s v="融创新合"/>
        <s v="金海智控"/>
        <s v="智序"/>
        <s v="星辰宇"/>
        <s v="英拓邦"/>
        <s v="乐凡电子"/>
        <s v="旭日伟光"/>
        <s v="科华/End user 美斯特"/>
        <s v="鑫东泰"/>
        <s v="铭华永兴"/>
        <s v="朗特/end user:朗勤"/>
        <s v="百纳海"/>
        <s v="新平泰end user:弛瑞"/>
        <s v="德劲"/>
        <s v="晨鑫达"/>
        <s v="惠州创荣发"/>
        <s v="泰鑫荣"/>
        <s v="百施达"/>
        <s v="辉拓（end user：海纳科）"/>
        <s v="江恒"/>
        <s v="博德越"/>
        <s v="正邦"/>
        <s v="海红天远"/>
        <s v="昊亮迪（end user：海纳科）"/>
        <s v="芯联鑫"/>
        <s v="万恒光电"/>
        <s v="华创易达"/>
        <s v="东原"/>
        <s v="斯迈"/>
        <s v="金睿通"/>
        <s v="前海福源"/>
        <s v="豫龙辉"/>
        <s v="华彩鑫"/>
        <s v="嘉普达"/>
        <s v="志华鑫"/>
        <s v="擎宇精工"/>
        <s v="益田科技"/>
        <s v="宏润通"/>
        <s v="伟志半导体"/>
        <s v="金晟晖"/>
        <s v="刻锐"/>
        <s v="斯路迅"/>
        <s v="众鑫科"/>
        <s v="鹏鑫达（end user：阿克西姆）"/>
        <s v="银宝山新"/>
        <s v="光瑞新（end user：海纳科）"/>
        <s v="平方兆赫"/>
        <s v="高伟"/>
        <s v="优控电子"/>
        <s v="炑炑明"/>
        <s v="博睿通（end user：锂动力）"/>
        <s v="皇家显示"/>
        <s v="鑫联科"/>
        <s v="昊亮迪"/>
        <s v="成景"/>
        <s v="旭晟"/>
        <s v="博新"/>
        <s v="日东（end user：远爱）"/>
        <s v="韵律光电"/>
        <s v="亿莱"/>
        <s v="派勤"/>
        <s v="广泰博"/>
        <s v="维益"/>
        <s v="顺鸿达"/>
        <s v="鑫亿特"/>
        <s v="海纳科"/>
        <s v="同创"/>
        <s v="博科通"/>
        <s v="拓新伟业"/>
        <s v="鸿通宇"/>
        <s v="合进高"/>
        <s v="景硕电子"/>
        <s v="力拔"/>
        <s v="富源晟"/>
        <s v="音品"/>
        <s v="腾拓"/>
        <s v="阿里兄妹"/>
        <s v="岚新"/>
        <s v="程氏松哥"/>
        <s v="华耘"/>
        <s v="博实结"/>
        <s v="盈通恒翼"/>
        <s v="海凌科达"/>
        <s v="鑫金鸿"/>
        <s v="新智杰光电"/>
        <s v="永诺精密"/>
        <s v="精德鸿"/>
        <s v="大唐"/>
        <s v="科诚达"/>
        <m/>
        <s v="富艾斯" u="1"/>
      </sharedItems>
    </cacheField>
    <cacheField name="Item2" numFmtId="0">
      <sharedItems containsBlank="1" count="17">
        <s v="YSM40R-4"/>
        <s v="YSM10"/>
        <s v="YS12"/>
        <s v="YSM20-2"/>
        <s v="YSM20R(SV)-2"/>
        <s v="YS24X"/>
        <e v="#N/A"/>
        <s v="YS24"/>
        <s v="YCP10"/>
        <s v="SIGMA G5S2"/>
        <s v="YSD"/>
        <s v="YSM20WR-2"/>
        <s v="YSM20R-2"/>
        <s v="YSM10-HM5"/>
        <s v="YSi-V"/>
        <s v="SolderStar-Lite 6"/>
        <m/>
      </sharedItems>
    </cacheField>
    <cacheField name="Direction2" numFmtId="0">
      <sharedItems containsBlank="1"/>
    </cacheField>
    <cacheField name="Item w config2" numFmtId="0">
      <sharedItems containsBlank="1"/>
    </cacheField>
    <cacheField name="Config Match" numFmtId="179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204.444991782409" createdVersion="6" refreshedVersion="6" minRefreshableVersion="3" recordCount="117" xr:uid="{34BA9981-354C-4868-93C1-BC30CB8A9DD8}">
  <cacheSource type="worksheet">
    <worksheetSource ref="A1:G117" sheet="Sheet3" r:id="rId2"/>
  </cacheSource>
  <cacheFields count="7">
    <cacheField name="Item" numFmtId="179">
      <sharedItems count="11">
        <s v="SS 8mm"/>
        <s v="SS 12/16mm"/>
        <s v="SS 24mm"/>
        <s v="SS 32mm"/>
        <s v="SS 56mm"/>
        <s v="SS 44mm"/>
        <s v="ZS 8mm"/>
        <s v="ZS 12/16mm"/>
        <s v="ZS 24mm"/>
        <s v="ZS 32mm"/>
        <s v="ZS 44mm"/>
      </sharedItems>
    </cacheField>
    <cacheField name="Item2" numFmtId="179">
      <sharedItems/>
    </cacheField>
    <cacheField name="Part number" numFmtId="0">
      <sharedItems containsMixedTypes="1" containsNumber="1" containsInteger="1" minValue="110274" maxValue="110274"/>
    </cacheField>
    <cacheField name="PO " numFmtId="0">
      <sharedItems containsMixedTypes="1" containsNumber="1" containsInteger="1" minValue="110066" maxValue="110274" count="40">
        <n v="110066"/>
        <n v="110230"/>
        <n v="110096"/>
        <n v="110105"/>
        <n v="110106"/>
        <n v="110107"/>
        <n v="110199"/>
        <n v="110130"/>
        <n v="110131"/>
        <n v="110132"/>
        <n v="110133"/>
        <n v="110150"/>
        <n v="110151"/>
        <n v="110153"/>
        <n v="110172"/>
        <n v="110173"/>
        <n v="110174"/>
        <n v="110175"/>
        <n v="110176"/>
        <n v="110210"/>
        <n v="110211"/>
        <n v="110212"/>
        <n v="110227"/>
        <n v="110228"/>
        <n v="110238"/>
        <n v="110236"/>
        <n v="110237"/>
        <n v="110244"/>
        <n v="110245"/>
        <n v="110246"/>
        <n v="110247"/>
        <n v="110248"/>
        <n v="110249"/>
        <n v="110250"/>
        <n v="110251"/>
        <n v="110271"/>
        <n v="110272"/>
        <n v="110274"/>
        <s v="平方兆赫名义下单"/>
        <n v="110108" u="1"/>
      </sharedItems>
    </cacheField>
    <cacheField name="Customer name or STK" numFmtId="0">
      <sharedItems count="11">
        <s v="Stock order"/>
        <s v="玥芯通名义下单"/>
        <s v="益田名义下单"/>
        <s v="志华鑫名义下单"/>
        <s v="Stock order(reserved by Leader Tech)"/>
        <s v="众鑫科名义"/>
        <s v="锘铧名义下单"/>
        <s v="音品名义下单"/>
        <s v="精德鸿名义下单"/>
        <s v="平方兆赫名义下单"/>
        <s v="TBA"/>
      </sharedItems>
    </cacheField>
    <cacheField name="ETA" numFmtId="176">
      <sharedItems containsDate="1" containsMixedTypes="1" minDate="2021-01-01T00:00:00" maxDate="2021-02-07T00:00:00" count="23">
        <d v="2021-01-04T00:00:00"/>
        <s v="2021-2-3等Shen回复"/>
        <d v="2021-01-22T00:00:00"/>
        <d v="2021-01-16T00:00:00"/>
        <d v="2021-01-25T00:00:00"/>
        <d v="2021-02-06T00:00:00"/>
        <s v="Ex-work 1/20"/>
        <s v="ex work 1/21"/>
        <s v="ex work 2021/2/8"/>
        <s v="TBA"/>
        <s v="ex work 2021/2/2"/>
        <s v="ex work 2021/2/10"/>
        <s v="2021/2/3，船期没book"/>
        <s v="ex work 1/20"/>
        <s v="ex work 2/4"/>
        <s v="ex work 2021/1/21"/>
        <s v="Incoming"/>
        <s v="2020/2/6,船期OK" u="1"/>
        <s v="2021/2/3，船期没booking " u="1"/>
        <s v="2021/2/6，船期OK" u="1"/>
        <s v="2021/1/16，船期OK" u="1"/>
        <d v="2021-01-01T00:00:00" u="1"/>
        <s v="2021/1/25,船期OK" u="1"/>
      </sharedItems>
    </cacheField>
    <cacheField name="Warehouse" numFmtId="0">
      <sharedItems containsMixedTypes="1" containsNumber="1" containsInteger="1" minValue="5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247.456497685183" createdVersion="6" refreshedVersion="6" minRefreshableVersion="3" recordCount="128" xr:uid="{32A8659E-9E43-4FFC-BD03-6ACFE5C4F25F}">
  <cacheSource type="worksheet">
    <worksheetSource ref="A1:F1048576" sheet="Sheet1" r:id="rId2"/>
  </cacheSource>
  <cacheFields count="6">
    <cacheField name="Item" numFmtId="179">
      <sharedItems containsBlank="1" count="13">
        <s v="ZS 8mm"/>
        <s v="ZS 12/16mm"/>
        <s v="ZS 24mm"/>
        <s v="SS 8mm"/>
        <s v="SS 12/16mm"/>
        <s v="SS 24mm"/>
        <s v="ZS 32mm"/>
        <s v="ZS 44mm"/>
        <s v="SS 32mm"/>
        <s v="SS 44mm"/>
        <s v="SS 56mm"/>
        <s v="SS 72mm"/>
        <m/>
      </sharedItems>
    </cacheField>
    <cacheField name="Reserved Customer" numFmtId="179">
      <sharedItems containsBlank="1" count="40">
        <s v="平方兆赫"/>
        <s v="东陆"/>
        <s v="众鑫科"/>
        <s v="同创"/>
        <s v="腾拓"/>
        <s v="音品"/>
        <s v="英拓邦"/>
        <s v="程氏松哥"/>
        <s v="新明海"/>
        <s v="深圳健科"/>
        <s v="盈通恒翼"/>
        <s v="可祁"/>
        <s v="景硕电子"/>
        <s v="岚新"/>
        <s v="金睿通"/>
        <s v="瑞福联"/>
        <s v="博实结"/>
        <s v="鑫金鸿"/>
        <s v="新智杰光电"/>
        <s v="海凌科达"/>
        <s v="朗特"/>
        <s v="悦之彩"/>
        <s v="永诺精密"/>
        <s v="凌鑫"/>
        <s v="品诚伟创"/>
        <s v="赛维显示"/>
        <s v="泰润"/>
        <s v="益田科技"/>
        <s v="吉鑫凯"/>
        <s v="优派芯"/>
        <s v="航特"/>
        <s v="嘉裕"/>
        <s v="赛美达"/>
        <s v="模鑫"/>
        <s v="捷舜诚"/>
        <s v="正宏兴"/>
        <s v="狂热者"/>
        <s v="百益晟"/>
        <s v="名商"/>
        <m/>
      </sharedItems>
    </cacheField>
    <cacheField name="Reserved Customer Contract No." numFmtId="179">
      <sharedItems containsBlank="1"/>
    </cacheField>
    <cacheField name="Currency" numFmtId="0">
      <sharedItems containsBlank="1" count="3">
        <s v="JPY"/>
        <s v="RMB"/>
        <m/>
      </sharedItems>
    </cacheField>
    <cacheField name="预留Feeder数" numFmtId="0">
      <sharedItems containsString="0" containsBlank="1" containsNumber="1" containsInteger="1" minValue="1" maxValue="400"/>
    </cacheField>
    <cacheField name="Delivery month" numFmtId="179">
      <sharedItems containsBlank="1" count="5">
        <s v="MAR 21"/>
        <s v="beginning MAR 21"/>
        <s v="FEB 21"/>
        <s v="APR 2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384.628347453705" createdVersion="6" refreshedVersion="6" minRefreshableVersion="3" recordCount="266" xr:uid="{E4E749CE-9925-4D63-95FC-A8B2CB7F1E65}">
  <cacheSource type="worksheet">
    <worksheetSource ref="A1:F1048576" sheet="Sheet1"/>
  </cacheSource>
  <cacheFields count="6">
    <cacheField name="Item" numFmtId="179">
      <sharedItems containsBlank="1" count="12">
        <s v="SS 8mm"/>
        <s v="SS 12/16mm"/>
        <s v="SS 24mm"/>
        <s v="SS 32mm"/>
        <s v="ZS 8mm"/>
        <s v="ZS 12/16mm"/>
        <s v="ZS 24mm"/>
        <s v="ZS 32mm"/>
        <s v="ZS 44mm"/>
        <s v="SS 44mm"/>
        <s v="SS 56mm"/>
        <m/>
      </sharedItems>
    </cacheField>
    <cacheField name="Reserved Customer" numFmtId="179">
      <sharedItems containsBlank="1" count="83">
        <s v="兴开泰"/>
        <s v="众鑫科"/>
        <s v="金睿通"/>
        <s v="瑞福联"/>
        <s v="保凌"/>
        <s v="益田科技"/>
        <s v="优品"/>
        <s v="江西络鑫"/>
        <s v="斯迈电子"/>
        <s v="世启纳"/>
        <s v="铣米"/>
        <s v="祥弘瑞"/>
        <s v="泓凯"/>
        <s v="崧盛"/>
        <s v="懿美莱"/>
        <s v="乘扬"/>
        <s v="聚亮兴业"/>
        <s v="辉拓"/>
        <s v="杉川"/>
        <s v="恒创兴"/>
        <s v="蓝泰翔"/>
        <s v="捷盛达"/>
        <s v="星原"/>
        <s v="精德鸿"/>
        <s v="海松微"/>
        <s v="嘉兴"/>
        <s v="睿昌"/>
        <s v="炑炑明"/>
        <s v="利速达"/>
        <s v="广恒创新（enduser:深圳比尔乔）"/>
        <s v="鑫华锋"/>
        <s v="众华"/>
        <s v="太美亚"/>
        <s v="科华/End user 美斯特"/>
        <m/>
        <s v="锂动力" u="1"/>
        <s v="络鑫（end user:东莞络鑫）" u="1"/>
        <s v="智序" u="1"/>
        <s v="百益晟" u="1"/>
        <s v="狂热者" u="1"/>
        <s v="鸿翔" u="1"/>
        <s v="恒泰创新" u="1"/>
        <s v="悦之彩" u="1"/>
        <s v="中润互联" u="1"/>
        <s v="美田" u="1"/>
        <s v="音品" u="1"/>
        <s v="特斯浦" u="1"/>
        <s v="昂迅" u="1"/>
        <s v="赛美达" u="1"/>
        <s v="赛维显示" u="1"/>
        <s v="君泽" u="1"/>
        <s v="欧科讯" u="1"/>
        <s v="嘉裕" u="1"/>
        <s v="名商" u="1"/>
        <s v="凌鑫" u="1"/>
        <s v="晟锦威" u="1"/>
        <s v="龙大光电" u="1"/>
        <s v="圣亨" u="1"/>
        <s v="亮瑞" u="1"/>
        <s v="平方兆赫" u="1"/>
        <s v="奥祺" u="1"/>
        <s v="程氏松哥" u="1"/>
        <s v="骏孚" u="1"/>
        <s v="小婉牛" u="1"/>
        <s v="世达威" u="1"/>
        <s v="恒越通" u="1"/>
        <s v="恒业信" u="1"/>
        <s v="贝爱婴童" u="1"/>
        <s v="星辰宇" u="1"/>
        <s v="乐凡电子" u="1"/>
        <s v="福瑞康" u="1"/>
        <s v="芯联鑫" u="1"/>
        <s v="惠宇" u="1"/>
        <s v="鑫金鸿" u="1"/>
        <s v="富源晟" u="1"/>
        <s v="华汛" u="1"/>
        <s v="伯莱科" u="1"/>
        <s v="泰润" u="1"/>
        <s v="吉鑫凯" u="1"/>
        <s v="品诚伟创" u="1"/>
        <s v="奥视通" u="1"/>
        <s v="斯迈" u="1"/>
        <s v="岚新" u="1"/>
      </sharedItems>
    </cacheField>
    <cacheField name="Reserved Customer Contract No." numFmtId="179">
      <sharedItems containsBlank="1"/>
    </cacheField>
    <cacheField name="Currency" numFmtId="0">
      <sharedItems containsBlank="1" count="3">
        <s v="JPY"/>
        <s v="RMB"/>
        <m/>
      </sharedItems>
    </cacheField>
    <cacheField name="预留Feeder数" numFmtId="0">
      <sharedItems containsString="0" containsBlank="1" containsNumber="1" containsInteger="1" minValue="1" maxValue="770"/>
    </cacheField>
    <cacheField name="Delivery month" numFmtId="0">
      <sharedItems containsBlank="1" count="7">
        <s v="JUL 21"/>
        <s v="SEP 21"/>
        <s v="AUG 21"/>
        <m/>
        <s v="MAY 21" u="1"/>
        <s v="APR 21" u="1"/>
        <s v="JUN 2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965.630049189815" createdVersion="7" refreshedVersion="7" minRefreshableVersion="3" recordCount="604" xr:uid="{39F1AB3E-3C73-4A04-BF4E-0046C54FB6CA}">
  <cacheSource type="worksheet">
    <worksheetSource ref="A1:Y1048576" sheet="SMT Quote Rate " r:id="rId2"/>
  </cacheSource>
  <cacheFields count="25">
    <cacheField name="Period                " numFmtId="0">
      <sharedItems containsBlank="1" containsMixedTypes="1" containsNumber="1" containsInteger="1" minValue="2019" maxValue="2023" count="8">
        <m/>
        <n v="2019"/>
        <n v="2020"/>
        <n v="2021"/>
        <n v="2022"/>
        <s v="FY20/21"/>
        <s v="FY21/22"/>
        <n v="2023"/>
      </sharedItems>
    </cacheField>
    <cacheField name="DEPT" numFmtId="0">
      <sharedItems containsBlank="1" count="15">
        <s v="C49"/>
        <s v="C28"/>
        <s v="C49SHA"/>
        <s v="C49CNY"/>
        <s v="C49(加价)"/>
        <s v="C49(51%)"/>
        <s v="C49(54%)"/>
        <s v="Cancel"/>
        <s v="C49(57%)"/>
        <s v="C49(55%)"/>
        <s v="C49(53%)"/>
        <s v="C49(49%)"/>
        <s v="C49(加价2)"/>
        <m/>
        <s v="C49(IND)" u="1"/>
      </sharedItems>
    </cacheField>
    <cacheField name="TYPE (Inter-co)" numFmtId="0">
      <sharedItems containsBlank="1" count="3">
        <s v="STK"/>
        <s v="IND"/>
        <m/>
      </sharedItems>
    </cacheField>
    <cacheField name="TYPE                 (To supplier)" numFmtId="43">
      <sharedItems containsBlank="1" count="3">
        <m/>
        <s v="STK"/>
        <s v="IND"/>
      </sharedItems>
    </cacheField>
    <cacheField name="LC number" numFmtId="0">
      <sharedItems containsBlank="1"/>
    </cacheField>
    <cacheField name="issuing bank charges  (HKD)" numFmtId="43">
      <sharedItems containsBlank="1" containsMixedTypes="1" containsNumber="1" minValue="0" maxValue="6941.09"/>
    </cacheField>
    <cacheField name="benificiary bank charges(JPY)" numFmtId="43">
      <sharedItems containsBlank="1" containsMixedTypes="1" containsNumber="1" containsInteger="1" minValue="0" maxValue="248057"/>
    </cacheField>
    <cacheField name="海運費用 HKD" numFmtId="0">
      <sharedItems containsString="0" containsBlank="1" containsNumber="1" minValue="0" maxValue="226373.75"/>
    </cacheField>
    <cacheField name="PO#                             (To Supplier)" numFmtId="0">
      <sharedItems containsBlank="1" containsMixedTypes="1" containsNumber="1" containsInteger="1" minValue="109783" maxValue="111222" count="366">
        <m/>
        <n v="109793"/>
        <n v="109794"/>
        <n v="109783"/>
        <n v="109815"/>
        <n v="109820"/>
        <n v="109816"/>
        <n v="109806"/>
        <n v="109855"/>
        <n v="109856"/>
        <n v="109857"/>
        <n v="109858"/>
        <n v="109889"/>
        <n v="109873"/>
        <n v="109868"/>
        <n v="109880"/>
        <n v="109886"/>
        <n v="109891"/>
        <n v="109917"/>
        <n v="109924"/>
        <n v="109933"/>
        <n v="109957"/>
        <n v="109958"/>
        <n v="109981"/>
        <n v="109926"/>
        <n v="109954"/>
        <s v="49J103603"/>
        <n v="109980"/>
        <n v="109976"/>
        <n v="109977"/>
        <n v="109984"/>
        <n v="110058"/>
        <n v="109995"/>
        <n v="109996"/>
        <n v="110047"/>
        <n v="110048"/>
        <n v="110046"/>
        <n v="109991"/>
        <n v="110033"/>
        <n v="110038"/>
        <n v="109992"/>
        <n v="110034"/>
        <n v="110055"/>
        <n v="110049"/>
        <n v="110025"/>
        <n v="110081"/>
        <n v="110050"/>
        <n v="110043"/>
        <n v="110137"/>
        <n v="110089"/>
        <n v="110026"/>
        <n v="110045"/>
        <n v="110044"/>
        <s v="49F103708"/>
        <n v="110110"/>
        <n v="110068"/>
        <n v="110069"/>
        <n v="110097"/>
        <n v="110181"/>
        <n v="110158"/>
        <n v="110159"/>
        <n v="110122"/>
        <n v="110161"/>
        <n v="110108"/>
        <n v="110067"/>
        <n v="110066"/>
        <n v="110168"/>
        <n v="110170"/>
        <n v="110195"/>
        <n v="110105"/>
        <n v="110106"/>
        <n v="110198"/>
        <n v="110199"/>
        <n v="110123"/>
        <n v="110107"/>
        <n v="110096"/>
        <n v="110201"/>
        <n v="110230"/>
        <n v="110235"/>
        <n v="110133"/>
        <n v="110132"/>
        <n v="110130"/>
        <n v="110131"/>
        <n v="110150"/>
        <n v="110172"/>
        <n v="110173"/>
        <n v="110287"/>
        <n v="110174"/>
        <n v="110175"/>
        <n v="110210"/>
        <n v="110176"/>
        <n v="110151"/>
        <n v="110237"/>
        <n v="110251"/>
        <n v="110328"/>
        <n v="110297"/>
        <n v="110152"/>
        <n v="110238"/>
        <n v="110212"/>
        <n v="110153"/>
        <n v="110347"/>
        <n v="110348"/>
        <n v="110274"/>
        <n v="110333"/>
        <n v="110245"/>
        <n v="110272"/>
        <n v="110271"/>
        <n v="110327"/>
        <n v="110301"/>
        <n v="110346"/>
        <n v="110403"/>
        <n v="110331"/>
        <n v="110416"/>
        <s v="110244,new po110463"/>
        <n v="110211"/>
        <n v="110227"/>
        <n v="110248"/>
        <n v="110236"/>
        <n v="110228"/>
        <n v="110246"/>
        <n v="110437"/>
        <n v="110397"/>
        <n v="110450"/>
        <n v="110384"/>
        <n v="110449"/>
        <n v="110352"/>
        <n v="110380"/>
        <n v="110481"/>
        <n v="110479"/>
        <n v="110452"/>
        <n v="110402"/>
        <n v="110441"/>
        <n v="110247"/>
        <n v="110413"/>
        <n v="110431"/>
        <n v="110383"/>
        <n v="110500"/>
        <n v="110314"/>
        <n v="110557"/>
        <n v="110558"/>
        <n v="110562"/>
        <n v="110593"/>
        <n v="110556"/>
        <n v="110576"/>
        <n v="110579"/>
        <n v="110580"/>
        <n v="110578"/>
        <n v="110598"/>
        <n v="110582"/>
        <n v="110581"/>
        <n v="110594"/>
        <n v="110635"/>
        <n v="110634"/>
        <n v="110620"/>
        <n v="110617"/>
        <n v="110619"/>
        <n v="110459"/>
        <n v="110618"/>
        <n v="110669"/>
        <n v="110530"/>
        <n v="110671"/>
        <s v="49F104087"/>
        <s v="49F104088"/>
        <s v="49F104089"/>
        <s v="49F103948"/>
        <s v="49F103968"/>
        <s v="49F104054"/>
        <s v="49F104147"/>
        <n v="110550"/>
        <n v="110670"/>
        <n v="110664"/>
        <n v="110708"/>
        <n v="110665"/>
        <n v="110693"/>
        <n v="110666"/>
        <n v="110694"/>
        <n v="110695"/>
        <n v="110697"/>
        <n v="110696"/>
        <n v="110698"/>
        <n v="110734"/>
        <n v="110731"/>
        <n v="110689"/>
        <n v="110690"/>
        <n v="110630"/>
        <n v="110691"/>
        <n v="110692"/>
        <n v="110726"/>
        <n v="110727"/>
        <n v="110729"/>
        <n v="110472"/>
        <n v="110730"/>
        <n v="110733"/>
        <n v="110800"/>
        <n v="110771"/>
        <n v="110728"/>
        <n v="110732"/>
        <n v="110737"/>
        <n v="110773"/>
        <n v="110775"/>
        <n v="110774"/>
        <n v="110249"/>
        <n v="110755"/>
        <n v="110756"/>
        <n v="110770"/>
        <n v="110769"/>
        <n v="110766"/>
        <n v="110768"/>
        <n v="110767"/>
        <n v="110758"/>
        <n v="110760"/>
        <n v="110762"/>
        <n v="110813"/>
        <n v="110757"/>
        <n v="110759"/>
        <n v="110761"/>
        <n v="110763"/>
        <n v="110803"/>
        <n v="110791"/>
        <n v="110812"/>
        <s v="49F104206"/>
        <n v="110765"/>
        <n v="110764"/>
        <n v="110824"/>
        <n v="110829"/>
        <n v="110825"/>
        <n v="110831"/>
        <n v="110823"/>
        <n v="110830"/>
        <n v="110826"/>
        <n v="110827"/>
        <n v="110828"/>
        <n v="110832"/>
        <n v="110838"/>
        <n v="110833"/>
        <n v="110834"/>
        <n v="110835"/>
        <n v="110836"/>
        <n v="110837"/>
        <n v="110810"/>
        <n v="110436"/>
        <n v="110429"/>
        <n v="110870"/>
        <n v="110874"/>
        <n v="110873"/>
        <n v="110882"/>
        <n v="110869"/>
        <n v="110863"/>
        <n v="110866"/>
        <n v="110867"/>
        <n v="110883"/>
        <n v="110864"/>
        <n v="110872"/>
        <n v="110865"/>
        <n v="110868"/>
        <s v="49F104103"/>
        <s v="49F104104"/>
        <s v="49F104105"/>
        <s v="49F104131"/>
        <s v="49F104157"/>
        <s v="49F104158"/>
        <s v="49F104161"/>
        <s v="49F104165"/>
        <s v="49F104166"/>
        <s v="49F104167"/>
        <s v="49F104168"/>
        <n v="110896"/>
        <n v="110877"/>
        <n v="110910"/>
        <n v="110871"/>
        <n v="110887"/>
        <n v="110875"/>
        <n v="110935"/>
        <n v="110949"/>
        <n v="110809"/>
        <n v="110254"/>
        <n v="110315"/>
        <n v="110250"/>
        <n v="110316"/>
        <n v="110317"/>
        <n v="110318"/>
        <n v="110319"/>
        <n v="110374"/>
        <n v="110375"/>
        <n v="110376"/>
        <n v="110377"/>
        <n v="110378"/>
        <n v="110379"/>
        <n v="110497"/>
        <n v="110965"/>
        <n v="110444"/>
        <n v="110445"/>
        <n v="110519"/>
        <n v="110915"/>
        <n v="110916"/>
        <n v="110917"/>
        <n v="110918"/>
        <n v="110919"/>
        <n v="110920"/>
        <n v="110921"/>
        <n v="110922"/>
        <n v="110923"/>
        <n v="110924"/>
        <n v="110928"/>
        <n v="110929"/>
        <n v="110940"/>
        <n v="110930"/>
        <n v="110931"/>
        <n v="110932"/>
        <n v="110933"/>
        <n v="110934"/>
        <n v="110948"/>
        <n v="110962"/>
        <n v="110961"/>
        <n v="110960"/>
        <n v="110957"/>
        <n v="110959"/>
        <n v="110958"/>
        <n v="110956"/>
        <n v="110953"/>
        <n v="110952"/>
        <n v="110951"/>
        <n v="110954"/>
        <n v="110963"/>
        <n v="110986"/>
        <n v="110987"/>
        <n v="110988"/>
        <n v="110989"/>
        <n v="110990"/>
        <n v="110991"/>
        <n v="110992"/>
        <n v="110993"/>
        <n v="110995"/>
        <n v="110996"/>
        <n v="110997"/>
        <n v="110998"/>
        <n v="110999"/>
        <n v="111000"/>
        <n v="111001"/>
        <n v="111002"/>
        <n v="111003"/>
        <n v="111004"/>
        <n v="111006"/>
        <n v="111020"/>
        <s v="49F104334"/>
        <n v="111053"/>
        <s v="49F104337"/>
        <s v="49F104335"/>
        <s v="49F104336"/>
        <s v="49F104340"/>
        <s v="49F104339"/>
        <s v="49F104342"/>
        <s v="49F104341"/>
        <n v="111051"/>
        <n v="111077"/>
        <n v="111095"/>
        <n v="111096"/>
        <n v="111097"/>
        <s v="28L104351"/>
        <s v="49F104436"/>
        <n v="111131"/>
        <n v="111132"/>
        <n v="111133"/>
        <n v="111134"/>
        <n v="111202"/>
        <n v="111222"/>
      </sharedItems>
    </cacheField>
    <cacheField name="PO#               (Inter co)" numFmtId="0">
      <sharedItems containsBlank="1" containsMixedTypes="1" containsNumber="1" containsInteger="1" minValue="109109" maxValue="111222"/>
    </cacheField>
    <cacheField name="PO  Date" numFmtId="14">
      <sharedItems containsNonDate="0" containsDate="1" containsString="0" containsBlank="1" minDate="2019-11-11T00:00:00" maxDate="2023-02-08T00:00:00" count="106">
        <m/>
        <d v="2019-11-11T00:00:00"/>
        <d v="2019-11-18T00:00:00"/>
        <d v="2019-11-25T00:00:00"/>
        <d v="2019-12-06T00:00:00"/>
        <d v="2019-12-20T00:00:00"/>
        <d v="2020-01-20T00:00:00"/>
        <d v="2020-01-09T00:00:00"/>
        <d v="2020-03-26T00:00:00"/>
        <d v="2020-03-25T00:00:00"/>
        <d v="2020-04-22T00:00:00"/>
        <d v="2020-04-15T00:00:00"/>
        <d v="2020-04-21T00:00:00"/>
        <d v="2020-04-23T00:00:00"/>
        <d v="2020-04-27T00:00:00"/>
        <d v="2020-05-29T00:00:00"/>
        <d v="2020-06-03T00:00:00"/>
        <d v="2020-06-09T00:00:00"/>
        <d v="2020-06-30T00:00:00"/>
        <d v="2020-07-13T00:00:00"/>
        <d v="2020-06-24T00:00:00"/>
        <d v="2020-07-10T00:00:00"/>
        <d v="2020-07-16T00:00:00"/>
        <d v="2020-08-27T00:00:00"/>
        <d v="2020-07-22T00:00:00"/>
        <d v="2020-08-21T00:00:00"/>
        <d v="2020-08-20T00:00:00"/>
        <d v="2020-07-21T00:00:00"/>
        <d v="2020-08-17T00:00:00"/>
        <d v="2020-08-18T00:00:00"/>
        <d v="2020-08-25T00:00:00"/>
        <d v="2020-08-11T00:00:00"/>
        <d v="2020-09-15T00:00:00"/>
        <d v="2020-09-03T00:00:00"/>
        <d v="2020-09-21T00:00:00"/>
        <d v="2020-08-19T00:00:00"/>
        <d v="2020-09-28T00:00:00"/>
        <d v="2020-09-18T00:00:00"/>
        <d v="2020-11-02T00:00:00"/>
        <d v="2020-10-11T00:00:00"/>
        <d v="2020-09-25T00:00:00"/>
        <d v="2020-11-05T00:00:00"/>
        <d v="2020-11-16T00:00:00"/>
        <d v="2020-11-09T00:00:00"/>
        <d v="2020-11-23T00:00:00"/>
        <d v="2020-12-10T00:00:00"/>
        <d v="2020-12-15T00:00:00"/>
        <d v="2021-01-18T00:00:00"/>
        <d v="2020-12-14T00:00:00"/>
        <d v="2021-01-06T00:00:00"/>
        <d v="2021-02-03T00:00:00"/>
        <d v="2021-01-05T00:00:00"/>
        <d v="2021-02-02T00:00:00"/>
        <d v="2021-01-19T00:00:00"/>
        <d v="2020-12-04T00:00:00"/>
        <d v="2021-03-31T00:00:00"/>
        <d v="2021-01-27T00:00:00"/>
        <d v="2021-03-11T00:00:00"/>
        <d v="2021-03-08T00:00:00"/>
        <d v="2021-08-17T00:00:00"/>
        <d v="2021-07-21T00:00:00"/>
        <d v="2021-08-03T00:00:00"/>
        <d v="2021-08-05T00:00:00"/>
        <d v="2021-09-16T00:00:00"/>
        <d v="2021-09-07T00:00:00"/>
        <d v="2021-05-10T00:00:00"/>
        <d v="2021-07-01T00:00:00"/>
        <d v="2021-11-18T00:00:00"/>
        <d v="2021-06-29T00:00:00"/>
        <d v="2021-10-19T00:00:00"/>
        <d v="2021-12-03T00:00:00"/>
        <d v="2021-07-14T00:00:00"/>
        <d v="2021-10-27T00:00:00"/>
        <d v="2021-10-23T00:00:00"/>
        <d v="2021-11-16T00:00:00"/>
        <d v="2021-12-09T00:00:00"/>
        <d v="2021-12-10T00:00:00"/>
        <d v="2021-12-29T00:00:00"/>
        <d v="2022-01-26T00:00:00"/>
        <d v="2022-01-20T00:00:00"/>
        <d v="2022-01-10T00:00:00"/>
        <d v="2022-01-21T00:00:00"/>
        <d v="2022-02-15T00:00:00"/>
        <d v="2022-03-17T00:00:00"/>
        <d v="2022-03-25T00:00:00"/>
        <d v="2022-01-05T00:00:00"/>
        <d v="2022-01-12T00:00:00"/>
        <d v="2022-01-13T00:00:00"/>
        <d v="2021-03-09T00:00:00"/>
        <d v="2021-04-22T00:00:00"/>
        <d v="2021-06-23T00:00:00"/>
        <d v="2022-04-20T00:00:00"/>
        <d v="2022-04-21T00:00:00"/>
        <d v="2022-04-28T00:00:00"/>
        <d v="2022-04-29T00:00:00"/>
        <d v="2022-05-18T00:00:00"/>
        <d v="2022-06-07T00:00:00"/>
        <d v="2022-06-09T00:00:00"/>
        <d v="2022-06-24T00:00:00"/>
        <d v="2022-07-14T00:00:00"/>
        <d v="2022-08-09T00:00:00"/>
        <d v="2022-08-18T00:00:00"/>
        <d v="2022-12-08T00:00:00"/>
        <d v="2022-10-11T00:00:00"/>
        <d v="2022-12-23T00:00:00"/>
        <d v="2023-02-07T00:00:00"/>
      </sharedItems>
    </cacheField>
    <cacheField name="DESC" numFmtId="0">
      <sharedItems containsBlank="1" count="243">
        <s v="Stock machine(seperated PO#109057)"/>
        <s v="明昌（bright)"/>
        <s v="Stock machine"/>
        <s v="2018 4th Stock machine （易士达名义下单）"/>
        <s v="Stock machine(seperated PO#109109)"/>
        <s v="Stock machine(seperated PO#109157,Kstar )"/>
        <s v="Stock machine(seperated PO#109177)"/>
        <s v="2018 3rd Stock machine "/>
        <s v="2018 5th Stock machine "/>
        <s v="Stock machine(安嘉名义下单）"/>
        <s v="2018 5th Stock machine (Sepearated PO109213)"/>
        <s v="上海拆分的订单"/>
        <s v="Stock machine(seperated PO#109158)"/>
        <s v="2018 12th Stock machine(上达名义下单)"/>
        <s v="2018 16th Stock machine"/>
        <s v="2018 12th Stock machine(上达名义下单),seperated PO109257"/>
        <s v="Stock machine(Seperated PO#109151)"/>
        <s v="2018 1st Stock machine(全球星名义下单)"/>
        <s v="2018 7th Stock machine(金东方名义下单)"/>
        <s v="2018 24th Stock machine"/>
        <s v="2018 12th Stock machine(上达名义下单) ,seperated PO109257"/>
        <s v="2018 9th Stock machine"/>
        <s v="2018 2nd Stock machine(中润互联名义下单)"/>
        <s v="201810th Stock machine"/>
        <s v="2018 10 th stock machine(Seperated PO 109239)"/>
        <s v="IND order Compass"/>
        <s v="2018 26th Stock machine（康佳名义下单）"/>
        <s v="2018 9th Stock machine(seperated PO109328)"/>
        <s v="2018 10th Stock machine  Seperated PO#109239"/>
        <s v="2018 28th stk order  Ref no: BA180816"/>
        <s v="2018 14th Stock machine(立昇名义下单)"/>
        <s v="2018 27th stk order (易而达名义下单)"/>
        <s v="2018 23th Stock machine（永顺创名义下单）"/>
        <s v="2018 17th Stock machine(亿联名义下单)"/>
        <s v="2018 20th Stock machine(英拓邦名义下单)"/>
        <s v="2018 19th Stock machine"/>
        <s v="2018 19th Stock machine seperated PO109295"/>
        <s v="2018 15th Stock machine(上达名义下单)"/>
        <s v="Stock machine Seperated PO 109156"/>
        <s v="Separate PO 109352  26th stock machine 康佳名义 "/>
        <s v="2018 8th Stock machine(朗特名义下单)"/>
        <s v="小耳朵 IND order"/>
        <s v="2018 8th Stock machine(朗特名义下单) separated po 109237"/>
        <s v="2018 20th Stock machine(英拓邦名义下单) seperated PO109308"/>
        <s v="2018 15th Stock machine(上达名义下单) separate 109279"/>
        <s v="2018 6th Stock machine(丰硕名义下单)"/>
        <s v="2018 11th Stock machine(栩丽名义下单)"/>
        <s v="安嘉名义下单 BA ref: 180904-01"/>
        <s v="瑞福联名义下单 BA ref: 180904-02"/>
        <s v="2018 14th Stock machine(立昇名义下单) seperated PO109264"/>
        <s v="通通旺名义下单 BA ref: 180904-03"/>
        <s v="2018 21th Stock machine（深台科名义下单）"/>
        <s v="朗特名义"/>
        <s v="STK YCP "/>
        <s v="2018 18th Stock machine(拓普艾名义下单)"/>
        <s v="2018 22th Stock machine（BBS名义下单）"/>
        <s v="2018 25th Stock machine"/>
        <s v="2018 13th Stock machine(龙腾名义下单)"/>
        <s v="2018 15th Stock machine(上达名义下单) separate 109393"/>
        <s v="2018 17th Stock machine(亿联名义下单) Seperated po 109288"/>
        <s v="永顺创名义 Ref: 20181130"/>
        <s v="STK Machine Ref. 190315"/>
        <s v="STK machine ref: 190328"/>
        <s v="Ref: 190418"/>
        <s v="Ref: 190523"/>
        <s v="IND  长沙健科"/>
        <s v="2019-4-25 STK"/>
        <s v="IND ，APT"/>
        <s v="Ref: 190617"/>
        <s v="Ref: 190726"/>
        <s v="Ref: 190827"/>
        <s v="Ref: 190821"/>
        <s v="Ref: 190823"/>
        <s v="Ref: 190905"/>
        <s v="上海转单"/>
        <s v="IND 海崧微"/>
        <s v="Ref: 190927"/>
        <s v="PO: 109723 博星名义"/>
        <s v="PO: 109730 博星名义"/>
        <s v="109749 ，109750 锘铧名义下单"/>
        <s v="109759 灿明名义下单"/>
        <s v="Special package 109774"/>
        <s v="Special package 109782"/>
        <s v="耕创名义 109793"/>
        <s v="龙大名义 109794"/>
        <s v="STK"/>
        <s v="Protech "/>
        <s v="安林名义下单"/>
        <s v="奕东名义下单"/>
        <s v="APT 名义下单"/>
        <s v="海星名义下单"/>
        <s v="STK "/>
        <s v=" 智序名义下单"/>
        <s v="德劲名义下单"/>
        <s v="泉州名义下单（上海单）"/>
        <s v="正邦名义下单"/>
        <s v="平方兆赫名义下单"/>
        <s v="瑞福联名义下单"/>
        <s v="斯迈名义下单"/>
        <s v="阿克西姆名义下单"/>
        <s v="银宝名义下单"/>
        <s v="博尔通名义下单"/>
        <s v="旭晟名义下单"/>
        <s v="皇家显示名义下单"/>
        <s v="玥芯通名义下单"/>
        <s v="捷舜诚名义下单"/>
        <s v="志华鑫名义下单"/>
        <s v="华彩鑫名义下单"/>
        <s v="鸿通宇名义下单"/>
        <s v="益田名义下单"/>
        <s v="STK(reserved by Leader Tech)"/>
        <s v="众鑫科名义下单"/>
        <s v="音品名义下单"/>
        <s v="龙大名义下单"/>
        <s v="精德鸿名义下单"/>
        <s v="锘铧名义下单"/>
        <s v="杉川名义下单"/>
        <s v="正创名义下单"/>
        <s v="嘉裕名义下单"/>
        <s v="超思维名义下单"/>
        <s v="Cowell名义下单"/>
        <s v="健科名义下单"/>
        <s v="格隆名义下单"/>
        <s v="洛伦兹技术名义下单"/>
        <s v="兴开泰名义下单"/>
        <s v="新明海名义下单"/>
        <s v="深圳上达名义下单"/>
        <s v="络鑫名义下单"/>
        <s v="比泰利名义下单"/>
        <s v="天邦达名义下单"/>
        <s v="海红天远名义下单"/>
        <s v="力通威名义下单"/>
        <s v="Kstar 名义下单"/>
        <s v="APT名义下单"/>
        <s v="宝捷信名义下单"/>
        <s v="拓新伟业名义下单"/>
        <s v="太美亚名义下单"/>
        <s v="快宇名义下单"/>
        <s v="STK名义下单"/>
        <s v="STK名义下单（加价价格)"/>
        <s v="领德创名义下单"/>
        <s v="聚亮兴业名义下单"/>
        <s v="狂热者名义下单"/>
        <s v="融创新合名义下单"/>
        <s v="晨鑫达名义下单"/>
        <s v="魔乐视名义下单"/>
        <s v="正讯名义下单"/>
        <s v="傲尔名义下单"/>
        <s v="方案集名义下单"/>
        <s v="祥弘瑞名义下单"/>
        <s v="河南融创名义下单"/>
        <s v="海凌科达名义下单"/>
        <s v="鸿南名义下单"/>
        <s v="珠海派诺名义下单"/>
        <s v="恒泰创新名义下单"/>
        <s v="保捷时计名义下单"/>
        <s v="英拓邦名义下单"/>
        <s v="维益名义下单"/>
        <s v="朗讯名义下单"/>
        <s v="魔乐视义下单"/>
        <s v="聚能名义下单"/>
        <s v="恒创兴名义下单"/>
        <s v="清禾名义下单"/>
        <s v="晶昌名义下单"/>
        <s v="弛电名义下单"/>
        <s v="海松微名义下单"/>
        <s v="广东微观名义下单"/>
        <s v="鸿楠名义下单"/>
        <s v="三丽名义下单"/>
        <s v="驰电名义下单"/>
        <s v="骏孚名义下单"/>
        <s v="昌大名义下单"/>
        <s v="蓝极光名义下单"/>
        <s v="乐凡名义下单"/>
        <s v="博新名义下单"/>
        <s v="捷舜城名义下单"/>
        <s v="易通名义下单"/>
        <s v="岚新名名义下单"/>
        <s v="伯莱科名义下单"/>
        <s v="朗特名义下单"/>
        <s v="通达科信名义下单"/>
        <s v="普德新星名义下单"/>
        <s v="拓普艾名义下单"/>
        <s v="骏仁达名义下单"/>
        <s v="恒磊名义下单"/>
        <s v="盈通恒翼名义下单"/>
        <s v="勃旭名义下单"/>
        <s v="湖南新亚胜下单"/>
        <s v="世达威下单"/>
        <s v="蓝极星光电下单"/>
        <s v="联润丰名义下单"/>
        <s v="蓝极星名义下单"/>
        <s v="健仕达名义下单"/>
        <s v="中润互联名义下单"/>
        <s v="东莞鸿楠名义下单"/>
        <s v="博睿通名义下单"/>
        <s v="和创永泰名义下单"/>
        <s v="芯联鑫名义下单"/>
        <s v="顺禾名义下单"/>
        <s v="KONKA名义下单"/>
        <s v="辉拓名义下单"/>
        <s v="赛美达名义下单"/>
        <s v="诺亚兴名义下单"/>
        <s v="友艺名义下单"/>
        <s v="钧溢名义下单"/>
        <s v="伯莱科 名义下单"/>
        <s v="鑫天泰 名义下单"/>
        <s v="志华鑫  名义下单"/>
        <s v="利速达  名义下单"/>
        <s v="恒磊  名义下单"/>
        <s v="辉拓  名义下单"/>
        <s v="奥祺 名义下单（54%）"/>
        <s v="精德鸿  名义下单（54%）"/>
        <s v="瑞福联 名义下单（54%）"/>
        <s v="金睿通 名义下单（54%）"/>
        <s v="正讯 名义下单 51%"/>
        <s v="朗迅 名义下单 51%"/>
        <s v="欣华 名义下单 51%"/>
        <s v="斯迈拓 名义下单 51%"/>
        <s v="奥祺 名义下单 57%"/>
        <s v="比尔乔 57%"/>
        <s v="瑞福联 名义下单 57%"/>
        <s v="精德鸿  名义下单 57%"/>
        <s v="金睿通  名义下单 57%"/>
        <s v="芯联鑫 名义下单 54%"/>
        <s v="斯迈 名义下单 54%"/>
        <s v="欣华 名义下单 54%"/>
        <s v="正讯 名义下单 54%"/>
        <s v="莫思特 名义下单 54% "/>
        <s v="YIDONG 名义下单"/>
        <s v="惠州新明海 名义下单"/>
        <s v="惠州市创荣发名义下单"/>
        <s v="东莞市络鑫名义下单"/>
        <s v="铭翔名义下单"/>
        <s v="世启纳名义下单"/>
        <s v="宝捷时计名义下单"/>
        <s v="上海下单STK"/>
        <s v="创荣发名义下单"/>
        <s v="倍斯特名义下单"/>
        <s v="锐诚名义下单"/>
        <s v="雷特名义下单"/>
        <m/>
        <s v="新劲名义下单" u="1"/>
      </sharedItems>
    </cacheField>
    <cacheField name="ITEM NUMBER" numFmtId="0">
      <sharedItems containsBlank="1" count="20">
        <s v="YS24"/>
        <s v="YSM40R-4"/>
        <s v="YSM10"/>
        <s v="YS12F"/>
        <s v="YS13F"/>
        <s v="YS24X "/>
        <s v="YSM20"/>
        <s v="YCP10"/>
        <s v="YS24X"/>
        <s v="YS12 *1 ,YS12F*1"/>
        <s v="YSM20+YSM10"/>
        <s v="SIGMA-G5S2"/>
        <s v="YCD"/>
        <s v="YSM20WR-2"/>
        <s v="YSM20R-2"/>
        <s v="Ysi-V"/>
        <s v="YSD"/>
        <s v="YRH10"/>
        <s v="YSM20-2"/>
        <m/>
      </sharedItems>
    </cacheField>
    <cacheField name="Qty " numFmtId="0">
      <sharedItems containsString="0" containsBlank="1" containsNumber="1" containsInteger="1" minValue="1" maxValue="20" count="15">
        <n v="4"/>
        <n v="7"/>
        <n v="2"/>
        <n v="5"/>
        <n v="3"/>
        <n v="1"/>
        <n v="6"/>
        <n v="8"/>
        <n v="10"/>
        <n v="12"/>
        <n v="9"/>
        <n v="11"/>
        <n v="15"/>
        <n v="20"/>
        <m/>
      </sharedItems>
    </cacheField>
    <cacheField name=" Total price (JPY) " numFmtId="182">
      <sharedItems containsString="0" containsBlank="1" containsNumber="1" minValue="0" maxValue="240274160"/>
    </cacheField>
    <cacheField name="VENDOR" numFmtId="0">
      <sharedItems containsBlank="1" count="7">
        <s v="Yamaha"/>
        <s v="Pro-tech"/>
        <s v="Yamaha "/>
        <s v="富洛"/>
        <s v="SINRI"/>
        <m/>
        <s v="Yamana " u="1"/>
      </sharedItems>
    </cacheField>
    <cacheField name="Corp rate (JPY/HKD)" numFmtId="0">
      <sharedItems containsString="0" containsBlank="1" containsNumber="1" minValue="7.17E-2" maxValue="7.6799999999999993E-2" count="17">
        <m/>
        <n v="7.2300000000000003E-2"/>
        <n v="7.17E-2"/>
        <n v="7.3400000000000007E-2"/>
        <n v="7.3499999999999996E-2"/>
        <n v="7.3999999999999996E-2"/>
        <n v="7.5200000000000003E-2"/>
        <n v="7.4099999999999999E-2"/>
        <n v="7.2700000000000001E-2"/>
        <n v="7.2900000000000006E-2"/>
        <n v="7.2999999999999995E-2"/>
        <n v="7.3599999999999999E-2"/>
        <n v="7.4300000000000005E-2"/>
        <n v="7.5700000000000003E-2"/>
        <n v="7.4899999999999994E-2"/>
        <n v="7.6100000000000001E-2"/>
        <n v="7.6799999999999993E-2"/>
      </sharedItems>
    </cacheField>
    <cacheField name="Corp rate (HKD/CNY) " numFmtId="0">
      <sharedItems containsString="0" containsBlank="1" containsNumber="1" minValue="1.089" maxValue="1.2" count="12">
        <m/>
        <n v="1.1599999999999999"/>
        <n v="1.135"/>
        <n v="1.095"/>
        <n v="1.1100000000000001"/>
        <n v="1.089"/>
        <n v="1.105"/>
        <n v="1.1299999999999999"/>
        <n v="1.155"/>
        <n v="1.175"/>
        <n v="1.1850000000000001"/>
        <n v="1.2"/>
      </sharedItems>
    </cacheField>
    <cacheField name="ETA" numFmtId="14">
      <sharedItems containsDate="1" containsBlank="1" containsMixedTypes="1" minDate="2018-02-07T00:00:00" maxDate="2023-02-02T00:00:00"/>
    </cacheField>
    <cacheField name="ETD " numFmtId="14">
      <sharedItems containsDate="1" containsBlank="1" containsMixedTypes="1" minDate="2018-01-31T00:00:00" maxDate="2023-01-26T00:00:00" count="265">
        <d v="2018-01-31T00:00:00"/>
        <d v="2018-02-21T00:00:00"/>
        <d v="2018-03-30T00:00:00"/>
        <d v="2018-02-28T00:00:00"/>
        <d v="2018-04-11T00:00:00"/>
        <d v="2018-05-09T00:00:00"/>
        <d v="2018-05-11T00:00:00"/>
        <d v="2018-04-25T00:00:00"/>
        <d v="2018-05-30T00:00:00"/>
        <d v="2018-06-08T00:00:00"/>
        <d v="2018-06-13T00:00:00"/>
        <d v="2018-06-06T00:00:00"/>
        <d v="2018-06-27T00:00:00"/>
        <d v="2018-06-20T00:00:00"/>
        <d v="2018-06-22T00:00:00"/>
        <d v="2018-06-29T00:00:00"/>
        <d v="2018-07-04T00:00:00"/>
        <d v="2018-07-18T00:00:00"/>
        <d v="2018-07-11T00:00:00"/>
        <d v="2018-07-20T00:00:00"/>
        <d v="2018-08-01T00:00:00"/>
        <d v="2018-07-27T00:00:00"/>
        <d v="2018-08-08T00:00:00"/>
        <d v="2018-08-29T00:00:00"/>
        <d v="2018-08-31T00:00:00"/>
        <d v="2018-09-12T00:00:00"/>
        <d v="2018-09-05T00:00:00"/>
        <d v="2018-09-07T00:00:00"/>
        <d v="2018-09-28T00:00:00"/>
        <d v="2018-09-14T00:00:00"/>
        <d v="2018-10-05T00:00:00"/>
        <d v="2018-10-03T00:00:00"/>
        <d v="2018-10-24T00:00:00"/>
        <d v="2018-10-17T00:00:00"/>
        <d v="2018-10-31T00:00:00"/>
        <d v="2018-11-07T00:00:00"/>
        <d v="2018-11-30T00:00:00"/>
        <d v="2018-10-28T00:00:00"/>
        <d v="2018-11-23T00:00:00"/>
        <d v="2018-12-05T00:00:00"/>
        <d v="2018-11-28T00:00:00"/>
        <d v="2018-12-12T00:00:00"/>
        <d v="2018-12-14T00:00:00"/>
        <d v="2018-02-08T00:00:00"/>
        <d v="2019-02-08T00:00:00"/>
        <d v="2019-02-06T00:00:00"/>
        <d v="2019-02-15T00:00:00"/>
        <d v="2019-02-22T00:00:00"/>
        <d v="2019-02-27T00:00:00"/>
        <d v="2019-03-01T00:00:00"/>
        <d v="2019-03-06T00:00:00"/>
        <d v="2019-03-15T00:00:00"/>
        <d v="2019-03-29T00:00:00"/>
        <d v="2019-04-03T00:00:00"/>
        <d v="2019-04-12T00:00:00"/>
        <d v="2019-04-26T00:00:00"/>
        <d v="2019-05-01T00:00:00"/>
        <d v="2019-05-10T00:00:00"/>
        <d v="2019-05-08T00:00:00"/>
        <d v="2019-05-25T00:00:00"/>
        <d v="2019-06-26T00:00:00"/>
        <d v="2019-07-12T00:00:00"/>
        <d v="2019-07-10T00:00:00"/>
        <d v="2019-08-02T00:00:00"/>
        <d v="2019-07-24T00:00:00"/>
        <d v="2019-08-23T00:00:00"/>
        <d v="2019-08-30T00:00:00"/>
        <d v="2019-10-04T00:00:00"/>
        <d v="2019-09-25T00:00:00"/>
        <d v="2019-10-11T00:00:00"/>
        <d v="2019-10-25T00:00:00"/>
        <d v="2019-10-18T00:00:00"/>
        <d v="2020-02-15T00:00:00"/>
        <d v="2019-11-27T00:00:00"/>
        <d v="2019-12-18T00:00:00"/>
        <d v="2019-12-04T00:00:00"/>
        <d v="2019-12-25T00:00:00"/>
        <d v="2019-12-30T00:00:00"/>
        <d v="2020-01-17T00:00:00"/>
        <d v="2019-01-29T00:00:00"/>
        <d v="2020-02-07T00:00:00"/>
        <d v="2020-03-04T00:00:00"/>
        <d v="2020-03-11T00:00:00"/>
        <d v="2020-03-25T00:00:00"/>
        <d v="2020-03-28T00:00:00"/>
        <d v="2020-04-27T00:00:00"/>
        <d v="2020-04-15T00:00:00"/>
        <d v="2020-05-13T00:00:00"/>
        <d v="2020-05-15T00:00:00"/>
        <d v="2020-05-27T00:00:00"/>
        <d v="2020-06-03T00:00:00"/>
        <d v="2020-06-05T00:00:00"/>
        <d v="2020-06-17T00:00:00"/>
        <d v="2020-06-12T00:00:00"/>
        <d v="2020-07-15T00:00:00"/>
        <d v="2020-08-05T00:00:00"/>
        <d v="2020-08-14T00:00:00"/>
        <d v="2020-08-21T00:00:00"/>
        <d v="2020-09-09T00:00:00"/>
        <d v="2020-06-24T00:00:00"/>
        <d v="2020-09-16T00:00:00"/>
        <d v="2020-09-18T00:00:00"/>
        <d v="2020-10-02T00:00:00"/>
        <d v="2020-09-25T00:00:00"/>
        <d v="2020-10-09T00:00:00"/>
        <d v="2020-10-16T00:00:00"/>
        <d v="2020-10-14T00:00:00"/>
        <d v="2020-10-07T00:00:00"/>
        <d v="2020-10-21T00:00:00"/>
        <d v="2020-10-23T00:00:00"/>
        <d v="2020-10-28T00:00:00"/>
        <d v="2020-11-02T00:00:00"/>
        <d v="2020-11-04T00:00:00"/>
        <d v="2020-11-11T00:00:00"/>
        <d v="2020-11-13T00:00:00"/>
        <d v="2020-11-21T00:00:00"/>
        <d v="2020-11-07T00:00:00"/>
        <d v="2020-11-18T00:00:00"/>
        <d v="2020-12-02T00:00:00"/>
        <d v="2020-12-04T00:00:00"/>
        <d v="2020-12-09T00:00:00"/>
        <d v="2020-12-16T00:00:00"/>
        <d v="2020-12-24T00:00:00"/>
        <d v="2020-12-01T00:00:00"/>
        <d v="2020-12-25T00:00:00"/>
        <d v="2021-01-13T00:00:00"/>
        <d v="2020-12-30T00:00:00"/>
        <d v="2021-01-06T00:00:00"/>
        <d v="2021-01-08T00:00:00"/>
        <d v="2021-01-15T00:00:00"/>
        <d v="2021-02-23T00:00:00"/>
        <d v="2021-01-27T00:00:00"/>
        <d v="2021-01-30T00:00:00"/>
        <d v="2021-02-05T00:00:00"/>
        <d v="2021-02-18T00:00:00"/>
        <d v="2021-02-19T00:00:00"/>
        <d v="2021-02-10T00:00:00"/>
        <d v="2021-01-29T00:00:00"/>
        <d v="2021-02-28T00:00:00"/>
        <d v="2021-03-03T00:00:00"/>
        <d v="2021-03-17T00:00:00"/>
        <d v="2021-03-19T00:00:00"/>
        <d v="2021-03-24T00:00:00"/>
        <d v="2021-04-07T00:00:00"/>
        <d v="2021-04-14T00:00:00"/>
        <d v="2021-04-09T00:00:00"/>
        <d v="2021-04-22T00:00:00"/>
        <d v="2021-04-17T00:00:00"/>
        <d v="2021-04-21T00:00:00"/>
        <d v="2021-04-30T00:00:00"/>
        <d v="2021-05-12T00:00:00"/>
        <d v="2021-04-28T00:00:00"/>
        <d v="2021-04-26T00:00:00"/>
        <d v="2021-05-14T00:00:00"/>
        <d v="2021-05-20T00:00:00"/>
        <d v="2021-04-19T00:00:00"/>
        <d v="2021-05-19T00:00:00"/>
        <d v="2021-05-21T00:00:00"/>
        <d v="2021-05-26T00:00:00"/>
        <d v="2021-06-11T00:00:00"/>
        <d v="2021-06-09T00:00:00"/>
        <d v="2021-06-22T00:00:00"/>
        <d v="2021-07-01T00:00:00"/>
        <d v="2021-07-09T00:00:00"/>
        <d v="2021-07-13T00:00:00"/>
        <d v="2021-08-04T00:00:00"/>
        <d v="2021-08-25T00:00:00"/>
        <d v="2021-09-10T00:00:00"/>
        <d v="2021-09-22T00:00:00"/>
        <d v="2021-09-29T00:00:00"/>
        <d v="2021-10-01T00:00:00"/>
        <d v="2021-10-13T00:00:00"/>
        <d v="2021-10-26T00:00:00"/>
        <d v="2021-11-10T00:00:00"/>
        <d v="2021-11-12T00:00:00"/>
        <d v="2021-11-19T00:00:00"/>
        <d v="2021-12-03T00:00:00"/>
        <d v="2021-12-08T00:00:00"/>
        <d v="2021-12-10T00:00:00"/>
        <s v="提货时间2021/12/7"/>
        <s v="提货时间2021/8/26"/>
        <s v="提货时间2021/9/28"/>
        <s v="提货时间2021/11/11"/>
        <s v="提货时间2022/1/11"/>
        <s v="已经到货"/>
        <d v="2021-12-22T00:00:00"/>
        <d v="2021-12-24T00:00:00"/>
        <d v="2022-01-07T00:00:00"/>
        <d v="2022-01-12T00:00:00"/>
        <d v="2022-01-19T00:00:00"/>
        <d v="2022-01-26T00:00:00"/>
        <d v="2022-01-21T00:00:00"/>
        <d v="2022-01-28T00:00:00"/>
        <d v="2022-02-02T00:00:00"/>
        <d v="2022-02-11T00:00:00"/>
        <d v="2022-02-17T00:00:00"/>
        <d v="2022-02-24T00:00:00"/>
        <d v="2022-03-04T00:00:00"/>
        <d v="2022-03-12T00:00:00"/>
        <d v="2022-03-16T00:00:00"/>
        <d v="2022-03-14T00:00:00"/>
        <d v="2022-03-25T00:00:00"/>
        <d v="2022-03-15T00:00:00"/>
        <d v="2022-04-01T00:00:00"/>
        <d v="2022-04-05T00:00:00"/>
        <d v="2022-04-20T00:00:00"/>
        <d v="2022-04-22T00:00:00"/>
        <d v="2022-04-30T00:00:00"/>
        <d v="2022-05-06T00:00:00"/>
        <d v="2022-05-13T00:00:00"/>
        <d v="2022-05-15T00:00:00"/>
        <d v="2022-05-18T00:00:00"/>
        <s v="提货时间2022/3/14"/>
        <s v="提货时间2022/2/22"/>
        <s v="提货时间2022/1/17"/>
        <s v="cancel"/>
        <s v="提货时间2022/3/8"/>
        <d v="2022-06-02T00:00:00"/>
        <d v="2022-05-25T00:00:00"/>
        <d v="2022-06-06T00:00:00"/>
        <d v="2022-06-01T00:00:00"/>
        <d v="2022-06-03T00:00:00"/>
        <d v="2022-06-10T00:00:00"/>
        <d v="2022-06-08T00:00:00"/>
        <d v="2022-06-28T00:00:00"/>
        <d v="2022-04-10T00:00:00"/>
        <d v="2022-07-01T00:00:00"/>
        <d v="2022-06-24T00:00:00"/>
        <d v="2022-06-20T00:00:00"/>
        <d v="2022-06-17T00:00:00"/>
        <d v="2022-07-29T00:00:00"/>
        <d v="2022-07-27T00:00:00"/>
        <d v="2022-06-29T00:00:00"/>
        <d v="2022-07-08T00:00:00"/>
        <d v="2022-07-15T00:00:00"/>
        <d v="2022-07-18T00:00:00"/>
        <d v="2022-07-19T00:00:00"/>
        <d v="2022-07-24T00:00:00"/>
        <d v="2022-07-13T00:00:00"/>
        <d v="2022-07-25T00:00:00"/>
        <d v="2022-08-03T00:00:00"/>
        <d v="2022-08-26T00:00:00"/>
        <d v="2022-08-05T00:00:00"/>
        <d v="2022-07-28T00:00:00"/>
        <d v="2022-08-02T00:00:00"/>
        <d v="2022-08-01T00:00:00"/>
        <d v="2022-09-07T00:00:00"/>
        <d v="2022-10-31T00:00:00"/>
        <d v="2022-09-19T00:00:00"/>
        <d v="2022-09-23T00:00:00"/>
        <d v="2022-11-04T00:00:00"/>
        <d v="2022-10-27T00:00:00"/>
        <s v="2022-12-15提货"/>
        <d v="2023-01-25T00:00:00"/>
        <s v="ex work Mar 7"/>
        <s v="ex work end of mar"/>
        <m/>
        <d v="2022-06-15T00:00:00" u="1"/>
        <s v="Yamaha深圳仓库" u="1"/>
        <d v="2022-01-05T00:00:00" u="1"/>
        <d v="2022-12-10T00:00:00" u="1"/>
        <s v="TBA" u="1"/>
        <s v="Yamaha仓库" u="1"/>
        <s v="Yamaha 仓库" u="1"/>
        <d v="2022-01-13T00:00:00" u="1"/>
      </sharedItems>
    </cacheField>
    <cacheField name="Confirmed by Yamaha" numFmtId="0">
      <sharedItems containsBlank="1" count="3">
        <s v="Confirmed"/>
        <m/>
        <s v="cancel"/>
      </sharedItems>
    </cacheField>
    <cacheField name="Settled" numFmtId="0">
      <sharedItems containsBlank="1" count="5">
        <s v="Settled"/>
        <s v="Yes"/>
        <s v="no mismatch"/>
        <m/>
        <s v="cancel"/>
      </sharedItems>
    </cacheField>
    <cacheField name="update Fx to Oracle?" numFmtId="0">
      <sharedItems containsBlank="1" count="7">
        <s v="Y"/>
        <s v="Yes"/>
        <s v="no mismatch"/>
        <s v="Yes "/>
        <m/>
        <s v="quoter rate"/>
        <s v="please quote rate"/>
      </sharedItems>
    </cacheField>
    <cacheField name="JPY/CNY" numFmtId="0">
      <sharedItems containsBlank="1" containsMixedTypes="1" containsNumber="1" minValue="4.8500000000000001E-2" maxValue="6.7299999999999999E-2"/>
    </cacheField>
    <cacheField name="JPY/HKD" numFmtId="0">
      <sharedItems containsBlank="1" containsMixedTypes="1" containsNumber="1" minValue="0" maxValue="7.5200000000000003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078.661257523148" createdVersion="7" refreshedVersion="7" minRefreshableVersion="3" recordCount="1555" xr:uid="{EC653302-EF3F-4DB6-9848-4287FECC9B68}">
  <cacheSource type="worksheet">
    <worksheetSource ref="A1:AD1048576" sheet="Stock_list"/>
  </cacheSource>
  <cacheFields count="30">
    <cacheField name="序号" numFmtId="0">
      <sharedItems containsBlank="1" containsMixedTypes="1" containsNumber="1" containsInteger="1" minValue="7" maxValue="1919"/>
    </cacheField>
    <cacheField name="ETA Month" numFmtId="179">
      <sharedItems containsBlank="1" count="5">
        <s v="已发货"/>
        <s v="已经到货"/>
        <s v="有交期"/>
        <s v="TBA"/>
        <m/>
      </sharedItems>
    </cacheField>
    <cacheField name="Org. " numFmtId="179">
      <sharedItems containsBlank="1"/>
    </cacheField>
    <cacheField name="PO Number" numFmtId="0">
      <sharedItems containsBlank="1" containsMixedTypes="1" containsNumber="1" containsInteger="1" minValue="109202" maxValue="111310"/>
    </cacheField>
    <cacheField name="Customer name or STK" numFmtId="179">
      <sharedItems containsBlank="1"/>
    </cacheField>
    <cacheField name="Item" numFmtId="179">
      <sharedItems containsBlank="1" count="18">
        <s v="YSM40R-4"/>
        <s v="YSM10"/>
        <s v="YS12"/>
        <s v="YSM20R(SV)-2"/>
        <m/>
        <s v="YS24X"/>
        <s v="SIGMA-G5S2"/>
        <s v="YSM20-2"/>
        <s v="YS24"/>
        <s v="YCP10"/>
        <s v="YSD"/>
        <s v="YSM20WR-2"/>
        <s v="YSM20R-2"/>
        <s v="YSi-V"/>
        <s v="R0625L"/>
        <s v="R-0625L"/>
        <s v="YSM40R-4(DEMO)"/>
        <s v="YRH10"/>
      </sharedItems>
    </cacheField>
    <cacheField name="Direction" numFmtId="179">
      <sharedItems containsBlank="1"/>
    </cacheField>
    <cacheField name="Item w config" numFmtId="179">
      <sharedItems containsBlank="1"/>
    </cacheField>
    <cacheField name="SN" numFmtId="0">
      <sharedItems containsBlank="1" containsMixedTypes="1" containsNumber="1" containsInteger="1" minValue="6818" maxValue="6826"/>
    </cacheField>
    <cacheField name="QTY" numFmtId="0">
      <sharedItems containsBlank="1" containsMixedTypes="1" containsNumber="1" containsInteger="1" minValue="0" maxValue="1"/>
    </cacheField>
    <cacheField name="Warehouse" numFmtId="0">
      <sharedItems containsBlank="1"/>
    </cacheField>
    <cacheField name="ETA HK" numFmtId="14">
      <sharedItems containsDate="1" containsBlank="1" containsMixedTypes="1" minDate="2018-06-27T00:00:00" maxDate="2023-06-24T00:00:00"/>
    </cacheField>
    <cacheField name="Rate (JPY/CNY）" numFmtId="0">
      <sharedItems containsBlank="1" containsMixedTypes="1" containsNumber="1" minValue="4.8800000000000003E-2" maxValue="7.8"/>
    </cacheField>
    <cacheField name="Delivery schedule" numFmtId="179">
      <sharedItems containsBlank="1"/>
    </cacheField>
    <cacheField name="生产日期" numFmtId="0">
      <sharedItems containsDate="1" containsBlank="1" containsMixedTypes="1" minDate="1900-01-05T22:40:04" maxDate="1900-01-06T15:40:04"/>
    </cacheField>
    <cacheField name="Currency" numFmtId="0">
      <sharedItems containsBlank="1"/>
    </cacheField>
    <cacheField name="Customer Reserved Contract No." numFmtId="179">
      <sharedItems containsBlank="1"/>
    </cacheField>
    <cacheField name="Customer Reserved" numFmtId="179">
      <sharedItems containsBlank="1" count="394">
        <s v="安林"/>
        <s v="维众"/>
        <s v="龙大光电"/>
        <s v="明昌"/>
        <s v="比泰利"/>
        <s v="易而达"/>
        <s v="雅鑫特"/>
        <s v="建航"/>
        <s v="方案集"/>
        <s v="上达"/>
        <s v="朗特"/>
        <s v="BBS好兄弟"/>
        <s v="世达威"/>
        <s v="奥晨"/>
        <s v="STK深台"/>
        <s v="通通旺"/>
        <s v="利速达"/>
        <s v="PROTECH"/>
        <s v="HangTe航特"/>
        <s v="凌鑫"/>
        <s v="永顺创"/>
        <s v="德兰明海"/>
        <s v="瑞福联"/>
        <s v="络鑫"/>
        <s v="恩圣"/>
        <s v="昶达CHEERSTAR"/>
        <s v="同基"/>
        <s v="网娱视通"/>
        <s v="魔乐视/end user:拓普赛特"/>
        <s v="存封"/>
        <s v="恒泰创新"/>
        <s v="卡迪圣"/>
        <s v="格力创"/>
        <s v="乐上"/>
        <s v="微力创/end user 昶达"/>
        <s v="世启纳"/>
        <s v="永顺创（Sales accurel in Oct)"/>
        <s v="兴开泰"/>
        <s v="迅丰"/>
        <s v="杉川/end user:放德劲"/>
        <s v="鸿南"/>
        <e v="#N/A"/>
        <s v="达人高科"/>
        <s v="柏星"/>
        <s v="鼎鸿"/>
        <s v="格美通"/>
        <s v="宝捷"/>
        <s v="惠阳锐诚"/>
        <s v="安林An Lin"/>
        <s v="An Lin东莞安林"/>
        <s v="恒泰"/>
        <s v="KeChengDa科诚达"/>
        <s v="派诺"/>
        <s v="Kingtron络鑫"/>
        <s v="宽宏/End user:亿联"/>
        <s v="名佳"/>
        <s v="Tuopuai拓普艾"/>
        <s v="鹏鑫达/end user:晶昌"/>
        <s v="祥弘瑞"/>
        <s v="睿视科技"/>
        <s v="恒润"/>
        <s v="安嘉"/>
        <s v="美斯特"/>
        <s v="小耳朵"/>
        <s v="太美亚"/>
        <s v="可祁"/>
        <s v="兆晖"/>
        <s v="智宏创"/>
        <s v="伯莱科"/>
        <s v="Bittele 比泰利"/>
        <s v="东莞圣亨"/>
        <s v="兴丰源"/>
        <s v="玮芯电子"/>
        <s v="富斯迈"/>
        <s v="帝泰克"/>
        <s v="嘉裕"/>
        <s v="锐诚"/>
        <s v="力通威"/>
        <s v="丰硕"/>
        <s v="长沙健科"/>
        <s v="东陆"/>
        <s v="城宇"/>
        <s v="凯瑞丰"/>
        <s v="铭华"/>
        <s v="天星创展"/>
        <s v="梵想"/>
        <s v="旭日"/>
        <s v="君泽"/>
        <s v="博星"/>
        <s v="锘铧"/>
        <s v="崧盛"/>
        <s v="正创/End user:世启纳"/>
        <s v="深圳健科"/>
        <s v="汇杰伟业"/>
        <s v="恒康佳业"/>
        <s v="海松微"/>
        <s v="嘉兴"/>
        <s v="妙琪"/>
        <s v="GCL 耕创"/>
        <s v="悦之彩"/>
        <s v="捷舜诚"/>
        <s v="富斯迈/end user:蓝普视讯"/>
        <s v="伟盛贸易(富洛）/晶科"/>
        <s v="海川伟业"/>
        <s v="尖端电子 end user海凌科达"/>
        <s v="首航"/>
        <s v="科士达"/>
        <s v="创荣发"/>
        <s v="中研"/>
        <s v="中润互联"/>
        <s v="宽宏"/>
        <s v="正创"/>
        <s v="杰森泰"/>
        <s v="海龙智通"/>
        <s v="灿明"/>
        <s v="铁甲"/>
        <s v="君博信"/>
        <s v="思迈科技"/>
        <s v="硕泰克/end user 铭翔"/>
        <s v="民龙/End user 众立创"/>
        <s v="靓颖电子"/>
        <s v="福瑞康"/>
        <s v="鸿南电子"/>
        <s v="鹏鑫达/欧科讯"/>
        <s v="华汛"/>
        <s v="豪恩"/>
        <s v="长源兴/end user美联辉"/>
        <s v="中科阿尔法"/>
        <s v="康腾"/>
        <s v="宏威创"/>
        <s v="格瑞智达/END USER 智宏创"/>
        <s v="博睿通"/>
        <s v="新明海"/>
        <s v="创伟峰"/>
        <s v="志恒兴盛"/>
        <s v="裕达盛"/>
        <s v="晟锦威"/>
        <s v="赛美达"/>
        <s v="赛维显示"/>
        <s v="光世代"/>
        <s v="熙洲电子"/>
        <s v="顺弘"/>
        <s v="奕东"/>
        <s v="耕创"/>
        <s v="弛瑞"/>
        <s v="珠海太川"/>
        <s v="海星"/>
        <s v="铭翔"/>
        <s v="新平泰/end user:弛瑞"/>
        <s v="晨日电子"/>
        <s v="钧溢电子"/>
        <s v="和盛光电"/>
        <s v="融创新合"/>
        <s v="金海智控"/>
        <s v="智序"/>
        <s v="星辰宇"/>
        <s v="英拓邦"/>
        <s v="乐凡电子"/>
        <s v="旭日伟光"/>
        <s v="科华/End user 美斯特"/>
        <s v="鑫东泰"/>
        <s v="铭华永兴"/>
        <s v="朗特/end user:朗勤"/>
        <s v="百纳海"/>
        <s v="新平泰end user:弛瑞"/>
        <s v="德劲"/>
        <s v="晨鑫达"/>
        <s v="惠州创荣发"/>
        <s v="泰鑫荣"/>
        <s v="百施达"/>
        <s v="辉拓（end user：海纳科）"/>
        <s v="江恒"/>
        <s v="博德越"/>
        <s v="正邦"/>
        <s v="海红天远"/>
        <s v="昊亮迪（end user：海纳科）"/>
        <s v="芯联鑫"/>
        <s v="万恒光电"/>
        <s v="华创易达"/>
        <s v="东原"/>
        <s v="斯迈"/>
        <s v="金睿通"/>
        <s v="前海福源"/>
        <s v="豫龙辉"/>
        <s v="华彩鑫"/>
        <s v="嘉普达"/>
        <s v="志华鑫"/>
        <s v="擎宇精工"/>
        <s v="益田科技"/>
        <s v="宏润通"/>
        <s v="伟志半导体"/>
        <s v="金晟晖"/>
        <s v="刻锐"/>
        <s v="斯路迅"/>
        <s v="众鑫科"/>
        <s v="鹏鑫达（end user：阿克西姆）"/>
        <s v="银宝山新"/>
        <s v="光瑞新（end user：海纳科）"/>
        <s v="平方兆赫"/>
        <s v="高伟"/>
        <s v="优控电子"/>
        <s v="炑炑明"/>
        <s v="博睿通（end user：锂动力）"/>
        <s v="皇家显示"/>
        <s v="鑫联科"/>
        <s v="中科朗恩"/>
        <s v="昊亮迪"/>
        <s v="成景"/>
        <s v="旭晟"/>
        <s v="博新"/>
        <s v="日东（end user：远爱）"/>
        <s v="韵律光电"/>
        <s v="亿莱"/>
        <s v="派勤"/>
        <s v="广泰博"/>
        <s v="维益"/>
        <s v="顺鸿达"/>
        <s v="鑫亿特"/>
        <s v="音品（End user:厚朴）"/>
        <s v="音品（End user:艾艺科技)"/>
        <s v="鸿通宇"/>
        <s v="华耘"/>
        <s v="拓新伟业"/>
        <s v="模鑫"/>
        <s v="赛朗斯"/>
        <s v="合进高"/>
        <s v="盈通恒翼"/>
        <s v="力拔"/>
        <s v="精德鸿"/>
        <s v="络鑫（end user:东莞络鑫）"/>
        <s v="航特"/>
        <s v="腾拓"/>
        <s v="阿里兄妹"/>
        <s v="巨鑫电子"/>
        <s v="同创"/>
        <s v="富源晟"/>
        <s v="博实结"/>
        <s v="奥视通"/>
        <s v="辉拓"/>
        <s v="芯睿视"/>
        <s v="吉鑫凯"/>
        <s v="永诺精密"/>
        <s v="程氏松哥"/>
        <s v="景硕电子"/>
        <s v="怡德发（固安）电子"/>
        <s v="岚新"/>
        <s v="海凌科达"/>
        <s v="景思"/>
        <s v="博科通"/>
        <s v="新智杰光电"/>
        <s v="品诚伟创"/>
        <s v="上海多越"/>
        <s v="鑫华锋"/>
        <s v="鑫金鸿"/>
        <s v="名商"/>
        <s v="百益晟"/>
        <s v="上海项如电子科技有限公司"/>
        <s v="狂热者"/>
        <s v="恒业信"/>
        <s v="圣亨"/>
        <s v="骏孚"/>
        <s v="巴科"/>
        <s v="锂动力"/>
        <s v="鸿翔"/>
        <s v="泰润"/>
        <s v="四方信达"/>
        <s v="美田"/>
        <s v="贝爱婴童"/>
        <s v="欧科讯"/>
        <s v="亮瑞"/>
        <s v="格隆"/>
        <s v="巨能"/>
        <s v="广恒创新（enduser:深圳比尔乔）"/>
        <s v="优品"/>
        <s v="杉川"/>
        <s v="富洛"/>
        <s v="惠宇"/>
        <s v="音品（End user:鸿翔）"/>
        <s v="特斯浦"/>
        <s v="小婉牛"/>
        <s v="鹏鑫达（end user：晶昌鸿业）"/>
        <s v="恒越通"/>
        <s v="泓凯"/>
        <s v="毅诚科达"/>
        <s v="捷盛达"/>
        <s v="江西络鑫"/>
        <s v="兴开泰（合同吸嘴已发）"/>
        <s v="保凌"/>
        <s v="蓝泰翔"/>
        <s v="斯迈电子"/>
        <s v="海松微(此相机是C49SZX20210062JY相机）"/>
        <s v="拓步"/>
        <s v="恒创兴"/>
        <s v="河南融创"/>
        <s v="朗迅"/>
        <s v="铣米"/>
        <s v="嘉力达"/>
        <s v="力侬"/>
        <s v="湖北奕宏"/>
        <s v="艺通能"/>
        <s v="龙腾共创"/>
        <s v="勃旭"/>
        <s v="渝溢三甲"/>
        <s v="广东科士达"/>
        <s v="睿昌"/>
        <s v="莫思特"/>
        <s v="众华"/>
        <s v="英拓邦（End user:深圳傲尔）"/>
        <s v="乘扬"/>
        <s v="穗晖"/>
        <s v="惠州耕创"/>
        <s v="深圳快宇"/>
        <s v="深圳世达威"/>
        <s v="湖南新亚胜"/>
        <s v="高华（End user:龙高）"/>
        <s v="英特莱"/>
        <s v="通达科信"/>
        <s v="浙江禾川"/>
        <s v="有泽"/>
        <s v="顺禾"/>
        <s v="魔乐视"/>
        <s v="领德创"/>
        <s v="东莞鸿楠"/>
        <s v="宝捷信"/>
        <s v="旭协（End user 驰电）"/>
        <s v="达锂"/>
        <s v="懿美莱"/>
        <s v="三步/End user新佰浚"/>
        <s v="正讯"/>
        <s v="海松微（最终需要从C49SZX20210120R1JY中拆除YSM20R相机改为YSM10相机）"/>
        <s v="清禾"/>
        <s v="恒磊"/>
        <s v="奕东(End user:湖北奕宏)"/>
        <s v="普德新星"/>
        <s v="昌大"/>
        <s v="微观"/>
        <s v="汇海通达"/>
        <s v="鑫天泰"/>
        <s v="创舰"/>
        <s v="华富快捷"/>
        <s v="思迈"/>
        <s v="微克（end user：蓝极光）"/>
        <s v="骏仁达"/>
        <s v="和创永泰"/>
        <s v="快宇"/>
        <s v="拓普艾"/>
        <s v="四川乃迁科技有限公司 LogBook.xlsx]Raw data'!$B:$Z,3,FALSE)"/>
        <s v="阿姆斯特"/>
        <s v="湘浩"/>
        <s v="三丽（End user:东莞长志）"/>
        <s v="维创斯特"/>
        <s v="倍斯特"/>
        <s v="苏州朋协智控科技有限公司 "/>
        <s v="友艺"/>
        <s v="雷特"/>
        <s v="诺亚兴"/>
        <s v="银杏（虽然机器安装在银杏，但是给到Yamaha的资料都是三才）"/>
        <s v="乐凡"/>
        <s v="博祯"/>
        <s v="清水湾（End use:呈承）"/>
        <s v="康佳"/>
        <s v="乐迪泰"/>
        <s v="佳润"/>
        <s v="清禾实业"/>
        <s v="清禾电路"/>
        <s v="WKK"/>
        <s v="德天伟"/>
        <s v="蓝极光"/>
        <s v="宏翔福"/>
        <s v="四川三创（End use:阿姆斯特）"/>
        <s v="乐福源"/>
        <s v="徕芬"/>
        <s v="菲帆"/>
        <s v="福建凯思达"/>
        <s v="格第"/>
        <s v="台欣"/>
        <s v="华烨(end user:华煜）"/>
        <s v="宇翔"/>
        <s v="聚合信"/>
        <s v="德润通"/>
        <s v="WKK(end user:熵基）"/>
        <s v="留给上海做STK，有客户要"/>
        <s v="SUPERIOR丰卓"/>
        <s v="皓吉达"/>
        <s v="TBS"/>
        <s v="深圳耕创"/>
        <s v="正宏兴"/>
        <s v="旭宇盛翔"/>
        <s v="艾为康"/>
        <s v="呈承"/>
        <s v="聚亮兴业"/>
        <s v="奥祺"/>
        <s v="联众斯通"/>
        <m/>
      </sharedItems>
    </cacheField>
    <cacheField name="Item2" numFmtId="179">
      <sharedItems containsBlank="1"/>
    </cacheField>
    <cacheField name="Direction2" numFmtId="179">
      <sharedItems containsBlank="1"/>
    </cacheField>
    <cacheField name="Item w config2" numFmtId="179">
      <sharedItems containsBlank="1"/>
    </cacheField>
    <cacheField name="Config Match" numFmtId="0">
      <sharedItems containsBlank="1"/>
    </cacheField>
    <cacheField name="Delivery  terms" numFmtId="0">
      <sharedItems containsBlank="1"/>
    </cacheField>
    <cacheField name="Contract date" numFmtId="0">
      <sharedItems containsDate="1" containsBlank="1" containsMixedTypes="1" minDate="2018-02-01T00:00:00" maxDate="2023-05-18T00:00:00"/>
    </cacheField>
    <cacheField name="Deposit received?" numFmtId="0">
      <sharedItems containsBlank="1" count="4">
        <s v="Yes"/>
        <e v="#N/A"/>
        <s v="No"/>
        <m/>
      </sharedItems>
    </cacheField>
    <cacheField name="Date of reservation" numFmtId="0">
      <sharedItems containsDate="1" containsBlank="1" containsMixedTypes="1" minDate="2018-06-01T00:00:00" maxDate="2018-10-16T00:00:00"/>
    </cacheField>
    <cacheField name="Expired date" numFmtId="0">
      <sharedItems containsDate="1" containsBlank="1" containsMixedTypes="1" minDate="2018-06-15T00:00:00" maxDate="2018-10-27T00:00:00"/>
    </cacheField>
    <cacheField name="Queuing" numFmtId="0">
      <sharedItems containsBlank="1"/>
    </cacheField>
    <cacheField name="stock information 是否已发" numFmtId="0">
      <sharedItems containsBlank="1" containsMixedTypes="1" containsNumber="1" containsInteger="1" minValue="190635038" maxValue="190635038"/>
    </cacheField>
    <cacheField name="随机Nozzle TYPE" numFmtId="0">
      <sharedItems containsDate="1" containsBlank="1" containsMixedTypes="1" minDate="1900-01-08T17:55:04" maxDate="1900-01-07T05:12: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279.631261458337" createdVersion="7" refreshedVersion="7" minRefreshableVersion="3" recordCount="1005" xr:uid="{BBE89E48-B4A7-4FDF-96AC-EBE5176BF23B}">
  <cacheSource type="worksheet">
    <worksheetSource ref="A1:AE1048576" sheet="SMT Quote Rate " r:id="rId2"/>
  </cacheSource>
  <cacheFields count="31">
    <cacheField name="Period                " numFmtId="0">
      <sharedItems containsBlank="1" containsMixedTypes="1" containsNumber="1" containsInteger="1" minValue="2019" maxValue="2023" count="8">
        <m/>
        <n v="2019"/>
        <n v="2020"/>
        <n v="2022"/>
        <n v="2021"/>
        <s v="FY20/21"/>
        <s v="FY21/22"/>
        <n v="2023"/>
      </sharedItems>
    </cacheField>
    <cacheField name="DEPT" numFmtId="0">
      <sharedItems containsBlank="1" count="15">
        <s v="C49"/>
        <s v="C28"/>
        <s v="C49SHA"/>
        <s v="C49CNY"/>
        <s v="C49(加价)"/>
        <s v="C49(51%)"/>
        <s v="C49(54%)"/>
        <s v="Cancel"/>
        <s v="C49(57%)"/>
        <s v="C49(55%)"/>
        <s v="C49(53%)"/>
        <s v="C49(49%)"/>
        <s v="C49(加价2)"/>
        <s v="C66"/>
        <m/>
      </sharedItems>
    </cacheField>
    <cacheField name="TYPE (Inter-co)" numFmtId="0">
      <sharedItems containsBlank="1" count="3">
        <s v="STK"/>
        <s v="IND"/>
        <m/>
      </sharedItems>
    </cacheField>
    <cacheField name="TYPE                 (To supplier)" numFmtId="43">
      <sharedItems containsBlank="1" count="3">
        <m/>
        <s v="STK"/>
        <s v="IND"/>
      </sharedItems>
    </cacheField>
    <cacheField name="LC number" numFmtId="0">
      <sharedItems containsBlank="1"/>
    </cacheField>
    <cacheField name="issuing bank charges  (HKD)" numFmtId="43">
      <sharedItems containsBlank="1" containsMixedTypes="1" containsNumber="1" minValue="0" maxValue="138422"/>
    </cacheField>
    <cacheField name="benificiary bank charges(JPY)" numFmtId="43">
      <sharedItems containsBlank="1" containsMixedTypes="1" containsNumber="1" containsInteger="1" minValue="0" maxValue="248057"/>
    </cacheField>
    <cacheField name="海運費用 HKD" numFmtId="0">
      <sharedItems containsString="0" containsBlank="1" containsNumber="1" minValue="0" maxValue="226373.75"/>
    </cacheField>
    <cacheField name="PO#                             (To Supplier)" numFmtId="0">
      <sharedItems containsBlank="1" containsMixedTypes="1" containsNumber="1" containsInteger="1" minValue="109714" maxValue="111503" count="400">
        <m/>
        <n v="109714"/>
        <n v="109749"/>
        <n v="109750"/>
        <n v="109759"/>
        <n v="109762"/>
        <n v="109774"/>
        <n v="109775"/>
        <n v="109782"/>
        <n v="109793"/>
        <n v="109794"/>
        <n v="109783"/>
        <n v="109815"/>
        <n v="109820"/>
        <n v="109816"/>
        <n v="109806"/>
        <n v="109855"/>
        <n v="109856"/>
        <n v="109857"/>
        <n v="109858"/>
        <n v="109889"/>
        <n v="109873"/>
        <n v="109868"/>
        <n v="109880"/>
        <n v="109886"/>
        <n v="109891"/>
        <n v="109917"/>
        <n v="109924"/>
        <n v="109933"/>
        <n v="109957"/>
        <n v="109958"/>
        <n v="109981"/>
        <n v="109926"/>
        <n v="109954"/>
        <s v="49J103603"/>
        <n v="109980"/>
        <n v="109976"/>
        <n v="109977"/>
        <n v="109984"/>
        <n v="110058"/>
        <n v="109995"/>
        <n v="109996"/>
        <n v="110047"/>
        <n v="110048"/>
        <n v="110046"/>
        <n v="109991"/>
        <n v="110033"/>
        <n v="110038"/>
        <n v="109992"/>
        <n v="110034"/>
        <n v="110055"/>
        <n v="110049"/>
        <n v="110025"/>
        <n v="110081"/>
        <n v="110050"/>
        <n v="110043"/>
        <n v="110137"/>
        <n v="110089"/>
        <s v="49F103569"/>
        <n v="110026"/>
        <n v="110045"/>
        <n v="110044"/>
        <s v="49F103708"/>
        <n v="110110"/>
        <n v="110068"/>
        <n v="110069"/>
        <n v="110097"/>
        <n v="110181"/>
        <n v="110158"/>
        <n v="110159"/>
        <n v="110122"/>
        <n v="110161"/>
        <n v="110108"/>
        <n v="110067"/>
        <n v="110066"/>
        <n v="110168"/>
        <n v="110170"/>
        <n v="110195"/>
        <n v="110105"/>
        <n v="110106"/>
        <n v="110198"/>
        <n v="110199"/>
        <n v="110123"/>
        <n v="110107"/>
        <n v="110096"/>
        <n v="110201"/>
        <n v="110230"/>
        <n v="110235"/>
        <n v="110133"/>
        <n v="110132"/>
        <n v="110130"/>
        <n v="110131"/>
        <n v="110150"/>
        <n v="110172"/>
        <n v="110173"/>
        <n v="110287"/>
        <n v="110174"/>
        <n v="110175"/>
        <n v="110210"/>
        <n v="110176"/>
        <n v="110151"/>
        <n v="110237"/>
        <n v="110251"/>
        <n v="110328"/>
        <n v="110297"/>
        <n v="110152"/>
        <n v="110238"/>
        <n v="110212"/>
        <n v="110153"/>
        <n v="110347"/>
        <n v="110348"/>
        <n v="110274"/>
        <n v="110333"/>
        <n v="110245"/>
        <n v="110272"/>
        <n v="110271"/>
        <n v="110327"/>
        <n v="110301"/>
        <n v="110346"/>
        <n v="110403"/>
        <n v="110331"/>
        <n v="110416"/>
        <s v="110244,new po110463"/>
        <n v="110211"/>
        <n v="110227"/>
        <n v="110248"/>
        <n v="110236"/>
        <n v="110228"/>
        <n v="110246"/>
        <n v="110437"/>
        <n v="110397"/>
        <n v="110450"/>
        <n v="110384"/>
        <n v="110449"/>
        <n v="110352"/>
        <n v="110380"/>
        <n v="110481"/>
        <n v="110479"/>
        <n v="110452"/>
        <n v="110402"/>
        <n v="110441"/>
        <n v="110247"/>
        <n v="110413"/>
        <n v="110431"/>
        <n v="110383"/>
        <n v="110500"/>
        <n v="110314"/>
        <n v="110557"/>
        <n v="110558"/>
        <n v="110562"/>
        <n v="110593"/>
        <n v="110556"/>
        <n v="110576"/>
        <n v="110579"/>
        <n v="110580"/>
        <n v="110578"/>
        <n v="110598"/>
        <n v="110582"/>
        <n v="110581"/>
        <n v="110594"/>
        <n v="110635"/>
        <n v="110634"/>
        <n v="110620"/>
        <n v="110617"/>
        <n v="110619"/>
        <n v="110459"/>
        <n v="110618"/>
        <n v="110669"/>
        <n v="110530"/>
        <n v="110671"/>
        <s v="49F104087"/>
        <s v="49F104088"/>
        <s v="49F104089"/>
        <s v="49F103948"/>
        <s v="49F103968"/>
        <s v="49F104054"/>
        <s v="49F104147"/>
        <n v="110550"/>
        <n v="110670"/>
        <n v="110664"/>
        <n v="110708"/>
        <n v="110665"/>
        <n v="110693"/>
        <n v="110666"/>
        <n v="110694"/>
        <n v="110695"/>
        <n v="110697"/>
        <n v="110696"/>
        <n v="110698"/>
        <n v="110734"/>
        <n v="110731"/>
        <n v="110689"/>
        <n v="110690"/>
        <n v="110630"/>
        <n v="110691"/>
        <n v="110692"/>
        <n v="110726"/>
        <n v="110727"/>
        <n v="110729"/>
        <n v="110472"/>
        <n v="110730"/>
        <n v="110733"/>
        <n v="110800"/>
        <n v="110771"/>
        <n v="110728"/>
        <n v="110732"/>
        <n v="110737"/>
        <n v="110773"/>
        <n v="110775"/>
        <n v="110774"/>
        <n v="110249"/>
        <n v="110755"/>
        <n v="110756"/>
        <n v="110770"/>
        <n v="110769"/>
        <n v="110766"/>
        <n v="110768"/>
        <n v="110767"/>
        <n v="110758"/>
        <n v="110760"/>
        <n v="110762"/>
        <n v="110813"/>
        <n v="110757"/>
        <n v="110759"/>
        <n v="110761"/>
        <n v="110763"/>
        <n v="110803"/>
        <n v="110791"/>
        <n v="110812"/>
        <s v="49F104206"/>
        <n v="110765"/>
        <n v="110764"/>
        <n v="110824"/>
        <n v="110829"/>
        <n v="110825"/>
        <n v="110831"/>
        <n v="110823"/>
        <n v="110830"/>
        <n v="110826"/>
        <n v="110827"/>
        <n v="110828"/>
        <n v="110832"/>
        <n v="110838"/>
        <n v="110833"/>
        <n v="110834"/>
        <n v="110835"/>
        <n v="110836"/>
        <n v="110837"/>
        <n v="110810"/>
        <n v="110436"/>
        <n v="110429"/>
        <n v="110870"/>
        <n v="110874"/>
        <n v="110873"/>
        <n v="110882"/>
        <n v="110869"/>
        <n v="110863"/>
        <n v="110866"/>
        <n v="110867"/>
        <n v="110883"/>
        <n v="110864"/>
        <n v="110872"/>
        <n v="110865"/>
        <n v="110868"/>
        <s v="49F104103"/>
        <s v="49F104104"/>
        <s v="49F104105"/>
        <s v="49F104131"/>
        <s v="49F104157"/>
        <s v="49F104158"/>
        <s v="49F104161"/>
        <s v="49F104165"/>
        <s v="49F104166"/>
        <s v="49F104167"/>
        <s v="49F104168"/>
        <n v="110896"/>
        <n v="110877"/>
        <n v="110910"/>
        <n v="110871"/>
        <n v="110887"/>
        <n v="110875"/>
        <n v="110935"/>
        <n v="110949"/>
        <n v="110809"/>
        <n v="110254"/>
        <n v="110315"/>
        <n v="110250"/>
        <n v="110316"/>
        <n v="110317"/>
        <n v="110318"/>
        <n v="110319"/>
        <n v="110374"/>
        <n v="110375"/>
        <n v="110376"/>
        <n v="110377"/>
        <n v="110378"/>
        <n v="110379"/>
        <n v="110497"/>
        <n v="110965"/>
        <n v="110444"/>
        <n v="110445"/>
        <n v="110519"/>
        <n v="110915"/>
        <n v="110916"/>
        <n v="110917"/>
        <n v="110918"/>
        <n v="110919"/>
        <n v="110920"/>
        <n v="110921"/>
        <n v="110922"/>
        <n v="110923"/>
        <n v="110924"/>
        <n v="110928"/>
        <n v="110929"/>
        <n v="110940"/>
        <n v="110930"/>
        <n v="110931"/>
        <n v="110932"/>
        <n v="110933"/>
        <n v="110934"/>
        <n v="110948"/>
        <n v="110962"/>
        <n v="110961"/>
        <n v="110960"/>
        <n v="110957"/>
        <n v="110959"/>
        <n v="110958"/>
        <n v="110956"/>
        <n v="110953"/>
        <n v="110952"/>
        <n v="110951"/>
        <n v="110954"/>
        <n v="110963"/>
        <n v="110986"/>
        <n v="110987"/>
        <n v="110988"/>
        <n v="110989"/>
        <n v="110990"/>
        <n v="110991"/>
        <n v="110992"/>
        <n v="110993"/>
        <n v="110995"/>
        <n v="110996"/>
        <n v="110997"/>
        <n v="110998"/>
        <n v="110999"/>
        <n v="111000"/>
        <n v="111001"/>
        <n v="111002"/>
        <n v="111003"/>
        <n v="111004"/>
        <n v="111006"/>
        <n v="111020"/>
        <s v="49F104334"/>
        <n v="111053"/>
        <s v="49F104337"/>
        <s v="49F104335"/>
        <s v="49F104336"/>
        <s v="49F104340"/>
        <s v="49F104339"/>
        <s v="49F104342"/>
        <s v="49F104341"/>
        <n v="111051"/>
        <n v="111077"/>
        <n v="111095"/>
        <n v="111096"/>
        <n v="111097"/>
        <s v="28L104351"/>
        <s v="49F104436"/>
        <n v="111131"/>
        <n v="111132"/>
        <n v="111133"/>
        <n v="111134"/>
        <n v="111202"/>
        <n v="111222"/>
        <n v="111247"/>
        <n v="111252"/>
        <n v="111253"/>
        <n v="111254"/>
        <n v="111258"/>
        <n v="111277"/>
        <n v="111278"/>
        <n v="111293"/>
        <n v="111309"/>
        <n v="111310"/>
        <n v="111341"/>
        <n v="111342"/>
        <n v="111361"/>
        <n v="111362"/>
        <n v="111390"/>
        <n v="111421"/>
        <n v="111440"/>
        <n v="111452"/>
        <n v="111465"/>
        <n v="111464"/>
        <n v="111482"/>
        <n v="111487"/>
        <n v="111489"/>
        <n v="111501"/>
        <n v="111503"/>
      </sharedItems>
    </cacheField>
    <cacheField name="PO#               (Inter co)" numFmtId="0">
      <sharedItems containsBlank="1" containsMixedTypes="1" containsNumber="1" containsInteger="1" minValue="109109" maxValue="111503"/>
    </cacheField>
    <cacheField name="PO  Date" numFmtId="14">
      <sharedItems containsNonDate="0" containsDate="1" containsString="0" containsBlank="1" minDate="2019-11-11T00:00:00" maxDate="2023-12-13T00:00:00" count="125">
        <m/>
        <d v="2019-11-11T00:00:00"/>
        <d v="2019-11-18T00:00:00"/>
        <d v="2019-11-25T00:00:00"/>
        <d v="2019-12-06T00:00:00"/>
        <d v="2019-12-20T00:00:00"/>
        <d v="2020-01-20T00:00:00"/>
        <d v="2020-01-09T00:00:00"/>
        <d v="2020-03-26T00:00:00"/>
        <d v="2020-03-25T00:00:00"/>
        <d v="2020-04-22T00:00:00"/>
        <d v="2020-04-15T00:00:00"/>
        <d v="2020-04-21T00:00:00"/>
        <d v="2020-04-23T00:00:00"/>
        <d v="2020-04-27T00:00:00"/>
        <d v="2020-05-29T00:00:00"/>
        <d v="2020-06-03T00:00:00"/>
        <d v="2020-06-09T00:00:00"/>
        <d v="2020-06-30T00:00:00"/>
        <d v="2020-07-13T00:00:00"/>
        <d v="2020-06-24T00:00:00"/>
        <d v="2020-07-10T00:00:00"/>
        <d v="2020-07-16T00:00:00"/>
        <d v="2020-08-27T00:00:00"/>
        <d v="2020-07-22T00:00:00"/>
        <d v="2020-08-21T00:00:00"/>
        <d v="2020-08-20T00:00:00"/>
        <d v="2020-07-21T00:00:00"/>
        <d v="2020-08-17T00:00:00"/>
        <d v="2020-08-18T00:00:00"/>
        <d v="2020-08-25T00:00:00"/>
        <d v="2020-08-11T00:00:00"/>
        <d v="2020-09-15T00:00:00"/>
        <d v="2020-09-03T00:00:00"/>
        <d v="2020-09-21T00:00:00"/>
        <d v="2023-06-01T00:00:00"/>
        <d v="2020-08-19T00:00:00"/>
        <d v="2020-09-28T00:00:00"/>
        <d v="2020-09-18T00:00:00"/>
        <d v="2020-11-02T00:00:00"/>
        <d v="2020-10-11T00:00:00"/>
        <d v="2020-09-25T00:00:00"/>
        <d v="2020-11-05T00:00:00"/>
        <d v="2020-11-16T00:00:00"/>
        <d v="2020-11-09T00:00:00"/>
        <d v="2020-11-23T00:00:00"/>
        <d v="2020-12-10T00:00:00"/>
        <d v="2020-12-15T00:00:00"/>
        <d v="2021-01-18T00:00:00"/>
        <d v="2020-12-14T00:00:00"/>
        <d v="2021-01-06T00:00:00"/>
        <d v="2021-02-03T00:00:00"/>
        <d v="2021-01-05T00:00:00"/>
        <d v="2021-02-02T00:00:00"/>
        <d v="2021-01-19T00:00:00"/>
        <d v="2020-12-04T00:00:00"/>
        <d v="2021-03-31T00:00:00"/>
        <d v="2021-01-27T00:00:00"/>
        <d v="2021-03-11T00:00:00"/>
        <d v="2021-03-08T00:00:00"/>
        <d v="2021-08-17T00:00:00"/>
        <d v="2021-07-21T00:00:00"/>
        <d v="2021-08-03T00:00:00"/>
        <d v="2021-08-05T00:00:00"/>
        <d v="2021-09-16T00:00:00"/>
        <d v="2021-09-07T00:00:00"/>
        <d v="2021-05-10T00:00:00"/>
        <d v="2021-07-01T00:00:00"/>
        <d v="2021-11-18T00:00:00"/>
        <d v="2021-06-29T00:00:00"/>
        <d v="2021-10-19T00:00:00"/>
        <d v="2021-12-03T00:00:00"/>
        <d v="2021-07-14T00:00:00"/>
        <d v="2021-10-27T00:00:00"/>
        <d v="2021-10-23T00:00:00"/>
        <d v="2021-11-16T00:00:00"/>
        <d v="2021-12-09T00:00:00"/>
        <d v="2021-12-10T00:00:00"/>
        <d v="2021-12-29T00:00:00"/>
        <d v="2022-01-26T00:00:00"/>
        <d v="2022-01-20T00:00:00"/>
        <d v="2022-01-10T00:00:00"/>
        <d v="2022-01-21T00:00:00"/>
        <d v="2022-02-15T00:00:00"/>
        <d v="2022-03-17T00:00:00"/>
        <d v="2022-03-25T00:00:00"/>
        <d v="2022-01-05T00:00:00"/>
        <d v="2022-01-12T00:00:00"/>
        <d v="2022-01-13T00:00:00"/>
        <d v="2021-03-09T00:00:00"/>
        <d v="2021-04-22T00:00:00"/>
        <d v="2021-06-23T00:00:00"/>
        <d v="2022-04-20T00:00:00"/>
        <d v="2022-04-21T00:00:00"/>
        <d v="2022-04-28T00:00:00"/>
        <d v="2022-04-29T00:00:00"/>
        <d v="2022-05-18T00:00:00"/>
        <d v="2022-06-07T00:00:00"/>
        <d v="2022-06-09T00:00:00"/>
        <d v="2022-06-24T00:00:00"/>
        <d v="2022-07-14T00:00:00"/>
        <d v="2022-08-09T00:00:00"/>
        <d v="2022-08-18T00:00:00"/>
        <d v="2022-12-08T00:00:00"/>
        <d v="2022-10-11T00:00:00"/>
        <d v="2022-12-23T00:00:00"/>
        <d v="2023-02-07T00:00:00"/>
        <d v="2023-02-27T00:00:00"/>
        <d v="2023-03-03T00:00:00"/>
        <d v="2023-03-06T00:00:00"/>
        <d v="2023-03-10T00:00:00"/>
        <d v="2023-03-31T00:00:00"/>
        <d v="2023-04-14T00:00:00"/>
        <d v="2023-05-11T00:00:00"/>
        <d v="2023-06-16T00:00:00"/>
        <d v="2023-07-12T00:00:00"/>
        <d v="2023-08-08T00:00:00"/>
        <d v="2023-09-11T00:00:00"/>
        <d v="2023-09-25T00:00:00"/>
        <d v="2023-10-18T00:00:00"/>
        <d v="2023-11-03T00:00:00"/>
        <d v="2023-11-27T00:00:00"/>
        <d v="2023-12-01T00:00:00"/>
        <d v="2023-12-08T00:00:00"/>
        <d v="2023-12-12T00:00:00"/>
      </sharedItems>
    </cacheField>
    <cacheField name="DESC" numFmtId="0">
      <sharedItems containsBlank="1" count="246">
        <s v="Stock machine(seperated PO#109057)"/>
        <s v="明昌（bright)"/>
        <s v="Stock machine"/>
        <s v="2018 4th Stock machine （易士达名义下单）"/>
        <s v="Stock machine(seperated PO#109109)"/>
        <s v="Stock machine(seperated PO#109157,Kstar )"/>
        <s v="Stock machine(seperated PO#109177)"/>
        <s v="2018 3rd Stock machine "/>
        <s v="2018 5th Stock machine "/>
        <s v="Stock machine(安嘉名义下单）"/>
        <s v="2018 5th Stock machine (Sepearated PO109213)"/>
        <s v="上海拆分的订单"/>
        <s v="Stock machine(seperated PO#109158)"/>
        <s v="2018 12th Stock machine(上达名义下单)"/>
        <s v="2018 16th Stock machine"/>
        <s v="2018 12th Stock machine(上达名义下单),seperated PO109257"/>
        <s v="Stock machine(Seperated PO#109151)"/>
        <s v="2018 1st Stock machine(全球星名义下单)"/>
        <s v="2018 7th Stock machine(金东方名义下单)"/>
        <s v="2018 24th Stock machine"/>
        <s v="2018 12th Stock machine(上达名义下单) ,seperated PO109257"/>
        <s v="2018 9th Stock machine"/>
        <s v="2018 2nd Stock machine(中润互联名义下单)"/>
        <s v="201810th Stock machine"/>
        <s v="2018 10 th stock machine(Seperated PO 109239)"/>
        <s v="IND order Compass"/>
        <s v="2018 26th Stock machine（康佳名义下单）"/>
        <s v="2018 9th Stock machine(seperated PO109328)"/>
        <s v="2018 10th Stock machine  Seperated PO#109239"/>
        <s v="2018 28th stk order  Ref no: BA180816"/>
        <s v="2018 14th Stock machine(立昇名义下单)"/>
        <s v="2018 27th stk order (易而达名义下单)"/>
        <s v="2018 23th Stock machine（永顺创名义下单）"/>
        <s v="2018 17th Stock machine(亿联名义下单)"/>
        <s v="2018 20th Stock machine(英拓邦名义下单)"/>
        <s v="2018 19th Stock machine"/>
        <s v="2018 19th Stock machine seperated PO109295"/>
        <s v="2018 15th Stock machine(上达名义下单)"/>
        <s v="Stock machine Seperated PO 109156"/>
        <s v="Separate PO 109352  26th stock machine 康佳名义 "/>
        <s v="2018 8th Stock machine(朗特名义下单)"/>
        <s v="小耳朵 IND order"/>
        <s v="2018 8th Stock machine(朗特名义下单) separated po 109237"/>
        <s v="2018 20th Stock machine(英拓邦名义下单) seperated PO109308"/>
        <s v="2018 15th Stock machine(上达名义下单) separate 109279"/>
        <s v="2018 6th Stock machine(丰硕名义下单)"/>
        <s v="2018 11th Stock machine(栩丽名义下单)"/>
        <s v="安嘉名义下单 BA ref: 180904-01"/>
        <s v="瑞福联名义下单 BA ref: 180904-02"/>
        <s v="2018 14th Stock machine(立昇名义下单) seperated PO109264"/>
        <s v="通通旺名义下单 BA ref: 180904-03"/>
        <s v="2018 21th Stock machine（深台科名义下单）"/>
        <s v="朗特名义"/>
        <s v="STK YCP "/>
        <s v="2018 18th Stock machine(拓普艾名义下单)"/>
        <s v="2018 22th Stock machine（BBS名义下单）"/>
        <s v="2018 25th Stock machine"/>
        <s v="2018 13th Stock machine(龙腾名义下单)"/>
        <s v="2018 15th Stock machine(上达名义下单) separate 109393"/>
        <s v="2018 17th Stock machine(亿联名义下单) Seperated po 109288"/>
        <s v="永顺创名义 Ref: 20181130"/>
        <s v="STK Machine Ref. 190315"/>
        <s v="STK machine ref: 190328"/>
        <s v="Ref: 190418"/>
        <s v="Ref: 190523"/>
        <s v="IND  长沙健科"/>
        <s v="2019-4-25 STK"/>
        <s v="IND ，APT"/>
        <s v="Ref: 190617"/>
        <s v="Ref: 190726"/>
        <s v="Ref: 190827"/>
        <s v="Ref: 190821"/>
        <s v="Ref: 190823"/>
        <s v="Ref: 190905"/>
        <s v="上海转单"/>
        <s v="IND 海崧微"/>
        <s v="Ref: 190927"/>
        <s v="PO: 109723 博星名义"/>
        <s v="PO: 109730 博星名义"/>
        <s v="109749 ，109750 锘铧名义下单"/>
        <s v="109759 灿明名义下单"/>
        <s v="Special package 109774"/>
        <s v="Special package 109782"/>
        <s v="耕创名义 109793"/>
        <s v="龙大名义 109794"/>
        <s v="STK"/>
        <s v="Protech "/>
        <s v="安林名义下单"/>
        <s v="奕东名义下单"/>
        <s v="APT 名义下单"/>
        <s v="海星名义下单"/>
        <s v="STK "/>
        <s v=" 智序名义下单"/>
        <s v="德劲名义下单"/>
        <s v="泉州名义下单（上海单）"/>
        <s v="正邦名义下单"/>
        <s v="平方兆赫名义下单"/>
        <s v="瑞福联名义下单"/>
        <s v="斯迈名义下单"/>
        <s v="阿克西姆名义下单"/>
        <s v="银宝名义下单"/>
        <s v="博尔通名义下单"/>
        <s v="旭晟名义下单"/>
        <s v="上海下单STK"/>
        <s v="皇家显示名义下单"/>
        <s v="玥芯通名义下单"/>
        <s v="捷舜诚名义下单"/>
        <s v="志华鑫名义下单"/>
        <s v="华彩鑫名义下单"/>
        <s v="鸿通宇名义下单"/>
        <s v="益田名义下单"/>
        <s v="STK(reserved by Leader Tech)"/>
        <s v="众鑫科名义下单"/>
        <s v="音品名义下单"/>
        <s v="龙大名义下单"/>
        <s v="精德鸿名义下单"/>
        <s v="锘铧名义下单"/>
        <s v="杉川名义下单"/>
        <s v="正创名义下单"/>
        <s v="嘉裕名义下单"/>
        <s v="超思维名义下单"/>
        <s v="Cowell名义下单"/>
        <s v="健科名义下单"/>
        <s v="格隆名义下单"/>
        <s v="洛伦兹技术名义下单"/>
        <s v="兴开泰名义下单"/>
        <s v="新明海名义下单"/>
        <s v="深圳上达名义下单"/>
        <s v="络鑫名义下单"/>
        <s v="比泰利名义下单"/>
        <s v="天邦达名义下单"/>
        <s v="海红天远名义下单"/>
        <s v="力通威名义下单"/>
        <s v="Kstar 名义下单"/>
        <s v="APT名义下单"/>
        <s v="宝捷信名义下单"/>
        <s v="拓新伟业名义下单"/>
        <s v="太美亚名义下单"/>
        <s v="快宇名义下单"/>
        <s v="STK名义下单"/>
        <s v="STK名义下单（加价价格)"/>
        <s v="领德创名义下单"/>
        <s v="聚亮兴业名义下单"/>
        <s v="狂热者名义下单"/>
        <s v="融创新合名义下单"/>
        <s v="晨鑫达名义下单"/>
        <s v="魔乐视名义下单"/>
        <s v="正讯名义下单"/>
        <s v="傲尔名义下单"/>
        <s v="方案集名义下单"/>
        <s v="祥弘瑞名义下单"/>
        <s v="河南融创名义下单"/>
        <s v="海凌科达名义下单"/>
        <s v="鸿南名义下单"/>
        <s v="珠海派诺名义下单"/>
        <s v="恒泰创新名义下单"/>
        <s v="保捷时计名义下单"/>
        <s v="英拓邦名义下单"/>
        <s v="维益名义下单"/>
        <s v="朗讯名义下单"/>
        <s v="魔乐视义下单"/>
        <s v="聚能名义下单"/>
        <s v="恒创兴名义下单"/>
        <s v="清禾名义下单"/>
        <s v="晶昌名义下单"/>
        <s v="弛电名义下单"/>
        <s v="海松微名义下单"/>
        <s v="广东微观名义下单"/>
        <s v="鸿楠名义下单"/>
        <s v="三丽名义下单"/>
        <s v="驰电名义下单"/>
        <s v="骏孚名义下单"/>
        <s v="昌大名义下单"/>
        <s v="蓝极光名义下单"/>
        <s v="乐凡名义下单"/>
        <s v="博新名义下单"/>
        <s v="捷舜城名义下单"/>
        <s v="易通名义下单"/>
        <s v="岚新名名义下单"/>
        <s v="伯莱科名义下单"/>
        <s v="朗特名义下单"/>
        <s v="通达科信名义下单"/>
        <s v="普德新星名义下单"/>
        <s v="拓普艾名义下单"/>
        <s v="骏仁达名义下单"/>
        <s v="恒磊名义下单"/>
        <s v="盈通恒翼名义下单"/>
        <s v="勃旭名义下单"/>
        <s v="湖南新亚胜下单"/>
        <s v="世达威下单"/>
        <s v="蓝极星光电下单"/>
        <s v="联润丰名义下单"/>
        <s v="蓝极星名义下单"/>
        <s v="健仕达名义下单"/>
        <s v="中润互联名义下单"/>
        <s v="东莞鸿楠名义下单"/>
        <s v="博睿通名义下单"/>
        <s v="和创永泰名义下单"/>
        <s v="芯联鑫名义下单"/>
        <s v="顺禾名义下单"/>
        <s v="KONKA名义下单"/>
        <s v="辉拓名义下单"/>
        <s v="赛美达名义下单"/>
        <s v="诺亚兴名义下单"/>
        <s v="友艺名义下单"/>
        <s v="钧溢名义下单"/>
        <s v="伯莱科 名义下单"/>
        <s v="鑫天泰 名义下单"/>
        <s v="志华鑫  名义下单"/>
        <s v="利速达  名义下单"/>
        <s v="恒磊  名义下单"/>
        <s v="辉拓  名义下单"/>
        <s v="奥祺 名义下单（54%）"/>
        <s v="精德鸿  名义下单（54%）"/>
        <s v="瑞福联 名义下单（54%）"/>
        <s v="金睿通 名义下单（54%）"/>
        <s v="正讯 名义下单 51%"/>
        <s v="朗迅 名义下单 51%"/>
        <s v="欣华 名义下单 51%"/>
        <s v="斯迈拓 名义下单 51%"/>
        <s v="奥祺 名义下单 57%"/>
        <s v="比尔乔 57%"/>
        <s v="瑞福联 名义下单 57%"/>
        <s v="精德鸿  名义下单 57%"/>
        <s v="金睿通  名义下单 57%"/>
        <s v="芯联鑫 名义下单 54%"/>
        <s v="斯迈 名义下单 54%"/>
        <s v="欣华 名义下单 54%"/>
        <s v="正讯 名义下单 54%"/>
        <s v="莫思特 名义下单 54% "/>
        <s v="YIDONG 名义下单"/>
        <s v="惠州新明海 名义下单"/>
        <s v="惠州市创荣发名义下单"/>
        <s v="东莞市络鑫名义下单"/>
        <s v="铭翔名义下单"/>
        <s v="世启纳名义下单"/>
        <s v="宝捷时计名义下单"/>
        <s v="创荣发名义下单"/>
        <s v="倍斯特名义下单"/>
        <s v="锐诚名义下单"/>
        <s v="雷特名义下单"/>
        <s v="耕创名义下单"/>
        <s v="IND 康佳名义下单"/>
        <s v="高伟名义下单"/>
        <s v="徕芬名义下单"/>
        <m/>
      </sharedItems>
    </cacheField>
    <cacheField name="ITEM NUMBER" numFmtId="0">
      <sharedItems containsBlank="1" count="22">
        <s v="YS24"/>
        <s v="YSM40R-4"/>
        <s v="YSM10"/>
        <s v="YS12F"/>
        <s v="YS13F"/>
        <s v="YS24X "/>
        <s v="YSM20"/>
        <s v="YCP10"/>
        <s v="YS24X"/>
        <s v="YS12 *1 ,YS12F*1"/>
        <s v="YSM20+YSM10"/>
        <s v="SIGMA-G5S2"/>
        <s v="YCD"/>
        <s v="YSM20WR-2"/>
        <s v="YSM20R-2"/>
        <s v="Ysi-V"/>
        <s v="YSD"/>
        <s v="YRH10"/>
        <s v="YSM20-2"/>
        <s v="C66配件"/>
        <s v="S20"/>
        <m/>
      </sharedItems>
    </cacheField>
    <cacheField name="Qty " numFmtId="0">
      <sharedItems containsBlank="1" containsMixedTypes="1" containsNumber="1" containsInteger="1" minValue="1" maxValue="20" count="16">
        <n v="4"/>
        <n v="7"/>
        <n v="2"/>
        <n v="5"/>
        <n v="3"/>
        <n v="1"/>
        <n v="6"/>
        <n v="8"/>
        <n v="10"/>
        <n v="12"/>
        <n v="9"/>
        <n v="11"/>
        <n v="15"/>
        <n v="20"/>
        <s v="1 lot"/>
        <m/>
      </sharedItems>
    </cacheField>
    <cacheField name=" Total price (JPY) " numFmtId="182">
      <sharedItems containsString="0" containsBlank="1" containsNumber="1" minValue="0" maxValue="240274160"/>
    </cacheField>
    <cacheField name="VENDOR" numFmtId="0">
      <sharedItems containsBlank="1" count="6">
        <s v="Yamaha"/>
        <s v="Pro-tech"/>
        <s v="Yamaha "/>
        <s v="富洛"/>
        <s v="SINRI"/>
        <m/>
      </sharedItems>
    </cacheField>
    <cacheField name="Corp rate (JPY/HKD)" numFmtId="0">
      <sharedItems containsString="0" containsBlank="1" containsNumber="1" minValue="7.17E-2" maxValue="7.6799999999999993E-2" count="17">
        <m/>
        <n v="7.2300000000000003E-2"/>
        <n v="7.17E-2"/>
        <n v="7.3400000000000007E-2"/>
        <n v="7.3499999999999996E-2"/>
        <n v="7.3999999999999996E-2"/>
        <n v="7.5200000000000003E-2"/>
        <n v="7.4099999999999999E-2"/>
        <n v="7.2700000000000001E-2"/>
        <n v="7.2900000000000006E-2"/>
        <n v="7.2999999999999995E-2"/>
        <n v="7.3599999999999999E-2"/>
        <n v="7.4300000000000005E-2"/>
        <n v="7.5700000000000003E-2"/>
        <n v="7.4899999999999994E-2"/>
        <n v="7.6100000000000001E-2"/>
        <n v="7.6799999999999993E-2"/>
      </sharedItems>
    </cacheField>
    <cacheField name="Corp rate (HKD/CNY) " numFmtId="0">
      <sharedItems containsString="0" containsBlank="1" containsNumber="1" minValue="1.089" maxValue="1.2" count="12">
        <m/>
        <n v="1.1599999999999999"/>
        <n v="1.135"/>
        <n v="1.095"/>
        <n v="1.1100000000000001"/>
        <n v="1.089"/>
        <n v="1.105"/>
        <n v="1.1299999999999999"/>
        <n v="1.155"/>
        <n v="1.175"/>
        <n v="1.1850000000000001"/>
        <n v="1.2"/>
      </sharedItems>
    </cacheField>
    <cacheField name="ETA" numFmtId="0">
      <sharedItems containsDate="1" containsBlank="1" containsMixedTypes="1" minDate="2018-02-07T00:00:00" maxDate="2024-01-06T00:00:00"/>
    </cacheField>
    <cacheField name="ETD " numFmtId="14">
      <sharedItems containsDate="1" containsBlank="1" containsMixedTypes="1" minDate="2018-01-31T00:00:00" maxDate="2023-12-30T00:00:00" count="277">
        <d v="2018-01-31T00:00:00"/>
        <d v="2018-02-21T00:00:00"/>
        <d v="2018-03-30T00:00:00"/>
        <d v="2018-02-28T00:00:00"/>
        <d v="2018-04-11T00:00:00"/>
        <d v="2018-05-09T00:00:00"/>
        <d v="2018-05-11T00:00:00"/>
        <d v="2018-04-25T00:00:00"/>
        <d v="2018-05-30T00:00:00"/>
        <d v="2018-06-08T00:00:00"/>
        <d v="2018-06-13T00:00:00"/>
        <d v="2018-06-06T00:00:00"/>
        <d v="2018-06-27T00:00:00"/>
        <d v="2018-06-20T00:00:00"/>
        <d v="2018-06-22T00:00:00"/>
        <d v="2018-06-29T00:00:00"/>
        <d v="2018-07-04T00:00:00"/>
        <d v="2018-07-18T00:00:00"/>
        <d v="2018-07-11T00:00:00"/>
        <d v="2018-07-20T00:00:00"/>
        <d v="2018-08-01T00:00:00"/>
        <d v="2018-07-27T00:00:00"/>
        <d v="2018-08-08T00:00:00"/>
        <d v="2018-08-29T00:00:00"/>
        <d v="2018-08-31T00:00:00"/>
        <d v="2018-09-12T00:00:00"/>
        <d v="2018-09-05T00:00:00"/>
        <d v="2018-09-07T00:00:00"/>
        <d v="2018-09-28T00:00:00"/>
        <d v="2018-09-14T00:00:00"/>
        <d v="2018-10-05T00:00:00"/>
        <d v="2018-10-03T00:00:00"/>
        <d v="2018-10-24T00:00:00"/>
        <d v="2018-10-17T00:00:00"/>
        <d v="2018-10-31T00:00:00"/>
        <d v="2018-11-07T00:00:00"/>
        <d v="2018-11-30T00:00:00"/>
        <d v="2018-10-28T00:00:00"/>
        <d v="2018-11-23T00:00:00"/>
        <d v="2018-12-05T00:00:00"/>
        <d v="2018-11-28T00:00:00"/>
        <d v="2018-12-12T00:00:00"/>
        <d v="2018-12-14T00:00:00"/>
        <d v="2018-02-08T00:00:00"/>
        <d v="2019-02-08T00:00:00"/>
        <d v="2019-02-06T00:00:00"/>
        <d v="2019-02-15T00:00:00"/>
        <d v="2019-02-22T00:00:00"/>
        <d v="2019-02-27T00:00:00"/>
        <d v="2019-03-01T00:00:00"/>
        <d v="2019-03-06T00:00:00"/>
        <d v="2019-03-15T00:00:00"/>
        <d v="2019-03-29T00:00:00"/>
        <d v="2019-04-03T00:00:00"/>
        <d v="2019-04-12T00:00:00"/>
        <d v="2019-04-26T00:00:00"/>
        <d v="2019-05-01T00:00:00"/>
        <d v="2019-05-10T00:00:00"/>
        <d v="2019-05-08T00:00:00"/>
        <d v="2019-05-25T00:00:00"/>
        <d v="2019-06-26T00:00:00"/>
        <d v="2019-07-12T00:00:00"/>
        <d v="2019-07-10T00:00:00"/>
        <d v="2019-08-02T00:00:00"/>
        <d v="2019-07-24T00:00:00"/>
        <d v="2019-08-23T00:00:00"/>
        <d v="2019-08-30T00:00:00"/>
        <d v="2019-10-04T00:00:00"/>
        <d v="2019-09-25T00:00:00"/>
        <d v="2019-10-11T00:00:00"/>
        <d v="2019-10-25T00:00:00"/>
        <d v="2019-10-18T00:00:00"/>
        <d v="2020-02-15T00:00:00"/>
        <d v="2019-11-27T00:00:00"/>
        <d v="2019-12-18T00:00:00"/>
        <d v="2019-12-04T00:00:00"/>
        <d v="2019-12-25T00:00:00"/>
        <d v="2019-12-30T00:00:00"/>
        <d v="2020-01-17T00:00:00"/>
        <d v="2019-01-29T00:00:00"/>
        <d v="2020-02-07T00:00:00"/>
        <d v="2020-03-04T00:00:00"/>
        <d v="2020-03-11T00:00:00"/>
        <d v="2020-03-25T00:00:00"/>
        <d v="2020-03-28T00:00:00"/>
        <d v="2020-04-27T00:00:00"/>
        <d v="2020-04-15T00:00:00"/>
        <d v="2020-05-13T00:00:00"/>
        <d v="2020-05-15T00:00:00"/>
        <d v="2020-05-27T00:00:00"/>
        <d v="2020-06-03T00:00:00"/>
        <d v="2020-06-05T00:00:00"/>
        <d v="2020-06-17T00:00:00"/>
        <d v="2020-06-12T00:00:00"/>
        <d v="2020-07-15T00:00:00"/>
        <d v="2020-08-05T00:00:00"/>
        <d v="2020-08-14T00:00:00"/>
        <d v="2020-08-21T00:00:00"/>
        <d v="2020-09-09T00:00:00"/>
        <d v="2020-06-24T00:00:00"/>
        <d v="2020-09-16T00:00:00"/>
        <d v="2020-09-18T00:00:00"/>
        <d v="2020-10-02T00:00:00"/>
        <d v="2020-09-25T00:00:00"/>
        <d v="2020-10-09T00:00:00"/>
        <d v="2020-10-16T00:00:00"/>
        <d v="2020-10-14T00:00:00"/>
        <d v="2020-10-07T00:00:00"/>
        <d v="2020-10-21T00:00:00"/>
        <d v="2020-10-23T00:00:00"/>
        <d v="2020-10-28T00:00:00"/>
        <d v="2020-11-02T00:00:00"/>
        <d v="2020-11-04T00:00:00"/>
        <d v="2020-11-11T00:00:00"/>
        <d v="2020-11-13T00:00:00"/>
        <d v="2020-06-01T00:00:00"/>
        <d v="2020-11-21T00:00:00"/>
        <d v="2020-11-07T00:00:00"/>
        <d v="2020-11-18T00:00:00"/>
        <d v="2020-12-02T00:00:00"/>
        <d v="2020-12-04T00:00:00"/>
        <d v="2020-12-09T00:00:00"/>
        <d v="2020-12-16T00:00:00"/>
        <d v="2020-12-24T00:00:00"/>
        <d v="2020-12-01T00:00:00"/>
        <d v="2020-12-25T00:00:00"/>
        <d v="2021-01-13T00:00:00"/>
        <d v="2020-12-30T00:00:00"/>
        <d v="2021-01-06T00:00:00"/>
        <d v="2021-01-08T00:00:00"/>
        <d v="2021-01-15T00:00:00"/>
        <d v="2021-02-23T00:00:00"/>
        <d v="2021-01-27T00:00:00"/>
        <d v="2021-01-30T00:00:00"/>
        <d v="2021-02-05T00:00:00"/>
        <d v="2021-02-18T00:00:00"/>
        <d v="2021-02-19T00:00:00"/>
        <d v="2021-02-10T00:00:00"/>
        <d v="2021-01-29T00:00:00"/>
        <d v="2021-02-28T00:00:00"/>
        <d v="2021-03-03T00:00:00"/>
        <d v="2021-03-17T00:00:00"/>
        <d v="2021-03-19T00:00:00"/>
        <d v="2021-03-24T00:00:00"/>
        <d v="2021-04-07T00:00:00"/>
        <d v="2021-04-14T00:00:00"/>
        <d v="2021-04-09T00:00:00"/>
        <d v="2021-04-22T00:00:00"/>
        <d v="2021-04-17T00:00:00"/>
        <d v="2021-04-21T00:00:00"/>
        <d v="2021-04-30T00:00:00"/>
        <d v="2021-05-12T00:00:00"/>
        <d v="2021-04-28T00:00:00"/>
        <d v="2021-04-26T00:00:00"/>
        <d v="2021-05-14T00:00:00"/>
        <d v="2021-05-20T00:00:00"/>
        <d v="2021-04-19T00:00:00"/>
        <d v="2021-05-19T00:00:00"/>
        <d v="2021-05-21T00:00:00"/>
        <d v="2021-05-26T00:00:00"/>
        <d v="2021-06-11T00:00:00"/>
        <d v="2021-06-09T00:00:00"/>
        <d v="2021-06-22T00:00:00"/>
        <d v="2021-07-01T00:00:00"/>
        <d v="2021-07-09T00:00:00"/>
        <d v="2021-07-13T00:00:00"/>
        <d v="2021-08-04T00:00:00"/>
        <d v="2021-08-25T00:00:00"/>
        <d v="2021-09-10T00:00:00"/>
        <d v="2021-09-22T00:00:00"/>
        <d v="2021-09-29T00:00:00"/>
        <d v="2021-10-01T00:00:00"/>
        <d v="2021-10-13T00:00:00"/>
        <d v="2021-10-26T00:00:00"/>
        <d v="2021-11-10T00:00:00"/>
        <d v="2021-11-12T00:00:00"/>
        <d v="2021-11-19T00:00:00"/>
        <d v="2021-12-03T00:00:00"/>
        <d v="2021-12-08T00:00:00"/>
        <d v="2021-12-10T00:00:00"/>
        <s v="提货时间2021/12/7"/>
        <s v="提货时间2021/8/26"/>
        <s v="提货时间2021/9/28"/>
        <s v="提货时间2021/11/11"/>
        <s v="提货时间2022/1/11"/>
        <s v="已经到货"/>
        <d v="2021-12-22T00:00:00"/>
        <d v="2021-12-24T00:00:00"/>
        <d v="2022-01-07T00:00:00"/>
        <d v="2022-01-12T00:00:00"/>
        <d v="2022-01-19T00:00:00"/>
        <d v="2022-01-26T00:00:00"/>
        <d v="2022-01-21T00:00:00"/>
        <d v="2022-01-28T00:00:00"/>
        <d v="2022-02-02T00:00:00"/>
        <d v="2022-02-11T00:00:00"/>
        <d v="2022-02-17T00:00:00"/>
        <d v="2022-02-24T00:00:00"/>
        <d v="2022-03-04T00:00:00"/>
        <d v="2022-03-12T00:00:00"/>
        <d v="2022-03-16T00:00:00"/>
        <d v="2022-03-14T00:00:00"/>
        <d v="2022-03-25T00:00:00"/>
        <d v="2022-03-15T00:00:00"/>
        <d v="2022-04-01T00:00:00"/>
        <d v="2022-04-05T00:00:00"/>
        <d v="2022-04-20T00:00:00"/>
        <d v="2022-04-22T00:00:00"/>
        <d v="2022-04-30T00:00:00"/>
        <d v="2022-05-06T00:00:00"/>
        <d v="2022-05-13T00:00:00"/>
        <d v="2022-05-15T00:00:00"/>
        <d v="2022-05-18T00:00:00"/>
        <s v="提货时间2022/3/14"/>
        <s v="提货时间2022/2/22"/>
        <s v="提货时间2022/1/17"/>
        <s v="cancel"/>
        <s v="提货时间2022/3/8"/>
        <d v="2022-06-02T00:00:00"/>
        <d v="2022-05-25T00:00:00"/>
        <d v="2022-06-06T00:00:00"/>
        <d v="2022-06-01T00:00:00"/>
        <d v="2022-06-03T00:00:00"/>
        <d v="2022-06-10T00:00:00"/>
        <d v="2022-06-08T00:00:00"/>
        <d v="2022-06-28T00:00:00"/>
        <d v="2022-04-10T00:00:00"/>
        <d v="2022-07-01T00:00:00"/>
        <d v="2022-06-24T00:00:00"/>
        <d v="2022-06-20T00:00:00"/>
        <d v="2022-06-17T00:00:00"/>
        <d v="2022-07-29T00:00:00"/>
        <d v="2022-07-27T00:00:00"/>
        <d v="2022-06-29T00:00:00"/>
        <d v="2022-07-08T00:00:00"/>
        <d v="2022-07-15T00:00:00"/>
        <d v="2022-07-18T00:00:00"/>
        <d v="2022-07-19T00:00:00"/>
        <d v="2022-07-24T00:00:00"/>
        <d v="2022-07-13T00:00:00"/>
        <d v="2022-07-25T00:00:00"/>
        <d v="2022-08-03T00:00:00"/>
        <d v="2022-08-26T00:00:00"/>
        <d v="2022-08-05T00:00:00"/>
        <d v="2022-07-28T00:00:00"/>
        <d v="2022-08-02T00:00:00"/>
        <d v="2022-08-01T00:00:00"/>
        <d v="2022-09-07T00:00:00"/>
        <d v="2022-10-31T00:00:00"/>
        <d v="2022-09-19T00:00:00"/>
        <d v="2022-09-23T00:00:00"/>
        <d v="2022-11-04T00:00:00"/>
        <d v="2022-10-27T00:00:00"/>
        <s v="2022-12-15提货"/>
        <d v="2023-01-25T00:00:00"/>
        <d v="2023-03-15T00:00:00"/>
        <d v="2023-03-31T00:00:00"/>
        <d v="2023-04-26T00:00:00"/>
        <d v="2023-04-07T00:00:00"/>
        <d v="2023-05-03T00:00:00"/>
        <d v="2023-04-28T00:00:00"/>
        <d v="2023-06-15T00:00:00"/>
        <d v="2023-06-19T00:00:00"/>
        <d v="2023-06-30T00:00:00"/>
        <d v="2023-08-04T00:00:00"/>
        <d v="2023-07-26T00:00:00"/>
        <d v="2023-08-29T00:00:00"/>
        <d v="2023-09-29T00:00:00"/>
        <d v="2023-11-01T00:00:00"/>
        <d v="2023-11-22T00:00:00"/>
        <d v="2023-12-27T00:00:00"/>
        <d v="2023-11-29T00:00:00"/>
        <d v="2023-12-29T00:00:00"/>
        <s v="ex work end of  Dec"/>
        <s v="ex work end of  Jan,2024"/>
        <s v="ex work end of  Feb,2024"/>
        <m/>
      </sharedItems>
    </cacheField>
    <cacheField name="Confirmed by Yamaha" numFmtId="0">
      <sharedItems containsBlank="1" count="3">
        <s v="Confirmed"/>
        <m/>
        <s v="cancel"/>
      </sharedItems>
    </cacheField>
    <cacheField name="ETA MONTH" numFmtId="0">
      <sharedItems containsBlank="1" containsMixedTypes="1" containsNumber="1" containsInteger="1" minValue="1" maxValue="12"/>
    </cacheField>
    <cacheField name="update Fx to Oracle?" numFmtId="0">
      <sharedItems containsBlank="1" count="7">
        <s v="Y"/>
        <s v="Yes"/>
        <s v="no mismatch"/>
        <s v="Yes "/>
        <m/>
        <s v="quoter rate"/>
        <s v="please quote rate"/>
      </sharedItems>
    </cacheField>
    <cacheField name="JPY/CNY" numFmtId="0">
      <sharedItems containsBlank="1" containsMixedTypes="1" containsNumber="1" minValue="0" maxValue="6.7299999999999999E-2"/>
    </cacheField>
    <cacheField name="JPY/HKD" numFmtId="0">
      <sharedItems containsBlank="1" containsMixedTypes="1" containsNumber="1" minValue="0" maxValue="7.5200000000000003E-2"/>
    </cacheField>
    <cacheField name="海運費用 CNY" numFmtId="0">
      <sharedItems containsDate="1" containsBlank="1" containsMixedTypes="1" minDate="1899-12-31T00:00:00" maxDate="1899-12-30T00:00:00"/>
    </cacheField>
    <cacheField name="issuing bank charges  (CNY)" numFmtId="0">
      <sharedItems containsBlank="1" containsMixedTypes="1" containsNumber="1" minValue="0" maxValue="6253.2342342342336"/>
    </cacheField>
    <cacheField name="benificiary bank charges(HKD)" numFmtId="0">
      <sharedItems containsBlank="1" containsMixedTypes="1" containsNumber="1" minValue="0" maxValue="17397.404399999999"/>
    </cacheField>
    <cacheField name="Total price (HKD)" numFmtId="0">
      <sharedItems containsDate="1" containsBlank="1" containsMixedTypes="1" minDate="1899-12-31T00:00:00" maxDate="7811-10-09T00:03:05"/>
    </cacheField>
    <cacheField name="原来PO号" numFmtId="0">
      <sharedItems containsString="0" containsBlank="1" containsNumber="1" containsInteger="1" minValue="110152" maxValue="110883" count="23">
        <m/>
        <n v="110210"/>
        <n v="110152"/>
        <n v="110238"/>
        <n v="110212"/>
        <n v="110211"/>
        <n v="110248"/>
        <n v="110247"/>
        <n v="110246"/>
        <n v="110397"/>
        <n v="110316"/>
        <n v="110384"/>
        <n v="110249"/>
        <n v="110402"/>
        <n v="110383"/>
        <n v="110254"/>
        <n v="110593"/>
        <n v="110317"/>
        <n v="110665"/>
        <n v="110250"/>
        <n v="110315"/>
        <n v="110883"/>
        <n v="110809"/>
      </sharedItems>
    </cacheField>
    <cacheField name="sur charge" numFmtId="0">
      <sharedItems containsBlank="1" containsMixedTypes="1" containsNumber="1" containsInteger="1" minValue="30000" maxValue="200000" count="6">
        <m/>
        <s v="无"/>
        <n v="50000"/>
        <n v="100000"/>
        <n v="200000"/>
        <n v="30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295.459989120369" createdVersion="7" refreshedVersion="7" minRefreshableVersion="3" recordCount="608" xr:uid="{708CD491-D99B-4E5B-B31B-EF677CCE1B21}">
  <cacheSource type="worksheet">
    <worksheetSource ref="A1:T1048576" sheet="SMT Quote Rate " r:id="rId2"/>
  </cacheSource>
  <cacheFields count="20">
    <cacheField name="Period                " numFmtId="0">
      <sharedItems containsBlank="1" containsMixedTypes="1" containsNumber="1" containsInteger="1" minValue="2019" maxValue="2023" count="8">
        <m/>
        <n v="2019"/>
        <n v="2020"/>
        <n v="2022"/>
        <n v="2021"/>
        <s v="FY20/21"/>
        <s v="FY21/22"/>
        <n v="2023"/>
      </sharedItems>
    </cacheField>
    <cacheField name="DEPT" numFmtId="0">
      <sharedItems containsBlank="1" count="15">
        <s v="C49"/>
        <s v="C28"/>
        <s v="C49SHA"/>
        <s v="C49CNY"/>
        <s v="C49(加价)"/>
        <s v="C49(51%)"/>
        <s v="C49(54%)"/>
        <s v="Cancel"/>
        <s v="C49(57%)"/>
        <s v="C49(55%)"/>
        <s v="C49(53%)"/>
        <s v="C49(49%)"/>
        <s v="C49(加价2)"/>
        <s v="C66"/>
        <m/>
      </sharedItems>
    </cacheField>
    <cacheField name="TYPE (Inter-co)" numFmtId="0">
      <sharedItems containsBlank="1" count="3">
        <s v="STK"/>
        <s v="IND"/>
        <m/>
      </sharedItems>
    </cacheField>
    <cacheField name="TYPE                 (To supplier)" numFmtId="43">
      <sharedItems containsBlank="1" count="3">
        <m/>
        <s v="STK"/>
        <s v="IND"/>
      </sharedItems>
    </cacheField>
    <cacheField name="LC number" numFmtId="0">
      <sharedItems containsBlank="1"/>
    </cacheField>
    <cacheField name="issuing bank charges  (HKD)" numFmtId="43">
      <sharedItems containsBlank="1" containsMixedTypes="1" containsNumber="1" minValue="0" maxValue="138422"/>
    </cacheField>
    <cacheField name="benificiary bank charges(JPY)" numFmtId="43">
      <sharedItems containsBlank="1" containsMixedTypes="1" containsNumber="1" containsInteger="1" minValue="0" maxValue="248057"/>
    </cacheField>
    <cacheField name="海運費用 HKD" numFmtId="0">
      <sharedItems containsString="0" containsBlank="1" containsNumber="1" minValue="0" maxValue="226373.75"/>
    </cacheField>
    <cacheField name="PO#                             (To Supplier)" numFmtId="0">
      <sharedItems containsBlank="1" containsMixedTypes="1" containsNumber="1" containsInteger="1" minValue="109714" maxValue="111503" count="400">
        <m/>
        <n v="109714"/>
        <n v="109749"/>
        <n v="109750"/>
        <n v="109759"/>
        <n v="109762"/>
        <n v="109774"/>
        <n v="109775"/>
        <n v="109782"/>
        <n v="109793"/>
        <n v="109794"/>
        <n v="109783"/>
        <n v="109815"/>
        <n v="109820"/>
        <n v="109816"/>
        <n v="109806"/>
        <n v="109855"/>
        <n v="109856"/>
        <n v="109857"/>
        <n v="109858"/>
        <n v="109889"/>
        <n v="109873"/>
        <n v="109868"/>
        <n v="109880"/>
        <n v="109886"/>
        <n v="109891"/>
        <n v="109917"/>
        <n v="109924"/>
        <n v="109933"/>
        <n v="109957"/>
        <n v="109958"/>
        <n v="109981"/>
        <n v="109926"/>
        <n v="109954"/>
        <s v="49J103603"/>
        <n v="109980"/>
        <n v="109976"/>
        <n v="109977"/>
        <n v="109984"/>
        <n v="110058"/>
        <n v="109995"/>
        <n v="109996"/>
        <n v="110047"/>
        <n v="110048"/>
        <n v="110046"/>
        <n v="109991"/>
        <n v="110033"/>
        <n v="110038"/>
        <n v="109992"/>
        <n v="110034"/>
        <n v="110055"/>
        <n v="110049"/>
        <n v="110025"/>
        <n v="110081"/>
        <n v="110050"/>
        <n v="110043"/>
        <n v="110137"/>
        <n v="110089"/>
        <s v="49F103569"/>
        <n v="110026"/>
        <n v="110045"/>
        <n v="110044"/>
        <s v="49F103708"/>
        <n v="110110"/>
        <n v="110068"/>
        <n v="110069"/>
        <n v="110097"/>
        <n v="110181"/>
        <n v="110158"/>
        <n v="110159"/>
        <n v="110122"/>
        <n v="110161"/>
        <n v="110108"/>
        <n v="110067"/>
        <n v="110066"/>
        <n v="110168"/>
        <n v="110170"/>
        <n v="110195"/>
        <n v="110105"/>
        <n v="110106"/>
        <n v="110198"/>
        <n v="110199"/>
        <n v="110123"/>
        <n v="110107"/>
        <n v="110096"/>
        <n v="110201"/>
        <n v="110230"/>
        <n v="110235"/>
        <n v="110133"/>
        <n v="110132"/>
        <n v="110130"/>
        <n v="110131"/>
        <n v="110150"/>
        <n v="110172"/>
        <n v="110173"/>
        <n v="110287"/>
        <n v="110174"/>
        <n v="110175"/>
        <n v="110210"/>
        <n v="110176"/>
        <n v="110151"/>
        <n v="110237"/>
        <n v="110251"/>
        <n v="110328"/>
        <n v="110297"/>
        <n v="110152"/>
        <n v="110238"/>
        <n v="110212"/>
        <n v="110153"/>
        <n v="110347"/>
        <n v="110348"/>
        <n v="110274"/>
        <n v="110333"/>
        <n v="110245"/>
        <n v="110272"/>
        <n v="110271"/>
        <n v="110327"/>
        <n v="110301"/>
        <n v="110346"/>
        <n v="110403"/>
        <n v="110331"/>
        <n v="110416"/>
        <s v="110244,new po110463"/>
        <n v="110211"/>
        <n v="110227"/>
        <n v="110248"/>
        <n v="110236"/>
        <n v="110228"/>
        <n v="110246"/>
        <n v="110437"/>
        <n v="110397"/>
        <n v="110450"/>
        <n v="110384"/>
        <n v="110449"/>
        <n v="110352"/>
        <n v="110380"/>
        <n v="110481"/>
        <n v="110479"/>
        <n v="110452"/>
        <n v="110402"/>
        <n v="110441"/>
        <n v="110247"/>
        <n v="110413"/>
        <n v="110431"/>
        <n v="110383"/>
        <n v="110500"/>
        <n v="110314"/>
        <n v="110557"/>
        <n v="110558"/>
        <n v="110562"/>
        <n v="110593"/>
        <n v="110556"/>
        <n v="110576"/>
        <n v="110579"/>
        <n v="110580"/>
        <n v="110578"/>
        <n v="110598"/>
        <n v="110582"/>
        <n v="110581"/>
        <n v="110594"/>
        <n v="110635"/>
        <n v="110634"/>
        <n v="110620"/>
        <n v="110617"/>
        <n v="110619"/>
        <n v="110459"/>
        <n v="110618"/>
        <n v="110669"/>
        <n v="110530"/>
        <n v="110671"/>
        <s v="49F104087"/>
        <s v="49F104088"/>
        <s v="49F104089"/>
        <s v="49F103948"/>
        <s v="49F103968"/>
        <s v="49F104054"/>
        <s v="49F104147"/>
        <n v="110550"/>
        <n v="110670"/>
        <n v="110664"/>
        <n v="110708"/>
        <n v="110665"/>
        <n v="110693"/>
        <n v="110666"/>
        <n v="110694"/>
        <n v="110695"/>
        <n v="110697"/>
        <n v="110696"/>
        <n v="110698"/>
        <n v="110734"/>
        <n v="110731"/>
        <n v="110689"/>
        <n v="110690"/>
        <n v="110630"/>
        <n v="110691"/>
        <n v="110692"/>
        <n v="110726"/>
        <n v="110727"/>
        <n v="110729"/>
        <n v="110472"/>
        <n v="110730"/>
        <n v="110733"/>
        <n v="110800"/>
        <n v="110771"/>
        <n v="110728"/>
        <n v="110732"/>
        <n v="110737"/>
        <n v="110773"/>
        <n v="110775"/>
        <n v="110774"/>
        <n v="110249"/>
        <n v="110755"/>
        <n v="110756"/>
        <n v="110770"/>
        <n v="110769"/>
        <n v="110766"/>
        <n v="110768"/>
        <n v="110767"/>
        <n v="110758"/>
        <n v="110760"/>
        <n v="110762"/>
        <n v="110813"/>
        <n v="110757"/>
        <n v="110759"/>
        <n v="110761"/>
        <n v="110763"/>
        <n v="110803"/>
        <n v="110791"/>
        <n v="110812"/>
        <s v="49F104206"/>
        <n v="110765"/>
        <n v="110764"/>
        <n v="110824"/>
        <n v="110829"/>
        <n v="110825"/>
        <n v="110831"/>
        <n v="110823"/>
        <n v="110830"/>
        <n v="110826"/>
        <n v="110827"/>
        <n v="110828"/>
        <n v="110832"/>
        <n v="110838"/>
        <n v="110833"/>
        <n v="110834"/>
        <n v="110835"/>
        <n v="110836"/>
        <n v="110837"/>
        <n v="110810"/>
        <n v="110436"/>
        <n v="110429"/>
        <n v="110870"/>
        <n v="110874"/>
        <n v="110873"/>
        <n v="110882"/>
        <n v="110869"/>
        <n v="110863"/>
        <n v="110866"/>
        <n v="110867"/>
        <n v="110883"/>
        <n v="110864"/>
        <n v="110872"/>
        <n v="110865"/>
        <n v="110868"/>
        <s v="49F104103"/>
        <s v="49F104104"/>
        <s v="49F104105"/>
        <s v="49F104131"/>
        <s v="49F104157"/>
        <s v="49F104158"/>
        <s v="49F104161"/>
        <s v="49F104165"/>
        <s v="49F104166"/>
        <s v="49F104167"/>
        <s v="49F104168"/>
        <n v="110896"/>
        <n v="110877"/>
        <n v="110910"/>
        <n v="110871"/>
        <n v="110887"/>
        <n v="110875"/>
        <n v="110935"/>
        <n v="110949"/>
        <n v="110809"/>
        <n v="110254"/>
        <n v="110315"/>
        <n v="110250"/>
        <n v="110316"/>
        <n v="110317"/>
        <n v="110318"/>
        <n v="110319"/>
        <n v="110374"/>
        <n v="110375"/>
        <n v="110376"/>
        <n v="110377"/>
        <n v="110378"/>
        <n v="110379"/>
        <n v="110497"/>
        <n v="110965"/>
        <n v="110444"/>
        <n v="110445"/>
        <n v="110519"/>
        <n v="110915"/>
        <n v="110916"/>
        <n v="110917"/>
        <n v="110918"/>
        <n v="110919"/>
        <n v="110920"/>
        <n v="110921"/>
        <n v="110922"/>
        <n v="110923"/>
        <n v="110924"/>
        <n v="110928"/>
        <n v="110929"/>
        <n v="110940"/>
        <n v="110930"/>
        <n v="110931"/>
        <n v="110932"/>
        <n v="110933"/>
        <n v="110934"/>
        <n v="110948"/>
        <n v="110962"/>
        <n v="110961"/>
        <n v="110960"/>
        <n v="110957"/>
        <n v="110959"/>
        <n v="110958"/>
        <n v="110956"/>
        <n v="110953"/>
        <n v="110952"/>
        <n v="110951"/>
        <n v="110954"/>
        <n v="110963"/>
        <n v="110986"/>
        <n v="110987"/>
        <n v="110988"/>
        <n v="110989"/>
        <n v="110990"/>
        <n v="110991"/>
        <n v="110992"/>
        <n v="110993"/>
        <n v="110995"/>
        <n v="110996"/>
        <n v="110997"/>
        <n v="110998"/>
        <n v="110999"/>
        <n v="111000"/>
        <n v="111001"/>
        <n v="111002"/>
        <n v="111003"/>
        <n v="111004"/>
        <n v="111006"/>
        <n v="111020"/>
        <s v="49F104334"/>
        <n v="111053"/>
        <s v="49F104337"/>
        <s v="49F104335"/>
        <s v="49F104336"/>
        <s v="49F104340"/>
        <s v="49F104339"/>
        <s v="49F104342"/>
        <s v="49F104341"/>
        <n v="111051"/>
        <n v="111077"/>
        <n v="111095"/>
        <n v="111096"/>
        <n v="111097"/>
        <s v="28L104351"/>
        <s v="49F104436"/>
        <n v="111131"/>
        <n v="111132"/>
        <n v="111133"/>
        <n v="111134"/>
        <n v="111202"/>
        <n v="111222"/>
        <n v="111247"/>
        <n v="111252"/>
        <n v="111253"/>
        <n v="111254"/>
        <n v="111258"/>
        <n v="111277"/>
        <n v="111278"/>
        <n v="111293"/>
        <n v="111309"/>
        <n v="111310"/>
        <n v="111341"/>
        <n v="111342"/>
        <n v="111361"/>
        <n v="111362"/>
        <n v="111390"/>
        <n v="111421"/>
        <n v="111440"/>
        <n v="111452"/>
        <n v="111465"/>
        <n v="111464"/>
        <n v="111482"/>
        <n v="111487"/>
        <n v="111489"/>
        <n v="111501"/>
        <n v="111503"/>
      </sharedItems>
    </cacheField>
    <cacheField name="PO#               (Inter co)" numFmtId="0">
      <sharedItems containsBlank="1" containsMixedTypes="1" containsNumber="1" containsInteger="1" minValue="109109" maxValue="111503"/>
    </cacheField>
    <cacheField name="PO  Date" numFmtId="14">
      <sharedItems containsNonDate="0" containsDate="1" containsString="0" containsBlank="1" minDate="2019-11-11T00:00:00" maxDate="2023-12-13T00:00:00" count="126">
        <m/>
        <d v="2019-11-11T00:00:00"/>
        <d v="2019-11-18T00:00:00"/>
        <d v="2019-11-25T00:00:00"/>
        <d v="2019-12-06T00:00:00"/>
        <d v="2019-12-20T00:00:00"/>
        <d v="2020-01-20T00:00:00"/>
        <d v="2020-01-09T00:00:00"/>
        <d v="2020-03-26T00:00:00"/>
        <d v="2020-03-25T00:00:00"/>
        <d v="2020-04-22T00:00:00"/>
        <d v="2020-04-15T00:00:00"/>
        <d v="2020-04-21T00:00:00"/>
        <d v="2020-04-23T00:00:00"/>
        <d v="2020-04-27T00:00:00"/>
        <d v="2020-05-29T00:00:00"/>
        <d v="2020-06-03T00:00:00"/>
        <d v="2020-06-09T00:00:00"/>
        <d v="2020-06-30T00:00:00"/>
        <d v="2020-07-13T00:00:00"/>
        <d v="2020-06-24T00:00:00"/>
        <d v="2020-07-10T00:00:00"/>
        <d v="2020-07-16T00:00:00"/>
        <d v="2020-08-27T00:00:00"/>
        <d v="2020-07-22T00:00:00"/>
        <d v="2020-08-21T00:00:00"/>
        <d v="2020-08-20T00:00:00"/>
        <d v="2020-07-21T00:00:00"/>
        <d v="2020-08-17T00:00:00"/>
        <d v="2020-08-18T00:00:00"/>
        <d v="2020-08-25T00:00:00"/>
        <d v="2020-08-11T00:00:00"/>
        <d v="2020-09-15T00:00:00"/>
        <d v="2020-09-03T00:00:00"/>
        <d v="2020-09-21T00:00:00"/>
        <d v="2020-05-30T00:00:00"/>
        <d v="2020-08-19T00:00:00"/>
        <d v="2020-09-28T00:00:00"/>
        <d v="2020-09-18T00:00:00"/>
        <d v="2020-11-02T00:00:00"/>
        <d v="2020-10-11T00:00:00"/>
        <d v="2020-09-25T00:00:00"/>
        <d v="2020-11-05T00:00:00"/>
        <d v="2020-11-16T00:00:00"/>
        <d v="2020-11-09T00:00:00"/>
        <d v="2020-11-23T00:00:00"/>
        <d v="2020-12-10T00:00:00"/>
        <d v="2020-12-15T00:00:00"/>
        <d v="2021-01-18T00:00:00"/>
        <d v="2020-12-14T00:00:00"/>
        <d v="2021-01-06T00:00:00"/>
        <d v="2021-02-03T00:00:00"/>
        <d v="2021-01-05T00:00:00"/>
        <d v="2021-02-02T00:00:00"/>
        <d v="2021-01-19T00:00:00"/>
        <d v="2020-12-04T00:00:00"/>
        <d v="2021-03-31T00:00:00"/>
        <d v="2021-01-27T00:00:00"/>
        <d v="2021-03-11T00:00:00"/>
        <d v="2021-03-08T00:00:00"/>
        <d v="2021-08-17T00:00:00"/>
        <d v="2021-07-21T00:00:00"/>
        <d v="2021-08-03T00:00:00"/>
        <d v="2021-08-05T00:00:00"/>
        <d v="2021-09-16T00:00:00"/>
        <d v="2021-09-07T00:00:00"/>
        <d v="2021-05-10T00:00:00"/>
        <d v="2021-07-01T00:00:00"/>
        <d v="2021-11-18T00:00:00"/>
        <d v="2021-06-29T00:00:00"/>
        <d v="2021-10-19T00:00:00"/>
        <d v="2021-12-03T00:00:00"/>
        <d v="2021-07-14T00:00:00"/>
        <d v="2021-10-27T00:00:00"/>
        <d v="2021-10-23T00:00:00"/>
        <d v="2021-11-16T00:00:00"/>
        <d v="2021-12-09T00:00:00"/>
        <d v="2021-12-10T00:00:00"/>
        <d v="2021-12-29T00:00:00"/>
        <d v="2022-01-26T00:00:00"/>
        <d v="2022-01-20T00:00:00"/>
        <d v="2022-01-10T00:00:00"/>
        <d v="2022-01-21T00:00:00"/>
        <d v="2022-02-15T00:00:00"/>
        <d v="2022-03-17T00:00:00"/>
        <d v="2022-03-25T00:00:00"/>
        <d v="2022-01-05T00:00:00"/>
        <d v="2022-01-12T00:00:00"/>
        <d v="2022-01-13T00:00:00"/>
        <d v="2021-03-09T00:00:00"/>
        <d v="2021-04-22T00:00:00"/>
        <d v="2021-06-23T00:00:00"/>
        <d v="2022-04-20T00:00:00"/>
        <d v="2022-04-21T00:00:00"/>
        <d v="2022-04-28T00:00:00"/>
        <d v="2022-04-29T00:00:00"/>
        <d v="2022-05-18T00:00:00"/>
        <d v="2022-06-07T00:00:00"/>
        <d v="2022-06-09T00:00:00"/>
        <d v="2022-06-24T00:00:00"/>
        <d v="2022-07-14T00:00:00"/>
        <d v="2022-08-09T00:00:00"/>
        <d v="2022-08-18T00:00:00"/>
        <d v="2022-12-08T00:00:00"/>
        <d v="2022-10-11T00:00:00"/>
        <d v="2022-12-23T00:00:00"/>
        <d v="2023-02-07T00:00:00"/>
        <d v="2023-02-27T00:00:00"/>
        <d v="2023-03-03T00:00:00"/>
        <d v="2023-03-06T00:00:00"/>
        <d v="2023-03-10T00:00:00"/>
        <d v="2023-03-31T00:00:00"/>
        <d v="2023-04-14T00:00:00"/>
        <d v="2023-05-11T00:00:00"/>
        <d v="2023-06-16T00:00:00"/>
        <d v="2023-07-12T00:00:00"/>
        <d v="2023-08-08T00:00:00"/>
        <d v="2023-09-11T00:00:00"/>
        <d v="2023-09-25T00:00:00"/>
        <d v="2023-10-18T00:00:00"/>
        <d v="2023-11-03T00:00:00"/>
        <d v="2023-11-27T00:00:00"/>
        <d v="2023-12-01T00:00:00"/>
        <d v="2023-12-08T00:00:00"/>
        <d v="2023-12-12T00:00:00"/>
        <d v="2023-06-01T00:00:00" u="1"/>
      </sharedItems>
    </cacheField>
    <cacheField name="DESC" numFmtId="0">
      <sharedItems containsBlank="1" count="246">
        <s v="Stock machine(seperated PO#109057)"/>
        <s v="明昌（bright)"/>
        <s v="Stock machine"/>
        <s v="2018 4th Stock machine （易士达名义下单）"/>
        <s v="Stock machine(seperated PO#109109)"/>
        <s v="Stock machine(seperated PO#109157,Kstar )"/>
        <s v="Stock machine(seperated PO#109177)"/>
        <s v="2018 3rd Stock machine "/>
        <s v="2018 5th Stock machine "/>
        <s v="Stock machine(安嘉名义下单）"/>
        <s v="2018 5th Stock machine (Sepearated PO109213)"/>
        <s v="上海拆分的订单"/>
        <s v="Stock machine(seperated PO#109158)"/>
        <s v="2018 12th Stock machine(上达名义下单)"/>
        <s v="2018 16th Stock machine"/>
        <s v="2018 12th Stock machine(上达名义下单),seperated PO109257"/>
        <s v="Stock machine(Seperated PO#109151)"/>
        <s v="2018 1st Stock machine(全球星名义下单)"/>
        <s v="2018 7th Stock machine(金东方名义下单)"/>
        <s v="2018 24th Stock machine"/>
        <s v="2018 12th Stock machine(上达名义下单) ,seperated PO109257"/>
        <s v="2018 9th Stock machine"/>
        <s v="2018 2nd Stock machine(中润互联名义下单)"/>
        <s v="201810th Stock machine"/>
        <s v="2018 10 th stock machine(Seperated PO 109239)"/>
        <s v="IND order Compass"/>
        <s v="2018 26th Stock machine（康佳名义下单）"/>
        <s v="2018 9th Stock machine(seperated PO109328)"/>
        <s v="2018 10th Stock machine  Seperated PO#109239"/>
        <s v="2018 28th stk order  Ref no: BA180816"/>
        <s v="2018 14th Stock machine(立昇名义下单)"/>
        <s v="2018 27th stk order (易而达名义下单)"/>
        <s v="2018 23th Stock machine（永顺创名义下单）"/>
        <s v="2018 17th Stock machine(亿联名义下单)"/>
        <s v="2018 20th Stock machine(英拓邦名义下单)"/>
        <s v="2018 19th Stock machine"/>
        <s v="2018 19th Stock machine seperated PO109295"/>
        <s v="2018 15th Stock machine(上达名义下单)"/>
        <s v="Stock machine Seperated PO 109156"/>
        <s v="Separate PO 109352  26th stock machine 康佳名义 "/>
        <s v="2018 8th Stock machine(朗特名义下单)"/>
        <s v="小耳朵 IND order"/>
        <s v="2018 8th Stock machine(朗特名义下单) separated po 109237"/>
        <s v="2018 20th Stock machine(英拓邦名义下单) seperated PO109308"/>
        <s v="2018 15th Stock machine(上达名义下单) separate 109279"/>
        <s v="2018 6th Stock machine(丰硕名义下单)"/>
        <s v="2018 11th Stock machine(栩丽名义下单)"/>
        <s v="安嘉名义下单 BA ref: 180904-01"/>
        <s v="瑞福联名义下单 BA ref: 180904-02"/>
        <s v="2018 14th Stock machine(立昇名义下单) seperated PO109264"/>
        <s v="通通旺名义下单 BA ref: 180904-03"/>
        <s v="2018 21th Stock machine（深台科名义下单）"/>
        <s v="朗特名义"/>
        <s v="STK YCP "/>
        <s v="2018 18th Stock machine(拓普艾名义下单)"/>
        <s v="2018 22th Stock machine（BBS名义下单）"/>
        <s v="2018 25th Stock machine"/>
        <s v="2018 13th Stock machine(龙腾名义下单)"/>
        <s v="2018 15th Stock machine(上达名义下单) separate 109393"/>
        <s v="2018 17th Stock machine(亿联名义下单) Seperated po 109288"/>
        <s v="永顺创名义 Ref: 20181130"/>
        <s v="STK Machine Ref. 190315"/>
        <s v="STK machine ref: 190328"/>
        <s v="Ref: 190418"/>
        <s v="Ref: 190523"/>
        <s v="IND  长沙健科"/>
        <s v="2019-4-25 STK"/>
        <s v="IND ，APT"/>
        <s v="Ref: 190617"/>
        <s v="Ref: 190726"/>
        <s v="Ref: 190827"/>
        <s v="Ref: 190821"/>
        <s v="Ref: 190823"/>
        <s v="Ref: 190905"/>
        <s v="上海转单"/>
        <s v="IND 海崧微"/>
        <s v="Ref: 190927"/>
        <s v="PO: 109723 博星名义"/>
        <s v="PO: 109730 博星名义"/>
        <s v="109749 ，109750 锘铧名义下单"/>
        <s v="109759 灿明名义下单"/>
        <s v="Special package 109774"/>
        <s v="Special package 109782"/>
        <s v="耕创名义 109793"/>
        <s v="龙大名义 109794"/>
        <s v="STK"/>
        <s v="Protech "/>
        <s v="安林名义下单"/>
        <s v="奕东名义下单"/>
        <s v="APT 名义下单"/>
        <s v="海星名义下单"/>
        <s v="STK "/>
        <s v=" 智序名义下单"/>
        <s v="德劲名义下单"/>
        <s v="泉州名义下单（上海单）"/>
        <s v="正邦名义下单"/>
        <s v="平方兆赫名义下单"/>
        <s v="瑞福联名义下单"/>
        <s v="斯迈名义下单"/>
        <s v="阿克西姆名义下单"/>
        <s v="银宝名义下单"/>
        <s v="博尔通名义下单"/>
        <s v="旭晟名义下单"/>
        <s v="上海下单STK"/>
        <s v="皇家显示名义下单"/>
        <s v="玥芯通名义下单"/>
        <s v="捷舜诚名义下单"/>
        <s v="志华鑫名义下单"/>
        <s v="华彩鑫名义下单"/>
        <s v="鸿通宇名义下单"/>
        <s v="益田名义下单"/>
        <s v="STK(reserved by Leader Tech)"/>
        <s v="众鑫科名义下单"/>
        <s v="音品名义下单"/>
        <s v="龙大名义下单"/>
        <s v="精德鸿名义下单"/>
        <s v="锘铧名义下单"/>
        <s v="杉川名义下单"/>
        <s v="正创名义下单"/>
        <s v="嘉裕名义下单"/>
        <s v="超思维名义下单"/>
        <s v="Cowell名义下单"/>
        <s v="健科名义下单"/>
        <s v="格隆名义下单"/>
        <s v="洛伦兹技术名义下单"/>
        <s v="兴开泰名义下单"/>
        <s v="新明海名义下单"/>
        <s v="深圳上达名义下单"/>
        <s v="络鑫名义下单"/>
        <s v="比泰利名义下单"/>
        <s v="天邦达名义下单"/>
        <s v="海红天远名义下单"/>
        <s v="力通威名义下单"/>
        <s v="Kstar 名义下单"/>
        <s v="APT名义下单"/>
        <s v="宝捷信名义下单"/>
        <s v="拓新伟业名义下单"/>
        <s v="太美亚名义下单"/>
        <s v="快宇名义下单"/>
        <s v="STK名义下单"/>
        <s v="STK名义下单（加价价格)"/>
        <s v="领德创名义下单"/>
        <s v="聚亮兴业名义下单"/>
        <s v="狂热者名义下单"/>
        <s v="融创新合名义下单"/>
        <s v="晨鑫达名义下单"/>
        <s v="魔乐视名义下单"/>
        <s v="正讯名义下单"/>
        <s v="傲尔名义下单"/>
        <s v="方案集名义下单"/>
        <s v="祥弘瑞名义下单"/>
        <s v="河南融创名义下单"/>
        <s v="海凌科达名义下单"/>
        <s v="鸿南名义下单"/>
        <s v="珠海派诺名义下单"/>
        <s v="恒泰创新名义下单"/>
        <s v="保捷时计名义下单"/>
        <s v="英拓邦名义下单"/>
        <s v="维益名义下单"/>
        <s v="朗讯名义下单"/>
        <s v="魔乐视义下单"/>
        <s v="聚能名义下单"/>
        <s v="恒创兴名义下单"/>
        <s v="清禾名义下单"/>
        <s v="晶昌名义下单"/>
        <s v="弛电名义下单"/>
        <s v="海松微名义下单"/>
        <s v="广东微观名义下单"/>
        <s v="鸿楠名义下单"/>
        <s v="三丽名义下单"/>
        <s v="驰电名义下单"/>
        <s v="骏孚名义下单"/>
        <s v="昌大名义下单"/>
        <s v="蓝极光名义下单"/>
        <s v="乐凡名义下单"/>
        <s v="博新名义下单"/>
        <s v="捷舜城名义下单"/>
        <s v="易通名义下单"/>
        <s v="岚新名名义下单"/>
        <s v="伯莱科名义下单"/>
        <s v="朗特名义下单"/>
        <s v="通达科信名义下单"/>
        <s v="普德新星名义下单"/>
        <s v="拓普艾名义下单"/>
        <s v="骏仁达名义下单"/>
        <s v="恒磊名义下单"/>
        <s v="盈通恒翼名义下单"/>
        <s v="勃旭名义下单"/>
        <s v="湖南新亚胜下单"/>
        <s v="世达威下单"/>
        <s v="蓝极星光电下单"/>
        <s v="联润丰名义下单"/>
        <s v="蓝极星名义下单"/>
        <s v="健仕达名义下单"/>
        <s v="中润互联名义下单"/>
        <s v="东莞鸿楠名义下单"/>
        <s v="博睿通名义下单"/>
        <s v="和创永泰名义下单"/>
        <s v="芯联鑫名义下单"/>
        <s v="顺禾名义下单"/>
        <s v="KONKA名义下单"/>
        <s v="辉拓名义下单"/>
        <s v="赛美达名义下单"/>
        <s v="诺亚兴名义下单"/>
        <s v="友艺名义下单"/>
        <s v="钧溢名义下单"/>
        <s v="伯莱科 名义下单"/>
        <s v="鑫天泰 名义下单"/>
        <s v="志华鑫  名义下单"/>
        <s v="利速达  名义下单"/>
        <s v="恒磊  名义下单"/>
        <s v="辉拓  名义下单"/>
        <s v="奥祺 名义下单（54%）"/>
        <s v="精德鸿  名义下单（54%）"/>
        <s v="瑞福联 名义下单（54%）"/>
        <s v="金睿通 名义下单（54%）"/>
        <s v="正讯 名义下单 51%"/>
        <s v="朗迅 名义下单 51%"/>
        <s v="欣华 名义下单 51%"/>
        <s v="斯迈拓 名义下单 51%"/>
        <s v="奥祺 名义下单 57%"/>
        <s v="比尔乔 57%"/>
        <s v="瑞福联 名义下单 57%"/>
        <s v="精德鸿  名义下单 57%"/>
        <s v="金睿通  名义下单 57%"/>
        <s v="芯联鑫 名义下单 54%"/>
        <s v="斯迈 名义下单 54%"/>
        <s v="欣华 名义下单 54%"/>
        <s v="正讯 名义下单 54%"/>
        <s v="莫思特 名义下单 54% "/>
        <s v="YIDONG 名义下单"/>
        <s v="惠州新明海 名义下单"/>
        <s v="惠州市创荣发名义下单"/>
        <s v="东莞市络鑫名义下单"/>
        <s v="铭翔名义下单"/>
        <s v="世启纳名义下单"/>
        <s v="宝捷时计名义下单"/>
        <s v="创荣发名义下单"/>
        <s v="倍斯特名义下单"/>
        <s v="锐诚名义下单"/>
        <s v="雷特名义下单"/>
        <s v="耕创名义下单"/>
        <s v="IND 康佳名义下单"/>
        <s v="高伟名义下单"/>
        <s v="徕芬名义下单"/>
        <m/>
      </sharedItems>
    </cacheField>
    <cacheField name="ITEM NUMBER" numFmtId="0">
      <sharedItems containsBlank="1" count="22">
        <s v="YS24"/>
        <s v="YSM40R-4"/>
        <s v="YSM10"/>
        <s v="YS12F"/>
        <s v="YS13F"/>
        <s v="YS24X "/>
        <s v="YSM20"/>
        <s v="YCP10"/>
        <s v="YS24X"/>
        <s v="YS12 *1 ,YS12F*1"/>
        <s v="YSM20+YSM10"/>
        <s v="SIGMA-G5S2"/>
        <s v="YCD"/>
        <s v="YSM20WR-2"/>
        <s v="YSM20R-2"/>
        <s v="Ysi-V"/>
        <s v="YSD"/>
        <s v="YRH10"/>
        <s v="YSM20-2"/>
        <s v="C66配件"/>
        <s v="S20"/>
        <m/>
      </sharedItems>
    </cacheField>
    <cacheField name="Qty " numFmtId="0">
      <sharedItems containsBlank="1" containsMixedTypes="1" containsNumber="1" containsInteger="1" minValue="1" maxValue="20" count="16">
        <n v="4"/>
        <n v="7"/>
        <n v="2"/>
        <n v="5"/>
        <n v="3"/>
        <n v="1"/>
        <n v="6"/>
        <n v="8"/>
        <n v="10"/>
        <n v="12"/>
        <n v="9"/>
        <n v="11"/>
        <n v="15"/>
        <n v="20"/>
        <s v="1 lot"/>
        <m/>
      </sharedItems>
    </cacheField>
    <cacheField name=" Total price (JPY) " numFmtId="182">
      <sharedItems containsString="0" containsBlank="1" containsNumber="1" minValue="0" maxValue="240274160"/>
    </cacheField>
    <cacheField name="VENDOR" numFmtId="0">
      <sharedItems containsBlank="1" count="6">
        <s v="Yamaha"/>
        <s v="Pro-tech"/>
        <s v="Yamaha "/>
        <s v="富洛"/>
        <s v="SINRI"/>
        <m/>
      </sharedItems>
    </cacheField>
    <cacheField name="Corp rate (JPY/HKD)" numFmtId="0">
      <sharedItems containsString="0" containsBlank="1" containsNumber="1" minValue="7.17E-2" maxValue="7.6799999999999993E-2" count="17">
        <m/>
        <n v="7.2300000000000003E-2"/>
        <n v="7.17E-2"/>
        <n v="7.3400000000000007E-2"/>
        <n v="7.3499999999999996E-2"/>
        <n v="7.3999999999999996E-2"/>
        <n v="7.5200000000000003E-2"/>
        <n v="7.4099999999999999E-2"/>
        <n v="7.2700000000000001E-2"/>
        <n v="7.2900000000000006E-2"/>
        <n v="7.2999999999999995E-2"/>
        <n v="7.3599999999999999E-2"/>
        <n v="7.4300000000000005E-2"/>
        <n v="7.5700000000000003E-2"/>
        <n v="7.4899999999999994E-2"/>
        <n v="7.6100000000000001E-2"/>
        <n v="7.6799999999999993E-2"/>
      </sharedItems>
    </cacheField>
    <cacheField name="Corp rate (HKD/CNY) " numFmtId="0">
      <sharedItems containsString="0" containsBlank="1" containsNumber="1" minValue="1.089" maxValue="1.2" count="12">
        <m/>
        <n v="1.1599999999999999"/>
        <n v="1.135"/>
        <n v="1.095"/>
        <n v="1.1100000000000001"/>
        <n v="1.089"/>
        <n v="1.105"/>
        <n v="1.1299999999999999"/>
        <n v="1.155"/>
        <n v="1.175"/>
        <n v="1.1850000000000001"/>
        <n v="1.2"/>
      </sharedItems>
    </cacheField>
    <cacheField name="ETA" numFmtId="0">
      <sharedItems containsDate="1" containsBlank="1" containsMixedTypes="1" minDate="2018-02-07T00:00:00" maxDate="2024-02-01T00:00:00"/>
    </cacheField>
    <cacheField name="ETD " numFmtId="14">
      <sharedItems containsDate="1" containsBlank="1" containsMixedTypes="1" minDate="2018-01-31T00:00:00" maxDate="2024-01-25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352.567087962962" createdVersion="7" refreshedVersion="7" minRefreshableVersion="3" recordCount="420" xr:uid="{33908E9C-1736-45DF-A242-E6BC89A0B553}">
  <cacheSource type="worksheet">
    <worksheetSource ref="A1:E421" sheet="Feeder Data"/>
  </cacheSource>
  <cacheFields count="5">
    <cacheField name="Warehouse" numFmtId="0">
      <sharedItems count="2">
        <s v="HK 仓库"/>
        <s v="深圳仓库"/>
      </sharedItems>
    </cacheField>
    <cacheField name="Feeder 类型" numFmtId="0">
      <sharedItems/>
    </cacheField>
    <cacheField name="Item" numFmtId="0">
      <sharedItems count="15">
        <s v="SS 8mm"/>
        <s v="SS 12/16mm"/>
        <s v="SS 24mm"/>
        <s v="SS 32mm"/>
        <s v="SS 44mm"/>
        <s v="SS 56mm"/>
        <s v="SS 72mm"/>
        <s v="ZS 4mm"/>
        <s v="ZS 8mm"/>
        <s v="ZS 12/16mm"/>
        <s v="ZS 24mm"/>
        <s v="ZS 32mm"/>
        <s v="ZS 44mm"/>
        <s v="ZS 56mm"/>
        <s v="ZS 72mm"/>
      </sharedItems>
    </cacheField>
    <cacheField name="Qty" numFmtId="0">
      <sharedItems containsSemiMixedTypes="0" containsString="0" containsNumber="1" containsInteger="1" minValue="0" maxValue="5199"/>
    </cacheField>
    <cacheField name="Month" numFmtId="183">
      <sharedItems count="14">
        <s v="JAN 23"/>
        <s v="FEB 23"/>
        <s v="MAR 23"/>
        <s v="APR 23"/>
        <s v="MAY 23"/>
        <s v="JUN 23"/>
        <s v="JUL 23"/>
        <s v="AUG 23"/>
        <s v="SEP 23"/>
        <s v="OCT 23"/>
        <s v="NOV 23"/>
        <s v="DEC 23"/>
        <s v="JAN 24"/>
        <s v="FEB 24"/>
      </sharedItems>
    </cacheField>
  </cacheFields>
  <extLst>
    <ext xmlns:x14="http://schemas.microsoft.com/office/spreadsheetml/2009/9/main" uri="{725AE2AE-9491-48be-B2B4-4EB974FC3084}">
      <x14:pivotCacheDefinition pivotCacheId="1163561086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yWang" refreshedDate="45356.629429976849" createdVersion="6" refreshedVersion="8" minRefreshableVersion="3" recordCount="1632" xr:uid="{C619CE40-3A40-485D-9789-F799696C9C0D}">
  <cacheSource type="worksheet">
    <worksheetSource ref="A1:AC1048576" sheet="Stock_list"/>
  </cacheSource>
  <cacheFields count="29">
    <cacheField name="序号" numFmtId="0">
      <sharedItems containsBlank="1" containsMixedTypes="1" containsNumber="1" containsInteger="1" minValue="7" maxValue="2099"/>
    </cacheField>
    <cacheField name="ETA_Month" numFmtId="179">
      <sharedItems containsBlank="1" count="5">
        <s v="已发货"/>
        <s v="已经到货"/>
        <s v="有交期"/>
        <s v="TBA."/>
        <m/>
      </sharedItems>
    </cacheField>
    <cacheField name="Org. " numFmtId="179">
      <sharedItems containsBlank="1" count="4">
        <s v="C49"/>
        <s v="C28."/>
        <m/>
        <s v="C28" u="1"/>
      </sharedItems>
    </cacheField>
    <cacheField name="PO Number" numFmtId="0">
      <sharedItems containsBlank="1" containsMixedTypes="1" containsNumber="1" containsInteger="1" minValue="109202" maxValue="111547"/>
    </cacheField>
    <cacheField name="Customer name or STK" numFmtId="179">
      <sharedItems containsBlank="1"/>
    </cacheField>
    <cacheField name="Item" numFmtId="179">
      <sharedItems containsBlank="1" count="21">
        <s v="YSM40R-4"/>
        <s v="YSM10"/>
        <s v="YS12"/>
        <s v="YSM20R(SV)-2"/>
        <m/>
        <s v="YS24X"/>
        <s v="SIGMA-G5S2"/>
        <s v="YSM20-2"/>
        <s v="YS24"/>
        <s v="YCP10"/>
        <s v="YSD"/>
        <s v="YSM20WR-2"/>
        <s v="YSM20R-2"/>
        <s v="YSi-V"/>
        <s v="R0625L"/>
        <s v="R-0625L"/>
        <s v="YSM40R-4(DEMO)"/>
        <s v="YRH10"/>
        <s v="S20"/>
        <s v="YSi-V(SL)"/>
        <s v="YSi-V(DL)"/>
      </sharedItems>
    </cacheField>
    <cacheField name="Direction" numFmtId="179">
      <sharedItems containsBlank="1"/>
    </cacheField>
    <cacheField name="Item w config" numFmtId="179">
      <sharedItems containsBlank="1"/>
    </cacheField>
    <cacheField name="SN" numFmtId="0">
      <sharedItems containsBlank="1" containsMixedTypes="1" containsNumber="1" containsInteger="1" minValue="6818" maxValue="6826"/>
    </cacheField>
    <cacheField name="Machine_QTY" numFmtId="0">
      <sharedItems containsBlank="1" containsMixedTypes="1" containsNumber="1" containsInteger="1" minValue="0" maxValue="1"/>
    </cacheField>
    <cacheField name="Warehouse" numFmtId="0">
      <sharedItems containsBlank="1"/>
    </cacheField>
    <cacheField name="ETA HK" numFmtId="14">
      <sharedItems containsDate="1" containsBlank="1" containsMixedTypes="1" minDate="2018-06-27T00:00:00" maxDate="2024-04-06T00:00:00" count="276">
        <d v="2018-06-27T00:00:00"/>
        <s v="Wkk 仓库"/>
        <s v="已经发货"/>
        <m/>
        <d v="2018-07-11T00:00:00"/>
        <d v="2018-07-29T00:00:00"/>
        <d v="2018-08-15T00:00:00"/>
        <d v="2018-09-05T00:00:00"/>
        <d v="2018-09-07T00:00:00"/>
        <d v="2018-09-15T00:00:00"/>
        <d v="2018-09-19T00:00:00"/>
        <d v="2018-10-12T00:00:00"/>
        <d v="2018-11-01T00:00:00"/>
        <d v="2018-11-03T00:00:00"/>
        <d v="2018-11-11T00:00:00"/>
        <d v="2018-11-14T00:00:00"/>
        <d v="2018-12-01T00:00:00"/>
        <d v="2018-12-05T00:00:00"/>
        <d v="2018-12-08T00:00:00"/>
        <d v="2018-12-12T00:00:00"/>
        <d v="2018-12-19T00:00:00"/>
        <d v="2018-12-21T00:00:00"/>
        <d v="2019-02-13T00:00:00"/>
        <d v="2019-02-16T00:00:00"/>
        <d v="2019-02-22T00:00:00"/>
        <d v="2019-03-03T00:00:00"/>
        <d v="2019-03-06T00:00:00"/>
        <d v="2019-03-13T00:00:00"/>
        <d v="2019-03-22T00:00:00"/>
        <d v="2019-04-03T00:00:00"/>
        <d v="2019-04-05T00:00:00"/>
        <d v="2019-04-10T00:00:00"/>
        <d v="2019-04-19T00:00:00"/>
        <d v="2019-05-01T00:00:00"/>
        <d v="2019-05-03T00:00:00"/>
        <d v="2019-05-08T00:00:00"/>
        <d v="2019-05-15T00:00:00"/>
        <d v="2019-05-17T00:00:00"/>
        <d v="2019-06-01T00:00:00"/>
        <d v="2019-07-01T00:00:00"/>
        <d v="2019-07-03T00:00:00"/>
        <d v="2019-07-17T00:00:00"/>
        <d v="2019-07-19T00:00:00"/>
        <d v="2019-07-31T00:00:00"/>
        <d v="2019-08-09T00:00:00"/>
        <d v="2019-08-30T00:00:00"/>
        <d v="2019-09-06T00:00:00"/>
        <d v="2019-09-29T00:00:00"/>
        <d v="2019-10-11T00:00:00"/>
        <d v="2019-10-18T00:00:00"/>
        <d v="2019-10-25T00:00:00"/>
        <d v="2019-11-01T00:00:00"/>
        <d v="2019-12-04T00:00:00"/>
        <d v="2019-12-11T00:00:00"/>
        <d v="2019-12-25T00:00:00"/>
        <d v="2020-01-06T00:00:00"/>
        <d v="2020-02-01T00:00:00"/>
        <d v="2020-02-05T00:00:00"/>
        <d v="2020-02-16T00:00:00"/>
        <d v="2020-02-22T00:00:00"/>
        <d v="2020-03-11T00:00:00"/>
        <d v="2020-03-18T00:00:00"/>
        <d v="2020-04-01T00:00:00"/>
        <d v="2020-04-03T00:00:00"/>
        <d v="2020-04-25T00:00:00"/>
        <d v="2020-05-04T00:00:00"/>
        <d v="2020-05-20T00:00:00"/>
        <d v="2019-12-19T00:00:00"/>
        <d v="2020-05-22T00:00:00"/>
        <d v="2020-06-03T00:00:00"/>
        <d v="2020-06-10T00:00:00"/>
        <d v="2020-06-22T00:00:00"/>
        <d v="2020-06-24T00:00:00"/>
        <d v="2020-07-22T00:00:00"/>
        <d v="2020-07-23T00:00:00"/>
        <d v="2020-08-12T00:00:00"/>
        <d v="2020-07-12T00:00:00"/>
        <d v="2020-08-21T00:00:00"/>
        <d v="2020-08-26T00:00:00"/>
        <d v="2020-08-28T00:00:00"/>
        <d v="2020-09-16T00:00:00"/>
        <d v="2020-09-23T00:00:00"/>
        <d v="2020-09-25T00:00:00"/>
        <d v="2020-10-02T00:00:00"/>
        <d v="2020-10-09T00:00:00"/>
        <d v="2020-10-19T00:00:00"/>
        <d v="2020-10-22T00:00:00"/>
        <d v="2020-10-24T00:00:00"/>
        <d v="2020-11-02T00:00:00"/>
        <d v="2020-11-07T00:00:00"/>
        <d v="2020-11-04T00:00:00"/>
        <d v="2020-11-13T00:00:00"/>
        <d v="2020-11-14T00:00:00"/>
        <d v="2020-11-21T00:00:00"/>
        <d v="2020-11-22T00:00:00"/>
        <d v="2020-11-26T00:00:00"/>
        <d v="2020-12-10T00:00:00"/>
        <d v="2020-12-15T00:00:00"/>
        <d v="2020-12-13T00:00:00"/>
        <d v="2020-12-21T00:00:00"/>
        <d v="2020-12-28T00:00:00"/>
        <d v="2021-01-01T00:00:00"/>
        <d v="2021-01-04T00:00:00"/>
        <d v="2021-01-11T00:00:00"/>
        <d v="2021-01-15T00:00:00"/>
        <d v="2021-01-16T00:00:00"/>
        <d v="2021-01-17T00:00:00"/>
        <d v="2021-01-26T00:00:00"/>
        <d v="2021-01-31T00:00:00"/>
        <d v="2021-01-25T00:00:00"/>
        <d v="2020-09-05T00:00:00"/>
        <d v="2021-02-07T00:00:00"/>
        <d v="2021-02-20T00:00:00"/>
        <s v="2021-2-20"/>
        <d v="2021-02-25T00:00:00"/>
        <d v="2021-02-28T00:00:00"/>
        <d v="2021-03-01T00:00:00"/>
        <d v="2021-03-04T00:00:00"/>
        <d v="2021-03-13T00:00:00"/>
        <d v="2021-03-26T00:00:00"/>
        <d v="2021-03-29T00:00:00"/>
        <d v="2021-04-01T00:00:00"/>
        <d v="2021-04-14T00:00:00"/>
        <d v="2021-04-19T00:00:00"/>
        <d v="2021-04-23T00:00:00"/>
        <d v="2021-04-30T00:00:00"/>
        <d v="2021-05-02T00:00:00"/>
        <d v="2021-05-06T00:00:00"/>
        <d v="2021-05-15T00:00:00"/>
        <d v="2021-05-22T00:00:00"/>
        <d v="2021-05-24T00:00:00"/>
        <d v="2021-05-30T00:00:00"/>
        <d v="2021-06-06T00:00:00"/>
        <d v="2021-06-19T00:00:00"/>
        <d v="2021-06-28T00:00:00"/>
        <d v="2020-12-01T00:00:00"/>
        <d v="2021-07-10T00:00:00"/>
        <s v="2021-7-21富洛HK仓库"/>
        <d v="2021-07-20T00:00:00"/>
        <d v="2021-07-22T00:00:00"/>
        <d v="2021-07-23T00:00:00"/>
        <d v="2021-08-13T00:00:00"/>
        <d v="2021-08-26T00:00:00"/>
        <d v="2021-09-06T00:00:00"/>
        <d v="2021-09-09T00:00:00"/>
        <d v="2021-09-19T00:00:00"/>
        <s v="2021- 9月中下旬苏州仓库"/>
        <d v="2021-10-17T00:00:00"/>
        <d v="2021-10-25T00:00:00"/>
        <s v="2021/10/30,Yamaha清关"/>
        <d v="2021-11-04T00:00:00"/>
        <d v="2021-11-27T00:00:00"/>
        <d v="2021-11-23T00:00:00"/>
        <d v="2021-11-26T00:00:00"/>
        <s v="2021-12-7Yamaha 仓库"/>
        <s v="2021-12-7 Yamaha 仓库"/>
        <d v="2021-12-07T00:00:00"/>
        <d v="2021-12-23T00:00:00"/>
        <d v="2021-12-26T00:00:00"/>
        <d v="2022-01-01T00:00:00"/>
        <d v="2022-01-12T00:00:00"/>
        <s v="2022-1-17Yamaha 仓库"/>
        <d v="2022-01-26T00:00:00"/>
        <d v="2022-02-04T00:00:00"/>
        <d v="2022-02-06T00:00:00"/>
        <d v="2022-02-05T00:00:00"/>
        <d v="2022-02-08T00:00:00"/>
        <d v="2022-02-21T00:00:00"/>
        <d v="2022-03-02T00:00:00"/>
        <d v="2022-03-03T00:00:00"/>
        <d v="2022-03-07T00:00:00"/>
        <d v="2022-03-20T00:00:00"/>
        <d v="2022-03-22T00:00:00"/>
        <d v="2022-03-26T00:00:00"/>
        <d v="2022-03-25T00:00:00"/>
        <d v="2022-03-28T00:00:00"/>
        <s v="2022/4/3深圳盐田港"/>
        <d v="2020-04-07T00:00:00"/>
        <d v="2022-04-11T00:00:00"/>
        <d v="2022-04-13T00:00:00"/>
        <d v="2022-04-16T00:00:00"/>
        <d v="2022-04-29T00:00:00"/>
        <d v="2022-05-07T00:00:00"/>
        <d v="2022-05-13T00:00:00"/>
        <d v="2022-05-19T00:00:00"/>
        <d v="2022-05-21T00:00:00"/>
        <d v="2022-05-23T00:00:00"/>
        <d v="2022-06-02T00:00:00"/>
        <d v="2022-06-08T00:00:00"/>
        <d v="2022-06-12T00:00:00"/>
        <d v="2022-06-13T00:00:00"/>
        <d v="2022-06-18T00:00:00"/>
        <d v="2022-06-24T00:00:00"/>
        <d v="2022-06-27T00:00:00"/>
        <d v="2022-07-04T00:00:00"/>
        <d v="2022-07-08T00:00:00"/>
        <d v="2022-07-14T00:00:00"/>
        <d v="2022-07-27T00:00:00"/>
        <d v="2022-07-31T00:00:00"/>
        <d v="2022-08-01T00:00:00"/>
        <d v="2022-08-08T00:00:00"/>
        <d v="2022-08-22T00:00:00"/>
        <d v="2022-08-28T00:00:00"/>
        <d v="2022-09-05T00:00:00"/>
        <d v="2022-09-12T00:00:00"/>
        <d v="2022-09-26T00:00:00"/>
        <s v="2022/10/2,蛇口港"/>
        <s v="2022/11/7,蛇口港"/>
        <d v="2022-11-07T00:00:00"/>
        <d v="2022-11-11T00:00:00"/>
        <s v="2022-10-24,上海港"/>
        <s v="2022-8-9Yamaha 仓库"/>
        <d v="2023-02-03T00:00:00"/>
        <d v="2023-03-24T00:00:00"/>
        <d v="2023-04-07T00:00:00"/>
        <d v="2023-04-17T00:00:00"/>
        <d v="2023-05-08T00:00:00"/>
        <d v="2023-05-15T00:00:00"/>
        <s v="2022/4/15 北京单"/>
        <s v="2022-7-25北京单"/>
        <d v="2023-06-23T00:00:00"/>
        <d v="2023-06-26T00:00:00"/>
        <d v="2023-08-02T00:00:00"/>
        <s v="2023/8/7,上海港"/>
        <d v="2023-08-14T00:00:00"/>
        <d v="2023-09-06T00:00:00"/>
        <d v="2023-09-25T00:00:00"/>
        <d v="2023-10-06T00:00:00"/>
        <d v="2023-11-12T00:00:00"/>
        <d v="2023-12-01T00:00:00"/>
        <d v="2023-12-08T00:00:00"/>
        <d v="2024-01-05T00:00:00"/>
        <d v="2024-02-02T00:00:00"/>
        <d v="2024-02-27T00:00:00"/>
        <d v="2024-02-26T00:00:00"/>
        <d v="2024-03-03T00:00:00"/>
        <d v="2024-03-04T00:00:00"/>
        <s v="Yamaha 深圳仓库"/>
        <d v="2024-04-05T00:00:00"/>
        <d v="2024-03-29T00:00:00"/>
        <s v="ex-work 24年2月"/>
        <s v="ex-work 24年3月"/>
        <d v="2023-05-05T00:00:00" u="1"/>
        <s v="ex-work 23年12月" u="1"/>
        <s v="ex-work 23年1月" u="1"/>
        <s v="TBA" u="1"/>
        <s v="ex-work 23年4月" u="1"/>
        <s v="ex-work 23年10月" u="1"/>
        <d v="2023-06-21T00:00:00" u="1"/>
        <s v="ex-work 23年7月" u="1"/>
        <s v="北京单" u="1"/>
        <s v="苏州仓库 9月中下旬" u="1"/>
        <d v="2023-05-12T00:00:00" u="1"/>
        <d v="2023-11-08T00:00:00" u="1"/>
        <d v="2023-06-16T00:00:00" u="1"/>
        <s v="ex-work 23年3月" u="1"/>
        <s v="ex-work 24年1月" u="1"/>
        <s v="ex-work 23年6月" u="1"/>
        <s v="ex-work 23年9月" u="1"/>
        <d v="2023-05-03T00:00:00" u="1"/>
        <s v="疫情等待通知提货" u="1"/>
        <d v="2024-02-28T00:00:00" u="1"/>
        <s v="Yamaha 仓库" u="1"/>
        <d v="2024-03-01T00:00:00" u="1"/>
        <d v="2023-01-31T00:00:00" u="1"/>
        <s v="ex-work 23年2月" u="1"/>
        <d v="2023-09-01T00:00:00" u="1"/>
        <d v="2023-05-10T00:00:00" u="1"/>
        <s v="ex-work 23年5月" u="1"/>
        <d v="2023-01-03T00:00:00" u="1"/>
        <d v="2024-01-03T00:00:00" u="1"/>
        <d v="2024-02-23T00:00:00" u="1"/>
        <s v="已经到达仓库" u="1"/>
        <d v="2023-11-29T00:00:00" u="1"/>
        <d v="2023-09-04T00:00:00" u="1"/>
        <s v="富洛HK仓库" u="1"/>
      </sharedItems>
    </cacheField>
    <cacheField name="Rate (JPY/CNY）" numFmtId="0">
      <sharedItems containsBlank="1" containsMixedTypes="1" containsNumber="1" minValue="4.8800000000000003E-2" maxValue="7.8"/>
    </cacheField>
    <cacheField name="Delivery schedule" numFmtId="179">
      <sharedItems containsBlank="1"/>
    </cacheField>
    <cacheField name="生产日期" numFmtId="0">
      <sharedItems containsDate="1" containsBlank="1" containsMixedTypes="1" minDate="1900-01-05T22:40:04" maxDate="1900-01-06T18:40:04"/>
    </cacheField>
    <cacheField name="Currency" numFmtId="0">
      <sharedItems containsBlank="1"/>
    </cacheField>
    <cacheField name="Customer Reserved Contract No." numFmtId="179">
      <sharedItems containsBlank="1"/>
    </cacheField>
    <cacheField name="Customer Reserved" numFmtId="179">
      <sharedItems containsBlank="1"/>
    </cacheField>
    <cacheField name="Item2" numFmtId="179">
      <sharedItems containsBlank="1"/>
    </cacheField>
    <cacheField name="Direction2" numFmtId="179">
      <sharedItems containsBlank="1"/>
    </cacheField>
    <cacheField name="Item w config2" numFmtId="179">
      <sharedItems containsBlank="1"/>
    </cacheField>
    <cacheField name="Config Match" numFmtId="0">
      <sharedItems containsBlank="1"/>
    </cacheField>
    <cacheField name="Delivery  terms" numFmtId="0">
      <sharedItems containsBlank="1"/>
    </cacheField>
    <cacheField name="Contract date" numFmtId="0">
      <sharedItems containsDate="1" containsBlank="1" containsMixedTypes="1" minDate="2018-02-01T00:00:00" maxDate="2024-02-27T00:00:00"/>
    </cacheField>
    <cacheField name="Deposit received?" numFmtId="0">
      <sharedItems containsBlank="1"/>
    </cacheField>
    <cacheField name="Date of reservation" numFmtId="0">
      <sharedItems containsDate="1" containsBlank="1" containsMixedTypes="1" minDate="2018-06-01T00:00:00" maxDate="2018-10-16T00:00:00"/>
    </cacheField>
    <cacheField name="Expired date" numFmtId="0">
      <sharedItems containsDate="1" containsBlank="1" containsMixedTypes="1" minDate="2018-06-15T00:00:00" maxDate="2018-10-27T00:00:00"/>
    </cacheField>
    <cacheField name="Queuing" numFmtId="0">
      <sharedItems containsBlank="1"/>
    </cacheField>
    <cacheField name="stock information 是否已发" numFmtId="0">
      <sharedItems containsBlank="1" containsMixedTypes="1" containsNumber="1" containsInteger="1" minValue="190635038" maxValue="1906350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6">
  <r>
    <n v="518"/>
    <s v="已发货"/>
    <s v="C49"/>
    <n v="109218"/>
    <s v="EASTER"/>
    <s v="YSM40R-4"/>
    <s v="NO"/>
    <s v="No"/>
    <s v="Y44465"/>
    <n v="1"/>
    <s v="福保仓库"/>
    <d v="2018-06-27T00:00:00"/>
    <n v="5.9499999999999997E-2"/>
    <x v="0"/>
    <m/>
    <s v="RMB"/>
    <x v="0"/>
    <x v="0"/>
    <x v="0"/>
    <s v="L-&gt;R"/>
    <s v="No"/>
    <s v="WRONG"/>
  </r>
  <r>
    <n v="123"/>
    <s v="已发货"/>
    <s v="C49"/>
    <n v="109282"/>
    <s v="STK"/>
    <s v="YSM10"/>
    <s v="L-&gt;R"/>
    <s v="MVC+ATS15"/>
    <s v="Y44481"/>
    <n v="1"/>
    <s v="福保仓库"/>
    <d v="2018-06-27T00:00:00"/>
    <n v="5.9499999999999997E-2"/>
    <x v="1"/>
    <m/>
    <s v="JPY"/>
    <x v="1"/>
    <x v="1"/>
    <x v="1"/>
    <s v="L-&gt;R"/>
    <s v="MVC+ATS15"/>
    <s v="OK"/>
  </r>
  <r>
    <n v="124"/>
    <s v="已发货"/>
    <s v="C49"/>
    <n v="109282"/>
    <s v="STK"/>
    <s v="YSM10"/>
    <s v="L-&gt;R"/>
    <s v="MVC+ATS15"/>
    <s v="Y44483"/>
    <n v="1"/>
    <s v="福保仓库"/>
    <d v="2018-06-27T00:00:00"/>
    <n v="5.9499999999999997E-2"/>
    <x v="1"/>
    <m/>
    <s v="JPY"/>
    <x v="1"/>
    <x v="1"/>
    <x v="1"/>
    <s v="L-&gt;R"/>
    <s v="MVC+ATS15"/>
    <s v="OK"/>
  </r>
  <r>
    <n v="152"/>
    <s v="已发货"/>
    <s v="C49"/>
    <n v="109218"/>
    <s v="EASTER"/>
    <s v="YSM40R-4"/>
    <s v="NO"/>
    <s v="No"/>
    <s v="Y44464"/>
    <n v="1"/>
    <s v="力合仓库(已经清关)"/>
    <d v="2018-06-27T00:00:00"/>
    <n v="5.9499999999999997E-2"/>
    <x v="2"/>
    <m/>
    <s v="RMB"/>
    <x v="2"/>
    <x v="2"/>
    <x v="0"/>
    <s v="R-&gt;L"/>
    <s v="No"/>
    <s v="WRONG"/>
  </r>
  <r>
    <n v="153"/>
    <s v="已发货"/>
    <s v="C49"/>
    <n v="109218"/>
    <s v="EASTER"/>
    <s v="YSM40R-4"/>
    <s v="NO"/>
    <s v="No"/>
    <s v="Y45399"/>
    <n v="1"/>
    <s v="力合仓库(已经清关)"/>
    <d v="2018-06-27T00:00:00"/>
    <n v="5.9499999999999997E-2"/>
    <x v="2"/>
    <m/>
    <s v="RMB"/>
    <x v="2"/>
    <x v="2"/>
    <x v="0"/>
    <s v="R-&gt;L"/>
    <s v="No"/>
    <s v="WRONG"/>
  </r>
  <r>
    <n v="563"/>
    <s v="已发货"/>
    <s v="C49"/>
    <n v="109218"/>
    <s v="EASTER"/>
    <s v="YSM40R-4"/>
    <s v="NO"/>
    <s v="No"/>
    <s v="Y44467"/>
    <n v="1"/>
    <s v="力合仓库(已经清关)"/>
    <d v="2018-06-27T00:00:00"/>
    <n v="5.9499999999999997E-2"/>
    <x v="3"/>
    <m/>
    <s v="RMB"/>
    <x v="3"/>
    <x v="3"/>
    <x v="0"/>
    <s v="L-&gt;R"/>
    <s v="No"/>
    <s v="WRONG"/>
  </r>
  <r>
    <n v="166"/>
    <s v="已发货"/>
    <s v="C49"/>
    <n v="109482"/>
    <s v="比泰利"/>
    <s v="YS12"/>
    <s v="R-&gt;L"/>
    <s v="No"/>
    <s v="Y41087"/>
    <n v="1"/>
    <s v="WKK HK 仓库"/>
    <s v="Wkk 仓库"/>
    <s v="No"/>
    <x v="1"/>
    <m/>
    <s v="JPY"/>
    <x v="4"/>
    <x v="4"/>
    <x v="2"/>
    <s v="L-&gt;R"/>
    <s v="MVC+Rear 站位"/>
    <s v="WRONG"/>
  </r>
  <r>
    <n v="167"/>
    <s v="已发货"/>
    <s v="C49"/>
    <n v="109482"/>
    <s v="比泰利"/>
    <s v="YS12"/>
    <s v="R-&gt;L"/>
    <s v="No"/>
    <s v="Y42858"/>
    <n v="1"/>
    <s v="WKK HK 仓库"/>
    <s v="Wkk 仓库"/>
    <s v="No"/>
    <x v="1"/>
    <m/>
    <s v="JPY"/>
    <x v="4"/>
    <x v="4"/>
    <x v="2"/>
    <s v="R-&gt;L"/>
    <s v="MVC+Rear 站位"/>
    <s v="WRONG"/>
  </r>
  <r>
    <n v="96"/>
    <s v="已发货"/>
    <s v="C49"/>
    <n v="109382"/>
    <s v="振动飞达（三管）"/>
    <s v="YSM20R(SV)-2"/>
    <s v="L-&gt;R"/>
    <s v="cATS10+MVC+special layout"/>
    <s v="Y46512"/>
    <n v="1"/>
    <s v="CY仓库"/>
    <s v="已经发货"/>
    <n v="6.1600000000000002E-2"/>
    <x v="4"/>
    <m/>
    <s v="JPY"/>
    <x v="5"/>
    <x v="5"/>
    <x v="3"/>
    <s v="L-&gt;R"/>
    <s v="cATS10+MVC+special layout"/>
    <s v="OK"/>
  </r>
  <r>
    <n v="97"/>
    <s v="已发货"/>
    <s v="C49"/>
    <n v="109382"/>
    <s v="易而达"/>
    <s v="YSM20R(SV)-2"/>
    <s v="L-&gt;R"/>
    <s v="No"/>
    <s v="Y46511"/>
    <n v="1"/>
    <s v="CY仓库"/>
    <s v="已经发货"/>
    <n v="6.1600000000000002E-2"/>
    <x v="4"/>
    <m/>
    <s v="JPY"/>
    <x v="5"/>
    <x v="5"/>
    <x v="3"/>
    <s v="L-&gt;R"/>
    <s v="No"/>
    <s v="OK"/>
  </r>
  <r>
    <n v="146"/>
    <s v="已发货"/>
    <s v="C49"/>
    <n v="109264"/>
    <s v="立昇"/>
    <s v="YSM20R(SV)-2"/>
    <s v="L-&gt;R"/>
    <s v="No"/>
    <s v="Y45374"/>
    <n v="1"/>
    <s v="CY仓库"/>
    <s v="已经发货"/>
    <n v="6.2399999999999997E-2"/>
    <x v="4"/>
    <m/>
    <s v="JPY"/>
    <x v="6"/>
    <x v="6"/>
    <x v="4"/>
    <s v="L-&gt;R"/>
    <s v="No"/>
    <s v="OK"/>
  </r>
  <r>
    <n v="147"/>
    <s v="已发货"/>
    <s v="C49"/>
    <n v="109264"/>
    <s v="立昇"/>
    <s v="YSM20R(SV)-2"/>
    <s v="L-&gt;R"/>
    <s v="No"/>
    <s v="Y45375"/>
    <n v="1"/>
    <s v="CY仓库"/>
    <s v="已经发货"/>
    <n v="6.2399999999999997E-2"/>
    <x v="4"/>
    <m/>
    <s v="JPY"/>
    <x v="6"/>
    <x v="6"/>
    <x v="4"/>
    <s v="L-&gt;R"/>
    <s v="No"/>
    <s v="OK"/>
  </r>
  <r>
    <n v="404"/>
    <s v="已发货"/>
    <s v="C49"/>
    <s v="此台机器预留了上海的Y48836 "/>
    <m/>
    <m/>
    <m/>
    <m/>
    <s v="Y48836"/>
    <n v="1"/>
    <m/>
    <m/>
    <n v="6.4799999999999996E-2"/>
    <x v="5"/>
    <m/>
    <s v="RMB"/>
    <x v="7"/>
    <x v="7"/>
    <x v="1"/>
    <s v="L-&gt;R"/>
    <s v="MVC"/>
    <s v="WRONG"/>
  </r>
  <r>
    <n v="375"/>
    <s v="已发货"/>
    <s v="C49"/>
    <n v="109285"/>
    <s v="STK"/>
    <s v="YS24X"/>
    <s v="L-&gt;R"/>
    <s v="sATSII"/>
    <s v="Y44428"/>
    <n v="1"/>
    <s v="力合仓库(已经清关)"/>
    <d v="2018-07-11T00:00:00"/>
    <n v="6.08E-2"/>
    <x v="6"/>
    <m/>
    <s v="RMB"/>
    <x v="8"/>
    <x v="8"/>
    <x v="5"/>
    <s v="L-&gt;R"/>
    <s v="No"/>
    <s v="WRONG"/>
  </r>
  <r>
    <n v="142"/>
    <s v="已发货"/>
    <s v="C49"/>
    <n v="109322"/>
    <s v="上达"/>
    <s v="YSM10"/>
    <s v="L-&gt;R"/>
    <s v="No"/>
    <s v="Y45234"/>
    <n v="1"/>
    <s v="力合仓库(已经清关)"/>
    <d v="2018-07-11T00:00:00"/>
    <n v="6.08E-2"/>
    <x v="1"/>
    <m/>
    <s v="RMB"/>
    <x v="9"/>
    <x v="9"/>
    <x v="1"/>
    <s v="L-&gt;R"/>
    <s v="MVC"/>
    <s v="WRONG"/>
  </r>
  <r>
    <n v="143"/>
    <s v="已发货"/>
    <s v="C49"/>
    <n v="109322"/>
    <s v="上达"/>
    <s v="YSM10"/>
    <s v="L-&gt;R"/>
    <s v="No"/>
    <s v="Y45235"/>
    <n v="1"/>
    <s v="力合仓库(已经清关)"/>
    <d v="2018-07-11T00:00:00"/>
    <n v="6.08E-2"/>
    <x v="1"/>
    <m/>
    <s v="RMB"/>
    <x v="9"/>
    <x v="9"/>
    <x v="1"/>
    <s v="L-&gt;R"/>
    <s v="MVC"/>
    <s v="WRONG"/>
  </r>
  <r>
    <n v="120"/>
    <s v="已发货"/>
    <s v="C49"/>
    <n v="109284"/>
    <s v="STK"/>
    <s v="YSM10"/>
    <s v="L-&gt;R"/>
    <s v="MVC+ATS15"/>
    <s v="Y44479"/>
    <n v="1"/>
    <s v="CY仓库"/>
    <d v="2018-07-29T00:00:00"/>
    <n v="6.08E-2"/>
    <x v="1"/>
    <m/>
    <s v="JPY"/>
    <x v="10"/>
    <x v="10"/>
    <x v="1"/>
    <s v="R-&gt;L"/>
    <s v="MVC+ATS15"/>
    <s v="WRONG"/>
  </r>
  <r>
    <n v="145"/>
    <s v="已发货"/>
    <s v="C49"/>
    <n v="109284"/>
    <s v="STK"/>
    <s v="YSM10"/>
    <s v="L-&gt;R"/>
    <s v="MVC+ATS15"/>
    <s v="Y44468"/>
    <n v="1"/>
    <s v="福保仓库"/>
    <d v="2018-07-29T00:00:00"/>
    <n v="6.08E-2"/>
    <x v="4"/>
    <m/>
    <s v="JPY"/>
    <x v="6"/>
    <x v="6"/>
    <x v="1"/>
    <s v="L-&gt;R"/>
    <s v="MVC+ATS15"/>
    <s v="OK"/>
  </r>
  <r>
    <n v="78"/>
    <s v="已发货"/>
    <s v="C49"/>
    <n v="109238"/>
    <s v="STK"/>
    <s v="YSM10"/>
    <s v="L-&gt;R"/>
    <s v="MVC+ATS15"/>
    <s v="Y44961"/>
    <n v="1"/>
    <s v="福保仓库"/>
    <d v="2018-08-15T00:00:00"/>
    <n v="6.1499999999999999E-2"/>
    <x v="7"/>
    <m/>
    <s v="JPY"/>
    <x v="11"/>
    <x v="11"/>
    <x v="1"/>
    <s v="L-&gt;R"/>
    <s v="MVC+ATS15"/>
    <s v="OK"/>
  </r>
  <r>
    <n v="79"/>
    <s v="已发货"/>
    <s v="C49"/>
    <n v="109238"/>
    <s v="STK"/>
    <s v="YSM10"/>
    <s v="L-&gt;R"/>
    <s v="MVC+ATS15"/>
    <s v="Y44962"/>
    <n v="1"/>
    <s v="福保仓库"/>
    <d v="2018-08-15T00:00:00"/>
    <n v="6.1499999999999999E-2"/>
    <x v="7"/>
    <m/>
    <s v="JPY"/>
    <x v="11"/>
    <x v="11"/>
    <x v="1"/>
    <s v="L-&gt;R"/>
    <s v="MVC+ATS15"/>
    <s v="OK"/>
  </r>
  <r>
    <n v="186"/>
    <s v="已发货"/>
    <s v="C49"/>
    <n v="109238"/>
    <s v="STK"/>
    <s v="YSM10"/>
    <s v="L-&gt;R"/>
    <s v="MVC"/>
    <s v="Y44960"/>
    <n v="1"/>
    <s v="福保仓库"/>
    <d v="2018-08-15T00:00:00"/>
    <n v="6.1499999999999999E-2"/>
    <x v="1"/>
    <m/>
    <s v="JPY"/>
    <x v="12"/>
    <x v="12"/>
    <x v="1"/>
    <s v="L-&gt;R"/>
    <s v="MVC"/>
    <s v="OK"/>
  </r>
  <r>
    <n v="177"/>
    <s v="已发货"/>
    <s v="C49"/>
    <n v="109238"/>
    <s v="STK"/>
    <s v="YSM10"/>
    <s v="L-&gt;R"/>
    <s v="MVC+ATS15"/>
    <s v="Y44963"/>
    <n v="1"/>
    <s v="力合仓库(已经清关)"/>
    <d v="2018-08-15T00:00:00"/>
    <n v="6.1499999999999999E-2"/>
    <x v="6"/>
    <m/>
    <s v="JPY"/>
    <x v="13"/>
    <x v="13"/>
    <x v="1"/>
    <s v="L-&gt;R"/>
    <s v="MVC+ATS15"/>
    <s v="OK"/>
  </r>
  <r>
    <n v="30"/>
    <s v="已发货"/>
    <s v="C49"/>
    <n v="109238"/>
    <s v="STK"/>
    <s v="YSM10"/>
    <s v="L-&gt;R"/>
    <s v="MVC"/>
    <s v="Y44956"/>
    <n v="1"/>
    <s v="力合仓库(已经清关)"/>
    <d v="2018-08-15T00:00:00"/>
    <n v="6.1499999999999999E-2"/>
    <x v="8"/>
    <m/>
    <s v="RMB"/>
    <x v="14"/>
    <x v="14"/>
    <x v="1"/>
    <s v="L-&gt;R"/>
    <s v="MVC"/>
    <s v="OK"/>
  </r>
  <r>
    <n v="115"/>
    <s v="已发货"/>
    <s v="C49"/>
    <n v="109202"/>
    <s v="中润互联"/>
    <s v="YSM20-2"/>
    <s v="L-&gt;R"/>
    <s v="No"/>
    <s v="Y44214"/>
    <n v="1"/>
    <s v="CY仓库"/>
    <d v="2018-09-05T00:00:00"/>
    <n v="6.3E-2"/>
    <x v="9"/>
    <m/>
    <s v="JPY"/>
    <x v="15"/>
    <x v="15"/>
    <x v="4"/>
    <s v="L-&gt;R"/>
    <s v="No"/>
    <s v="OK"/>
  </r>
  <r>
    <n v="98"/>
    <s v="已发货"/>
    <s v="C49"/>
    <n v="109202"/>
    <s v="中润互联"/>
    <s v="YSM20-2"/>
    <s v="L-&gt;R"/>
    <s v="cATS10+MVC+special layout"/>
    <s v="Y46126"/>
    <n v="1"/>
    <s v="CY仓库"/>
    <d v="2018-09-05T00:00:00"/>
    <n v="6.3E-2"/>
    <x v="1"/>
    <m/>
    <s v="JPY"/>
    <x v="16"/>
    <x v="5"/>
    <x v="3"/>
    <s v="L-&gt;R"/>
    <s v="cATS10+MVC+special layout"/>
    <s v="OK"/>
  </r>
  <r>
    <n v="104"/>
    <s v="已发货"/>
    <s v="C49"/>
    <n v="109202"/>
    <s v="中润互联"/>
    <s v="YSM20-2"/>
    <s v="L-&gt;R"/>
    <s v="No"/>
    <s v="Y46124"/>
    <n v="1"/>
    <s v="CY仓库"/>
    <d v="2018-09-05T00:00:00"/>
    <n v="6.3E-2"/>
    <x v="4"/>
    <m/>
    <s v="JPY"/>
    <x v="17"/>
    <x v="16"/>
    <x v="3"/>
    <s v="L-&gt;R"/>
    <s v="No"/>
    <s v="OK"/>
  </r>
  <r>
    <n v="141"/>
    <s v="已发货"/>
    <s v="C49"/>
    <n v="109239"/>
    <s v="STK"/>
    <s v="YSM10"/>
    <s v="L-&gt;R"/>
    <s v="No"/>
    <s v="Y44970"/>
    <n v="1"/>
    <s v="CY仓库"/>
    <d v="2018-09-07T00:00:00"/>
    <n v="6.3E-2"/>
    <x v="9"/>
    <m/>
    <s v="JPY"/>
    <x v="18"/>
    <x v="17"/>
    <x v="1"/>
    <s v="L-&gt;R"/>
    <s v="No"/>
    <s v="OK"/>
  </r>
  <r>
    <n v="76"/>
    <s v="已发货"/>
    <s v="C49"/>
    <n v="109239"/>
    <s v="STK"/>
    <s v="YSM10"/>
    <s v="L-&gt;R"/>
    <s v="No"/>
    <s v="Y44971"/>
    <n v="1"/>
    <s v="CY仓库"/>
    <d v="2018-09-07T00:00:00"/>
    <n v="6.3E-2"/>
    <x v="9"/>
    <m/>
    <s v="JPY"/>
    <x v="19"/>
    <x v="18"/>
    <x v="1"/>
    <s v="L-&gt;R"/>
    <s v="No"/>
    <s v="OK"/>
  </r>
  <r>
    <n v="77"/>
    <s v="已发货"/>
    <s v="C49"/>
    <n v="109239"/>
    <s v="STK"/>
    <s v="YSM10"/>
    <s v="L-&gt;R"/>
    <s v="No"/>
    <s v="Y44973"/>
    <n v="1"/>
    <s v="福保仓库"/>
    <d v="2018-09-07T00:00:00"/>
    <n v="6.3E-2"/>
    <x v="9"/>
    <m/>
    <s v="JPY"/>
    <x v="19"/>
    <x v="18"/>
    <x v="1"/>
    <s v="L-&gt;R"/>
    <s v="No"/>
    <s v="OK"/>
  </r>
  <r>
    <n v="125"/>
    <s v="已发货"/>
    <s v="C49"/>
    <n v="109239"/>
    <s v="STK"/>
    <s v="YSM10"/>
    <s v="L-&gt;R"/>
    <s v="No"/>
    <s v="Y44974"/>
    <n v="1"/>
    <s v="福保仓库"/>
    <d v="2018-09-07T00:00:00"/>
    <n v="6.3E-2"/>
    <x v="1"/>
    <m/>
    <s v="JPY"/>
    <x v="1"/>
    <x v="1"/>
    <x v="1"/>
    <s v="L-&gt;R"/>
    <s v="No"/>
    <s v="OK"/>
  </r>
  <r>
    <n v="99"/>
    <s v="已发货"/>
    <s v="C49"/>
    <n v="109352"/>
    <s v="康佳"/>
    <s v="YSM20-2"/>
    <s v="L-&gt;R"/>
    <s v="No"/>
    <s v="Y45141"/>
    <n v="1"/>
    <s v="CY仓库"/>
    <d v="2018-09-15T00:00:00"/>
    <n v="6.3E-2"/>
    <x v="1"/>
    <m/>
    <s v="JPY"/>
    <x v="16"/>
    <x v="5"/>
    <x v="3"/>
    <s v="L-&gt;R"/>
    <s v="No"/>
    <s v="OK"/>
  </r>
  <r>
    <n v="265"/>
    <s v="已发货"/>
    <s v="C49"/>
    <n v="109352"/>
    <s v="康佳"/>
    <s v="YSM20-2"/>
    <s v="L-&gt;R"/>
    <s v="No"/>
    <s v="Y45142"/>
    <n v="1"/>
    <s v="CY仓库"/>
    <d v="2018-09-15T00:00:00"/>
    <n v="6.3E-2"/>
    <x v="8"/>
    <m/>
    <s v="JPY"/>
    <x v="20"/>
    <x v="19"/>
    <x v="3"/>
    <s v="L-&gt;R"/>
    <s v="No"/>
    <s v="OK"/>
  </r>
  <r>
    <n v="267"/>
    <s v="已发货"/>
    <s v="C49"/>
    <n v="109352"/>
    <s v="康佳"/>
    <s v="YSM20-2"/>
    <s v="L-&gt;R"/>
    <s v="No"/>
    <s v="Y45138"/>
    <n v="1"/>
    <s v="CY仓库"/>
    <d v="2018-09-15T00:00:00"/>
    <n v="6.3E-2"/>
    <x v="8"/>
    <m/>
    <s v="JPY"/>
    <x v="21"/>
    <x v="20"/>
    <x v="3"/>
    <s v="L-&gt;R"/>
    <s v="MVC"/>
    <s v="WRONG"/>
  </r>
  <r>
    <n v="149"/>
    <s v="已发货"/>
    <s v="C49"/>
    <n v="109352"/>
    <s v="康佳"/>
    <s v="YSM20-2"/>
    <s v="L-&gt;R"/>
    <s v="No"/>
    <s v="Y45140"/>
    <n v="1"/>
    <s v="CY仓库"/>
    <d v="2018-09-15T00:00:00"/>
    <n v="6.3E-2"/>
    <x v="9"/>
    <m/>
    <s v="JPY"/>
    <x v="22"/>
    <x v="21"/>
    <x v="3"/>
    <s v="L-&gt;R"/>
    <s v="No"/>
    <s v="OK"/>
  </r>
  <r>
    <n v="271"/>
    <s v="已发货"/>
    <s v="C49"/>
    <n v="109352"/>
    <s v="康佳"/>
    <s v="YSM20-2"/>
    <s v="L-&gt;R"/>
    <s v="No"/>
    <s v="Y45797"/>
    <n v="1"/>
    <s v="CY仓库"/>
    <d v="2018-09-15T00:00:00"/>
    <n v="6.3E-2"/>
    <x v="8"/>
    <m/>
    <s v="JPY"/>
    <x v="23"/>
    <x v="22"/>
    <x v="3"/>
    <s v="L-&gt;R"/>
    <s v="No"/>
    <s v="OK"/>
  </r>
  <r>
    <n v="272"/>
    <s v="已发货"/>
    <s v="C49"/>
    <n v="109352"/>
    <s v="康佳"/>
    <s v="YSM20-2"/>
    <s v="L-&gt;R"/>
    <s v="No"/>
    <s v="Y45798"/>
    <n v="1"/>
    <s v="CY仓库"/>
    <d v="2018-09-15T00:00:00"/>
    <n v="6.3E-2"/>
    <x v="8"/>
    <m/>
    <s v="JPY"/>
    <x v="23"/>
    <x v="22"/>
    <x v="3"/>
    <s v="L-&gt;R"/>
    <s v="No"/>
    <s v="OK"/>
  </r>
  <r>
    <n v="278"/>
    <s v="已发货"/>
    <s v="C49"/>
    <n v="109352"/>
    <s v="康佳"/>
    <s v="YSM20-2"/>
    <s v="L-&gt;R"/>
    <s v="No"/>
    <s v="Y45799"/>
    <n v="1"/>
    <s v="CY仓库"/>
    <d v="2018-09-15T00:00:00"/>
    <n v="6.3E-2"/>
    <x v="8"/>
    <m/>
    <s v="JPY"/>
    <x v="24"/>
    <x v="23"/>
    <x v="3"/>
    <s v="L-&gt;R"/>
    <s v="No"/>
    <s v="OK"/>
  </r>
  <r>
    <n v="31"/>
    <s v="已发货"/>
    <s v="C49"/>
    <n v="109352"/>
    <s v="康佳"/>
    <s v="YSM20-2"/>
    <s v="L-&gt;R"/>
    <s v="No"/>
    <s v="Y45139 "/>
    <n v="1"/>
    <s v="力合仓库(已经清关)"/>
    <d v="2018-09-15T00:00:00"/>
    <n v="6.3E-2"/>
    <x v="8"/>
    <m/>
    <s v="RMB"/>
    <x v="14"/>
    <x v="14"/>
    <x v="3"/>
    <s v="L-&gt;R"/>
    <s v="No"/>
    <s v="OK"/>
  </r>
  <r>
    <n v="187"/>
    <s v="已发货"/>
    <s v="C49"/>
    <n v="109360"/>
    <s v="STK"/>
    <s v="YSM10"/>
    <s v="L-&gt;R"/>
    <s v="No"/>
    <s v="Y44952"/>
    <n v="1"/>
    <s v="福保仓库"/>
    <d v="2018-09-19T00:00:00"/>
    <n v="6.3E-2"/>
    <x v="10"/>
    <m/>
    <s v="JPY"/>
    <x v="25"/>
    <x v="24"/>
    <x v="1"/>
    <s v="L-&gt;R"/>
    <s v="No"/>
    <s v="OK"/>
  </r>
  <r>
    <n v="213"/>
    <s v="已发货"/>
    <s v="C49"/>
    <n v="109360"/>
    <s v="STK"/>
    <s v="YSM10"/>
    <s v="L-&gt;R"/>
    <s v="No"/>
    <s v="Y44953"/>
    <n v="1"/>
    <s v="福保仓库"/>
    <d v="2018-09-19T00:00:00"/>
    <n v="6.3E-2"/>
    <x v="7"/>
    <m/>
    <s v="JPY"/>
    <x v="26"/>
    <x v="25"/>
    <x v="1"/>
    <s v="R-&gt;L"/>
    <s v="No"/>
    <s v="WRONG"/>
  </r>
  <r>
    <n v="234"/>
    <s v="已发货"/>
    <s v="C49"/>
    <n v="109416"/>
    <s v="STK"/>
    <s v="YSM10"/>
    <s v="L-&gt;R"/>
    <s v="MVC+ATS15"/>
    <s v="Y46111"/>
    <n v="1"/>
    <s v="福保仓库"/>
    <d v="2018-09-19T00:00:00"/>
    <n v="6.3E-2"/>
    <x v="8"/>
    <m/>
    <s v="RMB"/>
    <x v="27"/>
    <x v="26"/>
    <x v="1"/>
    <s v="L-&gt;R"/>
    <s v="MVC+ATS15"/>
    <s v="OK"/>
  </r>
  <r>
    <n v="235"/>
    <s v="已发货"/>
    <s v="C49"/>
    <n v="109416"/>
    <s v="STK"/>
    <s v="YSM10"/>
    <s v="L-&gt;R"/>
    <s v="MVC+ATS15"/>
    <s v="Y46112"/>
    <n v="1"/>
    <s v="福保仓库"/>
    <d v="2018-09-19T00:00:00"/>
    <n v="6.3E-2"/>
    <x v="8"/>
    <m/>
    <s v="RMB"/>
    <x v="27"/>
    <x v="26"/>
    <x v="1"/>
    <s v="L-&gt;R"/>
    <s v="MVC+ATS15"/>
    <s v="OK"/>
  </r>
  <r>
    <n v="212"/>
    <s v="已发货"/>
    <s v="C49"/>
    <n v="109381"/>
    <s v="STK"/>
    <s v="YSM10"/>
    <s v="L-&gt;R"/>
    <s v="MVC"/>
    <s v="Y44983"/>
    <n v="1"/>
    <s v="2019.4.3拖CY"/>
    <d v="2018-10-12T00:00:00"/>
    <n v="6.2399999999999997E-2"/>
    <x v="7"/>
    <m/>
    <s v="JPY"/>
    <x v="26"/>
    <x v="25"/>
    <x v="1"/>
    <s v="R-&gt;L"/>
    <s v="MVC"/>
    <s v="WRONG"/>
  </r>
  <r>
    <n v="181"/>
    <s v="已发货"/>
    <s v="C49"/>
    <n v="109381"/>
    <s v="STK"/>
    <s v="YSM10"/>
    <s v="L-&gt;R"/>
    <s v="MVC"/>
    <s v="Y44984"/>
    <n v="1"/>
    <s v="福保仓库"/>
    <d v="2018-10-12T00:00:00"/>
    <n v="6.2399999999999997E-2"/>
    <x v="1"/>
    <m/>
    <s v="JPY"/>
    <x v="28"/>
    <x v="27"/>
    <x v="1"/>
    <s v="L-&gt;R"/>
    <s v="MVC"/>
    <s v="OK"/>
  </r>
  <r>
    <n v="253"/>
    <s v="已发货"/>
    <s v="C49"/>
    <n v="109381"/>
    <s v="STK"/>
    <s v="YSM10"/>
    <s v="L-&gt;R"/>
    <s v="MVC+ATS15"/>
    <s v="Y44985"/>
    <n v="1"/>
    <s v="福保仓库"/>
    <d v="2018-10-12T00:00:00"/>
    <n v="6.2399999999999997E-2"/>
    <x v="8"/>
    <m/>
    <s v="JPY"/>
    <x v="29"/>
    <x v="28"/>
    <x v="1"/>
    <s v="L-&gt;R"/>
    <s v="MVC+ATS15"/>
    <s v="OK"/>
  </r>
  <r>
    <n v="276"/>
    <s v="已发货"/>
    <s v="C49"/>
    <n v="109381"/>
    <s v="STK"/>
    <s v="YSM10"/>
    <s v="L-&gt;R"/>
    <s v="MVC+ATS15"/>
    <s v="Y44986"/>
    <n v="1"/>
    <s v="福保仓库"/>
    <d v="2018-10-12T00:00:00"/>
    <n v="6.2399999999999997E-2"/>
    <x v="8"/>
    <m/>
    <s v="JPY"/>
    <x v="30"/>
    <x v="29"/>
    <x v="1"/>
    <s v="L-&gt;R"/>
    <s v="MVC+ATS15"/>
    <s v="OK"/>
  </r>
  <r>
    <n v="263"/>
    <s v="已发货"/>
    <s v="C49"/>
    <n v="109381"/>
    <s v="STK"/>
    <s v="YSM10"/>
    <s v="L-&gt;R"/>
    <s v="No"/>
    <s v="Y44979"/>
    <n v="1"/>
    <s v="福保仓库"/>
    <d v="2018-10-12T00:00:00"/>
    <n v="6.2399999999999997E-2"/>
    <x v="8"/>
    <m/>
    <s v="JPY"/>
    <x v="31"/>
    <x v="30"/>
    <x v="1"/>
    <s v="L-&gt;R"/>
    <s v="MVC"/>
    <s v="WRONG"/>
  </r>
  <r>
    <n v="275"/>
    <s v="已发货"/>
    <s v="C49"/>
    <n v="109381"/>
    <s v="STK"/>
    <s v="YSM10"/>
    <s v="L-&gt;R"/>
    <s v="No"/>
    <s v="Y44981"/>
    <n v="1"/>
    <s v="福保仓库"/>
    <d v="2018-10-12T00:00:00"/>
    <n v="6.2399999999999997E-2"/>
    <x v="8"/>
    <m/>
    <s v="JPY"/>
    <x v="32"/>
    <x v="31"/>
    <x v="1"/>
    <s v="L-&gt;R"/>
    <s v="MVC"/>
    <s v="WRONG"/>
  </r>
  <r>
    <n v="42"/>
    <s v="已发货"/>
    <s v="C49"/>
    <n v="109381"/>
    <s v="STK"/>
    <s v="YSM10"/>
    <s v="L-&gt;R"/>
    <s v="No"/>
    <s v="Y44980"/>
    <n v="1"/>
    <s v="福保仓库"/>
    <d v="2018-10-12T00:00:00"/>
    <n v="6.2399999999999997E-2"/>
    <x v="7"/>
    <m/>
    <s v="JPY"/>
    <x v="33"/>
    <x v="32"/>
    <x v="1"/>
    <s v="R-&gt;L"/>
    <s v="No"/>
    <s v="WRONG"/>
  </r>
  <r>
    <n v="43"/>
    <s v="已发货"/>
    <s v="C49"/>
    <n v="109381"/>
    <s v="STK"/>
    <s v="YSM10"/>
    <s v="L-&gt;R"/>
    <s v="No"/>
    <s v="Y44982"/>
    <n v="1"/>
    <s v="福保仓库"/>
    <d v="2018-10-12T00:00:00"/>
    <n v="6.2399999999999997E-2"/>
    <x v="7"/>
    <m/>
    <s v="JPY"/>
    <x v="33"/>
    <x v="32"/>
    <x v="1"/>
    <s v="L-&gt;R"/>
    <s v="No"/>
    <s v="OK"/>
  </r>
  <r>
    <n v="281"/>
    <s v="已发货"/>
    <s v="C49"/>
    <n v="109381"/>
    <s v="STK"/>
    <s v="YSM10"/>
    <s v="L-&gt;R"/>
    <s v="No"/>
    <s v="Y44975"/>
    <n v="1"/>
    <s v="福保仓库"/>
    <d v="2018-10-12T00:00:00"/>
    <n v="6.2399999999999997E-2"/>
    <x v="8"/>
    <m/>
    <s v="JPY"/>
    <x v="34"/>
    <x v="33"/>
    <x v="1"/>
    <s v="L-&gt;R"/>
    <s v="MVC"/>
    <s v="WRONG"/>
  </r>
  <r>
    <n v="282"/>
    <s v="已发货"/>
    <s v="C49"/>
    <n v="109381"/>
    <s v="STK"/>
    <s v="YSM10"/>
    <s v="L-&gt;R"/>
    <s v="No"/>
    <s v="Y44976"/>
    <n v="1"/>
    <s v="福保仓库"/>
    <d v="2018-10-12T00:00:00"/>
    <n v="6.2399999999999997E-2"/>
    <x v="8"/>
    <m/>
    <s v="JPY"/>
    <x v="34"/>
    <x v="33"/>
    <x v="1"/>
    <s v="L-&gt;R"/>
    <s v="MVC"/>
    <s v="WRONG"/>
  </r>
  <r>
    <n v="298"/>
    <s v="已发货"/>
    <s v="C49"/>
    <n v="109381"/>
    <s v="STK"/>
    <s v="YSM10"/>
    <s v="L-&gt;R"/>
    <s v="No"/>
    <s v="Y44977"/>
    <n v="1"/>
    <s v="福保仓库"/>
    <d v="2018-10-12T00:00:00"/>
    <n v="6.2399999999999997E-2"/>
    <x v="11"/>
    <m/>
    <s v="JPY"/>
    <x v="35"/>
    <x v="34"/>
    <x v="1"/>
    <s v="L-&gt;R"/>
    <s v="MVC"/>
    <s v="WRONG"/>
  </r>
  <r>
    <n v="243"/>
    <s v="已发货"/>
    <s v="C49"/>
    <n v="109381"/>
    <s v="STK"/>
    <s v="YSM10"/>
    <s v="L-&gt;R"/>
    <s v="No"/>
    <s v="Y44978"/>
    <n v="1"/>
    <s v="福保仓库"/>
    <d v="2018-10-12T00:00:00"/>
    <n v="6.2399999999999997E-2"/>
    <x v="7"/>
    <m/>
    <s v="JPY"/>
    <x v="36"/>
    <x v="35"/>
    <x v="1"/>
    <s v="R-&gt;L"/>
    <s v="MVC"/>
    <s v="WRONG"/>
  </r>
  <r>
    <n v="266"/>
    <s v="已发货"/>
    <s v="C49"/>
    <n v="109413"/>
    <s v="STK"/>
    <s v="YSM10"/>
    <s v="L-&gt;R"/>
    <s v="MVC"/>
    <s v="Y46673"/>
    <n v="1"/>
    <s v="福保仓库"/>
    <d v="2018-10-12T00:00:00"/>
    <n v="6.2399999999999997E-2"/>
    <x v="8"/>
    <m/>
    <s v="JPY"/>
    <x v="20"/>
    <x v="19"/>
    <x v="1"/>
    <s v="L-&gt;R"/>
    <s v="MVC"/>
    <s v="OK"/>
  </r>
  <r>
    <n v="242"/>
    <s v="已发货"/>
    <s v="C49"/>
    <n v="109413"/>
    <s v="STK"/>
    <s v="YSM10"/>
    <s v="L-&gt;R"/>
    <s v="No"/>
    <s v="Y46674"/>
    <n v="1"/>
    <s v="福保仓库"/>
    <d v="2018-10-12T00:00:00"/>
    <n v="6.2399999999999997E-2"/>
    <x v="7"/>
    <m/>
    <s v="JPY"/>
    <x v="36"/>
    <x v="35"/>
    <x v="1"/>
    <s v="L-&gt;R"/>
    <s v="MVC"/>
    <s v="WRONG"/>
  </r>
  <r>
    <n v="48"/>
    <s v="已发货"/>
    <s v="C49"/>
    <n v="109331"/>
    <s v="永顺创"/>
    <s v="YSM20R(SV)-2"/>
    <s v="L-&gt;R"/>
    <s v="MVC"/>
    <s v="Y46418"/>
    <n v="1"/>
    <s v="码头"/>
    <d v="2018-11-01T00:00:00"/>
    <n v="6.1600000000000002E-2"/>
    <x v="9"/>
    <m/>
    <s v="JPY"/>
    <x v="37"/>
    <x v="36"/>
    <x v="3"/>
    <s v="L-&gt;R"/>
    <s v="MVC"/>
    <s v="OK"/>
  </r>
  <r>
    <n v="49"/>
    <s v="已发货"/>
    <s v="C49"/>
    <n v="109331"/>
    <s v="永顺创"/>
    <s v="YSM20R(SV)-2"/>
    <s v="L-&gt;R"/>
    <s v="MVC"/>
    <s v="Y46419"/>
    <n v="1"/>
    <s v="码头"/>
    <d v="2018-11-01T00:00:00"/>
    <n v="6.1600000000000002E-2"/>
    <x v="9"/>
    <m/>
    <s v="JPY"/>
    <x v="37"/>
    <x v="36"/>
    <x v="3"/>
    <s v="L-&gt;R"/>
    <s v="MVC"/>
    <s v="OK"/>
  </r>
  <r>
    <n v="127"/>
    <s v="已发货"/>
    <s v="C49"/>
    <n v="109288"/>
    <s v="亿联"/>
    <s v="YSM20R(SV)-2"/>
    <s v="L-&gt;R"/>
    <s v="No"/>
    <s v="Y45637"/>
    <n v="1"/>
    <s v="码头"/>
    <d v="2018-11-03T00:00:00"/>
    <n v="6.1600000000000002E-2"/>
    <x v="9"/>
    <m/>
    <s v="JPY"/>
    <x v="38"/>
    <x v="37"/>
    <x v="4"/>
    <s v="L-&gt;R"/>
    <s v="No"/>
    <s v="OK"/>
  </r>
  <r>
    <n v="128"/>
    <s v="已发货"/>
    <s v="C49"/>
    <n v="109288"/>
    <s v="亿联"/>
    <s v="YSM20R(SV)-2"/>
    <s v="L-&gt;R"/>
    <s v="No"/>
    <s v="Y45638"/>
    <n v="1"/>
    <s v="码头"/>
    <d v="2018-11-03T00:00:00"/>
    <n v="6.1600000000000002E-2"/>
    <x v="9"/>
    <m/>
    <s v="JPY"/>
    <x v="38"/>
    <x v="37"/>
    <x v="4"/>
    <s v="L-&gt;R"/>
    <s v="No"/>
    <s v="OK"/>
  </r>
  <r>
    <n v="423"/>
    <s v="已发货"/>
    <s v="C49"/>
    <n v="109308"/>
    <s v="英拓邦"/>
    <s v="YSM20R(SV)-2"/>
    <s v="L-&gt;R"/>
    <s v="cATS10+special layout"/>
    <s v="Y45850"/>
    <n v="1"/>
    <s v="力合仓库(已经清关)"/>
    <d v="2018-11-11T00:00:00"/>
    <n v="6.1600000000000002E-2"/>
    <x v="5"/>
    <m/>
    <s v="RMB"/>
    <x v="39"/>
    <x v="38"/>
    <x v="4"/>
    <s v="L-&gt;R"/>
    <s v="cATS10+MVC+special layout"/>
    <s v="WRONG"/>
  </r>
  <r>
    <n v="429"/>
    <s v="已发货"/>
    <s v="C49"/>
    <n v="109308"/>
    <s v="英拓邦"/>
    <s v="YSM20R(SV)-2"/>
    <s v="L-&gt;R"/>
    <s v="cATS10+special layout"/>
    <s v="Y45851"/>
    <n v="1"/>
    <s v="力合仓库(已经清关)"/>
    <d v="2018-11-11T00:00:00"/>
    <n v="6.1600000000000002E-2"/>
    <x v="5"/>
    <m/>
    <s v="RMB"/>
    <x v="40"/>
    <x v="39"/>
    <x v="4"/>
    <s v="L-&gt;R"/>
    <s v="cATS10+MVC+special layout"/>
    <s v="WRONG"/>
  </r>
  <r>
    <n v="246"/>
    <s v="已发货"/>
    <s v="C49"/>
    <n v="109295"/>
    <s v="STK"/>
    <s v="YSM10"/>
    <s v="L-&gt;R"/>
    <s v="No"/>
    <s v="Y45751"/>
    <n v="1"/>
    <s v="福保仓库"/>
    <d v="2018-11-14T00:00:00"/>
    <n v="6.2799999999999995E-2"/>
    <x v="11"/>
    <m/>
    <s v="JPY"/>
    <x v="41"/>
    <x v="40"/>
    <x v="1"/>
    <s v="R-&gt;L"/>
    <s v="MVC"/>
    <s v="WRONG"/>
  </r>
  <r>
    <n v="247"/>
    <s v="已发货"/>
    <s v="C49"/>
    <n v="109295"/>
    <s v="STK"/>
    <s v="YSM10"/>
    <s v="L-&gt;R"/>
    <s v="No"/>
    <s v="Y45752"/>
    <n v="1"/>
    <s v="福保仓库"/>
    <d v="2018-11-14T00:00:00"/>
    <n v="6.2799999999999995E-2"/>
    <x v="11"/>
    <m/>
    <s v="JPY"/>
    <x v="41"/>
    <x v="40"/>
    <x v="1"/>
    <s v="R-&gt;L"/>
    <s v="MVC"/>
    <s v="WRONG"/>
  </r>
  <r>
    <s v="咸阳宇迪"/>
    <s v="已发货"/>
    <s v="C49"/>
    <n v="109295"/>
    <s v="STK"/>
    <s v="YSM10"/>
    <s v="L-&gt;R"/>
    <s v="No"/>
    <s v="Y45753"/>
    <n v="1"/>
    <s v="力合仓库(已经清关)"/>
    <d v="2018-11-14T00:00:00"/>
    <n v="6.2799999999999995E-2"/>
    <x v="12"/>
    <m/>
    <e v="#N/A"/>
    <x v="42"/>
    <x v="41"/>
    <x v="6"/>
    <e v="#N/A"/>
    <e v="#N/A"/>
    <e v="#N/A"/>
  </r>
  <r>
    <n v="344"/>
    <s v="已发货"/>
    <s v="C49"/>
    <n v="109295"/>
    <s v="STK"/>
    <s v="YSM10"/>
    <s v="L-&gt;R"/>
    <s v="No"/>
    <s v="Y45754"/>
    <n v="1"/>
    <s v="力合仓库(已经清关)"/>
    <d v="2018-11-14T00:00:00"/>
    <n v="6.2799999999999995E-2"/>
    <x v="12"/>
    <m/>
    <s v="RMB"/>
    <x v="43"/>
    <x v="42"/>
    <x v="1"/>
    <s v="L-&gt;R"/>
    <s v="No"/>
    <s v="OK"/>
  </r>
  <r>
    <n v="345"/>
    <s v="已发货"/>
    <s v="C49"/>
    <n v="109295"/>
    <s v="STK"/>
    <s v="YSM10"/>
    <s v="L-&gt;R"/>
    <s v="No"/>
    <s v="Y45755"/>
    <n v="1"/>
    <s v="力合仓库(已经清关)"/>
    <d v="2018-11-14T00:00:00"/>
    <n v="6.2799999999999995E-2"/>
    <x v="12"/>
    <m/>
    <s v="RMB"/>
    <x v="43"/>
    <x v="42"/>
    <x v="1"/>
    <s v="R-&gt;L"/>
    <s v="No"/>
    <s v="WRONG"/>
  </r>
  <r>
    <n v="355"/>
    <s v="已发货"/>
    <s v="C49"/>
    <n v="109295"/>
    <s v="STK"/>
    <s v="YSM10"/>
    <s v="L-&gt;R"/>
    <s v="No"/>
    <s v="Y45756"/>
    <n v="1"/>
    <s v="力合仓库(已经清关)"/>
    <d v="2018-11-14T00:00:00"/>
    <n v="6.2799999999999995E-2"/>
    <x v="12"/>
    <m/>
    <s v="RMB"/>
    <x v="44"/>
    <x v="43"/>
    <x v="1"/>
    <s v="L-&gt;R"/>
    <s v="No"/>
    <s v="OK"/>
  </r>
  <r>
    <n v="15"/>
    <s v="已发货"/>
    <s v="C49"/>
    <n v="109421"/>
    <s v="STK"/>
    <s v="YS24"/>
    <s v="L-&gt;R"/>
    <s v="No"/>
    <s v="Y45172"/>
    <n v="1"/>
    <s v="CY仓库"/>
    <d v="2018-12-01T00:00:00"/>
    <n v="6.25E-2"/>
    <x v="7"/>
    <m/>
    <s v="JPY"/>
    <x v="45"/>
    <x v="44"/>
    <x v="7"/>
    <s v="L-&gt;R"/>
    <s v="No"/>
    <s v="OK"/>
  </r>
  <r>
    <n v="154"/>
    <s v="已发货"/>
    <s v="C49"/>
    <n v="109421"/>
    <s v="STK"/>
    <s v="YS24"/>
    <s v="L-&gt;R"/>
    <s v="No"/>
    <s v="Y45171"/>
    <n v="1"/>
    <s v="CY仓库"/>
    <d v="2018-12-01T00:00:00"/>
    <n v="6.25E-2"/>
    <x v="1"/>
    <m/>
    <s v="JPY"/>
    <x v="46"/>
    <x v="45"/>
    <x v="7"/>
    <s v="L-&gt;R"/>
    <s v="No"/>
    <s v="OK"/>
  </r>
  <r>
    <n v="291"/>
    <s v="已发货"/>
    <s v="C49"/>
    <n v="109421"/>
    <s v="STK"/>
    <s v="YS24"/>
    <s v="L-&gt;R"/>
    <s v="No"/>
    <s v="Y45170"/>
    <n v="1"/>
    <s v="福保仓库"/>
    <d v="2018-12-01T00:00:00"/>
    <n v="6.25E-2"/>
    <x v="13"/>
    <m/>
    <s v="JPY"/>
    <x v="47"/>
    <x v="46"/>
    <x v="7"/>
    <s v="L-&gt;R"/>
    <s v="MVC"/>
    <s v="WRONG"/>
  </r>
  <r>
    <n v="248"/>
    <s v="已发货"/>
    <s v="C49"/>
    <n v="109421"/>
    <s v="STK"/>
    <s v="YS24"/>
    <s v="L-&gt;R"/>
    <s v="No"/>
    <s v="Y45169"/>
    <n v="1"/>
    <s v="福保仓库"/>
    <d v="2018-12-01T00:00:00"/>
    <n v="6.25E-2"/>
    <x v="7"/>
    <m/>
    <s v="JPY"/>
    <x v="48"/>
    <x v="47"/>
    <x v="7"/>
    <s v="L-&gt;R"/>
    <s v="No"/>
    <s v="OK"/>
  </r>
  <r>
    <n v="211"/>
    <s v="已发货"/>
    <s v="C49"/>
    <n v="109421"/>
    <s v="STK"/>
    <s v="YS24"/>
    <s v="L-&gt;R"/>
    <s v="No"/>
    <s v="Y45174"/>
    <n v="1"/>
    <s v="力合仓库(已经清关)"/>
    <d v="2018-12-01T00:00:00"/>
    <n v="6.25E-2"/>
    <x v="10"/>
    <m/>
    <s v="RMB"/>
    <x v="49"/>
    <x v="48"/>
    <x v="7"/>
    <s v="L-&gt;R"/>
    <s v="No"/>
    <s v="OK"/>
  </r>
  <r>
    <n v="208"/>
    <s v="已发货"/>
    <s v="C49"/>
    <n v="109421"/>
    <s v="STK"/>
    <s v="YS24"/>
    <s v="L-&gt;R"/>
    <s v="No"/>
    <s v="Y45173"/>
    <n v="1"/>
    <s v="力合仓库(已经清关)"/>
    <d v="2018-12-01T00:00:00"/>
    <n v="6.25E-2"/>
    <x v="10"/>
    <m/>
    <s v="RMB"/>
    <x v="50"/>
    <x v="49"/>
    <x v="7"/>
    <s v="L-&gt;R"/>
    <s v="No"/>
    <s v="OK"/>
  </r>
  <r>
    <n v="222"/>
    <s v="已发货"/>
    <s v="C49"/>
    <n v="109388"/>
    <s v="康佳"/>
    <s v="YSM20R(SV)-2"/>
    <s v="L-&gt;R"/>
    <s v="No"/>
    <s v="Y45802"/>
    <n v="1"/>
    <s v="CY仓库"/>
    <d v="2018-12-05T00:00:00"/>
    <n v="6.25E-2"/>
    <x v="2"/>
    <m/>
    <s v="JPY"/>
    <x v="51"/>
    <x v="50"/>
    <x v="3"/>
    <s v="L-&gt;R"/>
    <s v="No"/>
    <s v="OK"/>
  </r>
  <r>
    <n v="131"/>
    <s v="已发货"/>
    <s v="C49"/>
    <n v="109279"/>
    <s v="上达名义"/>
    <s v="YSM20R(SV)-2"/>
    <s v="L-&gt;R"/>
    <s v="No"/>
    <s v="Y45144"/>
    <n v="1"/>
    <s v="CY仓库"/>
    <d v="2018-12-05T00:00:00"/>
    <n v="6.2199999999999998E-2"/>
    <x v="1"/>
    <m/>
    <s v="JPY"/>
    <x v="52"/>
    <x v="10"/>
    <x v="4"/>
    <s v="R-&gt;L"/>
    <s v="No"/>
    <s v="WRONG"/>
  </r>
  <r>
    <n v="132"/>
    <s v="已发货"/>
    <s v="C49"/>
    <n v="109279"/>
    <s v="上达名义"/>
    <s v="YSM20R(SV)-2"/>
    <s v="L-&gt;R"/>
    <s v="No"/>
    <s v="Y46177"/>
    <n v="1"/>
    <s v="CY仓库"/>
    <d v="2018-12-05T00:00:00"/>
    <n v="6.2199999999999998E-2"/>
    <x v="1"/>
    <m/>
    <s v="JPY"/>
    <x v="52"/>
    <x v="10"/>
    <x v="4"/>
    <s v="R-&gt;L"/>
    <s v="No"/>
    <s v="WRONG"/>
  </r>
  <r>
    <n v="119"/>
    <s v="已发货"/>
    <s v="C49"/>
    <n v="109279"/>
    <s v="上达名义"/>
    <s v="YSM20R(SV)-2"/>
    <s v="L-&gt;R"/>
    <s v="No"/>
    <s v="Y45145"/>
    <n v="1"/>
    <s v="CY仓库"/>
    <d v="2018-12-05T00:00:00"/>
    <n v="6.2199999999999998E-2"/>
    <x v="1"/>
    <m/>
    <s v="JPY"/>
    <x v="10"/>
    <x v="10"/>
    <x v="4"/>
    <s v="R-&gt;L"/>
    <s v="No"/>
    <s v="WRONG"/>
  </r>
  <r>
    <n v="182"/>
    <s v="已发货"/>
    <s v="C49"/>
    <n v="109279"/>
    <s v="上达名义"/>
    <s v="YSM20R(SV)-2"/>
    <s v="L-&gt;R"/>
    <s v="No"/>
    <s v="Y45796"/>
    <n v="1"/>
    <s v="CY仓库"/>
    <d v="2018-12-05T00:00:00"/>
    <n v="6.2199999999999998E-2"/>
    <x v="1"/>
    <m/>
    <s v="JPY"/>
    <x v="53"/>
    <x v="27"/>
    <x v="4"/>
    <s v="L-&gt;R"/>
    <s v="No"/>
    <s v="OK"/>
  </r>
  <r>
    <n v="209"/>
    <s v="已发货"/>
    <s v="C49"/>
    <n v="109388"/>
    <s v="康佳"/>
    <s v="YSM20R(SV)-2"/>
    <s v="L-&gt;R"/>
    <s v="No"/>
    <s v="Y45800"/>
    <n v="1"/>
    <s v="力合仓库(已经清关)"/>
    <d v="2018-12-05T00:00:00"/>
    <n v="6.25E-2"/>
    <x v="10"/>
    <m/>
    <s v="RMB"/>
    <x v="54"/>
    <x v="51"/>
    <x v="4"/>
    <s v="L-&gt;R"/>
    <s v="No"/>
    <s v="OK"/>
  </r>
  <r>
    <n v="210"/>
    <s v="已发货"/>
    <s v="C49"/>
    <n v="109388"/>
    <s v="康佳"/>
    <s v="YSM20R(SV)-2"/>
    <s v="L-&gt;R"/>
    <s v="No"/>
    <s v="Y45801"/>
    <n v="1"/>
    <s v="力合仓库(已经清关)"/>
    <d v="2018-12-05T00:00:00"/>
    <n v="6.25E-2"/>
    <x v="10"/>
    <m/>
    <s v="RMB"/>
    <x v="54"/>
    <x v="51"/>
    <x v="4"/>
    <s v="L-&gt;R"/>
    <s v="No"/>
    <s v="OK"/>
  </r>
  <r>
    <n v="320"/>
    <s v="已发货"/>
    <s v="C49"/>
    <n v="109454"/>
    <s v="STK"/>
    <s v="YSM10"/>
    <s v="L-&gt;R"/>
    <s v="No"/>
    <s v="Y45758"/>
    <n v="1"/>
    <s v="福保仓库"/>
    <d v="2018-12-08T00:00:00"/>
    <n v="6.2199999999999998E-2"/>
    <x v="12"/>
    <m/>
    <s v="RMB"/>
    <x v="55"/>
    <x v="49"/>
    <x v="1"/>
    <s v="R-&gt;L"/>
    <s v="MVC"/>
    <s v="WRONG"/>
  </r>
  <r>
    <n v="314"/>
    <s v="已发货"/>
    <s v="C49"/>
    <n v="109454"/>
    <s v="STK"/>
    <s v="YSM10"/>
    <s v="L-&gt;R"/>
    <s v="MVC+Rear 站位"/>
    <s v="Y45759"/>
    <n v="1"/>
    <s v="力合仓库(已经清关)"/>
    <d v="2018-12-08T00:00:00"/>
    <n v="6.2199999999999998E-2"/>
    <x v="12"/>
    <m/>
    <s v="RMB"/>
    <x v="56"/>
    <x v="52"/>
    <x v="1"/>
    <s v="R-&gt;L"/>
    <s v="Rear站位"/>
    <s v="WRONG"/>
  </r>
  <r>
    <n v="236"/>
    <s v="已发货"/>
    <s v="C49"/>
    <n v="109454"/>
    <s v="STK"/>
    <s v="YSM10"/>
    <s v="L-&gt;R"/>
    <s v="MVC+ATS15"/>
    <s v="Y45763"/>
    <n v="1"/>
    <s v="盐保仓库"/>
    <d v="2018-12-08T00:00:00"/>
    <n v="6.2199999999999998E-2"/>
    <x v="7"/>
    <m/>
    <s v="JPY"/>
    <x v="57"/>
    <x v="20"/>
    <x v="1"/>
    <s v="L-&gt;R"/>
    <s v="MVC+ATS15"/>
    <s v="OK"/>
  </r>
  <r>
    <n v="202"/>
    <s v="已发货"/>
    <s v="C49"/>
    <n v="109454"/>
    <s v="STK"/>
    <s v="YSM10"/>
    <s v="L-&gt;R"/>
    <s v="MVC+ATS15"/>
    <s v="Y45764"/>
    <n v="1"/>
    <s v="盐保仓库"/>
    <d v="2018-12-08T00:00:00"/>
    <n v="6.2199999999999998E-2"/>
    <x v="12"/>
    <m/>
    <s v="JPY"/>
    <x v="58"/>
    <x v="53"/>
    <x v="1"/>
    <s v="L-&gt;R"/>
    <s v="MVC+ATS15"/>
    <s v="OK"/>
  </r>
  <r>
    <n v="327"/>
    <s v="已发货"/>
    <s v="C49"/>
    <n v="109454"/>
    <s v="STK"/>
    <s v="YSM10"/>
    <s v="L-&gt;R"/>
    <s v="MVC+ATS15"/>
    <s v="Y45765"/>
    <n v="1"/>
    <s v="盐保仓库"/>
    <d v="2018-12-08T00:00:00"/>
    <n v="6.2199999999999998E-2"/>
    <x v="12"/>
    <m/>
    <s v="JPY"/>
    <x v="59"/>
    <x v="54"/>
    <x v="1"/>
    <s v="L-&gt;R"/>
    <s v="MVC+ATS15"/>
    <s v="OK"/>
  </r>
  <r>
    <n v="237"/>
    <s v="已发货"/>
    <s v="C49"/>
    <n v="109454"/>
    <s v="STK"/>
    <s v="YSM10"/>
    <s v="L-&gt;R"/>
    <s v="MVC+ATS15"/>
    <s v="Y45766"/>
    <n v="1"/>
    <s v="盐保仓库"/>
    <d v="2018-12-08T00:00:00"/>
    <n v="6.2199999999999998E-2"/>
    <x v="12"/>
    <m/>
    <s v="RMB"/>
    <x v="60"/>
    <x v="55"/>
    <x v="1"/>
    <s v="R-&gt;L"/>
    <s v="MVC+ATS15"/>
    <s v="WRONG"/>
  </r>
  <r>
    <n v="197"/>
    <s v="已发货"/>
    <s v="C49"/>
    <n v="109454"/>
    <s v="STK"/>
    <s v="YSM10"/>
    <s v="L-&gt;R"/>
    <s v="MVC"/>
    <s v="Y45760"/>
    <n v="1"/>
    <s v="盐保仓库"/>
    <d v="2018-12-08T00:00:00"/>
    <n v="6.2199999999999998E-2"/>
    <x v="7"/>
    <m/>
    <s v="JPY"/>
    <x v="61"/>
    <x v="56"/>
    <x v="1"/>
    <s v="L-&gt;R"/>
    <s v="MVC"/>
    <s v="OK"/>
  </r>
  <r>
    <n v="199"/>
    <s v="已发货"/>
    <s v="C49"/>
    <n v="109454"/>
    <s v="STK"/>
    <s v="YSM10"/>
    <s v="L-&gt;R"/>
    <s v="MVC"/>
    <s v="Y45761"/>
    <n v="1"/>
    <s v="盐保仓库"/>
    <d v="2018-12-08T00:00:00"/>
    <n v="6.2199999999999998E-2"/>
    <x v="7"/>
    <m/>
    <s v="JPY"/>
    <x v="61"/>
    <x v="56"/>
    <x v="1"/>
    <s v="L-&gt;R"/>
    <s v="MVC"/>
    <s v="OK"/>
  </r>
  <r>
    <n v="336"/>
    <s v="已发货"/>
    <s v="C49"/>
    <n v="109454"/>
    <s v="STK"/>
    <s v="YSM10"/>
    <s v="L-&gt;R"/>
    <s v="MVC"/>
    <s v="Y45762"/>
    <n v="1"/>
    <s v="盐保仓库"/>
    <d v="2018-12-08T00:00:00"/>
    <n v="6.2199999999999998E-2"/>
    <x v="11"/>
    <m/>
    <s v="RMB"/>
    <x v="62"/>
    <x v="57"/>
    <x v="1"/>
    <s v="R-&gt;L"/>
    <s v="MVC"/>
    <s v="WRONG"/>
  </r>
  <r>
    <n v="203"/>
    <s v="已发货"/>
    <s v="C49"/>
    <n v="109454"/>
    <s v="STK"/>
    <s v="YSM10"/>
    <s v="L-&gt;R"/>
    <s v="No"/>
    <m/>
    <n v="1"/>
    <s v="盐保仓库"/>
    <d v="2018-12-08T00:00:00"/>
    <n v="6.2199999999999998E-2"/>
    <x v="12"/>
    <m/>
    <s v="JPY"/>
    <x v="58"/>
    <x v="53"/>
    <x v="1"/>
    <s v="L-&gt;R"/>
    <s v="MVC"/>
    <s v="WRONG"/>
  </r>
  <r>
    <n v="7"/>
    <s v="已发货"/>
    <s v="C49"/>
    <n v="109422"/>
    <s v="STK"/>
    <s v="YS24"/>
    <s v="R-&gt;L"/>
    <s v="No"/>
    <s v="Y45177"/>
    <n v="1"/>
    <s v="CY仓库"/>
    <d v="2018-12-12T00:00:00"/>
    <n v="6.25E-2"/>
    <x v="1"/>
    <m/>
    <s v="JPY"/>
    <x v="63"/>
    <x v="58"/>
    <x v="7"/>
    <s v="R-&gt;L"/>
    <s v="No"/>
    <s v="OK"/>
  </r>
  <r>
    <n v="239"/>
    <s v="已发货"/>
    <s v="C49"/>
    <n v="109422"/>
    <s v="STK"/>
    <s v="YS24"/>
    <s v="L-&gt;R"/>
    <s v="No"/>
    <s v="Y45165"/>
    <n v="1"/>
    <s v="盐保仓库"/>
    <d v="2018-12-12T00:00:00"/>
    <n v="6.25E-2"/>
    <x v="7"/>
    <m/>
    <s v="JPY"/>
    <x v="64"/>
    <x v="59"/>
    <x v="7"/>
    <s v="L-&gt;R"/>
    <s v="No"/>
    <s v="OK"/>
  </r>
  <r>
    <n v="240"/>
    <s v="已发货"/>
    <s v="C49"/>
    <n v="109422"/>
    <s v="STK"/>
    <s v="YS24"/>
    <s v="L-&gt;R"/>
    <s v="No"/>
    <s v="Y45166"/>
    <n v="1"/>
    <s v="盐保仓库"/>
    <d v="2018-12-12T00:00:00"/>
    <n v="6.25E-2"/>
    <x v="7"/>
    <m/>
    <s v="JPY"/>
    <x v="64"/>
    <x v="59"/>
    <x v="7"/>
    <s v="L-&gt;R"/>
    <s v="No"/>
    <s v="OK"/>
  </r>
  <r>
    <n v="241"/>
    <s v="已发货"/>
    <s v="C49"/>
    <n v="109422"/>
    <s v="STK"/>
    <s v="YS24"/>
    <s v="L-&gt;R"/>
    <s v="No"/>
    <s v="Y45156"/>
    <n v="1"/>
    <s v="盐保仓库"/>
    <d v="2018-12-12T00:00:00"/>
    <n v="6.25E-2"/>
    <x v="7"/>
    <m/>
    <s v="JPY"/>
    <x v="64"/>
    <x v="59"/>
    <x v="7"/>
    <s v="L-&gt;R"/>
    <s v="No"/>
    <s v="OK"/>
  </r>
  <r>
    <n v="233"/>
    <s v="已发货"/>
    <s v="C49"/>
    <n v="109422"/>
    <s v="STK"/>
    <s v="YS24"/>
    <s v="L-&gt;R"/>
    <s v="No"/>
    <s v="Y45159"/>
    <n v="1"/>
    <s v="盐保仓库"/>
    <d v="2018-12-12T00:00:00"/>
    <n v="6.25E-2"/>
    <x v="8"/>
    <m/>
    <s v="RMB"/>
    <x v="27"/>
    <x v="26"/>
    <x v="7"/>
    <s v="L-&gt;R"/>
    <s v="No"/>
    <s v="OK"/>
  </r>
  <r>
    <n v="50"/>
    <s v="已发货"/>
    <s v="C49"/>
    <n v="109237"/>
    <s v="朗特名义"/>
    <s v="YSM20R(SV)-2"/>
    <s v="R-&gt;L"/>
    <s v="No"/>
    <s v="Y44944"/>
    <n v="1"/>
    <s v="码头"/>
    <d v="2018-12-19T00:00:00"/>
    <n v="6.25E-2"/>
    <x v="1"/>
    <m/>
    <s v="JPY"/>
    <x v="65"/>
    <x v="10"/>
    <x v="3"/>
    <s v="R-&gt;L"/>
    <s v="No"/>
    <s v="OK"/>
  </r>
  <r>
    <n v="51"/>
    <s v="已发货"/>
    <s v="C49"/>
    <n v="109237"/>
    <s v="朗特名义"/>
    <s v="YSM20R(SV)-2"/>
    <s v="R-&gt;L"/>
    <s v="No"/>
    <s v="Y44945"/>
    <n v="1"/>
    <s v="码头"/>
    <d v="2018-12-19T00:00:00"/>
    <n v="6.25E-2"/>
    <x v="1"/>
    <m/>
    <s v="JPY"/>
    <x v="65"/>
    <x v="10"/>
    <x v="3"/>
    <s v="R-&gt;L"/>
    <s v="No"/>
    <s v="OK"/>
  </r>
  <r>
    <n v="101"/>
    <s v="已发货"/>
    <s v="C49"/>
    <n v="109423"/>
    <s v="STK"/>
    <s v="YS24"/>
    <s v="R-&gt;L"/>
    <s v="No"/>
    <s v="Y45178"/>
    <n v="1"/>
    <s v="码头"/>
    <d v="2018-12-21T00:00:00"/>
    <n v="6.25E-2"/>
    <x v="1"/>
    <m/>
    <s v="JPY"/>
    <x v="66"/>
    <x v="60"/>
    <x v="7"/>
    <s v="R-&gt;L"/>
    <s v="No"/>
    <s v="OK"/>
  </r>
  <r>
    <n v="129"/>
    <s v="已发货"/>
    <s v="C49"/>
    <n v="109443"/>
    <s v="英拓邦名义"/>
    <s v="YSM20R(SV)-2"/>
    <s v="L-&gt;R"/>
    <s v="No"/>
    <s v="Y45853"/>
    <n v="1"/>
    <s v="CY仓库"/>
    <d v="2019-02-13T00:00:00"/>
    <n v="6.2899999999999998E-2"/>
    <x v="10"/>
    <m/>
    <s v="JPY"/>
    <x v="67"/>
    <x v="61"/>
    <x v="4"/>
    <s v="L-&gt;R"/>
    <s v="No"/>
    <s v="OK"/>
  </r>
  <r>
    <n v="189"/>
    <s v="已发货"/>
    <s v="C49"/>
    <n v="109443"/>
    <s v="英拓邦名义"/>
    <s v="YSM20R(SV)-2"/>
    <s v="L-&gt;R"/>
    <s v="No"/>
    <s v="Y45852"/>
    <n v="1"/>
    <s v="CY仓库"/>
    <d v="2019-02-13T00:00:00"/>
    <n v="6.2899999999999998E-2"/>
    <x v="10"/>
    <m/>
    <s v="RMB"/>
    <x v="68"/>
    <x v="62"/>
    <x v="4"/>
    <s v="L-&gt;R"/>
    <s v="No"/>
    <s v="OK"/>
  </r>
  <r>
    <n v="100"/>
    <s v="已发货"/>
    <s v="C49"/>
    <n v="109446"/>
    <s v="小耳朵名义，IND"/>
    <s v="YSM20R(SV)-2"/>
    <s v="L-&gt;R"/>
    <s v="cATS30+MVC+special layout"/>
    <s v="Y46916"/>
    <n v="1"/>
    <s v="CY仓库"/>
    <d v="2019-02-16T00:00:00"/>
    <n v="6.2899999999999998E-2"/>
    <x v="10"/>
    <m/>
    <s v="JPY"/>
    <x v="69"/>
    <x v="63"/>
    <x v="3"/>
    <s v="L-&gt;R"/>
    <s v="cATS30+MVC+special layout"/>
    <s v="OK"/>
  </r>
  <r>
    <n v="130"/>
    <s v="已发货"/>
    <s v="C49"/>
    <n v="109490"/>
    <s v="朗特名义"/>
    <s v="YSM20R(SV)-2"/>
    <s v="R-&gt;L"/>
    <s v="No"/>
    <s v="Y44946"/>
    <n v="1"/>
    <s v="CY仓库"/>
    <d v="2019-02-16T00:00:00"/>
    <n v="6.2899999999999998E-2"/>
    <x v="10"/>
    <m/>
    <s v="JPY"/>
    <x v="67"/>
    <x v="61"/>
    <x v="4"/>
    <s v="R-&gt;L"/>
    <s v="No"/>
    <s v="OK"/>
  </r>
  <r>
    <n v="183"/>
    <s v="已发货"/>
    <s v="C49"/>
    <n v="109490"/>
    <s v="朗特名义"/>
    <s v="YSM20R(SV)-2"/>
    <s v="R-&gt;L"/>
    <s v="No"/>
    <s v="Y44947"/>
    <n v="1"/>
    <s v="CY仓库"/>
    <d v="2019-02-16T00:00:00"/>
    <n v="6.2899999999999998E-2"/>
    <x v="10"/>
    <m/>
    <s v="JPY"/>
    <x v="70"/>
    <x v="43"/>
    <x v="4"/>
    <s v="R-&gt;L"/>
    <s v="MVC"/>
    <s v="WRONG"/>
  </r>
  <r>
    <n v="196"/>
    <s v="已发货"/>
    <s v="C49"/>
    <n v="109478"/>
    <s v="康佳"/>
    <s v="YSM20R(SV)-2"/>
    <s v="L-&gt;R"/>
    <s v="No"/>
    <s v="Y45803"/>
    <n v="1"/>
    <s v="福保仓库"/>
    <d v="2019-02-16T00:00:00"/>
    <n v="6.2899999999999998E-2"/>
    <x v="7"/>
    <m/>
    <s v="JPY"/>
    <x v="61"/>
    <x v="56"/>
    <x v="4"/>
    <s v="L-&gt;R"/>
    <s v="No"/>
    <s v="OK"/>
  </r>
  <r>
    <n v="198"/>
    <s v="已发货"/>
    <s v="C49"/>
    <n v="109478"/>
    <s v="康佳"/>
    <s v="YSM20R(SV)-2"/>
    <s v="L-&gt;R"/>
    <s v="No"/>
    <s v="Y45804"/>
    <n v="1"/>
    <s v="福保仓库"/>
    <d v="2019-02-16T00:00:00"/>
    <n v="6.2899999999999998E-2"/>
    <x v="7"/>
    <m/>
    <s v="JPY"/>
    <x v="61"/>
    <x v="56"/>
    <x v="4"/>
    <s v="L-&gt;R"/>
    <s v="No"/>
    <s v="OK"/>
  </r>
  <r>
    <n v="252"/>
    <s v="已发货"/>
    <s v="C49"/>
    <n v="109478"/>
    <s v="康佳"/>
    <s v="YSM20R(SV)-2"/>
    <s v="L-&gt;R"/>
    <s v="No"/>
    <s v="Y45805"/>
    <n v="1"/>
    <s v="福保仓库"/>
    <d v="2019-02-16T00:00:00"/>
    <n v="6.2899999999999998E-2"/>
    <x v="8"/>
    <m/>
    <s v="JPY"/>
    <x v="29"/>
    <x v="28"/>
    <x v="4"/>
    <s v="L-&gt;R"/>
    <s v="No"/>
    <s v="OK"/>
  </r>
  <r>
    <n v="436"/>
    <s v="已发货"/>
    <s v="C49"/>
    <n v="109383"/>
    <s v="易而达名义"/>
    <s v="YSM20R(SV)-2"/>
    <s v="L-&gt;R"/>
    <s v="cATS10+MVC+special layout"/>
    <s v="Y46530"/>
    <n v="1"/>
    <s v="盐保仓库"/>
    <d v="2019-02-16T00:00:00"/>
    <n v="6.2899999999999998E-2"/>
    <x v="14"/>
    <d v="1905-07-11T00:14:24"/>
    <s v="RMB"/>
    <x v="71"/>
    <x v="64"/>
    <x v="4"/>
    <s v="L-&gt;R"/>
    <s v="cATS10+MVC+special layout"/>
    <s v="OK"/>
  </r>
  <r>
    <n v="283"/>
    <s v="已发货"/>
    <s v="C49"/>
    <n v="109383"/>
    <s v="易而达名义"/>
    <s v="YSM20R(SV)-2"/>
    <s v="L-&gt;R"/>
    <s v="No"/>
    <s v="Y46529"/>
    <n v="1"/>
    <s v="盐保仓库"/>
    <d v="2019-02-16T00:00:00"/>
    <n v="6.2899999999999998E-2"/>
    <x v="8"/>
    <m/>
    <s v="JPY"/>
    <x v="72"/>
    <x v="39"/>
    <x v="4"/>
    <s v="L-&gt;R"/>
    <s v="MVC"/>
    <s v="WRONG"/>
  </r>
  <r>
    <n v="151"/>
    <s v="已发货"/>
    <s v="C49"/>
    <n v="109220"/>
    <s v="丰硕名义"/>
    <s v="YSM20R(SV)-2"/>
    <s v="L-&gt;R"/>
    <s v="No"/>
    <s v="Y44573"/>
    <n v="1"/>
    <s v="CY仓库"/>
    <d v="2019-02-22T00:00:00"/>
    <n v="6.2899999999999998E-2"/>
    <x v="8"/>
    <m/>
    <s v="JPY"/>
    <x v="73"/>
    <x v="65"/>
    <x v="4"/>
    <s v="L-&gt;R"/>
    <s v="No"/>
    <s v="OK"/>
  </r>
  <r>
    <n v="150"/>
    <s v="已发货"/>
    <s v="C49"/>
    <n v="109220"/>
    <s v="丰硕名义"/>
    <s v="YSM20R(SV)-2"/>
    <s v="L-&gt;R"/>
    <s v="No"/>
    <s v="Y44574"/>
    <n v="1"/>
    <s v="CY仓库"/>
    <d v="2019-02-22T00:00:00"/>
    <n v="6.2899999999999998E-2"/>
    <x v="8"/>
    <m/>
    <s v="JPY"/>
    <x v="73"/>
    <x v="65"/>
    <x v="4"/>
    <s v="L-&gt;R"/>
    <s v="No"/>
    <s v="OK"/>
  </r>
  <r>
    <n v="184"/>
    <s v="已发货"/>
    <s v="C49"/>
    <n v="109220"/>
    <s v="丰硕名义"/>
    <s v="YSM20R(SV)-2"/>
    <s v="L-&gt;R"/>
    <s v="MVC"/>
    <s v="Y44571"/>
    <n v="1"/>
    <s v="CY仓库"/>
    <d v="2019-02-22T00:00:00"/>
    <n v="6.2899999999999998E-2"/>
    <x v="7"/>
    <m/>
    <s v="JPY"/>
    <x v="74"/>
    <x v="20"/>
    <x v="4"/>
    <s v="L-&gt;R"/>
    <s v="MVC"/>
    <s v="OK"/>
  </r>
  <r>
    <n v="185"/>
    <s v="已发货"/>
    <s v="C49"/>
    <n v="109220"/>
    <s v="丰硕名义"/>
    <s v="YSM20R(SV)-2"/>
    <s v="L-&gt;R"/>
    <s v="MVC"/>
    <s v="Y44572"/>
    <n v="1"/>
    <s v="CY仓库"/>
    <d v="2019-02-22T00:00:00"/>
    <n v="6.2899999999999998E-2"/>
    <x v="7"/>
    <m/>
    <s v="JPY"/>
    <x v="74"/>
    <x v="20"/>
    <x v="4"/>
    <s v="L-&gt;R"/>
    <s v="MVC"/>
    <s v="OK"/>
  </r>
  <r>
    <n v="229"/>
    <s v="已发货"/>
    <s v="C49"/>
    <n v="109393"/>
    <s v="上达名义"/>
    <s v="YSM20R(SV)-2"/>
    <s v="L-&gt;R"/>
    <s v="No"/>
    <s v="Y45143"/>
    <n v="1"/>
    <s v="CY仓库"/>
    <d v="2019-02-22T00:00:00"/>
    <n v="6.2899999999999998E-2"/>
    <x v="7"/>
    <m/>
    <s v="JPY"/>
    <x v="75"/>
    <x v="66"/>
    <x v="4"/>
    <s v="L-&gt;R"/>
    <s v="MVC"/>
    <s v="WRONG"/>
  </r>
  <r>
    <n v="228"/>
    <s v="已发货"/>
    <s v="C49"/>
    <n v="109393"/>
    <s v="上达名义"/>
    <s v="YSM20R(SV)-2"/>
    <s v="L-&gt;R"/>
    <s v="No"/>
    <s v="Y45146"/>
    <n v="1"/>
    <s v="CY仓库"/>
    <d v="2019-02-22T00:00:00"/>
    <n v="6.2899999999999998E-2"/>
    <x v="7"/>
    <m/>
    <s v="JPY"/>
    <x v="75"/>
    <x v="66"/>
    <x v="4"/>
    <s v="L-&gt;R"/>
    <s v="MVC"/>
    <s v="WRONG"/>
  </r>
  <r>
    <n v="227"/>
    <s v="已发货"/>
    <s v="C49"/>
    <n v="109393"/>
    <s v="上达名义"/>
    <s v="YSM20R(SV)-2"/>
    <s v="L-&gt;R"/>
    <s v="No"/>
    <s v="Y45147"/>
    <n v="1"/>
    <s v="CY仓库"/>
    <d v="2019-02-22T00:00:00"/>
    <n v="6.2899999999999998E-2"/>
    <x v="7"/>
    <m/>
    <s v="JPY"/>
    <x v="75"/>
    <x v="66"/>
    <x v="4"/>
    <s v="L-&gt;R"/>
    <s v="MVC"/>
    <s v="WRONG"/>
  </r>
  <r>
    <n v="81"/>
    <s v="已发货"/>
    <s v="C49"/>
    <n v="109431"/>
    <s v="安嘉名义"/>
    <s v="YSM20R(SV)-2"/>
    <s v="L-&gt;R"/>
    <s v="No"/>
    <s v="Y46853"/>
    <n v="1"/>
    <s v="CY仓库"/>
    <d v="2019-03-03T00:00:00"/>
    <n v="6.2E-2"/>
    <x v="7"/>
    <m/>
    <s v="JPY"/>
    <x v="11"/>
    <x v="11"/>
    <x v="3"/>
    <s v="L-&gt;R"/>
    <s v="No"/>
    <s v="OK"/>
  </r>
  <r>
    <n v="238"/>
    <s v="已发货"/>
    <s v="C49"/>
    <n v="109431"/>
    <s v="安嘉名义"/>
    <s v="YSM20R(SV)-2"/>
    <s v="R-&gt;L"/>
    <s v="No"/>
    <s v="Y46852"/>
    <n v="1"/>
    <s v="CY仓库"/>
    <d v="2019-03-03T00:00:00"/>
    <n v="6.2E-2"/>
    <x v="7"/>
    <m/>
    <s v="JPY"/>
    <x v="76"/>
    <x v="67"/>
    <x v="4"/>
    <s v="R-&gt;L"/>
    <s v="MVC"/>
    <s v="WRONG"/>
  </r>
  <r>
    <n v="338"/>
    <s v="已发货"/>
    <s v="C49"/>
    <n v="109247"/>
    <s v="栩骊名义"/>
    <s v="YSM20R(SV)-2"/>
    <s v="L-&gt;R"/>
    <s v="No"/>
    <s v="Y45093"/>
    <n v="1"/>
    <s v="力合仓库(已经清关)"/>
    <d v="2019-03-03T00:00:00"/>
    <n v="6.2E-2"/>
    <x v="12"/>
    <d v="1905-07-11T00:14:24"/>
    <s v="RMB"/>
    <x v="77"/>
    <x v="12"/>
    <x v="4"/>
    <s v="L-&gt;R"/>
    <s v="No"/>
    <s v="OK"/>
  </r>
  <r>
    <s v="浙江金子星"/>
    <s v="已发货"/>
    <s v="C49"/>
    <n v="109247"/>
    <s v="栩骊名义"/>
    <s v="YSM20R(SV)-2"/>
    <s v="L-&gt;R"/>
    <s v="cATS10+MVC+special layout"/>
    <s v="Y45087"/>
    <n v="1"/>
    <s v="力合中转仓"/>
    <d v="2019-03-03T00:00:00"/>
    <n v="6.2E-2"/>
    <x v="0"/>
    <d v="1905-07-11T00:28:48"/>
    <e v="#N/A"/>
    <x v="42"/>
    <x v="41"/>
    <x v="6"/>
    <e v="#N/A"/>
    <e v="#N/A"/>
    <e v="#N/A"/>
  </r>
  <r>
    <n v="105"/>
    <s v="已发货"/>
    <s v="C49"/>
    <n v="109247"/>
    <s v="栩骊名义"/>
    <s v="YSM20R(SV)-2"/>
    <s v="L-&gt;R"/>
    <s v="No"/>
    <s v="Y45090"/>
    <n v="1"/>
    <s v="盐保仓库"/>
    <d v="2019-03-03T00:00:00"/>
    <n v="6.2E-2"/>
    <x v="8"/>
    <m/>
    <s v="JPY"/>
    <x v="78"/>
    <x v="68"/>
    <x v="3"/>
    <s v="R-&gt;L"/>
    <s v="No"/>
    <s v="WRONG"/>
  </r>
  <r>
    <n v="328"/>
    <s v="已发货"/>
    <s v="C49"/>
    <n v="109247"/>
    <s v="栩骊名义"/>
    <s v="YSM20R(SV)-2"/>
    <s v="L-&gt;R"/>
    <s v="No"/>
    <s v="Y45091"/>
    <n v="1"/>
    <s v="盐保仓库"/>
    <d v="2019-03-03T00:00:00"/>
    <n v="6.2E-2"/>
    <x v="12"/>
    <m/>
    <s v="JPY"/>
    <x v="59"/>
    <x v="54"/>
    <x v="4"/>
    <s v="L-&gt;R"/>
    <s v="No"/>
    <s v="OK"/>
  </r>
  <r>
    <n v="329"/>
    <s v="已发货"/>
    <s v="C49"/>
    <n v="109247"/>
    <s v="栩骊名义"/>
    <s v="YSM20R(SV)-2"/>
    <s v="L-&gt;R"/>
    <s v="No"/>
    <s v="Y45092"/>
    <n v="1"/>
    <s v="盐保仓库"/>
    <d v="2019-03-03T00:00:00"/>
    <n v="6.2E-2"/>
    <x v="12"/>
    <m/>
    <s v="JPY"/>
    <x v="59"/>
    <x v="54"/>
    <x v="4"/>
    <s v="L-&gt;R"/>
    <s v="No"/>
    <s v="OK"/>
  </r>
  <r>
    <n v="437"/>
    <s v="已发货"/>
    <s v="C49"/>
    <n v="109247"/>
    <s v="栩骊名义"/>
    <s v="YSM20R(SV)-2"/>
    <s v="L-&gt;R"/>
    <s v="cATS10+MVC+special layout"/>
    <s v="Y45086"/>
    <n v="1"/>
    <s v="盐保仓库"/>
    <d v="2019-03-03T00:00:00"/>
    <n v="6.2E-2"/>
    <x v="14"/>
    <d v="1905-07-11T00:28:48"/>
    <s v="RMB"/>
    <x v="71"/>
    <x v="64"/>
    <x v="4"/>
    <s v="L-&gt;R"/>
    <s v="cATS10+MVC+special layout"/>
    <s v="OK"/>
  </r>
  <r>
    <n v="439"/>
    <s v="已发货"/>
    <s v="C49"/>
    <n v="109247"/>
    <s v="栩骊名义"/>
    <s v="YSM20R(SV)-2"/>
    <s v="L-&gt;R"/>
    <s v="cATS10+MVC+special layout"/>
    <s v="Y46872"/>
    <n v="1"/>
    <s v="盐保仓库"/>
    <d v="2019-03-03T00:00:00"/>
    <n v="6.2E-2"/>
    <x v="15"/>
    <d v="1905-07-11T00:28:48"/>
    <s v="USD"/>
    <x v="79"/>
    <x v="69"/>
    <x v="4"/>
    <s v="L-&gt;R"/>
    <s v="cATS10+MVC+special layout"/>
    <s v="OK"/>
  </r>
  <r>
    <n v="251"/>
    <s v="已发货"/>
    <s v="C49"/>
    <n v="109247"/>
    <s v="栩骊名义"/>
    <s v="YSM20R(SV)-2"/>
    <s v="L-&gt;R"/>
    <s v="No"/>
    <s v="Y45089"/>
    <n v="1"/>
    <s v="盐保仓库"/>
    <d v="2019-03-03T00:00:00"/>
    <n v="6.2E-2"/>
    <x v="8"/>
    <m/>
    <s v="JPY"/>
    <x v="80"/>
    <x v="70"/>
    <x v="4"/>
    <s v="L-&gt;R"/>
    <s v="No"/>
    <s v="OK"/>
  </r>
  <r>
    <n v="279"/>
    <s v="已发货"/>
    <s v="C49"/>
    <n v="109247"/>
    <s v="栩骊名义"/>
    <s v="YSM20R(SV)-2"/>
    <s v="L-&gt;R"/>
    <s v="No"/>
    <s v="Y45094"/>
    <n v="1"/>
    <s v="盐保仓库"/>
    <d v="2019-03-03T00:00:00"/>
    <n v="6.2E-2"/>
    <x v="8"/>
    <m/>
    <s v="JPY"/>
    <x v="81"/>
    <x v="35"/>
    <x v="4"/>
    <s v="L-&gt;R"/>
    <s v="MVC"/>
    <s v="WRONG"/>
  </r>
  <r>
    <n v="84"/>
    <s v="已发货"/>
    <s v="C49"/>
    <n v="109430"/>
    <s v="瑞福联名义"/>
    <s v="YSM20R(SV)-2"/>
    <s v="L-&gt;R"/>
    <s v="No"/>
    <s v="Y46848"/>
    <n v="1"/>
    <s v="码头"/>
    <d v="2019-03-06T00:00:00"/>
    <n v="6.2E-2"/>
    <x v="7"/>
    <m/>
    <s v="JPY"/>
    <x v="11"/>
    <x v="11"/>
    <x v="3"/>
    <s v="L-&gt;R"/>
    <s v="No"/>
    <s v="OK"/>
  </r>
  <r>
    <n v="80"/>
    <s v="已发货"/>
    <s v="C49"/>
    <n v="109430"/>
    <s v="瑞福联名义"/>
    <s v="YSM20R(SV)-2"/>
    <s v="L-&gt;R"/>
    <s v="No"/>
    <s v="Y46849"/>
    <n v="1"/>
    <s v="码头"/>
    <d v="2019-03-06T00:00:00"/>
    <n v="6.2E-2"/>
    <x v="7"/>
    <m/>
    <s v="JPY"/>
    <x v="11"/>
    <x v="11"/>
    <x v="3"/>
    <s v="L-&gt;R"/>
    <s v="No"/>
    <s v="OK"/>
  </r>
  <r>
    <n v="82"/>
    <s v="已发货"/>
    <s v="C49"/>
    <n v="109430"/>
    <s v="瑞福联名义"/>
    <s v="YSM20R(SV)-2"/>
    <s v="L-&gt;R"/>
    <s v="No"/>
    <s v="Y46850"/>
    <n v="1"/>
    <s v="码头"/>
    <d v="2019-03-06T00:00:00"/>
    <n v="6.2E-2"/>
    <x v="7"/>
    <m/>
    <s v="JPY"/>
    <x v="11"/>
    <x v="11"/>
    <x v="3"/>
    <s v="L-&gt;R"/>
    <s v="No"/>
    <s v="OK"/>
  </r>
  <r>
    <n v="83"/>
    <s v="已发货"/>
    <s v="C49"/>
    <n v="109430"/>
    <s v="瑞福联名义"/>
    <s v="YSM20R(SV)-2"/>
    <s v="L-&gt;R"/>
    <s v="No"/>
    <s v="Y46851"/>
    <n v="1"/>
    <s v="码头"/>
    <d v="2019-03-06T00:00:00"/>
    <n v="6.2E-2"/>
    <x v="7"/>
    <m/>
    <s v="JPY"/>
    <x v="11"/>
    <x v="11"/>
    <x v="3"/>
    <s v="L-&gt;R"/>
    <s v="No"/>
    <s v="OK"/>
  </r>
  <r>
    <n v="268"/>
    <s v="已发货"/>
    <s v="C49"/>
    <n v="109319"/>
    <s v="深台名义"/>
    <s v="YSM20R(SV)-2"/>
    <s v="L-&gt;R"/>
    <s v="No"/>
    <s v="Y45958"/>
    <n v="1"/>
    <s v="CY仓库"/>
    <d v="2019-03-13T00:00:00"/>
    <n v="6.2E-2"/>
    <x v="7"/>
    <m/>
    <s v="JPY"/>
    <x v="82"/>
    <x v="71"/>
    <x v="4"/>
    <s v="L-&gt;R"/>
    <s v="No"/>
    <s v="OK"/>
  </r>
  <r>
    <n v="270"/>
    <s v="已发货"/>
    <s v="C49"/>
    <n v="109389"/>
    <s v="立昇名义"/>
    <s v="YSM20R(SV)-2"/>
    <s v="L-&gt;R"/>
    <s v="No"/>
    <s v="Y45376"/>
    <n v="1"/>
    <s v="福保仓库"/>
    <d v="2019-03-13T00:00:00"/>
    <n v="6.2E-2"/>
    <x v="8"/>
    <m/>
    <s v="JPY"/>
    <x v="83"/>
    <x v="1"/>
    <x v="4"/>
    <s v="L-&gt;R"/>
    <s v="No"/>
    <s v="OK"/>
  </r>
  <r>
    <n v="284"/>
    <s v="已发货"/>
    <s v="C49"/>
    <n v="109389"/>
    <s v="立昇名义"/>
    <s v="YSM20R(SV)-2"/>
    <s v="L-&gt;R"/>
    <s v="No"/>
    <s v="Y45377"/>
    <n v="1"/>
    <s v="福保仓库"/>
    <d v="2019-03-13T00:00:00"/>
    <n v="6.2E-2"/>
    <x v="11"/>
    <m/>
    <s v="JPY"/>
    <x v="84"/>
    <x v="72"/>
    <x v="4"/>
    <s v="L-&gt;R"/>
    <s v="MVC"/>
    <s v="WRONG"/>
  </r>
  <r>
    <n v="264"/>
    <s v="已发货"/>
    <s v="C49"/>
    <n v="109429"/>
    <s v="通通旺名义"/>
    <s v="YSM20R(SV)-2"/>
    <s v="L-&gt;R"/>
    <s v="No"/>
    <s v="Y46846"/>
    <n v="1"/>
    <s v="福保仓库"/>
    <d v="2019-03-13T00:00:00"/>
    <n v="6.2E-2"/>
    <x v="8"/>
    <m/>
    <s v="JPY"/>
    <x v="31"/>
    <x v="30"/>
    <x v="4"/>
    <s v="L-&gt;R"/>
    <s v="No"/>
    <s v="OK"/>
  </r>
  <r>
    <n v="269"/>
    <s v="已发货"/>
    <s v="C49"/>
    <n v="109429"/>
    <s v="通通旺名义"/>
    <s v="YSM20R(SV)-2"/>
    <s v="L-&gt;R"/>
    <s v="No"/>
    <s v="Y46847"/>
    <n v="1"/>
    <s v="福保仓库"/>
    <d v="2019-03-13T00:00:00"/>
    <n v="6.2E-2"/>
    <x v="8"/>
    <m/>
    <s v="JPY"/>
    <x v="83"/>
    <x v="1"/>
    <x v="4"/>
    <s v="L-&gt;R"/>
    <s v="No"/>
    <s v="OK"/>
  </r>
  <r>
    <n v="155"/>
    <s v="已发货"/>
    <s v="C49"/>
    <n v="109493"/>
    <s v="朗特名义"/>
    <s v="YSM20R(SV)-2"/>
    <s v="R-&gt;L"/>
    <s v="No"/>
    <s v="Y47271"/>
    <n v="1"/>
    <s v="码头"/>
    <d v="2019-03-22T00:00:00"/>
    <n v="6.2E-2"/>
    <x v="8"/>
    <m/>
    <s v="JPY"/>
    <x v="85"/>
    <x v="10"/>
    <x v="4"/>
    <s v="R-&gt;L"/>
    <s v="No"/>
    <s v="OK"/>
  </r>
  <r>
    <n v="161"/>
    <s v="已发货"/>
    <s v="C49"/>
    <n v="109493"/>
    <s v="朗特名义"/>
    <s v="YSM10"/>
    <s v="R-&gt;L"/>
    <s v="MVC+ATS15"/>
    <s v="Y47279"/>
    <n v="1"/>
    <s v="码头"/>
    <d v="2019-03-22T00:00:00"/>
    <n v="6.2E-2"/>
    <x v="8"/>
    <m/>
    <s v="JPY"/>
    <x v="85"/>
    <x v="10"/>
    <x v="1"/>
    <s v="R-&gt;L"/>
    <s v="MVC+ATS15"/>
    <s v="OK"/>
  </r>
  <r>
    <n v="156"/>
    <s v="已发货"/>
    <s v="C49"/>
    <n v="109493"/>
    <s v="朗特名义"/>
    <s v="YSM20R(SV)-2"/>
    <s v="R-&gt;L"/>
    <s v="No"/>
    <s v="Y47272"/>
    <n v="1"/>
    <s v="码头"/>
    <d v="2019-03-22T00:00:00"/>
    <n v="6.2E-2"/>
    <x v="8"/>
    <m/>
    <s v="JPY"/>
    <x v="85"/>
    <x v="10"/>
    <x v="4"/>
    <s v="R-&gt;L"/>
    <s v="No"/>
    <s v="OK"/>
  </r>
  <r>
    <n v="157"/>
    <s v="已发货"/>
    <s v="C49"/>
    <n v="109493"/>
    <s v="朗特名义"/>
    <s v="YSM20R(SV)-2"/>
    <s v="R-&gt;L"/>
    <s v="No"/>
    <s v="Y47273"/>
    <n v="1"/>
    <s v="码头"/>
    <d v="2019-03-22T00:00:00"/>
    <n v="6.2E-2"/>
    <x v="8"/>
    <m/>
    <s v="JPY"/>
    <x v="85"/>
    <x v="10"/>
    <x v="4"/>
    <s v="R-&gt;L"/>
    <s v="No"/>
    <s v="OK"/>
  </r>
  <r>
    <n v="158"/>
    <s v="已发货"/>
    <s v="C49"/>
    <n v="109493"/>
    <s v="朗特名义"/>
    <s v="YSM20R(SV)-2"/>
    <s v="R-&gt;L"/>
    <s v="No"/>
    <s v="Y47274"/>
    <n v="1"/>
    <s v="码头"/>
    <d v="2019-03-22T00:00:00"/>
    <n v="6.2E-2"/>
    <x v="8"/>
    <m/>
    <s v="JPY"/>
    <x v="85"/>
    <x v="10"/>
    <x v="4"/>
    <s v="R-&gt;L"/>
    <s v="No"/>
    <s v="OK"/>
  </r>
  <r>
    <n v="164"/>
    <s v="已发货"/>
    <s v="C49"/>
    <n v="109493"/>
    <s v="朗特名义"/>
    <s v="YSM10"/>
    <s v="R-&gt;L"/>
    <s v="MVC+Fixed feeder plate 24 positions"/>
    <s v="Y47280"/>
    <n v="1"/>
    <s v="码头"/>
    <d v="2019-03-22T00:00:00"/>
    <n v="6.2E-2"/>
    <x v="8"/>
    <m/>
    <s v="JPY"/>
    <x v="85"/>
    <x v="10"/>
    <x v="1"/>
    <s v="R-&gt;L"/>
    <s v="MVC+Fixed feeder plate 24 positions"/>
    <s v="OK"/>
  </r>
  <r>
    <n v="165"/>
    <s v="已发货"/>
    <s v="C49"/>
    <n v="109493"/>
    <s v="朗特名义"/>
    <s v="YSM10"/>
    <s v="R-&gt;L"/>
    <s v="MVC+Fixed feeder plate 24 positions"/>
    <s v="Y47281"/>
    <n v="1"/>
    <s v="码头"/>
    <d v="2019-03-22T00:00:00"/>
    <n v="6.2E-2"/>
    <x v="8"/>
    <m/>
    <s v="JPY"/>
    <x v="85"/>
    <x v="10"/>
    <x v="1"/>
    <s v="R-&gt;L"/>
    <s v="MVC+Fixed feeder plate 24 positions"/>
    <s v="OK"/>
  </r>
  <r>
    <n v="162"/>
    <s v="已发货"/>
    <s v="C49"/>
    <n v="109493"/>
    <s v="朗特名义"/>
    <s v="YSM10"/>
    <s v="R-&gt;L"/>
    <s v="MVC+ATS15"/>
    <s v="Y47275"/>
    <n v="1"/>
    <s v="码头"/>
    <d v="2019-03-22T00:00:00"/>
    <n v="6.2E-2"/>
    <x v="8"/>
    <m/>
    <s v="JPY"/>
    <x v="85"/>
    <x v="10"/>
    <x v="1"/>
    <s v="R-&gt;L"/>
    <s v="MVC+ATS15"/>
    <s v="OK"/>
  </r>
  <r>
    <n v="163"/>
    <s v="已发货"/>
    <s v="C49"/>
    <n v="109493"/>
    <s v="朗特名义"/>
    <s v="YSM10"/>
    <s v="R-&gt;L"/>
    <s v="MVC+ATS15"/>
    <s v="Y47276"/>
    <n v="1"/>
    <s v="码头"/>
    <d v="2019-03-22T00:00:00"/>
    <n v="6.2E-2"/>
    <x v="8"/>
    <m/>
    <s v="JPY"/>
    <x v="85"/>
    <x v="10"/>
    <x v="1"/>
    <s v="R-&gt;L"/>
    <s v="MVC+ATS15"/>
    <s v="OK"/>
  </r>
  <r>
    <n v="159"/>
    <s v="已发货"/>
    <s v="C49"/>
    <n v="109493"/>
    <s v="朗特名义"/>
    <s v="YSM10"/>
    <s v="R-&gt;L"/>
    <s v="MVC+ATS15"/>
    <s v="Y47277"/>
    <n v="1"/>
    <s v="码头"/>
    <d v="2019-03-22T00:00:00"/>
    <n v="6.2E-2"/>
    <x v="8"/>
    <m/>
    <s v="JPY"/>
    <x v="85"/>
    <x v="10"/>
    <x v="1"/>
    <s v="R-&gt;L"/>
    <s v="MVC+ATS15"/>
    <s v="OK"/>
  </r>
  <r>
    <n v="160"/>
    <s v="已发货"/>
    <s v="C49"/>
    <n v="109493"/>
    <s v="朗特名义"/>
    <s v="YSM10"/>
    <s v="R-&gt;L"/>
    <s v="MVC+ATS15"/>
    <s v="Y47278"/>
    <n v="1"/>
    <s v="码头"/>
    <d v="2019-03-22T00:00:00"/>
    <n v="6.2E-2"/>
    <x v="8"/>
    <m/>
    <s v="JPY"/>
    <x v="85"/>
    <x v="10"/>
    <x v="1"/>
    <s v="R-&gt;L"/>
    <s v="MVC+ATS15"/>
    <s v="OK"/>
  </r>
  <r>
    <n v="273"/>
    <s v="已发货"/>
    <s v="C49"/>
    <n v="109336"/>
    <s v="BBS名义下单"/>
    <s v="YSM20R(SV)-2"/>
    <s v="L-&gt;R"/>
    <s v="No"/>
    <s v="Y46160"/>
    <n v="1"/>
    <s v="福保仓库"/>
    <d v="2019-04-03T00:00:00"/>
    <n v="6.2E-2"/>
    <x v="11"/>
    <m/>
    <s v="JPY"/>
    <x v="86"/>
    <x v="34"/>
    <x v="4"/>
    <s v="L-&gt;R"/>
    <s v="No"/>
    <s v="OK"/>
  </r>
  <r>
    <n v="287"/>
    <s v="已发货"/>
    <s v="C49"/>
    <n v="109336"/>
    <s v="BBS名义下单"/>
    <s v="YSM20R(SV)-2"/>
    <s v="L-&gt;R"/>
    <s v="No"/>
    <s v="Y46161"/>
    <n v="1"/>
    <s v="福保仓库"/>
    <d v="2019-04-03T00:00:00"/>
    <n v="6.2E-2"/>
    <x v="11"/>
    <m/>
    <s v="JPY"/>
    <x v="87"/>
    <x v="73"/>
    <x v="4"/>
    <s v="L-&gt;R"/>
    <s v="MVC"/>
    <s v="WRONG"/>
  </r>
  <r>
    <n v="280"/>
    <s v="已发货"/>
    <s v="C49"/>
    <n v="109336"/>
    <s v="BBS名义下单"/>
    <s v="YSM20R(SV)-2"/>
    <s v="L-&gt;R"/>
    <s v="No"/>
    <s v="Y46159"/>
    <n v="1"/>
    <s v="福保仓库"/>
    <d v="2019-04-03T00:00:00"/>
    <n v="6.2E-2"/>
    <x v="8"/>
    <m/>
    <s v="JPY"/>
    <x v="34"/>
    <x v="33"/>
    <x v="4"/>
    <s v="L-&gt;R"/>
    <s v="No"/>
    <s v="OK"/>
  </r>
  <r>
    <n v="288"/>
    <s v="已发货"/>
    <s v="C49"/>
    <n v="109336"/>
    <s v="BBS名义下单"/>
    <s v="YSM20R(SV)-2"/>
    <s v="L-&gt;R"/>
    <s v="No"/>
    <s v="Y46162"/>
    <n v="1"/>
    <s v="福保仓库"/>
    <d v="2019-04-03T00:00:00"/>
    <n v="6.2E-2"/>
    <x v="11"/>
    <m/>
    <s v="JPY"/>
    <x v="87"/>
    <x v="73"/>
    <x v="4"/>
    <s v="L-&gt;R"/>
    <s v="No"/>
    <s v="OK"/>
  </r>
  <r>
    <n v="315"/>
    <s v="已发货"/>
    <s v="C49"/>
    <n v="109336"/>
    <s v="BBS名义下单"/>
    <s v="YSM20R(SV)-2"/>
    <s v="L-&gt;R"/>
    <s v="No"/>
    <s v="Y46163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07"/>
    <s v="已发货"/>
    <s v="C49"/>
    <n v="109336"/>
    <s v="BBS名义下单"/>
    <s v="YSM20R(SV)-2"/>
    <s v="L-&gt;R"/>
    <s v="No"/>
    <s v="Y46164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05"/>
    <s v="已发货"/>
    <s v="C49"/>
    <n v="109336"/>
    <s v="BBS名义下单"/>
    <s v="YSM20R(SV)-2"/>
    <s v="L-&gt;R"/>
    <s v="No"/>
    <s v="Y46165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06"/>
    <s v="已发货"/>
    <s v="C49"/>
    <n v="109336"/>
    <s v="BBS名义下单"/>
    <s v="YSM20R(SV)-2"/>
    <s v="L-&gt;R"/>
    <s v="No"/>
    <s v="Y46166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67"/>
    <s v="已发货"/>
    <s v="C49"/>
    <n v="109336"/>
    <s v="BBS名义下单"/>
    <s v="YSM20R(SV)-2"/>
    <s v="L-&gt;R"/>
    <s v="No"/>
    <s v="Y46167"/>
    <n v="1"/>
    <s v="福保仓库"/>
    <d v="2019-04-03T00:00:00"/>
    <n v="6.2E-2"/>
    <x v="6"/>
    <d v="1905-07-11T00:43:12"/>
    <s v="RMB"/>
    <x v="89"/>
    <x v="74"/>
    <x v="4"/>
    <s v="L-&gt;R"/>
    <s v="No"/>
    <s v="OK"/>
  </r>
  <r>
    <n v="368"/>
    <s v="已发货"/>
    <s v="C49"/>
    <n v="109336"/>
    <s v="BBS名义下单"/>
    <s v="YSM20R(SV)-2"/>
    <s v="L-&gt;R"/>
    <s v="No"/>
    <s v="Y46168"/>
    <n v="1"/>
    <s v="福保仓库"/>
    <d v="2019-04-03T00:00:00"/>
    <n v="6.2E-2"/>
    <x v="6"/>
    <d v="1905-07-11T00:43:12"/>
    <s v="RMB"/>
    <x v="89"/>
    <x v="74"/>
    <x v="4"/>
    <s v="L-&gt;R"/>
    <s v="No"/>
    <s v="OK"/>
  </r>
  <r>
    <n v="201"/>
    <s v="已发货"/>
    <s v="C49"/>
    <n v="109294"/>
    <s v="拓普艾名义"/>
    <s v="YSM20R(SV)-2"/>
    <s v="L-&gt;R"/>
    <s v="No"/>
    <s v="Y45688"/>
    <n v="1"/>
    <s v="福保仓库"/>
    <d v="2019-04-05T00:00:00"/>
    <n v="6.2E-2"/>
    <x v="12"/>
    <m/>
    <s v="JPY"/>
    <x v="58"/>
    <x v="53"/>
    <x v="4"/>
    <s v="L-&gt;R"/>
    <s v="No"/>
    <s v="OK"/>
  </r>
  <r>
    <n v="171"/>
    <s v="已发货"/>
    <s v="C49"/>
    <n v="109294"/>
    <s v="拓普艾名义"/>
    <s v="YSM20R(SV)-2"/>
    <s v="L-&gt;R"/>
    <s v="No"/>
    <s v="Y45689"/>
    <n v="1"/>
    <s v="福保仓库"/>
    <d v="2019-04-05T00:00:00"/>
    <n v="6.2E-2"/>
    <x v="6"/>
    <d v="1905-07-11T00:43:12"/>
    <s v="JPY"/>
    <x v="13"/>
    <x v="13"/>
    <x v="3"/>
    <s v="L-&gt;R"/>
    <s v="No"/>
    <s v="OK"/>
  </r>
  <r>
    <s v="浙江金子星-1"/>
    <s v="已发货"/>
    <s v="C28"/>
    <n v="109532"/>
    <s v="STK"/>
    <s v="YCP10"/>
    <s v="R-&gt;L"/>
    <s v="No"/>
    <s v="Y47728"/>
    <n v="1"/>
    <s v="福保仓库"/>
    <d v="2019-04-05T00:00:00"/>
    <n v="6.2E-2"/>
    <x v="0"/>
    <d v="1905-07-11T00:43:12"/>
    <e v="#N/A"/>
    <x v="42"/>
    <x v="41"/>
    <x v="6"/>
    <e v="#N/A"/>
    <e v="#N/A"/>
    <e v="#N/A"/>
  </r>
  <r>
    <n v="544"/>
    <s v="已发货"/>
    <s v="C28"/>
    <n v="109532"/>
    <s v="STK"/>
    <s v="YCP10"/>
    <s v="R-&gt;L"/>
    <s v="No"/>
    <s v="Y47729"/>
    <n v="1"/>
    <s v="福保仓库"/>
    <d v="2019-04-05T00:00:00"/>
    <n v="6.2E-2"/>
    <x v="16"/>
    <d v="1905-07-11T00:43:12"/>
    <s v="JPY"/>
    <x v="90"/>
    <x v="75"/>
    <x v="8"/>
    <s v="L-&gt;R"/>
    <s v="No"/>
    <s v="WRONG"/>
  </r>
  <r>
    <n v="385"/>
    <s v="已发货"/>
    <s v="C49"/>
    <n v="109294"/>
    <s v="拓普艾名义"/>
    <s v="YSM20R(SV)-2"/>
    <s v="L-&gt;R"/>
    <s v="No"/>
    <s v="Y45690"/>
    <n v="1"/>
    <s v="力合仓库(已经清关)"/>
    <d v="2019-04-05T00:00:00"/>
    <n v="6.2E-2"/>
    <x v="13"/>
    <d v="1905-07-11T00:43:12"/>
    <s v="RMB"/>
    <x v="91"/>
    <x v="44"/>
    <x v="4"/>
    <s v="L-&gt;R"/>
    <s v="No"/>
    <s v="OK"/>
  </r>
  <r>
    <n v="395"/>
    <s v="已发货"/>
    <s v="C49"/>
    <n v="109294"/>
    <s v="拓普艾名义"/>
    <s v="YSM20R(SV)-2"/>
    <s v="L-&gt;R"/>
    <s v="No"/>
    <s v="Y45691"/>
    <n v="1"/>
    <s v="力合仓库(已经清关)"/>
    <d v="2019-04-05T00:00:00"/>
    <n v="6.2E-2"/>
    <x v="5"/>
    <d v="1905-07-11T00:43:12"/>
    <s v="RMB"/>
    <x v="92"/>
    <x v="64"/>
    <x v="4"/>
    <s v="L-&gt;R"/>
    <s v="No"/>
    <s v="OK"/>
  </r>
  <r>
    <n v="356"/>
    <s v="已发货"/>
    <s v="C49"/>
    <n v="109344"/>
    <s v="STK"/>
    <s v="YSM10"/>
    <s v="L-&gt;R"/>
    <s v="MVC+ATS15"/>
    <s v="Y46281"/>
    <n v="1"/>
    <s v="力合仓库(已经清关)"/>
    <d v="2019-04-10T00:00:00"/>
    <n v="6.2E-2"/>
    <x v="6"/>
    <m/>
    <s v="RMB"/>
    <x v="93"/>
    <x v="20"/>
    <x v="1"/>
    <s v="L-&gt;R"/>
    <s v="MVC+ATS15"/>
    <s v="OK"/>
  </r>
  <r>
    <n v="343"/>
    <s v="已发货"/>
    <s v="C49"/>
    <n v="109344"/>
    <s v="STK"/>
    <s v="YSM10"/>
    <s v="L-&gt;R"/>
    <s v="No"/>
    <s v="Y46275"/>
    <n v="1"/>
    <s v="力合仓库(已经清关)"/>
    <d v="2019-04-10T00:00:00"/>
    <n v="6.2E-2"/>
    <x v="12"/>
    <m/>
    <s v="RMB"/>
    <x v="94"/>
    <x v="76"/>
    <x v="1"/>
    <s v="L-&gt;R"/>
    <s v="MVC"/>
    <s v="WRONG"/>
  </r>
  <r>
    <n v="325"/>
    <s v="已发货"/>
    <s v="C49"/>
    <n v="109344"/>
    <s v="STK"/>
    <s v="YSM10"/>
    <s v="L-&gt;R"/>
    <s v="No"/>
    <s v="Y46272"/>
    <n v="1"/>
    <s v="盐保仓库"/>
    <d v="2019-04-10T00:00:00"/>
    <n v="6.2E-2"/>
    <x v="12"/>
    <m/>
    <s v="RMB"/>
    <x v="95"/>
    <x v="77"/>
    <x v="1"/>
    <s v="L-&gt;R"/>
    <s v="No"/>
    <s v="OK"/>
  </r>
  <r>
    <n v="323"/>
    <s v="已发货"/>
    <s v="C49"/>
    <n v="109344"/>
    <s v="STK"/>
    <s v="YSM10"/>
    <s v="L-&gt;R"/>
    <s v="No"/>
    <s v="Y46273"/>
    <n v="1"/>
    <s v="盐保仓库"/>
    <d v="2019-04-10T00:00:00"/>
    <n v="6.2E-2"/>
    <x v="12"/>
    <m/>
    <s v="RMB"/>
    <x v="95"/>
    <x v="77"/>
    <x v="1"/>
    <s v="R-&gt;L"/>
    <s v="MVC"/>
    <s v="WRONG"/>
  </r>
  <r>
    <n v="324"/>
    <s v="已发货"/>
    <s v="C49"/>
    <n v="109344"/>
    <s v="STK"/>
    <s v="YSM10"/>
    <s v="L-&gt;R"/>
    <s v="No"/>
    <s v="Y46274"/>
    <n v="1"/>
    <s v="盐保仓库"/>
    <d v="2019-04-10T00:00:00"/>
    <n v="6.2E-2"/>
    <x v="12"/>
    <m/>
    <s v="RMB"/>
    <x v="95"/>
    <x v="77"/>
    <x v="1"/>
    <s v="L-&gt;R"/>
    <s v="MVC"/>
    <s v="WRONG"/>
  </r>
  <r>
    <n v="302"/>
    <s v="已发货"/>
    <s v="C49"/>
    <n v="109344"/>
    <s v="STK"/>
    <s v="YSM10"/>
    <s v="L-&gt;R"/>
    <s v="No"/>
    <s v="Y46277"/>
    <n v="1"/>
    <s v="盐保仓库"/>
    <d v="2019-04-10T00:00:00"/>
    <n v="6.2E-2"/>
    <x v="12"/>
    <m/>
    <s v="JPY"/>
    <x v="96"/>
    <x v="78"/>
    <x v="1"/>
    <s v="L-&gt;R"/>
    <s v="No"/>
    <s v="OK"/>
  </r>
  <r>
    <n v="333"/>
    <s v="已发货"/>
    <s v="C49"/>
    <n v="109344"/>
    <s v="STK"/>
    <s v="YSM10"/>
    <s v="L-&gt;R"/>
    <s v="MVC+ATS15"/>
    <s v="Y46280"/>
    <n v="1"/>
    <s v="盐保仓库"/>
    <d v="2019-04-10T00:00:00"/>
    <n v="6.2E-2"/>
    <x v="13"/>
    <m/>
    <s v="JPY"/>
    <x v="97"/>
    <x v="79"/>
    <x v="1"/>
    <s v="L-&gt;R"/>
    <s v="MVC+ATS15"/>
    <s v="OK"/>
  </r>
  <r>
    <n v="373"/>
    <s v="已发货"/>
    <s v="C49"/>
    <n v="109344"/>
    <s v="STK"/>
    <s v="YSM10"/>
    <s v="L-&gt;R"/>
    <s v="No"/>
    <s v="Y46276"/>
    <n v="1"/>
    <s v="盐保仓库"/>
    <d v="2019-04-10T00:00:00"/>
    <n v="6.2E-2"/>
    <x v="6"/>
    <m/>
    <s v="JPY"/>
    <x v="98"/>
    <x v="39"/>
    <x v="1"/>
    <s v="R-&gt;L"/>
    <s v="MVC"/>
    <s v="WRONG"/>
  </r>
  <r>
    <n v="311"/>
    <s v="已发货"/>
    <s v="C49"/>
    <n v="109344"/>
    <s v="STK"/>
    <s v="YSM10"/>
    <s v="R-&gt;L"/>
    <s v="No"/>
    <s v="Y46278"/>
    <n v="1"/>
    <s v="盐保仓库"/>
    <d v="2019-04-10T00:00:00"/>
    <n v="6.2E-2"/>
    <x v="12"/>
    <m/>
    <s v="JPY"/>
    <x v="99"/>
    <x v="80"/>
    <x v="1"/>
    <s v="L-&gt;R"/>
    <s v="No"/>
    <s v="WRONG"/>
  </r>
  <r>
    <n v="365"/>
    <s v="已发货"/>
    <s v="C49"/>
    <n v="109344"/>
    <s v="STK"/>
    <s v="YSM10"/>
    <s v="R-&gt;L"/>
    <s v="No"/>
    <s v="Y46279"/>
    <n v="1"/>
    <s v="盐保仓库"/>
    <d v="2019-04-10T00:00:00"/>
    <n v="6.2E-2"/>
    <x v="6"/>
    <m/>
    <s v="RMB"/>
    <x v="100"/>
    <x v="74"/>
    <x v="1"/>
    <s v="L-&gt;R"/>
    <s v="MVC"/>
    <s v="WRONG"/>
  </r>
  <r>
    <n v="326"/>
    <s v="已发货"/>
    <s v="C49"/>
    <n v="109263"/>
    <s v="龙腾名义"/>
    <s v="YSM20R(SV)-2"/>
    <s v="L-&gt;R"/>
    <s v="No"/>
    <s v="Y45340"/>
    <n v="1"/>
    <s v="力合仓库(已经清关)"/>
    <d v="2019-04-19T00:00:00"/>
    <n v="6.2E-2"/>
    <x v="12"/>
    <m/>
    <s v="RMB"/>
    <x v="95"/>
    <x v="77"/>
    <x v="4"/>
    <s v="L-&gt;R"/>
    <s v="No"/>
    <s v="OK"/>
  </r>
  <r>
    <n v="394"/>
    <s v="已发货"/>
    <s v="C49"/>
    <n v="109526"/>
    <s v="上达名义"/>
    <s v="YSM20R(SV)-2"/>
    <s v="L-&gt;R"/>
    <s v="No"/>
    <s v="Y45794"/>
    <n v="1"/>
    <s v="力合仓库(已经清关)"/>
    <d v="2019-04-19T00:00:00"/>
    <n v="6.2E-2"/>
    <x v="5"/>
    <d v="1905-07-11T00:43:12"/>
    <s v="RMB"/>
    <x v="92"/>
    <x v="64"/>
    <x v="4"/>
    <s v="L-&gt;R"/>
    <s v="No"/>
    <s v="OK"/>
  </r>
  <r>
    <n v="438"/>
    <s v="已发货"/>
    <s v="C49"/>
    <n v="109263"/>
    <s v="龙腾名义"/>
    <s v="YSM20R(SV)-2"/>
    <s v="L-&gt;R"/>
    <s v="cATS10+MVC+special layout"/>
    <s v="Y45341"/>
    <n v="1"/>
    <s v="盐保仓库"/>
    <d v="2019-04-19T00:00:00"/>
    <n v="6.2E-2"/>
    <x v="15"/>
    <d v="1905-07-11T00:43:12"/>
    <s v="USD"/>
    <x v="79"/>
    <x v="69"/>
    <x v="4"/>
    <s v="L-&gt;R"/>
    <s v="cATS10+MVC+special layout"/>
    <s v="OK"/>
  </r>
  <r>
    <n v="381"/>
    <s v="已发货"/>
    <s v="C49"/>
    <n v="109526"/>
    <s v="上达名义"/>
    <s v="YSM20R(SV)-2"/>
    <s v="L-&gt;R"/>
    <s v="No"/>
    <s v="Y45792"/>
    <n v="1"/>
    <s v="盐保仓库"/>
    <d v="2019-04-19T00:00:00"/>
    <n v="6.2E-2"/>
    <x v="13"/>
    <d v="1905-07-11T00:43:12"/>
    <s v="RMB"/>
    <x v="101"/>
    <x v="81"/>
    <x v="4"/>
    <s v="L-&gt;R"/>
    <s v="No"/>
    <s v="OK"/>
  </r>
  <r>
    <n v="359"/>
    <s v="已发货"/>
    <s v="C49"/>
    <n v="109526"/>
    <s v="上达名义"/>
    <s v="YSM20R(SV)-2"/>
    <s v="L-&gt;R"/>
    <s v="No"/>
    <s v="Y45793"/>
    <n v="1"/>
    <s v="盐保仓库"/>
    <d v="2019-04-19T00:00:00"/>
    <n v="6.2E-2"/>
    <x v="6"/>
    <d v="1905-07-11T00:43:12"/>
    <s v="RMB"/>
    <x v="102"/>
    <x v="82"/>
    <x v="4"/>
    <s v="L-&gt;R"/>
    <s v="No"/>
    <s v="OK"/>
  </r>
  <r>
    <n v="532"/>
    <s v="已发货"/>
    <s v="C49"/>
    <s v="Yamaha 归还"/>
    <s v="Yamaha "/>
    <s v="YSM40R-4"/>
    <s v="NO"/>
    <s v="No"/>
    <s v="Y46227"/>
    <n v="1"/>
    <s v="力合仓库(已经清关)"/>
    <d v="2019-05-01T00:00:00"/>
    <n v="5.9499999999999997E-2"/>
    <x v="0"/>
    <m/>
    <s v="RMB"/>
    <x v="103"/>
    <x v="76"/>
    <x v="0"/>
    <s v="No"/>
    <s v="No"/>
    <s v="OK"/>
  </r>
  <r>
    <n v="410"/>
    <s v="已发货"/>
    <s v="C49"/>
    <n v="109390"/>
    <s v="亿联名义"/>
    <s v="YSM20R(SV)-2"/>
    <s v="L-&gt;R"/>
    <s v="No"/>
    <s v="Y45639"/>
    <n v="1"/>
    <s v="力合仓库(已经清关)"/>
    <d v="2019-05-03T00:00:00"/>
    <n v="6.1699999999999998E-2"/>
    <x v="5"/>
    <d v="1905-07-11T00:43:12"/>
    <s v="RMB"/>
    <x v="104"/>
    <x v="83"/>
    <x v="4"/>
    <s v="L-&gt;R"/>
    <s v="No"/>
    <s v="OK"/>
  </r>
  <r>
    <n v="403"/>
    <s v="已发货"/>
    <s v="C49"/>
    <n v="109390"/>
    <s v="亿联名义"/>
    <s v="YSM20R(SV)-2"/>
    <s v="L-&gt;R"/>
    <s v="No"/>
    <s v="Y45640"/>
    <n v="1"/>
    <s v="力合仓库(已经清关)"/>
    <d v="2019-05-03T00:00:00"/>
    <n v="6.1699999999999998E-2"/>
    <x v="13"/>
    <d v="1905-07-11T00:43:12"/>
    <s v="RMB"/>
    <x v="105"/>
    <x v="84"/>
    <x v="4"/>
    <s v="L-&gt;R"/>
    <s v="No"/>
    <s v="OK"/>
  </r>
  <r>
    <n v="303"/>
    <s v="已发货"/>
    <s v="C49"/>
    <n v="109390"/>
    <s v="亿联名义"/>
    <s v="YSM20R(SV)-2"/>
    <s v="L-&gt;R"/>
    <s v="No"/>
    <s v="Y45641"/>
    <n v="1"/>
    <s v="盐保仓库"/>
    <d v="2019-05-03T00:00:00"/>
    <n v="6.1699999999999998E-2"/>
    <x v="6"/>
    <d v="1905-07-11T00:43:12"/>
    <s v="JPY"/>
    <x v="106"/>
    <x v="85"/>
    <x v="4"/>
    <s v="L-&gt;R"/>
    <s v="No"/>
    <s v="OK"/>
  </r>
  <r>
    <n v="304"/>
    <s v="已发货"/>
    <s v="C49"/>
    <n v="109390"/>
    <s v="亿联名义"/>
    <s v="YSM20R(SV)-2"/>
    <s v="L-&gt;R"/>
    <s v="No"/>
    <s v="Y45642"/>
    <n v="1"/>
    <s v="盐保仓库"/>
    <d v="2019-05-03T00:00:00"/>
    <n v="6.1699999999999998E-2"/>
    <x v="6"/>
    <d v="1905-07-11T00:43:12"/>
    <s v="JPY"/>
    <x v="106"/>
    <x v="85"/>
    <x v="4"/>
    <s v="L-&gt;R"/>
    <s v="No"/>
    <s v="OK"/>
  </r>
  <r>
    <n v="354"/>
    <s v="已发货"/>
    <s v="C49"/>
    <n v="109497"/>
    <s v="永顺创名义"/>
    <s v="YSM20R(SV)-2"/>
    <s v="L-&gt;R"/>
    <s v="MVC"/>
    <s v="Y47328"/>
    <n v="1"/>
    <s v="力合仓库(已经清关)"/>
    <d v="2019-05-08T00:00:00"/>
    <n v="6.1699999999999998E-2"/>
    <x v="12"/>
    <d v="1905-07-11T00:43:12"/>
    <s v="RMB"/>
    <x v="107"/>
    <x v="30"/>
    <x v="4"/>
    <s v="L-&gt;R"/>
    <s v="MVC"/>
    <s v="OK"/>
  </r>
  <r>
    <n v="277"/>
    <s v="已发货"/>
    <s v="C49"/>
    <n v="109497"/>
    <s v="永顺创名义"/>
    <s v="YSM20R(SV)-2"/>
    <s v="L-&gt;R"/>
    <s v="MVC"/>
    <s v="Y47327"/>
    <n v="1"/>
    <s v="盐保仓库"/>
    <d v="2019-05-08T00:00:00"/>
    <n v="6.1699999999999998E-2"/>
    <x v="12"/>
    <d v="1905-07-11T00:43:12"/>
    <s v="JPY"/>
    <x v="108"/>
    <x v="78"/>
    <x v="4"/>
    <s v="L-&gt;R"/>
    <s v="MVC"/>
    <s v="OK"/>
  </r>
  <r>
    <n v="322"/>
    <s v="已发货"/>
    <s v="C49"/>
    <n v="109497"/>
    <s v="永顺创名义"/>
    <s v="YSM20R(SV)-2"/>
    <s v="L-&gt;R"/>
    <s v="MVC"/>
    <s v="Y47329"/>
    <n v="1"/>
    <s v="盐保仓库"/>
    <d v="2019-05-08T00:00:00"/>
    <n v="6.1699999999999998E-2"/>
    <x v="6"/>
    <d v="1905-07-11T00:43:12"/>
    <s v="RMB"/>
    <x v="109"/>
    <x v="86"/>
    <x v="4"/>
    <s v="L-&gt;R"/>
    <s v="MVC"/>
    <s v="OK"/>
  </r>
  <r>
    <n v="425"/>
    <s v="已发货"/>
    <s v="C49"/>
    <n v="109554"/>
    <s v="STK"/>
    <s v="YSM20R(SV)-2"/>
    <s v="L-&gt;R"/>
    <s v="No"/>
    <s v="Y48037"/>
    <n v="1"/>
    <s v="力合仓库(已经清关)"/>
    <d v="2019-05-15T00:00:00"/>
    <n v="6.1699999999999998E-2"/>
    <x v="5"/>
    <d v="1905-07-11T00:57:36"/>
    <s v="RMB"/>
    <x v="110"/>
    <x v="87"/>
    <x v="4"/>
    <s v="L-&gt;R"/>
    <s v="No"/>
    <s v="OK"/>
  </r>
  <r>
    <n v="415"/>
    <s v="已发货"/>
    <s v="C49"/>
    <n v="109554"/>
    <s v="STK"/>
    <s v="YSM20R(SV)-2"/>
    <s v="L-&gt;R"/>
    <s v="No"/>
    <s v="Y48035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416"/>
    <s v="已发货"/>
    <s v="C49"/>
    <n v="109554"/>
    <s v="STK"/>
    <s v="YSM20R(SV)-2"/>
    <s v="L-&gt;R"/>
    <s v="No"/>
    <s v="Y48036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417"/>
    <s v="已发货"/>
    <s v="C49"/>
    <n v="109554"/>
    <s v="STK"/>
    <s v="YSM20R(SV)-2"/>
    <s v="L-&gt;R"/>
    <s v="No"/>
    <s v="Y48038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418"/>
    <s v="已发货"/>
    <s v="C49"/>
    <n v="109554"/>
    <s v="STK"/>
    <s v="YSM20R(SV)-2"/>
    <s v="L-&gt;R"/>
    <s v="No"/>
    <s v="Y48039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244"/>
    <s v="已发货"/>
    <s v="C49"/>
    <n v="109553"/>
    <s v="STK"/>
    <s v="YSM20R(SV)-2"/>
    <s v="R-&gt;L"/>
    <s v="No"/>
    <s v="Y48040"/>
    <n v="1"/>
    <s v="CY仓库"/>
    <d v="2019-05-17T00:00:00"/>
    <n v="6.1699999999999998E-2"/>
    <x v="11"/>
    <m/>
    <s v="JPY"/>
    <x v="41"/>
    <x v="40"/>
    <x v="4"/>
    <s v="R-&gt;L"/>
    <s v="No"/>
    <s v="OK"/>
  </r>
  <r>
    <n v="245"/>
    <s v="已发货"/>
    <s v="C49"/>
    <n v="109553"/>
    <s v="STK"/>
    <s v="YSM20R(SV)-2"/>
    <s v="R-&gt;L"/>
    <s v="No"/>
    <s v="Y48041"/>
    <n v="1"/>
    <s v="CY仓库"/>
    <d v="2019-05-17T00:00:00"/>
    <n v="6.1699999999999998E-2"/>
    <x v="11"/>
    <m/>
    <s v="JPY"/>
    <x v="41"/>
    <x v="40"/>
    <x v="4"/>
    <s v="R-&gt;L"/>
    <s v="No"/>
    <s v="OK"/>
  </r>
  <r>
    <n v="250"/>
    <s v="已发货"/>
    <s v="C49"/>
    <n v="109553"/>
    <s v="STK"/>
    <s v="YSM20R(SV)-2"/>
    <s v="R-&gt;L"/>
    <s v="No"/>
    <s v="Y48042"/>
    <n v="1"/>
    <s v="CY仓库"/>
    <d v="2019-05-17T00:00:00"/>
    <n v="6.1699999999999998E-2"/>
    <x v="11"/>
    <m/>
    <s v="JPY"/>
    <x v="112"/>
    <x v="4"/>
    <x v="4"/>
    <s v="R-&gt;L"/>
    <s v="MVC"/>
    <s v="WRONG"/>
  </r>
  <r>
    <n v="274"/>
    <s v="已发货"/>
    <s v="C49"/>
    <n v="109553"/>
    <s v="STK"/>
    <s v="YSM20R(SV)-2"/>
    <s v="R-&gt;L"/>
    <s v="No"/>
    <s v="Y48044"/>
    <n v="1"/>
    <s v="CY仓库"/>
    <d v="2019-05-17T00:00:00"/>
    <n v="6.1699999999999998E-2"/>
    <x v="6"/>
    <d v="1905-07-11T00:57:36"/>
    <s v="JPY"/>
    <x v="86"/>
    <x v="34"/>
    <x v="4"/>
    <s v="R-&gt;L"/>
    <s v="No"/>
    <s v="OK"/>
  </r>
  <r>
    <n v="321"/>
    <s v="已发货"/>
    <s v="C49"/>
    <n v="109553"/>
    <s v="STK"/>
    <s v="YSM20R(SV)-2"/>
    <s v="R-&gt;L"/>
    <s v="No"/>
    <s v="Y48043"/>
    <n v="1"/>
    <s v="力合仓库(已经清关)"/>
    <d v="2019-05-17T00:00:00"/>
    <n v="6.1699999999999998E-2"/>
    <x v="12"/>
    <m/>
    <s v="RMB"/>
    <x v="55"/>
    <x v="49"/>
    <x v="4"/>
    <s v="R-&gt;L"/>
    <s v="No"/>
    <s v="OK"/>
  </r>
  <r>
    <n v="297"/>
    <s v="已发货"/>
    <s v="C49"/>
    <n v="109582"/>
    <s v="魔乐视名义"/>
    <s v="YSM20R(SV)-2"/>
    <s v="R-&gt;L"/>
    <s v="MVC"/>
    <s v="Y48162"/>
    <n v="1"/>
    <s v="CY仓库"/>
    <d v="2019-06-01T00:00:00"/>
    <n v="6.4299999999999996E-2"/>
    <x v="6"/>
    <d v="1905-07-11T01:12:00"/>
    <s v="JPY"/>
    <x v="35"/>
    <x v="34"/>
    <x v="4"/>
    <s v="R-&gt;L"/>
    <s v="No"/>
    <s v="WRONG"/>
  </r>
  <r>
    <n v="382"/>
    <s v="已发货"/>
    <s v="C49"/>
    <n v="109563"/>
    <s v="Special price"/>
    <s v="YSM10"/>
    <s v="R-&gt;L"/>
    <s v="ATS15"/>
    <s v="Y48171"/>
    <n v="1"/>
    <s v="力合仓库(已经清关)"/>
    <d v="2019-06-01T00:00:00"/>
    <n v="6.4299999999999996E-2"/>
    <x v="13"/>
    <d v="1905-07-11T01:12:00"/>
    <s v="RMB"/>
    <x v="113"/>
    <x v="89"/>
    <x v="1"/>
    <s v="L-&gt;R"/>
    <s v="MVC+ATS15"/>
    <s v="WRONG"/>
  </r>
  <r>
    <n v="383"/>
    <s v="已发货"/>
    <s v="C49"/>
    <n v="109563"/>
    <s v="Special price"/>
    <s v="YSM10"/>
    <s v="R-&gt;L"/>
    <s v="ATS15"/>
    <s v="Y48172"/>
    <n v="1"/>
    <s v="力合仓库(已经清关)"/>
    <d v="2019-06-01T00:00:00"/>
    <n v="6.4299999999999996E-2"/>
    <x v="13"/>
    <d v="1905-07-11T01:12:00"/>
    <s v="RMB"/>
    <x v="113"/>
    <x v="89"/>
    <x v="1"/>
    <s v="L-&gt;R"/>
    <s v="MVC+ATS15"/>
    <s v="WRONG"/>
  </r>
  <r>
    <n v="384"/>
    <s v="已发货"/>
    <s v="C49"/>
    <n v="109563"/>
    <s v="Special price"/>
    <s v="YSM10"/>
    <s v="L-&gt;R"/>
    <s v="ATS15"/>
    <s v="Y48175"/>
    <n v="1"/>
    <s v="力合仓库(已经清关)"/>
    <d v="2019-06-01T00:00:00"/>
    <n v="6.4299999999999996E-2"/>
    <x v="13"/>
    <d v="1905-07-11T01:12:00"/>
    <s v="RMB"/>
    <x v="113"/>
    <x v="89"/>
    <x v="1"/>
    <s v="L-&gt;R"/>
    <s v="MVC+ATS15"/>
    <s v="WRONG"/>
  </r>
  <r>
    <n v="407"/>
    <s v="已发货"/>
    <s v="C49"/>
    <n v="109564"/>
    <s v="Special price"/>
    <s v="YSM10"/>
    <s v="L-&gt;R"/>
    <s v="ATS15"/>
    <s v="Y48176"/>
    <n v="1"/>
    <s v="力合仓库(已经清关)"/>
    <d v="2019-06-01T00:00:00"/>
    <n v="6.4299999999999996E-2"/>
    <x v="13"/>
    <d v="1905-07-11T01:12:00"/>
    <s v="RMB"/>
    <x v="114"/>
    <x v="72"/>
    <x v="1"/>
    <s v="L-&gt;R"/>
    <s v="MVC+ATS15"/>
    <s v="WRONG"/>
  </r>
  <r>
    <n v="397"/>
    <s v="已发货"/>
    <s v="C49"/>
    <n v="109564"/>
    <s v="Special price"/>
    <s v="YSM10"/>
    <s v="L-&gt;R"/>
    <s v="ATS15"/>
    <s v="Y48178"/>
    <n v="1"/>
    <s v="力合仓库(已经清关)"/>
    <d v="2019-06-01T00:00:00"/>
    <n v="6.4299999999999996E-2"/>
    <x v="5"/>
    <d v="1905-07-11T01:12:00"/>
    <s v="RMB"/>
    <x v="92"/>
    <x v="64"/>
    <x v="1"/>
    <s v="R-&gt;L"/>
    <s v="MVC+ATS15"/>
    <s v="WRONG"/>
  </r>
  <r>
    <n v="371"/>
    <s v="已发货"/>
    <s v="C49"/>
    <n v="109582"/>
    <s v="魔乐视名义"/>
    <s v="YSM20R(SV)-2"/>
    <s v="R-&gt;L"/>
    <s v="MVC"/>
    <s v="Y48160"/>
    <n v="1"/>
    <s v="盐保仓库"/>
    <d v="2019-06-01T00:00:00"/>
    <n v="6.4299999999999996E-2"/>
    <x v="6"/>
    <d v="1905-07-11T01:12:00"/>
    <s v="JPY"/>
    <x v="98"/>
    <x v="39"/>
    <x v="4"/>
    <s v="R-&gt;L"/>
    <s v="No"/>
    <s v="WRONG"/>
  </r>
  <r>
    <n v="372"/>
    <s v="已发货"/>
    <s v="C49"/>
    <n v="109582"/>
    <s v="魔乐视名义"/>
    <s v="YSM20R(SV)-2"/>
    <s v="R-&gt;L"/>
    <s v="MVC"/>
    <s v="Y48161"/>
    <n v="1"/>
    <s v="盐保仓库"/>
    <d v="2019-06-01T00:00:00"/>
    <n v="6.4299999999999996E-2"/>
    <x v="6"/>
    <d v="1905-07-11T01:12:00"/>
    <s v="JPY"/>
    <x v="98"/>
    <x v="39"/>
    <x v="4"/>
    <s v="R-&gt;L"/>
    <s v="No"/>
    <s v="WRONG"/>
  </r>
  <r>
    <n v="308"/>
    <s v="已发货"/>
    <s v="C49"/>
    <n v="109563"/>
    <s v="Special price"/>
    <s v="YSM10"/>
    <s v="R-&gt;L"/>
    <s v="ATS15"/>
    <s v="Y48173"/>
    <n v="1"/>
    <s v="盐保仓库"/>
    <d v="2019-06-01T00:00:00"/>
    <n v="6.4299999999999996E-2"/>
    <x v="6"/>
    <d v="1905-07-11T01:12:00"/>
    <s v="JPY"/>
    <x v="88"/>
    <x v="26"/>
    <x v="1"/>
    <s v="L-&gt;R"/>
    <s v="MVC+ATS15"/>
    <s v="WRONG"/>
  </r>
  <r>
    <n v="309"/>
    <s v="已发货"/>
    <s v="C49"/>
    <n v="109563"/>
    <s v="Special price"/>
    <s v="YSM10"/>
    <s v="L-&gt;R"/>
    <s v="ATS15"/>
    <s v="Y48174"/>
    <n v="1"/>
    <s v="盐保仓库"/>
    <d v="2019-06-01T00:00:00"/>
    <n v="6.4299999999999996E-2"/>
    <x v="6"/>
    <d v="1905-07-11T01:12:00"/>
    <s v="JPY"/>
    <x v="88"/>
    <x v="26"/>
    <x v="1"/>
    <s v="L-&gt;R"/>
    <s v="MVC+ATS15"/>
    <s v="WRONG"/>
  </r>
  <r>
    <n v="374"/>
    <s v="已发货"/>
    <s v="C49"/>
    <n v="109564"/>
    <s v="Special price"/>
    <s v="YSM10"/>
    <s v="L-&gt;R"/>
    <s v="No"/>
    <s v="Y48179"/>
    <n v="1"/>
    <s v="盐保仓库"/>
    <d v="2019-06-01T00:00:00"/>
    <n v="6.4299999999999996E-2"/>
    <x v="6"/>
    <d v="1905-07-11T01:12:00"/>
    <s v="JPY"/>
    <x v="98"/>
    <x v="39"/>
    <x v="1"/>
    <s v="R-&gt;L"/>
    <s v="MVC"/>
    <s v="WRONG"/>
  </r>
  <r>
    <n v="366"/>
    <s v="已发货"/>
    <s v="C49"/>
    <n v="109564"/>
    <s v="Special price"/>
    <s v="YSM10"/>
    <s v="L-&gt;R"/>
    <s v="No"/>
    <s v="Y48180"/>
    <n v="1"/>
    <s v="盐保仓库"/>
    <d v="2019-06-01T00:00:00"/>
    <n v="6.4299999999999996E-2"/>
    <x v="6"/>
    <d v="1905-07-11T01:12:00"/>
    <s v="RMB"/>
    <x v="89"/>
    <x v="74"/>
    <x v="1"/>
    <s v="L-&gt;R"/>
    <s v="No"/>
    <s v="OK"/>
  </r>
  <r>
    <n v="419"/>
    <s v="已发货"/>
    <s v="C49"/>
    <n v="109564"/>
    <s v="Special price"/>
    <s v="YSM10"/>
    <s v="L-&gt;R"/>
    <s v="ATS15"/>
    <s v="Y48177"/>
    <n v="1"/>
    <s v="盐保仓库-&gt;准备清关"/>
    <d v="2019-06-01T00:00:00"/>
    <n v="6.4299999999999996E-2"/>
    <x v="5"/>
    <d v="1905-07-11T01:12:00"/>
    <s v="RMB"/>
    <x v="111"/>
    <x v="88"/>
    <x v="1"/>
    <s v="L-&gt;R"/>
    <s v="MVC+ATS15"/>
    <s v="WRONG"/>
  </r>
  <r>
    <n v="346"/>
    <s v="已发货"/>
    <s v="C49"/>
    <n v="109622"/>
    <s v="IND,WKK（End user 崧盛）"/>
    <s v="YS24"/>
    <s v="L-&gt;R"/>
    <s v="No"/>
    <s v="Y43839"/>
    <n v="1"/>
    <s v="WKK HK 仓库"/>
    <d v="2019-07-01T00:00:00"/>
    <s v="No"/>
    <x v="6"/>
    <d v="1905-07-10T02:09:36"/>
    <s v="JPY"/>
    <x v="115"/>
    <x v="90"/>
    <x v="7"/>
    <s v="L-&gt;R"/>
    <s v="No"/>
    <s v="OK"/>
  </r>
  <r>
    <n v="347"/>
    <s v="已发货"/>
    <s v="C49"/>
    <n v="109622"/>
    <s v="IND,WKK（End user 崧盛）"/>
    <s v="YS24"/>
    <s v="L-&gt;R"/>
    <s v="No"/>
    <s v="Y43840"/>
    <n v="1"/>
    <s v="WKK HK 仓库"/>
    <d v="2019-07-01T00:00:00"/>
    <s v="No"/>
    <x v="6"/>
    <d v="1905-07-10T02:09:36"/>
    <s v="JPY"/>
    <x v="115"/>
    <x v="90"/>
    <x v="7"/>
    <s v="L-&gt;R"/>
    <s v="No"/>
    <s v="OK"/>
  </r>
  <r>
    <m/>
    <s v="已发货"/>
    <s v="C49"/>
    <n v="109566"/>
    <s v="Special price"/>
    <s v="YSM10"/>
    <s v="L-&gt;R"/>
    <s v="No"/>
    <s v="Y48293（此台机运输中有碰撞)"/>
    <s v="1"/>
    <s v="Yamaha Demo 中心"/>
    <d v="2019-07-03T00:00:00"/>
    <n v="6.4699999999999994E-2"/>
    <x v="17"/>
    <d v="1905-07-11T01:26:24"/>
    <e v="#N/A"/>
    <x v="42"/>
    <x v="41"/>
    <x v="6"/>
    <e v="#N/A"/>
    <e v="#N/A"/>
    <m/>
  </r>
  <r>
    <n v="390"/>
    <s v="已发货"/>
    <s v="C49"/>
    <n v="109565"/>
    <s v="Special price"/>
    <s v="YSM10"/>
    <s v="L-&gt;R"/>
    <s v="No"/>
    <s v="Y48291"/>
    <n v="1"/>
    <s v="力合仓库(已经清关)"/>
    <d v="2019-07-03T00:00:00"/>
    <n v="6.4699999999999994E-2"/>
    <x v="13"/>
    <d v="1905-07-11T01:26:24"/>
    <s v="RMB"/>
    <x v="116"/>
    <x v="91"/>
    <x v="1"/>
    <s v="R-&gt;L"/>
    <s v="MVC"/>
    <s v="WRONG"/>
  </r>
  <r>
    <n v="396"/>
    <s v="已发货"/>
    <s v="C49"/>
    <n v="109603"/>
    <s v="Special package"/>
    <s v="YSM20R(SV)-2"/>
    <s v="R-&gt;L"/>
    <s v="No"/>
    <s v="Y48547"/>
    <n v="1"/>
    <s v="力合仓库(已经清关)"/>
    <d v="2019-07-03T00:00:00"/>
    <n v="6.4699999999999994E-2"/>
    <x v="5"/>
    <d v="1905-07-11T01:26:24"/>
    <s v="RMB"/>
    <x v="92"/>
    <x v="64"/>
    <x v="4"/>
    <s v="R-&gt;L"/>
    <s v="No"/>
    <s v="OK"/>
  </r>
  <r>
    <n v="399"/>
    <s v="已发货"/>
    <s v="C49"/>
    <n v="109566"/>
    <s v="Special price"/>
    <s v="YSM10"/>
    <s v="L-&gt;R"/>
    <s v="No"/>
    <s v="Y48295"/>
    <n v="1"/>
    <s v="力合仓库(已经清关)"/>
    <d v="2019-07-03T00:00:00"/>
    <n v="6.4699999999999994E-2"/>
    <x v="5"/>
    <d v="1905-07-11T01:26:24"/>
    <s v="RMB"/>
    <x v="92"/>
    <x v="64"/>
    <x v="1"/>
    <s v="L-&gt;R"/>
    <s v="MVC"/>
    <s v="WRONG"/>
  </r>
  <r>
    <n v="400"/>
    <s v="已发货"/>
    <s v="C49"/>
    <n v="109566"/>
    <s v="Special price"/>
    <s v="YSM10"/>
    <s v="L-&gt;R"/>
    <s v="No"/>
    <s v="Y48296"/>
    <n v="1"/>
    <s v="力合仓库(已经清关)"/>
    <d v="2019-07-03T00:00:00"/>
    <n v="6.4699999999999994E-2"/>
    <x v="5"/>
    <d v="1905-07-11T01:26:24"/>
    <s v="RMB"/>
    <x v="92"/>
    <x v="64"/>
    <x v="1"/>
    <s v="L-&gt;R"/>
    <s v="MVC"/>
    <s v="WRONG"/>
  </r>
  <r>
    <n v="401"/>
    <s v="已发货"/>
    <s v="C49"/>
    <n v="109566"/>
    <s v="Special price"/>
    <s v="YSM10"/>
    <s v="L-&gt;R"/>
    <s v="No"/>
    <s v="Y48297"/>
    <n v="1"/>
    <s v="力合仓库(已经清关)"/>
    <d v="2019-07-03T00:00:00"/>
    <n v="6.4699999999999994E-2"/>
    <x v="5"/>
    <d v="1905-07-11T01:26:24"/>
    <s v="RMB"/>
    <x v="92"/>
    <x v="64"/>
    <x v="1"/>
    <s v="L-&gt;R"/>
    <s v="MVC"/>
    <s v="WRONG"/>
  </r>
  <r>
    <n v="350"/>
    <s v="已发货"/>
    <s v="C49"/>
    <n v="109565"/>
    <s v="Special price"/>
    <s v="YSM10"/>
    <s v="L-&gt;R"/>
    <s v="No"/>
    <s v="Y48288"/>
    <n v="1"/>
    <s v="盐保仓库"/>
    <d v="2019-07-03T00:00:00"/>
    <n v="6.4699999999999994E-2"/>
    <x v="6"/>
    <d v="1905-07-11T01:26:24"/>
    <s v="JPY"/>
    <x v="115"/>
    <x v="90"/>
    <x v="1"/>
    <s v="R-&gt;L"/>
    <s v="No"/>
    <s v="WRONG"/>
  </r>
  <r>
    <n v="348"/>
    <s v="已发货"/>
    <s v="C49"/>
    <n v="109565"/>
    <s v="Special price"/>
    <s v="YSM10"/>
    <s v="L-&gt;R"/>
    <s v="No"/>
    <s v="Y48289"/>
    <n v="1"/>
    <s v="盐保仓库"/>
    <d v="2019-07-03T00:00:00"/>
    <n v="6.4699999999999994E-2"/>
    <x v="6"/>
    <d v="1905-07-11T01:26:24"/>
    <s v="JPY"/>
    <x v="115"/>
    <x v="90"/>
    <x v="1"/>
    <s v="L-&gt;R"/>
    <s v="No"/>
    <s v="OK"/>
  </r>
  <r>
    <n v="349"/>
    <s v="已发货"/>
    <s v="C49"/>
    <n v="109565"/>
    <s v="Special price"/>
    <s v="YSM10"/>
    <s v="L-&gt;R"/>
    <s v="No"/>
    <s v="Y48290"/>
    <n v="1"/>
    <s v="盐保仓库"/>
    <d v="2019-07-03T00:00:00"/>
    <n v="6.4699999999999994E-2"/>
    <x v="6"/>
    <d v="1905-07-11T01:26:24"/>
    <s v="JPY"/>
    <x v="115"/>
    <x v="90"/>
    <x v="1"/>
    <s v="L-&gt;R"/>
    <s v="No"/>
    <s v="OK"/>
  </r>
  <r>
    <n v="360"/>
    <s v="已发货"/>
    <s v="C49"/>
    <n v="109565"/>
    <s v="Special price"/>
    <s v="YSM10"/>
    <s v="L-&gt;R"/>
    <s v="No"/>
    <s v="Y48292"/>
    <n v="1"/>
    <s v="盐保仓库"/>
    <d v="2019-07-03T00:00:00"/>
    <n v="6.4699999999999994E-2"/>
    <x v="6"/>
    <d v="1905-07-11T01:26:24"/>
    <s v="RMB"/>
    <x v="102"/>
    <x v="82"/>
    <x v="1"/>
    <s v="L-&gt;R"/>
    <s v="MVC"/>
    <s v="WRONG"/>
  </r>
  <r>
    <n v="335"/>
    <s v="已发货"/>
    <s v="C49"/>
    <n v="109603"/>
    <s v="Special package"/>
    <s v="YSM20R(SV)-2"/>
    <s v="R-&gt;L"/>
    <s v="No"/>
    <s v="Y48502"/>
    <n v="1"/>
    <s v="盐保仓库"/>
    <d v="2019-07-03T00:00:00"/>
    <n v="6.4699999999999994E-2"/>
    <x v="5"/>
    <d v="1905-07-11T01:26:24"/>
    <s v="JPY"/>
    <x v="117"/>
    <x v="92"/>
    <x v="4"/>
    <s v="R-&gt;L"/>
    <s v="No"/>
    <s v="OK"/>
  </r>
  <r>
    <n v="376"/>
    <s v="已发货"/>
    <s v="C49"/>
    <n v="109603"/>
    <s v="Special package"/>
    <s v="YSM20R(SV)-2"/>
    <s v="R-&gt;L"/>
    <s v="No"/>
    <s v="Y48499"/>
    <n v="1"/>
    <s v="盐保仓库"/>
    <d v="2019-07-03T00:00:00"/>
    <n v="6.4699999999999994E-2"/>
    <x v="6"/>
    <d v="1905-07-11T01:26:24"/>
    <s v="JPY"/>
    <x v="118"/>
    <x v="93"/>
    <x v="4"/>
    <s v="R-&gt;L"/>
    <s v="No"/>
    <s v="OK"/>
  </r>
  <r>
    <n v="377"/>
    <s v="已发货"/>
    <s v="C49"/>
    <n v="109603"/>
    <s v="Special package"/>
    <s v="YSM20R(SV)-2"/>
    <s v="R-&gt;L"/>
    <s v="No"/>
    <s v="Y48504"/>
    <n v="1"/>
    <s v="盐保仓库"/>
    <d v="2019-07-03T00:00:00"/>
    <n v="6.4699999999999994E-2"/>
    <x v="6"/>
    <d v="1905-07-11T01:26:24"/>
    <s v="JPY"/>
    <x v="118"/>
    <x v="93"/>
    <x v="4"/>
    <s v="R-&gt;L"/>
    <s v="No"/>
    <s v="OK"/>
  </r>
  <r>
    <n v="310"/>
    <s v="已发货"/>
    <s v="C49"/>
    <n v="109566"/>
    <s v="Special price"/>
    <s v="YSM10"/>
    <s v="L-&gt;R"/>
    <s v="No"/>
    <s v="Y48294"/>
    <n v="1"/>
    <s v="盐保仓库"/>
    <d v="2019-07-03T00:00:00"/>
    <n v="6.4699999999999994E-2"/>
    <x v="6"/>
    <d v="1905-07-11T01:26:24"/>
    <s v="RMB"/>
    <x v="119"/>
    <x v="94"/>
    <x v="1"/>
    <s v="R-&gt;L"/>
    <s v="MVC+Rear 站位"/>
    <s v="WRONG"/>
  </r>
  <r>
    <n v="464"/>
    <s v="已发货"/>
    <s v="C49"/>
    <n v="109602"/>
    <s v="Special package"/>
    <s v="YSM20R(SV)-2"/>
    <s v="L-&gt;R"/>
    <s v="MVC"/>
    <s v="Y48509"/>
    <n v="1"/>
    <s v="辉记中转仓"/>
    <d v="2019-07-17T00:00:00"/>
    <s v="No mismatch"/>
    <x v="15"/>
    <d v="1905-07-11T01:40:48"/>
    <s v="JPY"/>
    <x v="120"/>
    <x v="95"/>
    <x v="4"/>
    <s v="L-&gt;R"/>
    <s v="No"/>
    <s v="WRONG"/>
  </r>
  <r>
    <n v="426"/>
    <s v="已发货"/>
    <s v="C49"/>
    <n v="109602"/>
    <s v="Special package"/>
    <s v="YSM20R(SV)-2"/>
    <s v="L-&gt;R"/>
    <s v="MVC"/>
    <s v="Y48549"/>
    <n v="1"/>
    <s v="力合仓库(已经清关)"/>
    <d v="2019-07-17T00:00:00"/>
    <n v="6.4699999999999994E-2"/>
    <x v="5"/>
    <d v="1905-07-11T01:26:24"/>
    <s v="RMB"/>
    <x v="110"/>
    <x v="87"/>
    <x v="4"/>
    <s v="L-&gt;R"/>
    <s v="No"/>
    <s v="WRONG"/>
  </r>
  <r>
    <n v="313"/>
    <s v="已发货"/>
    <s v="C49"/>
    <n v="109602"/>
    <s v="Special package"/>
    <s v="YSM20R(SV)-2"/>
    <s v="L-&gt;R"/>
    <s v="MVC"/>
    <s v="Y48550"/>
    <n v="1"/>
    <s v="力合仓库(已经清关)"/>
    <d v="2019-07-17T00:00:00"/>
    <n v="6.4699999999999994E-2"/>
    <x v="14"/>
    <d v="1905-07-11T01:26:24"/>
    <s v="RMB"/>
    <x v="121"/>
    <x v="96"/>
    <x v="4"/>
    <s v="L-&gt;R"/>
    <s v="No"/>
    <s v="WRONG"/>
  </r>
  <r>
    <n v="424"/>
    <s v="已发货"/>
    <s v="C49"/>
    <n v="109602"/>
    <s v="Special package"/>
    <s v="YSM20R(SV)-2"/>
    <s v="L-&gt;R"/>
    <s v="MVC"/>
    <s v="Y48508"/>
    <n v="1"/>
    <s v="力合仓库(已经清关)"/>
    <d v="2019-07-17T00:00:00"/>
    <n v="6.4699999999999994E-2"/>
    <x v="5"/>
    <d v="1905-07-11T01:26:24"/>
    <s v="RMB"/>
    <x v="39"/>
    <x v="38"/>
    <x v="4"/>
    <s v="L-&gt;R"/>
    <s v="MVC"/>
    <s v="OK"/>
  </r>
  <r>
    <n v="430"/>
    <s v="已发货"/>
    <s v="C49"/>
    <n v="109602"/>
    <s v="Special package"/>
    <s v="YSM20R(SV)-2"/>
    <s v="L-&gt;R"/>
    <s v="MVC"/>
    <s v="Y48506"/>
    <n v="1"/>
    <s v="盐保仓库-&gt;准备清关"/>
    <d v="2019-07-17T00:00:00"/>
    <n v="6.4699999999999994E-2"/>
    <x v="5"/>
    <d v="1905-07-11T01:26:24"/>
    <s v="RMB"/>
    <x v="40"/>
    <x v="39"/>
    <x v="4"/>
    <s v="L-&gt;R"/>
    <s v="MVC"/>
    <s v="OK"/>
  </r>
  <r>
    <n v="409"/>
    <s v="已发货"/>
    <s v="C49"/>
    <n v="109602"/>
    <s v="Special package"/>
    <s v="YSM20R(SV)-2"/>
    <s v="L-&gt;R"/>
    <s v="MVC"/>
    <s v="Y48510"/>
    <n v="1"/>
    <s v="盐保仓库-&gt;准备清关"/>
    <d v="2019-07-17T00:00:00"/>
    <n v="6.4699999999999994E-2"/>
    <x v="14"/>
    <d v="1905-07-11T01:40:48"/>
    <s v="RMB"/>
    <x v="122"/>
    <x v="97"/>
    <x v="4"/>
    <s v="L-&gt;R"/>
    <s v="MVC"/>
    <s v="OK"/>
  </r>
  <r>
    <n v="440"/>
    <s v="已发货"/>
    <s v="C49"/>
    <n v="109602"/>
    <s v="Special package"/>
    <s v="YSM20R(SV)-2"/>
    <s v="L-&gt;R"/>
    <s v="MVC"/>
    <s v="Y48511"/>
    <n v="1"/>
    <s v="盐保仓库-&gt;准备清关"/>
    <d v="2019-07-17T00:00:00"/>
    <n v="6.4699999999999994E-2"/>
    <x v="15"/>
    <d v="1905-07-11T01:40:48"/>
    <s v="RMB"/>
    <x v="123"/>
    <x v="98"/>
    <x v="4"/>
    <s v="L-&gt;R"/>
    <s v="No"/>
    <s v="WRONG"/>
  </r>
  <r>
    <n v="455"/>
    <s v="已发货"/>
    <s v="C49"/>
    <n v="109608"/>
    <s v="Special package"/>
    <s v="YSM20R(SV)-2"/>
    <s v="L-&gt;R"/>
    <s v="MVC"/>
    <s v="Y48546"/>
    <n v="1"/>
    <s v="辉记中转仓"/>
    <d v="2019-07-19T00:00:00"/>
    <n v="6.4699999999999994E-2"/>
    <x v="15"/>
    <d v="1905-07-11T01:40:48"/>
    <s v="RMB"/>
    <x v="124"/>
    <x v="99"/>
    <x v="4"/>
    <s v="L-&gt;R"/>
    <s v="No"/>
    <s v="WRONG"/>
  </r>
  <r>
    <n v="463"/>
    <s v="已发货"/>
    <s v="C49"/>
    <n v="109608"/>
    <s v="Special package"/>
    <s v="YSM20R(SV)-2"/>
    <s v="L-&gt;R"/>
    <s v="MVC"/>
    <s v="Y48512"/>
    <n v="1"/>
    <s v="力合仓库(已经清关)"/>
    <d v="2019-07-19T00:00:00"/>
    <n v="6.4699999999999994E-2"/>
    <x v="15"/>
    <d v="1905-07-11T01:40:48"/>
    <s v="RMB"/>
    <x v="125"/>
    <x v="100"/>
    <x v="4"/>
    <s v="L-&gt;R"/>
    <s v="No"/>
    <s v="WRONG"/>
  </r>
  <r>
    <n v="334"/>
    <s v="已发货"/>
    <s v="C49"/>
    <n v="109610"/>
    <s v="长沙健科名义"/>
    <s v="YSM20R(SV)-2"/>
    <s v="L-&gt;R"/>
    <s v="No"/>
    <s v="Y48648"/>
    <n v="1"/>
    <s v="码头"/>
    <d v="2019-07-19T00:00:00"/>
    <n v="6.4699999999999994E-2"/>
    <x v="13"/>
    <d v="1905-07-11T01:40:48"/>
    <s v="JPY"/>
    <x v="97"/>
    <x v="79"/>
    <x v="4"/>
    <s v="L-&gt;R"/>
    <s v="No"/>
    <s v="OK"/>
  </r>
  <r>
    <n v="427"/>
    <s v="已发货"/>
    <s v="C49"/>
    <n v="109608"/>
    <s v="Special package"/>
    <s v="YSM20R(SV)-2"/>
    <s v="L-&gt;R"/>
    <s v="MVC"/>
    <s v="Y48548"/>
    <n v="1"/>
    <s v="盐保仓库"/>
    <d v="2019-07-19T00:00:00"/>
    <n v="6.4699999999999994E-2"/>
    <x v="14"/>
    <d v="1905-07-11T01:40:48"/>
    <s v="RMB"/>
    <x v="126"/>
    <x v="101"/>
    <x v="4"/>
    <s v="L-&gt;R"/>
    <s v="No"/>
    <s v="WRONG"/>
  </r>
  <r>
    <n v="428"/>
    <s v="已发货"/>
    <s v="C49"/>
    <n v="109608"/>
    <s v="Special package"/>
    <s v="YSM20R(SV)-2"/>
    <s v="L-&gt;R"/>
    <s v="MVC"/>
    <s v="Y48513"/>
    <n v="1"/>
    <s v="盐保仓库"/>
    <d v="2019-07-19T00:00:00"/>
    <n v="6.4699999999999994E-2"/>
    <x v="14"/>
    <d v="1905-07-11T01:40:48"/>
    <s v="RMB"/>
    <x v="126"/>
    <x v="101"/>
    <x v="4"/>
    <s v="L-&gt;R"/>
    <s v="No"/>
    <s v="WRONG"/>
  </r>
  <r>
    <n v="357"/>
    <s v="已发货"/>
    <s v="C49"/>
    <n v="109623"/>
    <s v="IND,APT 名义"/>
    <s v="SIGMA-G5S2"/>
    <s v="L-&gt;R"/>
    <s v="No"/>
    <s v="Y48792"/>
    <n v="1"/>
    <s v="码头"/>
    <d v="2019-07-31T00:00:00"/>
    <n v="6.4799999999999996E-2"/>
    <x v="13"/>
    <d v="1905-07-11T01:40:48"/>
    <s v="JPY"/>
    <x v="127"/>
    <x v="102"/>
    <x v="9"/>
    <s v="L-&gt;R"/>
    <s v="No"/>
    <s v="OK"/>
  </r>
  <r>
    <n v="358"/>
    <s v="已发货"/>
    <s v="C49"/>
    <n v="109623"/>
    <s v="IND,APT 名义"/>
    <s v="SIGMA-G5S2"/>
    <s v="L-&gt;R"/>
    <s v="No"/>
    <s v="Y48793"/>
    <n v="1"/>
    <s v="码头"/>
    <d v="2019-07-31T00:00:00"/>
    <n v="6.4799999999999996E-2"/>
    <x v="13"/>
    <d v="1905-07-11T01:40:48"/>
    <s v="JPY"/>
    <x v="127"/>
    <x v="102"/>
    <x v="9"/>
    <s v="L-&gt;R"/>
    <s v="No"/>
    <s v="OK"/>
  </r>
  <r>
    <n v="387"/>
    <s v="已发货"/>
    <s v="C49"/>
    <n v="109587"/>
    <s v="Special package"/>
    <s v="YSM10"/>
    <s v="R-&gt;L"/>
    <s v="No"/>
    <s v="Y48463"/>
    <n v="1"/>
    <s v="辉记中转仓"/>
    <d v="2019-08-09T00:00:00"/>
    <n v="6.4799999999999996E-2"/>
    <x v="5"/>
    <d v="1905-07-11T01:40:48"/>
    <s v="RMB"/>
    <x v="91"/>
    <x v="44"/>
    <x v="1"/>
    <s v="L-&gt;R"/>
    <s v="MVC"/>
    <s v="WRONG"/>
  </r>
  <r>
    <n v="420"/>
    <s v="已发货"/>
    <s v="C49"/>
    <n v="109587"/>
    <s v="Special package"/>
    <s v="YSM10"/>
    <s v="R-&gt;L"/>
    <s v="MVC+ATS15"/>
    <s v="Y48459"/>
    <n v="1"/>
    <s v="力合仓库(已经清关)"/>
    <d v="2019-08-09T00:00:00"/>
    <n v="6.4799999999999996E-2"/>
    <x v="5"/>
    <d v="1905-07-11T01:40:48"/>
    <s v="RMB"/>
    <x v="111"/>
    <x v="88"/>
    <x v="1"/>
    <s v="L-&gt;R"/>
    <s v="MVC+ATS15"/>
    <s v="WRONG"/>
  </r>
  <r>
    <n v="421"/>
    <s v="已发货"/>
    <s v="C49"/>
    <n v="109587"/>
    <s v="Special package"/>
    <s v="YSM10"/>
    <s v="R-&gt;L"/>
    <s v="MVC+ATS15"/>
    <s v="Y48461"/>
    <n v="1"/>
    <s v="力合仓库(已经清关)"/>
    <d v="2019-08-09T00:00:00"/>
    <n v="6.4799999999999996E-2"/>
    <x v="15"/>
    <d v="1905-07-11T01:40:48"/>
    <s v="RMB"/>
    <x v="111"/>
    <x v="88"/>
    <x v="1"/>
    <s v="R-&gt;L"/>
    <s v="MVC+ATS15"/>
    <s v="OK"/>
  </r>
  <r>
    <n v="408"/>
    <s v="已发货"/>
    <s v="C49"/>
    <n v="109587"/>
    <s v="Special package"/>
    <s v="YSM10"/>
    <s v="R-&gt;L"/>
    <s v="No"/>
    <s v="Y48462"/>
    <n v="1"/>
    <s v="力合仓库(已经清关)"/>
    <d v="2019-08-09T00:00:00"/>
    <n v="6.4799999999999996E-2"/>
    <x v="5"/>
    <d v="1905-07-11T01:40:48"/>
    <s v="RMB"/>
    <x v="128"/>
    <x v="95"/>
    <x v="1"/>
    <s v="L-&gt;R"/>
    <s v="MVC"/>
    <s v="WRONG"/>
  </r>
  <r>
    <n v="398"/>
    <s v="已发货"/>
    <s v="C49"/>
    <n v="109588"/>
    <s v="Special package"/>
    <s v="YSM10"/>
    <s v="R-&gt;L"/>
    <s v="No"/>
    <s v="Y48465"/>
    <n v="1"/>
    <s v="力合仓库(已经清关)"/>
    <d v="2019-08-09T00:00:00"/>
    <n v="6.4799999999999996E-2"/>
    <x v="5"/>
    <d v="1905-07-11T01:40:48"/>
    <s v="RMB"/>
    <x v="92"/>
    <x v="64"/>
    <x v="1"/>
    <s v="R-&gt;L"/>
    <s v="MVC"/>
    <s v="WRONG"/>
  </r>
  <r>
    <n v="433"/>
    <s v="已发货"/>
    <s v="C49"/>
    <n v="109588"/>
    <s v="Special package"/>
    <s v="YSM10"/>
    <s v="R-&gt;L"/>
    <s v="No"/>
    <s v="Y48467"/>
    <n v="1"/>
    <s v="盐保仓库"/>
    <d v="2019-08-09T00:00:00"/>
    <n v="6.4799999999999996E-2"/>
    <x v="14"/>
    <d v="1905-07-11T01:40:48"/>
    <s v="RMB"/>
    <x v="129"/>
    <x v="103"/>
    <x v="1"/>
    <s v="L-&gt;R"/>
    <s v="MVC"/>
    <s v="WRONG"/>
  </r>
  <r>
    <n v="312"/>
    <s v="已发货"/>
    <s v="C49"/>
    <n v="109588"/>
    <s v="Special package"/>
    <s v="YSM10"/>
    <s v="R-&gt;L"/>
    <s v="No"/>
    <s v="Y48464"/>
    <n v="1"/>
    <s v="盐保仓库"/>
    <d v="2019-08-09T00:00:00"/>
    <n v="6.4799999999999996E-2"/>
    <x v="14"/>
    <d v="1905-07-11T01:40:48"/>
    <s v="RMB"/>
    <x v="121"/>
    <x v="96"/>
    <x v="1"/>
    <s v="L-&gt;R"/>
    <s v="MVC"/>
    <s v="WRONG"/>
  </r>
  <r>
    <n v="353"/>
    <s v="已发货"/>
    <s v="C49"/>
    <n v="109588"/>
    <s v="Special package"/>
    <s v="YSM10"/>
    <s v="R-&gt;L"/>
    <s v="96 FEEDER PLATE (YSM10) "/>
    <s v="Y48468"/>
    <n v="1"/>
    <s v="盐保仓库"/>
    <d v="2019-08-09T00:00:00"/>
    <n v="6.4799999999999996E-2"/>
    <x v="14"/>
    <d v="1905-07-11T01:40:48"/>
    <s v="JPY"/>
    <x v="130"/>
    <x v="104"/>
    <x v="1"/>
    <s v="L-&gt;R"/>
    <s v="MVC+Rear 站位"/>
    <s v="WRONG"/>
  </r>
  <r>
    <n v="392"/>
    <s v="已发货"/>
    <s v="C49"/>
    <n v="109587"/>
    <s v="Special package"/>
    <s v="YSM10"/>
    <s v="R-&gt;L"/>
    <s v="MVC+ATS15"/>
    <s v="Y48460"/>
    <n v="1"/>
    <s v="盐保仓库-&gt;准备清关"/>
    <d v="2019-08-09T00:00:00"/>
    <n v="6.4799999999999996E-2"/>
    <x v="14"/>
    <d v="1905-07-11T01:40:48"/>
    <s v="RMB"/>
    <x v="131"/>
    <x v="105"/>
    <x v="1"/>
    <s v="L-&gt;R"/>
    <s v="MVC+ATS15"/>
    <s v="WRONG"/>
  </r>
  <r>
    <n v="393"/>
    <s v="已发货"/>
    <s v="C49"/>
    <n v="109588"/>
    <s v="Special package"/>
    <s v="YSM10"/>
    <s v="R-&gt;L"/>
    <s v="No"/>
    <s v="Y48466"/>
    <n v="1"/>
    <s v="盐保仓库-&gt;准备清关"/>
    <d v="2019-08-09T00:00:00"/>
    <n v="6.4799999999999996E-2"/>
    <x v="14"/>
    <d v="1905-07-11T01:40:48"/>
    <s v="RMB"/>
    <x v="131"/>
    <x v="105"/>
    <x v="1"/>
    <s v="L-&gt;R"/>
    <s v="No"/>
    <s v="WRONG"/>
  </r>
  <r>
    <n v="379"/>
    <s v="已发货"/>
    <s v="C28"/>
    <n v="109662"/>
    <s v="IND, 科士达"/>
    <s v="YSD"/>
    <s v="L-&gt;R"/>
    <s v="No"/>
    <s v="Y48943"/>
    <n v="1"/>
    <s v="码头"/>
    <d v="2019-08-30T00:00:00"/>
    <n v="6.4399999999999999E-2"/>
    <x v="5"/>
    <d v="1905-07-11T01:55:12"/>
    <s v="RMB"/>
    <x v="132"/>
    <x v="106"/>
    <x v="10"/>
    <s v="L-&gt;R"/>
    <s v="No"/>
    <s v="OK"/>
  </r>
  <r>
    <n v="361"/>
    <s v="已发货"/>
    <s v="C49"/>
    <n v="109624"/>
    <s v="Special package"/>
    <s v="YSM20R(SV)-2"/>
    <s v="L-&gt;R"/>
    <s v="No"/>
    <s v="Y48797"/>
    <n v="1"/>
    <s v="辉记中转仓"/>
    <d v="2019-09-06T00:00:00"/>
    <n v="6.4799999999999996E-2"/>
    <x v="5"/>
    <d v="1905-07-11T01:55:12"/>
    <s v="JPY"/>
    <x v="133"/>
    <x v="107"/>
    <x v="4"/>
    <s v="L-&gt;R"/>
    <s v="No"/>
    <s v="OK"/>
  </r>
  <r>
    <n v="362"/>
    <s v="已发货"/>
    <s v="C49"/>
    <n v="109624"/>
    <s v="Special package"/>
    <s v="YSM20R(SV)-2"/>
    <s v="L-&gt;R"/>
    <s v="No"/>
    <s v="Y48798"/>
    <n v="1"/>
    <s v="辉记中转仓"/>
    <d v="2019-09-06T00:00:00"/>
    <n v="6.4799999999999996E-2"/>
    <x v="5"/>
    <d v="1905-07-11T01:55:12"/>
    <s v="JPY"/>
    <x v="133"/>
    <x v="107"/>
    <x v="4"/>
    <s v="L-&gt;R"/>
    <s v="No"/>
    <s v="OK"/>
  </r>
  <r>
    <n v="363"/>
    <s v="已发货"/>
    <s v="C49"/>
    <n v="109625"/>
    <s v="Special package"/>
    <s v="YSM10"/>
    <s v="R-&gt;L"/>
    <s v="No"/>
    <s v="Y48771"/>
    <n v="1"/>
    <s v="辉记中转仓"/>
    <d v="2019-09-06T00:00:00"/>
    <n v="6.4799999999999996E-2"/>
    <x v="5"/>
    <d v="1905-07-11T01:40:48"/>
    <s v="JPY"/>
    <x v="133"/>
    <x v="107"/>
    <x v="1"/>
    <s v="L-&gt;R"/>
    <s v="MVC"/>
    <s v="WRONG"/>
  </r>
  <r>
    <n v="364"/>
    <s v="已发货"/>
    <s v="C49"/>
    <n v="109625"/>
    <s v="Special package"/>
    <s v="YSM10"/>
    <s v="R-&gt;L"/>
    <s v="No"/>
    <s v="Y48772"/>
    <n v="1"/>
    <s v="辉记中转仓"/>
    <d v="2019-09-06T00:00:00"/>
    <n v="6.4799999999999996E-2"/>
    <x v="5"/>
    <d v="1905-07-11T01:40:48"/>
    <s v="JPY"/>
    <x v="133"/>
    <x v="107"/>
    <x v="1"/>
    <s v="L-&gt;R"/>
    <s v="MVC"/>
    <s v="WRONG"/>
  </r>
  <r>
    <n v="422"/>
    <s v="已发货"/>
    <s v="C49"/>
    <n v="109625"/>
    <s v="Special package"/>
    <s v="YSM10"/>
    <s v="R-&gt;L"/>
    <s v="ATS15"/>
    <s v="Y48769"/>
    <n v="1"/>
    <s v="力合仓库(已经清关)"/>
    <d v="2019-09-06T00:00:00"/>
    <n v="6.4799999999999996E-2"/>
    <x v="15"/>
    <d v="1905-07-11T01:40:48"/>
    <s v="RMB"/>
    <x v="111"/>
    <x v="88"/>
    <x v="1"/>
    <s v="R-&gt;L"/>
    <s v="MVC+ATS15"/>
    <s v="WRONG"/>
  </r>
  <r>
    <n v="432"/>
    <s v="已发货"/>
    <s v="C49"/>
    <n v="109624"/>
    <s v="Special package"/>
    <s v="YSM20R(SV)-2"/>
    <s v="L-&gt;R"/>
    <s v="No"/>
    <s v="Y48800"/>
    <n v="1"/>
    <s v="盐保仓库"/>
    <d v="2019-09-06T00:00:00"/>
    <n v="6.4799999999999996E-2"/>
    <x v="14"/>
    <d v="1905-07-11T01:55:12"/>
    <s v="RMB"/>
    <x v="129"/>
    <x v="103"/>
    <x v="4"/>
    <s v="L-&gt;R"/>
    <s v="No"/>
    <s v="OK"/>
  </r>
  <r>
    <n v="391"/>
    <s v="已发货"/>
    <s v="C49"/>
    <n v="109624"/>
    <s v="Special package"/>
    <s v="YSM20R(SV)-2"/>
    <s v="L-&gt;R"/>
    <s v="No"/>
    <s v="Y48799"/>
    <n v="1"/>
    <s v="盐保仓库-&gt;准备清关"/>
    <d v="2019-09-06T00:00:00"/>
    <n v="6.4799999999999996E-2"/>
    <x v="14"/>
    <d v="1905-07-11T01:55:12"/>
    <s v="RMB"/>
    <x v="131"/>
    <x v="105"/>
    <x v="4"/>
    <s v="L-&gt;R"/>
    <s v="No"/>
    <s v="OK"/>
  </r>
  <r>
    <n v="441"/>
    <s v="已发货"/>
    <s v="C49"/>
    <n v="109624"/>
    <s v="Special package"/>
    <s v="YSM20R(SV)-2"/>
    <s v="L-&gt;R"/>
    <s v="No"/>
    <s v="Y48802"/>
    <n v="1"/>
    <s v="盐保仓库-&gt;准备清关"/>
    <d v="2019-09-06T00:00:00"/>
    <n v="6.4799999999999996E-2"/>
    <x v="15"/>
    <d v="1905-07-11T01:55:12"/>
    <s v="RMB"/>
    <x v="123"/>
    <x v="98"/>
    <x v="4"/>
    <s v="L-&gt;R"/>
    <s v="No"/>
    <s v="OK"/>
  </r>
  <r>
    <s v="福建泉盛"/>
    <s v="已发货"/>
    <s v="C49"/>
    <n v="109625"/>
    <s v="Special package"/>
    <s v="YSM10"/>
    <s v="R-&gt;L"/>
    <s v="ATS15"/>
    <s v="Y48770"/>
    <n v="1"/>
    <s v="盐保仓库-&gt;准备清关"/>
    <d v="2019-09-06T00:00:00"/>
    <n v="6.7100000000000007E-2"/>
    <x v="15"/>
    <d v="1905-07-11T01:40:48"/>
    <e v="#N/A"/>
    <x v="42"/>
    <x v="41"/>
    <x v="6"/>
    <e v="#N/A"/>
    <e v="#N/A"/>
    <e v="#N/A"/>
  </r>
  <r>
    <n v="431"/>
    <s v="已发货"/>
    <s v="C49"/>
    <n v="109624"/>
    <s v="Special package"/>
    <s v="YSM20R(SV)-2"/>
    <s v="L-&gt;R"/>
    <s v="No"/>
    <s v="Y48801"/>
    <n v="1"/>
    <s v="盐保仓库-&gt;准备清关"/>
    <d v="2019-09-06T00:00:00"/>
    <n v="6.4799999999999996E-2"/>
    <x v="5"/>
    <d v="1905-07-11T01:55:12"/>
    <s v="RMB"/>
    <x v="40"/>
    <x v="39"/>
    <x v="4"/>
    <s v="L-&gt;R"/>
    <s v="No"/>
    <s v="OK"/>
  </r>
  <r>
    <n v="405"/>
    <s v="已发货"/>
    <s v="C49"/>
    <n v="109694"/>
    <s v="IND,APT 名义"/>
    <s v="SIGMA-G5S2"/>
    <s v="L-&gt;R"/>
    <s v="No"/>
    <s v="Y49277"/>
    <n v="1"/>
    <s v="码头"/>
    <d v="2019-09-29T00:00:00"/>
    <s v="No mismatch"/>
    <x v="14"/>
    <d v="1905-07-11T02:09:36"/>
    <s v="JPY"/>
    <x v="134"/>
    <x v="102"/>
    <x v="9"/>
    <s v="No"/>
    <s v="No"/>
    <s v="WRONG"/>
  </r>
  <r>
    <n v="406"/>
    <s v="已发货"/>
    <s v="C49"/>
    <n v="109694"/>
    <s v="IND,APT 名义"/>
    <s v="SIGMA-G5S2"/>
    <s v="L-&gt;R"/>
    <s v="No"/>
    <s v="Y49276"/>
    <n v="1"/>
    <s v="码头"/>
    <d v="2019-09-29T00:00:00"/>
    <s v="No mismatch"/>
    <x v="14"/>
    <d v="1905-07-11T02:09:36"/>
    <s v="JPY"/>
    <x v="134"/>
    <x v="102"/>
    <x v="9"/>
    <s v="No"/>
    <s v="No"/>
    <s v="WRONG"/>
  </r>
  <r>
    <n v="456"/>
    <s v="已发货"/>
    <s v="C49"/>
    <n v="109665"/>
    <s v="Special package"/>
    <s v="YSM10"/>
    <s v="R-&gt;L"/>
    <s v="No"/>
    <s v="Y49190"/>
    <n v="1"/>
    <s v="辉记中转仓"/>
    <d v="2019-10-11T00:00:00"/>
    <n v="6.7299999999999999E-2"/>
    <x v="15"/>
    <d v="1905-07-11T02:09:36"/>
    <s v="RMB"/>
    <x v="124"/>
    <x v="99"/>
    <x v="1"/>
    <s v="L-&gt;R"/>
    <s v="MVC"/>
    <s v="WRONG"/>
  </r>
  <r>
    <n v="352"/>
    <s v="已发货"/>
    <s v="C49"/>
    <n v="109665"/>
    <s v="Special package"/>
    <s v="YSM10"/>
    <s v="R-&gt;L"/>
    <s v="No"/>
    <s v="Y49189"/>
    <n v="1"/>
    <s v="盐保仓库"/>
    <d v="2019-10-11T00:00:00"/>
    <n v="6.7299999999999999E-2"/>
    <x v="14"/>
    <d v="1905-07-11T02:09:36"/>
    <s v="JPY"/>
    <x v="130"/>
    <x v="104"/>
    <x v="1"/>
    <s v="L-&gt;R"/>
    <s v="No"/>
    <s v="WRONG"/>
  </r>
  <r>
    <n v="454"/>
    <s v="已发货"/>
    <s v="C49"/>
    <n v="109665"/>
    <s v="Special package"/>
    <s v="YSM10"/>
    <s v="R-&gt;L"/>
    <s v="No"/>
    <s v="Y49188"/>
    <n v="1"/>
    <s v="盐保仓库"/>
    <d v="2019-10-11T00:00:00"/>
    <n v="6.7299999999999999E-2"/>
    <x v="14"/>
    <d v="1905-07-11T02:09:36"/>
    <s v="JPY"/>
    <x v="135"/>
    <x v="16"/>
    <x v="1"/>
    <s v="L-&gt;R"/>
    <s v="MVC"/>
    <s v="WRONG"/>
  </r>
  <r>
    <n v="351"/>
    <s v="已发货"/>
    <s v="C49"/>
    <n v="109665"/>
    <s v="Special package"/>
    <s v="YSM10"/>
    <s v="R-&gt;L"/>
    <s v="HM5"/>
    <s v="Y49191"/>
    <n v="1"/>
    <s v="盐保仓库"/>
    <d v="2019-10-11T00:00:00"/>
    <n v="6.7299999999999999E-2"/>
    <x v="14"/>
    <d v="1905-07-11T02:09:36"/>
    <s v="JPY"/>
    <x v="130"/>
    <x v="104"/>
    <x v="1"/>
    <s v="R-&gt;L"/>
    <s v="HM5"/>
    <s v="OK"/>
  </r>
  <r>
    <n v="615"/>
    <s v="已发货"/>
    <s v="C49"/>
    <n v="109665"/>
    <s v="Special package"/>
    <s v="YSM10"/>
    <s v="R-&gt;L"/>
    <s v="Fixed feeder plate 24 positions"/>
    <s v="Y49192"/>
    <n v="1"/>
    <s v="盐保仓库"/>
    <d v="2019-10-11T00:00:00"/>
    <n v="6.7299999999999999E-2"/>
    <x v="16"/>
    <d v="1905-07-11T02:09:36"/>
    <s v="JPY"/>
    <x v="136"/>
    <x v="108"/>
    <x v="1"/>
    <s v="L-&gt;R"/>
    <s v="MVC+Fixed feeder plate 24 positions"/>
    <s v="WRONG"/>
  </r>
  <r>
    <n v="434"/>
    <s v="已发货"/>
    <s v="C49"/>
    <n v="109665"/>
    <s v="Special package"/>
    <s v="YSM10"/>
    <s v="R-&gt;L"/>
    <s v="No"/>
    <s v="Y49187"/>
    <n v="1"/>
    <s v="盐保仓库-&gt;准备清关"/>
    <d v="2019-10-11T00:00:00"/>
    <n v="6.7299999999999999E-2"/>
    <x v="14"/>
    <m/>
    <s v="RMB"/>
    <x v="137"/>
    <x v="109"/>
    <x v="1"/>
    <s v="L-&gt;R"/>
    <s v="MVC"/>
    <s v="WRONG"/>
  </r>
  <r>
    <n v="465"/>
    <s v="已发货"/>
    <s v="C49"/>
    <n v="109686"/>
    <s v="Special package"/>
    <s v="YSM10"/>
    <s v="R-&gt;L"/>
    <s v="No"/>
    <s v="Y49251"/>
    <n v="1"/>
    <s v="辉记中转仓"/>
    <d v="2019-10-18T00:00:00"/>
    <n v="6.7100000000000007E-2"/>
    <x v="15"/>
    <d v="1905-07-11T02:24:00"/>
    <s v="JPY"/>
    <x v="120"/>
    <x v="95"/>
    <x v="1"/>
    <s v="L-&gt;R"/>
    <s v="MVC"/>
    <s v="WRONG"/>
  </r>
  <r>
    <n v="496"/>
    <s v="已发货"/>
    <s v="C49"/>
    <n v="109686"/>
    <s v="Special package"/>
    <s v="YSM10"/>
    <s v="R-&gt;L"/>
    <s v="No"/>
    <s v="Y49250"/>
    <n v="1"/>
    <s v="力合仓库(已经清关)"/>
    <d v="2019-10-18T00:00:00"/>
    <n v="6.7100000000000007E-2"/>
    <x v="0"/>
    <d v="1905-07-11T02:24:00"/>
    <s v="RMB"/>
    <x v="138"/>
    <x v="55"/>
    <x v="1"/>
    <s v="L-&gt;R"/>
    <s v="MVC"/>
    <s v="WRONG"/>
  </r>
  <r>
    <n v="513"/>
    <s v="已发货"/>
    <s v="C49"/>
    <n v="109686"/>
    <s v="Special package"/>
    <s v="YSM10"/>
    <s v="R-&gt;L"/>
    <s v="ATS15"/>
    <s v="Y49260"/>
    <n v="1"/>
    <s v="力合中转仓"/>
    <d v="2019-10-18T00:00:00"/>
    <n v="6.4799999999999996E-2"/>
    <x v="18"/>
    <d v="1905-07-11T02:24:00"/>
    <s v="JPY"/>
    <x v="139"/>
    <x v="110"/>
    <x v="1"/>
    <s v="L-&gt;R"/>
    <s v="MVC+ATS15"/>
    <s v="WRONG"/>
  </r>
  <r>
    <n v="527"/>
    <s v="已发货"/>
    <s v="C49"/>
    <n v="109686"/>
    <s v="Special package"/>
    <s v="YSM10"/>
    <s v="R-&gt;L"/>
    <s v="No"/>
    <s v="Y49252"/>
    <n v="1"/>
    <s v="盐保仓库"/>
    <d v="2019-10-18T00:00:00"/>
    <n v="6.7100000000000007E-2"/>
    <x v="0"/>
    <d v="1905-07-11T02:24:00"/>
    <s v="JPY"/>
    <x v="140"/>
    <x v="111"/>
    <x v="1"/>
    <s v="L-&gt;R"/>
    <s v="MVC"/>
    <s v="WRONG"/>
  </r>
  <r>
    <n v="459"/>
    <s v="已发货"/>
    <s v="C49"/>
    <n v="109686"/>
    <s v="Special package"/>
    <s v="YSM10"/>
    <s v="R-&gt;L"/>
    <s v="ATS15"/>
    <s v="Y49258"/>
    <n v="1"/>
    <s v="盐保仓库"/>
    <d v="2019-10-18T00:00:00"/>
    <n v="6.7100000000000007E-2"/>
    <x v="0"/>
    <d v="1905-07-11T02:09:36"/>
    <s v="JPY"/>
    <x v="141"/>
    <x v="28"/>
    <x v="1"/>
    <s v="L-&gt;R"/>
    <s v="MVC+ATS15"/>
    <s v="WRONG"/>
  </r>
  <r>
    <n v="460"/>
    <s v="已发货"/>
    <s v="C49"/>
    <n v="109686"/>
    <s v="Special package"/>
    <s v="YSM10"/>
    <s v="R-&gt;L"/>
    <s v="ATS15"/>
    <s v="Y49259"/>
    <n v="1"/>
    <s v="盐保仓库"/>
    <d v="2019-10-18T00:00:00"/>
    <n v="6.7100000000000007E-2"/>
    <x v="0"/>
    <d v="1905-07-11T02:09:36"/>
    <s v="JPY"/>
    <x v="141"/>
    <x v="28"/>
    <x v="1"/>
    <s v="R-&gt;L"/>
    <s v="MVC+ATS15"/>
    <s v="WRONG"/>
  </r>
  <r>
    <n v="525"/>
    <s v="已发货"/>
    <s v="C49"/>
    <n v="109715"/>
    <s v="Special package"/>
    <s v="YSM20R(SV)-2"/>
    <s v="L-&gt;R"/>
    <s v="No"/>
    <s v="Y49068"/>
    <n v="1"/>
    <s v="力合仓库(已经清关)"/>
    <d v="2019-10-25T00:00:00"/>
    <s v="No mismatch  （Cooper rate:0.0676)"/>
    <x v="0"/>
    <d v="1905-07-11T02:24:00"/>
    <s v="RMB"/>
    <x v="142"/>
    <x v="112"/>
    <x v="4"/>
    <s v="L-&gt;R"/>
    <s v="No"/>
    <s v="OK"/>
  </r>
  <r>
    <n v="476"/>
    <s v="已发货"/>
    <s v="C49"/>
    <n v="109715"/>
    <s v="Special package"/>
    <s v="YSM20R(SV)-2"/>
    <s v="L-&gt;R"/>
    <s v="No"/>
    <s v="Y49070"/>
    <n v="1"/>
    <s v="力合中转仓"/>
    <d v="2019-10-25T00:00:00"/>
    <s v="No mismatch"/>
    <x v="0"/>
    <d v="1905-07-11T02:24:00"/>
    <s v="JPY"/>
    <x v="143"/>
    <x v="89"/>
    <x v="4"/>
    <s v="L-&gt;R"/>
    <s v="No"/>
    <s v="OK"/>
  </r>
  <r>
    <n v="477"/>
    <s v="已发货"/>
    <s v="C49"/>
    <n v="109715"/>
    <s v="Special package"/>
    <s v="YSM20R(SV)-2"/>
    <s v="L-&gt;R"/>
    <s v="No"/>
    <s v="Y49071"/>
    <n v="1"/>
    <s v="力合中转仓"/>
    <d v="2019-10-25T00:00:00"/>
    <s v="No mismatch"/>
    <x v="0"/>
    <d v="1905-07-11T02:24:00"/>
    <s v="JPY"/>
    <x v="143"/>
    <x v="89"/>
    <x v="4"/>
    <s v="L-&gt;R"/>
    <s v="No"/>
    <s v="OK"/>
  </r>
  <r>
    <n v="469"/>
    <s v="已发货"/>
    <s v="C49"/>
    <n v="109715"/>
    <s v="Special package"/>
    <s v="YSM20R(SV)-2"/>
    <s v="L-&gt;R"/>
    <s v="No"/>
    <s v="Y49069"/>
    <n v="1"/>
    <s v="盐保仓库"/>
    <d v="2019-10-25T00:00:00"/>
    <s v="No mismatch"/>
    <x v="15"/>
    <d v="1905-07-11T02:24:00"/>
    <s v="JPY"/>
    <x v="144"/>
    <x v="72"/>
    <x v="4"/>
    <s v="L-&gt;R"/>
    <s v="No"/>
    <s v="OK"/>
  </r>
  <r>
    <n v="411"/>
    <s v="已发货"/>
    <s v="C49"/>
    <n v="109664"/>
    <s v="Special package"/>
    <s v="YSM20R(SV)-2"/>
    <s v="R-&gt;L"/>
    <s v="No"/>
    <s v="Y49322"/>
    <n v="1"/>
    <s v="力合仓库(已经清关)"/>
    <d v="2019-11-01T00:00:00"/>
    <n v="6.7199999999999996E-2"/>
    <x v="15"/>
    <d v="1905-07-11T02:24:00"/>
    <s v="RMB"/>
    <x v="111"/>
    <x v="88"/>
    <x v="4"/>
    <s v="R-&gt;L"/>
    <s v="No"/>
    <s v="OK"/>
  </r>
  <r>
    <n v="435"/>
    <s v="已发货"/>
    <s v="C49"/>
    <n v="109664"/>
    <s v="Special package"/>
    <s v="YSM20R(SV)-2"/>
    <s v="R-&gt;L"/>
    <s v="No"/>
    <s v="Y49323"/>
    <n v="1"/>
    <s v="码头-&gt;准备清关"/>
    <d v="2019-11-01T00:00:00"/>
    <n v="6.7199999999999996E-2"/>
    <x v="15"/>
    <d v="1905-07-11T02:24:00"/>
    <s v="RMB"/>
    <x v="145"/>
    <x v="113"/>
    <x v="4"/>
    <s v="R-&gt;L"/>
    <s v="MVC"/>
    <s v="WRONG"/>
  </r>
  <r>
    <n v="413"/>
    <s v="已发货"/>
    <s v="C49"/>
    <n v="109705"/>
    <s v="Special package"/>
    <s v="YSM20R(SV)-2"/>
    <s v="R-&gt;L"/>
    <s v="No"/>
    <s v="Y49361"/>
    <n v="1"/>
    <s v="码头-&gt;准备清关"/>
    <d v="2019-11-01T00:00:00"/>
    <s v="No mismatch"/>
    <x v="15"/>
    <d v="1905-07-11T02:24:00"/>
    <s v="RMB"/>
    <x v="111"/>
    <x v="88"/>
    <x v="4"/>
    <s v="R-&gt;L"/>
    <s v="No"/>
    <s v="OK"/>
  </r>
  <r>
    <n v="414"/>
    <s v="已发货"/>
    <s v="C49"/>
    <n v="109705"/>
    <s v="Special package"/>
    <s v="YSM20R(SV)-2"/>
    <s v="R-&gt;L"/>
    <s v="No"/>
    <s v="Y49362"/>
    <n v="1"/>
    <s v="码头-&gt;准备清关"/>
    <d v="2019-11-01T00:00:00"/>
    <s v="No mismatch"/>
    <x v="15"/>
    <d v="1905-07-11T02:24:00"/>
    <s v="RMB"/>
    <x v="111"/>
    <x v="88"/>
    <x v="4"/>
    <s v="R-&gt;L"/>
    <s v="No"/>
    <s v="OK"/>
  </r>
  <r>
    <n v="412"/>
    <s v="已发货"/>
    <s v="C49"/>
    <n v="109705"/>
    <s v="Special package"/>
    <s v="YSM20R(SV)-2"/>
    <s v="R-&gt;L"/>
    <s v="No"/>
    <s v="Y49363"/>
    <n v="1"/>
    <s v="码头-&gt;准备清关"/>
    <d v="2019-11-01T00:00:00"/>
    <s v="No mismatch"/>
    <x v="15"/>
    <d v="1905-07-11T02:24:00"/>
    <s v="RMB"/>
    <x v="111"/>
    <x v="88"/>
    <x v="4"/>
    <s v="R-&gt;L"/>
    <s v="No"/>
    <s v="OK"/>
  </r>
  <r>
    <n v="386"/>
    <s v="已发货"/>
    <s v="C49"/>
    <n v="109705"/>
    <s v="Special package"/>
    <s v="YSM20R(SV)-2"/>
    <s v="L-&gt;R"/>
    <s v="No"/>
    <s v="Y49364"/>
    <n v="1"/>
    <s v="码头-&gt;准备清关"/>
    <d v="2019-11-01T00:00:00"/>
    <n v="6.4699999999999994E-2"/>
    <x v="15"/>
    <d v="1905-07-11T02:24:00"/>
    <s v="RMB"/>
    <x v="91"/>
    <x v="44"/>
    <x v="4"/>
    <s v="L-&gt;R"/>
    <s v="No"/>
    <s v="OK"/>
  </r>
  <r>
    <n v="514"/>
    <s v="已发货"/>
    <s v="C49"/>
    <n v="109664"/>
    <s v="Special package"/>
    <s v="YSM20R(SV)-2"/>
    <s v="L-&gt;R"/>
    <s v="No"/>
    <s v="Y49324"/>
    <n v="1"/>
    <s v="锘铧清关，送宽宏"/>
    <d v="2019-11-01T00:00:00"/>
    <n v="6.7199999999999996E-2"/>
    <x v="18"/>
    <d v="1905-07-11T02:24:00"/>
    <s v="JPY"/>
    <x v="139"/>
    <x v="110"/>
    <x v="4"/>
    <s v="L-&gt;R"/>
    <s v="No"/>
    <s v="OK"/>
  </r>
  <r>
    <n v="515"/>
    <s v="已发货"/>
    <s v="C49"/>
    <n v="109664"/>
    <s v="Special package"/>
    <s v="YSM20R(SV)-2"/>
    <s v="L-&gt;R"/>
    <s v="No"/>
    <s v="Y49326"/>
    <n v="1"/>
    <s v="锘铧清关，送宽宏"/>
    <d v="2019-11-01T00:00:00"/>
    <n v="6.7199999999999996E-2"/>
    <x v="18"/>
    <d v="1905-07-11T02:24:00"/>
    <s v="JPY"/>
    <x v="139"/>
    <x v="110"/>
    <x v="4"/>
    <s v="L-&gt;R"/>
    <s v="No"/>
    <s v="OK"/>
  </r>
  <r>
    <n v="504"/>
    <s v="已发货"/>
    <s v="C49"/>
    <n v="109685"/>
    <s v="Special package"/>
    <s v="YSM10"/>
    <s v="R-&gt;L"/>
    <s v="No"/>
    <s v="Y49255"/>
    <n v="1"/>
    <s v="盐保仓库"/>
    <d v="2019-11-01T00:00:00"/>
    <s v="No mismatch"/>
    <x v="0"/>
    <d v="1905-07-11T02:24:00"/>
    <s v="JPY"/>
    <x v="146"/>
    <x v="114"/>
    <x v="1"/>
    <s v="L-&gt;R"/>
    <s v="MVC"/>
    <s v="WRONG"/>
  </r>
  <r>
    <n v="505"/>
    <s v="已发货"/>
    <s v="C49"/>
    <n v="109685"/>
    <s v="Special package"/>
    <s v="YSM10"/>
    <s v="R-&gt;L"/>
    <s v="No"/>
    <s v="Y49256"/>
    <n v="1"/>
    <s v="盐保仓库"/>
    <d v="2019-11-01T00:00:00"/>
    <s v="No mismatch"/>
    <x v="0"/>
    <d v="1905-07-11T02:24:00"/>
    <s v="JPY"/>
    <x v="146"/>
    <x v="114"/>
    <x v="1"/>
    <s v="L-&gt;R"/>
    <s v="1.2m longboard+加大板相机"/>
    <s v="WRONG"/>
  </r>
  <r>
    <n v="506"/>
    <s v="已发货"/>
    <s v="C49"/>
    <n v="109685"/>
    <s v="Special package"/>
    <s v="YSM10"/>
    <s v="R-&gt;L"/>
    <s v="No"/>
    <s v="Y49257"/>
    <n v="1"/>
    <s v="盐保仓库"/>
    <d v="2019-11-01T00:00:00"/>
    <s v="No mismatch"/>
    <x v="0"/>
    <d v="1905-07-11T02:24:00"/>
    <s v="JPY"/>
    <x v="146"/>
    <x v="114"/>
    <x v="1"/>
    <s v="L-&gt;R"/>
    <s v="No"/>
    <s v="WRONG"/>
  </r>
  <r>
    <n v="497"/>
    <s v="已发货"/>
    <s v="C49"/>
    <n v="109693"/>
    <s v="Special package"/>
    <s v="YSM10"/>
    <s v="R-&gt;L"/>
    <s v="No"/>
    <s v="Y49311"/>
    <n v="1"/>
    <s v="盐保仓库"/>
    <d v="2019-11-01T00:00:00"/>
    <s v="No mismatch"/>
    <x v="15"/>
    <d v="1905-07-11T02:24:00"/>
    <s v="JPY"/>
    <x v="147"/>
    <x v="115"/>
    <x v="1"/>
    <s v="L-&gt;R"/>
    <s v="No"/>
    <s v="WRONG"/>
  </r>
  <r>
    <n v="498"/>
    <s v="已发货"/>
    <s v="C49"/>
    <n v="109693"/>
    <s v="Special package"/>
    <s v="YSM10"/>
    <s v="R-&gt;L"/>
    <s v="No"/>
    <s v="Y49312"/>
    <n v="1"/>
    <s v="盐保仓库"/>
    <d v="2019-11-01T00:00:00"/>
    <s v="No mismatch"/>
    <x v="15"/>
    <d v="1905-07-11T02:24:00"/>
    <s v="JPY"/>
    <x v="147"/>
    <x v="115"/>
    <x v="1"/>
    <s v="L-&gt;R"/>
    <s v="No"/>
    <s v="WRONG"/>
  </r>
  <r>
    <n v="507"/>
    <s v="已发货"/>
    <s v="C49"/>
    <n v="109693"/>
    <s v="Special package"/>
    <s v="YSM10"/>
    <s v="R-&gt;L"/>
    <s v="No"/>
    <s v="Y49313"/>
    <n v="1"/>
    <s v="盐保仓库"/>
    <d v="2019-11-01T00:00:00"/>
    <s v="No mismatch"/>
    <x v="0"/>
    <d v="1905-07-11T02:24:00"/>
    <s v="JPY"/>
    <x v="146"/>
    <x v="114"/>
    <x v="1"/>
    <s v="L-&gt;R"/>
    <s v="No"/>
    <s v="WRONG"/>
  </r>
  <r>
    <n v="512"/>
    <s v="已发货"/>
    <s v="C49"/>
    <n v="109664"/>
    <s v="Special package"/>
    <s v="YSM20R(SV)-2"/>
    <s v="L-&gt;R"/>
    <s v="No"/>
    <s v="Y49327"/>
    <n v="1"/>
    <s v="盐保仓库"/>
    <d v="2019-11-01T00:00:00"/>
    <n v="6.7199999999999996E-2"/>
    <x v="0"/>
    <d v="1905-07-11T02:24:00"/>
    <s v="JPY"/>
    <x v="148"/>
    <x v="116"/>
    <x v="4"/>
    <s v="L-&gt;R"/>
    <s v="No"/>
    <s v="OK"/>
  </r>
  <r>
    <n v="510"/>
    <s v="已发货"/>
    <s v="C49"/>
    <n v="109693"/>
    <s v="Special package"/>
    <s v="YSM10"/>
    <s v="R-&gt;L"/>
    <s v="No"/>
    <s v="Y49314"/>
    <n v="1"/>
    <s v="盐保仓库"/>
    <d v="2019-11-01T00:00:00"/>
    <s v="No mismatch"/>
    <x v="15"/>
    <d v="1905-07-11T02:24:00"/>
    <s v="JPY"/>
    <x v="149"/>
    <x v="33"/>
    <x v="1"/>
    <s v="L-&gt;R"/>
    <s v="MVC"/>
    <s v="WRONG"/>
  </r>
  <r>
    <n v="468"/>
    <s v="已发货"/>
    <s v="C49"/>
    <n v="109664"/>
    <s v="Special package"/>
    <s v="YSM20R(SV)-2"/>
    <s v="L-&gt;R"/>
    <s v="No"/>
    <s v="Y49325"/>
    <n v="1"/>
    <s v="盐保仓库-&gt;准备清关"/>
    <d v="2019-11-01T00:00:00"/>
    <n v="6.7199999999999996E-2"/>
    <x v="15"/>
    <d v="1905-07-11T02:24:00"/>
    <s v="JPY"/>
    <x v="150"/>
    <x v="117"/>
    <x v="4"/>
    <s v="L-&gt;R"/>
    <s v="No"/>
    <s v="OK"/>
  </r>
  <r>
    <n v="472"/>
    <s v="已发货"/>
    <s v="C49"/>
    <n v="109685"/>
    <s v="Special package"/>
    <s v="YSM10"/>
    <s v="R-&gt;L"/>
    <s v="No"/>
    <s v="Y49253"/>
    <n v="1"/>
    <s v="盐保仓库-&gt;准备清关"/>
    <d v="2019-11-01T00:00:00"/>
    <s v="No mismatch"/>
    <x v="15"/>
    <d v="1905-07-11T02:24:00"/>
    <s v="RMB"/>
    <x v="151"/>
    <x v="118"/>
    <x v="1"/>
    <s v="L-&gt;R"/>
    <s v="MVC"/>
    <s v="WRONG"/>
  </r>
  <r>
    <n v="473"/>
    <s v="已发货"/>
    <s v="C49"/>
    <n v="109685"/>
    <s v="Special package"/>
    <s v="YSM10"/>
    <s v="R-&gt;L"/>
    <s v="No"/>
    <s v="Y49254"/>
    <n v="1"/>
    <s v="盐保仓库-&gt;准备清关"/>
    <d v="2019-11-01T00:00:00"/>
    <s v="No mismatch"/>
    <x v="15"/>
    <d v="1905-07-11T02:24:00"/>
    <s v="RMB"/>
    <x v="151"/>
    <x v="118"/>
    <x v="1"/>
    <s v="L-&gt;R"/>
    <s v="MVC"/>
    <s v="WRONG"/>
  </r>
  <r>
    <n v="503"/>
    <s v="已发货"/>
    <s v="C49"/>
    <n v="109721"/>
    <s v="Special package"/>
    <s v="YSM20R(SV)-2"/>
    <s v="L-&gt;R"/>
    <s v="No"/>
    <s v="Y49584"/>
    <n v="1"/>
    <s v="盐保仓库"/>
    <d v="2019-12-04T00:00:00"/>
    <n v="6.7199999999999996E-2"/>
    <x v="0"/>
    <d v="1905-07-11T02:38:24"/>
    <s v="JPY"/>
    <x v="146"/>
    <x v="114"/>
    <x v="4"/>
    <s v="L-&gt;R"/>
    <s v="No"/>
    <s v="OK"/>
  </r>
  <r>
    <n v="500"/>
    <s v="已发货"/>
    <s v="C49"/>
    <n v="109721"/>
    <s v="Special package"/>
    <s v="YSM20R(SV)-2"/>
    <s v="L-&gt;R"/>
    <s v="No"/>
    <s v="Y49585"/>
    <n v="1"/>
    <s v="盐保仓库"/>
    <d v="2019-12-04T00:00:00"/>
    <n v="6.5699999999999995E-2"/>
    <x v="0"/>
    <d v="1905-07-11T02:38:24"/>
    <s v="JPY"/>
    <x v="146"/>
    <x v="114"/>
    <x v="4"/>
    <s v="L-&gt;R"/>
    <s v="No"/>
    <s v="OK"/>
  </r>
  <r>
    <n v="501"/>
    <s v="已发货"/>
    <s v="C49"/>
    <n v="109721"/>
    <s v="Special package"/>
    <s v="YSM20R(SV)-2"/>
    <s v="L-&gt;R"/>
    <s v="No"/>
    <s v="Y49586"/>
    <n v="1"/>
    <s v="盐保仓库"/>
    <d v="2019-12-04T00:00:00"/>
    <n v="6.5699999999999995E-2"/>
    <x v="0"/>
    <d v="1905-07-11T02:38:24"/>
    <s v="JPY"/>
    <x v="146"/>
    <x v="114"/>
    <x v="4"/>
    <s v="L-&gt;R"/>
    <s v="No"/>
    <s v="OK"/>
  </r>
  <r>
    <n v="457"/>
    <s v="已发货"/>
    <s v="C49"/>
    <n v="109721"/>
    <s v="Special package"/>
    <s v="YSM20R(SV)-2"/>
    <s v="L-&gt;R"/>
    <s v="No"/>
    <s v="Y49587"/>
    <n v="1"/>
    <s v="盐保仓库"/>
    <d v="2019-12-04T00:00:00"/>
    <n v="6.5699999999999995E-2"/>
    <x v="0"/>
    <d v="1905-07-11T02:38:24"/>
    <s v="JPY"/>
    <x v="141"/>
    <x v="28"/>
    <x v="4"/>
    <s v="L-&gt;R"/>
    <s v="No"/>
    <s v="OK"/>
  </r>
  <r>
    <n v="458"/>
    <s v="已发货"/>
    <s v="C49"/>
    <n v="109721"/>
    <s v="Special package"/>
    <s v="YSM20R(SV)-2"/>
    <s v="R-&gt;L"/>
    <s v="MVC"/>
    <s v="Y49588"/>
    <n v="1"/>
    <s v="盐保仓库"/>
    <d v="2019-12-04T00:00:00"/>
    <n v="6.5699999999999995E-2"/>
    <x v="0"/>
    <d v="1905-07-11T02:38:24"/>
    <s v="JPY"/>
    <x v="141"/>
    <x v="28"/>
    <x v="4"/>
    <s v="R-&gt;L"/>
    <s v="No"/>
    <s v="WRONG"/>
  </r>
  <r>
    <n v="564"/>
    <s v="已发货"/>
    <s v="C49"/>
    <n v="109721"/>
    <s v="Special package"/>
    <s v="YSM20R(SV)-2"/>
    <s v="R-&gt;L"/>
    <s v="MVC"/>
    <s v="Y49589"/>
    <n v="1"/>
    <s v="盐保仓库"/>
    <d v="2019-12-04T00:00:00"/>
    <n v="6.5699999999999995E-2"/>
    <x v="18"/>
    <d v="1905-07-11T02:38:24"/>
    <s v="JPY"/>
    <x v="152"/>
    <x v="43"/>
    <x v="4"/>
    <s v="R-&gt;L"/>
    <s v="No"/>
    <s v="WRONG"/>
  </r>
  <r>
    <n v="599"/>
    <s v="已发货"/>
    <s v="C49"/>
    <n v="109730"/>
    <s v="博星名义下单"/>
    <s v="YSM20R(SV)-2"/>
    <s v="L-&gt;R"/>
    <s v="MVC"/>
    <s v="Y49696"/>
    <n v="1"/>
    <s v="力合仓库(已经清关)"/>
    <d v="2019-12-11T00:00:00"/>
    <n v="6.5299999999999997E-2"/>
    <x v="16"/>
    <d v="1905-07-11T02:38:24"/>
    <s v="RMB"/>
    <x v="153"/>
    <x v="119"/>
    <x v="4"/>
    <s v="L-&gt;R"/>
    <s v="No"/>
    <s v="WRONG"/>
  </r>
  <r>
    <n v="568"/>
    <s v="已发货"/>
    <s v="C49"/>
    <n v="109730"/>
    <s v="博星名义下单"/>
    <s v="YSM20R(SV)-2"/>
    <s v="R-&gt;L"/>
    <s v="MVC"/>
    <s v="Y49694"/>
    <n v="1"/>
    <s v="力合仓库有货，系统没货"/>
    <d v="2019-12-11T00:00:00"/>
    <n v="6.5299999999999997E-2"/>
    <x v="19"/>
    <d v="1905-07-11T02:38:24"/>
    <s v="JPY"/>
    <x v="154"/>
    <x v="120"/>
    <x v="4"/>
    <s v="R-&gt;L"/>
    <s v="MVC"/>
    <s v="OK"/>
  </r>
  <r>
    <n v="480"/>
    <s v="已发货"/>
    <s v="C49"/>
    <n v="109730"/>
    <s v="博星名义下单"/>
    <s v="YSM20R(SV)-2"/>
    <s v="L-&gt;R"/>
    <s v="No"/>
    <s v="Y49700"/>
    <n v="1"/>
    <s v="力合仓库有货，系统没货"/>
    <d v="2019-12-11T00:00:00"/>
    <s v="   NM(CR:0.0657)价格用PO#109750         "/>
    <x v="20"/>
    <d v="1905-07-11T02:38:24"/>
    <s v="JPY"/>
    <x v="155"/>
    <x v="89"/>
    <x v="4"/>
    <s v="R-&gt;L"/>
    <s v="No"/>
    <s v="WRONG"/>
  </r>
  <r>
    <n v="608"/>
    <s v="已发货"/>
    <s v="C49"/>
    <n v="109730"/>
    <s v="博星名义下单"/>
    <s v="YSM20R(SV)-2"/>
    <s v="L-&gt;R"/>
    <s v="MVC"/>
    <s v="Y49697"/>
    <n v="1"/>
    <s v="力合中转仓"/>
    <d v="2019-12-11T00:00:00"/>
    <n v="6.5299999999999997E-2"/>
    <x v="16"/>
    <d v="1905-07-11T02:38:24"/>
    <s v="RMB"/>
    <x v="156"/>
    <x v="43"/>
    <x v="4"/>
    <s v="L-&gt;R"/>
    <s v="No"/>
    <s v="WRONG"/>
  </r>
  <r>
    <n v="585"/>
    <s v="已发货"/>
    <s v="C49"/>
    <n v="109730"/>
    <s v="博星名义下单"/>
    <s v="YSM20R(SV)-2"/>
    <s v="R-&gt;L"/>
    <s v="No"/>
    <s v="Y49695"/>
    <n v="1"/>
    <s v="盐保仓库"/>
    <d v="2019-12-11T00:00:00"/>
    <n v="6.5299999999999997E-2"/>
    <x v="20"/>
    <d v="1905-07-11T02:38:24"/>
    <s v="JPY"/>
    <x v="157"/>
    <x v="121"/>
    <x v="4"/>
    <s v="R-&gt;L"/>
    <s v="MVC"/>
    <s v="WRONG"/>
  </r>
  <r>
    <n v="561"/>
    <s v="已发货"/>
    <s v="C49"/>
    <n v="109730"/>
    <s v="博星名义下单"/>
    <s v="YSM20R(SV)-2"/>
    <s v="R-&gt;L"/>
    <s v="MVC"/>
    <s v="Y49693"/>
    <n v="1"/>
    <s v="盐保仓库"/>
    <d v="2019-12-11T00:00:00"/>
    <n v="6.5299999999999997E-2"/>
    <x v="18"/>
    <d v="1905-07-11T02:38:24"/>
    <s v="JPY"/>
    <x v="158"/>
    <x v="122"/>
    <x v="4"/>
    <s v="R-&gt;L"/>
    <s v="No"/>
    <s v="WRONG"/>
  </r>
  <r>
    <n v="499"/>
    <s v="已发货"/>
    <s v="C49"/>
    <n v="109730"/>
    <s v="博星名义下单"/>
    <s v="YSM20R(SV)-2"/>
    <s v="L-&gt;R"/>
    <s v="No"/>
    <s v="Y49698"/>
    <n v="1"/>
    <s v="盐保仓库"/>
    <d v="2019-12-11T00:00:00"/>
    <s v="No mismatch"/>
    <x v="0"/>
    <d v="1905-07-11T02:38:24"/>
    <s v="JPY"/>
    <x v="146"/>
    <x v="114"/>
    <x v="4"/>
    <s v="L-&gt;R"/>
    <s v="No"/>
    <s v="OK"/>
  </r>
  <r>
    <n v="502"/>
    <s v="已发货"/>
    <s v="C49"/>
    <n v="109730"/>
    <s v="博星名义下单"/>
    <s v="YSM20R(SV)-2"/>
    <s v="L-&gt;R"/>
    <s v="No"/>
    <s v="Y49699"/>
    <n v="1"/>
    <s v="盐保仓库"/>
    <d v="2019-12-11T00:00:00"/>
    <s v="No mismatch"/>
    <x v="0"/>
    <d v="1905-07-11T02:38:24"/>
    <s v="JPY"/>
    <x v="146"/>
    <x v="114"/>
    <x v="4"/>
    <s v="L-&gt;R"/>
    <s v="No"/>
    <s v="OK"/>
  </r>
  <r>
    <n v="552"/>
    <s v="已发货"/>
    <s v="C49"/>
    <n v="109723"/>
    <s v="博星名义下单"/>
    <s v="YSM10"/>
    <s v="R-&gt;L"/>
    <s v="No"/>
    <s v="Y49758"/>
    <n v="1"/>
    <s v="力合仓库(已经清关)"/>
    <d v="2019-12-25T00:00:00"/>
    <n v="6.54E-2"/>
    <x v="0"/>
    <d v="1905-07-11T02:52:48"/>
    <s v="RMB"/>
    <x v="159"/>
    <x v="112"/>
    <x v="1"/>
    <s v="L-&gt;R"/>
    <s v="MVC"/>
    <s v="WRONG"/>
  </r>
  <r>
    <n v="565"/>
    <s v="已发货"/>
    <s v="C49"/>
    <n v="109723"/>
    <s v="博星名义下单"/>
    <s v="YSM10"/>
    <s v="R-&gt;L"/>
    <s v="No"/>
    <s v="Y49759"/>
    <n v="1"/>
    <s v="力合仓库(已经清关)"/>
    <d v="2019-12-25T00:00:00"/>
    <s v="0.0654(价格用PO#109759)"/>
    <x v="18"/>
    <d v="1905-07-11T02:52:48"/>
    <s v="JPY"/>
    <x v="152"/>
    <x v="43"/>
    <x v="1"/>
    <s v="R-&gt;L"/>
    <s v="MVC"/>
    <s v="WRONG"/>
  </r>
  <r>
    <n v="588"/>
    <s v="已发货"/>
    <s v="C49"/>
    <n v="109723"/>
    <s v="博星名义下单"/>
    <s v="YSM10"/>
    <s v="R-&gt;L"/>
    <s v="ATS15"/>
    <s v="Y49761"/>
    <n v="1"/>
    <s v="力合仓库(已经清关)"/>
    <d v="2019-12-25T00:00:00"/>
    <n v="6.54E-2"/>
    <x v="19"/>
    <d v="1905-07-11T02:52:48"/>
    <s v="RMB"/>
    <x v="160"/>
    <x v="43"/>
    <x v="1"/>
    <s v="L-&gt;R"/>
    <s v="MVC"/>
    <s v="WRONG"/>
  </r>
  <r>
    <n v="474"/>
    <s v="已发货"/>
    <s v="C49"/>
    <n v="109723"/>
    <s v="博星名义下单"/>
    <s v="YSM10"/>
    <s v="R-&gt;L"/>
    <s v="ATS15"/>
    <s v="Y49760"/>
    <n v="1"/>
    <s v="锘铧清关，送宽宏"/>
    <d v="2019-12-25T00:00:00"/>
    <n v="6.54E-2"/>
    <x v="0"/>
    <d v="1905-07-11T02:52:48"/>
    <s v="JPY"/>
    <x v="143"/>
    <x v="89"/>
    <x v="1"/>
    <s v="L-&gt;R"/>
    <s v="MVC+ATS15"/>
    <s v="WRONG"/>
  </r>
  <r>
    <n v="579"/>
    <s v="已发货"/>
    <s v="C49"/>
    <n v="109750"/>
    <s v="锘铧名义下单"/>
    <s v="YSM20R(SV)-2"/>
    <s v="L-&gt;R"/>
    <s v="No"/>
    <s v="Y49849"/>
    <n v="1"/>
    <s v="力合仓库(已经清关)"/>
    <d v="2020-01-06T00:00:00"/>
    <s v="NM(CR:0.0655）价格用PO#109774"/>
    <x v="19"/>
    <d v="1905-07-11T02:52:48"/>
    <s v="JPY"/>
    <x v="161"/>
    <x v="123"/>
    <x v="4"/>
    <s v="L-&gt;R"/>
    <s v="No"/>
    <s v="OK"/>
  </r>
  <r>
    <n v="593"/>
    <s v="已发货"/>
    <s v="C49"/>
    <n v="109749"/>
    <s v="锘铧名义下单"/>
    <s v="YSM20R(SV)-2"/>
    <s v="R-&gt;L"/>
    <s v="No"/>
    <s v="Y49839"/>
    <n v="1"/>
    <s v="力合仓库(已经清关)"/>
    <d v="2020-01-06T00:00:00"/>
    <n v="6.54E-2"/>
    <x v="19"/>
    <d v="1905-07-11T02:52:48"/>
    <s v="RMB"/>
    <x v="162"/>
    <x v="124"/>
    <x v="4"/>
    <s v="R-&gt;L"/>
    <s v="No"/>
    <s v="OK"/>
  </r>
  <r>
    <n v="580"/>
    <s v="已发货"/>
    <s v="C49"/>
    <n v="109759"/>
    <s v="灿明名义下单"/>
    <s v="YSM10"/>
    <s v="R-&gt;L"/>
    <s v="No"/>
    <s v="Y49990"/>
    <n v="1"/>
    <s v="力合仓库(已经清关)"/>
    <d v="2020-01-06T00:00:00"/>
    <s v="NM(CR:0.0658）价格用PO#109820"/>
    <x v="19"/>
    <d v="1905-07-11T02:52:48"/>
    <s v="JPY"/>
    <x v="161"/>
    <x v="123"/>
    <x v="1"/>
    <s v="L-&gt;R"/>
    <s v="No"/>
    <s v="WRONG"/>
  </r>
  <r>
    <n v="470"/>
    <s v="已发货"/>
    <s v="C49"/>
    <n v="109749"/>
    <s v="锘铧名义下单"/>
    <s v="YSM20R(SV)-2"/>
    <s v="R-&gt;L"/>
    <s v="No"/>
    <s v="Y49842"/>
    <n v="1"/>
    <s v="力合仓库(已经清关)"/>
    <d v="2020-01-06T00:00:00"/>
    <n v="6.54E-2"/>
    <x v="16"/>
    <d v="1905-07-11T02:52:48"/>
    <s v="RMB"/>
    <x v="163"/>
    <x v="125"/>
    <x v="4"/>
    <s v="R-&gt;L"/>
    <s v="No"/>
    <s v="OK"/>
  </r>
  <r>
    <n v="572"/>
    <s v="已发货"/>
    <s v="C49"/>
    <n v="109750"/>
    <s v="锘铧名义下单"/>
    <s v="YSM20R(SV)-2"/>
    <s v="R-&gt;L"/>
    <s v="No"/>
    <s v="Y49848"/>
    <n v="1"/>
    <s v="力合仓库有货，系统没货"/>
    <d v="2020-01-06T00:00:00"/>
    <s v="   NM(CR:0.0657)价格用PO#109750  "/>
    <x v="20"/>
    <d v="1905-07-11T02:52:48"/>
    <s v="JPY"/>
    <x v="164"/>
    <x v="126"/>
    <x v="4"/>
    <s v="R-&gt;L"/>
    <s v="No"/>
    <s v="OK"/>
  </r>
  <r>
    <n v="632"/>
    <s v="已发货"/>
    <s v="C49"/>
    <n v="109750"/>
    <s v="锘铧名义下单"/>
    <s v="YSM10"/>
    <s v="R-&gt;L"/>
    <s v="ATS15"/>
    <s v="Y49858"/>
    <n v="1"/>
    <s v="力合仓库(已经清关)"/>
    <d v="2020-01-06T00:00:00"/>
    <s v="NM(CR:0.0657）"/>
    <x v="21"/>
    <d v="1905-07-11T02:52:48"/>
    <s v="RMB"/>
    <x v="165"/>
    <x v="20"/>
    <x v="1"/>
    <s v="L-&gt;R"/>
    <s v="MVC+ATS15"/>
    <s v="WRONG"/>
  </r>
  <r>
    <n v="627"/>
    <s v="已发货"/>
    <s v="C49"/>
    <n v="109750"/>
    <s v="锘铧名义下单"/>
    <s v="YSM10"/>
    <s v="R-&gt;L"/>
    <s v="ATS15"/>
    <s v="Y49859"/>
    <n v="1"/>
    <s v="华日仓库中转"/>
    <d v="2020-01-06T00:00:00"/>
    <s v="NM(CR:0.0657）"/>
    <x v="21"/>
    <d v="1905-07-11T02:52:48"/>
    <s v="RMB"/>
    <x v="166"/>
    <x v="127"/>
    <x v="1"/>
    <s v="L-&gt;R"/>
    <s v="MVC+ATS15"/>
    <s v="WRONG"/>
  </r>
  <r>
    <n v="660"/>
    <s v="已发货"/>
    <s v="C49"/>
    <n v="109750"/>
    <s v="锘铧名义下单"/>
    <s v="YSM10"/>
    <s v="R-&gt;L"/>
    <s v="ATS15"/>
    <s v="Y49860"/>
    <n v="1"/>
    <s v="华日仓库中转"/>
    <d v="2020-01-06T00:00:00"/>
    <s v="NM(CR:0.0657）"/>
    <x v="3"/>
    <d v="1905-07-11T02:52:48"/>
    <s v="RMB"/>
    <x v="167"/>
    <x v="128"/>
    <x v="1"/>
    <s v="R-&gt;L"/>
    <s v="MVC+ATS15"/>
    <s v="WRONG"/>
  </r>
  <r>
    <n v="521"/>
    <s v="已发货"/>
    <s v="C49"/>
    <n v="109750"/>
    <s v="锘铧名义下单"/>
    <s v="YSM20R(SV)-2"/>
    <s v="L-&gt;R"/>
    <s v="No"/>
    <s v="Y49850"/>
    <n v="1"/>
    <s v="盐保仓库"/>
    <d v="2020-01-06T00:00:00"/>
    <s v="NM(CR:0.0657）"/>
    <x v="18"/>
    <d v="1905-07-11T02:52:48"/>
    <s v="JPY"/>
    <x v="168"/>
    <x v="129"/>
    <x v="4"/>
    <s v="L-&gt;R"/>
    <s v="No"/>
    <s v="OK"/>
  </r>
  <r>
    <n v="522"/>
    <s v="已发货"/>
    <s v="C49"/>
    <n v="109750"/>
    <s v="锘铧名义下单"/>
    <s v="YSM20R(SV)-2"/>
    <s v="L-&gt;R"/>
    <s v="No"/>
    <s v="Y49851"/>
    <n v="1"/>
    <s v="盐保仓库"/>
    <d v="2020-01-06T00:00:00"/>
    <s v="NM(CR:0.0657）"/>
    <x v="18"/>
    <d v="1905-07-11T02:52:48"/>
    <s v="JPY"/>
    <x v="168"/>
    <x v="129"/>
    <x v="4"/>
    <s v="L-&gt;R"/>
    <s v="No"/>
    <s v="OK"/>
  </r>
  <r>
    <n v="586"/>
    <s v="已发货"/>
    <s v="C49"/>
    <n v="109750"/>
    <s v="锘铧名义下单"/>
    <s v="YSM20R(SV)-2"/>
    <s v="L-&gt;R"/>
    <s v="No"/>
    <s v="Y49852"/>
    <n v="1"/>
    <s v="盐保仓库"/>
    <d v="2020-01-06T00:00:00"/>
    <s v="NM(CR:0.0657）"/>
    <x v="19"/>
    <d v="1905-07-11T02:52:48"/>
    <s v="JPY"/>
    <x v="169"/>
    <x v="130"/>
    <x v="4"/>
    <s v="L-&gt;R"/>
    <s v="No"/>
    <s v="OK"/>
  </r>
  <r>
    <n v="540"/>
    <s v="已发货"/>
    <s v="C49"/>
    <n v="109750"/>
    <s v="锘铧名义下单"/>
    <s v="YSM10"/>
    <s v="R-&gt;L"/>
    <s v="ATS15"/>
    <s v="Y49856"/>
    <n v="1"/>
    <s v="盐保仓库"/>
    <d v="2020-01-06T00:00:00"/>
    <s v="NM（价格用PO#109783)"/>
    <x v="20"/>
    <d v="1905-07-11T02:52:48"/>
    <s v="JPY"/>
    <x v="170"/>
    <x v="131"/>
    <x v="1"/>
    <s v="L-&gt;R"/>
    <s v="MVC+ATS15"/>
    <s v="WRONG"/>
  </r>
  <r>
    <n v="595"/>
    <s v="已发货"/>
    <s v="C49"/>
    <n v="109750"/>
    <s v="锘铧名义下单"/>
    <s v="YSM10"/>
    <s v="R-&gt;L"/>
    <s v="ATS15"/>
    <s v="Y49857"/>
    <n v="1"/>
    <s v="盐保仓库"/>
    <d v="2020-01-06T00:00:00"/>
    <s v="NM(CR:0.0657）"/>
    <x v="16"/>
    <d v="1905-07-11T02:52:48"/>
    <s v="RMB"/>
    <x v="171"/>
    <x v="23"/>
    <x v="1"/>
    <s v="L-&gt;R"/>
    <s v="MVC+ATS15"/>
    <s v="WRONG"/>
  </r>
  <r>
    <n v="528"/>
    <s v="已发货"/>
    <s v="C49"/>
    <n v="109749"/>
    <s v="锘铧名义下单"/>
    <s v="YSM20R(SV)-2"/>
    <s v="R-&gt;L"/>
    <s v="No"/>
    <s v="Y49837"/>
    <n v="1"/>
    <s v="盐保仓库"/>
    <d v="2020-01-06T00:00:00"/>
    <n v="6.54E-2"/>
    <x v="19"/>
    <d v="1905-07-11T02:52:48"/>
    <s v="JPY"/>
    <x v="172"/>
    <x v="132"/>
    <x v="4"/>
    <s v="R-&gt;L"/>
    <s v="MVC"/>
    <s v="WRONG"/>
  </r>
  <r>
    <n v="516"/>
    <s v="已发货"/>
    <s v="C49"/>
    <n v="109749"/>
    <s v="锘铧名义下单"/>
    <s v="YSM20R(SV)-2"/>
    <s v="R-&gt;L"/>
    <s v="No"/>
    <s v="Y49838"/>
    <n v="1"/>
    <s v="盐保仓库"/>
    <d v="2020-01-06T00:00:00"/>
    <n v="6.54E-2"/>
    <x v="18"/>
    <d v="1905-07-11T02:52:48"/>
    <s v="JPY"/>
    <x v="173"/>
    <x v="133"/>
    <x v="4"/>
    <s v="R-&gt;L"/>
    <s v="No"/>
    <s v="OK"/>
  </r>
  <r>
    <n v="475"/>
    <s v="已发货"/>
    <s v="C49"/>
    <n v="109749"/>
    <s v="锘铧名义下单"/>
    <s v="YSM10"/>
    <s v="R-&gt;L"/>
    <s v="ATS15"/>
    <s v="Y49853"/>
    <n v="1"/>
    <s v="盐保仓库"/>
    <d v="2020-01-06T00:00:00"/>
    <s v="NM(CR:0.0657）（价格用PO#109750)"/>
    <x v="20"/>
    <d v="1905-07-11T02:52:48"/>
    <s v="JPY"/>
    <x v="155"/>
    <x v="89"/>
    <x v="1"/>
    <s v="R-&gt;L"/>
    <s v="MVC+ATS15"/>
    <s v="WRONG"/>
  </r>
  <r>
    <n v="538"/>
    <s v="已发货"/>
    <s v="C49"/>
    <n v="109749"/>
    <s v="锘铧名义下单"/>
    <s v="YSM10"/>
    <s v="R-&gt;L"/>
    <s v="ATS15"/>
    <s v="Y49854"/>
    <n v="1"/>
    <s v="盐保仓库"/>
    <d v="2020-01-06T00:00:00"/>
    <s v="NM（价格用PO#109783)"/>
    <x v="20"/>
    <d v="1905-07-11T02:52:48"/>
    <s v="JPY"/>
    <x v="170"/>
    <x v="131"/>
    <x v="1"/>
    <s v="L-&gt;R"/>
    <s v="MVC+ATS15"/>
    <s v="WRONG"/>
  </r>
  <r>
    <n v="539"/>
    <s v="已发货"/>
    <s v="C49"/>
    <n v="109749"/>
    <s v="锘铧名义下单"/>
    <s v="YSM10"/>
    <s v="R-&gt;L"/>
    <s v="ATS15"/>
    <s v="Y49855"/>
    <n v="1"/>
    <s v="盐保仓库"/>
    <d v="2020-01-06T00:00:00"/>
    <s v="NM（价格用PO#109783)"/>
    <x v="20"/>
    <d v="1905-07-11T02:52:48"/>
    <s v="JPY"/>
    <x v="170"/>
    <x v="131"/>
    <x v="1"/>
    <s v="L-&gt;R"/>
    <s v="MVC+ATS15"/>
    <s v="WRONG"/>
  </r>
  <r>
    <n v="546"/>
    <s v="已发货"/>
    <s v="C49"/>
    <n v="109750"/>
    <s v="锘铧名义下单"/>
    <s v="YSM20R(SV)-2"/>
    <s v="L-&gt;R"/>
    <s v="No"/>
    <s v="Y49843"/>
    <n v="1"/>
    <s v="盐保仓库"/>
    <d v="2020-01-06T00:00:00"/>
    <s v="NM(CR:0.0657）"/>
    <x v="18"/>
    <d v="1905-07-11T02:52:48"/>
    <s v="JPY"/>
    <x v="174"/>
    <x v="134"/>
    <x v="4"/>
    <s v="L-&gt;R"/>
    <s v="No"/>
    <s v="OK"/>
  </r>
  <r>
    <n v="547"/>
    <s v="已发货"/>
    <s v="C49"/>
    <n v="109750"/>
    <s v="锘铧名义下单"/>
    <s v="YSM20R(SV)-2"/>
    <s v="L-&gt;R"/>
    <s v="No"/>
    <s v="Y49844"/>
    <n v="1"/>
    <s v="盐保仓库"/>
    <d v="2020-01-06T00:00:00"/>
    <s v="NM(CR:0.0657）"/>
    <x v="18"/>
    <d v="1905-07-11T02:52:48"/>
    <s v="JPY"/>
    <x v="174"/>
    <x v="134"/>
    <x v="4"/>
    <s v="L-&gt;R"/>
    <s v="No"/>
    <s v="OK"/>
  </r>
  <r>
    <n v="545"/>
    <s v="已发货"/>
    <s v="C49"/>
    <n v="109750"/>
    <s v="锘铧名义下单"/>
    <s v="YSM20R(SV)-2"/>
    <s v="R-&gt;L"/>
    <s v="No"/>
    <s v="Y49845"/>
    <n v="1"/>
    <s v="盐保仓库"/>
    <d v="2020-01-06T00:00:00"/>
    <s v="NM(CR:0.0657）"/>
    <x v="18"/>
    <d v="1905-07-11T02:52:48"/>
    <s v="JPY"/>
    <x v="174"/>
    <x v="134"/>
    <x v="4"/>
    <s v="R-&gt;L"/>
    <s v="No"/>
    <s v="OK"/>
  </r>
  <r>
    <n v="478"/>
    <s v="已发货"/>
    <s v="C49"/>
    <n v="109750"/>
    <s v="锘铧名义下单"/>
    <s v="YSM20R(SV)-2"/>
    <s v="R-&gt;L"/>
    <s v="No"/>
    <s v="Y49846"/>
    <n v="1"/>
    <s v="盐保仓库"/>
    <d v="2020-01-06T00:00:00"/>
    <s v="NM(CR:0.0657）"/>
    <x v="20"/>
    <d v="1905-07-11T02:52:48"/>
    <s v="JPY"/>
    <x v="155"/>
    <x v="89"/>
    <x v="4"/>
    <s v="R-&gt;L"/>
    <s v="No"/>
    <s v="OK"/>
  </r>
  <r>
    <n v="479"/>
    <s v="已发货"/>
    <s v="C49"/>
    <n v="109750"/>
    <s v="锘铧名义下单"/>
    <s v="YSM20R(SV)-2"/>
    <s v="R-&gt;L"/>
    <s v="No"/>
    <s v="Y49847"/>
    <n v="1"/>
    <s v="盐保仓库"/>
    <d v="2020-01-06T00:00:00"/>
    <s v="NM(CR:0.0657）"/>
    <x v="20"/>
    <d v="1905-07-11T02:52:48"/>
    <s v="JPY"/>
    <x v="155"/>
    <x v="89"/>
    <x v="4"/>
    <s v="R-&gt;L"/>
    <s v="No"/>
    <s v="OK"/>
  </r>
  <r>
    <n v="548"/>
    <s v="已发货"/>
    <s v="C49"/>
    <n v="109759"/>
    <s v="灿明名义下单"/>
    <s v="YSM10"/>
    <s v="R-&gt;L"/>
    <s v="No"/>
    <s v="Y49987"/>
    <n v="1"/>
    <s v="盐保仓库"/>
    <d v="2020-01-06T00:00:00"/>
    <n v="6.54E-2"/>
    <x v="18"/>
    <d v="1905-07-11T02:52:48"/>
    <s v="JPY"/>
    <x v="174"/>
    <x v="134"/>
    <x v="1"/>
    <s v="L-&gt;R"/>
    <s v="MVC"/>
    <s v="WRONG"/>
  </r>
  <r>
    <n v="560"/>
    <s v="已发货"/>
    <s v="C49"/>
    <n v="109759"/>
    <s v="灿明名义下单"/>
    <s v="YSM10"/>
    <s v="R-&gt;L"/>
    <s v="No"/>
    <s v="Y49988"/>
    <n v="1"/>
    <s v="盐保仓库"/>
    <d v="2020-01-06T00:00:00"/>
    <n v="6.54E-2"/>
    <x v="18"/>
    <d v="1905-07-11T02:52:48"/>
    <s v="RMB"/>
    <x v="175"/>
    <x v="135"/>
    <x v="1"/>
    <s v="R-&gt;L"/>
    <s v="No"/>
    <s v="OK"/>
  </r>
  <r>
    <n v="562"/>
    <s v="已发货"/>
    <s v="C49"/>
    <n v="109759"/>
    <s v="灿明名义下单"/>
    <s v="YSM10"/>
    <s v="R-&gt;L"/>
    <s v="No"/>
    <s v="Y49989"/>
    <n v="1"/>
    <s v="盐保仓库"/>
    <d v="2020-01-06T00:00:00"/>
    <n v="6.54E-2"/>
    <x v="18"/>
    <d v="1905-07-11T02:52:48"/>
    <s v="JPY"/>
    <x v="158"/>
    <x v="122"/>
    <x v="1"/>
    <s v="R-&gt;L"/>
    <s v="MVC"/>
    <s v="WRONG"/>
  </r>
  <r>
    <n v="541"/>
    <s v="已发货"/>
    <s v="C49"/>
    <n v="109759"/>
    <s v="灿明名义下单"/>
    <s v="YSM10"/>
    <s v="R-&gt;L"/>
    <s v="No"/>
    <s v="Y49991"/>
    <n v="1"/>
    <s v="盐保仓库"/>
    <d v="2020-01-06T00:00:00"/>
    <s v="NM（价格用PO#109783)"/>
    <x v="20"/>
    <d v="1905-07-11T02:52:48"/>
    <s v="JPY"/>
    <x v="170"/>
    <x v="131"/>
    <x v="1"/>
    <s v="L-&gt;R"/>
    <s v="MVC"/>
    <s v="WRONG"/>
  </r>
  <r>
    <n v="607"/>
    <s v="已发货"/>
    <s v="C49"/>
    <n v="109749"/>
    <s v="锘铧名义下单"/>
    <s v="YSM20R(SV)-2"/>
    <s v="R-&gt;L"/>
    <s v="No"/>
    <s v="Y49840"/>
    <n v="1"/>
    <s v="盐保仓库"/>
    <d v="2020-01-06T00:00:00"/>
    <n v="6.54E-2"/>
    <x v="16"/>
    <d v="1905-07-11T02:52:48"/>
    <s v="JPY"/>
    <x v="176"/>
    <x v="90"/>
    <x v="4"/>
    <s v="R-&gt;L"/>
    <s v="No"/>
    <s v="OK"/>
  </r>
  <r>
    <n v="613"/>
    <s v="已发货"/>
    <s v="C49"/>
    <n v="109749"/>
    <s v="锘铧名义下单"/>
    <s v="YSM20R(SV)-2"/>
    <s v="R-&gt;L"/>
    <s v="No"/>
    <s v="Y49841"/>
    <n v="1"/>
    <s v="盐保仓库"/>
    <d v="2020-01-06T00:00:00"/>
    <n v="6.54E-2"/>
    <x v="16"/>
    <d v="1905-07-11T02:52:48"/>
    <s v="RMB"/>
    <x v="177"/>
    <x v="136"/>
    <x v="4"/>
    <s v="R-&gt;L"/>
    <s v="No"/>
    <s v="OK"/>
  </r>
  <r>
    <n v="542"/>
    <s v="已发货"/>
    <s v="C49"/>
    <n v="109762"/>
    <s v="灿明名义下单"/>
    <s v="YSM10"/>
    <s v="R-&gt;L"/>
    <s v="No"/>
    <s v="Y49992"/>
    <n v="1"/>
    <s v="盐保仓库"/>
    <d v="2020-02-01T00:00:00"/>
    <s v="NM（价格用PO#109783)"/>
    <x v="20"/>
    <d v="1905-07-12T00:14:24"/>
    <s v="JPY"/>
    <x v="170"/>
    <x v="131"/>
    <x v="1"/>
    <s v="L-&gt;R"/>
    <s v="MVC"/>
    <s v="WRONG"/>
  </r>
  <r>
    <n v="587"/>
    <s v="已发货"/>
    <s v="C49"/>
    <n v="109762"/>
    <s v="灿明名义下单"/>
    <s v="YSM10"/>
    <s v="R-&gt;L"/>
    <s v="No"/>
    <s v="Y49993"/>
    <n v="1"/>
    <s v="盐保仓库"/>
    <d v="2020-02-01T00:00:00"/>
    <n v="6.54E-2"/>
    <x v="19"/>
    <d v="1905-07-12T00:14:24"/>
    <s v="JPY"/>
    <x v="178"/>
    <x v="111"/>
    <x v="1"/>
    <s v="L-&gt;R"/>
    <s v="MVC"/>
    <s v="WRONG"/>
  </r>
  <r>
    <n v="581"/>
    <s v="已发货"/>
    <s v="C49"/>
    <n v="109762"/>
    <s v="灿明名义下单"/>
    <s v="YSM10"/>
    <s v="R-&gt;L"/>
    <s v="No"/>
    <s v="Y49994"/>
    <n v="1"/>
    <s v="盐保仓库"/>
    <d v="2020-02-01T00:00:00"/>
    <n v="6.54E-2"/>
    <x v="19"/>
    <d v="1905-07-12T00:14:24"/>
    <s v="JPY"/>
    <x v="179"/>
    <x v="137"/>
    <x v="1"/>
    <s v="L-&gt;R"/>
    <s v="No"/>
    <s v="WRONG"/>
  </r>
  <r>
    <n v="573"/>
    <s v="已发货"/>
    <s v="C49"/>
    <n v="109762"/>
    <s v="灿明名义下单"/>
    <s v="YSM10"/>
    <s v="R-&gt;L"/>
    <s v="No"/>
    <s v="Y49995"/>
    <n v="1"/>
    <s v="盐保仓库"/>
    <d v="2020-02-01T00:00:00"/>
    <n v="6.54E-2"/>
    <x v="20"/>
    <d v="1905-07-12T00:14:24"/>
    <s v="JPY"/>
    <x v="164"/>
    <x v="126"/>
    <x v="1"/>
    <s v="R-&gt;L"/>
    <s v="MVC"/>
    <s v="WRONG"/>
  </r>
  <r>
    <n v="576"/>
    <s v="已发货"/>
    <s v="C49"/>
    <n v="109774"/>
    <s v="Special package"/>
    <s v="YSM20R(SV)-2"/>
    <s v="L-&gt;R"/>
    <s v="No"/>
    <s v="Y50067"/>
    <n v="1"/>
    <s v="力合仓库(已经清关)"/>
    <d v="2020-02-05T00:00:00"/>
    <s v="NM   (CR :0.0662) 价格用PO#109705"/>
    <x v="19"/>
    <d v="1905-07-12T00:14:24"/>
    <s v="RMB"/>
    <x v="180"/>
    <x v="138"/>
    <x v="4"/>
    <s v="L-&gt;R"/>
    <s v="No"/>
    <s v="OK"/>
  </r>
  <r>
    <n v="575"/>
    <s v="已发货"/>
    <s v="C49"/>
    <n v="109775"/>
    <s v="Special package"/>
    <s v="YSM20R(SV)-2"/>
    <s v="L-&gt;R"/>
    <s v="No"/>
    <s v="Y50068"/>
    <n v="1"/>
    <s v="力合仓库(已经清关)"/>
    <d v="2020-02-05T00:00:00"/>
    <n v="6.4600000000000005E-2"/>
    <x v="19"/>
    <d v="1905-07-12T00:14:24"/>
    <s v="RMB"/>
    <x v="180"/>
    <x v="138"/>
    <x v="4"/>
    <s v="L-&gt;R"/>
    <s v="No"/>
    <s v="OK"/>
  </r>
  <r>
    <n v="551"/>
    <s v="已发货"/>
    <s v="C49"/>
    <n v="109774"/>
    <s v="Special package"/>
    <s v="YSM10"/>
    <s v="R-&gt;L"/>
    <s v="No"/>
    <s v="Y50211"/>
    <n v="1"/>
    <s v="盐保仓库"/>
    <d v="2020-02-05T00:00:00"/>
    <s v="NM(CR:0.0655）"/>
    <x v="20"/>
    <d v="1905-07-12T00:14:24"/>
    <s v="JPY"/>
    <x v="181"/>
    <x v="139"/>
    <x v="1"/>
    <s v="R-&gt;L"/>
    <s v="MVC"/>
    <s v="WRONG"/>
  </r>
  <r>
    <n v="582"/>
    <s v="已发货"/>
    <s v="C49"/>
    <n v="109774"/>
    <s v="Special package"/>
    <s v="YSM10"/>
    <s v="R-&gt;L"/>
    <s v="No"/>
    <s v="Y50212"/>
    <n v="1"/>
    <s v="盐保仓库"/>
    <d v="2020-02-05T00:00:00"/>
    <s v="NM(CR:0.0655）"/>
    <x v="19"/>
    <d v="1905-07-12T00:14:24"/>
    <s v="JPY"/>
    <x v="179"/>
    <x v="137"/>
    <x v="1"/>
    <s v="R-&gt;L"/>
    <s v="No"/>
    <s v="OK"/>
  </r>
  <r>
    <n v="566"/>
    <s v="已发货"/>
    <s v="C49"/>
    <n v="109775"/>
    <s v="Special package"/>
    <s v="YSM20R(SV)-2"/>
    <s v="L-&gt;R"/>
    <s v="No"/>
    <s v="Y50069"/>
    <n v="1"/>
    <s v="盐保仓库"/>
    <d v="2020-02-05T00:00:00"/>
    <n v="6.4600000000000005E-2"/>
    <x v="19"/>
    <d v="1905-07-12T00:14:24"/>
    <s v="JPY"/>
    <x v="182"/>
    <x v="140"/>
    <x v="4"/>
    <s v="L-&gt;R"/>
    <s v="No"/>
    <s v="OK"/>
  </r>
  <r>
    <n v="641"/>
    <s v="已发货"/>
    <s v="C49"/>
    <n v="109775"/>
    <s v="Special package"/>
    <s v="YSM20R(SV)-2"/>
    <s v="L-&gt;R"/>
    <s v="No"/>
    <s v="Y50071"/>
    <n v="1"/>
    <s v="力合中转仓"/>
    <d v="2020-02-05T00:00:00"/>
    <s v="NM(CR:0.0672)"/>
    <x v="21"/>
    <d v="1905-07-12T00:14:24"/>
    <s v="JPY"/>
    <x v="183"/>
    <x v="84"/>
    <x v="4"/>
    <s v="L-&gt;R"/>
    <s v="No"/>
    <s v="OK"/>
  </r>
  <r>
    <n v="618"/>
    <s v="已发货"/>
    <s v="C49"/>
    <n v="109775"/>
    <s v="Special package"/>
    <s v="YSM20R(SV)-2"/>
    <s v="L-&gt;R"/>
    <s v="No"/>
    <s v="Y50072"/>
    <n v="1"/>
    <s v="力合仓库(已经清关)"/>
    <d v="2020-02-05T00:00:00"/>
    <n v="6.4600000000000005E-2"/>
    <x v="16"/>
    <d v="1905-07-12T00:14:24"/>
    <s v="RMB"/>
    <x v="184"/>
    <x v="108"/>
    <x v="4"/>
    <s v="L-&gt;R"/>
    <s v="No"/>
    <s v="OK"/>
  </r>
  <r>
    <n v="594"/>
    <s v="已发货"/>
    <s v="C49"/>
    <n v="109775"/>
    <s v="Special package"/>
    <s v="YSM20R(SV)-2"/>
    <s v="L-&gt;R"/>
    <s v="No"/>
    <s v="Y50073"/>
    <n v="1"/>
    <s v="盐保仓库"/>
    <d v="2020-02-05T00:00:00"/>
    <n v="6.4600000000000005E-2"/>
    <x v="16"/>
    <d v="1905-07-12T00:14:24"/>
    <s v="RMB"/>
    <x v="171"/>
    <x v="23"/>
    <x v="4"/>
    <s v="L-&gt;R"/>
    <s v="No"/>
    <s v="OK"/>
  </r>
  <r>
    <n v="628"/>
    <s v="已发货"/>
    <s v="C49"/>
    <n v="109775"/>
    <s v="Special package"/>
    <s v="YSM20R(SV)-2"/>
    <s v="L-&gt;R"/>
    <s v="No"/>
    <s v="Y50070"/>
    <n v="1"/>
    <s v="华日仓库中转"/>
    <d v="2020-02-05T00:00:00"/>
    <n v="6.4600000000000005E-2"/>
    <x v="21"/>
    <d v="1905-07-12T00:14:24"/>
    <s v="RMB"/>
    <x v="166"/>
    <x v="127"/>
    <x v="4"/>
    <s v="L-&gt;R"/>
    <s v="No"/>
    <s v="OK"/>
  </r>
  <r>
    <n v="600"/>
    <s v="已发货"/>
    <s v="C49"/>
    <n v="109774"/>
    <s v="Special package"/>
    <s v="YSM20R(SV)-2"/>
    <s v="L-&gt;R"/>
    <s v="cATS10+MVC+special layout"/>
    <s v="Y50210"/>
    <n v="1"/>
    <s v="盐保仓库"/>
    <d v="2020-02-05T00:00:00"/>
    <s v="NM(CR:0.0655）"/>
    <x v="16"/>
    <d v="1905-07-12T00:14:24"/>
    <s v="JPY"/>
    <x v="185"/>
    <x v="141"/>
    <x v="4"/>
    <s v="L-&gt;R"/>
    <s v="cATS10+MVC+special layout"/>
    <s v="OK"/>
  </r>
  <r>
    <n v="533"/>
    <s v="已发货"/>
    <s v="C49"/>
    <n v="109782"/>
    <s v="博睿通名义下单"/>
    <s v="YSM20R(SV)-2"/>
    <s v="L-&gt;R"/>
    <s v="No"/>
    <s v="Y50417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4"/>
    <s v="已发货"/>
    <s v="C49"/>
    <n v="109782"/>
    <s v="博睿通名义下单"/>
    <s v="YSM20R(SV)-2"/>
    <s v="L-&gt;R"/>
    <s v="No"/>
    <s v="Y50418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5"/>
    <s v="已发货"/>
    <s v="C49"/>
    <n v="109782"/>
    <s v="博睿通名义下单"/>
    <s v="YSM20R(SV)-2"/>
    <s v="L-&gt;R"/>
    <s v="No"/>
    <s v="Y50419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6"/>
    <s v="已发货"/>
    <s v="C49"/>
    <n v="109782"/>
    <s v="博睿通名义下单"/>
    <s v="YSM20R(SV)-2"/>
    <s v="L-&gt;R"/>
    <s v="No"/>
    <s v="Y50420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7"/>
    <s v="已发货"/>
    <s v="C49"/>
    <n v="109782"/>
    <s v="博睿通名义下单"/>
    <s v="YSM20R(SV)-2"/>
    <s v="R-&gt;L"/>
    <s v="No"/>
    <s v="Y50421"/>
    <n v="1"/>
    <s v="码头"/>
    <d v="2020-02-16T00:00:00"/>
    <s v="NM(CR:0.0655）"/>
    <x v="20"/>
    <d v="1905-07-12T00:14:24"/>
    <s v="JPY"/>
    <x v="170"/>
    <x v="131"/>
    <x v="4"/>
    <s v="R-&gt;L"/>
    <s v="No"/>
    <s v="OK"/>
  </r>
  <r>
    <n v="543"/>
    <s v="已发货"/>
    <s v="C49"/>
    <n v="109714"/>
    <s v="Pro-tec"/>
    <s v="YSM10"/>
    <s v="R-&gt;L"/>
    <s v="MVC"/>
    <s v="Y49831"/>
    <n v="1"/>
    <s v="码头"/>
    <d v="2020-02-22T00:00:00"/>
    <s v="NM（价格用PO#109783)"/>
    <x v="20"/>
    <m/>
    <s v="JPY"/>
    <x v="170"/>
    <x v="131"/>
    <x v="1"/>
    <s v="R-&gt;L"/>
    <s v="MVC"/>
    <s v="OK"/>
  </r>
  <r>
    <n v="471"/>
    <s v="已发货"/>
    <s v="C49"/>
    <n v="109815"/>
    <s v="Stock order"/>
    <s v="YSM10"/>
    <s v="R-&gt;L"/>
    <s v="No"/>
    <s v="Y50773"/>
    <n v="1"/>
    <s v="力合仓库(已经清关)"/>
    <d v="2020-03-11T00:00:00"/>
    <s v="0.0654（价格用PO#109723)"/>
    <x v="16"/>
    <d v="1905-07-12T00:28:48"/>
    <s v="RMB"/>
    <x v="163"/>
    <x v="125"/>
    <x v="1"/>
    <s v="R-&gt;L"/>
    <s v="MVC"/>
    <s v="WRONG"/>
  </r>
  <r>
    <n v="558"/>
    <s v="已发货"/>
    <s v="C49"/>
    <n v="109793"/>
    <s v="耕创名义下单"/>
    <s v="YSM40R-4"/>
    <s v="R-&gt;L"/>
    <s v="No"/>
    <s v="Y50496"/>
    <n v="1"/>
    <s v="力合仓库(已经清关)"/>
    <d v="2020-03-11T00:00:00"/>
    <n v="6.4000000000000001E-2"/>
    <x v="19"/>
    <d v="1905-07-12T00:28:48"/>
    <s v="RMB"/>
    <x v="186"/>
    <x v="2"/>
    <x v="0"/>
    <s v="R-&gt;L"/>
    <s v="No"/>
    <s v="OK"/>
  </r>
  <r>
    <n v="559"/>
    <s v="已发货"/>
    <s v="C49"/>
    <n v="109793"/>
    <s v="耕创名义下单"/>
    <s v="YSM40R-4"/>
    <s v="R-&gt;L"/>
    <s v="No"/>
    <s v="Y50497"/>
    <n v="1"/>
    <s v="力合仓库(已经清关)"/>
    <d v="2020-03-11T00:00:00"/>
    <n v="6.4000000000000001E-2"/>
    <x v="19"/>
    <d v="1905-07-12T00:28:48"/>
    <s v="RMB"/>
    <x v="186"/>
    <x v="2"/>
    <x v="0"/>
    <s v="R-&gt;L"/>
    <s v="No"/>
    <s v="OK"/>
  </r>
  <r>
    <n v="591"/>
    <s v="已发货"/>
    <s v="C49"/>
    <n v="109815"/>
    <s v="Stock order"/>
    <s v="YSM10"/>
    <s v="R-&gt;L"/>
    <s v="No"/>
    <s v="Y50769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92"/>
    <s v="已发货"/>
    <s v="C49"/>
    <n v="109815"/>
    <s v="Stock order"/>
    <s v="YSM10"/>
    <s v="R-&gt;L"/>
    <s v="No"/>
    <s v="Y50770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89"/>
    <s v="已发货"/>
    <s v="C49"/>
    <n v="109815"/>
    <s v="Stock order"/>
    <s v="YSM10"/>
    <s v="R-&gt;L"/>
    <s v="No"/>
    <s v="Y50771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90"/>
    <s v="已发货"/>
    <s v="C49"/>
    <n v="109815"/>
    <s v="Stock order"/>
    <s v="YSM10"/>
    <s v="R-&gt;L"/>
    <s v="No"/>
    <s v="Y50772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49"/>
    <s v="已发货"/>
    <s v="C49"/>
    <n v="109794"/>
    <s v="龙大名义下单"/>
    <s v="YSM40R-4"/>
    <s v="R-&gt;L"/>
    <s v="No"/>
    <s v="Y50681"/>
    <n v="1"/>
    <s v="码头-&gt;准备清关"/>
    <d v="2020-03-18T00:00:00"/>
    <n v="6.4000000000000001E-2"/>
    <x v="19"/>
    <d v="1905-07-12T00:28:48"/>
    <s v="RMB"/>
    <x v="188"/>
    <x v="143"/>
    <x v="0"/>
    <s v="L-&gt;R"/>
    <s v="No"/>
    <s v="WRONG"/>
  </r>
  <r>
    <n v="550"/>
    <s v="已发货"/>
    <s v="C49"/>
    <n v="109794"/>
    <s v="龙大名义下单"/>
    <s v="YSM40R-4"/>
    <s v="R-&gt;L"/>
    <s v="No"/>
    <s v="Y50682"/>
    <n v="1"/>
    <s v="码头-&gt;准备清关"/>
    <d v="2020-03-18T00:00:00"/>
    <n v="6.4000000000000001E-2"/>
    <x v="19"/>
    <d v="1905-07-12T04:48:00"/>
    <s v="RMB"/>
    <x v="188"/>
    <x v="143"/>
    <x v="0"/>
    <s v="L-&gt;R"/>
    <s v="No"/>
    <s v="WRONG"/>
  </r>
  <r>
    <n v="637"/>
    <s v="已发货"/>
    <s v="C49"/>
    <n v="109816"/>
    <s v="Stock order"/>
    <s v="YSM20R(SV)-2"/>
    <s v="R-&gt;L"/>
    <s v="No"/>
    <s v="Y50754"/>
    <n v="1"/>
    <s v="盐保仓库"/>
    <d v="2020-04-01T00:00:00"/>
    <s v="NM(CR:0.0672)"/>
    <x v="22"/>
    <d v="1905-07-12T00:28:48"/>
    <s v="JPY"/>
    <x v="189"/>
    <x v="144"/>
    <x v="4"/>
    <s v="R-&gt;L"/>
    <s v="No"/>
    <s v="OK"/>
  </r>
  <r>
    <n v="633"/>
    <s v="已发货"/>
    <s v="C49"/>
    <n v="109816"/>
    <s v="Stock order"/>
    <s v="YSM20R(SV)-2"/>
    <s v="L-&gt;R"/>
    <s v="No"/>
    <s v="Y50756"/>
    <n v="1"/>
    <s v="盐保仓库"/>
    <d v="2020-04-01T00:00:00"/>
    <s v="NM"/>
    <x v="16"/>
    <d v="1905-07-12T00:28:48"/>
    <s v="JPY"/>
    <x v="190"/>
    <x v="95"/>
    <x v="4"/>
    <s v="L-&gt;R"/>
    <s v="MVC"/>
    <s v="WRONG"/>
  </r>
  <r>
    <n v="597"/>
    <s v="已发货"/>
    <s v="C49"/>
    <n v="109816"/>
    <s v="Stock order"/>
    <s v="YSM20R(SV)-2"/>
    <s v="L-&gt;R"/>
    <s v="No"/>
    <s v="Y50755"/>
    <n v="1"/>
    <s v="力合仓库(已经清关)"/>
    <d v="2020-04-01T00:00:00"/>
    <s v="0.0656（价格用PO#109855)"/>
    <x v="21"/>
    <d v="1905-07-12T00:14:24"/>
    <s v="RMB"/>
    <x v="191"/>
    <x v="145"/>
    <x v="4"/>
    <s v="L-&gt;R"/>
    <s v="MVC"/>
    <s v="WRONG"/>
  </r>
  <r>
    <n v="531"/>
    <s v="已发货"/>
    <s v="C49"/>
    <n v="109816"/>
    <s v="Stock order"/>
    <s v="YSM20R(SV)-2"/>
    <s v="L-&gt;R"/>
    <s v="cATS10+MVC+special layout"/>
    <s v="Y50752"/>
    <n v="1"/>
    <s v="盐保仓库"/>
    <d v="2020-04-01T00:00:00"/>
    <s v="NM"/>
    <x v="16"/>
    <d v="1905-07-12T00:28:48"/>
    <s v="JPY"/>
    <x v="192"/>
    <x v="75"/>
    <x v="4"/>
    <s v="L-&gt;R"/>
    <s v="cATS10+MVC"/>
    <s v="WRONG"/>
  </r>
  <r>
    <n v="529"/>
    <s v="已发货"/>
    <s v="C49"/>
    <n v="109816"/>
    <s v="Stock order"/>
    <s v="YSM20R(SV)-2"/>
    <s v="L-&gt;R"/>
    <s v="No"/>
    <s v="Y50759"/>
    <n v="1"/>
    <s v="盐保仓库"/>
    <d v="2020-04-01T00:00:00"/>
    <s v="NM"/>
    <x v="16"/>
    <d v="1905-07-12T00:28:48"/>
    <s v="JPY"/>
    <x v="192"/>
    <x v="75"/>
    <x v="4"/>
    <s v="L-&gt;R"/>
    <s v="No"/>
    <s v="OK"/>
  </r>
  <r>
    <n v="530"/>
    <s v="已发货"/>
    <s v="C49"/>
    <n v="109816"/>
    <s v="Stock order"/>
    <s v="YSM20R(SV)-2"/>
    <s v="L-&gt;R"/>
    <s v="No"/>
    <s v="Y50760"/>
    <n v="1"/>
    <s v="盐保仓库"/>
    <d v="2020-04-01T00:00:00"/>
    <s v="NM"/>
    <x v="16"/>
    <d v="1905-07-12T00:28:48"/>
    <s v="JPY"/>
    <x v="192"/>
    <x v="75"/>
    <x v="4"/>
    <s v="L-&gt;R"/>
    <s v="No"/>
    <s v="OK"/>
  </r>
  <r>
    <n v="574"/>
    <s v="已发货"/>
    <s v="C49"/>
    <n v="109816"/>
    <s v="Stock order"/>
    <s v="YSM20R(SV)-2"/>
    <s v="R-&gt;L"/>
    <s v="No"/>
    <s v="Y50753"/>
    <n v="1"/>
    <s v="盐保仓库"/>
    <d v="2020-04-01T00:00:00"/>
    <s v="NM(CR:0.0672)"/>
    <x v="21"/>
    <d v="1905-07-12T00:28:48"/>
    <s v="JPY"/>
    <x v="193"/>
    <x v="128"/>
    <x v="4"/>
    <s v="R-&gt;L"/>
    <s v="No"/>
    <s v="OK"/>
  </r>
  <r>
    <n v="609"/>
    <s v="已发货"/>
    <s v="C49"/>
    <n v="109816"/>
    <s v="Stock order"/>
    <s v="YSM20R(SV)-2"/>
    <s v="L-&gt;R"/>
    <s v="No"/>
    <s v="Y50758"/>
    <n v="1"/>
    <s v="盐保仓库"/>
    <d v="2020-04-01T00:00:00"/>
    <s v="NM(CR:0.0672)"/>
    <x v="21"/>
    <d v="1905-07-12T00:28:48"/>
    <s v="JPY"/>
    <x v="194"/>
    <x v="107"/>
    <x v="4"/>
    <s v="L-&gt;R"/>
    <s v="No"/>
    <s v="OK"/>
  </r>
  <r>
    <n v="606"/>
    <s v="已发货"/>
    <s v="C49"/>
    <n v="109816"/>
    <s v="Stock order"/>
    <s v="YSM20R(SV)-2"/>
    <s v="L-&gt;R"/>
    <s v="No"/>
    <s v="Y50757"/>
    <n v="1"/>
    <s v="华日仓库中转"/>
    <d v="2020-04-01T00:00:00"/>
    <n v="6.7000000000000004E-2"/>
    <x v="21"/>
    <d v="1905-07-12T00:28:48"/>
    <s v="JPY"/>
    <x v="195"/>
    <x v="33"/>
    <x v="4"/>
    <s v="L-&gt;R"/>
    <s v="MVC"/>
    <s v="WRONG"/>
  </r>
  <r>
    <n v="774"/>
    <s v="已发货"/>
    <s v="C49"/>
    <n v="109816"/>
    <s v="Stock order"/>
    <s v="YSM20R(SV)-2"/>
    <s v="R-&gt;L"/>
    <s v="cATS10+MVC+special layout"/>
    <s v="Y50751"/>
    <n v="1"/>
    <s v="力合仓库(已经清关)"/>
    <d v="2020-04-01T00:00:00"/>
    <s v="NM(CR:0.0672)"/>
    <x v="23"/>
    <d v="1905-07-12T00:28:48"/>
    <s v="RMB"/>
    <x v="196"/>
    <x v="146"/>
    <x v="4"/>
    <s v="R-&gt;L"/>
    <s v="cATS10+MVC"/>
    <s v="WRONG"/>
  </r>
  <r>
    <n v="623"/>
    <s v="已发货"/>
    <s v="C49"/>
    <n v="109783"/>
    <s v="博睿通名义下单"/>
    <s v="YSM10"/>
    <s v="R-&gt;L"/>
    <s v="No"/>
    <s v="Y50619"/>
    <n v="1"/>
    <s v="盐保仓库"/>
    <d v="2020-04-01T00:00:00"/>
    <s v="0.0654（价格用PO#109762)"/>
    <x v="16"/>
    <d v="1905-07-12T00:43:12"/>
    <s v="RMB"/>
    <x v="197"/>
    <x v="147"/>
    <x v="1"/>
    <s v="L-&gt;R"/>
    <s v="MVC"/>
    <s v="WRONG"/>
  </r>
  <r>
    <n v="614"/>
    <s v="已发货"/>
    <s v="C49"/>
    <n v="109783"/>
    <s v="博睿通名义下单"/>
    <s v="YSM10"/>
    <s v="R-&gt;L"/>
    <s v="No"/>
    <s v="Y50620"/>
    <n v="1"/>
    <s v="盐保仓库"/>
    <d v="2020-04-01T00:00:00"/>
    <s v="0.0648                  （价格用PO#109587"/>
    <x v="16"/>
    <d v="1905-07-12T00:43:12"/>
    <s v="RMB"/>
    <x v="177"/>
    <x v="136"/>
    <x v="1"/>
    <s v="R-&gt;L"/>
    <s v="MVC"/>
    <s v="WRONG"/>
  </r>
  <r>
    <n v="577"/>
    <s v="已发货"/>
    <s v="C49"/>
    <n v="109783"/>
    <s v="博睿通名义下单"/>
    <s v="YSM10"/>
    <s v="R-&gt;L"/>
    <s v="No"/>
    <s v="Y50618"/>
    <n v="1"/>
    <s v="盐保仓库"/>
    <d v="2020-04-01T00:00:00"/>
    <s v="0.0654（价格用PO#109759)"/>
    <x v="21"/>
    <d v="1905-07-12T00:43:12"/>
    <s v="JPY"/>
    <x v="198"/>
    <x v="148"/>
    <x v="1"/>
    <s v="L-&gt;R"/>
    <s v="MVC"/>
    <s v="WRONG"/>
  </r>
  <r>
    <n v="674"/>
    <s v="已发货"/>
    <s v="C49"/>
    <n v="109783"/>
    <s v="博睿通名义下单"/>
    <s v="YSM10"/>
    <s v="R-&gt;L"/>
    <s v="ATS15"/>
    <s v="Y50621"/>
    <n v="1"/>
    <s v="盐保仓库"/>
    <d v="2020-04-01T00:00:00"/>
    <s v="0.0654（价格用PO#109749)"/>
    <x v="24"/>
    <d v="1905-07-12T00:43:12"/>
    <s v="RMB"/>
    <x v="199"/>
    <x v="149"/>
    <x v="1"/>
    <s v="L-&gt;R"/>
    <s v="MVC+ATS15"/>
    <s v="WRONG"/>
  </r>
  <r>
    <n v="676"/>
    <s v="已发货"/>
    <s v="C49"/>
    <n v="109783"/>
    <s v="博睿通名义下单"/>
    <s v="YSM10"/>
    <s v="R-&gt;L"/>
    <s v="ATS15"/>
    <s v="Y50622"/>
    <n v="1"/>
    <s v="盐保仓库"/>
    <d v="2020-04-01T00:00:00"/>
    <s v="0.0654（价格用PO#109749)"/>
    <x v="3"/>
    <d v="1905-07-12T00:43:12"/>
    <s v="JPY"/>
    <x v="200"/>
    <x v="10"/>
    <x v="1"/>
    <s v="L-&gt;R"/>
    <s v="MVC+ATS15"/>
    <s v="WRONG"/>
  </r>
  <r>
    <n v="656"/>
    <s v="已发货"/>
    <s v="C49"/>
    <n v="109783"/>
    <s v="博睿通名义下单"/>
    <s v="YSM10"/>
    <s v="R-&gt;L"/>
    <s v="ATS15"/>
    <s v="Y50623"/>
    <n v="1"/>
    <s v="力合仓库(已经清关)"/>
    <d v="2020-04-01T00:00:00"/>
    <s v="0.0654（价格用PO#109749)"/>
    <x v="3"/>
    <d v="1905-07-12T00:43:12"/>
    <s v="RMB"/>
    <x v="201"/>
    <x v="109"/>
    <x v="1"/>
    <s v="R-&gt;L"/>
    <s v="MVC+ATS15"/>
    <s v="WRONG"/>
  </r>
  <r>
    <n v="604"/>
    <s v="已发货"/>
    <s v="C49"/>
    <n v="109820"/>
    <s v="Stock order"/>
    <s v="YSM10"/>
    <s v="R-&gt;L"/>
    <s v="No"/>
    <s v="Y50947"/>
    <n v="1"/>
    <s v="乐凡清关，送力合仓库"/>
    <d v="2020-04-03T00:00:00"/>
    <s v="NM(CR:0.0679)"/>
    <x v="21"/>
    <d v="1905-07-12T00:43:12"/>
    <s v="JPY"/>
    <x v="202"/>
    <x v="150"/>
    <x v="1"/>
    <s v="L-&gt;R"/>
    <s v="MVC"/>
    <s v="WRONG"/>
  </r>
  <r>
    <n v="634"/>
    <s v="已发货"/>
    <s v="C49"/>
    <n v="109820"/>
    <s v="Stock order"/>
    <s v="YSM10"/>
    <s v="R-&gt;L"/>
    <s v="No"/>
    <s v="Y50948"/>
    <n v="1"/>
    <s v="乐凡清关，送力合仓库"/>
    <d v="2020-04-03T00:00:00"/>
    <s v="0.0640（价格用PO#109820，rate 用109815)"/>
    <x v="21"/>
    <d v="1905-07-12T00:43:12"/>
    <s v="RMB"/>
    <x v="203"/>
    <x v="151"/>
    <x v="1"/>
    <s v="R-&gt;L"/>
    <s v="No"/>
    <s v="OK"/>
  </r>
  <r>
    <n v="636"/>
    <s v="已发货"/>
    <s v="C49"/>
    <n v="109820"/>
    <s v="Stock order"/>
    <s v="YSM10"/>
    <s v="R-&gt;L"/>
    <s v="No"/>
    <s v="Y50949"/>
    <n v="1"/>
    <s v="华日仓库中转"/>
    <d v="2020-04-03T00:00:00"/>
    <s v="0.0640（价格用PO#109820，rate 用109815)"/>
    <x v="21"/>
    <d v="1905-07-12T00:43:12"/>
    <s v="RMB"/>
    <x v="204"/>
    <x v="152"/>
    <x v="1"/>
    <s v="L-&gt;R"/>
    <s v="MVC"/>
    <s v="WRONG"/>
  </r>
  <r>
    <n v="602"/>
    <s v="已发货"/>
    <s v="C49"/>
    <n v="109820"/>
    <s v="Stock order"/>
    <s v="YSM10"/>
    <s v="R-&gt;L"/>
    <s v="No"/>
    <s v="Y50950"/>
    <n v="1"/>
    <s v="盐保仓库"/>
    <d v="2020-04-03T00:00:00"/>
    <s v="0.0640（价格用PO#109820，rate 用109815)"/>
    <x v="22"/>
    <d v="1905-07-12T00:43:12"/>
    <s v="RMB"/>
    <x v="205"/>
    <x v="153"/>
    <x v="1"/>
    <s v="L-&gt;R"/>
    <s v="MVC"/>
    <s v="WRONG"/>
  </r>
  <r>
    <n v="643"/>
    <s v="已发货"/>
    <s v="C49"/>
    <n v="109820"/>
    <s v="Stock order"/>
    <s v="YSM10"/>
    <s v="R-&gt;L"/>
    <s v="No"/>
    <s v="Y50843"/>
    <n v="1"/>
    <s v="盐保仓库"/>
    <d v="2020-04-03T00:00:00"/>
    <s v="0.0640（价格用PO#109820，rate 用109815)"/>
    <x v="21"/>
    <d v="1905-07-12T00:43:12"/>
    <s v="RMB"/>
    <x v="206"/>
    <x v="16"/>
    <x v="1"/>
    <s v="L-&gt;R"/>
    <s v="MVC"/>
    <s v="WRONG"/>
  </r>
  <r>
    <n v="635"/>
    <s v="已发货"/>
    <s v="C49"/>
    <n v="109855"/>
    <s v="Stock order"/>
    <s v="YSM20R(SV)-2"/>
    <s v="L-&gt;R"/>
    <s v="No"/>
    <s v="Y50848"/>
    <n v="1"/>
    <s v="华日仓库中转"/>
    <d v="2020-04-25T00:00:00"/>
    <n v="6.5600000000000006E-2"/>
    <x v="21"/>
    <d v="1905-07-12T00:28:48"/>
    <s v="RMB"/>
    <x v="204"/>
    <x v="152"/>
    <x v="4"/>
    <s v="L-&gt;R"/>
    <s v="No"/>
    <s v="OK"/>
  </r>
  <r>
    <n v="642"/>
    <s v="已发货"/>
    <s v="C49"/>
    <n v="109855"/>
    <s v="Stock order"/>
    <s v="YSM20R(SV)-2"/>
    <s v="L-&gt;R"/>
    <s v="No"/>
    <s v="Y50849"/>
    <n v="1"/>
    <s v="盐保仓库"/>
    <d v="2020-04-25T00:00:00"/>
    <s v="NM(价格用PO#109816）"/>
    <x v="21"/>
    <d v="1905-07-12T00:28:48"/>
    <s v="RMB"/>
    <x v="206"/>
    <x v="16"/>
    <x v="4"/>
    <s v="L-&gt;R"/>
    <s v="No"/>
    <s v="OK"/>
  </r>
  <r>
    <n v="619"/>
    <s v="已发货"/>
    <s v="C49"/>
    <n v="109855"/>
    <s v="Stock order"/>
    <s v="YSM20R(SV)-2"/>
    <s v="L-&gt;R"/>
    <s v="No"/>
    <s v="Y50850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20"/>
    <s v="已发货"/>
    <s v="C49"/>
    <n v="109855"/>
    <s v="Stock order"/>
    <s v="YSM20R(SV)-2"/>
    <s v="L-&gt;R"/>
    <s v="No"/>
    <s v="Y50851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21"/>
    <s v="已发货"/>
    <s v="C49"/>
    <n v="109855"/>
    <s v="Stock order"/>
    <s v="YSM20R(SV)-2"/>
    <s v="L-&gt;R"/>
    <s v="No"/>
    <s v="Y50852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22"/>
    <s v="已发货"/>
    <s v="C49"/>
    <n v="109855"/>
    <s v="Stock order"/>
    <s v="YSM20R(SV)-2"/>
    <s v="L-&gt;R"/>
    <s v="No"/>
    <s v="Y50866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10"/>
    <s v="已发货"/>
    <s v="C49"/>
    <n v="109806"/>
    <s v="Pro-tec"/>
    <s v="YSM20R(SV)-2"/>
    <s v="L-&gt;R"/>
    <s v="No"/>
    <s v="Y50702"/>
    <n v="1"/>
    <s v="盐保仓库"/>
    <d v="2020-05-04T00:00:00"/>
    <s v="NM(CR:0.0679)"/>
    <x v="21"/>
    <d v="1905-07-12T00:28:48"/>
    <s v="JPY"/>
    <x v="194"/>
    <x v="107"/>
    <x v="4"/>
    <s v="L-&gt;R"/>
    <s v="No"/>
    <s v="OK"/>
  </r>
  <r>
    <n v="638"/>
    <s v="已发货"/>
    <s v="C49"/>
    <n v="109806"/>
    <s v="Pro-tec"/>
    <s v="YSM10"/>
    <s v="R-&gt;L"/>
    <s v="No"/>
    <s v="Y51205"/>
    <n v="1"/>
    <s v="钧溢清关，送力合仓库"/>
    <d v="2020-05-04T00:00:00"/>
    <s v="0.0640（价格用PO#109820，rate 用109815)"/>
    <x v="21"/>
    <d v="1905-07-12T00:57:36"/>
    <s v="RMB"/>
    <x v="208"/>
    <x v="155"/>
    <x v="1"/>
    <s v="L-&gt;R"/>
    <s v="MVC"/>
    <s v="WRONG"/>
  </r>
  <r>
    <n v="603"/>
    <s v="已发货"/>
    <s v="C49"/>
    <n v="109856"/>
    <s v="Stock order"/>
    <s v="YSM20R(SV)-2"/>
    <s v="L-&gt;R"/>
    <s v="No"/>
    <s v="Y51294"/>
    <n v="1"/>
    <s v="乐上清关，送力合仓库"/>
    <d v="2020-05-20T00:00:00"/>
    <n v="6.4600000000000005E-2"/>
    <x v="22"/>
    <d v="1905-07-12T00:57:36"/>
    <s v="RMB"/>
    <x v="205"/>
    <x v="153"/>
    <x v="4"/>
    <s v="L-&gt;R"/>
    <s v="No"/>
    <s v="OK"/>
  </r>
  <r>
    <n v="657"/>
    <s v="已发货"/>
    <s v="C49"/>
    <n v="109856"/>
    <s v="Stock order"/>
    <s v="YSM20R(SV)-2"/>
    <s v="R-&gt;L"/>
    <s v="No"/>
    <s v="Y51295"/>
    <n v="1"/>
    <s v="力合仓库(已经清关)"/>
    <d v="2020-05-20T00:00:00"/>
    <n v="6.7000000000000004E-2"/>
    <x v="3"/>
    <d v="1905-07-12T00:57:36"/>
    <s v="RMB"/>
    <x v="201"/>
    <x v="109"/>
    <x v="4"/>
    <s v="R-&gt;L"/>
    <s v="MVC"/>
    <s v="WRONG"/>
  </r>
  <r>
    <n v="671"/>
    <s v="已发货"/>
    <s v="C49"/>
    <n v="109856"/>
    <s v="Stock order"/>
    <s v="YSM20R(SV)-2"/>
    <s v="R-&gt;L"/>
    <s v="No"/>
    <s v="Y51296"/>
    <n v="1"/>
    <s v="辉记中转仓"/>
    <d v="2020-05-20T00:00:00"/>
    <n v="6.7000000000000004E-2"/>
    <x v="3"/>
    <d v="1905-07-12T00:57:36"/>
    <s v="JPY"/>
    <x v="209"/>
    <x v="156"/>
    <x v="4"/>
    <s v="R-&gt;L"/>
    <s v="No"/>
    <s v="OK"/>
  </r>
  <r>
    <n v="658"/>
    <s v="已发货"/>
    <s v="C49"/>
    <n v="109856"/>
    <s v="Stock order"/>
    <s v="YSM20R(SV)-2"/>
    <s v="R-&gt;L"/>
    <s v="No"/>
    <s v="Y51297"/>
    <n v="1"/>
    <s v="力合仓库(已经清关)"/>
    <d v="2020-05-20T00:00:00"/>
    <n v="6.7000000000000004E-2"/>
    <x v="3"/>
    <d v="1905-07-12T00:57:36"/>
    <s v="RMB"/>
    <x v="201"/>
    <x v="109"/>
    <x v="4"/>
    <s v="R-&gt;L"/>
    <s v="No"/>
    <s v="OK"/>
  </r>
  <r>
    <n v="584"/>
    <s v="已发货"/>
    <s v="C49"/>
    <s v="49F103362"/>
    <s v="上海机器"/>
    <s v="YSM10"/>
    <s v="R-&gt;L"/>
    <s v="No"/>
    <s v="Y49634"/>
    <n v="1"/>
    <s v="力合仓库(已经清关)"/>
    <d v="2019-12-19T00:00:00"/>
    <n v="6.5799999999999997E-2"/>
    <x v="16"/>
    <m/>
    <s v="JPY"/>
    <x v="210"/>
    <x v="157"/>
    <x v="1"/>
    <s v="L-&gt;R"/>
    <s v="MVC"/>
    <s v="WRONG"/>
  </r>
  <r>
    <n v="583"/>
    <s v="已发货"/>
    <s v="C49"/>
    <s v="49F103362"/>
    <s v="上海机器"/>
    <s v="YSM10"/>
    <s v="R-&gt;L"/>
    <s v="No"/>
    <s v="Y49635"/>
    <n v="1"/>
    <s v="力合仓库(已经清关)"/>
    <d v="2019-12-19T00:00:00"/>
    <n v="6.5799999999999997E-2"/>
    <x v="16"/>
    <m/>
    <s v="JPY"/>
    <x v="210"/>
    <x v="157"/>
    <x v="1"/>
    <s v="L-&gt;R"/>
    <s v="MVC"/>
    <s v="WRONG"/>
  </r>
  <r>
    <n v="601"/>
    <s v="已发货"/>
    <s v="C49"/>
    <n v="109857"/>
    <s v="安林名义下单"/>
    <s v="YSM20WR-2"/>
    <s v="L-&gt;R"/>
    <s v="No"/>
    <s v="Y51332"/>
    <n v="1"/>
    <s v="码头-&gt;准备清关"/>
    <d v="2020-05-20T00:00:00"/>
    <s v="NM(CR:0.0679)"/>
    <x v="21"/>
    <d v="1905-07-12T00:57:36"/>
    <s v="JPY"/>
    <x v="211"/>
    <x v="0"/>
    <x v="11"/>
    <s v="L-&gt;R"/>
    <s v="No"/>
    <s v="OK"/>
  </r>
  <r>
    <n v="611"/>
    <s v="已发货"/>
    <s v="C49"/>
    <n v="109858"/>
    <s v="奕东名义下单"/>
    <s v="YSM10"/>
    <s v="R-&gt;L"/>
    <s v="No"/>
    <s v="Y51333"/>
    <n v="1"/>
    <s v="盐保仓库"/>
    <d v="2020-05-22T00:00:00"/>
    <s v="NM(CR:0.0679)"/>
    <x v="21"/>
    <d v="1905-07-12T00:57:36"/>
    <s v="JPY"/>
    <x v="194"/>
    <x v="107"/>
    <x v="1"/>
    <s v="L-&gt;R"/>
    <s v="MVC"/>
    <s v="WRONG"/>
  </r>
  <r>
    <n v="612"/>
    <s v="已发货"/>
    <s v="C49"/>
    <n v="109858"/>
    <s v="奕东名义下单"/>
    <s v="YSM10"/>
    <s v="R-&gt;L"/>
    <s v="No"/>
    <s v="Y51334"/>
    <n v="1"/>
    <s v="盐保仓库"/>
    <d v="2020-05-22T00:00:00"/>
    <s v="NM(CR:0.0679)"/>
    <x v="21"/>
    <d v="1905-07-12T00:57:36"/>
    <s v="JPY"/>
    <x v="194"/>
    <x v="107"/>
    <x v="1"/>
    <s v="L-&gt;R"/>
    <s v="MVC"/>
    <s v="WRONG"/>
  </r>
  <r>
    <n v="639"/>
    <s v="已发货"/>
    <s v="C49"/>
    <n v="109858"/>
    <s v="奕东名义下单"/>
    <s v="YSM10"/>
    <s v="R-&gt;L"/>
    <s v="No"/>
    <s v="Y51335"/>
    <n v="1"/>
    <s v="盐保仓库"/>
    <d v="2020-05-22T00:00:00"/>
    <s v="NM(CR:0.0679)"/>
    <x v="21"/>
    <d v="1905-07-12T00:57:36"/>
    <s v="JPY"/>
    <x v="212"/>
    <x v="107"/>
    <x v="1"/>
    <s v="L-&gt;R"/>
    <s v="MVC"/>
    <s v="WRONG"/>
  </r>
  <r>
    <n v="640"/>
    <s v="已发货"/>
    <s v="C49"/>
    <n v="109858"/>
    <s v="奕东名义下单"/>
    <s v="YSM10"/>
    <s v="R-&gt;L"/>
    <s v="No"/>
    <s v="Y51336"/>
    <n v="1"/>
    <s v="盐保仓库"/>
    <d v="2020-05-22T00:00:00"/>
    <s v="NM(CR:0.0679)"/>
    <x v="21"/>
    <d v="1905-07-12T00:57:36"/>
    <s v="JPY"/>
    <x v="212"/>
    <x v="107"/>
    <x v="1"/>
    <s v="L-&gt;R"/>
    <s v="No"/>
    <s v="WRONG"/>
  </r>
  <r>
    <n v="652"/>
    <s v="已发货"/>
    <s v="C49"/>
    <n v="109858"/>
    <s v="奕东名义下单"/>
    <s v="YSM10"/>
    <s v="R-&gt;L"/>
    <s v="No"/>
    <s v="Y51337"/>
    <n v="1"/>
    <s v="盐保仓库"/>
    <d v="2020-05-22T00:00:00"/>
    <n v="6.7000000000000004E-2"/>
    <x v="22"/>
    <d v="1905-07-12T00:57:36"/>
    <s v="RMB"/>
    <x v="213"/>
    <x v="81"/>
    <x v="1"/>
    <s v="L-&gt;R"/>
    <s v="No"/>
    <s v="WRONG"/>
  </r>
  <r>
    <n v="662"/>
    <s v="已发货"/>
    <s v="C49"/>
    <n v="109889"/>
    <s v="奕东名义下单"/>
    <s v="YSM10"/>
    <s v="R-&gt;L"/>
    <s v="No"/>
    <s v="Y51338"/>
    <n v="1"/>
    <s v="盐保仓库"/>
    <d v="2020-06-03T00:00:00"/>
    <s v="NM(CR:0.0679)"/>
    <x v="22"/>
    <d v="1905-07-12T01:12:00"/>
    <s v="JPY"/>
    <x v="214"/>
    <x v="158"/>
    <x v="1"/>
    <s v="L-&gt;R"/>
    <s v="MVC"/>
    <s v="WRONG"/>
  </r>
  <r>
    <n v="661"/>
    <s v="已发货"/>
    <s v="C49"/>
    <n v="109889"/>
    <s v="奕东名义下单"/>
    <s v="YSM10"/>
    <s v="R-&gt;L"/>
    <s v="No"/>
    <s v="Y51339"/>
    <n v="1"/>
    <s v="华日仓库中转"/>
    <d v="2020-06-03T00:00:00"/>
    <n v="6.7000000000000004E-2"/>
    <x v="22"/>
    <d v="1905-07-12T01:12:00"/>
    <s v="RMB"/>
    <x v="215"/>
    <x v="159"/>
    <x v="1"/>
    <s v="L-&gt;R"/>
    <s v="No"/>
    <s v="WRONG"/>
  </r>
  <r>
    <n v="672"/>
    <s v="已发货"/>
    <s v="C49"/>
    <n v="109889"/>
    <s v="奕东名义下单"/>
    <s v="YSM10"/>
    <s v="R-&gt;L"/>
    <s v="No"/>
    <s v="Y51340"/>
    <n v="1"/>
    <s v="辉记中转仓"/>
    <d v="2020-06-03T00:00:00"/>
    <n v="6.7000000000000004E-2"/>
    <x v="3"/>
    <d v="1905-07-12T01:12:00"/>
    <s v="JPY"/>
    <x v="209"/>
    <x v="156"/>
    <x v="1"/>
    <s v="R-&gt;L"/>
    <s v="MVC"/>
    <s v="WRONG"/>
  </r>
  <r>
    <n v="616"/>
    <s v="已发货"/>
    <s v="C49"/>
    <n v="109873"/>
    <s v="晶科名义下单"/>
    <s v="SIGMA-G5S2"/>
    <s v="L-&gt;R"/>
    <s v="No"/>
    <s v="Y51486"/>
    <n v="1"/>
    <s v="码头"/>
    <d v="2020-06-03T00:00:00"/>
    <s v="NM(CR:0.0679)"/>
    <x v="22"/>
    <d v="1905-07-12T01:12:00"/>
    <s v="JPY"/>
    <x v="216"/>
    <x v="102"/>
    <x v="9"/>
    <s v="L-&gt;R"/>
    <s v="No"/>
    <s v="OK"/>
  </r>
  <r>
    <n v="624"/>
    <s v="已发货"/>
    <s v="C49"/>
    <n v="109868"/>
    <s v="Stock order"/>
    <s v="YSM20R(SV)-2"/>
    <s v="L-&gt;R"/>
    <s v="cATS10+MVC+special layout"/>
    <s v="Y51469"/>
    <n v="1"/>
    <s v="码头"/>
    <d v="2020-06-10T00:00:00"/>
    <n v="6.6699999999999995E-2"/>
    <x v="22"/>
    <d v="1905-07-12T01:12:00"/>
    <s v="RMB"/>
    <x v="217"/>
    <x v="146"/>
    <x v="4"/>
    <s v="L-&gt;R"/>
    <s v="cATS10+MVC"/>
    <s v="WRONG"/>
  </r>
  <r>
    <n v="645"/>
    <s v="已发货"/>
    <s v="C49"/>
    <n v="109868"/>
    <s v="Stock order"/>
    <s v="YSM20R(SV)-2"/>
    <s v="L-&gt;R"/>
    <s v="No"/>
    <s v="Y51452"/>
    <n v="1"/>
    <s v="华日仓库中转"/>
    <d v="2020-06-10T00:00:00"/>
    <n v="6.6699999999999995E-2"/>
    <x v="22"/>
    <d v="1905-07-12T01:12:00"/>
    <s v="RMB"/>
    <x v="218"/>
    <x v="38"/>
    <x v="4"/>
    <s v="L-&gt;R"/>
    <s v="MVC"/>
    <s v="WRONG"/>
  </r>
  <r>
    <n v="605"/>
    <s v="已发货"/>
    <s v="C49"/>
    <n v="109868"/>
    <s v="Stock order"/>
    <s v="YSM20R(SV)-2"/>
    <s v="L-&gt;R"/>
    <s v="No"/>
    <s v="Y51453"/>
    <n v="1"/>
    <s v="华日仓库中转"/>
    <d v="2020-06-10T00:00:00"/>
    <n v="6.6699999999999995E-2"/>
    <x v="3"/>
    <d v="1905-07-12T01:12:00"/>
    <s v="JPY"/>
    <x v="202"/>
    <x v="150"/>
    <x v="4"/>
    <s v="L-&gt;R"/>
    <s v="No"/>
    <s v="OK"/>
  </r>
  <r>
    <n v="644"/>
    <s v="已发货"/>
    <s v="C49"/>
    <n v="109868"/>
    <s v="Stock order"/>
    <s v="YSM20R(SV)-2"/>
    <s v="L-&gt;R"/>
    <s v="No"/>
    <s v="Y51454"/>
    <n v="1"/>
    <s v="华日仓库中转"/>
    <d v="2020-06-10T00:00:00"/>
    <n v="6.6699999999999995E-2"/>
    <x v="22"/>
    <d v="1905-07-12T01:12:00"/>
    <s v="RMB"/>
    <x v="218"/>
    <x v="38"/>
    <x v="4"/>
    <s v="L-&gt;R"/>
    <s v="MVC"/>
    <s v="WRONG"/>
  </r>
  <r>
    <n v="625"/>
    <s v="已发货"/>
    <s v="C49"/>
    <n v="109868"/>
    <s v="Stock order"/>
    <s v="YSM20R(SV)-2"/>
    <s v="L-&gt;R"/>
    <s v="No"/>
    <s v="Y51455"/>
    <n v="1"/>
    <s v="码头"/>
    <d v="2020-06-10T00:00:00"/>
    <n v="6.6699999999999995E-2"/>
    <x v="22"/>
    <d v="1905-07-12T01:12:00"/>
    <s v="RMB"/>
    <x v="217"/>
    <x v="146"/>
    <x v="4"/>
    <s v="L-&gt;R"/>
    <s v="No"/>
    <s v="OK"/>
  </r>
  <r>
    <n v="626"/>
    <s v="已发货"/>
    <s v="C49"/>
    <n v="109868"/>
    <s v="Stock order"/>
    <s v="YSM20R(SV)-2"/>
    <s v="L-&gt;R"/>
    <s v="No"/>
    <s v="Y51456"/>
    <n v="1"/>
    <s v="码头"/>
    <d v="2020-06-10T00:00:00"/>
    <n v="6.6699999999999995E-2"/>
    <x v="22"/>
    <d v="1905-07-12T01:12:00"/>
    <s v="RMB"/>
    <x v="217"/>
    <x v="146"/>
    <x v="4"/>
    <s v="L-&gt;R"/>
    <s v="No"/>
    <s v="OK"/>
  </r>
  <r>
    <n v="630"/>
    <s v="已发货"/>
    <s v="C28"/>
    <n v="109880"/>
    <s v="海星名义下单"/>
    <s v="YCP10"/>
    <s v="L-&gt;R"/>
    <s v="No"/>
    <s v="Y51546"/>
    <n v="1"/>
    <s v="码头"/>
    <d v="2020-06-10T00:00:00"/>
    <n v="6.6600000000000006E-2"/>
    <x v="22"/>
    <d v="1905-07-12T01:12:00"/>
    <s v="RMB"/>
    <x v="219"/>
    <x v="146"/>
    <x v="8"/>
    <s v="L-&gt;R"/>
    <s v="No"/>
    <s v="OK"/>
  </r>
  <r>
    <n v="668"/>
    <s v="已发货"/>
    <s v="C49"/>
    <s v="109891(拆分PO109925）"/>
    <s v="Stock order"/>
    <s v="YSM10"/>
    <s v="R-&gt;L"/>
    <s v="No"/>
    <s v="Y51616"/>
    <n v="1"/>
    <s v="力合仓库(已经清关)"/>
    <d v="2020-06-22T00:00:00"/>
    <s v="0.0661(价格用PO#109891)"/>
    <x v="3"/>
    <d v="1905-07-12T01:26:24"/>
    <s v="RMB"/>
    <x v="220"/>
    <x v="160"/>
    <x v="1"/>
    <s v="L-&gt;R"/>
    <s v="MVC"/>
    <s v="WRONG"/>
  </r>
  <r>
    <n v="681"/>
    <s v="已发货"/>
    <s v="C49"/>
    <s v="109891(拆分PO109925）"/>
    <s v="Stock order"/>
    <s v="YSM10"/>
    <s v="R-&gt;L"/>
    <s v="No"/>
    <s v="Y51617"/>
    <n v="1"/>
    <s v="力合仓库(已经清关)"/>
    <d v="2020-06-22T00:00:00"/>
    <s v="0.0661(价格用PO#109891)"/>
    <x v="3"/>
    <d v="1905-07-12T01:26:24"/>
    <s v="RMB"/>
    <x v="221"/>
    <x v="161"/>
    <x v="1"/>
    <s v="L-&gt;R"/>
    <s v="MVC"/>
    <s v="WRONG"/>
  </r>
  <r>
    <n v="669"/>
    <s v="已发货"/>
    <s v="C49"/>
    <s v="109891(拆分PO109925）"/>
    <s v="Stock order"/>
    <s v="YSM10"/>
    <s v="R-&gt;L"/>
    <s v="No"/>
    <s v="Y51618"/>
    <n v="1"/>
    <s v="力合仓库(已经清关)"/>
    <d v="2020-06-22T00:00:00"/>
    <s v="0.0661(价格用PO#109891)"/>
    <x v="3"/>
    <d v="1905-07-12T01:26:24"/>
    <s v="RMB"/>
    <x v="220"/>
    <x v="160"/>
    <x v="1"/>
    <s v="L-&gt;R"/>
    <s v="MVC"/>
    <s v="WRONG"/>
  </r>
  <r>
    <n v="689"/>
    <s v="已发货"/>
    <s v="C49"/>
    <s v="109891(拆分PO109925）"/>
    <s v="Stock order"/>
    <s v="YSM10"/>
    <s v="R-&gt;L"/>
    <s v="No"/>
    <s v="Y51619"/>
    <n v="1"/>
    <s v="CY仓库"/>
    <d v="2020-06-22T00:00:00"/>
    <n v="6.6500000000000004E-2"/>
    <x v="3"/>
    <d v="1905-07-12T01:26:24"/>
    <s v="JPY"/>
    <x v="222"/>
    <x v="33"/>
    <x v="1"/>
    <s v="L-&gt;R"/>
    <s v="MVC"/>
    <s v="WRONG"/>
  </r>
  <r>
    <n v="683"/>
    <s v="已发货"/>
    <s v="C49"/>
    <s v="109891(拆分PO109925）"/>
    <s v="Stock order"/>
    <s v="YSM10"/>
    <s v="R-&gt;L"/>
    <s v="No"/>
    <s v="Y51620"/>
    <n v="1"/>
    <s v="CY仓库"/>
    <d v="2020-06-22T00:00:00"/>
    <n v="6.6500000000000004E-2"/>
    <x v="3"/>
    <d v="1905-07-12T01:26:24"/>
    <s v="JPY"/>
    <x v="223"/>
    <x v="162"/>
    <x v="1"/>
    <s v="L-&gt;R"/>
    <s v="MVC"/>
    <s v="WRONG"/>
  </r>
  <r>
    <n v="684"/>
    <s v="已发货"/>
    <s v="C49"/>
    <n v="109891"/>
    <s v="Stock order"/>
    <s v="YSM10"/>
    <s v="R-&gt;L"/>
    <s v="No"/>
    <s v="Y51621"/>
    <n v="1"/>
    <s v="CY仓库"/>
    <d v="2020-06-22T00:00:00"/>
    <s v="0.0665(价格用PO#109925)"/>
    <x v="3"/>
    <d v="1905-07-12T01:26:24"/>
    <s v="JPY"/>
    <x v="223"/>
    <x v="162"/>
    <x v="1"/>
    <s v="L-&gt;R"/>
    <s v="MVC"/>
    <s v="WRONG"/>
  </r>
  <r>
    <n v="685"/>
    <s v="已发货"/>
    <s v="C49"/>
    <n v="109891"/>
    <s v="Stock order"/>
    <s v="YSM10"/>
    <s v="R-&gt;L"/>
    <s v="No"/>
    <s v="Y51622"/>
    <n v="1"/>
    <s v="CY仓库"/>
    <d v="2020-06-22T00:00:00"/>
    <s v="0.0665(价格用PO#109925)"/>
    <x v="3"/>
    <d v="1905-07-12T01:26:24"/>
    <s v="JPY"/>
    <x v="223"/>
    <x v="162"/>
    <x v="1"/>
    <s v="L-&gt;R"/>
    <s v="No"/>
    <s v="WRONG"/>
  </r>
  <r>
    <n v="677"/>
    <s v="已发货"/>
    <s v="C49"/>
    <n v="109891"/>
    <s v="Stock order"/>
    <s v="YSM10"/>
    <s v="R-&gt;L"/>
    <s v="No"/>
    <s v="Y51623"/>
    <n v="1"/>
    <s v="CY仓库"/>
    <d v="2020-06-22T00:00:00"/>
    <s v="0.0665(价格用PO#109925)"/>
    <x v="3"/>
    <d v="1905-07-12T01:26:24"/>
    <s v="JPY"/>
    <x v="200"/>
    <x v="10"/>
    <x v="1"/>
    <s v="L-&gt;R"/>
    <s v="MVC"/>
    <s v="WRONG"/>
  </r>
  <r>
    <n v="680"/>
    <s v="已发货"/>
    <s v="C49"/>
    <n v="109891"/>
    <s v="Stock order"/>
    <s v="YSM10"/>
    <s v="R-&gt;L"/>
    <s v="No"/>
    <s v="Y51624"/>
    <n v="1"/>
    <s v="力合仓库(已经清关)"/>
    <d v="2020-06-22T00:00:00"/>
    <n v="6.6100000000000006E-2"/>
    <x v="3"/>
    <d v="1905-07-12T01:26:24"/>
    <s v="RMB"/>
    <x v="224"/>
    <x v="42"/>
    <x v="1"/>
    <s v="L-&gt;R"/>
    <s v="MVC"/>
    <s v="WRONG"/>
  </r>
  <r>
    <n v="665"/>
    <s v="已发货"/>
    <s v="C49"/>
    <n v="109891"/>
    <s v="Stock order"/>
    <s v="YSM10"/>
    <s v="R-&gt;L"/>
    <s v="No"/>
    <s v="Y51625"/>
    <n v="1"/>
    <s v="力合仓库(已经清关)"/>
    <d v="2020-06-22T00:00:00"/>
    <n v="6.6100000000000006E-2"/>
    <x v="3"/>
    <d v="1905-07-12T01:26:24"/>
    <s v="RMB"/>
    <x v="225"/>
    <x v="109"/>
    <x v="1"/>
    <s v="L-&gt;R"/>
    <s v="MVC"/>
    <s v="WRONG"/>
  </r>
  <r>
    <n v="666"/>
    <s v="已发货"/>
    <s v="C49"/>
    <n v="109886"/>
    <s v="Stock order"/>
    <s v="YSM20R(SV)-2"/>
    <s v="L-&gt;R"/>
    <s v="No"/>
    <s v="Y51547"/>
    <n v="1"/>
    <s v="华日仓库中转"/>
    <d v="2020-06-24T00:00:00"/>
    <n v="6.6500000000000004E-2"/>
    <x v="3"/>
    <d v="1905-07-12T01:26:24"/>
    <s v="JPY"/>
    <x v="226"/>
    <x v="163"/>
    <x v="4"/>
    <s v="L-&gt;R"/>
    <s v="No"/>
    <s v="OK"/>
  </r>
  <r>
    <n v="690"/>
    <s v="已发货"/>
    <s v="C49"/>
    <n v="109886"/>
    <s v="Stock order"/>
    <s v="YSM20R(SV)-2"/>
    <s v="L-&gt;R"/>
    <s v="No"/>
    <s v="Y51548"/>
    <n v="1"/>
    <s v="钧溢清关，送力合仓库"/>
    <d v="2020-06-24T00:00:00"/>
    <s v="0.0667（价格用PO#109868)"/>
    <x v="3"/>
    <d v="1905-07-12T01:26:24"/>
    <s v="RMB"/>
    <x v="227"/>
    <x v="146"/>
    <x v="4"/>
    <s v="L-&gt;R"/>
    <s v="MVC"/>
    <s v="WRONG"/>
  </r>
  <r>
    <n v="721"/>
    <s v="已发货"/>
    <s v="C49"/>
    <n v="109886"/>
    <s v="Stock order"/>
    <s v="YSM20R(SV)-2"/>
    <s v="L-&gt;R"/>
    <s v="No"/>
    <s v="Y51549"/>
    <n v="1"/>
    <s v="盐保仓库"/>
    <d v="2020-06-24T00:00:00"/>
    <n v="6.6500000000000004E-2"/>
    <x v="3"/>
    <d v="1905-07-12T01:26:24"/>
    <s v="JPY"/>
    <x v="228"/>
    <x v="90"/>
    <x v="4"/>
    <s v="L-&gt;R"/>
    <s v="No"/>
    <s v="OK"/>
  </r>
  <r>
    <n v="667"/>
    <s v="已发货"/>
    <s v="C49"/>
    <n v="109886"/>
    <s v="Stock order"/>
    <s v="YSM20R(SV)-2"/>
    <s v="L-&gt;R"/>
    <s v="No"/>
    <s v="Y51554"/>
    <n v="1"/>
    <s v="力合仓库(已经清关)"/>
    <d v="2020-06-24T00:00:00"/>
    <n v="6.6500000000000004E-2"/>
    <x v="3"/>
    <d v="1905-07-12T01:26:24"/>
    <s v="RMB"/>
    <x v="220"/>
    <x v="160"/>
    <x v="4"/>
    <s v="L-&gt;R"/>
    <s v="No"/>
    <s v="OK"/>
  </r>
  <r>
    <n v="703"/>
    <s v="已发货"/>
    <s v="C49"/>
    <n v="109886"/>
    <s v="Stock order"/>
    <s v="YSM20R(SV)-2"/>
    <s v="L-&gt;R"/>
    <s v="No"/>
    <s v="Y51555"/>
    <n v="1"/>
    <s v="盐保仓库"/>
    <d v="2020-06-24T00:00:00"/>
    <n v="6.6500000000000004E-2"/>
    <x v="3"/>
    <d v="1905-07-12T01:26:24"/>
    <s v="JPY"/>
    <x v="229"/>
    <x v="164"/>
    <x v="4"/>
    <s v="L-&gt;R"/>
    <s v="No"/>
    <s v="OK"/>
  </r>
  <r>
    <n v="651"/>
    <s v="已发货"/>
    <s v="C49"/>
    <s v="109886(拆分PO109947）"/>
    <s v="Stock order"/>
    <s v="YSM20R(SV)-2"/>
    <s v="L-&gt;R"/>
    <s v="No"/>
    <s v="Y51552"/>
    <n v="1"/>
    <s v="CY仓库"/>
    <d v="2020-06-24T00:00:00"/>
    <s v="NM"/>
    <x v="22"/>
    <d v="1905-07-12T01:26:24"/>
    <s v="JPY"/>
    <x v="230"/>
    <x v="66"/>
    <x v="4"/>
    <s v="L-&gt;R"/>
    <s v="No"/>
    <s v="OK"/>
  </r>
  <r>
    <n v="682"/>
    <s v="已发货"/>
    <s v="C49"/>
    <s v="109886(拆分PO109947）"/>
    <s v="Stock order"/>
    <s v="YSM20R(SV)-2"/>
    <s v="L-&gt;R"/>
    <s v="No"/>
    <s v="Y51553"/>
    <n v="1"/>
    <s v="CY仓库"/>
    <d v="2020-06-24T00:00:00"/>
    <s v="NM"/>
    <x v="3"/>
    <d v="1905-07-12T01:26:24"/>
    <s v="JPY"/>
    <x v="223"/>
    <x v="162"/>
    <x v="4"/>
    <s v="L-&gt;R"/>
    <s v="No"/>
    <s v="OK"/>
  </r>
  <r>
    <n v="649"/>
    <s v="已发货"/>
    <s v="C49"/>
    <s v="109886(拆分PO109947）"/>
    <s v="Stock order"/>
    <s v="YSM20R(SV)-2"/>
    <s v="L-&gt;R"/>
    <s v="No"/>
    <s v="Y51550"/>
    <n v="1"/>
    <s v="CY仓库"/>
    <d v="2020-06-24T00:00:00"/>
    <s v="NM"/>
    <x v="22"/>
    <d v="1905-07-12T01:26:24"/>
    <s v="JPY"/>
    <x v="230"/>
    <x v="66"/>
    <x v="4"/>
    <s v="L-&gt;R"/>
    <s v="No"/>
    <s v="OK"/>
  </r>
  <r>
    <n v="650"/>
    <s v="已发货"/>
    <s v="C49"/>
    <s v="109886(拆分PO109947）"/>
    <s v="Stock order"/>
    <s v="YSM20R(SV)-2"/>
    <s v="L-&gt;R"/>
    <s v="No"/>
    <s v="Y51551"/>
    <n v="1"/>
    <s v="CY仓库"/>
    <d v="2020-06-24T00:00:00"/>
    <s v="NM"/>
    <x v="22"/>
    <d v="1905-07-12T01:26:24"/>
    <s v="JPY"/>
    <x v="230"/>
    <x v="66"/>
    <x v="4"/>
    <s v="L-&gt;R"/>
    <s v="No"/>
    <s v="OK"/>
  </r>
  <r>
    <n v="675"/>
    <s v="已发货"/>
    <s v="C49"/>
    <s v="109886(拆分PO109947）"/>
    <s v="Stock order"/>
    <s v="YSM20R(SV)-2"/>
    <s v="L-&gt;R"/>
    <s v="No"/>
    <s v="Y51556"/>
    <n v="1"/>
    <s v="CY仓库"/>
    <d v="2020-06-24T00:00:00"/>
    <s v="NM"/>
    <x v="3"/>
    <d v="1905-07-12T01:26:24"/>
    <s v="JPY"/>
    <x v="200"/>
    <x v="10"/>
    <x v="4"/>
    <s v="L-&gt;R"/>
    <s v="No"/>
    <s v="OK"/>
  </r>
  <r>
    <n v="692"/>
    <s v="已发货"/>
    <s v="C49"/>
    <s v="109917新建PO110003"/>
    <s v="Stock order"/>
    <s v="YSM20R(SV)-2"/>
    <s v="L-&gt;R"/>
    <s v="cATS10+special layout"/>
    <s v="Y51841"/>
    <n v="1"/>
    <s v="盐保仓库"/>
    <d v="2020-07-22T00:00:00"/>
    <s v="NM(CR:0.0670)"/>
    <x v="24"/>
    <d v="1905-07-12T01:40:48"/>
    <s v="JPY"/>
    <x v="231"/>
    <x v="165"/>
    <x v="4"/>
    <s v="L-&gt;R"/>
    <s v="cATS10+MVC"/>
    <s v="WRONG"/>
  </r>
  <r>
    <n v="888"/>
    <s v="已发货"/>
    <s v="C49"/>
    <s v="109917新建PO110003"/>
    <s v="Stock order"/>
    <s v="YSM20R(SV)-2"/>
    <s v="L-&gt;R"/>
    <s v="cATS10+special layout"/>
    <s v="Y51842"/>
    <n v="1"/>
    <s v="盐保仓库"/>
    <d v="2020-07-22T00:00:00"/>
    <s v="NM(CR:0.0670)"/>
    <x v="25"/>
    <d v="1905-07-12T01:40:48"/>
    <s v="USD"/>
    <x v="232"/>
    <x v="166"/>
    <x v="4"/>
    <s v="L-&gt;R"/>
    <s v="cATS10+MVC"/>
    <s v="WRONG"/>
  </r>
  <r>
    <n v="704"/>
    <s v="已发货"/>
    <s v="C49"/>
    <s v="109917(拆分PO109963，新建PO110004）"/>
    <s v="Stock order"/>
    <s v="YSM20R(SV)-2"/>
    <s v="L-&gt;R"/>
    <s v="No"/>
    <s v="Y51840"/>
    <n v="1"/>
    <s v="盐保仓库"/>
    <d v="2020-07-22T00:00:00"/>
    <s v="NM"/>
    <x v="3"/>
    <d v="1905-07-12T01:40:48"/>
    <s v="JPY"/>
    <x v="233"/>
    <x v="84"/>
    <x v="4"/>
    <s v="L-&gt;R"/>
    <s v="No"/>
    <s v="OK"/>
  </r>
  <r>
    <n v="686"/>
    <s v="已发货"/>
    <s v="C49"/>
    <s v="109917(拆分PO109963，新建PO110004）"/>
    <s v="Stock order"/>
    <s v="YSM20R(SV)-2"/>
    <s v="L-&gt;R"/>
    <s v="No"/>
    <s v="Y51843"/>
    <n v="1"/>
    <s v="盐保仓库"/>
    <d v="2020-07-22T00:00:00"/>
    <s v="NM"/>
    <x v="3"/>
    <d v="1905-07-12T01:40:48"/>
    <s v="JPY"/>
    <x v="234"/>
    <x v="167"/>
    <x v="4"/>
    <s v="L-&gt;R"/>
    <s v="No"/>
    <s v="OK"/>
  </r>
  <r>
    <n v="727"/>
    <s v="已发货"/>
    <s v="C49"/>
    <s v="109917(拆分PO109963，新建PO110004）"/>
    <s v="Stock order"/>
    <s v="YSM20R(SV)-2"/>
    <s v="L-&gt;R"/>
    <s v="No"/>
    <s v="Y51844"/>
    <n v="1"/>
    <s v="盐保仓库"/>
    <d v="2020-07-22T00:00:00"/>
    <s v="NM"/>
    <x v="24"/>
    <d v="1905-07-12T01:40:48"/>
    <s v="JPY"/>
    <x v="235"/>
    <x v="168"/>
    <x v="4"/>
    <s v="L-&gt;R"/>
    <s v="MVC"/>
    <s v="WRONG"/>
  </r>
  <r>
    <n v="673"/>
    <s v="已发货"/>
    <s v="C49"/>
    <s v="109917(拆分PO109998）"/>
    <s v="Stock order"/>
    <s v="YSM20R(SV)-2"/>
    <s v="L-&gt;R"/>
    <s v="No"/>
    <s v="Y51845"/>
    <n v="1"/>
    <s v="盐保仓库"/>
    <d v="2020-07-22T00:00:00"/>
    <n v="6.6100000000000006E-2"/>
    <x v="24"/>
    <d v="1905-07-12T01:40:48"/>
    <s v="RMB"/>
    <x v="199"/>
    <x v="149"/>
    <x v="4"/>
    <s v="L-&gt;R"/>
    <s v="No"/>
    <s v="OK"/>
  </r>
  <r>
    <n v="687"/>
    <s v="已发货"/>
    <s v="C49"/>
    <n v="109924"/>
    <s v="Stock order"/>
    <s v="YSM10"/>
    <s v="R-&gt;L"/>
    <s v="No"/>
    <s v="Y51907"/>
    <n v="1"/>
    <s v="盐保仓库"/>
    <d v="2020-07-22T00:00:00"/>
    <s v="NM"/>
    <x v="3"/>
    <d v="1905-07-12T01:40:48"/>
    <s v="JPY"/>
    <x v="234"/>
    <x v="167"/>
    <x v="1"/>
    <s v="L-&gt;R"/>
    <s v="MVC"/>
    <s v="WRONG"/>
  </r>
  <r>
    <n v="688"/>
    <s v="已发货"/>
    <s v="C49"/>
    <n v="109924"/>
    <s v="Stock order"/>
    <s v="YSM10"/>
    <s v="R-&gt;L"/>
    <s v="No"/>
    <s v="Y51904"/>
    <n v="1"/>
    <s v="盐保仓库"/>
    <d v="2020-07-22T00:00:00"/>
    <s v="NM"/>
    <x v="3"/>
    <d v="1905-07-12T01:40:48"/>
    <s v="JPY"/>
    <x v="234"/>
    <x v="167"/>
    <x v="1"/>
    <s v="L-&gt;R"/>
    <s v="MVC"/>
    <s v="WRONG"/>
  </r>
  <r>
    <n v="691"/>
    <s v="已发货"/>
    <s v="C49"/>
    <n v="109924"/>
    <s v="Stock order"/>
    <s v="YSM10"/>
    <s v="R-&gt;L"/>
    <s v="No"/>
    <s v="Y51909"/>
    <n v="1"/>
    <s v="盐保仓库"/>
    <d v="2020-07-22T00:00:00"/>
    <s v="NM"/>
    <x v="3"/>
    <d v="1905-07-12T01:40:48"/>
    <s v="JPY"/>
    <x v="236"/>
    <x v="169"/>
    <x v="1"/>
    <s v="L-&gt;R"/>
    <s v="MVC"/>
    <s v="WRONG"/>
  </r>
  <r>
    <n v="709"/>
    <s v="已发货"/>
    <s v="C49"/>
    <n v="109924"/>
    <s v="Stock order"/>
    <s v="YSM10"/>
    <s v="R-&gt;L"/>
    <s v="No"/>
    <s v="Y51906"/>
    <n v="1"/>
    <s v="盐保仓库"/>
    <d v="2020-07-22T00:00:00"/>
    <s v="NM"/>
    <x v="3"/>
    <d v="1905-07-12T01:40:48"/>
    <s v="JPY"/>
    <x v="237"/>
    <x v="45"/>
    <x v="1"/>
    <s v="L-&gt;R"/>
    <s v="MVC"/>
    <s v="WRONG"/>
  </r>
  <r>
    <n v="733"/>
    <s v="已发货"/>
    <s v="C49"/>
    <s v="109924(拆分PO109962)"/>
    <s v="Stock order"/>
    <s v="YSM10"/>
    <s v="R-&gt;L"/>
    <s v="No"/>
    <s v="Y51903"/>
    <n v="1"/>
    <s v="力合仓库(已经清关)"/>
    <d v="2020-07-22T00:00:00"/>
    <n v="6.6100000000000006E-2"/>
    <x v="3"/>
    <d v="1905-07-12T01:40:48"/>
    <s v="RMB"/>
    <x v="238"/>
    <x v="170"/>
    <x v="1"/>
    <s v="L-&gt;R"/>
    <s v="MVC"/>
    <s v="WRONG"/>
  </r>
  <r>
    <n v="710"/>
    <s v="已发货"/>
    <s v="C49"/>
    <s v="109924(拆分PO109962)"/>
    <s v="Stock order"/>
    <s v="YSM10"/>
    <s v="R-&gt;L"/>
    <s v="No"/>
    <s v="Y51908"/>
    <n v="1"/>
    <s v="盐保仓库"/>
    <d v="2020-07-22T00:00:00"/>
    <n v="6.6100000000000006E-2"/>
    <x v="3"/>
    <d v="1905-07-12T01:40:48"/>
    <s v="JPY"/>
    <x v="237"/>
    <x v="45"/>
    <x v="1"/>
    <s v="L-&gt;R"/>
    <s v="MVC"/>
    <s v="WRONG"/>
  </r>
  <r>
    <n v="679"/>
    <s v="已发货"/>
    <s v="C49"/>
    <s v="109924(拆分PO109962)"/>
    <s v="Stock order"/>
    <s v="YSM10"/>
    <s v="R-&gt;L"/>
    <s v="No"/>
    <s v="Y51905"/>
    <n v="1"/>
    <s v="盐保仓库"/>
    <d v="2020-07-22T00:00:00"/>
    <n v="6.6100000000000006E-2"/>
    <x v="3"/>
    <d v="1905-07-12T01:40:48"/>
    <s v="RMB"/>
    <x v="224"/>
    <x v="42"/>
    <x v="1"/>
    <s v="L-&gt;R"/>
    <s v="MVC"/>
    <s v="WRONG"/>
  </r>
  <r>
    <n v="764"/>
    <s v="已发货"/>
    <s v="C49"/>
    <s v="109924(拆分PO109962)"/>
    <s v="Stock order"/>
    <s v="YSM10"/>
    <s v="R-&gt;L"/>
    <s v="No"/>
    <s v="Y51910"/>
    <n v="1"/>
    <s v="盐保仓库"/>
    <d v="2020-07-22T00:00:00"/>
    <n v="6.6100000000000006E-2"/>
    <x v="24"/>
    <d v="1905-07-12T01:40:48"/>
    <s v="RMB"/>
    <x v="239"/>
    <x v="171"/>
    <x v="1"/>
    <s v="L-&gt;R"/>
    <s v="MVC"/>
    <s v="WRONG"/>
  </r>
  <r>
    <n v="752"/>
    <s v="已发货"/>
    <s v="C49"/>
    <s v="49F103569"/>
    <s v="上海机器"/>
    <s v="YSM20R(SV)-2"/>
    <s v="L-&gt;R"/>
    <s v="No"/>
    <s v="Y51940"/>
    <n v="1"/>
    <s v="上海仓库"/>
    <d v="2020-07-23T00:00:00"/>
    <n v="6.6900000000000001E-2"/>
    <x v="24"/>
    <d v="1905-07-12T01:40:48"/>
    <s v="RMB"/>
    <x v="240"/>
    <x v="71"/>
    <x v="4"/>
    <s v="L-&gt;R"/>
    <s v="No"/>
    <s v="OK"/>
  </r>
  <r>
    <n v="462"/>
    <s v="已发货"/>
    <s v="C49"/>
    <n v="109933"/>
    <s v="智序名义下单"/>
    <s v="YSM10"/>
    <s v="R-&gt;L"/>
    <s v="ATS15"/>
    <s v="Y51972"/>
    <n v="1"/>
    <s v="盐保仓库"/>
    <d v="2020-08-12T00:00:00"/>
    <s v="NM"/>
    <x v="24"/>
    <d v="1905-07-12T01:40:48"/>
    <s v="JPY"/>
    <x v="241"/>
    <x v="28"/>
    <x v="1"/>
    <s v="L-&gt;R"/>
    <s v="MVC+ATS15"/>
    <s v="WRONG"/>
  </r>
  <r>
    <n v="767"/>
    <s v="已发货"/>
    <s v="C49"/>
    <n v="109933"/>
    <s v="智序名义下单"/>
    <s v="YSM10"/>
    <s v="R-&gt;L"/>
    <s v="ATS15"/>
    <s v="Y51973"/>
    <n v="1"/>
    <s v="盐保仓库"/>
    <d v="2020-08-12T00:00:00"/>
    <s v="NM(CR:0.0685)"/>
    <x v="23"/>
    <d v="1905-07-12T01:40:48"/>
    <s v="JPY"/>
    <x v="242"/>
    <x v="172"/>
    <x v="1"/>
    <s v="R-&gt;L"/>
    <s v="MVC+ATS15"/>
    <s v="WRONG"/>
  </r>
  <r>
    <n v="732"/>
    <s v="已发货"/>
    <s v="C49"/>
    <n v="109933"/>
    <s v="智序名义下单"/>
    <s v="YSM10"/>
    <s v="R-&gt;L"/>
    <s v="ATS15"/>
    <s v="Y51983"/>
    <n v="1"/>
    <s v="盐保仓库"/>
    <d v="2020-08-12T00:00:00"/>
    <s v="NM(CR:0.0685)"/>
    <x v="23"/>
    <d v="1905-07-12T01:40:48"/>
    <s v="JPY"/>
    <x v="243"/>
    <x v="152"/>
    <x v="1"/>
    <s v="L-&gt;R"/>
    <s v="MVC+ATS15"/>
    <s v="WRONG"/>
  </r>
  <r>
    <n v="773"/>
    <s v="已发货"/>
    <s v="C49"/>
    <n v="109933"/>
    <s v="智序名义下单"/>
    <s v="YSM20R(SV)-2"/>
    <s v="R-&gt;L"/>
    <s v="No"/>
    <s v="Y51966"/>
    <n v="1"/>
    <s v="力合仓库(已经清关)"/>
    <d v="2020-08-12T00:00:00"/>
    <s v="0.0655(价格用PO109999）"/>
    <x v="23"/>
    <d v="1905-07-12T01:40:48"/>
    <s v="RMB"/>
    <x v="196"/>
    <x v="146"/>
    <x v="4"/>
    <s v="R-&gt;L"/>
    <s v="No"/>
    <s v="OK"/>
  </r>
  <r>
    <n v="678"/>
    <s v="已发货"/>
    <s v="C49"/>
    <n v="109933"/>
    <s v="智序名义下单"/>
    <s v="YSM20R(SV)-2"/>
    <s v="R-&gt;L"/>
    <s v="No"/>
    <s v="Y51967"/>
    <n v="1"/>
    <s v="盐保仓库"/>
    <d v="2020-08-12T00:00:00"/>
    <s v="NM"/>
    <x v="24"/>
    <d v="1905-07-12T01:40:48"/>
    <s v="JPY"/>
    <x v="244"/>
    <x v="10"/>
    <x v="4"/>
    <s v="R-&gt;L"/>
    <s v="No"/>
    <s v="OK"/>
  </r>
  <r>
    <n v="461"/>
    <s v="已发货"/>
    <s v="C49"/>
    <n v="109933"/>
    <s v="智序名义下单"/>
    <s v="YSM20R(SV)-2"/>
    <s v="L-&gt;R"/>
    <s v="No"/>
    <s v="Y51968"/>
    <n v="1"/>
    <s v="盐保仓库"/>
    <d v="2020-08-12T00:00:00"/>
    <s v="NM"/>
    <x v="24"/>
    <d v="1905-07-12T01:40:48"/>
    <s v="JPY"/>
    <x v="241"/>
    <x v="28"/>
    <x v="4"/>
    <s v="L-&gt;R"/>
    <s v="No"/>
    <s v="OK"/>
  </r>
  <r>
    <n v="693"/>
    <s v="已发货"/>
    <s v="C49"/>
    <n v="109933"/>
    <s v="智序名义下单"/>
    <s v="YSM20R(SV)-2"/>
    <s v="L-&gt;R"/>
    <s v="No"/>
    <s v="Y51969"/>
    <n v="1"/>
    <s v="盐保仓库"/>
    <d v="2020-08-12T00:00:00"/>
    <s v="NM(CR:0.0685)"/>
    <x v="24"/>
    <d v="1905-07-12T01:40:48"/>
    <s v="JPY"/>
    <x v="231"/>
    <x v="165"/>
    <x v="4"/>
    <s v="L-&gt;R"/>
    <s v="MVC"/>
    <s v="WRONG"/>
  </r>
  <r>
    <n v="694"/>
    <s v="已发货"/>
    <s v="C49"/>
    <n v="109933"/>
    <s v="智序名义下单"/>
    <s v="YSM20R(SV)-2"/>
    <s v="L-&gt;R"/>
    <s v="No"/>
    <s v="Y51970"/>
    <n v="1"/>
    <s v="盐保仓库"/>
    <d v="2020-08-12T00:00:00"/>
    <s v="NM(CR:0.0685)"/>
    <x v="24"/>
    <d v="1905-07-12T01:40:48"/>
    <s v="JPY"/>
    <x v="231"/>
    <x v="165"/>
    <x v="4"/>
    <s v="L-&gt;R"/>
    <s v="MVC"/>
    <s v="WRONG"/>
  </r>
  <r>
    <n v="695"/>
    <s v="已发货"/>
    <s v="C49"/>
    <n v="109933"/>
    <s v="智序名义下单"/>
    <s v="YSM20R(SV)-2"/>
    <s v="L-&gt;R"/>
    <s v="No"/>
    <s v="Y51971"/>
    <n v="1"/>
    <s v="盐保仓库"/>
    <d v="2020-08-12T00:00:00"/>
    <s v="NM(CR:0.0685)"/>
    <x v="24"/>
    <d v="1905-07-12T01:40:48"/>
    <s v="JPY"/>
    <x v="231"/>
    <x v="165"/>
    <x v="4"/>
    <s v="L-&gt;R"/>
    <s v="MVC"/>
    <s v="WRONG"/>
  </r>
  <r>
    <n v="670"/>
    <s v="已发货"/>
    <s v="C49"/>
    <s v="49J103603"/>
    <s v="正邦名义下单"/>
    <s v="YSM40R-4"/>
    <s v="L-&gt;R"/>
    <s v="No"/>
    <s v="Y50716"/>
    <n v="1"/>
    <s v="Yamaha 大浪仓"/>
    <d v="2020-07-12T00:00:00"/>
    <s v="NM "/>
    <x v="3"/>
    <m/>
    <s v="RMB"/>
    <x v="245"/>
    <x v="173"/>
    <x v="0"/>
    <s v="L-&gt;R"/>
    <s v="No"/>
    <s v="OK"/>
  </r>
  <r>
    <n v="706"/>
    <s v="已发货"/>
    <s v="C49"/>
    <n v="109957"/>
    <s v="Stock order"/>
    <s v="YSM10"/>
    <s v="R-&gt;L"/>
    <s v="ATS15"/>
    <s v="Y52108"/>
    <n v="1"/>
    <s v="盐保仓库"/>
    <d v="2020-08-21T00:00:00"/>
    <s v="NM(CR:0.0685)"/>
    <x v="23"/>
    <d v="1905-07-12T01:40:48"/>
    <s v="JPY"/>
    <x v="246"/>
    <x v="174"/>
    <x v="1"/>
    <s v="R-&gt;L"/>
    <s v="MVC+ATS15"/>
    <s v="WRONG"/>
  </r>
  <r>
    <n v="768"/>
    <s v="已发货"/>
    <s v="C49"/>
    <n v="109957"/>
    <s v="Stock order"/>
    <s v="YSM10"/>
    <s v="R-&gt;L"/>
    <s v="ATS15"/>
    <s v="Y52109"/>
    <n v="1"/>
    <s v="盐保仓库"/>
    <d v="2020-08-21T00:00:00"/>
    <s v="NM(CR:0.0685)"/>
    <x v="23"/>
    <d v="1905-07-12T01:40:48"/>
    <s v="JPY"/>
    <x v="242"/>
    <x v="172"/>
    <x v="1"/>
    <s v="R-&gt;L"/>
    <s v="MVC+ATS15"/>
    <s v="WRONG"/>
  </r>
  <r>
    <n v="734"/>
    <s v="已发货"/>
    <s v="C49"/>
    <n v="109957"/>
    <s v="Stock order"/>
    <s v="YSM10"/>
    <s v="R-&gt;L"/>
    <s v="No"/>
    <s v="Y52110（不能调动机器，序列号提供给了客户）"/>
    <n v="1"/>
    <s v="盐保仓库"/>
    <d v="2020-08-21T00:00:00"/>
    <s v="NM(CR:0.0685)"/>
    <x v="23"/>
    <d v="1905-07-12T01:40:48"/>
    <s v="JPY"/>
    <x v="247"/>
    <x v="175"/>
    <x v="1"/>
    <s v="L-&gt;R"/>
    <s v="MVC"/>
    <s v="WRONG"/>
  </r>
  <r>
    <n v="775"/>
    <s v="已发货"/>
    <s v="C49"/>
    <n v="109957"/>
    <s v="Stock order"/>
    <s v="YSM10"/>
    <s v="R-&gt;L"/>
    <s v="No"/>
    <s v="Y52111"/>
    <n v="1"/>
    <s v="力合仓库(已经清关)"/>
    <d v="2020-08-21T00:00:00"/>
    <s v="0.0655(价格用PO109977）"/>
    <x v="23"/>
    <d v="1905-07-12T01:40:48"/>
    <s v="RMB"/>
    <x v="196"/>
    <x v="146"/>
    <x v="1"/>
    <s v="R-&gt;L"/>
    <s v="MVC"/>
    <s v="WRONG"/>
  </r>
  <r>
    <n v="729"/>
    <s v="已发货"/>
    <s v="C49"/>
    <n v="109957"/>
    <s v="Stock order"/>
    <s v="YSM10"/>
    <s v="R-&gt;L"/>
    <s v="No"/>
    <s v="Y52112"/>
    <n v="1"/>
    <s v="盐保仓库"/>
    <d v="2020-08-21T00:00:00"/>
    <s v="NM(CR:0.0685)"/>
    <x v="24"/>
    <d v="1905-07-12T01:55:12"/>
    <s v="JPY"/>
    <x v="248"/>
    <x v="76"/>
    <x v="1"/>
    <s v="L-&gt;R"/>
    <s v="MVC"/>
    <s v="WRONG"/>
  </r>
  <r>
    <n v="730"/>
    <s v="已发货"/>
    <s v="C49"/>
    <n v="109957"/>
    <s v="Stock order"/>
    <s v="YSM10"/>
    <s v="R-&gt;L"/>
    <s v="No"/>
    <s v="Y52113"/>
    <n v="1"/>
    <s v="盐保仓库"/>
    <d v="2020-08-21T00:00:00"/>
    <s v="NM(CR:0.0685)"/>
    <x v="24"/>
    <d v="1905-07-12T01:55:12"/>
    <s v="JPY"/>
    <x v="248"/>
    <x v="76"/>
    <x v="1"/>
    <s v="L-&gt;R"/>
    <s v="No"/>
    <s v="WRONG"/>
  </r>
  <r>
    <n v="771"/>
    <s v="已发货"/>
    <s v="C49"/>
    <n v="109957"/>
    <s v="Stock order"/>
    <s v="YSM10"/>
    <s v="R-&gt;L"/>
    <s v="No"/>
    <s v="Y52114"/>
    <n v="1"/>
    <s v="盐保仓库"/>
    <d v="2020-08-21T00:00:00"/>
    <s v="NM(CR:0.0685)"/>
    <x v="23"/>
    <d v="1905-07-12T01:55:12"/>
    <s v="RMB"/>
    <x v="249"/>
    <x v="176"/>
    <x v="1"/>
    <s v="L-&gt;R"/>
    <s v="MVC"/>
    <s v="WRONG"/>
  </r>
  <r>
    <n v="696"/>
    <s v="已发货"/>
    <s v="C49"/>
    <n v="109981"/>
    <s v="德劲名义下单"/>
    <s v="YSM40R-4"/>
    <s v="L-&gt;R"/>
    <s v="No"/>
    <s v="Y51103"/>
    <n v="1"/>
    <s v="盐保仓库"/>
    <d v="2020-08-26T00:00:00"/>
    <s v="NM(CR:0.0685)"/>
    <x v="24"/>
    <d v="1905-07-12T00:57:36"/>
    <s v="JPY"/>
    <x v="231"/>
    <x v="165"/>
    <x v="0"/>
    <s v="L-&gt;R"/>
    <s v="No"/>
    <s v="OK"/>
  </r>
  <r>
    <n v="793"/>
    <s v="已发货"/>
    <s v="C49"/>
    <s v="109981(拆分PO110029）"/>
    <s v="德劲名义下单"/>
    <s v="YSM40R-4"/>
    <s v="L-&gt;R"/>
    <s v="No"/>
    <s v="Y51203"/>
    <n v="1"/>
    <s v="盐保仓库"/>
    <d v="2020-08-26T00:00:00"/>
    <n v="6.5500000000000003E-2"/>
    <x v="23"/>
    <d v="1905-07-12T00:57:36"/>
    <s v="RMB"/>
    <x v="250"/>
    <x v="177"/>
    <x v="0"/>
    <s v="L-&gt;R"/>
    <s v="No"/>
    <s v="OK"/>
  </r>
  <r>
    <n v="707"/>
    <s v="已发货"/>
    <s v="C49"/>
    <n v="109958"/>
    <s v="Stock order"/>
    <s v="YSM10"/>
    <s v="R-&gt;L"/>
    <s v="No"/>
    <s v="Y52115"/>
    <n v="1"/>
    <s v="盐保仓库"/>
    <d v="2020-08-28T00:00:00"/>
    <n v="6.6299999999999998E-2"/>
    <x v="23"/>
    <d v="1905-07-12T01:55:12"/>
    <s v="JPY"/>
    <x v="246"/>
    <x v="174"/>
    <x v="1"/>
    <s v="R-&gt;L"/>
    <s v="No"/>
    <s v="OK"/>
  </r>
  <r>
    <n v="724"/>
    <s v="已发货"/>
    <s v="C49"/>
    <n v="109958"/>
    <s v="Stock order"/>
    <s v="YSM10"/>
    <s v="R-&gt;L"/>
    <s v="No"/>
    <s v="Y52116"/>
    <n v="1"/>
    <s v="盐保仓库"/>
    <d v="2020-08-28T00:00:00"/>
    <n v="6.6299999999999998E-2"/>
    <x v="23"/>
    <d v="1905-07-12T01:55:12"/>
    <s v="JPY"/>
    <x v="251"/>
    <x v="90"/>
    <x v="1"/>
    <s v="L-&gt;R"/>
    <s v="No"/>
    <s v="WRONG"/>
  </r>
  <r>
    <n v="725"/>
    <s v="已发货"/>
    <s v="C49"/>
    <n v="109958"/>
    <s v="Stock order"/>
    <s v="YSM10"/>
    <s v="R-&gt;L"/>
    <s v="No"/>
    <s v="Y52117"/>
    <n v="1"/>
    <s v="盐保仓库"/>
    <d v="2020-08-28T00:00:00"/>
    <n v="6.6299999999999998E-2"/>
    <x v="23"/>
    <d v="1905-07-12T01:55:12"/>
    <s v="JPY"/>
    <x v="251"/>
    <x v="90"/>
    <x v="1"/>
    <s v="L-&gt;R"/>
    <s v="No"/>
    <s v="WRONG"/>
  </r>
  <r>
    <n v="719"/>
    <s v="已发货"/>
    <s v="C49"/>
    <n v="109958"/>
    <s v="Stock order"/>
    <s v="YSM10"/>
    <s v="R-&gt;L"/>
    <s v="No"/>
    <s v="Y52118"/>
    <n v="1"/>
    <s v="盐保仓库"/>
    <d v="2020-08-28T00:00:00"/>
    <n v="6.6299999999999998E-2"/>
    <x v="23"/>
    <d v="1905-07-12T01:55:12"/>
    <s v="JPY"/>
    <x v="252"/>
    <x v="150"/>
    <x v="1"/>
    <s v="L-&gt;R"/>
    <s v="MVC"/>
    <s v="WRONG"/>
  </r>
  <r>
    <n v="742"/>
    <s v="已发货"/>
    <s v="C49"/>
    <n v="109958"/>
    <s v="Stock order"/>
    <s v="YSM10"/>
    <s v="R-&gt;L"/>
    <s v="No"/>
    <s v="Y52119"/>
    <n v="1"/>
    <s v="盐保仓库"/>
    <d v="2020-08-28T00:00:00"/>
    <n v="6.6299999999999998E-2"/>
    <x v="23"/>
    <d v="1905-07-12T01:55:12"/>
    <s v="JPY"/>
    <x v="253"/>
    <x v="178"/>
    <x v="1"/>
    <s v="L-&gt;R"/>
    <s v="No"/>
    <s v="WRONG"/>
  </r>
  <r>
    <n v="728"/>
    <s v="已发货"/>
    <s v="C49"/>
    <s v="109954(拆分PO109999）"/>
    <s v="Stock order"/>
    <s v="YSM20R(SV)-2"/>
    <s v="L-&gt;R"/>
    <s v="No"/>
    <s v="Y52100"/>
    <n v="1"/>
    <s v="力合中转仓"/>
    <d v="2020-09-16T00:00:00"/>
    <n v="6.5500000000000003E-2"/>
    <x v="23"/>
    <d v="1905-07-12T02:09:36"/>
    <s v="RMB"/>
    <x v="254"/>
    <x v="179"/>
    <x v="4"/>
    <s v="L-&gt;R"/>
    <s v="No"/>
    <s v="OK"/>
  </r>
  <r>
    <n v="758"/>
    <s v="已发货"/>
    <s v="C49"/>
    <s v="109954(拆分PO109999）"/>
    <s v="Stock order"/>
    <s v="YSM20R(SV)-2"/>
    <s v="L-&gt;R"/>
    <s v="No"/>
    <s v="Y52101"/>
    <n v="1"/>
    <s v="力合中转仓"/>
    <d v="2020-09-16T00:00:00"/>
    <s v="NM（价格用PO#109933)"/>
    <x v="23"/>
    <d v="1905-07-12T02:09:36"/>
    <s v="JPY"/>
    <x v="255"/>
    <x v="180"/>
    <x v="4"/>
    <s v="L-&gt;R"/>
    <s v="No"/>
    <s v="OK"/>
  </r>
  <r>
    <n v="759"/>
    <s v="已发货"/>
    <s v="C49"/>
    <s v="109954(拆分PO109999）"/>
    <s v="Stock order"/>
    <s v="YSM20R(SV)-2"/>
    <s v="L-&gt;R"/>
    <s v="No"/>
    <s v="Y52102"/>
    <n v="1"/>
    <s v="力合中转仓"/>
    <d v="2020-09-16T00:00:00"/>
    <n v="6.5500000000000003E-2"/>
    <x v="23"/>
    <d v="1905-07-12T02:09:36"/>
    <s v="JPY"/>
    <x v="255"/>
    <x v="180"/>
    <x v="4"/>
    <s v="L-&gt;R"/>
    <s v="No"/>
    <s v="OK"/>
  </r>
  <r>
    <n v="736"/>
    <s v="已发货"/>
    <s v="C49"/>
    <s v="109954(拆分PO110000)"/>
    <s v="Stock order"/>
    <s v="YSM20R(SV)-2"/>
    <s v="L-&gt;R"/>
    <s v="No"/>
    <s v="Y52103"/>
    <n v="1"/>
    <s v="力合中转仓"/>
    <d v="2020-09-16T00:00:00"/>
    <n v="6.5600000000000006E-2"/>
    <x v="23"/>
    <d v="1905-07-12T02:09:36"/>
    <s v="JPY"/>
    <x v="256"/>
    <x v="68"/>
    <x v="4"/>
    <s v="L-&gt;R"/>
    <s v="No"/>
    <s v="OK"/>
  </r>
  <r>
    <n v="722"/>
    <s v="已发货"/>
    <s v="C49"/>
    <s v="109954(拆分PO110000)"/>
    <s v="Stock order"/>
    <s v="YSM20R(SV)-2"/>
    <s v="L-&gt;R"/>
    <s v="No"/>
    <s v="Y52104"/>
    <n v="1"/>
    <s v="盐保仓库"/>
    <d v="2020-09-16T00:00:00"/>
    <n v="6.5600000000000006E-2"/>
    <x v="23"/>
    <d v="1905-07-12T02:09:36"/>
    <s v="JPY"/>
    <x v="251"/>
    <x v="90"/>
    <x v="4"/>
    <s v="L-&gt;R"/>
    <s v="No"/>
    <s v="OK"/>
  </r>
  <r>
    <n v="723"/>
    <s v="已发货"/>
    <s v="C49"/>
    <n v="109954"/>
    <s v="Stock order"/>
    <s v="YSM20R(SV)-2"/>
    <s v="L-&gt;R"/>
    <s v="No"/>
    <s v="Y52105"/>
    <n v="1"/>
    <s v="盐保仓库"/>
    <d v="2020-09-16T00:00:00"/>
    <n v="6.6100000000000006E-2"/>
    <x v="23"/>
    <d v="1905-07-12T02:09:36"/>
    <s v="JPY"/>
    <x v="251"/>
    <x v="90"/>
    <x v="4"/>
    <s v="L-&gt;R"/>
    <s v="No"/>
    <s v="OK"/>
  </r>
  <r>
    <n v="731"/>
    <s v="已发货"/>
    <s v="C49"/>
    <n v="109954"/>
    <s v="Stock order"/>
    <s v="YSM20R(SV)-2"/>
    <s v="L-&gt;R"/>
    <s v="No"/>
    <s v="Y52106"/>
    <n v="1"/>
    <s v="盐保仓库"/>
    <d v="2020-09-16T00:00:00"/>
    <n v="6.6100000000000006E-2"/>
    <x v="23"/>
    <d v="1905-07-12T02:09:36"/>
    <s v="JPY"/>
    <x v="243"/>
    <x v="152"/>
    <x v="4"/>
    <s v="L-&gt;R"/>
    <s v="No"/>
    <s v="OK"/>
  </r>
  <r>
    <n v="708"/>
    <s v="已发货"/>
    <s v="C49"/>
    <n v="109954"/>
    <s v="Stock order"/>
    <s v="YSM20R(SV)-2"/>
    <s v="R-&gt;L"/>
    <s v="No"/>
    <s v="Y52107"/>
    <n v="1"/>
    <s v="TBA"/>
    <d v="2020-09-16T00:00:00"/>
    <n v="6.6100000000000006E-2"/>
    <x v="23"/>
    <d v="1905-07-12T02:09:36"/>
    <s v="JPY"/>
    <x v="246"/>
    <x v="174"/>
    <x v="4"/>
    <s v="R-&gt;L"/>
    <s v="No"/>
    <s v="OK"/>
  </r>
  <r>
    <n v="715"/>
    <s v="已发货"/>
    <s v="C49"/>
    <n v="109976"/>
    <s v="Stock order"/>
    <s v="YSM10"/>
    <s v="R-&gt;L"/>
    <s v="No"/>
    <s v="Y52275"/>
    <n v="1"/>
    <s v="码头"/>
    <d v="2020-09-23T00:00:00"/>
    <s v="NM"/>
    <x v="23"/>
    <d v="1905-07-12T02:09:36"/>
    <s v="JPY"/>
    <x v="257"/>
    <x v="22"/>
    <x v="1"/>
    <s v="L-&gt;R"/>
    <s v="MVC"/>
    <s v="WRONG"/>
  </r>
  <r>
    <n v="716"/>
    <s v="已发货"/>
    <s v="C49"/>
    <n v="109976"/>
    <s v="Stock order"/>
    <s v="YSM10"/>
    <s v="R-&gt;L"/>
    <s v="No"/>
    <s v="Y52276"/>
    <n v="1"/>
    <s v="码头"/>
    <d v="2020-09-23T00:00:00"/>
    <s v="NM"/>
    <x v="23"/>
    <d v="1905-07-12T02:09:36"/>
    <s v="JPY"/>
    <x v="257"/>
    <x v="22"/>
    <x v="1"/>
    <s v="L-&gt;R"/>
    <s v="MVC"/>
    <s v="WRONG"/>
  </r>
  <r>
    <n v="717"/>
    <s v="已发货"/>
    <s v="C49"/>
    <n v="109976"/>
    <s v="Stock order"/>
    <s v="YSM10"/>
    <s v="R-&gt;L"/>
    <s v="No"/>
    <s v="Y52277"/>
    <n v="1"/>
    <s v="码头"/>
    <d v="2020-09-23T00:00:00"/>
    <s v="NM"/>
    <x v="23"/>
    <d v="1905-07-12T02:09:36"/>
    <s v="JPY"/>
    <x v="258"/>
    <x v="181"/>
    <x v="1"/>
    <s v="L-&gt;R"/>
    <s v="MVC"/>
    <s v="WRONG"/>
  </r>
  <r>
    <n v="718"/>
    <s v="已发货"/>
    <s v="C49"/>
    <n v="109976"/>
    <s v="Stock order"/>
    <s v="YSM10"/>
    <s v="R-&gt;L"/>
    <s v="No"/>
    <s v="Y52278"/>
    <n v="1"/>
    <s v="码头"/>
    <d v="2020-09-23T00:00:00"/>
    <s v="NM"/>
    <x v="23"/>
    <d v="1905-07-12T02:09:36"/>
    <s v="JPY"/>
    <x v="258"/>
    <x v="181"/>
    <x v="1"/>
    <s v="L-&gt;R"/>
    <s v="MVC"/>
    <s v="WRONG"/>
  </r>
  <r>
    <n v="701"/>
    <s v="已发货"/>
    <s v="C49"/>
    <n v="109976"/>
    <s v="Stock order"/>
    <s v="YSM10"/>
    <s v="R-&gt;L"/>
    <s v="No"/>
    <s v="Y52279"/>
    <n v="1"/>
    <s v="CY仓库"/>
    <d v="2020-09-23T00:00:00"/>
    <s v="NM"/>
    <x v="23"/>
    <d v="1905-07-12T02:09:36"/>
    <s v="JPY"/>
    <x v="259"/>
    <x v="182"/>
    <x v="1"/>
    <s v="L-&gt;R"/>
    <s v="No"/>
    <s v="WRONG"/>
  </r>
  <r>
    <n v="757"/>
    <s v="已发货"/>
    <s v="C49"/>
    <n v="109980"/>
    <s v="德劲名义下单"/>
    <s v="YSM20R(SV)-2"/>
    <s v="L-&gt;R"/>
    <s v="No"/>
    <s v="Y52295"/>
    <n v="1"/>
    <s v="盐保仓库"/>
    <d v="2020-09-23T00:00:00"/>
    <s v="NM"/>
    <x v="23"/>
    <d v="1905-07-12T02:09:36"/>
    <s v="JPY"/>
    <x v="260"/>
    <x v="183"/>
    <x v="4"/>
    <s v="L-&gt;R"/>
    <s v="No"/>
    <s v="OK"/>
  </r>
  <r>
    <n v="743"/>
    <s v="已发货"/>
    <s v="C49"/>
    <n v="109980"/>
    <s v="德劲名义下单"/>
    <s v="YSM20R(SV)-2"/>
    <s v="L-&gt;R"/>
    <s v="No"/>
    <s v="Y52294"/>
    <n v="1"/>
    <s v="盐保仓库"/>
    <d v="2020-09-23T00:00:00"/>
    <s v="NM"/>
    <x v="23"/>
    <d v="1905-07-12T02:09:36"/>
    <s v="JPY"/>
    <x v="261"/>
    <x v="150"/>
    <x v="4"/>
    <s v="L-&gt;R"/>
    <s v="No"/>
    <s v="OK"/>
  </r>
  <r>
    <n v="868"/>
    <s v="已发货"/>
    <s v="C49"/>
    <n v="109980"/>
    <s v="德劲名义下单"/>
    <s v="YSM20R(SV)-2"/>
    <s v="L-&gt;R"/>
    <s v="cATS10+special layout"/>
    <s v="Y52288"/>
    <n v="1"/>
    <s v="盐保仓库"/>
    <d v="2020-09-23T00:00:00"/>
    <s v="NM"/>
    <x v="26"/>
    <n v="2020.09"/>
    <s v="JPY"/>
    <x v="262"/>
    <x v="75"/>
    <x v="4"/>
    <s v="L-&gt;R"/>
    <s v="cATS10+MVC"/>
    <s v="WRONG"/>
  </r>
  <r>
    <n v="921"/>
    <s v="已经到货"/>
    <s v="C49"/>
    <n v="109980"/>
    <s v="德劲名义下单"/>
    <s v="YSM20R(SV)-2"/>
    <s v="L-&gt;R"/>
    <s v="cATS10+special layout"/>
    <s v="Y52289"/>
    <n v="1"/>
    <s v="盐保仓库"/>
    <d v="2020-09-23T00:00:00"/>
    <s v="NM"/>
    <x v="27"/>
    <n v="2020.09"/>
    <s v="JPY"/>
    <x v="263"/>
    <x v="5"/>
    <x v="4"/>
    <s v="L-&gt;R"/>
    <s v="cATS10+MVC"/>
    <s v="WRONG"/>
  </r>
  <r>
    <n v="713"/>
    <s v="已发货"/>
    <s v="C49"/>
    <n v="109980"/>
    <s v="德劲名义下单"/>
    <s v="YSM20R(SV)-2"/>
    <s v="L-&gt;R"/>
    <s v="No"/>
    <s v="Y52290"/>
    <n v="1"/>
    <s v="码头"/>
    <d v="2020-09-23T00:00:00"/>
    <s v="NM"/>
    <x v="23"/>
    <d v="1905-07-12T02:09:36"/>
    <s v="JPY"/>
    <x v="258"/>
    <x v="181"/>
    <x v="4"/>
    <s v="L-&gt;R"/>
    <s v="No"/>
    <s v="OK"/>
  </r>
  <r>
    <n v="714"/>
    <s v="已发货"/>
    <s v="C49"/>
    <n v="109980"/>
    <s v="德劲名义下单"/>
    <s v="YSM20R(SV)-2"/>
    <s v="L-&gt;R"/>
    <s v="No"/>
    <s v="Y52291"/>
    <n v="1"/>
    <s v="码头"/>
    <d v="2020-09-23T00:00:00"/>
    <s v="NM"/>
    <x v="23"/>
    <d v="1905-07-12T02:09:36"/>
    <s v="JPY"/>
    <x v="258"/>
    <x v="181"/>
    <x v="4"/>
    <s v="L-&gt;R"/>
    <s v="No"/>
    <s v="OK"/>
  </r>
  <r>
    <n v="711"/>
    <s v="已发货"/>
    <s v="C49"/>
    <n v="109980"/>
    <s v="德劲名义下单"/>
    <s v="YSM20R(SV)-2"/>
    <s v="L-&gt;R"/>
    <s v="No"/>
    <s v="Y52292"/>
    <n v="1"/>
    <s v="码头"/>
    <d v="2020-09-23T00:00:00"/>
    <s v="NM"/>
    <x v="23"/>
    <d v="1905-07-12T02:09:36"/>
    <s v="JPY"/>
    <x v="257"/>
    <x v="22"/>
    <x v="4"/>
    <s v="L-&gt;R"/>
    <s v="No"/>
    <s v="OK"/>
  </r>
  <r>
    <n v="712"/>
    <s v="已发货"/>
    <s v="C49"/>
    <n v="109980"/>
    <s v="德劲名义下单"/>
    <s v="YSM20R(SV)-2"/>
    <s v="L-&gt;R"/>
    <s v="No"/>
    <s v="Y52293"/>
    <n v="1"/>
    <s v="码头"/>
    <d v="2020-09-23T00:00:00"/>
    <s v="NM"/>
    <x v="23"/>
    <d v="1905-07-12T02:09:36"/>
    <s v="JPY"/>
    <x v="257"/>
    <x v="22"/>
    <x v="4"/>
    <s v="L-&gt;R"/>
    <s v="No"/>
    <s v="OK"/>
  </r>
  <r>
    <n v="799"/>
    <s v="已发货"/>
    <s v="C49"/>
    <n v="109977"/>
    <s v="Stock order"/>
    <s v="YSM10"/>
    <s v="R-&gt;L"/>
    <s v="No"/>
    <s v="Y52280"/>
    <n v="1"/>
    <s v="码头-&gt;准备清关"/>
    <d v="2020-09-25T00:00:00"/>
    <n v="6.5500000000000003E-2"/>
    <x v="23"/>
    <d v="1905-07-12T02:09:36"/>
    <s v="RMB"/>
    <x v="264"/>
    <x v="142"/>
    <x v="1"/>
    <s v="L-&gt;R"/>
    <s v="MVC"/>
    <s v="WRONG"/>
  </r>
  <r>
    <n v="798"/>
    <s v="已发货"/>
    <s v="C49"/>
    <n v="109977"/>
    <s v="Stock order"/>
    <s v="YSM10"/>
    <s v="R-&gt;L"/>
    <s v="No"/>
    <s v="Y52281"/>
    <n v="1"/>
    <s v="码头-&gt;准备清关"/>
    <d v="2020-09-25T00:00:00"/>
    <n v="6.5500000000000003E-2"/>
    <x v="23"/>
    <d v="1905-07-12T02:09:36"/>
    <s v="RMB"/>
    <x v="264"/>
    <x v="142"/>
    <x v="1"/>
    <s v="L-&gt;R"/>
    <s v="MVC"/>
    <s v="WRONG"/>
  </r>
  <r>
    <n v="801"/>
    <s v="已发货"/>
    <s v="C49"/>
    <n v="109977"/>
    <s v="Stock order"/>
    <s v="YSM10"/>
    <s v="R-&gt;L"/>
    <s v="No"/>
    <s v="Y52282"/>
    <n v="1"/>
    <s v="码头-&gt;准备清关"/>
    <d v="2020-09-25T00:00:00"/>
    <n v="6.5500000000000003E-2"/>
    <x v="23"/>
    <d v="1905-07-12T02:09:36"/>
    <s v="RMB"/>
    <x v="264"/>
    <x v="142"/>
    <x v="1"/>
    <s v="R-&gt;L"/>
    <s v="MVC"/>
    <s v="WRONG"/>
  </r>
  <r>
    <n v="772"/>
    <s v="已发货"/>
    <s v="C49"/>
    <n v="109977"/>
    <s v="Stock order"/>
    <s v="YSM10"/>
    <s v="R-&gt;L"/>
    <s v="No"/>
    <s v="Y52283"/>
    <n v="1"/>
    <s v="码头-&gt;准备清关"/>
    <d v="2020-09-25T00:00:00"/>
    <n v="6.5500000000000003E-2"/>
    <x v="23"/>
    <d v="1905-07-12T02:09:36"/>
    <s v="RMB"/>
    <x v="249"/>
    <x v="176"/>
    <x v="1"/>
    <s v="L-&gt;R"/>
    <s v="MVC"/>
    <s v="WRONG"/>
  </r>
  <r>
    <n v="800"/>
    <s v="已发货"/>
    <s v="C49"/>
    <n v="109977"/>
    <s v="Stock order"/>
    <s v="YSM10"/>
    <s v="R-&gt;L"/>
    <s v="No"/>
    <s v="Y52284"/>
    <n v="1"/>
    <s v="码头-&gt;准备清关"/>
    <d v="2020-09-25T00:00:00"/>
    <n v="6.5500000000000003E-2"/>
    <x v="23"/>
    <d v="1905-07-12T02:09:36"/>
    <s v="RMB"/>
    <x v="264"/>
    <x v="142"/>
    <x v="1"/>
    <s v="R-&gt;L"/>
    <s v="MVC"/>
    <s v="WRONG"/>
  </r>
  <r>
    <n v="769"/>
    <s v="已发货"/>
    <s v="C49"/>
    <n v="109977"/>
    <s v="Stock order"/>
    <s v="YSM10"/>
    <s v="R-&gt;L"/>
    <s v="No"/>
    <s v="Y52285"/>
    <n v="1"/>
    <s v="CY仓库"/>
    <d v="2020-09-25T00:00:00"/>
    <n v="6.5500000000000003E-2"/>
    <x v="23"/>
    <d v="1905-07-12T02:09:36"/>
    <s v="JPY"/>
    <x v="242"/>
    <x v="172"/>
    <x v="1"/>
    <s v="R-&gt;L"/>
    <s v="MVC"/>
    <s v="WRONG"/>
  </r>
  <r>
    <n v="702"/>
    <s v="已发货"/>
    <s v="C49"/>
    <n v="109977"/>
    <s v="Stock order"/>
    <s v="YSM10"/>
    <s v="R-&gt;L"/>
    <s v="No"/>
    <s v="Y52286"/>
    <n v="1"/>
    <s v="CY仓库"/>
    <d v="2020-09-25T00:00:00"/>
    <n v="6.5500000000000003E-2"/>
    <x v="23"/>
    <d v="1905-07-12T02:09:36"/>
    <s v="JPY"/>
    <x v="259"/>
    <x v="182"/>
    <x v="1"/>
    <s v="L-&gt;R"/>
    <s v="No"/>
    <s v="WRONG"/>
  </r>
  <r>
    <n v="895"/>
    <s v="已发货"/>
    <s v="C49"/>
    <n v="110058"/>
    <s v="平方兆赫名义下单        "/>
    <s v="YSM40R-4"/>
    <s v="L-&gt;R"/>
    <s v="No"/>
    <s v="Y52763"/>
    <n v="1"/>
    <s v="盐保仓库"/>
    <d v="2020-10-02T00:00:00"/>
    <s v="NM"/>
    <x v="28"/>
    <n v="2020.09"/>
    <s v="RMB"/>
    <x v="265"/>
    <x v="184"/>
    <x v="0"/>
    <s v="L-&gt;R"/>
    <s v="No"/>
    <s v="OK"/>
  </r>
  <r>
    <n v="765"/>
    <s v="已发货"/>
    <s v="C49"/>
    <n v="109984"/>
    <s v="Stock order"/>
    <s v="YSM20R(SV)-2"/>
    <s v="R-&gt;L"/>
    <s v="No"/>
    <s v="Y52318"/>
    <n v="1"/>
    <s v="码头-&gt;准备清关"/>
    <d v="2020-10-09T00:00:00"/>
    <s v="NM"/>
    <x v="25"/>
    <d v="1905-07-12T02:09:36"/>
    <s v="JPY"/>
    <x v="242"/>
    <x v="172"/>
    <x v="4"/>
    <s v="R-&gt;L"/>
    <s v="No"/>
    <s v="OK"/>
  </r>
  <r>
    <n v="766"/>
    <s v="已发货"/>
    <s v="C49"/>
    <n v="109984"/>
    <s v="Stock order"/>
    <s v="YSM20R(SV)-2"/>
    <s v="R-&gt;L"/>
    <s v="No"/>
    <s v="Y52319"/>
    <n v="1"/>
    <s v="码头-&gt;准备清关"/>
    <d v="2020-10-09T00:00:00"/>
    <s v="NM"/>
    <x v="25"/>
    <d v="1905-07-12T02:09:36"/>
    <s v="JPY"/>
    <x v="242"/>
    <x v="172"/>
    <x v="4"/>
    <s v="R-&gt;L"/>
    <s v="No"/>
    <s v="OK"/>
  </r>
  <r>
    <n v="699"/>
    <s v="已发货"/>
    <s v="C49"/>
    <n v="109984"/>
    <s v="Stock order"/>
    <s v="YSM20R(SV)-2"/>
    <s v="R-&gt;L"/>
    <s v="No"/>
    <s v="Y52320"/>
    <n v="1"/>
    <s v="CY仓库"/>
    <d v="2020-10-09T00:00:00"/>
    <s v="NM"/>
    <x v="25"/>
    <d v="1905-07-12T02:09:36"/>
    <s v="JPY"/>
    <x v="266"/>
    <x v="157"/>
    <x v="4"/>
    <s v="R-&gt;L"/>
    <s v="No"/>
    <s v="OK"/>
  </r>
  <r>
    <n v="760"/>
    <s v="已发货"/>
    <s v="C49"/>
    <n v="109984"/>
    <s v="Stock order"/>
    <s v="YSM20R(SV)-2"/>
    <s v="L-&gt;R"/>
    <s v="No"/>
    <s v="Y52321"/>
    <n v="1"/>
    <s v="码头-&gt;准备清关"/>
    <d v="2020-10-09T00:00:00"/>
    <s v="NM"/>
    <x v="25"/>
    <d v="1905-07-12T02:09:36"/>
    <s v="JPY"/>
    <x v="255"/>
    <x v="180"/>
    <x v="4"/>
    <s v="L-&gt;R"/>
    <s v="No"/>
    <s v="OK"/>
  </r>
  <r>
    <n v="761"/>
    <s v="已发货"/>
    <s v="C49"/>
    <n v="109984"/>
    <s v="Stock order"/>
    <s v="YSM20R(SV)-2"/>
    <s v="L-&gt;R"/>
    <s v="No"/>
    <s v="Y52322"/>
    <n v="1"/>
    <s v="码头-&gt;准备清关"/>
    <d v="2020-10-09T00:00:00"/>
    <s v="NM"/>
    <x v="25"/>
    <d v="1905-07-12T02:09:36"/>
    <s v="JPY"/>
    <x v="255"/>
    <x v="180"/>
    <x v="4"/>
    <s v="L-&gt;R"/>
    <s v="No"/>
    <s v="OK"/>
  </r>
  <r>
    <n v="737"/>
    <s v="已发货"/>
    <s v="C49"/>
    <n v="109984"/>
    <s v="Stock order"/>
    <s v="YSM20R(SV)-2"/>
    <s v="L-&gt;R"/>
    <s v="No"/>
    <s v="Y52323"/>
    <n v="1"/>
    <s v="码头-&gt;准备清关"/>
    <d v="2020-10-09T00:00:00"/>
    <s v="NM"/>
    <x v="25"/>
    <d v="1905-07-12T02:09:36"/>
    <s v="JPY"/>
    <x v="267"/>
    <x v="100"/>
    <x v="4"/>
    <s v="L-&gt;R"/>
    <s v="No"/>
    <s v="OK"/>
  </r>
  <r>
    <n v="777"/>
    <s v="已发货"/>
    <s v="C28"/>
    <n v="110038"/>
    <s v="海星名义下单"/>
    <s v="YCP10"/>
    <s v="R-&gt;L"/>
    <s v="No"/>
    <s v="Y52654"/>
    <n v="1"/>
    <s v="码头-&gt;准备清关"/>
    <d v="2020-10-19T00:00:00"/>
    <n v="6.5000000000000002E-2"/>
    <x v="25"/>
    <d v="1905-07-12T02:09:36"/>
    <s v="RMB"/>
    <x v="268"/>
    <x v="146"/>
    <x v="8"/>
    <s v="R-&gt;L"/>
    <s v="No"/>
    <s v="OK"/>
  </r>
  <r>
    <n v="795"/>
    <s v="已发货"/>
    <s v="C49"/>
    <s v="109995(拆单110118)"/>
    <s v="瑞福联名义"/>
    <s v="YSM10"/>
    <s v="L-&gt;R"/>
    <s v="ATS15"/>
    <s v="Y52393"/>
    <n v="1"/>
    <s v="力合仓库(已经清关)"/>
    <d v="2020-10-22T00:00:00"/>
    <n v="6.4199999999999993E-2"/>
    <x v="27"/>
    <s v="2020.10."/>
    <s v="RMB"/>
    <x v="269"/>
    <x v="185"/>
    <x v="1"/>
    <s v="R-&gt;L"/>
    <s v="MVC+ATS15"/>
    <s v="WRONG"/>
  </r>
  <r>
    <n v="832"/>
    <s v="已发货"/>
    <s v="C49"/>
    <n v="109995"/>
    <s v="瑞福联名义"/>
    <s v="YSM10"/>
    <s v="L-&gt;R"/>
    <s v="ATS15"/>
    <s v="Y52394"/>
    <n v="1"/>
    <s v="力合仓库(已经清关)"/>
    <d v="2020-10-22T00:00:00"/>
    <s v="0.0638，价格PO110121"/>
    <x v="28"/>
    <s v="2020.10."/>
    <s v="RMB"/>
    <x v="270"/>
    <x v="186"/>
    <x v="1"/>
    <s v="L-&gt;R"/>
    <s v="cATS10+MVC"/>
    <s v="WRONG"/>
  </r>
  <r>
    <n v="770"/>
    <s v="已发货"/>
    <s v="C49"/>
    <n v="109995"/>
    <s v="瑞福联名义"/>
    <s v="YSM10"/>
    <s v="L-&gt;R"/>
    <s v="No"/>
    <s v="Y52395"/>
    <n v="1"/>
    <s v="码头-&gt;准备清关"/>
    <d v="2020-10-22T00:00:00"/>
    <s v="NM"/>
    <x v="25"/>
    <s v="2020.10."/>
    <s v="JPY"/>
    <x v="242"/>
    <x v="172"/>
    <x v="1"/>
    <s v="R-&gt;L"/>
    <s v="MVC"/>
    <s v="WRONG"/>
  </r>
  <r>
    <n v="809"/>
    <s v="已发货"/>
    <s v="C49"/>
    <n v="110047"/>
    <s v="斯迈名义下单"/>
    <s v="YSM20R-2"/>
    <s v="R-&gt;L"/>
    <s v="No"/>
    <s v="Y52830"/>
    <n v="1"/>
    <s v="力合仓库(已经清关)"/>
    <d v="2020-10-22T00:00:00"/>
    <s v="TBA（PO用110097）"/>
    <x v="26"/>
    <n v="2020.09"/>
    <s v="JPY"/>
    <x v="271"/>
    <x v="111"/>
    <x v="12"/>
    <s v="R-&gt;L"/>
    <s v="No"/>
    <s v="OK"/>
  </r>
  <r>
    <n v="802"/>
    <s v="已发货"/>
    <s v="C49"/>
    <n v="110047"/>
    <s v="斯迈名义下单"/>
    <s v="YSM20R-2"/>
    <s v="R-&gt;L"/>
    <s v="No"/>
    <s v="Y52831"/>
    <n v="1"/>
    <s v="CY仓库"/>
    <d v="2020-10-22T00:00:00"/>
    <n v="6.5000000000000002E-2"/>
    <x v="25"/>
    <d v="1905-07-12T02:09:36"/>
    <s v="JPY"/>
    <x v="272"/>
    <x v="8"/>
    <x v="12"/>
    <s v="R-&gt;L"/>
    <s v="No"/>
    <s v="OK"/>
  </r>
  <r>
    <n v="852"/>
    <s v="已发货"/>
    <s v="C49"/>
    <n v="110047"/>
    <s v="斯迈名义下单"/>
    <s v="YSM20R-2"/>
    <s v="L-&gt;R"/>
    <s v="No"/>
    <s v="Y52832"/>
    <n v="1"/>
    <s v="码头-&gt;准备清关"/>
    <d v="2020-10-22T00:00:00"/>
    <n v="6.5000000000000002E-2"/>
    <x v="25"/>
    <d v="1905-07-12T02:09:36"/>
    <s v="RMB"/>
    <x v="273"/>
    <x v="187"/>
    <x v="12"/>
    <s v="L-&gt;R"/>
    <s v="No"/>
    <s v="OK"/>
  </r>
  <r>
    <n v="807"/>
    <s v="已发货"/>
    <s v="C49"/>
    <n v="110047"/>
    <s v="斯迈名义下单"/>
    <s v="YSM20R-2"/>
    <s v="L-&gt;R"/>
    <s v="No"/>
    <s v="Y52833"/>
    <n v="1"/>
    <s v="码头-&gt;准备清关"/>
    <d v="2020-10-22T00:00:00"/>
    <n v="6.5000000000000002E-2"/>
    <x v="25"/>
    <s v="2020.10."/>
    <s v="JPY"/>
    <x v="271"/>
    <x v="111"/>
    <x v="12"/>
    <s v="L-&gt;R"/>
    <s v="MVC"/>
    <s v="WRONG"/>
  </r>
  <r>
    <n v="808"/>
    <s v="已发货"/>
    <s v="C49"/>
    <n v="110047"/>
    <s v="斯迈名义下单"/>
    <s v="YSM20R-2"/>
    <s v="L-&gt;R"/>
    <s v="No"/>
    <s v="Y52834"/>
    <n v="1"/>
    <s v="码头-&gt;准备清关"/>
    <d v="2020-10-22T00:00:00"/>
    <n v="6.5000000000000002E-2"/>
    <x v="25"/>
    <s v="2020.10."/>
    <s v="JPY"/>
    <x v="271"/>
    <x v="111"/>
    <x v="12"/>
    <s v="L-&gt;R"/>
    <s v="No"/>
    <s v="OK"/>
  </r>
  <r>
    <n v="805"/>
    <s v="已发货"/>
    <s v="C49"/>
    <n v="110048"/>
    <s v="斯迈名义下单"/>
    <s v="YSM20R-2"/>
    <s v="L-&gt;R"/>
    <s v="No"/>
    <s v="Y52835"/>
    <n v="1"/>
    <s v="CY仓库"/>
    <d v="2020-10-22T00:00:00"/>
    <n v="6.4100000000000004E-2"/>
    <x v="25"/>
    <s v="2020.10."/>
    <s v="RMB"/>
    <x v="274"/>
    <x v="176"/>
    <x v="12"/>
    <s v="L-&gt;R"/>
    <s v="No"/>
    <s v="OK"/>
  </r>
  <r>
    <n v="837"/>
    <s v="已发货"/>
    <s v="C49"/>
    <n v="110048"/>
    <s v="斯迈名义下单"/>
    <s v="YSM20R-2"/>
    <s v="L-&gt;R"/>
    <s v="No"/>
    <s v="Y52836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838"/>
    <s v="已发货"/>
    <s v="C49"/>
    <n v="110048"/>
    <s v="斯迈名义下单"/>
    <s v="YSM20R-2"/>
    <s v="L-&gt;R"/>
    <s v="No"/>
    <s v="Y52837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839"/>
    <s v="已发货"/>
    <s v="C49"/>
    <n v="110048"/>
    <s v="斯迈名义下单"/>
    <s v="YSM20R-2"/>
    <s v="L-&gt;R"/>
    <s v="No"/>
    <s v="Y52838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840"/>
    <s v="已发货"/>
    <s v="C49"/>
    <n v="110048"/>
    <s v="斯迈名义下单"/>
    <s v="YSM20R-2"/>
    <s v="L-&gt;R"/>
    <s v="No"/>
    <s v="Y52839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750"/>
    <s v="已发货"/>
    <s v="C49"/>
    <n v="109996"/>
    <s v="瑞福联名义"/>
    <s v="YSM20R(SV)-2"/>
    <s v="L-&gt;R"/>
    <s v="No"/>
    <s v="Y52387"/>
    <n v="1"/>
    <s v="码头-&gt;准备清关"/>
    <d v="2020-10-24T00:00:00"/>
    <n v="6.4799999999999996E-2"/>
    <x v="25"/>
    <s v="2020.10."/>
    <s v="JPY"/>
    <x v="276"/>
    <x v="111"/>
    <x v="4"/>
    <s v="L-&gt;R"/>
    <s v="No"/>
    <s v="OK"/>
  </r>
  <r>
    <n v="553"/>
    <s v="已发货"/>
    <s v="C49"/>
    <n v="109996"/>
    <s v="瑞福联名义"/>
    <s v="YSM20R(SV)-2"/>
    <s v="L-&gt;R"/>
    <s v="No"/>
    <s v="Y52388"/>
    <n v="1"/>
    <s v="码头-&gt;准备清关"/>
    <d v="2020-10-24T00:00:00"/>
    <n v="6.4799999999999996E-2"/>
    <x v="25"/>
    <s v="2020.10."/>
    <s v="JPY"/>
    <x v="277"/>
    <x v="189"/>
    <x v="4"/>
    <s v="L-&gt;R"/>
    <s v="MVC"/>
    <s v="WRONG"/>
  </r>
  <r>
    <n v="835"/>
    <s v="已发货"/>
    <s v="C49"/>
    <n v="109996"/>
    <s v="瑞福联名义"/>
    <s v="YSM20R(SV)-2"/>
    <s v="L-&gt;R"/>
    <s v="No"/>
    <s v="Y52389"/>
    <n v="1"/>
    <s v="CY仓库"/>
    <d v="2020-10-24T00:00:00"/>
    <n v="6.4799999999999996E-2"/>
    <x v="28"/>
    <s v="2020.10."/>
    <s v="JPY"/>
    <x v="278"/>
    <x v="190"/>
    <x v="4"/>
    <s v="L-&gt;R"/>
    <s v="No"/>
    <s v="OK"/>
  </r>
  <r>
    <n v="756"/>
    <s v="已发货"/>
    <s v="C49"/>
    <n v="109996"/>
    <s v="瑞福联名义"/>
    <s v="YSM20R(SV)-2"/>
    <s v="L-&gt;R"/>
    <s v="No"/>
    <s v="Y52390"/>
    <n v="1"/>
    <s v="力合中转仓"/>
    <d v="2020-10-24T00:00:00"/>
    <n v="6.4799999999999996E-2"/>
    <x v="28"/>
    <s v="2020.10."/>
    <s v="JPY"/>
    <x v="279"/>
    <x v="191"/>
    <x v="4"/>
    <s v="L-&gt;R"/>
    <s v="MVC"/>
    <s v="WRONG"/>
  </r>
  <r>
    <n v="762"/>
    <s v="已发货"/>
    <s v="C49"/>
    <s v="109996（拆分PO110071）"/>
    <s v="瑞福联名义"/>
    <s v="YSM20R(SV)-2"/>
    <s v="L-&gt;R"/>
    <s v="No"/>
    <s v="Y52391"/>
    <n v="1"/>
    <s v="力合仓库(已经清关)"/>
    <d v="2020-10-24T00:00:00"/>
    <n v="6.4899999999999999E-2"/>
    <x v="28"/>
    <s v="2020.10."/>
    <s v="RMB"/>
    <x v="280"/>
    <x v="192"/>
    <x v="4"/>
    <s v="L-&gt;R"/>
    <s v="MVC"/>
    <s v="WRONG"/>
  </r>
  <r>
    <n v="791"/>
    <s v="已发货"/>
    <s v="C49"/>
    <s v="109996（拆分PO110071）"/>
    <s v="瑞福联名义"/>
    <s v="YSM20R(SV)-2"/>
    <s v="L-&gt;R"/>
    <s v="No"/>
    <s v="Y52392"/>
    <n v="1"/>
    <s v="码头-&gt;准备清关"/>
    <d v="2020-10-24T00:00:00"/>
    <n v="6.4899999999999999E-2"/>
    <x v="25"/>
    <s v="2020.10."/>
    <s v="RMB"/>
    <x v="281"/>
    <x v="193"/>
    <x v="4"/>
    <s v="L-&gt;R"/>
    <s v="MVC"/>
    <s v="WRONG"/>
  </r>
  <r>
    <n v="554"/>
    <s v="已发货"/>
    <s v="C49"/>
    <n v="109991"/>
    <s v="Stock order"/>
    <s v="YSM10"/>
    <s v="R-&gt;L"/>
    <s v="ATS15"/>
    <s v="Y52375"/>
    <n v="1"/>
    <s v="CY仓库"/>
    <d v="2020-10-24T00:00:00"/>
    <s v="NM"/>
    <x v="25"/>
    <s v="2020.10."/>
    <s v="JPY"/>
    <x v="277"/>
    <x v="189"/>
    <x v="1"/>
    <s v="L-&gt;R"/>
    <s v="MVC+ATS15"/>
    <s v="WRONG"/>
  </r>
  <r>
    <n v="986"/>
    <s v="已发货"/>
    <s v="C49"/>
    <s v="109991（拆单110121）"/>
    <s v="Stock order"/>
    <s v="YSM10"/>
    <s v="R-&gt;L"/>
    <s v="ATS15"/>
    <s v="Y52376"/>
    <n v="1"/>
    <s v="盐保仓库"/>
    <d v="2020-10-24T00:00:00"/>
    <s v="NM，价格PO109995"/>
    <x v="26"/>
    <s v="2020.10."/>
    <s v="JPY"/>
    <x v="282"/>
    <x v="20"/>
    <x v="1"/>
    <s v="L-&gt;R"/>
    <s v="MVC+ATS15"/>
    <s v="WRONG"/>
  </r>
  <r>
    <n v="927"/>
    <s v="已经到货"/>
    <s v="C49"/>
    <s v="109991（拆单110128）"/>
    <s v="Stock order"/>
    <s v="YSM10"/>
    <s v="R-&gt;L"/>
    <s v="ATS15"/>
    <s v="Y52377"/>
    <n v="1"/>
    <s v="盐保仓库"/>
    <d v="2020-10-24T00:00:00"/>
    <n v="6.4399999999999999E-2"/>
    <x v="27"/>
    <s v="2020.10."/>
    <s v="JPY"/>
    <x v="283"/>
    <x v="194"/>
    <x v="1"/>
    <s v="R-&gt;L"/>
    <s v="MVC+ATS15"/>
    <s v="WRONG"/>
  </r>
  <r>
    <n v="783"/>
    <s v="已发货"/>
    <s v="C49"/>
    <n v="109991"/>
    <s v="Stock order"/>
    <s v="YSM10"/>
    <s v="R-&gt;L"/>
    <s v="No"/>
    <s v="Y52378"/>
    <n v="1"/>
    <s v="盐保仓库"/>
    <d v="2020-10-24T00:00:00"/>
    <s v="NM"/>
    <x v="25"/>
    <s v="2020.10."/>
    <s v="JPY"/>
    <x v="284"/>
    <x v="180"/>
    <x v="1"/>
    <s v="L-&gt;R"/>
    <s v="MVC"/>
    <s v="WRONG"/>
  </r>
  <r>
    <n v="784"/>
    <s v="已发货"/>
    <s v="C49"/>
    <n v="109991"/>
    <s v="Stock order"/>
    <s v="YSM10"/>
    <s v="R-&gt;L"/>
    <s v="No"/>
    <s v="Y52379"/>
    <n v="1"/>
    <s v="盐保仓库"/>
    <d v="2020-10-24T00:00:00"/>
    <s v="NM"/>
    <x v="25"/>
    <s v="2020.10."/>
    <s v="JPY"/>
    <x v="284"/>
    <x v="180"/>
    <x v="1"/>
    <s v="L-&gt;R"/>
    <s v="MVC"/>
    <s v="WRONG"/>
  </r>
  <r>
    <n v="790"/>
    <s v="已发货"/>
    <s v="C49"/>
    <n v="110046"/>
    <s v="阿克西姆名义下单"/>
    <s v="YSM20R-2"/>
    <s v="R-&gt;L"/>
    <s v="No"/>
    <s v="Y52690"/>
    <n v="1"/>
    <s v="码头-&gt;准备清关"/>
    <d v="2020-10-24T00:00:00"/>
    <n v="6.5000000000000002E-2"/>
    <x v="25"/>
    <s v="2020.10."/>
    <s v="RMB"/>
    <x v="285"/>
    <x v="195"/>
    <x v="12"/>
    <s v="R-&gt;L"/>
    <s v="MVC"/>
    <s v="WRONG"/>
  </r>
  <r>
    <n v="751"/>
    <s v="已发货"/>
    <s v="C49"/>
    <n v="110033"/>
    <s v="银宝名义下单"/>
    <s v="YSM20WR-2"/>
    <s v="L-&gt;R"/>
    <s v="cATS10"/>
    <s v="Y52689"/>
    <n v="1"/>
    <s v="码头-&gt;准备清关"/>
    <d v="2020-10-24T00:00:00"/>
    <n v="6.5000000000000002E-2"/>
    <x v="25"/>
    <s v="2020.10."/>
    <s v="RMB"/>
    <x v="286"/>
    <x v="196"/>
    <x v="11"/>
    <s v="L-&gt;R"/>
    <s v="cATS10+MVC"/>
    <s v="WRONG"/>
  </r>
  <r>
    <n v="785"/>
    <s v="已发货"/>
    <s v="C49"/>
    <n v="109992"/>
    <s v="Stock order"/>
    <s v="YSM10"/>
    <s v="R-&gt;L"/>
    <s v="No"/>
    <s v="Y52804"/>
    <n v="1"/>
    <s v="码头-&gt;准备清关"/>
    <d v="2020-11-02T00:00:00"/>
    <n v="6.4799999999999996E-2"/>
    <x v="28"/>
    <s v="2020.10."/>
    <s v="JPY"/>
    <x v="284"/>
    <x v="180"/>
    <x v="1"/>
    <s v="L-&gt;R"/>
    <s v="MVC"/>
    <s v="WRONG"/>
  </r>
  <r>
    <n v="749"/>
    <s v="已发货"/>
    <s v="C49"/>
    <n v="109992"/>
    <s v="Stock order"/>
    <s v="YSM10"/>
    <s v="R-&gt;L"/>
    <s v="No"/>
    <s v="Y52381"/>
    <n v="1"/>
    <s v="码头-&gt;准备清关"/>
    <d v="2020-11-02T00:00:00"/>
    <n v="6.4799999999999996E-2"/>
    <x v="28"/>
    <s v="2020.10."/>
    <s v="JPY"/>
    <x v="287"/>
    <x v="19"/>
    <x v="1"/>
    <s v="L-&gt;R"/>
    <s v="MVC"/>
    <s v="WRONG"/>
  </r>
  <r>
    <n v="786"/>
    <s v="已发货"/>
    <s v="C49"/>
    <n v="109992"/>
    <s v="Stock order"/>
    <s v="YSM10"/>
    <s v="R-&gt;L"/>
    <s v="No"/>
    <s v="Y52382"/>
    <n v="1"/>
    <s v="码头-&gt;准备清关"/>
    <d v="2020-11-02T00:00:00"/>
    <n v="6.4799999999999996E-2"/>
    <x v="28"/>
    <s v="2020.10."/>
    <s v="JPY"/>
    <x v="284"/>
    <x v="180"/>
    <x v="1"/>
    <s v="L-&gt;R"/>
    <s v="MVC"/>
    <s v="WRONG"/>
  </r>
  <r>
    <n v="787"/>
    <s v="已发货"/>
    <s v="C49"/>
    <n v="109992"/>
    <s v="Stock order"/>
    <s v="YSM10"/>
    <s v="R-&gt;L"/>
    <s v="No"/>
    <s v="Y52383"/>
    <n v="1"/>
    <s v="码头-&gt;准备清关"/>
    <d v="2020-11-02T00:00:00"/>
    <n v="6.4799999999999996E-2"/>
    <x v="28"/>
    <s v="2020.10."/>
    <s v="JPY"/>
    <x v="284"/>
    <x v="180"/>
    <x v="1"/>
    <s v="L-&gt;R"/>
    <s v="MVC"/>
    <s v="WRONG"/>
  </r>
  <r>
    <n v="735"/>
    <s v="已发货"/>
    <s v="C49"/>
    <s v="109992（拆分PO110072）"/>
    <s v="Stock order（序列号已给客户，不可调）"/>
    <s v="YSM10"/>
    <s v="R-&gt;L"/>
    <s v="No"/>
    <s v="Y52384"/>
    <n v="1"/>
    <s v="码头-&gt;准备清关"/>
    <d v="2020-11-02T00:00:00"/>
    <n v="6.5000000000000002E-2"/>
    <x v="28"/>
    <s v="2020.10."/>
    <s v="JPY"/>
    <x v="288"/>
    <x v="197"/>
    <x v="1"/>
    <s v="R-&gt;L"/>
    <s v="MVC"/>
    <s v="WRONG"/>
  </r>
  <r>
    <n v="763"/>
    <s v="已发货"/>
    <s v="C49"/>
    <s v="109992（拆分PO110072）"/>
    <s v="Stock order"/>
    <s v="YSM10"/>
    <s v="R-&gt;L"/>
    <s v="No"/>
    <s v="Y52385"/>
    <n v="1"/>
    <s v="力合仓库(已经清关)"/>
    <d v="2020-11-02T00:00:00"/>
    <n v="6.5000000000000002E-2"/>
    <x v="28"/>
    <s v="2020.10."/>
    <s v="RMB"/>
    <x v="280"/>
    <x v="192"/>
    <x v="1"/>
    <s v="L-&gt;R"/>
    <s v="MVC"/>
    <s v="WRONG"/>
  </r>
  <r>
    <n v="789"/>
    <s v="已发货"/>
    <s v="C49"/>
    <s v="109992（拆分PO110072）"/>
    <s v="Stock order"/>
    <s v="YSM10"/>
    <s v="R-&gt;L"/>
    <s v="No"/>
    <s v="Y52386"/>
    <n v="1"/>
    <s v="码头-&gt;准备清关"/>
    <d v="2020-11-02T00:00:00"/>
    <n v="6.5000000000000002E-2"/>
    <x v="28"/>
    <s v="2020.10."/>
    <s v="RMB"/>
    <x v="289"/>
    <x v="15"/>
    <x v="1"/>
    <s v="L-&gt;R"/>
    <s v="MVC"/>
    <s v="WRONG"/>
  </r>
  <r>
    <n v="740"/>
    <s v="已经到货"/>
    <s v="C49"/>
    <n v="110034"/>
    <s v="平方兆赫名义下单"/>
    <s v="YSM20WR-2"/>
    <s v="L-&gt;R"/>
    <s v="MVC"/>
    <s v="Y52688"/>
    <n v="1"/>
    <s v="盐保仓库"/>
    <d v="2020-11-02T00:00:00"/>
    <s v="TBA"/>
    <x v="29"/>
    <s v="2020.10."/>
    <s v="JPY"/>
    <x v="290"/>
    <x v="198"/>
    <x v="11"/>
    <s v="L-&gt;R"/>
    <s v="MVC"/>
    <s v="OK"/>
  </r>
  <r>
    <n v="794"/>
    <s v="已发货"/>
    <s v="C49"/>
    <n v="110055"/>
    <s v="Stock order"/>
    <s v="YSM10"/>
    <s v="L-&gt;R"/>
    <s v="HM5+MVC+ATS15"/>
    <s v="Y53085"/>
    <n v="1"/>
    <s v="CY仓库"/>
    <d v="2020-11-07T00:00:00"/>
    <s v="NM"/>
    <x v="28"/>
    <s v="2020.10."/>
    <s v="USD"/>
    <x v="291"/>
    <x v="199"/>
    <x v="13"/>
    <s v="L-&gt;R"/>
    <s v="MVC+ATS15"/>
    <s v="WRONG"/>
  </r>
  <r>
    <n v="904"/>
    <s v="已发货"/>
    <s v="C49"/>
    <n v="110049"/>
    <s v="博睿通名义下单"/>
    <s v="YSM10"/>
    <s v="R-&gt;L"/>
    <s v="MVC+ATS15"/>
    <s v="Y52847"/>
    <n v="1"/>
    <s v="盐保仓库"/>
    <d v="2020-11-07T00:00:00"/>
    <n v="6.4199999999999993E-2"/>
    <x v="28"/>
    <m/>
    <s v="JPY"/>
    <x v="292"/>
    <x v="116"/>
    <x v="1"/>
    <s v="L-&gt;R"/>
    <s v="MVC+ATS15"/>
    <s v="WRONG"/>
  </r>
  <r>
    <n v="1026"/>
    <s v="已经到货"/>
    <s v="C49"/>
    <n v="110049"/>
    <s v="博睿通名义下单"/>
    <s v="YSM10"/>
    <s v="R-&gt;L"/>
    <s v="MVC+ATS15"/>
    <s v="Y52848"/>
    <n v="1"/>
    <s v="盐保仓库"/>
    <d v="2020-11-07T00:00:00"/>
    <n v="6.4199999999999993E-2"/>
    <x v="27"/>
    <m/>
    <s v="JPY"/>
    <x v="293"/>
    <x v="10"/>
    <x v="1"/>
    <s v="R-&gt;L"/>
    <s v="MVC+ATS15"/>
    <s v="OK"/>
  </r>
  <r>
    <n v="744"/>
    <s v="已发货"/>
    <s v="C49"/>
    <n v="110049"/>
    <s v="博睿通名义下单"/>
    <s v="YSM10"/>
    <s v="R-&gt;L"/>
    <s v="No"/>
    <s v="Y52849"/>
    <n v="1"/>
    <s v="盐保仓库"/>
    <d v="2020-11-07T00:00:00"/>
    <n v="6.4199999999999993E-2"/>
    <x v="26"/>
    <m/>
    <s v="JPY"/>
    <x v="294"/>
    <x v="200"/>
    <x v="1"/>
    <s v="L-&gt;R"/>
    <s v="No"/>
    <s v="WRONG"/>
  </r>
  <r>
    <n v="830"/>
    <s v="已发货"/>
    <s v="C49"/>
    <n v="110049"/>
    <s v="博睿通名义下单"/>
    <s v="YSM20R-2"/>
    <s v="L-&gt;R"/>
    <s v="No"/>
    <s v="Y52843"/>
    <n v="1"/>
    <s v="盐保仓库"/>
    <d v="2020-11-07T00:00:00"/>
    <n v="6.4199999999999993E-2"/>
    <x v="28"/>
    <m/>
    <s v="RMB"/>
    <x v="270"/>
    <x v="186"/>
    <x v="12"/>
    <s v="L-&gt;R"/>
    <s v="No"/>
    <s v="OK"/>
  </r>
  <r>
    <n v="831"/>
    <s v="已发货"/>
    <s v="C49"/>
    <n v="110049"/>
    <s v="博睿通名义下单"/>
    <s v="YSM20R-2"/>
    <s v="L-&gt;R"/>
    <s v="No"/>
    <s v="Y52844"/>
    <n v="1"/>
    <s v="盐保仓库"/>
    <d v="2020-11-07T00:00:00"/>
    <n v="6.4199999999999993E-2"/>
    <x v="28"/>
    <m/>
    <s v="RMB"/>
    <x v="270"/>
    <x v="186"/>
    <x v="12"/>
    <s v="L-&gt;R"/>
    <s v="No"/>
    <s v="OK"/>
  </r>
  <r>
    <n v="792"/>
    <s v="已发货"/>
    <s v="C49"/>
    <n v="110025"/>
    <s v="Stock order"/>
    <s v="YSM10"/>
    <s v="R-&gt;L"/>
    <s v="No"/>
    <s v="Y53182"/>
    <n v="1"/>
    <s v="盐保仓库"/>
    <d v="2020-11-07T00:00:00"/>
    <n v="6.4199999999999993E-2"/>
    <x v="28"/>
    <m/>
    <s v="JPY"/>
    <x v="295"/>
    <x v="201"/>
    <x v="1"/>
    <s v="L-&gt;R"/>
    <s v="MVC"/>
    <s v="WRONG"/>
  </r>
  <r>
    <n v="803"/>
    <s v="已发货"/>
    <s v="C49"/>
    <n v="110025"/>
    <s v="Stock order"/>
    <s v="YSM10"/>
    <s v="R-&gt;L"/>
    <s v="No"/>
    <s v="Y53183"/>
    <n v="1"/>
    <m/>
    <d v="2020-11-07T00:00:00"/>
    <n v="6.4199999999999993E-2"/>
    <x v="28"/>
    <m/>
    <s v="JPY"/>
    <x v="296"/>
    <x v="202"/>
    <x v="1"/>
    <s v="R-&gt;L"/>
    <s v="No"/>
    <s v="OK"/>
  </r>
  <r>
    <n v="804"/>
    <s v="已发货"/>
    <s v="C49"/>
    <n v="110025"/>
    <s v="Stock order"/>
    <s v="YSM10"/>
    <s v="R-&gt;L"/>
    <s v="No"/>
    <s v="Y53184"/>
    <n v="1"/>
    <m/>
    <d v="2020-11-07T00:00:00"/>
    <n v="6.4199999999999993E-2"/>
    <x v="28"/>
    <m/>
    <s v="JPY"/>
    <x v="296"/>
    <x v="202"/>
    <x v="1"/>
    <s v="R-&gt;L"/>
    <s v="No"/>
    <s v="OK"/>
  </r>
  <r>
    <n v="745"/>
    <s v="已发货"/>
    <s v="C49"/>
    <s v="110025(拆单110117)"/>
    <s v="Stock order"/>
    <s v="YSM10"/>
    <s v="R-&gt;L"/>
    <s v="No"/>
    <s v="Y53185"/>
    <n v="1"/>
    <s v="盐保仓库"/>
    <d v="2020-11-07T00:00:00"/>
    <s v="NM，PO用110043"/>
    <x v="26"/>
    <m/>
    <s v="JPY"/>
    <x v="294"/>
    <x v="200"/>
    <x v="1"/>
    <s v="L-&gt;R"/>
    <s v="No"/>
    <s v="WRONG"/>
  </r>
  <r>
    <n v="847"/>
    <s v="已发货"/>
    <s v="C49"/>
    <s v="110025(拆单110117)"/>
    <s v="Stock order"/>
    <s v="YSM10"/>
    <s v="R-&gt;L"/>
    <s v="No"/>
    <s v="Y53186"/>
    <n v="1"/>
    <m/>
    <d v="2020-11-07T00:00:00"/>
    <n v="6.3799999999999996E-2"/>
    <x v="28"/>
    <m/>
    <s v="RMB"/>
    <x v="297"/>
    <x v="16"/>
    <x v="1"/>
    <s v="L-&gt;R"/>
    <s v="MVC"/>
    <s v="WRONG"/>
  </r>
  <r>
    <n v="866"/>
    <s v="已发货"/>
    <s v="C49"/>
    <s v="49F103708"/>
    <s v="皇家显示名义下单"/>
    <s v="YSM40R-4"/>
    <s v="R-&gt;L"/>
    <s v="No"/>
    <s v="Y52766"/>
    <n v="1"/>
    <s v="深圳仓库"/>
    <d v="2020-11-04T00:00:00"/>
    <s v="NM"/>
    <x v="28"/>
    <m/>
    <s v="RMB"/>
    <x v="298"/>
    <x v="203"/>
    <x v="0"/>
    <s v="L-&gt;R"/>
    <s v="No"/>
    <s v="WRONG"/>
  </r>
  <r>
    <n v="865"/>
    <s v="已发货"/>
    <s v="C49"/>
    <s v="49F103708"/>
    <s v="皇家显示名义下单"/>
    <s v="YSM40R-4"/>
    <s v="R-&gt;L"/>
    <s v="No"/>
    <s v="Y52765"/>
    <n v="1"/>
    <s v="深圳仓库"/>
    <s v="TBA"/>
    <s v="NM"/>
    <x v="28"/>
    <m/>
    <s v="RMB"/>
    <x v="298"/>
    <x v="203"/>
    <x v="0"/>
    <s v="L-&gt;R"/>
    <s v="No"/>
    <s v="WRONG"/>
  </r>
  <r>
    <n v="870"/>
    <s v="已发货"/>
    <s v="C28"/>
    <n v="110045"/>
    <s v="Stock order"/>
    <s v="YCP10"/>
    <s v="R-&gt;L"/>
    <s v="No"/>
    <s v="Y52685"/>
    <n v="1"/>
    <s v="盐保仓库"/>
    <d v="2020-11-07T00:00:00"/>
    <s v="NM"/>
    <x v="26"/>
    <s v="2020.10."/>
    <s v="JPY"/>
    <x v="299"/>
    <x v="75"/>
    <x v="8"/>
    <s v="L-&gt;R"/>
    <s v="No"/>
    <s v="WRONG"/>
  </r>
  <r>
    <n v="846"/>
    <s v="已发货"/>
    <s v="C28"/>
    <n v="110081"/>
    <s v="Stock order"/>
    <s v="YSi-V"/>
    <s v="R-&gt;L"/>
    <s v="No"/>
    <s v="Y53169"/>
    <n v="1"/>
    <s v="盐保仓库"/>
    <d v="2020-11-13T00:00:00"/>
    <n v="6.4000000000000001E-2"/>
    <x v="26"/>
    <s v="2020.10."/>
    <s v="RMB"/>
    <x v="300"/>
    <x v="204"/>
    <x v="14"/>
    <s v="R-&gt;L"/>
    <s v="No"/>
    <s v="OK"/>
  </r>
  <r>
    <m/>
    <s v="已经到货"/>
    <s v="C28"/>
    <n v="110081"/>
    <s v="Stock order"/>
    <s v="YSi-V"/>
    <s v="R-&gt;L"/>
    <s v="No"/>
    <s v="Y53170"/>
    <n v="1"/>
    <s v="盐保仓库"/>
    <d v="2020-11-13T00:00:00"/>
    <n v="6.4000000000000001E-2"/>
    <x v="30"/>
    <s v="2020.10."/>
    <e v="#N/A"/>
    <x v="42"/>
    <x v="41"/>
    <x v="6"/>
    <e v="#N/A"/>
    <e v="#N/A"/>
    <e v="#N/A"/>
  </r>
  <r>
    <n v="828"/>
    <s v="已发货"/>
    <s v="C49"/>
    <n v="110050"/>
    <s v="博睿通名义下单"/>
    <s v="YSM10"/>
    <s v="R-&gt;L"/>
    <s v="MVC+ATS15"/>
    <s v="Y52850"/>
    <n v="1"/>
    <s v="盐保仓库"/>
    <d v="2020-11-14T00:00:00"/>
    <s v="NM"/>
    <x v="28"/>
    <s v="2020.10."/>
    <s v="JPY"/>
    <x v="301"/>
    <x v="77"/>
    <x v="1"/>
    <s v="R-&gt;L"/>
    <s v="MVC+ATS15"/>
    <s v="OK"/>
  </r>
  <r>
    <n v="849"/>
    <s v="已发货"/>
    <s v="C49"/>
    <n v="110050"/>
    <s v="博睿通名义下单"/>
    <s v="YSM10"/>
    <s v="R-&gt;L"/>
    <s v="MVC+ATS15"/>
    <s v="Y52851"/>
    <n v="1"/>
    <s v="盐保仓库"/>
    <d v="2020-11-14T00:00:00"/>
    <s v="NM"/>
    <x v="26"/>
    <s v="2020.10."/>
    <s v="JPY"/>
    <x v="302"/>
    <x v="174"/>
    <x v="1"/>
    <s v="L-&gt;R"/>
    <s v="MVC+ATS15"/>
    <s v="WRONG"/>
  </r>
  <r>
    <n v="833"/>
    <s v="已发货"/>
    <s v="C49"/>
    <s v="110050（拆单110179）"/>
    <s v="博睿通名义下单"/>
    <s v="YSM10"/>
    <s v="R-&gt;L"/>
    <s v="No"/>
    <s v="Y52852"/>
    <n v="1"/>
    <s v="盐保仓库"/>
    <d v="2020-11-14T00:00:00"/>
    <n v="6.4000000000000001E-2"/>
    <x v="28"/>
    <s v="2020.10."/>
    <s v="RMB"/>
    <x v="270"/>
    <x v="186"/>
    <x v="1"/>
    <s v="L-&gt;R"/>
    <s v="MVC"/>
    <s v="WRONG"/>
  </r>
  <r>
    <n v="845"/>
    <s v="已发货"/>
    <s v="C49"/>
    <n v="110043"/>
    <s v="Stock order"/>
    <s v="YSM10"/>
    <s v="R-&gt;L"/>
    <s v="No"/>
    <s v="Y53235"/>
    <n v="1"/>
    <s v="CY仓库"/>
    <d v="2020-11-21T00:00:00"/>
    <s v="NM"/>
    <x v="28"/>
    <m/>
    <s v="JPY"/>
    <x v="303"/>
    <x v="205"/>
    <x v="1"/>
    <s v="L-&gt;R"/>
    <s v="No"/>
    <s v="WRONG"/>
  </r>
  <r>
    <n v="810"/>
    <s v="已发货"/>
    <s v="C49"/>
    <n v="110043"/>
    <s v="Stock order"/>
    <s v="YSM10"/>
    <s v="R-&gt;L"/>
    <s v="No"/>
    <s v="Y53236"/>
    <n v="1"/>
    <s v="CY仓库"/>
    <d v="2020-11-21T00:00:00"/>
    <s v="0.0638,PO 用110117"/>
    <x v="28"/>
    <m/>
    <s v="RMB"/>
    <x v="304"/>
    <x v="206"/>
    <x v="1"/>
    <s v="L-&gt;R"/>
    <s v="MVC"/>
    <s v="WRONG"/>
  </r>
  <r>
    <n v="811"/>
    <s v="已发货"/>
    <s v="C49"/>
    <n v="110043"/>
    <s v="Stock order"/>
    <s v="YSM10"/>
    <s v="R-&gt;L"/>
    <s v="No"/>
    <s v="Y53237"/>
    <n v="1"/>
    <s v="CY仓库"/>
    <d v="2020-11-21T00:00:00"/>
    <s v="NM"/>
    <x v="28"/>
    <m/>
    <s v="JPY"/>
    <x v="305"/>
    <x v="77"/>
    <x v="1"/>
    <s v="R-&gt;L"/>
    <s v="MVC"/>
    <s v="WRONG"/>
  </r>
  <r>
    <n v="812"/>
    <s v="已发货"/>
    <s v="C49"/>
    <s v="110043(拆单110140)"/>
    <s v="Stock order"/>
    <s v="YSM10"/>
    <s v="R-&gt;L"/>
    <s v="No"/>
    <s v="Y53265"/>
    <n v="1"/>
    <s v="CY仓库"/>
    <d v="2020-11-21T00:00:00"/>
    <n v="6.4000000000000001E-2"/>
    <x v="28"/>
    <m/>
    <s v="JPY"/>
    <x v="305"/>
    <x v="77"/>
    <x v="1"/>
    <s v="R-&gt;L"/>
    <s v="MVC"/>
    <s v="WRONG"/>
  </r>
  <r>
    <n v="813"/>
    <s v="已发货"/>
    <s v="C49"/>
    <s v="110043(拆单110140)"/>
    <s v="Stock order"/>
    <s v="YSM10"/>
    <s v="R-&gt;L"/>
    <s v="No"/>
    <s v="Y53240"/>
    <n v="1"/>
    <s v="CY仓库"/>
    <d v="2020-11-21T00:00:00"/>
    <n v="6.4000000000000001E-2"/>
    <x v="28"/>
    <m/>
    <s v="JPY"/>
    <x v="305"/>
    <x v="77"/>
    <x v="1"/>
    <s v="R-&gt;L"/>
    <s v="MVC"/>
    <s v="WRONG"/>
  </r>
  <r>
    <n v="862"/>
    <s v="已发货"/>
    <s v="C49"/>
    <n v="110137"/>
    <s v="Stock order"/>
    <s v="YSM20R-2"/>
    <s v="L-&gt;R"/>
    <s v="No"/>
    <s v="Y53439"/>
    <n v="1"/>
    <s v="CY仓库"/>
    <d v="2020-11-21T00:00:00"/>
    <n v="6.4000000000000001E-2"/>
    <x v="28"/>
    <n v="2020.11"/>
    <s v="JPY"/>
    <x v="306"/>
    <x v="163"/>
    <x v="12"/>
    <s v="L-&gt;R"/>
    <s v="No"/>
    <s v="OK"/>
  </r>
  <r>
    <n v="829"/>
    <s v="已发货"/>
    <s v="C49"/>
    <n v="110137"/>
    <s v="Stock order"/>
    <s v="YSM20R-2"/>
    <s v="L-&gt;R"/>
    <s v="No"/>
    <s v="Y53440"/>
    <n v="1"/>
    <s v="CY仓库"/>
    <d v="2020-11-21T00:00:00"/>
    <n v="6.4000000000000001E-2"/>
    <x v="28"/>
    <d v="1905-07-12T02:38:24"/>
    <s v="JPY"/>
    <x v="301"/>
    <x v="77"/>
    <x v="12"/>
    <s v="L-&gt;R"/>
    <s v="No"/>
    <s v="OK"/>
  </r>
  <r>
    <n v="827"/>
    <s v="已发货"/>
    <s v="C49"/>
    <n v="110089"/>
    <s v="旭晟名义下单"/>
    <s v="YSM20R-2"/>
    <s v="L-&gt;R"/>
    <s v="No"/>
    <s v="Y53174"/>
    <n v="1"/>
    <s v="码头"/>
    <d v="2020-11-22T00:00:00"/>
    <s v="NM"/>
    <x v="28"/>
    <n v="2020.11"/>
    <s v="JPY"/>
    <x v="307"/>
    <x v="207"/>
    <x v="12"/>
    <s v="L-&gt;R"/>
    <s v="No"/>
    <s v="OK"/>
  </r>
  <r>
    <n v="935"/>
    <s v="已发货"/>
    <s v="C49"/>
    <s v="110026（拆单110178）"/>
    <s v="Stock order"/>
    <s v="YSM10"/>
    <s v="R-&gt;L"/>
    <s v="No"/>
    <s v="Y53187"/>
    <n v="1"/>
    <s v="力合仓库(已经清关)"/>
    <d v="2020-11-26T00:00:00"/>
    <n v="6.4000000000000001E-2"/>
    <x v="26"/>
    <m/>
    <s v="RMB"/>
    <x v="308"/>
    <x v="171"/>
    <x v="1"/>
    <s v="R-&gt;L"/>
    <s v="MVC"/>
    <s v="WRONG"/>
  </r>
  <r>
    <n v="806"/>
    <s v="已发货"/>
    <s v="C49"/>
    <s v="110026（拆单110178）"/>
    <s v="Stock order"/>
    <s v="YSM10"/>
    <s v="R-&gt;L"/>
    <s v="No"/>
    <s v="Y53188"/>
    <n v="1"/>
    <s v="力合仓库(已经清关)"/>
    <d v="2020-11-26T00:00:00"/>
    <n v="6.4000000000000001E-2"/>
    <x v="26"/>
    <m/>
    <s v="RMB"/>
    <x v="309"/>
    <x v="208"/>
    <x v="1"/>
    <s v="R-&gt;L"/>
    <s v="MVC"/>
    <s v="WRONG"/>
  </r>
  <r>
    <n v="876"/>
    <s v="已发货"/>
    <s v="C49"/>
    <s v="110026（拆单110182）"/>
    <s v="Stock order"/>
    <s v="YSM10"/>
    <s v="R-&gt;L"/>
    <s v="No"/>
    <s v="Y53189"/>
    <n v="1"/>
    <s v="力合仓库(已经清关)"/>
    <d v="2020-11-26T00:00:00"/>
    <n v="6.3399999999999998E-2"/>
    <x v="26"/>
    <m/>
    <s v="RMB"/>
    <x v="310"/>
    <x v="209"/>
    <x v="1"/>
    <s v="L-&gt;R"/>
    <s v="No"/>
    <s v="WRONG"/>
  </r>
  <r>
    <n v="877"/>
    <s v="已发货"/>
    <s v="C49"/>
    <s v="110026（拆单110182）"/>
    <s v="Stock order"/>
    <s v="YSM10"/>
    <s v="R-&gt;L"/>
    <s v="No"/>
    <s v="Y53190"/>
    <n v="1"/>
    <s v="力合仓库(已经清关)"/>
    <d v="2020-11-26T00:00:00"/>
    <n v="6.3399999999999998E-2"/>
    <x v="26"/>
    <m/>
    <s v="RMB"/>
    <x v="310"/>
    <x v="209"/>
    <x v="1"/>
    <s v="L-&gt;R"/>
    <s v="No"/>
    <s v="WRONG"/>
  </r>
  <r>
    <n v="922"/>
    <s v="已发货"/>
    <s v="C49"/>
    <s v="110026（拆单110178）"/>
    <s v="Stock order"/>
    <s v="YSM10"/>
    <s v="R-&gt;L"/>
    <s v="No"/>
    <s v="Y53191"/>
    <n v="1"/>
    <s v="力合仓库(已经清关)"/>
    <d v="2020-11-26T00:00:00"/>
    <n v="6.4000000000000001E-2"/>
    <x v="26"/>
    <m/>
    <s v="RMB"/>
    <x v="311"/>
    <x v="210"/>
    <x v="1"/>
    <s v="R-&gt;L"/>
    <s v="MVC"/>
    <s v="WRONG"/>
  </r>
  <r>
    <n v="863"/>
    <s v="已发货"/>
    <s v="C49"/>
    <n v="110026"/>
    <s v="Stock order"/>
    <s v="YSM10"/>
    <s v="R-&gt;L"/>
    <s v="No"/>
    <s v="Y53192"/>
    <n v="1"/>
    <s v="盐保仓库"/>
    <d v="2020-11-26T00:00:00"/>
    <s v="NM"/>
    <x v="26"/>
    <m/>
    <s v="JPY"/>
    <x v="312"/>
    <x v="40"/>
    <x v="1"/>
    <s v="R-&gt;L"/>
    <s v="MVC"/>
    <s v="WRONG"/>
  </r>
  <r>
    <n v="850"/>
    <s v="已发货"/>
    <s v="C49"/>
    <n v="110026"/>
    <s v="Stock order"/>
    <s v="YSM10"/>
    <s v="R-&gt;L"/>
    <s v="No"/>
    <s v="Y53193"/>
    <n v="1"/>
    <s v="盐保仓库"/>
    <d v="2020-11-26T00:00:00"/>
    <s v="NM"/>
    <x v="26"/>
    <m/>
    <s v="JPY"/>
    <x v="302"/>
    <x v="174"/>
    <x v="1"/>
    <s v="L-&gt;R"/>
    <s v="No"/>
    <s v="WRONG"/>
  </r>
  <r>
    <n v="880"/>
    <s v="已发货"/>
    <s v="C49"/>
    <s v="110044（拆单110207）"/>
    <s v="Stock order"/>
    <s v="YSM10"/>
    <s v="R-&gt;L"/>
    <s v="No"/>
    <s v="Y53266"/>
    <n v="1"/>
    <s v="盐保仓库"/>
    <d v="2020-11-26T00:00:00"/>
    <n v="6.3799999999999996E-2"/>
    <x v="26"/>
    <m/>
    <s v="RMB"/>
    <x v="313"/>
    <x v="211"/>
    <x v="1"/>
    <s v="L-&gt;R"/>
    <s v="MVC"/>
    <s v="WRONG"/>
  </r>
  <r>
    <n v="879"/>
    <s v="已发货"/>
    <s v="C49"/>
    <s v="110044（拆单110207）"/>
    <s v="Stock order"/>
    <s v="YSM10"/>
    <s v="R-&gt;L"/>
    <s v="No"/>
    <s v="Y53267"/>
    <n v="1"/>
    <s v="盐保仓库"/>
    <d v="2020-11-26T00:00:00"/>
    <n v="6.3799999999999996E-2"/>
    <x v="26"/>
    <m/>
    <s v="RMB"/>
    <x v="313"/>
    <x v="211"/>
    <x v="1"/>
    <s v="L-&gt;R"/>
    <s v="MVC"/>
    <s v="WRONG"/>
  </r>
  <r>
    <n v="861"/>
    <s v="已发货"/>
    <s v="C49"/>
    <n v="110044"/>
    <s v="Stock order"/>
    <s v="YSM10"/>
    <s v="R-&gt;L"/>
    <s v="No"/>
    <s v="Y53268"/>
    <n v="1"/>
    <s v="盐保仓库"/>
    <d v="2020-11-26T00:00:00"/>
    <s v="TBA"/>
    <x v="26"/>
    <m/>
    <s v="JPY"/>
    <x v="314"/>
    <x v="66"/>
    <x v="1"/>
    <s v="L-&gt;R"/>
    <s v="MVC"/>
    <s v="WRONG"/>
  </r>
  <r>
    <n v="860"/>
    <s v="已发货"/>
    <s v="C49"/>
    <n v="110044"/>
    <s v="Stock order"/>
    <s v="YSM10"/>
    <s v="R-&gt;L"/>
    <s v="No"/>
    <s v="Y53269"/>
    <n v="1"/>
    <s v="盐保仓库"/>
    <d v="2020-11-26T00:00:00"/>
    <s v="TBA"/>
    <x v="26"/>
    <m/>
    <s v="JPY"/>
    <x v="314"/>
    <x v="66"/>
    <x v="1"/>
    <s v="L-&gt;R"/>
    <s v="MVC"/>
    <s v="WRONG"/>
  </r>
  <r>
    <n v="858"/>
    <s v="已发货"/>
    <s v="C49"/>
    <n v="110044"/>
    <s v="Stock order"/>
    <s v="YSM10"/>
    <s v="R-&gt;L"/>
    <s v="No"/>
    <s v="Y53238"/>
    <n v="1"/>
    <s v="盐保仓库"/>
    <d v="2020-11-26T00:00:00"/>
    <s v="TBA"/>
    <x v="26"/>
    <m/>
    <s v="JPY"/>
    <x v="314"/>
    <x v="66"/>
    <x v="1"/>
    <s v="L-&gt;R"/>
    <s v="MVC"/>
    <s v="WRONG"/>
  </r>
  <r>
    <n v="859"/>
    <s v="已发货"/>
    <s v="C49"/>
    <n v="110044"/>
    <s v="Stock order"/>
    <s v="YSM10"/>
    <s v="R-&gt;L"/>
    <s v="No"/>
    <s v="Y53239"/>
    <n v="1"/>
    <s v="盐保仓库"/>
    <d v="2020-11-26T00:00:00"/>
    <s v="TBA"/>
    <x v="26"/>
    <m/>
    <s v="JPY"/>
    <x v="314"/>
    <x v="66"/>
    <x v="1"/>
    <s v="L-&gt;R"/>
    <s v="MVC"/>
    <s v="WRONG"/>
  </r>
  <r>
    <n v="851"/>
    <s v="已发货"/>
    <s v="C49"/>
    <n v="110069"/>
    <s v="Stock order"/>
    <s v="YSM20R-2"/>
    <s v="L-&gt;R"/>
    <s v="No"/>
    <s v="Y53443"/>
    <n v="1"/>
    <s v="CY仓库"/>
    <d v="2020-12-10T00:00:00"/>
    <s v="NM"/>
    <x v="26"/>
    <m/>
    <s v="JPY"/>
    <x v="302"/>
    <x v="174"/>
    <x v="4"/>
    <s v="L-&gt;R"/>
    <s v="No"/>
    <s v="OK"/>
  </r>
  <r>
    <n v="841"/>
    <s v="已发货"/>
    <s v="C49"/>
    <n v="110069"/>
    <s v="Stock order"/>
    <s v="YSM20R-2"/>
    <s v="R-&gt;L"/>
    <s v="No"/>
    <s v="Y53444"/>
    <n v="1"/>
    <s v="CY仓库"/>
    <d v="2020-12-10T00:00:00"/>
    <s v="NM"/>
    <x v="26"/>
    <m/>
    <s v="JPY"/>
    <x v="275"/>
    <x v="188"/>
    <x v="4"/>
    <s v="R-&gt;L"/>
    <s v="No"/>
    <s v="OK"/>
  </r>
  <r>
    <n v="842"/>
    <s v="已发货"/>
    <s v="C49"/>
    <n v="110069"/>
    <s v="Stock order"/>
    <s v="YSM20R-2"/>
    <s v="R-&gt;L"/>
    <s v="No"/>
    <s v="Y53445"/>
    <n v="1"/>
    <s v="CY仓库"/>
    <d v="2020-12-10T00:00:00"/>
    <s v="NM"/>
    <x v="26"/>
    <m/>
    <s v="JPY"/>
    <x v="275"/>
    <x v="188"/>
    <x v="4"/>
    <s v="R-&gt;L"/>
    <s v="No"/>
    <s v="OK"/>
  </r>
  <r>
    <n v="843"/>
    <s v="已发货"/>
    <s v="C49"/>
    <n v="110069"/>
    <s v="Stock order"/>
    <s v="YSM20R-2"/>
    <s v="R-&gt;L"/>
    <s v="No"/>
    <s v="Y53446"/>
    <n v="1"/>
    <s v="CY仓库"/>
    <d v="2020-12-10T00:00:00"/>
    <s v="NM"/>
    <x v="26"/>
    <m/>
    <s v="JPY"/>
    <x v="275"/>
    <x v="188"/>
    <x v="4"/>
    <s v="R-&gt;L"/>
    <s v="No"/>
    <s v="OK"/>
  </r>
  <r>
    <n v="844"/>
    <s v="已发货"/>
    <s v="C49"/>
    <n v="110069"/>
    <s v="Stock order"/>
    <s v="YSM20R-2"/>
    <s v="R-&gt;L"/>
    <s v="No"/>
    <s v="Y53447"/>
    <n v="1"/>
    <s v="CY仓库"/>
    <d v="2020-12-10T00:00:00"/>
    <s v="NM"/>
    <x v="26"/>
    <m/>
    <s v="JPY"/>
    <x v="275"/>
    <x v="188"/>
    <x v="4"/>
    <s v="R-&gt;L"/>
    <s v="No"/>
    <s v="OK"/>
  </r>
  <r>
    <n v="932"/>
    <s v="已发货"/>
    <s v="C49"/>
    <n v="110110"/>
    <s v="博睿通名义下单"/>
    <s v="YSM20R-2"/>
    <s v="L-&gt;R"/>
    <s v="No"/>
    <s v="Y52845"/>
    <n v="1"/>
    <s v="码头-&gt;准备清关"/>
    <d v="2020-12-15T00:00:00"/>
    <s v="NM"/>
    <x v="26"/>
    <m/>
    <s v="JPY"/>
    <x v="315"/>
    <x v="100"/>
    <x v="12"/>
    <s v="L-&gt;R"/>
    <s v="No"/>
    <s v="OK"/>
  </r>
  <r>
    <n v="881"/>
    <s v="已发货"/>
    <s v="C49"/>
    <s v="110110（拆单110180）"/>
    <s v="博睿通名义下单"/>
    <s v="YSM20R-2"/>
    <s v="L-&gt;R"/>
    <s v="No"/>
    <s v="Y52846"/>
    <n v="1"/>
    <s v="码头-&gt;准备清关"/>
    <d v="2020-12-15T00:00:00"/>
    <n v="6.4000000000000001E-2"/>
    <x v="26"/>
    <m/>
    <s v="RMB"/>
    <x v="313"/>
    <x v="211"/>
    <x v="12"/>
    <s v="L-&gt;R"/>
    <s v="No"/>
    <s v="OK"/>
  </r>
  <r>
    <n v="883"/>
    <s v="已经到货"/>
    <s v="C49"/>
    <n v="110068"/>
    <s v="Stock order"/>
    <s v="YSM20R-2"/>
    <s v="L-&gt;R"/>
    <s v="cATS10+special layout"/>
    <s v="Y53442"/>
    <n v="1"/>
    <s v="盐保仓库"/>
    <d v="2020-12-13T00:00:00"/>
    <s v="NM"/>
    <x v="27"/>
    <n v="2020.11"/>
    <s v="JPY"/>
    <x v="316"/>
    <x v="212"/>
    <x v="12"/>
    <s v="L-&gt;R"/>
    <s v="cATS10+MVC"/>
    <s v="WRONG"/>
  </r>
  <r>
    <n v="867"/>
    <s v="已发货"/>
    <s v="C49"/>
    <n v="110068"/>
    <s v="Stock order"/>
    <s v="YSM20R-2"/>
    <s v="L-&gt;R"/>
    <s v="No"/>
    <s v="Y53441"/>
    <n v="1"/>
    <s v="盐保仓库"/>
    <d v="2020-12-13T00:00:00"/>
    <s v="NM"/>
    <x v="26"/>
    <n v="2020.11"/>
    <s v="JPY"/>
    <x v="262"/>
    <x v="75"/>
    <x v="12"/>
    <s v="L-&gt;R"/>
    <s v="No"/>
    <s v="OK"/>
  </r>
  <r>
    <n v="928"/>
    <s v="已经到货"/>
    <s v="C49"/>
    <s v="110097（拆单110192）"/>
    <s v="玥芯通名义下单"/>
    <s v="YSM20R-2"/>
    <s v="L-&gt;R"/>
    <s v="No"/>
    <s v="Y53571"/>
    <n v="1"/>
    <s v="盐保仓库"/>
    <d v="2020-12-21T00:00:00"/>
    <n v="6.3399999999999998E-2"/>
    <x v="27"/>
    <m/>
    <s v="JPY"/>
    <x v="283"/>
    <x v="194"/>
    <x v="12"/>
    <s v="L-&gt;R"/>
    <s v="No"/>
    <s v="OK"/>
  </r>
  <r>
    <n v="796"/>
    <s v="已发货"/>
    <s v="C49"/>
    <n v="110097"/>
    <s v="玥芯通名义下单"/>
    <s v="YSM20R-2"/>
    <s v="R-&gt;L"/>
    <s v="No"/>
    <s v="Y53572"/>
    <n v="1"/>
    <s v="力合仓库(已经清关)"/>
    <d v="2020-12-21T00:00:00"/>
    <s v="0.065(PO用110047）"/>
    <x v="27"/>
    <m/>
    <s v="RMB"/>
    <x v="269"/>
    <x v="185"/>
    <x v="12"/>
    <s v="R-&gt;L"/>
    <s v="No"/>
    <s v="OK"/>
  </r>
  <r>
    <n v="864"/>
    <s v="已发货"/>
    <s v="C49"/>
    <n v="110097"/>
    <s v="玥芯通名义下单"/>
    <s v="YSM20R-2"/>
    <s v="R-&gt;L"/>
    <s v="No"/>
    <s v="Y53573"/>
    <n v="1"/>
    <s v="盐保仓库"/>
    <s v="2020/12/21,收到arrivalnotice 船期准时到达"/>
    <s v="NM"/>
    <x v="26"/>
    <m/>
    <s v="JPY"/>
    <x v="312"/>
    <x v="40"/>
    <x v="12"/>
    <s v="R-&gt;L"/>
    <s v="No"/>
    <s v="OK"/>
  </r>
  <r>
    <n v="896"/>
    <s v="已发货"/>
    <s v="C49"/>
    <s v="110181(拆单110214)"/>
    <s v="玥芯通名义下单"/>
    <s v="YSM20R-2"/>
    <s v="L-&gt;R"/>
    <s v="No"/>
    <s v="Y53574"/>
    <n v="1"/>
    <s v="力合仓库(已经清关)"/>
    <s v="2020/12/21,收到arrivalnotice 船期准时到达"/>
    <n v="6.3500000000000001E-2"/>
    <x v="26"/>
    <m/>
    <s v="RMB"/>
    <x v="317"/>
    <x v="213"/>
    <x v="12"/>
    <s v="L-&gt;R"/>
    <s v="No"/>
    <s v="OK"/>
  </r>
  <r>
    <n v="897"/>
    <s v="已发货"/>
    <s v="C49"/>
    <n v="110181"/>
    <s v="玥芯通名义下单"/>
    <s v="YSM20R-2"/>
    <s v="L-&gt;R"/>
    <s v="No"/>
    <s v="Y53575"/>
    <n v="1"/>
    <s v="力合仓库(已经清关)"/>
    <s v="2020/12/21,收到arrivalnotice 船期准时到达"/>
    <s v="0.0638 PO用110208"/>
    <x v="26"/>
    <m/>
    <s v="RMB"/>
    <x v="317"/>
    <x v="213"/>
    <x v="12"/>
    <s v="L-&gt;R"/>
    <s v="No"/>
    <s v="OK"/>
  </r>
  <r>
    <n v="919"/>
    <s v="已发货"/>
    <s v="C49"/>
    <n v="110158"/>
    <s v="捷舜诚名义"/>
    <s v="YSM20R-2"/>
    <s v="L-&gt;R"/>
    <s v="No"/>
    <s v="Y53922"/>
    <n v="1"/>
    <s v="力合中转仓"/>
    <s v="2020/12/21,收到arrivalnotice 船期准时到达"/>
    <s v="NM"/>
    <x v="26"/>
    <m/>
    <s v="JPY"/>
    <x v="318"/>
    <x v="29"/>
    <x v="12"/>
    <s v="L-&gt;R"/>
    <s v="No"/>
    <s v="OK"/>
  </r>
  <r>
    <n v="887"/>
    <s v="已发货"/>
    <s v="C49"/>
    <n v="110158"/>
    <s v="捷舜诚名义"/>
    <s v="YSM20R-2"/>
    <s v="L-&gt;R"/>
    <s v="No"/>
    <s v="Y53923"/>
    <n v="1"/>
    <s v="力合中转仓"/>
    <s v="2020/12/21,收到arrivalnotice 船期准时到达"/>
    <s v="NM"/>
    <x v="26"/>
    <m/>
    <s v="JPY"/>
    <x v="319"/>
    <x v="214"/>
    <x v="12"/>
    <s v="L-&gt;R"/>
    <s v="No"/>
    <s v="OK"/>
  </r>
  <r>
    <n v="857"/>
    <s v="已发货"/>
    <s v="C49"/>
    <n v="110122"/>
    <s v="Stock order"/>
    <s v="YSM10"/>
    <s v="R-&gt;L"/>
    <s v="No"/>
    <s v="Y53961"/>
    <n v="1"/>
    <s v="CY仓库"/>
    <s v="2020/12/28,收到arrival notice"/>
    <s v="NM"/>
    <x v="26"/>
    <m/>
    <s v="JPY"/>
    <x v="320"/>
    <x v="215"/>
    <x v="1"/>
    <s v="R-&gt;L"/>
    <s v="MVC"/>
    <s v="WRONG"/>
  </r>
  <r>
    <n v="907"/>
    <s v="已经到货"/>
    <s v="C49"/>
    <n v="110159"/>
    <s v="捷舜诚名义"/>
    <s v="YSM20R-2"/>
    <s v="L-&gt;R"/>
    <s v="No"/>
    <s v="Y53924"/>
    <n v="1"/>
    <s v="CY仓库"/>
    <d v="2020-12-28T00:00:00"/>
    <s v="NM"/>
    <x v="27"/>
    <m/>
    <s v="JPY"/>
    <x v="321"/>
    <x v="216"/>
    <x v="12"/>
    <s v="L-&gt;R"/>
    <s v="No"/>
    <s v="OK"/>
  </r>
  <r>
    <n v="913"/>
    <s v="已发货"/>
    <s v="C49"/>
    <n v="110159"/>
    <s v="捷舜诚名义"/>
    <s v="YSM20R-2"/>
    <s v="L-&gt;R"/>
    <s v="No"/>
    <s v="Y53925"/>
    <n v="1"/>
    <s v="CY仓库"/>
    <d v="2020-12-28T00:00:00"/>
    <s v="NM PO用110158"/>
    <x v="27"/>
    <m/>
    <s v="JPY"/>
    <x v="322"/>
    <x v="90"/>
    <x v="12"/>
    <s v="L-&gt;R"/>
    <s v="No"/>
    <s v="OK"/>
  </r>
  <r>
    <n v="915"/>
    <s v="已发货"/>
    <s v="C49"/>
    <n v="110161"/>
    <s v="Stock order"/>
    <s v="YSM10"/>
    <s v="R-&gt;L"/>
    <s v="No"/>
    <s v="Y53241"/>
    <n v="1"/>
    <s v="CY仓库"/>
    <d v="2021-01-01T00:00:00"/>
    <s v="NM"/>
    <x v="27"/>
    <m/>
    <s v="JPY"/>
    <x v="322"/>
    <x v="90"/>
    <x v="1"/>
    <s v="L-&gt;R"/>
    <s v="No"/>
    <s v="WRONG"/>
  </r>
  <r>
    <n v="912"/>
    <s v="已发货"/>
    <s v="C49"/>
    <n v="110108"/>
    <s v="志华鑫名义下单"/>
    <s v="YSM20R-2"/>
    <s v="L-&gt;R"/>
    <s v="No"/>
    <s v="Y53846"/>
    <n v="1"/>
    <s v="CY仓库"/>
    <d v="2021-01-01T00:00:00"/>
    <s v="NM"/>
    <x v="27"/>
    <m/>
    <s v="JPY"/>
    <x v="322"/>
    <x v="90"/>
    <x v="12"/>
    <s v="L-&gt;R"/>
    <s v="No"/>
    <s v="OK"/>
  </r>
  <r>
    <n v="914"/>
    <s v="已发货"/>
    <s v="C49"/>
    <n v="110108"/>
    <s v="志华鑫名义下单"/>
    <s v="YSM10"/>
    <s v="R-&gt;L"/>
    <s v="No"/>
    <s v="Y53848"/>
    <n v="1"/>
    <s v="CY仓库"/>
    <d v="2021-01-01T00:00:00"/>
    <s v="NM"/>
    <x v="27"/>
    <m/>
    <s v="JPY"/>
    <x v="322"/>
    <x v="90"/>
    <x v="1"/>
    <s v="L-&gt;R"/>
    <s v="No"/>
    <s v="WRONG"/>
  </r>
  <r>
    <n v="908"/>
    <s v="已经到货"/>
    <s v="C49"/>
    <n v="110108"/>
    <s v="志华鑫名义下单"/>
    <s v="YSM10"/>
    <s v="R-&gt;L"/>
    <s v="No"/>
    <s v="Y53849"/>
    <n v="1"/>
    <s v="CY仓库"/>
    <d v="2021-01-01T00:00:00"/>
    <s v="NM"/>
    <x v="27"/>
    <m/>
    <s v="JPY"/>
    <x v="321"/>
    <x v="216"/>
    <x v="1"/>
    <s v="L-&gt;R"/>
    <s v="MVC"/>
    <s v="WRONG"/>
  </r>
  <r>
    <n v="906"/>
    <s v="已发货"/>
    <s v="C49"/>
    <n v="110066"/>
    <s v="Stock order"/>
    <s v="YSM10"/>
    <s v="R-&gt;L"/>
    <s v="No"/>
    <s v="Y53618"/>
    <n v="1"/>
    <s v="码头-&gt;准备清关"/>
    <d v="2021-01-04T00:00:00"/>
    <s v="TBA"/>
    <x v="27"/>
    <m/>
    <s v="JPY"/>
    <x v="323"/>
    <x v="132"/>
    <x v="1"/>
    <s v="L-&gt;R"/>
    <s v="MVC"/>
    <s v="WRONG"/>
  </r>
  <r>
    <n v="936"/>
    <s v="已发货"/>
    <s v="C49"/>
    <n v="110066"/>
    <s v="Stock order"/>
    <s v="YSM10"/>
    <s v="R-&gt;L"/>
    <s v="No"/>
    <s v="Y53619"/>
    <n v="1"/>
    <s v="码头-&gt;准备清关"/>
    <d v="2021-01-04T00:00:00"/>
    <s v="TBA"/>
    <x v="27"/>
    <m/>
    <s v="JPY"/>
    <x v="324"/>
    <x v="150"/>
    <x v="1"/>
    <s v="L-&gt;R"/>
    <s v="MVC"/>
    <s v="WRONG"/>
  </r>
  <r>
    <n v="885"/>
    <s v="已经到货"/>
    <s v="C49"/>
    <n v="110066"/>
    <s v="Stock order"/>
    <s v="YSM10"/>
    <s v="R-&gt;L"/>
    <s v="No"/>
    <s v="Y53613"/>
    <n v="1"/>
    <s v="盐保仓库"/>
    <d v="2021-01-04T00:00:00"/>
    <s v="TBA"/>
    <x v="27"/>
    <m/>
    <s v="JPY"/>
    <x v="325"/>
    <x v="217"/>
    <x v="1"/>
    <s v="R-&gt;L"/>
    <s v="MVC"/>
    <s v="WRONG"/>
  </r>
  <r>
    <n v="884"/>
    <s v="已经到货"/>
    <s v="C49"/>
    <n v="110066"/>
    <s v="Stock order"/>
    <s v="YSM10"/>
    <s v="R-&gt;L"/>
    <s v="No"/>
    <s v="Y53614"/>
    <n v="1"/>
    <s v="盐保仓库"/>
    <d v="2021-01-04T00:00:00"/>
    <s v="TBA"/>
    <x v="27"/>
    <m/>
    <s v="JPY"/>
    <x v="325"/>
    <x v="217"/>
    <x v="1"/>
    <s v="R-&gt;L"/>
    <s v="MVC"/>
    <s v="WRONG"/>
  </r>
  <r>
    <n v="894"/>
    <s v="已经到货"/>
    <s v="C49"/>
    <n v="110066"/>
    <s v="Stock order"/>
    <s v="YSM10"/>
    <s v="R-&gt;L"/>
    <s v="No"/>
    <s v="Y53615"/>
    <n v="1"/>
    <s v="盐保仓库"/>
    <d v="2021-01-04T00:00:00"/>
    <s v="TBA"/>
    <x v="27"/>
    <m/>
    <s v="JPY"/>
    <x v="326"/>
    <x v="131"/>
    <x v="1"/>
    <s v="L-&gt;R"/>
    <s v="MVC"/>
    <s v="WRONG"/>
  </r>
  <r>
    <n v="1027"/>
    <s v="已经到货"/>
    <s v="C49"/>
    <n v="110066"/>
    <s v="Stock order"/>
    <s v="YSM10"/>
    <s v="R-&gt;L"/>
    <s v="No"/>
    <s v="Y53616"/>
    <n v="1"/>
    <s v="盐保仓库"/>
    <d v="2021-01-04T00:00:00"/>
    <s v="TBA"/>
    <x v="27"/>
    <m/>
    <s v="JPY"/>
    <x v="293"/>
    <x v="10"/>
    <x v="1"/>
    <s v="R-&gt;L"/>
    <s v="MVC"/>
    <s v="WRONG"/>
  </r>
  <r>
    <n v="893"/>
    <s v="已经到货"/>
    <s v="C49"/>
    <n v="110066"/>
    <s v="Stock order"/>
    <s v="YSM10"/>
    <s v="R-&gt;L"/>
    <s v="No"/>
    <s v="Y53617"/>
    <n v="1"/>
    <s v="盐保仓库"/>
    <d v="2021-01-04T00:00:00"/>
    <s v="TBA"/>
    <x v="27"/>
    <m/>
    <s v="JPY"/>
    <x v="326"/>
    <x v="131"/>
    <x v="1"/>
    <s v="L-&gt;R"/>
    <s v="MVC"/>
    <s v="WRONG"/>
  </r>
  <r>
    <n v="931"/>
    <s v="JAN 21"/>
    <s v="C49"/>
    <n v="110067"/>
    <s v="Stock order"/>
    <s v="YSM10"/>
    <s v="R-&gt;L"/>
    <s v="No"/>
    <m/>
    <n v="1"/>
    <m/>
    <d v="2021-01-11T00:00:00"/>
    <s v="TBA"/>
    <x v="27"/>
    <m/>
    <s v="JPY"/>
    <x v="327"/>
    <x v="218"/>
    <x v="1"/>
    <s v="L-&gt;R"/>
    <s v="MVC+ANC"/>
    <s v="WRONG"/>
  </r>
  <r>
    <n v="903"/>
    <s v="JAN 21"/>
    <s v="C49"/>
    <n v="110067"/>
    <s v="Stock order"/>
    <s v="YSM10"/>
    <s v="R-&gt;L"/>
    <s v="No"/>
    <m/>
    <n v="1"/>
    <m/>
    <d v="2021-01-11T00:00:00"/>
    <s v="TBA"/>
    <x v="27"/>
    <m/>
    <s v="JPY"/>
    <x v="328"/>
    <x v="40"/>
    <x v="1"/>
    <s v="R-&gt;L"/>
    <s v="MVC"/>
    <s v="WRONG"/>
  </r>
  <r>
    <n v="972"/>
    <s v="JAN 21"/>
    <s v="C49"/>
    <n v="110067"/>
    <s v="Stock order"/>
    <s v="YSM10"/>
    <s v="R-&gt;L"/>
    <s v="No"/>
    <m/>
    <n v="1"/>
    <m/>
    <d v="2021-01-11T00:00:00"/>
    <s v="TBA"/>
    <x v="27"/>
    <m/>
    <s v="JPY"/>
    <x v="329"/>
    <x v="156"/>
    <x v="1"/>
    <s v="L-&gt;R"/>
    <s v="MVC"/>
    <s v="WRONG"/>
  </r>
  <r>
    <n v="937"/>
    <s v="JAN 21"/>
    <s v="C49"/>
    <n v="110067"/>
    <s v="Stock order"/>
    <s v="YSM10"/>
    <s v="R-&gt;L"/>
    <s v="No"/>
    <m/>
    <n v="1"/>
    <m/>
    <d v="2021-01-11T00:00:00"/>
    <s v="TBA"/>
    <x v="27"/>
    <m/>
    <s v="JPY"/>
    <x v="330"/>
    <x v="219"/>
    <x v="1"/>
    <s v="L-&gt;R"/>
    <s v="MVC+ANC"/>
    <s v="WRONG"/>
  </r>
  <r>
    <n v="1038"/>
    <s v="JAN 21"/>
    <s v="C49"/>
    <n v="110168"/>
    <s v="华彩鑫名义"/>
    <s v="YSM40R-4"/>
    <s v="L-&gt;R"/>
    <s v="No"/>
    <m/>
    <n v="1"/>
    <m/>
    <s v="2021/1/20，船期OK"/>
    <n v="6.4000000000000001E-2"/>
    <x v="27"/>
    <m/>
    <s v="RMB"/>
    <x v="331"/>
    <x v="220"/>
    <x v="0"/>
    <s v="L-&gt;R"/>
    <s v="No"/>
    <s v="OK"/>
  </r>
  <r>
    <n v="1039"/>
    <s v="JAN 21"/>
    <s v="C49"/>
    <n v="110170"/>
    <s v="华彩鑫名义"/>
    <s v="YSM40R-4"/>
    <s v="L-&gt;R"/>
    <s v="No"/>
    <m/>
    <n v="1"/>
    <m/>
    <s v="2021/1/20，船期OK"/>
    <n v="6.3600000000000004E-2"/>
    <x v="27"/>
    <m/>
    <s v="RMB"/>
    <x v="331"/>
    <x v="220"/>
    <x v="0"/>
    <s v="L-&gt;R"/>
    <s v="No"/>
    <s v="OK"/>
  </r>
  <r>
    <n v="923"/>
    <s v="JAN 21"/>
    <s v="C28"/>
    <n v="110195"/>
    <s v="鸿通宇名义"/>
    <s v="YSi-V"/>
    <s v="L-&gt;R"/>
    <s v="No"/>
    <m/>
    <n v="1"/>
    <m/>
    <s v="延期至2021/1/14，收到提单"/>
    <s v="TBA"/>
    <x v="27"/>
    <m/>
    <s v="RMB"/>
    <x v="332"/>
    <x v="221"/>
    <x v="14"/>
    <s v="L-&gt;R"/>
    <s v="No"/>
    <s v="OK"/>
  </r>
  <r>
    <n v="920"/>
    <s v="JAN 21"/>
    <s v="C49"/>
    <n v="110105"/>
    <s v="益田名义下单"/>
    <s v="YSM20R-2"/>
    <s v="L-&gt;R"/>
    <s v="No"/>
    <m/>
    <n v="1"/>
    <m/>
    <s v="2021/1/16，船期OK"/>
    <s v="TBA"/>
    <x v="27"/>
    <m/>
    <s v="JPY"/>
    <x v="263"/>
    <x v="5"/>
    <x v="12"/>
    <s v="L-&gt;R"/>
    <s v="No"/>
    <s v="OK"/>
  </r>
  <r>
    <n v="889"/>
    <s v="JAN 21"/>
    <s v="C49"/>
    <n v="110105"/>
    <s v="益田名义下单"/>
    <s v="YSM20R-2"/>
    <s v="L-&gt;R"/>
    <s v="No"/>
    <m/>
    <n v="1"/>
    <m/>
    <s v="2021/1/16，船期OK"/>
    <s v="TBA"/>
    <x v="27"/>
    <m/>
    <s v="JPY"/>
    <x v="333"/>
    <x v="168"/>
    <x v="12"/>
    <s v="L-&gt;R"/>
    <s v="No"/>
    <s v="OK"/>
  </r>
  <r>
    <n v="878"/>
    <s v="JAN 21"/>
    <s v="C49"/>
    <n v="110105"/>
    <s v="益田名义下单"/>
    <s v="YSM20R-2"/>
    <s v="R-&gt;L"/>
    <s v="No"/>
    <m/>
    <n v="1"/>
    <m/>
    <s v="2021/1/16，船期OK"/>
    <s v="TBA"/>
    <x v="27"/>
    <m/>
    <s v="JPY"/>
    <x v="334"/>
    <x v="163"/>
    <x v="12"/>
    <s v="R-&gt;L"/>
    <s v="No"/>
    <s v="OK"/>
  </r>
  <r>
    <n v="901"/>
    <s v="JAN 21"/>
    <s v="C49"/>
    <n v="110105"/>
    <s v="益田名义下单"/>
    <s v="YSM20R-2"/>
    <s v="R-&gt;L"/>
    <s v="No"/>
    <m/>
    <n v="1"/>
    <m/>
    <s v="2021/1/16，船期OK"/>
    <s v="TBA"/>
    <x v="27"/>
    <m/>
    <s v="JPY"/>
    <x v="328"/>
    <x v="40"/>
    <x v="12"/>
    <s v="R-&gt;L"/>
    <s v="No"/>
    <s v="OK"/>
  </r>
  <r>
    <n v="902"/>
    <s v="JAN 21"/>
    <s v="C49"/>
    <s v="110106 (拆单110215)"/>
    <s v="益田名义下单"/>
    <s v="YSM20R-2"/>
    <s v="R-&gt;L"/>
    <s v="No"/>
    <m/>
    <n v="1"/>
    <m/>
    <s v="2021/1/16，船期OK"/>
    <n v="6.3500000000000001E-2"/>
    <x v="27"/>
    <m/>
    <s v="JPY"/>
    <x v="328"/>
    <x v="40"/>
    <x v="12"/>
    <s v="R-&gt;L"/>
    <s v="No"/>
    <s v="OK"/>
  </r>
  <r>
    <n v="882"/>
    <s v="JAN 21"/>
    <s v="C49"/>
    <s v="110106（拆单110208）"/>
    <s v="益田名义下单"/>
    <s v="YSM20R-2"/>
    <s v="L-&gt;R"/>
    <s v="No"/>
    <m/>
    <n v="1"/>
    <m/>
    <s v="2021/1/16，船期OK"/>
    <s v="TBA Po 用110181"/>
    <x v="27"/>
    <m/>
    <s v="JPY"/>
    <x v="316"/>
    <x v="212"/>
    <x v="12"/>
    <s v="L-&gt;R"/>
    <s v="No"/>
    <s v="OK"/>
  </r>
  <r>
    <n v="930"/>
    <s v="JAN 21"/>
    <s v="C49"/>
    <n v="110106"/>
    <s v="益田名义下单"/>
    <s v="YSM20R-2"/>
    <s v="L-&gt;R"/>
    <s v="No"/>
    <m/>
    <n v="1"/>
    <m/>
    <s v="2021/1/16，船期OK"/>
    <s v="TBA"/>
    <x v="27"/>
    <m/>
    <s v="JPY"/>
    <x v="327"/>
    <x v="218"/>
    <x v="12"/>
    <s v="L-&gt;R"/>
    <s v="No"/>
    <s v="OK"/>
  </r>
  <r>
    <n v="873"/>
    <s v="JAN 21"/>
    <s v="C49"/>
    <n v="110106"/>
    <s v="益田名义下单"/>
    <s v="YSM20R-2"/>
    <s v="L-&gt;R"/>
    <s v="No"/>
    <m/>
    <n v="1"/>
    <m/>
    <s v="2021/1/16，船期OK"/>
    <s v="TBA"/>
    <x v="27"/>
    <m/>
    <s v="JPY"/>
    <x v="335"/>
    <x v="80"/>
    <x v="12"/>
    <s v="L-&gt;R"/>
    <s v="No"/>
    <s v="OK"/>
  </r>
  <r>
    <n v="905"/>
    <s v="JAN 21"/>
    <s v="C49"/>
    <n v="110198"/>
    <s v="志华鑫名义下单"/>
    <s v="YSM20R-2"/>
    <s v="L-&gt;R"/>
    <s v="No"/>
    <m/>
    <n v="1"/>
    <m/>
    <s v="2021/1/17，船期OK"/>
    <s v="TBA"/>
    <x v="27"/>
    <m/>
    <s v="JPY"/>
    <x v="323"/>
    <x v="132"/>
    <x v="12"/>
    <s v="L-&gt;R"/>
    <s v="No"/>
    <s v="OK"/>
  </r>
  <r>
    <n v="872"/>
    <s v="JAN 21"/>
    <s v="C49"/>
    <n v="110107"/>
    <s v="志华鑫名义下单"/>
    <s v="YSM20R-2"/>
    <s v="R-&gt;L"/>
    <s v="No"/>
    <m/>
    <n v="1"/>
    <m/>
    <s v="2021/1/25,船期OK"/>
    <s v="TBA"/>
    <x v="27"/>
    <m/>
    <s v="JPY"/>
    <x v="335"/>
    <x v="80"/>
    <x v="12"/>
    <s v="R-&gt;L"/>
    <s v="MVC"/>
    <s v="WRONG"/>
  </r>
  <r>
    <n v="929"/>
    <s v="JAN 21"/>
    <s v="C49"/>
    <n v="110107"/>
    <s v="志华鑫名义下单"/>
    <s v="YSM20R-2"/>
    <s v="R-&gt;L"/>
    <s v="No"/>
    <m/>
    <n v="1"/>
    <m/>
    <s v="2021/1/25,船期OK"/>
    <s v="TBA"/>
    <x v="27"/>
    <m/>
    <s v="JPY"/>
    <x v="283"/>
    <x v="194"/>
    <x v="12"/>
    <s v="R-&gt;L"/>
    <s v="No"/>
    <s v="OK"/>
  </r>
  <r>
    <n v="886"/>
    <s v="JAN 21"/>
    <s v="C49"/>
    <s v="110107（拆单110209）"/>
    <s v="志华鑫名义下单"/>
    <s v="YSM20R-2"/>
    <s v="L-&gt;R"/>
    <s v="No"/>
    <m/>
    <n v="1"/>
    <m/>
    <s v="2021/1/25,船期OK"/>
    <n v="6.3799999999999996E-2"/>
    <x v="27"/>
    <m/>
    <s v="JPY"/>
    <x v="336"/>
    <x v="22"/>
    <x v="12"/>
    <s v="L-&gt;R"/>
    <s v="No"/>
    <s v="OK"/>
  </r>
  <r>
    <n v="968"/>
    <s v="JAN 21"/>
    <s v="C49"/>
    <s v="110107（拆单110209）"/>
    <s v="志华鑫名义下单"/>
    <s v="YSM20R-2"/>
    <s v="L-&gt;R"/>
    <s v="No"/>
    <m/>
    <n v="1"/>
    <m/>
    <s v="2021/1/25,船期OK"/>
    <n v="6.3799999999999996E-2"/>
    <x v="27"/>
    <m/>
    <s v="JPY"/>
    <x v="329"/>
    <x v="156"/>
    <x v="12"/>
    <s v="L-&gt;R"/>
    <s v="MVC"/>
    <s v="WRONG"/>
  </r>
  <r>
    <n v="911"/>
    <s v="JAN 21"/>
    <s v="C49"/>
    <n v="110199"/>
    <s v="Stock order"/>
    <s v="YSM10"/>
    <s v="R-&gt;L"/>
    <s v="No"/>
    <m/>
    <n v="1"/>
    <m/>
    <d v="2021-01-22T00:00:00"/>
    <s v="TBA"/>
    <x v="27"/>
    <m/>
    <s v="JPY"/>
    <x v="337"/>
    <x v="90"/>
    <x v="1"/>
    <s v="L-&gt;R"/>
    <s v="No"/>
    <s v="WRONG"/>
  </r>
  <r>
    <n v="910"/>
    <s v="JAN 21"/>
    <s v="C49"/>
    <n v="110199"/>
    <s v="Stock order"/>
    <s v="YSM10"/>
    <s v="R-&gt;L"/>
    <s v="No"/>
    <m/>
    <n v="1"/>
    <m/>
    <d v="2021-01-22T00:00:00"/>
    <s v="TBA"/>
    <x v="27"/>
    <m/>
    <s v="JPY"/>
    <x v="337"/>
    <x v="90"/>
    <x v="1"/>
    <s v="L-&gt;R"/>
    <s v="No"/>
    <s v="WRONG"/>
  </r>
  <r>
    <m/>
    <s v="JAN 21"/>
    <s v="C49"/>
    <n v="110199"/>
    <s v="Stock order"/>
    <s v="YSM10"/>
    <s v="R-&gt;L"/>
    <s v="No"/>
    <m/>
    <n v="1"/>
    <m/>
    <d v="2021-01-22T00:00:00"/>
    <s v="TBA"/>
    <x v="27"/>
    <m/>
    <e v="#N/A"/>
    <x v="42"/>
    <x v="41"/>
    <x v="6"/>
    <e v="#N/A"/>
    <e v="#N/A"/>
    <e v="#N/A"/>
  </r>
  <r>
    <n v="917"/>
    <s v="JAN 21"/>
    <s v="C49"/>
    <n v="110199"/>
    <s v="Stock order"/>
    <s v="YSM10"/>
    <s v="R-&gt;L"/>
    <s v="No"/>
    <m/>
    <n v="1"/>
    <m/>
    <d v="2021-01-22T00:00:00"/>
    <s v="TBA"/>
    <x v="27"/>
    <m/>
    <s v="JPY"/>
    <x v="338"/>
    <x v="222"/>
    <x v="1"/>
    <s v="L-&gt;R"/>
    <s v="MVC"/>
    <s v="WRONG"/>
  </r>
  <r>
    <n v="918"/>
    <s v="JAN 21"/>
    <s v="C49"/>
    <n v="110199"/>
    <s v="Stock order"/>
    <s v="YSM10"/>
    <s v="R-&gt;L"/>
    <s v="No"/>
    <m/>
    <n v="1"/>
    <m/>
    <d v="2021-01-22T00:00:00"/>
    <s v="TBA"/>
    <x v="27"/>
    <m/>
    <s v="JPY"/>
    <x v="338"/>
    <x v="222"/>
    <x v="1"/>
    <s v="L-&gt;R"/>
    <s v="MVC"/>
    <s v="WRONG"/>
  </r>
  <r>
    <n v="989"/>
    <s v="JAN 21"/>
    <s v="C49"/>
    <n v="110201"/>
    <s v="Stock order"/>
    <s v="YSM10"/>
    <s v="R-&gt;L"/>
    <s v="No"/>
    <m/>
    <n v="1"/>
    <m/>
    <s v="2021/1/23，船期OK"/>
    <s v="TBA"/>
    <x v="27"/>
    <m/>
    <s v="JPY"/>
    <x v="339"/>
    <x v="223"/>
    <x v="1"/>
    <s v="L-&gt;R"/>
    <s v="MVC"/>
    <s v="WRONG"/>
  </r>
  <r>
    <n v="797"/>
    <s v="已发货"/>
    <s v="C28"/>
    <n v="110064"/>
    <s v="Stock order"/>
    <s v="R0625L"/>
    <s v="NO"/>
    <s v="No"/>
    <n v="6818"/>
    <n v="1"/>
    <m/>
    <d v="2020-09-05T00:00:00"/>
    <n v="7.8"/>
    <x v="23"/>
    <m/>
    <s v="RMB"/>
    <x v="340"/>
    <x v="224"/>
    <x v="15"/>
    <s v="No"/>
    <s v="No"/>
    <s v="OK"/>
  </r>
  <r>
    <m/>
    <s v="已发货"/>
    <s v="C28"/>
    <n v="110064"/>
    <s v="Stock order"/>
    <s v="R0625L"/>
    <s v="NO"/>
    <s v="No"/>
    <n v="6819"/>
    <n v="1"/>
    <m/>
    <d v="2020-09-05T00:00:00"/>
    <n v="7.8"/>
    <x v="30"/>
    <m/>
    <e v="#N/A"/>
    <x v="42"/>
    <x v="41"/>
    <x v="6"/>
    <e v="#N/A"/>
    <e v="#N/A"/>
    <e v="#N/A"/>
  </r>
  <r>
    <m/>
    <s v="已发货"/>
    <s v="C28"/>
    <n v="110064"/>
    <s v="Stock order"/>
    <s v="R0625L"/>
    <s v="NO"/>
    <s v="No"/>
    <n v="6820"/>
    <n v="1"/>
    <s v="力合中转仓"/>
    <d v="2020-09-05T00:00:00"/>
    <n v="7.8"/>
    <x v="23"/>
    <m/>
    <e v="#N/A"/>
    <x v="42"/>
    <x v="41"/>
    <x v="6"/>
    <e v="#N/A"/>
    <e v="#N/A"/>
    <e v="#N/A"/>
  </r>
  <r>
    <s v="力丰"/>
    <s v="已发货"/>
    <s v="C28"/>
    <n v="110064"/>
    <s v="Stock order"/>
    <s v="R0625L"/>
    <s v="NO"/>
    <s v="No"/>
    <n v="6821"/>
    <n v="1"/>
    <m/>
    <d v="2020-09-05T00:00:00"/>
    <n v="7.8"/>
    <x v="30"/>
    <m/>
    <e v="#N/A"/>
    <x v="42"/>
    <x v="41"/>
    <x v="6"/>
    <e v="#N/A"/>
    <e v="#N/A"/>
    <e v="#N/A"/>
  </r>
  <r>
    <m/>
    <s v="已经到货"/>
    <s v="C28"/>
    <n v="110064"/>
    <s v="Stock order"/>
    <s v="R0625L"/>
    <s v="NO"/>
    <s v="No"/>
    <n v="6822"/>
    <n v="1"/>
    <m/>
    <d v="2020-09-05T00:00:00"/>
    <n v="7.8"/>
    <x v="30"/>
    <m/>
    <e v="#N/A"/>
    <x v="42"/>
    <x v="41"/>
    <x v="6"/>
    <e v="#N/A"/>
    <e v="#N/A"/>
    <e v="#N/A"/>
  </r>
  <r>
    <m/>
    <s v="JAN 21"/>
    <s v="C49"/>
    <n v="110096"/>
    <s v="玥芯通名义下单"/>
    <s v="YSM10"/>
    <s v="R-&gt;L"/>
    <s v="No"/>
    <s v="Y53564"/>
    <n v="1"/>
    <m/>
    <d v="2021-01-22T00:00:00"/>
    <s v="TBA"/>
    <x v="30"/>
    <m/>
    <e v="#N/A"/>
    <x v="42"/>
    <x v="41"/>
    <x v="6"/>
    <e v="#N/A"/>
    <e v="#N/A"/>
    <e v="#N/A"/>
  </r>
  <r>
    <n v="991"/>
    <s v="JAN 21"/>
    <s v="C49"/>
    <s v="110096（拆单110241）"/>
    <s v="玥芯通名义下单"/>
    <s v="YSM10"/>
    <s v="R-&gt;L"/>
    <s v="No"/>
    <s v="Y53565"/>
    <n v="1"/>
    <m/>
    <d v="2021-01-22T00:00:00"/>
    <n v="6.3100000000000003E-2"/>
    <x v="31"/>
    <m/>
    <s v="RMB"/>
    <x v="341"/>
    <x v="225"/>
    <x v="1"/>
    <s v="L-&gt;R"/>
    <s v="MVC"/>
    <s v="WRONG"/>
  </r>
  <r>
    <n v="916"/>
    <s v="JAN 21"/>
    <s v="C49"/>
    <n v="110096"/>
    <s v="玥芯通名义下单"/>
    <s v="YSM10"/>
    <s v="R-&gt;L"/>
    <s v="MVC+ATS15"/>
    <s v="Y53566"/>
    <n v="1"/>
    <m/>
    <d v="2021-01-22T00:00:00"/>
    <s v="TBA"/>
    <x v="27"/>
    <m/>
    <s v="JPY"/>
    <x v="338"/>
    <x v="222"/>
    <x v="1"/>
    <s v="L-&gt;R"/>
    <s v="MVC+ATS15"/>
    <s v="WRONG"/>
  </r>
  <r>
    <n v="926"/>
    <s v="JAN 21"/>
    <s v="C49"/>
    <n v="110096"/>
    <s v="玥芯通名义下单"/>
    <s v="YSM10"/>
    <s v="R-&gt;L"/>
    <s v="MVC+ATS15"/>
    <s v="Y53567"/>
    <n v="1"/>
    <m/>
    <d v="2021-01-22T00:00:00"/>
    <s v="TBA"/>
    <x v="27"/>
    <m/>
    <s v="JPY"/>
    <x v="283"/>
    <x v="194"/>
    <x v="1"/>
    <s v="L-&gt;R"/>
    <s v="MVC+ATS15"/>
    <s v="WRONG"/>
  </r>
  <r>
    <n v="955"/>
    <s v="JAN 21"/>
    <s v="C49"/>
    <n v="110096"/>
    <s v="玥芯通名义下单"/>
    <s v="YSM10"/>
    <s v="R-&gt;L"/>
    <s v="MVC+ATS15"/>
    <s v="Y53568"/>
    <n v="1"/>
    <m/>
    <d v="2021-01-22T00:00:00"/>
    <s v="TBA"/>
    <x v="31"/>
    <m/>
    <s v="JPY"/>
    <x v="342"/>
    <x v="226"/>
    <x v="1"/>
    <s v="L-&gt;R"/>
    <s v="No"/>
    <s v="WRONG"/>
  </r>
  <r>
    <n v="909"/>
    <s v="JAN 21"/>
    <s v="C49"/>
    <n v="110123"/>
    <s v="Stock order"/>
    <s v="YSM20R-2"/>
    <s v="L-&gt;R"/>
    <s v="No"/>
    <m/>
    <n v="1"/>
    <m/>
    <s v="2021/1/23，船期OK"/>
    <s v="TBA"/>
    <x v="27"/>
    <m/>
    <s v="JPY"/>
    <x v="337"/>
    <x v="90"/>
    <x v="12"/>
    <s v="L-&gt;R"/>
    <s v="No"/>
    <s v="OK"/>
  </r>
  <r>
    <s v="上海预留"/>
    <s v="TBA"/>
    <s v="C49"/>
    <n v="110230"/>
    <s v="玥芯通名义下单"/>
    <s v="YSM10"/>
    <s v="R-&gt;L"/>
    <s v="MVC+ATS15"/>
    <s v="Y53569"/>
    <n v="1"/>
    <m/>
    <s v="2021-2-3等Shen回复"/>
    <s v="TBA"/>
    <x v="30"/>
    <m/>
    <e v="#N/A"/>
    <x v="42"/>
    <x v="41"/>
    <x v="6"/>
    <e v="#N/A"/>
    <e v="#N/A"/>
    <e v="#N/A"/>
  </r>
  <r>
    <s v="上海预留。"/>
    <s v="TBA"/>
    <s v="C49"/>
    <n v="110230"/>
    <s v="玥芯通名义下单"/>
    <s v="YSM10"/>
    <s v="R-&gt;L"/>
    <s v="MVC+ATS15"/>
    <s v="Y53570"/>
    <n v="1"/>
    <m/>
    <s v="2021-2-3等Shen回复"/>
    <s v="TBA"/>
    <x v="30"/>
    <m/>
    <e v="#N/A"/>
    <x v="42"/>
    <x v="41"/>
    <x v="6"/>
    <e v="#N/A"/>
    <e v="#N/A"/>
    <e v="#N/A"/>
  </r>
  <r>
    <n v="969"/>
    <s v="FEB 21"/>
    <s v="C49"/>
    <s v="110235（拆单110242）"/>
    <s v="Stock order"/>
    <s v="YSM20R-2"/>
    <s v="L-&gt;R"/>
    <s v="No"/>
    <m/>
    <n v="1"/>
    <m/>
    <s v="2021/2/6,船期OK"/>
    <s v="TBA"/>
    <x v="31"/>
    <m/>
    <s v="JPY"/>
    <x v="329"/>
    <x v="156"/>
    <x v="12"/>
    <s v="L-&gt;R"/>
    <s v="No"/>
    <s v="OK"/>
  </r>
  <r>
    <n v="990"/>
    <s v="FEB 21"/>
    <s v="C49"/>
    <n v="110235"/>
    <s v="Stock order"/>
    <s v="YSM20R-2"/>
    <s v="L-&gt;R"/>
    <s v="No"/>
    <m/>
    <n v="1"/>
    <m/>
    <s v="2021/2/6,船期OK"/>
    <n v="6.3100000000000003E-2"/>
    <x v="31"/>
    <m/>
    <s v="RMB"/>
    <x v="341"/>
    <x v="225"/>
    <x v="12"/>
    <s v="L-&gt;R"/>
    <s v="No"/>
    <s v="OK"/>
  </r>
  <r>
    <n v="943"/>
    <s v="FEB 21"/>
    <s v="C49"/>
    <n v="110235"/>
    <s v="Stock order"/>
    <s v="YSM20R-2"/>
    <s v="L-&gt;R"/>
    <s v="No"/>
    <m/>
    <n v="1"/>
    <m/>
    <s v="2021/2/6,船期OK"/>
    <n v="6.3100000000000003E-2"/>
    <x v="31"/>
    <m/>
    <s v="RMB"/>
    <x v="343"/>
    <x v="227"/>
    <x v="12"/>
    <s v="L-&gt;R"/>
    <s v="No"/>
    <s v="OK"/>
  </r>
  <r>
    <n v="944"/>
    <s v="FEB 21"/>
    <s v="C49"/>
    <n v="110235"/>
    <s v="Stock order"/>
    <s v="YSM20R-2"/>
    <s v="L-&gt;R"/>
    <s v="No"/>
    <m/>
    <n v="1"/>
    <m/>
    <s v="2021/2/6,船期OK"/>
    <n v="6.3100000000000003E-2"/>
    <x v="31"/>
    <m/>
    <s v="RMB"/>
    <x v="343"/>
    <x v="227"/>
    <x v="12"/>
    <s v="L-&gt;R"/>
    <s v="MVC"/>
    <s v="WRONG"/>
  </r>
  <r>
    <n v="899"/>
    <s v="FEB 21"/>
    <s v="C49"/>
    <n v="110132"/>
    <s v="Stock order"/>
    <s v="YSM20R-2"/>
    <s v="L-&gt;R"/>
    <s v="No"/>
    <m/>
    <n v="1"/>
    <m/>
    <s v="2020/2/6,船期OK"/>
    <s v="TBA"/>
    <x v="31"/>
    <m/>
    <s v="JPY"/>
    <x v="344"/>
    <x v="228"/>
    <x v="12"/>
    <s v="L-&gt;R"/>
    <s v="MVC"/>
    <s v="WRONG"/>
  </r>
  <r>
    <n v="900"/>
    <s v="FEB 21"/>
    <s v="C49"/>
    <n v="110132"/>
    <s v="Stock order"/>
    <s v="YSM20R-2"/>
    <s v="L-&gt;R"/>
    <s v="No"/>
    <m/>
    <n v="1"/>
    <m/>
    <s v="2020/2/6,船期OK"/>
    <s v="TBA"/>
    <x v="31"/>
    <m/>
    <s v="JPY"/>
    <x v="344"/>
    <x v="228"/>
    <x v="12"/>
    <s v="L-&gt;R"/>
    <s v="MVC"/>
    <s v="WRONG"/>
  </r>
  <r>
    <n v="945"/>
    <s v="FEB 21"/>
    <s v="C49"/>
    <n v="110132"/>
    <s v="Stock order"/>
    <s v="YSM20R-2"/>
    <s v="L-&gt;R"/>
    <s v="No"/>
    <m/>
    <n v="1"/>
    <m/>
    <s v="2020/2/6,船期OK"/>
    <s v="TBA"/>
    <x v="31"/>
    <m/>
    <s v="JPY"/>
    <x v="342"/>
    <x v="226"/>
    <x v="12"/>
    <s v="L-&gt;R"/>
    <s v="No"/>
    <s v="OK"/>
  </r>
  <r>
    <n v="978"/>
    <s v="FEB 21"/>
    <s v="C49"/>
    <n v="110132"/>
    <s v="Stock order"/>
    <s v="YSM20R-2"/>
    <s v="R-&gt;L"/>
    <s v="No"/>
    <m/>
    <n v="1"/>
    <m/>
    <s v="2020/2/6,船期OK"/>
    <s v="TBA"/>
    <x v="31"/>
    <m/>
    <s v="JPY"/>
    <x v="345"/>
    <x v="183"/>
    <x v="12"/>
    <s v="R-&gt;L"/>
    <s v="No"/>
    <s v="OK"/>
  </r>
  <r>
    <n v="956"/>
    <s v="FEB 21"/>
    <s v="C49"/>
    <n v="110130"/>
    <s v="Stock order"/>
    <s v="YSM10"/>
    <s v="R-&gt;L"/>
    <s v="No"/>
    <m/>
    <n v="1"/>
    <m/>
    <s v="2021/2/6，船期OK"/>
    <s v="TBA"/>
    <x v="31"/>
    <m/>
    <s v="JPY"/>
    <x v="342"/>
    <x v="226"/>
    <x v="1"/>
    <s v="L-&gt;R"/>
    <s v="No"/>
    <s v="WRONG"/>
  </r>
  <r>
    <n v="957"/>
    <s v="FEB 21"/>
    <s v="C49"/>
    <n v="110130"/>
    <s v="Stock order"/>
    <s v="YSM10"/>
    <s v="R-&gt;L"/>
    <s v="No"/>
    <m/>
    <n v="1"/>
    <m/>
    <s v="2021/2/6，船期OK"/>
    <s v="TBA"/>
    <x v="31"/>
    <m/>
    <s v="JPY"/>
    <x v="342"/>
    <x v="226"/>
    <x v="1"/>
    <s v="L-&gt;R"/>
    <s v="No"/>
    <s v="WRONG"/>
  </r>
  <r>
    <n v="992"/>
    <s v="FEB 21"/>
    <s v="C49"/>
    <n v="110130"/>
    <s v="Stock order"/>
    <s v="YSM10"/>
    <s v="R-&gt;L"/>
    <s v="No"/>
    <m/>
    <n v="1"/>
    <m/>
    <s v="2021/2/6，船期OK"/>
    <s v="TBA"/>
    <x v="31"/>
    <m/>
    <s v="JPY"/>
    <x v="346"/>
    <x v="229"/>
    <x v="1"/>
    <s v="L-&gt;R"/>
    <s v="Rear站位"/>
    <s v="WRONG"/>
  </r>
  <r>
    <n v="993"/>
    <s v="FEB 21"/>
    <s v="C49"/>
    <n v="110130"/>
    <s v="Stock order"/>
    <s v="YSM10"/>
    <s v="R-&gt;L"/>
    <s v="No"/>
    <m/>
    <n v="1"/>
    <m/>
    <s v="2021/2/6，船期OK"/>
    <s v="TBA"/>
    <x v="31"/>
    <m/>
    <s v="JPY"/>
    <x v="346"/>
    <x v="229"/>
    <x v="1"/>
    <s v="L-&gt;R"/>
    <s v="No"/>
    <s v="WRONG"/>
  </r>
  <r>
    <n v="977"/>
    <s v="FEB 21"/>
    <s v="C49"/>
    <n v="110130"/>
    <s v="Stock order"/>
    <s v="YSM10"/>
    <s v="R-&gt;L"/>
    <s v="No"/>
    <m/>
    <n v="1"/>
    <m/>
    <s v="2021/2/6，船期OK"/>
    <s v="TBA"/>
    <x v="31"/>
    <m/>
    <s v="JPY"/>
    <x v="347"/>
    <x v="230"/>
    <x v="1"/>
    <s v="L-&gt;R"/>
    <s v="No"/>
    <s v="WRONG"/>
  </r>
  <r>
    <n v="946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2"/>
    <x v="226"/>
    <x v="12"/>
    <s v="L-&gt;R"/>
    <s v="No"/>
    <s v="OK"/>
  </r>
  <r>
    <n v="947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2"/>
    <x v="226"/>
    <x v="12"/>
    <s v="L-&gt;R"/>
    <s v="No"/>
    <s v="OK"/>
  </r>
  <r>
    <n v="1045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8"/>
    <x v="231"/>
    <x v="12"/>
    <s v="L-&gt;R"/>
    <s v="No"/>
    <s v="OK"/>
  </r>
  <r>
    <n v="1014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9"/>
    <x v="232"/>
    <x v="12"/>
    <s v="L-&gt;R"/>
    <s v="No"/>
    <s v="OK"/>
  </r>
  <r>
    <n v="1015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9"/>
    <x v="232"/>
    <x v="12"/>
    <s v="L-&gt;R"/>
    <s v="No"/>
    <s v="OK"/>
  </r>
  <r>
    <n v="940"/>
    <s v="TBA"/>
    <s v="C49"/>
    <n v="110131"/>
    <s v="Stock order"/>
    <s v="YSM10"/>
    <s v="R-&gt;L"/>
    <s v="No"/>
    <m/>
    <n v="1"/>
    <m/>
    <s v="Ex-work 1/20"/>
    <s v="TBA"/>
    <x v="31"/>
    <m/>
    <s v="JPY"/>
    <x v="350"/>
    <x v="233"/>
    <x v="1"/>
    <s v="L-&gt;R"/>
    <s v="MVC"/>
    <s v="WRONG"/>
  </r>
  <r>
    <n v="941"/>
    <s v="TBA"/>
    <s v="C49"/>
    <n v="110131"/>
    <s v="Stock order"/>
    <s v="YSM10"/>
    <s v="R-&gt;L"/>
    <s v="No"/>
    <m/>
    <n v="1"/>
    <m/>
    <s v="Ex-work 1/20"/>
    <s v="TBA"/>
    <x v="31"/>
    <m/>
    <s v="JPY"/>
    <x v="350"/>
    <x v="233"/>
    <x v="1"/>
    <s v="L-&gt;R"/>
    <s v="MVC"/>
    <s v="WRONG"/>
  </r>
  <r>
    <n v="942"/>
    <s v="TBA"/>
    <s v="C49"/>
    <n v="110131"/>
    <s v="Stock order"/>
    <s v="YSM10"/>
    <s v="R-&gt;L"/>
    <s v="No"/>
    <m/>
    <n v="1"/>
    <m/>
    <s v="Ex-work 1/20"/>
    <s v="TBA"/>
    <x v="31"/>
    <m/>
    <s v="JPY"/>
    <x v="350"/>
    <x v="233"/>
    <x v="1"/>
    <s v="R-&gt;L"/>
    <s v="No"/>
    <s v="OK"/>
  </r>
  <r>
    <n v="983"/>
    <s v="TBA"/>
    <s v="C49"/>
    <n v="110131"/>
    <s v="Stock order"/>
    <s v="YSM10"/>
    <s v="R-&gt;L"/>
    <s v="No"/>
    <m/>
    <n v="1"/>
    <m/>
    <s v="Ex-work 1/20"/>
    <s v="TBA"/>
    <x v="31"/>
    <m/>
    <s v="JPY"/>
    <x v="351"/>
    <x v="233"/>
    <x v="1"/>
    <s v="R-&gt;L"/>
    <s v="No"/>
    <s v="OK"/>
  </r>
  <r>
    <n v="973"/>
    <s v="TBA"/>
    <s v="C49"/>
    <n v="110131"/>
    <s v="Stock order"/>
    <s v="YSM10"/>
    <s v="R-&gt;L"/>
    <s v="No"/>
    <m/>
    <n v="1"/>
    <m/>
    <s v="Ex-work 1/21"/>
    <s v="TBA"/>
    <x v="31"/>
    <m/>
    <s v="JPY"/>
    <x v="329"/>
    <x v="156"/>
    <x v="1"/>
    <s v="R-&gt;L"/>
    <s v="MVC"/>
    <s v="WRONG"/>
  </r>
  <r>
    <n v="974"/>
    <s v="TBA"/>
    <s v="C49"/>
    <n v="110150"/>
    <s v="Stock order"/>
    <s v="YSM10"/>
    <s v="R-&gt;L"/>
    <s v="No"/>
    <m/>
    <n v="1"/>
    <m/>
    <s v="ex work 1/21"/>
    <s v="TBA"/>
    <x v="31"/>
    <m/>
    <s v="JPY"/>
    <x v="329"/>
    <x v="156"/>
    <x v="1"/>
    <s v="R-&gt;L"/>
    <s v="MVC"/>
    <s v="WRONG"/>
  </r>
  <r>
    <n v="975"/>
    <s v="TBA"/>
    <s v="C49"/>
    <n v="110150"/>
    <s v="Stock order"/>
    <s v="YSM10"/>
    <s v="R-&gt;L"/>
    <s v="No"/>
    <m/>
    <n v="1"/>
    <m/>
    <s v="ex work 1/21"/>
    <s v="TBA"/>
    <x v="31"/>
    <m/>
    <s v="JPY"/>
    <x v="329"/>
    <x v="156"/>
    <x v="1"/>
    <s v="R-&gt;L"/>
    <s v="MVC"/>
    <s v="WRONG"/>
  </r>
  <r>
    <n v="984"/>
    <s v="TBA"/>
    <s v="C49"/>
    <n v="110150"/>
    <s v="Stock order"/>
    <s v="YSM10"/>
    <s v="R-&gt;L"/>
    <s v="No"/>
    <m/>
    <n v="1"/>
    <m/>
    <s v="ex work 1/21"/>
    <s v="TBA"/>
    <x v="31"/>
    <m/>
    <s v="JPY"/>
    <x v="352"/>
    <x v="65"/>
    <x v="1"/>
    <s v="L-&gt;R"/>
    <s v="MVC"/>
    <s v="WRONG"/>
  </r>
  <r>
    <n v="985"/>
    <s v="TBA"/>
    <s v="C49"/>
    <n v="110150"/>
    <s v="Stock order"/>
    <s v="YSM10"/>
    <s v="R-&gt;L"/>
    <s v="No"/>
    <m/>
    <n v="1"/>
    <m/>
    <s v="ex work 1/21"/>
    <s v="TBA"/>
    <x v="31"/>
    <m/>
    <s v="JPY"/>
    <x v="352"/>
    <x v="65"/>
    <x v="1"/>
    <s v="L-&gt;R"/>
    <s v="MVC"/>
    <s v="WRONG"/>
  </r>
  <r>
    <n v="981"/>
    <s v="TBA"/>
    <s v="C49"/>
    <n v="110150"/>
    <s v="Stock order"/>
    <s v="YSM10"/>
    <s v="R-&gt;L"/>
    <s v="No"/>
    <m/>
    <n v="1"/>
    <m/>
    <s v="ex work 2/8"/>
    <s v="TBA"/>
    <x v="31"/>
    <m/>
    <s v="JPY"/>
    <x v="353"/>
    <x v="132"/>
    <x v="1"/>
    <s v="R-&gt;L"/>
    <s v="MVC"/>
    <s v="WRONG"/>
  </r>
  <r>
    <m/>
    <s v="TBA"/>
    <s v="C49"/>
    <s v="110151(拆分110270）"/>
    <s v="Stock order"/>
    <s v="YSM10"/>
    <s v="R-&gt;L"/>
    <s v="No"/>
    <m/>
    <n v="1"/>
    <m/>
    <s v="ex work 2021/2/8"/>
    <n v="6.3200000000000006E-2"/>
    <x v="30"/>
    <m/>
    <e v="#N/A"/>
    <x v="42"/>
    <x v="41"/>
    <x v="6"/>
    <e v="#N/A"/>
    <e v="#N/A"/>
    <e v="#N/A"/>
  </r>
  <r>
    <m/>
    <s v="TBA"/>
    <s v="C49"/>
    <s v="110151(拆分110270）"/>
    <s v="Stock order"/>
    <s v="YSM10"/>
    <s v="R-&gt;L"/>
    <s v="No"/>
    <m/>
    <n v="1"/>
    <m/>
    <s v="ex work 2021/2/8"/>
    <n v="6.3200000000000006E-2"/>
    <x v="30"/>
    <m/>
    <e v="#N/A"/>
    <x v="42"/>
    <x v="41"/>
    <x v="6"/>
    <e v="#N/A"/>
    <e v="#N/A"/>
    <e v="#N/A"/>
  </r>
  <r>
    <n v="958"/>
    <s v="TBA"/>
    <s v="C49"/>
    <n v="110151"/>
    <s v="Stock order"/>
    <s v="YSM10"/>
    <s v="R-&gt;L"/>
    <s v="No"/>
    <m/>
    <n v="1"/>
    <m/>
    <s v="ex work 2021/2/8"/>
    <s v="TBA"/>
    <x v="32"/>
    <m/>
    <s v="JPY"/>
    <x v="342"/>
    <x v="226"/>
    <x v="1"/>
    <s v="L-&gt;R"/>
    <s v="No"/>
    <s v="WRONG"/>
  </r>
  <r>
    <n v="959"/>
    <s v="TBA"/>
    <s v="C49"/>
    <n v="110151"/>
    <s v="Stock order"/>
    <s v="YSM10"/>
    <s v="R-&gt;L"/>
    <s v="No"/>
    <m/>
    <n v="1"/>
    <m/>
    <s v="ex work 2021/2/8"/>
    <s v="TBA"/>
    <x v="32"/>
    <m/>
    <s v="JPY"/>
    <x v="342"/>
    <x v="226"/>
    <x v="1"/>
    <s v="L-&gt;R"/>
    <s v="No"/>
    <s v="WRONG"/>
  </r>
  <r>
    <n v="1016"/>
    <s v="TBA"/>
    <s v="C49"/>
    <n v="110151"/>
    <s v="Stock order"/>
    <s v="YSM10"/>
    <s v="R-&gt;L"/>
    <s v="ATS15"/>
    <m/>
    <n v="1"/>
    <m/>
    <s v="ex work 2021/2/8"/>
    <s v="TBA"/>
    <x v="31"/>
    <m/>
    <s v="JPY"/>
    <x v="349"/>
    <x v="232"/>
    <x v="1"/>
    <s v="L-&gt;R"/>
    <s v="cATS10+MVC"/>
    <s v="WRONG"/>
  </r>
  <r>
    <n v="970"/>
    <s v="TBA"/>
    <s v="C49"/>
    <n v="110152"/>
    <s v="Stock order"/>
    <s v="YSM20R-2"/>
    <s v="R-&gt;L"/>
    <s v="MVC"/>
    <m/>
    <n v="1"/>
    <m/>
    <s v="TBA"/>
    <s v="TBA"/>
    <x v="31"/>
    <m/>
    <s v="JPY"/>
    <x v="329"/>
    <x v="156"/>
    <x v="12"/>
    <s v="R-&gt;L"/>
    <s v="No"/>
    <s v="WRONG"/>
  </r>
  <r>
    <n v="971"/>
    <s v="TBA"/>
    <s v="C49"/>
    <n v="110152"/>
    <s v="Stock order"/>
    <s v="YSM20R-2"/>
    <s v="R-&gt;L"/>
    <s v="MVC"/>
    <m/>
    <n v="1"/>
    <m/>
    <s v="TBA"/>
    <s v="TBA"/>
    <x v="31"/>
    <m/>
    <s v="JPY"/>
    <x v="329"/>
    <x v="156"/>
    <x v="12"/>
    <s v="R-&gt;L"/>
    <s v="No"/>
    <s v="WRONG"/>
  </r>
  <r>
    <n v="987"/>
    <s v="TBA"/>
    <s v="C49"/>
    <n v="110152"/>
    <s v="Stock order"/>
    <s v="YSM20R-2"/>
    <s v="L-&gt;R"/>
    <s v="cATS10+MVC+special layout"/>
    <m/>
    <n v="1"/>
    <m/>
    <s v="TBA"/>
    <s v="TBA"/>
    <x v="31"/>
    <m/>
    <s v="JPY"/>
    <x v="282"/>
    <x v="20"/>
    <x v="12"/>
    <s v="L-&gt;R"/>
    <s v="cATS10+MVC"/>
    <s v="WRONG"/>
  </r>
  <r>
    <m/>
    <s v="TBA"/>
    <s v="C49"/>
    <n v="110152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n v="951"/>
    <s v="TBA"/>
    <s v="C49"/>
    <n v="110152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52"/>
    <s v="TBA"/>
    <s v="C49"/>
    <n v="110153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53"/>
    <s v="TBA"/>
    <s v="C49"/>
    <n v="110153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54"/>
    <s v="TBA"/>
    <s v="C49"/>
    <n v="110153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88"/>
    <s v="TBA"/>
    <s v="C49"/>
    <n v="110153"/>
    <s v="Stock order"/>
    <s v="YSM20R-2"/>
    <s v="L-&gt;R"/>
    <s v="No"/>
    <m/>
    <n v="1"/>
    <m/>
    <s v="TBA"/>
    <s v="TBA"/>
    <x v="31"/>
    <m/>
    <s v="JPY"/>
    <x v="282"/>
    <x v="20"/>
    <x v="12"/>
    <s v="L-&gt;R"/>
    <s v="No"/>
    <s v="OK"/>
  </r>
  <r>
    <n v="948"/>
    <s v="TBA"/>
    <s v="C49"/>
    <n v="110153"/>
    <s v="Stock order"/>
    <s v="YSM20R-2"/>
    <s v="L-&gt;R"/>
    <s v="No"/>
    <m/>
    <n v="1"/>
    <m/>
    <s v="TBA"/>
    <s v="TBA"/>
    <x v="32"/>
    <m/>
    <s v="JPY"/>
    <x v="342"/>
    <x v="226"/>
    <x v="12"/>
    <s v="L-&gt;R"/>
    <s v="No"/>
    <s v="OK"/>
  </r>
  <r>
    <m/>
    <s v="TBA"/>
    <s v="C49"/>
    <s v="110172（拆分PO110275)"/>
    <s v="Stock order(reserved by Leader Tech)"/>
    <s v="YSM10"/>
    <s v="R-&gt;L"/>
    <s v="No"/>
    <m/>
    <n v="1"/>
    <m/>
    <s v="ex work 2021/2/2"/>
    <n v="6.3E-2"/>
    <x v="30"/>
    <m/>
    <e v="#N/A"/>
    <x v="42"/>
    <x v="41"/>
    <x v="6"/>
    <e v="#N/A"/>
    <e v="#N/A"/>
    <e v="#N/A"/>
  </r>
  <r>
    <m/>
    <s v="TBA"/>
    <s v="C49"/>
    <s v="110172（拆分PO110275)"/>
    <s v="Stock order(reserved by Leader Tech)"/>
    <s v="YSM10"/>
    <s v="R-&gt;L"/>
    <s v="No"/>
    <m/>
    <n v="1"/>
    <m/>
    <s v="ex work 2021/2/2"/>
    <n v="6.3E-2"/>
    <x v="30"/>
    <m/>
    <e v="#N/A"/>
    <x v="42"/>
    <x v="41"/>
    <x v="6"/>
    <e v="#N/A"/>
    <e v="#N/A"/>
    <e v="#N/A"/>
  </r>
  <r>
    <n v="1022"/>
    <s v="TBA"/>
    <s v="C49"/>
    <n v="110172"/>
    <s v="Stock order(reserved by Leader Tech)"/>
    <s v="YSM10"/>
    <s v="R-&gt;L"/>
    <s v="No"/>
    <m/>
    <n v="1"/>
    <m/>
    <s v="ex work 2021/2/2"/>
    <s v="TBA"/>
    <x v="32"/>
    <m/>
    <s v="JPY"/>
    <x v="354"/>
    <x v="234"/>
    <x v="1"/>
    <s v="L-&gt;R"/>
    <s v="No"/>
    <s v="WRONG"/>
  </r>
  <r>
    <n v="1023"/>
    <s v="TBA"/>
    <s v="C49"/>
    <n v="110172"/>
    <s v="Stock order(reserved by Leader Tech)"/>
    <s v="YSM10"/>
    <s v="R-&gt;L"/>
    <s v="No"/>
    <m/>
    <n v="1"/>
    <m/>
    <s v="ex work 2021/2/2"/>
    <s v="TBA"/>
    <x v="32"/>
    <m/>
    <s v="JPY"/>
    <x v="354"/>
    <x v="234"/>
    <x v="1"/>
    <s v="L-&gt;R"/>
    <s v="No"/>
    <s v="WRONG"/>
  </r>
  <r>
    <n v="1024"/>
    <s v="TBA"/>
    <s v="C49"/>
    <n v="110172"/>
    <s v="Stock order(reserved by Leader Tech)"/>
    <s v="YSM10"/>
    <s v="R-&gt;L"/>
    <s v="No"/>
    <m/>
    <n v="1"/>
    <m/>
    <s v="ex work 2021/2/2"/>
    <s v="TBA"/>
    <x v="32"/>
    <m/>
    <s v="JPY"/>
    <x v="354"/>
    <x v="234"/>
    <x v="1"/>
    <s v="R-&gt;L"/>
    <s v="No"/>
    <s v="OK"/>
  </r>
  <r>
    <n v="1025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4"/>
    <x v="234"/>
    <x v="1"/>
    <s v="R-&gt;L"/>
    <s v="No"/>
    <s v="OK"/>
  </r>
  <r>
    <n v="1000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5"/>
    <x v="181"/>
    <x v="1"/>
    <s v="L-&gt;R"/>
    <s v="MVC"/>
    <s v="WRONG"/>
  </r>
  <r>
    <n v="1001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5"/>
    <x v="181"/>
    <x v="1"/>
    <s v="L-&gt;R"/>
    <s v="MVC"/>
    <s v="WRONG"/>
  </r>
  <r>
    <n v="1004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6"/>
    <x v="22"/>
    <x v="1"/>
    <s v="L-&gt;R"/>
    <s v="MVC"/>
    <s v="WRONG"/>
  </r>
  <r>
    <n v="1005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6"/>
    <x v="22"/>
    <x v="1"/>
    <s v="L-&gt;R"/>
    <s v="MVC"/>
    <s v="WRONG"/>
  </r>
  <r>
    <n v="998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5"/>
    <x v="181"/>
    <x v="12"/>
    <s v="L-&gt;R"/>
    <s v="No"/>
    <s v="OK"/>
  </r>
  <r>
    <n v="999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5"/>
    <x v="181"/>
    <x v="12"/>
    <s v="L-&gt;R"/>
    <s v="No"/>
    <s v="OK"/>
  </r>
  <r>
    <n v="1002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6"/>
    <x v="22"/>
    <x v="12"/>
    <s v="L-&gt;R"/>
    <s v="No"/>
    <s v="OK"/>
  </r>
  <r>
    <n v="1003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6"/>
    <x v="22"/>
    <x v="12"/>
    <s v="L-&gt;R"/>
    <s v="No"/>
    <s v="OK"/>
  </r>
  <r>
    <m/>
    <s v="TBA"/>
    <s v="C49"/>
    <n v="110174"/>
    <s v="Stock order(reserved by Leader Tech)"/>
    <s v="YSM20R-2"/>
    <s v="L-&gt;R"/>
    <s v="No"/>
    <m/>
    <n v="1"/>
    <m/>
    <s v="ex work 1/19"/>
    <s v="TBA"/>
    <x v="30"/>
    <m/>
    <e v="#N/A"/>
    <x v="42"/>
    <x v="41"/>
    <x v="6"/>
    <e v="#N/A"/>
    <e v="#N/A"/>
    <e v="#N/A"/>
  </r>
  <r>
    <n v="949"/>
    <s v="TBA"/>
    <s v="C49"/>
    <n v="110175"/>
    <s v="Stock order(reserved by Leader Tech)"/>
    <s v="YSM20R-2"/>
    <s v="L-&gt;R"/>
    <s v="No"/>
    <m/>
    <n v="1"/>
    <m/>
    <s v="ex work 1/20"/>
    <s v="TBA"/>
    <x v="32"/>
    <m/>
    <s v="JPY"/>
    <x v="342"/>
    <x v="226"/>
    <x v="12"/>
    <s v="L-&gt;R"/>
    <s v="No"/>
    <s v="OK"/>
  </r>
  <r>
    <n v="950"/>
    <s v="TBA"/>
    <s v="C49"/>
    <n v="110175"/>
    <s v="Stock order(reserved by Leader Tech)"/>
    <s v="YSM20R-2"/>
    <s v="L-&gt;R"/>
    <s v="No"/>
    <m/>
    <n v="1"/>
    <m/>
    <s v="ex work 1/21"/>
    <s v="TBA"/>
    <x v="32"/>
    <m/>
    <s v="JPY"/>
    <x v="342"/>
    <x v="226"/>
    <x v="12"/>
    <s v="L-&gt;R"/>
    <s v="No"/>
    <s v="OK"/>
  </r>
  <r>
    <n v="1018"/>
    <s v="TBA"/>
    <s v="C49"/>
    <n v="110175"/>
    <s v="Stock order(reserved by Leader Tech)"/>
    <s v="YSM20R-2"/>
    <s v="L-&gt;R"/>
    <s v="No"/>
    <m/>
    <n v="1"/>
    <m/>
    <s v="ex work 1/21"/>
    <s v="TBA"/>
    <x v="32"/>
    <m/>
    <s v="JPY"/>
    <x v="357"/>
    <x v="235"/>
    <x v="12"/>
    <s v="L-&gt;R"/>
    <s v="No"/>
    <s v="OK"/>
  </r>
  <r>
    <n v="1042"/>
    <s v="TBA"/>
    <s v="C49"/>
    <n v="110175"/>
    <s v="Stock order(reserved by Leader Tech)"/>
    <s v="YSM20R-2"/>
    <s v="L-&gt;R"/>
    <s v="No"/>
    <m/>
    <n v="1"/>
    <m/>
    <s v="ex work 1/22"/>
    <s v="TBA"/>
    <x v="32"/>
    <m/>
    <s v="JPY"/>
    <x v="358"/>
    <x v="90"/>
    <x v="12"/>
    <s v="L-&gt;R"/>
    <s v="MVC"/>
    <s v="WRONG"/>
  </r>
  <r>
    <n v="1057"/>
    <s v="TBA"/>
    <s v="C49"/>
    <n v="110175"/>
    <s v="Stock order(reserved by Leader Tech)"/>
    <s v="YSM20R-2"/>
    <s v="L-&gt;R"/>
    <s v="No"/>
    <m/>
    <n v="1"/>
    <m/>
    <s v="ex work 1/22"/>
    <s v="TBA"/>
    <x v="30"/>
    <m/>
    <s v="JPY"/>
    <x v="359"/>
    <x v="157"/>
    <x v="12"/>
    <s v="L-&gt;R"/>
    <s v="No"/>
    <s v="OK"/>
  </r>
  <r>
    <n v="1058"/>
    <s v="TBA"/>
    <s v="C49"/>
    <n v="110176"/>
    <s v="Stock order(reserved by Leader Tech)"/>
    <s v="YSM20R-2"/>
    <s v="L-&gt;R"/>
    <s v="No"/>
    <m/>
    <n v="1"/>
    <m/>
    <s v="ex work 2/4"/>
    <s v="TBA"/>
    <x v="30"/>
    <m/>
    <s v="JPY"/>
    <x v="360"/>
    <x v="16"/>
    <x v="12"/>
    <s v="L-&gt;R"/>
    <s v="No"/>
    <s v="OK"/>
  </r>
  <r>
    <n v="982"/>
    <s v="TBA"/>
    <s v="C49"/>
    <n v="110176"/>
    <s v="Stock order(reserved by Leader Tech)"/>
    <s v="YSM20R-2"/>
    <s v="R-&gt;L"/>
    <s v="No"/>
    <m/>
    <n v="1"/>
    <m/>
    <s v="ex work 2/5"/>
    <s v="TBA"/>
    <x v="31"/>
    <m/>
    <s v="JPY"/>
    <x v="361"/>
    <x v="92"/>
    <x v="12"/>
    <s v="R-&gt;L"/>
    <s v="No"/>
    <s v="OK"/>
  </r>
  <r>
    <n v="980"/>
    <s v="TBA"/>
    <s v="C49"/>
    <n v="110176"/>
    <s v="Stock order(reserved by Leader Tech)"/>
    <s v="YSM20R-2"/>
    <s v="R-&gt;L"/>
    <s v="No"/>
    <m/>
    <n v="1"/>
    <m/>
    <s v="ex work 2/5"/>
    <s v="TBA"/>
    <x v="31"/>
    <m/>
    <s v="JPY"/>
    <x v="353"/>
    <x v="132"/>
    <x v="12"/>
    <s v="R-&gt;L"/>
    <s v="MVC"/>
    <s v="WRONG"/>
  </r>
  <r>
    <n v="979"/>
    <s v="TBA"/>
    <s v="C49"/>
    <n v="110176"/>
    <s v="Stock order(reserved by Leader Tech)"/>
    <s v="YSM20R-2"/>
    <s v="L-&gt;R"/>
    <s v="No"/>
    <m/>
    <n v="1"/>
    <m/>
    <s v="ex work 2/5"/>
    <s v="TBA"/>
    <x v="31"/>
    <m/>
    <s v="JPY"/>
    <x v="353"/>
    <x v="132"/>
    <x v="12"/>
    <s v="L-&gt;R"/>
    <s v="No"/>
    <s v="OK"/>
  </r>
  <r>
    <n v="1020"/>
    <s v="TBA"/>
    <s v="C49"/>
    <n v="110176"/>
    <s v="Stock order(reserved by Leader Tech)"/>
    <s v="YSM20R-2"/>
    <s v="L-&gt;R"/>
    <s v="No"/>
    <m/>
    <n v="1"/>
    <m/>
    <s v="ex work 2/5"/>
    <s v="TBA"/>
    <x v="32"/>
    <m/>
    <s v="JPY"/>
    <x v="362"/>
    <x v="236"/>
    <x v="12"/>
    <s v="L-&gt;R"/>
    <s v="MVC"/>
    <s v="WRONG"/>
  </r>
  <r>
    <n v="1017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49"/>
    <x v="232"/>
    <x v="1"/>
    <s v="L-&gt;R"/>
    <s v="cATS10+MVC"/>
    <s v="WRONG"/>
  </r>
  <r>
    <n v="1031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63"/>
    <x v="10"/>
    <x v="1"/>
    <s v="R-&gt;L"/>
    <s v="MVC+ATS15"/>
    <s v="WRONG"/>
  </r>
  <r>
    <n v="1032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63"/>
    <x v="10"/>
    <x v="1"/>
    <s v="R-&gt;L"/>
    <s v="MVC+ATS15"/>
    <s v="WRONG"/>
  </r>
  <r>
    <n v="1033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63"/>
    <x v="10"/>
    <x v="1"/>
    <s v="R-&gt;L"/>
    <s v="MVC+ATS15"/>
    <s v="WRONG"/>
  </r>
  <r>
    <m/>
    <s v="TBA"/>
    <s v="C49"/>
    <s v="110210（拆单110276）"/>
    <s v="众鑫科名义"/>
    <s v="YSM20R-2"/>
    <s v="R-&gt;L"/>
    <s v="MVC"/>
    <m/>
    <n v="1"/>
    <m/>
    <s v="ex work 2/12"/>
    <n v="6.3E-2"/>
    <x v="30"/>
    <m/>
    <e v="#N/A"/>
    <x v="42"/>
    <x v="41"/>
    <x v="6"/>
    <e v="#N/A"/>
    <e v="#N/A"/>
    <e v="#N/A"/>
  </r>
  <r>
    <n v="1028"/>
    <s v="TBA"/>
    <s v="C49"/>
    <s v="110210（拆单110276）"/>
    <s v="众鑫科名义"/>
    <s v="YSM20R-2"/>
    <s v="R-&gt;L"/>
    <s v="MVC"/>
    <m/>
    <n v="1"/>
    <m/>
    <s v="ex work 2/12"/>
    <n v="6.3E-2"/>
    <x v="32"/>
    <m/>
    <s v="JPY"/>
    <x v="363"/>
    <x v="10"/>
    <x v="12"/>
    <s v="R-&gt;L"/>
    <s v="No"/>
    <s v="WRONG"/>
  </r>
  <r>
    <n v="1029"/>
    <s v="TBA"/>
    <s v="C49"/>
    <n v="110210"/>
    <s v="众鑫科名义"/>
    <s v="YSM20R-2"/>
    <s v="R-&gt;L"/>
    <s v="MVC"/>
    <m/>
    <n v="1"/>
    <m/>
    <s v="ex work 2/12"/>
    <s v="TBA"/>
    <x v="32"/>
    <m/>
    <s v="JPY"/>
    <x v="363"/>
    <x v="10"/>
    <x v="12"/>
    <s v="R-&gt;L"/>
    <s v="No"/>
    <s v="WRONG"/>
  </r>
  <r>
    <n v="1030"/>
    <s v="TBA"/>
    <s v="C49"/>
    <n v="110210"/>
    <s v="众鑫科名义"/>
    <s v="YSM20R-2"/>
    <s v="R-&gt;L"/>
    <s v="MVC"/>
    <m/>
    <n v="1"/>
    <m/>
    <s v="ex work 2/12"/>
    <s v="TBA"/>
    <x v="32"/>
    <m/>
    <s v="JPY"/>
    <x v="363"/>
    <x v="10"/>
    <x v="12"/>
    <s v="R-&gt;L"/>
    <s v="No"/>
    <s v="WRONG"/>
  </r>
  <r>
    <n v="1034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35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36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37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40"/>
    <s v="TBA"/>
    <s v="C49"/>
    <n v="110211"/>
    <s v="Stock order"/>
    <s v="YSM10"/>
    <s v="R-&gt;L"/>
    <s v="No"/>
    <m/>
    <n v="1"/>
    <m/>
    <s v="TBA"/>
    <s v="TBA"/>
    <x v="32"/>
    <m/>
    <s v="RMB"/>
    <x v="364"/>
    <x v="99"/>
    <x v="1"/>
    <s v="L-&gt;R"/>
    <s v="MVC"/>
    <s v="WRONG"/>
  </r>
  <r>
    <n v="1041"/>
    <s v="TBA"/>
    <s v="C49"/>
    <n v="110211"/>
    <s v="Stock order"/>
    <s v="YSM10"/>
    <s v="R-&gt;L"/>
    <s v="No"/>
    <m/>
    <n v="1"/>
    <m/>
    <s v="TBA"/>
    <s v="TBA"/>
    <x v="32"/>
    <m/>
    <s v="RMB"/>
    <x v="364"/>
    <x v="99"/>
    <x v="1"/>
    <s v="L-&gt;R"/>
    <s v="MVC"/>
    <s v="WRONG"/>
  </r>
  <r>
    <n v="1043"/>
    <s v="TBA"/>
    <s v="C49"/>
    <n v="110211"/>
    <s v="Stock order"/>
    <s v="YSM10"/>
    <s v="R-&gt;L"/>
    <s v="No"/>
    <m/>
    <n v="1"/>
    <m/>
    <s v="TBA"/>
    <s v="TBA"/>
    <x v="32"/>
    <m/>
    <s v="JPY"/>
    <x v="365"/>
    <x v="205"/>
    <x v="1"/>
    <s v="L-&gt;R"/>
    <s v="No"/>
    <s v="WRONG"/>
  </r>
  <r>
    <n v="1056"/>
    <s v="TBA"/>
    <s v="C49"/>
    <n v="110211"/>
    <s v="Stock order"/>
    <s v="YSM10"/>
    <s v="R-&gt;L"/>
    <s v="No"/>
    <m/>
    <n v="1"/>
    <m/>
    <s v="TBA"/>
    <s v="TBA"/>
    <x v="32"/>
    <m/>
    <s v="JPY"/>
    <x v="366"/>
    <x v="237"/>
    <x v="1"/>
    <s v="L-&gt;R"/>
    <s v="No"/>
    <s v="WRONG"/>
  </r>
  <r>
    <m/>
    <s v="TBA"/>
    <s v="C49"/>
    <n v="110211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11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n v="1044"/>
    <s v="TBA"/>
    <s v="C49"/>
    <n v="110212"/>
    <s v="Stock order"/>
    <s v="YSM20R-2"/>
    <s v="R-&gt;L"/>
    <s v="No"/>
    <m/>
    <n v="1"/>
    <m/>
    <s v="TBA"/>
    <s v="TBA"/>
    <x v="32"/>
    <m/>
    <s v="JPY"/>
    <x v="367"/>
    <x v="19"/>
    <x v="12"/>
    <s v="R-&gt;L"/>
    <s v="No"/>
    <s v="OK"/>
  </r>
  <r>
    <m/>
    <s v="TBA"/>
    <s v="C49"/>
    <n v="110212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12"/>
    <s v="Stock order"/>
    <s v="YSM20R-2"/>
    <s v="L-&gt;R"/>
    <s v="cATS10+special layout"/>
    <m/>
    <n v="1"/>
    <m/>
    <s v="TBA"/>
    <s v="TBA"/>
    <x v="30"/>
    <m/>
    <e v="#N/A"/>
    <x v="42"/>
    <x v="41"/>
    <x v="6"/>
    <e v="#N/A"/>
    <e v="#N/A"/>
    <e v="#N/A"/>
  </r>
  <r>
    <n v="1046"/>
    <s v="TBA"/>
    <s v="C49"/>
    <n v="110212"/>
    <s v="Stock order"/>
    <s v="YSM20R-2"/>
    <s v="L-&gt;R"/>
    <s v="No"/>
    <m/>
    <n v="1"/>
    <m/>
    <s v="TBA"/>
    <s v="TBA"/>
    <x v="32"/>
    <m/>
    <s v="JPY"/>
    <x v="368"/>
    <x v="238"/>
    <x v="12"/>
    <s v="L-&gt;R"/>
    <s v="No"/>
    <s v="OK"/>
  </r>
  <r>
    <n v="1047"/>
    <s v="TBA"/>
    <s v="C49"/>
    <n v="110212"/>
    <s v="Stock order"/>
    <s v="YSM20R-2"/>
    <s v="L-&gt;R"/>
    <s v="No"/>
    <m/>
    <n v="1"/>
    <m/>
    <s v="TBA"/>
    <s v="TBA"/>
    <x v="32"/>
    <m/>
    <s v="JPY"/>
    <x v="368"/>
    <x v="238"/>
    <x v="12"/>
    <s v="L-&gt;R"/>
    <s v="No"/>
    <s v="OK"/>
  </r>
  <r>
    <n v="1050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n v="1051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n v="1052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n v="1053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m/>
    <s v="TBA"/>
    <s v="C49"/>
    <n v="110212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7"/>
    <s v="锘铧名义下单"/>
    <s v="YSM10"/>
    <s v="R-&gt;L"/>
    <s v="MVC F&amp;R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7"/>
    <s v="锘铧名义下单"/>
    <s v="YSM10"/>
    <s v="R-&gt;L"/>
    <s v="MVC F&amp;R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7"/>
    <s v="锘铧名义下单"/>
    <s v="YSM10"/>
    <s v="R-&gt;L"/>
    <s v="MVC F&amp;R+ATS15"/>
    <m/>
    <n v="1"/>
    <m/>
    <s v="TBA"/>
    <s v="TBA"/>
    <x v="30"/>
    <m/>
    <e v="#N/A"/>
    <x v="42"/>
    <x v="41"/>
    <x v="6"/>
    <e v="#N/A"/>
    <e v="#N/A"/>
    <e v="#N/A"/>
  </r>
  <r>
    <n v="962"/>
    <s v="TBA"/>
    <s v="C49"/>
    <n v="110228"/>
    <s v="锘铧名义下单"/>
    <s v="YSM20R-2"/>
    <s v="R-&gt;L"/>
    <s v="MVC"/>
    <m/>
    <n v="1"/>
    <m/>
    <s v="TBA"/>
    <s v="TBA"/>
    <x v="29"/>
    <m/>
    <s v="JPY"/>
    <x v="370"/>
    <x v="156"/>
    <x v="12"/>
    <s v="R-&gt;L"/>
    <s v="No"/>
    <s v="WRONG"/>
  </r>
  <r>
    <n v="963"/>
    <s v="TBA"/>
    <s v="C49"/>
    <n v="110228"/>
    <s v="锘铧名义下单"/>
    <s v="YSM20R-2"/>
    <s v="R-&gt;L"/>
    <s v="MVC"/>
    <m/>
    <n v="1"/>
    <m/>
    <s v="TBA"/>
    <s v="TBA"/>
    <x v="29"/>
    <m/>
    <s v="JPY"/>
    <x v="370"/>
    <x v="156"/>
    <x v="12"/>
    <s v="R-&gt;L"/>
    <s v="No"/>
    <s v="WRONG"/>
  </r>
  <r>
    <n v="960"/>
    <s v="TBA"/>
    <s v="C49"/>
    <n v="110228"/>
    <s v="锘铧名义下单"/>
    <s v="YSM20R-2"/>
    <s v="L-&gt;R"/>
    <s v="No"/>
    <m/>
    <n v="1"/>
    <m/>
    <s v="TBA"/>
    <s v="TBA"/>
    <x v="29"/>
    <m/>
    <s v="JPY"/>
    <x v="370"/>
    <x v="156"/>
    <x v="12"/>
    <s v="L-&gt;R"/>
    <s v="MVC"/>
    <s v="WRONG"/>
  </r>
  <r>
    <n v="961"/>
    <s v="TBA"/>
    <s v="C49"/>
    <n v="110228"/>
    <s v="锘铧名义下单"/>
    <s v="YSM20R-2"/>
    <s v="L-&gt;R"/>
    <s v="No"/>
    <m/>
    <n v="1"/>
    <m/>
    <s v="TBA"/>
    <s v="TBA"/>
    <x v="29"/>
    <m/>
    <s v="JPY"/>
    <x v="370"/>
    <x v="156"/>
    <x v="12"/>
    <s v="L-&gt;R"/>
    <s v="No"/>
    <s v="OK"/>
  </r>
  <r>
    <n v="697"/>
    <s v="TBA"/>
    <s v="C49"/>
    <n v="110228"/>
    <s v="锘铧名义下单"/>
    <s v="YSM20R-2"/>
    <s v="L-&gt;R"/>
    <s v="No"/>
    <m/>
    <n v="1"/>
    <m/>
    <s v="TBA"/>
    <s v="TBA"/>
    <x v="29"/>
    <m/>
    <s v="RMB"/>
    <x v="371"/>
    <x v="239"/>
    <x v="4"/>
    <s v="L-&gt;R"/>
    <s v="No"/>
    <s v="OK"/>
  </r>
  <r>
    <n v="933"/>
    <s v="TBA"/>
    <s v="C49"/>
    <n v="110228"/>
    <s v="锘铧名义下单"/>
    <s v="YSM20R-2"/>
    <s v="L-&gt;R"/>
    <s v="No"/>
    <m/>
    <n v="1"/>
    <m/>
    <s v="TBA"/>
    <s v="TBA"/>
    <x v="29"/>
    <m/>
    <s v="JPY"/>
    <x v="372"/>
    <x v="100"/>
    <x v="12"/>
    <s v="L-&gt;R"/>
    <s v="No"/>
    <s v="OK"/>
  </r>
  <r>
    <n v="934"/>
    <s v="TBA"/>
    <s v="C49"/>
    <n v="110228"/>
    <s v="锘铧名义下单"/>
    <s v="YSM20R-2"/>
    <s v="L-&gt;R"/>
    <s v="No"/>
    <m/>
    <n v="1"/>
    <m/>
    <s v="TBA"/>
    <s v="TBA"/>
    <x v="29"/>
    <m/>
    <s v="JPY"/>
    <x v="372"/>
    <x v="100"/>
    <x v="12"/>
    <s v="L-&gt;R"/>
    <s v="No"/>
    <s v="OK"/>
  </r>
  <r>
    <n v="370"/>
    <s v="TBA"/>
    <s v="C49"/>
    <n v="110228"/>
    <s v="锘铧名义下单"/>
    <s v="YSM20R-2"/>
    <s v="L-&gt;R"/>
    <s v="No"/>
    <m/>
    <n v="1"/>
    <m/>
    <s v="TBA"/>
    <s v="TBA"/>
    <x v="29"/>
    <m/>
    <s v="RMB"/>
    <x v="373"/>
    <x v="240"/>
    <x v="4"/>
    <s v="L-&gt;R"/>
    <s v="No"/>
    <s v="OK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n v="853"/>
    <s v="TBA"/>
    <s v="C49"/>
    <n v="110236"/>
    <s v="音品名义下单"/>
    <s v="YSM20R-2"/>
    <s v="R-&gt;L"/>
    <s v="No"/>
    <m/>
    <n v="1"/>
    <m/>
    <s v="TBA"/>
    <s v="TBA"/>
    <x v="29"/>
    <m/>
    <s v="JPY"/>
    <x v="374"/>
    <x v="37"/>
    <x v="12"/>
    <s v="L-&gt;R"/>
    <s v="No"/>
    <s v="WRONG"/>
  </r>
  <r>
    <n v="854"/>
    <s v="TBA"/>
    <s v="C49"/>
    <n v="110236"/>
    <s v="音品名义下单"/>
    <s v="YSM20R-2"/>
    <s v="R-&gt;L"/>
    <s v="No"/>
    <m/>
    <n v="1"/>
    <m/>
    <s v="TBA"/>
    <s v="TBA"/>
    <x v="29"/>
    <m/>
    <s v="JPY"/>
    <x v="374"/>
    <x v="37"/>
    <x v="12"/>
    <s v="L-&gt;R"/>
    <s v="No"/>
    <s v="WRONG"/>
  </r>
  <r>
    <n v="1006"/>
    <s v="TBA"/>
    <s v="C49"/>
    <n v="110236"/>
    <s v="音品名义下单"/>
    <s v="YSM20R-2"/>
    <s v="L-&gt;R"/>
    <s v="No"/>
    <m/>
    <n v="1"/>
    <m/>
    <s v="TBA"/>
    <s v="TBA"/>
    <x v="29"/>
    <m/>
    <s v="JPY"/>
    <x v="375"/>
    <x v="22"/>
    <x v="12"/>
    <s v="L-&gt;R"/>
    <s v="No"/>
    <s v="OK"/>
  </r>
  <r>
    <n v="1007"/>
    <s v="TBA"/>
    <s v="C49"/>
    <n v="110236"/>
    <s v="音品名义下单"/>
    <s v="YSM20R-2"/>
    <s v="L-&gt;R"/>
    <s v="No"/>
    <m/>
    <n v="1"/>
    <m/>
    <s v="TBA"/>
    <s v="TBA"/>
    <x v="29"/>
    <m/>
    <s v="JPY"/>
    <x v="375"/>
    <x v="22"/>
    <x v="12"/>
    <s v="L-&gt;R"/>
    <s v="No"/>
    <s v="OK"/>
  </r>
  <r>
    <n v="1008"/>
    <s v="TBA"/>
    <s v="C49"/>
    <n v="110236"/>
    <s v="音品名义下单"/>
    <s v="YSM20R-2"/>
    <s v="L-&gt;R"/>
    <s v="No"/>
    <m/>
    <n v="1"/>
    <m/>
    <s v="TBA"/>
    <s v="TBA"/>
    <x v="29"/>
    <m/>
    <s v="JPY"/>
    <x v="375"/>
    <x v="22"/>
    <x v="12"/>
    <s v="L-&gt;R"/>
    <s v="No"/>
    <s v="OK"/>
  </r>
  <r>
    <n v="1009"/>
    <s v="TBA"/>
    <s v="C49"/>
    <n v="110236"/>
    <s v="音品名义下单"/>
    <s v="YSM20R-2"/>
    <s v="L-&gt;R"/>
    <s v="MVC"/>
    <m/>
    <n v="1"/>
    <m/>
    <s v="TBA"/>
    <s v="TBA"/>
    <x v="29"/>
    <m/>
    <s v="JPY"/>
    <x v="375"/>
    <x v="22"/>
    <x v="12"/>
    <s v="L-&gt;R"/>
    <s v="No"/>
    <s v="WRONG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7"/>
    <s v="音品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n v="1048"/>
    <s v="TBA"/>
    <s v="C49"/>
    <n v="110237"/>
    <s v="音品名义下单"/>
    <s v="YSM10"/>
    <s v="R-&gt;L"/>
    <s v="MVC"/>
    <m/>
    <n v="1"/>
    <m/>
    <s v="TBA"/>
    <s v="TBA"/>
    <x v="32"/>
    <m/>
    <s v="JPY"/>
    <x v="368"/>
    <x v="238"/>
    <x v="1"/>
    <s v="L-&gt;R"/>
    <s v="MVC"/>
    <s v="WRONG"/>
  </r>
  <r>
    <n v="1049"/>
    <s v="TBA"/>
    <s v="C49"/>
    <n v="110237"/>
    <s v="音品名义下单"/>
    <s v="YSM10"/>
    <s v="R-&gt;L"/>
    <s v="MVC+ATS15"/>
    <m/>
    <n v="1"/>
    <m/>
    <s v="TBA"/>
    <s v="TBA"/>
    <x v="32"/>
    <m/>
    <s v="JPY"/>
    <x v="368"/>
    <x v="238"/>
    <x v="1"/>
    <s v="L-&gt;R"/>
    <s v="MVC+ATS15"/>
    <s v="WRONG"/>
  </r>
  <r>
    <m/>
    <s v="TBA"/>
    <s v="C49"/>
    <n v="110237"/>
    <s v="音品名义下单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7"/>
    <s v="音品名义下单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n v="976"/>
    <s v="TBA"/>
    <s v="C49"/>
    <n v="110238"/>
    <s v="Stock order"/>
    <s v="YSM10"/>
    <s v="R-&gt;L"/>
    <s v="MVC"/>
    <m/>
    <n v="1"/>
    <m/>
    <s v="TBA"/>
    <s v="TBA"/>
    <x v="29"/>
    <m/>
    <s v="JPY"/>
    <x v="376"/>
    <x v="150"/>
    <x v="1"/>
    <s v="L-&gt;R"/>
    <s v="No"/>
    <s v="WRONG"/>
  </r>
  <r>
    <m/>
    <s v="TBA"/>
    <s v="C49"/>
    <n v="11023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n v="1054"/>
    <s v="TBA"/>
    <s v="C49"/>
    <n v="110238"/>
    <s v="Stock order"/>
    <s v="YSM10"/>
    <s v="R-&gt;L"/>
    <s v="No"/>
    <m/>
    <n v="1"/>
    <m/>
    <s v="TBA"/>
    <s v="TBA"/>
    <x v="29"/>
    <m/>
    <s v="JPY"/>
    <x v="369"/>
    <x v="238"/>
    <x v="1"/>
    <s v="L-&gt;R"/>
    <s v="MVC"/>
    <s v="WRONG"/>
  </r>
  <r>
    <n v="1055"/>
    <s v="TBA"/>
    <s v="C49"/>
    <n v="110238"/>
    <s v="Stock order"/>
    <s v="YSM10"/>
    <s v="R-&gt;L"/>
    <s v="No"/>
    <m/>
    <n v="1"/>
    <m/>
    <s v="TBA"/>
    <s v="TBA"/>
    <x v="29"/>
    <m/>
    <s v="JPY"/>
    <x v="369"/>
    <x v="238"/>
    <x v="1"/>
    <s v="L-&gt;R"/>
    <s v="MVC"/>
    <s v="WRONG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n v="994"/>
    <s v="TBA"/>
    <s v="C49"/>
    <n v="110238"/>
    <s v="Stock order"/>
    <s v="YSM10"/>
    <s v="R-&gt;L"/>
    <s v="No"/>
    <m/>
    <n v="1"/>
    <m/>
    <s v="TBA"/>
    <s v="TBA"/>
    <x v="29"/>
    <m/>
    <s v="JPY"/>
    <x v="377"/>
    <x v="229"/>
    <x v="1"/>
    <s v="L-&gt;R"/>
    <s v="No"/>
    <s v="WRONG"/>
  </r>
  <r>
    <n v="995"/>
    <s v="TBA"/>
    <s v="C49"/>
    <n v="110238"/>
    <s v="Stock order"/>
    <s v="YSM10"/>
    <s v="R-&gt;L"/>
    <s v="No"/>
    <m/>
    <n v="1"/>
    <m/>
    <s v="TBA"/>
    <s v="TBA"/>
    <x v="29"/>
    <m/>
    <s v="JPY"/>
    <x v="377"/>
    <x v="229"/>
    <x v="1"/>
    <s v="L-&gt;R"/>
    <s v="No"/>
    <s v="WRONG"/>
  </r>
  <r>
    <n v="996"/>
    <s v="TBA"/>
    <s v="C49"/>
    <n v="110238"/>
    <s v="Stock order"/>
    <s v="YSM10"/>
    <s v="R-&gt;L"/>
    <s v="No"/>
    <m/>
    <n v="1"/>
    <m/>
    <s v="TBA"/>
    <s v="TBA"/>
    <x v="29"/>
    <m/>
    <s v="JPY"/>
    <x v="377"/>
    <x v="229"/>
    <x v="1"/>
    <s v="L-&gt;R"/>
    <s v="No"/>
    <s v="WRONG"/>
  </r>
  <r>
    <n v="997"/>
    <s v="TBA"/>
    <s v="C49"/>
    <n v="110244"/>
    <s v="Stock order"/>
    <s v="YSM10"/>
    <s v="R-&gt;L"/>
    <s v="MVC"/>
    <m/>
    <n v="1"/>
    <m/>
    <s v="TBA"/>
    <s v="TBA"/>
    <x v="29"/>
    <m/>
    <s v="JPY"/>
    <x v="377"/>
    <x v="229"/>
    <x v="1"/>
    <s v="L-&gt;R"/>
    <s v="No"/>
    <s v="WRONG"/>
  </r>
  <r>
    <m/>
    <s v="TBA"/>
    <s v="C49"/>
    <n v="110244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4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4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4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n v="964"/>
    <s v="TBA"/>
    <s v="C49"/>
    <n v="110246"/>
    <s v="Stock order"/>
    <s v="YSM10"/>
    <s v="R-&gt;L"/>
    <s v="MVC"/>
    <m/>
    <n v="1"/>
    <m/>
    <s v="TBA"/>
    <s v="TBA"/>
    <x v="29"/>
    <m/>
    <s v="JPY"/>
    <x v="370"/>
    <x v="156"/>
    <x v="1"/>
    <s v="L-&gt;R"/>
    <s v="MVC"/>
    <s v="WRONG"/>
  </r>
  <r>
    <n v="965"/>
    <s v="TBA"/>
    <s v="C49"/>
    <n v="110246"/>
    <s v="Stock order"/>
    <s v="YSM10"/>
    <s v="R-&gt;L"/>
    <s v="MVC"/>
    <m/>
    <n v="1"/>
    <m/>
    <s v="TBA"/>
    <s v="TBA"/>
    <x v="29"/>
    <m/>
    <s v="JPY"/>
    <x v="370"/>
    <x v="156"/>
    <x v="1"/>
    <s v="R-&gt;L"/>
    <s v="MVC"/>
    <s v="OK"/>
  </r>
  <r>
    <n v="966"/>
    <s v="TBA"/>
    <s v="C49"/>
    <n v="110246"/>
    <s v="Stock order"/>
    <s v="YSM10"/>
    <s v="R-&gt;L"/>
    <s v="MVC"/>
    <m/>
    <n v="1"/>
    <m/>
    <s v="TBA"/>
    <s v="TBA"/>
    <x v="29"/>
    <m/>
    <s v="JPY"/>
    <x v="370"/>
    <x v="156"/>
    <x v="1"/>
    <s v="R-&gt;L"/>
    <s v="MVC"/>
    <s v="OK"/>
  </r>
  <r>
    <n v="967"/>
    <s v="TBA"/>
    <s v="C49"/>
    <n v="110246"/>
    <s v="Stock order"/>
    <s v="YSM10"/>
    <s v="R-&gt;L"/>
    <s v="No"/>
    <m/>
    <n v="1"/>
    <m/>
    <s v="TBA"/>
    <s v="TBA"/>
    <x v="29"/>
    <m/>
    <s v="JPY"/>
    <x v="370"/>
    <x v="156"/>
    <x v="1"/>
    <s v="R-&gt;L"/>
    <s v="MVC"/>
    <s v="WRONG"/>
  </r>
  <r>
    <m/>
    <s v="TBA"/>
    <s v="C49"/>
    <n v="110246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MVC+Fixed feeder plate 24 positions"/>
    <m/>
    <n v="1"/>
    <m/>
    <s v="TBA"/>
    <s v="TBA"/>
    <x v="30"/>
    <m/>
    <e v="#N/A"/>
    <x v="42"/>
    <x v="41"/>
    <x v="6"/>
    <e v="#N/A"/>
    <e v="#N/A"/>
    <e v="#N/A"/>
  </r>
  <r>
    <n v="1010"/>
    <s v="TBA"/>
    <s v="C49"/>
    <n v="110246"/>
    <s v="Stock order"/>
    <s v="YSM10"/>
    <s v="R-&gt;L"/>
    <s v="MVC"/>
    <m/>
    <n v="1"/>
    <m/>
    <s v="TBA"/>
    <s v="TBA"/>
    <x v="29"/>
    <m/>
    <s v="JPY"/>
    <x v="375"/>
    <x v="22"/>
    <x v="1"/>
    <s v="L-&gt;R"/>
    <s v="MVC"/>
    <s v="WRONG"/>
  </r>
  <r>
    <n v="1011"/>
    <s v="TBA"/>
    <s v="C49"/>
    <n v="110246"/>
    <s v="Stock order"/>
    <s v="YSM10"/>
    <s v="R-&gt;L"/>
    <s v="No"/>
    <m/>
    <n v="1"/>
    <m/>
    <s v="TBA"/>
    <s v="TBA"/>
    <x v="29"/>
    <m/>
    <s v="JPY"/>
    <x v="375"/>
    <x v="22"/>
    <x v="1"/>
    <s v="L-&gt;R"/>
    <s v="MVC"/>
    <s v="WRONG"/>
  </r>
  <r>
    <n v="1012"/>
    <s v="TBA"/>
    <s v="C49"/>
    <n v="110246"/>
    <s v="Stock order"/>
    <s v="YSM10"/>
    <s v="R-&gt;L"/>
    <s v="No"/>
    <m/>
    <n v="1"/>
    <m/>
    <s v="TBA"/>
    <s v="TBA"/>
    <x v="29"/>
    <m/>
    <s v="JPY"/>
    <x v="375"/>
    <x v="22"/>
    <x v="1"/>
    <s v="L-&gt;R"/>
    <s v="MVC"/>
    <s v="WRONG"/>
  </r>
  <r>
    <n v="1013"/>
    <s v="TBA"/>
    <s v="C49"/>
    <n v="110246"/>
    <s v="Stock order"/>
    <s v="YSM10"/>
    <s v="R-&gt;L"/>
    <s v="No"/>
    <m/>
    <n v="1"/>
    <m/>
    <s v="TBA"/>
    <s v="TBA"/>
    <x v="29"/>
    <m/>
    <s v="JPY"/>
    <x v="375"/>
    <x v="22"/>
    <x v="1"/>
    <s v="L-&gt;R"/>
    <s v="MVC"/>
    <s v="WRONG"/>
  </r>
  <r>
    <m/>
    <s v="TBA"/>
    <s v="C49"/>
    <n v="110246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cATS10+MVC+special layout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Fixed feeder plate 24 positions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cATS10+MVC+special layout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n v="1019"/>
    <s v="TBA"/>
    <s v="C49"/>
    <n v="110251"/>
    <s v="Stock order"/>
    <s v="YSM10"/>
    <s v="R-&gt;L"/>
    <s v="HM5+MVC+ATS15"/>
    <m/>
    <n v="1"/>
    <m/>
    <s v="TBA"/>
    <s v="TBA"/>
    <x v="30"/>
    <m/>
    <s v="USD"/>
    <x v="378"/>
    <x v="199"/>
    <x v="13"/>
    <s v="L-&gt;R"/>
    <s v="MVC+ATS15"/>
    <s v="WRONG"/>
  </r>
  <r>
    <m/>
    <s v="TBA"/>
    <s v="C49"/>
    <n v="110271"/>
    <s v="精德鸿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1"/>
    <s v="精德鸿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1"/>
    <s v="精德鸿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1"/>
    <s v="精德鸿名义下单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4"/>
    <s v="平方兆赫名义下单"/>
    <s v="YSM40R-4"/>
    <s v="L-&gt;R"/>
    <s v="No"/>
    <m/>
    <n v="1"/>
    <m/>
    <s v="TBA"/>
    <s v="TBA"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n v="178"/>
    <m/>
    <m/>
    <s v="TBA"/>
    <m/>
    <m/>
    <m/>
    <m/>
    <m/>
    <m/>
    <m/>
    <m/>
    <m/>
    <x v="30"/>
    <m/>
    <s v="JPY"/>
    <x v="13"/>
    <x v="13"/>
    <x v="1"/>
    <s v="L-&gt;R"/>
    <s v="MVC+ATS15"/>
    <s v="WRONG"/>
  </r>
  <r>
    <n v="179"/>
    <m/>
    <m/>
    <s v="TBA"/>
    <m/>
    <m/>
    <m/>
    <m/>
    <m/>
    <m/>
    <m/>
    <m/>
    <m/>
    <x v="30"/>
    <m/>
    <s v="JPY"/>
    <x v="13"/>
    <x v="13"/>
    <x v="1"/>
    <s v="L-&gt;R"/>
    <s v="MVC+ATS15"/>
    <s v="WRONG"/>
  </r>
  <r>
    <n v="170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6"/>
    <m/>
    <m/>
    <s v="TBA"/>
    <m/>
    <m/>
    <m/>
    <m/>
    <m/>
    <m/>
    <m/>
    <m/>
    <m/>
    <x v="30"/>
    <m/>
    <s v="JPY"/>
    <x v="13"/>
    <x v="13"/>
    <x v="1"/>
    <s v="L-&gt;R"/>
    <s v="MVC+ATS15"/>
    <s v="WRONG"/>
  </r>
  <r>
    <n v="174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5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2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3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n v="890"/>
    <m/>
    <m/>
    <s v="TBA"/>
    <m/>
    <m/>
    <m/>
    <m/>
    <m/>
    <m/>
    <m/>
    <m/>
    <m/>
    <x v="30"/>
    <m/>
    <s v="JPY"/>
    <x v="326"/>
    <x v="131"/>
    <x v="1"/>
    <s v="L-&gt;R"/>
    <s v="MVC+ATS15"/>
    <s v="WRONG"/>
  </r>
  <r>
    <n v="891"/>
    <m/>
    <m/>
    <s v="TBA"/>
    <m/>
    <m/>
    <m/>
    <m/>
    <m/>
    <m/>
    <m/>
    <m/>
    <m/>
    <x v="30"/>
    <m/>
    <s v="JPY"/>
    <x v="326"/>
    <x v="131"/>
    <x v="1"/>
    <s v="L-&gt;R"/>
    <s v="MVC"/>
    <s v="WRONG"/>
  </r>
  <r>
    <n v="892"/>
    <m/>
    <m/>
    <s v="TBA"/>
    <m/>
    <m/>
    <m/>
    <m/>
    <m/>
    <m/>
    <m/>
    <m/>
    <m/>
    <x v="30"/>
    <m/>
    <s v="JPY"/>
    <x v="326"/>
    <x v="131"/>
    <x v="1"/>
    <s v="L-&gt;R"/>
    <s v="MVC"/>
    <s v="WRONG"/>
  </r>
  <r>
    <n v="746"/>
    <m/>
    <m/>
    <s v="TBA"/>
    <m/>
    <m/>
    <m/>
    <m/>
    <m/>
    <m/>
    <m/>
    <m/>
    <m/>
    <x v="30"/>
    <m/>
    <s v="JPY"/>
    <x v="379"/>
    <x v="200"/>
    <x v="1"/>
    <s v="L-&gt;R"/>
    <s v="No"/>
    <s v="WRONG"/>
  </r>
  <r>
    <n v="747"/>
    <m/>
    <m/>
    <s v="TBA"/>
    <m/>
    <m/>
    <m/>
    <m/>
    <m/>
    <m/>
    <m/>
    <m/>
    <m/>
    <x v="30"/>
    <m/>
    <s v="JPY"/>
    <x v="379"/>
    <x v="200"/>
    <x v="1"/>
    <s v="L-&gt;R"/>
    <s v="No"/>
    <s v="WRONG"/>
  </r>
  <r>
    <n v="748"/>
    <m/>
    <m/>
    <s v="TBA"/>
    <m/>
    <m/>
    <m/>
    <m/>
    <m/>
    <m/>
    <m/>
    <m/>
    <m/>
    <x v="30"/>
    <m/>
    <s v="JPY"/>
    <x v="379"/>
    <x v="200"/>
    <x v="1"/>
    <s v="L-&gt;R"/>
    <s v="No"/>
    <s v="WRONG"/>
  </r>
  <r>
    <n v="814"/>
    <m/>
    <m/>
    <s v="TBA"/>
    <m/>
    <m/>
    <m/>
    <m/>
    <m/>
    <m/>
    <m/>
    <m/>
    <m/>
    <x v="30"/>
    <m/>
    <s v="JPY"/>
    <x v="380"/>
    <x v="22"/>
    <x v="12"/>
    <s v="L-&gt;R"/>
    <s v="No"/>
    <s v="WRONG"/>
  </r>
  <r>
    <n v="815"/>
    <m/>
    <m/>
    <s v="TBA"/>
    <m/>
    <m/>
    <m/>
    <m/>
    <m/>
    <m/>
    <m/>
    <m/>
    <m/>
    <x v="30"/>
    <m/>
    <s v="JPY"/>
    <x v="380"/>
    <x v="22"/>
    <x v="12"/>
    <s v="L-&gt;R"/>
    <s v="No"/>
    <s v="WRONG"/>
  </r>
  <r>
    <n v="816"/>
    <m/>
    <m/>
    <s v="TBA"/>
    <m/>
    <m/>
    <m/>
    <m/>
    <m/>
    <m/>
    <m/>
    <m/>
    <m/>
    <x v="30"/>
    <m/>
    <s v="JPY"/>
    <x v="380"/>
    <x v="22"/>
    <x v="1"/>
    <s v="L-&gt;R"/>
    <s v="MVC"/>
    <s v="WRONG"/>
  </r>
  <r>
    <n v="817"/>
    <m/>
    <m/>
    <s v="TBA"/>
    <m/>
    <m/>
    <m/>
    <m/>
    <m/>
    <m/>
    <m/>
    <m/>
    <m/>
    <x v="30"/>
    <m/>
    <s v="JPY"/>
    <x v="380"/>
    <x v="22"/>
    <x v="1"/>
    <s v="L-&gt;R"/>
    <s v="MVC"/>
    <s v="WRONG"/>
  </r>
  <r>
    <n v="739"/>
    <m/>
    <m/>
    <s v="TBA"/>
    <m/>
    <m/>
    <m/>
    <m/>
    <m/>
    <m/>
    <m/>
    <m/>
    <m/>
    <x v="30"/>
    <m/>
    <s v="JPY"/>
    <x v="290"/>
    <x v="198"/>
    <x v="0"/>
    <s v="L-&gt;R"/>
    <s v="No"/>
    <s v="WRONG"/>
  </r>
  <r>
    <n v="836"/>
    <m/>
    <m/>
    <s v="TBA"/>
    <m/>
    <m/>
    <m/>
    <m/>
    <m/>
    <m/>
    <m/>
    <m/>
    <m/>
    <x v="30"/>
    <m/>
    <s v="JPY"/>
    <x v="381"/>
    <x v="154"/>
    <x v="0"/>
    <s v="L-&gt;R"/>
    <s v="No"/>
    <s v="WRONG"/>
  </r>
  <r>
    <n v="874"/>
    <m/>
    <m/>
    <s v="TBA"/>
    <m/>
    <m/>
    <m/>
    <m/>
    <m/>
    <m/>
    <m/>
    <m/>
    <m/>
    <x v="30"/>
    <m/>
    <s v="JPY"/>
    <x v="382"/>
    <x v="80"/>
    <x v="1"/>
    <s v="L-&gt;R"/>
    <s v="No"/>
    <s v="WRONG"/>
  </r>
  <r>
    <n v="875"/>
    <m/>
    <m/>
    <s v="TBA"/>
    <m/>
    <m/>
    <m/>
    <m/>
    <m/>
    <m/>
    <m/>
    <m/>
    <m/>
    <x v="30"/>
    <m/>
    <s v="JPY"/>
    <x v="382"/>
    <x v="80"/>
    <x v="1"/>
    <s v="L-&gt;R"/>
    <s v="No"/>
    <s v="WRONG"/>
  </r>
  <r>
    <n v="938"/>
    <m/>
    <m/>
    <s v="TBA"/>
    <m/>
    <m/>
    <m/>
    <m/>
    <m/>
    <m/>
    <m/>
    <m/>
    <m/>
    <x v="30"/>
    <m/>
    <s v="JPY"/>
    <x v="383"/>
    <x v="233"/>
    <x v="1"/>
    <s v="L-&gt;R"/>
    <s v="No"/>
    <s v="WRONG"/>
  </r>
  <r>
    <n v="939"/>
    <m/>
    <m/>
    <s v="TBA"/>
    <m/>
    <m/>
    <m/>
    <m/>
    <m/>
    <m/>
    <m/>
    <m/>
    <m/>
    <x v="30"/>
    <m/>
    <s v="JPY"/>
    <x v="383"/>
    <x v="233"/>
    <x v="1"/>
    <s v="L-&gt;R"/>
    <s v="No"/>
    <s v="WRONG"/>
  </r>
  <r>
    <n v="855"/>
    <m/>
    <m/>
    <s v="TBA"/>
    <m/>
    <m/>
    <m/>
    <m/>
    <m/>
    <m/>
    <m/>
    <m/>
    <m/>
    <x v="30"/>
    <m/>
    <s v="JPY"/>
    <x v="374"/>
    <x v="37"/>
    <x v="1"/>
    <s v="L-&gt;R"/>
    <s v="MVC"/>
    <s v="WRONG"/>
  </r>
  <r>
    <n v="369"/>
    <m/>
    <m/>
    <s v="TBA"/>
    <m/>
    <m/>
    <m/>
    <m/>
    <m/>
    <m/>
    <m/>
    <m/>
    <m/>
    <x v="30"/>
    <m/>
    <s v="RMB"/>
    <x v="373"/>
    <x v="240"/>
    <x v="1"/>
    <s v="L-&gt;R"/>
    <s v="MVC"/>
    <s v="WRONG"/>
  </r>
  <r>
    <n v="698"/>
    <m/>
    <m/>
    <s v="TBA"/>
    <m/>
    <m/>
    <m/>
    <m/>
    <m/>
    <m/>
    <m/>
    <m/>
    <m/>
    <x v="30"/>
    <m/>
    <s v="RMB"/>
    <x v="371"/>
    <x v="239"/>
    <x v="1"/>
    <s v="L-&gt;R"/>
    <s v="MVC"/>
    <s v="WRONG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m/>
    <m/>
  </r>
  <r>
    <m/>
    <m/>
    <m/>
    <m/>
    <m/>
    <m/>
    <m/>
    <m/>
    <m/>
    <m/>
    <m/>
    <m/>
    <m/>
    <x v="30"/>
    <m/>
    <m/>
    <x v="384"/>
    <x v="41"/>
    <x v="6"/>
    <e v="#N/A"/>
    <m/>
    <m/>
  </r>
  <r>
    <m/>
    <m/>
    <m/>
    <m/>
    <m/>
    <m/>
    <m/>
    <m/>
    <m/>
    <m/>
    <m/>
    <m/>
    <m/>
    <x v="30"/>
    <m/>
    <m/>
    <x v="384"/>
    <x v="41"/>
    <x v="6"/>
    <e v="#N/A"/>
    <m/>
    <m/>
  </r>
  <r>
    <m/>
    <m/>
    <m/>
    <m/>
    <m/>
    <m/>
    <m/>
    <m/>
    <m/>
    <m/>
    <m/>
    <m/>
    <m/>
    <x v="30"/>
    <m/>
    <m/>
    <x v="384"/>
    <x v="241"/>
    <x v="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">
  <r>
    <x v="0"/>
    <s v="SS 8mm"/>
    <s v="KHJ-MC100-00"/>
    <x v="0"/>
    <x v="0"/>
    <x v="0"/>
    <s v="有交期"/>
  </r>
  <r>
    <x v="0"/>
    <s v="SS 8mm"/>
    <s v="KHJ-MC100-00"/>
    <x v="1"/>
    <x v="1"/>
    <x v="1"/>
    <s v="有交期"/>
  </r>
  <r>
    <x v="1"/>
    <s v="SS 12/16mm"/>
    <s v="KHJ-MC200-00"/>
    <x v="1"/>
    <x v="1"/>
    <x v="1"/>
    <s v="有交期"/>
  </r>
  <r>
    <x v="2"/>
    <s v="SS 24mm"/>
    <s v="KHJ-MC400-00"/>
    <x v="1"/>
    <x v="1"/>
    <x v="1"/>
    <s v="有交期"/>
  </r>
  <r>
    <x v="3"/>
    <s v="SS 32mm"/>
    <s v="KHJ-MC500-00"/>
    <x v="1"/>
    <x v="1"/>
    <x v="1"/>
    <s v="有交期"/>
  </r>
  <r>
    <x v="0"/>
    <s v="SS 8mm"/>
    <s v="KHJ-MC100-00"/>
    <x v="2"/>
    <x v="1"/>
    <x v="2"/>
    <s v="有交期"/>
  </r>
  <r>
    <x v="1"/>
    <s v="SS 12/16mm"/>
    <s v="KHJ-MC200-00"/>
    <x v="2"/>
    <x v="1"/>
    <x v="2"/>
    <s v="有交期"/>
  </r>
  <r>
    <x v="0"/>
    <s v="SS 8mm"/>
    <s v="KHJ-MC100-00"/>
    <x v="3"/>
    <x v="2"/>
    <x v="3"/>
    <s v="有交期"/>
  </r>
  <r>
    <x v="1"/>
    <s v="SS 12/16mm"/>
    <s v="KHJ-MC200-00"/>
    <x v="3"/>
    <x v="2"/>
    <x v="3"/>
    <s v="有交期"/>
  </r>
  <r>
    <x v="2"/>
    <s v="SS 24mm"/>
    <s v="KHJ-MC400-00"/>
    <x v="3"/>
    <x v="2"/>
    <x v="3"/>
    <s v="有交期"/>
  </r>
  <r>
    <x v="4"/>
    <s v="SS 56mm"/>
    <s v="KHJ-MC700-00"/>
    <x v="3"/>
    <x v="2"/>
    <x v="3"/>
    <s v="有交期"/>
  </r>
  <r>
    <x v="0"/>
    <s v="SS 8mm"/>
    <s v="KHJ-MC100-00"/>
    <x v="4"/>
    <x v="2"/>
    <x v="3"/>
    <s v="有交期"/>
  </r>
  <r>
    <x v="1"/>
    <s v="SS 12/16mm"/>
    <s v="KHJ-MC200-00"/>
    <x v="4"/>
    <x v="2"/>
    <x v="3"/>
    <s v="有交期"/>
  </r>
  <r>
    <x v="0"/>
    <s v="SS 8mm"/>
    <s v="KHJ-MC100-00"/>
    <x v="5"/>
    <x v="3"/>
    <x v="4"/>
    <s v="有交期"/>
  </r>
  <r>
    <x v="1"/>
    <s v="SS 12/16mm"/>
    <s v="KHJ-MC200-00"/>
    <x v="5"/>
    <x v="3"/>
    <x v="4"/>
    <s v="有交期"/>
  </r>
  <r>
    <x v="2"/>
    <s v="SS 24mm"/>
    <s v="KHJ-MC400-00"/>
    <x v="5"/>
    <x v="3"/>
    <x v="4"/>
    <s v="有交期"/>
  </r>
  <r>
    <x v="0"/>
    <s v="SS 8mm"/>
    <s v="KHJ-MC100-00"/>
    <x v="6"/>
    <x v="0"/>
    <x v="2"/>
    <s v="有交期"/>
  </r>
  <r>
    <x v="0"/>
    <s v="SS 12/16mm"/>
    <s v="KHJ-MC200-00"/>
    <x v="6"/>
    <x v="0"/>
    <x v="2"/>
    <s v="有交期"/>
  </r>
  <r>
    <x v="1"/>
    <s v="SS 8mm"/>
    <s v="KHJ-MC100-00"/>
    <x v="7"/>
    <x v="0"/>
    <x v="5"/>
    <s v="有交期"/>
  </r>
  <r>
    <x v="0"/>
    <s v="SS 12/16mm"/>
    <s v="KHJ-MC200-00"/>
    <x v="7"/>
    <x v="0"/>
    <x v="5"/>
    <s v="有交期"/>
  </r>
  <r>
    <x v="1"/>
    <s v="SS 8mm"/>
    <s v="KHJ-MC100-00"/>
    <x v="8"/>
    <x v="0"/>
    <x v="6"/>
    <s v="Incoming"/>
  </r>
  <r>
    <x v="0"/>
    <s v="SS 8mm"/>
    <s v="KHJ-MC100-00"/>
    <x v="9"/>
    <x v="0"/>
    <x v="5"/>
    <s v="有交期"/>
  </r>
  <r>
    <x v="0"/>
    <s v="SS 12/16mm"/>
    <s v="KHJ-MC200-00"/>
    <x v="9"/>
    <x v="0"/>
    <x v="5"/>
    <s v="有交期"/>
  </r>
  <r>
    <x v="1"/>
    <s v="SS 24mm"/>
    <s v="KHJ-MC400-00"/>
    <x v="9"/>
    <x v="0"/>
    <x v="5"/>
    <s v="有交期"/>
  </r>
  <r>
    <x v="2"/>
    <s v="SS 56mm"/>
    <s v="KHJ-MC700-00"/>
    <x v="9"/>
    <x v="0"/>
    <x v="5"/>
    <s v="有交期"/>
  </r>
  <r>
    <x v="4"/>
    <s v="SS 8mm"/>
    <s v="KHJ-MC100-00"/>
    <x v="10"/>
    <x v="0"/>
    <x v="5"/>
    <s v="有交期"/>
  </r>
  <r>
    <x v="0"/>
    <s v="SS 8mm"/>
    <s v="KHJ-MC100-00"/>
    <x v="11"/>
    <x v="0"/>
    <x v="7"/>
    <s v="Incoming"/>
  </r>
  <r>
    <x v="0"/>
    <s v="SS 12/16mm"/>
    <s v="KHJ-MC200-00"/>
    <x v="11"/>
    <x v="0"/>
    <x v="7"/>
    <s v="Incoming"/>
  </r>
  <r>
    <x v="1"/>
    <s v="SS 8mm"/>
    <s v="KHJ-MC100-00"/>
    <x v="12"/>
    <x v="0"/>
    <x v="8"/>
    <s v="Incoming"/>
  </r>
  <r>
    <x v="0"/>
    <s v="SS 12/16mm"/>
    <s v="KHJ-MC200-00"/>
    <x v="12"/>
    <x v="0"/>
    <x v="8"/>
    <s v="Incoming"/>
  </r>
  <r>
    <x v="1"/>
    <s v="SS 8mm"/>
    <s v="KHJ-MC100-00"/>
    <x v="13"/>
    <x v="0"/>
    <x v="9"/>
    <s v="Incoming"/>
  </r>
  <r>
    <x v="0"/>
    <s v="SS 12/16mm"/>
    <s v="KHJ-MC200-00"/>
    <x v="13"/>
    <x v="0"/>
    <x v="9"/>
    <s v="Incoming"/>
  </r>
  <r>
    <x v="1"/>
    <s v="SS 44mm"/>
    <s v="KHJ-MC600-00"/>
    <x v="13"/>
    <x v="0"/>
    <x v="9"/>
    <s v="Incoming"/>
  </r>
  <r>
    <x v="5"/>
    <s v="SS 8mm"/>
    <s v="KHJ-MC100-00"/>
    <x v="14"/>
    <x v="4"/>
    <x v="10"/>
    <s v="Incoming"/>
  </r>
  <r>
    <x v="0"/>
    <s v="SS 8mm"/>
    <s v="KHJ-MC100-00"/>
    <x v="15"/>
    <x v="4"/>
    <x v="11"/>
    <s v="Incoming"/>
  </r>
  <r>
    <x v="0"/>
    <s v="SS 8mm"/>
    <s v="KHJ-MC100-00"/>
    <x v="16"/>
    <x v="4"/>
    <x v="12"/>
    <s v="有交期"/>
  </r>
  <r>
    <x v="0"/>
    <s v="SS 12/16mm"/>
    <s v="KHJ-MC200-00"/>
    <x v="16"/>
    <x v="4"/>
    <x v="12"/>
    <s v="有交期"/>
  </r>
  <r>
    <x v="1"/>
    <s v="SS 8mm"/>
    <s v="KHJ-MC100-00"/>
    <x v="17"/>
    <x v="4"/>
    <x v="13"/>
    <s v="Incoming"/>
  </r>
  <r>
    <x v="0"/>
    <s v="SS 12/16mm"/>
    <s v="KHJ-MC200-00"/>
    <x v="17"/>
    <x v="4"/>
    <x v="13"/>
    <s v="Incoming"/>
  </r>
  <r>
    <x v="1"/>
    <s v="SS 8mm"/>
    <s v="KHJ-MC100-00"/>
    <x v="18"/>
    <x v="4"/>
    <x v="14"/>
    <s v="Incoming"/>
  </r>
  <r>
    <x v="0"/>
    <s v="SS 12/16mm"/>
    <s v="KHJ-MC200-00"/>
    <x v="18"/>
    <x v="4"/>
    <x v="14"/>
    <s v="Incoming"/>
  </r>
  <r>
    <x v="1"/>
    <s v="ZS 8mm"/>
    <s v="KLJ-MC100-00"/>
    <x v="19"/>
    <x v="5"/>
    <x v="15"/>
    <s v="Incoming"/>
  </r>
  <r>
    <x v="6"/>
    <s v="ZS 12/16mm"/>
    <s v="KLJ-MC200-00"/>
    <x v="19"/>
    <x v="5"/>
    <x v="15"/>
    <s v="Incoming"/>
  </r>
  <r>
    <x v="7"/>
    <s v="ZS 24mm"/>
    <s v="KLJ-MC400-00"/>
    <x v="19"/>
    <x v="5"/>
    <x v="15"/>
    <s v="Incoming"/>
  </r>
  <r>
    <x v="8"/>
    <s v="ZS 32mm"/>
    <s v="KLJ-MC500-00"/>
    <x v="19"/>
    <x v="5"/>
    <x v="15"/>
    <s v="Incoming"/>
  </r>
  <r>
    <x v="9"/>
    <s v="ZS 44mm"/>
    <s v="KLJ-MC600-00"/>
    <x v="19"/>
    <x v="5"/>
    <x v="15"/>
    <s v="Incoming"/>
  </r>
  <r>
    <x v="10"/>
    <s v="SS 8mm"/>
    <s v="KHJ-MC100-00"/>
    <x v="20"/>
    <x v="0"/>
    <x v="9"/>
    <s v="Incoming"/>
  </r>
  <r>
    <x v="0"/>
    <s v="SS 12/16mm"/>
    <s v="KHJ-MC200-00"/>
    <x v="20"/>
    <x v="0"/>
    <x v="9"/>
    <s v="Incoming"/>
  </r>
  <r>
    <x v="1"/>
    <s v="SS 24mm"/>
    <s v="KHJ-MC400-00"/>
    <x v="20"/>
    <x v="0"/>
    <x v="9"/>
    <s v="Incoming"/>
  </r>
  <r>
    <x v="2"/>
    <s v="SS 32mm"/>
    <s v="KHJ-MC500-00"/>
    <x v="20"/>
    <x v="0"/>
    <x v="9"/>
    <s v="Incoming"/>
  </r>
  <r>
    <x v="3"/>
    <s v="SS 44mm"/>
    <s v="KHJ-MC600-00"/>
    <x v="20"/>
    <x v="0"/>
    <x v="9"/>
    <s v="Incoming"/>
  </r>
  <r>
    <x v="5"/>
    <s v="SS 56mm"/>
    <s v="KHJ-MC700-00"/>
    <x v="20"/>
    <x v="0"/>
    <x v="9"/>
    <s v="Incoming"/>
  </r>
  <r>
    <x v="4"/>
    <s v="SS 8mm"/>
    <s v="KHJ-MC100-00"/>
    <x v="21"/>
    <x v="0"/>
    <x v="9"/>
    <s v="Incoming"/>
  </r>
  <r>
    <x v="0"/>
    <s v="SS 12/16mm"/>
    <s v="KHJ-MC200-00"/>
    <x v="21"/>
    <x v="0"/>
    <x v="9"/>
    <s v="Incoming"/>
  </r>
  <r>
    <x v="1"/>
    <s v="SS 8mm"/>
    <s v="KHJ-MC100-00"/>
    <x v="22"/>
    <x v="6"/>
    <x v="9"/>
    <s v="Incoming"/>
  </r>
  <r>
    <x v="0"/>
    <s v="SS 12/16mm"/>
    <s v="KHJ-MC200-00"/>
    <x v="22"/>
    <x v="6"/>
    <x v="9"/>
    <s v="Incoming"/>
  </r>
  <r>
    <x v="1"/>
    <s v="SS 24mm"/>
    <s v="KHJ-MC400-00"/>
    <x v="22"/>
    <x v="6"/>
    <x v="9"/>
    <s v="Incoming"/>
  </r>
  <r>
    <x v="2"/>
    <s v="SS 32mm"/>
    <s v="KHJ-MC500-00"/>
    <x v="22"/>
    <x v="6"/>
    <x v="9"/>
    <s v="Incoming"/>
  </r>
  <r>
    <x v="3"/>
    <s v="SS 44mm"/>
    <s v="KHJ-MC600-00"/>
    <x v="22"/>
    <x v="6"/>
    <x v="9"/>
    <s v="Incoming"/>
  </r>
  <r>
    <x v="5"/>
    <s v="SS 56mm"/>
    <s v="KHJ-MC700-00"/>
    <x v="22"/>
    <x v="6"/>
    <x v="9"/>
    <s v="Incoming"/>
  </r>
  <r>
    <x v="4"/>
    <s v="SS 8mm"/>
    <s v="KHJ-MC100-00"/>
    <x v="23"/>
    <x v="6"/>
    <x v="9"/>
    <s v="Incoming"/>
  </r>
  <r>
    <x v="0"/>
    <s v="SS 12/16mm"/>
    <s v="KHJ-MC200-00"/>
    <x v="23"/>
    <x v="6"/>
    <x v="9"/>
    <s v="Incoming"/>
  </r>
  <r>
    <x v="1"/>
    <s v="SS 8mm"/>
    <s v="KHJ-MC100-00"/>
    <x v="24"/>
    <x v="0"/>
    <x v="9"/>
    <s v="Incoming"/>
  </r>
  <r>
    <x v="0"/>
    <s v="SS 12/16mm"/>
    <s v="KHJ-MC200-00"/>
    <x v="24"/>
    <x v="0"/>
    <x v="9"/>
    <s v="Incoming"/>
  </r>
  <r>
    <x v="1"/>
    <s v="SS 24mm"/>
    <s v="KHJ-MC400-00"/>
    <x v="24"/>
    <x v="0"/>
    <x v="9"/>
    <s v="Incoming"/>
  </r>
  <r>
    <x v="2"/>
    <s v="SS 8mm"/>
    <s v="KHJ-MC100-00"/>
    <x v="25"/>
    <x v="7"/>
    <x v="9"/>
    <s v="Incoming"/>
  </r>
  <r>
    <x v="0"/>
    <s v="SS 12/16mm"/>
    <s v="KHJ-MC200-00"/>
    <x v="25"/>
    <x v="7"/>
    <x v="9"/>
    <s v="Incoming"/>
  </r>
  <r>
    <x v="1"/>
    <s v="SS 24mm"/>
    <s v="KHJ-MC400-00"/>
    <x v="25"/>
    <x v="7"/>
    <x v="9"/>
    <s v="Incoming"/>
  </r>
  <r>
    <x v="2"/>
    <s v="SS 8mm"/>
    <s v="KHJ-MC100-00"/>
    <x v="26"/>
    <x v="7"/>
    <x v="9"/>
    <s v="Incoming"/>
  </r>
  <r>
    <x v="0"/>
    <s v="SS 12/16mm"/>
    <s v="KHJ-MC200-00"/>
    <x v="26"/>
    <x v="7"/>
    <x v="9"/>
    <s v="Incoming"/>
  </r>
  <r>
    <x v="1"/>
    <s v="SS 24mm"/>
    <s v="KHJ-MC400-00"/>
    <x v="26"/>
    <x v="7"/>
    <x v="9"/>
    <s v="Incoming"/>
  </r>
  <r>
    <x v="2"/>
    <s v="SS 8mm"/>
    <s v="KHJ-MC100-00"/>
    <x v="27"/>
    <x v="0"/>
    <x v="9"/>
    <s v="Incoming"/>
  </r>
  <r>
    <x v="0"/>
    <s v="SS 12/16mm"/>
    <s v="KHJ-MC200-00"/>
    <x v="27"/>
    <x v="0"/>
    <x v="9"/>
    <s v="Incoming"/>
  </r>
  <r>
    <x v="1"/>
    <s v="SS 24mm"/>
    <s v="KHJ-MC400-00"/>
    <x v="27"/>
    <x v="0"/>
    <x v="9"/>
    <s v="Incoming"/>
  </r>
  <r>
    <x v="2"/>
    <s v="SS 32mm"/>
    <s v="KHJ-MC500-00"/>
    <x v="27"/>
    <x v="0"/>
    <x v="9"/>
    <s v="Incoming"/>
  </r>
  <r>
    <x v="3"/>
    <s v="SS 44mm"/>
    <s v="KHJ-MC600-00"/>
    <x v="27"/>
    <x v="0"/>
    <x v="9"/>
    <s v="Incoming"/>
  </r>
  <r>
    <x v="5"/>
    <s v="SS 8mm"/>
    <s v="KHJ-MC100-00"/>
    <x v="28"/>
    <x v="0"/>
    <x v="9"/>
    <s v="Incoming"/>
  </r>
  <r>
    <x v="0"/>
    <s v="SS 12/16mm"/>
    <s v="KHJ-MC200-00"/>
    <x v="28"/>
    <x v="0"/>
    <x v="9"/>
    <s v="Incoming"/>
  </r>
  <r>
    <x v="1"/>
    <s v="SS 8mm"/>
    <s v="KHJ-MC100-00"/>
    <x v="29"/>
    <x v="0"/>
    <x v="9"/>
    <s v="Incoming"/>
  </r>
  <r>
    <x v="0"/>
    <s v="SS 12/16mm"/>
    <s v="KHJ-MC200-00"/>
    <x v="29"/>
    <x v="0"/>
    <x v="9"/>
    <s v="Incoming"/>
  </r>
  <r>
    <x v="1"/>
    <s v="SS 24mm"/>
    <s v="KHJ-MC400-00"/>
    <x v="29"/>
    <x v="0"/>
    <x v="9"/>
    <s v="Incoming"/>
  </r>
  <r>
    <x v="2"/>
    <s v="SS 32mm"/>
    <s v="KHJ-MC500-00"/>
    <x v="29"/>
    <x v="0"/>
    <x v="9"/>
    <s v="Incoming"/>
  </r>
  <r>
    <x v="3"/>
    <s v="SS 44mm"/>
    <s v="KHJ-MC600-00"/>
    <x v="29"/>
    <x v="0"/>
    <x v="9"/>
    <s v="Incoming"/>
  </r>
  <r>
    <x v="5"/>
    <s v="SS 56mm"/>
    <s v="KHJ-MC700-00"/>
    <x v="29"/>
    <x v="0"/>
    <x v="9"/>
    <s v="Incoming"/>
  </r>
  <r>
    <x v="4"/>
    <s v="SS 8mm"/>
    <s v="KHJ-MC100-00"/>
    <x v="30"/>
    <x v="0"/>
    <x v="9"/>
    <s v="Incoming"/>
  </r>
  <r>
    <x v="0"/>
    <s v="SS 12/16mm"/>
    <s v="KHJ-MC200-00"/>
    <x v="30"/>
    <x v="0"/>
    <x v="9"/>
    <s v="Incoming"/>
  </r>
  <r>
    <x v="1"/>
    <s v="SS 24mm"/>
    <s v="KHJ-MC400-00"/>
    <x v="30"/>
    <x v="0"/>
    <x v="9"/>
    <s v="Incoming"/>
  </r>
  <r>
    <x v="2"/>
    <s v="SS 8mm"/>
    <s v="KHJ-MC100-00"/>
    <x v="31"/>
    <x v="0"/>
    <x v="9"/>
    <s v="Incoming"/>
  </r>
  <r>
    <x v="0"/>
    <s v="SS 12/16mm"/>
    <s v="KHJ-MC200-00"/>
    <x v="31"/>
    <x v="0"/>
    <x v="9"/>
    <s v="Incoming"/>
  </r>
  <r>
    <x v="1"/>
    <s v="SS 24mm"/>
    <s v="KHJ-MC400-00"/>
    <x v="31"/>
    <x v="0"/>
    <x v="9"/>
    <s v="Incoming"/>
  </r>
  <r>
    <x v="2"/>
    <s v="SS 32mm"/>
    <s v="KHJ-MC500-00"/>
    <x v="31"/>
    <x v="0"/>
    <x v="9"/>
    <s v="Incoming"/>
  </r>
  <r>
    <x v="3"/>
    <s v="SS 44mm"/>
    <s v="KHJ-MC600-00"/>
    <x v="31"/>
    <x v="0"/>
    <x v="9"/>
    <s v="Incoming"/>
  </r>
  <r>
    <x v="5"/>
    <s v="SS 56mm"/>
    <s v="KHJ-MC700-00"/>
    <x v="31"/>
    <x v="0"/>
    <x v="9"/>
    <s v="Incoming"/>
  </r>
  <r>
    <x v="4"/>
    <s v="SS 8mm"/>
    <s v="KHJ-MC100-00"/>
    <x v="32"/>
    <x v="0"/>
    <x v="9"/>
    <s v="Incoming"/>
  </r>
  <r>
    <x v="0"/>
    <s v="SS 12/16mm"/>
    <s v="KHJ-MC200-00"/>
    <x v="32"/>
    <x v="0"/>
    <x v="9"/>
    <s v="Incoming"/>
  </r>
  <r>
    <x v="1"/>
    <s v="SS 24mm"/>
    <s v="KHJ-MC400-00"/>
    <x v="32"/>
    <x v="0"/>
    <x v="9"/>
    <s v="Incoming"/>
  </r>
  <r>
    <x v="2"/>
    <s v="SS 8mm"/>
    <s v="KHJ-MC100-00"/>
    <x v="33"/>
    <x v="0"/>
    <x v="9"/>
    <s v="Incoming"/>
  </r>
  <r>
    <x v="0"/>
    <s v="SS 12/16mm"/>
    <s v="KHJ-MC200-00"/>
    <x v="33"/>
    <x v="0"/>
    <x v="9"/>
    <s v="Incoming"/>
  </r>
  <r>
    <x v="1"/>
    <s v="SS 24mm"/>
    <s v="KHJ-MC400-00"/>
    <x v="33"/>
    <x v="0"/>
    <x v="9"/>
    <s v="Incoming"/>
  </r>
  <r>
    <x v="2"/>
    <s v="SS 32mm"/>
    <s v="KHJ-MC500-00"/>
    <x v="33"/>
    <x v="0"/>
    <x v="9"/>
    <s v="Incoming"/>
  </r>
  <r>
    <x v="3"/>
    <s v="SS 44mm"/>
    <s v="KHJ-MC600-00"/>
    <x v="33"/>
    <x v="0"/>
    <x v="9"/>
    <s v="Incoming"/>
  </r>
  <r>
    <x v="5"/>
    <s v="SS 56mm"/>
    <s v="KHJ-MC700-00"/>
    <x v="33"/>
    <x v="0"/>
    <x v="9"/>
    <s v="Incoming"/>
  </r>
  <r>
    <x v="4"/>
    <s v="SS 8mm"/>
    <s v="KHJ-MC100-00"/>
    <x v="34"/>
    <x v="0"/>
    <x v="9"/>
    <s v="Incoming"/>
  </r>
  <r>
    <x v="0"/>
    <s v="SS 12/16mm"/>
    <s v="KHJ-MC200-00"/>
    <x v="34"/>
    <x v="0"/>
    <x v="9"/>
    <s v="Incoming"/>
  </r>
  <r>
    <x v="1"/>
    <s v="SS 24mm"/>
    <s v="KHJ-MC400-00"/>
    <x v="34"/>
    <x v="0"/>
    <x v="9"/>
    <s v="Incoming"/>
  </r>
  <r>
    <x v="2"/>
    <s v="SS 8mm"/>
    <s v="KHJ-MC100-00"/>
    <x v="35"/>
    <x v="8"/>
    <x v="9"/>
    <s v="Incoming"/>
  </r>
  <r>
    <x v="0"/>
    <s v="SS 12/16mm"/>
    <s v="KHJ-MC200-00"/>
    <x v="35"/>
    <x v="8"/>
    <x v="9"/>
    <s v="Incoming"/>
  </r>
  <r>
    <x v="1"/>
    <s v="SS 8mm"/>
    <s v="KHJ-MC100-00"/>
    <x v="36"/>
    <x v="8"/>
    <x v="9"/>
    <s v="Incoming"/>
  </r>
  <r>
    <x v="0"/>
    <s v="SS 12/16mm"/>
    <s v="KHJ-MC200-00"/>
    <x v="36"/>
    <x v="8"/>
    <x v="9"/>
    <s v="Incoming"/>
  </r>
  <r>
    <x v="1"/>
    <s v="SS 32mm"/>
    <s v="KHJ-MC500-00"/>
    <x v="36"/>
    <x v="8"/>
    <x v="9"/>
    <s v="Incoming"/>
  </r>
  <r>
    <x v="3"/>
    <s v="SS 44mm"/>
    <s v="KHJ-MC600-00"/>
    <x v="36"/>
    <x v="8"/>
    <x v="9"/>
    <s v="Incoming"/>
  </r>
  <r>
    <x v="5"/>
    <s v="ZS 8mm"/>
    <s v="KLJ-MC100-00"/>
    <x v="37"/>
    <x v="9"/>
    <x v="9"/>
    <s v="Incoming"/>
  </r>
  <r>
    <x v="6"/>
    <s v="ZS 12/16mm"/>
    <s v="KLJ-MC200-00"/>
    <x v="37"/>
    <x v="9"/>
    <x v="9"/>
    <s v="Incoming"/>
  </r>
  <r>
    <x v="7"/>
    <s v="ZS 24mm"/>
    <s v="KLJ-MC400-00"/>
    <x v="37"/>
    <x v="9"/>
    <x v="9"/>
    <s v="Incoming"/>
  </r>
  <r>
    <x v="8"/>
    <s v="ZS 32mm"/>
    <s v="KLJ-MC500-00"/>
    <x v="37"/>
    <x v="9"/>
    <x v="9"/>
    <s v="Incoming"/>
  </r>
  <r>
    <x v="9"/>
    <s v="ZS 44mm"/>
    <s v="KLJ-MC600-00"/>
    <x v="37"/>
    <x v="9"/>
    <x v="9"/>
    <s v="Incoming"/>
  </r>
  <r>
    <x v="10"/>
    <s v="KLJ-MC600-00"/>
    <n v="110274"/>
    <x v="38"/>
    <x v="10"/>
    <x v="16"/>
    <n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">
  <r>
    <x v="0"/>
    <x v="0"/>
    <s v="C49SZX20200091DZ"/>
    <x v="0"/>
    <n v="75"/>
    <x v="0"/>
  </r>
  <r>
    <x v="1"/>
    <x v="0"/>
    <s v="C49SZX20200091DZ"/>
    <x v="0"/>
    <n v="10"/>
    <x v="0"/>
  </r>
  <r>
    <x v="2"/>
    <x v="0"/>
    <s v="C49SZX20200091DZ"/>
    <x v="0"/>
    <n v="2"/>
    <x v="0"/>
  </r>
  <r>
    <x v="3"/>
    <x v="1"/>
    <s v="C49SZX20200181SX"/>
    <x v="0"/>
    <n v="40"/>
    <x v="1"/>
  </r>
  <r>
    <x v="4"/>
    <x v="1"/>
    <s v="C49SZX20200181SX"/>
    <x v="0"/>
    <n v="1"/>
    <x v="1"/>
  </r>
  <r>
    <x v="5"/>
    <x v="1"/>
    <s v="C49SZX20200181SX"/>
    <x v="0"/>
    <n v="1"/>
    <x v="1"/>
  </r>
  <r>
    <x v="0"/>
    <x v="2"/>
    <s v="C49SZX20200210RSX"/>
    <x v="0"/>
    <n v="80"/>
    <x v="1"/>
  </r>
  <r>
    <x v="1"/>
    <x v="2"/>
    <s v="C49SZX20200210RSX"/>
    <x v="0"/>
    <n v="15"/>
    <x v="1"/>
  </r>
  <r>
    <x v="2"/>
    <x v="2"/>
    <s v="C49SZX20200210RSX"/>
    <x v="0"/>
    <n v="5"/>
    <x v="1"/>
  </r>
  <r>
    <x v="6"/>
    <x v="2"/>
    <s v="C49SZX20200210RSX"/>
    <x v="0"/>
    <n v="2"/>
    <x v="1"/>
  </r>
  <r>
    <x v="7"/>
    <x v="2"/>
    <s v="C49SZX20200210RSX"/>
    <x v="0"/>
    <n v="2"/>
    <x v="1"/>
  </r>
  <r>
    <x v="3"/>
    <x v="3"/>
    <s v="C49SZX20200211SX"/>
    <x v="0"/>
    <n v="65"/>
    <x v="2"/>
  </r>
  <r>
    <x v="4"/>
    <x v="3"/>
    <s v="C49SZX20200211SX"/>
    <x v="0"/>
    <n v="5"/>
    <x v="2"/>
  </r>
  <r>
    <x v="5"/>
    <x v="3"/>
    <s v="C49SZX20200211SX"/>
    <x v="0"/>
    <n v="2"/>
    <x v="2"/>
  </r>
  <r>
    <x v="8"/>
    <x v="3"/>
    <s v="C49SZX20200211SX"/>
    <x v="0"/>
    <n v="1"/>
    <x v="2"/>
  </r>
  <r>
    <x v="9"/>
    <x v="3"/>
    <s v="C49SZX20200211SX"/>
    <x v="0"/>
    <n v="1"/>
    <x v="2"/>
  </r>
  <r>
    <x v="3"/>
    <x v="4"/>
    <s v="C49SZX20200221MZ"/>
    <x v="1"/>
    <n v="100"/>
    <x v="2"/>
  </r>
  <r>
    <x v="3"/>
    <x v="5"/>
    <s v="C49SZX20200213MX"/>
    <x v="0"/>
    <n v="40"/>
    <x v="2"/>
  </r>
  <r>
    <x v="3"/>
    <x v="6"/>
    <s v="C49SZX20200201JY"/>
    <x v="0"/>
    <n v="400"/>
    <x v="1"/>
  </r>
  <r>
    <x v="4"/>
    <x v="6"/>
    <s v="C49SZX20200201JY"/>
    <x v="0"/>
    <n v="60"/>
    <x v="1"/>
  </r>
  <r>
    <x v="5"/>
    <x v="6"/>
    <s v="C49SZX20200201JY"/>
    <x v="0"/>
    <n v="20"/>
    <x v="1"/>
  </r>
  <r>
    <x v="8"/>
    <x v="6"/>
    <s v="C49SZX20200201JY"/>
    <x v="0"/>
    <n v="3"/>
    <x v="1"/>
  </r>
  <r>
    <x v="9"/>
    <x v="6"/>
    <s v="C49SZX20200201JY"/>
    <x v="0"/>
    <n v="2"/>
    <x v="1"/>
  </r>
  <r>
    <x v="10"/>
    <x v="6"/>
    <s v="C49SZX20200201JY"/>
    <x v="0"/>
    <n v="1"/>
    <x v="1"/>
  </r>
  <r>
    <x v="3"/>
    <x v="7"/>
    <s v="C49SZX20200227MZ"/>
    <x v="0"/>
    <n v="20"/>
    <x v="2"/>
  </r>
  <r>
    <x v="4"/>
    <x v="7"/>
    <s v="C49SZX20200227MZ"/>
    <x v="0"/>
    <n v="10"/>
    <x v="2"/>
  </r>
  <r>
    <x v="5"/>
    <x v="7"/>
    <s v="C49SZX20200227MZ"/>
    <x v="0"/>
    <n v="3"/>
    <x v="2"/>
  </r>
  <r>
    <x v="3"/>
    <x v="8"/>
    <s v="C49SZX20200228JZ"/>
    <x v="0"/>
    <n v="80"/>
    <x v="0"/>
  </r>
  <r>
    <x v="4"/>
    <x v="8"/>
    <s v="C49SZX20200228JZ"/>
    <x v="0"/>
    <n v="16"/>
    <x v="0"/>
  </r>
  <r>
    <x v="5"/>
    <x v="8"/>
    <s v="C49SZX20200228JZ"/>
    <x v="0"/>
    <n v="10"/>
    <x v="0"/>
  </r>
  <r>
    <x v="8"/>
    <x v="8"/>
    <s v="C49SZX20200228JZ"/>
    <x v="0"/>
    <n v="2"/>
    <x v="0"/>
  </r>
  <r>
    <x v="3"/>
    <x v="9"/>
    <s v="C49SZX20200218JZ"/>
    <x v="0"/>
    <n v="48"/>
    <x v="1"/>
  </r>
  <r>
    <x v="4"/>
    <x v="9"/>
    <s v="C49SZX20200218JZ"/>
    <x v="0"/>
    <n v="3"/>
    <x v="1"/>
  </r>
  <r>
    <x v="5"/>
    <x v="9"/>
    <s v="C49SZX20200218JZ"/>
    <x v="0"/>
    <n v="1"/>
    <x v="1"/>
  </r>
  <r>
    <x v="8"/>
    <x v="9"/>
    <s v="C49SZX20200218JZ"/>
    <x v="0"/>
    <n v="1"/>
    <x v="1"/>
  </r>
  <r>
    <x v="9"/>
    <x v="9"/>
    <s v="C49SZX20200218JZ"/>
    <x v="0"/>
    <n v="1"/>
    <x v="1"/>
  </r>
  <r>
    <x v="3"/>
    <x v="10"/>
    <s v="C49SZX20200230SS"/>
    <x v="0"/>
    <n v="10"/>
    <x v="2"/>
  </r>
  <r>
    <x v="4"/>
    <x v="10"/>
    <s v="C49SZX20200230SS"/>
    <x v="0"/>
    <n v="5"/>
    <x v="2"/>
  </r>
  <r>
    <x v="5"/>
    <x v="10"/>
    <s v="C49SZX20200230SS"/>
    <x v="0"/>
    <n v="1"/>
    <x v="2"/>
  </r>
  <r>
    <x v="8"/>
    <x v="10"/>
    <s v="C49SZX20200230SS"/>
    <x v="0"/>
    <n v="1"/>
    <x v="2"/>
  </r>
  <r>
    <x v="9"/>
    <x v="10"/>
    <s v="C49SZX20200230SS"/>
    <x v="0"/>
    <n v="1"/>
    <x v="2"/>
  </r>
  <r>
    <x v="10"/>
    <x v="10"/>
    <s v="C49SZX20200230SS"/>
    <x v="0"/>
    <n v="1"/>
    <x v="2"/>
  </r>
  <r>
    <x v="3"/>
    <x v="11"/>
    <s v="C49SZX20200231SX"/>
    <x v="0"/>
    <n v="5"/>
    <x v="2"/>
  </r>
  <r>
    <x v="4"/>
    <x v="11"/>
    <s v="C49SZX20200231SX"/>
    <x v="0"/>
    <n v="6"/>
    <x v="2"/>
  </r>
  <r>
    <x v="5"/>
    <x v="11"/>
    <s v="C49SZX20200231SX"/>
    <x v="0"/>
    <n v="2"/>
    <x v="2"/>
  </r>
  <r>
    <x v="3"/>
    <x v="12"/>
    <s v="C49SZX20200162CY"/>
    <x v="0"/>
    <n v="15"/>
    <x v="1"/>
  </r>
  <r>
    <x v="4"/>
    <x v="12"/>
    <s v="C49SZX20200162CY"/>
    <x v="0"/>
    <n v="3"/>
    <x v="1"/>
  </r>
  <r>
    <x v="5"/>
    <x v="12"/>
    <s v="C49SZX20200162CY"/>
    <x v="0"/>
    <n v="2"/>
    <x v="1"/>
  </r>
  <r>
    <x v="3"/>
    <x v="13"/>
    <s v="C49SZX20200237SX"/>
    <x v="0"/>
    <n v="60"/>
    <x v="1"/>
  </r>
  <r>
    <x v="4"/>
    <x v="13"/>
    <s v="C49SZX20200237SX"/>
    <x v="0"/>
    <n v="2"/>
    <x v="1"/>
  </r>
  <r>
    <x v="3"/>
    <x v="14"/>
    <s v="C49SZX20200240JL"/>
    <x v="0"/>
    <n v="90"/>
    <x v="1"/>
  </r>
  <r>
    <x v="4"/>
    <x v="14"/>
    <s v="C49SZX20200240JL"/>
    <x v="0"/>
    <n v="9"/>
    <x v="1"/>
  </r>
  <r>
    <x v="8"/>
    <x v="14"/>
    <s v="C49SZX20200240JL"/>
    <x v="0"/>
    <n v="2"/>
    <x v="1"/>
  </r>
  <r>
    <x v="3"/>
    <x v="15"/>
    <s v="C49SZX20200233JL"/>
    <x v="0"/>
    <n v="90"/>
    <x v="1"/>
  </r>
  <r>
    <x v="4"/>
    <x v="15"/>
    <s v="C49SZX20200233JL"/>
    <x v="0"/>
    <n v="9"/>
    <x v="1"/>
  </r>
  <r>
    <x v="8"/>
    <x v="15"/>
    <s v="C49SZX20200233JL"/>
    <x v="0"/>
    <n v="2"/>
    <x v="1"/>
  </r>
  <r>
    <x v="0"/>
    <x v="16"/>
    <s v="C49SZX20200239JL"/>
    <x v="0"/>
    <n v="300"/>
    <x v="1"/>
  </r>
  <r>
    <x v="4"/>
    <x v="16"/>
    <s v="C49SZX20200239JL"/>
    <x v="0"/>
    <n v="50"/>
    <x v="1"/>
  </r>
  <r>
    <x v="5"/>
    <x v="16"/>
    <s v="C49SZX20200239JL"/>
    <x v="0"/>
    <n v="10"/>
    <x v="1"/>
  </r>
  <r>
    <x v="8"/>
    <x v="16"/>
    <s v="C49SZX20200239JL"/>
    <x v="0"/>
    <n v="10"/>
    <x v="1"/>
  </r>
  <r>
    <x v="9"/>
    <x v="16"/>
    <s v="C49SZX20200239JL"/>
    <x v="0"/>
    <n v="5"/>
    <x v="1"/>
  </r>
  <r>
    <x v="10"/>
    <x v="16"/>
    <s v="C49SZX20200239JL"/>
    <x v="0"/>
    <n v="1"/>
    <x v="1"/>
  </r>
  <r>
    <x v="11"/>
    <x v="16"/>
    <s v="C49SZX20200239JL"/>
    <x v="0"/>
    <n v="1"/>
    <x v="1"/>
  </r>
  <r>
    <x v="3"/>
    <x v="17"/>
    <s v="C49SZX20200240MZ"/>
    <x v="0"/>
    <n v="40"/>
    <x v="1"/>
  </r>
  <r>
    <x v="3"/>
    <x v="18"/>
    <s v="C49SZX20200245MZ"/>
    <x v="0"/>
    <n v="30"/>
    <x v="1"/>
  </r>
  <r>
    <x v="4"/>
    <x v="18"/>
    <s v="C49SZX20200245MZ"/>
    <x v="0"/>
    <n v="10"/>
    <x v="1"/>
  </r>
  <r>
    <x v="5"/>
    <x v="18"/>
    <s v="C49SZX20200245MZ"/>
    <x v="0"/>
    <n v="2"/>
    <x v="1"/>
  </r>
  <r>
    <x v="3"/>
    <x v="19"/>
    <s v="C49SZX20200230JY"/>
    <x v="0"/>
    <n v="72"/>
    <x v="1"/>
  </r>
  <r>
    <x v="4"/>
    <x v="19"/>
    <s v="C49SZX20200230JY"/>
    <x v="0"/>
    <n v="12"/>
    <x v="1"/>
  </r>
  <r>
    <x v="3"/>
    <x v="20"/>
    <s v="C49SZX20200243DZ"/>
    <x v="0"/>
    <n v="18"/>
    <x v="0"/>
  </r>
  <r>
    <x v="3"/>
    <x v="21"/>
    <s v="C49SZX20200248SX"/>
    <x v="1"/>
    <n v="40"/>
    <x v="0"/>
  </r>
  <r>
    <x v="4"/>
    <x v="21"/>
    <s v="C49SZX20200248SX"/>
    <x v="1"/>
    <n v="12"/>
    <x v="0"/>
  </r>
  <r>
    <x v="9"/>
    <x v="21"/>
    <s v="C49SZX20200248SX"/>
    <x v="1"/>
    <n v="2"/>
    <x v="0"/>
  </r>
  <r>
    <x v="3"/>
    <x v="22"/>
    <s v="C49SZX20200260LC"/>
    <x v="0"/>
    <n v="23"/>
    <x v="1"/>
  </r>
  <r>
    <x v="4"/>
    <x v="22"/>
    <s v="C49SZX20200260LC"/>
    <x v="0"/>
    <n v="4"/>
    <x v="1"/>
  </r>
  <r>
    <x v="5"/>
    <x v="22"/>
    <s v="C49SZX20200260LC"/>
    <x v="0"/>
    <n v="2"/>
    <x v="1"/>
  </r>
  <r>
    <x v="3"/>
    <x v="23"/>
    <s v="C49SZX20200249SX"/>
    <x v="0"/>
    <n v="32"/>
    <x v="0"/>
  </r>
  <r>
    <x v="4"/>
    <x v="23"/>
    <s v="C49SZX20200249SX"/>
    <x v="0"/>
    <n v="5"/>
    <x v="0"/>
  </r>
  <r>
    <x v="3"/>
    <x v="24"/>
    <s v="C49SZX20210005SX"/>
    <x v="0"/>
    <n v="25"/>
    <x v="3"/>
  </r>
  <r>
    <x v="4"/>
    <x v="24"/>
    <s v="C49SZX20210005SX"/>
    <x v="0"/>
    <n v="8"/>
    <x v="3"/>
  </r>
  <r>
    <x v="5"/>
    <x v="24"/>
    <s v="C49SZX20210005SX"/>
    <x v="0"/>
    <n v="2"/>
    <x v="3"/>
  </r>
  <r>
    <x v="3"/>
    <x v="25"/>
    <s v="C49SZX20210007DZ"/>
    <x v="1"/>
    <n v="90"/>
    <x v="3"/>
  </r>
  <r>
    <x v="4"/>
    <x v="25"/>
    <s v="C49SZX20210007DZ"/>
    <x v="1"/>
    <n v="30"/>
    <x v="3"/>
  </r>
  <r>
    <x v="3"/>
    <x v="26"/>
    <s v="C49SZX20210013SS"/>
    <x v="0"/>
    <n v="45"/>
    <x v="3"/>
  </r>
  <r>
    <x v="4"/>
    <x v="26"/>
    <s v="C49SZX20210013SS"/>
    <x v="0"/>
    <n v="10"/>
    <x v="3"/>
  </r>
  <r>
    <x v="5"/>
    <x v="26"/>
    <s v="C49SZX20210013SS"/>
    <x v="0"/>
    <n v="2"/>
    <x v="3"/>
  </r>
  <r>
    <x v="3"/>
    <x v="27"/>
    <s v="C49SZX20210031SX"/>
    <x v="0"/>
    <n v="110"/>
    <x v="0"/>
  </r>
  <r>
    <x v="4"/>
    <x v="27"/>
    <s v="C49SZX20210031SX"/>
    <x v="0"/>
    <n v="8"/>
    <x v="0"/>
  </r>
  <r>
    <x v="5"/>
    <x v="27"/>
    <s v="C49SZX20210031SX"/>
    <x v="0"/>
    <n v="5"/>
    <x v="0"/>
  </r>
  <r>
    <x v="3"/>
    <x v="28"/>
    <s v="C49SZX20210022VG"/>
    <x v="0"/>
    <n v="20"/>
    <x v="0"/>
  </r>
  <r>
    <x v="4"/>
    <x v="28"/>
    <s v="C49SZX20210022VG"/>
    <x v="0"/>
    <n v="5"/>
    <x v="0"/>
  </r>
  <r>
    <x v="3"/>
    <x v="29"/>
    <s v="C49SZX20210023VG"/>
    <x v="0"/>
    <n v="35"/>
    <x v="3"/>
  </r>
  <r>
    <x v="4"/>
    <x v="29"/>
    <s v="C49SZX20210023VG"/>
    <x v="0"/>
    <n v="2"/>
    <x v="3"/>
  </r>
  <r>
    <x v="3"/>
    <x v="30"/>
    <s v=" C49SZX20210026DZ"/>
    <x v="0"/>
    <n v="90"/>
    <x v="0"/>
  </r>
  <r>
    <x v="4"/>
    <x v="30"/>
    <s v=" C49SZX20210026DZ"/>
    <x v="0"/>
    <n v="10"/>
    <x v="0"/>
  </r>
  <r>
    <x v="3"/>
    <x v="31"/>
    <s v="C49SZX20210029DZ"/>
    <x v="0"/>
    <n v="133"/>
    <x v="3"/>
  </r>
  <r>
    <x v="4"/>
    <x v="31"/>
    <s v="C49SZX20210029DZ"/>
    <x v="0"/>
    <n v="35"/>
    <x v="3"/>
  </r>
  <r>
    <x v="5"/>
    <x v="31"/>
    <s v="C49SZX20210029DZ"/>
    <x v="0"/>
    <n v="10"/>
    <x v="3"/>
  </r>
  <r>
    <x v="8"/>
    <x v="31"/>
    <s v="C49SZX20210029DZ"/>
    <x v="0"/>
    <n v="5"/>
    <x v="3"/>
  </r>
  <r>
    <x v="9"/>
    <x v="31"/>
    <s v="C49SZX20210029DZ"/>
    <x v="0"/>
    <n v="2"/>
    <x v="3"/>
  </r>
  <r>
    <x v="3"/>
    <x v="32"/>
    <s v="C49SZX20210038SX"/>
    <x v="0"/>
    <n v="23"/>
    <x v="1"/>
  </r>
  <r>
    <x v="4"/>
    <x v="32"/>
    <s v="C49SZX20210038SX"/>
    <x v="0"/>
    <n v="8"/>
    <x v="1"/>
  </r>
  <r>
    <x v="5"/>
    <x v="32"/>
    <s v="C49SZX20210038SX"/>
    <x v="0"/>
    <n v="1"/>
    <x v="1"/>
  </r>
  <r>
    <x v="8"/>
    <x v="32"/>
    <s v="C49SZX20210038SX"/>
    <x v="0"/>
    <n v="1"/>
    <x v="1"/>
  </r>
  <r>
    <x v="3"/>
    <x v="33"/>
    <s v="C49SZX20210037SX"/>
    <x v="0"/>
    <n v="100"/>
    <x v="2"/>
  </r>
  <r>
    <x v="4"/>
    <x v="33"/>
    <s v="C49SZX20210037SX"/>
    <x v="0"/>
    <n v="20"/>
    <x v="2"/>
  </r>
  <r>
    <x v="3"/>
    <x v="34"/>
    <s v="C49SZX20210032JL"/>
    <x v="0"/>
    <n v="56"/>
    <x v="2"/>
  </r>
  <r>
    <x v="4"/>
    <x v="34"/>
    <s v="C49SZX20210032JL"/>
    <x v="0"/>
    <n v="2"/>
    <x v="2"/>
  </r>
  <r>
    <x v="5"/>
    <x v="34"/>
    <s v="C49SZX20210032JL"/>
    <x v="0"/>
    <n v="2"/>
    <x v="2"/>
  </r>
  <r>
    <x v="3"/>
    <x v="35"/>
    <s v="C49SZX20210043AY"/>
    <x v="0"/>
    <n v="20"/>
    <x v="3"/>
  </r>
  <r>
    <x v="4"/>
    <x v="35"/>
    <s v="C49SZX20210043AY"/>
    <x v="0"/>
    <n v="10"/>
    <x v="3"/>
  </r>
  <r>
    <x v="5"/>
    <x v="35"/>
    <s v="C49SZX20210043AY"/>
    <x v="0"/>
    <n v="1"/>
    <x v="3"/>
  </r>
  <r>
    <x v="3"/>
    <x v="36"/>
    <s v="C49SZX20210042VG"/>
    <x v="0"/>
    <n v="70"/>
    <x v="0"/>
  </r>
  <r>
    <x v="4"/>
    <x v="36"/>
    <s v="C49SZX20210042VG"/>
    <x v="0"/>
    <n v="26"/>
    <x v="0"/>
  </r>
  <r>
    <x v="5"/>
    <x v="36"/>
    <s v="C49SZX20210042VG"/>
    <x v="0"/>
    <n v="6"/>
    <x v="0"/>
  </r>
  <r>
    <x v="3"/>
    <x v="37"/>
    <s v="C49SZX20210045SX"/>
    <x v="0"/>
    <n v="90"/>
    <x v="0"/>
  </r>
  <r>
    <x v="4"/>
    <x v="37"/>
    <s v="C49SZX20210045SX"/>
    <x v="0"/>
    <n v="25"/>
    <x v="0"/>
  </r>
  <r>
    <x v="5"/>
    <x v="37"/>
    <s v="C49SZX20210045SX"/>
    <x v="0"/>
    <n v="4"/>
    <x v="0"/>
  </r>
  <r>
    <x v="3"/>
    <x v="38"/>
    <s v="C49SZX20210027DZ"/>
    <x v="0"/>
    <n v="150"/>
    <x v="0"/>
  </r>
  <r>
    <x v="4"/>
    <x v="38"/>
    <s v="C49SZX20210027DZ"/>
    <x v="0"/>
    <n v="30"/>
    <x v="0"/>
  </r>
  <r>
    <x v="5"/>
    <x v="38"/>
    <s v="C49SZX20210027DZ"/>
    <x v="0"/>
    <n v="8"/>
    <x v="0"/>
  </r>
  <r>
    <x v="8"/>
    <x v="38"/>
    <s v="C49SZX20210027DZ"/>
    <x v="0"/>
    <n v="5"/>
    <x v="0"/>
  </r>
  <r>
    <x v="9"/>
    <x v="38"/>
    <s v="C49SZX20210027DZ"/>
    <x v="0"/>
    <n v="2"/>
    <x v="0"/>
  </r>
  <r>
    <x v="12"/>
    <x v="39"/>
    <m/>
    <x v="2"/>
    <m/>
    <x v="4"/>
  </r>
  <r>
    <x v="12"/>
    <x v="39"/>
    <m/>
    <x v="2"/>
    <m/>
    <x v="4"/>
  </r>
  <r>
    <x v="12"/>
    <x v="39"/>
    <m/>
    <x v="2"/>
    <m/>
    <x v="4"/>
  </r>
  <r>
    <x v="12"/>
    <x v="39"/>
    <m/>
    <x v="2"/>
    <m/>
    <x v="4"/>
  </r>
  <r>
    <x v="12"/>
    <x v="39"/>
    <m/>
    <x v="2"/>
    <m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">
  <r>
    <x v="0"/>
    <x v="0"/>
    <s v="C49SZX20200176SX"/>
    <x v="0"/>
    <n v="20"/>
    <x v="0"/>
  </r>
  <r>
    <x v="1"/>
    <x v="0"/>
    <s v="C49SZX20200176SX"/>
    <x v="0"/>
    <n v="10"/>
    <x v="0"/>
  </r>
  <r>
    <x v="2"/>
    <x v="0"/>
    <s v="C49SZX20200176SX"/>
    <x v="0"/>
    <n v="2"/>
    <x v="0"/>
  </r>
  <r>
    <x v="3"/>
    <x v="0"/>
    <s v="C49SZX20200176SX"/>
    <x v="0"/>
    <n v="1"/>
    <x v="0"/>
  </r>
  <r>
    <x v="4"/>
    <x v="1"/>
    <s v="C49SZX20200210RSX"/>
    <x v="0"/>
    <n v="80"/>
    <x v="0"/>
  </r>
  <r>
    <x v="5"/>
    <x v="1"/>
    <s v="C49SZX20200210RSX"/>
    <x v="0"/>
    <n v="15"/>
    <x v="0"/>
  </r>
  <r>
    <x v="6"/>
    <x v="1"/>
    <s v="C49SZX20200210RSX"/>
    <x v="0"/>
    <n v="5"/>
    <x v="0"/>
  </r>
  <r>
    <x v="7"/>
    <x v="1"/>
    <s v="C49SZX20200210RSX"/>
    <x v="0"/>
    <n v="2"/>
    <x v="0"/>
  </r>
  <r>
    <x v="8"/>
    <x v="1"/>
    <s v="C49SZX20200210RSX"/>
    <x v="0"/>
    <n v="2"/>
    <x v="0"/>
  </r>
  <r>
    <x v="0"/>
    <x v="2"/>
    <s v="C49SZX20200240JL"/>
    <x v="0"/>
    <n v="90"/>
    <x v="1"/>
  </r>
  <r>
    <x v="1"/>
    <x v="2"/>
    <s v="C49SZX20200240JL"/>
    <x v="0"/>
    <n v="9"/>
    <x v="1"/>
  </r>
  <r>
    <x v="3"/>
    <x v="2"/>
    <s v="C49SZX20200240JL"/>
    <x v="0"/>
    <n v="2"/>
    <x v="1"/>
  </r>
  <r>
    <x v="0"/>
    <x v="3"/>
    <s v="C49SZX20210097JL"/>
    <x v="0"/>
    <n v="90"/>
    <x v="0"/>
  </r>
  <r>
    <x v="1"/>
    <x v="3"/>
    <s v="C49SZX20210097JL"/>
    <x v="0"/>
    <n v="9"/>
    <x v="0"/>
  </r>
  <r>
    <x v="3"/>
    <x v="3"/>
    <s v="C49SZX20210097JL"/>
    <x v="0"/>
    <n v="2"/>
    <x v="0"/>
  </r>
  <r>
    <x v="0"/>
    <x v="4"/>
    <s v="C49SZX20210015SS"/>
    <x v="1"/>
    <n v="30"/>
    <x v="0"/>
  </r>
  <r>
    <x v="1"/>
    <x v="4"/>
    <s v="C49SZX20210015SS"/>
    <x v="1"/>
    <n v="10"/>
    <x v="0"/>
  </r>
  <r>
    <x v="2"/>
    <x v="4"/>
    <s v="C49SZX20210015SS"/>
    <x v="1"/>
    <n v="2"/>
    <x v="0"/>
  </r>
  <r>
    <x v="3"/>
    <x v="4"/>
    <s v="C49SZX20210015SS"/>
    <x v="1"/>
    <n v="1"/>
    <x v="0"/>
  </r>
  <r>
    <x v="0"/>
    <x v="5"/>
    <s v="C49SZX20210031SX"/>
    <x v="0"/>
    <n v="110"/>
    <x v="1"/>
  </r>
  <r>
    <x v="1"/>
    <x v="5"/>
    <s v="C49SZX20210031SX"/>
    <x v="0"/>
    <n v="8"/>
    <x v="1"/>
  </r>
  <r>
    <x v="2"/>
    <x v="5"/>
    <s v="C49SZX20210031SX"/>
    <x v="0"/>
    <n v="5"/>
    <x v="1"/>
  </r>
  <r>
    <x v="0"/>
    <x v="6"/>
    <s v="C49SZX20210057DZ"/>
    <x v="0"/>
    <n v="107"/>
    <x v="0"/>
  </r>
  <r>
    <x v="1"/>
    <x v="6"/>
    <s v="C49SZX20210057DZ"/>
    <x v="0"/>
    <n v="2"/>
    <x v="0"/>
  </r>
  <r>
    <x v="2"/>
    <x v="6"/>
    <s v="C49SZX20210057DZ"/>
    <x v="0"/>
    <n v="5"/>
    <x v="0"/>
  </r>
  <r>
    <x v="3"/>
    <x v="6"/>
    <s v="C49SZX20210057DZ"/>
    <x v="0"/>
    <n v="1"/>
    <x v="0"/>
  </r>
  <r>
    <x v="9"/>
    <x v="6"/>
    <s v="C49SZX20210057DZ"/>
    <x v="0"/>
    <n v="1"/>
    <x v="0"/>
  </r>
  <r>
    <x v="10"/>
    <x v="6"/>
    <s v="C49SZX20210057DZ"/>
    <x v="0"/>
    <n v="1"/>
    <x v="0"/>
  </r>
  <r>
    <x v="0"/>
    <x v="7"/>
    <s v="C49SZX20210052JY"/>
    <x v="0"/>
    <n v="420"/>
    <x v="1"/>
  </r>
  <r>
    <x v="1"/>
    <x v="7"/>
    <s v="C49SZX20210052JY"/>
    <x v="0"/>
    <n v="50"/>
    <x v="1"/>
  </r>
  <r>
    <x v="2"/>
    <x v="7"/>
    <s v="C49SZX20210052JY"/>
    <x v="0"/>
    <n v="11"/>
    <x v="1"/>
  </r>
  <r>
    <x v="3"/>
    <x v="7"/>
    <s v="C49SZX20210052JY"/>
    <x v="0"/>
    <n v="4"/>
    <x v="1"/>
  </r>
  <r>
    <x v="9"/>
    <x v="7"/>
    <s v="C49SZX20210052JY"/>
    <x v="0"/>
    <n v="4"/>
    <x v="1"/>
  </r>
  <r>
    <x v="10"/>
    <x v="7"/>
    <s v="C49SZX20210052JY"/>
    <x v="0"/>
    <n v="3"/>
    <x v="1"/>
  </r>
  <r>
    <x v="0"/>
    <x v="8"/>
    <s v="C49SZX20210125DZ"/>
    <x v="0"/>
    <n v="200"/>
    <x v="0"/>
  </r>
  <r>
    <x v="2"/>
    <x v="8"/>
    <s v="C49SZX20210125DZ"/>
    <x v="0"/>
    <n v="20"/>
    <x v="0"/>
  </r>
  <r>
    <x v="3"/>
    <x v="8"/>
    <s v="C49SZX20210125DZ"/>
    <x v="0"/>
    <n v="1"/>
    <x v="0"/>
  </r>
  <r>
    <x v="0"/>
    <x v="9"/>
    <s v="C49SZX20210083SS"/>
    <x v="0"/>
    <n v="5"/>
    <x v="2"/>
  </r>
  <r>
    <x v="0"/>
    <x v="9"/>
    <s v="C49SZX20210083SS"/>
    <x v="0"/>
    <n v="310"/>
    <x v="2"/>
  </r>
  <r>
    <x v="1"/>
    <x v="9"/>
    <s v="C49SZX20210083SS"/>
    <x v="0"/>
    <n v="15"/>
    <x v="2"/>
  </r>
  <r>
    <x v="0"/>
    <x v="10"/>
    <s v="C49SZX20210073AY"/>
    <x v="0"/>
    <n v="40"/>
    <x v="2"/>
  </r>
  <r>
    <x v="1"/>
    <x v="10"/>
    <s v="C49SZX20210073AY"/>
    <x v="0"/>
    <n v="12"/>
    <x v="2"/>
  </r>
  <r>
    <x v="2"/>
    <x v="10"/>
    <s v="C49SZX20210073AY"/>
    <x v="0"/>
    <n v="3"/>
    <x v="2"/>
  </r>
  <r>
    <x v="3"/>
    <x v="10"/>
    <s v="C49SZX20210073AY"/>
    <x v="0"/>
    <n v="2"/>
    <x v="2"/>
  </r>
  <r>
    <x v="0"/>
    <x v="11"/>
    <s v="C49SZX20210072SS"/>
    <x v="0"/>
    <n v="5"/>
    <x v="2"/>
  </r>
  <r>
    <x v="0"/>
    <x v="12"/>
    <s v="C49SZX20210071SS"/>
    <x v="0"/>
    <n v="60"/>
    <x v="0"/>
  </r>
  <r>
    <x v="1"/>
    <x v="12"/>
    <s v="C49SZX20210071SS"/>
    <x v="0"/>
    <n v="10"/>
    <x v="0"/>
  </r>
  <r>
    <x v="2"/>
    <x v="12"/>
    <s v="C49SZX20210071SS"/>
    <x v="0"/>
    <n v="3"/>
    <x v="0"/>
  </r>
  <r>
    <x v="0"/>
    <x v="13"/>
    <s v="C49SZX20210082MZ"/>
    <x v="0"/>
    <n v="240"/>
    <x v="0"/>
  </r>
  <r>
    <x v="1"/>
    <x v="13"/>
    <s v="C49SZX20210082MZ"/>
    <x v="0"/>
    <n v="50"/>
    <x v="0"/>
  </r>
  <r>
    <x v="0"/>
    <x v="14"/>
    <s v="C49SZX20210092MZ"/>
    <x v="0"/>
    <n v="60"/>
    <x v="2"/>
  </r>
  <r>
    <x v="1"/>
    <x v="14"/>
    <s v="C49SZX20210092MZ"/>
    <x v="0"/>
    <n v="25"/>
    <x v="2"/>
  </r>
  <r>
    <x v="2"/>
    <x v="14"/>
    <s v="C49SZX20210092MZ"/>
    <x v="0"/>
    <n v="15"/>
    <x v="2"/>
  </r>
  <r>
    <x v="3"/>
    <x v="14"/>
    <s v="C49SZX20210092MZ"/>
    <x v="0"/>
    <n v="4"/>
    <x v="2"/>
  </r>
  <r>
    <x v="9"/>
    <x v="14"/>
    <s v="C49SZX20210092MZ"/>
    <x v="0"/>
    <n v="2"/>
    <x v="2"/>
  </r>
  <r>
    <x v="0"/>
    <x v="15"/>
    <s v="C49SZX20210091SS"/>
    <x v="0"/>
    <n v="50"/>
    <x v="0"/>
  </r>
  <r>
    <x v="1"/>
    <x v="15"/>
    <s v="C49SZX20210091SS"/>
    <x v="0"/>
    <n v="10"/>
    <x v="0"/>
  </r>
  <r>
    <x v="0"/>
    <x v="16"/>
    <s v="C49SZX20210101JD"/>
    <x v="0"/>
    <n v="45"/>
    <x v="2"/>
  </r>
  <r>
    <x v="1"/>
    <x v="16"/>
    <s v="C49SZX20210101JD"/>
    <x v="0"/>
    <n v="5"/>
    <x v="2"/>
  </r>
  <r>
    <x v="0"/>
    <x v="17"/>
    <s v="C49SZX20210106JY"/>
    <x v="0"/>
    <n v="40"/>
    <x v="0"/>
  </r>
  <r>
    <x v="4"/>
    <x v="18"/>
    <s v="C49SZX20210096JL"/>
    <x v="0"/>
    <n v="770"/>
    <x v="0"/>
  </r>
  <r>
    <x v="5"/>
    <x v="18"/>
    <s v="C49SZX20210096JL"/>
    <x v="0"/>
    <n v="180"/>
    <x v="0"/>
  </r>
  <r>
    <x v="6"/>
    <x v="18"/>
    <s v="C49SZX20210096JL"/>
    <x v="0"/>
    <n v="16"/>
    <x v="0"/>
  </r>
  <r>
    <x v="7"/>
    <x v="18"/>
    <s v="C49SZX20210096JL"/>
    <x v="0"/>
    <n v="4"/>
    <x v="0"/>
  </r>
  <r>
    <x v="8"/>
    <x v="18"/>
    <s v="C49SZX20210096JL"/>
    <x v="0"/>
    <n v="4"/>
    <x v="0"/>
  </r>
  <r>
    <x v="0"/>
    <x v="19"/>
    <s v="C49SZX20210111DZ"/>
    <x v="0"/>
    <n v="60"/>
    <x v="2"/>
  </r>
  <r>
    <x v="1"/>
    <x v="19"/>
    <s v="C49SZX20210111DZ"/>
    <x v="0"/>
    <n v="15"/>
    <x v="2"/>
  </r>
  <r>
    <x v="2"/>
    <x v="19"/>
    <s v="C49SZX20210111DZ"/>
    <x v="0"/>
    <n v="5"/>
    <x v="2"/>
  </r>
  <r>
    <x v="3"/>
    <x v="19"/>
    <s v="C49SZX20210111DZ"/>
    <x v="0"/>
    <n v="1"/>
    <x v="2"/>
  </r>
  <r>
    <x v="0"/>
    <x v="20"/>
    <s v="C49SZX20210110SS"/>
    <x v="1"/>
    <n v="46"/>
    <x v="2"/>
  </r>
  <r>
    <x v="1"/>
    <x v="20"/>
    <s v="C49SZX20210110SS"/>
    <x v="1"/>
    <n v="6"/>
    <x v="2"/>
  </r>
  <r>
    <x v="0"/>
    <x v="21"/>
    <s v="C49SZX20210108MZ"/>
    <x v="0"/>
    <n v="75"/>
    <x v="2"/>
  </r>
  <r>
    <x v="1"/>
    <x v="21"/>
    <s v="C49SZX20210108MZ"/>
    <x v="0"/>
    <n v="5"/>
    <x v="2"/>
  </r>
  <r>
    <x v="0"/>
    <x v="22"/>
    <s v="C49SZX20210114MZ"/>
    <x v="1"/>
    <n v="80"/>
    <x v="2"/>
  </r>
  <r>
    <x v="1"/>
    <x v="22"/>
    <s v="C49SZX20210114MZ"/>
    <x v="1"/>
    <n v="14"/>
    <x v="2"/>
  </r>
  <r>
    <x v="2"/>
    <x v="22"/>
    <s v="C49SZX20210114MZ"/>
    <x v="1"/>
    <n v="2"/>
    <x v="2"/>
  </r>
  <r>
    <x v="3"/>
    <x v="22"/>
    <s v="C49SZX20210114MZ"/>
    <x v="1"/>
    <n v="2"/>
    <x v="2"/>
  </r>
  <r>
    <x v="9"/>
    <x v="22"/>
    <s v="C49SZX20210114MZ"/>
    <x v="1"/>
    <n v="2"/>
    <x v="2"/>
  </r>
  <r>
    <x v="0"/>
    <x v="0"/>
    <s v="C49SZX20210113SX"/>
    <x v="0"/>
    <n v="70"/>
    <x v="2"/>
  </r>
  <r>
    <x v="1"/>
    <x v="0"/>
    <s v="C49SZX20210113SX"/>
    <x v="0"/>
    <n v="60"/>
    <x v="2"/>
  </r>
  <r>
    <x v="2"/>
    <x v="0"/>
    <s v="C49SZX20210113SX"/>
    <x v="0"/>
    <n v="7"/>
    <x v="2"/>
  </r>
  <r>
    <x v="3"/>
    <x v="0"/>
    <s v="C49SZX20210113SX"/>
    <x v="0"/>
    <n v="3"/>
    <x v="2"/>
  </r>
  <r>
    <x v="0"/>
    <x v="23"/>
    <s v="C49SZX20210118JY"/>
    <x v="0"/>
    <n v="90"/>
    <x v="1"/>
  </r>
  <r>
    <x v="1"/>
    <x v="23"/>
    <s v="C49SZX20210118JY"/>
    <x v="0"/>
    <n v="13"/>
    <x v="1"/>
  </r>
  <r>
    <x v="2"/>
    <x v="23"/>
    <s v="C49SZX20210118JY"/>
    <x v="0"/>
    <n v="9"/>
    <x v="1"/>
  </r>
  <r>
    <x v="3"/>
    <x v="23"/>
    <s v="C49SZX20210118JY"/>
    <x v="0"/>
    <n v="10"/>
    <x v="1"/>
  </r>
  <r>
    <x v="9"/>
    <x v="23"/>
    <s v="C49SZX20210118JY"/>
    <x v="0"/>
    <n v="1"/>
    <x v="1"/>
  </r>
  <r>
    <x v="0"/>
    <x v="24"/>
    <s v="C49SZX20210120JY"/>
    <x v="0"/>
    <n v="15"/>
    <x v="0"/>
  </r>
  <r>
    <x v="1"/>
    <x v="24"/>
    <s v="C49SZX20210120JY"/>
    <x v="0"/>
    <n v="10"/>
    <x v="0"/>
  </r>
  <r>
    <x v="2"/>
    <x v="24"/>
    <s v="C49SZX20210120JY"/>
    <x v="0"/>
    <n v="2"/>
    <x v="0"/>
  </r>
  <r>
    <x v="0"/>
    <x v="25"/>
    <s v="C49SZX20210128SS"/>
    <x v="0"/>
    <n v="40"/>
    <x v="1"/>
  </r>
  <r>
    <x v="1"/>
    <x v="25"/>
    <s v="C49SZX20210128SS"/>
    <x v="0"/>
    <n v="10"/>
    <x v="1"/>
  </r>
  <r>
    <x v="2"/>
    <x v="25"/>
    <s v="C49SZX20210128SS"/>
    <x v="0"/>
    <n v="2"/>
    <x v="1"/>
  </r>
  <r>
    <x v="0"/>
    <x v="26"/>
    <s v="C49SZX20210132VG"/>
    <x v="0"/>
    <n v="20"/>
    <x v="0"/>
  </r>
  <r>
    <x v="1"/>
    <x v="27"/>
    <s v="C49SZX20210129SS"/>
    <x v="0"/>
    <n v="5"/>
    <x v="2"/>
  </r>
  <r>
    <x v="0"/>
    <x v="28"/>
    <s v="C49SZX20210131SX"/>
    <x v="0"/>
    <n v="30"/>
    <x v="2"/>
  </r>
  <r>
    <x v="1"/>
    <x v="28"/>
    <s v="C49SZX20210131SX"/>
    <x v="0"/>
    <n v="4"/>
    <x v="2"/>
  </r>
  <r>
    <x v="0"/>
    <x v="29"/>
    <s v="C49SZX20210142DZ"/>
    <x v="0"/>
    <n v="70"/>
    <x v="0"/>
  </r>
  <r>
    <x v="0"/>
    <x v="30"/>
    <s v="C49SZX20210144VG"/>
    <x v="0"/>
    <n v="130"/>
    <x v="0"/>
  </r>
  <r>
    <x v="1"/>
    <x v="30"/>
    <s v="C49SZX20210144VG"/>
    <x v="0"/>
    <n v="24"/>
    <x v="0"/>
  </r>
  <r>
    <x v="2"/>
    <x v="30"/>
    <s v="C49SZX20210144VG"/>
    <x v="0"/>
    <n v="2"/>
    <x v="0"/>
  </r>
  <r>
    <x v="0"/>
    <x v="31"/>
    <s v="C49SZX20210167MW"/>
    <x v="0"/>
    <n v="15"/>
    <x v="2"/>
  </r>
  <r>
    <x v="1"/>
    <x v="31"/>
    <s v="C49SZX20210167MW"/>
    <x v="0"/>
    <n v="4"/>
    <x v="2"/>
  </r>
  <r>
    <x v="2"/>
    <x v="31"/>
    <s v="C49SZX20210167MW"/>
    <x v="0"/>
    <n v="1"/>
    <x v="2"/>
  </r>
  <r>
    <x v="0"/>
    <x v="32"/>
    <s v="C49SZX20210152SX"/>
    <x v="0"/>
    <n v="112"/>
    <x v="2"/>
  </r>
  <r>
    <x v="1"/>
    <x v="32"/>
    <s v="C49SZX20210152SX"/>
    <x v="0"/>
    <n v="21"/>
    <x v="2"/>
  </r>
  <r>
    <x v="2"/>
    <x v="32"/>
    <s v="C49SZX20210152SX"/>
    <x v="0"/>
    <n v="7"/>
    <x v="2"/>
  </r>
  <r>
    <x v="0"/>
    <x v="33"/>
    <s v="C49SZX20210172EC"/>
    <x v="1"/>
    <n v="30"/>
    <x v="2"/>
  </r>
  <r>
    <x v="1"/>
    <x v="33"/>
    <s v="C49SZX20210172EC"/>
    <x v="1"/>
    <n v="2"/>
    <x v="2"/>
  </r>
  <r>
    <x v="2"/>
    <x v="33"/>
    <s v="C49SZX20210172EC"/>
    <x v="1"/>
    <n v="1"/>
    <x v="2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4">
  <r>
    <x v="0"/>
    <x v="0"/>
    <x v="0"/>
    <x v="0"/>
    <m/>
    <m/>
    <m/>
    <m/>
    <x v="0"/>
    <n v="109130"/>
    <x v="0"/>
    <x v="0"/>
    <x v="0"/>
    <x v="0"/>
    <n v="38832500"/>
    <x v="0"/>
    <x v="0"/>
    <x v="0"/>
    <d v="2018-02-07T00:00:00"/>
    <x v="0"/>
    <x v="0"/>
    <x v="0"/>
    <x v="0"/>
    <n v="5.9299999999999999E-2"/>
    <n v="7.2900000000000006E-2"/>
  </r>
  <r>
    <x v="0"/>
    <x v="0"/>
    <x v="0"/>
    <x v="0"/>
    <m/>
    <m/>
    <m/>
    <m/>
    <x v="0"/>
    <n v="109131"/>
    <x v="0"/>
    <x v="0"/>
    <x v="0"/>
    <x v="1"/>
    <n v="63822500"/>
    <x v="0"/>
    <x v="0"/>
    <x v="0"/>
    <d v="2018-02-28T00:00:00"/>
    <x v="1"/>
    <x v="0"/>
    <x v="0"/>
    <x v="0"/>
    <n v="5.9299999999999999E-2"/>
    <n v="7.2900000000000006E-2"/>
  </r>
  <r>
    <x v="0"/>
    <x v="0"/>
    <x v="1"/>
    <x v="0"/>
    <m/>
    <m/>
    <m/>
    <m/>
    <x v="0"/>
    <n v="109110"/>
    <x v="0"/>
    <x v="1"/>
    <x v="1"/>
    <x v="2"/>
    <n v="43843027"/>
    <x v="0"/>
    <x v="0"/>
    <x v="0"/>
    <d v="2018-04-06T00:00:00"/>
    <x v="2"/>
    <x v="0"/>
    <x v="0"/>
    <x v="0"/>
    <s v="no mismatch"/>
    <s v="no mismatch"/>
  </r>
  <r>
    <x v="0"/>
    <x v="0"/>
    <x v="0"/>
    <x v="0"/>
    <m/>
    <m/>
    <m/>
    <m/>
    <x v="0"/>
    <n v="109133"/>
    <x v="0"/>
    <x v="2"/>
    <x v="2"/>
    <x v="2"/>
    <n v="89153385"/>
    <x v="0"/>
    <x v="0"/>
    <x v="0"/>
    <d v="2018-03-07T00:00:00"/>
    <x v="3"/>
    <x v="0"/>
    <x v="0"/>
    <x v="0"/>
    <n v="5.9299999999999999E-2"/>
    <n v="7.2900000000000006E-2"/>
  </r>
  <r>
    <x v="0"/>
    <x v="0"/>
    <x v="0"/>
    <x v="0"/>
    <m/>
    <m/>
    <m/>
    <m/>
    <x v="0"/>
    <n v="109133"/>
    <x v="0"/>
    <x v="2"/>
    <x v="3"/>
    <x v="3"/>
    <n v="0"/>
    <x v="0"/>
    <x v="0"/>
    <x v="0"/>
    <d v="2018-03-07T00:00:00"/>
    <x v="3"/>
    <x v="0"/>
    <x v="0"/>
    <x v="0"/>
    <n v="5.9299999999999999E-2"/>
    <n v="7.2900000000000006E-2"/>
  </r>
  <r>
    <x v="0"/>
    <x v="0"/>
    <x v="0"/>
    <x v="0"/>
    <m/>
    <m/>
    <m/>
    <m/>
    <x v="0"/>
    <n v="109133"/>
    <x v="0"/>
    <x v="2"/>
    <x v="4"/>
    <x v="4"/>
    <n v="0"/>
    <x v="0"/>
    <x v="0"/>
    <x v="0"/>
    <d v="2018-03-07T00:00:00"/>
    <x v="3"/>
    <x v="0"/>
    <x v="0"/>
    <x v="0"/>
    <n v="5.9299999999999999E-2"/>
    <n v="7.2900000000000006E-2"/>
  </r>
  <r>
    <x v="0"/>
    <x v="0"/>
    <x v="0"/>
    <x v="0"/>
    <m/>
    <m/>
    <m/>
    <m/>
    <x v="0"/>
    <n v="109217"/>
    <x v="0"/>
    <x v="3"/>
    <x v="1"/>
    <x v="2"/>
    <n v="43830661"/>
    <x v="0"/>
    <x v="0"/>
    <x v="0"/>
    <d v="2018-04-06T00:00:00"/>
    <x v="2"/>
    <x v="0"/>
    <x v="0"/>
    <x v="0"/>
    <n v="5.96E-2"/>
    <n v="7.3200000000000001E-2"/>
  </r>
  <r>
    <x v="0"/>
    <x v="0"/>
    <x v="0"/>
    <x v="0"/>
    <m/>
    <m/>
    <m/>
    <m/>
    <x v="0"/>
    <n v="109109"/>
    <x v="0"/>
    <x v="2"/>
    <x v="0"/>
    <x v="3"/>
    <n v="63040000"/>
    <x v="0"/>
    <x v="0"/>
    <x v="0"/>
    <d v="2018-04-18T00:00:00"/>
    <x v="4"/>
    <x v="0"/>
    <x v="0"/>
    <x v="0"/>
    <n v="5.96E-2"/>
    <n v="7.3200000000000001E-2"/>
  </r>
  <r>
    <x v="0"/>
    <x v="0"/>
    <x v="0"/>
    <x v="0"/>
    <m/>
    <m/>
    <m/>
    <m/>
    <x v="0"/>
    <n v="109157"/>
    <x v="0"/>
    <x v="4"/>
    <x v="0"/>
    <x v="0"/>
    <n v="40670000"/>
    <x v="0"/>
    <x v="0"/>
    <x v="0"/>
    <d v="2018-05-16T00:00:00"/>
    <x v="5"/>
    <x v="0"/>
    <x v="0"/>
    <x v="0"/>
    <n v="5.9400000000000001E-2"/>
    <n v="7.3099999999999998E-2"/>
  </r>
  <r>
    <x v="0"/>
    <x v="0"/>
    <x v="0"/>
    <x v="0"/>
    <m/>
    <m/>
    <m/>
    <m/>
    <x v="0"/>
    <n v="109210"/>
    <x v="0"/>
    <x v="5"/>
    <x v="0"/>
    <x v="5"/>
    <n v="16333560"/>
    <x v="0"/>
    <x v="0"/>
    <x v="0"/>
    <d v="2018-05-18T00:00:00"/>
    <x v="6"/>
    <x v="0"/>
    <x v="0"/>
    <x v="0"/>
    <n v="5.9400000000000001E-2"/>
    <n v="7.3099999999999998E-2"/>
  </r>
  <r>
    <x v="0"/>
    <x v="0"/>
    <x v="0"/>
    <x v="0"/>
    <m/>
    <m/>
    <m/>
    <m/>
    <x v="0"/>
    <n v="109177"/>
    <x v="0"/>
    <x v="2"/>
    <x v="2"/>
    <x v="6"/>
    <n v="44174100"/>
    <x v="0"/>
    <x v="0"/>
    <x v="0"/>
    <d v="2018-05-02T00:00:00"/>
    <x v="7"/>
    <x v="0"/>
    <x v="0"/>
    <x v="0"/>
    <n v="5.9400000000000001E-2"/>
    <n v="7.3099999999999998E-2"/>
  </r>
  <r>
    <x v="0"/>
    <x v="0"/>
    <x v="0"/>
    <x v="0"/>
    <m/>
    <m/>
    <m/>
    <m/>
    <x v="0"/>
    <n v="109234"/>
    <x v="0"/>
    <x v="6"/>
    <x v="2"/>
    <x v="6"/>
    <n v="40506600"/>
    <x v="0"/>
    <x v="0"/>
    <x v="0"/>
    <d v="2018-05-16T00:00:00"/>
    <x v="5"/>
    <x v="0"/>
    <x v="0"/>
    <x v="0"/>
    <n v="5.9400000000000001E-2"/>
    <n v="7.3099999999999998E-2"/>
  </r>
  <r>
    <x v="0"/>
    <x v="0"/>
    <x v="0"/>
    <x v="0"/>
    <m/>
    <m/>
    <m/>
    <m/>
    <x v="0"/>
    <n v="109235"/>
    <x v="0"/>
    <x v="6"/>
    <x v="2"/>
    <x v="4"/>
    <n v="23290800"/>
    <x v="0"/>
    <x v="0"/>
    <x v="0"/>
    <d v="2018-06-06T00:00:00"/>
    <x v="8"/>
    <x v="0"/>
    <x v="0"/>
    <x v="0"/>
    <n v="5.9400000000000001E-2"/>
    <n v="7.3099999999999998E-2"/>
  </r>
  <r>
    <x v="0"/>
    <x v="0"/>
    <x v="0"/>
    <x v="0"/>
    <m/>
    <m/>
    <m/>
    <m/>
    <x v="0"/>
    <n v="109211"/>
    <x v="0"/>
    <x v="7"/>
    <x v="5"/>
    <x v="2"/>
    <n v="19819950"/>
    <x v="0"/>
    <x v="0"/>
    <x v="0"/>
    <d v="2018-05-02T00:00:00"/>
    <x v="7"/>
    <x v="0"/>
    <x v="0"/>
    <x v="0"/>
    <n v="5.9400000000000001E-2"/>
    <n v="7.3099999999999998E-2"/>
  </r>
  <r>
    <x v="0"/>
    <x v="0"/>
    <x v="0"/>
    <x v="0"/>
    <m/>
    <m/>
    <m/>
    <m/>
    <x v="0"/>
    <n v="109213"/>
    <x v="0"/>
    <x v="8"/>
    <x v="2"/>
    <x v="6"/>
    <n v="52017600"/>
    <x v="0"/>
    <x v="0"/>
    <x v="0"/>
    <d v="2018-06-15T00:00:00"/>
    <x v="9"/>
    <x v="0"/>
    <x v="0"/>
    <x v="0"/>
    <n v="5.9499999999999997E-2"/>
    <n v="7.22E-2"/>
  </r>
  <r>
    <x v="0"/>
    <x v="0"/>
    <x v="0"/>
    <x v="0"/>
    <m/>
    <m/>
    <m/>
    <m/>
    <x v="0"/>
    <n v="109168"/>
    <x v="0"/>
    <x v="9"/>
    <x v="6"/>
    <x v="4"/>
    <n v="37135498"/>
    <x v="0"/>
    <x v="0"/>
    <x v="0"/>
    <d v="2018-06-20T00:00:00"/>
    <x v="10"/>
    <x v="0"/>
    <x v="0"/>
    <x v="0"/>
    <n v="5.9499999999999997E-2"/>
    <n v="7.22E-2"/>
  </r>
  <r>
    <x v="0"/>
    <x v="0"/>
    <x v="0"/>
    <x v="0"/>
    <m/>
    <m/>
    <m/>
    <m/>
    <x v="0"/>
    <n v="109158"/>
    <x v="0"/>
    <x v="4"/>
    <x v="0"/>
    <x v="0"/>
    <n v="33320000"/>
    <x v="0"/>
    <x v="0"/>
    <x v="0"/>
    <d v="2018-05-18T00:00:00"/>
    <x v="6"/>
    <x v="0"/>
    <x v="0"/>
    <x v="0"/>
    <n v="5.9499999999999997E-2"/>
    <n v="7.22E-2"/>
  </r>
  <r>
    <x v="0"/>
    <x v="0"/>
    <x v="0"/>
    <x v="0"/>
    <m/>
    <m/>
    <m/>
    <m/>
    <x v="0"/>
    <n v="109218"/>
    <x v="0"/>
    <x v="3"/>
    <x v="1"/>
    <x v="0"/>
    <n v="82567851"/>
    <x v="0"/>
    <x v="0"/>
    <x v="0"/>
    <d v="2018-06-13T00:00:00"/>
    <x v="11"/>
    <x v="0"/>
    <x v="0"/>
    <x v="0"/>
    <n v="5.9499999999999997E-2"/>
    <n v="7.22E-2"/>
  </r>
  <r>
    <x v="0"/>
    <x v="0"/>
    <x v="0"/>
    <x v="0"/>
    <m/>
    <m/>
    <m/>
    <m/>
    <x v="0"/>
    <n v="109282"/>
    <x v="0"/>
    <x v="10"/>
    <x v="2"/>
    <x v="7"/>
    <n v="58058800"/>
    <x v="0"/>
    <x v="0"/>
    <x v="0"/>
    <d v="2018-07-04T00:00:00"/>
    <x v="12"/>
    <x v="0"/>
    <x v="0"/>
    <x v="0"/>
    <n v="5.9499999999999997E-2"/>
    <n v="7.22E-2"/>
  </r>
  <r>
    <x v="0"/>
    <x v="1"/>
    <x v="0"/>
    <x v="0"/>
    <m/>
    <m/>
    <m/>
    <m/>
    <x v="0"/>
    <n v="109318"/>
    <x v="0"/>
    <x v="11"/>
    <x v="7"/>
    <x v="2"/>
    <n v="9060000"/>
    <x v="0"/>
    <x v="0"/>
    <x v="0"/>
    <d v="2018-06-27T00:00:00"/>
    <x v="13"/>
    <x v="0"/>
    <x v="0"/>
    <x v="0"/>
    <n v="5.9499999999999997E-2"/>
    <n v="7.22E-2"/>
  </r>
  <r>
    <x v="0"/>
    <x v="0"/>
    <x v="0"/>
    <x v="0"/>
    <m/>
    <m/>
    <m/>
    <m/>
    <x v="0"/>
    <n v="109305"/>
    <x v="0"/>
    <x v="12"/>
    <x v="0"/>
    <x v="5"/>
    <n v="8330000"/>
    <x v="0"/>
    <x v="0"/>
    <x v="0"/>
    <d v="2018-06-29T00:00:00"/>
    <x v="14"/>
    <x v="0"/>
    <x v="0"/>
    <x v="0"/>
    <n v="5.9499999999999997E-2"/>
    <n v="7.22E-2"/>
  </r>
  <r>
    <x v="0"/>
    <x v="0"/>
    <x v="0"/>
    <x v="0"/>
    <m/>
    <m/>
    <m/>
    <m/>
    <x v="0"/>
    <n v="109257"/>
    <x v="0"/>
    <x v="13"/>
    <x v="2"/>
    <x v="4"/>
    <n v="23462550"/>
    <x v="0"/>
    <x v="0"/>
    <x v="0"/>
    <d v="2018-07-06T00:00:00"/>
    <x v="15"/>
    <x v="0"/>
    <x v="0"/>
    <x v="0"/>
    <n v="6.08E-2"/>
    <n v="7.17E-2"/>
  </r>
  <r>
    <x v="0"/>
    <x v="0"/>
    <x v="0"/>
    <x v="0"/>
    <m/>
    <m/>
    <m/>
    <m/>
    <x v="0"/>
    <n v="109285"/>
    <x v="0"/>
    <x v="14"/>
    <x v="8"/>
    <x v="5"/>
    <n v="9909975"/>
    <x v="0"/>
    <x v="0"/>
    <x v="0"/>
    <d v="2018-07-11T00:00:00"/>
    <x v="16"/>
    <x v="0"/>
    <x v="0"/>
    <x v="0"/>
    <n v="6.08E-2"/>
    <n v="7.17E-2"/>
  </r>
  <r>
    <x v="0"/>
    <x v="0"/>
    <x v="0"/>
    <x v="0"/>
    <m/>
    <m/>
    <m/>
    <m/>
    <x v="0"/>
    <n v="109322"/>
    <x v="0"/>
    <x v="15"/>
    <x v="2"/>
    <x v="8"/>
    <n v="77008500"/>
    <x v="0"/>
    <x v="0"/>
    <x v="0"/>
    <d v="2018-07-11T00:00:00"/>
    <x v="16"/>
    <x v="0"/>
    <x v="0"/>
    <x v="0"/>
    <n v="6.08E-2"/>
    <n v="7.17E-2"/>
  </r>
  <r>
    <x v="0"/>
    <x v="0"/>
    <x v="0"/>
    <x v="0"/>
    <m/>
    <m/>
    <m/>
    <m/>
    <x v="0"/>
    <n v="109341"/>
    <x v="0"/>
    <x v="16"/>
    <x v="0"/>
    <x v="2"/>
    <n v="20335000"/>
    <x v="0"/>
    <x v="0"/>
    <x v="0"/>
    <d v="2018-07-25T00:00:00"/>
    <x v="17"/>
    <x v="0"/>
    <x v="0"/>
    <x v="0"/>
    <n v="6.08E-2"/>
    <n v="7.17E-2"/>
  </r>
  <r>
    <x v="0"/>
    <x v="0"/>
    <x v="0"/>
    <x v="0"/>
    <m/>
    <m/>
    <m/>
    <m/>
    <x v="0"/>
    <n v="109342"/>
    <x v="0"/>
    <x v="16"/>
    <x v="0"/>
    <x v="0"/>
    <n v="43182500"/>
    <x v="0"/>
    <x v="0"/>
    <x v="0"/>
    <d v="2018-07-18T00:00:00"/>
    <x v="18"/>
    <x v="0"/>
    <x v="0"/>
    <x v="0"/>
    <n v="6.08E-2"/>
    <n v="7.17E-2"/>
  </r>
  <r>
    <x v="0"/>
    <x v="0"/>
    <x v="0"/>
    <x v="0"/>
    <m/>
    <m/>
    <m/>
    <m/>
    <x v="0"/>
    <n v="109284"/>
    <x v="0"/>
    <x v="10"/>
    <x v="2"/>
    <x v="2"/>
    <n v="15527200"/>
    <x v="0"/>
    <x v="0"/>
    <x v="0"/>
    <d v="2018-07-27T00:00:00"/>
    <x v="19"/>
    <x v="0"/>
    <x v="0"/>
    <x v="0"/>
    <n v="6.08E-2"/>
    <n v="7.17E-2"/>
  </r>
  <r>
    <x v="0"/>
    <x v="0"/>
    <x v="0"/>
    <x v="0"/>
    <m/>
    <m/>
    <m/>
    <m/>
    <x v="0"/>
    <n v="109185"/>
    <x v="0"/>
    <x v="17"/>
    <x v="6"/>
    <x v="2"/>
    <n v="25329907"/>
    <x v="0"/>
    <x v="0"/>
    <x v="0"/>
    <d v="2018-07-27T00:00:00"/>
    <x v="19"/>
    <x v="0"/>
    <x v="0"/>
    <x v="0"/>
    <n v="6.08E-2"/>
    <n v="7.17E-2"/>
  </r>
  <r>
    <x v="0"/>
    <x v="0"/>
    <x v="0"/>
    <x v="0"/>
    <s v="DC TST115465"/>
    <m/>
    <m/>
    <m/>
    <x v="0"/>
    <n v="109221"/>
    <x v="0"/>
    <x v="18"/>
    <x v="6"/>
    <x v="2"/>
    <n v="21544240"/>
    <x v="0"/>
    <x v="0"/>
    <x v="0"/>
    <d v="2018-08-08T00:00:00"/>
    <x v="20"/>
    <x v="0"/>
    <x v="0"/>
    <x v="0"/>
    <n v="6.1499999999999999E-2"/>
    <n v="7.1300000000000002E-2"/>
  </r>
  <r>
    <x v="0"/>
    <x v="0"/>
    <x v="0"/>
    <x v="0"/>
    <s v="DC TST115460"/>
    <m/>
    <m/>
    <m/>
    <x v="0"/>
    <n v="109151"/>
    <x v="0"/>
    <x v="2"/>
    <x v="0"/>
    <x v="3"/>
    <n v="56350000"/>
    <x v="0"/>
    <x v="0"/>
    <x v="0"/>
    <d v="2018-08-03T00:00:00"/>
    <x v="21"/>
    <x v="0"/>
    <x v="0"/>
    <x v="0"/>
    <n v="6.1499999999999999E-2"/>
    <n v="7.1300000000000002E-2"/>
  </r>
  <r>
    <x v="0"/>
    <x v="0"/>
    <x v="0"/>
    <x v="0"/>
    <s v="DC TST115459"/>
    <m/>
    <m/>
    <m/>
    <x v="0"/>
    <n v="109340"/>
    <x v="0"/>
    <x v="19"/>
    <x v="9"/>
    <x v="2"/>
    <n v="15092905"/>
    <x v="0"/>
    <x v="0"/>
    <x v="0"/>
    <d v="2018-08-08T00:00:00"/>
    <x v="20"/>
    <x v="0"/>
    <x v="0"/>
    <x v="0"/>
    <n v="6.1499999999999999E-2"/>
    <n v="7.1300000000000002E-2"/>
  </r>
  <r>
    <x v="0"/>
    <x v="0"/>
    <x v="0"/>
    <x v="0"/>
    <s v="DC TST116425"/>
    <m/>
    <m/>
    <m/>
    <x v="0"/>
    <n v="109323"/>
    <x v="0"/>
    <x v="20"/>
    <x v="2"/>
    <x v="2"/>
    <n v="12859200"/>
    <x v="0"/>
    <x v="0"/>
    <x v="0"/>
    <d v="2018-08-15T00:00:00"/>
    <x v="22"/>
    <x v="0"/>
    <x v="0"/>
    <x v="0"/>
    <n v="6.1499999999999999E-2"/>
    <n v="7.1300000000000002E-2"/>
  </r>
  <r>
    <x v="0"/>
    <x v="0"/>
    <x v="0"/>
    <x v="0"/>
    <s v="DC TST115471"/>
    <m/>
    <m/>
    <m/>
    <x v="0"/>
    <n v="109238"/>
    <x v="0"/>
    <x v="21"/>
    <x v="2"/>
    <x v="8"/>
    <n v="84818500"/>
    <x v="0"/>
    <x v="0"/>
    <x v="0"/>
    <d v="2018-08-15T00:00:00"/>
    <x v="22"/>
    <x v="0"/>
    <x v="0"/>
    <x v="0"/>
    <n v="6.1499999999999999E-2"/>
    <n v="7.1300000000000002E-2"/>
  </r>
  <r>
    <x v="0"/>
    <x v="0"/>
    <x v="0"/>
    <x v="0"/>
    <s v="DC TST115479"/>
    <m/>
    <m/>
    <m/>
    <x v="0"/>
    <n v="109202"/>
    <x v="0"/>
    <x v="22"/>
    <x v="6"/>
    <x v="1"/>
    <n v="77834107"/>
    <x v="0"/>
    <x v="0"/>
    <x v="0"/>
    <d v="2018-09-05T00:00:00"/>
    <x v="23"/>
    <x v="0"/>
    <x v="0"/>
    <x v="0"/>
    <n v="6.3E-2"/>
    <n v="7.2499999999999995E-2"/>
  </r>
  <r>
    <x v="0"/>
    <x v="0"/>
    <x v="0"/>
    <x v="0"/>
    <s v="DC TST115478"/>
    <m/>
    <m/>
    <m/>
    <x v="0"/>
    <n v="109239"/>
    <x v="0"/>
    <x v="23"/>
    <x v="2"/>
    <x v="6"/>
    <n v="59001600"/>
    <x v="0"/>
    <x v="0"/>
    <x v="0"/>
    <d v="2018-09-07T00:00:00"/>
    <x v="24"/>
    <x v="0"/>
    <x v="0"/>
    <x v="0"/>
    <n v="6.3E-2"/>
    <n v="7.2499999999999995E-2"/>
  </r>
  <r>
    <x v="0"/>
    <x v="0"/>
    <x v="0"/>
    <x v="0"/>
    <s v="DC TST115485"/>
    <m/>
    <m/>
    <m/>
    <x v="0"/>
    <n v="109416"/>
    <x v="0"/>
    <x v="24"/>
    <x v="2"/>
    <x v="2"/>
    <n v="15527200"/>
    <x v="0"/>
    <x v="0"/>
    <x v="0"/>
    <d v="2018-09-19T00:00:00"/>
    <x v="25"/>
    <x v="0"/>
    <x v="0"/>
    <x v="0"/>
    <n v="6.3E-2"/>
    <n v="7.2499999999999995E-2"/>
  </r>
  <r>
    <x v="0"/>
    <x v="0"/>
    <x v="0"/>
    <x v="0"/>
    <s v="DC TST115482"/>
    <m/>
    <m/>
    <m/>
    <x v="0"/>
    <n v="109354"/>
    <x v="0"/>
    <x v="16"/>
    <x v="0"/>
    <x v="0"/>
    <n v="33320000"/>
    <x v="0"/>
    <x v="0"/>
    <x v="0"/>
    <d v="2018-09-12T00:00:00"/>
    <x v="26"/>
    <x v="0"/>
    <x v="0"/>
    <x v="0"/>
    <n v="6.3E-2"/>
    <n v="7.2499999999999995E-2"/>
  </r>
  <r>
    <x v="0"/>
    <x v="0"/>
    <x v="1"/>
    <x v="0"/>
    <s v="DC TST115483"/>
    <m/>
    <m/>
    <m/>
    <x v="0"/>
    <n v="109226"/>
    <x v="0"/>
    <x v="25"/>
    <x v="6"/>
    <x v="5"/>
    <n v="17385536"/>
    <x v="0"/>
    <x v="0"/>
    <x v="0"/>
    <d v="2018-09-14T00:00:00"/>
    <x v="27"/>
    <x v="0"/>
    <x v="0"/>
    <x v="0"/>
    <n v="6.3E-2"/>
    <n v="7.2499999999999995E-2"/>
  </r>
  <r>
    <x v="0"/>
    <x v="0"/>
    <x v="0"/>
    <x v="0"/>
    <s v="DC TST115488"/>
    <m/>
    <m/>
    <m/>
    <x v="0"/>
    <n v="109352"/>
    <x v="0"/>
    <x v="26"/>
    <x v="6"/>
    <x v="7"/>
    <n v="99544617"/>
    <x v="0"/>
    <x v="0"/>
    <x v="0"/>
    <d v="2018-09-14T00:00:00"/>
    <x v="27"/>
    <x v="0"/>
    <x v="0"/>
    <x v="0"/>
    <n v="6.3E-2"/>
    <n v="7.2499999999999995E-2"/>
  </r>
  <r>
    <x v="0"/>
    <x v="0"/>
    <x v="0"/>
    <x v="0"/>
    <s v="DC TST115486"/>
    <m/>
    <m/>
    <m/>
    <x v="0"/>
    <n v="109360"/>
    <x v="0"/>
    <x v="27"/>
    <x v="2"/>
    <x v="2"/>
    <n v="12827200"/>
    <x v="0"/>
    <x v="0"/>
    <x v="0"/>
    <d v="2018-09-19T00:00:00"/>
    <x v="25"/>
    <x v="0"/>
    <x v="0"/>
    <x v="0"/>
    <n v="6.3E-2"/>
    <n v="7.2499999999999995E-2"/>
  </r>
  <r>
    <x v="0"/>
    <x v="0"/>
    <x v="0"/>
    <x v="0"/>
    <s v="DC TST116108"/>
    <m/>
    <m/>
    <m/>
    <x v="0"/>
    <n v="109381"/>
    <x v="0"/>
    <x v="28"/>
    <x v="2"/>
    <x v="9"/>
    <n v="80338200"/>
    <x v="0"/>
    <x v="0"/>
    <x v="0"/>
    <d v="2018-10-05T00:00:00"/>
    <x v="28"/>
    <x v="0"/>
    <x v="0"/>
    <x v="0"/>
    <n v="6.2399999999999997E-2"/>
    <n v="7.1800000000000003E-2"/>
  </r>
  <r>
    <x v="0"/>
    <x v="0"/>
    <x v="0"/>
    <x v="0"/>
    <s v="DC TST116105"/>
    <m/>
    <m/>
    <m/>
    <x v="0"/>
    <n v="109413"/>
    <x v="0"/>
    <x v="29"/>
    <x v="2"/>
    <x v="2"/>
    <n v="14404800"/>
    <x v="0"/>
    <x v="0"/>
    <x v="0"/>
    <d v="2018-10-05T00:00:00"/>
    <x v="28"/>
    <x v="0"/>
    <x v="0"/>
    <x v="0"/>
    <n v="6.2399999999999997E-2"/>
    <n v="7.1800000000000003E-2"/>
  </r>
  <r>
    <x v="0"/>
    <x v="0"/>
    <x v="0"/>
    <x v="0"/>
    <s v="DC TST116106"/>
    <m/>
    <m/>
    <m/>
    <x v="0"/>
    <n v="109156"/>
    <x v="0"/>
    <x v="2"/>
    <x v="0"/>
    <x v="0"/>
    <n v="49098500"/>
    <x v="0"/>
    <x v="0"/>
    <x v="0"/>
    <d v="2018-09-21T00:00:00"/>
    <x v="29"/>
    <x v="0"/>
    <x v="0"/>
    <x v="0"/>
    <n v="6.2399999999999997E-2"/>
    <n v="7.1800000000000003E-2"/>
  </r>
  <r>
    <x v="0"/>
    <x v="0"/>
    <x v="0"/>
    <x v="0"/>
    <s v="DC TST116117"/>
    <m/>
    <m/>
    <m/>
    <x v="0"/>
    <n v="109264"/>
    <x v="0"/>
    <x v="30"/>
    <x v="6"/>
    <x v="2"/>
    <n v="23917830"/>
    <x v="0"/>
    <x v="0"/>
    <x v="0"/>
    <d v="2018-10-12T00:00:00"/>
    <x v="30"/>
    <x v="0"/>
    <x v="0"/>
    <x v="0"/>
    <n v="6.2399999999999997E-2"/>
    <n v="7.1800000000000003E-2"/>
  </r>
  <r>
    <x v="0"/>
    <x v="0"/>
    <x v="0"/>
    <x v="0"/>
    <s v="DC TST116116"/>
    <m/>
    <m/>
    <m/>
    <x v="0"/>
    <n v="109382"/>
    <x v="0"/>
    <x v="31"/>
    <x v="6"/>
    <x v="2"/>
    <n v="24300856"/>
    <x v="0"/>
    <x v="0"/>
    <x v="0"/>
    <d v="2018-10-10T00:00:00"/>
    <x v="31"/>
    <x v="0"/>
    <x v="0"/>
    <x v="0"/>
    <n v="6.1600000000000002E-2"/>
    <n v="7.0199999999999999E-2"/>
  </r>
  <r>
    <x v="0"/>
    <x v="0"/>
    <x v="0"/>
    <x v="0"/>
    <s v="DC TST116125"/>
    <m/>
    <m/>
    <m/>
    <x v="0"/>
    <n v="109331"/>
    <x v="0"/>
    <x v="32"/>
    <x v="6"/>
    <x v="2"/>
    <n v="24514678"/>
    <x v="0"/>
    <x v="0"/>
    <x v="0"/>
    <d v="2018-10-31T00:00:00"/>
    <x v="32"/>
    <x v="0"/>
    <x v="0"/>
    <x v="0"/>
    <n v="6.1600000000000002E-2"/>
    <n v="7.0199999999999999E-2"/>
  </r>
  <r>
    <x v="0"/>
    <x v="0"/>
    <x v="0"/>
    <x v="0"/>
    <s v="DC TST116124"/>
    <m/>
    <m/>
    <m/>
    <x v="0"/>
    <n v="109288"/>
    <x v="0"/>
    <x v="33"/>
    <x v="6"/>
    <x v="2"/>
    <n v="25093830"/>
    <x v="0"/>
    <x v="0"/>
    <x v="0"/>
    <d v="2018-10-24T00:00:00"/>
    <x v="33"/>
    <x v="0"/>
    <x v="0"/>
    <x v="0"/>
    <n v="6.1600000000000002E-2"/>
    <n v="7.0199999999999999E-2"/>
  </r>
  <r>
    <x v="0"/>
    <x v="0"/>
    <x v="0"/>
    <x v="0"/>
    <s v="DC TST116133"/>
    <m/>
    <m/>
    <m/>
    <x v="0"/>
    <n v="109308"/>
    <x v="0"/>
    <x v="34"/>
    <x v="6"/>
    <x v="2"/>
    <n v="31788814"/>
    <x v="0"/>
    <x v="0"/>
    <x v="0"/>
    <d v="2018-11-07T00:00:00"/>
    <x v="34"/>
    <x v="0"/>
    <x v="0"/>
    <x v="0"/>
    <n v="6.1600000000000002E-2"/>
    <n v="7.0199999999999999E-2"/>
  </r>
  <r>
    <x v="0"/>
    <x v="0"/>
    <x v="0"/>
    <x v="0"/>
    <s v="DC TST116134"/>
    <m/>
    <m/>
    <m/>
    <x v="0"/>
    <n v="109295"/>
    <x v="0"/>
    <x v="35"/>
    <x v="2"/>
    <x v="6"/>
    <n v="50401600"/>
    <x v="0"/>
    <x v="0"/>
    <x v="0"/>
    <d v="2018-11-14T00:00:00"/>
    <x v="35"/>
    <x v="0"/>
    <x v="0"/>
    <x v="0"/>
    <n v="6.2799999999999995E-2"/>
    <n v="7.0900000000000005E-2"/>
  </r>
  <r>
    <x v="0"/>
    <x v="0"/>
    <x v="0"/>
    <x v="0"/>
    <s v="DC TST116144"/>
    <m/>
    <m/>
    <m/>
    <x v="0"/>
    <n v="109454"/>
    <x v="0"/>
    <x v="36"/>
    <x v="2"/>
    <x v="8"/>
    <n v="89979500"/>
    <x v="0"/>
    <x v="0"/>
    <x v="0"/>
    <d v="2018-12-07T00:00:00"/>
    <x v="36"/>
    <x v="0"/>
    <x v="1"/>
    <x v="1"/>
    <n v="6.2199999999999998E-2"/>
    <n v="6.9900000000000004E-2"/>
  </r>
  <r>
    <x v="0"/>
    <x v="0"/>
    <x v="0"/>
    <x v="0"/>
    <s v="DC TST116142"/>
    <m/>
    <m/>
    <m/>
    <x v="0"/>
    <n v="109279"/>
    <x v="0"/>
    <x v="37"/>
    <x v="6"/>
    <x v="0"/>
    <n v="37628000"/>
    <x v="0"/>
    <x v="0"/>
    <x v="0"/>
    <d v="2018-11-04T00:00:00"/>
    <x v="37"/>
    <x v="0"/>
    <x v="1"/>
    <x v="1"/>
    <n v="6.2199999999999998E-2"/>
    <n v="6.9900000000000004E-2"/>
  </r>
  <r>
    <x v="0"/>
    <x v="0"/>
    <x v="0"/>
    <x v="0"/>
    <s v="DC TST116146"/>
    <m/>
    <m/>
    <m/>
    <x v="0"/>
    <n v="109421"/>
    <x v="0"/>
    <x v="38"/>
    <x v="0"/>
    <x v="6"/>
    <n v="61005000"/>
    <x v="0"/>
    <x v="0"/>
    <x v="0"/>
    <d v="2018-11-30T00:00:00"/>
    <x v="38"/>
    <x v="0"/>
    <x v="1"/>
    <x v="1"/>
    <n v="6.25E-2"/>
    <n v="7.0300000000000001E-2"/>
  </r>
  <r>
    <x v="0"/>
    <x v="0"/>
    <x v="0"/>
    <x v="0"/>
    <s v="DC TST116149"/>
    <m/>
    <m/>
    <m/>
    <x v="0"/>
    <n v="109422"/>
    <x v="0"/>
    <x v="38"/>
    <x v="0"/>
    <x v="3"/>
    <n v="41650000"/>
    <x v="0"/>
    <x v="0"/>
    <x v="0"/>
    <d v="2018-12-12T00:00:00"/>
    <x v="39"/>
    <x v="0"/>
    <x v="1"/>
    <x v="1"/>
    <n v="6.25E-2"/>
    <n v="7.0300000000000001E-2"/>
  </r>
  <r>
    <x v="0"/>
    <x v="0"/>
    <x v="0"/>
    <x v="0"/>
    <s v="DC TST116148"/>
    <m/>
    <m/>
    <m/>
    <x v="0"/>
    <n v="109388"/>
    <x v="0"/>
    <x v="39"/>
    <x v="6"/>
    <x v="4"/>
    <n v="25726167"/>
    <x v="0"/>
    <x v="0"/>
    <x v="0"/>
    <d v="2018-12-05T00:00:00"/>
    <x v="40"/>
    <x v="0"/>
    <x v="1"/>
    <x v="1"/>
    <n v="6.25E-2"/>
    <n v="7.0300000000000001E-2"/>
  </r>
  <r>
    <x v="0"/>
    <x v="0"/>
    <x v="0"/>
    <x v="0"/>
    <s v="DC TST116152"/>
    <m/>
    <m/>
    <m/>
    <x v="0"/>
    <n v="109237"/>
    <x v="0"/>
    <x v="40"/>
    <x v="6"/>
    <x v="2"/>
    <n v="19168750"/>
    <x v="0"/>
    <x v="0"/>
    <x v="0"/>
    <d v="2018-12-19T00:00:00"/>
    <x v="41"/>
    <x v="0"/>
    <x v="1"/>
    <x v="1"/>
    <n v="6.25E-2"/>
    <n v="7.0300000000000001E-2"/>
  </r>
  <r>
    <x v="0"/>
    <x v="0"/>
    <x v="0"/>
    <x v="0"/>
    <s v="DC TST116153"/>
    <m/>
    <m/>
    <m/>
    <x v="0"/>
    <n v="109423"/>
    <x v="0"/>
    <x v="38"/>
    <x v="0"/>
    <x v="5"/>
    <n v="10596500"/>
    <x v="0"/>
    <x v="0"/>
    <x v="0"/>
    <d v="2018-12-21T00:00:00"/>
    <x v="42"/>
    <x v="0"/>
    <x v="1"/>
    <x v="1"/>
    <n v="6.25E-2"/>
    <n v="7.0300000000000001E-2"/>
  </r>
  <r>
    <x v="0"/>
    <x v="0"/>
    <x v="0"/>
    <x v="0"/>
    <s v="DC TST116071"/>
    <m/>
    <m/>
    <m/>
    <x v="0"/>
    <n v="109446"/>
    <x v="0"/>
    <x v="41"/>
    <x v="6"/>
    <x v="5"/>
    <n v="12956748"/>
    <x v="0"/>
    <x v="0"/>
    <x v="0"/>
    <d v="2018-02-15T00:00:00"/>
    <x v="43"/>
    <x v="0"/>
    <x v="1"/>
    <x v="1"/>
    <n v="6.2899999999999998E-2"/>
    <n v="7.2300000000000003E-2"/>
  </r>
  <r>
    <x v="0"/>
    <x v="0"/>
    <x v="0"/>
    <x v="0"/>
    <s v="DC TST116063"/>
    <m/>
    <m/>
    <m/>
    <x v="0"/>
    <n v="109383"/>
    <x v="0"/>
    <x v="31"/>
    <x v="6"/>
    <x v="2"/>
    <n v="23522106"/>
    <x v="0"/>
    <x v="0"/>
    <x v="0"/>
    <d v="2018-02-15T00:00:00"/>
    <x v="43"/>
    <x v="0"/>
    <x v="1"/>
    <x v="1"/>
    <n v="6.2899999999999998E-2"/>
    <n v="7.2300000000000003E-2"/>
  </r>
  <r>
    <x v="0"/>
    <x v="0"/>
    <x v="0"/>
    <x v="0"/>
    <s v="DC TST116064"/>
    <m/>
    <m/>
    <m/>
    <x v="0"/>
    <n v="109490"/>
    <x v="0"/>
    <x v="42"/>
    <x v="6"/>
    <x v="2"/>
    <n v="21866500"/>
    <x v="0"/>
    <x v="0"/>
    <x v="0"/>
    <d v="2019-02-15T00:00:00"/>
    <x v="44"/>
    <x v="0"/>
    <x v="1"/>
    <x v="1"/>
    <n v="6.2899999999999998E-2"/>
    <n v="7.2300000000000003E-2"/>
  </r>
  <r>
    <x v="0"/>
    <x v="0"/>
    <x v="0"/>
    <x v="0"/>
    <s v="DC TST116065"/>
    <m/>
    <m/>
    <m/>
    <x v="0"/>
    <n v="109443"/>
    <x v="0"/>
    <x v="43"/>
    <x v="6"/>
    <x v="2"/>
    <n v="19607060"/>
    <x v="0"/>
    <x v="0"/>
    <x v="0"/>
    <d v="2019-02-13T00:00:00"/>
    <x v="45"/>
    <x v="0"/>
    <x v="1"/>
    <x v="1"/>
    <n v="6.2899999999999998E-2"/>
    <n v="7.2300000000000003E-2"/>
  </r>
  <r>
    <x v="0"/>
    <x v="0"/>
    <x v="0"/>
    <x v="0"/>
    <s v="DC TST116070"/>
    <m/>
    <m/>
    <m/>
    <x v="0"/>
    <n v="109478"/>
    <x v="0"/>
    <x v="39"/>
    <x v="6"/>
    <x v="4"/>
    <n v="43076580"/>
    <x v="0"/>
    <x v="0"/>
    <x v="0"/>
    <d v="2019-02-15T00:00:00"/>
    <x v="44"/>
    <x v="0"/>
    <x v="1"/>
    <x v="1"/>
    <n v="6.2899999999999998E-2"/>
    <n v="7.2300000000000003E-2"/>
  </r>
  <r>
    <x v="0"/>
    <x v="0"/>
    <x v="0"/>
    <x v="0"/>
    <s v="DC TST116080"/>
    <m/>
    <m/>
    <m/>
    <x v="0"/>
    <n v="109393"/>
    <x v="0"/>
    <x v="44"/>
    <x v="6"/>
    <x v="4"/>
    <n v="28221000"/>
    <x v="0"/>
    <x v="0"/>
    <x v="0"/>
    <d v="2019-02-22T00:00:00"/>
    <x v="46"/>
    <x v="0"/>
    <x v="1"/>
    <x v="1"/>
    <n v="6.2899999999999998E-2"/>
    <n v="7.2300000000000003E-2"/>
  </r>
  <r>
    <x v="0"/>
    <x v="0"/>
    <x v="0"/>
    <x v="0"/>
    <s v="DC TST116082"/>
    <m/>
    <m/>
    <m/>
    <x v="0"/>
    <n v="109220"/>
    <x v="0"/>
    <x v="45"/>
    <x v="6"/>
    <x v="0"/>
    <n v="41040012"/>
    <x v="0"/>
    <x v="0"/>
    <x v="0"/>
    <d v="2019-02-22T00:00:00"/>
    <x v="46"/>
    <x v="0"/>
    <x v="1"/>
    <x v="1"/>
    <n v="6.2899999999999998E-2"/>
    <n v="7.2300000000000003E-2"/>
  </r>
  <r>
    <x v="0"/>
    <x v="0"/>
    <x v="0"/>
    <x v="0"/>
    <s v="DC TST116085"/>
    <m/>
    <m/>
    <m/>
    <x v="0"/>
    <n v="109247"/>
    <x v="0"/>
    <x v="46"/>
    <x v="6"/>
    <x v="10"/>
    <n v="101466900"/>
    <x v="0"/>
    <x v="0"/>
    <x v="0"/>
    <d v="2019-03-01T00:00:00"/>
    <x v="47"/>
    <x v="0"/>
    <x v="1"/>
    <x v="1"/>
    <n v="6.2E-2"/>
    <n v="7.1900000000000006E-2"/>
  </r>
  <r>
    <x v="0"/>
    <x v="0"/>
    <x v="0"/>
    <x v="0"/>
    <s v="DC TST116086"/>
    <m/>
    <m/>
    <m/>
    <x v="0"/>
    <n v="109431"/>
    <x v="0"/>
    <x v="47"/>
    <x v="6"/>
    <x v="2"/>
    <n v="23568480"/>
    <x v="0"/>
    <x v="0"/>
    <x v="0"/>
    <d v="2019-03-01T00:00:00"/>
    <x v="47"/>
    <x v="0"/>
    <x v="1"/>
    <x v="1"/>
    <n v="6.2E-2"/>
    <n v="7.1900000000000006E-2"/>
  </r>
  <r>
    <x v="0"/>
    <x v="0"/>
    <x v="0"/>
    <x v="0"/>
    <s v="DC TST116084"/>
    <m/>
    <m/>
    <m/>
    <x v="0"/>
    <n v="109430"/>
    <x v="0"/>
    <x v="48"/>
    <x v="6"/>
    <x v="0"/>
    <n v="42605660"/>
    <x v="0"/>
    <x v="0"/>
    <x v="0"/>
    <d v="2019-03-06T00:00:00"/>
    <x v="48"/>
    <x v="0"/>
    <x v="1"/>
    <x v="1"/>
    <n v="6.2E-2"/>
    <n v="7.1900000000000006E-2"/>
  </r>
  <r>
    <x v="0"/>
    <x v="0"/>
    <x v="0"/>
    <x v="0"/>
    <s v="DC TST116089"/>
    <m/>
    <n v="91017"/>
    <m/>
    <x v="0"/>
    <n v="109389"/>
    <x v="0"/>
    <x v="49"/>
    <x v="6"/>
    <x v="2"/>
    <n v="24285330"/>
    <x v="0"/>
    <x v="0"/>
    <x v="0"/>
    <d v="2019-03-08T00:00:00"/>
    <x v="49"/>
    <x v="0"/>
    <x v="1"/>
    <x v="1"/>
    <n v="6.2E-2"/>
    <n v="7.1900000000000006E-2"/>
  </r>
  <r>
    <x v="0"/>
    <x v="0"/>
    <x v="0"/>
    <x v="0"/>
    <s v="DC TST116090"/>
    <m/>
    <n v="77764"/>
    <m/>
    <x v="0"/>
    <n v="109429"/>
    <x v="0"/>
    <x v="50"/>
    <x v="6"/>
    <x v="2"/>
    <n v="18814000"/>
    <x v="0"/>
    <x v="0"/>
    <x v="0"/>
    <d v="2019-03-13T00:00:00"/>
    <x v="50"/>
    <x v="0"/>
    <x v="1"/>
    <x v="1"/>
    <n v="6.2E-2"/>
    <n v="7.1900000000000006E-2"/>
  </r>
  <r>
    <x v="0"/>
    <x v="0"/>
    <x v="0"/>
    <x v="0"/>
    <s v="DC TST116091"/>
    <m/>
    <n v="62940"/>
    <m/>
    <x v="0"/>
    <n v="109319"/>
    <x v="0"/>
    <x v="51"/>
    <x v="6"/>
    <x v="5"/>
    <n v="13656120"/>
    <x v="0"/>
    <x v="0"/>
    <x v="0"/>
    <d v="2019-03-13T00:00:00"/>
    <x v="50"/>
    <x v="0"/>
    <x v="1"/>
    <x v="1"/>
    <n v="6.2E-2"/>
    <n v="7.1900000000000006E-2"/>
  </r>
  <r>
    <x v="0"/>
    <x v="0"/>
    <x v="0"/>
    <x v="0"/>
    <s v="DC TST116098"/>
    <n v="400"/>
    <n v="248057"/>
    <m/>
    <x v="0"/>
    <n v="109493"/>
    <x v="0"/>
    <x v="52"/>
    <x v="10"/>
    <x v="11"/>
    <n v="118268670"/>
    <x v="0"/>
    <x v="0"/>
    <x v="0"/>
    <d v="2019-03-22T00:00:00"/>
    <x v="51"/>
    <x v="0"/>
    <x v="1"/>
    <x v="1"/>
    <n v="6.2E-2"/>
    <n v="7.1900000000000006E-2"/>
  </r>
  <r>
    <x v="1"/>
    <x v="1"/>
    <x v="1"/>
    <x v="0"/>
    <s v="DC TST116100"/>
    <n v="1794.48"/>
    <n v="50075"/>
    <n v="4651.3"/>
    <x v="0"/>
    <n v="109532"/>
    <x v="0"/>
    <x v="53"/>
    <x v="7"/>
    <x v="2"/>
    <n v="9060000"/>
    <x v="0"/>
    <x v="1"/>
    <x v="1"/>
    <d v="2019-04-05T00:00:00"/>
    <x v="52"/>
    <x v="0"/>
    <x v="1"/>
    <x v="0"/>
    <n v="6.2E-2"/>
    <n v="7.1999999999999995E-2"/>
  </r>
  <r>
    <x v="1"/>
    <x v="0"/>
    <x v="0"/>
    <x v="0"/>
    <s v="DC TST116103"/>
    <n v="3375.29"/>
    <n v="130696"/>
    <n v="6607"/>
    <x v="0"/>
    <n v="109294"/>
    <x v="0"/>
    <x v="54"/>
    <x v="6"/>
    <x v="0"/>
    <n v="45060980"/>
    <x v="0"/>
    <x v="1"/>
    <x v="1"/>
    <d v="2019-04-05T00:00:00"/>
    <x v="52"/>
    <x v="0"/>
    <x v="1"/>
    <x v="0"/>
    <n v="6.2E-2"/>
    <n v="7.1999999999999995E-2"/>
  </r>
  <r>
    <x v="1"/>
    <x v="0"/>
    <x v="0"/>
    <x v="0"/>
    <s v="DC TST116161"/>
    <n v="5119.07"/>
    <n v="240628"/>
    <n v="12294"/>
    <x v="0"/>
    <n v="109336"/>
    <x v="0"/>
    <x v="55"/>
    <x v="6"/>
    <x v="8"/>
    <n v="113219140"/>
    <x v="0"/>
    <x v="1"/>
    <x v="1"/>
    <d v="2019-04-05T00:00:00"/>
    <x v="52"/>
    <x v="0"/>
    <x v="1"/>
    <x v="0"/>
    <n v="6.2E-2"/>
    <n v="7.1999999999999995E-2"/>
  </r>
  <r>
    <x v="1"/>
    <x v="0"/>
    <x v="0"/>
    <x v="0"/>
    <s v="DC TST116104"/>
    <n v="4459.2800000000007"/>
    <n v="193074"/>
    <n v="16025.3"/>
    <x v="0"/>
    <n v="109344"/>
    <x v="0"/>
    <x v="56"/>
    <x v="2"/>
    <x v="8"/>
    <n v="82818800"/>
    <x v="0"/>
    <x v="1"/>
    <x v="1"/>
    <d v="2019-04-10T00:00:00"/>
    <x v="53"/>
    <x v="0"/>
    <x v="1"/>
    <x v="0"/>
    <n v="6.2E-2"/>
    <n v="7.1999999999999995E-2"/>
  </r>
  <r>
    <x v="1"/>
    <x v="0"/>
    <x v="0"/>
    <x v="0"/>
    <s v="DC TST116166"/>
    <n v="2520.7399999999998"/>
    <n v="93652"/>
    <n v="4507.75"/>
    <x v="0"/>
    <n v="109263"/>
    <x v="0"/>
    <x v="57"/>
    <x v="6"/>
    <x v="2"/>
    <n v="25464606"/>
    <x v="0"/>
    <x v="1"/>
    <x v="1"/>
    <d v="2019-04-19T00:00:00"/>
    <x v="54"/>
    <x v="0"/>
    <x v="1"/>
    <x v="0"/>
    <n v="6.2E-2"/>
    <n v="7.1999999999999995E-2"/>
  </r>
  <r>
    <x v="1"/>
    <x v="0"/>
    <x v="0"/>
    <x v="0"/>
    <s v="DC TST116167"/>
    <n v="2818.43"/>
    <n v="106268"/>
    <n v="6467.5"/>
    <x v="0"/>
    <n v="109526"/>
    <x v="0"/>
    <x v="58"/>
    <x v="6"/>
    <x v="4"/>
    <n v="32191000"/>
    <x v="0"/>
    <x v="1"/>
    <x v="1"/>
    <d v="2019-04-19T00:00:00"/>
    <x v="54"/>
    <x v="0"/>
    <x v="1"/>
    <x v="0"/>
    <n v="6.2E-2"/>
    <n v="7.1999999999999995E-2"/>
  </r>
  <r>
    <x v="1"/>
    <x v="0"/>
    <x v="0"/>
    <x v="0"/>
    <s v="DC TST116173"/>
    <n v="3557.27"/>
    <n v="138518"/>
    <n v="6617.5"/>
    <x v="0"/>
    <n v="109390"/>
    <x v="0"/>
    <x v="59"/>
    <x v="6"/>
    <x v="0"/>
    <n v="49403160"/>
    <x v="0"/>
    <x v="2"/>
    <x v="1"/>
    <d v="2019-05-03T00:00:00"/>
    <x v="55"/>
    <x v="0"/>
    <x v="1"/>
    <x v="0"/>
    <n v="6.1699999999999998E-2"/>
    <n v="7.1599999999999997E-2"/>
  </r>
  <r>
    <x v="1"/>
    <x v="0"/>
    <x v="0"/>
    <x v="0"/>
    <s v="DC TST116172"/>
    <n v="3418"/>
    <n v="100033"/>
    <n v="6617.5"/>
    <x v="0"/>
    <n v="109497"/>
    <x v="0"/>
    <x v="60"/>
    <x v="6"/>
    <x v="4"/>
    <n v="46221192"/>
    <x v="0"/>
    <x v="2"/>
    <x v="1"/>
    <d v="2019-05-08T00:00:00"/>
    <x v="56"/>
    <x v="0"/>
    <x v="1"/>
    <x v="0"/>
    <n v="6.1699999999999998E-2"/>
    <n v="7.1599999999999997E-2"/>
  </r>
  <r>
    <x v="1"/>
    <x v="0"/>
    <x v="0"/>
    <x v="0"/>
    <s v="DC TST116175"/>
    <n v="4923.5200000000004"/>
    <n v="88575"/>
    <n v="10355.25"/>
    <x v="0"/>
    <n v="109553"/>
    <x v="0"/>
    <x v="61"/>
    <x v="6"/>
    <x v="3"/>
    <n v="51373765"/>
    <x v="0"/>
    <x v="2"/>
    <x v="1"/>
    <d v="2019-05-17T00:00:00"/>
    <x v="57"/>
    <x v="0"/>
    <x v="1"/>
    <x v="0"/>
    <n v="6.1699999999999998E-2"/>
    <n v="7.1599999999999997E-2"/>
  </r>
  <r>
    <x v="1"/>
    <x v="0"/>
    <x v="0"/>
    <x v="0"/>
    <s v="DC TST116174"/>
    <n v="3653.73"/>
    <n v="123801"/>
    <n v="10355.25"/>
    <x v="0"/>
    <n v="109554"/>
    <x v="0"/>
    <x v="61"/>
    <x v="6"/>
    <x v="3"/>
    <n v="51595080"/>
    <x v="0"/>
    <x v="2"/>
    <x v="1"/>
    <d v="2019-05-15T00:00:00"/>
    <x v="58"/>
    <x v="0"/>
    <x v="1"/>
    <x v="0"/>
    <n v="6.1699999999999998E-2"/>
    <n v="7.1599999999999997E-2"/>
  </r>
  <r>
    <x v="1"/>
    <x v="0"/>
    <x v="0"/>
    <x v="0"/>
    <s v="DC TST116177"/>
    <n v="3532.69"/>
    <n v="116923"/>
    <n v="7306.5"/>
    <x v="0"/>
    <n v="109563"/>
    <x v="0"/>
    <x v="62"/>
    <x v="2"/>
    <x v="3"/>
    <n v="47977300"/>
    <x v="0"/>
    <x v="3"/>
    <x v="2"/>
    <d v="2019-06-01T00:00:00"/>
    <x v="59"/>
    <x v="0"/>
    <x v="1"/>
    <x v="1"/>
    <n v="6.4299999999999996E-2"/>
    <n v="7.2999999999999995E-2"/>
  </r>
  <r>
    <x v="1"/>
    <x v="0"/>
    <x v="0"/>
    <x v="0"/>
    <s v="DC TST116178"/>
    <n v="5353.37"/>
    <n v="81596"/>
    <n v="9266.25"/>
    <x v="0"/>
    <n v="109564"/>
    <x v="0"/>
    <x v="62"/>
    <x v="2"/>
    <x v="3"/>
    <n v="43479400"/>
    <x v="0"/>
    <x v="3"/>
    <x v="2"/>
    <d v="2019-06-01T00:00:00"/>
    <x v="59"/>
    <x v="0"/>
    <x v="1"/>
    <x v="1"/>
    <n v="6.4299999999999996E-2"/>
    <n v="7.2999999999999995E-2"/>
  </r>
  <r>
    <x v="1"/>
    <x v="0"/>
    <x v="0"/>
    <x v="0"/>
    <s v="DC TST116186"/>
    <n v="3754.21"/>
    <n v="144632"/>
    <n v="6417.5"/>
    <x v="0"/>
    <n v="109582"/>
    <x v="0"/>
    <x v="63"/>
    <x v="6"/>
    <x v="4"/>
    <n v="52733344"/>
    <x v="0"/>
    <x v="3"/>
    <x v="2"/>
    <d v="2019-06-01T00:00:00"/>
    <x v="59"/>
    <x v="0"/>
    <x v="1"/>
    <x v="1"/>
    <n v="6.4299999999999996E-2"/>
    <n v="7.2999999999999995E-2"/>
  </r>
  <r>
    <x v="1"/>
    <x v="0"/>
    <x v="0"/>
    <x v="0"/>
    <s v="315012018684-M"/>
    <m/>
    <m/>
    <n v="9266.25"/>
    <x v="0"/>
    <n v="109565"/>
    <x v="0"/>
    <x v="62"/>
    <x v="2"/>
    <x v="3"/>
    <n v="44014750"/>
    <x v="0"/>
    <x v="3"/>
    <x v="2"/>
    <d v="2019-07-03T00:00:00"/>
    <x v="60"/>
    <x v="0"/>
    <x v="1"/>
    <x v="1"/>
    <n v="6.4699999999999994E-2"/>
    <n v="7.3400000000000007E-2"/>
  </r>
  <r>
    <x v="1"/>
    <x v="0"/>
    <x v="0"/>
    <x v="0"/>
    <s v="315012018693-M"/>
    <m/>
    <m/>
    <n v="7306.5"/>
    <x v="0"/>
    <n v="109566"/>
    <x v="0"/>
    <x v="62"/>
    <x v="2"/>
    <x v="3"/>
    <n v="48549000"/>
    <x v="0"/>
    <x v="3"/>
    <x v="2"/>
    <d v="2019-07-03T00:00:00"/>
    <x v="60"/>
    <x v="0"/>
    <x v="1"/>
    <x v="1"/>
    <n v="6.4699999999999994E-2"/>
    <n v="7.3400000000000007E-2"/>
  </r>
  <r>
    <x v="1"/>
    <x v="0"/>
    <x v="0"/>
    <x v="0"/>
    <s v="DC TST116195"/>
    <n v="3536.8"/>
    <n v="217648"/>
    <n v="6417.5"/>
    <x v="0"/>
    <n v="109603"/>
    <x v="0"/>
    <x v="64"/>
    <x v="6"/>
    <x v="0"/>
    <n v="47482920"/>
    <x v="0"/>
    <x v="3"/>
    <x v="2"/>
    <d v="2019-07-03T00:00:00"/>
    <x v="60"/>
    <x v="0"/>
    <x v="1"/>
    <x v="1"/>
    <n v="6.4699999999999994E-2"/>
    <n v="7.3400000000000007E-2"/>
  </r>
  <r>
    <x v="1"/>
    <x v="0"/>
    <x v="1"/>
    <x v="0"/>
    <s v="DC TST116196"/>
    <n v="2765.68"/>
    <n v="78755"/>
    <n v="4507.75"/>
    <x v="0"/>
    <n v="109610"/>
    <x v="0"/>
    <x v="65"/>
    <x v="6"/>
    <x v="5"/>
    <n v="11914422"/>
    <x v="0"/>
    <x v="3"/>
    <x v="2"/>
    <d v="2019-07-19T00:00:00"/>
    <x v="61"/>
    <x v="0"/>
    <x v="1"/>
    <x v="1"/>
    <n v="6.4699999999999994E-2"/>
    <n v="7.3400000000000007E-2"/>
  </r>
  <r>
    <x v="1"/>
    <x v="0"/>
    <x v="0"/>
    <x v="0"/>
    <s v="DC TST116198"/>
    <n v="5852.85"/>
    <n v="131975"/>
    <n v="12315"/>
    <x v="0"/>
    <n v="109602"/>
    <x v="0"/>
    <x v="64"/>
    <x v="6"/>
    <x v="1"/>
    <n v="86619690"/>
    <x v="0"/>
    <x v="3"/>
    <x v="2"/>
    <d v="2019-07-17T00:00:00"/>
    <x v="62"/>
    <x v="0"/>
    <x v="1"/>
    <x v="1"/>
    <n v="6.4699999999999994E-2"/>
    <n v="7.3400000000000007E-2"/>
  </r>
  <r>
    <x v="1"/>
    <x v="0"/>
    <x v="0"/>
    <x v="0"/>
    <s v="DC TST116197"/>
    <n v="4900.76"/>
    <n v="101278"/>
    <n v="6467.5"/>
    <x v="0"/>
    <n v="109608"/>
    <x v="0"/>
    <x v="64"/>
    <x v="6"/>
    <x v="0"/>
    <n v="62062680"/>
    <x v="0"/>
    <x v="3"/>
    <x v="2"/>
    <d v="2019-07-19T00:00:00"/>
    <x v="61"/>
    <x v="0"/>
    <x v="1"/>
    <x v="1"/>
    <n v="6.4699999999999994E-2"/>
    <n v="7.3400000000000007E-2"/>
  </r>
  <r>
    <x v="1"/>
    <x v="0"/>
    <x v="0"/>
    <x v="0"/>
    <s v="DC TST116208"/>
    <n v="2892.91"/>
    <n v="106400"/>
    <n v="16672.75"/>
    <x v="0"/>
    <n v="109587"/>
    <x v="0"/>
    <x v="66"/>
    <x v="2"/>
    <x v="3"/>
    <n v="33128813"/>
    <x v="0"/>
    <x v="4"/>
    <x v="2"/>
    <d v="2019-08-09T00:00:00"/>
    <x v="63"/>
    <x v="0"/>
    <x v="1"/>
    <x v="1"/>
    <n v="6.4799999999999996E-2"/>
    <n v="7.3499999999999996E-2"/>
  </r>
  <r>
    <x v="1"/>
    <x v="0"/>
    <x v="0"/>
    <x v="0"/>
    <s v="DC TST116209"/>
    <n v="4766.41"/>
    <n v="81522"/>
    <n v="0"/>
    <x v="0"/>
    <n v="109588"/>
    <x v="0"/>
    <x v="66"/>
    <x v="2"/>
    <x v="3"/>
    <n v="46244313"/>
    <x v="0"/>
    <x v="4"/>
    <x v="2"/>
    <d v="2019-08-09T00:00:00"/>
    <x v="63"/>
    <x v="0"/>
    <x v="1"/>
    <x v="1"/>
    <n v="6.4799999999999996E-2"/>
    <n v="7.3499999999999996E-2"/>
  </r>
  <r>
    <x v="1"/>
    <x v="0"/>
    <x v="1"/>
    <x v="0"/>
    <s v="DC TST116206"/>
    <n v="4137.34"/>
    <n v="64118"/>
    <n v="6617.5"/>
    <x v="0"/>
    <n v="109623"/>
    <x v="0"/>
    <x v="67"/>
    <x v="11"/>
    <x v="2"/>
    <n v="32334596"/>
    <x v="0"/>
    <x v="5"/>
    <x v="2"/>
    <d v="2019-07-31T00:00:00"/>
    <x v="64"/>
    <x v="0"/>
    <x v="1"/>
    <x v="1"/>
    <n v="6.4799999999999996E-2"/>
    <n v="7.3499999999999996E-2"/>
  </r>
  <r>
    <x v="1"/>
    <x v="1"/>
    <x v="1"/>
    <x v="0"/>
    <s v="DC TST116214"/>
    <n v="1650"/>
    <n v="36725"/>
    <n v="4657.75"/>
    <x v="0"/>
    <n v="109662"/>
    <x v="0"/>
    <x v="65"/>
    <x v="12"/>
    <x v="5"/>
    <n v="4448680"/>
    <x v="0"/>
    <x v="4"/>
    <x v="2"/>
    <d v="2019-08-30T00:00:00"/>
    <x v="65"/>
    <x v="0"/>
    <x v="1"/>
    <x v="1"/>
    <n v="6.4399999999999999E-2"/>
    <n v="7.3099999999999998E-2"/>
  </r>
  <r>
    <x v="1"/>
    <x v="0"/>
    <x v="0"/>
    <x v="0"/>
    <s v="DC TST116783"/>
    <n v="3810.03"/>
    <n v="6890"/>
    <n v="6467.5"/>
    <x v="0"/>
    <n v="109625"/>
    <x v="0"/>
    <x v="68"/>
    <x v="2"/>
    <x v="0"/>
    <n v="24630600"/>
    <x v="0"/>
    <x v="6"/>
    <x v="3"/>
    <d v="2019-09-06T00:00:00"/>
    <x v="66"/>
    <x v="0"/>
    <x v="1"/>
    <x v="1"/>
    <n v="6.4799999999999996E-2"/>
    <n v="7.3499999999999996E-2"/>
  </r>
  <r>
    <x v="1"/>
    <x v="0"/>
    <x v="0"/>
    <x v="0"/>
    <s v="DC TST116784"/>
    <n v="5155.3"/>
    <n v="91875"/>
    <n v="10205.25"/>
    <x v="0"/>
    <n v="109624"/>
    <x v="0"/>
    <x v="68"/>
    <x v="6"/>
    <x v="6"/>
    <n v="54430020"/>
    <x v="0"/>
    <x v="6"/>
    <x v="3"/>
    <d v="2019-09-06T00:00:00"/>
    <x v="66"/>
    <x v="0"/>
    <x v="1"/>
    <x v="1"/>
    <n v="6.4799999999999996E-2"/>
    <n v="7.3499999999999996E-2"/>
  </r>
  <r>
    <x v="1"/>
    <x v="0"/>
    <x v="0"/>
    <x v="0"/>
    <s v="DC TST116795"/>
    <n v="4487.09"/>
    <n v="73311"/>
    <n v="10355.25"/>
    <x v="0"/>
    <n v="109665"/>
    <x v="0"/>
    <x v="69"/>
    <x v="2"/>
    <x v="6"/>
    <n v="39960450"/>
    <x v="0"/>
    <x v="7"/>
    <x v="3"/>
    <d v="2019-10-11T00:00:00"/>
    <x v="67"/>
    <x v="0"/>
    <x v="1"/>
    <x v="1"/>
    <n v="6.7299999999999999E-2"/>
    <n v="7.3999999999999996E-2"/>
  </r>
  <r>
    <x v="1"/>
    <x v="0"/>
    <x v="1"/>
    <x v="0"/>
    <s v="DC TST116793"/>
    <n v="4044.57"/>
    <n v="61109"/>
    <n v="0"/>
    <x v="0"/>
    <n v="109694"/>
    <x v="0"/>
    <x v="70"/>
    <x v="11"/>
    <x v="2"/>
    <n v="30199560"/>
    <x v="0"/>
    <x v="7"/>
    <x v="3"/>
    <d v="2019-10-02T00:00:00"/>
    <x v="68"/>
    <x v="0"/>
    <x v="2"/>
    <x v="2"/>
    <s v="no mismatch"/>
    <s v="no mismatch"/>
  </r>
  <r>
    <x v="1"/>
    <x v="0"/>
    <x v="0"/>
    <x v="0"/>
    <s v="DC TST116796"/>
    <n v="4456.7"/>
    <n v="72456"/>
    <n v="10355.25"/>
    <x v="0"/>
    <n v="109686"/>
    <x v="0"/>
    <x v="71"/>
    <x v="2"/>
    <x v="6"/>
    <n v="39276900"/>
    <x v="0"/>
    <x v="7"/>
    <x v="3"/>
    <d v="2019-10-18T00:00:00"/>
    <x v="69"/>
    <x v="0"/>
    <x v="1"/>
    <x v="1"/>
    <n v="6.7100000000000007E-2"/>
    <n v="7.3499999999999996E-2"/>
  </r>
  <r>
    <x v="1"/>
    <x v="0"/>
    <x v="0"/>
    <x v="0"/>
    <s v="DC TST116802"/>
    <n v="3722.3599999999997"/>
    <n v="52574"/>
    <n v="6392.5"/>
    <x v="0"/>
    <n v="109693"/>
    <x v="0"/>
    <x v="72"/>
    <x v="2"/>
    <x v="0"/>
    <n v="23111850"/>
    <x v="0"/>
    <x v="4"/>
    <x v="4"/>
    <d v="2019-11-01T00:00:00"/>
    <x v="70"/>
    <x v="0"/>
    <x v="2"/>
    <x v="2"/>
    <s v="no mismatch"/>
    <s v="no mismatch"/>
  </r>
  <r>
    <x v="1"/>
    <x v="0"/>
    <x v="0"/>
    <x v="0"/>
    <s v="DC TST116804"/>
    <n v="5379.7800000000007"/>
    <n v="105249"/>
    <n v="10130.25"/>
    <x v="0"/>
    <n v="109664"/>
    <x v="0"/>
    <x v="69"/>
    <x v="6"/>
    <x v="6"/>
    <n v="65251620"/>
    <x v="0"/>
    <x v="4"/>
    <x v="4"/>
    <d v="2019-11-01T00:00:00"/>
    <x v="70"/>
    <x v="0"/>
    <x v="1"/>
    <x v="1"/>
    <n v="6.7199999999999996E-2"/>
    <n v="7.3599999999999999E-2"/>
  </r>
  <r>
    <x v="1"/>
    <x v="0"/>
    <x v="0"/>
    <x v="0"/>
    <s v="DC TST116803"/>
    <n v="3983.8"/>
    <n v="59796"/>
    <n v="6392.5"/>
    <x v="0"/>
    <n v="109685"/>
    <x v="0"/>
    <x v="71"/>
    <x v="2"/>
    <x v="3"/>
    <n v="28889813"/>
    <x v="0"/>
    <x v="4"/>
    <x v="4"/>
    <d v="2019-11-01T00:00:00"/>
    <x v="70"/>
    <x v="0"/>
    <x v="2"/>
    <x v="2"/>
    <s v="no mismatch"/>
    <s v="no mismatch"/>
  </r>
  <r>
    <x v="1"/>
    <x v="0"/>
    <x v="0"/>
    <x v="0"/>
    <s v="DC TST116805"/>
    <n v="4564.1000000000004"/>
    <n v="75756"/>
    <n v="6392.5"/>
    <x v="0"/>
    <n v="109705"/>
    <x v="0"/>
    <x v="73"/>
    <x v="6"/>
    <x v="0"/>
    <n v="41657880"/>
    <x v="0"/>
    <x v="4"/>
    <x v="4"/>
    <d v="2019-11-01T00:00:00"/>
    <x v="70"/>
    <x v="0"/>
    <x v="2"/>
    <x v="2"/>
    <s v="no mismatch"/>
    <s v="no mismatch"/>
  </r>
  <r>
    <x v="1"/>
    <x v="0"/>
    <x v="0"/>
    <x v="0"/>
    <s v="DC TST116798"/>
    <n v="4508.25"/>
    <n v="73581"/>
    <n v="6617.5"/>
    <x v="0"/>
    <n v="109715"/>
    <x v="0"/>
    <x v="74"/>
    <x v="6"/>
    <x v="0"/>
    <n v="40177080"/>
    <x v="0"/>
    <x v="7"/>
    <x v="3"/>
    <d v="2019-10-25T00:00:00"/>
    <x v="71"/>
    <x v="0"/>
    <x v="2"/>
    <x v="2"/>
    <s v="no mismatch"/>
    <s v="no mismatch"/>
  </r>
  <r>
    <x v="2"/>
    <x v="0"/>
    <x v="0"/>
    <x v="0"/>
    <s v="DC TST116854"/>
    <n v="679.45"/>
    <n v="42122"/>
    <n v="0"/>
    <x v="0"/>
    <n v="109714"/>
    <x v="0"/>
    <x v="75"/>
    <x v="2"/>
    <x v="5"/>
    <n v="8750000"/>
    <x v="1"/>
    <x v="8"/>
    <x v="4"/>
    <d v="2020-02-22T00:00:00"/>
    <x v="72"/>
    <x v="0"/>
    <x v="1"/>
    <x v="1"/>
    <n v="6.7199999999999996E-2"/>
    <n v="7.3599999999999999E-2"/>
  </r>
  <r>
    <x v="1"/>
    <x v="0"/>
    <x v="0"/>
    <x v="0"/>
    <s v="DC TST116809"/>
    <n v="3958.87"/>
    <n v="155074"/>
    <n v="11226.6"/>
    <x v="0"/>
    <n v="109721"/>
    <x v="0"/>
    <x v="76"/>
    <x v="6"/>
    <x v="6"/>
    <n v="59238220"/>
    <x v="0"/>
    <x v="9"/>
    <x v="4"/>
    <d v="2019-12-04T00:00:00"/>
    <x v="73"/>
    <x v="0"/>
    <x v="1"/>
    <x v="1"/>
    <n v="6.5699999999999995E-2"/>
    <n v="7.2400000000000006E-2"/>
  </r>
  <r>
    <x v="1"/>
    <x v="0"/>
    <x v="0"/>
    <x v="0"/>
    <s v="DC TST116825"/>
    <n v="3420.46"/>
    <n v="98483"/>
    <n v="7198.4"/>
    <x v="0"/>
    <n v="109723"/>
    <x v="0"/>
    <x v="77"/>
    <x v="2"/>
    <x v="0"/>
    <n v="45182700"/>
    <x v="0"/>
    <x v="9"/>
    <x v="4"/>
    <d v="2019-12-25T00:00:00"/>
    <x v="74"/>
    <x v="0"/>
    <x v="1"/>
    <x v="1"/>
    <n v="6.54E-2"/>
    <n v="7.2599999999999998E-2"/>
  </r>
  <r>
    <x v="1"/>
    <x v="0"/>
    <x v="0"/>
    <x v="0"/>
    <s v="DC TST116819"/>
    <n v="6136.69"/>
    <n v="148205"/>
    <n v="13476.8"/>
    <x v="0"/>
    <n v="109730"/>
    <x v="0"/>
    <x v="78"/>
    <x v="6"/>
    <x v="7"/>
    <n v="99403680"/>
    <x v="0"/>
    <x v="9"/>
    <x v="4"/>
    <d v="2019-12-11T00:00:00"/>
    <x v="75"/>
    <x v="0"/>
    <x v="1"/>
    <x v="1"/>
    <n v="6.5299999999999997E-2"/>
    <n v="7.2499999999999995E-2"/>
  </r>
  <r>
    <x v="2"/>
    <x v="0"/>
    <x v="0"/>
    <x v="0"/>
    <s v="DC TST116828"/>
    <n v="5971.9"/>
    <n v="139195"/>
    <n v="13276.8"/>
    <x v="0"/>
    <n v="109749"/>
    <x v="1"/>
    <x v="79"/>
    <x v="2"/>
    <x v="4"/>
    <n v="24993150"/>
    <x v="0"/>
    <x v="10"/>
    <x v="4"/>
    <d v="2020-01-01T00:00:00"/>
    <x v="76"/>
    <x v="0"/>
    <x v="1"/>
    <x v="1"/>
    <n v="6.54E-2"/>
    <n v="7.2599999999999998E-2"/>
  </r>
  <r>
    <x v="2"/>
    <x v="0"/>
    <x v="0"/>
    <x v="0"/>
    <s v="DC TST116828"/>
    <n v="0"/>
    <n v="0"/>
    <n v="0"/>
    <x v="0"/>
    <n v="109749"/>
    <x v="1"/>
    <x v="79"/>
    <x v="6"/>
    <x v="6"/>
    <n v="67098288"/>
    <x v="0"/>
    <x v="10"/>
    <x v="4"/>
    <d v="2020-01-01T00:00:00"/>
    <x v="76"/>
    <x v="0"/>
    <x v="1"/>
    <x v="1"/>
    <n v="6.54E-2"/>
    <n v="7.2599999999999998E-2"/>
  </r>
  <r>
    <x v="2"/>
    <x v="0"/>
    <x v="0"/>
    <x v="0"/>
    <s v="DC TST116829"/>
    <n v="6941.09"/>
    <n v="192904"/>
    <n v="19555.2"/>
    <x v="0"/>
    <n v="109750"/>
    <x v="1"/>
    <x v="79"/>
    <x v="2"/>
    <x v="3"/>
    <n v="35457750"/>
    <x v="0"/>
    <x v="10"/>
    <x v="4"/>
    <d v="2020-01-01T00:00:00"/>
    <x v="76"/>
    <x v="0"/>
    <x v="2"/>
    <x v="2"/>
    <s v="no mismatch"/>
    <s v="no mismatch"/>
  </r>
  <r>
    <x v="2"/>
    <x v="0"/>
    <x v="0"/>
    <x v="0"/>
    <s v="DC TST116829"/>
    <n v="0"/>
    <n v="0"/>
    <n v="0"/>
    <x v="0"/>
    <n v="109750"/>
    <x v="1"/>
    <x v="79"/>
    <x v="6"/>
    <x v="8"/>
    <n v="99600600"/>
    <x v="0"/>
    <x v="10"/>
    <x v="4"/>
    <d v="2020-01-01T00:00:00"/>
    <x v="76"/>
    <x v="0"/>
    <x v="2"/>
    <x v="2"/>
    <s v="no mismatch"/>
    <s v="no mismatch"/>
  </r>
  <r>
    <x v="2"/>
    <x v="0"/>
    <x v="0"/>
    <x v="0"/>
    <s v="DC TST116832"/>
    <n v="2738.1"/>
    <n v="88603"/>
    <n v="6998.4"/>
    <x v="0"/>
    <n v="109759"/>
    <x v="2"/>
    <x v="80"/>
    <x v="2"/>
    <x v="3"/>
    <n v="30219313"/>
    <x v="0"/>
    <x v="10"/>
    <x v="4"/>
    <d v="2020-01-06T00:00:00"/>
    <x v="77"/>
    <x v="0"/>
    <x v="1"/>
    <x v="1"/>
    <n v="6.54E-2"/>
    <n v="7.2599999999999998E-2"/>
  </r>
  <r>
    <x v="2"/>
    <x v="0"/>
    <x v="0"/>
    <x v="0"/>
    <s v="DC TST116847"/>
    <n v="2800.62"/>
    <n v="104753"/>
    <n v="7198.4"/>
    <x v="0"/>
    <n v="109762"/>
    <x v="3"/>
    <x v="80"/>
    <x v="2"/>
    <x v="0"/>
    <n v="31419450"/>
    <x v="0"/>
    <x v="10"/>
    <x v="4"/>
    <d v="2020-01-24T00:00:00"/>
    <x v="78"/>
    <x v="0"/>
    <x v="1"/>
    <x v="1"/>
    <n v="6.54E-2"/>
    <n v="7.2599999999999998E-2"/>
  </r>
  <r>
    <x v="1"/>
    <x v="0"/>
    <x v="0"/>
    <x v="0"/>
    <s v="315012032392-M"/>
    <m/>
    <m/>
    <n v="7048.4"/>
    <x v="0"/>
    <n v="109774"/>
    <x v="4"/>
    <x v="81"/>
    <x v="2"/>
    <x v="2"/>
    <n v="13585845"/>
    <x v="0"/>
    <x v="8"/>
    <x v="4"/>
    <d v="2019-02-05T00:00:00"/>
    <x v="79"/>
    <x v="0"/>
    <x v="2"/>
    <x v="2"/>
    <s v="no mismatch"/>
    <s v="no mismatch"/>
  </r>
  <r>
    <x v="1"/>
    <x v="0"/>
    <x v="0"/>
    <x v="0"/>
    <s v="315012032392-M"/>
    <m/>
    <m/>
    <n v="0"/>
    <x v="0"/>
    <n v="109774"/>
    <x v="4"/>
    <x v="81"/>
    <x v="6"/>
    <x v="2"/>
    <n v="21848640"/>
    <x v="0"/>
    <x v="8"/>
    <x v="4"/>
    <d v="2019-02-05T00:00:00"/>
    <x v="79"/>
    <x v="0"/>
    <x v="2"/>
    <x v="2"/>
    <s v="no mismatch"/>
    <s v="no mismatch"/>
  </r>
  <r>
    <x v="1"/>
    <x v="0"/>
    <x v="0"/>
    <x v="0"/>
    <s v="315012032409-M"/>
    <m/>
    <m/>
    <n v="11076.6"/>
    <x v="0"/>
    <n v="109775"/>
    <x v="4"/>
    <x v="81"/>
    <x v="6"/>
    <x v="6"/>
    <n v="54430020"/>
    <x v="0"/>
    <x v="8"/>
    <x v="4"/>
    <d v="2019-02-05T00:00:00"/>
    <x v="79"/>
    <x v="0"/>
    <x v="1"/>
    <x v="1"/>
    <n v="6.4600000000000005E-2"/>
    <n v="7.17E-2"/>
  </r>
  <r>
    <x v="2"/>
    <x v="0"/>
    <x v="0"/>
    <x v="0"/>
    <s v="315012032579-M"/>
    <m/>
    <m/>
    <n v="7198.4"/>
    <x v="0"/>
    <n v="109782"/>
    <x v="5"/>
    <x v="82"/>
    <x v="6"/>
    <x v="3"/>
    <n v="45329550"/>
    <x v="0"/>
    <x v="8"/>
    <x v="4"/>
    <d v="2020-02-14T00:00:00"/>
    <x v="80"/>
    <x v="0"/>
    <x v="2"/>
    <x v="2"/>
    <s v="no mismatch "/>
    <s v="no mismatch"/>
  </r>
  <r>
    <x v="2"/>
    <x v="0"/>
    <x v="1"/>
    <x v="0"/>
    <s v="DC TST116860"/>
    <n v="4231.84"/>
    <n v="68810"/>
    <n v="7048.4"/>
    <x v="1"/>
    <n v="109793"/>
    <x v="5"/>
    <x v="83"/>
    <x v="1"/>
    <x v="2"/>
    <n v="35730705"/>
    <x v="0"/>
    <x v="10"/>
    <x v="4"/>
    <d v="2020-03-11T00:00:00"/>
    <x v="81"/>
    <x v="0"/>
    <x v="1"/>
    <x v="1"/>
    <n v="6.4000000000000001E-2"/>
    <n v="7.0999999999999994E-2"/>
  </r>
  <r>
    <x v="2"/>
    <x v="0"/>
    <x v="1"/>
    <x v="0"/>
    <s v="DC TST116864"/>
    <n v="4247.33"/>
    <n v="68743"/>
    <n v="7198.4"/>
    <x v="2"/>
    <n v="109794"/>
    <x v="5"/>
    <x v="84"/>
    <x v="1"/>
    <x v="2"/>
    <n v="35677155"/>
    <x v="0"/>
    <x v="10"/>
    <x v="4"/>
    <d v="2020-03-18T00:00:00"/>
    <x v="82"/>
    <x v="0"/>
    <x v="1"/>
    <x v="1"/>
    <n v="6.4000000000000001E-2"/>
    <n v="7.0999999999999994E-2"/>
  </r>
  <r>
    <x v="2"/>
    <x v="0"/>
    <x v="0"/>
    <x v="1"/>
    <s v="DC TST116865"/>
    <n v="3617.64"/>
    <n v="103395"/>
    <n v="11076.6"/>
    <x v="3"/>
    <n v="109783"/>
    <x v="5"/>
    <x v="85"/>
    <x v="2"/>
    <x v="6"/>
    <n v="49253670"/>
    <x v="0"/>
    <x v="11"/>
    <x v="3"/>
    <d v="2020-04-01T00:00:00"/>
    <x v="83"/>
    <x v="0"/>
    <x v="2"/>
    <x v="2"/>
    <s v="no mismatch"/>
    <s v="no mismatch"/>
  </r>
  <r>
    <x v="2"/>
    <x v="0"/>
    <x v="0"/>
    <x v="1"/>
    <s v="DC TST116858"/>
    <n v="3994.3"/>
    <n v="61541"/>
    <n v="7048.4"/>
    <x v="4"/>
    <n v="109815"/>
    <x v="6"/>
    <x v="85"/>
    <x v="2"/>
    <x v="3"/>
    <n v="29914800"/>
    <x v="0"/>
    <x v="10"/>
    <x v="4"/>
    <d v="2020-03-11T00:00:00"/>
    <x v="81"/>
    <x v="0"/>
    <x v="1"/>
    <x v="1"/>
    <n v="6.4000000000000001E-2"/>
    <n v="7.0999999999999994E-2"/>
  </r>
  <r>
    <x v="2"/>
    <x v="0"/>
    <x v="0"/>
    <x v="1"/>
    <s v="DC TST116874"/>
    <n v="3987.74"/>
    <n v="60081"/>
    <n v="7198.4"/>
    <x v="5"/>
    <n v="109820"/>
    <x v="6"/>
    <x v="85"/>
    <x v="2"/>
    <x v="3"/>
    <n v="28797000"/>
    <x v="0"/>
    <x v="11"/>
    <x v="3"/>
    <d v="2020-04-04T00:00:00"/>
    <x v="84"/>
    <x v="0"/>
    <x v="2"/>
    <x v="2"/>
    <s v="no mismatch"/>
    <s v="no mismatch"/>
  </r>
  <r>
    <x v="2"/>
    <x v="0"/>
    <x v="0"/>
    <x v="1"/>
    <s v="DC TST116863"/>
    <n v="5417.55"/>
    <n v="203037"/>
    <n v="13326.8"/>
    <x v="6"/>
    <n v="109816"/>
    <x v="6"/>
    <x v="85"/>
    <x v="6"/>
    <x v="8"/>
    <n v="94512900"/>
    <x v="0"/>
    <x v="11"/>
    <x v="3"/>
    <d v="2020-04-01T00:00:00"/>
    <x v="83"/>
    <x v="0"/>
    <x v="2"/>
    <x v="2"/>
    <s v="no mismatch"/>
    <s v="no mismatch"/>
  </r>
  <r>
    <x v="2"/>
    <x v="0"/>
    <x v="0"/>
    <x v="1"/>
    <s v="DC TST116881"/>
    <n v="2126.02"/>
    <n v="34373"/>
    <n v="2870"/>
    <x v="7"/>
    <n v="109806"/>
    <x v="7"/>
    <x v="86"/>
    <x v="2"/>
    <x v="5"/>
    <n v="6351918"/>
    <x v="1"/>
    <x v="12"/>
    <x v="3"/>
    <d v="2020-05-04T00:00:00"/>
    <x v="85"/>
    <x v="0"/>
    <x v="2"/>
    <x v="2"/>
    <s v="no mismatch "/>
    <s v="no mismatch"/>
  </r>
  <r>
    <x v="2"/>
    <x v="0"/>
    <x v="0"/>
    <x v="1"/>
    <s v="DC TST116881"/>
    <n v="0"/>
    <n v="0"/>
    <n v="0"/>
    <x v="7"/>
    <n v="109806"/>
    <x v="7"/>
    <x v="86"/>
    <x v="6"/>
    <x v="5"/>
    <n v="9978082"/>
    <x v="1"/>
    <x v="12"/>
    <x v="3"/>
    <d v="2020-05-04T00:00:00"/>
    <x v="85"/>
    <x v="0"/>
    <x v="2"/>
    <x v="2"/>
    <s v="no mismatch "/>
    <s v="no mismatch"/>
  </r>
  <r>
    <x v="2"/>
    <x v="0"/>
    <x v="0"/>
    <x v="1"/>
    <s v="DC TST116883"/>
    <n v="5732.66"/>
    <n v="127712"/>
    <n v="11226.6"/>
    <x v="8"/>
    <n v="109855"/>
    <x v="8"/>
    <x v="85"/>
    <x v="6"/>
    <x v="6"/>
    <n v="83144670"/>
    <x v="0"/>
    <x v="11"/>
    <x v="3"/>
    <d v="2020-04-22T00:00:00"/>
    <x v="86"/>
    <x v="0"/>
    <x v="1"/>
    <x v="1"/>
    <n v="6.5600000000000006E-2"/>
    <n v="7.1800000000000003E-2"/>
  </r>
  <r>
    <x v="2"/>
    <x v="0"/>
    <x v="0"/>
    <x v="1"/>
    <s v="DC TST116888"/>
    <n v="4317.79"/>
    <n v="69001"/>
    <n v="7174"/>
    <x v="9"/>
    <n v="109856"/>
    <x v="8"/>
    <x v="85"/>
    <x v="6"/>
    <x v="0"/>
    <n v="36200280"/>
    <x v="0"/>
    <x v="12"/>
    <x v="3"/>
    <d v="2020-05-20T00:00:00"/>
    <x v="87"/>
    <x v="0"/>
    <x v="1"/>
    <x v="1"/>
    <n v="6.7000000000000004E-2"/>
    <n v="7.3400000000000007E-2"/>
  </r>
  <r>
    <x v="2"/>
    <x v="0"/>
    <x v="1"/>
    <x v="2"/>
    <s v="DC TST117394"/>
    <n v="3231.6"/>
    <n v="29816"/>
    <n v="4861"/>
    <x v="10"/>
    <n v="109857"/>
    <x v="9"/>
    <x v="87"/>
    <x v="13"/>
    <x v="5"/>
    <n v="12304050"/>
    <x v="0"/>
    <x v="12"/>
    <x v="3"/>
    <d v="2020-05-20T00:00:00"/>
    <x v="87"/>
    <x v="0"/>
    <x v="2"/>
    <x v="2"/>
    <s v="no mismatch "/>
    <s v="no mismatch"/>
  </r>
  <r>
    <x v="2"/>
    <x v="0"/>
    <x v="0"/>
    <x v="2"/>
    <s v="DC TST117393"/>
    <n v="3932.55"/>
    <n v="58403"/>
    <n v="7324"/>
    <x v="11"/>
    <n v="109858"/>
    <x v="9"/>
    <x v="88"/>
    <x v="2"/>
    <x v="3"/>
    <n v="27721200"/>
    <x v="0"/>
    <x v="12"/>
    <x v="3"/>
    <d v="2020-05-22T00:00:00"/>
    <x v="88"/>
    <x v="0"/>
    <x v="2"/>
    <x v="2"/>
    <s v="no mismatch "/>
    <s v="no mismatch"/>
  </r>
  <r>
    <x v="2"/>
    <x v="0"/>
    <x v="0"/>
    <x v="2"/>
    <s v="DC TST117397"/>
    <n v="4583.09"/>
    <n v="43506"/>
    <n v="7174"/>
    <x v="12"/>
    <n v="109889"/>
    <x v="10"/>
    <x v="88"/>
    <x v="2"/>
    <x v="4"/>
    <n v="18378720"/>
    <x v="0"/>
    <x v="3"/>
    <x v="5"/>
    <d v="2020-06-03T00:00:00"/>
    <x v="89"/>
    <x v="0"/>
    <x v="1"/>
    <x v="1"/>
    <n v="6.7000000000000004E-2"/>
    <n v="7.3400000000000007E-2"/>
  </r>
  <r>
    <x v="2"/>
    <x v="0"/>
    <x v="1"/>
    <x v="2"/>
    <s v="DC TST117395"/>
    <n v="4206.54"/>
    <n v="34221"/>
    <n v="2041"/>
    <x v="13"/>
    <n v="109873"/>
    <x v="11"/>
    <x v="89"/>
    <x v="11"/>
    <x v="5"/>
    <n v="14251820"/>
    <x v="0"/>
    <x v="3"/>
    <x v="5"/>
    <d v="2020-06-03T00:00:00"/>
    <x v="89"/>
    <x v="0"/>
    <x v="2"/>
    <x v="2"/>
    <s v="no mismatch"/>
    <s v="no mismatch"/>
  </r>
  <r>
    <x v="2"/>
    <x v="0"/>
    <x v="0"/>
    <x v="1"/>
    <s v="DC TST117399"/>
    <n v="4095.86"/>
    <n v="123848"/>
    <n v="14348"/>
    <x v="14"/>
    <n v="109868"/>
    <x v="11"/>
    <x v="85"/>
    <x v="6"/>
    <x v="6"/>
    <n v="66063720"/>
    <x v="0"/>
    <x v="3"/>
    <x v="5"/>
    <d v="2020-06-10T00:00:00"/>
    <x v="90"/>
    <x v="0"/>
    <x v="1"/>
    <x v="1"/>
    <n v="6.6699999999999995E-2"/>
    <n v="7.2999999999999995E-2"/>
  </r>
  <r>
    <x v="2"/>
    <x v="1"/>
    <x v="1"/>
    <x v="2"/>
    <s v="DC TST117401"/>
    <n v="1650"/>
    <n v="30151"/>
    <n v="0"/>
    <x v="15"/>
    <n v="109880"/>
    <x v="12"/>
    <x v="90"/>
    <x v="7"/>
    <x v="5"/>
    <n v="4530000"/>
    <x v="0"/>
    <x v="3"/>
    <x v="5"/>
    <d v="2020-06-12T00:00:00"/>
    <x v="91"/>
    <x v="0"/>
    <x v="1"/>
    <x v="1"/>
    <n v="6.6600000000000006E-2"/>
    <n v="7.2900000000000006E-2"/>
  </r>
  <r>
    <x v="2"/>
    <x v="0"/>
    <x v="0"/>
    <x v="1"/>
    <s v="DC TST117409"/>
    <n v="5197.5600000000004"/>
    <n v="230759"/>
    <n v="17819"/>
    <x v="16"/>
    <n v="109886"/>
    <x v="13"/>
    <x v="85"/>
    <x v="6"/>
    <x v="3"/>
    <n v="57672030"/>
    <x v="0"/>
    <x v="3"/>
    <x v="5"/>
    <d v="2020-06-24T00:00:00"/>
    <x v="92"/>
    <x v="0"/>
    <x v="1"/>
    <x v="1"/>
    <n v="6.6500000000000004E-2"/>
    <n v="7.2400000000000006E-2"/>
  </r>
  <r>
    <x v="2"/>
    <x v="0"/>
    <x v="0"/>
    <x v="1"/>
    <s v="DC TST117409"/>
    <n v="0"/>
    <n v="0"/>
    <n v="0"/>
    <x v="16"/>
    <n v="109947"/>
    <x v="13"/>
    <x v="85"/>
    <x v="6"/>
    <x v="3"/>
    <n v="57672030"/>
    <x v="0"/>
    <x v="3"/>
    <x v="5"/>
    <d v="2020-06-24T00:00:00"/>
    <x v="92"/>
    <x v="0"/>
    <x v="2"/>
    <x v="2"/>
    <s v="no mismatch"/>
    <s v="no mismatch"/>
  </r>
  <r>
    <x v="2"/>
    <x v="0"/>
    <x v="0"/>
    <x v="1"/>
    <s v="DC TST117403"/>
    <n v="4045.86"/>
    <n v="161268"/>
    <n v="13728"/>
    <x v="17"/>
    <n v="109891"/>
    <x v="14"/>
    <x v="91"/>
    <x v="2"/>
    <x v="3"/>
    <n v="31759320"/>
    <x v="0"/>
    <x v="3"/>
    <x v="5"/>
    <d v="2020-06-19T00:00:00"/>
    <x v="93"/>
    <x v="0"/>
    <x v="1"/>
    <x v="1"/>
    <n v="6.6100000000000006E-2"/>
    <n v="7.1999999999999995E-2"/>
  </r>
  <r>
    <x v="2"/>
    <x v="0"/>
    <x v="0"/>
    <x v="1"/>
    <s v="DC TST117403"/>
    <n v="0"/>
    <n v="0"/>
    <n v="0"/>
    <x v="17"/>
    <n v="109925"/>
    <x v="14"/>
    <x v="85"/>
    <x v="2"/>
    <x v="3"/>
    <n v="32428020"/>
    <x v="0"/>
    <x v="3"/>
    <x v="5"/>
    <d v="2020-06-19T00:00:00"/>
    <x v="93"/>
    <x v="0"/>
    <x v="1"/>
    <x v="1"/>
    <n v="6.6500000000000004E-2"/>
    <n v="7.2400000000000006E-2"/>
  </r>
  <r>
    <x v="2"/>
    <x v="0"/>
    <x v="0"/>
    <x v="1"/>
    <s v="DC TST117418"/>
    <n v="4651.24"/>
    <n v="203067"/>
    <n v="13044.2"/>
    <x v="18"/>
    <s v="109917,新建110003"/>
    <x v="15"/>
    <x v="85"/>
    <x v="6"/>
    <x v="2"/>
    <n v="37967940"/>
    <x v="0"/>
    <x v="3"/>
    <x v="3"/>
    <d v="2020-07-22T00:00:00"/>
    <x v="94"/>
    <x v="0"/>
    <x v="1"/>
    <x v="1"/>
    <s v="no mismatch"/>
    <s v="no mismatch"/>
  </r>
  <r>
    <x v="2"/>
    <x v="0"/>
    <x v="0"/>
    <x v="1"/>
    <s v="DC TST117418"/>
    <n v="0"/>
    <n v="0"/>
    <n v="0"/>
    <x v="18"/>
    <s v="109963,新建110004"/>
    <x v="15"/>
    <x v="85"/>
    <x v="6"/>
    <x v="4"/>
    <n v="43838010"/>
    <x v="0"/>
    <x v="3"/>
    <x v="3"/>
    <d v="2020-07-22T00:00:00"/>
    <x v="94"/>
    <x v="0"/>
    <x v="1"/>
    <x v="1"/>
    <s v="no mismatch"/>
    <s v="no mismatch"/>
  </r>
  <r>
    <x v="2"/>
    <x v="0"/>
    <x v="0"/>
    <x v="1"/>
    <s v="DC TST117418"/>
    <n v="0"/>
    <n v="0"/>
    <n v="0"/>
    <x v="18"/>
    <n v="109998"/>
    <x v="15"/>
    <x v="85"/>
    <x v="6"/>
    <x v="5"/>
    <n v="9071670"/>
    <x v="0"/>
    <x v="3"/>
    <x v="3"/>
    <d v="2020-07-22T00:00:00"/>
    <x v="94"/>
    <x v="0"/>
    <x v="1"/>
    <x v="1"/>
    <n v="6.6100000000000006E-2"/>
    <n v="7.2400000000000006E-2"/>
  </r>
  <r>
    <x v="2"/>
    <x v="0"/>
    <x v="0"/>
    <x v="1"/>
    <s v="DC TST117417"/>
    <n v="3711.31"/>
    <n v="126667"/>
    <n v="13044.2"/>
    <x v="19"/>
    <n v="109924"/>
    <x v="16"/>
    <x v="85"/>
    <x v="2"/>
    <x v="0"/>
    <n v="26223660"/>
    <x v="0"/>
    <x v="3"/>
    <x v="3"/>
    <d v="2020-07-22T00:00:00"/>
    <x v="94"/>
    <x v="0"/>
    <x v="2"/>
    <x v="2"/>
    <s v="no mismatch"/>
    <s v="no mismatch"/>
  </r>
  <r>
    <x v="2"/>
    <x v="0"/>
    <x v="0"/>
    <x v="1"/>
    <s v="DC TST117417"/>
    <n v="0"/>
    <n v="0"/>
    <n v="0"/>
    <x v="19"/>
    <n v="109962"/>
    <x v="16"/>
    <x v="85"/>
    <x v="2"/>
    <x v="0"/>
    <n v="25250160"/>
    <x v="0"/>
    <x v="3"/>
    <x v="3"/>
    <d v="2020-07-22T00:00:00"/>
    <x v="94"/>
    <x v="0"/>
    <x v="1"/>
    <x v="1"/>
    <n v="6.6100000000000006E-2"/>
    <n v="7.2400000000000006E-2"/>
  </r>
  <r>
    <x v="2"/>
    <x v="0"/>
    <x v="0"/>
    <x v="2"/>
    <s v="DC TST117424"/>
    <n v="4337.7800000000007"/>
    <n v="180905"/>
    <n v="12409.2"/>
    <x v="20"/>
    <n v="109933"/>
    <x v="17"/>
    <x v="92"/>
    <x v="6"/>
    <x v="6"/>
    <n v="56696144"/>
    <x v="0"/>
    <x v="13"/>
    <x v="6"/>
    <d v="2020-08-12T00:00:00"/>
    <x v="95"/>
    <x v="0"/>
    <x v="3"/>
    <x v="2"/>
    <s v="no mismatch"/>
    <s v="no mismatch"/>
  </r>
  <r>
    <x v="2"/>
    <x v="0"/>
    <x v="0"/>
    <x v="2"/>
    <s v="DC TST117424"/>
    <n v="0"/>
    <n v="0"/>
    <n v="0"/>
    <x v="20"/>
    <n v="109933"/>
    <x v="17"/>
    <x v="92"/>
    <x v="2"/>
    <x v="4"/>
    <n v="19946970"/>
    <x v="0"/>
    <x v="13"/>
    <x v="6"/>
    <d v="2020-08-12T00:00:00"/>
    <x v="95"/>
    <x v="0"/>
    <x v="3"/>
    <x v="2"/>
    <s v="no mismatch"/>
    <s v="no mismatch"/>
  </r>
  <r>
    <x v="2"/>
    <x v="0"/>
    <x v="0"/>
    <x v="1"/>
    <s v="DC TST117426"/>
    <n v="4024.76"/>
    <n v="57078"/>
    <n v="12409.2"/>
    <x v="21"/>
    <n v="109957"/>
    <x v="18"/>
    <x v="85"/>
    <x v="2"/>
    <x v="1"/>
    <n v="62913240"/>
    <x v="0"/>
    <x v="13"/>
    <x v="6"/>
    <d v="2020-08-21T00:00:00"/>
    <x v="96"/>
    <x v="0"/>
    <x v="3"/>
    <x v="2"/>
    <s v="no mismatch"/>
    <s v="no mismatch"/>
  </r>
  <r>
    <x v="2"/>
    <x v="0"/>
    <x v="0"/>
    <x v="1"/>
    <s v="DC TST117428"/>
    <n v="3487.73"/>
    <n v="57237"/>
    <n v="6514.6"/>
    <x v="22"/>
    <n v="109958"/>
    <x v="18"/>
    <x v="85"/>
    <x v="2"/>
    <x v="3"/>
    <n v="26887200"/>
    <x v="0"/>
    <x v="13"/>
    <x v="6"/>
    <d v="2020-08-28T00:00:00"/>
    <x v="97"/>
    <x v="0"/>
    <x v="3"/>
    <x v="1"/>
    <n v="6.6299999999999998E-2"/>
    <n v="7.3899999999999993E-2"/>
  </r>
  <r>
    <x v="2"/>
    <x v="0"/>
    <x v="0"/>
    <x v="2"/>
    <s v="DC TST117429"/>
    <n v="2808.94"/>
    <n v="101877"/>
    <n v="6664.6"/>
    <x v="23"/>
    <n v="109981"/>
    <x v="19"/>
    <x v="93"/>
    <x v="1"/>
    <x v="5"/>
    <n v="15463138"/>
    <x v="0"/>
    <x v="13"/>
    <x v="6"/>
    <d v="2020-08-28T00:00:00"/>
    <x v="97"/>
    <x v="0"/>
    <x v="3"/>
    <x v="2"/>
    <s v="no mismatch"/>
    <s v="no mismatch"/>
  </r>
  <r>
    <x v="2"/>
    <x v="0"/>
    <x v="0"/>
    <x v="2"/>
    <s v="DC TST117429"/>
    <n v="0"/>
    <n v="0"/>
    <n v="0"/>
    <x v="23"/>
    <n v="110029"/>
    <x v="19"/>
    <x v="93"/>
    <x v="1"/>
    <x v="5"/>
    <n v="15463137"/>
    <x v="0"/>
    <x v="13"/>
    <x v="6"/>
    <d v="2020-08-28T00:00:00"/>
    <x v="97"/>
    <x v="0"/>
    <x v="3"/>
    <x v="1"/>
    <n v="6.5500000000000003E-2"/>
    <n v="7.2400000000000006E-2"/>
  </r>
  <r>
    <x v="2"/>
    <x v="2"/>
    <x v="1"/>
    <x v="2"/>
    <s v="DC TST117422"/>
    <n v="3651.81"/>
    <n v="138422"/>
    <n v="4481.24"/>
    <x v="24"/>
    <n v="109926"/>
    <x v="16"/>
    <x v="94"/>
    <x v="6"/>
    <x v="0"/>
    <n v="36524752"/>
    <x v="0"/>
    <x v="13"/>
    <x v="6"/>
    <d v="2020-08-28T00:00:00"/>
    <x v="97"/>
    <x v="0"/>
    <x v="3"/>
    <x v="2"/>
    <s v="no mismatch"/>
    <s v="no mismatch"/>
  </r>
  <r>
    <x v="2"/>
    <x v="2"/>
    <x v="1"/>
    <x v="2"/>
    <s v="DC TST117422"/>
    <n v="0"/>
    <n v="0"/>
    <n v="0"/>
    <x v="24"/>
    <n v="109926"/>
    <x v="16"/>
    <x v="94"/>
    <x v="2"/>
    <x v="2"/>
    <n v="13546045"/>
    <x v="0"/>
    <x v="13"/>
    <x v="6"/>
    <d v="2020-08-28T00:00:00"/>
    <x v="97"/>
    <x v="0"/>
    <x v="3"/>
    <x v="2"/>
    <s v="no mismatch"/>
    <s v="no mismatch"/>
  </r>
  <r>
    <x v="2"/>
    <x v="0"/>
    <x v="0"/>
    <x v="1"/>
    <s v="DC TST117436"/>
    <n v="4863.29"/>
    <n v="214748"/>
    <n v="12409.2"/>
    <x v="25"/>
    <n v="109954"/>
    <x v="16"/>
    <x v="85"/>
    <x v="6"/>
    <x v="4"/>
    <n v="37896690"/>
    <x v="0"/>
    <x v="14"/>
    <x v="7"/>
    <d v="2020-09-16T00:00:00"/>
    <x v="98"/>
    <x v="0"/>
    <x v="3"/>
    <x v="1"/>
    <n v="6.6100000000000006E-2"/>
    <n v="7.2400000000000006E-2"/>
  </r>
  <r>
    <x v="2"/>
    <x v="0"/>
    <x v="0"/>
    <x v="1"/>
    <s v="DC TST117436"/>
    <n v="0"/>
    <m/>
    <n v="0"/>
    <x v="25"/>
    <n v="110000"/>
    <x v="16"/>
    <x v="85"/>
    <x v="6"/>
    <x v="2"/>
    <n v="24506220"/>
    <x v="0"/>
    <x v="14"/>
    <x v="7"/>
    <d v="2020-09-16T00:00:00"/>
    <x v="98"/>
    <x v="0"/>
    <x v="3"/>
    <x v="3"/>
    <n v="6.5600000000000006E-2"/>
    <n v="7.1800000000000003E-2"/>
  </r>
  <r>
    <x v="2"/>
    <x v="0"/>
    <x v="0"/>
    <x v="1"/>
    <s v="DC TST117436"/>
    <n v="0"/>
    <m/>
    <n v="0"/>
    <x v="25"/>
    <n v="109999"/>
    <x v="16"/>
    <x v="85"/>
    <x v="6"/>
    <x v="4"/>
    <n v="36354210"/>
    <x v="0"/>
    <x v="14"/>
    <x v="7"/>
    <d v="2020-09-16T00:00:00"/>
    <x v="98"/>
    <x v="0"/>
    <x v="3"/>
    <x v="1"/>
    <n v="6.5500000000000003E-2"/>
    <n v="7.2400000000000006E-2"/>
  </r>
  <r>
    <x v="2"/>
    <x v="3"/>
    <x v="0"/>
    <x v="2"/>
    <s v="CNY单"/>
    <s v="CNY单"/>
    <s v="CNY单"/>
    <n v="0"/>
    <x v="26"/>
    <s v="49J103603"/>
    <x v="20"/>
    <x v="95"/>
    <x v="1"/>
    <x v="5"/>
    <n v="1240000"/>
    <x v="0"/>
    <x v="0"/>
    <x v="7"/>
    <s v="Yamaha仓库"/>
    <x v="99"/>
    <x v="0"/>
    <x v="3"/>
    <x v="2"/>
    <s v="no mismatch"/>
    <s v="no mismatch"/>
  </r>
  <r>
    <x v="2"/>
    <x v="0"/>
    <x v="0"/>
    <x v="2"/>
    <s v="DC TST117435"/>
    <n v="4768.7700000000004"/>
    <n v="141010"/>
    <n v="12133.6"/>
    <x v="27"/>
    <n v="109980"/>
    <x v="19"/>
    <x v="93"/>
    <x v="6"/>
    <x v="7"/>
    <n v="94369992"/>
    <x v="0"/>
    <x v="14"/>
    <x v="7"/>
    <d v="2020-09-23T00:00:00"/>
    <x v="100"/>
    <x v="0"/>
    <x v="3"/>
    <x v="2"/>
    <s v="no mismatch"/>
    <s v="no mismatch"/>
  </r>
  <r>
    <x v="2"/>
    <x v="0"/>
    <x v="0"/>
    <x v="1"/>
    <s v="DC TST117440"/>
    <n v="2620.46"/>
    <n v="94500"/>
    <n v="6451.8"/>
    <x v="28"/>
    <n v="109976"/>
    <x v="21"/>
    <x v="85"/>
    <x v="2"/>
    <x v="3"/>
    <n v="26887200"/>
    <x v="0"/>
    <x v="14"/>
    <x v="7"/>
    <d v="2020-09-23T00:00:00"/>
    <x v="100"/>
    <x v="0"/>
    <x v="3"/>
    <x v="2"/>
    <s v="no mismatch"/>
    <s v="no mismatch"/>
  </r>
  <r>
    <x v="2"/>
    <x v="0"/>
    <x v="0"/>
    <x v="1"/>
    <s v="DC TST117441"/>
    <n v="3428.49"/>
    <n v="78946"/>
    <n v="10425.9"/>
    <x v="29"/>
    <n v="109977"/>
    <x v="21"/>
    <x v="85"/>
    <x v="2"/>
    <x v="1"/>
    <n v="44582880"/>
    <x v="0"/>
    <x v="14"/>
    <x v="7"/>
    <d v="2020-09-25T00:00:00"/>
    <x v="101"/>
    <x v="0"/>
    <x v="3"/>
    <x v="1"/>
    <n v="6.5500000000000003E-2"/>
    <n v="7.2400000000000006E-2"/>
  </r>
  <r>
    <x v="2"/>
    <x v="0"/>
    <x v="0"/>
    <x v="1"/>
    <s v="315012044977-M"/>
    <m/>
    <m/>
    <n v="11257.859999999999"/>
    <x v="30"/>
    <n v="109984"/>
    <x v="22"/>
    <x v="85"/>
    <x v="6"/>
    <x v="6"/>
    <n v="54343620"/>
    <x v="0"/>
    <x v="14"/>
    <x v="2"/>
    <d v="2020-10-09T00:00:00"/>
    <x v="102"/>
    <x v="0"/>
    <x v="3"/>
    <x v="2"/>
    <s v="no mismatch"/>
    <s v="no mismatch"/>
  </r>
  <r>
    <x v="2"/>
    <x v="0"/>
    <x v="1"/>
    <x v="2"/>
    <s v="315012045235-M"/>
    <m/>
    <m/>
    <n v="4681.3"/>
    <x v="31"/>
    <n v="110058"/>
    <x v="23"/>
    <x v="96"/>
    <x v="1"/>
    <x v="5"/>
    <n v="16106070"/>
    <x v="0"/>
    <x v="14"/>
    <x v="2"/>
    <d v="2020-10-02T00:00:00"/>
    <x v="103"/>
    <x v="0"/>
    <x v="3"/>
    <x v="2"/>
    <s v="no mismatch"/>
    <s v="no mismatch"/>
  </r>
  <r>
    <x v="2"/>
    <x v="0"/>
    <x v="0"/>
    <x v="2"/>
    <s v="315012044959-M"/>
    <m/>
    <m/>
    <n v="6805.9"/>
    <x v="32"/>
    <n v="109995"/>
    <x v="24"/>
    <x v="97"/>
    <x v="2"/>
    <x v="2"/>
    <n v="15676110"/>
    <x v="0"/>
    <x v="14"/>
    <x v="2"/>
    <d v="2020-10-16T00:00:00"/>
    <x v="104"/>
    <x v="0"/>
    <x v="3"/>
    <x v="2"/>
    <s v="no mismatch"/>
    <s v="no mismatch"/>
  </r>
  <r>
    <x v="2"/>
    <x v="0"/>
    <x v="0"/>
    <x v="2"/>
    <s v="315012044959-M"/>
    <m/>
    <m/>
    <n v="0"/>
    <x v="32"/>
    <n v="110118"/>
    <x v="24"/>
    <x v="97"/>
    <x v="2"/>
    <x v="5"/>
    <n v="7832910"/>
    <x v="0"/>
    <x v="14"/>
    <x v="2"/>
    <d v="2020-10-16T00:00:00"/>
    <x v="104"/>
    <x v="0"/>
    <x v="3"/>
    <x v="1"/>
    <n v="6.4199999999999993E-2"/>
    <n v="7.2900000000000006E-2"/>
  </r>
  <r>
    <x v="2"/>
    <x v="0"/>
    <x v="0"/>
    <x v="2"/>
    <s v="315012045397-M"/>
    <m/>
    <m/>
    <n v="10337.85"/>
    <x v="33"/>
    <n v="109996"/>
    <x v="24"/>
    <x v="97"/>
    <x v="6"/>
    <x v="0"/>
    <n v="35482976"/>
    <x v="0"/>
    <x v="14"/>
    <x v="2"/>
    <d v="2020-10-23T00:00:00"/>
    <x v="105"/>
    <x v="0"/>
    <x v="3"/>
    <x v="1"/>
    <n v="6.4799999999999996E-2"/>
    <n v="7.3200000000000001E-2"/>
  </r>
  <r>
    <x v="2"/>
    <x v="0"/>
    <x v="0"/>
    <x v="2"/>
    <s v="315012045397-M"/>
    <m/>
    <m/>
    <n v="0"/>
    <x v="33"/>
    <n v="110071"/>
    <x v="24"/>
    <x v="97"/>
    <x v="6"/>
    <x v="2"/>
    <n v="17741488"/>
    <x v="0"/>
    <x v="14"/>
    <x v="2"/>
    <d v="2020-10-23T00:00:00"/>
    <x v="105"/>
    <x v="0"/>
    <x v="3"/>
    <x v="1"/>
    <n v="6.4899999999999999E-2"/>
    <n v="7.3300000000000004E-2"/>
  </r>
  <r>
    <x v="2"/>
    <x v="0"/>
    <x v="0"/>
    <x v="2"/>
    <s v="315012045565-M"/>
    <m/>
    <m/>
    <n v="6505.9"/>
    <x v="34"/>
    <n v="110047"/>
    <x v="25"/>
    <x v="98"/>
    <x v="14"/>
    <x v="3"/>
    <n v="46988250"/>
    <x v="0"/>
    <x v="14"/>
    <x v="2"/>
    <d v="2020-10-16T00:00:00"/>
    <x v="104"/>
    <x v="0"/>
    <x v="3"/>
    <x v="1"/>
    <n v="6.5000000000000002E-2"/>
    <n v="7.3499999999999996E-2"/>
  </r>
  <r>
    <x v="2"/>
    <x v="0"/>
    <x v="0"/>
    <x v="2"/>
    <s v="315012045574-M"/>
    <m/>
    <m/>
    <n v="6805.9"/>
    <x v="35"/>
    <n v="110048"/>
    <x v="25"/>
    <x v="98"/>
    <x v="14"/>
    <x v="3"/>
    <n v="53573430"/>
    <x v="0"/>
    <x v="14"/>
    <x v="2"/>
    <d v="2020-10-21T00:00:00"/>
    <x v="106"/>
    <x v="0"/>
    <x v="3"/>
    <x v="1"/>
    <n v="6.4100000000000004E-2"/>
    <n v="7.2800000000000004E-2"/>
  </r>
  <r>
    <x v="2"/>
    <x v="0"/>
    <x v="1"/>
    <x v="2"/>
    <s v="TT in advance "/>
    <m/>
    <m/>
    <n v="3712.95"/>
    <x v="36"/>
    <n v="110046"/>
    <x v="26"/>
    <x v="99"/>
    <x v="14"/>
    <x v="5"/>
    <n v="11754756"/>
    <x v="0"/>
    <x v="14"/>
    <x v="2"/>
    <d v="2020-10-23T00:00:00"/>
    <x v="105"/>
    <x v="0"/>
    <x v="3"/>
    <x v="1"/>
    <n v="6.5000000000000002E-2"/>
    <n v="7.3499999999999996E-2"/>
  </r>
  <r>
    <x v="2"/>
    <x v="0"/>
    <x v="0"/>
    <x v="1"/>
    <s v="315012045645-M"/>
    <m/>
    <m/>
    <n v="6505.9"/>
    <x v="37"/>
    <n v="109991"/>
    <x v="27"/>
    <x v="85"/>
    <x v="2"/>
    <x v="4"/>
    <n v="17119620"/>
    <x v="0"/>
    <x v="14"/>
    <x v="2"/>
    <d v="2020-10-23T00:00:00"/>
    <x v="105"/>
    <x v="0"/>
    <x v="3"/>
    <x v="2"/>
    <s v="no mismatch"/>
    <s v="no mismatch"/>
  </r>
  <r>
    <x v="2"/>
    <x v="0"/>
    <x v="0"/>
    <x v="1"/>
    <s v="315012045645-M"/>
    <m/>
    <m/>
    <n v="0"/>
    <x v="37"/>
    <n v="110121"/>
    <x v="27"/>
    <x v="85"/>
    <x v="2"/>
    <x v="5"/>
    <n v="6364740"/>
    <x v="0"/>
    <x v="14"/>
    <x v="2"/>
    <d v="2020-10-23T00:00:00"/>
    <x v="105"/>
    <x v="0"/>
    <x v="3"/>
    <x v="1"/>
    <n v="6.3799999999999996E-2"/>
    <n v="7.3400000000000007E-2"/>
  </r>
  <r>
    <x v="2"/>
    <x v="0"/>
    <x v="0"/>
    <x v="1"/>
    <s v="315012045645-M"/>
    <m/>
    <m/>
    <n v="0"/>
    <x v="37"/>
    <n v="110128"/>
    <x v="27"/>
    <x v="85"/>
    <x v="2"/>
    <x v="5"/>
    <n v="6364740"/>
    <x v="0"/>
    <x v="14"/>
    <x v="2"/>
    <d v="2020-10-23T00:00:00"/>
    <x v="105"/>
    <x v="0"/>
    <x v="3"/>
    <x v="1"/>
    <n v="6.4399999999999999E-2"/>
    <n v="7.3099999999999998E-2"/>
  </r>
  <r>
    <x v="2"/>
    <x v="0"/>
    <x v="1"/>
    <x v="2"/>
    <s v="315012046038-M "/>
    <m/>
    <m/>
    <n v="3712.95"/>
    <x v="38"/>
    <n v="110033"/>
    <x v="28"/>
    <x v="100"/>
    <x v="13"/>
    <x v="5"/>
    <n v="13844626"/>
    <x v="0"/>
    <x v="14"/>
    <x v="2"/>
    <d v="2020-10-23T00:00:00"/>
    <x v="105"/>
    <x v="0"/>
    <x v="3"/>
    <x v="1"/>
    <n v="6.5000000000000002E-2"/>
    <n v="7.3499999999999996E-2"/>
  </r>
  <r>
    <x v="2"/>
    <x v="1"/>
    <x v="1"/>
    <x v="2"/>
    <s v="315012045654-M"/>
    <m/>
    <m/>
    <n v="4751.95"/>
    <x v="39"/>
    <n v="110038"/>
    <x v="29"/>
    <x v="90"/>
    <x v="7"/>
    <x v="5"/>
    <n v="4530000"/>
    <x v="0"/>
    <x v="14"/>
    <x v="2"/>
    <d v="2020-10-14T00:00:00"/>
    <x v="107"/>
    <x v="0"/>
    <x v="3"/>
    <x v="1"/>
    <n v="6.5000000000000002E-2"/>
    <n v="7.3499999999999996E-2"/>
  </r>
  <r>
    <x v="2"/>
    <x v="0"/>
    <x v="0"/>
    <x v="1"/>
    <s v="LM848698100"/>
    <m/>
    <m/>
    <n v="10487.85"/>
    <x v="40"/>
    <n v="109992"/>
    <x v="27"/>
    <x v="85"/>
    <x v="2"/>
    <x v="0"/>
    <n v="27231360"/>
    <x v="0"/>
    <x v="14"/>
    <x v="2"/>
    <d v="2020-10-28T00:00:00"/>
    <x v="108"/>
    <x v="0"/>
    <x v="3"/>
    <x v="1"/>
    <n v="6.4799999999999996E-2"/>
    <n v="7.3200000000000001E-2"/>
  </r>
  <r>
    <x v="2"/>
    <x v="0"/>
    <x v="0"/>
    <x v="1"/>
    <s v="LM848698100"/>
    <m/>
    <m/>
    <n v="0"/>
    <x v="40"/>
    <n v="110072"/>
    <x v="27"/>
    <x v="85"/>
    <x v="2"/>
    <x v="4"/>
    <n v="21827520"/>
    <x v="0"/>
    <x v="14"/>
    <x v="2"/>
    <d v="2020-10-28T00:00:00"/>
    <x v="108"/>
    <x v="0"/>
    <x v="3"/>
    <x v="1"/>
    <n v="6.5000000000000002E-2"/>
    <n v="7.3499999999999996E-2"/>
  </r>
  <r>
    <x v="2"/>
    <x v="0"/>
    <x v="1"/>
    <x v="2"/>
    <s v="DC TST117449"/>
    <n v="1523.78"/>
    <n v="56044"/>
    <n v="4601.95"/>
    <x v="41"/>
    <n v="110034"/>
    <x v="28"/>
    <x v="96"/>
    <x v="13"/>
    <x v="5"/>
    <n v="11605095"/>
    <x v="0"/>
    <x v="14"/>
    <x v="2"/>
    <d v="2020-10-30T00:00:00"/>
    <x v="109"/>
    <x v="0"/>
    <x v="3"/>
    <x v="2"/>
    <s v="no mismatch"/>
    <s v="no mismatch"/>
  </r>
  <r>
    <x v="2"/>
    <x v="0"/>
    <x v="0"/>
    <x v="1"/>
    <s v="DC TST117452"/>
    <n v="1663.97"/>
    <n v="15376"/>
    <n v="4601.95"/>
    <x v="42"/>
    <n v="110055"/>
    <x v="23"/>
    <x v="85"/>
    <x v="2"/>
    <x v="5"/>
    <n v="5904120"/>
    <x v="0"/>
    <x v="13"/>
    <x v="8"/>
    <d v="2020-11-04T00:00:00"/>
    <x v="110"/>
    <x v="0"/>
    <x v="3"/>
    <x v="2"/>
    <s v="no mismatch"/>
    <s v="no mismatch"/>
  </r>
  <r>
    <x v="2"/>
    <x v="0"/>
    <x v="0"/>
    <x v="2"/>
    <s v="LM849358100"/>
    <m/>
    <m/>
    <n v="6655.9"/>
    <x v="43"/>
    <n v="110049"/>
    <x v="30"/>
    <x v="101"/>
    <x v="14"/>
    <x v="2"/>
    <n v="23382240"/>
    <x v="0"/>
    <x v="13"/>
    <x v="8"/>
    <d v="2020-11-04T00:00:00"/>
    <x v="110"/>
    <x v="0"/>
    <x v="3"/>
    <x v="1"/>
    <n v="6.4199999999999993E-2"/>
    <n v="7.2900000000000006E-2"/>
  </r>
  <r>
    <x v="2"/>
    <x v="0"/>
    <x v="0"/>
    <x v="2"/>
    <s v="LM849358100"/>
    <m/>
    <m/>
    <n v="0"/>
    <x v="43"/>
    <n v="110049"/>
    <x v="30"/>
    <x v="101"/>
    <x v="2"/>
    <x v="4"/>
    <n v="24437010"/>
    <x v="0"/>
    <x v="13"/>
    <x v="8"/>
    <d v="2020-11-04T00:00:00"/>
    <x v="110"/>
    <x v="0"/>
    <x v="3"/>
    <x v="1"/>
    <n v="6.4199999999999993E-2"/>
    <n v="7.2900000000000006E-2"/>
  </r>
  <r>
    <x v="2"/>
    <x v="0"/>
    <x v="0"/>
    <x v="1"/>
    <s v="315012046699-M"/>
    <m/>
    <m/>
    <n v="6655.9"/>
    <x v="44"/>
    <n v="110025"/>
    <x v="31"/>
    <x v="85"/>
    <x v="2"/>
    <x v="4"/>
    <n v="20085120"/>
    <x v="0"/>
    <x v="13"/>
    <x v="8"/>
    <d v="2020-11-04T00:00:00"/>
    <x v="110"/>
    <x v="0"/>
    <x v="3"/>
    <x v="1"/>
    <n v="6.4199999999999993E-2"/>
    <n v="7.2900000000000006E-2"/>
  </r>
  <r>
    <x v="2"/>
    <x v="0"/>
    <x v="0"/>
    <x v="1"/>
    <s v="315012046699-M"/>
    <m/>
    <m/>
    <n v="0"/>
    <x v="44"/>
    <n v="110117"/>
    <x v="31"/>
    <x v="85"/>
    <x v="2"/>
    <x v="2"/>
    <n v="13390080"/>
    <x v="0"/>
    <x v="13"/>
    <x v="8"/>
    <d v="2020-11-04T00:00:00"/>
    <x v="110"/>
    <x v="0"/>
    <x v="3"/>
    <x v="1"/>
    <n v="6.3799999999999996E-2"/>
    <n v="7.3400000000000007E-2"/>
  </r>
  <r>
    <x v="2"/>
    <x v="1"/>
    <x v="0"/>
    <x v="1"/>
    <s v="315012046706-M"/>
    <m/>
    <m/>
    <n v="4601.95"/>
    <x v="45"/>
    <n v="110081"/>
    <x v="32"/>
    <x v="85"/>
    <x v="15"/>
    <x v="2"/>
    <n v="7745350"/>
    <x v="0"/>
    <x v="13"/>
    <x v="8"/>
    <d v="2020-11-09T00:00:00"/>
    <x v="111"/>
    <x v="0"/>
    <x v="3"/>
    <x v="1"/>
    <n v="6.4000000000000001E-2"/>
    <n v="7.4899999999999994E-2"/>
  </r>
  <r>
    <x v="2"/>
    <x v="0"/>
    <x v="0"/>
    <x v="2"/>
    <s v="DC TST114754"/>
    <n v="3028.38"/>
    <n v="67752"/>
    <n v="6805.9"/>
    <x v="46"/>
    <n v="110050"/>
    <x v="30"/>
    <x v="101"/>
    <x v="2"/>
    <x v="2"/>
    <n v="24002792"/>
    <x v="0"/>
    <x v="13"/>
    <x v="8"/>
    <d v="2020-11-11T00:00:00"/>
    <x v="112"/>
    <x v="0"/>
    <x v="3"/>
    <x v="2"/>
    <s v="no mismatch"/>
    <s v="no mismatch"/>
  </r>
  <r>
    <x v="2"/>
    <x v="0"/>
    <x v="0"/>
    <x v="2"/>
    <s v="DC TST114754"/>
    <n v="0"/>
    <n v="0"/>
    <n v="0"/>
    <x v="46"/>
    <n v="110179"/>
    <x v="30"/>
    <x v="101"/>
    <x v="2"/>
    <x v="5"/>
    <n v="11613120"/>
    <x v="0"/>
    <x v="13"/>
    <x v="8"/>
    <d v="2020-11-11T00:00:00"/>
    <x v="112"/>
    <x v="0"/>
    <x v="3"/>
    <x v="1"/>
    <n v="6.4000000000000001E-2"/>
    <n v="7.4899999999999994E-2"/>
  </r>
  <r>
    <x v="2"/>
    <x v="0"/>
    <x v="0"/>
    <x v="1"/>
    <s v="LM849478100"/>
    <m/>
    <m/>
    <n v="7283.9"/>
    <x v="47"/>
    <n v="110043"/>
    <x v="26"/>
    <x v="85"/>
    <x v="2"/>
    <x v="4"/>
    <n v="16310520"/>
    <x v="0"/>
    <x v="13"/>
    <x v="8"/>
    <d v="2020-11-18T00:00:00"/>
    <x v="113"/>
    <x v="0"/>
    <x v="3"/>
    <x v="2"/>
    <s v="no mismatch"/>
    <s v="no mismatch"/>
  </r>
  <r>
    <x v="2"/>
    <x v="0"/>
    <x v="0"/>
    <x v="1"/>
    <s v="LM849478100"/>
    <m/>
    <m/>
    <n v="0"/>
    <x v="47"/>
    <n v="110140"/>
    <x v="26"/>
    <x v="85"/>
    <x v="2"/>
    <x v="2"/>
    <n v="10873680"/>
    <x v="0"/>
    <x v="13"/>
    <x v="8"/>
    <d v="2020-11-18T00:00:00"/>
    <x v="113"/>
    <x v="0"/>
    <x v="3"/>
    <x v="1"/>
    <n v="6.4000000000000001E-2"/>
    <n v="7.2599999999999998E-2"/>
  </r>
  <r>
    <x v="2"/>
    <x v="0"/>
    <x v="0"/>
    <x v="1"/>
    <s v="DC TST117460"/>
    <n v="2260.16"/>
    <n v="44433"/>
    <n v="4915.95"/>
    <x v="48"/>
    <n v="110137"/>
    <x v="33"/>
    <x v="85"/>
    <x v="14"/>
    <x v="2"/>
    <n v="18818340"/>
    <x v="0"/>
    <x v="13"/>
    <x v="8"/>
    <d v="2020-11-18T00:00:00"/>
    <x v="113"/>
    <x v="0"/>
    <x v="3"/>
    <x v="1"/>
    <n v="6.4000000000000001E-2"/>
    <n v="7.4899999999999994E-2"/>
  </r>
  <r>
    <x v="2"/>
    <x v="0"/>
    <x v="0"/>
    <x v="2"/>
    <s v="LM849468100"/>
    <n v="1160.77"/>
    <m/>
    <n v="5065.95"/>
    <x v="49"/>
    <n v="110089"/>
    <x v="34"/>
    <x v="102"/>
    <x v="14"/>
    <x v="5"/>
    <n v="10159170"/>
    <x v="0"/>
    <x v="13"/>
    <x v="8"/>
    <d v="2020-11-20T00:00:00"/>
    <x v="114"/>
    <x v="0"/>
    <x v="3"/>
    <x v="2"/>
    <s v="no mismatch"/>
    <s v="no mismatch"/>
  </r>
  <r>
    <x v="2"/>
    <x v="0"/>
    <x v="0"/>
    <x v="1"/>
    <s v="315012048045-M"/>
    <m/>
    <m/>
    <m/>
    <x v="50"/>
    <n v="110026"/>
    <x v="31"/>
    <x v="85"/>
    <x v="2"/>
    <x v="2"/>
    <n v="17151120"/>
    <x v="0"/>
    <x v="13"/>
    <x v="8"/>
    <d v="2020-11-28T00:00:00"/>
    <x v="115"/>
    <x v="0"/>
    <x v="3"/>
    <x v="2"/>
    <s v="No mismatch"/>
    <s v="no mismatch"/>
  </r>
  <r>
    <x v="2"/>
    <x v="0"/>
    <x v="0"/>
    <x v="1"/>
    <s v="315012048045-M"/>
    <m/>
    <m/>
    <m/>
    <x v="50"/>
    <n v="110182"/>
    <x v="31"/>
    <x v="85"/>
    <x v="2"/>
    <x v="2"/>
    <n v="14813280"/>
    <x v="0"/>
    <x v="13"/>
    <x v="8"/>
    <d v="2020-11-28T00:00:00"/>
    <x v="115"/>
    <x v="0"/>
    <x v="3"/>
    <x v="1"/>
    <n v="6.3399999999999998E-2"/>
    <n v="7.4200000000000002E-2"/>
  </r>
  <r>
    <x v="2"/>
    <x v="0"/>
    <x v="0"/>
    <x v="1"/>
    <s v="315012048045-M"/>
    <m/>
    <m/>
    <m/>
    <x v="50"/>
    <n v="110178"/>
    <x v="31"/>
    <x v="85"/>
    <x v="2"/>
    <x v="4"/>
    <n v="23921760"/>
    <x v="0"/>
    <x v="13"/>
    <x v="8"/>
    <d v="2020-11-28T00:00:00"/>
    <x v="115"/>
    <x v="0"/>
    <x v="3"/>
    <x v="1"/>
    <n v="6.4000000000000001E-2"/>
    <n v="7.4899999999999994E-2"/>
  </r>
  <r>
    <x v="2"/>
    <x v="1"/>
    <x v="0"/>
    <x v="1"/>
    <s v="TT in advance "/>
    <m/>
    <m/>
    <n v="4601.95"/>
    <x v="51"/>
    <n v="110045"/>
    <x v="35"/>
    <x v="85"/>
    <x v="7"/>
    <x v="5"/>
    <n v="4530000"/>
    <x v="0"/>
    <x v="13"/>
    <x v="8"/>
    <d v="2020-11-14T00:00:00"/>
    <x v="116"/>
    <x v="0"/>
    <x v="3"/>
    <x v="4"/>
    <s v="No mismatch"/>
    <s v="no mismatch"/>
  </r>
  <r>
    <x v="2"/>
    <x v="0"/>
    <x v="0"/>
    <x v="1"/>
    <s v="DC TST118916"/>
    <n v="2904.74"/>
    <n v="63335"/>
    <n v="19836"/>
    <x v="52"/>
    <n v="110044"/>
    <x v="26"/>
    <x v="85"/>
    <x v="2"/>
    <x v="0"/>
    <n v="21509760"/>
    <x v="0"/>
    <x v="13"/>
    <x v="8"/>
    <d v="2020-11-25T00:00:00"/>
    <x v="117"/>
    <x v="0"/>
    <x v="3"/>
    <x v="2"/>
    <s v="No mismatch"/>
    <s v="no mismatch"/>
  </r>
  <r>
    <x v="2"/>
    <x v="0"/>
    <x v="0"/>
    <x v="1"/>
    <s v="DC TST118916"/>
    <n v="0"/>
    <n v="0"/>
    <n v="0"/>
    <x v="52"/>
    <n v="110207"/>
    <x v="26"/>
    <x v="85"/>
    <x v="2"/>
    <x v="2"/>
    <n v="10754880"/>
    <x v="0"/>
    <x v="13"/>
    <x v="8"/>
    <d v="2020-11-25T00:00:00"/>
    <x v="117"/>
    <x v="0"/>
    <x v="3"/>
    <x v="1"/>
    <n v="6.3799999999999996E-2"/>
    <n v="7.46E-2"/>
  </r>
  <r>
    <x v="2"/>
    <x v="3"/>
    <x v="0"/>
    <x v="2"/>
    <s v="CNY单"/>
    <s v="CNY单"/>
    <s v="CNY单"/>
    <n v="0"/>
    <x v="53"/>
    <s v="49F103708"/>
    <x v="36"/>
    <x v="103"/>
    <x v="1"/>
    <x v="2"/>
    <n v="2465000"/>
    <x v="0"/>
    <x v="13"/>
    <x v="8"/>
    <s v="Yamaha仓库"/>
    <x v="112"/>
    <x v="1"/>
    <x v="3"/>
    <x v="4"/>
    <s v="CNY单"/>
    <m/>
  </r>
  <r>
    <x v="2"/>
    <x v="0"/>
    <x v="0"/>
    <x v="2"/>
    <s v="315012049240-M"/>
    <m/>
    <m/>
    <n v="5065.95"/>
    <x v="54"/>
    <n v="110110"/>
    <x v="30"/>
    <x v="101"/>
    <x v="14"/>
    <x v="5"/>
    <n v="9409170"/>
    <x v="0"/>
    <x v="15"/>
    <x v="9"/>
    <d v="2020-12-09T00:00:00"/>
    <x v="118"/>
    <x v="0"/>
    <x v="3"/>
    <x v="4"/>
    <s v="no mismatch"/>
    <s v="no mismatch"/>
  </r>
  <r>
    <x v="2"/>
    <x v="0"/>
    <x v="0"/>
    <x v="2"/>
    <s v="315012049240-M"/>
    <m/>
    <m/>
    <n v="0"/>
    <x v="54"/>
    <n v="110180"/>
    <x v="30"/>
    <x v="101"/>
    <x v="14"/>
    <x v="5"/>
    <n v="9409170"/>
    <x v="0"/>
    <x v="15"/>
    <x v="9"/>
    <d v="2020-12-09T00:00:00"/>
    <x v="118"/>
    <x v="0"/>
    <x v="3"/>
    <x v="1"/>
    <n v="6.4000000000000001E-2"/>
    <n v="7.4899999999999994E-2"/>
  </r>
  <r>
    <x v="2"/>
    <x v="0"/>
    <x v="0"/>
    <x v="1"/>
    <s v="315012049231-M"/>
    <m/>
    <m/>
    <n v="12409.2"/>
    <x v="55"/>
    <n v="110068"/>
    <x v="33"/>
    <x v="85"/>
    <x v="14"/>
    <x v="2"/>
    <n v="20988840"/>
    <x v="0"/>
    <x v="15"/>
    <x v="9"/>
    <d v="2020-12-11T00:00:00"/>
    <x v="119"/>
    <x v="0"/>
    <x v="3"/>
    <x v="4"/>
    <s v="no mismatch"/>
    <s v="no mismatch"/>
  </r>
  <r>
    <x v="2"/>
    <x v="0"/>
    <x v="0"/>
    <x v="1"/>
    <s v="LM850258100"/>
    <n v="1947.2"/>
    <m/>
    <n v="0"/>
    <x v="56"/>
    <n v="110069"/>
    <x v="33"/>
    <x v="85"/>
    <x v="14"/>
    <x v="3"/>
    <n v="47183650"/>
    <x v="0"/>
    <x v="15"/>
    <x v="9"/>
    <d v="2020-12-09T00:00:00"/>
    <x v="118"/>
    <x v="0"/>
    <x v="3"/>
    <x v="4"/>
    <s v="no mismatch"/>
    <s v="no mismatch"/>
  </r>
  <r>
    <x v="2"/>
    <x v="0"/>
    <x v="0"/>
    <x v="2"/>
    <s v="315012049419-M"/>
    <m/>
    <m/>
    <n v="16089.8"/>
    <x v="57"/>
    <n v="110097"/>
    <x v="37"/>
    <x v="104"/>
    <x v="14"/>
    <x v="2"/>
    <n v="18760740"/>
    <x v="0"/>
    <x v="15"/>
    <x v="9"/>
    <d v="2020-12-11T00:00:00"/>
    <x v="119"/>
    <x v="0"/>
    <x v="3"/>
    <x v="4"/>
    <s v="no mismatch"/>
    <s v="no mismatch"/>
  </r>
  <r>
    <x v="2"/>
    <x v="0"/>
    <x v="0"/>
    <x v="2"/>
    <s v="315012049419-M"/>
    <m/>
    <m/>
    <n v="0"/>
    <x v="57"/>
    <n v="110192"/>
    <x v="37"/>
    <x v="104"/>
    <x v="14"/>
    <x v="5"/>
    <n v="9409170"/>
    <x v="0"/>
    <x v="15"/>
    <x v="9"/>
    <d v="2020-12-11T00:00:00"/>
    <x v="119"/>
    <x v="0"/>
    <x v="3"/>
    <x v="1"/>
    <n v="6.3399999999999998E-2"/>
    <n v="7.4200000000000002E-2"/>
  </r>
  <r>
    <x v="2"/>
    <x v="0"/>
    <x v="0"/>
    <x v="2"/>
    <s v="DC TST117472"/>
    <n v="2648.98"/>
    <n v="56863"/>
    <n v="7990"/>
    <x v="58"/>
    <n v="110181"/>
    <x v="37"/>
    <x v="104"/>
    <x v="14"/>
    <x v="5"/>
    <n v="13543545"/>
    <x v="0"/>
    <x v="15"/>
    <x v="9"/>
    <d v="2020-12-16T00:00:00"/>
    <x v="120"/>
    <x v="0"/>
    <x v="3"/>
    <x v="4"/>
    <s v="no mismatch"/>
    <s v="no mismatch"/>
  </r>
  <r>
    <x v="2"/>
    <x v="0"/>
    <x v="0"/>
    <x v="2"/>
    <s v="DC TST117472"/>
    <n v="0"/>
    <n v="0"/>
    <n v="0"/>
    <x v="58"/>
    <n v="110214"/>
    <x v="37"/>
    <x v="104"/>
    <x v="14"/>
    <x v="5"/>
    <n v="13543545"/>
    <x v="0"/>
    <x v="15"/>
    <x v="9"/>
    <d v="2020-12-16T00:00:00"/>
    <x v="120"/>
    <x v="0"/>
    <x v="3"/>
    <x v="1"/>
    <n v="6.3500000000000001E-2"/>
    <n v="7.4200000000000002E-2"/>
  </r>
  <r>
    <x v="2"/>
    <x v="0"/>
    <x v="0"/>
    <x v="2"/>
    <s v="DC TST117469"/>
    <m/>
    <m/>
    <n v="7990"/>
    <x v="59"/>
    <n v="110158"/>
    <x v="38"/>
    <x v="105"/>
    <x v="14"/>
    <x v="2"/>
    <n v="26093940"/>
    <x v="0"/>
    <x v="15"/>
    <x v="9"/>
    <d v="2020-12-16T00:00:00"/>
    <x v="120"/>
    <x v="0"/>
    <x v="3"/>
    <x v="4"/>
    <s v="no mismatch"/>
    <s v="no mismatch"/>
  </r>
  <r>
    <x v="2"/>
    <x v="0"/>
    <x v="0"/>
    <x v="2"/>
    <s v="LM850248100"/>
    <n v="1454.74"/>
    <m/>
    <n v="7090"/>
    <x v="60"/>
    <n v="110159"/>
    <x v="38"/>
    <x v="105"/>
    <x v="14"/>
    <x v="2"/>
    <n v="25755540"/>
    <x v="0"/>
    <x v="15"/>
    <x v="9"/>
    <d v="2020-12-23T00:00:00"/>
    <x v="121"/>
    <x v="0"/>
    <x v="3"/>
    <x v="4"/>
    <s v="no mismatch"/>
    <s v="no mismatch"/>
  </r>
  <r>
    <x v="2"/>
    <x v="0"/>
    <x v="0"/>
    <x v="1"/>
    <s v="315012050996-M"/>
    <n v="1929.48"/>
    <m/>
    <n v="900"/>
    <x v="61"/>
    <n v="110122"/>
    <x v="39"/>
    <x v="85"/>
    <x v="2"/>
    <x v="5"/>
    <n v="11664720"/>
    <x v="0"/>
    <x v="15"/>
    <x v="9"/>
    <d v="2020-12-23T00:00:00"/>
    <x v="121"/>
    <x v="0"/>
    <x v="3"/>
    <x v="4"/>
    <s v="no mismatch"/>
    <s v="no mismatch"/>
  </r>
  <r>
    <x v="2"/>
    <x v="0"/>
    <x v="0"/>
    <x v="1"/>
    <s v="LM850818100"/>
    <n v="986.65"/>
    <m/>
    <n v="900"/>
    <x v="62"/>
    <n v="110161"/>
    <x v="26"/>
    <x v="85"/>
    <x v="2"/>
    <x v="5"/>
    <n v="5377440"/>
    <x v="0"/>
    <x v="15"/>
    <x v="9"/>
    <d v="2020-12-31T00:00:00"/>
    <x v="122"/>
    <x v="0"/>
    <x v="3"/>
    <x v="4"/>
    <s v="no mismatch"/>
    <s v="no mismatch"/>
  </r>
  <r>
    <x v="2"/>
    <x v="0"/>
    <x v="0"/>
    <x v="2"/>
    <s v="LM850678100"/>
    <n v="1512.11"/>
    <m/>
    <n v="7090"/>
    <x v="63"/>
    <n v="110108"/>
    <x v="40"/>
    <x v="106"/>
    <x v="14"/>
    <x v="5"/>
    <n v="11921970"/>
    <x v="0"/>
    <x v="15"/>
    <x v="9"/>
    <d v="2020-12-31T00:00:00"/>
    <x v="122"/>
    <x v="0"/>
    <x v="3"/>
    <x v="4"/>
    <s v="no mismatch"/>
    <s v="no mismatch"/>
  </r>
  <r>
    <x v="2"/>
    <x v="0"/>
    <x v="0"/>
    <x v="2"/>
    <s v="LM850678100"/>
    <n v="0"/>
    <m/>
    <n v="0"/>
    <x v="63"/>
    <n v="110108"/>
    <x v="40"/>
    <x v="106"/>
    <x v="2"/>
    <x v="2"/>
    <n v="15780480"/>
    <x v="0"/>
    <x v="15"/>
    <x v="9"/>
    <d v="2020-12-31T00:00:00"/>
    <x v="122"/>
    <x v="0"/>
    <x v="3"/>
    <x v="4"/>
    <s v="no mismatch"/>
    <s v="no mismatch"/>
  </r>
  <r>
    <x v="2"/>
    <x v="0"/>
    <x v="0"/>
    <x v="1"/>
    <s v="DC TST117480"/>
    <n v="2393.8599999999997"/>
    <n v="83639"/>
    <n v="11343.2"/>
    <x v="64"/>
    <n v="110067"/>
    <x v="33"/>
    <x v="85"/>
    <x v="2"/>
    <x v="0"/>
    <n v="21509760"/>
    <x v="0"/>
    <x v="16"/>
    <x v="10"/>
    <d v="2020-12-08T00:00:00"/>
    <x v="123"/>
    <x v="0"/>
    <x v="3"/>
    <x v="4"/>
    <s v="no mismatch"/>
    <s v="no mismatch"/>
  </r>
  <r>
    <x v="3"/>
    <x v="0"/>
    <x v="0"/>
    <x v="1"/>
    <s v="315012051236-M"/>
    <m/>
    <m/>
    <n v="17600.8"/>
    <x v="65"/>
    <n v="110285"/>
    <x v="33"/>
    <x v="85"/>
    <x v="2"/>
    <x v="1"/>
    <n v="45296880"/>
    <x v="0"/>
    <x v="16"/>
    <x v="10"/>
    <d v="2021-01-01T00:00:00"/>
    <x v="124"/>
    <x v="0"/>
    <x v="3"/>
    <x v="4"/>
    <s v="no mismatch"/>
    <s v="no mismatch"/>
  </r>
  <r>
    <x v="3"/>
    <x v="0"/>
    <x v="0"/>
    <x v="2"/>
    <s v="LM852168100"/>
    <m/>
    <m/>
    <n v="3160.9"/>
    <x v="66"/>
    <n v="110168"/>
    <x v="41"/>
    <x v="107"/>
    <x v="1"/>
    <x v="5"/>
    <n v="16543521"/>
    <x v="0"/>
    <x v="16"/>
    <x v="10"/>
    <d v="2021-01-20T00:00:00"/>
    <x v="125"/>
    <x v="0"/>
    <x v="3"/>
    <x v="1"/>
    <n v="6.4000000000000001E-2"/>
    <n v="7.4899999999999994E-2"/>
  </r>
  <r>
    <x v="3"/>
    <x v="0"/>
    <x v="0"/>
    <x v="2"/>
    <s v="DC TST117479"/>
    <n v="1705.31"/>
    <n v="66738"/>
    <n v="3160.9"/>
    <x v="67"/>
    <n v="110170"/>
    <x v="41"/>
    <x v="107"/>
    <x v="1"/>
    <x v="5"/>
    <n v="15324120"/>
    <x v="0"/>
    <x v="16"/>
    <x v="10"/>
    <d v="2021-01-20T00:00:00"/>
    <x v="125"/>
    <x v="0"/>
    <x v="3"/>
    <x v="4"/>
    <n v="6.3600000000000004E-2"/>
    <n v="7.4999999999999997E-2"/>
  </r>
  <r>
    <x v="3"/>
    <x v="1"/>
    <x v="1"/>
    <x v="2"/>
    <s v="315012050736-M"/>
    <m/>
    <m/>
    <n v="7413.1"/>
    <x v="68"/>
    <n v="110195"/>
    <x v="42"/>
    <x v="108"/>
    <x v="15"/>
    <x v="5"/>
    <n v="8530611"/>
    <x v="0"/>
    <x v="16"/>
    <x v="10"/>
    <d v="2021-01-06T00:00:00"/>
    <x v="126"/>
    <x v="0"/>
    <x v="3"/>
    <x v="5"/>
    <n v="6.3100000000000003E-2"/>
    <n v="7.4200000000000002E-2"/>
  </r>
  <r>
    <x v="3"/>
    <x v="0"/>
    <x v="0"/>
    <x v="2"/>
    <s v="315012050763-M"/>
    <m/>
    <m/>
    <n v="8627.1"/>
    <x v="69"/>
    <n v="110105"/>
    <x v="40"/>
    <x v="109"/>
    <x v="14"/>
    <x v="0"/>
    <n v="50240760"/>
    <x v="0"/>
    <x v="16"/>
    <x v="10"/>
    <d v="2021-01-13T00:00:00"/>
    <x v="127"/>
    <x v="0"/>
    <x v="3"/>
    <x v="4"/>
    <s v="no mismatch"/>
    <s v="no mismatch"/>
  </r>
  <r>
    <x v="3"/>
    <x v="0"/>
    <x v="0"/>
    <x v="2"/>
    <s v="DC TST117482"/>
    <n v="5066.34"/>
    <n v="86745"/>
    <n v="5981.6"/>
    <x v="70"/>
    <n v="110106"/>
    <x v="40"/>
    <x v="109"/>
    <x v="14"/>
    <x v="2"/>
    <n v="25557540"/>
    <x v="0"/>
    <x v="16"/>
    <x v="10"/>
    <d v="2021-01-15T00:00:00"/>
    <x v="128"/>
    <x v="0"/>
    <x v="3"/>
    <x v="4"/>
    <s v="no mismatch"/>
    <s v="no mismatch"/>
  </r>
  <r>
    <x v="3"/>
    <x v="0"/>
    <x v="0"/>
    <x v="2"/>
    <s v="DC TST117482"/>
    <n v="0"/>
    <n v="0"/>
    <n v="0"/>
    <x v="70"/>
    <n v="110208"/>
    <x v="40"/>
    <x v="109"/>
    <x v="14"/>
    <x v="5"/>
    <n v="12713970"/>
    <x v="0"/>
    <x v="16"/>
    <x v="10"/>
    <d v="2021-01-15T00:00:00"/>
    <x v="128"/>
    <x v="0"/>
    <x v="3"/>
    <x v="1"/>
    <n v="6.3799999999999996E-2"/>
    <n v="7.46E-2"/>
  </r>
  <r>
    <x v="3"/>
    <x v="0"/>
    <x v="0"/>
    <x v="2"/>
    <s v="DC TST117482"/>
    <n v="0"/>
    <n v="0"/>
    <n v="0"/>
    <x v="70"/>
    <n v="110215"/>
    <x v="40"/>
    <x v="109"/>
    <x v="14"/>
    <x v="5"/>
    <n v="12814770"/>
    <x v="0"/>
    <x v="16"/>
    <x v="10"/>
    <d v="2021-01-15T00:00:00"/>
    <x v="128"/>
    <x v="0"/>
    <x v="3"/>
    <x v="1"/>
    <n v="6.3500000000000001E-2"/>
    <n v="7.4200000000000002E-2"/>
  </r>
  <r>
    <x v="3"/>
    <x v="0"/>
    <x v="0"/>
    <x v="2"/>
    <s v="315012050745-M"/>
    <m/>
    <m/>
    <n v="5981.6"/>
    <x v="71"/>
    <n v="110198"/>
    <x v="40"/>
    <x v="106"/>
    <x v="14"/>
    <x v="5"/>
    <n v="9409170"/>
    <x v="0"/>
    <x v="16"/>
    <x v="10"/>
    <d v="2021-01-15T00:00:00"/>
    <x v="128"/>
    <x v="0"/>
    <x v="3"/>
    <x v="4"/>
    <s v="no mismatch"/>
    <s v="no mismatch"/>
  </r>
  <r>
    <x v="3"/>
    <x v="0"/>
    <x v="0"/>
    <x v="1"/>
    <s v="DC TST17485"/>
    <n v="3047.84"/>
    <n v="109857"/>
    <n v="8327.1"/>
    <x v="72"/>
    <n v="110199"/>
    <x v="39"/>
    <x v="85"/>
    <x v="2"/>
    <x v="3"/>
    <n v="35390400"/>
    <x v="0"/>
    <x v="16"/>
    <x v="10"/>
    <d v="2021-01-20T00:00:00"/>
    <x v="125"/>
    <x v="0"/>
    <x v="3"/>
    <x v="4"/>
    <s v="no mismatch"/>
    <s v="no mismatch"/>
  </r>
  <r>
    <x v="3"/>
    <x v="0"/>
    <x v="0"/>
    <x v="1"/>
    <s v="DC TST555813"/>
    <n v="1832.4"/>
    <n v="49782"/>
    <n v="3927.3"/>
    <x v="73"/>
    <n v="110123"/>
    <x v="39"/>
    <x v="85"/>
    <x v="14"/>
    <x v="5"/>
    <n v="9409170"/>
    <x v="0"/>
    <x v="16"/>
    <x v="10"/>
    <d v="2021-01-22T00:00:00"/>
    <x v="129"/>
    <x v="0"/>
    <x v="3"/>
    <x v="4"/>
    <s v="no mismatch"/>
    <s v="no mismatch"/>
  </r>
  <r>
    <x v="3"/>
    <x v="0"/>
    <x v="0"/>
    <x v="2"/>
    <s v="LM851388100"/>
    <m/>
    <m/>
    <n v="11343.2"/>
    <x v="74"/>
    <n v="110107"/>
    <x v="40"/>
    <x v="106"/>
    <x v="14"/>
    <x v="2"/>
    <n v="22930260"/>
    <x v="0"/>
    <x v="16"/>
    <x v="10"/>
    <d v="2021-01-20T00:00:00"/>
    <x v="125"/>
    <x v="0"/>
    <x v="3"/>
    <x v="4"/>
    <s v="no mismatch"/>
    <s v="no mismatch"/>
  </r>
  <r>
    <x v="3"/>
    <x v="0"/>
    <x v="0"/>
    <x v="2"/>
    <s v="LM851388100"/>
    <m/>
    <m/>
    <n v="0"/>
    <x v="74"/>
    <n v="110209"/>
    <x v="40"/>
    <x v="106"/>
    <x v="14"/>
    <x v="2"/>
    <n v="22934820"/>
    <x v="0"/>
    <x v="16"/>
    <x v="10"/>
    <d v="2021-01-20T00:00:00"/>
    <x v="125"/>
    <x v="0"/>
    <x v="3"/>
    <x v="1"/>
    <n v="6.3799999999999996E-2"/>
    <n v="7.46E-2"/>
  </r>
  <r>
    <x v="3"/>
    <x v="0"/>
    <x v="0"/>
    <x v="2"/>
    <s v="315012051129-M"/>
    <m/>
    <m/>
    <n v="10986.2"/>
    <x v="75"/>
    <n v="110096"/>
    <x v="37"/>
    <x v="104"/>
    <x v="2"/>
    <x v="0"/>
    <n v="32078660"/>
    <x v="0"/>
    <x v="16"/>
    <x v="10"/>
    <d v="2021-01-22T00:00:00"/>
    <x v="129"/>
    <x v="0"/>
    <x v="3"/>
    <x v="4"/>
    <s v="no mismatch"/>
    <s v="no mismatch"/>
  </r>
  <r>
    <x v="3"/>
    <x v="0"/>
    <x v="0"/>
    <x v="2"/>
    <s v="315012051129-M"/>
    <m/>
    <m/>
    <n v="0"/>
    <x v="75"/>
    <n v="110241"/>
    <x v="37"/>
    <x v="104"/>
    <x v="2"/>
    <x v="5"/>
    <n v="7703940"/>
    <x v="0"/>
    <x v="16"/>
    <x v="10"/>
    <d v="2021-01-22T00:00:00"/>
    <x v="129"/>
    <x v="0"/>
    <x v="3"/>
    <x v="4"/>
    <n v="6.3100000000000003E-2"/>
    <n v="7.4200000000000002E-2"/>
  </r>
  <r>
    <x v="3"/>
    <x v="0"/>
    <x v="0"/>
    <x v="1"/>
    <s v="LM851598100"/>
    <m/>
    <m/>
    <n v="3927.3"/>
    <x v="76"/>
    <n v="110201"/>
    <x v="33"/>
    <x v="85"/>
    <x v="2"/>
    <x v="5"/>
    <n v="5377440"/>
    <x v="0"/>
    <x v="16"/>
    <x v="10"/>
    <d v="2021-01-22T00:00:00"/>
    <x v="129"/>
    <x v="0"/>
    <x v="3"/>
    <x v="4"/>
    <s v="no mismatch"/>
    <s v="no mismatch"/>
  </r>
  <r>
    <x v="3"/>
    <x v="0"/>
    <x v="0"/>
    <x v="2"/>
    <s v="LM853008100"/>
    <m/>
    <m/>
    <n v="5701.8"/>
    <x v="77"/>
    <n v="110230"/>
    <x v="37"/>
    <x v="104"/>
    <x v="2"/>
    <x v="2"/>
    <n v="19428920"/>
    <x v="0"/>
    <x v="13"/>
    <x v="11"/>
    <d v="2021-03-02T00:00:00"/>
    <x v="130"/>
    <x v="0"/>
    <x v="3"/>
    <x v="4"/>
    <n v="6.4000000000000001E-2"/>
    <n v="7.392E-2"/>
  </r>
  <r>
    <x v="3"/>
    <x v="0"/>
    <x v="0"/>
    <x v="1"/>
    <s v="LM852038100"/>
    <m/>
    <m/>
    <n v="10941.58"/>
    <x v="78"/>
    <n v="110235"/>
    <x v="39"/>
    <x v="85"/>
    <x v="14"/>
    <x v="4"/>
    <n v="28227510"/>
    <x v="0"/>
    <x v="0"/>
    <x v="0"/>
    <d v="2021-02-03T00:00:00"/>
    <x v="131"/>
    <x v="0"/>
    <x v="3"/>
    <x v="4"/>
    <n v="6.3100000000000003E-2"/>
    <n v="7.4200000000000002E-2"/>
  </r>
  <r>
    <x v="3"/>
    <x v="0"/>
    <x v="0"/>
    <x v="1"/>
    <s v="LM852038100"/>
    <m/>
    <m/>
    <n v="0"/>
    <x v="78"/>
    <n v="110242"/>
    <x v="39"/>
    <x v="85"/>
    <x v="14"/>
    <x v="5"/>
    <n v="9409170"/>
    <x v="0"/>
    <x v="0"/>
    <x v="0"/>
    <d v="2021-02-03T00:00:00"/>
    <x v="131"/>
    <x v="0"/>
    <x v="3"/>
    <x v="4"/>
    <s v="no mismatch"/>
    <s v="no mismatch"/>
  </r>
  <r>
    <x v="3"/>
    <x v="0"/>
    <x v="0"/>
    <x v="1"/>
    <s v="DC TST117493"/>
    <n v="400"/>
    <n v="141639"/>
    <n v="10941.58"/>
    <x v="79"/>
    <n v="110133"/>
    <x v="39"/>
    <x v="85"/>
    <x v="14"/>
    <x v="3"/>
    <n v="50672850"/>
    <x v="0"/>
    <x v="13"/>
    <x v="11"/>
    <d v="2021-02-06T00:00:00"/>
    <x v="132"/>
    <x v="0"/>
    <x v="3"/>
    <x v="4"/>
    <s v="no mismatch"/>
    <s v="no mismatch"/>
  </r>
  <r>
    <x v="3"/>
    <x v="0"/>
    <x v="0"/>
    <x v="1"/>
    <s v="315012051833-M"/>
    <m/>
    <m/>
    <n v="10941.58"/>
    <x v="80"/>
    <n v="110132"/>
    <x v="39"/>
    <x v="85"/>
    <x v="14"/>
    <x v="0"/>
    <n v="52912440"/>
    <x v="0"/>
    <x v="13"/>
    <x v="11"/>
    <d v="2021-02-03T00:00:00"/>
    <x v="131"/>
    <x v="0"/>
    <x v="3"/>
    <x v="4"/>
    <s v="no mismatch"/>
    <s v="no mismatch"/>
  </r>
  <r>
    <x v="3"/>
    <x v="0"/>
    <x v="0"/>
    <x v="1"/>
    <s v="LM852048100"/>
    <m/>
    <m/>
    <n v="10941.58"/>
    <x v="81"/>
    <n v="110130"/>
    <x v="39"/>
    <x v="85"/>
    <x v="2"/>
    <x v="3"/>
    <n v="35325825"/>
    <x v="0"/>
    <x v="13"/>
    <x v="11"/>
    <d v="2021-02-03T00:00:00"/>
    <x v="131"/>
    <x v="0"/>
    <x v="3"/>
    <x v="4"/>
    <s v="no mismatch"/>
    <s v="no mismatch"/>
  </r>
  <r>
    <x v="3"/>
    <x v="0"/>
    <x v="0"/>
    <x v="1"/>
    <s v="315012052805-M"/>
    <m/>
    <m/>
    <n v="11075.45"/>
    <x v="82"/>
    <n v="110131"/>
    <x v="39"/>
    <x v="85"/>
    <x v="2"/>
    <x v="3"/>
    <n v="30501825"/>
    <x v="0"/>
    <x v="0"/>
    <x v="0"/>
    <d v="2021-02-12T00:00:00"/>
    <x v="133"/>
    <x v="0"/>
    <x v="3"/>
    <x v="4"/>
    <s v="no mismatch"/>
    <s v="no mismatch"/>
  </r>
  <r>
    <x v="3"/>
    <x v="0"/>
    <x v="0"/>
    <x v="1"/>
    <s v="DC TST117496"/>
    <n v="2895.61"/>
    <n v="104782"/>
    <n v="11343.2"/>
    <x v="83"/>
    <n v="110150"/>
    <x v="38"/>
    <x v="85"/>
    <x v="2"/>
    <x v="3"/>
    <n v="32219025"/>
    <x v="0"/>
    <x v="13"/>
    <x v="11"/>
    <d v="2021-02-25T00:00:00"/>
    <x v="134"/>
    <x v="0"/>
    <x v="3"/>
    <x v="4"/>
    <s v="no mismatch"/>
    <s v="no mismatch"/>
  </r>
  <r>
    <x v="3"/>
    <x v="0"/>
    <x v="0"/>
    <x v="1"/>
    <s v="LM852858100"/>
    <m/>
    <m/>
    <n v="10986.2"/>
    <x v="84"/>
    <n v="110172"/>
    <x v="43"/>
    <x v="110"/>
    <x v="2"/>
    <x v="4"/>
    <n v="20480895"/>
    <x v="0"/>
    <x v="13"/>
    <x v="11"/>
    <d v="2021-02-26T00:00:00"/>
    <x v="135"/>
    <x v="0"/>
    <x v="3"/>
    <x v="4"/>
    <s v="no mismatch"/>
    <s v="no mismatch"/>
  </r>
  <r>
    <x v="3"/>
    <x v="0"/>
    <x v="0"/>
    <x v="1"/>
    <s v="LM852858100"/>
    <m/>
    <m/>
    <n v="0"/>
    <x v="84"/>
    <n v="110275"/>
    <x v="43"/>
    <x v="110"/>
    <x v="2"/>
    <x v="2"/>
    <n v="14380530"/>
    <x v="0"/>
    <x v="13"/>
    <x v="11"/>
    <d v="2021-02-26T00:00:00"/>
    <x v="135"/>
    <x v="0"/>
    <x v="3"/>
    <x v="4"/>
    <n v="6.3E-2"/>
    <n v="7.4999999999999997E-2"/>
  </r>
  <r>
    <x v="3"/>
    <x v="0"/>
    <x v="0"/>
    <x v="1"/>
    <s v="LM852698100"/>
    <m/>
    <m/>
    <n v="10986.2"/>
    <x v="85"/>
    <n v="110173"/>
    <x v="43"/>
    <x v="110"/>
    <x v="2"/>
    <x v="3"/>
    <n v="34735425"/>
    <x v="0"/>
    <x v="13"/>
    <x v="11"/>
    <d v="2021-02-26T00:00:00"/>
    <x v="135"/>
    <x v="0"/>
    <x v="3"/>
    <x v="4"/>
    <s v="no mismatch"/>
    <s v="no mismatch"/>
  </r>
  <r>
    <x v="3"/>
    <x v="0"/>
    <x v="0"/>
    <x v="2"/>
    <s v="DC TST117498"/>
    <n v="3999.24"/>
    <n v="155942"/>
    <n v="10986.2"/>
    <x v="86"/>
    <n v="110287"/>
    <x v="44"/>
    <x v="111"/>
    <x v="14"/>
    <x v="2"/>
    <n v="36239220"/>
    <x v="0"/>
    <x v="13"/>
    <x v="11"/>
    <d v="2021-02-26T00:00:00"/>
    <x v="135"/>
    <x v="0"/>
    <x v="3"/>
    <x v="4"/>
    <s v="no mismatch"/>
    <s v="no mismatch"/>
  </r>
  <r>
    <x v="3"/>
    <x v="0"/>
    <x v="0"/>
    <x v="2"/>
    <s v="DC TST117498"/>
    <n v="0"/>
    <n v="0"/>
    <n v="0"/>
    <x v="86"/>
    <n v="110276"/>
    <x v="44"/>
    <x v="111"/>
    <x v="14"/>
    <x v="2"/>
    <n v="24043860"/>
    <x v="0"/>
    <x v="13"/>
    <x v="11"/>
    <d v="2021-02-26T00:00:00"/>
    <x v="135"/>
    <x v="0"/>
    <x v="3"/>
    <x v="4"/>
    <n v="6.3E-2"/>
    <n v="7.4999999999999997E-2"/>
  </r>
  <r>
    <x v="3"/>
    <x v="0"/>
    <x v="0"/>
    <x v="1"/>
    <s v="DC TST117497"/>
    <n v="3925.98"/>
    <n v="149934"/>
    <n v="11075.45"/>
    <x v="87"/>
    <n v="110174"/>
    <x v="43"/>
    <x v="110"/>
    <x v="14"/>
    <x v="3"/>
    <n v="56836050"/>
    <x v="0"/>
    <x v="0"/>
    <x v="0"/>
    <d v="2021-02-03T00:00:00"/>
    <x v="131"/>
    <x v="0"/>
    <x v="3"/>
    <x v="4"/>
    <s v="no mismatch"/>
    <s v="no mismatch"/>
  </r>
  <r>
    <x v="3"/>
    <x v="0"/>
    <x v="0"/>
    <x v="1"/>
    <s v="LM852778100"/>
    <m/>
    <m/>
    <n v="11075.45"/>
    <x v="88"/>
    <n v="110175"/>
    <x v="43"/>
    <x v="110"/>
    <x v="14"/>
    <x v="3"/>
    <n v="56836050"/>
    <x v="0"/>
    <x v="0"/>
    <x v="0"/>
    <d v="2021-02-17T00:00:00"/>
    <x v="136"/>
    <x v="0"/>
    <x v="3"/>
    <x v="4"/>
    <s v="no mismatch"/>
    <s v="no mismatch"/>
  </r>
  <r>
    <x v="3"/>
    <x v="0"/>
    <x v="0"/>
    <x v="2"/>
    <s v="315012052823-M"/>
    <m/>
    <m/>
    <n v="11075.45"/>
    <x v="89"/>
    <n v="110210"/>
    <x v="44"/>
    <x v="111"/>
    <x v="2"/>
    <x v="0"/>
    <n v="26203260"/>
    <x v="0"/>
    <x v="0"/>
    <x v="0"/>
    <d v="2021-02-05T00:00:00"/>
    <x v="137"/>
    <x v="0"/>
    <x v="3"/>
    <x v="4"/>
    <s v="no mismatch"/>
    <s v="no mismatch"/>
  </r>
  <r>
    <x v="3"/>
    <x v="0"/>
    <x v="0"/>
    <x v="1"/>
    <s v="315012053412-M"/>
    <m/>
    <m/>
    <n v="8427.1"/>
    <x v="90"/>
    <n v="110176"/>
    <x v="43"/>
    <x v="110"/>
    <x v="14"/>
    <x v="3"/>
    <n v="56778450"/>
    <x v="0"/>
    <x v="0"/>
    <x v="0"/>
    <d v="2021-03-07T00:00:00"/>
    <x v="138"/>
    <x v="0"/>
    <x v="3"/>
    <x v="4"/>
    <s v="no mismatch"/>
    <s v="no mismatch"/>
  </r>
  <r>
    <x v="3"/>
    <x v="0"/>
    <x v="0"/>
    <x v="1"/>
    <s v="DC TST117499"/>
    <n v="3148.41"/>
    <n v="45502"/>
    <n v="8605.0499999999993"/>
    <x v="91"/>
    <n v="110151"/>
    <x v="38"/>
    <x v="85"/>
    <x v="2"/>
    <x v="4"/>
    <n v="23453595"/>
    <x v="0"/>
    <x v="0"/>
    <x v="0"/>
    <d v="2021-03-07T00:00:00"/>
    <x v="138"/>
    <x v="0"/>
    <x v="3"/>
    <x v="4"/>
    <s v="no mismatch"/>
    <s v="no mismatch"/>
  </r>
  <r>
    <x v="3"/>
    <x v="0"/>
    <x v="0"/>
    <x v="1"/>
    <s v="DC TST117499"/>
    <n v="0"/>
    <n v="0"/>
    <n v="0"/>
    <x v="91"/>
    <n v="110270"/>
    <x v="38"/>
    <x v="85"/>
    <x v="2"/>
    <x v="2"/>
    <n v="14799930"/>
    <x v="0"/>
    <x v="0"/>
    <x v="0"/>
    <d v="2021-03-07T00:00:00"/>
    <x v="138"/>
    <x v="0"/>
    <x v="3"/>
    <x v="4"/>
    <n v="6.3200000000000006E-2"/>
    <n v="7.5200000000000003E-2"/>
  </r>
  <r>
    <x v="3"/>
    <x v="0"/>
    <x v="0"/>
    <x v="2"/>
    <s v="315012053831-M"/>
    <m/>
    <m/>
    <n v="8605.0499999999993"/>
    <x v="92"/>
    <n v="110237"/>
    <x v="45"/>
    <x v="112"/>
    <x v="2"/>
    <x v="3"/>
    <n v="35422125"/>
    <x v="0"/>
    <x v="0"/>
    <x v="0"/>
    <d v="2021-03-07T00:00:00"/>
    <x v="138"/>
    <x v="0"/>
    <x v="3"/>
    <x v="4"/>
    <s v="no mismatch"/>
    <s v="no mismatch"/>
  </r>
  <r>
    <x v="3"/>
    <x v="0"/>
    <x v="1"/>
    <x v="1"/>
    <s v="LM852638100"/>
    <n v="1100"/>
    <m/>
    <n v="3110.9"/>
    <x v="93"/>
    <n v="110251"/>
    <x v="46"/>
    <x v="85"/>
    <x v="2"/>
    <x v="5"/>
    <n v="5750520"/>
    <x v="0"/>
    <x v="0"/>
    <x v="0"/>
    <d v="2021-03-07T00:00:00"/>
    <x v="138"/>
    <x v="0"/>
    <x v="3"/>
    <x v="2"/>
    <s v="no mismatch"/>
    <s v="no mismatch"/>
  </r>
  <r>
    <x v="3"/>
    <x v="0"/>
    <x v="0"/>
    <x v="1"/>
    <s v="LM853548100"/>
    <m/>
    <m/>
    <n v="3110.9"/>
    <x v="94"/>
    <n v="110328"/>
    <x v="38"/>
    <x v="85"/>
    <x v="14"/>
    <x v="5"/>
    <n v="9670170"/>
    <x v="0"/>
    <x v="0"/>
    <x v="0"/>
    <d v="2021-03-07T00:00:00"/>
    <x v="138"/>
    <x v="0"/>
    <x v="3"/>
    <x v="4"/>
    <s v="no mismatch"/>
    <s v="no mismatch"/>
  </r>
  <r>
    <x v="3"/>
    <x v="0"/>
    <x v="0"/>
    <x v="1"/>
    <s v="DC TST119392"/>
    <n v="1664.65"/>
    <n v="40692"/>
    <n v="6397"/>
    <x v="95"/>
    <n v="110297"/>
    <x v="47"/>
    <x v="85"/>
    <x v="2"/>
    <x v="5"/>
    <n v="5901915"/>
    <x v="0"/>
    <x v="0"/>
    <x v="0"/>
    <d v="2021-03-10T00:00:00"/>
    <x v="139"/>
    <x v="0"/>
    <x v="3"/>
    <x v="2"/>
    <s v="no mismatch"/>
    <s v="no mismatch"/>
  </r>
  <r>
    <x v="3"/>
    <x v="0"/>
    <x v="0"/>
    <x v="1"/>
    <s v="LM853618100"/>
    <m/>
    <m/>
    <n v="10230"/>
    <x v="96"/>
    <n v="110152"/>
    <x v="38"/>
    <x v="85"/>
    <x v="14"/>
    <x v="0"/>
    <n v="40168380"/>
    <x v="0"/>
    <x v="0"/>
    <x v="0"/>
    <d v="2021-03-24T00:00:00"/>
    <x v="140"/>
    <x v="0"/>
    <x v="3"/>
    <x v="4"/>
    <s v="no mismatch"/>
    <s v="no mismatch"/>
  </r>
  <r>
    <x v="3"/>
    <x v="0"/>
    <x v="0"/>
    <x v="1"/>
    <s v="315012056598-M"/>
    <m/>
    <m/>
    <n v="19560"/>
    <x v="97"/>
    <n v="110238"/>
    <x v="45"/>
    <x v="85"/>
    <x v="2"/>
    <x v="8"/>
    <n v="57272250"/>
    <x v="0"/>
    <x v="0"/>
    <x v="0"/>
    <d v="2021-03-24T00:00:00"/>
    <x v="140"/>
    <x v="0"/>
    <x v="3"/>
    <x v="4"/>
    <s v="no mismatch"/>
    <s v="no mismatch"/>
  </r>
  <r>
    <x v="3"/>
    <x v="0"/>
    <x v="0"/>
    <x v="1"/>
    <s v="DC TST117503"/>
    <n v="4268.55"/>
    <n v="116476"/>
    <n v="17600.8"/>
    <x v="98"/>
    <n v="110212"/>
    <x v="44"/>
    <x v="85"/>
    <x v="14"/>
    <x v="6"/>
    <n v="74394720"/>
    <x v="0"/>
    <x v="0"/>
    <x v="0"/>
    <d v="2021-03-26T00:00:00"/>
    <x v="141"/>
    <x v="0"/>
    <x v="3"/>
    <x v="4"/>
    <s v="no mismatch"/>
    <s v="no mismatch"/>
  </r>
  <r>
    <x v="3"/>
    <x v="0"/>
    <x v="0"/>
    <x v="1"/>
    <s v="315012055991-M"/>
    <m/>
    <m/>
    <n v="17065.3"/>
    <x v="99"/>
    <n v="110153"/>
    <x v="38"/>
    <x v="85"/>
    <x v="14"/>
    <x v="3"/>
    <n v="70242450"/>
    <x v="0"/>
    <x v="0"/>
    <x v="0"/>
    <d v="2021-03-24T00:00:00"/>
    <x v="140"/>
    <x v="0"/>
    <x v="3"/>
    <x v="4"/>
    <s v="no mismatch"/>
    <s v="no mismatch"/>
  </r>
  <r>
    <x v="3"/>
    <x v="0"/>
    <x v="0"/>
    <x v="1"/>
    <s v="LM854958100"/>
    <m/>
    <m/>
    <n v="10230"/>
    <x v="100"/>
    <n v="110347"/>
    <x v="44"/>
    <x v="85"/>
    <x v="2"/>
    <x v="5"/>
    <n v="6061965"/>
    <x v="0"/>
    <x v="0"/>
    <x v="0"/>
    <d v="2021-03-31T00:00:00"/>
    <x v="142"/>
    <x v="0"/>
    <x v="3"/>
    <x v="4"/>
    <s v="no mismatch"/>
    <s v="no mismatch"/>
  </r>
  <r>
    <x v="3"/>
    <x v="0"/>
    <x v="0"/>
    <x v="1"/>
    <s v="LM854958100"/>
    <m/>
    <m/>
    <n v="0"/>
    <x v="100"/>
    <n v="110339"/>
    <x v="44"/>
    <x v="85"/>
    <x v="2"/>
    <x v="2"/>
    <n v="10789530"/>
    <x v="0"/>
    <x v="0"/>
    <x v="0"/>
    <d v="2021-03-31T00:00:00"/>
    <x v="142"/>
    <x v="0"/>
    <x v="3"/>
    <x v="4"/>
    <n v="6.2300000000000001E-2"/>
    <n v="7.4800000000000005E-2"/>
  </r>
  <r>
    <x v="3"/>
    <x v="0"/>
    <x v="0"/>
    <x v="1"/>
    <s v="LM854958100"/>
    <m/>
    <m/>
    <n v="0"/>
    <x v="100"/>
    <n v="110337"/>
    <x v="44"/>
    <x v="85"/>
    <x v="2"/>
    <x v="2"/>
    <n v="10789530"/>
    <x v="0"/>
    <x v="0"/>
    <x v="0"/>
    <d v="2021-03-31T00:00:00"/>
    <x v="142"/>
    <x v="0"/>
    <x v="3"/>
    <x v="4"/>
    <n v="6.2300000000000001E-2"/>
    <n v="7.4800000000000005E-2"/>
  </r>
  <r>
    <x v="3"/>
    <x v="0"/>
    <x v="0"/>
    <x v="1"/>
    <s v="LM854698100"/>
    <m/>
    <m/>
    <n v="15727"/>
    <x v="101"/>
    <n v="110348"/>
    <x v="45"/>
    <x v="85"/>
    <x v="2"/>
    <x v="3"/>
    <n v="42315060"/>
    <x v="0"/>
    <x v="0"/>
    <x v="0"/>
    <d v="2021-03-31T00:00:00"/>
    <x v="142"/>
    <x v="0"/>
    <x v="3"/>
    <x v="4"/>
    <s v="no miamatch"/>
    <s v="no mismatch"/>
  </r>
  <r>
    <x v="3"/>
    <x v="0"/>
    <x v="0"/>
    <x v="1"/>
    <s v="LM854698100"/>
    <m/>
    <m/>
    <n v="10230"/>
    <x v="101"/>
    <n v="110364"/>
    <x v="48"/>
    <x v="85"/>
    <x v="2"/>
    <x v="5"/>
    <n v="5394765"/>
    <x v="0"/>
    <x v="0"/>
    <x v="0"/>
    <d v="2021-03-31T00:00:00"/>
    <x v="142"/>
    <x v="0"/>
    <x v="3"/>
    <x v="2"/>
    <n v="6.0499999999999998E-2"/>
    <n v="7.2599999999999998E-2"/>
  </r>
  <r>
    <x v="3"/>
    <x v="0"/>
    <x v="0"/>
    <x v="2"/>
    <s v="315012056160-N"/>
    <m/>
    <m/>
    <n v="7475.9"/>
    <x v="102"/>
    <n v="110274"/>
    <x v="49"/>
    <x v="96"/>
    <x v="1"/>
    <x v="5"/>
    <n v="32093271"/>
    <x v="0"/>
    <x v="0"/>
    <x v="0"/>
    <d v="2021-04-14T00:00:00"/>
    <x v="143"/>
    <x v="0"/>
    <x v="3"/>
    <x v="2"/>
    <s v="no mismatch"/>
    <s v="no mismatch"/>
  </r>
  <r>
    <x v="3"/>
    <x v="0"/>
    <x v="1"/>
    <x v="2"/>
    <s v="315012057114-M"/>
    <m/>
    <m/>
    <n v="14272"/>
    <x v="103"/>
    <n v="110333"/>
    <x v="50"/>
    <x v="113"/>
    <x v="1"/>
    <x v="0"/>
    <n v="74396580"/>
    <x v="0"/>
    <x v="0"/>
    <x v="0"/>
    <d v="2021-04-21T00:00:00"/>
    <x v="144"/>
    <x v="0"/>
    <x v="3"/>
    <x v="2"/>
    <n v="6.2199999999999998E-2"/>
    <n v="7.46E-2"/>
  </r>
  <r>
    <x v="3"/>
    <x v="0"/>
    <x v="0"/>
    <x v="1"/>
    <s v="DC TST117509"/>
    <n v="5825.74"/>
    <m/>
    <n v="21425.1"/>
    <x v="104"/>
    <n v="110245"/>
    <x v="48"/>
    <x v="85"/>
    <x v="14"/>
    <x v="6"/>
    <n v="68122620"/>
    <x v="0"/>
    <x v="0"/>
    <x v="0"/>
    <d v="2021-04-21T00:00:00"/>
    <x v="144"/>
    <x v="0"/>
    <x v="3"/>
    <x v="2"/>
    <s v="no mismatch"/>
    <s v="no mismatch"/>
  </r>
  <r>
    <x v="3"/>
    <x v="0"/>
    <x v="0"/>
    <x v="1"/>
    <s v="DC TST117509"/>
    <n v="0"/>
    <n v="0"/>
    <n v="0"/>
    <x v="104"/>
    <n v="110361"/>
    <x v="48"/>
    <x v="85"/>
    <x v="14"/>
    <x v="0"/>
    <n v="37658280"/>
    <x v="0"/>
    <x v="0"/>
    <x v="0"/>
    <d v="2021-04-21T00:00:00"/>
    <x v="144"/>
    <x v="0"/>
    <x v="3"/>
    <x v="2"/>
    <n v="6.0499999999999998E-2"/>
    <n v="7.2599999999999998E-2"/>
  </r>
  <r>
    <x v="3"/>
    <x v="0"/>
    <x v="0"/>
    <x v="2"/>
    <s v="LM855038100"/>
    <m/>
    <m/>
    <n v="17789.2"/>
    <x v="105"/>
    <n v="110272"/>
    <x v="51"/>
    <x v="114"/>
    <x v="14"/>
    <x v="0"/>
    <n v="49163880"/>
    <x v="0"/>
    <x v="0"/>
    <x v="0"/>
    <d v="2021-04-16T00:00:00"/>
    <x v="145"/>
    <x v="0"/>
    <x v="3"/>
    <x v="2"/>
    <s v="no mismatch"/>
    <s v="no mismatch"/>
  </r>
  <r>
    <x v="3"/>
    <x v="0"/>
    <x v="0"/>
    <x v="2"/>
    <s v="LM855038100"/>
    <m/>
    <m/>
    <n v="0"/>
    <x v="105"/>
    <n v="110407"/>
    <x v="51"/>
    <x v="114"/>
    <x v="14"/>
    <x v="5"/>
    <n v="9428970"/>
    <x v="0"/>
    <x v="0"/>
    <x v="0"/>
    <d v="2021-04-16T00:00:00"/>
    <x v="145"/>
    <x v="0"/>
    <x v="3"/>
    <x v="2"/>
    <n v="5.9900000000000002E-2"/>
    <n v="7.0699999999999999E-2"/>
  </r>
  <r>
    <x v="3"/>
    <x v="0"/>
    <x v="0"/>
    <x v="2"/>
    <s v="LM855038100"/>
    <m/>
    <m/>
    <n v="0"/>
    <x v="105"/>
    <n v="110428"/>
    <x v="51"/>
    <x v="114"/>
    <x v="14"/>
    <x v="5"/>
    <n v="9428970"/>
    <x v="0"/>
    <x v="0"/>
    <x v="0"/>
    <d v="2021-04-16T00:00:00"/>
    <x v="145"/>
    <x v="0"/>
    <x v="3"/>
    <x v="2"/>
    <n v="6.0600000000000001E-2"/>
    <n v="7.1499999999999994E-2"/>
  </r>
  <r>
    <x v="3"/>
    <x v="0"/>
    <x v="0"/>
    <x v="2"/>
    <s v="315012056954-M"/>
    <m/>
    <m/>
    <n v="5345.75"/>
    <x v="106"/>
    <n v="110271"/>
    <x v="51"/>
    <x v="114"/>
    <x v="2"/>
    <x v="0"/>
    <n v="28182810"/>
    <x v="0"/>
    <x v="0"/>
    <x v="0"/>
    <d v="2021-04-29T00:00:00"/>
    <x v="146"/>
    <x v="0"/>
    <x v="3"/>
    <x v="2"/>
    <s v="no mismatch"/>
    <s v="no mismatch"/>
  </r>
  <r>
    <x v="3"/>
    <x v="1"/>
    <x v="1"/>
    <x v="1"/>
    <s v="315012056972-M"/>
    <m/>
    <m/>
    <n v="3958.7"/>
    <x v="107"/>
    <n v="110327"/>
    <x v="52"/>
    <x v="85"/>
    <x v="15"/>
    <x v="5"/>
    <n v="8659420"/>
    <x v="0"/>
    <x v="0"/>
    <x v="0"/>
    <d v="2021-04-24T00:00:00"/>
    <x v="147"/>
    <x v="0"/>
    <x v="3"/>
    <x v="2"/>
    <s v="no mismatch"/>
    <s v="no mismatch"/>
  </r>
  <r>
    <x v="3"/>
    <x v="1"/>
    <x v="1"/>
    <x v="2"/>
    <s v="315012056963-M"/>
    <m/>
    <m/>
    <n v="5345.75"/>
    <x v="108"/>
    <n v="110301"/>
    <x v="53"/>
    <x v="88"/>
    <x v="15"/>
    <x v="5"/>
    <n v="9963120"/>
    <x v="0"/>
    <x v="0"/>
    <x v="0"/>
    <d v="2021-04-29T00:00:00"/>
    <x v="146"/>
    <x v="0"/>
    <x v="3"/>
    <x v="4"/>
    <s v="no mismatch"/>
    <s v="no mismatch"/>
  </r>
  <r>
    <x v="3"/>
    <x v="0"/>
    <x v="0"/>
    <x v="1"/>
    <s v="LM855058100"/>
    <m/>
    <m/>
    <n v="10858"/>
    <x v="109"/>
    <n v="110346"/>
    <x v="44"/>
    <x v="85"/>
    <x v="14"/>
    <x v="2"/>
    <n v="18857940"/>
    <x v="0"/>
    <x v="0"/>
    <x v="0"/>
    <d v="2021-04-28T00:00:00"/>
    <x v="148"/>
    <x v="0"/>
    <x v="3"/>
    <x v="4"/>
    <s v="no mismatch"/>
    <s v="no mismatch"/>
  </r>
  <r>
    <x v="3"/>
    <x v="0"/>
    <x v="0"/>
    <x v="1"/>
    <s v="LM855058100"/>
    <m/>
    <m/>
    <n v="0"/>
    <x v="109"/>
    <n v="110409"/>
    <x v="44"/>
    <x v="85"/>
    <x v="14"/>
    <x v="5"/>
    <n v="9428970"/>
    <x v="0"/>
    <x v="0"/>
    <x v="0"/>
    <d v="2021-04-28T00:00:00"/>
    <x v="148"/>
    <x v="0"/>
    <x v="3"/>
    <x v="4"/>
    <n v="5.9900000000000002E-2"/>
    <n v="7.0699999999999999E-2"/>
  </r>
  <r>
    <x v="3"/>
    <x v="0"/>
    <x v="0"/>
    <x v="1"/>
    <s v="LM855058100"/>
    <m/>
    <m/>
    <n v="0"/>
    <x v="109"/>
    <n v="110340"/>
    <x v="44"/>
    <x v="85"/>
    <x v="14"/>
    <x v="5"/>
    <n v="9428970"/>
    <x v="0"/>
    <x v="0"/>
    <x v="0"/>
    <d v="2021-04-28T00:00:00"/>
    <x v="148"/>
    <x v="0"/>
    <x v="3"/>
    <x v="4"/>
    <n v="6.2300000000000001E-2"/>
    <n v="7.4800000000000005E-2"/>
  </r>
  <r>
    <x v="3"/>
    <x v="0"/>
    <x v="0"/>
    <x v="1"/>
    <s v="315012057837-M"/>
    <m/>
    <m/>
    <n v="11468.8"/>
    <x v="110"/>
    <n v="110403"/>
    <x v="48"/>
    <x v="85"/>
    <x v="2"/>
    <x v="4"/>
    <n v="16184295"/>
    <x v="0"/>
    <x v="0"/>
    <x v="0"/>
    <d v="2021-05-06T00:00:00"/>
    <x v="149"/>
    <x v="0"/>
    <x v="3"/>
    <x v="2"/>
    <s v="no mismatch"/>
    <s v="no mismatch"/>
  </r>
  <r>
    <x v="3"/>
    <x v="1"/>
    <x v="1"/>
    <x v="2"/>
    <s v="315012058319-M"/>
    <m/>
    <m/>
    <n v="7118.9"/>
    <x v="111"/>
    <n v="110331"/>
    <x v="50"/>
    <x v="108"/>
    <x v="15"/>
    <x v="2"/>
    <n v="16176540"/>
    <x v="0"/>
    <x v="0"/>
    <x v="0"/>
    <d v="2021-05-19T00:00:00"/>
    <x v="150"/>
    <x v="0"/>
    <x v="3"/>
    <x v="2"/>
    <n v="5.9299999999999999E-2"/>
    <n v="7.1300000000000002E-2"/>
  </r>
  <r>
    <x v="3"/>
    <x v="0"/>
    <x v="0"/>
    <x v="1"/>
    <s v="DC TST117512"/>
    <m/>
    <m/>
    <n v="21514.35"/>
    <x v="112"/>
    <n v="110416"/>
    <x v="48"/>
    <x v="85"/>
    <x v="14"/>
    <x v="10"/>
    <n v="108327930"/>
    <x v="0"/>
    <x v="0"/>
    <x v="0"/>
    <d v="2021-05-05T00:00:00"/>
    <x v="151"/>
    <x v="0"/>
    <x v="3"/>
    <x v="2"/>
    <s v="no mismatch"/>
    <s v="no mismatch"/>
  </r>
  <r>
    <x v="3"/>
    <x v="0"/>
    <x v="0"/>
    <x v="1"/>
    <s v="315012058122-M"/>
    <m/>
    <m/>
    <n v="17521.45"/>
    <x v="113"/>
    <n v="110244"/>
    <x v="48"/>
    <x v="85"/>
    <x v="2"/>
    <x v="3"/>
    <n v="41748825"/>
    <x v="0"/>
    <x v="0"/>
    <x v="0"/>
    <d v="2021-05-05T00:00:00"/>
    <x v="151"/>
    <x v="0"/>
    <x v="3"/>
    <x v="2"/>
    <s v="no mismatch"/>
    <s v="no mismatch"/>
  </r>
  <r>
    <x v="3"/>
    <x v="0"/>
    <x v="0"/>
    <x v="1"/>
    <s v="LM855798100 "/>
    <m/>
    <m/>
    <n v="17454"/>
    <x v="114"/>
    <n v="110211"/>
    <x v="44"/>
    <x v="85"/>
    <x v="2"/>
    <x v="3"/>
    <n v="42166305"/>
    <x v="0"/>
    <x v="0"/>
    <x v="0"/>
    <d v="2021-05-05T00:00:00"/>
    <x v="151"/>
    <x v="0"/>
    <x v="3"/>
    <x v="4"/>
    <s v="no mismatch"/>
    <s v="no mismatch"/>
  </r>
  <r>
    <x v="3"/>
    <x v="0"/>
    <x v="0"/>
    <x v="2"/>
    <s v="DC TST117513"/>
    <m/>
    <m/>
    <n v="11468.8"/>
    <x v="115"/>
    <n v="110227"/>
    <x v="54"/>
    <x v="115"/>
    <x v="2"/>
    <x v="5"/>
    <n v="18386433"/>
    <x v="0"/>
    <x v="0"/>
    <x v="0"/>
    <d v="2021-05-03T00:00:00"/>
    <x v="152"/>
    <x v="0"/>
    <x v="3"/>
    <x v="4"/>
    <s v="no mismatch"/>
    <s v="no mismatch"/>
  </r>
  <r>
    <x v="3"/>
    <x v="0"/>
    <x v="0"/>
    <x v="2"/>
    <s v="DC TST117513"/>
    <m/>
    <m/>
    <n v="0"/>
    <x v="115"/>
    <n v="110362"/>
    <x v="54"/>
    <x v="115"/>
    <x v="2"/>
    <x v="2"/>
    <n v="13412145"/>
    <x v="0"/>
    <x v="0"/>
    <x v="0"/>
    <d v="2021-05-03T00:00:00"/>
    <x v="152"/>
    <x v="0"/>
    <x v="3"/>
    <x v="4"/>
    <n v="6.0499999999999998E-2"/>
    <n v="7.2599999999999998E-2"/>
  </r>
  <r>
    <x v="3"/>
    <x v="0"/>
    <x v="0"/>
    <x v="1"/>
    <s v="315012058426-M"/>
    <m/>
    <m/>
    <n v="28102.5"/>
    <x v="116"/>
    <n v="110248"/>
    <x v="48"/>
    <x v="85"/>
    <x v="2"/>
    <x v="10"/>
    <n v="72991425"/>
    <x v="0"/>
    <x v="0"/>
    <x v="0"/>
    <d v="2021-05-05T00:00:00"/>
    <x v="152"/>
    <x v="0"/>
    <x v="3"/>
    <x v="2"/>
    <s v="no mismatch"/>
    <s v="no mismatch"/>
  </r>
  <r>
    <x v="3"/>
    <x v="0"/>
    <x v="0"/>
    <x v="1"/>
    <s v="315012058426-M"/>
    <m/>
    <m/>
    <n v="0"/>
    <x v="116"/>
    <n v="110408"/>
    <x v="48"/>
    <x v="85"/>
    <x v="2"/>
    <x v="2"/>
    <n v="13439130"/>
    <x v="0"/>
    <x v="0"/>
    <x v="0"/>
    <d v="2021-05-05T00:00:00"/>
    <x v="152"/>
    <x v="0"/>
    <x v="3"/>
    <x v="2"/>
    <n v="5.9900000000000002E-2"/>
    <n v="7.0699999999999999E-2"/>
  </r>
  <r>
    <x v="3"/>
    <x v="0"/>
    <x v="0"/>
    <x v="1"/>
    <s v="315012058426-M"/>
    <m/>
    <m/>
    <n v="0"/>
    <x v="116"/>
    <n v="110465"/>
    <x v="48"/>
    <x v="85"/>
    <x v="2"/>
    <x v="5"/>
    <n v="5394765"/>
    <x v="0"/>
    <x v="0"/>
    <x v="0"/>
    <d v="2021-05-05T00:00:00"/>
    <x v="152"/>
    <x v="0"/>
    <x v="3"/>
    <x v="2"/>
    <n v="5.9499999999999997E-2"/>
    <n v="7.1099999999999997E-2"/>
  </r>
  <r>
    <x v="3"/>
    <x v="0"/>
    <x v="0"/>
    <x v="2"/>
    <s v="DC TST117515"/>
    <m/>
    <m/>
    <n v="21782.1"/>
    <x v="117"/>
    <n v="110236"/>
    <x v="45"/>
    <x v="112"/>
    <x v="14"/>
    <x v="1"/>
    <n v="85130790"/>
    <x v="0"/>
    <x v="0"/>
    <x v="0"/>
    <d v="2021-05-21T00:00:00"/>
    <x v="153"/>
    <x v="0"/>
    <x v="3"/>
    <x v="4"/>
    <s v="no mismatch"/>
    <s v="no mismatch"/>
  </r>
  <r>
    <x v="3"/>
    <x v="0"/>
    <x v="0"/>
    <x v="2"/>
    <s v="DC TST117515"/>
    <m/>
    <m/>
    <n v="0"/>
    <x v="117"/>
    <n v="110363"/>
    <x v="45"/>
    <x v="112"/>
    <x v="14"/>
    <x v="2"/>
    <n v="19397940"/>
    <x v="0"/>
    <x v="0"/>
    <x v="0"/>
    <d v="2021-05-21T00:00:00"/>
    <x v="153"/>
    <x v="0"/>
    <x v="3"/>
    <x v="4"/>
    <n v="6.0499999999999998E-2"/>
    <n v="7.2599999999999998E-2"/>
  </r>
  <r>
    <x v="3"/>
    <x v="0"/>
    <x v="0"/>
    <x v="2"/>
    <s v="DC TST117515"/>
    <m/>
    <m/>
    <n v="0"/>
    <x v="117"/>
    <n v="110475"/>
    <x v="45"/>
    <x v="112"/>
    <x v="14"/>
    <x v="5"/>
    <n v="9698970"/>
    <x v="0"/>
    <x v="0"/>
    <x v="0"/>
    <d v="2021-05-21T00:00:00"/>
    <x v="153"/>
    <x v="0"/>
    <x v="3"/>
    <x v="4"/>
    <n v="5.9299999999999999E-2"/>
    <n v="7.1300000000000002E-2"/>
  </r>
  <r>
    <x v="3"/>
    <x v="0"/>
    <x v="0"/>
    <x v="2"/>
    <s v="315012058756-M"/>
    <m/>
    <m/>
    <n v="32095.4"/>
    <x v="118"/>
    <n v="110228"/>
    <x v="54"/>
    <x v="115"/>
    <x v="14"/>
    <x v="8"/>
    <n v="94929840"/>
    <x v="0"/>
    <x v="0"/>
    <x v="0"/>
    <d v="2021-05-05T00:00:00"/>
    <x v="151"/>
    <x v="0"/>
    <x v="3"/>
    <x v="4"/>
    <s v="no mismatch"/>
    <s v="no mismatch"/>
  </r>
  <r>
    <x v="3"/>
    <x v="0"/>
    <x v="0"/>
    <x v="2"/>
    <s v="315012058756-M"/>
    <m/>
    <m/>
    <n v="0"/>
    <x v="118"/>
    <n v="110338"/>
    <x v="54"/>
    <x v="115"/>
    <x v="14"/>
    <x v="3"/>
    <n v="46572200"/>
    <x v="0"/>
    <x v="0"/>
    <x v="0"/>
    <d v="2021-05-05T00:00:00"/>
    <x v="151"/>
    <x v="0"/>
    <x v="3"/>
    <x v="4"/>
    <n v="6.2300000000000001E-2"/>
    <n v="7.4800000000000005E-2"/>
  </r>
  <r>
    <x v="3"/>
    <x v="0"/>
    <x v="0"/>
    <x v="1"/>
    <s v="LM856288100"/>
    <m/>
    <m/>
    <n v="11111.8"/>
    <x v="119"/>
    <n v="110246"/>
    <x v="48"/>
    <x v="85"/>
    <x v="2"/>
    <x v="0"/>
    <n v="49419000"/>
    <x v="0"/>
    <x v="0"/>
    <x v="0"/>
    <d v="2021-05-19T00:00:00"/>
    <x v="150"/>
    <x v="0"/>
    <x v="3"/>
    <x v="2"/>
    <s v="no mismatch"/>
    <s v="no mismatch"/>
  </r>
  <r>
    <x v="3"/>
    <x v="0"/>
    <x v="0"/>
    <x v="1"/>
    <s v="LM856298100"/>
    <m/>
    <m/>
    <n v="11111.8"/>
    <x v="120"/>
    <n v="110437"/>
    <x v="48"/>
    <x v="85"/>
    <x v="14"/>
    <x v="5"/>
    <n v="9428970"/>
    <x v="0"/>
    <x v="0"/>
    <x v="0"/>
    <d v="2021-05-21T00:00:00"/>
    <x v="153"/>
    <x v="0"/>
    <x v="3"/>
    <x v="2"/>
    <n v="5.9299999999999999E-2"/>
    <n v="7.1300000000000002E-2"/>
  </r>
  <r>
    <x v="3"/>
    <x v="0"/>
    <x v="0"/>
    <x v="1"/>
    <s v="LM856298100"/>
    <m/>
    <m/>
    <n v="0"/>
    <x v="120"/>
    <n v="110410"/>
    <x v="48"/>
    <x v="85"/>
    <x v="14"/>
    <x v="5"/>
    <n v="9428970"/>
    <x v="0"/>
    <x v="0"/>
    <x v="0"/>
    <d v="2021-05-21T00:00:00"/>
    <x v="153"/>
    <x v="0"/>
    <x v="3"/>
    <x v="2"/>
    <n v="5.9900000000000002E-2"/>
    <n v="7.0699999999999999E-2"/>
  </r>
  <r>
    <x v="3"/>
    <x v="0"/>
    <x v="0"/>
    <x v="1"/>
    <s v="LM856298100"/>
    <m/>
    <m/>
    <n v="0"/>
    <x v="120"/>
    <n v="110365"/>
    <x v="48"/>
    <x v="85"/>
    <x v="14"/>
    <x v="2"/>
    <n v="32969940"/>
    <x v="0"/>
    <x v="0"/>
    <x v="0"/>
    <d v="2021-05-21T00:00:00"/>
    <x v="153"/>
    <x v="0"/>
    <x v="3"/>
    <x v="2"/>
    <n v="6.0499999999999998E-2"/>
    <n v="7.2599999999999998E-2"/>
  </r>
  <r>
    <x v="3"/>
    <x v="0"/>
    <x v="0"/>
    <x v="2"/>
    <s v="TT in advance "/>
    <m/>
    <m/>
    <n v="226373.75"/>
    <x v="121"/>
    <n v="110397"/>
    <x v="55"/>
    <x v="116"/>
    <x v="13"/>
    <x v="4"/>
    <n v="38723254"/>
    <x v="0"/>
    <x v="0"/>
    <x v="0"/>
    <d v="2021-05-25T00:00:00"/>
    <x v="154"/>
    <x v="0"/>
    <x v="3"/>
    <x v="2"/>
    <s v="no mismatch"/>
    <s v="no mismatch"/>
  </r>
  <r>
    <x v="3"/>
    <x v="0"/>
    <x v="0"/>
    <x v="1"/>
    <s v="LM856648100"/>
    <m/>
    <m/>
    <n v="11201.05"/>
    <x v="122"/>
    <n v="110450"/>
    <x v="56"/>
    <x v="85"/>
    <x v="2"/>
    <x v="4"/>
    <n v="17293118"/>
    <x v="0"/>
    <x v="0"/>
    <x v="0"/>
    <d v="2021-05-26T00:00:00"/>
    <x v="155"/>
    <x v="0"/>
    <x v="3"/>
    <x v="2"/>
    <s v="no mismatch"/>
    <s v="no mismatch"/>
  </r>
  <r>
    <x v="3"/>
    <x v="0"/>
    <x v="0"/>
    <x v="1"/>
    <s v="LM856648100"/>
    <m/>
    <m/>
    <n v="0"/>
    <x v="122"/>
    <n v="110430"/>
    <x v="56"/>
    <x v="85"/>
    <x v="2"/>
    <x v="2"/>
    <n v="11528745"/>
    <x v="0"/>
    <x v="0"/>
    <x v="0"/>
    <d v="2021-05-26T00:00:00"/>
    <x v="153"/>
    <x v="0"/>
    <x v="3"/>
    <x v="2"/>
    <n v="6.0600000000000001E-2"/>
    <n v="7.1499999999999994E-2"/>
  </r>
  <r>
    <x v="3"/>
    <x v="0"/>
    <x v="0"/>
    <x v="2"/>
    <s v="DC TST117516"/>
    <m/>
    <m/>
    <n v="17789.2"/>
    <x v="123"/>
    <n v="110384"/>
    <x v="57"/>
    <x v="117"/>
    <x v="14"/>
    <x v="1"/>
    <n v="79640390"/>
    <x v="0"/>
    <x v="0"/>
    <x v="0"/>
    <d v="2021-05-26T00:00:00"/>
    <x v="156"/>
    <x v="0"/>
    <x v="3"/>
    <x v="2"/>
    <s v="no mismatch"/>
    <s v="no mismatch"/>
  </r>
  <r>
    <x v="3"/>
    <x v="0"/>
    <x v="0"/>
    <x v="1"/>
    <s v="646010001534-M"/>
    <m/>
    <m/>
    <n v="11201.05"/>
    <x v="124"/>
    <n v="110449"/>
    <x v="48"/>
    <x v="85"/>
    <x v="2"/>
    <x v="0"/>
    <n v="22736010"/>
    <x v="0"/>
    <x v="0"/>
    <x v="0"/>
    <d v="2021-05-28T00:00:00"/>
    <x v="157"/>
    <x v="0"/>
    <x v="3"/>
    <x v="2"/>
    <s v="no mismatch"/>
    <s v="no mismatch"/>
  </r>
  <r>
    <x v="3"/>
    <x v="0"/>
    <x v="1"/>
    <x v="2"/>
    <s v="DC TST119481"/>
    <m/>
    <m/>
    <n v="7208.15"/>
    <x v="125"/>
    <n v="110352"/>
    <x v="53"/>
    <x v="89"/>
    <x v="11"/>
    <x v="5"/>
    <n v="14251820"/>
    <x v="0"/>
    <x v="0"/>
    <x v="0"/>
    <d v="2021-06-02T00:00:00"/>
    <x v="153"/>
    <x v="0"/>
    <x v="3"/>
    <x v="4"/>
    <s v="no mismatch"/>
    <s v="no mismatch"/>
  </r>
  <r>
    <x v="3"/>
    <x v="0"/>
    <x v="0"/>
    <x v="2"/>
    <s v="DC TST119482"/>
    <m/>
    <m/>
    <n v="11201.05"/>
    <x v="126"/>
    <n v="110380"/>
    <x v="58"/>
    <x v="118"/>
    <x v="14"/>
    <x v="2"/>
    <n v="26441736"/>
    <x v="0"/>
    <x v="0"/>
    <x v="0"/>
    <d v="2021-06-02T00:00:00"/>
    <x v="158"/>
    <x v="0"/>
    <x v="3"/>
    <x v="2"/>
    <s v="no miamatch"/>
    <s v="no mismatch"/>
  </r>
  <r>
    <x v="3"/>
    <x v="0"/>
    <x v="0"/>
    <x v="1"/>
    <s v="DC TST584325"/>
    <m/>
    <m/>
    <n v="3958.7"/>
    <x v="127"/>
    <n v="110481"/>
    <x v="48"/>
    <x v="85"/>
    <x v="2"/>
    <x v="5"/>
    <n v="6719565"/>
    <x v="0"/>
    <x v="0"/>
    <x v="0"/>
    <d v="2021-06-18T00:00:00"/>
    <x v="159"/>
    <x v="0"/>
    <x v="3"/>
    <x v="2"/>
    <s v="no mismatch"/>
    <s v="no mismatch"/>
  </r>
  <r>
    <x v="3"/>
    <x v="0"/>
    <x v="0"/>
    <x v="1"/>
    <s v="LM857288100"/>
    <m/>
    <m/>
    <n v="3958.7"/>
    <x v="128"/>
    <n v="110479"/>
    <x v="48"/>
    <x v="85"/>
    <x v="14"/>
    <x v="5"/>
    <n v="16752270"/>
    <x v="0"/>
    <x v="0"/>
    <x v="0"/>
    <d v="2021-06-16T00:00:00"/>
    <x v="160"/>
    <x v="0"/>
    <x v="3"/>
    <x v="2"/>
    <s v="no mismatch"/>
    <s v="no mismatch"/>
  </r>
  <r>
    <x v="3"/>
    <x v="0"/>
    <x v="0"/>
    <x v="1"/>
    <s v="TST117519 "/>
    <m/>
    <m/>
    <n v="11111.8"/>
    <x v="129"/>
    <n v="110452"/>
    <x v="48"/>
    <x v="85"/>
    <x v="14"/>
    <x v="0"/>
    <n v="70853880"/>
    <x v="0"/>
    <x v="0"/>
    <x v="0"/>
    <d v="2021-06-16T00:00:00"/>
    <x v="160"/>
    <x v="0"/>
    <x v="3"/>
    <x v="2"/>
    <s v="no mismatch"/>
    <s v="no mismatch"/>
  </r>
  <r>
    <x v="3"/>
    <x v="0"/>
    <x v="0"/>
    <x v="2"/>
    <s v="646010004719-M"/>
    <m/>
    <m/>
    <n v="21782.1"/>
    <x v="130"/>
    <n v="110402"/>
    <x v="55"/>
    <x v="116"/>
    <x v="13"/>
    <x v="4"/>
    <n v="49750598"/>
    <x v="0"/>
    <x v="0"/>
    <x v="0"/>
    <d v="2021-06-29T00:00:00"/>
    <x v="161"/>
    <x v="0"/>
    <x v="3"/>
    <x v="2"/>
    <s v="no mismatch"/>
    <s v="no mismatch"/>
  </r>
  <r>
    <x v="3"/>
    <x v="0"/>
    <x v="0"/>
    <x v="2"/>
    <s v="646010004719-M"/>
    <m/>
    <m/>
    <n v="0"/>
    <x v="130"/>
    <n v="110402"/>
    <x v="55"/>
    <x v="116"/>
    <x v="1"/>
    <x v="0"/>
    <n v="66334131"/>
    <x v="0"/>
    <x v="0"/>
    <x v="0"/>
    <d v="2021-06-29T00:00:00"/>
    <x v="161"/>
    <x v="0"/>
    <x v="3"/>
    <x v="2"/>
    <s v="no mismatch"/>
    <s v="no mismatch"/>
  </r>
  <r>
    <x v="3"/>
    <x v="0"/>
    <x v="0"/>
    <x v="2"/>
    <s v="646010005629-M"/>
    <m/>
    <m/>
    <n v="9393"/>
    <x v="131"/>
    <n v="110441"/>
    <x v="57"/>
    <x v="117"/>
    <x v="14"/>
    <x v="1"/>
    <n v="73169990"/>
    <x v="0"/>
    <x v="0"/>
    <x v="0"/>
    <d v="2021-07-09T00:00:00"/>
    <x v="162"/>
    <x v="0"/>
    <x v="3"/>
    <x v="2"/>
    <s v="no mismatch"/>
    <s v="no mismatch"/>
  </r>
  <r>
    <x v="3"/>
    <x v="0"/>
    <x v="0"/>
    <x v="1"/>
    <s v="TT in advance "/>
    <m/>
    <m/>
    <n v="9393"/>
    <x v="132"/>
    <n v="110247"/>
    <x v="48"/>
    <x v="85"/>
    <x v="14"/>
    <x v="5"/>
    <n v="9428970"/>
    <x v="0"/>
    <x v="0"/>
    <x v="0"/>
    <d v="2021-07-09T00:00:00"/>
    <x v="162"/>
    <x v="0"/>
    <x v="3"/>
    <x v="2"/>
    <s v="no mismatch"/>
    <s v="no mismatch"/>
  </r>
  <r>
    <x v="3"/>
    <x v="0"/>
    <x v="0"/>
    <x v="2"/>
    <s v="DC TST117522"/>
    <m/>
    <m/>
    <n v="22284.5"/>
    <x v="133"/>
    <n v="110413"/>
    <x v="55"/>
    <x v="116"/>
    <x v="13"/>
    <x v="6"/>
    <n v="84200598"/>
    <x v="0"/>
    <x v="0"/>
    <x v="0"/>
    <d v="2021-07-16T00:00:00"/>
    <x v="163"/>
    <x v="0"/>
    <x v="3"/>
    <x v="2"/>
    <s v="no mismatch"/>
    <s v="no mismatch"/>
  </r>
  <r>
    <x v="3"/>
    <x v="0"/>
    <x v="0"/>
    <x v="1"/>
    <s v="TT in advance "/>
    <m/>
    <m/>
    <n v="7601.5"/>
    <x v="134"/>
    <n v="110431"/>
    <x v="48"/>
    <x v="85"/>
    <x v="14"/>
    <x v="5"/>
    <n v="9428970"/>
    <x v="0"/>
    <x v="0"/>
    <x v="0"/>
    <d v="2021-07-16T00:00:00"/>
    <x v="163"/>
    <x v="0"/>
    <x v="3"/>
    <x v="2"/>
    <n v="6.0600000000000001E-2"/>
    <n v="7.1499999999999994E-2"/>
  </r>
  <r>
    <x v="3"/>
    <x v="0"/>
    <x v="0"/>
    <x v="2"/>
    <s v="LM858398100"/>
    <m/>
    <m/>
    <n v="11720"/>
    <x v="135"/>
    <n v="110406"/>
    <x v="57"/>
    <x v="117"/>
    <x v="2"/>
    <x v="5"/>
    <n v="5542498"/>
    <x v="0"/>
    <x v="0"/>
    <x v="0"/>
    <d v="2021-07-20T00:00:00"/>
    <x v="164"/>
    <x v="0"/>
    <x v="3"/>
    <x v="2"/>
    <n v="5.9900000000000002E-2"/>
    <n v="7.0699999999999999E-2"/>
  </r>
  <r>
    <x v="3"/>
    <x v="0"/>
    <x v="0"/>
    <x v="2"/>
    <s v="LM858398100"/>
    <m/>
    <m/>
    <n v="0"/>
    <x v="135"/>
    <n v="110383"/>
    <x v="57"/>
    <x v="117"/>
    <x v="2"/>
    <x v="0"/>
    <n v="40129370"/>
    <x v="0"/>
    <x v="0"/>
    <x v="0"/>
    <d v="2021-07-20T00:00:00"/>
    <x v="164"/>
    <x v="0"/>
    <x v="3"/>
    <x v="2"/>
    <s v="no mismatch"/>
    <s v="no mismatch"/>
  </r>
  <r>
    <x v="3"/>
    <x v="0"/>
    <x v="0"/>
    <x v="2"/>
    <s v="LM858678100 "/>
    <m/>
    <m/>
    <n v="6989.2"/>
    <x v="136"/>
    <n v="110500"/>
    <x v="57"/>
    <x v="117"/>
    <x v="14"/>
    <x v="2"/>
    <n v="18897940"/>
    <x v="0"/>
    <x v="0"/>
    <x v="0"/>
    <d v="2021-08-11T00:00:00"/>
    <x v="165"/>
    <x v="0"/>
    <x v="3"/>
    <x v="2"/>
    <s v="no mismatch"/>
    <s v="no mismatch"/>
  </r>
  <r>
    <x v="3"/>
    <x v="0"/>
    <x v="0"/>
    <x v="2"/>
    <s v="315012061948-M"/>
    <m/>
    <m/>
    <n v="10507"/>
    <x v="137"/>
    <n v="110314"/>
    <x v="56"/>
    <x v="119"/>
    <x v="14"/>
    <x v="3"/>
    <n v="59890530"/>
    <x v="0"/>
    <x v="0"/>
    <x v="0"/>
    <d v="2021-08-11T00:00:00"/>
    <x v="165"/>
    <x v="0"/>
    <x v="3"/>
    <x v="2"/>
    <s v="no mismatch"/>
    <s v="no mismatch"/>
  </r>
  <r>
    <x v="3"/>
    <x v="0"/>
    <x v="0"/>
    <x v="1"/>
    <s v="DC TST117526"/>
    <m/>
    <m/>
    <n v="7930"/>
    <x v="138"/>
    <n v="110557"/>
    <x v="48"/>
    <x v="85"/>
    <x v="14"/>
    <x v="2"/>
    <n v="19217940"/>
    <x v="0"/>
    <x v="0"/>
    <x v="0"/>
    <d v="2021-09-01T00:00:00"/>
    <x v="166"/>
    <x v="0"/>
    <x v="3"/>
    <x v="2"/>
    <s v="no mismatch"/>
    <s v="no mismatch"/>
  </r>
  <r>
    <x v="3"/>
    <x v="0"/>
    <x v="0"/>
    <x v="1"/>
    <s v="LM859348100"/>
    <m/>
    <m/>
    <n v="10664"/>
    <x v="139"/>
    <n v="110558"/>
    <x v="48"/>
    <x v="85"/>
    <x v="14"/>
    <x v="4"/>
    <n v="28286910"/>
    <x v="0"/>
    <x v="0"/>
    <x v="0"/>
    <d v="2021-09-11T00:00:00"/>
    <x v="166"/>
    <x v="0"/>
    <x v="3"/>
    <x v="2"/>
    <s v="no mismatch"/>
    <s v="no mismatch"/>
  </r>
  <r>
    <x v="3"/>
    <x v="0"/>
    <x v="0"/>
    <x v="1"/>
    <s v="315012062493-M"/>
    <m/>
    <m/>
    <n v="900"/>
    <x v="140"/>
    <n v="110562"/>
    <x v="48"/>
    <x v="85"/>
    <x v="14"/>
    <x v="2"/>
    <n v="18800340"/>
    <x v="0"/>
    <x v="0"/>
    <x v="0"/>
    <d v="2021-09-11T00:00:00"/>
    <x v="166"/>
    <x v="0"/>
    <x v="3"/>
    <x v="2"/>
    <s v="no mismatch"/>
    <s v="no mismatch"/>
  </r>
  <r>
    <x v="3"/>
    <x v="4"/>
    <x v="0"/>
    <x v="2"/>
    <s v="315012063312-M"/>
    <m/>
    <m/>
    <n v="7459"/>
    <x v="141"/>
    <n v="110593"/>
    <x v="59"/>
    <x v="120"/>
    <x v="2"/>
    <x v="5"/>
    <n v="8154845"/>
    <x v="0"/>
    <x v="0"/>
    <x v="0"/>
    <d v="2021-09-17T00:00:00"/>
    <x v="167"/>
    <x v="0"/>
    <x v="3"/>
    <x v="2"/>
    <s v="no mismatch"/>
    <s v="no mismatch"/>
  </r>
  <r>
    <x v="3"/>
    <x v="4"/>
    <x v="0"/>
    <x v="2"/>
    <s v="DC TST117539"/>
    <m/>
    <m/>
    <n v="6366.25"/>
    <x v="142"/>
    <n v="110556"/>
    <x v="60"/>
    <x v="121"/>
    <x v="14"/>
    <x v="2"/>
    <n v="20506148"/>
    <x v="0"/>
    <x v="0"/>
    <x v="0"/>
    <d v="2021-09-29T00:00:00"/>
    <x v="168"/>
    <x v="0"/>
    <x v="3"/>
    <x v="2"/>
    <s v="no mismatch"/>
    <s v="no mismatch"/>
  </r>
  <r>
    <x v="3"/>
    <x v="4"/>
    <x v="1"/>
    <x v="2"/>
    <s v="315012063820-M"/>
    <m/>
    <m/>
    <n v="6366.25"/>
    <x v="143"/>
    <n v="110576"/>
    <x v="61"/>
    <x v="121"/>
    <x v="14"/>
    <x v="2"/>
    <n v="30043900"/>
    <x v="0"/>
    <x v="0"/>
    <x v="0"/>
    <d v="2021-10-06T00:00:00"/>
    <x v="169"/>
    <x v="0"/>
    <x v="3"/>
    <x v="2"/>
    <s v="no mismatch"/>
    <s v="no mismatch"/>
  </r>
  <r>
    <x v="3"/>
    <x v="4"/>
    <x v="0"/>
    <x v="2"/>
    <s v="LM860608100"/>
    <m/>
    <m/>
    <n v="7994"/>
    <x v="144"/>
    <n v="110579"/>
    <x v="62"/>
    <x v="122"/>
    <x v="14"/>
    <x v="5"/>
    <n v="27945314"/>
    <x v="0"/>
    <x v="0"/>
    <x v="0"/>
    <d v="2021-10-06T00:00:00"/>
    <x v="169"/>
    <x v="0"/>
    <x v="3"/>
    <x v="2"/>
    <s v="no mismatch"/>
    <s v="no mismatch"/>
  </r>
  <r>
    <x v="3"/>
    <x v="4"/>
    <x v="0"/>
    <x v="2"/>
    <s v="DC TST117542"/>
    <m/>
    <m/>
    <n v="6366.25"/>
    <x v="145"/>
    <n v="110580"/>
    <x v="62"/>
    <x v="123"/>
    <x v="14"/>
    <x v="2"/>
    <n v="21274468"/>
    <x v="0"/>
    <x v="0"/>
    <x v="0"/>
    <d v="2021-10-06T00:00:00"/>
    <x v="169"/>
    <x v="0"/>
    <x v="3"/>
    <x v="2"/>
    <s v="no mismatch"/>
    <s v="no mismatch"/>
  </r>
  <r>
    <x v="3"/>
    <x v="4"/>
    <x v="0"/>
    <x v="2"/>
    <s v="315012063973-M"/>
    <m/>
    <m/>
    <n v="6366.25"/>
    <x v="146"/>
    <n v="110578"/>
    <x v="62"/>
    <x v="124"/>
    <x v="14"/>
    <x v="2"/>
    <n v="33326148"/>
    <x v="0"/>
    <x v="0"/>
    <x v="0"/>
    <d v="2021-10-08T00:00:00"/>
    <x v="170"/>
    <x v="0"/>
    <x v="3"/>
    <x v="2"/>
    <s v="no mismatch"/>
    <s v="no mismatch"/>
  </r>
  <r>
    <x v="3"/>
    <x v="4"/>
    <x v="0"/>
    <x v="2"/>
    <s v="LM860948100"/>
    <m/>
    <m/>
    <n v="7994"/>
    <x v="147"/>
    <n v="110598"/>
    <x v="59"/>
    <x v="120"/>
    <x v="2"/>
    <x v="5"/>
    <n v="7191845"/>
    <x v="0"/>
    <x v="0"/>
    <x v="0"/>
    <d v="2021-10-06T00:00:00"/>
    <x v="171"/>
    <x v="0"/>
    <x v="3"/>
    <x v="2"/>
    <s v="no mismatch"/>
    <s v="no mismatch"/>
  </r>
  <r>
    <x v="3"/>
    <x v="4"/>
    <x v="0"/>
    <x v="2"/>
    <s v="DC TST117549"/>
    <m/>
    <m/>
    <n v="7994"/>
    <x v="148"/>
    <n v="110582"/>
    <x v="62"/>
    <x v="125"/>
    <x v="2"/>
    <x v="2"/>
    <n v="25492690"/>
    <x v="0"/>
    <x v="0"/>
    <x v="0"/>
    <d v="2021-10-20T00:00:00"/>
    <x v="171"/>
    <x v="0"/>
    <x v="3"/>
    <x v="2"/>
    <s v="no mismatch"/>
    <s v="no mismatch"/>
  </r>
  <r>
    <x v="3"/>
    <x v="4"/>
    <x v="0"/>
    <x v="2"/>
    <s v="315012064669-M"/>
    <m/>
    <m/>
    <n v="12112.5"/>
    <x v="149"/>
    <n v="110581"/>
    <x v="62"/>
    <x v="126"/>
    <x v="13"/>
    <x v="2"/>
    <n v="17289917.5"/>
    <x v="0"/>
    <x v="0"/>
    <x v="0"/>
    <d v="2021-11-02T00:00:00"/>
    <x v="172"/>
    <x v="0"/>
    <x v="3"/>
    <x v="2"/>
    <s v="no mismatch"/>
    <s v="no mismatch"/>
  </r>
  <r>
    <x v="3"/>
    <x v="4"/>
    <x v="0"/>
    <x v="2"/>
    <s v="315012064669-M"/>
    <m/>
    <m/>
    <n v="0"/>
    <x v="149"/>
    <n v="110581"/>
    <x v="62"/>
    <x v="126"/>
    <x v="2"/>
    <x v="5"/>
    <n v="11364222.5"/>
    <x v="0"/>
    <x v="0"/>
    <x v="0"/>
    <d v="2021-11-02T00:00:00"/>
    <x v="172"/>
    <x v="0"/>
    <x v="3"/>
    <x v="2"/>
    <s v="no mismatch"/>
    <s v="no mismatch"/>
  </r>
  <r>
    <x v="3"/>
    <x v="4"/>
    <x v="0"/>
    <x v="2"/>
    <s v="315012064669-M"/>
    <m/>
    <m/>
    <n v="0"/>
    <x v="149"/>
    <n v="110652"/>
    <x v="62"/>
    <x v="126"/>
    <x v="2"/>
    <x v="5"/>
    <n v="5925695"/>
    <x v="0"/>
    <x v="0"/>
    <x v="0"/>
    <d v="2021-11-02T00:00:00"/>
    <x v="172"/>
    <x v="0"/>
    <x v="3"/>
    <x v="2"/>
    <n v="5.6800000000000003E-2"/>
    <n v="6.8500000000000005E-2"/>
  </r>
  <r>
    <x v="3"/>
    <x v="4"/>
    <x v="0"/>
    <x v="2"/>
    <s v="LM861178100"/>
    <m/>
    <m/>
    <n v="7930"/>
    <x v="150"/>
    <n v="110594"/>
    <x v="59"/>
    <x v="120"/>
    <x v="14"/>
    <x v="2"/>
    <n v="21536418"/>
    <x v="0"/>
    <x v="0"/>
    <x v="0"/>
    <d v="2021-11-02T00:00:00"/>
    <x v="172"/>
    <x v="0"/>
    <x v="3"/>
    <x v="2"/>
    <n v="5.6300000000000003E-2"/>
    <n v="6.8400000000000002E-2"/>
  </r>
  <r>
    <x v="3"/>
    <x v="4"/>
    <x v="0"/>
    <x v="2"/>
    <s v="DC TST11754"/>
    <m/>
    <m/>
    <n v="11844.75"/>
    <x v="151"/>
    <n v="110635"/>
    <x v="63"/>
    <x v="127"/>
    <x v="14"/>
    <x v="4"/>
    <n v="44682252"/>
    <x v="0"/>
    <x v="0"/>
    <x v="0"/>
    <d v="2021-11-17T00:00:00"/>
    <x v="173"/>
    <x v="0"/>
    <x v="3"/>
    <x v="2"/>
    <s v="no mismatch"/>
    <s v="no mismatch"/>
  </r>
  <r>
    <x v="3"/>
    <x v="4"/>
    <x v="0"/>
    <x v="2"/>
    <s v="DC TST11754"/>
    <m/>
    <m/>
    <n v="0"/>
    <x v="151"/>
    <n v="110656"/>
    <x v="63"/>
    <x v="127"/>
    <x v="14"/>
    <x v="5"/>
    <n v="10284434"/>
    <x v="0"/>
    <x v="0"/>
    <x v="0"/>
    <d v="2021-11-17T00:00:00"/>
    <x v="173"/>
    <x v="0"/>
    <x v="3"/>
    <x v="2"/>
    <n v="5.6300000000000003E-2"/>
    <n v="6.8400000000000002E-2"/>
  </r>
  <r>
    <x v="3"/>
    <x v="4"/>
    <x v="0"/>
    <x v="2"/>
    <s v="DC TST117556"/>
    <m/>
    <m/>
    <n v="11844.75"/>
    <x v="152"/>
    <n v="110634"/>
    <x v="63"/>
    <x v="127"/>
    <x v="2"/>
    <x v="2"/>
    <n v="32707750"/>
    <x v="0"/>
    <x v="0"/>
    <x v="0"/>
    <d v="2021-11-17T00:00:00"/>
    <x v="173"/>
    <x v="0"/>
    <x v="3"/>
    <x v="2"/>
    <s v="no mismatch"/>
    <s v="no mismatch"/>
  </r>
  <r>
    <x v="3"/>
    <x v="4"/>
    <x v="0"/>
    <x v="2"/>
    <s v="DC TST117556"/>
    <m/>
    <m/>
    <n v="0"/>
    <x v="152"/>
    <n v="110662"/>
    <x v="63"/>
    <x v="127"/>
    <x v="2"/>
    <x v="2"/>
    <n v="14383690"/>
    <x v="0"/>
    <x v="0"/>
    <x v="0"/>
    <d v="2021-11-17T00:00:00"/>
    <x v="173"/>
    <x v="0"/>
    <x v="3"/>
    <x v="2"/>
    <n v="5.6599999999999998E-2"/>
    <n v="6.8500000000000005E-2"/>
  </r>
  <r>
    <x v="3"/>
    <x v="4"/>
    <x v="0"/>
    <x v="2"/>
    <s v="DC TST117555"/>
    <m/>
    <m/>
    <n v="720"/>
    <x v="153"/>
    <n v="110620"/>
    <x v="64"/>
    <x v="127"/>
    <x v="14"/>
    <x v="2"/>
    <n v="24802468"/>
    <x v="0"/>
    <x v="0"/>
    <x v="0"/>
    <d v="2021-11-19T00:00:00"/>
    <x v="174"/>
    <x v="0"/>
    <x v="3"/>
    <x v="2"/>
    <s v="no mismatch"/>
    <s v="no mismatch"/>
  </r>
  <r>
    <x v="3"/>
    <x v="4"/>
    <x v="0"/>
    <x v="2"/>
    <s v="315012065409-M"/>
    <m/>
    <m/>
    <n v="18751"/>
    <x v="154"/>
    <n v="110617"/>
    <x v="64"/>
    <x v="128"/>
    <x v="14"/>
    <x v="2"/>
    <n v="38626338"/>
    <x v="0"/>
    <x v="0"/>
    <x v="0"/>
    <d v="2021-11-19T00:00:00"/>
    <x v="174"/>
    <x v="0"/>
    <x v="3"/>
    <x v="2"/>
    <s v="no mismatch"/>
    <s v="no mismatch"/>
  </r>
  <r>
    <x v="3"/>
    <x v="4"/>
    <x v="0"/>
    <x v="2"/>
    <s v="315012065310-M"/>
    <m/>
    <m/>
    <n v="720"/>
    <x v="155"/>
    <n v="110619"/>
    <x v="64"/>
    <x v="129"/>
    <x v="13"/>
    <x v="5"/>
    <n v="23022003"/>
    <x v="0"/>
    <x v="0"/>
    <x v="0"/>
    <d v="2021-11-19T00:00:00"/>
    <x v="174"/>
    <x v="0"/>
    <x v="3"/>
    <x v="2"/>
    <s v="no mismatch"/>
    <s v="no mismatch"/>
  </r>
  <r>
    <x v="3"/>
    <x v="0"/>
    <x v="0"/>
    <x v="2"/>
    <s v="315012065702-M"/>
    <m/>
    <m/>
    <n v="12112.5"/>
    <x v="156"/>
    <n v="110459"/>
    <x v="65"/>
    <x v="130"/>
    <x v="13"/>
    <x v="4"/>
    <n v="44538665"/>
    <x v="0"/>
    <x v="0"/>
    <x v="0"/>
    <d v="2021-11-26T00:00:00"/>
    <x v="175"/>
    <x v="0"/>
    <x v="3"/>
    <x v="2"/>
    <s v="no mismatch"/>
    <s v="no mismatch"/>
  </r>
  <r>
    <x v="3"/>
    <x v="4"/>
    <x v="0"/>
    <x v="2"/>
    <s v="DC TST117557 "/>
    <m/>
    <m/>
    <n v="6659.5"/>
    <x v="157"/>
    <n v="110618"/>
    <x v="64"/>
    <x v="131"/>
    <x v="2"/>
    <x v="2"/>
    <n v="19280890"/>
    <x v="0"/>
    <x v="0"/>
    <x v="0"/>
    <d v="2021-11-26T00:00:00"/>
    <x v="175"/>
    <x v="0"/>
    <x v="3"/>
    <x v="2"/>
    <s v="no mismatch"/>
    <s v="no mismatch"/>
  </r>
  <r>
    <x v="3"/>
    <x v="0"/>
    <x v="0"/>
    <x v="1"/>
    <s v="DC TST117560"/>
    <m/>
    <m/>
    <n v="6659.5"/>
    <x v="158"/>
    <n v="110669"/>
    <x v="48"/>
    <x v="85"/>
    <x v="14"/>
    <x v="5"/>
    <n v="16456170"/>
    <x v="0"/>
    <x v="0"/>
    <x v="0"/>
    <d v="2021-12-10T00:00:00"/>
    <x v="176"/>
    <x v="0"/>
    <x v="3"/>
    <x v="2"/>
    <s v="no mismatch"/>
    <s v="no mismatch"/>
  </r>
  <r>
    <x v="3"/>
    <x v="0"/>
    <x v="0"/>
    <x v="1"/>
    <s v="DC TST117560"/>
    <m/>
    <m/>
    <n v="0"/>
    <x v="158"/>
    <n v="110366"/>
    <x v="48"/>
    <x v="85"/>
    <x v="14"/>
    <x v="5"/>
    <n v="9400170"/>
    <x v="0"/>
    <x v="0"/>
    <x v="0"/>
    <d v="2021-12-10T00:00:00"/>
    <x v="176"/>
    <x v="0"/>
    <x v="3"/>
    <x v="2"/>
    <n v="6.0499999999999998E-2"/>
    <n v="7.2599999999999998E-2"/>
  </r>
  <r>
    <x v="3"/>
    <x v="1"/>
    <x v="1"/>
    <x v="2"/>
    <s v="DC TST118066"/>
    <m/>
    <m/>
    <n v="6659.5"/>
    <x v="159"/>
    <n v="110530"/>
    <x v="66"/>
    <x v="132"/>
    <x v="16"/>
    <x v="2"/>
    <n v="10615568"/>
    <x v="2"/>
    <x v="0"/>
    <x v="0"/>
    <d v="2021-12-15T00:00:00"/>
    <x v="177"/>
    <x v="0"/>
    <x v="3"/>
    <x v="4"/>
    <n v="5.6899999999999999E-2"/>
    <n v="6.8599999999999994E-2"/>
  </r>
  <r>
    <x v="3"/>
    <x v="0"/>
    <x v="0"/>
    <x v="1"/>
    <s v="LC copy ASAP SCB"/>
    <m/>
    <m/>
    <n v="6659.5"/>
    <x v="160"/>
    <n v="110671"/>
    <x v="48"/>
    <x v="85"/>
    <x v="14"/>
    <x v="5"/>
    <n v="9428970"/>
    <x v="0"/>
    <x v="0"/>
    <x v="0"/>
    <d v="2021-12-17T00:00:00"/>
    <x v="178"/>
    <x v="0"/>
    <x v="3"/>
    <x v="2"/>
    <s v="no mismatch"/>
    <s v="no mismatch"/>
  </r>
  <r>
    <x v="3"/>
    <x v="3"/>
    <x v="0"/>
    <x v="2"/>
    <s v="CNY单"/>
    <s v="CNY单"/>
    <s v="CNY单"/>
    <n v="0"/>
    <x v="161"/>
    <s v="49F104087"/>
    <x v="67"/>
    <x v="133"/>
    <x v="14"/>
    <x v="2"/>
    <n v="1400000"/>
    <x v="0"/>
    <x v="0"/>
    <x v="0"/>
    <s v="提货时间2021/12/7"/>
    <x v="179"/>
    <x v="0"/>
    <x v="3"/>
    <x v="2"/>
    <s v="CNY单"/>
    <s v="CNY单"/>
  </r>
  <r>
    <x v="3"/>
    <x v="3"/>
    <x v="0"/>
    <x v="2"/>
    <s v="CNY单"/>
    <s v="CNY单"/>
    <s v="CNY单"/>
    <n v="0"/>
    <x v="162"/>
    <s v="49F104088"/>
    <x v="67"/>
    <x v="134"/>
    <x v="14"/>
    <x v="5"/>
    <n v="700000"/>
    <x v="0"/>
    <x v="0"/>
    <x v="0"/>
    <s v="提货时间2021/12/7"/>
    <x v="179"/>
    <x v="0"/>
    <x v="3"/>
    <x v="2"/>
    <s v="CNY单"/>
    <s v="CNY单"/>
  </r>
  <r>
    <x v="3"/>
    <x v="3"/>
    <x v="0"/>
    <x v="2"/>
    <s v="CNY单"/>
    <s v="CNY单"/>
    <s v="CNY单"/>
    <n v="0"/>
    <x v="163"/>
    <s v="49F104089"/>
    <x v="67"/>
    <x v="122"/>
    <x v="14"/>
    <x v="5"/>
    <n v="700000"/>
    <x v="0"/>
    <x v="0"/>
    <x v="0"/>
    <s v="提货时间2021/12/7"/>
    <x v="179"/>
    <x v="0"/>
    <x v="3"/>
    <x v="2"/>
    <s v="CNY单"/>
    <s v="CNY单"/>
  </r>
  <r>
    <x v="3"/>
    <x v="3"/>
    <x v="0"/>
    <x v="2"/>
    <s v="CNY单"/>
    <s v="CNY单"/>
    <s v="CNY单"/>
    <n v="0"/>
    <x v="164"/>
    <s v="49F103948"/>
    <x v="68"/>
    <x v="135"/>
    <x v="1"/>
    <x v="4"/>
    <n v="2745372"/>
    <x v="0"/>
    <x v="0"/>
    <x v="0"/>
    <s v="提货时间2021/8/26"/>
    <x v="180"/>
    <x v="0"/>
    <x v="3"/>
    <x v="2"/>
    <s v="CNY单"/>
    <s v="CNY单"/>
  </r>
  <r>
    <x v="3"/>
    <x v="3"/>
    <x v="0"/>
    <x v="2"/>
    <s v="CNY单"/>
    <s v="CNY单"/>
    <s v="CNY单"/>
    <n v="0"/>
    <x v="165"/>
    <s v="49F103948"/>
    <x v="68"/>
    <x v="88"/>
    <x v="2"/>
    <x v="0"/>
    <n v="1640000"/>
    <x v="0"/>
    <x v="0"/>
    <x v="0"/>
    <s v="提货时间2021/9/28"/>
    <x v="181"/>
    <x v="0"/>
    <x v="3"/>
    <x v="2"/>
    <s v="CNY单"/>
    <s v="CNY单"/>
  </r>
  <r>
    <x v="3"/>
    <x v="3"/>
    <x v="0"/>
    <x v="2"/>
    <s v="CNY单"/>
    <s v="CNY单"/>
    <s v="CNY单"/>
    <n v="0"/>
    <x v="166"/>
    <s v="49F104054"/>
    <x v="69"/>
    <x v="136"/>
    <x v="14"/>
    <x v="2"/>
    <n v="1400000"/>
    <x v="0"/>
    <x v="0"/>
    <x v="0"/>
    <s v="提货时间2021/11/11"/>
    <x v="182"/>
    <x v="0"/>
    <x v="3"/>
    <x v="2"/>
    <s v="CNY单"/>
    <s v="CNY单"/>
  </r>
  <r>
    <x v="4"/>
    <x v="3"/>
    <x v="0"/>
    <x v="2"/>
    <s v="CNY单"/>
    <s v="CNY单"/>
    <s v="CNY单"/>
    <n v="0"/>
    <x v="167"/>
    <s v="49F104147"/>
    <x v="70"/>
    <x v="137"/>
    <x v="1"/>
    <x v="5"/>
    <n v="1000000"/>
    <x v="0"/>
    <x v="0"/>
    <x v="0"/>
    <s v="提货时间2022/1/11"/>
    <x v="183"/>
    <x v="0"/>
    <x v="3"/>
    <x v="4"/>
    <s v="CNY单"/>
    <s v="CNY单"/>
  </r>
  <r>
    <x v="4"/>
    <x v="0"/>
    <x v="0"/>
    <x v="1"/>
    <s v="100% befor shipment "/>
    <m/>
    <m/>
    <m/>
    <x v="168"/>
    <n v="110550"/>
    <x v="71"/>
    <x v="138"/>
    <x v="2"/>
    <x v="2"/>
    <n v="12645000"/>
    <x v="3"/>
    <x v="0"/>
    <x v="0"/>
    <s v="已经到货"/>
    <x v="184"/>
    <x v="1"/>
    <x v="3"/>
    <x v="2"/>
    <s v="no mismatch"/>
    <s v="no mismatch"/>
  </r>
  <r>
    <x v="3"/>
    <x v="0"/>
    <x v="0"/>
    <x v="1"/>
    <s v="315012066916-M"/>
    <m/>
    <m/>
    <n v="7458.5"/>
    <x v="169"/>
    <n v="110670"/>
    <x v="56"/>
    <x v="85"/>
    <x v="14"/>
    <x v="2"/>
    <n v="23083192"/>
    <x v="0"/>
    <x v="0"/>
    <x v="0"/>
    <d v="2021-12-15T00:00:00"/>
    <x v="185"/>
    <x v="0"/>
    <x v="3"/>
    <x v="2"/>
    <s v="no mismatch"/>
    <s v="no mismatch"/>
  </r>
  <r>
    <x v="3"/>
    <x v="4"/>
    <x v="0"/>
    <x v="1"/>
    <s v="DC TST118073"/>
    <m/>
    <m/>
    <n v="23069.5"/>
    <x v="170"/>
    <n v="110664"/>
    <x v="72"/>
    <x v="139"/>
    <x v="2"/>
    <x v="7"/>
    <n v="75948790"/>
    <x v="0"/>
    <x v="0"/>
    <x v="0"/>
    <d v="2021-12-15T00:00:00"/>
    <x v="185"/>
    <x v="0"/>
    <x v="3"/>
    <x v="2"/>
    <s v="no mismatch"/>
    <s v="no mismatch"/>
  </r>
  <r>
    <x v="3"/>
    <x v="4"/>
    <x v="0"/>
    <x v="1"/>
    <s v="DC TST118074"/>
    <m/>
    <m/>
    <n v="14718.7"/>
    <x v="171"/>
    <n v="110708"/>
    <x v="73"/>
    <x v="139"/>
    <x v="14"/>
    <x v="0"/>
    <n v="73252736"/>
    <x v="0"/>
    <x v="0"/>
    <x v="0"/>
    <d v="2021-12-31T00:00:00"/>
    <x v="186"/>
    <x v="0"/>
    <x v="3"/>
    <x v="2"/>
    <s v="no mismatch"/>
    <s v="no mismatch"/>
  </r>
  <r>
    <x v="4"/>
    <x v="5"/>
    <x v="0"/>
    <x v="1"/>
    <s v="315012066943-M"/>
    <m/>
    <m/>
    <n v="620"/>
    <x v="172"/>
    <n v="110665"/>
    <x v="73"/>
    <x v="139"/>
    <x v="14"/>
    <x v="5"/>
    <n v="12398294"/>
    <x v="0"/>
    <x v="0"/>
    <x v="0"/>
    <d v="2022-01-14T00:00:00"/>
    <x v="187"/>
    <x v="0"/>
    <x v="3"/>
    <x v="2"/>
    <s v="no mismatch"/>
    <s v="no mismatch"/>
  </r>
  <r>
    <x v="4"/>
    <x v="5"/>
    <x v="0"/>
    <x v="1"/>
    <s v="315012066943-M"/>
    <m/>
    <m/>
    <m/>
    <x v="172"/>
    <n v="110801"/>
    <x v="73"/>
    <x v="139"/>
    <x v="14"/>
    <x v="5"/>
    <n v="12398294"/>
    <x v="0"/>
    <x v="0"/>
    <x v="0"/>
    <d v="2022-01-14T00:00:00"/>
    <x v="187"/>
    <x v="0"/>
    <x v="3"/>
    <x v="2"/>
    <n v="5.6099999999999997E-2"/>
    <n v="6.8400000000000002E-2"/>
  </r>
  <r>
    <x v="4"/>
    <x v="4"/>
    <x v="0"/>
    <x v="2"/>
    <s v="DC TST118077"/>
    <m/>
    <m/>
    <n v="11390.3"/>
    <x v="173"/>
    <n v="110693"/>
    <x v="74"/>
    <x v="140"/>
    <x v="14"/>
    <x v="2"/>
    <n v="30498868"/>
    <x v="0"/>
    <x v="0"/>
    <x v="0"/>
    <d v="2022-01-19T00:00:00"/>
    <x v="188"/>
    <x v="0"/>
    <x v="3"/>
    <x v="2"/>
    <s v="no mismatch"/>
    <s v="no mismatch"/>
  </r>
  <r>
    <x v="4"/>
    <x v="1"/>
    <x v="0"/>
    <x v="1"/>
    <s v="LC copy ASAP SCB"/>
    <m/>
    <m/>
    <n v="9297.1"/>
    <x v="174"/>
    <n v="110666"/>
    <x v="74"/>
    <x v="85"/>
    <x v="15"/>
    <x v="2"/>
    <n v="16039000"/>
    <x v="0"/>
    <x v="0"/>
    <x v="0"/>
    <d v="2022-01-19T00:00:00"/>
    <x v="188"/>
    <x v="0"/>
    <x v="3"/>
    <x v="2"/>
    <s v="no mismatch"/>
    <s v="no mismatch"/>
  </r>
  <r>
    <x v="4"/>
    <x v="4"/>
    <x v="0"/>
    <x v="2"/>
    <s v="DC TST118084"/>
    <m/>
    <m/>
    <n v="15690.95"/>
    <x v="175"/>
    <n v="110694"/>
    <x v="74"/>
    <x v="141"/>
    <x v="14"/>
    <x v="5"/>
    <n v="16335434"/>
    <x v="0"/>
    <x v="0"/>
    <x v="0"/>
    <d v="2022-01-26T00:00:00"/>
    <x v="189"/>
    <x v="0"/>
    <x v="3"/>
    <x v="2"/>
    <s v="no mismatch"/>
    <s v="no mismatch"/>
  </r>
  <r>
    <x v="4"/>
    <x v="4"/>
    <x v="0"/>
    <x v="2"/>
    <s v="DC TST118083"/>
    <m/>
    <m/>
    <n v="0"/>
    <x v="176"/>
    <n v="110695"/>
    <x v="74"/>
    <x v="142"/>
    <x v="14"/>
    <x v="5"/>
    <n v="17781074"/>
    <x v="0"/>
    <x v="0"/>
    <x v="0"/>
    <d v="2022-01-26T00:00:00"/>
    <x v="189"/>
    <x v="0"/>
    <x v="3"/>
    <x v="2"/>
    <s v="no mismatch"/>
    <s v="no mismatch"/>
  </r>
  <r>
    <x v="4"/>
    <x v="4"/>
    <x v="0"/>
    <x v="2"/>
    <s v="DC TST118085"/>
    <m/>
    <m/>
    <n v="0"/>
    <x v="177"/>
    <n v="110697"/>
    <x v="74"/>
    <x v="143"/>
    <x v="14"/>
    <x v="5"/>
    <n v="16849034"/>
    <x v="0"/>
    <x v="0"/>
    <x v="0"/>
    <d v="2022-01-26T00:00:00"/>
    <x v="189"/>
    <x v="0"/>
    <x v="3"/>
    <x v="2"/>
    <s v="no mismatch"/>
    <s v="no mismatch"/>
  </r>
  <r>
    <x v="4"/>
    <x v="4"/>
    <x v="0"/>
    <x v="2"/>
    <s v="315012068362-M"/>
    <m/>
    <m/>
    <n v="15070.95"/>
    <x v="178"/>
    <n v="110696"/>
    <x v="74"/>
    <x v="144"/>
    <x v="14"/>
    <x v="2"/>
    <n v="31813228"/>
    <x v="0"/>
    <x v="0"/>
    <x v="0"/>
    <d v="2022-01-26T00:00:00"/>
    <x v="189"/>
    <x v="0"/>
    <x v="3"/>
    <x v="2"/>
    <s v="no mismatch"/>
    <s v="no mismatch"/>
  </r>
  <r>
    <x v="4"/>
    <x v="4"/>
    <x v="0"/>
    <x v="2"/>
    <s v="315012068371-M"/>
    <m/>
    <m/>
    <n v="0"/>
    <x v="179"/>
    <n v="110698"/>
    <x v="74"/>
    <x v="145"/>
    <x v="14"/>
    <x v="2"/>
    <n v="26324068"/>
    <x v="0"/>
    <x v="0"/>
    <x v="0"/>
    <d v="2022-01-26T00:00:00"/>
    <x v="189"/>
    <x v="0"/>
    <x v="3"/>
    <x v="2"/>
    <s v="no mismatch"/>
    <s v="no mismatch"/>
  </r>
  <r>
    <x v="4"/>
    <x v="4"/>
    <x v="0"/>
    <x v="2"/>
    <s v="LC copy ASAP SCB"/>
    <m/>
    <m/>
    <n v="16310.95"/>
    <x v="180"/>
    <n v="110734"/>
    <x v="75"/>
    <x v="146"/>
    <x v="14"/>
    <x v="5"/>
    <n v="14497934"/>
    <x v="0"/>
    <x v="0"/>
    <x v="0"/>
    <d v="2022-02-02T00:00:00"/>
    <x v="190"/>
    <x v="0"/>
    <x v="3"/>
    <x v="2"/>
    <s v="no mismatch"/>
    <s v="no mismatch"/>
  </r>
  <r>
    <x v="4"/>
    <x v="4"/>
    <x v="0"/>
    <x v="2"/>
    <s v="315012067979-M"/>
    <m/>
    <m/>
    <n v="0"/>
    <x v="181"/>
    <n v="110731"/>
    <x v="75"/>
    <x v="147"/>
    <x v="14"/>
    <x v="5"/>
    <n v="13878574"/>
    <x v="0"/>
    <x v="0"/>
    <x v="0"/>
    <d v="2022-02-02T00:00:00"/>
    <x v="190"/>
    <x v="0"/>
    <x v="3"/>
    <x v="2"/>
    <s v="no mismatch"/>
    <s v="no mismatch"/>
  </r>
  <r>
    <x v="4"/>
    <x v="4"/>
    <x v="0"/>
    <x v="2"/>
    <s v="DC TST118089"/>
    <m/>
    <m/>
    <n v="0"/>
    <x v="182"/>
    <n v="110689"/>
    <x v="74"/>
    <x v="140"/>
    <x v="2"/>
    <x v="5"/>
    <n v="11684645"/>
    <x v="0"/>
    <x v="0"/>
    <x v="0"/>
    <d v="2022-01-28T00:00:00"/>
    <x v="191"/>
    <x v="0"/>
    <x v="3"/>
    <x v="2"/>
    <s v="no mismatch"/>
    <s v="no mismatch"/>
  </r>
  <r>
    <x v="4"/>
    <x v="4"/>
    <x v="0"/>
    <x v="2"/>
    <s v="DC TST118088"/>
    <m/>
    <m/>
    <n v="0"/>
    <x v="183"/>
    <n v="110690"/>
    <x v="74"/>
    <x v="142"/>
    <x v="2"/>
    <x v="5"/>
    <n v="11684645"/>
    <x v="0"/>
    <x v="0"/>
    <x v="0"/>
    <d v="2022-01-28T00:00:00"/>
    <x v="191"/>
    <x v="0"/>
    <x v="3"/>
    <x v="2"/>
    <s v="no mismatch"/>
    <s v="no mismatch"/>
  </r>
  <r>
    <x v="4"/>
    <x v="0"/>
    <x v="0"/>
    <x v="2"/>
    <s v="DC TST118090"/>
    <m/>
    <m/>
    <n v="15690.95"/>
    <x v="184"/>
    <n v="110630"/>
    <x v="63"/>
    <x v="121"/>
    <x v="17"/>
    <x v="5"/>
    <n v="17687520"/>
    <x v="0"/>
    <x v="0"/>
    <x v="0"/>
    <d v="2022-02-04T00:00:00"/>
    <x v="192"/>
    <x v="0"/>
    <x v="3"/>
    <x v="2"/>
    <s v="no mismatch"/>
    <s v="no mismatch"/>
  </r>
  <r>
    <x v="4"/>
    <x v="4"/>
    <x v="0"/>
    <x v="2"/>
    <s v="LM864208100 "/>
    <m/>
    <m/>
    <n v="0"/>
    <x v="185"/>
    <n v="110691"/>
    <x v="74"/>
    <x v="148"/>
    <x v="2"/>
    <x v="5"/>
    <n v="11684645"/>
    <x v="0"/>
    <x v="0"/>
    <x v="0"/>
    <d v="2022-02-04T00:00:00"/>
    <x v="192"/>
    <x v="0"/>
    <x v="3"/>
    <x v="2"/>
    <s v="no mismatch"/>
    <s v="no mismatch"/>
  </r>
  <r>
    <x v="4"/>
    <x v="4"/>
    <x v="0"/>
    <x v="2"/>
    <s v="LM864198100"/>
    <m/>
    <m/>
    <n v="0"/>
    <x v="186"/>
    <n v="110692"/>
    <x v="74"/>
    <x v="149"/>
    <x v="2"/>
    <x v="5"/>
    <n v="10074695"/>
    <x v="0"/>
    <x v="0"/>
    <x v="0"/>
    <d v="2022-02-04T00:00:00"/>
    <x v="192"/>
    <x v="0"/>
    <x v="3"/>
    <x v="2"/>
    <s v="no mismatch"/>
    <s v="no mismatch"/>
  </r>
  <r>
    <x v="4"/>
    <x v="4"/>
    <x v="0"/>
    <x v="2"/>
    <s v="LC copy ASAP SCB"/>
    <m/>
    <s v="有驳船"/>
    <n v="0"/>
    <x v="187"/>
    <n v="110726"/>
    <x v="75"/>
    <x v="150"/>
    <x v="2"/>
    <x v="2"/>
    <n v="18436090"/>
    <x v="0"/>
    <x v="0"/>
    <x v="0"/>
    <d v="2022-02-10T00:00:00"/>
    <x v="193"/>
    <x v="0"/>
    <x v="3"/>
    <x v="2"/>
    <s v="no mismatch"/>
    <s v="no mismatch"/>
  </r>
  <r>
    <x v="4"/>
    <x v="4"/>
    <x v="0"/>
    <x v="2"/>
    <s v="LC copy ASAP SCB"/>
    <m/>
    <s v="有驳船"/>
    <n v="15160.2"/>
    <x v="188"/>
    <n v="110727"/>
    <x v="75"/>
    <x v="151"/>
    <x v="2"/>
    <x v="2"/>
    <n v="17783290"/>
    <x v="0"/>
    <x v="0"/>
    <x v="0"/>
    <d v="2022-02-10T00:00:00"/>
    <x v="193"/>
    <x v="0"/>
    <x v="3"/>
    <x v="2"/>
    <s v="no mismatch"/>
    <s v="no mismatch"/>
  </r>
  <r>
    <x v="4"/>
    <x v="4"/>
    <x v="0"/>
    <x v="2"/>
    <s v="DC TST118092"/>
    <m/>
    <s v="有驳船"/>
    <n v="0"/>
    <x v="189"/>
    <n v="110729"/>
    <x v="75"/>
    <x v="152"/>
    <x v="2"/>
    <x v="2"/>
    <n v="17889340"/>
    <x v="0"/>
    <x v="0"/>
    <x v="0"/>
    <d v="2022-02-10T00:00:00"/>
    <x v="193"/>
    <x v="0"/>
    <x v="3"/>
    <x v="2"/>
    <s v="no mismatch"/>
    <s v="no mismatch"/>
  </r>
  <r>
    <x v="4"/>
    <x v="4"/>
    <x v="0"/>
    <x v="2"/>
    <s v="DC TST118092"/>
    <m/>
    <s v="有驳船"/>
    <n v="14361.7"/>
    <x v="189"/>
    <n v="110729"/>
    <x v="75"/>
    <x v="152"/>
    <x v="14"/>
    <x v="2"/>
    <n v="25571818"/>
    <x v="0"/>
    <x v="0"/>
    <x v="0"/>
    <d v="2022-02-10T00:00:00"/>
    <x v="193"/>
    <x v="0"/>
    <x v="3"/>
    <x v="2"/>
    <s v="no mismatch"/>
    <s v="no mismatch"/>
  </r>
  <r>
    <x v="4"/>
    <x v="0"/>
    <x v="0"/>
    <x v="1"/>
    <s v="LM864808100"/>
    <m/>
    <s v="有驳船"/>
    <n v="11240.3"/>
    <x v="190"/>
    <n v="110472"/>
    <x v="48"/>
    <x v="85"/>
    <x v="2"/>
    <x v="4"/>
    <n v="16859295"/>
    <x v="0"/>
    <x v="0"/>
    <x v="0"/>
    <d v="2022-02-10T00:00:00"/>
    <x v="193"/>
    <x v="0"/>
    <x v="3"/>
    <x v="2"/>
    <n v="5.9499999999999997E-2"/>
    <n v="7.1099999999999997E-2"/>
  </r>
  <r>
    <x v="4"/>
    <x v="4"/>
    <x v="0"/>
    <x v="2"/>
    <s v="315012069003-M"/>
    <m/>
    <s v="有驳船"/>
    <n v="0"/>
    <x v="191"/>
    <n v="110730"/>
    <x v="75"/>
    <x v="145"/>
    <x v="2"/>
    <x v="2"/>
    <n v="20100760"/>
    <x v="0"/>
    <x v="0"/>
    <x v="0"/>
    <d v="2022-02-18T00:00:00"/>
    <x v="194"/>
    <x v="0"/>
    <x v="3"/>
    <x v="2"/>
    <s v="no mismatch"/>
    <s v="no mismatch"/>
  </r>
  <r>
    <x v="4"/>
    <x v="4"/>
    <x v="0"/>
    <x v="2"/>
    <s v="315012069003-M"/>
    <m/>
    <s v="有驳船"/>
    <n v="11240.3"/>
    <x v="191"/>
    <n v="110730"/>
    <x v="75"/>
    <x v="145"/>
    <x v="14"/>
    <x v="2"/>
    <n v="26285938"/>
    <x v="0"/>
    <x v="0"/>
    <x v="0"/>
    <d v="2022-02-18T00:00:00"/>
    <x v="194"/>
    <x v="0"/>
    <x v="3"/>
    <x v="2"/>
    <s v="no mismatch"/>
    <s v="no mismatch"/>
  </r>
  <r>
    <x v="4"/>
    <x v="4"/>
    <x v="0"/>
    <x v="2"/>
    <s v="DC TST118097"/>
    <m/>
    <s v="有驳船"/>
    <n v="15070.95"/>
    <x v="192"/>
    <n v="110733"/>
    <x v="75"/>
    <x v="153"/>
    <x v="14"/>
    <x v="5"/>
    <n v="19739894"/>
    <x v="0"/>
    <x v="0"/>
    <x v="0"/>
    <d v="2022-02-25T00:00:00"/>
    <x v="195"/>
    <x v="0"/>
    <x v="3"/>
    <x v="2"/>
    <s v="no mismatch"/>
    <s v="no mismatch"/>
  </r>
  <r>
    <x v="4"/>
    <x v="0"/>
    <x v="0"/>
    <x v="1"/>
    <s v="DC TST118098 "/>
    <m/>
    <s v="有驳船"/>
    <n v="0"/>
    <x v="193"/>
    <n v="110800"/>
    <x v="48"/>
    <x v="85"/>
    <x v="2"/>
    <x v="2"/>
    <n v="10789530"/>
    <x v="0"/>
    <x v="0"/>
    <x v="0"/>
    <d v="2022-02-25T00:00:00"/>
    <x v="195"/>
    <x v="0"/>
    <x v="3"/>
    <x v="2"/>
    <s v="no mismatch"/>
    <s v="no mismatch"/>
  </r>
  <r>
    <x v="4"/>
    <x v="0"/>
    <x v="0"/>
    <x v="1"/>
    <s v="315012069842-M"/>
    <m/>
    <s v="有驳船"/>
    <n v="15070.95"/>
    <x v="194"/>
    <n v="110771"/>
    <x v="48"/>
    <x v="85"/>
    <x v="2"/>
    <x v="2"/>
    <n v="12114330"/>
    <x v="0"/>
    <x v="0"/>
    <x v="0"/>
    <d v="2022-02-25T00:00:00"/>
    <x v="195"/>
    <x v="0"/>
    <x v="3"/>
    <x v="2"/>
    <s v="no mismatch"/>
    <s v="no mismatch"/>
  </r>
  <r>
    <x v="4"/>
    <x v="4"/>
    <x v="0"/>
    <x v="2"/>
    <s v="315012069147-M"/>
    <m/>
    <s v="有驳船"/>
    <n v="0"/>
    <x v="195"/>
    <n v="110728"/>
    <x v="75"/>
    <x v="154"/>
    <x v="2"/>
    <x v="5"/>
    <n v="9338045"/>
    <x v="0"/>
    <x v="0"/>
    <x v="0"/>
    <d v="2022-02-25T00:00:00"/>
    <x v="195"/>
    <x v="0"/>
    <x v="3"/>
    <x v="2"/>
    <s v="no mismatch"/>
    <s v="no mismatch"/>
  </r>
  <r>
    <x v="4"/>
    <x v="4"/>
    <x v="0"/>
    <x v="2"/>
    <s v="315012069147-M"/>
    <m/>
    <s v="有驳船"/>
    <n v="0"/>
    <x v="195"/>
    <n v="110728"/>
    <x v="75"/>
    <x v="154"/>
    <x v="14"/>
    <x v="5"/>
    <n v="13179284"/>
    <x v="0"/>
    <x v="0"/>
    <x v="0"/>
    <d v="2022-02-25T00:00:00"/>
    <x v="195"/>
    <x v="0"/>
    <x v="3"/>
    <x v="2"/>
    <s v="no mismatch"/>
    <s v="no mismatch"/>
  </r>
  <r>
    <x v="4"/>
    <x v="4"/>
    <x v="0"/>
    <x v="2"/>
    <s v="LM865508100"/>
    <m/>
    <s v="有驳船"/>
    <n v="11390.3"/>
    <x v="196"/>
    <n v="110732"/>
    <x v="75"/>
    <x v="155"/>
    <x v="14"/>
    <x v="5"/>
    <n v="20947094"/>
    <x v="0"/>
    <x v="0"/>
    <x v="0"/>
    <d v="2022-03-04T00:00:00"/>
    <x v="196"/>
    <x v="0"/>
    <x v="3"/>
    <x v="2"/>
    <s v="no mismatch"/>
    <s v="no mismatch"/>
  </r>
  <r>
    <x v="4"/>
    <x v="4"/>
    <x v="0"/>
    <x v="2"/>
    <s v="LM865498100"/>
    <m/>
    <s v="有驳船"/>
    <n v="0"/>
    <x v="197"/>
    <n v="110737"/>
    <x v="76"/>
    <x v="156"/>
    <x v="14"/>
    <x v="5"/>
    <n v="12048434"/>
    <x v="0"/>
    <x v="0"/>
    <x v="0"/>
    <d v="2022-03-04T00:00:00"/>
    <x v="196"/>
    <x v="0"/>
    <x v="3"/>
    <x v="2"/>
    <s v="no mismatch"/>
    <s v="no mismatch"/>
  </r>
  <r>
    <x v="4"/>
    <x v="0"/>
    <x v="0"/>
    <x v="1"/>
    <s v="LM865598100"/>
    <m/>
    <s v="有驳船"/>
    <n v="0"/>
    <x v="198"/>
    <n v="110773"/>
    <x v="48"/>
    <x v="85"/>
    <x v="14"/>
    <x v="5"/>
    <n v="9788970"/>
    <x v="0"/>
    <x v="0"/>
    <x v="0"/>
    <d v="2022-03-04T00:00:00"/>
    <x v="196"/>
    <x v="0"/>
    <x v="3"/>
    <x v="2"/>
    <s v="no mismatch"/>
    <s v="no mismatch"/>
  </r>
  <r>
    <x v="4"/>
    <x v="0"/>
    <x v="0"/>
    <x v="1"/>
    <s v="DC TST120453"/>
    <m/>
    <s v="有驳船"/>
    <n v="12630.3"/>
    <x v="199"/>
    <n v="110775"/>
    <x v="48"/>
    <x v="85"/>
    <x v="14"/>
    <x v="4"/>
    <n v="28618110"/>
    <x v="0"/>
    <x v="0"/>
    <x v="0"/>
    <d v="2022-03-11T00:00:00"/>
    <x v="197"/>
    <x v="0"/>
    <x v="3"/>
    <x v="2"/>
    <s v="no mismatch"/>
    <s v="no mismatch"/>
  </r>
  <r>
    <x v="4"/>
    <x v="0"/>
    <x v="0"/>
    <x v="1"/>
    <s v="DC TST120454"/>
    <m/>
    <s v="有驳船"/>
    <n v="0"/>
    <x v="200"/>
    <n v="110774"/>
    <x v="48"/>
    <x v="85"/>
    <x v="14"/>
    <x v="5"/>
    <n v="11137770"/>
    <x v="0"/>
    <x v="0"/>
    <x v="0"/>
    <d v="2022-03-11T00:00:00"/>
    <x v="197"/>
    <x v="0"/>
    <x v="3"/>
    <x v="2"/>
    <s v="no mismatch"/>
    <s v="no mismatch"/>
  </r>
  <r>
    <x v="4"/>
    <x v="0"/>
    <x v="0"/>
    <x v="1"/>
    <s v="315012069851-M"/>
    <m/>
    <s v="有驳船"/>
    <n v="0"/>
    <x v="201"/>
    <n v="110249"/>
    <x v="48"/>
    <x v="85"/>
    <x v="14"/>
    <x v="5"/>
    <n v="9428970"/>
    <x v="0"/>
    <x v="0"/>
    <x v="0"/>
    <d v="2022-03-11T00:00:00"/>
    <x v="197"/>
    <x v="0"/>
    <x v="3"/>
    <x v="2"/>
    <s v="no mismatch"/>
    <s v="no mismatch"/>
  </r>
  <r>
    <x v="4"/>
    <x v="4"/>
    <x v="0"/>
    <x v="2"/>
    <s v="315012069860-M"/>
    <m/>
    <s v="有驳船"/>
    <n v="16578.7"/>
    <x v="202"/>
    <n v="110755"/>
    <x v="77"/>
    <x v="157"/>
    <x v="2"/>
    <x v="5"/>
    <n v="6184445"/>
    <x v="0"/>
    <x v="0"/>
    <x v="0"/>
    <d v="2022-03-11T00:00:00"/>
    <x v="197"/>
    <x v="0"/>
    <x v="3"/>
    <x v="2"/>
    <s v="no mismatch"/>
    <s v="no mismatch"/>
  </r>
  <r>
    <x v="4"/>
    <x v="4"/>
    <x v="0"/>
    <x v="2"/>
    <s v="315012070545-M"/>
    <m/>
    <s v="有驳船"/>
    <n v="0"/>
    <x v="203"/>
    <n v="110756"/>
    <x v="77"/>
    <x v="158"/>
    <x v="2"/>
    <x v="2"/>
    <n v="14809690"/>
    <x v="0"/>
    <x v="0"/>
    <x v="0"/>
    <d v="2022-03-18T00:00:00"/>
    <x v="198"/>
    <x v="0"/>
    <x v="3"/>
    <x v="2"/>
    <s v="no mismatch"/>
    <s v="no mismatch"/>
  </r>
  <r>
    <x v="4"/>
    <x v="4"/>
    <x v="0"/>
    <x v="2"/>
    <s v="315012070732-M"/>
    <m/>
    <s v="有驳船"/>
    <n v="0"/>
    <x v="204"/>
    <n v="110770"/>
    <x v="77"/>
    <x v="108"/>
    <x v="14"/>
    <x v="5"/>
    <n v="9684434"/>
    <x v="0"/>
    <x v="0"/>
    <x v="0"/>
    <d v="2022-03-18T00:00:00"/>
    <x v="198"/>
    <x v="0"/>
    <x v="3"/>
    <x v="2"/>
    <n v="5.3600000000000002E-2"/>
    <n v="6.6000000000000003E-2"/>
  </r>
  <r>
    <x v="4"/>
    <x v="4"/>
    <x v="0"/>
    <x v="2"/>
    <s v="LM865828100"/>
    <m/>
    <s v="有驳船"/>
    <n v="0"/>
    <x v="205"/>
    <n v="110769"/>
    <x v="77"/>
    <x v="159"/>
    <x v="14"/>
    <x v="5"/>
    <n v="10284434"/>
    <x v="0"/>
    <x v="0"/>
    <x v="0"/>
    <d v="2022-03-18T00:00:00"/>
    <x v="198"/>
    <x v="0"/>
    <x v="3"/>
    <x v="2"/>
    <n v="5.3600000000000002E-2"/>
    <n v="6.6000000000000003E-2"/>
  </r>
  <r>
    <x v="4"/>
    <x v="4"/>
    <x v="0"/>
    <x v="2"/>
    <s v="LM865628100"/>
    <m/>
    <s v="有驳船"/>
    <n v="15958.7"/>
    <x v="206"/>
    <n v="110766"/>
    <x v="77"/>
    <x v="160"/>
    <x v="14"/>
    <x v="2"/>
    <n v="24137668"/>
    <x v="0"/>
    <x v="0"/>
    <x v="0"/>
    <d v="2022-03-23T00:00:00"/>
    <x v="199"/>
    <x v="0"/>
    <x v="3"/>
    <x v="2"/>
    <n v="5.3600000000000002E-2"/>
    <n v="6.6000000000000003E-2"/>
  </r>
  <r>
    <x v="4"/>
    <x v="4"/>
    <x v="0"/>
    <x v="2"/>
    <s v="315012069922-M"/>
    <m/>
    <s v="有驳船"/>
    <n v="0"/>
    <x v="207"/>
    <n v="110768"/>
    <x v="77"/>
    <x v="109"/>
    <x v="14"/>
    <x v="5"/>
    <n v="10284434"/>
    <x v="0"/>
    <x v="0"/>
    <x v="0"/>
    <d v="2022-03-23T00:00:00"/>
    <x v="199"/>
    <x v="0"/>
    <x v="3"/>
    <x v="2"/>
    <n v="5.3600000000000002E-2"/>
    <n v="6.6000000000000003E-2"/>
  </r>
  <r>
    <x v="4"/>
    <x v="4"/>
    <x v="0"/>
    <x v="2"/>
    <s v="315012069913-M"/>
    <m/>
    <s v="有驳船"/>
    <n v="0"/>
    <x v="208"/>
    <n v="110767"/>
    <x v="77"/>
    <x v="147"/>
    <x v="14"/>
    <x v="2"/>
    <n v="20568868"/>
    <x v="0"/>
    <x v="0"/>
    <x v="0"/>
    <d v="2022-03-23T00:00:00"/>
    <x v="199"/>
    <x v="0"/>
    <x v="3"/>
    <x v="2"/>
    <n v="5.3600000000000002E-2"/>
    <n v="6.6000000000000003E-2"/>
  </r>
  <r>
    <x v="4"/>
    <x v="4"/>
    <x v="0"/>
    <x v="2"/>
    <s v="315012070000-M"/>
    <m/>
    <s v="有驳船"/>
    <n v="16310.95"/>
    <x v="209"/>
    <n v="110758"/>
    <x v="77"/>
    <x v="146"/>
    <x v="2"/>
    <x v="5"/>
    <n v="6184445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69995-M"/>
    <m/>
    <s v="有驳船"/>
    <n v="0"/>
    <x v="210"/>
    <n v="110760"/>
    <x v="77"/>
    <x v="161"/>
    <x v="2"/>
    <x v="5"/>
    <n v="5784445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70135-M"/>
    <m/>
    <s v="有驳船"/>
    <n v="0"/>
    <x v="211"/>
    <n v="110762"/>
    <x v="77"/>
    <x v="162"/>
    <x v="2"/>
    <x v="5"/>
    <n v="6184445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70019-M"/>
    <m/>
    <s v="有驳船"/>
    <n v="0"/>
    <x v="212"/>
    <n v="110813"/>
    <x v="78"/>
    <x v="163"/>
    <x v="2"/>
    <x v="2"/>
    <n v="18182340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70117-M"/>
    <m/>
    <s v="有驳船"/>
    <n v="8892.35"/>
    <x v="213"/>
    <n v="110757"/>
    <x v="77"/>
    <x v="163"/>
    <x v="2"/>
    <x v="2"/>
    <n v="14215290"/>
    <x v="0"/>
    <x v="0"/>
    <x v="0"/>
    <d v="2022-04-01T00:00:00"/>
    <x v="201"/>
    <x v="0"/>
    <x v="3"/>
    <x v="2"/>
    <n v="5.3800000000000001E-2"/>
    <n v="6.6100000000000006E-2"/>
  </r>
  <r>
    <x v="4"/>
    <x v="4"/>
    <x v="0"/>
    <x v="2"/>
    <s v="315012070732-M"/>
    <m/>
    <s v="有驳船"/>
    <n v="12630.3"/>
    <x v="214"/>
    <n v="110759"/>
    <x v="77"/>
    <x v="164"/>
    <x v="2"/>
    <x v="5"/>
    <n v="6184445"/>
    <x v="0"/>
    <x v="0"/>
    <x v="0"/>
    <d v="2022-04-01T00:00:00"/>
    <x v="201"/>
    <x v="0"/>
    <x v="3"/>
    <x v="2"/>
    <n v="5.3800000000000001E-2"/>
    <n v="6.6100000000000006E-2"/>
  </r>
  <r>
    <x v="4"/>
    <x v="4"/>
    <x v="0"/>
    <x v="2"/>
    <s v="315012070108-M"/>
    <m/>
    <s v="有驳船"/>
    <n v="0"/>
    <x v="215"/>
    <n v="110761"/>
    <x v="77"/>
    <x v="165"/>
    <x v="2"/>
    <x v="5"/>
    <n v="5784445"/>
    <x v="0"/>
    <x v="0"/>
    <x v="0"/>
    <d v="2022-04-01T00:00:00"/>
    <x v="201"/>
    <x v="0"/>
    <x v="3"/>
    <x v="2"/>
    <n v="5.3800000000000001E-2"/>
    <n v="6.6100000000000006E-2"/>
  </r>
  <r>
    <x v="4"/>
    <x v="4"/>
    <x v="0"/>
    <x v="2"/>
    <s v="LC copy ASAP SCB"/>
    <m/>
    <s v="有驳船"/>
    <n v="0"/>
    <x v="216"/>
    <n v="110763"/>
    <x v="77"/>
    <x v="147"/>
    <x v="2"/>
    <x v="4"/>
    <n v="23533635"/>
    <x v="0"/>
    <x v="0"/>
    <x v="0"/>
    <d v="2022-04-01T00:00:00"/>
    <x v="201"/>
    <x v="0"/>
    <x v="3"/>
    <x v="2"/>
    <n v="5.3800000000000001E-2"/>
    <n v="6.6100000000000006E-2"/>
  </r>
  <r>
    <x v="4"/>
    <x v="0"/>
    <x v="1"/>
    <x v="2"/>
    <s v="LM866038100"/>
    <m/>
    <s v="有驳船"/>
    <n v="28533.1"/>
    <x v="217"/>
    <n v="110803"/>
    <x v="79"/>
    <x v="166"/>
    <x v="11"/>
    <x v="6"/>
    <n v="82439520"/>
    <x v="0"/>
    <x v="0"/>
    <x v="0"/>
    <d v="2022-03-31T00:00:00"/>
    <x v="202"/>
    <x v="0"/>
    <x v="3"/>
    <x v="2"/>
    <s v="No mismatch"/>
    <s v="no mismatch"/>
  </r>
  <r>
    <x v="4"/>
    <x v="1"/>
    <x v="0"/>
    <x v="2"/>
    <s v="315012070894-M"/>
    <m/>
    <m/>
    <n v="9712.15"/>
    <x v="218"/>
    <n v="110791"/>
    <x v="80"/>
    <x v="167"/>
    <x v="15"/>
    <x v="5"/>
    <n v="8641981"/>
    <x v="0"/>
    <x v="0"/>
    <x v="0"/>
    <d v="2022-04-08T00:00:00"/>
    <x v="203"/>
    <x v="0"/>
    <x v="3"/>
    <x v="2"/>
    <s v="No mismatch"/>
    <s v="no mismatch"/>
  </r>
  <r>
    <x v="4"/>
    <x v="0"/>
    <x v="0"/>
    <x v="1"/>
    <s v="315012070796-M"/>
    <m/>
    <s v="有驳船"/>
    <n v="15958.7"/>
    <x v="219"/>
    <n v="110812"/>
    <x v="48"/>
    <x v="85"/>
    <x v="2"/>
    <x v="4"/>
    <n v="16521795"/>
    <x v="0"/>
    <x v="0"/>
    <x v="0"/>
    <d v="2022-04-01T00:00:00"/>
    <x v="201"/>
    <x v="0"/>
    <x v="3"/>
    <x v="2"/>
    <s v="No mismatch"/>
    <s v="no mismatch"/>
  </r>
  <r>
    <x v="4"/>
    <x v="4"/>
    <x v="0"/>
    <x v="2"/>
    <s v="JPY ESHL单"/>
    <m/>
    <m/>
    <n v="16814.7"/>
    <x v="220"/>
    <n v="110808"/>
    <x v="81"/>
    <x v="88"/>
    <x v="2"/>
    <x v="3"/>
    <n v="41364930"/>
    <x v="0"/>
    <x v="0"/>
    <x v="0"/>
    <d v="2022-04-03T00:00:00"/>
    <x v="201"/>
    <x v="1"/>
    <x v="3"/>
    <x v="2"/>
    <n v="5.5500000000000001E-2"/>
    <n v="6.7900000000000002E-2"/>
  </r>
  <r>
    <x v="4"/>
    <x v="4"/>
    <x v="0"/>
    <x v="2"/>
    <s v="315012070778-M"/>
    <m/>
    <s v="有驳船"/>
    <n v="0"/>
    <x v="221"/>
    <n v="110765"/>
    <x v="77"/>
    <x v="168"/>
    <x v="2"/>
    <x v="5"/>
    <n v="6184445"/>
    <x v="0"/>
    <x v="0"/>
    <x v="0"/>
    <d v="2022-04-01T00:00:00"/>
    <x v="201"/>
    <x v="0"/>
    <x v="3"/>
    <x v="2"/>
    <s v="No mismatch"/>
    <s v="no mismatch"/>
  </r>
  <r>
    <x v="4"/>
    <x v="4"/>
    <x v="0"/>
    <x v="2"/>
    <s v="315012070787-M"/>
    <m/>
    <s v="有驳船"/>
    <n v="0"/>
    <x v="222"/>
    <n v="110764"/>
    <x v="77"/>
    <x v="145"/>
    <x v="2"/>
    <x v="5"/>
    <n v="6933095"/>
    <x v="0"/>
    <x v="0"/>
    <x v="0"/>
    <d v="2022-04-01T00:00:00"/>
    <x v="201"/>
    <x v="0"/>
    <x v="3"/>
    <x v="2"/>
    <s v="No mismatch"/>
    <s v="no mismatch"/>
  </r>
  <r>
    <x v="4"/>
    <x v="0"/>
    <x v="0"/>
    <x v="2"/>
    <s v="315012071410-M"/>
    <m/>
    <s v="有驳船"/>
    <n v="0"/>
    <x v="223"/>
    <n v="110824"/>
    <x v="56"/>
    <x v="119"/>
    <x v="2"/>
    <x v="5"/>
    <n v="6849315"/>
    <x v="0"/>
    <x v="0"/>
    <x v="0"/>
    <d v="2022-04-01T00:00:00"/>
    <x v="201"/>
    <x v="0"/>
    <x v="3"/>
    <x v="2"/>
    <s v="No mismatch"/>
    <s v="no mismatch"/>
  </r>
  <r>
    <x v="4"/>
    <x v="4"/>
    <x v="0"/>
    <x v="2"/>
    <s v="LM866168100 "/>
    <m/>
    <s v="有驳船"/>
    <n v="15816.55"/>
    <x v="224"/>
    <n v="110829"/>
    <x v="82"/>
    <x v="162"/>
    <x v="2"/>
    <x v="5"/>
    <n v="15833695"/>
    <x v="0"/>
    <x v="0"/>
    <x v="0"/>
    <d v="2022-04-09T00:00:00"/>
    <x v="203"/>
    <x v="0"/>
    <x v="3"/>
    <x v="2"/>
    <n v="5.45E-2"/>
    <n v="6.7100000000000007E-2"/>
  </r>
  <r>
    <x v="4"/>
    <x v="6"/>
    <x v="0"/>
    <x v="2"/>
    <s v="LM966178100"/>
    <m/>
    <s v="有驳船"/>
    <n v="0"/>
    <x v="225"/>
    <n v="110825"/>
    <x v="82"/>
    <x v="131"/>
    <x v="2"/>
    <x v="2"/>
    <n v="23290790"/>
    <x v="0"/>
    <x v="0"/>
    <x v="0"/>
    <d v="2022-04-09T00:00:00"/>
    <x v="203"/>
    <x v="0"/>
    <x v="3"/>
    <x v="2"/>
    <n v="5.1200000000000002E-2"/>
    <n v="6.2799999999999995E-2"/>
  </r>
  <r>
    <x v="4"/>
    <x v="4"/>
    <x v="0"/>
    <x v="2"/>
    <s v="LM866218100"/>
    <m/>
    <s v="有驳船"/>
    <n v="0"/>
    <x v="226"/>
    <n v="110831"/>
    <x v="82"/>
    <x v="169"/>
    <x v="2"/>
    <x v="5"/>
    <n v="13929445"/>
    <x v="0"/>
    <x v="0"/>
    <x v="0"/>
    <d v="2022-04-09T00:00:00"/>
    <x v="203"/>
    <x v="0"/>
    <x v="3"/>
    <x v="2"/>
    <n v="5.45E-2"/>
    <n v="6.7100000000000007E-2"/>
  </r>
  <r>
    <x v="4"/>
    <x v="0"/>
    <x v="0"/>
    <x v="1"/>
    <s v="315012071508-M"/>
    <m/>
    <s v="有驳船"/>
    <n v="15196.55"/>
    <x v="227"/>
    <n v="110823"/>
    <x v="48"/>
    <x v="85"/>
    <x v="14"/>
    <x v="4"/>
    <n v="28286910"/>
    <x v="0"/>
    <x v="0"/>
    <x v="0"/>
    <d v="2022-04-09T00:00:00"/>
    <x v="203"/>
    <x v="0"/>
    <x v="3"/>
    <x v="2"/>
    <s v="no mismatch"/>
    <s v="no mismatch"/>
  </r>
  <r>
    <x v="4"/>
    <x v="4"/>
    <x v="0"/>
    <x v="2"/>
    <s v="315012071517-M"/>
    <m/>
    <s v="有驳船"/>
    <n v="0"/>
    <x v="228"/>
    <n v="110830"/>
    <x v="82"/>
    <x v="142"/>
    <x v="2"/>
    <x v="2"/>
    <n v="21351990"/>
    <x v="0"/>
    <x v="0"/>
    <x v="0"/>
    <d v="2022-04-09T00:00:00"/>
    <x v="203"/>
    <x v="0"/>
    <x v="3"/>
    <x v="2"/>
    <s v="no mismatch"/>
    <s v="no mismatch"/>
  </r>
  <r>
    <x v="4"/>
    <x v="4"/>
    <x v="0"/>
    <x v="2"/>
    <s v="315012071278-M"/>
    <m/>
    <m/>
    <n v="24640.95"/>
    <x v="229"/>
    <n v="110826"/>
    <x v="82"/>
    <x v="170"/>
    <x v="2"/>
    <x v="5"/>
    <n v="15741195"/>
    <x v="0"/>
    <x v="0"/>
    <x v="0"/>
    <d v="2022-04-13T00:00:00"/>
    <x v="204"/>
    <x v="0"/>
    <x v="3"/>
    <x v="2"/>
    <s v="no mismatch"/>
    <s v="no mismatch"/>
  </r>
  <r>
    <x v="4"/>
    <x v="4"/>
    <x v="0"/>
    <x v="2"/>
    <s v="315012071287-M"/>
    <m/>
    <m/>
    <n v="0"/>
    <x v="230"/>
    <n v="110827"/>
    <x v="82"/>
    <x v="171"/>
    <x v="2"/>
    <x v="5"/>
    <n v="15357645"/>
    <x v="0"/>
    <x v="0"/>
    <x v="0"/>
    <d v="2022-04-13T00:00:00"/>
    <x v="204"/>
    <x v="0"/>
    <x v="3"/>
    <x v="2"/>
    <n v="5.5100000000000003E-2"/>
    <n v="6.7799999999999999E-2"/>
  </r>
  <r>
    <x v="4"/>
    <x v="4"/>
    <x v="0"/>
    <x v="2"/>
    <s v="315012071296-M"/>
    <m/>
    <m/>
    <n v="0"/>
    <x v="231"/>
    <n v="110828"/>
    <x v="82"/>
    <x v="154"/>
    <x v="2"/>
    <x v="5"/>
    <n v="15514995"/>
    <x v="0"/>
    <x v="0"/>
    <x v="0"/>
    <d v="2022-04-13T00:00:00"/>
    <x v="204"/>
    <x v="0"/>
    <x v="3"/>
    <x v="2"/>
    <s v="no mismatch"/>
    <s v="no mismatch"/>
  </r>
  <r>
    <x v="4"/>
    <x v="4"/>
    <x v="0"/>
    <x v="2"/>
    <s v="315012071269-M"/>
    <m/>
    <m/>
    <n v="0"/>
    <x v="232"/>
    <n v="110832"/>
    <x v="82"/>
    <x v="147"/>
    <x v="2"/>
    <x v="2"/>
    <n v="20018590"/>
    <x v="0"/>
    <x v="0"/>
    <x v="0"/>
    <d v="2022-04-13T00:00:00"/>
    <x v="204"/>
    <x v="0"/>
    <x v="3"/>
    <x v="2"/>
    <s v="no mismatch"/>
    <s v="no mismatch"/>
  </r>
  <r>
    <x v="4"/>
    <x v="4"/>
    <x v="0"/>
    <x v="2"/>
    <s v="315012071553-M"/>
    <m/>
    <s v="有驳船"/>
    <n v="15816.55"/>
    <x v="233"/>
    <n v="110838"/>
    <x v="82"/>
    <x v="172"/>
    <x v="14"/>
    <x v="2"/>
    <n v="27724868"/>
    <x v="0"/>
    <x v="0"/>
    <x v="0"/>
    <d v="2022-04-27T00:00:00"/>
    <x v="205"/>
    <x v="0"/>
    <x v="3"/>
    <x v="2"/>
    <s v="no mismatch"/>
    <s v="no mismatch"/>
  </r>
  <r>
    <x v="4"/>
    <x v="4"/>
    <x v="0"/>
    <x v="2"/>
    <s v="315012071839-M"/>
    <m/>
    <m/>
    <n v="15816.55"/>
    <x v="234"/>
    <n v="110833"/>
    <x v="82"/>
    <x v="173"/>
    <x v="14"/>
    <x v="5"/>
    <n v="20156514"/>
    <x v="0"/>
    <x v="0"/>
    <x v="0"/>
    <d v="2022-04-27T00:00:00"/>
    <x v="205"/>
    <x v="0"/>
    <x v="3"/>
    <x v="2"/>
    <s v="no mismatch"/>
    <s v="no mismatch"/>
  </r>
  <r>
    <x v="4"/>
    <x v="4"/>
    <x v="0"/>
    <x v="2"/>
    <s v="315012071820-M"/>
    <m/>
    <s v="有驳船"/>
    <n v="0"/>
    <x v="235"/>
    <n v="110834"/>
    <x v="82"/>
    <x v="174"/>
    <x v="14"/>
    <x v="5"/>
    <n v="17834274"/>
    <x v="0"/>
    <x v="0"/>
    <x v="0"/>
    <d v="2022-04-27T00:00:00"/>
    <x v="205"/>
    <x v="0"/>
    <x v="3"/>
    <x v="2"/>
    <s v="no mismatch"/>
    <s v="no mismatch"/>
  </r>
  <r>
    <x v="4"/>
    <x v="4"/>
    <x v="0"/>
    <x v="2"/>
    <s v="LM866548100"/>
    <m/>
    <m/>
    <n v="0"/>
    <x v="236"/>
    <n v="110835"/>
    <x v="82"/>
    <x v="175"/>
    <x v="14"/>
    <x v="5"/>
    <n v="13862434"/>
    <x v="0"/>
    <x v="0"/>
    <x v="0"/>
    <d v="2022-04-27T00:00:00"/>
    <x v="205"/>
    <x v="0"/>
    <x v="3"/>
    <x v="2"/>
    <s v="no mismatch"/>
    <s v="no mismatch"/>
  </r>
  <r>
    <x v="4"/>
    <x v="4"/>
    <x v="0"/>
    <x v="2"/>
    <s v="LM866568100"/>
    <m/>
    <s v="有驳船"/>
    <n v="0"/>
    <x v="237"/>
    <n v="110836"/>
    <x v="82"/>
    <x v="176"/>
    <x v="14"/>
    <x v="5"/>
    <n v="12067074"/>
    <x v="0"/>
    <x v="0"/>
    <x v="0"/>
    <d v="2022-04-27T00:00:00"/>
    <x v="205"/>
    <x v="0"/>
    <x v="3"/>
    <x v="2"/>
    <s v="no mismatch"/>
    <s v="no mismatch"/>
  </r>
  <r>
    <x v="4"/>
    <x v="4"/>
    <x v="0"/>
    <x v="2"/>
    <s v="LM866588100"/>
    <m/>
    <m/>
    <n v="0"/>
    <x v="238"/>
    <n v="110837"/>
    <x v="82"/>
    <x v="130"/>
    <x v="14"/>
    <x v="5"/>
    <n v="12067074"/>
    <x v="0"/>
    <x v="0"/>
    <x v="0"/>
    <d v="2022-04-27T00:00:00"/>
    <x v="205"/>
    <x v="0"/>
    <x v="3"/>
    <x v="2"/>
    <s v="no mismatch"/>
    <s v="no mismatch"/>
  </r>
  <r>
    <x v="4"/>
    <x v="4"/>
    <x v="0"/>
    <x v="2"/>
    <s v="LC copy ASAP ANZ"/>
    <m/>
    <s v="有驳船"/>
    <n v="28265.35"/>
    <x v="239"/>
    <n v="110810"/>
    <x v="81"/>
    <x v="88"/>
    <x v="2"/>
    <x v="6"/>
    <n v="55256220"/>
    <x v="0"/>
    <x v="0"/>
    <x v="0"/>
    <d v="2022-04-27T00:00:00"/>
    <x v="205"/>
    <x v="0"/>
    <x v="3"/>
    <x v="2"/>
    <n v="5.0200000000000002E-2"/>
    <n v="6.1199999999999997E-2"/>
  </r>
  <r>
    <x v="4"/>
    <x v="4"/>
    <x v="0"/>
    <x v="2"/>
    <s v="LC copy ASAP ANZ"/>
    <m/>
    <s v="有驳船"/>
    <n v="0"/>
    <x v="239"/>
    <n v="110913"/>
    <x v="81"/>
    <x v="88"/>
    <x v="2"/>
    <x v="0"/>
    <n v="27932380"/>
    <x v="0"/>
    <x v="0"/>
    <x v="0"/>
    <d v="2022-04-27T00:00:00"/>
    <x v="205"/>
    <x v="0"/>
    <x v="3"/>
    <x v="2"/>
    <s v="no mismatch"/>
    <s v="no mismatch"/>
  </r>
  <r>
    <x v="4"/>
    <x v="0"/>
    <x v="0"/>
    <x v="1"/>
    <s v="LC copy ASAP SCB"/>
    <m/>
    <m/>
    <n v="9092.15"/>
    <x v="240"/>
    <n v="110436"/>
    <x v="48"/>
    <x v="85"/>
    <x v="2"/>
    <x v="5"/>
    <n v="12450765"/>
    <x v="0"/>
    <x v="0"/>
    <x v="0"/>
    <d v="2022-04-29T00:00:00"/>
    <x v="206"/>
    <x v="0"/>
    <x v="3"/>
    <x v="2"/>
    <n v="5.0200000000000002E-2"/>
    <n v="6.1199999999999997E-2"/>
  </r>
  <r>
    <x v="4"/>
    <x v="0"/>
    <x v="0"/>
    <x v="1"/>
    <s v="315012072482-M"/>
    <m/>
    <s v="有驳船"/>
    <n v="15464.3"/>
    <x v="241"/>
    <n v="110429"/>
    <x v="48"/>
    <x v="85"/>
    <x v="2"/>
    <x v="4"/>
    <n v="16184295"/>
    <x v="0"/>
    <x v="0"/>
    <x v="0"/>
    <d v="2022-05-06T00:00:00"/>
    <x v="207"/>
    <x v="0"/>
    <x v="3"/>
    <x v="2"/>
    <n v="6.0600000000000001E-2"/>
    <n v="7.1499999999999994E-2"/>
  </r>
  <r>
    <x v="4"/>
    <x v="4"/>
    <x v="0"/>
    <x v="2"/>
    <s v="315012072491-M"/>
    <m/>
    <s v="有驳船"/>
    <n v="0"/>
    <x v="242"/>
    <n v="110870"/>
    <x v="83"/>
    <x v="177"/>
    <x v="2"/>
    <x v="2"/>
    <n v="20207990"/>
    <x v="0"/>
    <x v="0"/>
    <x v="0"/>
    <d v="2022-05-13T00:00:00"/>
    <x v="208"/>
    <x v="0"/>
    <x v="3"/>
    <x v="2"/>
    <n v="5.21E-2"/>
    <n v="6.0400000000000002E-2"/>
  </r>
  <r>
    <x v="4"/>
    <x v="4"/>
    <x v="0"/>
    <x v="2"/>
    <s v="315012072473-M"/>
    <m/>
    <m/>
    <n v="14844.3"/>
    <x v="243"/>
    <n v="110874"/>
    <x v="83"/>
    <x v="178"/>
    <x v="2"/>
    <x v="5"/>
    <n v="10066645"/>
    <x v="0"/>
    <x v="0"/>
    <x v="0"/>
    <d v="2022-05-06T00:00:00"/>
    <x v="207"/>
    <x v="0"/>
    <x v="3"/>
    <x v="2"/>
    <s v="no mismatch"/>
    <s v="no mismatch"/>
  </r>
  <r>
    <x v="4"/>
    <x v="4"/>
    <x v="0"/>
    <x v="2"/>
    <s v="LM867048100"/>
    <m/>
    <m/>
    <n v="0"/>
    <x v="244"/>
    <n v="110873"/>
    <x v="83"/>
    <x v="179"/>
    <x v="2"/>
    <x v="4"/>
    <n v="32856885"/>
    <x v="0"/>
    <x v="0"/>
    <x v="0"/>
    <d v="2022-05-06T00:00:00"/>
    <x v="207"/>
    <x v="0"/>
    <x v="3"/>
    <x v="2"/>
    <s v="no mismatch"/>
    <s v="no mismatch"/>
  </r>
  <r>
    <x v="4"/>
    <x v="0"/>
    <x v="0"/>
    <x v="1"/>
    <s v="LM867038100"/>
    <m/>
    <s v="有驳船"/>
    <n v="14844.3"/>
    <x v="245"/>
    <n v="110882"/>
    <x v="48"/>
    <x v="85"/>
    <x v="14"/>
    <x v="4"/>
    <n v="28646910"/>
    <x v="0"/>
    <x v="0"/>
    <x v="0"/>
    <d v="2022-05-06T00:00:00"/>
    <x v="207"/>
    <x v="0"/>
    <x v="3"/>
    <x v="2"/>
    <s v="no mismatch "/>
    <s v="no mismatch "/>
  </r>
  <r>
    <x v="4"/>
    <x v="4"/>
    <x v="0"/>
    <x v="2"/>
    <s v="315012073427-M"/>
    <m/>
    <s v="有驳船"/>
    <n v="23931.7"/>
    <x v="246"/>
    <n v="110869"/>
    <x v="83"/>
    <x v="180"/>
    <x v="14"/>
    <x v="5"/>
    <n v="20233112"/>
    <x v="0"/>
    <x v="0"/>
    <x v="0"/>
    <d v="2022-05-20T00:00:00"/>
    <x v="209"/>
    <x v="0"/>
    <x v="3"/>
    <x v="2"/>
    <s v="no mismatch"/>
    <s v="no mismatch"/>
  </r>
  <r>
    <x v="4"/>
    <x v="5"/>
    <x v="0"/>
    <x v="2"/>
    <s v="315012073310-M"/>
    <m/>
    <s v="有驳船"/>
    <n v="15775.06"/>
    <x v="247"/>
    <n v="110863"/>
    <x v="83"/>
    <x v="128"/>
    <x v="14"/>
    <x v="5"/>
    <n v="17066994"/>
    <x v="0"/>
    <x v="0"/>
    <x v="0"/>
    <d v="2022-05-20T00:00:00"/>
    <x v="209"/>
    <x v="0"/>
    <x v="3"/>
    <x v="2"/>
    <n v="5.1299999999999998E-2"/>
    <n v="6.1899999999999997E-2"/>
  </r>
  <r>
    <x v="4"/>
    <x v="4"/>
    <x v="0"/>
    <x v="2"/>
    <s v="315012073409-M"/>
    <m/>
    <s v="有驳船"/>
    <n v="0"/>
    <x v="248"/>
    <n v="110866"/>
    <x v="83"/>
    <x v="181"/>
    <x v="14"/>
    <x v="2"/>
    <n v="32891368"/>
    <x v="0"/>
    <x v="0"/>
    <x v="0"/>
    <d v="2022-05-20T00:00:00"/>
    <x v="209"/>
    <x v="0"/>
    <x v="3"/>
    <x v="2"/>
    <s v="no mismatch"/>
    <s v="no mismatch"/>
  </r>
  <r>
    <x v="4"/>
    <x v="4"/>
    <x v="0"/>
    <x v="2"/>
    <s v="LM867228100"/>
    <m/>
    <m/>
    <n v="14487.3"/>
    <x v="249"/>
    <n v="110867"/>
    <x v="83"/>
    <x v="179"/>
    <x v="14"/>
    <x v="4"/>
    <n v="52656537"/>
    <x v="0"/>
    <x v="0"/>
    <x v="0"/>
    <d v="2022-05-23T00:00:00"/>
    <x v="210"/>
    <x v="0"/>
    <x v="3"/>
    <x v="2"/>
    <n v="5.21E-2"/>
    <n v="6.0400000000000002E-2"/>
  </r>
  <r>
    <x v="4"/>
    <x v="4"/>
    <x v="0"/>
    <x v="2"/>
    <s v="LM867228100"/>
    <m/>
    <s v="有驳船"/>
    <n v="15107.3"/>
    <x v="250"/>
    <n v="110883"/>
    <x v="84"/>
    <x v="182"/>
    <x v="2"/>
    <x v="4"/>
    <n v="25442535"/>
    <x v="0"/>
    <x v="0"/>
    <x v="0"/>
    <d v="2022-05-20T00:00:00"/>
    <x v="209"/>
    <x v="0"/>
    <x v="3"/>
    <x v="2"/>
    <s v="no mismatch"/>
    <s v="no mismatch"/>
  </r>
  <r>
    <x v="4"/>
    <x v="4"/>
    <x v="0"/>
    <x v="2"/>
    <s v="315012073418-M"/>
    <m/>
    <s v="有驳船"/>
    <n v="0"/>
    <x v="251"/>
    <n v="110864"/>
    <x v="83"/>
    <x v="183"/>
    <x v="14"/>
    <x v="5"/>
    <n v="15357634"/>
    <x v="0"/>
    <x v="0"/>
    <x v="0"/>
    <d v="2022-05-20T00:00:00"/>
    <x v="209"/>
    <x v="0"/>
    <x v="3"/>
    <x v="2"/>
    <s v="no mismatch"/>
    <s v="no mismatch"/>
  </r>
  <r>
    <x v="4"/>
    <x v="4"/>
    <x v="0"/>
    <x v="2"/>
    <s v="315012073203-M"/>
    <m/>
    <s v="有驳船"/>
    <n v="0"/>
    <x v="252"/>
    <n v="110872"/>
    <x v="83"/>
    <x v="184"/>
    <x v="2"/>
    <x v="2"/>
    <n v="20207990"/>
    <x v="0"/>
    <x v="0"/>
    <x v="0"/>
    <d v="2022-05-20T00:00:00"/>
    <x v="209"/>
    <x v="0"/>
    <x v="3"/>
    <x v="2"/>
    <s v="no mismatch"/>
    <s v="no mismatch"/>
  </r>
  <r>
    <x v="4"/>
    <x v="4"/>
    <x v="0"/>
    <x v="2"/>
    <s v="315012073301-M"/>
    <m/>
    <s v="有驳船"/>
    <n v="0"/>
    <x v="253"/>
    <n v="110865"/>
    <x v="83"/>
    <x v="178"/>
    <x v="14"/>
    <x v="5"/>
    <n v="16194434"/>
    <x v="0"/>
    <x v="0"/>
    <x v="0"/>
    <d v="2022-05-25T00:00:00"/>
    <x v="211"/>
    <x v="0"/>
    <x v="3"/>
    <x v="2"/>
    <s v="no mismatch"/>
    <s v="no mismatch"/>
  </r>
  <r>
    <x v="4"/>
    <x v="4"/>
    <x v="0"/>
    <x v="2"/>
    <s v="315012073347-M"/>
    <m/>
    <s v="有驳船"/>
    <n v="0"/>
    <x v="254"/>
    <n v="110868"/>
    <x v="83"/>
    <x v="185"/>
    <x v="14"/>
    <x v="5"/>
    <n v="15591934"/>
    <x v="0"/>
    <x v="0"/>
    <x v="0"/>
    <d v="2022-05-25T00:00:00"/>
    <x v="211"/>
    <x v="0"/>
    <x v="3"/>
    <x v="2"/>
    <s v="no mismatch"/>
    <s v="no mismatch"/>
  </r>
  <r>
    <x v="4"/>
    <x v="3"/>
    <x v="0"/>
    <x v="2"/>
    <s v="CNY单"/>
    <s v="CNY单"/>
    <s v="CNY单"/>
    <n v="0"/>
    <x v="255"/>
    <s v="49F104103"/>
    <x v="70"/>
    <x v="186"/>
    <x v="2"/>
    <x v="5"/>
    <n v="410000"/>
    <x v="0"/>
    <x v="0"/>
    <x v="0"/>
    <s v="提货时间2022/3/14"/>
    <x v="212"/>
    <x v="1"/>
    <x v="3"/>
    <x v="2"/>
    <s v="CNY单"/>
    <s v="CNY单"/>
  </r>
  <r>
    <x v="4"/>
    <x v="3"/>
    <x v="0"/>
    <x v="2"/>
    <s v="CNY单"/>
    <s v="CNY单"/>
    <s v="CNY单"/>
    <n v="0"/>
    <x v="255"/>
    <s v="49F104103"/>
    <x v="70"/>
    <x v="186"/>
    <x v="14"/>
    <x v="5"/>
    <n v="700000"/>
    <x v="0"/>
    <x v="0"/>
    <x v="0"/>
    <s v="提货时间2022/2/22"/>
    <x v="213"/>
    <x v="1"/>
    <x v="3"/>
    <x v="2"/>
    <s v="CNY单"/>
    <s v="CNY单"/>
  </r>
  <r>
    <x v="4"/>
    <x v="3"/>
    <x v="0"/>
    <x v="2"/>
    <s v="CNY单"/>
    <s v="CNY单"/>
    <s v="CNY单"/>
    <n v="0"/>
    <x v="256"/>
    <s v="49F104104"/>
    <x v="70"/>
    <x v="176"/>
    <x v="2"/>
    <x v="5"/>
    <n v="410000"/>
    <x v="0"/>
    <x v="0"/>
    <x v="0"/>
    <s v="提货时间2022/2/22"/>
    <x v="213"/>
    <x v="1"/>
    <x v="3"/>
    <x v="2"/>
    <s v="CNY单"/>
    <s v="CNY单"/>
  </r>
  <r>
    <x v="4"/>
    <x v="3"/>
    <x v="0"/>
    <x v="2"/>
    <s v="CNY单"/>
    <s v="CNY单"/>
    <s v="CNY单"/>
    <n v="0"/>
    <x v="257"/>
    <s v="49F104105"/>
    <x v="70"/>
    <x v="156"/>
    <x v="2"/>
    <x v="5"/>
    <n v="410000"/>
    <x v="0"/>
    <x v="0"/>
    <x v="0"/>
    <s v="提货时间2022/2/22"/>
    <x v="213"/>
    <x v="1"/>
    <x v="3"/>
    <x v="2"/>
    <s v="CNY单"/>
    <s v="CNY单"/>
  </r>
  <r>
    <x v="4"/>
    <x v="3"/>
    <x v="0"/>
    <x v="2"/>
    <s v="CNY单"/>
    <s v="CNY单"/>
    <s v="CNY单"/>
    <n v="0"/>
    <x v="257"/>
    <s v="49F104105"/>
    <x v="70"/>
    <x v="156"/>
    <x v="2"/>
    <x v="5"/>
    <n v="410000"/>
    <x v="0"/>
    <x v="0"/>
    <x v="0"/>
    <s v="提货时间2022/3/14"/>
    <x v="212"/>
    <x v="1"/>
    <x v="3"/>
    <x v="2"/>
    <s v="CNY单"/>
    <s v="CNY单"/>
  </r>
  <r>
    <x v="4"/>
    <x v="3"/>
    <x v="0"/>
    <x v="2"/>
    <s v="CNY单"/>
    <s v="CNY单"/>
    <s v="CNY单"/>
    <n v="0"/>
    <x v="258"/>
    <s v="49F104131"/>
    <x v="70"/>
    <x v="187"/>
    <x v="1"/>
    <x v="2"/>
    <n v="2000000"/>
    <x v="0"/>
    <x v="0"/>
    <x v="0"/>
    <s v="提货时间2022/3/14"/>
    <x v="212"/>
    <x v="1"/>
    <x v="3"/>
    <x v="4"/>
    <s v="CNY单"/>
    <s v="CNY单"/>
  </r>
  <r>
    <x v="4"/>
    <x v="3"/>
    <x v="0"/>
    <x v="2"/>
    <s v="CNY单"/>
    <s v="CNY单"/>
    <s v="CNY单"/>
    <n v="0"/>
    <x v="259"/>
    <s v="49F104157"/>
    <x v="85"/>
    <x v="188"/>
    <x v="1"/>
    <x v="5"/>
    <n v="1000000"/>
    <x v="0"/>
    <x v="0"/>
    <x v="0"/>
    <s v="提货时间2022/1/17"/>
    <x v="214"/>
    <x v="1"/>
    <x v="3"/>
    <x v="4"/>
    <s v="CNY单"/>
    <s v="CNY单"/>
  </r>
  <r>
    <x v="4"/>
    <x v="7"/>
    <x v="0"/>
    <x v="2"/>
    <s v="cancel"/>
    <s v="CNY单"/>
    <s v="CNY单"/>
    <n v="0"/>
    <x v="260"/>
    <s v="49F104158"/>
    <x v="85"/>
    <x v="189"/>
    <x v="1"/>
    <x v="5"/>
    <n v="1000000"/>
    <x v="0"/>
    <x v="0"/>
    <x v="0"/>
    <s v="cancel"/>
    <x v="215"/>
    <x v="2"/>
    <x v="4"/>
    <x v="4"/>
    <s v="cancel"/>
    <s v="cancel"/>
  </r>
  <r>
    <x v="4"/>
    <x v="3"/>
    <x v="0"/>
    <x v="2"/>
    <s v="CNY单"/>
    <s v="CNY单"/>
    <s v="CNY单"/>
    <n v="0"/>
    <x v="261"/>
    <s v="49F104161"/>
    <x v="86"/>
    <x v="113"/>
    <x v="1"/>
    <x v="3"/>
    <n v="5000000"/>
    <x v="0"/>
    <x v="0"/>
    <x v="0"/>
    <s v="提货时间2022/2/22"/>
    <x v="213"/>
    <x v="1"/>
    <x v="3"/>
    <x v="4"/>
    <s v="CNY单"/>
    <s v="CNY单"/>
  </r>
  <r>
    <x v="4"/>
    <x v="7"/>
    <x v="0"/>
    <x v="2"/>
    <s v="cancel"/>
    <s v="CNY单"/>
    <s v="CNY单"/>
    <n v="0"/>
    <x v="262"/>
    <s v="49F104165"/>
    <x v="87"/>
    <x v="190"/>
    <x v="1"/>
    <x v="5"/>
    <n v="1000000"/>
    <x v="0"/>
    <x v="0"/>
    <x v="0"/>
    <s v="cancel"/>
    <x v="215"/>
    <x v="2"/>
    <x v="4"/>
    <x v="4"/>
    <s v="cancel"/>
    <s v="cancel"/>
  </r>
  <r>
    <x v="4"/>
    <x v="7"/>
    <x v="0"/>
    <x v="2"/>
    <s v="cancel"/>
    <s v="CNY单"/>
    <s v="CNY单"/>
    <n v="0"/>
    <x v="263"/>
    <s v="49F104166"/>
    <x v="87"/>
    <x v="191"/>
    <x v="1"/>
    <x v="5"/>
    <n v="1000000"/>
    <x v="0"/>
    <x v="0"/>
    <x v="0"/>
    <s v="cancel"/>
    <x v="215"/>
    <x v="2"/>
    <x v="4"/>
    <x v="4"/>
    <s v="cancel"/>
    <s v="cancel"/>
  </r>
  <r>
    <x v="4"/>
    <x v="3"/>
    <x v="0"/>
    <x v="2"/>
    <s v="CNY单"/>
    <s v="CNY单"/>
    <s v="CNY单"/>
    <n v="0"/>
    <x v="264"/>
    <s v="49F104167"/>
    <x v="87"/>
    <x v="95"/>
    <x v="1"/>
    <x v="2"/>
    <n v="2000000"/>
    <x v="0"/>
    <x v="0"/>
    <x v="0"/>
    <s v="提货时间2022/3/8"/>
    <x v="216"/>
    <x v="1"/>
    <x v="3"/>
    <x v="4"/>
    <s v="CNY单"/>
    <s v="CNY单"/>
  </r>
  <r>
    <x v="4"/>
    <x v="7"/>
    <x v="0"/>
    <x v="2"/>
    <s v="cancel"/>
    <s v="CNY单"/>
    <s v="CNY单"/>
    <n v="0"/>
    <x v="265"/>
    <s v="49F104168"/>
    <x v="87"/>
    <x v="192"/>
    <x v="1"/>
    <x v="5"/>
    <n v="1000000"/>
    <x v="0"/>
    <x v="0"/>
    <x v="0"/>
    <s v="cancel"/>
    <x v="215"/>
    <x v="2"/>
    <x v="4"/>
    <x v="4"/>
    <s v="cancel"/>
    <s v="cancel"/>
  </r>
  <r>
    <x v="4"/>
    <x v="5"/>
    <x v="0"/>
    <x v="2"/>
    <s v="LC copy ASAP SCB"/>
    <m/>
    <s v="有驳船"/>
    <n v="22780.95"/>
    <x v="266"/>
    <n v="110896"/>
    <x v="81"/>
    <x v="88"/>
    <x v="2"/>
    <x v="6"/>
    <n v="55256220"/>
    <x v="0"/>
    <x v="0"/>
    <x v="0"/>
    <d v="2022-05-25T00:00:00"/>
    <x v="211"/>
    <x v="0"/>
    <x v="3"/>
    <x v="2"/>
    <n v="5.0200000000000002E-2"/>
    <n v="6.1199999999999997E-2"/>
  </r>
  <r>
    <x v="4"/>
    <x v="1"/>
    <x v="0"/>
    <x v="2"/>
    <s v="LM867558100"/>
    <m/>
    <m/>
    <n v="0"/>
    <x v="267"/>
    <n v="110877"/>
    <x v="83"/>
    <x v="180"/>
    <x v="7"/>
    <x v="5"/>
    <n v="4700360"/>
    <x v="0"/>
    <x v="0"/>
    <x v="0"/>
    <d v="2022-06-10T00:00:00"/>
    <x v="217"/>
    <x v="1"/>
    <x v="3"/>
    <x v="2"/>
    <s v="checking with sales"/>
    <s v="checking with sales"/>
  </r>
  <r>
    <x v="4"/>
    <x v="0"/>
    <x v="0"/>
    <x v="1"/>
    <s v="LM867568100"/>
    <m/>
    <m/>
    <n v="9359.9"/>
    <x v="268"/>
    <n v="110910"/>
    <x v="48"/>
    <x v="85"/>
    <x v="2"/>
    <x v="5"/>
    <n v="5394765"/>
    <x v="0"/>
    <x v="0"/>
    <x v="0"/>
    <d v="2022-06-03T00:00:00"/>
    <x v="218"/>
    <x v="1"/>
    <x v="3"/>
    <x v="2"/>
    <s v="no mismatch"/>
    <s v="no mismatch"/>
  </r>
  <r>
    <x v="4"/>
    <x v="4"/>
    <x v="0"/>
    <x v="2"/>
    <s v="DC TST118122"/>
    <m/>
    <m/>
    <n v="0"/>
    <x v="269"/>
    <n v="110871"/>
    <x v="83"/>
    <x v="183"/>
    <x v="2"/>
    <x v="5"/>
    <n v="10021195"/>
    <x v="0"/>
    <x v="0"/>
    <x v="0"/>
    <d v="2022-06-01T00:00:00"/>
    <x v="218"/>
    <x v="1"/>
    <x v="3"/>
    <x v="2"/>
    <s v="no mismatch"/>
    <s v="no mismatch"/>
  </r>
  <r>
    <x v="4"/>
    <x v="4"/>
    <x v="0"/>
    <x v="2"/>
    <s v="DC TST118121"/>
    <m/>
    <m/>
    <n v="9359.9"/>
    <x v="270"/>
    <n v="110887"/>
    <x v="84"/>
    <x v="182"/>
    <x v="2"/>
    <x v="5"/>
    <n v="9909445"/>
    <x v="0"/>
    <x v="0"/>
    <x v="0"/>
    <d v="2022-06-01T00:00:00"/>
    <x v="218"/>
    <x v="1"/>
    <x v="3"/>
    <x v="2"/>
    <s v="no mismatch"/>
    <s v="no mismatch"/>
  </r>
  <r>
    <x v="4"/>
    <x v="4"/>
    <x v="0"/>
    <x v="2"/>
    <s v="DC TST118126"/>
    <m/>
    <m/>
    <n v="15464.3"/>
    <x v="271"/>
    <n v="110875"/>
    <x v="83"/>
    <x v="181"/>
    <x v="2"/>
    <x v="5"/>
    <n v="9704395"/>
    <x v="0"/>
    <x v="0"/>
    <x v="0"/>
    <d v="2022-06-12T00:00:00"/>
    <x v="219"/>
    <x v="1"/>
    <x v="3"/>
    <x v="2"/>
    <n v="5.0299999999999997E-2"/>
    <n v="5.91E-2"/>
  </r>
  <r>
    <x v="4"/>
    <x v="4"/>
    <x v="0"/>
    <x v="2"/>
    <s v="DC TST118126"/>
    <m/>
    <m/>
    <n v="0"/>
    <x v="271"/>
    <n v="110975"/>
    <x v="83"/>
    <x v="181"/>
    <x v="2"/>
    <x v="5"/>
    <n v="9704395"/>
    <x v="0"/>
    <x v="0"/>
    <x v="0"/>
    <d v="2022-06-08T00:00:00"/>
    <x v="220"/>
    <x v="1"/>
    <x v="3"/>
    <x v="6"/>
    <n v="5.2699999999999997E-2"/>
    <n v="6.2199999999999998E-2"/>
  </r>
  <r>
    <x v="4"/>
    <x v="0"/>
    <x v="0"/>
    <x v="2"/>
    <s v="LM867878100"/>
    <m/>
    <m/>
    <n v="0"/>
    <x v="272"/>
    <n v="110935"/>
    <x v="57"/>
    <x v="117"/>
    <x v="2"/>
    <x v="2"/>
    <n v="11084995"/>
    <x v="0"/>
    <x v="0"/>
    <x v="0"/>
    <d v="2022-06-10T00:00:00"/>
    <x v="221"/>
    <x v="1"/>
    <x v="3"/>
    <x v="6"/>
    <n v="5.2699999999999997E-2"/>
    <n v="6.2199999999999998E-2"/>
  </r>
  <r>
    <x v="4"/>
    <x v="0"/>
    <x v="0"/>
    <x v="1"/>
    <s v="315012074239-M"/>
    <m/>
    <m/>
    <n v="14844.3"/>
    <x v="273"/>
    <n v="110949"/>
    <x v="56"/>
    <x v="85"/>
    <x v="14"/>
    <x v="4"/>
    <n v="28913508"/>
    <x v="0"/>
    <x v="0"/>
    <x v="0"/>
    <d v="2022-06-17T00:00:00"/>
    <x v="222"/>
    <x v="1"/>
    <x v="3"/>
    <x v="2"/>
    <s v="no mismatch"/>
    <s v="no mismatch"/>
  </r>
  <r>
    <x v="4"/>
    <x v="6"/>
    <x v="0"/>
    <x v="2"/>
    <s v="315012074220-M"/>
    <m/>
    <m/>
    <n v="14844.3"/>
    <x v="274"/>
    <n v="110809"/>
    <x v="81"/>
    <x v="88"/>
    <x v="2"/>
    <x v="0"/>
    <n v="27932380"/>
    <x v="0"/>
    <x v="0"/>
    <x v="0"/>
    <d v="2022-06-15T00:00:00"/>
    <x v="223"/>
    <x v="1"/>
    <x v="3"/>
    <x v="2"/>
    <n v="5.0299999999999997E-2"/>
    <n v="5.91E-2"/>
  </r>
  <r>
    <x v="5"/>
    <x v="7"/>
    <x v="0"/>
    <x v="1"/>
    <s v="cancel"/>
    <m/>
    <m/>
    <m/>
    <x v="275"/>
    <n v="110254"/>
    <x v="48"/>
    <x v="85"/>
    <x v="14"/>
    <x v="2"/>
    <n v="18857940"/>
    <x v="0"/>
    <x v="0"/>
    <x v="0"/>
    <s v="cancel"/>
    <x v="215"/>
    <x v="1"/>
    <x v="3"/>
    <x v="2"/>
    <s v="cancel"/>
    <s v="cancel"/>
  </r>
  <r>
    <x v="5"/>
    <x v="7"/>
    <x v="0"/>
    <x v="2"/>
    <s v="cancel"/>
    <m/>
    <m/>
    <m/>
    <x v="276"/>
    <n v="110315"/>
    <x v="56"/>
    <x v="119"/>
    <x v="2"/>
    <x v="0"/>
    <n v="3758184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7"/>
    <n v="110250"/>
    <x v="48"/>
    <x v="85"/>
    <x v="2"/>
    <x v="0"/>
    <n v="2273601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7"/>
    <n v="110367"/>
    <x v="48"/>
    <x v="85"/>
    <x v="2"/>
    <x v="2"/>
    <n v="1343913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8"/>
    <n v="110316"/>
    <x v="56"/>
    <x v="85"/>
    <x v="2"/>
    <x v="12"/>
    <n v="112775273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9"/>
    <n v="110317"/>
    <x v="56"/>
    <x v="85"/>
    <x v="14"/>
    <x v="12"/>
    <n v="1450606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0"/>
    <n v="110318"/>
    <x v="56"/>
    <x v="85"/>
    <x v="2"/>
    <x v="13"/>
    <n v="13298508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1"/>
    <n v="110319"/>
    <x v="56"/>
    <x v="85"/>
    <x v="14"/>
    <x v="13"/>
    <n v="2338037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2"/>
    <n v="110374"/>
    <x v="88"/>
    <x v="85"/>
    <x v="2"/>
    <x v="13"/>
    <n v="15784911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3"/>
    <n v="110375"/>
    <x v="88"/>
    <x v="85"/>
    <x v="2"/>
    <x v="13"/>
    <n v="1612641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4"/>
    <n v="110376"/>
    <x v="88"/>
    <x v="85"/>
    <x v="2"/>
    <x v="8"/>
    <n v="72886425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5"/>
    <n v="110377"/>
    <x v="88"/>
    <x v="85"/>
    <x v="14"/>
    <x v="13"/>
    <n v="2402741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6"/>
    <n v="110378"/>
    <x v="88"/>
    <x v="85"/>
    <x v="14"/>
    <x v="13"/>
    <n v="2378621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7"/>
    <n v="110379"/>
    <x v="88"/>
    <x v="85"/>
    <x v="14"/>
    <x v="13"/>
    <n v="236981360"/>
    <x v="0"/>
    <x v="0"/>
    <x v="0"/>
    <s v="cancel"/>
    <x v="215"/>
    <x v="1"/>
    <x v="3"/>
    <x v="2"/>
    <s v="cancel"/>
    <s v="cancel"/>
  </r>
  <r>
    <x v="5"/>
    <x v="7"/>
    <x v="0"/>
    <x v="2"/>
    <s v="cancel"/>
    <m/>
    <m/>
    <m/>
    <x v="288"/>
    <n v="110497"/>
    <x v="57"/>
    <x v="117"/>
    <x v="2"/>
    <x v="2"/>
    <n v="11084995.000000002"/>
    <x v="0"/>
    <x v="0"/>
    <x v="0"/>
    <s v="cancel"/>
    <x v="215"/>
    <x v="1"/>
    <x v="3"/>
    <x v="2"/>
    <s v="cancel"/>
    <s v="cancel"/>
  </r>
  <r>
    <x v="4"/>
    <x v="8"/>
    <x v="0"/>
    <x v="2"/>
    <s v="LM868488100"/>
    <m/>
    <m/>
    <n v="0"/>
    <x v="289"/>
    <n v="110965"/>
    <x v="57"/>
    <x v="117"/>
    <x v="2"/>
    <x v="5"/>
    <n v="5542497.5000000009"/>
    <x v="0"/>
    <x v="0"/>
    <x v="0"/>
    <d v="2022-07-04T00:00:00"/>
    <x v="224"/>
    <x v="1"/>
    <x v="3"/>
    <x v="2"/>
    <s v="No mismatch"/>
    <s v="no mismatch"/>
  </r>
  <r>
    <x v="6"/>
    <x v="7"/>
    <x v="0"/>
    <x v="2"/>
    <s v="cancel"/>
    <m/>
    <m/>
    <m/>
    <x v="290"/>
    <n v="110444"/>
    <x v="89"/>
    <x v="127"/>
    <x v="14"/>
    <x v="8"/>
    <n v="118739880"/>
    <x v="0"/>
    <x v="0"/>
    <x v="0"/>
    <s v="cancel"/>
    <x v="215"/>
    <x v="1"/>
    <x v="3"/>
    <x v="2"/>
    <s v="cancel"/>
    <s v="cancel"/>
  </r>
  <r>
    <x v="6"/>
    <x v="7"/>
    <x v="0"/>
    <x v="2"/>
    <s v="cancel"/>
    <m/>
    <m/>
    <m/>
    <x v="291"/>
    <n v="110445"/>
    <x v="89"/>
    <x v="127"/>
    <x v="2"/>
    <x v="8"/>
    <n v="75733925"/>
    <x v="0"/>
    <x v="0"/>
    <x v="0"/>
    <s v="cancel"/>
    <x v="215"/>
    <x v="1"/>
    <x v="3"/>
    <x v="2"/>
    <s v="cancel"/>
    <s v="cancel"/>
  </r>
  <r>
    <x v="4"/>
    <x v="0"/>
    <x v="0"/>
    <x v="1"/>
    <s v="30% deposit, 70% balance"/>
    <m/>
    <s v="有驳船"/>
    <n v="4264"/>
    <x v="292"/>
    <n v="110519"/>
    <x v="90"/>
    <x v="138"/>
    <x v="14"/>
    <x v="2"/>
    <n v="22703400"/>
    <x v="4"/>
    <x v="0"/>
    <x v="0"/>
    <d v="2022-04-13T00:00:00"/>
    <x v="225"/>
    <x v="1"/>
    <x v="3"/>
    <x v="2"/>
    <s v="No mismatch"/>
    <s v="no mismatch"/>
  </r>
  <r>
    <x v="4"/>
    <x v="0"/>
    <x v="0"/>
    <x v="1"/>
    <s v="30% deposit, 70% balance"/>
    <m/>
    <s v="有驳船"/>
    <n v="0"/>
    <x v="292"/>
    <n v="110519"/>
    <x v="90"/>
    <x v="138"/>
    <x v="2"/>
    <x v="5"/>
    <n v="7452100"/>
    <x v="4"/>
    <x v="0"/>
    <x v="0"/>
    <d v="2022-04-13T00:00:00"/>
    <x v="225"/>
    <x v="1"/>
    <x v="3"/>
    <x v="2"/>
    <s v="No mismatch"/>
    <s v="no mismatch"/>
  </r>
  <r>
    <x v="4"/>
    <x v="5"/>
    <x v="0"/>
    <x v="2"/>
    <s v="DC TST120729"/>
    <m/>
    <s v="有驳船"/>
    <n v="24422.3"/>
    <x v="293"/>
    <n v="110915"/>
    <x v="91"/>
    <x v="128"/>
    <x v="14"/>
    <x v="4"/>
    <n v="54772602"/>
    <x v="0"/>
    <x v="0"/>
    <x v="0"/>
    <d v="2022-07-08T00:00:00"/>
    <x v="226"/>
    <x v="1"/>
    <x v="3"/>
    <x v="2"/>
    <n v="5.2699999999999997E-2"/>
    <n v="6.2199999999999998E-2"/>
  </r>
  <r>
    <x v="4"/>
    <x v="4"/>
    <x v="0"/>
    <x v="2"/>
    <s v="315012074792-M"/>
    <m/>
    <m/>
    <n v="15107.3"/>
    <x v="294"/>
    <n v="110916"/>
    <x v="91"/>
    <x v="193"/>
    <x v="14"/>
    <x v="2"/>
    <n v="30364548"/>
    <x v="0"/>
    <x v="0"/>
    <x v="0"/>
    <d v="2022-07-01T00:00:00"/>
    <x v="227"/>
    <x v="1"/>
    <x v="3"/>
    <x v="2"/>
    <s v="No mismatch"/>
    <s v="no mismatch"/>
  </r>
  <r>
    <x v="4"/>
    <x v="4"/>
    <x v="0"/>
    <x v="2"/>
    <s v="LM868438100"/>
    <m/>
    <m/>
    <n v="15107.3"/>
    <x v="295"/>
    <n v="110917"/>
    <x v="91"/>
    <x v="194"/>
    <x v="14"/>
    <x v="4"/>
    <n v="42036672"/>
    <x v="0"/>
    <x v="0"/>
    <x v="0"/>
    <d v="2022-07-01T00:00:00"/>
    <x v="227"/>
    <x v="1"/>
    <x v="3"/>
    <x v="2"/>
    <n v="5.0299999999999997E-2"/>
    <n v="5.91E-2"/>
  </r>
  <r>
    <x v="4"/>
    <x v="6"/>
    <x v="0"/>
    <x v="2"/>
    <s v="DC TST118129 "/>
    <m/>
    <m/>
    <n v="15727.3"/>
    <x v="296"/>
    <n v="110918"/>
    <x v="92"/>
    <x v="145"/>
    <x v="2"/>
    <x v="2"/>
    <n v="22504490"/>
    <x v="0"/>
    <x v="0"/>
    <x v="0"/>
    <d v="2022-06-27T00:00:00"/>
    <x v="228"/>
    <x v="1"/>
    <x v="3"/>
    <x v="2"/>
    <n v="4.9799999999999997E-2"/>
    <n v="5.8500000000000003E-2"/>
  </r>
  <r>
    <x v="4"/>
    <x v="6"/>
    <x v="0"/>
    <x v="2"/>
    <s v="DC TST118134"/>
    <m/>
    <m/>
    <n v="22691.7"/>
    <x v="297"/>
    <n v="110919"/>
    <x v="92"/>
    <x v="179"/>
    <x v="2"/>
    <x v="3"/>
    <n v="53921503"/>
    <x v="0"/>
    <x v="0"/>
    <x v="0"/>
    <d v="2022-06-24T00:00:00"/>
    <x v="229"/>
    <x v="1"/>
    <x v="3"/>
    <x v="2"/>
    <n v="5.1299999999999998E-2"/>
    <n v="6.1899999999999997E-2"/>
  </r>
  <r>
    <x v="4"/>
    <x v="6"/>
    <x v="0"/>
    <x v="2"/>
    <m/>
    <m/>
    <m/>
    <n v="0"/>
    <x v="297"/>
    <n v="110927"/>
    <x v="92"/>
    <x v="179"/>
    <x v="2"/>
    <x v="5"/>
    <n v="6465595"/>
    <x v="0"/>
    <x v="0"/>
    <x v="0"/>
    <d v="2022-06-27T00:00:00"/>
    <x v="228"/>
    <x v="1"/>
    <x v="3"/>
    <x v="2"/>
    <n v="4.9799999999999997E-2"/>
    <n v="5.8500000000000003E-2"/>
  </r>
  <r>
    <x v="4"/>
    <x v="6"/>
    <x v="0"/>
    <x v="2"/>
    <s v="DC TST118137"/>
    <m/>
    <m/>
    <n v="0"/>
    <x v="298"/>
    <n v="110920"/>
    <x v="92"/>
    <x v="195"/>
    <x v="2"/>
    <x v="2"/>
    <n v="20402792"/>
    <x v="0"/>
    <x v="0"/>
    <x v="0"/>
    <d v="2022-07-04T00:00:00"/>
    <x v="224"/>
    <x v="1"/>
    <x v="3"/>
    <x v="2"/>
    <s v="No mismatch"/>
    <s v="no mismatch"/>
  </r>
  <r>
    <x v="4"/>
    <x v="4"/>
    <x v="0"/>
    <x v="2"/>
    <s v="315012074569-M"/>
    <m/>
    <m/>
    <n v="0"/>
    <x v="299"/>
    <n v="110921"/>
    <x v="92"/>
    <x v="196"/>
    <x v="2"/>
    <x v="5"/>
    <n v="8257195"/>
    <x v="0"/>
    <x v="0"/>
    <x v="0"/>
    <d v="2022-06-27T00:00:00"/>
    <x v="228"/>
    <x v="1"/>
    <x v="3"/>
    <x v="2"/>
    <n v="4.9799999999999997E-2"/>
    <n v="5.8500000000000003E-2"/>
  </r>
  <r>
    <x v="4"/>
    <x v="6"/>
    <x v="0"/>
    <x v="2"/>
    <s v="315012074756-M"/>
    <m/>
    <m/>
    <n v="15107.3"/>
    <x v="300"/>
    <n v="110922"/>
    <x v="92"/>
    <x v="194"/>
    <x v="2"/>
    <x v="0"/>
    <n v="40009030"/>
    <x v="0"/>
    <x v="0"/>
    <x v="0"/>
    <d v="2022-06-24T00:00:00"/>
    <x v="229"/>
    <x v="1"/>
    <x v="3"/>
    <x v="2"/>
    <n v="4.9799999999999997E-2"/>
    <n v="5.8500000000000003E-2"/>
  </r>
  <r>
    <x v="4"/>
    <x v="4"/>
    <x v="0"/>
    <x v="2"/>
    <s v="315012074587-M"/>
    <m/>
    <m/>
    <n v="0"/>
    <x v="301"/>
    <n v="110923"/>
    <x v="92"/>
    <x v="197"/>
    <x v="2"/>
    <x v="2"/>
    <n v="19243190"/>
    <x v="0"/>
    <x v="0"/>
    <x v="0"/>
    <d v="2022-07-04T00:00:00"/>
    <x v="224"/>
    <x v="1"/>
    <x v="3"/>
    <x v="2"/>
    <n v="4.9799999999999997E-2"/>
    <n v="5.8500000000000003E-2"/>
  </r>
  <r>
    <x v="4"/>
    <x v="4"/>
    <x v="0"/>
    <x v="2"/>
    <s v="DC TST118131"/>
    <m/>
    <m/>
    <n v="0"/>
    <x v="302"/>
    <n v="110924"/>
    <x v="92"/>
    <x v="198"/>
    <x v="2"/>
    <x v="5"/>
    <n v="8257195"/>
    <x v="0"/>
    <x v="0"/>
    <x v="0"/>
    <d v="2022-06-24T00:00:00"/>
    <x v="229"/>
    <x v="1"/>
    <x v="3"/>
    <x v="2"/>
    <n v="5.1299999999999998E-2"/>
    <n v="6.1899999999999997E-2"/>
  </r>
  <r>
    <x v="4"/>
    <x v="9"/>
    <x v="1"/>
    <x v="2"/>
    <s v="LM869258100"/>
    <m/>
    <m/>
    <n v="11749.7"/>
    <x v="303"/>
    <n v="110928"/>
    <x v="93"/>
    <x v="199"/>
    <x v="2"/>
    <x v="5"/>
    <n v="8173265.5"/>
    <x v="0"/>
    <x v="0"/>
    <x v="0"/>
    <d v="2022-08-05T00:00:00"/>
    <x v="230"/>
    <x v="1"/>
    <x v="3"/>
    <x v="2"/>
    <n v="5.2699999999999997E-2"/>
    <n v="6.1100000000000002E-2"/>
  </r>
  <r>
    <x v="4"/>
    <x v="10"/>
    <x v="1"/>
    <x v="2"/>
    <s v="LM869258100"/>
    <m/>
    <m/>
    <n v="0"/>
    <x v="303"/>
    <n v="110928"/>
    <x v="93"/>
    <x v="199"/>
    <x v="14"/>
    <x v="4"/>
    <n v="34129513.5"/>
    <x v="0"/>
    <x v="0"/>
    <x v="0"/>
    <d v="2022-08-05T00:00:00"/>
    <x v="230"/>
    <x v="1"/>
    <x v="3"/>
    <x v="2"/>
    <n v="5.2699999999999997E-2"/>
    <n v="6.1100000000000002E-2"/>
  </r>
  <r>
    <x v="4"/>
    <x v="9"/>
    <x v="1"/>
    <x v="2"/>
    <s v="DC TST120854"/>
    <m/>
    <m/>
    <n v="12049.7"/>
    <x v="304"/>
    <n v="110929"/>
    <x v="93"/>
    <x v="199"/>
    <x v="2"/>
    <x v="5"/>
    <n v="7874094"/>
    <x v="0"/>
    <x v="0"/>
    <x v="0"/>
    <d v="2022-08-03T00:00:00"/>
    <x v="231"/>
    <x v="1"/>
    <x v="3"/>
    <x v="2"/>
    <n v="5.2699999999999997E-2"/>
    <n v="6.1100000000000002E-2"/>
  </r>
  <r>
    <x v="4"/>
    <x v="10"/>
    <x v="1"/>
    <x v="2"/>
    <s v="DC TST120854"/>
    <m/>
    <m/>
    <n v="0"/>
    <x v="304"/>
    <n v="110929"/>
    <x v="93"/>
    <x v="199"/>
    <x v="14"/>
    <x v="4"/>
    <n v="33141765"/>
    <x v="0"/>
    <x v="0"/>
    <x v="0"/>
    <d v="2022-08-03T00:00:00"/>
    <x v="231"/>
    <x v="1"/>
    <x v="3"/>
    <x v="2"/>
    <n v="5.2699999999999997E-2"/>
    <n v="6.1100000000000002E-2"/>
  </r>
  <r>
    <x v="4"/>
    <x v="1"/>
    <x v="1"/>
    <x v="2"/>
    <s v="DC TST120855"/>
    <m/>
    <m/>
    <m/>
    <x v="305"/>
    <n v="110940"/>
    <x v="94"/>
    <x v="199"/>
    <x v="15"/>
    <x v="0"/>
    <n v="35339280"/>
    <x v="0"/>
    <x v="0"/>
    <x v="0"/>
    <d v="2022-08-05T00:00:00"/>
    <x v="230"/>
    <x v="1"/>
    <x v="3"/>
    <x v="2"/>
    <n v="5.2499999999999998E-2"/>
    <n v="6.1699999999999998E-2"/>
  </r>
  <r>
    <x v="4"/>
    <x v="4"/>
    <x v="0"/>
    <x v="2"/>
    <s v="LM868358100"/>
    <m/>
    <m/>
    <n v="0"/>
    <x v="306"/>
    <n v="110930"/>
    <x v="94"/>
    <x v="200"/>
    <x v="2"/>
    <x v="5"/>
    <n v="9229495"/>
    <x v="0"/>
    <x v="0"/>
    <x v="0"/>
    <d v="2022-06-24T00:00:00"/>
    <x v="229"/>
    <x v="1"/>
    <x v="3"/>
    <x v="6"/>
    <n v="5.2699999999999997E-2"/>
    <n v="6.2199999999999998E-2"/>
  </r>
  <r>
    <x v="4"/>
    <x v="4"/>
    <x v="0"/>
    <x v="2"/>
    <s v="315012074667-M"/>
    <m/>
    <m/>
    <n v="15727.3"/>
    <x v="307"/>
    <n v="110931"/>
    <x v="94"/>
    <x v="137"/>
    <x v="2"/>
    <x v="2"/>
    <n v="15996890"/>
    <x v="0"/>
    <x v="0"/>
    <x v="0"/>
    <d v="2022-07-04T00:00:00"/>
    <x v="224"/>
    <x v="1"/>
    <x v="3"/>
    <x v="6"/>
    <n v="5.2699999999999997E-2"/>
    <n v="6.2199999999999998E-2"/>
  </r>
  <r>
    <x v="4"/>
    <x v="6"/>
    <x v="0"/>
    <x v="2"/>
    <s v="LM868528100"/>
    <m/>
    <m/>
    <n v="0"/>
    <x v="308"/>
    <n v="110932"/>
    <x v="94"/>
    <x v="201"/>
    <x v="2"/>
    <x v="5"/>
    <n v="8257195"/>
    <x v="0"/>
    <x v="0"/>
    <x v="0"/>
    <d v="2022-07-04T00:00:00"/>
    <x v="224"/>
    <x v="1"/>
    <x v="3"/>
    <x v="6"/>
    <n v="5.2699999999999997E-2"/>
    <n v="6.2199999999999998E-2"/>
  </r>
  <r>
    <x v="4"/>
    <x v="4"/>
    <x v="0"/>
    <x v="2"/>
    <s v="LM868518100"/>
    <m/>
    <m/>
    <n v="9979.9"/>
    <x v="309"/>
    <n v="110933"/>
    <x v="94"/>
    <x v="202"/>
    <x v="14"/>
    <x v="5"/>
    <n v="13184434"/>
    <x v="0"/>
    <x v="0"/>
    <x v="0"/>
    <d v="2022-07-06T00:00:00"/>
    <x v="232"/>
    <x v="1"/>
    <x v="3"/>
    <x v="2"/>
    <s v="No mismatch"/>
    <s v="no mismatch"/>
  </r>
  <r>
    <x v="4"/>
    <x v="4"/>
    <x v="0"/>
    <x v="2"/>
    <m/>
    <m/>
    <m/>
    <n v="0"/>
    <x v="310"/>
    <n v="110934"/>
    <x v="94"/>
    <x v="203"/>
    <x v="14"/>
    <x v="5"/>
    <n v="13184434"/>
    <x v="0"/>
    <x v="0"/>
    <x v="0"/>
    <d v="2022-07-06T00:00:00"/>
    <x v="232"/>
    <x v="1"/>
    <x v="3"/>
    <x v="2"/>
    <s v="No mismatch"/>
    <s v="no mismatch"/>
  </r>
  <r>
    <x v="4"/>
    <x v="0"/>
    <x v="0"/>
    <x v="1"/>
    <s v="315012075611"/>
    <m/>
    <s v="有驳船"/>
    <n v="0"/>
    <x v="311"/>
    <n v="110948"/>
    <x v="48"/>
    <x v="85"/>
    <x v="14"/>
    <x v="5"/>
    <n v="9428970"/>
    <x v="0"/>
    <x v="0"/>
    <x v="0"/>
    <d v="2022-07-17T00:00:00"/>
    <x v="233"/>
    <x v="1"/>
    <x v="3"/>
    <x v="2"/>
    <n v="5.1200000000000002E-2"/>
    <n v="6.0199999999999997E-2"/>
  </r>
  <r>
    <x v="4"/>
    <x v="11"/>
    <x v="0"/>
    <x v="2"/>
    <s v="315012075283-M"/>
    <m/>
    <m/>
    <n v="13289.7"/>
    <x v="312"/>
    <n v="110962"/>
    <x v="95"/>
    <x v="183"/>
    <x v="14"/>
    <x v="5"/>
    <n v="12616166"/>
    <x v="0"/>
    <x v="0"/>
    <x v="0"/>
    <d v="2022-07-22T00:00:00"/>
    <x v="234"/>
    <x v="1"/>
    <x v="3"/>
    <x v="2"/>
    <s v="n"/>
    <s v="checking with sales"/>
  </r>
  <r>
    <x v="4"/>
    <x v="11"/>
    <x v="0"/>
    <x v="2"/>
    <s v="315012075283-M"/>
    <m/>
    <m/>
    <n v="0"/>
    <x v="312"/>
    <n v="111022"/>
    <x v="95"/>
    <x v="183"/>
    <x v="14"/>
    <x v="5"/>
    <n v="10852166"/>
    <x v="0"/>
    <x v="0"/>
    <x v="0"/>
    <d v="2022-07-25T00:00:00"/>
    <x v="235"/>
    <x v="1"/>
    <x v="3"/>
    <x v="2"/>
    <n v="4.9200000000000001E-2"/>
    <n v="5.7599999999999998E-2"/>
  </r>
  <r>
    <x v="4"/>
    <x v="11"/>
    <x v="0"/>
    <x v="2"/>
    <s v="315012075274-M"/>
    <m/>
    <m/>
    <n v="12669.7"/>
    <x v="313"/>
    <n v="110961"/>
    <x v="95"/>
    <x v="204"/>
    <x v="14"/>
    <x v="2"/>
    <n v="12616166"/>
    <x v="0"/>
    <x v="0"/>
    <x v="0"/>
    <d v="2022-07-22T00:00:00"/>
    <x v="234"/>
    <x v="1"/>
    <x v="3"/>
    <x v="2"/>
    <s v="No mismatch"/>
    <s v="no mismatch"/>
  </r>
  <r>
    <x v="4"/>
    <x v="11"/>
    <x v="0"/>
    <x v="2"/>
    <s v="315012075274-M"/>
    <m/>
    <m/>
    <n v="0"/>
    <x v="313"/>
    <n v="111023"/>
    <x v="95"/>
    <x v="204"/>
    <x v="14"/>
    <x v="5"/>
    <n v="10852166"/>
    <x v="0"/>
    <x v="0"/>
    <x v="0"/>
    <d v="2022-07-25T00:00:00"/>
    <x v="235"/>
    <x v="1"/>
    <x v="3"/>
    <x v="2"/>
    <n v="4.9200000000000001E-2"/>
    <n v="5.7599999999999998E-2"/>
  </r>
  <r>
    <x v="4"/>
    <x v="11"/>
    <x v="0"/>
    <x v="2"/>
    <s v="DC TST118145"/>
    <m/>
    <m/>
    <n v="0"/>
    <x v="314"/>
    <n v="110960"/>
    <x v="95"/>
    <x v="200"/>
    <x v="14"/>
    <x v="2"/>
    <n v="21704332"/>
    <x v="0"/>
    <x v="0"/>
    <x v="0"/>
    <d v="2022-07-26T00:00:00"/>
    <x v="236"/>
    <x v="1"/>
    <x v="3"/>
    <x v="2"/>
    <n v="4.9799999999999997E-2"/>
    <n v="5.8299999999999998E-2"/>
  </r>
  <r>
    <x v="4"/>
    <x v="11"/>
    <x v="0"/>
    <x v="2"/>
    <s v="DC TST118145"/>
    <m/>
    <m/>
    <n v="0"/>
    <x v="314"/>
    <n v="111038"/>
    <x v="95"/>
    <x v="200"/>
    <x v="14"/>
    <x v="5"/>
    <n v="12616166"/>
    <x v="0"/>
    <x v="0"/>
    <x v="0"/>
    <d v="2022-07-22T00:00:00"/>
    <x v="234"/>
    <x v="1"/>
    <x v="3"/>
    <x v="2"/>
    <s v="No mismatch"/>
    <s v="no mismatch"/>
  </r>
  <r>
    <x v="4"/>
    <x v="12"/>
    <x v="0"/>
    <x v="2"/>
    <s v="315012075005-M"/>
    <m/>
    <m/>
    <n v="24422.3"/>
    <x v="315"/>
    <n v="110957"/>
    <x v="95"/>
    <x v="193"/>
    <x v="14"/>
    <x v="4"/>
    <n v="35061498"/>
    <x v="0"/>
    <x v="0"/>
    <x v="0"/>
    <d v="2022-07-22T00:00:00"/>
    <x v="234"/>
    <x v="1"/>
    <x v="3"/>
    <x v="2"/>
    <n v="5.1200000000000002E-2"/>
    <n v="6.0199999999999997E-2"/>
  </r>
  <r>
    <x v="4"/>
    <x v="12"/>
    <x v="0"/>
    <x v="2"/>
    <s v="315012075522-M"/>
    <m/>
    <m/>
    <n v="23251.4"/>
    <x v="316"/>
    <n v="110959"/>
    <x v="95"/>
    <x v="182"/>
    <x v="14"/>
    <x v="1"/>
    <n v="79007679"/>
    <x v="0"/>
    <x v="0"/>
    <x v="0"/>
    <d v="2022-08-01T00:00:00"/>
    <x v="237"/>
    <x v="1"/>
    <x v="3"/>
    <x v="2"/>
    <s v="No mismatch"/>
    <s v="no mismatch"/>
  </r>
  <r>
    <x v="4"/>
    <x v="12"/>
    <x v="0"/>
    <x v="2"/>
    <s v="315012075522-M"/>
    <m/>
    <m/>
    <n v="0"/>
    <x v="316"/>
    <n v="111021"/>
    <x v="95"/>
    <x v="182"/>
    <x v="14"/>
    <x v="5"/>
    <n v="10852166"/>
    <x v="0"/>
    <x v="0"/>
    <x v="0"/>
    <d v="2022-08-01T00:00:00"/>
    <x v="237"/>
    <x v="1"/>
    <x v="3"/>
    <x v="2"/>
    <n v="4.9200000000000001E-2"/>
    <n v="5.7599999999999998E-2"/>
  </r>
  <r>
    <x v="4"/>
    <x v="12"/>
    <x v="0"/>
    <x v="2"/>
    <s v="LM868988100"/>
    <m/>
    <m/>
    <n v="12989.7"/>
    <x v="317"/>
    <n v="110958"/>
    <x v="95"/>
    <x v="205"/>
    <x v="14"/>
    <x v="2"/>
    <n v="23468332"/>
    <x v="0"/>
    <x v="0"/>
    <x v="0"/>
    <d v="2022-07-22T00:00:00"/>
    <x v="234"/>
    <x v="1"/>
    <x v="3"/>
    <x v="2"/>
    <s v="No mismatch"/>
    <s v="no mismatch"/>
  </r>
  <r>
    <x v="4"/>
    <x v="10"/>
    <x v="0"/>
    <x v="2"/>
    <s v="315012075265-M"/>
    <m/>
    <m/>
    <n v="0"/>
    <x v="318"/>
    <n v="110956"/>
    <x v="95"/>
    <x v="206"/>
    <x v="2"/>
    <x v="5"/>
    <n v="8231802.5"/>
    <x v="0"/>
    <x v="0"/>
    <x v="0"/>
    <d v="2022-07-22T00:00:00"/>
    <x v="234"/>
    <x v="1"/>
    <x v="3"/>
    <x v="2"/>
    <s v="No mismatch"/>
    <s v="no mismatch"/>
  </r>
  <r>
    <x v="4"/>
    <x v="10"/>
    <x v="0"/>
    <x v="2"/>
    <s v="LM868998100"/>
    <m/>
    <m/>
    <n v="0"/>
    <x v="319"/>
    <n v="110953"/>
    <x v="95"/>
    <x v="207"/>
    <x v="2"/>
    <x v="2"/>
    <n v="15776985"/>
    <x v="0"/>
    <x v="0"/>
    <x v="0"/>
    <d v="2022-07-26T00:00:00"/>
    <x v="236"/>
    <x v="1"/>
    <x v="3"/>
    <x v="2"/>
    <n v="4.9799999999999997E-2"/>
    <n v="5.8299999999999998E-2"/>
  </r>
  <r>
    <x v="4"/>
    <x v="10"/>
    <x v="0"/>
    <x v="2"/>
    <s v="DC TST118146"/>
    <m/>
    <m/>
    <n v="0"/>
    <x v="320"/>
    <n v="110952"/>
    <x v="95"/>
    <x v="208"/>
    <x v="2"/>
    <x v="5"/>
    <n v="8237847.5"/>
    <x v="0"/>
    <x v="0"/>
    <x v="0"/>
    <d v="2022-07-26T00:00:00"/>
    <x v="236"/>
    <x v="1"/>
    <x v="3"/>
    <x v="2"/>
    <n v="4.9799999999999997E-2"/>
    <n v="5.8299999999999998E-2"/>
  </r>
  <r>
    <x v="4"/>
    <x v="10"/>
    <x v="0"/>
    <x v="2"/>
    <s v="LM868758100"/>
    <m/>
    <m/>
    <n v="0"/>
    <x v="321"/>
    <n v="110951"/>
    <x v="95"/>
    <x v="208"/>
    <x v="2"/>
    <x v="4"/>
    <n v="24261667.5"/>
    <x v="0"/>
    <x v="0"/>
    <x v="0"/>
    <d v="2022-07-20T00:00:00"/>
    <x v="238"/>
    <x v="1"/>
    <x v="3"/>
    <x v="2"/>
    <n v="5.1200000000000002E-2"/>
    <n v="6.0199999999999997E-2"/>
  </r>
  <r>
    <x v="4"/>
    <x v="10"/>
    <x v="0"/>
    <x v="2"/>
    <s v="DC TST118147 "/>
    <m/>
    <m/>
    <n v="0"/>
    <x v="322"/>
    <n v="110954"/>
    <x v="95"/>
    <x v="209"/>
    <x v="2"/>
    <x v="2"/>
    <n v="14699605"/>
    <x v="0"/>
    <x v="0"/>
    <x v="0"/>
    <d v="2022-07-22T00:00:00"/>
    <x v="234"/>
    <x v="1"/>
    <x v="3"/>
    <x v="2"/>
    <s v="No mismatch"/>
    <s v="no mismatch"/>
  </r>
  <r>
    <x v="4"/>
    <x v="12"/>
    <x v="0"/>
    <x v="2"/>
    <s v="LM869108100"/>
    <m/>
    <m/>
    <n v="0"/>
    <x v="323"/>
    <n v="110963"/>
    <x v="95"/>
    <x v="210"/>
    <x v="2"/>
    <x v="5"/>
    <n v="8231802.5"/>
    <x v="0"/>
    <x v="0"/>
    <x v="0"/>
    <d v="2022-08-01T00:00:00"/>
    <x v="239"/>
    <x v="1"/>
    <x v="3"/>
    <x v="2"/>
    <s v="No mismatch"/>
    <s v="no mismatch"/>
  </r>
  <r>
    <x v="4"/>
    <x v="6"/>
    <x v="0"/>
    <x v="2"/>
    <s v="315012075924-M"/>
    <m/>
    <m/>
    <n v="12469.7"/>
    <x v="324"/>
    <n v="110986"/>
    <x v="96"/>
    <x v="211"/>
    <x v="14"/>
    <x v="2"/>
    <n v="20980792"/>
    <x v="0"/>
    <x v="0"/>
    <x v="0"/>
    <d v="2022-08-10T00:00:00"/>
    <x v="240"/>
    <x v="1"/>
    <x v="3"/>
    <x v="4"/>
    <n v="4.99E-2"/>
    <n v="5.8599999999999999E-2"/>
  </r>
  <r>
    <x v="4"/>
    <x v="6"/>
    <x v="0"/>
    <x v="2"/>
    <s v="315012075933-M"/>
    <m/>
    <m/>
    <n v="0"/>
    <x v="325"/>
    <n v="110987"/>
    <x v="96"/>
    <x v="212"/>
    <x v="14"/>
    <x v="2"/>
    <n v="21039672"/>
    <x v="0"/>
    <x v="0"/>
    <x v="0"/>
    <d v="2022-08-10T00:00:00"/>
    <x v="240"/>
    <x v="1"/>
    <x v="3"/>
    <x v="2"/>
    <n v="5.0299999999999997E-2"/>
    <n v="5.8799999999999998E-2"/>
  </r>
  <r>
    <x v="4"/>
    <x v="6"/>
    <x v="0"/>
    <x v="2"/>
    <s v="DC TST118161"/>
    <m/>
    <m/>
    <n v="25459.4"/>
    <x v="326"/>
    <n v="110988"/>
    <x v="96"/>
    <x v="213"/>
    <x v="14"/>
    <x v="2"/>
    <n v="21554472"/>
    <x v="0"/>
    <x v="0"/>
    <x v="0"/>
    <d v="2022-08-10T00:00:00"/>
    <x v="240"/>
    <x v="1"/>
    <x v="3"/>
    <x v="4"/>
    <s v="No mismatch"/>
    <s v="no mismatch"/>
  </r>
  <r>
    <x v="4"/>
    <x v="6"/>
    <x v="0"/>
    <x v="2"/>
    <s v="LM869608100"/>
    <m/>
    <m/>
    <n v="12469.7"/>
    <x v="327"/>
    <n v="110989"/>
    <x v="96"/>
    <x v="214"/>
    <x v="14"/>
    <x v="2"/>
    <n v="21039672"/>
    <x v="0"/>
    <x v="0"/>
    <x v="0"/>
    <d v="2022-08-10T00:00:00"/>
    <x v="240"/>
    <x v="1"/>
    <x v="3"/>
    <x v="4"/>
    <n v="4.9799999999999997E-2"/>
    <n v="5.8299999999999998E-2"/>
  </r>
  <r>
    <x v="4"/>
    <x v="5"/>
    <x v="0"/>
    <x v="2"/>
    <s v="315012076068-M"/>
    <m/>
    <m/>
    <n v="0"/>
    <x v="328"/>
    <n v="110990"/>
    <x v="96"/>
    <x v="215"/>
    <x v="14"/>
    <x v="2"/>
    <n v="22632868"/>
    <x v="0"/>
    <x v="0"/>
    <x v="0"/>
    <d v="2022-08-10T00:00:00"/>
    <x v="240"/>
    <x v="1"/>
    <x v="3"/>
    <x v="4"/>
    <n v="5.0299999999999997E-2"/>
    <n v="5.8799999999999998E-2"/>
  </r>
  <r>
    <x v="4"/>
    <x v="5"/>
    <x v="0"/>
    <x v="2"/>
    <s v="315012076530-M"/>
    <m/>
    <m/>
    <n v="7844.85"/>
    <x v="329"/>
    <n v="110991"/>
    <x v="96"/>
    <x v="216"/>
    <x v="14"/>
    <x v="2"/>
    <n v="22632868"/>
    <x v="0"/>
    <x v="0"/>
    <x v="0"/>
    <d v="2022-09-02T00:00:00"/>
    <x v="241"/>
    <x v="1"/>
    <x v="3"/>
    <x v="4"/>
    <n v="5.0299999999999997E-2"/>
    <n v="5.8799999999999998E-2"/>
  </r>
  <r>
    <x v="4"/>
    <x v="5"/>
    <x v="0"/>
    <x v="2"/>
    <s v="LM869598100"/>
    <m/>
    <m/>
    <n v="0"/>
    <x v="330"/>
    <n v="110992"/>
    <x v="96"/>
    <x v="217"/>
    <x v="14"/>
    <x v="2"/>
    <n v="22632868"/>
    <x v="0"/>
    <x v="0"/>
    <x v="0"/>
    <d v="2022-08-10T00:00:00"/>
    <x v="240"/>
    <x v="1"/>
    <x v="3"/>
    <x v="4"/>
    <s v="No mismatch"/>
    <s v="no mismatch"/>
  </r>
  <r>
    <x v="4"/>
    <x v="5"/>
    <x v="0"/>
    <x v="2"/>
    <s v="不做LC，申請T/T付款"/>
    <m/>
    <m/>
    <n v="9611.1"/>
    <x v="331"/>
    <n v="110993"/>
    <x v="96"/>
    <x v="218"/>
    <x v="14"/>
    <x v="2"/>
    <n v="22570148"/>
    <x v="0"/>
    <x v="0"/>
    <x v="0"/>
    <d v="2022-08-12T00:00:00"/>
    <x v="242"/>
    <x v="1"/>
    <x v="3"/>
    <x v="4"/>
    <s v="No mismatch"/>
    <s v="no mismatch"/>
  </r>
  <r>
    <x v="4"/>
    <x v="8"/>
    <x v="0"/>
    <x v="2"/>
    <s v="不做LC，申請T/T付款"/>
    <m/>
    <m/>
    <n v="11749.7"/>
    <x v="332"/>
    <n v="110995"/>
    <x v="96"/>
    <x v="219"/>
    <x v="2"/>
    <x v="2"/>
    <n v="12928395"/>
    <x v="0"/>
    <x v="0"/>
    <x v="0"/>
    <d v="2022-08-10T00:00:00"/>
    <x v="240"/>
    <x v="1"/>
    <x v="3"/>
    <x v="4"/>
    <s v="No mismatch"/>
    <s v="no mismatch"/>
  </r>
  <r>
    <x v="4"/>
    <x v="8"/>
    <x v="0"/>
    <x v="2"/>
    <s v="不做LC，申請T/T付款"/>
    <m/>
    <m/>
    <n v="0"/>
    <x v="333"/>
    <n v="110996"/>
    <x v="96"/>
    <x v="220"/>
    <x v="2"/>
    <x v="2"/>
    <n v="12048765"/>
    <x v="0"/>
    <x v="0"/>
    <x v="0"/>
    <d v="2022-08-03T00:00:00"/>
    <x v="243"/>
    <x v="1"/>
    <x v="3"/>
    <x v="4"/>
    <n v="5.0299999999999997E-2"/>
    <n v="5.8799999999999998E-2"/>
  </r>
  <r>
    <x v="4"/>
    <x v="8"/>
    <x v="0"/>
    <x v="2"/>
    <s v="DC TST120856"/>
    <m/>
    <m/>
    <n v="12369.7"/>
    <x v="334"/>
    <n v="110997"/>
    <x v="96"/>
    <x v="221"/>
    <x v="2"/>
    <x v="2"/>
    <n v="12024585"/>
    <x v="0"/>
    <x v="0"/>
    <x v="0"/>
    <d v="2022-08-10T00:00:00"/>
    <x v="244"/>
    <x v="1"/>
    <x v="3"/>
    <x v="4"/>
    <n v="5.1200000000000002E-2"/>
    <n v="5.9499999999999997E-2"/>
  </r>
  <r>
    <x v="4"/>
    <x v="8"/>
    <x v="0"/>
    <x v="2"/>
    <s v="不做LC，申請T/T付款"/>
    <m/>
    <m/>
    <n v="0"/>
    <x v="335"/>
    <n v="110998"/>
    <x v="96"/>
    <x v="222"/>
    <x v="2"/>
    <x v="5"/>
    <n v="6464198"/>
    <x v="0"/>
    <x v="0"/>
    <x v="0"/>
    <d v="2022-08-08T00:00:00"/>
    <x v="245"/>
    <x v="1"/>
    <x v="3"/>
    <x v="4"/>
    <s v="No mismatch"/>
    <s v="no mismatch"/>
  </r>
  <r>
    <x v="4"/>
    <x v="8"/>
    <x v="0"/>
    <x v="2"/>
    <s v="DC TST118152"/>
    <m/>
    <m/>
    <n v="12369.7"/>
    <x v="336"/>
    <n v="110999"/>
    <x v="96"/>
    <x v="223"/>
    <x v="2"/>
    <x v="2"/>
    <n v="12024585"/>
    <x v="0"/>
    <x v="0"/>
    <x v="0"/>
    <d v="2022-08-10T00:00:00"/>
    <x v="244"/>
    <x v="1"/>
    <x v="3"/>
    <x v="4"/>
    <n v="5.1200000000000002E-2"/>
    <n v="5.9499999999999997E-2"/>
  </r>
  <r>
    <x v="4"/>
    <x v="6"/>
    <x v="0"/>
    <x v="2"/>
    <s v="DC TST118153 "/>
    <m/>
    <m/>
    <n v="0"/>
    <x v="337"/>
    <n v="111000"/>
    <x v="96"/>
    <x v="224"/>
    <x v="2"/>
    <x v="2"/>
    <n v="12680980"/>
    <x v="0"/>
    <x v="0"/>
    <x v="0"/>
    <d v="2022-08-10T00:00:00"/>
    <x v="244"/>
    <x v="1"/>
    <x v="3"/>
    <x v="4"/>
    <n v="5.1200000000000002E-2"/>
    <n v="5.9499999999999997E-2"/>
  </r>
  <r>
    <x v="4"/>
    <x v="6"/>
    <x v="0"/>
    <x v="2"/>
    <s v="315012076308-M"/>
    <m/>
    <m/>
    <n v="0"/>
    <x v="338"/>
    <n v="111001"/>
    <x v="96"/>
    <x v="225"/>
    <x v="2"/>
    <x v="2"/>
    <n v="12680980"/>
    <x v="0"/>
    <x v="0"/>
    <x v="0"/>
    <d v="2022-08-10T00:00:00"/>
    <x v="240"/>
    <x v="1"/>
    <x v="3"/>
    <x v="4"/>
    <s v="No mismatch"/>
    <s v="no mismatch"/>
  </r>
  <r>
    <x v="4"/>
    <x v="6"/>
    <x v="0"/>
    <x v="2"/>
    <s v="315012076077-M"/>
    <m/>
    <m/>
    <n v="0"/>
    <x v="339"/>
    <n v="111002"/>
    <x v="96"/>
    <x v="226"/>
    <x v="2"/>
    <x v="2"/>
    <n v="12680980"/>
    <x v="0"/>
    <x v="0"/>
    <x v="0"/>
    <d v="2022-08-10T00:00:00"/>
    <x v="240"/>
    <x v="1"/>
    <x v="3"/>
    <x v="4"/>
    <s v="No mismatch"/>
    <s v="no mismatch"/>
  </r>
  <r>
    <x v="4"/>
    <x v="6"/>
    <x v="0"/>
    <x v="2"/>
    <s v="DC TST118160"/>
    <m/>
    <m/>
    <n v="0"/>
    <x v="340"/>
    <n v="111003"/>
    <x v="96"/>
    <x v="227"/>
    <x v="2"/>
    <x v="2"/>
    <n v="12680980"/>
    <x v="0"/>
    <x v="0"/>
    <x v="0"/>
    <d v="2022-08-12T00:00:00"/>
    <x v="242"/>
    <x v="1"/>
    <x v="3"/>
    <x v="4"/>
    <n v="5.0299999999999997E-2"/>
    <n v="5.8799999999999998E-2"/>
  </r>
  <r>
    <x v="4"/>
    <x v="6"/>
    <x v="0"/>
    <x v="2"/>
    <s v="DC TST120853"/>
    <m/>
    <m/>
    <n v="0"/>
    <x v="341"/>
    <n v="111004"/>
    <x v="96"/>
    <x v="228"/>
    <x v="2"/>
    <x v="4"/>
    <n v="19021470"/>
    <x v="0"/>
    <x v="0"/>
    <x v="0"/>
    <d v="2022-08-03T00:00:00"/>
    <x v="231"/>
    <x v="1"/>
    <x v="3"/>
    <x v="4"/>
    <n v="5.0299999999999997E-2"/>
    <n v="5.8799999999999998E-2"/>
  </r>
  <r>
    <x v="4"/>
    <x v="6"/>
    <x v="0"/>
    <x v="2"/>
    <s v="DC TST120857"/>
    <m/>
    <m/>
    <n v="22879.4"/>
    <x v="342"/>
    <n v="111006"/>
    <x v="97"/>
    <x v="229"/>
    <x v="2"/>
    <x v="4"/>
    <n v="29990058"/>
    <x v="0"/>
    <x v="0"/>
    <x v="0"/>
    <d v="2022-08-03T00:00:00"/>
    <x v="231"/>
    <x v="1"/>
    <x v="3"/>
    <x v="4"/>
    <n v="4.9799999999999997E-2"/>
    <n v="5.8299999999999998E-2"/>
  </r>
  <r>
    <x v="4"/>
    <x v="6"/>
    <x v="0"/>
    <x v="2"/>
    <s v="DC TST120857"/>
    <m/>
    <m/>
    <n v="0"/>
    <x v="342"/>
    <n v="111039"/>
    <x v="97"/>
    <x v="229"/>
    <x v="2"/>
    <x v="1"/>
    <n v="45163467"/>
    <x v="0"/>
    <x v="0"/>
    <x v="0"/>
    <d v="2022-08-10T00:00:00"/>
    <x v="244"/>
    <x v="1"/>
    <x v="3"/>
    <x v="4"/>
    <n v="5.1200000000000002E-2"/>
    <n v="5.9499999999999997E-2"/>
  </r>
  <r>
    <x v="4"/>
    <x v="11"/>
    <x v="0"/>
    <x v="2"/>
    <s v="DC TST118162"/>
    <m/>
    <m/>
    <n v="23179.4"/>
    <x v="343"/>
    <n v="111020"/>
    <x v="98"/>
    <x v="230"/>
    <x v="14"/>
    <x v="10"/>
    <n v="113890114"/>
    <x v="0"/>
    <x v="0"/>
    <x v="0"/>
    <d v="2022-09-14T00:00:00"/>
    <x v="246"/>
    <x v="1"/>
    <x v="3"/>
    <x v="4"/>
    <n v="4.8500000000000001E-2"/>
    <n v="5.4800000000000001E-2"/>
  </r>
  <r>
    <x v="4"/>
    <x v="8"/>
    <x v="0"/>
    <x v="2"/>
    <s v="JPY ESHL单"/>
    <m/>
    <m/>
    <n v="0"/>
    <x v="344"/>
    <n v="111052"/>
    <x v="99"/>
    <x v="231"/>
    <x v="2"/>
    <x v="3"/>
    <n v="31430887.500000004"/>
    <x v="0"/>
    <x v="0"/>
    <x v="0"/>
    <d v="2022-11-07T00:00:00"/>
    <x v="247"/>
    <x v="1"/>
    <x v="3"/>
    <x v="4"/>
    <n v="5.1200000000000002E-2"/>
    <n v="5.9499999999999997E-2"/>
  </r>
  <r>
    <x v="4"/>
    <x v="8"/>
    <x v="0"/>
    <x v="2"/>
    <s v="315012077076-M"/>
    <m/>
    <m/>
    <n v="23799.4"/>
    <x v="345"/>
    <n v="111053"/>
    <x v="99"/>
    <x v="131"/>
    <x v="2"/>
    <x v="4"/>
    <n v="18036877.500000004"/>
    <x v="0"/>
    <x v="0"/>
    <x v="0"/>
    <d v="2022-09-26T00:00:00"/>
    <x v="248"/>
    <x v="1"/>
    <x v="3"/>
    <x v="4"/>
    <s v="No mismatch"/>
    <s v="no mismatch"/>
  </r>
  <r>
    <x v="4"/>
    <x v="8"/>
    <x v="0"/>
    <x v="2"/>
    <s v="JPY ESHL单"/>
    <m/>
    <m/>
    <n v="52258"/>
    <x v="346"/>
    <n v="111054"/>
    <x v="99"/>
    <x v="179"/>
    <x v="2"/>
    <x v="0"/>
    <n v="25448820.000000004"/>
    <x v="0"/>
    <x v="0"/>
    <x v="0"/>
    <d v="2022-11-07T00:00:00"/>
    <x v="247"/>
    <x v="1"/>
    <x v="3"/>
    <x v="4"/>
    <n v="4.8800000000000003E-2"/>
    <s v="please quote rate"/>
  </r>
  <r>
    <x v="4"/>
    <x v="8"/>
    <x v="0"/>
    <x v="2"/>
    <s v="JPY ESHL单"/>
    <m/>
    <m/>
    <n v="0"/>
    <x v="347"/>
    <n v="111055"/>
    <x v="99"/>
    <x v="232"/>
    <x v="2"/>
    <x v="3"/>
    <n v="30761288"/>
    <x v="0"/>
    <x v="0"/>
    <x v="0"/>
    <d v="2022-11-07T00:00:00"/>
    <x v="247"/>
    <x v="1"/>
    <x v="3"/>
    <x v="4"/>
    <n v="4.9700000000000001E-2"/>
    <n v="5.8099999999999999E-2"/>
  </r>
  <r>
    <x v="4"/>
    <x v="8"/>
    <x v="0"/>
    <x v="2"/>
    <s v="JPY ESHL单"/>
    <m/>
    <m/>
    <n v="0"/>
    <x v="348"/>
    <n v="111056"/>
    <x v="99"/>
    <x v="233"/>
    <x v="2"/>
    <x v="4"/>
    <n v="18036877.500000004"/>
    <x v="0"/>
    <x v="0"/>
    <x v="0"/>
    <d v="2022-11-07T00:00:00"/>
    <x v="247"/>
    <x v="1"/>
    <x v="3"/>
    <x v="4"/>
    <n v="4.9700000000000001E-2"/>
    <n v="5.8099999999999999E-2"/>
  </r>
  <r>
    <x v="4"/>
    <x v="5"/>
    <x v="0"/>
    <x v="2"/>
    <s v="JPY ESHL单"/>
    <m/>
    <m/>
    <n v="0"/>
    <x v="349"/>
    <n v="111047"/>
    <x v="99"/>
    <x v="234"/>
    <x v="14"/>
    <x v="0"/>
    <n v="41675016"/>
    <x v="0"/>
    <x v="0"/>
    <x v="0"/>
    <d v="2022-11-07T00:00:00"/>
    <x v="247"/>
    <x v="1"/>
    <x v="3"/>
    <x v="4"/>
    <n v="4.9700000000000001E-2"/>
    <n v="5.8099999999999999E-2"/>
  </r>
  <r>
    <x v="4"/>
    <x v="6"/>
    <x v="0"/>
    <x v="2"/>
    <s v="JPY ESHL单"/>
    <m/>
    <m/>
    <n v="37766.35"/>
    <x v="350"/>
    <n v="111048"/>
    <x v="99"/>
    <x v="232"/>
    <x v="14"/>
    <x v="3"/>
    <n v="48012540"/>
    <x v="0"/>
    <x v="0"/>
    <x v="0"/>
    <d v="2022-10-02T00:00:00"/>
    <x v="249"/>
    <x v="1"/>
    <x v="3"/>
    <x v="4"/>
    <n v="4.9700000000000001E-2"/>
    <n v="5.8099999999999999E-2"/>
  </r>
  <r>
    <x v="4"/>
    <x v="6"/>
    <x v="0"/>
    <x v="2"/>
    <s v="JPY ESHL单"/>
    <m/>
    <m/>
    <n v="0"/>
    <x v="351"/>
    <n v="111049"/>
    <x v="99"/>
    <x v="231"/>
    <x v="14"/>
    <x v="3"/>
    <n v="48130300"/>
    <x v="0"/>
    <x v="0"/>
    <x v="0"/>
    <d v="2022-10-02T00:00:00"/>
    <x v="249"/>
    <x v="1"/>
    <x v="3"/>
    <x v="4"/>
    <n v="5.1200000000000002E-2"/>
    <n v="5.9499999999999997E-2"/>
  </r>
  <r>
    <x v="4"/>
    <x v="6"/>
    <x v="0"/>
    <x v="2"/>
    <s v="JPY ESHL单"/>
    <m/>
    <m/>
    <n v="0"/>
    <x v="352"/>
    <n v="111050"/>
    <x v="99"/>
    <x v="179"/>
    <x v="14"/>
    <x v="3"/>
    <n v="48294100"/>
    <x v="0"/>
    <x v="0"/>
    <x v="0"/>
    <d v="2022-10-02T00:00:00"/>
    <x v="249"/>
    <x v="1"/>
    <x v="3"/>
    <x v="4"/>
    <n v="4.8800000000000003E-2"/>
    <n v="0"/>
  </r>
  <r>
    <x v="4"/>
    <x v="5"/>
    <x v="0"/>
    <x v="2"/>
    <s v="315012077067-M"/>
    <m/>
    <m/>
    <n v="0"/>
    <x v="353"/>
    <n v="111051"/>
    <x v="99"/>
    <x v="145"/>
    <x v="14"/>
    <x v="6"/>
    <n v="62606604"/>
    <x v="0"/>
    <x v="0"/>
    <x v="0"/>
    <d v="2022-09-26T00:00:00"/>
    <x v="248"/>
    <x v="1"/>
    <x v="3"/>
    <x v="4"/>
    <s v="No mismatch"/>
    <s v="no mismatch"/>
  </r>
  <r>
    <x v="4"/>
    <x v="1"/>
    <x v="1"/>
    <x v="2"/>
    <s v="DC AM1000603"/>
    <m/>
    <m/>
    <n v="0"/>
    <x v="354"/>
    <n v="111077"/>
    <x v="100"/>
    <x v="108"/>
    <x v="15"/>
    <x v="5"/>
    <n v="8528445"/>
    <x v="0"/>
    <x v="0"/>
    <x v="0"/>
    <d v="2022-11-07T00:00:00"/>
    <x v="247"/>
    <x v="1"/>
    <x v="3"/>
    <x v="2"/>
    <s v="No mismatch"/>
    <s v="no mismatch"/>
  </r>
  <r>
    <x v="4"/>
    <x v="8"/>
    <x v="0"/>
    <x v="2"/>
    <s v="不做LC，申請T/T付款"/>
    <m/>
    <m/>
    <n v="15330.15"/>
    <x v="355"/>
    <n v="111095"/>
    <x v="101"/>
    <x v="98"/>
    <x v="2"/>
    <x v="3"/>
    <n v="30061465"/>
    <x v="0"/>
    <x v="0"/>
    <x v="0"/>
    <d v="2022-11-07T00:00:00"/>
    <x v="247"/>
    <x v="1"/>
    <x v="3"/>
    <x v="4"/>
    <s v="No mismatch"/>
    <s v="no mismatch"/>
  </r>
  <r>
    <x v="4"/>
    <x v="6"/>
    <x v="0"/>
    <x v="2"/>
    <s v="不做LC，申請T/T付款"/>
    <m/>
    <m/>
    <n v="30392.55"/>
    <x v="356"/>
    <n v="111096"/>
    <x v="101"/>
    <x v="195"/>
    <x v="14"/>
    <x v="1"/>
    <n v="67347092"/>
    <x v="0"/>
    <x v="0"/>
    <x v="0"/>
    <d v="2022-11-07T00:00:00"/>
    <x v="247"/>
    <x v="1"/>
    <x v="3"/>
    <x v="4"/>
    <s v="No mismatch"/>
    <s v="no mismatch"/>
  </r>
  <r>
    <x v="4"/>
    <x v="6"/>
    <x v="0"/>
    <x v="2"/>
    <s v="DC AM1000608"/>
    <m/>
    <m/>
    <n v="11531.6"/>
    <x v="357"/>
    <n v="111097"/>
    <x v="101"/>
    <x v="235"/>
    <x v="14"/>
    <x v="2"/>
    <n v="34084770"/>
    <x v="0"/>
    <x v="0"/>
    <x v="0"/>
    <d v="2022-11-11T00:00:00"/>
    <x v="250"/>
    <x v="1"/>
    <x v="3"/>
    <x v="4"/>
    <s v="No mismatch"/>
    <s v="no mismatch"/>
  </r>
  <r>
    <x v="4"/>
    <x v="1"/>
    <x v="1"/>
    <x v="2"/>
    <s v="JPY ESHL单"/>
    <m/>
    <m/>
    <m/>
    <x v="358"/>
    <s v="28L104351"/>
    <x v="101"/>
    <x v="236"/>
    <x v="15"/>
    <x v="2"/>
    <n v="13860020"/>
    <x v="0"/>
    <x v="0"/>
    <x v="0"/>
    <d v="2022-10-24T00:00:00"/>
    <x v="251"/>
    <x v="1"/>
    <x v="3"/>
    <x v="2"/>
    <s v="checking with sales"/>
    <s v="checking with sales"/>
  </r>
  <r>
    <x v="4"/>
    <x v="3"/>
    <x v="0"/>
    <x v="2"/>
    <s v="CNY单"/>
    <s v="CNY单"/>
    <s v="CNY单"/>
    <n v="0"/>
    <x v="359"/>
    <s v="49F104436"/>
    <x v="102"/>
    <x v="113"/>
    <x v="1"/>
    <x v="4"/>
    <n v="2550000"/>
    <x v="0"/>
    <x v="0"/>
    <x v="0"/>
    <s v="2022-12-15提货"/>
    <x v="252"/>
    <x v="1"/>
    <x v="3"/>
    <x v="4"/>
    <s v="CNY单"/>
    <s v="CNY单"/>
  </r>
  <r>
    <x v="7"/>
    <x v="8"/>
    <x v="0"/>
    <x v="2"/>
    <s v="DC AM1001257"/>
    <m/>
    <m/>
    <n v="19029.400000000001"/>
    <x v="360"/>
    <n v="111131"/>
    <x v="103"/>
    <x v="237"/>
    <x v="2"/>
    <x v="3"/>
    <n v="30954813"/>
    <x v="0"/>
    <x v="0"/>
    <x v="0"/>
    <d v="2023-02-01T00:00:00"/>
    <x v="253"/>
    <x v="1"/>
    <x v="3"/>
    <x v="4"/>
    <s v="No mismatch"/>
    <s v="no mismatch"/>
  </r>
  <r>
    <x v="7"/>
    <x v="6"/>
    <x v="0"/>
    <x v="2"/>
    <s v="DC AM1001257"/>
    <m/>
    <m/>
    <n v="0"/>
    <x v="360"/>
    <n v="111131"/>
    <x v="103"/>
    <x v="237"/>
    <x v="14"/>
    <x v="3"/>
    <n v="48041980"/>
    <x v="0"/>
    <x v="0"/>
    <x v="0"/>
    <d v="2023-02-01T00:00:00"/>
    <x v="253"/>
    <x v="1"/>
    <x v="3"/>
    <x v="4"/>
    <s v="No mismatch"/>
    <s v="no mismatch"/>
  </r>
  <r>
    <x v="7"/>
    <x v="8"/>
    <x v="0"/>
    <x v="2"/>
    <s v="DC AM1001256"/>
    <m/>
    <m/>
    <n v="9862.2000000000007"/>
    <x v="361"/>
    <n v="111132"/>
    <x v="103"/>
    <x v="238"/>
    <x v="2"/>
    <x v="2"/>
    <n v="11540835"/>
    <x v="0"/>
    <x v="0"/>
    <x v="0"/>
    <d v="2023-02-01T00:00:00"/>
    <x v="253"/>
    <x v="1"/>
    <x v="3"/>
    <x v="4"/>
    <s v="No mismatch"/>
    <s v="no mismatch"/>
  </r>
  <r>
    <x v="7"/>
    <x v="5"/>
    <x v="0"/>
    <x v="2"/>
    <s v="DC AM1001256"/>
    <m/>
    <m/>
    <n v="0"/>
    <x v="361"/>
    <n v="111132"/>
    <x v="103"/>
    <x v="238"/>
    <x v="14"/>
    <x v="5"/>
    <n v="10435734"/>
    <x v="0"/>
    <x v="0"/>
    <x v="0"/>
    <d v="2023-02-01T00:00:00"/>
    <x v="253"/>
    <x v="1"/>
    <x v="3"/>
    <x v="4"/>
    <s v="No mismatch"/>
    <s v="no mismatch"/>
  </r>
  <r>
    <x v="7"/>
    <x v="5"/>
    <x v="0"/>
    <x v="2"/>
    <s v="DC AM1001256"/>
    <m/>
    <m/>
    <n v="9862.2000000000007"/>
    <x v="362"/>
    <n v="111133"/>
    <x v="103"/>
    <x v="125"/>
    <x v="14"/>
    <x v="3"/>
    <n v="52046730"/>
    <x v="0"/>
    <x v="0"/>
    <x v="0"/>
    <d v="2023-02-01T00:00:00"/>
    <x v="253"/>
    <x v="1"/>
    <x v="3"/>
    <x v="4"/>
    <s v="No mismatch"/>
    <s v="no mismatch"/>
  </r>
  <r>
    <x v="7"/>
    <x v="5"/>
    <x v="0"/>
    <x v="2"/>
    <s v="DC AM1001257"/>
    <m/>
    <m/>
    <n v="9862.2000000000007"/>
    <x v="363"/>
    <n v="111134"/>
    <x v="103"/>
    <x v="239"/>
    <x v="14"/>
    <x v="3"/>
    <n v="52113092"/>
    <x v="0"/>
    <x v="0"/>
    <x v="0"/>
    <d v="2023-02-01T00:00:00"/>
    <x v="253"/>
    <x v="1"/>
    <x v="3"/>
    <x v="4"/>
    <s v="No mismatch"/>
    <s v="no mismatch"/>
  </r>
  <r>
    <x v="7"/>
    <x v="0"/>
    <x v="1"/>
    <x v="2"/>
    <m/>
    <m/>
    <m/>
    <m/>
    <x v="364"/>
    <n v="111202"/>
    <x v="104"/>
    <x v="130"/>
    <x v="13"/>
    <x v="4"/>
    <n v="36771117"/>
    <x v="0"/>
    <x v="0"/>
    <x v="0"/>
    <s v="ex work Mar 7"/>
    <x v="254"/>
    <x v="1"/>
    <x v="3"/>
    <x v="4"/>
    <s v="checking with sales"/>
    <s v="checking with sales"/>
  </r>
  <r>
    <x v="7"/>
    <x v="0"/>
    <x v="1"/>
    <x v="2"/>
    <m/>
    <m/>
    <m/>
    <m/>
    <x v="365"/>
    <n v="111222"/>
    <x v="105"/>
    <x v="240"/>
    <x v="18"/>
    <x v="5"/>
    <n v="17344670"/>
    <x v="0"/>
    <x v="0"/>
    <x v="0"/>
    <s v="ex work end of mar"/>
    <x v="255"/>
    <x v="1"/>
    <x v="3"/>
    <x v="4"/>
    <n v="5.16E-2"/>
    <n v="5.9900000000000002E-2"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5">
  <r>
    <n v="518"/>
    <x v="0"/>
    <s v="C49"/>
    <n v="109218"/>
    <s v="EASTER"/>
    <x v="0"/>
    <s v="NO"/>
    <s v="No"/>
    <s v="Y44465"/>
    <n v="1"/>
    <s v="福保仓库"/>
    <d v="2018-06-27T00:00:00"/>
    <n v="5.9499999999999997E-2"/>
    <s v="DEC 19"/>
    <m/>
    <s v="RMB"/>
    <s v="C49SZX20190175SX"/>
    <x v="0"/>
    <s v="YSM40R-4"/>
    <s v="L-&gt;R"/>
    <s v="No"/>
    <s v="WRONG"/>
    <s v="DDP DG"/>
    <d v="2019-11-27T00:00:00"/>
    <x v="0"/>
    <d v="2018-08-03T00:00:00"/>
    <d v="2018-08-16T00:00:00"/>
    <m/>
    <s v="C200537294"/>
    <m/>
  </r>
  <r>
    <n v="123"/>
    <x v="0"/>
    <s v="C49"/>
    <n v="109282"/>
    <s v="STK"/>
    <x v="1"/>
    <s v="L-&gt;R"/>
    <s v="MVC+ATS15"/>
    <s v="Y44481"/>
    <n v="1"/>
    <s v="福保仓库"/>
    <d v="2018-06-27T00:00:00"/>
    <n v="5.9499999999999997E-2"/>
    <s v="DEC 18"/>
    <m/>
    <s v="JPY"/>
    <s v="C49SZX20180133SX"/>
    <x v="1"/>
    <s v="YSM10"/>
    <s v="L-&gt;R"/>
    <s v="MVC+ATS15"/>
    <s v="OK"/>
    <s v="DAP 东莞"/>
    <d v="2018-08-23T00:00:00"/>
    <x v="0"/>
    <s v="Na"/>
    <s v="Na"/>
    <m/>
    <s v="Yes"/>
    <m/>
  </r>
  <r>
    <n v="124"/>
    <x v="0"/>
    <s v="C49"/>
    <n v="109282"/>
    <s v="STK"/>
    <x v="1"/>
    <s v="L-&gt;R"/>
    <s v="MVC+ATS15"/>
    <s v="Y44483"/>
    <n v="1"/>
    <s v="福保仓库"/>
    <d v="2018-06-27T00:00:00"/>
    <n v="5.9499999999999997E-2"/>
    <s v="DEC 18"/>
    <m/>
    <s v="JPY"/>
    <s v="C49SZX20180133SX"/>
    <x v="1"/>
    <s v="YSM10"/>
    <s v="L-&gt;R"/>
    <s v="MVC+ATS15"/>
    <s v="OK"/>
    <s v="DAP 东莞"/>
    <d v="2018-08-23T00:00:00"/>
    <x v="0"/>
    <s v="Na"/>
    <s v="Na"/>
    <m/>
    <s v="Yes"/>
    <m/>
  </r>
  <r>
    <n v="152"/>
    <x v="0"/>
    <s v="C49"/>
    <n v="109218"/>
    <s v="EASTER"/>
    <x v="0"/>
    <s v="NO"/>
    <s v="No"/>
    <s v="Y44464"/>
    <n v="1"/>
    <s v="力合仓库(已经清关)"/>
    <d v="2018-06-27T00:00:00"/>
    <n v="5.9499999999999997E-2"/>
    <s v="JAN 19"/>
    <m/>
    <s v="RMB"/>
    <s v="C49SZX20180162SS"/>
    <x v="2"/>
    <s v="YSM40R-4"/>
    <s v="R-&gt;L"/>
    <s v="No"/>
    <s v="WRONG"/>
    <s v="含税到厂"/>
    <d v="2018-11-07T00:00:00"/>
    <x v="0"/>
    <d v="2018-10-15T00:00:00"/>
    <d v="2018-10-26T00:00:00"/>
    <m/>
    <s v="Yes"/>
    <m/>
  </r>
  <r>
    <n v="153"/>
    <x v="0"/>
    <s v="C49"/>
    <n v="109218"/>
    <s v="EASTER"/>
    <x v="0"/>
    <s v="NO"/>
    <s v="No"/>
    <s v="Y45399"/>
    <n v="1"/>
    <s v="力合仓库(已经清关)"/>
    <d v="2018-06-27T00:00:00"/>
    <n v="5.9499999999999997E-2"/>
    <s v="JAN 19"/>
    <m/>
    <s v="RMB"/>
    <s v="C49SZX20180162SS"/>
    <x v="2"/>
    <s v="YSM40R-4"/>
    <s v="R-&gt;L"/>
    <s v="No"/>
    <s v="WRONG"/>
    <s v="含税到厂"/>
    <d v="2018-11-07T00:00:00"/>
    <x v="0"/>
    <d v="2018-08-03T00:00:00"/>
    <d v="2018-08-16T00:00:00"/>
    <m/>
    <s v="Yes"/>
    <m/>
  </r>
  <r>
    <n v="563"/>
    <x v="0"/>
    <s v="C49"/>
    <n v="109218"/>
    <s v="EASTER"/>
    <x v="0"/>
    <s v="NO"/>
    <s v="No"/>
    <s v="Y44467"/>
    <n v="1"/>
    <s v="力合仓库(已经清关)"/>
    <d v="2018-06-27T00:00:00"/>
    <n v="5.9499999999999997E-2"/>
    <s v="JUL 20"/>
    <m/>
    <s v="RMB"/>
    <s v="C49SZX20190193SS"/>
    <x v="3"/>
    <s v="YSM40R-4"/>
    <s v="L-&gt;R"/>
    <s v="No"/>
    <s v="WRONG"/>
    <s v="含税到厂"/>
    <d v="2020-01-08T00:00:00"/>
    <x v="0"/>
    <m/>
    <m/>
    <m/>
    <s v="C171030457"/>
    <m/>
  </r>
  <r>
    <n v="166"/>
    <x v="0"/>
    <s v="C49"/>
    <n v="109482"/>
    <s v="比泰利"/>
    <x v="2"/>
    <s v="R-&gt;L"/>
    <s v="No"/>
    <s v="Y41087"/>
    <n v="1"/>
    <s v="WKK HK 仓库"/>
    <s v="Wkk 仓库"/>
    <s v="No"/>
    <s v="DEC 18"/>
    <m/>
    <s v="JPY"/>
    <s v="C49SZX20180166ZX"/>
    <x v="4"/>
    <s v="YS12"/>
    <s v="L-&gt;R"/>
    <s v="MVC+Rear 站位"/>
    <s v="WRONG"/>
    <s v="DAP"/>
    <d v="2018-11-12T00:00:00"/>
    <x v="0"/>
    <s v="Na"/>
    <s v="Na"/>
    <m/>
    <s v="Yes"/>
    <m/>
  </r>
  <r>
    <n v="167"/>
    <x v="0"/>
    <s v="C49"/>
    <n v="109482"/>
    <s v="比泰利"/>
    <x v="2"/>
    <s v="R-&gt;L"/>
    <s v="No"/>
    <s v="Y42858"/>
    <n v="1"/>
    <s v="WKK HK 仓库"/>
    <s v="Wkk 仓库"/>
    <s v="No"/>
    <s v="DEC 18"/>
    <m/>
    <s v="JPY"/>
    <s v="C49SZX20180166ZX"/>
    <x v="4"/>
    <s v="YS12"/>
    <s v="R-&gt;L"/>
    <s v="MVC+Rear 站位"/>
    <s v="WRONG"/>
    <s v="DAP"/>
    <d v="2018-11-12T00:00:00"/>
    <x v="0"/>
    <s v="Na"/>
    <s v="Na"/>
    <m/>
    <s v="Yes"/>
    <m/>
  </r>
  <r>
    <n v="96"/>
    <x v="0"/>
    <s v="C49"/>
    <n v="109382"/>
    <s v="易而达"/>
    <x v="3"/>
    <s v="L-&gt;R"/>
    <s v="cATS10+MVC+special layout"/>
    <s v="Y46512"/>
    <n v="1"/>
    <s v="CY仓库"/>
    <s v="已经发货"/>
    <n v="6.1600000000000002E-2"/>
    <s v="OCT 18"/>
    <m/>
    <s v="JPY"/>
    <s v="C49SZX20180101JL"/>
    <x v="5"/>
    <s v="YSM20-2"/>
    <s v="L-&gt;R"/>
    <s v="cATS10+MVC+special layout"/>
    <s v="OK"/>
    <s v="DAP 广州"/>
    <d v="2018-06-15T00:00:00"/>
    <x v="0"/>
    <s v="Na"/>
    <s v="Na"/>
    <m/>
    <s v="Yes"/>
    <m/>
  </r>
  <r>
    <n v="97"/>
    <x v="0"/>
    <s v="C49"/>
    <n v="109382"/>
    <s v="易而达"/>
    <x v="3"/>
    <s v="L-&gt;R"/>
    <s v="No"/>
    <s v="Y46511"/>
    <n v="1"/>
    <s v="CY仓库"/>
    <s v="已经发货"/>
    <n v="6.1600000000000002E-2"/>
    <s v="OCT 18"/>
    <m/>
    <s v="JPY"/>
    <s v="C49SZX20180101JL"/>
    <x v="5"/>
    <s v="YSM20-2"/>
    <s v="L-&gt;R"/>
    <s v="No"/>
    <s v="OK"/>
    <s v="DAP 广州"/>
    <d v="2018-06-15T00:00:00"/>
    <x v="0"/>
    <s v="Na"/>
    <s v="Na"/>
    <m/>
    <s v="Yes"/>
    <m/>
  </r>
  <r>
    <n v="146"/>
    <x v="0"/>
    <s v="C49"/>
    <n v="109264"/>
    <s v="立昇"/>
    <x v="3"/>
    <s v="L-&gt;R"/>
    <s v="No"/>
    <s v="Y45374"/>
    <n v="1"/>
    <s v="CY仓库"/>
    <s v="已经发货"/>
    <n v="6.2399999999999997E-2"/>
    <s v="OCT 18"/>
    <m/>
    <s v="JPY"/>
    <s v="C49SZX20180152ZX"/>
    <x v="6"/>
    <s v="C49SZX20210065JD"/>
    <s v="L-&gt;R"/>
    <s v="No"/>
    <s v="OK"/>
    <s v="CIF"/>
    <d v="2018-10-10T00:00:00"/>
    <x v="0"/>
    <s v="Na"/>
    <s v="Na"/>
    <m/>
    <s v="Yes"/>
    <m/>
  </r>
  <r>
    <n v="147"/>
    <x v="0"/>
    <s v="C49"/>
    <n v="109264"/>
    <s v="立昇"/>
    <x v="3"/>
    <s v="L-&gt;R"/>
    <s v="No"/>
    <s v="Y45375"/>
    <n v="1"/>
    <s v="CY仓库"/>
    <s v="已经发货"/>
    <n v="6.2399999999999997E-2"/>
    <s v="OCT 18"/>
    <m/>
    <s v="JPY"/>
    <s v="C49SZX20180152ZX"/>
    <x v="6"/>
    <s v="YSM20R(SV)-2"/>
    <s v="L-&gt;R"/>
    <s v="No"/>
    <s v="OK"/>
    <s v="CIF"/>
    <d v="2018-10-10T00:00:00"/>
    <x v="0"/>
    <s v="Na"/>
    <s v="Na"/>
    <m/>
    <s v="Yes"/>
    <m/>
  </r>
  <r>
    <n v="404"/>
    <x v="0"/>
    <s v="C49"/>
    <s v="此台机器预留了上海的Y48836 "/>
    <m/>
    <x v="4"/>
    <m/>
    <m/>
    <s v="Y48836"/>
    <n v="1"/>
    <m/>
    <m/>
    <n v="6.4799999999999996E-2"/>
    <s v="SEP 19"/>
    <m/>
    <s v="RMB"/>
    <s v="C49SZX20190121JY"/>
    <x v="7"/>
    <s v="YSM10"/>
    <s v="L-&gt;R"/>
    <s v="MVC"/>
    <s v="WRONG"/>
    <s v="含税到厂"/>
    <d v="2019-08-21T00:00:00"/>
    <x v="0"/>
    <m/>
    <m/>
    <m/>
    <s v="C170529430"/>
    <m/>
  </r>
  <r>
    <n v="375"/>
    <x v="0"/>
    <s v="C49"/>
    <n v="109285"/>
    <s v="STK"/>
    <x v="5"/>
    <s v="L-&gt;R"/>
    <s v="sATSII"/>
    <s v="Y44428"/>
    <n v="1"/>
    <s v="力合仓库(已经清关)"/>
    <d v="2018-07-11T00:00:00"/>
    <n v="6.08E-2"/>
    <s v="JUL 19"/>
    <m/>
    <s v="RMB"/>
    <s v="C49SZX20190107DZ"/>
    <x v="8"/>
    <s v="YS24X"/>
    <s v="L-&gt;R"/>
    <s v="No"/>
    <s v="WRONG"/>
    <s v="含税到厂"/>
    <d v="2019-07-03T00:00:00"/>
    <x v="0"/>
    <m/>
    <m/>
    <m/>
    <s v="C180331577"/>
    <m/>
  </r>
  <r>
    <n v="142"/>
    <x v="0"/>
    <s v="C49"/>
    <n v="109322"/>
    <s v="上达"/>
    <x v="1"/>
    <s v="L-&gt;R"/>
    <s v="No"/>
    <s v="Y45234"/>
    <n v="1"/>
    <s v="力合仓库(已经清关)"/>
    <d v="2018-07-11T00:00:00"/>
    <n v="6.08E-2"/>
    <s v="DEC 18"/>
    <m/>
    <s v="RMB"/>
    <s v="SDPUR-20180047"/>
    <x v="9"/>
    <s v="YSM10"/>
    <s v="L-&gt;R"/>
    <s v="MVC"/>
    <s v="WRONG"/>
    <s v="含税到厂"/>
    <d v="2018-06-28T00:00:00"/>
    <x v="0"/>
    <s v="Na"/>
    <s v="Na"/>
    <m/>
    <s v="Yes"/>
    <m/>
  </r>
  <r>
    <n v="143"/>
    <x v="0"/>
    <s v="C49"/>
    <n v="109322"/>
    <s v="上达"/>
    <x v="1"/>
    <s v="L-&gt;R"/>
    <s v="No"/>
    <s v="Y45235"/>
    <n v="1"/>
    <s v="力合仓库(已经清关)"/>
    <d v="2018-07-11T00:00:00"/>
    <n v="6.08E-2"/>
    <s v="DEC 18"/>
    <m/>
    <s v="RMB"/>
    <s v="SDPUR-20180047"/>
    <x v="9"/>
    <s v="YSM10"/>
    <s v="L-&gt;R"/>
    <s v="MVC"/>
    <s v="WRONG"/>
    <s v="含税到厂"/>
    <d v="2018-06-28T00:00:00"/>
    <x v="0"/>
    <s v="Na"/>
    <s v="Na"/>
    <m/>
    <s v="Yes"/>
    <m/>
  </r>
  <r>
    <n v="120"/>
    <x v="0"/>
    <s v="C49"/>
    <n v="109284"/>
    <s v="STK"/>
    <x v="1"/>
    <s v="L-&gt;R"/>
    <s v="MVC+ATS15"/>
    <s v="Y44479"/>
    <n v="1"/>
    <s v="CY仓库"/>
    <d v="2018-07-29T00:00:00"/>
    <n v="6.08E-2"/>
    <s v="DEC 18"/>
    <m/>
    <s v="JPY"/>
    <s v="C49SZX20180131DZ"/>
    <x v="10"/>
    <s v="YSM10"/>
    <s v="R-&gt;L"/>
    <s v="MVC+ATS15"/>
    <s v="WRONG"/>
    <s v="CIF"/>
    <d v="2018-08-13T00:00:00"/>
    <x v="0"/>
    <s v="Na"/>
    <s v="Na"/>
    <m/>
    <s v="Yes"/>
    <m/>
  </r>
  <r>
    <n v="145"/>
    <x v="0"/>
    <s v="C49"/>
    <n v="109284"/>
    <s v="STK"/>
    <x v="1"/>
    <s v="L-&gt;R"/>
    <s v="MVC+ATS15"/>
    <s v="Y44468"/>
    <n v="1"/>
    <s v="福保仓库"/>
    <d v="2018-07-29T00:00:00"/>
    <n v="6.08E-2"/>
    <s v="OCT 18"/>
    <m/>
    <s v="JPY"/>
    <s v="C49SZX20180152ZX"/>
    <x v="6"/>
    <s v="YSM10"/>
    <s v="L-&gt;R"/>
    <s v="MVC+ATS15"/>
    <s v="OK"/>
    <s v="CIF"/>
    <d v="2018-10-10T00:00:00"/>
    <x v="0"/>
    <s v="Na"/>
    <s v="Na"/>
    <m/>
    <s v="Yes"/>
    <m/>
  </r>
  <r>
    <n v="78"/>
    <x v="0"/>
    <s v="C49"/>
    <n v="109238"/>
    <s v="STK"/>
    <x v="1"/>
    <s v="L-&gt;R"/>
    <s v="MVC+ATS15"/>
    <s v="Y44961"/>
    <n v="1"/>
    <s v="福保仓库"/>
    <d v="2018-08-15T00:00:00"/>
    <n v="6.1499999999999999E-2"/>
    <s v="MAR 19"/>
    <m/>
    <s v="JPY"/>
    <s v="C49SZX20180086DZ"/>
    <x v="11"/>
    <s v="YSM10"/>
    <s v="L-&gt;R"/>
    <s v="MVC+ATS15"/>
    <s v="OK"/>
    <s v="CIF HK"/>
    <d v="2018-05-31T00:00:00"/>
    <x v="0"/>
    <s v="Na"/>
    <s v="Na"/>
    <m/>
    <s v="Yes"/>
    <m/>
  </r>
  <r>
    <n v="79"/>
    <x v="0"/>
    <s v="C49"/>
    <n v="109238"/>
    <s v="STK"/>
    <x v="1"/>
    <s v="L-&gt;R"/>
    <s v="MVC+ATS15"/>
    <s v="Y44962"/>
    <n v="1"/>
    <s v="福保仓库"/>
    <d v="2018-08-15T00:00:00"/>
    <n v="6.1499999999999999E-2"/>
    <s v="MAR 19"/>
    <m/>
    <s v="JPY"/>
    <s v="C49SZX20180086DZ"/>
    <x v="11"/>
    <s v="YSM10"/>
    <s v="L-&gt;R"/>
    <s v="MVC+ATS15"/>
    <s v="OK"/>
    <s v="CIF HK"/>
    <d v="2018-05-31T00:00:00"/>
    <x v="0"/>
    <s v="Na"/>
    <s v="Na"/>
    <m/>
    <s v="Yes"/>
    <m/>
  </r>
  <r>
    <n v="186"/>
    <x v="0"/>
    <s v="C49"/>
    <n v="109238"/>
    <s v="STK"/>
    <x v="1"/>
    <s v="L-&gt;R"/>
    <s v="MVC"/>
    <s v="Y44960"/>
    <n v="1"/>
    <s v="福保仓库"/>
    <d v="2018-08-15T00:00:00"/>
    <n v="6.1499999999999999E-2"/>
    <s v="DEC 18"/>
    <m/>
    <s v="JPY"/>
    <s v="C49SZX20180180ZX"/>
    <x v="12"/>
    <s v="YSM10"/>
    <s v="L-&gt;R"/>
    <s v="MVC"/>
    <s v="OK"/>
    <s v="DAP深圳"/>
    <d v="2018-11-27T00:00:00"/>
    <x v="0"/>
    <s v="Na"/>
    <s v="Na"/>
    <m/>
    <s v="Yes"/>
    <m/>
  </r>
  <r>
    <n v="177"/>
    <x v="0"/>
    <s v="C49"/>
    <n v="109238"/>
    <s v="STK"/>
    <x v="1"/>
    <s v="L-&gt;R"/>
    <s v="MVC+ATS15"/>
    <s v="Y44963"/>
    <n v="1"/>
    <s v="力合仓库(已经清关)"/>
    <d v="2018-08-15T00:00:00"/>
    <n v="6.1499999999999999E-2"/>
    <s v="JUL 19"/>
    <m/>
    <s v="JPY"/>
    <s v="C49SZX20180154JL"/>
    <x v="13"/>
    <s v="YSM10"/>
    <s v="L-&gt;R"/>
    <s v="MVC+ATS15"/>
    <s v="OK"/>
    <s v="DAP东莞"/>
    <d v="2018-10-15T00:00:00"/>
    <x v="0"/>
    <s v="Na"/>
    <s v="Na"/>
    <m/>
    <s v="C181133465"/>
    <m/>
  </r>
  <r>
    <n v="30"/>
    <x v="0"/>
    <s v="C49"/>
    <n v="109238"/>
    <s v="STK"/>
    <x v="6"/>
    <s v="L-&gt;R"/>
    <s v="MVC"/>
    <s v="Y44956"/>
    <n v="1"/>
    <s v="力合仓库(已经清关)"/>
    <d v="2018-08-15T00:00:00"/>
    <n v="6.1499999999999999E-2"/>
    <s v="APR 19"/>
    <m/>
    <s v="RMB"/>
    <s v="C49SZX20180058KW"/>
    <x v="14"/>
    <s v="YSM10"/>
    <s v="L-&gt;R"/>
    <s v="MVC"/>
    <s v="OK"/>
    <s v="DDP SZ"/>
    <d v="2018-05-10T00:00:00"/>
    <x v="0"/>
    <m/>
    <m/>
    <m/>
    <s v="Yes"/>
    <m/>
  </r>
  <r>
    <n v="115"/>
    <x v="0"/>
    <s v="C49"/>
    <n v="109202"/>
    <s v="中润互联"/>
    <x v="7"/>
    <s v="L-&gt;R"/>
    <s v="No"/>
    <s v="Y44214"/>
    <n v="1"/>
    <s v="CY仓库"/>
    <d v="2018-09-05T00:00:00"/>
    <n v="6.3E-2"/>
    <s v="NOV 18"/>
    <m/>
    <s v="JPY"/>
    <s v="C49SZX20180124JL"/>
    <x v="15"/>
    <s v="YSM20R(SV)-2"/>
    <s v="L-&gt;R"/>
    <s v="No"/>
    <s v="OK"/>
    <s v="CIF HK"/>
    <d v="2018-08-10T00:00:00"/>
    <x v="0"/>
    <s v="Na"/>
    <s v="Na"/>
    <m/>
    <s v="Yes"/>
    <m/>
  </r>
  <r>
    <n v="98"/>
    <x v="0"/>
    <s v="C49"/>
    <n v="109202"/>
    <s v="中润互联"/>
    <x v="7"/>
    <s v="L-&gt;R"/>
    <s v="cATS10+MVC+special layout"/>
    <s v="Y46126"/>
    <n v="1"/>
    <s v="CY仓库"/>
    <d v="2018-09-05T00:00:00"/>
    <n v="6.3E-2"/>
    <s v="DEC 18"/>
    <m/>
    <s v="JPY"/>
    <s v="C49SZX20180102JL"/>
    <x v="5"/>
    <s v="YSM20-2"/>
    <s v="L-&gt;R"/>
    <s v="cATS10+MVC+special layout"/>
    <s v="OK"/>
    <s v="DAP 广州"/>
    <d v="2018-06-15T00:00:00"/>
    <x v="0"/>
    <s v="Na"/>
    <s v="Na"/>
    <m/>
    <s v="Yes"/>
    <m/>
  </r>
  <r>
    <n v="104"/>
    <x v="0"/>
    <s v="C49"/>
    <n v="109202"/>
    <s v="中润互联"/>
    <x v="7"/>
    <s v="L-&gt;R"/>
    <s v="No"/>
    <s v="Y46124"/>
    <n v="1"/>
    <s v="CY仓库"/>
    <d v="2018-09-05T00:00:00"/>
    <n v="6.3E-2"/>
    <s v="OCT 18"/>
    <m/>
    <s v="JPY"/>
    <s v="C49SZX20180109SX"/>
    <x v="16"/>
    <s v="YSM20-2"/>
    <s v="L-&gt;R"/>
    <s v="No"/>
    <s v="OK"/>
    <s v="DAP SZ"/>
    <d v="2018-06-13T00:00:00"/>
    <x v="0"/>
    <s v="Na"/>
    <s v="Na"/>
    <m/>
    <s v="Yes"/>
    <m/>
  </r>
  <r>
    <n v="141"/>
    <x v="0"/>
    <s v="C49"/>
    <n v="109239"/>
    <s v="STK"/>
    <x v="1"/>
    <s v="L-&gt;R"/>
    <s v="No"/>
    <s v="Y44970"/>
    <n v="1"/>
    <s v="CY仓库"/>
    <d v="2018-09-07T00:00:00"/>
    <n v="6.3E-2"/>
    <s v="NOV 18"/>
    <m/>
    <s v="JPY"/>
    <s v="P8544EQYM44"/>
    <x v="17"/>
    <s v="YSM10"/>
    <s v="L-&gt;R"/>
    <s v="No"/>
    <s v="OK"/>
    <s v="CIF  "/>
    <d v="2018-08-28T00:00:00"/>
    <x v="0"/>
    <s v="Na"/>
    <s v="Na"/>
    <m/>
    <s v="Yes"/>
    <m/>
  </r>
  <r>
    <n v="76"/>
    <x v="0"/>
    <s v="C49"/>
    <n v="109239"/>
    <s v="STK"/>
    <x v="1"/>
    <s v="L-&gt;R"/>
    <s v="No"/>
    <s v="Y44971"/>
    <n v="1"/>
    <s v="CY仓库"/>
    <d v="2018-09-07T00:00:00"/>
    <n v="6.3E-2"/>
    <s v="NOV 18"/>
    <m/>
    <s v="JPY"/>
    <s v="C49SZX20180083DZ"/>
    <x v="18"/>
    <s v="YSM10"/>
    <s v="L-&gt;R"/>
    <s v="No"/>
    <s v="OK"/>
    <s v="DAP SZ"/>
    <d v="2018-05-18T00:00:00"/>
    <x v="0"/>
    <s v="Na"/>
    <s v="Na"/>
    <m/>
    <s v="Yes"/>
    <m/>
  </r>
  <r>
    <n v="77"/>
    <x v="0"/>
    <s v="C49"/>
    <n v="109239"/>
    <s v="STK"/>
    <x v="1"/>
    <s v="L-&gt;R"/>
    <s v="No"/>
    <s v="Y44973"/>
    <n v="1"/>
    <s v="福保仓库"/>
    <d v="2018-09-07T00:00:00"/>
    <n v="6.3E-2"/>
    <s v="NOV 18"/>
    <m/>
    <s v="JPY"/>
    <s v="C49SZX20180083DZ"/>
    <x v="18"/>
    <s v="YSM10"/>
    <s v="L-&gt;R"/>
    <s v="No"/>
    <s v="OK"/>
    <s v="DAP SZ"/>
    <d v="2018-05-18T00:00:00"/>
    <x v="0"/>
    <s v="Na"/>
    <s v="Na"/>
    <m/>
    <s v="Yes"/>
    <m/>
  </r>
  <r>
    <n v="125"/>
    <x v="0"/>
    <s v="C49"/>
    <n v="109239"/>
    <s v="STK"/>
    <x v="1"/>
    <s v="L-&gt;R"/>
    <s v="No"/>
    <s v="Y44974"/>
    <n v="1"/>
    <s v="福保仓库"/>
    <d v="2018-09-07T00:00:00"/>
    <n v="6.3E-2"/>
    <s v="DEC 18"/>
    <m/>
    <s v="JPY"/>
    <s v="C49SZX20180133SX"/>
    <x v="1"/>
    <s v="YSM10"/>
    <s v="L-&gt;R"/>
    <s v="No"/>
    <s v="OK"/>
    <s v="DAP 东莞"/>
    <d v="2018-08-23T00:00:00"/>
    <x v="0"/>
    <s v="Na"/>
    <s v="Na"/>
    <m/>
    <s v="Yes"/>
    <m/>
  </r>
  <r>
    <n v="99"/>
    <x v="0"/>
    <s v="C49"/>
    <n v="109352"/>
    <s v="康佳"/>
    <x v="7"/>
    <s v="L-&gt;R"/>
    <s v="No"/>
    <s v="Y45141"/>
    <n v="1"/>
    <s v="CY仓库"/>
    <d v="2018-09-15T00:00:00"/>
    <n v="6.3E-2"/>
    <s v="DEC 18"/>
    <m/>
    <s v="JPY"/>
    <s v="C49SZX20180102JL"/>
    <x v="5"/>
    <s v="YSM20-2"/>
    <s v="L-&gt;R"/>
    <s v="No"/>
    <s v="OK"/>
    <s v="DAP 广州"/>
    <d v="2018-06-15T00:00:00"/>
    <x v="0"/>
    <s v="Na"/>
    <s v="Na"/>
    <m/>
    <s v="Yes"/>
    <m/>
  </r>
  <r>
    <n v="265"/>
    <x v="0"/>
    <s v="C49"/>
    <n v="109352"/>
    <s v="康佳"/>
    <x v="7"/>
    <s v="L-&gt;R"/>
    <s v="No"/>
    <s v="Y45142"/>
    <n v="1"/>
    <s v="CY仓库"/>
    <d v="2018-09-15T00:00:00"/>
    <n v="6.3E-2"/>
    <s v="APR 19"/>
    <m/>
    <s v="JPY"/>
    <s v="C49SZX20190032SX"/>
    <x v="19"/>
    <s v="YSM20-2"/>
    <s v="L-&gt;R"/>
    <s v="No"/>
    <s v="OK"/>
    <s v="DAP 深圳"/>
    <d v="2019-03-21T00:00:00"/>
    <x v="0"/>
    <s v="Na"/>
    <s v="Na"/>
    <m/>
    <s v="Yes"/>
    <m/>
  </r>
  <r>
    <n v="267"/>
    <x v="0"/>
    <s v="C49"/>
    <n v="109352"/>
    <s v="康佳"/>
    <x v="7"/>
    <s v="L-&gt;R"/>
    <s v="No"/>
    <s v="Y45138"/>
    <n v="1"/>
    <s v="CY仓库"/>
    <d v="2018-09-15T00:00:00"/>
    <n v="6.3E-2"/>
    <s v="APR 19"/>
    <m/>
    <s v="JPY"/>
    <s v="C49SZX20190046SX"/>
    <x v="20"/>
    <s v="YSM20-2"/>
    <s v="L-&gt;R"/>
    <s v="MVC"/>
    <s v="WRONG"/>
    <s v="DAP 深圳"/>
    <d v="2019-03-22T00:00:00"/>
    <x v="0"/>
    <s v="Na"/>
    <s v="Na"/>
    <m/>
    <s v="Yes"/>
    <m/>
  </r>
  <r>
    <n v="149"/>
    <x v="0"/>
    <s v="C49"/>
    <n v="109352"/>
    <s v="康佳"/>
    <x v="7"/>
    <s v="L-&gt;R"/>
    <s v="No"/>
    <s v="Y45140"/>
    <n v="1"/>
    <s v="CY仓库"/>
    <d v="2018-09-15T00:00:00"/>
    <n v="6.3E-2"/>
    <s v="NOV 18"/>
    <m/>
    <s v="JPY"/>
    <s v="C49SZX20180158ZX"/>
    <x v="21"/>
    <s v="YSM20-2"/>
    <s v="L-&gt;R"/>
    <s v="No"/>
    <s v="OK"/>
    <s v="DAP 深圳"/>
    <d v="2018-10-24T00:00:00"/>
    <x v="0"/>
    <s v="Na"/>
    <s v="Na"/>
    <m/>
    <s v="Yes"/>
    <m/>
  </r>
  <r>
    <n v="271"/>
    <x v="0"/>
    <s v="C49"/>
    <n v="109352"/>
    <s v="康佳"/>
    <x v="7"/>
    <s v="L-&gt;R"/>
    <s v="No"/>
    <s v="Y45797"/>
    <n v="1"/>
    <s v="CY仓库"/>
    <d v="2018-09-15T00:00:00"/>
    <n v="6.3E-2"/>
    <s v="APR 19"/>
    <m/>
    <s v="JPY"/>
    <s v="C49SZX20190040JL"/>
    <x v="22"/>
    <s v="YSM20-2"/>
    <s v="L-&gt;R"/>
    <s v="No"/>
    <s v="OK"/>
    <s v="CIF HK"/>
    <d v="2019-03-25T00:00:00"/>
    <x v="0"/>
    <s v="Na"/>
    <s v="Na"/>
    <m/>
    <s v="Yes"/>
    <m/>
  </r>
  <r>
    <n v="272"/>
    <x v="0"/>
    <s v="C49"/>
    <n v="109352"/>
    <s v="康佳"/>
    <x v="7"/>
    <s v="L-&gt;R"/>
    <s v="No"/>
    <s v="Y45798"/>
    <n v="1"/>
    <s v="CY仓库"/>
    <d v="2018-09-15T00:00:00"/>
    <n v="6.3E-2"/>
    <s v="APR 19"/>
    <m/>
    <s v="JPY"/>
    <s v="C49SZX20190040JL"/>
    <x v="22"/>
    <s v="YSM20-2"/>
    <s v="L-&gt;R"/>
    <s v="No"/>
    <s v="OK"/>
    <s v="CIF HK"/>
    <d v="2019-03-25T00:00:00"/>
    <x v="0"/>
    <s v="Na"/>
    <s v="Na"/>
    <m/>
    <s v="Yes"/>
    <m/>
  </r>
  <r>
    <n v="278"/>
    <x v="0"/>
    <s v="C49"/>
    <n v="109352"/>
    <s v="康佳"/>
    <x v="7"/>
    <s v="L-&gt;R"/>
    <s v="No"/>
    <s v="Y45799"/>
    <n v="1"/>
    <s v="CY仓库"/>
    <d v="2018-09-15T00:00:00"/>
    <n v="6.3E-2"/>
    <s v="APR 19"/>
    <m/>
    <s v="JPY"/>
    <s v="C49SZX20190048JY"/>
    <x v="23"/>
    <s v="YSM20-2"/>
    <s v="L-&gt;R"/>
    <s v="No"/>
    <s v="OK"/>
    <s v="DAP东莞"/>
    <d v="2019-04-03T00:00:00"/>
    <x v="0"/>
    <s v="Na"/>
    <s v="Na"/>
    <m/>
    <s v="Yes"/>
    <m/>
  </r>
  <r>
    <n v="31"/>
    <x v="0"/>
    <s v="C49"/>
    <n v="109352"/>
    <s v="康佳"/>
    <x v="7"/>
    <s v="L-&gt;R"/>
    <s v="No"/>
    <s v="Y45139 "/>
    <n v="1"/>
    <s v="力合仓库(已经清关)"/>
    <d v="2018-09-15T00:00:00"/>
    <n v="6.3E-2"/>
    <s v="APR 19"/>
    <m/>
    <s v="RMB"/>
    <s v="C49SZX20180058KW"/>
    <x v="14"/>
    <s v="YSM20-2"/>
    <s v="L-&gt;R"/>
    <s v="No"/>
    <s v="OK"/>
    <s v="DDP SZ"/>
    <d v="2018-05-10T00:00:00"/>
    <x v="0"/>
    <s v="Na"/>
    <s v="Na"/>
    <m/>
    <s v="Yes"/>
    <m/>
  </r>
  <r>
    <n v="187"/>
    <x v="0"/>
    <s v="C49"/>
    <n v="109360"/>
    <s v="STK"/>
    <x v="1"/>
    <s v="L-&gt;R"/>
    <s v="No"/>
    <s v="Y44952"/>
    <n v="1"/>
    <s v="福保仓库"/>
    <d v="2018-09-19T00:00:00"/>
    <n v="6.3E-2"/>
    <s v="FEB 19"/>
    <m/>
    <s v="JPY"/>
    <s v="C49SZX20180161RY"/>
    <x v="24"/>
    <s v="YSM10"/>
    <s v="L-&gt;R"/>
    <s v="No"/>
    <s v="OK"/>
    <s v="DAP深圳"/>
    <d v="2018-12-11T00:00:00"/>
    <x v="0"/>
    <s v="Na"/>
    <s v="Na"/>
    <m/>
    <s v="Yes"/>
    <m/>
  </r>
  <r>
    <n v="213"/>
    <x v="0"/>
    <s v="C49"/>
    <n v="109360"/>
    <s v="STK"/>
    <x v="1"/>
    <s v="L-&gt;R"/>
    <s v="No"/>
    <s v="Y44953"/>
    <n v="1"/>
    <s v="福保仓库"/>
    <d v="2018-09-19T00:00:00"/>
    <n v="6.3E-2"/>
    <s v="MAR 19"/>
    <m/>
    <s v="JPY"/>
    <s v="C49SZX20190007JL"/>
    <x v="25"/>
    <s v="YSM10"/>
    <s v="R-&gt;L"/>
    <s v="No"/>
    <s v="WRONG"/>
    <s v="CIF"/>
    <d v="2019-01-15T00:00:00"/>
    <x v="0"/>
    <s v="Na"/>
    <s v="Na"/>
    <m/>
    <s v="Yes"/>
    <m/>
  </r>
  <r>
    <n v="234"/>
    <x v="0"/>
    <s v="C49"/>
    <n v="109416"/>
    <s v="STK"/>
    <x v="1"/>
    <s v="L-&gt;R"/>
    <s v="MVC+ATS15"/>
    <s v="Y46111"/>
    <n v="1"/>
    <s v="福保仓库"/>
    <d v="2018-09-19T00:00:00"/>
    <n v="6.3E-2"/>
    <s v="APR 19"/>
    <m/>
    <s v="RMB"/>
    <s v="C49SZX20190016KW"/>
    <x v="26"/>
    <s v="YSM10"/>
    <s v="L-&gt;R"/>
    <s v="MVC+ATS15"/>
    <s v="OK"/>
    <s v="DAP 深圳"/>
    <d v="2019-01-25T00:00:00"/>
    <x v="0"/>
    <s v="Na"/>
    <s v="Na"/>
    <m/>
    <s v="Yes"/>
    <m/>
  </r>
  <r>
    <n v="235"/>
    <x v="0"/>
    <s v="C49"/>
    <n v="109416"/>
    <s v="STK"/>
    <x v="1"/>
    <s v="L-&gt;R"/>
    <s v="MVC+ATS15"/>
    <s v="Y46112"/>
    <n v="1"/>
    <s v="福保仓库"/>
    <d v="2018-09-19T00:00:00"/>
    <n v="6.3E-2"/>
    <s v="APR 19"/>
    <m/>
    <s v="RMB"/>
    <s v="C49SZX20190016KW"/>
    <x v="26"/>
    <s v="YSM10"/>
    <s v="L-&gt;R"/>
    <s v="MVC+ATS15"/>
    <s v="OK"/>
    <s v="DAP 深圳"/>
    <d v="2019-01-25T00:00:00"/>
    <x v="0"/>
    <s v="Na"/>
    <s v="Na"/>
    <m/>
    <s v="Yes"/>
    <m/>
  </r>
  <r>
    <n v="212"/>
    <x v="0"/>
    <s v="C49"/>
    <n v="109381"/>
    <s v="STK"/>
    <x v="1"/>
    <s v="L-&gt;R"/>
    <s v="MVC"/>
    <s v="Y44983"/>
    <n v="1"/>
    <s v="2019.4.3拖CY"/>
    <d v="2018-10-12T00:00:00"/>
    <n v="6.2399999999999997E-2"/>
    <s v="MAR 19"/>
    <m/>
    <s v="JPY"/>
    <s v="C49SZX20190007JL"/>
    <x v="25"/>
    <s v="YSM10"/>
    <s v="R-&gt;L"/>
    <s v="MVC"/>
    <s v="WRONG"/>
    <s v="CIF"/>
    <d v="2019-01-15T00:00:00"/>
    <x v="0"/>
    <s v="Na"/>
    <s v="Na"/>
    <m/>
    <s v="Yes"/>
    <m/>
  </r>
  <r>
    <n v="181"/>
    <x v="0"/>
    <s v="C49"/>
    <n v="109381"/>
    <s v="STK"/>
    <x v="1"/>
    <s v="L-&gt;R"/>
    <s v="MVC"/>
    <s v="Y44984"/>
    <n v="1"/>
    <s v="福保仓库"/>
    <d v="2018-10-12T00:00:00"/>
    <n v="6.2399999999999997E-2"/>
    <s v="DEC 18"/>
    <m/>
    <s v="JPY"/>
    <s v="C49SZX20180172ZX"/>
    <x v="27"/>
    <s v="YSM10"/>
    <s v="L-&gt;R"/>
    <s v="MVC"/>
    <s v="OK"/>
    <s v="DAP深圳"/>
    <d v="2018-11-21T00:00:00"/>
    <x v="0"/>
    <s v="Na"/>
    <s v="Na"/>
    <m/>
    <s v="Yes"/>
    <m/>
  </r>
  <r>
    <n v="253"/>
    <x v="0"/>
    <s v="C49"/>
    <n v="109381"/>
    <s v="STK"/>
    <x v="1"/>
    <s v="L-&gt;R"/>
    <s v="MVC+ATS15"/>
    <s v="Y44985"/>
    <n v="1"/>
    <s v="福保仓库"/>
    <d v="2018-10-12T00:00:00"/>
    <n v="6.2399999999999997E-2"/>
    <s v="APR 19"/>
    <m/>
    <s v="JPY"/>
    <s v="C49SZX20190027MZ"/>
    <x v="28"/>
    <s v="YSM10"/>
    <s v="L-&gt;R"/>
    <s v="MVC+ATS15"/>
    <s v="OK"/>
    <s v="DAP 深圳"/>
    <d v="2019-03-12T00:00:00"/>
    <x v="0"/>
    <s v="Na"/>
    <s v="Na"/>
    <m/>
    <s v="Yes end user 拓普塞特"/>
    <m/>
  </r>
  <r>
    <n v="276"/>
    <x v="0"/>
    <s v="C49"/>
    <n v="109381"/>
    <s v="STK"/>
    <x v="1"/>
    <s v="L-&gt;R"/>
    <s v="MVC+ATS15"/>
    <s v="Y44986"/>
    <n v="1"/>
    <s v="福保仓库"/>
    <d v="2018-10-12T00:00:00"/>
    <n v="6.2399999999999997E-2"/>
    <s v="APR 19"/>
    <m/>
    <s v="JPY"/>
    <s v="C49SZX20190049SS"/>
    <x v="29"/>
    <s v="YSM10"/>
    <s v="L-&gt;R"/>
    <s v="MVC+ATS15"/>
    <s v="OK"/>
    <s v="DAP 深圳"/>
    <d v="2019-04-02T00:00:00"/>
    <x v="0"/>
    <d v="2018-08-30T00:00:00"/>
    <d v="2018-09-12T00:00:00"/>
    <m/>
    <s v="C180131261"/>
    <m/>
  </r>
  <r>
    <n v="263"/>
    <x v="0"/>
    <s v="C49"/>
    <n v="109381"/>
    <s v="STK"/>
    <x v="1"/>
    <s v="L-&gt;R"/>
    <s v="No"/>
    <s v="Y44979"/>
    <n v="1"/>
    <s v="福保仓库"/>
    <d v="2018-10-12T00:00:00"/>
    <n v="6.2399999999999997E-2"/>
    <s v="APR 19"/>
    <m/>
    <s v="JPY"/>
    <s v="C49SZX20190035ZX"/>
    <x v="30"/>
    <s v="YSM10"/>
    <s v="L-&gt;R"/>
    <s v="MVC"/>
    <s v="WRONG"/>
    <s v="DAP 深圳"/>
    <d v="2019-03-20T00:00:00"/>
    <x v="0"/>
    <s v="Na"/>
    <s v="Na"/>
    <m/>
    <s v="Yes"/>
    <m/>
  </r>
  <r>
    <n v="275"/>
    <x v="0"/>
    <s v="C49"/>
    <n v="109381"/>
    <s v="STK"/>
    <x v="1"/>
    <s v="L-&gt;R"/>
    <s v="No"/>
    <s v="Y44981"/>
    <n v="1"/>
    <s v="福保仓库"/>
    <d v="2018-10-12T00:00:00"/>
    <n v="6.2399999999999997E-2"/>
    <s v="APR 19"/>
    <m/>
    <s v="JPY"/>
    <s v="C49SZX20190047SS"/>
    <x v="31"/>
    <s v="YSM10"/>
    <s v="L-&gt;R"/>
    <s v="MVC"/>
    <s v="WRONG"/>
    <s v="DAP 深圳"/>
    <d v="2019-04-01T00:00:00"/>
    <x v="0"/>
    <d v="2018-06-15T00:00:00"/>
    <d v="2018-07-02T00:00:00"/>
    <m/>
    <s v="Yes"/>
    <m/>
  </r>
  <r>
    <n v="42"/>
    <x v="0"/>
    <s v="C49"/>
    <n v="109381"/>
    <s v="STK"/>
    <x v="1"/>
    <s v="L-&gt;R"/>
    <s v="No"/>
    <s v="Y44980"/>
    <n v="1"/>
    <s v="福保仓库"/>
    <d v="2018-10-12T00:00:00"/>
    <n v="6.2399999999999997E-2"/>
    <s v="MAR 19"/>
    <m/>
    <s v="JPY"/>
    <s v="C49SZX20180066JY"/>
    <x v="32"/>
    <s v="YSM10"/>
    <s v="R-&gt;L"/>
    <s v="No"/>
    <s v="WRONG"/>
    <s v="DAP SZ"/>
    <d v="2018-06-05T00:00:00"/>
    <x v="0"/>
    <m/>
    <m/>
    <m/>
    <s v="Yes"/>
    <m/>
  </r>
  <r>
    <n v="43"/>
    <x v="0"/>
    <s v="C49"/>
    <n v="109381"/>
    <s v="STK"/>
    <x v="1"/>
    <s v="L-&gt;R"/>
    <s v="No"/>
    <s v="Y44982"/>
    <n v="1"/>
    <s v="福保仓库"/>
    <d v="2018-10-12T00:00:00"/>
    <n v="6.2399999999999997E-2"/>
    <s v="MAR 19"/>
    <m/>
    <s v="JPY"/>
    <s v="C49SZX20180066JY"/>
    <x v="32"/>
    <s v="YSM10"/>
    <s v="L-&gt;R"/>
    <s v="No"/>
    <s v="OK"/>
    <s v="DAP SZ"/>
    <d v="2018-06-05T00:00:00"/>
    <x v="0"/>
    <m/>
    <m/>
    <m/>
    <s v="Yes"/>
    <m/>
  </r>
  <r>
    <n v="281"/>
    <x v="0"/>
    <s v="C49"/>
    <n v="109381"/>
    <s v="STK"/>
    <x v="1"/>
    <s v="L-&gt;R"/>
    <s v="No"/>
    <s v="Y44975"/>
    <n v="1"/>
    <s v="福保仓库"/>
    <d v="2018-10-12T00:00:00"/>
    <n v="6.2399999999999997E-2"/>
    <s v="APR 19"/>
    <m/>
    <s v="JPY"/>
    <s v="C49SZX20190052SS"/>
    <x v="33"/>
    <s v="YSM10"/>
    <s v="L-&gt;R"/>
    <s v="MVC"/>
    <s v="WRONG"/>
    <s v="DAP东莞"/>
    <d v="2019-04-12T00:00:00"/>
    <x v="0"/>
    <s v="Na"/>
    <s v="Na"/>
    <m/>
    <s v="Yes"/>
    <m/>
  </r>
  <r>
    <n v="282"/>
    <x v="0"/>
    <s v="C49"/>
    <n v="109381"/>
    <s v="STK"/>
    <x v="1"/>
    <s v="L-&gt;R"/>
    <s v="No"/>
    <s v="Y44976"/>
    <n v="1"/>
    <s v="福保仓库"/>
    <d v="2018-10-12T00:00:00"/>
    <n v="6.2399999999999997E-2"/>
    <s v="APR 19"/>
    <m/>
    <s v="JPY"/>
    <s v="C49SZX20190052SS"/>
    <x v="33"/>
    <s v="YSM10"/>
    <s v="L-&gt;R"/>
    <s v="MVC"/>
    <s v="WRONG"/>
    <s v="DAP东莞"/>
    <d v="2019-04-12T00:00:00"/>
    <x v="0"/>
    <s v="Na"/>
    <s v="Na"/>
    <m/>
    <s v="Yes"/>
    <m/>
  </r>
  <r>
    <n v="298"/>
    <x v="0"/>
    <s v="C49"/>
    <n v="109381"/>
    <s v="STK"/>
    <x v="1"/>
    <s v="L-&gt;R"/>
    <s v="No"/>
    <s v="Y44977"/>
    <n v="1"/>
    <s v="福保仓库"/>
    <d v="2018-10-12T00:00:00"/>
    <n v="6.2399999999999997E-2"/>
    <s v="MAY 19"/>
    <m/>
    <s v="JPY"/>
    <s v="C49SZX20190061JL"/>
    <x v="34"/>
    <s v="YSM10"/>
    <s v="L-&gt;R"/>
    <s v="MVC"/>
    <s v="WRONG"/>
    <s v="CIF HK"/>
    <d v="2019-04-27T00:00:00"/>
    <x v="0"/>
    <s v="Na"/>
    <s v="Na"/>
    <m/>
    <s v="Yes,end user 昶达"/>
    <m/>
  </r>
  <r>
    <n v="243"/>
    <x v="0"/>
    <s v="C49"/>
    <n v="109381"/>
    <s v="STK"/>
    <x v="1"/>
    <s v="L-&gt;R"/>
    <s v="No"/>
    <s v="Y44978"/>
    <n v="1"/>
    <s v="福保仓库"/>
    <d v="2018-10-12T00:00:00"/>
    <n v="6.2399999999999997E-2"/>
    <s v="MAR 19"/>
    <m/>
    <s v="JPY"/>
    <s v="C49SZX20190023SS"/>
    <x v="35"/>
    <s v="YSM10"/>
    <s v="R-&gt;L"/>
    <s v="MVC"/>
    <s v="WRONG"/>
    <s v="DAP 深圳"/>
    <d v="2019-02-27T00:00:00"/>
    <x v="0"/>
    <m/>
    <s v="Na"/>
    <m/>
    <s v="Yes"/>
    <m/>
  </r>
  <r>
    <n v="266"/>
    <x v="0"/>
    <s v="C49"/>
    <n v="109413"/>
    <s v="STK"/>
    <x v="1"/>
    <s v="L-&gt;R"/>
    <s v="MVC"/>
    <s v="Y46673"/>
    <n v="1"/>
    <s v="福保仓库"/>
    <d v="2018-10-12T00:00:00"/>
    <n v="6.2399999999999997E-2"/>
    <s v="APR 19"/>
    <m/>
    <s v="JPY"/>
    <s v="C49SZX20190032SX"/>
    <x v="19"/>
    <s v="YSM10"/>
    <s v="L-&gt;R"/>
    <s v="MVC"/>
    <s v="OK"/>
    <s v="DAP 深圳"/>
    <d v="2019-03-21T00:00:00"/>
    <x v="0"/>
    <s v="Na"/>
    <s v="Na"/>
    <m/>
    <s v="Yes"/>
    <m/>
  </r>
  <r>
    <n v="242"/>
    <x v="0"/>
    <s v="C49"/>
    <n v="109413"/>
    <s v="STK"/>
    <x v="1"/>
    <s v="L-&gt;R"/>
    <s v="No"/>
    <s v="Y46674"/>
    <n v="1"/>
    <s v="福保仓库"/>
    <d v="2018-10-12T00:00:00"/>
    <n v="6.2399999999999997E-2"/>
    <s v="MAR 19"/>
    <m/>
    <s v="JPY"/>
    <s v="C49SZX20190023SS"/>
    <x v="35"/>
    <s v="YSM10"/>
    <s v="L-&gt;R"/>
    <s v="MVC"/>
    <s v="WRONG"/>
    <s v="DAP 深圳"/>
    <d v="2019-02-27T00:00:00"/>
    <x v="0"/>
    <m/>
    <s v="Na"/>
    <m/>
    <s v="Yes"/>
    <m/>
  </r>
  <r>
    <n v="48"/>
    <x v="0"/>
    <s v="C49"/>
    <n v="109331"/>
    <s v="永顺创"/>
    <x v="3"/>
    <s v="L-&gt;R"/>
    <s v="MVC"/>
    <s v="Y46418"/>
    <n v="1"/>
    <s v="码头"/>
    <d v="2018-11-01T00:00:00"/>
    <n v="6.1600000000000002E-2"/>
    <s v="NOV 18"/>
    <m/>
    <s v="JPY"/>
    <s v="C49SZX20180070SX"/>
    <x v="36"/>
    <s v="YSM20-2"/>
    <s v="L-&gt;R"/>
    <s v="MVC"/>
    <s v="OK"/>
    <s v="DAP SZ"/>
    <d v="2018-04-18T00:00:00"/>
    <x v="0"/>
    <s v="Na"/>
    <s v="Na"/>
    <s v="OEF已做"/>
    <s v="Yes"/>
    <m/>
  </r>
  <r>
    <n v="49"/>
    <x v="0"/>
    <s v="C49"/>
    <n v="109331"/>
    <s v="永顺创"/>
    <x v="3"/>
    <s v="L-&gt;R"/>
    <s v="MVC"/>
    <s v="Y46419"/>
    <n v="1"/>
    <s v="码头"/>
    <d v="2018-11-01T00:00:00"/>
    <n v="6.1600000000000002E-2"/>
    <s v="NOV 18"/>
    <m/>
    <s v="JPY"/>
    <s v="C49SZX20180070SX"/>
    <x v="36"/>
    <s v="YSM20-2"/>
    <s v="L-&gt;R"/>
    <s v="MVC"/>
    <s v="OK"/>
    <s v="DAP SZ"/>
    <d v="2018-04-18T00:00:00"/>
    <x v="0"/>
    <s v="Na"/>
    <s v="Na"/>
    <s v="OEF已做"/>
    <s v="Yes"/>
    <m/>
  </r>
  <r>
    <n v="127"/>
    <x v="0"/>
    <s v="C49"/>
    <n v="109288"/>
    <s v="亿联"/>
    <x v="3"/>
    <s v="L-&gt;R"/>
    <s v="No"/>
    <s v="Y45637"/>
    <n v="1"/>
    <s v="码头"/>
    <d v="2018-11-03T00:00:00"/>
    <n v="6.1600000000000002E-2"/>
    <s v="NOV 18"/>
    <m/>
    <s v="JPY"/>
    <s v="C49SZX20180135SX"/>
    <x v="37"/>
    <s v="YSM20R(SV)-2"/>
    <s v="L-&gt;R"/>
    <s v="No"/>
    <s v="OK"/>
    <s v="CIF "/>
    <d v="2018-08-29T00:00:00"/>
    <x v="0"/>
    <s v="Na"/>
    <s v="Na"/>
    <m/>
    <s v="Yes"/>
    <m/>
  </r>
  <r>
    <n v="128"/>
    <x v="0"/>
    <s v="C49"/>
    <n v="109288"/>
    <s v="亿联"/>
    <x v="3"/>
    <s v="L-&gt;R"/>
    <s v="No"/>
    <s v="Y45638"/>
    <n v="1"/>
    <s v="码头"/>
    <d v="2018-11-03T00:00:00"/>
    <n v="6.1600000000000002E-2"/>
    <s v="NOV 18"/>
    <m/>
    <s v="JPY"/>
    <s v="C49SZX20180135SX"/>
    <x v="37"/>
    <s v="YSM20R(SV)-2"/>
    <s v="L-&gt;R"/>
    <s v="No"/>
    <s v="OK"/>
    <s v="CIF "/>
    <d v="2018-08-29T00:00:00"/>
    <x v="0"/>
    <s v="Na"/>
    <s v="Na"/>
    <m/>
    <s v="Yes"/>
    <m/>
  </r>
  <r>
    <n v="423"/>
    <x v="0"/>
    <s v="C49"/>
    <n v="109308"/>
    <s v="英拓邦"/>
    <x v="3"/>
    <s v="L-&gt;R"/>
    <s v="cATS10+special layout"/>
    <s v="Y45850"/>
    <n v="1"/>
    <s v="力合仓库(已经清关)"/>
    <d v="2018-11-11T00:00:00"/>
    <n v="6.1600000000000002E-2"/>
    <s v="SEP 19"/>
    <m/>
    <s v="RMB"/>
    <s v="C49SZX20190135SX"/>
    <x v="38"/>
    <s v="YSM20R(SV)-2"/>
    <s v="L-&gt;R"/>
    <s v="cATS10+MVC+special layout"/>
    <s v="WRONG"/>
    <s v="含税到厂"/>
    <d v="2019-09-07T00:00:00"/>
    <x v="0"/>
    <s v="Na"/>
    <s v="Na"/>
    <m/>
    <s v="C190935664"/>
    <m/>
  </r>
  <r>
    <n v="429"/>
    <x v="0"/>
    <s v="C49"/>
    <n v="109308"/>
    <s v="英拓邦"/>
    <x v="3"/>
    <s v="L-&gt;R"/>
    <s v="cATS10+special layout"/>
    <s v="Y45851"/>
    <n v="1"/>
    <s v="力合仓库(已经清关)"/>
    <d v="2018-11-11T00:00:00"/>
    <n v="6.1600000000000002E-2"/>
    <s v="SEP 19"/>
    <m/>
    <s v="RMB"/>
    <s v="C49SZX201900131JL"/>
    <x v="39"/>
    <s v="YSM20R(SV)-2"/>
    <s v="L-&gt;R"/>
    <s v="cATS10+MVC+special layout"/>
    <s v="WRONG"/>
    <s v="含税到厂"/>
    <d v="2019-09-09T00:00:00"/>
    <x v="0"/>
    <m/>
    <m/>
    <m/>
    <s v="C190434452"/>
    <m/>
  </r>
  <r>
    <n v="246"/>
    <x v="0"/>
    <s v="C49"/>
    <n v="109295"/>
    <s v="STK"/>
    <x v="1"/>
    <s v="L-&gt;R"/>
    <s v="No"/>
    <s v="Y45751"/>
    <n v="1"/>
    <s v="福保仓库"/>
    <d v="2018-11-14T00:00:00"/>
    <n v="6.2799999999999995E-2"/>
    <s v="MAY 19"/>
    <m/>
    <s v="JPY"/>
    <s v="C49SZX20190031MZ"/>
    <x v="40"/>
    <s v="YSM10"/>
    <s v="R-&gt;L"/>
    <s v="MVC"/>
    <s v="WRONG"/>
    <s v="CIF HK"/>
    <d v="2019-03-08T00:00:00"/>
    <x v="0"/>
    <s v="Na"/>
    <s v="Na"/>
    <m/>
    <s v="C180331587"/>
    <m/>
  </r>
  <r>
    <n v="247"/>
    <x v="0"/>
    <s v="C49"/>
    <n v="109295"/>
    <s v="STK"/>
    <x v="1"/>
    <s v="L-&gt;R"/>
    <s v="No"/>
    <s v="Y45752"/>
    <n v="1"/>
    <s v="福保仓库"/>
    <d v="2018-11-14T00:00:00"/>
    <n v="6.2799999999999995E-2"/>
    <s v="MAY 19"/>
    <m/>
    <s v="JPY"/>
    <s v="C49SZX20190031MZ"/>
    <x v="40"/>
    <s v="YSM10"/>
    <s v="R-&gt;L"/>
    <s v="MVC"/>
    <s v="WRONG"/>
    <s v="CIF HK"/>
    <d v="2019-03-08T00:00:00"/>
    <x v="0"/>
    <s v="Na"/>
    <s v="Na"/>
    <m/>
    <s v="C180331587"/>
    <m/>
  </r>
  <r>
    <s v="咸阳宇迪"/>
    <x v="0"/>
    <s v="C49"/>
    <n v="109295"/>
    <s v="STK"/>
    <x v="1"/>
    <s v="L-&gt;R"/>
    <s v="No"/>
    <s v="Y45753"/>
    <n v="1"/>
    <s v="力合仓库(已经清关)"/>
    <d v="2018-11-14T00:00:00"/>
    <n v="6.2799999999999995E-2"/>
    <s v="JUN 19"/>
    <m/>
    <e v="#N/A"/>
    <e v="#N/A"/>
    <x v="41"/>
    <e v="#N/A"/>
    <e v="#N/A"/>
    <e v="#N/A"/>
    <e v="#N/A"/>
    <e v="#N/A"/>
    <e v="#N/A"/>
    <x v="1"/>
    <d v="2018-06-01T00:00:00"/>
    <d v="2018-06-15T00:00:00"/>
    <m/>
    <s v="C111110870"/>
    <m/>
  </r>
  <r>
    <n v="344"/>
    <x v="0"/>
    <s v="C49"/>
    <n v="109295"/>
    <s v="STK"/>
    <x v="1"/>
    <s v="L-&gt;R"/>
    <s v="No"/>
    <s v="Y45754"/>
    <n v="1"/>
    <s v="力合仓库(已经清关)"/>
    <d v="2018-11-14T00:00:00"/>
    <n v="6.2799999999999995E-2"/>
    <s v="JUN 19"/>
    <m/>
    <s v="RMB"/>
    <s v="C49SZX20190091JL"/>
    <x v="42"/>
    <s v="YSM10"/>
    <s v="L-&gt;R"/>
    <s v="No"/>
    <s v="OK"/>
    <s v="含税到厂"/>
    <d v="2019-06-06T00:00:00"/>
    <x v="0"/>
    <s v="Na"/>
    <s v="Na"/>
    <m/>
    <s v="C180131115"/>
    <m/>
  </r>
  <r>
    <n v="345"/>
    <x v="0"/>
    <s v="C49"/>
    <n v="109295"/>
    <s v="STK"/>
    <x v="1"/>
    <s v="L-&gt;R"/>
    <s v="No"/>
    <s v="Y45755"/>
    <n v="1"/>
    <s v="力合仓库(已经清关)"/>
    <d v="2018-11-14T00:00:00"/>
    <n v="6.2799999999999995E-2"/>
    <s v="JUN 19"/>
    <m/>
    <s v="RMB"/>
    <s v="C49SZX20190091JL"/>
    <x v="42"/>
    <s v="YSM10"/>
    <s v="R-&gt;L"/>
    <s v="No"/>
    <s v="WRONG"/>
    <s v="含税到厂"/>
    <d v="2019-06-06T00:00:00"/>
    <x v="0"/>
    <s v="Na"/>
    <s v="Na"/>
    <m/>
    <s v="C180131115"/>
    <m/>
  </r>
  <r>
    <n v="355"/>
    <x v="0"/>
    <s v="C49"/>
    <n v="109295"/>
    <s v="STK"/>
    <x v="1"/>
    <s v="L-&gt;R"/>
    <s v="No"/>
    <s v="Y45756"/>
    <n v="1"/>
    <s v="力合仓库(已经清关)"/>
    <d v="2018-11-14T00:00:00"/>
    <n v="6.2799999999999995E-2"/>
    <s v="JUN 19"/>
    <m/>
    <s v="RMB"/>
    <s v="C49SZX20190099SX"/>
    <x v="43"/>
    <s v="YSM10"/>
    <s v="L-&gt;R"/>
    <s v="No"/>
    <s v="OK"/>
    <s v="含税到厂"/>
    <d v="2019-06-18T00:00:00"/>
    <x v="0"/>
    <s v="Na"/>
    <s v="Na"/>
    <m/>
    <s v="C181233636"/>
    <m/>
  </r>
  <r>
    <n v="15"/>
    <x v="0"/>
    <s v="C49"/>
    <n v="109421"/>
    <s v="STK"/>
    <x v="8"/>
    <s v="L-&gt;R"/>
    <s v="No"/>
    <s v="Y45172"/>
    <n v="1"/>
    <s v="CY仓库"/>
    <d v="2018-12-01T00:00:00"/>
    <n v="6.25E-2"/>
    <s v="MAR 19"/>
    <m/>
    <s v="JPY"/>
    <s v="C49SZX20180033GL"/>
    <x v="44"/>
    <s v="YS24"/>
    <s v="L-&gt;R"/>
    <s v="No"/>
    <s v="OK"/>
    <s v="CIF"/>
    <d v="2018-02-02T00:00:00"/>
    <x v="0"/>
    <s v="Na"/>
    <s v="Na"/>
    <m/>
    <s v="前海福源 "/>
    <m/>
  </r>
  <r>
    <n v="154"/>
    <x v="0"/>
    <s v="C49"/>
    <n v="109421"/>
    <s v="STK"/>
    <x v="8"/>
    <s v="L-&gt;R"/>
    <s v="No"/>
    <s v="Y45171"/>
    <n v="1"/>
    <s v="CY仓库"/>
    <d v="2018-12-01T00:00:00"/>
    <n v="6.25E-2"/>
    <s v="DEC 18"/>
    <m/>
    <s v="JPY"/>
    <s v="C49SZX20180165ZX"/>
    <x v="45"/>
    <s v="YS24"/>
    <s v="L-&gt;R"/>
    <s v="No"/>
    <s v="OK"/>
    <s v="DAP 深圳"/>
    <d v="2018-11-08T00:00:00"/>
    <x v="0"/>
    <s v="Na"/>
    <s v="Na"/>
    <s v="此台机器做了OEF（鼎鸿20180033GL）"/>
    <s v="Yes"/>
    <m/>
  </r>
  <r>
    <n v="291"/>
    <x v="0"/>
    <s v="C49"/>
    <n v="109421"/>
    <s v="STK"/>
    <x v="8"/>
    <s v="L-&gt;R"/>
    <s v="No"/>
    <s v="Y45170"/>
    <n v="1"/>
    <s v="福保仓库"/>
    <d v="2018-12-01T00:00:00"/>
    <n v="6.25E-2"/>
    <s v="AUG 19"/>
    <m/>
    <s v="JPY"/>
    <s v="C49SZX20190060DZ"/>
    <x v="46"/>
    <s v="YS24"/>
    <s v="L-&gt;R"/>
    <s v="MVC"/>
    <s v="WRONG"/>
    <s v="CIF HK"/>
    <d v="2019-04-24T00:00:00"/>
    <x v="0"/>
    <s v="Na"/>
    <s v="Na"/>
    <m/>
    <s v="C180331607"/>
    <m/>
  </r>
  <r>
    <n v="248"/>
    <x v="0"/>
    <s v="C49"/>
    <n v="109421"/>
    <s v="STK"/>
    <x v="8"/>
    <s v="L-&gt;R"/>
    <s v="No"/>
    <s v="Y45169"/>
    <n v="1"/>
    <s v="福保仓库"/>
    <d v="2018-12-01T00:00:00"/>
    <n v="6.25E-2"/>
    <s v="MAR 19"/>
    <m/>
    <s v="JPY"/>
    <s v="C49SZX20190030SX"/>
    <x v="47"/>
    <s v="YS24"/>
    <s v="L-&gt;R"/>
    <s v="No"/>
    <s v="OK"/>
    <s v="DAP惠阳"/>
    <d v="2019-03-07T00:00:00"/>
    <x v="0"/>
    <s v="Na"/>
    <s v="Na"/>
    <m/>
    <s v="Yes"/>
    <m/>
  </r>
  <r>
    <n v="211"/>
    <x v="0"/>
    <s v="C49"/>
    <n v="109421"/>
    <s v="STK"/>
    <x v="8"/>
    <s v="L-&gt;R"/>
    <s v="No"/>
    <s v="Y45174"/>
    <n v="1"/>
    <s v="力合仓库(已经清关)"/>
    <d v="2018-12-01T00:00:00"/>
    <n v="6.25E-2"/>
    <s v="FEB 19"/>
    <m/>
    <s v="RMB"/>
    <s v="C49SZX20190011SX"/>
    <x v="48"/>
    <s v="YS24"/>
    <s v="L-&gt;R"/>
    <s v="No"/>
    <s v="OK"/>
    <s v="含税到厂"/>
    <d v="2019-01-15T00:00:00"/>
    <x v="0"/>
    <s v="Na"/>
    <s v="Na"/>
    <m/>
    <s v="Yes"/>
    <m/>
  </r>
  <r>
    <n v="208"/>
    <x v="0"/>
    <s v="C49"/>
    <n v="109421"/>
    <s v="STK"/>
    <x v="8"/>
    <s v="L-&gt;R"/>
    <s v="No"/>
    <s v="Y45173"/>
    <n v="1"/>
    <s v="力合仓库(已经清关)"/>
    <d v="2018-12-01T00:00:00"/>
    <n v="6.25E-2"/>
    <s v="FEB 19"/>
    <m/>
    <s v="RMB"/>
    <s v="C49SZX20190005SX"/>
    <x v="49"/>
    <s v="YS24"/>
    <s v="L-&gt;R"/>
    <s v="No"/>
    <s v="OK"/>
    <s v="含税到厂"/>
    <d v="2019-01-09T00:00:00"/>
    <x v="0"/>
    <s v="Na"/>
    <s v="Na"/>
    <m/>
    <s v="Yes"/>
    <m/>
  </r>
  <r>
    <n v="222"/>
    <x v="0"/>
    <s v="C49"/>
    <n v="109388"/>
    <s v="康佳"/>
    <x v="3"/>
    <s v="L-&gt;R"/>
    <s v="No"/>
    <s v="Y45802"/>
    <n v="1"/>
    <s v="CY仓库"/>
    <d v="2018-12-05T00:00:00"/>
    <n v="6.25E-2"/>
    <s v="JAN 19"/>
    <m/>
    <s v="JPY"/>
    <s v="C49SZX20190012SX"/>
    <x v="50"/>
    <s v="YSM20-2"/>
    <s v="L-&gt;R"/>
    <s v="No"/>
    <s v="OK"/>
    <s v="DAP 江西"/>
    <d v="2019-01-16T00:00:00"/>
    <x v="0"/>
    <s v="Na"/>
    <s v="Na"/>
    <m/>
    <s v="Yes"/>
    <m/>
  </r>
  <r>
    <n v="131"/>
    <x v="0"/>
    <s v="C49"/>
    <n v="109279"/>
    <s v="上达名义"/>
    <x v="3"/>
    <s v="L-&gt;R"/>
    <s v="No"/>
    <s v="Y45144"/>
    <n v="1"/>
    <s v="CY仓库"/>
    <d v="2018-12-05T00:00:00"/>
    <n v="6.2199999999999998E-2"/>
    <s v="DEC 18"/>
    <m/>
    <s v="JPY"/>
    <s v="C49SZX20180137DZ"/>
    <x v="10"/>
    <s v="YSM20R(SV)-2"/>
    <s v="R-&gt;L"/>
    <s v="No"/>
    <s v="WRONG"/>
    <s v="CIF"/>
    <d v="2018-08-31T00:00:00"/>
    <x v="0"/>
    <s v="Na"/>
    <s v="Na"/>
    <m/>
    <s v="Yes"/>
    <m/>
  </r>
  <r>
    <n v="132"/>
    <x v="0"/>
    <s v="C49"/>
    <n v="109279"/>
    <s v="上达名义"/>
    <x v="3"/>
    <s v="L-&gt;R"/>
    <s v="No"/>
    <s v="Y46177"/>
    <n v="1"/>
    <s v="CY仓库"/>
    <d v="2018-12-05T00:00:00"/>
    <n v="6.2199999999999998E-2"/>
    <s v="DEC 18"/>
    <m/>
    <s v="JPY"/>
    <s v="C49SZX20180137DZ"/>
    <x v="10"/>
    <s v="YSM20R(SV)-2"/>
    <s v="R-&gt;L"/>
    <s v="No"/>
    <s v="WRONG"/>
    <s v="CIF"/>
    <d v="2018-08-31T00:00:00"/>
    <x v="0"/>
    <s v="Na"/>
    <s v="Na"/>
    <m/>
    <s v="Yes"/>
    <m/>
  </r>
  <r>
    <n v="119"/>
    <x v="0"/>
    <s v="C49"/>
    <n v="109279"/>
    <s v="上达名义"/>
    <x v="3"/>
    <s v="L-&gt;R"/>
    <s v="No"/>
    <s v="Y45145"/>
    <n v="1"/>
    <s v="CY仓库"/>
    <d v="2018-12-05T00:00:00"/>
    <n v="6.2199999999999998E-2"/>
    <s v="DEC 18"/>
    <m/>
    <s v="JPY"/>
    <s v="C49SZX20180131DZ"/>
    <x v="10"/>
    <s v="YSM20R(SV)-2"/>
    <s v="R-&gt;L"/>
    <s v="No"/>
    <s v="WRONG"/>
    <s v="CIF"/>
    <d v="2018-08-13T00:00:00"/>
    <x v="0"/>
    <s v="Na"/>
    <s v="Na"/>
    <m/>
    <s v="Yes"/>
    <m/>
  </r>
  <r>
    <n v="182"/>
    <x v="0"/>
    <s v="C49"/>
    <n v="109279"/>
    <s v="上达名义"/>
    <x v="3"/>
    <s v="L-&gt;R"/>
    <s v="No"/>
    <s v="Y45796"/>
    <n v="1"/>
    <s v="CY仓库"/>
    <d v="2018-12-05T00:00:00"/>
    <n v="6.2199999999999998E-2"/>
    <s v="DEC 18"/>
    <m/>
    <s v="JPY"/>
    <s v="C49SZX20180173ZX"/>
    <x v="27"/>
    <s v="YSM20R(SV)-2"/>
    <s v="L-&gt;R"/>
    <s v="No"/>
    <s v="OK"/>
    <s v="DAP深圳"/>
    <d v="2018-11-21T00:00:00"/>
    <x v="0"/>
    <s v="Na"/>
    <s v="Na"/>
    <m/>
    <s v="Yes"/>
    <m/>
  </r>
  <r>
    <n v="209"/>
    <x v="0"/>
    <s v="C49"/>
    <n v="109388"/>
    <s v="康佳"/>
    <x v="3"/>
    <s v="L-&gt;R"/>
    <s v="No"/>
    <s v="Y45800"/>
    <n v="1"/>
    <s v="力合仓库(已经清关)"/>
    <d v="2018-12-05T00:00:00"/>
    <n v="6.25E-2"/>
    <s v="FEB 19"/>
    <m/>
    <s v="RMB"/>
    <s v="C49SZX20190006ZX"/>
    <x v="51"/>
    <s v="YSM20R(SV)-2"/>
    <s v="L-&gt;R"/>
    <s v="No"/>
    <s v="OK"/>
    <s v="含税到厂"/>
    <d v="2019-01-09T00:00:00"/>
    <x v="0"/>
    <s v="Na"/>
    <s v="Na"/>
    <s v="OEF已做"/>
    <s v="Yes"/>
    <m/>
  </r>
  <r>
    <n v="210"/>
    <x v="0"/>
    <s v="C49"/>
    <n v="109388"/>
    <s v="康佳"/>
    <x v="3"/>
    <s v="L-&gt;R"/>
    <s v="No"/>
    <s v="Y45801"/>
    <n v="1"/>
    <s v="力合仓库(已经清关)"/>
    <d v="2018-12-05T00:00:00"/>
    <n v="6.25E-2"/>
    <s v="FEB 19"/>
    <m/>
    <s v="RMB"/>
    <s v="C49SZX20190006ZX"/>
    <x v="51"/>
    <s v="YSM20R(SV)-2"/>
    <s v="L-&gt;R"/>
    <s v="No"/>
    <s v="OK"/>
    <s v="含税到厂"/>
    <d v="2019-01-09T00:00:00"/>
    <x v="0"/>
    <s v="Na"/>
    <s v="Na"/>
    <s v="OEF已做"/>
    <s v="Yes"/>
    <m/>
  </r>
  <r>
    <n v="320"/>
    <x v="0"/>
    <s v="C49"/>
    <n v="109454"/>
    <s v="STK"/>
    <x v="1"/>
    <s v="L-&gt;R"/>
    <s v="No"/>
    <s v="Y45758"/>
    <n v="1"/>
    <s v="福保仓库"/>
    <d v="2018-12-08T00:00:00"/>
    <n v="6.2199999999999998E-2"/>
    <s v="JUN 19"/>
    <m/>
    <s v="RMB"/>
    <s v="C49SZX20190077SX"/>
    <x v="49"/>
    <s v="YSM10"/>
    <s v="R-&gt;L"/>
    <s v="MVC"/>
    <s v="WRONG"/>
    <s v="含税到厂"/>
    <d v="2019-05-22T00:00:00"/>
    <x v="0"/>
    <s v="Na"/>
    <s v="Na"/>
    <m/>
    <s v="C180532090"/>
    <m/>
  </r>
  <r>
    <n v="314"/>
    <x v="0"/>
    <s v="C49"/>
    <n v="109454"/>
    <s v="STK"/>
    <x v="1"/>
    <s v="L-&gt;R"/>
    <s v="MVC+Rear 站位"/>
    <s v="Y45759"/>
    <n v="1"/>
    <s v="力合仓库(已经清关)"/>
    <d v="2018-12-08T00:00:00"/>
    <n v="6.2199999999999998E-2"/>
    <s v="JUN 19"/>
    <m/>
    <s v="RMB"/>
    <s v="C49SZX20190066MZ"/>
    <x v="52"/>
    <s v="YSM10"/>
    <s v="R-&gt;L"/>
    <s v="Rear站位"/>
    <s v="WRONG"/>
    <s v="含税到厂"/>
    <d v="2019-05-15T00:00:00"/>
    <x v="0"/>
    <m/>
    <m/>
    <m/>
    <s v="C120111315"/>
    <m/>
  </r>
  <r>
    <n v="236"/>
    <x v="0"/>
    <s v="C49"/>
    <n v="109454"/>
    <s v="STK"/>
    <x v="1"/>
    <s v="L-&gt;R"/>
    <s v="MVC+ATS15"/>
    <s v="Y45763"/>
    <n v="1"/>
    <s v="盐保仓库"/>
    <d v="2018-12-08T00:00:00"/>
    <n v="6.2199999999999998E-2"/>
    <s v="MAR 19"/>
    <m/>
    <s v="JPY"/>
    <s v="C49SZX20190019SX"/>
    <x v="20"/>
    <s v="YSM10"/>
    <s v="L-&gt;R"/>
    <s v="MVC+ATS15"/>
    <s v="OK"/>
    <s v="DAP 深圳"/>
    <d v="2019-02-21T00:00:00"/>
    <x v="0"/>
    <s v="Na"/>
    <s v="Na"/>
    <m/>
    <s v="Yes"/>
    <m/>
  </r>
  <r>
    <n v="202"/>
    <x v="0"/>
    <s v="C49"/>
    <n v="109454"/>
    <s v="STK"/>
    <x v="1"/>
    <s v="L-&gt;R"/>
    <s v="MVC+ATS15"/>
    <s v="Y45764"/>
    <n v="1"/>
    <s v="盐保仓库"/>
    <d v="2018-12-08T00:00:00"/>
    <n v="6.2199999999999998E-2"/>
    <s v="JUN 19"/>
    <m/>
    <s v="JPY"/>
    <s v="C49SZX20190001JY"/>
    <x v="53"/>
    <s v="YSM10"/>
    <s v="L-&gt;R"/>
    <s v="MVC+ATS15"/>
    <s v="OK"/>
    <s v="CIF HK"/>
    <d v="2019-01-08T00:00:00"/>
    <x v="0"/>
    <s v="Na"/>
    <s v="Na"/>
    <m/>
    <s v="C190434453"/>
    <m/>
  </r>
  <r>
    <n v="327"/>
    <x v="0"/>
    <s v="C49"/>
    <n v="109454"/>
    <s v="STK"/>
    <x v="1"/>
    <s v="L-&gt;R"/>
    <s v="MVC+ATS15"/>
    <s v="Y45765"/>
    <n v="1"/>
    <s v="盐保仓库"/>
    <d v="2018-12-08T00:00:00"/>
    <n v="6.2199999999999998E-2"/>
    <s v="JUN 19"/>
    <m/>
    <s v="JPY"/>
    <s v="C49SZX20190075ZX"/>
    <x v="54"/>
    <s v="YSM10"/>
    <s v="L-&gt;R"/>
    <s v="MVC+ATS15"/>
    <s v="OK"/>
    <s v="CIF HK"/>
    <d v="2019-05-27T00:00:00"/>
    <x v="0"/>
    <s v="Na"/>
    <s v="Na"/>
    <m/>
    <s v="C180431966"/>
    <m/>
  </r>
  <r>
    <n v="237"/>
    <x v="0"/>
    <s v="C49"/>
    <n v="109454"/>
    <s v="STK"/>
    <x v="1"/>
    <s v="L-&gt;R"/>
    <s v="MVC+ATS15"/>
    <s v="Y45766"/>
    <n v="1"/>
    <s v="盐保仓库"/>
    <d v="2018-12-08T00:00:00"/>
    <n v="6.2199999999999998E-2"/>
    <s v="JUN 19"/>
    <m/>
    <s v="RMB"/>
    <s v="C49SZX20190021JL"/>
    <x v="55"/>
    <s v="YSM10"/>
    <s v="R-&gt;L"/>
    <s v="MVC+ATS15"/>
    <s v="WRONG"/>
    <s v="含税到厂"/>
    <d v="2019-02-26T00:00:00"/>
    <x v="0"/>
    <s v="Na"/>
    <s v="Na"/>
    <m/>
    <s v="C120111425"/>
    <m/>
  </r>
  <r>
    <n v="197"/>
    <x v="0"/>
    <s v="C49"/>
    <n v="109454"/>
    <s v="STK"/>
    <x v="1"/>
    <s v="L-&gt;R"/>
    <s v="MVC"/>
    <s v="Y45760"/>
    <n v="1"/>
    <s v="盐保仓库"/>
    <d v="2018-12-08T00:00:00"/>
    <n v="6.2199999999999998E-2"/>
    <s v="MAR 19"/>
    <m/>
    <s v="JPY"/>
    <s v="C49SZX20180177JL"/>
    <x v="56"/>
    <s v="YSM10"/>
    <s v="L-&gt;R"/>
    <s v="MVC"/>
    <s v="OK"/>
    <s v="CIF"/>
    <d v="2018-04-13T00:00:00"/>
    <x v="0"/>
    <s v="Na"/>
    <s v="Na"/>
    <m/>
    <s v="Yes"/>
    <m/>
  </r>
  <r>
    <n v="199"/>
    <x v="0"/>
    <s v="C49"/>
    <n v="109454"/>
    <s v="STK"/>
    <x v="1"/>
    <s v="L-&gt;R"/>
    <s v="MVC"/>
    <s v="Y45761"/>
    <n v="1"/>
    <s v="盐保仓库"/>
    <d v="2018-12-08T00:00:00"/>
    <n v="6.2199999999999998E-2"/>
    <s v="MAR 19"/>
    <m/>
    <s v="JPY"/>
    <s v="C49SZX20180177JL"/>
    <x v="56"/>
    <s v="YSM10"/>
    <s v="L-&gt;R"/>
    <s v="MVC"/>
    <s v="OK"/>
    <s v="CIF"/>
    <d v="2018-04-13T00:00:00"/>
    <x v="0"/>
    <s v="Na"/>
    <s v="Na"/>
    <m/>
    <s v="Yes"/>
    <m/>
  </r>
  <r>
    <n v="336"/>
    <x v="0"/>
    <s v="C49"/>
    <n v="109454"/>
    <s v="STK"/>
    <x v="1"/>
    <s v="L-&gt;R"/>
    <s v="MVC"/>
    <s v="Y45762"/>
    <n v="1"/>
    <s v="盐保仓库"/>
    <d v="2018-12-08T00:00:00"/>
    <n v="6.2199999999999998E-2"/>
    <s v="MAY 19"/>
    <m/>
    <s v="RMB"/>
    <s v="C49SZX20190085JL"/>
    <x v="57"/>
    <s v="YSM10"/>
    <s v="R-&gt;L"/>
    <s v="MVC"/>
    <s v="WRONG"/>
    <s v="DAP SZ"/>
    <d v="2019-05-28T00:00:00"/>
    <x v="0"/>
    <s v="Na"/>
    <s v="Na"/>
    <m/>
    <s v="C150122206"/>
    <m/>
  </r>
  <r>
    <n v="203"/>
    <x v="0"/>
    <s v="C49"/>
    <n v="109454"/>
    <s v="STK"/>
    <x v="1"/>
    <s v="L-&gt;R"/>
    <s v="No"/>
    <m/>
    <n v="1"/>
    <s v="盐保仓库"/>
    <d v="2018-12-08T00:00:00"/>
    <n v="6.2199999999999998E-2"/>
    <s v="JUN 19"/>
    <m/>
    <s v="JPY"/>
    <s v="C49SZX20190001JY"/>
    <x v="53"/>
    <s v="YSM10"/>
    <s v="L-&gt;R"/>
    <s v="MVC"/>
    <s v="WRONG"/>
    <s v="CIF HK"/>
    <d v="2019-01-08T00:00:00"/>
    <x v="0"/>
    <s v="Na"/>
    <s v="Na"/>
    <m/>
    <s v="C190434453"/>
    <m/>
  </r>
  <r>
    <n v="7"/>
    <x v="0"/>
    <s v="C49"/>
    <n v="109422"/>
    <s v="STK"/>
    <x v="8"/>
    <s v="R-&gt;L"/>
    <s v="No"/>
    <s v="Y45177"/>
    <n v="1"/>
    <s v="CY仓库"/>
    <d v="2018-12-12T00:00:00"/>
    <n v="6.25E-2"/>
    <s v="DEC 18"/>
    <m/>
    <s v="JPY"/>
    <s v="C49SZX201800038SS"/>
    <x v="58"/>
    <s v="YS24"/>
    <s v="R-&gt;L"/>
    <s v="No"/>
    <s v="OK"/>
    <s v="DAP"/>
    <d v="2018-02-01T00:00:00"/>
    <x v="0"/>
    <s v="Na"/>
    <s v="Na"/>
    <m/>
    <s v="Yes"/>
    <m/>
  </r>
  <r>
    <n v="239"/>
    <x v="0"/>
    <s v="C49"/>
    <n v="109422"/>
    <s v="STK"/>
    <x v="8"/>
    <s v="L-&gt;R"/>
    <s v="No"/>
    <s v="Y45165"/>
    <n v="1"/>
    <s v="盐保仓库"/>
    <d v="2018-12-12T00:00:00"/>
    <n v="6.25E-2"/>
    <s v="MAR 19"/>
    <m/>
    <s v="JPY"/>
    <s v="C49SZX20190024JL"/>
    <x v="59"/>
    <s v="YS24"/>
    <s v="L-&gt;R"/>
    <s v="No"/>
    <s v="OK"/>
    <s v="CIF"/>
    <d v="2019-02-28T00:00:00"/>
    <x v="0"/>
    <s v="Na"/>
    <s v="Na"/>
    <m/>
    <s v="Yes"/>
    <m/>
  </r>
  <r>
    <n v="240"/>
    <x v="0"/>
    <s v="C49"/>
    <n v="109422"/>
    <s v="STK"/>
    <x v="8"/>
    <s v="L-&gt;R"/>
    <s v="No"/>
    <s v="Y45166"/>
    <n v="1"/>
    <s v="盐保仓库"/>
    <d v="2018-12-12T00:00:00"/>
    <n v="6.25E-2"/>
    <s v="MAR 19"/>
    <m/>
    <s v="JPY"/>
    <s v="C49SZX20190024JL"/>
    <x v="59"/>
    <s v="YS24"/>
    <s v="L-&gt;R"/>
    <s v="No"/>
    <s v="OK"/>
    <s v="CIF"/>
    <d v="2019-02-28T00:00:00"/>
    <x v="0"/>
    <s v="Na"/>
    <s v="Na"/>
    <m/>
    <s v="Yes"/>
    <m/>
  </r>
  <r>
    <n v="241"/>
    <x v="0"/>
    <s v="C49"/>
    <n v="109422"/>
    <s v="STK"/>
    <x v="8"/>
    <s v="L-&gt;R"/>
    <s v="No"/>
    <s v="Y45156"/>
    <n v="1"/>
    <s v="盐保仓库"/>
    <d v="2018-12-12T00:00:00"/>
    <n v="6.25E-2"/>
    <s v="MAR 19"/>
    <m/>
    <s v="JPY"/>
    <s v="C49SZX20190024JL"/>
    <x v="59"/>
    <s v="YS24"/>
    <s v="L-&gt;R"/>
    <s v="No"/>
    <s v="OK"/>
    <s v="CIF"/>
    <d v="2019-02-28T00:00:00"/>
    <x v="0"/>
    <s v="Na"/>
    <s v="Na"/>
    <m/>
    <s v="Yes"/>
    <m/>
  </r>
  <r>
    <n v="233"/>
    <x v="0"/>
    <s v="C49"/>
    <n v="109422"/>
    <s v="STK"/>
    <x v="8"/>
    <s v="L-&gt;R"/>
    <s v="No"/>
    <s v="Y45159"/>
    <n v="1"/>
    <s v="盐保仓库"/>
    <d v="2018-12-12T00:00:00"/>
    <n v="6.25E-2"/>
    <s v="APR 19"/>
    <m/>
    <s v="RMB"/>
    <s v="C49SZX20190016KW"/>
    <x v="26"/>
    <s v="YS24"/>
    <s v="L-&gt;R"/>
    <s v="No"/>
    <s v="OK"/>
    <s v="DAP 深圳"/>
    <d v="2019-01-25T00:00:00"/>
    <x v="0"/>
    <s v="Na"/>
    <s v="Na"/>
    <s v="OEF已做"/>
    <s v="Yes"/>
    <m/>
  </r>
  <r>
    <n v="50"/>
    <x v="0"/>
    <s v="C49"/>
    <n v="109237"/>
    <s v="朗特名义"/>
    <x v="3"/>
    <s v="R-&gt;L"/>
    <s v="No"/>
    <s v="Y44944"/>
    <n v="1"/>
    <s v="码头"/>
    <d v="2018-12-19T00:00:00"/>
    <n v="6.25E-2"/>
    <s v="DEC 18"/>
    <m/>
    <s v="JPY"/>
    <s v="C49SZX20180078DZ"/>
    <x v="10"/>
    <s v="YSM20-2"/>
    <s v="R-&gt;L"/>
    <s v="No"/>
    <s v="OK"/>
    <s v="CIF"/>
    <d v="2018-04-28T00:00:00"/>
    <x v="0"/>
    <s v="Na"/>
    <s v="Na"/>
    <s v="此台机器做了OEF（朗特20180078DZ）"/>
    <s v="Yes"/>
    <m/>
  </r>
  <r>
    <n v="51"/>
    <x v="0"/>
    <s v="C49"/>
    <n v="109237"/>
    <s v="朗特名义"/>
    <x v="3"/>
    <s v="R-&gt;L"/>
    <s v="No"/>
    <s v="Y44945"/>
    <n v="1"/>
    <s v="码头"/>
    <d v="2018-12-19T00:00:00"/>
    <n v="6.25E-2"/>
    <s v="DEC 18"/>
    <m/>
    <s v="JPY"/>
    <s v="C49SZX20180078DZ"/>
    <x v="10"/>
    <s v="YSM20-2"/>
    <s v="R-&gt;L"/>
    <s v="No"/>
    <s v="OK"/>
    <s v="CIF"/>
    <d v="2018-04-28T00:00:00"/>
    <x v="0"/>
    <s v="Na"/>
    <s v="Na"/>
    <s v="此台机器做了OEF（朗特20180078DZ）"/>
    <s v="Yes"/>
    <m/>
  </r>
  <r>
    <n v="101"/>
    <x v="0"/>
    <s v="C49"/>
    <n v="109423"/>
    <s v="STK"/>
    <x v="8"/>
    <s v="R-&gt;L"/>
    <s v="No"/>
    <s v="Y45178"/>
    <n v="1"/>
    <s v="码头"/>
    <d v="2018-12-21T00:00:00"/>
    <n v="6.25E-2"/>
    <s v="DEC 18"/>
    <m/>
    <s v="JPY"/>
    <s v="C49SZX20180105JY"/>
    <x v="60"/>
    <s v="YS24"/>
    <s v="R-&gt;L"/>
    <s v="No"/>
    <s v="OK"/>
    <s v="DAP 东莞"/>
    <d v="2018-06-15T00:00:00"/>
    <x v="0"/>
    <s v="Na"/>
    <s v="Na"/>
    <s v="此台机器做了OEF（恒润20180105JY）"/>
    <s v="Yes"/>
    <m/>
  </r>
  <r>
    <n v="129"/>
    <x v="0"/>
    <s v="C49"/>
    <n v="109443"/>
    <s v="英拓邦名义"/>
    <x v="3"/>
    <s v="L-&gt;R"/>
    <s v="No"/>
    <s v="Y45853"/>
    <n v="1"/>
    <s v="CY仓库"/>
    <d v="2019-02-13T00:00:00"/>
    <n v="6.2899999999999998E-2"/>
    <s v="FEB 19"/>
    <m/>
    <s v="JPY"/>
    <s v="C49SZX20180136JY"/>
    <x v="61"/>
    <s v="YSM20R(SV)-2"/>
    <s v="L-&gt;R"/>
    <s v="No"/>
    <s v="OK"/>
    <s v="DAP深圳"/>
    <d v="2018-08-30T00:00:00"/>
    <x v="0"/>
    <s v="Na"/>
    <s v="Na"/>
    <m/>
    <s v="Yes"/>
    <m/>
  </r>
  <r>
    <n v="189"/>
    <x v="0"/>
    <s v="C49"/>
    <n v="109443"/>
    <s v="英拓邦名义"/>
    <x v="3"/>
    <s v="L-&gt;R"/>
    <s v="No"/>
    <s v="Y45852"/>
    <n v="1"/>
    <s v="CY仓库"/>
    <d v="2019-02-13T00:00:00"/>
    <n v="6.2899999999999998E-2"/>
    <s v="FEB 19"/>
    <m/>
    <s v="RMB"/>
    <s v="C49SZX20180185ZX"/>
    <x v="62"/>
    <s v="YSM20R(SV)-2"/>
    <s v="L-&gt;R"/>
    <s v="No"/>
    <s v="OK"/>
    <s v="含税到厂"/>
    <d v="2018-12-22T00:00:00"/>
    <x v="0"/>
    <s v="Na"/>
    <s v="Na"/>
    <m/>
    <s v="Yes"/>
    <m/>
  </r>
  <r>
    <n v="100"/>
    <x v="0"/>
    <s v="C49"/>
    <n v="109446"/>
    <s v="小耳朵名义，IND"/>
    <x v="3"/>
    <s v="L-&gt;R"/>
    <s v="cATS30+MVC+special layout"/>
    <s v="Y46916"/>
    <n v="1"/>
    <s v="CY仓库"/>
    <d v="2019-02-16T00:00:00"/>
    <n v="6.2899999999999998E-2"/>
    <s v="FEB 19"/>
    <m/>
    <s v="JPY"/>
    <s v="C49SZX20180103MZ"/>
    <x v="63"/>
    <s v="YSM20-2"/>
    <s v="L-&gt;R"/>
    <s v="cATS30+MVC+special layout"/>
    <s v="OK"/>
    <s v="DAP 惠州"/>
    <d v="2018-06-13T00:00:00"/>
    <x v="0"/>
    <s v="Na"/>
    <s v="Na"/>
    <m/>
    <s v="IND order"/>
    <m/>
  </r>
  <r>
    <n v="130"/>
    <x v="0"/>
    <s v="C49"/>
    <n v="109490"/>
    <s v="朗特名义"/>
    <x v="3"/>
    <s v="R-&gt;L"/>
    <s v="No"/>
    <s v="Y44946"/>
    <n v="1"/>
    <s v="CY仓库"/>
    <d v="2019-02-16T00:00:00"/>
    <n v="6.2899999999999998E-2"/>
    <s v="FEB 19"/>
    <m/>
    <s v="JPY"/>
    <s v="C49SZX20180136JY"/>
    <x v="61"/>
    <s v="YSM20R(SV)-2"/>
    <s v="R-&gt;L"/>
    <s v="No"/>
    <s v="OK"/>
    <s v="DAP深圳"/>
    <d v="2018-08-30T00:00:00"/>
    <x v="0"/>
    <s v="Na"/>
    <s v="Na"/>
    <m/>
    <s v="Yes"/>
    <m/>
  </r>
  <r>
    <n v="183"/>
    <x v="0"/>
    <s v="C49"/>
    <n v="109490"/>
    <s v="朗特名义"/>
    <x v="3"/>
    <s v="R-&gt;L"/>
    <s v="No"/>
    <s v="Y44947"/>
    <n v="1"/>
    <s v="CY仓库"/>
    <d v="2019-02-16T00:00:00"/>
    <n v="6.2899999999999998E-2"/>
    <s v="FEB 19"/>
    <m/>
    <s v="JPY"/>
    <s v="C49SZX20180176SX"/>
    <x v="43"/>
    <s v="YSM20R(SV)-2"/>
    <s v="R-&gt;L"/>
    <s v="MVC"/>
    <s v="WRONG"/>
    <s v="DAP东莞"/>
    <d v="2018-11-21T00:00:00"/>
    <x v="0"/>
    <s v="Na"/>
    <s v="Na"/>
    <s v="OEF已做"/>
    <s v="C181233636"/>
    <m/>
  </r>
  <r>
    <n v="196"/>
    <x v="0"/>
    <s v="C49"/>
    <n v="109478"/>
    <s v="康佳"/>
    <x v="3"/>
    <s v="L-&gt;R"/>
    <s v="No"/>
    <s v="Y45803"/>
    <n v="1"/>
    <s v="福保仓库"/>
    <d v="2019-02-16T00:00:00"/>
    <n v="6.2899999999999998E-2"/>
    <s v="MAR 19"/>
    <m/>
    <s v="JPY"/>
    <s v="C49SZX20180177JL"/>
    <x v="56"/>
    <s v="YSM20R(SV)-2"/>
    <s v="L-&gt;R"/>
    <s v="No"/>
    <s v="OK"/>
    <s v="CIF"/>
    <d v="2018-04-13T00:00:00"/>
    <x v="0"/>
    <s v="Na"/>
    <s v="Na"/>
    <m/>
    <s v="Yes"/>
    <m/>
  </r>
  <r>
    <n v="198"/>
    <x v="0"/>
    <s v="C49"/>
    <n v="109478"/>
    <s v="康佳"/>
    <x v="3"/>
    <s v="L-&gt;R"/>
    <s v="No"/>
    <s v="Y45804"/>
    <n v="1"/>
    <s v="福保仓库"/>
    <d v="2019-02-16T00:00:00"/>
    <n v="6.2899999999999998E-2"/>
    <s v="MAR 19"/>
    <m/>
    <s v="JPY"/>
    <s v="C49SZX20180177JL"/>
    <x v="56"/>
    <s v="YSM20R(SV)-2"/>
    <s v="L-&gt;R"/>
    <s v="No"/>
    <s v="OK"/>
    <s v="CIF"/>
    <d v="2018-04-13T00:00:00"/>
    <x v="0"/>
    <s v="Na"/>
    <s v="Na"/>
    <m/>
    <s v="Yes"/>
    <m/>
  </r>
  <r>
    <n v="252"/>
    <x v="0"/>
    <s v="C49"/>
    <n v="109478"/>
    <s v="康佳"/>
    <x v="3"/>
    <s v="L-&gt;R"/>
    <s v="No"/>
    <s v="Y45805"/>
    <n v="1"/>
    <s v="福保仓库"/>
    <d v="2019-02-16T00:00:00"/>
    <n v="6.2899999999999998E-2"/>
    <s v="APR 19"/>
    <m/>
    <s v="JPY"/>
    <s v="C49SZX20190027MZ"/>
    <x v="28"/>
    <s v="YSM20R(SV)-2"/>
    <s v="L-&gt;R"/>
    <s v="No"/>
    <s v="OK"/>
    <s v="DAP 深圳"/>
    <d v="2019-03-12T00:00:00"/>
    <x v="0"/>
    <s v="Na"/>
    <s v="Na"/>
    <m/>
    <s v="Yes end user 拓普塞特"/>
    <m/>
  </r>
  <r>
    <n v="436"/>
    <x v="0"/>
    <s v="C49"/>
    <n v="109383"/>
    <s v="易而达名义"/>
    <x v="3"/>
    <s v="L-&gt;R"/>
    <s v="cATS10+MVC+special layout"/>
    <s v="Y46530"/>
    <n v="1"/>
    <s v="盐保仓库"/>
    <d v="2019-02-16T00:00:00"/>
    <n v="6.2899999999999998E-2"/>
    <s v="OCT 19"/>
    <n v="2019.01"/>
    <s v="RMB"/>
    <s v="C49SZX20190139SX"/>
    <x v="64"/>
    <s v="YSM20R(SV)-2"/>
    <s v="L-&gt;R"/>
    <s v="cATS10+MVC+special layout"/>
    <s v="OK"/>
    <s v="含税到厂"/>
    <d v="2019-09-27T00:00:00"/>
    <x v="0"/>
    <s v="Na"/>
    <s v="Na"/>
    <m/>
    <s v="C190835446"/>
    <m/>
  </r>
  <r>
    <n v="283"/>
    <x v="0"/>
    <s v="C49"/>
    <n v="109383"/>
    <s v="易而达名义"/>
    <x v="3"/>
    <s v="L-&gt;R"/>
    <s v="No"/>
    <s v="Y46529"/>
    <n v="1"/>
    <s v="盐保仓库"/>
    <d v="2019-02-16T00:00:00"/>
    <n v="6.2899999999999998E-2"/>
    <s v="APR 19"/>
    <m/>
    <s v="JPY"/>
    <s v="C49SZX20190042JL"/>
    <x v="39"/>
    <s v="YSM20R(SV)-2"/>
    <s v="L-&gt;R"/>
    <s v="MVC"/>
    <s v="WRONG"/>
    <s v="DAP 深圳"/>
    <d v="2019-04-17T00:00:00"/>
    <x v="0"/>
    <s v="Na"/>
    <s v="Na"/>
    <m/>
    <s v="Yes"/>
    <m/>
  </r>
  <r>
    <n v="151"/>
    <x v="0"/>
    <s v="C49"/>
    <n v="109220"/>
    <s v="丰硕名义"/>
    <x v="3"/>
    <s v="L-&gt;R"/>
    <s v="No"/>
    <s v="Y44573"/>
    <n v="1"/>
    <s v="CY仓库"/>
    <d v="2019-02-22T00:00:00"/>
    <n v="6.2899999999999998E-2"/>
    <s v="APR 19"/>
    <m/>
    <s v="JPY"/>
    <s v="C49SZX20180156SX"/>
    <x v="65"/>
    <s v="YSM20R(SV)-2"/>
    <s v="L-&gt;R"/>
    <s v="No"/>
    <s v="OK"/>
    <s v="DAP 广州"/>
    <d v="2018-10-25T00:00:00"/>
    <x v="0"/>
    <s v="Na"/>
    <s v="Na"/>
    <m/>
    <s v="Yes"/>
    <m/>
  </r>
  <r>
    <n v="150"/>
    <x v="0"/>
    <s v="C49"/>
    <n v="109220"/>
    <s v="丰硕名义"/>
    <x v="3"/>
    <s v="L-&gt;R"/>
    <s v="No"/>
    <s v="Y44574"/>
    <n v="1"/>
    <s v="CY仓库"/>
    <d v="2019-02-22T00:00:00"/>
    <n v="6.2899999999999998E-2"/>
    <s v="APR 19"/>
    <m/>
    <s v="JPY"/>
    <s v="C49SZX20180156SX"/>
    <x v="65"/>
    <s v="YSM20R(SV)-2"/>
    <s v="L-&gt;R"/>
    <s v="No"/>
    <s v="OK"/>
    <s v="DAP 广州"/>
    <d v="2018-10-25T00:00:00"/>
    <x v="0"/>
    <s v="Na"/>
    <s v="Na"/>
    <m/>
    <s v="Yes"/>
    <m/>
  </r>
  <r>
    <n v="184"/>
    <x v="0"/>
    <s v="C49"/>
    <n v="109220"/>
    <s v="丰硕名义"/>
    <x v="3"/>
    <s v="L-&gt;R"/>
    <s v="MVC"/>
    <s v="Y44571"/>
    <n v="1"/>
    <s v="CY仓库"/>
    <d v="2019-02-22T00:00:00"/>
    <n v="6.2899999999999998E-2"/>
    <s v="MAR 19"/>
    <m/>
    <s v="JPY"/>
    <s v="C49SZX20180175SX"/>
    <x v="20"/>
    <s v="YSM20R(SV)-2"/>
    <s v="L-&gt;R"/>
    <s v="MVC"/>
    <s v="OK"/>
    <s v="DAP深圳"/>
    <d v="2018-11-21T00:00:00"/>
    <x v="0"/>
    <s v="Na"/>
    <s v="Na"/>
    <m/>
    <s v="Yes"/>
    <m/>
  </r>
  <r>
    <n v="185"/>
    <x v="0"/>
    <s v="C49"/>
    <n v="109220"/>
    <s v="丰硕名义"/>
    <x v="3"/>
    <s v="L-&gt;R"/>
    <s v="MVC"/>
    <s v="Y44572"/>
    <n v="1"/>
    <s v="CY仓库"/>
    <d v="2019-02-22T00:00:00"/>
    <n v="6.2899999999999998E-2"/>
    <s v="MAR 19"/>
    <m/>
    <s v="JPY"/>
    <s v="C49SZX20180175SX"/>
    <x v="20"/>
    <s v="YSM20R(SV)-2"/>
    <s v="L-&gt;R"/>
    <s v="MVC"/>
    <s v="OK"/>
    <s v="DAP深圳"/>
    <d v="2018-11-21T00:00:00"/>
    <x v="0"/>
    <m/>
    <s v="Na"/>
    <m/>
    <s v="Yes"/>
    <m/>
  </r>
  <r>
    <n v="229"/>
    <x v="0"/>
    <s v="C49"/>
    <n v="109393"/>
    <s v="上达名义"/>
    <x v="3"/>
    <s v="L-&gt;R"/>
    <s v="No"/>
    <s v="Y45143"/>
    <n v="1"/>
    <s v="CY仓库"/>
    <d v="2019-02-22T00:00:00"/>
    <n v="6.2899999999999998E-2"/>
    <s v="MAR 19"/>
    <m/>
    <s v="JPY"/>
    <s v="C49SZX20190013DZ"/>
    <x v="66"/>
    <s v="YSM20R(SV)-2"/>
    <s v="L-&gt;R"/>
    <s v="MVC"/>
    <s v="WRONG"/>
    <s v="CIF "/>
    <d v="2019-01-23T00:00:00"/>
    <x v="0"/>
    <m/>
    <s v="Na"/>
    <m/>
    <s v="Yes"/>
    <m/>
  </r>
  <r>
    <n v="228"/>
    <x v="0"/>
    <s v="C49"/>
    <n v="109393"/>
    <s v="上达名义"/>
    <x v="3"/>
    <s v="L-&gt;R"/>
    <s v="No"/>
    <s v="Y45146"/>
    <n v="1"/>
    <s v="CY仓库"/>
    <d v="2019-02-22T00:00:00"/>
    <n v="6.2899999999999998E-2"/>
    <s v="MAR 19"/>
    <m/>
    <s v="JPY"/>
    <s v="C49SZX20190013DZ"/>
    <x v="66"/>
    <s v="YSM20R(SV)-2"/>
    <s v="L-&gt;R"/>
    <s v="MVC"/>
    <s v="WRONG"/>
    <s v="CIF "/>
    <d v="2019-01-23T00:00:00"/>
    <x v="0"/>
    <m/>
    <s v="Na"/>
    <m/>
    <s v="Yes"/>
    <m/>
  </r>
  <r>
    <n v="227"/>
    <x v="0"/>
    <s v="C49"/>
    <n v="109393"/>
    <s v="上达名义"/>
    <x v="3"/>
    <s v="L-&gt;R"/>
    <s v="No"/>
    <s v="Y45147"/>
    <n v="1"/>
    <s v="CY仓库"/>
    <d v="2019-02-22T00:00:00"/>
    <n v="6.2899999999999998E-2"/>
    <s v="MAR 19"/>
    <m/>
    <s v="JPY"/>
    <s v="C49SZX20190013DZ"/>
    <x v="66"/>
    <s v="YSM20R(SV)-2"/>
    <s v="L-&gt;R"/>
    <s v="MVC"/>
    <s v="WRONG"/>
    <s v="CIF "/>
    <d v="2019-01-23T00:00:00"/>
    <x v="0"/>
    <m/>
    <s v="Na"/>
    <m/>
    <s v="Yes"/>
    <m/>
  </r>
  <r>
    <n v="81"/>
    <x v="0"/>
    <s v="C49"/>
    <n v="109431"/>
    <s v="安嘉名义"/>
    <x v="3"/>
    <s v="L-&gt;R"/>
    <s v="No"/>
    <s v="Y46853"/>
    <n v="1"/>
    <s v="CY仓库"/>
    <d v="2019-03-03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238"/>
    <x v="0"/>
    <s v="C49"/>
    <n v="109431"/>
    <s v="安嘉名义"/>
    <x v="3"/>
    <s v="R-&gt;L"/>
    <s v="No"/>
    <s v="Y46852"/>
    <n v="1"/>
    <s v="CY仓库"/>
    <d v="2019-03-03T00:00:00"/>
    <n v="6.2E-2"/>
    <s v="MAR 19"/>
    <m/>
    <s v="JPY"/>
    <s v="C49SZX20190022SS"/>
    <x v="67"/>
    <s v="YSM20R(SV)-2"/>
    <s v="R-&gt;L"/>
    <s v="MVC"/>
    <s v="WRONG"/>
    <s v="DAP 深圳"/>
    <d v="2019-02-27T00:00:00"/>
    <x v="0"/>
    <s v="Na"/>
    <s v="Na"/>
    <m/>
    <s v="Yes"/>
    <m/>
  </r>
  <r>
    <n v="338"/>
    <x v="0"/>
    <s v="C49"/>
    <n v="109247"/>
    <s v="栩骊名义"/>
    <x v="3"/>
    <s v="L-&gt;R"/>
    <s v="No"/>
    <s v="Y45093"/>
    <n v="1"/>
    <s v="力合仓库(已经清关)"/>
    <d v="2019-03-03T00:00:00"/>
    <n v="6.2E-2"/>
    <s v="JUN 19"/>
    <n v="2019.01"/>
    <s v="RMB"/>
    <s v="C49SZX20190089ZX"/>
    <x v="12"/>
    <s v="YSM20R(SV)-2"/>
    <s v="L-&gt;R"/>
    <s v="No"/>
    <s v="OK"/>
    <s v="含税到厂"/>
    <d v="2019-06-03T00:00:00"/>
    <x v="0"/>
    <m/>
    <m/>
    <m/>
    <s v="C181233616"/>
    <m/>
  </r>
  <r>
    <s v="浙江金子星"/>
    <x v="0"/>
    <s v="C49"/>
    <n v="109247"/>
    <s v="栩骊名义"/>
    <x v="3"/>
    <s v="L-&gt;R"/>
    <s v="cATS10+MVC+special layout"/>
    <s v="Y45087"/>
    <n v="1"/>
    <s v="力合中转仓"/>
    <d v="2019-03-03T00:00:00"/>
    <n v="6.2E-2"/>
    <s v="DEC 19"/>
    <n v="2019.02"/>
    <e v="#N/A"/>
    <e v="#N/A"/>
    <x v="41"/>
    <e v="#N/A"/>
    <e v="#N/A"/>
    <e v="#N/A"/>
    <e v="#N/A"/>
    <e v="#N/A"/>
    <e v="#N/A"/>
    <x v="1"/>
    <s v="Na"/>
    <s v="Na "/>
    <m/>
    <s v="C191035928"/>
    <m/>
  </r>
  <r>
    <n v="105"/>
    <x v="0"/>
    <s v="C49"/>
    <n v="109247"/>
    <s v="栩骊名义"/>
    <x v="3"/>
    <s v="L-&gt;R"/>
    <s v="No"/>
    <s v="Y45090"/>
    <n v="1"/>
    <s v="盐保仓库"/>
    <d v="2019-03-03T00:00:00"/>
    <n v="6.2E-2"/>
    <s v="APR 19"/>
    <m/>
    <s v="JPY"/>
    <s v="C49SZX20180113JL "/>
    <x v="68"/>
    <s v="YSM20-2"/>
    <s v="R-&gt;L"/>
    <s v="No"/>
    <s v="WRONG"/>
    <s v="CIF"/>
    <d v="2018-07-03T00:00:00"/>
    <x v="0"/>
    <s v="Na"/>
    <s v="Na"/>
    <m/>
    <s v="Yes"/>
    <m/>
  </r>
  <r>
    <n v="328"/>
    <x v="0"/>
    <s v="C49"/>
    <n v="109247"/>
    <s v="栩骊名义"/>
    <x v="3"/>
    <s v="L-&gt;R"/>
    <s v="No"/>
    <s v="Y45091"/>
    <n v="1"/>
    <s v="盐保仓库"/>
    <d v="2019-03-03T00:00:00"/>
    <n v="6.2E-2"/>
    <s v="JUN 19"/>
    <m/>
    <s v="JPY"/>
    <s v="C49SZX20190075ZX"/>
    <x v="54"/>
    <s v="YSM20R(SV)-2"/>
    <s v="L-&gt;R"/>
    <s v="No"/>
    <s v="OK"/>
    <s v="CIF HK"/>
    <d v="2019-05-27T00:00:00"/>
    <x v="0"/>
    <s v="Na"/>
    <s v="Na"/>
    <m/>
    <s v="C180431966"/>
    <m/>
  </r>
  <r>
    <n v="329"/>
    <x v="0"/>
    <s v="C49"/>
    <n v="109247"/>
    <s v="栩骊名义"/>
    <x v="3"/>
    <s v="L-&gt;R"/>
    <s v="No"/>
    <s v="Y45092"/>
    <n v="1"/>
    <s v="盐保仓库"/>
    <d v="2019-03-03T00:00:00"/>
    <n v="6.2E-2"/>
    <s v="JUN 19"/>
    <m/>
    <s v="JPY"/>
    <s v="C49SZX20190075ZX"/>
    <x v="54"/>
    <s v="YSM20R(SV)-2"/>
    <s v="L-&gt;R"/>
    <s v="No"/>
    <s v="OK"/>
    <s v="CIF HK"/>
    <d v="2019-05-27T00:00:00"/>
    <x v="0"/>
    <s v="Na"/>
    <s v="Na"/>
    <m/>
    <s v="C180431966"/>
    <m/>
  </r>
  <r>
    <n v="437"/>
    <x v="0"/>
    <s v="C49"/>
    <n v="109247"/>
    <s v="栩骊名义"/>
    <x v="3"/>
    <s v="L-&gt;R"/>
    <s v="cATS10+MVC+special layout"/>
    <s v="Y45086"/>
    <n v="1"/>
    <s v="盐保仓库"/>
    <d v="2019-03-03T00:00:00"/>
    <n v="6.2E-2"/>
    <s v="OCT 19"/>
    <n v="2019.02"/>
    <s v="RMB"/>
    <s v="C49SZX20190139SX"/>
    <x v="64"/>
    <s v="YSM20R(SV)-2"/>
    <s v="L-&gt;R"/>
    <s v="cATS10+MVC+special layout"/>
    <s v="OK"/>
    <s v="含税到厂"/>
    <d v="2019-09-27T00:00:00"/>
    <x v="0"/>
    <s v="Na"/>
    <s v="Na"/>
    <m/>
    <s v="C190835446"/>
    <m/>
  </r>
  <r>
    <n v="439"/>
    <x v="0"/>
    <s v="C49"/>
    <n v="109247"/>
    <s v="栩骊名义"/>
    <x v="3"/>
    <s v="L-&gt;R"/>
    <s v="cATS10+MVC+special layout"/>
    <s v="Y46872"/>
    <n v="1"/>
    <s v="盐保仓库"/>
    <d v="2019-03-03T00:00:00"/>
    <n v="6.2E-2"/>
    <s v="NOV 19"/>
    <n v="2019.02"/>
    <s v="USD"/>
    <s v="C49SZX20190138ZX"/>
    <x v="69"/>
    <s v="YSM20R(SV)-2"/>
    <s v="L-&gt;R"/>
    <s v="cATS10+MVC+special layout"/>
    <s v="OK"/>
    <s v="CIF HK"/>
    <d v="2019-10-10T00:00:00"/>
    <x v="0"/>
    <m/>
    <s v="Na"/>
    <m/>
    <s v="C190133789"/>
    <m/>
  </r>
  <r>
    <n v="251"/>
    <x v="0"/>
    <s v="C49"/>
    <n v="109247"/>
    <s v="栩骊名义"/>
    <x v="3"/>
    <s v="L-&gt;R"/>
    <s v="No"/>
    <s v="Y45089"/>
    <n v="1"/>
    <s v="盐保仓库"/>
    <d v="2019-03-03T00:00:00"/>
    <n v="6.2E-2"/>
    <s v="APR 19"/>
    <m/>
    <s v="JPY"/>
    <s v="C49SZX20190029ZX"/>
    <x v="70"/>
    <s v="YSM20R(SV)-2"/>
    <s v="L-&gt;R"/>
    <s v="No"/>
    <s v="OK"/>
    <s v="DAP 东莞"/>
    <d v="2019-03-13T00:00:00"/>
    <x v="0"/>
    <s v="Na"/>
    <s v="Na"/>
    <m/>
    <s v="Yes"/>
    <m/>
  </r>
  <r>
    <n v="279"/>
    <x v="0"/>
    <s v="C49"/>
    <n v="109247"/>
    <s v="栩骊名义"/>
    <x v="3"/>
    <s v="L-&gt;R"/>
    <s v="No"/>
    <s v="Y45094"/>
    <n v="1"/>
    <s v="盐保仓库"/>
    <d v="2019-03-03T00:00:00"/>
    <n v="6.2E-2"/>
    <s v="APR 19"/>
    <m/>
    <s v="JPY"/>
    <s v="C49SZX20190051SS"/>
    <x v="35"/>
    <s v="YSM20R(SV)-2"/>
    <s v="L-&gt;R"/>
    <s v="MVC"/>
    <s v="WRONG"/>
    <s v="DAP 深圳"/>
    <d v="2019-04-09T00:00:00"/>
    <x v="0"/>
    <m/>
    <s v="Na"/>
    <m/>
    <s v="Yes"/>
    <m/>
  </r>
  <r>
    <n v="84"/>
    <x v="0"/>
    <s v="C49"/>
    <n v="109430"/>
    <s v="瑞福联名义"/>
    <x v="3"/>
    <s v="L-&gt;R"/>
    <s v="No"/>
    <s v="Y46848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80"/>
    <x v="0"/>
    <s v="C49"/>
    <n v="109430"/>
    <s v="瑞福联名义"/>
    <x v="3"/>
    <s v="L-&gt;R"/>
    <s v="No"/>
    <s v="Y46849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82"/>
    <x v="0"/>
    <s v="C49"/>
    <n v="109430"/>
    <s v="瑞福联名义"/>
    <x v="3"/>
    <s v="L-&gt;R"/>
    <s v="No"/>
    <s v="Y46850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83"/>
    <x v="0"/>
    <s v="C49"/>
    <n v="109430"/>
    <s v="瑞福联名义"/>
    <x v="3"/>
    <s v="L-&gt;R"/>
    <s v="No"/>
    <s v="Y46851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268"/>
    <x v="0"/>
    <s v="C49"/>
    <n v="109319"/>
    <s v="深台名义"/>
    <x v="3"/>
    <s v="L-&gt;R"/>
    <s v="No"/>
    <s v="Y45958"/>
    <n v="1"/>
    <s v="CY仓库"/>
    <d v="2019-03-13T00:00:00"/>
    <n v="6.2E-2"/>
    <s v="MAR 19"/>
    <m/>
    <s v="JPY"/>
    <s v="C49SZX20190045SS"/>
    <x v="71"/>
    <s v="YSM20R(SV)-2"/>
    <s v="L-&gt;R"/>
    <s v="No"/>
    <s v="OK"/>
    <s v="DAP 深圳"/>
    <d v="2019-03-22T00:00:00"/>
    <x v="0"/>
    <s v="Na"/>
    <s v="Na"/>
    <m/>
    <s v="Yes"/>
    <m/>
  </r>
  <r>
    <n v="270"/>
    <x v="0"/>
    <s v="C49"/>
    <n v="109389"/>
    <s v="立昇名义"/>
    <x v="3"/>
    <s v="L-&gt;R"/>
    <s v="No"/>
    <s v="Y45376"/>
    <n v="1"/>
    <s v="福保仓库"/>
    <d v="2019-03-13T00:00:00"/>
    <n v="6.2E-2"/>
    <s v="APR 19"/>
    <m/>
    <s v="JPY"/>
    <s v="C49SZX20190025SX"/>
    <x v="1"/>
    <s v="YSM20R(SV)-2"/>
    <s v="L-&gt;R"/>
    <s v="No"/>
    <s v="OK"/>
    <s v="DAP 深圳"/>
    <d v="2019-03-06T00:00:00"/>
    <x v="0"/>
    <s v="Na"/>
    <s v="Na"/>
    <m/>
    <s v="Yes"/>
    <m/>
  </r>
  <r>
    <n v="284"/>
    <x v="0"/>
    <s v="C49"/>
    <n v="109389"/>
    <s v="立昇名义"/>
    <x v="3"/>
    <s v="L-&gt;R"/>
    <s v="No"/>
    <s v="Y45377"/>
    <n v="1"/>
    <s v="福保仓库"/>
    <d v="2019-03-13T00:00:00"/>
    <n v="6.2E-2"/>
    <s v="MAY 19"/>
    <m/>
    <s v="JPY"/>
    <s v="C49SZX20190058SX"/>
    <x v="72"/>
    <s v="YSM20R(SV)-2"/>
    <s v="L-&gt;R"/>
    <s v="MVC"/>
    <s v="WRONG"/>
    <s v="DAP SZ"/>
    <d v="2019-04-18T00:00:00"/>
    <x v="0"/>
    <s v="Na"/>
    <s v="Na"/>
    <m/>
    <s v="Yes"/>
    <m/>
  </r>
  <r>
    <n v="264"/>
    <x v="0"/>
    <s v="C49"/>
    <n v="109429"/>
    <s v="通通旺名义"/>
    <x v="3"/>
    <s v="L-&gt;R"/>
    <s v="No"/>
    <s v="Y46846"/>
    <n v="1"/>
    <s v="福保仓库"/>
    <d v="2019-03-13T00:00:00"/>
    <n v="6.2E-2"/>
    <s v="APR 19"/>
    <m/>
    <s v="JPY"/>
    <s v="C49SZX20190035ZX"/>
    <x v="30"/>
    <s v="YSM20R(SV)-2"/>
    <s v="L-&gt;R"/>
    <s v="No"/>
    <s v="OK"/>
    <s v="DAP 深圳"/>
    <d v="2019-03-20T00:00:00"/>
    <x v="0"/>
    <s v="Na"/>
    <s v="Na"/>
    <m/>
    <s v="Yes"/>
    <m/>
  </r>
  <r>
    <n v="269"/>
    <x v="0"/>
    <s v="C49"/>
    <n v="109429"/>
    <s v="通通旺名义"/>
    <x v="3"/>
    <s v="L-&gt;R"/>
    <s v="No"/>
    <s v="Y46847"/>
    <n v="1"/>
    <s v="福保仓库"/>
    <d v="2019-03-13T00:00:00"/>
    <n v="6.2E-2"/>
    <s v="APR 19"/>
    <m/>
    <s v="JPY"/>
    <s v="C49SZX20190025SX"/>
    <x v="1"/>
    <s v="YSM20R(SV)-2"/>
    <s v="L-&gt;R"/>
    <s v="No"/>
    <s v="OK"/>
    <s v="DAP 深圳"/>
    <d v="2019-03-06T00:00:00"/>
    <x v="0"/>
    <s v="Na"/>
    <s v="Na"/>
    <m/>
    <s v="Yes"/>
    <m/>
  </r>
  <r>
    <n v="155"/>
    <x v="0"/>
    <s v="C49"/>
    <n v="109493"/>
    <s v="朗特名义"/>
    <x v="3"/>
    <s v="R-&gt;L"/>
    <s v="No"/>
    <s v="Y47271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s v="OEF已做"/>
    <s v="Yes"/>
    <m/>
  </r>
  <r>
    <n v="161"/>
    <x v="0"/>
    <s v="C49"/>
    <n v="109493"/>
    <s v="朗特名义"/>
    <x v="1"/>
    <s v="R-&gt;L"/>
    <s v="MVC+ATS15"/>
    <s v="Y47279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56"/>
    <x v="0"/>
    <s v="C49"/>
    <n v="109493"/>
    <s v="朗特名义"/>
    <x v="3"/>
    <s v="R-&gt;L"/>
    <s v="No"/>
    <s v="Y47272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m/>
    <s v="Yes"/>
    <m/>
  </r>
  <r>
    <n v="157"/>
    <x v="0"/>
    <s v="C49"/>
    <n v="109493"/>
    <s v="朗特名义"/>
    <x v="3"/>
    <s v="R-&gt;L"/>
    <s v="No"/>
    <s v="Y47273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m/>
    <s v="Yes"/>
    <m/>
  </r>
  <r>
    <n v="158"/>
    <x v="0"/>
    <s v="C49"/>
    <n v="109493"/>
    <s v="朗特名义"/>
    <x v="3"/>
    <s v="R-&gt;L"/>
    <s v="No"/>
    <s v="Y47274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m/>
    <s v="Yes"/>
    <m/>
  </r>
  <r>
    <n v="164"/>
    <x v="0"/>
    <s v="C49"/>
    <n v="109493"/>
    <s v="朗特名义"/>
    <x v="1"/>
    <s v="R-&gt;L"/>
    <s v="MVC+Fixed feeder plate 24 positions"/>
    <s v="Y47280"/>
    <n v="1"/>
    <s v="码头"/>
    <d v="2019-03-22T00:00:00"/>
    <n v="6.2E-2"/>
    <s v="APR 19"/>
    <m/>
    <s v="JPY"/>
    <s v="C49SZX20180167DZ"/>
    <x v="10"/>
    <s v="YSM10"/>
    <s v="R-&gt;L"/>
    <s v="MVC+Fixed feeder plate 24 positions"/>
    <s v="OK"/>
    <s v="CIF"/>
    <d v="2018-11-09T00:00:00"/>
    <x v="0"/>
    <m/>
    <s v="Na"/>
    <m/>
    <s v="Yes"/>
    <m/>
  </r>
  <r>
    <n v="165"/>
    <x v="0"/>
    <s v="C49"/>
    <n v="109493"/>
    <s v="朗特名义"/>
    <x v="1"/>
    <s v="R-&gt;L"/>
    <s v="MVC+Fixed feeder plate 24 positions"/>
    <s v="Y47281"/>
    <n v="1"/>
    <s v="码头"/>
    <d v="2019-03-22T00:00:00"/>
    <n v="6.2E-2"/>
    <s v="APR 19"/>
    <m/>
    <s v="JPY"/>
    <s v="C49SZX20180167DZ"/>
    <x v="10"/>
    <s v="YSM10"/>
    <s v="R-&gt;L"/>
    <s v="MVC+Fixed feeder plate 24 positions"/>
    <s v="OK"/>
    <s v="CIF"/>
    <d v="2018-11-09T00:00:00"/>
    <x v="0"/>
    <m/>
    <s v="Na"/>
    <m/>
    <s v="Yes"/>
    <m/>
  </r>
  <r>
    <n v="162"/>
    <x v="0"/>
    <s v="C49"/>
    <n v="109493"/>
    <s v="朗特名义"/>
    <x v="1"/>
    <s v="R-&gt;L"/>
    <s v="MVC+ATS15"/>
    <s v="Y47275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63"/>
    <x v="0"/>
    <s v="C49"/>
    <n v="109493"/>
    <s v="朗特名义"/>
    <x v="1"/>
    <s v="R-&gt;L"/>
    <s v="MVC+ATS15"/>
    <s v="Y47276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59"/>
    <x v="0"/>
    <s v="C49"/>
    <n v="109493"/>
    <s v="朗特名义"/>
    <x v="1"/>
    <s v="R-&gt;L"/>
    <s v="MVC+ATS15"/>
    <s v="Y47277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60"/>
    <x v="0"/>
    <s v="C49"/>
    <n v="109493"/>
    <s v="朗特名义"/>
    <x v="1"/>
    <s v="R-&gt;L"/>
    <s v="MVC+ATS15"/>
    <s v="Y47278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273"/>
    <x v="0"/>
    <s v="C49"/>
    <n v="109336"/>
    <s v="BBS名义下单"/>
    <x v="3"/>
    <s v="L-&gt;R"/>
    <s v="No"/>
    <s v="Y46160"/>
    <n v="1"/>
    <s v="福保仓库"/>
    <d v="2019-04-03T00:00:00"/>
    <n v="6.2E-2"/>
    <s v="MAY 19"/>
    <m/>
    <s v="JPY"/>
    <s v="C49SZX20190041JL"/>
    <x v="34"/>
    <s v="YSM20R(SV)-2"/>
    <s v="L-&gt;R"/>
    <s v="No"/>
    <s v="OK"/>
    <s v="CIF HK"/>
    <d v="2019-03-26T00:00:00"/>
    <x v="0"/>
    <s v="Na"/>
    <s v="Na"/>
    <m/>
    <s v="Yes,end user 昶达"/>
    <m/>
  </r>
  <r>
    <n v="287"/>
    <x v="0"/>
    <s v="C49"/>
    <n v="109336"/>
    <s v="BBS名义下单"/>
    <x v="3"/>
    <s v="L-&gt;R"/>
    <s v="No"/>
    <s v="Y46161"/>
    <n v="1"/>
    <s v="福保仓库"/>
    <d v="2019-04-03T00:00:00"/>
    <n v="6.2E-2"/>
    <s v="MAY 19"/>
    <m/>
    <s v="JPY"/>
    <s v="C49SZX20190056RW"/>
    <x v="73"/>
    <s v="YSM20R(SV)-2"/>
    <s v="L-&gt;R"/>
    <s v="MVC"/>
    <s v="WRONG"/>
    <s v="CIF HK"/>
    <d v="2019-04-17T00:00:00"/>
    <x v="0"/>
    <s v="Na"/>
    <s v="Na"/>
    <m/>
    <s v="C150523509"/>
    <m/>
  </r>
  <r>
    <n v="280"/>
    <x v="0"/>
    <s v="C49"/>
    <n v="109336"/>
    <s v="BBS名义下单"/>
    <x v="3"/>
    <s v="L-&gt;R"/>
    <s v="No"/>
    <s v="Y46159"/>
    <n v="1"/>
    <s v="福保仓库"/>
    <d v="2019-04-03T00:00:00"/>
    <n v="6.2E-2"/>
    <s v="APR 19"/>
    <m/>
    <s v="JPY"/>
    <s v="C49SZX20190052SS"/>
    <x v="33"/>
    <s v="YSM20R(SV)-2"/>
    <s v="L-&gt;R"/>
    <s v="No"/>
    <s v="OK"/>
    <s v="DAP东莞"/>
    <d v="2019-04-12T00:00:00"/>
    <x v="0"/>
    <s v="Na"/>
    <s v="Na"/>
    <m/>
    <s v="Yes"/>
    <m/>
  </r>
  <r>
    <n v="288"/>
    <x v="0"/>
    <s v="C49"/>
    <n v="109336"/>
    <s v="BBS名义下单"/>
    <x v="3"/>
    <s v="L-&gt;R"/>
    <s v="No"/>
    <s v="Y46162"/>
    <n v="1"/>
    <s v="福保仓库"/>
    <d v="2019-04-03T00:00:00"/>
    <n v="6.2E-2"/>
    <s v="MAY 19"/>
    <m/>
    <s v="JPY"/>
    <s v="C49SZX20190056RW"/>
    <x v="73"/>
    <s v="YSM20R(SV)-2"/>
    <s v="L-&gt;R"/>
    <s v="No"/>
    <s v="OK"/>
    <s v="CIF HK"/>
    <d v="2019-04-17T00:00:00"/>
    <x v="0"/>
    <s v="Na"/>
    <s v="Na"/>
    <m/>
    <s v="C150523509"/>
    <m/>
  </r>
  <r>
    <n v="315"/>
    <x v="0"/>
    <s v="C49"/>
    <n v="109336"/>
    <s v="BBS名义下单"/>
    <x v="3"/>
    <s v="L-&gt;R"/>
    <s v="No"/>
    <s v="Y46163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07"/>
    <x v="0"/>
    <s v="C49"/>
    <n v="109336"/>
    <s v="BBS名义下单"/>
    <x v="3"/>
    <s v="L-&gt;R"/>
    <s v="No"/>
    <s v="Y46164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05"/>
    <x v="0"/>
    <s v="C49"/>
    <n v="109336"/>
    <s v="BBS名义下单"/>
    <x v="3"/>
    <s v="L-&gt;R"/>
    <s v="No"/>
    <s v="Y46165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06"/>
    <x v="0"/>
    <s v="C49"/>
    <n v="109336"/>
    <s v="BBS名义下单"/>
    <x v="3"/>
    <s v="L-&gt;R"/>
    <s v="No"/>
    <s v="Y46166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67"/>
    <x v="0"/>
    <s v="C49"/>
    <n v="109336"/>
    <s v="BBS名义下单"/>
    <x v="3"/>
    <s v="L-&gt;R"/>
    <s v="No"/>
    <s v="Y46167"/>
    <n v="1"/>
    <s v="福保仓库"/>
    <d v="2019-04-03T00:00:00"/>
    <n v="6.2E-2"/>
    <s v="JUL 19"/>
    <n v="2019.03"/>
    <s v="RMB"/>
    <s v="C49SZX20190108ZX"/>
    <x v="74"/>
    <s v="YSM20R(SV)-2"/>
    <s v="L-&gt;R"/>
    <s v="No"/>
    <s v="OK"/>
    <s v="含税到厂"/>
    <d v="2019-04-25T00:00:00"/>
    <x v="0"/>
    <s v="Na"/>
    <s v="Na"/>
    <m/>
    <s v="C141021043"/>
    <m/>
  </r>
  <r>
    <n v="368"/>
    <x v="0"/>
    <s v="C49"/>
    <n v="109336"/>
    <s v="BBS名义下单"/>
    <x v="3"/>
    <s v="L-&gt;R"/>
    <s v="No"/>
    <s v="Y46168"/>
    <n v="1"/>
    <s v="福保仓库"/>
    <d v="2019-04-03T00:00:00"/>
    <n v="6.2E-2"/>
    <s v="JUL 19"/>
    <n v="2019.03"/>
    <s v="RMB"/>
    <s v="C49SZX20190108ZX"/>
    <x v="74"/>
    <s v="YSM20R(SV)-2"/>
    <s v="L-&gt;R"/>
    <s v="No"/>
    <s v="OK"/>
    <s v="含税到厂"/>
    <d v="2019-04-25T00:00:00"/>
    <x v="0"/>
    <s v="Na"/>
    <s v="Na"/>
    <m/>
    <s v="C141021043"/>
    <m/>
  </r>
  <r>
    <n v="201"/>
    <x v="0"/>
    <s v="C49"/>
    <n v="109294"/>
    <s v="拓普艾名义"/>
    <x v="3"/>
    <s v="L-&gt;R"/>
    <s v="No"/>
    <s v="Y45688"/>
    <n v="1"/>
    <s v="福保仓库"/>
    <d v="2019-04-05T00:00:00"/>
    <n v="6.2E-2"/>
    <s v="JUN 19"/>
    <m/>
    <s v="JPY"/>
    <s v="C49SZX20190001JY"/>
    <x v="53"/>
    <s v="YSM20R(SV)-2"/>
    <s v="L-&gt;R"/>
    <s v="No"/>
    <s v="OK"/>
    <s v="CIF HK"/>
    <d v="2019-01-08T00:00:00"/>
    <x v="0"/>
    <s v="Na"/>
    <s v="Na"/>
    <m/>
    <s v="C190434453"/>
    <m/>
  </r>
  <r>
    <n v="171"/>
    <x v="0"/>
    <s v="C49"/>
    <n v="109294"/>
    <s v="拓普艾名义"/>
    <x v="3"/>
    <s v="L-&gt;R"/>
    <s v="No"/>
    <s v="Y45689"/>
    <n v="1"/>
    <s v="福保仓库"/>
    <d v="2019-04-05T00:00:00"/>
    <n v="6.2E-2"/>
    <s v="JUL 19"/>
    <n v="2019.03"/>
    <s v="JPY"/>
    <s v="C49SZX20180154JL"/>
    <x v="13"/>
    <s v="YSM20-2"/>
    <s v="L-&gt;R"/>
    <s v="No"/>
    <s v="OK"/>
    <s v="DAP东莞"/>
    <d v="2018-10-15T00:00:00"/>
    <x v="0"/>
    <s v="Na"/>
    <s v="Na"/>
    <m/>
    <s v="C181133465"/>
    <m/>
  </r>
  <r>
    <s v="浙江金子星-1"/>
    <x v="0"/>
    <s v="C28"/>
    <n v="109532"/>
    <s v="STK"/>
    <x v="9"/>
    <s v="R-&gt;L"/>
    <s v="No"/>
    <s v="Y47728"/>
    <n v="1"/>
    <s v="福保仓库"/>
    <d v="2019-04-05T00:00:00"/>
    <n v="6.2E-2"/>
    <s v="DEC 19"/>
    <d v="1905-07-11T00:43:12"/>
    <e v="#N/A"/>
    <e v="#N/A"/>
    <x v="41"/>
    <e v="#N/A"/>
    <e v="#N/A"/>
    <e v="#N/A"/>
    <e v="#N/A"/>
    <e v="#N/A"/>
    <e v="#N/A"/>
    <x v="1"/>
    <s v="Na"/>
    <s v="Na "/>
    <m/>
    <s v="C191035928"/>
    <m/>
  </r>
  <r>
    <n v="544"/>
    <x v="0"/>
    <s v="C28"/>
    <n v="109532"/>
    <s v="STK"/>
    <x v="9"/>
    <s v="R-&gt;L"/>
    <s v="No"/>
    <s v="Y47729"/>
    <n v="1"/>
    <s v="福保仓库"/>
    <d v="2019-04-05T00:00:00"/>
    <n v="6.2E-2"/>
    <s v="APR 20"/>
    <d v="1905-07-11T00:43:12"/>
    <s v="JPY"/>
    <s v="C28SZX20190098YY"/>
    <x v="75"/>
    <s v="YCP10"/>
    <s v="L-&gt;R"/>
    <s v="No"/>
    <s v="WRONG"/>
    <s v="CIF HK"/>
    <d v="2019-11-26T00:00:00"/>
    <x v="0"/>
    <m/>
    <m/>
    <m/>
    <s v="C200336888"/>
    <m/>
  </r>
  <r>
    <n v="385"/>
    <x v="0"/>
    <s v="C49"/>
    <n v="109294"/>
    <s v="拓普艾名义"/>
    <x v="3"/>
    <s v="L-&gt;R"/>
    <s v="No"/>
    <s v="Y45690"/>
    <n v="1"/>
    <s v="力合仓库(已经清关)"/>
    <d v="2019-04-05T00:00:00"/>
    <n v="6.2E-2"/>
    <s v="AUG 19"/>
    <n v="2019.03"/>
    <s v="RMB"/>
    <s v="C49SZX20190118R1SS"/>
    <x v="44"/>
    <s v="YSM20R(SV)-2"/>
    <s v="L-&gt;R"/>
    <s v="No"/>
    <s v="OK"/>
    <s v="含税到厂"/>
    <d v="2019-08-14T00:00:00"/>
    <x v="0"/>
    <s v="Na"/>
    <s v="Na"/>
    <m/>
    <s v="C190434540, 前海福源"/>
    <m/>
  </r>
  <r>
    <n v="395"/>
    <x v="0"/>
    <s v="C49"/>
    <n v="109294"/>
    <s v="拓普艾名义"/>
    <x v="3"/>
    <s v="L-&gt;R"/>
    <s v="No"/>
    <s v="Y45691"/>
    <n v="1"/>
    <s v="力合仓库(已经清关)"/>
    <d v="2019-04-05T00:00:00"/>
    <n v="6.2E-2"/>
    <s v="SEP 19"/>
    <n v="2019.03"/>
    <s v="RMB"/>
    <s v="C49SZX20190119SX"/>
    <x v="64"/>
    <s v="YSM20R(SV)-2"/>
    <s v="L-&gt;R"/>
    <s v="No"/>
    <s v="OK"/>
    <s v="含税到厂"/>
    <d v="2019-08-16T00:00:00"/>
    <x v="0"/>
    <s v="Na"/>
    <s v="Na"/>
    <m/>
    <s v="C190835446"/>
    <m/>
  </r>
  <r>
    <n v="356"/>
    <x v="0"/>
    <s v="C49"/>
    <n v="109344"/>
    <s v="STK"/>
    <x v="1"/>
    <s v="L-&gt;R"/>
    <s v="MVC+ATS15"/>
    <s v="Y46281"/>
    <n v="1"/>
    <s v="力合仓库(已经清关)"/>
    <d v="2019-04-10T00:00:00"/>
    <n v="6.2E-2"/>
    <s v="JUL 19"/>
    <m/>
    <s v="RMB"/>
    <s v="C49SZX20190100SX"/>
    <x v="20"/>
    <s v="YSM10"/>
    <s v="L-&gt;R"/>
    <s v="MVC+ATS15"/>
    <s v="OK"/>
    <s v="含税到厂"/>
    <d v="2019-06-17T00:00:00"/>
    <x v="0"/>
    <s v="Na"/>
    <s v="Na"/>
    <m/>
    <s v="C180532243"/>
    <m/>
  </r>
  <r>
    <n v="343"/>
    <x v="0"/>
    <s v="C49"/>
    <n v="109344"/>
    <s v="STK"/>
    <x v="1"/>
    <s v="L-&gt;R"/>
    <s v="No"/>
    <s v="Y46275"/>
    <n v="1"/>
    <s v="力合仓库(已经清关)"/>
    <d v="2019-04-10T00:00:00"/>
    <n v="6.2E-2"/>
    <s v="JUN 19"/>
    <m/>
    <s v="RMB"/>
    <s v="C49SZX20190090SX"/>
    <x v="76"/>
    <s v="YSM10"/>
    <s v="L-&gt;R"/>
    <s v="MVC"/>
    <s v="WRONG"/>
    <s v="含税到厂"/>
    <d v="2019-06-05T00:00:00"/>
    <x v="0"/>
    <m/>
    <m/>
    <m/>
    <s v="C180231291"/>
    <m/>
  </r>
  <r>
    <n v="325"/>
    <x v="0"/>
    <s v="C49"/>
    <n v="109344"/>
    <s v="STK"/>
    <x v="1"/>
    <s v="L-&gt;R"/>
    <s v="No"/>
    <s v="Y46272"/>
    <n v="1"/>
    <s v="盐保仓库"/>
    <d v="2019-04-10T00:00:00"/>
    <n v="6.2E-2"/>
    <s v="JUN 19"/>
    <m/>
    <s v="RMB"/>
    <s v="C49SZX20190073JL"/>
    <x v="77"/>
    <s v="YSM10"/>
    <s v="L-&gt;R"/>
    <s v="No"/>
    <s v="OK"/>
    <s v="含税到厂"/>
    <d v="2019-05-27T00:00:00"/>
    <x v="0"/>
    <s v="Na"/>
    <s v="Na"/>
    <m/>
    <s v="C190133876"/>
    <m/>
  </r>
  <r>
    <n v="323"/>
    <x v="0"/>
    <s v="C49"/>
    <n v="109344"/>
    <s v="STK"/>
    <x v="1"/>
    <s v="L-&gt;R"/>
    <s v="No"/>
    <s v="Y46273"/>
    <n v="1"/>
    <s v="盐保仓库"/>
    <d v="2019-04-10T00:00:00"/>
    <n v="6.2E-2"/>
    <s v="JUN 19"/>
    <m/>
    <s v="RMB"/>
    <s v="C49SZX20190073JL"/>
    <x v="77"/>
    <s v="YSM10"/>
    <s v="R-&gt;L"/>
    <s v="MVC"/>
    <s v="WRONG"/>
    <s v="含税到厂"/>
    <d v="2019-05-27T00:00:00"/>
    <x v="0"/>
    <s v="Na"/>
    <s v="Na"/>
    <m/>
    <s v="C190133876"/>
    <m/>
  </r>
  <r>
    <n v="324"/>
    <x v="0"/>
    <s v="C49"/>
    <n v="109344"/>
    <s v="STK"/>
    <x v="1"/>
    <s v="L-&gt;R"/>
    <s v="No"/>
    <s v="Y46274"/>
    <n v="1"/>
    <s v="盐保仓库"/>
    <d v="2019-04-10T00:00:00"/>
    <n v="6.2E-2"/>
    <s v="JUN 19"/>
    <m/>
    <s v="RMB"/>
    <s v="C49SZX20190073JL"/>
    <x v="77"/>
    <s v="YSM10"/>
    <s v="L-&gt;R"/>
    <s v="MVC"/>
    <s v="WRONG"/>
    <s v="含税到厂"/>
    <d v="2019-05-27T00:00:00"/>
    <x v="0"/>
    <s v="Na"/>
    <s v="Na"/>
    <m/>
    <s v="C190133876"/>
    <m/>
  </r>
  <r>
    <n v="302"/>
    <x v="0"/>
    <s v="C49"/>
    <n v="109344"/>
    <s v="STK"/>
    <x v="1"/>
    <s v="L-&gt;R"/>
    <s v="No"/>
    <s v="Y46277"/>
    <n v="1"/>
    <s v="盐保仓库"/>
    <d v="2019-04-10T00:00:00"/>
    <n v="6.2E-2"/>
    <s v="JUN 19"/>
    <m/>
    <s v="JPY"/>
    <s v="C49SZX20190050SX"/>
    <x v="78"/>
    <s v="YSM10"/>
    <s v="L-&gt;R"/>
    <s v="No"/>
    <s v="OK"/>
    <s v="DAP SZ"/>
    <d v="2019-05-02T00:00:00"/>
    <x v="0"/>
    <s v="Na"/>
    <s v="Na"/>
    <m/>
    <s v="C180331720"/>
    <m/>
  </r>
  <r>
    <n v="333"/>
    <x v="0"/>
    <s v="C49"/>
    <n v="109344"/>
    <s v="STK"/>
    <x v="1"/>
    <s v="L-&gt;R"/>
    <s v="MVC+ATS15"/>
    <s v="Y46280"/>
    <n v="1"/>
    <s v="盐保仓库"/>
    <d v="2019-04-10T00:00:00"/>
    <n v="6.2E-2"/>
    <s v="AUG 19"/>
    <m/>
    <s v="JPY"/>
    <s v="C49SZX20190080ZX"/>
    <x v="79"/>
    <s v="YSM10"/>
    <s v="L-&gt;R"/>
    <s v="MVC+ATS15"/>
    <s v="OK"/>
    <s v="DAP 长沙"/>
    <d v="2019-05-27T00:00:00"/>
    <x v="0"/>
    <s v="Na"/>
    <s v="Na"/>
    <m/>
    <s v="C190634898"/>
    <m/>
  </r>
  <r>
    <n v="373"/>
    <x v="0"/>
    <s v="C49"/>
    <n v="109344"/>
    <s v="STK"/>
    <x v="1"/>
    <s v="L-&gt;R"/>
    <s v="No"/>
    <s v="Y46276"/>
    <n v="1"/>
    <s v="盐保仓库"/>
    <d v="2019-04-10T00:00:00"/>
    <n v="6.2E-2"/>
    <s v="JUL 19"/>
    <m/>
    <s v="JPY"/>
    <s v="C49SZX20190093JL"/>
    <x v="39"/>
    <s v="YSM10"/>
    <s v="R-&gt;L"/>
    <s v="MVC"/>
    <s v="WRONG"/>
    <s v="DAP SZ"/>
    <d v="2019-07-03T00:00:00"/>
    <x v="0"/>
    <d v="2018-08-17T00:00:00"/>
    <d v="2018-08-30T00:00:00"/>
    <m/>
    <s v="C4910434452"/>
    <m/>
  </r>
  <r>
    <n v="311"/>
    <x v="0"/>
    <s v="C49"/>
    <n v="109344"/>
    <s v="STK"/>
    <x v="1"/>
    <s v="R-&gt;L"/>
    <s v="No"/>
    <s v="Y46278"/>
    <n v="1"/>
    <s v="盐保仓库"/>
    <d v="2019-04-10T00:00:00"/>
    <n v="6.2E-2"/>
    <s v="JUN 19"/>
    <m/>
    <s v="JPY"/>
    <s v="C49SZX20190071SX"/>
    <x v="80"/>
    <s v="YSM10"/>
    <s v="L-&gt;R"/>
    <s v="No"/>
    <s v="WRONG"/>
    <s v="DAP SZ"/>
    <d v="2019-05-15T00:00:00"/>
    <x v="0"/>
    <m/>
    <m/>
    <m/>
    <s v="C171030541"/>
    <m/>
  </r>
  <r>
    <n v="365"/>
    <x v="0"/>
    <s v="C49"/>
    <n v="109344"/>
    <s v="STK"/>
    <x v="1"/>
    <s v="R-&gt;L"/>
    <s v="No"/>
    <s v="Y46279"/>
    <n v="1"/>
    <s v="盐保仓库"/>
    <d v="2019-04-10T00:00:00"/>
    <n v="6.2E-2"/>
    <s v="JUL 19"/>
    <m/>
    <s v="RMB"/>
    <s v="C49SZX201901008ZX"/>
    <x v="74"/>
    <s v="YSM10"/>
    <s v="L-&gt;R"/>
    <s v="MVC"/>
    <s v="WRONG"/>
    <s v="含税到厂"/>
    <d v="2019-04-25T00:00:00"/>
    <x v="0"/>
    <s v="Na"/>
    <s v="Na"/>
    <m/>
    <s v="C141021043"/>
    <m/>
  </r>
  <r>
    <n v="326"/>
    <x v="0"/>
    <s v="C49"/>
    <n v="109263"/>
    <s v="龙腾名义"/>
    <x v="3"/>
    <s v="L-&gt;R"/>
    <s v="No"/>
    <s v="Y45340"/>
    <n v="1"/>
    <s v="力合仓库(已经清关)"/>
    <d v="2019-04-19T00:00:00"/>
    <n v="6.2E-2"/>
    <s v="JUN 19"/>
    <m/>
    <s v="RMB"/>
    <s v="C49SZX20190073JL"/>
    <x v="77"/>
    <s v="YSM20R(SV)-2"/>
    <s v="L-&gt;R"/>
    <s v="No"/>
    <s v="OK"/>
    <s v="含税到厂"/>
    <d v="2019-05-27T00:00:00"/>
    <x v="0"/>
    <s v="Na"/>
    <s v="Na"/>
    <m/>
    <s v="C190133876"/>
    <m/>
  </r>
  <r>
    <n v="394"/>
    <x v="0"/>
    <s v="C49"/>
    <n v="109526"/>
    <s v="上达名义"/>
    <x v="3"/>
    <s v="L-&gt;R"/>
    <s v="No"/>
    <s v="Y45794"/>
    <n v="1"/>
    <s v="力合仓库(已经清关)"/>
    <d v="2019-04-19T00:00:00"/>
    <n v="6.2E-2"/>
    <s v="SEP 19"/>
    <n v="2019.03"/>
    <s v="RMB"/>
    <s v="C49SZX20190119SX"/>
    <x v="64"/>
    <s v="YSM20R(SV)-2"/>
    <s v="L-&gt;R"/>
    <s v="No"/>
    <s v="OK"/>
    <s v="含税到厂"/>
    <d v="2019-08-16T00:00:00"/>
    <x v="0"/>
    <s v="Na"/>
    <s v="Na"/>
    <m/>
    <s v="C190835446"/>
    <m/>
  </r>
  <r>
    <n v="438"/>
    <x v="0"/>
    <s v="C49"/>
    <n v="109263"/>
    <s v="龙腾名义"/>
    <x v="3"/>
    <s v="L-&gt;R"/>
    <s v="cATS10+MVC+special layout"/>
    <s v="Y45341"/>
    <n v="1"/>
    <s v="盐保仓库"/>
    <d v="2019-04-19T00:00:00"/>
    <n v="6.2E-2"/>
    <s v="NOV 19"/>
    <n v="2019.03"/>
    <s v="USD"/>
    <s v="C49SZX20190138ZX"/>
    <x v="69"/>
    <s v="YSM20R(SV)-2"/>
    <s v="L-&gt;R"/>
    <s v="cATS10+MVC+special layout"/>
    <s v="OK"/>
    <s v="CIF HK"/>
    <d v="2019-10-10T00:00:00"/>
    <x v="0"/>
    <m/>
    <m/>
    <m/>
    <s v="C190133789"/>
    <m/>
  </r>
  <r>
    <n v="381"/>
    <x v="0"/>
    <s v="C49"/>
    <n v="109526"/>
    <s v="上达名义"/>
    <x v="3"/>
    <s v="L-&gt;R"/>
    <s v="No"/>
    <s v="Y45792"/>
    <n v="1"/>
    <s v="盐保仓库"/>
    <d v="2019-04-19T00:00:00"/>
    <n v="6.2E-2"/>
    <s v="AUG 19"/>
    <n v="2019.03"/>
    <s v="RMB"/>
    <s v="C49SZX20190114MX"/>
    <x v="81"/>
    <s v="YSM20R(SV)-2"/>
    <s v="L-&gt;R"/>
    <s v="No"/>
    <s v="OK"/>
    <s v="含税到厂"/>
    <d v="2019-08-08T00:00:00"/>
    <x v="0"/>
    <s v="Na"/>
    <s v="Na"/>
    <m/>
    <s v="Yes"/>
    <m/>
  </r>
  <r>
    <n v="359"/>
    <x v="0"/>
    <s v="C49"/>
    <n v="109526"/>
    <s v="上达名义"/>
    <x v="3"/>
    <s v="L-&gt;R"/>
    <s v="No"/>
    <s v="Y45793"/>
    <n v="1"/>
    <s v="盐保仓库"/>
    <d v="2019-04-19T00:00:00"/>
    <n v="6.2E-2"/>
    <s v="JUL 19"/>
    <n v="2019.03"/>
    <s v="RMB"/>
    <s v="C49SZX20190102SX"/>
    <x v="82"/>
    <s v="YSM20R(SV)-2"/>
    <s v="L-&gt;R"/>
    <s v="No"/>
    <s v="OK"/>
    <s v="含税到厂"/>
    <d v="2019-06-19T00:00:00"/>
    <x v="0"/>
    <m/>
    <m/>
    <m/>
    <s v="C180732678"/>
    <m/>
  </r>
  <r>
    <n v="532"/>
    <x v="0"/>
    <s v="C49"/>
    <s v="Yamaha 归还"/>
    <s v="Yamaha "/>
    <x v="0"/>
    <s v="NO"/>
    <s v="No"/>
    <s v="Y46227"/>
    <n v="1"/>
    <s v="力合仓库(已经清关)"/>
    <d v="2019-05-01T00:00:00"/>
    <n v="5.9499999999999997E-2"/>
    <s v="DEC 19"/>
    <m/>
    <s v="RMB"/>
    <s v="C49SZX20190149SX"/>
    <x v="76"/>
    <s v="YSM40R-4"/>
    <s v="No"/>
    <s v="No"/>
    <s v="OK"/>
    <s v="DDP HZ"/>
    <d v="2019-12-11T00:00:00"/>
    <x v="0"/>
    <m/>
    <s v="Na"/>
    <m/>
    <s v="C180231291"/>
    <m/>
  </r>
  <r>
    <n v="410"/>
    <x v="0"/>
    <s v="C49"/>
    <n v="109390"/>
    <s v="亿联名义"/>
    <x v="3"/>
    <s v="L-&gt;R"/>
    <s v="No"/>
    <s v="Y45639"/>
    <n v="1"/>
    <s v="力合仓库(已经清关)"/>
    <d v="2019-05-03T00:00:00"/>
    <n v="6.1699999999999998E-2"/>
    <s v="SEP 19"/>
    <n v="2019.03"/>
    <s v="RMB"/>
    <s v="C49SZX20190130JL"/>
    <x v="83"/>
    <s v="YSM20R(SV)-2"/>
    <s v="L-&gt;R"/>
    <s v="No"/>
    <s v="OK"/>
    <s v="含税到厂"/>
    <d v="2019-08-27T00:00:00"/>
    <x v="0"/>
    <s v="Na"/>
    <s v="Na"/>
    <m/>
    <s v="C190935541"/>
    <m/>
  </r>
  <r>
    <n v="403"/>
    <x v="0"/>
    <s v="C49"/>
    <n v="109390"/>
    <s v="亿联名义"/>
    <x v="3"/>
    <s v="L-&gt;R"/>
    <s v="No"/>
    <s v="Y45640"/>
    <n v="1"/>
    <s v="力合仓库(已经清关)"/>
    <d v="2019-05-03T00:00:00"/>
    <n v="6.1699999999999998E-2"/>
    <s v="AUG 19"/>
    <n v="2019.03"/>
    <s v="RMB"/>
    <s v="C49SZX20190126MZ"/>
    <x v="84"/>
    <s v="YSM20R(SV)-2"/>
    <s v="L-&gt;R"/>
    <s v="No"/>
    <s v="OK"/>
    <s v="含税到厂"/>
    <d v="2019-08-20T00:00:00"/>
    <x v="0"/>
    <s v="Na"/>
    <s v="Na"/>
    <m/>
    <s v="C170629716"/>
    <m/>
  </r>
  <r>
    <n v="303"/>
    <x v="0"/>
    <s v="C49"/>
    <n v="109390"/>
    <s v="亿联名义"/>
    <x v="3"/>
    <s v="L-&gt;R"/>
    <s v="No"/>
    <s v="Y45641"/>
    <n v="1"/>
    <s v="盐保仓库"/>
    <d v="2019-05-03T00:00:00"/>
    <n v="6.1699999999999998E-2"/>
    <s v="JUL 19"/>
    <n v="2019.03"/>
    <s v="JPY"/>
    <s v="C49SZX20190068ZX"/>
    <x v="85"/>
    <s v="YSM20R(SV)-2"/>
    <s v="L-&gt;R"/>
    <s v="No"/>
    <s v="OK"/>
    <s v="DAP SZ"/>
    <d v="2019-05-08T00:00:00"/>
    <x v="0"/>
    <s v="Na"/>
    <s v="Na"/>
    <m/>
    <s v="C190534702"/>
    <m/>
  </r>
  <r>
    <n v="304"/>
    <x v="0"/>
    <s v="C49"/>
    <n v="109390"/>
    <s v="亿联名义"/>
    <x v="3"/>
    <s v="L-&gt;R"/>
    <s v="No"/>
    <s v="Y45642"/>
    <n v="1"/>
    <s v="盐保仓库"/>
    <d v="2019-05-03T00:00:00"/>
    <n v="6.1699999999999998E-2"/>
    <s v="JUL 19"/>
    <n v="2019.03"/>
    <s v="JPY"/>
    <s v="C49SZX20190068ZX"/>
    <x v="85"/>
    <s v="YSM20R(SV)-2"/>
    <s v="L-&gt;R"/>
    <s v="No"/>
    <s v="OK"/>
    <s v="DAP SZ"/>
    <d v="2019-05-08T00:00:00"/>
    <x v="0"/>
    <s v="Na"/>
    <s v="Na"/>
    <m/>
    <s v="C190534702"/>
    <m/>
  </r>
  <r>
    <n v="354"/>
    <x v="0"/>
    <s v="C49"/>
    <n v="109497"/>
    <s v="永顺创名义"/>
    <x v="3"/>
    <s v="L-&gt;R"/>
    <s v="MVC"/>
    <s v="Y47328"/>
    <n v="1"/>
    <s v="力合仓库(已经清关)"/>
    <d v="2019-05-08T00:00:00"/>
    <n v="6.1699999999999998E-2"/>
    <s v="JUN 19"/>
    <n v="2019.03"/>
    <s v="RMB"/>
    <s v="C49SZX20190095ZX"/>
    <x v="30"/>
    <s v="YSM20R(SV)-2"/>
    <s v="L-&gt;R"/>
    <s v="MVC"/>
    <s v="OK"/>
    <s v="含税到厂"/>
    <d v="2019-06-17T00:00:00"/>
    <x v="0"/>
    <s v="Na"/>
    <s v="Na"/>
    <m/>
    <s v="C190434451"/>
    <m/>
  </r>
  <r>
    <n v="277"/>
    <x v="0"/>
    <s v="C49"/>
    <n v="109497"/>
    <s v="永顺创名义"/>
    <x v="3"/>
    <s v="L-&gt;R"/>
    <s v="MVC"/>
    <s v="Y47327"/>
    <n v="1"/>
    <s v="盐保仓库"/>
    <d v="2019-05-08T00:00:00"/>
    <n v="6.1699999999999998E-2"/>
    <s v="JUN 19"/>
    <n v="2019.03"/>
    <s v="JPY"/>
    <s v="C49SZX20190043SX"/>
    <x v="78"/>
    <s v="YSM20R(SV)-2"/>
    <s v="L-&gt;R"/>
    <s v="MVC"/>
    <s v="OK"/>
    <s v="DAP 恩平"/>
    <d v="2019-04-02T00:00:00"/>
    <x v="0"/>
    <s v="Na"/>
    <s v="Na"/>
    <m/>
    <s v="C180331720"/>
    <m/>
  </r>
  <r>
    <n v="322"/>
    <x v="0"/>
    <s v="C49"/>
    <n v="109497"/>
    <s v="永顺创名义"/>
    <x v="3"/>
    <s v="L-&gt;R"/>
    <s v="MVC"/>
    <s v="Y47329"/>
    <n v="1"/>
    <s v="盐保仓库"/>
    <d v="2019-05-08T00:00:00"/>
    <n v="6.1699999999999998E-2"/>
    <s v="JUL 19"/>
    <n v="2019.03"/>
    <s v="RMB"/>
    <s v="C49SZX20190065JY"/>
    <x v="86"/>
    <s v="YSM20R(SV)-2"/>
    <s v="L-&gt;R"/>
    <s v="MVC"/>
    <s v="OK"/>
    <s v="含税到厂"/>
    <d v="2019-05-22T00:00:00"/>
    <x v="0"/>
    <s v="Na"/>
    <s v="Na"/>
    <m/>
    <s v="C190735084"/>
    <m/>
  </r>
  <r>
    <n v="425"/>
    <x v="0"/>
    <s v="C49"/>
    <n v="109554"/>
    <s v="STK"/>
    <x v="3"/>
    <s v="L-&gt;R"/>
    <s v="No"/>
    <s v="Y48037"/>
    <n v="1"/>
    <s v="力合仓库(已经清关)"/>
    <d v="2019-05-15T00:00:00"/>
    <n v="6.1699999999999998E-2"/>
    <s v="SEP 19"/>
    <n v="2019.04"/>
    <s v="RMB"/>
    <s v="C49SZX20190123SX"/>
    <x v="87"/>
    <s v="YSM20R(SV)-2"/>
    <s v="L-&gt;R"/>
    <s v="No"/>
    <s v="OK"/>
    <s v="含税到厂"/>
    <d v="2019-09-06T00:00:00"/>
    <x v="0"/>
    <m/>
    <m/>
    <m/>
    <s v="C190735079"/>
    <m/>
  </r>
  <r>
    <n v="415"/>
    <x v="0"/>
    <s v="C49"/>
    <n v="109554"/>
    <s v="STK"/>
    <x v="3"/>
    <s v="L-&gt;R"/>
    <s v="No"/>
    <s v="Y48035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416"/>
    <x v="0"/>
    <s v="C49"/>
    <n v="109554"/>
    <s v="STK"/>
    <x v="3"/>
    <s v="L-&gt;R"/>
    <s v="No"/>
    <s v="Y48036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417"/>
    <x v="0"/>
    <s v="C49"/>
    <n v="109554"/>
    <s v="STK"/>
    <x v="3"/>
    <s v="L-&gt;R"/>
    <s v="No"/>
    <s v="Y48038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418"/>
    <x v="0"/>
    <s v="C49"/>
    <n v="109554"/>
    <s v="STK"/>
    <x v="3"/>
    <s v="L-&gt;R"/>
    <s v="No"/>
    <s v="Y48039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244"/>
    <x v="0"/>
    <s v="C49"/>
    <n v="109553"/>
    <s v="STK"/>
    <x v="3"/>
    <s v="R-&gt;L"/>
    <s v="No"/>
    <s v="Y48040"/>
    <n v="1"/>
    <s v="CY仓库"/>
    <d v="2019-05-17T00:00:00"/>
    <n v="6.1699999999999998E-2"/>
    <s v="MAY 19"/>
    <m/>
    <s v="JPY"/>
    <s v="C49SZX20190031MZ"/>
    <x v="40"/>
    <s v="YSM20R(SV)-2"/>
    <s v="R-&gt;L"/>
    <s v="No"/>
    <s v="OK"/>
    <s v="CIF HK"/>
    <d v="2019-03-08T00:00:00"/>
    <x v="0"/>
    <s v="Na"/>
    <s v="Na"/>
    <m/>
    <s v="C180331587"/>
    <m/>
  </r>
  <r>
    <n v="245"/>
    <x v="0"/>
    <s v="C49"/>
    <n v="109553"/>
    <s v="STK"/>
    <x v="3"/>
    <s v="R-&gt;L"/>
    <s v="No"/>
    <s v="Y48041"/>
    <n v="1"/>
    <s v="CY仓库"/>
    <d v="2019-05-17T00:00:00"/>
    <n v="6.1699999999999998E-2"/>
    <s v="MAY 19"/>
    <m/>
    <s v="JPY"/>
    <s v="C49SZX20190031MZ"/>
    <x v="40"/>
    <s v="YSM20R(SV)-2"/>
    <s v="R-&gt;L"/>
    <s v="No"/>
    <s v="OK"/>
    <s v="CIF HK"/>
    <d v="2019-03-08T00:00:00"/>
    <x v="0"/>
    <s v="Na"/>
    <s v="Na"/>
    <m/>
    <s v="C180331587"/>
    <m/>
  </r>
  <r>
    <n v="250"/>
    <x v="0"/>
    <s v="C49"/>
    <n v="109553"/>
    <s v="STK"/>
    <x v="3"/>
    <s v="R-&gt;L"/>
    <s v="No"/>
    <s v="Y48042"/>
    <n v="1"/>
    <s v="CY仓库"/>
    <d v="2019-05-17T00:00:00"/>
    <n v="6.1699999999999998E-2"/>
    <s v="MAY 19"/>
    <m/>
    <s v="JPY"/>
    <s v="C49SZX20190026ZX"/>
    <x v="4"/>
    <s v="YSM20R(SV)-2"/>
    <s v="R-&gt;L"/>
    <s v="MVC"/>
    <s v="WRONG"/>
    <s v="DAP SZ"/>
    <d v="2019-03-13T00:00:00"/>
    <x v="0"/>
    <m/>
    <m/>
    <m/>
    <s v="C190133805"/>
    <m/>
  </r>
  <r>
    <n v="274"/>
    <x v="0"/>
    <s v="C49"/>
    <n v="109553"/>
    <s v="STK"/>
    <x v="3"/>
    <s v="R-&gt;L"/>
    <s v="No"/>
    <s v="Y48044"/>
    <n v="1"/>
    <s v="CY仓库"/>
    <d v="2019-05-17T00:00:00"/>
    <n v="6.1699999999999998E-2"/>
    <s v="JUL 19"/>
    <n v="2019.04"/>
    <s v="JPY"/>
    <s v="C49SZX20190041JL"/>
    <x v="34"/>
    <s v="YSM20R(SV)-2"/>
    <s v="R-&gt;L"/>
    <s v="No"/>
    <s v="OK"/>
    <s v="CIF HK"/>
    <d v="2019-03-26T00:00:00"/>
    <x v="0"/>
    <m/>
    <m/>
    <m/>
    <s v="C190234048"/>
    <m/>
  </r>
  <r>
    <n v="321"/>
    <x v="0"/>
    <s v="C49"/>
    <n v="109553"/>
    <s v="STK"/>
    <x v="3"/>
    <s v="R-&gt;L"/>
    <s v="No"/>
    <s v="Y48043"/>
    <n v="1"/>
    <s v="力合仓库(已经清关)"/>
    <d v="2019-05-17T00:00:00"/>
    <n v="6.1699999999999998E-2"/>
    <s v="JUN 19"/>
    <m/>
    <s v="RMB"/>
    <s v="C49SZX20190077SX"/>
    <x v="49"/>
    <s v="YSM20R(SV)-2"/>
    <s v="R-&gt;L"/>
    <s v="No"/>
    <s v="OK"/>
    <s v="含税到厂"/>
    <d v="2019-05-22T00:00:00"/>
    <x v="0"/>
    <s v="Na"/>
    <s v="Na"/>
    <m/>
    <s v="C180532090"/>
    <m/>
  </r>
  <r>
    <n v="297"/>
    <x v="0"/>
    <s v="C49"/>
    <n v="109582"/>
    <s v="魔乐视名义"/>
    <x v="3"/>
    <s v="R-&gt;L"/>
    <s v="MVC"/>
    <s v="Y48162"/>
    <n v="1"/>
    <s v="CY仓库"/>
    <d v="2019-06-01T00:00:00"/>
    <n v="6.4299999999999996E-2"/>
    <s v="JUL 19"/>
    <n v="2019.05"/>
    <s v="JPY"/>
    <s v="C49SZX20190061JL"/>
    <x v="34"/>
    <s v="YSM20R(SV)-2"/>
    <s v="R-&gt;L"/>
    <s v="No"/>
    <s v="WRONG"/>
    <s v="CIF HK"/>
    <d v="2019-04-27T00:00:00"/>
    <x v="0"/>
    <m/>
    <m/>
    <m/>
    <s v="C190234048"/>
    <n v="301"/>
  </r>
  <r>
    <n v="382"/>
    <x v="0"/>
    <s v="C49"/>
    <n v="109563"/>
    <s v="Special price"/>
    <x v="1"/>
    <s v="R-&gt;L"/>
    <s v="ATS15"/>
    <s v="Y48171"/>
    <n v="1"/>
    <s v="力合仓库(已经清关)"/>
    <d v="2019-06-01T00:00:00"/>
    <n v="6.4299999999999996E-2"/>
    <s v="AUG 19"/>
    <d v="1905-07-11T01:12:00"/>
    <s v="RMB"/>
    <s v="C49SZX20190110ZX"/>
    <x v="89"/>
    <s v="YSM10"/>
    <s v="L-&gt;R"/>
    <s v="MVC+ATS15"/>
    <s v="WRONG"/>
    <s v="含税到厂"/>
    <d v="2019-08-09T00:00:00"/>
    <x v="0"/>
    <m/>
    <m/>
    <m/>
    <s v="C161128121"/>
    <n v="302"/>
  </r>
  <r>
    <n v="383"/>
    <x v="0"/>
    <s v="C49"/>
    <n v="109563"/>
    <s v="Special price"/>
    <x v="1"/>
    <s v="R-&gt;L"/>
    <s v="ATS15"/>
    <s v="Y48172"/>
    <n v="1"/>
    <s v="力合仓库(已经清关)"/>
    <d v="2019-06-01T00:00:00"/>
    <n v="6.4299999999999996E-2"/>
    <s v="AUG 19"/>
    <d v="1905-07-11T01:12:00"/>
    <s v="RMB"/>
    <s v="C49SZX20190110ZX"/>
    <x v="89"/>
    <s v="YSM10"/>
    <s v="L-&gt;R"/>
    <s v="MVC+ATS15"/>
    <s v="WRONG"/>
    <s v="含税到厂"/>
    <d v="2019-08-09T00:00:00"/>
    <x v="0"/>
    <m/>
    <m/>
    <m/>
    <s v="C161128121"/>
    <n v="302"/>
  </r>
  <r>
    <n v="384"/>
    <x v="0"/>
    <s v="C49"/>
    <n v="109563"/>
    <s v="Special price"/>
    <x v="1"/>
    <s v="L-&gt;R"/>
    <s v="ATS15"/>
    <s v="Y48175"/>
    <n v="1"/>
    <s v="力合仓库(已经清关)"/>
    <d v="2019-06-01T00:00:00"/>
    <n v="6.4299999999999996E-2"/>
    <s v="AUG 19"/>
    <d v="1905-07-11T01:12:00"/>
    <s v="RMB"/>
    <s v="C49SZX20190110ZX"/>
    <x v="89"/>
    <s v="YSM10"/>
    <s v="L-&gt;R"/>
    <s v="MVC+ATS15"/>
    <s v="WRONG"/>
    <s v="含税到厂"/>
    <d v="2019-08-09T00:00:00"/>
    <x v="0"/>
    <m/>
    <m/>
    <m/>
    <s v="C161128121"/>
    <n v="301"/>
  </r>
  <r>
    <n v="407"/>
    <x v="0"/>
    <s v="C49"/>
    <n v="109564"/>
    <s v="Special price"/>
    <x v="1"/>
    <s v="L-&gt;R"/>
    <s v="ATS15"/>
    <s v="Y48176"/>
    <n v="1"/>
    <s v="力合仓库(已经清关)"/>
    <d v="2019-06-01T00:00:00"/>
    <n v="6.4299999999999996E-2"/>
    <s v="AUG 19"/>
    <d v="1905-07-11T01:12:00"/>
    <s v="RMB"/>
    <s v="C49SZX20190117SX"/>
    <x v="72"/>
    <s v="YSM10"/>
    <s v="L-&gt;R"/>
    <s v="MVC+ATS15"/>
    <s v="WRONG"/>
    <s v="含税到厂"/>
    <d v="2019-08-22T00:00:00"/>
    <x v="0"/>
    <m/>
    <m/>
    <m/>
    <s v="C190534573"/>
    <n v="301"/>
  </r>
  <r>
    <n v="397"/>
    <x v="0"/>
    <s v="C49"/>
    <n v="109564"/>
    <s v="Special price"/>
    <x v="1"/>
    <s v="L-&gt;R"/>
    <s v="ATS15"/>
    <s v="Y48178"/>
    <n v="1"/>
    <s v="力合仓库(已经清关)"/>
    <d v="2019-06-01T00:00:00"/>
    <n v="6.4299999999999996E-2"/>
    <s v="SEP 19"/>
    <d v="1905-07-11T01:12:00"/>
    <s v="RMB"/>
    <s v="C49SZX20190119SX"/>
    <x v="64"/>
    <s v="YSM10"/>
    <s v="R-&gt;L"/>
    <s v="MVC+ATS15"/>
    <s v="WRONG"/>
    <s v="含税到厂"/>
    <d v="2019-08-16T00:00:00"/>
    <x v="0"/>
    <s v="Na"/>
    <s v="Na"/>
    <m/>
    <s v="C190835446"/>
    <n v="301"/>
  </r>
  <r>
    <n v="371"/>
    <x v="0"/>
    <s v="C49"/>
    <n v="109582"/>
    <s v="魔乐视名义"/>
    <x v="3"/>
    <s v="R-&gt;L"/>
    <s v="MVC"/>
    <s v="Y48160"/>
    <n v="1"/>
    <s v="盐保仓库"/>
    <d v="2019-06-01T00:00:00"/>
    <n v="6.4299999999999996E-2"/>
    <s v="JUL 19"/>
    <n v="2019.05"/>
    <s v="JPY"/>
    <s v="C49SZX20190093JL"/>
    <x v="39"/>
    <s v="YSM20R(SV)-2"/>
    <s v="R-&gt;L"/>
    <s v="No"/>
    <s v="WRONG"/>
    <s v="DAP SZ"/>
    <d v="2019-07-03T00:00:00"/>
    <x v="0"/>
    <m/>
    <m/>
    <m/>
    <s v="C4910434452"/>
    <n v="301"/>
  </r>
  <r>
    <n v="372"/>
    <x v="0"/>
    <s v="C49"/>
    <n v="109582"/>
    <s v="魔乐视名义"/>
    <x v="3"/>
    <s v="R-&gt;L"/>
    <s v="MVC"/>
    <s v="Y48161"/>
    <n v="1"/>
    <s v="盐保仓库"/>
    <d v="2019-06-01T00:00:00"/>
    <n v="6.4299999999999996E-2"/>
    <s v="JUL 19"/>
    <n v="2019.05"/>
    <s v="JPY"/>
    <s v="C49SZX20190093JL"/>
    <x v="39"/>
    <s v="YSM20R(SV)-2"/>
    <s v="R-&gt;L"/>
    <s v="No"/>
    <s v="WRONG"/>
    <s v="DAP SZ"/>
    <d v="2019-07-03T00:00:00"/>
    <x v="0"/>
    <m/>
    <m/>
    <m/>
    <s v="C4910434452"/>
    <n v="301"/>
  </r>
  <r>
    <n v="308"/>
    <x v="0"/>
    <s v="C49"/>
    <n v="109563"/>
    <s v="Special price"/>
    <x v="1"/>
    <s v="R-&gt;L"/>
    <s v="ATS15"/>
    <s v="Y48173"/>
    <n v="1"/>
    <s v="盐保仓库"/>
    <d v="2019-06-01T00:00:00"/>
    <n v="6.4299999999999996E-2"/>
    <s v="JUL 19"/>
    <d v="1905-07-11T01:12:00"/>
    <s v="JPY"/>
    <s v="C49SZX20190069KW"/>
    <x v="26"/>
    <s v="YSM10"/>
    <s v="L-&gt;R"/>
    <s v="MVC+ATS15"/>
    <s v="WRONG"/>
    <s v="CIF HK"/>
    <d v="2019-05-08T00:00:00"/>
    <x v="0"/>
    <m/>
    <m/>
    <m/>
    <s v="C190534655"/>
    <n v="302"/>
  </r>
  <r>
    <n v="309"/>
    <x v="0"/>
    <s v="C49"/>
    <n v="109563"/>
    <s v="Special price"/>
    <x v="1"/>
    <s v="L-&gt;R"/>
    <s v="ATS15"/>
    <s v="Y48174"/>
    <n v="1"/>
    <s v="盐保仓库"/>
    <d v="2019-06-01T00:00:00"/>
    <n v="6.4299999999999996E-2"/>
    <s v="JUL 19"/>
    <d v="1905-07-11T01:12:00"/>
    <s v="JPY"/>
    <s v="C49SZX20190069KW"/>
    <x v="26"/>
    <s v="YSM10"/>
    <s v="L-&gt;R"/>
    <s v="MVC+ATS15"/>
    <s v="WRONG"/>
    <s v="CIF HK"/>
    <d v="2019-05-08T00:00:00"/>
    <x v="0"/>
    <m/>
    <m/>
    <m/>
    <s v="C190534655"/>
    <n v="302"/>
  </r>
  <r>
    <n v="374"/>
    <x v="0"/>
    <s v="C49"/>
    <n v="109564"/>
    <s v="Special price"/>
    <x v="1"/>
    <s v="L-&gt;R"/>
    <s v="No"/>
    <s v="Y48179"/>
    <n v="1"/>
    <s v="盐保仓库"/>
    <d v="2019-06-01T00:00:00"/>
    <n v="6.4299999999999996E-2"/>
    <s v="JUL 19"/>
    <d v="1905-07-11T01:12:00"/>
    <s v="JPY"/>
    <s v="C49SZX20190093JL"/>
    <x v="39"/>
    <s v="YSM10"/>
    <s v="R-&gt;L"/>
    <s v="MVC"/>
    <s v="WRONG"/>
    <s v="DAP SZ"/>
    <d v="2019-07-03T00:00:00"/>
    <x v="0"/>
    <m/>
    <m/>
    <m/>
    <s v="C4910434452"/>
    <n v="301"/>
  </r>
  <r>
    <n v="366"/>
    <x v="0"/>
    <s v="C49"/>
    <n v="109564"/>
    <s v="Special price"/>
    <x v="1"/>
    <s v="L-&gt;R"/>
    <s v="No"/>
    <s v="Y48180"/>
    <n v="1"/>
    <s v="盐保仓库"/>
    <d v="2019-06-01T00:00:00"/>
    <n v="6.4299999999999996E-2"/>
    <s v="JUL 19"/>
    <d v="1905-07-11T01:12:00"/>
    <s v="RMB"/>
    <s v="C49SZX20190108ZX"/>
    <x v="74"/>
    <s v="YSM10"/>
    <s v="L-&gt;R"/>
    <s v="No"/>
    <s v="OK"/>
    <s v="含税到厂"/>
    <d v="2019-04-25T00:00:00"/>
    <x v="0"/>
    <s v="Na"/>
    <s v="Na"/>
    <m/>
    <s v="C141021043"/>
    <n v="301"/>
  </r>
  <r>
    <n v="419"/>
    <x v="0"/>
    <s v="C49"/>
    <n v="109564"/>
    <s v="Special price"/>
    <x v="1"/>
    <s v="L-&gt;R"/>
    <s v="ATS15"/>
    <s v="Y48177"/>
    <n v="1"/>
    <s v="盐保仓库-&gt;准备清关"/>
    <d v="2019-06-01T00:00:00"/>
    <n v="6.4299999999999996E-2"/>
    <s v="SEP 19"/>
    <d v="1905-07-11T01:12:00"/>
    <s v="RMB"/>
    <s v="C49SZX20190129DZ"/>
    <x v="88"/>
    <s v="YSM10"/>
    <s v="L-&gt;R"/>
    <s v="MVC+ATS15"/>
    <s v="WRONG"/>
    <s v="含税到厂"/>
    <d v="2019-08-31T00:00:00"/>
    <x v="0"/>
    <m/>
    <m/>
    <m/>
    <s v="C190935620"/>
    <n v="301"/>
  </r>
  <r>
    <n v="346"/>
    <x v="0"/>
    <s v="C49"/>
    <n v="109622"/>
    <s v="IND,WKK（End user 崧盛）"/>
    <x v="8"/>
    <s v="L-&gt;R"/>
    <s v="No"/>
    <s v="Y43839"/>
    <n v="1"/>
    <s v="WKK HK 仓库"/>
    <d v="2019-07-01T00:00:00"/>
    <s v="No"/>
    <s v="JUL 19"/>
    <d v="1905-07-10T02:09:36"/>
    <s v="JPY"/>
    <s v="C49SZX20190094MZ"/>
    <x v="90"/>
    <s v="YS24"/>
    <s v="L-&gt;R"/>
    <s v="No"/>
    <s v="OK"/>
    <s v="CIF HK"/>
    <d v="2019-06-13T00:00:00"/>
    <x v="0"/>
    <m/>
    <m/>
    <m/>
    <s v="C190635053"/>
    <n v="301"/>
  </r>
  <r>
    <n v="347"/>
    <x v="0"/>
    <s v="C49"/>
    <n v="109622"/>
    <s v="IND,WKK（End user 崧盛）"/>
    <x v="8"/>
    <s v="L-&gt;R"/>
    <s v="No"/>
    <s v="Y43840"/>
    <n v="1"/>
    <s v="WKK HK 仓库"/>
    <d v="2019-07-01T00:00:00"/>
    <s v="No"/>
    <s v="JUL 19"/>
    <d v="1905-07-10T02:09:36"/>
    <s v="JPY"/>
    <s v="C49SZX20190094MZ"/>
    <x v="90"/>
    <s v="YS24"/>
    <s v="L-&gt;R"/>
    <s v="No"/>
    <s v="OK"/>
    <s v="CIF HK"/>
    <d v="2019-06-13T00:00:00"/>
    <x v="0"/>
    <m/>
    <m/>
    <m/>
    <s v="C190635053"/>
    <n v="301"/>
  </r>
  <r>
    <m/>
    <x v="0"/>
    <s v="C49"/>
    <n v="109566"/>
    <s v="Special price"/>
    <x v="1"/>
    <s v="L-&gt;R"/>
    <s v="No"/>
    <s v="Y48293（此台机运输中有碰撞)"/>
    <s v="1"/>
    <s v="Yamaha Demo 中心"/>
    <d v="2019-07-03T00:00:00"/>
    <n v="6.4699999999999994E-2"/>
    <s v="已发货"/>
    <d v="1905-07-11T01:26:24"/>
    <e v="#N/A"/>
    <e v="#N/A"/>
    <x v="41"/>
    <e v="#N/A"/>
    <e v="#N/A"/>
    <e v="#N/A"/>
    <m/>
    <e v="#N/A"/>
    <e v="#N/A"/>
    <x v="1"/>
    <m/>
    <m/>
    <m/>
    <m/>
    <m/>
  </r>
  <r>
    <n v="390"/>
    <x v="0"/>
    <s v="C49"/>
    <n v="109565"/>
    <s v="Special price"/>
    <x v="1"/>
    <s v="L-&gt;R"/>
    <s v="No"/>
    <s v="Y48291"/>
    <n v="1"/>
    <s v="力合仓库(已经清关)"/>
    <d v="2019-07-03T00:00:00"/>
    <n v="6.4699999999999994E-2"/>
    <s v="AUG 19"/>
    <d v="1905-07-11T01:26:24"/>
    <s v="RMB"/>
    <s v="C49SZX20190115SS"/>
    <x v="91"/>
    <s v="YSM10"/>
    <s v="R-&gt;L"/>
    <s v="MVC"/>
    <s v="WRONG"/>
    <s v="含税到厂"/>
    <d v="2019-08-14T00:00:00"/>
    <x v="0"/>
    <m/>
    <m/>
    <m/>
    <s v="C4190334188"/>
    <n v="301"/>
  </r>
  <r>
    <n v="396"/>
    <x v="0"/>
    <s v="C49"/>
    <n v="109603"/>
    <s v="Special package"/>
    <x v="3"/>
    <s v="R-&gt;L"/>
    <s v="No"/>
    <s v="Y48547"/>
    <n v="1"/>
    <s v="力合仓库(已经清关)"/>
    <d v="2019-07-03T00:00:00"/>
    <n v="6.4699999999999994E-2"/>
    <s v="SEP 19"/>
    <n v="2019.06"/>
    <s v="RMB"/>
    <s v="C49SZX20190119SX"/>
    <x v="64"/>
    <s v="YSM20R(SV)-2"/>
    <s v="R-&gt;L"/>
    <s v="No"/>
    <s v="OK"/>
    <s v="含税到厂"/>
    <d v="2019-08-16T00:00:00"/>
    <x v="0"/>
    <s v="Na"/>
    <s v="Na"/>
    <m/>
    <s v="C190835446"/>
    <n v="312"/>
  </r>
  <r>
    <n v="399"/>
    <x v="0"/>
    <s v="C49"/>
    <n v="109566"/>
    <s v="Special price"/>
    <x v="1"/>
    <s v="L-&gt;R"/>
    <s v="No"/>
    <s v="Y48295"/>
    <n v="1"/>
    <s v="力合仓库(已经清关)"/>
    <d v="2019-07-03T00:00:00"/>
    <n v="6.4699999999999994E-2"/>
    <s v="SEP 19"/>
    <d v="1905-07-11T01:26:24"/>
    <s v="RMB"/>
    <s v="C49SZX20190119SX"/>
    <x v="64"/>
    <s v="YSM10"/>
    <s v="L-&gt;R"/>
    <s v="MVC"/>
    <s v="WRONG"/>
    <s v="含税到厂"/>
    <d v="2019-08-16T00:00:00"/>
    <x v="0"/>
    <s v="Na"/>
    <s v="Na"/>
    <m/>
    <s v="C190835446"/>
    <n v="302"/>
  </r>
  <r>
    <n v="400"/>
    <x v="0"/>
    <s v="C49"/>
    <n v="109566"/>
    <s v="Special price"/>
    <x v="1"/>
    <s v="L-&gt;R"/>
    <s v="No"/>
    <s v="Y48296"/>
    <n v="1"/>
    <s v="力合仓库(已经清关)"/>
    <d v="2019-07-03T00:00:00"/>
    <n v="6.4699999999999994E-2"/>
    <s v="SEP 19"/>
    <d v="1905-07-11T01:26:24"/>
    <s v="RMB"/>
    <s v="C49SZX20190119SX"/>
    <x v="64"/>
    <s v="YSM10"/>
    <s v="L-&gt;R"/>
    <s v="MVC"/>
    <s v="WRONG"/>
    <s v="含税到厂"/>
    <d v="2019-08-16T00:00:00"/>
    <x v="0"/>
    <s v="Na"/>
    <s v="Na"/>
    <m/>
    <s v="C190835446"/>
    <n v="302"/>
  </r>
  <r>
    <n v="401"/>
    <x v="0"/>
    <s v="C49"/>
    <n v="109566"/>
    <s v="Special price"/>
    <x v="1"/>
    <s v="L-&gt;R"/>
    <s v="No"/>
    <s v="Y48297"/>
    <n v="1"/>
    <s v="力合仓库(已经清关)"/>
    <d v="2019-07-03T00:00:00"/>
    <n v="6.4699999999999994E-2"/>
    <s v="SEP 19"/>
    <d v="1905-07-11T01:26:24"/>
    <s v="RMB"/>
    <s v="C49SZX20190119SX"/>
    <x v="64"/>
    <s v="YSM10"/>
    <s v="L-&gt;R"/>
    <s v="MVC"/>
    <s v="WRONG"/>
    <s v="含税到厂"/>
    <d v="2019-08-16T00:00:00"/>
    <x v="0"/>
    <s v="Na"/>
    <s v="Na"/>
    <m/>
    <s v="C190835446"/>
    <n v="302"/>
  </r>
  <r>
    <n v="350"/>
    <x v="0"/>
    <s v="C49"/>
    <n v="109565"/>
    <s v="Special price"/>
    <x v="1"/>
    <s v="L-&gt;R"/>
    <s v="No"/>
    <s v="Y48288"/>
    <n v="1"/>
    <s v="盐保仓库"/>
    <d v="2019-07-03T00:00:00"/>
    <n v="6.4699999999999994E-2"/>
    <s v="JUL 19"/>
    <d v="1905-07-11T01:26:24"/>
    <s v="JPY"/>
    <s v="C49SZX20190094MZ"/>
    <x v="90"/>
    <s v="YSM10"/>
    <s v="R-&gt;L"/>
    <s v="No"/>
    <s v="WRONG"/>
    <s v="CIF HK"/>
    <d v="2019-06-13T00:00:00"/>
    <x v="0"/>
    <m/>
    <m/>
    <m/>
    <s v="C190635053"/>
    <n v="301"/>
  </r>
  <r>
    <n v="348"/>
    <x v="0"/>
    <s v="C49"/>
    <n v="109565"/>
    <s v="Special price"/>
    <x v="1"/>
    <s v="L-&gt;R"/>
    <s v="No"/>
    <s v="Y48289"/>
    <n v="1"/>
    <s v="盐保仓库"/>
    <d v="2019-07-03T00:00:00"/>
    <n v="6.4699999999999994E-2"/>
    <s v="JUL 19"/>
    <d v="1905-07-11T01:26:24"/>
    <s v="JPY"/>
    <s v="C49SZX20190094MZ"/>
    <x v="90"/>
    <s v="YSM10"/>
    <s v="L-&gt;R"/>
    <s v="No"/>
    <s v="OK"/>
    <s v="CIF HK"/>
    <d v="2019-06-13T00:00:00"/>
    <x v="0"/>
    <m/>
    <m/>
    <m/>
    <s v="C190635053"/>
    <n v="301"/>
  </r>
  <r>
    <n v="349"/>
    <x v="0"/>
    <s v="C49"/>
    <n v="109565"/>
    <s v="Special price"/>
    <x v="1"/>
    <s v="L-&gt;R"/>
    <s v="No"/>
    <s v="Y48290"/>
    <n v="1"/>
    <s v="盐保仓库"/>
    <d v="2019-07-03T00:00:00"/>
    <n v="6.4699999999999994E-2"/>
    <s v="JUL 19"/>
    <d v="1905-07-11T01:26:24"/>
    <s v="JPY"/>
    <s v="C49SZX20190094MZ"/>
    <x v="90"/>
    <s v="YSM10"/>
    <s v="L-&gt;R"/>
    <s v="No"/>
    <s v="OK"/>
    <s v="CIF HK"/>
    <d v="2019-06-13T00:00:00"/>
    <x v="0"/>
    <m/>
    <m/>
    <m/>
    <s v="C190635053"/>
    <n v="301"/>
  </r>
  <r>
    <n v="360"/>
    <x v="0"/>
    <s v="C49"/>
    <n v="109565"/>
    <s v="Special price"/>
    <x v="1"/>
    <s v="L-&gt;R"/>
    <s v="No"/>
    <s v="Y48292"/>
    <n v="1"/>
    <s v="盐保仓库"/>
    <d v="2019-07-03T00:00:00"/>
    <n v="6.4699999999999994E-2"/>
    <s v="JUL 19"/>
    <d v="1905-07-11T01:26:24"/>
    <s v="RMB"/>
    <s v="C49SZX20190102SX"/>
    <x v="82"/>
    <s v="YSM10"/>
    <s v="L-&gt;R"/>
    <s v="MVC"/>
    <s v="WRONG"/>
    <s v="含税到厂"/>
    <d v="2019-06-19T00:00:00"/>
    <x v="0"/>
    <m/>
    <m/>
    <m/>
    <s v="C180732678"/>
    <n v="301"/>
  </r>
  <r>
    <n v="335"/>
    <x v="0"/>
    <s v="C49"/>
    <n v="109603"/>
    <s v="Special package"/>
    <x v="3"/>
    <s v="R-&gt;L"/>
    <s v="No"/>
    <s v="Y48502"/>
    <n v="1"/>
    <s v="盐保仓库"/>
    <d v="2019-07-03T00:00:00"/>
    <n v="6.4699999999999994E-2"/>
    <s v="SEP 19"/>
    <n v="2019.06"/>
    <s v="JPY"/>
    <s v="C49SZX20190082ZX"/>
    <x v="92"/>
    <s v="YSM20R(SV)-2"/>
    <s v="R-&gt;L"/>
    <s v="No"/>
    <s v="OK"/>
    <s v="DAP SZ"/>
    <d v="2019-05-27T00:00:00"/>
    <x v="0"/>
    <s v="Na"/>
    <s v="Na"/>
    <m/>
    <s v="C11048457"/>
    <n v="312"/>
  </r>
  <r>
    <n v="376"/>
    <x v="0"/>
    <s v="C49"/>
    <n v="109603"/>
    <s v="Special package"/>
    <x v="3"/>
    <s v="R-&gt;L"/>
    <s v="No"/>
    <s v="Y48499"/>
    <n v="1"/>
    <s v="盐保仓库"/>
    <d v="2019-07-03T00:00:00"/>
    <n v="6.4699999999999994E-2"/>
    <s v="JUL 19"/>
    <n v="2019.06"/>
    <s v="JPY"/>
    <s v="C49SZX20190109MZ"/>
    <x v="93"/>
    <s v="YSM20R(SV)-2"/>
    <s v="R-&gt;L"/>
    <s v="No"/>
    <s v="OK"/>
    <s v="CIF HK"/>
    <d v="2019-07-06T00:00:00"/>
    <x v="0"/>
    <m/>
    <m/>
    <m/>
    <s v="C190735184"/>
    <n v="311"/>
  </r>
  <r>
    <n v="377"/>
    <x v="0"/>
    <s v="C49"/>
    <n v="109603"/>
    <s v="Special package"/>
    <x v="3"/>
    <s v="R-&gt;L"/>
    <s v="No"/>
    <s v="Y48504"/>
    <n v="1"/>
    <s v="盐保仓库"/>
    <d v="2019-07-03T00:00:00"/>
    <n v="6.4699999999999994E-2"/>
    <s v="JUL 19"/>
    <n v="2019.06"/>
    <s v="JPY"/>
    <s v="C49SZX20190109MZ"/>
    <x v="93"/>
    <s v="YSM20R(SV)-2"/>
    <s v="R-&gt;L"/>
    <s v="No"/>
    <s v="OK"/>
    <s v="CIF HK"/>
    <d v="2019-07-06T00:00:00"/>
    <x v="0"/>
    <m/>
    <m/>
    <m/>
    <s v="C190735184"/>
    <n v="311"/>
  </r>
  <r>
    <n v="310"/>
    <x v="0"/>
    <s v="C49"/>
    <n v="109566"/>
    <s v="Special price"/>
    <x v="1"/>
    <s v="L-&gt;R"/>
    <s v="No"/>
    <s v="Y48294"/>
    <n v="1"/>
    <s v="盐保仓库"/>
    <d v="2019-07-03T00:00:00"/>
    <n v="6.4699999999999994E-2"/>
    <s v="JUL 19"/>
    <d v="1905-07-11T01:26:24"/>
    <s v="RMB"/>
    <s v="C49SZX20190072ZX"/>
    <x v="94"/>
    <s v="YSM10"/>
    <s v="R-&gt;L"/>
    <s v="MVC+Rear 站位"/>
    <s v="WRONG"/>
    <s v="含税到厂"/>
    <d v="2019-05-11T00:00:00"/>
    <x v="0"/>
    <m/>
    <m/>
    <m/>
    <s v="C190534797"/>
    <n v="302"/>
  </r>
  <r>
    <n v="464"/>
    <x v="0"/>
    <s v="C49"/>
    <n v="109602"/>
    <s v="Special package"/>
    <x v="3"/>
    <s v="L-&gt;R"/>
    <s v="MVC"/>
    <s v="Y48509"/>
    <n v="1"/>
    <s v="辉记中转仓"/>
    <d v="2019-07-17T00:00:00"/>
    <s v="No mismatch"/>
    <s v="NOV 19"/>
    <n v="2019.07"/>
    <s v="JPY"/>
    <s v="C49SZX20190155JY"/>
    <x v="95"/>
    <s v="YSM20R(SV)-2"/>
    <s v="L-&gt;R"/>
    <s v="No"/>
    <s v="WRONG"/>
    <s v="DAP SZ"/>
    <d v="2019-10-25T00:00:00"/>
    <x v="0"/>
    <m/>
    <m/>
    <m/>
    <s v="C190935542"/>
    <n v="301"/>
  </r>
  <r>
    <n v="426"/>
    <x v="0"/>
    <s v="C49"/>
    <n v="109602"/>
    <s v="Special package"/>
    <x v="3"/>
    <s v="L-&gt;R"/>
    <s v="MVC"/>
    <s v="Y48549"/>
    <n v="1"/>
    <s v="力合仓库(已经清关)"/>
    <d v="2019-07-17T00:00:00"/>
    <n v="6.4699999999999994E-2"/>
    <s v="SEP 19"/>
    <n v="2019.06"/>
    <s v="RMB"/>
    <s v="C49SZX20190123SX"/>
    <x v="87"/>
    <s v="YSM20R(SV)-2"/>
    <s v="L-&gt;R"/>
    <s v="No"/>
    <s v="WRONG"/>
    <s v="含税到厂"/>
    <d v="2019-09-06T00:00:00"/>
    <x v="0"/>
    <m/>
    <m/>
    <m/>
    <s v="C190735079"/>
    <n v="301"/>
  </r>
  <r>
    <n v="313"/>
    <x v="0"/>
    <s v="C49"/>
    <n v="109602"/>
    <s v="Special package"/>
    <x v="3"/>
    <s v="L-&gt;R"/>
    <s v="MVC"/>
    <s v="Y48550"/>
    <n v="1"/>
    <s v="力合仓库(已经清关)"/>
    <d v="2019-07-17T00:00:00"/>
    <n v="6.4699999999999994E-2"/>
    <s v="OCT 19"/>
    <n v="2019.06"/>
    <s v="RMB"/>
    <s v="C49SZX20190076SS"/>
    <x v="96"/>
    <s v="YSM20R(SV)-2"/>
    <s v="L-&gt;R"/>
    <s v="No"/>
    <s v="WRONG"/>
    <s v="含税到厂"/>
    <d v="2019-05-15T00:00:00"/>
    <x v="0"/>
    <m/>
    <m/>
    <m/>
    <s v="C190534660"/>
    <n v="301"/>
  </r>
  <r>
    <n v="424"/>
    <x v="0"/>
    <s v="C49"/>
    <n v="109602"/>
    <s v="Special package"/>
    <x v="3"/>
    <s v="L-&gt;R"/>
    <s v="MVC"/>
    <s v="Y48508"/>
    <n v="1"/>
    <s v="力合仓库(已经清关)"/>
    <d v="2019-07-17T00:00:00"/>
    <n v="6.4699999999999994E-2"/>
    <s v="SEP 19"/>
    <n v="2019.06"/>
    <s v="RMB"/>
    <s v="C49SZX20190135SX"/>
    <x v="38"/>
    <s v="YSM20R(SV)-2"/>
    <s v="L-&gt;R"/>
    <s v="MVC"/>
    <s v="OK"/>
    <s v="含税到厂"/>
    <d v="2019-09-07T00:00:00"/>
    <x v="0"/>
    <m/>
    <m/>
    <m/>
    <s v="C190935664"/>
    <n v="301"/>
  </r>
  <r>
    <n v="430"/>
    <x v="0"/>
    <s v="C49"/>
    <n v="109602"/>
    <s v="Special package"/>
    <x v="3"/>
    <s v="L-&gt;R"/>
    <s v="MVC"/>
    <s v="Y48506"/>
    <n v="1"/>
    <s v="盐保仓库-&gt;准备清关"/>
    <d v="2019-07-17T00:00:00"/>
    <n v="6.4699999999999994E-2"/>
    <s v="SEP 19"/>
    <n v="2019.06"/>
    <s v="RMB"/>
    <s v="C49SZX201900131JL"/>
    <x v="39"/>
    <s v="YSM20R(SV)-2"/>
    <s v="L-&gt;R"/>
    <s v="MVC"/>
    <s v="OK"/>
    <s v="含税到厂"/>
    <d v="2019-09-09T00:00:00"/>
    <x v="0"/>
    <m/>
    <m/>
    <m/>
    <s v="C190434452"/>
    <n v="301"/>
  </r>
  <r>
    <n v="409"/>
    <x v="0"/>
    <s v="C49"/>
    <n v="109602"/>
    <s v="Special package"/>
    <x v="3"/>
    <s v="L-&gt;R"/>
    <s v="MVC"/>
    <s v="Y48510"/>
    <n v="1"/>
    <s v="盐保仓库-&gt;准备清关"/>
    <d v="2019-07-17T00:00:00"/>
    <n v="6.4699999999999994E-2"/>
    <s v="OCT 19"/>
    <n v="2019.07"/>
    <s v="RMB"/>
    <s v="C49SZX20190120DY"/>
    <x v="97"/>
    <s v="YSM20R(SV)-2"/>
    <s v="L-&gt;R"/>
    <s v="MVC"/>
    <s v="OK"/>
    <s v="含税到厂"/>
    <d v="2019-08-22T00:00:00"/>
    <x v="0"/>
    <m/>
    <m/>
    <m/>
    <s v="C190835457"/>
    <n v="301"/>
  </r>
  <r>
    <n v="440"/>
    <x v="0"/>
    <s v="C49"/>
    <n v="109602"/>
    <s v="Special package"/>
    <x v="3"/>
    <s v="L-&gt;R"/>
    <s v="MVC"/>
    <s v="Y48511"/>
    <n v="1"/>
    <s v="盐保仓库-&gt;准备清关"/>
    <d v="2019-07-17T00:00:00"/>
    <n v="6.4699999999999994E-2"/>
    <s v="NOV 19"/>
    <n v="2019.07"/>
    <s v="RMB"/>
    <s v="C49SZX20190145DZ"/>
    <x v="98"/>
    <s v="YSM20R(SV)-2"/>
    <s v="L-&gt;R"/>
    <s v="No"/>
    <s v="WRONG"/>
    <s v="含税到厂"/>
    <d v="2019-10-12T00:00:00"/>
    <x v="0"/>
    <m/>
    <m/>
    <m/>
    <s v="C191035983"/>
    <n v="301"/>
  </r>
  <r>
    <n v="455"/>
    <x v="0"/>
    <s v="C49"/>
    <n v="109608"/>
    <s v="Special package"/>
    <x v="3"/>
    <s v="L-&gt;R"/>
    <s v="MVC"/>
    <s v="Y48546"/>
    <n v="1"/>
    <s v="辉记中转仓"/>
    <d v="2019-07-19T00:00:00"/>
    <n v="6.4699999999999994E-2"/>
    <s v="NOV 19"/>
    <n v="2019.07"/>
    <s v="RMB"/>
    <s v="C49SZX20190148SX"/>
    <x v="99"/>
    <s v="YSM20R(SV)-2"/>
    <s v="L-&gt;R"/>
    <s v="No"/>
    <s v="WRONG"/>
    <s v="含税到厂"/>
    <d v="2019-10-18T00:00:00"/>
    <x v="0"/>
    <m/>
    <m/>
    <m/>
    <s v="C191035936"/>
    <n v="311"/>
  </r>
  <r>
    <n v="463"/>
    <x v="0"/>
    <s v="C49"/>
    <n v="109608"/>
    <s v="Special package"/>
    <x v="3"/>
    <s v="L-&gt;R"/>
    <s v="MVC"/>
    <s v="Y48512"/>
    <n v="1"/>
    <s v="力合仓库(已经清关)"/>
    <d v="2019-07-19T00:00:00"/>
    <n v="6.4699999999999994E-2"/>
    <s v="NOV 19"/>
    <n v="2019.07"/>
    <s v="RMB"/>
    <s v="C49SZX20190152JL"/>
    <x v="100"/>
    <s v="YSM20R(SV)-2"/>
    <s v="L-&gt;R"/>
    <s v="No"/>
    <s v="WRONG"/>
    <s v="含税到厂"/>
    <d v="2019-10-24T00:00:00"/>
    <x v="0"/>
    <m/>
    <s v="Na"/>
    <m/>
    <s v="C170929728"/>
    <n v="301"/>
  </r>
  <r>
    <n v="334"/>
    <x v="0"/>
    <s v="C49"/>
    <n v="109610"/>
    <s v="长沙健科名义"/>
    <x v="3"/>
    <s v="L-&gt;R"/>
    <s v="No"/>
    <s v="Y48648"/>
    <n v="1"/>
    <s v="码头"/>
    <d v="2019-07-19T00:00:00"/>
    <n v="6.4699999999999994E-2"/>
    <s v="AUG 19"/>
    <n v="2019.07"/>
    <s v="JPY"/>
    <s v="C49SZX20190080ZX"/>
    <x v="79"/>
    <s v="YSM20R(SV)-2"/>
    <s v="L-&gt;R"/>
    <s v="No"/>
    <s v="OK"/>
    <s v="DAP 长沙"/>
    <d v="2019-05-27T00:00:00"/>
    <x v="0"/>
    <s v="Na"/>
    <s v="Na"/>
    <m/>
    <s v="IND order "/>
    <n v="301"/>
  </r>
  <r>
    <n v="427"/>
    <x v="0"/>
    <s v="C49"/>
    <n v="109608"/>
    <s v="Special package"/>
    <x v="3"/>
    <s v="L-&gt;R"/>
    <s v="MVC"/>
    <s v="Y48548"/>
    <n v="1"/>
    <s v="盐保仓库"/>
    <d v="2019-07-19T00:00:00"/>
    <n v="6.4699999999999994E-2"/>
    <s v="OCT 19"/>
    <n v="2019.07"/>
    <s v="RMB"/>
    <s v="C49SZX20190128DZ"/>
    <x v="101"/>
    <s v="YSM20R(SV)-2"/>
    <s v="L-&gt;R"/>
    <s v="No"/>
    <s v="WRONG"/>
    <s v="CIF HK"/>
    <d v="2019-09-11T00:00:00"/>
    <x v="0"/>
    <m/>
    <m/>
    <m/>
    <s v="C191035869"/>
    <n v="301"/>
  </r>
  <r>
    <n v="428"/>
    <x v="0"/>
    <s v="C49"/>
    <n v="109608"/>
    <s v="Special package"/>
    <x v="3"/>
    <s v="L-&gt;R"/>
    <s v="MVC"/>
    <s v="Y48513"/>
    <n v="1"/>
    <s v="盐保仓库"/>
    <d v="2019-07-19T00:00:00"/>
    <n v="6.4699999999999994E-2"/>
    <s v="OCT 19"/>
    <n v="2019.07"/>
    <s v="RMB"/>
    <s v="C49SZX20190128DZ"/>
    <x v="101"/>
    <s v="YSM20R(SV)-2"/>
    <s v="L-&gt;R"/>
    <s v="No"/>
    <s v="WRONG"/>
    <s v="CIF HK"/>
    <d v="2019-09-11T00:00:00"/>
    <x v="0"/>
    <m/>
    <m/>
    <m/>
    <s v="C191035869"/>
    <n v="302"/>
  </r>
  <r>
    <n v="357"/>
    <x v="0"/>
    <s v="C49"/>
    <n v="109623"/>
    <s v="IND,APT 名义"/>
    <x v="6"/>
    <s v="L-&gt;R"/>
    <s v="No"/>
    <s v="Y48792"/>
    <n v="1"/>
    <s v="码头"/>
    <d v="2019-07-31T00:00:00"/>
    <n v="6.4799999999999996E-2"/>
    <s v="AUG 19"/>
    <d v="1905-07-11T01:40:48"/>
    <s v="JPY"/>
    <s v="C49SZX20190101KW"/>
    <x v="102"/>
    <s v="SIGMA G5S2"/>
    <s v="L-&gt;R"/>
    <s v="No"/>
    <s v="OK"/>
    <s v="CIF HK"/>
    <d v="2019-06-17T00:00:00"/>
    <x v="0"/>
    <m/>
    <m/>
    <m/>
    <s v="IND order "/>
    <m/>
  </r>
  <r>
    <n v="358"/>
    <x v="0"/>
    <s v="C49"/>
    <n v="109623"/>
    <s v="IND,APT 名义"/>
    <x v="6"/>
    <s v="L-&gt;R"/>
    <s v="No"/>
    <s v="Y48793"/>
    <n v="1"/>
    <s v="码头"/>
    <d v="2019-07-31T00:00:00"/>
    <n v="6.4799999999999996E-2"/>
    <s v="AUG 19"/>
    <d v="1905-07-11T01:40:48"/>
    <s v="JPY"/>
    <s v="C49SZX20190101KW"/>
    <x v="102"/>
    <s v="SIGMA G5S2"/>
    <s v="L-&gt;R"/>
    <s v="No"/>
    <s v="OK"/>
    <s v="CIF HK"/>
    <d v="2019-06-17T00:00:00"/>
    <x v="0"/>
    <m/>
    <m/>
    <m/>
    <s v="IND order "/>
    <m/>
  </r>
  <r>
    <n v="387"/>
    <x v="0"/>
    <s v="C49"/>
    <n v="109587"/>
    <s v="Special package"/>
    <x v="1"/>
    <s v="R-&gt;L"/>
    <s v="No"/>
    <s v="Y48463"/>
    <n v="1"/>
    <s v="辉记中转仓"/>
    <d v="2019-08-09T00:00:00"/>
    <n v="6.4799999999999996E-2"/>
    <s v="SEP 19"/>
    <d v="1905-07-11T01:40:48"/>
    <s v="RMB"/>
    <s v="C49SZX20190118R1SS"/>
    <x v="44"/>
    <s v="YSM10"/>
    <s v="L-&gt;R"/>
    <s v="MVC"/>
    <s v="WRONG"/>
    <s v="含税到厂"/>
    <d v="2019-08-14T00:00:00"/>
    <x v="0"/>
    <s v="Na"/>
    <s v="Na"/>
    <m/>
    <s v="C190434540"/>
    <n v="301"/>
  </r>
  <r>
    <n v="420"/>
    <x v="0"/>
    <s v="C49"/>
    <n v="109587"/>
    <s v="Special package"/>
    <x v="1"/>
    <s v="R-&gt;L"/>
    <s v="MVC+ATS15"/>
    <s v="Y48459"/>
    <n v="1"/>
    <s v="力合仓库(已经清关)"/>
    <d v="2019-08-09T00:00:00"/>
    <n v="6.4799999999999996E-2"/>
    <s v="SEP 19"/>
    <d v="1905-07-11T01:40:48"/>
    <s v="RMB"/>
    <s v="C49SZX20190129DZ"/>
    <x v="88"/>
    <s v="YSM10"/>
    <s v="L-&gt;R"/>
    <s v="MVC+ATS15"/>
    <s v="WRONG"/>
    <s v="含税到厂"/>
    <d v="2019-08-31T00:00:00"/>
    <x v="0"/>
    <m/>
    <m/>
    <m/>
    <s v="C190935620"/>
    <n v="302"/>
  </r>
  <r>
    <n v="421"/>
    <x v="0"/>
    <s v="C49"/>
    <n v="109587"/>
    <s v="Special package"/>
    <x v="1"/>
    <s v="R-&gt;L"/>
    <s v="MVC+ATS15"/>
    <s v="Y48461"/>
    <n v="1"/>
    <s v="力合仓库(已经清关)"/>
    <d v="2019-08-09T00:00:00"/>
    <n v="6.4799999999999996E-2"/>
    <s v="NOV 19"/>
    <d v="1905-07-11T01:40:48"/>
    <s v="RMB"/>
    <s v="C49SZX20190129DZ"/>
    <x v="88"/>
    <s v="YSM10"/>
    <s v="R-&gt;L"/>
    <s v="MVC+ATS15"/>
    <s v="OK"/>
    <s v="含税到厂"/>
    <d v="2019-08-31T00:00:00"/>
    <x v="0"/>
    <m/>
    <m/>
    <m/>
    <s v="C190935620"/>
    <n v="302"/>
  </r>
  <r>
    <n v="408"/>
    <x v="0"/>
    <s v="C49"/>
    <n v="109587"/>
    <s v="Special package"/>
    <x v="1"/>
    <s v="R-&gt;L"/>
    <s v="No"/>
    <s v="Y48462"/>
    <n v="1"/>
    <s v="力合仓库(已经清关)"/>
    <d v="2019-08-09T00:00:00"/>
    <n v="6.4799999999999996E-2"/>
    <s v="SEP 19"/>
    <d v="1905-07-11T01:40:48"/>
    <s v="RMB"/>
    <s v="C49SZX20190127JY"/>
    <x v="95"/>
    <s v="YSM10"/>
    <s v="L-&gt;R"/>
    <s v="MVC"/>
    <s v="WRONG"/>
    <s v="含税到厂"/>
    <d v="2019-08-21T00:00:00"/>
    <x v="0"/>
    <m/>
    <m/>
    <m/>
    <s v="C190935542"/>
    <n v="301"/>
  </r>
  <r>
    <n v="398"/>
    <x v="0"/>
    <s v="C49"/>
    <n v="109588"/>
    <s v="Special package"/>
    <x v="1"/>
    <s v="R-&gt;L"/>
    <s v="No"/>
    <s v="Y48465"/>
    <n v="1"/>
    <s v="力合仓库(已经清关)"/>
    <d v="2019-08-09T00:00:00"/>
    <n v="6.4799999999999996E-2"/>
    <s v="SEP 19"/>
    <d v="1905-07-11T01:40:48"/>
    <s v="RMB"/>
    <s v="C49SZX20190119SX"/>
    <x v="64"/>
    <s v="YSM10"/>
    <s v="R-&gt;L"/>
    <s v="MVC"/>
    <s v="WRONG"/>
    <s v="含税到厂"/>
    <d v="2019-08-16T00:00:00"/>
    <x v="0"/>
    <s v="Na"/>
    <s v="Na"/>
    <m/>
    <s v="C190835446"/>
    <n v="301"/>
  </r>
  <r>
    <n v="433"/>
    <x v="0"/>
    <s v="C49"/>
    <n v="109588"/>
    <s v="Special package"/>
    <x v="1"/>
    <s v="R-&gt;L"/>
    <s v="No"/>
    <s v="Y48467"/>
    <n v="1"/>
    <s v="盐保仓库"/>
    <d v="2019-08-09T00:00:00"/>
    <n v="6.4799999999999996E-2"/>
    <s v="OCT 19"/>
    <d v="1905-07-11T01:40:48"/>
    <s v="RMB"/>
    <s v="C49SZX20190133MX"/>
    <x v="103"/>
    <s v="YSM10"/>
    <s v="L-&gt;R"/>
    <s v="MVC"/>
    <s v="WRONG"/>
    <s v="含税到厂"/>
    <d v="2019-09-23T00:00:00"/>
    <x v="0"/>
    <m/>
    <m/>
    <m/>
    <s v="C190935701"/>
    <n v="301"/>
  </r>
  <r>
    <n v="312"/>
    <x v="0"/>
    <s v="C49"/>
    <n v="109588"/>
    <s v="Special package"/>
    <x v="1"/>
    <s v="R-&gt;L"/>
    <s v="No"/>
    <s v="Y48464"/>
    <n v="1"/>
    <s v="盐保仓库"/>
    <d v="2019-08-09T00:00:00"/>
    <n v="6.4799999999999996E-2"/>
    <s v="OCT 19"/>
    <d v="1905-07-11T01:40:48"/>
    <s v="RMB"/>
    <s v="C49SZX20190076SS"/>
    <x v="96"/>
    <s v="YSM10"/>
    <s v="L-&gt;R"/>
    <s v="MVC"/>
    <s v="WRONG"/>
    <s v="含税到厂"/>
    <d v="2019-05-15T00:00:00"/>
    <x v="0"/>
    <m/>
    <m/>
    <m/>
    <s v="C190534660"/>
    <n v="301"/>
  </r>
  <r>
    <n v="353"/>
    <x v="0"/>
    <s v="C49"/>
    <n v="109588"/>
    <s v="Special package"/>
    <x v="1"/>
    <s v="R-&gt;L"/>
    <s v="96 FEEDER PLATE (YSM10) "/>
    <s v="Y48468"/>
    <n v="1"/>
    <s v="盐保仓库"/>
    <d v="2019-08-09T00:00:00"/>
    <n v="6.4799999999999996E-2"/>
    <s v="OCT 19"/>
    <d v="1905-07-11T01:40:48"/>
    <s v="JPY"/>
    <s v="C49SZX20190150JY"/>
    <x v="104"/>
    <s v="YSM10"/>
    <s v="L-&gt;R"/>
    <s v="MVC+Rear 站位"/>
    <s v="WRONG"/>
    <s v="CIF HK"/>
    <d v="2019-10-22T00:00:00"/>
    <x v="0"/>
    <m/>
    <m/>
    <m/>
    <s v="C190735224"/>
    <n v="302"/>
  </r>
  <r>
    <n v="392"/>
    <x v="0"/>
    <s v="C49"/>
    <n v="109587"/>
    <s v="Special package"/>
    <x v="1"/>
    <s v="R-&gt;L"/>
    <s v="MVC+ATS15"/>
    <s v="Y48460"/>
    <n v="1"/>
    <s v="盐保仓库-&gt;准备清关"/>
    <d v="2019-08-09T00:00:00"/>
    <n v="6.4799999999999996E-2"/>
    <s v="OCT 19"/>
    <d v="1905-07-11T01:40:48"/>
    <s v="RMB"/>
    <s v="C49SZX20190113LC"/>
    <x v="105"/>
    <s v="YSM10"/>
    <s v="L-&gt;R"/>
    <s v="MVC+ATS15"/>
    <s v="WRONG"/>
    <s v="含税到厂"/>
    <d v="2019-08-14T00:00:00"/>
    <x v="0"/>
    <m/>
    <m/>
    <m/>
    <s v="C190935643"/>
    <n v="302"/>
  </r>
  <r>
    <n v="393"/>
    <x v="0"/>
    <s v="C49"/>
    <n v="109588"/>
    <s v="Special package"/>
    <x v="1"/>
    <s v="R-&gt;L"/>
    <s v="No"/>
    <s v="Y48466"/>
    <n v="1"/>
    <s v="盐保仓库-&gt;准备清关"/>
    <d v="2019-08-09T00:00:00"/>
    <n v="6.4799999999999996E-2"/>
    <s v="OCT 19"/>
    <d v="1905-07-11T01:40:48"/>
    <s v="RMB"/>
    <s v="C49SZX20190113LC"/>
    <x v="105"/>
    <s v="YSM10"/>
    <s v="L-&gt;R"/>
    <s v="No"/>
    <s v="WRONG"/>
    <s v="含税到厂"/>
    <d v="2019-08-14T00:00:00"/>
    <x v="0"/>
    <m/>
    <m/>
    <m/>
    <s v="C190935643"/>
    <n v="301"/>
  </r>
  <r>
    <n v="379"/>
    <x v="0"/>
    <s v="C28"/>
    <n v="109662"/>
    <s v="IND, 科士达"/>
    <x v="10"/>
    <s v="L-&gt;R"/>
    <s v="No"/>
    <s v="Y48943"/>
    <n v="1"/>
    <s v="码头"/>
    <d v="2019-08-30T00:00:00"/>
    <n v="6.4399999999999999E-2"/>
    <s v="SEP 19"/>
    <d v="1905-07-11T01:55:12"/>
    <s v="RMB"/>
    <s v="PG-GL02-201906140004"/>
    <x v="106"/>
    <s v="YSD"/>
    <s v="L-&gt;R"/>
    <s v="No"/>
    <s v="OK"/>
    <s v="含税到厂"/>
    <d v="2019-07-20T00:00:00"/>
    <x v="0"/>
    <m/>
    <m/>
    <m/>
    <s v="IND order "/>
    <m/>
  </r>
  <r>
    <n v="361"/>
    <x v="0"/>
    <s v="C49"/>
    <n v="109624"/>
    <s v="Special package"/>
    <x v="3"/>
    <s v="L-&gt;R"/>
    <s v="No"/>
    <s v="Y48797"/>
    <n v="1"/>
    <s v="辉记中转仓"/>
    <d v="2019-09-06T00:00:00"/>
    <n v="6.4799999999999996E-2"/>
    <s v="SEP 19"/>
    <n v="2019.08"/>
    <s v="JPY"/>
    <s v="C49SZX20190015JY"/>
    <x v="107"/>
    <s v="YSM20R(SV)-2"/>
    <s v="L-&gt;R"/>
    <s v="No"/>
    <s v="OK"/>
    <s v="DAP惠州"/>
    <d v="2019-06-27T00:00:00"/>
    <x v="0"/>
    <m/>
    <m/>
    <m/>
    <s v="C190735272"/>
    <n v="301"/>
  </r>
  <r>
    <n v="362"/>
    <x v="0"/>
    <s v="C49"/>
    <n v="109624"/>
    <s v="Special package"/>
    <x v="3"/>
    <s v="L-&gt;R"/>
    <s v="No"/>
    <s v="Y48798"/>
    <n v="1"/>
    <s v="辉记中转仓"/>
    <d v="2019-09-06T00:00:00"/>
    <n v="6.4799999999999996E-2"/>
    <s v="SEP 19"/>
    <n v="2019.08"/>
    <s v="JPY"/>
    <s v="C49SZX20190015JY"/>
    <x v="107"/>
    <s v="YSM20R(SV)-2"/>
    <s v="L-&gt;R"/>
    <s v="No"/>
    <s v="OK"/>
    <s v="DAP惠州"/>
    <d v="2019-06-27T00:00:00"/>
    <x v="0"/>
    <m/>
    <m/>
    <m/>
    <s v="C190735272"/>
    <n v="301"/>
  </r>
  <r>
    <n v="363"/>
    <x v="0"/>
    <s v="C49"/>
    <n v="109625"/>
    <s v="Special package"/>
    <x v="1"/>
    <s v="R-&gt;L"/>
    <s v="No"/>
    <s v="Y48771"/>
    <n v="1"/>
    <s v="辉记中转仓"/>
    <d v="2019-09-06T00:00:00"/>
    <n v="6.4799999999999996E-2"/>
    <s v="SEP 19"/>
    <d v="1905-07-11T01:40:48"/>
    <s v="JPY"/>
    <s v="C49SZX20190015JY"/>
    <x v="107"/>
    <s v="YSM10"/>
    <s v="L-&gt;R"/>
    <s v="MVC"/>
    <s v="WRONG"/>
    <s v="DAP惠州"/>
    <d v="2019-06-27T00:00:00"/>
    <x v="0"/>
    <m/>
    <m/>
    <m/>
    <s v="C190735272"/>
    <n v="302"/>
  </r>
  <r>
    <n v="364"/>
    <x v="0"/>
    <s v="C49"/>
    <n v="109625"/>
    <s v="Special package"/>
    <x v="1"/>
    <s v="R-&gt;L"/>
    <s v="No"/>
    <s v="Y48772"/>
    <n v="1"/>
    <s v="辉记中转仓"/>
    <d v="2019-09-06T00:00:00"/>
    <n v="6.4799999999999996E-2"/>
    <s v="SEP 19"/>
    <d v="1905-07-11T01:40:48"/>
    <s v="JPY"/>
    <s v="C49SZX20190015JY"/>
    <x v="107"/>
    <s v="YSM10"/>
    <s v="L-&gt;R"/>
    <s v="MVC"/>
    <s v="WRONG"/>
    <s v="DAP惠州"/>
    <d v="2019-06-27T00:00:00"/>
    <x v="0"/>
    <m/>
    <m/>
    <m/>
    <s v="C190735272"/>
    <n v="301"/>
  </r>
  <r>
    <n v="422"/>
    <x v="0"/>
    <s v="C49"/>
    <n v="109625"/>
    <s v="Special package"/>
    <x v="1"/>
    <s v="R-&gt;L"/>
    <s v="ATS15"/>
    <s v="Y48769"/>
    <n v="1"/>
    <s v="力合仓库(已经清关)"/>
    <d v="2019-09-06T00:00:00"/>
    <n v="6.4799999999999996E-2"/>
    <s v="NOV 19"/>
    <d v="1905-07-11T01:40:48"/>
    <s v="RMB"/>
    <s v="C49SZX20190129DZ"/>
    <x v="88"/>
    <s v="YSM10"/>
    <s v="R-&gt;L"/>
    <s v="MVC+ATS15"/>
    <s v="WRONG"/>
    <s v="含税到厂"/>
    <d v="2019-08-31T00:00:00"/>
    <x v="0"/>
    <m/>
    <m/>
    <m/>
    <s v="C190935620"/>
    <n v="302"/>
  </r>
  <r>
    <n v="432"/>
    <x v="0"/>
    <s v="C49"/>
    <n v="109624"/>
    <s v="Special package"/>
    <x v="3"/>
    <s v="L-&gt;R"/>
    <s v="No"/>
    <s v="Y48800"/>
    <n v="1"/>
    <s v="盐保仓库"/>
    <d v="2019-09-06T00:00:00"/>
    <n v="6.4799999999999996E-2"/>
    <s v="OCT 19"/>
    <n v="2019.08"/>
    <s v="RMB"/>
    <s v="C49SZX20190133MX"/>
    <x v="103"/>
    <s v="YSM20R(SV)-2"/>
    <s v="L-&gt;R"/>
    <s v="No"/>
    <s v="OK"/>
    <s v="含税到厂"/>
    <d v="2019-09-23T00:00:00"/>
    <x v="0"/>
    <m/>
    <m/>
    <m/>
    <s v="C190935701"/>
    <n v="303"/>
  </r>
  <r>
    <n v="391"/>
    <x v="0"/>
    <s v="C49"/>
    <n v="109624"/>
    <s v="Special package"/>
    <x v="3"/>
    <s v="L-&gt;R"/>
    <s v="No"/>
    <s v="Y48799"/>
    <n v="1"/>
    <s v="盐保仓库-&gt;准备清关"/>
    <d v="2019-09-06T00:00:00"/>
    <n v="6.4799999999999996E-2"/>
    <s v="OCT 19"/>
    <n v="2019.08"/>
    <s v="RMB"/>
    <s v="C49SZX20190113LC"/>
    <x v="105"/>
    <s v="YSM20R(SV)-2"/>
    <s v="L-&gt;R"/>
    <s v="No"/>
    <s v="OK"/>
    <s v="含税到厂"/>
    <d v="2019-08-14T00:00:00"/>
    <x v="0"/>
    <m/>
    <m/>
    <m/>
    <s v="C190935643"/>
    <n v="303"/>
  </r>
  <r>
    <n v="441"/>
    <x v="0"/>
    <s v="C49"/>
    <n v="109624"/>
    <s v="Special package"/>
    <x v="3"/>
    <s v="L-&gt;R"/>
    <s v="No"/>
    <s v="Y48802"/>
    <n v="1"/>
    <s v="盐保仓库-&gt;准备清关"/>
    <d v="2019-09-06T00:00:00"/>
    <n v="6.4799999999999996E-2"/>
    <s v="NOV 19"/>
    <n v="2019.08"/>
    <s v="RMB"/>
    <s v="C49SZX20190145DZ"/>
    <x v="98"/>
    <s v="YSM20R(SV)-2"/>
    <s v="L-&gt;R"/>
    <s v="No"/>
    <s v="OK"/>
    <s v="含税到厂"/>
    <d v="2019-10-12T00:00:00"/>
    <x v="0"/>
    <m/>
    <m/>
    <m/>
    <s v="C191035983"/>
    <n v="304"/>
  </r>
  <r>
    <s v="福建泉盛"/>
    <x v="0"/>
    <s v="C49"/>
    <n v="109625"/>
    <s v="Special package"/>
    <x v="1"/>
    <s v="R-&gt;L"/>
    <s v="ATS15"/>
    <s v="Y48770"/>
    <n v="1"/>
    <s v="盐保仓库-&gt;准备清关"/>
    <d v="2019-09-06T00:00:00"/>
    <n v="6.7100000000000007E-2"/>
    <s v="NOV 19"/>
    <d v="1905-07-11T01:40:48"/>
    <e v="#N/A"/>
    <e v="#N/A"/>
    <x v="41"/>
    <e v="#N/A"/>
    <e v="#N/A"/>
    <e v="#N/A"/>
    <e v="#N/A"/>
    <e v="#N/A"/>
    <e v="#N/A"/>
    <x v="1"/>
    <m/>
    <m/>
    <m/>
    <s v="C190334217"/>
    <n v="302"/>
  </r>
  <r>
    <n v="431"/>
    <x v="0"/>
    <s v="C49"/>
    <n v="109624"/>
    <s v="Special package"/>
    <x v="3"/>
    <s v="L-&gt;R"/>
    <s v="No"/>
    <s v="Y48801"/>
    <n v="1"/>
    <s v="盐保仓库-&gt;准备清关"/>
    <d v="2019-09-06T00:00:00"/>
    <n v="6.4799999999999996E-2"/>
    <s v="SEP 19"/>
    <n v="2019.08"/>
    <s v="RMB"/>
    <s v="C49SZX201900131JL"/>
    <x v="39"/>
    <s v="YSM20R(SV)-2"/>
    <s v="L-&gt;R"/>
    <s v="No"/>
    <s v="OK"/>
    <s v="含税到厂"/>
    <d v="2019-09-09T00:00:00"/>
    <x v="0"/>
    <m/>
    <m/>
    <m/>
    <s v="C190434452"/>
    <n v="302"/>
  </r>
  <r>
    <n v="405"/>
    <x v="0"/>
    <s v="C49"/>
    <n v="109694"/>
    <s v="IND,APT 名义"/>
    <x v="6"/>
    <s v="L-&gt;R"/>
    <s v="No"/>
    <s v="Y49277"/>
    <n v="1"/>
    <s v="码头"/>
    <d v="2019-09-29T00:00:00"/>
    <s v="No mismatch"/>
    <s v="OCT 19"/>
    <d v="1905-07-11T02:09:36"/>
    <s v="JPY"/>
    <s v="C49SZX20190125KW"/>
    <x v="102"/>
    <s v="SIGMA G5S2"/>
    <s v="No"/>
    <s v="No"/>
    <s v="WRONG"/>
    <s v="CIF HK"/>
    <d v="2019-08-21T00:00:00"/>
    <x v="0"/>
    <m/>
    <m/>
    <m/>
    <s v="IND order "/>
    <m/>
  </r>
  <r>
    <n v="406"/>
    <x v="0"/>
    <s v="C49"/>
    <n v="109694"/>
    <s v="IND,APT 名义"/>
    <x v="6"/>
    <s v="L-&gt;R"/>
    <s v="No"/>
    <s v="Y49276"/>
    <n v="1"/>
    <s v="码头"/>
    <d v="2019-09-29T00:00:00"/>
    <s v="No mismatch"/>
    <s v="OCT 19"/>
    <d v="1905-07-11T02:09:36"/>
    <s v="JPY"/>
    <s v="C49SZX20190125KW"/>
    <x v="102"/>
    <s v="SIGMA G5S2"/>
    <s v="No"/>
    <s v="No"/>
    <s v="WRONG"/>
    <s v="CIF HK"/>
    <d v="2019-08-21T00:00:00"/>
    <x v="0"/>
    <m/>
    <m/>
    <m/>
    <s v="IND order "/>
    <m/>
  </r>
  <r>
    <n v="456"/>
    <x v="0"/>
    <s v="C49"/>
    <n v="109665"/>
    <s v="Special package"/>
    <x v="1"/>
    <s v="R-&gt;L"/>
    <s v="No"/>
    <s v="Y49190"/>
    <n v="1"/>
    <s v="辉记中转仓"/>
    <d v="2019-10-11T00:00:00"/>
    <n v="6.7299999999999999E-2"/>
    <s v="NOV 19"/>
    <d v="1905-07-11T02:09:36"/>
    <s v="RMB"/>
    <s v="C49SZX20190148SX"/>
    <x v="99"/>
    <s v="YSM10"/>
    <s v="L-&gt;R"/>
    <s v="MVC"/>
    <s v="WRONG"/>
    <s v="含税到厂"/>
    <d v="2019-10-19T00:00:00"/>
    <x v="0"/>
    <m/>
    <m/>
    <m/>
    <s v="C191035936"/>
    <n v="302"/>
  </r>
  <r>
    <n v="352"/>
    <x v="0"/>
    <s v="C49"/>
    <n v="109665"/>
    <s v="Special package"/>
    <x v="1"/>
    <s v="R-&gt;L"/>
    <s v="No"/>
    <s v="Y49189"/>
    <n v="1"/>
    <s v="盐保仓库"/>
    <d v="2019-10-11T00:00:00"/>
    <n v="6.7299999999999999E-2"/>
    <s v="OCT 19"/>
    <d v="1905-07-11T02:09:36"/>
    <s v="JPY"/>
    <s v="C49SZX20190150JY"/>
    <x v="104"/>
    <s v="YSM10"/>
    <s v="L-&gt;R"/>
    <s v="No"/>
    <s v="WRONG"/>
    <s v="CIF HK"/>
    <d v="2019-10-22T00:00:00"/>
    <x v="0"/>
    <m/>
    <m/>
    <m/>
    <s v="C190735224"/>
    <n v="302"/>
  </r>
  <r>
    <n v="454"/>
    <x v="0"/>
    <s v="C49"/>
    <n v="109665"/>
    <s v="Special package"/>
    <x v="1"/>
    <s v="R-&gt;L"/>
    <s v="No"/>
    <s v="Y49188"/>
    <n v="1"/>
    <s v="盐保仓库"/>
    <d v="2019-10-11T00:00:00"/>
    <n v="6.7299999999999999E-2"/>
    <s v="OCT 19"/>
    <d v="1905-07-11T02:09:36"/>
    <s v="JPY"/>
    <s v="C49SZX20190143SX"/>
    <x v="16"/>
    <s v="YSM10"/>
    <s v="L-&gt;R"/>
    <s v="MVC"/>
    <s v="WRONG"/>
    <s v="DAP SZ"/>
    <d v="2019-10-16T00:00:00"/>
    <x v="0"/>
    <m/>
    <m/>
    <m/>
    <s v="C180732624"/>
    <n v="301"/>
  </r>
  <r>
    <n v="351"/>
    <x v="0"/>
    <s v="C49"/>
    <n v="109665"/>
    <s v="Special package"/>
    <x v="1"/>
    <s v="R-&gt;L"/>
    <s v="HM5"/>
    <s v="Y49191"/>
    <n v="1"/>
    <s v="盐保仓库"/>
    <d v="2019-10-11T00:00:00"/>
    <n v="6.7299999999999999E-2"/>
    <s v="OCT 19"/>
    <d v="1905-07-11T02:09:36"/>
    <s v="JPY"/>
    <s v="C49SZX20190150JY"/>
    <x v="104"/>
    <s v="YSM10"/>
    <s v="R-&gt;L"/>
    <s v="HM5"/>
    <s v="OK"/>
    <s v="CIF HK"/>
    <d v="2019-10-22T00:00:00"/>
    <x v="0"/>
    <m/>
    <m/>
    <m/>
    <s v="C190735224"/>
    <n v="302"/>
  </r>
  <r>
    <n v="615"/>
    <x v="0"/>
    <s v="C49"/>
    <n v="109665"/>
    <s v="Special package"/>
    <x v="1"/>
    <s v="R-&gt;L"/>
    <s v="Fixed feeder plate 24 positions"/>
    <s v="Y49192"/>
    <n v="1"/>
    <s v="盐保仓库"/>
    <d v="2019-10-11T00:00:00"/>
    <n v="6.7299999999999999E-2"/>
    <s v="APR 20"/>
    <d v="1905-07-11T02:09:36"/>
    <s v="JPY"/>
    <s v="C49SZX20200038SX"/>
    <x v="108"/>
    <s v="YSM10"/>
    <s v="L-&gt;R"/>
    <s v="MVC+Fixed feeder plate 24 positions"/>
    <s v="WRONG"/>
    <s v="DAP DG"/>
    <d v="2020-04-02T00:00:00"/>
    <x v="0"/>
    <m/>
    <m/>
    <m/>
    <s v="C170930284"/>
    <n v="301"/>
  </r>
  <r>
    <n v="434"/>
    <x v="0"/>
    <s v="C49"/>
    <n v="109665"/>
    <s v="Special package"/>
    <x v="1"/>
    <s v="R-&gt;L"/>
    <s v="No"/>
    <s v="Y49187"/>
    <n v="1"/>
    <s v="盐保仓库-&gt;准备清关"/>
    <d v="2019-10-11T00:00:00"/>
    <n v="6.7299999999999999E-2"/>
    <s v="OCT 19"/>
    <m/>
    <s v="RMB"/>
    <s v="C49SZX20190140SS"/>
    <x v="109"/>
    <s v="YSM10"/>
    <s v="L-&gt;R"/>
    <s v="MVC"/>
    <s v="WRONG"/>
    <s v="含税到厂"/>
    <d v="2019-09-24T00:00:00"/>
    <x v="0"/>
    <m/>
    <m/>
    <m/>
    <s v="C170729777"/>
    <n v="301"/>
  </r>
  <r>
    <n v="465"/>
    <x v="0"/>
    <s v="C49"/>
    <n v="109686"/>
    <s v="Special package"/>
    <x v="1"/>
    <s v="R-&gt;L"/>
    <s v="No"/>
    <s v="Y49251"/>
    <n v="1"/>
    <s v="辉记中转仓"/>
    <d v="2019-10-18T00:00:00"/>
    <n v="6.7100000000000007E-2"/>
    <s v="NOV 19"/>
    <d v="1905-07-11T02:24:00"/>
    <s v="JPY"/>
    <s v="C49SZX20190155JY"/>
    <x v="95"/>
    <s v="YSM10"/>
    <s v="L-&gt;R"/>
    <s v="MVC"/>
    <s v="WRONG"/>
    <s v="DAP SZ"/>
    <d v="2019-10-25T00:00:00"/>
    <x v="0"/>
    <m/>
    <m/>
    <m/>
    <s v="C190935542"/>
    <n v="302"/>
  </r>
  <r>
    <n v="496"/>
    <x v="0"/>
    <s v="C49"/>
    <n v="109686"/>
    <s v="Special package"/>
    <x v="1"/>
    <s v="R-&gt;L"/>
    <s v="No"/>
    <s v="Y49250"/>
    <n v="1"/>
    <s v="力合仓库(已经清关)"/>
    <d v="2019-10-18T00:00:00"/>
    <n v="6.7100000000000007E-2"/>
    <s v="DEC 19"/>
    <d v="1905-07-11T02:24:00"/>
    <s v="RMB"/>
    <s v="C49SZX20190168JL"/>
    <x v="55"/>
    <s v="YSM10"/>
    <s v="L-&gt;R"/>
    <s v="MVC"/>
    <s v="WRONG"/>
    <s v="含税到厂"/>
    <d v="2019-11-08T00:00:00"/>
    <x v="0"/>
    <m/>
    <m/>
    <m/>
    <s v="C120111425"/>
    <n v="301"/>
  </r>
  <r>
    <n v="513"/>
    <x v="0"/>
    <s v="C49"/>
    <n v="109686"/>
    <s v="Special package"/>
    <x v="1"/>
    <s v="R-&gt;L"/>
    <s v="ATS15"/>
    <s v="Y49260"/>
    <n v="1"/>
    <s v="力合中转仓"/>
    <d v="2019-10-18T00:00:00"/>
    <n v="6.4799999999999996E-2"/>
    <s v="JAN 20"/>
    <d v="1905-07-11T02:24:00"/>
    <s v="JPY"/>
    <s v="C49SZX20190172ZX"/>
    <x v="110"/>
    <s v="YSM10"/>
    <s v="L-&gt;R"/>
    <s v="MVC+ATS15"/>
    <s v="WRONG"/>
    <s v="CIF HK"/>
    <d v="2019-11-21T00:00:00"/>
    <x v="0"/>
    <m/>
    <m/>
    <m/>
    <s v="C161128121,货实际送给锘铧客户"/>
    <n v="302"/>
  </r>
  <r>
    <n v="527"/>
    <x v="0"/>
    <s v="C49"/>
    <n v="109686"/>
    <s v="Special package"/>
    <x v="1"/>
    <s v="R-&gt;L"/>
    <s v="No"/>
    <s v="Y49252"/>
    <n v="1"/>
    <s v="盐保仓库"/>
    <d v="2019-10-18T00:00:00"/>
    <n v="6.7100000000000007E-2"/>
    <s v="DEC 19"/>
    <d v="1905-07-11T02:24:00"/>
    <s v="JPY"/>
    <s v="C49SZX20190180SS"/>
    <x v="111"/>
    <s v="YSM10"/>
    <s v="L-&gt;R"/>
    <s v="MVC"/>
    <s v="WRONG"/>
    <s v="DAP SZ"/>
    <d v="2019-12-06T00:00:00"/>
    <x v="0"/>
    <m/>
    <m/>
    <m/>
    <s v="C190935522"/>
    <n v="302"/>
  </r>
  <r>
    <n v="459"/>
    <x v="0"/>
    <s v="C49"/>
    <n v="109686"/>
    <s v="Special package"/>
    <x v="1"/>
    <s v="R-&gt;L"/>
    <s v="ATS15"/>
    <s v="Y49258"/>
    <n v="1"/>
    <s v="盐保仓库"/>
    <d v="2019-10-18T00:00:00"/>
    <n v="6.7100000000000007E-2"/>
    <s v="DEC 19"/>
    <d v="1905-07-11T02:09:36"/>
    <s v="JPY"/>
    <s v="C49SZX20190028MZR1"/>
    <x v="28"/>
    <s v="YSM10"/>
    <s v="L-&gt;R"/>
    <s v="MVC+ATS15"/>
    <s v="WRONG"/>
    <s v="DAP SZ"/>
    <d v="2019-10-24T00:00:00"/>
    <x v="0"/>
    <m/>
    <m/>
    <m/>
    <s v="C190434446"/>
    <n v="302"/>
  </r>
  <r>
    <n v="460"/>
    <x v="0"/>
    <s v="C49"/>
    <n v="109686"/>
    <s v="Special package"/>
    <x v="1"/>
    <s v="R-&gt;L"/>
    <s v="ATS15"/>
    <s v="Y49259"/>
    <n v="1"/>
    <s v="盐保仓库"/>
    <d v="2019-10-18T00:00:00"/>
    <n v="6.7100000000000007E-2"/>
    <s v="DEC 19"/>
    <d v="1905-07-11T02:09:36"/>
    <s v="JPY"/>
    <s v="C49SZX20190028MZR1"/>
    <x v="28"/>
    <s v="YSM10"/>
    <s v="R-&gt;L"/>
    <s v="MVC+ATS15"/>
    <s v="WRONG"/>
    <s v="DAP SZ"/>
    <d v="2019-10-24T00:00:00"/>
    <x v="0"/>
    <m/>
    <m/>
    <m/>
    <s v="C190434446"/>
    <n v="302"/>
  </r>
  <r>
    <n v="525"/>
    <x v="0"/>
    <s v="C49"/>
    <n v="109715"/>
    <s v="Special package"/>
    <x v="3"/>
    <s v="L-&gt;R"/>
    <s v="No"/>
    <s v="Y49068"/>
    <n v="1"/>
    <s v="力合仓库(已经清关)"/>
    <d v="2019-10-25T00:00:00"/>
    <s v="No mismatch  （Cooper rate:0.0676)"/>
    <s v="DEC 19"/>
    <n v="2019.1"/>
    <s v="RMB"/>
    <s v="C49SZX20190181DY"/>
    <x v="112"/>
    <s v="YSM20R(SV)-2"/>
    <s v="L-&gt;R"/>
    <s v="No"/>
    <s v="OK"/>
    <s v="DDP SZ"/>
    <d v="2019-12-05T00:00:00"/>
    <x v="0"/>
    <m/>
    <m/>
    <m/>
    <s v="C191236410"/>
    <n v="301"/>
  </r>
  <r>
    <n v="476"/>
    <x v="0"/>
    <s v="C49"/>
    <n v="109715"/>
    <s v="Special package"/>
    <x v="3"/>
    <s v="L-&gt;R"/>
    <s v="No"/>
    <s v="Y49070"/>
    <n v="1"/>
    <s v="力合中转仓"/>
    <d v="2019-10-25T00:00:00"/>
    <s v="No mismatch"/>
    <s v="DEC 19"/>
    <n v="2019.1"/>
    <s v="JPY"/>
    <s v="C49SZX20190156-1ZX"/>
    <x v="89"/>
    <s v="YSM20R(SV)-2"/>
    <s v="L-&gt;R"/>
    <s v="No"/>
    <s v="OK"/>
    <s v="DAP GZ"/>
    <d v="2019-11-05T00:00:00"/>
    <x v="0"/>
    <m/>
    <m/>
    <m/>
    <s v="C161128121"/>
    <n v="302"/>
  </r>
  <r>
    <n v="477"/>
    <x v="0"/>
    <s v="C49"/>
    <n v="109715"/>
    <s v="Special package"/>
    <x v="3"/>
    <s v="L-&gt;R"/>
    <s v="No"/>
    <s v="Y49071"/>
    <n v="1"/>
    <s v="力合中转仓"/>
    <d v="2019-10-25T00:00:00"/>
    <s v="No mismatch"/>
    <s v="DEC 19"/>
    <n v="2019.1"/>
    <s v="JPY"/>
    <s v="C49SZX20190156-1ZX"/>
    <x v="89"/>
    <s v="YSM20R(SV)-2"/>
    <s v="L-&gt;R"/>
    <s v="No"/>
    <s v="OK"/>
    <s v="DAP GZ"/>
    <d v="2019-11-05T00:00:00"/>
    <x v="0"/>
    <m/>
    <m/>
    <m/>
    <s v="C161128121"/>
    <n v="302"/>
  </r>
  <r>
    <n v="469"/>
    <x v="0"/>
    <s v="C49"/>
    <n v="109715"/>
    <s v="Special package"/>
    <x v="3"/>
    <s v="L-&gt;R"/>
    <s v="No"/>
    <s v="Y49069"/>
    <n v="1"/>
    <s v="盐保仓库"/>
    <d v="2019-10-25T00:00:00"/>
    <s v="No mismatch"/>
    <s v="NOV 19"/>
    <n v="2019.1"/>
    <s v="JPY"/>
    <s v="C49SZX20190161SX"/>
    <x v="72"/>
    <s v="YSM20R(SV)-2"/>
    <s v="L-&gt;R"/>
    <s v="No"/>
    <s v="OK"/>
    <s v="DAP SZ"/>
    <d v="2019-11-06T00:00:00"/>
    <x v="0"/>
    <m/>
    <m/>
    <m/>
    <s v="C190534573"/>
    <n v="303"/>
  </r>
  <r>
    <n v="411"/>
    <x v="0"/>
    <s v="C49"/>
    <n v="109664"/>
    <s v="Special package"/>
    <x v="3"/>
    <s v="R-&gt;L"/>
    <s v="No"/>
    <s v="Y49322"/>
    <n v="1"/>
    <s v="力合仓库(已经清关)"/>
    <d v="2019-11-01T00:00:00"/>
    <n v="6.7199999999999996E-2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435"/>
    <x v="0"/>
    <s v="C49"/>
    <n v="109664"/>
    <s v="Special package"/>
    <x v="3"/>
    <s v="R-&gt;L"/>
    <s v="No"/>
    <s v="Y49323"/>
    <n v="1"/>
    <s v="码头-&gt;准备清关"/>
    <d v="2019-11-01T00:00:00"/>
    <n v="6.7199999999999996E-2"/>
    <s v="NOV 19"/>
    <n v="2019.1"/>
    <s v="RMB"/>
    <s v="C49SZX20190142KW"/>
    <x v="113"/>
    <s v="YSM20R(SV)-2"/>
    <s v="R-&gt;L"/>
    <s v="MVC"/>
    <s v="WRONG"/>
    <s v="含税到厂"/>
    <d v="2019-09-26T00:00:00"/>
    <x v="0"/>
    <m/>
    <s v="Na"/>
    <m/>
    <s v="C191035866"/>
    <n v="301"/>
  </r>
  <r>
    <n v="413"/>
    <x v="0"/>
    <s v="C49"/>
    <n v="109705"/>
    <s v="Special package"/>
    <x v="3"/>
    <s v="R-&gt;L"/>
    <s v="No"/>
    <s v="Y49361"/>
    <n v="1"/>
    <s v="码头-&gt;准备清关"/>
    <d v="2019-11-01T00:00:00"/>
    <s v="No mismatch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414"/>
    <x v="0"/>
    <s v="C49"/>
    <n v="109705"/>
    <s v="Special package"/>
    <x v="3"/>
    <s v="R-&gt;L"/>
    <s v="No"/>
    <s v="Y49362"/>
    <n v="1"/>
    <s v="码头-&gt;准备清关"/>
    <d v="2019-11-01T00:00:00"/>
    <s v="No mismatch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412"/>
    <x v="0"/>
    <s v="C49"/>
    <n v="109705"/>
    <s v="Special package"/>
    <x v="3"/>
    <s v="R-&gt;L"/>
    <s v="No"/>
    <s v="Y49363"/>
    <n v="1"/>
    <s v="码头-&gt;准备清关"/>
    <d v="2019-11-01T00:00:00"/>
    <s v="No mismatch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386"/>
    <x v="0"/>
    <s v="C49"/>
    <n v="109705"/>
    <s v="Special package"/>
    <x v="3"/>
    <s v="L-&gt;R"/>
    <s v="No"/>
    <s v="Y49364"/>
    <n v="1"/>
    <s v="码头-&gt;准备清关"/>
    <d v="2019-11-01T00:00:00"/>
    <n v="6.4699999999999994E-2"/>
    <s v="NOV 19"/>
    <n v="2019.1"/>
    <s v="RMB"/>
    <s v="C49SZX20190118R1SS"/>
    <x v="44"/>
    <s v="YSM20R(SV)-2"/>
    <s v="L-&gt;R"/>
    <s v="No"/>
    <s v="OK"/>
    <s v="含税到厂"/>
    <d v="2019-08-14T00:00:00"/>
    <x v="0"/>
    <m/>
    <m/>
    <m/>
    <s v="C190434540, 前海福源"/>
    <n v="303"/>
  </r>
  <r>
    <n v="514"/>
    <x v="0"/>
    <s v="C49"/>
    <n v="109664"/>
    <s v="Special package"/>
    <x v="3"/>
    <s v="L-&gt;R"/>
    <s v="No"/>
    <s v="Y49324"/>
    <n v="1"/>
    <s v="锘铧清关，送宽宏"/>
    <d v="2019-11-01T00:00:00"/>
    <n v="6.7199999999999996E-2"/>
    <s v="JAN 20"/>
    <n v="2019.1"/>
    <s v="JPY"/>
    <s v="C49SZX20190172ZX"/>
    <x v="110"/>
    <s v="YSM20R(SV)-2"/>
    <s v="L-&gt;R"/>
    <s v="No"/>
    <s v="OK"/>
    <s v="CIF HK"/>
    <d v="2019-11-21T00:00:00"/>
    <x v="0"/>
    <m/>
    <m/>
    <m/>
    <s v="C190634944"/>
    <n v="312"/>
  </r>
  <r>
    <n v="515"/>
    <x v="0"/>
    <s v="C49"/>
    <n v="109664"/>
    <s v="Special package"/>
    <x v="3"/>
    <s v="L-&gt;R"/>
    <s v="No"/>
    <s v="Y49326"/>
    <n v="1"/>
    <s v="锘铧清关，送宽宏"/>
    <d v="2019-11-01T00:00:00"/>
    <n v="6.7199999999999996E-2"/>
    <s v="JAN 20"/>
    <n v="2019.1"/>
    <s v="JPY"/>
    <s v="C49SZX20190172ZX"/>
    <x v="110"/>
    <s v="YSM20R(SV)-2"/>
    <s v="L-&gt;R"/>
    <s v="No"/>
    <s v="OK"/>
    <s v="CIF HK"/>
    <d v="2019-11-21T00:00:00"/>
    <x v="0"/>
    <m/>
    <m/>
    <m/>
    <s v="C190634944"/>
    <n v="313"/>
  </r>
  <r>
    <n v="504"/>
    <x v="0"/>
    <s v="C49"/>
    <n v="109685"/>
    <s v="Special package"/>
    <x v="1"/>
    <s v="R-&gt;L"/>
    <s v="No"/>
    <s v="Y49255"/>
    <n v="1"/>
    <s v="盐保仓库"/>
    <d v="2019-11-01T00:00:00"/>
    <s v="No mismatch"/>
    <s v="DEC 19"/>
    <d v="1905-07-11T02:24:00"/>
    <s v="JPY"/>
    <s v="C49SZX20190163JY"/>
    <x v="114"/>
    <s v="YSM10"/>
    <s v="L-&gt;R"/>
    <s v="MVC"/>
    <s v="WRONG"/>
    <s v="DAP SZ"/>
    <d v="2019-11-12T00:00:00"/>
    <x v="0"/>
    <m/>
    <m/>
    <m/>
    <s v="C191136234"/>
    <n v="301"/>
  </r>
  <r>
    <n v="505"/>
    <x v="0"/>
    <s v="C49"/>
    <n v="109685"/>
    <s v="Special package"/>
    <x v="1"/>
    <s v="R-&gt;L"/>
    <s v="No"/>
    <s v="Y49256"/>
    <n v="1"/>
    <s v="盐保仓库"/>
    <d v="2019-11-01T00:00:00"/>
    <s v="No mismatch"/>
    <s v="DEC 19"/>
    <d v="1905-07-11T02:24:00"/>
    <s v="JPY"/>
    <s v="C49SZX20190163JY"/>
    <x v="114"/>
    <s v="YSM10"/>
    <s v="L-&gt;R"/>
    <s v="1.2m longboard+加大板相机"/>
    <s v="WRONG"/>
    <s v="DAP SZ"/>
    <d v="2019-11-12T00:00:00"/>
    <x v="0"/>
    <m/>
    <m/>
    <m/>
    <s v="C191136234"/>
    <n v="301"/>
  </r>
  <r>
    <n v="506"/>
    <x v="0"/>
    <s v="C49"/>
    <n v="109685"/>
    <s v="Special package"/>
    <x v="1"/>
    <s v="R-&gt;L"/>
    <s v="No"/>
    <s v="Y49257"/>
    <n v="1"/>
    <s v="盐保仓库"/>
    <d v="2019-11-01T00:00:00"/>
    <s v="No mismatch"/>
    <s v="DEC 19"/>
    <d v="1905-07-11T02:24:00"/>
    <s v="JPY"/>
    <s v="C49SZX20190163JY"/>
    <x v="114"/>
    <s v="YSM10"/>
    <s v="L-&gt;R"/>
    <s v="No"/>
    <s v="WRONG"/>
    <s v="DAP SZ"/>
    <d v="2019-11-12T00:00:00"/>
    <x v="0"/>
    <m/>
    <m/>
    <m/>
    <s v="C191136234"/>
    <n v="301"/>
  </r>
  <r>
    <n v="497"/>
    <x v="0"/>
    <s v="C49"/>
    <n v="109693"/>
    <s v="Special package"/>
    <x v="1"/>
    <s v="R-&gt;L"/>
    <s v="No"/>
    <s v="Y49311"/>
    <n v="1"/>
    <s v="盐保仓库"/>
    <d v="2019-11-01T00:00:00"/>
    <s v="No mismatch"/>
    <s v="NOV 19"/>
    <d v="1905-07-11T02:24:00"/>
    <s v="JPY"/>
    <s v="C49SZX20190165DZ"/>
    <x v="115"/>
    <s v="YSM10"/>
    <s v="L-&gt;R"/>
    <s v="No"/>
    <s v="WRONG"/>
    <s v="CIF HK"/>
    <d v="2019-11-12T00:00:00"/>
    <x v="0"/>
    <m/>
    <m/>
    <m/>
    <s v="C180131071"/>
    <n v="301"/>
  </r>
  <r>
    <n v="498"/>
    <x v="0"/>
    <s v="C49"/>
    <n v="109693"/>
    <s v="Special package"/>
    <x v="1"/>
    <s v="R-&gt;L"/>
    <s v="No"/>
    <s v="Y49312"/>
    <n v="1"/>
    <s v="盐保仓库"/>
    <d v="2019-11-01T00:00:00"/>
    <s v="No mismatch"/>
    <s v="NOV 19"/>
    <d v="1905-07-11T02:24:00"/>
    <s v="JPY"/>
    <s v="C49SZX20190165DZ"/>
    <x v="115"/>
    <s v="YSM10"/>
    <s v="L-&gt;R"/>
    <s v="No"/>
    <s v="WRONG"/>
    <s v="CIF HK"/>
    <d v="2019-11-12T00:00:00"/>
    <x v="0"/>
    <m/>
    <m/>
    <m/>
    <s v="C180131071"/>
    <n v="301"/>
  </r>
  <r>
    <n v="507"/>
    <x v="0"/>
    <s v="C49"/>
    <n v="109693"/>
    <s v="Special package"/>
    <x v="1"/>
    <s v="R-&gt;L"/>
    <s v="No"/>
    <s v="Y49313"/>
    <n v="1"/>
    <s v="盐保仓库"/>
    <d v="2019-11-01T00:00:00"/>
    <s v="No mismatch"/>
    <s v="DEC 19"/>
    <d v="1905-07-11T02:24:00"/>
    <s v="JPY"/>
    <s v="C49SZX20190163JY"/>
    <x v="114"/>
    <s v="YSM10"/>
    <s v="L-&gt;R"/>
    <s v="No"/>
    <s v="WRONG"/>
    <s v="DAP SZ"/>
    <d v="2019-11-12T00:00:00"/>
    <x v="0"/>
    <m/>
    <m/>
    <m/>
    <s v="C191136234"/>
    <n v="301"/>
  </r>
  <r>
    <n v="512"/>
    <x v="0"/>
    <s v="C49"/>
    <n v="109664"/>
    <s v="Special package"/>
    <x v="3"/>
    <s v="L-&gt;R"/>
    <s v="No"/>
    <s v="Y49327"/>
    <n v="1"/>
    <s v="盐保仓库"/>
    <d v="2019-11-01T00:00:00"/>
    <n v="6.7199999999999996E-2"/>
    <s v="DEC 19"/>
    <n v="2019.1"/>
    <s v="JPY"/>
    <s v="C49SZX20190171CX"/>
    <x v="116"/>
    <s v="YSM20R(SV)-2"/>
    <s v="L-&gt;R"/>
    <s v="No"/>
    <s v="OK"/>
    <s v="DAP SZ"/>
    <d v="2019-11-20T00:00:00"/>
    <x v="0"/>
    <m/>
    <m/>
    <m/>
    <s v="C190634955"/>
    <n v="313"/>
  </r>
  <r>
    <n v="510"/>
    <x v="0"/>
    <s v="C49"/>
    <n v="109693"/>
    <s v="Special package"/>
    <x v="1"/>
    <s v="R-&gt;L"/>
    <s v="No"/>
    <s v="Y49314"/>
    <n v="1"/>
    <s v="盐保仓库"/>
    <d v="2019-11-01T00:00:00"/>
    <s v="No mismatch"/>
    <s v="NOV 19"/>
    <d v="1905-07-11T02:24:00"/>
    <s v="JPY"/>
    <s v="C49SZX20190617SS"/>
    <x v="33"/>
    <s v="YSM10"/>
    <s v="L-&gt;R"/>
    <s v="MVC"/>
    <s v="WRONG"/>
    <s v="DAP DG"/>
    <d v="2019-11-12T00:00:00"/>
    <x v="0"/>
    <s v="Na"/>
    <s v="Na"/>
    <m/>
    <s v="C190434487"/>
    <n v="301"/>
  </r>
  <r>
    <n v="468"/>
    <x v="0"/>
    <s v="C49"/>
    <n v="109664"/>
    <s v="Special package"/>
    <x v="3"/>
    <s v="L-&gt;R"/>
    <s v="No"/>
    <s v="Y49325"/>
    <n v="1"/>
    <s v="盐保仓库-&gt;准备清关"/>
    <d v="2019-11-01T00:00:00"/>
    <n v="6.7199999999999996E-2"/>
    <s v="NOV 19"/>
    <n v="2019.1"/>
    <s v="JPY"/>
    <s v="C49SZX20190159SS"/>
    <x v="117"/>
    <s v="YSM20R(SV)-2"/>
    <s v="L-&gt;R"/>
    <s v="No"/>
    <s v="OK"/>
    <s v="DAP SZ"/>
    <d v="2019-11-06T00:00:00"/>
    <x v="0"/>
    <m/>
    <m/>
    <m/>
    <s v="C180431770"/>
    <n v="301"/>
  </r>
  <r>
    <n v="472"/>
    <x v="0"/>
    <s v="C49"/>
    <n v="109685"/>
    <s v="Special package"/>
    <x v="1"/>
    <s v="R-&gt;L"/>
    <s v="No"/>
    <s v="Y49253"/>
    <n v="1"/>
    <s v="盐保仓库-&gt;准备清关"/>
    <d v="2019-11-01T00:00:00"/>
    <s v="No mismatch"/>
    <s v="NOV 19"/>
    <d v="1905-07-11T02:24:00"/>
    <s v="RMB"/>
    <s v="C49SZX20190153JL"/>
    <x v="118"/>
    <s v="YSM10"/>
    <s v="L-&gt;R"/>
    <s v="MVC"/>
    <s v="WRONG"/>
    <s v="含税到厂"/>
    <d v="2019-11-06T00:00:00"/>
    <x v="0"/>
    <m/>
    <m/>
    <m/>
    <s v="C191136061"/>
    <n v="301"/>
  </r>
  <r>
    <n v="473"/>
    <x v="0"/>
    <s v="C49"/>
    <n v="109685"/>
    <s v="Special package"/>
    <x v="1"/>
    <s v="R-&gt;L"/>
    <s v="No"/>
    <s v="Y49254"/>
    <n v="1"/>
    <s v="盐保仓库-&gt;准备清关"/>
    <d v="2019-11-01T00:00:00"/>
    <s v="No mismatch"/>
    <s v="NOV 19"/>
    <d v="1905-07-11T02:24:00"/>
    <s v="RMB"/>
    <s v="C49SZX20190153JL"/>
    <x v="118"/>
    <s v="YSM10"/>
    <s v="L-&gt;R"/>
    <s v="MVC"/>
    <s v="WRONG"/>
    <s v="含税到厂"/>
    <d v="2019-11-06T00:00:00"/>
    <x v="0"/>
    <m/>
    <m/>
    <m/>
    <s v="C191136061"/>
    <n v="301"/>
  </r>
  <r>
    <n v="503"/>
    <x v="0"/>
    <s v="C49"/>
    <n v="109721"/>
    <s v="Special package"/>
    <x v="3"/>
    <s v="L-&gt;R"/>
    <s v="No"/>
    <s v="Y49584"/>
    <n v="1"/>
    <s v="盐保仓库"/>
    <d v="2019-12-04T00:00:00"/>
    <n v="6.7199999999999996E-2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1"/>
  </r>
  <r>
    <n v="500"/>
    <x v="0"/>
    <s v="C49"/>
    <n v="109721"/>
    <s v="Special package"/>
    <x v="3"/>
    <s v="L-&gt;R"/>
    <s v="No"/>
    <s v="Y49585"/>
    <n v="1"/>
    <s v="盐保仓库"/>
    <d v="2019-12-04T00:00:00"/>
    <n v="6.5699999999999995E-2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2"/>
  </r>
  <r>
    <n v="501"/>
    <x v="0"/>
    <s v="C49"/>
    <n v="109721"/>
    <s v="Special package"/>
    <x v="3"/>
    <s v="L-&gt;R"/>
    <s v="No"/>
    <s v="Y49586"/>
    <n v="1"/>
    <s v="盐保仓库"/>
    <d v="2019-12-04T00:00:00"/>
    <n v="6.5699999999999995E-2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2"/>
  </r>
  <r>
    <n v="457"/>
    <x v="0"/>
    <s v="C49"/>
    <n v="109721"/>
    <s v="Special package"/>
    <x v="3"/>
    <s v="L-&gt;R"/>
    <s v="No"/>
    <s v="Y49587"/>
    <n v="1"/>
    <s v="盐保仓库"/>
    <d v="2019-12-04T00:00:00"/>
    <n v="6.5699999999999995E-2"/>
    <s v="DEC 19"/>
    <n v="2019.11"/>
    <s v="JPY"/>
    <s v="C49SZX20190028MZR1"/>
    <x v="28"/>
    <s v="YSM20R(SV)-2"/>
    <s v="L-&gt;R"/>
    <s v="No"/>
    <s v="OK"/>
    <s v="DAP SZ"/>
    <d v="2019-10-24T00:00:00"/>
    <x v="0"/>
    <m/>
    <m/>
    <m/>
    <s v="C190434446"/>
    <n v="301"/>
  </r>
  <r>
    <n v="458"/>
    <x v="0"/>
    <s v="C49"/>
    <n v="109721"/>
    <s v="Special package"/>
    <x v="3"/>
    <s v="R-&gt;L"/>
    <s v="MVC"/>
    <s v="Y49588"/>
    <n v="1"/>
    <s v="盐保仓库"/>
    <d v="2019-12-04T00:00:00"/>
    <n v="6.5699999999999995E-2"/>
    <s v="DEC 19"/>
    <n v="2019.11"/>
    <s v="JPY"/>
    <s v="C49SZX20190028MZR1"/>
    <x v="28"/>
    <s v="YSM20R(SV)-2"/>
    <s v="R-&gt;L"/>
    <s v="No"/>
    <s v="WRONG"/>
    <s v="DAP SZ"/>
    <d v="2019-10-24T00:00:00"/>
    <x v="0"/>
    <m/>
    <m/>
    <m/>
    <s v="C190434446"/>
    <n v="301"/>
  </r>
  <r>
    <n v="564"/>
    <x v="0"/>
    <s v="C49"/>
    <n v="109721"/>
    <s v="Special package"/>
    <x v="3"/>
    <s v="R-&gt;L"/>
    <s v="MVC"/>
    <s v="Y49589"/>
    <n v="1"/>
    <s v="盐保仓库"/>
    <d v="2019-12-04T00:00:00"/>
    <n v="6.5699999999999995E-2"/>
    <s v="JAN 20"/>
    <n v="2019.11"/>
    <s v="JPY"/>
    <s v="C49SZX20200001SX"/>
    <x v="43"/>
    <s v="YSM20R(SV)-2"/>
    <s v="R-&gt;L"/>
    <s v="No"/>
    <s v="WRONG"/>
    <s v="DAP DG"/>
    <d v="2020-01-01T00:00:00"/>
    <x v="0"/>
    <s v="Na"/>
    <s v="Na"/>
    <m/>
    <s v="C181233636"/>
    <n v="301"/>
  </r>
  <r>
    <n v="599"/>
    <x v="0"/>
    <s v="C49"/>
    <n v="109730"/>
    <s v="博星名义下单"/>
    <x v="3"/>
    <s v="L-&gt;R"/>
    <s v="MVC"/>
    <s v="Y49696"/>
    <n v="1"/>
    <s v="力合仓库(已经清关)"/>
    <d v="2019-12-11T00:00:00"/>
    <n v="6.5299999999999997E-2"/>
    <s v="APR 20"/>
    <n v="2019.11"/>
    <s v="RMB"/>
    <s v="C49SZX20200009MX"/>
    <x v="119"/>
    <s v="YSM20R(SV)-2"/>
    <s v="L-&gt;R"/>
    <s v="No"/>
    <s v="WRONG"/>
    <s v="含税到厂"/>
    <d v="2020-03-20T00:00:00"/>
    <x v="0"/>
    <m/>
    <m/>
    <m/>
    <s v="C200337005"/>
    <n v="301"/>
  </r>
  <r>
    <n v="568"/>
    <x v="0"/>
    <s v="C49"/>
    <n v="109730"/>
    <s v="博星名义下单"/>
    <x v="3"/>
    <s v="R-&gt;L"/>
    <s v="MVC"/>
    <s v="Y49694"/>
    <n v="1"/>
    <s v="力合仓库有货，系统没货"/>
    <d v="2019-12-11T00:00:00"/>
    <n v="6.5299999999999997E-2"/>
    <s v="MAR 20"/>
    <n v="2019.11"/>
    <s v="JPY"/>
    <s v="C49SZX20200003CX"/>
    <x v="120"/>
    <s v="YSM20R(SV)-2"/>
    <s v="R-&gt;L"/>
    <s v="MVC"/>
    <s v="OK"/>
    <s v="DAP ST"/>
    <d v="2019-01-02T00:00:00"/>
    <x v="0"/>
    <m/>
    <m/>
    <m/>
    <s v="C200136543"/>
    <n v="312"/>
  </r>
  <r>
    <n v="480"/>
    <x v="0"/>
    <s v="C49"/>
    <n v="109730"/>
    <s v="博星名义下单"/>
    <x v="3"/>
    <s v="L-&gt;R"/>
    <s v="No"/>
    <s v="Y49700"/>
    <n v="1"/>
    <s v="力合仓库有货，系统没货"/>
    <d v="2019-12-11T00:00:00"/>
    <s v="   NM(CR:0.0657)价格用PO#109750         "/>
    <s v="FEB 20"/>
    <n v="2019.11"/>
    <s v="JPY"/>
    <s v="C49SZX20190156-2ZX"/>
    <x v="89"/>
    <s v="YSM20R(SV)-2"/>
    <s v="R-&gt;L"/>
    <s v="No"/>
    <s v="WRONG"/>
    <s v="DAP GZ"/>
    <d v="2019-11-05T00:00:00"/>
    <x v="0"/>
    <m/>
    <m/>
    <m/>
    <s v="C161128121"/>
    <n v="301"/>
  </r>
  <r>
    <n v="608"/>
    <x v="0"/>
    <s v="C49"/>
    <n v="109730"/>
    <s v="博星名义下单"/>
    <x v="3"/>
    <s v="L-&gt;R"/>
    <s v="MVC"/>
    <s v="Y49697"/>
    <n v="1"/>
    <s v="力合中转仓"/>
    <d v="2019-12-11T00:00:00"/>
    <n v="6.5299999999999997E-2"/>
    <s v="APR 20"/>
    <n v="2019.11"/>
    <s v="RMB"/>
    <s v="C49SZX20200039SX"/>
    <x v="43"/>
    <s v="YSM20R(SV)-2"/>
    <s v="L-&gt;R"/>
    <s v="No"/>
    <s v="WRONG"/>
    <s v="含税到厂"/>
    <d v="2020-03-30T00:00:00"/>
    <x v="0"/>
    <m/>
    <m/>
    <m/>
    <s v="C181233636"/>
    <n v="301"/>
  </r>
  <r>
    <n v="585"/>
    <x v="0"/>
    <s v="C49"/>
    <n v="109730"/>
    <s v="博星名义下单"/>
    <x v="3"/>
    <s v="R-&gt;L"/>
    <s v="No"/>
    <s v="Y49695"/>
    <n v="1"/>
    <s v="盐保仓库"/>
    <d v="2019-12-11T00:00:00"/>
    <n v="6.5299999999999997E-2"/>
    <s v="FEB 20"/>
    <n v="2019.11"/>
    <s v="JPY"/>
    <s v="C49SZX20200018SX"/>
    <x v="121"/>
    <s v="YSM20R(SV)-2"/>
    <s v="R-&gt;L"/>
    <s v="MVC"/>
    <s v="WRONG"/>
    <s v="DAP DG"/>
    <d v="2020-02-19T00:00:00"/>
    <x v="0"/>
    <m/>
    <m/>
    <m/>
    <s v="C190935620"/>
    <n v="301"/>
  </r>
  <r>
    <n v="561"/>
    <x v="0"/>
    <s v="C49"/>
    <n v="109730"/>
    <s v="博星名义下单"/>
    <x v="3"/>
    <s v="R-&gt;L"/>
    <s v="MVC"/>
    <s v="Y49693"/>
    <n v="1"/>
    <s v="盐保仓库"/>
    <d v="2019-12-11T00:00:00"/>
    <n v="6.5299999999999997E-2"/>
    <s v="JAN 20"/>
    <n v="2019.11"/>
    <s v="JPY"/>
    <s v="C49SZX20190192MZ"/>
    <x v="122"/>
    <s v="YSM20R(SV)-2"/>
    <s v="R-&gt;L"/>
    <s v="No"/>
    <s v="WRONG"/>
    <s v="CIF HK"/>
    <d v="2019-12-24T00:00:00"/>
    <x v="0"/>
    <m/>
    <m/>
    <m/>
    <s v="C180331587"/>
    <n v="311"/>
  </r>
  <r>
    <n v="499"/>
    <x v="0"/>
    <s v="C49"/>
    <n v="109730"/>
    <s v="博星名义下单"/>
    <x v="3"/>
    <s v="L-&gt;R"/>
    <s v="No"/>
    <s v="Y49698"/>
    <n v="1"/>
    <s v="盐保仓库"/>
    <d v="2019-12-11T00:00:00"/>
    <s v="No mismatch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1"/>
  </r>
  <r>
    <n v="502"/>
    <x v="0"/>
    <s v="C49"/>
    <n v="109730"/>
    <s v="博星名义下单"/>
    <x v="3"/>
    <s v="L-&gt;R"/>
    <s v="No"/>
    <s v="Y49699"/>
    <n v="1"/>
    <s v="盐保仓库"/>
    <d v="2019-12-11T00:00:00"/>
    <s v="No mismatch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1"/>
  </r>
  <r>
    <n v="552"/>
    <x v="0"/>
    <s v="C49"/>
    <n v="109723"/>
    <s v="博星名义下单"/>
    <x v="1"/>
    <s v="R-&gt;L"/>
    <s v="No"/>
    <s v="Y49758"/>
    <n v="1"/>
    <s v="力合仓库(已经清关)"/>
    <d v="2019-12-25T00:00:00"/>
    <n v="6.54E-2"/>
    <s v="DEC 19"/>
    <d v="1905-07-11T02:52:48"/>
    <s v="RMB"/>
    <s v="C49SZX20190189DY"/>
    <x v="112"/>
    <s v="YSM10"/>
    <s v="L-&gt;R"/>
    <s v="MVC"/>
    <s v="WRONG"/>
    <s v="含税到厂"/>
    <d v="2019-12-20T00:00:00"/>
    <x v="0"/>
    <m/>
    <m/>
    <m/>
    <s v="C191236410"/>
    <n v="301"/>
  </r>
  <r>
    <n v="565"/>
    <x v="0"/>
    <s v="C49"/>
    <n v="109723"/>
    <s v="博星名义下单"/>
    <x v="1"/>
    <s v="R-&gt;L"/>
    <s v="No"/>
    <s v="Y49759"/>
    <n v="1"/>
    <s v="力合仓库(已经清关)"/>
    <d v="2019-12-25T00:00:00"/>
    <s v="0.0654(价格用PO#109759)"/>
    <s v="JAN 20"/>
    <d v="1905-07-11T02:52:48"/>
    <s v="JPY"/>
    <s v="C49SZX20200001SX"/>
    <x v="43"/>
    <s v="YSM10"/>
    <s v="R-&gt;L"/>
    <s v="MVC"/>
    <s v="WRONG"/>
    <s v="DAP DG"/>
    <d v="2020-01-01T00:00:00"/>
    <x v="0"/>
    <s v="Na"/>
    <s v="Na"/>
    <m/>
    <s v="C181233636"/>
    <n v="302"/>
  </r>
  <r>
    <n v="588"/>
    <x v="0"/>
    <s v="C49"/>
    <n v="109723"/>
    <s v="博星名义下单"/>
    <x v="1"/>
    <s v="R-&gt;L"/>
    <s v="ATS15"/>
    <s v="Y49761"/>
    <n v="1"/>
    <s v="力合仓库(已经清关)"/>
    <d v="2019-12-25T00:00:00"/>
    <n v="6.54E-2"/>
    <s v="MAR 20"/>
    <d v="1905-07-11T02:52:48"/>
    <s v="RMB"/>
    <s v="C49SZX20200022SX"/>
    <x v="43"/>
    <s v="YSM10"/>
    <s v="L-&gt;R"/>
    <s v="MVC"/>
    <s v="WRONG"/>
    <s v="含税到厂"/>
    <d v="2020-03-11T00:00:00"/>
    <x v="0"/>
    <s v="Na"/>
    <m/>
    <m/>
    <s v="C181233636"/>
    <n v="301"/>
  </r>
  <r>
    <n v="474"/>
    <x v="0"/>
    <s v="C49"/>
    <n v="109723"/>
    <s v="博星名义下单"/>
    <x v="1"/>
    <s v="R-&gt;L"/>
    <s v="ATS15"/>
    <s v="Y49760"/>
    <n v="1"/>
    <s v="锘铧清关，送宽宏"/>
    <d v="2019-12-25T00:00:00"/>
    <n v="6.54E-2"/>
    <s v="DEC 19"/>
    <d v="1905-07-11T02:52:48"/>
    <s v="JPY"/>
    <s v="C49SZX20190156-1ZX"/>
    <x v="89"/>
    <s v="YSM10"/>
    <s v="L-&gt;R"/>
    <s v="MVC+ATS15"/>
    <s v="WRONG"/>
    <s v="DAP GZ"/>
    <d v="2019-11-05T00:00:00"/>
    <x v="0"/>
    <m/>
    <m/>
    <m/>
    <s v="C190636944.实际送货给宽宏客户"/>
    <n v="302"/>
  </r>
  <r>
    <n v="579"/>
    <x v="0"/>
    <s v="C49"/>
    <n v="109750"/>
    <s v="锘铧名义下单"/>
    <x v="3"/>
    <s v="L-&gt;R"/>
    <s v="No"/>
    <s v="Y49849"/>
    <n v="1"/>
    <s v="力合仓库(已经清关)"/>
    <d v="2020-01-06T00:00:00"/>
    <s v="NM(CR:0.0655）价格用PO#109774"/>
    <s v="MAR 20"/>
    <n v="2019.12"/>
    <s v="JPY"/>
    <s v="C49SZX20200015JL"/>
    <x v="123"/>
    <s v="YSM20R(SV)-2"/>
    <s v="L-&gt;R"/>
    <s v="No"/>
    <s v="OK"/>
    <s v="CIF HK"/>
    <d v="2020-01-14T00:00:00"/>
    <x v="0"/>
    <m/>
    <m/>
    <m/>
    <s v="C200336922"/>
    <n v="302"/>
  </r>
  <r>
    <n v="593"/>
    <x v="0"/>
    <s v="C49"/>
    <n v="109749"/>
    <s v="锘铧名义下单"/>
    <x v="3"/>
    <s v="R-&gt;L"/>
    <s v="No"/>
    <s v="Y49839"/>
    <n v="1"/>
    <s v="力合仓库(已经清关)"/>
    <d v="2020-01-06T00:00:00"/>
    <n v="6.54E-2"/>
    <s v="MAR 20"/>
    <n v="2019.12"/>
    <s v="RMB"/>
    <s v="C49SZX20200019SX"/>
    <x v="124"/>
    <s v="YSM20R(SV)-2"/>
    <s v="R-&gt;L"/>
    <s v="No"/>
    <s v="OK"/>
    <s v="含税到厂"/>
    <d v="2020-03-11T00:00:00"/>
    <x v="0"/>
    <m/>
    <m/>
    <m/>
    <s v="C180933040"/>
    <n v="301"/>
  </r>
  <r>
    <n v="580"/>
    <x v="0"/>
    <s v="C49"/>
    <n v="109759"/>
    <s v="灿明名义下单"/>
    <x v="1"/>
    <s v="R-&gt;L"/>
    <s v="No"/>
    <s v="Y49990"/>
    <n v="1"/>
    <s v="力合仓库(已经清关)"/>
    <d v="2020-01-06T00:00:00"/>
    <s v="NM(CR:0.0658）价格用PO#109820"/>
    <s v="MAR 20"/>
    <d v="1905-07-11T02:52:48"/>
    <s v="JPY"/>
    <s v="C49SZX20200015JL"/>
    <x v="123"/>
    <s v="YSM10"/>
    <s v="L-&gt;R"/>
    <s v="No"/>
    <s v="WRONG"/>
    <s v="CIF HK"/>
    <d v="2020-01-14T00:00:00"/>
    <x v="0"/>
    <m/>
    <m/>
    <m/>
    <s v="C200336922"/>
    <n v="301"/>
  </r>
  <r>
    <n v="470"/>
    <x v="0"/>
    <s v="C49"/>
    <n v="109749"/>
    <s v="锘铧名义下单"/>
    <x v="3"/>
    <s v="R-&gt;L"/>
    <s v="No"/>
    <s v="Y49842"/>
    <n v="1"/>
    <s v="力合仓库(已经清关)"/>
    <d v="2020-01-06T00:00:00"/>
    <n v="6.54E-2"/>
    <s v="APR 20"/>
    <n v="2019.12"/>
    <s v="RMB"/>
    <s v="C49SZX20190116CX"/>
    <x v="125"/>
    <s v="YSM20R(SV)-2"/>
    <s v="R-&gt;L"/>
    <s v="No"/>
    <s v="OK"/>
    <s v="含税到厂"/>
    <d v="2019-10-22T00:00:00"/>
    <x v="0"/>
    <m/>
    <m/>
    <m/>
    <s v="C191136156"/>
    <n v="301"/>
  </r>
  <r>
    <n v="572"/>
    <x v="0"/>
    <s v="C49"/>
    <n v="109750"/>
    <s v="锘铧名义下单"/>
    <x v="3"/>
    <s v="R-&gt;L"/>
    <s v="No"/>
    <s v="Y49848"/>
    <n v="1"/>
    <s v="力合仓库有货，系统没货"/>
    <d v="2020-01-06T00:00:00"/>
    <s v="   NM(CR:0.0657)价格用PO#109750  "/>
    <s v="FEB 20"/>
    <n v="2019.12"/>
    <s v="JPY"/>
    <s v="C49SZX20200008MX"/>
    <x v="126"/>
    <s v="YSM20R(SV)-2"/>
    <s v="R-&gt;L"/>
    <s v="No"/>
    <s v="OK"/>
    <s v="CIF HK"/>
    <d v="2020-01-07T00:00:00"/>
    <x v="0"/>
    <m/>
    <m/>
    <m/>
    <s v="C161128121"/>
    <n v="302"/>
  </r>
  <r>
    <n v="632"/>
    <x v="0"/>
    <s v="C49"/>
    <n v="109750"/>
    <s v="锘铧名义下单"/>
    <x v="1"/>
    <s v="R-&gt;L"/>
    <s v="ATS15"/>
    <s v="Y49858"/>
    <n v="1"/>
    <s v="力合仓库(已经清关)"/>
    <d v="2020-01-06T00:00:00"/>
    <s v="NM(CR:0.0657）"/>
    <s v="MAY 20"/>
    <d v="1905-07-11T02:52:48"/>
    <s v="RMB"/>
    <s v="C49SZX20200055SX"/>
    <x v="20"/>
    <s v="YSM10"/>
    <s v="L-&gt;R"/>
    <s v="MVC+ATS15"/>
    <s v="WRONG"/>
    <s v="含税到厂"/>
    <d v="2020-04-20T00:00:00"/>
    <x v="0"/>
    <m/>
    <m/>
    <m/>
    <s v="C180532243"/>
    <n v="302"/>
  </r>
  <r>
    <n v="627"/>
    <x v="0"/>
    <s v="C49"/>
    <n v="109750"/>
    <s v="锘铧名义下单"/>
    <x v="1"/>
    <s v="R-&gt;L"/>
    <s v="ATS15"/>
    <s v="Y49859"/>
    <n v="1"/>
    <s v="华日仓库中转"/>
    <d v="2020-01-06T00:00:00"/>
    <s v="NM(CR:0.0657）"/>
    <s v="MAY 20"/>
    <d v="1905-07-11T02:52:48"/>
    <s v="RMB"/>
    <s v="C49SZX20200051SX"/>
    <x v="127"/>
    <s v="YSM10"/>
    <s v="L-&gt;R"/>
    <s v="MVC+ATS15"/>
    <s v="WRONG"/>
    <s v="含税到厂"/>
    <d v="2020-04-17T00:00:00"/>
    <x v="0"/>
    <m/>
    <m/>
    <m/>
    <s v="C200437240"/>
    <n v="302"/>
  </r>
  <r>
    <n v="660"/>
    <x v="0"/>
    <s v="C49"/>
    <n v="109750"/>
    <s v="锘铧名义下单"/>
    <x v="1"/>
    <s v="R-&gt;L"/>
    <s v="ATS15"/>
    <s v="Y49860"/>
    <n v="1"/>
    <s v="华日仓库中转"/>
    <d v="2020-01-06T00:00:00"/>
    <s v="NM(CR:0.0657）"/>
    <s v="JUL 20"/>
    <d v="1905-07-11T02:52:48"/>
    <s v="RMB"/>
    <s v="C49SZX20200062SS"/>
    <x v="128"/>
    <s v="YSM10"/>
    <s v="R-&gt;L"/>
    <s v="MVC+ATS15"/>
    <s v="WRONG"/>
    <s v="含税到厂"/>
    <d v="2020-06-09T00:00:00"/>
    <x v="0"/>
    <m/>
    <m/>
    <m/>
    <s v="C180832783"/>
    <n v="302"/>
  </r>
  <r>
    <n v="521"/>
    <x v="0"/>
    <s v="C49"/>
    <n v="109750"/>
    <s v="锘铧名义下单"/>
    <x v="3"/>
    <s v="L-&gt;R"/>
    <s v="No"/>
    <s v="Y49850"/>
    <n v="1"/>
    <s v="盐保仓库"/>
    <d v="2020-01-06T00:00:00"/>
    <s v="NM(CR:0.0657）"/>
    <s v="JAN 20"/>
    <n v="2019.12"/>
    <s v="JPY"/>
    <s v="C49SZX20190167SS"/>
    <x v="129"/>
    <s v="YSM20R(SV)-2"/>
    <s v="L-&gt;R"/>
    <s v="No"/>
    <s v="OK"/>
    <s v="DAP SZ"/>
    <d v="2019-11-29T00:00:00"/>
    <x v="0"/>
    <m/>
    <m/>
    <m/>
    <s v="C191236378"/>
    <n v="311"/>
  </r>
  <r>
    <n v="522"/>
    <x v="0"/>
    <s v="C49"/>
    <n v="109750"/>
    <s v="锘铧名义下单"/>
    <x v="3"/>
    <s v="L-&gt;R"/>
    <s v="No"/>
    <s v="Y49851"/>
    <n v="1"/>
    <s v="盐保仓库"/>
    <d v="2020-01-06T00:00:00"/>
    <s v="NM(CR:0.0657）"/>
    <s v="JAN 20"/>
    <n v="2019.12"/>
    <s v="JPY"/>
    <s v="C49SZX20190167SS"/>
    <x v="129"/>
    <s v="YSM20R(SV)-2"/>
    <s v="L-&gt;R"/>
    <s v="No"/>
    <s v="OK"/>
    <s v="DAP SZ"/>
    <d v="2019-11-29T00:00:00"/>
    <x v="0"/>
    <m/>
    <m/>
    <m/>
    <s v="C191236378"/>
    <n v="311"/>
  </r>
  <r>
    <n v="586"/>
    <x v="0"/>
    <s v="C49"/>
    <n v="109750"/>
    <s v="锘铧名义下单"/>
    <x v="3"/>
    <s v="L-&gt;R"/>
    <s v="No"/>
    <s v="Y49852"/>
    <n v="1"/>
    <s v="盐保仓库"/>
    <d v="2020-01-06T00:00:00"/>
    <s v="NM(CR:0.0657）"/>
    <s v="MAR 20"/>
    <n v="2019.12"/>
    <s v="JPY"/>
    <s v="C49SZX20200021SS"/>
    <x v="130"/>
    <s v="YSM20R(SV)-2"/>
    <s v="L-&gt;R"/>
    <s v="No"/>
    <s v="OK"/>
    <s v="DAP SZ"/>
    <d v="2020-03-02T00:00:00"/>
    <x v="0"/>
    <m/>
    <m/>
    <m/>
    <s v="C200336874"/>
    <n v="311"/>
  </r>
  <r>
    <n v="540"/>
    <x v="0"/>
    <s v="C49"/>
    <n v="109750"/>
    <s v="锘铧名义下单"/>
    <x v="1"/>
    <s v="R-&gt;L"/>
    <s v="ATS15"/>
    <s v="Y49856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+ATS15"/>
    <s v="WRONG"/>
    <s v="CIF HK"/>
    <d v="2019-12-11T00:00:00"/>
    <x v="0"/>
    <m/>
    <m/>
    <m/>
    <s v="C191236445"/>
    <n v="301"/>
  </r>
  <r>
    <n v="595"/>
    <x v="0"/>
    <s v="C49"/>
    <n v="109750"/>
    <s v="锘铧名义下单"/>
    <x v="1"/>
    <s v="R-&gt;L"/>
    <s v="ATS15"/>
    <s v="Y49857"/>
    <n v="1"/>
    <s v="盐保仓库"/>
    <d v="2020-01-06T00:00:00"/>
    <s v="NM(CR:0.0657）"/>
    <s v="APR 20"/>
    <d v="1905-07-11T02:52:48"/>
    <s v="RMB"/>
    <s v="C49SZX20200027JY"/>
    <x v="23"/>
    <s v="YSM10"/>
    <s v="L-&gt;R"/>
    <s v="MVC+ATS15"/>
    <s v="WRONG"/>
    <s v="DAP DG"/>
    <d v="2020-03-16T00:00:00"/>
    <x v="0"/>
    <m/>
    <m/>
    <m/>
    <s v="C190434453"/>
    <n v="302"/>
  </r>
  <r>
    <n v="528"/>
    <x v="0"/>
    <s v="C49"/>
    <n v="109749"/>
    <s v="锘铧名义下单"/>
    <x v="3"/>
    <s v="R-&gt;L"/>
    <s v="No"/>
    <s v="Y49837"/>
    <n v="1"/>
    <s v="盐保仓库"/>
    <d v="2020-01-06T00:00:00"/>
    <n v="6.54E-2"/>
    <s v="MAR 20"/>
    <n v="2019.12"/>
    <s v="JPY"/>
    <s v="C49SZX20190160R1ZX"/>
    <x v="132"/>
    <s v="YSM20R(SV)-2"/>
    <s v="R-&gt;L"/>
    <s v="MVC"/>
    <s v="WRONG"/>
    <s v="DAP HZ"/>
    <d v="2019-12-02T00:00:00"/>
    <x v="0"/>
    <m/>
    <m/>
    <m/>
    <s v="C180933045"/>
    <n v="301"/>
  </r>
  <r>
    <n v="516"/>
    <x v="0"/>
    <s v="C49"/>
    <n v="109749"/>
    <s v="锘铧名义下单"/>
    <x v="3"/>
    <s v="R-&gt;L"/>
    <s v="No"/>
    <s v="Y49838"/>
    <n v="1"/>
    <s v="盐保仓库"/>
    <d v="2020-01-06T00:00:00"/>
    <n v="6.54E-2"/>
    <s v="JAN 20"/>
    <n v="2019.12"/>
    <s v="JPY"/>
    <s v="C49SZX20190169MZ"/>
    <x v="133"/>
    <s v="YSM20R(SV)-2"/>
    <s v="R-&gt;L"/>
    <s v="No"/>
    <s v="OK"/>
    <s v="CIF HK"/>
    <d v="2019-11-21T00:00:00"/>
    <x v="0"/>
    <m/>
    <m/>
    <m/>
    <s v="C191236282"/>
    <n v="301"/>
  </r>
  <r>
    <n v="475"/>
    <x v="0"/>
    <s v="C49"/>
    <n v="109749"/>
    <s v="锘铧名义下单"/>
    <x v="1"/>
    <s v="R-&gt;L"/>
    <s v="ATS15"/>
    <s v="Y49853"/>
    <n v="1"/>
    <s v="盐保仓库"/>
    <d v="2020-01-06T00:00:00"/>
    <s v="NM(CR:0.0657）（价格用PO#109750)"/>
    <s v="FEB 20"/>
    <d v="1905-07-11T02:52:48"/>
    <s v="JPY"/>
    <s v="C49SZX20190156-2ZX"/>
    <x v="89"/>
    <s v="YSM10"/>
    <s v="R-&gt;L"/>
    <s v="MVC+ATS15"/>
    <s v="WRONG"/>
    <s v="DAP GZ"/>
    <d v="2019-11-05T00:00:00"/>
    <x v="0"/>
    <m/>
    <m/>
    <m/>
    <s v="IND order "/>
    <n v="301"/>
  </r>
  <r>
    <n v="538"/>
    <x v="0"/>
    <s v="C49"/>
    <n v="109749"/>
    <s v="锘铧名义下单"/>
    <x v="1"/>
    <s v="R-&gt;L"/>
    <s v="ATS15"/>
    <s v="Y49854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+ATS15"/>
    <s v="WRONG"/>
    <s v="CIF HK"/>
    <d v="2019-12-11T00:00:00"/>
    <x v="0"/>
    <m/>
    <m/>
    <m/>
    <s v="C191236445"/>
    <n v="301"/>
  </r>
  <r>
    <n v="539"/>
    <x v="0"/>
    <s v="C49"/>
    <n v="109749"/>
    <s v="锘铧名义下单"/>
    <x v="1"/>
    <s v="R-&gt;L"/>
    <s v="ATS15"/>
    <s v="Y49855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+ATS15"/>
    <s v="WRONG"/>
    <s v="CIF HK"/>
    <d v="2019-12-11T00:00:00"/>
    <x v="0"/>
    <m/>
    <m/>
    <m/>
    <s v="C191236445"/>
    <n v="301"/>
  </r>
  <r>
    <n v="546"/>
    <x v="0"/>
    <s v="C49"/>
    <n v="109750"/>
    <s v="锘铧名义下单"/>
    <x v="3"/>
    <s v="L-&gt;R"/>
    <s v="No"/>
    <s v="Y49843"/>
    <n v="1"/>
    <s v="盐保仓库"/>
    <d v="2020-01-06T00:00:00"/>
    <s v="NM(CR:0.0657）"/>
    <s v="JAN 20"/>
    <n v="2019.12"/>
    <s v="JPY"/>
    <s v="C49SZX20190182JL"/>
    <x v="134"/>
    <s v="YSM20R(SV)-2"/>
    <s v="L-&gt;R"/>
    <s v="No"/>
    <s v="OK"/>
    <s v="CIF HK"/>
    <d v="2020-01-06T00:00:00"/>
    <x v="0"/>
    <m/>
    <m/>
    <m/>
    <s v="C191236443"/>
    <n v="301"/>
  </r>
  <r>
    <n v="547"/>
    <x v="0"/>
    <s v="C49"/>
    <n v="109750"/>
    <s v="锘铧名义下单"/>
    <x v="3"/>
    <s v="L-&gt;R"/>
    <s v="No"/>
    <s v="Y49844"/>
    <n v="1"/>
    <s v="盐保仓库"/>
    <d v="2020-01-06T00:00:00"/>
    <s v="NM(CR:0.0657）"/>
    <s v="JAN 20"/>
    <n v="2019.12"/>
    <s v="JPY"/>
    <s v="C49SZX20190182JL"/>
    <x v="134"/>
    <s v="YSM20R(SV)-2"/>
    <s v="L-&gt;R"/>
    <s v="No"/>
    <s v="OK"/>
    <s v="CIF HK"/>
    <d v="2020-01-06T00:00:00"/>
    <x v="0"/>
    <m/>
    <m/>
    <m/>
    <s v="C191236443"/>
    <n v="303"/>
  </r>
  <r>
    <n v="545"/>
    <x v="0"/>
    <s v="C49"/>
    <n v="109750"/>
    <s v="锘铧名义下单"/>
    <x v="3"/>
    <s v="R-&gt;L"/>
    <s v="No"/>
    <s v="Y49845"/>
    <n v="1"/>
    <s v="盐保仓库"/>
    <d v="2020-01-06T00:00:00"/>
    <s v="NM(CR:0.0657）"/>
    <s v="JAN 20"/>
    <n v="2019.12"/>
    <s v="JPY"/>
    <s v="C49SZX20190182JL"/>
    <x v="134"/>
    <s v="YSM20R(SV)-2"/>
    <s v="R-&gt;L"/>
    <s v="No"/>
    <s v="OK"/>
    <s v="CIF HK"/>
    <d v="2020-01-06T00:00:00"/>
    <x v="0"/>
    <m/>
    <m/>
    <m/>
    <s v="C191236443"/>
    <n v="304"/>
  </r>
  <r>
    <n v="478"/>
    <x v="0"/>
    <s v="C49"/>
    <n v="109750"/>
    <s v="锘铧名义下单"/>
    <x v="3"/>
    <s v="R-&gt;L"/>
    <s v="No"/>
    <s v="Y49846"/>
    <n v="1"/>
    <s v="盐保仓库"/>
    <d v="2020-01-06T00:00:00"/>
    <s v="NM(CR:0.0657）"/>
    <s v="FEB 20"/>
    <n v="2019.12"/>
    <s v="JPY"/>
    <s v="C49SZX20190156-2ZX"/>
    <x v="89"/>
    <s v="YSM20R(SV)-2"/>
    <s v="R-&gt;L"/>
    <s v="No"/>
    <s v="OK"/>
    <s v="DAP GZ"/>
    <d v="2019-11-05T00:00:00"/>
    <x v="0"/>
    <m/>
    <m/>
    <m/>
    <s v="IND order "/>
    <n v="304"/>
  </r>
  <r>
    <n v="479"/>
    <x v="0"/>
    <s v="C49"/>
    <n v="109750"/>
    <s v="锘铧名义下单"/>
    <x v="3"/>
    <s v="R-&gt;L"/>
    <s v="No"/>
    <s v="Y49847"/>
    <n v="1"/>
    <s v="盐保仓库"/>
    <d v="2020-01-06T00:00:00"/>
    <s v="NM(CR:0.0657）"/>
    <s v="FEB 20"/>
    <n v="2019.12"/>
    <s v="JPY"/>
    <s v="C49SZX20190156-2ZX"/>
    <x v="89"/>
    <s v="YSM20R(SV)-2"/>
    <s v="R-&gt;L"/>
    <s v="No"/>
    <s v="OK"/>
    <s v="DAP GZ"/>
    <d v="2019-11-05T00:00:00"/>
    <x v="0"/>
    <m/>
    <m/>
    <m/>
    <s v="IND order "/>
    <n v="302"/>
  </r>
  <r>
    <n v="548"/>
    <x v="0"/>
    <s v="C49"/>
    <n v="109759"/>
    <s v="灿明名义下单"/>
    <x v="1"/>
    <s v="R-&gt;L"/>
    <s v="No"/>
    <s v="Y49987"/>
    <n v="1"/>
    <s v="盐保仓库"/>
    <d v="2020-01-06T00:00:00"/>
    <n v="6.54E-2"/>
    <s v="JAN 20"/>
    <d v="1905-07-11T02:52:48"/>
    <s v="JPY"/>
    <s v="C49SZX20190182JL"/>
    <x v="134"/>
    <s v="YSM10"/>
    <s v="L-&gt;R"/>
    <s v="MVC"/>
    <s v="WRONG"/>
    <s v="CIF HK"/>
    <d v="2020-01-06T00:00:00"/>
    <x v="0"/>
    <m/>
    <m/>
    <m/>
    <s v="C191236443"/>
    <n v="301"/>
  </r>
  <r>
    <n v="560"/>
    <x v="0"/>
    <s v="C49"/>
    <n v="109759"/>
    <s v="灿明名义下单"/>
    <x v="1"/>
    <s v="R-&gt;L"/>
    <s v="No"/>
    <s v="Y49988"/>
    <n v="1"/>
    <s v="盐保仓库"/>
    <d v="2020-01-06T00:00:00"/>
    <n v="6.54E-2"/>
    <s v="JAN 20"/>
    <d v="1905-07-11T02:52:48"/>
    <s v="RMB"/>
    <s v="C49SZX20190033SX"/>
    <x v="135"/>
    <s v="YSM10"/>
    <s v="R-&gt;L"/>
    <s v="No"/>
    <s v="OK"/>
    <s v="含税到厂"/>
    <d v="2019-12-23T00:00:00"/>
    <x v="0"/>
    <m/>
    <m/>
    <m/>
    <s v="C190835365"/>
    <n v="301"/>
  </r>
  <r>
    <n v="562"/>
    <x v="0"/>
    <s v="C49"/>
    <n v="109759"/>
    <s v="灿明名义下单"/>
    <x v="1"/>
    <s v="R-&gt;L"/>
    <s v="No"/>
    <s v="Y49989"/>
    <n v="1"/>
    <s v="盐保仓库"/>
    <d v="2020-01-06T00:00:00"/>
    <n v="6.54E-2"/>
    <s v="JAN 20"/>
    <d v="1905-07-11T02:52:48"/>
    <s v="JPY"/>
    <s v="C49SZX20190192MZ"/>
    <x v="122"/>
    <s v="YSM10"/>
    <s v="R-&gt;L"/>
    <s v="MVC"/>
    <s v="WRONG"/>
    <s v="CIF HK"/>
    <d v="2019-12-24T00:00:00"/>
    <x v="0"/>
    <m/>
    <m/>
    <m/>
    <s v="C180331587"/>
    <n v="301"/>
  </r>
  <r>
    <n v="541"/>
    <x v="0"/>
    <s v="C49"/>
    <n v="109759"/>
    <s v="灿明名义下单"/>
    <x v="1"/>
    <s v="R-&gt;L"/>
    <s v="No"/>
    <s v="Y49991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"/>
    <s v="WRONG"/>
    <s v="CIF HK"/>
    <d v="2019-12-11T00:00:00"/>
    <x v="0"/>
    <m/>
    <m/>
    <m/>
    <s v="C191236445"/>
    <n v="301"/>
  </r>
  <r>
    <n v="607"/>
    <x v="0"/>
    <s v="C49"/>
    <n v="109749"/>
    <s v="锘铧名义下单"/>
    <x v="3"/>
    <s v="R-&gt;L"/>
    <s v="No"/>
    <s v="Y49840"/>
    <n v="1"/>
    <s v="盐保仓库"/>
    <d v="2020-01-06T00:00:00"/>
    <n v="6.54E-2"/>
    <s v="APR 20"/>
    <n v="2019.12"/>
    <s v="JPY"/>
    <s v="C49SZX20200040MZ"/>
    <x v="90"/>
    <s v="YSM20R(SV)-2"/>
    <s v="R-&gt;L"/>
    <s v="No"/>
    <s v="OK"/>
    <s v="CIF HK"/>
    <d v="2020-03-28T00:00:00"/>
    <x v="0"/>
    <m/>
    <m/>
    <m/>
    <s v="C190635053"/>
    <n v="301"/>
  </r>
  <r>
    <n v="613"/>
    <x v="0"/>
    <s v="C49"/>
    <n v="109749"/>
    <s v="锘铧名义下单"/>
    <x v="3"/>
    <s v="R-&gt;L"/>
    <s v="No"/>
    <s v="Y49841"/>
    <n v="1"/>
    <s v="盐保仓库"/>
    <d v="2020-01-06T00:00:00"/>
    <n v="6.54E-2"/>
    <s v="APR 20"/>
    <n v="2019.12"/>
    <s v="RMB"/>
    <s v="C49SZX20200041JY"/>
    <x v="136"/>
    <s v="YSM20R(SV)-2"/>
    <s v="R-&gt;L"/>
    <s v="No"/>
    <s v="OK"/>
    <s v="含税到厂"/>
    <d v="2020-04-02T00:00:00"/>
    <x v="0"/>
    <m/>
    <m/>
    <m/>
    <s v="C200437154"/>
    <n v="301"/>
  </r>
  <r>
    <n v="542"/>
    <x v="0"/>
    <s v="C49"/>
    <n v="109762"/>
    <s v="灿明名义下单"/>
    <x v="1"/>
    <s v="R-&gt;L"/>
    <s v="No"/>
    <s v="Y49992"/>
    <n v="1"/>
    <s v="盐保仓库"/>
    <d v="2020-02-01T00:00:00"/>
    <s v="NM（价格用PO#109783)"/>
    <s v="FEB 20"/>
    <d v="1905-07-12T00:14:24"/>
    <s v="JPY"/>
    <s v="C49SZX20190141SS"/>
    <x v="131"/>
    <s v="YSM10"/>
    <s v="L-&gt;R"/>
    <s v="MVC"/>
    <s v="WRONG"/>
    <s v="CIF HK"/>
    <d v="2019-12-11T00:00:00"/>
    <x v="0"/>
    <m/>
    <m/>
    <m/>
    <s v="C191236445"/>
    <n v="302"/>
  </r>
  <r>
    <n v="587"/>
    <x v="0"/>
    <s v="C49"/>
    <n v="109762"/>
    <s v="灿明名义下单"/>
    <x v="1"/>
    <s v="R-&gt;L"/>
    <s v="No"/>
    <s v="Y49993"/>
    <n v="1"/>
    <s v="盐保仓库"/>
    <d v="2020-02-01T00:00:00"/>
    <n v="6.54E-2"/>
    <s v="MAR 20"/>
    <d v="1905-07-12T00:14:24"/>
    <s v="JPY"/>
    <s v="C49SZX20200020SS"/>
    <x v="111"/>
    <s v="YSM10"/>
    <s v="L-&gt;R"/>
    <s v="MVC"/>
    <s v="WRONG"/>
    <s v="DAP SZ"/>
    <d v="2020-03-06T00:00:00"/>
    <x v="0"/>
    <m/>
    <m/>
    <m/>
    <s v="C190935522"/>
    <n v="302"/>
  </r>
  <r>
    <n v="581"/>
    <x v="0"/>
    <s v="C49"/>
    <n v="109762"/>
    <s v="灿明名义下单"/>
    <x v="1"/>
    <s v="R-&gt;L"/>
    <s v="No"/>
    <s v="Y49994"/>
    <n v="1"/>
    <s v="盐保仓库"/>
    <d v="2020-02-01T00:00:00"/>
    <n v="6.54E-2"/>
    <s v="MAR 20"/>
    <d v="1905-07-12T00:14:24"/>
    <s v="JPY"/>
    <s v="C49SZX20200016SX"/>
    <x v="137"/>
    <s v="YSM10"/>
    <s v="L-&gt;R"/>
    <s v="No"/>
    <s v="WRONG"/>
    <s v="DAP SZ"/>
    <d v="2020-01-15T00:00:00"/>
    <x v="0"/>
    <m/>
    <m/>
    <m/>
    <s v="C200235776"/>
    <n v="302"/>
  </r>
  <r>
    <n v="573"/>
    <x v="0"/>
    <s v="C49"/>
    <n v="109762"/>
    <s v="灿明名义下单"/>
    <x v="1"/>
    <s v="R-&gt;L"/>
    <s v="No"/>
    <s v="Y49995"/>
    <n v="1"/>
    <s v="盐保仓库"/>
    <d v="2020-02-01T00:00:00"/>
    <n v="6.54E-2"/>
    <s v="FEB 20"/>
    <d v="1905-07-12T00:14:24"/>
    <s v="JPY"/>
    <s v="C49SZX20200008MX"/>
    <x v="126"/>
    <s v="YSM10"/>
    <s v="R-&gt;L"/>
    <s v="MVC"/>
    <s v="WRONG"/>
    <s v="CIF HK"/>
    <d v="2020-01-07T00:00:00"/>
    <x v="0"/>
    <m/>
    <m/>
    <m/>
    <s v="C191136234"/>
    <n v="302"/>
  </r>
  <r>
    <n v="576"/>
    <x v="0"/>
    <s v="C49"/>
    <n v="109774"/>
    <s v="Special package"/>
    <x v="3"/>
    <s v="L-&gt;R"/>
    <s v="No"/>
    <s v="Y50067"/>
    <n v="1"/>
    <s v="力合仓库(已经清关)"/>
    <d v="2020-02-05T00:00:00"/>
    <s v="NM   (CR :0.0662) 价格用PO#109705"/>
    <s v="MAR 20"/>
    <n v="2020.01"/>
    <s v="RMB"/>
    <s v="C49SZX20200010DZ"/>
    <x v="138"/>
    <s v="YSM20R(SV)-2"/>
    <s v="L-&gt;R"/>
    <s v="No"/>
    <s v="OK"/>
    <s v="含税到厂"/>
    <d v="2020-01-09T00:00:00"/>
    <x v="0"/>
    <m/>
    <m/>
    <m/>
    <s v="C200136594"/>
    <n v="311"/>
  </r>
  <r>
    <n v="575"/>
    <x v="0"/>
    <s v="C49"/>
    <n v="109775"/>
    <s v="Special package"/>
    <x v="3"/>
    <s v="L-&gt;R"/>
    <s v="No"/>
    <s v="Y50068"/>
    <n v="1"/>
    <s v="力合仓库(已经清关)"/>
    <d v="2020-02-05T00:00:00"/>
    <n v="6.4600000000000005E-2"/>
    <s v="MAR 20"/>
    <n v="2020.01"/>
    <s v="RMB"/>
    <s v="C49SZX20200010DZ"/>
    <x v="138"/>
    <s v="YSM20R(SV)-2"/>
    <s v="L-&gt;R"/>
    <s v="No"/>
    <s v="OK"/>
    <s v="含税到厂"/>
    <d v="2020-01-09T00:00:00"/>
    <x v="0"/>
    <m/>
    <m/>
    <m/>
    <s v="C200136594"/>
    <n v="301"/>
  </r>
  <r>
    <n v="551"/>
    <x v="0"/>
    <s v="C49"/>
    <n v="109774"/>
    <s v="Special package"/>
    <x v="1"/>
    <s v="R-&gt;L"/>
    <s v="No"/>
    <s v="Y50211"/>
    <n v="1"/>
    <s v="盐保仓库"/>
    <d v="2020-02-05T00:00:00"/>
    <s v="NM(CR:0.0655）"/>
    <s v="FEB 20"/>
    <d v="1905-07-12T00:14:24"/>
    <s v="JPY"/>
    <s v="FS20191216"/>
    <x v="139"/>
    <s v="YSM10"/>
    <s v="R-&gt;L"/>
    <s v="MVC"/>
    <s v="WRONG"/>
    <s v="CIF HK"/>
    <d v="2019-12-16T00:00:00"/>
    <x v="0"/>
    <m/>
    <m/>
    <m/>
    <s v="C190835342"/>
    <n v="301"/>
  </r>
  <r>
    <n v="582"/>
    <x v="0"/>
    <s v="C49"/>
    <n v="109774"/>
    <s v="Special package"/>
    <x v="1"/>
    <s v="R-&gt;L"/>
    <s v="No"/>
    <s v="Y50212"/>
    <n v="1"/>
    <s v="盐保仓库"/>
    <d v="2020-02-05T00:00:00"/>
    <s v="NM(CR:0.0655）"/>
    <s v="MAR 20"/>
    <d v="1905-07-12T00:14:24"/>
    <s v="JPY"/>
    <s v="C49SZX20200016SX"/>
    <x v="137"/>
    <s v="YSM10"/>
    <s v="R-&gt;L"/>
    <s v="No"/>
    <s v="OK"/>
    <s v="DAP SZ"/>
    <d v="2020-01-15T00:00:00"/>
    <x v="0"/>
    <m/>
    <m/>
    <m/>
    <s v="C200235776"/>
    <n v="301"/>
  </r>
  <r>
    <n v="566"/>
    <x v="0"/>
    <s v="C49"/>
    <n v="109775"/>
    <s v="Special package"/>
    <x v="3"/>
    <s v="L-&gt;R"/>
    <s v="No"/>
    <s v="Y50069"/>
    <n v="1"/>
    <s v="盐保仓库"/>
    <d v="2020-02-05T00:00:00"/>
    <n v="6.4600000000000005E-2"/>
    <s v="MAR 20"/>
    <n v="2020.01"/>
    <s v="JPY"/>
    <s v="C49SZX20200002MZ"/>
    <x v="140"/>
    <s v="YSM20R(SV)-2"/>
    <s v="L-&gt;R"/>
    <s v="No"/>
    <s v="OK"/>
    <s v="DAP DG"/>
    <d v="2020-01-02T00:00:00"/>
    <x v="0"/>
    <m/>
    <m/>
    <m/>
    <s v="C200136544"/>
    <n v="301"/>
  </r>
  <r>
    <n v="641"/>
    <x v="0"/>
    <s v="C49"/>
    <n v="109775"/>
    <s v="Special package"/>
    <x v="3"/>
    <s v="L-&gt;R"/>
    <s v="No"/>
    <s v="Y50071"/>
    <n v="1"/>
    <s v="力合中转仓"/>
    <d v="2020-02-05T00:00:00"/>
    <s v="NM(CR:0.0672)"/>
    <s v="MAY 20"/>
    <n v="2020.01"/>
    <s v="JPY"/>
    <s v="C49SZX20200056MZ"/>
    <x v="84"/>
    <s v="YSM20R(SV)-2"/>
    <s v="L-&gt;R"/>
    <s v="No"/>
    <s v="OK"/>
    <s v="DAP SZ"/>
    <d v="2020-04-29T00:00:00"/>
    <x v="0"/>
    <m/>
    <m/>
    <m/>
    <s v="C170629716"/>
    <n v="301"/>
  </r>
  <r>
    <n v="618"/>
    <x v="0"/>
    <s v="C49"/>
    <n v="109775"/>
    <s v="Special package"/>
    <x v="3"/>
    <s v="L-&gt;R"/>
    <s v="No"/>
    <s v="Y50072"/>
    <n v="1"/>
    <s v="力合仓库(已经清关)"/>
    <d v="2020-02-05T00:00:00"/>
    <n v="6.4600000000000005E-2"/>
    <s v="APR 20"/>
    <n v="2020.01"/>
    <s v="RMB"/>
    <s v="C49SZX20200050SX"/>
    <x v="108"/>
    <s v="YSM20R(SV)-2"/>
    <s v="L-&gt;R"/>
    <s v="No"/>
    <s v="OK"/>
    <s v="含税到厂"/>
    <d v="2020-04-17T00:00:00"/>
    <x v="0"/>
    <m/>
    <m/>
    <m/>
    <s v="C170930284"/>
    <n v="303"/>
  </r>
  <r>
    <n v="594"/>
    <x v="0"/>
    <s v="C49"/>
    <n v="109775"/>
    <s v="Special package"/>
    <x v="3"/>
    <s v="L-&gt;R"/>
    <s v="No"/>
    <s v="Y50073"/>
    <n v="1"/>
    <s v="盐保仓库"/>
    <d v="2020-02-05T00:00:00"/>
    <n v="6.4600000000000005E-2"/>
    <s v="APR 20"/>
    <n v="2020.01"/>
    <s v="RMB"/>
    <s v="C49SZX20200027JY"/>
    <x v="23"/>
    <s v="YSM20R(SV)-2"/>
    <s v="L-&gt;R"/>
    <s v="No"/>
    <s v="OK"/>
    <s v="DAP DG"/>
    <d v="2020-03-16T00:00:00"/>
    <x v="0"/>
    <m/>
    <m/>
    <m/>
    <s v="C190434453"/>
    <n v="302"/>
  </r>
  <r>
    <n v="628"/>
    <x v="0"/>
    <s v="C49"/>
    <n v="109775"/>
    <s v="Special package"/>
    <x v="3"/>
    <s v="L-&gt;R"/>
    <s v="No"/>
    <s v="Y50070"/>
    <n v="1"/>
    <s v="华日仓库中转"/>
    <d v="2020-02-05T00:00:00"/>
    <n v="6.4600000000000005E-2"/>
    <s v="MAY 20"/>
    <n v="2020.01"/>
    <s v="RMB"/>
    <s v="C49SZX20200051SX"/>
    <x v="127"/>
    <s v="YSM20R(SV)-2"/>
    <s v="L-&gt;R"/>
    <s v="No"/>
    <s v="OK"/>
    <s v="含税到厂"/>
    <d v="2020-04-17T00:00:00"/>
    <x v="0"/>
    <m/>
    <m/>
    <m/>
    <s v="C200437240"/>
    <n v="301"/>
  </r>
  <r>
    <n v="600"/>
    <x v="0"/>
    <s v="C49"/>
    <n v="109774"/>
    <s v="Special package"/>
    <x v="3"/>
    <s v="L-&gt;R"/>
    <s v="cATS10+MVC+special layout"/>
    <s v="Y50210"/>
    <n v="1"/>
    <s v="盐保仓库"/>
    <d v="2020-02-05T00:00:00"/>
    <s v="NM(CR:0.0655）"/>
    <s v="APR 20"/>
    <n v="2020.01"/>
    <s v="JPY"/>
    <s v="C49SZX20200030SX"/>
    <x v="141"/>
    <s v="YSM20R(SV)-2"/>
    <s v="L-&gt;R"/>
    <s v="cATS10+MVC+special layout"/>
    <s v="OK"/>
    <s v="DAP DG"/>
    <d v="2020-03-21T00:00:00"/>
    <x v="0"/>
    <m/>
    <m/>
    <m/>
    <s v="C171030531"/>
    <n v="312"/>
  </r>
  <r>
    <n v="533"/>
    <x v="0"/>
    <s v="C49"/>
    <n v="109782"/>
    <s v="博睿通名义下单"/>
    <x v="3"/>
    <s v="L-&gt;R"/>
    <s v="No"/>
    <s v="Y50417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4"/>
    <x v="0"/>
    <s v="C49"/>
    <n v="109782"/>
    <s v="博睿通名义下单"/>
    <x v="3"/>
    <s v="L-&gt;R"/>
    <s v="No"/>
    <s v="Y50418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5"/>
    <x v="0"/>
    <s v="C49"/>
    <n v="109782"/>
    <s v="博睿通名义下单"/>
    <x v="3"/>
    <s v="L-&gt;R"/>
    <s v="No"/>
    <s v="Y50419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6"/>
    <x v="0"/>
    <s v="C49"/>
    <n v="109782"/>
    <s v="博睿通名义下单"/>
    <x v="3"/>
    <s v="L-&gt;R"/>
    <s v="No"/>
    <s v="Y50420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7"/>
    <x v="0"/>
    <s v="C49"/>
    <n v="109782"/>
    <s v="博睿通名义下单"/>
    <x v="3"/>
    <s v="R-&gt;L"/>
    <s v="No"/>
    <s v="Y50421"/>
    <n v="1"/>
    <s v="码头"/>
    <d v="2020-02-16T00:00:00"/>
    <s v="NM(CR:0.0655）"/>
    <s v="FEB 20"/>
    <n v="2020.01"/>
    <s v="JPY"/>
    <s v="C49SZX20190141SS"/>
    <x v="131"/>
    <s v="YSM20R(SV)-2"/>
    <s v="R-&gt;L"/>
    <s v="No"/>
    <s v="OK"/>
    <s v="CIF HK"/>
    <d v="2019-12-11T00:00:00"/>
    <x v="0"/>
    <m/>
    <m/>
    <m/>
    <s v="IND order "/>
    <n v="301"/>
  </r>
  <r>
    <n v="543"/>
    <x v="0"/>
    <s v="C49"/>
    <n v="109714"/>
    <s v="Pro-tec"/>
    <x v="1"/>
    <s v="R-&gt;L"/>
    <s v="MVC"/>
    <s v="Y49831"/>
    <n v="1"/>
    <s v="码头"/>
    <d v="2020-02-22T00:00:00"/>
    <s v="NM（价格用PO#109783)"/>
    <s v="FEB 20"/>
    <m/>
    <s v="JPY"/>
    <s v="C49SZX20190141SS"/>
    <x v="131"/>
    <s v="YSM10"/>
    <s v="R-&gt;L"/>
    <s v="MVC"/>
    <s v="OK"/>
    <s v="CIF HK"/>
    <d v="2019-12-11T00:00:00"/>
    <x v="0"/>
    <m/>
    <m/>
    <m/>
    <s v="C191236445"/>
    <n v="303"/>
  </r>
  <r>
    <n v="471"/>
    <x v="0"/>
    <s v="C49"/>
    <n v="109815"/>
    <s v="Stock order"/>
    <x v="1"/>
    <s v="R-&gt;L"/>
    <s v="No"/>
    <s v="Y50773"/>
    <n v="1"/>
    <s v="力合仓库(已经清关)"/>
    <d v="2020-03-11T00:00:00"/>
    <s v="0.0654（价格用PO#109723)"/>
    <s v="APR 20"/>
    <d v="1905-07-12T00:28:48"/>
    <s v="RMB"/>
    <s v="C49SZX20190116CX"/>
    <x v="125"/>
    <s v="YSM10"/>
    <s v="R-&gt;L"/>
    <s v="MVC"/>
    <s v="WRONG"/>
    <s v="含税到厂"/>
    <d v="2019-10-22T00:00:00"/>
    <x v="0"/>
    <m/>
    <m/>
    <m/>
    <s v="C191136156"/>
    <n v="301"/>
  </r>
  <r>
    <n v="558"/>
    <x v="0"/>
    <s v="C49"/>
    <n v="109793"/>
    <s v="耕创名义下单"/>
    <x v="0"/>
    <s v="R-&gt;L"/>
    <s v="No"/>
    <s v="Y50496"/>
    <n v="1"/>
    <s v="力合仓库(已经清关)"/>
    <d v="2020-03-11T00:00:00"/>
    <n v="6.4000000000000001E-2"/>
    <s v="MAR 20"/>
    <d v="1905-07-12T00:28:48"/>
    <s v="RMB"/>
    <s v="C49SZX20190186SS"/>
    <x v="2"/>
    <s v="YSM40R-4"/>
    <s v="R-&gt;L"/>
    <s v="No"/>
    <s v="OK"/>
    <s v="含税到厂"/>
    <d v="2019-12-19T00:00:00"/>
    <x v="0"/>
    <m/>
    <m/>
    <m/>
    <s v="C191035971"/>
    <m/>
  </r>
  <r>
    <n v="559"/>
    <x v="0"/>
    <s v="C49"/>
    <n v="109793"/>
    <s v="耕创名义下单"/>
    <x v="0"/>
    <s v="R-&gt;L"/>
    <s v="No"/>
    <s v="Y50497"/>
    <n v="1"/>
    <s v="力合仓库(已经清关)"/>
    <d v="2020-03-11T00:00:00"/>
    <n v="6.4000000000000001E-2"/>
    <s v="MAR 20"/>
    <d v="1905-07-12T00:28:48"/>
    <s v="RMB"/>
    <s v="C49SZX20190186SS"/>
    <x v="2"/>
    <s v="YSM40R-4"/>
    <s v="R-&gt;L"/>
    <s v="No"/>
    <s v="OK"/>
    <s v="含税到厂"/>
    <d v="2019-12-19T00:00:00"/>
    <x v="0"/>
    <m/>
    <m/>
    <m/>
    <s v="C191035971"/>
    <m/>
  </r>
  <r>
    <n v="591"/>
    <x v="0"/>
    <s v="C49"/>
    <n v="109815"/>
    <s v="Stock order"/>
    <x v="1"/>
    <s v="R-&gt;L"/>
    <s v="No"/>
    <s v="Y50769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92"/>
    <x v="0"/>
    <s v="C49"/>
    <n v="109815"/>
    <s v="Stock order"/>
    <x v="1"/>
    <s v="R-&gt;L"/>
    <s v="No"/>
    <s v="Y50770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89"/>
    <x v="0"/>
    <s v="C49"/>
    <n v="109815"/>
    <s v="Stock order"/>
    <x v="1"/>
    <s v="R-&gt;L"/>
    <s v="No"/>
    <s v="Y50771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90"/>
    <x v="0"/>
    <s v="C49"/>
    <n v="109815"/>
    <s v="Stock order"/>
    <x v="1"/>
    <s v="R-&gt;L"/>
    <s v="No"/>
    <s v="Y50772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49"/>
    <x v="0"/>
    <s v="C49"/>
    <n v="109794"/>
    <s v="龙大名义下单"/>
    <x v="0"/>
    <s v="R-&gt;L"/>
    <s v="No"/>
    <s v="Y50681"/>
    <n v="1"/>
    <s v="码头-&gt;准备清关"/>
    <d v="2020-03-18T00:00:00"/>
    <n v="6.4000000000000001E-2"/>
    <s v="MAR 20"/>
    <d v="1905-07-12T00:28:48"/>
    <s v="RMB"/>
    <s v="C49SZX20190185DZ"/>
    <x v="143"/>
    <s v="YSM40R-4"/>
    <s v="L-&gt;R"/>
    <s v="No"/>
    <s v="WRONG"/>
    <s v="DDP SZ"/>
    <d v="2019-12-18T00:00:00"/>
    <x v="0"/>
    <m/>
    <m/>
    <m/>
    <s v="C191035983"/>
    <m/>
  </r>
  <r>
    <n v="550"/>
    <x v="0"/>
    <s v="C49"/>
    <n v="109794"/>
    <s v="龙大名义下单"/>
    <x v="0"/>
    <s v="R-&gt;L"/>
    <s v="No"/>
    <s v="Y50682"/>
    <n v="1"/>
    <s v="码头-&gt;准备清关"/>
    <d v="2020-03-18T00:00:00"/>
    <n v="6.4000000000000001E-2"/>
    <s v="MAR 20"/>
    <d v="1905-07-12T04:48:00"/>
    <s v="RMB"/>
    <s v="C49SZX20190185DZ"/>
    <x v="143"/>
    <s v="YSM40R-4"/>
    <s v="L-&gt;R"/>
    <s v="No"/>
    <s v="WRONG"/>
    <s v="DDP SZ"/>
    <d v="2019-12-18T00:00:00"/>
    <x v="0"/>
    <m/>
    <m/>
    <m/>
    <s v="C191035983"/>
    <m/>
  </r>
  <r>
    <n v="637"/>
    <x v="0"/>
    <s v="C49"/>
    <n v="109816"/>
    <s v="Stock order"/>
    <x v="3"/>
    <s v="R-&gt;L"/>
    <s v="No"/>
    <s v="Y50754"/>
    <n v="1"/>
    <s v="盐保仓库"/>
    <d v="2020-04-01T00:00:00"/>
    <s v="NM(CR:0.0672)"/>
    <s v="JUN 20"/>
    <n v="2020.02"/>
    <s v="JPY"/>
    <s v="C49SZX20200053SS"/>
    <x v="144"/>
    <s v="YSM20R(SV)-2"/>
    <s v="R-&gt;L"/>
    <s v="No"/>
    <s v="OK"/>
    <s v="DAP SZ"/>
    <d v="2020-04-24T00:00:00"/>
    <x v="0"/>
    <m/>
    <m/>
    <m/>
    <s v="C191236395"/>
    <n v="301"/>
  </r>
  <r>
    <n v="633"/>
    <x v="0"/>
    <s v="C49"/>
    <n v="109816"/>
    <s v="Stock order"/>
    <x v="3"/>
    <s v="L-&gt;R"/>
    <s v="No"/>
    <s v="Y50756"/>
    <n v="1"/>
    <s v="盐保仓库"/>
    <d v="2020-04-01T00:00:00"/>
    <s v="NM"/>
    <s v="APR 20"/>
    <n v="2020.02"/>
    <s v="JPY"/>
    <s v="C49SZX20200046JY"/>
    <x v="95"/>
    <s v="YSM20R(SV)-2"/>
    <s v="L-&gt;R"/>
    <s v="MVC"/>
    <s v="WRONG"/>
    <s v="DAP SZ"/>
    <d v="2020-04-21T00:00:00"/>
    <x v="0"/>
    <m/>
    <m/>
    <m/>
    <s v="C190935542"/>
    <n v="301"/>
  </r>
  <r>
    <n v="597"/>
    <x v="0"/>
    <s v="C49"/>
    <n v="109816"/>
    <s v="Stock order"/>
    <x v="3"/>
    <s v="L-&gt;R"/>
    <s v="No"/>
    <s v="Y50755"/>
    <n v="1"/>
    <s v="力合仓库(已经清关)"/>
    <d v="2020-04-01T00:00:00"/>
    <s v="0.0656（价格用PO#109855)"/>
    <s v="MAY 20"/>
    <n v="2020.01"/>
    <s v="RMB"/>
    <s v="C49SZX20200028JYR1"/>
    <x v="145"/>
    <s v="YSM20R(SV)-2"/>
    <s v="L-&gt;R"/>
    <s v="MVC"/>
    <s v="WRONG"/>
    <s v="含税到厂"/>
    <d v="2020-03-19T00:00:00"/>
    <x v="0"/>
    <m/>
    <m/>
    <m/>
    <s v="C150824767"/>
    <n v="301"/>
  </r>
  <r>
    <n v="531"/>
    <x v="0"/>
    <s v="C49"/>
    <n v="109816"/>
    <s v="Stock order"/>
    <x v="3"/>
    <s v="L-&gt;R"/>
    <s v="cATS10+MVC+special layout"/>
    <s v="Y50752"/>
    <n v="1"/>
    <s v="盐保仓库"/>
    <d v="2020-04-01T00:00:00"/>
    <s v="NM"/>
    <s v="APR 20"/>
    <n v="2020.02"/>
    <s v="JPY"/>
    <s v="C49SZX20190173DZ"/>
    <x v="75"/>
    <s v="YSM20R(SV)-2"/>
    <s v="L-&gt;R"/>
    <s v="cATS10+MVC"/>
    <s v="WRONG"/>
    <s v="CIF HK"/>
    <d v="2019-11-26T00:00:00"/>
    <x v="0"/>
    <m/>
    <m/>
    <m/>
    <s v="C200336888"/>
    <n v="313"/>
  </r>
  <r>
    <n v="529"/>
    <x v="0"/>
    <s v="C49"/>
    <n v="109816"/>
    <s v="Stock order"/>
    <x v="3"/>
    <s v="L-&gt;R"/>
    <s v="No"/>
    <s v="Y50759"/>
    <n v="1"/>
    <s v="盐保仓库"/>
    <d v="2020-04-01T00:00:00"/>
    <s v="NM"/>
    <s v="APR 20"/>
    <n v="2020.02"/>
    <s v="JPY"/>
    <s v="C49SZX20190173DZ"/>
    <x v="75"/>
    <s v="YSM20R(SV)-2"/>
    <s v="L-&gt;R"/>
    <s v="No"/>
    <s v="OK"/>
    <s v="CIF HK"/>
    <d v="2019-11-26T00:00:00"/>
    <x v="0"/>
    <m/>
    <m/>
    <m/>
    <s v="C200336888"/>
    <n v="301"/>
  </r>
  <r>
    <n v="530"/>
    <x v="0"/>
    <s v="C49"/>
    <n v="109816"/>
    <s v="Stock order"/>
    <x v="3"/>
    <s v="L-&gt;R"/>
    <s v="No"/>
    <s v="Y50760"/>
    <n v="1"/>
    <s v="盐保仓库"/>
    <d v="2020-04-01T00:00:00"/>
    <s v="NM"/>
    <s v="APR 20"/>
    <n v="2020.02"/>
    <s v="JPY"/>
    <s v="C49SZX20190173DZ"/>
    <x v="75"/>
    <s v="YSM20R(SV)-2"/>
    <s v="L-&gt;R"/>
    <s v="No"/>
    <s v="OK"/>
    <s v="CIF HK"/>
    <d v="2019-11-26T00:00:00"/>
    <x v="0"/>
    <m/>
    <m/>
    <m/>
    <s v="C200336888"/>
    <n v="301"/>
  </r>
  <r>
    <n v="574"/>
    <x v="0"/>
    <s v="C49"/>
    <n v="109816"/>
    <s v="Stock order"/>
    <x v="3"/>
    <s v="R-&gt;L"/>
    <s v="No"/>
    <s v="Y50753"/>
    <n v="1"/>
    <s v="盐保仓库"/>
    <d v="2020-04-01T00:00:00"/>
    <s v="NM(CR:0.0672)"/>
    <s v="MAY 20"/>
    <n v="2020.02"/>
    <s v="JPY"/>
    <s v="C49SZX20200012SS"/>
    <x v="128"/>
    <s v="YSM20R(SV)-2"/>
    <s v="R-&gt;L"/>
    <s v="No"/>
    <s v="OK"/>
    <s v="DAP SZ"/>
    <d v="2020-01-08T00:00:00"/>
    <x v="0"/>
    <m/>
    <m/>
    <m/>
    <s v="C180832783"/>
    <n v="301"/>
  </r>
  <r>
    <n v="609"/>
    <x v="0"/>
    <s v="C49"/>
    <n v="109816"/>
    <s v="Stock order"/>
    <x v="3"/>
    <s v="L-&gt;R"/>
    <s v="No"/>
    <s v="Y50758"/>
    <n v="1"/>
    <s v="盐保仓库"/>
    <d v="2020-04-01T00:00:00"/>
    <s v="NM(CR:0.0672)"/>
    <s v="MAY 20"/>
    <n v="2020.02"/>
    <s v="JPY"/>
    <s v="C49SZX20200035JY"/>
    <x v="107"/>
    <s v="YSM20R(SV)-2"/>
    <s v="L-&gt;R"/>
    <s v="No"/>
    <s v="OK"/>
    <s v="DAP HZ"/>
    <d v="2020-03-31T00:00:00"/>
    <x v="0"/>
    <m/>
    <m/>
    <m/>
    <s v="C200437179"/>
    <n v="302"/>
  </r>
  <r>
    <n v="606"/>
    <x v="0"/>
    <s v="C49"/>
    <n v="109816"/>
    <s v="Stock order"/>
    <x v="3"/>
    <s v="L-&gt;R"/>
    <s v="No"/>
    <s v="Y50757"/>
    <n v="1"/>
    <s v="华日仓库中转"/>
    <d v="2020-04-01T00:00:00"/>
    <n v="6.7000000000000004E-2"/>
    <s v="MAY 20"/>
    <n v="2020.02"/>
    <s v="JPY"/>
    <s v="C49SZX20200007SS"/>
    <x v="33"/>
    <s v="YSM20R(SV)-2"/>
    <s v="L-&gt;R"/>
    <s v="MVC"/>
    <s v="WRONG"/>
    <s v="DAP DG"/>
    <d v="2020-03-27T00:00:00"/>
    <x v="0"/>
    <m/>
    <m/>
    <m/>
    <s v="C190434487"/>
    <n v="303"/>
  </r>
  <r>
    <n v="774"/>
    <x v="0"/>
    <s v="C49"/>
    <n v="109816"/>
    <s v="Stock order"/>
    <x v="3"/>
    <s v="R-&gt;L"/>
    <s v="cATS10+MVC+special layout"/>
    <s v="Y50751"/>
    <n v="1"/>
    <s v="力合仓库(已经清关)"/>
    <d v="2020-04-01T00:00:00"/>
    <s v="NM(CR:0.0672)"/>
    <s v="SEP 20"/>
    <n v="2020.02"/>
    <s v="RMB"/>
    <s v="C49SZX20200123DZ"/>
    <x v="146"/>
    <s v="YSM20R(SV)-2"/>
    <s v="R-&gt;L"/>
    <s v="cATS10+MVC"/>
    <s v="WRONG"/>
    <s v="含税到厂"/>
    <d v="2020-08-13T00:00:00"/>
    <x v="0"/>
    <m/>
    <m/>
    <m/>
    <s v="C190635038"/>
    <n v="312"/>
  </r>
  <r>
    <n v="623"/>
    <x v="0"/>
    <s v="C49"/>
    <n v="109783"/>
    <s v="博睿通名义下单"/>
    <x v="1"/>
    <s v="R-&gt;L"/>
    <s v="No"/>
    <s v="Y50619"/>
    <n v="1"/>
    <s v="盐保仓库"/>
    <d v="2020-04-01T00:00:00"/>
    <s v="0.0654（价格用PO#109762)"/>
    <s v="APR 20"/>
    <d v="1905-07-12T00:43:12"/>
    <s v="RMB"/>
    <s v="C49SZX20200042JL"/>
    <x v="147"/>
    <s v="YSM10"/>
    <s v="L-&gt;R"/>
    <s v="MVC"/>
    <s v="WRONG"/>
    <s v="含税到厂"/>
    <d v="2020-04-17T00:00:00"/>
    <x v="0"/>
    <m/>
    <m/>
    <m/>
    <s v="C191136061"/>
    <n v="301"/>
  </r>
  <r>
    <n v="614"/>
    <x v="0"/>
    <s v="C49"/>
    <n v="109783"/>
    <s v="博睿通名义下单"/>
    <x v="1"/>
    <s v="R-&gt;L"/>
    <s v="No"/>
    <s v="Y50620"/>
    <n v="1"/>
    <s v="盐保仓库"/>
    <d v="2020-04-01T00:00:00"/>
    <s v="0.0648                  （价格用PO#109587"/>
    <s v="APR 20"/>
    <d v="1905-07-12T00:43:12"/>
    <s v="RMB"/>
    <s v="C49SZX20200041JY"/>
    <x v="136"/>
    <s v="YSM10"/>
    <s v="R-&gt;L"/>
    <s v="MVC"/>
    <s v="WRONG"/>
    <s v="含税到厂"/>
    <d v="2020-04-02T00:00:00"/>
    <x v="0"/>
    <m/>
    <m/>
    <m/>
    <s v="C200437154"/>
    <n v="302"/>
  </r>
  <r>
    <n v="577"/>
    <x v="0"/>
    <s v="C49"/>
    <n v="109783"/>
    <s v="博睿通名义下单"/>
    <x v="1"/>
    <s v="R-&gt;L"/>
    <s v="No"/>
    <s v="Y50618"/>
    <n v="1"/>
    <s v="盐保仓库"/>
    <d v="2020-04-01T00:00:00"/>
    <s v="0.0654（价格用PO#109759)"/>
    <s v="MAY 20"/>
    <d v="1905-07-12T00:43:12"/>
    <s v="JPY"/>
    <s v="C49SZX20200013SS"/>
    <x v="148"/>
    <s v="YSM10"/>
    <s v="L-&gt;R"/>
    <s v="MVC"/>
    <s v="WRONG"/>
    <s v="DAP SZ"/>
    <d v="2020-01-10T00:00:00"/>
    <x v="0"/>
    <m/>
    <m/>
    <m/>
    <s v="C191236395"/>
    <n v="301"/>
  </r>
  <r>
    <n v="674"/>
    <x v="0"/>
    <s v="C49"/>
    <n v="109783"/>
    <s v="博睿通名义下单"/>
    <x v="1"/>
    <s v="R-&gt;L"/>
    <s v="ATS15"/>
    <s v="Y50621"/>
    <n v="1"/>
    <s v="盐保仓库"/>
    <d v="2020-04-01T00:00:00"/>
    <s v="0.0654（价格用PO#109749)"/>
    <s v="AUG 20"/>
    <d v="1905-07-12T00:43:12"/>
    <s v="RMB"/>
    <s v="C49SZX20200079KW"/>
    <x v="149"/>
    <s v="YSM10"/>
    <s v="L-&gt;R"/>
    <s v="MVC+ATS15"/>
    <s v="WRONG"/>
    <s v="含税到厂"/>
    <d v="2020-06-23T00:00:00"/>
    <x v="0"/>
    <m/>
    <m/>
    <m/>
    <s v="C200737734"/>
    <n v="301"/>
  </r>
  <r>
    <n v="676"/>
    <x v="0"/>
    <s v="C49"/>
    <n v="109783"/>
    <s v="博睿通名义下单"/>
    <x v="1"/>
    <s v="R-&gt;L"/>
    <s v="ATS15"/>
    <s v="Y50622"/>
    <n v="1"/>
    <s v="盐保仓库"/>
    <d v="2020-04-01T00:00:00"/>
    <s v="0.0654（价格用PO#109749)"/>
    <s v="JUL 20"/>
    <d v="1905-07-12T00:43:12"/>
    <s v="JPY"/>
    <s v="C49SZX20200081DZ"/>
    <x v="10"/>
    <s v="YSM10"/>
    <s v="L-&gt;R"/>
    <s v="MVC+ATS15"/>
    <s v="WRONG"/>
    <s v="CIF HK"/>
    <d v="2020-06-24T00:00:00"/>
    <x v="0"/>
    <m/>
    <m/>
    <m/>
    <s v="C190534728"/>
    <n v="301"/>
  </r>
  <r>
    <n v="656"/>
    <x v="0"/>
    <s v="C49"/>
    <n v="109783"/>
    <s v="博睿通名义下单"/>
    <x v="1"/>
    <s v="R-&gt;L"/>
    <s v="ATS15"/>
    <s v="Y50623"/>
    <n v="1"/>
    <s v="力合仓库(已经清关)"/>
    <d v="2020-04-01T00:00:00"/>
    <s v="0.0654（价格用PO#109749)"/>
    <s v="JUL 20"/>
    <d v="1905-07-12T00:43:12"/>
    <s v="RMB"/>
    <s v="C49SZX20200058SS"/>
    <x v="109"/>
    <s v="YSM10"/>
    <s v="R-&gt;L"/>
    <s v="MVC+ATS15"/>
    <s v="WRONG"/>
    <s v="含税到厂"/>
    <d v="2020-06-04T00:00:00"/>
    <x v="0"/>
    <m/>
    <m/>
    <m/>
    <s v="C200637604"/>
    <n v="301"/>
  </r>
  <r>
    <n v="604"/>
    <x v="0"/>
    <s v="C49"/>
    <n v="109820"/>
    <s v="Stock order"/>
    <x v="1"/>
    <s v="R-&gt;L"/>
    <s v="No"/>
    <s v="Y50947"/>
    <n v="1"/>
    <s v="乐凡清关，送力合仓库"/>
    <d v="2020-04-03T00:00:00"/>
    <s v="NM(CR:0.0679)"/>
    <s v="MAY 20"/>
    <d v="1905-07-12T00:43:12"/>
    <s v="JPY"/>
    <s v="C49SZX20200036CX"/>
    <x v="150"/>
    <s v="YSM10"/>
    <s v="L-&gt;R"/>
    <s v="MVC"/>
    <s v="WRONG"/>
    <s v="DAP SZ"/>
    <d v="2020-03-25T00:00:00"/>
    <x v="0"/>
    <m/>
    <m/>
    <m/>
    <s v="C191136105"/>
    <n v="301"/>
  </r>
  <r>
    <n v="634"/>
    <x v="0"/>
    <s v="C49"/>
    <n v="109820"/>
    <s v="Stock order"/>
    <x v="1"/>
    <s v="R-&gt;L"/>
    <s v="No"/>
    <s v="Y50948"/>
    <n v="1"/>
    <s v="乐凡清关，送力合仓库"/>
    <d v="2020-04-03T00:00:00"/>
    <s v="0.0640（价格用PO#109820，rate 用109815)"/>
    <s v="MAY 20"/>
    <d v="1905-07-12T00:43:12"/>
    <s v="RMB"/>
    <s v="C49SZX20200011DZ"/>
    <x v="151"/>
    <s v="YSM10"/>
    <s v="R-&gt;L"/>
    <s v="No"/>
    <s v="OK"/>
    <s v="含税到厂"/>
    <d v="2020-04-22T00:00:00"/>
    <x v="0"/>
    <m/>
    <m/>
    <m/>
    <s v="C180832776"/>
    <n v="301"/>
  </r>
  <r>
    <n v="636"/>
    <x v="0"/>
    <s v="C49"/>
    <n v="109820"/>
    <s v="Stock order"/>
    <x v="1"/>
    <s v="R-&gt;L"/>
    <s v="No"/>
    <s v="Y50949"/>
    <n v="1"/>
    <s v="华日仓库中转"/>
    <d v="2020-04-03T00:00:00"/>
    <s v="0.0640（价格用PO#109820，rate 用109815)"/>
    <s v="MAY 20"/>
    <d v="1905-07-12T00:43:12"/>
    <s v="RMB"/>
    <s v="C49SZX20200047MZ"/>
    <x v="152"/>
    <s v="YSM10"/>
    <s v="L-&gt;R"/>
    <s v="MVC"/>
    <s v="WRONG"/>
    <s v="含税到厂"/>
    <d v="2020-04-23T00:00:00"/>
    <x v="0"/>
    <m/>
    <m/>
    <m/>
    <s v="C200437235"/>
    <n v="301"/>
  </r>
  <r>
    <n v="602"/>
    <x v="0"/>
    <s v="C49"/>
    <n v="109820"/>
    <s v="Stock order"/>
    <x v="1"/>
    <s v="R-&gt;L"/>
    <s v="No"/>
    <s v="Y50950"/>
    <n v="1"/>
    <s v="盐保仓库"/>
    <d v="2020-04-03T00:00:00"/>
    <s v="0.0640（价格用PO#109820，rate 用109815)"/>
    <s v="JUN 20"/>
    <d v="1905-07-12T00:43:12"/>
    <s v="RMB"/>
    <s v="C49SZX20200031DZ"/>
    <x v="153"/>
    <s v="YSM10"/>
    <s v="L-&gt;R"/>
    <s v="MVC"/>
    <s v="WRONG"/>
    <s v="含税到厂"/>
    <d v="2020-03-25T00:00:00"/>
    <x v="0"/>
    <m/>
    <m/>
    <m/>
    <s v="C200437238"/>
    <n v="301"/>
  </r>
  <r>
    <n v="643"/>
    <x v="0"/>
    <s v="C49"/>
    <n v="109820"/>
    <s v="Stock order"/>
    <x v="1"/>
    <s v="R-&gt;L"/>
    <s v="No"/>
    <s v="Y50843"/>
    <n v="1"/>
    <s v="盐保仓库"/>
    <d v="2020-04-03T00:00:00"/>
    <s v="0.0640（价格用PO#109820，rate 用109815)"/>
    <s v="MAY 20"/>
    <d v="1905-07-12T00:43:12"/>
    <s v="RMB"/>
    <s v="C49SZX20200037SX-R1"/>
    <x v="16"/>
    <s v="YSM10"/>
    <s v="L-&gt;R"/>
    <s v="MVC"/>
    <s v="WRONG"/>
    <s v="含税到厂"/>
    <d v="2020-05-12T00:00:00"/>
    <x v="0"/>
    <m/>
    <m/>
    <m/>
    <s v="C180732624"/>
    <n v="301"/>
  </r>
  <r>
    <n v="635"/>
    <x v="0"/>
    <s v="C49"/>
    <n v="109855"/>
    <s v="Stock order"/>
    <x v="3"/>
    <s v="L-&gt;R"/>
    <s v="No"/>
    <s v="Y50848"/>
    <n v="1"/>
    <s v="华日仓库中转"/>
    <d v="2020-04-25T00:00:00"/>
    <n v="6.5600000000000006E-2"/>
    <s v="MAY 20"/>
    <n v="2020.02"/>
    <s v="RMB"/>
    <s v="C49SZX20200047MZ"/>
    <x v="152"/>
    <s v="YSM20R(SV)-2"/>
    <s v="L-&gt;R"/>
    <s v="No"/>
    <s v="OK"/>
    <s v="含税到厂"/>
    <d v="2020-04-23T00:00:00"/>
    <x v="0"/>
    <m/>
    <m/>
    <m/>
    <s v="C200437235"/>
    <n v="301"/>
  </r>
  <r>
    <n v="642"/>
    <x v="0"/>
    <s v="C49"/>
    <n v="109855"/>
    <s v="Stock order"/>
    <x v="3"/>
    <s v="L-&gt;R"/>
    <s v="No"/>
    <s v="Y50849"/>
    <n v="1"/>
    <s v="盐保仓库"/>
    <d v="2020-04-25T00:00:00"/>
    <s v="NM(价格用PO#109816）"/>
    <s v="MAY 20"/>
    <n v="2020.02"/>
    <s v="RMB"/>
    <s v="C49SZX20200037SX-R1"/>
    <x v="16"/>
    <s v="YSM20R(SV)-2"/>
    <s v="L-&gt;R"/>
    <s v="No"/>
    <s v="OK"/>
    <s v="含税到厂"/>
    <d v="2020-05-12T00:00:00"/>
    <x v="0"/>
    <m/>
    <m/>
    <m/>
    <s v="C180732624"/>
    <n v="301"/>
  </r>
  <r>
    <n v="619"/>
    <x v="0"/>
    <s v="C49"/>
    <n v="109855"/>
    <s v="Stock order"/>
    <x v="3"/>
    <s v="L-&gt;R"/>
    <s v="No"/>
    <s v="Y50850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20"/>
    <x v="0"/>
    <s v="C49"/>
    <n v="109855"/>
    <s v="Stock order"/>
    <x v="3"/>
    <s v="L-&gt;R"/>
    <s v="No"/>
    <s v="Y50851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21"/>
    <x v="0"/>
    <s v="C49"/>
    <n v="109855"/>
    <s v="Stock order"/>
    <x v="3"/>
    <s v="L-&gt;R"/>
    <s v="No"/>
    <s v="Y50852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22"/>
    <x v="0"/>
    <s v="C49"/>
    <n v="109855"/>
    <s v="Stock order"/>
    <x v="3"/>
    <s v="L-&gt;R"/>
    <s v="No"/>
    <s v="Y50866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10"/>
    <x v="0"/>
    <s v="C49"/>
    <n v="109806"/>
    <s v="Pro-tec"/>
    <x v="3"/>
    <s v="L-&gt;R"/>
    <s v="No"/>
    <s v="Y50702"/>
    <n v="1"/>
    <s v="盐保仓库"/>
    <d v="2020-05-04T00:00:00"/>
    <s v="NM(CR:0.0679)"/>
    <s v="MAY 20"/>
    <n v="2020.02"/>
    <s v="JPY"/>
    <s v="C49SZX20200035JY"/>
    <x v="107"/>
    <s v="YSM20R(SV)-2"/>
    <s v="L-&gt;R"/>
    <s v="No"/>
    <s v="OK"/>
    <s v="DAP HZ"/>
    <d v="2020-03-31T00:00:00"/>
    <x v="0"/>
    <m/>
    <m/>
    <m/>
    <s v="C200437179"/>
    <m/>
  </r>
  <r>
    <n v="638"/>
    <x v="0"/>
    <s v="C49"/>
    <n v="109806"/>
    <s v="Pro-tec"/>
    <x v="1"/>
    <s v="R-&gt;L"/>
    <s v="No"/>
    <s v="Y51205"/>
    <n v="1"/>
    <s v="钧溢清关，送力合仓库"/>
    <d v="2020-05-04T00:00:00"/>
    <s v="0.0640（价格用PO#109820，rate 用109815)"/>
    <s v="MAY 20"/>
    <d v="1905-07-12T00:57:36"/>
    <s v="RMB"/>
    <s v="C49SZX20200043CY"/>
    <x v="155"/>
    <s v="YSM10"/>
    <s v="L-&gt;R"/>
    <s v="MVC"/>
    <s v="WRONG"/>
    <s v="含税到厂"/>
    <d v="2020-04-29T00:00:00"/>
    <x v="0"/>
    <m/>
    <m/>
    <m/>
    <s v="C200537332"/>
    <m/>
  </r>
  <r>
    <n v="603"/>
    <x v="0"/>
    <s v="C49"/>
    <n v="109856"/>
    <s v="Stock order"/>
    <x v="3"/>
    <s v="L-&gt;R"/>
    <s v="No"/>
    <s v="Y51294"/>
    <n v="1"/>
    <s v="乐上清关，送力合仓库"/>
    <d v="2020-05-20T00:00:00"/>
    <n v="6.4600000000000005E-2"/>
    <s v="JUN 20"/>
    <n v="2020.04"/>
    <s v="RMB"/>
    <s v="C49SZX20200031DZ"/>
    <x v="153"/>
    <s v="YSM20R(SV)-2"/>
    <s v="L-&gt;R"/>
    <s v="No"/>
    <s v="OK"/>
    <s v="含税到厂"/>
    <d v="2020-03-25T00:00:00"/>
    <x v="0"/>
    <m/>
    <m/>
    <m/>
    <s v="C200437238"/>
    <n v="304"/>
  </r>
  <r>
    <n v="657"/>
    <x v="0"/>
    <s v="C49"/>
    <n v="109856"/>
    <s v="Stock order"/>
    <x v="3"/>
    <s v="R-&gt;L"/>
    <s v="No"/>
    <s v="Y51295"/>
    <n v="1"/>
    <s v="力合仓库(已经清关)"/>
    <d v="2020-05-20T00:00:00"/>
    <n v="6.7000000000000004E-2"/>
    <s v="JUL 20"/>
    <n v="2020.04"/>
    <s v="RMB"/>
    <s v="C49SZX20200058SS"/>
    <x v="109"/>
    <s v="YSM20R(SV)-2"/>
    <s v="R-&gt;L"/>
    <s v="MVC"/>
    <s v="WRONG"/>
    <s v="含税到厂"/>
    <d v="2020-06-04T00:00:00"/>
    <x v="0"/>
    <m/>
    <m/>
    <m/>
    <s v="C200637604"/>
    <n v="302"/>
  </r>
  <r>
    <n v="671"/>
    <x v="0"/>
    <s v="C49"/>
    <n v="109856"/>
    <s v="Stock order"/>
    <x v="3"/>
    <s v="R-&gt;L"/>
    <s v="No"/>
    <s v="Y51296"/>
    <n v="1"/>
    <s v="辉记中转仓"/>
    <d v="2020-05-20T00:00:00"/>
    <n v="6.7000000000000004E-2"/>
    <s v="JUL 20"/>
    <n v="2020.04"/>
    <s v="JPY"/>
    <s v="C49SZX20200071JY"/>
    <x v="156"/>
    <s v="YSM20R(SV)-2"/>
    <s v="R-&gt;L"/>
    <s v="No"/>
    <s v="OK"/>
    <s v="DAP SZ"/>
    <d v="2020-06-23T00:00:00"/>
    <x v="0"/>
    <m/>
    <m/>
    <m/>
    <s v="C190634939"/>
    <n v="301"/>
  </r>
  <r>
    <n v="658"/>
    <x v="0"/>
    <s v="C49"/>
    <n v="109856"/>
    <s v="Stock order"/>
    <x v="3"/>
    <s v="R-&gt;L"/>
    <s v="No"/>
    <s v="Y51297"/>
    <n v="1"/>
    <s v="力合仓库(已经清关)"/>
    <d v="2020-05-20T00:00:00"/>
    <n v="6.7000000000000004E-2"/>
    <s v="JUL 20"/>
    <n v="2020.04"/>
    <s v="RMB"/>
    <s v="C49SZX20200058SS"/>
    <x v="109"/>
    <s v="YSM20R(SV)-2"/>
    <s v="R-&gt;L"/>
    <s v="No"/>
    <s v="OK"/>
    <s v="含税到厂"/>
    <d v="2020-06-04T00:00:00"/>
    <x v="0"/>
    <m/>
    <m/>
    <m/>
    <s v="C200637604"/>
    <n v="302"/>
  </r>
  <r>
    <n v="584"/>
    <x v="0"/>
    <s v="C49"/>
    <s v="49F103362"/>
    <s v="上海机器"/>
    <x v="1"/>
    <s v="R-&gt;L"/>
    <s v="No"/>
    <s v="Y49634"/>
    <n v="1"/>
    <s v="力合仓库(已经清关)"/>
    <d v="2019-12-19T00:00:00"/>
    <n v="6.5799999999999997E-2"/>
    <s v="APR 20"/>
    <m/>
    <s v="JPY"/>
    <s v="C49SZX20200017CX"/>
    <x v="157"/>
    <s v="YSM10"/>
    <s v="L-&gt;R"/>
    <s v="MVC"/>
    <s v="WRONG"/>
    <s v="DAP SZ"/>
    <d v="2020-01-16T00:00:00"/>
    <x v="0"/>
    <m/>
    <m/>
    <m/>
    <s v="C200236762"/>
    <n v="301"/>
  </r>
  <r>
    <n v="583"/>
    <x v="0"/>
    <s v="C49"/>
    <s v="49F103362"/>
    <s v="上海机器"/>
    <x v="1"/>
    <s v="R-&gt;L"/>
    <s v="No"/>
    <s v="Y49635"/>
    <n v="1"/>
    <s v="力合仓库(已经清关)"/>
    <d v="2019-12-19T00:00:00"/>
    <n v="6.5799999999999997E-2"/>
    <s v="APR 20"/>
    <m/>
    <s v="JPY"/>
    <s v="C49SZX20200017CX"/>
    <x v="157"/>
    <s v="YSM10"/>
    <s v="L-&gt;R"/>
    <s v="MVC"/>
    <s v="WRONG"/>
    <s v="DAP SZ"/>
    <d v="2020-01-16T00:00:00"/>
    <x v="0"/>
    <m/>
    <m/>
    <m/>
    <s v="C200236762"/>
    <n v="301"/>
  </r>
  <r>
    <n v="601"/>
    <x v="0"/>
    <s v="C49"/>
    <n v="109857"/>
    <s v="安林名义下单"/>
    <x v="11"/>
    <s v="L-&gt;R"/>
    <s v="No"/>
    <s v="Y51332"/>
    <n v="1"/>
    <s v="码头-&gt;准备清关"/>
    <d v="2020-05-20T00:00:00"/>
    <s v="NM(CR:0.0679)"/>
    <s v="MAY 20"/>
    <d v="1905-07-12T00:57:36"/>
    <s v="JPY"/>
    <s v="C49SZX20200026SX"/>
    <x v="0"/>
    <s v="YSM20WR-2"/>
    <s v="L-&gt;R"/>
    <s v="No"/>
    <s v="OK"/>
    <s v="DAP DG"/>
    <d v="2020-03-23T00:00:00"/>
    <x v="0"/>
    <m/>
    <m/>
    <m/>
    <s v="IND order "/>
    <m/>
  </r>
  <r>
    <n v="611"/>
    <x v="0"/>
    <s v="C49"/>
    <n v="109858"/>
    <s v="奕东名义下单"/>
    <x v="1"/>
    <s v="R-&gt;L"/>
    <s v="No"/>
    <s v="Y51333"/>
    <n v="1"/>
    <s v="盐保仓库"/>
    <d v="2020-05-22T00:00:00"/>
    <s v="NM(CR:0.0679)"/>
    <s v="MAY 20"/>
    <d v="1905-07-12T00:57:36"/>
    <s v="JPY"/>
    <s v="C49SZX20200035JY"/>
    <x v="107"/>
    <s v="YSM10"/>
    <s v="L-&gt;R"/>
    <s v="MVC"/>
    <s v="WRONG"/>
    <s v="DAP HZ"/>
    <d v="2020-03-31T00:00:00"/>
    <x v="0"/>
    <m/>
    <m/>
    <m/>
    <s v="C200437179"/>
    <n v="301"/>
  </r>
  <r>
    <n v="612"/>
    <x v="0"/>
    <s v="C49"/>
    <n v="109858"/>
    <s v="奕东名义下单"/>
    <x v="1"/>
    <s v="R-&gt;L"/>
    <s v="No"/>
    <s v="Y51334"/>
    <n v="1"/>
    <s v="盐保仓库"/>
    <d v="2020-05-22T00:00:00"/>
    <s v="NM(CR:0.0679)"/>
    <s v="MAY 20"/>
    <d v="1905-07-12T00:57:36"/>
    <s v="JPY"/>
    <s v="C49SZX20200035JY"/>
    <x v="107"/>
    <s v="YSM10"/>
    <s v="L-&gt;R"/>
    <s v="MVC"/>
    <s v="WRONG"/>
    <s v="DAP HZ"/>
    <d v="2020-03-31T00:00:00"/>
    <x v="0"/>
    <m/>
    <m/>
    <m/>
    <s v="C200437179"/>
    <n v="301"/>
  </r>
  <r>
    <n v="639"/>
    <x v="0"/>
    <s v="C49"/>
    <n v="109858"/>
    <s v="奕东名义下单"/>
    <x v="1"/>
    <s v="R-&gt;L"/>
    <s v="No"/>
    <s v="Y51335"/>
    <n v="1"/>
    <s v="盐保仓库"/>
    <d v="2020-05-22T00:00:00"/>
    <s v="NM(CR:0.0679)"/>
    <s v="MAY 20"/>
    <d v="1905-07-12T00:57:36"/>
    <s v="JPY"/>
    <s v="C49SZX20200052JY"/>
    <x v="107"/>
    <s v="YSM10"/>
    <s v="L-&gt;R"/>
    <s v="MVC"/>
    <s v="WRONG"/>
    <s v="DAP HZ"/>
    <d v="2020-04-30T00:00:00"/>
    <x v="0"/>
    <m/>
    <m/>
    <m/>
    <s v="C190735271"/>
    <n v="301"/>
  </r>
  <r>
    <n v="640"/>
    <x v="0"/>
    <s v="C49"/>
    <n v="109858"/>
    <s v="奕东名义下单"/>
    <x v="1"/>
    <s v="R-&gt;L"/>
    <s v="No"/>
    <s v="Y51336"/>
    <n v="1"/>
    <s v="盐保仓库"/>
    <d v="2020-05-22T00:00:00"/>
    <s v="NM(CR:0.0679)"/>
    <s v="MAY 20"/>
    <d v="1905-07-12T00:57:36"/>
    <s v="JPY"/>
    <s v="C49SZX20200052JY"/>
    <x v="107"/>
    <s v="YSM10"/>
    <s v="L-&gt;R"/>
    <s v="No"/>
    <s v="WRONG"/>
    <s v="DAP HZ"/>
    <d v="2020-04-30T00:00:00"/>
    <x v="0"/>
    <m/>
    <m/>
    <m/>
    <s v="C190735271"/>
    <n v="301"/>
  </r>
  <r>
    <n v="652"/>
    <x v="0"/>
    <s v="C49"/>
    <n v="109858"/>
    <s v="奕东名义下单"/>
    <x v="1"/>
    <s v="R-&gt;L"/>
    <s v="No"/>
    <s v="Y51337"/>
    <n v="1"/>
    <s v="盐保仓库"/>
    <d v="2020-05-22T00:00:00"/>
    <n v="6.7000000000000004E-2"/>
    <s v="JUN 20"/>
    <d v="1905-07-12T00:57:36"/>
    <s v="RMB"/>
    <s v="C49SZX20200025MX"/>
    <x v="81"/>
    <s v="YSM10"/>
    <s v="L-&gt;R"/>
    <s v="No"/>
    <s v="WRONG"/>
    <s v="含税到厂"/>
    <d v="2020-05-25T00:00:00"/>
    <x v="0"/>
    <m/>
    <m/>
    <m/>
    <s v="C190835366"/>
    <n v="301"/>
  </r>
  <r>
    <n v="662"/>
    <x v="0"/>
    <s v="C49"/>
    <n v="109889"/>
    <s v="奕东名义下单"/>
    <x v="1"/>
    <s v="R-&gt;L"/>
    <s v="No"/>
    <s v="Y51338"/>
    <n v="1"/>
    <s v="盐保仓库"/>
    <d v="2020-06-03T00:00:00"/>
    <s v="NM(CR:0.0679)"/>
    <s v="JUN 20"/>
    <d v="1905-07-12T01:12:00"/>
    <s v="JPY"/>
    <s v="C49SZX20200061JY"/>
    <x v="158"/>
    <s v="YSM10"/>
    <s v="L-&gt;R"/>
    <s v="MVC"/>
    <s v="WRONG"/>
    <s v="DAP SZ"/>
    <d v="2020-06-11T00:00:00"/>
    <x v="0"/>
    <m/>
    <m/>
    <m/>
    <s v="C190735084"/>
    <n v="301"/>
  </r>
  <r>
    <n v="661"/>
    <x v="0"/>
    <s v="C49"/>
    <n v="109889"/>
    <s v="奕东名义下单"/>
    <x v="1"/>
    <s v="R-&gt;L"/>
    <s v="No"/>
    <s v="Y51339"/>
    <n v="1"/>
    <s v="华日仓库中转"/>
    <d v="2020-06-03T00:00:00"/>
    <n v="6.7000000000000004E-2"/>
    <s v="JUN 20"/>
    <d v="1905-07-12T01:12:00"/>
    <s v="RMB"/>
    <s v="C49SZX20200065JZ"/>
    <x v="159"/>
    <s v="YSM10"/>
    <s v="L-&gt;R"/>
    <s v="No"/>
    <s v="WRONG"/>
    <s v="含税到厂"/>
    <d v="2020-06-11T00:00:00"/>
    <x v="0"/>
    <m/>
    <m/>
    <m/>
    <s v="C180732715"/>
    <n v="301"/>
  </r>
  <r>
    <n v="672"/>
    <x v="0"/>
    <s v="C49"/>
    <n v="109889"/>
    <s v="奕东名义下单"/>
    <x v="1"/>
    <s v="R-&gt;L"/>
    <s v="No"/>
    <s v="Y51340"/>
    <n v="1"/>
    <s v="辉记中转仓"/>
    <d v="2020-06-03T00:00:00"/>
    <n v="6.7000000000000004E-2"/>
    <s v="JUL 20"/>
    <d v="1905-07-12T01:12:00"/>
    <s v="JPY"/>
    <s v="C49SZX20200071JY"/>
    <x v="156"/>
    <s v="YSM10"/>
    <s v="R-&gt;L"/>
    <s v="MVC"/>
    <s v="WRONG"/>
    <s v="DAP SZ"/>
    <d v="2020-06-23T00:00:00"/>
    <x v="0"/>
    <m/>
    <m/>
    <m/>
    <s v="C190634939"/>
    <n v="301"/>
  </r>
  <r>
    <n v="616"/>
    <x v="0"/>
    <s v="C49"/>
    <n v="109873"/>
    <s v="晶科名义下单"/>
    <x v="6"/>
    <s v="L-&gt;R"/>
    <s v="No"/>
    <s v="Y51486"/>
    <n v="1"/>
    <s v="码头"/>
    <d v="2020-06-03T00:00:00"/>
    <s v="NM(CR:0.0679)"/>
    <s v="JUN 20"/>
    <d v="1905-07-12T01:12:00"/>
    <s v="JPY"/>
    <s v="C49SZX20200006KW"/>
    <x v="102"/>
    <s v="SIGMA G5S2"/>
    <s v="L-&gt;R"/>
    <s v="No"/>
    <s v="OK"/>
    <s v="CIF HK"/>
    <d v="2020-04-10T00:00:00"/>
    <x v="0"/>
    <m/>
    <m/>
    <m/>
    <s v="IND order "/>
    <m/>
  </r>
  <r>
    <n v="624"/>
    <x v="0"/>
    <s v="C49"/>
    <n v="109868"/>
    <s v="Stock order"/>
    <x v="3"/>
    <s v="L-&gt;R"/>
    <s v="cATS10+MVC+special layout"/>
    <s v="Y51469"/>
    <n v="1"/>
    <s v="码头"/>
    <d v="2020-06-10T00:00:00"/>
    <n v="6.6699999999999995E-2"/>
    <s v="JUN 20"/>
    <n v="2020.05"/>
    <s v="RMB"/>
    <s v="C49SZX20200048DZ"/>
    <x v="146"/>
    <s v="YSM20R(SV)-2"/>
    <s v="L-&gt;R"/>
    <s v="cATS10+MVC"/>
    <s v="WRONG"/>
    <s v="含税到厂"/>
    <d v="2020-04-17T00:00:00"/>
    <x v="0"/>
    <m/>
    <m/>
    <m/>
    <n v="190635038"/>
    <n v="303"/>
  </r>
  <r>
    <n v="645"/>
    <x v="0"/>
    <s v="C49"/>
    <n v="109868"/>
    <s v="Stock order"/>
    <x v="3"/>
    <s v="L-&gt;R"/>
    <s v="No"/>
    <s v="Y51452"/>
    <n v="1"/>
    <s v="华日仓库中转"/>
    <d v="2020-06-10T00:00:00"/>
    <n v="6.6699999999999995E-2"/>
    <s v="JUN 20"/>
    <n v="2020.05"/>
    <s v="RMB"/>
    <s v="C49SZX20200060SX"/>
    <x v="38"/>
    <s v="YSM20R(SV)-2"/>
    <s v="L-&gt;R"/>
    <s v="MVC"/>
    <s v="WRONG"/>
    <s v="含税到厂"/>
    <d v="2020-05-12T00:00:00"/>
    <x v="0"/>
    <m/>
    <m/>
    <m/>
    <s v="C190935664"/>
    <n v="304"/>
  </r>
  <r>
    <n v="605"/>
    <x v="0"/>
    <s v="C49"/>
    <n v="109868"/>
    <s v="Stock order"/>
    <x v="3"/>
    <s v="L-&gt;R"/>
    <s v="No"/>
    <s v="Y51453"/>
    <n v="1"/>
    <s v="华日仓库中转"/>
    <d v="2020-06-10T00:00:00"/>
    <n v="6.6699999999999995E-2"/>
    <s v="JUL 20"/>
    <n v="2020.05"/>
    <s v="JPY"/>
    <s v="C49SZX20200036CX"/>
    <x v="150"/>
    <s v="YSM20R(SV)-2"/>
    <s v="L-&gt;R"/>
    <s v="No"/>
    <s v="OK"/>
    <s v="DAP SZ"/>
    <d v="2020-03-25T00:00:00"/>
    <x v="0"/>
    <m/>
    <m/>
    <m/>
    <s v="C191136105"/>
    <n v="304"/>
  </r>
  <r>
    <n v="644"/>
    <x v="0"/>
    <s v="C49"/>
    <n v="109868"/>
    <s v="Stock order"/>
    <x v="3"/>
    <s v="L-&gt;R"/>
    <s v="No"/>
    <s v="Y51454"/>
    <n v="1"/>
    <s v="华日仓库中转"/>
    <d v="2020-06-10T00:00:00"/>
    <n v="6.6699999999999995E-2"/>
    <s v="JUN 20"/>
    <n v="2020.05"/>
    <s v="RMB"/>
    <s v="C49SZX20200060SX"/>
    <x v="38"/>
    <s v="YSM20R(SV)-2"/>
    <s v="L-&gt;R"/>
    <s v="MVC"/>
    <s v="WRONG"/>
    <s v="含税到厂"/>
    <d v="2020-05-12T00:00:00"/>
    <x v="0"/>
    <m/>
    <m/>
    <m/>
    <s v="C190935664"/>
    <n v="301"/>
  </r>
  <r>
    <n v="625"/>
    <x v="0"/>
    <s v="C49"/>
    <n v="109868"/>
    <s v="Stock order"/>
    <x v="3"/>
    <s v="L-&gt;R"/>
    <s v="No"/>
    <s v="Y51455"/>
    <n v="1"/>
    <s v="码头"/>
    <d v="2020-06-10T00:00:00"/>
    <n v="6.6699999999999995E-2"/>
    <s v="JUN 20"/>
    <n v="2020.05"/>
    <s v="RMB"/>
    <s v="C49SZX20200048DZ"/>
    <x v="146"/>
    <s v="YSM20R(SV)-2"/>
    <s v="L-&gt;R"/>
    <s v="No"/>
    <s v="OK"/>
    <s v="含税到厂"/>
    <d v="2020-04-17T00:00:00"/>
    <x v="0"/>
    <m/>
    <m/>
    <m/>
    <n v="190635038"/>
    <n v="301"/>
  </r>
  <r>
    <n v="626"/>
    <x v="0"/>
    <s v="C49"/>
    <n v="109868"/>
    <s v="Stock order"/>
    <x v="3"/>
    <s v="L-&gt;R"/>
    <s v="No"/>
    <s v="Y51456"/>
    <n v="1"/>
    <s v="码头"/>
    <d v="2020-06-10T00:00:00"/>
    <n v="6.6699999999999995E-2"/>
    <s v="JUN 20"/>
    <n v="2020.05"/>
    <s v="RMB"/>
    <s v="C49SZX20200048DZ"/>
    <x v="146"/>
    <s v="YSM20R(SV)-2"/>
    <s v="L-&gt;R"/>
    <s v="No"/>
    <s v="OK"/>
    <s v="含税到厂"/>
    <d v="2020-04-17T00:00:00"/>
    <x v="0"/>
    <m/>
    <m/>
    <m/>
    <n v="190635038"/>
    <n v="312"/>
  </r>
  <r>
    <n v="630"/>
    <x v="0"/>
    <s v="C28"/>
    <n v="109880"/>
    <s v="海星名义下单"/>
    <x v="9"/>
    <s v="L-&gt;R"/>
    <s v="No"/>
    <s v="Y51546"/>
    <n v="1"/>
    <s v="码头"/>
    <d v="2020-06-10T00:00:00"/>
    <n v="6.6600000000000006E-2"/>
    <s v="JUN 20"/>
    <d v="1905-07-12T01:12:00"/>
    <s v="RMB"/>
    <s v="C28SZX20200026YY"/>
    <x v="146"/>
    <s v="YCP10"/>
    <s v="L-&gt;R"/>
    <s v="No"/>
    <s v="OK"/>
    <s v="含税到厂"/>
    <d v="2020-04-17T00:00:00"/>
    <x v="0"/>
    <m/>
    <m/>
    <m/>
    <s v="C190635038"/>
    <n v="302"/>
  </r>
  <r>
    <n v="668"/>
    <x v="0"/>
    <s v="C49"/>
    <s v="109891(拆分PO109925）"/>
    <s v="Stock order"/>
    <x v="1"/>
    <s v="R-&gt;L"/>
    <s v="No"/>
    <s v="Y51616"/>
    <n v="1"/>
    <s v="力合仓库(已经清关)"/>
    <d v="2020-06-22T00:00:00"/>
    <s v="0.0661(价格用PO#109891)"/>
    <s v="JUL 20"/>
    <d v="1905-07-12T01:26:24"/>
    <s v="RMB"/>
    <s v="C49SZX20200076JL"/>
    <x v="160"/>
    <s v="YSM10"/>
    <s v="L-&gt;R"/>
    <s v="MVC"/>
    <s v="WRONG"/>
    <s v="含税到厂"/>
    <d v="2020-06-22T00:00:00"/>
    <x v="0"/>
    <m/>
    <m/>
    <m/>
    <s v="C200737778"/>
    <n v="301"/>
  </r>
  <r>
    <n v="681"/>
    <x v="0"/>
    <s v="C49"/>
    <s v="109891(拆分PO109925）"/>
    <s v="Stock order"/>
    <x v="1"/>
    <s v="R-&gt;L"/>
    <s v="No"/>
    <s v="Y51617"/>
    <n v="1"/>
    <s v="力合仓库(已经清关)"/>
    <d v="2020-06-22T00:00:00"/>
    <s v="0.0661(价格用PO#109891)"/>
    <s v="JUL 20"/>
    <d v="1905-07-12T01:26:24"/>
    <s v="RMB"/>
    <s v="C49SZX20200083JL"/>
    <x v="161"/>
    <s v="YSM10"/>
    <s v="L-&gt;R"/>
    <s v="MVC"/>
    <s v="WRONG"/>
    <s v="含税到厂"/>
    <d v="2020-06-24T00:00:00"/>
    <x v="0"/>
    <m/>
    <m/>
    <m/>
    <s v="C190935541"/>
    <n v="301"/>
  </r>
  <r>
    <n v="669"/>
    <x v="0"/>
    <s v="C49"/>
    <s v="109891(拆分PO109925）"/>
    <s v="Stock order"/>
    <x v="1"/>
    <s v="R-&gt;L"/>
    <s v="No"/>
    <s v="Y51618"/>
    <n v="1"/>
    <s v="力合仓库(已经清关)"/>
    <d v="2020-06-22T00:00:00"/>
    <s v="0.0661(价格用PO#109891)"/>
    <s v="JUL 20"/>
    <d v="1905-07-12T01:26:24"/>
    <s v="RMB"/>
    <s v="C49SZX20200076JL"/>
    <x v="160"/>
    <s v="YSM10"/>
    <s v="L-&gt;R"/>
    <s v="MVC"/>
    <s v="WRONG"/>
    <s v="含税到厂"/>
    <d v="2020-06-22T00:00:00"/>
    <x v="0"/>
    <m/>
    <m/>
    <m/>
    <s v="C200737778"/>
    <n v="301"/>
  </r>
  <r>
    <n v="689"/>
    <x v="0"/>
    <s v="C49"/>
    <s v="109891(拆分PO109925）"/>
    <s v="Stock order"/>
    <x v="1"/>
    <s v="R-&gt;L"/>
    <s v="No"/>
    <s v="Y51619"/>
    <n v="1"/>
    <s v="CY仓库"/>
    <d v="2020-06-22T00:00:00"/>
    <n v="6.6500000000000004E-2"/>
    <s v="JUL 20"/>
    <d v="1905-07-12T01:26:24"/>
    <s v="JPY"/>
    <s v="C49SZX20200090SS"/>
    <x v="33"/>
    <s v="YSM10"/>
    <s v="L-&gt;R"/>
    <s v="MVC"/>
    <s v="WRONG"/>
    <s v="DAP DG"/>
    <d v="2020-06-29T00:00:00"/>
    <x v="0"/>
    <m/>
    <m/>
    <m/>
    <s v="C190434487"/>
    <n v="301"/>
  </r>
  <r>
    <n v="683"/>
    <x v="0"/>
    <s v="C49"/>
    <s v="109891(拆分PO109925）"/>
    <s v="Stock order"/>
    <x v="1"/>
    <s v="R-&gt;L"/>
    <s v="No"/>
    <s v="Y51620"/>
    <n v="1"/>
    <s v="CY仓库"/>
    <d v="2020-06-22T00:00:00"/>
    <n v="6.6500000000000004E-2"/>
    <s v="JUL 20"/>
    <d v="1905-07-12T01:26:24"/>
    <s v="JPY"/>
    <s v="C49SZX20200032DZ"/>
    <x v="162"/>
    <s v="YSM10"/>
    <s v="L-&gt;R"/>
    <s v="MVC"/>
    <s v="WRONG"/>
    <s v="CIF HK"/>
    <d v="2020-06-26T00:00:00"/>
    <x v="0"/>
    <m/>
    <m/>
    <m/>
    <s v="C200637456"/>
    <n v="301"/>
  </r>
  <r>
    <n v="684"/>
    <x v="0"/>
    <s v="C49"/>
    <n v="109891"/>
    <s v="Stock order"/>
    <x v="1"/>
    <s v="R-&gt;L"/>
    <s v="No"/>
    <s v="Y51621"/>
    <n v="1"/>
    <s v="CY仓库"/>
    <d v="2020-06-22T00:00:00"/>
    <s v="0.0665(价格用PO#109925)"/>
    <s v="JUL 20"/>
    <d v="1905-07-12T01:26:24"/>
    <s v="JPY"/>
    <s v="C49SZX20200032DZ"/>
    <x v="162"/>
    <s v="YSM10"/>
    <s v="L-&gt;R"/>
    <s v="MVC"/>
    <s v="WRONG"/>
    <s v="CIF HK"/>
    <d v="2020-06-26T00:00:00"/>
    <x v="0"/>
    <m/>
    <m/>
    <m/>
    <s v="C200637456"/>
    <n v="301"/>
  </r>
  <r>
    <n v="685"/>
    <x v="0"/>
    <s v="C49"/>
    <n v="109891"/>
    <s v="Stock order"/>
    <x v="1"/>
    <s v="R-&gt;L"/>
    <s v="No"/>
    <s v="Y51622"/>
    <n v="1"/>
    <s v="CY仓库"/>
    <d v="2020-06-22T00:00:00"/>
    <s v="0.0665(价格用PO#109925)"/>
    <s v="JUL 20"/>
    <d v="1905-07-12T01:26:24"/>
    <s v="JPY"/>
    <s v="C49SZX20200032DZ"/>
    <x v="162"/>
    <s v="YSM10"/>
    <s v="L-&gt;R"/>
    <s v="No"/>
    <s v="WRONG"/>
    <s v="CIF HK"/>
    <d v="2020-06-26T00:00:00"/>
    <x v="0"/>
    <m/>
    <m/>
    <m/>
    <s v="C200637456"/>
    <n v="302"/>
  </r>
  <r>
    <n v="677"/>
    <x v="0"/>
    <s v="C49"/>
    <n v="109891"/>
    <s v="Stock order"/>
    <x v="1"/>
    <s v="R-&gt;L"/>
    <s v="No"/>
    <s v="Y51623"/>
    <n v="1"/>
    <s v="CY仓库"/>
    <d v="2020-06-22T00:00:00"/>
    <s v="0.0665(价格用PO#109925)"/>
    <s v="JUL 20"/>
    <d v="1905-07-12T01:26:24"/>
    <s v="JPY"/>
    <s v="C49SZX20200081DZ"/>
    <x v="10"/>
    <s v="YSM10"/>
    <s v="L-&gt;R"/>
    <s v="MVC"/>
    <s v="WRONG"/>
    <s v="CIF HK"/>
    <d v="2020-06-24T00:00:00"/>
    <x v="0"/>
    <m/>
    <m/>
    <m/>
    <s v="C190534728"/>
    <n v="302"/>
  </r>
  <r>
    <n v="680"/>
    <x v="0"/>
    <s v="C49"/>
    <n v="109891"/>
    <s v="Stock order"/>
    <x v="1"/>
    <s v="R-&gt;L"/>
    <s v="No"/>
    <s v="Y51624"/>
    <n v="1"/>
    <s v="力合仓库(已经清关)"/>
    <d v="2020-06-22T00:00:00"/>
    <n v="6.6100000000000006E-2"/>
    <s v="JUL 20"/>
    <d v="1905-07-12T01:26:24"/>
    <s v="RMB"/>
    <s v="C49SZX20200085JL"/>
    <x v="42"/>
    <s v="YSM10"/>
    <s v="L-&gt;R"/>
    <s v="MVC"/>
    <s v="WRONG"/>
    <s v="含税到厂"/>
    <d v="2020-06-24T00:00:00"/>
    <x v="0"/>
    <m/>
    <m/>
    <m/>
    <s v="C191236409"/>
    <n v="302"/>
  </r>
  <r>
    <n v="665"/>
    <x v="0"/>
    <s v="C49"/>
    <n v="109891"/>
    <s v="Stock order"/>
    <x v="1"/>
    <s v="R-&gt;L"/>
    <s v="No"/>
    <s v="Y51625"/>
    <n v="1"/>
    <s v="力合仓库(已经清关)"/>
    <d v="2020-06-22T00:00:00"/>
    <n v="6.6100000000000006E-2"/>
    <s v="JUL 20"/>
    <d v="1905-07-12T01:26:24"/>
    <s v="RMB"/>
    <s v="C49SZX20200063SS"/>
    <x v="109"/>
    <s v="YSM10"/>
    <s v="L-&gt;R"/>
    <s v="MVC"/>
    <s v="WRONG"/>
    <s v="含税到厂"/>
    <d v="2020-06-19T00:00:00"/>
    <x v="0"/>
    <m/>
    <m/>
    <m/>
    <s v="C200637604"/>
    <n v="302"/>
  </r>
  <r>
    <n v="666"/>
    <x v="0"/>
    <s v="C49"/>
    <n v="109886"/>
    <s v="Stock order"/>
    <x v="3"/>
    <s v="L-&gt;R"/>
    <s v="No"/>
    <s v="Y51547"/>
    <n v="1"/>
    <s v="华日仓库中转"/>
    <d v="2020-06-24T00:00:00"/>
    <n v="6.6500000000000004E-2"/>
    <s v="JUL 20"/>
    <n v="2020.06"/>
    <s v="JPY"/>
    <s v="C49SZX20200069JY"/>
    <x v="163"/>
    <s v="YSM20R(SV)-2"/>
    <s v="L-&gt;R"/>
    <s v="No"/>
    <s v="OK"/>
    <s v="DAP SZ"/>
    <d v="2020-06-19T00:00:00"/>
    <x v="0"/>
    <m/>
    <m/>
    <m/>
    <s v="C200637625"/>
    <n v="312"/>
  </r>
  <r>
    <n v="690"/>
    <x v="0"/>
    <s v="C49"/>
    <n v="109886"/>
    <s v="Stock order"/>
    <x v="3"/>
    <s v="L-&gt;R"/>
    <s v="No"/>
    <s v="Y51548"/>
    <n v="1"/>
    <s v="钧溢清关，送力合仓库"/>
    <d v="2020-06-24T00:00:00"/>
    <s v="0.0667（价格用PO#109868)"/>
    <s v="JUL 20"/>
    <n v="2020.06"/>
    <s v="RMB"/>
    <s v="C49SZX20200087DZ"/>
    <x v="146"/>
    <s v="YSM20R(SV)-2"/>
    <s v="L-&gt;R"/>
    <s v="MVC"/>
    <s v="WRONG"/>
    <s v="含税到厂"/>
    <d v="2020-06-29T00:00:00"/>
    <x v="0"/>
    <m/>
    <m/>
    <m/>
    <s v="C190635038"/>
    <n v="313"/>
  </r>
  <r>
    <n v="721"/>
    <x v="0"/>
    <s v="C49"/>
    <n v="109886"/>
    <s v="Stock order"/>
    <x v="3"/>
    <s v="L-&gt;R"/>
    <s v="No"/>
    <s v="Y51549"/>
    <n v="1"/>
    <s v="盐保仓库"/>
    <d v="2020-06-24T00:00:00"/>
    <n v="6.6500000000000004E-2"/>
    <s v="JUL 20"/>
    <n v="2020.06"/>
    <s v="JPY"/>
    <s v="C49SZX20200101MZ"/>
    <x v="90"/>
    <s v="YSM20R(SV)-2"/>
    <s v="L-&gt;R"/>
    <s v="No"/>
    <s v="OK"/>
    <s v="CIF HK"/>
    <d v="2020-07-16T00:00:00"/>
    <x v="0"/>
    <m/>
    <m/>
    <m/>
    <s v="C190635053"/>
    <n v="301"/>
  </r>
  <r>
    <n v="667"/>
    <x v="0"/>
    <s v="C49"/>
    <n v="109886"/>
    <s v="Stock order"/>
    <x v="3"/>
    <s v="L-&gt;R"/>
    <s v="No"/>
    <s v="Y51554"/>
    <n v="1"/>
    <s v="力合仓库(已经清关)"/>
    <d v="2020-06-24T00:00:00"/>
    <n v="6.6500000000000004E-2"/>
    <s v="JUL 20"/>
    <n v="2020.06"/>
    <s v="RMB"/>
    <s v="C49SZX20200076JL"/>
    <x v="160"/>
    <s v="YSM20R(SV)-2"/>
    <s v="L-&gt;R"/>
    <s v="No"/>
    <s v="OK"/>
    <s v="含税到厂"/>
    <d v="2020-06-22T00:00:00"/>
    <x v="0"/>
    <m/>
    <m/>
    <m/>
    <s v="C200737778"/>
    <n v="312"/>
  </r>
  <r>
    <n v="703"/>
    <x v="0"/>
    <s v="C49"/>
    <n v="109886"/>
    <s v="Stock order"/>
    <x v="3"/>
    <s v="L-&gt;R"/>
    <s v="No"/>
    <s v="Y51555"/>
    <n v="1"/>
    <s v="盐保仓库"/>
    <d v="2020-06-24T00:00:00"/>
    <n v="6.6500000000000004E-2"/>
    <s v="JUL 20"/>
    <n v="2020.06"/>
    <s v="JPY"/>
    <s v="C49SZX20200092SS"/>
    <x v="164"/>
    <s v="YSM20R(SV)-2"/>
    <s v="L-&gt;R"/>
    <s v="No"/>
    <s v="OK"/>
    <s v="DAP SZ"/>
    <d v="2020-07-09T00:00:00"/>
    <x v="0"/>
    <m/>
    <m/>
    <m/>
    <s v="C191236395"/>
    <n v="301"/>
  </r>
  <r>
    <n v="651"/>
    <x v="0"/>
    <s v="C49"/>
    <s v="109886(拆分PO109947）"/>
    <s v="Stock order"/>
    <x v="3"/>
    <s v="L-&gt;R"/>
    <s v="No"/>
    <s v="Y51552"/>
    <n v="1"/>
    <s v="CY仓库"/>
    <d v="2020-06-24T00:00:00"/>
    <s v="NM"/>
    <s v="JUN 20"/>
    <n v="2020.06"/>
    <s v="JPY"/>
    <s v="C49SZX20200033DZ"/>
    <x v="66"/>
    <s v="YSM20R(SV)-2"/>
    <s v="L-&gt;R"/>
    <s v="No"/>
    <s v="OK"/>
    <s v="CIF HK"/>
    <d v="2020-05-27T00:00:00"/>
    <x v="0"/>
    <m/>
    <m/>
    <m/>
    <s v="C121114462"/>
    <n v="302"/>
  </r>
  <r>
    <n v="682"/>
    <x v="0"/>
    <s v="C49"/>
    <s v="109886(拆分PO109947）"/>
    <s v="Stock order"/>
    <x v="3"/>
    <s v="L-&gt;R"/>
    <s v="No"/>
    <s v="Y51553"/>
    <n v="1"/>
    <s v="CY仓库"/>
    <d v="2020-06-24T00:00:00"/>
    <s v="NM"/>
    <s v="JUL 20"/>
    <n v="2020.06"/>
    <s v="JPY"/>
    <s v="C49SZX20200032DZ"/>
    <x v="162"/>
    <s v="YSM20R(SV)-2"/>
    <s v="L-&gt;R"/>
    <s v="No"/>
    <s v="OK"/>
    <s v="CIF HK"/>
    <d v="2020-06-26T00:00:00"/>
    <x v="0"/>
    <m/>
    <m/>
    <m/>
    <s v="C200637456"/>
    <n v="302"/>
  </r>
  <r>
    <n v="649"/>
    <x v="0"/>
    <s v="C49"/>
    <s v="109886(拆分PO109947）"/>
    <s v="Stock order"/>
    <x v="3"/>
    <s v="L-&gt;R"/>
    <s v="No"/>
    <s v="Y51550"/>
    <n v="1"/>
    <s v="CY仓库"/>
    <d v="2020-06-24T00:00:00"/>
    <s v="NM"/>
    <s v="JUN 20"/>
    <n v="2020.06"/>
    <s v="JPY"/>
    <s v="C49SZX20200033DZ"/>
    <x v="66"/>
    <s v="YSM20R(SV)-2"/>
    <s v="L-&gt;R"/>
    <s v="No"/>
    <s v="OK"/>
    <s v="CIF HK"/>
    <d v="2020-05-27T00:00:00"/>
    <x v="0"/>
    <m/>
    <m/>
    <m/>
    <s v="C121114462"/>
    <n v="301"/>
  </r>
  <r>
    <n v="650"/>
    <x v="0"/>
    <s v="C49"/>
    <s v="109886(拆分PO109947）"/>
    <s v="Stock order"/>
    <x v="3"/>
    <s v="L-&gt;R"/>
    <s v="No"/>
    <s v="Y51551"/>
    <n v="1"/>
    <s v="CY仓库"/>
    <d v="2020-06-24T00:00:00"/>
    <s v="NM"/>
    <s v="JUN 20"/>
    <n v="2020.06"/>
    <s v="JPY"/>
    <s v="C49SZX20200033DZ"/>
    <x v="66"/>
    <s v="YSM20R(SV)-2"/>
    <s v="L-&gt;R"/>
    <s v="No"/>
    <s v="OK"/>
    <s v="CIF HK"/>
    <d v="2020-05-27T00:00:00"/>
    <x v="0"/>
    <m/>
    <m/>
    <m/>
    <s v="C121114462"/>
    <n v="301"/>
  </r>
  <r>
    <n v="675"/>
    <x v="0"/>
    <s v="C49"/>
    <s v="109886(拆分PO109947）"/>
    <s v="Stock order"/>
    <x v="3"/>
    <s v="L-&gt;R"/>
    <s v="No"/>
    <s v="Y51556"/>
    <n v="1"/>
    <s v="CY仓库"/>
    <d v="2020-06-24T00:00:00"/>
    <s v="NM"/>
    <s v="JUL 20"/>
    <n v="2020.06"/>
    <s v="JPY"/>
    <s v="C49SZX20200081DZ"/>
    <x v="10"/>
    <s v="YSM20R(SV)-2"/>
    <s v="L-&gt;R"/>
    <s v="No"/>
    <s v="OK"/>
    <s v="CIF HK"/>
    <d v="2020-06-24T00:00:00"/>
    <x v="0"/>
    <m/>
    <m/>
    <m/>
    <s v="C190534728"/>
    <n v="311"/>
  </r>
  <r>
    <n v="692"/>
    <x v="0"/>
    <s v="C49"/>
    <s v="109917新建PO110003"/>
    <s v="Stock order"/>
    <x v="3"/>
    <s v="L-&gt;R"/>
    <s v="cATS10+special layout"/>
    <s v="Y51841"/>
    <n v="1"/>
    <s v="盐保仓库"/>
    <d v="2020-07-22T00:00:00"/>
    <s v="NM(CR:0.0670)"/>
    <s v="AUG 20"/>
    <n v="2020.07"/>
    <s v="JPY"/>
    <s v="C49SZX20200116JL"/>
    <x v="165"/>
    <s v="YSM20R(SV)-2"/>
    <s v="L-&gt;R"/>
    <s v="cATS10+MVC"/>
    <s v="WRONG"/>
    <s v="DAP SZ"/>
    <d v="2020-07-06T00:00:00"/>
    <x v="0"/>
    <m/>
    <m/>
    <m/>
    <s v="C190434452"/>
    <m/>
  </r>
  <r>
    <n v="888"/>
    <x v="0"/>
    <s v="C49"/>
    <s v="109917新建PO110003"/>
    <s v="Stock order"/>
    <x v="3"/>
    <s v="L-&gt;R"/>
    <s v="cATS10+special layout"/>
    <s v="Y51842"/>
    <n v="1"/>
    <s v="盐保仓库"/>
    <d v="2020-07-22T00:00:00"/>
    <s v="NM(CR:0.0670)"/>
    <s v="OCT 20"/>
    <n v="2020.07"/>
    <s v="USD"/>
    <s v="C49SZX20200193SX"/>
    <x v="166"/>
    <s v="YSM20R(SV)-2"/>
    <s v="L-&gt;R"/>
    <s v="cATS10+MVC"/>
    <s v="WRONG"/>
    <s v="DAP SZ"/>
    <d v="2020-10-21T00:00:00"/>
    <x v="0"/>
    <m/>
    <m/>
    <m/>
    <s v="C200537323"/>
    <m/>
  </r>
  <r>
    <n v="704"/>
    <x v="0"/>
    <s v="C49"/>
    <s v="109917(拆分PO109963，新建PO110004）"/>
    <s v="Stock order"/>
    <x v="3"/>
    <s v="L-&gt;R"/>
    <s v="No"/>
    <s v="Y51840"/>
    <n v="1"/>
    <s v="盐保仓库"/>
    <d v="2020-07-22T00:00:00"/>
    <s v="NM"/>
    <s v="JUL 20"/>
    <n v="2020.07"/>
    <s v="JPY"/>
    <s v="C49SZX20200068MZ"/>
    <x v="84"/>
    <s v="YSM20R(SV)-2"/>
    <s v="L-&gt;R"/>
    <s v="No"/>
    <s v="OK"/>
    <s v="DAP SZ"/>
    <d v="2020-07-09T00:00:00"/>
    <x v="0"/>
    <m/>
    <m/>
    <m/>
    <s v="C170629716"/>
    <m/>
  </r>
  <r>
    <n v="686"/>
    <x v="0"/>
    <s v="C49"/>
    <s v="109917(拆分PO109963，新建PO110004）"/>
    <s v="Stock order"/>
    <x v="3"/>
    <s v="L-&gt;R"/>
    <s v="No"/>
    <s v="Y51843"/>
    <n v="1"/>
    <s v="盐保仓库"/>
    <d v="2020-07-22T00:00:00"/>
    <s v="NM"/>
    <s v="JUL 20"/>
    <n v="2020.07"/>
    <s v="JPY"/>
    <s v="C49SZX20200070JY"/>
    <x v="167"/>
    <s v="YSM20R(SV)-2"/>
    <s v="L-&gt;R"/>
    <s v="No"/>
    <s v="OK"/>
    <s v="DAP HZ"/>
    <d v="2020-06-23T00:00:00"/>
    <x v="0"/>
    <m/>
    <m/>
    <m/>
    <s v="C200437179"/>
    <m/>
  </r>
  <r>
    <n v="727"/>
    <x v="0"/>
    <s v="C49"/>
    <s v="109917(拆分PO109963，新建PO110004）"/>
    <s v="Stock order"/>
    <x v="3"/>
    <s v="L-&gt;R"/>
    <s v="No"/>
    <s v="Y51844"/>
    <n v="1"/>
    <s v="盐保仓库"/>
    <d v="2020-07-22T00:00:00"/>
    <s v="NM"/>
    <s v="AUG 20"/>
    <n v="2020.07"/>
    <s v="JPY"/>
    <s v="C49SZX20200106SS"/>
    <x v="168"/>
    <s v="YSM20R(SV)-2"/>
    <s v="L-&gt;R"/>
    <s v="MVC"/>
    <s v="WRONG"/>
    <s v="DAP SZ"/>
    <d v="2020-07-17T00:00:00"/>
    <x v="0"/>
    <m/>
    <m/>
    <m/>
    <s v="C200737853"/>
    <m/>
  </r>
  <r>
    <n v="673"/>
    <x v="0"/>
    <s v="C49"/>
    <s v="109917(拆分PO109998）"/>
    <s v="Stock order"/>
    <x v="3"/>
    <s v="L-&gt;R"/>
    <s v="No"/>
    <s v="Y51845"/>
    <n v="1"/>
    <s v="盐保仓库"/>
    <d v="2020-07-22T00:00:00"/>
    <n v="6.6100000000000006E-2"/>
    <s v="AUG 20"/>
    <n v="2020.07"/>
    <s v="RMB"/>
    <s v="C49SZX20200079KW"/>
    <x v="149"/>
    <s v="YSM20R(SV)-2"/>
    <s v="L-&gt;R"/>
    <s v="No"/>
    <s v="OK"/>
    <s v="含税到厂"/>
    <d v="2020-06-23T00:00:00"/>
    <x v="0"/>
    <m/>
    <m/>
    <m/>
    <s v="C200737734"/>
    <m/>
  </r>
  <r>
    <n v="687"/>
    <x v="0"/>
    <s v="C49"/>
    <n v="109924"/>
    <s v="Stock order"/>
    <x v="1"/>
    <s v="R-&gt;L"/>
    <s v="No"/>
    <s v="Y51907"/>
    <n v="1"/>
    <s v="盐保仓库"/>
    <d v="2020-07-22T00:00:00"/>
    <s v="NM"/>
    <s v="JUL 20"/>
    <d v="1905-07-12T01:40:48"/>
    <s v="JPY"/>
    <s v="C49SZX20200070JY"/>
    <x v="167"/>
    <s v="YSM10"/>
    <s v="L-&gt;R"/>
    <s v="MVC"/>
    <s v="WRONG"/>
    <s v="DAP HZ"/>
    <d v="2020-06-23T00:00:00"/>
    <x v="0"/>
    <m/>
    <m/>
    <m/>
    <s v="C200437179"/>
    <n v="301"/>
  </r>
  <r>
    <n v="688"/>
    <x v="0"/>
    <s v="C49"/>
    <n v="109924"/>
    <s v="Stock order"/>
    <x v="1"/>
    <s v="R-&gt;L"/>
    <s v="No"/>
    <s v="Y51904"/>
    <n v="1"/>
    <s v="盐保仓库"/>
    <d v="2020-07-22T00:00:00"/>
    <s v="NM"/>
    <s v="JUL 20"/>
    <d v="1905-07-12T01:40:48"/>
    <s v="JPY"/>
    <s v="C49SZX20200070JY"/>
    <x v="167"/>
    <s v="YSM10"/>
    <s v="L-&gt;R"/>
    <s v="MVC"/>
    <s v="WRONG"/>
    <s v="DAP HZ"/>
    <d v="2020-06-23T00:00:00"/>
    <x v="0"/>
    <m/>
    <m/>
    <m/>
    <s v="C200437179"/>
    <n v="301"/>
  </r>
  <r>
    <n v="691"/>
    <x v="0"/>
    <s v="C49"/>
    <n v="109924"/>
    <s v="Stock order"/>
    <x v="1"/>
    <s v="R-&gt;L"/>
    <s v="No"/>
    <s v="Y51909"/>
    <n v="1"/>
    <s v="盐保仓库"/>
    <d v="2020-07-22T00:00:00"/>
    <s v="NM"/>
    <s v="JUL 20"/>
    <d v="1905-07-12T01:40:48"/>
    <s v="JPY"/>
    <s v="C49SZX20200072JY"/>
    <x v="169"/>
    <s v="YSM10"/>
    <s v="L-&gt;R"/>
    <s v="MVC"/>
    <s v="WRONG"/>
    <s v="DAP DG"/>
    <d v="2020-07-02T00:00:00"/>
    <x v="0"/>
    <m/>
    <m/>
    <m/>
    <s v="C170629555"/>
    <n v="301"/>
  </r>
  <r>
    <n v="709"/>
    <x v="0"/>
    <s v="C49"/>
    <n v="109924"/>
    <s v="Stock order"/>
    <x v="1"/>
    <s v="R-&gt;L"/>
    <s v="No"/>
    <s v="Y51906"/>
    <n v="1"/>
    <s v="盐保仓库"/>
    <d v="2020-07-22T00:00:00"/>
    <s v="NM"/>
    <s v="JUL 20"/>
    <d v="1905-07-12T01:40:48"/>
    <s v="JPY"/>
    <s v="C49SZX20200098ZX"/>
    <x v="45"/>
    <s v="YSM10"/>
    <s v="L-&gt;R"/>
    <s v="MVC"/>
    <s v="WRONG"/>
    <s v="DAP SZ"/>
    <d v="2020-07-14T00:00:00"/>
    <x v="0"/>
    <m/>
    <m/>
    <m/>
    <s v="C180131148"/>
    <n v="301"/>
  </r>
  <r>
    <n v="733"/>
    <x v="0"/>
    <s v="C49"/>
    <s v="109924(拆分PO109962)"/>
    <s v="Stock order"/>
    <x v="1"/>
    <s v="R-&gt;L"/>
    <s v="No"/>
    <s v="Y51903"/>
    <n v="1"/>
    <s v="力合仓库(已经清关)"/>
    <d v="2020-07-22T00:00:00"/>
    <n v="6.6100000000000006E-2"/>
    <s v="JUL 20"/>
    <d v="1905-07-12T01:40:48"/>
    <s v="RMB"/>
    <s v="C49SZX20200097JY"/>
    <x v="170"/>
    <s v="YSM10"/>
    <s v="L-&gt;R"/>
    <s v="MVC"/>
    <s v="WRONG"/>
    <s v="含税到厂"/>
    <d v="2020-07-20T00:00:00"/>
    <x v="0"/>
    <m/>
    <m/>
    <m/>
    <s v="C141021119"/>
    <n v="301"/>
  </r>
  <r>
    <n v="710"/>
    <x v="0"/>
    <s v="C49"/>
    <s v="109924(拆分PO109962)"/>
    <s v="Stock order"/>
    <x v="1"/>
    <s v="R-&gt;L"/>
    <s v="No"/>
    <s v="Y51908"/>
    <n v="1"/>
    <s v="盐保仓库"/>
    <d v="2020-07-22T00:00:00"/>
    <n v="6.6100000000000006E-2"/>
    <s v="JUL 20"/>
    <d v="1905-07-12T01:40:48"/>
    <s v="JPY"/>
    <s v="C49SZX20200098ZX"/>
    <x v="45"/>
    <s v="YSM10"/>
    <s v="L-&gt;R"/>
    <s v="MVC"/>
    <s v="WRONG"/>
    <s v="DAP SZ"/>
    <d v="2020-07-14T00:00:00"/>
    <x v="0"/>
    <m/>
    <m/>
    <m/>
    <s v="C180131148"/>
    <n v="301"/>
  </r>
  <r>
    <n v="679"/>
    <x v="0"/>
    <s v="C49"/>
    <s v="109924(拆分PO109962)"/>
    <s v="Stock order"/>
    <x v="1"/>
    <s v="R-&gt;L"/>
    <s v="No"/>
    <s v="Y51905"/>
    <n v="1"/>
    <s v="盐保仓库"/>
    <d v="2020-07-22T00:00:00"/>
    <n v="6.6100000000000006E-2"/>
    <s v="JUL 20"/>
    <d v="1905-07-12T01:40:48"/>
    <s v="RMB"/>
    <s v="C49SZX20200085JL"/>
    <x v="42"/>
    <s v="YSM10"/>
    <s v="L-&gt;R"/>
    <s v="MVC"/>
    <s v="WRONG"/>
    <s v="含税到厂"/>
    <d v="2020-06-24T00:00:00"/>
    <x v="0"/>
    <m/>
    <m/>
    <m/>
    <s v="C191236409"/>
    <n v="302"/>
  </r>
  <r>
    <n v="764"/>
    <x v="0"/>
    <s v="C49"/>
    <s v="109924(拆分PO109962)"/>
    <s v="Stock order"/>
    <x v="1"/>
    <s v="R-&gt;L"/>
    <s v="No"/>
    <s v="Y51910"/>
    <n v="1"/>
    <s v="盐保仓库"/>
    <d v="2020-07-22T00:00:00"/>
    <n v="6.6100000000000006E-2"/>
    <s v="AUG 20"/>
    <d v="1905-07-12T01:40:48"/>
    <s v="RMB"/>
    <s v="C49SZX20200131KW"/>
    <x v="171"/>
    <s v="YSM10"/>
    <s v="L-&gt;R"/>
    <s v="MVC"/>
    <s v="WRONG"/>
    <s v="含税到厂"/>
    <d v="2020-08-08T00:00:00"/>
    <x v="0"/>
    <m/>
    <m/>
    <m/>
    <s v="C170930142"/>
    <n v="302"/>
  </r>
  <r>
    <n v="752"/>
    <x v="0"/>
    <s v="C49"/>
    <s v="49F103569"/>
    <s v="上海机器"/>
    <x v="3"/>
    <s v="L-&gt;R"/>
    <s v="No"/>
    <s v="Y51940"/>
    <n v="1"/>
    <s v="上海仓库"/>
    <d v="2020-07-23T00:00:00"/>
    <n v="6.6900000000000001E-2"/>
    <s v="AUG 20"/>
    <n v="2020.07"/>
    <s v="RMB"/>
    <s v="C49SZX20200119SS"/>
    <x v="71"/>
    <s v="YSM20R(SV)-2"/>
    <s v="L-&gt;R"/>
    <s v="No"/>
    <s v="OK"/>
    <s v="含税到厂"/>
    <d v="2020-07-30T00:00:00"/>
    <x v="0"/>
    <m/>
    <m/>
    <m/>
    <s v="C200537351"/>
    <n v="301"/>
  </r>
  <r>
    <n v="462"/>
    <x v="0"/>
    <s v="C49"/>
    <n v="109933"/>
    <s v="智序名义下单"/>
    <x v="1"/>
    <s v="R-&gt;L"/>
    <s v="ATS15"/>
    <s v="Y51972"/>
    <n v="1"/>
    <s v="盐保仓库"/>
    <d v="2020-08-12T00:00:00"/>
    <s v="NM"/>
    <s v="AUG 20"/>
    <d v="1905-07-12T01:40:48"/>
    <s v="JPY"/>
    <s v="C49SZX20190151MZ"/>
    <x v="28"/>
    <s v="YSM10"/>
    <s v="L-&gt;R"/>
    <s v="MVC+ATS15"/>
    <s v="WRONG"/>
    <s v="DAP SZ"/>
    <d v="2019-10-24T00:00:00"/>
    <x v="0"/>
    <m/>
    <m/>
    <m/>
    <s v="C190434446"/>
    <n v="301"/>
  </r>
  <r>
    <n v="767"/>
    <x v="0"/>
    <s v="C49"/>
    <n v="109933"/>
    <s v="智序名义下单"/>
    <x v="1"/>
    <s v="R-&gt;L"/>
    <s v="ATS15"/>
    <s v="Y51973"/>
    <n v="1"/>
    <s v="盐保仓库"/>
    <d v="2020-08-12T00:00:00"/>
    <s v="NM(CR:0.0685)"/>
    <s v="SEP 20"/>
    <d v="1905-07-12T01:40:48"/>
    <s v="JPY"/>
    <s v="C49SZX20200078CY"/>
    <x v="172"/>
    <s v="YSM10"/>
    <s v="R-&gt;L"/>
    <s v="MVC+ATS15"/>
    <s v="WRONG"/>
    <s v="DAP SZ"/>
    <d v="2020-08-10T00:00:00"/>
    <x v="0"/>
    <m/>
    <m/>
    <m/>
    <s v="C200838030"/>
    <n v="301"/>
  </r>
  <r>
    <n v="732"/>
    <x v="0"/>
    <s v="C49"/>
    <n v="109933"/>
    <s v="智序名义下单"/>
    <x v="1"/>
    <s v="R-&gt;L"/>
    <s v="ATS15"/>
    <s v="Y51983"/>
    <n v="1"/>
    <s v="盐保仓库"/>
    <d v="2020-08-12T00:00:00"/>
    <s v="NM(CR:0.0685)"/>
    <s v="SEP 20"/>
    <d v="1905-07-12T01:40:48"/>
    <s v="JPY"/>
    <s v="C49SZX20200110MZ"/>
    <x v="152"/>
    <s v="YSM10"/>
    <s v="L-&gt;R"/>
    <s v="MVC+ATS15"/>
    <s v="WRONG"/>
    <s v="CIF HK"/>
    <d v="2020-07-21T00:00:00"/>
    <x v="0"/>
    <m/>
    <m/>
    <m/>
    <s v="C200637437"/>
    <n v="301"/>
  </r>
  <r>
    <n v="773"/>
    <x v="0"/>
    <s v="C49"/>
    <n v="109933"/>
    <s v="智序名义下单"/>
    <x v="3"/>
    <s v="R-&gt;L"/>
    <s v="No"/>
    <s v="Y51966"/>
    <n v="1"/>
    <s v="力合仓库(已经清关)"/>
    <d v="2020-08-12T00:00:00"/>
    <s v="0.0655(价格用PO109999）"/>
    <s v="SEP 20"/>
    <n v="2020.07"/>
    <s v="RMB"/>
    <s v="C49SZX20200123DZ"/>
    <x v="146"/>
    <s v="YSM20R(SV)-2"/>
    <s v="R-&gt;L"/>
    <s v="No"/>
    <s v="OK"/>
    <s v="含税到厂"/>
    <d v="2020-08-13T00:00:00"/>
    <x v="0"/>
    <m/>
    <m/>
    <m/>
    <s v="C190635038"/>
    <n v="304"/>
  </r>
  <r>
    <n v="678"/>
    <x v="0"/>
    <s v="C49"/>
    <n v="109933"/>
    <s v="智序名义下单"/>
    <x v="3"/>
    <s v="R-&gt;L"/>
    <s v="No"/>
    <s v="Y51967"/>
    <n v="1"/>
    <s v="盐保仓库"/>
    <d v="2020-08-12T00:00:00"/>
    <s v="NM"/>
    <s v="AUG 20"/>
    <n v="2020.07"/>
    <s v="JPY"/>
    <s v="C49SZX20200082DZ"/>
    <x v="10"/>
    <s v="YSM20R(SV)-2"/>
    <s v="R-&gt;L"/>
    <s v="No"/>
    <s v="OK"/>
    <s v="CIF HK"/>
    <d v="2020-06-24T00:00:00"/>
    <x v="0"/>
    <m/>
    <m/>
    <m/>
    <s v="C190534728"/>
    <n v="304"/>
  </r>
  <r>
    <n v="461"/>
    <x v="0"/>
    <s v="C49"/>
    <n v="109933"/>
    <s v="智序名义下单"/>
    <x v="3"/>
    <s v="L-&gt;R"/>
    <s v="No"/>
    <s v="Y51968"/>
    <n v="1"/>
    <s v="盐保仓库"/>
    <d v="2020-08-12T00:00:00"/>
    <s v="NM"/>
    <s v="AUG 20"/>
    <n v="2020.07"/>
    <s v="JPY"/>
    <s v="C49SZX20190151MZ"/>
    <x v="28"/>
    <s v="YSM20R(SV)-2"/>
    <s v="L-&gt;R"/>
    <s v="No"/>
    <s v="OK"/>
    <s v="DAP SZ"/>
    <d v="2019-10-24T00:00:00"/>
    <x v="0"/>
    <m/>
    <m/>
    <m/>
    <s v="C190434446"/>
    <n v="303"/>
  </r>
  <r>
    <n v="693"/>
    <x v="0"/>
    <s v="C49"/>
    <n v="109933"/>
    <s v="智序名义下单"/>
    <x v="3"/>
    <s v="L-&gt;R"/>
    <s v="No"/>
    <s v="Y51969"/>
    <n v="1"/>
    <s v="盐保仓库"/>
    <d v="2020-08-12T00:00:00"/>
    <s v="NM(CR:0.0685)"/>
    <s v="AUG 20"/>
    <n v="2020.07"/>
    <s v="JPY"/>
    <s v="C49SZX20200116JL"/>
    <x v="165"/>
    <s v="YSM20R(SV)-2"/>
    <s v="L-&gt;R"/>
    <s v="MVC"/>
    <s v="WRONG"/>
    <s v="DAP SZ"/>
    <d v="2020-07-06T00:00:00"/>
    <x v="0"/>
    <m/>
    <m/>
    <m/>
    <s v="C190434452"/>
    <n v="301"/>
  </r>
  <r>
    <n v="694"/>
    <x v="0"/>
    <s v="C49"/>
    <n v="109933"/>
    <s v="智序名义下单"/>
    <x v="3"/>
    <s v="L-&gt;R"/>
    <s v="No"/>
    <s v="Y51970"/>
    <n v="1"/>
    <s v="盐保仓库"/>
    <d v="2020-08-12T00:00:00"/>
    <s v="NM(CR:0.0685)"/>
    <s v="AUG 20"/>
    <n v="2020.07"/>
    <s v="JPY"/>
    <s v="C49SZX20200116JL"/>
    <x v="165"/>
    <s v="YSM20R(SV)-2"/>
    <s v="L-&gt;R"/>
    <s v="MVC"/>
    <s v="WRONG"/>
    <s v="DAP SZ"/>
    <d v="2020-07-06T00:00:00"/>
    <x v="0"/>
    <m/>
    <m/>
    <m/>
    <s v="C190434452"/>
    <n v="301"/>
  </r>
  <r>
    <n v="695"/>
    <x v="0"/>
    <s v="C49"/>
    <n v="109933"/>
    <s v="智序名义下单"/>
    <x v="3"/>
    <s v="L-&gt;R"/>
    <s v="No"/>
    <s v="Y51971"/>
    <n v="1"/>
    <s v="盐保仓库"/>
    <d v="2020-08-12T00:00:00"/>
    <s v="NM(CR:0.0685)"/>
    <s v="AUG 20"/>
    <n v="2020.07"/>
    <s v="JPY"/>
    <s v="C49SZX20200116JL"/>
    <x v="165"/>
    <s v="YSM20R(SV)-2"/>
    <s v="L-&gt;R"/>
    <s v="MVC"/>
    <s v="WRONG"/>
    <s v="DAP SZ"/>
    <d v="2020-07-06T00:00:00"/>
    <x v="0"/>
    <m/>
    <m/>
    <m/>
    <s v="C190434452"/>
    <n v="301"/>
  </r>
  <r>
    <n v="670"/>
    <x v="0"/>
    <s v="C49"/>
    <s v="49J103603"/>
    <s v="正邦名义下单"/>
    <x v="0"/>
    <s v="L-&gt;R"/>
    <s v="No"/>
    <s v="Y50716"/>
    <n v="1"/>
    <s v="Yamaha 大浪仓"/>
    <d v="2020-07-12T00:00:00"/>
    <s v="NM "/>
    <s v="JUL 20"/>
    <m/>
    <s v="RMB"/>
    <s v="C49SZX20200077JZ"/>
    <x v="173"/>
    <s v="YSM40R-4"/>
    <s v="L-&gt;R"/>
    <s v="No"/>
    <s v="OK"/>
    <s v="含税到厂"/>
    <d v="2020-06-23T00:00:00"/>
    <x v="0"/>
    <m/>
    <m/>
    <m/>
    <s v="IND order "/>
    <m/>
  </r>
  <r>
    <n v="706"/>
    <x v="0"/>
    <s v="C49"/>
    <n v="109957"/>
    <s v="Stock order"/>
    <x v="1"/>
    <s v="R-&gt;L"/>
    <s v="ATS15"/>
    <s v="Y52108"/>
    <n v="1"/>
    <s v="盐保仓库"/>
    <d v="2020-08-21T00:00:00"/>
    <s v="NM(CR:0.0685)"/>
    <s v="SEP 20"/>
    <d v="1905-07-12T01:40:48"/>
    <s v="JPY"/>
    <s v="C49SZX20200075EC"/>
    <x v="174"/>
    <s v="YSM10"/>
    <s v="R-&gt;L"/>
    <s v="MVC+ATS15"/>
    <s v="WRONG"/>
    <s v="CIF HK"/>
    <d v="2020-07-13T00:00:00"/>
    <x v="0"/>
    <m/>
    <m/>
    <m/>
    <s v="C200737827"/>
    <n v="302"/>
  </r>
  <r>
    <n v="768"/>
    <x v="0"/>
    <s v="C49"/>
    <n v="109957"/>
    <s v="Stock order"/>
    <x v="1"/>
    <s v="R-&gt;L"/>
    <s v="ATS15"/>
    <s v="Y52109"/>
    <n v="1"/>
    <s v="盐保仓库"/>
    <d v="2020-08-21T00:00:00"/>
    <s v="NM(CR:0.0685)"/>
    <s v="SEP 20"/>
    <d v="1905-07-12T01:40:48"/>
    <s v="JPY"/>
    <s v="C49SZX20200078CY"/>
    <x v="172"/>
    <s v="YSM10"/>
    <s v="R-&gt;L"/>
    <s v="MVC+ATS15"/>
    <s v="WRONG"/>
    <s v="DAP SZ"/>
    <d v="2020-08-10T00:00:00"/>
    <x v="0"/>
    <m/>
    <m/>
    <m/>
    <s v="C200838030"/>
    <n v="302"/>
  </r>
  <r>
    <n v="734"/>
    <x v="0"/>
    <s v="C49"/>
    <n v="109957"/>
    <s v="Stock order"/>
    <x v="1"/>
    <s v="R-&gt;L"/>
    <s v="No"/>
    <s v="Y52110（不能调动机器，序列号提供给了客户）"/>
    <n v="1"/>
    <s v="盐保仓库"/>
    <d v="2020-08-21T00:00:00"/>
    <s v="NM(CR:0.0685)"/>
    <s v="SEP 20"/>
    <d v="1905-07-12T01:40:48"/>
    <s v="JPY"/>
    <s v="C49SZX20200125JY"/>
    <x v="175"/>
    <s v="YSM10"/>
    <s v="L-&gt;R"/>
    <s v="MVC"/>
    <s v="WRONG"/>
    <s v="DAP SZ"/>
    <d v="2020-07-20T00:00:00"/>
    <x v="0"/>
    <m/>
    <m/>
    <m/>
    <s v="C200838012"/>
    <n v="301"/>
  </r>
  <r>
    <n v="775"/>
    <x v="0"/>
    <s v="C49"/>
    <n v="109957"/>
    <s v="Stock order"/>
    <x v="1"/>
    <s v="R-&gt;L"/>
    <s v="No"/>
    <s v="Y52111"/>
    <n v="1"/>
    <s v="力合仓库(已经清关)"/>
    <d v="2020-08-21T00:00:00"/>
    <s v="0.0655(价格用PO109977）"/>
    <s v="SEP 20"/>
    <d v="1905-07-12T01:40:48"/>
    <s v="RMB"/>
    <s v="C49SZX20200123DZ"/>
    <x v="146"/>
    <s v="YSM10"/>
    <s v="R-&gt;L"/>
    <s v="MVC"/>
    <s v="WRONG"/>
    <s v="含税到厂"/>
    <d v="2020-08-13T00:00:00"/>
    <x v="0"/>
    <m/>
    <m/>
    <m/>
    <s v="C190635038"/>
    <n v="301"/>
  </r>
  <r>
    <n v="729"/>
    <x v="0"/>
    <s v="C49"/>
    <n v="109957"/>
    <s v="Stock order"/>
    <x v="1"/>
    <s v="R-&gt;L"/>
    <s v="No"/>
    <s v="Y52112"/>
    <n v="1"/>
    <s v="盐保仓库"/>
    <d v="2020-08-21T00:00:00"/>
    <s v="NM(CR:0.0685)"/>
    <s v="AUG 20"/>
    <d v="1905-07-12T01:55:12"/>
    <s v="JPY"/>
    <s v="C49SZX20200066SX"/>
    <x v="76"/>
    <s v="YSM10"/>
    <s v="L-&gt;R"/>
    <s v="MVC"/>
    <s v="WRONG"/>
    <s v="DAP HZ"/>
    <d v="2020-07-20T00:00:00"/>
    <x v="0"/>
    <m/>
    <m/>
    <m/>
    <s v="C180231291"/>
    <n v="301"/>
  </r>
  <r>
    <n v="730"/>
    <x v="0"/>
    <s v="C49"/>
    <n v="109957"/>
    <s v="Stock order"/>
    <x v="1"/>
    <s v="R-&gt;L"/>
    <s v="No"/>
    <s v="Y52113"/>
    <n v="1"/>
    <s v="盐保仓库"/>
    <d v="2020-08-21T00:00:00"/>
    <s v="NM(CR:0.0685)"/>
    <s v="AUG 20"/>
    <d v="1905-07-12T01:55:12"/>
    <s v="JPY"/>
    <s v="C49SZX20200066SX"/>
    <x v="76"/>
    <s v="YSM10"/>
    <s v="L-&gt;R"/>
    <s v="No"/>
    <s v="WRONG"/>
    <s v="DAP HZ"/>
    <d v="2020-07-20T00:00:00"/>
    <x v="0"/>
    <m/>
    <m/>
    <m/>
    <s v="C180231291"/>
    <n v="301"/>
  </r>
  <r>
    <n v="771"/>
    <x v="0"/>
    <s v="C49"/>
    <n v="109957"/>
    <s v="Stock order"/>
    <x v="1"/>
    <s v="R-&gt;L"/>
    <s v="No"/>
    <s v="Y52114"/>
    <n v="1"/>
    <s v="盐保仓库"/>
    <d v="2020-08-21T00:00:00"/>
    <s v="NM(CR:0.0685)"/>
    <s v="SEP 20"/>
    <d v="1905-07-12T01:55:12"/>
    <s v="RMB"/>
    <s v="C49SZX20200126JY"/>
    <x v="176"/>
    <s v="YSM10"/>
    <s v="L-&gt;R"/>
    <s v="MVC"/>
    <s v="WRONG"/>
    <s v="含税到厂"/>
    <d v="2020-08-11T00:00:00"/>
    <x v="0"/>
    <m/>
    <m/>
    <m/>
    <s v="C200737845"/>
    <n v="301"/>
  </r>
  <r>
    <n v="696"/>
    <x v="0"/>
    <s v="C49"/>
    <n v="109981"/>
    <s v="德劲名义下单"/>
    <x v="0"/>
    <s v="L-&gt;R"/>
    <s v="No"/>
    <s v="Y51103"/>
    <n v="1"/>
    <s v="盐保仓库"/>
    <d v="2020-08-26T00:00:00"/>
    <s v="NM(CR:0.0685)"/>
    <s v="AUG 20"/>
    <d v="1905-07-12T00:57:36"/>
    <s v="JPY"/>
    <s v="C49SZX20200116JL"/>
    <x v="165"/>
    <s v="YSM40R-4"/>
    <s v="L-&gt;R"/>
    <s v="No"/>
    <s v="OK"/>
    <s v="DAP SZ"/>
    <d v="2020-07-06T00:00:00"/>
    <x v="0"/>
    <m/>
    <m/>
    <m/>
    <s v="IND order "/>
    <m/>
  </r>
  <r>
    <n v="793"/>
    <x v="0"/>
    <s v="C49"/>
    <s v="109981(拆分PO110029）"/>
    <s v="德劲名义下单"/>
    <x v="0"/>
    <s v="L-&gt;R"/>
    <s v="No"/>
    <s v="Y51203"/>
    <n v="1"/>
    <s v="盐保仓库"/>
    <d v="2020-08-26T00:00:00"/>
    <n v="6.5500000000000003E-2"/>
    <s v="SEP 20"/>
    <d v="1905-07-12T00:57:36"/>
    <s v="RMB"/>
    <s v="C49SZX20200127KW"/>
    <x v="177"/>
    <s v="YSM40R-4"/>
    <s v="L-&gt;R"/>
    <s v="No"/>
    <s v="OK"/>
    <s v="含税到厂"/>
    <d v="2020-08-26T00:00:00"/>
    <x v="0"/>
    <m/>
    <m/>
    <m/>
    <s v="C200938128"/>
    <m/>
  </r>
  <r>
    <n v="707"/>
    <x v="0"/>
    <s v="C49"/>
    <n v="109958"/>
    <s v="Stock order"/>
    <x v="1"/>
    <s v="R-&gt;L"/>
    <s v="No"/>
    <s v="Y52115"/>
    <n v="1"/>
    <s v="盐保仓库"/>
    <d v="2020-08-28T00:00:00"/>
    <n v="6.6299999999999998E-2"/>
    <s v="SEP 20"/>
    <d v="1905-07-12T01:55:12"/>
    <s v="JPY"/>
    <s v="C49SZX20200075EC"/>
    <x v="174"/>
    <s v="YSM10"/>
    <s v="R-&gt;L"/>
    <s v="No"/>
    <s v="OK"/>
    <s v="CIF HK"/>
    <d v="2020-07-13T00:00:00"/>
    <x v="0"/>
    <m/>
    <m/>
    <m/>
    <s v="C200737827"/>
    <n v="301"/>
  </r>
  <r>
    <n v="724"/>
    <x v="0"/>
    <s v="C49"/>
    <n v="109958"/>
    <s v="Stock order"/>
    <x v="1"/>
    <s v="R-&gt;L"/>
    <s v="No"/>
    <s v="Y52116"/>
    <n v="1"/>
    <s v="盐保仓库"/>
    <d v="2020-08-28T00:00:00"/>
    <n v="6.6299999999999998E-2"/>
    <s v="SEP 20"/>
    <d v="1905-07-12T01:55:12"/>
    <s v="JPY"/>
    <s v="C49SZX20200102MZ"/>
    <x v="90"/>
    <s v="YSM10"/>
    <s v="L-&gt;R"/>
    <s v="No"/>
    <s v="WRONG"/>
    <s v="CIF HK"/>
    <d v="2020-07-16T00:00:00"/>
    <x v="0"/>
    <m/>
    <m/>
    <m/>
    <s v="C190635053"/>
    <n v="301"/>
  </r>
  <r>
    <n v="725"/>
    <x v="0"/>
    <s v="C49"/>
    <n v="109958"/>
    <s v="Stock order"/>
    <x v="1"/>
    <s v="R-&gt;L"/>
    <s v="No"/>
    <s v="Y52117"/>
    <n v="1"/>
    <s v="盐保仓库"/>
    <d v="2020-08-28T00:00:00"/>
    <n v="6.6299999999999998E-2"/>
    <s v="SEP 20"/>
    <d v="1905-07-12T01:55:12"/>
    <s v="JPY"/>
    <s v="C49SZX20200102MZ"/>
    <x v="90"/>
    <s v="YSM10"/>
    <s v="L-&gt;R"/>
    <s v="No"/>
    <s v="WRONG"/>
    <s v="CIF HK"/>
    <d v="2020-07-16T00:00:00"/>
    <x v="0"/>
    <m/>
    <m/>
    <m/>
    <s v="C190635053"/>
    <n v="301"/>
  </r>
  <r>
    <n v="719"/>
    <x v="0"/>
    <s v="C49"/>
    <n v="109958"/>
    <s v="Stock order"/>
    <x v="1"/>
    <s v="R-&gt;L"/>
    <s v="No"/>
    <s v="Y52118"/>
    <n v="1"/>
    <s v="盐保仓库"/>
    <d v="2020-08-28T00:00:00"/>
    <n v="6.6299999999999998E-2"/>
    <s v="SEP 20"/>
    <d v="1905-07-12T01:55:12"/>
    <s v="JPY"/>
    <s v="C49SZX20200103SS"/>
    <x v="150"/>
    <s v="YSM10"/>
    <s v="L-&gt;R"/>
    <s v="MVC"/>
    <s v="WRONG"/>
    <s v="DAP SZ"/>
    <d v="2020-07-15T00:00:00"/>
    <x v="0"/>
    <m/>
    <m/>
    <m/>
    <s v="C191136105"/>
    <n v="302"/>
  </r>
  <r>
    <n v="742"/>
    <x v="0"/>
    <s v="C49"/>
    <n v="109958"/>
    <s v="Stock order"/>
    <x v="1"/>
    <s v="R-&gt;L"/>
    <s v="No"/>
    <s v="Y52119"/>
    <n v="1"/>
    <s v="盐保仓库"/>
    <d v="2020-08-28T00:00:00"/>
    <n v="6.6299999999999998E-2"/>
    <s v="SEP 20"/>
    <d v="1905-07-12T01:55:12"/>
    <s v="JPY"/>
    <s v="C49SZX20200111JY"/>
    <x v="178"/>
    <s v="YSM10"/>
    <s v="L-&gt;R"/>
    <s v="No"/>
    <s v="WRONG"/>
    <s v="DAP SZ"/>
    <d v="2020-07-23T00:00:00"/>
    <x v="0"/>
    <m/>
    <m/>
    <m/>
    <s v="C200737736"/>
    <n v="302"/>
  </r>
  <r>
    <n v="728"/>
    <x v="0"/>
    <s v="C49"/>
    <s v="109954(拆分PO109999）"/>
    <s v="Stock order"/>
    <x v="3"/>
    <s v="L-&gt;R"/>
    <s v="No"/>
    <s v="Y52100"/>
    <n v="1"/>
    <s v="力合中转仓"/>
    <d v="2020-09-16T00:00:00"/>
    <n v="6.5500000000000003E-2"/>
    <s v="SEP 20"/>
    <n v="2020.09"/>
    <s v="RMB"/>
    <s v="C49SZX20200096MZ"/>
    <x v="179"/>
    <s v="YSM20R(SV)-2"/>
    <s v="L-&gt;R"/>
    <s v="No"/>
    <s v="OK"/>
    <s v="含税到厂"/>
    <d v="2020-07-18T00:00:00"/>
    <x v="0"/>
    <m/>
    <m/>
    <m/>
    <s v="C150222316"/>
    <n v="312"/>
  </r>
  <r>
    <n v="758"/>
    <x v="0"/>
    <s v="C49"/>
    <s v="109954(拆分PO109999）"/>
    <s v="Stock order"/>
    <x v="3"/>
    <s v="L-&gt;R"/>
    <s v="No"/>
    <s v="Y52101"/>
    <n v="1"/>
    <s v="力合中转仓"/>
    <d v="2020-09-16T00:00:00"/>
    <s v="NM（价格用PO#109933)"/>
    <s v="SEP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3"/>
  </r>
  <r>
    <n v="759"/>
    <x v="0"/>
    <s v="C49"/>
    <s v="109954(拆分PO109999）"/>
    <s v="Stock order"/>
    <x v="3"/>
    <s v="L-&gt;R"/>
    <s v="No"/>
    <s v="Y52102"/>
    <n v="1"/>
    <s v="力合中转仓"/>
    <d v="2020-09-16T00:00:00"/>
    <n v="6.5500000000000003E-2"/>
    <s v="SEP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1"/>
  </r>
  <r>
    <n v="736"/>
    <x v="0"/>
    <s v="C49"/>
    <s v="109954(拆分PO110000)"/>
    <s v="Stock order"/>
    <x v="3"/>
    <s v="L-&gt;R"/>
    <s v="No"/>
    <s v="Y52103"/>
    <n v="1"/>
    <s v="力合中转仓"/>
    <d v="2020-09-16T00:00:00"/>
    <n v="6.5600000000000006E-2"/>
    <s v="SEP 20"/>
    <n v="2020.09"/>
    <s v="JPY"/>
    <s v="C49SZX20200108JL"/>
    <x v="68"/>
    <s v="YSM20R(SV)-2"/>
    <s v="L-&gt;R"/>
    <s v="No"/>
    <s v="OK"/>
    <s v="DAP SZ"/>
    <d v="2020-07-21T00:00:00"/>
    <x v="0"/>
    <m/>
    <m/>
    <m/>
    <s v="C170128496"/>
    <n v="301"/>
  </r>
  <r>
    <n v="722"/>
    <x v="0"/>
    <s v="C49"/>
    <s v="109954(拆分PO110000)"/>
    <s v="Stock order"/>
    <x v="3"/>
    <s v="L-&gt;R"/>
    <s v="No"/>
    <s v="Y52104"/>
    <n v="1"/>
    <s v="盐保仓库"/>
    <d v="2020-09-16T00:00:00"/>
    <n v="6.5600000000000006E-2"/>
    <s v="SEP 20"/>
    <n v="2020.09"/>
    <s v="JPY"/>
    <s v="C49SZX20200102MZ"/>
    <x v="90"/>
    <s v="YSM20R(SV)-2"/>
    <s v="L-&gt;R"/>
    <s v="No"/>
    <s v="OK"/>
    <s v="CIF HK"/>
    <d v="2020-07-16T00:00:00"/>
    <x v="0"/>
    <m/>
    <m/>
    <m/>
    <s v="C190635053"/>
    <n v="301"/>
  </r>
  <r>
    <n v="723"/>
    <x v="0"/>
    <s v="C49"/>
    <n v="109954"/>
    <s v="Stock order"/>
    <x v="3"/>
    <s v="L-&gt;R"/>
    <s v="No"/>
    <s v="Y52105"/>
    <n v="1"/>
    <s v="盐保仓库"/>
    <d v="2020-09-16T00:00:00"/>
    <n v="6.6100000000000006E-2"/>
    <s v="SEP 20"/>
    <n v="2020.09"/>
    <s v="JPY"/>
    <s v="C49SZX20200102MZ"/>
    <x v="90"/>
    <s v="YSM20R(SV)-2"/>
    <s v="L-&gt;R"/>
    <s v="No"/>
    <s v="OK"/>
    <s v="CIF HK"/>
    <d v="2020-07-16T00:00:00"/>
    <x v="0"/>
    <m/>
    <m/>
    <m/>
    <s v="C190635053"/>
    <n v="302"/>
  </r>
  <r>
    <n v="731"/>
    <x v="0"/>
    <s v="C49"/>
    <n v="109954"/>
    <s v="Stock order"/>
    <x v="3"/>
    <s v="L-&gt;R"/>
    <s v="No"/>
    <s v="Y52106"/>
    <n v="1"/>
    <s v="盐保仓库"/>
    <d v="2020-09-16T00:00:00"/>
    <n v="6.6100000000000006E-2"/>
    <s v="SEP 20"/>
    <n v="2020.09"/>
    <s v="JPY"/>
    <s v="C49SZX20200110MZ"/>
    <x v="152"/>
    <s v="YSM20R(SV)-2"/>
    <s v="L-&gt;R"/>
    <s v="No"/>
    <s v="OK"/>
    <s v="CIF HK"/>
    <d v="2020-07-21T00:00:00"/>
    <x v="0"/>
    <m/>
    <m/>
    <m/>
    <s v="C200637437"/>
    <n v="302"/>
  </r>
  <r>
    <n v="708"/>
    <x v="0"/>
    <s v="C49"/>
    <n v="109954"/>
    <s v="Stock order"/>
    <x v="3"/>
    <s v="R-&gt;L"/>
    <s v="No"/>
    <s v="Y52107"/>
    <n v="1"/>
    <s v="TBA"/>
    <d v="2020-09-16T00:00:00"/>
    <n v="6.6100000000000006E-2"/>
    <s v="SEP 20"/>
    <n v="2020.09"/>
    <s v="JPY"/>
    <s v="C49SZX20200075EC"/>
    <x v="174"/>
    <s v="YSM20R(SV)-2"/>
    <s v="R-&gt;L"/>
    <s v="No"/>
    <s v="OK"/>
    <s v="CIF HK"/>
    <d v="2020-07-13T00:00:00"/>
    <x v="0"/>
    <m/>
    <m/>
    <m/>
    <s v="C200737827"/>
    <n v="312"/>
  </r>
  <r>
    <n v="715"/>
    <x v="0"/>
    <s v="C49"/>
    <n v="109976"/>
    <s v="Stock order"/>
    <x v="1"/>
    <s v="R-&gt;L"/>
    <s v="No"/>
    <s v="Y52275"/>
    <n v="1"/>
    <s v="码头"/>
    <d v="2020-09-23T00:00:00"/>
    <s v="NM"/>
    <s v="SEP 20"/>
    <d v="1905-07-12T02:09:36"/>
    <s v="JPY"/>
    <s v="C49SZX20200089JL-R2"/>
    <x v="22"/>
    <s v="YSM10"/>
    <s v="L-&gt;R"/>
    <s v="MVC"/>
    <s v="WRONG"/>
    <s v="CIF HK"/>
    <d v="2020-07-15T00:00:00"/>
    <x v="0"/>
    <m/>
    <m/>
    <m/>
    <s v="C170930271"/>
    <n v="301"/>
  </r>
  <r>
    <n v="716"/>
    <x v="0"/>
    <s v="C49"/>
    <n v="109976"/>
    <s v="Stock order"/>
    <x v="1"/>
    <s v="R-&gt;L"/>
    <s v="No"/>
    <s v="Y52276"/>
    <n v="1"/>
    <s v="码头"/>
    <d v="2020-09-23T00:00:00"/>
    <s v="NM"/>
    <s v="SEP 20"/>
    <d v="1905-07-12T02:09:36"/>
    <s v="JPY"/>
    <s v="C49SZX20200089JL-R2"/>
    <x v="22"/>
    <s v="YSM10"/>
    <s v="L-&gt;R"/>
    <s v="MVC"/>
    <s v="WRONG"/>
    <s v="CIF HK"/>
    <d v="2020-07-15T00:00:00"/>
    <x v="0"/>
    <m/>
    <m/>
    <m/>
    <s v="C170930271"/>
    <n v="301"/>
  </r>
  <r>
    <n v="717"/>
    <x v="0"/>
    <s v="C49"/>
    <n v="109976"/>
    <s v="Stock order"/>
    <x v="1"/>
    <s v="R-&gt;L"/>
    <s v="No"/>
    <s v="Y52277"/>
    <n v="1"/>
    <s v="码头"/>
    <d v="2020-09-23T00:00:00"/>
    <s v="NM"/>
    <s v="SEP 20"/>
    <d v="1905-07-12T02:09:36"/>
    <s v="JPY"/>
    <s v="C49SZX20200089JL-R3"/>
    <x v="181"/>
    <s v="YSM10"/>
    <s v="L-&gt;R"/>
    <s v="MVC"/>
    <s v="WRONG"/>
    <s v="CIF HK"/>
    <d v="2020-07-15T00:00:00"/>
    <x v="0"/>
    <m/>
    <m/>
    <m/>
    <s v="C170930271"/>
    <n v="301"/>
  </r>
  <r>
    <n v="718"/>
    <x v="0"/>
    <s v="C49"/>
    <n v="109976"/>
    <s v="Stock order"/>
    <x v="1"/>
    <s v="R-&gt;L"/>
    <s v="No"/>
    <s v="Y52278"/>
    <n v="1"/>
    <s v="码头"/>
    <d v="2020-09-23T00:00:00"/>
    <s v="NM"/>
    <s v="SEP 20"/>
    <d v="1905-07-12T02:09:36"/>
    <s v="JPY"/>
    <s v="C49SZX20200089JL-R3"/>
    <x v="181"/>
    <s v="YSM10"/>
    <s v="L-&gt;R"/>
    <s v="MVC"/>
    <s v="WRONG"/>
    <s v="CIF HK"/>
    <d v="2020-07-15T00:00:00"/>
    <x v="0"/>
    <m/>
    <m/>
    <m/>
    <s v="C170930271"/>
    <n v="301"/>
  </r>
  <r>
    <n v="701"/>
    <x v="0"/>
    <s v="C49"/>
    <n v="109976"/>
    <s v="Stock order"/>
    <x v="1"/>
    <s v="R-&gt;L"/>
    <s v="No"/>
    <s v="Y52279"/>
    <n v="1"/>
    <s v="CY仓库"/>
    <d v="2020-09-23T00:00:00"/>
    <s v="NM"/>
    <s v="SEP 20"/>
    <d v="1905-07-12T02:09:36"/>
    <s v="JPY"/>
    <s v="C49SZX20200095R1SS"/>
    <x v="182"/>
    <s v="YSM10"/>
    <s v="L-&gt;R"/>
    <s v="No"/>
    <s v="WRONG"/>
    <s v="DAP SZ"/>
    <d v="2020-07-09T00:00:00"/>
    <x v="0"/>
    <m/>
    <m/>
    <m/>
    <s v="C190434540"/>
    <n v="301"/>
  </r>
  <r>
    <n v="757"/>
    <x v="0"/>
    <s v="C49"/>
    <n v="109980"/>
    <s v="德劲名义下单"/>
    <x v="3"/>
    <s v="L-&gt;R"/>
    <s v="No"/>
    <s v="Y52295"/>
    <n v="1"/>
    <s v="盐保仓库"/>
    <d v="2020-09-23T00:00:00"/>
    <s v="NM"/>
    <s v="SEP 20"/>
    <n v="2020.09"/>
    <s v="JPY"/>
    <s v="C49SZX20200122JY"/>
    <x v="183"/>
    <s v="YSM20R(SV)-2"/>
    <s v="L-&gt;R"/>
    <s v="No"/>
    <s v="OK"/>
    <s v="DAP SZ"/>
    <d v="2020-08-04T00:00:00"/>
    <x v="0"/>
    <m/>
    <m/>
    <m/>
    <s v="C200838017"/>
    <n v="311"/>
  </r>
  <r>
    <n v="743"/>
    <x v="0"/>
    <s v="C49"/>
    <n v="109980"/>
    <s v="德劲名义下单"/>
    <x v="3"/>
    <s v="L-&gt;R"/>
    <s v="No"/>
    <s v="Y52294"/>
    <n v="1"/>
    <s v="盐保仓库"/>
    <d v="2020-09-23T00:00:00"/>
    <s v="NM"/>
    <s v="SEP 20"/>
    <n v="2020.09"/>
    <s v="JPY"/>
    <s v="C49SZX20200112SS"/>
    <x v="150"/>
    <s v="YSM20R(SV)-2"/>
    <s v="L-&gt;R"/>
    <s v="No"/>
    <s v="OK"/>
    <s v="DAP SZ"/>
    <d v="2020-07-24T00:00:00"/>
    <x v="0"/>
    <m/>
    <m/>
    <m/>
    <s v="C191136105"/>
    <n v="301"/>
  </r>
  <r>
    <n v="868"/>
    <x v="0"/>
    <s v="C49"/>
    <n v="109980"/>
    <s v="德劲名义下单"/>
    <x v="3"/>
    <s v="L-&gt;R"/>
    <s v="cATS10+special layout"/>
    <s v="Y52288"/>
    <n v="1"/>
    <s v="盐保仓库"/>
    <d v="2020-09-23T00:00:00"/>
    <s v="NM"/>
    <s v="DEC 20"/>
    <n v="2020.09"/>
    <s v="JPY"/>
    <s v="C49SZX20200170DZ"/>
    <x v="75"/>
    <s v="YSM20R(SV)-2"/>
    <s v="L-&gt;R"/>
    <s v="cATS10+MVC"/>
    <s v="WRONG"/>
    <s v="CIF HK"/>
    <d v="2020-09-24T00:00:00"/>
    <x v="0"/>
    <m/>
    <m/>
    <m/>
    <s v="C200336888"/>
    <n v="311"/>
  </r>
  <r>
    <n v="921"/>
    <x v="0"/>
    <s v="C49"/>
    <n v="109980"/>
    <s v="德劲名义下单"/>
    <x v="3"/>
    <s v="L-&gt;R"/>
    <s v="cATS10+special layout"/>
    <s v="Y52289"/>
    <n v="1"/>
    <s v="盐保仓库"/>
    <d v="2020-09-23T00:00:00"/>
    <s v="NM"/>
    <s v="JAN 21"/>
    <n v="2020.09"/>
    <s v="JPY"/>
    <s v="C49SZX20200145JL"/>
    <x v="5"/>
    <s v="YSM20R(SV)-2"/>
    <s v="L-&gt;R"/>
    <s v="cATS10+MVC"/>
    <s v="WRONG"/>
    <s v="DAP GZ"/>
    <d v="2020-11-10T00:00:00"/>
    <x v="0"/>
    <m/>
    <m/>
    <m/>
    <s v="C180832785"/>
    <n v="301"/>
  </r>
  <r>
    <n v="713"/>
    <x v="0"/>
    <s v="C49"/>
    <n v="109980"/>
    <s v="德劲名义下单"/>
    <x v="3"/>
    <s v="L-&gt;R"/>
    <s v="No"/>
    <s v="Y52290"/>
    <n v="1"/>
    <s v="码头"/>
    <d v="2020-09-23T00:00:00"/>
    <s v="NM"/>
    <s v="SEP 20"/>
    <n v="2020.09"/>
    <s v="JPY"/>
    <s v="C49SZX20200089JL-R3"/>
    <x v="181"/>
    <s v="YSM20R(SV)-2"/>
    <s v="L-&gt;R"/>
    <s v="No"/>
    <s v="OK"/>
    <s v="CIF HK"/>
    <d v="2020-07-15T00:00:00"/>
    <x v="0"/>
    <m/>
    <m/>
    <m/>
    <s v="C170930271"/>
    <n v="301"/>
  </r>
  <r>
    <n v="714"/>
    <x v="0"/>
    <s v="C49"/>
    <n v="109980"/>
    <s v="德劲名义下单"/>
    <x v="3"/>
    <s v="L-&gt;R"/>
    <s v="No"/>
    <s v="Y52291"/>
    <n v="1"/>
    <s v="码头"/>
    <d v="2020-09-23T00:00:00"/>
    <s v="NM"/>
    <s v="SEP 20"/>
    <n v="2020.09"/>
    <s v="JPY"/>
    <s v="C49SZX20200089JL-R3"/>
    <x v="181"/>
    <s v="YSM20R(SV)-2"/>
    <s v="L-&gt;R"/>
    <s v="No"/>
    <s v="OK"/>
    <s v="CIF HK"/>
    <d v="2020-07-15T00:00:00"/>
    <x v="0"/>
    <m/>
    <m/>
    <m/>
    <s v="C170930271"/>
    <n v="301"/>
  </r>
  <r>
    <n v="711"/>
    <x v="0"/>
    <s v="C49"/>
    <n v="109980"/>
    <s v="德劲名义下单"/>
    <x v="3"/>
    <s v="L-&gt;R"/>
    <s v="No"/>
    <s v="Y52292"/>
    <n v="1"/>
    <s v="码头"/>
    <d v="2020-09-23T00:00:00"/>
    <s v="NM"/>
    <s v="SEP 20"/>
    <n v="2020.09"/>
    <s v="JPY"/>
    <s v="C49SZX20200089JL-R2"/>
    <x v="22"/>
    <s v="YSM20R(SV)-2"/>
    <s v="L-&gt;R"/>
    <s v="No"/>
    <s v="OK"/>
    <s v="CIF HK"/>
    <d v="2020-07-15T00:00:00"/>
    <x v="0"/>
    <m/>
    <m/>
    <m/>
    <s v="C170930271"/>
    <n v="301"/>
  </r>
  <r>
    <n v="712"/>
    <x v="0"/>
    <s v="C49"/>
    <n v="109980"/>
    <s v="德劲名义下单"/>
    <x v="3"/>
    <s v="L-&gt;R"/>
    <s v="No"/>
    <s v="Y52293"/>
    <n v="1"/>
    <s v="码头"/>
    <d v="2020-09-23T00:00:00"/>
    <s v="NM"/>
    <s v="SEP 20"/>
    <n v="2020.09"/>
    <s v="JPY"/>
    <s v="C49SZX20200089JL-R2"/>
    <x v="22"/>
    <s v="YSM20R(SV)-2"/>
    <s v="L-&gt;R"/>
    <s v="No"/>
    <s v="OK"/>
    <s v="CIF HK"/>
    <d v="2020-07-15T00:00:00"/>
    <x v="0"/>
    <m/>
    <m/>
    <m/>
    <s v="C170930271"/>
    <n v="301"/>
  </r>
  <r>
    <n v="799"/>
    <x v="0"/>
    <s v="C49"/>
    <n v="109977"/>
    <s v="Stock order"/>
    <x v="1"/>
    <s v="R-&gt;L"/>
    <s v="No"/>
    <s v="Y52280"/>
    <n v="1"/>
    <s v="码头-&gt;准备清关"/>
    <d v="2020-09-25T00:00:00"/>
    <n v="6.5500000000000003E-2"/>
    <s v="SEP 20"/>
    <d v="1905-07-12T02:09:36"/>
    <s v="RMB"/>
    <s v="C49SZX20200141SX"/>
    <x v="142"/>
    <s v="YSM10"/>
    <s v="L-&gt;R"/>
    <s v="MVC"/>
    <s v="WRONG"/>
    <s v="含税到厂"/>
    <d v="2020-08-31T00:00:00"/>
    <x v="0"/>
    <m/>
    <m/>
    <m/>
    <s v="C200337023"/>
    <n v="302"/>
  </r>
  <r>
    <n v="798"/>
    <x v="0"/>
    <s v="C49"/>
    <n v="109977"/>
    <s v="Stock order"/>
    <x v="1"/>
    <s v="R-&gt;L"/>
    <s v="No"/>
    <s v="Y52281"/>
    <n v="1"/>
    <s v="码头-&gt;准备清关"/>
    <d v="2020-09-25T00:00:00"/>
    <n v="6.5500000000000003E-2"/>
    <s v="SEP 20"/>
    <d v="1905-07-12T02:09:36"/>
    <s v="RMB"/>
    <s v="C49SZX20200141SX"/>
    <x v="142"/>
    <s v="YSM10"/>
    <s v="L-&gt;R"/>
    <s v="MVC"/>
    <s v="WRONG"/>
    <s v="含税到厂"/>
    <d v="2020-08-31T00:00:00"/>
    <x v="0"/>
    <m/>
    <m/>
    <m/>
    <s v="C200337023"/>
    <n v="302"/>
  </r>
  <r>
    <n v="801"/>
    <x v="0"/>
    <s v="C49"/>
    <n v="109977"/>
    <s v="Stock order"/>
    <x v="1"/>
    <s v="R-&gt;L"/>
    <s v="No"/>
    <s v="Y52282"/>
    <n v="1"/>
    <s v="码头-&gt;准备清关"/>
    <d v="2020-09-25T00:00:00"/>
    <n v="6.5500000000000003E-2"/>
    <s v="SEP 20"/>
    <d v="1905-07-12T02:09:36"/>
    <s v="RMB"/>
    <s v="C49SZX20200141SX"/>
    <x v="142"/>
    <s v="YSM10"/>
    <s v="R-&gt;L"/>
    <s v="MVC"/>
    <s v="WRONG"/>
    <s v="含税到厂"/>
    <d v="2020-08-31T00:00:00"/>
    <x v="0"/>
    <m/>
    <m/>
    <m/>
    <s v="C200337023"/>
    <n v="302"/>
  </r>
  <r>
    <n v="772"/>
    <x v="0"/>
    <s v="C49"/>
    <n v="109977"/>
    <s v="Stock order"/>
    <x v="1"/>
    <s v="R-&gt;L"/>
    <s v="No"/>
    <s v="Y52283"/>
    <n v="1"/>
    <s v="码头-&gt;准备清关"/>
    <d v="2020-09-25T00:00:00"/>
    <n v="6.5500000000000003E-2"/>
    <s v="SEP 20"/>
    <d v="1905-07-12T02:09:36"/>
    <s v="RMB"/>
    <s v="C49SZX20200126JY"/>
    <x v="176"/>
    <s v="YSM10"/>
    <s v="L-&gt;R"/>
    <s v="MVC"/>
    <s v="WRONG"/>
    <s v="含税到厂"/>
    <d v="2020-08-11T00:00:00"/>
    <x v="0"/>
    <m/>
    <m/>
    <m/>
    <s v="C200737845"/>
    <n v="302"/>
  </r>
  <r>
    <n v="800"/>
    <x v="0"/>
    <s v="C49"/>
    <n v="109977"/>
    <s v="Stock order"/>
    <x v="1"/>
    <s v="R-&gt;L"/>
    <s v="No"/>
    <s v="Y52284"/>
    <n v="1"/>
    <s v="码头-&gt;准备清关"/>
    <d v="2020-09-25T00:00:00"/>
    <n v="6.5500000000000003E-2"/>
    <s v="SEP 20"/>
    <d v="1905-07-12T02:09:36"/>
    <s v="RMB"/>
    <s v="C49SZX20200141SX"/>
    <x v="142"/>
    <s v="YSM10"/>
    <s v="R-&gt;L"/>
    <s v="MVC"/>
    <s v="WRONG"/>
    <s v="含税到厂"/>
    <d v="2020-08-31T00:00:00"/>
    <x v="0"/>
    <m/>
    <m/>
    <m/>
    <s v="C200337023"/>
    <n v="311"/>
  </r>
  <r>
    <n v="769"/>
    <x v="0"/>
    <s v="C49"/>
    <n v="109977"/>
    <s v="Stock order"/>
    <x v="1"/>
    <s v="R-&gt;L"/>
    <s v="No"/>
    <s v="Y52285"/>
    <n v="1"/>
    <s v="CY仓库"/>
    <d v="2020-09-25T00:00:00"/>
    <n v="6.5500000000000003E-2"/>
    <s v="SEP 20"/>
    <d v="1905-07-12T02:09:36"/>
    <s v="JPY"/>
    <s v="C49SZX20200078CY"/>
    <x v="172"/>
    <s v="YSM10"/>
    <s v="R-&gt;L"/>
    <s v="MVC"/>
    <s v="WRONG"/>
    <s v="DAP SZ"/>
    <d v="2020-08-10T00:00:00"/>
    <x v="0"/>
    <m/>
    <m/>
    <m/>
    <s v="C200838030"/>
    <n v="302"/>
  </r>
  <r>
    <n v="702"/>
    <x v="0"/>
    <s v="C49"/>
    <n v="109977"/>
    <s v="Stock order"/>
    <x v="1"/>
    <s v="R-&gt;L"/>
    <s v="No"/>
    <s v="Y52286"/>
    <n v="1"/>
    <s v="CY仓库"/>
    <d v="2020-09-25T00:00:00"/>
    <n v="6.5500000000000003E-2"/>
    <s v="SEP 20"/>
    <d v="1905-07-12T02:09:36"/>
    <s v="JPY"/>
    <s v="C49SZX20200095R1SS"/>
    <x v="182"/>
    <s v="YSM10"/>
    <s v="L-&gt;R"/>
    <s v="No"/>
    <s v="WRONG"/>
    <s v="DAP SZ"/>
    <d v="2020-07-09T00:00:00"/>
    <x v="0"/>
    <m/>
    <m/>
    <m/>
    <s v="C190434540"/>
    <n v="302"/>
  </r>
  <r>
    <n v="895"/>
    <x v="0"/>
    <s v="C49"/>
    <n v="110058"/>
    <s v="平方兆赫名义下单        "/>
    <x v="0"/>
    <s v="L-&gt;R"/>
    <s v="No"/>
    <s v="Y52763"/>
    <n v="1"/>
    <s v="盐保仓库"/>
    <d v="2020-10-02T00:00:00"/>
    <s v="NM"/>
    <s v="NOV 20"/>
    <n v="2020.09"/>
    <s v="RMB"/>
    <s v="C49SZX20200166DY"/>
    <x v="184"/>
    <s v="YSM40R-4"/>
    <s v="L-&gt;R"/>
    <s v="No"/>
    <s v="OK"/>
    <s v="含税到厂"/>
    <d v="2020-10-23T00:00:00"/>
    <x v="0"/>
    <m/>
    <m/>
    <m/>
    <s v="C201138560"/>
    <m/>
  </r>
  <r>
    <n v="765"/>
    <x v="0"/>
    <s v="C49"/>
    <n v="109984"/>
    <s v="Stock order"/>
    <x v="3"/>
    <s v="R-&gt;L"/>
    <s v="No"/>
    <s v="Y52318"/>
    <n v="1"/>
    <s v="码头-&gt;准备清关"/>
    <d v="2020-10-09T00:00:00"/>
    <s v="NM"/>
    <s v="OCT 20"/>
    <n v="2020.09"/>
    <s v="JPY"/>
    <s v="C49SZX20200078CY"/>
    <x v="172"/>
    <s v="YSM20R(SV)-2"/>
    <s v="R-&gt;L"/>
    <s v="No"/>
    <s v="OK"/>
    <s v="DAP SZ"/>
    <d v="2020-08-10T00:00:00"/>
    <x v="0"/>
    <m/>
    <m/>
    <m/>
    <s v="C200838030"/>
    <n v="301"/>
  </r>
  <r>
    <n v="766"/>
    <x v="0"/>
    <s v="C49"/>
    <n v="109984"/>
    <s v="Stock order"/>
    <x v="3"/>
    <s v="R-&gt;L"/>
    <s v="No"/>
    <s v="Y52319"/>
    <n v="1"/>
    <s v="码头-&gt;准备清关"/>
    <d v="2020-10-09T00:00:00"/>
    <s v="NM"/>
    <s v="OCT 20"/>
    <n v="2020.09"/>
    <s v="JPY"/>
    <s v="C49SZX20200078CY"/>
    <x v="172"/>
    <s v="YSM20R(SV)-2"/>
    <s v="R-&gt;L"/>
    <s v="No"/>
    <s v="OK"/>
    <s v="DAP SZ"/>
    <d v="2020-08-10T00:00:00"/>
    <x v="0"/>
    <m/>
    <m/>
    <m/>
    <s v="C200838030"/>
    <n v="301"/>
  </r>
  <r>
    <n v="699"/>
    <x v="0"/>
    <s v="C49"/>
    <n v="109984"/>
    <s v="Stock order"/>
    <x v="3"/>
    <s v="R-&gt;L"/>
    <s v="No"/>
    <s v="Y52320"/>
    <n v="1"/>
    <s v="CY仓库"/>
    <d v="2020-10-09T00:00:00"/>
    <s v="NM"/>
    <s v="OCT 20"/>
    <n v="2020.09"/>
    <s v="JPY"/>
    <s v="C49SZX20200088SS"/>
    <x v="157"/>
    <s v="YSM20R(SV)-2"/>
    <s v="R-&gt;L"/>
    <s v="No"/>
    <s v="OK"/>
    <s v="DAP SZ"/>
    <d v="2020-07-08T00:00:00"/>
    <x v="0"/>
    <m/>
    <m/>
    <m/>
    <s v="C200236762"/>
    <n v="301"/>
  </r>
  <r>
    <n v="760"/>
    <x v="0"/>
    <s v="C49"/>
    <n v="109984"/>
    <s v="Stock order"/>
    <x v="3"/>
    <s v="L-&gt;R"/>
    <s v="No"/>
    <s v="Y52321"/>
    <n v="1"/>
    <s v="码头-&gt;准备清关"/>
    <d v="2020-10-09T00:00:00"/>
    <s v="NM"/>
    <s v="OCT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1"/>
  </r>
  <r>
    <n v="761"/>
    <x v="0"/>
    <s v="C49"/>
    <n v="109984"/>
    <s v="Stock order"/>
    <x v="3"/>
    <s v="L-&gt;R"/>
    <s v="No"/>
    <s v="Y52322"/>
    <n v="1"/>
    <s v="码头-&gt;准备清关"/>
    <d v="2020-10-09T00:00:00"/>
    <s v="NM"/>
    <s v="OCT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3"/>
  </r>
  <r>
    <n v="737"/>
    <x v="0"/>
    <s v="C49"/>
    <n v="109984"/>
    <s v="Stock order"/>
    <x v="3"/>
    <s v="L-&gt;R"/>
    <s v="No"/>
    <s v="Y52323"/>
    <n v="1"/>
    <s v="码头-&gt;准备清关"/>
    <d v="2020-10-09T00:00:00"/>
    <s v="NM"/>
    <s v="OCT 20"/>
    <n v="2020.09"/>
    <s v="JPY"/>
    <s v="C49SZX20200109JL"/>
    <x v="100"/>
    <s v="YSM20R(SV)-2"/>
    <s v="L-&gt;R"/>
    <s v="No"/>
    <s v="OK"/>
    <s v="DAP SZ"/>
    <d v="2020-07-21T00:00:00"/>
    <x v="0"/>
    <m/>
    <m/>
    <m/>
    <s v="C170629728"/>
    <n v="303"/>
  </r>
  <r>
    <n v="777"/>
    <x v="0"/>
    <s v="C28"/>
    <n v="110038"/>
    <s v="海星名义下单"/>
    <x v="9"/>
    <s v="R-&gt;L"/>
    <s v="No"/>
    <s v="Y52654"/>
    <n v="1"/>
    <s v="码头-&gt;准备清关"/>
    <d v="2020-10-19T00:00:00"/>
    <n v="6.5000000000000002E-2"/>
    <s v="OCT 20"/>
    <d v="1905-07-12T02:09:36"/>
    <s v="RMB"/>
    <s v="C28SZX20200055KC"/>
    <x v="146"/>
    <s v="YCP10"/>
    <s v="R-&gt;L"/>
    <s v="No"/>
    <s v="OK"/>
    <s v="含税到厂"/>
    <d v="2020-08-13T00:00:00"/>
    <x v="0"/>
    <m/>
    <m/>
    <m/>
    <s v="IND order "/>
    <m/>
  </r>
  <r>
    <n v="795"/>
    <x v="0"/>
    <s v="C49"/>
    <s v="109995(拆单110118)"/>
    <s v="瑞福联名义"/>
    <x v="1"/>
    <s v="L-&gt;R"/>
    <s v="ATS15"/>
    <s v="Y52393"/>
    <n v="1"/>
    <s v="力合仓库(已经清关)"/>
    <d v="2020-10-22T00:00:00"/>
    <n v="6.4199999999999993E-2"/>
    <s v="JAN 21"/>
    <s v="2020.10."/>
    <s v="RMB"/>
    <s v="C49SZX20200140RSX"/>
    <x v="185"/>
    <s v="YSM10"/>
    <s v="R-&gt;L"/>
    <s v="MVC+ATS15"/>
    <s v="WRONG"/>
    <s v="含税到厂"/>
    <d v="2020-09-01T00:00:00"/>
    <x v="0"/>
    <m/>
    <m/>
    <m/>
    <s v="C200938204"/>
    <n v="311"/>
  </r>
  <r>
    <n v="832"/>
    <x v="0"/>
    <s v="C49"/>
    <n v="109995"/>
    <s v="瑞福联名义"/>
    <x v="1"/>
    <s v="L-&gt;R"/>
    <s v="ATS15"/>
    <s v="Y52394"/>
    <n v="1"/>
    <s v="力合仓库(已经清关)"/>
    <d v="2020-10-22T00:00:00"/>
    <s v="0.0638，价格PO110121"/>
    <s v="NOV 20"/>
    <s v="2020.10."/>
    <s v="RMB"/>
    <s v="C49SZX20200155JD"/>
    <x v="186"/>
    <s v="YSM10"/>
    <s v="L-&gt;R"/>
    <s v="cATS10+MVC"/>
    <s v="WRONG"/>
    <s v="含税到厂"/>
    <d v="2020-09-16T00:00:00"/>
    <x v="0"/>
    <m/>
    <m/>
    <m/>
    <s v="C201038384"/>
    <n v="312"/>
  </r>
  <r>
    <n v="770"/>
    <x v="0"/>
    <s v="C49"/>
    <n v="109995"/>
    <s v="瑞福联名义"/>
    <x v="1"/>
    <s v="L-&gt;R"/>
    <s v="No"/>
    <s v="Y52395"/>
    <n v="1"/>
    <s v="码头-&gt;准备清关"/>
    <d v="2020-10-22T00:00:00"/>
    <s v="NM"/>
    <s v="OCT 20"/>
    <s v="2020.10."/>
    <s v="JPY"/>
    <s v="C49SZX20200078CY"/>
    <x v="172"/>
    <s v="YSM10"/>
    <s v="R-&gt;L"/>
    <s v="MVC"/>
    <s v="WRONG"/>
    <s v="DAP SZ"/>
    <d v="2020-08-10T00:00:00"/>
    <x v="0"/>
    <m/>
    <m/>
    <m/>
    <s v="C200838030"/>
    <n v="301"/>
  </r>
  <r>
    <n v="809"/>
    <x v="0"/>
    <s v="C49"/>
    <n v="110047"/>
    <s v="斯迈名义下单"/>
    <x v="12"/>
    <s v="R-&gt;L"/>
    <s v="No"/>
    <s v="Y52830"/>
    <n v="1"/>
    <s v="力合仓库(已经清关)"/>
    <d v="2020-10-22T00:00:00"/>
    <s v="TBA（PO用110097）"/>
    <s v="DEC 20"/>
    <n v="2020.09"/>
    <s v="JPY"/>
    <s v="C49SZX20200153SS"/>
    <x v="111"/>
    <s v="YSM20R-2"/>
    <s v="R-&gt;L"/>
    <s v="No"/>
    <s v="OK"/>
    <s v="DAP SZ"/>
    <d v="2020-09-07T00:00:00"/>
    <x v="0"/>
    <m/>
    <m/>
    <m/>
    <s v="C190935522"/>
    <n v="301"/>
  </r>
  <r>
    <n v="802"/>
    <x v="0"/>
    <s v="C49"/>
    <n v="110047"/>
    <s v="斯迈名义下单"/>
    <x v="12"/>
    <s v="R-&gt;L"/>
    <s v="No"/>
    <s v="Y52831"/>
    <n v="1"/>
    <s v="CY仓库"/>
    <d v="2020-10-22T00:00:00"/>
    <n v="6.5000000000000002E-2"/>
    <s v="OCT 20"/>
    <d v="1905-07-12T02:09:36"/>
    <s v="JPY"/>
    <s v="C49SZX20200135DZ"/>
    <x v="8"/>
    <s v="YSM20R-2"/>
    <s v="R-&gt;L"/>
    <s v="No"/>
    <s v="OK"/>
    <s v="CIF HK"/>
    <d v="2020-09-01T00:00:00"/>
    <x v="0"/>
    <m/>
    <m/>
    <m/>
    <s v="C200637592"/>
    <n v="301"/>
  </r>
  <r>
    <n v="852"/>
    <x v="0"/>
    <s v="C49"/>
    <n v="110047"/>
    <s v="斯迈名义下单"/>
    <x v="12"/>
    <s v="L-&gt;R"/>
    <s v="No"/>
    <s v="Y52832"/>
    <n v="1"/>
    <s v="码头-&gt;准备清关"/>
    <d v="2020-10-22T00:00:00"/>
    <n v="6.5000000000000002E-2"/>
    <s v="OCT 20"/>
    <d v="1905-07-12T02:09:36"/>
    <s v="RMB"/>
    <s v="C49SZX20200177DY"/>
    <x v="187"/>
    <s v="YSM20R-2"/>
    <s v="L-&gt;R"/>
    <s v="No"/>
    <s v="OK"/>
    <s v="含税到厂"/>
    <d v="2020-09-24T00:00:00"/>
    <x v="0"/>
    <m/>
    <m/>
    <m/>
    <s v="C201038374"/>
    <n v="301"/>
  </r>
  <r>
    <n v="807"/>
    <x v="0"/>
    <s v="C49"/>
    <n v="110047"/>
    <s v="斯迈名义下单"/>
    <x v="12"/>
    <s v="L-&gt;R"/>
    <s v="No"/>
    <s v="Y52833"/>
    <n v="1"/>
    <s v="码头-&gt;准备清关"/>
    <d v="2020-10-22T00:00:00"/>
    <n v="6.5000000000000002E-2"/>
    <s v="OCT 20"/>
    <s v="2020.10."/>
    <s v="JPY"/>
    <s v="C49SZX20200153SS"/>
    <x v="111"/>
    <s v="YSM20R-2"/>
    <s v="L-&gt;R"/>
    <s v="MVC"/>
    <s v="WRONG"/>
    <s v="DAP SZ"/>
    <d v="2020-09-07T00:00:00"/>
    <x v="0"/>
    <m/>
    <m/>
    <m/>
    <s v="C190935522"/>
    <n v="302"/>
  </r>
  <r>
    <n v="808"/>
    <x v="0"/>
    <s v="C49"/>
    <n v="110047"/>
    <s v="斯迈名义下单"/>
    <x v="12"/>
    <s v="L-&gt;R"/>
    <s v="No"/>
    <s v="Y52834"/>
    <n v="1"/>
    <s v="码头-&gt;准备清关"/>
    <d v="2020-10-22T00:00:00"/>
    <n v="6.5000000000000002E-2"/>
    <s v="OCT 20"/>
    <s v="2020.10."/>
    <s v="JPY"/>
    <s v="C49SZX20200153SS"/>
    <x v="111"/>
    <s v="YSM20R-2"/>
    <s v="L-&gt;R"/>
    <s v="No"/>
    <s v="OK"/>
    <s v="DAP SZ"/>
    <d v="2020-09-07T00:00:00"/>
    <x v="0"/>
    <m/>
    <m/>
    <m/>
    <s v="C190935522"/>
    <n v="302"/>
  </r>
  <r>
    <n v="805"/>
    <x v="0"/>
    <s v="C49"/>
    <n v="110048"/>
    <s v="斯迈名义下单"/>
    <x v="12"/>
    <s v="L-&gt;R"/>
    <s v="No"/>
    <s v="Y52835"/>
    <n v="1"/>
    <s v="CY仓库"/>
    <d v="2020-10-22T00:00:00"/>
    <n v="6.4100000000000004E-2"/>
    <s v="OCT 20"/>
    <s v="2020.10."/>
    <s v="RMB"/>
    <s v="C49SZX20200148JYR1"/>
    <x v="176"/>
    <s v="YSM20R-2"/>
    <s v="L-&gt;R"/>
    <s v="No"/>
    <s v="OK"/>
    <s v="含税到厂"/>
    <d v="2020-09-02T00:00:00"/>
    <x v="0"/>
    <m/>
    <m/>
    <m/>
    <s v="C200737845"/>
    <n v="303"/>
  </r>
  <r>
    <n v="837"/>
    <x v="0"/>
    <s v="C49"/>
    <n v="110048"/>
    <s v="斯迈名义下单"/>
    <x v="12"/>
    <s v="L-&gt;R"/>
    <s v="No"/>
    <s v="Y52836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838"/>
    <x v="0"/>
    <s v="C49"/>
    <n v="110048"/>
    <s v="斯迈名义下单"/>
    <x v="12"/>
    <s v="L-&gt;R"/>
    <s v="No"/>
    <s v="Y52837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839"/>
    <x v="0"/>
    <s v="C49"/>
    <n v="110048"/>
    <s v="斯迈名义下单"/>
    <x v="12"/>
    <s v="L-&gt;R"/>
    <s v="No"/>
    <s v="Y52838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840"/>
    <x v="0"/>
    <s v="C49"/>
    <n v="110048"/>
    <s v="斯迈名义下单"/>
    <x v="12"/>
    <s v="L-&gt;R"/>
    <s v="No"/>
    <s v="Y52839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750"/>
    <x v="0"/>
    <s v="C49"/>
    <n v="109996"/>
    <s v="瑞福联名义"/>
    <x v="3"/>
    <s v="L-&gt;R"/>
    <s v="No"/>
    <s v="Y52387"/>
    <n v="1"/>
    <s v="码头-&gt;准备清关"/>
    <d v="2020-10-24T00:00:00"/>
    <n v="6.4799999999999996E-2"/>
    <s v="OCT 20"/>
    <s v="2020.10."/>
    <s v="JPY"/>
    <s v="C49SZX20200118SS"/>
    <x v="111"/>
    <s v="YSM20R(SV)-2"/>
    <s v="L-&gt;R"/>
    <s v="No"/>
    <s v="OK"/>
    <s v="DAP SZ"/>
    <d v="2020-07-28T00:00:00"/>
    <x v="0"/>
    <m/>
    <m/>
    <m/>
    <s v="C190935522"/>
    <n v="301"/>
  </r>
  <r>
    <n v="553"/>
    <x v="0"/>
    <s v="C49"/>
    <n v="109996"/>
    <s v="瑞福联名义"/>
    <x v="3"/>
    <s v="L-&gt;R"/>
    <s v="No"/>
    <s v="Y52388"/>
    <n v="1"/>
    <s v="码头-&gt;准备清关"/>
    <d v="2020-10-24T00:00:00"/>
    <n v="6.4799999999999996E-2"/>
    <s v="OCT 20"/>
    <s v="2020.10."/>
    <s v="JPY"/>
    <s v="C49SZX20190187JY"/>
    <x v="189"/>
    <s v="YSM20R(SV)-2"/>
    <s v="L-&gt;R"/>
    <s v="MVC"/>
    <s v="WRONG"/>
    <s v="DAP SZ"/>
    <d v="2019-12-20T00:00:00"/>
    <x v="0"/>
    <m/>
    <m/>
    <m/>
    <s v="C201038333"/>
    <n v="301"/>
  </r>
  <r>
    <n v="835"/>
    <x v="0"/>
    <s v="C49"/>
    <n v="109996"/>
    <s v="瑞福联名义"/>
    <x v="3"/>
    <s v="L-&gt;R"/>
    <s v="No"/>
    <s v="Y52389"/>
    <n v="1"/>
    <s v="CY仓库"/>
    <d v="2020-10-24T00:00:00"/>
    <n v="6.4799999999999996E-2"/>
    <s v="NOV 20"/>
    <s v="2020.10."/>
    <s v="JPY"/>
    <s v="C49SZX20200159EC"/>
    <x v="190"/>
    <s v="YSM20R(SV)-2"/>
    <s v="L-&gt;R"/>
    <s v="No"/>
    <s v="OK"/>
    <s v="DAP HZ"/>
    <d v="2020-09-17T00:00:00"/>
    <x v="0"/>
    <m/>
    <m/>
    <m/>
    <s v="C201038403"/>
    <n v="301"/>
  </r>
  <r>
    <n v="756"/>
    <x v="0"/>
    <s v="C49"/>
    <n v="109996"/>
    <s v="瑞福联名义"/>
    <x v="3"/>
    <s v="L-&gt;R"/>
    <s v="No"/>
    <s v="Y52390"/>
    <n v="1"/>
    <s v="力合中转仓"/>
    <d v="2020-10-24T00:00:00"/>
    <n v="6.4799999999999996E-2"/>
    <s v="NOV 20"/>
    <s v="2020.10."/>
    <s v="JPY"/>
    <s v="C49SZX20200099R1SS"/>
    <x v="191"/>
    <s v="YSM20R(SV)-2"/>
    <s v="L-&gt;R"/>
    <s v="MVC"/>
    <s v="WRONG"/>
    <s v="DAP SZ"/>
    <d v="2020-07-31T00:00:00"/>
    <x v="0"/>
    <m/>
    <m/>
    <m/>
    <s v="C180231415"/>
    <n v="301"/>
  </r>
  <r>
    <n v="762"/>
    <x v="0"/>
    <s v="C49"/>
    <s v="109996（拆分PO110071）"/>
    <s v="瑞福联名义"/>
    <x v="3"/>
    <s v="L-&gt;R"/>
    <s v="No"/>
    <s v="Y52391"/>
    <n v="1"/>
    <s v="力合仓库(已经清关)"/>
    <d v="2020-10-24T00:00:00"/>
    <n v="6.4899999999999999E-2"/>
    <s v="NOV 20"/>
    <s v="2020.10."/>
    <s v="RMB"/>
    <s v="C49SZX20200121JL"/>
    <x v="192"/>
    <s v="YSM20R(SV)-2"/>
    <s v="L-&gt;R"/>
    <s v="MVC"/>
    <s v="WRONG"/>
    <s v="含税到厂"/>
    <d v="2020-08-25T00:00:00"/>
    <x v="0"/>
    <m/>
    <m/>
    <m/>
    <s v="C200938211"/>
    <n v="301"/>
  </r>
  <r>
    <n v="791"/>
    <x v="0"/>
    <s v="C49"/>
    <s v="109996（拆分PO110071）"/>
    <s v="瑞福联名义"/>
    <x v="3"/>
    <s v="L-&gt;R"/>
    <s v="No"/>
    <s v="Y52392"/>
    <n v="1"/>
    <s v="码头-&gt;准备清关"/>
    <d v="2020-10-24T00:00:00"/>
    <n v="6.4899999999999999E-2"/>
    <s v="OCT 20"/>
    <s v="2020.10."/>
    <s v="RMB"/>
    <s v="C49SZX20200143MZ"/>
    <x v="193"/>
    <s v="YSM20R(SV)-2"/>
    <s v="L-&gt;R"/>
    <s v="MVC"/>
    <s v="WRONG"/>
    <s v="含税到厂"/>
    <d v="2020-08-22T00:00:00"/>
    <x v="0"/>
    <m/>
    <m/>
    <m/>
    <s v="C200938163"/>
    <n v="301"/>
  </r>
  <r>
    <n v="554"/>
    <x v="0"/>
    <s v="C49"/>
    <n v="109991"/>
    <s v="Stock order"/>
    <x v="1"/>
    <s v="R-&gt;L"/>
    <s v="ATS15"/>
    <s v="Y52375"/>
    <n v="1"/>
    <s v="CY仓库"/>
    <d v="2020-10-24T00:00:00"/>
    <s v="NM"/>
    <s v="OCT 20"/>
    <s v="2020.10."/>
    <s v="JPY"/>
    <s v="C49SZX20190187JY"/>
    <x v="189"/>
    <s v="YSM10"/>
    <s v="L-&gt;R"/>
    <s v="MVC+ATS15"/>
    <s v="WRONG"/>
    <s v="DAP SZ"/>
    <d v="2019-12-20T00:00:00"/>
    <x v="0"/>
    <m/>
    <m/>
    <m/>
    <s v="C201038333"/>
    <n v="301"/>
  </r>
  <r>
    <n v="986"/>
    <x v="0"/>
    <s v="C49"/>
    <s v="109991（拆单110121）"/>
    <s v="Stock order"/>
    <x v="1"/>
    <s v="R-&gt;L"/>
    <s v="ATS15"/>
    <s v="Y52376"/>
    <n v="1"/>
    <s v="盐保仓库"/>
    <d v="2020-10-24T00:00:00"/>
    <s v="NM，价格PO109995"/>
    <s v="DEC 20"/>
    <s v="2020.10."/>
    <s v="JPY"/>
    <s v="C49SZX20200232SX"/>
    <x v="20"/>
    <s v="YSM10"/>
    <s v="L-&gt;R"/>
    <s v="MVC+ATS15"/>
    <s v="WRONG"/>
    <s v="DAP SZ"/>
    <d v="2020-12-01T00:00:00"/>
    <x v="0"/>
    <m/>
    <m/>
    <m/>
    <s v="C180532243"/>
    <n v="301"/>
  </r>
  <r>
    <n v="927"/>
    <x v="0"/>
    <s v="C49"/>
    <s v="109991（拆单110128）"/>
    <s v="Stock order"/>
    <x v="1"/>
    <s v="R-&gt;L"/>
    <s v="ATS15"/>
    <s v="Y52377"/>
    <n v="1"/>
    <s v="盐保仓库"/>
    <d v="2020-10-24T00:00:00"/>
    <n v="6.4399999999999999E-2"/>
    <s v="JAN 21"/>
    <s v="2020.10."/>
    <s v="JPY"/>
    <s v="C49SZX20200210RSX"/>
    <x v="194"/>
    <s v="YSM10"/>
    <s v="R-&gt;L"/>
    <s v="MVC+ATS15"/>
    <s v="WRONG"/>
    <s v="DAP HZ"/>
    <d v="2020-11-12T00:00:00"/>
    <x v="0"/>
    <m/>
    <m/>
    <m/>
    <s v="C201238817"/>
    <n v="301"/>
  </r>
  <r>
    <n v="783"/>
    <x v="0"/>
    <s v="C49"/>
    <n v="109991"/>
    <s v="Stock order"/>
    <x v="1"/>
    <s v="R-&gt;L"/>
    <s v="No"/>
    <s v="Y52378"/>
    <n v="1"/>
    <s v="盐保仓库"/>
    <d v="2020-10-24T00:00:00"/>
    <s v="NM"/>
    <s v="OCT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84"/>
    <x v="0"/>
    <s v="C49"/>
    <n v="109991"/>
    <s v="Stock order"/>
    <x v="1"/>
    <s v="R-&gt;L"/>
    <s v="No"/>
    <s v="Y52379"/>
    <n v="1"/>
    <s v="盐保仓库"/>
    <d v="2020-10-24T00:00:00"/>
    <s v="NM"/>
    <s v="OCT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90"/>
    <x v="0"/>
    <s v="C49"/>
    <n v="110046"/>
    <s v="阿克西姆名义下单"/>
    <x v="12"/>
    <s v="R-&gt;L"/>
    <s v="No"/>
    <s v="Y52690"/>
    <n v="1"/>
    <s v="码头-&gt;准备清关"/>
    <d v="2020-10-24T00:00:00"/>
    <n v="6.5000000000000002E-2"/>
    <s v="OCT 20"/>
    <s v="2020.10."/>
    <s v="RMB"/>
    <s v="C49SZX20200132SX"/>
    <x v="195"/>
    <s v="YSM20R-2"/>
    <s v="R-&gt;L"/>
    <s v="MVC"/>
    <s v="WRONG"/>
    <s v="含税到厂"/>
    <d v="2020-08-17T00:00:00"/>
    <x v="0"/>
    <m/>
    <m/>
    <m/>
    <s v="IND order "/>
    <n v="301"/>
  </r>
  <r>
    <n v="751"/>
    <x v="0"/>
    <s v="C49"/>
    <n v="110033"/>
    <s v="银宝名义下单"/>
    <x v="11"/>
    <s v="L-&gt;R"/>
    <s v="cATS10"/>
    <s v="Y52689"/>
    <n v="1"/>
    <s v="码头-&gt;准备清关"/>
    <d v="2020-10-24T00:00:00"/>
    <n v="6.5000000000000002E-2"/>
    <s v="OCT 20"/>
    <s v="2020.10."/>
    <s v="RMB"/>
    <s v="BS-SZGZ20071306-ZB"/>
    <x v="196"/>
    <s v="YSM20WR-2"/>
    <s v="L-&gt;R"/>
    <s v="cATS10+MVC"/>
    <s v="WRONG"/>
    <s v="DDP SZ"/>
    <d v="2020-07-29T00:00:00"/>
    <x v="0"/>
    <m/>
    <m/>
    <m/>
    <s v="IND order "/>
    <m/>
  </r>
  <r>
    <n v="785"/>
    <x v="0"/>
    <s v="C49"/>
    <n v="109992"/>
    <s v="Stock order"/>
    <x v="1"/>
    <s v="R-&gt;L"/>
    <s v="No"/>
    <s v="Y52804"/>
    <n v="1"/>
    <s v="码头-&gt;准备清关"/>
    <d v="2020-11-02T00:00:00"/>
    <n v="6.4799999999999996E-2"/>
    <s v="NOV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49"/>
    <x v="0"/>
    <s v="C49"/>
    <n v="109992"/>
    <s v="Stock order"/>
    <x v="1"/>
    <s v="R-&gt;L"/>
    <s v="No"/>
    <s v="Y52381"/>
    <n v="1"/>
    <s v="码头-&gt;准备清关"/>
    <d v="2020-11-02T00:00:00"/>
    <n v="6.4799999999999996E-2"/>
    <s v="NOV 20"/>
    <s v="2020.10."/>
    <s v="JPY"/>
    <s v="C49SZX20200120SX"/>
    <x v="19"/>
    <s v="YSM10"/>
    <s v="L-&gt;R"/>
    <s v="MVC"/>
    <s v="WRONG"/>
    <s v="DAP SZ"/>
    <d v="2020-07-29T00:00:00"/>
    <x v="0"/>
    <m/>
    <m/>
    <m/>
    <s v="C180331698"/>
    <n v="301"/>
  </r>
  <r>
    <n v="786"/>
    <x v="0"/>
    <s v="C49"/>
    <n v="109992"/>
    <s v="Stock order"/>
    <x v="1"/>
    <s v="R-&gt;L"/>
    <s v="No"/>
    <s v="Y52382"/>
    <n v="1"/>
    <s v="码头-&gt;准备清关"/>
    <d v="2020-11-02T00:00:00"/>
    <n v="6.4799999999999996E-2"/>
    <s v="NOV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87"/>
    <x v="0"/>
    <s v="C49"/>
    <n v="109992"/>
    <s v="Stock order"/>
    <x v="1"/>
    <s v="R-&gt;L"/>
    <s v="No"/>
    <s v="Y52383"/>
    <n v="1"/>
    <s v="码头-&gt;准备清关"/>
    <d v="2020-11-02T00:00:00"/>
    <n v="6.4799999999999996E-2"/>
    <s v="NOV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35"/>
    <x v="0"/>
    <s v="C49"/>
    <s v="109992（拆分PO110072）"/>
    <s v="Stock order（序列号已给客户，不可调）"/>
    <x v="1"/>
    <s v="R-&gt;L"/>
    <s v="No"/>
    <s v="Y52384"/>
    <n v="1"/>
    <s v="码头-&gt;准备清关"/>
    <d v="2020-11-02T00:00:00"/>
    <n v="6.5000000000000002E-2"/>
    <s v="NOV 20"/>
    <s v="2020.10."/>
    <s v="JPY"/>
    <s v="C49SZX20200188JY"/>
    <x v="197"/>
    <s v="YSM10"/>
    <s v="R-&gt;L"/>
    <s v="MVC"/>
    <s v="WRONG"/>
    <s v="DAP SZ"/>
    <d v="2020-07-20T00:00:00"/>
    <x v="0"/>
    <m/>
    <m/>
    <m/>
    <s v="C200838012"/>
    <n v="301"/>
  </r>
  <r>
    <n v="763"/>
    <x v="0"/>
    <s v="C49"/>
    <s v="109992（拆分PO110072）"/>
    <s v="Stock order"/>
    <x v="1"/>
    <s v="R-&gt;L"/>
    <s v="No"/>
    <s v="Y52385"/>
    <n v="1"/>
    <s v="力合仓库(已经清关)"/>
    <d v="2020-11-02T00:00:00"/>
    <n v="6.5000000000000002E-2"/>
    <s v="NOV 20"/>
    <s v="2020.10."/>
    <s v="RMB"/>
    <s v="C49SZX20200121JL"/>
    <x v="192"/>
    <s v="YSM10"/>
    <s v="L-&gt;R"/>
    <s v="MVC"/>
    <s v="WRONG"/>
    <s v="含税到厂"/>
    <d v="2020-08-25T00:00:00"/>
    <x v="0"/>
    <m/>
    <m/>
    <m/>
    <s v="C200938211"/>
    <n v="301"/>
  </r>
  <r>
    <n v="789"/>
    <x v="0"/>
    <s v="C49"/>
    <s v="109992（拆分PO110072）"/>
    <s v="Stock order"/>
    <x v="1"/>
    <s v="R-&gt;L"/>
    <s v="No"/>
    <s v="Y52386"/>
    <n v="1"/>
    <s v="码头-&gt;准备清关"/>
    <d v="2020-11-02T00:00:00"/>
    <n v="6.5000000000000002E-2"/>
    <s v="NOV 20"/>
    <s v="2020.10."/>
    <s v="RMB"/>
    <s v="C49SZX20200133JL"/>
    <x v="15"/>
    <s v="YSM10"/>
    <s v="L-&gt;R"/>
    <s v="MVC"/>
    <s v="WRONG"/>
    <s v="含税到厂"/>
    <d v="2020-08-18T00:00:00"/>
    <x v="0"/>
    <m/>
    <m/>
    <m/>
    <s v="C180231406"/>
    <n v="301"/>
  </r>
  <r>
    <n v="740"/>
    <x v="0"/>
    <s v="C49"/>
    <n v="110034"/>
    <s v="平方兆赫名义下单"/>
    <x v="11"/>
    <s v="L-&gt;R"/>
    <s v="MVC"/>
    <s v="Y52688"/>
    <n v="1"/>
    <s v="盐保仓库"/>
    <d v="2020-11-02T00:00:00"/>
    <s v="NM"/>
    <s v="APR 21"/>
    <s v="2020.10."/>
    <s v="JPY"/>
    <s v="C49SZX20210028DZ"/>
    <x v="198"/>
    <s v="YSM20WR-2"/>
    <s v="L-&gt;R"/>
    <s v="MVC"/>
    <s v="OK"/>
    <s v="CIF HK"/>
    <d v="2021-03-10T00:00:00"/>
    <x v="0"/>
    <m/>
    <m/>
    <m/>
    <s v="YES"/>
    <m/>
  </r>
  <r>
    <n v="794"/>
    <x v="0"/>
    <s v="C49"/>
    <n v="110055"/>
    <s v="Stock order"/>
    <x v="1"/>
    <s v="L-&gt;R"/>
    <s v="HM5+MVC+ATS15"/>
    <s v="Y53085"/>
    <n v="1"/>
    <s v="CY仓库"/>
    <d v="2020-11-07T00:00:00"/>
    <s v="NM"/>
    <s v="NOV 20"/>
    <s v="2020.10."/>
    <s v="USD"/>
    <s v="C49SZX20200146RW"/>
    <x v="199"/>
    <s v="YSM10-HM5"/>
    <s v="L-&gt;R"/>
    <s v="MVC+ATS15"/>
    <s v="WRONG"/>
    <s v="CIF HK"/>
    <d v="2020-08-27T00:00:00"/>
    <x v="0"/>
    <m/>
    <m/>
    <m/>
    <s v="C120612523"/>
    <n v="302"/>
  </r>
  <r>
    <n v="904"/>
    <x v="0"/>
    <s v="C49"/>
    <n v="110049"/>
    <s v="博睿通名义下单"/>
    <x v="1"/>
    <s v="R-&gt;L"/>
    <s v="MVC+ATS15"/>
    <s v="Y52847"/>
    <n v="1"/>
    <s v="盐保仓库"/>
    <d v="2020-11-07T00:00:00"/>
    <n v="6.4199999999999993E-2"/>
    <s v="NOV 20"/>
    <m/>
    <s v="JPY"/>
    <s v="C49SZX20200200SS"/>
    <x v="116"/>
    <s v="YSM10"/>
    <s v="L-&gt;R"/>
    <s v="MVC+ATS15"/>
    <s v="WRONG"/>
    <s v="DAP SZ"/>
    <d v="2020-10-31T00:00:00"/>
    <x v="0"/>
    <m/>
    <m/>
    <m/>
    <s v="C190634955"/>
    <n v="301"/>
  </r>
  <r>
    <n v="1026"/>
    <x v="0"/>
    <s v="C49"/>
    <n v="110049"/>
    <s v="博睿通名义下单"/>
    <x v="1"/>
    <s v="R-&gt;L"/>
    <s v="MVC+ATS15"/>
    <s v="Y52848"/>
    <n v="1"/>
    <s v="盐保仓库"/>
    <d v="2020-11-07T00:00:00"/>
    <n v="6.4199999999999993E-2"/>
    <s v="JAN 21"/>
    <m/>
    <s v="JPY"/>
    <s v="C49SZX20200242DZ"/>
    <x v="10"/>
    <s v="YSM10"/>
    <s v="R-&gt;L"/>
    <s v="MVC+ATS15"/>
    <s v="OK"/>
    <s v="CIF HK"/>
    <d v="2020-12-17T00:00:00"/>
    <x v="0"/>
    <m/>
    <m/>
    <m/>
    <s v="C190534728"/>
    <n v="301"/>
  </r>
  <r>
    <n v="744"/>
    <x v="0"/>
    <s v="C49"/>
    <n v="110049"/>
    <s v="博睿通名义下单"/>
    <x v="1"/>
    <s v="R-&gt;L"/>
    <s v="No"/>
    <s v="Y52849"/>
    <n v="1"/>
    <s v="盐保仓库"/>
    <d v="2020-11-07T00:00:00"/>
    <n v="6.4199999999999993E-2"/>
    <s v="DEC 20"/>
    <m/>
    <s v="JPY"/>
    <s v="C49SZX20200115SX"/>
    <x v="200"/>
    <s v="YSM10"/>
    <s v="L-&gt;R"/>
    <s v="No"/>
    <s v="WRONG"/>
    <s v="DAP JX"/>
    <d v="2020-07-28T00:00:00"/>
    <x v="0"/>
    <m/>
    <m/>
    <m/>
    <s v="C200938065"/>
    <n v="302"/>
  </r>
  <r>
    <n v="830"/>
    <x v="0"/>
    <s v="C49"/>
    <n v="110049"/>
    <s v="博睿通名义下单"/>
    <x v="12"/>
    <s v="L-&gt;R"/>
    <s v="No"/>
    <s v="Y52843"/>
    <n v="1"/>
    <s v="盐保仓库"/>
    <d v="2020-11-07T00:00:00"/>
    <n v="6.4199999999999993E-2"/>
    <s v="NOV 20"/>
    <m/>
    <s v="RMB"/>
    <s v="C49SZX20200155JD"/>
    <x v="186"/>
    <s v="YSM20R-2"/>
    <s v="L-&gt;R"/>
    <s v="No"/>
    <s v="OK"/>
    <s v="含税到厂"/>
    <d v="2020-09-16T00:00:00"/>
    <x v="0"/>
    <m/>
    <m/>
    <m/>
    <s v="C201038384"/>
    <n v="311"/>
  </r>
  <r>
    <n v="831"/>
    <x v="0"/>
    <s v="C49"/>
    <n v="110049"/>
    <s v="博睿通名义下单"/>
    <x v="12"/>
    <s v="L-&gt;R"/>
    <s v="No"/>
    <s v="Y52844"/>
    <n v="1"/>
    <s v="盐保仓库"/>
    <d v="2020-11-07T00:00:00"/>
    <n v="6.4199999999999993E-2"/>
    <s v="NOV 20"/>
    <m/>
    <s v="RMB"/>
    <s v="C49SZX20200155JD"/>
    <x v="186"/>
    <s v="YSM20R-2"/>
    <s v="L-&gt;R"/>
    <s v="No"/>
    <s v="OK"/>
    <s v="含税到厂"/>
    <d v="2020-09-16T00:00:00"/>
    <x v="0"/>
    <m/>
    <m/>
    <m/>
    <s v="C201038384"/>
    <n v="302"/>
  </r>
  <r>
    <n v="792"/>
    <x v="0"/>
    <s v="C49"/>
    <n v="110025"/>
    <s v="Stock order"/>
    <x v="1"/>
    <s v="R-&gt;L"/>
    <s v="No"/>
    <s v="Y53182"/>
    <n v="1"/>
    <s v="盐保仓库"/>
    <d v="2020-11-07T00:00:00"/>
    <n v="6.4199999999999993E-2"/>
    <s v="NOV 20"/>
    <m/>
    <s v="JPY"/>
    <s v="C49SZX20200137SS"/>
    <x v="201"/>
    <s v="YSM10"/>
    <s v="L-&gt;R"/>
    <s v="MVC"/>
    <s v="WRONG"/>
    <s v="DAP SZ"/>
    <d v="2020-08-24T00:00:00"/>
    <x v="0"/>
    <m/>
    <m/>
    <m/>
    <s v="C200537348"/>
    <n v="301"/>
  </r>
  <r>
    <n v="803"/>
    <x v="0"/>
    <s v="C49"/>
    <n v="110025"/>
    <s v="Stock order"/>
    <x v="1"/>
    <s v="R-&gt;L"/>
    <s v="No"/>
    <s v="Y53183"/>
    <n v="1"/>
    <m/>
    <d v="2020-11-07T00:00:00"/>
    <n v="6.4199999999999993E-2"/>
    <s v="NOV 20"/>
    <m/>
    <s v="JPY"/>
    <s v="C49SZX20200150SS"/>
    <x v="202"/>
    <s v="YSM10"/>
    <s v="R-&gt;L"/>
    <s v="No"/>
    <s v="OK"/>
    <s v="DAP FS"/>
    <d v="2020-09-02T00:00:00"/>
    <x v="0"/>
    <m/>
    <m/>
    <m/>
    <s v="C180732632"/>
    <n v="301"/>
  </r>
  <r>
    <n v="804"/>
    <x v="0"/>
    <s v="C49"/>
    <n v="110025"/>
    <s v="Stock order"/>
    <x v="1"/>
    <s v="R-&gt;L"/>
    <s v="No"/>
    <s v="Y53184"/>
    <n v="1"/>
    <m/>
    <d v="2020-11-07T00:00:00"/>
    <n v="6.4199999999999993E-2"/>
    <s v="NOV 20"/>
    <m/>
    <s v="JPY"/>
    <s v="C49SZX20200150SS"/>
    <x v="202"/>
    <s v="YSM10"/>
    <s v="R-&gt;L"/>
    <s v="No"/>
    <s v="OK"/>
    <s v="DAP FS"/>
    <d v="2020-09-02T00:00:00"/>
    <x v="0"/>
    <m/>
    <m/>
    <m/>
    <s v="C180732632"/>
    <n v="301"/>
  </r>
  <r>
    <n v="745"/>
    <x v="0"/>
    <s v="C49"/>
    <s v="110025(拆单110117)"/>
    <s v="Stock order"/>
    <x v="1"/>
    <s v="R-&gt;L"/>
    <s v="No"/>
    <s v="Y53185"/>
    <n v="1"/>
    <s v="盐保仓库"/>
    <d v="2020-11-07T00:00:00"/>
    <s v="NM，PO用110043"/>
    <s v="DEC 20"/>
    <m/>
    <s v="JPY"/>
    <s v="C49SZX20200115SX"/>
    <x v="200"/>
    <s v="YSM10"/>
    <s v="L-&gt;R"/>
    <s v="No"/>
    <s v="WRONG"/>
    <s v="DAP JX"/>
    <d v="2020-07-28T00:00:00"/>
    <x v="0"/>
    <m/>
    <m/>
    <m/>
    <s v="C200938065"/>
    <n v="301"/>
  </r>
  <r>
    <n v="847"/>
    <x v="0"/>
    <s v="C49"/>
    <s v="110025(拆单110117)"/>
    <s v="Stock order"/>
    <x v="1"/>
    <s v="R-&gt;L"/>
    <s v="No"/>
    <s v="Y53186"/>
    <n v="1"/>
    <m/>
    <d v="2020-11-07T00:00:00"/>
    <n v="6.3799999999999996E-2"/>
    <s v="NOV 20"/>
    <m/>
    <s v="RMB"/>
    <s v="C49SZX20200168SX"/>
    <x v="16"/>
    <s v="YSM10"/>
    <s v="L-&gt;R"/>
    <s v="MVC"/>
    <s v="WRONG"/>
    <s v="含税到厂"/>
    <d v="2020-09-22T00:00:00"/>
    <x v="0"/>
    <m/>
    <m/>
    <m/>
    <s v="C180732624"/>
    <n v="301"/>
  </r>
  <r>
    <n v="866"/>
    <x v="0"/>
    <s v="C49"/>
    <s v="49F103708"/>
    <s v="皇家显示名义下单"/>
    <x v="0"/>
    <s v="R-&gt;L"/>
    <s v="No"/>
    <s v="Y52766"/>
    <n v="1"/>
    <s v="深圳仓库"/>
    <d v="2020-11-04T00:00:00"/>
    <s v="NM"/>
    <s v="NOV 20"/>
    <m/>
    <s v="RMB"/>
    <s v="C49SZX20200171DZ"/>
    <x v="203"/>
    <s v="YSM40R-4"/>
    <s v="L-&gt;R"/>
    <s v="No"/>
    <s v="WRONG"/>
    <s v="含税到厂"/>
    <d v="2020-09-28T00:00:00"/>
    <x v="0"/>
    <m/>
    <m/>
    <m/>
    <s v="IND order "/>
    <m/>
  </r>
  <r>
    <n v="865"/>
    <x v="0"/>
    <s v="C49"/>
    <s v="49F103708"/>
    <s v="皇家显示名义下单"/>
    <x v="0"/>
    <s v="R-&gt;L"/>
    <s v="No"/>
    <s v="Y52765"/>
    <n v="1"/>
    <s v="深圳仓库"/>
    <d v="2020-11-04T00:00:00"/>
    <s v="NM"/>
    <s v="NOV 20"/>
    <m/>
    <s v="RMB"/>
    <s v="C49SZX20200171DZ"/>
    <x v="203"/>
    <s v="YSM40R-4"/>
    <s v="L-&gt;R"/>
    <s v="No"/>
    <s v="WRONG"/>
    <s v="含税到厂"/>
    <d v="2020-09-28T00:00:00"/>
    <x v="0"/>
    <m/>
    <m/>
    <m/>
    <s v="IND order "/>
    <m/>
  </r>
  <r>
    <n v="870"/>
    <x v="0"/>
    <s v="C28"/>
    <n v="110045"/>
    <s v="Stock order"/>
    <x v="9"/>
    <s v="R-&gt;L"/>
    <s v="No"/>
    <s v="Y52685"/>
    <n v="1"/>
    <s v="盐保仓库"/>
    <d v="2020-11-07T00:00:00"/>
    <s v="NM"/>
    <s v="DEC 20"/>
    <s v="2020.10."/>
    <s v="JPY"/>
    <s v="C28SZX20200087KC"/>
    <x v="75"/>
    <s v="YCP10"/>
    <s v="L-&gt;R"/>
    <s v="No"/>
    <s v="WRONG"/>
    <s v="CIF HK"/>
    <d v="2020-09-28T00:00:00"/>
    <x v="0"/>
    <m/>
    <m/>
    <m/>
    <s v="C200336888"/>
    <m/>
  </r>
  <r>
    <n v="846"/>
    <x v="0"/>
    <s v="C28"/>
    <n v="110081"/>
    <s v="Stock order"/>
    <x v="13"/>
    <s v="R-&gt;L"/>
    <s v="No"/>
    <s v="Y53169"/>
    <n v="1"/>
    <s v="盐保仓库"/>
    <d v="2020-11-13T00:00:00"/>
    <n v="6.4000000000000001E-2"/>
    <s v="DEC 20"/>
    <s v="2020.10."/>
    <s v="RMB"/>
    <s v="C28SZX20200084KC"/>
    <x v="204"/>
    <s v="YSi-V"/>
    <s v="R-&gt;L"/>
    <s v="No"/>
    <s v="OK"/>
    <s v="含税到厂"/>
    <d v="2020-09-17T00:00:00"/>
    <x v="2"/>
    <m/>
    <m/>
    <m/>
    <s v="C180933101，客户的安贸一直没更新，用鑫联科名字做的安贸"/>
    <m/>
  </r>
  <r>
    <s v="上海预留."/>
    <x v="0"/>
    <s v="C28"/>
    <n v="110081"/>
    <s v="Stock order"/>
    <x v="13"/>
    <s v="R-&gt;L"/>
    <s v="No"/>
    <s v="Y53170"/>
    <n v="1"/>
    <s v="华日仓库中转"/>
    <d v="2020-11-13T00:00:00"/>
    <n v="6.4000000000000001E-2"/>
    <s v="FEB 21"/>
    <s v="2020.10."/>
    <s v="RMB"/>
    <s v="C49SHA20210115/LYJ"/>
    <x v="205"/>
    <s v="YSi-V"/>
    <s v="R-&gt;L"/>
    <s v="No"/>
    <s v="OK"/>
    <e v="#N/A"/>
    <e v="#N/A"/>
    <x v="1"/>
    <m/>
    <m/>
    <m/>
    <s v="C180231281"/>
    <m/>
  </r>
  <r>
    <n v="828"/>
    <x v="0"/>
    <s v="C49"/>
    <n v="110050"/>
    <s v="博睿通名义下单"/>
    <x v="1"/>
    <s v="R-&gt;L"/>
    <s v="MVC+ATS15"/>
    <s v="Y52850"/>
    <n v="1"/>
    <s v="盐保仓库"/>
    <d v="2020-11-14T00:00:00"/>
    <s v="NM"/>
    <s v="NOV 20"/>
    <s v="2020.10."/>
    <s v="JPY"/>
    <s v="C49SZX20200160JL"/>
    <x v="77"/>
    <s v="YSM10"/>
    <s v="R-&gt;L"/>
    <s v="MVC+ATS15"/>
    <s v="OK"/>
    <s v="CIF HK"/>
    <d v="2020-09-10T00:00:00"/>
    <x v="0"/>
    <m/>
    <m/>
    <m/>
    <s v="C190133876"/>
    <n v="302"/>
  </r>
  <r>
    <n v="849"/>
    <x v="0"/>
    <s v="C49"/>
    <n v="110050"/>
    <s v="博睿通名义下单"/>
    <x v="1"/>
    <s v="R-&gt;L"/>
    <s v="MVC+ATS15"/>
    <s v="Y52851"/>
    <n v="1"/>
    <s v="盐保仓库"/>
    <d v="2020-11-14T00:00:00"/>
    <s v="NM"/>
    <s v="DEC 20"/>
    <s v="2020.10."/>
    <s v="JPY"/>
    <s v="C49SZX20200167EC"/>
    <x v="174"/>
    <s v="YSM10"/>
    <s v="L-&gt;R"/>
    <s v="MVC+ATS15"/>
    <s v="WRONG"/>
    <s v="CIF HK"/>
    <d v="2020-09-18T00:00:00"/>
    <x v="0"/>
    <m/>
    <m/>
    <m/>
    <s v="C200737827"/>
    <n v="302"/>
  </r>
  <r>
    <n v="833"/>
    <x v="0"/>
    <s v="C49"/>
    <s v="110050（拆单110179）"/>
    <s v="博睿通名义下单"/>
    <x v="1"/>
    <s v="R-&gt;L"/>
    <s v="No"/>
    <s v="Y52852"/>
    <n v="1"/>
    <s v="盐保仓库"/>
    <d v="2020-11-14T00:00:00"/>
    <n v="6.4000000000000001E-2"/>
    <s v="NOV 20"/>
    <s v="2020.10."/>
    <s v="RMB"/>
    <s v="C49SZX20200155JD"/>
    <x v="186"/>
    <s v="YSM10"/>
    <s v="L-&gt;R"/>
    <s v="MVC"/>
    <s v="WRONG"/>
    <s v="含税到厂"/>
    <d v="2020-09-16T00:00:00"/>
    <x v="0"/>
    <m/>
    <m/>
    <m/>
    <s v="C201038384"/>
    <n v="302"/>
  </r>
  <r>
    <n v="845"/>
    <x v="0"/>
    <s v="C49"/>
    <n v="110043"/>
    <s v="Stock order"/>
    <x v="1"/>
    <s v="R-&gt;L"/>
    <s v="No"/>
    <s v="Y53235"/>
    <n v="1"/>
    <s v="CY仓库"/>
    <d v="2020-11-21T00:00:00"/>
    <s v="NM"/>
    <s v="NOV 20"/>
    <m/>
    <s v="JPY"/>
    <s v="C49SZX20200159JY"/>
    <x v="206"/>
    <s v="YSM10"/>
    <s v="L-&gt;R"/>
    <s v="No"/>
    <s v="WRONG"/>
    <s v="DAP SZ"/>
    <d v="2020-09-11T00:00:00"/>
    <x v="0"/>
    <m/>
    <m/>
    <m/>
    <s v="C200838012"/>
    <n v="301"/>
  </r>
  <r>
    <n v="810"/>
    <x v="0"/>
    <s v="C49"/>
    <n v="110043"/>
    <s v="Stock order"/>
    <x v="1"/>
    <s v="R-&gt;L"/>
    <s v="No"/>
    <s v="Y53236"/>
    <n v="1"/>
    <s v="CY仓库"/>
    <d v="2020-11-21T00:00:00"/>
    <s v="0.0638,PO 用110117"/>
    <s v="NOV 20"/>
    <m/>
    <s v="RMB"/>
    <s v="C49SZX20200157SX"/>
    <x v="207"/>
    <s v="YSM10"/>
    <s v="L-&gt;R"/>
    <s v="MVC"/>
    <s v="WRONG"/>
    <s v="含税到厂"/>
    <d v="2020-09-08T00:00:00"/>
    <x v="0"/>
    <m/>
    <m/>
    <m/>
    <s v="C180532024"/>
    <n v="301"/>
  </r>
  <r>
    <n v="811"/>
    <x v="0"/>
    <s v="C49"/>
    <n v="110043"/>
    <s v="Stock order"/>
    <x v="1"/>
    <s v="R-&gt;L"/>
    <s v="No"/>
    <s v="Y53237"/>
    <n v="1"/>
    <s v="CY仓库"/>
    <d v="2020-11-21T00:00:00"/>
    <s v="NM"/>
    <s v="NOV 20"/>
    <m/>
    <s v="JPY"/>
    <s v="C49SZX20200129JL"/>
    <x v="77"/>
    <s v="YSM10"/>
    <s v="R-&gt;L"/>
    <s v="MVC"/>
    <s v="WRONG"/>
    <s v="CIF HK"/>
    <d v="2020-09-07T00:00:00"/>
    <x v="0"/>
    <m/>
    <m/>
    <m/>
    <s v="C171230831"/>
    <d v="1900-10-27T00:00:00"/>
  </r>
  <r>
    <n v="812"/>
    <x v="0"/>
    <s v="C49"/>
    <s v="110043(拆单110140)"/>
    <s v="Stock order"/>
    <x v="1"/>
    <s v="R-&gt;L"/>
    <s v="No"/>
    <s v="Y53265"/>
    <n v="1"/>
    <s v="CY仓库"/>
    <d v="2020-11-21T00:00:00"/>
    <n v="6.4000000000000001E-2"/>
    <s v="NOV 20"/>
    <m/>
    <s v="JPY"/>
    <s v="C49SZX20200129JL"/>
    <x v="77"/>
    <s v="YSM10"/>
    <s v="R-&gt;L"/>
    <s v="MVC"/>
    <s v="WRONG"/>
    <s v="CIF HK"/>
    <d v="2020-09-07T00:00:00"/>
    <x v="0"/>
    <m/>
    <m/>
    <m/>
    <s v="C171230831"/>
    <d v="1900-10-27T00:00:00"/>
  </r>
  <r>
    <n v="813"/>
    <x v="0"/>
    <s v="C49"/>
    <s v="110043(拆单110140)"/>
    <s v="Stock order"/>
    <x v="1"/>
    <s v="R-&gt;L"/>
    <s v="No"/>
    <s v="Y53240"/>
    <n v="1"/>
    <s v="CY仓库"/>
    <d v="2020-11-21T00:00:00"/>
    <n v="6.4000000000000001E-2"/>
    <s v="NOV 20"/>
    <m/>
    <s v="JPY"/>
    <s v="C49SZX20200129JL"/>
    <x v="77"/>
    <s v="YSM10"/>
    <s v="R-&gt;L"/>
    <s v="MVC"/>
    <s v="WRONG"/>
    <s v="CIF HK"/>
    <d v="2020-09-07T00:00:00"/>
    <x v="0"/>
    <m/>
    <m/>
    <m/>
    <s v="C171230831"/>
    <d v="1900-10-27T00:00:00"/>
  </r>
  <r>
    <n v="862"/>
    <x v="0"/>
    <s v="C49"/>
    <n v="110137"/>
    <s v="Stock order"/>
    <x v="12"/>
    <s v="L-&gt;R"/>
    <s v="No"/>
    <s v="Y53439"/>
    <n v="1"/>
    <s v="CY仓库"/>
    <d v="2020-11-21T00:00:00"/>
    <n v="6.4000000000000001E-2"/>
    <s v="NOV 20"/>
    <n v="2020.11"/>
    <s v="JPY"/>
    <s v="C49SZX20200175JY"/>
    <x v="163"/>
    <s v="YSM20R-2"/>
    <s v="L-&gt;R"/>
    <s v="No"/>
    <s v="OK"/>
    <s v="DAP SZ"/>
    <d v="2020-09-25T00:00:00"/>
    <x v="0"/>
    <m/>
    <m/>
    <m/>
    <s v="C200637625"/>
    <n v="303"/>
  </r>
  <r>
    <n v="829"/>
    <x v="0"/>
    <s v="C49"/>
    <n v="110137"/>
    <s v="Stock order"/>
    <x v="12"/>
    <s v="L-&gt;R"/>
    <s v="No"/>
    <s v="Y53440"/>
    <n v="1"/>
    <s v="CY仓库"/>
    <d v="2020-11-21T00:00:00"/>
    <n v="6.4000000000000001E-2"/>
    <s v="NOV 20"/>
    <d v="1905-07-12T02:38:24"/>
    <s v="JPY"/>
    <s v="C49SZX20200160JL"/>
    <x v="77"/>
    <s v="YSM20R-2"/>
    <s v="L-&gt;R"/>
    <s v="No"/>
    <s v="OK"/>
    <s v="CIF HK"/>
    <d v="2020-09-10T00:00:00"/>
    <x v="0"/>
    <m/>
    <m/>
    <m/>
    <s v="C190133876"/>
    <d v="1900-10-29T00:00:00"/>
  </r>
  <r>
    <n v="827"/>
    <x v="0"/>
    <s v="C49"/>
    <n v="110089"/>
    <s v="旭晟名义下单"/>
    <x v="12"/>
    <s v="L-&gt;R"/>
    <s v="No"/>
    <s v="Y53174"/>
    <n v="1"/>
    <s v="码头"/>
    <d v="2020-11-22T00:00:00"/>
    <s v="NM"/>
    <s v="NOV 20"/>
    <n v="2020.11"/>
    <s v="JPY"/>
    <s v="C49SZX20200152SX"/>
    <x v="208"/>
    <s v="YSM20R-2"/>
    <s v="L-&gt;R"/>
    <s v="No"/>
    <s v="OK"/>
    <s v="DAP SZ"/>
    <d v="2020-09-14T00:00:00"/>
    <x v="0"/>
    <m/>
    <m/>
    <m/>
    <s v="IND order"/>
    <m/>
  </r>
  <r>
    <n v="935"/>
    <x v="0"/>
    <s v="C49"/>
    <s v="110026（拆单110178）"/>
    <s v="Stock order"/>
    <x v="1"/>
    <s v="R-&gt;L"/>
    <s v="No"/>
    <s v="Y53187"/>
    <n v="1"/>
    <s v="力合仓库(已经清关)"/>
    <d v="2020-11-26T00:00:00"/>
    <n v="6.4000000000000001E-2"/>
    <s v="DEC 20"/>
    <m/>
    <s v="RMB"/>
    <s v="C49SZX20200215JL"/>
    <x v="171"/>
    <s v="YSM10"/>
    <s v="R-&gt;L"/>
    <s v="MVC"/>
    <s v="WRONG"/>
    <s v="含税到厂"/>
    <d v="2020-11-12T00:00:00"/>
    <x v="0"/>
    <m/>
    <m/>
    <m/>
    <s v="C170930142"/>
    <n v="302"/>
  </r>
  <r>
    <n v="806"/>
    <x v="0"/>
    <s v="C49"/>
    <s v="110026（拆单110178）"/>
    <s v="Stock order"/>
    <x v="1"/>
    <s v="R-&gt;L"/>
    <s v="No"/>
    <s v="Y53188"/>
    <n v="1"/>
    <s v="力合仓库(已经清关)"/>
    <d v="2020-11-26T00:00:00"/>
    <n v="6.4000000000000001E-2"/>
    <s v="DEC 20"/>
    <m/>
    <s v="RMB"/>
    <s v="C49SZX20200149JL"/>
    <x v="209"/>
    <s v="YSM10"/>
    <s v="R-&gt;L"/>
    <s v="MVC"/>
    <s v="WRONG"/>
    <s v="含税到厂"/>
    <d v="2020-09-03T00:00:00"/>
    <x v="0"/>
    <m/>
    <m/>
    <m/>
    <s v="C201238746"/>
    <n v="302"/>
  </r>
  <r>
    <n v="876"/>
    <x v="0"/>
    <s v="C49"/>
    <s v="110026（拆单110182）"/>
    <s v="Stock order"/>
    <x v="1"/>
    <s v="R-&gt;L"/>
    <s v="No"/>
    <s v="Y53189"/>
    <n v="1"/>
    <s v="力合仓库(已经清关)"/>
    <d v="2020-11-26T00:00:00"/>
    <n v="6.3399999999999998E-2"/>
    <s v="DEC 20"/>
    <m/>
    <s v="RMB"/>
    <s v="C49SZX20200173MX"/>
    <x v="210"/>
    <s v="YSM10"/>
    <s v="L-&gt;R"/>
    <s v="No"/>
    <s v="WRONG"/>
    <s v="含税到厂"/>
    <d v="2020-09-29T00:00:00"/>
    <x v="0"/>
    <m/>
    <m/>
    <m/>
    <s v="C201238776"/>
    <n v="302"/>
  </r>
  <r>
    <n v="877"/>
    <x v="0"/>
    <s v="C49"/>
    <s v="110026（拆单110182）"/>
    <s v="Stock order"/>
    <x v="1"/>
    <s v="R-&gt;L"/>
    <s v="No"/>
    <s v="Y53190"/>
    <n v="1"/>
    <s v="力合仓库(已经清关)"/>
    <d v="2020-11-26T00:00:00"/>
    <n v="6.3399999999999998E-2"/>
    <s v="DEC 20"/>
    <m/>
    <s v="RMB"/>
    <s v="C49SZX20200173MX"/>
    <x v="210"/>
    <s v="YSM10"/>
    <s v="L-&gt;R"/>
    <s v="No"/>
    <s v="WRONG"/>
    <s v="含税到厂"/>
    <d v="2020-09-29T00:00:00"/>
    <x v="0"/>
    <m/>
    <m/>
    <m/>
    <s v="C201238776"/>
    <n v="302"/>
  </r>
  <r>
    <n v="922"/>
    <x v="0"/>
    <s v="C49"/>
    <s v="110026（拆单110178）"/>
    <s v="Stock order"/>
    <x v="1"/>
    <s v="R-&gt;L"/>
    <s v="No"/>
    <s v="Y53191"/>
    <n v="1"/>
    <s v="力合仓库(已经清关)"/>
    <d v="2020-11-26T00:00:00"/>
    <n v="6.4000000000000001E-2"/>
    <s v="DEC 20"/>
    <m/>
    <s v="RMB"/>
    <s v="C49SZX20200209SX"/>
    <x v="211"/>
    <s v="YSM10"/>
    <s v="R-&gt;L"/>
    <s v="MVC"/>
    <s v="WRONG"/>
    <s v="含税到厂"/>
    <d v="2020-11-11T00:00:00"/>
    <x v="0"/>
    <m/>
    <m/>
    <m/>
    <s v="C170429073"/>
    <n v="302"/>
  </r>
  <r>
    <n v="863"/>
    <x v="0"/>
    <s v="C49"/>
    <n v="110026"/>
    <s v="Stock order"/>
    <x v="1"/>
    <s v="R-&gt;L"/>
    <s v="No"/>
    <s v="Y53192"/>
    <n v="1"/>
    <s v="盐保仓库"/>
    <d v="2020-11-26T00:00:00"/>
    <s v="NM"/>
    <s v="DEC 20"/>
    <m/>
    <s v="JPY"/>
    <s v="C49SZX20200179MZ"/>
    <x v="40"/>
    <s v="YSM10"/>
    <s v="R-&gt;L"/>
    <s v="MVC"/>
    <s v="WRONG"/>
    <s v="CIF HK"/>
    <d v="2020-09-28T00:00:00"/>
    <x v="0"/>
    <m/>
    <m/>
    <m/>
    <s v="C180331587"/>
    <n v="312"/>
  </r>
  <r>
    <n v="850"/>
    <x v="0"/>
    <s v="C49"/>
    <n v="110026"/>
    <s v="Stock order"/>
    <x v="1"/>
    <s v="R-&gt;L"/>
    <s v="No"/>
    <s v="Y53193"/>
    <n v="1"/>
    <s v="盐保仓库"/>
    <d v="2020-11-26T00:00:00"/>
    <s v="NM"/>
    <s v="DEC 20"/>
    <m/>
    <s v="JPY"/>
    <s v="C49SZX20200167EC"/>
    <x v="174"/>
    <s v="YSM10"/>
    <s v="L-&gt;R"/>
    <s v="No"/>
    <s v="WRONG"/>
    <s v="CIF HK"/>
    <d v="2020-09-18T00:00:00"/>
    <x v="0"/>
    <m/>
    <m/>
    <m/>
    <s v="C200737827"/>
    <n v="312"/>
  </r>
  <r>
    <n v="880"/>
    <x v="0"/>
    <s v="C49"/>
    <s v="110044（拆单110207）"/>
    <s v="Stock order"/>
    <x v="1"/>
    <s v="R-&gt;L"/>
    <s v="No"/>
    <s v="Y53266"/>
    <n v="1"/>
    <s v="盐保仓库"/>
    <d v="2020-11-26T00:00:00"/>
    <n v="6.3799999999999996E-2"/>
    <s v="DEC 20"/>
    <m/>
    <s v="RMB"/>
    <s v="C49SZX20200187SX"/>
    <x v="212"/>
    <s v="YSM10"/>
    <s v="L-&gt;R"/>
    <s v="MVC"/>
    <s v="WRONG"/>
    <s v="含税到厂"/>
    <d v="2020-10-12T00:00:00"/>
    <x v="0"/>
    <m/>
    <m/>
    <m/>
    <s v="C201238803"/>
    <n v="301"/>
  </r>
  <r>
    <n v="879"/>
    <x v="0"/>
    <s v="C49"/>
    <s v="110044（拆单110207）"/>
    <s v="Stock order"/>
    <x v="1"/>
    <s v="R-&gt;L"/>
    <s v="No"/>
    <s v="Y53267"/>
    <n v="1"/>
    <s v="盐保仓库"/>
    <d v="2020-11-26T00:00:00"/>
    <n v="6.3799999999999996E-2"/>
    <s v="DEC 20"/>
    <m/>
    <s v="RMB"/>
    <s v="C49SZX20200187SX"/>
    <x v="212"/>
    <s v="YSM10"/>
    <s v="L-&gt;R"/>
    <s v="MVC"/>
    <s v="WRONG"/>
    <s v="含税到厂"/>
    <d v="2020-10-12T00:00:00"/>
    <x v="0"/>
    <m/>
    <m/>
    <m/>
    <s v="C201238803"/>
    <n v="301"/>
  </r>
  <r>
    <n v="861"/>
    <x v="0"/>
    <s v="C49"/>
    <n v="110044"/>
    <s v="Stock order"/>
    <x v="1"/>
    <s v="R-&gt;L"/>
    <s v="No"/>
    <s v="Y53268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60"/>
    <x v="0"/>
    <s v="C49"/>
    <n v="110044"/>
    <s v="Stock order"/>
    <x v="1"/>
    <s v="R-&gt;L"/>
    <s v="No"/>
    <s v="Y53269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58"/>
    <x v="0"/>
    <s v="C49"/>
    <n v="110044"/>
    <s v="Stock order"/>
    <x v="1"/>
    <s v="R-&gt;L"/>
    <s v="No"/>
    <s v="Y53238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59"/>
    <x v="0"/>
    <s v="C49"/>
    <n v="110044"/>
    <s v="Stock order"/>
    <x v="1"/>
    <s v="R-&gt;L"/>
    <s v="No"/>
    <s v="Y53239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51"/>
    <x v="0"/>
    <s v="C49"/>
    <n v="110069"/>
    <s v="Stock order"/>
    <x v="12"/>
    <s v="L-&gt;R"/>
    <s v="No"/>
    <s v="Y53443"/>
    <n v="1"/>
    <s v="CY仓库"/>
    <d v="2020-12-10T00:00:00"/>
    <s v="NM"/>
    <s v="DEC 20"/>
    <m/>
    <s v="JPY"/>
    <s v="C49SZX20200167EC"/>
    <x v="174"/>
    <s v="YSM20R(SV)-2"/>
    <s v="L-&gt;R"/>
    <s v="No"/>
    <s v="OK"/>
    <s v="CIF HK"/>
    <d v="2020-09-18T00:00:00"/>
    <x v="0"/>
    <m/>
    <m/>
    <m/>
    <s v="C200737827"/>
    <n v="301"/>
  </r>
  <r>
    <n v="841"/>
    <x v="0"/>
    <s v="C49"/>
    <n v="110069"/>
    <s v="Stock order"/>
    <x v="12"/>
    <s v="R-&gt;L"/>
    <s v="No"/>
    <s v="Y53444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842"/>
    <x v="0"/>
    <s v="C49"/>
    <n v="110069"/>
    <s v="Stock order"/>
    <x v="12"/>
    <s v="R-&gt;L"/>
    <s v="No"/>
    <s v="Y53445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843"/>
    <x v="0"/>
    <s v="C49"/>
    <n v="110069"/>
    <s v="Stock order"/>
    <x v="12"/>
    <s v="R-&gt;L"/>
    <s v="No"/>
    <s v="Y53446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844"/>
    <x v="0"/>
    <s v="C49"/>
    <n v="110069"/>
    <s v="Stock order"/>
    <x v="12"/>
    <s v="R-&gt;L"/>
    <s v="No"/>
    <s v="Y53447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932"/>
    <x v="0"/>
    <s v="C49"/>
    <n v="110110"/>
    <s v="博睿通名义下单"/>
    <x v="12"/>
    <s v="L-&gt;R"/>
    <s v="No"/>
    <s v="Y52845"/>
    <n v="1"/>
    <s v="码头-&gt;准备清关"/>
    <d v="2020-12-15T00:00:00"/>
    <s v="NM"/>
    <s v="DEC 20"/>
    <m/>
    <s v="JPY"/>
    <s v="C49SZX20200216JL"/>
    <x v="100"/>
    <s v="YSM20R-2"/>
    <s v="L-&gt;R"/>
    <s v="No"/>
    <s v="OK"/>
    <s v="DAP SZ"/>
    <d v="2020-11-13T00:00:00"/>
    <x v="0"/>
    <m/>
    <m/>
    <m/>
    <s v="C170629728"/>
    <n v="313"/>
  </r>
  <r>
    <n v="881"/>
    <x v="0"/>
    <s v="C49"/>
    <s v="110110（拆单110180）"/>
    <s v="博睿通名义下单"/>
    <x v="12"/>
    <s v="L-&gt;R"/>
    <s v="No"/>
    <s v="Y52846"/>
    <n v="1"/>
    <s v="码头-&gt;准备清关"/>
    <d v="2020-12-15T00:00:00"/>
    <n v="6.4000000000000001E-2"/>
    <s v="DEC 20"/>
    <m/>
    <s v="RMB"/>
    <s v="C49SZX20200187SX"/>
    <x v="212"/>
    <s v="YSM20R-2"/>
    <s v="L-&gt;R"/>
    <s v="No"/>
    <s v="OK"/>
    <s v="含税到厂"/>
    <d v="2020-10-12T00:00:00"/>
    <x v="0"/>
    <m/>
    <m/>
    <m/>
    <s v="C201238803"/>
    <n v="302"/>
  </r>
  <r>
    <n v="883"/>
    <x v="0"/>
    <s v="C49"/>
    <n v="110068"/>
    <s v="Stock order"/>
    <x v="12"/>
    <s v="L-&gt;R"/>
    <s v="cATS10+special layout"/>
    <s v="Y53442"/>
    <n v="1"/>
    <s v="盐保仓库"/>
    <d v="2020-12-13T00:00:00"/>
    <s v="NM"/>
    <s v="JAN 21"/>
    <n v="2020.11"/>
    <s v="JPY"/>
    <s v="C49SZX20200113SS"/>
    <x v="213"/>
    <s v="YSM20R-2"/>
    <s v="L-&gt;R"/>
    <s v="cATS10+MVC"/>
    <s v="WRONG"/>
    <s v="DAP SZ"/>
    <d v="2020-10-15T00:00:00"/>
    <x v="0"/>
    <m/>
    <m/>
    <m/>
    <s v="C201138627"/>
    <n v="301"/>
  </r>
  <r>
    <n v="867"/>
    <x v="0"/>
    <s v="C49"/>
    <n v="110068"/>
    <s v="Stock order"/>
    <x v="12"/>
    <s v="L-&gt;R"/>
    <s v="No"/>
    <s v="Y53441"/>
    <n v="1"/>
    <s v="盐保仓库"/>
    <d v="2020-12-13T00:00:00"/>
    <s v="NM"/>
    <s v="DEC 20"/>
    <n v="2020.11"/>
    <s v="JPY"/>
    <s v="C49SZX20200170DZ"/>
    <x v="75"/>
    <s v="YSM20R-2"/>
    <s v="L-&gt;R"/>
    <s v="No"/>
    <s v="OK"/>
    <s v="CIF HK"/>
    <d v="2020-09-24T00:00:00"/>
    <x v="0"/>
    <m/>
    <m/>
    <m/>
    <s v="C200336888"/>
    <n v="303"/>
  </r>
  <r>
    <n v="928"/>
    <x v="0"/>
    <s v="C49"/>
    <s v="110097（拆单110192）"/>
    <s v="玥芯通名义下单"/>
    <x v="12"/>
    <s v="L-&gt;R"/>
    <s v="No"/>
    <s v="Y53571"/>
    <n v="1"/>
    <s v="盐保仓库"/>
    <d v="2020-12-21T00:00:00"/>
    <n v="6.3399999999999998E-2"/>
    <s v="JAN 21"/>
    <m/>
    <s v="JPY"/>
    <s v="C49SZX20200210RSX"/>
    <x v="194"/>
    <s v="YSM20R-2"/>
    <s v="L-&gt;R"/>
    <s v="No"/>
    <s v="OK"/>
    <s v="DAP HZ"/>
    <d v="2020-11-12T00:00:00"/>
    <x v="0"/>
    <m/>
    <m/>
    <m/>
    <s v="Yes"/>
    <n v="301"/>
  </r>
  <r>
    <n v="796"/>
    <x v="0"/>
    <s v="C49"/>
    <n v="110097"/>
    <s v="玥芯通名义下单"/>
    <x v="12"/>
    <s v="R-&gt;L"/>
    <s v="No"/>
    <s v="Y53572"/>
    <n v="1"/>
    <s v="力合仓库(已经清关)"/>
    <d v="2020-12-21T00:00:00"/>
    <s v="0.065(PO用110047）"/>
    <s v="JAN 21"/>
    <m/>
    <s v="RMB"/>
    <s v="C49SZX20200140RSX"/>
    <x v="185"/>
    <s v="YSM20R-2"/>
    <s v="R-&gt;L"/>
    <s v="No"/>
    <s v="OK"/>
    <s v="含税到厂"/>
    <d v="2020-09-01T00:00:00"/>
    <x v="0"/>
    <m/>
    <m/>
    <m/>
    <s v="C200938204"/>
    <n v="302"/>
  </r>
  <r>
    <n v="864"/>
    <x v="0"/>
    <s v="C49"/>
    <n v="110097"/>
    <s v="玥芯通名义下单"/>
    <x v="12"/>
    <s v="R-&gt;L"/>
    <s v="No"/>
    <s v="Y53573"/>
    <n v="1"/>
    <s v="盐保仓库"/>
    <d v="2020-12-21T00:00:00"/>
    <s v="NM"/>
    <s v="DEC 20"/>
    <m/>
    <s v="JPY"/>
    <s v="C49SZX20200179MZ"/>
    <x v="40"/>
    <s v="YSM20R-2"/>
    <s v="R-&gt;L"/>
    <s v="No"/>
    <s v="OK"/>
    <s v="CIF HK"/>
    <d v="2020-09-28T00:00:00"/>
    <x v="0"/>
    <m/>
    <m/>
    <m/>
    <s v="C180331587"/>
    <n v="301"/>
  </r>
  <r>
    <n v="896"/>
    <x v="0"/>
    <s v="C49"/>
    <s v="110181(拆单110214)"/>
    <s v="玥芯通名义下单"/>
    <x v="12"/>
    <s v="L-&gt;R"/>
    <s v="No"/>
    <s v="Y53574"/>
    <n v="1"/>
    <s v="力合仓库(已经清关)"/>
    <d v="2020-12-21T00:00:00"/>
    <n v="6.3500000000000001E-2"/>
    <s v="DEC 20"/>
    <m/>
    <s v="RMB"/>
    <s v="C49SZX20200196EC"/>
    <x v="214"/>
    <s v="YSM20R-2"/>
    <s v="L-&gt;R"/>
    <s v="No"/>
    <s v="OK"/>
    <s v="含税到厂"/>
    <d v="2020-10-23T00:00:00"/>
    <x v="0"/>
    <m/>
    <m/>
    <m/>
    <s v="C201138594"/>
    <n v="301"/>
  </r>
  <r>
    <n v="897"/>
    <x v="0"/>
    <s v="C49"/>
    <n v="110181"/>
    <s v="玥芯通名义下单"/>
    <x v="12"/>
    <s v="L-&gt;R"/>
    <s v="No"/>
    <s v="Y53575"/>
    <n v="1"/>
    <s v="力合仓库(已经清关)"/>
    <d v="2020-12-21T00:00:00"/>
    <s v="0.0638 PO用110208"/>
    <s v="DEC 20"/>
    <m/>
    <s v="RMB"/>
    <s v="C49SZX20200196EC"/>
    <x v="214"/>
    <s v="YSM20R-2"/>
    <s v="L-&gt;R"/>
    <s v="No"/>
    <s v="OK"/>
    <s v="含税到厂"/>
    <d v="2020-10-23T00:00:00"/>
    <x v="0"/>
    <m/>
    <m/>
    <m/>
    <s v="C201138594"/>
    <n v="301"/>
  </r>
  <r>
    <n v="919"/>
    <x v="0"/>
    <s v="C49"/>
    <n v="110158"/>
    <s v="捷舜诚名义"/>
    <x v="12"/>
    <s v="L-&gt;R"/>
    <s v="No"/>
    <s v="Y53922"/>
    <n v="1"/>
    <s v="力合中转仓"/>
    <d v="2020-12-21T00:00:00"/>
    <s v="NM"/>
    <s v="DEC 20"/>
    <m/>
    <s v="JPY"/>
    <s v="C49SZX20200203SS"/>
    <x v="29"/>
    <s v="YSM20R-2"/>
    <s v="L-&gt;R"/>
    <s v="No"/>
    <s v="OK"/>
    <s v="DAP DG"/>
    <d v="2020-11-09T00:00:00"/>
    <x v="0"/>
    <m/>
    <m/>
    <m/>
    <s v="C180131261"/>
    <n v="301"/>
  </r>
  <r>
    <n v="887"/>
    <x v="0"/>
    <s v="C49"/>
    <n v="110158"/>
    <s v="捷舜诚名义"/>
    <x v="12"/>
    <s v="L-&gt;R"/>
    <s v="No"/>
    <s v="Y53923"/>
    <n v="1"/>
    <s v="力合中转仓"/>
    <d v="2020-12-21T00:00:00"/>
    <s v="NM"/>
    <s v="DEC 20"/>
    <m/>
    <s v="JPY"/>
    <s v="C49SZX20200190SS"/>
    <x v="215"/>
    <s v="YSM20R-2"/>
    <s v="L-&gt;R"/>
    <s v="No"/>
    <s v="OK"/>
    <s v="DAP SZ"/>
    <d v="2020-10-19T00:00:00"/>
    <x v="0"/>
    <m/>
    <m/>
    <m/>
    <s v="C180331713"/>
    <n v="301"/>
  </r>
  <r>
    <n v="857"/>
    <x v="0"/>
    <s v="C49"/>
    <n v="110122"/>
    <s v="Stock order"/>
    <x v="1"/>
    <s v="R-&gt;L"/>
    <s v="No"/>
    <s v="Y53961"/>
    <n v="1"/>
    <s v="CY仓库"/>
    <d v="2020-12-28T00:00:00"/>
    <s v="NM"/>
    <s v="DEC 20"/>
    <m/>
    <s v="JPY"/>
    <s v="C49SZX20200178SS"/>
    <x v="216"/>
    <s v="YSM10"/>
    <s v="R-&gt;L"/>
    <s v="MVC"/>
    <s v="WRONG"/>
    <s v="DAP DG"/>
    <d v="2020-09-26T00:00:00"/>
    <x v="0"/>
    <m/>
    <m/>
    <m/>
    <s v="C190434559"/>
    <n v="301"/>
  </r>
  <r>
    <n v="907"/>
    <x v="0"/>
    <s v="C49"/>
    <n v="110159"/>
    <s v="捷舜诚名义"/>
    <x v="12"/>
    <s v="L-&gt;R"/>
    <s v="No"/>
    <s v="Y53924"/>
    <n v="1"/>
    <s v="CY仓库"/>
    <d v="2020-12-28T00:00:00"/>
    <s v="NM"/>
    <s v="JAN 21"/>
    <m/>
    <s v="JPY"/>
    <s v="C49SZX20200142SX"/>
    <x v="217"/>
    <s v="YSM20R-2"/>
    <s v="L-&gt;R"/>
    <s v="No"/>
    <s v="OK"/>
    <s v="DAP SZ"/>
    <d v="2020-11-03T00:00:00"/>
    <x v="0"/>
    <m/>
    <m/>
    <m/>
    <s v="C201238798"/>
    <n v="301"/>
  </r>
  <r>
    <n v="913"/>
    <x v="0"/>
    <s v="C49"/>
    <n v="110159"/>
    <s v="捷舜诚名义"/>
    <x v="12"/>
    <s v="L-&gt;R"/>
    <s v="No"/>
    <s v="Y53925"/>
    <n v="1"/>
    <s v="CY仓库"/>
    <d v="2020-12-28T00:00:00"/>
    <s v="NM PO用110158"/>
    <s v="JAN 21"/>
    <m/>
    <s v="JPY"/>
    <s v="C49SZX20200206MZ"/>
    <x v="90"/>
    <s v="YSM20R-2"/>
    <s v="L-&gt;R"/>
    <s v="No"/>
    <s v="OK"/>
    <s v="CIF HK"/>
    <d v="2020-11-04T00:00:00"/>
    <x v="0"/>
    <m/>
    <m/>
    <m/>
    <s v="C190635053"/>
    <n v="301"/>
  </r>
  <r>
    <n v="915"/>
    <x v="0"/>
    <s v="C49"/>
    <n v="110161"/>
    <s v="Stock order"/>
    <x v="1"/>
    <s v="R-&gt;L"/>
    <s v="No"/>
    <s v="Y53241"/>
    <n v="1"/>
    <s v="CY仓库"/>
    <d v="2021-01-01T00:00:00"/>
    <s v="NM"/>
    <s v="JAN 21"/>
    <m/>
    <s v="JPY"/>
    <s v="C49SZX20200206MZ"/>
    <x v="90"/>
    <s v="YSM10"/>
    <s v="L-&gt;R"/>
    <s v="No"/>
    <s v="WRONG"/>
    <s v="CIF HK"/>
    <d v="2020-11-04T00:00:00"/>
    <x v="0"/>
    <m/>
    <m/>
    <m/>
    <s v="C190635053"/>
    <n v="301"/>
  </r>
  <r>
    <n v="912"/>
    <x v="0"/>
    <s v="C49"/>
    <n v="110108"/>
    <s v="志华鑫名义下单"/>
    <x v="12"/>
    <s v="L-&gt;R"/>
    <s v="No"/>
    <s v="Y53846"/>
    <n v="1"/>
    <s v="CY仓库"/>
    <d v="2021-01-01T00:00:00"/>
    <s v="NM"/>
    <s v="JAN 21"/>
    <m/>
    <s v="JPY"/>
    <s v="C49SZX20200206MZ"/>
    <x v="90"/>
    <s v="YSM20R-2"/>
    <s v="L-&gt;R"/>
    <s v="No"/>
    <s v="OK"/>
    <s v="CIF HK"/>
    <d v="2020-11-04T00:00:00"/>
    <x v="0"/>
    <m/>
    <m/>
    <m/>
    <s v="C190635053"/>
    <n v="301"/>
  </r>
  <r>
    <n v="914"/>
    <x v="0"/>
    <s v="C49"/>
    <n v="110108"/>
    <s v="志华鑫名义下单"/>
    <x v="1"/>
    <s v="R-&gt;L"/>
    <s v="No"/>
    <s v="Y53848"/>
    <n v="1"/>
    <s v="CY仓库"/>
    <d v="2021-01-01T00:00:00"/>
    <s v="NM"/>
    <s v="JAN 21"/>
    <m/>
    <s v="JPY"/>
    <s v="C49SZX20200206MZ"/>
    <x v="90"/>
    <s v="YSM10"/>
    <s v="L-&gt;R"/>
    <s v="No"/>
    <s v="WRONG"/>
    <s v="CIF HK"/>
    <d v="2020-11-04T00:00:00"/>
    <x v="0"/>
    <m/>
    <m/>
    <m/>
    <s v="C190635053"/>
    <n v="301"/>
  </r>
  <r>
    <n v="908"/>
    <x v="0"/>
    <s v="C49"/>
    <n v="110108"/>
    <s v="志华鑫名义下单"/>
    <x v="1"/>
    <s v="R-&gt;L"/>
    <s v="No"/>
    <s v="Y53849"/>
    <n v="1"/>
    <s v="CY仓库"/>
    <d v="2021-01-01T00:00:00"/>
    <s v="NM"/>
    <s v="JAN 21"/>
    <m/>
    <s v="JPY"/>
    <s v="C49SZX20200142SX"/>
    <x v="217"/>
    <s v="YSM10"/>
    <s v="L-&gt;R"/>
    <s v="MVC"/>
    <s v="WRONG"/>
    <s v="DAP SZ"/>
    <d v="2020-11-03T00:00:00"/>
    <x v="0"/>
    <m/>
    <m/>
    <m/>
    <s v="C201238798"/>
    <n v="301"/>
  </r>
  <r>
    <n v="906"/>
    <x v="0"/>
    <s v="C49"/>
    <n v="110066"/>
    <s v="Stock order"/>
    <x v="1"/>
    <s v="R-&gt;L"/>
    <s v="No"/>
    <s v="Y53618"/>
    <n v="1"/>
    <s v="码头-&gt;准备清关"/>
    <d v="2021-01-04T00:00:00"/>
    <s v="NM"/>
    <s v="JAN 21"/>
    <m/>
    <s v="JPY"/>
    <s v="C49SZX20200205JZ"/>
    <x v="132"/>
    <s v="YSM10"/>
    <s v="L-&gt;R"/>
    <s v="MVC"/>
    <s v="WRONG"/>
    <s v="DAP HZ"/>
    <d v="2020-11-03T00:00:00"/>
    <x v="0"/>
    <m/>
    <m/>
    <m/>
    <s v="C180933045"/>
    <n v="301"/>
  </r>
  <r>
    <n v="936"/>
    <x v="0"/>
    <s v="C49"/>
    <n v="110066"/>
    <s v="Stock order"/>
    <x v="1"/>
    <s v="R-&gt;L"/>
    <s v="No"/>
    <s v="Y53619"/>
    <n v="1"/>
    <s v="码头-&gt;准备清关"/>
    <d v="2021-01-04T00:00:00"/>
    <s v="NM"/>
    <s v="JAN 21"/>
    <m/>
    <s v="JPY"/>
    <s v="C49SZX20200219SS"/>
    <x v="150"/>
    <s v="YSM10"/>
    <s v="L-&gt;R"/>
    <s v="MVC"/>
    <s v="WRONG"/>
    <s v="DAP SZ"/>
    <d v="2020-11-17T00:00:00"/>
    <x v="0"/>
    <m/>
    <m/>
    <m/>
    <s v="C191136105"/>
    <n v="301"/>
  </r>
  <r>
    <n v="885"/>
    <x v="0"/>
    <s v="C49"/>
    <n v="110066"/>
    <s v="Stock order"/>
    <x v="1"/>
    <s v="R-&gt;L"/>
    <s v="No"/>
    <s v="Y53613不能调动机器"/>
    <n v="1"/>
    <s v="盐保仓库"/>
    <d v="2021-01-04T00:00:00"/>
    <s v="NM"/>
    <s v="JAN 21"/>
    <m/>
    <s v="JPY"/>
    <s v="C49SZX20210003JY"/>
    <x v="197"/>
    <s v="YSM10"/>
    <s v="R-&gt;L"/>
    <s v="MVC"/>
    <s v="WRONG"/>
    <s v="DAP SZ"/>
    <d v="2020-10-15T00:00:00"/>
    <x v="0"/>
    <m/>
    <m/>
    <m/>
    <s v="C200838012"/>
    <n v="301"/>
  </r>
  <r>
    <n v="884"/>
    <x v="0"/>
    <s v="C49"/>
    <n v="110066"/>
    <s v="Stock order"/>
    <x v="1"/>
    <s v="R-&gt;L"/>
    <s v="No"/>
    <s v="Y53614不能调动机器"/>
    <n v="1"/>
    <s v="盐保仓库"/>
    <d v="2021-01-04T00:00:00"/>
    <s v="NM"/>
    <s v="JAN 21"/>
    <m/>
    <s v="JPY"/>
    <s v="C49SZX20210003JY"/>
    <x v="197"/>
    <s v="YSM10"/>
    <s v="R-&gt;L"/>
    <s v="MVC"/>
    <s v="WRONG"/>
    <s v="DAP SZ"/>
    <d v="2020-10-15T00:00:00"/>
    <x v="0"/>
    <m/>
    <m/>
    <m/>
    <s v="C200838012"/>
    <n v="301"/>
  </r>
  <r>
    <n v="894"/>
    <x v="0"/>
    <s v="C49"/>
    <n v="110066"/>
    <s v="Stock order"/>
    <x v="1"/>
    <s v="R-&gt;L"/>
    <s v="No"/>
    <s v="Y53615"/>
    <n v="1"/>
    <s v="盐保仓库"/>
    <d v="2021-01-04T00:00:00"/>
    <s v="NM"/>
    <s v="JAN 21"/>
    <m/>
    <s v="JPY"/>
    <s v="C49SZX20200191SS"/>
    <x v="131"/>
    <s v="YSM10"/>
    <s v="L-&gt;R"/>
    <s v="MVC"/>
    <s v="WRONG"/>
    <s v="CIF HK"/>
    <d v="2020-10-20T00:00:00"/>
    <x v="0"/>
    <m/>
    <m/>
    <m/>
    <s v="C191236445"/>
    <n v="301"/>
  </r>
  <r>
    <n v="1027"/>
    <x v="0"/>
    <s v="C49"/>
    <n v="110066"/>
    <s v="Stock order"/>
    <x v="1"/>
    <s v="R-&gt;L"/>
    <s v="No"/>
    <s v="Y53616"/>
    <n v="1"/>
    <s v="盐保仓库"/>
    <d v="2021-01-04T00:00:00"/>
    <s v="TBA"/>
    <s v="JAN 21"/>
    <m/>
    <s v="JPY"/>
    <s v="C49SZX20200242DZ"/>
    <x v="10"/>
    <s v="YSM10"/>
    <s v="R-&gt;L"/>
    <s v="MVC"/>
    <s v="WRONG"/>
    <s v="CIF HK"/>
    <d v="2020-12-17T00:00:00"/>
    <x v="0"/>
    <m/>
    <m/>
    <m/>
    <s v="C190534728"/>
    <n v="301"/>
  </r>
  <r>
    <n v="893"/>
    <x v="0"/>
    <s v="C49"/>
    <n v="110066"/>
    <s v="Stock order"/>
    <x v="1"/>
    <s v="R-&gt;L"/>
    <s v="No"/>
    <s v="Y53617"/>
    <n v="1"/>
    <s v="盐保仓库"/>
    <d v="2021-01-04T00:00:00"/>
    <s v="NM"/>
    <s v="JAN 21"/>
    <m/>
    <s v="JPY"/>
    <s v="C49SZX20200191SS"/>
    <x v="131"/>
    <s v="YSM10"/>
    <s v="L-&gt;R"/>
    <s v="MVC"/>
    <s v="WRONG"/>
    <s v="CIF HK"/>
    <d v="2020-10-20T00:00:00"/>
    <x v="0"/>
    <m/>
    <m/>
    <m/>
    <s v="C191236445"/>
    <n v="301"/>
  </r>
  <r>
    <n v="959"/>
    <x v="0"/>
    <s v="C49"/>
    <n v="110067"/>
    <s v="Stock order"/>
    <x v="1"/>
    <s v="R-&gt;L"/>
    <s v="No"/>
    <s v="Y53620"/>
    <n v="1"/>
    <s v="盐保仓库"/>
    <d v="2021-01-11T00:00:00"/>
    <s v="NM"/>
    <s v="FEB 21"/>
    <m/>
    <s v="JPY"/>
    <s v="C49SZX20200213MX"/>
    <x v="218"/>
    <s v="YSM10"/>
    <s v="L-&gt;R"/>
    <s v="No"/>
    <s v="WRONG"/>
    <s v="DAP SZ"/>
    <d v="2020-11-18T00:00:00"/>
    <x v="0"/>
    <m/>
    <m/>
    <m/>
    <s v="C210139194"/>
    <n v="301"/>
  </r>
  <r>
    <n v="903"/>
    <x v="0"/>
    <s v="C49"/>
    <n v="110067"/>
    <s v="Stock order"/>
    <x v="1"/>
    <s v="R-&gt;L"/>
    <s v="No"/>
    <s v="Y53621"/>
    <n v="1"/>
    <s v="盐保仓库"/>
    <d v="2021-01-11T00:00:00"/>
    <s v="NM"/>
    <s v="JAN 21"/>
    <m/>
    <s v="JPY"/>
    <s v="C49SZX20200199MZ"/>
    <x v="40"/>
    <s v="YSM10"/>
    <s v="R-&gt;L"/>
    <s v="MVC"/>
    <s v="WRONG"/>
    <s v="CIF HK"/>
    <d v="2020-10-30T00:00:00"/>
    <x v="0"/>
    <m/>
    <m/>
    <m/>
    <s v="C180331587"/>
    <n v="302"/>
  </r>
  <r>
    <n v="1043"/>
    <x v="0"/>
    <s v="C49"/>
    <n v="110067"/>
    <s v="Stock order"/>
    <x v="1"/>
    <s v="R-&gt;L"/>
    <s v="No"/>
    <s v="Y53622"/>
    <n v="1"/>
    <s v="盐保仓库"/>
    <d v="2021-01-11T00:00:00"/>
    <s v="NM"/>
    <s v="JAN 21"/>
    <m/>
    <s v="JPY"/>
    <s v="C49SZX20200255JY"/>
    <x v="206"/>
    <s v="YSM10"/>
    <s v="L-&gt;R"/>
    <s v="No"/>
    <s v="WRONG"/>
    <s v="DAP SZ"/>
    <d v="2020-12-24T00:00:00"/>
    <x v="0"/>
    <m/>
    <m/>
    <m/>
    <s v="C201038333"/>
    <n v="302"/>
  </r>
  <r>
    <n v="955"/>
    <x v="0"/>
    <s v="C49"/>
    <n v="110067"/>
    <s v="Stock order"/>
    <x v="1"/>
    <s v="R-&gt;L"/>
    <s v="No"/>
    <s v="Y53623（不能调动)"/>
    <n v="1"/>
    <s v="力合中转仓"/>
    <d v="2021-01-11T00:00:00"/>
    <s v="NM"/>
    <s v="AUG 21"/>
    <m/>
    <s v="JPY"/>
    <s v="C49SZX20200213MX"/>
    <x v="219"/>
    <s v="YSM10"/>
    <s v="L-&gt;R"/>
    <s v="No"/>
    <s v="WRONG"/>
    <s v="DAP SZ"/>
    <d v="2020-11-18T00:00:00"/>
    <x v="0"/>
    <m/>
    <m/>
    <m/>
    <s v="C210740713"/>
    <n v="311"/>
  </r>
  <r>
    <n v="923"/>
    <x v="0"/>
    <s v="C28"/>
    <n v="110195"/>
    <s v="鸿通宇名义"/>
    <x v="13"/>
    <s v="L-&gt;R"/>
    <s v="No"/>
    <m/>
    <n v="1"/>
    <m/>
    <d v="2021-01-15T00:00:00"/>
    <n v="6.3100000000000003E-2"/>
    <s v="JAN 21"/>
    <m/>
    <s v="RMB"/>
    <s v="C28SZX20200081KC"/>
    <x v="220"/>
    <s v="YSi-V"/>
    <s v="L-&gt;R"/>
    <s v="No"/>
    <s v="OK"/>
    <s v="含税到厂"/>
    <d v="2020-11-05T00:00:00"/>
    <x v="0"/>
    <m/>
    <m/>
    <m/>
    <s v="IND order"/>
    <m/>
  </r>
  <r>
    <n v="920"/>
    <x v="0"/>
    <s v="C49"/>
    <n v="110105"/>
    <s v="益田名义下单"/>
    <x v="12"/>
    <s v="L-&gt;R"/>
    <s v="No"/>
    <s v="Y53630"/>
    <n v="1"/>
    <s v="盐保仓库"/>
    <d v="2021-01-16T00:00:00"/>
    <s v="NM"/>
    <s v="JAN 21"/>
    <m/>
    <s v="JPY"/>
    <s v="C49SZX20200145JL"/>
    <x v="5"/>
    <s v="YSM20R-2"/>
    <s v="L-&gt;R"/>
    <s v="No"/>
    <s v="OK"/>
    <s v="DAP GZ"/>
    <d v="2020-11-10T00:00:00"/>
    <x v="0"/>
    <m/>
    <m/>
    <m/>
    <s v="C180832785"/>
    <n v="301"/>
  </r>
  <r>
    <n v="889"/>
    <x v="0"/>
    <s v="C49"/>
    <n v="110105"/>
    <s v="益田名义下单"/>
    <x v="12"/>
    <s v="L-&gt;R"/>
    <s v="No"/>
    <s v="Y53631"/>
    <n v="1"/>
    <s v="盐保仓库"/>
    <d v="2021-01-16T00:00:00"/>
    <s v="NM"/>
    <s v="JAN 21"/>
    <m/>
    <s v="JPY"/>
    <s v="C49SZX20200195SS"/>
    <x v="168"/>
    <s v="YSM20R-2"/>
    <s v="L-&gt;R"/>
    <s v="No"/>
    <s v="OK"/>
    <s v="DAP SZ"/>
    <d v="2020-10-21T00:00:00"/>
    <x v="0"/>
    <m/>
    <m/>
    <m/>
    <s v="C200737853"/>
    <n v="301"/>
  </r>
  <r>
    <n v="878"/>
    <x v="0"/>
    <s v="C49"/>
    <n v="110105"/>
    <s v="益田名义下单"/>
    <x v="12"/>
    <s v="R-&gt;L"/>
    <s v="No"/>
    <s v="Y53632"/>
    <n v="1"/>
    <s v="盐保仓库"/>
    <d v="2021-01-16T00:00:00"/>
    <s v="NM"/>
    <s v="JAN 21"/>
    <m/>
    <s v="JPY"/>
    <s v="C49SZX20200182JY"/>
    <x v="163"/>
    <s v="YSM20R-2"/>
    <s v="R-&gt;L"/>
    <s v="No"/>
    <s v="OK"/>
    <s v="DAP SZ"/>
    <d v="2020-10-13T00:00:00"/>
    <x v="0"/>
    <m/>
    <m/>
    <m/>
    <s v="C200637625"/>
    <n v="301"/>
  </r>
  <r>
    <n v="901"/>
    <x v="0"/>
    <s v="C49"/>
    <n v="110105"/>
    <s v="益田名义下单"/>
    <x v="12"/>
    <s v="R-&gt;L"/>
    <s v="No"/>
    <s v="Y53633"/>
    <n v="1"/>
    <s v="盐保仓库"/>
    <d v="2021-01-16T00:00:00"/>
    <s v="NM"/>
    <s v="JAN 21"/>
    <m/>
    <s v="JPY"/>
    <s v="C49SZX20200199MZ"/>
    <x v="40"/>
    <s v="YSM20R-2"/>
    <s v="R-&gt;L"/>
    <s v="No"/>
    <s v="OK"/>
    <s v="CIF HK"/>
    <d v="2020-10-30T00:00:00"/>
    <x v="0"/>
    <m/>
    <m/>
    <m/>
    <s v="C180331587"/>
    <n v="301"/>
  </r>
  <r>
    <n v="902"/>
    <x v="0"/>
    <s v="C49"/>
    <s v="110106 (拆单110215)"/>
    <s v="益田名义下单"/>
    <x v="12"/>
    <s v="R-&gt;L"/>
    <s v="No"/>
    <s v="Y53634"/>
    <n v="1"/>
    <s v="盐保仓库"/>
    <d v="2021-01-17T00:00:00"/>
    <n v="6.3500000000000001E-2"/>
    <s v="JAN 21"/>
    <m/>
    <s v="JPY"/>
    <s v="C49SZX20200199MZ"/>
    <x v="40"/>
    <s v="YSM20R-2"/>
    <s v="R-&gt;L"/>
    <s v="No"/>
    <s v="OK"/>
    <s v="CIF HK"/>
    <d v="2020-10-30T00:00:00"/>
    <x v="0"/>
    <m/>
    <m/>
    <m/>
    <s v="C180331587"/>
    <n v="301"/>
  </r>
  <r>
    <n v="882"/>
    <x v="0"/>
    <s v="C49"/>
    <s v="110106（拆单110208）"/>
    <s v="益田名义下单"/>
    <x v="12"/>
    <s v="L-&gt;R"/>
    <s v="No"/>
    <s v="Y53635"/>
    <n v="1"/>
    <s v="盐保仓库"/>
    <d v="2021-01-17T00:00:00"/>
    <s v="TBA Po 用110181"/>
    <s v="JAN 21"/>
    <m/>
    <s v="JPY"/>
    <s v="C49SZX20200113SS"/>
    <x v="213"/>
    <s v="YSM20R-2"/>
    <s v="L-&gt;R"/>
    <s v="No"/>
    <s v="OK"/>
    <s v="DAP SZ"/>
    <d v="2020-10-15T00:00:00"/>
    <x v="0"/>
    <m/>
    <m/>
    <m/>
    <s v="C201138627"/>
    <n v="301"/>
  </r>
  <r>
    <n v="1045"/>
    <x v="0"/>
    <s v="C49"/>
    <n v="110106"/>
    <s v="益田名义下单"/>
    <x v="12"/>
    <s v="L-&gt;R"/>
    <s v="No"/>
    <s v="Y53636"/>
    <n v="1"/>
    <s v="盐保仓库"/>
    <d v="2021-01-17T00:00:00"/>
    <s v="NM"/>
    <s v="JAN 21"/>
    <m/>
    <s v="JPY"/>
    <s v="C49SZX20200246MX"/>
    <x v="221"/>
    <s v="YSM20R-2"/>
    <s v="L-&gt;R"/>
    <s v="No"/>
    <s v="OK"/>
    <s v="DAP DG"/>
    <d v="2020-12-28T00:00:00"/>
    <x v="0"/>
    <m/>
    <m/>
    <m/>
    <s v="C210239227"/>
    <n v="301"/>
  </r>
  <r>
    <n v="873"/>
    <x v="0"/>
    <s v="C49"/>
    <n v="110106"/>
    <s v="益田名义下单"/>
    <x v="12"/>
    <s v="L-&gt;R"/>
    <s v="No"/>
    <s v="Y53637"/>
    <n v="1"/>
    <s v="盐保仓库"/>
    <d v="2021-01-17T00:00:00"/>
    <s v="NM"/>
    <s v="JAN 21"/>
    <m/>
    <s v="JPY"/>
    <s v="C49SZX20200180SX"/>
    <x v="80"/>
    <s v="YSM20R-2"/>
    <s v="L-&gt;R"/>
    <s v="No"/>
    <s v="OK"/>
    <s v="DAP SZ"/>
    <d v="2020-09-30T00:00:00"/>
    <x v="0"/>
    <m/>
    <m/>
    <m/>
    <s v="C171030541"/>
    <n v="301"/>
  </r>
  <r>
    <n v="905"/>
    <x v="0"/>
    <s v="C49"/>
    <n v="110198"/>
    <s v="志华鑫名义下单"/>
    <x v="12"/>
    <s v="L-&gt;R"/>
    <s v="No"/>
    <s v="Y53842"/>
    <n v="1"/>
    <s v="盐保仓库"/>
    <d v="2021-01-17T00:00:00"/>
    <s v="NM"/>
    <s v="JAN 21"/>
    <m/>
    <s v="JPY"/>
    <s v="C49SZX20200205JZ"/>
    <x v="132"/>
    <s v="YSM20R-2"/>
    <s v="L-&gt;R"/>
    <s v="No"/>
    <s v="OK"/>
    <s v="DAP HZ"/>
    <d v="2020-11-03T00:00:00"/>
    <x v="0"/>
    <m/>
    <m/>
    <m/>
    <s v="C180933045"/>
    <n v="301"/>
  </r>
  <r>
    <n v="1038"/>
    <x v="0"/>
    <s v="C49"/>
    <n v="110168"/>
    <s v="华彩鑫名义"/>
    <x v="0"/>
    <s v="L-&gt;R"/>
    <s v="No"/>
    <s v="Y54173"/>
    <n v="1"/>
    <s v="码头-&gt;准备清关"/>
    <d v="2021-01-26T00:00:00"/>
    <n v="6.4000000000000001E-2"/>
    <s v="JAN 21"/>
    <m/>
    <s v="RMB"/>
    <s v="C49SZX20200220SX"/>
    <x v="222"/>
    <s v="YSM40R-4"/>
    <s v="L-&gt;R"/>
    <s v="No"/>
    <s v="OK"/>
    <s v="含税到厂"/>
    <d v="2020-12-16T00:00:00"/>
    <x v="0"/>
    <m/>
    <m/>
    <m/>
    <s v="C210239202"/>
    <m/>
  </r>
  <r>
    <n v="1039"/>
    <x v="0"/>
    <s v="C49"/>
    <n v="110170"/>
    <s v="华彩鑫名义"/>
    <x v="0"/>
    <s v="L-&gt;R"/>
    <s v="No"/>
    <s v="Y54174"/>
    <n v="1"/>
    <s v="码头-&gt;准备清关"/>
    <d v="2021-01-26T00:00:00"/>
    <n v="6.3600000000000004E-2"/>
    <s v="JAN 21"/>
    <m/>
    <s v="RMB"/>
    <s v="C49SZX20200220SX"/>
    <x v="222"/>
    <s v="YSM40R-4"/>
    <s v="L-&gt;R"/>
    <s v="No"/>
    <s v="OK"/>
    <s v="含税到厂"/>
    <d v="2020-12-16T00:00:00"/>
    <x v="0"/>
    <m/>
    <m/>
    <m/>
    <s v="C210239202"/>
    <m/>
  </r>
  <r>
    <n v="872"/>
    <x v="0"/>
    <s v="C49"/>
    <n v="110107"/>
    <s v="志华鑫名义下单"/>
    <x v="12"/>
    <s v="R-&gt;L"/>
    <s v="No"/>
    <s v="Y53843"/>
    <n v="1"/>
    <s v="盐保仓库"/>
    <d v="2021-01-31T00:00:00"/>
    <s v="NM"/>
    <s v="JAN 21"/>
    <m/>
    <s v="JPY"/>
    <s v="C49SZX20200180SX"/>
    <x v="80"/>
    <s v="YSM20R-2"/>
    <s v="R-&gt;L"/>
    <s v="MVC"/>
    <s v="WRONG"/>
    <s v="DAP SZ"/>
    <d v="2020-09-30T00:00:00"/>
    <x v="0"/>
    <m/>
    <m/>
    <m/>
    <s v="C171030541"/>
    <n v="301"/>
  </r>
  <r>
    <n v="978"/>
    <x v="0"/>
    <s v="C49"/>
    <n v="110107"/>
    <s v="志华鑫名义下单"/>
    <x v="12"/>
    <s v="R-&gt;L"/>
    <s v="No"/>
    <s v="Y53844"/>
    <n v="1"/>
    <s v="力合中转仓"/>
    <d v="2021-01-31T00:00:00"/>
    <s v="NM"/>
    <s v="FEB 21"/>
    <m/>
    <s v="JPY"/>
    <s v="C49SZX20200229JY"/>
    <x v="183"/>
    <s v="YSM20R-2"/>
    <s v="R-&gt;L"/>
    <s v="No"/>
    <s v="OK"/>
    <s v="DAP SZ"/>
    <d v="2020-11-26T00:00:00"/>
    <x v="0"/>
    <m/>
    <m/>
    <m/>
    <s v="C200838017"/>
    <n v="301"/>
  </r>
  <r>
    <n v="947"/>
    <x v="0"/>
    <s v="C49"/>
    <s v="110107（拆单110209）"/>
    <s v="志华鑫名义下单"/>
    <x v="12"/>
    <s v="L-&gt;R"/>
    <s v="No"/>
    <s v="Y53845"/>
    <n v="1"/>
    <s v="盐保仓库"/>
    <d v="2021-01-31T00:00:00"/>
    <n v="6.3799999999999996E-2"/>
    <s v="JAN 21"/>
    <m/>
    <s v="JPY"/>
    <s v="C49SZX20200213MX"/>
    <x v="218"/>
    <s v="YSM20R-2"/>
    <s v="L-&gt;R"/>
    <s v="No"/>
    <s v="OK"/>
    <s v="DAP SZ"/>
    <d v="2020-11-18T00:00:00"/>
    <x v="0"/>
    <m/>
    <m/>
    <m/>
    <s v="C210139194"/>
    <n v="301"/>
  </r>
  <r>
    <n v="1109"/>
    <x v="0"/>
    <s v="C49"/>
    <s v="110107（拆单110209）"/>
    <s v="志华鑫名义下单"/>
    <x v="12"/>
    <s v="L-&gt;R"/>
    <s v="No"/>
    <s v="Y53847"/>
    <n v="1"/>
    <s v="盐保仓库"/>
    <d v="2021-01-31T00:00:00"/>
    <n v="6.3799999999999996E-2"/>
    <s v="MAR 21"/>
    <m/>
    <s v="JPY"/>
    <s v="C49SZX20210037SX"/>
    <x v="223"/>
    <s v="YSM20R-2"/>
    <s v="L-&gt;R"/>
    <s v="No"/>
    <s v="OK"/>
    <s v="DAP SZ"/>
    <d v="2021-02-01T00:00:00"/>
    <x v="0"/>
    <m/>
    <m/>
    <m/>
    <s v="C210339637"/>
    <n v="301"/>
  </r>
  <r>
    <n v="911"/>
    <x v="0"/>
    <s v="C49"/>
    <n v="110199"/>
    <s v="Stock order"/>
    <x v="1"/>
    <s v="R-&gt;L"/>
    <s v="No"/>
    <s v="Y53962"/>
    <n v="1"/>
    <s v="盐保仓库"/>
    <d v="2021-01-25T00:00:00"/>
    <s v="NM"/>
    <s v="JAN 21"/>
    <m/>
    <s v="JPY"/>
    <s v="C49SZX20200207MZ"/>
    <x v="90"/>
    <s v="YSM10"/>
    <s v="L-&gt;R"/>
    <s v="No"/>
    <s v="WRONG"/>
    <s v="CIF HK"/>
    <d v="2020-11-04T00:00:00"/>
    <x v="0"/>
    <m/>
    <m/>
    <m/>
    <s v="C190635053"/>
    <n v="302"/>
  </r>
  <r>
    <n v="910"/>
    <x v="0"/>
    <s v="C49"/>
    <n v="110199"/>
    <s v="Stock order"/>
    <x v="1"/>
    <s v="R-&gt;L"/>
    <s v="No"/>
    <s v="Y53963"/>
    <n v="1"/>
    <s v="盐保仓库"/>
    <d v="2021-01-25T00:00:00"/>
    <s v="NM"/>
    <s v="JAN 21"/>
    <m/>
    <s v="JPY"/>
    <s v="C49SZX20200207MZ"/>
    <x v="90"/>
    <s v="YSM10"/>
    <s v="L-&gt;R"/>
    <s v="No"/>
    <s v="WRONG"/>
    <s v="CIF HK"/>
    <d v="2020-11-04T00:00:00"/>
    <x v="0"/>
    <m/>
    <m/>
    <m/>
    <s v="C190635053"/>
    <n v="302"/>
  </r>
  <r>
    <n v="1065"/>
    <x v="0"/>
    <s v="C49"/>
    <n v="110199"/>
    <s v="Stock order"/>
    <x v="1"/>
    <s v="R-&gt;L"/>
    <s v="No"/>
    <s v="Y53964"/>
    <n v="1"/>
    <s v="盐保仓库"/>
    <d v="2021-01-25T00:00:00"/>
    <s v="NM"/>
    <s v="JAN 21"/>
    <m/>
    <s v="JPY"/>
    <s v="C49SZX20210012SX"/>
    <x v="224"/>
    <s v="YSM10"/>
    <s v="L-&gt;R"/>
    <s v="MVC"/>
    <s v="WRONG"/>
    <s v="DAP FS"/>
    <d v="2021-01-11T00:00:00"/>
    <x v="0"/>
    <m/>
    <m/>
    <m/>
    <s v="C210239281"/>
    <n v="302"/>
  </r>
  <r>
    <n v="917"/>
    <x v="0"/>
    <s v="C49"/>
    <n v="110199"/>
    <s v="Stock order"/>
    <x v="1"/>
    <s v="R-&gt;L"/>
    <s v="No"/>
    <s v="Y53965"/>
    <n v="1"/>
    <s v="盐保仓库"/>
    <d v="2021-01-25T00:00:00"/>
    <s v="NM"/>
    <s v="JAN 21"/>
    <m/>
    <s v="JPY"/>
    <s v="C49SZX20200192SS"/>
    <x v="225"/>
    <s v="YSM10"/>
    <s v="L-&gt;R"/>
    <s v="MVC"/>
    <s v="WRONG"/>
    <s v="CIF HK"/>
    <d v="2020-10-20T00:00:00"/>
    <x v="0"/>
    <m/>
    <m/>
    <m/>
    <s v="C200437242"/>
    <n v="301"/>
  </r>
  <r>
    <n v="918"/>
    <x v="0"/>
    <s v="C49"/>
    <n v="110199"/>
    <s v="Stock order"/>
    <x v="1"/>
    <s v="R-&gt;L"/>
    <s v="No"/>
    <s v="Y53966"/>
    <n v="1"/>
    <s v="盐保仓库"/>
    <d v="2021-01-25T00:00:00"/>
    <s v="NM"/>
    <s v="JAN 21"/>
    <m/>
    <s v="JPY"/>
    <s v="C49SZX20200192SS"/>
    <x v="225"/>
    <s v="YSM10"/>
    <s v="L-&gt;R"/>
    <s v="MVC"/>
    <s v="WRONG"/>
    <s v="CIF HK"/>
    <d v="2020-10-20T00:00:00"/>
    <x v="0"/>
    <m/>
    <m/>
    <m/>
    <s v="C200437242"/>
    <n v="301"/>
  </r>
  <r>
    <n v="940"/>
    <x v="0"/>
    <s v="C49"/>
    <n v="110201"/>
    <s v="Stock order"/>
    <x v="1"/>
    <s v="R-&gt;L"/>
    <s v="No"/>
    <s v="Y53624"/>
    <n v="1"/>
    <s v="盐保仓库"/>
    <d v="2021-01-25T00:00:00"/>
    <s v="NM"/>
    <s v="JAN 21"/>
    <m/>
    <s v="JPY"/>
    <s v="C49SZX20200222SS"/>
    <x v="226"/>
    <s v="YSM10"/>
    <s v="L-&gt;R"/>
    <s v="MVC"/>
    <s v="WRONG"/>
    <s v="DAP SZ"/>
    <d v="2020-11-18T00:00:00"/>
    <x v="0"/>
    <m/>
    <m/>
    <m/>
    <s v="C210139067"/>
    <n v="312"/>
  </r>
  <r>
    <n v="797"/>
    <x v="0"/>
    <s v="C28"/>
    <n v="110064"/>
    <s v="Stock order"/>
    <x v="14"/>
    <s v="NO"/>
    <s v="No"/>
    <n v="6818"/>
    <n v="1"/>
    <m/>
    <d v="2020-09-05T00:00:00"/>
    <n v="7.8"/>
    <s v="SEP 20"/>
    <m/>
    <s v="RMB"/>
    <s v="SOLMT2061001"/>
    <x v="227"/>
    <s v="SolderStar-Lite 6"/>
    <s v="No"/>
    <s v="No"/>
    <s v="OK"/>
    <s v="含税到厂"/>
    <d v="2020-08-26T00:00:00"/>
    <x v="2"/>
    <m/>
    <m/>
    <m/>
    <s v="C28"/>
    <m/>
  </r>
  <r>
    <m/>
    <x v="0"/>
    <s v="C28"/>
    <n v="110064"/>
    <s v="Stock order"/>
    <x v="14"/>
    <s v="NO"/>
    <s v="No"/>
    <n v="6819"/>
    <n v="1"/>
    <m/>
    <d v="2020-09-05T00:00:00"/>
    <n v="7.8"/>
    <m/>
    <m/>
    <e v="#N/A"/>
    <e v="#N/A"/>
    <x v="41"/>
    <e v="#N/A"/>
    <e v="#N/A"/>
    <e v="#N/A"/>
    <e v="#N/A"/>
    <e v="#N/A"/>
    <e v="#N/A"/>
    <x v="1"/>
    <m/>
    <m/>
    <m/>
    <s v="C28"/>
    <m/>
  </r>
  <r>
    <m/>
    <x v="0"/>
    <s v="C28"/>
    <n v="110064"/>
    <s v="Stock order"/>
    <x v="14"/>
    <s v="NO"/>
    <s v="No"/>
    <n v="6820"/>
    <n v="1"/>
    <s v="力合中转仓"/>
    <d v="2020-09-05T00:00:00"/>
    <n v="7.8"/>
    <s v="SEP 20"/>
    <m/>
    <e v="#N/A"/>
    <e v="#N/A"/>
    <x v="41"/>
    <e v="#N/A"/>
    <e v="#N/A"/>
    <e v="#N/A"/>
    <e v="#N/A"/>
    <e v="#N/A"/>
    <e v="#N/A"/>
    <x v="1"/>
    <m/>
    <m/>
    <m/>
    <s v="C28"/>
    <m/>
  </r>
  <r>
    <s v="力丰"/>
    <x v="0"/>
    <s v="C28"/>
    <n v="110064"/>
    <s v="Stock order"/>
    <x v="14"/>
    <s v="NO"/>
    <s v="No"/>
    <n v="6821"/>
    <n v="1"/>
    <m/>
    <d v="2020-09-05T00:00:00"/>
    <n v="7.8"/>
    <m/>
    <m/>
    <s v="RMB"/>
    <s v="力丰"/>
    <x v="41"/>
    <e v="#N/A"/>
    <e v="#N/A"/>
    <e v="#N/A"/>
    <e v="#N/A"/>
    <e v="#N/A"/>
    <e v="#N/A"/>
    <x v="1"/>
    <m/>
    <m/>
    <m/>
    <s v="C28"/>
    <m/>
  </r>
  <r>
    <m/>
    <x v="0"/>
    <s v="C28"/>
    <n v="110064"/>
    <s v="Stock order"/>
    <x v="14"/>
    <s v="NO"/>
    <s v="No"/>
    <n v="6822"/>
    <n v="1"/>
    <s v="HK 仓库"/>
    <d v="2020-09-05T00:00:00"/>
    <n v="7.8"/>
    <m/>
    <m/>
    <s v="RMB"/>
    <s v="上海客户"/>
    <x v="41"/>
    <e v="#N/A"/>
    <e v="#N/A"/>
    <e v="#N/A"/>
    <e v="#N/A"/>
    <e v="#N/A"/>
    <e v="#N/A"/>
    <x v="1"/>
    <m/>
    <m/>
    <m/>
    <s v="C28"/>
    <m/>
  </r>
  <r>
    <n v="942"/>
    <x v="0"/>
    <s v="C49"/>
    <n v="110096"/>
    <s v="玥芯通名义下单"/>
    <x v="1"/>
    <s v="R-&gt;L"/>
    <s v="No"/>
    <s v="Y53564"/>
    <n v="1"/>
    <s v="盐保仓库"/>
    <d v="2021-01-25T00:00:00"/>
    <s v="NM"/>
    <s v="JAN 21"/>
    <m/>
    <s v="JPY"/>
    <s v="C49SZX20200222SS"/>
    <x v="226"/>
    <s v="YSM10"/>
    <s v="R-&gt;L"/>
    <s v="No"/>
    <s v="OK"/>
    <s v="DAP SZ"/>
    <d v="2020-11-18T00:00:00"/>
    <x v="0"/>
    <m/>
    <m/>
    <m/>
    <s v="C210139067"/>
    <n v="302"/>
  </r>
  <r>
    <n v="1114"/>
    <x v="0"/>
    <s v="C49"/>
    <s v="110096（拆单110241）"/>
    <s v="玥芯通名义下单"/>
    <x v="1"/>
    <s v="R-&gt;L"/>
    <s v="No"/>
    <s v="Y53565"/>
    <n v="1"/>
    <s v="力合中转仓"/>
    <d v="2021-01-25T00:00:00"/>
    <n v="6.3100000000000003E-2"/>
    <s v="FEB 21"/>
    <m/>
    <s v="JPY"/>
    <s v="C49SZX20210032JL"/>
    <x v="100"/>
    <s v="YSM10"/>
    <s v="L-&gt;R"/>
    <s v="MVC"/>
    <s v="WRONG"/>
    <s v="DAP SZ"/>
    <d v="2021-01-29T00:00:00"/>
    <x v="0"/>
    <m/>
    <m/>
    <m/>
    <s v="C170629728"/>
    <n v="311"/>
  </r>
  <r>
    <n v="916"/>
    <x v="0"/>
    <s v="C49"/>
    <n v="110096"/>
    <s v="玥芯通名义下单"/>
    <x v="1"/>
    <s v="R-&gt;L"/>
    <s v="MVC+ATS15"/>
    <s v="Y53566"/>
    <n v="1"/>
    <s v="盐保仓库"/>
    <d v="2021-01-25T00:00:00"/>
    <s v="NM"/>
    <s v="JAN 21"/>
    <m/>
    <s v="JPY"/>
    <s v="C49SZX20200192SS"/>
    <x v="225"/>
    <s v="YSM10"/>
    <s v="L-&gt;R"/>
    <s v="MVC+ATS15"/>
    <s v="WRONG"/>
    <s v="CIF HK"/>
    <d v="2020-10-20T00:00:00"/>
    <x v="0"/>
    <m/>
    <m/>
    <m/>
    <s v="C200336910 "/>
    <n v="312"/>
  </r>
  <r>
    <n v="1049"/>
    <x v="0"/>
    <s v="C49"/>
    <n v="110096"/>
    <s v="玥芯通名义下单"/>
    <x v="1"/>
    <s v="R-&gt;L"/>
    <s v="MVC+ATS15"/>
    <s v="Y53567"/>
    <n v="1"/>
    <s v="盐保仓库"/>
    <d v="2021-01-25T00:00:00"/>
    <s v="NM"/>
    <s v="APR 21"/>
    <m/>
    <s v="JPY"/>
    <s v="C49SZX20200257JY"/>
    <x v="228"/>
    <s v="YSM10"/>
    <s v="L-&gt;R"/>
    <s v="MVC+ATS15"/>
    <s v="WRONG"/>
    <s v="DAP SZ"/>
    <d v="2020-12-28T00:00:00"/>
    <x v="0"/>
    <m/>
    <m/>
    <m/>
    <s v="C210139127"/>
    <n v="301"/>
  </r>
  <r>
    <n v="1157"/>
    <x v="0"/>
    <s v="C49"/>
    <n v="110096"/>
    <s v="玥芯通名义下单"/>
    <x v="1"/>
    <s v="R-&gt;L"/>
    <s v="MVC+ATS15"/>
    <s v="Y53568"/>
    <n v="1"/>
    <s v="盐保仓库"/>
    <d v="2021-01-25T00:00:00"/>
    <s v="TBA"/>
    <s v="APR 21"/>
    <m/>
    <s v="JPY"/>
    <s v="C49SZX20210051JY"/>
    <x v="229"/>
    <s v="YSM10"/>
    <s v="L-&gt;R"/>
    <s v="MVC+ATS15"/>
    <s v="WRONG"/>
    <s v="CIF HK"/>
    <d v="2021-03-04T00:00:00"/>
    <x v="0"/>
    <m/>
    <m/>
    <m/>
    <s v="C210439957"/>
    <n v="301"/>
  </r>
  <r>
    <n v="909"/>
    <x v="0"/>
    <s v="C49"/>
    <n v="110123"/>
    <s v="Stock order"/>
    <x v="12"/>
    <s v="L-&gt;R"/>
    <s v="No"/>
    <s v="Y54026"/>
    <n v="1"/>
    <s v="盐保仓库"/>
    <d v="2021-01-25T00:00:00"/>
    <s v="NM"/>
    <s v="JAN 21"/>
    <m/>
    <s v="JPY"/>
    <s v="C49SZX20200207MZ"/>
    <x v="90"/>
    <s v="YSM20R-2"/>
    <s v="L-&gt;R"/>
    <s v="No"/>
    <s v="OK"/>
    <s v="CIF HK"/>
    <d v="2020-11-04T00:00:00"/>
    <x v="0"/>
    <m/>
    <m/>
    <m/>
    <s v="C190635053"/>
    <n v="301"/>
  </r>
  <r>
    <n v="1080"/>
    <x v="0"/>
    <s v="C49"/>
    <s v="110235（拆单110242）"/>
    <s v="Stock order"/>
    <x v="12"/>
    <s v="L-&gt;R"/>
    <s v="No"/>
    <s v="Y54024"/>
    <n v="1"/>
    <s v="华日仓库中转"/>
    <d v="2021-02-07T00:00:00"/>
    <s v="NM"/>
    <s v="MAR 21"/>
    <m/>
    <s v="JPY"/>
    <s v="C49SZX20210026DZ"/>
    <x v="230"/>
    <s v="YSM20R-2"/>
    <s v="L-&gt;R"/>
    <s v="No"/>
    <s v="OK"/>
    <s v="DAP CS"/>
    <d v="2021-01-22T00:00:00"/>
    <x v="0"/>
    <m/>
    <m/>
    <m/>
    <s v="C200637621"/>
    <n v="301"/>
  </r>
  <r>
    <n v="1121"/>
    <x v="0"/>
    <s v="C49"/>
    <n v="110235"/>
    <s v="Stock order"/>
    <x v="12"/>
    <s v="L-&gt;R"/>
    <s v="No"/>
    <s v="Y54025"/>
    <n v="1"/>
    <s v="盐保仓库"/>
    <d v="2021-02-07T00:00:00"/>
    <n v="6.3100000000000003E-2"/>
    <s v="MAR 21"/>
    <m/>
    <s v="JPY"/>
    <s v="C49SZX20210011JY"/>
    <x v="156"/>
    <s v="YSM20R-2"/>
    <s v="L-&gt;R"/>
    <s v="MVC"/>
    <s v="WRONG"/>
    <s v="CIF HK"/>
    <d v="2021-01-26T00:00:00"/>
    <x v="0"/>
    <m/>
    <m/>
    <m/>
    <s v="C190634939"/>
    <n v="301"/>
  </r>
  <r>
    <n v="943"/>
    <x v="0"/>
    <s v="C49"/>
    <n v="110235"/>
    <s v="Stock order"/>
    <x v="12"/>
    <s v="L-&gt;R"/>
    <s v="No"/>
    <s v="Y54027"/>
    <n v="1"/>
    <s v="华日仓库中转"/>
    <d v="2021-02-07T00:00:00"/>
    <n v="6.3100000000000003E-2"/>
    <s v="FEB 21"/>
    <m/>
    <s v="RMB"/>
    <s v="C49SZX20200221MZ"/>
    <x v="231"/>
    <s v="YSM20R-2"/>
    <s v="L-&gt;R"/>
    <s v="No"/>
    <s v="OK"/>
    <s v="含税到厂"/>
    <d v="2020-11-19T00:00:00"/>
    <x v="0"/>
    <m/>
    <m/>
    <m/>
    <s v="C210339459"/>
    <n v="301"/>
  </r>
  <r>
    <n v="944"/>
    <x v="0"/>
    <s v="C49"/>
    <n v="110235"/>
    <s v="Stock order"/>
    <x v="12"/>
    <s v="L-&gt;R"/>
    <s v="No"/>
    <s v="Y54028"/>
    <n v="1"/>
    <s v="华日仓库中转"/>
    <d v="2021-02-07T00:00:00"/>
    <n v="6.3100000000000003E-2"/>
    <s v="FEB 21"/>
    <m/>
    <s v="RMB"/>
    <s v="C49SZX20200221MZ"/>
    <x v="231"/>
    <s v="YSM20R-2"/>
    <s v="L-&gt;R"/>
    <s v="MVC"/>
    <s v="WRONG"/>
    <s v="含税到厂"/>
    <d v="2020-11-19T00:00:00"/>
    <x v="0"/>
    <m/>
    <m/>
    <m/>
    <s v="C210339459"/>
    <n v="302"/>
  </r>
  <r>
    <n v="899"/>
    <x v="0"/>
    <s v="C49"/>
    <n v="110132"/>
    <s v="Stock order"/>
    <x v="12"/>
    <s v="L-&gt;R"/>
    <s v="No"/>
    <s v="Y54102"/>
    <n v="1"/>
    <s v="盐保仓库"/>
    <d v="2021-02-07T00:00:00"/>
    <s v="NM"/>
    <s v="FEB 21"/>
    <m/>
    <s v="JPY"/>
    <s v="C49SZX20200198JZ"/>
    <x v="232"/>
    <s v="YSM20R-2"/>
    <s v="L-&gt;R"/>
    <s v="MVC"/>
    <s v="WRONG"/>
    <s v="DAP SZ"/>
    <d v="2020-10-26T00:00:00"/>
    <x v="0"/>
    <m/>
    <m/>
    <m/>
    <s v="C150422959"/>
    <n v="301"/>
  </r>
  <r>
    <n v="900"/>
    <x v="0"/>
    <s v="C49"/>
    <n v="110132"/>
    <s v="Stock order"/>
    <x v="12"/>
    <s v="L-&gt;R"/>
    <s v="No"/>
    <s v="Y54103"/>
    <n v="1"/>
    <s v="盐保仓库"/>
    <d v="2021-02-07T00:00:00"/>
    <s v="NM"/>
    <s v="FEB 21"/>
    <m/>
    <s v="JPY"/>
    <s v="C49SZX20200198JZ"/>
    <x v="232"/>
    <s v="YSM20R-2"/>
    <s v="L-&gt;R"/>
    <s v="MVC"/>
    <s v="WRONG"/>
    <s v="DAP SZ"/>
    <d v="2020-10-26T00:00:00"/>
    <x v="0"/>
    <m/>
    <m/>
    <m/>
    <s v="C150422959"/>
    <n v="301"/>
  </r>
  <r>
    <n v="1111"/>
    <x v="0"/>
    <s v="C49"/>
    <n v="110132"/>
    <s v="Stock order"/>
    <x v="12"/>
    <s v="L-&gt;R"/>
    <s v="No"/>
    <s v="Y54104"/>
    <n v="1"/>
    <s v="力合中转仓"/>
    <d v="2021-02-07T00:00:00"/>
    <s v="NM"/>
    <s v="FEB 21"/>
    <m/>
    <s v="JPY"/>
    <s v="C49SZX20210032JL"/>
    <x v="100"/>
    <s v="YSM20R-2"/>
    <s v="L-&gt;R"/>
    <s v="MVC"/>
    <s v="WRONG"/>
    <s v="DAP SZ"/>
    <d v="2021-01-29T00:00:00"/>
    <x v="0"/>
    <m/>
    <m/>
    <m/>
    <s v="C170629728"/>
    <n v="301"/>
  </r>
  <r>
    <n v="1078"/>
    <x v="0"/>
    <s v="C49"/>
    <n v="110132"/>
    <s v="Stock order"/>
    <x v="12"/>
    <s v="R-&gt;L"/>
    <s v="No"/>
    <s v="Y54105"/>
    <n v="1"/>
    <s v="盐保仓库"/>
    <d v="2021-02-07T00:00:00"/>
    <s v="NM"/>
    <s v="FEB 21"/>
    <m/>
    <s v="JPY"/>
    <s v="C49SZX20210025DZ"/>
    <x v="233"/>
    <s v="YSM20R-2"/>
    <s v="R-&gt;L"/>
    <s v="No"/>
    <s v="OK"/>
    <s v="DAP SZ"/>
    <d v="2021-01-20T00:00:00"/>
    <x v="0"/>
    <m/>
    <m/>
    <m/>
    <s v="C210239208"/>
    <n v="301"/>
  </r>
  <r>
    <n v="1070"/>
    <x v="0"/>
    <s v="C49"/>
    <n v="110130"/>
    <s v="Stock order"/>
    <x v="1"/>
    <s v="R-&gt;L"/>
    <s v="No"/>
    <s v="Y54198"/>
    <n v="1"/>
    <s v="华日仓库中转"/>
    <d v="2021-02-07T00:00:00"/>
    <s v="NM"/>
    <s v="FEB 21"/>
    <m/>
    <s v="JPY"/>
    <s v="C49SZX20210018SX"/>
    <x v="50"/>
    <s v="YSM10"/>
    <s v="R-&gt;L"/>
    <s v="No"/>
    <s v="OK"/>
    <s v="DAP JA"/>
    <d v="2021-01-18T00:00:00"/>
    <x v="0"/>
    <m/>
    <m/>
    <m/>
    <s v="C180431829"/>
    <n v="301"/>
  </r>
  <r>
    <n v="931"/>
    <x v="0"/>
    <s v="C49"/>
    <n v="110130"/>
    <s v="Stock order"/>
    <x v="1"/>
    <s v="R-&gt;L"/>
    <s v="No"/>
    <s v="Y54199"/>
    <n v="1"/>
    <s v="华日仓库中转"/>
    <d v="2021-02-07T00:00:00"/>
    <s v="NM"/>
    <s v="FEB 21"/>
    <m/>
    <s v="JPY"/>
    <s v="C49SZX20200211SX"/>
    <x v="234"/>
    <s v="YSM10"/>
    <s v="L-&gt;R"/>
    <s v="MVC+ANC"/>
    <s v="WRONG"/>
    <s v="DAP SZ"/>
    <d v="2020-11-13T00:00:00"/>
    <x v="0"/>
    <m/>
    <m/>
    <m/>
    <s v="C210139111"/>
    <n v="301"/>
  </r>
  <r>
    <n v="983"/>
    <x v="0"/>
    <s v="C49"/>
    <n v="110130"/>
    <s v="Stock order"/>
    <x v="1"/>
    <s v="R-&gt;L"/>
    <s v="No"/>
    <s v="Y54200"/>
    <n v="1"/>
    <s v="力合中转仓"/>
    <d v="2021-02-07T00:00:00"/>
    <s v="NM"/>
    <s v="FEB 21"/>
    <m/>
    <s v="JPY"/>
    <s v="C49SZX20200230SS"/>
    <x v="226"/>
    <s v="YSM10"/>
    <s v="R-&gt;L"/>
    <s v="No"/>
    <s v="OK"/>
    <s v="DAP SZ"/>
    <d v="2020-11-28T00:00:00"/>
    <x v="0"/>
    <m/>
    <m/>
    <m/>
    <s v="C210139067"/>
    <n v="301"/>
  </r>
  <r>
    <n v="1077"/>
    <x v="0"/>
    <s v="C49"/>
    <n v="110130"/>
    <s v="Stock order"/>
    <x v="1"/>
    <s v="R-&gt;L"/>
    <s v="No"/>
    <s v="Y54201"/>
    <n v="1"/>
    <s v="华日仓库中转"/>
    <d v="2021-02-07T00:00:00"/>
    <s v="NM"/>
    <s v="FEB 21"/>
    <m/>
    <s v="JPY"/>
    <s v="C49SZX20210020SX"/>
    <x v="76"/>
    <s v="YSM10"/>
    <s v="L-&gt;R"/>
    <s v="MVC"/>
    <s v="WRONG"/>
    <s v="DAP HZ"/>
    <d v="2021-01-20T00:00:00"/>
    <x v="0"/>
    <m/>
    <m/>
    <m/>
    <s v="C180231291"/>
    <n v="301"/>
  </r>
  <r>
    <n v="941"/>
    <x v="0"/>
    <s v="C49"/>
    <n v="110130"/>
    <s v="Stock order"/>
    <x v="1"/>
    <s v="R-&gt;L"/>
    <s v="No"/>
    <s v="Y54202"/>
    <n v="1"/>
    <s v="力合中转仓"/>
    <d v="2021-02-07T00:00:00"/>
    <s v="NM"/>
    <s v="FEB 21"/>
    <m/>
    <s v="JPY"/>
    <s v="C49SZX20200222SS"/>
    <x v="226"/>
    <s v="YSM10"/>
    <s v="L-&gt;R"/>
    <s v="MVC"/>
    <s v="WRONG"/>
    <s v="DAP SZ"/>
    <d v="2020-11-18T00:00:00"/>
    <x v="0"/>
    <m/>
    <m/>
    <m/>
    <s v="C210139067"/>
    <n v="301"/>
  </r>
  <r>
    <n v="930"/>
    <x v="0"/>
    <s v="C49"/>
    <n v="110133"/>
    <s v="Stock order"/>
    <x v="12"/>
    <s v="L-&gt;R"/>
    <s v="No"/>
    <s v="Y54106"/>
    <n v="1"/>
    <s v="华日仓库中转"/>
    <d v="2021-02-07T00:00:00"/>
    <s v="NM"/>
    <s v="FEB 21"/>
    <m/>
    <s v="JPY"/>
    <s v="C49SZX20200211SX"/>
    <x v="234"/>
    <s v="YSM20R-2"/>
    <s v="L-&gt;R"/>
    <s v="No"/>
    <s v="OK"/>
    <s v="DAP SZ"/>
    <d v="2020-11-13T00:00:00"/>
    <x v="0"/>
    <m/>
    <m/>
    <m/>
    <s v="C210139111"/>
    <n v="302"/>
  </r>
  <r>
    <n v="1079"/>
    <x v="0"/>
    <s v="C49"/>
    <n v="110133"/>
    <s v="Stock order"/>
    <x v="12"/>
    <s v="L-&gt;R"/>
    <s v="No"/>
    <s v="Y54107"/>
    <n v="1"/>
    <s v="盐保仓库"/>
    <d v="2021-02-07T00:00:00"/>
    <s v="NM"/>
    <s v="MAR 21"/>
    <m/>
    <s v="JPY"/>
    <s v="C49SZX20210026DZ"/>
    <x v="230"/>
    <s v="YSM20R-2"/>
    <s v="L-&gt;R"/>
    <s v="No"/>
    <s v="OK"/>
    <s v="DAP CS"/>
    <d v="2021-01-22T00:00:00"/>
    <x v="0"/>
    <m/>
    <m/>
    <m/>
    <s v="C200637621"/>
    <n v="302"/>
  </r>
  <r>
    <n v="988"/>
    <x v="0"/>
    <s v="C49"/>
    <n v="110133"/>
    <s v="Stock order"/>
    <x v="12"/>
    <s v="L-&gt;R"/>
    <s v="No"/>
    <s v="Y54108"/>
    <n v="1"/>
    <s v="盐保仓库"/>
    <d v="2021-02-07T00:00:00"/>
    <s v="NM"/>
    <s v="MAR 21"/>
    <m/>
    <s v="JPY"/>
    <s v="C49SZX20200232SX"/>
    <x v="20"/>
    <s v="YSM20R-2"/>
    <s v="L-&gt;R"/>
    <s v="No"/>
    <s v="OK"/>
    <s v="DAP SZ"/>
    <d v="2020-12-01T00:00:00"/>
    <x v="0"/>
    <m/>
    <m/>
    <m/>
    <s v="C180532243"/>
    <n v="302"/>
  </r>
  <r>
    <n v="1106"/>
    <x v="0"/>
    <s v="C49"/>
    <n v="110133"/>
    <s v="Stock order"/>
    <x v="12"/>
    <s v="L-&gt;R"/>
    <s v="No"/>
    <s v="Y54109"/>
    <n v="1"/>
    <s v="盐保仓库"/>
    <d v="2021-02-07T00:00:00"/>
    <s v="NM"/>
    <s v="APR 21"/>
    <m/>
    <s v="JPY"/>
    <s v="C49SZX20210038SX"/>
    <x v="137"/>
    <s v="YSM20R-2"/>
    <s v="L-&gt;R"/>
    <s v="No"/>
    <s v="OK"/>
    <s v="DAP SZ"/>
    <d v="2021-01-29T00:00:00"/>
    <x v="0"/>
    <m/>
    <m/>
    <m/>
    <s v="C200236775"/>
    <n v="302"/>
  </r>
  <r>
    <n v="990"/>
    <x v="0"/>
    <s v="C49"/>
    <n v="110133"/>
    <s v="Stock order"/>
    <x v="12"/>
    <s v="L-&gt;R"/>
    <s v="No"/>
    <s v="Y54110"/>
    <n v="1"/>
    <s v="力合仓库(已经清关)"/>
    <d v="2021-02-07T00:00:00"/>
    <s v="0.0599，PO用110407"/>
    <s v="APR 21"/>
    <m/>
    <s v="RMB"/>
    <s v="C49SZX20200080DY"/>
    <x v="235"/>
    <s v="YSM20R-2"/>
    <s v="L-&gt;R"/>
    <s v="No"/>
    <s v="OK"/>
    <s v="含税到厂"/>
    <d v="2020-12-08T00:00:00"/>
    <x v="0"/>
    <m/>
    <m/>
    <m/>
    <s v="C210139036"/>
    <n v="302"/>
  </r>
  <r>
    <n v="1017"/>
    <x v="0"/>
    <s v="C49"/>
    <n v="110210"/>
    <s v="众鑫科名义"/>
    <x v="1"/>
    <s v="R-&gt;L"/>
    <s v="MVC F&amp;R+ATS15"/>
    <s v="Y54554"/>
    <n v="1"/>
    <s v="盐保仓库"/>
    <d v="2021-02-20T00:00:00"/>
    <s v="NM"/>
    <s v="FEB 21"/>
    <m/>
    <s v="JPY"/>
    <s v="C49SZX20200239JL"/>
    <x v="236"/>
    <s v="YSM10"/>
    <s v="L-&gt;R"/>
    <s v="MVC+ATS15"/>
    <s v="WRONG"/>
    <s v="CIF HK"/>
    <d v="2020-12-09T00:00:00"/>
    <x v="0"/>
    <m/>
    <m/>
    <m/>
    <s v="C210339539"/>
    <n v="301"/>
  </r>
  <r>
    <n v="1074"/>
    <x v="0"/>
    <s v="C49"/>
    <n v="110210"/>
    <s v="众鑫科名义"/>
    <x v="1"/>
    <s v="R-&gt;L"/>
    <s v="MVC F&amp;R+ATS15"/>
    <s v="Y54555"/>
    <n v="1"/>
    <s v="盐保仓库"/>
    <d v="2021-02-20T00:00:00"/>
    <s v="NM"/>
    <s v="MAY 21"/>
    <m/>
    <s v="JPY"/>
    <s v="C49SZX20210009MZ"/>
    <x v="237"/>
    <s v="YSM10"/>
    <s v="L-&gt;R"/>
    <s v="MVC+ATS15"/>
    <s v="WRONG"/>
    <s v="DAP HZ"/>
    <d v="2021-01-19T00:00:00"/>
    <x v="0"/>
    <m/>
    <m/>
    <m/>
    <s v="C170429029"/>
    <n v="301"/>
  </r>
  <r>
    <n v="1300"/>
    <x v="0"/>
    <s v="C49"/>
    <n v="110210"/>
    <s v="众鑫科名义"/>
    <x v="1"/>
    <s v="R-&gt;L"/>
    <s v="MVC F&amp;R+ATS15"/>
    <s v="Y54556"/>
    <n v="1"/>
    <s v="力合中转仓"/>
    <d v="2021-02-20T00:00:00"/>
    <s v="NM"/>
    <s v="APR 21"/>
    <m/>
    <s v="RMB"/>
    <s v="C49SZX20210105JY"/>
    <x v="238"/>
    <s v="YSM10"/>
    <s v="L-&gt;R"/>
    <s v="MVC F&amp;R+ATS15"/>
    <s v="WRONG"/>
    <s v="DDP SZ"/>
    <d v="2021-04-06T00:00:00"/>
    <x v="0"/>
    <m/>
    <m/>
    <m/>
    <s v="C161027838"/>
    <n v="302"/>
  </r>
  <r>
    <n v="1299"/>
    <x v="0"/>
    <m/>
    <s v="上海货"/>
    <s v="上海货"/>
    <x v="12"/>
    <s v="L-&gt;R"/>
    <s v="No"/>
    <s v="Y55488"/>
    <n v="0"/>
    <m/>
    <m/>
    <m/>
    <s v="APR 21"/>
    <m/>
    <s v="RMB"/>
    <s v="C49SZX20210105JY"/>
    <x v="238"/>
    <s v="YSM20R-2"/>
    <s v="L-&gt;R"/>
    <s v="MVC"/>
    <s v="WRONG"/>
    <s v="DDP SZ"/>
    <d v="2021-04-06T00:00:00"/>
    <x v="0"/>
    <m/>
    <m/>
    <m/>
    <s v="C161027838"/>
    <m/>
  </r>
  <r>
    <n v="1321"/>
    <x v="0"/>
    <s v="C49"/>
    <n v="110210"/>
    <s v="众鑫科名义"/>
    <x v="1"/>
    <s v="R-&gt;L"/>
    <s v="MVC F&amp;R+ATS15"/>
    <s v="Y54557"/>
    <n v="1"/>
    <s v="盐保仓库"/>
    <d v="2021-02-20T00:00:00"/>
    <s v="NM"/>
    <s v="MAY 21"/>
    <m/>
    <s v="JPY"/>
    <s v="C49SZX20210109SX"/>
    <x v="124"/>
    <s v="YSM10"/>
    <s v="R-&gt;L"/>
    <s v="MVC+ATS15"/>
    <s v="WRONG"/>
    <s v="DAP SZ"/>
    <d v="2021-04-09T00:00:00"/>
    <x v="0"/>
    <m/>
    <m/>
    <m/>
    <s v="C180933040"/>
    <n v="311"/>
  </r>
  <r>
    <n v="1128"/>
    <x v="0"/>
    <s v="C49"/>
    <n v="110175"/>
    <s v="Stock order(reserved by Leader Tech)"/>
    <x v="12"/>
    <s v="L-&gt;R"/>
    <s v="No"/>
    <s v="Y54386"/>
    <n v="1"/>
    <s v="力合中转仓"/>
    <s v="2021-2-20"/>
    <s v="NM"/>
    <s v="APR 21"/>
    <m/>
    <s v="JPY"/>
    <s v="C49SZX20210036JZ"/>
    <x v="30"/>
    <s v="YSM20R-2"/>
    <s v="L-&gt;R"/>
    <s v="MVC"/>
    <s v="WRONG"/>
    <s v="DAP SZ"/>
    <d v="2021-02-02T00:00:00"/>
    <x v="0"/>
    <m/>
    <m/>
    <m/>
    <s v="C190434451"/>
    <n v="301"/>
  </r>
  <r>
    <n v="1217"/>
    <x v="0"/>
    <s v="C49"/>
    <n v="110175"/>
    <s v="Stock order(reserved by Leader Tech)"/>
    <x v="12"/>
    <s v="L-&gt;R"/>
    <s v="No"/>
    <s v="Y54387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218"/>
    <x v="0"/>
    <s v="C49"/>
    <n v="110175"/>
    <s v="Stock order(reserved by Leader Tech)"/>
    <x v="12"/>
    <s v="L-&gt;R"/>
    <s v="No"/>
    <s v="Y54388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221"/>
    <x v="0"/>
    <s v="C49"/>
    <n v="110175"/>
    <s v="Stock order(reserved by Leader Tech)"/>
    <x v="12"/>
    <s v="L-&gt;R"/>
    <s v="No"/>
    <s v="Y54389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222"/>
    <x v="0"/>
    <s v="C49"/>
    <n v="110175"/>
    <s v="Stock order(reserved by Leader Tech)"/>
    <x v="12"/>
    <s v="L-&gt;R"/>
    <s v="No"/>
    <s v="Y54390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098"/>
    <x v="0"/>
    <s v="C49"/>
    <n v="110174"/>
    <s v="Stock order(reserved by Leader Tech)"/>
    <x v="12"/>
    <s v="L-&gt;R"/>
    <s v="No"/>
    <s v="Y54381"/>
    <n v="1"/>
    <s v="力合中转仓"/>
    <d v="2021-02-25T00:00:00"/>
    <s v="NM"/>
    <s v="MAY 21"/>
    <m/>
    <s v="JPY"/>
    <s v="C49SZX20210022VG"/>
    <x v="240"/>
    <s v="YSM20R-2"/>
    <s v="L-&gt;R"/>
    <s v="MVC"/>
    <s v="WRONG"/>
    <s v="DAP SZ"/>
    <d v="2021-01-26T00:00:00"/>
    <x v="0"/>
    <m/>
    <m/>
    <m/>
    <s v="C210339453"/>
    <n v="301"/>
  </r>
  <r>
    <n v="949"/>
    <x v="0"/>
    <s v="C49"/>
    <n v="110174"/>
    <s v="Stock order(reserved by Leader Tech)"/>
    <x v="12"/>
    <s v="L-&gt;R"/>
    <s v="No"/>
    <s v="Y54382"/>
    <n v="1"/>
    <s v="盐保仓库"/>
    <d v="2021-02-25T00:00:00"/>
    <s v="NM"/>
    <s v="MAR 21"/>
    <m/>
    <s v="JPY"/>
    <s v="C49SZX20200213MX"/>
    <x v="219"/>
    <s v="YSM20R-2"/>
    <s v="L-&gt;R"/>
    <s v="No"/>
    <s v="OK"/>
    <s v="DAP SZ"/>
    <d v="2020-11-18T00:00:00"/>
    <x v="0"/>
    <m/>
    <m/>
    <m/>
    <s v="C210139194"/>
    <n v="301"/>
  </r>
  <r>
    <n v="1122"/>
    <x v="0"/>
    <s v="C49"/>
    <n v="110174"/>
    <s v="Stock order(reserved by Leader Tech)"/>
    <x v="12"/>
    <s v="L-&gt;R"/>
    <s v="No"/>
    <s v="Y54383"/>
    <n v="1"/>
    <s v="盐保仓库"/>
    <d v="2021-02-25T00:00:00"/>
    <s v="NM"/>
    <s v="MAR 21"/>
    <m/>
    <s v="JPY"/>
    <s v="C49SZX20210011JY"/>
    <x v="156"/>
    <s v="YSM20R-2"/>
    <s v="L-&gt;R"/>
    <s v="No"/>
    <s v="OK"/>
    <s v="CIF HK"/>
    <d v="2021-01-26T00:00:00"/>
    <x v="0"/>
    <m/>
    <m/>
    <m/>
    <s v="C210239312"/>
    <n v="301"/>
  </r>
  <r>
    <n v="1015"/>
    <x v="0"/>
    <s v="C49"/>
    <n v="110174"/>
    <s v="Stock order(reserved by Leader Tech)"/>
    <x v="12"/>
    <s v="L-&gt;R"/>
    <s v="No"/>
    <s v="Y54384"/>
    <n v="1"/>
    <s v="盐保仓库"/>
    <d v="2021-02-25T00:00:00"/>
    <s v="NM"/>
    <s v="FEB 21"/>
    <m/>
    <s v="JPY"/>
    <s v="C49SZX20200239JL"/>
    <x v="236"/>
    <s v="YSM20R-2"/>
    <s v="L-&gt;R"/>
    <s v="No"/>
    <s v="OK"/>
    <s v="CIF HK"/>
    <d v="2020-12-09T00:00:00"/>
    <x v="0"/>
    <m/>
    <m/>
    <m/>
    <s v="C210339539"/>
    <n v="301"/>
  </r>
  <r>
    <n v="1014"/>
    <x v="0"/>
    <s v="C49"/>
    <n v="110174"/>
    <s v="Stock order(reserved by Leader Tech)"/>
    <x v="12"/>
    <s v="L-&gt;R"/>
    <s v="No"/>
    <s v="Y54385"/>
    <n v="1"/>
    <s v="盐保仓库"/>
    <d v="2021-02-25T00:00:00"/>
    <s v="NM"/>
    <s v="MAR 21"/>
    <m/>
    <s v="JPY"/>
    <s v="C49SZX20200239JL"/>
    <x v="236"/>
    <s v="YSM20R-2"/>
    <s v="L-&gt;R"/>
    <s v="No"/>
    <s v="OK"/>
    <s v="CIF HK"/>
    <d v="2020-12-09T00:00:00"/>
    <x v="0"/>
    <m/>
    <m/>
    <m/>
    <s v="C210339539"/>
    <n v="301"/>
  </r>
  <r>
    <n v="1110"/>
    <x v="0"/>
    <s v="C49"/>
    <n v="110131"/>
    <s v="Stock order"/>
    <x v="1"/>
    <s v="R-&gt;L"/>
    <s v="No"/>
    <s v="Y54203"/>
    <n v="1"/>
    <s v="盐保仓库"/>
    <d v="2021-02-25T00:00:00"/>
    <s v="NM"/>
    <s v="MAR 21"/>
    <m/>
    <s v="JPY"/>
    <s v="C49SZX20210037SX"/>
    <x v="223"/>
    <s v="YSM10"/>
    <s v="L-&gt;R"/>
    <s v="MVC"/>
    <s v="WRONG"/>
    <s v="DAP SZ"/>
    <d v="2021-02-01T00:00:00"/>
    <x v="0"/>
    <m/>
    <m/>
    <m/>
    <s v="C210339637"/>
    <n v="301"/>
  </r>
  <r>
    <n v="1056"/>
    <x v="0"/>
    <s v="C49"/>
    <n v="110131"/>
    <s v="Stock order"/>
    <x v="1"/>
    <s v="R-&gt;L"/>
    <s v="No"/>
    <s v="Y54204"/>
    <n v="1"/>
    <s v="盐保仓库"/>
    <d v="2021-02-25T00:00:00"/>
    <s v="NM"/>
    <s v="FEB 21"/>
    <m/>
    <s v="JPY"/>
    <s v="C49SZX20200260LC"/>
    <x v="241"/>
    <s v="YSM10"/>
    <s v="L-&gt;R"/>
    <s v="No"/>
    <s v="WRONG"/>
    <s v="DAP DG"/>
    <d v="2020-12-28T00:00:00"/>
    <x v="0"/>
    <m/>
    <m/>
    <m/>
    <s v="C210239322"/>
    <n v="301"/>
  </r>
  <r>
    <n v="977"/>
    <x v="0"/>
    <s v="C49"/>
    <n v="110131"/>
    <s v="Stock order"/>
    <x v="1"/>
    <s v="R-&gt;L"/>
    <s v="No"/>
    <s v="Y54205"/>
    <n v="1"/>
    <s v="力合中转仓"/>
    <d v="2021-02-25T00:00:00"/>
    <s v="NM"/>
    <s v="APR 21"/>
    <m/>
    <s v="JPY"/>
    <s v="C49SZX20200227MZ"/>
    <x v="242"/>
    <s v="YSM10"/>
    <s v="L-&gt;R"/>
    <s v="No"/>
    <s v="WRONG"/>
    <s v="DAP SZ"/>
    <d v="2020-11-23T00:00:00"/>
    <x v="0"/>
    <m/>
    <m/>
    <m/>
    <s v="C210239433"/>
    <n v="301"/>
  </r>
  <r>
    <n v="989"/>
    <x v="0"/>
    <s v="C49"/>
    <n v="110131"/>
    <s v="Stock order"/>
    <x v="1"/>
    <s v="R-&gt;L"/>
    <s v="No"/>
    <s v="Y54206"/>
    <n v="1"/>
    <s v="盐保仓库"/>
    <d v="2021-02-25T00:00:00"/>
    <s v="NM"/>
    <s v="FEB 21"/>
    <m/>
    <s v="JPY"/>
    <s v="C49SZX20200162CY"/>
    <x v="243"/>
    <s v="YSM10"/>
    <s v="L-&gt;R"/>
    <s v="MVC"/>
    <s v="WRONG"/>
    <s v="DAP SZ"/>
    <d v="2020-12-02T00:00:00"/>
    <x v="0"/>
    <m/>
    <m/>
    <m/>
    <s v="C210139192"/>
    <n v="301"/>
  </r>
  <r>
    <n v="1123"/>
    <x v="0"/>
    <s v="C49"/>
    <n v="110131"/>
    <s v="Stock order"/>
    <x v="1"/>
    <s v="R-&gt;L"/>
    <s v="No"/>
    <s v="Y54207"/>
    <n v="1"/>
    <s v="盐保仓库"/>
    <d v="2021-02-25T00:00:00"/>
    <s v="NM"/>
    <s v="MAR 21"/>
    <m/>
    <s v="JPY"/>
    <s v="C49SZX20210011JY"/>
    <x v="156"/>
    <s v="YSM10"/>
    <s v="L-&gt;R"/>
    <s v="MVC"/>
    <s v="WRONG"/>
    <s v="CIF HK"/>
    <d v="2021-01-26T00:00:00"/>
    <x v="0"/>
    <m/>
    <m/>
    <m/>
    <s v="C210239312"/>
    <n v="301"/>
  </r>
  <r>
    <s v="上海预留"/>
    <x v="0"/>
    <s v="C49"/>
    <n v="110230"/>
    <s v="玥芯通名义下单"/>
    <x v="1"/>
    <s v="R-&gt;L"/>
    <s v="MVC+ATS15"/>
    <s v="Y53569"/>
    <n v="1"/>
    <s v="华日仓库中转"/>
    <d v="2021-02-28T00:00:00"/>
    <n v="6.1600000000000002E-2"/>
    <m/>
    <m/>
    <s v="RMB"/>
    <s v="C49BJS20201218ZX"/>
    <x v="244"/>
    <s v="YSM10"/>
    <s v="R-&gt;L"/>
    <s v="MVC+ATS15"/>
    <s v="OK"/>
    <e v="#N/A"/>
    <e v="#N/A"/>
    <x v="1"/>
    <m/>
    <m/>
    <m/>
    <s v="YES"/>
    <n v="301"/>
  </r>
  <r>
    <s v="上海预留。"/>
    <x v="0"/>
    <s v="C49"/>
    <n v="110230"/>
    <s v="玥芯通名义下单"/>
    <x v="1"/>
    <s v="R-&gt;L"/>
    <s v="MVC+ATS15"/>
    <s v="Y53570"/>
    <n v="1"/>
    <s v="华日仓库中转"/>
    <d v="2021-02-28T00:00:00"/>
    <n v="6.1600000000000002E-2"/>
    <m/>
    <m/>
    <s v="RMB"/>
    <s v="C49BJS20201218ZX"/>
    <x v="244"/>
    <s v="YSM10"/>
    <s v="R-&gt;L"/>
    <s v="MVC+ATS15"/>
    <s v="OK"/>
    <e v="#N/A"/>
    <e v="#N/A"/>
    <x v="1"/>
    <m/>
    <m/>
    <m/>
    <s v="YES"/>
    <n v="301"/>
  </r>
  <r>
    <n v="1124"/>
    <x v="0"/>
    <s v="C49"/>
    <n v="110150"/>
    <s v="Stock order"/>
    <x v="1"/>
    <s v="R-&gt;L"/>
    <s v="No"/>
    <s v="Y54689"/>
    <n v="1"/>
    <s v="盐保仓库"/>
    <d v="2021-02-28T00:00:00"/>
    <s v="NM"/>
    <s v="MAR 21"/>
    <m/>
    <s v="JPY"/>
    <s v="C49SZX20210011JY"/>
    <x v="156"/>
    <s v="YSM10"/>
    <s v="R-&gt;L"/>
    <s v="MVC"/>
    <s v="WRONG"/>
    <s v="CIF HK"/>
    <d v="2021-01-26T00:00:00"/>
    <x v="0"/>
    <m/>
    <m/>
    <m/>
    <s v="C210239312"/>
    <n v="301"/>
  </r>
  <r>
    <n v="1125"/>
    <x v="0"/>
    <s v="C49"/>
    <n v="110150"/>
    <s v="Stock order"/>
    <x v="1"/>
    <s v="R-&gt;L"/>
    <s v="No"/>
    <s v="Y54690"/>
    <n v="1"/>
    <s v="盐保仓库"/>
    <d v="2021-02-28T00:00:00"/>
    <s v="NM"/>
    <s v="MAR 21"/>
    <m/>
    <s v="JPY"/>
    <s v="C49SZX20210011JY"/>
    <x v="156"/>
    <s v="YSM10"/>
    <s v="R-&gt;L"/>
    <s v="MVC"/>
    <s v="WRONG"/>
    <s v="CIF HK"/>
    <d v="2021-01-26T00:00:00"/>
    <x v="0"/>
    <m/>
    <m/>
    <m/>
    <s v="C210239312"/>
    <n v="301"/>
  </r>
  <r>
    <n v="993"/>
    <x v="0"/>
    <s v="C49"/>
    <n v="110150"/>
    <s v="Stock order"/>
    <x v="1"/>
    <s v="R-&gt;L"/>
    <s v="No"/>
    <s v="Y54691"/>
    <n v="1"/>
    <s v="盐保仓库"/>
    <d v="2021-02-28T00:00:00"/>
    <s v="NM"/>
    <s v="MAR 21"/>
    <m/>
    <s v="JPY"/>
    <s v="C49SZX20200237SX"/>
    <x v="245"/>
    <s v="YSM10"/>
    <s v="L-&gt;R"/>
    <s v="No"/>
    <s v="WRONG"/>
    <s v="DAP SZ"/>
    <d v="2020-12-08T00:00:00"/>
    <x v="0"/>
    <m/>
    <m/>
    <m/>
    <s v="C210239298"/>
    <n v="301"/>
  </r>
  <r>
    <n v="1126"/>
    <x v="0"/>
    <s v="C49"/>
    <n v="110150"/>
    <s v="Stock order"/>
    <x v="1"/>
    <s v="R-&gt;L"/>
    <s v="No"/>
    <s v="Y54692"/>
    <n v="1"/>
    <s v="盐保仓库"/>
    <d v="2021-02-28T00:00:00"/>
    <s v="NM"/>
    <s v="MAR 21"/>
    <m/>
    <s v="JPY"/>
    <s v="C49SZX20210011JY"/>
    <x v="156"/>
    <s v="YSM10"/>
    <s v="R-&gt;L"/>
    <s v="MVC"/>
    <s v="WRONG"/>
    <s v="CIF HK"/>
    <d v="2021-01-26T00:00:00"/>
    <x v="0"/>
    <m/>
    <m/>
    <m/>
    <s v="C210239312"/>
    <n v="301"/>
  </r>
  <r>
    <n v="1037"/>
    <x v="0"/>
    <s v="C49"/>
    <n v="110150"/>
    <s v="Stock order"/>
    <x v="1"/>
    <s v="R-&gt;L"/>
    <s v="No"/>
    <s v="Y54693"/>
    <n v="1"/>
    <s v="CY仓库"/>
    <d v="2021-02-28T00:00:00"/>
    <s v="NM"/>
    <s v="MA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119"/>
    <x v="0"/>
    <s v="C49"/>
    <s v="110287（拆单110276）"/>
    <s v="众鑫科名义"/>
    <x v="12"/>
    <s v="R-&gt;L"/>
    <s v="MVC"/>
    <s v="Y54558"/>
    <n v="1"/>
    <s v="盐保仓库"/>
    <d v="2021-03-01T00:00:00"/>
    <n v="6.3E-2"/>
    <s v="MAR 21"/>
    <m/>
    <s v="JPY"/>
    <s v="C49SZX20210011JY"/>
    <x v="156"/>
    <s v="YSM20R-2"/>
    <s v="R-&gt;L"/>
    <s v="No"/>
    <s v="WRONG"/>
    <s v="CIF HK"/>
    <d v="2021-01-26T00:00:00"/>
    <x v="0"/>
    <m/>
    <m/>
    <m/>
    <s v="C210239312"/>
    <n v="301"/>
  </r>
  <r>
    <n v="1028"/>
    <x v="0"/>
    <s v="C49"/>
    <s v="110287（拆单110276）"/>
    <s v="众鑫科名义"/>
    <x v="12"/>
    <s v="R-&gt;L"/>
    <s v="MVC"/>
    <s v="Y54559"/>
    <n v="1"/>
    <s v="CY仓库"/>
    <d v="2021-03-01T00:00:00"/>
    <n v="6.3E-2"/>
    <s v="MAR 21"/>
    <m/>
    <s v="JPY"/>
    <s v="C49SZX20200243DZ"/>
    <x v="10"/>
    <s v="YSM20R-2"/>
    <s v="R-&gt;L"/>
    <s v="No"/>
    <s v="WRONG"/>
    <s v="CIF HK"/>
    <d v="2020-12-17T00:00:00"/>
    <x v="0"/>
    <m/>
    <m/>
    <m/>
    <s v="C170729808"/>
    <n v="301"/>
  </r>
  <r>
    <n v="1029"/>
    <x v="0"/>
    <s v="C49"/>
    <n v="110287"/>
    <s v="众鑫科名义"/>
    <x v="12"/>
    <s v="R-&gt;L"/>
    <s v="MVC"/>
    <s v="Y54560"/>
    <n v="1"/>
    <s v="CY仓库"/>
    <d v="2021-03-01T00:00:00"/>
    <s v="TBA"/>
    <s v="MAR 21"/>
    <m/>
    <s v="JPY"/>
    <s v="C49SZX20200243DZ"/>
    <x v="10"/>
    <s v="YSM20R-2"/>
    <s v="R-&gt;L"/>
    <s v="No"/>
    <s v="WRONG"/>
    <s v="CIF HK"/>
    <d v="2020-12-17T00:00:00"/>
    <x v="0"/>
    <m/>
    <m/>
    <m/>
    <s v="C170729808"/>
    <n v="311"/>
  </r>
  <r>
    <n v="1030"/>
    <x v="0"/>
    <s v="C49"/>
    <n v="110287"/>
    <s v="众鑫科名义"/>
    <x v="12"/>
    <s v="R-&gt;L"/>
    <s v="MVC"/>
    <s v="Y54561"/>
    <n v="1"/>
    <s v="CY仓库"/>
    <d v="2021-03-01T00:00:00"/>
    <s v="TBA"/>
    <s v="MAR 21"/>
    <m/>
    <s v="JPY"/>
    <s v="C49SZX20200243DZ"/>
    <x v="10"/>
    <s v="YSM20R-2"/>
    <s v="R-&gt;L"/>
    <s v="No"/>
    <s v="WRONG"/>
    <s v="CIF HK"/>
    <d v="2020-12-17T00:00:00"/>
    <x v="0"/>
    <m/>
    <m/>
    <m/>
    <s v="C170729808"/>
    <n v="302"/>
  </r>
  <r>
    <n v="1025"/>
    <x v="0"/>
    <s v="C49"/>
    <s v="110172（拆分PO110275)"/>
    <s v="Stock order(reserved by Leader Tech)"/>
    <x v="1"/>
    <s v="R-&gt;L"/>
    <s v="No"/>
    <s v="Y54662"/>
    <n v="1"/>
    <s v="盐保仓库"/>
    <d v="2021-03-01T00:00:00"/>
    <n v="6.3E-2"/>
    <s v="MAR 21"/>
    <m/>
    <s v="JPY"/>
    <s v="C49SZX20200230JY"/>
    <x v="246"/>
    <s v="YSM10"/>
    <s v="R-&gt;L"/>
    <s v="No"/>
    <s v="OK"/>
    <s v="CIF HK"/>
    <d v="2020-12-15T00:00:00"/>
    <x v="0"/>
    <m/>
    <m/>
    <m/>
    <s v="C190735224"/>
    <n v="301"/>
  </r>
  <r>
    <n v="1024"/>
    <x v="0"/>
    <s v="C49"/>
    <s v="110172（拆分PO110275)"/>
    <s v="Stock order(reserved by Leader Tech)"/>
    <x v="1"/>
    <s v="R-&gt;L"/>
    <s v="No"/>
    <s v="Y54663"/>
    <n v="1"/>
    <s v="盐保仓库"/>
    <d v="2021-03-01T00:00:00"/>
    <n v="6.3E-2"/>
    <s v="MAR 21"/>
    <m/>
    <s v="JPY"/>
    <s v="C49SZX20200230JY"/>
    <x v="246"/>
    <s v="YSM10"/>
    <s v="R-&gt;L"/>
    <s v="No"/>
    <s v="OK"/>
    <s v="CIF HK"/>
    <d v="2020-12-15T00:00:00"/>
    <x v="0"/>
    <m/>
    <m/>
    <m/>
    <s v="C190735224"/>
    <n v="301"/>
  </r>
  <r>
    <n v="1022"/>
    <x v="0"/>
    <s v="C49"/>
    <n v="110172"/>
    <s v="Stock order(reserved by Leader Tech)"/>
    <x v="1"/>
    <s v="R-&gt;L"/>
    <s v="No"/>
    <s v="Y54664"/>
    <n v="1"/>
    <s v="盐保仓库"/>
    <d v="2021-03-01T00:00:00"/>
    <s v="NM"/>
    <s v="MAR 21"/>
    <m/>
    <s v="JPY"/>
    <s v="C49SZX20200230JY"/>
    <x v="246"/>
    <s v="YSM10"/>
    <s v="L-&gt;R"/>
    <s v="No"/>
    <s v="WRONG"/>
    <s v="CIF HK"/>
    <d v="2020-12-15T00:00:00"/>
    <x v="0"/>
    <m/>
    <m/>
    <m/>
    <s v="C190735224"/>
    <n v="301"/>
  </r>
  <r>
    <n v="1023"/>
    <x v="0"/>
    <s v="C49"/>
    <n v="110172"/>
    <s v="Stock order(reserved by Leader Tech)"/>
    <x v="1"/>
    <s v="R-&gt;L"/>
    <s v="No"/>
    <s v="Y54665"/>
    <n v="1"/>
    <s v="盐保仓库"/>
    <d v="2021-03-01T00:00:00"/>
    <s v="NM"/>
    <s v="MAR 21"/>
    <m/>
    <s v="JPY"/>
    <s v="C49SZX20200230JY"/>
    <x v="246"/>
    <s v="YSM10"/>
    <s v="L-&gt;R"/>
    <s v="No"/>
    <s v="WRONG"/>
    <s v="CIF HK"/>
    <d v="2020-12-15T00:00:00"/>
    <x v="0"/>
    <m/>
    <m/>
    <m/>
    <s v="C190735224"/>
    <n v="301"/>
  </r>
  <r>
    <n v="1254"/>
    <x v="0"/>
    <s v="C49"/>
    <n v="110172"/>
    <s v="Stock order(reserved by Leader Tech)"/>
    <x v="1"/>
    <s v="R-&gt;L"/>
    <s v="No"/>
    <s v="Y54666"/>
    <n v="1"/>
    <s v="华日仓库中转"/>
    <d v="2021-03-01T00:00:00"/>
    <s v="NM"/>
    <s v="MAR 21"/>
    <m/>
    <s v="JPY"/>
    <s v="C49SZX20210090EC"/>
    <x v="247"/>
    <s v="YSM10"/>
    <s v="L-&gt;R"/>
    <s v="MVC"/>
    <s v="WRONG"/>
    <s v="DAP SZ"/>
    <d v="2021-03-15T00:00:00"/>
    <x v="0"/>
    <m/>
    <m/>
    <m/>
    <s v="C210439795"/>
    <n v="301"/>
  </r>
  <r>
    <n v="1219"/>
    <x v="0"/>
    <s v="C49"/>
    <n v="110173"/>
    <s v="Stock order(reserved by Leader Tech)"/>
    <x v="1"/>
    <s v="R-&gt;L"/>
    <s v="No"/>
    <s v="Y54667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220"/>
    <x v="0"/>
    <s v="C49"/>
    <n v="110173"/>
    <s v="Stock order(reserved by Leader Tech)"/>
    <x v="1"/>
    <s v="R-&gt;L"/>
    <s v="No"/>
    <s v="Y54668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223"/>
    <x v="0"/>
    <s v="C49"/>
    <n v="110173"/>
    <s v="Stock order(reserved by Leader Tech)"/>
    <x v="1"/>
    <s v="R-&gt;L"/>
    <s v="No"/>
    <s v="Y54669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224"/>
    <x v="0"/>
    <s v="C49"/>
    <n v="110173"/>
    <s v="Stock order(reserved by Leader Tech)"/>
    <x v="1"/>
    <s v="R-&gt;L"/>
    <s v="No"/>
    <s v="Y54670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107"/>
    <x v="0"/>
    <s v="C49"/>
    <n v="110173"/>
    <s v="Stock order(reserved by Leader Tech)"/>
    <x v="1"/>
    <s v="R-&gt;L"/>
    <s v="No"/>
    <s v="Y54671"/>
    <n v="1"/>
    <s v="华日仓库中转"/>
    <d v="2021-03-01T00:00:00"/>
    <s v="NM"/>
    <s v="APR 21"/>
    <m/>
    <s v="JPY"/>
    <s v="C49SZX20210038SX"/>
    <x v="137"/>
    <s v="YSM10"/>
    <s v="R-&gt;L"/>
    <s v="MVC"/>
    <s v="WRONG"/>
    <s v="DAP SZ"/>
    <d v="2021-01-29T00:00:00"/>
    <x v="0"/>
    <m/>
    <m/>
    <m/>
    <s v="C200236775"/>
    <n v="301"/>
  </r>
  <r>
    <n v="874"/>
    <x v="0"/>
    <s v="C49"/>
    <s v="110151(拆分110270）"/>
    <s v="Stock order"/>
    <x v="1"/>
    <s v="R-&gt;L"/>
    <s v="No"/>
    <s v="Y54696"/>
    <n v="1"/>
    <s v="CY仓库"/>
    <d v="2021-03-04T00:00:00"/>
    <n v="6.3200000000000006E-2"/>
    <s v="MAR 21"/>
    <m/>
    <s v="JPY"/>
    <s v="C49SZX20200181SX"/>
    <x v="80"/>
    <s v="YSM10"/>
    <s v="L-&gt;R"/>
    <s v="No"/>
    <s v="WRONG"/>
    <s v="DAP SZ"/>
    <d v="2020-09-30T00:00:00"/>
    <x v="0"/>
    <m/>
    <m/>
    <m/>
    <s v="C171030541"/>
    <n v="301"/>
  </r>
  <r>
    <n v="875"/>
    <x v="0"/>
    <s v="C49"/>
    <s v="110151(拆分110270）"/>
    <s v="Stock order"/>
    <x v="1"/>
    <s v="R-&gt;L"/>
    <s v="No"/>
    <s v="Y54697"/>
    <n v="1"/>
    <s v="CY仓库"/>
    <d v="2021-03-04T00:00:00"/>
    <n v="6.3200000000000006E-2"/>
    <s v="MAR 21"/>
    <m/>
    <s v="JPY"/>
    <s v="C49SZX20200181SX"/>
    <x v="80"/>
    <s v="YSM10"/>
    <s v="L-&gt;R"/>
    <s v="No"/>
    <s v="WRONG"/>
    <s v="DAP SZ"/>
    <d v="2020-09-30T00:00:00"/>
    <x v="0"/>
    <m/>
    <m/>
    <m/>
    <s v="C171030541"/>
    <n v="301"/>
  </r>
  <r>
    <n v="981"/>
    <x v="0"/>
    <s v="C49"/>
    <n v="110151"/>
    <s v="Stock order"/>
    <x v="1"/>
    <s v="R-&gt;L"/>
    <s v="No"/>
    <s v="Y54694"/>
    <n v="1"/>
    <s v="CY仓库"/>
    <d v="2021-03-04T00:00:00"/>
    <s v="NM"/>
    <s v="MAR 21"/>
    <m/>
    <s v="JPY"/>
    <s v="C49SZX20200228JZ"/>
    <x v="132"/>
    <s v="YSM10"/>
    <s v="R-&gt;L"/>
    <s v="MVC"/>
    <s v="WRONG"/>
    <s v="DAP HZ"/>
    <d v="2020-11-26T00:00:00"/>
    <x v="0"/>
    <m/>
    <m/>
    <m/>
    <s v="C180933045"/>
    <n v="301"/>
  </r>
  <r>
    <n v="937"/>
    <x v="0"/>
    <s v="C49"/>
    <n v="110151"/>
    <s v="Stock order"/>
    <x v="1"/>
    <s v="R-&gt;L"/>
    <s v="No"/>
    <s v="Y54695"/>
    <n v="1"/>
    <s v="CY仓库"/>
    <d v="2021-03-04T00:00:00"/>
    <s v="NM"/>
    <s v="MAR 21"/>
    <m/>
    <s v="JPY"/>
    <s v="C49SZX20200212SX"/>
    <x v="248"/>
    <s v="YSM10"/>
    <s v="L-&gt;R"/>
    <s v="MVC+ANC"/>
    <s v="WRONG"/>
    <s v="DAP BJ"/>
    <d v="2020-11-14T00:00:00"/>
    <x v="0"/>
    <m/>
    <m/>
    <m/>
    <s v="C210239201"/>
    <n v="301"/>
  </r>
  <r>
    <n v="1016"/>
    <x v="0"/>
    <s v="C49"/>
    <n v="110151"/>
    <s v="Stock order"/>
    <x v="1"/>
    <s v="R-&gt;L"/>
    <s v="ATS15"/>
    <s v="Y54698"/>
    <n v="1"/>
    <s v="CY仓库"/>
    <d v="2021-03-04T00:00:00"/>
    <s v="NM"/>
    <s v="MAR 21"/>
    <m/>
    <s v="JPY"/>
    <s v="C49SZX20200239JL"/>
    <x v="236"/>
    <s v="YSM10"/>
    <s v="L-&gt;R"/>
    <s v="MVC+ATS15"/>
    <s v="WRONG"/>
    <s v="CIF HK"/>
    <d v="2020-12-09T00:00:00"/>
    <x v="0"/>
    <m/>
    <m/>
    <m/>
    <s v="C210339539"/>
    <n v="301"/>
  </r>
  <r>
    <n v="984"/>
    <x v="0"/>
    <s v="C49"/>
    <n v="110237"/>
    <s v="音品名义下单"/>
    <x v="1"/>
    <s v="R-&gt;L"/>
    <s v="MVC"/>
    <s v="Y55072"/>
    <n v="1"/>
    <s v="CY仓库"/>
    <d v="2021-03-04T00:00:00"/>
    <s v="NM"/>
    <s v="MAR 21"/>
    <m/>
    <s v="JPY"/>
    <s v="C49SZX20200231SX"/>
    <x v="65"/>
    <s v="YSM10"/>
    <s v="L-&gt;R"/>
    <s v="MVC"/>
    <s v="WRONG"/>
    <s v="DAP SZ"/>
    <d v="2020-11-30T00:00:00"/>
    <x v="0"/>
    <m/>
    <m/>
    <m/>
    <s v="C181133399"/>
    <n v="301"/>
  </r>
  <r>
    <n v="985"/>
    <x v="0"/>
    <s v="C49"/>
    <n v="110237"/>
    <s v="音品名义下单"/>
    <x v="1"/>
    <s v="R-&gt;L"/>
    <s v="MVC"/>
    <s v="Y55073"/>
    <n v="1"/>
    <s v="CY仓库"/>
    <d v="2021-03-04T00:00:00"/>
    <s v="NM"/>
    <s v="MAR 21"/>
    <m/>
    <s v="JPY"/>
    <s v="C49SZX20200231SX"/>
    <x v="65"/>
    <s v="YSM10"/>
    <s v="L-&gt;R"/>
    <s v="MVC"/>
    <s v="WRONG"/>
    <s v="DAP SZ"/>
    <d v="2020-11-30T00:00:00"/>
    <x v="0"/>
    <m/>
    <m/>
    <m/>
    <s v="C181133399"/>
    <n v="301"/>
  </r>
  <r>
    <n v="1031"/>
    <x v="0"/>
    <s v="C49"/>
    <n v="110237"/>
    <s v="音品名义下单"/>
    <x v="1"/>
    <s v="R-&gt;L"/>
    <s v="MVC+ATS15"/>
    <s v="Y55074"/>
    <n v="1"/>
    <s v="CY仓库"/>
    <d v="2021-03-04T00:00:00"/>
    <s v="NM"/>
    <s v="MAR 21"/>
    <m/>
    <s v="JPY"/>
    <s v="C49SZX20200243DZ"/>
    <x v="10"/>
    <s v="YSM10"/>
    <s v="R-&gt;L"/>
    <s v="MVC+ATS15"/>
    <s v="OK"/>
    <s v="CIF HK"/>
    <d v="2020-12-17T00:00:00"/>
    <x v="0"/>
    <m/>
    <m/>
    <m/>
    <s v="C170729808"/>
    <n v="311"/>
  </r>
  <r>
    <n v="1032"/>
    <x v="0"/>
    <s v="C49"/>
    <n v="110237"/>
    <s v="音品名义下单"/>
    <x v="1"/>
    <s v="R-&gt;L"/>
    <s v="MVC+ATS15"/>
    <s v="Y55075"/>
    <n v="1"/>
    <s v="CY仓库"/>
    <d v="2021-03-04T00:00:00"/>
    <s v="NM"/>
    <s v="MAR 21"/>
    <m/>
    <s v="JPY"/>
    <s v="C49SZX20200243DZ"/>
    <x v="10"/>
    <s v="YSM10"/>
    <s v="R-&gt;L"/>
    <s v="MVC+ATS15"/>
    <s v="OK"/>
    <s v="CIF HK"/>
    <d v="2020-12-17T00:00:00"/>
    <x v="0"/>
    <m/>
    <m/>
    <m/>
    <s v="C170729808"/>
    <n v="301"/>
  </r>
  <r>
    <n v="1033"/>
    <x v="0"/>
    <s v="C49"/>
    <n v="110237"/>
    <s v="音品名义下单"/>
    <x v="1"/>
    <s v="R-&gt;L"/>
    <s v="MVC+ATS15"/>
    <s v="Y55076"/>
    <n v="1"/>
    <s v="CY仓库"/>
    <d v="2021-03-04T00:00:00"/>
    <s v="NM"/>
    <s v="APR 21"/>
    <m/>
    <s v="JPY"/>
    <s v="C49SZX20200243DZ"/>
    <x v="10"/>
    <s v="YSM10"/>
    <s v="R-&gt;L"/>
    <s v="MVC+ATS15"/>
    <s v="OK"/>
    <s v="CIF HK"/>
    <d v="2020-12-17T00:00:00"/>
    <x v="0"/>
    <m/>
    <m/>
    <m/>
    <s v="C170729808"/>
    <n v="312"/>
  </r>
  <r>
    <n v="1019"/>
    <x v="0"/>
    <s v="C49"/>
    <n v="110251"/>
    <s v="Stock order"/>
    <x v="1"/>
    <s v="R-&gt;L"/>
    <s v="HM5+MVC+ATS15"/>
    <s v="Y54855"/>
    <n v="1"/>
    <s v="CY仓库"/>
    <d v="2021-03-04T00:00:00"/>
    <s v="NM"/>
    <s v="MAR 21"/>
    <m/>
    <s v="USD"/>
    <s v="ZS202012031533"/>
    <x v="199"/>
    <s v="YSM10-HM5"/>
    <s v="L-&gt;R"/>
    <s v="MVC+ATS15"/>
    <s v="WRONG"/>
    <s v="CIF HK"/>
    <d v="2020-12-03T00:00:00"/>
    <x v="0"/>
    <m/>
    <m/>
    <m/>
    <s v="C120612523"/>
    <n v="301"/>
  </r>
  <r>
    <n v="980"/>
    <x v="0"/>
    <s v="C49"/>
    <n v="110328"/>
    <s v="Stock order"/>
    <x v="12"/>
    <s v="R-&gt;L"/>
    <s v="MVC"/>
    <s v="Y54974"/>
    <n v="1"/>
    <s v="CY仓库"/>
    <d v="2021-03-04T00:00:00"/>
    <s v="NM"/>
    <s v="MAR 21"/>
    <m/>
    <s v="JPY"/>
    <s v="C49SZX20200228JZ"/>
    <x v="132"/>
    <s v="YSM20R-2"/>
    <s v="R-&gt;L"/>
    <s v="MVC"/>
    <s v="OK"/>
    <s v="DAP HZ"/>
    <d v="2020-11-26T00:00:00"/>
    <x v="0"/>
    <m/>
    <m/>
    <m/>
    <s v="C180933045"/>
    <n v="301"/>
  </r>
  <r>
    <n v="1020"/>
    <x v="0"/>
    <s v="C49"/>
    <n v="110176"/>
    <s v="Stock order(reserved by Leader Tech)"/>
    <x v="12"/>
    <s v="L-&gt;R"/>
    <s v="No"/>
    <s v="Y54391"/>
    <n v="1"/>
    <s v="CY仓库"/>
    <d v="2021-03-04T00:00:00"/>
    <s v="NM"/>
    <s v="MAR 21"/>
    <m/>
    <s v="JPY"/>
    <s v="C49SZX20200245MZ"/>
    <x v="249"/>
    <s v="YSM20R-2"/>
    <s v="L-&gt;R"/>
    <s v="MVC"/>
    <s v="WRONG"/>
    <s v="DAP FS"/>
    <d v="2020-12-14T00:00:00"/>
    <x v="0"/>
    <m/>
    <m/>
    <m/>
    <s v="C210339444"/>
    <n v="302"/>
  </r>
  <r>
    <n v="982"/>
    <x v="0"/>
    <s v="C49"/>
    <n v="110176"/>
    <s v="Stock order(reserved by Leader Tech)"/>
    <x v="12"/>
    <s v="R-&gt;L"/>
    <s v="No"/>
    <s v="Y54392"/>
    <n v="1"/>
    <s v="CY仓库"/>
    <d v="2021-03-04T00:00:00"/>
    <s v="NM"/>
    <s v="MAR 21"/>
    <m/>
    <s v="JPY"/>
    <s v="C49SZX20200218JZ"/>
    <x v="92"/>
    <s v="YSM20R-2"/>
    <s v="R-&gt;L"/>
    <s v="No"/>
    <s v="OK"/>
    <s v="DAP SZ"/>
    <d v="2020-11-27T00:00:00"/>
    <x v="0"/>
    <m/>
    <m/>
    <m/>
    <s v="C11048457"/>
    <n v="302"/>
  </r>
  <r>
    <n v="1120"/>
    <x v="0"/>
    <s v="C49"/>
    <n v="110176"/>
    <s v="Stock order(reserved by Leader Tech)"/>
    <x v="12"/>
    <s v="R-&gt;L"/>
    <s v="No"/>
    <s v="Y54393"/>
    <n v="1"/>
    <s v="CY仓库"/>
    <d v="2021-03-04T00:00:00"/>
    <s v="NM"/>
    <s v="MAR 21"/>
    <m/>
    <s v="JPY"/>
    <s v="C49SZX20210011JY"/>
    <x v="156"/>
    <s v="YSM20R-2"/>
    <s v="R-&gt;L"/>
    <s v="No"/>
    <s v="OK"/>
    <s v="CIF HK"/>
    <d v="2021-01-26T00:00:00"/>
    <x v="0"/>
    <m/>
    <m/>
    <m/>
    <s v="C210239312"/>
    <n v="302"/>
  </r>
  <r>
    <n v="979"/>
    <x v="0"/>
    <s v="C49"/>
    <n v="110176"/>
    <s v="Stock order(reserved by Leader Tech)"/>
    <x v="12"/>
    <s v="L-&gt;R"/>
    <s v="No"/>
    <s v="Y54394"/>
    <n v="1"/>
    <s v="CY仓库"/>
    <d v="2021-03-04T00:00:00"/>
    <s v="NM"/>
    <s v="MAR 21"/>
    <m/>
    <s v="JPY"/>
    <s v="C49SZX20200228JZ"/>
    <x v="132"/>
    <s v="YSM20R-2"/>
    <s v="L-&gt;R"/>
    <s v="No"/>
    <s v="OK"/>
    <s v="DAP HZ"/>
    <d v="2020-11-26T00:00:00"/>
    <x v="0"/>
    <m/>
    <m/>
    <m/>
    <s v="C180933045"/>
    <n v="302"/>
  </r>
  <r>
    <n v="1042"/>
    <x v="0"/>
    <s v="C49"/>
    <n v="110176"/>
    <s v="Stock order(reserved by Leader Tech)"/>
    <x v="12"/>
    <s v="L-&gt;R"/>
    <s v="No"/>
    <s v="Y54395"/>
    <n v="1"/>
    <s v="CY仓库"/>
    <d v="2021-03-04T00:00:00"/>
    <s v="NM"/>
    <s v="MAR 21"/>
    <m/>
    <s v="JPY"/>
    <s v="C49SZX20200247MZ"/>
    <x v="90"/>
    <s v="YSM20R-2"/>
    <s v="L-&gt;R"/>
    <s v="MVC"/>
    <s v="WRONG"/>
    <s v="CIF HK"/>
    <d v="2020-12-18T00:00:00"/>
    <x v="0"/>
    <m/>
    <m/>
    <m/>
    <s v="C210139083"/>
    <n v="302"/>
  </r>
  <r>
    <n v="992"/>
    <x v="0"/>
    <s v="C49"/>
    <n v="110297"/>
    <s v="STK"/>
    <x v="1"/>
    <s v="R-&gt;L"/>
    <s v="96 FEEDER PLATE (YSM10) "/>
    <s v="Y55289"/>
    <n v="1"/>
    <s v="CY仓库"/>
    <d v="2021-03-13T00:00:00"/>
    <s v="TBA"/>
    <s v="MAR 21"/>
    <m/>
    <s v="JPY"/>
    <s v="C49SZX20200237SX"/>
    <x v="245"/>
    <s v="YSM10"/>
    <s v="L-&gt;R"/>
    <s v="Rear站位"/>
    <s v="WRONG"/>
    <s v="DAP SZ"/>
    <d v="2020-12-08T00:00:00"/>
    <x v="0"/>
    <m/>
    <m/>
    <m/>
    <s v="C210239298"/>
    <m/>
  </r>
  <r>
    <n v="1277"/>
    <x v="0"/>
    <s v="C49"/>
    <n v="110152"/>
    <s v="Stock order"/>
    <x v="12"/>
    <s v="R-&gt;L"/>
    <s v="MVC"/>
    <s v="Y54975"/>
    <n v="1"/>
    <s v="盐保仓库"/>
    <d v="2021-03-26T00:00:00"/>
    <s v="NM"/>
    <s v="MAY 21"/>
    <m/>
    <s v="JPY"/>
    <s v="C49SZX20210039JZ"/>
    <x v="12"/>
    <s v="YSM20R-2"/>
    <s v="R-&gt;L"/>
    <s v="No"/>
    <s v="WRONG"/>
    <s v="DAP SZ"/>
    <d v="2021-03-23T00:00:00"/>
    <x v="0"/>
    <m/>
    <m/>
    <m/>
    <s v="C210239270"/>
    <n v="301"/>
  </r>
  <r>
    <n v="1112"/>
    <x v="0"/>
    <s v="C49"/>
    <n v="110152"/>
    <s v="Stock order"/>
    <x v="12"/>
    <s v="L-&gt;R"/>
    <s v="MVC"/>
    <s v="Y54976"/>
    <n v="1"/>
    <s v="盐保仓库"/>
    <d v="2021-03-26T00:00:00"/>
    <s v="NM"/>
    <s v="MAR 21"/>
    <m/>
    <s v="JPY"/>
    <s v="C49SZX20210032JL"/>
    <x v="100"/>
    <s v="YSM20R-2"/>
    <s v="L-&gt;R"/>
    <s v="MVC"/>
    <s v="OK"/>
    <s v="DAP SZ"/>
    <d v="2021-01-29T00:00:00"/>
    <x v="0"/>
    <m/>
    <m/>
    <m/>
    <s v="C170629728"/>
    <n v="301"/>
  </r>
  <r>
    <n v="1113"/>
    <x v="0"/>
    <s v="C49"/>
    <n v="110152"/>
    <s v="Stock order"/>
    <x v="12"/>
    <s v="L-&gt;R"/>
    <s v="No"/>
    <s v="Y54977"/>
    <n v="1"/>
    <s v="盐保仓库"/>
    <d v="2021-03-26T00:00:00"/>
    <s v="NM"/>
    <s v="MAR 21"/>
    <m/>
    <s v="JPY"/>
    <s v="C49SZX20210032JL"/>
    <x v="100"/>
    <s v="YSM20R-2"/>
    <s v="L-&gt;R"/>
    <s v="MVC"/>
    <s v="WRONG"/>
    <s v="DAP SZ"/>
    <d v="2021-01-29T00:00:00"/>
    <x v="0"/>
    <m/>
    <m/>
    <m/>
    <s v="C170629728"/>
    <n v="301"/>
  </r>
  <r>
    <n v="987"/>
    <x v="0"/>
    <s v="C49"/>
    <n v="110152"/>
    <s v="Stock order"/>
    <x v="12"/>
    <s v="L-&gt;R"/>
    <s v="cATS10+MVC+special layout"/>
    <s v="Y54978"/>
    <n v="1"/>
    <s v="盐保仓库"/>
    <d v="2021-03-26T00:00:00"/>
    <s v="NM"/>
    <s v="MAR 21"/>
    <m/>
    <s v="JPY"/>
    <s v="C49SZX20200232SX"/>
    <x v="20"/>
    <s v="YSM20R-2"/>
    <s v="L-&gt;R"/>
    <s v="cATS10+MVC"/>
    <s v="WRONG"/>
    <s v="DAP SZ"/>
    <d v="2020-12-01T00:00:00"/>
    <x v="0"/>
    <m/>
    <m/>
    <m/>
    <s v="C180532243"/>
    <n v="301"/>
  </r>
  <r>
    <n v="1048"/>
    <x v="0"/>
    <s v="C49"/>
    <n v="110238"/>
    <s v="Stock order"/>
    <x v="1"/>
    <s v="R-&gt;L"/>
    <s v="MVC"/>
    <s v="Y55162"/>
    <n v="1"/>
    <s v="CY仓库"/>
    <d v="2021-03-26T00:00:00"/>
    <s v="NM"/>
    <s v="APR 21"/>
    <m/>
    <s v="JPY"/>
    <s v="C49SZX20200257JY"/>
    <x v="228"/>
    <s v="YSM10"/>
    <s v="L-&gt;R"/>
    <s v="MVC"/>
    <s v="WRONG"/>
    <s v="DAP SZ"/>
    <d v="2020-12-28T00:00:00"/>
    <x v="0"/>
    <m/>
    <m/>
    <m/>
    <s v="C210139127"/>
    <n v="311"/>
  </r>
  <r>
    <n v="1059"/>
    <x v="0"/>
    <s v="C49"/>
    <n v="110238"/>
    <s v="Stock order"/>
    <x v="1"/>
    <s v="R-&gt;L"/>
    <s v="MVC"/>
    <s v="Y55163"/>
    <n v="1"/>
    <s v="CY仓库"/>
    <d v="2021-03-26T00:00:00"/>
    <s v="NM"/>
    <s v="APR 21"/>
    <m/>
    <s v="JPY"/>
    <s v="C49SZX20210005SX"/>
    <x v="250"/>
    <s v="YSM10"/>
    <s v="L-&gt;R"/>
    <s v="MVC"/>
    <s v="WRONG"/>
    <s v="DAP SZ"/>
    <d v="2021-01-06T00:00:00"/>
    <x v="0"/>
    <m/>
    <m/>
    <m/>
    <s v="C210439784"/>
    <n v="311"/>
  </r>
  <r>
    <n v="1034"/>
    <x v="0"/>
    <s v="C49"/>
    <n v="110238"/>
    <s v="Stock order"/>
    <x v="1"/>
    <s v="R-&gt;L"/>
    <s v="No"/>
    <s v="Y55164"/>
    <n v="1"/>
    <s v="CY仓库"/>
    <d v="2021-03-26T00:00:00"/>
    <s v="NM"/>
    <s v="AP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035"/>
    <x v="0"/>
    <s v="C49"/>
    <n v="110238"/>
    <s v="Stock order"/>
    <x v="1"/>
    <s v="R-&gt;L"/>
    <s v="No"/>
    <s v="Y55165"/>
    <n v="1"/>
    <s v="CY仓库"/>
    <d v="2021-03-26T00:00:00"/>
    <s v="NM"/>
    <s v="AP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036"/>
    <x v="0"/>
    <s v="C49"/>
    <n v="110238"/>
    <s v="Stock order"/>
    <x v="1"/>
    <s v="R-&gt;L"/>
    <s v="No"/>
    <s v="Y55166"/>
    <n v="1"/>
    <s v="CY仓库"/>
    <d v="2021-03-26T00:00:00"/>
    <s v="NM"/>
    <s v="AP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142"/>
    <x v="0"/>
    <s v="C49"/>
    <n v="110238"/>
    <s v="Stock order"/>
    <x v="1"/>
    <s v="R-&gt;L"/>
    <s v="No"/>
    <s v="Y55167"/>
    <n v="1"/>
    <s v="盐保仓库"/>
    <d v="2021-03-26T00:00:00"/>
    <s v="NM"/>
    <s v="APR 21"/>
    <m/>
    <s v="JPY"/>
    <s v="C49SZX20210050SX"/>
    <x v="223"/>
    <s v="YSM10"/>
    <s v="R-&gt;L"/>
    <s v="MVC"/>
    <s v="WRONG"/>
    <s v="DAP SZ"/>
    <d v="2021-02-07T00:00:00"/>
    <x v="0"/>
    <m/>
    <m/>
    <m/>
    <s v="C210339637"/>
    <n v="301"/>
  </r>
  <r>
    <n v="738"/>
    <x v="0"/>
    <s v="C49"/>
    <n v="110238"/>
    <s v="Stock order"/>
    <x v="1"/>
    <s v="R-&gt;L"/>
    <s v="No"/>
    <s v="Y55168"/>
    <n v="1"/>
    <s v="盐保仓库"/>
    <d v="2021-03-26T00:00:00"/>
    <s v="NM"/>
    <s v="MAR 21"/>
    <m/>
    <s v="JPY"/>
    <s v="C49SZX20200093R1SS"/>
    <x v="144"/>
    <s v="YSM10"/>
    <s v="L-&gt;R"/>
    <s v="No"/>
    <s v="WRONG"/>
    <s v="DAP SZ"/>
    <d v="2021-02-02T00:00:00"/>
    <x v="0"/>
    <m/>
    <m/>
    <m/>
    <s v="C210439993"/>
    <n v="301"/>
  </r>
  <r>
    <n v="1367"/>
    <x v="0"/>
    <s v="C49"/>
    <n v="110238"/>
    <s v="Stock order"/>
    <x v="1"/>
    <s v="R-&gt;L"/>
    <s v="No"/>
    <s v="Y55169"/>
    <n v="1"/>
    <s v="盐保仓库"/>
    <d v="2021-03-26T00:00:00"/>
    <s v="NM"/>
    <s v="MAY 21"/>
    <m/>
    <s v="JPY"/>
    <s v="C49SZX20210140DZ"/>
    <x v="89"/>
    <s v="YSM10"/>
    <s v="L-&gt;R"/>
    <s v="MVC"/>
    <s v="WRONG"/>
    <s v="DAP GZ"/>
    <d v="2021-05-11T00:00:00"/>
    <x v="0"/>
    <m/>
    <m/>
    <m/>
    <s v="C161128121"/>
    <n v="301"/>
  </r>
  <r>
    <s v="上海预留.."/>
    <x v="0"/>
    <s v="C49"/>
    <n v="110238"/>
    <s v="Stock order"/>
    <x v="1"/>
    <s v="R-&gt;L"/>
    <s v="MVC+ATS15"/>
    <s v="Y55174"/>
    <n v="1"/>
    <s v="华日仓库中转"/>
    <d v="2021-03-26T00:00:00"/>
    <s v="NM(CR:0.0621"/>
    <m/>
    <m/>
    <s v="RMB"/>
    <s v="C49SHA20210326"/>
    <x v="251"/>
    <s v="YSM10"/>
    <s v="L-&gt;R"/>
    <s v="MVC+ATS15"/>
    <s v="WRONG"/>
    <e v="#N/A"/>
    <e v="#N/A"/>
    <x v="0"/>
    <m/>
    <m/>
    <m/>
    <s v="Yes"/>
    <n v="301"/>
  </r>
  <r>
    <n v="1399"/>
    <x v="0"/>
    <s v="C49"/>
    <n v="110238"/>
    <s v="Stock order"/>
    <x v="1"/>
    <s v="R-&gt;L"/>
    <s v="MVC+ATS15"/>
    <s v="Y55175"/>
    <n v="1"/>
    <s v="力合仓库(已经清关)"/>
    <d v="2021-03-26T00:00:00"/>
    <s v="0.0606，PO用110430"/>
    <s v="JUL 21"/>
    <m/>
    <s v="JPY"/>
    <s v="C49SZX20210144VG"/>
    <x v="252"/>
    <s v="YSM10"/>
    <s v="L-&gt;R"/>
    <s v="MVC+ATS15"/>
    <s v="WRONG"/>
    <s v="DAP SZ"/>
    <d v="2021-05-28T00:00:00"/>
    <x v="0"/>
    <m/>
    <m/>
    <m/>
    <s v="C210740683"/>
    <n v="301"/>
  </r>
  <r>
    <n v="1047"/>
    <x v="0"/>
    <s v="C49"/>
    <n v="110153"/>
    <s v="Stock order"/>
    <x v="12"/>
    <s v="L-&gt;R"/>
    <s v="No"/>
    <s v="Y54979"/>
    <n v="1"/>
    <s v="盐保仓库"/>
    <d v="2021-03-29T00:00:00"/>
    <s v="NM"/>
    <s v="APR 21"/>
    <m/>
    <s v="JPY"/>
    <s v="C49SZX20200257JY"/>
    <x v="228"/>
    <s v="YSM20R-2"/>
    <s v="L-&gt;R"/>
    <s v="No"/>
    <s v="OK"/>
    <s v="DAP SZ"/>
    <d v="2020-12-28T00:00:00"/>
    <x v="0"/>
    <m/>
    <m/>
    <m/>
    <s v="C210139127"/>
    <n v="301"/>
  </r>
  <r>
    <n v="1057"/>
    <x v="0"/>
    <s v="C49"/>
    <n v="110153"/>
    <s v="Stock order"/>
    <x v="12"/>
    <s v="L-&gt;R"/>
    <s v="No"/>
    <s v="Y54980"/>
    <n v="1"/>
    <s v="盐保仓库"/>
    <d v="2021-03-29T00:00:00"/>
    <s v="NM"/>
    <s v="APR 21"/>
    <m/>
    <s v="JPY"/>
    <s v="C49SZX20210001SS"/>
    <x v="157"/>
    <s v="YSM20R-2"/>
    <s v="L-&gt;R"/>
    <s v="No"/>
    <s v="OK"/>
    <s v="DAP SZ"/>
    <d v="2020-12-31T00:00:00"/>
    <x v="0"/>
    <m/>
    <m/>
    <m/>
    <s v="C200236762"/>
    <n v="301"/>
  </r>
  <r>
    <n v="1046"/>
    <x v="0"/>
    <s v="C49"/>
    <n v="110153"/>
    <s v="Stock order"/>
    <x v="12"/>
    <s v="L-&gt;R"/>
    <s v="No"/>
    <s v="Y54981"/>
    <n v="1"/>
    <s v="盐保仓库"/>
    <d v="2021-03-29T00:00:00"/>
    <s v="NM"/>
    <s v="APR 21"/>
    <m/>
    <s v="JPY"/>
    <s v="C49SZX20200257JY"/>
    <x v="228"/>
    <s v="YSM20R-2"/>
    <s v="L-&gt;R"/>
    <s v="No"/>
    <s v="OK"/>
    <s v="DAP SZ"/>
    <d v="2020-12-28T00:00:00"/>
    <x v="0"/>
    <m/>
    <m/>
    <m/>
    <s v="C210139127"/>
    <n v="301"/>
  </r>
  <r>
    <n v="1168"/>
    <x v="0"/>
    <s v="C49"/>
    <n v="110153"/>
    <s v="Stock order"/>
    <x v="12"/>
    <s v="L-&gt;R"/>
    <s v="No"/>
    <s v="Y54982"/>
    <n v="1"/>
    <s v="盐保仓库"/>
    <d v="2021-03-29T00:00:00"/>
    <s v="NM"/>
    <s v="APR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018"/>
    <x v="0"/>
    <s v="C49"/>
    <n v="110153"/>
    <s v="Stock order"/>
    <x v="12"/>
    <s v="L-&gt;R"/>
    <s v="No"/>
    <s v="Y54983"/>
    <n v="1"/>
    <s v="盐保仓库"/>
    <d v="2021-03-29T00:00:00"/>
    <s v="NM"/>
    <s v="APR 21"/>
    <m/>
    <s v="JPY"/>
    <s v="C49SZX20200240MZ"/>
    <x v="253"/>
    <s v="YSM20R-2"/>
    <s v="L-&gt;R"/>
    <s v="No"/>
    <s v="OK"/>
    <s v="DAP SZ"/>
    <d v="2020-12-09T00:00:00"/>
    <x v="0"/>
    <m/>
    <m/>
    <m/>
    <s v="C210139105"/>
    <n v="301"/>
  </r>
  <r>
    <n v="1141"/>
    <x v="0"/>
    <s v="C49"/>
    <n v="110212"/>
    <s v="Stock order"/>
    <x v="12"/>
    <s v="R-&gt;L"/>
    <s v="No"/>
    <s v="Y55398"/>
    <n v="1"/>
    <s v="盐保仓库"/>
    <d v="2021-03-29T00:00:00"/>
    <s v="NM"/>
    <s v="APR 21"/>
    <m/>
    <s v="JPY"/>
    <s v="C49SZX20210050SX"/>
    <x v="223"/>
    <s v="YSM20R-2"/>
    <s v="R-&gt;L"/>
    <s v="No"/>
    <s v="OK"/>
    <s v="DAP SZ"/>
    <d v="2021-02-07T00:00:00"/>
    <x v="0"/>
    <m/>
    <m/>
    <m/>
    <s v="C210339637"/>
    <n v="301"/>
  </r>
  <r>
    <n v="1044"/>
    <x v="0"/>
    <s v="C49"/>
    <n v="110212"/>
    <s v="Stock order"/>
    <x v="12"/>
    <s v="R-&gt;L"/>
    <s v="No"/>
    <s v="Y55399"/>
    <n v="1"/>
    <s v="华日仓库中转"/>
    <d v="2021-03-29T00:00:00"/>
    <s v="NM"/>
    <s v="APR 21"/>
    <m/>
    <s v="JPY"/>
    <s v="C49SZX20200249SX"/>
    <x v="19"/>
    <s v="YSM20R-2"/>
    <s v="R-&gt;L"/>
    <s v="No"/>
    <s v="OK"/>
    <s v="DAP SZ"/>
    <d v="2020-12-25T00:00:00"/>
    <x v="0"/>
    <m/>
    <m/>
    <m/>
    <s v="C180331698"/>
    <n v="301"/>
  </r>
  <r>
    <n v="1140"/>
    <x v="0"/>
    <s v="C49"/>
    <n v="110212"/>
    <s v="Stock order"/>
    <x v="12"/>
    <s v="L-&gt;R"/>
    <s v="cATS10+special layout"/>
    <s v="Y55400，不能调动"/>
    <n v="1"/>
    <s v="盐保仓库"/>
    <d v="2021-03-29T00:00:00"/>
    <s v="NM"/>
    <s v="APR 21"/>
    <m/>
    <s v="JPY"/>
    <s v="C49SZX20210126DZ"/>
    <x v="254"/>
    <s v="YSM20R-2"/>
    <s v="L-&gt;R"/>
    <s v="cATS10+MVC+special layout"/>
    <s v="WRONG"/>
    <s v="CIF HK"/>
    <d v="2021-02-06T00:00:00"/>
    <x v="0"/>
    <m/>
    <m/>
    <m/>
    <s v="C190334211"/>
    <n v="301"/>
  </r>
  <r>
    <n v="1167"/>
    <x v="0"/>
    <s v="C49"/>
    <n v="110212"/>
    <s v="Stock order"/>
    <x v="12"/>
    <s v="L-&gt;R"/>
    <s v="No"/>
    <s v="Y55401"/>
    <n v="1"/>
    <s v="盐保仓库"/>
    <d v="2021-03-29T00:00:00"/>
    <s v="NM"/>
    <s v="APR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173"/>
    <x v="0"/>
    <s v="C49"/>
    <n v="110212"/>
    <s v="Stock order"/>
    <x v="12"/>
    <s v="L-&gt;R"/>
    <s v="No"/>
    <s v="Y55402"/>
    <n v="1"/>
    <s v="盐保仓库"/>
    <d v="2021-03-29T00:00:00"/>
    <s v="NM"/>
    <s v="APR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279"/>
    <x v="0"/>
    <s v="C49"/>
    <n v="110212"/>
    <s v="Stock order"/>
    <x v="12"/>
    <s v="L-&gt;R"/>
    <s v="No"/>
    <s v="Y55403"/>
    <n v="1"/>
    <s v="华日仓库中转"/>
    <d v="2021-03-29T00:00:00"/>
    <s v="NM"/>
    <s v="APR 21"/>
    <m/>
    <s v="JPY"/>
    <s v="C49SZX20210077JY"/>
    <x v="107"/>
    <s v="YSM20R-2"/>
    <s v="L-&gt;R"/>
    <s v="No"/>
    <s v="OK"/>
    <s v="DAP HZ"/>
    <d v="2021-03-17T00:00:00"/>
    <x v="0"/>
    <m/>
    <m/>
    <m/>
    <s v="C200437179"/>
    <n v="301"/>
  </r>
  <r>
    <n v="1137"/>
    <x v="0"/>
    <s v="C49"/>
    <n v="110348"/>
    <s v="Stock order"/>
    <x v="1"/>
    <s v="R-&gt;L"/>
    <s v="No"/>
    <s v="Y55170"/>
    <n v="1"/>
    <s v="盐保仓库"/>
    <d v="2021-04-01T00:00:00"/>
    <s v="NM"/>
    <s v="MAY 21"/>
    <m/>
    <s v="JPY"/>
    <s v="C49SZX20210045SX"/>
    <x v="255"/>
    <s v="YSM10"/>
    <s v="L-&gt;R"/>
    <s v="MVC"/>
    <s v="WRONG"/>
    <s v="DAP SZ"/>
    <d v="2021-02-04T00:00:00"/>
    <x v="0"/>
    <m/>
    <m/>
    <m/>
    <s v="C190434521"/>
    <n v="301"/>
  </r>
  <r>
    <s v="上海预留…"/>
    <x v="0"/>
    <s v="C49"/>
    <n v="110348"/>
    <s v="Stock order"/>
    <x v="1"/>
    <s v="R-&gt;L"/>
    <s v="MVC+ATS15"/>
    <s v="Y55176"/>
    <n v="1"/>
    <s v="力合仓库(已经清关)"/>
    <d v="2021-04-01T00:00:00"/>
    <s v="NM"/>
    <s v="MAY 21"/>
    <m/>
    <s v="RMB"/>
    <s v="C49SHA20210422/ZQR"/>
    <x v="256"/>
    <s v="YSM10"/>
    <s v="L-&gt;R"/>
    <s v="MVC+ATS15"/>
    <s v="WRONG"/>
    <e v="#N/A"/>
    <e v="#N/A"/>
    <x v="1"/>
    <m/>
    <m/>
    <m/>
    <s v="YES"/>
    <n v="301"/>
  </r>
  <r>
    <n v="1136"/>
    <x v="0"/>
    <s v="C49"/>
    <s v="110348(拆单110364)"/>
    <s v="Stock order"/>
    <x v="1"/>
    <s v="R-&gt;L"/>
    <s v="No"/>
    <s v="Y55171"/>
    <n v="1"/>
    <s v="盐保仓库"/>
    <d v="2021-04-01T00:00:00"/>
    <s v="NM PO用110347"/>
    <s v="MAY 21"/>
    <m/>
    <s v="JPY"/>
    <s v="C49SZX20210045SX"/>
    <x v="255"/>
    <s v="YSM10"/>
    <s v="L-&gt;R"/>
    <s v="MVC"/>
    <s v="WRONG"/>
    <s v="DAP SZ"/>
    <d v="2021-02-04T00:00:00"/>
    <x v="0"/>
    <m/>
    <m/>
    <m/>
    <s v="C190434521"/>
    <n v="301"/>
  </r>
  <r>
    <n v="1258"/>
    <x v="0"/>
    <s v="C49"/>
    <n v="110348"/>
    <s v="Stock order"/>
    <x v="1"/>
    <s v="R-&gt;L"/>
    <s v="No"/>
    <s v="Y55172"/>
    <n v="1"/>
    <s v="盐保仓库"/>
    <d v="2021-04-01T00:00:00"/>
    <s v="NM"/>
    <s v="JUN 21"/>
    <m/>
    <s v="JPY"/>
    <s v="C49SZX20210081MZ"/>
    <x v="90"/>
    <s v="YSM10"/>
    <s v="L-&gt;R"/>
    <s v="No"/>
    <s v="WRONG"/>
    <s v="CIF HK"/>
    <d v="2021-03-13T00:00:00"/>
    <x v="0"/>
    <m/>
    <m/>
    <m/>
    <s v="C210439739"/>
    <n v="301"/>
  </r>
  <r>
    <n v="1280"/>
    <x v="0"/>
    <s v="C49"/>
    <n v="110348"/>
    <s v="Stock order"/>
    <x v="1"/>
    <s v="R-&gt;L"/>
    <s v="No"/>
    <s v="Y55173"/>
    <n v="1"/>
    <s v="华日仓库中转"/>
    <d v="2021-04-01T00:00:00"/>
    <s v="NM"/>
    <s v="APR 21"/>
    <m/>
    <s v="JPY"/>
    <s v="C49SZX20210077JY"/>
    <x v="107"/>
    <s v="YSM10"/>
    <s v="L-&gt;R"/>
    <s v="MVC"/>
    <s v="WRONG"/>
    <s v="DAP HZ"/>
    <d v="2021-03-17T00:00:00"/>
    <x v="0"/>
    <m/>
    <m/>
    <m/>
    <s v="C200437179"/>
    <n v="301"/>
  </r>
  <r>
    <n v="1255"/>
    <x v="0"/>
    <s v="C49"/>
    <s v="110347(拆单110339)"/>
    <s v="Stock order"/>
    <x v="1"/>
    <s v="R-&gt;L"/>
    <s v="No"/>
    <s v="Y55423"/>
    <n v="1"/>
    <s v="力合中转仓"/>
    <d v="2021-04-01T00:00:00"/>
    <s v="NM，PO用110348"/>
    <s v="APR 21"/>
    <m/>
    <s v="JPY"/>
    <s v="C49SZX20210079EC"/>
    <x v="121"/>
    <s v="YSM10"/>
    <s v="L-&gt;R"/>
    <s v="MVC"/>
    <s v="WRONG"/>
    <s v="DAP DG"/>
    <d v="2021-03-12T00:00:00"/>
    <x v="0"/>
    <m/>
    <m/>
    <m/>
    <s v="C210439833"/>
    <n v="301"/>
  </r>
  <r>
    <n v="1162"/>
    <x v="0"/>
    <s v="C49"/>
    <n v="110347"/>
    <s v="Stock order"/>
    <x v="1"/>
    <s v="R-&gt;L"/>
    <s v="No"/>
    <s v="Y55424"/>
    <n v="1"/>
    <s v="力合仓库(已经清关)"/>
    <d v="2021-04-01T00:00:00"/>
    <s v="0.0605  PO用110364"/>
    <s v="APR 21"/>
    <m/>
    <s v="RMB"/>
    <s v="C49SZX20210047JL"/>
    <x v="147"/>
    <s v="YSM10"/>
    <s v="L-&gt;R"/>
    <s v="MVC"/>
    <s v="WRONG"/>
    <s v="含税到厂"/>
    <d v="2021-02-22T00:00:00"/>
    <x v="0"/>
    <m/>
    <m/>
    <m/>
    <s v="C191136061"/>
    <n v="301"/>
  </r>
  <r>
    <n v="991"/>
    <x v="0"/>
    <s v="C49"/>
    <s v="110347(拆单110337)"/>
    <s v="Stock order"/>
    <x v="1"/>
    <s v="R-&gt;L"/>
    <s v="No"/>
    <s v="Y55425"/>
    <n v="1"/>
    <s v="力合仓库(已经清关)"/>
    <d v="2021-04-01T00:00:00"/>
    <n v="6.2300000000000001E-2"/>
    <s v="MAY 21"/>
    <m/>
    <s v="RMB"/>
    <s v="C49SZX20200080DY"/>
    <x v="235"/>
    <s v="YSM10"/>
    <s v="L-&gt;R"/>
    <s v="MVC"/>
    <s v="WRONG"/>
    <s v="含税到厂"/>
    <d v="2020-12-08T00:00:00"/>
    <x v="0"/>
    <m/>
    <m/>
    <m/>
    <s v="C210139036"/>
    <n v="301"/>
  </r>
  <r>
    <n v="1040"/>
    <x v="0"/>
    <s v="C49"/>
    <s v="110347(拆单110337)"/>
    <s v="Stock order"/>
    <x v="1"/>
    <s v="R-&gt;L"/>
    <s v="No"/>
    <s v="Y55426"/>
    <n v="1"/>
    <s v="力合仓库(已经清关)"/>
    <d v="2021-04-01T00:00:00"/>
    <n v="6.2300000000000001E-2"/>
    <s v="APR 21"/>
    <m/>
    <s v="RMB"/>
    <s v="C49SZX20200248SX"/>
    <x v="99"/>
    <s v="YSM10"/>
    <s v="L-&gt;R"/>
    <s v="MVC"/>
    <s v="WRONG"/>
    <s v="含税到厂"/>
    <d v="2020-12-18T00:00:00"/>
    <x v="0"/>
    <m/>
    <m/>
    <m/>
    <s v="C191035936"/>
    <n v="301"/>
  </r>
  <r>
    <n v="1041"/>
    <x v="0"/>
    <s v="C49"/>
    <s v="110347(拆单110339)"/>
    <s v="Stock order"/>
    <x v="1"/>
    <s v="R-&gt;L"/>
    <s v="No"/>
    <s v="Y55427"/>
    <n v="1"/>
    <s v="力合仓库(已经清关)"/>
    <d v="2021-04-01T00:00:00"/>
    <n v="6.2300000000000001E-2"/>
    <s v="APR 21"/>
    <m/>
    <s v="RMB"/>
    <s v="C49SZX20200248SX"/>
    <x v="99"/>
    <s v="YSM10"/>
    <s v="L-&gt;R"/>
    <s v="MVC"/>
    <s v="WRONG"/>
    <s v="含税到厂"/>
    <d v="2020-12-18T00:00:00"/>
    <x v="0"/>
    <m/>
    <m/>
    <m/>
    <s v="C191035936"/>
    <n v="301"/>
  </r>
  <r>
    <n v="739"/>
    <x v="0"/>
    <s v="C49"/>
    <n v="110274"/>
    <s v="平方兆赫名义下单"/>
    <x v="0"/>
    <s v="L-&gt;R"/>
    <s v="No"/>
    <s v="Y55408"/>
    <n v="1"/>
    <s v="CY仓库"/>
    <d v="2021-04-14T00:00:00"/>
    <s v="NM"/>
    <s v="APR 21"/>
    <m/>
    <s v="JPY"/>
    <s v="C49SZX20210028DZ"/>
    <x v="198"/>
    <s v="YSM40R-4"/>
    <s v="L-&gt;R"/>
    <s v="No"/>
    <s v="OK"/>
    <s v="CIF HK"/>
    <d v="2021-03-10T00:00:00"/>
    <x v="0"/>
    <m/>
    <m/>
    <m/>
    <s v="YES"/>
    <m/>
  </r>
  <r>
    <n v="1058"/>
    <x v="0"/>
    <s v="C49"/>
    <n v="110272"/>
    <s v="精德鸿名义下单"/>
    <x v="12"/>
    <s v="L-&gt;R"/>
    <s v="No"/>
    <s v="Y55697"/>
    <n v="1"/>
    <s v="盐保仓库"/>
    <d v="2021-04-19T00:00:00"/>
    <s v="NM"/>
    <s v="APR 21"/>
    <m/>
    <s v="JPY"/>
    <s v="C49SZX20210002SX"/>
    <x v="16"/>
    <s v="YSM20R-2"/>
    <s v="L-&gt;R"/>
    <s v="No"/>
    <s v="OK"/>
    <s v="DAP SZ"/>
    <d v="2021-01-04T00:00:00"/>
    <x v="0"/>
    <m/>
    <m/>
    <m/>
    <s v="C180732624"/>
    <n v="301"/>
  </r>
  <r>
    <n v="1139"/>
    <x v="0"/>
    <s v="C49"/>
    <n v="110272"/>
    <s v="精德鸿名义下单"/>
    <x v="12"/>
    <s v="L-&gt;R"/>
    <s v="No"/>
    <s v="Y55698，不能调动"/>
    <n v="1"/>
    <s v="盐保仓库"/>
    <d v="2021-04-19T00:00:00"/>
    <s v="NM"/>
    <s v="APR 21"/>
    <m/>
    <s v="JPY"/>
    <s v="C49SZX20210126DZ"/>
    <x v="254"/>
    <s v="YSM20R-2"/>
    <s v="L-&gt;R"/>
    <s v="No"/>
    <s v="OK"/>
    <s v="CIF HK"/>
    <d v="2021-02-06T00:00:00"/>
    <x v="0"/>
    <m/>
    <m/>
    <m/>
    <s v="C190334211"/>
    <n v="301"/>
  </r>
  <r>
    <n v="1188"/>
    <x v="0"/>
    <s v="C49"/>
    <n v="110272"/>
    <s v="精德鸿名义下单"/>
    <x v="12"/>
    <s v="L-&gt;R"/>
    <s v="No"/>
    <s v="Y55699"/>
    <n v="1"/>
    <s v="力合仓库(已经清关)"/>
    <d v="2021-04-19T00:00:00"/>
    <s v="0.0605，PO用110365"/>
    <s v="JUN 21"/>
    <m/>
    <s v="RMB"/>
    <s v="C49SZX20210156DZ"/>
    <x v="146"/>
    <s v="YSM20R-2"/>
    <s v="L-&gt;R"/>
    <s v="No"/>
    <s v="OK"/>
    <s v="DDP SZ"/>
    <d v="2021-03-05T00:00:00"/>
    <x v="0"/>
    <m/>
    <m/>
    <m/>
    <s v="C210640335"/>
    <n v="301"/>
  </r>
  <r>
    <n v="1134"/>
    <x v="0"/>
    <s v="C49"/>
    <n v="110272"/>
    <s v="精德鸿名义下单"/>
    <x v="12"/>
    <s v="L-&gt;R"/>
    <s v="No"/>
    <s v="Y55700"/>
    <n v="1"/>
    <s v="盐保仓库"/>
    <d v="2021-04-19T00:00:00"/>
    <s v="NM"/>
    <s v="MAY 21"/>
    <m/>
    <s v="JPY"/>
    <s v="C49SZX20210042VG"/>
    <x v="257"/>
    <s v="YSM20R-2"/>
    <s v="L-&gt;R"/>
    <s v="No"/>
    <s v="OK"/>
    <s v="DAP SZ"/>
    <d v="2021-02-04T00:00:00"/>
    <x v="0"/>
    <m/>
    <m/>
    <m/>
    <s v="C210439928"/>
    <n v="301"/>
  </r>
  <r>
    <n v="1347"/>
    <x v="0"/>
    <s v="C49"/>
    <s v="110272(拆单110428)"/>
    <s v="精德鸿名义下单"/>
    <x v="12"/>
    <s v="L-&gt;R"/>
    <s v="No"/>
    <s v="Y55701"/>
    <n v="1"/>
    <s v="华日仓库中转"/>
    <d v="2021-04-19T00:00:00"/>
    <n v="6.0600000000000001E-2"/>
    <s v="MAY 21"/>
    <m/>
    <s v="RMB"/>
    <s v="C49SZX20210127JL"/>
    <x v="26"/>
    <s v="YSM20R-2"/>
    <s v="L-&gt;R"/>
    <s v="No"/>
    <s v="OK"/>
    <s v="DDP SZ"/>
    <d v="2021-04-22T00:00:00"/>
    <x v="0"/>
    <m/>
    <m/>
    <m/>
    <s v="C190534655"/>
    <n v="301"/>
  </r>
  <r>
    <n v="1270"/>
    <x v="0"/>
    <s v="C49"/>
    <s v="110272(拆单110407)"/>
    <s v="精德鸿名义下单"/>
    <x v="12"/>
    <s v="L-&gt;R"/>
    <s v="No"/>
    <s v="Y55702"/>
    <n v="1"/>
    <s v="力合中转仓"/>
    <d v="2021-04-19T00:00:00"/>
    <s v="NM，PO用110133"/>
    <s v="JUN 21"/>
    <m/>
    <s v="JPY"/>
    <s v="C49SZX20210089SX"/>
    <x v="141"/>
    <s v="YSM20R-2"/>
    <s v="L-&gt;R"/>
    <s v="No"/>
    <s v="OK"/>
    <s v="DAP DG"/>
    <d v="2021-03-18T00:00:00"/>
    <x v="2"/>
    <m/>
    <m/>
    <m/>
    <s v="C171030531"/>
    <n v="301"/>
  </r>
  <r>
    <n v="1094"/>
    <x v="0"/>
    <s v="C49"/>
    <n v="110333"/>
    <s v="龙大名义下单"/>
    <x v="0"/>
    <s v="L-&gt;R"/>
    <s v="No"/>
    <s v="Y55746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n v="7203"/>
  </r>
  <r>
    <n v="1095"/>
    <x v="0"/>
    <s v="C49"/>
    <n v="110333"/>
    <s v="龙大名义下单"/>
    <x v="0"/>
    <s v="L-&gt;R"/>
    <s v="No"/>
    <s v="Y55747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n v="7204"/>
  </r>
  <r>
    <n v="1096"/>
    <x v="0"/>
    <s v="C49"/>
    <n v="110333"/>
    <s v="龙大名义下单"/>
    <x v="0"/>
    <s v="L-&gt;R"/>
    <s v="No"/>
    <s v="Y55748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s v="72GD"/>
  </r>
  <r>
    <n v="1097"/>
    <x v="0"/>
    <s v="C49"/>
    <n v="110333"/>
    <s v="龙大名义下单"/>
    <x v="0"/>
    <s v="L-&gt;R"/>
    <s v="No"/>
    <s v="Y55749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s v="72GD"/>
  </r>
  <r>
    <n v="1127"/>
    <x v="0"/>
    <s v="C28"/>
    <n v="110327"/>
    <s v="嘉裕名义下单"/>
    <x v="13"/>
    <s v="L-&gt;R"/>
    <s v="No"/>
    <s v="Y54770"/>
    <n v="1"/>
    <s v="CY仓库"/>
    <d v="2021-04-23T00:00:00"/>
    <s v="NM"/>
    <s v="APR 21"/>
    <m/>
    <s v="JPY"/>
    <s v="C28HKG2021013KC"/>
    <x v="75"/>
    <s v="YSi-V"/>
    <s v="L-&gt;R"/>
    <s v="No"/>
    <s v="OK"/>
    <s v="CIF HK"/>
    <d v="2021-01-28T00:00:00"/>
    <x v="0"/>
    <m/>
    <m/>
    <m/>
    <s v="YES"/>
    <m/>
  </r>
  <r>
    <n v="1064"/>
    <x v="0"/>
    <s v="C49"/>
    <s v="110245（拆单110361）"/>
    <s v="Stock order"/>
    <x v="12"/>
    <s v="R-&gt;L"/>
    <s v="No"/>
    <s v="Y55683"/>
    <n v="1"/>
    <s v="力合中转仓"/>
    <d v="2021-04-23T00:00:00"/>
    <n v="6.0499999999999998E-2"/>
    <s v="APR 21"/>
    <m/>
    <s v="RMB"/>
    <s v="C49SZX20210007DZ"/>
    <x v="138"/>
    <s v="YSM20R-2"/>
    <s v="R-&gt;L"/>
    <s v="No"/>
    <s v="OK"/>
    <s v="含税到厂"/>
    <d v="2021-01-09T00:00:00"/>
    <x v="0"/>
    <m/>
    <m/>
    <m/>
    <s v="C200136594"/>
    <n v="301"/>
  </r>
  <r>
    <n v="1063"/>
    <x v="0"/>
    <s v="C49"/>
    <s v="110245（拆单110361）"/>
    <s v="Stock order"/>
    <x v="12"/>
    <s v="R-&gt;L"/>
    <s v="No"/>
    <s v="Y55684"/>
    <n v="1"/>
    <s v="力合中转仓"/>
    <d v="2021-04-23T00:00:00"/>
    <n v="6.0499999999999998E-2"/>
    <s v="APR 21"/>
    <m/>
    <s v="RMB"/>
    <s v="C49SZX20210007DZ"/>
    <x v="138"/>
    <s v="YSM20R-2"/>
    <s v="R-&gt;L"/>
    <s v="No"/>
    <s v="OK"/>
    <s v="含税到厂"/>
    <d v="2021-01-09T00:00:00"/>
    <x v="0"/>
    <m/>
    <m/>
    <m/>
    <s v="C200136594"/>
    <n v="301"/>
  </r>
  <r>
    <n v="1061"/>
    <x v="0"/>
    <s v="C49"/>
    <s v="110245（拆单110361）"/>
    <s v="Stock order"/>
    <x v="12"/>
    <s v="L-&gt;R"/>
    <s v="No"/>
    <s v="Y55685"/>
    <n v="1"/>
    <s v="力合中转仓"/>
    <d v="2021-04-23T00:00:00"/>
    <n v="6.0499999999999998E-2"/>
    <s v="APR 21"/>
    <m/>
    <s v="RMB"/>
    <s v="C49SZX20210007DZ"/>
    <x v="138"/>
    <s v="YSM20R-2"/>
    <s v="L-&gt;R"/>
    <s v="No"/>
    <s v="OK"/>
    <s v="含税到厂"/>
    <d v="2021-01-09T00:00:00"/>
    <x v="0"/>
    <m/>
    <m/>
    <m/>
    <s v="C200136594"/>
    <n v="301"/>
  </r>
  <r>
    <n v="1062"/>
    <x v="0"/>
    <s v="C49"/>
    <s v="110245（拆单110361）"/>
    <s v="Stock order"/>
    <x v="12"/>
    <s v="L-&gt;R"/>
    <s v="No"/>
    <s v="Y55686"/>
    <n v="1"/>
    <s v="力合中转仓"/>
    <d v="2021-04-23T00:00:00"/>
    <n v="6.0499999999999998E-2"/>
    <s v="APR 21"/>
    <m/>
    <s v="RMB"/>
    <s v="C49SZX20210007DZ"/>
    <x v="138"/>
    <s v="YSM20R-2"/>
    <s v="L-&gt;R"/>
    <s v="No"/>
    <s v="OK"/>
    <s v="含税到厂"/>
    <d v="2021-01-09T00:00:00"/>
    <x v="0"/>
    <m/>
    <m/>
    <m/>
    <s v="C200136594"/>
    <n v="301"/>
  </r>
  <r>
    <n v="1105"/>
    <x v="0"/>
    <s v="C49"/>
    <n v="110245"/>
    <s v="Stock order"/>
    <x v="12"/>
    <s v="L-&gt;R"/>
    <s v="No"/>
    <s v="Y55687"/>
    <n v="1"/>
    <s v="CY仓库"/>
    <d v="2021-04-23T00:00:00"/>
    <s v="NM"/>
    <s v="APR 21"/>
    <m/>
    <s v="JPY"/>
    <s v="C49SZX20210029DZ"/>
    <x v="75"/>
    <s v="YSM20R-2"/>
    <s v="L-&gt;R"/>
    <s v="No"/>
    <s v="OK"/>
    <s v="CIF HK"/>
    <d v="2021-01-28T00:00:00"/>
    <x v="0"/>
    <m/>
    <m/>
    <m/>
    <s v="C200336888"/>
    <n v="301"/>
  </r>
  <r>
    <n v="1135"/>
    <x v="0"/>
    <s v="C49"/>
    <n v="110245"/>
    <s v="Stock order"/>
    <x v="12"/>
    <s v="L-&gt;R"/>
    <s v="No"/>
    <s v="Y55688"/>
    <n v="1"/>
    <s v="盐保仓库"/>
    <d v="2021-04-23T00:00:00"/>
    <s v="NM"/>
    <s v="MAY 21"/>
    <m/>
    <s v="JPY"/>
    <s v="C49SZX20210046SS"/>
    <x v="258"/>
    <s v="YSM20R-2"/>
    <s v="L-&gt;R"/>
    <s v="No"/>
    <s v="OK"/>
    <s v="DAP SZ"/>
    <d v="2021-02-04T00:00:00"/>
    <x v="0"/>
    <m/>
    <m/>
    <m/>
    <s v="C200337000"/>
    <n v="301"/>
  </r>
  <r>
    <n v="1340"/>
    <x v="0"/>
    <s v="C49"/>
    <n v="110245"/>
    <s v="Stock order"/>
    <x v="12"/>
    <s v="L-&gt;R"/>
    <s v="No"/>
    <s v="Y55689"/>
    <n v="1"/>
    <s v="盐保仓库"/>
    <d v="2021-04-23T00:00:00"/>
    <s v="NM"/>
    <s v="MAY 21"/>
    <m/>
    <s v="JPY"/>
    <s v="C49SZX20210117JY"/>
    <x v="228"/>
    <s v="YSM20R-2"/>
    <s v="L-&gt;R"/>
    <s v="MVC"/>
    <s v="WRONG"/>
    <s v="DAP SZ"/>
    <d v="2021-04-20T00:00:00"/>
    <x v="0"/>
    <m/>
    <m/>
    <m/>
    <s v="C210139127"/>
    <n v="301"/>
  </r>
  <r>
    <n v="1341"/>
    <x v="0"/>
    <s v="C49"/>
    <n v="110245"/>
    <s v="Stock order"/>
    <x v="12"/>
    <s v="L-&gt;R"/>
    <s v="No"/>
    <s v="Y55690"/>
    <n v="1"/>
    <s v="盐保仓库"/>
    <d v="2021-04-23T00:00:00"/>
    <s v="NM"/>
    <s v="MAY 21"/>
    <m/>
    <s v="JPY"/>
    <s v="C49SZX20210117JY"/>
    <x v="228"/>
    <s v="YSM20R-2"/>
    <s v="L-&gt;R"/>
    <s v="No"/>
    <s v="OK"/>
    <s v="DAP SZ"/>
    <d v="2021-04-20T00:00:00"/>
    <x v="0"/>
    <m/>
    <m/>
    <m/>
    <s v="C210139127"/>
    <n v="301"/>
  </r>
  <r>
    <n v="1252"/>
    <x v="0"/>
    <s v="C49"/>
    <n v="110245"/>
    <s v="Stock order"/>
    <x v="12"/>
    <s v="L-&gt;R"/>
    <s v="No"/>
    <s v="Y55691"/>
    <n v="1"/>
    <s v="盐保仓库"/>
    <d v="2021-04-23T00:00:00"/>
    <s v="NM"/>
    <s v="MAY 21"/>
    <m/>
    <s v="JPY"/>
    <s v="C49SZX20210076JZ"/>
    <x v="259"/>
    <s v="YSM20R-2"/>
    <s v="L-&gt;R"/>
    <s v="No"/>
    <s v="OK"/>
    <s v="DAP DG"/>
    <d v="2021-03-11T00:00:00"/>
    <x v="0"/>
    <m/>
    <m/>
    <m/>
    <s v="C210540263"/>
    <n v="301"/>
  </r>
  <r>
    <n v="1152"/>
    <x v="0"/>
    <s v="C49"/>
    <n v="110245"/>
    <s v="Stock order"/>
    <x v="12"/>
    <s v="L-&gt;R"/>
    <s v="No"/>
    <s v="Y55692"/>
    <n v="1"/>
    <m/>
    <d v="2021-04-23T00:00:00"/>
    <s v="NM"/>
    <s v="APR 21"/>
    <m/>
    <s v="JPY"/>
    <s v="C49SZX20210051JY"/>
    <x v="229"/>
    <s v="YSM20R-2"/>
    <s v="L-&gt;R"/>
    <s v="No"/>
    <s v="OK"/>
    <s v="CIF HK"/>
    <d v="2021-03-04T00:00:00"/>
    <x v="0"/>
    <m/>
    <m/>
    <m/>
    <s v="C210439957"/>
    <n v="301"/>
  </r>
  <r>
    <n v="1163"/>
    <x v="0"/>
    <s v="C49"/>
    <n v="110271"/>
    <s v="精德鸿名义下单"/>
    <x v="1"/>
    <s v="R-&gt;L"/>
    <s v="MVC"/>
    <s v="Y55693"/>
    <n v="1"/>
    <s v="CY仓库"/>
    <d v="2021-04-30T00:00:00"/>
    <s v="NM"/>
    <s v="MAY 21"/>
    <m/>
    <s v="JPY"/>
    <s v="C49SZX20210059EC"/>
    <x v="260"/>
    <s v="YSM10"/>
    <s v="R-&gt;L"/>
    <s v="MVC"/>
    <s v="OK"/>
    <s v="DAP GZ"/>
    <d v="2021-03-01T00:00:00"/>
    <x v="0"/>
    <m/>
    <m/>
    <m/>
    <s v="C210439747"/>
    <n v="301"/>
  </r>
  <r>
    <n v="1076"/>
    <x v="0"/>
    <s v="C49"/>
    <n v="110271"/>
    <s v="精德鸿名义下单"/>
    <x v="1"/>
    <s v="R-&gt;L"/>
    <s v="MVC"/>
    <s v="Y55694"/>
    <n v="1"/>
    <s v="CY仓库"/>
    <d v="2021-04-30T00:00:00"/>
    <s v="NM"/>
    <s v="MAY 21"/>
    <m/>
    <s v="JPY"/>
    <s v="C49SZX20210009MZ"/>
    <x v="237"/>
    <s v="YSM10"/>
    <s v="L-&gt;R"/>
    <s v="MVC"/>
    <s v="WRONG"/>
    <s v="DAP HZ"/>
    <d v="2021-01-19T00:00:00"/>
    <x v="0"/>
    <m/>
    <m/>
    <m/>
    <s v="C170429029"/>
    <n v="301"/>
  </r>
  <r>
    <n v="1166"/>
    <x v="0"/>
    <s v="C49"/>
    <n v="110271"/>
    <s v="精德鸿名义下单"/>
    <x v="1"/>
    <s v="R-&gt;L"/>
    <s v="MVC"/>
    <s v="Y55695"/>
    <n v="1"/>
    <s v="CY仓库"/>
    <d v="2021-04-30T00:00:00"/>
    <s v="NM"/>
    <s v="MAY 21"/>
    <m/>
    <s v="JPY"/>
    <s v="C49SZX20210060SX"/>
    <x v="245"/>
    <s v="YSM10"/>
    <s v="L-&gt;R"/>
    <s v="MVC"/>
    <s v="WRONG"/>
    <s v="DAP DG"/>
    <d v="2021-03-01T00:00:00"/>
    <x v="0"/>
    <m/>
    <m/>
    <m/>
    <s v="C210239298"/>
    <n v="301"/>
  </r>
  <r>
    <n v="1075"/>
    <x v="0"/>
    <s v="C49"/>
    <n v="110271"/>
    <s v="精德鸿名义下单"/>
    <x v="1"/>
    <s v="R-&gt;L"/>
    <s v="MVC+ATS15"/>
    <s v="Y55696"/>
    <n v="1"/>
    <s v="CY仓库"/>
    <d v="2021-04-30T00:00:00"/>
    <s v="NM"/>
    <s v="MAY 21"/>
    <m/>
    <s v="JPY"/>
    <s v="C49SZX20210009MZ"/>
    <x v="237"/>
    <s v="YSM10"/>
    <s v="L-&gt;R"/>
    <s v="MVC+ATS15"/>
    <s v="WRONG"/>
    <s v="DAP HZ"/>
    <d v="2021-01-19T00:00:00"/>
    <x v="0"/>
    <m/>
    <m/>
    <m/>
    <s v="C170429029"/>
    <n v="301"/>
  </r>
  <r>
    <n v="1069"/>
    <x v="0"/>
    <s v="C28"/>
    <n v="110301"/>
    <s v="奕东名义下单"/>
    <x v="13"/>
    <s v="L-&gt;R"/>
    <s v="No"/>
    <s v="Y55393"/>
    <n v="1"/>
    <s v="CY仓库"/>
    <d v="2021-04-30T00:00:00"/>
    <s v="NM"/>
    <s v="MAY 21"/>
    <m/>
    <s v="JPY"/>
    <s v="C28SZX20200127RW"/>
    <x v="142"/>
    <s v="YSi-V"/>
    <s v="L-&gt;R"/>
    <s v="No"/>
    <s v="OK"/>
    <s v="DAP DG"/>
    <d v="2021-01-08T00:00:00"/>
    <x v="0"/>
    <m/>
    <m/>
    <m/>
    <s v="YES"/>
    <m/>
  </r>
  <r>
    <n v="1228"/>
    <x v="0"/>
    <s v="C49"/>
    <n v="110346"/>
    <s v="Stock order"/>
    <x v="12"/>
    <s v="L-&gt;R"/>
    <s v="No"/>
    <s v="Y55404"/>
    <n v="1"/>
    <s v="盐保仓库"/>
    <d v="2021-05-02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1"/>
  </r>
  <r>
    <n v="1133"/>
    <x v="0"/>
    <s v="C49"/>
    <s v="110346(拆单110340)"/>
    <s v="Stock order"/>
    <x v="12"/>
    <s v="L-&gt;R"/>
    <s v="No"/>
    <s v="Y55405"/>
    <n v="1"/>
    <s v="盐保仓库"/>
    <d v="2021-05-02T00:00:00"/>
    <n v="6.2300000000000001E-2"/>
    <s v="MAY 21"/>
    <m/>
    <s v="JPY"/>
    <s v="C49SZX20210042VG"/>
    <x v="257"/>
    <s v="YSM20R-2"/>
    <s v="L-&gt;R"/>
    <s v="No"/>
    <s v="OK"/>
    <s v="DAP SZ"/>
    <d v="2021-02-04T00:00:00"/>
    <x v="0"/>
    <m/>
    <m/>
    <m/>
    <s v="C210439928"/>
    <n v="302"/>
  </r>
  <r>
    <n v="1253"/>
    <x v="0"/>
    <s v="C49"/>
    <n v="110346"/>
    <s v="Stock order"/>
    <x v="12"/>
    <s v="L-&gt;R"/>
    <s v="No"/>
    <s v="Y55406"/>
    <n v="1"/>
    <s v="盐保仓库"/>
    <d v="2021-05-02T00:00:00"/>
    <s v="NM"/>
    <s v="MAY 21"/>
    <m/>
    <s v="JPY"/>
    <s v="C49SZX20210076JZ"/>
    <x v="259"/>
    <s v="YSM20R-2"/>
    <s v="L-&gt;R"/>
    <s v="No"/>
    <s v="OK"/>
    <s v="DAP DG"/>
    <d v="2021-03-11T00:00:00"/>
    <x v="0"/>
    <m/>
    <m/>
    <m/>
    <s v="C210540263"/>
    <n v="302"/>
  </r>
  <r>
    <n v="1149"/>
    <x v="0"/>
    <s v="C49"/>
    <s v="110346(拆单110409)"/>
    <s v="Stock order"/>
    <x v="12"/>
    <s v="L-&gt;R"/>
    <s v="No"/>
    <s v="Y55407"/>
    <n v="1"/>
    <s v="盐保仓库"/>
    <d v="2021-05-02T00:00:00"/>
    <n v="5.9900000000000002E-2"/>
    <s v="MAY 21"/>
    <m/>
    <s v="RMB"/>
    <s v="C49SZX20210055SS"/>
    <x v="109"/>
    <s v="YSM20R-2"/>
    <s v="L-&gt;R"/>
    <s v="No"/>
    <s v="OK"/>
    <s v="含税到厂"/>
    <d v="2021-02-22T00:00:00"/>
    <x v="0"/>
    <m/>
    <m/>
    <m/>
    <s v="C200637604"/>
    <n v="302"/>
  </r>
  <r>
    <n v="1324"/>
    <x v="0"/>
    <s v="C49"/>
    <n v="110211"/>
    <s v="Stock order"/>
    <x v="1"/>
    <s v="R-&gt;L"/>
    <s v="No"/>
    <s v="Y55428"/>
    <n v="1"/>
    <s v="盐保仓库"/>
    <d v="2021-05-02T00:00:00"/>
    <s v="NM"/>
    <s v="MAY 21"/>
    <m/>
    <s v="JPY"/>
    <s v="C49SZX20210066JYR1"/>
    <x v="158"/>
    <s v="YSM10"/>
    <s v="L-&gt;R"/>
    <s v="MVC"/>
    <s v="WRONG"/>
    <s v="DAP SZ"/>
    <d v="2021-04-12T00:00:00"/>
    <x v="0"/>
    <m/>
    <m/>
    <m/>
    <s v="C190735084"/>
    <n v="301"/>
  </r>
  <r>
    <n v="1132"/>
    <x v="0"/>
    <s v="C49"/>
    <n v="110211"/>
    <s v="Stock order"/>
    <x v="1"/>
    <s v="R-&gt;L"/>
    <s v="No"/>
    <s v="Y55429"/>
    <n v="1"/>
    <s v="盐保仓库"/>
    <d v="2021-05-02T00:00:00"/>
    <s v="NM"/>
    <s v="MAY 21"/>
    <m/>
    <s v="JPY"/>
    <s v="C49SZX20210042VG"/>
    <x v="257"/>
    <s v="YSM10"/>
    <s v="L-&gt;R"/>
    <s v="No"/>
    <s v="WRONG"/>
    <s v="DAP SZ"/>
    <d v="2021-02-04T00:00:00"/>
    <x v="0"/>
    <m/>
    <m/>
    <m/>
    <s v="C210439928"/>
    <n v="302"/>
  </r>
  <r>
    <n v="1366"/>
    <x v="0"/>
    <s v="C49"/>
    <n v="110211"/>
    <s v="Stock order"/>
    <x v="1"/>
    <s v="R-&gt;L"/>
    <s v="No"/>
    <s v="Y55430"/>
    <n v="1"/>
    <s v="盐保仓库"/>
    <d v="2021-05-02T00:00:00"/>
    <s v="NM"/>
    <s v="MAY 21"/>
    <m/>
    <s v="JPY"/>
    <s v="C49SZX20210140DZ"/>
    <x v="89"/>
    <s v="YSM10"/>
    <s v="L-&gt;R"/>
    <s v="MVC"/>
    <s v="WRONG"/>
    <s v="DAP GZ"/>
    <d v="2021-05-11T00:00:00"/>
    <x v="0"/>
    <m/>
    <m/>
    <m/>
    <s v="C161128121"/>
    <n v="312"/>
  </r>
  <r>
    <n v="1088"/>
    <x v="0"/>
    <s v="C49"/>
    <n v="110211"/>
    <s v="Stock order"/>
    <x v="1"/>
    <s v="R-&gt;L"/>
    <s v="No"/>
    <s v="Y55431"/>
    <n v="1"/>
    <s v="盐保仓库"/>
    <d v="2021-05-02T00:00:00"/>
    <s v="NM"/>
    <s v="MAY 21"/>
    <m/>
    <s v="JPY"/>
    <s v="C49SZX20210029SS"/>
    <x v="262"/>
    <s v="YSM10"/>
    <s v="R-&gt;L"/>
    <s v="No"/>
    <s v="OK"/>
    <s v="DAP FS"/>
    <d v="2021-01-26T00:00:00"/>
    <x v="0"/>
    <m/>
    <m/>
    <m/>
    <s v="C180732632"/>
    <n v="312"/>
  </r>
  <r>
    <n v="1287"/>
    <x v="0"/>
    <s v="C49"/>
    <n v="110211"/>
    <s v="Stock order"/>
    <x v="1"/>
    <s v="R-&gt;L"/>
    <s v="No"/>
    <s v="Y55432"/>
    <n v="1"/>
    <s v="盐保仓库"/>
    <d v="2021-05-02T00:00:00"/>
    <s v="NM"/>
    <s v="MAY 21"/>
    <m/>
    <s v="JPY"/>
    <s v="C49SZX20210099VG"/>
    <x v="263"/>
    <s v="YSM10"/>
    <s v="L-&gt;R"/>
    <s v="MVC"/>
    <s v="WRONG"/>
    <s v="DAP SZ"/>
    <d v="2021-03-27T00:00:00"/>
    <x v="0"/>
    <m/>
    <m/>
    <m/>
    <s v="C210540191"/>
    <n v="312"/>
  </r>
  <r>
    <n v="1147"/>
    <x v="0"/>
    <s v="C49"/>
    <s v="110227（拆单110362）"/>
    <s v="锘铧名义下单"/>
    <x v="1"/>
    <s v="R-&gt;L"/>
    <s v="MVC F&amp;R+ATS15"/>
    <s v="Y54955"/>
    <n v="1"/>
    <s v="力合仓库(已经清关)"/>
    <d v="2021-05-02T00:00:00"/>
    <s v="0.0599 PO用110408"/>
    <s v="MAY 21"/>
    <m/>
    <s v="RMB"/>
    <s v="C49SZX20210055SS"/>
    <x v="109"/>
    <s v="YSM10"/>
    <s v="L-&gt;R"/>
    <s v="MVC+ATS15"/>
    <s v="WRONG"/>
    <s v="含税到厂"/>
    <d v="2021-02-22T00:00:00"/>
    <x v="0"/>
    <m/>
    <m/>
    <m/>
    <s v="C200637604"/>
    <n v="301"/>
  </r>
  <r>
    <n v="1148"/>
    <x v="0"/>
    <s v="C49"/>
    <s v="110227（拆单110362）"/>
    <s v="锘铧名义下单"/>
    <x v="1"/>
    <s v="R-&gt;L"/>
    <s v="MVC F&amp;R+ATS15"/>
    <s v="Y54956"/>
    <n v="1"/>
    <s v="力合仓库(已经清关)"/>
    <d v="2021-05-02T00:00:00"/>
    <s v="0.0599 PO用110408"/>
    <s v="MAY 21"/>
    <m/>
    <s v="RMB"/>
    <s v="C49SZX20210055SS"/>
    <x v="109"/>
    <s v="YSM10"/>
    <s v="R-&gt;L"/>
    <s v="MVC+ATS15"/>
    <s v="WRONG"/>
    <s v="含税到厂"/>
    <d v="2021-02-22T00:00:00"/>
    <x v="0"/>
    <m/>
    <m/>
    <m/>
    <s v="C200637604"/>
    <n v="301"/>
  </r>
  <r>
    <n v="1342"/>
    <x v="0"/>
    <s v="C49"/>
    <n v="110227"/>
    <s v="锘铧名义下单"/>
    <x v="1"/>
    <s v="R-&gt;L"/>
    <s v="MVC F&amp;R+ATS15"/>
    <s v="Y54957"/>
    <n v="1"/>
    <s v="力合仓库(已经清关)"/>
    <d v="2021-05-02T00:00:00"/>
    <s v="NM，PO用110238"/>
    <s v="MAY 21"/>
    <m/>
    <s v="JPY"/>
    <s v="C49SZX20210117JY"/>
    <x v="228"/>
    <s v="YSM10"/>
    <s v="L-&gt;R"/>
    <s v="MVC+ATS15"/>
    <s v="WRONG"/>
    <s v="DAP SZ"/>
    <d v="2021-04-20T00:00:00"/>
    <x v="0"/>
    <m/>
    <m/>
    <m/>
    <s v="C210139127"/>
    <n v="301"/>
  </r>
  <r>
    <n v="1102"/>
    <x v="0"/>
    <s v="C49"/>
    <n v="110403"/>
    <s v="Stock order"/>
    <x v="1"/>
    <s v="R-&gt;L"/>
    <s v="No"/>
    <s v="Y55550"/>
    <n v="1"/>
    <s v="盐保仓库"/>
    <d v="2021-05-06T00:00:00"/>
    <s v="NM"/>
    <s v="MAY 21"/>
    <m/>
    <s v="JPY"/>
    <s v="C49SZX20210019JY"/>
    <x v="136"/>
    <s v="YSM10"/>
    <s v="R-&gt;L"/>
    <s v="MVC"/>
    <s v="WRONG"/>
    <s v="DAP SZ"/>
    <d v="2021-01-27T00:00:00"/>
    <x v="0"/>
    <m/>
    <m/>
    <m/>
    <s v="C210440026"/>
    <n v="301"/>
  </r>
  <r>
    <n v="1103"/>
    <x v="0"/>
    <s v="C49"/>
    <n v="110403"/>
    <s v="Stock order"/>
    <x v="1"/>
    <s v="R-&gt;L"/>
    <s v="No"/>
    <s v="Y55551"/>
    <n v="1"/>
    <s v="盐保仓库"/>
    <d v="2021-05-06T00:00:00"/>
    <s v="NM"/>
    <s v="MAY 21"/>
    <m/>
    <s v="JPY"/>
    <s v="C49SZX20210019JY"/>
    <x v="136"/>
    <s v="YSM10"/>
    <s v="R-&gt;L"/>
    <s v="MVC"/>
    <s v="WRONG"/>
    <s v="DAP SZ"/>
    <d v="2021-01-27T00:00:00"/>
    <x v="0"/>
    <m/>
    <m/>
    <m/>
    <s v="C210440026"/>
    <n v="301"/>
  </r>
  <r>
    <n v="1104"/>
    <x v="0"/>
    <s v="C49"/>
    <n v="110403"/>
    <s v="Stock order"/>
    <x v="1"/>
    <s v="R-&gt;L"/>
    <s v="No"/>
    <s v="Y55555"/>
    <n v="1"/>
    <s v="盐保仓库"/>
    <d v="2021-05-06T00:00:00"/>
    <s v="NM"/>
    <s v="MAY 21"/>
    <m/>
    <s v="JPY"/>
    <s v="C49SZX20210019JY"/>
    <x v="136"/>
    <s v="YSM10"/>
    <s v="R-&gt;L"/>
    <s v="MVC"/>
    <s v="WRONG"/>
    <s v="DAP SZ"/>
    <d v="2021-01-27T00:00:00"/>
    <x v="0"/>
    <m/>
    <m/>
    <m/>
    <s v="C210440026"/>
    <n v="301"/>
  </r>
  <r>
    <n v="1067"/>
    <x v="0"/>
    <s v="C49"/>
    <n v="110244"/>
    <s v="Stock order"/>
    <x v="1"/>
    <s v="R-&gt;L"/>
    <s v="MVC"/>
    <s v="Y55594"/>
    <n v="1"/>
    <s v="盐保仓库"/>
    <d v="2021-05-06T00:00:00"/>
    <s v="NM"/>
    <s v="MAY 21"/>
    <m/>
    <s v="JPY"/>
    <s v="C49SZX20210013SS"/>
    <x v="264"/>
    <s v="YSM10"/>
    <s v="L-&gt;R"/>
    <s v="MVC"/>
    <s v="WRONG"/>
    <s v="DAP SZ"/>
    <d v="2021-01-12T00:00:00"/>
    <x v="0"/>
    <m/>
    <m/>
    <m/>
    <s v="C210239252"/>
    <n v="311"/>
  </r>
  <r>
    <n v="1108"/>
    <x v="0"/>
    <s v="C49"/>
    <n v="110244"/>
    <s v="Stock order"/>
    <x v="1"/>
    <s v="R-&gt;L"/>
    <s v="MVC"/>
    <s v="Y55595"/>
    <n v="1"/>
    <s v="力合中转仓"/>
    <d v="2021-05-06T00:00:00"/>
    <s v="NM"/>
    <s v="MAY 21"/>
    <m/>
    <s v="JPY"/>
    <s v="C49SZX20210030SX"/>
    <x v="124"/>
    <s v="YSM10"/>
    <s v="L-&gt;R"/>
    <s v="MVC"/>
    <s v="WRONG"/>
    <s v="DAP SZ"/>
    <d v="2021-01-26T00:00:00"/>
    <x v="0"/>
    <m/>
    <m/>
    <m/>
    <s v="C180933040"/>
    <n v="311"/>
  </r>
  <r>
    <n v="1361"/>
    <x v="0"/>
    <s v="C49"/>
    <n v="110244"/>
    <s v="Stock order"/>
    <x v="1"/>
    <s v="R-&gt;L"/>
    <s v="No"/>
    <s v="Y55596"/>
    <n v="1"/>
    <s v="盐保仓库"/>
    <d v="2021-05-06T00:00:00"/>
    <s v="NM"/>
    <s v="MAY 21"/>
    <m/>
    <s v="JPY"/>
    <s v="C49SZX20210136DZ"/>
    <x v="66"/>
    <s v="YSM10"/>
    <s v="L-&gt;R"/>
    <s v="MVC"/>
    <s v="WRONG"/>
    <s v="DAP SZ"/>
    <d v="2021-04-30T00:00:00"/>
    <x v="0"/>
    <m/>
    <m/>
    <m/>
    <s v="C121114462"/>
    <n v="301"/>
  </r>
  <r>
    <n v="1362"/>
    <x v="0"/>
    <s v="C49"/>
    <n v="110244"/>
    <s v="Stock order"/>
    <x v="1"/>
    <s v="R-&gt;L"/>
    <s v="No"/>
    <s v="Y55597"/>
    <n v="1"/>
    <s v="盐保仓库"/>
    <d v="2021-05-06T00:00:00"/>
    <s v="NM"/>
    <s v="MAY 21"/>
    <m/>
    <s v="JPY"/>
    <s v="C49SZX20210136DZ"/>
    <x v="66"/>
    <s v="YSM10"/>
    <s v="L-&gt;R"/>
    <s v="MVC"/>
    <s v="WRONG"/>
    <s v="DAP SZ"/>
    <d v="2021-04-30T00:00:00"/>
    <x v="0"/>
    <m/>
    <m/>
    <m/>
    <s v="C121114462"/>
    <n v="301"/>
  </r>
  <r>
    <n v="1352"/>
    <x v="0"/>
    <s v="C49"/>
    <n v="110244"/>
    <s v="Stock order"/>
    <x v="1"/>
    <s v="R-&gt;L"/>
    <s v="No"/>
    <s v="Y55598"/>
    <n v="1"/>
    <s v="力合中转仓"/>
    <d v="2021-05-06T00:00:00"/>
    <s v="NM"/>
    <s v="JUN 21"/>
    <m/>
    <s v="JPY"/>
    <s v="C49SZX20210123JY"/>
    <x v="265"/>
    <s v="YSM10"/>
    <s v="L-&gt;R"/>
    <s v="MVC"/>
    <s v="WRONG"/>
    <s v="DAP SZ"/>
    <d v="2021-04-27T00:00:00"/>
    <x v="0"/>
    <m/>
    <m/>
    <m/>
    <s v="C150222453"/>
    <n v="301"/>
  </r>
  <r>
    <n v="1138"/>
    <x v="0"/>
    <s v="C49"/>
    <s v="110228(拆单110338)"/>
    <s v="锘铧名义下单"/>
    <x v="12"/>
    <s v="R-&gt;L"/>
    <s v="MVC"/>
    <s v="Y54940"/>
    <n v="1"/>
    <s v="盐保仓库"/>
    <d v="2021-05-06T00:00:00"/>
    <n v="6.2300000000000001E-2"/>
    <s v="MAY 21"/>
    <m/>
    <s v="JPY"/>
    <s v="C49SZX20210016JY"/>
    <x v="176"/>
    <s v="YSM20R-2"/>
    <s v="R-&gt;L"/>
    <s v="MVC"/>
    <s v="OK"/>
    <s v="DAP GZ"/>
    <d v="2021-02-05T00:00:00"/>
    <x v="0"/>
    <m/>
    <m/>
    <m/>
    <s v="C200737845"/>
    <n v="301"/>
  </r>
  <r>
    <n v="1150"/>
    <x v="0"/>
    <s v="C49"/>
    <s v="110228(拆单110338)"/>
    <s v="锘铧名义下单"/>
    <x v="12"/>
    <s v="R-&gt;L"/>
    <s v="MVC"/>
    <s v="Y54941"/>
    <n v="1"/>
    <s v="盐保仓库"/>
    <d v="2021-05-06T00:00:00"/>
    <n v="6.2300000000000001E-2"/>
    <s v="MAY 21"/>
    <m/>
    <s v="RMB"/>
    <s v="C49SZX20210055SS"/>
    <x v="109"/>
    <s v="YSM20R-2"/>
    <s v="R-&gt;L"/>
    <s v="No"/>
    <s v="WRONG"/>
    <s v="含税到厂"/>
    <d v="2021-02-22T00:00:00"/>
    <x v="0"/>
    <m/>
    <m/>
    <m/>
    <s v="C200637604"/>
    <n v="301"/>
  </r>
  <r>
    <n v="1068"/>
    <x v="0"/>
    <s v="C49"/>
    <s v="110228(拆单110338)"/>
    <s v="锘铧名义下单"/>
    <x v="12"/>
    <s v="L-&gt;R"/>
    <s v="No"/>
    <s v="Y54942"/>
    <n v="1"/>
    <s v="盐保仓库"/>
    <d v="2021-05-06T00:00:00"/>
    <n v="6.2300000000000001E-2"/>
    <s v="MAY 21"/>
    <m/>
    <s v="JPY"/>
    <s v="C49SZX20210013SS"/>
    <x v="264"/>
    <s v="YSM20R-2"/>
    <s v="L-&gt;R"/>
    <s v="MVC"/>
    <s v="WRONG"/>
    <s v="DAP SZ"/>
    <d v="2021-01-12T00:00:00"/>
    <x v="0"/>
    <m/>
    <m/>
    <m/>
    <s v="C210239252"/>
    <n v="301"/>
  </r>
  <r>
    <n v="1238"/>
    <x v="0"/>
    <s v="C49"/>
    <s v="110228(拆单110338)"/>
    <s v="锘铧名义下单"/>
    <x v="12"/>
    <s v="L-&gt;R"/>
    <s v="No"/>
    <s v="Y54943"/>
    <n v="1"/>
    <s v="盐保仓库"/>
    <d v="2021-05-06T00:00:00"/>
    <n v="6.2300000000000001E-2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1"/>
  </r>
  <r>
    <n v="1239"/>
    <x v="0"/>
    <s v="C49"/>
    <n v="110228"/>
    <s v="锘铧名义下单"/>
    <x v="12"/>
    <s v="L-&gt;R"/>
    <s v="No"/>
    <s v="Y54944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1"/>
  </r>
  <r>
    <n v="1236"/>
    <x v="0"/>
    <s v="C49"/>
    <n v="110228"/>
    <s v="锘铧名义下单"/>
    <x v="12"/>
    <s v="L-&gt;R"/>
    <s v="No"/>
    <s v="Y54945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4"/>
  </r>
  <r>
    <n v="1234"/>
    <x v="0"/>
    <s v="C49"/>
    <n v="110228"/>
    <s v="锘铧名义下单"/>
    <x v="12"/>
    <s v="L-&gt;R"/>
    <s v="No"/>
    <s v="Y54946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4"/>
  </r>
  <r>
    <n v="1227"/>
    <x v="0"/>
    <s v="C49"/>
    <s v="110228(拆单110338)"/>
    <s v="锘铧名义下单"/>
    <x v="12"/>
    <s v="L-&gt;R"/>
    <s v="No"/>
    <s v="Y54947"/>
    <n v="1"/>
    <s v="盐保仓库"/>
    <d v="2021-05-06T00:00:00"/>
    <n v="6.2300000000000001E-2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12"/>
  </r>
  <r>
    <n v="1229"/>
    <x v="0"/>
    <s v="C49"/>
    <n v="110228"/>
    <s v="锘铧名义下单"/>
    <x v="12"/>
    <s v="L-&gt;R"/>
    <s v="No"/>
    <s v="Y54948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13"/>
  </r>
  <r>
    <n v="1240"/>
    <x v="0"/>
    <s v="C49"/>
    <n v="110228"/>
    <s v="锘铧名义下单"/>
    <x v="12"/>
    <s v="L-&gt;R"/>
    <s v="No"/>
    <s v="Y54949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41"/>
    <x v="0"/>
    <s v="C49"/>
    <n v="110228"/>
    <s v="锘铧名义下单"/>
    <x v="12"/>
    <s v="L-&gt;R"/>
    <s v="No"/>
    <s v="Y54950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42"/>
    <x v="0"/>
    <s v="C49"/>
    <n v="110228"/>
    <s v="锘铧名义下单"/>
    <x v="12"/>
    <s v="L-&gt;R"/>
    <s v="No"/>
    <s v="Y54951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30"/>
    <x v="0"/>
    <s v="C49"/>
    <n v="110228"/>
    <s v="锘铧名义下单"/>
    <x v="12"/>
    <s v="L-&gt;R"/>
    <s v="No"/>
    <s v="Y54952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31"/>
    <x v="0"/>
    <s v="C49"/>
    <n v="110228"/>
    <s v="锘铧名义下单"/>
    <x v="12"/>
    <s v="L-&gt;R"/>
    <s v="No"/>
    <s v="Y54953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2"/>
  </r>
  <r>
    <n v="1232"/>
    <x v="0"/>
    <s v="C49"/>
    <n v="110228"/>
    <s v="锘铧名义下单"/>
    <x v="12"/>
    <s v="L-&gt;R"/>
    <s v="No"/>
    <s v="Y54954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2"/>
  </r>
  <r>
    <n v="1185"/>
    <x v="0"/>
    <s v="C49"/>
    <n v="110416"/>
    <s v="Stock order"/>
    <x v="12"/>
    <s v="R-&gt;L"/>
    <s v="No"/>
    <s v="Y56411"/>
    <n v="1"/>
    <s v="盐保仓库"/>
    <d v="2021-05-06T00:00:00"/>
    <s v="NM"/>
    <s v="MAY 21"/>
    <m/>
    <s v="JPY"/>
    <s v="C49SZX20210063LC"/>
    <x v="155"/>
    <s v="YSM20R-2"/>
    <s v="R-&gt;L"/>
    <s v="No"/>
    <s v="OK"/>
    <s v="DAP SZ"/>
    <d v="2021-03-04T00:00:00"/>
    <x v="0"/>
    <m/>
    <m/>
    <m/>
    <s v="C200537332"/>
    <n v="301"/>
  </r>
  <r>
    <n v="1100"/>
    <x v="0"/>
    <s v="C49"/>
    <n v="110416"/>
    <s v="Stock order"/>
    <x v="12"/>
    <s v="R-&gt;L"/>
    <s v="No"/>
    <s v="Y56412"/>
    <n v="1"/>
    <s v="盐保仓库"/>
    <d v="2021-05-06T00:00:00"/>
    <s v="NM"/>
    <s v="MAY 21"/>
    <m/>
    <s v="JPY"/>
    <s v="C49SZX20210019JY"/>
    <x v="136"/>
    <s v="YSM20R-2"/>
    <s v="R-&gt;L"/>
    <s v="No"/>
    <s v="OK"/>
    <s v="DAP SZ"/>
    <d v="2021-01-27T00:00:00"/>
    <x v="0"/>
    <m/>
    <m/>
    <m/>
    <s v="C210440026"/>
    <n v="301"/>
  </r>
  <r>
    <n v="1101"/>
    <x v="0"/>
    <s v="C49"/>
    <n v="110416"/>
    <s v="Stock order"/>
    <x v="12"/>
    <s v="R-&gt;L"/>
    <s v="No"/>
    <s v="Y56413"/>
    <n v="1"/>
    <s v="盐保仓库"/>
    <d v="2021-05-06T00:00:00"/>
    <s v="NM"/>
    <s v="MAY 21"/>
    <m/>
    <s v="JPY"/>
    <s v="C49SZX20210019JY"/>
    <x v="136"/>
    <s v="YSM20R-2"/>
    <s v="R-&gt;L"/>
    <s v="No"/>
    <s v="OK"/>
    <s v="DAP SZ"/>
    <d v="2021-01-27T00:00:00"/>
    <x v="0"/>
    <m/>
    <m/>
    <m/>
    <s v="C210440026"/>
    <n v="301"/>
  </r>
  <r>
    <n v="1071"/>
    <x v="0"/>
    <s v="C49"/>
    <n v="110416"/>
    <s v="Stock order"/>
    <x v="12"/>
    <s v="L-&gt;R"/>
    <s v="No"/>
    <s v="Y56414"/>
    <n v="1"/>
    <s v="盐保仓库"/>
    <d v="2021-05-06T00:00:00"/>
    <s v="NM"/>
    <s v="MAY 21"/>
    <m/>
    <s v="JPY"/>
    <s v="C49SZX20210009MZ"/>
    <x v="237"/>
    <s v="YSM20R-2"/>
    <s v="L-&gt;R"/>
    <s v="No"/>
    <s v="OK"/>
    <s v="DAP HZ"/>
    <d v="2021-01-19T00:00:00"/>
    <x v="0"/>
    <m/>
    <m/>
    <m/>
    <s v="C170429029"/>
    <n v="303"/>
  </r>
  <r>
    <n v="1072"/>
    <x v="0"/>
    <s v="C49"/>
    <n v="110416"/>
    <s v="Stock order"/>
    <x v="12"/>
    <s v="L-&gt;R"/>
    <s v="No"/>
    <s v="Y56415"/>
    <n v="1"/>
    <s v="盐保仓库"/>
    <d v="2021-05-06T00:00:00"/>
    <s v="NM"/>
    <s v="MAY 21"/>
    <m/>
    <s v="JPY"/>
    <s v="C49SZX20210009MZ"/>
    <x v="237"/>
    <s v="YSM20R-2"/>
    <s v="L-&gt;R"/>
    <s v="No"/>
    <s v="OK"/>
    <s v="DAP HZ"/>
    <d v="2021-01-19T00:00:00"/>
    <x v="0"/>
    <m/>
    <m/>
    <m/>
    <s v="C170429029"/>
    <n v="303"/>
  </r>
  <r>
    <n v="1073"/>
    <x v="0"/>
    <s v="C49"/>
    <n v="110416"/>
    <s v="Stock order"/>
    <x v="12"/>
    <s v="L-&gt;R"/>
    <s v="No"/>
    <s v="Y56416"/>
    <n v="1"/>
    <s v="盐保仓库"/>
    <d v="2021-05-06T00:00:00"/>
    <s v="NM"/>
    <s v="MAY 21"/>
    <m/>
    <s v="JPY"/>
    <s v="C49SZX20210009MZ"/>
    <x v="237"/>
    <s v="YSM20R-2"/>
    <s v="L-&gt;R"/>
    <s v="No"/>
    <s v="OK"/>
    <s v="DAP HZ"/>
    <d v="2021-01-19T00:00:00"/>
    <x v="0"/>
    <m/>
    <m/>
    <m/>
    <s v="C170429029"/>
    <n v="302"/>
  </r>
  <r>
    <n v="1235"/>
    <x v="0"/>
    <s v="C49"/>
    <n v="110416"/>
    <s v="Stock order"/>
    <x v="12"/>
    <s v="L-&gt;R"/>
    <s v="No"/>
    <s v="Y56417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33"/>
    <x v="0"/>
    <s v="C49"/>
    <n v="110416"/>
    <s v="Stock order"/>
    <x v="12"/>
    <s v="L-&gt;R"/>
    <s v="No"/>
    <s v="Y56261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2"/>
  </r>
  <r>
    <n v="1237"/>
    <x v="0"/>
    <s v="C49"/>
    <n v="110416"/>
    <s v="Stock order"/>
    <x v="12"/>
    <s v="L-&gt;R"/>
    <s v="No"/>
    <s v="Y56418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143"/>
    <x v="0"/>
    <s v="C49"/>
    <s v="110248(拆单110408)"/>
    <s v="Stock order"/>
    <x v="1"/>
    <s v="R-&gt;L"/>
    <s v="MVC+ATS15"/>
    <s v="Y55552"/>
    <n v="1"/>
    <s v="力合仓库(已经清关)"/>
    <d v="2021-05-15T00:00:00"/>
    <s v="0.0605 PO用110362"/>
    <s v="JUN 21"/>
    <m/>
    <s v="RMB"/>
    <s v="C49SZX20210048SS"/>
    <x v="266"/>
    <s v="YSM10"/>
    <s v="L-&gt;R"/>
    <s v="MVC F&amp;R+ATS15"/>
    <s v="WRONG"/>
    <s v="含税到厂"/>
    <d v="2021-02-09T00:00:00"/>
    <x v="0"/>
    <m/>
    <m/>
    <m/>
    <s v="C210640498"/>
    <n v="302"/>
  </r>
  <r>
    <n v="1144"/>
    <x v="0"/>
    <s v="C49"/>
    <s v="110248(拆单110408)"/>
    <s v="Stock order"/>
    <x v="1"/>
    <s v="R-&gt;L"/>
    <s v="MVC+ATS15"/>
    <s v="Y55553"/>
    <n v="1"/>
    <s v="力合仓库(已经清关)"/>
    <d v="2021-05-15T00:00:00"/>
    <s v="0.0605 PO用110362"/>
    <s v="JUN 21"/>
    <m/>
    <s v="RMB"/>
    <s v="C49SZX20210048SS"/>
    <x v="266"/>
    <s v="YSM10"/>
    <s v="L-&gt;R"/>
    <s v="MVC F&amp;R+ATS15"/>
    <s v="WRONG"/>
    <s v="含税到厂"/>
    <d v="2021-02-09T00:00:00"/>
    <x v="0"/>
    <m/>
    <m/>
    <m/>
    <s v="C210640498"/>
    <n v="302"/>
  </r>
  <r>
    <n v="1335"/>
    <x v="0"/>
    <s v="C49"/>
    <n v="110248"/>
    <s v="Stock order"/>
    <x v="1"/>
    <s v="R-&gt;L"/>
    <s v="MVC+ATS15"/>
    <s v="Y55554"/>
    <n v="1"/>
    <s v="力合中转仓"/>
    <d v="2021-05-15T00:00:00"/>
    <s v="NM"/>
    <s v="JUN 21"/>
    <m/>
    <s v="JPY"/>
    <s v="C49SZX20210112JD"/>
    <x v="267"/>
    <s v="YSM10"/>
    <s v="L-&gt;R"/>
    <s v="MVC+ATS15"/>
    <s v="WRONG"/>
    <s v="DAP ZS"/>
    <d v="2021-04-14T00:00:00"/>
    <x v="0"/>
    <m/>
    <m/>
    <m/>
    <s v="C210440019"/>
    <n v="302"/>
  </r>
  <r>
    <n v="1278"/>
    <x v="0"/>
    <s v="C49"/>
    <n v="110248"/>
    <s v="Stock order"/>
    <x v="1"/>
    <s v="R-&gt;L"/>
    <s v="MVC"/>
    <s v="Y55543"/>
    <n v="1"/>
    <s v="力合中转仓"/>
    <d v="2021-05-15T00:00:00"/>
    <s v="NM"/>
    <s v="JUN 21"/>
    <m/>
    <s v="RMB"/>
    <s v="C49SZX20210085JL"/>
    <x v="268"/>
    <s v="YSM10"/>
    <s v="R-&gt;L"/>
    <s v="MVC"/>
    <s v="OK"/>
    <s v="DDP SZ"/>
    <d v="2021-03-16T00:00:00"/>
    <x v="0"/>
    <m/>
    <m/>
    <m/>
    <s v="C200336922"/>
    <n v="301"/>
  </r>
  <r>
    <n v="1336"/>
    <x v="0"/>
    <s v="C49"/>
    <s v="110248(拆单110465)"/>
    <s v="Stock order"/>
    <x v="1"/>
    <s v="R-&gt;L"/>
    <s v="MVC"/>
    <s v="Y55544"/>
    <n v="1"/>
    <s v="力合仓库(已经清关)"/>
    <d v="2021-05-15T00:00:00"/>
    <n v="5.9499999999999997E-2"/>
    <s v="JUN 21"/>
    <m/>
    <s v="RMB"/>
    <s v="C49SZX20210115DY"/>
    <x v="269"/>
    <s v="YSM10"/>
    <s v="L-&gt;R"/>
    <s v="MVC"/>
    <s v="WRONG"/>
    <s v="DDP SZ"/>
    <d v="2021-04-14T00:00:00"/>
    <x v="0"/>
    <m/>
    <m/>
    <m/>
    <s v="C210640328"/>
    <n v="301"/>
  </r>
  <r>
    <n v="1370"/>
    <x v="0"/>
    <s v="C49"/>
    <n v="110248"/>
    <s v="Stock order"/>
    <x v="1"/>
    <s v="R-&gt;L"/>
    <s v="No"/>
    <s v="Y55545"/>
    <n v="1"/>
    <s v="盐保仓库"/>
    <d v="2021-05-15T00:00:00"/>
    <s v="TBA"/>
    <s v="JUN 21"/>
    <m/>
    <s v="JPY"/>
    <s v="C49SZX20210149DY"/>
    <x v="270"/>
    <s v="YSM10"/>
    <s v="L-&gt;R"/>
    <s v="MVC"/>
    <s v="WRONG"/>
    <s v="CIF HK"/>
    <d v="2021-05-14T00:00:00"/>
    <x v="0"/>
    <m/>
    <m/>
    <m/>
    <s v="C210640305"/>
    <n v="312"/>
  </r>
  <r>
    <n v="1243"/>
    <x v="0"/>
    <s v="C49"/>
    <n v="110248"/>
    <s v="Stock order"/>
    <x v="1"/>
    <s v="R-&gt;L"/>
    <s v="No"/>
    <s v="Y55556"/>
    <n v="1"/>
    <s v="盐保仓库"/>
    <d v="2021-05-15T00:00:00"/>
    <s v="NM"/>
    <s v="JUN 21"/>
    <m/>
    <s v="JPY"/>
    <s v="C49SZX20210035SX"/>
    <x v="261"/>
    <s v="YSM10"/>
    <s v="L-&gt;R"/>
    <s v="No"/>
    <s v="WRONG"/>
    <s v="CIF HK"/>
    <d v="2021-03-09T00:00:00"/>
    <x v="0"/>
    <m/>
    <m/>
    <m/>
    <s v="C210440018"/>
    <n v="312"/>
  </r>
  <r>
    <n v="1378"/>
    <x v="0"/>
    <s v="C49"/>
    <n v="110248"/>
    <s v="Stock order"/>
    <x v="1"/>
    <s v="R-&gt;L"/>
    <s v="MVC"/>
    <s v="Y55547"/>
    <n v="1"/>
    <s v="盐保仓库"/>
    <d v="2021-05-15T00:00:00"/>
    <s v="NM"/>
    <s v="JUN 21"/>
    <m/>
    <s v="JPY"/>
    <s v="C49SZX20210153MZ"/>
    <x v="271"/>
    <s v="YSM10"/>
    <s v="L-&gt;R"/>
    <s v="MVC"/>
    <s v="WRONG"/>
    <s v="DAP SZ"/>
    <d v="2021-05-21T00:00:00"/>
    <x v="0"/>
    <m/>
    <m/>
    <m/>
    <s v="C210640437"/>
    <n v="301"/>
  </r>
  <r>
    <n v="1298"/>
    <x v="0"/>
    <s v="C49"/>
    <n v="110248"/>
    <s v="Stock order"/>
    <x v="1"/>
    <s v="R-&gt;L"/>
    <s v="MVC"/>
    <s v="Y55548"/>
    <n v="1"/>
    <s v="盐保仓库"/>
    <d v="2021-05-15T00:00:00"/>
    <s v="NM"/>
    <s v="MAY 21"/>
    <m/>
    <s v="JPY"/>
    <s v="C49SZX20210107SX"/>
    <x v="87"/>
    <s v="YSM10"/>
    <s v="R-&gt;L"/>
    <s v="MVC"/>
    <s v="OK"/>
    <s v="DAP DG"/>
    <d v="2021-04-07T00:00:00"/>
    <x v="0"/>
    <m/>
    <m/>
    <m/>
    <s v="C190735079"/>
    <n v="301"/>
  </r>
  <r>
    <n v="1297"/>
    <x v="0"/>
    <s v="C49"/>
    <n v="110248"/>
    <s v="Stock order"/>
    <x v="1"/>
    <s v="R-&gt;L"/>
    <s v="MVC"/>
    <s v="Y55549"/>
    <n v="1"/>
    <s v="盐保仓库"/>
    <d v="2021-05-15T00:00:00"/>
    <s v="Nm"/>
    <s v="MAY 21"/>
    <m/>
    <s v="JPY"/>
    <s v="C49SZX20210107SX"/>
    <x v="87"/>
    <s v="YSM10"/>
    <s v="L-&gt;R"/>
    <s v="MVC"/>
    <s v="WRONG"/>
    <s v="DAP DG"/>
    <d v="2021-04-07T00:00:00"/>
    <x v="0"/>
    <m/>
    <m/>
    <m/>
    <s v="C190735079"/>
    <n v="301"/>
  </r>
  <r>
    <n v="1244"/>
    <x v="0"/>
    <s v="C49"/>
    <n v="110248"/>
    <s v="Stock order"/>
    <x v="1"/>
    <s v="R-&gt;L"/>
    <s v="No"/>
    <s v="Y55546"/>
    <n v="1"/>
    <s v="盐保仓库"/>
    <d v="2021-05-15T00:00:00"/>
    <s v="NM"/>
    <s v="JUN 21"/>
    <m/>
    <s v="JPY"/>
    <s v="C49SZX20210035SX"/>
    <x v="261"/>
    <s v="YSM10"/>
    <s v="L-&gt;R"/>
    <s v="No"/>
    <s v="WRONG"/>
    <s v="CIF HK"/>
    <d v="2021-03-09T00:00:00"/>
    <x v="0"/>
    <m/>
    <m/>
    <m/>
    <s v="C210439741"/>
    <n v="301"/>
  </r>
  <r>
    <n v="1245"/>
    <x v="0"/>
    <s v="C49"/>
    <n v="110248"/>
    <s v="Stock order"/>
    <x v="1"/>
    <s v="R-&gt;L"/>
    <s v="No"/>
    <s v="Y55557"/>
    <n v="1"/>
    <s v="盐保仓库"/>
    <d v="2021-05-15T00:00:00"/>
    <s v="NM"/>
    <s v="JUN 21"/>
    <m/>
    <s v="JPY"/>
    <s v="C49SZX20210035SX"/>
    <x v="261"/>
    <s v="YSM10"/>
    <s v="L-&gt;R"/>
    <s v="No"/>
    <s v="WRONG"/>
    <s v="CIF HK"/>
    <d v="2021-03-09T00:00:00"/>
    <x v="0"/>
    <m/>
    <m/>
    <m/>
    <s v="C210440018"/>
    <n v="301"/>
  </r>
  <r>
    <n v="924"/>
    <x v="0"/>
    <s v="C28"/>
    <n v="110331"/>
    <s v="鸿通宇名义"/>
    <x v="13"/>
    <s v="L-&gt;R"/>
    <s v="No"/>
    <s v="Y55797"/>
    <n v="1"/>
    <s v="码头-&gt;准备清关"/>
    <d v="2021-05-22T00:00:00"/>
    <s v="TBA"/>
    <s v="MAY 21"/>
    <m/>
    <s v="RMB"/>
    <s v="C28SZX20200081KC"/>
    <x v="220"/>
    <s v="YSi-V"/>
    <s v="L-&gt;R"/>
    <s v="No"/>
    <s v="OK"/>
    <s v="含税到厂"/>
    <d v="2020-11-05T00:00:00"/>
    <x v="0"/>
    <m/>
    <m/>
    <m/>
    <s v="YES"/>
    <m/>
  </r>
  <r>
    <n v="925"/>
    <x v="0"/>
    <s v="C28"/>
    <n v="110331"/>
    <s v="鸿通宇名义"/>
    <x v="13"/>
    <s v="L-&gt;R"/>
    <s v="No"/>
    <s v="Y55798"/>
    <n v="1"/>
    <s v="码头-&gt;准备清关"/>
    <d v="2021-05-22T00:00:00"/>
    <s v="TBA"/>
    <s v="MAY 21"/>
    <m/>
    <s v="RMB"/>
    <s v="C28SZX20200081KC"/>
    <x v="220"/>
    <s v="YSi-V"/>
    <s v="L-&gt;R"/>
    <s v="No"/>
    <s v="OK"/>
    <s v="含税到厂"/>
    <d v="2020-11-05T00:00:00"/>
    <x v="0"/>
    <m/>
    <m/>
    <m/>
    <s v="YES"/>
    <m/>
  </r>
  <r>
    <n v="1418"/>
    <x v="0"/>
    <s v="C49"/>
    <n v="110246"/>
    <s v="Stock order"/>
    <x v="1"/>
    <s v="R-&gt;L"/>
    <s v="MVC+ATS15"/>
    <s v="Y56505"/>
    <n v="1"/>
    <s v="CY仓库"/>
    <d v="2021-05-22T00:00:00"/>
    <s v="NM"/>
    <s v="JUN 21"/>
    <m/>
    <s v="JPY"/>
    <s v="C49SZX20210141VG"/>
    <x v="257"/>
    <s v="YSM10"/>
    <s v="L-&gt;R"/>
    <s v="MVC+ATS15"/>
    <s v="WRONG"/>
    <s v="DAP SZ"/>
    <d v="2021-06-11T00:00:00"/>
    <x v="0"/>
    <m/>
    <m/>
    <m/>
    <s v="C210439928"/>
    <n v="311"/>
  </r>
  <r>
    <n v="1165"/>
    <x v="0"/>
    <s v="C49"/>
    <n v="110246"/>
    <s v="Stock order"/>
    <x v="1"/>
    <s v="R-&gt;L"/>
    <s v="MVC"/>
    <s v="Y56507"/>
    <n v="1"/>
    <s v="CY仓库"/>
    <d v="2021-05-22T00:00:00"/>
    <s v="NM"/>
    <s v="MAY 21"/>
    <m/>
    <s v="JPY"/>
    <s v="C49SZX20210056JL"/>
    <x v="22"/>
    <s v="YSM10"/>
    <s v="L-&gt;R"/>
    <s v="MVC"/>
    <s v="WRONG"/>
    <s v="CIF HK"/>
    <d v="2021-02-24T00:00:00"/>
    <x v="0"/>
    <m/>
    <m/>
    <m/>
    <s v="C170930271"/>
    <n v="301"/>
  </r>
  <r>
    <n v="1384"/>
    <x v="0"/>
    <s v="C49"/>
    <n v="110246"/>
    <s v="Stock order"/>
    <x v="1"/>
    <s v="R-&gt;L"/>
    <s v="MVC"/>
    <s v="Y56508"/>
    <n v="1"/>
    <s v="CY仓库"/>
    <d v="2021-05-22T00:00:00"/>
    <s v="NM"/>
    <s v="JUL 21"/>
    <m/>
    <s v="JPY"/>
    <s v="C49SZX20220057DZ"/>
    <x v="272"/>
    <s v="YSM10"/>
    <s v="R-&gt;L"/>
    <s v="MVC"/>
    <s v="OK"/>
    <s v="CIF HK"/>
    <d v="2021-05-24T00:00:00"/>
    <x v="0"/>
    <m/>
    <m/>
    <m/>
    <s v="C210640373"/>
    <n v="301"/>
  </r>
  <r>
    <n v="1365"/>
    <x v="0"/>
    <s v="C49"/>
    <n v="110246"/>
    <s v="Stock order"/>
    <x v="1"/>
    <s v="R-&gt;L"/>
    <s v="MVC"/>
    <s v="Y56509"/>
    <n v="1"/>
    <s v="力合仓库(已经清关)"/>
    <d v="2021-05-22T00:00:00"/>
    <s v="NM"/>
    <s v="MAY 21"/>
    <m/>
    <s v="RMB"/>
    <s v="C49SZX20210145SX"/>
    <x v="80"/>
    <s v="YSM10"/>
    <s v="L-&gt;R"/>
    <s v="MVC"/>
    <s v="WRONG"/>
    <s v="DDP SZ"/>
    <d v="2021-05-11T00:00:00"/>
    <x v="0"/>
    <m/>
    <m/>
    <m/>
    <s v="C171030541"/>
    <n v="301"/>
  </r>
  <r>
    <n v="1177"/>
    <x v="0"/>
    <s v="C49"/>
    <n v="110236"/>
    <s v="音品名义下单"/>
    <x v="12"/>
    <s v="R-&gt;L"/>
    <s v="No"/>
    <s v="Y55077"/>
    <n v="1"/>
    <s v="CY仓库"/>
    <d v="2021-05-22T00:00:00"/>
    <s v="NM"/>
    <s v="JUL 21"/>
    <m/>
    <s v="JPY"/>
    <s v="C49SZX20210057DZ"/>
    <x v="273"/>
    <s v="YSM20R-2"/>
    <s v="R-&gt;L"/>
    <s v="MVC"/>
    <s v="WRONG"/>
    <s v="CIF HK"/>
    <d v="2021-03-02T00:00:00"/>
    <x v="0"/>
    <m/>
    <m/>
    <m/>
    <s v="C120712916"/>
    <n v="301"/>
  </r>
  <r>
    <n v="1296"/>
    <x v="0"/>
    <s v="C49"/>
    <n v="110236"/>
    <s v="音品名义下单"/>
    <x v="12"/>
    <s v="R-&gt;L"/>
    <s v="No"/>
    <s v="Y55078"/>
    <n v="1"/>
    <s v="CY仓库"/>
    <d v="2021-05-22T00:00:00"/>
    <s v="TBA"/>
    <s v="MAY 21"/>
    <m/>
    <s v="JPY"/>
    <s v="C49SZX20210107SX"/>
    <x v="87"/>
    <s v="YSM20R-2"/>
    <s v="R-&gt;L"/>
    <s v="No"/>
    <s v="OK"/>
    <s v="DAP DG"/>
    <d v="2021-04-07T00:00:00"/>
    <x v="0"/>
    <m/>
    <m/>
    <m/>
    <s v="C190735079"/>
    <n v="301"/>
  </r>
  <r>
    <n v="1175"/>
    <x v="0"/>
    <s v="C49"/>
    <n v="110236"/>
    <s v="音品名义下单"/>
    <x v="12"/>
    <s v="L-&gt;R"/>
    <s v="No"/>
    <s v="Y55079"/>
    <n v="1"/>
    <s v="CY仓库"/>
    <d v="2021-05-22T00:00:00"/>
    <s v="NM"/>
    <s v="MAY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176"/>
    <x v="0"/>
    <s v="C49"/>
    <n v="110236"/>
    <s v="音品名义下单"/>
    <x v="12"/>
    <s v="L-&gt;R"/>
    <s v="No"/>
    <s v="Y55080"/>
    <n v="1"/>
    <s v="CY仓库"/>
    <d v="2021-05-22T00:00:00"/>
    <s v="NM"/>
    <s v="MAY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306"/>
    <x v="0"/>
    <s v="C49"/>
    <n v="110236"/>
    <s v="音品名义下单"/>
    <x v="12"/>
    <s v="L-&gt;R"/>
    <s v="No"/>
    <s v="Y55081,机器不能调动"/>
    <n v="1"/>
    <s v="CY仓库"/>
    <d v="2021-05-22T00:00:00"/>
    <s v="TBA"/>
    <s v="JUN 21"/>
    <m/>
    <s v="JPY"/>
    <s v="C49SZX20210096JL"/>
    <x v="274"/>
    <s v="YSM20R-2"/>
    <s v="L-&gt;R"/>
    <s v="No"/>
    <s v="OK"/>
    <s v="DAP SZ"/>
    <d v="2021-04-02T00:00:00"/>
    <x v="0"/>
    <m/>
    <m/>
    <m/>
    <s v="C210540119"/>
    <n v="301"/>
  </r>
  <r>
    <n v="1452"/>
    <x v="0"/>
    <s v="C49"/>
    <s v="110236（拆单110363）"/>
    <s v="音品名义下单"/>
    <x v="12"/>
    <s v="L-&gt;R"/>
    <s v="MVC"/>
    <s v="Y55082"/>
    <n v="1"/>
    <s v="CY仓库"/>
    <d v="2021-05-22T00:00:00"/>
    <n v="6.0499999999999998E-2"/>
    <s v="JUL 21"/>
    <m/>
    <s v="JPY"/>
    <s v="HKFR-ESE-2021071301"/>
    <x v="275"/>
    <s v="YSM20R-2"/>
    <s v="L-&gt;R"/>
    <s v="MVC"/>
    <s v="OK"/>
    <s v="CIF HK"/>
    <d v="2021-07-14T00:00:00"/>
    <x v="0"/>
    <m/>
    <m/>
    <m/>
    <s v="C200437262"/>
    <n v="301"/>
  </r>
  <r>
    <n v="1146"/>
    <x v="0"/>
    <s v="C49"/>
    <s v="110236（拆单110363）"/>
    <s v="音品名义下单"/>
    <x v="12"/>
    <s v="L-&gt;R"/>
    <s v="MVC"/>
    <s v="Y55083"/>
    <n v="1"/>
    <s v="力合中转仓"/>
    <d v="2021-05-22T00:00:00"/>
    <n v="6.0499999999999998E-2"/>
    <s v="JUN 21"/>
    <m/>
    <s v="RMB"/>
    <s v="C49SZX20210048SS"/>
    <x v="266"/>
    <s v="YSM20R-2"/>
    <s v="L-&gt;R"/>
    <s v="MVC"/>
    <s v="OK"/>
    <s v="含税到厂"/>
    <d v="2021-02-09T00:00:00"/>
    <x v="0"/>
    <m/>
    <m/>
    <m/>
    <s v="C210640498"/>
    <n v="301"/>
  </r>
  <r>
    <n v="1256"/>
    <x v="0"/>
    <s v="C49"/>
    <n v="110236"/>
    <s v="音品名义下单"/>
    <x v="12"/>
    <s v="L-&gt;R"/>
    <s v="MVC"/>
    <s v="Y55084"/>
    <n v="1"/>
    <s v="盐保仓库"/>
    <d v="2021-05-22T00:00:00"/>
    <s v="NM"/>
    <s v="JUN 21"/>
    <m/>
    <s v="JPY"/>
    <s v="C49SZX20210081MZ"/>
    <x v="90"/>
    <s v="YSM20R-2"/>
    <s v="L-&gt;R"/>
    <s v="No"/>
    <s v="WRONG"/>
    <s v="CIF HK"/>
    <d v="2021-03-13T00:00:00"/>
    <x v="0"/>
    <m/>
    <m/>
    <m/>
    <s v="C210439739"/>
    <n v="312"/>
  </r>
  <r>
    <n v="1257"/>
    <x v="0"/>
    <s v="C49"/>
    <n v="110236"/>
    <s v="音品名义下单"/>
    <x v="12"/>
    <s v="L-&gt;R"/>
    <s v="MVC"/>
    <s v="Y55085"/>
    <n v="1"/>
    <s v="盐保仓库"/>
    <d v="2021-05-22T00:00:00"/>
    <s v="NM"/>
    <s v="JUN 21"/>
    <m/>
    <s v="JPY"/>
    <s v="C49SZX20210081MZ"/>
    <x v="90"/>
    <s v="YSM20R-2"/>
    <s v="L-&gt;R"/>
    <s v="No"/>
    <s v="WRONG"/>
    <s v="CIF HK"/>
    <d v="2021-03-13T00:00:00"/>
    <x v="0"/>
    <m/>
    <m/>
    <m/>
    <s v="C210439739"/>
    <n v="312"/>
  </r>
  <r>
    <n v="1145"/>
    <x v="0"/>
    <s v="C49"/>
    <s v="110236(拆单110475)"/>
    <s v="音品名义下单"/>
    <x v="12"/>
    <s v="L-&gt;R"/>
    <s v="MVC"/>
    <s v="Y55086"/>
    <n v="1"/>
    <s v="盐保仓库"/>
    <d v="2021-05-22T00:00:00"/>
    <n v="5.9299999999999999E-2"/>
    <s v="JUN 21"/>
    <m/>
    <s v="RMB"/>
    <s v="C49SZX20210048SS"/>
    <x v="266"/>
    <s v="YSM20R-2"/>
    <s v="L-&gt;R"/>
    <s v="MVC"/>
    <s v="OK"/>
    <s v="含税到厂"/>
    <d v="2021-02-09T00:00:00"/>
    <x v="0"/>
    <m/>
    <m/>
    <m/>
    <s v="C210640498"/>
    <n v="312"/>
  </r>
  <r>
    <n v="1189"/>
    <x v="0"/>
    <s v="C49"/>
    <n v="110437"/>
    <s v="Stock order"/>
    <x v="12"/>
    <s v="L-&gt;R"/>
    <s v="No"/>
    <s v="Y56419"/>
    <n v="1"/>
    <s v="力合仓库(已经清关)"/>
    <d v="2021-05-22T00:00:00"/>
    <n v="5.9299999999999999E-2"/>
    <s v="JUN 21"/>
    <m/>
    <s v="RMB"/>
    <s v="C49SZX20210156DZ"/>
    <x v="146"/>
    <s v="YSM20R-2"/>
    <s v="L-&gt;R"/>
    <s v="No"/>
    <s v="OK"/>
    <s v="DDP SZ"/>
    <d v="2021-03-05T00:00:00"/>
    <x v="0"/>
    <m/>
    <m/>
    <m/>
    <s v="C210640335"/>
    <n v="302"/>
  </r>
  <r>
    <n v="1131"/>
    <x v="0"/>
    <s v="C49"/>
    <s v="110437(拆单110410)"/>
    <s v="Stock order"/>
    <x v="12"/>
    <s v="L-&gt;R"/>
    <s v="No"/>
    <s v="Y56420"/>
    <n v="1"/>
    <s v="力合仓库(已经清关)"/>
    <d v="2021-05-22T00:00:00"/>
    <n v="5.9900000000000002E-2"/>
    <s v="JUN 21"/>
    <m/>
    <s v="RMB"/>
    <s v="C49SZX20210040DY"/>
    <x v="276"/>
    <s v="YSM20R-2"/>
    <s v="L-&gt;R"/>
    <s v="No"/>
    <s v="OK"/>
    <s v="含税到厂"/>
    <d v="2021-02-03T00:00:00"/>
    <x v="0"/>
    <m/>
    <m/>
    <m/>
    <s v="C210339473"/>
    <n v="302"/>
  </r>
  <r>
    <n v="1169"/>
    <x v="0"/>
    <s v="C49"/>
    <s v="110437(拆单110365）"/>
    <s v="Stock order"/>
    <x v="12"/>
    <s v="L-&gt;R"/>
    <s v="No"/>
    <s v="Y56421"/>
    <n v="1"/>
    <s v="力合仓库(已经清关)"/>
    <d v="2021-05-22T00:00:00"/>
    <s v="NM，PO用110272"/>
    <s v="MAY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2"/>
  </r>
  <r>
    <n v="1180"/>
    <x v="0"/>
    <s v="C49"/>
    <s v="110437(拆单110365）"/>
    <s v="Stock order"/>
    <x v="12"/>
    <s v="L-&gt;R"/>
    <s v="No"/>
    <s v="Y56422"/>
    <n v="1"/>
    <s v="力合仓库(已经清关)"/>
    <d v="2021-05-22T00:00:00"/>
    <n v="6.0499999999999998E-2"/>
    <s v="JUN 21"/>
    <m/>
    <s v="JPY"/>
    <s v="C49SZX20210065JD"/>
    <x v="267"/>
    <s v="YSM20R-2"/>
    <s v="L-&gt;R"/>
    <s v="No"/>
    <s v="OK"/>
    <s v="DAP ZS"/>
    <d v="2021-03-03T00:00:00"/>
    <x v="0"/>
    <m/>
    <m/>
    <m/>
    <s v="C210440019"/>
    <n v="302"/>
  </r>
  <r>
    <n v="1307"/>
    <x v="0"/>
    <s v="C49"/>
    <n v="110397"/>
    <s v="杉川名义"/>
    <x v="11"/>
    <s v="L-&gt;R"/>
    <s v="cATS10+MVC(F&amp;R)+Feeder Carriage"/>
    <s v="Y57133"/>
    <n v="1"/>
    <s v="CY仓库"/>
    <d v="2021-05-24T00:00:00"/>
    <m/>
    <s v="JUN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YES"/>
    <m/>
  </r>
  <r>
    <n v="1318"/>
    <x v="0"/>
    <s v="C49"/>
    <n v="110397"/>
    <s v="杉川名义"/>
    <x v="11"/>
    <s v="L-&gt;R"/>
    <s v="No"/>
    <s v="Y57131"/>
    <n v="1"/>
    <s v="CY仓库"/>
    <d v="2021-05-24T00:00:00"/>
    <m/>
    <s v="JUN 21"/>
    <m/>
    <s v="JPY"/>
    <s v="C49SZX20210096JL"/>
    <x v="274"/>
    <s v="YSM20WR-2"/>
    <s v="L-&gt;R"/>
    <s v="No"/>
    <s v="OK"/>
    <s v="DAP SZ"/>
    <d v="2021-04-02T00:00:00"/>
    <x v="0"/>
    <m/>
    <m/>
    <m/>
    <s v="YES"/>
    <m/>
  </r>
  <r>
    <n v="1311"/>
    <x v="0"/>
    <s v="C49"/>
    <n v="110397"/>
    <s v="杉川名义"/>
    <x v="11"/>
    <s v="L-&gt;R"/>
    <s v="No"/>
    <s v="Y57132"/>
    <n v="1"/>
    <s v="CY仓库"/>
    <d v="2021-05-24T00:00:00"/>
    <m/>
    <s v="JUN 21"/>
    <m/>
    <s v="JPY"/>
    <s v="C49SZX20210096JL"/>
    <x v="274"/>
    <s v="YSM20WR-2"/>
    <s v="L-&gt;R"/>
    <s v="MVC"/>
    <s v="WRONG"/>
    <s v="DAP SZ"/>
    <d v="2021-04-02T00:00:00"/>
    <x v="0"/>
    <m/>
    <m/>
    <m/>
    <s v="YES"/>
    <m/>
  </r>
  <r>
    <n v="945"/>
    <x v="0"/>
    <s v="C49"/>
    <n v="110384"/>
    <s v="正创名义下单"/>
    <x v="12"/>
    <s v="L-&gt;R"/>
    <s v="No"/>
    <s v="Y56656"/>
    <n v="1"/>
    <s v="CY仓库"/>
    <d v="2021-05-30T00:00:00"/>
    <s v="NM"/>
    <s v="JUN 21"/>
    <m/>
    <s v="JPY"/>
    <s v="C49SZX20200213MX"/>
    <x v="277"/>
    <s v="YSM20R-2"/>
    <s v="L-&gt;R"/>
    <s v="No"/>
    <s v="OK"/>
    <s v="DAP SZ"/>
    <d v="2020-11-18T00:00:00"/>
    <x v="0"/>
    <m/>
    <m/>
    <m/>
    <s v="C210540191"/>
    <n v="301"/>
  </r>
  <r>
    <n v="853"/>
    <x v="0"/>
    <s v="C49"/>
    <n v="110384"/>
    <s v="正创名义下单"/>
    <x v="12"/>
    <s v="L-&gt;R"/>
    <s v="No"/>
    <s v="Y56657"/>
    <n v="1"/>
    <s v="CY仓库"/>
    <d v="2021-05-30T00:00:00"/>
    <s v="NM"/>
    <s v="JUL 21"/>
    <m/>
    <s v="JPY"/>
    <s v="C49SZX20200176SX"/>
    <x v="37"/>
    <s v="YSM20R-2"/>
    <s v="L-&gt;R"/>
    <s v="No"/>
    <s v="OK"/>
    <s v="DAP DG"/>
    <d v="2020-09-24T00:00:00"/>
    <x v="0"/>
    <m/>
    <m/>
    <m/>
    <s v="C140518616"/>
    <n v="301"/>
  </r>
  <r>
    <n v="1179"/>
    <x v="0"/>
    <s v="C49"/>
    <n v="110384"/>
    <s v="正创名义下单"/>
    <x v="12"/>
    <s v="L-&gt;R"/>
    <s v="No"/>
    <s v="Y56658"/>
    <n v="1"/>
    <s v="CY仓库"/>
    <d v="2021-05-30T00:00:00"/>
    <s v="NM"/>
    <s v="JUN 21"/>
    <m/>
    <s v="JPY"/>
    <s v="C49SZX20210062JY"/>
    <x v="95"/>
    <s v="YSM20R-2"/>
    <s v="L-&gt;R"/>
    <s v="No"/>
    <s v="OK"/>
    <s v="DAP SZ"/>
    <d v="2021-03-02T00:00:00"/>
    <x v="0"/>
    <m/>
    <m/>
    <m/>
    <s v="C190935542"/>
    <n v="301"/>
  </r>
  <r>
    <n v="1412"/>
    <x v="0"/>
    <s v="C49"/>
    <n v="110384"/>
    <s v="正创名义下单"/>
    <x v="12"/>
    <s v="L-&gt;R"/>
    <s v="No"/>
    <s v="Y56659"/>
    <n v="1"/>
    <s v="CY仓库"/>
    <d v="2021-05-30T00:00:00"/>
    <s v="NM"/>
    <s v="JUL 21"/>
    <m/>
    <s v="JPY"/>
    <s v="C49SZX20210095JL"/>
    <x v="102"/>
    <s v="YSM20R-2"/>
    <s v="L-&gt;R"/>
    <s v="No"/>
    <s v="OK"/>
    <s v="CIF HK"/>
    <d v="2021-06-08T00:00:00"/>
    <x v="0"/>
    <m/>
    <m/>
    <m/>
    <s v="C190735075"/>
    <n v="301"/>
  </r>
  <r>
    <n v="1413"/>
    <x v="0"/>
    <s v="C49"/>
    <n v="110384"/>
    <s v="正创名义下单"/>
    <x v="12"/>
    <s v="L-&gt;R"/>
    <s v="No"/>
    <s v="Y56660"/>
    <n v="1"/>
    <s v="CY仓库"/>
    <d v="2021-05-30T00:00:00"/>
    <s v="NM"/>
    <s v="JUL 21"/>
    <m/>
    <s v="JPY"/>
    <s v="C49SZX20210095JL"/>
    <x v="102"/>
    <s v="YSM20R-2"/>
    <s v="L-&gt;R"/>
    <s v="No"/>
    <s v="OK"/>
    <s v="CIF HK"/>
    <d v="2021-06-08T00:00:00"/>
    <x v="0"/>
    <m/>
    <m/>
    <m/>
    <s v="C190735075"/>
    <n v="301"/>
  </r>
  <r>
    <n v="1264"/>
    <x v="0"/>
    <s v="C49"/>
    <n v="110384"/>
    <s v="正创名义下单"/>
    <x v="12"/>
    <s v="L-&gt;R"/>
    <s v="No"/>
    <s v="Y56661"/>
    <n v="1"/>
    <s v="CY仓库"/>
    <d v="2021-05-30T00:00:00"/>
    <s v="NM"/>
    <s v="JUL 21"/>
    <m/>
    <s v="JPY"/>
    <s v="C49SZX20210087SX"/>
    <x v="278"/>
    <s v="YSM20R-2"/>
    <s v="L-&gt;R"/>
    <s v="No"/>
    <s v="OK"/>
    <s v="DAP DG"/>
    <d v="2021-03-16T00:00:00"/>
    <x v="0"/>
    <m/>
    <m/>
    <m/>
    <s v="C210440016"/>
    <n v="301"/>
  </r>
  <r>
    <n v="854"/>
    <x v="0"/>
    <s v="C49"/>
    <n v="110384"/>
    <s v="正创名义下单"/>
    <x v="12"/>
    <s v="R-&gt;L"/>
    <s v="No"/>
    <s v="Y56662"/>
    <n v="1"/>
    <s v="CY仓库"/>
    <d v="2021-05-30T00:00:00"/>
    <s v="NM"/>
    <s v="JUL 21"/>
    <m/>
    <s v="JPY"/>
    <s v="C49SZX20200176SX"/>
    <x v="37"/>
    <s v="YSM20R-2"/>
    <s v="R-&gt;L"/>
    <s v="No"/>
    <s v="OK"/>
    <s v="DAP DG"/>
    <d v="2020-09-24T00:00:00"/>
    <x v="0"/>
    <m/>
    <m/>
    <m/>
    <s v="C140518616"/>
    <n v="301"/>
  </r>
  <r>
    <n v="1268"/>
    <x v="0"/>
    <s v="C49"/>
    <n v="110450"/>
    <s v="Stock order"/>
    <x v="1"/>
    <s v="R-&gt;L"/>
    <s v="MVC"/>
    <s v="Y57236"/>
    <n v="1"/>
    <s v="CY仓库"/>
    <d v="2021-05-30T00:00:00"/>
    <s v="NM"/>
    <s v="JUN 21"/>
    <m/>
    <s v="JPY"/>
    <s v="C49SZX20210075JL"/>
    <x v="68"/>
    <s v="YSM10"/>
    <s v="L-&gt;R"/>
    <s v="MVC"/>
    <s v="WRONG"/>
    <s v="DAP SZ"/>
    <d v="2021-03-11T00:00:00"/>
    <x v="0"/>
    <m/>
    <m/>
    <m/>
    <s v="C170128496"/>
    <n v="311"/>
  </r>
  <r>
    <n v="1269"/>
    <x v="0"/>
    <s v="C49"/>
    <n v="110450"/>
    <s v="Stock order"/>
    <x v="1"/>
    <s v="R-&gt;L"/>
    <s v="MVC"/>
    <s v="Y57237"/>
    <n v="1"/>
    <s v="CY仓库"/>
    <d v="2021-05-30T00:00:00"/>
    <s v="NM"/>
    <s v="JUN 21"/>
    <m/>
    <s v="JPY"/>
    <s v="C49SZX20210075JL"/>
    <x v="68"/>
    <s v="YSM10"/>
    <s v="L-&gt;R"/>
    <s v="MVC"/>
    <s v="WRONG"/>
    <s v="DAP SZ"/>
    <d v="2021-03-11T00:00:00"/>
    <x v="0"/>
    <m/>
    <m/>
    <m/>
    <s v="C170128496"/>
    <n v="311"/>
  </r>
  <r>
    <n v="1350"/>
    <x v="0"/>
    <s v="C49"/>
    <n v="110450"/>
    <s v="Stock order"/>
    <x v="1"/>
    <s v="R-&gt;L"/>
    <s v="MVC"/>
    <s v="Y57238"/>
    <n v="1"/>
    <s v="CY仓库"/>
    <d v="2021-05-30T00:00:00"/>
    <s v="NM"/>
    <s v="JUN 21"/>
    <m/>
    <s v="JPY"/>
    <s v="C49SZX20210124JL"/>
    <x v="279"/>
    <s v="YSM10"/>
    <s v="L-&gt;R"/>
    <s v="MVC"/>
    <s v="WRONG"/>
    <s v="DAP SZ"/>
    <d v="2021-04-22T00:00:00"/>
    <x v="0"/>
    <m/>
    <m/>
    <m/>
    <s v="C210540181"/>
    <n v="311"/>
  </r>
  <r>
    <n v="1385"/>
    <x v="0"/>
    <s v="C49"/>
    <s v="110450(拆单110430)"/>
    <s v="Stock order"/>
    <x v="1"/>
    <s v="R-&gt;L"/>
    <s v="MVC"/>
    <s v="Y57239"/>
    <n v="1"/>
    <s v="CY仓库"/>
    <d v="2021-05-30T00:00:00"/>
    <s v="NM, PO 用110227"/>
    <s v="JUL 21"/>
    <m/>
    <s v="JPY"/>
    <s v="C49SZX20220057DZ"/>
    <x v="272"/>
    <s v="YSM10"/>
    <s v="R-&gt;L"/>
    <s v="MVC"/>
    <s v="OK"/>
    <s v="CIF HK"/>
    <d v="2021-05-24T00:00:00"/>
    <x v="0"/>
    <m/>
    <m/>
    <m/>
    <s v="C210640373"/>
    <n v="301"/>
  </r>
  <r>
    <n v="1386"/>
    <x v="0"/>
    <s v="C49"/>
    <s v="110450(拆单110430)"/>
    <s v="Stock order"/>
    <x v="1"/>
    <s v="R-&gt;L"/>
    <s v="MVC"/>
    <s v="Y57240"/>
    <n v="1"/>
    <s v="CY仓库"/>
    <d v="2021-05-30T00:00:00"/>
    <n v="6.0600000000000001E-2"/>
    <s v="JUL 21"/>
    <m/>
    <s v="JPY"/>
    <s v="C49SZX20220057DZ"/>
    <x v="272"/>
    <s v="YSM10"/>
    <s v="R-&gt;L"/>
    <s v="MVC"/>
    <s v="OK"/>
    <s v="CIF HK"/>
    <d v="2021-05-24T00:00:00"/>
    <x v="0"/>
    <m/>
    <m/>
    <m/>
    <s v="C210640373"/>
    <n v="301"/>
  </r>
  <r>
    <n v="1271"/>
    <x v="0"/>
    <s v="C49"/>
    <n v="110449"/>
    <s v="Stock order"/>
    <x v="1"/>
    <s v="R-&gt;L"/>
    <s v="No"/>
    <s v="Y56510"/>
    <n v="1"/>
    <s v="CY仓库"/>
    <d v="2021-05-30T00:00:00"/>
    <s v="NM"/>
    <s v="JUN 21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272"/>
    <x v="0"/>
    <s v="C49"/>
    <n v="110449"/>
    <s v="Stock order"/>
    <x v="1"/>
    <s v="R-&gt;L"/>
    <s v="No"/>
    <s v="Y56511"/>
    <n v="1"/>
    <s v="CY仓库"/>
    <d v="2021-05-30T00:00:00"/>
    <s v="NM"/>
    <s v="JUN 21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375"/>
    <x v="0"/>
    <s v="C49"/>
    <n v="110449"/>
    <s v="Stock order"/>
    <x v="1"/>
    <s v="R-&gt;L"/>
    <s v="MVC+96 FEEDER PLATE (YSM10) "/>
    <s v="Y56512"/>
    <n v="1"/>
    <s v="CY仓库"/>
    <d v="2021-05-30T00:00:00"/>
    <s v="NM"/>
    <s v="JUN 21"/>
    <m/>
    <s v="JPY"/>
    <s v="C49SZX20210138JL"/>
    <x v="77"/>
    <s v="YSM10"/>
    <s v="L-&gt;R"/>
    <s v="MVC+96 FEEDER PLATE (YSM10) "/>
    <s v="WRONG"/>
    <s v="CIF HK"/>
    <d v="2021-05-17T00:00:00"/>
    <x v="0"/>
    <m/>
    <m/>
    <m/>
    <s v="C190133876"/>
    <n v="301"/>
  </r>
  <r>
    <n v="1351"/>
    <x v="0"/>
    <s v="C49"/>
    <n v="110449"/>
    <s v="Stock order"/>
    <x v="1"/>
    <s v="R-&gt;L"/>
    <s v="MVC"/>
    <s v="Y56513"/>
    <n v="1"/>
    <s v="CY仓库"/>
    <d v="2021-05-30T00:00:00"/>
    <s v="TBA"/>
    <s v="JUN 21"/>
    <m/>
    <s v="JPY"/>
    <s v="C49SZX20210123JY"/>
    <x v="265"/>
    <s v="YSM10"/>
    <s v="L-&gt;R"/>
    <s v="MVC"/>
    <s v="WRONG"/>
    <s v="DAP SZ"/>
    <d v="2021-04-27T00:00:00"/>
    <x v="0"/>
    <m/>
    <m/>
    <m/>
    <s v="C150222453"/>
    <n v="301"/>
  </r>
  <r>
    <n v="1151"/>
    <x v="0"/>
    <s v="C49"/>
    <n v="110352"/>
    <s v="晶科名义下单"/>
    <x v="6"/>
    <s v="L-&gt;R"/>
    <s v="No"/>
    <s v="Y55599"/>
    <n v="1"/>
    <s v="CY仓库"/>
    <d v="2021-06-06T00:00:00"/>
    <s v="NM"/>
    <s v="JUN 21"/>
    <m/>
    <s v="JPY"/>
    <s v="C49SZX20210219KW"/>
    <x v="102"/>
    <s v="SIGMA G5S2"/>
    <s v="No"/>
    <s v="No"/>
    <s v="WRONG"/>
    <s v="CIF HK"/>
    <d v="2021-02-25T00:00:00"/>
    <x v="0"/>
    <m/>
    <m/>
    <m/>
    <s v="IND order "/>
    <m/>
  </r>
  <r>
    <n v="1186"/>
    <x v="0"/>
    <s v="C49"/>
    <n v="110380"/>
    <s v="嘉裕名义下单"/>
    <x v="12"/>
    <s v="L-&gt;R"/>
    <s v="cATS30+MVC(F&amp;R)+10pallet for cATS30+交换台车"/>
    <s v="Y55600"/>
    <n v="1"/>
    <s v="CY仓库"/>
    <d v="2021-06-06T00:00:00"/>
    <s v="NM"/>
    <s v="JUN 21"/>
    <m/>
    <s v="JPY"/>
    <s v="C49SZX20210161DZ"/>
    <x v="75"/>
    <s v="YSM20R-2"/>
    <s v="L-&gt;R"/>
    <s v="cATS30+MVC(F&amp;R)+10pallet for cATS30+交换台车"/>
    <s v="OK"/>
    <s v="CIF HK"/>
    <d v="2021-03-05T00:00:00"/>
    <x v="0"/>
    <m/>
    <m/>
    <m/>
    <s v="YES"/>
    <m/>
  </r>
  <r>
    <n v="1187"/>
    <x v="0"/>
    <s v="C49"/>
    <n v="110380"/>
    <s v="嘉裕名义下单"/>
    <x v="12"/>
    <s v="L-&gt;R"/>
    <s v="MVC(F&amp;R)+10pallet for cATS10+交换台车"/>
    <s v="Y55601"/>
    <n v="1"/>
    <s v="CY仓库"/>
    <d v="2021-06-06T00:00:00"/>
    <s v="NM"/>
    <s v="JUN 21"/>
    <m/>
    <s v="JPY"/>
    <s v="C49SZX20210161DZ"/>
    <x v="75"/>
    <s v="YSM20R-2"/>
    <s v="L-&gt;R"/>
    <s v="MVC(F&amp;R)+10pallet for cATS10+交换台车"/>
    <s v="OK"/>
    <s v="CIF HK"/>
    <d v="2021-03-05T00:00:00"/>
    <x v="0"/>
    <m/>
    <m/>
    <m/>
    <s v="YES"/>
    <m/>
  </r>
  <r>
    <n v="1266"/>
    <x v="0"/>
    <s v="C49"/>
    <n v="110481"/>
    <s v="Stock order"/>
    <x v="1"/>
    <s v="R-&gt;L"/>
    <s v="MVC+ATS15"/>
    <s v="Y56506"/>
    <n v="1"/>
    <s v="华日仓库中转"/>
    <d v="2021-06-19T00:00:00"/>
    <s v="TBA"/>
    <s v="JUL 21"/>
    <m/>
    <s v="JPY"/>
    <s v="C49SZX20210088SX"/>
    <x v="281"/>
    <s v="YSM10"/>
    <s v="L-&gt;R"/>
    <s v="MVC+ATS15"/>
    <s v="WRONG"/>
    <s v="DAP SZ"/>
    <d v="2021-03-17T00:00:00"/>
    <x v="0"/>
    <m/>
    <m/>
    <m/>
    <s v="C210440022"/>
    <n v="311"/>
  </r>
  <r>
    <n v="1247"/>
    <x v="0"/>
    <s v="C49"/>
    <n v="110479"/>
    <s v="Stock order"/>
    <x v="12"/>
    <s v="L-&gt;R"/>
    <s v="cATS10+MVC+special layout"/>
    <s v="Y56425"/>
    <n v="1"/>
    <s v="CY仓库"/>
    <d v="2021-06-19T00:00:00"/>
    <s v="NM"/>
    <s v="JUL 21"/>
    <m/>
    <s v="JPY"/>
    <s v="C49SZX20210061SX"/>
    <x v="185"/>
    <s v="YSM20R-2"/>
    <s v="L-&gt;R"/>
    <s v="cATS10+MVC+special layout"/>
    <s v="OK"/>
    <s v="DAP SZ"/>
    <d v="2021-03-10T00:00:00"/>
    <x v="0"/>
    <m/>
    <m/>
    <m/>
    <s v="C200938204"/>
    <n v="303"/>
  </r>
  <r>
    <n v="1249"/>
    <x v="0"/>
    <s v="C49"/>
    <n v="110452"/>
    <s v="Stock order"/>
    <x v="12"/>
    <s v="L-&gt;R"/>
    <s v="No"/>
    <s v="Y57089"/>
    <n v="1"/>
    <s v="CY仓库"/>
    <d v="2021-06-19T00:00:00"/>
    <s v="NM"/>
    <s v="JUL 21"/>
    <m/>
    <s v="JPY"/>
    <s v="C49SZX20210071SS"/>
    <x v="282"/>
    <s v="YSM20R-2"/>
    <s v="L-&gt;R"/>
    <s v="No"/>
    <s v="OK"/>
    <s v="DAP SZ"/>
    <d v="2021-03-06T00:00:00"/>
    <x v="0"/>
    <m/>
    <m/>
    <m/>
    <s v="C210540145"/>
    <n v="301"/>
  </r>
  <r>
    <n v="1453"/>
    <x v="0"/>
    <s v="C49"/>
    <n v="110452"/>
    <s v="Stock order"/>
    <x v="12"/>
    <s v="L-&gt;R"/>
    <s v="MVC"/>
    <s v="Y57090"/>
    <n v="1"/>
    <s v="CY仓库"/>
    <d v="2021-06-19T00:00:00"/>
    <s v="NM"/>
    <s v="JUL 21"/>
    <m/>
    <s v="JPY"/>
    <s v="HKFR-ESE-2021071301"/>
    <x v="275"/>
    <s v="YSM20R-2"/>
    <s v="L-&gt;R"/>
    <s v="MVC"/>
    <s v="OK"/>
    <s v="CIF HK"/>
    <d v="2021-07-14T00:00:00"/>
    <x v="0"/>
    <m/>
    <m/>
    <m/>
    <s v="C200437262"/>
    <n v="301"/>
  </r>
  <r>
    <n v="1329"/>
    <x v="0"/>
    <s v="C49"/>
    <n v="110452"/>
    <s v="Stock order"/>
    <x v="12"/>
    <s v="L-&gt;R"/>
    <s v="No"/>
    <s v="Y57091"/>
    <n v="1"/>
    <s v="CY仓库"/>
    <d v="2021-06-19T00:00:00"/>
    <s v="NM"/>
    <s v="AUG 21"/>
    <m/>
    <s v="JPY"/>
    <s v="C49SZX20210178JY"/>
    <x v="283"/>
    <s v="YSM20R-2"/>
    <s v="L-&gt;R"/>
    <s v="No"/>
    <s v="OK"/>
    <s v="DAP SZ"/>
    <d v="2021-04-14T00:00:00"/>
    <x v="0"/>
    <m/>
    <m/>
    <m/>
    <s v="C191236328"/>
    <n v="301"/>
  </r>
  <r>
    <n v="1265"/>
    <x v="0"/>
    <s v="C49"/>
    <n v="110452"/>
    <s v="Stock order"/>
    <x v="12"/>
    <s v="L-&gt;R"/>
    <s v="No"/>
    <s v="Y57092"/>
    <n v="1"/>
    <s v="华日仓库中转"/>
    <d v="2021-06-19T00:00:00"/>
    <s v="NM"/>
    <s v="JUL 21"/>
    <m/>
    <s v="JPY"/>
    <s v="C49SZX20210088SX"/>
    <x v="281"/>
    <s v="YSM20R-2"/>
    <s v="L-&gt;R"/>
    <s v="No"/>
    <s v="OK"/>
    <s v="DAP SZ"/>
    <d v="2021-03-17T00:00:00"/>
    <x v="0"/>
    <m/>
    <m/>
    <m/>
    <s v="C210440022"/>
    <n v="301"/>
  </r>
  <r>
    <n v="1303"/>
    <x v="0"/>
    <s v="C49"/>
    <n v="110402"/>
    <s v="杉川名义"/>
    <x v="0"/>
    <s v="L-&gt;R"/>
    <s v="No"/>
    <s v="Y57169,机器不能调动"/>
    <n v="1"/>
    <s v="前海保税区"/>
    <d v="2021-06-28T00:00:00"/>
    <s v="NM"/>
    <s v="JUL 21"/>
    <m/>
    <s v="JPY"/>
    <s v="C49SZX20210096JL"/>
    <x v="274"/>
    <s v="YSM40R-4"/>
    <s v="L-&gt;R"/>
    <s v="No"/>
    <s v="OK"/>
    <s v="DAP SZ"/>
    <d v="2021-04-02T00:00:00"/>
    <x v="0"/>
    <m/>
    <m/>
    <m/>
    <s v="IND order "/>
    <m/>
  </r>
  <r>
    <n v="1304"/>
    <x v="0"/>
    <s v="C49"/>
    <n v="110402"/>
    <s v="杉川名义"/>
    <x v="0"/>
    <s v="L-&gt;R"/>
    <s v="No"/>
    <s v="Y57208,机器不能调动"/>
    <n v="1"/>
    <s v="前海保税区"/>
    <d v="2021-06-28T00:00:00"/>
    <s v="NM"/>
    <s v="AUG 21"/>
    <m/>
    <s v="JPY"/>
    <s v="C49SZX20210096JL"/>
    <x v="274"/>
    <s v="YSM40R-4"/>
    <s v="L-&gt;R"/>
    <s v="No"/>
    <s v="OK"/>
    <s v="DAP SZ"/>
    <d v="2021-04-02T00:00:00"/>
    <x v="0"/>
    <m/>
    <m/>
    <m/>
    <s v="IND order "/>
    <m/>
  </r>
  <r>
    <n v="1305"/>
    <x v="0"/>
    <s v="C49"/>
    <n v="110402"/>
    <s v="杉川名义"/>
    <x v="0"/>
    <s v="L-&gt;R"/>
    <s v="No"/>
    <s v="Y57209,机器不能调动"/>
    <n v="1"/>
    <s v="前海保税区"/>
    <d v="2021-06-28T00:00:00"/>
    <s v="NM"/>
    <s v="AUG 21"/>
    <m/>
    <s v="JPY"/>
    <s v="C49SZX20210096JL"/>
    <x v="274"/>
    <s v="YSM40R-4"/>
    <s v="L-&gt;R"/>
    <s v="No"/>
    <s v="OK"/>
    <s v="DAP SZ"/>
    <d v="2021-04-02T00:00:00"/>
    <x v="0"/>
    <m/>
    <m/>
    <m/>
    <s v="IND order "/>
    <m/>
  </r>
  <r>
    <n v="1479"/>
    <x v="0"/>
    <s v="C49"/>
    <n v="110402"/>
    <s v="杉川名义"/>
    <x v="0"/>
    <s v="L-&gt;R"/>
    <s v="No"/>
    <s v="Y57170"/>
    <n v="1"/>
    <s v="前海保税区"/>
    <d v="2021-06-28T00:00:00"/>
    <s v="NM"/>
    <s v="OCT 21"/>
    <m/>
    <s v="JPY"/>
    <s v="C49SZX20210193SX"/>
    <x v="76"/>
    <s v="YSM40R-4"/>
    <s v="L-&gt;R"/>
    <s v="No"/>
    <s v="OK"/>
    <s v="DAP HZ"/>
    <d v="2021-09-18T00:00:00"/>
    <x v="0"/>
    <m/>
    <m/>
    <m/>
    <s v="C180231291"/>
    <m/>
  </r>
  <r>
    <n v="1136"/>
    <x v="0"/>
    <s v="C28"/>
    <n v="110342"/>
    <s v="STK"/>
    <x v="15"/>
    <s v="NO"/>
    <s v="No"/>
    <n v="6825"/>
    <n v="1"/>
    <s v="HK 仓库"/>
    <d v="2020-12-01T00:00:00"/>
    <n v="7.8"/>
    <s v="MAY 21"/>
    <m/>
    <s v="JPY"/>
    <s v="C49SZX20210045SX"/>
    <x v="255"/>
    <s v="YSM10"/>
    <s v="L-&gt;R"/>
    <s v="MVC"/>
    <s v="WRONG"/>
    <s v="DAP SZ"/>
    <d v="2021-02-04T00:00:00"/>
    <x v="0"/>
    <m/>
    <m/>
    <m/>
    <s v="YES"/>
    <m/>
  </r>
  <r>
    <n v="1472"/>
    <x v="0"/>
    <s v="C28"/>
    <n v="110342"/>
    <s v="STK"/>
    <x v="15"/>
    <s v="NO"/>
    <s v="No"/>
    <n v="6826"/>
    <n v="1"/>
    <s v="HK 仓库"/>
    <d v="2020-12-01T00:00:00"/>
    <n v="7.8"/>
    <m/>
    <m/>
    <s v="RMB"/>
    <s v="C28SZX2021044KC"/>
    <x v="279"/>
    <s v="SolderStar R-0625L"/>
    <s v="No"/>
    <s v="No"/>
    <s v="OK"/>
    <s v="含税到厂"/>
    <d v="2021-08-26T00:00:00"/>
    <x v="0"/>
    <m/>
    <m/>
    <m/>
    <s v="c28"/>
    <m/>
  </r>
  <r>
    <n v="1308"/>
    <x v="0"/>
    <s v="C49"/>
    <n v="110402"/>
    <s v="杉川名义"/>
    <x v="11"/>
    <s v="L-&gt;R"/>
    <s v="cATS10+MVC(F&amp;R)+Feeder Carriage"/>
    <s v="Y57302"/>
    <n v="1"/>
    <s v="前海保税区"/>
    <d v="2021-06-28T00:00:00"/>
    <s v="NM"/>
    <s v="JUL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IND order "/>
    <m/>
  </r>
  <r>
    <n v="1312"/>
    <x v="0"/>
    <s v="C49"/>
    <n v="110402"/>
    <s v="杉川名义"/>
    <x v="11"/>
    <s v="L-&gt;R"/>
    <s v="No"/>
    <s v="Y57300"/>
    <n v="1"/>
    <s v="前海保税区"/>
    <d v="2021-06-28T00:00:00"/>
    <s v="NM"/>
    <s v="JUL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3"/>
    <x v="0"/>
    <s v="C49"/>
    <n v="110402"/>
    <s v="杉川名义"/>
    <x v="11"/>
    <s v="L-&gt;R"/>
    <s v="No"/>
    <s v="Y57301"/>
    <n v="1"/>
    <s v="前海保税区"/>
    <d v="2021-06-28T00:00:00"/>
    <s v="NM"/>
    <s v="JUL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436"/>
    <x v="0"/>
    <s v="C49"/>
    <s v="49F103948"/>
    <s v="拓新伟业名义下单"/>
    <x v="16"/>
    <s v="L-&gt;R"/>
    <s v="No"/>
    <s v="Y45659"/>
    <n v="1"/>
    <s v="Yamaha 深圳仓库"/>
    <d v="2021-07-10T00:00:00"/>
    <s v="NM"/>
    <s v="AUG 21"/>
    <m/>
    <s v="RMB"/>
    <s v="C49SZX20210175SX"/>
    <x v="222"/>
    <s v="YSM40R-4"/>
    <s v="L-&gt;R"/>
    <s v="No"/>
    <s v="OK"/>
    <s v="DDP SZ"/>
    <d v="2021-06-23T00:00:00"/>
    <x v="0"/>
    <m/>
    <m/>
    <m/>
    <s v="IND order "/>
    <m/>
  </r>
  <r>
    <n v="1437"/>
    <x v="0"/>
    <s v="C49"/>
    <s v="49F103948"/>
    <s v="拓新伟业名义下单"/>
    <x v="16"/>
    <s v="L-&gt;R"/>
    <s v="No"/>
    <s v="Y44996"/>
    <n v="1"/>
    <s v="Yamaha 深圳仓库"/>
    <d v="2021-07-10T00:00:00"/>
    <s v="NM"/>
    <s v="AUG 21"/>
    <m/>
    <s v="RMB"/>
    <s v="C49SZX20210175SX"/>
    <x v="222"/>
    <s v="YSM40R-4"/>
    <s v="L-&gt;R"/>
    <s v="No"/>
    <s v="OK"/>
    <s v="DDP SZ"/>
    <d v="2021-06-23T00:00:00"/>
    <x v="0"/>
    <m/>
    <m/>
    <m/>
    <s v="IND order "/>
    <m/>
  </r>
  <r>
    <n v="1438"/>
    <x v="0"/>
    <s v="C49"/>
    <s v="49F103948"/>
    <s v="拓新伟业名义下单"/>
    <x v="16"/>
    <s v="L-&gt;R"/>
    <s v="No"/>
    <s v="Y48100"/>
    <n v="1"/>
    <s v="Yamaha 深圳仓库"/>
    <d v="2021-07-10T00:00:00"/>
    <s v="NM"/>
    <s v="AUG 21"/>
    <m/>
    <s v="RMB"/>
    <s v="C49SZX20210175SX"/>
    <x v="222"/>
    <s v="YSM40R-4"/>
    <s v="L-&gt;R"/>
    <s v="No"/>
    <s v="OK"/>
    <s v="DDP SZ"/>
    <d v="2021-06-23T00:00:00"/>
    <x v="0"/>
    <m/>
    <m/>
    <m/>
    <s v="IND order "/>
    <m/>
  </r>
  <r>
    <n v="1259"/>
    <x v="0"/>
    <s v="C49"/>
    <n v="110550"/>
    <s v="富洛Supplier (stk)"/>
    <x v="1"/>
    <s v="R-&gt;L"/>
    <s v="MVC"/>
    <s v="Y57156"/>
    <n v="1"/>
    <s v="CY仓库"/>
    <s v="2021-7-21富洛HK仓库"/>
    <s v="NM"/>
    <s v="JUL 21"/>
    <m/>
    <s v="JPY"/>
    <s v="C49SZX20210081MZ"/>
    <x v="90"/>
    <s v="YSM10"/>
    <s v="L-&gt;R"/>
    <s v="MVC"/>
    <s v="WRONG"/>
    <s v="CIF HK"/>
    <d v="2021-03-13T00:00:00"/>
    <x v="0"/>
    <m/>
    <m/>
    <m/>
    <s v="C210439739"/>
    <m/>
  </r>
  <r>
    <n v="1250"/>
    <x v="0"/>
    <s v="C49"/>
    <n v="110550"/>
    <s v="富洛Supplier (stk)"/>
    <x v="1"/>
    <s v="R-&gt;L"/>
    <s v="MVC"/>
    <s v="Y57157"/>
    <n v="1"/>
    <s v="CY仓库"/>
    <s v="2021-7-21富洛HK仓库"/>
    <s v="NM"/>
    <s v="JUL 21"/>
    <m/>
    <s v="JPY"/>
    <s v="C49SZX20210071SS"/>
    <x v="282"/>
    <s v="YSM10"/>
    <s v="L-&gt;R"/>
    <s v="MVC"/>
    <s v="WRONG"/>
    <s v="DAP SZ"/>
    <d v="2021-03-06T00:00:00"/>
    <x v="0"/>
    <m/>
    <m/>
    <m/>
    <s v="C210540145"/>
    <m/>
  </r>
  <r>
    <n v="929"/>
    <x v="0"/>
    <s v="C49"/>
    <n v="110441"/>
    <s v="正创名义下单"/>
    <x v="12"/>
    <s v="R-&gt;L"/>
    <s v="No"/>
    <s v="Y56663"/>
    <n v="1"/>
    <s v="力合中转仓"/>
    <d v="2021-07-20T00:00:00"/>
    <s v="NM"/>
    <s v="AUG 21"/>
    <m/>
    <s v="JPY"/>
    <s v="C49SZX20200210RSX"/>
    <x v="194"/>
    <s v="YSM20R-2"/>
    <s v="R-&gt;L"/>
    <s v="No"/>
    <s v="OK"/>
    <s v="DAP HZ"/>
    <d v="2020-11-12T00:00:00"/>
    <x v="0"/>
    <m/>
    <m/>
    <m/>
    <s v="C201238817"/>
    <n v="301"/>
  </r>
  <r>
    <n v="1398"/>
    <x v="0"/>
    <s v="C49"/>
    <n v="110441"/>
    <s v="正创名义下单"/>
    <x v="12"/>
    <s v="L-&gt;R"/>
    <s v="No"/>
    <s v="Y56664"/>
    <n v="1"/>
    <s v="前海保税区"/>
    <d v="2021-07-20T00:00:00"/>
    <s v="NM"/>
    <s v="JUL 21"/>
    <m/>
    <s v="JPY"/>
    <s v="C49SZX20210144VG"/>
    <x v="252"/>
    <s v="YSM20R-2"/>
    <s v="L-&gt;R"/>
    <s v="No"/>
    <s v="OK"/>
    <s v="DAP SZ"/>
    <d v="2021-05-28T00:00:00"/>
    <x v="0"/>
    <m/>
    <m/>
    <m/>
    <s v="C210740683"/>
    <n v="312"/>
  </r>
  <r>
    <n v="1379"/>
    <x v="0"/>
    <s v="C49"/>
    <n v="110441"/>
    <s v="正创名义下单"/>
    <x v="12"/>
    <s v="L-&gt;R"/>
    <s v="No"/>
    <s v="Y56665"/>
    <n v="1"/>
    <s v="前海保税区"/>
    <d v="2021-07-20T00:00:00"/>
    <s v="NM"/>
    <s v="AUG 21"/>
    <m/>
    <s v="JPY"/>
    <s v="C49SZX20210154MZ"/>
    <x v="271"/>
    <s v="YSM20R-2"/>
    <s v="L-&gt;R"/>
    <s v="No"/>
    <s v="OK"/>
    <s v="DAP SZ"/>
    <d v="2021-05-21T00:00:00"/>
    <x v="0"/>
    <m/>
    <m/>
    <m/>
    <s v="C210640437"/>
    <n v="312"/>
  </r>
  <r>
    <n v="1260"/>
    <x v="0"/>
    <s v="C49"/>
    <n v="110441"/>
    <s v="正创名义下单"/>
    <x v="12"/>
    <s v="L-&gt;R"/>
    <s v="No"/>
    <s v="Y56666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261"/>
    <x v="0"/>
    <s v="C49"/>
    <n v="110441"/>
    <s v="正创名义下单"/>
    <x v="12"/>
    <s v="L-&gt;R"/>
    <s v="No"/>
    <s v="Y56667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263"/>
    <x v="0"/>
    <s v="C49"/>
    <n v="110441"/>
    <s v="正创名义下单"/>
    <x v="12"/>
    <s v="L-&gt;R"/>
    <s v="No"/>
    <s v="Y56668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262"/>
    <x v="0"/>
    <s v="C49"/>
    <n v="110441"/>
    <s v="正创名义下单"/>
    <x v="12"/>
    <s v="L-&gt;R"/>
    <s v="No"/>
    <s v="Y56669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323"/>
    <x v="0"/>
    <s v="C49"/>
    <n v="110247"/>
    <s v="Stock order"/>
    <x v="12"/>
    <s v="L-&gt;R"/>
    <s v="No"/>
    <s v="Y55593"/>
    <n v="1"/>
    <s v="前海保税区"/>
    <d v="2021-07-20T00:00:00"/>
    <s v="NM"/>
    <s v="AUG 21"/>
    <m/>
    <s v="JPY"/>
    <s v="C49SZX20210108MZ"/>
    <x v="284"/>
    <s v="YSM20R-2"/>
    <s v="L-&gt;R"/>
    <s v="No"/>
    <s v="OK"/>
    <s v="DAP SZ"/>
    <d v="2021-04-08T00:00:00"/>
    <x v="0"/>
    <m/>
    <m/>
    <m/>
    <s v="C210640439"/>
    <n v="302"/>
  </r>
  <r>
    <n v="1309"/>
    <x v="0"/>
    <s v="C49"/>
    <n v="110413"/>
    <s v="杉川名义"/>
    <x v="11"/>
    <s v="L-&gt;R"/>
    <s v="cATS10+MVC(F&amp;R)+Feeder Carriage"/>
    <s v="Y57381"/>
    <n v="1"/>
    <s v="前海保税区"/>
    <d v="2021-07-22T00:00:00"/>
    <s v="NM"/>
    <s v="AUG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IND order "/>
    <m/>
  </r>
  <r>
    <n v="1310"/>
    <x v="0"/>
    <s v="C49"/>
    <n v="110413"/>
    <s v="杉川名义"/>
    <x v="11"/>
    <s v="L-&gt;R"/>
    <s v="cATS10+MVC(F&amp;R)+Feeder Carriage"/>
    <s v="Y57382"/>
    <n v="1"/>
    <s v="前海保税区"/>
    <d v="2021-07-22T00:00:00"/>
    <s v="NM"/>
    <s v="AUG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IND order "/>
    <m/>
  </r>
  <r>
    <n v="1314"/>
    <x v="0"/>
    <s v="C49"/>
    <n v="110413"/>
    <s v="杉川名义"/>
    <x v="11"/>
    <s v="L-&gt;R"/>
    <s v="No"/>
    <s v="Y57377"/>
    <n v="1"/>
    <s v="前海保税区"/>
    <d v="2021-07-22T00:00:00"/>
    <s v="NM"/>
    <s v="AUG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5"/>
    <x v="0"/>
    <s v="C49"/>
    <n v="110413"/>
    <s v="杉川名义"/>
    <x v="11"/>
    <s v="L-&gt;R"/>
    <s v="No"/>
    <s v="Y57378"/>
    <n v="1"/>
    <s v="前海保税区"/>
    <d v="2021-07-22T00:00:00"/>
    <s v="NM"/>
    <s v="AUG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6"/>
    <x v="0"/>
    <s v="C49"/>
    <n v="110413"/>
    <s v="杉川名义"/>
    <x v="11"/>
    <s v="L-&gt;R"/>
    <s v="No"/>
    <s v="Y57379"/>
    <n v="1"/>
    <s v="前海保税区"/>
    <d v="2021-07-22T00:00:00"/>
    <s v="NM"/>
    <s v="AUG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7"/>
    <x v="0"/>
    <s v="C49"/>
    <n v="110413"/>
    <s v="杉川名义"/>
    <x v="11"/>
    <s v="L-&gt;R"/>
    <s v="No"/>
    <s v="Y57380"/>
    <n v="1"/>
    <s v="前海保税区"/>
    <d v="2021-07-22T00:00:00"/>
    <s v="NM"/>
    <s v="AUG 21"/>
    <m/>
    <s v="JPY"/>
    <s v="C49SZX20210096JL"/>
    <x v="274"/>
    <s v="YSM20WR-2"/>
    <s v="L-&gt;R"/>
    <s v="No"/>
    <s v="OK"/>
    <s v="DAP SZ"/>
    <d v="2021-04-02T00:00:00"/>
    <x v="0"/>
    <m/>
    <m/>
    <m/>
    <s v="IND order "/>
    <m/>
  </r>
  <r>
    <n v="926"/>
    <x v="0"/>
    <s v="C49"/>
    <n v="110383"/>
    <s v="正创名义下单"/>
    <x v="1"/>
    <s v="R-&gt;L"/>
    <s v="MVC+ATS15"/>
    <s v="Y57060"/>
    <n v="1"/>
    <s v="力合中转仓"/>
    <d v="2021-07-23T00:00:00"/>
    <s v="NM"/>
    <s v="AUG 21"/>
    <m/>
    <s v="JPY"/>
    <s v="C49SZX20200210RSX"/>
    <x v="194"/>
    <s v="YSM10"/>
    <s v="L-&gt;R"/>
    <s v="MVC+ATS15"/>
    <s v="WRONG"/>
    <s v="DAP HZ"/>
    <d v="2020-11-12T00:00:00"/>
    <x v="0"/>
    <m/>
    <m/>
    <m/>
    <s v="C201238817"/>
    <n v="302"/>
  </r>
  <r>
    <n v="1160"/>
    <x v="0"/>
    <s v="C49"/>
    <n v="110383"/>
    <s v="正创名义下单"/>
    <x v="1"/>
    <s v="R-&gt;L"/>
    <s v="MVC+ATS15"/>
    <s v="Y57061"/>
    <n v="1"/>
    <s v="前海保税区"/>
    <d v="2021-07-23T00:00:00"/>
    <s v="NM"/>
    <s v="OCT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1"/>
  </r>
  <r>
    <n v="1426"/>
    <x v="0"/>
    <s v="C49"/>
    <n v="110383"/>
    <s v="正创名义下单"/>
    <x v="1"/>
    <s v="R-&gt;L"/>
    <s v="MVC+ATS15"/>
    <s v="Y57062"/>
    <n v="1"/>
    <s v="前海保税区"/>
    <d v="2021-07-23T00:00:00"/>
    <s v="NM"/>
    <s v="AUG 21"/>
    <m/>
    <s v="JPY"/>
    <s v="C49SZX20210152SX"/>
    <x v="64"/>
    <s v="YSM10"/>
    <s v="L-&gt;R"/>
    <s v="MVC+ATS15"/>
    <s v="WRONG"/>
    <s v="DAP SZ"/>
    <d v="2021-06-04T00:00:00"/>
    <x v="0"/>
    <m/>
    <m/>
    <m/>
    <s v="C190835446"/>
    <n v="302"/>
  </r>
  <r>
    <n v="855"/>
    <x v="0"/>
    <s v="C49"/>
    <n v="110383"/>
    <s v="正创名义下单"/>
    <x v="1"/>
    <s v="R-&gt;L"/>
    <s v="No"/>
    <s v="Y57063"/>
    <n v="1"/>
    <s v="前海保税区"/>
    <d v="2021-07-23T00:00:00"/>
    <s v="NM"/>
    <s v="JUL 21"/>
    <m/>
    <s v="JPY"/>
    <s v="C49SZX20200176SX"/>
    <x v="286"/>
    <s v="YSM10"/>
    <s v="L-&gt;R"/>
    <s v="MVC"/>
    <s v="WRONG"/>
    <s v="DAP DG"/>
    <d v="2020-09-24T00:00:00"/>
    <x v="0"/>
    <m/>
    <m/>
    <m/>
    <s v="C140518616"/>
    <n v="302"/>
  </r>
  <r>
    <n v="1089"/>
    <x v="0"/>
    <s v="C49"/>
    <s v="110383(拆单110406)"/>
    <s v="正创名义下单"/>
    <x v="1"/>
    <s v="R-&gt;L"/>
    <s v="No"/>
    <s v="Y57064"/>
    <n v="1"/>
    <s v="前海保税区"/>
    <d v="2021-07-23T00:00:00"/>
    <n v="5.9900000000000002E-2"/>
    <s v="JUL 21"/>
    <m/>
    <s v="RMB"/>
    <s v="C49SZX20210015SS"/>
    <x v="287"/>
    <s v="YSM10"/>
    <s v="R-&gt;L"/>
    <s v="No"/>
    <s v="OK"/>
    <s v="含税到厂"/>
    <d v="2021-01-25T00:00:00"/>
    <x v="0"/>
    <m/>
    <m/>
    <m/>
    <s v="C130615715"/>
    <n v="302"/>
  </r>
  <r>
    <n v="1322"/>
    <x v="0"/>
    <s v="C49"/>
    <n v="110431"/>
    <s v="Stock order"/>
    <x v="12"/>
    <s v="L-&gt;R"/>
    <s v="No"/>
    <s v="Y57093"/>
    <n v="1"/>
    <s v="CY仓库"/>
    <d v="2021-07-23T00:00:00"/>
    <n v="6.0600000000000001E-2"/>
    <s v="AUG 21"/>
    <m/>
    <s v="RMB"/>
    <s v="C49SZX20210110SS"/>
    <x v="288"/>
    <s v="YSM20R-2"/>
    <s v="L-&gt;R"/>
    <s v="No"/>
    <s v="OK"/>
    <s v="DDP SZ"/>
    <d v="2021-04-10T00:00:00"/>
    <x v="0"/>
    <m/>
    <m/>
    <m/>
    <s v="C210640447"/>
    <n v="301"/>
  </r>
  <r>
    <n v="1210"/>
    <x v="0"/>
    <s v="C49"/>
    <n v="110314"/>
    <s v="超思维名义下单"/>
    <x v="12"/>
    <s v="L-&gt;R"/>
    <s v="No"/>
    <s v="Y57106"/>
    <n v="1"/>
    <s v="前海保税区"/>
    <d v="2021-08-13T00:00:00"/>
    <s v="NM"/>
    <s v="AUG 21"/>
    <m/>
    <s v="JPY"/>
    <s v="C49SZX20210125DZ"/>
    <x v="289"/>
    <s v="YSM20R-2"/>
    <s v="L-&gt;R"/>
    <s v="MVC"/>
    <s v="WRONG"/>
    <s v="DAP GZ"/>
    <d v="2021-03-05T00:00:00"/>
    <x v="0"/>
    <m/>
    <m/>
    <m/>
    <s v="C210640294"/>
    <n v="301"/>
  </r>
  <r>
    <n v="1212"/>
    <x v="0"/>
    <s v="C49"/>
    <n v="110314"/>
    <s v="超思维名义下单"/>
    <x v="12"/>
    <s v="L-&gt;R"/>
    <s v="No"/>
    <s v="Y57107"/>
    <n v="1"/>
    <s v="前海保税区"/>
    <d v="2021-08-13T00:00:00"/>
    <s v="NM"/>
    <s v="AUG 21"/>
    <m/>
    <s v="JPY"/>
    <s v="C49SZX20210125DZ"/>
    <x v="289"/>
    <s v="YSM20R-2"/>
    <s v="L-&gt;R"/>
    <s v="No"/>
    <s v="OK"/>
    <s v="DAP GZ"/>
    <d v="2021-03-05T00:00:00"/>
    <x v="0"/>
    <m/>
    <m/>
    <m/>
    <s v="C210640294"/>
    <n v="301"/>
  </r>
  <r>
    <n v="1214"/>
    <x v="0"/>
    <s v="C49"/>
    <n v="110314"/>
    <s v="超思维名义下单"/>
    <x v="12"/>
    <s v="L-&gt;R"/>
    <s v="No"/>
    <s v="Y57108"/>
    <n v="1"/>
    <s v="前海保税区"/>
    <d v="2021-08-13T00:00:00"/>
    <s v="NM"/>
    <s v="AUG 21"/>
    <m/>
    <s v="JPY"/>
    <s v="C49SZX20210125DZ"/>
    <x v="289"/>
    <s v="YSM20R-2"/>
    <s v="L-&gt;R"/>
    <s v="No"/>
    <s v="OK"/>
    <s v="DAP GZ"/>
    <d v="2021-03-05T00:00:00"/>
    <x v="0"/>
    <m/>
    <m/>
    <m/>
    <s v="C210640294"/>
    <n v="301"/>
  </r>
  <r>
    <n v="1346"/>
    <x v="0"/>
    <s v="C49"/>
    <n v="110314"/>
    <s v="超思维名义下单"/>
    <x v="12"/>
    <s v="L-&gt;R"/>
    <s v="No"/>
    <s v="Y57109"/>
    <n v="1"/>
    <s v="前海保税区"/>
    <d v="2021-08-13T00:00:00"/>
    <s v="NM"/>
    <s v="AUG 21"/>
    <m/>
    <s v="JPY"/>
    <s v="C49SZX20210120R1JY"/>
    <x v="290"/>
    <s v="YSM20R-2"/>
    <s v="L-&gt;R"/>
    <s v="No"/>
    <s v="OK"/>
    <s v="DAP SZ"/>
    <d v="2021-04-20T00:00:00"/>
    <x v="0"/>
    <m/>
    <m/>
    <m/>
    <s v="C190935542"/>
    <n v="301"/>
  </r>
  <r>
    <n v="1419"/>
    <x v="0"/>
    <s v="C49"/>
    <n v="110314"/>
    <s v="超思维名义下单"/>
    <x v="12"/>
    <s v="L-&gt;R"/>
    <s v="No"/>
    <s v="Y57110"/>
    <n v="1"/>
    <s v="前海保税区"/>
    <d v="2021-08-13T00:00:00"/>
    <s v="NM"/>
    <s v="AUG 21"/>
    <m/>
    <s v="JPY"/>
    <s v="C49SZX20210152SX"/>
    <x v="64"/>
    <s v="YSM20R-2"/>
    <s v="L-&gt;R"/>
    <s v="No"/>
    <s v="OK"/>
    <s v="DAP SZ"/>
    <d v="2021-06-04T00:00:00"/>
    <x v="0"/>
    <m/>
    <m/>
    <m/>
    <s v="C190835446"/>
    <n v="301"/>
  </r>
  <r>
    <n v="1420"/>
    <x v="0"/>
    <s v="C49"/>
    <n v="110500"/>
    <s v="正创名义下单"/>
    <x v="12"/>
    <s v="L-&gt;R"/>
    <s v="No"/>
    <s v="Y56670"/>
    <n v="1"/>
    <s v="码头-&gt;准备清关"/>
    <d v="2021-08-26T00:00:00"/>
    <s v="NM"/>
    <s v="AUG 21"/>
    <m/>
    <s v="JPY"/>
    <s v="C49SZX20210152SX"/>
    <x v="64"/>
    <s v="YSM20R-2"/>
    <s v="L-&gt;R"/>
    <s v="MVC"/>
    <s v="WRONG"/>
    <s v="DAP SZ"/>
    <d v="2021-06-04T00:00:00"/>
    <x v="0"/>
    <m/>
    <m/>
    <m/>
    <s v="C190835446"/>
    <n v="311"/>
  </r>
  <r>
    <n v="1421"/>
    <x v="0"/>
    <s v="C49"/>
    <n v="110500"/>
    <s v="正创名义下单"/>
    <x v="12"/>
    <s v="L-&gt;R"/>
    <s v="No"/>
    <s v="Y56671"/>
    <n v="1"/>
    <s v="码头-&gt;准备清关"/>
    <d v="2021-08-26T00:00:00"/>
    <s v="NM"/>
    <s v="AUG 21"/>
    <m/>
    <s v="JPY"/>
    <s v="C49SZX20210152SX"/>
    <x v="64"/>
    <s v="YSM20R-2"/>
    <s v="L-&gt;R"/>
    <s v="MVC"/>
    <s v="WRONG"/>
    <s v="DAP SZ"/>
    <d v="2021-06-04T00:00:00"/>
    <x v="0"/>
    <m/>
    <m/>
    <m/>
    <s v="C190835446"/>
    <n v="302"/>
  </r>
  <r>
    <n v="1338"/>
    <x v="0"/>
    <s v="C49"/>
    <n v="110557"/>
    <s v="Stock order"/>
    <x v="12"/>
    <s v="L-&gt;R"/>
    <s v="No"/>
    <s v="Y57094，之前预留给博新的，已经清关，需要预留RMB单"/>
    <n v="1"/>
    <s v="力合仓库(已经清关)"/>
    <d v="2021-09-06T00:00:00"/>
    <s v="NM"/>
    <s v="OCT 21"/>
    <m/>
    <s v="JPY"/>
    <s v="C49SZX20210119JY"/>
    <x v="163"/>
    <s v="YSM20R-2"/>
    <s v="L-&gt;R"/>
    <s v="No"/>
    <s v="OK"/>
    <s v="DAP SZ"/>
    <d v="2021-04-20T00:00:00"/>
    <x v="0"/>
    <m/>
    <m/>
    <m/>
    <s v="C200637625"/>
    <n v="301"/>
  </r>
  <r>
    <n v="1267"/>
    <x v="0"/>
    <s v="C49"/>
    <n v="110557"/>
    <s v="Stock order"/>
    <x v="12"/>
    <s v="L-&gt;R"/>
    <s v="MVC"/>
    <s v="Y57095"/>
    <n v="1"/>
    <s v="前海保税区"/>
    <d v="2021-09-06T00:00:00"/>
    <s v="NM"/>
    <s v="OCT 21"/>
    <m/>
    <s v="JPY"/>
    <s v="C49SZX20210017R1JY"/>
    <x v="291"/>
    <s v="YSM20R-2"/>
    <s v="L-&gt;R"/>
    <s v="MVC"/>
    <s v="OK"/>
    <s v="DAP GZ"/>
    <d v="2021-03-17T00:00:00"/>
    <x v="0"/>
    <m/>
    <m/>
    <m/>
    <s v="C191236327"/>
    <n v="301"/>
  </r>
  <r>
    <n v="1155"/>
    <x v="0"/>
    <s v="C49"/>
    <n v="110558"/>
    <s v="Stock order"/>
    <x v="12"/>
    <s v="L-&gt;R"/>
    <s v="No"/>
    <s v="Y57096"/>
    <n v="1"/>
    <s v="前海保税区"/>
    <d v="2021-09-09T00:00:00"/>
    <s v="NM"/>
    <s v="OCT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2"/>
  </r>
  <r>
    <n v="1156"/>
    <x v="0"/>
    <s v="C49"/>
    <n v="110558"/>
    <s v="Stock order"/>
    <x v="12"/>
    <s v="L-&gt;R"/>
    <s v="No"/>
    <s v="Y57097"/>
    <n v="1"/>
    <s v="前海保税区"/>
    <d v="2021-09-09T00:00:00"/>
    <s v="NM"/>
    <s v="OCT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2"/>
  </r>
  <r>
    <n v="1319"/>
    <x v="0"/>
    <s v="C49"/>
    <n v="110558"/>
    <s v="Stock order"/>
    <x v="12"/>
    <s v="L-&gt;R"/>
    <s v="No"/>
    <s v="Y57098"/>
    <n v="1"/>
    <s v="前海保税区"/>
    <d v="2021-09-09T00:00:00"/>
    <s v="NM"/>
    <s v="OCT 21"/>
    <m/>
    <s v="JPY"/>
    <s v="C49SZX20210111DZ"/>
    <x v="292"/>
    <s v="YSM20R-2"/>
    <s v="L-&gt;R"/>
    <s v="No"/>
    <s v="OK"/>
    <s v="CIF HK"/>
    <d v="2021-04-09T00:00:00"/>
    <x v="0"/>
    <m/>
    <m/>
    <m/>
    <s v="C210640274"/>
    <n v="302"/>
  </r>
  <r>
    <n v="1178"/>
    <x v="0"/>
    <s v="C49"/>
    <n v="110562"/>
    <s v="Stock order"/>
    <x v="12"/>
    <s v="R-&gt;L"/>
    <s v="No"/>
    <s v="Y58086"/>
    <n v="1"/>
    <s v="CY仓库"/>
    <d v="2021-09-09T00:00:00"/>
    <s v="NM"/>
    <s v="SEP 21"/>
    <m/>
    <s v="JPY"/>
    <s v="C49SZX20210057DZ"/>
    <x v="273"/>
    <s v="YSM20R-2"/>
    <s v="R-&gt;L"/>
    <s v="MVC"/>
    <s v="WRONG"/>
    <s v="CIF HK"/>
    <d v="2021-03-02T00:00:00"/>
    <x v="0"/>
    <m/>
    <m/>
    <m/>
    <s v="C120712916"/>
    <n v="301"/>
  </r>
  <r>
    <n v="1330"/>
    <x v="0"/>
    <s v="C49"/>
    <n v="110562"/>
    <s v="Stock order"/>
    <x v="12"/>
    <s v="R-&gt;L"/>
    <s v="No"/>
    <s v="Y58087"/>
    <n v="1"/>
    <s v="前海保税区"/>
    <d v="2021-09-09T00:00:00"/>
    <s v="NM"/>
    <s v="SEP 21"/>
    <m/>
    <s v="JPY"/>
    <s v="C49SZX20210178JY"/>
    <x v="283"/>
    <s v="YSM20R-2"/>
    <s v="R-&gt;L"/>
    <s v="No"/>
    <s v="OK"/>
    <s v="DAP SZ"/>
    <d v="2021-04-14T00:00:00"/>
    <x v="0"/>
    <m/>
    <m/>
    <m/>
    <s v="C210640474"/>
    <n v="301"/>
  </r>
  <r>
    <n v="1161"/>
    <x v="0"/>
    <s v="C49"/>
    <n v="110593"/>
    <s v="Cowell 名义下单"/>
    <x v="1"/>
    <s v="L-&gt;R"/>
    <s v="MVC F&amp;R+ATS15"/>
    <s v="Y58827"/>
    <n v="1"/>
    <s v="前海保税区"/>
    <d v="2021-09-19T00:00:00"/>
    <s v="NM"/>
    <s v="OCT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2"/>
  </r>
  <r>
    <n v="1461"/>
    <x v="0"/>
    <s v="C49"/>
    <s v="49F103968"/>
    <s v="奕东名义下单"/>
    <x v="1"/>
    <s v="R-&gt;L"/>
    <s v="No"/>
    <s v="Y58464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462"/>
    <x v="0"/>
    <s v="C49"/>
    <s v="49F103968"/>
    <s v="奕东名义下单"/>
    <x v="1"/>
    <s v="R-&gt;L"/>
    <s v="No"/>
    <s v="Y58465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463"/>
    <x v="0"/>
    <s v="C49"/>
    <s v="49F103968"/>
    <s v="奕东名义下单"/>
    <x v="1"/>
    <s v="R-&gt;L"/>
    <s v="No"/>
    <s v="Y58466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464"/>
    <x v="0"/>
    <s v="C49"/>
    <s v="49F103968"/>
    <s v="奕东名义下单"/>
    <x v="1"/>
    <s v="R-&gt;L"/>
    <s v="No"/>
    <s v="Y58467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358"/>
    <x v="0"/>
    <s v="C49"/>
    <n v="110556"/>
    <s v="健科名义下单"/>
    <x v="12"/>
    <s v="R-&gt;L"/>
    <s v="No"/>
    <s v="Y58568"/>
    <n v="1"/>
    <s v="力合中转仓"/>
    <d v="2021-10-17T00:00:00"/>
    <m/>
    <s v="OCT 21"/>
    <m/>
    <s v="JPY"/>
    <s v="C49SZX20210122DZ"/>
    <x v="92"/>
    <s v="YSM20R-2"/>
    <s v="R-&gt;L"/>
    <s v="No"/>
    <s v="OK"/>
    <s v="DAP SZ"/>
    <d v="2021-04-28T00:00:00"/>
    <x v="0"/>
    <m/>
    <m/>
    <m/>
    <s v="IND order "/>
    <n v="301"/>
  </r>
  <r>
    <n v="1359"/>
    <x v="0"/>
    <s v="C49"/>
    <n v="110556"/>
    <s v="健科名义下单"/>
    <x v="12"/>
    <s v="R-&gt;L"/>
    <s v="No"/>
    <s v="Y58569"/>
    <n v="1"/>
    <s v="力合中转仓"/>
    <d v="2021-10-17T00:00:00"/>
    <m/>
    <s v="OCT 21"/>
    <m/>
    <s v="JPY"/>
    <s v="C49SZX20210122DZ"/>
    <x v="92"/>
    <s v="YSM20R-2"/>
    <s v="R-&gt;L"/>
    <s v="MVC"/>
    <s v="WRONG"/>
    <s v="DAP SZ"/>
    <d v="2021-04-28T00:00:00"/>
    <x v="0"/>
    <m/>
    <m/>
    <m/>
    <s v="IND order "/>
    <n v="301"/>
  </r>
  <r>
    <n v="1397"/>
    <x v="0"/>
    <s v="C49"/>
    <n v="110578"/>
    <s v="兴开泰名义下单"/>
    <x v="12"/>
    <s v="L-&gt;R"/>
    <s v="No"/>
    <s v="Y58712"/>
    <n v="1"/>
    <s v="前海保税区"/>
    <d v="2021-10-17T00:00:00"/>
    <s v="NM"/>
    <s v="NOV 21"/>
    <m/>
    <s v="JPY"/>
    <s v="C49SZX20210158SS"/>
    <x v="144"/>
    <s v="YSM20R-2"/>
    <s v="L-&gt;R"/>
    <s v="MVC"/>
    <s v="WRONG"/>
    <s v="DAP SZ"/>
    <d v="2021-05-28T00:00:00"/>
    <x v="0"/>
    <m/>
    <m/>
    <m/>
    <s v="C210439993"/>
    <n v="301"/>
  </r>
  <r>
    <n v="1467"/>
    <x v="0"/>
    <s v="C49"/>
    <n v="110578"/>
    <s v="兴开泰名义下单"/>
    <x v="12"/>
    <s v="R-&gt;L"/>
    <s v="No"/>
    <s v="Y58713"/>
    <n v="1"/>
    <s v="力合中转仓"/>
    <d v="2021-10-17T00:00:00"/>
    <s v="NM"/>
    <s v="DEC 21"/>
    <m/>
    <s v="JPY"/>
    <s v="C49SZX20210186SS"/>
    <x v="258"/>
    <s v="YSM20R-2"/>
    <s v="R-&gt;L"/>
    <s v="No"/>
    <s v="OK"/>
    <s v="DAP SZ"/>
    <d v="2021-08-03T00:00:00"/>
    <x v="0"/>
    <m/>
    <m/>
    <m/>
    <s v="C200337000"/>
    <n v="301"/>
  </r>
  <r>
    <n v="1465"/>
    <x v="0"/>
    <s v="C49"/>
    <n v="110576"/>
    <s v="健科名义下单"/>
    <x v="12"/>
    <s v="L-&gt;R"/>
    <s v="Feeder Carriage"/>
    <s v="Y58626"/>
    <n v="1"/>
    <s v="前海保税区"/>
    <d v="2021-10-17T00:00:00"/>
    <s v="NM"/>
    <s v="NOV 21"/>
    <m/>
    <s v="JPY"/>
    <s v="C49SZX20210184DZ"/>
    <x v="79"/>
    <s v="YSM20R-2"/>
    <s v="L-&gt;R"/>
    <s v="MVC+Feeder Carriage"/>
    <s v="WRONG"/>
    <s v="DAP CS"/>
    <d v="2021-07-31T00:00:00"/>
    <x v="0"/>
    <m/>
    <m/>
    <m/>
    <s v="IND order "/>
    <n v="302"/>
  </r>
  <r>
    <n v="1466"/>
    <x v="0"/>
    <s v="C49"/>
    <n v="110576"/>
    <s v="健科名义下单"/>
    <x v="12"/>
    <s v="L-&gt;R"/>
    <s v="Feeder Carriage"/>
    <s v="Y58627"/>
    <n v="1"/>
    <s v="前海保税区"/>
    <d v="2021-10-17T00:00:00"/>
    <s v="NM"/>
    <s v="NOV 21"/>
    <m/>
    <s v="JPY"/>
    <s v="C49SZX20210184DZ"/>
    <x v="79"/>
    <s v="YSM20R-2"/>
    <s v="L-&gt;R"/>
    <s v="Feeder Carriage"/>
    <s v="OK"/>
    <s v="DAP CS"/>
    <d v="2021-07-31T00:00:00"/>
    <x v="0"/>
    <m/>
    <m/>
    <m/>
    <s v="IND order "/>
    <n v="302"/>
  </r>
  <r>
    <n v="1403"/>
    <x v="0"/>
    <s v="C49"/>
    <n v="110580"/>
    <s v="洛伦兹技术名义下单"/>
    <x v="12"/>
    <s v="L-&gt;R"/>
    <s v="No"/>
    <s v="Y58718"/>
    <n v="1"/>
    <s v="力合中转仓"/>
    <d v="2021-10-17T00:00:00"/>
    <s v="NM"/>
    <s v="NOV 21"/>
    <m/>
    <s v="JPY"/>
    <s v="C49SZX20210164SS"/>
    <x v="213"/>
    <s v="YSM20R-2"/>
    <s v="L-&gt;R"/>
    <s v="No"/>
    <s v="OK"/>
    <s v="DAP SZ"/>
    <d v="2021-06-03T00:00:00"/>
    <x v="0"/>
    <m/>
    <m/>
    <m/>
    <s v="C201138627"/>
    <n v="302"/>
  </r>
  <r>
    <n v="1505"/>
    <x v="0"/>
    <s v="C49"/>
    <n v="110580"/>
    <s v="洛伦兹技术名义下单"/>
    <x v="12"/>
    <s v="L-&gt;R"/>
    <s v="No"/>
    <s v="Y58719"/>
    <n v="1"/>
    <s v="前海保税区"/>
    <d v="2021-10-17T00:00:00"/>
    <s v="NM"/>
    <s v="MAR 22"/>
    <m/>
    <s v="JPY"/>
    <s v="C49SZX20210103MZ"/>
    <x v="293"/>
    <s v="YSM20R-2"/>
    <s v="L-&gt;R"/>
    <s v="No"/>
    <s v="OK"/>
    <s v="CIF HK"/>
    <d v="2021-11-24T00:00:00"/>
    <x v="0"/>
    <m/>
    <m/>
    <m/>
    <s v="C220242164"/>
    <n v="302"/>
  </r>
  <r>
    <n v="1372"/>
    <x v="0"/>
    <s v="C49"/>
    <n v="110579"/>
    <s v="格隆名义下单"/>
    <x v="12"/>
    <s v="L-&gt;R"/>
    <s v="No"/>
    <s v="Y58717"/>
    <n v="1"/>
    <s v="前海保税区"/>
    <d v="2021-10-17T00:00:00"/>
    <s v="NM"/>
    <s v="NOV 21"/>
    <m/>
    <s v="JPY"/>
    <s v="C49SZX20210147DY"/>
    <x v="294"/>
    <s v="YSM20R-2"/>
    <s v="L-&gt;R"/>
    <s v="No"/>
    <s v="OK"/>
    <s v="DAP HZ"/>
    <d v="2021-05-17T00:00:00"/>
    <x v="0"/>
    <m/>
    <m/>
    <m/>
    <s v="C210640313"/>
    <n v="302"/>
  </r>
  <r>
    <n v="1404"/>
    <x v="0"/>
    <s v="C49"/>
    <n v="110598"/>
    <s v="Cowell 名义下单"/>
    <x v="1"/>
    <s v="L-&gt;R"/>
    <s v="MVC F&amp;R+ATS15"/>
    <s v="Y58771"/>
    <n v="1"/>
    <s v="力合中转仓"/>
    <d v="2021-10-17T00:00:00"/>
    <s v="NM"/>
    <s v="NOV 21"/>
    <m/>
    <s v="JPY"/>
    <s v="C49SZX20210164SS"/>
    <x v="213"/>
    <s v="YSM10"/>
    <s v="L-&gt;R"/>
    <s v="MVC+ATS15"/>
    <s v="WRONG"/>
    <s v="DAP SZ"/>
    <d v="2021-06-03T00:00:00"/>
    <x v="0"/>
    <m/>
    <m/>
    <m/>
    <s v="C201138627"/>
    <n v="302"/>
  </r>
  <r>
    <n v="1455"/>
    <x v="0"/>
    <s v="C49"/>
    <n v="110582"/>
    <s v="新明海名义下单"/>
    <x v="1"/>
    <s v="R-&gt;L"/>
    <s v="96 FEEDER PLATE (YSM10) "/>
    <s v="Y58861"/>
    <n v="1"/>
    <s v="前海保税区"/>
    <d v="2021-10-25T00:00:00"/>
    <s v="NM"/>
    <s v="OCT 21"/>
    <m/>
    <s v="JPY"/>
    <s v="C49SZX20210160EC"/>
    <x v="132"/>
    <s v="YSM10"/>
    <s v="R-&gt;L"/>
    <s v="MVC+Rear 站位"/>
    <s v="WRONG"/>
    <s v="DAP HZ"/>
    <d v="2021-07-05T00:00:00"/>
    <x v="0"/>
    <m/>
    <m/>
    <m/>
    <s v="IND order "/>
    <n v="302"/>
  </r>
  <r>
    <n v="1485"/>
    <x v="0"/>
    <s v="C49"/>
    <n v="110582"/>
    <s v="新明海名义下单"/>
    <x v="1"/>
    <s v="R-&gt;L"/>
    <s v="96 FEEDER PLATE (YSM10) "/>
    <s v="Y58862"/>
    <n v="1"/>
    <s v="前海保税区"/>
    <d v="2021-10-25T00:00:00"/>
    <s v="NM"/>
    <s v="NOV 21"/>
    <m/>
    <s v="JPY"/>
    <s v="C49SZX20210195JL"/>
    <x v="77"/>
    <s v="YSM10"/>
    <s v="L-&gt;R"/>
    <s v="MVC+96 FEEDER PLATE (YSM10) "/>
    <s v="WRONG"/>
    <s v="DAP DG"/>
    <d v="2021-10-22T00:00:00"/>
    <x v="0"/>
    <m/>
    <m/>
    <m/>
    <s v="C211141389"/>
    <n v="302"/>
  </r>
  <r>
    <n v="1422"/>
    <x v="0"/>
    <s v="C49"/>
    <s v="49F104054"/>
    <s v="太美亚名义下单"/>
    <x v="12"/>
    <s v="R-&gt;L"/>
    <s v="No"/>
    <s v="Y58990"/>
    <n v="1"/>
    <s v="Yamaha 深圳仓库"/>
    <s v="2021/10/30,Yamaha清关"/>
    <s v="RMB 单"/>
    <s v="NOV 21"/>
    <m/>
    <s v="JPY"/>
    <s v="C49SZX20210152SX"/>
    <x v="64"/>
    <s v="YSM20R-2"/>
    <s v="R-&gt;L"/>
    <s v="No"/>
    <s v="OK"/>
    <s v="DAP SZ"/>
    <d v="2021-06-04T00:00:00"/>
    <x v="0"/>
    <m/>
    <m/>
    <m/>
    <s v="IND order "/>
    <m/>
  </r>
  <r>
    <n v="1423"/>
    <x v="0"/>
    <s v="C49"/>
    <s v="49F104054"/>
    <s v="太美亚名义下单"/>
    <x v="12"/>
    <s v="R-&gt;L"/>
    <s v="No"/>
    <s v="Y58991"/>
    <n v="1"/>
    <s v="Yamaha 深圳仓库"/>
    <s v="2021/10/30,Yamaha清关"/>
    <s v="RMB 单"/>
    <s v="NOV 21"/>
    <m/>
    <s v="JPY"/>
    <s v="C49SZX20210152SX"/>
    <x v="64"/>
    <s v="YSM20R-2"/>
    <s v="R-&gt;L"/>
    <s v="No"/>
    <s v="OK"/>
    <s v="DAP SZ"/>
    <d v="2021-06-04T00:00:00"/>
    <x v="0"/>
    <m/>
    <m/>
    <m/>
    <s v="IND order "/>
    <m/>
  </r>
  <r>
    <n v="1355"/>
    <x v="0"/>
    <s v="C49"/>
    <n v="110581"/>
    <s v="深圳上达名义下单"/>
    <x v="11"/>
    <s v="L-&gt;R"/>
    <s v="No"/>
    <s v="Y58723"/>
    <n v="1"/>
    <s v="前海保税区"/>
    <d v="2021-11-04T00:00:00"/>
    <s v="NM"/>
    <s v="NOV 21"/>
    <m/>
    <s v="JPY"/>
    <s v="C49SZX20210133EC"/>
    <x v="174"/>
    <s v="YSM20WR-2"/>
    <s v="L-&gt;R"/>
    <s v="No"/>
    <s v="OK"/>
    <s v="CIF HK"/>
    <d v="2021-04-28T00:00:00"/>
    <x v="0"/>
    <m/>
    <m/>
    <m/>
    <s v="C200737827"/>
    <n v="303"/>
  </r>
  <r>
    <n v="1356"/>
    <x v="0"/>
    <s v="C49"/>
    <n v="110581"/>
    <s v="深圳上达名义下单"/>
    <x v="11"/>
    <s v="L-&gt;R"/>
    <s v="No"/>
    <s v="Y58724"/>
    <n v="1"/>
    <s v="前海保税区"/>
    <d v="2021-11-04T00:00:00"/>
    <s v="NM"/>
    <s v="NOV 21"/>
    <m/>
    <s v="JPY"/>
    <s v="C49SZX20210133EC"/>
    <x v="174"/>
    <s v="YSM20WR-2"/>
    <s v="L-&gt;R"/>
    <s v="No"/>
    <s v="OK"/>
    <s v="CIF HK"/>
    <d v="2021-04-28T00:00:00"/>
    <x v="0"/>
    <m/>
    <m/>
    <m/>
    <s v="C200737827"/>
    <n v="303"/>
  </r>
  <r>
    <n v="1246"/>
    <x v="0"/>
    <s v="C49"/>
    <n v="110581"/>
    <s v="深圳上达名义下单"/>
    <x v="1"/>
    <s v="R-&gt;L"/>
    <s v="No"/>
    <s v="Y58864"/>
    <n v="1"/>
    <s v="力合仓库(已经清关)"/>
    <d v="2021-11-04T00:00:00"/>
    <s v="NM"/>
    <s v="NOV 21"/>
    <m/>
    <s v="JPY"/>
    <s v="C49SZX20210073AY"/>
    <x v="295"/>
    <s v="YSM10"/>
    <s v="L-&gt;R"/>
    <s v="MVC"/>
    <s v="WRONG"/>
    <s v="DAP SZ"/>
    <d v="2021-03-10T00:00:00"/>
    <x v="0"/>
    <m/>
    <m/>
    <m/>
    <s v="C210640464"/>
    <n v="301"/>
  </r>
  <r>
    <n v="1434"/>
    <x v="0"/>
    <s v="C49"/>
    <s v="110581(拆单110652)"/>
    <s v="深圳上达名义下单"/>
    <x v="1"/>
    <s v="R-&gt;L"/>
    <s v="No"/>
    <s v="Y58865"/>
    <n v="1"/>
    <s v="力合仓库(已经清关)"/>
    <d v="2021-11-04T00:00:00"/>
    <n v="5.6800000000000003E-2"/>
    <s v="NOV 21"/>
    <m/>
    <s v="RMB"/>
    <s v="C49SZX20210172EC"/>
    <x v="159"/>
    <s v="YSM10"/>
    <s v="L-&gt;R"/>
    <s v="MVC"/>
    <s v="WRONG"/>
    <s v="DDP SZ"/>
    <d v="2021-06-18T00:00:00"/>
    <x v="0"/>
    <m/>
    <m/>
    <m/>
    <s v="C180732715"/>
    <n v="301"/>
  </r>
  <r>
    <n v="1371"/>
    <x v="0"/>
    <s v="C49"/>
    <n v="110594"/>
    <s v="Cowell 名义下单"/>
    <x v="12"/>
    <s v="L-&gt;R"/>
    <s v="No"/>
    <s v="Y58825"/>
    <n v="1"/>
    <s v="前海保税区"/>
    <d v="2021-11-04T00:00:00"/>
    <n v="5.6300000000000003E-2"/>
    <s v="NOV 21"/>
    <m/>
    <s v="JPY"/>
    <s v="C49SZX20210147DY"/>
    <x v="294"/>
    <s v="YSM20R-2"/>
    <s v="L-&gt;R"/>
    <s v="No"/>
    <s v="OK"/>
    <s v="DAP HZ"/>
    <d v="2021-05-17T00:00:00"/>
    <x v="0"/>
    <m/>
    <m/>
    <m/>
    <s v="C210640313"/>
    <n v="303"/>
  </r>
  <r>
    <n v="1511"/>
    <x v="0"/>
    <s v="C49"/>
    <n v="110594"/>
    <s v="Cowell 名义下单"/>
    <x v="12"/>
    <s v="L-&gt;R"/>
    <s v="No"/>
    <s v="Y58826"/>
    <n v="1"/>
    <s v="力合仓库(已经清关)"/>
    <d v="2021-11-04T00:00:00"/>
    <s v="0.0563，已经清关，尽量预留RMB单"/>
    <s v="DEC 21"/>
    <m/>
    <s v="RMB"/>
    <s v="C49SZX20210214EC"/>
    <x v="260"/>
    <s v="YSM20R-2"/>
    <s v="L-&gt;R"/>
    <s v="No"/>
    <s v="OK"/>
    <s v="DDP GZ"/>
    <d v="2021-12-02T00:00:00"/>
    <x v="0"/>
    <m/>
    <m/>
    <m/>
    <s v="C210439747"/>
    <n v="303"/>
  </r>
  <r>
    <n v="1501"/>
    <x v="0"/>
    <s v="C49"/>
    <s v="110635(拆单110656）"/>
    <s v="以络鑫名义下单"/>
    <x v="12"/>
    <s v="L-&gt;R"/>
    <s v="No"/>
    <s v="Y59183"/>
    <n v="1"/>
    <s v="力合仓库(已经清关)"/>
    <d v="2021-11-27T00:00:00"/>
    <s v="Yamaha RMB单"/>
    <s v="DEC 21"/>
    <m/>
    <s v="RMB"/>
    <s v="C49SZX20210204SS"/>
    <x v="296"/>
    <s v="YSM20R-2"/>
    <s v="L-&gt;R"/>
    <s v="No"/>
    <s v="OK"/>
    <s v="DDP HZ"/>
    <d v="2021-11-13T00:00:00"/>
    <x v="0"/>
    <m/>
    <m/>
    <m/>
    <s v="C211141608"/>
    <n v="301"/>
  </r>
  <r>
    <n v="1459"/>
    <x v="0"/>
    <s v="C49"/>
    <n v="110635"/>
    <s v="以络鑫名义下单"/>
    <x v="12"/>
    <s v="L-&gt;R"/>
    <s v="No"/>
    <s v="Y59184"/>
    <n v="1"/>
    <s v="力合仓库(已经清关)"/>
    <d v="2021-11-27T00:00:00"/>
    <s v="Yamaha RMB单"/>
    <s v="MAR 22"/>
    <m/>
    <s v="RMB"/>
    <s v="C49SZX20210139DZ"/>
    <x v="297"/>
    <s v="YSM20R-2"/>
    <s v="L-&gt;R"/>
    <s v="No"/>
    <s v="OK"/>
    <s v="DDP QY"/>
    <d v="2021-07-15T00:00:00"/>
    <x v="0"/>
    <m/>
    <m/>
    <m/>
    <s v="C200938198"/>
    <n v="301"/>
  </r>
  <r>
    <n v="1153"/>
    <x v="0"/>
    <s v="C49"/>
    <n v="110635"/>
    <s v="以络鑫名义下单"/>
    <x v="12"/>
    <s v="L-&gt;R"/>
    <s v="No"/>
    <s v="Y59185"/>
    <n v="1"/>
    <s v="力合中转仓"/>
    <d v="2021-11-27T00:00:00"/>
    <s v="NM"/>
    <s v="DEC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1"/>
  </r>
  <r>
    <n v="1154"/>
    <x v="0"/>
    <s v="C49"/>
    <n v="110635"/>
    <s v="以络鑫名义下单"/>
    <x v="12"/>
    <s v="L-&gt;R"/>
    <s v="No"/>
    <s v="Y59186"/>
    <n v="1"/>
    <s v="力合中转仓"/>
    <d v="2021-11-27T00:00:00"/>
    <s v="NM"/>
    <s v="DEC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1"/>
  </r>
  <r>
    <n v="1495"/>
    <x v="0"/>
    <s v="C49"/>
    <s v="110634(拆单110662)"/>
    <s v="以络鑫名义下单"/>
    <x v="1"/>
    <s v="R-&gt;L"/>
    <s v="MVC F&amp;R+ATS15"/>
    <s v="Y59179"/>
    <n v="1"/>
    <s v="码头-&gt;准备清关"/>
    <d v="2021-11-27T00:00:00"/>
    <n v="5.6599999999999998E-2"/>
    <s v="DEC 21"/>
    <m/>
    <s v="RMB"/>
    <s v="C49SZX20210199R1SX"/>
    <x v="298"/>
    <s v="YSM10"/>
    <s v="L-&gt;R"/>
    <s v="MVC+ATS15"/>
    <s v="WRONG"/>
    <s v="DDP HB"/>
    <d v="2021-10-28T00:00:00"/>
    <x v="0"/>
    <m/>
    <m/>
    <m/>
    <s v="C170930167"/>
    <n v="301"/>
  </r>
  <r>
    <n v="1496"/>
    <x v="0"/>
    <s v="C49"/>
    <s v="110634(拆单110662)"/>
    <s v="以络鑫名义下单"/>
    <x v="1"/>
    <s v="R-&gt;L"/>
    <s v="MVC F&amp;R+ATS15"/>
    <s v="Y59180"/>
    <n v="1"/>
    <s v="码头-&gt;准备清关"/>
    <d v="2021-11-27T00:00:00"/>
    <n v="5.6599999999999998E-2"/>
    <s v="DEC 21"/>
    <m/>
    <s v="RMB"/>
    <s v="C49SZX20210199R1SX"/>
    <x v="298"/>
    <s v="YSM10"/>
    <s v="L-&gt;R"/>
    <s v="MVC+ATS15"/>
    <s v="WRONG"/>
    <s v="DDP HB"/>
    <d v="2021-10-28T00:00:00"/>
    <x v="0"/>
    <m/>
    <m/>
    <m/>
    <s v="C170930167"/>
    <n v="301"/>
  </r>
  <r>
    <n v="1158"/>
    <x v="0"/>
    <s v="C49"/>
    <n v="110634"/>
    <s v="以络鑫名义下单"/>
    <x v="1"/>
    <s v="R-&gt;L"/>
    <s v="MVC F&amp;R+ATS15"/>
    <s v="Y59181"/>
    <n v="1"/>
    <s v="力合中转仓"/>
    <d v="2021-11-27T00:00:00"/>
    <s v="NM"/>
    <s v="DEC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2"/>
  </r>
  <r>
    <n v="1159"/>
    <x v="0"/>
    <s v="C49"/>
    <n v="110634"/>
    <s v="以络鑫名义下单"/>
    <x v="1"/>
    <s v="R-&gt;L"/>
    <s v="MVC F&amp;R+ATS15"/>
    <s v="Y59182"/>
    <n v="1"/>
    <s v="力合中转仓"/>
    <d v="2021-11-27T00:00:00"/>
    <s v="NM"/>
    <s v="DEC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1"/>
  </r>
  <r>
    <n v="1401"/>
    <x v="0"/>
    <s v="C49"/>
    <n v="110620"/>
    <s v="络鑫名义下单"/>
    <x v="12"/>
    <s v="L-&gt;R"/>
    <s v="No"/>
    <s v="Y59066"/>
    <n v="1"/>
    <s v="前海保税区"/>
    <d v="2021-11-23T00:00:00"/>
    <s v="NM"/>
    <s v="NOV 21"/>
    <m/>
    <s v="JPY"/>
    <s v="C49SZX20210157SS"/>
    <x v="299"/>
    <s v="YSM20R-2"/>
    <s v="L-&gt;R"/>
    <s v="No"/>
    <s v="OK"/>
    <s v="DAP SZ"/>
    <d v="2021-05-27T00:00:00"/>
    <x v="0"/>
    <m/>
    <m/>
    <m/>
    <s v="C210740721"/>
    <n v="313"/>
  </r>
  <r>
    <n v="1377"/>
    <x v="0"/>
    <s v="C49"/>
    <n v="110620"/>
    <s v="络鑫名义下单"/>
    <x v="12"/>
    <s v="L-&gt;R"/>
    <s v="No"/>
    <s v="Y59067"/>
    <n v="1"/>
    <s v="前海保税区"/>
    <d v="2021-11-23T00:00:00"/>
    <s v="NM "/>
    <s v="NOV 21"/>
    <m/>
    <s v="JPY"/>
    <s v="C49SZX20210151SX"/>
    <x v="300"/>
    <s v="YSM20R-2"/>
    <s v="L-&gt;R"/>
    <s v="MVC"/>
    <s v="WRONG"/>
    <s v="DAP SZ"/>
    <d v="2021-05-20T00:00:00"/>
    <x v="0"/>
    <m/>
    <m/>
    <m/>
    <s v="C161128062"/>
    <n v="303"/>
  </r>
  <r>
    <n v="1407"/>
    <x v="0"/>
    <s v="C49"/>
    <n v="110617"/>
    <s v="比泰利名义下单"/>
    <x v="12"/>
    <s v="L-&gt;R"/>
    <s v="MVC F&amp;R"/>
    <s v="Y59083"/>
    <n v="1"/>
    <s v="前海保税区"/>
    <d v="2021-11-23T00:00:00"/>
    <s v="NM"/>
    <s v="NOV 21"/>
    <m/>
    <s v="JPY"/>
    <s v="C49SZX20210141DZ"/>
    <x v="4"/>
    <s v="YSM20R-2"/>
    <s v="L-&gt;R"/>
    <s v="MVC F&amp;R"/>
    <s v="OK"/>
    <s v="DAP SZ"/>
    <d v="2021-06-08T00:00:00"/>
    <x v="0"/>
    <m/>
    <m/>
    <m/>
    <s v="IND order "/>
    <n v="302"/>
  </r>
  <r>
    <n v="1406"/>
    <x v="0"/>
    <s v="C49"/>
    <n v="110617"/>
    <s v="比泰利名义下单"/>
    <x v="12"/>
    <s v="L-&gt;R"/>
    <s v="cATS30+MVC(F&amp;R)+15pallet for cATS30+交换台车"/>
    <s v="Y59084"/>
    <n v="1"/>
    <s v="前海保税区"/>
    <d v="2021-11-23T00:00:00"/>
    <s v="NM"/>
    <s v="NOV 21"/>
    <m/>
    <s v="JPY"/>
    <s v="C49SZX20210141DZ"/>
    <x v="4"/>
    <s v="YSM20R-2"/>
    <s v="L-&gt;R"/>
    <s v="cATS30+MVC(F&amp;R)+15pallet for cATS30+交换台车"/>
    <s v="OK"/>
    <s v="DAP SZ"/>
    <d v="2021-06-08T00:00:00"/>
    <x v="0"/>
    <m/>
    <m/>
    <m/>
    <s v="IND order "/>
    <n v="302"/>
  </r>
  <r>
    <n v="1354"/>
    <x v="0"/>
    <s v="C49"/>
    <n v="110619"/>
    <s v="天邦达名义下单"/>
    <x v="11"/>
    <s v="L-&gt;R"/>
    <s v="cATS10+MVC(F&amp;R)+Feeder Carriage"/>
    <s v="Y59062"/>
    <n v="1"/>
    <s v="前海保税区"/>
    <d v="2021-11-23T00:00:00"/>
    <s v="NM"/>
    <s v="NOV 21"/>
    <m/>
    <s v="JPY"/>
    <s v="C49SZX20210133EC"/>
    <x v="174"/>
    <s v="YSM20WR-2"/>
    <s v="L-&gt;R"/>
    <s v="cATS10+MVC(F&amp;R)+Feeder Carriage"/>
    <s v="OK"/>
    <s v="CIF HK"/>
    <d v="2021-04-28T00:00:00"/>
    <x v="0"/>
    <m/>
    <m/>
    <m/>
    <s v="C200737827"/>
    <n v="301"/>
  </r>
  <r>
    <n v="1456"/>
    <x v="0"/>
    <s v="C49"/>
    <n v="110618"/>
    <s v="力通威名义下单"/>
    <x v="1"/>
    <s v="L-&gt;R"/>
    <s v="MVC(F&amp;R)+96 FEEDER PLATE (YSM10) "/>
    <s v="Y59086"/>
    <n v="1"/>
    <s v="码头-&gt;准备清关"/>
    <d v="2021-11-26T00:00:00"/>
    <s v="NM"/>
    <s v="DEC 21"/>
    <m/>
    <s v="JPY"/>
    <s v="C49SZX20210160EC"/>
    <x v="132"/>
    <s v="YSM10"/>
    <s v="R-&gt;L"/>
    <s v="MVC+Rear 站位"/>
    <s v="WRONG"/>
    <s v="DAP HZ"/>
    <d v="2021-07-05T00:00:00"/>
    <x v="0"/>
    <m/>
    <m/>
    <m/>
    <s v="C180933045"/>
    <n v="302"/>
  </r>
  <r>
    <n v="1454"/>
    <x v="0"/>
    <s v="C49"/>
    <n v="110618"/>
    <s v="力通威名义下单"/>
    <x v="1"/>
    <s v="L-&gt;R"/>
    <s v="MVC(F&amp;R)+96 FEEDER PLATE (YSM10) "/>
    <s v="Y59087"/>
    <n v="1"/>
    <s v="码头-&gt;准备清关"/>
    <d v="2021-11-26T00:00:00"/>
    <s v="NM"/>
    <s v="DEC 21"/>
    <m/>
    <s v="JPY"/>
    <s v="C49SZX20210160EC"/>
    <x v="132"/>
    <s v="YSM10"/>
    <s v="L-&gt;R"/>
    <s v="MVC+Rear 站位"/>
    <s v="WRONG"/>
    <s v="DAP HZ"/>
    <d v="2021-07-05T00:00:00"/>
    <x v="0"/>
    <m/>
    <m/>
    <m/>
    <s v="C180933045"/>
    <n v="302"/>
  </r>
  <r>
    <n v="1513"/>
    <x v="0"/>
    <s v="C49"/>
    <s v="49F104089"/>
    <s v="深圳格隆"/>
    <x v="12"/>
    <s v="L-&gt;R"/>
    <s v="No"/>
    <s v="Y58471"/>
    <n v="1"/>
    <s v="力合仓库(已经清关)"/>
    <s v="2021-12-7Yamaha 仓库"/>
    <s v="RMB 单"/>
    <s v="FEB 22"/>
    <m/>
    <s v="RMB"/>
    <s v="C49SZX20210216AY"/>
    <x v="301"/>
    <s v="YSM20R-2"/>
    <s v="L-&gt;R"/>
    <s v="No"/>
    <s v="OK"/>
    <s v="DDP SZ"/>
    <d v="2021-12-07T00:00:00"/>
    <x v="0"/>
    <m/>
    <m/>
    <m/>
    <s v="C210941086"/>
    <n v="302"/>
  </r>
  <r>
    <n v="1092"/>
    <x v="0"/>
    <s v="C49"/>
    <s v="49F104087"/>
    <s v="广东晶科"/>
    <x v="12"/>
    <s v="L-&gt;R"/>
    <s v="No"/>
    <s v="Y58909"/>
    <n v="1"/>
    <s v="力合仓库(已经清关)"/>
    <s v="2021-12-7 Yamaha 仓库"/>
    <s v="RMB 单"/>
    <s v="JAN 22"/>
    <m/>
    <s v="JPY"/>
    <s v="C49SZX20210031SX"/>
    <x v="188"/>
    <s v="YSM20R-2"/>
    <s v="L-&gt;R"/>
    <s v="No"/>
    <s v="OK"/>
    <s v="DAP SZ"/>
    <d v="2021-01-26T00:00:00"/>
    <x v="0"/>
    <m/>
    <m/>
    <m/>
    <s v="C200938214"/>
    <n v="301"/>
  </r>
  <r>
    <n v="1556"/>
    <x v="0"/>
    <s v="C49"/>
    <s v="49F104087"/>
    <s v="广东晶科"/>
    <x v="12"/>
    <s v="R-&gt;L"/>
    <s v="No"/>
    <s v="Y58989"/>
    <n v="1"/>
    <s v="力合仓库(已经清关)"/>
    <s v="2021-12-7 Yamaha 仓库"/>
    <s v="RMB 单"/>
    <s v="FEB 22"/>
    <m/>
    <s v="JPY"/>
    <s v="C49SZX20220002BX"/>
    <x v="302"/>
    <s v="YSM20R-2"/>
    <s v="R-&gt;L"/>
    <s v="No"/>
    <s v="OK"/>
    <s v="DAP HZ"/>
    <d v="2022-01-06T00:00:00"/>
    <x v="0"/>
    <m/>
    <m/>
    <m/>
    <s v="C220141927"/>
    <n v="302"/>
  </r>
  <r>
    <n v="1091"/>
    <x v="0"/>
    <s v="C49"/>
    <s v="49F104088"/>
    <s v="深圳宝捷信"/>
    <x v="12"/>
    <s v="L-&gt;R"/>
    <s v="No"/>
    <s v="Y58472"/>
    <n v="1"/>
    <s v="力合仓库(已经清关)"/>
    <s v="2021-12-7 Yamaha 仓库"/>
    <s v="RMB 单"/>
    <s v="JAN 22"/>
    <m/>
    <s v="JPY"/>
    <s v="C49SZX20210031SX"/>
    <x v="188"/>
    <s v="YSM20R-2"/>
    <s v="L-&gt;R"/>
    <s v="No"/>
    <s v="OK"/>
    <s v="DAP SZ"/>
    <d v="2021-01-26T00:00:00"/>
    <x v="0"/>
    <m/>
    <m/>
    <m/>
    <s v="C200938214"/>
    <n v="302"/>
  </r>
  <r>
    <n v="1586"/>
    <x v="0"/>
    <s v="C49"/>
    <n v="110459"/>
    <s v="海红天远名义下单"/>
    <x v="11"/>
    <s v="L-&gt;R"/>
    <s v="cATS10+MVC(F&amp;R)+Feeder Carriage"/>
    <s v="Y58009"/>
    <n v="1"/>
    <s v="CY仓库"/>
    <d v="2021-12-07T00:00:00"/>
    <s v="NM"/>
    <s v="MAY 22"/>
    <n v="2021.11"/>
    <s v="JPY"/>
    <s v="C49SZX20220013DZ"/>
    <x v="10"/>
    <s v="YSM20WR-2"/>
    <s v="L-&gt;R"/>
    <s v="cATS10+MVC(F&amp;R)+Feeder Carriage"/>
    <s v="OK"/>
    <s v="CIF HK"/>
    <d v="2022-02-22T00:00:00"/>
    <x v="0"/>
    <m/>
    <m/>
    <m/>
    <s v="C170729808"/>
    <n v="301"/>
  </r>
  <r>
    <n v="1585"/>
    <x v="0"/>
    <s v="C49"/>
    <n v="110459"/>
    <s v="海红天远名义下单"/>
    <x v="11"/>
    <s v="L-&gt;R"/>
    <s v="No"/>
    <s v="Y58007"/>
    <n v="1"/>
    <s v="CY仓库"/>
    <d v="2021-12-07T00:00:00"/>
    <s v="NM"/>
    <s v="MAY 22"/>
    <n v="2021.11"/>
    <s v="JPY"/>
    <s v="C49SZX20220013DZ"/>
    <x v="10"/>
    <s v="YSM20WR-2"/>
    <s v="L-&gt;R"/>
    <s v="MVC F&amp;R"/>
    <s v="WRONG"/>
    <s v="CIF HK"/>
    <d v="2022-02-22T00:00:00"/>
    <x v="0"/>
    <m/>
    <m/>
    <m/>
    <s v="C170729808"/>
    <n v="301"/>
  </r>
  <r>
    <n v="1587"/>
    <x v="0"/>
    <s v="C49"/>
    <n v="110459"/>
    <s v="海红天远名义下单"/>
    <x v="11"/>
    <s v="L-&gt;R"/>
    <s v="No"/>
    <s v="Y58008"/>
    <n v="1"/>
    <s v="CY仓库"/>
    <d v="2021-12-07T00:00:00"/>
    <s v="NM"/>
    <s v="MAY 22"/>
    <n v="2021.11"/>
    <s v="JPY"/>
    <s v="C49SZX20220013DZ"/>
    <x v="10"/>
    <s v="YSM20WR-2"/>
    <s v="L-&gt;R"/>
    <s v="No"/>
    <s v="OK"/>
    <s v="CIF HK"/>
    <d v="2022-02-22T00:00:00"/>
    <x v="0"/>
    <m/>
    <m/>
    <m/>
    <s v="C170729808"/>
    <n v="301"/>
  </r>
  <r>
    <n v="1424"/>
    <x v="0"/>
    <s v="C49"/>
    <s v="110669(拆单110366）"/>
    <s v="Stock order"/>
    <x v="12"/>
    <s v="R-&gt;L"/>
    <s v="No"/>
    <s v="Y57086"/>
    <n v="1"/>
    <s v="码头-&gt;准备清关"/>
    <d v="2021-12-23T00:00:00"/>
    <n v="6.0499999999999998E-2"/>
    <s v="DEC 21"/>
    <m/>
    <s v="JPY"/>
    <s v="C49SZX20210152SX"/>
    <x v="64"/>
    <s v="YSM20R-2"/>
    <s v="R-&gt;L"/>
    <s v="No"/>
    <s v="OK"/>
    <s v="DAP SZ"/>
    <d v="2021-06-04T00:00:00"/>
    <x v="0"/>
    <m/>
    <m/>
    <m/>
    <s v="C190835446"/>
    <n v="301"/>
  </r>
  <r>
    <n v="1425"/>
    <x v="0"/>
    <s v="C49"/>
    <n v="110669"/>
    <s v="Stock order"/>
    <x v="12"/>
    <s v="R-&gt;L"/>
    <s v="No"/>
    <s v="Y57087"/>
    <n v="1"/>
    <s v="码头-&gt;准备清关"/>
    <d v="2021-12-23T00:00:00"/>
    <s v="TBA"/>
    <s v="DEC 21"/>
    <m/>
    <s v="JPY"/>
    <s v="C49SZX20210152SX"/>
    <x v="64"/>
    <s v="YSM20R-2"/>
    <s v="R-&gt;L"/>
    <s v="No"/>
    <s v="OK"/>
    <s v="DAP SZ"/>
    <d v="2021-06-04T00:00:00"/>
    <x v="0"/>
    <m/>
    <m/>
    <m/>
    <s v="C190835446"/>
    <n v="301"/>
  </r>
  <r>
    <n v="1447"/>
    <x v="0"/>
    <s v="C28"/>
    <n v="110530"/>
    <s v="Kstar 名义下单"/>
    <x v="10"/>
    <s v="L-&gt;R"/>
    <s v="No"/>
    <s v="Y59057"/>
    <n v="1"/>
    <s v="码头-&gt;准备清关"/>
    <d v="2021-12-23T00:00:00"/>
    <n v="5.6899999999999999E-2"/>
    <s v="DEC 21"/>
    <m/>
    <s v="RMB"/>
    <s v="C28SZX2021024KC"/>
    <x v="303"/>
    <s v="YSD"/>
    <s v="R-&gt;L"/>
    <s v="No"/>
    <s v="WRONG"/>
    <s v="DDP SZ"/>
    <d v="2021-06-17T00:00:00"/>
    <x v="0"/>
    <m/>
    <m/>
    <m/>
    <s v="IND order "/>
    <m/>
  </r>
  <r>
    <n v="1448"/>
    <x v="0"/>
    <s v="C28"/>
    <n v="110530"/>
    <s v="Kstar 名义下单"/>
    <x v="10"/>
    <s v="L-&gt;R"/>
    <s v="No"/>
    <s v="Y59058"/>
    <n v="1"/>
    <s v="码头-&gt;准备清关"/>
    <d v="2021-12-23T00:00:00"/>
    <n v="5.6899999999999999E-2"/>
    <s v="DEC 21"/>
    <m/>
    <s v="RMB"/>
    <s v="C28SZX2021024KC"/>
    <x v="303"/>
    <s v="YSD"/>
    <s v="R-&gt;L"/>
    <s v="No"/>
    <s v="WRONG"/>
    <s v="DDP SZ"/>
    <d v="2021-06-17T00:00:00"/>
    <x v="0"/>
    <m/>
    <m/>
    <m/>
    <s v="IND order "/>
    <m/>
  </r>
  <r>
    <n v="1339"/>
    <x v="0"/>
    <s v="C49"/>
    <n v="110671"/>
    <s v="Stock order"/>
    <x v="12"/>
    <s v="L-&gt;R"/>
    <s v="No"/>
    <s v="Y57246"/>
    <n v="1"/>
    <s v="前海保税区"/>
    <d v="2021-12-26T00:00:00"/>
    <s v="NM"/>
    <s v="JAN 22"/>
    <m/>
    <s v="JPY"/>
    <s v="C49SZX20210119JY"/>
    <x v="163"/>
    <s v="YSM20R-2"/>
    <s v="L-&gt;R"/>
    <s v="No"/>
    <s v="OK"/>
    <s v="DAP SZ"/>
    <d v="2021-04-20T00:00:00"/>
    <x v="0"/>
    <m/>
    <m/>
    <m/>
    <s v="C200637625"/>
    <n v="301"/>
  </r>
  <r>
    <n v="1353"/>
    <x v="0"/>
    <s v="C49"/>
    <n v="110664"/>
    <s v="Stock order(54%)"/>
    <x v="1"/>
    <s v="R-&gt;L"/>
    <s v="MVC F&amp;R"/>
    <s v="Y59418"/>
    <n v="1"/>
    <s v="前海保税区"/>
    <d v="2022-01-01T00:00:00"/>
    <s v="NM"/>
    <s v="JAN 22"/>
    <m/>
    <s v="JPY"/>
    <s v="C49SZX20210132VG"/>
    <x v="304"/>
    <s v="YSM10"/>
    <s v="L-&gt;R"/>
    <s v="MVC"/>
    <s v="WRONG"/>
    <s v="DAP SZ"/>
    <d v="2021-04-27T00:00:00"/>
    <x v="0"/>
    <m/>
    <m/>
    <m/>
    <s v="C210640438"/>
    <n v="301"/>
  </r>
  <r>
    <n v="1394"/>
    <x v="0"/>
    <s v="C49"/>
    <n v="110664"/>
    <s v="Stock order(54%)"/>
    <x v="1"/>
    <s v="R-&gt;L"/>
    <s v="MVC F&amp;R+ATS15+大板相机"/>
    <s v="Y59419"/>
    <n v="1"/>
    <s v="前海保税区"/>
    <d v="2022-01-01T00:00:00"/>
    <s v="NM"/>
    <s v="JAN 22"/>
    <m/>
    <s v="JPY"/>
    <s v="C49SZX20210143DZ"/>
    <x v="8"/>
    <s v="YSM10"/>
    <s v="R-&gt;L"/>
    <s v="MVC+ATS15"/>
    <s v="WRONG"/>
    <s v="CIF HK"/>
    <d v="2021-05-25T00:00:00"/>
    <x v="0"/>
    <m/>
    <m/>
    <m/>
    <s v="C200637592"/>
    <n v="302"/>
  </r>
  <r>
    <n v="1400"/>
    <x v="0"/>
    <s v="C49"/>
    <n v="110664"/>
    <s v="Stock order(54%)"/>
    <x v="1"/>
    <s v="R-&gt;L"/>
    <s v="MVC F&amp;R+大板相机"/>
    <s v="Y59421"/>
    <n v="1"/>
    <s v="前海保税区"/>
    <d v="2022-01-01T00:00:00"/>
    <s v="NM"/>
    <s v="JAN 22"/>
    <m/>
    <s v="JPY"/>
    <s v="C49SZX20210144VG"/>
    <x v="252"/>
    <s v="YSM10"/>
    <s v="L-&gt;R"/>
    <s v="MVC"/>
    <s v="WRONG"/>
    <s v="DAP SZ"/>
    <d v="2021-05-28T00:00:00"/>
    <x v="0"/>
    <m/>
    <m/>
    <m/>
    <s v="C210740683"/>
    <n v="302"/>
  </r>
  <r>
    <n v="1360"/>
    <x v="0"/>
    <s v="C49"/>
    <n v="110664"/>
    <s v="Stock order(54%)"/>
    <x v="1"/>
    <s v="R-&gt;L"/>
    <s v="MVC F&amp;R+大板相机"/>
    <s v="Y59424"/>
    <n v="1"/>
    <s v="前海保税区"/>
    <d v="2022-01-01T00:00:00"/>
    <s v="NM"/>
    <s v="JAN 22"/>
    <m/>
    <s v="JPY"/>
    <s v="C49SZX20210131SX"/>
    <x v="16"/>
    <s v="YSM10"/>
    <s v="L-&gt;R"/>
    <s v="MVC"/>
    <s v="WRONG"/>
    <s v="DAP SZ"/>
    <d v="2021-04-28T00:00:00"/>
    <x v="0"/>
    <m/>
    <m/>
    <m/>
    <s v="C180732624"/>
    <n v="301"/>
  </r>
  <r>
    <n v="1376"/>
    <x v="0"/>
    <s v="C49"/>
    <n v="110664"/>
    <s v="Stock order(54%)"/>
    <x v="1"/>
    <s v="R-&gt;L"/>
    <s v="MVC F&amp;R+大板相机"/>
    <s v="Y59425"/>
    <n v="1"/>
    <s v="前海保税区"/>
    <d v="2022-01-01T00:00:00"/>
    <s v="NM"/>
    <s v="JAN 22"/>
    <m/>
    <s v="JPY"/>
    <s v="C49SZX20210150SX"/>
    <x v="305"/>
    <s v="YSM10"/>
    <s v="L-&gt;R"/>
    <s v="No"/>
    <s v="WRONG"/>
    <s v="DAP HZ"/>
    <d v="2021-05-18T00:00:00"/>
    <x v="0"/>
    <m/>
    <m/>
    <m/>
    <s v="C210640541"/>
    <n v="302"/>
  </r>
  <r>
    <n v="1411"/>
    <x v="0"/>
    <s v="C49"/>
    <n v="110664"/>
    <s v="Stock order(54%)"/>
    <x v="1"/>
    <s v="R-&gt;L"/>
    <s v="MVC F&amp;R"/>
    <s v="Y59420"/>
    <n v="1"/>
    <s v="前海保税区"/>
    <d v="2022-01-01T00:00:00"/>
    <s v="NM"/>
    <s v="JAN 22"/>
    <m/>
    <s v="JPY"/>
    <s v="C49SZX20210167MW"/>
    <x v="306"/>
    <s v="YSM10"/>
    <s v="L-&gt;R"/>
    <s v="MVC"/>
    <s v="WRONG"/>
    <s v="DAP HN"/>
    <d v="2021-06-10T00:00:00"/>
    <x v="0"/>
    <m/>
    <m/>
    <m/>
    <s v="C210941180"/>
    <n v="302"/>
  </r>
  <r>
    <n v="1416"/>
    <x v="0"/>
    <s v="C49"/>
    <n v="110664"/>
    <s v="Stock order(54%)"/>
    <x v="1"/>
    <s v="R-&gt;L"/>
    <s v="MVC F&amp;R+ATS15"/>
    <s v="Y59422"/>
    <n v="1"/>
    <s v="前海保税区"/>
    <d v="2022-01-01T00:00:00"/>
    <s v="NM"/>
    <s v="JAN 22"/>
    <m/>
    <s v="JPY"/>
    <s v="C49SZX20210170DZ"/>
    <x v="220"/>
    <s v="YSM10"/>
    <s v="L-&gt;R"/>
    <s v="MVC+ATS15"/>
    <s v="WRONG"/>
    <s v="DAP SZ"/>
    <d v="2021-06-11T00:00:00"/>
    <x v="0"/>
    <m/>
    <m/>
    <m/>
    <s v="C160526717"/>
    <n v="302"/>
  </r>
  <r>
    <n v="1417"/>
    <x v="0"/>
    <s v="C49"/>
    <n v="110664"/>
    <s v="Stock order(54%)"/>
    <x v="1"/>
    <s v="R-&gt;L"/>
    <s v="MVC F&amp;R+ATS15"/>
    <s v="Y59423"/>
    <n v="1"/>
    <s v="前海保税区"/>
    <d v="2022-01-01T00:00:00"/>
    <s v="NM"/>
    <s v="JAN 22"/>
    <m/>
    <s v="JPY"/>
    <s v="C49SZX20210170DZ"/>
    <x v="220"/>
    <s v="YSM10"/>
    <s v="L-&gt;R"/>
    <s v="MVC+ATS15"/>
    <s v="WRONG"/>
    <s v="DAP SZ"/>
    <d v="2021-06-11T00:00:00"/>
    <x v="0"/>
    <m/>
    <m/>
    <m/>
    <s v="C160526717"/>
    <n v="301"/>
  </r>
  <r>
    <n v="1488"/>
    <x v="0"/>
    <s v="C49"/>
    <n v="110670"/>
    <s v="Stock order(54%)"/>
    <x v="12"/>
    <s v="R-&gt;L"/>
    <s v="No"/>
    <s v="Y58207"/>
    <n v="1"/>
    <s v="力合仓库(已经清关)"/>
    <d v="2022-01-01T00:00:00"/>
    <s v="NM"/>
    <s v="APR 22"/>
    <n v="2021.12"/>
    <s v="JPY"/>
    <s v="C49SZX20210200JY"/>
    <x v="307"/>
    <s v="YSM20R-2"/>
    <s v="R-&gt;L"/>
    <s v="No"/>
    <s v="OK"/>
    <s v="CIF HK"/>
    <d v="2021-10-27T00:00:00"/>
    <x v="0"/>
    <m/>
    <m/>
    <m/>
    <s v="C211241741"/>
    <n v="301"/>
  </r>
  <r>
    <n v="1293"/>
    <x v="0"/>
    <s v="C49"/>
    <n v="110670"/>
    <s v="Stock order(54%)"/>
    <x v="12"/>
    <s v="R-&gt;L"/>
    <s v="No"/>
    <s v="Y58208"/>
    <n v="1"/>
    <s v="前海保税区"/>
    <d v="2022-01-01T00:00:00"/>
    <s v="NM"/>
    <s v="JAN 22"/>
    <m/>
    <s v="JPY"/>
    <s v="C49SZX20210091SS"/>
    <x v="308"/>
    <s v="YSM20R-2"/>
    <s v="R-&gt;L"/>
    <s v="No"/>
    <s v="OK"/>
    <s v="CIF HK"/>
    <d v="2021-03-30T00:00:00"/>
    <x v="0"/>
    <m/>
    <m/>
    <m/>
    <s v="C200437242"/>
    <n v="301"/>
  </r>
  <r>
    <n v="1439"/>
    <x v="0"/>
    <s v="C49"/>
    <n v="110708"/>
    <s v="Stock order(51%)"/>
    <x v="12"/>
    <s v="L-&gt;R"/>
    <s v="No"/>
    <s v="Y59426"/>
    <n v="1"/>
    <s v="前海保税区"/>
    <d v="2022-01-12T00:00:00"/>
    <s v="NM"/>
    <s v="APR 22"/>
    <m/>
    <s v="JPY"/>
    <s v="C49SZX20210130R1JY"/>
    <x v="95"/>
    <s v="YSM20R-2"/>
    <s v="L-&gt;R"/>
    <s v="No"/>
    <s v="OK"/>
    <s v="DAP SZ"/>
    <d v="2021-06-25T00:00:00"/>
    <x v="0"/>
    <m/>
    <m/>
    <m/>
    <s v="C160526717"/>
    <n v="313"/>
  </r>
  <r>
    <n v="1442"/>
    <x v="0"/>
    <s v="C49"/>
    <n v="110708"/>
    <s v="Stock order(51%)"/>
    <x v="12"/>
    <s v="L-&gt;R"/>
    <s v="MVC F&amp;R"/>
    <s v="Y59427"/>
    <n v="1"/>
    <s v="前海保税区"/>
    <d v="2022-01-12T00:00:00"/>
    <s v="NM"/>
    <s v="JAN 22"/>
    <m/>
    <s v="JPY"/>
    <s v="C49SZX20210176R1JY"/>
    <x v="7"/>
    <s v="YSM20R-2"/>
    <s v="L-&gt;R"/>
    <s v="MVC"/>
    <s v="WRONG"/>
    <s v="DAP SZ"/>
    <d v="2021-06-25T00:00:00"/>
    <x v="0"/>
    <m/>
    <m/>
    <m/>
    <s v="C170529430"/>
    <n v="313"/>
  </r>
  <r>
    <n v="1414"/>
    <x v="0"/>
    <s v="C49"/>
    <n v="110708"/>
    <s v="Stock order(51%)"/>
    <x v="12"/>
    <s v="L-&gt;R"/>
    <s v="No"/>
    <s v="Y59428"/>
    <n v="1"/>
    <s v="前海保税区"/>
    <d v="2022-01-12T00:00:00"/>
    <s v="NM"/>
    <s v="JAN 22"/>
    <m/>
    <s v="JPY"/>
    <s v="C49SZX20210170DZ"/>
    <x v="220"/>
    <s v="YSM20R-2"/>
    <s v="L-&gt;R"/>
    <s v="No"/>
    <s v="OK"/>
    <s v="DAP SZ"/>
    <d v="2021-06-11T00:00:00"/>
    <x v="0"/>
    <m/>
    <m/>
    <m/>
    <s v="C160526717"/>
    <n v="313"/>
  </r>
  <r>
    <n v="1475"/>
    <x v="0"/>
    <s v="C49"/>
    <n v="110708"/>
    <s v="Stock order(51%)"/>
    <x v="12"/>
    <s v="L-&gt;R"/>
    <s v="No"/>
    <s v="Y59429"/>
    <n v="1"/>
    <s v="前海保税区"/>
    <d v="2022-01-12T00:00:00"/>
    <s v="NM"/>
    <s v="JAN 22"/>
    <m/>
    <s v="JPY"/>
    <s v="C49SZX20210191DY"/>
    <x v="309"/>
    <s v="YSM20R-2"/>
    <s v="L-&gt;R"/>
    <s v="No"/>
    <s v="OK"/>
    <s v="CIF HK"/>
    <d v="2021-09-13T00:00:00"/>
    <x v="0"/>
    <m/>
    <m/>
    <m/>
    <s v="C220141918"/>
    <n v="303"/>
  </r>
  <r>
    <n v="1707"/>
    <x v="0"/>
    <s v="C49"/>
    <s v="49F104131"/>
    <s v="正邦名义下单"/>
    <x v="0"/>
    <s v="L-&gt;R"/>
    <s v="No"/>
    <s v="Y57508"/>
    <n v="1"/>
    <s v="力合仓库(已经清关)"/>
    <s v="2022-1-17Yamaha 仓库"/>
    <s v="RMB 单"/>
    <s v="AUG 22"/>
    <n v="2021.6"/>
    <s v="RMB"/>
    <s v="C49SZX20220083DZ"/>
    <x v="310"/>
    <s v="YSM40R-4"/>
    <s v="L-&gt;R"/>
    <s v="No"/>
    <s v="OK"/>
    <s v="DDP HZ"/>
    <d v="2022-07-20T00:00:00"/>
    <x v="0"/>
    <m/>
    <m/>
    <m/>
    <s v="C220843546"/>
    <m/>
  </r>
  <r>
    <n v="1708"/>
    <x v="0"/>
    <s v="C49"/>
    <s v="49F104131"/>
    <s v="正邦名义下单"/>
    <x v="0"/>
    <s v="L-&gt;R"/>
    <s v="No"/>
    <s v="Y57509"/>
    <n v="1"/>
    <s v="力合仓库(已经清关)"/>
    <s v="2022-1-17Yamaha 仓库"/>
    <s v="RMB 单"/>
    <s v="AUG 22"/>
    <n v="2021.6"/>
    <s v="RMB"/>
    <s v="C49SZX20220083DZ"/>
    <x v="310"/>
    <s v="YSM40R-4"/>
    <s v="L-&gt;R"/>
    <s v="No"/>
    <s v="OK"/>
    <s v="DDP HZ"/>
    <d v="2022-07-20T00:00:00"/>
    <x v="0"/>
    <m/>
    <m/>
    <m/>
    <s v="C220843546"/>
    <s v="72GD"/>
  </r>
  <r>
    <n v="1540"/>
    <x v="0"/>
    <s v="C49"/>
    <s v="49F104147"/>
    <s v="快宇名义下单"/>
    <x v="0"/>
    <s v="L-&gt;R"/>
    <s v="No"/>
    <s v="Y58302"/>
    <n v="1"/>
    <s v="Yamaha 仓库"/>
    <s v="2022-1-17Yamaha 仓库"/>
    <s v="RMB 单"/>
    <s v="JAN 22"/>
    <m/>
    <s v="RMB"/>
    <s v="C49SZX20210222JL"/>
    <x v="311"/>
    <s v="YSM40R-4"/>
    <s v="L-&gt;R"/>
    <s v="No"/>
    <s v="OK"/>
    <s v="DDP SZ"/>
    <d v="2021-12-27T00:00:00"/>
    <x v="0"/>
    <m/>
    <m/>
    <m/>
    <s v="IND"/>
    <m/>
  </r>
  <r>
    <n v="1541"/>
    <x v="0"/>
    <s v="C49"/>
    <s v="49F104157"/>
    <s v="世达威名义下单"/>
    <x v="0"/>
    <s v="L-&gt;R"/>
    <s v="No"/>
    <s v="Y58295"/>
    <n v="1"/>
    <s v="Yamaha 仓库"/>
    <s v="2022-1-17Yamaha 仓库"/>
    <s v="RMB 单"/>
    <m/>
    <m/>
    <s v="RMB"/>
    <s v="C49SZX20220001SS"/>
    <x v="312"/>
    <s v="YSM40R-4"/>
    <s v="L-&gt;R"/>
    <s v="No"/>
    <s v="OK"/>
    <s v="DDP SZ"/>
    <d v="2022-01-04T00:00:00"/>
    <x v="0"/>
    <m/>
    <m/>
    <m/>
    <s v="IND"/>
    <m/>
  </r>
  <r>
    <n v="1543"/>
    <x v="0"/>
    <s v="C49"/>
    <s v="49F104161"/>
    <s v="龙大名义下单"/>
    <x v="0"/>
    <s v="L-&gt;R"/>
    <s v="No"/>
    <s v="Y58296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4"/>
    <x v="0"/>
    <s v="C49"/>
    <s v="49F104161"/>
    <s v="龙大名义下单"/>
    <x v="0"/>
    <s v="L-&gt;R"/>
    <s v="No"/>
    <s v="Y58297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5"/>
    <x v="0"/>
    <s v="C49"/>
    <s v="49F104161"/>
    <s v="龙大名义下单"/>
    <x v="0"/>
    <s v="L-&gt;R"/>
    <s v="No"/>
    <s v="Y58298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6"/>
    <x v="0"/>
    <s v="C49"/>
    <s v="49F104161"/>
    <s v="龙大名义下单"/>
    <x v="0"/>
    <s v="L-&gt;R"/>
    <s v="No"/>
    <s v="Y58299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7"/>
    <x v="0"/>
    <s v="C49"/>
    <s v="49F104161"/>
    <s v="龙大名义下单"/>
    <x v="0"/>
    <s v="L-&gt;R"/>
    <s v="No"/>
    <s v="Y58300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29"/>
    <x v="0"/>
    <s v="C49"/>
    <s v="49F104167"/>
    <s v="新亚胜名义下单"/>
    <x v="0"/>
    <s v="L-&gt;R"/>
    <s v="No"/>
    <s v="Y58305"/>
    <n v="1"/>
    <s v="Yamaha 苏州仓库"/>
    <s v="2022-1-17Yamaha 仓库"/>
    <s v="RMB 单"/>
    <s v="MAR 22"/>
    <m/>
    <s v="RMB"/>
    <s v="C49SZX20210210DZ"/>
    <x v="313"/>
    <s v="YSM40R-4"/>
    <s v="L-&gt;R"/>
    <s v="No"/>
    <s v="OK"/>
    <s v="DDP CS"/>
    <d v="2021-12-16T00:00:00"/>
    <x v="0"/>
    <m/>
    <m/>
    <m/>
    <s v="IND"/>
    <m/>
  </r>
  <r>
    <n v="1530"/>
    <x v="0"/>
    <s v="C49"/>
    <s v="49F104167"/>
    <s v="新亚胜名义下单"/>
    <x v="0"/>
    <s v="L-&gt;R"/>
    <s v="No"/>
    <s v="Y58306"/>
    <n v="1"/>
    <s v="Yamaha 苏州仓库"/>
    <s v="2022-1-17Yamaha 仓库"/>
    <s v="RMB 单"/>
    <s v="MAR 22"/>
    <m/>
    <s v="RMB"/>
    <s v="C49SZX20210210DZ"/>
    <x v="313"/>
    <s v="YSM40R-4"/>
    <s v="L-&gt;R"/>
    <s v="No"/>
    <s v="OK"/>
    <s v="DDP CS"/>
    <d v="2021-12-16T00:00:00"/>
    <x v="0"/>
    <m/>
    <m/>
    <m/>
    <s v="IND"/>
    <m/>
  </r>
  <r>
    <n v="1512"/>
    <x v="0"/>
    <s v="C49"/>
    <s v="49F104104"/>
    <s v="易通名义下单"/>
    <x v="1"/>
    <s v="R-&gt;L"/>
    <s v="No"/>
    <s v="Y59701"/>
    <n v="1"/>
    <s v="Yamaha 苏州仓库"/>
    <s v="2022-1-17Yamaha 仓库"/>
    <s v="RMB 单"/>
    <s v="FEB 22"/>
    <m/>
    <s v="RMB"/>
    <s v="C49SZX20210216AY"/>
    <x v="301"/>
    <s v="YSM10"/>
    <s v="L-&gt;R"/>
    <s v="MVC"/>
    <s v="WRONG"/>
    <s v="DDP SZ"/>
    <d v="2021-12-07T00:00:00"/>
    <x v="0"/>
    <m/>
    <m/>
    <m/>
    <s v="C210941086"/>
    <n v="302"/>
  </r>
  <r>
    <n v="1484"/>
    <x v="0"/>
    <s v="C49"/>
    <s v="49F104105"/>
    <s v="英托邦名义下单"/>
    <x v="1"/>
    <s v="R-&gt;L"/>
    <s v="No"/>
    <s v="Y59702 "/>
    <n v="1"/>
    <s v="力合仓库(已经清关)"/>
    <s v="2022-1-17Yamaha 仓库"/>
    <s v="RMB 单"/>
    <s v="MAR 22"/>
    <m/>
    <s v="RMB"/>
    <s v="C49SZX20210197JY"/>
    <x v="314"/>
    <s v="YSM10"/>
    <s v="L-&gt;R"/>
    <s v="MVC"/>
    <s v="WRONG"/>
    <s v="DDP FS"/>
    <d v="2021-10-21T00:00:00"/>
    <x v="0"/>
    <m/>
    <m/>
    <m/>
    <s v="C151225623"/>
    <n v="301"/>
  </r>
  <r>
    <n v="1599"/>
    <x v="0"/>
    <s v="C49"/>
    <s v="49F104103"/>
    <s v="勃旭名义下单"/>
    <x v="12"/>
    <s v="L-&gt;R"/>
    <s v="No"/>
    <s v="Y59781 "/>
    <n v="1"/>
    <s v="力合仓库(已经清关)"/>
    <s v="2022-1-17Yamaha 仓库"/>
    <s v="RMB 单"/>
    <s v="MAR 22"/>
    <m/>
    <s v="JPY"/>
    <s v="C49SZX20220017JL"/>
    <x v="315"/>
    <s v="YSM20R-2"/>
    <s v="L-&gt;R"/>
    <s v="No"/>
    <s v="OK"/>
    <s v="DAP SZ"/>
    <d v="2022-02-24T00:00:00"/>
    <x v="0"/>
    <m/>
    <m/>
    <m/>
    <s v="C220342344"/>
    <n v="302"/>
  </r>
  <r>
    <n v="1382"/>
    <x v="0"/>
    <s v="C49"/>
    <s v="49F104103"/>
    <s v="勃旭名义下单"/>
    <x v="1"/>
    <s v="R-&gt;L"/>
    <s v="No"/>
    <s v="Y59704 "/>
    <n v="1"/>
    <s v="力合仓库(已经清关)"/>
    <s v="2022-1-17Yamaha 仓库"/>
    <s v="RMB 单"/>
    <s v="MAR 22"/>
    <n v="2022.1"/>
    <s v="JPY"/>
    <s v="C49SZX20210155MZR1"/>
    <x v="271"/>
    <s v="YSM10"/>
    <s v="L-&gt;R"/>
    <s v="MVC"/>
    <s v="WRONG"/>
    <s v="DAP SZ"/>
    <d v="2021-05-21T00:00:00"/>
    <x v="0"/>
    <m/>
    <m/>
    <m/>
    <s v="C210640437"/>
    <n v="302"/>
  </r>
  <r>
    <n v="1383"/>
    <x v="0"/>
    <s v="C49"/>
    <s v="49F104105"/>
    <s v="英托邦名义下单"/>
    <x v="1"/>
    <s v="R-&gt;L"/>
    <s v="No"/>
    <s v="Y59703"/>
    <n v="1"/>
    <s v="力合仓库(已经清关)"/>
    <s v="2022-1-17Yamaha 仓库"/>
    <s v="RMB 单"/>
    <s v="MAR 22"/>
    <n v="2022.1"/>
    <s v="JPY"/>
    <s v="C49SZX20210182MZ"/>
    <x v="271"/>
    <s v="YSM10"/>
    <s v="L-&gt;R"/>
    <s v="MVC"/>
    <s v="WRONG"/>
    <s v="DAP SZ"/>
    <d v="2021-05-21T00:00:00"/>
    <x v="0"/>
    <m/>
    <m/>
    <m/>
    <s v="C210640437"/>
    <n v="302"/>
  </r>
  <r>
    <n v="1606"/>
    <x v="0"/>
    <s v="C28"/>
    <n v="110666"/>
    <s v="STOCK order"/>
    <x v="13"/>
    <s v="R-&gt;L"/>
    <s v="Repair Station+P-Tool AOI"/>
    <s v="Y59610"/>
    <n v="1"/>
    <s v="前海保税区"/>
    <d v="2022-01-26T00:00:00"/>
    <s v="NM"/>
    <s v="JUN 22"/>
    <n v="2021.12"/>
    <s v="JPY"/>
    <s v="C49SZX20220028R1SX"/>
    <x v="316"/>
    <s v="YSi-V"/>
    <s v="L-&gt;R"/>
    <s v="No"/>
    <s v="WRONG"/>
    <s v="CIF HK"/>
    <d v="2022-03-07T00:00:00"/>
    <x v="0"/>
    <m/>
    <m/>
    <m/>
    <s v="C220543032"/>
    <m/>
  </r>
  <r>
    <s v="上海禾川预留"/>
    <x v="0"/>
    <s v="C28"/>
    <n v="110666"/>
    <s v="STOCK order"/>
    <x v="13"/>
    <s v="L-&gt;R"/>
    <s v="Repair Station+P-Tool AOI"/>
    <s v="Y59611"/>
    <n v="1"/>
    <s v="前海保税区"/>
    <d v="2022-01-26T00:00:00"/>
    <s v="NM"/>
    <m/>
    <n v="2021.12"/>
    <s v="RMB"/>
    <s v="C49SHA20220306/LQM"/>
    <x v="317"/>
    <s v="YSi-V"/>
    <s v="L-&gt;R"/>
    <s v="Repair Station+P-Tool AOI"/>
    <s v="OK"/>
    <s v="DDP 浙江"/>
    <d v="2022-03-26T00:00:00"/>
    <x v="1"/>
    <m/>
    <m/>
    <m/>
    <s v="C211141465"/>
    <m/>
  </r>
  <r>
    <n v="1482"/>
    <x v="0"/>
    <s v="C49"/>
    <s v="110665(拆单110801）"/>
    <s v="Stock order(51%)"/>
    <x v="12"/>
    <s v="L-&gt;R"/>
    <s v="cATS10+MVC+special layout"/>
    <s v="Y59430"/>
    <n v="1"/>
    <s v="前海保税区"/>
    <d v="2022-02-04T00:00:00"/>
    <n v="5.6099999999999997E-2"/>
    <s v="FEB 22"/>
    <m/>
    <s v="RMB"/>
    <s v="C49SZX20210196MZ"/>
    <x v="52"/>
    <s v="YSM20R-2"/>
    <s v="L-&gt;R"/>
    <s v="cATS10+MVC+Feeder Carriage"/>
    <s v="WRONG"/>
    <s v="DDP ZH"/>
    <d v="2021-09-26T00:00:00"/>
    <x v="0"/>
    <m/>
    <m/>
    <m/>
    <s v="C120111315"/>
    <n v="302"/>
  </r>
  <r>
    <n v="1751"/>
    <x v="0"/>
    <s v="C49"/>
    <n v="110665"/>
    <s v="Stock order(51%)"/>
    <x v="12"/>
    <s v="L-&gt;R"/>
    <s v="cATS10+MVC+special layout"/>
    <s v="Y59431"/>
    <n v="1"/>
    <s v="力合仓库(已经清关)"/>
    <d v="2022-02-04T00:00:00"/>
    <n v="5.3449999999999998E-2"/>
    <s v="NOV 22"/>
    <n v="2021.12"/>
    <s v="RMB"/>
    <s v="C49SZX20220113DZ"/>
    <x v="4"/>
    <s v="YSM20R-2"/>
    <s v="L-&gt;R"/>
    <s v="cATS10+MVC(F&amp;R)+special layout"/>
    <s v="WRONG"/>
    <s v="DDP SZ"/>
    <d v="2022-11-02T00:00:00"/>
    <x v="0"/>
    <m/>
    <m/>
    <m/>
    <s v="C211141606"/>
    <n v="302"/>
  </r>
  <r>
    <n v="1636"/>
    <x v="0"/>
    <s v="C49"/>
    <n v="110693"/>
    <s v="深圳领德创下单"/>
    <x v="12"/>
    <s v="L-&gt;R"/>
    <s v="No"/>
    <s v="Y59644"/>
    <n v="1"/>
    <s v="前海保税区"/>
    <d v="2022-02-04T00:00:00"/>
    <s v="Yamaha RMB单，Y57088益田名义报关"/>
    <s v="APR 22"/>
    <n v="2021.12"/>
    <s v="RMB"/>
    <s v="C49SZX20220043SQ"/>
    <x v="318"/>
    <s v="YSM20R-2"/>
    <s v="L-&gt;R"/>
    <s v="No"/>
    <s v="OK"/>
    <s v="DDP SZ"/>
    <d v="2022-04-08T00:00:00"/>
    <x v="0"/>
    <m/>
    <m/>
    <m/>
    <s v="C220442699"/>
    <n v="302"/>
  </r>
  <r>
    <n v="1634"/>
    <x v="0"/>
    <s v="C49"/>
    <n v="110693"/>
    <s v="深圳领德创下单"/>
    <x v="12"/>
    <s v="L-&gt;R"/>
    <s v="No"/>
    <s v="Y59645"/>
    <n v="1"/>
    <s v="力合仓库(已经清关)"/>
    <d v="2022-02-04T00:00:00"/>
    <s v="Yamaha RMB单"/>
    <s v="APR 22"/>
    <n v="2021.12"/>
    <s v="RMB"/>
    <s v="C49SZX20220039JY"/>
    <x v="319"/>
    <s v="YSM20R-2"/>
    <s v="L-&gt;R"/>
    <s v="MVC"/>
    <s v="WRONG"/>
    <s v="DDP SZ"/>
    <d v="2022-03-24T00:00:00"/>
    <x v="0"/>
    <m/>
    <m/>
    <m/>
    <s v=" C220442618 "/>
    <n v="302"/>
  </r>
  <r>
    <n v="1598"/>
    <x v="0"/>
    <s v="C49"/>
    <n v="110694"/>
    <s v="SZ 聚亮兴业"/>
    <x v="12"/>
    <s v="L-&gt;R"/>
    <s v="No"/>
    <s v="Y59650"/>
    <n v="1"/>
    <s v="力合仓库(已经清关)"/>
    <d v="2022-02-06T00:00:00"/>
    <s v="0.0568,RMB清关"/>
    <s v="MAR 22"/>
    <m/>
    <s v="RMB"/>
    <s v="C49SZX20220023SX"/>
    <x v="222"/>
    <s v="YSM20R-2"/>
    <s v="L-&gt;R"/>
    <s v="MVC"/>
    <s v="WRONG"/>
    <s v="DDP SZ"/>
    <d v="2022-02-23T00:00:00"/>
    <x v="0"/>
    <m/>
    <m/>
    <m/>
    <s v="C210239202"/>
    <n v="313"/>
  </r>
  <r>
    <n v="1567"/>
    <x v="0"/>
    <s v="C49"/>
    <n v="110695"/>
    <s v="SZ 狂热者"/>
    <x v="12"/>
    <s v="L-&gt;R"/>
    <s v="No"/>
    <s v="Y59654"/>
    <n v="1"/>
    <s v="力合中转仓"/>
    <d v="2022-02-06T00:00:00"/>
    <s v="NM"/>
    <s v="FEB 22"/>
    <m/>
    <s v="JPY"/>
    <s v="C49SZX20220014JL"/>
    <x v="100"/>
    <s v="YSM20R-2"/>
    <s v="L-&gt;R"/>
    <s v="MVC"/>
    <s v="WRONG"/>
    <s v="DAP SZ"/>
    <d v="2022-01-25T00:00:00"/>
    <x v="0"/>
    <m/>
    <m/>
    <m/>
    <s v="C170629728"/>
    <n v="303"/>
  </r>
  <r>
    <n v="1504"/>
    <x v="0"/>
    <s v="C49"/>
    <n v="110697"/>
    <s v="SZ 融创新合"/>
    <x v="12"/>
    <s v="L-&gt;R"/>
    <s v="No"/>
    <s v="Y59662"/>
    <n v="1"/>
    <s v="前海保税区"/>
    <d v="2022-02-06T00:00:00"/>
    <s v="NM"/>
    <s v="MAY 22"/>
    <n v="2022.1"/>
    <s v="JPY"/>
    <s v="C49SZX20210103MZ"/>
    <x v="293"/>
    <s v="YSM20R-2"/>
    <s v="L-&gt;R"/>
    <s v="No"/>
    <s v="OK"/>
    <s v="CIF HK"/>
    <d v="2021-11-24T00:00:00"/>
    <x v="0"/>
    <m/>
    <m/>
    <m/>
    <s v="C220242164"/>
    <n v="304"/>
  </r>
  <r>
    <n v="1514"/>
    <x v="0"/>
    <s v="C49"/>
    <n v="110696"/>
    <s v="SZ 晨鑫达"/>
    <x v="12"/>
    <s v="L-&gt;R"/>
    <s v="No"/>
    <s v="Y59655"/>
    <n v="1"/>
    <s v="力合中转仓"/>
    <d v="2022-02-05T00:00:00"/>
    <s v="NM"/>
    <s v="APR 22"/>
    <n v="2021.12"/>
    <s v="JPY"/>
    <s v="C49SZX20210206MZ"/>
    <x v="320"/>
    <s v="YSM20R-2"/>
    <s v="L-&gt;R"/>
    <s v="No"/>
    <s v="OK"/>
    <s v="DAP SZ"/>
    <d v="2021-12-10T00:00:00"/>
    <x v="0"/>
    <m/>
    <m/>
    <m/>
    <s v="C220342452"/>
    <n v="301"/>
  </r>
  <r>
    <n v="1515"/>
    <x v="0"/>
    <s v="C49"/>
    <n v="110696"/>
    <s v="SZ 晨鑫达"/>
    <x v="12"/>
    <s v="L-&gt;R"/>
    <s v="No"/>
    <s v="Y59656"/>
    <n v="1"/>
    <s v="力合中转仓"/>
    <d v="2022-02-05T00:00:00"/>
    <s v="NM"/>
    <s v="APR 22"/>
    <n v="2022.1"/>
    <s v="JPY"/>
    <s v="C49SZX20210206MZ"/>
    <x v="320"/>
    <s v="YSM20R-2"/>
    <s v="L-&gt;R"/>
    <s v="No"/>
    <s v="OK"/>
    <s v="DAP SZ"/>
    <d v="2021-12-10T00:00:00"/>
    <x v="0"/>
    <m/>
    <m/>
    <m/>
    <s v="C220342452"/>
    <n v="301"/>
  </r>
  <r>
    <n v="1497"/>
    <x v="0"/>
    <s v="C49"/>
    <n v="110698"/>
    <s v="SZ 魔乐视"/>
    <x v="12"/>
    <s v="L-&gt;R"/>
    <s v="No"/>
    <s v="Y59657"/>
    <n v="1"/>
    <s v="力合中转仓"/>
    <d v="2022-02-05T00:00:00"/>
    <s v="NM"/>
    <s v="FEB 22"/>
    <m/>
    <s v="JPY"/>
    <s v="C49SZX20210203EC"/>
    <x v="321"/>
    <s v="YSM20R-2"/>
    <s v="L-&gt;R"/>
    <s v="No"/>
    <s v="OK"/>
    <s v="DAP SZ"/>
    <d v="2021-11-11T00:00:00"/>
    <x v="0"/>
    <m/>
    <m/>
    <m/>
    <s v="C200737683"/>
    <n v="302"/>
  </r>
  <r>
    <n v="1498"/>
    <x v="0"/>
    <s v="C49"/>
    <n v="110698"/>
    <s v="SZ 魔乐视"/>
    <x v="12"/>
    <s v="L-&gt;R"/>
    <s v="No"/>
    <s v="Y59658"/>
    <n v="1"/>
    <s v="力合中转仓"/>
    <d v="2022-02-05T00:00:00"/>
    <s v="NM"/>
    <s v="FEB 22"/>
    <m/>
    <s v="JPY"/>
    <s v="C49SZX20210203EC"/>
    <x v="321"/>
    <s v="YSM20R-2"/>
    <s v="L-&gt;R"/>
    <s v="No"/>
    <s v="OK"/>
    <s v="DAP SZ"/>
    <d v="2021-11-11T00:00:00"/>
    <x v="0"/>
    <m/>
    <m/>
    <m/>
    <s v="C200737683"/>
    <n v="302"/>
  </r>
  <r>
    <n v="1579"/>
    <x v="0"/>
    <s v="C49"/>
    <n v="110734"/>
    <s v="SZ 正讯"/>
    <x v="12"/>
    <s v="L-&gt;R"/>
    <s v="MVC F&amp;R"/>
    <s v="Y59959"/>
    <n v="1"/>
    <s v="力合中转仓"/>
    <d v="2022-02-08T00:00:00"/>
    <s v="NM 110865"/>
    <s v="JUN 22"/>
    <n v="2022.1"/>
    <s v="JPY"/>
    <s v="C49SZX20220016JL"/>
    <x v="68"/>
    <s v="YSM20R-2"/>
    <s v="L-&gt;R"/>
    <s v="No"/>
    <s v="WRONG"/>
    <s v="DAP SZ"/>
    <d v="2022-02-15T00:00:00"/>
    <x v="0"/>
    <m/>
    <m/>
    <m/>
    <s v="C170128496"/>
    <n v="301"/>
  </r>
  <r>
    <n v="1531"/>
    <x v="0"/>
    <s v="C49"/>
    <n v="110731"/>
    <s v="深圳傲尔"/>
    <x v="12"/>
    <s v="R-&gt;L"/>
    <s v="No"/>
    <s v="Y59950"/>
    <n v="1"/>
    <s v="前海保税区"/>
    <d v="2022-02-08T00:00:00"/>
    <s v="NM"/>
    <s v="FEB 22"/>
    <m/>
    <s v="JPY"/>
    <s v="C49SZX20210223MZ"/>
    <x v="322"/>
    <s v="YSM20R-2"/>
    <s v="R-&gt;L"/>
    <s v="No"/>
    <s v="OK"/>
    <s v="CIF  HK"/>
    <d v="2021-12-27T00:00:00"/>
    <x v="0"/>
    <m/>
    <m/>
    <m/>
    <s v="C220242115"/>
    <n v="301"/>
  </r>
  <r>
    <n v="1499"/>
    <x v="0"/>
    <s v="C49"/>
    <n v="110689"/>
    <s v="深圳领德创下单"/>
    <x v="1"/>
    <s v="R-&gt;L"/>
    <s v="MVC F&amp;R+ATS15"/>
    <s v="Y59643"/>
    <n v="1"/>
    <s v="力合中转仓"/>
    <d v="2022-02-08T00:00:00"/>
    <s v="NM"/>
    <s v="FEB 22"/>
    <m/>
    <s v="JPY"/>
    <s v="C49SZX20210203EC"/>
    <x v="321"/>
    <s v="YSM10"/>
    <s v="L-&gt;R"/>
    <s v="MVC+ATS15"/>
    <s v="WRONG"/>
    <s v="DAP SZ"/>
    <d v="2021-11-11T00:00:00"/>
    <x v="0"/>
    <m/>
    <m/>
    <m/>
    <s v="IND"/>
    <n v="302"/>
  </r>
  <r>
    <n v="1564"/>
    <x v="0"/>
    <s v="C49"/>
    <n v="110690"/>
    <s v="狂热者下单"/>
    <x v="1"/>
    <s v="R-&gt;L"/>
    <s v="MVC F&amp;R+ATS15"/>
    <s v="Y59653"/>
    <n v="1"/>
    <s v="前海保税区"/>
    <d v="2022-02-08T00:00:00"/>
    <s v="NM"/>
    <s v="MAY 22"/>
    <n v="2022.1"/>
    <s v="JPY"/>
    <s v="C49SZX20220003EC"/>
    <x v="174"/>
    <s v="YSM10"/>
    <s v="L-&gt;R"/>
    <s v="MVC+ATS15"/>
    <s v="WRONG"/>
    <s v="CIF HK"/>
    <d v="2022-01-24T00:00:00"/>
    <x v="0"/>
    <m/>
    <m/>
    <m/>
    <s v="C200737827"/>
    <n v="302"/>
  </r>
  <r>
    <n v="1474"/>
    <x v="0"/>
    <s v="C49"/>
    <n v="110630"/>
    <s v="健科名义下单"/>
    <x v="17"/>
    <s v="L-&gt;R"/>
    <s v="No"/>
    <s v="Y59216"/>
    <n v="1"/>
    <s v="力合仓库(已经清关)"/>
    <d v="2022-02-08T00:00:00"/>
    <s v="NM"/>
    <s v="FEB 22"/>
    <m/>
    <s v="JPY"/>
    <s v="C49SZX20210189DZ"/>
    <x v="79"/>
    <s v="YRH10"/>
    <s v="L-&gt;R"/>
    <s v="No"/>
    <s v="OK"/>
    <s v="DAP CS"/>
    <d v="2021-09-08T00:00:00"/>
    <x v="0"/>
    <m/>
    <m/>
    <m/>
    <s v="IND"/>
    <n v="8106"/>
  </r>
  <r>
    <n v="1591"/>
    <x v="0"/>
    <s v="C49"/>
    <n v="110691"/>
    <s v="方案集下单"/>
    <x v="1"/>
    <s v="R-&gt;L"/>
    <s v="MVC F&amp;R+ATS15"/>
    <s v="Y59648"/>
    <n v="1"/>
    <s v="CY仓库"/>
    <d v="2022-02-08T00:00:00"/>
    <s v="NM"/>
    <s v="MAY 22"/>
    <n v="2022.1"/>
    <s v="JPY"/>
    <s v="C49SZX20220013DZ"/>
    <x v="10"/>
    <s v="YSM10"/>
    <s v="R-&gt;L"/>
    <s v="MVC+ATS15"/>
    <s v="WRONG"/>
    <s v="CIF HK"/>
    <d v="2022-02-22T00:00:00"/>
    <x v="0"/>
    <m/>
    <m/>
    <m/>
    <s v="C200637456"/>
    <n v="302"/>
  </r>
  <r>
    <n v="1248"/>
    <x v="0"/>
    <s v="C49"/>
    <n v="110692"/>
    <s v="祥弘瑞下单"/>
    <x v="1"/>
    <s v="R-&gt;L"/>
    <s v="MVC F&amp;R+大板相机"/>
    <s v="Y59646"/>
    <n v="1"/>
    <s v="前海保税区"/>
    <d v="2022-02-08T00:00:00"/>
    <s v="NM"/>
    <s v="FEB 22"/>
    <m/>
    <s v="JPY"/>
    <s v="C49SZX20210072SS"/>
    <x v="58"/>
    <s v="YSM10"/>
    <s v="L-&gt;R"/>
    <s v="MVC"/>
    <s v="WRONG"/>
    <s v="DAP SZ"/>
    <d v="2021-03-11T00:00:00"/>
    <x v="0"/>
    <m/>
    <m/>
    <m/>
    <s v="IND"/>
    <n v="301"/>
  </r>
  <r>
    <n v="1506"/>
    <x v="0"/>
    <s v="C49"/>
    <n v="110726"/>
    <s v="河南融创"/>
    <x v="1"/>
    <s v="R-&gt;L"/>
    <s v="MVC F&amp;R+ATS15"/>
    <s v="Y59930"/>
    <n v="1"/>
    <s v="前海保税区"/>
    <d v="2022-02-21T00:00:00"/>
    <s v="NM"/>
    <s v="MAR 22"/>
    <n v="2022.1"/>
    <s v="JPY"/>
    <s v="C49SZX20210103MZ"/>
    <x v="293"/>
    <s v="YSM10"/>
    <s v="L-&gt;R"/>
    <s v="MVC+ATS15"/>
    <s v="WRONG"/>
    <s v="CIF HK"/>
    <d v="2021-11-24T00:00:00"/>
    <x v="0"/>
    <m/>
    <m/>
    <m/>
    <s v="C220242164"/>
    <n v="302"/>
  </r>
  <r>
    <n v="1507"/>
    <x v="0"/>
    <s v="C49"/>
    <n v="110726"/>
    <s v="河南融创"/>
    <x v="1"/>
    <s v="R-&gt;L"/>
    <s v="MVC F&amp;R+ATS15"/>
    <s v="Y59931"/>
    <n v="1"/>
    <s v="前海保税区"/>
    <d v="2022-02-21T00:00:00"/>
    <s v="NM"/>
    <s v="MAY 22"/>
    <n v="2022.1"/>
    <s v="JPY"/>
    <s v="C49SZX20210103MZ"/>
    <x v="293"/>
    <s v="YSM10"/>
    <s v="L-&gt;R"/>
    <s v="MVC+ATS15"/>
    <s v="WRONG"/>
    <s v="CIF HK"/>
    <d v="2021-11-24T00:00:00"/>
    <x v="0"/>
    <m/>
    <m/>
    <m/>
    <s v="C220242164"/>
    <n v="302"/>
  </r>
  <r>
    <n v="1225"/>
    <x v="0"/>
    <s v="C49"/>
    <n v="110727"/>
    <s v="SZ 海凌科达"/>
    <x v="1"/>
    <s v="R-&gt;L"/>
    <s v="MVC F&amp;R"/>
    <s v="Y59932"/>
    <n v="1"/>
    <s v="前海保税区"/>
    <d v="2022-02-21T00:00:00"/>
    <s v="NM"/>
    <s v="MAR 22"/>
    <m/>
    <s v="JPY"/>
    <s v="C49SZX20210083SS"/>
    <x v="35"/>
    <s v="YSM10"/>
    <s v="R-&gt;L"/>
    <s v="MVC"/>
    <s v="WRONG"/>
    <s v="DAP SZ"/>
    <d v="2021-03-09T00:00:00"/>
    <x v="0"/>
    <m/>
    <m/>
    <m/>
    <s v="C210640351"/>
    <n v="301"/>
  </r>
  <r>
    <n v="1226"/>
    <x v="0"/>
    <s v="C49"/>
    <n v="110727"/>
    <s v="SZ 海凌科达"/>
    <x v="1"/>
    <s v="R-&gt;L"/>
    <s v="MVC F&amp;R"/>
    <s v="Y59933"/>
    <n v="1"/>
    <s v="前海保税区"/>
    <d v="2022-02-21T00:00:00"/>
    <s v="NM"/>
    <s v="MAR 22"/>
    <m/>
    <s v="JPY"/>
    <s v="C49SZX20210083SS"/>
    <x v="35"/>
    <s v="YSM10"/>
    <s v="L-&gt;R"/>
    <s v="MVC"/>
    <s v="WRONG"/>
    <s v="DAP SZ"/>
    <d v="2021-03-09T00:00:00"/>
    <x v="0"/>
    <m/>
    <m/>
    <m/>
    <s v="C210640351"/>
    <n v="301"/>
  </r>
  <r>
    <n v="1369"/>
    <x v="0"/>
    <s v="C49"/>
    <n v="110729"/>
    <s v="SZ 鸿南电子"/>
    <x v="12"/>
    <s v="L-&gt;R"/>
    <s v="No"/>
    <s v="Y59936"/>
    <n v="1"/>
    <s v="前海保税区"/>
    <d v="2022-02-21T00:00:00"/>
    <s v="NM"/>
    <s v="MAR 22"/>
    <n v="2022.1"/>
    <s v="JPY"/>
    <s v="C49SZX20210149DY"/>
    <x v="270"/>
    <s v="YSM20R-2"/>
    <s v="L-&gt;R"/>
    <s v="No"/>
    <s v="OK"/>
    <s v="CIF HK"/>
    <d v="2021-05-14T00:00:00"/>
    <x v="0"/>
    <m/>
    <m/>
    <m/>
    <s v="C210640305"/>
    <n v="301"/>
  </r>
  <r>
    <n v="1487"/>
    <x v="0"/>
    <s v="C49"/>
    <n v="110729"/>
    <s v="SZ 鸿南电子"/>
    <x v="12"/>
    <s v="L-&gt;R"/>
    <s v="No"/>
    <s v="Y59937"/>
    <n v="1"/>
    <s v="前海保税区"/>
    <d v="2022-02-21T00:00:00"/>
    <s v="NM"/>
    <s v="MAR 22"/>
    <m/>
    <s v="JPY"/>
    <s v="C49SZX20210200JY"/>
    <x v="307"/>
    <s v="YSM20R-2"/>
    <s v="L-&gt;R"/>
    <s v="No"/>
    <s v="OK"/>
    <s v="CIF HK"/>
    <d v="2021-10-27T00:00:00"/>
    <x v="0"/>
    <m/>
    <m/>
    <m/>
    <s v="C211241741"/>
    <n v="313"/>
  </r>
  <r>
    <n v="1273"/>
    <x v="0"/>
    <s v="C49"/>
    <n v="110729"/>
    <s v="SZ 鸿南电子"/>
    <x v="1"/>
    <s v="R-&gt;L"/>
    <s v="MVC F&amp;R"/>
    <s v="Y59934"/>
    <n v="1"/>
    <s v="前海保税区"/>
    <d v="2022-02-21T00:00:00"/>
    <s v="NM"/>
    <s v="MAR 22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274"/>
    <x v="0"/>
    <s v="C49"/>
    <n v="110729"/>
    <s v="SZ 鸿南电子"/>
    <x v="1"/>
    <s v="R-&gt;L"/>
    <s v="MVC F&amp;R"/>
    <s v="Y59935"/>
    <n v="1"/>
    <s v="前海保税区"/>
    <d v="2022-02-21T00:00:00"/>
    <s v="NM"/>
    <s v="MAR 22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468"/>
    <x v="0"/>
    <s v="C49"/>
    <n v="110733"/>
    <s v="珠海派诺"/>
    <x v="12"/>
    <s v="L-&gt;R"/>
    <s v="cATS10+MVC+special layout"/>
    <s v="Y59956"/>
    <n v="1"/>
    <s v="力合中转仓"/>
    <d v="2022-03-02T00:00:00"/>
    <s v="NM"/>
    <s v="MAR 22"/>
    <n v="2022.2"/>
    <s v="JPY"/>
    <s v="C49SZX20210185DZ"/>
    <x v="323"/>
    <s v="YSM20R-2"/>
    <s v="L-&gt;R"/>
    <s v="cATS10+MVC+Feeder Carriage"/>
    <s v="WRONG"/>
    <s v="DAP HZ"/>
    <d v="2021-08-02T00:00:00"/>
    <x v="0"/>
    <m/>
    <m/>
    <m/>
    <s v="C210540203"/>
    <n v="301"/>
  </r>
  <r>
    <n v="1093"/>
    <x v="0"/>
    <s v="C49"/>
    <n v="110800"/>
    <s v="Stock order"/>
    <x v="1"/>
    <s v="R-&gt;L"/>
    <s v="No"/>
    <s v="Y56514"/>
    <n v="1"/>
    <s v="力合仓库(已经清关)"/>
    <d v="2022-03-02T00:00:00"/>
    <s v="NM"/>
    <s v="APR 22"/>
    <n v="2022.2"/>
    <s v="JPY"/>
    <s v="C49SZX20210031SX"/>
    <x v="188"/>
    <s v="YSM10"/>
    <s v="R-&gt;L"/>
    <s v="No"/>
    <s v="OK"/>
    <s v="DAP SZ"/>
    <d v="2021-01-26T00:00:00"/>
    <x v="0"/>
    <m/>
    <m/>
    <m/>
    <s v="C200938214"/>
    <n v="301"/>
  </r>
  <r>
    <n v="1502"/>
    <x v="0"/>
    <s v="C49"/>
    <n v="110800"/>
    <s v="Stock order"/>
    <x v="1"/>
    <s v="R-&gt;L"/>
    <s v="No"/>
    <s v="Y56515"/>
    <n v="1"/>
    <s v="力合中转仓"/>
    <d v="2022-03-02T00:00:00"/>
    <s v="NM"/>
    <s v="MAR 22"/>
    <m/>
    <s v="JPY"/>
    <s v="C49SZX20210205SS"/>
    <x v="296"/>
    <s v="YSM10"/>
    <s v="L-&gt;R"/>
    <s v="MVC"/>
    <s v="WRONG"/>
    <s v="DAP HZ"/>
    <d v="2021-11-13T00:00:00"/>
    <x v="0"/>
    <m/>
    <m/>
    <m/>
    <s v="C211141608"/>
    <n v="301"/>
  </r>
  <r>
    <n v="1517"/>
    <x v="0"/>
    <s v="C49"/>
    <n v="110771"/>
    <s v="Stock order"/>
    <x v="1"/>
    <s v="R-&gt;L"/>
    <s v="MVC+ATS15"/>
    <s v="Y57567"/>
    <n v="1"/>
    <s v="力合中转仓"/>
    <d v="2022-03-02T00:00:00"/>
    <s v="NM"/>
    <s v="APR 22"/>
    <n v="2022.2"/>
    <s v="JPY"/>
    <s v="C49SZX20210206MZ"/>
    <x v="320"/>
    <s v="YSM10"/>
    <s v="L-&gt;R"/>
    <s v="MVC+ATS15"/>
    <s v="WRONG"/>
    <s v="DAP SZ"/>
    <d v="2021-12-10T00:00:00"/>
    <x v="0"/>
    <m/>
    <m/>
    <m/>
    <s v="C220342452"/>
    <n v="301"/>
  </r>
  <r>
    <n v="1492"/>
    <x v="0"/>
    <s v="C49"/>
    <n v="110771"/>
    <s v="Stock order"/>
    <x v="1"/>
    <s v="R-&gt;L"/>
    <s v="No"/>
    <s v="Y57568"/>
    <n v="1"/>
    <s v="力合仓库(已经清关)"/>
    <d v="2022-03-02T00:00:00"/>
    <n v="5.5100000000000003E-2"/>
    <s v="APR 22"/>
    <n v="2022.2"/>
    <s v="JPY"/>
    <s v="C49SZX20210194SQ"/>
    <x v="324"/>
    <s v="YSM10"/>
    <s v="R-&gt;L"/>
    <s v="MVC"/>
    <s v="WRONG"/>
    <s v="DAPSZ"/>
    <d v="2021-10-30T00:00:00"/>
    <x v="0"/>
    <m/>
    <m/>
    <m/>
    <s v="C210840857"/>
    <n v="301"/>
  </r>
  <r>
    <n v="1469"/>
    <x v="0"/>
    <s v="C49"/>
    <n v="110728"/>
    <s v="SZ 恒泰创新"/>
    <x v="12"/>
    <s v="L-&gt;R"/>
    <s v="No"/>
    <s v="Y59927"/>
    <n v="1"/>
    <s v="力合中转仓"/>
    <d v="2022-03-02T00:00:00"/>
    <s v="Yamaha RMB单49F104105"/>
    <s v="MAR 22"/>
    <n v="2022.1"/>
    <s v="JPY"/>
    <s v="C49SZX20210185DZ"/>
    <x v="323"/>
    <s v="YSM20R-2"/>
    <s v="L-&gt;R"/>
    <s v="No"/>
    <s v="OK"/>
    <s v="DAP HZ"/>
    <d v="2021-08-02T00:00:00"/>
    <x v="0"/>
    <m/>
    <m/>
    <m/>
    <s v="C210540203"/>
    <n v="312"/>
  </r>
  <r>
    <n v="1489"/>
    <x v="0"/>
    <s v="C49"/>
    <n v="110728"/>
    <s v="SZ 恒泰创新"/>
    <x v="1"/>
    <s v="R-&gt;L"/>
    <s v="MVC F&amp;R"/>
    <s v="Y59928"/>
    <n v="1"/>
    <s v="力合中转仓"/>
    <d v="2022-03-02T00:00:00"/>
    <s v="NM"/>
    <s v="MAR 22"/>
    <m/>
    <s v="JPY"/>
    <s v="C49SZX20210200JY"/>
    <x v="307"/>
    <s v="YSM10"/>
    <s v="L-&gt;R"/>
    <s v="MVC"/>
    <s v="WRONG"/>
    <s v="CIF HK"/>
    <d v="2021-10-27T00:00:00"/>
    <x v="0"/>
    <m/>
    <m/>
    <m/>
    <s v="C211241741"/>
    <n v="312"/>
  </r>
  <r>
    <n v="1320"/>
    <x v="0"/>
    <s v="C49"/>
    <n v="110472"/>
    <s v="Stock order"/>
    <x v="1"/>
    <s v="R-&gt;L"/>
    <s v="MVC"/>
    <s v="Y57570"/>
    <n v="1"/>
    <s v="力合中转仓"/>
    <d v="2022-03-03T00:00:00"/>
    <n v="5.9499999999999997E-2"/>
    <s v="MAR 22"/>
    <m/>
    <s v="JPY"/>
    <s v="C49SZX20210111DZ"/>
    <x v="292"/>
    <s v="YSM10"/>
    <s v="L-&gt;R"/>
    <s v="MVC"/>
    <s v="WRONG"/>
    <s v="CIF HK"/>
    <d v="2021-04-09T00:00:00"/>
    <x v="0"/>
    <m/>
    <m/>
    <m/>
    <s v="C210640274"/>
    <n v="301"/>
  </r>
  <r>
    <n v="1373"/>
    <x v="0"/>
    <s v="C49"/>
    <n v="110472"/>
    <s v="Stock order"/>
    <x v="1"/>
    <s v="R-&gt;L"/>
    <s v="MVC"/>
    <s v="Y57571"/>
    <n v="1"/>
    <s v="力合中转仓"/>
    <d v="2022-03-03T00:00:00"/>
    <n v="5.9499999999999997E-2"/>
    <s v="MAR 22"/>
    <m/>
    <s v="JPY"/>
    <s v="C49SZX20210147DY"/>
    <x v="294"/>
    <s v="YSM10"/>
    <s v="L-&gt;R"/>
    <s v="MVC"/>
    <s v="WRONG"/>
    <s v="DAP HZ"/>
    <d v="2021-05-17T00:00:00"/>
    <x v="0"/>
    <m/>
    <m/>
    <m/>
    <s v="C210640313"/>
    <n v="301"/>
  </r>
  <r>
    <n v="1374"/>
    <x v="0"/>
    <s v="C49"/>
    <n v="110472"/>
    <s v="Stock order"/>
    <x v="1"/>
    <s v="R-&gt;L"/>
    <s v="No"/>
    <s v="Y57569"/>
    <n v="1"/>
    <s v="力合中转仓"/>
    <d v="2022-03-03T00:00:00"/>
    <n v="5.9499999999999997E-2"/>
    <s v="MAR 22"/>
    <m/>
    <s v="JPY"/>
    <s v="C49SZX20210147DY"/>
    <x v="294"/>
    <s v="YSM10"/>
    <s v="L-&gt;R"/>
    <s v="MVC"/>
    <s v="WRONG"/>
    <s v="DAP HZ"/>
    <d v="2021-05-17T00:00:00"/>
    <x v="0"/>
    <m/>
    <m/>
    <m/>
    <s v="C210640313"/>
    <n v="301"/>
  </r>
  <r>
    <n v="1408"/>
    <x v="0"/>
    <s v="C49"/>
    <n v="110730"/>
    <s v="SZ 魔乐视"/>
    <x v="12"/>
    <s v="L-&gt;R"/>
    <s v="No"/>
    <s v="Y59946"/>
    <n v="1"/>
    <s v="力合中转仓"/>
    <d v="2022-03-03T00:00:00"/>
    <s v="NM"/>
    <s v="MAR 22"/>
    <m/>
    <s v="JPY"/>
    <s v="C49SZX20210166SX"/>
    <x v="166"/>
    <s v="YSM20R-2"/>
    <s v="L-&gt;R"/>
    <s v="No"/>
    <s v="OK"/>
    <s v="DAP SZ"/>
    <d v="2021-06-09T00:00:00"/>
    <x v="0"/>
    <m/>
    <m/>
    <m/>
    <s v="C200537323"/>
    <n v="301"/>
  </r>
  <r>
    <n v="1409"/>
    <x v="0"/>
    <s v="C49"/>
    <n v="110730"/>
    <s v="SZ 魔乐视"/>
    <x v="12"/>
    <s v="L-&gt;R"/>
    <s v="No"/>
    <s v="Y59947"/>
    <n v="1"/>
    <s v="力合中转仓"/>
    <d v="2022-03-03T00:00:00"/>
    <s v="NM"/>
    <s v="MAR 22"/>
    <m/>
    <s v="JPY"/>
    <s v="C49SZX20210166SX"/>
    <x v="166"/>
    <s v="YSM20R-2"/>
    <s v="L-&gt;R"/>
    <s v="No"/>
    <s v="OK"/>
    <s v="DAP SZ"/>
    <d v="2021-06-09T00:00:00"/>
    <x v="0"/>
    <m/>
    <m/>
    <m/>
    <s v="C200537323"/>
    <n v="302"/>
  </r>
  <r>
    <n v="1410"/>
    <x v="0"/>
    <s v="C49"/>
    <n v="110730"/>
    <s v="SZ 魔乐视"/>
    <x v="1"/>
    <s v="R-&gt;L"/>
    <s v="MVC F&amp;R+ATS15"/>
    <s v="Y59948"/>
    <n v="1"/>
    <s v="力合中转仓"/>
    <d v="2022-03-03T00:00:00"/>
    <s v="NM"/>
    <s v="MAR 22"/>
    <m/>
    <s v="JPY"/>
    <s v="C49SZX20210166SX"/>
    <x v="166"/>
    <s v="YSM10"/>
    <s v="L-&gt;R"/>
    <s v="MVC F&amp;R+ATS15"/>
    <s v="WRONG"/>
    <s v="DAP SZ"/>
    <d v="2021-06-09T00:00:00"/>
    <x v="0"/>
    <m/>
    <m/>
    <m/>
    <s v="C200537323"/>
    <n v="312"/>
  </r>
  <r>
    <n v="1559"/>
    <x v="0"/>
    <s v="C49"/>
    <n v="110730"/>
    <s v="SZ 魔乐视"/>
    <x v="1"/>
    <s v="R-&gt;L"/>
    <s v="MVC F&amp;R+ATS15"/>
    <s v="Y59949"/>
    <n v="1"/>
    <s v="力合中转仓"/>
    <d v="2022-03-03T00:00:00"/>
    <s v="NM，要DAP合同走货带ATS15"/>
    <s v="APR 22"/>
    <n v="2022.1"/>
    <s v="JPY"/>
    <s v="C49SZX20220010SQ"/>
    <x v="325"/>
    <s v="YSM10"/>
    <s v="L-&gt;R"/>
    <s v="MVC+ATS15"/>
    <s v="WRONG"/>
    <s v="DAP DG"/>
    <d v="2022-01-20T00:00:00"/>
    <x v="0"/>
    <m/>
    <m/>
    <m/>
    <s v="C220141989"/>
    <n v="312"/>
  </r>
  <r>
    <n v="1288"/>
    <x v="0"/>
    <s v="C49"/>
    <n v="110732"/>
    <s v="SZ 宝捷时计"/>
    <x v="12"/>
    <s v="L-&gt;R"/>
    <s v="cATS10+MVC+special layout"/>
    <s v="Y59951"/>
    <n v="1"/>
    <s v="力合中转仓"/>
    <d v="2022-03-07T00:00:00"/>
    <s v="NM"/>
    <s v="APR 22"/>
    <n v="2022.2"/>
    <s v="JPY"/>
    <s v="C49SZX20210092MZ"/>
    <x v="326"/>
    <s v="YSM20R-2"/>
    <s v="L-&gt;R"/>
    <s v="cATS10+MVC+special layout"/>
    <s v="OK"/>
    <s v="DAP SZ"/>
    <d v="2021-03-30T00:00:00"/>
    <x v="0"/>
    <m/>
    <m/>
    <m/>
    <s v="C220342350"/>
    <n v="303"/>
  </r>
  <r>
    <n v="1291"/>
    <x v="0"/>
    <s v="C49"/>
    <n v="110773"/>
    <s v="Stock order"/>
    <x v="12"/>
    <s v="L-&gt;R"/>
    <s v="MVC"/>
    <s v="Y57247"/>
    <n v="1"/>
    <s v="力合中转仓"/>
    <d v="2022-03-07T00:00:00"/>
    <s v="NM"/>
    <s v="APR 22"/>
    <n v="2022.2"/>
    <s v="JPY"/>
    <s v="C49SZX20210092MZ"/>
    <x v="326"/>
    <s v="YSM20R-2"/>
    <s v="L-&gt;R"/>
    <s v="No"/>
    <s v="WRONG"/>
    <s v="DAP SZ"/>
    <d v="2021-03-30T00:00:00"/>
    <x v="0"/>
    <m/>
    <m/>
    <m/>
    <s v="C220342350"/>
    <n v="302"/>
  </r>
  <r>
    <n v="1558"/>
    <x v="0"/>
    <s v="C49"/>
    <n v="110737"/>
    <s v="SZ 英拓邦"/>
    <x v="12"/>
    <s v="L-&gt;R"/>
    <s v="No"/>
    <s v="Y59985"/>
    <n v="1"/>
    <s v="力合中转仓"/>
    <d v="2022-03-07T00:00:00"/>
    <s v="NM"/>
    <s v="APR 22"/>
    <n v="2022.2"/>
    <s v="JPY"/>
    <s v="C49SZX20220010SQ"/>
    <x v="325"/>
    <s v="YSM20R-2"/>
    <s v="L-&gt;R"/>
    <s v="No"/>
    <s v="OK"/>
    <s v="DAP DG"/>
    <d v="2022-01-20T00:00:00"/>
    <x v="0"/>
    <m/>
    <m/>
    <m/>
    <s v="C220141989"/>
    <n v="301"/>
  </r>
  <r>
    <n v="1289"/>
    <x v="0"/>
    <s v="C49"/>
    <n v="110774"/>
    <s v="Stock order"/>
    <x v="12"/>
    <s v="L-&gt;R"/>
    <s v="cATS10+MVC+special layout"/>
    <s v="Y58089"/>
    <n v="1"/>
    <s v="力合中转仓"/>
    <d v="2022-03-20T00:00:00"/>
    <s v="NM"/>
    <s v="APR 22"/>
    <n v="2022.2"/>
    <s v="JPY"/>
    <s v="C49SZX20210092MZ"/>
    <x v="326"/>
    <s v="YSM20R-2"/>
    <s v="L-&gt;R"/>
    <s v="cATS10+MVC+special layout"/>
    <s v="OK"/>
    <s v="DAP SZ"/>
    <d v="2021-03-30T00:00:00"/>
    <x v="0"/>
    <m/>
    <m/>
    <m/>
    <s v="C220342350"/>
    <n v="301"/>
  </r>
  <r>
    <n v="1445"/>
    <x v="0"/>
    <s v="C49"/>
    <n v="110775"/>
    <s v="Stock order"/>
    <x v="12"/>
    <s v="R-&gt;L"/>
    <s v="No"/>
    <s v="Y58088"/>
    <n v="1"/>
    <s v="力合中转仓"/>
    <d v="2022-03-20T00:00:00"/>
    <s v="NM"/>
    <s v="APR 22"/>
    <n v="2022.2"/>
    <s v="JPY"/>
    <s v="C49SZX20210177SS"/>
    <x v="157"/>
    <s v="YSM20R-2"/>
    <s v="R-&gt;L"/>
    <s v="No"/>
    <s v="OK"/>
    <s v="DAP SZ"/>
    <d v="2021-06-25T00:00:00"/>
    <x v="0"/>
    <m/>
    <m/>
    <m/>
    <s v="C200236762"/>
    <n v="301"/>
  </r>
  <r>
    <n v="1002"/>
    <x v="0"/>
    <s v="C49"/>
    <n v="110775"/>
    <s v="Stock order"/>
    <x v="12"/>
    <s v="L-&gt;R"/>
    <s v="MVC"/>
    <s v="Y58090"/>
    <n v="1"/>
    <s v="力合中转仓"/>
    <d v="2022-03-20T00:00:00"/>
    <s v="NM"/>
    <s v="APR 22"/>
    <n v="2022.2"/>
    <s v="JPY"/>
    <s v="C49SZX20200233JL"/>
    <x v="22"/>
    <s v="YSM20R-2"/>
    <s v="L-&gt;R"/>
    <s v="No"/>
    <s v="WRONG"/>
    <s v="CIF HK"/>
    <d v="2020-12-10T00:00:00"/>
    <x v="0"/>
    <m/>
    <m/>
    <m/>
    <s v="C220242050"/>
    <n v="301"/>
  </r>
  <r>
    <n v="1381"/>
    <x v="0"/>
    <s v="C49"/>
    <n v="110775"/>
    <s v="Stock order"/>
    <x v="12"/>
    <s v="L-&gt;R"/>
    <s v="No"/>
    <s v="Y58091"/>
    <n v="1"/>
    <s v="力合中转仓"/>
    <d v="2022-03-20T00:00:00"/>
    <s v="NM"/>
    <s v="APR 22"/>
    <n v="2022.2"/>
    <s v="JPY"/>
    <s v="C49SZX20210182MZ"/>
    <x v="271"/>
    <s v="YSM20R-2"/>
    <s v="L-&gt;R"/>
    <s v="No"/>
    <s v="OK"/>
    <s v="DAP SZ"/>
    <d v="2021-05-21T00:00:00"/>
    <x v="0"/>
    <m/>
    <m/>
    <m/>
    <s v="C210640437"/>
    <n v="301"/>
  </r>
  <r>
    <n v="1090"/>
    <x v="0"/>
    <s v="C49"/>
    <n v="110249"/>
    <s v="Stock order"/>
    <x v="12"/>
    <s v="L-&gt;R"/>
    <s v="No"/>
    <s v="Y57088"/>
    <n v="1"/>
    <s v="力合中转仓"/>
    <d v="2022-03-20T00:00:00"/>
    <s v="NM，"/>
    <s v="APR 22"/>
    <n v="2022.2"/>
    <s v="JPY"/>
    <s v="C49SZX20210031SX"/>
    <x v="188"/>
    <s v="YSM20R-2"/>
    <s v="L-&gt;R"/>
    <s v="No"/>
    <s v="OK"/>
    <s v="DAP SZ"/>
    <d v="2021-01-26T00:00:00"/>
    <x v="0"/>
    <m/>
    <m/>
    <m/>
    <s v="C200938214"/>
    <n v="302"/>
  </r>
  <r>
    <n v="1557"/>
    <x v="0"/>
    <s v="C49"/>
    <n v="110755"/>
    <s v="DG 维益"/>
    <x v="1"/>
    <s v="R-&gt;L"/>
    <s v="MVC"/>
    <s v="Y60236"/>
    <n v="1"/>
    <s v="力合中转仓"/>
    <d v="2022-03-22T00:00:00"/>
    <s v="NM"/>
    <s v="MAR 22"/>
    <n v="2022.2"/>
    <s v="JPY"/>
    <s v="C49SZX20220002BX"/>
    <x v="302"/>
    <s v="YSM10"/>
    <s v="R-&gt;L"/>
    <s v="No"/>
    <s v="WRONG"/>
    <s v="DAP HZ"/>
    <d v="2022-01-06T00:00:00"/>
    <x v="0"/>
    <m/>
    <m/>
    <m/>
    <s v="C220141927"/>
    <n v="301"/>
  </r>
  <r>
    <n v="1292"/>
    <x v="0"/>
    <s v="C49"/>
    <n v="110756"/>
    <s v="HZ 朗迅"/>
    <x v="1"/>
    <s v="R-&gt;L"/>
    <s v="MVC"/>
    <s v="Y60238"/>
    <n v="1"/>
    <s v="力合中转仓"/>
    <d v="2022-03-22T00:00:00"/>
    <s v="NM"/>
    <s v="APR 22"/>
    <n v="2022.3"/>
    <s v="JPY"/>
    <s v="C49SZX20210091SS"/>
    <x v="308"/>
    <s v="YSM10"/>
    <s v="L-&gt;R"/>
    <s v="MVC"/>
    <s v="WRONG"/>
    <s v="CIF HK"/>
    <d v="2021-03-30T00:00:00"/>
    <x v="0"/>
    <m/>
    <m/>
    <m/>
    <s v="C200437242"/>
    <n v="301"/>
  </r>
  <r>
    <n v="1004"/>
    <x v="0"/>
    <s v="C49"/>
    <n v="110756"/>
    <s v="HZ 朗迅"/>
    <x v="1"/>
    <s v="R-&gt;L"/>
    <s v="MVC"/>
    <s v="Y60239"/>
    <n v="1"/>
    <s v="力合中转仓"/>
    <d v="2022-03-22T00:00:00"/>
    <s v="NM"/>
    <s v="APR 22"/>
    <n v="2022.3"/>
    <s v="JPY"/>
    <s v="C49SZX20200233JL"/>
    <x v="22"/>
    <s v="YSM10"/>
    <s v="L-&gt;R"/>
    <s v="MVC"/>
    <s v="WRONG"/>
    <s v="CIF HK"/>
    <d v="2020-12-10T00:00:00"/>
    <x v="0"/>
    <m/>
    <m/>
    <m/>
    <s v="C220242050"/>
    <n v="302"/>
  </r>
  <r>
    <n v="1415"/>
    <x v="0"/>
    <s v="C49"/>
    <n v="110770"/>
    <s v="SZ 鸿通宇（有补差额)"/>
    <x v="12"/>
    <s v="L-&gt;R"/>
    <s v="No"/>
    <s v="Y60000"/>
    <n v="1"/>
    <s v="力合中转仓"/>
    <d v="2022-03-22T00:00:00"/>
    <s v="0.0536，此台机器清关进来后要和鸿通宇的机器调换"/>
    <s v="APR 22"/>
    <n v="2022.3"/>
    <s v="JPY"/>
    <s v="C49SZX20210170DZ"/>
    <x v="220"/>
    <s v="YSM20R-2"/>
    <s v="L-&gt;R"/>
    <s v="No"/>
    <s v="OK"/>
    <s v="DAP SZ"/>
    <d v="2021-06-11T00:00:00"/>
    <x v="0"/>
    <m/>
    <m/>
    <m/>
    <s v="IND"/>
    <n v="301"/>
  </r>
  <r>
    <n v="1380"/>
    <x v="0"/>
    <s v="C49"/>
    <n v="110769"/>
    <s v="SZ 魔乐视"/>
    <x v="12"/>
    <s v="L-&gt;R"/>
    <s v="No"/>
    <s v="Y60289"/>
    <n v="1"/>
    <s v="力合中转仓"/>
    <d v="2022-03-22T00:00:00"/>
    <n v="5.3600000000000002E-2"/>
    <s v="APR 22"/>
    <n v="2022.3"/>
    <s v="JPY"/>
    <s v="C49SZX20210155MZR1"/>
    <x v="271"/>
    <s v="YSM20R-2"/>
    <s v="L-&gt;R"/>
    <s v="No"/>
    <s v="OK"/>
    <s v="DAP SZ"/>
    <d v="2021-05-21T00:00:00"/>
    <x v="0"/>
    <m/>
    <m/>
    <m/>
    <s v="C210640437"/>
    <n v="303"/>
  </r>
  <r>
    <n v="1405"/>
    <x v="0"/>
    <s v="C49"/>
    <n v="110813"/>
    <s v="深圳晶昌鸿业"/>
    <x v="1"/>
    <s v="R-&gt;L"/>
    <s v="MVC"/>
    <s v="Y60589"/>
    <n v="1"/>
    <s v="力合中转仓"/>
    <d v="2022-03-26T00:00:00"/>
    <s v="NM"/>
    <s v="APR 22"/>
    <n v="2022.3"/>
    <s v="JPY"/>
    <s v="C49SZX20210165R1SS"/>
    <x v="327"/>
    <s v="YSM10"/>
    <s v="L-&gt;R"/>
    <s v="MVC"/>
    <s v="WRONG"/>
    <s v="DAP SZ"/>
    <d v="2021-06-17T00:00:00"/>
    <x v="0"/>
    <m/>
    <m/>
    <m/>
    <s v="C190133829"/>
    <n v="301"/>
  </r>
  <r>
    <n v="1490"/>
    <x v="0"/>
    <s v="C49"/>
    <n v="110813"/>
    <s v="深圳晶昌鸿业"/>
    <x v="1"/>
    <s v="R-&gt;L"/>
    <s v="MVC"/>
    <s v="Y60590"/>
    <n v="1"/>
    <s v="力合中转仓"/>
    <d v="2022-03-26T00:00:00"/>
    <s v="NM"/>
    <s v="APR 22"/>
    <n v="2022.3"/>
    <s v="JPY"/>
    <s v="C49SZX20210200JY"/>
    <x v="307"/>
    <s v="YSM10"/>
    <s v="L-&gt;R"/>
    <s v="MVC"/>
    <s v="WRONG"/>
    <s v="CIF HK"/>
    <d v="2021-10-27T00:00:00"/>
    <x v="0"/>
    <m/>
    <m/>
    <m/>
    <s v="C211241741"/>
    <n v="302"/>
  </r>
  <r>
    <n v="1478"/>
    <x v="0"/>
    <s v="C49"/>
    <n v="110758"/>
    <s v="深圳正讯"/>
    <x v="1"/>
    <s v="R-&gt;L"/>
    <s v="MVC"/>
    <s v="Y60237"/>
    <n v="1"/>
    <s v="力合中转仓"/>
    <d v="2022-03-26T00:00:00"/>
    <s v="NM"/>
    <s v="APR 22"/>
    <n v="2022.3"/>
    <s v="JPY"/>
    <s v="C49SZX20210192SX"/>
    <x v="328"/>
    <s v="YSM10"/>
    <s v="L-&gt;R"/>
    <s v="MVC"/>
    <s v="WRONG"/>
    <s v="DAP DG"/>
    <d v="2021-09-17T00:00:00"/>
    <x v="0"/>
    <m/>
    <m/>
    <m/>
    <s v="IND"/>
    <n v="302"/>
  </r>
  <r>
    <n v="1491"/>
    <x v="0"/>
    <s v="C49"/>
    <n v="110760"/>
    <s v="深圳恒创兴（有补差额）"/>
    <x v="1"/>
    <s v="R-&gt;L"/>
    <s v="MVC"/>
    <s v="Y60297"/>
    <n v="1"/>
    <s v="力合中转仓"/>
    <d v="2022-03-26T00:00:00"/>
    <s v="NM"/>
    <s v="APR 22"/>
    <n v="2022.3"/>
    <s v="JPY"/>
    <s v="C49SZX20210200JY"/>
    <x v="307"/>
    <s v="YSM10"/>
    <s v="R-&gt;L"/>
    <s v="MVC"/>
    <s v="OK"/>
    <s v="CIF HK"/>
    <d v="2021-10-27T00:00:00"/>
    <x v="0"/>
    <m/>
    <m/>
    <m/>
    <s v="C190634939"/>
    <n v="301"/>
  </r>
  <r>
    <n v="1510"/>
    <x v="0"/>
    <s v="C49"/>
    <n v="110762"/>
    <s v="深圳清禾"/>
    <x v="1"/>
    <s v="R-&gt;L"/>
    <s v="MVC"/>
    <s v="Y60230"/>
    <n v="1"/>
    <s v="力合中转仓"/>
    <d v="2022-03-26T00:00:00"/>
    <s v="NM"/>
    <s v="APR 22"/>
    <n v="2022.3"/>
    <s v="JPY"/>
    <s v="C49SZX20210213SS"/>
    <x v="215"/>
    <s v="YSM10"/>
    <s v="R-&gt;L"/>
    <s v="MVC"/>
    <s v="OK"/>
    <s v="DAP DG"/>
    <d v="2021-12-02T00:00:00"/>
    <x v="0"/>
    <m/>
    <m/>
    <m/>
    <s v="C220442611"/>
    <n v="301"/>
  </r>
  <r>
    <n v="1275"/>
    <x v="0"/>
    <s v="C49"/>
    <n v="110757"/>
    <s v="深圳晶昌鸿业(有补差额)"/>
    <x v="1"/>
    <s v="R-&gt;L"/>
    <s v="MVC"/>
    <s v="Y60293"/>
    <n v="1"/>
    <s v="力合中转仓"/>
    <d v="2022-03-26T00:00:00"/>
    <n v="5.3600000000000002E-2"/>
    <s v="APR 22"/>
    <n v="2022.3"/>
    <s v="JPY"/>
    <s v="C49SZX20210086JL"/>
    <x v="280"/>
    <s v="YSM10"/>
    <s v="L-&gt;R"/>
    <s v="MVC"/>
    <s v="WRONG"/>
    <s v="DAP SZ"/>
    <d v="2021-03-19T00:00:00"/>
    <x v="0"/>
    <m/>
    <m/>
    <m/>
    <s v="IND"/>
    <n v="301"/>
  </r>
  <r>
    <n v="1276"/>
    <x v="0"/>
    <s v="C49"/>
    <n v="110757"/>
    <s v="深圳晶昌鸿业(有补差额)"/>
    <x v="1"/>
    <s v="R-&gt;L"/>
    <s v="MVC"/>
    <s v="Y60294"/>
    <n v="1"/>
    <s v="力合中转仓"/>
    <d v="2022-03-26T00:00:00"/>
    <n v="5.3600000000000002E-2"/>
    <s v="APR 22"/>
    <n v="2022.3"/>
    <s v="JPY"/>
    <s v="C49SZX20210086JL"/>
    <x v="280"/>
    <s v="YSM10"/>
    <s v="L-&gt;R"/>
    <s v="MVC"/>
    <s v="WRONG"/>
    <s v="DAP SZ"/>
    <d v="2021-03-19T00:00:00"/>
    <x v="0"/>
    <m/>
    <m/>
    <m/>
    <s v="IND"/>
    <n v="302"/>
  </r>
  <r>
    <n v="1446"/>
    <x v="0"/>
    <s v="C49"/>
    <n v="110759"/>
    <s v="SZ 驰电"/>
    <x v="1"/>
    <s v="R-&gt;L"/>
    <s v="MVC"/>
    <s v="Y60229"/>
    <n v="1"/>
    <s v="力合仓库(已经清关)"/>
    <d v="2022-03-25T00:00:00"/>
    <s v="NM"/>
    <s v="APR 22"/>
    <n v="2022.3"/>
    <s v="JPY"/>
    <s v="C49SZX20210177SS"/>
    <x v="157"/>
    <s v="YSM10"/>
    <s v="R-&gt;L"/>
    <s v="MVC"/>
    <s v="OK"/>
    <s v="DAP SZ"/>
    <d v="2021-06-25T00:00:00"/>
    <x v="0"/>
    <m/>
    <m/>
    <m/>
    <s v="C200236762"/>
    <n v="302"/>
  </r>
  <r>
    <n v="1441"/>
    <x v="0"/>
    <s v="C49"/>
    <n v="110761"/>
    <s v="深圳海松微（有补差额)"/>
    <x v="1"/>
    <s v="R-&gt;L"/>
    <s v="MVC"/>
    <s v="Y60295"/>
    <n v="1"/>
    <s v="力合中转仓"/>
    <d v="2022-03-25T00:00:00"/>
    <n v="5.3600000000000002E-2"/>
    <s v="APR 22"/>
    <n v="2022.3"/>
    <s v="JPY"/>
    <s v="C49SZX20210130R1JY"/>
    <x v="95"/>
    <s v="YSM10"/>
    <s v="L-&gt;R"/>
    <s v="MVC"/>
    <s v="WRONG"/>
    <s v="DAP SZ"/>
    <d v="2021-06-25T00:00:00"/>
    <x v="0"/>
    <m/>
    <m/>
    <m/>
    <s v="IND"/>
    <n v="302"/>
  </r>
  <r>
    <n v="1440"/>
    <x v="0"/>
    <s v="C49"/>
    <n v="110763"/>
    <s v="深圳傲尔"/>
    <x v="1"/>
    <s v="R-&gt;L"/>
    <s v="MVC"/>
    <s v="Y60280"/>
    <n v="1"/>
    <s v="力合中转仓"/>
    <d v="2022-03-25T00:00:00"/>
    <n v="5.3600000000000002E-2"/>
    <s v="APR 22"/>
    <n v="2022.3"/>
    <s v="JPY"/>
    <s v="C49SZX20210130R1JY"/>
    <x v="329"/>
    <s v="YSM10"/>
    <s v="L-&gt;R"/>
    <s v="No"/>
    <s v="WRONG"/>
    <s v="DAP SZ"/>
    <d v="2021-06-25T00:00:00"/>
    <x v="0"/>
    <m/>
    <m/>
    <m/>
    <s v="C210840934"/>
    <n v="301"/>
  </r>
  <r>
    <n v="1470"/>
    <x v="0"/>
    <s v="C49"/>
    <n v="110763"/>
    <s v="深圳傲尔"/>
    <x v="1"/>
    <s v="R-&gt;L"/>
    <s v="MVC"/>
    <s v="Y60281"/>
    <n v="1"/>
    <s v="力合中转仓"/>
    <d v="2022-03-25T00:00:00"/>
    <n v="5.3600000000000002E-2"/>
    <s v="APR 22"/>
    <n v="2022.3"/>
    <s v="JPY"/>
    <s v="C49SZX20210187SS"/>
    <x v="226"/>
    <s v="YSM10"/>
    <s v="L-&gt;R"/>
    <s v="No"/>
    <s v="WRONG"/>
    <s v="DAP SZ"/>
    <d v="2021-08-31T00:00:00"/>
    <x v="0"/>
    <m/>
    <m/>
    <m/>
    <s v="C210139067"/>
    <n v="301"/>
  </r>
  <r>
    <n v="1402"/>
    <x v="0"/>
    <s v="C49"/>
    <n v="110763"/>
    <s v="深圳傲尔"/>
    <x v="1"/>
    <s v="R-&gt;L"/>
    <s v="MVC"/>
    <s v="Y60282"/>
    <n v="1"/>
    <s v="力合中转仓"/>
    <d v="2022-03-25T00:00:00"/>
    <s v="0.0536，用魔乐视名义清关归还RMB单"/>
    <s v="APR 22"/>
    <n v="2022.3"/>
    <s v="RMB"/>
    <s v="C49SZX20220034AY"/>
    <x v="330"/>
    <s v="YSM10"/>
    <s v="L-&gt;R"/>
    <s v="MVC"/>
    <s v="WRONG"/>
    <s v="DDP SZ"/>
    <d v="2022-03-22T00:00:00"/>
    <x v="0"/>
    <m/>
    <m/>
    <m/>
    <s v="C220442563"/>
    <n v="302"/>
  </r>
  <r>
    <n v="1568"/>
    <x v="0"/>
    <s v="C49"/>
    <n v="110766"/>
    <s v="SZ 巨能"/>
    <x v="12"/>
    <s v="L-&gt;R"/>
    <s v="No"/>
    <s v="Y60291"/>
    <n v="1"/>
    <s v="力合中转仓"/>
    <d v="2022-03-28T00:00:00"/>
    <s v="0.0536，用益田名义报关，给捷舜诚"/>
    <s v="APR 22"/>
    <n v="2022.3"/>
    <s v="JPY"/>
    <s v="C49SZX20220014JL"/>
    <x v="100"/>
    <s v="YSM20R-2"/>
    <s v="L-&gt;R"/>
    <s v="MVC"/>
    <s v="WRONG"/>
    <s v="DAP SZ"/>
    <d v="2022-01-25T00:00:00"/>
    <x v="0"/>
    <m/>
    <m/>
    <m/>
    <s v="C170629728"/>
    <n v="301"/>
  </r>
  <r>
    <n v="1477"/>
    <x v="0"/>
    <s v="C49"/>
    <n v="110766"/>
    <s v="SZ 巨能"/>
    <x v="12"/>
    <s v="L-&gt;R"/>
    <s v="No"/>
    <s v="Y60292"/>
    <n v="1"/>
    <s v="力合中转仓"/>
    <d v="2022-03-28T00:00:00"/>
    <s v="0.0536，用懿美莱名义清关归还给正讯"/>
    <s v="APR 22"/>
    <n v="2022.3"/>
    <s v="JPY"/>
    <s v="C49SZX20210192SX"/>
    <x v="328"/>
    <s v="YSM20R-2"/>
    <s v="L-&gt;R"/>
    <s v="No"/>
    <s v="OK"/>
    <s v="DAP DG"/>
    <d v="2021-09-17T00:00:00"/>
    <x v="0"/>
    <m/>
    <m/>
    <m/>
    <s v="C220442556"/>
    <n v="304"/>
  </r>
  <r>
    <n v="1290"/>
    <x v="0"/>
    <s v="C49"/>
    <n v="110767"/>
    <s v="SZ 深圳傲尔"/>
    <x v="12"/>
    <s v="L-&gt;R"/>
    <s v="No"/>
    <s v="Y60283"/>
    <n v="1"/>
    <s v="力合中转仓"/>
    <d v="2022-03-28T00:00:00"/>
    <n v="5.3600000000000002E-2"/>
    <s v="APR 22"/>
    <n v="2022.3"/>
    <s v="JPY"/>
    <s v="C49SZX20210092MZ"/>
    <x v="326"/>
    <s v="YSM20R-2"/>
    <s v="L-&gt;R"/>
    <s v="No"/>
    <s v="OK"/>
    <s v="DAP SZ"/>
    <d v="2021-03-30T00:00:00"/>
    <x v="0"/>
    <m/>
    <m/>
    <m/>
    <s v="C220342350"/>
    <n v="304"/>
  </r>
  <r>
    <n v="1471"/>
    <x v="0"/>
    <s v="C49"/>
    <n v="110767"/>
    <s v="SZ 深圳傲尔"/>
    <x v="12"/>
    <s v="L-&gt;R"/>
    <s v="No"/>
    <s v="Y60284"/>
    <n v="1"/>
    <s v="力合中转仓"/>
    <d v="2022-03-28T00:00:00"/>
    <n v="5.3600000000000002E-2"/>
    <s v="APR 22"/>
    <n v="2022.3"/>
    <s v="JPY"/>
    <s v="C49SZX20210187SS"/>
    <x v="226"/>
    <s v="YSM20R-2"/>
    <s v="L-&gt;R"/>
    <s v="No"/>
    <s v="OK"/>
    <s v="DAP SZ"/>
    <d v="2021-08-31T00:00:00"/>
    <x v="0"/>
    <m/>
    <m/>
    <m/>
    <s v="C210139067"/>
    <n v="303"/>
  </r>
  <r>
    <n v="1486"/>
    <x v="0"/>
    <s v="C49"/>
    <n v="110768"/>
    <s v="SZ 益田科技"/>
    <x v="12"/>
    <s v="L-&gt;R"/>
    <s v="No"/>
    <s v="Y60240"/>
    <n v="1"/>
    <s v="力合中转仓"/>
    <d v="2022-03-28T00:00:00"/>
    <n v="5.3600000000000002E-2"/>
    <s v="APR 22"/>
    <n v="2022.3"/>
    <s v="JPY"/>
    <s v="C49SZX20210180SX"/>
    <x v="331"/>
    <s v="YSM20R-2"/>
    <s v="L-&gt;R"/>
    <s v="No"/>
    <s v="OK"/>
    <s v="DAP SZ"/>
    <d v="2021-10-27T00:00:00"/>
    <x v="0"/>
    <m/>
    <m/>
    <m/>
    <s v="C211241805"/>
    <n v="303"/>
  </r>
  <r>
    <n v="1569"/>
    <x v="0"/>
    <s v="C49"/>
    <s v="110808改49F104206"/>
    <s v="Dongguan Yidong"/>
    <x v="1"/>
    <s v="R-&gt;L"/>
    <s v="MVC F&amp;R+大板相机"/>
    <s v="Y60548"/>
    <n v="1"/>
    <s v="力合仓库(已经清关)"/>
    <s v="2022/4/3深圳盐田港"/>
    <n v="5.5500000000000001E-2"/>
    <s v="APR 22"/>
    <n v="2022.3"/>
    <s v="RMB"/>
    <s v="C49SZX20220012SX"/>
    <x v="332"/>
    <s v="YSM10"/>
    <s v="L-&gt;R"/>
    <s v="MVC（F&amp;R）+大板相机"/>
    <s v="WRONG"/>
    <s v="DDP HB"/>
    <d v="2022-01-27T00:00:00"/>
    <x v="0"/>
    <m/>
    <m/>
    <m/>
    <s v="C170930167"/>
    <n v="302"/>
  </r>
  <r>
    <n v="1570"/>
    <x v="0"/>
    <s v="C49"/>
    <s v="110808改49F104206"/>
    <s v="Dongguan Yidong"/>
    <x v="1"/>
    <s v="R-&gt;L"/>
    <s v="MVC F&amp;R+大板相机"/>
    <s v="Y60549"/>
    <n v="1"/>
    <s v="力合仓库(已经清关)"/>
    <s v="2022/4/3深圳盐田港"/>
    <n v="5.5500000000000001E-2"/>
    <s v="APR 22"/>
    <n v="2022.3"/>
    <s v="RMB"/>
    <s v="C49SZX20220012SX"/>
    <x v="332"/>
    <s v="YSM10"/>
    <s v="L-&gt;R"/>
    <s v="MVC（F&amp;R）+大板相机"/>
    <s v="WRONG"/>
    <s v="DDP HB"/>
    <d v="2022-01-27T00:00:00"/>
    <x v="0"/>
    <m/>
    <m/>
    <m/>
    <s v="C170930167"/>
    <n v="302"/>
  </r>
  <r>
    <n v="1571"/>
    <x v="0"/>
    <s v="C49"/>
    <s v="110808改49F104206"/>
    <s v="Dongguan Yidong"/>
    <x v="1"/>
    <s v="R-&gt;L"/>
    <s v="MVC F&amp;R+大板相机"/>
    <s v="Y60550"/>
    <n v="1"/>
    <s v="力合仓库(已经清关)"/>
    <s v="2022/4/3深圳盐田港"/>
    <n v="5.5500000000000001E-2"/>
    <s v="APR 22"/>
    <n v="2022.3"/>
    <s v="RMB"/>
    <s v="C49SZX20220012SX"/>
    <x v="332"/>
    <s v="YSM10"/>
    <s v="L-&gt;R"/>
    <s v="MVC（F&amp;R）+大板相机"/>
    <s v="WRONG"/>
    <s v="DDP HB"/>
    <d v="2022-01-27T00:00:00"/>
    <x v="0"/>
    <m/>
    <m/>
    <m/>
    <s v="C170930167"/>
    <n v="301"/>
  </r>
  <r>
    <n v="1572"/>
    <x v="0"/>
    <s v="C49"/>
    <s v="110808改49F104206"/>
    <s v="Dongguan Yidong"/>
    <x v="1"/>
    <s v="R-&gt;L"/>
    <s v="MVC F&amp;R+大板相机"/>
    <s v="Y60551"/>
    <n v="1"/>
    <s v="力合仓库(已经清关)"/>
    <s v="2022/4/3深圳盐田港"/>
    <n v="5.5500000000000001E-2"/>
    <s v="APR 22"/>
    <n v="2022.3"/>
    <s v="RMB"/>
    <s v="C49SZX20220012SX"/>
    <x v="332"/>
    <s v="YSM10"/>
    <s v="R-&gt;L"/>
    <s v="MVC（F&amp;R）+大板相机"/>
    <s v="WRONG"/>
    <s v="DDP HB"/>
    <d v="2022-01-27T00:00:00"/>
    <x v="0"/>
    <m/>
    <m/>
    <m/>
    <s v="C170930167"/>
    <n v="301"/>
  </r>
  <r>
    <n v="1573"/>
    <x v="0"/>
    <s v="C49"/>
    <s v="110808改49F104206"/>
    <s v="Dongguan Yidong"/>
    <x v="1"/>
    <s v="R-&gt;L"/>
    <s v="MVC F&amp;R+大板相机"/>
    <s v="Y60552"/>
    <n v="1"/>
    <s v="力合仓库(已经清关)"/>
    <s v="2022/4/3深圳盐田港"/>
    <n v="5.5500000000000001E-2"/>
    <s v="APR 22"/>
    <n v="2022.3"/>
    <s v="RMB"/>
    <s v="C49SZX20220012SX"/>
    <x v="332"/>
    <s v="YSM10"/>
    <s v="R-&gt;L"/>
    <s v="MVC（F&amp;R）+大板相机"/>
    <s v="WRONG"/>
    <s v="DDP HB"/>
    <d v="2022-01-27T00:00:00"/>
    <x v="0"/>
    <m/>
    <m/>
    <m/>
    <s v="C170930167"/>
    <n v="311"/>
  </r>
  <r>
    <n v="1516"/>
    <x v="0"/>
    <s v="C49"/>
    <n v="110764"/>
    <s v="深圳魔乐视"/>
    <x v="1"/>
    <s v="R-&gt;L"/>
    <s v="MVC+ATS15"/>
    <s v="Y60288"/>
    <n v="1"/>
    <s v="力合中转仓"/>
    <d v="2020-04-07T00:00:00"/>
    <s v="NM"/>
    <s v="APR 22"/>
    <n v="2022.3"/>
    <s v="JPY"/>
    <s v="C49SZX20210206MZ"/>
    <x v="320"/>
    <s v="YSM10"/>
    <s v="L-&gt;R"/>
    <s v="MVC+ATS15"/>
    <s v="WRONG"/>
    <s v="DAP SZ"/>
    <d v="2021-12-10T00:00:00"/>
    <x v="0"/>
    <m/>
    <m/>
    <m/>
    <s v="IND"/>
    <n v="302"/>
  </r>
  <r>
    <n v="1576"/>
    <x v="0"/>
    <s v="C49"/>
    <n v="110765"/>
    <s v="SZ 三丽"/>
    <x v="1"/>
    <s v="R-&gt;L"/>
    <s v="MVC"/>
    <s v="Y60231"/>
    <n v="1"/>
    <s v="力合中转仓"/>
    <d v="2020-04-07T00:00:00"/>
    <s v="NM"/>
    <s v="MAY 22"/>
    <n v="2022.3"/>
    <s v="JPY"/>
    <s v="C49SZX20220015SX"/>
    <x v="333"/>
    <s v="YSM10"/>
    <s v="L-&gt;R"/>
    <s v="MVC"/>
    <s v="WRONG"/>
    <s v="DAP GX"/>
    <d v="2022-01-24T00:00:00"/>
    <x v="0"/>
    <m/>
    <m/>
    <m/>
    <s v="C220242116"/>
    <n v="301"/>
  </r>
  <r>
    <n v="1578"/>
    <x v="0"/>
    <s v="C49"/>
    <n v="110812"/>
    <s v="Stock order"/>
    <x v="1"/>
    <s v="R-&gt;L"/>
    <s v="No"/>
    <s v="Y56516"/>
    <n v="1"/>
    <s v="力合仓库(已经清关)"/>
    <d v="2020-04-07T00:00:00"/>
    <s v="0.0536 PO 110759。"/>
    <s v="APR 22"/>
    <n v="2022.3"/>
    <s v="RMB"/>
    <s v="C49SZX20220011DZ"/>
    <x v="334"/>
    <s v="YSM10"/>
    <s v="L-&gt;R"/>
    <s v="No"/>
    <s v="WRONG"/>
    <s v="DDP JX"/>
    <d v="2022-01-24T00:00:00"/>
    <x v="0"/>
    <m/>
    <m/>
    <m/>
    <s v="C220242128"/>
    <n v="301"/>
  </r>
  <r>
    <n v="1509"/>
    <x v="0"/>
    <s v="C49"/>
    <n v="110812"/>
    <s v="Stock order"/>
    <x v="1"/>
    <s v="R-&gt;L"/>
    <s v="MVC"/>
    <s v="Y56517"/>
    <n v="1"/>
    <s v="力合中转仓"/>
    <d v="2020-04-07T00:00:00"/>
    <s v="NM"/>
    <s v="MAY 22"/>
    <n v="2022.3"/>
    <s v="JPY"/>
    <s v="C49SZX20210207JY"/>
    <x v="246"/>
    <s v="YSM10"/>
    <s v="R-&gt;L"/>
    <s v="No"/>
    <s v="WRONG"/>
    <s v="CIF HK"/>
    <d v="2021-11-30T00:00:00"/>
    <x v="0"/>
    <m/>
    <m/>
    <m/>
    <s v="C190735224"/>
    <n v="301"/>
  </r>
  <r>
    <n v="1596"/>
    <x v="0"/>
    <s v="C49"/>
    <n v="110812"/>
    <s v="Stock order"/>
    <x v="1"/>
    <s v="R-&gt;L"/>
    <s v="No"/>
    <s v="Y56518"/>
    <n v="1"/>
    <s v="CY仓库"/>
    <d v="2020-04-07T00:00:00"/>
    <s v="NM"/>
    <s v="MAY 22"/>
    <n v="2022.3"/>
    <s v="JPY"/>
    <s v="C49SZX20220013DZ"/>
    <x v="10"/>
    <s v="YSM10"/>
    <s v="R-&gt;L"/>
    <s v="MVC"/>
    <s v="WRONG"/>
    <s v="CIF HK"/>
    <d v="2022-02-22T00:00:00"/>
    <x v="0"/>
    <m/>
    <m/>
    <m/>
    <s v="C200637456"/>
    <n v="301"/>
  </r>
  <r>
    <n v="1574"/>
    <x v="0"/>
    <s v="C49"/>
    <n v="110519"/>
    <s v="SINRI Supplier "/>
    <x v="12"/>
    <s v="L-&gt;R"/>
    <s v="No"/>
    <s v="Y60220"/>
    <n v="1"/>
    <s v="力合中转仓"/>
    <d v="2022-04-11T00:00:00"/>
    <s v="NM"/>
    <s v="MAY 22"/>
    <n v="2022.3"/>
    <s v="JPY"/>
    <s v="C49SZX20220015SX"/>
    <x v="333"/>
    <s v="YSM20R-2"/>
    <s v="L-&gt;R"/>
    <s v="No"/>
    <s v="OK"/>
    <s v="DAP GX"/>
    <d v="2022-01-24T00:00:00"/>
    <x v="0"/>
    <m/>
    <m/>
    <m/>
    <s v="C220242116"/>
    <n v="301"/>
  </r>
  <r>
    <n v="1575"/>
    <x v="0"/>
    <s v="C49"/>
    <n v="110519"/>
    <s v="SINRI Supplier "/>
    <x v="12"/>
    <s v="L-&gt;R"/>
    <s v="No"/>
    <s v="Y60221"/>
    <n v="1"/>
    <s v="力合中转仓"/>
    <d v="2022-04-11T00:00:00"/>
    <s v="NM"/>
    <s v="MAY 22"/>
    <n v="2022.3"/>
    <s v="JPY"/>
    <s v="C49SZX20220015SX"/>
    <x v="333"/>
    <s v="YSM20R-2"/>
    <s v="L-&gt;R"/>
    <s v="No"/>
    <s v="OK"/>
    <s v="DAP GX"/>
    <d v="2022-01-24T00:00:00"/>
    <x v="0"/>
    <m/>
    <m/>
    <m/>
    <s v="C220242116"/>
    <n v="301"/>
  </r>
  <r>
    <n v="1577"/>
    <x v="0"/>
    <s v="C49"/>
    <n v="110519"/>
    <s v="SINRI Supplier "/>
    <x v="1"/>
    <s v="L-&gt;R"/>
    <s v="MVC"/>
    <s v="Y60219"/>
    <n v="1"/>
    <s v="力合中转仓"/>
    <d v="2022-04-11T00:00:00"/>
    <s v="NM"/>
    <s v="MAY 22"/>
    <n v="2022.2"/>
    <s v="JPY"/>
    <s v="C49SZX20220015SX"/>
    <x v="333"/>
    <s v="YSM10"/>
    <s v="L-&gt;R"/>
    <s v="MVC"/>
    <s v="OK"/>
    <s v="DAP GX"/>
    <d v="2022-01-24T00:00:00"/>
    <x v="0"/>
    <m/>
    <m/>
    <m/>
    <s v="C220242116"/>
    <n v="302"/>
  </r>
  <r>
    <n v="1548"/>
    <x v="0"/>
    <s v="C49"/>
    <n v="110803"/>
    <s v="广东微观名义下单"/>
    <x v="6"/>
    <s v="L-&gt;R"/>
    <s v="No"/>
    <s v="Y60594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49"/>
    <x v="0"/>
    <s v="C49"/>
    <n v="110803"/>
    <s v="广东微观名义下单"/>
    <x v="6"/>
    <s v="L-&gt;R"/>
    <s v="No"/>
    <s v="Y60595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0"/>
    <x v="0"/>
    <s v="C49"/>
    <n v="110803"/>
    <s v="广东微观名义下单"/>
    <x v="6"/>
    <s v="L-&gt;R"/>
    <s v="No"/>
    <s v="Y60596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1"/>
    <x v="0"/>
    <s v="C49"/>
    <n v="110803"/>
    <s v="广东微观名义下单"/>
    <x v="6"/>
    <s v="L-&gt;R"/>
    <s v="No"/>
    <s v="Y60597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2"/>
    <x v="0"/>
    <s v="C49"/>
    <n v="110803"/>
    <s v="广东微观名义下单"/>
    <x v="6"/>
    <s v="L-&gt;R"/>
    <s v="No"/>
    <s v="Y60598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3"/>
    <x v="0"/>
    <s v="C49"/>
    <n v="110803"/>
    <s v="广东微观名义下单"/>
    <x v="6"/>
    <s v="L-&gt;R"/>
    <s v="No"/>
    <s v="Y60599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38"/>
    <x v="0"/>
    <s v="C28"/>
    <n v="110791"/>
    <s v="鸿楠名义下单"/>
    <x v="13"/>
    <s v="R-&gt;L"/>
    <s v="No"/>
    <s v="Y60443"/>
    <n v="1"/>
    <s v="力合中转仓"/>
    <d v="2022-04-13T00:00:00"/>
    <s v="NM"/>
    <s v="APR 22"/>
    <n v="2022.3"/>
    <s v="JPY"/>
    <s v="C28SZX20210216MZ"/>
    <x v="322"/>
    <s v="YSi-V"/>
    <s v="R-&gt;L"/>
    <s v="No"/>
    <s v="OK"/>
    <s v="CIF  HK"/>
    <d v="2021-12-27T00:00:00"/>
    <x v="0"/>
    <m/>
    <m/>
    <m/>
    <s v="IND"/>
    <m/>
  </r>
  <r>
    <n v="1563"/>
    <x v="0"/>
    <s v="C49"/>
    <n v="110824"/>
    <s v="超思维名义下单"/>
    <x v="1"/>
    <s v="R-&gt;L"/>
    <s v="MVC F&amp;R+ATS15"/>
    <s v="Y57101"/>
    <n v="1"/>
    <s v="CY仓库"/>
    <d v="2022-04-13T00:00:00"/>
    <s v="NM"/>
    <s v="MAY 22"/>
    <n v="2022.3"/>
    <s v="JPY"/>
    <s v="C49SZX20220003EC"/>
    <x v="174"/>
    <s v="YSM10"/>
    <s v="L-&gt;R"/>
    <s v="MVC+ATS15"/>
    <s v="WRONG"/>
    <s v="CIF HK"/>
    <d v="2022-01-24T00:00:00"/>
    <x v="0"/>
    <m/>
    <m/>
    <m/>
    <s v="C200737827"/>
    <n v="312"/>
  </r>
  <r>
    <n v="1890"/>
    <x v="0"/>
    <s v="C49"/>
    <n v="110825"/>
    <s v="Shenzhen 力通威"/>
    <x v="1"/>
    <s v="R-&gt;L"/>
    <s v="MVC+96 FEEDER PLATE (YSM10) "/>
    <s v="Y60840"/>
    <n v="1"/>
    <s v="力合仓库(已经清关)"/>
    <d v="2022-04-13T00:00:00"/>
    <s v="0.0512，RMB单清关"/>
    <s v="MAR 23"/>
    <n v="2022.3"/>
    <s v="RMB"/>
    <s v="C49SZX20230033JL"/>
    <x v="77"/>
    <s v="YSM10"/>
    <s v="R-&gt;L"/>
    <s v="MVC+96 FEEDER PLATE (YSM10) "/>
    <s v="OK"/>
    <s v="DDP SZ"/>
    <d v="2023-03-09T00:00:00"/>
    <x v="0"/>
    <m/>
    <m/>
    <m/>
    <s v="IND"/>
    <n v="301"/>
  </r>
  <r>
    <n v="1891"/>
    <x v="0"/>
    <s v="C49"/>
    <n v="110825"/>
    <s v="Shenzhen 力通威"/>
    <x v="1"/>
    <s v="R-&gt;L"/>
    <s v="MVC+96 FEEDER PLATE (YSM10) "/>
    <s v="Y60841"/>
    <n v="1"/>
    <s v="力合仓库(已经清关)"/>
    <d v="2022-04-13T00:00:00"/>
    <s v="0.0512，RMB单清关"/>
    <s v="MAR 23"/>
    <n v="2022.3"/>
    <s v="RMB"/>
    <s v="C49SZX20230033JL"/>
    <x v="77"/>
    <s v="YSM10"/>
    <s v="R-&gt;L"/>
    <s v="MVC+96 FEEDER PLATE (YSM10) "/>
    <s v="OK"/>
    <s v="DDP SZ"/>
    <d v="2023-03-09T00:00:00"/>
    <x v="0"/>
    <m/>
    <m/>
    <m/>
    <s v="IND"/>
    <n v="301"/>
  </r>
  <r>
    <n v="1508"/>
    <x v="0"/>
    <s v="C49"/>
    <n v="110829"/>
    <s v="Shenzhen 清禾"/>
    <x v="1"/>
    <s v="R-&gt;L"/>
    <s v="MVC F&amp;R"/>
    <s v="Y60826"/>
    <n v="1"/>
    <s v="力合中转仓"/>
    <d v="2022-04-13T00:00:00"/>
    <n v="5.45E-2"/>
    <s v="MAY 22"/>
    <n v="2022.3"/>
    <s v="JPY"/>
    <s v="C49SZX20210207JY"/>
    <x v="246"/>
    <s v="YSM10"/>
    <s v="L-&gt;R"/>
    <s v="No"/>
    <s v="WRONG"/>
    <s v="CIF HK"/>
    <d v="2021-11-30T00:00:00"/>
    <x v="0"/>
    <m/>
    <m/>
    <m/>
    <s v="C190735224"/>
    <n v="302"/>
  </r>
  <r>
    <n v="1590"/>
    <x v="0"/>
    <s v="C49"/>
    <n v="110831"/>
    <s v="Shenzhen 驰电"/>
    <x v="1"/>
    <s v="R-&gt;L"/>
    <s v="MVC F&amp;R"/>
    <s v="Y60825"/>
    <n v="1"/>
    <s v="CY仓库"/>
    <d v="2022-04-13T00:00:00"/>
    <n v="5.45E-2"/>
    <s v="MAY 22"/>
    <n v="2022.3"/>
    <s v="JPY"/>
    <s v="C49SZX20220013DZ"/>
    <x v="10"/>
    <s v="YSM10"/>
    <s v="R-&gt;L"/>
    <s v="No"/>
    <s v="WRONG"/>
    <s v="CIF HK"/>
    <d v="2022-02-22T00:00:00"/>
    <x v="0"/>
    <m/>
    <m/>
    <m/>
    <s v="C220342453"/>
    <n v="301"/>
  </r>
  <r>
    <n v="1211"/>
    <x v="0"/>
    <s v="C49"/>
    <n v="110823"/>
    <s v="Stock order"/>
    <x v="12"/>
    <s v="L-&gt;R"/>
    <s v="No"/>
    <s v="Y58092"/>
    <n v="1"/>
    <s v="力合中转仓"/>
    <d v="2022-04-16T00:00:00"/>
    <s v="NM"/>
    <s v="APR 22"/>
    <n v="2022.3"/>
    <s v="JPY"/>
    <s v="C49SZX20210125DZ"/>
    <x v="289"/>
    <s v="YSM20R-2"/>
    <s v="L-&gt;R"/>
    <s v="MVC"/>
    <s v="WRONG"/>
    <s v="DAP GZ"/>
    <d v="2021-03-05T00:00:00"/>
    <x v="0"/>
    <m/>
    <m/>
    <m/>
    <s v="C210640294"/>
    <n v="301"/>
  </r>
  <r>
    <n v="1215"/>
    <x v="0"/>
    <s v="C49"/>
    <n v="110823"/>
    <s v="Stock order"/>
    <x v="12"/>
    <s v="L-&gt;R"/>
    <s v="No"/>
    <s v="Y58093"/>
    <n v="1"/>
    <s v="力合中转仓"/>
    <d v="2022-04-16T00:00:00"/>
    <s v="NM"/>
    <s v="APR 22"/>
    <n v="2022.3"/>
    <s v="JPY"/>
    <s v="C49SZX20210125DZ"/>
    <x v="289"/>
    <s v="YSM20R-2"/>
    <s v="L-&gt;R"/>
    <s v="No"/>
    <s v="OK"/>
    <s v="DAP GZ"/>
    <d v="2021-03-05T00:00:00"/>
    <x v="0"/>
    <m/>
    <m/>
    <m/>
    <s v="C210640294"/>
    <n v="301"/>
  </r>
  <r>
    <n v="1213"/>
    <x v="0"/>
    <s v="C49"/>
    <n v="110823"/>
    <s v="Stock order"/>
    <x v="12"/>
    <s v="L-&gt;R"/>
    <s v="No"/>
    <s v="Y58094"/>
    <n v="1"/>
    <s v="力合中转仓"/>
    <d v="2022-04-16T00:00:00"/>
    <s v="NM"/>
    <s v="APR 22"/>
    <n v="2022.3"/>
    <s v="JPY"/>
    <s v="C49SZX20210125DZ"/>
    <x v="289"/>
    <s v="YSM20R-2"/>
    <s v="L-&gt;R"/>
    <s v="MVC"/>
    <s v="WRONG"/>
    <s v="DAP GZ"/>
    <d v="2021-03-05T00:00:00"/>
    <x v="0"/>
    <m/>
    <m/>
    <m/>
    <s v="C210640294"/>
    <n v="301"/>
  </r>
  <r>
    <n v="1595"/>
    <x v="0"/>
    <s v="C49"/>
    <n v="110830"/>
    <s v="Shenzhen 狂热者（有补差额，折扣约55.3%)"/>
    <x v="1"/>
    <s v="R-&gt;L"/>
    <s v="MVC+ATS15"/>
    <s v="Y60982"/>
    <n v="1"/>
    <s v="CY仓库"/>
    <d v="2022-04-16T00:00:00"/>
    <s v="NM"/>
    <s v="MAY 22"/>
    <n v="2022.3"/>
    <s v="JPY"/>
    <s v="C49SZX20220013DZ"/>
    <x v="10"/>
    <s v="YSM10"/>
    <s v="R-&gt;L"/>
    <s v="MVC+ATS15"/>
    <s v="OK"/>
    <s v="CIF HK"/>
    <d v="2022-02-22T00:00:00"/>
    <x v="0"/>
    <m/>
    <m/>
    <m/>
    <s v="C220342453"/>
    <n v="302"/>
  </r>
  <r>
    <n v="1592"/>
    <x v="0"/>
    <s v="C49"/>
    <n v="110830"/>
    <s v="Shenzhen 狂热者（有补差额，折扣约55.3%)"/>
    <x v="1"/>
    <s v="R-&gt;L"/>
    <s v="MVC+ATS15"/>
    <s v="Y60983"/>
    <n v="1"/>
    <s v="CY仓库"/>
    <d v="2022-04-16T00:00:00"/>
    <s v="NM"/>
    <s v="MAY 22"/>
    <n v="2022.3"/>
    <s v="JPY"/>
    <s v="C49SZX20220013DZ"/>
    <x v="10"/>
    <s v="YSM10"/>
    <s v="R-&gt;L"/>
    <s v="MVC+ATS15"/>
    <s v="OK"/>
    <s v="CIF HK"/>
    <d v="2022-02-22T00:00:00"/>
    <x v="0"/>
    <m/>
    <m/>
    <m/>
    <s v="C220342453"/>
    <n v="302"/>
  </r>
  <r>
    <n v="1651"/>
    <x v="0"/>
    <s v="C49"/>
    <n v="110826"/>
    <s v="Guangzhou 骏孚（有补差额，折扣约55.3%)"/>
    <x v="1"/>
    <s v="R-&gt;L"/>
    <s v="MVC F&amp;R"/>
    <s v="Y60996"/>
    <n v="1"/>
    <s v="力合仓库(已经清关)"/>
    <d v="2022-04-16T00:00:00"/>
    <s v="0.0502，PO110810"/>
    <s v="JUN 22"/>
    <n v="2022.3"/>
    <s v="RMB"/>
    <s v="C49SZX20220048SX"/>
    <x v="186"/>
    <s v="YSM10"/>
    <s v="R-&gt;L"/>
    <s v="MVC"/>
    <s v="WRONG"/>
    <s v="DDP SZ"/>
    <d v="2022-04-20T00:00:00"/>
    <x v="0"/>
    <m/>
    <m/>
    <m/>
    <s v="C201038384"/>
    <n v="302"/>
  </r>
  <r>
    <n v="1483"/>
    <x v="0"/>
    <s v="C49"/>
    <n v="110827"/>
    <s v="Jinxi 昌大（有补差额，折扣约55.3%)"/>
    <x v="1"/>
    <s v="R-&gt;L"/>
    <s v="MVC"/>
    <s v="Y60994"/>
    <n v="1"/>
    <s v="力合仓库(已经清关)"/>
    <d v="2022-04-16T00:00:00"/>
    <s v="NM 110828"/>
    <s v="JUN 22"/>
    <n v="2022.3"/>
    <s v="JPY"/>
    <s v="C49SZX20210198DZ"/>
    <x v="336"/>
    <s v="YSM10"/>
    <s v="L-&gt;R"/>
    <s v="No"/>
    <s v="WRONG"/>
    <s v="DAP SZ"/>
    <d v="2021-10-13T00:00:00"/>
    <x v="0"/>
    <m/>
    <m/>
    <m/>
    <s v="C220543032"/>
    <n v="312"/>
  </r>
  <r>
    <n v="1678"/>
    <x v="0"/>
    <s v="C49"/>
    <n v="110828"/>
    <s v="Shenzhen 恒泰创新（有补差额，折扣约55.3%)"/>
    <x v="1"/>
    <s v="R-&gt;L"/>
    <s v="MVC F&amp;R"/>
    <s v="Y61001"/>
    <n v="1"/>
    <s v="力合仓库(已经清关)"/>
    <d v="2022-04-16T00:00:00"/>
    <s v="0.0502 RMB清关 110810"/>
    <s v="JUN 22"/>
    <n v="2022.3"/>
    <s v="RMB"/>
    <s v="C49SZX20220065SX"/>
    <x v="328"/>
    <s v="YSM10"/>
    <s v="R-&gt;L"/>
    <s v="MVC"/>
    <s v="WRONG"/>
    <s v="DDP SZ"/>
    <d v="2022-06-06T00:00:00"/>
    <x v="0"/>
    <m/>
    <m/>
    <m/>
    <s v="C220442556"/>
    <n v="301"/>
  </r>
  <r>
    <n v="1566"/>
    <x v="0"/>
    <s v="C49"/>
    <n v="110832"/>
    <s v="傲尔（有补差额，折扣约55.3%)"/>
    <x v="1"/>
    <s v="R-&gt;L"/>
    <s v="MVC F&amp;R"/>
    <s v="Y60998"/>
    <n v="1"/>
    <s v="CY仓库"/>
    <d v="2022-04-16T00:00:00"/>
    <s v="NM"/>
    <s v="MAY 22"/>
    <n v="2022.3"/>
    <s v="JPY"/>
    <s v="C49SZX20220003EC"/>
    <x v="174"/>
    <s v="YSM10"/>
    <s v="R-&gt;L"/>
    <s v="No"/>
    <s v="WRONG"/>
    <s v="CIF HK"/>
    <d v="2022-01-24T00:00:00"/>
    <x v="0"/>
    <m/>
    <m/>
    <m/>
    <s v="C200737827"/>
    <n v="301"/>
  </r>
  <r>
    <n v="1565"/>
    <x v="0"/>
    <s v="C49"/>
    <n v="110832"/>
    <s v="傲尔（有补差额，折扣约55.3%)"/>
    <x v="1"/>
    <s v="R-&gt;L"/>
    <s v="MVC F&amp;R"/>
    <s v="Y60999"/>
    <n v="1"/>
    <s v="CY仓库"/>
    <d v="2022-04-16T00:00:00"/>
    <s v="NM"/>
    <s v="MAY 22"/>
    <n v="2022.3"/>
    <s v="JPY"/>
    <s v="C49SZX20220003EC"/>
    <x v="174"/>
    <s v="YSM10"/>
    <s v="R-&gt;L"/>
    <s v="No"/>
    <s v="WRONG"/>
    <s v="CIF HK"/>
    <d v="2022-01-24T00:00:00"/>
    <x v="0"/>
    <m/>
    <m/>
    <m/>
    <s v="C200737827"/>
    <n v="302"/>
  </r>
  <r>
    <n v="1679"/>
    <x v="0"/>
    <s v="C49"/>
    <n v="110833"/>
    <s v="SZ 乐凡电子"/>
    <x v="12"/>
    <s v="R-&gt;L"/>
    <s v="No"/>
    <s v="Y60993"/>
    <n v="1"/>
    <s v="力合仓库(已经清关)"/>
    <d v="2022-04-29T00:00:00"/>
    <s v="YamahaRMB单49F104087,"/>
    <s v="JUN 22"/>
    <n v="2022.4"/>
    <s v="RMB"/>
    <s v="C49SZX20220065SX"/>
    <x v="328"/>
    <s v="YSM20R-2"/>
    <s v="R-&gt;L"/>
    <s v="No"/>
    <s v="OK"/>
    <s v="DDP SZ"/>
    <d v="2022-06-06T00:00:00"/>
    <x v="0"/>
    <m/>
    <m/>
    <m/>
    <s v="C220442556"/>
    <n v="301"/>
  </r>
  <r>
    <n v="1562"/>
    <x v="0"/>
    <s v="C49"/>
    <n v="110835"/>
    <s v="SZ 捷舜诚"/>
    <x v="12"/>
    <s v="L-&gt;R"/>
    <s v="No"/>
    <s v="Y61013"/>
    <n v="1"/>
    <s v="CY仓库"/>
    <d v="2022-04-29T00:00:00"/>
    <s v="NM"/>
    <s v="MAY 22"/>
    <n v="2022.4"/>
    <s v="JPY"/>
    <s v="C49SZX20220003EC"/>
    <x v="174"/>
    <s v="YSM20R-2"/>
    <s v="L-&gt;R"/>
    <s v="No"/>
    <s v="OK"/>
    <s v="CIF HK"/>
    <d v="2022-01-24T00:00:00"/>
    <x v="0"/>
    <m/>
    <m/>
    <m/>
    <s v="C200737827"/>
    <n v="304"/>
  </r>
  <r>
    <n v="1594"/>
    <x v="0"/>
    <s v="C49"/>
    <n v="110837"/>
    <s v="SZ 海红天远"/>
    <x v="12"/>
    <s v="R-&gt;L"/>
    <s v="No"/>
    <s v="Y61016"/>
    <n v="1"/>
    <s v="CY仓库"/>
    <d v="2022-04-29T00:00:00"/>
    <s v="NM"/>
    <s v="MAY 22"/>
    <n v="2022.4"/>
    <s v="JPY"/>
    <s v="C49SZX20220013DZ"/>
    <x v="10"/>
    <s v="YSM20R-2"/>
    <s v="R-&gt;L"/>
    <s v="No"/>
    <s v="OK"/>
    <s v="CIF HK"/>
    <d v="2022-02-22T00:00:00"/>
    <x v="0"/>
    <m/>
    <m/>
    <m/>
    <s v="C220342453"/>
    <n v="301"/>
  </r>
  <r>
    <n v="1301"/>
    <x v="0"/>
    <s v="C49"/>
    <n v="110838"/>
    <s v="SZ 蓝极光"/>
    <x v="12"/>
    <s v="L-&gt;R"/>
    <s v="No"/>
    <s v="Y61017"/>
    <n v="1"/>
    <s v="力合中转仓"/>
    <d v="2022-04-29T00:00:00"/>
    <s v="NM"/>
    <s v="MAY 22"/>
    <n v="2022.4"/>
    <s v="JPY"/>
    <s v="C49SZX20210106JY"/>
    <x v="238"/>
    <s v="YSM20R-2"/>
    <s v="L-&gt;R"/>
    <s v="MVC"/>
    <s v="WRONG"/>
    <s v="DAP SZ"/>
    <d v="2021-04-07T00:00:00"/>
    <x v="0"/>
    <m/>
    <m/>
    <m/>
    <s v="C220442711"/>
    <n v="301"/>
  </r>
  <r>
    <n v="1302"/>
    <x v="0"/>
    <s v="C49"/>
    <n v="110838"/>
    <s v="SZ 蓝极光"/>
    <x v="12"/>
    <s v="L-&gt;R"/>
    <s v="No"/>
    <s v="Y61018"/>
    <n v="1"/>
    <s v="力合中转仓"/>
    <d v="2022-04-29T00:00:00"/>
    <s v="NM"/>
    <s v="MAY 22"/>
    <n v="2022.4"/>
    <s v="JPY"/>
    <s v="C49SZX20210106JY"/>
    <x v="238"/>
    <s v="YSM20R-2"/>
    <s v="L-&gt;R"/>
    <s v="MVC"/>
    <s v="WRONG"/>
    <s v="DAP SZ"/>
    <d v="2021-04-07T00:00:00"/>
    <x v="0"/>
    <m/>
    <m/>
    <m/>
    <s v="C220442711"/>
    <n v="301"/>
  </r>
  <r>
    <n v="1561"/>
    <x v="0"/>
    <s v="C49"/>
    <n v="110834"/>
    <s v="SZ 博新"/>
    <x v="12"/>
    <s v="R-&gt;L"/>
    <s v="No"/>
    <s v="Y61012"/>
    <n v="1"/>
    <s v="CY仓库"/>
    <d v="2022-04-29T00:00:00"/>
    <s v="NM"/>
    <s v="MAY 22"/>
    <n v="2022.4"/>
    <s v="JPY"/>
    <s v="C49SZX20220003EC"/>
    <x v="174"/>
    <s v="YSM20R-2"/>
    <s v="R-&gt;L"/>
    <s v="No"/>
    <s v="OK"/>
    <s v="CIF HK"/>
    <d v="2022-01-24T00:00:00"/>
    <x v="0"/>
    <m/>
    <m/>
    <m/>
    <s v="C200737827"/>
    <n v="303"/>
  </r>
  <r>
    <n v="1588"/>
    <x v="0"/>
    <s v="C49"/>
    <n v="110836"/>
    <s v="SZ 易通"/>
    <x v="12"/>
    <s v="R-&gt;L"/>
    <s v="No"/>
    <s v="Y61014"/>
    <n v="1"/>
    <s v="CY仓库"/>
    <d v="2022-04-29T00:00:00"/>
    <s v="NM"/>
    <s v="MAY 22"/>
    <n v="2022.4"/>
    <s v="JPY"/>
    <s v="C49SZX20220013DZ"/>
    <x v="10"/>
    <s v="YSM20R-2"/>
    <s v="R-&gt;L"/>
    <s v="No"/>
    <s v="OK"/>
    <s v="CIF HK"/>
    <d v="2022-02-22T00:00:00"/>
    <x v="0"/>
    <m/>
    <m/>
    <m/>
    <s v="C200637456"/>
    <n v="301"/>
  </r>
  <r>
    <n v="1637"/>
    <x v="0"/>
    <s v="C49"/>
    <s v="110810 拆分PO110913"/>
    <s v="Dongguan Yidong"/>
    <x v="1"/>
    <s v="R-&gt;L"/>
    <s v="MVC"/>
    <s v="Y60553"/>
    <n v="1"/>
    <s v="力合仓库(已经清关)"/>
    <d v="2022-05-07T00:00:00"/>
    <s v="NM 110872"/>
    <s v="JUN 22"/>
    <n v="2022.4"/>
    <s v="JPY"/>
    <s v="C49SZX20220045SX"/>
    <x v="331"/>
    <s v="YSM10"/>
    <s v="L-&gt;R"/>
    <s v="MVC"/>
    <s v="WRONG"/>
    <s v="DAP SZ"/>
    <d v="2022-04-13T00:00:00"/>
    <x v="0"/>
    <m/>
    <m/>
    <m/>
    <s v="C211241805"/>
    <n v="302"/>
  </r>
  <r>
    <n v="1638"/>
    <x v="0"/>
    <s v="C49"/>
    <s v="110810 拆分PO110913"/>
    <s v="Dongguan Yidong"/>
    <x v="1"/>
    <s v="R-&gt;L"/>
    <s v="MVC"/>
    <s v="Y60554"/>
    <n v="1"/>
    <s v="力合仓库(已经清关)"/>
    <d v="2022-05-07T00:00:00"/>
    <s v="NM 110872"/>
    <s v="JUN 22"/>
    <n v="2022.4"/>
    <s v="JPY"/>
    <s v="C49SZX20220045SX"/>
    <x v="331"/>
    <s v="YSM10"/>
    <s v="L-&gt;R"/>
    <s v="MVC"/>
    <s v="WRONG"/>
    <s v="DDP SZ"/>
    <d v="2022-04-13T00:00:00"/>
    <x v="0"/>
    <m/>
    <m/>
    <m/>
    <s v="C211241805"/>
    <n v="302"/>
  </r>
  <r>
    <n v="1667"/>
    <x v="0"/>
    <s v="C49"/>
    <n v="110810"/>
    <s v="Dongguan Yidong"/>
    <x v="1"/>
    <s v="R-&gt;L"/>
    <s v="MVC F&amp;R"/>
    <s v="Y60559"/>
    <n v="1"/>
    <s v="力合仓库(已经清关)"/>
    <d v="2022-05-07T00:00:00"/>
    <s v="NM 110871"/>
    <s v="JUN 22"/>
    <n v="2022.4"/>
    <s v="JPY"/>
    <s v="C49SZX20220056EC"/>
    <x v="337"/>
    <s v="YSM10"/>
    <s v="L-&gt;R"/>
    <s v="MVC"/>
    <s v="WRONG"/>
    <s v="DAP SZ"/>
    <d v="2022-05-13T00:00:00"/>
    <x v="0"/>
    <m/>
    <m/>
    <m/>
    <s v="C190334130"/>
    <n v="301"/>
  </r>
  <r>
    <n v="1683"/>
    <x v="0"/>
    <s v="C49"/>
    <n v="110810"/>
    <s v="Dongguan Yidong"/>
    <x v="1"/>
    <s v="R-&gt;L"/>
    <s v="MVC F&amp;R"/>
    <s v="Y60560"/>
    <n v="1"/>
    <s v="力合仓库(已经清关)"/>
    <d v="2022-05-07T00:00:00"/>
    <s v="0.0502,，RMB清关 PO110436"/>
    <s v="JUN 22"/>
    <n v="2022.4"/>
    <s v="RMB"/>
    <s v="C49SZX20220063JY"/>
    <x v="176"/>
    <s v="YSM10"/>
    <s v="L-&gt;R"/>
    <s v="No"/>
    <s v="WRONG"/>
    <s v="DDP GZ"/>
    <d v="2022-06-11T00:00:00"/>
    <x v="0"/>
    <m/>
    <m/>
    <m/>
    <s v="C200737845"/>
    <n v="301"/>
  </r>
  <r>
    <n v="1684"/>
    <x v="0"/>
    <s v="C49"/>
    <n v="110810"/>
    <s v="Dongguan Yidong"/>
    <x v="1"/>
    <s v="R-&gt;L"/>
    <s v="MVC F&amp;R"/>
    <s v="Y60561"/>
    <n v="1"/>
    <s v="力合仓库(已经清关)"/>
    <d v="2022-05-07T00:00:00"/>
    <s v="0.0502 RMB清关"/>
    <s v="JUN 22"/>
    <n v="2022.4"/>
    <s v="RMB"/>
    <s v="C49SZX20220063JY"/>
    <x v="176"/>
    <s v="YSM10"/>
    <s v="L-&gt;R"/>
    <s v="No"/>
    <s v="WRONG"/>
    <s v="DDP GZ"/>
    <d v="2022-06-11T00:00:00"/>
    <x v="0"/>
    <m/>
    <m/>
    <m/>
    <s v="C200737845"/>
    <n v="301"/>
  </r>
  <r>
    <n v="1581"/>
    <x v="0"/>
    <s v="C49"/>
    <s v="110810 拆分PO110913"/>
    <s v="Dongguan Yidong"/>
    <x v="1"/>
    <s v="R-&gt;L"/>
    <s v="MVC"/>
    <s v="Y60555"/>
    <n v="1"/>
    <s v="力合中转仓"/>
    <d v="2022-05-07T00:00:00"/>
    <s v="NM"/>
    <s v="MAY 22"/>
    <n v="2022.4"/>
    <s v="JPY"/>
    <s v="C49SZX20220018SX"/>
    <x v="245"/>
    <s v="YSM10"/>
    <s v="L-&gt;R"/>
    <s v="MVC"/>
    <s v="WRONG"/>
    <s v="DAP SZ"/>
    <d v="2022-02-16T00:00:00"/>
    <x v="0"/>
    <m/>
    <m/>
    <m/>
    <s v="C220342284"/>
    <n v="302"/>
  </r>
  <r>
    <n v="1582"/>
    <x v="0"/>
    <s v="C49"/>
    <s v="110810 拆分PO110913"/>
    <s v="Dongguan Yidong"/>
    <x v="1"/>
    <s v="R-&gt;L"/>
    <s v="MVC"/>
    <s v="Y60556"/>
    <n v="1"/>
    <s v="力合中转仓"/>
    <d v="2022-05-07T00:00:00"/>
    <s v="NM"/>
    <s v="MAY 22"/>
    <n v="2022.4"/>
    <s v="JPY"/>
    <s v="C49SZX20220018SX"/>
    <x v="245"/>
    <s v="YSM10"/>
    <s v="L-&gt;R"/>
    <s v="No"/>
    <s v="WRONG"/>
    <s v="DAP SZ"/>
    <d v="2022-02-16T00:00:00"/>
    <x v="0"/>
    <m/>
    <m/>
    <m/>
    <s v="C220342284"/>
    <n v="312"/>
  </r>
  <r>
    <n v="1618"/>
    <x v="0"/>
    <s v="C49"/>
    <n v="110810"/>
    <s v="Dongguan Yidong"/>
    <x v="1"/>
    <s v="R-&gt;L"/>
    <s v="MVC"/>
    <s v="Y60557"/>
    <n v="1"/>
    <s v="力合仓库(已经清关)"/>
    <d v="2022-05-07T00:00:00"/>
    <n v="5.0200000000000002E-2"/>
    <m/>
    <n v="2022.4"/>
    <s v="RMB"/>
    <s v="C49SZX20220025AY"/>
    <x v="338"/>
    <s v="YSM10"/>
    <s v="R-&gt;L"/>
    <s v="MVC"/>
    <s v="OK"/>
    <s v="DDP HZ"/>
    <d v="2022-03-14T00:00:00"/>
    <x v="0"/>
    <m/>
    <m/>
    <m/>
    <s v="C220442573"/>
    <n v="312"/>
  </r>
  <r>
    <n v="1619"/>
    <x v="0"/>
    <s v="C49"/>
    <n v="110810"/>
    <s v="Dongguan Yidong"/>
    <x v="1"/>
    <s v="R-&gt;L"/>
    <s v="MVC F&amp;R"/>
    <s v="Y60558"/>
    <n v="1"/>
    <s v="力合仓库(已经清关)"/>
    <d v="2022-05-07T00:00:00"/>
    <n v="5.0200000000000002E-2"/>
    <m/>
    <n v="2022.4"/>
    <s v="RMB"/>
    <s v="C49SZX20220025AY"/>
    <x v="338"/>
    <s v="YSM10"/>
    <s v="R-&gt;L"/>
    <s v="No"/>
    <s v="WRONG"/>
    <s v="DDP HZ"/>
    <d v="2022-03-14T00:00:00"/>
    <x v="0"/>
    <m/>
    <m/>
    <m/>
    <s v="C220442573"/>
    <n v="302"/>
  </r>
  <r>
    <n v="1593"/>
    <x v="0"/>
    <s v="C49"/>
    <n v="110810"/>
    <s v="Dongguan Yidong"/>
    <x v="1"/>
    <s v="R-&gt;L"/>
    <s v="MVC F&amp;R"/>
    <s v="Y60562"/>
    <n v="1"/>
    <s v="CY仓库"/>
    <d v="2022-05-07T00:00:00"/>
    <s v="NM PO110810拆分PO110913"/>
    <s v="JUN 22"/>
    <n v="2022.4"/>
    <s v="JPY"/>
    <s v="C49SZX20220013DZ"/>
    <x v="10"/>
    <s v="YSM10"/>
    <s v="R-&gt;L"/>
    <s v="No"/>
    <s v="WRONG"/>
    <s v="CIF HK"/>
    <d v="2022-02-22T00:00:00"/>
    <x v="0"/>
    <m/>
    <m/>
    <m/>
    <s v="C220342453"/>
    <n v="311"/>
  </r>
  <r>
    <n v="1583"/>
    <x v="0"/>
    <s v="C49"/>
    <n v="110436"/>
    <s v="Stock order"/>
    <x v="1"/>
    <s v="R-&gt;L"/>
    <s v="No"/>
    <s v="Y56519"/>
    <n v="1"/>
    <s v="力合中转仓"/>
    <d v="2022-05-07T00:00:00"/>
    <s v="NM PO 110883"/>
    <s v="JUL 22"/>
    <n v="2022.4"/>
    <s v="JPY"/>
    <s v="C49SZX20220020R1SS"/>
    <x v="144"/>
    <s v="YSM10"/>
    <s v="L-&gt;R"/>
    <s v="No"/>
    <s v="WRONG"/>
    <s v="DAP SZ"/>
    <d v="2022-02-22T00:00:00"/>
    <x v="0"/>
    <m/>
    <m/>
    <m/>
    <s v="C210439993"/>
    <n v="301"/>
  </r>
  <r>
    <n v="1387"/>
    <x v="0"/>
    <s v="C49"/>
    <n v="110429"/>
    <s v="Stock order"/>
    <x v="1"/>
    <s v="R-&gt;L"/>
    <s v="No"/>
    <s v="Y57572"/>
    <n v="1"/>
    <s v="力合中转仓"/>
    <d v="2022-05-13T00:00:00"/>
    <n v="6.0600000000000001E-2"/>
    <s v="MAY 22"/>
    <n v="2022.4"/>
    <s v="JPY"/>
    <s v="C49SZX20220057DZ"/>
    <x v="272"/>
    <s v="YSM10"/>
    <s v="R-&gt;L"/>
    <s v="MVC"/>
    <s v="WRONG"/>
    <s v="CIF HK"/>
    <d v="2021-05-24T00:00:00"/>
    <x v="0"/>
    <m/>
    <m/>
    <m/>
    <s v="C210640373"/>
    <n v="301"/>
  </r>
  <r>
    <n v="1635"/>
    <x v="0"/>
    <s v="C49"/>
    <n v="110429"/>
    <s v="Stock order"/>
    <x v="1"/>
    <s v="R-&gt;L"/>
    <s v="No"/>
    <s v="Y57573"/>
    <n v="1"/>
    <s v="力合中转仓"/>
    <d v="2022-05-13T00:00:00"/>
    <n v="6.0600000000000001E-2"/>
    <s v="MAY 22"/>
    <n v="2022.4"/>
    <s v="JPY"/>
    <s v="C49SZX20220041SQ"/>
    <x v="339"/>
    <s v="YSM10"/>
    <s v="R-&gt;L"/>
    <s v="MVC"/>
    <s v="WRONG"/>
    <s v="DAP SZ"/>
    <d v="2022-03-30T00:00:00"/>
    <x v="0"/>
    <m/>
    <m/>
    <m/>
    <s v="C220442577"/>
    <n v="301"/>
  </r>
  <r>
    <n v="1388"/>
    <x v="0"/>
    <s v="C49"/>
    <n v="110429"/>
    <s v="Stock order"/>
    <x v="1"/>
    <s v="R-&gt;L"/>
    <s v="No"/>
    <s v="Y57574"/>
    <n v="1"/>
    <s v="力合中转仓"/>
    <d v="2022-05-13T00:00:00"/>
    <n v="6.0600000000000001E-2"/>
    <s v="MAY 22"/>
    <n v="2022.4"/>
    <s v="JPY"/>
    <s v="C49SZX20220057DZ"/>
    <x v="272"/>
    <s v="YSM10"/>
    <s v="R-&gt;L"/>
    <s v="MVC"/>
    <s v="WRONG"/>
    <s v="CIF HK"/>
    <d v="2021-05-24T00:00:00"/>
    <x v="0"/>
    <m/>
    <m/>
    <m/>
    <s v="C210640373"/>
    <n v="301"/>
  </r>
  <r>
    <n v="1674"/>
    <x v="0"/>
    <s v="C49"/>
    <n v="110870"/>
    <s v="Dongguan 岚新"/>
    <x v="1"/>
    <s v="R-&gt;L"/>
    <s v="MVC F&amp;R"/>
    <s v="Y61435"/>
    <n v="1"/>
    <s v="力合仓库(已经清关)"/>
    <d v="2022-05-13T00:00:00"/>
    <n v="5.21E-2"/>
    <s v="JUN 22"/>
    <n v="2022.4"/>
    <s v="RMB"/>
    <s v="C49SZX20220062SS"/>
    <x v="35"/>
    <s v="YSM10"/>
    <s v="L-&gt;R"/>
    <s v="MVC"/>
    <s v="WRONG"/>
    <s v="DDP SZ"/>
    <d v="2022-05-26T00:00:00"/>
    <x v="0"/>
    <m/>
    <m/>
    <m/>
    <s v="C210640351"/>
    <n v="301"/>
  </r>
  <r>
    <n v="1677"/>
    <x v="0"/>
    <s v="C49"/>
    <n v="110870"/>
    <s v="Dongguan 岚新"/>
    <x v="1"/>
    <s v="R-&gt;L"/>
    <s v="MVC F&amp;R"/>
    <s v="Y61436"/>
    <n v="1"/>
    <s v="力合仓库(已经清关)"/>
    <d v="2022-05-13T00:00:00"/>
    <n v="5.21E-2"/>
    <s v="JUN 22"/>
    <n v="2022.4"/>
    <s v="RMB"/>
    <s v="C49SZX202200066SS"/>
    <x v="340"/>
    <s v="YSM10"/>
    <s v="L-&gt;R"/>
    <s v="MVC"/>
    <s v="WRONG"/>
    <s v="DDP SZ"/>
    <d v="2022-06-06T00:00:00"/>
    <x v="0"/>
    <m/>
    <m/>
    <m/>
    <s v="C180431770"/>
    <n v="301"/>
  </r>
  <r>
    <n v="1525"/>
    <x v="0"/>
    <s v="C49"/>
    <n v="110882"/>
    <s v="Stock order"/>
    <x v="12"/>
    <s v="L-&gt;R"/>
    <s v="MVC"/>
    <s v="Y58095"/>
    <n v="1"/>
    <s v="力合中转仓"/>
    <d v="2022-05-19T00:00:00"/>
    <s v="NM，110838"/>
    <s v="MAY 22"/>
    <n v="2022.4"/>
    <s v="JPY"/>
    <s v="C49SZX20220030SS"/>
    <x v="341"/>
    <s v="YSM20R-2"/>
    <s v="L-&gt;R"/>
    <s v="No"/>
    <s v="WRONG"/>
    <s v="DAP SZ"/>
    <d v="2021-12-21T00:00:00"/>
    <x v="0"/>
    <m/>
    <m/>
    <m/>
    <s v="C220242133"/>
    <n v="301"/>
  </r>
  <r>
    <n v="1526"/>
    <x v="0"/>
    <s v="C49"/>
    <n v="110882"/>
    <s v="Stock order"/>
    <x v="12"/>
    <s v="L-&gt;R"/>
    <s v="No"/>
    <s v="Y58096"/>
    <n v="1"/>
    <s v="力合中转仓"/>
    <d v="2022-05-19T00:00:00"/>
    <s v="NM，110838"/>
    <s v="MAY 22"/>
    <n v="2022.4"/>
    <s v="JPY"/>
    <s v="C49SZX20220030SS"/>
    <x v="341"/>
    <s v="YSM20R-2"/>
    <s v="L-&gt;R"/>
    <s v="No"/>
    <s v="OK"/>
    <s v="DAP SZ"/>
    <d v="2021-12-21T00:00:00"/>
    <x v="0"/>
    <m/>
    <m/>
    <m/>
    <s v="C220242133"/>
    <n v="302"/>
  </r>
  <r>
    <n v="1597"/>
    <x v="0"/>
    <s v="C49"/>
    <n v="110882"/>
    <s v="Stock order"/>
    <x v="12"/>
    <s v="L-&gt;R"/>
    <s v="No"/>
    <s v="Y58097"/>
    <n v="1"/>
    <s v="力合中转仓"/>
    <d v="2022-05-19T00:00:00"/>
    <s v="NM 110868"/>
    <s v="JUN 22"/>
    <n v="2022.4"/>
    <s v="JPY"/>
    <s v="C49SZX20220021SS"/>
    <x v="150"/>
    <s v="YSM20R-2"/>
    <s v="L-&gt;R"/>
    <s v="No"/>
    <s v="OK"/>
    <s v="DAP SZ"/>
    <d v="2022-02-25T00:00:00"/>
    <x v="0"/>
    <m/>
    <m/>
    <m/>
    <s v="C211241704"/>
    <n v="302"/>
  </r>
  <r>
    <n v="1655"/>
    <x v="0"/>
    <s v="C49"/>
    <n v="110873"/>
    <s v="Shenzhen Longtech"/>
    <x v="1"/>
    <s v="R-&gt;L"/>
    <s v="MVC F&amp;R+ATS15"/>
    <s v="Y61377"/>
    <n v="1"/>
    <s v="力合中转仓"/>
    <d v="2022-05-21T00:00:00"/>
    <s v="NM  PO110920"/>
    <s v="AUG 22"/>
    <n v="2022.4"/>
    <s v="JPY"/>
    <s v="C49SZX20220049JY"/>
    <x v="238"/>
    <s v="YSM10"/>
    <s v="L-&gt;R"/>
    <s v="MVC F&amp;R+ATS15"/>
    <s v="WRONG"/>
    <s v="CIF HK"/>
    <d v="2022-04-21T00:00:00"/>
    <x v="0"/>
    <m/>
    <m/>
    <m/>
    <s v="C220442711"/>
    <n v="302"/>
  </r>
  <r>
    <n v="1704"/>
    <x v="0"/>
    <s v="C49"/>
    <n v="110873"/>
    <s v="Shenzhen Longtech"/>
    <x v="1"/>
    <s v="R-&gt;L"/>
    <s v="MVC F&amp;R+ATS15"/>
    <s v="Y61378"/>
    <n v="1"/>
    <s v="CY仓库"/>
    <d v="2022-05-21T00:00:00"/>
    <s v="NM,PO 110998"/>
    <s v="AUG 22"/>
    <n v="2022.4"/>
    <s v="JPY"/>
    <s v="C49SZX20220073DZ"/>
    <x v="10"/>
    <s v="YSM10"/>
    <s v="L-&gt;R"/>
    <s v="MVC+ATS15"/>
    <s v="WRONG"/>
    <s v="CIF HK"/>
    <d v="2022-07-12T00:00:00"/>
    <x v="0"/>
    <m/>
    <m/>
    <m/>
    <s v="C190534728"/>
    <n v="302"/>
  </r>
  <r>
    <n v="1628"/>
    <x v="0"/>
    <s v="C49"/>
    <n v="110873"/>
    <s v="Shenzhen Longtech"/>
    <x v="1"/>
    <s v="R-&gt;L"/>
    <s v="MVC F&amp;R"/>
    <s v="Y61379"/>
    <n v="1"/>
    <s v="力合中转仓"/>
    <d v="2022-05-21T00:00:00"/>
    <s v="NM"/>
    <s v="JUL 22"/>
    <n v="2022.4"/>
    <s v="JPY"/>
    <s v="C49SZX20220035R1SS"/>
    <x v="109"/>
    <s v="YSM10"/>
    <s v="R-&gt;L"/>
    <s v="MVC"/>
    <s v="WRONG"/>
    <s v="DAP SZ"/>
    <d v="2022-03-21T00:00:00"/>
    <x v="0"/>
    <m/>
    <m/>
    <m/>
    <s v="C220442706"/>
    <n v="302"/>
  </r>
  <r>
    <n v="1580"/>
    <x v="0"/>
    <s v="C49"/>
    <n v="110874"/>
    <s v="Shenzhen 伯莱科"/>
    <x v="1"/>
    <s v="R-&gt;L"/>
    <s v="MVC F&amp;R+ATS15"/>
    <s v="Y61440"/>
    <n v="1"/>
    <s v="力合中转仓"/>
    <d v="2022-05-21T00:00:00"/>
    <s v="NM"/>
    <s v="JUN 22"/>
    <n v="2022.4"/>
    <s v="JPY"/>
    <s v="C49SZX20220016JL"/>
    <x v="68"/>
    <s v="YSM10"/>
    <s v="L-&gt;R"/>
    <s v="MVC+ATS15"/>
    <s v="WRONG"/>
    <s v="DAP SZ"/>
    <d v="2022-02-15T00:00:00"/>
    <x v="0"/>
    <m/>
    <m/>
    <m/>
    <s v="IND"/>
    <n v="302"/>
  </r>
  <r>
    <n v="1605"/>
    <x v="0"/>
    <s v="C49"/>
    <n v="110869"/>
    <s v="通达科信"/>
    <x v="12"/>
    <s v="L-&gt;R"/>
    <s v="cATS10+MVC+6pcs special layout"/>
    <s v="Y61330"/>
    <n v="1"/>
    <s v="CY仓库"/>
    <d v="2022-05-23T00:00:00"/>
    <s v="NM"/>
    <s v="JUN 22"/>
    <n v="2022.4"/>
    <s v="JPY"/>
    <s v="C49SZX20220028R1SX"/>
    <x v="316"/>
    <s v="YSM20R-2"/>
    <s v="L-&gt;R"/>
    <s v="cATS10+MVC+6pcs special layout"/>
    <s v="OK"/>
    <s v="CIF HK"/>
    <d v="2022-03-07T00:00:00"/>
    <x v="0"/>
    <m/>
    <m/>
    <m/>
    <s v="IND"/>
    <n v="301"/>
  </r>
  <r>
    <n v="1601"/>
    <x v="0"/>
    <s v="C49"/>
    <n v="110866"/>
    <s v="DG 普德新星"/>
    <x v="12"/>
    <s v="L-&gt;R"/>
    <s v="No"/>
    <s v="Y61448"/>
    <n v="1"/>
    <s v="力合中转仓"/>
    <d v="2022-05-23T00:00:00"/>
    <s v="NM"/>
    <s v="JUN 22"/>
    <n v="2022.4"/>
    <s v="JPY"/>
    <s v="C49SZX20220026SX"/>
    <x v="342"/>
    <s v="YSM20R-2"/>
    <s v="L-&gt;R"/>
    <s v="No"/>
    <s v="OK"/>
    <s v="DAP SZ"/>
    <d v="2022-03-01T00:00:00"/>
    <x v="0"/>
    <m/>
    <m/>
    <m/>
    <s v="C180431793"/>
    <n v="302"/>
  </r>
  <r>
    <n v="1528"/>
    <x v="0"/>
    <s v="C49"/>
    <n v="110866"/>
    <s v="DG 普德新星"/>
    <x v="12"/>
    <s v="L-&gt;R"/>
    <s v="No"/>
    <s v="Y61449"/>
    <n v="1"/>
    <s v="力合中转仓"/>
    <d v="2022-05-23T00:00:00"/>
    <s v="NM"/>
    <s v="MAY 22"/>
    <n v="2022.4"/>
    <s v="JPY"/>
    <s v="C49SZX20220030SS"/>
    <x v="341"/>
    <s v="YSM20R-2"/>
    <s v="L-&gt;R"/>
    <s v="No"/>
    <s v="OK"/>
    <s v="DAP SZ"/>
    <d v="2022-03-24T00:00:00"/>
    <x v="0"/>
    <m/>
    <m/>
    <m/>
    <s v="C220242133"/>
    <n v="302"/>
  </r>
  <r>
    <n v="1527"/>
    <x v="0"/>
    <s v="C49"/>
    <n v="110864"/>
    <s v="SZ 骏仁达"/>
    <x v="12"/>
    <s v="L-&gt;R"/>
    <s v="No"/>
    <s v="Y61438"/>
    <n v="1"/>
    <s v="力合中转仓"/>
    <d v="2022-05-23T00:00:00"/>
    <s v="NM"/>
    <s v="MAY 22"/>
    <n v="2022.4"/>
    <s v="JPY"/>
    <s v="C49SZX20220030SS"/>
    <x v="341"/>
    <s v="YSM20R-2"/>
    <s v="L-&gt;R"/>
    <s v="No"/>
    <s v="OK"/>
    <s v="DAP SZ"/>
    <d v="2021-12-21T00:00:00"/>
    <x v="0"/>
    <m/>
    <m/>
    <m/>
    <s v="C220242133"/>
    <n v="301"/>
  </r>
  <r>
    <n v="1687"/>
    <x v="0"/>
    <s v="C49"/>
    <n v="110867"/>
    <s v="Shenzhen Longtech"/>
    <x v="12"/>
    <s v="R-&gt;L"/>
    <s v="No"/>
    <s v="Y61004"/>
    <n v="1"/>
    <s v="力合仓库(已经清关)"/>
    <d v="2022-05-23T00:00:00"/>
    <s v="0.0521，RMB清关"/>
    <s v="JUL 22"/>
    <n v="2022.4"/>
    <s v="RMB"/>
    <s v="C49SZX20220072DZ"/>
    <x v="10"/>
    <s v="YSM20R-2"/>
    <s v="R-&gt;L"/>
    <s v="No"/>
    <s v="OK"/>
    <s v="DDP SZ"/>
    <d v="2022-06-22T00:00:00"/>
    <x v="0"/>
    <m/>
    <m/>
    <m/>
    <s v="C220342453"/>
    <n v="303"/>
  </r>
  <r>
    <n v="1633"/>
    <x v="0"/>
    <s v="C49"/>
    <n v="110867"/>
    <s v="Shenzhen Longtech"/>
    <x v="12"/>
    <s v="R-&gt;L"/>
    <s v="No"/>
    <s v="Y61375"/>
    <n v="1"/>
    <s v="力合仓库(已经清关)"/>
    <d v="2022-05-23T00:00:00"/>
    <n v="5.21E-2"/>
    <s v="JUN 22"/>
    <n v="2022.4"/>
    <s v="RMB"/>
    <s v="C49SZX20220038JY"/>
    <x v="343"/>
    <s v="YSM20R-2"/>
    <s v="R-&gt;L"/>
    <s v="No"/>
    <s v="OK"/>
    <s v="DDP SZ"/>
    <d v="2022-03-24T00:00:00"/>
    <x v="0"/>
    <m/>
    <m/>
    <m/>
    <s v="C220342243"/>
    <n v="303"/>
  </r>
  <r>
    <n v="1589"/>
    <x v="0"/>
    <s v="C49"/>
    <n v="110867"/>
    <s v="Shenzhen Longtech"/>
    <x v="12"/>
    <s v="R-&gt;L"/>
    <s v="No"/>
    <s v="Y61376"/>
    <n v="1"/>
    <s v="CY仓库"/>
    <d v="2022-05-23T00:00:00"/>
    <n v="5.21E-2"/>
    <s v="JUN 22"/>
    <n v="2022.4"/>
    <s v="JPY"/>
    <s v="C49SZX20220013DZ"/>
    <x v="10"/>
    <s v="YSM20R-2"/>
    <s v="R-&gt;L"/>
    <s v="No"/>
    <s v="OK"/>
    <s v="CIF HK"/>
    <d v="2022-02-22T00:00:00"/>
    <x v="0"/>
    <m/>
    <m/>
    <m/>
    <s v="C220342453"/>
    <n v="303"/>
  </r>
  <r>
    <n v="1602"/>
    <x v="0"/>
    <s v="C49"/>
    <n v="110883"/>
    <s v="拓普艾名义"/>
    <x v="1"/>
    <s v="R-&gt;L"/>
    <s v="MVC"/>
    <s v="Y61539"/>
    <n v="1"/>
    <s v="力合中转仓"/>
    <d v="2022-05-23T00:00:00"/>
    <s v="NM"/>
    <s v="JUN 22"/>
    <n v="2022.4"/>
    <s v="JPY"/>
    <s v="C49SZX20220026SX"/>
    <x v="342"/>
    <s v="YSM10"/>
    <s v="L-&gt;R"/>
    <s v="MVC"/>
    <s v="WRONG"/>
    <s v="DAP SZ"/>
    <d v="2022-03-01T00:00:00"/>
    <x v="0"/>
    <m/>
    <m/>
    <m/>
    <s v="C180431793"/>
    <n v="301"/>
  </r>
  <r>
    <n v="1603"/>
    <x v="0"/>
    <s v="C49"/>
    <n v="110883"/>
    <s v="拓普艾名义"/>
    <x v="1"/>
    <s v="R-&gt;L"/>
    <s v="MVC"/>
    <s v="Y61540"/>
    <n v="1"/>
    <s v="力合中转仓"/>
    <d v="2022-05-23T00:00:00"/>
    <s v="NM"/>
    <s v="JUN 22"/>
    <n v="2022.4"/>
    <s v="JPY"/>
    <s v="C49SZX20220026SX"/>
    <x v="342"/>
    <s v="YSM10"/>
    <s v="R-&gt;L"/>
    <s v="MVC"/>
    <s v="OK"/>
    <s v="DAP SZ"/>
    <d v="2022-03-01T00:00:00"/>
    <x v="0"/>
    <m/>
    <m/>
    <m/>
    <s v="C180431793"/>
    <n v="301"/>
  </r>
  <r>
    <n v="1645"/>
    <x v="0"/>
    <s v="C49"/>
    <n v="110883"/>
    <s v="拓普艾名义"/>
    <x v="1"/>
    <s v="R-&gt;L"/>
    <s v="MVC"/>
    <s v="Y61567"/>
    <n v="1"/>
    <s v="力合中转仓"/>
    <d v="2022-05-23T00:00:00"/>
    <s v="NM PO 110810拆分PO110913"/>
    <s v="JUN 22"/>
    <n v="2022.4"/>
    <s v="JPY"/>
    <s v="C49SZX20220046JL"/>
    <x v="344"/>
    <s v="YSM10"/>
    <s v="L-&gt;R"/>
    <s v="MVC"/>
    <s v="WRONG"/>
    <s v="DAP SZ"/>
    <d v="2022-04-18T00:00:00"/>
    <x v="0"/>
    <m/>
    <m/>
    <m/>
    <s v="C190935541"/>
    <n v="301"/>
  </r>
  <r>
    <n v="1691"/>
    <x v="0"/>
    <s v="C49"/>
    <n v="110872"/>
    <s v="恒磊"/>
    <x v="1"/>
    <s v="R-&gt;L"/>
    <s v="MVC F&amp;R"/>
    <s v="Y61444"/>
    <n v="1"/>
    <s v="力合仓库(已经清关)"/>
    <d v="2022-05-23T00:00:00"/>
    <s v=" 0.0502 RMB清关 110810"/>
    <s v="JUL 22"/>
    <n v="2022.4"/>
    <s v="RMB"/>
    <s v="C49SZX20220075SX"/>
    <x v="43"/>
    <s v="YSM10"/>
    <s v="R-&gt;L"/>
    <s v="MVC"/>
    <s v="WRONG"/>
    <s v="DDP DG"/>
    <d v="2022-06-23T00:00:00"/>
    <x v="0"/>
    <m/>
    <m/>
    <m/>
    <s v="C181233636"/>
    <n v="301"/>
  </r>
  <r>
    <n v="1164"/>
    <x v="0"/>
    <s v="C49"/>
    <n v="110872"/>
    <s v="恒磊"/>
    <x v="1"/>
    <s v="R-&gt;L"/>
    <s v="MVC F&amp;R"/>
    <s v="Y61445"/>
    <n v="1"/>
    <s v="力合仓库(已经清关)"/>
    <d v="2022-05-23T00:00:00"/>
    <s v="NM PO110910 STK"/>
    <s v="JUL 22"/>
    <n v="2022.4"/>
    <s v="JPY"/>
    <s v="C49SZX20210059EC"/>
    <x v="260"/>
    <s v="YSM10"/>
    <s v="L-&gt;R"/>
    <s v="MVC"/>
    <s v="WRONG"/>
    <s v="DAP GZ"/>
    <d v="2021-03-01T00:00:00"/>
    <x v="0"/>
    <m/>
    <m/>
    <m/>
    <s v="C210439747"/>
    <n v="301"/>
  </r>
  <r>
    <n v="1689"/>
    <x v="0"/>
    <s v="C49"/>
    <n v="110896"/>
    <s v="Dongguan Yidong"/>
    <x v="1"/>
    <s v="R-&gt;L"/>
    <s v="MVC+ATS15"/>
    <s v="Y60577"/>
    <n v="1"/>
    <s v="力合仓库(已经清关)"/>
    <d v="2022-06-02T00:00:00"/>
    <s v="0.0502，RMB清关"/>
    <s v="JUL 22"/>
    <n v="2022.4"/>
    <s v="RMB"/>
    <s v="C49SZX20220072DZ"/>
    <x v="10"/>
    <s v="YSM10"/>
    <s v="R-&gt;L"/>
    <s v="MVC+ATS15"/>
    <s v="OK"/>
    <s v="DDP SZ"/>
    <d v="2022-06-22T00:00:00"/>
    <x v="0"/>
    <m/>
    <m/>
    <m/>
    <s v="C220342453"/>
    <n v="302"/>
  </r>
  <r>
    <n v="1673"/>
    <x v="0"/>
    <s v="C49"/>
    <n v="110896"/>
    <s v="Dongguan Yidong"/>
    <x v="1"/>
    <s v="R-&gt;L"/>
    <s v="MVC+ATS15"/>
    <s v="Y60578"/>
    <n v="1"/>
    <s v="力合中转仓"/>
    <d v="2022-06-02T00:00:00"/>
    <s v="NM,PO 110873"/>
    <s v="JUL 22"/>
    <n v="2022.4"/>
    <s v="JPY"/>
    <s v="C49SZX20220060DZ"/>
    <x v="8"/>
    <s v="YSM10"/>
    <s v="L-&gt;R"/>
    <s v="MVC+ATS15"/>
    <s v="WRONG"/>
    <s v="CIF HK"/>
    <d v="2022-05-24T00:00:00"/>
    <x v="0"/>
    <m/>
    <m/>
    <m/>
    <s v="C200637592"/>
    <n v="302"/>
  </r>
  <r>
    <n v="1614"/>
    <x v="0"/>
    <s v="C49"/>
    <n v="110896"/>
    <s v="Dongguan Yidong"/>
    <x v="1"/>
    <s v="R-&gt;L"/>
    <s v="MVC+ATS15"/>
    <s v="Y60579"/>
    <n v="1"/>
    <s v="力合中转仓"/>
    <d v="2022-06-02T00:00:00"/>
    <s v="NM,PO110873"/>
    <s v="AUG 22"/>
    <n v="2022.5"/>
    <s v="JPY"/>
    <s v="C49SZX20220033JL"/>
    <x v="345"/>
    <s v="YSM10"/>
    <s v="L-&gt;R"/>
    <s v="MVC+ATS15"/>
    <s v="WRONG"/>
    <s v="CIF HK"/>
    <d v="2022-03-10T00:00:00"/>
    <x v="0"/>
    <m/>
    <m/>
    <m/>
    <s v="C180632532"/>
    <n v="302"/>
  </r>
  <r>
    <n v="1520"/>
    <x v="0"/>
    <s v="C49"/>
    <n v="110896"/>
    <s v="Dongguan Yidong"/>
    <x v="1"/>
    <s v="R-&gt;L"/>
    <s v="MVC+ATS15"/>
    <s v="Y60580"/>
    <n v="1"/>
    <s v="力合仓库(已经清关)"/>
    <d v="2022-06-02T00:00:00"/>
    <s v="NM PO110995"/>
    <s v="SEP 22"/>
    <n v="2022.5"/>
    <s v="JPY"/>
    <s v="C49SZX20210215MZ"/>
    <x v="320"/>
    <s v="YSM10"/>
    <s v="L-&gt;R"/>
    <s v="MVC+ATS15"/>
    <s v="WRONG"/>
    <s v="DAP SZ"/>
    <d v="2021-12-10T00:00:00"/>
    <x v="0"/>
    <m/>
    <m/>
    <m/>
    <s v="C220342452"/>
    <n v="312"/>
  </r>
  <r>
    <n v="1521"/>
    <x v="0"/>
    <s v="C49"/>
    <n v="110896"/>
    <s v="Dongguan Yidong"/>
    <x v="1"/>
    <s v="R-&gt;L"/>
    <s v="MVC+ATS15"/>
    <s v="Y60581"/>
    <n v="1"/>
    <s v="力合仓库(已经清关)"/>
    <d v="2022-06-02T00:00:00"/>
    <s v="NM PO110995"/>
    <s v="SEP 22"/>
    <n v="2022.5"/>
    <s v="JPY"/>
    <s v="C49SZX20210215MZ"/>
    <x v="320"/>
    <s v="YSM10"/>
    <s v="L-&gt;R"/>
    <s v="MVC+ATS15"/>
    <s v="WRONG"/>
    <s v="DAP SZ"/>
    <d v="2021-12-10T00:00:00"/>
    <x v="0"/>
    <m/>
    <m/>
    <m/>
    <s v="C220342452"/>
    <n v="312"/>
  </r>
  <r>
    <n v="1734"/>
    <x v="0"/>
    <s v="C49"/>
    <n v="110896"/>
    <s v="Dongguan Yidong"/>
    <x v="1"/>
    <s v="R-&gt;L"/>
    <s v="MVC+ATS15"/>
    <s v="Y60582"/>
    <n v="1"/>
    <s v="力合仓库(已经清关)"/>
    <d v="2022-06-02T00:00:00"/>
    <s v="0.0502，RMB清关"/>
    <s v="SEP 22"/>
    <n v="2022.5"/>
    <s v="RMB"/>
    <s v="C49SZX20220102DZ"/>
    <x v="10"/>
    <s v="YSM10"/>
    <s v="L-&gt;R"/>
    <s v="MVC+ATS15"/>
    <s v="WRONG"/>
    <s v="DDP JX"/>
    <d v="2022-09-30T00:00:00"/>
    <x v="0"/>
    <m/>
    <m/>
    <m/>
    <s v="C190534728"/>
    <n v="312"/>
  </r>
  <r>
    <s v="上海预留"/>
    <x v="0"/>
    <s v="C49"/>
    <n v="110863"/>
    <s v="深圳比泰利"/>
    <x v="12"/>
    <s v="L-&gt;R"/>
    <s v="cATS10+MVC+special layout"/>
    <s v="Y61453"/>
    <n v="1"/>
    <s v="力合仓库(已经清关)"/>
    <d v="2022-06-02T00:00:00"/>
    <s v="0.05345，RMB清关"/>
    <s v="FEB 23"/>
    <n v="2022.5"/>
    <s v="RMB"/>
    <s v="C49CTUSHA20221203/FZM"/>
    <x v="346"/>
    <s v="YSM20R-2"/>
    <s v="L-&gt;R"/>
    <s v="cATS10+MVC+special layout"/>
    <s v="OK"/>
    <e v="#N/A"/>
    <e v="#N/A"/>
    <x v="1"/>
    <m/>
    <m/>
    <m/>
    <s v="SHA客户"/>
    <n v="301"/>
  </r>
  <r>
    <n v="1343"/>
    <x v="0"/>
    <s v="C49"/>
    <n v="110865"/>
    <s v="SZ 伯莱科"/>
    <x v="12"/>
    <s v="L-&gt;R"/>
    <s v="No"/>
    <s v="Y61441"/>
    <n v="1"/>
    <s v="力合仓库(已经清关)"/>
    <d v="2022-06-02T00:00:00"/>
    <s v="NM PO110949 STK"/>
    <s v="JUL 22"/>
    <n v="2022.5"/>
    <s v="JPY"/>
    <s v="C49SZX20210118R1JY"/>
    <x v="228"/>
    <s v="YSM20R-2"/>
    <s v="L-&gt;R"/>
    <s v="No"/>
    <s v="OK"/>
    <s v="DAP SZ"/>
    <d v="2021-04-20T00:00:00"/>
    <x v="0"/>
    <m/>
    <m/>
    <m/>
    <s v="C210139127"/>
    <n v="301"/>
  </r>
  <r>
    <n v="1643"/>
    <x v="0"/>
    <s v="C49"/>
    <n v="110868"/>
    <s v="SZ 盈通恒翼"/>
    <x v="12"/>
    <s v="L-&gt;R"/>
    <s v="No"/>
    <s v="Y61439"/>
    <n v="1"/>
    <s v="力合中转仓"/>
    <d v="2022-06-02T00:00:00"/>
    <s v="NM 110882 STOCK"/>
    <s v="JUN 22"/>
    <n v="2022.5"/>
    <s v="JPY"/>
    <s v="C49SZX20220046JL"/>
    <x v="344"/>
    <s v="YSM20R-2"/>
    <s v="L-&gt;R"/>
    <s v="No"/>
    <s v="OK"/>
    <s v="DAP SZ"/>
    <d v="2022-04-18T00:00:00"/>
    <x v="0"/>
    <m/>
    <m/>
    <m/>
    <s v="C220141863"/>
    <n v="301"/>
  </r>
  <r>
    <n v="1604"/>
    <x v="0"/>
    <s v="C28"/>
    <n v="110877"/>
    <s v="通达科信"/>
    <x v="9"/>
    <s v="L-&gt;R"/>
    <s v="No"/>
    <s v="Y61691"/>
    <n v="1"/>
    <s v="CY仓库"/>
    <d v="2022-06-08T00:00:00"/>
    <s v="NM"/>
    <s v="JUN 22"/>
    <n v="2022.5"/>
    <s v="JPY"/>
    <s v="C49SZX20220028R1SX"/>
    <x v="316"/>
    <s v="YCP10"/>
    <s v="L-&gt;R"/>
    <s v="No"/>
    <s v="OK"/>
    <s v="CIF HK"/>
    <d v="2022-03-07T00:00:00"/>
    <x v="0"/>
    <m/>
    <m/>
    <m/>
    <s v="IND"/>
    <m/>
  </r>
  <r>
    <n v="1005"/>
    <x v="0"/>
    <s v="C49"/>
    <n v="110910"/>
    <s v="Stock order"/>
    <x v="1"/>
    <s v="R-&gt;L"/>
    <s v="No"/>
    <s v="Y57566"/>
    <n v="1"/>
    <s v="CY仓库"/>
    <d v="2022-06-08T00:00:00"/>
    <s v="NM 110965 STK "/>
    <s v="JUL 22"/>
    <n v="2022.5"/>
    <s v="JPY"/>
    <s v="C49SZX20200233JL"/>
    <x v="22"/>
    <s v="YSM10"/>
    <s v="L-&gt;R"/>
    <s v="MVC"/>
    <s v="WRONG"/>
    <s v="CIF HK"/>
    <d v="2020-12-10T00:00:00"/>
    <x v="0"/>
    <m/>
    <m/>
    <m/>
    <s v="C220242050"/>
    <n v="301"/>
  </r>
  <r>
    <n v="1697"/>
    <x v="0"/>
    <s v="C49"/>
    <n v="110871"/>
    <s v="SZ 骏仁达"/>
    <x v="1"/>
    <s v="R-&gt;L"/>
    <s v="MVC F&amp;R"/>
    <s v="Y61437"/>
    <n v="1"/>
    <s v="力合仓库(已经清关)"/>
    <d v="2022-06-12T00:00:00"/>
    <s v="Yamaha RMB单49F104105"/>
    <s v="JUL 22"/>
    <n v="2022.5"/>
    <s v="RMB"/>
    <s v="C49SZX20220053SS"/>
    <x v="347"/>
    <s v="YSM10"/>
    <s v="L-&gt;R"/>
    <s v="MVC"/>
    <s v="WRONG"/>
    <s v="DDP DG"/>
    <d v="2022-07-08T00:00:00"/>
    <x v="0"/>
    <m/>
    <m/>
    <m/>
    <s v="C220543035"/>
    <n v="301"/>
  </r>
  <r>
    <n v="1705"/>
    <x v="0"/>
    <s v="C49"/>
    <n v="110887"/>
    <s v="拓普艾名义"/>
    <x v="1"/>
    <s v="R-&gt;L"/>
    <s v="MVC F&amp;R+ATS15"/>
    <s v="Y61568"/>
    <n v="1"/>
    <s v="CY仓库"/>
    <d v="2022-06-12T00:00:00"/>
    <s v="NM"/>
    <s v="AUG 22"/>
    <n v="2022.5"/>
    <s v="JPY"/>
    <s v="C49SZX20220073DZ"/>
    <x v="10"/>
    <s v="YSM10"/>
    <s v="L-&gt;R"/>
    <s v="MVC+ATS15"/>
    <s v="WRONG"/>
    <s v="CIF HK"/>
    <d v="2022-07-12T00:00:00"/>
    <x v="0"/>
    <m/>
    <m/>
    <m/>
    <s v="C190534728"/>
    <n v="301"/>
  </r>
  <r>
    <n v="1615"/>
    <x v="0"/>
    <s v="C49"/>
    <s v="110875(拆单110975）"/>
    <s v="DG 普德新星"/>
    <x v="1"/>
    <s v="R-&gt;L"/>
    <s v="MVC F&amp;R"/>
    <s v="Y61446"/>
    <n v="1"/>
    <s v="力合中转仓"/>
    <d v="2022-06-13T00:00:00"/>
    <s v="0.0512，JPY PO 110951"/>
    <s v="AUG 22"/>
    <n v="2022.5"/>
    <s v="JPY"/>
    <s v="C49SZX20220033JL"/>
    <x v="345"/>
    <s v="YSM10"/>
    <s v="L-&gt;R"/>
    <s v="MVC"/>
    <s v="WRONG"/>
    <s v="CIF HK"/>
    <d v="2022-03-10T00:00:00"/>
    <x v="0"/>
    <m/>
    <m/>
    <m/>
    <s v="C180632532"/>
    <n v="302"/>
  </r>
  <r>
    <n v="1616"/>
    <x v="0"/>
    <s v="C49"/>
    <n v="110875"/>
    <s v="DG 普德新星"/>
    <x v="1"/>
    <s v="R-&gt;L"/>
    <s v="MVC F&amp;R"/>
    <s v="Y61447"/>
    <n v="1"/>
    <s v="力合中转仓"/>
    <d v="2022-06-13T00:00:00"/>
    <s v="0.0512，JPY PO 110951"/>
    <s v="AUG 22"/>
    <n v="2022.5"/>
    <s v="JPY"/>
    <s v="C49SZX20220033JL"/>
    <x v="345"/>
    <s v="YSM10"/>
    <s v="L-&gt;R"/>
    <s v="MVC"/>
    <s v="WRONG"/>
    <s v="CIF HK"/>
    <d v="2022-03-10T00:00:00"/>
    <x v="0"/>
    <m/>
    <m/>
    <m/>
    <s v="C180632532"/>
    <n v="302"/>
  </r>
  <r>
    <n v="1617"/>
    <x v="0"/>
    <s v="C49"/>
    <n v="110935"/>
    <s v="正创名义下单 CD#03946"/>
    <x v="1"/>
    <s v="R-&gt;L"/>
    <s v="No"/>
    <s v="Y57065"/>
    <n v="1"/>
    <s v="力合中转仓"/>
    <d v="2022-06-13T00:00:00"/>
    <s v="0.0512，JPY PO 110951"/>
    <s v="AUG 22"/>
    <n v="2022.5"/>
    <s v="JPY"/>
    <s v="C49SZX20220033JL"/>
    <x v="345"/>
    <s v="YSM10"/>
    <s v="L-&gt;R"/>
    <s v="MVC"/>
    <s v="WRONG"/>
    <s v="CIF HK"/>
    <d v="2022-03-10T00:00:00"/>
    <x v="0"/>
    <m/>
    <m/>
    <m/>
    <s v="C180632532"/>
    <n v="301"/>
  </r>
  <r>
    <n v="1680"/>
    <x v="0"/>
    <s v="C49"/>
    <n v="110935"/>
    <s v="正创名义下单 CD#03946"/>
    <x v="1"/>
    <s v="R-&gt;L"/>
    <s v="No"/>
    <s v="Y57066"/>
    <n v="1"/>
    <s v="力合仓库(已经清关)"/>
    <d v="2022-06-13T00:00:00"/>
    <s v="0.0527,RMB清关"/>
    <s v="JUL 22"/>
    <n v="2022.5"/>
    <s v="RMB"/>
    <s v="C49SZX20220067SQ"/>
    <x v="348"/>
    <s v="YSM10"/>
    <s v="L-&gt;R"/>
    <s v="No"/>
    <s v="WRONG"/>
    <s v="DDP FS"/>
    <d v="2022-06-08T00:00:00"/>
    <x v="0"/>
    <m/>
    <m/>
    <m/>
    <s v="C220643152"/>
    <n v="301"/>
  </r>
  <r>
    <n v="1443"/>
    <x v="0"/>
    <s v="C49"/>
    <n v="110949"/>
    <s v="Stock order"/>
    <x v="12"/>
    <s v="L-&gt;R"/>
    <s v="No"/>
    <s v="Y58205"/>
    <n v="1"/>
    <s v="力合中转仓"/>
    <d v="2022-06-18T00:00:00"/>
    <s v="NM"/>
    <s v="JUN 22"/>
    <n v="2022.6"/>
    <s v="JPY"/>
    <s v="C49SZX20210176R1JY"/>
    <x v="7"/>
    <s v="YSM20R-2"/>
    <s v="L-&gt;R"/>
    <s v="No"/>
    <s v="OK"/>
    <s v="DAP SZ"/>
    <d v="2021-06-25T00:00:00"/>
    <x v="0"/>
    <m/>
    <m/>
    <m/>
    <s v="C170529430"/>
    <n v="301"/>
  </r>
  <r>
    <n v="1444"/>
    <x v="0"/>
    <s v="C49"/>
    <n v="110949"/>
    <s v="Stock order"/>
    <x v="12"/>
    <s v="L-&gt;R"/>
    <s v="No"/>
    <s v="Y58206"/>
    <n v="1"/>
    <s v="力合中转仓"/>
    <d v="2022-06-18T00:00:00"/>
    <s v="NM"/>
    <s v="JUN 22"/>
    <n v="2022.6"/>
    <s v="JPY"/>
    <s v="C49SZX20210176R1JY"/>
    <x v="7"/>
    <s v="YSM20R-2"/>
    <s v="L-&gt;R"/>
    <s v="No"/>
    <s v="OK"/>
    <s v="DAP SZ"/>
    <d v="2021-06-25T00:00:00"/>
    <x v="0"/>
    <m/>
    <m/>
    <m/>
    <s v="C170529430"/>
    <n v="301"/>
  </r>
  <r>
    <n v="1696"/>
    <x v="0"/>
    <s v="C49"/>
    <n v="110949"/>
    <s v="Stock order"/>
    <x v="12"/>
    <s v="L-&gt;R"/>
    <s v="No"/>
    <s v="Y58209"/>
    <n v="1"/>
    <s v="力合仓库(已经清关)"/>
    <d v="2022-06-18T00:00:00"/>
    <s v="0.0492，RMB清关 110962（拆单111022）"/>
    <s v="JUL 22"/>
    <n v="2022.6"/>
    <s v="RMB"/>
    <s v="C49SZX20220053SS"/>
    <x v="347"/>
    <s v="YSM20R-2"/>
    <s v="L-&gt;R"/>
    <s v="No"/>
    <s v="OK"/>
    <s v="DDP DG"/>
    <d v="2022-07-08T00:00:00"/>
    <x v="0"/>
    <m/>
    <m/>
    <m/>
    <s v="C220543035"/>
    <n v="301"/>
  </r>
  <r>
    <n v="1744"/>
    <x v="0"/>
    <s v="C49"/>
    <n v="110809"/>
    <s v="Dongguan Yidong"/>
    <x v="1"/>
    <s v="R-&gt;L"/>
    <s v="MVC+ATS15"/>
    <s v="Y60583"/>
    <n v="1"/>
    <s v="力合仓库(已经清关)"/>
    <d v="2022-06-24T00:00:00"/>
    <s v="0.0503,RMB清关"/>
    <s v="OCT 22"/>
    <n v="2022.5"/>
    <s v="RMB"/>
    <s v="C49SZX20220107DZ"/>
    <x v="10"/>
    <s v="YSM10"/>
    <s v="L-&gt;R"/>
    <s v="MVC+ATS15"/>
    <s v="WRONG"/>
    <s v="DDP SZ"/>
    <d v="2022-10-12T00:00:00"/>
    <x v="0"/>
    <m/>
    <m/>
    <m/>
    <s v="C190534728"/>
    <n v="301"/>
  </r>
  <r>
    <n v="1745"/>
    <x v="0"/>
    <s v="C49"/>
    <n v="110809"/>
    <s v="Dongguan Yidong"/>
    <x v="1"/>
    <s v="R-&gt;L"/>
    <s v="MVC+ATS15"/>
    <s v="Y60584"/>
    <n v="1"/>
    <s v="力合仓库(已经清关)"/>
    <d v="2022-06-24T00:00:00"/>
    <s v="0.0503,RMB清关"/>
    <s v="OCT 22"/>
    <n v="2022.5"/>
    <s v="RMB"/>
    <s v="C49SZX20220107DZ"/>
    <x v="10"/>
    <s v="YSM10"/>
    <s v="R-&gt;L"/>
    <s v="MVC+ATS15"/>
    <s v="OK"/>
    <s v="DDP SZ"/>
    <d v="2022-10-12T00:00:00"/>
    <x v="0"/>
    <m/>
    <m/>
    <m/>
    <s v="C190534728"/>
    <n v="301"/>
  </r>
  <r>
    <n v="1749"/>
    <x v="0"/>
    <s v="C49"/>
    <n v="110809"/>
    <s v="Dongguan Yidong"/>
    <x v="1"/>
    <s v="R-&gt;L"/>
    <s v="MVC+ATS15"/>
    <s v="Y60585"/>
    <n v="1"/>
    <s v="力合仓库(已经清关)"/>
    <d v="2022-06-24T00:00:00"/>
    <s v="0.0503,RMB清关"/>
    <s v="NOV 22"/>
    <n v="2022.5"/>
    <s v="RMB"/>
    <s v="C49SZX20220111MZ"/>
    <x v="84"/>
    <s v="YSM10"/>
    <s v="L-&gt;R"/>
    <s v="MVC+ATS15"/>
    <s v="WRONG"/>
    <s v="DDP SZ"/>
    <d v="2022-10-28T00:00:00"/>
    <x v="0"/>
    <m/>
    <m/>
    <m/>
    <s v="C210740701"/>
    <n v="301"/>
  </r>
  <r>
    <n v="1759"/>
    <x v="0"/>
    <s v="C49"/>
    <n v="110809"/>
    <s v="Dongguan Yidong"/>
    <x v="1"/>
    <s v="R-&gt;L"/>
    <s v="MVC+ATS15"/>
    <s v="Y60586"/>
    <n v="1"/>
    <s v="力合仓库(已经清关)"/>
    <d v="2022-06-24T00:00:00"/>
    <s v="0.0503,RMB清关"/>
    <s v="NOV 22"/>
    <n v="2022.5"/>
    <s v="RMB"/>
    <s v="C49SZX20220117DZ"/>
    <x v="10"/>
    <s v="YSM10"/>
    <s v="L-&gt;R"/>
    <s v="MVC+ATS15"/>
    <s v="WRONG"/>
    <s v="DDP SZ"/>
    <d v="2022-11-14T00:00:00"/>
    <x v="0"/>
    <m/>
    <m/>
    <m/>
    <s v="C190534728"/>
    <n v="311"/>
  </r>
  <r>
    <n v="1760"/>
    <x v="0"/>
    <s v="C49"/>
    <n v="110918"/>
    <s v="魔乐视"/>
    <x v="1"/>
    <s v="R-&gt;L"/>
    <s v="MVC F&amp;R+ATS15"/>
    <s v="Y61975"/>
    <n v="1"/>
    <s v="力合仓库(已经清关)"/>
    <d v="2022-06-27T00:00:00"/>
    <s v="0.0498,RMB清关"/>
    <s v="NOV 22"/>
    <n v="2022.6"/>
    <s v="RMB"/>
    <s v="C49SZX20220117DZ"/>
    <x v="10"/>
    <s v="YSM10"/>
    <s v="L-&gt;R"/>
    <s v="MVC+ATS15"/>
    <s v="WRONG"/>
    <s v="DDP SZ"/>
    <d v="2022-11-14T00:00:00"/>
    <x v="0"/>
    <m/>
    <m/>
    <m/>
    <s v="C190534728"/>
    <n v="301"/>
  </r>
  <r>
    <n v="1761"/>
    <x v="0"/>
    <s v="C49"/>
    <n v="110918"/>
    <s v="魔乐视"/>
    <x v="1"/>
    <s v="R-&gt;L"/>
    <s v="MVC F&amp;R+ATS15"/>
    <s v="Y61976"/>
    <n v="1"/>
    <s v="力合仓库(已经清关)"/>
    <d v="2022-06-27T00:00:00"/>
    <s v="0.0498,RMB清关"/>
    <s v="NOV 22"/>
    <n v="2022.6"/>
    <s v="RMB"/>
    <s v="C49SZX20220117DZ"/>
    <x v="10"/>
    <s v="YSM10"/>
    <s v="R-&gt;L"/>
    <s v="MVC+ATS15"/>
    <s v="WRONG"/>
    <s v="DDP SZ"/>
    <d v="2022-11-14T00:00:00"/>
    <x v="0"/>
    <m/>
    <m/>
    <m/>
    <s v="C190534728"/>
    <n v="301"/>
  </r>
  <r>
    <n v="1435"/>
    <x v="0"/>
    <s v="C49"/>
    <n v="110921"/>
    <s v="和创永泰"/>
    <x v="1"/>
    <s v="R-&gt;L"/>
    <s v="MVC F&amp;R"/>
    <s v="Y61977"/>
    <n v="1"/>
    <s v="力合中转仓"/>
    <d v="2022-06-27T00:00:00"/>
    <s v="NM PO 110954"/>
    <s v="AUG 22"/>
    <n v="2022.6"/>
    <s v="JPY"/>
    <s v="C49SZX20210173AY"/>
    <x v="349"/>
    <s v="YSM10"/>
    <s v="L-&gt;R"/>
    <s v="No"/>
    <s v="WRONG"/>
    <s v="DAP SZ"/>
    <d v="2021-06-22T00:00:00"/>
    <x v="0"/>
    <m/>
    <m/>
    <m/>
    <s v="C220843506"/>
    <n v="301"/>
  </r>
  <r>
    <n v="1629"/>
    <x v="0"/>
    <s v="C49"/>
    <n v="110930"/>
    <s v="辉拓"/>
    <x v="1"/>
    <s v="R-&gt;L"/>
    <s v="MVC+ATS15"/>
    <s v="Y62066"/>
    <n v="1"/>
    <s v="力合中转仓"/>
    <d v="2022-06-27T00:00:00"/>
    <n v="5.2699999999999997E-2"/>
    <s v="JUL 22"/>
    <n v="2022.6"/>
    <s v="JPY"/>
    <s v="C49SZX20220035R1SS"/>
    <x v="109"/>
    <s v="YSM10"/>
    <s v="L-&gt;R"/>
    <s v="MVC+ATS15"/>
    <s v="WRONG"/>
    <s v="DAP SZ"/>
    <d v="2022-03-21T00:00:00"/>
    <x v="0"/>
    <m/>
    <m/>
    <m/>
    <s v="C220442706"/>
    <n v="301"/>
  </r>
  <r>
    <n v="1646"/>
    <x v="0"/>
    <s v="C49"/>
    <n v="110924"/>
    <s v="深圳顺禾 "/>
    <x v="1"/>
    <s v="R-&gt;L"/>
    <s v="MVC F&amp;R"/>
    <s v="Y61962"/>
    <n v="1"/>
    <s v="力合中转仓"/>
    <d v="2022-06-27T00:00:00"/>
    <s v="0.0512,JPY单PO110997"/>
    <s v="AUG 22"/>
    <n v="2022.6"/>
    <s v="JPY"/>
    <s v="C49SZX20220046JL"/>
    <x v="344"/>
    <s v="YSM10"/>
    <s v="L-&gt;R"/>
    <s v="MVC"/>
    <s v="WRONG"/>
    <s v="DAP SZ"/>
    <d v="2022-04-18T00:00:00"/>
    <x v="0"/>
    <m/>
    <m/>
    <m/>
    <s v="C220141863"/>
    <n v="301"/>
  </r>
  <r>
    <n v="1699"/>
    <x v="0"/>
    <s v="C49"/>
    <n v="110922"/>
    <s v="东莞鸿楠"/>
    <x v="1"/>
    <s v="R-&gt;L"/>
    <s v="MVC F&amp;R"/>
    <s v="Y61968,机器不能调动"/>
    <n v="1"/>
    <s v="力合仓库(已经清关)"/>
    <d v="2022-06-27T00:00:00"/>
    <s v="0.0503,RMB清关"/>
    <s v="SEP 22"/>
    <n v="2022.6"/>
    <s v="RMB"/>
    <s v="C49SZX20220079JL"/>
    <x v="147"/>
    <s v="YSM10"/>
    <s v="L-&gt;R"/>
    <s v="MVC"/>
    <s v="WRONG"/>
    <s v="DDP  DG"/>
    <d v="2022-07-09T00:00:00"/>
    <x v="0"/>
    <m/>
    <m/>
    <m/>
    <s v="C191136061"/>
    <n v="301"/>
  </r>
  <r>
    <n v="1717"/>
    <x v="0"/>
    <s v="C49"/>
    <n v="110922"/>
    <s v="东莞鸿楠"/>
    <x v="1"/>
    <s v="R-&gt;L"/>
    <s v="MVC F&amp;R"/>
    <s v="Y61969"/>
    <n v="1"/>
    <s v="力合仓库(已经清关)"/>
    <d v="2022-06-27T00:00:00"/>
    <s v="0.0503,RMB清关"/>
    <s v="SEP 22"/>
    <n v="2022.6"/>
    <s v="RMB"/>
    <s v="C49SZX20220090SQ"/>
    <x v="350"/>
    <s v="YSM10"/>
    <s v="L-&gt;R"/>
    <s v="MVC"/>
    <s v="WRONG"/>
    <s v="DDP SZ"/>
    <d v="2022-08-18T00:00:00"/>
    <x v="0"/>
    <m/>
    <m/>
    <m/>
    <s v="C220943712"/>
    <n v="301"/>
  </r>
  <r>
    <n v="1542"/>
    <x v="0"/>
    <s v="C49"/>
    <n v="110922"/>
    <s v="东莞鸿楠"/>
    <x v="1"/>
    <s v="R-&gt;L"/>
    <s v="MVC F&amp;R"/>
    <s v="Y61970"/>
    <n v="1"/>
    <s v="力合仓库(已经清关)"/>
    <d v="2022-06-27T00:00:00"/>
    <s v="NM PO#110956"/>
    <s v="SEP 22"/>
    <n v="2022.6"/>
    <s v="JPY"/>
    <s v="C49SZX20220004EC"/>
    <x v="30"/>
    <s v="YSM10"/>
    <s v="L-&gt;R"/>
    <s v="MVC"/>
    <s v="WRONG"/>
    <s v="DAP SZ"/>
    <d v="2022-01-07T00:00:00"/>
    <x v="0"/>
    <m/>
    <m/>
    <m/>
    <s v="C220342280"/>
    <n v="302"/>
  </r>
  <r>
    <n v="1728"/>
    <x v="0"/>
    <s v="C49"/>
    <n v="110922"/>
    <s v="东莞鸿楠"/>
    <x v="1"/>
    <s v="R-&gt;L"/>
    <s v="MVC F&amp;R"/>
    <s v="Y61971"/>
    <n v="1"/>
    <s v="力合仓库(已经清关)"/>
    <d v="2022-06-27T00:00:00"/>
    <s v="0.0503,RMB清关"/>
    <s v="OCT 22"/>
    <n v="2022.6"/>
    <s v="RMB"/>
    <s v="C49SZX20220100SS"/>
    <x v="35"/>
    <s v="YSM10"/>
    <s v="R-&gt;L"/>
    <s v="MVC"/>
    <s v="WRONG"/>
    <s v="DDP SZ"/>
    <d v="2022-09-21T00:00:00"/>
    <x v="0"/>
    <m/>
    <m/>
    <m/>
    <s v="C210640351"/>
    <n v="302"/>
  </r>
  <r>
    <n v="1762"/>
    <x v="0"/>
    <s v="C49"/>
    <n v="110919"/>
    <s v="深圳朗特"/>
    <x v="1"/>
    <s v="R-&gt;L"/>
    <s v="MVC F&amp;R+ATS15"/>
    <s v="Y62022"/>
    <n v="1"/>
    <s v="力合仓库(已经清关)"/>
    <d v="2022-06-27T00:00:00"/>
    <s v="0.0513,RMB清关"/>
    <s v="NOV 22"/>
    <n v="2022.6"/>
    <s v="RMB"/>
    <s v="C49SZX20220117DZ"/>
    <x v="10"/>
    <s v="YSM10"/>
    <s v="R-&gt;L"/>
    <s v="MVC+ATS15"/>
    <s v="WRONG"/>
    <s v="DDP SZ"/>
    <d v="2022-11-14T00:00:00"/>
    <x v="0"/>
    <m/>
    <m/>
    <m/>
    <s v="C190534728"/>
    <n v="301"/>
  </r>
  <r>
    <n v="1785"/>
    <x v="0"/>
    <s v="C49"/>
    <n v="110919"/>
    <s v="深圳朗特"/>
    <x v="1"/>
    <s v="R-&gt;L"/>
    <s v="MVC F&amp;R+ATS15"/>
    <s v="Y62023"/>
    <n v="1"/>
    <s v="力合仓库(已经清关)"/>
    <d v="2022-06-27T00:00:00"/>
    <s v="0.0513,RMB清关"/>
    <s v="DEC 22"/>
    <n v="2022.6"/>
    <s v="RMB"/>
    <s v="C49SZX20220127EC"/>
    <x v="174"/>
    <s v="YSM10"/>
    <s v="L-&gt;R"/>
    <s v="MVC+ATS15"/>
    <s v="WRONG"/>
    <s v="DDP SZ"/>
    <d v="2022-12-19T00:00:00"/>
    <x v="0"/>
    <m/>
    <m/>
    <m/>
    <s v="C200737827"/>
    <n v="301"/>
  </r>
  <r>
    <n v="1786"/>
    <x v="0"/>
    <s v="C49"/>
    <n v="110919"/>
    <s v="深圳朗特"/>
    <x v="1"/>
    <s v="R-&gt;L"/>
    <s v="MVC F&amp;R+ATS15"/>
    <s v="Y62024"/>
    <n v="1"/>
    <s v="力合仓库(已经清关)"/>
    <d v="2022-06-27T00:00:00"/>
    <s v="0.0513,RMB清关"/>
    <s v="DEC 22"/>
    <n v="2022.6"/>
    <s v="RMB"/>
    <s v="C49SZX20220127EC"/>
    <x v="174"/>
    <s v="YSM10"/>
    <s v="R-&gt;L"/>
    <s v="MVC+ATS15"/>
    <s v="WRONG"/>
    <s v="DDP SZ"/>
    <d v="2022-12-19T00:00:00"/>
    <x v="0"/>
    <m/>
    <m/>
    <m/>
    <s v="C200737827"/>
    <n v="301"/>
  </r>
  <r>
    <n v="1721"/>
    <x v="0"/>
    <s v="C49"/>
    <s v="110919(拆单110927）"/>
    <s v="深圳朗特"/>
    <x v="1"/>
    <s v="R-&gt;L"/>
    <s v="MVC F&amp;R"/>
    <s v="Y62025"/>
    <n v="1"/>
    <s v="力合仓库(已经清关)"/>
    <d v="2022-06-27T00:00:00"/>
    <s v="0.0503，JPY单PO#110996"/>
    <s v="OCT 22"/>
    <n v="2022.6"/>
    <s v="JPY"/>
    <s v="C49SZX20220096JL"/>
    <x v="351"/>
    <s v="YSM10"/>
    <s v="L-&gt;R"/>
    <s v="MVC"/>
    <s v="WRONG"/>
    <s v="DAP SZ"/>
    <d v="2022-09-15T00:00:00"/>
    <x v="0"/>
    <m/>
    <m/>
    <m/>
    <s v="C200837908"/>
    <n v="302"/>
  </r>
  <r>
    <n v="1722"/>
    <x v="0"/>
    <s v="C49"/>
    <n v="110919"/>
    <s v="深圳朗特"/>
    <x v="1"/>
    <s v="R-&gt;L"/>
    <s v="MVC F&amp;R"/>
    <s v="Y62026"/>
    <n v="1"/>
    <s v="力合仓库(已经清关)"/>
    <d v="2022-06-27T00:00:00"/>
    <s v="0.0503，JPY单PO#110996"/>
    <s v="OCT 22"/>
    <n v="2022.6"/>
    <s v="JPY"/>
    <s v="C49SZX20220096JL"/>
    <x v="351"/>
    <s v="YSM10"/>
    <s v="R-&gt;L"/>
    <s v="MVC"/>
    <s v="WRONG"/>
    <s v="DAP SZ"/>
    <d v="2022-09-15T00:00:00"/>
    <x v="0"/>
    <m/>
    <m/>
    <m/>
    <s v="C200837908"/>
    <n v="302"/>
  </r>
  <r>
    <n v="1723"/>
    <x v="0"/>
    <s v="C49"/>
    <n v="110919"/>
    <s v="深圳朗特"/>
    <x v="1"/>
    <s v="R-&gt;L"/>
    <s v="MVC F&amp;R"/>
    <s v="Y62027"/>
    <n v="1"/>
    <s v="力合仓库(已经清关)"/>
    <d v="2022-06-27T00:00:00"/>
    <s v="NM,PO#111002"/>
    <s v="OCT 22"/>
    <n v="2022.6"/>
    <s v="JPY"/>
    <s v="C49SZX20220096JL"/>
    <x v="351"/>
    <s v="YSM10"/>
    <s v="R-&gt;L"/>
    <s v="MVC"/>
    <s v="WRONG"/>
    <s v="DAP SZ"/>
    <d v="2022-09-15T00:00:00"/>
    <x v="0"/>
    <m/>
    <m/>
    <m/>
    <s v="C200837908"/>
    <n v="302"/>
  </r>
  <r>
    <n v="1746"/>
    <x v="0"/>
    <s v="C49"/>
    <n v="110923"/>
    <s v="芯联鑫"/>
    <x v="1"/>
    <s v="R-&gt;L"/>
    <s v="MVC F&amp;R"/>
    <s v="Y61978"/>
    <n v="1"/>
    <s v="力合仓库(已经清关)"/>
    <d v="2022-07-04T00:00:00"/>
    <s v="0.0498,RMB清关"/>
    <s v="OCT 22"/>
    <n v="2022.6"/>
    <s v="RMB"/>
    <s v="C49SZX20220108SX"/>
    <x v="224"/>
    <s v="YSM10"/>
    <s v="R-&gt;L"/>
    <s v="MVC"/>
    <s v="WRONG"/>
    <s v="DDP FS"/>
    <d v="2022-10-12T00:00:00"/>
    <x v="0"/>
    <m/>
    <m/>
    <m/>
    <s v="C210239281"/>
    <n v="313"/>
  </r>
  <r>
    <n v="1763"/>
    <x v="0"/>
    <s v="C49"/>
    <n v="110923"/>
    <s v="芯联鑫"/>
    <x v="1"/>
    <s v="R-&gt;L"/>
    <s v="MVC F&amp;R"/>
    <s v="Y61979"/>
    <n v="1"/>
    <s v="力合仓库(已经清关)"/>
    <d v="2022-07-04T00:00:00"/>
    <s v="0.0512,RMB清关PO#110997"/>
    <s v="DEC 22"/>
    <n v="2022.6"/>
    <s v="RMB"/>
    <s v="C49SZX20220122SX"/>
    <x v="305"/>
    <s v="YSM10"/>
    <s v="L-&gt;R"/>
    <s v="MVC"/>
    <s v="WRONG"/>
    <s v="DDP HZ"/>
    <d v="2022-11-22T00:00:00"/>
    <x v="0"/>
    <m/>
    <m/>
    <m/>
    <s v="C210640541"/>
    <n v="304"/>
  </r>
  <r>
    <n v="1672"/>
    <x v="0"/>
    <s v="C49"/>
    <n v="110917"/>
    <s v="东莞鸿楠"/>
    <x v="12"/>
    <s v="R-&gt;L"/>
    <s v="No"/>
    <s v="Y61972"/>
    <n v="1"/>
    <s v="力合中转仓"/>
    <d v="2022-07-04T00:00:00"/>
    <n v="5.0299999999999997E-2"/>
    <s v="JUL 22"/>
    <n v="2022.6"/>
    <s v="JPY"/>
    <s v="C49SZX20220060DZ"/>
    <x v="8"/>
    <s v="YSM20R-2"/>
    <s v="R-&gt;L"/>
    <s v="No"/>
    <s v="OK"/>
    <s v="CIF HK"/>
    <d v="2022-05-24T00:00:00"/>
    <x v="0"/>
    <m/>
    <m/>
    <m/>
    <s v="C200637592"/>
    <n v="301"/>
  </r>
  <r>
    <n v="1688"/>
    <x v="0"/>
    <s v="C49"/>
    <n v="110917"/>
    <s v="东莞鸿楠"/>
    <x v="12"/>
    <s v="R-&gt;L"/>
    <s v="No"/>
    <s v="Y61973"/>
    <n v="1"/>
    <s v="力合仓库(已经清关)"/>
    <d v="2022-07-04T00:00:00"/>
    <n v="5.0299999999999997E-2"/>
    <s v="JUL 22"/>
    <n v="2022.6"/>
    <s v="RMB"/>
    <s v="C49SZX20220072DZ"/>
    <x v="10"/>
    <s v="YSM20R-2"/>
    <s v="R-&gt;L"/>
    <s v="No"/>
    <s v="OK"/>
    <s v="DDP SZ"/>
    <d v="2022-06-22T00:00:00"/>
    <x v="0"/>
    <m/>
    <m/>
    <m/>
    <s v="C220342453"/>
    <n v="311"/>
  </r>
  <r>
    <n v="1695"/>
    <x v="0"/>
    <s v="C49"/>
    <n v="110917"/>
    <s v="东莞鸿楠"/>
    <x v="12"/>
    <s v="R-&gt;L"/>
    <s v="No"/>
    <s v="Y61974"/>
    <n v="1"/>
    <s v="力合仓库(已经清关)"/>
    <d v="2022-07-04T00:00:00"/>
    <s v="0.0503,RMB清关"/>
    <s v="JUL 22"/>
    <n v="2022.6"/>
    <s v="RMB"/>
    <s v="C49SZX20220077SS"/>
    <x v="35"/>
    <s v="YSM20R-2"/>
    <s v="R-&gt;L"/>
    <s v="No"/>
    <s v="OK"/>
    <s v="DDP SZ"/>
    <d v="2022-07-05T00:00:00"/>
    <x v="0"/>
    <m/>
    <m/>
    <m/>
    <s v="C210640351"/>
    <n v="302"/>
  </r>
  <r>
    <n v="1715"/>
    <x v="0"/>
    <s v="C49"/>
    <n v="110931"/>
    <s v="快宇"/>
    <x v="1"/>
    <s v="R-&gt;L"/>
    <s v="MVC"/>
    <s v="Y62067"/>
    <n v="1"/>
    <s v="力合仓库(已经清关)"/>
    <d v="2022-07-04T00:00:00"/>
    <s v="0.0527,RMB清关"/>
    <s v="AUG 22"/>
    <n v="2022.6"/>
    <s v="RMB"/>
    <s v="C49SZX20220088SX"/>
    <x v="0"/>
    <s v="YSM10"/>
    <s v="L-&gt;R"/>
    <s v="MVC"/>
    <s v="WRONG"/>
    <s v="DDP SZ"/>
    <d v="2022-08-10T00:00:00"/>
    <x v="0"/>
    <m/>
    <m/>
    <m/>
    <s v="C200537294"/>
    <n v="301"/>
  </r>
  <r>
    <n v="1700"/>
    <x v="0"/>
    <s v="C49"/>
    <n v="110931"/>
    <s v="快宇"/>
    <x v="1"/>
    <s v="R-&gt;L"/>
    <s v="MVC"/>
    <s v="Y62068，机器不能调动"/>
    <n v="1"/>
    <s v="力合仓库(已经清关)"/>
    <d v="2022-07-04T00:00:00"/>
    <s v="0.0527,RMB清关"/>
    <s v="SEP 22"/>
    <n v="2022.6"/>
    <s v="RMB"/>
    <s v="C49SZX20220079JL"/>
    <x v="147"/>
    <s v="YSM10"/>
    <s v="L-&gt;R"/>
    <s v="MVC"/>
    <s v="WRONG"/>
    <s v="DDP  DG"/>
    <d v="2022-07-09T00:00:00"/>
    <x v="0"/>
    <m/>
    <m/>
    <m/>
    <s v="C191136061"/>
    <n v="301"/>
  </r>
  <r>
    <n v="1730"/>
    <x v="0"/>
    <s v="C49"/>
    <n v="110932"/>
    <s v="赛美达"/>
    <x v="1"/>
    <s v="R-&gt;L"/>
    <s v="MVC F&amp;R"/>
    <s v="Y62071（拆除1个相机，放在力合）"/>
    <n v="1"/>
    <s v="力合仓库(已经清关)"/>
    <d v="2022-07-04T00:00:00"/>
    <s v="NM PO 111095"/>
    <s v="DEC 22"/>
    <n v="2022.6"/>
    <s v="JPY"/>
    <s v="C49SZX20220099JY"/>
    <x v="107"/>
    <s v="YSM10"/>
    <s v="R-&gt;L"/>
    <s v="MVC"/>
    <s v="WRONG"/>
    <m/>
    <d v="2022-09-22T00:00:00"/>
    <x v="0"/>
    <m/>
    <m/>
    <m/>
    <s v="C221043971"/>
    <n v="301"/>
  </r>
  <r>
    <n v="1777"/>
    <x v="0"/>
    <s v="C49"/>
    <n v="110965"/>
    <s v="正创名义下单 CD#03946"/>
    <x v="1"/>
    <s v="R-&gt;L"/>
    <s v="No"/>
    <s v="Y57067"/>
    <n v="1"/>
    <s v="力合仓库(已经清关)"/>
    <d v="2022-07-04T00:00:00"/>
    <s v="Yamaha RMB 单49F104103"/>
    <s v="APR 23"/>
    <n v="2022.6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1"/>
  </r>
  <r>
    <s v="上海预留"/>
    <x v="0"/>
    <s v="C49"/>
    <n v="110920"/>
    <s v="博睿通"/>
    <x v="1"/>
    <s v="R-&gt;L"/>
    <s v="MVC F&amp;R+ATS15"/>
    <s v="Y62028（拆除1个相机，放在力合）"/>
    <n v="1"/>
    <s v="力合仓库(已经清关)"/>
    <d v="2022-07-04T00:00:00"/>
    <s v="0.0502，RMB清关 PO110896"/>
    <s v="MAR 23"/>
    <n v="2022.6"/>
    <s v="RMB"/>
    <s v="苏州朋协智控科技有限公司 "/>
    <x v="352"/>
    <s v="YSM10"/>
    <s v="L-&gt;R"/>
    <s v="MVC+ATS15"/>
    <s v="WRONG"/>
    <e v="#N/A"/>
    <e v="#N/A"/>
    <x v="1"/>
    <m/>
    <m/>
    <m/>
    <s v="SHA客户"/>
    <n v="303"/>
  </r>
  <r>
    <n v="1524"/>
    <x v="0"/>
    <s v="C49"/>
    <n v="110920"/>
    <s v="博睿通"/>
    <x v="1"/>
    <s v="R-&gt;L"/>
    <s v="MVC F&amp;R"/>
    <s v="Y62029"/>
    <n v="1"/>
    <s v="力合中转仓"/>
    <d v="2022-07-04T00:00:00"/>
    <s v="NM"/>
    <s v="AUG 22"/>
    <n v="2022.6"/>
    <s v="JPY"/>
    <s v="C49SZX20210220SX"/>
    <x v="137"/>
    <s v="YSM10"/>
    <s v="R-&gt;L"/>
    <s v="MVC"/>
    <s v="WRONG"/>
    <s v="DAP SZ"/>
    <d v="2021-12-17T00:00:00"/>
    <x v="0"/>
    <m/>
    <m/>
    <m/>
    <s v="C200236775"/>
    <n v="304"/>
  </r>
  <r>
    <n v="1626"/>
    <x v="0"/>
    <s v="C49"/>
    <n v="110916"/>
    <s v=" SZ 中润互联"/>
    <x v="12"/>
    <s v="R-&gt;L"/>
    <s v="No"/>
    <s v="Y61966"/>
    <n v="1"/>
    <s v="力合中转仓"/>
    <d v="2022-07-04T00:00:00"/>
    <s v="NM"/>
    <s v="JUL 22"/>
    <n v="2022.6"/>
    <s v="JPY"/>
    <s v="C49SZX20220035R1SS"/>
    <x v="109"/>
    <s v="YSM20R-2"/>
    <s v="R-&gt;L"/>
    <s v="No"/>
    <s v="OK"/>
    <s v="DAP SZ"/>
    <d v="2022-03-21T00:00:00"/>
    <x v="0"/>
    <m/>
    <m/>
    <m/>
    <s v="C220442706"/>
    <n v="301"/>
  </r>
  <r>
    <n v="1627"/>
    <x v="0"/>
    <s v="C49"/>
    <n v="110916"/>
    <s v=" SZ 中润互联"/>
    <x v="12"/>
    <s v="R-&gt;L"/>
    <s v="No"/>
    <s v="Y61967"/>
    <n v="1"/>
    <s v="力合中转仓"/>
    <d v="2022-07-04T00:00:00"/>
    <s v="NM"/>
    <s v="JUL 22"/>
    <n v="2022.6"/>
    <s v="JPY"/>
    <s v="C49SZX20220035R1SS"/>
    <x v="109"/>
    <s v="YSM20R-2"/>
    <s v="R-&gt;L"/>
    <s v="No"/>
    <s v="OK"/>
    <s v="DAP SZ"/>
    <d v="2022-03-21T00:00:00"/>
    <x v="0"/>
    <m/>
    <m/>
    <m/>
    <s v="C220442706"/>
    <n v="301"/>
  </r>
  <r>
    <n v="1625"/>
    <x v="0"/>
    <s v="C49"/>
    <n v="110933"/>
    <s v="诺亚兴 "/>
    <x v="12"/>
    <s v="L-&gt;R"/>
    <s v="No"/>
    <s v="Y62072"/>
    <n v="1"/>
    <s v="力合中转仓"/>
    <d v="2022-07-08T00:00:00"/>
    <s v="NM"/>
    <s v="JUL 22"/>
    <n v="2022.6"/>
    <s v="JPY"/>
    <s v="C49SZX20220035R1SS"/>
    <x v="109"/>
    <s v="YSM20R-2"/>
    <s v="L-&gt;R"/>
    <s v="No"/>
    <s v="OK"/>
    <s v="DDP SZ"/>
    <d v="2022-03-21T00:00:00"/>
    <x v="0"/>
    <m/>
    <m/>
    <m/>
    <s v="C220442706"/>
    <n v="301"/>
  </r>
  <r>
    <n v="1600"/>
    <x v="0"/>
    <s v="C49"/>
    <n v="110934"/>
    <s v="友艺"/>
    <x v="12"/>
    <s v="L-&gt;R"/>
    <s v="No"/>
    <s v="Y62073"/>
    <n v="1"/>
    <s v="力合中转仓"/>
    <d v="2022-07-08T00:00:00"/>
    <s v="NM"/>
    <s v="JUL 22"/>
    <n v="2022.6"/>
    <s v="JPY"/>
    <s v="C49SZX20220024VC"/>
    <x v="353"/>
    <s v="YSM20R-2"/>
    <s v="L-&gt;R"/>
    <s v="No"/>
    <s v="OK"/>
    <s v="DAP SZ"/>
    <d v="2022-02-28T00:00:00"/>
    <x v="0"/>
    <m/>
    <m/>
    <m/>
    <s v="IND"/>
    <n v="301"/>
  </r>
  <r>
    <n v="1003"/>
    <x v="0"/>
    <s v="C49"/>
    <n v="110948"/>
    <s v="Stock order"/>
    <x v="12"/>
    <s v="L-&gt;R"/>
    <s v="No"/>
    <s v="Y58098"/>
    <n v="1"/>
    <s v="CY仓库"/>
    <d v="2022-07-14T00:00:00"/>
    <n v="5.1200000000000002E-2"/>
    <s v="JUL 22"/>
    <n v="2022.6"/>
    <s v="JPY"/>
    <s v="C49SZX20200233JL"/>
    <x v="22"/>
    <s v="YSM20R-2"/>
    <s v="L-&gt;R"/>
    <s v="No"/>
    <s v="OK"/>
    <s v="CIF HK"/>
    <d v="2020-12-10T00:00:00"/>
    <x v="0"/>
    <m/>
    <m/>
    <m/>
    <s v="C220242050"/>
    <n v="302"/>
  </r>
  <r>
    <n v="1819"/>
    <x v="0"/>
    <s v="C49"/>
    <n v="110915"/>
    <s v="比泰利"/>
    <x v="12"/>
    <s v="L-&gt;R"/>
    <s v="Feeder Carriage"/>
    <s v="Y61963"/>
    <n v="1"/>
    <s v="前海仓库-&gt;准备清关"/>
    <d v="2022-07-14T00:00:00"/>
    <n v="5.2699999999999997E-2"/>
    <s v="MAR 23"/>
    <n v="2022.6"/>
    <s v="RMB"/>
    <s v="C49SZX20230007SX"/>
    <x v="354"/>
    <s v="YSM20R-2"/>
    <s v="L-&gt;R"/>
    <s v="Feeder Carriage"/>
    <s v="OK"/>
    <s v="DDP ZH"/>
    <d v="2023-01-16T00:00:00"/>
    <x v="0"/>
    <m/>
    <m/>
    <m/>
    <s v="C230244908"/>
    <n v="301"/>
  </r>
  <r>
    <n v="1820"/>
    <x v="0"/>
    <s v="C49"/>
    <n v="110915"/>
    <s v="比泰利"/>
    <x v="12"/>
    <s v="L-&gt;R"/>
    <s v="Feeder Carriage"/>
    <s v="Y61964"/>
    <n v="1"/>
    <s v="前海仓库-&gt;准备清关"/>
    <d v="2022-07-14T00:00:00"/>
    <n v="5.2699999999999997E-2"/>
    <s v="MAR 23"/>
    <n v="2022.6"/>
    <s v="RMB"/>
    <s v="C49SZX20230007SX"/>
    <x v="354"/>
    <s v="YSM20R-2"/>
    <s v="L-&gt;R"/>
    <s v="Feeder Carriage"/>
    <s v="OK"/>
    <s v="DDP ZH"/>
    <d v="2023-01-16T00:00:00"/>
    <x v="0"/>
    <m/>
    <m/>
    <m/>
    <s v="C230244908"/>
    <n v="302"/>
  </r>
  <r>
    <n v="1817"/>
    <x v="0"/>
    <s v="C49"/>
    <n v="110915"/>
    <s v="比泰利"/>
    <x v="12"/>
    <s v="L-&gt;R"/>
    <s v="cATS10+MVC+Feeder Carriage"/>
    <s v="Y61965"/>
    <n v="1"/>
    <s v="前海仓库-&gt;准备清关"/>
    <d v="2022-07-14T00:00:00"/>
    <n v="5.2699999999999997E-2"/>
    <s v="MAR 23"/>
    <n v="2022.6"/>
    <s v="RMB"/>
    <s v="C49SZX20230007SX"/>
    <x v="354"/>
    <s v="YSM20R-2"/>
    <s v="L-&gt;R"/>
    <s v="cATS10+MVC+Feeder Carriage"/>
    <s v="OK"/>
    <s v="DDP ZH"/>
    <d v="2023-01-16T00:00:00"/>
    <x v="0"/>
    <m/>
    <m/>
    <m/>
    <s v="C230244908"/>
    <n v="312"/>
  </r>
  <r>
    <n v="1778"/>
    <x v="0"/>
    <s v="C49"/>
    <n v="110951"/>
    <s v="中润互联"/>
    <x v="1"/>
    <s v="R-&gt;L"/>
    <s v="MVC F&amp;R"/>
    <s v="Y62310（拆除1个相机，放在力合）"/>
    <n v="1"/>
    <s v="力合仓库(已经清关)"/>
    <d v="2022-07-27T00:00:00"/>
    <s v=" 0.0527,RMB清关 PO#110875(拆单110975）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1"/>
  </r>
  <r>
    <n v="1779"/>
    <x v="0"/>
    <s v="C49"/>
    <n v="110951"/>
    <s v="中润互联"/>
    <x v="1"/>
    <s v="R-&gt;L"/>
    <s v="MVC F&amp;R"/>
    <s v="Y62311（拆除1个相机，放在力合）"/>
    <n v="1"/>
    <s v="力合仓库(已经清关)"/>
    <d v="2022-07-27T00:00:00"/>
    <s v="0.050,RMB清关 PO110875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2"/>
  </r>
  <r>
    <n v="1780"/>
    <x v="0"/>
    <s v="C49"/>
    <n v="110951"/>
    <s v="           "/>
    <x v="1"/>
    <s v="R-&gt;L"/>
    <s v="MVC F&amp;R"/>
    <s v="Y62312（拆除1个相机，放在力合）"/>
    <n v="1"/>
    <s v="力合仓库(已经清关)"/>
    <d v="2022-07-27T00:00:00"/>
    <s v="0.0527,RMB清关 PO110935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12"/>
  </r>
  <r>
    <n v="1630"/>
    <x v="0"/>
    <s v="C49"/>
    <n v="110957"/>
    <s v="中润互联"/>
    <x v="12"/>
    <s v="L-&gt;R"/>
    <s v="No"/>
    <s v="Y62315"/>
    <n v="1"/>
    <s v="力合中转仓"/>
    <d v="2022-07-27T00:00:00"/>
    <n v="5.1200000000000002E-2"/>
    <s v="AUG 22"/>
    <n v="2022.7"/>
    <s v="JPY"/>
    <s v="C49SZX20220036SS"/>
    <x v="168"/>
    <s v="YSM20R-2"/>
    <s v="L-&gt;R"/>
    <s v="No"/>
    <s v="OK"/>
    <s v="DAP SZ"/>
    <d v="2022-03-21T00:00:00"/>
    <x v="0"/>
    <m/>
    <m/>
    <m/>
    <s v="C200737853"/>
    <n v="301"/>
  </r>
  <r>
    <n v="1653"/>
    <x v="0"/>
    <s v="C49"/>
    <n v="110957"/>
    <s v="中润互联"/>
    <x v="12"/>
    <s v="L-&gt;R"/>
    <s v="No"/>
    <s v="Y62314"/>
    <n v="1"/>
    <s v="力合中转仓"/>
    <d v="2022-07-27T00:00:00"/>
    <n v="5.1200000000000002E-2"/>
    <s v="AUG 22"/>
    <n v="2022.7"/>
    <s v="JPY"/>
    <s v="C49SZX20220049JY"/>
    <x v="238"/>
    <s v="YSM20R-2"/>
    <s v="L-&gt;R"/>
    <s v="No"/>
    <s v="OK"/>
    <s v="CIF HK"/>
    <d v="2022-04-21T00:00:00"/>
    <x v="0"/>
    <m/>
    <m/>
    <m/>
    <s v="C220442711"/>
    <n v="302"/>
  </r>
  <r>
    <n v="1523"/>
    <x v="0"/>
    <s v="C49"/>
    <n v="110957"/>
    <s v="中润互联"/>
    <x v="12"/>
    <s v="L-&gt;R"/>
    <s v="No"/>
    <s v="Y62313"/>
    <n v="1"/>
    <s v="力合中转仓"/>
    <d v="2022-07-27T00:00:00"/>
    <n v="5.1200000000000002E-2"/>
    <s v="AUG 22"/>
    <n v="2022.7"/>
    <s v="JPY"/>
    <s v="C49SZX20210220SX"/>
    <x v="137"/>
    <s v="YSM20R-2"/>
    <s v="L-&gt;R"/>
    <s v="No"/>
    <s v="OK"/>
    <s v="DAP SZ"/>
    <d v="2021-12-17T00:00:00"/>
    <x v="0"/>
    <m/>
    <m/>
    <m/>
    <s v="C200236775"/>
    <n v="304"/>
  </r>
  <r>
    <n v="1664"/>
    <x v="0"/>
    <s v="C49"/>
    <n v="110962"/>
    <s v="骏仁达"/>
    <x v="12"/>
    <s v="L-&gt;R"/>
    <s v="No"/>
    <s v="Y62343"/>
    <n v="1"/>
    <s v="力合中转仓"/>
    <d v="2022-07-31T00:00:00"/>
    <m/>
    <s v="AUG 22"/>
    <n v="2022.7"/>
    <s v="JPY"/>
    <s v="C49SZX20220051DZ"/>
    <x v="355"/>
    <s v="YSM20R-2"/>
    <s v="L-&gt;R"/>
    <s v="MVC"/>
    <s v="WRONG"/>
    <s v="CIF HK"/>
    <d v="2022-04-29T00:00:00"/>
    <x v="0"/>
    <m/>
    <m/>
    <m/>
    <s v="C181233587"/>
    <n v="301"/>
  </r>
  <r>
    <n v="1731"/>
    <x v="0"/>
    <s v="C49"/>
    <s v="110962（拆单111022）"/>
    <s v="骏仁达"/>
    <x v="12"/>
    <s v="L-&gt;R"/>
    <s v="No"/>
    <s v="Y62344，抽中调离商检"/>
    <n v="1"/>
    <s v="力合仓库(已经清关)"/>
    <d v="2022-07-31T00:00:00"/>
    <s v=" Yamaha RMB单 49F104103"/>
    <s v="OCT 22"/>
    <n v="2022.7"/>
    <s v="RMB"/>
    <s v="C49SZX20220098MZ"/>
    <x v="293"/>
    <s v="YSM20R-2"/>
    <s v="L-&gt;R"/>
    <s v="No"/>
    <s v="OK"/>
    <s v="DDP HN"/>
    <d v="2022-09-23T00:00:00"/>
    <x v="0"/>
    <m/>
    <m/>
    <m/>
    <s v="C221043973"/>
    <n v="301"/>
  </r>
  <r>
    <n v="1781"/>
    <x v="0"/>
    <s v="C49"/>
    <n v="110953"/>
    <s v="志华鑫名义下单"/>
    <x v="1"/>
    <s v="R-&gt;L"/>
    <s v="MVC"/>
    <s v="Y62322"/>
    <n v="1"/>
    <s v="力合仓库(已经清关)"/>
    <d v="2022-07-31T00:00:00"/>
    <s v="0.0498,RMB清关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1"/>
  </r>
  <r>
    <n v="1782"/>
    <x v="0"/>
    <s v="C49"/>
    <n v="110953"/>
    <s v="志华鑫名义下单"/>
    <x v="1"/>
    <s v="R-&gt;L"/>
    <s v="MVC"/>
    <s v="Y62323，抽中调离商检"/>
    <n v="1"/>
    <s v="力合仓库(已经清关)"/>
    <d v="2022-07-31T00:00:00"/>
    <s v="0.0498,RMB清关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2"/>
  </r>
  <r>
    <n v="1854"/>
    <x v="0"/>
    <s v="C49"/>
    <n v="110952"/>
    <s v="利速达"/>
    <x v="1"/>
    <s v="R-&gt;L"/>
    <s v="MVC"/>
    <s v="Y62324，抽中调离商检"/>
    <n v="1"/>
    <s v="力合仓库(已经清关)"/>
    <d v="2022-07-31T00:00:00"/>
    <s v="0.0498,RMB清关"/>
    <s v="MAR 23"/>
    <n v="2022.7"/>
    <s v="RMB"/>
    <s v="C49SZX20230030JY"/>
    <x v="343"/>
    <s v="YSM10"/>
    <s v="L-&gt;R"/>
    <s v="MVC"/>
    <s v="WRONG"/>
    <s v="DDP SZ"/>
    <d v="2023-02-23T00:00:00"/>
    <x v="0"/>
    <m/>
    <m/>
    <m/>
    <s v="C220342243"/>
    <n v="302"/>
  </r>
  <r>
    <n v="1718"/>
    <x v="0"/>
    <s v="C49"/>
    <s v="110961（拆单111023）"/>
    <s v="钧溢"/>
    <x v="12"/>
    <s v="L-&gt;R"/>
    <s v="No"/>
    <s v="Y62345"/>
    <n v="1"/>
    <s v="力合仓库(已经清关)"/>
    <d v="2022-07-31T00:00:00"/>
    <s v="NM 110960(拆单111038)"/>
    <s v="SEP 22"/>
    <n v="2022.7"/>
    <s v="RMB"/>
    <s v="C49SZX20220090SQ"/>
    <x v="350"/>
    <s v="YSM20R-2"/>
    <s v="L-&gt;R"/>
    <s v="No"/>
    <s v="OK"/>
    <s v="DDP SZ"/>
    <d v="2022-08-18T00:00:00"/>
    <x v="0"/>
    <m/>
    <m/>
    <m/>
    <s v="C220943712"/>
    <n v="301"/>
  </r>
  <r>
    <n v="1518"/>
    <x v="0"/>
    <s v="C49"/>
    <n v="110961"/>
    <s v="钧溢"/>
    <x v="12"/>
    <s v="L-&gt;R"/>
    <s v="No"/>
    <s v="Y62346"/>
    <n v="1"/>
    <s v="力合中转仓"/>
    <d v="2022-07-31T00:00:00"/>
    <s v="NM"/>
    <s v="SEP 22"/>
    <n v="2022.7"/>
    <s v="JPY"/>
    <s v="C49SZX20210215MZ"/>
    <x v="320"/>
    <s v="YSM20R-2"/>
    <s v="L-&gt;R"/>
    <s v="No"/>
    <s v="OK"/>
    <s v="DAP SZ"/>
    <d v="2021-12-10T00:00:00"/>
    <x v="0"/>
    <m/>
    <m/>
    <m/>
    <s v="C220342452"/>
    <n v="301"/>
  </r>
  <r>
    <n v="1171"/>
    <x v="0"/>
    <s v="C49"/>
    <s v="110960(拆单111038)"/>
    <s v="辉拓"/>
    <x v="12"/>
    <s v="L-&gt;R"/>
    <s v="No"/>
    <s v="Y62340"/>
    <n v="1"/>
    <s v="力合中转仓"/>
    <d v="2022-07-31T00:00:00"/>
    <s v="NM,PO 110988"/>
    <s v="AUG 22"/>
    <n v="2022.7"/>
    <s v="JPY"/>
    <s v="C49SZX20210049MX"/>
    <x v="154"/>
    <s v="YSM20R-2"/>
    <s v="L-&gt;R"/>
    <s v="No"/>
    <s v="OK"/>
    <s v="DAP SZ"/>
    <d v="2021-03-01T00:00:00"/>
    <x v="0"/>
    <m/>
    <m/>
    <m/>
    <s v="C210440011"/>
    <n v="313"/>
  </r>
  <r>
    <n v="1709"/>
    <x v="0"/>
    <s v="C49"/>
    <n v="110960"/>
    <s v="辉拓"/>
    <x v="12"/>
    <s v="L-&gt;R"/>
    <s v="No"/>
    <s v="Y62341"/>
    <n v="1"/>
    <s v="力合仓库(已经清关)"/>
    <d v="2022-07-31T00:00:00"/>
    <n v="4.9799999999999997E-2"/>
    <s v="AUG 22"/>
    <n v="2022.7"/>
    <s v="RMB"/>
    <s v="C49SZX20220080JY"/>
    <x v="319"/>
    <s v="YSM20R-2"/>
    <s v="L-&gt;R"/>
    <s v="No"/>
    <s v="OK"/>
    <s v="DDP SZ"/>
    <d v="2022-07-20T00:00:00"/>
    <x v="0"/>
    <m/>
    <m/>
    <m/>
    <s v="C151125547"/>
    <n v="301"/>
  </r>
  <r>
    <n v="1747"/>
    <x v="0"/>
    <s v="C49"/>
    <n v="110960"/>
    <s v="辉拓"/>
    <x v="12"/>
    <s v="L-&gt;R"/>
    <s v="No"/>
    <s v="Y62342"/>
    <n v="1"/>
    <s v="力合中转仓"/>
    <d v="2022-07-31T00:00:00"/>
    <n v="4.9799999999999997E-2"/>
    <s v="OCT 22"/>
    <n v="2022.7"/>
    <s v="JPY"/>
    <s v="C49SZX20220103SS"/>
    <x v="356"/>
    <s v="YSM20R-2"/>
    <s v="L-&gt;R"/>
    <s v="MVC"/>
    <s v="WRONG"/>
    <s v="DAP CS"/>
    <d v="2022-10-12T00:00:00"/>
    <x v="0"/>
    <m/>
    <m/>
    <m/>
    <s v="C221144426"/>
    <n v="304"/>
  </r>
  <r>
    <n v="1814"/>
    <x v="0"/>
    <s v="C49"/>
    <n v="110954"/>
    <s v="恒磊"/>
    <x v="1"/>
    <s v="R-&gt;L"/>
    <s v="MVC"/>
    <s v="Y62325"/>
    <n v="1"/>
    <s v="力合仓库(已经清关)"/>
    <d v="2022-07-31T00:00:00"/>
    <s v="0.0498,RMB清关 PO110921"/>
    <s v="JAN 23"/>
    <n v="2022.7"/>
    <s v="RMB"/>
    <s v="C49SZX20230010SX"/>
    <x v="185"/>
    <s v="YSM10"/>
    <s v="L-&gt;R"/>
    <s v="MVC"/>
    <s v="WRONG"/>
    <s v="DDP SZ"/>
    <d v="2023-01-12T00:00:00"/>
    <x v="0"/>
    <m/>
    <m/>
    <m/>
    <s v="C200938204"/>
    <n v="304"/>
  </r>
  <r>
    <n v="1666"/>
    <x v="0"/>
    <s v="C49"/>
    <n v="110954"/>
    <s v="恒磊"/>
    <x v="1"/>
    <s v="R-&gt;L"/>
    <s v="MVC"/>
    <s v="Y62326，机器不能调动"/>
    <n v="1"/>
    <s v="力合中转仓"/>
    <d v="2022-07-31T00:00:00"/>
    <s v="NM"/>
    <s v="SEP 22"/>
    <n v="2022.7"/>
    <s v="JPY"/>
    <s v="C49SZX20220055SX"/>
    <x v="16"/>
    <s v="YSM10"/>
    <s v="L-&gt;R"/>
    <s v="MVC"/>
    <s v="WRONG"/>
    <s v="DAP SZ"/>
    <d v="2022-05-10T00:00:00"/>
    <x v="0"/>
    <m/>
    <m/>
    <m/>
    <s v="C180732624 "/>
    <n v="301"/>
  </r>
  <r>
    <n v="1644"/>
    <x v="0"/>
    <s v="C49"/>
    <n v="110958"/>
    <s v="伯莱科"/>
    <x v="12"/>
    <s v="L-&gt;R"/>
    <s v="No"/>
    <s v="Y62328"/>
    <n v="1"/>
    <s v="力合中转仓"/>
    <d v="2022-07-31T00:00:00"/>
    <s v="NM"/>
    <s v="AUG 22"/>
    <n v="2022.7"/>
    <s v="JPY"/>
    <s v="C49SZX20220046JL"/>
    <x v="344"/>
    <s v="YSM20R-2"/>
    <s v="L-&gt;R"/>
    <s v="No"/>
    <s v="OK"/>
    <s v="DAP SZ"/>
    <d v="2022-04-18T00:00:00"/>
    <x v="0"/>
    <m/>
    <m/>
    <m/>
    <s v="C220141863"/>
    <n v="301"/>
  </r>
  <r>
    <n v="1665"/>
    <x v="0"/>
    <s v="C49"/>
    <n v="110958"/>
    <s v="伯莱科"/>
    <x v="12"/>
    <s v="L-&gt;R"/>
    <s v="No"/>
    <s v="Y62329，机器不能调动"/>
    <n v="1"/>
    <s v="力合中转仓"/>
    <d v="2022-07-31T00:00:00"/>
    <s v="NM"/>
    <s v="SEP 22"/>
    <n v="2022.7"/>
    <s v="JPY"/>
    <s v="C49SZX20220055SX"/>
    <x v="16"/>
    <s v="YSM20R-2"/>
    <s v="L-&gt;R"/>
    <s v="No"/>
    <s v="OK"/>
    <s v="DAP SZ"/>
    <d v="2022-05-10T00:00:00"/>
    <x v="0"/>
    <m/>
    <m/>
    <m/>
    <s v="C211241805"/>
    <n v="301"/>
  </r>
  <r>
    <n v="1821"/>
    <x v="0"/>
    <s v="C49"/>
    <n v="110956"/>
    <s v="鑫天泰"/>
    <x v="1"/>
    <s v="R-&gt;L"/>
    <s v="MVC"/>
    <s v="Y62327(拆相机放在力合）"/>
    <n v="1"/>
    <s v="力合仓库(已经清关)"/>
    <d v="2022-07-31T00:00:00"/>
    <s v="0.0503,RMB清关 PO#110922"/>
    <s v="FEB 23"/>
    <n v="2022.7"/>
    <s v="RMB"/>
    <s v="C49SZX202300011SX"/>
    <x v="188"/>
    <s v="YSM10"/>
    <s v="L-&gt;R"/>
    <s v="No"/>
    <s v="WRONG"/>
    <s v="DDP SZ"/>
    <d v="2023-02-03T00:00:00"/>
    <x v="0"/>
    <m/>
    <m/>
    <m/>
    <s v="C200938214"/>
    <n v="301"/>
  </r>
  <r>
    <n v="1609"/>
    <x v="0"/>
    <s v="C49"/>
    <n v="110959"/>
    <s v="拓普艾名义"/>
    <x v="12"/>
    <s v="L-&gt;R"/>
    <s v="No"/>
    <s v="Y62389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11"/>
  </r>
  <r>
    <n v="1610"/>
    <x v="0"/>
    <s v="C49"/>
    <n v="110959"/>
    <s v="拓普艾名义"/>
    <x v="12"/>
    <s v="L-&gt;R"/>
    <s v="No"/>
    <s v="Y62392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2"/>
  </r>
  <r>
    <n v="1611"/>
    <x v="0"/>
    <s v="C49"/>
    <n v="110959"/>
    <s v="拓普艾名义"/>
    <x v="12"/>
    <s v="L-&gt;R"/>
    <s v="No"/>
    <s v="Y62393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2"/>
  </r>
  <r>
    <n v="1612"/>
    <x v="0"/>
    <s v="C49"/>
    <n v="110959"/>
    <s v="拓普艾名义"/>
    <x v="12"/>
    <s v="L-&gt;R"/>
    <s v="No"/>
    <s v="Y62394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1"/>
  </r>
  <r>
    <n v="1613"/>
    <x v="0"/>
    <s v="C49"/>
    <n v="110959"/>
    <s v="拓普艾名义"/>
    <x v="12"/>
    <s v="L-&gt;R"/>
    <s v="No"/>
    <s v="Y62387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1"/>
  </r>
  <r>
    <n v="1701"/>
    <x v="0"/>
    <s v="C49"/>
    <n v="110959"/>
    <s v="拓普艾名义"/>
    <x v="12"/>
    <s v="L-&gt;R"/>
    <s v="No"/>
    <s v="Y62388"/>
    <n v="1"/>
    <s v="CY仓库"/>
    <d v="2022-08-01T00:00:00"/>
    <s v="NM"/>
    <s v="AUG 22"/>
    <n v="2022.7"/>
    <s v="JPY"/>
    <s v="C49SZX20220073DZ"/>
    <x v="10"/>
    <s v="YSM20R-2"/>
    <s v="L-&gt;R"/>
    <s v="No"/>
    <s v="OK"/>
    <s v="CIF HK"/>
    <d v="2022-07-12T00:00:00"/>
    <x v="0"/>
    <m/>
    <m/>
    <m/>
    <s v="C190534728"/>
    <n v="301"/>
  </r>
  <r>
    <n v="1702"/>
    <x v="0"/>
    <s v="C49"/>
    <n v="110959"/>
    <s v="拓普艾名义"/>
    <x v="12"/>
    <s v="L-&gt;R"/>
    <s v="No"/>
    <s v="Y62390"/>
    <n v="1"/>
    <s v="CY仓库"/>
    <d v="2022-08-01T00:00:00"/>
    <s v="NM"/>
    <s v="AUG 22"/>
    <n v="2022.7"/>
    <s v="JPY"/>
    <s v="C49SZX20220073DZ"/>
    <x v="10"/>
    <s v="YSM20R-2"/>
    <s v="L-&gt;R"/>
    <s v="No"/>
    <s v="OK"/>
    <s v="CIF HK"/>
    <d v="2022-07-12T00:00:00"/>
    <x v="0"/>
    <m/>
    <m/>
    <m/>
    <s v="C190534728"/>
    <n v="301"/>
  </r>
  <r>
    <n v="1703"/>
    <x v="0"/>
    <s v="C49"/>
    <s v="110959（拆单111021）"/>
    <s v="拓普艾名义"/>
    <x v="12"/>
    <s v="L-&gt;R"/>
    <s v="No"/>
    <s v="Y62391"/>
    <n v="1"/>
    <s v="CY仓库"/>
    <d v="2022-08-01T00:00:00"/>
    <n v="4.9200000000000001E-2"/>
    <s v="AUG 22"/>
    <n v="2022.7"/>
    <s v="JPY"/>
    <s v="C49SZX20220073DZ"/>
    <x v="10"/>
    <s v="YSM20R-2"/>
    <s v="L-&gt;R"/>
    <s v="No"/>
    <s v="OK"/>
    <s v="CIF HK"/>
    <d v="2022-07-12T00:00:00"/>
    <x v="0"/>
    <m/>
    <m/>
    <m/>
    <s v="C190534728"/>
    <n v="301"/>
  </r>
  <r>
    <n v="1706"/>
    <x v="0"/>
    <s v="C49"/>
    <n v="110963"/>
    <s v="辉拓"/>
    <x v="1"/>
    <s v="R-&gt;L"/>
    <s v="MVC"/>
    <s v="Y62339"/>
    <n v="1"/>
    <s v="CY仓库"/>
    <d v="2022-08-01T00:00:00"/>
    <s v="NM"/>
    <s v="AUG 22"/>
    <n v="2022.7"/>
    <s v="JPY"/>
    <s v="C49SZX20220073DZ"/>
    <x v="10"/>
    <s v="YSM10"/>
    <s v="L-&gt;R"/>
    <s v="MVC"/>
    <s v="WRONG"/>
    <s v="CIF HK"/>
    <d v="2022-07-12T00:00:00"/>
    <x v="0"/>
    <m/>
    <m/>
    <m/>
    <s v="C190534728"/>
    <n v="303"/>
  </r>
  <r>
    <n v="1791"/>
    <x v="0"/>
    <s v="C49"/>
    <s v="110995（TT）"/>
    <s v=" SZ 奥祺(Special)"/>
    <x v="1"/>
    <s v="R-&gt;L"/>
    <s v="MVC+ATS15"/>
    <s v="Y62550"/>
    <n v="1"/>
    <s v="力合仓库(已经清关)"/>
    <d v="2022-08-08T00:00:00"/>
    <s v="0.0502，RMB清关 PO110896"/>
    <s v="JAN 23"/>
    <n v="2022.7"/>
    <s v="RMB"/>
    <s v="C49SZX20220141SS"/>
    <x v="357"/>
    <s v="YSM10"/>
    <s v="R-&gt;L"/>
    <s v="MVC+ATS15"/>
    <s v="OK"/>
    <s v="DDP SZ"/>
    <d v="2022-12-21T00:00:00"/>
    <x v="0"/>
    <m/>
    <m/>
    <m/>
    <s v="C200236762"/>
    <n v="301"/>
  </r>
  <r>
    <n v="1866"/>
    <x v="0"/>
    <s v="C49"/>
    <s v="110995（TT）"/>
    <s v=" SZ 奥祺(Special)"/>
    <x v="1"/>
    <s v="R-&gt;L"/>
    <s v="MVC+ATS15"/>
    <s v="Y62551"/>
    <n v="1"/>
    <s v="力合仓库(已经清关)"/>
    <d v="2022-08-08T00:00:00"/>
    <s v="0.0502，RMB清关 PO110896"/>
    <s v="MAR 23"/>
    <n v="2022.7"/>
    <s v="RMB"/>
    <s v="C49SZX20230035SX"/>
    <x v="358"/>
    <s v="YSM10"/>
    <s v="R-&gt;L"/>
    <s v="MVC+ATS15"/>
    <s v="OK"/>
    <s v="DDP SZ"/>
    <d v="2023-03-01T00:00:00"/>
    <x v="0"/>
    <m/>
    <m/>
    <m/>
    <s v="C230345148 "/>
    <n v="301"/>
  </r>
  <r>
    <n v="1711"/>
    <x v="0"/>
    <s v="C49"/>
    <s v="110998（TT）"/>
    <s v="精德鸿(Special)"/>
    <x v="1"/>
    <s v="R-&gt;L"/>
    <s v="MVC+ATS15"/>
    <s v="Y62552"/>
    <n v="1"/>
    <s v="力合仓库(已经清关)"/>
    <d v="2022-08-08T00:00:00"/>
    <s v="0.0527,JPY单PO110929"/>
    <s v="SEP 22"/>
    <n v="2022.7"/>
    <s v="JPY"/>
    <s v="C49SZX20220084DZ"/>
    <x v="10"/>
    <s v="YSM10"/>
    <s v="R-&gt;L"/>
    <s v="MVC F&amp;R+ATS15+MVC"/>
    <s v="WRONG"/>
    <s v="CIF HK"/>
    <d v="2022-07-26T00:00:00"/>
    <x v="0"/>
    <m/>
    <m/>
    <m/>
    <s v="C220342453"/>
    <n v="302"/>
  </r>
  <r>
    <n v="1770"/>
    <x v="0"/>
    <s v="C49"/>
    <s v="110996（TT)"/>
    <s v="比尔乔(Special)"/>
    <x v="1"/>
    <s v="R-&gt;L"/>
    <s v="MVC F&amp;R"/>
    <s v="Y62595（拆除2个相机，放在力合）"/>
    <n v="1"/>
    <s v="力合仓库(已经清关)"/>
    <d v="2022-08-08T00:00:00"/>
    <s v="0.0498,RMB清关PO#110919(拆单110927）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1"/>
    <x v="0"/>
    <s v="C49"/>
    <s v="110996 (TT)"/>
    <s v="比尔乔(Special)"/>
    <x v="1"/>
    <s v="R-&gt;L"/>
    <s v="MVC F&amp;R"/>
    <s v="Y62596（拆除2个相机，放在力合）"/>
    <n v="1"/>
    <s v="力合仓库(已经清关)"/>
    <d v="2022-08-08T00:00:00"/>
    <s v="0.0513,RMB清关PO#110919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2"/>
    <x v="0"/>
    <s v="C49"/>
    <n v="110997"/>
    <s v="瑞福联名义(Special)"/>
    <x v="1"/>
    <s v="R-&gt;L"/>
    <s v="MVC F&amp;R"/>
    <s v="Y62598（拆除2个相机，放在力合）"/>
    <n v="1"/>
    <s v="力合仓库(已经清关)"/>
    <d v="2022-08-08T00:00:00"/>
    <s v="0.0513 RMB单清关，PO110924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3"/>
    <x v="0"/>
    <s v="C49"/>
    <n v="110997"/>
    <s v="瑞福联名义(Special)"/>
    <x v="1"/>
    <s v="R-&gt;L"/>
    <s v="MVC F&amp;R"/>
    <s v="Y62599（拆除2个相机，放在力合）"/>
    <n v="1"/>
    <s v="力合仓库(已经清关)"/>
    <d v="2022-08-08T00:00:00"/>
    <s v="0.0498,RMB清关，PO#110923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4"/>
    <x v="0"/>
    <s v="C49"/>
    <n v="111004"/>
    <s v="惠州莫斯特"/>
    <x v="1"/>
    <s v="R-&gt;L"/>
    <s v="MVC"/>
    <s v="Y62561（拆相机放在力合）"/>
    <n v="1"/>
    <s v="力合仓库(已经清关)"/>
    <d v="2022-08-08T00:00:00"/>
    <n v="5.0299999999999997E-2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898"/>
    <x v="0"/>
    <s v="C49"/>
    <n v="111004"/>
    <s v="惠州莫斯特"/>
    <x v="1"/>
    <s v="R-&gt;L"/>
    <s v="MVC"/>
    <s v="Y62562"/>
    <n v="1"/>
    <s v="力合仓库(已经清关)"/>
    <d v="2022-08-08T00:00:00"/>
    <n v="5.0299999999999997E-2"/>
    <s v="APR 23"/>
    <n v="2022.7"/>
    <s v="RMB"/>
    <s v="YJY-2023040701"/>
    <x v="359"/>
    <s v="YSM10"/>
    <s v="L-&gt;R"/>
    <s v="MVC"/>
    <s v="WRONG"/>
    <s v="DDP ZS"/>
    <d v="2023-04-03T00:00:00"/>
    <x v="0"/>
    <m/>
    <m/>
    <m/>
    <s v="C221144409"/>
    <n v="301"/>
  </r>
  <r>
    <n v="1899"/>
    <x v="0"/>
    <s v="C49"/>
    <n v="111004"/>
    <s v="惠州莫斯特"/>
    <x v="1"/>
    <s v="R-&gt;L"/>
    <s v="MVC"/>
    <s v="Y62563"/>
    <n v="1"/>
    <s v="力合仓库(已经清关)"/>
    <d v="2022-08-08T00:00:00"/>
    <n v="5.0299999999999997E-2"/>
    <s v="APR 23"/>
    <n v="2022.7"/>
    <s v="RMB"/>
    <s v="YJY-2023040701"/>
    <x v="359"/>
    <s v="YSM10"/>
    <s v="L-&gt;R"/>
    <s v="MVC"/>
    <s v="WRONG"/>
    <s v="DDP ZS"/>
    <d v="2023-04-03T00:00:00"/>
    <x v="0"/>
    <m/>
    <m/>
    <m/>
    <s v="C221144409"/>
    <n v="301"/>
  </r>
  <r>
    <n v="1663"/>
    <x v="1"/>
    <s v="C49"/>
    <n v="110929"/>
    <s v="Suining konka"/>
    <x v="1"/>
    <s v="R-&gt;L"/>
    <s v="MVC+ATS15+ANC+IT option+TOK 1154"/>
    <s v="Y62359"/>
    <n v="1"/>
    <s v="力合仓库(已经清关)"/>
    <d v="2022-08-08T00:00:00"/>
    <s v=" 0.0502，RMB清关 "/>
    <s v="MAY 23"/>
    <n v="2022.7"/>
    <s v="RMB"/>
    <s v="SNFPC-CG-2022-008"/>
    <x v="360"/>
    <s v="YSM10"/>
    <s v="L-&gt;R"/>
    <s v="MVC+ATS15+ANC"/>
    <s v="WRONG"/>
    <s v="DDP SN"/>
    <d v="2022-04-27T00:00:00"/>
    <x v="0"/>
    <m/>
    <m/>
    <m/>
    <m/>
    <n v="301"/>
  </r>
  <r>
    <n v="1743"/>
    <x v="0"/>
    <s v="C49"/>
    <n v="110929"/>
    <s v="Suining konka"/>
    <x v="12"/>
    <s v="R-&gt;L"/>
    <s v="MVC"/>
    <s v="Y62360"/>
    <n v="1"/>
    <s v="力合仓库(已经清关)"/>
    <d v="2022-08-08T00:00:00"/>
    <n v="5.2699999999999997E-2"/>
    <s v="OCT 22"/>
    <n v="2022.7"/>
    <s v="RMB"/>
    <s v="C49SZX20220107DZ"/>
    <x v="10"/>
    <s v="YSM20R-2"/>
    <s v="R-&gt;L"/>
    <s v="No"/>
    <s v="WRONG"/>
    <s v="DDP SZ"/>
    <d v="2022-10-12T00:00:00"/>
    <x v="0"/>
    <m/>
    <m/>
    <m/>
    <s v="C190534728"/>
    <n v="301"/>
  </r>
  <r>
    <n v="1656"/>
    <x v="1"/>
    <s v="C49"/>
    <n v="110929"/>
    <s v="Suining konka"/>
    <x v="12"/>
    <s v="R-&gt;L"/>
    <s v="MVC+IT option+TOK 1154 +"/>
    <s v="Y62361"/>
    <n v="1"/>
    <s v="力合仓库(已经清关)"/>
    <d v="2022-08-08T00:00:00"/>
    <n v="5.2699999999999997E-2"/>
    <s v="MAY 23"/>
    <n v="2022.7"/>
    <s v="RMB"/>
    <s v="SNFPC-CG-2022-008"/>
    <x v="360"/>
    <s v="YSM20R-2"/>
    <s v="R-&gt;L"/>
    <s v="No"/>
    <s v="WRONG"/>
    <s v="DDP SN"/>
    <d v="2022-04-27T00:00:00"/>
    <x v="0"/>
    <m/>
    <m/>
    <m/>
    <m/>
    <n v="301"/>
  </r>
  <r>
    <n v="1657"/>
    <x v="1"/>
    <s v="C49"/>
    <n v="110929"/>
    <s v="Suining konka"/>
    <x v="12"/>
    <s v="R-&gt;L"/>
    <s v="MVC+IT option+TOK 1154 +"/>
    <s v="Y62362"/>
    <n v="1"/>
    <s v="力合仓库(已经清关)"/>
    <d v="2022-08-08T00:00:00"/>
    <n v="5.1200000000000002E-2"/>
    <s v="MAY 23"/>
    <n v="2022.7"/>
    <s v="RMB"/>
    <s v="SNFPC-CG-2022-008"/>
    <x v="360"/>
    <s v="YSM20R-2"/>
    <s v="R-&gt;L"/>
    <s v="No"/>
    <s v="WRONG"/>
    <s v="DDP SN"/>
    <d v="2022-04-27T00:00:00"/>
    <x v="0"/>
    <m/>
    <m/>
    <m/>
    <m/>
    <n v="301"/>
  </r>
  <r>
    <n v="1764"/>
    <x v="0"/>
    <s v="C49"/>
    <s v="111006(拆单111039)"/>
    <s v="#04403奕东"/>
    <x v="1"/>
    <s v="R-&gt;L"/>
    <s v="MVC +大板相机"/>
    <s v="Y62576（拆除1个相机，放在力合）"/>
    <n v="1"/>
    <s v="力合仓库(已经清关)"/>
    <d v="2022-08-08T00:00:00"/>
    <n v="5.1200000000000002E-2"/>
    <s v="DEC 22"/>
    <n v="2022.7"/>
    <s v="RMB"/>
    <s v="C49SZX20220125RZ"/>
    <x v="361"/>
    <s v="YSM10"/>
    <s v="L-&gt;R"/>
    <s v="大板相机"/>
    <s v="WRONG"/>
    <s v="DDP SZ"/>
    <d v="2022-11-30T00:00:00"/>
    <x v="0"/>
    <m/>
    <m/>
    <m/>
    <s v="C221244461"/>
    <n v="301"/>
  </r>
  <r>
    <n v="1855"/>
    <x v="1"/>
    <s v="C49"/>
    <s v="111006(拆单111039)"/>
    <s v="#04403奕东"/>
    <x v="1"/>
    <s v="R-&gt;L"/>
    <s v="MVC +大板相机"/>
    <s v="Y62577"/>
    <n v="1"/>
    <s v="力合仓库(已经清关)"/>
    <d v="2022-08-08T00:00:00"/>
    <n v="5.1200000000000002E-2"/>
    <s v="MAY 23"/>
    <n v="2022.7"/>
    <s v="RMB"/>
    <s v="C49SZX20230020SX"/>
    <x v="142"/>
    <s v="YSM10"/>
    <s v="L-&gt;R"/>
    <s v="MVC"/>
    <s v="WRONG"/>
    <s v="DDP DG"/>
    <s v="2023-2--20"/>
    <x v="0"/>
    <m/>
    <m/>
    <m/>
    <m/>
    <n v="301"/>
  </r>
  <r>
    <n v="1813"/>
    <x v="0"/>
    <s v="C49"/>
    <s v="111006(拆单111039)"/>
    <s v="#04403奕东"/>
    <x v="1"/>
    <s v="R-&gt;L"/>
    <s v="MVC +大板相机"/>
    <s v="Y62578（拆大板相机放在力合）"/>
    <n v="1"/>
    <s v="力合仓库(已经清关)"/>
    <d v="2022-08-08T00:00:00"/>
    <n v="5.2499999999999998E-2"/>
    <s v="MAR 23"/>
    <n v="2022.7"/>
    <s v="RMB"/>
    <s v="C49SZX20230009SX"/>
    <x v="16"/>
    <s v="YSM10"/>
    <s v="L-&gt;R"/>
    <s v="MVC"/>
    <s v="WRONG"/>
    <s v="DDP SZ"/>
    <d v="2023-01-11T00:00:00"/>
    <x v="0"/>
    <m/>
    <m/>
    <m/>
    <s v="C230144833 "/>
    <n v="301"/>
  </r>
  <r>
    <n v="1902"/>
    <x v="0"/>
    <s v="C49"/>
    <s v="111006(拆单111039)"/>
    <s v="#04403奕东"/>
    <x v="1"/>
    <s v="R-&gt;L"/>
    <s v="MVC +大板相机"/>
    <s v="Y62579"/>
    <n v="1"/>
    <s v="力合仓库(已经清关)"/>
    <d v="2022-08-08T00:00:00"/>
    <n v="5.2499999999999998E-2"/>
    <s v="MAY 23"/>
    <n v="2022.7"/>
    <s v="RMB"/>
    <s v="C49SZX20230049JY"/>
    <x v="343"/>
    <s v="YSM10"/>
    <s v="L-&gt;R"/>
    <s v="MVC"/>
    <s v="WRONG"/>
    <s v="DDP SZ"/>
    <d v="2023-04-20T00:00:00"/>
    <x v="0"/>
    <m/>
    <m/>
    <m/>
    <s v="C220342243"/>
    <n v="301"/>
  </r>
  <r>
    <n v="1909"/>
    <x v="0"/>
    <s v="C49"/>
    <s v="111006(拆单111039)"/>
    <s v="#04403奕东"/>
    <x v="1"/>
    <s v="R-&gt;L"/>
    <s v="MVC +大板相机"/>
    <s v="Y62580"/>
    <n v="1"/>
    <s v="力合仓库(已经清关)"/>
    <d v="2022-08-08T00:00:00"/>
    <n v="5.2499999999999998E-2"/>
    <s v="MAY 23"/>
    <n v="2022.7"/>
    <s v="RMB"/>
    <s v="C49SZX20230052MZ"/>
    <x v="362"/>
    <s v="YSM10"/>
    <s v="R-&gt;L"/>
    <s v="MVC"/>
    <s v="WRONG"/>
    <s v="DDP HZ"/>
    <d v="2023-04-21T00:00:00"/>
    <x v="0"/>
    <m/>
    <m/>
    <m/>
    <s v="C230445645"/>
    <n v="301"/>
  </r>
  <r>
    <n v="1837"/>
    <x v="0"/>
    <s v="C49"/>
    <n v="111006"/>
    <s v="#04403奕东"/>
    <x v="1"/>
    <s v="R-&gt;L"/>
    <s v="MVC"/>
    <s v="Y62581"/>
    <n v="1"/>
    <s v="力合仓库(已经清关)"/>
    <d v="2022-08-08T00:00:00"/>
    <n v="5.2499999999999998E-2"/>
    <s v="MAR 23"/>
    <n v="2022.7"/>
    <s v="RMB"/>
    <s v="C49SZX20230022SX"/>
    <x v="76"/>
    <s v="YSM10"/>
    <s v="L-&gt;R"/>
    <s v="MVC"/>
    <s v="WRONG"/>
    <s v="DDP HZ"/>
    <d v="2023-02-21T00:00:00"/>
    <x v="0"/>
    <m/>
    <m/>
    <m/>
    <s v="C180231291"/>
    <n v="301"/>
  </r>
  <r>
    <n v="1838"/>
    <x v="0"/>
    <s v="C49"/>
    <n v="111006"/>
    <s v="#04403奕东"/>
    <x v="1"/>
    <s v="R-&gt;L"/>
    <s v="MVC"/>
    <s v="Y62582"/>
    <n v="1"/>
    <s v="力合仓库(已经清关)"/>
    <d v="2022-08-08T00:00:00"/>
    <n v="5.2699999999999997E-2"/>
    <s v="MAR 23"/>
    <n v="2022.7"/>
    <s v="RMB"/>
    <s v="C49SZX20230022SX"/>
    <x v="76"/>
    <s v="YSM10"/>
    <s v="L-&gt;R"/>
    <s v="MVC"/>
    <s v="WRONG"/>
    <s v="DDP HZ"/>
    <d v="2023-02-21T00:00:00"/>
    <x v="0"/>
    <m/>
    <m/>
    <m/>
    <s v="C180231291"/>
    <n v="301"/>
  </r>
  <r>
    <n v="1822"/>
    <x v="0"/>
    <s v="C49"/>
    <n v="111006"/>
    <s v="#04403奕东"/>
    <x v="1"/>
    <s v="R-&gt;L"/>
    <s v="MVC"/>
    <s v="Y62583（拆相机放在力合）"/>
    <n v="1"/>
    <s v="力合仓库(已经清关)"/>
    <d v="2022-08-08T00:00:00"/>
    <n v="5.2699999999999997E-2"/>
    <s v="FEB 23"/>
    <n v="2022.7"/>
    <s v="RMB"/>
    <s v="C49SZX202300011SX"/>
    <x v="188"/>
    <s v="YSM10"/>
    <s v="L-&gt;R"/>
    <s v="No"/>
    <s v="WRONG"/>
    <s v="DDP SZ"/>
    <d v="2023-02-03T00:00:00"/>
    <x v="0"/>
    <m/>
    <m/>
    <m/>
    <s v="C200938214"/>
    <n v="301"/>
  </r>
  <r>
    <n v="1839"/>
    <x v="0"/>
    <s v="C49"/>
    <s v="111006(拆单111039)"/>
    <s v="#04403奕东"/>
    <x v="1"/>
    <s v="R-&gt;L"/>
    <s v="MVC"/>
    <s v="Y62584"/>
    <n v="1"/>
    <s v="力合仓库(已经清关)"/>
    <d v="2022-08-08T00:00:00"/>
    <n v="5.2699999999999997E-2"/>
    <s v="MAR 23"/>
    <n v="2022.7"/>
    <s v="RMB"/>
    <s v="C49SZX20230022SX"/>
    <x v="76"/>
    <s v="YSM10"/>
    <s v="L-&gt;R"/>
    <s v="MVC"/>
    <s v="WRONG"/>
    <s v="DDP HZ"/>
    <d v="2023-02-21T00:00:00"/>
    <x v="0"/>
    <m/>
    <m/>
    <m/>
    <s v="C180231291"/>
    <n v="301"/>
  </r>
  <r>
    <n v="1846"/>
    <x v="0"/>
    <s v="C49"/>
    <s v="111006(拆单111039)"/>
    <s v="#04403奕东"/>
    <x v="1"/>
    <s v="R-&gt;L"/>
    <s v="MVC"/>
    <s v="Y62585"/>
    <n v="1"/>
    <s v="力合仓库(已经清关)"/>
    <d v="2022-08-08T00:00:00"/>
    <n v="5.2699999999999997E-2"/>
    <s v="MAR 23"/>
    <n v="2022.7"/>
    <s v="RMB"/>
    <s v="C49SZX20230023R1SX"/>
    <x v="135"/>
    <s v="YSM10"/>
    <s v="L-&gt;R"/>
    <s v="MVC"/>
    <s v="WRONG"/>
    <s v="DDP HZ"/>
    <d v="2023-02-22T00:00:00"/>
    <x v="0"/>
    <m/>
    <m/>
    <m/>
    <s v="C230245070"/>
    <n v="301"/>
  </r>
  <r>
    <n v="1670"/>
    <x v="1"/>
    <s v="C28"/>
    <n v="110940"/>
    <s v="Suining konka"/>
    <x v="13"/>
    <s v="R-&gt;L"/>
    <s v="No"/>
    <s v="Y62110"/>
    <n v="1"/>
    <s v="力合仓库(已经清关)"/>
    <d v="2022-08-08T00:00:00"/>
    <n v="4.8800000000000003E-2"/>
    <s v="MAY 23"/>
    <n v="2022.7"/>
    <s v="RMB"/>
    <s v="SNFPC-CG-2022-013"/>
    <x v="360"/>
    <s v="YSi-V"/>
    <s v="R-&gt;L"/>
    <s v="No"/>
    <s v="OK"/>
    <s v="DDP SN"/>
    <d v="2022-05-13T00:00:00"/>
    <x v="0"/>
    <m/>
    <m/>
    <m/>
    <m/>
    <m/>
  </r>
  <r>
    <n v="1671"/>
    <x v="1"/>
    <s v="C28"/>
    <n v="110940"/>
    <s v="Suining konka"/>
    <x v="13"/>
    <s v="R-&gt;L"/>
    <s v="No"/>
    <s v="Y62111"/>
    <n v="1"/>
    <s v="力合仓库(已经清关)"/>
    <d v="2022-08-08T00:00:00"/>
    <n v="4.8800000000000003E-2"/>
    <s v="MAY 23"/>
    <n v="2022.7"/>
    <s v="RMB"/>
    <s v="SNFPC-CG-2022-013"/>
    <x v="360"/>
    <s v="YSi-V"/>
    <s v="R-&gt;L"/>
    <s v="No"/>
    <s v="OK"/>
    <s v="DDP SN"/>
    <d v="2022-05-13T00:00:00"/>
    <x v="0"/>
    <m/>
    <m/>
    <m/>
    <m/>
    <m/>
  </r>
  <r>
    <n v="1668"/>
    <x v="1"/>
    <s v="C28"/>
    <n v="110940"/>
    <s v="Suining konka"/>
    <x v="13"/>
    <s v="L-&gt;R"/>
    <s v="No"/>
    <s v="Y62108"/>
    <n v="1"/>
    <s v="力合仓库(已经清关)"/>
    <d v="2022-08-08T00:00:00"/>
    <n v="4.8800000000000003E-2"/>
    <s v="MAY 23"/>
    <n v="2022.7"/>
    <s v="RMB"/>
    <s v="SNFPC-CG-2022-013"/>
    <x v="360"/>
    <s v="YSi-V"/>
    <s v="L-&gt;R"/>
    <s v="No"/>
    <s v="OK"/>
    <s v="DDP SN"/>
    <d v="2022-05-13T00:00:00"/>
    <x v="0"/>
    <m/>
    <m/>
    <m/>
    <m/>
    <m/>
  </r>
  <r>
    <n v="1669"/>
    <x v="1"/>
    <s v="C28"/>
    <n v="110940"/>
    <s v="Suining konka"/>
    <x v="13"/>
    <s v="L-&gt;R"/>
    <s v="No"/>
    <s v="Y62109"/>
    <n v="1"/>
    <s v="力合仓库(已经清关)"/>
    <d v="2022-08-08T00:00:00"/>
    <n v="4.8800000000000003E-2"/>
    <s v="MAY 23"/>
    <n v="2022.7"/>
    <s v="RMB"/>
    <s v="SNFPC-CG-2022-013"/>
    <x v="360"/>
    <s v="YSi-V"/>
    <s v="L-&gt;R"/>
    <s v="No"/>
    <s v="OK"/>
    <s v="DDP SN"/>
    <d v="2022-05-13T00:00:00"/>
    <x v="0"/>
    <m/>
    <m/>
    <m/>
    <m/>
    <m/>
  </r>
  <r>
    <n v="1662"/>
    <x v="1"/>
    <s v="C49"/>
    <n v="110928"/>
    <s v="Suining konka"/>
    <x v="1"/>
    <s v="R-&gt;L"/>
    <s v="MVC+ATS15+ANC+IT option+TOK 1154"/>
    <s v="Y62476"/>
    <n v="1"/>
    <s v="力合仓库(已经清关)"/>
    <d v="2022-08-08T00:00:00"/>
    <n v="4.9700000000000001E-2"/>
    <s v="MAY 23"/>
    <n v="2022.7"/>
    <s v="RMB"/>
    <s v="SNFPC-CG-2022-008"/>
    <x v="360"/>
    <s v="YSM10"/>
    <s v="R-&gt;L"/>
    <s v="MVC+ATS15+ANC"/>
    <s v="WRONG"/>
    <s v="DDP SN"/>
    <d v="2022-04-27T00:00:00"/>
    <x v="0"/>
    <m/>
    <m/>
    <m/>
    <m/>
    <n v="301"/>
  </r>
  <r>
    <n v="1660"/>
    <x v="1"/>
    <s v="C49"/>
    <n v="110928"/>
    <s v="Suining konka"/>
    <x v="12"/>
    <s v="L-&gt;R"/>
    <s v="MVC+IT option+TOK 1154 +"/>
    <s v="Y62477"/>
    <n v="1"/>
    <s v="力合仓库(已经清关)"/>
    <d v="2022-08-08T00:00:00"/>
    <n v="4.9700000000000001E-2"/>
    <s v="MAY 23"/>
    <n v="2022.7"/>
    <s v="RMB"/>
    <s v="SNFPC-CG-2022-008"/>
    <x v="360"/>
    <s v="YSM20R-2"/>
    <s v="L-&gt;R"/>
    <s v="No"/>
    <s v="WRONG"/>
    <s v="DDP SN"/>
    <d v="2022-04-27T00:00:00"/>
    <x v="0"/>
    <m/>
    <m/>
    <m/>
    <m/>
    <n v="301"/>
  </r>
  <r>
    <n v="1659"/>
    <x v="1"/>
    <s v="C49"/>
    <n v="110928"/>
    <s v="Suining konka"/>
    <x v="12"/>
    <s v="L-&gt;R"/>
    <s v="MVC+IT option+TOK 1154 +"/>
    <s v="Y62478"/>
    <n v="1"/>
    <s v="力合仓库(已经清关)"/>
    <d v="2022-08-08T00:00:00"/>
    <n v="4.9700000000000001E-2"/>
    <s v="MAY 23"/>
    <n v="2022.7"/>
    <s v="RMB"/>
    <s v="SNFPC-CG-2022-008"/>
    <x v="360"/>
    <s v="YSM20R-2"/>
    <s v="L-&gt;R"/>
    <s v="No"/>
    <s v="WRONG"/>
    <s v="DDP SN"/>
    <d v="2022-04-27T00:00:00"/>
    <x v="0"/>
    <m/>
    <m/>
    <m/>
    <m/>
    <n v="301"/>
  </r>
  <r>
    <n v="1661"/>
    <x v="1"/>
    <s v="C49"/>
    <n v="110928"/>
    <s v="Suining konka"/>
    <x v="12"/>
    <s v="L-&gt;R"/>
    <s v="MVC+IT option+TOK 1154 +"/>
    <s v="Y62479"/>
    <n v="1"/>
    <s v="力合仓库(已经清关)"/>
    <d v="2022-08-08T00:00:00"/>
    <n v="4.9700000000000001E-2"/>
    <s v="MAY 23"/>
    <n v="2022.7"/>
    <s v="RMB"/>
    <s v="SNFPC-CG-2022-008"/>
    <x v="360"/>
    <s v="YSM20R-2"/>
    <s v="L-&gt;R"/>
    <s v="No"/>
    <s v="WRONG"/>
    <s v="DDP SN"/>
    <d v="2022-04-27T00:00:00"/>
    <x v="0"/>
    <m/>
    <m/>
    <m/>
    <m/>
    <n v="301"/>
  </r>
  <r>
    <n v="1847"/>
    <x v="0"/>
    <s v="C49"/>
    <n v="111000"/>
    <s v="芯联鑫"/>
    <x v="1"/>
    <s v="R-&gt;L"/>
    <s v="MVC"/>
    <s v="Y62614"/>
    <n v="1"/>
    <s v="力合仓库(已经清关)"/>
    <d v="2022-08-08T00:00:00"/>
    <n v="4.9700000000000001E-2"/>
    <s v="MAR 23"/>
    <n v="2022.7"/>
    <s v="RMB"/>
    <s v="C49SZX20230024MZ"/>
    <x v="193"/>
    <s v="YSM10"/>
    <s v="L-&gt;R"/>
    <s v="MVC"/>
    <s v="WRONG"/>
    <s v="DDP SZ"/>
    <d v="2023-02-21T00:00:00"/>
    <x v="0"/>
    <m/>
    <m/>
    <m/>
    <s v="C200938163"/>
    <n v="302"/>
  </r>
  <r>
    <n v="1849"/>
    <x v="0"/>
    <s v="C49"/>
    <n v="111000"/>
    <s v="芯联鑫"/>
    <x v="1"/>
    <s v="R-&gt;L"/>
    <s v="MVC"/>
    <s v="Y62615"/>
    <n v="1"/>
    <s v="力合仓库(已经清关)"/>
    <d v="2022-08-08T00:00:00"/>
    <n v="4.9700000000000001E-2"/>
    <s v="APR 23"/>
    <n v="2022.7"/>
    <s v="RMB"/>
    <s v="C49SZX20230028JY"/>
    <x v="7"/>
    <s v="YSM10"/>
    <s v="L-&gt;R"/>
    <s v="MVC"/>
    <s v="WRONG"/>
    <s v="DDP SZ"/>
    <d v="2023-02-23T00:00:00"/>
    <x v="0"/>
    <m/>
    <m/>
    <m/>
    <s v="C230445648"/>
    <n v="302"/>
  </r>
  <r>
    <n v="1869"/>
    <x v="0"/>
    <s v="C49"/>
    <n v="110999"/>
    <s v="金睿通(Special)"/>
    <x v="1"/>
    <s v="R-&gt;L"/>
    <s v="MVC F&amp;R"/>
    <s v="Y62610（拆除1个相机，放在力合）"/>
    <n v="1"/>
    <s v="力合仓库(已经清关)"/>
    <d v="2022-08-08T00:00:00"/>
    <n v="4.9700000000000001E-2"/>
    <s v="MAR 23"/>
    <n v="2022.7"/>
    <s v="RMB"/>
    <s v="C49SZX20230037SS"/>
    <x v="363"/>
    <s v="YSM10"/>
    <s v="L-&gt;R"/>
    <s v="MVC"/>
    <s v="WRONG"/>
    <s v="DDP SZ"/>
    <d v="2023-03-07T00:00:00"/>
    <x v="0"/>
    <m/>
    <m/>
    <m/>
    <s v="C220442563"/>
    <n v="302"/>
  </r>
  <r>
    <n v="1870"/>
    <x v="0"/>
    <s v="C49"/>
    <n v="110999"/>
    <s v="金睿通(Special)"/>
    <x v="1"/>
    <s v="R-&gt;L"/>
    <s v="MVC F&amp;R"/>
    <s v="Y62611（拆除1个相机，放在力合）"/>
    <n v="1"/>
    <s v="力合仓库(已经清关)"/>
    <d v="2022-08-08T00:00:00"/>
    <n v="4.9700000000000001E-2"/>
    <s v="MAR 23"/>
    <n v="2022.7"/>
    <s v="RMB"/>
    <s v="C49SZX20230038SS"/>
    <x v="364"/>
    <s v="YSM10"/>
    <s v="L-&gt;R"/>
    <s v="MVC"/>
    <s v="WRONG"/>
    <s v="DDP SZ"/>
    <d v="2023-03-07T00:00:00"/>
    <x v="0"/>
    <m/>
    <m/>
    <m/>
    <s v="C230345221"/>
    <n v="302"/>
  </r>
  <r>
    <n v="1739"/>
    <x v="0"/>
    <s v="C49"/>
    <n v="110987"/>
    <s v=" SZ 精德鸿(Special)"/>
    <x v="12"/>
    <s v="L-&gt;R"/>
    <s v="No"/>
    <s v="Y62606"/>
    <n v="1"/>
    <s v="力合仓库(已经清关)"/>
    <d v="2022-08-22T00:00:00"/>
    <s v="NM coper rate 0.0501"/>
    <s v="OCT 22"/>
    <n v="2022.7"/>
    <s v="RMB"/>
    <s v="C49SZX20220106SX"/>
    <x v="76"/>
    <s v="YSM20R-2"/>
    <s v="L-&gt;R"/>
    <s v="No"/>
    <s v="OK"/>
    <s v="DDP HZ"/>
    <d v="2022-10-11T00:00:00"/>
    <x v="0"/>
    <m/>
    <m/>
    <m/>
    <s v="C180231291"/>
    <n v="311"/>
  </r>
  <r>
    <n v="1720"/>
    <x v="0"/>
    <s v="C49"/>
    <n v="110987"/>
    <s v=" SZ 精德鸿(Special)"/>
    <x v="12"/>
    <s v="L-&gt;R"/>
    <s v="No"/>
    <s v="Y62607"/>
    <n v="1"/>
    <s v="力合仓库(已经清关)"/>
    <d v="2022-08-22T00:00:00"/>
    <s v="NM"/>
    <s v="OCT 22"/>
    <n v="2022.7"/>
    <s v="JPY"/>
    <s v="C49SZX20220096JL"/>
    <x v="351"/>
    <s v="YSM20R-2"/>
    <s v="L-&gt;R"/>
    <s v="No"/>
    <s v="OK"/>
    <s v="DAP SZ"/>
    <d v="2022-09-15T00:00:00"/>
    <x v="0"/>
    <m/>
    <m/>
    <m/>
    <s v="C200837908"/>
    <n v="311"/>
  </r>
  <r>
    <n v="1710"/>
    <x v="0"/>
    <s v="C49"/>
    <n v="110986"/>
    <s v=" SZ 奥祺(Special)"/>
    <x v="12"/>
    <s v="R-&gt;L"/>
    <s v="No"/>
    <s v="Y62608"/>
    <n v="1"/>
    <s v="力合仓库(已经清关)"/>
    <d v="2022-08-22T00:00:00"/>
    <s v="NM"/>
    <s v="SEP 22"/>
    <n v="2022.7"/>
    <s v="JPY"/>
    <s v="C49SZX20220084DZ"/>
    <x v="10"/>
    <s v="YSM20R-2"/>
    <s v="R-&gt;L"/>
    <s v="No"/>
    <s v="OK"/>
    <s v="CIF HK"/>
    <d v="2022-07-26T00:00:00"/>
    <x v="0"/>
    <m/>
    <m/>
    <m/>
    <s v="C220342453"/>
    <n v="311"/>
  </r>
  <r>
    <n v="1742"/>
    <x v="0"/>
    <s v="C49"/>
    <n v="110986"/>
    <s v=" SZ 奥祺(Special)"/>
    <x v="12"/>
    <s v="R-&gt;L"/>
    <s v="No"/>
    <s v="Y62609"/>
    <n v="1"/>
    <s v="力合仓库(已经清关)"/>
    <d v="2022-08-22T00:00:00"/>
    <s v="NM"/>
    <s v="OCT 22"/>
    <n v="2022.7"/>
    <s v="RMB"/>
    <s v="C49SZX20220107DZ"/>
    <x v="10"/>
    <s v="YSM20R-2"/>
    <s v="R-&gt;L"/>
    <s v="No"/>
    <s v="OK"/>
    <s v="DDP SZ"/>
    <d v="2022-10-12T00:00:00"/>
    <x v="0"/>
    <m/>
    <m/>
    <m/>
    <s v="C190534728"/>
    <n v="311"/>
  </r>
  <r>
    <n v="1783"/>
    <x v="0"/>
    <s v="C49"/>
    <n v="110992"/>
    <s v=" SZ欣华"/>
    <x v="12"/>
    <s v="L-&gt;R"/>
    <s v="No"/>
    <s v="Y62604"/>
    <n v="1"/>
    <s v="力合仓库(已经清关)"/>
    <d v="2022-08-22T00:00:00"/>
    <s v="NM"/>
    <s v="DEC 22"/>
    <n v="2022.7"/>
    <s v="RMB"/>
    <s v="C49SZX20220127EC"/>
    <x v="174"/>
    <s v="YSM20R-2"/>
    <s v="L-&gt;R"/>
    <s v="MVC"/>
    <s v="WRONG"/>
    <s v="DDP SZ"/>
    <d v="2022-12-19T00:00:00"/>
    <x v="0"/>
    <m/>
    <m/>
    <m/>
    <s v="C200737827"/>
    <n v="312"/>
  </r>
  <r>
    <n v="1724"/>
    <x v="0"/>
    <s v="C49"/>
    <n v="110992"/>
    <s v=" SZ欣华"/>
    <x v="12"/>
    <s v="L-&gt;R"/>
    <s v="No"/>
    <s v="Y62605"/>
    <n v="1"/>
    <s v="CY仓库"/>
    <d v="2022-08-22T00:00:00"/>
    <s v="0.0527,RMB清关,"/>
    <s v="NOV 22"/>
    <n v="2022.7"/>
    <s v="JPY"/>
    <s v="159851(R2)-ELE"/>
    <x v="365"/>
    <s v="YSM20R-2"/>
    <s v="L-&gt;R"/>
    <s v="MVC"/>
    <s v="WRONG"/>
    <s v="CIF HK"/>
    <d v="2022-09-19T00:00:00"/>
    <x v="0"/>
    <m/>
    <m/>
    <m/>
    <s v="C200336938"/>
    <n v="312"/>
  </r>
  <r>
    <n v="1740"/>
    <x v="0"/>
    <s v="C49"/>
    <n v="110989"/>
    <s v=" SZ 金睿通(Special)"/>
    <x v="12"/>
    <s v="L-&gt;R"/>
    <s v="No"/>
    <s v="Y62612"/>
    <n v="1"/>
    <s v="力合仓库(已经清关)"/>
    <d v="2022-08-22T00:00:00"/>
    <m/>
    <s v="OCT 22"/>
    <n v="2022.7"/>
    <s v="RMB"/>
    <s v="C49SZX20220107DZ"/>
    <x v="10"/>
    <s v="YSM20R-2"/>
    <s v="L-&gt;R"/>
    <s v="No"/>
    <s v="OK"/>
    <s v="DDP SZ"/>
    <d v="2022-10-12T00:00:00"/>
    <x v="0"/>
    <m/>
    <m/>
    <m/>
    <s v="C190534728"/>
    <n v="313"/>
  </r>
  <r>
    <n v="1741"/>
    <x v="0"/>
    <s v="C49"/>
    <n v="110989"/>
    <s v=" SZ 金睿通(Special)"/>
    <x v="12"/>
    <s v="L-&gt;R"/>
    <s v="No"/>
    <s v="Y62613"/>
    <n v="1"/>
    <s v="力合仓库(已经清关)"/>
    <d v="2022-08-22T00:00:00"/>
    <s v="0.0512 ,"/>
    <s v="OCT 22"/>
    <n v="2022.7"/>
    <s v="RMB"/>
    <s v="C49SZX20220107DZ"/>
    <x v="10"/>
    <s v="YSM20R-2"/>
    <s v="L-&gt;R"/>
    <s v="No"/>
    <s v="OK"/>
    <s v="DDP SZ"/>
    <d v="2022-10-12T00:00:00"/>
    <x v="0"/>
    <m/>
    <m/>
    <m/>
    <s v="C190534728"/>
    <n v="313"/>
  </r>
  <r>
    <n v="1519"/>
    <x v="0"/>
    <s v="C49"/>
    <n v="110988"/>
    <s v=" SZ 瑞福联(Special)"/>
    <x v="12"/>
    <s v="L-&gt;R"/>
    <s v="No"/>
    <s v="Y62600"/>
    <n v="1"/>
    <s v="力合中转仓"/>
    <d v="2022-08-22T00:00:00"/>
    <m/>
    <s v="SEP 22"/>
    <n v="2022.7"/>
    <s v="JPY"/>
    <s v="C49SZX20210215MZ"/>
    <x v="320"/>
    <s v="YSM20R-2"/>
    <s v="L-&gt;R"/>
    <s v="No"/>
    <s v="OK"/>
    <s v="DAP SZ"/>
    <d v="2021-12-10T00:00:00"/>
    <x v="0"/>
    <m/>
    <m/>
    <m/>
    <s v="C220342452"/>
    <n v="311"/>
  </r>
  <r>
    <n v="1640"/>
    <x v="0"/>
    <s v="C49"/>
    <n v="110988"/>
    <s v=" SZ 瑞福联(Special)"/>
    <x v="12"/>
    <s v="L-&gt;R"/>
    <s v="No"/>
    <s v="Y62601"/>
    <n v="1"/>
    <s v="CY仓库"/>
    <d v="2022-08-22T00:00:00"/>
    <s v="NM"/>
    <s v="JAN 23"/>
    <n v="2022.7"/>
    <s v="JPY"/>
    <s v="C49SZX20220124JL"/>
    <x v="181"/>
    <s v="YSM20R-2"/>
    <s v="L-&gt;R"/>
    <s v="No"/>
    <s v="OK"/>
    <s v="CIF HK"/>
    <d v="2022-11-30T00:00:00"/>
    <x v="0"/>
    <m/>
    <m/>
    <m/>
    <s v="C230144717"/>
    <n v="311"/>
  </r>
  <r>
    <n v="1733"/>
    <x v="0"/>
    <s v="C49"/>
    <n v="110990"/>
    <s v=" SZ正讯"/>
    <x v="12"/>
    <s v="L-&gt;R"/>
    <s v="No"/>
    <s v="Y62627"/>
    <n v="1"/>
    <s v="力合仓库(已经清关)"/>
    <d v="2022-08-22T00:00:00"/>
    <s v="NM"/>
    <s v="SEP 22"/>
    <n v="2022.7"/>
    <s v="RMB"/>
    <s v="C49SZX20220102DZ"/>
    <x v="10"/>
    <s v="YSM20R-2"/>
    <s v="L-&gt;R"/>
    <s v="No"/>
    <s v="OK"/>
    <s v="DDP JX"/>
    <d v="2022-09-30T00:00:00"/>
    <x v="0"/>
    <m/>
    <m/>
    <m/>
    <s v="C190534728"/>
    <n v="312"/>
  </r>
  <r>
    <n v="1732"/>
    <x v="0"/>
    <s v="C49"/>
    <n v="110990"/>
    <s v=" SZ正讯"/>
    <x v="12"/>
    <s v="L-&gt;R"/>
    <s v="No"/>
    <s v="Y62628"/>
    <n v="1"/>
    <s v="力合中转仓"/>
    <d v="2022-08-22T00:00:00"/>
    <s v="NM"/>
    <s v="OCT 22"/>
    <n v="2022.7"/>
    <s v="RMB"/>
    <s v="C49SZX20220098MZ"/>
    <x v="293"/>
    <s v="YSM20R-2"/>
    <s v="L-&gt;R"/>
    <s v="No"/>
    <s v="OK"/>
    <s v="DDP HN"/>
    <d v="2022-09-23T00:00:00"/>
    <x v="0"/>
    <m/>
    <m/>
    <m/>
    <s v="C221043973"/>
    <n v="312"/>
  </r>
  <r>
    <n v="1851"/>
    <x v="0"/>
    <s v="C49"/>
    <n v="111001"/>
    <s v="欣华"/>
    <x v="1"/>
    <s v="R-&gt;L"/>
    <s v="MVC"/>
    <s v="Y62634"/>
    <n v="1"/>
    <s v="力合仓库(已经清关)"/>
    <d v="2022-08-22T00:00:00"/>
    <s v="NM"/>
    <s v="MAR 23"/>
    <n v="2022.7"/>
    <s v="RMB"/>
    <s v="C49SZX20230025DZ"/>
    <x v="66"/>
    <s v="YSM10"/>
    <s v="R-&gt;L"/>
    <s v="MVC"/>
    <s v="OK"/>
    <s v="DDP SZ"/>
    <d v="2023-02-22T00:00:00"/>
    <x v="0"/>
    <m/>
    <m/>
    <m/>
    <s v="C220643122"/>
    <n v="301"/>
  </r>
  <r>
    <n v="1748"/>
    <x v="0"/>
    <s v="C49"/>
    <n v="111002"/>
    <s v="欣华"/>
    <x v="1"/>
    <s v="R-&gt;L"/>
    <s v="MVC"/>
    <s v="Y62603"/>
    <n v="1"/>
    <s v="力合中转仓"/>
    <d v="2022-08-22T00:00:00"/>
    <s v="NM"/>
    <s v="OCT 22"/>
    <n v="2022.7"/>
    <s v="JPY"/>
    <s v="C49SZX20220103SS"/>
    <x v="356"/>
    <s v="YSM10"/>
    <s v="L-&gt;R"/>
    <s v="MVC"/>
    <s v="WRONG"/>
    <s v="DAP CS"/>
    <d v="2022-10-12T00:00:00"/>
    <x v="0"/>
    <m/>
    <m/>
    <m/>
    <s v="C221144426"/>
    <n v="301"/>
  </r>
  <r>
    <n v="1727"/>
    <x v="0"/>
    <s v="C49"/>
    <n v="111002"/>
    <s v="思迈"/>
    <x v="1"/>
    <s v="R-&gt;L"/>
    <s v="MVC"/>
    <s v="Y62602"/>
    <n v="1"/>
    <s v="CY仓库"/>
    <d v="2022-08-22T00:00:00"/>
    <s v="NM"/>
    <s v="NOV 22"/>
    <n v="2022.7"/>
    <s v="JPY"/>
    <s v="159851(R2)-ELE"/>
    <x v="365"/>
    <s v="YSM10"/>
    <s v="L-&gt;R"/>
    <s v="MVC"/>
    <s v="WRONG"/>
    <s v="CIF HK"/>
    <d v="2022-09-19T00:00:00"/>
    <x v="0"/>
    <m/>
    <m/>
    <m/>
    <s v="C200336938"/>
    <n v="301"/>
  </r>
  <r>
    <n v="1726"/>
    <x v="0"/>
    <s v="C49"/>
    <n v="111001"/>
    <s v="思迈"/>
    <x v="1"/>
    <s v="R-&gt;L"/>
    <s v="MVC"/>
    <s v="Y62635"/>
    <n v="1"/>
    <s v="CY仓库"/>
    <d v="2022-08-22T00:00:00"/>
    <m/>
    <s v="NOV 22"/>
    <n v="2022.7"/>
    <s v="JPY"/>
    <s v="159851(R2)-ELE"/>
    <x v="365"/>
    <s v="YSM10"/>
    <s v="L-&gt;R"/>
    <s v="MVC"/>
    <s v="WRONG"/>
    <s v="CIF HK"/>
    <d v="2022-09-19T00:00:00"/>
    <x v="0"/>
    <m/>
    <m/>
    <m/>
    <s v="C200336938"/>
    <n v="301"/>
  </r>
  <r>
    <n v="1861"/>
    <x v="0"/>
    <s v="C49"/>
    <n v="111003"/>
    <s v="正讯"/>
    <x v="1"/>
    <s v="R-&gt;L"/>
    <s v="MVC"/>
    <s v="Y62625"/>
    <n v="1"/>
    <s v="力合仓库(已经清关)"/>
    <d v="2022-08-22T00:00:00"/>
    <m/>
    <s v="MAR 23"/>
    <n v="2022.7"/>
    <s v="RMB"/>
    <s v="C49SZX20230031MZ"/>
    <x v="294"/>
    <s v="YSM10"/>
    <s v="R-&gt;L"/>
    <s v="MVC"/>
    <s v="OK"/>
    <s v="DDP  HZ"/>
    <d v="2023-02-28T00:00:00"/>
    <x v="0"/>
    <m/>
    <m/>
    <m/>
    <s v="C210640313"/>
    <n v="302"/>
  </r>
  <r>
    <n v="1862"/>
    <x v="0"/>
    <s v="C49"/>
    <n v="111003"/>
    <s v="正讯"/>
    <x v="1"/>
    <s v="R-&gt;L"/>
    <s v="MVC"/>
    <s v="Y62626"/>
    <n v="1"/>
    <s v="力合仓库(已经清关)"/>
    <d v="2022-08-22T00:00:00"/>
    <s v="NM"/>
    <s v="MAR 23"/>
    <n v="2022.7"/>
    <s v="RMB"/>
    <s v="C49SZX20230031MZ"/>
    <x v="294"/>
    <s v="YSM10"/>
    <s v="L-&gt;R"/>
    <s v="MVC"/>
    <s v="WRONG"/>
    <s v="DDP  HZ"/>
    <d v="2023-02-28T00:00:00"/>
    <x v="0"/>
    <m/>
    <m/>
    <m/>
    <s v="C210640313"/>
    <n v="302"/>
  </r>
  <r>
    <n v="1675"/>
    <x v="0"/>
    <s v="C49"/>
    <s v="110993(TT)"/>
    <s v=" SZ斯迈拓"/>
    <x v="12"/>
    <s v="R-&gt;L"/>
    <s v="No"/>
    <s v="Y62629"/>
    <n v="1"/>
    <s v="力合中转仓"/>
    <d v="2022-08-28T00:00:00"/>
    <s v="NM"/>
    <s v="AUG 22"/>
    <n v="2022.7"/>
    <s v="JPY"/>
    <s v="C49SZX20220059DY"/>
    <x v="294"/>
    <s v="YSM20R-2"/>
    <s v="R-&gt;L"/>
    <s v="MVC"/>
    <s v="WRONG"/>
    <s v="DAP HZ"/>
    <d v="2022-05-27T00:00:00"/>
    <x v="0"/>
    <m/>
    <m/>
    <m/>
    <s v="C210640313"/>
    <n v="301"/>
  </r>
  <r>
    <n v="1676"/>
    <x v="0"/>
    <s v="C49"/>
    <s v="110993(TT)"/>
    <s v=" SZ斯迈拓"/>
    <x v="12"/>
    <s v="R-&gt;L"/>
    <s v="No"/>
    <s v="Y62630"/>
    <n v="1"/>
    <s v="力合中转仓"/>
    <d v="2022-08-28T00:00:00"/>
    <s v="NM"/>
    <s v="AUG 22"/>
    <n v="2022.7"/>
    <s v="JPY"/>
    <s v="C49SZX20220059DY"/>
    <x v="294"/>
    <s v="YSM20R-2"/>
    <s v="R-&gt;L"/>
    <s v="MVC"/>
    <s v="WRONG"/>
    <s v="DAP HZ"/>
    <d v="2022-05-27T00:00:00"/>
    <x v="0"/>
    <m/>
    <m/>
    <m/>
    <s v="C210640313"/>
    <n v="301"/>
  </r>
  <r>
    <n v="1690"/>
    <x v="0"/>
    <s v="C49"/>
    <n v="110991"/>
    <s v=" SZ朗迅"/>
    <x v="12"/>
    <s v="L-&gt;R"/>
    <s v="No"/>
    <s v="Y62636"/>
    <n v="1"/>
    <s v="力合中转仓"/>
    <d v="2022-09-05T00:00:00"/>
    <s v="NM"/>
    <s v="OCT 22"/>
    <n v="2022.8"/>
    <s v="JPY"/>
    <s v="C49SZX20220042JY"/>
    <x v="366"/>
    <s v="YSM20R-2"/>
    <s v="L-&gt;R"/>
    <s v="No"/>
    <s v="OK"/>
    <s v="DAP SZ"/>
    <d v="2022-06-22T00:00:00"/>
    <x v="0"/>
    <m/>
    <m/>
    <m/>
    <s v="C220643250"/>
    <n v="312"/>
  </r>
  <r>
    <n v="1753"/>
    <x v="0"/>
    <s v="C49"/>
    <n v="110991"/>
    <s v=" SZ朗迅"/>
    <x v="12"/>
    <s v="L-&gt;R"/>
    <s v="No"/>
    <s v="Y62637"/>
    <n v="1"/>
    <s v="力合仓库(已经清关)"/>
    <d v="2022-09-05T00:00:00"/>
    <s v="NM"/>
    <s v="NOV 22"/>
    <n v="2022.8"/>
    <s v="RMB"/>
    <s v="C49SZX20220112SX"/>
    <x v="241"/>
    <s v="YSM20R-2"/>
    <s v="L-&gt;R"/>
    <s v="No"/>
    <s v="OK"/>
    <s v="DDP DG"/>
    <d v="2022-11-08T00:00:00"/>
    <x v="0"/>
    <m/>
    <m/>
    <m/>
    <s v="C210239322"/>
    <n v="312"/>
  </r>
  <r>
    <n v="1750"/>
    <x v="0"/>
    <s v="C49"/>
    <n v="111020"/>
    <s v="惠州新明海"/>
    <x v="12"/>
    <s v="L-&gt;R"/>
    <s v="No"/>
    <s v="Y62873"/>
    <n v="1"/>
    <s v="力合仓库(已经清关)"/>
    <d v="2022-09-12T00:00:00"/>
    <s v="NM,"/>
    <s v="NOV 22"/>
    <n v="2022.8"/>
    <s v="RMB"/>
    <s v="C49SZX20220093EC"/>
    <x v="45"/>
    <s v="YSM20R-2"/>
    <s v="L-&gt;R"/>
    <s v="No"/>
    <s v="OK"/>
    <s v="DDP SZ"/>
    <d v="2022-10-29T00:00:00"/>
    <x v="0"/>
    <m/>
    <m/>
    <m/>
    <s v="C221044184"/>
    <n v="301"/>
  </r>
  <r>
    <n v="1752"/>
    <x v="0"/>
    <s v="C49"/>
    <n v="111020"/>
    <s v="惠州新明海"/>
    <x v="12"/>
    <s v="L-&gt;R"/>
    <s v="No"/>
    <s v="Y62874"/>
    <n v="1"/>
    <s v="力合仓库(已经清关)"/>
    <d v="2022-09-12T00:00:00"/>
    <s v="NM,"/>
    <s v="NOV 22"/>
    <n v="2022.8"/>
    <s v="RMB"/>
    <s v="C49SZX20220113DZ"/>
    <x v="4"/>
    <s v="YSM20R-2"/>
    <s v="L-&gt;R"/>
    <s v="MVC F&amp;R"/>
    <s v="WRONG"/>
    <s v="DDP SZ"/>
    <d v="2022-11-02T00:00:00"/>
    <x v="0"/>
    <m/>
    <m/>
    <m/>
    <s v="C211141606"/>
    <n v="301"/>
  </r>
  <r>
    <n v="1784"/>
    <x v="0"/>
    <s v="C49"/>
    <n v="111020"/>
    <s v="惠州新明海"/>
    <x v="12"/>
    <s v="L-&gt;R"/>
    <s v="No"/>
    <s v="Y62876"/>
    <n v="1"/>
    <s v="力合仓库(已经清关)"/>
    <d v="2022-09-12T00:00:00"/>
    <s v="NM"/>
    <s v="DEC 22"/>
    <n v="2022.8"/>
    <s v="RMB"/>
    <s v="C49SZX20220127EC"/>
    <x v="174"/>
    <s v="YSM20R-2"/>
    <s v="L-&gt;R"/>
    <s v="MVC"/>
    <s v="WRONG"/>
    <s v="DDP SZ"/>
    <d v="2022-12-19T00:00:00"/>
    <x v="0"/>
    <m/>
    <m/>
    <m/>
    <s v="C200737827"/>
    <n v="301"/>
  </r>
  <r>
    <n v="1815"/>
    <x v="0"/>
    <s v="C49"/>
    <n v="111020"/>
    <s v="惠州新明海"/>
    <x v="12"/>
    <s v="L-&gt;R"/>
    <s v="No"/>
    <s v="Y62877"/>
    <n v="1"/>
    <s v="力合仓库(已经清关)"/>
    <d v="2022-09-12T00:00:00"/>
    <n v="5.0900000000000001E-2"/>
    <s v="JAN 23"/>
    <n v="2022.8"/>
    <s v="RMB"/>
    <s v="C49SZX20230010SX"/>
    <x v="185"/>
    <s v="YSM20R-2"/>
    <s v="L-&gt;R"/>
    <s v="No"/>
    <s v="OK"/>
    <s v="DDP SZ"/>
    <d v="2023-01-12T00:00:00"/>
    <x v="0"/>
    <m/>
    <m/>
    <m/>
    <s v="C200938204"/>
    <n v="301"/>
  </r>
  <r>
    <n v="1835"/>
    <x v="0"/>
    <s v="C49"/>
    <n v="111020"/>
    <s v="惠州新明海"/>
    <x v="12"/>
    <s v="L-&gt;R"/>
    <s v="No"/>
    <s v="Y62878"/>
    <n v="1"/>
    <s v="力合仓库(已经清关)"/>
    <d v="2022-09-12T00:00:00"/>
    <n v="5.0900000000000001E-2"/>
    <s v="FEB 23"/>
    <n v="2022.8"/>
    <s v="RMB"/>
    <s v="C49SZX20230013JY"/>
    <x v="366"/>
    <s v="YSM20R-2"/>
    <s v="L-&gt;R"/>
    <s v="No"/>
    <s v="OK"/>
    <s v="DDP SZ"/>
    <d v="2023-02-10T00:00:00"/>
    <x v="0"/>
    <m/>
    <m/>
    <m/>
    <s v="C220643250"/>
    <n v="301"/>
  </r>
  <r>
    <n v="1790"/>
    <x v="0"/>
    <s v="C49"/>
    <n v="111020"/>
    <s v="惠州新明海"/>
    <x v="12"/>
    <s v="L-&gt;R"/>
    <s v="No"/>
    <s v="Y62872"/>
    <n v="1"/>
    <s v="力合仓库(已经清关)"/>
    <d v="2022-09-12T00:00:00"/>
    <n v="5.0900000000000001E-2"/>
    <s v="DEC 22"/>
    <n v="2022.8"/>
    <s v="RMB"/>
    <s v="C49SZX20220135EC"/>
    <x v="121"/>
    <s v="YSM20R-2"/>
    <s v="L-&gt;R"/>
    <s v="No"/>
    <s v="OK"/>
    <s v="DDP DG"/>
    <d v="2022-12-20T00:00:00"/>
    <x v="0"/>
    <m/>
    <m/>
    <m/>
    <s v="C210439833"/>
    <n v="311"/>
  </r>
  <r>
    <n v="1793"/>
    <x v="0"/>
    <s v="C49"/>
    <n v="111020"/>
    <s v="惠州新明海"/>
    <x v="12"/>
    <s v="L-&gt;R"/>
    <s v="No"/>
    <s v="Y62875"/>
    <n v="1"/>
    <s v="力合仓库(已经清关)"/>
    <d v="2022-09-12T00:00:00"/>
    <n v="5.0900000000000001E-2"/>
    <s v="FEB 23"/>
    <n v="2022.8"/>
    <s v="RMB"/>
    <s v="C49SZX20230008SS"/>
    <x v="367"/>
    <s v="YSM20R-2"/>
    <s v="L-&gt;R"/>
    <s v="No"/>
    <s v="OK"/>
    <s v="DDP SZ"/>
    <d v="2022-12-30T00:00:00"/>
    <x v="0"/>
    <m/>
    <m/>
    <m/>
    <s v="C220242133"/>
    <n v="311"/>
  </r>
  <r>
    <n v="1794"/>
    <x v="0"/>
    <s v="C49"/>
    <n v="111020"/>
    <s v="惠州新明海"/>
    <x v="12"/>
    <s v="L-&gt;R"/>
    <s v="No"/>
    <s v="Y62879"/>
    <n v="1"/>
    <s v="力合仓库(已经清关)"/>
    <d v="2022-09-12T00:00:00"/>
    <n v="5.1900000000000002E-2"/>
    <s v="FEB 23"/>
    <n v="2022.8"/>
    <s v="RMB"/>
    <s v="C49SZX20230008SS"/>
    <x v="367"/>
    <s v="YSM20R-2"/>
    <s v="L-&gt;R"/>
    <s v="No"/>
    <s v="OK"/>
    <s v="DDP SZ"/>
    <d v="2022-12-30T00:00:00"/>
    <x v="0"/>
    <m/>
    <m/>
    <m/>
    <s v="C220242133"/>
    <n v="311"/>
  </r>
  <r>
    <n v="1754"/>
    <x v="0"/>
    <s v="C49"/>
    <n v="111020"/>
    <s v="惠州新明海"/>
    <x v="12"/>
    <s v="R-&gt;L"/>
    <s v="No"/>
    <s v="Y62880"/>
    <n v="1"/>
    <s v="力合仓库(已经清关)"/>
    <d v="2022-09-12T00:00:00"/>
    <n v="5.1900000000000002E-2"/>
    <s v="NOV 22"/>
    <n v="2022.8"/>
    <s v="RMB"/>
    <s v="C49SZX20220119DZ"/>
    <x v="92"/>
    <s v="YSM20R-2"/>
    <s v="R-&gt;L"/>
    <s v="No"/>
    <s v="OK"/>
    <s v="DDP SZ"/>
    <d v="2022-11-14T00:00:00"/>
    <x v="0"/>
    <m/>
    <m/>
    <m/>
    <s v="C11048457"/>
    <n v="311"/>
  </r>
  <r>
    <n v="1641"/>
    <x v="0"/>
    <s v="C49"/>
    <n v="111053"/>
    <s v="力通威(sepcial)"/>
    <x v="1"/>
    <s v="R-&gt;L"/>
    <s v="MVC F&amp;R"/>
    <s v="Y63137"/>
    <n v="1"/>
    <s v="CY仓库"/>
    <d v="2022-09-26T00:00:00"/>
    <n v="5.1900000000000002E-2"/>
    <s v="JAN 23"/>
    <n v="2022.8"/>
    <s v="JPY"/>
    <s v="C49SZX20220124JL"/>
    <x v="181"/>
    <s v="YSM10"/>
    <s v="L-&gt;R"/>
    <s v="MVC"/>
    <s v="WRONG"/>
    <s v="CIF HK"/>
    <d v="2022-11-30T00:00:00"/>
    <x v="0"/>
    <m/>
    <m/>
    <m/>
    <s v="C230144717"/>
    <n v="301"/>
  </r>
  <r>
    <n v="1693"/>
    <x v="0"/>
    <s v="C49"/>
    <n v="111053"/>
    <s v="力通威(sepcial)"/>
    <x v="1"/>
    <s v="R-&gt;L"/>
    <s v="MVC F&amp;R"/>
    <s v="Y63138"/>
    <n v="1"/>
    <s v="CY仓库"/>
    <d v="2022-09-26T00:00:00"/>
    <n v="5.1900000000000002E-2"/>
    <s v="JAN 23"/>
    <n v="2022.8"/>
    <s v="JPY"/>
    <s v="C49SZX20220070JY"/>
    <x v="368"/>
    <s v="YSM10"/>
    <s v="R-&gt;L"/>
    <s v="MVC"/>
    <s v="WRONG"/>
    <s v="CIF HK"/>
    <d v="2022-06-28T00:00:00"/>
    <x v="0"/>
    <m/>
    <m/>
    <m/>
    <s v="C220743421"/>
    <n v="301"/>
  </r>
  <r>
    <n v="1692"/>
    <x v="0"/>
    <s v="C49"/>
    <n v="111053"/>
    <s v="力通威(sepcial)"/>
    <x v="1"/>
    <s v="R-&gt;L"/>
    <s v="MVC F&amp;R"/>
    <s v="Y63139"/>
    <n v="1"/>
    <s v="CY仓库"/>
    <d v="2022-09-26T00:00:00"/>
    <n v="5.1900000000000002E-2"/>
    <s v="JAN 23"/>
    <n v="2022.8"/>
    <s v="JPY"/>
    <s v="C49SZX20220070JY"/>
    <x v="368"/>
    <s v="YSM10"/>
    <s v="L-&gt;R"/>
    <s v="MVC"/>
    <s v="WRONG"/>
    <s v="CIF HK"/>
    <d v="2022-06-28T00:00:00"/>
    <x v="0"/>
    <m/>
    <m/>
    <m/>
    <s v="C220743421"/>
    <n v="301"/>
  </r>
  <r>
    <n v="1871"/>
    <x v="0"/>
    <s v="C49"/>
    <n v="111051"/>
    <s v="魔乐视"/>
    <x v="12"/>
    <s v="L-&gt;R"/>
    <s v="No"/>
    <s v="Y63079"/>
    <n v="1"/>
    <s v="前海仓库-&gt;准备清关"/>
    <d v="2022-09-26T00:00:00"/>
    <n v="5.1700000000000003E-2"/>
    <s v="MAR 23"/>
    <n v="2022.9"/>
    <s v="RMB"/>
    <s v="C49SZX20230040JY"/>
    <x v="163"/>
    <s v="YSM20R-2"/>
    <s v="L-&gt;R"/>
    <s v="No"/>
    <s v="OK"/>
    <s v="DDP SZ"/>
    <d v="2023-03-10T00:00:00"/>
    <x v="0"/>
    <m/>
    <m/>
    <m/>
    <s v="C220542973"/>
    <n v="301"/>
  </r>
  <r>
    <n v="1872"/>
    <x v="0"/>
    <s v="C49"/>
    <n v="111051"/>
    <s v="魔乐视"/>
    <x v="12"/>
    <s v="L-&gt;R"/>
    <s v="No"/>
    <s v="Y63080"/>
    <n v="1"/>
    <s v="前海仓库-&gt;准备清关"/>
    <d v="2022-09-26T00:00:00"/>
    <n v="5.1700000000000003E-2"/>
    <s v="MAR 23"/>
    <n v="2022.9"/>
    <s v="RMB"/>
    <s v="C49SZX20230040JY"/>
    <x v="163"/>
    <s v="YSM20R-2"/>
    <s v="L-&gt;R"/>
    <s v="No"/>
    <s v="OK"/>
    <s v="DDP SZ"/>
    <d v="2023-03-10T00:00:00"/>
    <x v="0"/>
    <m/>
    <m/>
    <m/>
    <s v="C220542973"/>
    <n v="301"/>
  </r>
  <r>
    <n v="1848"/>
    <x v="0"/>
    <s v="C49"/>
    <n v="111051"/>
    <s v="魔乐视"/>
    <x v="12"/>
    <s v="L-&gt;R"/>
    <s v="No"/>
    <s v="Y63075"/>
    <n v="1"/>
    <s v="前海仓库(已经清关)"/>
    <d v="2022-09-26T00:00:00"/>
    <n v="5.1700000000000003E-2"/>
    <s v="MAR 23"/>
    <n v="2022.9"/>
    <s v="RMB"/>
    <s v="C49SZX20230024MZ"/>
    <x v="193"/>
    <s v="YSM20R-2"/>
    <s v="L-&gt;R"/>
    <s v="No"/>
    <s v="OK"/>
    <s v="DDP SZ"/>
    <d v="2023-02-21T00:00:00"/>
    <x v="0"/>
    <m/>
    <m/>
    <m/>
    <s v="C200938163"/>
    <n v="301"/>
  </r>
  <r>
    <n v="1860"/>
    <x v="0"/>
    <s v="C49"/>
    <n v="111051"/>
    <s v="魔乐视"/>
    <x v="12"/>
    <s v="L-&gt;R"/>
    <s v="No"/>
    <s v="Y63076"/>
    <n v="1"/>
    <s v="前海仓库-&gt;准备清关"/>
    <d v="2022-09-26T00:00:00"/>
    <n v="5.1700000000000003E-2"/>
    <s v="MAR 23"/>
    <n v="2022.9"/>
    <s v="RMB"/>
    <s v="C49SZX20230032R1SS"/>
    <x v="369"/>
    <s v="YSM20R-2"/>
    <s v="L-&gt;R"/>
    <s v="No"/>
    <s v="OK"/>
    <s v="DDP DG"/>
    <d v="2023-02-28T00:00:00"/>
    <x v="0"/>
    <m/>
    <m/>
    <m/>
    <s v="C220543035"/>
    <n v="301"/>
  </r>
  <r>
    <n v="1852"/>
    <x v="0"/>
    <s v="C49"/>
    <n v="111051"/>
    <s v="魔乐视"/>
    <x v="12"/>
    <s v="L-&gt;R"/>
    <s v="No"/>
    <s v="Y63077"/>
    <n v="1"/>
    <s v="前海保税区"/>
    <d v="2022-09-26T00:00:00"/>
    <n v="5.1799999999999999E-2"/>
    <s v="APR 23"/>
    <n v="2022.9"/>
    <s v="RMB"/>
    <s v="C49SZX20230026EC"/>
    <x v="370"/>
    <s v="YSM20R-2"/>
    <s v="L-&gt;R"/>
    <s v="No"/>
    <s v="OK"/>
    <s v="DDP HZ"/>
    <d v="2023-02-22T00:00:00"/>
    <x v="0"/>
    <m/>
    <m/>
    <m/>
    <s v="C230345120"/>
    <n v="302"/>
  </r>
  <r>
    <n v="1873"/>
    <x v="0"/>
    <s v="C49"/>
    <n v="111051"/>
    <s v="魔乐视"/>
    <x v="12"/>
    <s v="L-&gt;R"/>
    <s v="No"/>
    <s v="Y63078"/>
    <n v="1"/>
    <s v="前海仓库-&gt;准备清关"/>
    <d v="2022-09-26T00:00:00"/>
    <n v="5.1799999999999999E-2"/>
    <s v="MAR 23"/>
    <n v="2022.9"/>
    <s v="RMB"/>
    <s v="C49SZX20230018MX"/>
    <x v="371"/>
    <s v="YSM20R-2"/>
    <s v="L-&gt;R"/>
    <s v="No"/>
    <s v="OK"/>
    <s v="DDP DG"/>
    <d v="2023-03-10T00:00:00"/>
    <x v="0"/>
    <m/>
    <m/>
    <m/>
    <s v="C230345279"/>
    <n v="302"/>
  </r>
  <r>
    <n v="1775"/>
    <x v="0"/>
    <s v="C49"/>
    <s v="111048改49F104339"/>
    <s v="络鑫#03625(special)"/>
    <x v="12"/>
    <s v="L-&gt;R"/>
    <s v="No"/>
    <s v="Y63056"/>
    <n v="1"/>
    <s v="力合仓库(已经清关)"/>
    <s v="2022/10/2,蛇口港"/>
    <n v="5.1900000000000002E-2"/>
    <s v="FEB 23"/>
    <n v="2022.8"/>
    <s v="RMB"/>
    <s v="C49SZX20220130SX"/>
    <x v="188"/>
    <s v="YSM20R-2"/>
    <s v="L-&gt;R"/>
    <s v="No"/>
    <s v="OK"/>
    <s v="DDP SZ"/>
    <d v="2022-12-08T00:00:00"/>
    <x v="0"/>
    <m/>
    <m/>
    <m/>
    <s v="C200938214"/>
    <n v="301"/>
  </r>
  <r>
    <n v="1829"/>
    <x v="0"/>
    <s v="C49"/>
    <s v="111048改49F104339"/>
    <s v="络鑫#03625(special)"/>
    <x v="12"/>
    <s v="L-&gt;R"/>
    <s v="No"/>
    <s v="Y63057"/>
    <n v="1"/>
    <s v="力合仓库(已经清关)"/>
    <s v="2022/10/2,蛇口港"/>
    <n v="5.1900000000000002E-2"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01"/>
  </r>
  <r>
    <n v="1830"/>
    <x v="0"/>
    <s v="C49"/>
    <s v="111048改49F104339"/>
    <s v="络鑫#03625(special)"/>
    <x v="12"/>
    <s v="L-&gt;R"/>
    <s v="No"/>
    <s v="Y63058"/>
    <n v="1"/>
    <s v="力合仓库(已经清关)"/>
    <s v="2022/10/2,蛇口港"/>
    <n v="5.1900000000000002E-2"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92"/>
    <x v="0"/>
    <s v="C49"/>
    <s v="111048改49F104339"/>
    <s v="络鑫#03625(special)"/>
    <x v="12"/>
    <s v="L-&gt;R"/>
    <s v="No"/>
    <s v="Y63059"/>
    <n v="1"/>
    <s v="力合仓库(已经清关)"/>
    <s v="2022/10/2,蛇口港"/>
    <n v="5.1900000000000002E-2"/>
    <s v="MAR 23"/>
    <n v="2022.8"/>
    <s v="RMB"/>
    <s v="C49SZX20230045RSX"/>
    <x v="0"/>
    <s v="YSM20R-2"/>
    <s v="L-&gt;R"/>
    <s v="No"/>
    <s v="OK"/>
    <s v="DDP DG"/>
    <d v="2023-03-16T00:00:00"/>
    <x v="0"/>
    <m/>
    <m/>
    <m/>
    <s v="C200537294"/>
    <n v="311"/>
  </r>
  <r>
    <n v="1795"/>
    <x v="0"/>
    <s v="C49"/>
    <s v="111048改49F104339"/>
    <s v="络鑫#03625(special)"/>
    <x v="12"/>
    <s v="L-&gt;R"/>
    <s v="No"/>
    <s v="Y63060"/>
    <n v="1"/>
    <s v="力合仓库(已经清关)"/>
    <s v="2022/10/2,蛇口港"/>
    <n v="5.1900000000000002E-2"/>
    <s v="FEB 23"/>
    <n v="2022.8"/>
    <s v="RMB"/>
    <s v="C49SZX20230008SS"/>
    <x v="367"/>
    <s v="YSM20R-2"/>
    <s v="L-&gt;R"/>
    <s v="No"/>
    <s v="OK"/>
    <s v="DDP SZ"/>
    <d v="2022-12-30T00:00:00"/>
    <x v="0"/>
    <m/>
    <m/>
    <m/>
    <s v="C220242133"/>
    <n v="311"/>
  </r>
  <r>
    <n v="1757"/>
    <x v="0"/>
    <s v="C49"/>
    <s v="111050改49F104341"/>
    <s v="朗特#06890(special)"/>
    <x v="12"/>
    <s v="R-&gt;L"/>
    <s v="No"/>
    <s v="Y63066"/>
    <n v="1"/>
    <s v="力合仓库(已经清关)"/>
    <s v="2022/10/2,蛇口港"/>
    <n v="5.1900000000000002E-2"/>
    <s v="NOV 22"/>
    <n v="2022.9"/>
    <s v="RMB"/>
    <s v="C49SZX20220117DZ"/>
    <x v="10"/>
    <s v="YSM20R-2"/>
    <s v="R-&gt;L"/>
    <s v="No"/>
    <s v="OK"/>
    <s v="DDP SZ"/>
    <d v="2022-11-14T00:00:00"/>
    <x v="0"/>
    <m/>
    <m/>
    <m/>
    <s v="C190534728"/>
    <n v="301"/>
  </r>
  <r>
    <n v="1758"/>
    <x v="0"/>
    <s v="C49"/>
    <s v="111050改49F104341"/>
    <s v="朗特#06890(special)"/>
    <x v="12"/>
    <s v="R-&gt;L"/>
    <s v="No"/>
    <s v="Y63067"/>
    <n v="1"/>
    <s v="力合仓库(已经清关)"/>
    <s v="2022/10/2,蛇口港"/>
    <n v="5.1900000000000002E-2"/>
    <s v="NOV 22"/>
    <n v="2022.9"/>
    <s v="RMB"/>
    <s v="C49SZX20220117DZ"/>
    <x v="10"/>
    <s v="YSM20R-2"/>
    <s v="R-&gt;L"/>
    <s v="No"/>
    <s v="OK"/>
    <s v="DDP SZ"/>
    <d v="2022-11-14T00:00:00"/>
    <x v="0"/>
    <m/>
    <m/>
    <m/>
    <s v="C190534728"/>
    <n v="301"/>
  </r>
  <r>
    <n v="1755"/>
    <x v="0"/>
    <s v="C49"/>
    <s v="111050改49F104341"/>
    <s v="朗特#06890(special)"/>
    <x v="12"/>
    <s v="L-&gt;R"/>
    <s v="No"/>
    <s v="Y63068"/>
    <n v="1"/>
    <s v="力合仓库(已经清关)"/>
    <s v="2022/10/2,蛇口港"/>
    <n v="5.1900000000000002E-2"/>
    <s v="NOV 22"/>
    <n v="2022.9"/>
    <s v="RMB"/>
    <s v="C49SZX20220117DZ"/>
    <x v="10"/>
    <s v="YSM20R-2"/>
    <s v="L-&gt;R"/>
    <s v="No"/>
    <s v="OK"/>
    <s v="DDP SZ"/>
    <d v="2022-11-14T00:00:00"/>
    <x v="0"/>
    <m/>
    <m/>
    <m/>
    <s v="C190534728"/>
    <n v="301"/>
  </r>
  <r>
    <n v="1756"/>
    <x v="0"/>
    <s v="C49"/>
    <s v="111050改49F104341"/>
    <s v="朗特#06890(special)"/>
    <x v="12"/>
    <s v="L-&gt;R"/>
    <s v="No"/>
    <s v="Y63069"/>
    <n v="1"/>
    <s v="力合仓库(已经清关)"/>
    <s v="2022/10/2,蛇口港"/>
    <n v="5.1900000000000002E-2"/>
    <s v="NOV 22"/>
    <n v="2022.9"/>
    <s v="RMB"/>
    <s v="C49SZX20220117DZ"/>
    <x v="10"/>
    <s v="YSM20R-2"/>
    <s v="L-&gt;R"/>
    <s v="No"/>
    <s v="OK"/>
    <s v="DDP SZ"/>
    <d v="2022-11-14T00:00:00"/>
    <x v="0"/>
    <m/>
    <m/>
    <m/>
    <s v="C190534728"/>
    <n v="311"/>
  </r>
  <r>
    <n v="1826"/>
    <x v="0"/>
    <s v="C49"/>
    <s v="111050改49F104341"/>
    <s v="朗特#06890(special)"/>
    <x v="12"/>
    <s v="L-&gt;R"/>
    <s v="No"/>
    <s v="Y63070"/>
    <n v="1"/>
    <s v="力合仓库(已经清关)"/>
    <s v="2022/10/2,蛇口港"/>
    <n v="5.1900000000000002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23"/>
    <x v="0"/>
    <s v="C49"/>
    <s v="111049改49F104342"/>
    <s v="创荣发(sepcial)"/>
    <x v="12"/>
    <s v="L-&gt;R"/>
    <s v="No"/>
    <s v="Y63061"/>
    <n v="1"/>
    <s v="力合仓库(已经清关)"/>
    <s v="2022/10/2,蛇口港"/>
    <m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24"/>
    <x v="0"/>
    <s v="C49"/>
    <s v="111049改49F104342"/>
    <s v="创荣发(sepcial)"/>
    <x v="12"/>
    <s v="L-&gt;R"/>
    <s v="No"/>
    <s v="Y63062"/>
    <n v="1"/>
    <s v="力合仓库(已经清关)"/>
    <s v="2022/10/2,蛇口港"/>
    <n v="5.1200000000000002E-2"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25"/>
    <x v="0"/>
    <s v="C49"/>
    <s v="111049改49F104342"/>
    <s v="创荣发(sepcial)"/>
    <x v="12"/>
    <s v="L-&gt;R"/>
    <s v="No"/>
    <s v="Y63063"/>
    <n v="1"/>
    <s v="力合仓库(已经清关)"/>
    <s v="2022/10/2,蛇口港"/>
    <n v="5.1200000000000002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729"/>
    <x v="0"/>
    <s v="C49"/>
    <s v="111049改49F104342"/>
    <s v="创荣发(sepcial)"/>
    <x v="12"/>
    <s v="R-&gt;L"/>
    <s v="No"/>
    <s v="Y63064"/>
    <n v="1"/>
    <s v="力合仓库(已经清关)"/>
    <s v="2022/10/2,蛇口港"/>
    <s v="NM,                        PO111096"/>
    <s v="DEC 22"/>
    <n v="2022.9"/>
    <s v="JPY"/>
    <s v="C49SZX20220099JY"/>
    <x v="107"/>
    <s v="YSM20R-2"/>
    <s v="R-&gt;L"/>
    <s v="No"/>
    <s v="OK"/>
    <s v="DAP HZ"/>
    <d v="2022-09-22T00:00:00"/>
    <x v="0"/>
    <m/>
    <m/>
    <m/>
    <s v="C221043971"/>
    <n v="311"/>
  </r>
  <r>
    <n v="1792"/>
    <x v="0"/>
    <s v="C49"/>
    <s v="111049改49F104342"/>
    <s v="创荣发(sepcial)"/>
    <x v="12"/>
    <s v="R-&gt;L"/>
    <s v="No"/>
    <s v="Y63065"/>
    <n v="1"/>
    <s v="力合仓库(已经清关)"/>
    <s v="2022/10/2,蛇口港"/>
    <n v="5.1200000000000002E-2"/>
    <s v="JAN 23"/>
    <n v="2022.9"/>
    <s v="RMB"/>
    <s v="C49SZX20220141SS"/>
    <x v="357"/>
    <s v="YSM20R-2"/>
    <s v="R-&gt;L"/>
    <s v="No"/>
    <s v="OK"/>
    <s v="DDP SZ"/>
    <d v="2022-12-21T00:00:00"/>
    <x v="0"/>
    <m/>
    <m/>
    <m/>
    <s v="C200236762"/>
    <n v="311"/>
  </r>
  <r>
    <n v="1765"/>
    <x v="0"/>
    <s v="C49"/>
    <s v="111052改49F104334"/>
    <s v="创荣发(sepcial)"/>
    <x v="1"/>
    <s v="R-&gt;L"/>
    <s v="MVC F&amp;R"/>
    <s v="Y63081（拆除1个相机，放在力合）"/>
    <n v="1"/>
    <s v="力合仓库(已经清关)"/>
    <s v="2022/11/7,蛇口港"/>
    <n v="5.1200000000000002E-2"/>
    <s v="APR 23"/>
    <n v="2022.8"/>
    <s v="RMB"/>
    <s v="C49SZX20220126JL"/>
    <x v="68"/>
    <s v="YSM10"/>
    <s v="L-&gt;R"/>
    <s v="MVC"/>
    <s v="WRONG"/>
    <s v="DDP SZ"/>
    <d v="2022-12-03T00:00:00"/>
    <x v="0"/>
    <m/>
    <m/>
    <m/>
    <s v="C170128496"/>
    <n v="301"/>
  </r>
  <r>
    <n v="1894"/>
    <x v="0"/>
    <s v="C49"/>
    <s v="111052改49F104334"/>
    <s v="创荣发(sepcial)"/>
    <x v="1"/>
    <s v="R-&gt;L"/>
    <s v="MVC F&amp;R+ATS15"/>
    <s v="Y63082（拆除1个相机，放在力合）"/>
    <n v="1"/>
    <s v="力合仓库(已经清关)"/>
    <s v="2022/11/7,蛇口港"/>
    <n v="5.1200000000000002E-2"/>
    <s v="APR 23"/>
    <n v="2022.9"/>
    <s v="RMB"/>
    <s v="C49SZX20230046DM"/>
    <x v="372"/>
    <s v="YSM10"/>
    <s v="L-&gt;R"/>
    <s v="MVC+ATS15"/>
    <s v="WRONG"/>
    <s v="DDP HZ"/>
    <d v="2023-03-17T00:00:00"/>
    <x v="0"/>
    <m/>
    <m/>
    <m/>
    <s v="C230345373"/>
    <n v="301"/>
  </r>
  <r>
    <n v="1874"/>
    <x v="0"/>
    <s v="C49"/>
    <s v="111052改49F104334"/>
    <s v="创荣发(sepcial)"/>
    <x v="1"/>
    <s v="R-&gt;L"/>
    <s v="MVC F&amp;R+ATS15"/>
    <s v="Y63083（拆除1个相机，放在力合）"/>
    <n v="1"/>
    <s v="力合仓库(已经清关)"/>
    <s v="2022/11/7,蛇口港"/>
    <n v="5.1200000000000002E-2"/>
    <s v="MAR 23"/>
    <n v="2022.9"/>
    <s v="RMB"/>
    <s v="C49SZX20230018MX"/>
    <x v="371"/>
    <s v="YSM10"/>
    <s v="L-&gt;R"/>
    <s v="MVC+ATS15"/>
    <s v="WRONG"/>
    <s v="DDP DG"/>
    <d v="2023-03-10T00:00:00"/>
    <x v="0"/>
    <m/>
    <m/>
    <m/>
    <s v="C230345279"/>
    <n v="301"/>
  </r>
  <r>
    <n v="1766"/>
    <x v="0"/>
    <s v="C49"/>
    <s v="111052改49F104334"/>
    <s v="创荣发(sepcial)"/>
    <x v="1"/>
    <s v="R-&gt;L"/>
    <s v="MVC F&amp;R"/>
    <s v="Y63084（拆除1个相机，放在力合）"/>
    <n v="1"/>
    <s v="力合仓库(已经清关)"/>
    <s v="2022/11/7,蛇口港"/>
    <n v="5.1200000000000002E-2"/>
    <s v="APR 23"/>
    <n v="2022.8"/>
    <s v="RMB"/>
    <s v="C49SZX20220126JL"/>
    <x v="68"/>
    <s v="YSM10"/>
    <s v="L-&gt;R"/>
    <s v="MVC"/>
    <s v="WRONG"/>
    <s v="DDP SZ"/>
    <d v="2022-12-03T00:00:00"/>
    <x v="0"/>
    <m/>
    <m/>
    <m/>
    <s v="C170128496"/>
    <n v="301"/>
  </r>
  <r>
    <n v="1853"/>
    <x v="0"/>
    <s v="C49"/>
    <s v="111052改49F104334"/>
    <s v="创荣发(sepcial)"/>
    <x v="1"/>
    <s v="R-&gt;L"/>
    <s v="MVC F&amp;R"/>
    <s v="Y63085（拆除1个相机，放在力合）"/>
    <n v="1"/>
    <s v="力合仓库(已经清关)"/>
    <s v="2022/11/7,蛇口港"/>
    <n v="5.1200000000000002E-2"/>
    <s v="APR 23"/>
    <n v="2022.8"/>
    <s v="RMB"/>
    <s v="C49SZX20230026EC"/>
    <x v="370"/>
    <s v="YSM10"/>
    <s v="L-&gt;R"/>
    <s v="MVC"/>
    <s v="WRONG"/>
    <s v="DDP HZ"/>
    <d v="2023-02-22T00:00:00"/>
    <x v="0"/>
    <m/>
    <m/>
    <m/>
    <s v="C230345120"/>
    <n v="301"/>
  </r>
  <r>
    <s v="上海预留"/>
    <x v="0"/>
    <s v="C49"/>
    <s v="111047改49F104340"/>
    <s v="世启纳"/>
    <x v="12"/>
    <s v="R-&gt;L"/>
    <s v="No"/>
    <s v="Y63071"/>
    <n v="1"/>
    <s v="力合仓库(已经清关)"/>
    <s v="2022/11/7,蛇口港"/>
    <n v="4.9700000000000001E-2"/>
    <m/>
    <n v="2022.9"/>
    <s v="RMB"/>
    <s v="C49XMN20221122/LYX"/>
    <x v="373"/>
    <s v="YSM20R-2"/>
    <s v="R-&gt;L"/>
    <s v="No"/>
    <s v="OK"/>
    <e v="#N/A"/>
    <e v="#N/A"/>
    <x v="1"/>
    <m/>
    <m/>
    <m/>
    <s v="已转上海客户"/>
    <n v="301"/>
  </r>
  <r>
    <n v="1834"/>
    <x v="0"/>
    <s v="C49"/>
    <s v="111047改49F104340"/>
    <s v="世启纳"/>
    <x v="12"/>
    <s v="R-&gt;L"/>
    <s v="No"/>
    <s v="Y63072"/>
    <n v="1"/>
    <s v="力合仓库(已经清关)"/>
    <s v="2022/11/7,蛇口港"/>
    <n v="4.9700000000000001E-2"/>
    <s v="FEB 23"/>
    <n v="2022.9"/>
    <s v="RMB"/>
    <s v="C49SZX20230012EC"/>
    <x v="174"/>
    <s v="YSM20R-2"/>
    <s v="R-&gt;L"/>
    <s v="MVC F&amp;R"/>
    <s v="WRONG"/>
    <s v="DDP SZ"/>
    <d v="2023-02-09T00:00:00"/>
    <x v="0"/>
    <m/>
    <m/>
    <m/>
    <s v="C200737827"/>
    <n v="301"/>
  </r>
  <r>
    <n v="1827"/>
    <x v="0"/>
    <s v="C49"/>
    <s v="111047改49F104340"/>
    <s v="世启纳"/>
    <x v="12"/>
    <s v="L-&gt;R"/>
    <s v="No"/>
    <s v="Y63073"/>
    <n v="1"/>
    <s v="力合仓库(已经清关)"/>
    <s v="2022/11/7,蛇口港"/>
    <n v="4.9700000000000001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01"/>
  </r>
  <r>
    <n v="1828"/>
    <x v="0"/>
    <s v="C49"/>
    <s v="111047改49F104340"/>
    <s v="世启纳"/>
    <x v="12"/>
    <s v="L-&gt;R"/>
    <s v="No"/>
    <s v="Y63074"/>
    <n v="1"/>
    <s v="力合仓库(已经清关)"/>
    <s v="2022/11/7,蛇口港"/>
    <n v="4.9700000000000001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01"/>
  </r>
  <r>
    <n v="1811"/>
    <x v="1"/>
    <s v="C49"/>
    <s v="111054改49F104337"/>
    <s v="朗特#06890(special)"/>
    <x v="1"/>
    <s v="R-&gt;L"/>
    <s v="MVC F&amp;R"/>
    <s v="Y63144"/>
    <n v="1"/>
    <s v="力合仓库(已经清关)"/>
    <s v="2022/11/7,蛇口港"/>
    <n v="4.8800000000000003E-2"/>
    <s v="MAY 23"/>
    <n v="2022.9"/>
    <s v="RMB"/>
    <s v="C49SZX20230001SX"/>
    <x v="331"/>
    <s v="YSM10"/>
    <s v="L-&gt;R"/>
    <s v="MVC"/>
    <s v="WRONG"/>
    <s v="DDP SZ"/>
    <d v="2023-01-05T00:00:00"/>
    <x v="0"/>
    <m/>
    <m/>
    <m/>
    <m/>
    <n v="301"/>
  </r>
  <r>
    <n v="1905"/>
    <x v="0"/>
    <s v="C49"/>
    <s v="111054改49F104337"/>
    <s v="朗特#06890(special)"/>
    <x v="1"/>
    <s v="R-&gt;L"/>
    <s v="MVC F&amp;R+ATS15"/>
    <s v="Y63145"/>
    <n v="1"/>
    <s v="力合仓库(已经清关)"/>
    <s v="2022/11/7,蛇口港"/>
    <n v="4.8800000000000003E-2"/>
    <s v="APR 23"/>
    <n v="2022.9"/>
    <s v="JPY"/>
    <s v="C49SZX20230054SQ"/>
    <x v="374"/>
    <s v="YSM10"/>
    <s v="R-&gt;L"/>
    <s v="MVC+ATS15"/>
    <s v="WRONG"/>
    <s v="DAP SZ"/>
    <d v="2023-04-21T00:00:00"/>
    <x v="0"/>
    <m/>
    <m/>
    <m/>
    <s v="C230445790"/>
    <n v="301"/>
  </r>
  <r>
    <n v="1903"/>
    <x v="0"/>
    <s v="C49"/>
    <s v="111054改49F104337"/>
    <s v="朗特#06890(special)"/>
    <x v="1"/>
    <s v="R-&gt;L"/>
    <s v="MVC F&amp;R+ATS15"/>
    <s v="Y63146"/>
    <n v="1"/>
    <s v="力合仓库(已经清关)"/>
    <s v="2022/11/7,蛇口港"/>
    <n v="4.8800000000000003E-2"/>
    <s v="MAY 23"/>
    <n v="2022.9"/>
    <s v="RMB"/>
    <s v="C49SZX20230049JY"/>
    <x v="343"/>
    <s v="YSM10"/>
    <s v="L-&gt;R"/>
    <s v="MVC+ATS15"/>
    <s v="WRONG"/>
    <s v="DDP SZ"/>
    <d v="2023-04-20T00:00:00"/>
    <x v="0"/>
    <m/>
    <m/>
    <m/>
    <s v="C220342243"/>
    <n v="301"/>
  </r>
  <r>
    <n v="1912"/>
    <x v="1"/>
    <s v="C49"/>
    <s v="111054改49F104337"/>
    <s v="朗特#06890(special)"/>
    <x v="1"/>
    <s v="R-&gt;L"/>
    <s v="MVC F&amp;R"/>
    <s v="Y63147"/>
    <n v="1"/>
    <s v="力合仓库(已经清关)"/>
    <s v="2022/11/7,蛇口港"/>
    <n v="4.8800000000000003E-2"/>
    <s v="MAY 23"/>
    <n v="2022.9"/>
    <s v="RMB"/>
    <s v="C49SZX20230056SX"/>
    <x v="375"/>
    <s v="YSM10"/>
    <s v="L-&gt;R"/>
    <s v="MVC"/>
    <s v="WRONG"/>
    <s v="DDP TS"/>
    <d v="2023-04-24T00:00:00"/>
    <x v="0"/>
    <m/>
    <m/>
    <m/>
    <m/>
    <n v="301"/>
  </r>
  <r>
    <n v="1719"/>
    <x v="1"/>
    <s v="C49"/>
    <s v="111055改49F104335"/>
    <s v="络鑫#03625(special)"/>
    <x v="1"/>
    <s v="R-&gt;L"/>
    <s v="MVC F&amp;R"/>
    <s v="Y63149（拆除1个相机，放在力合）"/>
    <n v="1"/>
    <s v="力合仓库(已经清关)"/>
    <s v="2022/11/7,蛇口港"/>
    <n v="4.9700000000000001E-2"/>
    <s v="TBA"/>
    <n v="2022.8"/>
    <s v="RMB"/>
    <s v="C49SZX20220091MZ"/>
    <x v="376"/>
    <s v="YSM10"/>
    <s v="L-&gt;R"/>
    <s v="MVC"/>
    <s v="WRONG"/>
    <s v="DDP LJ"/>
    <d v="2022-08-20T00:00:00"/>
    <x v="0"/>
    <m/>
    <m/>
    <m/>
    <m/>
    <n v="301"/>
  </r>
  <r>
    <n v="1481"/>
    <x v="0"/>
    <s v="C49"/>
    <s v="111055改49F104335"/>
    <s v="络鑫#03625(special)"/>
    <x v="1"/>
    <s v="R-&gt;L"/>
    <s v="MVC F&amp;R+ATS15"/>
    <s v="Y63150"/>
    <n v="1"/>
    <s v="力合仓库(已经清关)"/>
    <s v="2022/11/7,蛇口港"/>
    <n v="4.9700000000000001E-2"/>
    <s v="MAY 23"/>
    <n v="2022.9"/>
    <s v="JPY"/>
    <s v="C49SZX20220082MX"/>
    <x v="377"/>
    <s v="YSM10"/>
    <s v="L-&gt;R"/>
    <s v="MVC+ATS15"/>
    <s v="WRONG"/>
    <s v="DAP DG"/>
    <d v="2021-09-27T00:00:00"/>
    <x v="0"/>
    <m/>
    <m/>
    <m/>
    <s v="C221144350"/>
    <n v="301"/>
  </r>
  <r>
    <n v="1913"/>
    <x v="1"/>
    <s v="C49"/>
    <s v="111055改49F104335"/>
    <s v="络鑫#03625(special)"/>
    <x v="1"/>
    <s v="R-&gt;L"/>
    <s v="MVC F&amp;R"/>
    <s v="Y63151"/>
    <n v="1"/>
    <s v="力合仓库(已经清关)"/>
    <s v="2022/11/7,蛇口港"/>
    <n v="4.9700000000000001E-2"/>
    <s v="MAY 23"/>
    <n v="2022.9"/>
    <s v="RMB"/>
    <s v="C49SZX20230056SX"/>
    <x v="375"/>
    <s v="YSM10"/>
    <s v="L-&gt;R"/>
    <s v="No"/>
    <s v="WRONG"/>
    <s v="DDP TS"/>
    <d v="2023-04-24T00:00:00"/>
    <x v="0"/>
    <m/>
    <m/>
    <m/>
    <m/>
    <n v="301"/>
  </r>
  <r>
    <n v="1918"/>
    <x v="1"/>
    <s v="C49"/>
    <s v="111055改49F104335"/>
    <s v="络鑫#03625(special)"/>
    <x v="1"/>
    <s v="R-&gt;L"/>
    <s v="MVC F&amp;R"/>
    <s v="Y63152"/>
    <n v="1"/>
    <s v="力合仓库(已经清关)"/>
    <s v="2022/11/7,蛇口港"/>
    <n v="4.9700000000000001E-2"/>
    <s v="MAY 23"/>
    <n v="2022.9"/>
    <s v="RMB"/>
    <s v="C49SZX20230065EC"/>
    <x v="378"/>
    <s v="YSM10"/>
    <s v="L-&gt;R"/>
    <s v="MVC"/>
    <s v="WRONG"/>
    <s v="DDP DG"/>
    <d v="2023-05-15T00:00:00"/>
    <x v="0"/>
    <m/>
    <m/>
    <m/>
    <m/>
    <n v="301"/>
  </r>
  <r>
    <m/>
    <x v="1"/>
    <s v="C49"/>
    <s v="111055改49F104335"/>
    <s v="络鑫#03625(special)"/>
    <x v="1"/>
    <s v="R-&gt;L"/>
    <s v="MVC F&amp;R"/>
    <s v="Y63153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s v="111056改49F104336"/>
    <s v="东莞铭翔(special)"/>
    <x v="1"/>
    <s v="R-&gt;L"/>
    <s v="MVC F&amp;R"/>
    <s v="Y63154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s v="111056改49F104336"/>
    <s v="东莞铭翔(special)"/>
    <x v="1"/>
    <s v="R-&gt;L"/>
    <s v="MVC F&amp;R"/>
    <s v="Y63155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s v="111056改49F104336"/>
    <s v="东莞铭翔(special)"/>
    <x v="1"/>
    <s v="R-&gt;L"/>
    <s v="MVC F&amp;R"/>
    <s v="Y63156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n v="1712"/>
    <x v="0"/>
    <s v="C28"/>
    <n v="111077"/>
    <s v="鸿通宇名义"/>
    <x v="13"/>
    <s v="L-&gt;R"/>
    <s v="No"/>
    <s v="Y63517"/>
    <n v="1"/>
    <s v="CY仓库"/>
    <d v="2022-11-07T00:00:00"/>
    <s v="NM"/>
    <s v="NOV 22"/>
    <n v="2022.1"/>
    <s v="JPY"/>
    <s v="C28SZX20220085DZ"/>
    <x v="220"/>
    <s v="YSi-V"/>
    <s v="L-&gt;R"/>
    <s v="No"/>
    <s v="OK"/>
    <s v="CIF HK"/>
    <d v="2022-08-03T00:00:00"/>
    <x v="0"/>
    <m/>
    <m/>
    <m/>
    <s v="IND"/>
    <m/>
  </r>
  <r>
    <n v="1725"/>
    <x v="0"/>
    <s v="C49"/>
    <n v="111096"/>
    <s v="#04235博睿通(special）"/>
    <x v="12"/>
    <s v="R-&gt;L"/>
    <s v="No"/>
    <s v="Y63535"/>
    <n v="1"/>
    <s v="CY仓库"/>
    <d v="2022-11-07T00:00:00"/>
    <s v="NM"/>
    <s v="NOV 22"/>
    <n v="2022.1"/>
    <s v="JPY"/>
    <s v="159851(R2)-ELE"/>
    <x v="365"/>
    <s v="YSM20R-2"/>
    <s v="R-&gt;L"/>
    <s v="No"/>
    <s v="OK"/>
    <s v="CIF HK"/>
    <d v="2022-09-19T00:00:00"/>
    <x v="0"/>
    <m/>
    <m/>
    <m/>
    <s v="C200336938"/>
    <n v="311"/>
  </r>
  <r>
    <n v="1850"/>
    <x v="0"/>
    <s v="C49"/>
    <n v="111096"/>
    <s v="#04235博睿通(special）"/>
    <x v="12"/>
    <s v="R-&gt;L"/>
    <s v="No"/>
    <s v="Y63536"/>
    <n v="1"/>
    <s v="力合仓库(已经清关)"/>
    <d v="2022-11-07T00:00:00"/>
    <s v="0.0512 PO#111049改49F104342"/>
    <s v="MAR 23"/>
    <n v="2022.1"/>
    <s v="RMB"/>
    <s v="C49SZX20230025DZ"/>
    <x v="66"/>
    <s v="YSM20R-2"/>
    <s v="R-&gt;L"/>
    <s v="No"/>
    <s v="OK"/>
    <s v="DDP SZ"/>
    <d v="2023-02-22T00:00:00"/>
    <x v="0"/>
    <m/>
    <m/>
    <m/>
    <s v="C220643122"/>
    <n v="311"/>
  </r>
  <r>
    <n v="1906"/>
    <x v="0"/>
    <s v="C49"/>
    <n v="111096"/>
    <s v="#04235博睿通(special）"/>
    <x v="12"/>
    <s v="R-&gt;L"/>
    <s v="No"/>
    <s v="Y63537"/>
    <n v="1"/>
    <s v="力合中转仓"/>
    <d v="2022-11-07T00:00:00"/>
    <s v="NM,Coper rate 0.0530 PO#111131"/>
    <s v="APR 23"/>
    <n v="2022.1"/>
    <s v="JPY"/>
    <s v="C49SZX20230054SQ"/>
    <x v="374"/>
    <s v="YSM20R-2"/>
    <s v="R-&gt;L"/>
    <s v="No"/>
    <s v="OK"/>
    <s v="DAP SZ"/>
    <d v="2023-04-21T00:00:00"/>
    <x v="0"/>
    <m/>
    <m/>
    <m/>
    <s v="C230445790"/>
    <n v="311"/>
  </r>
  <r>
    <n v="1864"/>
    <x v="0"/>
    <s v="C49"/>
    <n v="111096"/>
    <s v="#04235博睿通(special）"/>
    <x v="12"/>
    <s v="R-&gt;L"/>
    <s v="No"/>
    <s v="Y63534"/>
    <n v="1"/>
    <s v="前海仓库-&gt;准备清关"/>
    <d v="2022-11-07T00:00:00"/>
    <s v="NM coper rate 0.0501"/>
    <s v="MAR 23"/>
    <n v="2022.1"/>
    <s v="RMB"/>
    <s v="C49SZX20230035SX"/>
    <x v="358"/>
    <s v="YSM20R-2"/>
    <s v="R-&gt;L"/>
    <s v="No"/>
    <s v="OK"/>
    <s v="DDP SZ"/>
    <d v="2023-03-01T00:00:00"/>
    <x v="0"/>
    <m/>
    <m/>
    <m/>
    <s v="C230345148 "/>
    <n v="311"/>
  </r>
  <r>
    <n v="1816"/>
    <x v="0"/>
    <s v="C49"/>
    <n v="111096"/>
    <s v="#04235博睿通(special）"/>
    <x v="12"/>
    <s v="L-&gt;R"/>
    <s v="No"/>
    <s v="Y63531"/>
    <n v="1"/>
    <s v="前海仓库-&gt;准备清关"/>
    <d v="2022-11-07T00:00:00"/>
    <s v="0.0485 PO#111020"/>
    <s v="MAR 23"/>
    <n v="2022.1"/>
    <s v="RMB"/>
    <s v="C49SZX20230005SQ"/>
    <x v="379"/>
    <s v="YSM20R-2"/>
    <s v="L-&gt;R"/>
    <s v="No"/>
    <s v="OK"/>
    <s v="DDP ZH"/>
    <d v="2023-01-11T00:00:00"/>
    <x v="0"/>
    <m/>
    <m/>
    <m/>
    <s v="C230244984"/>
    <n v="312"/>
  </r>
  <r>
    <n v="1895"/>
    <x v="0"/>
    <s v="C49"/>
    <n v="111096"/>
    <s v="#04235博睿通(special）"/>
    <x v="12"/>
    <s v="L-&gt;R"/>
    <s v="No"/>
    <s v="Y63532"/>
    <n v="1"/>
    <s v="前海保税区"/>
    <d v="2022-11-07T00:00:00"/>
    <s v="NM coper rate 0.0501"/>
    <s v="MAR 23"/>
    <n v="2022.1"/>
    <s v="RMB"/>
    <s v="C49SZX20230047R1SS"/>
    <x v="347"/>
    <s v="YSM20R-2"/>
    <s v="L-&gt;R"/>
    <s v="No"/>
    <s v="OK"/>
    <s v="DDP DG"/>
    <d v="2023-03-22T00:00:00"/>
    <x v="0"/>
    <m/>
    <m/>
    <m/>
    <s v="C220543035"/>
    <n v="312"/>
  </r>
  <r>
    <n v="1896"/>
    <x v="0"/>
    <s v="C49"/>
    <n v="111096"/>
    <s v="#04235博睿通(special）"/>
    <x v="12"/>
    <s v="L-&gt;R"/>
    <s v="No"/>
    <s v="Y63533"/>
    <n v="1"/>
    <s v="前海仓库-&gt;准备清关"/>
    <d v="2022-11-07T00:00:00"/>
    <s v="NM, Coper rate 0.0530 PO#111134"/>
    <s v="APR 23"/>
    <n v="2022.1"/>
    <s v="RMB"/>
    <s v="YJY-2023040701"/>
    <x v="359"/>
    <s v="YSM20R-2"/>
    <s v="L-&gt;R"/>
    <s v="No"/>
    <s v="OK"/>
    <s v="DDP ZS"/>
    <d v="2023-04-03T00:00:00"/>
    <x v="0"/>
    <m/>
    <m/>
    <m/>
    <s v="C221144409"/>
    <n v="312"/>
  </r>
  <r>
    <n v="1714"/>
    <x v="0"/>
    <s v="C49"/>
    <n v="111097"/>
    <s v="宝捷时计（special WKK-IND)"/>
    <x v="12"/>
    <s v="L-&gt;R"/>
    <s v="No"/>
    <s v="Y63526"/>
    <n v="1"/>
    <s v="码头"/>
    <d v="2022-11-11T00:00:00"/>
    <s v="NM"/>
    <s v="NOV 22"/>
    <n v="2022.1"/>
    <s v="JPY"/>
    <s v="C49SZX20220086VG/ESE220803STOCK-OS"/>
    <x v="380"/>
    <s v="YSM20R-2"/>
    <s v="L-&gt;R"/>
    <s v="No"/>
    <s v="OK"/>
    <s v="CIF HK"/>
    <d v="2022-08-03T00:00:00"/>
    <x v="0"/>
    <m/>
    <m/>
    <m/>
    <s v="C221044011"/>
    <n v="311"/>
  </r>
  <r>
    <n v="1713"/>
    <x v="0"/>
    <s v="C49"/>
    <n v="111097"/>
    <s v="宝捷时计（special WKK-IND)"/>
    <x v="12"/>
    <s v="L-&gt;R"/>
    <s v="cATS30+MVC+Feeder Carriage"/>
    <s v="Y63527"/>
    <n v="1"/>
    <s v="码头"/>
    <d v="2022-11-11T00:00:00"/>
    <s v="NM"/>
    <s v="NOV 22"/>
    <n v="2022.1"/>
    <s v="JPY"/>
    <s v="C49SZX20220086VG/ESE220803STOCK-OS"/>
    <x v="380"/>
    <s v="YSM20R-2"/>
    <s v="L-&gt;R"/>
    <s v="cATS30+MVC+Feeder Carriage"/>
    <s v="OK"/>
    <s v="CIF HK"/>
    <d v="2022-08-03T00:00:00"/>
    <x v="0"/>
    <m/>
    <m/>
    <m/>
    <s v="C221044011"/>
    <n v="311"/>
  </r>
  <r>
    <m/>
    <x v="1"/>
    <s v="C49"/>
    <n v="111095"/>
    <s v=" #18542斯迈(Special）"/>
    <x v="1"/>
    <s v="R-&gt;L"/>
    <s v="MVC F&amp;R"/>
    <s v="Y63521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2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3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4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5"/>
    <n v="1"/>
    <s v="力合仓库(已经清关)"/>
    <d v="2022-11-07T00:00:00"/>
    <s v="0.0527,RMB清关,PO110932"/>
    <m/>
    <n v="2022.1"/>
    <e v="#N/A"/>
    <e v="#N/A"/>
    <x v="41"/>
    <e v="#N/A"/>
    <e v="#N/A"/>
    <e v="#N/A"/>
    <e v="#N/A"/>
    <e v="#N/A"/>
    <e v="#N/A"/>
    <x v="1"/>
    <m/>
    <m/>
    <m/>
    <m/>
    <n v="301"/>
  </r>
  <r>
    <n v="1716"/>
    <x v="0"/>
    <s v="C28"/>
    <s v="28L104351"/>
    <s v="上海下单STK"/>
    <x v="13"/>
    <s v="L-&gt;R"/>
    <s v="No"/>
    <s v="Y63515"/>
    <n v="1"/>
    <m/>
    <s v="2022-10-24,上海港"/>
    <m/>
    <s v="OCT 22"/>
    <m/>
    <s v="RMB"/>
    <s v="C49SZX20220088SX"/>
    <x v="0"/>
    <s v="YSi-V"/>
    <s v="L-&gt;R"/>
    <s v="No"/>
    <s v="OK"/>
    <s v="DDP SZ"/>
    <d v="2022-08-10T00:00:00"/>
    <x v="0"/>
    <m/>
    <m/>
    <m/>
    <s v="C200537294"/>
    <m/>
  </r>
  <r>
    <m/>
    <x v="0"/>
    <s v="C28"/>
    <s v="28L104351"/>
    <s v="上海下单STK"/>
    <x v="13"/>
    <s v="L-&gt;R"/>
    <s v="No"/>
    <s v="Y63516"/>
    <n v="1"/>
    <m/>
    <s v="2022-10-24,上海港"/>
    <m/>
    <m/>
    <m/>
    <s v="RMB"/>
    <s v="留给上海做STK，有客户要"/>
    <x v="381"/>
    <s v="YSi-V"/>
    <s v="L-R"/>
    <s v="No"/>
    <s v="OK"/>
    <e v="#N/A"/>
    <e v="#N/A"/>
    <x v="1"/>
    <m/>
    <m/>
    <m/>
    <s v="上海STK"/>
    <m/>
  </r>
  <r>
    <n v="1767"/>
    <x v="0"/>
    <s v="C49"/>
    <s v="49F104436"/>
    <s v="龙大名义下单"/>
    <x v="0"/>
    <s v="L-&gt;R"/>
    <s v="No"/>
    <s v="Y58301"/>
    <n v="1"/>
    <s v="Yamaha 深圳仓库"/>
    <s v="2022-8-9Yamaha 仓库"/>
    <s v="RMB 单"/>
    <s v="DEC 22"/>
    <n v="2021.8"/>
    <s v="RMB"/>
    <s v="C49SZX20220110SS"/>
    <x v="2"/>
    <s v="YSM40R-4"/>
    <s v="L-&gt;R"/>
    <s v="No"/>
    <s v="OK"/>
    <s v="DDP SZ"/>
    <d v="2022-12-06T00:00:00"/>
    <x v="0"/>
    <m/>
    <m/>
    <m/>
    <s v="IND"/>
    <m/>
  </r>
  <r>
    <n v="1768"/>
    <x v="0"/>
    <s v="C49"/>
    <s v="49F104436"/>
    <s v="龙大名义下单"/>
    <x v="0"/>
    <s v="L-&gt;R"/>
    <s v="No"/>
    <s v="Y58699"/>
    <n v="1"/>
    <s v="Yamaha 深圳仓库"/>
    <s v="2022-8-9Yamaha 仓库"/>
    <s v="RMB 单"/>
    <s v="DEC 22"/>
    <m/>
    <s v="RMB"/>
    <s v="C49SZX20220110SS"/>
    <x v="2"/>
    <s v="YSM40R-4"/>
    <s v="L-&gt;R"/>
    <s v="No"/>
    <s v="OK"/>
    <s v="DDP SZ"/>
    <d v="2022-12-06T00:00:00"/>
    <x v="0"/>
    <m/>
    <m/>
    <m/>
    <s v="IND"/>
    <m/>
  </r>
  <r>
    <n v="1769"/>
    <x v="0"/>
    <s v="C49"/>
    <s v="49F104436"/>
    <s v="龙大名义下单"/>
    <x v="0"/>
    <s v="L-&gt;R"/>
    <s v="No"/>
    <s v="Y58700"/>
    <n v="1"/>
    <s v="Yamaha 深圳仓库"/>
    <s v="2022-8-9Yamaha 仓库"/>
    <s v="RMB 单"/>
    <s v="DEC 22"/>
    <m/>
    <s v="RMB"/>
    <s v="C49SZX20220110SS"/>
    <x v="2"/>
    <s v="YSM40R-4"/>
    <s v="L-&gt;R"/>
    <s v="No"/>
    <s v="OK"/>
    <s v="DDP SZ"/>
    <d v="2022-12-06T00:00:00"/>
    <x v="0"/>
    <m/>
    <m/>
    <m/>
    <s v="IND"/>
    <m/>
  </r>
  <r>
    <n v="1841"/>
    <x v="0"/>
    <s v="C49"/>
    <n v="111131"/>
    <s v="创荣发(Special）"/>
    <x v="1"/>
    <s v="R-&gt;L"/>
    <s v="MVC"/>
    <s v="Y64062"/>
    <n v="1"/>
    <s v="前海保税区"/>
    <d v="2023-02-03T00:00:00"/>
    <m/>
    <s v="MAR 23"/>
    <n v="2023.1"/>
    <s v="USD"/>
    <s v="SUESE#001/23"/>
    <x v="382"/>
    <s v="YSM10"/>
    <s v="L-&gt;R"/>
    <s v="No"/>
    <s v="WRONG"/>
    <s v="CIF Vietnam"/>
    <d v="2023-02-21T00:00:00"/>
    <x v="0"/>
    <m/>
    <m/>
    <m/>
    <s v="C230345258"/>
    <n v="301"/>
  </r>
  <r>
    <m/>
    <x v="1"/>
    <s v="C49"/>
    <n v="111131"/>
    <s v="创荣发(Special）"/>
    <x v="1"/>
    <s v="R-&gt;L"/>
    <s v="MVC"/>
    <s v="Y64064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n v="1919"/>
    <x v="1"/>
    <s v="C49"/>
    <n v="111131"/>
    <s v="创荣发(Special）"/>
    <x v="1"/>
    <s v="R-&gt;L"/>
    <s v="MVC+ATS15"/>
    <s v="Y64061"/>
    <n v="1"/>
    <s v="力合仓库(已经清关)"/>
    <d v="2023-02-03T00:00:00"/>
    <n v="5.2999999999999999E-2"/>
    <s v="JUN 23"/>
    <n v="2023.1"/>
    <s v="RMB"/>
    <s v="C49SZX20230066JL/HJD23050525"/>
    <x v="383"/>
    <s v="YSM10"/>
    <s v="L-&gt;R"/>
    <s v="ATS15"/>
    <s v="WRONG"/>
    <s v="DDP HY"/>
    <d v="2023-05-17T00:00:00"/>
    <x v="0"/>
    <m/>
    <m/>
    <m/>
    <m/>
    <n v="301"/>
  </r>
  <r>
    <n v="1840"/>
    <x v="0"/>
    <s v="C49"/>
    <n v="111131"/>
    <s v="创荣发(Special）"/>
    <x v="1"/>
    <s v="R-&gt;L"/>
    <s v="MVC+ATS15"/>
    <s v="Y64063"/>
    <n v="1"/>
    <s v="前海保税区"/>
    <d v="2023-02-03T00:00:00"/>
    <m/>
    <s v="MAR 23"/>
    <n v="2023.1"/>
    <s v="USD"/>
    <s v="SUESE#001/23"/>
    <x v="382"/>
    <s v="YSM10"/>
    <s v="L-&gt;R"/>
    <s v="MVC+ATS15"/>
    <s v="WRONG"/>
    <s v="CIF Vietnam"/>
    <d v="2023-02-21T00:00:00"/>
    <x v="0"/>
    <m/>
    <m/>
    <m/>
    <s v="C230345258"/>
    <n v="302"/>
  </r>
  <r>
    <n v="1865"/>
    <x v="1"/>
    <s v="C49"/>
    <n v="111131"/>
    <s v="创荣发(Special）"/>
    <x v="1"/>
    <s v="R-&gt;L"/>
    <s v="MVC+ATS15"/>
    <s v="Y64065"/>
    <n v="1"/>
    <s v="力合仓库(已经清关)"/>
    <d v="2023-02-03T00:00:00"/>
    <n v="5.2999999999999999E-2"/>
    <s v="MAY 23"/>
    <n v="2023.1"/>
    <s v="RMB"/>
    <s v="C49SZX20230035SX"/>
    <x v="358"/>
    <s v="YSM10"/>
    <s v="R-&gt;L"/>
    <s v="MVC+ATS15"/>
    <s v="OK"/>
    <s v="DDP SZ"/>
    <d v="2023-03-01T00:00:00"/>
    <x v="0"/>
    <m/>
    <m/>
    <m/>
    <m/>
    <n v="302"/>
  </r>
  <r>
    <n v="1863"/>
    <x v="1"/>
    <s v="C49"/>
    <n v="111131"/>
    <s v="创荣发(Special）"/>
    <x v="12"/>
    <s v="R-&gt;L"/>
    <s v="No"/>
    <s v="Y64012"/>
    <n v="1"/>
    <s v="前海保税区"/>
    <d v="2023-02-03T00:00:00"/>
    <s v="NM coper rate 0.0501,PO#111096"/>
    <s v="MAY 23"/>
    <n v="2022.12"/>
    <s v="RMB"/>
    <s v="C49SZX20230035SX"/>
    <x v="358"/>
    <s v="YSM20R-2"/>
    <s v="R-&gt;L"/>
    <s v="No"/>
    <s v="OK"/>
    <s v="DDP SZ"/>
    <d v="2023-03-01T00:00:00"/>
    <x v="0"/>
    <m/>
    <m/>
    <m/>
    <m/>
    <n v="301"/>
  </r>
  <r>
    <m/>
    <x v="1"/>
    <s v="C49"/>
    <n v="111131"/>
    <s v="创荣发(Special）"/>
    <x v="12"/>
    <s v="R-&gt;L"/>
    <s v="No"/>
    <s v="Y64013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01"/>
  </r>
  <r>
    <n v="1658"/>
    <x v="1"/>
    <s v="C49"/>
    <n v="111131"/>
    <s v="创荣发(Special）"/>
    <x v="12"/>
    <s v="R-&gt;L"/>
    <s v="No"/>
    <s v="Y63997"/>
    <n v="1"/>
    <s v="力合仓库(已经清关)"/>
    <d v="2023-02-03T00:00:00"/>
    <s v="NM,Coper rate 0.0530 "/>
    <s v="MAY 23"/>
    <n v="2022.12"/>
    <s v="RMB"/>
    <s v="SNFPC-CG-2022-008"/>
    <x v="360"/>
    <s v="YSM20R-2"/>
    <s v="R-&gt;L"/>
    <s v="No"/>
    <s v="OK"/>
    <s v="DDP SN"/>
    <d v="2022-04-27T00:00:00"/>
    <x v="0"/>
    <m/>
    <m/>
    <m/>
    <m/>
    <n v="301"/>
  </r>
  <r>
    <m/>
    <x v="1"/>
    <s v="C49"/>
    <n v="111131"/>
    <s v="创荣发(Special）"/>
    <x v="12"/>
    <s v="R-&gt;L"/>
    <s v="No"/>
    <s v="Y64079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11"/>
  </r>
  <r>
    <m/>
    <x v="1"/>
    <s v="C49"/>
    <n v="111131"/>
    <s v="创荣发(Special）"/>
    <x v="12"/>
    <s v="R-&gt;L"/>
    <s v="No"/>
    <s v="Y64010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11"/>
  </r>
  <r>
    <n v="1812"/>
    <x v="1"/>
    <s v="C49"/>
    <n v="111132"/>
    <s v="倍斯特"/>
    <x v="12"/>
    <s v="L-&gt;R"/>
    <s v="No"/>
    <s v="Y64060"/>
    <n v="1"/>
    <s v="前海保税区"/>
    <d v="2023-02-03T00:00:00"/>
    <s v="NM,Coper rate 0.0530 "/>
    <s v="MAY 23"/>
    <n v="2023.1"/>
    <s v="RMB"/>
    <s v="C49SZX20230001SX"/>
    <x v="331"/>
    <s v="YSM20R-2"/>
    <s v="L-&gt;R"/>
    <s v="No"/>
    <s v="OK"/>
    <s v="DDP SZ"/>
    <d v="2023-01-05T00:00:00"/>
    <x v="0"/>
    <m/>
    <m/>
    <m/>
    <m/>
    <n v="311"/>
  </r>
  <r>
    <m/>
    <x v="1"/>
    <s v="C49"/>
    <n v="111132"/>
    <s v="倍斯特(Special）"/>
    <x v="1"/>
    <s v="R-&gt;L"/>
    <s v="MVC"/>
    <s v="Y64058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2"/>
    <s v="倍斯特(Special）"/>
    <x v="1"/>
    <s v="R-&gt;L"/>
    <s v="MVC"/>
    <s v="Y64059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11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53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54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55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n v="1908"/>
    <x v="1"/>
    <s v="C49"/>
    <n v="111133"/>
    <s v="新明海"/>
    <x v="12"/>
    <s v="L-&gt;R"/>
    <s v="No"/>
    <s v="Y64056"/>
    <n v="1"/>
    <s v="前海保税区"/>
    <d v="2023-02-03T00:00:00"/>
    <s v="NM,Coper rate 0.0530 "/>
    <s v="MAY 23"/>
    <n v="2023.1"/>
    <s v="JPY"/>
    <s v="C49SZX20230055SX"/>
    <x v="217"/>
    <s v="YSM20R-2"/>
    <s v="L-&gt;R"/>
    <s v="No"/>
    <s v="OK"/>
    <s v="DAP SZ"/>
    <d v="2023-04-22T00:00:00"/>
    <x v="0"/>
    <m/>
    <m/>
    <m/>
    <m/>
    <n v="311"/>
  </r>
  <r>
    <n v="1910"/>
    <x v="0"/>
    <s v="C49"/>
    <n v="111134"/>
    <s v="锐诚电子"/>
    <x v="12"/>
    <s v="L-&gt;R"/>
    <s v="No"/>
    <s v="Y63986"/>
    <n v="1"/>
    <s v="前海保税区"/>
    <d v="2023-02-03T00:00:00"/>
    <s v="NM,Coper rate 0.0501 PO#111096"/>
    <s v="MAY 23"/>
    <n v="2022.12"/>
    <s v="RMB"/>
    <s v="C49SZX20230053MZ"/>
    <x v="362"/>
    <s v="YSM20R-2"/>
    <s v="L-&gt;R"/>
    <s v="No"/>
    <s v="OK"/>
    <s v="DDP HZ"/>
    <d v="2023-04-21T00:00:00"/>
    <x v="0"/>
    <m/>
    <m/>
    <m/>
    <s v="C230445645"/>
    <n v="301"/>
  </r>
  <r>
    <n v="1480"/>
    <x v="0"/>
    <s v="C49"/>
    <n v="111134"/>
    <s v="锐诚电子"/>
    <x v="12"/>
    <s v="L-&gt;R"/>
    <s v="No"/>
    <s v="Y63987"/>
    <n v="1"/>
    <s v="前海保税区"/>
    <d v="2023-02-03T00:00:00"/>
    <s v="NM,Coper rate 0.0530 PO#111134"/>
    <s v="MAY 23"/>
    <n v="2022.12"/>
    <s v="JPY"/>
    <s v="C49SZX20220082MX"/>
    <x v="377"/>
    <s v="YSM20R-2"/>
    <s v="L-&gt;R"/>
    <s v="No"/>
    <s v="OK"/>
    <s v="DAP DG"/>
    <d v="2021-09-27T00:00:00"/>
    <x v="0"/>
    <m/>
    <m/>
    <m/>
    <s v="C221144350"/>
    <n v="301"/>
  </r>
  <r>
    <n v="1897"/>
    <x v="0"/>
    <s v="C49"/>
    <n v="111134"/>
    <s v="锐诚电子"/>
    <x v="12"/>
    <s v="L-&gt;R"/>
    <s v="No"/>
    <s v="Y64080"/>
    <n v="1"/>
    <s v="前海仓库-&gt;准备清关"/>
    <d v="2023-02-03T00:00:00"/>
    <s v="NM,Coper rate 0.0530 "/>
    <s v="APR 23"/>
    <n v="2022.12"/>
    <s v="RMB"/>
    <s v="YJY-2023040701"/>
    <x v="359"/>
    <s v="YSM20R-2"/>
    <s v="L-&gt;R"/>
    <s v="No"/>
    <s v="OK"/>
    <s v="DDP ZS"/>
    <d v="2023-04-03T00:00:00"/>
    <x v="0"/>
    <m/>
    <m/>
    <m/>
    <s v="C221144409"/>
    <n v="301"/>
  </r>
  <r>
    <n v="1916"/>
    <x v="0"/>
    <s v="C49"/>
    <n v="111134"/>
    <s v="锐诚电子"/>
    <x v="12"/>
    <s v="L-&gt;R"/>
    <s v="No"/>
    <s v="Y64002"/>
    <n v="1"/>
    <s v="前海保税区"/>
    <d v="2023-02-03T00:00:00"/>
    <s v="NM,Coper rate 0.0530 "/>
    <s v="MAY 23"/>
    <n v="2022.12"/>
    <s v="HKD"/>
    <s v="C49SZX20230063TS"/>
    <x v="384"/>
    <s v="YSM20R-2"/>
    <s v="L-&gt;R"/>
    <s v="No"/>
    <s v="OK"/>
    <s v="CIF HK"/>
    <d v="2023-05-02T00:00:00"/>
    <x v="0"/>
    <m/>
    <m/>
    <m/>
    <s v="C230545984"/>
    <n v="311"/>
  </r>
  <r>
    <n v="1893"/>
    <x v="0"/>
    <s v="C49"/>
    <n v="111134"/>
    <s v="锐诚电子"/>
    <x v="12"/>
    <s v="L-&gt;R"/>
    <s v="No"/>
    <s v="Y64003"/>
    <n v="1"/>
    <s v="前海保税区"/>
    <d v="2023-02-03T00:00:00"/>
    <s v="NM,Coper rate 0.0530 "/>
    <s v="APR 23"/>
    <n v="2022.12"/>
    <s v="RMB"/>
    <s v="C49SZX20230046DM"/>
    <x v="372"/>
    <s v="YSM20R-2"/>
    <s v="L-&gt;R"/>
    <s v="No"/>
    <s v="OK"/>
    <s v="DDP HZ"/>
    <d v="2023-03-17T00:00:00"/>
    <x v="0"/>
    <m/>
    <m/>
    <m/>
    <s v="C230345373"/>
    <n v="311"/>
  </r>
  <r>
    <n v="1787"/>
    <x v="0"/>
    <s v="C49"/>
    <n v="111202"/>
    <s v="海红天远"/>
    <x v="11"/>
    <s v="R-&gt;L"/>
    <s v="No"/>
    <s v="Y64550"/>
    <n v="1"/>
    <s v="码头"/>
    <d v="2023-03-24T00:00:00"/>
    <m/>
    <s v="MAR 23"/>
    <n v="2023.3"/>
    <s v="JPY"/>
    <s v="C49SZX20220128EC"/>
    <x v="174"/>
    <s v="YSM20WR-2"/>
    <s v="R-&gt;L"/>
    <s v="No"/>
    <s v="OK"/>
    <s v="CIF HK"/>
    <d v="2022-12-19T00:00:00"/>
    <x v="0"/>
    <m/>
    <m/>
    <m/>
    <s v="IND"/>
    <n v="303"/>
  </r>
  <r>
    <n v="1788"/>
    <x v="0"/>
    <s v="C49"/>
    <n v="111202"/>
    <s v="海红天远"/>
    <x v="11"/>
    <s v="R-&gt;L"/>
    <s v="MVC"/>
    <s v="Y64551"/>
    <n v="1"/>
    <s v="码头"/>
    <d v="2023-03-24T00:00:00"/>
    <m/>
    <s v="MAR 23"/>
    <n v="2023.3"/>
    <s v="JPY"/>
    <s v="C49SZX20220128EC"/>
    <x v="174"/>
    <s v="YSM20WR-2"/>
    <s v="R-&gt;L"/>
    <s v="No"/>
    <s v="WRONG"/>
    <s v="CIF HK"/>
    <d v="2022-12-19T00:00:00"/>
    <x v="0"/>
    <m/>
    <m/>
    <m/>
    <s v="IND"/>
    <n v="303"/>
  </r>
  <r>
    <n v="1789"/>
    <x v="0"/>
    <s v="C49"/>
    <n v="111202"/>
    <s v="海红天远"/>
    <x v="11"/>
    <s v="R-&gt;L"/>
    <s v="cATS10+MVC+Feeder Carriage"/>
    <s v="Y64552"/>
    <n v="1"/>
    <s v="码头"/>
    <d v="2023-03-24T00:00:00"/>
    <m/>
    <s v="MAR 23"/>
    <n v="2023.3"/>
    <s v="JPY"/>
    <s v="C49SZX20220128EC"/>
    <x v="174"/>
    <s v="YSM20WR-2"/>
    <s v="R-&gt;L"/>
    <s v="cATS10+MVC(F&amp;R)+Feeder Carriage"/>
    <s v="WRONG"/>
    <s v="CIF HK"/>
    <d v="2022-12-19T00:00:00"/>
    <x v="0"/>
    <m/>
    <m/>
    <m/>
    <s v="IND"/>
    <n v="301"/>
  </r>
  <r>
    <n v="1818"/>
    <x v="0"/>
    <s v="C49"/>
    <n v="111222"/>
    <s v="雷特名义"/>
    <x v="12"/>
    <s v="L-&gt;R"/>
    <s v="cATS10+MVC+Feeder Carriage"/>
    <s v="Y64933"/>
    <n v="1"/>
    <m/>
    <d v="2023-04-07T00:00:00"/>
    <n v="5.16E-2"/>
    <s v="TBA"/>
    <n v="2023.3"/>
    <s v="RMB"/>
    <s v="C49SZX20230007SX"/>
    <x v="354"/>
    <s v="YSM20R-2"/>
    <s v="L-&gt;R"/>
    <s v="cATS10+MVC+Feeder Carriage"/>
    <s v="OK"/>
    <s v="DDP ZH"/>
    <d v="2023-01-16T00:00:00"/>
    <x v="0"/>
    <m/>
    <m/>
    <m/>
    <s v="IND"/>
    <n v="301"/>
  </r>
  <r>
    <n v="1856"/>
    <x v="0"/>
    <s v="C49"/>
    <n v="111252"/>
    <s v="龙大名义下单"/>
    <x v="0"/>
    <s v="L-&gt;R"/>
    <s v="No"/>
    <s v="Y65176"/>
    <n v="1"/>
    <m/>
    <d v="2023-04-17T00:00:00"/>
    <n v="5.0900000000000001E-2"/>
    <s v="APR 23"/>
    <n v="2023.3"/>
    <s v="RMB"/>
    <s v="C49SZX20230029SS"/>
    <x v="2"/>
    <s v="YSM40R-4"/>
    <s v="R-&gt;L"/>
    <s v="No"/>
    <s v="WRONG"/>
    <s v="DDP SZ"/>
    <d v="2023-02-28T00:00:00"/>
    <x v="0"/>
    <m/>
    <m/>
    <m/>
    <s v="IND"/>
    <s v="72GD"/>
  </r>
  <r>
    <n v="1857"/>
    <x v="0"/>
    <s v="C49"/>
    <n v="111252"/>
    <s v="龙大名义下单"/>
    <x v="0"/>
    <s v="L-&gt;R"/>
    <s v="No"/>
    <s v="Y65177"/>
    <n v="1"/>
    <m/>
    <d v="2023-04-17T00:00:00"/>
    <n v="5.0900000000000001E-2"/>
    <s v="APR 23"/>
    <n v="2023.3"/>
    <s v="RMB"/>
    <s v="C49SZX20230029SS"/>
    <x v="2"/>
    <s v="YSM40R-4"/>
    <s v="R-&gt;L"/>
    <s v="No"/>
    <s v="WRONG"/>
    <s v="DDP SZ"/>
    <d v="2023-02-28T00:00:00"/>
    <x v="0"/>
    <m/>
    <m/>
    <m/>
    <s v="IND"/>
    <s v="72GD"/>
  </r>
  <r>
    <n v="1858"/>
    <x v="0"/>
    <s v="C49"/>
    <n v="111252"/>
    <s v="龙大名义下单"/>
    <x v="0"/>
    <s v="L-&gt;R"/>
    <s v="No"/>
    <s v="Y65178"/>
    <n v="1"/>
    <m/>
    <d v="2023-04-17T00:00:00"/>
    <n v="5.0900000000000001E-2"/>
    <s v="APR 23"/>
    <n v="2023.3"/>
    <s v="RMB"/>
    <s v="C49SZX20230029SS"/>
    <x v="2"/>
    <s v="YSM40R-4"/>
    <s v="L-&gt;R"/>
    <s v="No"/>
    <s v="OK"/>
    <s v="DDP SZ"/>
    <d v="2023-02-28T00:00:00"/>
    <x v="0"/>
    <m/>
    <m/>
    <m/>
    <s v="IND"/>
    <s v="72GD"/>
  </r>
  <r>
    <n v="1859"/>
    <x v="0"/>
    <s v="C49"/>
    <n v="111252"/>
    <s v="龙大名义下单"/>
    <x v="0"/>
    <s v="L-&gt;R"/>
    <s v="No"/>
    <s v="Y65179"/>
    <n v="1"/>
    <m/>
    <d v="2023-04-17T00:00:00"/>
    <n v="5.0900000000000001E-2"/>
    <s v="APR 23"/>
    <n v="2023.3"/>
    <s v="RMB"/>
    <s v="C49SZX20230029SS"/>
    <x v="2"/>
    <s v="YSM40R-4"/>
    <s v="L-&gt;R"/>
    <s v="No"/>
    <s v="OK"/>
    <s v="DDP SZ"/>
    <d v="2023-02-28T00:00:00"/>
    <x v="0"/>
    <m/>
    <m/>
    <m/>
    <s v="IND"/>
    <s v="72GD"/>
  </r>
  <r>
    <m/>
    <x v="1"/>
    <s v="C49"/>
    <n v="111254"/>
    <s v="STK"/>
    <x v="1"/>
    <s v="R-&gt;L"/>
    <s v="No"/>
    <s v="Y65161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2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3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4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5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n v="1842"/>
    <x v="0"/>
    <s v="C49"/>
    <n v="111247"/>
    <s v="耕创名义下单"/>
    <x v="0"/>
    <s v="L-&gt;R"/>
    <s v="No"/>
    <s v="Y65157"/>
    <n v="1"/>
    <m/>
    <d v="2023-05-08T00:00:00"/>
    <n v="5.1700000000000003E-2"/>
    <s v="MAY 23"/>
    <n v="2023.4"/>
    <s v="RMB"/>
    <s v="C49SZX20230015DZ"/>
    <x v="385"/>
    <s v="YSM40R-4"/>
    <s v="L-&gt;R"/>
    <s v="No"/>
    <s v="OK"/>
    <s v="DDP SZ"/>
    <d v="2023-02-21T00:00:00"/>
    <x v="0"/>
    <m/>
    <m/>
    <m/>
    <s v="IND"/>
    <s v="72GD"/>
  </r>
  <r>
    <n v="1843"/>
    <x v="0"/>
    <s v="C49"/>
    <n v="111247"/>
    <s v="耕创名义下单"/>
    <x v="0"/>
    <s v="L-&gt;R"/>
    <s v="No"/>
    <s v="Y65158"/>
    <n v="1"/>
    <m/>
    <d v="2023-05-08T00:00:00"/>
    <n v="5.1700000000000003E-2"/>
    <s v="MAY 23"/>
    <n v="2023.4"/>
    <s v="RMB"/>
    <s v="C49SZX20230016DZ"/>
    <x v="310"/>
    <s v="YSM40R-4"/>
    <s v="L-&gt;R"/>
    <s v="No"/>
    <s v="OK"/>
    <s v="DDP HZ"/>
    <d v="2023-02-21T00:00:00"/>
    <x v="0"/>
    <m/>
    <m/>
    <m/>
    <s v="IND"/>
    <s v="72GD"/>
  </r>
  <r>
    <n v="1844"/>
    <x v="0"/>
    <s v="C49"/>
    <n v="111247"/>
    <s v="耕创名义下单"/>
    <x v="0"/>
    <s v="L-&gt;R"/>
    <s v="No"/>
    <s v="Y65159"/>
    <n v="1"/>
    <m/>
    <d v="2023-05-08T00:00:00"/>
    <n v="5.1700000000000003E-2"/>
    <s v="MAY 23"/>
    <n v="2023.4"/>
    <s v="RMB"/>
    <s v="C49SZX20230016DZ"/>
    <x v="310"/>
    <s v="YSM40R-4"/>
    <s v="L-&gt;R"/>
    <s v="No"/>
    <s v="OK"/>
    <s v="DDP HZ"/>
    <d v="2023-02-21T00:00:00"/>
    <x v="0"/>
    <m/>
    <m/>
    <m/>
    <s v="IND"/>
    <s v="72GD"/>
  </r>
  <r>
    <n v="1845"/>
    <x v="0"/>
    <s v="C49"/>
    <n v="111247"/>
    <s v="耕创名义下单"/>
    <x v="0"/>
    <s v="L-&gt;R"/>
    <s v="No"/>
    <s v="Y65160"/>
    <n v="1"/>
    <m/>
    <d v="2023-05-08T00:00:00"/>
    <n v="5.1700000000000003E-2"/>
    <s v="MAY 23"/>
    <n v="2023.4"/>
    <s v="RMB"/>
    <s v="C49SZX20230016DZ"/>
    <x v="310"/>
    <s v="YSM40R-4"/>
    <s v="L-&gt;R"/>
    <s v="No"/>
    <s v="OK"/>
    <s v="DDP HZ"/>
    <d v="2023-02-21T00:00:00"/>
    <x v="0"/>
    <m/>
    <m/>
    <m/>
    <s v="IND"/>
    <s v="72GD"/>
  </r>
  <r>
    <n v="1867"/>
    <x v="0"/>
    <s v="C49"/>
    <n v="111258"/>
    <s v="SZ Longda"/>
    <x v="0"/>
    <s v="L-&gt;R"/>
    <s v="No"/>
    <s v="Y65376"/>
    <n v="1"/>
    <m/>
    <d v="2023-05-08T00:00:00"/>
    <n v="5.1799999999999999E-2"/>
    <s v="MAY 23"/>
    <n v="2023.4"/>
    <s v="RMB"/>
    <s v="C49SZX20230036SS"/>
    <x v="2"/>
    <s v="YSM40R-4"/>
    <s v="L-&gt;R"/>
    <s v="No"/>
    <s v="OK"/>
    <s v="DDP SZ"/>
    <d v="2023-03-03T00:00:00"/>
    <x v="0"/>
    <m/>
    <m/>
    <m/>
    <s v="IND"/>
    <s v="72GD"/>
  </r>
  <r>
    <n v="1868"/>
    <x v="0"/>
    <s v="C49"/>
    <n v="111258"/>
    <s v="SZ Longda"/>
    <x v="0"/>
    <s v="L-&gt;R"/>
    <s v="No"/>
    <s v="Y65377"/>
    <n v="1"/>
    <m/>
    <d v="2023-05-08T00:00:00"/>
    <n v="5.1799999999999999E-2"/>
    <s v="MAY 23"/>
    <n v="2023.4"/>
    <s v="RMB"/>
    <s v="C49SZX20230036SS"/>
    <x v="2"/>
    <s v="YSM40R-4"/>
    <s v="L-&gt;R"/>
    <s v="No"/>
    <s v="OK"/>
    <s v="DDP SZ"/>
    <d v="2023-03-03T00:00:00"/>
    <x v="0"/>
    <m/>
    <m/>
    <m/>
    <s v="IND"/>
    <s v="72GD"/>
  </r>
  <r>
    <n v="1130"/>
    <x v="1"/>
    <s v="C49"/>
    <n v="111253"/>
    <s v="STK"/>
    <x v="12"/>
    <s v="L-&gt;R"/>
    <s v="No"/>
    <s v="Y65217"/>
    <n v="1"/>
    <s v="前海保税区"/>
    <d v="2023-05-15T00:00:00"/>
    <n v="5.1799999999999999E-2"/>
    <s v="MAY 23"/>
    <n v="2023.4"/>
    <s v="JPY"/>
    <s v="C49SZX20210043AY"/>
    <x v="386"/>
    <s v="YSM20R-2"/>
    <s v="L-&gt;R"/>
    <s v="No"/>
    <s v="OK"/>
    <s v="DAP SZ"/>
    <d v="2021-02-03T00:00:00"/>
    <x v="0"/>
    <m/>
    <m/>
    <m/>
    <m/>
    <n v="301"/>
  </r>
  <r>
    <n v="1900"/>
    <x v="1"/>
    <s v="C49"/>
    <n v="111253"/>
    <s v="STK"/>
    <x v="12"/>
    <s v="L-&gt;R"/>
    <s v="No"/>
    <s v="Y65218"/>
    <n v="1"/>
    <s v="前海保税区"/>
    <d v="2023-05-15T00:00:00"/>
    <n v="5.1799999999999999E-2"/>
    <s v="MAY 23"/>
    <n v="2023.4"/>
    <s v="RMB"/>
    <s v="C49SZX20230048SQ"/>
    <x v="387"/>
    <s v="YSM20R-2"/>
    <s v="L-&gt;R"/>
    <s v="No"/>
    <s v="OK"/>
    <s v="DDP SZ"/>
    <d v="2023-04-18T00:00:00"/>
    <x v="0"/>
    <m/>
    <m/>
    <m/>
    <m/>
    <n v="301"/>
  </r>
  <r>
    <m/>
    <x v="1"/>
    <s v="C49"/>
    <n v="111253"/>
    <s v="STK"/>
    <x v="12"/>
    <s v="L-&gt;R"/>
    <s v="No"/>
    <s v="Y65219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0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1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2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3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4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n v="1652"/>
    <x v="1"/>
    <s v="C49"/>
    <n v="111253"/>
    <s v="STK"/>
    <x v="12"/>
    <s v="L-&gt;R"/>
    <s v="No"/>
    <s v="Y65225"/>
    <n v="1"/>
    <s v="前海保税区"/>
    <d v="2023-05-15T00:00:00"/>
    <n v="5.1799999999999999E-2"/>
    <s v="TBA"/>
    <n v="2023.4"/>
    <s v="JPY"/>
    <s v="C49SZX20220049JY"/>
    <x v="238"/>
    <s v="YSM20R-2"/>
    <s v="L-&gt;R"/>
    <s v="MVC"/>
    <s v="WRONG"/>
    <s v="CIF HK"/>
    <d v="2022-04-21T00:00:00"/>
    <x v="0"/>
    <m/>
    <m/>
    <m/>
    <m/>
    <n v="301"/>
  </r>
  <r>
    <n v="1654"/>
    <x v="1"/>
    <s v="C49"/>
    <n v="111253"/>
    <s v="STK"/>
    <x v="12"/>
    <s v="L-&gt;R"/>
    <s v="No"/>
    <s v="Y65226"/>
    <n v="1"/>
    <s v="前海保税区"/>
    <d v="2023-05-15T00:00:00"/>
    <n v="5.1799999999999999E-2"/>
    <s v="TBA"/>
    <n v="2023.4"/>
    <s v="JPY"/>
    <s v="C49SZX20220049JY"/>
    <x v="238"/>
    <s v="YSM20R-2"/>
    <s v="L-&gt;R"/>
    <s v="No"/>
    <s v="OK"/>
    <s v="CIF HK"/>
    <d v="2022-04-21T00:00:00"/>
    <x v="0"/>
    <m/>
    <m/>
    <m/>
    <m/>
    <n v="301"/>
  </r>
  <r>
    <n v="1911"/>
    <x v="0"/>
    <s v="C49"/>
    <s v="49A104149(北京单采购)"/>
    <s v="STK"/>
    <x v="12"/>
    <s v="L-&gt;R"/>
    <s v="No"/>
    <s v="Y60261"/>
    <n v="1"/>
    <s v="力合仓库(已经清关)"/>
    <s v="2022/4/15 北京单"/>
    <s v="平均价"/>
    <s v="MAY 23"/>
    <n v="2022.03"/>
    <s v="RMB"/>
    <s v="C49SZX20230058EC"/>
    <x v="259"/>
    <s v="YSM20R-2"/>
    <s v="L-&gt;R"/>
    <s v="No"/>
    <s v="OK"/>
    <s v="DDP DG"/>
    <d v="2023-04-26T00:00:00"/>
    <x v="0"/>
    <m/>
    <m/>
    <m/>
    <s v="C210540263"/>
    <n v="302"/>
  </r>
  <r>
    <n v="1914"/>
    <x v="0"/>
    <s v="C49"/>
    <s v="49A104191(北京单采购)"/>
    <s v="STK"/>
    <x v="12"/>
    <s v="L-&gt;R"/>
    <s v="No"/>
    <s v="Y60940"/>
    <n v="1"/>
    <s v="力合仓库(已经清关)"/>
    <s v="2022/4/15 北京单"/>
    <s v="平均价"/>
    <s v="MAY 23"/>
    <n v="2022.04"/>
    <s v="RMB"/>
    <s v="C49SZX20230060RZ"/>
    <x v="388"/>
    <s v="YSM20R-2"/>
    <s v="L-&gt;R"/>
    <s v="No"/>
    <s v="OK"/>
    <s v="DDP SZ"/>
    <d v="2023-05-06T00:00:00"/>
    <x v="0"/>
    <m/>
    <m/>
    <m/>
    <s v="C230545853"/>
    <n v="301"/>
  </r>
  <r>
    <n v="1915"/>
    <x v="0"/>
    <s v="C49"/>
    <s v="49A104204(北京单采购)"/>
    <s v="STK"/>
    <x v="12"/>
    <s v="L-&gt;R"/>
    <s v="No"/>
    <s v="Y61086"/>
    <n v="1"/>
    <s v="力合仓库(已经清关)"/>
    <s v="2022/4/15 北京单"/>
    <s v="平均价"/>
    <s v="MAY 23"/>
    <n v="2022.03"/>
    <s v="RMB"/>
    <s v="C49SZX20230060RZ"/>
    <x v="388"/>
    <s v="YSM20R-2"/>
    <s v="L-&gt;R"/>
    <s v="No"/>
    <s v="OK"/>
    <s v="DDP SZ"/>
    <d v="2023-05-06T00:00:00"/>
    <x v="0"/>
    <m/>
    <m/>
    <m/>
    <s v="C230545853"/>
    <n v="301"/>
  </r>
  <r>
    <m/>
    <x v="1"/>
    <s v="C49"/>
    <s v="49A104234(北京单采购)"/>
    <s v="STK"/>
    <x v="12"/>
    <s v="L-&gt;R"/>
    <s v="No"/>
    <s v="Y62075"/>
    <n v="1"/>
    <s v="力合仓库(已经清关)"/>
    <s v="2022-7-25北京单"/>
    <s v="平均价"/>
    <m/>
    <n v="2022.06"/>
    <e v="#N/A"/>
    <e v="#N/A"/>
    <x v="41"/>
    <e v="#N/A"/>
    <e v="#N/A"/>
    <e v="#N/A"/>
    <e v="#N/A"/>
    <e v="#N/A"/>
    <e v="#N/A"/>
    <x v="1"/>
    <m/>
    <m/>
    <m/>
    <m/>
    <n v="302"/>
  </r>
  <r>
    <m/>
    <x v="1"/>
    <s v="C49"/>
    <s v="49A104251(北京单采购)"/>
    <s v="STK"/>
    <x v="12"/>
    <s v="L-&gt;R"/>
    <s v="No"/>
    <s v="Y62432"/>
    <n v="1"/>
    <s v="力合仓库(已经清关)"/>
    <s v="2022-7-25北京单"/>
    <s v="平均价"/>
    <m/>
    <n v="2022.07"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57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58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59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60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61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n v="1429"/>
    <x v="2"/>
    <s v="C49"/>
    <s v="111277(拆分PO111305)"/>
    <s v="STK"/>
    <x v="1"/>
    <s v="R-&gt;L"/>
    <s v="ATS15"/>
    <s v="Y65762"/>
    <n v="1"/>
    <m/>
    <d v="2023-06-23T00:00:00"/>
    <n v="5.0799999999999998E-2"/>
    <s v="TBA"/>
    <m/>
    <s v="JPY"/>
    <s v="C49SZX20210169VG"/>
    <x v="257"/>
    <s v="YSM10"/>
    <s v="L-&gt;R"/>
    <s v="MVC F&amp;R+ATS15"/>
    <s v="WRONG"/>
    <s v="DAP SZ"/>
    <d v="2021-06-11T00:00:00"/>
    <x v="0"/>
    <m/>
    <m/>
    <m/>
    <m/>
    <n v="301"/>
  </r>
  <r>
    <n v="1430"/>
    <x v="2"/>
    <s v="C49"/>
    <s v="111277(拆分PO111305)"/>
    <s v="STK"/>
    <x v="1"/>
    <s v="R-&gt;L"/>
    <s v="ATS15"/>
    <s v="Y65763"/>
    <n v="1"/>
    <m/>
    <d v="2023-06-23T00:00:00"/>
    <n v="5.0799999999999998E-2"/>
    <s v="TBA"/>
    <m/>
    <s v="JPY"/>
    <s v="C49SZX20210169VG（已发相机）"/>
    <x v="257"/>
    <s v="YSM10"/>
    <s v="L-&gt;R"/>
    <s v="MVC+ATS15"/>
    <s v="WRONG"/>
    <s v="DAP SZ"/>
    <d v="2021-06-11T00:00:00"/>
    <x v="0"/>
    <m/>
    <m/>
    <m/>
    <m/>
    <n v="301"/>
  </r>
  <r>
    <m/>
    <x v="2"/>
    <s v="C49"/>
    <s v="111277(拆分PO111305)"/>
    <s v="STK"/>
    <x v="1"/>
    <s v="R-&gt;L"/>
    <s v="ATS15"/>
    <s v="Y65764"/>
    <n v="1"/>
    <m/>
    <d v="2023-06-23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7(拆分PO111305)"/>
    <s v="STK"/>
    <x v="1"/>
    <s v="R-&gt;L"/>
    <s v="ATS15"/>
    <s v="Y65765"/>
    <n v="1"/>
    <m/>
    <d v="2023-06-23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7(拆分PO111305)"/>
    <s v="STK"/>
    <x v="1"/>
    <s v="R-&gt;L"/>
    <s v="ATS15"/>
    <s v="Y65766"/>
    <n v="1"/>
    <m/>
    <d v="2023-06-23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n v="1901"/>
    <x v="2"/>
    <s v="C49"/>
    <n v="111278"/>
    <s v="STK"/>
    <x v="12"/>
    <s v="L-&gt;R"/>
    <s v="No"/>
    <s v="Y65768"/>
    <n v="1"/>
    <m/>
    <d v="2023-06-21T00:00:00"/>
    <n v="5.16E-2"/>
    <s v="TBA"/>
    <m/>
    <s v="RMB"/>
    <s v="C49SZX20230050SQ"/>
    <x v="387"/>
    <s v="YSM20R-2"/>
    <s v="L-&gt;R"/>
    <s v="No"/>
    <s v="OK"/>
    <s v="DDP SZ"/>
    <d v="2023-04-18T00:00:00"/>
    <x v="0"/>
    <m/>
    <m/>
    <m/>
    <m/>
    <n v="301"/>
  </r>
  <r>
    <n v="1904"/>
    <x v="2"/>
    <s v="C49"/>
    <n v="111278"/>
    <s v="STK"/>
    <x v="12"/>
    <s v="L-&gt;R"/>
    <s v="No"/>
    <s v="Y65769"/>
    <n v="1"/>
    <m/>
    <d v="2023-06-21T00:00:00"/>
    <n v="5.16E-2"/>
    <s v="TBA"/>
    <m/>
    <s v="RMB"/>
    <s v="C49SZX20230050SQ"/>
    <x v="387"/>
    <s v="YSM20R-2"/>
    <s v="L-&gt;R"/>
    <s v="No"/>
    <s v="OK"/>
    <s v="DDP SZ"/>
    <d v="2023-04-18T00:00:00"/>
    <x v="2"/>
    <m/>
    <m/>
    <m/>
    <m/>
    <n v="301"/>
  </r>
  <r>
    <m/>
    <x v="2"/>
    <s v="C49"/>
    <n v="111278"/>
    <s v="STK"/>
    <x v="12"/>
    <s v="L-&gt;R"/>
    <s v="No"/>
    <s v="Y65770"/>
    <n v="1"/>
    <m/>
    <d v="2023-06-21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8"/>
    <s v="STK"/>
    <x v="12"/>
    <s v="L-&gt;R"/>
    <s v="No"/>
    <s v="Y65771"/>
    <n v="1"/>
    <m/>
    <d v="2023-06-21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8"/>
    <s v="STK"/>
    <x v="12"/>
    <s v="L-&gt;R"/>
    <s v="No"/>
    <s v="Y65772"/>
    <n v="1"/>
    <m/>
    <d v="2023-06-21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8(拆分PO111304)"/>
    <s v="STK"/>
    <x v="12"/>
    <s v="L-&gt;R"/>
    <s v="No"/>
    <s v="Y65773"/>
    <n v="1"/>
    <m/>
    <d v="2023-06-21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8(拆分PO111304)"/>
    <s v="STK"/>
    <x v="12"/>
    <s v="L-&gt;R"/>
    <s v="No"/>
    <s v="Y65774"/>
    <n v="1"/>
    <m/>
    <d v="2023-06-21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8(拆分PO111304)"/>
    <s v="STK"/>
    <x v="12"/>
    <s v="L-&gt;R"/>
    <s v="No"/>
    <s v="Y65775"/>
    <n v="1"/>
    <m/>
    <d v="2023-06-21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n v="1427"/>
    <x v="2"/>
    <s v="C49"/>
    <s v="111278(拆分PO111304)"/>
    <s v="STK"/>
    <x v="12"/>
    <s v="L-&gt;R"/>
    <s v="No"/>
    <s v="Y65776"/>
    <n v="1"/>
    <m/>
    <d v="2023-06-21T00:00:00"/>
    <n v="5.0799999999999998E-2"/>
    <s v="TBA"/>
    <m/>
    <s v="JPY"/>
    <s v="C49SZX20210169VG"/>
    <x v="257"/>
    <s v="YSM20R-2"/>
    <s v="L-&gt;R"/>
    <s v="No"/>
    <s v="OK"/>
    <s v="DAP SZ"/>
    <d v="2021-06-11T00:00:00"/>
    <x v="0"/>
    <m/>
    <m/>
    <m/>
    <m/>
    <n v="301"/>
  </r>
  <r>
    <n v="1428"/>
    <x v="2"/>
    <s v="C49"/>
    <s v="111278(拆分PO111304)"/>
    <s v="STK"/>
    <x v="12"/>
    <s v="L-&gt;R"/>
    <s v="No"/>
    <s v="Y65777"/>
    <n v="1"/>
    <m/>
    <d v="2023-06-21T00:00:00"/>
    <n v="5.0799999999999998E-2"/>
    <s v="TBA"/>
    <m/>
    <s v="JPY"/>
    <s v="C49SZX20210169VG"/>
    <x v="257"/>
    <s v="YSM20R-2"/>
    <s v="L-&gt;R"/>
    <s v="No"/>
    <s v="OK"/>
    <s v="DAP SZ"/>
    <d v="2021-06-11T00:00:00"/>
    <x v="0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ATS15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ATS15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n v="1539"/>
    <x v="4"/>
    <m/>
    <m/>
    <m/>
    <x v="4"/>
    <m/>
    <m/>
    <m/>
    <m/>
    <m/>
    <m/>
    <m/>
    <m/>
    <m/>
    <s v="JPY"/>
    <s v="C28SZX20210217MZ"/>
    <x v="322"/>
    <s v="YSi-V"/>
    <s v="R-&gt;L"/>
    <s v="No"/>
    <s v="WRONG"/>
    <m/>
    <d v="2021-12-27T00:00:00"/>
    <x v="2"/>
    <m/>
    <m/>
    <m/>
    <m/>
    <m/>
  </r>
  <r>
    <n v="1799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0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1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2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3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4"/>
    <x v="4"/>
    <m/>
    <m/>
    <m/>
    <x v="4"/>
    <m/>
    <m/>
    <m/>
    <m/>
    <m/>
    <m/>
    <m/>
    <m/>
    <m/>
    <s v="RMB"/>
    <s v="C49SZX20230003SQ"/>
    <x v="389"/>
    <s v="YSM20WR-2"/>
    <s v="L-&gt;R"/>
    <s v="MVC F&amp;R"/>
    <s v="WRONG"/>
    <m/>
    <d v="2023-01-03T00:00:00"/>
    <x v="2"/>
    <m/>
    <m/>
    <m/>
    <m/>
    <m/>
  </r>
  <r>
    <n v="1805"/>
    <x v="4"/>
    <m/>
    <m/>
    <m/>
    <x v="4"/>
    <m/>
    <m/>
    <m/>
    <m/>
    <m/>
    <m/>
    <m/>
    <m/>
    <m/>
    <s v="RMB"/>
    <s v="C49SZX20230003SQ"/>
    <x v="389"/>
    <s v="YSM20WR-2"/>
    <s v="L-&gt;R"/>
    <s v="MVC F&amp;R"/>
    <s v="WRONG"/>
    <m/>
    <d v="2023-01-03T00:00:00"/>
    <x v="2"/>
    <m/>
    <m/>
    <m/>
    <m/>
    <m/>
  </r>
  <r>
    <n v="1806"/>
    <x v="4"/>
    <m/>
    <m/>
    <m/>
    <x v="4"/>
    <m/>
    <m/>
    <m/>
    <m/>
    <m/>
    <m/>
    <m/>
    <m/>
    <m/>
    <s v="RMB"/>
    <s v="C49SZX20230003SQ"/>
    <x v="389"/>
    <s v="YSM20WR-2"/>
    <s v="L-&gt;R"/>
    <s v="cATS10+MVC(F&amp;R)+Feeder Carriage"/>
    <s v="WRONG"/>
    <m/>
    <d v="2023-01-03T00:00:00"/>
    <x v="2"/>
    <m/>
    <m/>
    <m/>
    <m/>
    <m/>
  </r>
  <r>
    <n v="1294"/>
    <x v="4"/>
    <m/>
    <m/>
    <m/>
    <x v="4"/>
    <m/>
    <m/>
    <m/>
    <m/>
    <m/>
    <m/>
    <m/>
    <m/>
    <m/>
    <s v="JPY"/>
    <s v="C49SZX20210101JD"/>
    <x v="390"/>
    <s v="YSM20R-2"/>
    <s v="L-&gt;R"/>
    <s v="No"/>
    <s v="WRONG"/>
    <m/>
    <d v="2021-03-31T00:00:00"/>
    <x v="0"/>
    <m/>
    <m/>
    <m/>
    <m/>
    <m/>
  </r>
  <r>
    <n v="1129"/>
    <x v="4"/>
    <m/>
    <m/>
    <m/>
    <x v="4"/>
    <m/>
    <m/>
    <m/>
    <m/>
    <m/>
    <m/>
    <m/>
    <m/>
    <m/>
    <s v="JPY"/>
    <s v="C49SZX20210043AY"/>
    <x v="386"/>
    <s v="YSM10"/>
    <s v="L-&gt;R"/>
    <s v="MVC"/>
    <s v="WRONG"/>
    <m/>
    <d v="2021-02-03T00:00:00"/>
    <x v="0"/>
    <m/>
    <m/>
    <m/>
    <m/>
    <m/>
  </r>
  <r>
    <n v="1184"/>
    <x v="4"/>
    <m/>
    <m/>
    <m/>
    <x v="4"/>
    <m/>
    <m/>
    <m/>
    <m/>
    <m/>
    <m/>
    <m/>
    <m/>
    <m/>
    <s v="JPY"/>
    <s v="C49SZX20210058JL"/>
    <x v="391"/>
    <s v="YSM10"/>
    <s v="L-&gt;R"/>
    <s v="MVC+ATS15"/>
    <s v="WRONG"/>
    <m/>
    <d v="2021-02-26T00:00:00"/>
    <x v="2"/>
    <m/>
    <m/>
    <m/>
    <m/>
    <m/>
  </r>
  <r>
    <n v="1735"/>
    <x v="4"/>
    <m/>
    <m/>
    <m/>
    <x v="4"/>
    <m/>
    <m/>
    <m/>
    <m/>
    <m/>
    <m/>
    <m/>
    <m/>
    <m/>
    <s v="RMB"/>
    <s v="C49SZX20220105SX"/>
    <x v="392"/>
    <s v="YSM10"/>
    <s v="L-&gt;R"/>
    <s v="MVC"/>
    <s v="WRONG"/>
    <m/>
    <d v="2022-10-11T00:00:00"/>
    <x v="2"/>
    <m/>
    <m/>
    <m/>
    <m/>
    <m/>
  </r>
  <r>
    <n v="1736"/>
    <x v="4"/>
    <m/>
    <m/>
    <m/>
    <x v="4"/>
    <m/>
    <m/>
    <m/>
    <m/>
    <m/>
    <m/>
    <m/>
    <m/>
    <m/>
    <s v="RMB"/>
    <s v="C49SZX20220105SX"/>
    <x v="392"/>
    <s v="YSM10"/>
    <s v="L-&gt;R"/>
    <s v="MVC"/>
    <s v="WRONG"/>
    <m/>
    <d v="2022-10-11T00:00:00"/>
    <x v="2"/>
    <m/>
    <m/>
    <m/>
    <m/>
    <m/>
  </r>
  <r>
    <n v="1737"/>
    <x v="4"/>
    <m/>
    <m/>
    <m/>
    <x v="4"/>
    <m/>
    <m/>
    <m/>
    <m/>
    <m/>
    <m/>
    <m/>
    <m/>
    <m/>
    <s v="RMB"/>
    <s v="C49SZX20220105SX"/>
    <x v="392"/>
    <s v="YSM20R-2"/>
    <s v="L-&gt;R"/>
    <s v="No"/>
    <s v="WRONG"/>
    <m/>
    <d v="2022-10-11T00:00:00"/>
    <x v="2"/>
    <m/>
    <m/>
    <m/>
    <m/>
    <m/>
  </r>
  <r>
    <n v="1738"/>
    <x v="4"/>
    <m/>
    <m/>
    <m/>
    <x v="4"/>
    <m/>
    <m/>
    <m/>
    <m/>
    <m/>
    <m/>
    <m/>
    <m/>
    <m/>
    <s v="RMB"/>
    <s v="C49SZX20220105SX"/>
    <x v="392"/>
    <s v="YSM20R-2"/>
    <s v="L-&gt;R"/>
    <s v="No"/>
    <s v="WRONG"/>
    <m/>
    <d v="2022-10-11T00:00:00"/>
    <x v="2"/>
    <m/>
    <m/>
    <m/>
    <m/>
    <m/>
  </r>
  <r>
    <n v="1532"/>
    <x v="4"/>
    <m/>
    <m/>
    <m/>
    <x v="4"/>
    <m/>
    <m/>
    <m/>
    <m/>
    <m/>
    <m/>
    <m/>
    <m/>
    <m/>
    <s v="JPY"/>
    <s v="C49SZX20210223MZ"/>
    <x v="322"/>
    <s v="YSM20R-2"/>
    <s v="R-&gt;L"/>
    <s v="No"/>
    <s v="WRONG"/>
    <m/>
    <d v="2021-12-27T00:00:00"/>
    <x v="0"/>
    <m/>
    <m/>
    <m/>
    <m/>
    <m/>
  </r>
  <r>
    <n v="1533"/>
    <x v="4"/>
    <m/>
    <m/>
    <m/>
    <x v="4"/>
    <m/>
    <m/>
    <m/>
    <m/>
    <m/>
    <m/>
    <m/>
    <m/>
    <m/>
    <s v="JPY"/>
    <s v="C49SZX20210223MZ"/>
    <x v="322"/>
    <s v="YSM20R-2"/>
    <s v="R-&gt;L"/>
    <s v="No"/>
    <s v="WRONG"/>
    <m/>
    <d v="2021-12-27T00:00:00"/>
    <x v="0"/>
    <m/>
    <m/>
    <m/>
    <m/>
    <m/>
  </r>
  <r>
    <n v="1534"/>
    <x v="4"/>
    <m/>
    <m/>
    <m/>
    <x v="4"/>
    <m/>
    <m/>
    <m/>
    <m/>
    <m/>
    <m/>
    <m/>
    <m/>
    <m/>
    <s v="JPY"/>
    <s v="C49SZX20210223MZ"/>
    <x v="322"/>
    <s v="YSM20R-2"/>
    <s v="R-&gt;L"/>
    <s v="No"/>
    <s v="WRONG"/>
    <m/>
    <d v="2021-12-27T00:00:00"/>
    <x v="0"/>
    <m/>
    <m/>
    <m/>
    <m/>
    <m/>
  </r>
  <r>
    <n v="1535"/>
    <x v="4"/>
    <m/>
    <m/>
    <m/>
    <x v="4"/>
    <m/>
    <m/>
    <m/>
    <m/>
    <m/>
    <m/>
    <m/>
    <m/>
    <m/>
    <s v="JPY"/>
    <s v="C49SZX20210223MZ"/>
    <x v="322"/>
    <s v="YSM10"/>
    <s v="R-&gt;L"/>
    <s v="MVC"/>
    <s v="WRONG"/>
    <m/>
    <d v="2021-12-27T00:00:00"/>
    <x v="0"/>
    <m/>
    <m/>
    <m/>
    <m/>
    <m/>
  </r>
  <r>
    <n v="1536"/>
    <x v="4"/>
    <m/>
    <m/>
    <m/>
    <x v="4"/>
    <m/>
    <m/>
    <m/>
    <m/>
    <m/>
    <m/>
    <m/>
    <m/>
    <m/>
    <s v="JPY"/>
    <s v="C49SZX20210223MZ"/>
    <x v="322"/>
    <s v="YSM10"/>
    <s v="R-&gt;L"/>
    <s v="MVC"/>
    <s v="WRONG"/>
    <m/>
    <d v="2021-12-27T00:00:00"/>
    <x v="0"/>
    <m/>
    <m/>
    <m/>
    <m/>
    <m/>
  </r>
  <r>
    <n v="1537"/>
    <x v="4"/>
    <m/>
    <m/>
    <m/>
    <x v="4"/>
    <m/>
    <m/>
    <m/>
    <m/>
    <m/>
    <m/>
    <m/>
    <m/>
    <m/>
    <s v="JPY"/>
    <s v="C49SZX20210223MZ"/>
    <x v="322"/>
    <s v="YSM10"/>
    <s v="R-&gt;L"/>
    <s v="MVC"/>
    <s v="WRONG"/>
    <m/>
    <d v="2021-12-27T00:00:00"/>
    <x v="0"/>
    <m/>
    <m/>
    <m/>
    <m/>
    <m/>
  </r>
  <r>
    <n v="1182"/>
    <x v="4"/>
    <m/>
    <m/>
    <m/>
    <x v="4"/>
    <m/>
    <m/>
    <m/>
    <m/>
    <m/>
    <m/>
    <m/>
    <m/>
    <m/>
    <s v="JPY"/>
    <s v="C49SZX20210058JL"/>
    <x v="391"/>
    <s v="YSM20R-2"/>
    <s v="L-&gt;R"/>
    <s v="No"/>
    <s v="WRONG"/>
    <m/>
    <d v="2021-02-26T00:00:00"/>
    <x v="2"/>
    <m/>
    <m/>
    <m/>
    <m/>
    <m/>
  </r>
  <r>
    <n v="1183"/>
    <x v="4"/>
    <m/>
    <m/>
    <m/>
    <x v="4"/>
    <m/>
    <m/>
    <m/>
    <m/>
    <m/>
    <m/>
    <m/>
    <m/>
    <m/>
    <s v="JPY"/>
    <s v="C49SZX20210058JL"/>
    <x v="391"/>
    <s v="YSM20R-2"/>
    <s v="L-&gt;R"/>
    <s v="No"/>
    <s v="WRONG"/>
    <m/>
    <d v="2021-02-26T00:00:00"/>
    <x v="2"/>
    <m/>
    <m/>
    <m/>
    <m/>
    <m/>
  </r>
  <r>
    <n v="1836"/>
    <x v="4"/>
    <m/>
    <m/>
    <m/>
    <x v="4"/>
    <m/>
    <m/>
    <m/>
    <m/>
    <m/>
    <m/>
    <m/>
    <m/>
    <m/>
    <s v="JPY"/>
    <s v="C28SZX20230020MZ"/>
    <x v="322"/>
    <s v="YSi-V"/>
    <s v="R-&gt;L"/>
    <s v="No"/>
    <s v="WRONG"/>
    <m/>
    <d v="2023-02-18T00:00:00"/>
    <x v="2"/>
    <m/>
    <m/>
    <m/>
    <m/>
    <m/>
  </r>
  <r>
    <n v="1809"/>
    <x v="4"/>
    <m/>
    <m/>
    <m/>
    <x v="4"/>
    <m/>
    <m/>
    <m/>
    <m/>
    <m/>
    <m/>
    <m/>
    <m/>
    <m/>
    <s v="RMB"/>
    <s v="C49SZX20230003SQ"/>
    <x v="389"/>
    <s v="YSM10"/>
    <s v="L-&gt;R"/>
    <s v="MVC"/>
    <s v="WRONG"/>
    <m/>
    <d v="2023-01-03T00:00:00"/>
    <x v="2"/>
    <m/>
    <m/>
    <m/>
    <m/>
    <m/>
  </r>
  <r>
    <n v="1810"/>
    <x v="4"/>
    <m/>
    <m/>
    <m/>
    <x v="4"/>
    <m/>
    <m/>
    <m/>
    <m/>
    <m/>
    <m/>
    <m/>
    <m/>
    <m/>
    <s v="RMB"/>
    <s v="C49SZX20230003SQ"/>
    <x v="389"/>
    <s v="YSM10"/>
    <s v="L-&gt;R"/>
    <s v="MVC"/>
    <s v="WRONG"/>
    <m/>
    <d v="2023-01-03T00:00:00"/>
    <x v="2"/>
    <m/>
    <m/>
    <m/>
    <m/>
    <m/>
  </r>
  <r>
    <n v="1807"/>
    <x v="4"/>
    <m/>
    <m/>
    <m/>
    <x v="4"/>
    <m/>
    <m/>
    <m/>
    <m/>
    <m/>
    <m/>
    <m/>
    <m/>
    <m/>
    <s v="RMB"/>
    <s v="C49SZX20230003SQ"/>
    <x v="389"/>
    <s v="YSM20R-2"/>
    <s v="L-&gt;R"/>
    <s v="No"/>
    <s v="WRONG"/>
    <m/>
    <d v="2023-01-03T00:00:00"/>
    <x v="2"/>
    <m/>
    <m/>
    <m/>
    <m/>
    <m/>
  </r>
  <r>
    <n v="1808"/>
    <x v="4"/>
    <m/>
    <m/>
    <m/>
    <x v="4"/>
    <m/>
    <m/>
    <m/>
    <m/>
    <m/>
    <m/>
    <m/>
    <m/>
    <m/>
    <s v="RMB"/>
    <s v="C49SZX20230003SQ"/>
    <x v="389"/>
    <s v="YSM20R-2"/>
    <s v="L-&gt;R"/>
    <s v="No"/>
    <s v="WRONG"/>
    <m/>
    <d v="2023-01-03T00:00:00"/>
    <x v="2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m/>
    <m/>
    <x v="393"/>
    <m/>
    <m/>
    <m/>
    <m/>
    <m/>
    <m/>
    <x v="3"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5">
  <r>
    <x v="0"/>
    <x v="0"/>
    <x v="0"/>
    <x v="0"/>
    <m/>
    <m/>
    <m/>
    <m/>
    <x v="0"/>
    <n v="109130"/>
    <x v="0"/>
    <x v="0"/>
    <x v="0"/>
    <x v="0"/>
    <n v="38832500"/>
    <x v="0"/>
    <x v="0"/>
    <x v="0"/>
    <d v="2018-02-07T00:00:00"/>
    <x v="0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131"/>
    <x v="0"/>
    <x v="0"/>
    <x v="0"/>
    <x v="1"/>
    <n v="63822500"/>
    <x v="0"/>
    <x v="0"/>
    <x v="0"/>
    <d v="2018-02-28T00:00:00"/>
    <x v="1"/>
    <x v="0"/>
    <s v="Settled"/>
    <x v="0"/>
    <n v="5.9299999999999999E-2"/>
    <n v="7.2900000000000006E-2"/>
    <m/>
    <m/>
    <m/>
    <m/>
    <x v="0"/>
    <x v="0"/>
  </r>
  <r>
    <x v="0"/>
    <x v="0"/>
    <x v="1"/>
    <x v="0"/>
    <m/>
    <m/>
    <m/>
    <m/>
    <x v="0"/>
    <n v="109110"/>
    <x v="0"/>
    <x v="1"/>
    <x v="1"/>
    <x v="2"/>
    <n v="43843027"/>
    <x v="0"/>
    <x v="0"/>
    <x v="0"/>
    <d v="2018-04-06T00:00:00"/>
    <x v="2"/>
    <x v="0"/>
    <s v="Settled"/>
    <x v="0"/>
    <s v="no mismatch"/>
    <s v="no mismatch"/>
    <m/>
    <m/>
    <m/>
    <m/>
    <x v="0"/>
    <x v="0"/>
  </r>
  <r>
    <x v="0"/>
    <x v="0"/>
    <x v="0"/>
    <x v="0"/>
    <m/>
    <m/>
    <m/>
    <m/>
    <x v="0"/>
    <n v="109133"/>
    <x v="0"/>
    <x v="2"/>
    <x v="2"/>
    <x v="2"/>
    <n v="89153385"/>
    <x v="0"/>
    <x v="0"/>
    <x v="0"/>
    <d v="2018-03-07T00:00:00"/>
    <x v="3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133"/>
    <x v="0"/>
    <x v="2"/>
    <x v="3"/>
    <x v="3"/>
    <n v="0"/>
    <x v="0"/>
    <x v="0"/>
    <x v="0"/>
    <d v="2018-03-07T00:00:00"/>
    <x v="3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133"/>
    <x v="0"/>
    <x v="2"/>
    <x v="4"/>
    <x v="4"/>
    <n v="0"/>
    <x v="0"/>
    <x v="0"/>
    <x v="0"/>
    <d v="2018-03-07T00:00:00"/>
    <x v="3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217"/>
    <x v="0"/>
    <x v="3"/>
    <x v="1"/>
    <x v="2"/>
    <n v="43830661"/>
    <x v="0"/>
    <x v="0"/>
    <x v="0"/>
    <d v="2018-04-06T00:00:00"/>
    <x v="2"/>
    <x v="0"/>
    <s v="Settled"/>
    <x v="0"/>
    <n v="5.96E-2"/>
    <n v="7.3200000000000001E-2"/>
    <m/>
    <m/>
    <m/>
    <m/>
    <x v="0"/>
    <x v="0"/>
  </r>
  <r>
    <x v="0"/>
    <x v="0"/>
    <x v="0"/>
    <x v="0"/>
    <m/>
    <m/>
    <m/>
    <m/>
    <x v="0"/>
    <n v="109109"/>
    <x v="0"/>
    <x v="2"/>
    <x v="0"/>
    <x v="3"/>
    <n v="63040000"/>
    <x v="0"/>
    <x v="0"/>
    <x v="0"/>
    <d v="2018-04-18T00:00:00"/>
    <x v="4"/>
    <x v="0"/>
    <s v="Settled"/>
    <x v="0"/>
    <n v="5.96E-2"/>
    <n v="7.3200000000000001E-2"/>
    <m/>
    <m/>
    <m/>
    <m/>
    <x v="0"/>
    <x v="0"/>
  </r>
  <r>
    <x v="0"/>
    <x v="0"/>
    <x v="0"/>
    <x v="0"/>
    <m/>
    <m/>
    <m/>
    <m/>
    <x v="0"/>
    <n v="109157"/>
    <x v="0"/>
    <x v="4"/>
    <x v="0"/>
    <x v="0"/>
    <n v="40670000"/>
    <x v="0"/>
    <x v="0"/>
    <x v="0"/>
    <d v="2018-05-16T00:00:00"/>
    <x v="5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10"/>
    <x v="0"/>
    <x v="5"/>
    <x v="0"/>
    <x v="5"/>
    <n v="16333560"/>
    <x v="0"/>
    <x v="0"/>
    <x v="0"/>
    <d v="2018-05-18T00:00:00"/>
    <x v="6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177"/>
    <x v="0"/>
    <x v="2"/>
    <x v="2"/>
    <x v="6"/>
    <n v="44174100"/>
    <x v="0"/>
    <x v="0"/>
    <x v="0"/>
    <d v="2018-05-02T00:00:00"/>
    <x v="7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34"/>
    <x v="0"/>
    <x v="6"/>
    <x v="2"/>
    <x v="6"/>
    <n v="40506600"/>
    <x v="0"/>
    <x v="0"/>
    <x v="0"/>
    <d v="2018-05-16T00:00:00"/>
    <x v="5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35"/>
    <x v="0"/>
    <x v="6"/>
    <x v="2"/>
    <x v="4"/>
    <n v="23290800"/>
    <x v="0"/>
    <x v="0"/>
    <x v="0"/>
    <d v="2018-06-06T00:00:00"/>
    <x v="8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11"/>
    <x v="0"/>
    <x v="7"/>
    <x v="5"/>
    <x v="2"/>
    <n v="19819950"/>
    <x v="0"/>
    <x v="0"/>
    <x v="0"/>
    <d v="2018-05-02T00:00:00"/>
    <x v="7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13"/>
    <x v="0"/>
    <x v="8"/>
    <x v="2"/>
    <x v="6"/>
    <n v="52017600"/>
    <x v="0"/>
    <x v="0"/>
    <x v="0"/>
    <d v="2018-06-15T00:00:00"/>
    <x v="9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168"/>
    <x v="0"/>
    <x v="9"/>
    <x v="6"/>
    <x v="4"/>
    <n v="37135498"/>
    <x v="0"/>
    <x v="0"/>
    <x v="0"/>
    <d v="2018-06-20T00:00:00"/>
    <x v="10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158"/>
    <x v="0"/>
    <x v="4"/>
    <x v="0"/>
    <x v="0"/>
    <n v="33320000"/>
    <x v="0"/>
    <x v="0"/>
    <x v="0"/>
    <d v="2018-05-18T00:00:00"/>
    <x v="6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218"/>
    <x v="0"/>
    <x v="3"/>
    <x v="1"/>
    <x v="0"/>
    <n v="82567851"/>
    <x v="0"/>
    <x v="0"/>
    <x v="0"/>
    <d v="2018-06-13T00:00:00"/>
    <x v="11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282"/>
    <x v="0"/>
    <x v="10"/>
    <x v="2"/>
    <x v="7"/>
    <n v="58058800"/>
    <x v="0"/>
    <x v="0"/>
    <x v="0"/>
    <d v="2018-07-04T00:00:00"/>
    <x v="12"/>
    <x v="0"/>
    <s v="Settled"/>
    <x v="0"/>
    <n v="5.9499999999999997E-2"/>
    <n v="7.22E-2"/>
    <m/>
    <m/>
    <m/>
    <m/>
    <x v="0"/>
    <x v="0"/>
  </r>
  <r>
    <x v="0"/>
    <x v="1"/>
    <x v="0"/>
    <x v="0"/>
    <m/>
    <m/>
    <m/>
    <m/>
    <x v="0"/>
    <n v="109318"/>
    <x v="0"/>
    <x v="11"/>
    <x v="7"/>
    <x v="2"/>
    <n v="9060000"/>
    <x v="0"/>
    <x v="0"/>
    <x v="0"/>
    <d v="2018-06-27T00:00:00"/>
    <x v="13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305"/>
    <x v="0"/>
    <x v="12"/>
    <x v="0"/>
    <x v="5"/>
    <n v="8330000"/>
    <x v="0"/>
    <x v="0"/>
    <x v="0"/>
    <d v="2018-06-29T00:00:00"/>
    <x v="14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257"/>
    <x v="0"/>
    <x v="13"/>
    <x v="2"/>
    <x v="4"/>
    <n v="23462550"/>
    <x v="0"/>
    <x v="0"/>
    <x v="0"/>
    <d v="2018-07-06T00:00:00"/>
    <x v="15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285"/>
    <x v="0"/>
    <x v="14"/>
    <x v="8"/>
    <x v="5"/>
    <n v="9909975"/>
    <x v="0"/>
    <x v="0"/>
    <x v="0"/>
    <d v="2018-07-11T00:00:00"/>
    <x v="16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322"/>
    <x v="0"/>
    <x v="15"/>
    <x v="2"/>
    <x v="8"/>
    <n v="77008500"/>
    <x v="0"/>
    <x v="0"/>
    <x v="0"/>
    <d v="2018-07-11T00:00:00"/>
    <x v="16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341"/>
    <x v="0"/>
    <x v="16"/>
    <x v="0"/>
    <x v="2"/>
    <n v="20335000"/>
    <x v="0"/>
    <x v="0"/>
    <x v="0"/>
    <d v="2018-07-25T00:00:00"/>
    <x v="17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342"/>
    <x v="0"/>
    <x v="16"/>
    <x v="0"/>
    <x v="0"/>
    <n v="43182500"/>
    <x v="0"/>
    <x v="0"/>
    <x v="0"/>
    <d v="2018-07-18T00:00:00"/>
    <x v="18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284"/>
    <x v="0"/>
    <x v="10"/>
    <x v="2"/>
    <x v="2"/>
    <n v="15527200"/>
    <x v="0"/>
    <x v="0"/>
    <x v="0"/>
    <d v="2018-07-27T00:00:00"/>
    <x v="19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185"/>
    <x v="0"/>
    <x v="17"/>
    <x v="6"/>
    <x v="2"/>
    <n v="25329907"/>
    <x v="0"/>
    <x v="0"/>
    <x v="0"/>
    <d v="2018-07-27T00:00:00"/>
    <x v="19"/>
    <x v="0"/>
    <s v="Settled"/>
    <x v="0"/>
    <n v="6.08E-2"/>
    <n v="7.17E-2"/>
    <m/>
    <m/>
    <m/>
    <m/>
    <x v="0"/>
    <x v="0"/>
  </r>
  <r>
    <x v="0"/>
    <x v="0"/>
    <x v="0"/>
    <x v="0"/>
    <s v="DC TST115465"/>
    <m/>
    <m/>
    <m/>
    <x v="0"/>
    <n v="109221"/>
    <x v="0"/>
    <x v="18"/>
    <x v="6"/>
    <x v="2"/>
    <n v="21544240"/>
    <x v="0"/>
    <x v="0"/>
    <x v="0"/>
    <d v="2018-08-08T00:00:00"/>
    <x v="20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60"/>
    <m/>
    <m/>
    <m/>
    <x v="0"/>
    <n v="109151"/>
    <x v="0"/>
    <x v="2"/>
    <x v="0"/>
    <x v="3"/>
    <n v="56350000"/>
    <x v="0"/>
    <x v="0"/>
    <x v="0"/>
    <d v="2018-08-03T00:00:00"/>
    <x v="21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59"/>
    <m/>
    <m/>
    <m/>
    <x v="0"/>
    <n v="109340"/>
    <x v="0"/>
    <x v="19"/>
    <x v="9"/>
    <x v="2"/>
    <n v="15092905"/>
    <x v="0"/>
    <x v="0"/>
    <x v="0"/>
    <d v="2018-08-08T00:00:00"/>
    <x v="20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6425"/>
    <m/>
    <m/>
    <m/>
    <x v="0"/>
    <n v="109323"/>
    <x v="0"/>
    <x v="20"/>
    <x v="2"/>
    <x v="2"/>
    <n v="12859200"/>
    <x v="0"/>
    <x v="0"/>
    <x v="0"/>
    <d v="2018-08-15T00:00:00"/>
    <x v="22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71"/>
    <m/>
    <m/>
    <m/>
    <x v="0"/>
    <n v="109238"/>
    <x v="0"/>
    <x v="21"/>
    <x v="2"/>
    <x v="8"/>
    <n v="84818500"/>
    <x v="0"/>
    <x v="0"/>
    <x v="0"/>
    <d v="2018-08-15T00:00:00"/>
    <x v="22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79"/>
    <m/>
    <m/>
    <m/>
    <x v="0"/>
    <n v="109202"/>
    <x v="0"/>
    <x v="22"/>
    <x v="6"/>
    <x v="1"/>
    <n v="77834107"/>
    <x v="0"/>
    <x v="0"/>
    <x v="0"/>
    <d v="2018-09-05T00:00:00"/>
    <x v="23"/>
    <x v="0"/>
    <s v="Settled"/>
    <x v="0"/>
    <n v="6.3E-2"/>
    <n v="7.2499999999999995E-2"/>
    <m/>
    <m/>
    <m/>
    <m/>
    <x v="0"/>
    <x v="0"/>
  </r>
  <r>
    <x v="0"/>
    <x v="0"/>
    <x v="0"/>
    <x v="0"/>
    <s v="DC TST115478"/>
    <m/>
    <m/>
    <m/>
    <x v="0"/>
    <n v="109239"/>
    <x v="0"/>
    <x v="23"/>
    <x v="2"/>
    <x v="6"/>
    <n v="59001600"/>
    <x v="0"/>
    <x v="0"/>
    <x v="0"/>
    <d v="2018-09-07T00:00:00"/>
    <x v="24"/>
    <x v="0"/>
    <s v="Settled"/>
    <x v="0"/>
    <n v="6.3E-2"/>
    <n v="7.2499999999999995E-2"/>
    <m/>
    <m/>
    <m/>
    <m/>
    <x v="0"/>
    <x v="0"/>
  </r>
  <r>
    <x v="0"/>
    <x v="0"/>
    <x v="0"/>
    <x v="0"/>
    <s v="DC TST115485"/>
    <m/>
    <m/>
    <m/>
    <x v="0"/>
    <n v="109416"/>
    <x v="0"/>
    <x v="24"/>
    <x v="2"/>
    <x v="2"/>
    <n v="15527200"/>
    <x v="0"/>
    <x v="0"/>
    <x v="0"/>
    <d v="2018-09-19T00:00:00"/>
    <x v="25"/>
    <x v="0"/>
    <s v="Settled"/>
    <x v="0"/>
    <n v="6.3E-2"/>
    <n v="7.2499999999999995E-2"/>
    <m/>
    <m/>
    <m/>
    <m/>
    <x v="0"/>
    <x v="0"/>
  </r>
  <r>
    <x v="0"/>
    <x v="0"/>
    <x v="0"/>
    <x v="0"/>
    <s v="DC TST115482"/>
    <m/>
    <m/>
    <m/>
    <x v="0"/>
    <n v="109354"/>
    <x v="0"/>
    <x v="16"/>
    <x v="0"/>
    <x v="0"/>
    <n v="33320000"/>
    <x v="0"/>
    <x v="0"/>
    <x v="0"/>
    <d v="2018-09-12T00:00:00"/>
    <x v="26"/>
    <x v="0"/>
    <s v="Settled"/>
    <x v="0"/>
    <n v="6.3E-2"/>
    <n v="7.2499999999999995E-2"/>
    <m/>
    <m/>
    <m/>
    <m/>
    <x v="0"/>
    <x v="0"/>
  </r>
  <r>
    <x v="0"/>
    <x v="0"/>
    <x v="1"/>
    <x v="0"/>
    <s v="DC TST115483"/>
    <m/>
    <m/>
    <m/>
    <x v="0"/>
    <n v="109226"/>
    <x v="0"/>
    <x v="25"/>
    <x v="6"/>
    <x v="5"/>
    <n v="17385536"/>
    <x v="0"/>
    <x v="0"/>
    <x v="0"/>
    <d v="2018-09-14T00:00:00"/>
    <x v="27"/>
    <x v="0"/>
    <s v="Settled"/>
    <x v="0"/>
    <n v="6.3E-2"/>
    <n v="7.2499999999999995E-2"/>
    <m/>
    <m/>
    <m/>
    <m/>
    <x v="0"/>
    <x v="0"/>
  </r>
  <r>
    <x v="0"/>
    <x v="0"/>
    <x v="0"/>
    <x v="0"/>
    <s v="DC TST115488"/>
    <m/>
    <m/>
    <m/>
    <x v="0"/>
    <n v="109352"/>
    <x v="0"/>
    <x v="26"/>
    <x v="6"/>
    <x v="7"/>
    <n v="99544617"/>
    <x v="0"/>
    <x v="0"/>
    <x v="0"/>
    <d v="2018-09-14T00:00:00"/>
    <x v="27"/>
    <x v="0"/>
    <s v="Settled"/>
    <x v="0"/>
    <n v="6.3E-2"/>
    <n v="7.2499999999999995E-2"/>
    <m/>
    <m/>
    <m/>
    <m/>
    <x v="0"/>
    <x v="0"/>
  </r>
  <r>
    <x v="0"/>
    <x v="0"/>
    <x v="0"/>
    <x v="0"/>
    <s v="DC TST115486"/>
    <m/>
    <m/>
    <m/>
    <x v="0"/>
    <n v="109360"/>
    <x v="0"/>
    <x v="27"/>
    <x v="2"/>
    <x v="2"/>
    <n v="12827200"/>
    <x v="0"/>
    <x v="0"/>
    <x v="0"/>
    <d v="2018-09-19T00:00:00"/>
    <x v="25"/>
    <x v="0"/>
    <s v="Settled"/>
    <x v="0"/>
    <n v="6.3E-2"/>
    <n v="7.2499999999999995E-2"/>
    <m/>
    <m/>
    <m/>
    <m/>
    <x v="0"/>
    <x v="0"/>
  </r>
  <r>
    <x v="0"/>
    <x v="0"/>
    <x v="0"/>
    <x v="0"/>
    <s v="DC TST116108"/>
    <m/>
    <m/>
    <m/>
    <x v="0"/>
    <n v="109381"/>
    <x v="0"/>
    <x v="28"/>
    <x v="2"/>
    <x v="9"/>
    <n v="80338200"/>
    <x v="0"/>
    <x v="0"/>
    <x v="0"/>
    <d v="2018-10-05T00:00:00"/>
    <x v="28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05"/>
    <m/>
    <m/>
    <m/>
    <x v="0"/>
    <n v="109413"/>
    <x v="0"/>
    <x v="29"/>
    <x v="2"/>
    <x v="2"/>
    <n v="14404800"/>
    <x v="0"/>
    <x v="0"/>
    <x v="0"/>
    <d v="2018-10-05T00:00:00"/>
    <x v="28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06"/>
    <m/>
    <m/>
    <m/>
    <x v="0"/>
    <n v="109156"/>
    <x v="0"/>
    <x v="2"/>
    <x v="0"/>
    <x v="0"/>
    <n v="49098500"/>
    <x v="0"/>
    <x v="0"/>
    <x v="0"/>
    <d v="2018-09-21T00:00:00"/>
    <x v="29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17"/>
    <m/>
    <m/>
    <m/>
    <x v="0"/>
    <n v="109264"/>
    <x v="0"/>
    <x v="30"/>
    <x v="6"/>
    <x v="2"/>
    <n v="23917830"/>
    <x v="0"/>
    <x v="0"/>
    <x v="0"/>
    <d v="2018-10-12T00:00:00"/>
    <x v="30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16"/>
    <m/>
    <m/>
    <m/>
    <x v="0"/>
    <n v="109382"/>
    <x v="0"/>
    <x v="31"/>
    <x v="6"/>
    <x v="2"/>
    <n v="24300856"/>
    <x v="0"/>
    <x v="0"/>
    <x v="0"/>
    <d v="2018-10-10T00:00:00"/>
    <x v="31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25"/>
    <m/>
    <m/>
    <m/>
    <x v="0"/>
    <n v="109331"/>
    <x v="0"/>
    <x v="32"/>
    <x v="6"/>
    <x v="2"/>
    <n v="24514678"/>
    <x v="0"/>
    <x v="0"/>
    <x v="0"/>
    <d v="2018-10-31T00:00:00"/>
    <x v="32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24"/>
    <m/>
    <m/>
    <m/>
    <x v="0"/>
    <n v="109288"/>
    <x v="0"/>
    <x v="33"/>
    <x v="6"/>
    <x v="2"/>
    <n v="25093830"/>
    <x v="0"/>
    <x v="0"/>
    <x v="0"/>
    <d v="2018-10-24T00:00:00"/>
    <x v="33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33"/>
    <m/>
    <m/>
    <m/>
    <x v="0"/>
    <n v="109308"/>
    <x v="0"/>
    <x v="34"/>
    <x v="6"/>
    <x v="2"/>
    <n v="31788814"/>
    <x v="0"/>
    <x v="0"/>
    <x v="0"/>
    <d v="2018-11-07T00:00:00"/>
    <x v="34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34"/>
    <m/>
    <m/>
    <m/>
    <x v="0"/>
    <n v="109295"/>
    <x v="0"/>
    <x v="35"/>
    <x v="2"/>
    <x v="6"/>
    <n v="50401600"/>
    <x v="0"/>
    <x v="0"/>
    <x v="0"/>
    <d v="2018-11-14T00:00:00"/>
    <x v="35"/>
    <x v="0"/>
    <s v="Settled"/>
    <x v="0"/>
    <n v="6.2799999999999995E-2"/>
    <n v="7.0900000000000005E-2"/>
    <m/>
    <m/>
    <m/>
    <m/>
    <x v="0"/>
    <x v="0"/>
  </r>
  <r>
    <x v="0"/>
    <x v="0"/>
    <x v="0"/>
    <x v="0"/>
    <s v="DC TST116144"/>
    <m/>
    <m/>
    <m/>
    <x v="0"/>
    <n v="109454"/>
    <x v="0"/>
    <x v="36"/>
    <x v="2"/>
    <x v="8"/>
    <n v="89979500"/>
    <x v="0"/>
    <x v="0"/>
    <x v="0"/>
    <d v="2018-12-07T00:00:00"/>
    <x v="36"/>
    <x v="0"/>
    <s v="Yes"/>
    <x v="1"/>
    <n v="6.2199999999999998E-2"/>
    <n v="6.9900000000000004E-2"/>
    <m/>
    <m/>
    <m/>
    <m/>
    <x v="0"/>
    <x v="0"/>
  </r>
  <r>
    <x v="0"/>
    <x v="0"/>
    <x v="0"/>
    <x v="0"/>
    <s v="DC TST116142"/>
    <m/>
    <m/>
    <m/>
    <x v="0"/>
    <n v="109279"/>
    <x v="0"/>
    <x v="37"/>
    <x v="6"/>
    <x v="0"/>
    <n v="37628000"/>
    <x v="0"/>
    <x v="0"/>
    <x v="0"/>
    <d v="2018-11-04T00:00:00"/>
    <x v="37"/>
    <x v="0"/>
    <s v="Yes"/>
    <x v="1"/>
    <n v="6.2199999999999998E-2"/>
    <n v="6.9900000000000004E-2"/>
    <m/>
    <m/>
    <m/>
    <m/>
    <x v="0"/>
    <x v="0"/>
  </r>
  <r>
    <x v="0"/>
    <x v="0"/>
    <x v="0"/>
    <x v="0"/>
    <s v="DC TST116146"/>
    <m/>
    <m/>
    <m/>
    <x v="0"/>
    <n v="109421"/>
    <x v="0"/>
    <x v="38"/>
    <x v="0"/>
    <x v="6"/>
    <n v="61005000"/>
    <x v="0"/>
    <x v="0"/>
    <x v="0"/>
    <d v="2018-11-30T00:00:00"/>
    <x v="38"/>
    <x v="0"/>
    <s v="Yes"/>
    <x v="1"/>
    <n v="6.25E-2"/>
    <n v="7.0300000000000001E-2"/>
    <m/>
    <m/>
    <m/>
    <m/>
    <x v="0"/>
    <x v="0"/>
  </r>
  <r>
    <x v="0"/>
    <x v="0"/>
    <x v="0"/>
    <x v="0"/>
    <s v="DC TST116149"/>
    <m/>
    <m/>
    <m/>
    <x v="0"/>
    <n v="109422"/>
    <x v="0"/>
    <x v="38"/>
    <x v="0"/>
    <x v="3"/>
    <n v="41650000"/>
    <x v="0"/>
    <x v="0"/>
    <x v="0"/>
    <d v="2018-12-12T00:00:00"/>
    <x v="39"/>
    <x v="0"/>
    <s v="Yes"/>
    <x v="1"/>
    <n v="6.25E-2"/>
    <n v="7.0300000000000001E-2"/>
    <m/>
    <m/>
    <m/>
    <m/>
    <x v="0"/>
    <x v="0"/>
  </r>
  <r>
    <x v="0"/>
    <x v="0"/>
    <x v="0"/>
    <x v="0"/>
    <s v="DC TST116148"/>
    <m/>
    <m/>
    <m/>
    <x v="0"/>
    <n v="109388"/>
    <x v="0"/>
    <x v="39"/>
    <x v="6"/>
    <x v="4"/>
    <n v="25726167"/>
    <x v="0"/>
    <x v="0"/>
    <x v="0"/>
    <d v="2018-12-05T00:00:00"/>
    <x v="40"/>
    <x v="0"/>
    <s v="Yes"/>
    <x v="1"/>
    <n v="6.25E-2"/>
    <n v="7.0300000000000001E-2"/>
    <m/>
    <m/>
    <m/>
    <m/>
    <x v="0"/>
    <x v="0"/>
  </r>
  <r>
    <x v="0"/>
    <x v="0"/>
    <x v="0"/>
    <x v="0"/>
    <s v="DC TST116152"/>
    <m/>
    <m/>
    <m/>
    <x v="0"/>
    <n v="109237"/>
    <x v="0"/>
    <x v="40"/>
    <x v="6"/>
    <x v="2"/>
    <n v="19168750"/>
    <x v="0"/>
    <x v="0"/>
    <x v="0"/>
    <d v="2018-12-19T00:00:00"/>
    <x v="41"/>
    <x v="0"/>
    <s v="Yes"/>
    <x v="1"/>
    <n v="6.25E-2"/>
    <n v="7.0300000000000001E-2"/>
    <m/>
    <m/>
    <m/>
    <m/>
    <x v="0"/>
    <x v="0"/>
  </r>
  <r>
    <x v="0"/>
    <x v="0"/>
    <x v="0"/>
    <x v="0"/>
    <s v="DC TST116153"/>
    <m/>
    <m/>
    <m/>
    <x v="0"/>
    <n v="109423"/>
    <x v="0"/>
    <x v="38"/>
    <x v="0"/>
    <x v="5"/>
    <n v="10596500"/>
    <x v="0"/>
    <x v="0"/>
    <x v="0"/>
    <d v="2018-12-21T00:00:00"/>
    <x v="42"/>
    <x v="0"/>
    <s v="Yes"/>
    <x v="1"/>
    <n v="6.25E-2"/>
    <n v="7.0300000000000001E-2"/>
    <m/>
    <m/>
    <m/>
    <m/>
    <x v="0"/>
    <x v="0"/>
  </r>
  <r>
    <x v="0"/>
    <x v="0"/>
    <x v="0"/>
    <x v="0"/>
    <s v="DC TST116071"/>
    <m/>
    <m/>
    <m/>
    <x v="0"/>
    <n v="109446"/>
    <x v="0"/>
    <x v="41"/>
    <x v="6"/>
    <x v="5"/>
    <n v="12956748"/>
    <x v="0"/>
    <x v="0"/>
    <x v="0"/>
    <d v="2018-02-15T00:00:00"/>
    <x v="43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63"/>
    <m/>
    <m/>
    <m/>
    <x v="0"/>
    <n v="109383"/>
    <x v="0"/>
    <x v="31"/>
    <x v="6"/>
    <x v="2"/>
    <n v="23522106"/>
    <x v="0"/>
    <x v="0"/>
    <x v="0"/>
    <d v="2018-02-15T00:00:00"/>
    <x v="43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64"/>
    <m/>
    <m/>
    <m/>
    <x v="0"/>
    <n v="109490"/>
    <x v="0"/>
    <x v="42"/>
    <x v="6"/>
    <x v="2"/>
    <n v="21866500"/>
    <x v="0"/>
    <x v="0"/>
    <x v="0"/>
    <d v="2019-02-15T00:00:00"/>
    <x v="44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65"/>
    <m/>
    <m/>
    <m/>
    <x v="0"/>
    <n v="109443"/>
    <x v="0"/>
    <x v="43"/>
    <x v="6"/>
    <x v="2"/>
    <n v="19607060"/>
    <x v="0"/>
    <x v="0"/>
    <x v="0"/>
    <d v="2019-02-13T00:00:00"/>
    <x v="45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70"/>
    <m/>
    <m/>
    <m/>
    <x v="0"/>
    <n v="109478"/>
    <x v="0"/>
    <x v="39"/>
    <x v="6"/>
    <x v="4"/>
    <n v="43076580"/>
    <x v="0"/>
    <x v="0"/>
    <x v="0"/>
    <d v="2019-02-15T00:00:00"/>
    <x v="44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80"/>
    <m/>
    <m/>
    <m/>
    <x v="0"/>
    <n v="109393"/>
    <x v="0"/>
    <x v="44"/>
    <x v="6"/>
    <x v="4"/>
    <n v="28221000"/>
    <x v="0"/>
    <x v="0"/>
    <x v="0"/>
    <d v="2019-02-22T00:00:00"/>
    <x v="46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82"/>
    <m/>
    <m/>
    <m/>
    <x v="0"/>
    <n v="109220"/>
    <x v="0"/>
    <x v="45"/>
    <x v="6"/>
    <x v="0"/>
    <n v="41040012"/>
    <x v="0"/>
    <x v="0"/>
    <x v="0"/>
    <d v="2019-02-22T00:00:00"/>
    <x v="46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85"/>
    <m/>
    <m/>
    <m/>
    <x v="0"/>
    <n v="109247"/>
    <x v="0"/>
    <x v="46"/>
    <x v="6"/>
    <x v="10"/>
    <n v="101466900"/>
    <x v="0"/>
    <x v="0"/>
    <x v="0"/>
    <d v="2019-03-01T00:00:00"/>
    <x v="47"/>
    <x v="0"/>
    <s v="Yes"/>
    <x v="1"/>
    <n v="6.2E-2"/>
    <n v="7.1900000000000006E-2"/>
    <m/>
    <m/>
    <m/>
    <m/>
    <x v="0"/>
    <x v="0"/>
  </r>
  <r>
    <x v="0"/>
    <x v="0"/>
    <x v="0"/>
    <x v="0"/>
    <s v="DC TST116086"/>
    <m/>
    <m/>
    <m/>
    <x v="0"/>
    <n v="109431"/>
    <x v="0"/>
    <x v="47"/>
    <x v="6"/>
    <x v="2"/>
    <n v="23568480"/>
    <x v="0"/>
    <x v="0"/>
    <x v="0"/>
    <d v="2019-03-01T00:00:00"/>
    <x v="47"/>
    <x v="0"/>
    <s v="Yes"/>
    <x v="1"/>
    <n v="6.2E-2"/>
    <n v="7.1900000000000006E-2"/>
    <m/>
    <m/>
    <m/>
    <m/>
    <x v="0"/>
    <x v="0"/>
  </r>
  <r>
    <x v="0"/>
    <x v="0"/>
    <x v="0"/>
    <x v="0"/>
    <s v="DC TST116084"/>
    <m/>
    <m/>
    <m/>
    <x v="0"/>
    <n v="109430"/>
    <x v="0"/>
    <x v="48"/>
    <x v="6"/>
    <x v="0"/>
    <n v="42605660"/>
    <x v="0"/>
    <x v="0"/>
    <x v="0"/>
    <d v="2019-03-06T00:00:00"/>
    <x v="48"/>
    <x v="0"/>
    <s v="Yes"/>
    <x v="1"/>
    <n v="6.2E-2"/>
    <n v="7.1900000000000006E-2"/>
    <m/>
    <m/>
    <m/>
    <m/>
    <x v="0"/>
    <x v="0"/>
  </r>
  <r>
    <x v="0"/>
    <x v="0"/>
    <x v="0"/>
    <x v="0"/>
    <s v="DC TST116089"/>
    <m/>
    <n v="91017"/>
    <m/>
    <x v="0"/>
    <n v="109389"/>
    <x v="0"/>
    <x v="49"/>
    <x v="6"/>
    <x v="2"/>
    <n v="24285330"/>
    <x v="0"/>
    <x v="0"/>
    <x v="0"/>
    <d v="2019-03-08T00:00:00"/>
    <x v="49"/>
    <x v="0"/>
    <s v="Yes"/>
    <x v="1"/>
    <n v="6.2E-2"/>
    <n v="7.1900000000000006E-2"/>
    <m/>
    <m/>
    <m/>
    <m/>
    <x v="0"/>
    <x v="0"/>
  </r>
  <r>
    <x v="0"/>
    <x v="0"/>
    <x v="0"/>
    <x v="0"/>
    <s v="DC TST116090"/>
    <m/>
    <n v="77764"/>
    <m/>
    <x v="0"/>
    <n v="109429"/>
    <x v="0"/>
    <x v="50"/>
    <x v="6"/>
    <x v="2"/>
    <n v="18814000"/>
    <x v="0"/>
    <x v="0"/>
    <x v="0"/>
    <d v="2019-03-13T00:00:00"/>
    <x v="50"/>
    <x v="0"/>
    <s v="Yes"/>
    <x v="1"/>
    <n v="6.2E-2"/>
    <n v="7.1900000000000006E-2"/>
    <m/>
    <m/>
    <m/>
    <m/>
    <x v="0"/>
    <x v="0"/>
  </r>
  <r>
    <x v="0"/>
    <x v="0"/>
    <x v="0"/>
    <x v="0"/>
    <s v="DC TST116091"/>
    <m/>
    <n v="62940"/>
    <m/>
    <x v="0"/>
    <n v="109319"/>
    <x v="0"/>
    <x v="51"/>
    <x v="6"/>
    <x v="5"/>
    <n v="13656120"/>
    <x v="0"/>
    <x v="0"/>
    <x v="0"/>
    <d v="2019-03-13T00:00:00"/>
    <x v="50"/>
    <x v="0"/>
    <s v="Yes"/>
    <x v="1"/>
    <n v="6.2E-2"/>
    <n v="7.1900000000000006E-2"/>
    <m/>
    <m/>
    <m/>
    <m/>
    <x v="0"/>
    <x v="0"/>
  </r>
  <r>
    <x v="0"/>
    <x v="0"/>
    <x v="0"/>
    <x v="0"/>
    <s v="DC TST116098"/>
    <n v="400"/>
    <n v="248057"/>
    <m/>
    <x v="0"/>
    <n v="109493"/>
    <x v="0"/>
    <x v="52"/>
    <x v="10"/>
    <x v="11"/>
    <n v="118268670"/>
    <x v="0"/>
    <x v="0"/>
    <x v="0"/>
    <d v="2019-03-22T00:00:00"/>
    <x v="51"/>
    <x v="0"/>
    <s v="Yes"/>
    <x v="1"/>
    <n v="6.2E-2"/>
    <n v="7.1900000000000006E-2"/>
    <m/>
    <m/>
    <m/>
    <m/>
    <x v="0"/>
    <x v="0"/>
  </r>
  <r>
    <x v="1"/>
    <x v="1"/>
    <x v="1"/>
    <x v="0"/>
    <s v="DC TST116100"/>
    <n v="1794.48"/>
    <n v="50075"/>
    <n v="4651.3"/>
    <x v="0"/>
    <n v="109532"/>
    <x v="0"/>
    <x v="53"/>
    <x v="7"/>
    <x v="2"/>
    <n v="9060000"/>
    <x v="0"/>
    <x v="1"/>
    <x v="1"/>
    <d v="2019-04-05T00:00:00"/>
    <x v="52"/>
    <x v="0"/>
    <s v="Yes"/>
    <x v="0"/>
    <n v="6.2E-2"/>
    <n v="7.1999999999999995E-2"/>
    <n v="4009.7413793103451"/>
    <n v="1546.9655172413795"/>
    <n v="3620.4225000000001"/>
    <n v="655038"/>
    <x v="0"/>
    <x v="0"/>
  </r>
  <r>
    <x v="1"/>
    <x v="0"/>
    <x v="0"/>
    <x v="0"/>
    <s v="DC TST116103"/>
    <n v="3375.29"/>
    <n v="130696"/>
    <n v="6607"/>
    <x v="0"/>
    <n v="109294"/>
    <x v="0"/>
    <x v="54"/>
    <x v="6"/>
    <x v="0"/>
    <n v="45060980"/>
    <x v="0"/>
    <x v="1"/>
    <x v="1"/>
    <d v="2019-04-05T00:00:00"/>
    <x v="52"/>
    <x v="0"/>
    <s v="Yes"/>
    <x v="0"/>
    <n v="6.2E-2"/>
    <n v="7.1999999999999995E-2"/>
    <n v="5695.6896551724139"/>
    <n v="2909.7327586206898"/>
    <n v="9449.3207999999995"/>
    <n v="3257908.8540000003"/>
    <x v="0"/>
    <x v="0"/>
  </r>
  <r>
    <x v="1"/>
    <x v="0"/>
    <x v="0"/>
    <x v="0"/>
    <s v="DC TST116161"/>
    <n v="5119.07"/>
    <n v="240628"/>
    <n v="12294"/>
    <x v="0"/>
    <n v="109336"/>
    <x v="0"/>
    <x v="55"/>
    <x v="6"/>
    <x v="8"/>
    <n v="113219140"/>
    <x v="0"/>
    <x v="1"/>
    <x v="1"/>
    <d v="2019-04-05T00:00:00"/>
    <x v="52"/>
    <x v="0"/>
    <s v="Yes"/>
    <x v="0"/>
    <n v="6.2E-2"/>
    <n v="7.1999999999999995E-2"/>
    <n v="10598.275862068966"/>
    <n v="4412.9913793103451"/>
    <n v="17397.404399999999"/>
    <n v="8185743.8220000006"/>
    <x v="0"/>
    <x v="0"/>
  </r>
  <r>
    <x v="1"/>
    <x v="0"/>
    <x v="0"/>
    <x v="0"/>
    <s v="DC TST116104"/>
    <n v="4459.2800000000007"/>
    <n v="193074"/>
    <n v="16025.3"/>
    <x v="0"/>
    <n v="109344"/>
    <x v="0"/>
    <x v="56"/>
    <x v="2"/>
    <x v="8"/>
    <n v="82818800"/>
    <x v="0"/>
    <x v="1"/>
    <x v="1"/>
    <d v="2019-04-10T00:00:00"/>
    <x v="53"/>
    <x v="0"/>
    <s v="Yes"/>
    <x v="0"/>
    <n v="6.2E-2"/>
    <n v="7.1999999999999995E-2"/>
    <n v="13814.913793103449"/>
    <n v="3844.2068965517251"/>
    <n v="13959.2502"/>
    <n v="5987799.2400000002"/>
    <x v="0"/>
    <x v="0"/>
  </r>
  <r>
    <x v="1"/>
    <x v="0"/>
    <x v="0"/>
    <x v="0"/>
    <s v="DC TST116166"/>
    <n v="2520.7399999999998"/>
    <n v="93652"/>
    <n v="4507.75"/>
    <x v="0"/>
    <n v="109263"/>
    <x v="0"/>
    <x v="57"/>
    <x v="6"/>
    <x v="2"/>
    <n v="25464606"/>
    <x v="0"/>
    <x v="1"/>
    <x v="1"/>
    <d v="2019-04-19T00:00:00"/>
    <x v="54"/>
    <x v="0"/>
    <s v="Yes"/>
    <x v="0"/>
    <n v="6.2E-2"/>
    <n v="7.1999999999999995E-2"/>
    <n v="3885.9913793103451"/>
    <n v="2173.0517241379312"/>
    <n v="6771.0396000000001"/>
    <n v="1841091.0138000001"/>
    <x v="0"/>
    <x v="0"/>
  </r>
  <r>
    <x v="1"/>
    <x v="0"/>
    <x v="0"/>
    <x v="0"/>
    <s v="DC TST116167"/>
    <n v="2818.43"/>
    <n v="106268"/>
    <n v="6467.5"/>
    <x v="0"/>
    <n v="109526"/>
    <x v="0"/>
    <x v="58"/>
    <x v="6"/>
    <x v="4"/>
    <n v="32191000"/>
    <x v="0"/>
    <x v="1"/>
    <x v="1"/>
    <d v="2019-04-19T00:00:00"/>
    <x v="54"/>
    <x v="0"/>
    <s v="Yes"/>
    <x v="0"/>
    <n v="6.2E-2"/>
    <n v="7.1999999999999995E-2"/>
    <n v="5575.4310344827591"/>
    <n v="2429.6810344827586"/>
    <n v="7683.1764000000003"/>
    <n v="2327409.3000000003"/>
    <x v="0"/>
    <x v="0"/>
  </r>
  <r>
    <x v="1"/>
    <x v="0"/>
    <x v="0"/>
    <x v="0"/>
    <s v="DC TST116173"/>
    <n v="3557.27"/>
    <n v="138518"/>
    <n v="6617.5"/>
    <x v="0"/>
    <n v="109390"/>
    <x v="0"/>
    <x v="59"/>
    <x v="6"/>
    <x v="0"/>
    <n v="49403160"/>
    <x v="0"/>
    <x v="2"/>
    <x v="1"/>
    <d v="2019-05-03T00:00:00"/>
    <x v="55"/>
    <x v="0"/>
    <s v="Yes"/>
    <x v="0"/>
    <n v="6.1699999999999998E-2"/>
    <n v="7.1599999999999997E-2"/>
    <n v="5704.7413793103451"/>
    <n v="3066.6120689655172"/>
    <n v="9931.7405999999992"/>
    <n v="3542206.5720000002"/>
    <x v="0"/>
    <x v="0"/>
  </r>
  <r>
    <x v="1"/>
    <x v="0"/>
    <x v="0"/>
    <x v="0"/>
    <s v="DC TST116172"/>
    <n v="3418"/>
    <n v="100033"/>
    <n v="6617.5"/>
    <x v="0"/>
    <n v="109497"/>
    <x v="0"/>
    <x v="60"/>
    <x v="6"/>
    <x v="4"/>
    <n v="46221192"/>
    <x v="0"/>
    <x v="2"/>
    <x v="1"/>
    <d v="2019-05-08T00:00:00"/>
    <x v="56"/>
    <x v="0"/>
    <s v="Yes"/>
    <x v="0"/>
    <n v="6.1699999999999998E-2"/>
    <n v="7.1599999999999997E-2"/>
    <n v="5704.7413793103451"/>
    <n v="2946.5517241379312"/>
    <n v="7172.3661000000002"/>
    <n v="3314059.4663999998"/>
    <x v="0"/>
    <x v="0"/>
  </r>
  <r>
    <x v="1"/>
    <x v="0"/>
    <x v="0"/>
    <x v="0"/>
    <s v="DC TST116175"/>
    <n v="4923.5200000000004"/>
    <n v="88575"/>
    <n v="10355.25"/>
    <x v="0"/>
    <n v="109553"/>
    <x v="0"/>
    <x v="61"/>
    <x v="6"/>
    <x v="3"/>
    <n v="51373765"/>
    <x v="0"/>
    <x v="2"/>
    <x v="1"/>
    <d v="2019-05-17T00:00:00"/>
    <x v="57"/>
    <x v="0"/>
    <s v="Yes"/>
    <x v="0"/>
    <n v="6.1699999999999998E-2"/>
    <n v="7.1599999999999997E-2"/>
    <n v="8926.9396551724149"/>
    <n v="4244.4137931034493"/>
    <n v="6350.8275000000003"/>
    <n v="3683498.9504999998"/>
    <x v="0"/>
    <x v="0"/>
  </r>
  <r>
    <x v="1"/>
    <x v="0"/>
    <x v="0"/>
    <x v="0"/>
    <s v="DC TST116174"/>
    <n v="3653.73"/>
    <n v="123801"/>
    <n v="10355.25"/>
    <x v="0"/>
    <n v="109554"/>
    <x v="0"/>
    <x v="61"/>
    <x v="6"/>
    <x v="3"/>
    <n v="51595080"/>
    <x v="0"/>
    <x v="2"/>
    <x v="1"/>
    <d v="2019-05-15T00:00:00"/>
    <x v="58"/>
    <x v="0"/>
    <s v="Yes"/>
    <x v="0"/>
    <n v="6.1699999999999998E-2"/>
    <n v="7.1599999999999997E-2"/>
    <n v="8926.9396551724149"/>
    <n v="3149.7672413793107"/>
    <n v="8876.5316999999995"/>
    <n v="3699367.236"/>
    <x v="0"/>
    <x v="0"/>
  </r>
  <r>
    <x v="1"/>
    <x v="0"/>
    <x v="0"/>
    <x v="0"/>
    <s v="DC TST116177"/>
    <n v="3532.69"/>
    <n v="116923"/>
    <n v="7306.5"/>
    <x v="0"/>
    <n v="109563"/>
    <x v="0"/>
    <x v="62"/>
    <x v="2"/>
    <x v="3"/>
    <n v="47977300"/>
    <x v="0"/>
    <x v="3"/>
    <x v="2"/>
    <d v="2019-06-01T00:00:00"/>
    <x v="59"/>
    <x v="0"/>
    <s v="Yes"/>
    <x v="1"/>
    <n v="6.4299999999999996E-2"/>
    <n v="7.2999999999999995E-2"/>
    <n v="6437.4449339207049"/>
    <n v="3112.502202643172"/>
    <n v="8582.1482000000015"/>
    <n v="3521533.8200000003"/>
    <x v="0"/>
    <x v="0"/>
  </r>
  <r>
    <x v="1"/>
    <x v="0"/>
    <x v="0"/>
    <x v="0"/>
    <s v="DC TST116178"/>
    <n v="5353.37"/>
    <n v="81596"/>
    <n v="9266.25"/>
    <x v="0"/>
    <n v="109564"/>
    <x v="0"/>
    <x v="62"/>
    <x v="2"/>
    <x v="3"/>
    <n v="43479400"/>
    <x v="0"/>
    <x v="3"/>
    <x v="2"/>
    <d v="2019-06-01T00:00:00"/>
    <x v="59"/>
    <x v="0"/>
    <s v="Yes"/>
    <x v="1"/>
    <n v="6.4299999999999996E-2"/>
    <n v="7.2999999999999995E-2"/>
    <n v="8164.0969162995598"/>
    <n v="4716.6255506607931"/>
    <n v="5989.1464000000005"/>
    <n v="3191387.9600000004"/>
    <x v="0"/>
    <x v="0"/>
  </r>
  <r>
    <x v="1"/>
    <x v="0"/>
    <x v="0"/>
    <x v="0"/>
    <s v="DC TST116186"/>
    <n v="3754.21"/>
    <n v="144632"/>
    <n v="6417.5"/>
    <x v="0"/>
    <n v="109582"/>
    <x v="0"/>
    <x v="63"/>
    <x v="6"/>
    <x v="4"/>
    <n v="52733344"/>
    <x v="0"/>
    <x v="3"/>
    <x v="2"/>
    <d v="2019-06-01T00:00:00"/>
    <x v="59"/>
    <x v="0"/>
    <s v="Yes"/>
    <x v="1"/>
    <n v="6.4299999999999996E-2"/>
    <n v="7.2999999999999995E-2"/>
    <n v="5654.1850220264314"/>
    <n v="3307.6740088105726"/>
    <n v="10615.988800000001"/>
    <n v="3870627.4496000004"/>
    <x v="0"/>
    <x v="0"/>
  </r>
  <r>
    <x v="1"/>
    <x v="0"/>
    <x v="0"/>
    <x v="0"/>
    <s v="315012018684-M"/>
    <m/>
    <m/>
    <n v="9266.25"/>
    <x v="0"/>
    <n v="109565"/>
    <x v="0"/>
    <x v="62"/>
    <x v="2"/>
    <x v="3"/>
    <n v="44014750"/>
    <x v="0"/>
    <x v="3"/>
    <x v="2"/>
    <d v="2019-07-03T00:00:00"/>
    <x v="60"/>
    <x v="0"/>
    <s v="Yes"/>
    <x v="1"/>
    <n v="6.4699999999999994E-2"/>
    <n v="7.3400000000000007E-2"/>
    <n v="8164.0969162995598"/>
    <n v="0"/>
    <n v="0"/>
    <n v="3230682.6500000004"/>
    <x v="0"/>
    <x v="0"/>
  </r>
  <r>
    <x v="1"/>
    <x v="0"/>
    <x v="0"/>
    <x v="0"/>
    <s v="315012018693-M"/>
    <m/>
    <m/>
    <n v="7306.5"/>
    <x v="0"/>
    <n v="109566"/>
    <x v="0"/>
    <x v="62"/>
    <x v="2"/>
    <x v="3"/>
    <n v="48549000"/>
    <x v="0"/>
    <x v="3"/>
    <x v="2"/>
    <d v="2019-07-03T00:00:00"/>
    <x v="60"/>
    <x v="0"/>
    <s v="Yes"/>
    <x v="1"/>
    <n v="6.4699999999999994E-2"/>
    <n v="7.3400000000000007E-2"/>
    <n v="6437.4449339207049"/>
    <n v="0"/>
    <n v="0"/>
    <n v="3563496.6000000006"/>
    <x v="0"/>
    <x v="0"/>
  </r>
  <r>
    <x v="1"/>
    <x v="0"/>
    <x v="0"/>
    <x v="0"/>
    <s v="DC TST116195"/>
    <n v="3536.8"/>
    <n v="217648"/>
    <n v="6417.5"/>
    <x v="0"/>
    <n v="109603"/>
    <x v="0"/>
    <x v="64"/>
    <x v="6"/>
    <x v="0"/>
    <n v="47482920"/>
    <x v="0"/>
    <x v="3"/>
    <x v="2"/>
    <d v="2019-07-03T00:00:00"/>
    <x v="60"/>
    <x v="0"/>
    <s v="Yes"/>
    <x v="1"/>
    <n v="6.4699999999999994E-2"/>
    <n v="7.3400000000000007E-2"/>
    <n v="5654.1850220264314"/>
    <n v="3116.1233480176211"/>
    <n v="15975.363200000002"/>
    <n v="3485246.3280000002"/>
    <x v="0"/>
    <x v="0"/>
  </r>
  <r>
    <x v="1"/>
    <x v="0"/>
    <x v="1"/>
    <x v="0"/>
    <s v="DC TST116196"/>
    <n v="2765.68"/>
    <n v="78755"/>
    <n v="4507.75"/>
    <x v="0"/>
    <n v="109610"/>
    <x v="0"/>
    <x v="65"/>
    <x v="6"/>
    <x v="5"/>
    <n v="11914422"/>
    <x v="0"/>
    <x v="3"/>
    <x v="2"/>
    <d v="2019-07-19T00:00:00"/>
    <x v="61"/>
    <x v="0"/>
    <s v="Yes"/>
    <x v="1"/>
    <n v="6.4699999999999994E-2"/>
    <n v="7.3400000000000007E-2"/>
    <n v="3971.5859030837005"/>
    <n v="2436.7224669603524"/>
    <n v="5780.6170000000002"/>
    <n v="874518.57480000006"/>
    <x v="0"/>
    <x v="0"/>
  </r>
  <r>
    <x v="1"/>
    <x v="0"/>
    <x v="0"/>
    <x v="0"/>
    <s v="DC TST116198"/>
    <n v="5852.85"/>
    <n v="131975"/>
    <n v="12315"/>
    <x v="0"/>
    <n v="109602"/>
    <x v="0"/>
    <x v="64"/>
    <x v="6"/>
    <x v="1"/>
    <n v="86619690"/>
    <x v="0"/>
    <x v="3"/>
    <x v="2"/>
    <d v="2019-07-17T00:00:00"/>
    <x v="62"/>
    <x v="0"/>
    <s v="Yes"/>
    <x v="1"/>
    <n v="6.4699999999999994E-2"/>
    <n v="7.3400000000000007E-2"/>
    <n v="10850.22026431718"/>
    <n v="5156.6960352422911"/>
    <n v="9686.9650000000001"/>
    <n v="6357885.2460000003"/>
    <x v="0"/>
    <x v="0"/>
  </r>
  <r>
    <x v="1"/>
    <x v="0"/>
    <x v="0"/>
    <x v="0"/>
    <s v="DC TST116197"/>
    <n v="4900.76"/>
    <n v="101278"/>
    <n v="6467.5"/>
    <x v="0"/>
    <n v="109608"/>
    <x v="0"/>
    <x v="64"/>
    <x v="6"/>
    <x v="0"/>
    <n v="62062680"/>
    <x v="0"/>
    <x v="3"/>
    <x v="2"/>
    <d v="2019-07-19T00:00:00"/>
    <x v="61"/>
    <x v="0"/>
    <s v="Yes"/>
    <x v="1"/>
    <n v="6.4699999999999994E-2"/>
    <n v="7.3400000000000007E-2"/>
    <n v="5698.2378854625549"/>
    <n v="4317.8502202643176"/>
    <n v="7433.8052000000007"/>
    <n v="4555400.7120000003"/>
    <x v="0"/>
    <x v="0"/>
  </r>
  <r>
    <x v="1"/>
    <x v="0"/>
    <x v="0"/>
    <x v="0"/>
    <s v="DC TST116208"/>
    <n v="2892.91"/>
    <n v="106400"/>
    <n v="16672.75"/>
    <x v="0"/>
    <n v="109587"/>
    <x v="0"/>
    <x v="66"/>
    <x v="2"/>
    <x v="3"/>
    <n v="33128813"/>
    <x v="0"/>
    <x v="4"/>
    <x v="2"/>
    <d v="2019-08-09T00:00:00"/>
    <x v="63"/>
    <x v="0"/>
    <s v="Yes"/>
    <x v="1"/>
    <n v="6.4799999999999996E-2"/>
    <n v="7.3499999999999996E-2"/>
    <n v="14689.647577092512"/>
    <n v="2548.8193832599118"/>
    <n v="7820.4"/>
    <n v="2434967.7555"/>
    <x v="0"/>
    <x v="0"/>
  </r>
  <r>
    <x v="1"/>
    <x v="0"/>
    <x v="0"/>
    <x v="0"/>
    <s v="DC TST116209"/>
    <n v="4766.41"/>
    <n v="81522"/>
    <n v="0"/>
    <x v="0"/>
    <n v="109588"/>
    <x v="0"/>
    <x v="66"/>
    <x v="2"/>
    <x v="3"/>
    <n v="46244313"/>
    <x v="0"/>
    <x v="4"/>
    <x v="2"/>
    <d v="2019-08-09T00:00:00"/>
    <x v="63"/>
    <x v="0"/>
    <s v="Yes"/>
    <x v="1"/>
    <n v="6.4799999999999996E-2"/>
    <n v="7.3499999999999996E-2"/>
    <n v="0"/>
    <n v="4199.4801762114539"/>
    <n v="5991.8669999999993"/>
    <n v="3398957.0055"/>
    <x v="0"/>
    <x v="0"/>
  </r>
  <r>
    <x v="1"/>
    <x v="0"/>
    <x v="1"/>
    <x v="0"/>
    <s v="DC TST116206"/>
    <n v="4137.34"/>
    <n v="64118"/>
    <n v="6617.5"/>
    <x v="0"/>
    <n v="109623"/>
    <x v="0"/>
    <x v="67"/>
    <x v="11"/>
    <x v="2"/>
    <n v="32334596"/>
    <x v="0"/>
    <x v="5"/>
    <x v="2"/>
    <d v="2019-07-31T00:00:00"/>
    <x v="64"/>
    <x v="0"/>
    <s v="Yes"/>
    <x v="1"/>
    <n v="6.4799999999999996E-2"/>
    <n v="7.3499999999999996E-2"/>
    <n v="5830.3964757709255"/>
    <n v="3645.2334801762117"/>
    <n v="4744.732"/>
    <n v="2392760.1039999998"/>
    <x v="0"/>
    <x v="0"/>
  </r>
  <r>
    <x v="1"/>
    <x v="1"/>
    <x v="1"/>
    <x v="0"/>
    <s v="DC TST116214"/>
    <n v="1650"/>
    <n v="36725"/>
    <n v="4657.75"/>
    <x v="0"/>
    <n v="109662"/>
    <x v="0"/>
    <x v="65"/>
    <x v="12"/>
    <x v="5"/>
    <n v="4448680"/>
    <x v="0"/>
    <x v="4"/>
    <x v="2"/>
    <d v="2019-08-30T00:00:00"/>
    <x v="65"/>
    <x v="0"/>
    <s v="Yes"/>
    <x v="1"/>
    <n v="6.4399999999999999E-2"/>
    <n v="7.3099999999999998E-2"/>
    <n v="4103.7444933920706"/>
    <n v="1453.7444933920706"/>
    <n v="2699.2874999999999"/>
    <n v="326977.98"/>
    <x v="0"/>
    <x v="0"/>
  </r>
  <r>
    <x v="1"/>
    <x v="0"/>
    <x v="0"/>
    <x v="0"/>
    <s v="DC TST116783"/>
    <n v="3810.03"/>
    <n v="6890"/>
    <n v="6467.5"/>
    <x v="0"/>
    <n v="109625"/>
    <x v="0"/>
    <x v="68"/>
    <x v="2"/>
    <x v="0"/>
    <n v="24630600"/>
    <x v="0"/>
    <x v="6"/>
    <x v="3"/>
    <d v="2019-09-06T00:00:00"/>
    <x v="66"/>
    <x v="0"/>
    <s v="Yes"/>
    <x v="1"/>
    <n v="6.4799999999999996E-2"/>
    <n v="7.3499999999999996E-2"/>
    <n v="5906.3926940639267"/>
    <n v="3479.4794520547948"/>
    <n v="518.12800000000004"/>
    <n v="1852221.12"/>
    <x v="0"/>
    <x v="0"/>
  </r>
  <r>
    <x v="1"/>
    <x v="0"/>
    <x v="0"/>
    <x v="0"/>
    <s v="DC TST116784"/>
    <n v="5155.3"/>
    <n v="91875"/>
    <n v="10205.25"/>
    <x v="0"/>
    <n v="109624"/>
    <x v="0"/>
    <x v="68"/>
    <x v="6"/>
    <x v="6"/>
    <n v="54430020"/>
    <x v="0"/>
    <x v="6"/>
    <x v="3"/>
    <d v="2019-09-06T00:00:00"/>
    <x v="66"/>
    <x v="0"/>
    <s v="Yes"/>
    <x v="1"/>
    <n v="6.4799999999999996E-2"/>
    <n v="7.3499999999999996E-2"/>
    <n v="9319.8630136986303"/>
    <n v="4708.0365296803657"/>
    <n v="6909"/>
    <n v="4093137.5040000002"/>
    <x v="0"/>
    <x v="0"/>
  </r>
  <r>
    <x v="1"/>
    <x v="0"/>
    <x v="0"/>
    <x v="0"/>
    <s v="DC TST116795"/>
    <n v="4487.09"/>
    <n v="73311"/>
    <n v="10355.25"/>
    <x v="0"/>
    <n v="109665"/>
    <x v="0"/>
    <x v="69"/>
    <x v="2"/>
    <x v="6"/>
    <n v="39960450"/>
    <x v="0"/>
    <x v="7"/>
    <x v="3"/>
    <d v="2019-10-11T00:00:00"/>
    <x v="67"/>
    <x v="0"/>
    <s v="Yes"/>
    <x v="1"/>
    <n v="6.7299999999999999E-2"/>
    <n v="7.3999999999999996E-2"/>
    <n v="9456.8493150684935"/>
    <n v="4097.7990867579911"/>
    <n v="5432.3450999999995"/>
    <n v="2961069.3449999997"/>
    <x v="0"/>
    <x v="0"/>
  </r>
  <r>
    <x v="1"/>
    <x v="0"/>
    <x v="1"/>
    <x v="0"/>
    <s v="DC TST116793"/>
    <n v="4044.57"/>
    <n v="61109"/>
    <n v="0"/>
    <x v="0"/>
    <n v="109694"/>
    <x v="0"/>
    <x v="70"/>
    <x v="11"/>
    <x v="2"/>
    <n v="30199560"/>
    <x v="0"/>
    <x v="7"/>
    <x v="3"/>
    <d v="2019-10-02T00:00:00"/>
    <x v="68"/>
    <x v="0"/>
    <s v="no mismatch"/>
    <x v="2"/>
    <s v="no mismatch"/>
    <s v="no mismatch"/>
    <n v="0"/>
    <n v="3693.6712328767126"/>
    <n v="4528.1769000000004"/>
    <n v="2237787.3960000002"/>
    <x v="0"/>
    <x v="0"/>
  </r>
  <r>
    <x v="1"/>
    <x v="0"/>
    <x v="0"/>
    <x v="0"/>
    <s v="DC TST116796"/>
    <n v="4456.7"/>
    <n v="72456"/>
    <n v="10355.25"/>
    <x v="0"/>
    <n v="109686"/>
    <x v="0"/>
    <x v="71"/>
    <x v="2"/>
    <x v="6"/>
    <n v="39276900"/>
    <x v="0"/>
    <x v="7"/>
    <x v="3"/>
    <d v="2019-10-18T00:00:00"/>
    <x v="69"/>
    <x v="0"/>
    <s v="Yes"/>
    <x v="1"/>
    <n v="6.7100000000000007E-2"/>
    <n v="7.3499999999999996E-2"/>
    <n v="9456.8493150684935"/>
    <n v="4070.0456621004564"/>
    <n v="5368.9895999999999"/>
    <n v="2910418.29"/>
    <x v="0"/>
    <x v="0"/>
  </r>
  <r>
    <x v="1"/>
    <x v="0"/>
    <x v="0"/>
    <x v="0"/>
    <s v="DC TST116802"/>
    <n v="3722.3599999999997"/>
    <n v="52574"/>
    <n v="6392.5"/>
    <x v="0"/>
    <n v="109693"/>
    <x v="0"/>
    <x v="72"/>
    <x v="2"/>
    <x v="0"/>
    <n v="23111850"/>
    <x v="0"/>
    <x v="4"/>
    <x v="4"/>
    <d v="2019-11-01T00:00:00"/>
    <x v="70"/>
    <x v="0"/>
    <s v="no mismatch"/>
    <x v="2"/>
    <s v="no mismatch"/>
    <s v="no mismatch"/>
    <n v="5759.0090090090089"/>
    <n v="3353.4774774774769"/>
    <n v="3864.1889999999999"/>
    <n v="1698720.9749999999"/>
    <x v="0"/>
    <x v="0"/>
  </r>
  <r>
    <x v="1"/>
    <x v="0"/>
    <x v="0"/>
    <x v="0"/>
    <s v="DC TST116804"/>
    <n v="5379.7800000000007"/>
    <n v="105249"/>
    <n v="10130.25"/>
    <x v="0"/>
    <n v="109664"/>
    <x v="0"/>
    <x v="69"/>
    <x v="6"/>
    <x v="6"/>
    <n v="65251620"/>
    <x v="0"/>
    <x v="4"/>
    <x v="4"/>
    <d v="2019-11-01T00:00:00"/>
    <x v="70"/>
    <x v="0"/>
    <s v="Yes"/>
    <x v="1"/>
    <n v="6.7199999999999996E-2"/>
    <n v="7.3599999999999999E-2"/>
    <n v="9126.3513513513499"/>
    <n v="4846.6486486486492"/>
    <n v="7735.8014999999996"/>
    <n v="4795994.0699999994"/>
    <x v="0"/>
    <x v="0"/>
  </r>
  <r>
    <x v="1"/>
    <x v="0"/>
    <x v="0"/>
    <x v="0"/>
    <s v="DC TST116803"/>
    <n v="3983.8"/>
    <n v="59796"/>
    <n v="6392.5"/>
    <x v="0"/>
    <n v="109685"/>
    <x v="0"/>
    <x v="71"/>
    <x v="2"/>
    <x v="3"/>
    <n v="28889813"/>
    <x v="0"/>
    <x v="4"/>
    <x v="4"/>
    <d v="2019-11-01T00:00:00"/>
    <x v="70"/>
    <x v="0"/>
    <s v="no mismatch"/>
    <x v="2"/>
    <s v="no mismatch"/>
    <s v="no mismatch"/>
    <n v="5759.0090090090089"/>
    <n v="3589.0090090090089"/>
    <n v="4395.0059999999994"/>
    <n v="2123401.2555"/>
    <x v="0"/>
    <x v="0"/>
  </r>
  <r>
    <x v="1"/>
    <x v="0"/>
    <x v="0"/>
    <x v="0"/>
    <s v="DC TST116805"/>
    <n v="4564.1000000000004"/>
    <n v="75756"/>
    <n v="6392.5"/>
    <x v="0"/>
    <n v="109705"/>
    <x v="0"/>
    <x v="73"/>
    <x v="6"/>
    <x v="0"/>
    <n v="41657880"/>
    <x v="0"/>
    <x v="4"/>
    <x v="4"/>
    <d v="2019-11-01T00:00:00"/>
    <x v="70"/>
    <x v="0"/>
    <s v="no mismatch"/>
    <x v="2"/>
    <s v="no mismatch"/>
    <s v="no mismatch"/>
    <n v="5759.0090090090089"/>
    <n v="4111.801801801802"/>
    <n v="5568.0659999999998"/>
    <n v="3061854.1799999997"/>
    <x v="0"/>
    <x v="0"/>
  </r>
  <r>
    <x v="1"/>
    <x v="0"/>
    <x v="0"/>
    <x v="0"/>
    <s v="DC TST116798"/>
    <n v="4508.25"/>
    <n v="73581"/>
    <n v="6617.5"/>
    <x v="0"/>
    <n v="109715"/>
    <x v="0"/>
    <x v="74"/>
    <x v="6"/>
    <x v="0"/>
    <n v="40177080"/>
    <x v="0"/>
    <x v="7"/>
    <x v="3"/>
    <d v="2019-10-25T00:00:00"/>
    <x v="71"/>
    <x v="0"/>
    <s v="no mismatch"/>
    <x v="2"/>
    <s v="no mismatch"/>
    <s v="no mismatch"/>
    <n v="6043.3789954337899"/>
    <n v="4117.1232876712329"/>
    <n v="5452.3521000000001"/>
    <n v="2977121.628"/>
    <x v="0"/>
    <x v="0"/>
  </r>
  <r>
    <x v="2"/>
    <x v="0"/>
    <x v="0"/>
    <x v="0"/>
    <s v="DC TST116854"/>
    <n v="679.45"/>
    <n v="42122"/>
    <n v="0"/>
    <x v="1"/>
    <n v="109714"/>
    <x v="0"/>
    <x v="75"/>
    <x v="2"/>
    <x v="5"/>
    <n v="8750000"/>
    <x v="1"/>
    <x v="8"/>
    <x v="4"/>
    <d v="2020-02-22T00:00:00"/>
    <x v="72"/>
    <x v="0"/>
    <s v="2月"/>
    <x v="1"/>
    <n v="6.7199999999999996E-2"/>
    <n v="7.3599999999999999E-2"/>
    <n v="0"/>
    <n v="612.11711711711712"/>
    <n v="3062.2694000000001"/>
    <n v="636125"/>
    <x v="0"/>
    <x v="0"/>
  </r>
  <r>
    <x v="1"/>
    <x v="0"/>
    <x v="0"/>
    <x v="0"/>
    <s v="DC TST116809"/>
    <n v="3958.87"/>
    <n v="155074"/>
    <n v="11226.6"/>
    <x v="0"/>
    <n v="109721"/>
    <x v="0"/>
    <x v="76"/>
    <x v="6"/>
    <x v="6"/>
    <n v="59238220"/>
    <x v="0"/>
    <x v="9"/>
    <x v="4"/>
    <d v="2019-12-04T00:00:00"/>
    <x v="73"/>
    <x v="0"/>
    <s v="Yes"/>
    <x v="1"/>
    <n v="6.5699999999999995E-2"/>
    <n v="7.2400000000000006E-2"/>
    <n v="10114.054054054053"/>
    <n v="3566.5495495495493"/>
    <n v="11304.894600000001"/>
    <n v="4318466.2380000008"/>
    <x v="0"/>
    <x v="0"/>
  </r>
  <r>
    <x v="1"/>
    <x v="0"/>
    <x v="0"/>
    <x v="0"/>
    <s v="DC TST116825"/>
    <n v="3420.46"/>
    <n v="98483"/>
    <n v="7198.4"/>
    <x v="0"/>
    <n v="109723"/>
    <x v="0"/>
    <x v="77"/>
    <x v="2"/>
    <x v="0"/>
    <n v="45182700"/>
    <x v="0"/>
    <x v="9"/>
    <x v="4"/>
    <d v="2019-12-25T00:00:00"/>
    <x v="74"/>
    <x v="0"/>
    <s v="Yes"/>
    <x v="1"/>
    <n v="6.54E-2"/>
    <n v="7.2599999999999998E-2"/>
    <n v="6485.0450450450444"/>
    <n v="3081.4954954954951"/>
    <n v="7179.4107000000004"/>
    <n v="3293818.83"/>
    <x v="0"/>
    <x v="0"/>
  </r>
  <r>
    <x v="1"/>
    <x v="0"/>
    <x v="0"/>
    <x v="0"/>
    <s v="DC TST116819"/>
    <n v="6136.69"/>
    <n v="148205"/>
    <n v="13476.8"/>
    <x v="0"/>
    <n v="109730"/>
    <x v="0"/>
    <x v="78"/>
    <x v="6"/>
    <x v="7"/>
    <n v="99403680"/>
    <x v="0"/>
    <x v="9"/>
    <x v="4"/>
    <d v="2019-12-11T00:00:00"/>
    <x v="75"/>
    <x v="0"/>
    <s v="Yes"/>
    <x v="1"/>
    <n v="6.5299999999999997E-2"/>
    <n v="7.2499999999999995E-2"/>
    <n v="12141.261261261259"/>
    <n v="5528.5495495495488"/>
    <n v="10804.1445"/>
    <n v="7246528.2720000008"/>
    <x v="0"/>
    <x v="0"/>
  </r>
  <r>
    <x v="2"/>
    <x v="0"/>
    <x v="0"/>
    <x v="0"/>
    <s v="DC TST116828"/>
    <n v="5971.9"/>
    <n v="139195"/>
    <n v="13276.8"/>
    <x v="2"/>
    <n v="109749"/>
    <x v="1"/>
    <x v="79"/>
    <x v="2"/>
    <x v="4"/>
    <n v="24993150"/>
    <x v="0"/>
    <x v="10"/>
    <x v="4"/>
    <d v="2020-01-06T00:00:00"/>
    <x v="76"/>
    <x v="0"/>
    <s v="1月"/>
    <x v="1"/>
    <n v="6.54E-2"/>
    <n v="7.2599999999999998E-2"/>
    <n v="11961.08108108108"/>
    <n v="5380.0900900900897"/>
    <n v="10161.234999999999"/>
    <n v="1824499.95"/>
    <x v="0"/>
    <x v="0"/>
  </r>
  <r>
    <x v="2"/>
    <x v="0"/>
    <x v="0"/>
    <x v="0"/>
    <s v="DC TST116828"/>
    <n v="0"/>
    <n v="0"/>
    <n v="0"/>
    <x v="2"/>
    <n v="109749"/>
    <x v="1"/>
    <x v="79"/>
    <x v="6"/>
    <x v="6"/>
    <n v="67098288"/>
    <x v="0"/>
    <x v="10"/>
    <x v="4"/>
    <d v="2020-01-06T00:00:00"/>
    <x v="76"/>
    <x v="0"/>
    <s v="1月"/>
    <x v="1"/>
    <n v="6.54E-2"/>
    <n v="7.2599999999999998E-2"/>
    <n v="0"/>
    <n v="0"/>
    <n v="0"/>
    <n v="4898175.0239999993"/>
    <x v="0"/>
    <x v="0"/>
  </r>
  <r>
    <x v="2"/>
    <x v="0"/>
    <x v="0"/>
    <x v="0"/>
    <s v="DC TST116829"/>
    <n v="6941.09"/>
    <n v="192904"/>
    <n v="19555.2"/>
    <x v="3"/>
    <n v="109750"/>
    <x v="1"/>
    <x v="79"/>
    <x v="2"/>
    <x v="3"/>
    <n v="35457750"/>
    <x v="0"/>
    <x v="10"/>
    <x v="4"/>
    <d v="2020-01-06T00:00:00"/>
    <x v="76"/>
    <x v="0"/>
    <s v="1月"/>
    <x v="2"/>
    <s v="no mismatch"/>
    <s v="no mismatch"/>
    <n v="17617.297297297297"/>
    <n v="6253.2342342342336"/>
    <n v="14081.991999999998"/>
    <n v="2588415.75"/>
    <x v="0"/>
    <x v="0"/>
  </r>
  <r>
    <x v="2"/>
    <x v="0"/>
    <x v="0"/>
    <x v="0"/>
    <s v="DC TST116829"/>
    <n v="0"/>
    <n v="0"/>
    <n v="0"/>
    <x v="3"/>
    <n v="109750"/>
    <x v="1"/>
    <x v="79"/>
    <x v="6"/>
    <x v="8"/>
    <n v="99600600"/>
    <x v="0"/>
    <x v="10"/>
    <x v="4"/>
    <d v="2020-01-06T00:00:00"/>
    <x v="76"/>
    <x v="0"/>
    <s v="1月"/>
    <x v="2"/>
    <s v="no mismatch"/>
    <s v="no mismatch"/>
    <n v="0"/>
    <n v="0"/>
    <n v="0"/>
    <n v="7270843.7999999998"/>
    <x v="0"/>
    <x v="0"/>
  </r>
  <r>
    <x v="2"/>
    <x v="0"/>
    <x v="0"/>
    <x v="0"/>
    <s v="DC TST116832"/>
    <n v="2738.1"/>
    <n v="88603"/>
    <n v="6998.4"/>
    <x v="4"/>
    <n v="109759"/>
    <x v="2"/>
    <x v="80"/>
    <x v="2"/>
    <x v="3"/>
    <n v="30219313"/>
    <x v="0"/>
    <x v="10"/>
    <x v="4"/>
    <d v="2020-01-06T00:00:00"/>
    <x v="77"/>
    <x v="0"/>
    <s v="1月"/>
    <x v="1"/>
    <n v="6.54E-2"/>
    <n v="7.2599999999999998E-2"/>
    <n v="6304.8648648648641"/>
    <n v="2466.7567567567567"/>
    <n v="6468.0189999999993"/>
    <n v="2206009.8489999999"/>
    <x v="0"/>
    <x v="0"/>
  </r>
  <r>
    <x v="2"/>
    <x v="0"/>
    <x v="0"/>
    <x v="0"/>
    <s v="DC TST116847"/>
    <n v="2800.62"/>
    <n v="104753"/>
    <n v="7198.4"/>
    <x v="5"/>
    <n v="109762"/>
    <x v="3"/>
    <x v="80"/>
    <x v="2"/>
    <x v="0"/>
    <n v="31419450"/>
    <x v="0"/>
    <x v="10"/>
    <x v="4"/>
    <d v="2020-02-01T00:00:00"/>
    <x v="78"/>
    <x v="0"/>
    <s v="1月"/>
    <x v="1"/>
    <n v="6.54E-2"/>
    <n v="7.2599999999999998E-2"/>
    <n v="6485.0450450450444"/>
    <n v="2523.0810810810808"/>
    <n v="7646.9689999999991"/>
    <n v="2293619.8499999996"/>
    <x v="0"/>
    <x v="0"/>
  </r>
  <r>
    <x v="1"/>
    <x v="0"/>
    <x v="0"/>
    <x v="0"/>
    <s v="315012032392-M"/>
    <m/>
    <m/>
    <n v="7048.4"/>
    <x v="6"/>
    <n v="109774"/>
    <x v="4"/>
    <x v="81"/>
    <x v="2"/>
    <x v="2"/>
    <n v="13585845"/>
    <x v="0"/>
    <x v="8"/>
    <x v="4"/>
    <d v="2020-02-05T00:00:00"/>
    <x v="79"/>
    <x v="0"/>
    <s v="no mismatch"/>
    <x v="2"/>
    <s v="no mismatch"/>
    <s v="no mismatch"/>
    <n v="6349.9099099099094"/>
    <n v="0"/>
    <n v="0"/>
    <n v="987690.93150000006"/>
    <x v="0"/>
    <x v="0"/>
  </r>
  <r>
    <x v="1"/>
    <x v="0"/>
    <x v="0"/>
    <x v="0"/>
    <s v="315012032392-M"/>
    <m/>
    <m/>
    <n v="0"/>
    <x v="6"/>
    <n v="109774"/>
    <x v="4"/>
    <x v="81"/>
    <x v="6"/>
    <x v="2"/>
    <n v="21848640"/>
    <x v="0"/>
    <x v="8"/>
    <x v="4"/>
    <d v="2020-02-05T00:00:00"/>
    <x v="79"/>
    <x v="0"/>
    <s v="no mismatch"/>
    <x v="2"/>
    <s v="no mismatch"/>
    <s v="no mismatch"/>
    <n v="0"/>
    <n v="0"/>
    <n v="0"/>
    <n v="1588396.128"/>
    <x v="0"/>
    <x v="0"/>
  </r>
  <r>
    <x v="1"/>
    <x v="0"/>
    <x v="0"/>
    <x v="0"/>
    <s v="315012032409-M"/>
    <m/>
    <m/>
    <n v="11076.6"/>
    <x v="7"/>
    <n v="109775"/>
    <x v="4"/>
    <x v="81"/>
    <x v="6"/>
    <x v="6"/>
    <n v="54430020"/>
    <x v="0"/>
    <x v="8"/>
    <x v="4"/>
    <d v="2020-02-05T00:00:00"/>
    <x v="79"/>
    <x v="0"/>
    <s v="Yes"/>
    <x v="1"/>
    <n v="6.4600000000000005E-2"/>
    <n v="7.17E-2"/>
    <n v="9978.9189189189183"/>
    <n v="0"/>
    <n v="0"/>
    <n v="3957062.4539999999"/>
    <x v="0"/>
    <x v="0"/>
  </r>
  <r>
    <x v="2"/>
    <x v="0"/>
    <x v="0"/>
    <x v="0"/>
    <s v="315012032579-M"/>
    <m/>
    <m/>
    <n v="7198.4"/>
    <x v="8"/>
    <n v="109782"/>
    <x v="5"/>
    <x v="82"/>
    <x v="6"/>
    <x v="3"/>
    <n v="45329550"/>
    <x v="0"/>
    <x v="8"/>
    <x v="4"/>
    <d v="2020-02-16T00:00:00"/>
    <x v="80"/>
    <x v="0"/>
    <s v="2月"/>
    <x v="2"/>
    <s v="no mismatch "/>
    <s v="no mismatch"/>
    <n v="6485.0450450450444"/>
    <n v="0"/>
    <n v="0"/>
    <n v="3295458.2850000001"/>
    <x v="0"/>
    <x v="0"/>
  </r>
  <r>
    <x v="2"/>
    <x v="0"/>
    <x v="1"/>
    <x v="0"/>
    <s v="DC TST116860"/>
    <n v="4231.84"/>
    <n v="68810"/>
    <n v="7048.4"/>
    <x v="9"/>
    <n v="109793"/>
    <x v="5"/>
    <x v="83"/>
    <x v="1"/>
    <x v="2"/>
    <n v="35730705"/>
    <x v="0"/>
    <x v="10"/>
    <x v="4"/>
    <d v="2020-03-11T00:00:00"/>
    <x v="81"/>
    <x v="0"/>
    <s v="3月"/>
    <x v="1"/>
    <n v="6.4000000000000001E-2"/>
    <n v="7.0999999999999994E-2"/>
    <n v="6349.9099099099094"/>
    <n v="3812.4684684684685"/>
    <n v="5023.13"/>
    <n v="2608341.4649999999"/>
    <x v="0"/>
    <x v="0"/>
  </r>
  <r>
    <x v="2"/>
    <x v="0"/>
    <x v="1"/>
    <x v="0"/>
    <s v="DC TST116864"/>
    <n v="4247.33"/>
    <n v="68743"/>
    <n v="7198.4"/>
    <x v="10"/>
    <n v="109794"/>
    <x v="5"/>
    <x v="84"/>
    <x v="1"/>
    <x v="2"/>
    <n v="35677155"/>
    <x v="0"/>
    <x v="10"/>
    <x v="4"/>
    <d v="2020-03-18T00:00:00"/>
    <x v="82"/>
    <x v="0"/>
    <s v="3月"/>
    <x v="1"/>
    <n v="6.4000000000000001E-2"/>
    <n v="7.0999999999999994E-2"/>
    <n v="6485.0450450450444"/>
    <n v="3826.4234234234232"/>
    <n v="5018.2389999999996"/>
    <n v="2604432.3149999999"/>
    <x v="0"/>
    <x v="0"/>
  </r>
  <r>
    <x v="2"/>
    <x v="0"/>
    <x v="0"/>
    <x v="1"/>
    <s v="DC TST116865"/>
    <n v="3617.64"/>
    <n v="103395"/>
    <n v="11076.6"/>
    <x v="11"/>
    <n v="109783"/>
    <x v="5"/>
    <x v="85"/>
    <x v="2"/>
    <x v="6"/>
    <n v="49253670"/>
    <x v="0"/>
    <x v="11"/>
    <x v="3"/>
    <d v="2020-04-01T00:00:00"/>
    <x v="83"/>
    <x v="0"/>
    <s v="4月"/>
    <x v="2"/>
    <s v="no mismatch"/>
    <s v="no mismatch"/>
    <n v="10115.616438356165"/>
    <n v="3303.7808219178082"/>
    <n v="7609.8720000000003"/>
    <n v="3625070.1119999997"/>
    <x v="0"/>
    <x v="0"/>
  </r>
  <r>
    <x v="2"/>
    <x v="0"/>
    <x v="0"/>
    <x v="1"/>
    <s v="DC TST116858"/>
    <n v="3994.3"/>
    <n v="61541"/>
    <n v="7048.4"/>
    <x v="12"/>
    <n v="109815"/>
    <x v="6"/>
    <x v="85"/>
    <x v="2"/>
    <x v="3"/>
    <n v="29914800"/>
    <x v="0"/>
    <x v="10"/>
    <x v="4"/>
    <d v="2020-03-11T00:00:00"/>
    <x v="81"/>
    <x v="0"/>
    <s v="3月"/>
    <x v="1"/>
    <n v="6.4000000000000001E-2"/>
    <n v="7.0999999999999994E-2"/>
    <n v="6349.9099099099094"/>
    <n v="3598.4684684684685"/>
    <n v="4492.4929999999995"/>
    <n v="2183780.4"/>
    <x v="0"/>
    <x v="0"/>
  </r>
  <r>
    <x v="2"/>
    <x v="0"/>
    <x v="0"/>
    <x v="1"/>
    <s v="DC TST116874"/>
    <n v="3987.74"/>
    <n v="60081"/>
    <n v="7198.4"/>
    <x v="13"/>
    <n v="109820"/>
    <x v="6"/>
    <x v="85"/>
    <x v="2"/>
    <x v="3"/>
    <n v="28797000"/>
    <x v="0"/>
    <x v="11"/>
    <x v="3"/>
    <d v="2020-04-03T00:00:00"/>
    <x v="84"/>
    <x v="0"/>
    <s v="4月"/>
    <x v="2"/>
    <s v="no mismatch"/>
    <s v="no mismatch"/>
    <n v="6573.8812785388127"/>
    <n v="3641.7716894977166"/>
    <n v="4421.9615999999996"/>
    <n v="2119459.2000000002"/>
    <x v="0"/>
    <x v="0"/>
  </r>
  <r>
    <x v="2"/>
    <x v="0"/>
    <x v="0"/>
    <x v="1"/>
    <s v="DC TST116863"/>
    <n v="5417.55"/>
    <n v="203037"/>
    <n v="13326.8"/>
    <x v="14"/>
    <n v="109816"/>
    <x v="6"/>
    <x v="85"/>
    <x v="6"/>
    <x v="8"/>
    <n v="94512900"/>
    <x v="0"/>
    <x v="11"/>
    <x v="3"/>
    <d v="2020-04-01T00:00:00"/>
    <x v="83"/>
    <x v="0"/>
    <s v="4月"/>
    <x v="2"/>
    <s v="no mismatch"/>
    <s v="no mismatch"/>
    <n v="12170.593607305937"/>
    <n v="4947.5342465753429"/>
    <n v="14943.5232"/>
    <n v="6956149.4399999995"/>
    <x v="0"/>
    <x v="0"/>
  </r>
  <r>
    <x v="2"/>
    <x v="0"/>
    <x v="0"/>
    <x v="1"/>
    <s v="DC TST116881"/>
    <n v="2126.02"/>
    <n v="34373"/>
    <n v="2870"/>
    <x v="15"/>
    <n v="109806"/>
    <x v="7"/>
    <x v="86"/>
    <x v="2"/>
    <x v="5"/>
    <n v="6351918"/>
    <x v="1"/>
    <x v="12"/>
    <x v="3"/>
    <d v="2020-05-04T00:00:00"/>
    <x v="85"/>
    <x v="0"/>
    <s v="5月"/>
    <x v="2"/>
    <s v="no mismatch "/>
    <s v="no mismatch"/>
    <n v="2621.0045662100456"/>
    <n v="1941.5707762557079"/>
    <n v="2553.9139"/>
    <n v="471947.5074"/>
    <x v="0"/>
    <x v="0"/>
  </r>
  <r>
    <x v="2"/>
    <x v="0"/>
    <x v="0"/>
    <x v="1"/>
    <s v="DC TST116881"/>
    <n v="0"/>
    <n v="0"/>
    <n v="0"/>
    <x v="15"/>
    <n v="109806"/>
    <x v="7"/>
    <x v="86"/>
    <x v="6"/>
    <x v="5"/>
    <n v="9978082"/>
    <x v="1"/>
    <x v="12"/>
    <x v="3"/>
    <d v="2020-05-04T00:00:00"/>
    <x v="85"/>
    <x v="0"/>
    <s v="5月"/>
    <x v="2"/>
    <s v="no mismatch "/>
    <s v="no mismatch"/>
    <n v="0"/>
    <n v="0"/>
    <n v="0"/>
    <n v="741371.4926"/>
    <x v="0"/>
    <x v="0"/>
  </r>
  <r>
    <x v="2"/>
    <x v="0"/>
    <x v="0"/>
    <x v="1"/>
    <s v="DC TST116883"/>
    <n v="5732.66"/>
    <n v="127712"/>
    <n v="11226.6"/>
    <x v="16"/>
    <n v="109855"/>
    <x v="8"/>
    <x v="85"/>
    <x v="6"/>
    <x v="6"/>
    <n v="83144670"/>
    <x v="0"/>
    <x v="11"/>
    <x v="3"/>
    <d v="2020-04-25T00:00:00"/>
    <x v="86"/>
    <x v="0"/>
    <s v="4月"/>
    <x v="1"/>
    <n v="6.5600000000000006E-2"/>
    <n v="7.1800000000000003E-2"/>
    <n v="10252.602739726028"/>
    <n v="5235.3059360730595"/>
    <n v="9399.6031999999996"/>
    <n v="6119447.7120000003"/>
    <x v="0"/>
    <x v="0"/>
  </r>
  <r>
    <x v="2"/>
    <x v="0"/>
    <x v="0"/>
    <x v="1"/>
    <s v="DC TST116888"/>
    <n v="4317.79"/>
    <n v="69001"/>
    <n v="7174"/>
    <x v="17"/>
    <n v="109856"/>
    <x v="8"/>
    <x v="85"/>
    <x v="6"/>
    <x v="0"/>
    <n v="36200280"/>
    <x v="0"/>
    <x v="12"/>
    <x v="3"/>
    <d v="2020-05-20T00:00:00"/>
    <x v="87"/>
    <x v="0"/>
    <s v="5月"/>
    <x v="1"/>
    <n v="6.7000000000000004E-2"/>
    <n v="7.3400000000000007E-2"/>
    <n v="6551.5981735159821"/>
    <n v="3943.1872146118722"/>
    <n v="5126.7743"/>
    <n v="2689680.804"/>
    <x v="0"/>
    <x v="0"/>
  </r>
  <r>
    <x v="2"/>
    <x v="0"/>
    <x v="1"/>
    <x v="2"/>
    <s v="DC TST117394"/>
    <n v="3231.6"/>
    <n v="29816"/>
    <n v="4861"/>
    <x v="18"/>
    <n v="109857"/>
    <x v="9"/>
    <x v="87"/>
    <x v="13"/>
    <x v="5"/>
    <n v="12304050"/>
    <x v="0"/>
    <x v="12"/>
    <x v="3"/>
    <d v="2020-05-20T00:00:00"/>
    <x v="87"/>
    <x v="0"/>
    <s v="5月"/>
    <x v="2"/>
    <s v="no mismatch "/>
    <s v="no mismatch"/>
    <n v="4439.2694063926938"/>
    <n v="2951.2328767123286"/>
    <n v="2215.3288000000002"/>
    <n v="914190.91500000004"/>
    <x v="0"/>
    <x v="0"/>
  </r>
  <r>
    <x v="2"/>
    <x v="0"/>
    <x v="0"/>
    <x v="2"/>
    <s v="DC TST117393"/>
    <n v="3932.55"/>
    <n v="58403"/>
    <n v="7324"/>
    <x v="19"/>
    <n v="109858"/>
    <x v="9"/>
    <x v="88"/>
    <x v="2"/>
    <x v="3"/>
    <n v="27721200"/>
    <x v="0"/>
    <x v="12"/>
    <x v="3"/>
    <d v="2020-05-22T00:00:00"/>
    <x v="88"/>
    <x v="0"/>
    <s v="5月"/>
    <x v="2"/>
    <s v="no mismatch "/>
    <s v="no mismatch"/>
    <n v="6688.5844748858453"/>
    <n v="3591.3698630136987"/>
    <n v="4339.3429000000006"/>
    <n v="2059685.1600000001"/>
    <x v="0"/>
    <x v="0"/>
  </r>
  <r>
    <x v="2"/>
    <x v="0"/>
    <x v="0"/>
    <x v="2"/>
    <s v="DC TST117397"/>
    <n v="4583.09"/>
    <n v="43506"/>
    <n v="7174"/>
    <x v="20"/>
    <n v="109889"/>
    <x v="10"/>
    <x v="88"/>
    <x v="2"/>
    <x v="4"/>
    <n v="18378720"/>
    <x v="0"/>
    <x v="3"/>
    <x v="5"/>
    <d v="2020-06-03T00:00:00"/>
    <x v="89"/>
    <x v="0"/>
    <s v="6月"/>
    <x v="1"/>
    <n v="6.7000000000000004E-2"/>
    <n v="7.3400000000000007E-2"/>
    <n v="6587.6951331496784"/>
    <n v="4208.5307621671263"/>
    <n v="3193.3404000000005"/>
    <n v="1348998.0480000002"/>
    <x v="0"/>
    <x v="0"/>
  </r>
  <r>
    <x v="2"/>
    <x v="0"/>
    <x v="1"/>
    <x v="2"/>
    <s v="DC TST117395"/>
    <n v="4206.54"/>
    <n v="34221"/>
    <n v="2041"/>
    <x v="21"/>
    <n v="109873"/>
    <x v="11"/>
    <x v="89"/>
    <x v="11"/>
    <x v="5"/>
    <n v="14251820"/>
    <x v="0"/>
    <x v="3"/>
    <x v="5"/>
    <d v="2020-06-03T00:00:00"/>
    <x v="89"/>
    <x v="0"/>
    <s v="6月"/>
    <x v="2"/>
    <s v="no mismatch"/>
    <s v="no mismatch"/>
    <n v="1874.1965105601471"/>
    <n v="3862.7548209366391"/>
    <n v="2511.8214000000003"/>
    <n v="1046083.5880000001"/>
    <x v="0"/>
    <x v="0"/>
  </r>
  <r>
    <x v="2"/>
    <x v="0"/>
    <x v="0"/>
    <x v="1"/>
    <s v="DC TST117399"/>
    <n v="4095.86"/>
    <n v="123848"/>
    <n v="14348"/>
    <x v="22"/>
    <n v="109868"/>
    <x v="11"/>
    <x v="85"/>
    <x v="6"/>
    <x v="6"/>
    <n v="66063720"/>
    <x v="0"/>
    <x v="3"/>
    <x v="5"/>
    <d v="2020-06-10T00:00:00"/>
    <x v="90"/>
    <x v="0"/>
    <s v="6月"/>
    <x v="1"/>
    <n v="6.6699999999999995E-2"/>
    <n v="7.2999999999999995E-2"/>
    <n v="13175.390266299357"/>
    <n v="3761.1202938475667"/>
    <n v="9090.4432000000015"/>
    <n v="4849077.0480000004"/>
    <x v="0"/>
    <x v="0"/>
  </r>
  <r>
    <x v="2"/>
    <x v="1"/>
    <x v="1"/>
    <x v="2"/>
    <s v="DC TST117401"/>
    <n v="1650"/>
    <n v="30151"/>
    <n v="0"/>
    <x v="23"/>
    <n v="109880"/>
    <x v="12"/>
    <x v="90"/>
    <x v="7"/>
    <x v="5"/>
    <n v="4530000"/>
    <x v="0"/>
    <x v="3"/>
    <x v="5"/>
    <d v="2020-06-10T00:00:00"/>
    <x v="91"/>
    <x v="0"/>
    <s v="6月"/>
    <x v="1"/>
    <n v="6.6600000000000006E-2"/>
    <n v="7.2900000000000006E-2"/>
    <n v="0"/>
    <n v="1515.1515151515152"/>
    <n v="2213.0834"/>
    <n v="332502.00000000006"/>
    <x v="0"/>
    <x v="0"/>
  </r>
  <r>
    <x v="2"/>
    <x v="0"/>
    <x v="0"/>
    <x v="1"/>
    <s v="DC TST117409"/>
    <n v="5197.5600000000004"/>
    <n v="230759"/>
    <n v="17819"/>
    <x v="24"/>
    <n v="109886"/>
    <x v="13"/>
    <x v="85"/>
    <x v="6"/>
    <x v="3"/>
    <n v="57672030"/>
    <x v="0"/>
    <x v="3"/>
    <x v="5"/>
    <d v="2020-06-24T00:00:00"/>
    <x v="92"/>
    <x v="0"/>
    <s v="6月"/>
    <x v="1"/>
    <n v="6.6500000000000004E-2"/>
    <n v="7.2400000000000006E-2"/>
    <n v="16362.718089990818"/>
    <n v="4772.7823691460062"/>
    <n v="16937.710600000002"/>
    <n v="4233127.0020000003"/>
    <x v="0"/>
    <x v="0"/>
  </r>
  <r>
    <x v="2"/>
    <x v="0"/>
    <x v="0"/>
    <x v="1"/>
    <s v="DC TST117409"/>
    <n v="0"/>
    <n v="0"/>
    <n v="0"/>
    <x v="24"/>
    <n v="109947"/>
    <x v="13"/>
    <x v="85"/>
    <x v="6"/>
    <x v="3"/>
    <n v="57672030"/>
    <x v="0"/>
    <x v="3"/>
    <x v="5"/>
    <d v="2020-06-24T00:00:00"/>
    <x v="92"/>
    <x v="0"/>
    <s v="6月"/>
    <x v="2"/>
    <s v="no mismatch"/>
    <s v="no mismatch"/>
    <n v="0"/>
    <n v="0"/>
    <n v="0"/>
    <n v="4233127.0020000003"/>
    <x v="0"/>
    <x v="0"/>
  </r>
  <r>
    <x v="2"/>
    <x v="0"/>
    <x v="0"/>
    <x v="1"/>
    <s v="DC TST117403"/>
    <n v="4045.86"/>
    <n v="161268"/>
    <n v="13728"/>
    <x v="25"/>
    <n v="109891"/>
    <x v="14"/>
    <x v="91"/>
    <x v="2"/>
    <x v="3"/>
    <n v="31759320"/>
    <x v="0"/>
    <x v="3"/>
    <x v="5"/>
    <d v="2020-06-22T00:00:00"/>
    <x v="93"/>
    <x v="0"/>
    <s v="6月"/>
    <x v="1"/>
    <n v="6.6100000000000006E-2"/>
    <n v="7.1999999999999995E-2"/>
    <n v="12606.060606060606"/>
    <n v="3715.2066115702482"/>
    <n v="11837.0712"/>
    <n v="2331134.088"/>
    <x v="0"/>
    <x v="0"/>
  </r>
  <r>
    <x v="2"/>
    <x v="0"/>
    <x v="0"/>
    <x v="1"/>
    <s v="DC TST117403"/>
    <n v="0"/>
    <n v="0"/>
    <n v="0"/>
    <x v="25"/>
    <n v="109925"/>
    <x v="14"/>
    <x v="85"/>
    <x v="2"/>
    <x v="3"/>
    <n v="32428020"/>
    <x v="0"/>
    <x v="3"/>
    <x v="5"/>
    <d v="2020-06-22T00:00:00"/>
    <x v="93"/>
    <x v="0"/>
    <s v="6月"/>
    <x v="1"/>
    <n v="6.6500000000000004E-2"/>
    <n v="7.2400000000000006E-2"/>
    <n v="0"/>
    <n v="0"/>
    <n v="0"/>
    <n v="2380216.6680000001"/>
    <x v="0"/>
    <x v="0"/>
  </r>
  <r>
    <x v="2"/>
    <x v="0"/>
    <x v="0"/>
    <x v="1"/>
    <s v="DC TST117418"/>
    <n v="4651.24"/>
    <n v="203067"/>
    <n v="13044.2"/>
    <x v="26"/>
    <s v="109917,新建110003"/>
    <x v="15"/>
    <x v="85"/>
    <x v="6"/>
    <x v="2"/>
    <n v="37967940"/>
    <x v="0"/>
    <x v="3"/>
    <x v="3"/>
    <d v="2020-07-22T00:00:00"/>
    <x v="94"/>
    <x v="0"/>
    <s v="7月"/>
    <x v="1"/>
    <s v="no mismatch"/>
    <s v="no mismatch"/>
    <n v="11912.511415525116"/>
    <n v="4247.7077625570773"/>
    <n v="14905.117800000002"/>
    <n v="2786846.7960000001"/>
    <x v="0"/>
    <x v="0"/>
  </r>
  <r>
    <x v="2"/>
    <x v="0"/>
    <x v="0"/>
    <x v="1"/>
    <s v="DC TST117418"/>
    <n v="0"/>
    <n v="0"/>
    <n v="0"/>
    <x v="26"/>
    <s v="109963,新建110004"/>
    <x v="15"/>
    <x v="85"/>
    <x v="6"/>
    <x v="4"/>
    <n v="43838010"/>
    <x v="0"/>
    <x v="3"/>
    <x v="3"/>
    <d v="2020-07-22T00:00:00"/>
    <x v="94"/>
    <x v="0"/>
    <s v="7月"/>
    <x v="1"/>
    <s v="no mismatch"/>
    <s v="no mismatch"/>
    <n v="0"/>
    <n v="0"/>
    <n v="0"/>
    <n v="3217709.9340000004"/>
    <x v="0"/>
    <x v="0"/>
  </r>
  <r>
    <x v="2"/>
    <x v="0"/>
    <x v="0"/>
    <x v="1"/>
    <s v="DC TST117418"/>
    <n v="0"/>
    <n v="0"/>
    <n v="0"/>
    <x v="26"/>
    <n v="109998"/>
    <x v="15"/>
    <x v="85"/>
    <x v="6"/>
    <x v="5"/>
    <n v="9071670"/>
    <x v="0"/>
    <x v="3"/>
    <x v="3"/>
    <d v="2020-07-22T00:00:00"/>
    <x v="94"/>
    <x v="0"/>
    <s v="7月"/>
    <x v="1"/>
    <n v="6.6100000000000006E-2"/>
    <n v="7.2400000000000006E-2"/>
    <n v="0"/>
    <n v="0"/>
    <n v="0"/>
    <n v="665860.5780000001"/>
    <x v="0"/>
    <x v="0"/>
  </r>
  <r>
    <x v="2"/>
    <x v="0"/>
    <x v="0"/>
    <x v="1"/>
    <s v="DC TST117417"/>
    <n v="3711.31"/>
    <n v="126667"/>
    <n v="13044.2"/>
    <x v="27"/>
    <n v="109924"/>
    <x v="16"/>
    <x v="85"/>
    <x v="2"/>
    <x v="0"/>
    <n v="26223660"/>
    <x v="0"/>
    <x v="3"/>
    <x v="3"/>
    <d v="2020-07-22T00:00:00"/>
    <x v="94"/>
    <x v="0"/>
    <s v="7月"/>
    <x v="2"/>
    <s v="no mismatch"/>
    <s v="no mismatch"/>
    <n v="11912.511415525116"/>
    <n v="3389.3242009132418"/>
    <n v="9297.3578000000016"/>
    <n v="1924816.6440000001"/>
    <x v="0"/>
    <x v="0"/>
  </r>
  <r>
    <x v="2"/>
    <x v="0"/>
    <x v="0"/>
    <x v="1"/>
    <s v="DC TST117417"/>
    <n v="0"/>
    <n v="0"/>
    <n v="0"/>
    <x v="27"/>
    <n v="109962"/>
    <x v="16"/>
    <x v="85"/>
    <x v="2"/>
    <x v="0"/>
    <n v="25250160"/>
    <x v="0"/>
    <x v="3"/>
    <x v="3"/>
    <d v="2020-07-22T00:00:00"/>
    <x v="94"/>
    <x v="0"/>
    <s v="7月"/>
    <x v="1"/>
    <n v="6.6100000000000006E-2"/>
    <n v="7.2400000000000006E-2"/>
    <n v="0"/>
    <n v="0"/>
    <n v="0"/>
    <n v="1853361.7440000002"/>
    <x v="0"/>
    <x v="0"/>
  </r>
  <r>
    <x v="2"/>
    <x v="0"/>
    <x v="0"/>
    <x v="2"/>
    <s v="DC TST117424"/>
    <n v="4337.7800000000007"/>
    <n v="180905"/>
    <n v="12409.2"/>
    <x v="28"/>
    <n v="109933"/>
    <x v="17"/>
    <x v="92"/>
    <x v="6"/>
    <x v="6"/>
    <n v="56696144"/>
    <x v="0"/>
    <x v="13"/>
    <x v="6"/>
    <d v="2020-08-12T00:00:00"/>
    <x v="95"/>
    <x v="0"/>
    <s v="8月"/>
    <x v="2"/>
    <s v="no mismatch"/>
    <s v="no mismatch"/>
    <n v="11230.045248868779"/>
    <n v="3925.5927601809963"/>
    <n v="13694.5085"/>
    <n v="4291898.1008000001"/>
    <x v="0"/>
    <x v="0"/>
  </r>
  <r>
    <x v="2"/>
    <x v="0"/>
    <x v="0"/>
    <x v="2"/>
    <s v="DC TST117424"/>
    <n v="0"/>
    <n v="0"/>
    <n v="0"/>
    <x v="28"/>
    <n v="109933"/>
    <x v="17"/>
    <x v="92"/>
    <x v="2"/>
    <x v="4"/>
    <n v="19946970"/>
    <x v="0"/>
    <x v="13"/>
    <x v="6"/>
    <d v="2020-08-12T00:00:00"/>
    <x v="95"/>
    <x v="0"/>
    <s v="8月"/>
    <x v="2"/>
    <s v="no mismatch"/>
    <s v="no mismatch"/>
    <n v="0"/>
    <n v="0"/>
    <n v="0"/>
    <n v="1509985.629"/>
    <x v="0"/>
    <x v="0"/>
  </r>
  <r>
    <x v="2"/>
    <x v="0"/>
    <x v="0"/>
    <x v="1"/>
    <s v="DC TST117426"/>
    <n v="4024.76"/>
    <n v="57078"/>
    <n v="12409.2"/>
    <x v="29"/>
    <n v="109957"/>
    <x v="18"/>
    <x v="85"/>
    <x v="2"/>
    <x v="1"/>
    <n v="62913240"/>
    <x v="0"/>
    <x v="13"/>
    <x v="6"/>
    <d v="2020-08-21T00:00:00"/>
    <x v="96"/>
    <x v="0"/>
    <s v="8月"/>
    <x v="2"/>
    <s v="no mismatch"/>
    <s v="no mismatch"/>
    <n v="11230.045248868779"/>
    <n v="3642.3167420814484"/>
    <n v="4320.8046000000004"/>
    <n v="4762532.2680000002"/>
    <x v="0"/>
    <x v="0"/>
  </r>
  <r>
    <x v="2"/>
    <x v="0"/>
    <x v="0"/>
    <x v="1"/>
    <s v="DC TST117428"/>
    <n v="3487.73"/>
    <n v="57237"/>
    <n v="6514.6"/>
    <x v="30"/>
    <n v="109958"/>
    <x v="18"/>
    <x v="85"/>
    <x v="2"/>
    <x v="3"/>
    <n v="26887200"/>
    <x v="0"/>
    <x v="13"/>
    <x v="6"/>
    <d v="2020-08-28T00:00:00"/>
    <x v="97"/>
    <x v="0"/>
    <s v="8月"/>
    <x v="1"/>
    <n v="6.6299999999999998E-2"/>
    <n v="7.3899999999999993E-2"/>
    <n v="5895.5656108597286"/>
    <n v="3156.316742081448"/>
    <n v="4332.8409000000001"/>
    <n v="2035361.04"/>
    <x v="0"/>
    <x v="0"/>
  </r>
  <r>
    <x v="2"/>
    <x v="0"/>
    <x v="0"/>
    <x v="2"/>
    <s v="DC TST117429"/>
    <n v="2808.94"/>
    <n v="101877"/>
    <n v="6664.6"/>
    <x v="31"/>
    <n v="109981"/>
    <x v="19"/>
    <x v="93"/>
    <x v="1"/>
    <x v="5"/>
    <n v="15463138"/>
    <x v="0"/>
    <x v="13"/>
    <x v="6"/>
    <d v="2020-08-26T00:00:00"/>
    <x v="97"/>
    <x v="0"/>
    <s v="8月"/>
    <x v="2"/>
    <s v="no mismatch"/>
    <s v="no mismatch"/>
    <n v="6031.3122171945706"/>
    <n v="2542.0271493212672"/>
    <n v="7712.0889000000006"/>
    <n v="1170559.5466"/>
    <x v="0"/>
    <x v="0"/>
  </r>
  <r>
    <x v="2"/>
    <x v="0"/>
    <x v="0"/>
    <x v="2"/>
    <s v="DC TST117429"/>
    <n v="0"/>
    <n v="0"/>
    <n v="0"/>
    <x v="31"/>
    <n v="110029"/>
    <x v="19"/>
    <x v="93"/>
    <x v="1"/>
    <x v="5"/>
    <n v="15463137"/>
    <x v="0"/>
    <x v="13"/>
    <x v="6"/>
    <d v="2020-08-26T00:00:00"/>
    <x v="97"/>
    <x v="0"/>
    <s v="8月"/>
    <x v="1"/>
    <n v="6.5500000000000003E-2"/>
    <n v="7.2400000000000006E-2"/>
    <n v="0"/>
    <n v="0"/>
    <n v="0"/>
    <n v="1170559.4709000001"/>
    <x v="0"/>
    <x v="0"/>
  </r>
  <r>
    <x v="2"/>
    <x v="2"/>
    <x v="1"/>
    <x v="2"/>
    <s v="DC TST117422"/>
    <n v="3651.81"/>
    <n v="138422"/>
    <n v="4481.24"/>
    <x v="32"/>
    <n v="109926"/>
    <x v="16"/>
    <x v="94"/>
    <x v="6"/>
    <x v="0"/>
    <n v="36524752"/>
    <x v="0"/>
    <x v="13"/>
    <x v="6"/>
    <d v="2020-08-28T00:00:00"/>
    <x v="97"/>
    <x v="0"/>
    <s v="8月"/>
    <x v="2"/>
    <s v="no mismatch"/>
    <s v="no mismatch"/>
    <n v="4055.420814479638"/>
    <n v="3304.8054298642533"/>
    <n v="10478.545400000001"/>
    <n v="2764923.7264"/>
    <x v="0"/>
    <x v="0"/>
  </r>
  <r>
    <x v="2"/>
    <x v="2"/>
    <x v="1"/>
    <x v="2"/>
    <s v="DC TST117422"/>
    <n v="0"/>
    <n v="0"/>
    <n v="0"/>
    <x v="32"/>
    <n v="109926"/>
    <x v="16"/>
    <x v="94"/>
    <x v="2"/>
    <x v="2"/>
    <n v="13546045"/>
    <x v="0"/>
    <x v="13"/>
    <x v="6"/>
    <d v="2020-08-28T00:00:00"/>
    <x v="97"/>
    <x v="0"/>
    <s v="8月"/>
    <x v="2"/>
    <s v="no mismatch"/>
    <s v="no mismatch"/>
    <n v="0"/>
    <n v="0"/>
    <n v="0"/>
    <n v="1025435.6065"/>
    <x v="0"/>
    <x v="0"/>
  </r>
  <r>
    <x v="2"/>
    <x v="0"/>
    <x v="0"/>
    <x v="1"/>
    <s v="DC TST117436"/>
    <n v="4863.29"/>
    <n v="214748"/>
    <n v="12409.2"/>
    <x v="33"/>
    <n v="109954"/>
    <x v="16"/>
    <x v="85"/>
    <x v="6"/>
    <x v="4"/>
    <n v="37896690"/>
    <x v="0"/>
    <x v="14"/>
    <x v="7"/>
    <d v="2020-09-16T00:00:00"/>
    <x v="98"/>
    <x v="0"/>
    <s v="9月"/>
    <x v="1"/>
    <n v="6.6100000000000006E-2"/>
    <n v="7.2400000000000006E-2"/>
    <n v="10981.592920353984"/>
    <n v="4303.7964601769918"/>
    <n v="16084.625199999999"/>
    <n v="2838462.0809999998"/>
    <x v="0"/>
    <x v="0"/>
  </r>
  <r>
    <x v="2"/>
    <x v="0"/>
    <x v="0"/>
    <x v="1"/>
    <s v="DC TST117436"/>
    <n v="0"/>
    <m/>
    <n v="0"/>
    <x v="33"/>
    <n v="110000"/>
    <x v="16"/>
    <x v="85"/>
    <x v="6"/>
    <x v="2"/>
    <n v="24506220"/>
    <x v="0"/>
    <x v="14"/>
    <x v="7"/>
    <d v="2020-09-16T00:00:00"/>
    <x v="98"/>
    <x v="0"/>
    <s v="9月"/>
    <x v="3"/>
    <n v="6.5600000000000006E-2"/>
    <n v="7.1800000000000003E-2"/>
    <n v="0"/>
    <n v="0"/>
    <n v="0"/>
    <n v="1835515.8779999998"/>
    <x v="0"/>
    <x v="0"/>
  </r>
  <r>
    <x v="2"/>
    <x v="0"/>
    <x v="0"/>
    <x v="1"/>
    <s v="DC TST117436"/>
    <n v="0"/>
    <m/>
    <n v="0"/>
    <x v="33"/>
    <n v="109999"/>
    <x v="16"/>
    <x v="85"/>
    <x v="6"/>
    <x v="4"/>
    <n v="36354210"/>
    <x v="0"/>
    <x v="14"/>
    <x v="7"/>
    <d v="2020-09-16T00:00:00"/>
    <x v="98"/>
    <x v="0"/>
    <s v="9月"/>
    <x v="1"/>
    <n v="6.5500000000000003E-2"/>
    <n v="7.2400000000000006E-2"/>
    <n v="0"/>
    <n v="0"/>
    <n v="0"/>
    <n v="2722930.3289999999"/>
    <x v="0"/>
    <x v="0"/>
  </r>
  <r>
    <x v="2"/>
    <x v="3"/>
    <x v="0"/>
    <x v="2"/>
    <s v="CNY单"/>
    <s v="CNY单"/>
    <s v="CNY单"/>
    <n v="0"/>
    <x v="34"/>
    <s v="49J103603"/>
    <x v="20"/>
    <x v="95"/>
    <x v="1"/>
    <x v="5"/>
    <n v="1240000"/>
    <x v="0"/>
    <x v="0"/>
    <x v="7"/>
    <d v="2020-06-24T00:00:00"/>
    <x v="99"/>
    <x v="0"/>
    <m/>
    <x v="2"/>
    <s v="no mismatch"/>
    <s v="no mismatch"/>
    <n v="0"/>
    <e v="#VALUE!"/>
    <e v="#VALUE!"/>
    <n v="1401199.9999999998"/>
    <x v="0"/>
    <x v="0"/>
  </r>
  <r>
    <x v="2"/>
    <x v="0"/>
    <x v="0"/>
    <x v="2"/>
    <s v="DC TST117435"/>
    <n v="4768.7700000000004"/>
    <n v="141010"/>
    <n v="12133.6"/>
    <x v="35"/>
    <n v="109980"/>
    <x v="19"/>
    <x v="93"/>
    <x v="6"/>
    <x v="7"/>
    <n v="94369992"/>
    <x v="0"/>
    <x v="14"/>
    <x v="7"/>
    <d v="2020-09-23T00:00:00"/>
    <x v="100"/>
    <x v="0"/>
    <s v="9月"/>
    <x v="2"/>
    <s v="no mismatch"/>
    <s v="no mismatch"/>
    <n v="10737.69911504425"/>
    <n v="4220.1504424778768"/>
    <n v="10561.648999999999"/>
    <n v="7068312.400799999"/>
    <x v="0"/>
    <x v="0"/>
  </r>
  <r>
    <x v="2"/>
    <x v="0"/>
    <x v="0"/>
    <x v="1"/>
    <s v="DC TST117440"/>
    <n v="2620.46"/>
    <n v="94500"/>
    <n v="6451.8"/>
    <x v="36"/>
    <n v="109976"/>
    <x v="21"/>
    <x v="85"/>
    <x v="2"/>
    <x v="3"/>
    <n v="26887200"/>
    <x v="0"/>
    <x v="14"/>
    <x v="7"/>
    <d v="2020-09-23T00:00:00"/>
    <x v="100"/>
    <x v="0"/>
    <s v="9月"/>
    <x v="2"/>
    <s v="no mismatch"/>
    <s v="no mismatch"/>
    <n v="5709.5575221238942"/>
    <n v="2318.9911504424781"/>
    <n v="7078.0499999999993"/>
    <n v="2013851.2799999998"/>
    <x v="0"/>
    <x v="0"/>
  </r>
  <r>
    <x v="2"/>
    <x v="0"/>
    <x v="0"/>
    <x v="1"/>
    <s v="DC TST117441"/>
    <n v="3428.49"/>
    <n v="78946"/>
    <n v="10425.9"/>
    <x v="37"/>
    <n v="109977"/>
    <x v="21"/>
    <x v="85"/>
    <x v="2"/>
    <x v="1"/>
    <n v="44582880"/>
    <x v="0"/>
    <x v="14"/>
    <x v="7"/>
    <d v="2020-09-25T00:00:00"/>
    <x v="101"/>
    <x v="0"/>
    <s v="9月"/>
    <x v="1"/>
    <n v="6.5500000000000003E-2"/>
    <n v="7.2400000000000006E-2"/>
    <n v="9226.4601769911515"/>
    <n v="3034.0619469026551"/>
    <n v="5913.0553999999993"/>
    <n v="3339257.7119999998"/>
    <x v="0"/>
    <x v="0"/>
  </r>
  <r>
    <x v="2"/>
    <x v="0"/>
    <x v="0"/>
    <x v="1"/>
    <s v="315012044977-M"/>
    <m/>
    <m/>
    <n v="11257.859999999999"/>
    <x v="38"/>
    <n v="109984"/>
    <x v="22"/>
    <x v="85"/>
    <x v="6"/>
    <x v="6"/>
    <n v="54343620"/>
    <x v="0"/>
    <x v="14"/>
    <x v="2"/>
    <d v="2020-10-09T00:00:00"/>
    <x v="102"/>
    <x v="0"/>
    <s v="10月"/>
    <x v="2"/>
    <s v="no mismatch"/>
    <s v="no mismatch"/>
    <n v="9918.81938325991"/>
    <n v="0"/>
    <n v="0"/>
    <n v="4070337.1379999998"/>
    <x v="0"/>
    <x v="0"/>
  </r>
  <r>
    <x v="2"/>
    <x v="0"/>
    <x v="1"/>
    <x v="2"/>
    <s v="315012045235-M"/>
    <m/>
    <m/>
    <n v="4681.3"/>
    <x v="39"/>
    <n v="110058"/>
    <x v="23"/>
    <x v="96"/>
    <x v="1"/>
    <x v="5"/>
    <n v="16106070"/>
    <x v="0"/>
    <x v="14"/>
    <x v="2"/>
    <d v="2020-10-02T00:00:00"/>
    <x v="103"/>
    <x v="0"/>
    <s v="10月"/>
    <x v="2"/>
    <s v="no mismatch"/>
    <s v="no mismatch"/>
    <n v="4124.4933920704843"/>
    <n v="0"/>
    <n v="0"/>
    <n v="1206344.6429999999"/>
    <x v="0"/>
    <x v="0"/>
  </r>
  <r>
    <x v="2"/>
    <x v="0"/>
    <x v="0"/>
    <x v="2"/>
    <s v="315012044959-M"/>
    <m/>
    <m/>
    <n v="6805.9"/>
    <x v="40"/>
    <n v="109995"/>
    <x v="24"/>
    <x v="97"/>
    <x v="2"/>
    <x v="2"/>
    <n v="15676110"/>
    <x v="0"/>
    <x v="14"/>
    <x v="2"/>
    <d v="2020-10-22T00:00:00"/>
    <x v="104"/>
    <x v="0"/>
    <s v="10月"/>
    <x v="2"/>
    <s v="no mismatch"/>
    <s v="no mismatch"/>
    <n v="5996.3876651982373"/>
    <n v="0"/>
    <n v="0"/>
    <n v="1174140.639"/>
    <x v="0"/>
    <x v="0"/>
  </r>
  <r>
    <x v="2"/>
    <x v="0"/>
    <x v="0"/>
    <x v="2"/>
    <s v="315012044959-M"/>
    <m/>
    <m/>
    <n v="0"/>
    <x v="40"/>
    <n v="110118"/>
    <x v="24"/>
    <x v="97"/>
    <x v="2"/>
    <x v="5"/>
    <n v="7832910"/>
    <x v="0"/>
    <x v="14"/>
    <x v="2"/>
    <d v="2020-10-22T00:00:00"/>
    <x v="104"/>
    <x v="0"/>
    <s v="10月"/>
    <x v="1"/>
    <n v="6.4199999999999993E-2"/>
    <n v="7.2900000000000006E-2"/>
    <n v="0"/>
    <n v="0"/>
    <n v="0"/>
    <n v="586684.95899999992"/>
    <x v="0"/>
    <x v="0"/>
  </r>
  <r>
    <x v="2"/>
    <x v="0"/>
    <x v="0"/>
    <x v="2"/>
    <s v="315012045397-M"/>
    <m/>
    <m/>
    <n v="10337.85"/>
    <x v="41"/>
    <n v="109996"/>
    <x v="24"/>
    <x v="97"/>
    <x v="6"/>
    <x v="0"/>
    <n v="35482976"/>
    <x v="0"/>
    <x v="14"/>
    <x v="2"/>
    <d v="2020-10-24T00:00:00"/>
    <x v="105"/>
    <x v="0"/>
    <s v="10月"/>
    <x v="1"/>
    <n v="6.4799999999999996E-2"/>
    <n v="7.3200000000000001E-2"/>
    <n v="9108.2378854625549"/>
    <n v="0"/>
    <n v="0"/>
    <n v="2657674.9024"/>
    <x v="0"/>
    <x v="0"/>
  </r>
  <r>
    <x v="2"/>
    <x v="0"/>
    <x v="0"/>
    <x v="2"/>
    <s v="315012045397-M"/>
    <m/>
    <m/>
    <n v="0"/>
    <x v="41"/>
    <n v="110071"/>
    <x v="24"/>
    <x v="97"/>
    <x v="6"/>
    <x v="2"/>
    <n v="17741488"/>
    <x v="0"/>
    <x v="14"/>
    <x v="2"/>
    <d v="2020-10-24T00:00:00"/>
    <x v="105"/>
    <x v="0"/>
    <s v="10月"/>
    <x v="1"/>
    <n v="6.4899999999999999E-2"/>
    <n v="7.3300000000000004E-2"/>
    <n v="0"/>
    <n v="0"/>
    <n v="0"/>
    <n v="1328837.4512"/>
    <x v="0"/>
    <x v="0"/>
  </r>
  <r>
    <x v="2"/>
    <x v="0"/>
    <x v="0"/>
    <x v="2"/>
    <s v="315012045565-M"/>
    <m/>
    <m/>
    <n v="6505.9"/>
    <x v="42"/>
    <n v="110047"/>
    <x v="25"/>
    <x v="98"/>
    <x v="14"/>
    <x v="3"/>
    <n v="46988250"/>
    <x v="0"/>
    <x v="14"/>
    <x v="2"/>
    <d v="2020-10-22T00:00:00"/>
    <x v="104"/>
    <x v="0"/>
    <s v="10月"/>
    <x v="1"/>
    <n v="6.5000000000000002E-2"/>
    <n v="7.3499999999999996E-2"/>
    <n v="5732.0704845814971"/>
    <n v="0"/>
    <n v="0"/>
    <n v="3519419.9249999998"/>
    <x v="0"/>
    <x v="0"/>
  </r>
  <r>
    <x v="2"/>
    <x v="0"/>
    <x v="0"/>
    <x v="2"/>
    <s v="315012045574-M"/>
    <m/>
    <m/>
    <n v="6805.9"/>
    <x v="43"/>
    <n v="110048"/>
    <x v="25"/>
    <x v="98"/>
    <x v="14"/>
    <x v="3"/>
    <n v="53573430"/>
    <x v="0"/>
    <x v="14"/>
    <x v="2"/>
    <d v="2020-10-22T00:00:00"/>
    <x v="106"/>
    <x v="0"/>
    <s v="10月"/>
    <x v="1"/>
    <n v="6.4100000000000004E-2"/>
    <n v="7.2800000000000004E-2"/>
    <n v="5996.3876651982373"/>
    <n v="0"/>
    <n v="0"/>
    <n v="4012649.9069999997"/>
    <x v="0"/>
    <x v="0"/>
  </r>
  <r>
    <x v="2"/>
    <x v="0"/>
    <x v="1"/>
    <x v="2"/>
    <s v="TT in advance "/>
    <m/>
    <m/>
    <n v="3712.95"/>
    <x v="44"/>
    <n v="110046"/>
    <x v="26"/>
    <x v="99"/>
    <x v="14"/>
    <x v="5"/>
    <n v="11754756"/>
    <x v="0"/>
    <x v="14"/>
    <x v="2"/>
    <d v="2020-10-24T00:00:00"/>
    <x v="105"/>
    <x v="0"/>
    <s v="10月"/>
    <x v="1"/>
    <n v="6.5000000000000002E-2"/>
    <n v="7.3499999999999996E-2"/>
    <n v="3271.3215859030834"/>
    <n v="0"/>
    <n v="0"/>
    <n v="880431.22439999995"/>
    <x v="0"/>
    <x v="0"/>
  </r>
  <r>
    <x v="2"/>
    <x v="0"/>
    <x v="0"/>
    <x v="1"/>
    <s v="315012045645-M"/>
    <m/>
    <m/>
    <n v="6505.9"/>
    <x v="45"/>
    <n v="109991"/>
    <x v="27"/>
    <x v="85"/>
    <x v="2"/>
    <x v="4"/>
    <n v="17119620"/>
    <x v="0"/>
    <x v="14"/>
    <x v="2"/>
    <d v="2020-10-24T00:00:00"/>
    <x v="105"/>
    <x v="0"/>
    <s v="10月"/>
    <x v="2"/>
    <s v="no mismatch"/>
    <s v="no mismatch"/>
    <n v="5732.0704845814971"/>
    <n v="0"/>
    <n v="0"/>
    <n v="1282259.5379999999"/>
    <x v="0"/>
    <x v="0"/>
  </r>
  <r>
    <x v="2"/>
    <x v="0"/>
    <x v="0"/>
    <x v="1"/>
    <s v="315012045645-M"/>
    <m/>
    <m/>
    <n v="0"/>
    <x v="45"/>
    <n v="110121"/>
    <x v="27"/>
    <x v="85"/>
    <x v="2"/>
    <x v="5"/>
    <n v="6364740"/>
    <x v="0"/>
    <x v="14"/>
    <x v="2"/>
    <d v="2020-10-24T00:00:00"/>
    <x v="105"/>
    <x v="0"/>
    <s v="10月"/>
    <x v="1"/>
    <n v="6.3799999999999996E-2"/>
    <n v="7.3400000000000007E-2"/>
    <n v="0"/>
    <n v="0"/>
    <n v="0"/>
    <n v="476719.02599999995"/>
    <x v="0"/>
    <x v="0"/>
  </r>
  <r>
    <x v="2"/>
    <x v="0"/>
    <x v="0"/>
    <x v="1"/>
    <s v="315012045645-M"/>
    <m/>
    <m/>
    <n v="0"/>
    <x v="45"/>
    <n v="110128"/>
    <x v="27"/>
    <x v="85"/>
    <x v="2"/>
    <x v="5"/>
    <n v="6364740"/>
    <x v="0"/>
    <x v="14"/>
    <x v="2"/>
    <d v="2020-10-24T00:00:00"/>
    <x v="105"/>
    <x v="0"/>
    <s v="10月"/>
    <x v="1"/>
    <n v="6.4399999999999999E-2"/>
    <n v="7.3099999999999998E-2"/>
    <n v="0"/>
    <n v="0"/>
    <n v="0"/>
    <n v="476719.02599999995"/>
    <x v="0"/>
    <x v="0"/>
  </r>
  <r>
    <x v="2"/>
    <x v="0"/>
    <x v="1"/>
    <x v="2"/>
    <s v="315012046038-M "/>
    <m/>
    <m/>
    <n v="3712.95"/>
    <x v="46"/>
    <n v="110033"/>
    <x v="28"/>
    <x v="100"/>
    <x v="13"/>
    <x v="5"/>
    <n v="13844626"/>
    <x v="0"/>
    <x v="14"/>
    <x v="2"/>
    <d v="2020-10-24T00:00:00"/>
    <x v="105"/>
    <x v="0"/>
    <s v="10月"/>
    <x v="1"/>
    <n v="6.5000000000000002E-2"/>
    <n v="7.3499999999999996E-2"/>
    <n v="3271.3215859030834"/>
    <n v="0"/>
    <n v="0"/>
    <n v="1036962.4873999999"/>
    <x v="0"/>
    <x v="0"/>
  </r>
  <r>
    <x v="2"/>
    <x v="1"/>
    <x v="1"/>
    <x v="2"/>
    <s v="315012045654-M"/>
    <m/>
    <m/>
    <n v="4751.95"/>
    <x v="47"/>
    <n v="110038"/>
    <x v="29"/>
    <x v="90"/>
    <x v="7"/>
    <x v="5"/>
    <n v="4530000"/>
    <x v="0"/>
    <x v="14"/>
    <x v="2"/>
    <d v="2020-10-19T00:00:00"/>
    <x v="107"/>
    <x v="0"/>
    <s v="10月"/>
    <x v="1"/>
    <n v="6.5000000000000002E-2"/>
    <n v="7.3499999999999996E-2"/>
    <n v="4186.7400881057265"/>
    <n v="0"/>
    <n v="0"/>
    <n v="339297"/>
    <x v="0"/>
    <x v="0"/>
  </r>
  <r>
    <x v="2"/>
    <x v="0"/>
    <x v="0"/>
    <x v="1"/>
    <s v="LM848698100"/>
    <m/>
    <m/>
    <n v="10487.85"/>
    <x v="48"/>
    <n v="109992"/>
    <x v="27"/>
    <x v="85"/>
    <x v="2"/>
    <x v="0"/>
    <n v="27231360"/>
    <x v="0"/>
    <x v="14"/>
    <x v="2"/>
    <d v="2020-11-02T00:00:00"/>
    <x v="108"/>
    <x v="0"/>
    <s v="10月"/>
    <x v="1"/>
    <n v="6.4799999999999996E-2"/>
    <n v="7.3200000000000001E-2"/>
    <n v="9240.3964757709255"/>
    <n v="0"/>
    <n v="0"/>
    <n v="2039628.8639999998"/>
    <x v="0"/>
    <x v="0"/>
  </r>
  <r>
    <x v="2"/>
    <x v="0"/>
    <x v="0"/>
    <x v="1"/>
    <s v="LM848698100"/>
    <m/>
    <m/>
    <n v="0"/>
    <x v="48"/>
    <n v="110072"/>
    <x v="27"/>
    <x v="85"/>
    <x v="2"/>
    <x v="4"/>
    <n v="21827520"/>
    <x v="0"/>
    <x v="14"/>
    <x v="2"/>
    <d v="2020-11-02T00:00:00"/>
    <x v="108"/>
    <x v="0"/>
    <s v="10月"/>
    <x v="1"/>
    <n v="6.5000000000000002E-2"/>
    <n v="7.3499999999999996E-2"/>
    <n v="0"/>
    <n v="0"/>
    <n v="0"/>
    <n v="1634881.2479999999"/>
    <x v="0"/>
    <x v="0"/>
  </r>
  <r>
    <x v="2"/>
    <x v="0"/>
    <x v="1"/>
    <x v="2"/>
    <s v="DC TST117449"/>
    <n v="1523.78"/>
    <n v="56044"/>
    <n v="4601.95"/>
    <x v="49"/>
    <n v="110034"/>
    <x v="28"/>
    <x v="96"/>
    <x v="13"/>
    <x v="5"/>
    <n v="11605095"/>
    <x v="0"/>
    <x v="14"/>
    <x v="2"/>
    <d v="2020-11-02T00:00:00"/>
    <x v="109"/>
    <x v="0"/>
    <s v="10月"/>
    <x v="2"/>
    <s v="no mismatch"/>
    <s v="no mismatch"/>
    <n v="4054.5814977973569"/>
    <n v="1342.5374449339206"/>
    <n v="4197.6956"/>
    <n v="869221.61549999996"/>
    <x v="0"/>
    <x v="0"/>
  </r>
  <r>
    <x v="2"/>
    <x v="0"/>
    <x v="0"/>
    <x v="1"/>
    <s v="DC TST117452"/>
    <n v="1663.97"/>
    <n v="15376"/>
    <n v="4601.95"/>
    <x v="50"/>
    <n v="110055"/>
    <x v="23"/>
    <x v="85"/>
    <x v="2"/>
    <x v="5"/>
    <n v="5904120"/>
    <x v="0"/>
    <x v="13"/>
    <x v="8"/>
    <d v="2020-11-07T00:00:00"/>
    <x v="110"/>
    <x v="0"/>
    <s v="11月"/>
    <x v="2"/>
    <s v="no mismatch"/>
    <s v="no mismatch"/>
    <n v="3984.3722943722942"/>
    <n v="1440.6666666666667"/>
    <n v="1163.9632000000001"/>
    <n v="446941.88400000002"/>
    <x v="0"/>
    <x v="0"/>
  </r>
  <r>
    <x v="2"/>
    <x v="0"/>
    <x v="0"/>
    <x v="2"/>
    <s v="LM849358100"/>
    <m/>
    <m/>
    <n v="6655.9"/>
    <x v="51"/>
    <n v="110049"/>
    <x v="30"/>
    <x v="101"/>
    <x v="14"/>
    <x v="2"/>
    <n v="23382240"/>
    <x v="0"/>
    <x v="13"/>
    <x v="8"/>
    <d v="2020-11-07T00:00:00"/>
    <x v="110"/>
    <x v="0"/>
    <s v="11月"/>
    <x v="1"/>
    <n v="6.4199999999999993E-2"/>
    <n v="7.2900000000000006E-2"/>
    <n v="5762.6839826839823"/>
    <n v="0"/>
    <n v="0"/>
    <n v="1770035.568"/>
    <x v="0"/>
    <x v="0"/>
  </r>
  <r>
    <x v="2"/>
    <x v="0"/>
    <x v="0"/>
    <x v="2"/>
    <s v="LM849358100"/>
    <m/>
    <m/>
    <n v="0"/>
    <x v="51"/>
    <n v="110049"/>
    <x v="30"/>
    <x v="101"/>
    <x v="2"/>
    <x v="4"/>
    <n v="24437010"/>
    <x v="0"/>
    <x v="13"/>
    <x v="8"/>
    <d v="2020-11-07T00:00:00"/>
    <x v="110"/>
    <x v="0"/>
    <s v="11月"/>
    <x v="1"/>
    <n v="6.4199999999999993E-2"/>
    <n v="7.2900000000000006E-2"/>
    <n v="0"/>
    <n v="0"/>
    <n v="0"/>
    <n v="1849881.6570000001"/>
    <x v="0"/>
    <x v="0"/>
  </r>
  <r>
    <x v="2"/>
    <x v="0"/>
    <x v="0"/>
    <x v="1"/>
    <s v="315012046699-M"/>
    <m/>
    <m/>
    <n v="6655.9"/>
    <x v="52"/>
    <n v="110025"/>
    <x v="31"/>
    <x v="85"/>
    <x v="2"/>
    <x v="4"/>
    <n v="20085120"/>
    <x v="0"/>
    <x v="13"/>
    <x v="8"/>
    <d v="2020-11-07T00:00:00"/>
    <x v="110"/>
    <x v="0"/>
    <s v="11月"/>
    <x v="1"/>
    <n v="6.4199999999999993E-2"/>
    <n v="7.2900000000000006E-2"/>
    <n v="5762.6839826839823"/>
    <n v="0"/>
    <n v="0"/>
    <n v="1520443.584"/>
    <x v="0"/>
    <x v="0"/>
  </r>
  <r>
    <x v="2"/>
    <x v="0"/>
    <x v="0"/>
    <x v="1"/>
    <s v="315012046699-M"/>
    <m/>
    <m/>
    <n v="0"/>
    <x v="52"/>
    <n v="110117"/>
    <x v="31"/>
    <x v="85"/>
    <x v="2"/>
    <x v="2"/>
    <n v="13390080"/>
    <x v="0"/>
    <x v="13"/>
    <x v="8"/>
    <d v="2020-11-07T00:00:00"/>
    <x v="110"/>
    <x v="0"/>
    <s v="11月"/>
    <x v="1"/>
    <n v="6.3799999999999996E-2"/>
    <n v="7.3400000000000007E-2"/>
    <n v="0"/>
    <n v="0"/>
    <n v="0"/>
    <n v="1013629.0560000001"/>
    <x v="0"/>
    <x v="0"/>
  </r>
  <r>
    <x v="2"/>
    <x v="1"/>
    <x v="0"/>
    <x v="1"/>
    <s v="315012046706-M"/>
    <m/>
    <m/>
    <n v="4601.95"/>
    <x v="53"/>
    <n v="110081"/>
    <x v="32"/>
    <x v="85"/>
    <x v="15"/>
    <x v="2"/>
    <n v="7745350"/>
    <x v="0"/>
    <x v="13"/>
    <x v="8"/>
    <d v="2020-11-13T00:00:00"/>
    <x v="111"/>
    <x v="0"/>
    <s v="11月"/>
    <x v="1"/>
    <n v="6.4000000000000001E-2"/>
    <n v="7.4899999999999994E-2"/>
    <n v="3984.3722943722942"/>
    <n v="0"/>
    <n v="0"/>
    <n v="586322.995"/>
    <x v="0"/>
    <x v="0"/>
  </r>
  <r>
    <x v="2"/>
    <x v="0"/>
    <x v="0"/>
    <x v="2"/>
    <s v="DC TST114754"/>
    <n v="3028.38"/>
    <n v="67752"/>
    <n v="6805.9"/>
    <x v="54"/>
    <n v="110050"/>
    <x v="30"/>
    <x v="101"/>
    <x v="2"/>
    <x v="2"/>
    <n v="24002792"/>
    <x v="0"/>
    <x v="13"/>
    <x v="8"/>
    <d v="2020-11-14T00:00:00"/>
    <x v="112"/>
    <x v="0"/>
    <s v="11月"/>
    <x v="2"/>
    <s v="no mismatch"/>
    <s v="no mismatch"/>
    <n v="5892.5541125541122"/>
    <n v="2621.9740259740261"/>
    <n v="5128.8263999999999"/>
    <n v="1817011.3544000001"/>
    <x v="0"/>
    <x v="0"/>
  </r>
  <r>
    <x v="2"/>
    <x v="0"/>
    <x v="0"/>
    <x v="2"/>
    <s v="DC TST114754"/>
    <n v="0"/>
    <n v="0"/>
    <n v="0"/>
    <x v="54"/>
    <n v="110179"/>
    <x v="30"/>
    <x v="101"/>
    <x v="2"/>
    <x v="5"/>
    <n v="11613120"/>
    <x v="0"/>
    <x v="13"/>
    <x v="8"/>
    <d v="2020-11-14T00:00:00"/>
    <x v="112"/>
    <x v="0"/>
    <s v="11月"/>
    <x v="1"/>
    <n v="6.4000000000000001E-2"/>
    <n v="7.4899999999999994E-2"/>
    <n v="0"/>
    <n v="0"/>
    <n v="0"/>
    <n v="879113.18400000001"/>
    <x v="0"/>
    <x v="0"/>
  </r>
  <r>
    <x v="2"/>
    <x v="0"/>
    <x v="0"/>
    <x v="1"/>
    <s v="LM849478100"/>
    <m/>
    <m/>
    <n v="7283.9"/>
    <x v="55"/>
    <n v="110043"/>
    <x v="26"/>
    <x v="85"/>
    <x v="2"/>
    <x v="4"/>
    <n v="16310520"/>
    <x v="0"/>
    <x v="13"/>
    <x v="8"/>
    <d v="2020-11-21T00:00:00"/>
    <x v="113"/>
    <x v="0"/>
    <s v="11月"/>
    <x v="2"/>
    <s v="no mismatch"/>
    <s v="no mismatch"/>
    <n v="6306.4069264069258"/>
    <n v="0"/>
    <n v="0"/>
    <n v="1234706.3640000001"/>
    <x v="0"/>
    <x v="0"/>
  </r>
  <r>
    <x v="2"/>
    <x v="0"/>
    <x v="0"/>
    <x v="1"/>
    <s v="LM849478100"/>
    <m/>
    <m/>
    <n v="0"/>
    <x v="55"/>
    <n v="110140"/>
    <x v="26"/>
    <x v="85"/>
    <x v="2"/>
    <x v="2"/>
    <n v="10873680"/>
    <x v="0"/>
    <x v="13"/>
    <x v="8"/>
    <d v="2020-11-21T00:00:00"/>
    <x v="113"/>
    <x v="0"/>
    <s v="11月"/>
    <x v="1"/>
    <n v="6.4000000000000001E-2"/>
    <n v="7.2599999999999998E-2"/>
    <n v="0"/>
    <n v="0"/>
    <n v="0"/>
    <n v="823137.576"/>
    <x v="0"/>
    <x v="0"/>
  </r>
  <r>
    <x v="2"/>
    <x v="0"/>
    <x v="0"/>
    <x v="1"/>
    <s v="DC TST117460"/>
    <n v="2260.16"/>
    <n v="44433"/>
    <n v="4915.95"/>
    <x v="56"/>
    <n v="110137"/>
    <x v="33"/>
    <x v="85"/>
    <x v="14"/>
    <x v="2"/>
    <n v="18818340"/>
    <x v="0"/>
    <x v="13"/>
    <x v="8"/>
    <d v="2020-11-21T00:00:00"/>
    <x v="113"/>
    <x v="0"/>
    <s v="11月"/>
    <x v="1"/>
    <n v="6.4000000000000001E-2"/>
    <n v="7.4899999999999994E-2"/>
    <n v="4256.2337662337659"/>
    <n v="1956.8484848484848"/>
    <n v="3363.5781000000002"/>
    <n v="1424548.338"/>
    <x v="0"/>
    <x v="0"/>
  </r>
  <r>
    <x v="2"/>
    <x v="0"/>
    <x v="0"/>
    <x v="2"/>
    <s v="LM849468100"/>
    <n v="1160.77"/>
    <m/>
    <n v="5065.95"/>
    <x v="57"/>
    <n v="110089"/>
    <x v="34"/>
    <x v="102"/>
    <x v="14"/>
    <x v="5"/>
    <n v="10159170"/>
    <x v="0"/>
    <x v="13"/>
    <x v="8"/>
    <d v="2020-11-22T00:00:00"/>
    <x v="114"/>
    <x v="0"/>
    <s v="11月"/>
    <x v="2"/>
    <s v="no mismatch"/>
    <s v="no mismatch"/>
    <n v="4386.1038961038957"/>
    <n v="1004.9956709956709"/>
    <n v="0"/>
    <n v="769049.16899999999"/>
    <x v="0"/>
    <x v="0"/>
  </r>
  <r>
    <x v="3"/>
    <x v="0"/>
    <x v="1"/>
    <x v="2"/>
    <m/>
    <m/>
    <m/>
    <n v="2000"/>
    <x v="58"/>
    <s v="49F103569"/>
    <x v="35"/>
    <x v="103"/>
    <x v="14"/>
    <x v="5"/>
    <n v="13860020"/>
    <x v="0"/>
    <x v="0"/>
    <x v="0"/>
    <d v="2020-06-10T00:00:00"/>
    <x v="115"/>
    <x v="1"/>
    <s v="10月"/>
    <x v="2"/>
    <s v="checking with sales"/>
    <s v="checking with sales"/>
    <n v="0"/>
    <n v="1440.6666666666667"/>
    <n v="1163.9632000000001"/>
    <n v="446941.88400000002"/>
    <x v="0"/>
    <x v="1"/>
  </r>
  <r>
    <x v="2"/>
    <x v="0"/>
    <x v="0"/>
    <x v="1"/>
    <s v="315012048045-M"/>
    <m/>
    <m/>
    <m/>
    <x v="59"/>
    <n v="110026"/>
    <x v="31"/>
    <x v="85"/>
    <x v="2"/>
    <x v="2"/>
    <n v="17151120"/>
    <x v="0"/>
    <x v="13"/>
    <x v="8"/>
    <d v="2020-11-26T00:00:00"/>
    <x v="116"/>
    <x v="0"/>
    <s v="11月"/>
    <x v="2"/>
    <s v="No mismatch"/>
    <s v="no mismatch"/>
    <n v="0"/>
    <n v="0"/>
    <n v="0"/>
    <n v="1298339.784"/>
    <x v="0"/>
    <x v="0"/>
  </r>
  <r>
    <x v="2"/>
    <x v="0"/>
    <x v="0"/>
    <x v="1"/>
    <s v="315012048045-M"/>
    <m/>
    <m/>
    <m/>
    <x v="59"/>
    <n v="110182"/>
    <x v="31"/>
    <x v="85"/>
    <x v="2"/>
    <x v="2"/>
    <n v="14813280"/>
    <x v="0"/>
    <x v="13"/>
    <x v="8"/>
    <d v="2020-11-26T00:00:00"/>
    <x v="116"/>
    <x v="0"/>
    <s v="11月"/>
    <x v="1"/>
    <n v="6.3399999999999998E-2"/>
    <n v="7.4200000000000002E-2"/>
    <n v="0"/>
    <n v="0"/>
    <n v="0"/>
    <n v="1121365.2960000001"/>
    <x v="0"/>
    <x v="0"/>
  </r>
  <r>
    <x v="2"/>
    <x v="0"/>
    <x v="0"/>
    <x v="1"/>
    <s v="315012048045-M"/>
    <m/>
    <m/>
    <m/>
    <x v="59"/>
    <n v="110178"/>
    <x v="31"/>
    <x v="85"/>
    <x v="2"/>
    <x v="4"/>
    <n v="23921760"/>
    <x v="0"/>
    <x v="13"/>
    <x v="8"/>
    <d v="2020-11-26T00:00:00"/>
    <x v="116"/>
    <x v="0"/>
    <s v="11月"/>
    <x v="1"/>
    <n v="6.4000000000000001E-2"/>
    <n v="7.4899999999999994E-2"/>
    <n v="0"/>
    <n v="0"/>
    <n v="0"/>
    <n v="1810877.2320000001"/>
    <x v="0"/>
    <x v="0"/>
  </r>
  <r>
    <x v="2"/>
    <x v="1"/>
    <x v="0"/>
    <x v="1"/>
    <s v="TT in advance "/>
    <m/>
    <m/>
    <n v="4601.95"/>
    <x v="60"/>
    <n v="110045"/>
    <x v="36"/>
    <x v="85"/>
    <x v="7"/>
    <x v="5"/>
    <n v="4530000"/>
    <x v="0"/>
    <x v="13"/>
    <x v="8"/>
    <d v="2020-11-07T00:00:00"/>
    <x v="117"/>
    <x v="0"/>
    <s v="11月"/>
    <x v="4"/>
    <s v="No mismatch"/>
    <s v="no mismatch"/>
    <n v="3984.3722943722942"/>
    <n v="0"/>
    <n v="0"/>
    <n v="342921"/>
    <x v="0"/>
    <x v="0"/>
  </r>
  <r>
    <x v="2"/>
    <x v="0"/>
    <x v="0"/>
    <x v="1"/>
    <s v="DC TST118916"/>
    <n v="2904.74"/>
    <n v="63335"/>
    <n v="19836"/>
    <x v="61"/>
    <n v="110044"/>
    <x v="26"/>
    <x v="85"/>
    <x v="2"/>
    <x v="0"/>
    <n v="21509760"/>
    <x v="0"/>
    <x v="13"/>
    <x v="8"/>
    <d v="2020-11-26T00:00:00"/>
    <x v="118"/>
    <x v="0"/>
    <s v="11月"/>
    <x v="2"/>
    <s v="No mismatch"/>
    <s v="no mismatch"/>
    <n v="17174.025974025975"/>
    <n v="2514.9264069264068"/>
    <n v="4794.4594999999999"/>
    <n v="1628288.8320000002"/>
    <x v="0"/>
    <x v="0"/>
  </r>
  <r>
    <x v="2"/>
    <x v="0"/>
    <x v="0"/>
    <x v="1"/>
    <s v="DC TST118916"/>
    <n v="0"/>
    <n v="0"/>
    <n v="0"/>
    <x v="61"/>
    <n v="110207"/>
    <x v="26"/>
    <x v="85"/>
    <x v="2"/>
    <x v="2"/>
    <n v="10754880"/>
    <x v="0"/>
    <x v="13"/>
    <x v="8"/>
    <d v="2020-11-26T00:00:00"/>
    <x v="118"/>
    <x v="0"/>
    <s v="11月"/>
    <x v="1"/>
    <n v="6.3799999999999996E-2"/>
    <n v="7.46E-2"/>
    <n v="0"/>
    <n v="0"/>
    <n v="0"/>
    <n v="814144.41600000008"/>
    <x v="0"/>
    <x v="0"/>
  </r>
  <r>
    <x v="2"/>
    <x v="3"/>
    <x v="0"/>
    <x v="2"/>
    <s v="CNY单"/>
    <s v="CNY单"/>
    <s v="CNY单"/>
    <n v="0"/>
    <x v="62"/>
    <s v="49F103708"/>
    <x v="37"/>
    <x v="104"/>
    <x v="1"/>
    <x v="2"/>
    <n v="2465000"/>
    <x v="0"/>
    <x v="13"/>
    <x v="8"/>
    <d v="2020-11-04T00:00:00"/>
    <x v="112"/>
    <x v="1"/>
    <m/>
    <x v="4"/>
    <s v="CNY单"/>
    <m/>
    <n v="0"/>
    <e v="#VALUE!"/>
    <e v="#VALUE!"/>
    <n v="186600.5"/>
    <x v="0"/>
    <x v="0"/>
  </r>
  <r>
    <x v="2"/>
    <x v="0"/>
    <x v="0"/>
    <x v="2"/>
    <s v="315012049240-M"/>
    <m/>
    <m/>
    <n v="5065.95"/>
    <x v="63"/>
    <n v="110110"/>
    <x v="30"/>
    <x v="101"/>
    <x v="14"/>
    <x v="5"/>
    <n v="9409170"/>
    <x v="0"/>
    <x v="15"/>
    <x v="9"/>
    <d v="2020-12-15T00:00:00"/>
    <x v="119"/>
    <x v="0"/>
    <s v="12月"/>
    <x v="4"/>
    <s v="no mismatch"/>
    <s v="no mismatch"/>
    <n v="4311.4468085106382"/>
    <n v="0"/>
    <n v="0"/>
    <n v="716037.83700000006"/>
    <x v="0"/>
    <x v="0"/>
  </r>
  <r>
    <x v="2"/>
    <x v="0"/>
    <x v="0"/>
    <x v="2"/>
    <s v="315012049240-M"/>
    <m/>
    <m/>
    <n v="0"/>
    <x v="63"/>
    <n v="110180"/>
    <x v="30"/>
    <x v="101"/>
    <x v="14"/>
    <x v="5"/>
    <n v="9409170"/>
    <x v="0"/>
    <x v="15"/>
    <x v="9"/>
    <d v="2020-12-15T00:00:00"/>
    <x v="119"/>
    <x v="0"/>
    <s v="12月"/>
    <x v="1"/>
    <n v="6.4000000000000001E-2"/>
    <n v="7.4899999999999994E-2"/>
    <n v="0"/>
    <n v="0"/>
    <n v="0"/>
    <n v="716037.83700000006"/>
    <x v="0"/>
    <x v="0"/>
  </r>
  <r>
    <x v="2"/>
    <x v="0"/>
    <x v="0"/>
    <x v="1"/>
    <s v="315012049231-M"/>
    <m/>
    <m/>
    <n v="12409.2"/>
    <x v="64"/>
    <n v="110068"/>
    <x v="33"/>
    <x v="85"/>
    <x v="14"/>
    <x v="2"/>
    <n v="20988840"/>
    <x v="0"/>
    <x v="15"/>
    <x v="9"/>
    <d v="2020-12-13T00:00:00"/>
    <x v="120"/>
    <x v="0"/>
    <s v="12月"/>
    <x v="4"/>
    <s v="no mismatch"/>
    <s v="no mismatch"/>
    <n v="10561.021276595746"/>
    <n v="0"/>
    <n v="0"/>
    <n v="1597250.7239999999"/>
    <x v="0"/>
    <x v="0"/>
  </r>
  <r>
    <x v="2"/>
    <x v="0"/>
    <x v="0"/>
    <x v="1"/>
    <s v="LM850258100"/>
    <n v="1947.2"/>
    <m/>
    <n v="0"/>
    <x v="65"/>
    <n v="110069"/>
    <x v="33"/>
    <x v="85"/>
    <x v="14"/>
    <x v="3"/>
    <n v="47183650"/>
    <x v="0"/>
    <x v="15"/>
    <x v="9"/>
    <d v="2020-12-13T00:00:00"/>
    <x v="119"/>
    <x v="0"/>
    <s v="12月"/>
    <x v="4"/>
    <s v="no mismatch"/>
    <s v="no mismatch"/>
    <n v="0"/>
    <n v="1657.191489361702"/>
    <n v="0"/>
    <n v="3590675.7650000001"/>
    <x v="0"/>
    <x v="0"/>
  </r>
  <r>
    <x v="2"/>
    <x v="0"/>
    <x v="0"/>
    <x v="2"/>
    <s v="315012049419-M"/>
    <m/>
    <m/>
    <n v="16089.8"/>
    <x v="66"/>
    <n v="110097"/>
    <x v="38"/>
    <x v="105"/>
    <x v="14"/>
    <x v="2"/>
    <n v="18760740"/>
    <x v="0"/>
    <x v="15"/>
    <x v="9"/>
    <d v="2020-12-21T00:00:00"/>
    <x v="120"/>
    <x v="0"/>
    <s v="12月"/>
    <x v="4"/>
    <s v="no mismatch"/>
    <s v="no mismatch"/>
    <n v="13693.446808510636"/>
    <n v="0"/>
    <n v="0"/>
    <n v="1427692.314"/>
    <x v="0"/>
    <x v="0"/>
  </r>
  <r>
    <x v="2"/>
    <x v="0"/>
    <x v="0"/>
    <x v="2"/>
    <s v="315012049419-M"/>
    <m/>
    <m/>
    <n v="0"/>
    <x v="66"/>
    <n v="110192"/>
    <x v="38"/>
    <x v="105"/>
    <x v="14"/>
    <x v="5"/>
    <n v="9409170"/>
    <x v="0"/>
    <x v="15"/>
    <x v="9"/>
    <d v="2020-12-21T00:00:00"/>
    <x v="120"/>
    <x v="0"/>
    <s v="12月"/>
    <x v="1"/>
    <n v="6.3399999999999998E-2"/>
    <n v="7.4200000000000002E-2"/>
    <n v="0"/>
    <n v="0"/>
    <n v="0"/>
    <n v="716037.83700000006"/>
    <x v="0"/>
    <x v="0"/>
  </r>
  <r>
    <x v="2"/>
    <x v="0"/>
    <x v="0"/>
    <x v="2"/>
    <s v="DC TST117472"/>
    <n v="2648.98"/>
    <n v="56863"/>
    <n v="7990"/>
    <x v="67"/>
    <n v="110181"/>
    <x v="38"/>
    <x v="105"/>
    <x v="14"/>
    <x v="5"/>
    <n v="13543545"/>
    <x v="0"/>
    <x v="15"/>
    <x v="9"/>
    <d v="2020-12-21T00:00:00"/>
    <x v="121"/>
    <x v="0"/>
    <s v="12月"/>
    <x v="4"/>
    <s v="no mismatch"/>
    <s v="no mismatch"/>
    <n v="6800"/>
    <n v="2254.451063829787"/>
    <n v="4327.2743"/>
    <n v="1030663.7745000001"/>
    <x v="0"/>
    <x v="0"/>
  </r>
  <r>
    <x v="2"/>
    <x v="0"/>
    <x v="0"/>
    <x v="2"/>
    <s v="DC TST117472"/>
    <n v="0"/>
    <n v="0"/>
    <n v="0"/>
    <x v="67"/>
    <n v="110214"/>
    <x v="38"/>
    <x v="105"/>
    <x v="14"/>
    <x v="5"/>
    <n v="13543545"/>
    <x v="0"/>
    <x v="15"/>
    <x v="9"/>
    <d v="2020-12-21T00:00:00"/>
    <x v="121"/>
    <x v="0"/>
    <s v="12月"/>
    <x v="1"/>
    <n v="6.3500000000000001E-2"/>
    <n v="7.4200000000000002E-2"/>
    <n v="0"/>
    <n v="0"/>
    <n v="0"/>
    <n v="1030663.7745000001"/>
    <x v="0"/>
    <x v="0"/>
  </r>
  <r>
    <x v="2"/>
    <x v="0"/>
    <x v="0"/>
    <x v="2"/>
    <s v="DC TST117469"/>
    <m/>
    <m/>
    <n v="7990"/>
    <x v="68"/>
    <n v="110158"/>
    <x v="39"/>
    <x v="106"/>
    <x v="14"/>
    <x v="2"/>
    <n v="26093940"/>
    <x v="0"/>
    <x v="15"/>
    <x v="9"/>
    <d v="2020-12-21T00:00:00"/>
    <x v="121"/>
    <x v="0"/>
    <s v="12月"/>
    <x v="4"/>
    <s v="no mismatch"/>
    <s v="no mismatch"/>
    <n v="6800"/>
    <n v="0"/>
    <n v="0"/>
    <n v="1985748.834"/>
    <x v="0"/>
    <x v="0"/>
  </r>
  <r>
    <x v="2"/>
    <x v="0"/>
    <x v="0"/>
    <x v="2"/>
    <s v="LM850248100"/>
    <n v="1454.74"/>
    <m/>
    <n v="7090"/>
    <x v="69"/>
    <n v="110159"/>
    <x v="39"/>
    <x v="106"/>
    <x v="14"/>
    <x v="2"/>
    <n v="25755540"/>
    <x v="0"/>
    <x v="15"/>
    <x v="9"/>
    <d v="2020-12-28T00:00:00"/>
    <x v="122"/>
    <x v="0"/>
    <s v="12月"/>
    <x v="4"/>
    <s v="no mismatch"/>
    <s v="no mismatch"/>
    <n v="6034.0425531914889"/>
    <n v="1238.0765957446808"/>
    <n v="0"/>
    <n v="1959996.594"/>
    <x v="0"/>
    <x v="0"/>
  </r>
  <r>
    <x v="2"/>
    <x v="0"/>
    <x v="0"/>
    <x v="1"/>
    <s v="315012050996-M"/>
    <n v="1929.48"/>
    <m/>
    <n v="900"/>
    <x v="70"/>
    <n v="110122"/>
    <x v="40"/>
    <x v="85"/>
    <x v="2"/>
    <x v="5"/>
    <n v="11664720"/>
    <x v="0"/>
    <x v="15"/>
    <x v="9"/>
    <d v="2020-12-28T00:00:00"/>
    <x v="122"/>
    <x v="0"/>
    <s v="12月"/>
    <x v="4"/>
    <s v="no mismatch"/>
    <s v="no mismatch"/>
    <n v="765.95744680851055"/>
    <n v="1642.1106382978724"/>
    <n v="0"/>
    <n v="887685.19200000004"/>
    <x v="0"/>
    <x v="0"/>
  </r>
  <r>
    <x v="2"/>
    <x v="0"/>
    <x v="0"/>
    <x v="1"/>
    <s v="LM850818100"/>
    <n v="986.65"/>
    <m/>
    <n v="900"/>
    <x v="71"/>
    <n v="110161"/>
    <x v="26"/>
    <x v="85"/>
    <x v="2"/>
    <x v="5"/>
    <n v="5377440"/>
    <x v="0"/>
    <x v="15"/>
    <x v="9"/>
    <d v="2021-01-01T00:00:00"/>
    <x v="123"/>
    <x v="0"/>
    <s v="12月"/>
    <x v="4"/>
    <s v="no mismatch"/>
    <s v="no mismatch"/>
    <n v="765.95744680851055"/>
    <n v="839.70212765957444"/>
    <n v="0"/>
    <n v="409223.18400000001"/>
    <x v="0"/>
    <x v="0"/>
  </r>
  <r>
    <x v="2"/>
    <x v="0"/>
    <x v="0"/>
    <x v="2"/>
    <s v="LM850678100"/>
    <n v="1512.11"/>
    <m/>
    <n v="7090"/>
    <x v="72"/>
    <n v="110108"/>
    <x v="41"/>
    <x v="107"/>
    <x v="14"/>
    <x v="5"/>
    <n v="11921970"/>
    <x v="0"/>
    <x v="15"/>
    <x v="9"/>
    <d v="2021-01-01T00:00:00"/>
    <x v="123"/>
    <x v="0"/>
    <s v="12月"/>
    <x v="4"/>
    <s v="no mismatch"/>
    <s v="no mismatch"/>
    <n v="6034.0425531914889"/>
    <n v="1286.9021276595743"/>
    <n v="0"/>
    <n v="907261.91700000002"/>
    <x v="0"/>
    <x v="0"/>
  </r>
  <r>
    <x v="2"/>
    <x v="0"/>
    <x v="0"/>
    <x v="2"/>
    <s v="LM850678100"/>
    <n v="0"/>
    <m/>
    <n v="0"/>
    <x v="72"/>
    <n v="110108"/>
    <x v="41"/>
    <x v="107"/>
    <x v="2"/>
    <x v="2"/>
    <n v="15780480"/>
    <x v="0"/>
    <x v="15"/>
    <x v="9"/>
    <d v="2021-01-01T00:00:00"/>
    <x v="123"/>
    <x v="0"/>
    <s v="12月"/>
    <x v="4"/>
    <s v="no mismatch"/>
    <s v="no mismatch"/>
    <n v="0"/>
    <n v="0"/>
    <n v="0"/>
    <n v="1200894.5279999999"/>
    <x v="0"/>
    <x v="0"/>
  </r>
  <r>
    <x v="2"/>
    <x v="0"/>
    <x v="0"/>
    <x v="1"/>
    <s v="DC TST117480"/>
    <n v="2393.8599999999997"/>
    <n v="83639"/>
    <n v="11343.2"/>
    <x v="73"/>
    <n v="110067"/>
    <x v="33"/>
    <x v="85"/>
    <x v="2"/>
    <x v="0"/>
    <n v="21509760"/>
    <x v="0"/>
    <x v="16"/>
    <x v="10"/>
    <d v="2021-01-11T00:00:00"/>
    <x v="124"/>
    <x v="0"/>
    <s v="12月"/>
    <x v="4"/>
    <s v="no mismatch"/>
    <s v="no mismatch"/>
    <n v="9572.3206751054859"/>
    <n v="2020.1350210970461"/>
    <n v="6423.4751999999999"/>
    <n v="1651949.568"/>
    <x v="0"/>
    <x v="0"/>
  </r>
  <r>
    <x v="4"/>
    <x v="0"/>
    <x v="0"/>
    <x v="1"/>
    <s v="315012051236-M"/>
    <m/>
    <m/>
    <n v="17600.8"/>
    <x v="74"/>
    <n v="110285"/>
    <x v="33"/>
    <x v="85"/>
    <x v="2"/>
    <x v="1"/>
    <n v="45296880"/>
    <x v="0"/>
    <x v="16"/>
    <x v="10"/>
    <d v="2021-01-06T00:00:00"/>
    <x v="125"/>
    <x v="0"/>
    <s v="1月"/>
    <x v="4"/>
    <s v="no mismatch"/>
    <s v="no mismatch"/>
    <n v="14852.995780590716"/>
    <n v="0"/>
    <n v="0"/>
    <n v="3478800.3839999996"/>
    <x v="0"/>
    <x v="0"/>
  </r>
  <r>
    <x v="4"/>
    <x v="0"/>
    <x v="0"/>
    <x v="2"/>
    <s v="LM852168100"/>
    <m/>
    <m/>
    <n v="3160.9"/>
    <x v="75"/>
    <n v="110168"/>
    <x v="42"/>
    <x v="108"/>
    <x v="1"/>
    <x v="5"/>
    <n v="16543521"/>
    <x v="0"/>
    <x v="16"/>
    <x v="10"/>
    <d v="2021-01-26T00:00:00"/>
    <x v="126"/>
    <x v="0"/>
    <s v="1月"/>
    <x v="1"/>
    <n v="6.4000000000000001E-2"/>
    <n v="7.4899999999999994E-2"/>
    <n v="2667.4261603375526"/>
    <n v="0"/>
    <n v="0"/>
    <n v="1270542.4127999998"/>
    <x v="0"/>
    <x v="0"/>
  </r>
  <r>
    <x v="4"/>
    <x v="0"/>
    <x v="0"/>
    <x v="2"/>
    <s v="DC TST117479"/>
    <n v="1705.31"/>
    <n v="66738"/>
    <n v="3160.9"/>
    <x v="76"/>
    <n v="110170"/>
    <x v="42"/>
    <x v="108"/>
    <x v="1"/>
    <x v="5"/>
    <n v="15324120"/>
    <x v="0"/>
    <x v="16"/>
    <x v="10"/>
    <d v="2021-01-26T00:00:00"/>
    <x v="126"/>
    <x v="0"/>
    <s v="1月"/>
    <x v="4"/>
    <n v="6.3600000000000004E-2"/>
    <n v="7.4999999999999997E-2"/>
    <n v="2667.4261603375526"/>
    <n v="1439.0801687763712"/>
    <n v="5125.4784"/>
    <n v="1176892.416"/>
    <x v="0"/>
    <x v="0"/>
  </r>
  <r>
    <x v="4"/>
    <x v="1"/>
    <x v="1"/>
    <x v="2"/>
    <s v="315012050736-M"/>
    <m/>
    <m/>
    <n v="7413.1"/>
    <x v="77"/>
    <n v="110195"/>
    <x v="43"/>
    <x v="109"/>
    <x v="15"/>
    <x v="5"/>
    <n v="8530611"/>
    <x v="0"/>
    <x v="16"/>
    <x v="10"/>
    <d v="2021-01-15T00:00:00"/>
    <x v="127"/>
    <x v="0"/>
    <s v="1月"/>
    <x v="5"/>
    <n v="6.3100000000000003E-2"/>
    <n v="7.4200000000000002E-2"/>
    <n v="6255.7805907172997"/>
    <n v="0"/>
    <n v="0"/>
    <n v="655150.92479999992"/>
    <x v="0"/>
    <x v="0"/>
  </r>
  <r>
    <x v="4"/>
    <x v="0"/>
    <x v="0"/>
    <x v="2"/>
    <s v="315012050763-M"/>
    <m/>
    <m/>
    <n v="8627.1"/>
    <x v="78"/>
    <n v="110105"/>
    <x v="41"/>
    <x v="110"/>
    <x v="14"/>
    <x v="0"/>
    <n v="50240760"/>
    <x v="0"/>
    <x v="16"/>
    <x v="10"/>
    <d v="2021-01-16T00:00:00"/>
    <x v="128"/>
    <x v="0"/>
    <s v="1月"/>
    <x v="4"/>
    <s v="no mismatch"/>
    <s v="no mismatch"/>
    <n v="7280.2531645569616"/>
    <n v="0"/>
    <n v="0"/>
    <n v="3858490.3679999998"/>
    <x v="0"/>
    <x v="0"/>
  </r>
  <r>
    <x v="4"/>
    <x v="0"/>
    <x v="0"/>
    <x v="2"/>
    <s v="DC TST117482"/>
    <n v="5066.34"/>
    <n v="86745"/>
    <n v="5981.6"/>
    <x v="79"/>
    <n v="110106"/>
    <x v="41"/>
    <x v="110"/>
    <x v="14"/>
    <x v="2"/>
    <n v="25557540"/>
    <x v="0"/>
    <x v="16"/>
    <x v="10"/>
    <d v="2021-01-17T00:00:00"/>
    <x v="129"/>
    <x v="0"/>
    <s v="1月"/>
    <x v="4"/>
    <s v="no mismatch"/>
    <s v="no mismatch"/>
    <n v="5047.7637130801686"/>
    <n v="4275.3924050632913"/>
    <n v="6662.0159999999996"/>
    <n v="1962819.0719999999"/>
    <x v="0"/>
    <x v="0"/>
  </r>
  <r>
    <x v="4"/>
    <x v="0"/>
    <x v="0"/>
    <x v="2"/>
    <s v="DC TST117482"/>
    <n v="0"/>
    <n v="0"/>
    <n v="0"/>
    <x v="79"/>
    <n v="110208"/>
    <x v="41"/>
    <x v="110"/>
    <x v="14"/>
    <x v="5"/>
    <n v="12713970"/>
    <x v="0"/>
    <x v="16"/>
    <x v="10"/>
    <d v="2021-01-17T00:00:00"/>
    <x v="129"/>
    <x v="0"/>
    <s v="1月"/>
    <x v="1"/>
    <n v="6.3799999999999996E-2"/>
    <n v="7.46E-2"/>
    <n v="0"/>
    <n v="0"/>
    <n v="0"/>
    <n v="976432.89599999995"/>
    <x v="0"/>
    <x v="0"/>
  </r>
  <r>
    <x v="4"/>
    <x v="0"/>
    <x v="0"/>
    <x v="2"/>
    <s v="DC TST117482"/>
    <n v="0"/>
    <n v="0"/>
    <n v="0"/>
    <x v="79"/>
    <n v="110215"/>
    <x v="41"/>
    <x v="110"/>
    <x v="14"/>
    <x v="5"/>
    <n v="12814770"/>
    <x v="0"/>
    <x v="16"/>
    <x v="10"/>
    <d v="2021-01-17T00:00:00"/>
    <x v="129"/>
    <x v="0"/>
    <s v="1月"/>
    <x v="1"/>
    <n v="6.3500000000000001E-2"/>
    <n v="7.4200000000000002E-2"/>
    <n v="0"/>
    <n v="0"/>
    <n v="0"/>
    <n v="984174.33599999989"/>
    <x v="0"/>
    <x v="0"/>
  </r>
  <r>
    <x v="4"/>
    <x v="0"/>
    <x v="0"/>
    <x v="2"/>
    <s v="315012050745-M"/>
    <m/>
    <m/>
    <n v="5981.6"/>
    <x v="80"/>
    <n v="110198"/>
    <x v="41"/>
    <x v="107"/>
    <x v="14"/>
    <x v="5"/>
    <n v="9409170"/>
    <x v="0"/>
    <x v="16"/>
    <x v="10"/>
    <d v="2021-01-17T00:00:00"/>
    <x v="129"/>
    <x v="0"/>
    <s v="1月"/>
    <x v="4"/>
    <s v="no mismatch"/>
    <s v="no mismatch"/>
    <n v="5047.7637130801686"/>
    <n v="0"/>
    <n v="0"/>
    <n v="722624.25599999994"/>
    <x v="0"/>
    <x v="0"/>
  </r>
  <r>
    <x v="4"/>
    <x v="0"/>
    <x v="0"/>
    <x v="1"/>
    <s v="DC TST17485"/>
    <n v="3047.84"/>
    <n v="109857"/>
    <n v="8327.1"/>
    <x v="81"/>
    <n v="110199"/>
    <x v="40"/>
    <x v="85"/>
    <x v="2"/>
    <x v="3"/>
    <n v="35390400"/>
    <x v="0"/>
    <x v="16"/>
    <x v="10"/>
    <d v="2021-01-25T00:00:00"/>
    <x v="126"/>
    <x v="0"/>
    <s v="1月"/>
    <x v="4"/>
    <s v="no mismatch"/>
    <s v="no mismatch"/>
    <n v="7027.0886075949365"/>
    <n v="2572.0168776371306"/>
    <n v="8437.0175999999992"/>
    <n v="2717982.7199999997"/>
    <x v="0"/>
    <x v="0"/>
  </r>
  <r>
    <x v="4"/>
    <x v="0"/>
    <x v="0"/>
    <x v="1"/>
    <s v="DC TST555813"/>
    <n v="1832.4"/>
    <n v="49782"/>
    <n v="3927.3"/>
    <x v="82"/>
    <n v="110123"/>
    <x v="40"/>
    <x v="85"/>
    <x v="14"/>
    <x v="5"/>
    <n v="9409170"/>
    <x v="0"/>
    <x v="16"/>
    <x v="10"/>
    <d v="2021-01-25T00:00:00"/>
    <x v="130"/>
    <x v="0"/>
    <s v="1月"/>
    <x v="4"/>
    <s v="no mismatch"/>
    <s v="no mismatch"/>
    <n v="3314.1772151898736"/>
    <n v="1546.3291139240507"/>
    <n v="3823.2575999999995"/>
    <n v="722624.25599999994"/>
    <x v="0"/>
    <x v="0"/>
  </r>
  <r>
    <x v="4"/>
    <x v="0"/>
    <x v="0"/>
    <x v="2"/>
    <s v="LM851388100"/>
    <m/>
    <m/>
    <n v="11343.2"/>
    <x v="83"/>
    <n v="110107"/>
    <x v="41"/>
    <x v="107"/>
    <x v="14"/>
    <x v="2"/>
    <n v="22930260"/>
    <x v="0"/>
    <x v="16"/>
    <x v="10"/>
    <d v="2021-01-31T00:00:00"/>
    <x v="126"/>
    <x v="0"/>
    <s v="1月"/>
    <x v="4"/>
    <s v="no mismatch"/>
    <s v="no mismatch"/>
    <n v="9572.3206751054859"/>
    <n v="0"/>
    <n v="0"/>
    <n v="1761043.9679999999"/>
    <x v="0"/>
    <x v="0"/>
  </r>
  <r>
    <x v="4"/>
    <x v="0"/>
    <x v="0"/>
    <x v="2"/>
    <s v="LM851388100"/>
    <m/>
    <m/>
    <n v="0"/>
    <x v="83"/>
    <n v="110209"/>
    <x v="41"/>
    <x v="107"/>
    <x v="14"/>
    <x v="2"/>
    <n v="22934820"/>
    <x v="0"/>
    <x v="16"/>
    <x v="10"/>
    <d v="2021-01-31T00:00:00"/>
    <x v="126"/>
    <x v="0"/>
    <s v="1月"/>
    <x v="1"/>
    <n v="6.3799999999999996E-2"/>
    <n v="7.46E-2"/>
    <n v="0"/>
    <n v="0"/>
    <n v="0"/>
    <n v="1761394.1759999997"/>
    <x v="0"/>
    <x v="0"/>
  </r>
  <r>
    <x v="4"/>
    <x v="0"/>
    <x v="0"/>
    <x v="2"/>
    <s v="315012051129-M"/>
    <m/>
    <m/>
    <n v="10986.2"/>
    <x v="84"/>
    <n v="110096"/>
    <x v="38"/>
    <x v="105"/>
    <x v="2"/>
    <x v="0"/>
    <n v="32078660"/>
    <x v="0"/>
    <x v="16"/>
    <x v="10"/>
    <d v="2021-01-25T00:00:00"/>
    <x v="130"/>
    <x v="0"/>
    <s v="1月"/>
    <x v="4"/>
    <s v="no mismatch"/>
    <s v="no mismatch"/>
    <n v="9271.0548523206744"/>
    <n v="0"/>
    <n v="0"/>
    <n v="2463641.088"/>
    <x v="0"/>
    <x v="0"/>
  </r>
  <r>
    <x v="4"/>
    <x v="0"/>
    <x v="0"/>
    <x v="2"/>
    <s v="315012051129-M"/>
    <m/>
    <m/>
    <n v="0"/>
    <x v="84"/>
    <n v="110241"/>
    <x v="38"/>
    <x v="105"/>
    <x v="2"/>
    <x v="5"/>
    <n v="7703940"/>
    <x v="0"/>
    <x v="16"/>
    <x v="10"/>
    <d v="2021-01-25T00:00:00"/>
    <x v="130"/>
    <x v="0"/>
    <s v="1月"/>
    <x v="4"/>
    <n v="6.3100000000000003E-2"/>
    <n v="7.4200000000000002E-2"/>
    <n v="0"/>
    <n v="0"/>
    <n v="0"/>
    <n v="591662.59199999995"/>
    <x v="0"/>
    <x v="0"/>
  </r>
  <r>
    <x v="4"/>
    <x v="0"/>
    <x v="0"/>
    <x v="1"/>
    <s v="LM851598100"/>
    <m/>
    <m/>
    <n v="3927.3"/>
    <x v="85"/>
    <n v="110201"/>
    <x v="33"/>
    <x v="85"/>
    <x v="2"/>
    <x v="5"/>
    <n v="5377440"/>
    <x v="0"/>
    <x v="16"/>
    <x v="10"/>
    <d v="2021-01-25T00:00:00"/>
    <x v="130"/>
    <x v="0"/>
    <s v="1月"/>
    <x v="4"/>
    <s v="no mismatch"/>
    <s v="no mismatch"/>
    <n v="3314.1772151898736"/>
    <n v="0"/>
    <n v="0"/>
    <n v="412987.39199999999"/>
    <x v="0"/>
    <x v="0"/>
  </r>
  <r>
    <x v="4"/>
    <x v="0"/>
    <x v="0"/>
    <x v="2"/>
    <s v="LM853008100"/>
    <m/>
    <m/>
    <n v="5701.8"/>
    <x v="86"/>
    <n v="110230"/>
    <x v="38"/>
    <x v="105"/>
    <x v="2"/>
    <x v="2"/>
    <n v="19428920"/>
    <x v="0"/>
    <x v="13"/>
    <x v="11"/>
    <d v="2021-02-07T00:00:00"/>
    <x v="131"/>
    <x v="0"/>
    <s v="3月"/>
    <x v="4"/>
    <n v="6.4000000000000001E-2"/>
    <n v="7.392E-2"/>
    <n v="4751.5"/>
    <n v="0"/>
    <n v="0"/>
    <n v="1470769.2440000002"/>
    <x v="0"/>
    <x v="0"/>
  </r>
  <r>
    <x v="4"/>
    <x v="0"/>
    <x v="0"/>
    <x v="1"/>
    <s v="LM852038100"/>
    <m/>
    <m/>
    <n v="10941.58"/>
    <x v="87"/>
    <n v="110235"/>
    <x v="40"/>
    <x v="85"/>
    <x v="14"/>
    <x v="4"/>
    <n v="28227510"/>
    <x v="0"/>
    <x v="0"/>
    <x v="0"/>
    <d v="2021-02-07T00:00:00"/>
    <x v="132"/>
    <x v="0"/>
    <s v="2月"/>
    <x v="4"/>
    <n v="6.3100000000000003E-2"/>
    <n v="7.4200000000000002E-2"/>
    <e v="#DIV/0!"/>
    <e v="#DIV/0!"/>
    <n v="0"/>
    <n v="0"/>
    <x v="0"/>
    <x v="0"/>
  </r>
  <r>
    <x v="4"/>
    <x v="0"/>
    <x v="0"/>
    <x v="1"/>
    <s v="LM852038100"/>
    <m/>
    <m/>
    <n v="0"/>
    <x v="87"/>
    <n v="110242"/>
    <x v="40"/>
    <x v="85"/>
    <x v="14"/>
    <x v="5"/>
    <n v="9409170"/>
    <x v="0"/>
    <x v="0"/>
    <x v="0"/>
    <d v="2021-02-07T00:00:00"/>
    <x v="132"/>
    <x v="0"/>
    <s v="2月"/>
    <x v="4"/>
    <s v="no mismatch"/>
    <s v="no mismatch"/>
    <e v="#DIV/0!"/>
    <e v="#DIV/0!"/>
    <n v="0"/>
    <n v="0"/>
    <x v="0"/>
    <x v="0"/>
  </r>
  <r>
    <x v="4"/>
    <x v="0"/>
    <x v="0"/>
    <x v="1"/>
    <s v="DC TST117493"/>
    <n v="400"/>
    <n v="141639"/>
    <n v="10941.58"/>
    <x v="88"/>
    <n v="110133"/>
    <x v="40"/>
    <x v="85"/>
    <x v="14"/>
    <x v="3"/>
    <n v="50672850"/>
    <x v="0"/>
    <x v="13"/>
    <x v="11"/>
    <d v="2021-02-07T00:00:00"/>
    <x v="133"/>
    <x v="0"/>
    <s v="2月"/>
    <x v="4"/>
    <s v="no mismatch"/>
    <s v="no mismatch"/>
    <n v="9117.9833333333336"/>
    <n v="333.33333333333337"/>
    <n v="10722.0723"/>
    <n v="3835934.7450000001"/>
    <x v="0"/>
    <x v="0"/>
  </r>
  <r>
    <x v="4"/>
    <x v="0"/>
    <x v="0"/>
    <x v="1"/>
    <s v="315012051833-M"/>
    <m/>
    <m/>
    <n v="10941.58"/>
    <x v="89"/>
    <n v="110132"/>
    <x v="40"/>
    <x v="85"/>
    <x v="14"/>
    <x v="0"/>
    <n v="52912440"/>
    <x v="0"/>
    <x v="13"/>
    <x v="11"/>
    <d v="2021-02-07T00:00:00"/>
    <x v="132"/>
    <x v="0"/>
    <s v="2月"/>
    <x v="4"/>
    <s v="no mismatch"/>
    <s v="no mismatch"/>
    <n v="9117.9833333333336"/>
    <n v="0"/>
    <n v="0"/>
    <n v="4005471.7080000001"/>
    <x v="0"/>
    <x v="0"/>
  </r>
  <r>
    <x v="4"/>
    <x v="0"/>
    <x v="0"/>
    <x v="1"/>
    <s v="LM852048100"/>
    <m/>
    <m/>
    <n v="10941.58"/>
    <x v="90"/>
    <n v="110130"/>
    <x v="40"/>
    <x v="85"/>
    <x v="2"/>
    <x v="3"/>
    <n v="35325825"/>
    <x v="0"/>
    <x v="13"/>
    <x v="11"/>
    <d v="2021-02-07T00:00:00"/>
    <x v="132"/>
    <x v="0"/>
    <s v="2月"/>
    <x v="4"/>
    <s v="no mismatch"/>
    <s v="no mismatch"/>
    <n v="9117.9833333333336"/>
    <n v="0"/>
    <n v="0"/>
    <n v="2674164.9525000001"/>
    <x v="0"/>
    <x v="0"/>
  </r>
  <r>
    <x v="4"/>
    <x v="0"/>
    <x v="0"/>
    <x v="1"/>
    <s v="315012052805-M"/>
    <m/>
    <m/>
    <n v="11075.45"/>
    <x v="91"/>
    <n v="110131"/>
    <x v="40"/>
    <x v="85"/>
    <x v="2"/>
    <x v="3"/>
    <n v="30501825"/>
    <x v="0"/>
    <x v="0"/>
    <x v="0"/>
    <d v="2021-02-25T00:00:00"/>
    <x v="134"/>
    <x v="0"/>
    <s v="2月"/>
    <x v="4"/>
    <s v="no mismatch"/>
    <s v="no mismatch"/>
    <e v="#DIV/0!"/>
    <e v="#DIV/0!"/>
    <n v="0"/>
    <n v="0"/>
    <x v="0"/>
    <x v="0"/>
  </r>
  <r>
    <x v="4"/>
    <x v="0"/>
    <x v="0"/>
    <x v="1"/>
    <s v="DC TST117496"/>
    <n v="2895.61"/>
    <n v="104782"/>
    <n v="11343.2"/>
    <x v="92"/>
    <n v="110150"/>
    <x v="39"/>
    <x v="85"/>
    <x v="2"/>
    <x v="3"/>
    <n v="32219025"/>
    <x v="0"/>
    <x v="13"/>
    <x v="11"/>
    <d v="2021-02-28T00:00:00"/>
    <x v="135"/>
    <x v="0"/>
    <s v="2月"/>
    <x v="4"/>
    <s v="no mismatch"/>
    <s v="no mismatch"/>
    <n v="9452.6666666666679"/>
    <n v="2413.0083333333337"/>
    <n v="7931.9974000000002"/>
    <n v="2438980.1924999999"/>
    <x v="0"/>
    <x v="0"/>
  </r>
  <r>
    <x v="4"/>
    <x v="0"/>
    <x v="0"/>
    <x v="1"/>
    <s v="LM852858100"/>
    <m/>
    <m/>
    <n v="10986.2"/>
    <x v="93"/>
    <n v="110172"/>
    <x v="44"/>
    <x v="111"/>
    <x v="2"/>
    <x v="4"/>
    <n v="20480895"/>
    <x v="0"/>
    <x v="13"/>
    <x v="11"/>
    <d v="2021-03-01T00:00:00"/>
    <x v="136"/>
    <x v="0"/>
    <s v="2月"/>
    <x v="4"/>
    <s v="no mismatch"/>
    <s v="no mismatch"/>
    <n v="9155.1666666666679"/>
    <n v="0"/>
    <n v="0"/>
    <n v="1550403.7515"/>
    <x v="0"/>
    <x v="0"/>
  </r>
  <r>
    <x v="4"/>
    <x v="0"/>
    <x v="0"/>
    <x v="1"/>
    <s v="LM852858100"/>
    <m/>
    <m/>
    <n v="0"/>
    <x v="93"/>
    <n v="110275"/>
    <x v="44"/>
    <x v="111"/>
    <x v="2"/>
    <x v="2"/>
    <n v="14380530"/>
    <x v="0"/>
    <x v="13"/>
    <x v="11"/>
    <d v="2021-03-01T00:00:00"/>
    <x v="136"/>
    <x v="0"/>
    <s v="2月"/>
    <x v="4"/>
    <n v="6.3E-2"/>
    <n v="7.4999999999999997E-2"/>
    <n v="0"/>
    <n v="0"/>
    <n v="0"/>
    <n v="1088606.121"/>
    <x v="0"/>
    <x v="0"/>
  </r>
  <r>
    <x v="4"/>
    <x v="0"/>
    <x v="0"/>
    <x v="1"/>
    <s v="LM852698100"/>
    <m/>
    <m/>
    <n v="10986.2"/>
    <x v="94"/>
    <n v="110173"/>
    <x v="44"/>
    <x v="111"/>
    <x v="2"/>
    <x v="3"/>
    <n v="34735425"/>
    <x v="0"/>
    <x v="13"/>
    <x v="11"/>
    <d v="2021-03-01T00:00:00"/>
    <x v="136"/>
    <x v="0"/>
    <s v="2月"/>
    <x v="4"/>
    <s v="no mismatch"/>
    <s v="no mismatch"/>
    <n v="9155.1666666666679"/>
    <n v="0"/>
    <n v="0"/>
    <n v="2629471.6725000003"/>
    <x v="0"/>
    <x v="0"/>
  </r>
  <r>
    <x v="4"/>
    <x v="0"/>
    <x v="0"/>
    <x v="2"/>
    <s v="DC TST117498"/>
    <n v="3999.24"/>
    <n v="155942"/>
    <n v="10986.2"/>
    <x v="95"/>
    <n v="110287"/>
    <x v="45"/>
    <x v="112"/>
    <x v="14"/>
    <x v="2"/>
    <n v="36239220"/>
    <x v="0"/>
    <x v="13"/>
    <x v="11"/>
    <d v="2021-03-01T00:00:00"/>
    <x v="136"/>
    <x v="0"/>
    <s v="2月"/>
    <x v="4"/>
    <s v="no mismatch"/>
    <s v="no mismatch"/>
    <n v="9155.1666666666679"/>
    <n v="3332.7"/>
    <n v="11804.8094"/>
    <n v="2743308.9539999999"/>
    <x v="1"/>
    <x v="0"/>
  </r>
  <r>
    <x v="4"/>
    <x v="0"/>
    <x v="0"/>
    <x v="2"/>
    <s v="DC TST117498"/>
    <n v="0"/>
    <n v="0"/>
    <n v="0"/>
    <x v="95"/>
    <n v="110276"/>
    <x v="45"/>
    <x v="112"/>
    <x v="14"/>
    <x v="2"/>
    <n v="24043860"/>
    <x v="0"/>
    <x v="13"/>
    <x v="11"/>
    <d v="2021-03-01T00:00:00"/>
    <x v="136"/>
    <x v="0"/>
    <s v="2月"/>
    <x v="4"/>
    <n v="6.3E-2"/>
    <n v="7.4999999999999997E-2"/>
    <n v="0"/>
    <n v="0"/>
    <n v="0"/>
    <n v="1820120.202"/>
    <x v="1"/>
    <x v="0"/>
  </r>
  <r>
    <x v="4"/>
    <x v="0"/>
    <x v="0"/>
    <x v="1"/>
    <s v="DC TST117497"/>
    <n v="3925.98"/>
    <n v="149934"/>
    <n v="11075.45"/>
    <x v="96"/>
    <n v="110174"/>
    <x v="44"/>
    <x v="111"/>
    <x v="14"/>
    <x v="3"/>
    <n v="56836050"/>
    <x v="0"/>
    <x v="0"/>
    <x v="0"/>
    <d v="2021-02-03T00:00:00"/>
    <x v="132"/>
    <x v="0"/>
    <s v="2月"/>
    <x v="4"/>
    <s v="no mismatch"/>
    <s v="no mismatch"/>
    <e v="#DIV/0!"/>
    <e v="#DIV/0!"/>
    <n v="0"/>
    <n v="0"/>
    <x v="0"/>
    <x v="0"/>
  </r>
  <r>
    <x v="4"/>
    <x v="0"/>
    <x v="0"/>
    <x v="1"/>
    <s v="LM852778100"/>
    <m/>
    <m/>
    <n v="11075.45"/>
    <x v="97"/>
    <n v="110175"/>
    <x v="44"/>
    <x v="111"/>
    <x v="14"/>
    <x v="3"/>
    <n v="56836050"/>
    <x v="0"/>
    <x v="0"/>
    <x v="0"/>
    <d v="2021-02-25T00:00:00"/>
    <x v="137"/>
    <x v="0"/>
    <s v="2月"/>
    <x v="4"/>
    <s v="no mismatch"/>
    <s v="no mismatch"/>
    <e v="#DIV/0!"/>
    <e v="#DIV/0!"/>
    <n v="0"/>
    <n v="0"/>
    <x v="0"/>
    <x v="0"/>
  </r>
  <r>
    <x v="4"/>
    <x v="0"/>
    <x v="0"/>
    <x v="2"/>
    <s v="315012052823-M"/>
    <m/>
    <m/>
    <n v="11075.45"/>
    <x v="98"/>
    <n v="110210"/>
    <x v="45"/>
    <x v="112"/>
    <x v="2"/>
    <x v="0"/>
    <n v="26203260"/>
    <x v="0"/>
    <x v="0"/>
    <x v="0"/>
    <d v="2021-02-20T00:00:00"/>
    <x v="138"/>
    <x v="0"/>
    <s v="2月"/>
    <x v="4"/>
    <s v="no mismatch"/>
    <s v="no mismatch"/>
    <e v="#DIV/0!"/>
    <e v="#DIV/0!"/>
    <n v="0"/>
    <n v="0"/>
    <x v="1"/>
    <x v="0"/>
  </r>
  <r>
    <x v="4"/>
    <x v="0"/>
    <x v="0"/>
    <x v="1"/>
    <s v="315012053412-M"/>
    <m/>
    <m/>
    <n v="8427.1"/>
    <x v="99"/>
    <n v="110176"/>
    <x v="44"/>
    <x v="111"/>
    <x v="14"/>
    <x v="3"/>
    <n v="56778450"/>
    <x v="0"/>
    <x v="0"/>
    <x v="0"/>
    <d v="2021-03-04T00:00:00"/>
    <x v="139"/>
    <x v="0"/>
    <s v="3月"/>
    <x v="4"/>
    <s v="no mismatch"/>
    <s v="no mismatch"/>
    <e v="#DIV/0!"/>
    <e v="#DIV/0!"/>
    <n v="0"/>
    <n v="0"/>
    <x v="0"/>
    <x v="0"/>
  </r>
  <r>
    <x v="4"/>
    <x v="0"/>
    <x v="0"/>
    <x v="1"/>
    <s v="DC TST117499"/>
    <n v="3148.41"/>
    <n v="45502"/>
    <n v="8605.0499999999993"/>
    <x v="100"/>
    <n v="110151"/>
    <x v="39"/>
    <x v="85"/>
    <x v="2"/>
    <x v="4"/>
    <n v="23453595"/>
    <x v="0"/>
    <x v="0"/>
    <x v="0"/>
    <d v="2021-03-04T00:00:00"/>
    <x v="139"/>
    <x v="0"/>
    <s v="3月"/>
    <x v="4"/>
    <s v="no mismatch"/>
    <s v="no mismatch"/>
    <e v="#DIV/0!"/>
    <e v="#DIV/0!"/>
    <n v="0"/>
    <n v="0"/>
    <x v="0"/>
    <x v="0"/>
  </r>
  <r>
    <x v="4"/>
    <x v="0"/>
    <x v="0"/>
    <x v="1"/>
    <s v="DC TST117499"/>
    <n v="0"/>
    <n v="0"/>
    <n v="0"/>
    <x v="100"/>
    <n v="110270"/>
    <x v="39"/>
    <x v="85"/>
    <x v="2"/>
    <x v="2"/>
    <n v="14799930"/>
    <x v="0"/>
    <x v="0"/>
    <x v="0"/>
    <d v="2021-03-04T00:00:00"/>
    <x v="139"/>
    <x v="0"/>
    <s v="3月"/>
    <x v="4"/>
    <n v="6.3200000000000006E-2"/>
    <n v="7.5200000000000003E-2"/>
    <e v="#DIV/0!"/>
    <e v="#DIV/0!"/>
    <n v="0"/>
    <e v="#REF!"/>
    <x v="0"/>
    <x v="0"/>
  </r>
  <r>
    <x v="4"/>
    <x v="0"/>
    <x v="0"/>
    <x v="2"/>
    <s v="315012053831-M"/>
    <m/>
    <m/>
    <n v="8605.0499999999993"/>
    <x v="101"/>
    <n v="110237"/>
    <x v="46"/>
    <x v="113"/>
    <x v="2"/>
    <x v="3"/>
    <n v="35422125"/>
    <x v="0"/>
    <x v="0"/>
    <x v="0"/>
    <d v="2021-03-04T00:00:00"/>
    <x v="139"/>
    <x v="0"/>
    <s v="3月"/>
    <x v="4"/>
    <s v="no mismatch"/>
    <s v="no mismatch"/>
    <e v="#DIV/0!"/>
    <e v="#DIV/0!"/>
    <n v="0"/>
    <n v="0"/>
    <x v="0"/>
    <x v="0"/>
  </r>
  <r>
    <x v="4"/>
    <x v="0"/>
    <x v="1"/>
    <x v="1"/>
    <s v="LM852638100"/>
    <n v="1100"/>
    <m/>
    <n v="3110.9"/>
    <x v="102"/>
    <n v="110251"/>
    <x v="47"/>
    <x v="85"/>
    <x v="2"/>
    <x v="5"/>
    <n v="5750520"/>
    <x v="0"/>
    <x v="0"/>
    <x v="0"/>
    <d v="2021-03-04T00:00:00"/>
    <x v="139"/>
    <x v="0"/>
    <s v="3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LM853548100"/>
    <m/>
    <m/>
    <n v="3110.9"/>
    <x v="103"/>
    <n v="110328"/>
    <x v="39"/>
    <x v="85"/>
    <x v="14"/>
    <x v="5"/>
    <n v="9670170"/>
    <x v="0"/>
    <x v="0"/>
    <x v="0"/>
    <d v="2021-03-04T00:00:00"/>
    <x v="139"/>
    <x v="0"/>
    <s v="3月"/>
    <x v="4"/>
    <s v="no mismatch"/>
    <s v="no mismatch"/>
    <e v="#DIV/0!"/>
    <e v="#DIV/0!"/>
    <n v="0"/>
    <n v="0"/>
    <x v="2"/>
    <x v="0"/>
  </r>
  <r>
    <x v="4"/>
    <x v="0"/>
    <x v="0"/>
    <x v="1"/>
    <s v="DC TST119392"/>
    <n v="1664.65"/>
    <n v="40692"/>
    <n v="6397"/>
    <x v="104"/>
    <n v="110297"/>
    <x v="48"/>
    <x v="85"/>
    <x v="2"/>
    <x v="5"/>
    <n v="5901915"/>
    <x v="0"/>
    <x v="0"/>
    <x v="0"/>
    <d v="2021-03-13T00:00:00"/>
    <x v="140"/>
    <x v="0"/>
    <s v="3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LM853618100"/>
    <m/>
    <m/>
    <n v="10230"/>
    <x v="105"/>
    <n v="110152"/>
    <x v="39"/>
    <x v="85"/>
    <x v="14"/>
    <x v="0"/>
    <n v="40168380"/>
    <x v="0"/>
    <x v="0"/>
    <x v="0"/>
    <d v="2021-03-26T00:00:00"/>
    <x v="141"/>
    <x v="0"/>
    <s v="3月"/>
    <x v="4"/>
    <s v="no mismatch"/>
    <s v="no mismatch"/>
    <e v="#DIV/0!"/>
    <e v="#DIV/0!"/>
    <n v="0"/>
    <n v="0"/>
    <x v="2"/>
    <x v="0"/>
  </r>
  <r>
    <x v="4"/>
    <x v="0"/>
    <x v="0"/>
    <x v="1"/>
    <s v="315012056598-M"/>
    <m/>
    <m/>
    <n v="19560"/>
    <x v="106"/>
    <n v="110238"/>
    <x v="46"/>
    <x v="85"/>
    <x v="2"/>
    <x v="8"/>
    <n v="57272250"/>
    <x v="0"/>
    <x v="0"/>
    <x v="0"/>
    <d v="2021-03-26T00:00:00"/>
    <x v="141"/>
    <x v="0"/>
    <s v="3月"/>
    <x v="4"/>
    <s v="no mismatch"/>
    <s v="no mismatch"/>
    <e v="#DIV/0!"/>
    <e v="#DIV/0!"/>
    <n v="0"/>
    <n v="0"/>
    <x v="3"/>
    <x v="0"/>
  </r>
  <r>
    <x v="4"/>
    <x v="0"/>
    <x v="0"/>
    <x v="1"/>
    <s v="DC TST117503"/>
    <n v="4268.55"/>
    <n v="116476"/>
    <n v="17600.8"/>
    <x v="107"/>
    <n v="110212"/>
    <x v="45"/>
    <x v="85"/>
    <x v="14"/>
    <x v="6"/>
    <n v="74394720"/>
    <x v="0"/>
    <x v="0"/>
    <x v="0"/>
    <d v="2021-03-29T00:00:00"/>
    <x v="142"/>
    <x v="0"/>
    <s v="3月"/>
    <x v="4"/>
    <s v="no mismatch"/>
    <s v="no mismatch"/>
    <e v="#DIV/0!"/>
    <e v="#DIV/0!"/>
    <n v="0"/>
    <n v="0"/>
    <x v="4"/>
    <x v="0"/>
  </r>
  <r>
    <x v="4"/>
    <x v="0"/>
    <x v="0"/>
    <x v="1"/>
    <s v="315012055991-M"/>
    <m/>
    <m/>
    <n v="17065.3"/>
    <x v="108"/>
    <n v="110153"/>
    <x v="39"/>
    <x v="85"/>
    <x v="14"/>
    <x v="3"/>
    <n v="70242450"/>
    <x v="0"/>
    <x v="0"/>
    <x v="0"/>
    <d v="2021-03-29T00:00:00"/>
    <x v="141"/>
    <x v="0"/>
    <s v="3月"/>
    <x v="4"/>
    <s v="no mismatch"/>
    <s v="no mismatch"/>
    <e v="#DIV/0!"/>
    <e v="#DIV/0!"/>
    <n v="0"/>
    <n v="0"/>
    <x v="0"/>
    <x v="0"/>
  </r>
  <r>
    <x v="4"/>
    <x v="0"/>
    <x v="0"/>
    <x v="1"/>
    <s v="LM854958100"/>
    <m/>
    <m/>
    <n v="10230"/>
    <x v="109"/>
    <n v="110347"/>
    <x v="45"/>
    <x v="85"/>
    <x v="2"/>
    <x v="5"/>
    <n v="6061965"/>
    <x v="0"/>
    <x v="0"/>
    <x v="0"/>
    <d v="2021-04-01T00:00:00"/>
    <x v="143"/>
    <x v="0"/>
    <s v="3月"/>
    <x v="4"/>
    <s v="no mismatch"/>
    <s v="no mismatch"/>
    <e v="#DIV/0!"/>
    <e v="#DIV/0!"/>
    <n v="0"/>
    <n v="0"/>
    <x v="5"/>
    <x v="0"/>
  </r>
  <r>
    <x v="4"/>
    <x v="0"/>
    <x v="0"/>
    <x v="1"/>
    <s v="LM854958100"/>
    <m/>
    <m/>
    <n v="0"/>
    <x v="109"/>
    <n v="110339"/>
    <x v="45"/>
    <x v="85"/>
    <x v="2"/>
    <x v="2"/>
    <n v="10789530"/>
    <x v="0"/>
    <x v="0"/>
    <x v="0"/>
    <d v="2021-04-01T00:00:00"/>
    <x v="143"/>
    <x v="0"/>
    <s v="3月"/>
    <x v="4"/>
    <n v="6.2300000000000001E-2"/>
    <n v="7.4800000000000005E-2"/>
    <e v="#DIV/0!"/>
    <e v="#DIV/0!"/>
    <n v="0"/>
    <n v="0"/>
    <x v="5"/>
    <x v="0"/>
  </r>
  <r>
    <x v="4"/>
    <x v="0"/>
    <x v="0"/>
    <x v="1"/>
    <s v="LM854958100"/>
    <m/>
    <m/>
    <n v="0"/>
    <x v="109"/>
    <n v="110337"/>
    <x v="45"/>
    <x v="85"/>
    <x v="2"/>
    <x v="2"/>
    <n v="10789530"/>
    <x v="0"/>
    <x v="0"/>
    <x v="0"/>
    <d v="2021-04-01T00:00:00"/>
    <x v="143"/>
    <x v="0"/>
    <s v="3月"/>
    <x v="4"/>
    <n v="6.2300000000000001E-2"/>
    <n v="7.4800000000000005E-2"/>
    <e v="#DIV/0!"/>
    <e v="#DIV/0!"/>
    <n v="0"/>
    <n v="0"/>
    <x v="5"/>
    <x v="0"/>
  </r>
  <r>
    <x v="4"/>
    <x v="0"/>
    <x v="0"/>
    <x v="1"/>
    <s v="LM854698100"/>
    <m/>
    <m/>
    <n v="15727"/>
    <x v="110"/>
    <n v="110348"/>
    <x v="46"/>
    <x v="85"/>
    <x v="2"/>
    <x v="0"/>
    <n v="42315060"/>
    <x v="0"/>
    <x v="0"/>
    <x v="0"/>
    <d v="2021-04-01T00:00:00"/>
    <x v="143"/>
    <x v="0"/>
    <s v="3月"/>
    <x v="4"/>
    <s v="no miamatch"/>
    <s v="no mismatch"/>
    <e v="#DIV/0!"/>
    <e v="#DIV/0!"/>
    <n v="0"/>
    <n v="0"/>
    <x v="3"/>
    <x v="0"/>
  </r>
  <r>
    <x v="4"/>
    <x v="0"/>
    <x v="0"/>
    <x v="1"/>
    <s v="LM854698100"/>
    <m/>
    <m/>
    <n v="10230"/>
    <x v="110"/>
    <n v="110364"/>
    <x v="49"/>
    <x v="85"/>
    <x v="2"/>
    <x v="5"/>
    <n v="5394765"/>
    <x v="0"/>
    <x v="0"/>
    <x v="0"/>
    <d v="2021-04-01T00:00:00"/>
    <x v="143"/>
    <x v="0"/>
    <s v="3月"/>
    <x v="2"/>
    <n v="6.0499999999999998E-2"/>
    <n v="7.2599999999999998E-2"/>
    <n v="0"/>
    <n v="1440.6666666666667"/>
    <n v="1163.9632000000001"/>
    <n v="446941.88400000002"/>
    <x v="3"/>
    <x v="0"/>
  </r>
  <r>
    <x v="4"/>
    <x v="0"/>
    <x v="0"/>
    <x v="2"/>
    <s v="315012056160-N"/>
    <m/>
    <m/>
    <n v="7475.9"/>
    <x v="111"/>
    <n v="110274"/>
    <x v="50"/>
    <x v="96"/>
    <x v="1"/>
    <x v="5"/>
    <n v="32093271"/>
    <x v="0"/>
    <x v="0"/>
    <x v="0"/>
    <d v="2021-04-14T00:00:00"/>
    <x v="144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0"/>
    <x v="1"/>
    <x v="2"/>
    <s v="315012057114-M"/>
    <m/>
    <m/>
    <n v="14272"/>
    <x v="112"/>
    <n v="110333"/>
    <x v="51"/>
    <x v="114"/>
    <x v="1"/>
    <x v="0"/>
    <n v="74396580"/>
    <x v="0"/>
    <x v="0"/>
    <x v="0"/>
    <d v="2021-04-23T00:00:00"/>
    <x v="145"/>
    <x v="0"/>
    <s v="4月"/>
    <x v="2"/>
    <n v="6.2199999999999998E-2"/>
    <n v="7.46E-2"/>
    <n v="0"/>
    <n v="1440.6666666666667"/>
    <n v="1163.9632000000001"/>
    <n v="446941.88400000002"/>
    <x v="0"/>
    <x v="0"/>
  </r>
  <r>
    <x v="4"/>
    <x v="0"/>
    <x v="0"/>
    <x v="1"/>
    <s v="DC TST117509"/>
    <n v="5825.74"/>
    <m/>
    <n v="21425.1"/>
    <x v="113"/>
    <n v="110245"/>
    <x v="49"/>
    <x v="85"/>
    <x v="14"/>
    <x v="6"/>
    <n v="68122620"/>
    <x v="0"/>
    <x v="0"/>
    <x v="0"/>
    <d v="2021-04-23T00:00:00"/>
    <x v="145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DC TST117509"/>
    <n v="0"/>
    <n v="0"/>
    <n v="0"/>
    <x v="113"/>
    <n v="110361"/>
    <x v="49"/>
    <x v="85"/>
    <x v="14"/>
    <x v="0"/>
    <n v="37658280"/>
    <x v="0"/>
    <x v="0"/>
    <x v="0"/>
    <d v="2021-04-23T00:00:00"/>
    <x v="145"/>
    <x v="0"/>
    <s v="4月"/>
    <x v="2"/>
    <n v="6.0499999999999998E-2"/>
    <n v="7.2599999999999998E-2"/>
    <n v="0"/>
    <n v="1440.6666666666667"/>
    <n v="1163.9632000000001"/>
    <n v="446941.88400000002"/>
    <x v="0"/>
    <x v="0"/>
  </r>
  <r>
    <x v="4"/>
    <x v="0"/>
    <x v="0"/>
    <x v="2"/>
    <s v="LM855038100"/>
    <m/>
    <m/>
    <n v="17789.2"/>
    <x v="114"/>
    <n v="110272"/>
    <x v="52"/>
    <x v="115"/>
    <x v="14"/>
    <x v="0"/>
    <n v="49163880"/>
    <x v="0"/>
    <x v="0"/>
    <x v="0"/>
    <d v="2021-04-19T00:00:00"/>
    <x v="146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2"/>
    <s v="LM855038100"/>
    <m/>
    <m/>
    <n v="0"/>
    <x v="114"/>
    <n v="110407"/>
    <x v="52"/>
    <x v="115"/>
    <x v="14"/>
    <x v="5"/>
    <n v="9428970"/>
    <x v="0"/>
    <x v="0"/>
    <x v="0"/>
    <d v="2021-04-19T00:00:00"/>
    <x v="146"/>
    <x v="0"/>
    <s v="4月"/>
    <x v="2"/>
    <n v="5.9900000000000002E-2"/>
    <n v="7.0699999999999999E-2"/>
    <n v="0"/>
    <n v="1440.6666666666667"/>
    <n v="1163.9632000000001"/>
    <n v="446941.88400000002"/>
    <x v="0"/>
    <x v="0"/>
  </r>
  <r>
    <x v="4"/>
    <x v="0"/>
    <x v="0"/>
    <x v="2"/>
    <s v="LM855038100"/>
    <m/>
    <m/>
    <n v="0"/>
    <x v="114"/>
    <n v="110428"/>
    <x v="52"/>
    <x v="115"/>
    <x v="14"/>
    <x v="5"/>
    <n v="9428970"/>
    <x v="0"/>
    <x v="0"/>
    <x v="0"/>
    <d v="2021-04-19T00:00:00"/>
    <x v="146"/>
    <x v="0"/>
    <s v="4月"/>
    <x v="2"/>
    <n v="6.0600000000000001E-2"/>
    <n v="7.1499999999999994E-2"/>
    <n v="0"/>
    <n v="1440.6666666666667"/>
    <n v="1163.9632000000001"/>
    <n v="446941.88400000002"/>
    <x v="0"/>
    <x v="0"/>
  </r>
  <r>
    <x v="4"/>
    <x v="0"/>
    <x v="0"/>
    <x v="2"/>
    <s v="315012056954-M"/>
    <m/>
    <m/>
    <n v="5345.75"/>
    <x v="115"/>
    <n v="110271"/>
    <x v="52"/>
    <x v="115"/>
    <x v="2"/>
    <x v="0"/>
    <n v="28182810"/>
    <x v="0"/>
    <x v="0"/>
    <x v="0"/>
    <d v="2021-04-30T00:00:00"/>
    <x v="147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1"/>
    <x v="1"/>
    <x v="1"/>
    <s v="315012056972-M"/>
    <m/>
    <m/>
    <n v="3958.7"/>
    <x v="116"/>
    <n v="110327"/>
    <x v="53"/>
    <x v="85"/>
    <x v="15"/>
    <x v="5"/>
    <n v="8659420"/>
    <x v="0"/>
    <x v="0"/>
    <x v="0"/>
    <d v="2021-04-23T00:00:00"/>
    <x v="148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1"/>
    <x v="1"/>
    <x v="2"/>
    <s v="315012056963-M"/>
    <m/>
    <m/>
    <m/>
    <x v="117"/>
    <n v="110301"/>
    <x v="54"/>
    <x v="88"/>
    <x v="15"/>
    <x v="5"/>
    <n v="9963120"/>
    <x v="0"/>
    <x v="0"/>
    <x v="0"/>
    <d v="2021-04-30T00:00:00"/>
    <x v="147"/>
    <x v="0"/>
    <s v="4月"/>
    <x v="4"/>
    <s v="no mismatch"/>
    <s v="no mismatch"/>
    <n v="0"/>
    <n v="0"/>
    <n v="0"/>
    <n v="586322.995"/>
    <x v="0"/>
    <x v="0"/>
  </r>
  <r>
    <x v="4"/>
    <x v="0"/>
    <x v="0"/>
    <x v="1"/>
    <s v="LM855058100"/>
    <m/>
    <m/>
    <n v="10858"/>
    <x v="118"/>
    <n v="110346"/>
    <x v="45"/>
    <x v="85"/>
    <x v="14"/>
    <x v="2"/>
    <n v="18857940"/>
    <x v="0"/>
    <x v="0"/>
    <x v="0"/>
    <d v="2021-05-02T00:00:00"/>
    <x v="149"/>
    <x v="0"/>
    <s v="4月"/>
    <x v="4"/>
    <s v="no mismatch"/>
    <s v="no mismatch"/>
    <e v="#DIV/0!"/>
    <e v="#DIV/0!"/>
    <n v="0"/>
    <n v="0"/>
    <x v="4"/>
    <x v="0"/>
  </r>
  <r>
    <x v="4"/>
    <x v="0"/>
    <x v="0"/>
    <x v="1"/>
    <s v="LM855058100"/>
    <m/>
    <m/>
    <n v="0"/>
    <x v="118"/>
    <n v="110409"/>
    <x v="45"/>
    <x v="85"/>
    <x v="14"/>
    <x v="5"/>
    <n v="9428970"/>
    <x v="0"/>
    <x v="0"/>
    <x v="0"/>
    <d v="2021-05-02T00:00:00"/>
    <x v="149"/>
    <x v="0"/>
    <s v="4月"/>
    <x v="4"/>
    <n v="5.9900000000000002E-2"/>
    <n v="7.0699999999999999E-2"/>
    <e v="#DIV/0!"/>
    <e v="#DIV/0!"/>
    <n v="0"/>
    <n v="0"/>
    <x v="4"/>
    <x v="0"/>
  </r>
  <r>
    <x v="4"/>
    <x v="0"/>
    <x v="0"/>
    <x v="1"/>
    <s v="LM855058100"/>
    <m/>
    <m/>
    <n v="0"/>
    <x v="118"/>
    <n v="110340"/>
    <x v="45"/>
    <x v="85"/>
    <x v="14"/>
    <x v="5"/>
    <n v="9428970"/>
    <x v="0"/>
    <x v="0"/>
    <x v="0"/>
    <d v="2021-05-02T00:00:00"/>
    <x v="149"/>
    <x v="0"/>
    <s v="4月"/>
    <x v="4"/>
    <n v="6.2300000000000001E-2"/>
    <n v="7.4800000000000005E-2"/>
    <e v="#DIV/0!"/>
    <e v="#DIV/0!"/>
    <n v="0"/>
    <n v="0"/>
    <x v="4"/>
    <x v="0"/>
  </r>
  <r>
    <x v="4"/>
    <x v="0"/>
    <x v="0"/>
    <x v="1"/>
    <s v="315012057837-M"/>
    <m/>
    <m/>
    <n v="11468.8"/>
    <x v="119"/>
    <n v="110403"/>
    <x v="49"/>
    <x v="85"/>
    <x v="2"/>
    <x v="4"/>
    <n v="16184295"/>
    <x v="0"/>
    <x v="0"/>
    <x v="0"/>
    <d v="2021-05-06T00:00:00"/>
    <x v="150"/>
    <x v="0"/>
    <s v="5月"/>
    <x v="2"/>
    <s v="no mismatch"/>
    <s v="no mismatch"/>
    <n v="0"/>
    <n v="1440.6666666666667"/>
    <n v="1163.9632000000001"/>
    <n v="446941.88400000002"/>
    <x v="6"/>
    <x v="0"/>
  </r>
  <r>
    <x v="4"/>
    <x v="1"/>
    <x v="1"/>
    <x v="2"/>
    <s v="315012058319-M"/>
    <m/>
    <m/>
    <n v="7118.9"/>
    <x v="120"/>
    <n v="110331"/>
    <x v="51"/>
    <x v="109"/>
    <x v="15"/>
    <x v="2"/>
    <n v="16176540"/>
    <x v="0"/>
    <x v="0"/>
    <x v="0"/>
    <d v="2021-05-22T00:00:00"/>
    <x v="151"/>
    <x v="0"/>
    <s v="5月"/>
    <x v="2"/>
    <n v="5.9299999999999999E-2"/>
    <n v="7.1300000000000002E-2"/>
    <n v="0"/>
    <n v="1440.6666666666667"/>
    <n v="1163.9632000000001"/>
    <n v="446941.88400000002"/>
    <x v="0"/>
    <x v="0"/>
  </r>
  <r>
    <x v="4"/>
    <x v="0"/>
    <x v="0"/>
    <x v="1"/>
    <s v="DC TST117512"/>
    <m/>
    <m/>
    <n v="21514.35"/>
    <x v="121"/>
    <n v="110416"/>
    <x v="49"/>
    <x v="85"/>
    <x v="14"/>
    <x v="10"/>
    <n v="108327930"/>
    <x v="0"/>
    <x v="0"/>
    <x v="0"/>
    <d v="2021-05-06T00:00:00"/>
    <x v="152"/>
    <x v="0"/>
    <s v="5月"/>
    <x v="2"/>
    <s v="no mismatch"/>
    <s v="no mismatch"/>
    <n v="0"/>
    <n v="1440.6666666666667"/>
    <n v="1163.9632000000001"/>
    <n v="446941.88400000002"/>
    <x v="7"/>
    <x v="0"/>
  </r>
  <r>
    <x v="4"/>
    <x v="0"/>
    <x v="0"/>
    <x v="1"/>
    <s v="315012058122-M"/>
    <m/>
    <m/>
    <n v="17521.45"/>
    <x v="122"/>
    <n v="110244"/>
    <x v="49"/>
    <x v="85"/>
    <x v="2"/>
    <x v="3"/>
    <n v="41748825"/>
    <x v="0"/>
    <x v="0"/>
    <x v="0"/>
    <d v="2021-05-06T00:00:00"/>
    <x v="152"/>
    <x v="0"/>
    <s v="5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LM855798100 "/>
    <m/>
    <m/>
    <n v="17454"/>
    <x v="123"/>
    <n v="110211"/>
    <x v="45"/>
    <x v="85"/>
    <x v="2"/>
    <x v="3"/>
    <n v="42166305"/>
    <x v="0"/>
    <x v="0"/>
    <x v="0"/>
    <d v="2021-05-02T00:00:00"/>
    <x v="152"/>
    <x v="0"/>
    <s v="5月"/>
    <x v="4"/>
    <s v="no mismatch"/>
    <s v="no mismatch"/>
    <e v="#DIV/0!"/>
    <e v="#DIV/0!"/>
    <n v="0"/>
    <n v="0"/>
    <x v="5"/>
    <x v="0"/>
  </r>
  <r>
    <x v="4"/>
    <x v="0"/>
    <x v="0"/>
    <x v="2"/>
    <s v="DC TST117513"/>
    <m/>
    <m/>
    <n v="11468.8"/>
    <x v="124"/>
    <n v="110227"/>
    <x v="55"/>
    <x v="116"/>
    <x v="2"/>
    <x v="5"/>
    <n v="18386433"/>
    <x v="0"/>
    <x v="0"/>
    <x v="0"/>
    <d v="2021-05-02T00:00:00"/>
    <x v="153"/>
    <x v="0"/>
    <s v="5月"/>
    <x v="4"/>
    <s v="no mismatch"/>
    <s v="no mismatch"/>
    <e v="#DIV/0!"/>
    <e v="#DIV/0!"/>
    <n v="0"/>
    <n v="0"/>
    <x v="0"/>
    <x v="0"/>
  </r>
  <r>
    <x v="4"/>
    <x v="0"/>
    <x v="0"/>
    <x v="2"/>
    <s v="DC TST117513"/>
    <m/>
    <m/>
    <n v="0"/>
    <x v="124"/>
    <n v="110362"/>
    <x v="55"/>
    <x v="116"/>
    <x v="2"/>
    <x v="2"/>
    <n v="13412145"/>
    <x v="0"/>
    <x v="0"/>
    <x v="0"/>
    <d v="2021-05-02T00:00:00"/>
    <x v="153"/>
    <x v="0"/>
    <s v="5月"/>
    <x v="4"/>
    <n v="6.0499999999999998E-2"/>
    <n v="7.2599999999999998E-2"/>
    <e v="#DIV/0!"/>
    <e v="#DIV/0!"/>
    <n v="0"/>
    <n v="0"/>
    <x v="0"/>
    <x v="0"/>
  </r>
  <r>
    <x v="4"/>
    <x v="0"/>
    <x v="0"/>
    <x v="1"/>
    <s v="315012058426-M"/>
    <m/>
    <m/>
    <n v="28102.5"/>
    <x v="125"/>
    <n v="110248"/>
    <x v="49"/>
    <x v="85"/>
    <x v="2"/>
    <x v="10"/>
    <n v="72991425"/>
    <x v="0"/>
    <x v="0"/>
    <x v="0"/>
    <d v="2021-05-15T00:00:00"/>
    <x v="153"/>
    <x v="0"/>
    <s v="5月"/>
    <x v="2"/>
    <s v="no mismatch"/>
    <s v="no mismatch"/>
    <n v="0"/>
    <n v="1440.6666666666667"/>
    <n v="1163.9632000000001"/>
    <n v="446941.88400000002"/>
    <x v="6"/>
    <x v="0"/>
  </r>
  <r>
    <x v="4"/>
    <x v="0"/>
    <x v="0"/>
    <x v="1"/>
    <s v="315012058426-M"/>
    <m/>
    <m/>
    <n v="0"/>
    <x v="125"/>
    <n v="110408"/>
    <x v="49"/>
    <x v="85"/>
    <x v="2"/>
    <x v="2"/>
    <n v="13439130"/>
    <x v="0"/>
    <x v="0"/>
    <x v="0"/>
    <d v="2021-05-15T00:00:00"/>
    <x v="153"/>
    <x v="0"/>
    <s v="5月"/>
    <x v="2"/>
    <n v="5.9900000000000002E-2"/>
    <n v="7.0699999999999999E-2"/>
    <n v="0"/>
    <n v="1440.6666666666667"/>
    <n v="1163.9632000000001"/>
    <n v="446941.88400000002"/>
    <x v="6"/>
    <x v="0"/>
  </r>
  <r>
    <x v="4"/>
    <x v="0"/>
    <x v="0"/>
    <x v="1"/>
    <s v="315012058426-M"/>
    <m/>
    <m/>
    <n v="0"/>
    <x v="125"/>
    <n v="110465"/>
    <x v="49"/>
    <x v="85"/>
    <x v="2"/>
    <x v="5"/>
    <n v="5394765"/>
    <x v="0"/>
    <x v="0"/>
    <x v="0"/>
    <d v="2021-05-15T00:00:00"/>
    <x v="153"/>
    <x v="0"/>
    <s v="5月"/>
    <x v="2"/>
    <n v="5.9499999999999997E-2"/>
    <n v="7.1099999999999997E-2"/>
    <n v="0"/>
    <n v="1440.6666666666667"/>
    <n v="1163.9632000000001"/>
    <n v="446941.88400000002"/>
    <x v="6"/>
    <x v="0"/>
  </r>
  <r>
    <x v="4"/>
    <x v="0"/>
    <x v="0"/>
    <x v="2"/>
    <s v="DC TST117515"/>
    <m/>
    <m/>
    <n v="21782.1"/>
    <x v="126"/>
    <n v="110236"/>
    <x v="46"/>
    <x v="113"/>
    <x v="14"/>
    <x v="1"/>
    <n v="85130790"/>
    <x v="0"/>
    <x v="0"/>
    <x v="0"/>
    <d v="2021-05-22T00:00:00"/>
    <x v="154"/>
    <x v="0"/>
    <s v="5月"/>
    <x v="4"/>
    <s v="no mismatch"/>
    <s v="no mismatch"/>
    <e v="#DIV/0!"/>
    <e v="#DIV/0!"/>
    <n v="0"/>
    <n v="0"/>
    <x v="0"/>
    <x v="0"/>
  </r>
  <r>
    <x v="4"/>
    <x v="0"/>
    <x v="0"/>
    <x v="2"/>
    <s v="DC TST117515"/>
    <m/>
    <m/>
    <n v="0"/>
    <x v="126"/>
    <n v="110363"/>
    <x v="46"/>
    <x v="113"/>
    <x v="14"/>
    <x v="2"/>
    <n v="19397940"/>
    <x v="0"/>
    <x v="0"/>
    <x v="0"/>
    <d v="2021-05-22T00:00:00"/>
    <x v="154"/>
    <x v="0"/>
    <s v="5月"/>
    <x v="4"/>
    <n v="6.0499999999999998E-2"/>
    <n v="7.2599999999999998E-2"/>
    <e v="#DIV/0!"/>
    <e v="#DIV/0!"/>
    <n v="0"/>
    <n v="0"/>
    <x v="0"/>
    <x v="0"/>
  </r>
  <r>
    <x v="4"/>
    <x v="0"/>
    <x v="0"/>
    <x v="2"/>
    <s v="DC TST117515"/>
    <m/>
    <m/>
    <n v="0"/>
    <x v="126"/>
    <n v="110475"/>
    <x v="46"/>
    <x v="113"/>
    <x v="14"/>
    <x v="5"/>
    <n v="9698970"/>
    <x v="0"/>
    <x v="0"/>
    <x v="0"/>
    <d v="2021-05-22T00:00:00"/>
    <x v="154"/>
    <x v="0"/>
    <s v="5月"/>
    <x v="4"/>
    <n v="5.9299999999999999E-2"/>
    <n v="7.1300000000000002E-2"/>
    <e v="#DIV/0!"/>
    <e v="#DIV/0!"/>
    <n v="0"/>
    <n v="0"/>
    <x v="0"/>
    <x v="0"/>
  </r>
  <r>
    <x v="4"/>
    <x v="0"/>
    <x v="0"/>
    <x v="2"/>
    <s v="315012058756-M"/>
    <m/>
    <m/>
    <n v="32095.4"/>
    <x v="127"/>
    <n v="110228"/>
    <x v="55"/>
    <x v="116"/>
    <x v="14"/>
    <x v="8"/>
    <n v="94929840"/>
    <x v="0"/>
    <x v="0"/>
    <x v="0"/>
    <d v="2021-05-06T00:00:00"/>
    <x v="152"/>
    <x v="0"/>
    <s v="5月"/>
    <x v="4"/>
    <s v="no mismatch"/>
    <s v="no mismatch"/>
    <e v="#DIV/0!"/>
    <e v="#DIV/0!"/>
    <n v="0"/>
    <n v="0"/>
    <x v="0"/>
    <x v="0"/>
  </r>
  <r>
    <x v="4"/>
    <x v="0"/>
    <x v="0"/>
    <x v="2"/>
    <s v="315012058756-M"/>
    <m/>
    <m/>
    <n v="0"/>
    <x v="127"/>
    <n v="110338"/>
    <x v="55"/>
    <x v="116"/>
    <x v="14"/>
    <x v="3"/>
    <n v="46572200"/>
    <x v="0"/>
    <x v="0"/>
    <x v="0"/>
    <d v="2021-05-06T00:00:00"/>
    <x v="152"/>
    <x v="0"/>
    <s v="5月"/>
    <x v="4"/>
    <n v="6.2300000000000001E-2"/>
    <n v="7.4800000000000005E-2"/>
    <e v="#DIV/0!"/>
    <e v="#DIV/0!"/>
    <n v="0"/>
    <n v="0"/>
    <x v="0"/>
    <x v="0"/>
  </r>
  <r>
    <x v="4"/>
    <x v="0"/>
    <x v="0"/>
    <x v="1"/>
    <s v="LM856288100"/>
    <m/>
    <m/>
    <n v="11111.8"/>
    <x v="128"/>
    <n v="110246"/>
    <x v="49"/>
    <x v="85"/>
    <x v="2"/>
    <x v="0"/>
    <n v="49419000"/>
    <x v="0"/>
    <x v="0"/>
    <x v="0"/>
    <d v="2021-05-22T00:00:00"/>
    <x v="151"/>
    <x v="0"/>
    <s v="5月"/>
    <x v="2"/>
    <s v="no mismatch"/>
    <s v="no mismatch"/>
    <e v="#DIV/0!"/>
    <m/>
    <m/>
    <m/>
    <x v="8"/>
    <x v="0"/>
  </r>
  <r>
    <x v="4"/>
    <x v="0"/>
    <x v="0"/>
    <x v="1"/>
    <s v="LM856298100"/>
    <m/>
    <m/>
    <n v="11111.8"/>
    <x v="129"/>
    <n v="110437"/>
    <x v="49"/>
    <x v="85"/>
    <x v="14"/>
    <x v="5"/>
    <n v="9428970"/>
    <x v="0"/>
    <x v="0"/>
    <x v="0"/>
    <d v="2021-05-22T00:00:00"/>
    <x v="154"/>
    <x v="0"/>
    <s v="5月"/>
    <x v="2"/>
    <n v="5.9299999999999999E-2"/>
    <n v="7.1300000000000002E-2"/>
    <n v="0"/>
    <n v="1440.6666666666667"/>
    <n v="1163.9632000000001"/>
    <n v="446941.88400000002"/>
    <x v="7"/>
    <x v="0"/>
  </r>
  <r>
    <x v="4"/>
    <x v="0"/>
    <x v="0"/>
    <x v="1"/>
    <s v="LM856298100"/>
    <m/>
    <m/>
    <n v="0"/>
    <x v="129"/>
    <n v="110410"/>
    <x v="49"/>
    <x v="85"/>
    <x v="14"/>
    <x v="5"/>
    <n v="9428970"/>
    <x v="0"/>
    <x v="0"/>
    <x v="0"/>
    <d v="2021-05-22T00:00:00"/>
    <x v="154"/>
    <x v="0"/>
    <s v="5月"/>
    <x v="2"/>
    <n v="5.9900000000000002E-2"/>
    <n v="7.0699999999999999E-2"/>
    <n v="0"/>
    <n v="1440.6666666666667"/>
    <n v="1163.9632000000001"/>
    <n v="446941.88400000002"/>
    <x v="7"/>
    <x v="0"/>
  </r>
  <r>
    <x v="4"/>
    <x v="0"/>
    <x v="0"/>
    <x v="1"/>
    <s v="LM856298100"/>
    <m/>
    <m/>
    <n v="0"/>
    <x v="129"/>
    <n v="110365"/>
    <x v="49"/>
    <x v="85"/>
    <x v="14"/>
    <x v="2"/>
    <n v="32969940"/>
    <x v="0"/>
    <x v="0"/>
    <x v="0"/>
    <d v="2021-05-22T00:00:00"/>
    <x v="154"/>
    <x v="0"/>
    <s v="5月"/>
    <x v="2"/>
    <n v="6.0499999999999998E-2"/>
    <n v="7.2599999999999998E-2"/>
    <n v="0"/>
    <n v="1440.6666666666667"/>
    <n v="1163.9632000000001"/>
    <n v="446941.88400000002"/>
    <x v="7"/>
    <x v="0"/>
  </r>
  <r>
    <x v="4"/>
    <x v="0"/>
    <x v="0"/>
    <x v="2"/>
    <s v="TT in advance "/>
    <m/>
    <m/>
    <n v="226373.75"/>
    <x v="130"/>
    <n v="110397"/>
    <x v="56"/>
    <x v="117"/>
    <x v="13"/>
    <x v="4"/>
    <n v="38723254"/>
    <x v="0"/>
    <x v="0"/>
    <x v="0"/>
    <d v="2021-05-24T00:00:00"/>
    <x v="155"/>
    <x v="0"/>
    <s v="5月"/>
    <x v="2"/>
    <s v="no mismatch"/>
    <s v="no mismatch"/>
    <n v="0"/>
    <n v="1440.6666666666667"/>
    <n v="1163.9632000000001"/>
    <n v="446941.88400000002"/>
    <x v="9"/>
    <x v="0"/>
  </r>
  <r>
    <x v="4"/>
    <x v="0"/>
    <x v="0"/>
    <x v="1"/>
    <s v="LM856648100"/>
    <m/>
    <m/>
    <n v="11201.05"/>
    <x v="131"/>
    <n v="110450"/>
    <x v="57"/>
    <x v="85"/>
    <x v="2"/>
    <x v="4"/>
    <n v="17293118"/>
    <x v="0"/>
    <x v="0"/>
    <x v="0"/>
    <d v="2021-05-30T00:00:00"/>
    <x v="156"/>
    <x v="0"/>
    <s v="5月"/>
    <x v="2"/>
    <s v="no mismatch"/>
    <s v="no mismatch"/>
    <n v="0"/>
    <n v="1440.6666666666667"/>
    <n v="1163.9632000000001"/>
    <n v="446941.88400000002"/>
    <x v="10"/>
    <x v="0"/>
  </r>
  <r>
    <x v="4"/>
    <x v="0"/>
    <x v="0"/>
    <x v="1"/>
    <s v="LM856648100"/>
    <m/>
    <m/>
    <n v="0"/>
    <x v="131"/>
    <n v="110430"/>
    <x v="57"/>
    <x v="85"/>
    <x v="2"/>
    <x v="2"/>
    <n v="11528745"/>
    <x v="0"/>
    <x v="0"/>
    <x v="0"/>
    <d v="2021-05-30T00:00:00"/>
    <x v="154"/>
    <x v="0"/>
    <s v="5月"/>
    <x v="2"/>
    <n v="6.0600000000000001E-2"/>
    <n v="7.1499999999999994E-2"/>
    <n v="0"/>
    <n v="1440.6666666666667"/>
    <n v="1163.9632000000001"/>
    <n v="446941.88400000002"/>
    <x v="10"/>
    <x v="0"/>
  </r>
  <r>
    <x v="4"/>
    <x v="0"/>
    <x v="0"/>
    <x v="2"/>
    <s v="DC TST117516"/>
    <m/>
    <m/>
    <n v="17789.2"/>
    <x v="132"/>
    <n v="110384"/>
    <x v="58"/>
    <x v="118"/>
    <x v="14"/>
    <x v="1"/>
    <n v="79640390"/>
    <x v="0"/>
    <x v="0"/>
    <x v="0"/>
    <d v="2021-05-30T00:00:00"/>
    <x v="157"/>
    <x v="0"/>
    <s v="5月"/>
    <x v="2"/>
    <s v="no mismatch"/>
    <s v="no mismatch"/>
    <n v="0"/>
    <n v="1440.6666666666667"/>
    <n v="1163.9632000000001"/>
    <n v="446941.88400000002"/>
    <x v="11"/>
    <x v="0"/>
  </r>
  <r>
    <x v="4"/>
    <x v="0"/>
    <x v="0"/>
    <x v="1"/>
    <s v="646010001534-M"/>
    <m/>
    <m/>
    <n v="11201.05"/>
    <x v="133"/>
    <n v="110449"/>
    <x v="49"/>
    <x v="85"/>
    <x v="2"/>
    <x v="0"/>
    <n v="22736010"/>
    <x v="0"/>
    <x v="0"/>
    <x v="0"/>
    <d v="2021-05-30T00:00:00"/>
    <x v="158"/>
    <x v="0"/>
    <s v="5月"/>
    <x v="2"/>
    <s v="no mismatch"/>
    <s v="no mismatch"/>
    <m/>
    <m/>
    <m/>
    <m/>
    <x v="8"/>
    <x v="0"/>
  </r>
  <r>
    <x v="4"/>
    <x v="0"/>
    <x v="1"/>
    <x v="2"/>
    <s v="DC TST119481"/>
    <m/>
    <m/>
    <n v="7208.15"/>
    <x v="134"/>
    <n v="110352"/>
    <x v="54"/>
    <x v="89"/>
    <x v="11"/>
    <x v="5"/>
    <n v="14251820"/>
    <x v="0"/>
    <x v="0"/>
    <x v="0"/>
    <d v="2021-06-06T00:00:00"/>
    <x v="154"/>
    <x v="0"/>
    <s v="6月"/>
    <x v="4"/>
    <s v="no mismatch"/>
    <s v="no mismatch"/>
    <n v="0"/>
    <n v="0"/>
    <n v="0"/>
    <n v="586322.995"/>
    <x v="0"/>
    <x v="0"/>
  </r>
  <r>
    <x v="4"/>
    <x v="0"/>
    <x v="0"/>
    <x v="2"/>
    <s v="DC TST119482"/>
    <m/>
    <m/>
    <n v="11201.05"/>
    <x v="135"/>
    <n v="110380"/>
    <x v="59"/>
    <x v="119"/>
    <x v="14"/>
    <x v="2"/>
    <n v="26441736"/>
    <x v="0"/>
    <x v="0"/>
    <x v="0"/>
    <d v="2021-06-06T00:00:00"/>
    <x v="159"/>
    <x v="0"/>
    <s v="6月"/>
    <x v="2"/>
    <s v="no miamatch"/>
    <s v="no mismatch"/>
    <n v="0"/>
    <n v="1440.6666666666667"/>
    <n v="1163.9632000000001"/>
    <n v="446941.88400000002"/>
    <x v="0"/>
    <x v="0"/>
  </r>
  <r>
    <x v="4"/>
    <x v="0"/>
    <x v="0"/>
    <x v="1"/>
    <s v="DC TST584325"/>
    <m/>
    <m/>
    <n v="3958.7"/>
    <x v="136"/>
    <n v="110481"/>
    <x v="49"/>
    <x v="85"/>
    <x v="2"/>
    <x v="5"/>
    <n v="6719565"/>
    <x v="0"/>
    <x v="0"/>
    <x v="0"/>
    <d v="2021-06-19T00:00:00"/>
    <x v="160"/>
    <x v="0"/>
    <s v="6月"/>
    <x v="2"/>
    <s v="no mismatch"/>
    <s v="no mismatch"/>
    <m/>
    <m/>
    <m/>
    <m/>
    <x v="8"/>
    <x v="0"/>
  </r>
  <r>
    <x v="4"/>
    <x v="0"/>
    <x v="0"/>
    <x v="1"/>
    <s v="LM857288100"/>
    <m/>
    <m/>
    <n v="3958.7"/>
    <x v="137"/>
    <n v="110479"/>
    <x v="49"/>
    <x v="85"/>
    <x v="14"/>
    <x v="5"/>
    <n v="16752270"/>
    <x v="0"/>
    <x v="0"/>
    <x v="0"/>
    <d v="2021-06-19T00:00:00"/>
    <x v="161"/>
    <x v="0"/>
    <s v="6月"/>
    <x v="2"/>
    <s v="no mismatch"/>
    <s v="no mismatch"/>
    <n v="0"/>
    <n v="1440.6666666666667"/>
    <n v="1163.9632000000001"/>
    <n v="446941.88400000002"/>
    <x v="7"/>
    <x v="0"/>
  </r>
  <r>
    <x v="4"/>
    <x v="0"/>
    <x v="0"/>
    <x v="1"/>
    <s v="TST117519 "/>
    <m/>
    <m/>
    <n v="11111.8"/>
    <x v="138"/>
    <n v="110452"/>
    <x v="49"/>
    <x v="85"/>
    <x v="14"/>
    <x v="0"/>
    <n v="70853880"/>
    <x v="0"/>
    <x v="0"/>
    <x v="0"/>
    <d v="2021-06-19T00:00:00"/>
    <x v="161"/>
    <x v="0"/>
    <s v="6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2"/>
    <s v="646010004719-M"/>
    <m/>
    <m/>
    <n v="21782.1"/>
    <x v="139"/>
    <n v="110402"/>
    <x v="56"/>
    <x v="117"/>
    <x v="13"/>
    <x v="4"/>
    <n v="49750598"/>
    <x v="0"/>
    <x v="0"/>
    <x v="0"/>
    <d v="2021-06-28T00:00:00"/>
    <x v="162"/>
    <x v="0"/>
    <s v="6月"/>
    <x v="2"/>
    <s v="no mismatch"/>
    <s v="no mismatch"/>
    <n v="0"/>
    <n v="1440.6666666666667"/>
    <n v="1163.9632000000001"/>
    <n v="446941.88400000002"/>
    <x v="9"/>
    <x v="0"/>
  </r>
  <r>
    <x v="4"/>
    <x v="0"/>
    <x v="0"/>
    <x v="2"/>
    <s v="646010004719-M"/>
    <m/>
    <m/>
    <n v="0"/>
    <x v="139"/>
    <n v="110402"/>
    <x v="56"/>
    <x v="117"/>
    <x v="1"/>
    <x v="0"/>
    <n v="66334131"/>
    <x v="0"/>
    <x v="0"/>
    <x v="0"/>
    <d v="2021-06-28T00:00:00"/>
    <x v="162"/>
    <x v="0"/>
    <s v="6月"/>
    <x v="2"/>
    <s v="no mismatch"/>
    <s v="no mismatch"/>
    <n v="0"/>
    <n v="1440.6666666666667"/>
    <n v="1163.9632000000001"/>
    <n v="446941.88400000002"/>
    <x v="9"/>
    <x v="0"/>
  </r>
  <r>
    <x v="4"/>
    <x v="0"/>
    <x v="0"/>
    <x v="2"/>
    <s v="646010005629-M"/>
    <m/>
    <m/>
    <n v="9393"/>
    <x v="140"/>
    <n v="110441"/>
    <x v="58"/>
    <x v="118"/>
    <x v="14"/>
    <x v="1"/>
    <n v="73169990"/>
    <x v="0"/>
    <x v="0"/>
    <x v="0"/>
    <d v="2021-07-20T00:00:00"/>
    <x v="163"/>
    <x v="0"/>
    <s v="7月"/>
    <x v="2"/>
    <s v="no mismatch"/>
    <s v="no mismatch"/>
    <n v="0"/>
    <n v="1440.6666666666667"/>
    <n v="1163.9632000000001"/>
    <n v="446941.88400000002"/>
    <x v="11"/>
    <x v="0"/>
  </r>
  <r>
    <x v="4"/>
    <x v="0"/>
    <x v="0"/>
    <x v="1"/>
    <s v="TT in advance "/>
    <m/>
    <m/>
    <n v="9393"/>
    <x v="141"/>
    <n v="110247"/>
    <x v="49"/>
    <x v="85"/>
    <x v="14"/>
    <x v="5"/>
    <n v="9428970"/>
    <x v="0"/>
    <x v="0"/>
    <x v="0"/>
    <d v="2021-07-20T00:00:00"/>
    <x v="163"/>
    <x v="0"/>
    <s v="7月"/>
    <x v="2"/>
    <s v="no mismatch"/>
    <s v="no mismatch"/>
    <n v="0"/>
    <n v="1440.6666666666667"/>
    <n v="1163.9632000000001"/>
    <n v="446941.88400000002"/>
    <x v="7"/>
    <x v="0"/>
  </r>
  <r>
    <x v="4"/>
    <x v="0"/>
    <x v="0"/>
    <x v="2"/>
    <s v="DC TST117522"/>
    <m/>
    <m/>
    <n v="22284.5"/>
    <x v="142"/>
    <n v="110413"/>
    <x v="56"/>
    <x v="117"/>
    <x v="13"/>
    <x v="6"/>
    <n v="84200598"/>
    <x v="0"/>
    <x v="0"/>
    <x v="0"/>
    <d v="2021-07-22T00:00:00"/>
    <x v="164"/>
    <x v="0"/>
    <s v="7月"/>
    <x v="2"/>
    <s v="no mismatch"/>
    <s v="no mismatch"/>
    <n v="0"/>
    <n v="1440.6666666666667"/>
    <n v="1163.9632000000001"/>
    <n v="446941.88400000002"/>
    <x v="13"/>
    <x v="0"/>
  </r>
  <r>
    <x v="4"/>
    <x v="0"/>
    <x v="0"/>
    <x v="1"/>
    <s v="TT in advance "/>
    <m/>
    <m/>
    <n v="7601.5"/>
    <x v="143"/>
    <n v="110431"/>
    <x v="49"/>
    <x v="85"/>
    <x v="14"/>
    <x v="5"/>
    <n v="9428970"/>
    <x v="0"/>
    <x v="0"/>
    <x v="0"/>
    <d v="2021-07-23T00:00:00"/>
    <x v="164"/>
    <x v="0"/>
    <s v="7月"/>
    <x v="2"/>
    <n v="6.0600000000000001E-2"/>
    <n v="7.1499999999999994E-2"/>
    <n v="0"/>
    <n v="1440.6666666666667"/>
    <n v="1163.9632000000001"/>
    <n v="446941.88400000002"/>
    <x v="12"/>
    <x v="0"/>
  </r>
  <r>
    <x v="4"/>
    <x v="0"/>
    <x v="0"/>
    <x v="2"/>
    <s v="LM858398100"/>
    <m/>
    <m/>
    <n v="11720"/>
    <x v="144"/>
    <n v="110406"/>
    <x v="58"/>
    <x v="118"/>
    <x v="2"/>
    <x v="5"/>
    <n v="5542498"/>
    <x v="0"/>
    <x v="0"/>
    <x v="0"/>
    <d v="2021-07-23T00:00:00"/>
    <x v="165"/>
    <x v="0"/>
    <s v="7月"/>
    <x v="2"/>
    <n v="5.9900000000000002E-2"/>
    <n v="7.0699999999999999E-2"/>
    <n v="0"/>
    <n v="1440.6666666666667"/>
    <n v="1163.9632000000001"/>
    <n v="446941.88400000002"/>
    <x v="14"/>
    <x v="0"/>
  </r>
  <r>
    <x v="4"/>
    <x v="0"/>
    <x v="0"/>
    <x v="2"/>
    <s v="LM858398100"/>
    <m/>
    <m/>
    <n v="0"/>
    <x v="144"/>
    <n v="110383"/>
    <x v="58"/>
    <x v="118"/>
    <x v="2"/>
    <x v="0"/>
    <n v="40129370"/>
    <x v="0"/>
    <x v="0"/>
    <x v="0"/>
    <d v="2021-07-23T00:00:00"/>
    <x v="165"/>
    <x v="0"/>
    <s v="7月"/>
    <x v="2"/>
    <s v="no mismatch"/>
    <s v="no mismatch"/>
    <n v="0"/>
    <n v="1440.6666666666667"/>
    <n v="1163.9632000000001"/>
    <n v="446941.88400000002"/>
    <x v="14"/>
    <x v="0"/>
  </r>
  <r>
    <x v="4"/>
    <x v="0"/>
    <x v="0"/>
    <x v="2"/>
    <s v="LM858678100 "/>
    <m/>
    <m/>
    <n v="6989.2"/>
    <x v="145"/>
    <n v="110500"/>
    <x v="58"/>
    <x v="118"/>
    <x v="14"/>
    <x v="2"/>
    <n v="18897940"/>
    <x v="0"/>
    <x v="0"/>
    <x v="0"/>
    <d v="2021-08-26T00:00:00"/>
    <x v="166"/>
    <x v="0"/>
    <s v="8月"/>
    <x v="2"/>
    <s v="no mismatch"/>
    <s v="no mismatch"/>
    <n v="0"/>
    <n v="1440.6666666666667"/>
    <n v="1163.9632000000001"/>
    <n v="446941.88400000002"/>
    <x v="11"/>
    <x v="0"/>
  </r>
  <r>
    <x v="4"/>
    <x v="0"/>
    <x v="0"/>
    <x v="2"/>
    <s v="315012061948-M"/>
    <m/>
    <m/>
    <n v="10507"/>
    <x v="146"/>
    <n v="110314"/>
    <x v="57"/>
    <x v="120"/>
    <x v="14"/>
    <x v="3"/>
    <n v="59890530"/>
    <x v="0"/>
    <x v="0"/>
    <x v="0"/>
    <d v="2021-08-13T00:00:00"/>
    <x v="166"/>
    <x v="0"/>
    <s v="8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DC TST117526"/>
    <m/>
    <m/>
    <n v="7930"/>
    <x v="147"/>
    <n v="110557"/>
    <x v="49"/>
    <x v="85"/>
    <x v="14"/>
    <x v="2"/>
    <n v="19217940"/>
    <x v="0"/>
    <x v="0"/>
    <x v="0"/>
    <d v="2021-09-06T00:00:00"/>
    <x v="167"/>
    <x v="0"/>
    <s v="9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1"/>
    <s v="LM859348100"/>
    <m/>
    <m/>
    <n v="10664"/>
    <x v="148"/>
    <n v="110558"/>
    <x v="49"/>
    <x v="85"/>
    <x v="14"/>
    <x v="4"/>
    <n v="28286910"/>
    <x v="0"/>
    <x v="0"/>
    <x v="0"/>
    <d v="2021-09-09T00:00:00"/>
    <x v="167"/>
    <x v="0"/>
    <s v="9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1"/>
    <s v="315012062493-M"/>
    <m/>
    <m/>
    <n v="900"/>
    <x v="149"/>
    <n v="110562"/>
    <x v="49"/>
    <x v="85"/>
    <x v="14"/>
    <x v="2"/>
    <n v="18800340"/>
    <x v="0"/>
    <x v="0"/>
    <x v="0"/>
    <d v="2021-09-09T00:00:00"/>
    <x v="167"/>
    <x v="0"/>
    <s v="9月"/>
    <x v="2"/>
    <s v="no mismatch"/>
    <s v="no mismatch"/>
    <n v="0"/>
    <n v="1440.6666666666667"/>
    <n v="1163.9632000000001"/>
    <n v="446941.88400000002"/>
    <x v="15"/>
    <x v="0"/>
  </r>
  <r>
    <x v="4"/>
    <x v="4"/>
    <x v="0"/>
    <x v="2"/>
    <s v="315012063312-M"/>
    <m/>
    <m/>
    <n v="7459"/>
    <x v="150"/>
    <n v="110593"/>
    <x v="60"/>
    <x v="121"/>
    <x v="2"/>
    <x v="5"/>
    <n v="8154845"/>
    <x v="0"/>
    <x v="0"/>
    <x v="0"/>
    <d v="2021-09-19T00:00:00"/>
    <x v="168"/>
    <x v="0"/>
    <s v="9月"/>
    <x v="2"/>
    <s v="no mismatch"/>
    <s v="no mismatch"/>
    <n v="0"/>
    <n v="1440.6666666666667"/>
    <n v="1163.9632000000001"/>
    <n v="446941.88400000002"/>
    <x v="16"/>
    <x v="0"/>
  </r>
  <r>
    <x v="4"/>
    <x v="4"/>
    <x v="0"/>
    <x v="2"/>
    <s v="DC TST117539"/>
    <m/>
    <m/>
    <n v="6366.25"/>
    <x v="151"/>
    <n v="110556"/>
    <x v="61"/>
    <x v="122"/>
    <x v="14"/>
    <x v="2"/>
    <n v="20506148"/>
    <x v="0"/>
    <x v="0"/>
    <x v="0"/>
    <d v="2021-10-17T00:00:00"/>
    <x v="169"/>
    <x v="0"/>
    <s v="9月"/>
    <x v="2"/>
    <s v="no mismatch"/>
    <s v="no mismatch"/>
    <n v="0"/>
    <n v="1440.6666666666667"/>
    <n v="1163.9632000000001"/>
    <n v="446941.88400000002"/>
    <x v="0"/>
    <x v="0"/>
  </r>
  <r>
    <x v="4"/>
    <x v="4"/>
    <x v="1"/>
    <x v="2"/>
    <s v="315012063820-M"/>
    <m/>
    <m/>
    <n v="6366.25"/>
    <x v="152"/>
    <n v="110576"/>
    <x v="62"/>
    <x v="122"/>
    <x v="14"/>
    <x v="2"/>
    <n v="30043900"/>
    <x v="0"/>
    <x v="0"/>
    <x v="0"/>
    <d v="2021-10-17T00:00:00"/>
    <x v="170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LM860608100"/>
    <m/>
    <m/>
    <n v="7994"/>
    <x v="153"/>
    <n v="110579"/>
    <x v="63"/>
    <x v="123"/>
    <x v="14"/>
    <x v="5"/>
    <n v="27945314"/>
    <x v="0"/>
    <x v="0"/>
    <x v="0"/>
    <d v="2021-10-17T00:00:00"/>
    <x v="170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42"/>
    <m/>
    <m/>
    <n v="6366.25"/>
    <x v="154"/>
    <n v="110580"/>
    <x v="63"/>
    <x v="124"/>
    <x v="14"/>
    <x v="2"/>
    <n v="21274468"/>
    <x v="0"/>
    <x v="0"/>
    <x v="0"/>
    <d v="2021-10-17T00:00:00"/>
    <x v="170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3973-M"/>
    <m/>
    <m/>
    <n v="6366.25"/>
    <x v="155"/>
    <n v="110578"/>
    <x v="63"/>
    <x v="125"/>
    <x v="14"/>
    <x v="2"/>
    <n v="33326148"/>
    <x v="0"/>
    <x v="0"/>
    <x v="0"/>
    <d v="2021-10-17T00:00:00"/>
    <x v="171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LM860948100"/>
    <m/>
    <m/>
    <n v="7994"/>
    <x v="156"/>
    <n v="110598"/>
    <x v="60"/>
    <x v="121"/>
    <x v="2"/>
    <x v="5"/>
    <n v="7191845"/>
    <x v="0"/>
    <x v="0"/>
    <x v="0"/>
    <d v="2021-10-17T00:00:00"/>
    <x v="172"/>
    <x v="0"/>
    <s v="10月"/>
    <x v="2"/>
    <s v="no mismatch"/>
    <s v="no mismatch"/>
    <n v="0"/>
    <n v="1440.6666666666667"/>
    <n v="1163.9632000000001"/>
    <n v="446941.88400000002"/>
    <x v="16"/>
    <x v="0"/>
  </r>
  <r>
    <x v="4"/>
    <x v="4"/>
    <x v="0"/>
    <x v="2"/>
    <s v="DC TST117549"/>
    <m/>
    <m/>
    <n v="7994"/>
    <x v="157"/>
    <n v="110582"/>
    <x v="63"/>
    <x v="126"/>
    <x v="2"/>
    <x v="2"/>
    <n v="25492690"/>
    <x v="0"/>
    <x v="0"/>
    <x v="0"/>
    <d v="2021-10-25T00:00:00"/>
    <x v="172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4669-M"/>
    <m/>
    <m/>
    <n v="12112.5"/>
    <x v="158"/>
    <n v="110581"/>
    <x v="63"/>
    <x v="127"/>
    <x v="13"/>
    <x v="2"/>
    <n v="17289917.5"/>
    <x v="0"/>
    <x v="0"/>
    <x v="0"/>
    <d v="2021-11-04T00:00:00"/>
    <x v="173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4669-M"/>
    <m/>
    <m/>
    <n v="0"/>
    <x v="158"/>
    <n v="110581"/>
    <x v="63"/>
    <x v="127"/>
    <x v="2"/>
    <x v="5"/>
    <n v="11364222.5"/>
    <x v="0"/>
    <x v="0"/>
    <x v="0"/>
    <d v="2021-11-04T00:00:00"/>
    <x v="173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4669-M"/>
    <m/>
    <m/>
    <n v="0"/>
    <x v="158"/>
    <n v="110652"/>
    <x v="63"/>
    <x v="127"/>
    <x v="2"/>
    <x v="5"/>
    <n v="5925695"/>
    <x v="0"/>
    <x v="0"/>
    <x v="0"/>
    <d v="2021-11-04T00:00:00"/>
    <x v="173"/>
    <x v="0"/>
    <s v="11月"/>
    <x v="2"/>
    <n v="5.6800000000000003E-2"/>
    <n v="6.8500000000000005E-2"/>
    <n v="0"/>
    <n v="1440.6666666666667"/>
    <n v="1163.9632000000001"/>
    <n v="446941.88400000002"/>
    <x v="0"/>
    <x v="0"/>
  </r>
  <r>
    <x v="4"/>
    <x v="4"/>
    <x v="0"/>
    <x v="2"/>
    <s v="LM861178100"/>
    <m/>
    <m/>
    <n v="7930"/>
    <x v="159"/>
    <n v="110594"/>
    <x v="60"/>
    <x v="121"/>
    <x v="14"/>
    <x v="2"/>
    <n v="21536418"/>
    <x v="0"/>
    <x v="0"/>
    <x v="0"/>
    <d v="2021-11-04T00:00:00"/>
    <x v="173"/>
    <x v="0"/>
    <s v="11月"/>
    <x v="2"/>
    <n v="5.6300000000000003E-2"/>
    <n v="6.8400000000000002E-2"/>
    <n v="0"/>
    <n v="1440.6666666666667"/>
    <n v="1163.9632000000001"/>
    <n v="446941.88400000002"/>
    <x v="0"/>
    <x v="0"/>
  </r>
  <r>
    <x v="4"/>
    <x v="4"/>
    <x v="0"/>
    <x v="2"/>
    <s v="DC TST11754"/>
    <m/>
    <m/>
    <n v="11844.75"/>
    <x v="160"/>
    <n v="110635"/>
    <x v="64"/>
    <x v="128"/>
    <x v="14"/>
    <x v="4"/>
    <n v="44682252"/>
    <x v="0"/>
    <x v="0"/>
    <x v="0"/>
    <d v="2021-11-27T00:00:00"/>
    <x v="174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4"/>
    <m/>
    <m/>
    <n v="0"/>
    <x v="160"/>
    <n v="110656"/>
    <x v="64"/>
    <x v="128"/>
    <x v="14"/>
    <x v="5"/>
    <n v="10284434"/>
    <x v="0"/>
    <x v="0"/>
    <x v="0"/>
    <d v="2021-11-27T00:00:00"/>
    <x v="174"/>
    <x v="0"/>
    <s v="11月"/>
    <x v="2"/>
    <n v="5.6300000000000003E-2"/>
    <n v="6.8400000000000002E-2"/>
    <n v="0"/>
    <n v="1440.6666666666667"/>
    <n v="1163.9632000000001"/>
    <n v="446941.88400000002"/>
    <x v="0"/>
    <x v="0"/>
  </r>
  <r>
    <x v="4"/>
    <x v="4"/>
    <x v="0"/>
    <x v="2"/>
    <s v="DC TST117556"/>
    <m/>
    <m/>
    <n v="11844.75"/>
    <x v="161"/>
    <n v="110634"/>
    <x v="64"/>
    <x v="128"/>
    <x v="2"/>
    <x v="2"/>
    <n v="32707750"/>
    <x v="0"/>
    <x v="0"/>
    <x v="0"/>
    <d v="2021-11-27T00:00:00"/>
    <x v="174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56"/>
    <m/>
    <m/>
    <n v="0"/>
    <x v="161"/>
    <n v="110662"/>
    <x v="64"/>
    <x v="128"/>
    <x v="2"/>
    <x v="2"/>
    <n v="14383690"/>
    <x v="0"/>
    <x v="0"/>
    <x v="0"/>
    <d v="2021-11-27T00:00:00"/>
    <x v="174"/>
    <x v="0"/>
    <s v="11月"/>
    <x v="2"/>
    <n v="5.6599999999999998E-2"/>
    <n v="6.8500000000000005E-2"/>
    <n v="0"/>
    <n v="1440.6666666666667"/>
    <n v="1163.9632000000001"/>
    <n v="446941.88400000002"/>
    <x v="0"/>
    <x v="0"/>
  </r>
  <r>
    <x v="4"/>
    <x v="4"/>
    <x v="0"/>
    <x v="2"/>
    <s v="DC TST117555"/>
    <m/>
    <m/>
    <n v="720"/>
    <x v="162"/>
    <n v="110620"/>
    <x v="65"/>
    <x v="128"/>
    <x v="14"/>
    <x v="2"/>
    <n v="24802468"/>
    <x v="0"/>
    <x v="0"/>
    <x v="0"/>
    <d v="2021-11-23T00:00:00"/>
    <x v="175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5409-M"/>
    <m/>
    <m/>
    <n v="18751"/>
    <x v="163"/>
    <n v="110617"/>
    <x v="65"/>
    <x v="129"/>
    <x v="14"/>
    <x v="2"/>
    <n v="38626338"/>
    <x v="0"/>
    <x v="0"/>
    <x v="0"/>
    <d v="2021-11-23T00:00:00"/>
    <x v="175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5310-M"/>
    <m/>
    <m/>
    <n v="720"/>
    <x v="164"/>
    <n v="110619"/>
    <x v="65"/>
    <x v="130"/>
    <x v="13"/>
    <x v="5"/>
    <n v="23022003"/>
    <x v="0"/>
    <x v="0"/>
    <x v="0"/>
    <d v="2021-11-23T00:00:00"/>
    <x v="175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2"/>
    <s v="315012065702-M"/>
    <m/>
    <m/>
    <n v="12112.5"/>
    <x v="165"/>
    <n v="110459"/>
    <x v="66"/>
    <x v="131"/>
    <x v="13"/>
    <x v="4"/>
    <n v="44538665"/>
    <x v="0"/>
    <x v="0"/>
    <x v="0"/>
    <d v="2021-12-07T00:00:00"/>
    <x v="176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57 "/>
    <m/>
    <m/>
    <n v="6659.5"/>
    <x v="166"/>
    <n v="110618"/>
    <x v="65"/>
    <x v="132"/>
    <x v="2"/>
    <x v="2"/>
    <n v="19280890"/>
    <x v="0"/>
    <x v="0"/>
    <x v="0"/>
    <d v="2021-11-26T00:00:00"/>
    <x v="176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DC TST117560"/>
    <m/>
    <m/>
    <n v="6659.5"/>
    <x v="167"/>
    <n v="110669"/>
    <x v="49"/>
    <x v="85"/>
    <x v="14"/>
    <x v="5"/>
    <n v="16456170"/>
    <x v="0"/>
    <x v="0"/>
    <x v="0"/>
    <d v="2021-12-23T00:00:00"/>
    <x v="177"/>
    <x v="0"/>
    <s v="12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1"/>
    <s v="DC TST117560"/>
    <m/>
    <m/>
    <n v="0"/>
    <x v="167"/>
    <n v="110366"/>
    <x v="49"/>
    <x v="85"/>
    <x v="14"/>
    <x v="5"/>
    <n v="9400170"/>
    <x v="0"/>
    <x v="0"/>
    <x v="0"/>
    <d v="2021-12-23T00:00:00"/>
    <x v="177"/>
    <x v="0"/>
    <s v="12月"/>
    <x v="2"/>
    <n v="6.0499999999999998E-2"/>
    <n v="7.2599999999999998E-2"/>
    <n v="0"/>
    <n v="1440.6666666666667"/>
    <n v="1163.9632000000001"/>
    <n v="446941.88400000002"/>
    <x v="12"/>
    <x v="0"/>
  </r>
  <r>
    <x v="4"/>
    <x v="1"/>
    <x v="1"/>
    <x v="2"/>
    <s v="DC TST118066"/>
    <m/>
    <m/>
    <n v="6659.5"/>
    <x v="168"/>
    <n v="110530"/>
    <x v="67"/>
    <x v="133"/>
    <x v="16"/>
    <x v="2"/>
    <n v="10615568"/>
    <x v="2"/>
    <x v="0"/>
    <x v="0"/>
    <d v="2021-12-23T00:00:00"/>
    <x v="178"/>
    <x v="0"/>
    <s v="12月"/>
    <x v="4"/>
    <n v="5.6899999999999999E-2"/>
    <n v="6.8599999999999994E-2"/>
    <m/>
    <m/>
    <m/>
    <m/>
    <x v="0"/>
    <x v="0"/>
  </r>
  <r>
    <x v="4"/>
    <x v="0"/>
    <x v="0"/>
    <x v="1"/>
    <s v="LC copy ASAP SCB"/>
    <m/>
    <m/>
    <n v="6659.5"/>
    <x v="169"/>
    <n v="110671"/>
    <x v="49"/>
    <x v="85"/>
    <x v="14"/>
    <x v="5"/>
    <n v="9428970"/>
    <x v="0"/>
    <x v="0"/>
    <x v="0"/>
    <d v="2021-12-26T00:00:00"/>
    <x v="179"/>
    <x v="0"/>
    <s v="12月"/>
    <x v="2"/>
    <s v="no mismatch"/>
    <s v="no mismatch"/>
    <n v="0"/>
    <n v="1440.6666666666667"/>
    <n v="1163.9632000000001"/>
    <n v="446941.88400000002"/>
    <x v="12"/>
    <x v="0"/>
  </r>
  <r>
    <x v="4"/>
    <x v="3"/>
    <x v="0"/>
    <x v="2"/>
    <s v="CNY单"/>
    <s v="CNY单"/>
    <s v="CNY单"/>
    <n v="0"/>
    <x v="170"/>
    <s v="49F104087"/>
    <x v="68"/>
    <x v="134"/>
    <x v="14"/>
    <x v="2"/>
    <n v="1400000"/>
    <x v="0"/>
    <x v="0"/>
    <x v="0"/>
    <s v="提货时间2021/12/7"/>
    <x v="180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1"/>
    <s v="49F104088"/>
    <x v="68"/>
    <x v="135"/>
    <x v="14"/>
    <x v="5"/>
    <n v="700000"/>
    <x v="0"/>
    <x v="0"/>
    <x v="0"/>
    <s v="提货时间2021/12/7"/>
    <x v="180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2"/>
    <s v="49F104089"/>
    <x v="68"/>
    <x v="123"/>
    <x v="14"/>
    <x v="5"/>
    <n v="700000"/>
    <x v="0"/>
    <x v="0"/>
    <x v="0"/>
    <s v="提货时间2021/12/7"/>
    <x v="180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3"/>
    <s v="49F103948"/>
    <x v="69"/>
    <x v="136"/>
    <x v="1"/>
    <x v="4"/>
    <n v="2745372"/>
    <x v="0"/>
    <x v="0"/>
    <x v="0"/>
    <s v="提货时间2021/8/26"/>
    <x v="181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4"/>
    <s v="49F103948"/>
    <x v="69"/>
    <x v="88"/>
    <x v="2"/>
    <x v="0"/>
    <n v="1640000"/>
    <x v="0"/>
    <x v="0"/>
    <x v="0"/>
    <s v="提货时间2021/9/28"/>
    <x v="182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5"/>
    <s v="49F104054"/>
    <x v="70"/>
    <x v="137"/>
    <x v="14"/>
    <x v="2"/>
    <n v="1400000"/>
    <x v="0"/>
    <x v="0"/>
    <x v="0"/>
    <s v="提货时间2021/11/11"/>
    <x v="183"/>
    <x v="0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176"/>
    <s v="49F104147"/>
    <x v="71"/>
    <x v="138"/>
    <x v="1"/>
    <x v="5"/>
    <n v="1000000"/>
    <x v="0"/>
    <x v="0"/>
    <x v="0"/>
    <s v="提货时间2022/1/11"/>
    <x v="184"/>
    <x v="0"/>
    <m/>
    <x v="4"/>
    <s v="CNY单"/>
    <s v="CNY单"/>
    <e v="#DIV/0!"/>
    <m/>
    <m/>
    <n v="0"/>
    <x v="0"/>
    <x v="0"/>
  </r>
  <r>
    <x v="3"/>
    <x v="0"/>
    <x v="0"/>
    <x v="1"/>
    <s v="100% befor shipment "/>
    <m/>
    <m/>
    <m/>
    <x v="177"/>
    <n v="110550"/>
    <x v="72"/>
    <x v="139"/>
    <x v="2"/>
    <x v="2"/>
    <n v="12645000"/>
    <x v="3"/>
    <x v="0"/>
    <x v="0"/>
    <s v="2021-7-21富洛HK仓库"/>
    <x v="185"/>
    <x v="1"/>
    <s v="2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315012066916-M"/>
    <m/>
    <m/>
    <n v="7458.5"/>
    <x v="178"/>
    <n v="110670"/>
    <x v="57"/>
    <x v="85"/>
    <x v="14"/>
    <x v="2"/>
    <n v="23083192"/>
    <x v="0"/>
    <x v="0"/>
    <x v="0"/>
    <d v="2022-01-01T00:00:00"/>
    <x v="186"/>
    <x v="0"/>
    <s v="12月"/>
    <x v="2"/>
    <s v="no mismatch"/>
    <s v="no mismatch"/>
    <n v="0"/>
    <n v="1440.6666666666667"/>
    <n v="1163.9632000000001"/>
    <n v="446941.88400000002"/>
    <x v="17"/>
    <x v="0"/>
  </r>
  <r>
    <x v="4"/>
    <x v="4"/>
    <x v="0"/>
    <x v="1"/>
    <s v="DC TST118073"/>
    <m/>
    <m/>
    <n v="23069.5"/>
    <x v="179"/>
    <n v="110664"/>
    <x v="73"/>
    <x v="140"/>
    <x v="2"/>
    <x v="7"/>
    <n v="75948790"/>
    <x v="0"/>
    <x v="0"/>
    <x v="0"/>
    <d v="2022-01-01T00:00:00"/>
    <x v="186"/>
    <x v="0"/>
    <s v="12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1"/>
    <s v="DC TST118074"/>
    <m/>
    <m/>
    <n v="14718.7"/>
    <x v="180"/>
    <n v="110708"/>
    <x v="74"/>
    <x v="140"/>
    <x v="14"/>
    <x v="0"/>
    <n v="73252736"/>
    <x v="0"/>
    <x v="0"/>
    <x v="0"/>
    <d v="2022-01-12T00:00:00"/>
    <x v="187"/>
    <x v="0"/>
    <s v="12月"/>
    <x v="2"/>
    <s v="no mismatch"/>
    <s v="no mismatch"/>
    <n v="0"/>
    <n v="1440.6666666666667"/>
    <n v="1163.9632000000001"/>
    <n v="446941.88400000002"/>
    <x v="18"/>
    <x v="0"/>
  </r>
  <r>
    <x v="3"/>
    <x v="5"/>
    <x v="0"/>
    <x v="1"/>
    <s v="315012066943-M"/>
    <m/>
    <m/>
    <n v="620"/>
    <x v="181"/>
    <n v="110665"/>
    <x v="74"/>
    <x v="140"/>
    <x v="14"/>
    <x v="5"/>
    <n v="12398294"/>
    <x v="0"/>
    <x v="0"/>
    <x v="0"/>
    <d v="2022-02-04T00:00:00"/>
    <x v="188"/>
    <x v="0"/>
    <s v="1月"/>
    <x v="2"/>
    <s v="no mismatch"/>
    <s v="no mismatch"/>
    <n v="0"/>
    <n v="1440.6666666666667"/>
    <n v="1163.9632000000001"/>
    <n v="446941.88400000002"/>
    <x v="18"/>
    <x v="2"/>
  </r>
  <r>
    <x v="3"/>
    <x v="5"/>
    <x v="0"/>
    <x v="1"/>
    <s v="315012066943-M"/>
    <m/>
    <m/>
    <m/>
    <x v="181"/>
    <n v="110801"/>
    <x v="74"/>
    <x v="140"/>
    <x v="14"/>
    <x v="5"/>
    <n v="12398294"/>
    <x v="0"/>
    <x v="0"/>
    <x v="0"/>
    <d v="2022-02-04T00:00:00"/>
    <x v="188"/>
    <x v="0"/>
    <s v="1月"/>
    <x v="2"/>
    <n v="5.6099999999999997E-2"/>
    <n v="6.8400000000000002E-2"/>
    <n v="0"/>
    <n v="1440.6666666666667"/>
    <n v="1163.9632000000001"/>
    <n v="446941.88400000002"/>
    <x v="18"/>
    <x v="2"/>
  </r>
  <r>
    <x v="3"/>
    <x v="4"/>
    <x v="0"/>
    <x v="2"/>
    <s v="DC TST118077"/>
    <m/>
    <m/>
    <n v="11390.3"/>
    <x v="182"/>
    <n v="110693"/>
    <x v="75"/>
    <x v="141"/>
    <x v="14"/>
    <x v="2"/>
    <n v="30498868"/>
    <x v="0"/>
    <x v="0"/>
    <x v="0"/>
    <d v="2022-02-04T00:00:00"/>
    <x v="189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1"/>
    <x v="0"/>
    <x v="1"/>
    <s v="LC copy ASAP SCB"/>
    <m/>
    <m/>
    <n v="9297.1"/>
    <x v="183"/>
    <n v="110666"/>
    <x v="75"/>
    <x v="85"/>
    <x v="15"/>
    <x v="2"/>
    <n v="16039000"/>
    <x v="0"/>
    <x v="0"/>
    <x v="0"/>
    <d v="2022-01-26T00:00:00"/>
    <x v="189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4"/>
    <m/>
    <m/>
    <n v="15690.95"/>
    <x v="184"/>
    <n v="110694"/>
    <x v="75"/>
    <x v="142"/>
    <x v="14"/>
    <x v="5"/>
    <n v="16335434"/>
    <x v="0"/>
    <x v="0"/>
    <x v="0"/>
    <d v="2022-02-06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3"/>
    <m/>
    <m/>
    <n v="0"/>
    <x v="185"/>
    <n v="110695"/>
    <x v="75"/>
    <x v="143"/>
    <x v="14"/>
    <x v="5"/>
    <n v="17781074"/>
    <x v="0"/>
    <x v="0"/>
    <x v="0"/>
    <d v="2022-02-06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5"/>
    <m/>
    <m/>
    <n v="0"/>
    <x v="186"/>
    <n v="110697"/>
    <x v="75"/>
    <x v="144"/>
    <x v="14"/>
    <x v="5"/>
    <n v="16849034"/>
    <x v="0"/>
    <x v="0"/>
    <x v="0"/>
    <d v="2022-02-06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8362-M"/>
    <m/>
    <m/>
    <n v="15070.95"/>
    <x v="187"/>
    <n v="110696"/>
    <x v="75"/>
    <x v="145"/>
    <x v="14"/>
    <x v="2"/>
    <n v="31813228"/>
    <x v="0"/>
    <x v="0"/>
    <x v="0"/>
    <d v="2022-02-05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8371-M"/>
    <m/>
    <m/>
    <n v="0"/>
    <x v="188"/>
    <n v="110698"/>
    <x v="75"/>
    <x v="146"/>
    <x v="14"/>
    <x v="2"/>
    <n v="26324068"/>
    <x v="0"/>
    <x v="0"/>
    <x v="0"/>
    <d v="2022-02-05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SCB"/>
    <m/>
    <m/>
    <n v="16310.95"/>
    <x v="189"/>
    <n v="110734"/>
    <x v="76"/>
    <x v="147"/>
    <x v="14"/>
    <x v="5"/>
    <n v="14497934"/>
    <x v="0"/>
    <x v="0"/>
    <x v="0"/>
    <d v="2022-02-08T00:00:00"/>
    <x v="191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7979-M"/>
    <m/>
    <m/>
    <n v="0"/>
    <x v="190"/>
    <n v="110731"/>
    <x v="76"/>
    <x v="148"/>
    <x v="14"/>
    <x v="5"/>
    <n v="13878574"/>
    <x v="0"/>
    <x v="0"/>
    <x v="0"/>
    <d v="2022-02-08T00:00:00"/>
    <x v="191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9"/>
    <m/>
    <m/>
    <n v="0"/>
    <x v="191"/>
    <n v="110689"/>
    <x v="75"/>
    <x v="141"/>
    <x v="2"/>
    <x v="5"/>
    <n v="11684645"/>
    <x v="0"/>
    <x v="0"/>
    <x v="0"/>
    <d v="2022-02-08T00:00:00"/>
    <x v="192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8"/>
    <m/>
    <m/>
    <n v="0"/>
    <x v="192"/>
    <n v="110690"/>
    <x v="75"/>
    <x v="143"/>
    <x v="2"/>
    <x v="5"/>
    <n v="11684645"/>
    <x v="0"/>
    <x v="0"/>
    <x v="0"/>
    <d v="2022-02-08T00:00:00"/>
    <x v="192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2"/>
    <s v="DC TST118090"/>
    <m/>
    <m/>
    <n v="15690.95"/>
    <x v="193"/>
    <n v="110630"/>
    <x v="64"/>
    <x v="122"/>
    <x v="17"/>
    <x v="5"/>
    <n v="17687520"/>
    <x v="0"/>
    <x v="0"/>
    <x v="0"/>
    <d v="2022-02-08T00:00:00"/>
    <x v="193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4208100 "/>
    <m/>
    <m/>
    <n v="0"/>
    <x v="194"/>
    <n v="110691"/>
    <x v="75"/>
    <x v="149"/>
    <x v="2"/>
    <x v="5"/>
    <n v="11684645"/>
    <x v="0"/>
    <x v="0"/>
    <x v="0"/>
    <d v="2022-02-08T00:00:00"/>
    <x v="193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4198100"/>
    <m/>
    <m/>
    <n v="0"/>
    <x v="195"/>
    <n v="110692"/>
    <x v="75"/>
    <x v="150"/>
    <x v="2"/>
    <x v="5"/>
    <n v="10074695"/>
    <x v="0"/>
    <x v="0"/>
    <x v="0"/>
    <d v="2022-02-08T00:00:00"/>
    <x v="193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SCB"/>
    <m/>
    <s v="有驳船"/>
    <n v="0"/>
    <x v="196"/>
    <n v="110726"/>
    <x v="76"/>
    <x v="151"/>
    <x v="2"/>
    <x v="2"/>
    <n v="18436090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SCB"/>
    <m/>
    <s v="有驳船"/>
    <n v="15160.2"/>
    <x v="197"/>
    <n v="110727"/>
    <x v="76"/>
    <x v="152"/>
    <x v="2"/>
    <x v="2"/>
    <n v="17783290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92"/>
    <m/>
    <s v="有驳船"/>
    <n v="0"/>
    <x v="198"/>
    <n v="110729"/>
    <x v="76"/>
    <x v="153"/>
    <x v="2"/>
    <x v="2"/>
    <n v="17889340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92"/>
    <m/>
    <s v="有驳船"/>
    <n v="14361.7"/>
    <x v="198"/>
    <n v="110729"/>
    <x v="76"/>
    <x v="153"/>
    <x v="14"/>
    <x v="2"/>
    <n v="25571818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M864808100"/>
    <m/>
    <s v="有驳船"/>
    <n v="11240.3"/>
    <x v="199"/>
    <n v="110472"/>
    <x v="49"/>
    <x v="85"/>
    <x v="2"/>
    <x v="4"/>
    <n v="16859295"/>
    <x v="0"/>
    <x v="0"/>
    <x v="0"/>
    <d v="2022-03-03T00:00:00"/>
    <x v="194"/>
    <x v="0"/>
    <s v="2月"/>
    <x v="2"/>
    <n v="5.9499999999999997E-2"/>
    <n v="7.1099999999999997E-2"/>
    <n v="0"/>
    <n v="1440.6666666666667"/>
    <n v="1163.9632000000001"/>
    <n v="446941.88400000002"/>
    <x v="19"/>
    <x v="0"/>
  </r>
  <r>
    <x v="3"/>
    <x v="4"/>
    <x v="0"/>
    <x v="2"/>
    <s v="315012069003-M"/>
    <m/>
    <s v="有驳船"/>
    <n v="0"/>
    <x v="200"/>
    <n v="110730"/>
    <x v="76"/>
    <x v="146"/>
    <x v="2"/>
    <x v="2"/>
    <n v="20100760"/>
    <x v="0"/>
    <x v="0"/>
    <x v="0"/>
    <d v="2022-03-03T00:00:00"/>
    <x v="195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9003-M"/>
    <m/>
    <s v="有驳船"/>
    <n v="11240.3"/>
    <x v="200"/>
    <n v="110730"/>
    <x v="76"/>
    <x v="146"/>
    <x v="14"/>
    <x v="2"/>
    <n v="26285938"/>
    <x v="0"/>
    <x v="0"/>
    <x v="0"/>
    <d v="2022-03-03T00:00:00"/>
    <x v="195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97"/>
    <m/>
    <s v="有驳船"/>
    <n v="15070.95"/>
    <x v="201"/>
    <n v="110733"/>
    <x v="76"/>
    <x v="154"/>
    <x v="14"/>
    <x v="5"/>
    <n v="19739894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DC TST118098 "/>
    <m/>
    <s v="有驳船"/>
    <n v="0"/>
    <x v="202"/>
    <n v="110800"/>
    <x v="49"/>
    <x v="85"/>
    <x v="2"/>
    <x v="2"/>
    <n v="10789530"/>
    <x v="0"/>
    <x v="0"/>
    <x v="0"/>
    <d v="2022-03-02T00:00:00"/>
    <x v="196"/>
    <x v="0"/>
    <s v="2月"/>
    <x v="2"/>
    <s v="no mismatch"/>
    <s v="no mismatch"/>
    <m/>
    <m/>
    <m/>
    <m/>
    <x v="8"/>
    <x v="0"/>
  </r>
  <r>
    <x v="3"/>
    <x v="0"/>
    <x v="0"/>
    <x v="1"/>
    <s v="315012069842-M"/>
    <m/>
    <s v="有驳船"/>
    <n v="15070.95"/>
    <x v="203"/>
    <n v="110771"/>
    <x v="49"/>
    <x v="85"/>
    <x v="2"/>
    <x v="2"/>
    <n v="12114330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19"/>
    <x v="0"/>
  </r>
  <r>
    <x v="3"/>
    <x v="4"/>
    <x v="0"/>
    <x v="2"/>
    <s v="315012069147-M"/>
    <m/>
    <s v="有驳船"/>
    <n v="0"/>
    <x v="204"/>
    <n v="110728"/>
    <x v="76"/>
    <x v="155"/>
    <x v="2"/>
    <x v="5"/>
    <n v="9338045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9147-M"/>
    <m/>
    <s v="有驳船"/>
    <n v="0"/>
    <x v="204"/>
    <n v="110728"/>
    <x v="76"/>
    <x v="155"/>
    <x v="14"/>
    <x v="5"/>
    <n v="13179284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5508100"/>
    <m/>
    <s v="有驳船"/>
    <n v="11390.3"/>
    <x v="205"/>
    <n v="110732"/>
    <x v="76"/>
    <x v="156"/>
    <x v="14"/>
    <x v="5"/>
    <n v="20947094"/>
    <x v="0"/>
    <x v="0"/>
    <x v="0"/>
    <d v="2022-03-07T00:00:00"/>
    <x v="197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5498100"/>
    <m/>
    <s v="有驳船"/>
    <n v="0"/>
    <x v="206"/>
    <n v="110737"/>
    <x v="77"/>
    <x v="157"/>
    <x v="14"/>
    <x v="5"/>
    <n v="12048434"/>
    <x v="0"/>
    <x v="0"/>
    <x v="0"/>
    <d v="2022-03-07T00:00:00"/>
    <x v="197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M865598100"/>
    <m/>
    <s v="有驳船"/>
    <n v="0"/>
    <x v="207"/>
    <n v="110773"/>
    <x v="49"/>
    <x v="85"/>
    <x v="14"/>
    <x v="5"/>
    <n v="9788970"/>
    <x v="0"/>
    <x v="0"/>
    <x v="0"/>
    <d v="2022-03-07T00:00:00"/>
    <x v="197"/>
    <x v="0"/>
    <s v="3月"/>
    <x v="2"/>
    <s v="no mismatch"/>
    <s v="no mismatch"/>
    <n v="0"/>
    <n v="1440.6666666666667"/>
    <n v="1163.9632000000001"/>
    <n v="446941.88400000002"/>
    <x v="12"/>
    <x v="0"/>
  </r>
  <r>
    <x v="3"/>
    <x v="0"/>
    <x v="0"/>
    <x v="1"/>
    <s v="DC TST120453"/>
    <m/>
    <s v="有驳船"/>
    <n v="12630.3"/>
    <x v="208"/>
    <n v="110775"/>
    <x v="49"/>
    <x v="85"/>
    <x v="14"/>
    <x v="4"/>
    <n v="28618110"/>
    <x v="0"/>
    <x v="0"/>
    <x v="0"/>
    <d v="2022-03-20T00:00:00"/>
    <x v="198"/>
    <x v="0"/>
    <s v="3月"/>
    <x v="2"/>
    <s v="no mismatch"/>
    <s v="no mismatch"/>
    <n v="0"/>
    <n v="1440.6666666666667"/>
    <n v="1163.9632000000001"/>
    <n v="446941.88400000002"/>
    <x v="15"/>
    <x v="0"/>
  </r>
  <r>
    <x v="3"/>
    <x v="0"/>
    <x v="0"/>
    <x v="1"/>
    <s v="DC TST120454"/>
    <m/>
    <s v="有驳船"/>
    <n v="0"/>
    <x v="209"/>
    <n v="110774"/>
    <x v="49"/>
    <x v="85"/>
    <x v="14"/>
    <x v="5"/>
    <n v="11137770"/>
    <x v="0"/>
    <x v="0"/>
    <x v="0"/>
    <d v="2022-03-20T00:00:00"/>
    <x v="198"/>
    <x v="0"/>
    <s v="3月"/>
    <x v="2"/>
    <s v="no mismatch"/>
    <s v="no mismatch"/>
    <n v="0"/>
    <n v="1440.6666666666667"/>
    <n v="1163.9632000000001"/>
    <n v="446941.88400000002"/>
    <x v="15"/>
    <x v="0"/>
  </r>
  <r>
    <x v="3"/>
    <x v="0"/>
    <x v="0"/>
    <x v="1"/>
    <s v="315012069851-M"/>
    <m/>
    <s v="有驳船"/>
    <n v="0"/>
    <x v="210"/>
    <n v="110249"/>
    <x v="49"/>
    <x v="85"/>
    <x v="14"/>
    <x v="5"/>
    <n v="9428970"/>
    <x v="0"/>
    <x v="0"/>
    <x v="0"/>
    <d v="2022-03-20T00:00:00"/>
    <x v="198"/>
    <x v="0"/>
    <s v="3月"/>
    <x v="2"/>
    <s v="no mismatch"/>
    <s v="no mismatch"/>
    <n v="0"/>
    <n v="1440.6666666666667"/>
    <n v="1163.9632000000001"/>
    <n v="446941.88400000002"/>
    <x v="12"/>
    <x v="0"/>
  </r>
  <r>
    <x v="3"/>
    <x v="4"/>
    <x v="0"/>
    <x v="2"/>
    <s v="315012069860-M"/>
    <m/>
    <s v="有驳船"/>
    <n v="16578.7"/>
    <x v="211"/>
    <n v="110755"/>
    <x v="78"/>
    <x v="158"/>
    <x v="2"/>
    <x v="5"/>
    <n v="6184445"/>
    <x v="0"/>
    <x v="0"/>
    <x v="0"/>
    <d v="2022-03-22T00:00:00"/>
    <x v="198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545-M"/>
    <m/>
    <s v="有驳船"/>
    <n v="0"/>
    <x v="212"/>
    <n v="110756"/>
    <x v="78"/>
    <x v="159"/>
    <x v="2"/>
    <x v="2"/>
    <n v="14809690"/>
    <x v="0"/>
    <x v="0"/>
    <x v="0"/>
    <d v="2022-03-22T00:00:00"/>
    <x v="199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732-M"/>
    <m/>
    <s v="有驳船"/>
    <n v="0"/>
    <x v="213"/>
    <n v="110770"/>
    <x v="78"/>
    <x v="109"/>
    <x v="14"/>
    <x v="5"/>
    <n v="9684434"/>
    <x v="0"/>
    <x v="0"/>
    <x v="0"/>
    <d v="2022-03-22T00:00:00"/>
    <x v="199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LM865828100"/>
    <m/>
    <s v="有驳船"/>
    <n v="0"/>
    <x v="214"/>
    <n v="110769"/>
    <x v="78"/>
    <x v="160"/>
    <x v="14"/>
    <x v="5"/>
    <n v="10284434"/>
    <x v="0"/>
    <x v="0"/>
    <x v="0"/>
    <d v="2022-03-22T00:00:00"/>
    <x v="199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LM865628100"/>
    <m/>
    <s v="有驳船"/>
    <n v="15958.7"/>
    <x v="215"/>
    <n v="110766"/>
    <x v="78"/>
    <x v="161"/>
    <x v="14"/>
    <x v="2"/>
    <n v="24137668"/>
    <x v="0"/>
    <x v="0"/>
    <x v="0"/>
    <d v="2022-03-28T00:00:00"/>
    <x v="200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315012069922-M"/>
    <m/>
    <s v="有驳船"/>
    <n v="0"/>
    <x v="216"/>
    <n v="110768"/>
    <x v="78"/>
    <x v="110"/>
    <x v="14"/>
    <x v="5"/>
    <n v="10284434"/>
    <x v="0"/>
    <x v="0"/>
    <x v="0"/>
    <d v="2022-03-28T00:00:00"/>
    <x v="200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315012069913-M"/>
    <m/>
    <s v="有驳船"/>
    <n v="0"/>
    <x v="217"/>
    <n v="110767"/>
    <x v="78"/>
    <x v="148"/>
    <x v="14"/>
    <x v="2"/>
    <n v="20568868"/>
    <x v="0"/>
    <x v="0"/>
    <x v="0"/>
    <d v="2022-03-28T00:00:00"/>
    <x v="200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315012070000-M"/>
    <m/>
    <s v="有驳船"/>
    <n v="16310.95"/>
    <x v="218"/>
    <n v="110758"/>
    <x v="78"/>
    <x v="147"/>
    <x v="2"/>
    <x v="5"/>
    <n v="6184445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9995-M"/>
    <m/>
    <s v="有驳船"/>
    <n v="0"/>
    <x v="219"/>
    <n v="110760"/>
    <x v="78"/>
    <x v="162"/>
    <x v="2"/>
    <x v="5"/>
    <n v="5784445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135-M"/>
    <m/>
    <s v="有驳船"/>
    <n v="0"/>
    <x v="220"/>
    <n v="110762"/>
    <x v="78"/>
    <x v="163"/>
    <x v="2"/>
    <x v="5"/>
    <n v="6184445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019-M"/>
    <m/>
    <s v="有驳船"/>
    <n v="0"/>
    <x v="221"/>
    <n v="110813"/>
    <x v="79"/>
    <x v="164"/>
    <x v="2"/>
    <x v="2"/>
    <n v="18182340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117-M"/>
    <m/>
    <s v="有驳船"/>
    <n v="8892.35"/>
    <x v="222"/>
    <n v="110757"/>
    <x v="78"/>
    <x v="164"/>
    <x v="2"/>
    <x v="2"/>
    <n v="14215290"/>
    <x v="0"/>
    <x v="0"/>
    <x v="0"/>
    <d v="2022-03-26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4"/>
    <x v="0"/>
    <x v="2"/>
    <s v="315012070732-M"/>
    <m/>
    <s v="有驳船"/>
    <n v="12630.3"/>
    <x v="223"/>
    <n v="110759"/>
    <x v="78"/>
    <x v="165"/>
    <x v="2"/>
    <x v="5"/>
    <n v="6184445"/>
    <x v="0"/>
    <x v="0"/>
    <x v="0"/>
    <d v="2022-03-25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4"/>
    <x v="0"/>
    <x v="2"/>
    <s v="315012070108-M"/>
    <m/>
    <s v="有驳船"/>
    <n v="0"/>
    <x v="224"/>
    <n v="110761"/>
    <x v="78"/>
    <x v="166"/>
    <x v="2"/>
    <x v="5"/>
    <n v="5784445"/>
    <x v="0"/>
    <x v="0"/>
    <x v="0"/>
    <d v="2022-03-25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4"/>
    <x v="0"/>
    <x v="2"/>
    <s v="LC copy ASAP SCB"/>
    <m/>
    <s v="有驳船"/>
    <n v="0"/>
    <x v="225"/>
    <n v="110763"/>
    <x v="78"/>
    <x v="148"/>
    <x v="2"/>
    <x v="4"/>
    <n v="23533635"/>
    <x v="0"/>
    <x v="0"/>
    <x v="0"/>
    <d v="2022-03-25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0"/>
    <x v="1"/>
    <x v="2"/>
    <s v="LM866038100"/>
    <m/>
    <s v="有驳船"/>
    <n v="28533.1"/>
    <x v="226"/>
    <n v="110803"/>
    <x v="80"/>
    <x v="167"/>
    <x v="11"/>
    <x v="6"/>
    <n v="82439520"/>
    <x v="0"/>
    <x v="0"/>
    <x v="0"/>
    <d v="2022-04-13T00:00:00"/>
    <x v="203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1"/>
    <x v="0"/>
    <x v="2"/>
    <s v="315012070894-M"/>
    <m/>
    <m/>
    <n v="9712.15"/>
    <x v="227"/>
    <n v="110791"/>
    <x v="81"/>
    <x v="168"/>
    <x v="15"/>
    <x v="5"/>
    <n v="8641981"/>
    <x v="0"/>
    <x v="0"/>
    <x v="0"/>
    <d v="2022-04-13T00:00:00"/>
    <x v="204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315012070796-M"/>
    <m/>
    <s v="有驳船"/>
    <n v="15958.7"/>
    <x v="228"/>
    <n v="110812"/>
    <x v="49"/>
    <x v="85"/>
    <x v="2"/>
    <x v="4"/>
    <n v="16521795"/>
    <x v="0"/>
    <x v="0"/>
    <x v="0"/>
    <d v="2020-04-07T00:00:00"/>
    <x v="202"/>
    <x v="0"/>
    <s v="4月"/>
    <x v="2"/>
    <s v="No mismatch"/>
    <s v="no mismatch"/>
    <m/>
    <m/>
    <m/>
    <m/>
    <x v="8"/>
    <x v="0"/>
  </r>
  <r>
    <x v="3"/>
    <x v="4"/>
    <x v="0"/>
    <x v="2"/>
    <s v="JPY ESHL单"/>
    <m/>
    <m/>
    <n v="16814.7"/>
    <x v="229"/>
    <n v="110808"/>
    <x v="82"/>
    <x v="88"/>
    <x v="2"/>
    <x v="3"/>
    <n v="41364930"/>
    <x v="0"/>
    <x v="0"/>
    <x v="0"/>
    <d v="2022-04-03T00:00:00"/>
    <x v="202"/>
    <x v="1"/>
    <s v="4月"/>
    <x v="2"/>
    <n v="5.5500000000000001E-2"/>
    <n v="6.7900000000000002E-2"/>
    <n v="0"/>
    <n v="1440.6666666666667"/>
    <n v="1163.9632000000001"/>
    <n v="446941.88400000002"/>
    <x v="0"/>
    <x v="0"/>
  </r>
  <r>
    <x v="3"/>
    <x v="4"/>
    <x v="0"/>
    <x v="2"/>
    <s v="315012070778-M"/>
    <m/>
    <s v="有驳船"/>
    <n v="0"/>
    <x v="230"/>
    <n v="110765"/>
    <x v="78"/>
    <x v="169"/>
    <x v="2"/>
    <x v="5"/>
    <n v="6184445"/>
    <x v="0"/>
    <x v="0"/>
    <x v="0"/>
    <d v="2020-04-07T00:00:00"/>
    <x v="202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787-M"/>
    <m/>
    <s v="有驳船"/>
    <n v="0"/>
    <x v="231"/>
    <n v="110764"/>
    <x v="78"/>
    <x v="146"/>
    <x v="2"/>
    <x v="5"/>
    <n v="6933095"/>
    <x v="0"/>
    <x v="0"/>
    <x v="0"/>
    <d v="2020-04-07T00:00:00"/>
    <x v="202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2"/>
    <s v="315012071410-M"/>
    <m/>
    <s v="有驳船"/>
    <n v="0"/>
    <x v="232"/>
    <n v="110824"/>
    <x v="57"/>
    <x v="120"/>
    <x v="2"/>
    <x v="5"/>
    <n v="6849315"/>
    <x v="0"/>
    <x v="0"/>
    <x v="0"/>
    <d v="2022-04-13T00:00:00"/>
    <x v="202"/>
    <x v="0"/>
    <s v="4月"/>
    <x v="2"/>
    <s v="No mismatch"/>
    <s v="no mismatch"/>
    <n v="0"/>
    <n v="1440.6666666666667"/>
    <n v="1163.9632000000001"/>
    <n v="446941.88400000002"/>
    <x v="20"/>
    <x v="0"/>
  </r>
  <r>
    <x v="3"/>
    <x v="4"/>
    <x v="0"/>
    <x v="2"/>
    <s v="LM866168100 "/>
    <m/>
    <s v="有驳船"/>
    <n v="15816.55"/>
    <x v="233"/>
    <n v="110829"/>
    <x v="83"/>
    <x v="163"/>
    <x v="2"/>
    <x v="5"/>
    <n v="15833695"/>
    <x v="0"/>
    <x v="0"/>
    <x v="0"/>
    <d v="2022-04-13T00:00:00"/>
    <x v="204"/>
    <x v="0"/>
    <s v="4月"/>
    <x v="2"/>
    <n v="5.45E-2"/>
    <n v="6.7100000000000007E-2"/>
    <n v="0"/>
    <n v="1440.6666666666667"/>
    <n v="1163.9632000000001"/>
    <n v="446941.88400000002"/>
    <x v="0"/>
    <x v="0"/>
  </r>
  <r>
    <x v="3"/>
    <x v="6"/>
    <x v="0"/>
    <x v="2"/>
    <s v="LM966178100"/>
    <m/>
    <s v="有驳船"/>
    <n v="0"/>
    <x v="234"/>
    <n v="110825"/>
    <x v="83"/>
    <x v="132"/>
    <x v="2"/>
    <x v="2"/>
    <n v="23290790"/>
    <x v="0"/>
    <x v="0"/>
    <x v="0"/>
    <d v="2022-04-13T00:00:00"/>
    <x v="204"/>
    <x v="0"/>
    <s v="4月"/>
    <x v="2"/>
    <n v="5.1200000000000002E-2"/>
    <n v="6.2799999999999995E-2"/>
    <n v="0"/>
    <n v="1440.6666666666667"/>
    <n v="1163.9632000000001"/>
    <n v="446941.88400000002"/>
    <x v="0"/>
    <x v="3"/>
  </r>
  <r>
    <x v="3"/>
    <x v="4"/>
    <x v="0"/>
    <x v="2"/>
    <s v="LM866218100"/>
    <m/>
    <s v="有驳船"/>
    <n v="0"/>
    <x v="235"/>
    <n v="110831"/>
    <x v="83"/>
    <x v="170"/>
    <x v="2"/>
    <x v="5"/>
    <n v="13929445"/>
    <x v="0"/>
    <x v="0"/>
    <x v="0"/>
    <d v="2022-04-13T00:00:00"/>
    <x v="204"/>
    <x v="0"/>
    <s v="4月"/>
    <x v="2"/>
    <n v="5.45E-2"/>
    <n v="6.7100000000000007E-2"/>
    <n v="0"/>
    <n v="1440.6666666666667"/>
    <n v="1163.9632000000001"/>
    <n v="446941.88400000002"/>
    <x v="0"/>
    <x v="0"/>
  </r>
  <r>
    <x v="3"/>
    <x v="0"/>
    <x v="0"/>
    <x v="1"/>
    <s v="315012071508-M"/>
    <m/>
    <s v="有驳船"/>
    <n v="15196.55"/>
    <x v="236"/>
    <n v="110823"/>
    <x v="49"/>
    <x v="85"/>
    <x v="14"/>
    <x v="4"/>
    <n v="28286910"/>
    <x v="0"/>
    <x v="0"/>
    <x v="0"/>
    <d v="2022-04-16T00:00:00"/>
    <x v="204"/>
    <x v="0"/>
    <s v="4月"/>
    <x v="2"/>
    <s v="no mismatch"/>
    <s v="no mismatch"/>
    <n v="0"/>
    <n v="1440.6666666666667"/>
    <n v="1163.9632000000001"/>
    <n v="446941.88400000002"/>
    <x v="15"/>
    <x v="0"/>
  </r>
  <r>
    <x v="3"/>
    <x v="4"/>
    <x v="0"/>
    <x v="2"/>
    <s v="315012071517-M"/>
    <m/>
    <s v="有驳船"/>
    <n v="0"/>
    <x v="237"/>
    <n v="110830"/>
    <x v="83"/>
    <x v="143"/>
    <x v="2"/>
    <x v="2"/>
    <n v="21351990"/>
    <x v="0"/>
    <x v="0"/>
    <x v="0"/>
    <d v="2022-04-16T00:00:00"/>
    <x v="204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278-M"/>
    <m/>
    <m/>
    <n v="24640.95"/>
    <x v="238"/>
    <n v="110826"/>
    <x v="83"/>
    <x v="171"/>
    <x v="2"/>
    <x v="5"/>
    <n v="15741195"/>
    <x v="0"/>
    <x v="0"/>
    <x v="0"/>
    <d v="2022-04-16T00:00:00"/>
    <x v="205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287-M"/>
    <m/>
    <m/>
    <n v="0"/>
    <x v="239"/>
    <n v="110827"/>
    <x v="83"/>
    <x v="172"/>
    <x v="2"/>
    <x v="5"/>
    <n v="15357645"/>
    <x v="0"/>
    <x v="0"/>
    <x v="0"/>
    <d v="2022-04-16T00:00:00"/>
    <x v="205"/>
    <x v="0"/>
    <s v="4月"/>
    <x v="2"/>
    <n v="5.5100000000000003E-2"/>
    <n v="6.7799999999999999E-2"/>
    <n v="0"/>
    <n v="1440.6666666666667"/>
    <n v="1163.9632000000001"/>
    <n v="446941.88400000002"/>
    <x v="0"/>
    <x v="0"/>
  </r>
  <r>
    <x v="3"/>
    <x v="4"/>
    <x v="0"/>
    <x v="2"/>
    <s v="315012071296-M"/>
    <m/>
    <m/>
    <n v="0"/>
    <x v="240"/>
    <n v="110828"/>
    <x v="83"/>
    <x v="155"/>
    <x v="2"/>
    <x v="5"/>
    <n v="15514995"/>
    <x v="0"/>
    <x v="0"/>
    <x v="0"/>
    <d v="2022-04-16T00:00:00"/>
    <x v="205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269-M"/>
    <m/>
    <m/>
    <n v="0"/>
    <x v="241"/>
    <n v="110832"/>
    <x v="83"/>
    <x v="148"/>
    <x v="2"/>
    <x v="2"/>
    <n v="20018590"/>
    <x v="0"/>
    <x v="0"/>
    <x v="0"/>
    <d v="2022-04-16T00:00:00"/>
    <x v="205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553-M"/>
    <m/>
    <s v="有驳船"/>
    <n v="15816.55"/>
    <x v="242"/>
    <n v="110838"/>
    <x v="83"/>
    <x v="173"/>
    <x v="14"/>
    <x v="2"/>
    <n v="27724868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839-M"/>
    <m/>
    <m/>
    <n v="15816.55"/>
    <x v="243"/>
    <n v="110833"/>
    <x v="83"/>
    <x v="174"/>
    <x v="14"/>
    <x v="5"/>
    <n v="2015651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820-M"/>
    <m/>
    <s v="有驳船"/>
    <n v="0"/>
    <x v="244"/>
    <n v="110834"/>
    <x v="83"/>
    <x v="175"/>
    <x v="14"/>
    <x v="5"/>
    <n v="1783427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6548100"/>
    <m/>
    <m/>
    <n v="0"/>
    <x v="245"/>
    <n v="110835"/>
    <x v="83"/>
    <x v="176"/>
    <x v="14"/>
    <x v="5"/>
    <n v="1386243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6568100"/>
    <m/>
    <s v="有驳船"/>
    <n v="0"/>
    <x v="246"/>
    <n v="110836"/>
    <x v="83"/>
    <x v="177"/>
    <x v="14"/>
    <x v="5"/>
    <n v="1206707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6588100"/>
    <m/>
    <m/>
    <n v="0"/>
    <x v="247"/>
    <n v="110837"/>
    <x v="83"/>
    <x v="131"/>
    <x v="14"/>
    <x v="5"/>
    <n v="1206707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ANZ"/>
    <m/>
    <s v="有驳船"/>
    <n v="28265.35"/>
    <x v="248"/>
    <n v="110810"/>
    <x v="82"/>
    <x v="88"/>
    <x v="2"/>
    <x v="6"/>
    <n v="55256220"/>
    <x v="0"/>
    <x v="0"/>
    <x v="0"/>
    <d v="2022-05-10T00:00:00"/>
    <x v="206"/>
    <x v="0"/>
    <s v="4月"/>
    <x v="2"/>
    <n v="5.0200000000000002E-2"/>
    <n v="6.1199999999999997E-2"/>
    <n v="0"/>
    <n v="1440.6666666666667"/>
    <n v="1163.9632000000001"/>
    <n v="446941.88400000002"/>
    <x v="0"/>
    <x v="0"/>
  </r>
  <r>
    <x v="3"/>
    <x v="4"/>
    <x v="0"/>
    <x v="2"/>
    <s v="LC copy ASAP ANZ"/>
    <m/>
    <s v="有驳船"/>
    <n v="0"/>
    <x v="248"/>
    <n v="110913"/>
    <x v="82"/>
    <x v="88"/>
    <x v="2"/>
    <x v="0"/>
    <n v="27932380"/>
    <x v="0"/>
    <x v="0"/>
    <x v="0"/>
    <d v="2022-05-10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C copy ASAP SCB"/>
    <m/>
    <m/>
    <n v="9092.15"/>
    <x v="249"/>
    <n v="110436"/>
    <x v="49"/>
    <x v="85"/>
    <x v="2"/>
    <x v="5"/>
    <n v="12450765"/>
    <x v="0"/>
    <x v="0"/>
    <x v="0"/>
    <d v="2022-05-07T00:00:00"/>
    <x v="207"/>
    <x v="0"/>
    <s v="4月"/>
    <x v="2"/>
    <n v="5.0200000000000002E-2"/>
    <n v="6.1199999999999997E-2"/>
    <m/>
    <m/>
    <m/>
    <m/>
    <x v="8"/>
    <x v="0"/>
  </r>
  <r>
    <x v="3"/>
    <x v="0"/>
    <x v="0"/>
    <x v="1"/>
    <s v="315012072482-M"/>
    <m/>
    <s v="有驳船"/>
    <n v="15464.3"/>
    <x v="250"/>
    <n v="110429"/>
    <x v="49"/>
    <x v="85"/>
    <x v="2"/>
    <x v="4"/>
    <n v="16184295"/>
    <x v="0"/>
    <x v="0"/>
    <x v="0"/>
    <d v="2022-05-13T00:00:00"/>
    <x v="208"/>
    <x v="0"/>
    <s v="5月"/>
    <x v="2"/>
    <n v="6.0600000000000001E-2"/>
    <n v="7.1499999999999994E-2"/>
    <n v="0"/>
    <n v="1440.6666666666667"/>
    <n v="1163.9632000000001"/>
    <n v="446941.88400000002"/>
    <x v="19"/>
    <x v="0"/>
  </r>
  <r>
    <x v="3"/>
    <x v="4"/>
    <x v="0"/>
    <x v="2"/>
    <s v="315012072491-M"/>
    <m/>
    <s v="有驳船"/>
    <n v="0"/>
    <x v="251"/>
    <n v="110870"/>
    <x v="84"/>
    <x v="178"/>
    <x v="2"/>
    <x v="2"/>
    <n v="20207990"/>
    <x v="0"/>
    <x v="0"/>
    <x v="0"/>
    <d v="2022-05-13T00:00:00"/>
    <x v="209"/>
    <x v="0"/>
    <s v="5月"/>
    <x v="2"/>
    <n v="5.21E-2"/>
    <n v="6.0400000000000002E-2"/>
    <n v="0"/>
    <n v="1440.6666666666667"/>
    <n v="1163.9632000000001"/>
    <n v="446941.88400000002"/>
    <x v="0"/>
    <x v="0"/>
  </r>
  <r>
    <x v="3"/>
    <x v="4"/>
    <x v="0"/>
    <x v="2"/>
    <s v="315012072473-M"/>
    <m/>
    <m/>
    <n v="14844.3"/>
    <x v="252"/>
    <n v="110874"/>
    <x v="84"/>
    <x v="179"/>
    <x v="2"/>
    <x v="5"/>
    <n v="10066645"/>
    <x v="0"/>
    <x v="0"/>
    <x v="0"/>
    <d v="2022-05-21T00:00:00"/>
    <x v="208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7048100"/>
    <m/>
    <m/>
    <n v="0"/>
    <x v="253"/>
    <n v="110873"/>
    <x v="84"/>
    <x v="180"/>
    <x v="2"/>
    <x v="4"/>
    <n v="32856885"/>
    <x v="0"/>
    <x v="0"/>
    <x v="0"/>
    <d v="2022-05-21T00:00:00"/>
    <x v="208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M867038100"/>
    <m/>
    <s v="有驳船"/>
    <n v="14844.3"/>
    <x v="254"/>
    <n v="110882"/>
    <x v="49"/>
    <x v="85"/>
    <x v="14"/>
    <x v="4"/>
    <n v="28646910"/>
    <x v="0"/>
    <x v="0"/>
    <x v="0"/>
    <d v="2022-05-19T00:00:00"/>
    <x v="208"/>
    <x v="0"/>
    <s v="5月"/>
    <x v="2"/>
    <s v="no mismatch "/>
    <s v="no mismatch "/>
    <n v="0"/>
    <n v="1440.6666666666667"/>
    <n v="1163.9632000000001"/>
    <n v="446941.88400000002"/>
    <x v="15"/>
    <x v="0"/>
  </r>
  <r>
    <x v="3"/>
    <x v="4"/>
    <x v="0"/>
    <x v="2"/>
    <s v="315012073427-M"/>
    <m/>
    <s v="有驳船"/>
    <n v="23931.7"/>
    <x v="255"/>
    <n v="110869"/>
    <x v="84"/>
    <x v="181"/>
    <x v="14"/>
    <x v="5"/>
    <n v="20233112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5"/>
    <x v="0"/>
    <x v="2"/>
    <s v="315012073310-M"/>
    <m/>
    <s v="有驳船"/>
    <n v="15775.06"/>
    <x v="256"/>
    <n v="110863"/>
    <x v="84"/>
    <x v="129"/>
    <x v="14"/>
    <x v="5"/>
    <n v="17066994"/>
    <x v="0"/>
    <x v="0"/>
    <x v="0"/>
    <d v="2022-06-02T00:00:00"/>
    <x v="210"/>
    <x v="0"/>
    <s v="5月"/>
    <x v="2"/>
    <n v="5.1299999999999998E-2"/>
    <n v="6.1899999999999997E-2"/>
    <n v="0"/>
    <n v="1440.6666666666667"/>
    <n v="1163.9632000000001"/>
    <n v="446941.88400000002"/>
    <x v="0"/>
    <x v="3"/>
  </r>
  <r>
    <x v="3"/>
    <x v="4"/>
    <x v="0"/>
    <x v="2"/>
    <s v="315012073409-M"/>
    <m/>
    <s v="有驳船"/>
    <n v="0"/>
    <x v="257"/>
    <n v="110866"/>
    <x v="84"/>
    <x v="182"/>
    <x v="14"/>
    <x v="2"/>
    <n v="32891368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7228100"/>
    <m/>
    <m/>
    <n v="14487.3"/>
    <x v="258"/>
    <n v="110867"/>
    <x v="84"/>
    <x v="180"/>
    <x v="14"/>
    <x v="4"/>
    <n v="52656537"/>
    <x v="0"/>
    <x v="0"/>
    <x v="0"/>
    <d v="2022-05-23T00:00:00"/>
    <x v="211"/>
    <x v="0"/>
    <s v="5月"/>
    <x v="2"/>
    <n v="5.21E-2"/>
    <n v="6.0400000000000002E-2"/>
    <n v="0"/>
    <n v="1440.6666666666667"/>
    <n v="1163.9632000000001"/>
    <n v="446941.88400000002"/>
    <x v="0"/>
    <x v="0"/>
  </r>
  <r>
    <x v="3"/>
    <x v="4"/>
    <x v="0"/>
    <x v="2"/>
    <s v="LM867228100"/>
    <m/>
    <s v="有驳船"/>
    <n v="15107.3"/>
    <x v="259"/>
    <n v="110883"/>
    <x v="85"/>
    <x v="183"/>
    <x v="2"/>
    <x v="4"/>
    <n v="25442535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21"/>
    <x v="0"/>
  </r>
  <r>
    <x v="3"/>
    <x v="4"/>
    <x v="0"/>
    <x v="2"/>
    <s v="315012073418-M"/>
    <m/>
    <s v="有驳船"/>
    <n v="0"/>
    <x v="260"/>
    <n v="110864"/>
    <x v="84"/>
    <x v="184"/>
    <x v="14"/>
    <x v="5"/>
    <n v="15357634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3203-M"/>
    <m/>
    <s v="有驳船"/>
    <n v="0"/>
    <x v="261"/>
    <n v="110872"/>
    <x v="84"/>
    <x v="185"/>
    <x v="2"/>
    <x v="2"/>
    <n v="20207990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3301-M"/>
    <m/>
    <s v="有驳船"/>
    <n v="0"/>
    <x v="262"/>
    <n v="110865"/>
    <x v="84"/>
    <x v="179"/>
    <x v="14"/>
    <x v="5"/>
    <n v="16194434"/>
    <x v="0"/>
    <x v="0"/>
    <x v="0"/>
    <d v="2022-06-02T00:00:00"/>
    <x v="212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3347-M"/>
    <m/>
    <s v="有驳船"/>
    <n v="0"/>
    <x v="263"/>
    <n v="110868"/>
    <x v="84"/>
    <x v="186"/>
    <x v="14"/>
    <x v="5"/>
    <n v="15591934"/>
    <x v="0"/>
    <x v="0"/>
    <x v="0"/>
    <d v="2022-06-02T00:00:00"/>
    <x v="212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3"/>
    <x v="0"/>
    <x v="2"/>
    <s v="CNY单"/>
    <s v="CNY单"/>
    <s v="CNY单"/>
    <n v="0"/>
    <x v="264"/>
    <s v="49F104103"/>
    <x v="71"/>
    <x v="187"/>
    <x v="2"/>
    <x v="5"/>
    <n v="410000"/>
    <x v="0"/>
    <x v="0"/>
    <x v="0"/>
    <s v="提货时间2022/3/14"/>
    <x v="213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4"/>
    <s v="49F104103"/>
    <x v="71"/>
    <x v="187"/>
    <x v="14"/>
    <x v="5"/>
    <n v="700000"/>
    <x v="0"/>
    <x v="0"/>
    <x v="0"/>
    <s v="提货时间2022/2/22"/>
    <x v="214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5"/>
    <s v="49F104104"/>
    <x v="71"/>
    <x v="177"/>
    <x v="2"/>
    <x v="5"/>
    <n v="410000"/>
    <x v="0"/>
    <x v="0"/>
    <x v="0"/>
    <s v="提货时间2022/2/22"/>
    <x v="214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2/22"/>
    <x v="214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3/14"/>
    <x v="213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7"/>
    <s v="49F104131"/>
    <x v="71"/>
    <x v="188"/>
    <x v="1"/>
    <x v="2"/>
    <n v="2000000"/>
    <x v="0"/>
    <x v="0"/>
    <x v="0"/>
    <s v="提货时间2022/3/14"/>
    <x v="213"/>
    <x v="1"/>
    <m/>
    <x v="4"/>
    <s v="CNY单"/>
    <s v="CNY单"/>
    <e v="#DIV/0!"/>
    <m/>
    <m/>
    <n v="0"/>
    <x v="0"/>
    <x v="0"/>
  </r>
  <r>
    <x v="3"/>
    <x v="3"/>
    <x v="0"/>
    <x v="2"/>
    <s v="CNY单"/>
    <s v="CNY单"/>
    <s v="CNY单"/>
    <n v="0"/>
    <x v="268"/>
    <s v="49F104157"/>
    <x v="86"/>
    <x v="189"/>
    <x v="1"/>
    <x v="5"/>
    <n v="1000000"/>
    <x v="0"/>
    <x v="0"/>
    <x v="0"/>
    <s v="提货时间2022/1/17"/>
    <x v="215"/>
    <x v="1"/>
    <m/>
    <x v="4"/>
    <s v="CNY单"/>
    <s v="CNY单"/>
    <e v="#DIV/0!"/>
    <m/>
    <m/>
    <n v="0"/>
    <x v="0"/>
    <x v="0"/>
  </r>
  <r>
    <x v="3"/>
    <x v="7"/>
    <x v="0"/>
    <x v="2"/>
    <s v="cancel"/>
    <s v="CNY单"/>
    <s v="CNY单"/>
    <n v="0"/>
    <x v="269"/>
    <s v="49F104158"/>
    <x v="86"/>
    <x v="190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3"/>
    <x v="0"/>
    <x v="2"/>
    <s v="CNY单"/>
    <s v="CNY单"/>
    <s v="CNY单"/>
    <n v="0"/>
    <x v="270"/>
    <s v="49F104161"/>
    <x v="87"/>
    <x v="114"/>
    <x v="1"/>
    <x v="3"/>
    <n v="5000000"/>
    <x v="0"/>
    <x v="0"/>
    <x v="0"/>
    <s v="提货时间2022/2/22"/>
    <x v="214"/>
    <x v="1"/>
    <m/>
    <x v="4"/>
    <s v="CNY单"/>
    <s v="CNY单"/>
    <m/>
    <m/>
    <m/>
    <n v="0"/>
    <x v="0"/>
    <x v="0"/>
  </r>
  <r>
    <x v="3"/>
    <x v="7"/>
    <x v="0"/>
    <x v="2"/>
    <s v="cancel"/>
    <s v="CNY单"/>
    <s v="CNY单"/>
    <n v="0"/>
    <x v="271"/>
    <s v="49F104165"/>
    <x v="88"/>
    <x v="191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7"/>
    <x v="0"/>
    <x v="2"/>
    <s v="cancel"/>
    <s v="CNY单"/>
    <s v="CNY单"/>
    <n v="0"/>
    <x v="272"/>
    <s v="49F104166"/>
    <x v="88"/>
    <x v="192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3"/>
    <x v="0"/>
    <x v="2"/>
    <s v="CNY单"/>
    <s v="CNY单"/>
    <s v="CNY单"/>
    <n v="0"/>
    <x v="273"/>
    <s v="49F104167"/>
    <x v="88"/>
    <x v="95"/>
    <x v="1"/>
    <x v="2"/>
    <n v="2000000"/>
    <x v="0"/>
    <x v="0"/>
    <x v="0"/>
    <s v="提货时间2022/3/8"/>
    <x v="217"/>
    <x v="1"/>
    <m/>
    <x v="4"/>
    <s v="CNY单"/>
    <s v="CNY单"/>
    <m/>
    <m/>
    <m/>
    <n v="0"/>
    <x v="0"/>
    <x v="0"/>
  </r>
  <r>
    <x v="3"/>
    <x v="7"/>
    <x v="0"/>
    <x v="2"/>
    <s v="cancel"/>
    <s v="CNY单"/>
    <s v="CNY单"/>
    <n v="0"/>
    <x v="274"/>
    <s v="49F104168"/>
    <x v="88"/>
    <x v="193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5"/>
    <x v="0"/>
    <x v="2"/>
    <s v="LC copy ASAP SCB"/>
    <m/>
    <s v="有驳船"/>
    <n v="22780.95"/>
    <x v="275"/>
    <n v="110896"/>
    <x v="82"/>
    <x v="88"/>
    <x v="2"/>
    <x v="6"/>
    <n v="55256220"/>
    <x v="0"/>
    <x v="0"/>
    <x v="0"/>
    <d v="2022-06-02T00:00:00"/>
    <x v="212"/>
    <x v="0"/>
    <s v="5月"/>
    <x v="2"/>
    <n v="5.0200000000000002E-2"/>
    <n v="6.1199999999999997E-2"/>
    <n v="0"/>
    <n v="1440.6666666666667"/>
    <n v="1163.9632000000001"/>
    <n v="446941.88400000002"/>
    <x v="22"/>
    <x v="3"/>
  </r>
  <r>
    <x v="3"/>
    <x v="1"/>
    <x v="0"/>
    <x v="2"/>
    <s v="LM867558100"/>
    <m/>
    <m/>
    <n v="0"/>
    <x v="276"/>
    <n v="110877"/>
    <x v="84"/>
    <x v="181"/>
    <x v="7"/>
    <x v="5"/>
    <n v="4700360"/>
    <x v="0"/>
    <x v="0"/>
    <x v="0"/>
    <d v="2022-06-08T00:00:00"/>
    <x v="218"/>
    <x v="1"/>
    <s v="6月"/>
    <x v="2"/>
    <s v="checking with sales"/>
    <s v="checking with sales"/>
    <n v="0"/>
    <n v="1440.6666666666667"/>
    <n v="1163.9632000000001"/>
    <n v="446941.88400000002"/>
    <x v="0"/>
    <x v="0"/>
  </r>
  <r>
    <x v="3"/>
    <x v="0"/>
    <x v="0"/>
    <x v="1"/>
    <s v="LM867568100"/>
    <m/>
    <m/>
    <n v="9359.9"/>
    <x v="277"/>
    <n v="110910"/>
    <x v="49"/>
    <x v="85"/>
    <x v="2"/>
    <x v="5"/>
    <n v="5394765"/>
    <x v="0"/>
    <x v="0"/>
    <x v="0"/>
    <d v="2022-06-08T00:00:00"/>
    <x v="219"/>
    <x v="1"/>
    <s v="6月"/>
    <x v="2"/>
    <s v="no mismatch"/>
    <s v="no mismatch"/>
    <n v="0"/>
    <n v="1440.6666666666667"/>
    <n v="1163.9632000000001"/>
    <n v="446941.88400000002"/>
    <x v="19"/>
    <x v="0"/>
  </r>
  <r>
    <x v="3"/>
    <x v="4"/>
    <x v="0"/>
    <x v="2"/>
    <s v="DC TST118122"/>
    <m/>
    <m/>
    <n v="0"/>
    <x v="278"/>
    <n v="110871"/>
    <x v="84"/>
    <x v="184"/>
    <x v="2"/>
    <x v="5"/>
    <n v="10021195"/>
    <x v="0"/>
    <x v="0"/>
    <x v="0"/>
    <d v="2022-06-12T00:00:00"/>
    <x v="219"/>
    <x v="1"/>
    <s v="6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121"/>
    <m/>
    <m/>
    <n v="9359.9"/>
    <x v="279"/>
    <n v="110887"/>
    <x v="85"/>
    <x v="183"/>
    <x v="2"/>
    <x v="5"/>
    <n v="9909445"/>
    <x v="0"/>
    <x v="0"/>
    <x v="0"/>
    <d v="2022-06-12T00:00:00"/>
    <x v="219"/>
    <x v="1"/>
    <s v="6月"/>
    <x v="2"/>
    <s v="no mismatch"/>
    <s v="no mismatch"/>
    <n v="0"/>
    <n v="1440.6666666666667"/>
    <n v="1163.9632000000001"/>
    <n v="446941.88400000002"/>
    <x v="21"/>
    <x v="0"/>
  </r>
  <r>
    <x v="3"/>
    <x v="4"/>
    <x v="0"/>
    <x v="2"/>
    <s v="DC TST118126"/>
    <m/>
    <m/>
    <n v="15464.3"/>
    <x v="280"/>
    <n v="110875"/>
    <x v="84"/>
    <x v="182"/>
    <x v="2"/>
    <x v="5"/>
    <n v="9704395"/>
    <x v="0"/>
    <x v="0"/>
    <x v="0"/>
    <d v="2022-06-13T00:00:00"/>
    <x v="220"/>
    <x v="1"/>
    <s v="6月"/>
    <x v="2"/>
    <n v="5.0299999999999997E-2"/>
    <n v="5.91E-2"/>
    <n v="0"/>
    <n v="1440.6666666666667"/>
    <n v="1163.9632000000001"/>
    <n v="446941.88400000002"/>
    <x v="0"/>
    <x v="0"/>
  </r>
  <r>
    <x v="3"/>
    <x v="4"/>
    <x v="0"/>
    <x v="2"/>
    <s v="DC TST118126"/>
    <m/>
    <m/>
    <n v="0"/>
    <x v="280"/>
    <n v="110975"/>
    <x v="84"/>
    <x v="182"/>
    <x v="2"/>
    <x v="5"/>
    <n v="9704395"/>
    <x v="0"/>
    <x v="0"/>
    <x v="0"/>
    <d v="2022-06-13T00:00:00"/>
    <x v="221"/>
    <x v="1"/>
    <s v="6月"/>
    <x v="6"/>
    <n v="5.2699999999999997E-2"/>
    <n v="6.2199999999999998E-2"/>
    <n v="0"/>
    <n v="1440.6666666666667"/>
    <n v="1163.9632000000001"/>
    <n v="446941.88400000002"/>
    <x v="0"/>
    <x v="0"/>
  </r>
  <r>
    <x v="3"/>
    <x v="0"/>
    <x v="0"/>
    <x v="2"/>
    <s v="LM867878100"/>
    <m/>
    <m/>
    <n v="0"/>
    <x v="281"/>
    <n v="110935"/>
    <x v="58"/>
    <x v="118"/>
    <x v="2"/>
    <x v="2"/>
    <n v="11084995"/>
    <x v="0"/>
    <x v="0"/>
    <x v="0"/>
    <d v="2022-06-13T00:00:00"/>
    <x v="222"/>
    <x v="1"/>
    <s v="6月"/>
    <x v="6"/>
    <n v="5.2699999999999997E-2"/>
    <n v="6.2199999999999998E-2"/>
    <n v="0"/>
    <n v="1440.6666666666667"/>
    <n v="1163.9632000000001"/>
    <n v="446941.88400000002"/>
    <x v="14"/>
    <x v="0"/>
  </r>
  <r>
    <x v="3"/>
    <x v="0"/>
    <x v="0"/>
    <x v="1"/>
    <s v="315012074239-M"/>
    <m/>
    <m/>
    <n v="14844.3"/>
    <x v="282"/>
    <n v="110949"/>
    <x v="57"/>
    <x v="85"/>
    <x v="14"/>
    <x v="4"/>
    <n v="28913508"/>
    <x v="0"/>
    <x v="0"/>
    <x v="0"/>
    <d v="2022-06-18T00:00:00"/>
    <x v="223"/>
    <x v="1"/>
    <s v="6月"/>
    <x v="2"/>
    <s v="no mismatch"/>
    <s v="no mismatch"/>
    <n v="0"/>
    <n v="1440.6666666666667"/>
    <n v="1163.9632000000001"/>
    <n v="446941.88400000002"/>
    <x v="17"/>
    <x v="0"/>
  </r>
  <r>
    <x v="3"/>
    <x v="6"/>
    <x v="0"/>
    <x v="2"/>
    <s v="315012074220-M"/>
    <m/>
    <m/>
    <n v="14844.3"/>
    <x v="283"/>
    <n v="110809"/>
    <x v="82"/>
    <x v="88"/>
    <x v="2"/>
    <x v="0"/>
    <n v="27932380"/>
    <x v="0"/>
    <x v="0"/>
    <x v="0"/>
    <d v="2022-06-24T00:00:00"/>
    <x v="224"/>
    <x v="1"/>
    <s v="6月"/>
    <x v="2"/>
    <n v="5.0299999999999997E-2"/>
    <n v="5.91E-2"/>
    <n v="0"/>
    <n v="1440.6666666666667"/>
    <n v="1163.9632000000001"/>
    <n v="446941.88400000002"/>
    <x v="22"/>
    <x v="3"/>
  </r>
  <r>
    <x v="5"/>
    <x v="7"/>
    <x v="0"/>
    <x v="1"/>
    <s v="cancel"/>
    <m/>
    <m/>
    <m/>
    <x v="284"/>
    <n v="110254"/>
    <x v="49"/>
    <x v="85"/>
    <x v="14"/>
    <x v="2"/>
    <n v="1885794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5"/>
    <x v="0"/>
  </r>
  <r>
    <x v="5"/>
    <x v="7"/>
    <x v="0"/>
    <x v="2"/>
    <s v="cancel"/>
    <m/>
    <m/>
    <m/>
    <x v="285"/>
    <n v="110315"/>
    <x v="57"/>
    <x v="120"/>
    <x v="2"/>
    <x v="0"/>
    <n v="3758184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20"/>
    <x v="0"/>
  </r>
  <r>
    <x v="5"/>
    <x v="7"/>
    <x v="0"/>
    <x v="1"/>
    <s v="cancel"/>
    <m/>
    <m/>
    <m/>
    <x v="286"/>
    <n v="110250"/>
    <x v="49"/>
    <x v="85"/>
    <x v="2"/>
    <x v="0"/>
    <n v="2273601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9"/>
    <x v="0"/>
  </r>
  <r>
    <x v="5"/>
    <x v="7"/>
    <x v="0"/>
    <x v="1"/>
    <s v="cancel"/>
    <m/>
    <m/>
    <m/>
    <x v="286"/>
    <n v="110367"/>
    <x v="49"/>
    <x v="85"/>
    <x v="2"/>
    <x v="2"/>
    <n v="1343913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9"/>
    <x v="0"/>
  </r>
  <r>
    <x v="5"/>
    <x v="7"/>
    <x v="0"/>
    <x v="1"/>
    <s v="cancel"/>
    <m/>
    <m/>
    <m/>
    <x v="287"/>
    <n v="110316"/>
    <x v="57"/>
    <x v="85"/>
    <x v="2"/>
    <x v="12"/>
    <n v="112775273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0"/>
    <x v="0"/>
  </r>
  <r>
    <x v="5"/>
    <x v="7"/>
    <x v="0"/>
    <x v="1"/>
    <s v="cancel"/>
    <m/>
    <m/>
    <m/>
    <x v="288"/>
    <n v="110317"/>
    <x v="57"/>
    <x v="85"/>
    <x v="14"/>
    <x v="12"/>
    <n v="1450606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7"/>
    <x v="0"/>
  </r>
  <r>
    <x v="5"/>
    <x v="7"/>
    <x v="0"/>
    <x v="1"/>
    <s v="cancel"/>
    <m/>
    <m/>
    <m/>
    <x v="289"/>
    <n v="110318"/>
    <x v="57"/>
    <x v="85"/>
    <x v="2"/>
    <x v="13"/>
    <n v="13298508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0"/>
    <n v="110319"/>
    <x v="57"/>
    <x v="85"/>
    <x v="14"/>
    <x v="13"/>
    <n v="2338037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1"/>
    <n v="110374"/>
    <x v="89"/>
    <x v="85"/>
    <x v="2"/>
    <x v="13"/>
    <n v="15784911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2"/>
    <n v="110375"/>
    <x v="89"/>
    <x v="85"/>
    <x v="2"/>
    <x v="13"/>
    <n v="1612641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3"/>
    <n v="110376"/>
    <x v="89"/>
    <x v="85"/>
    <x v="2"/>
    <x v="8"/>
    <n v="72886425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4"/>
    <n v="110377"/>
    <x v="89"/>
    <x v="85"/>
    <x v="14"/>
    <x v="13"/>
    <n v="2402741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5"/>
    <n v="110378"/>
    <x v="89"/>
    <x v="85"/>
    <x v="14"/>
    <x v="13"/>
    <n v="2378621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6"/>
    <n v="110379"/>
    <x v="89"/>
    <x v="85"/>
    <x v="14"/>
    <x v="13"/>
    <n v="2369813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2"/>
    <s v="cancel"/>
    <m/>
    <m/>
    <m/>
    <x v="297"/>
    <n v="110497"/>
    <x v="58"/>
    <x v="118"/>
    <x v="2"/>
    <x v="2"/>
    <n v="11084995.000000002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4"/>
    <x v="0"/>
  </r>
  <r>
    <x v="3"/>
    <x v="8"/>
    <x v="0"/>
    <x v="2"/>
    <s v="LM868488100"/>
    <m/>
    <m/>
    <n v="0"/>
    <x v="298"/>
    <n v="110965"/>
    <x v="58"/>
    <x v="118"/>
    <x v="2"/>
    <x v="5"/>
    <n v="5542497.5000000009"/>
    <x v="0"/>
    <x v="0"/>
    <x v="0"/>
    <d v="2022-07-04T00:00:00"/>
    <x v="225"/>
    <x v="1"/>
    <s v="7月"/>
    <x v="2"/>
    <s v="No mismatch"/>
    <s v="no mismatch"/>
    <n v="0"/>
    <n v="1440.6666666666667"/>
    <n v="1163.9632000000001"/>
    <n v="446941.88400000002"/>
    <x v="14"/>
    <x v="2"/>
  </r>
  <r>
    <x v="6"/>
    <x v="7"/>
    <x v="0"/>
    <x v="2"/>
    <s v="cancel"/>
    <m/>
    <m/>
    <m/>
    <x v="299"/>
    <n v="110444"/>
    <x v="90"/>
    <x v="128"/>
    <x v="14"/>
    <x v="8"/>
    <n v="11873988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6"/>
    <x v="7"/>
    <x v="0"/>
    <x v="2"/>
    <s v="cancel"/>
    <m/>
    <m/>
    <m/>
    <x v="300"/>
    <n v="110445"/>
    <x v="90"/>
    <x v="128"/>
    <x v="2"/>
    <x v="8"/>
    <n v="75733925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3"/>
    <x v="0"/>
    <x v="0"/>
    <x v="1"/>
    <s v="30% deposit, 70% balance"/>
    <m/>
    <s v="有驳船"/>
    <n v="4264"/>
    <x v="301"/>
    <n v="110519"/>
    <x v="91"/>
    <x v="139"/>
    <x v="14"/>
    <x v="2"/>
    <n v="22703400"/>
    <x v="4"/>
    <x v="0"/>
    <x v="0"/>
    <d v="2022-04-11T00:00:00"/>
    <x v="226"/>
    <x v="1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30% deposit, 70% balance"/>
    <m/>
    <s v="有驳船"/>
    <n v="0"/>
    <x v="301"/>
    <n v="110519"/>
    <x v="91"/>
    <x v="139"/>
    <x v="2"/>
    <x v="5"/>
    <n v="7452100"/>
    <x v="4"/>
    <x v="0"/>
    <x v="0"/>
    <d v="2022-04-11T00:00:00"/>
    <x v="226"/>
    <x v="1"/>
    <s v="4月"/>
    <x v="2"/>
    <s v="No mismatch"/>
    <s v="no mismatch"/>
    <m/>
    <m/>
    <m/>
    <m/>
    <x v="0"/>
    <x v="0"/>
  </r>
  <r>
    <x v="3"/>
    <x v="5"/>
    <x v="0"/>
    <x v="2"/>
    <s v="DC TST120729"/>
    <m/>
    <s v="有驳船"/>
    <n v="24422.3"/>
    <x v="302"/>
    <n v="110915"/>
    <x v="92"/>
    <x v="129"/>
    <x v="14"/>
    <x v="4"/>
    <n v="54772602"/>
    <x v="0"/>
    <x v="0"/>
    <x v="0"/>
    <d v="2022-07-14T00:00:00"/>
    <x v="227"/>
    <x v="1"/>
    <s v="7月"/>
    <x v="2"/>
    <n v="5.2699999999999997E-2"/>
    <n v="6.2199999999999998E-2"/>
    <n v="0"/>
    <n v="1440.6666666666667"/>
    <n v="1163.9632000000001"/>
    <n v="446941.88400000002"/>
    <x v="0"/>
    <x v="3"/>
  </r>
  <r>
    <x v="3"/>
    <x v="4"/>
    <x v="0"/>
    <x v="2"/>
    <s v="315012074792-M"/>
    <m/>
    <m/>
    <n v="15107.3"/>
    <x v="303"/>
    <n v="110916"/>
    <x v="92"/>
    <x v="194"/>
    <x v="14"/>
    <x v="2"/>
    <n v="30364548"/>
    <x v="0"/>
    <x v="0"/>
    <x v="0"/>
    <d v="2022-07-04T00:00:00"/>
    <x v="228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8438100"/>
    <m/>
    <m/>
    <n v="15107.3"/>
    <x v="304"/>
    <n v="110917"/>
    <x v="92"/>
    <x v="195"/>
    <x v="14"/>
    <x v="4"/>
    <n v="42036672"/>
    <x v="0"/>
    <x v="0"/>
    <x v="0"/>
    <d v="2022-07-04T00:00:00"/>
    <x v="228"/>
    <x v="1"/>
    <s v="7月"/>
    <x v="2"/>
    <n v="5.0299999999999997E-2"/>
    <n v="5.91E-2"/>
    <n v="0"/>
    <n v="1440.6666666666667"/>
    <n v="1163.9632000000001"/>
    <n v="446941.88400000002"/>
    <x v="0"/>
    <x v="0"/>
  </r>
  <r>
    <x v="3"/>
    <x v="6"/>
    <x v="0"/>
    <x v="2"/>
    <s v="DC TST118129 "/>
    <m/>
    <m/>
    <n v="15727.3"/>
    <x v="305"/>
    <n v="110918"/>
    <x v="93"/>
    <x v="146"/>
    <x v="2"/>
    <x v="2"/>
    <n v="22504490"/>
    <x v="0"/>
    <x v="0"/>
    <x v="0"/>
    <d v="2022-06-27T00:00:00"/>
    <x v="229"/>
    <x v="1"/>
    <s v="6月"/>
    <x v="2"/>
    <n v="4.9799999999999997E-2"/>
    <n v="5.8500000000000003E-2"/>
    <n v="0"/>
    <n v="1440.6666666666667"/>
    <n v="1163.9632000000001"/>
    <n v="446941.88400000002"/>
    <x v="0"/>
    <x v="3"/>
  </r>
  <r>
    <x v="3"/>
    <x v="6"/>
    <x v="0"/>
    <x v="2"/>
    <s v="DC TST118134"/>
    <m/>
    <m/>
    <n v="22691.7"/>
    <x v="306"/>
    <n v="110919"/>
    <x v="93"/>
    <x v="180"/>
    <x v="2"/>
    <x v="3"/>
    <n v="53921503"/>
    <x v="0"/>
    <x v="0"/>
    <x v="0"/>
    <d v="2022-06-27T00:00:00"/>
    <x v="230"/>
    <x v="1"/>
    <s v="6月"/>
    <x v="2"/>
    <n v="5.1299999999999998E-2"/>
    <n v="6.1899999999999997E-2"/>
    <n v="0"/>
    <n v="1440.6666666666667"/>
    <n v="1163.9632000000001"/>
    <n v="446941.88400000002"/>
    <x v="0"/>
    <x v="3"/>
  </r>
  <r>
    <x v="3"/>
    <x v="6"/>
    <x v="0"/>
    <x v="2"/>
    <m/>
    <m/>
    <m/>
    <n v="0"/>
    <x v="306"/>
    <n v="110927"/>
    <x v="93"/>
    <x v="180"/>
    <x v="2"/>
    <x v="5"/>
    <n v="6465595"/>
    <x v="0"/>
    <x v="0"/>
    <x v="0"/>
    <d v="2022-06-27T00:00:00"/>
    <x v="229"/>
    <x v="1"/>
    <s v="6月"/>
    <x v="2"/>
    <n v="4.9799999999999997E-2"/>
    <n v="5.8500000000000003E-2"/>
    <n v="0"/>
    <n v="1440.6666666666667"/>
    <n v="1163.9632000000001"/>
    <n v="446941.88400000002"/>
    <x v="0"/>
    <x v="3"/>
  </r>
  <r>
    <x v="3"/>
    <x v="6"/>
    <x v="0"/>
    <x v="2"/>
    <s v="DC TST118137"/>
    <m/>
    <m/>
    <n v="0"/>
    <x v="307"/>
    <n v="110920"/>
    <x v="93"/>
    <x v="196"/>
    <x v="2"/>
    <x v="2"/>
    <n v="20402792"/>
    <x v="0"/>
    <x v="0"/>
    <x v="0"/>
    <d v="2022-07-04T00:00:00"/>
    <x v="225"/>
    <x v="1"/>
    <s v="7月"/>
    <x v="2"/>
    <s v="No mismatch"/>
    <s v="no mismatch"/>
    <n v="0"/>
    <n v="1440.6666666666667"/>
    <n v="1163.9632000000001"/>
    <n v="446941.88400000002"/>
    <x v="0"/>
    <x v="3"/>
  </r>
  <r>
    <x v="3"/>
    <x v="4"/>
    <x v="0"/>
    <x v="2"/>
    <s v="315012074569-M"/>
    <m/>
    <m/>
    <n v="0"/>
    <x v="308"/>
    <n v="110921"/>
    <x v="93"/>
    <x v="197"/>
    <x v="2"/>
    <x v="5"/>
    <n v="8257195"/>
    <x v="0"/>
    <x v="0"/>
    <x v="0"/>
    <d v="2022-06-27T00:00:00"/>
    <x v="229"/>
    <x v="1"/>
    <s v="6月"/>
    <x v="2"/>
    <n v="4.9799999999999997E-2"/>
    <n v="5.8500000000000003E-2"/>
    <n v="0"/>
    <n v="1440.6666666666667"/>
    <n v="1163.9632000000001"/>
    <n v="446941.88400000002"/>
    <x v="0"/>
    <x v="0"/>
  </r>
  <r>
    <x v="3"/>
    <x v="6"/>
    <x v="0"/>
    <x v="2"/>
    <s v="315012074756-M"/>
    <m/>
    <m/>
    <n v="15107.3"/>
    <x v="309"/>
    <n v="110922"/>
    <x v="93"/>
    <x v="195"/>
    <x v="2"/>
    <x v="0"/>
    <n v="40009030"/>
    <x v="0"/>
    <x v="0"/>
    <x v="0"/>
    <d v="2022-06-27T00:00:00"/>
    <x v="230"/>
    <x v="1"/>
    <s v="6月"/>
    <x v="2"/>
    <n v="4.9799999999999997E-2"/>
    <n v="5.8500000000000003E-2"/>
    <n v="0"/>
    <n v="1440.6666666666667"/>
    <n v="1163.9632000000001"/>
    <n v="446941.88400000002"/>
    <x v="0"/>
    <x v="3"/>
  </r>
  <r>
    <x v="3"/>
    <x v="4"/>
    <x v="0"/>
    <x v="2"/>
    <s v="315012074587-M"/>
    <m/>
    <m/>
    <n v="0"/>
    <x v="310"/>
    <n v="110923"/>
    <x v="93"/>
    <x v="198"/>
    <x v="2"/>
    <x v="2"/>
    <n v="19243190"/>
    <x v="0"/>
    <x v="0"/>
    <x v="0"/>
    <d v="2022-07-04T00:00:00"/>
    <x v="225"/>
    <x v="1"/>
    <s v="7月"/>
    <x v="2"/>
    <n v="4.9799999999999997E-2"/>
    <n v="5.8500000000000003E-2"/>
    <n v="0"/>
    <n v="1440.6666666666667"/>
    <n v="1163.9632000000001"/>
    <n v="446941.88400000002"/>
    <x v="0"/>
    <x v="0"/>
  </r>
  <r>
    <x v="3"/>
    <x v="4"/>
    <x v="0"/>
    <x v="2"/>
    <s v="DC TST118131"/>
    <m/>
    <m/>
    <n v="0"/>
    <x v="311"/>
    <n v="110924"/>
    <x v="93"/>
    <x v="199"/>
    <x v="2"/>
    <x v="5"/>
    <n v="8257195"/>
    <x v="0"/>
    <x v="0"/>
    <x v="0"/>
    <d v="2022-06-27T00:00:00"/>
    <x v="230"/>
    <x v="1"/>
    <s v="6月"/>
    <x v="2"/>
    <n v="5.1299999999999998E-2"/>
    <n v="6.1899999999999997E-2"/>
    <n v="0"/>
    <n v="1440.6666666666667"/>
    <n v="1163.9632000000001"/>
    <n v="446941.88400000002"/>
    <x v="0"/>
    <x v="0"/>
  </r>
  <r>
    <x v="3"/>
    <x v="9"/>
    <x v="1"/>
    <x v="2"/>
    <s v="LM869258100"/>
    <m/>
    <m/>
    <n v="11749.7"/>
    <x v="312"/>
    <n v="110928"/>
    <x v="94"/>
    <x v="200"/>
    <x v="2"/>
    <x v="5"/>
    <n v="8173265.5"/>
    <x v="0"/>
    <x v="0"/>
    <x v="0"/>
    <d v="2022-08-08T00:00:00"/>
    <x v="231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10"/>
    <x v="1"/>
    <x v="2"/>
    <s v="LM869258100"/>
    <m/>
    <m/>
    <n v="0"/>
    <x v="312"/>
    <n v="110928"/>
    <x v="94"/>
    <x v="200"/>
    <x v="14"/>
    <x v="4"/>
    <n v="34129513.5"/>
    <x v="0"/>
    <x v="0"/>
    <x v="0"/>
    <d v="2022-08-08T00:00:00"/>
    <x v="231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9"/>
    <x v="1"/>
    <x v="2"/>
    <s v="DC TST120854"/>
    <m/>
    <m/>
    <n v="12049.7"/>
    <x v="313"/>
    <n v="110929"/>
    <x v="94"/>
    <x v="200"/>
    <x v="2"/>
    <x v="5"/>
    <n v="7874094"/>
    <x v="0"/>
    <x v="0"/>
    <x v="0"/>
    <d v="2022-08-08T00:00:00"/>
    <x v="232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10"/>
    <x v="1"/>
    <x v="2"/>
    <s v="DC TST120854"/>
    <m/>
    <m/>
    <n v="0"/>
    <x v="313"/>
    <n v="110929"/>
    <x v="94"/>
    <x v="200"/>
    <x v="14"/>
    <x v="4"/>
    <n v="33141765"/>
    <x v="0"/>
    <x v="0"/>
    <x v="0"/>
    <d v="2022-08-08T00:00:00"/>
    <x v="232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1"/>
    <x v="1"/>
    <x v="2"/>
    <s v="DC TST120855"/>
    <m/>
    <m/>
    <n v="11749.7"/>
    <x v="314"/>
    <n v="110940"/>
    <x v="95"/>
    <x v="200"/>
    <x v="15"/>
    <x v="0"/>
    <n v="35339280"/>
    <x v="0"/>
    <x v="0"/>
    <x v="0"/>
    <d v="2022-08-08T00:00:00"/>
    <x v="231"/>
    <x v="1"/>
    <s v="8月"/>
    <x v="2"/>
    <n v="5.2499999999999998E-2"/>
    <n v="6.1699999999999998E-2"/>
    <n v="0"/>
    <n v="1440.6666666666667"/>
    <n v="1163.9632000000001"/>
    <n v="446941.88400000002"/>
    <x v="0"/>
    <x v="0"/>
  </r>
  <r>
    <x v="3"/>
    <x v="4"/>
    <x v="0"/>
    <x v="2"/>
    <s v="LM868358100"/>
    <m/>
    <m/>
    <n v="0"/>
    <x v="315"/>
    <n v="110930"/>
    <x v="95"/>
    <x v="201"/>
    <x v="2"/>
    <x v="5"/>
    <n v="9229495"/>
    <x v="0"/>
    <x v="0"/>
    <x v="0"/>
    <d v="2022-06-27T00:00:00"/>
    <x v="230"/>
    <x v="1"/>
    <s v="6月"/>
    <x v="6"/>
    <n v="5.2699999999999997E-2"/>
    <n v="6.2199999999999998E-2"/>
    <n v="0"/>
    <n v="1440.6666666666667"/>
    <n v="1163.9632000000001"/>
    <n v="446941.88400000002"/>
    <x v="0"/>
    <x v="0"/>
  </r>
  <r>
    <x v="3"/>
    <x v="4"/>
    <x v="0"/>
    <x v="2"/>
    <s v="315012074667-M"/>
    <m/>
    <m/>
    <n v="15727.3"/>
    <x v="316"/>
    <n v="110931"/>
    <x v="95"/>
    <x v="138"/>
    <x v="2"/>
    <x v="2"/>
    <n v="15996890"/>
    <x v="0"/>
    <x v="0"/>
    <x v="0"/>
    <d v="2022-07-04T00:00:00"/>
    <x v="225"/>
    <x v="1"/>
    <s v="7月"/>
    <x v="6"/>
    <n v="5.2699999999999997E-2"/>
    <n v="6.2199999999999998E-2"/>
    <n v="0"/>
    <n v="1440.6666666666667"/>
    <n v="1163.9632000000001"/>
    <n v="446941.88400000002"/>
    <x v="0"/>
    <x v="0"/>
  </r>
  <r>
    <x v="3"/>
    <x v="6"/>
    <x v="0"/>
    <x v="2"/>
    <s v="LM868528100"/>
    <m/>
    <m/>
    <n v="0"/>
    <x v="317"/>
    <n v="110932"/>
    <x v="95"/>
    <x v="202"/>
    <x v="2"/>
    <x v="5"/>
    <n v="8257195"/>
    <x v="0"/>
    <x v="0"/>
    <x v="0"/>
    <d v="2022-07-04T00:00:00"/>
    <x v="225"/>
    <x v="1"/>
    <s v="7月"/>
    <x v="6"/>
    <n v="5.2699999999999997E-2"/>
    <n v="6.2199999999999998E-2"/>
    <n v="0"/>
    <n v="1440.6666666666667"/>
    <n v="1163.9632000000001"/>
    <n v="446941.88400000002"/>
    <x v="0"/>
    <x v="3"/>
  </r>
  <r>
    <x v="3"/>
    <x v="4"/>
    <x v="0"/>
    <x v="2"/>
    <s v="LM868518100"/>
    <m/>
    <m/>
    <n v="9979.9"/>
    <x v="318"/>
    <n v="110933"/>
    <x v="95"/>
    <x v="203"/>
    <x v="14"/>
    <x v="5"/>
    <n v="13184434"/>
    <x v="0"/>
    <x v="0"/>
    <x v="0"/>
    <d v="2022-07-08T00:00:00"/>
    <x v="233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m/>
    <m/>
    <m/>
    <n v="0"/>
    <x v="319"/>
    <n v="110934"/>
    <x v="95"/>
    <x v="204"/>
    <x v="14"/>
    <x v="5"/>
    <n v="13184434"/>
    <x v="0"/>
    <x v="0"/>
    <x v="0"/>
    <d v="2022-07-08T00:00:00"/>
    <x v="233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315012075611"/>
    <m/>
    <s v="有驳船"/>
    <n v="0"/>
    <x v="320"/>
    <n v="110948"/>
    <x v="49"/>
    <x v="85"/>
    <x v="14"/>
    <x v="5"/>
    <n v="9428970"/>
    <x v="0"/>
    <x v="0"/>
    <x v="0"/>
    <d v="2022-07-14T00:00:00"/>
    <x v="234"/>
    <x v="1"/>
    <s v="7月"/>
    <x v="2"/>
    <n v="5.1200000000000002E-2"/>
    <n v="6.0199999999999997E-2"/>
    <m/>
    <m/>
    <m/>
    <m/>
    <x v="15"/>
    <x v="0"/>
  </r>
  <r>
    <x v="3"/>
    <x v="11"/>
    <x v="0"/>
    <x v="2"/>
    <s v="315012075283-M"/>
    <m/>
    <m/>
    <n v="13289.7"/>
    <x v="321"/>
    <n v="110962"/>
    <x v="96"/>
    <x v="184"/>
    <x v="14"/>
    <x v="5"/>
    <n v="12616166"/>
    <x v="0"/>
    <x v="0"/>
    <x v="0"/>
    <d v="2022-07-31T00:00:00"/>
    <x v="235"/>
    <x v="1"/>
    <s v="7月"/>
    <x v="2"/>
    <s v="n"/>
    <s v="checking with sales"/>
    <n v="0"/>
    <n v="1440.6666666666667"/>
    <n v="1163.9632000000001"/>
    <n v="446941.88400000002"/>
    <x v="0"/>
    <x v="4"/>
  </r>
  <r>
    <x v="3"/>
    <x v="11"/>
    <x v="0"/>
    <x v="2"/>
    <s v="315012075283-M"/>
    <m/>
    <m/>
    <n v="0"/>
    <x v="321"/>
    <n v="111022"/>
    <x v="96"/>
    <x v="184"/>
    <x v="14"/>
    <x v="5"/>
    <n v="10852166"/>
    <x v="0"/>
    <x v="0"/>
    <x v="0"/>
    <d v="2022-07-31T00:00:00"/>
    <x v="236"/>
    <x v="1"/>
    <s v="7月"/>
    <x v="2"/>
    <n v="4.9200000000000001E-2"/>
    <n v="5.7599999999999998E-2"/>
    <n v="0"/>
    <n v="1440.6666666666667"/>
    <n v="1163.9632000000001"/>
    <n v="446941.88400000002"/>
    <x v="0"/>
    <x v="4"/>
  </r>
  <r>
    <x v="3"/>
    <x v="11"/>
    <x v="0"/>
    <x v="2"/>
    <s v="315012075274-M"/>
    <m/>
    <m/>
    <n v="12669.7"/>
    <x v="322"/>
    <n v="110961"/>
    <x v="96"/>
    <x v="205"/>
    <x v="14"/>
    <x v="5"/>
    <n v="12616166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1"/>
    <x v="0"/>
    <x v="2"/>
    <s v="315012075274-M"/>
    <m/>
    <m/>
    <n v="0"/>
    <x v="322"/>
    <n v="111023"/>
    <x v="96"/>
    <x v="205"/>
    <x v="14"/>
    <x v="5"/>
    <n v="10852166"/>
    <x v="0"/>
    <x v="0"/>
    <x v="0"/>
    <d v="2022-07-31T00:00:00"/>
    <x v="236"/>
    <x v="1"/>
    <s v="7月"/>
    <x v="2"/>
    <n v="4.9200000000000001E-2"/>
    <n v="5.7599999999999998E-2"/>
    <n v="0"/>
    <n v="1440.6666666666667"/>
    <n v="1163.9632000000001"/>
    <n v="446941.88400000002"/>
    <x v="0"/>
    <x v="4"/>
  </r>
  <r>
    <x v="3"/>
    <x v="11"/>
    <x v="0"/>
    <x v="2"/>
    <s v="DC TST118145"/>
    <m/>
    <m/>
    <n v="0"/>
    <x v="323"/>
    <n v="110960"/>
    <x v="96"/>
    <x v="201"/>
    <x v="14"/>
    <x v="2"/>
    <n v="21704332"/>
    <x v="0"/>
    <x v="0"/>
    <x v="0"/>
    <d v="2022-07-31T00:00:00"/>
    <x v="237"/>
    <x v="1"/>
    <s v="7月"/>
    <x v="2"/>
    <n v="4.9799999999999997E-2"/>
    <n v="5.8299999999999998E-2"/>
    <n v="0"/>
    <n v="1440.6666666666667"/>
    <n v="1163.9632000000001"/>
    <n v="446941.88400000002"/>
    <x v="0"/>
    <x v="4"/>
  </r>
  <r>
    <x v="3"/>
    <x v="11"/>
    <x v="0"/>
    <x v="2"/>
    <s v="DC TST118145"/>
    <m/>
    <m/>
    <n v="0"/>
    <x v="323"/>
    <n v="111038"/>
    <x v="96"/>
    <x v="201"/>
    <x v="14"/>
    <x v="5"/>
    <n v="12616166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2"/>
    <x v="0"/>
    <x v="2"/>
    <s v="315012075005-M"/>
    <m/>
    <m/>
    <n v="24422.3"/>
    <x v="324"/>
    <n v="110957"/>
    <x v="96"/>
    <x v="194"/>
    <x v="14"/>
    <x v="4"/>
    <n v="35061498"/>
    <x v="0"/>
    <x v="0"/>
    <x v="0"/>
    <d v="2022-07-27T00:00:00"/>
    <x v="235"/>
    <x v="1"/>
    <s v="7月"/>
    <x v="2"/>
    <n v="5.1200000000000002E-2"/>
    <n v="6.0199999999999997E-2"/>
    <n v="0"/>
    <n v="1440.6666666666667"/>
    <n v="1163.9632000000001"/>
    <n v="446941.88400000002"/>
    <x v="0"/>
    <x v="0"/>
  </r>
  <r>
    <x v="3"/>
    <x v="12"/>
    <x v="0"/>
    <x v="2"/>
    <s v="315012075522-M"/>
    <m/>
    <m/>
    <n v="23251.4"/>
    <x v="325"/>
    <n v="110959"/>
    <x v="96"/>
    <x v="183"/>
    <x v="14"/>
    <x v="1"/>
    <n v="79007679"/>
    <x v="0"/>
    <x v="0"/>
    <x v="0"/>
    <d v="2022-08-01T00:00:00"/>
    <x v="238"/>
    <x v="1"/>
    <s v="8月"/>
    <x v="2"/>
    <s v="No mismatch"/>
    <s v="no mismatch"/>
    <n v="0"/>
    <n v="1440.6666666666667"/>
    <n v="1163.9632000000001"/>
    <n v="446941.88400000002"/>
    <x v="0"/>
    <x v="0"/>
  </r>
  <r>
    <x v="3"/>
    <x v="12"/>
    <x v="0"/>
    <x v="2"/>
    <s v="315012075522-M"/>
    <m/>
    <m/>
    <n v="0"/>
    <x v="325"/>
    <n v="111021"/>
    <x v="96"/>
    <x v="183"/>
    <x v="14"/>
    <x v="5"/>
    <n v="10852166"/>
    <x v="0"/>
    <x v="0"/>
    <x v="0"/>
    <d v="2022-08-01T00:00:00"/>
    <x v="238"/>
    <x v="1"/>
    <s v="8月"/>
    <x v="2"/>
    <n v="4.9200000000000001E-2"/>
    <n v="5.7599999999999998E-2"/>
    <n v="0"/>
    <n v="1440.6666666666667"/>
    <n v="1163.9632000000001"/>
    <n v="446941.88400000002"/>
    <x v="0"/>
    <x v="0"/>
  </r>
  <r>
    <x v="3"/>
    <x v="12"/>
    <x v="0"/>
    <x v="2"/>
    <s v="LM868988100"/>
    <m/>
    <m/>
    <n v="12989.7"/>
    <x v="326"/>
    <n v="110958"/>
    <x v="96"/>
    <x v="206"/>
    <x v="14"/>
    <x v="2"/>
    <n v="23468332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10"/>
    <x v="0"/>
    <x v="2"/>
    <s v="315012075265-M"/>
    <m/>
    <m/>
    <n v="0"/>
    <x v="327"/>
    <n v="110956"/>
    <x v="96"/>
    <x v="207"/>
    <x v="2"/>
    <x v="5"/>
    <n v="8231802.5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0"/>
    <x v="0"/>
    <x v="2"/>
    <s v="LM868998100"/>
    <m/>
    <m/>
    <n v="0"/>
    <x v="328"/>
    <n v="110953"/>
    <x v="96"/>
    <x v="208"/>
    <x v="2"/>
    <x v="2"/>
    <n v="15776985"/>
    <x v="0"/>
    <x v="0"/>
    <x v="0"/>
    <d v="2022-07-31T00:00:00"/>
    <x v="237"/>
    <x v="1"/>
    <s v="7月"/>
    <x v="2"/>
    <n v="4.9799999999999997E-2"/>
    <n v="5.8299999999999998E-2"/>
    <n v="0"/>
    <n v="1440.6666666666667"/>
    <n v="1163.9632000000001"/>
    <n v="446941.88400000002"/>
    <x v="0"/>
    <x v="4"/>
  </r>
  <r>
    <x v="3"/>
    <x v="10"/>
    <x v="0"/>
    <x v="2"/>
    <s v="DC TST118146"/>
    <m/>
    <m/>
    <n v="0"/>
    <x v="329"/>
    <n v="110952"/>
    <x v="96"/>
    <x v="209"/>
    <x v="2"/>
    <x v="5"/>
    <n v="8237847.5"/>
    <x v="0"/>
    <x v="0"/>
    <x v="0"/>
    <d v="2022-07-31T00:00:00"/>
    <x v="237"/>
    <x v="1"/>
    <s v="7月"/>
    <x v="2"/>
    <n v="4.9799999999999997E-2"/>
    <n v="5.8299999999999998E-2"/>
    <n v="0"/>
    <n v="1440.6666666666667"/>
    <n v="1163.9632000000001"/>
    <n v="446941.88400000002"/>
    <x v="0"/>
    <x v="4"/>
  </r>
  <r>
    <x v="3"/>
    <x v="10"/>
    <x v="0"/>
    <x v="2"/>
    <s v="LM868758100"/>
    <m/>
    <m/>
    <n v="0"/>
    <x v="330"/>
    <n v="110951"/>
    <x v="96"/>
    <x v="209"/>
    <x v="2"/>
    <x v="4"/>
    <n v="24261667.5"/>
    <x v="0"/>
    <x v="0"/>
    <x v="0"/>
    <d v="2022-07-27T00:00:00"/>
    <x v="239"/>
    <x v="1"/>
    <s v="7月"/>
    <x v="2"/>
    <n v="5.1200000000000002E-2"/>
    <n v="6.0199999999999997E-2"/>
    <n v="0"/>
    <n v="1440.6666666666667"/>
    <n v="1163.9632000000001"/>
    <n v="446941.88400000002"/>
    <x v="0"/>
    <x v="4"/>
  </r>
  <r>
    <x v="3"/>
    <x v="10"/>
    <x v="0"/>
    <x v="2"/>
    <s v="DC TST118147 "/>
    <m/>
    <m/>
    <n v="0"/>
    <x v="331"/>
    <n v="110954"/>
    <x v="96"/>
    <x v="210"/>
    <x v="2"/>
    <x v="2"/>
    <n v="14699605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2"/>
    <x v="0"/>
    <x v="2"/>
    <s v="LM869108100"/>
    <m/>
    <m/>
    <n v="0"/>
    <x v="332"/>
    <n v="110963"/>
    <x v="96"/>
    <x v="211"/>
    <x v="2"/>
    <x v="5"/>
    <n v="8231802.5"/>
    <x v="0"/>
    <x v="0"/>
    <x v="0"/>
    <d v="2022-08-01T00:00:00"/>
    <x v="240"/>
    <x v="1"/>
    <s v="8月"/>
    <x v="2"/>
    <s v="No mismatch"/>
    <s v="no mismatch"/>
    <n v="0"/>
    <n v="1440.6666666666667"/>
    <n v="1163.9632000000001"/>
    <n v="446941.88400000002"/>
    <x v="0"/>
    <x v="0"/>
  </r>
  <r>
    <x v="3"/>
    <x v="6"/>
    <x v="0"/>
    <x v="2"/>
    <s v="315012075924-M"/>
    <m/>
    <m/>
    <n v="12469.7"/>
    <x v="333"/>
    <n v="110986"/>
    <x v="97"/>
    <x v="212"/>
    <x v="14"/>
    <x v="2"/>
    <n v="20980792"/>
    <x v="0"/>
    <x v="0"/>
    <x v="0"/>
    <d v="2022-08-22T00:00:00"/>
    <x v="241"/>
    <x v="1"/>
    <s v="8月"/>
    <x v="4"/>
    <n v="4.99E-2"/>
    <n v="5.8599999999999999E-2"/>
    <n v="0"/>
    <n v="1440.6666666666667"/>
    <n v="1163.9632000000001"/>
    <n v="446941.88400000002"/>
    <x v="0"/>
    <x v="5"/>
  </r>
  <r>
    <x v="3"/>
    <x v="6"/>
    <x v="0"/>
    <x v="2"/>
    <s v="315012075933-M"/>
    <m/>
    <m/>
    <n v="0"/>
    <x v="334"/>
    <n v="110987"/>
    <x v="97"/>
    <x v="213"/>
    <x v="14"/>
    <x v="2"/>
    <n v="21039672"/>
    <x v="0"/>
    <x v="0"/>
    <x v="0"/>
    <d v="2022-08-22T00:00:00"/>
    <x v="241"/>
    <x v="1"/>
    <s v="8月"/>
    <x v="2"/>
    <n v="5.0299999999999997E-2"/>
    <n v="5.8799999999999998E-2"/>
    <n v="0"/>
    <n v="1440.6666666666667"/>
    <n v="1163.9632000000001"/>
    <d v="3123-09-06T21:12:58"/>
    <x v="0"/>
    <x v="5"/>
  </r>
  <r>
    <x v="3"/>
    <x v="6"/>
    <x v="0"/>
    <x v="2"/>
    <s v="DC TST118161"/>
    <m/>
    <m/>
    <n v="25459.4"/>
    <x v="335"/>
    <n v="110988"/>
    <x v="97"/>
    <x v="214"/>
    <x v="14"/>
    <x v="2"/>
    <n v="21554472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5"/>
  </r>
  <r>
    <x v="3"/>
    <x v="6"/>
    <x v="0"/>
    <x v="2"/>
    <s v="LM869608100"/>
    <m/>
    <m/>
    <n v="12469.7"/>
    <x v="336"/>
    <n v="110989"/>
    <x v="97"/>
    <x v="215"/>
    <x v="14"/>
    <x v="2"/>
    <n v="21039672"/>
    <x v="0"/>
    <x v="0"/>
    <x v="0"/>
    <d v="2022-08-22T00:00:00"/>
    <x v="241"/>
    <x v="1"/>
    <s v="8月"/>
    <x v="4"/>
    <n v="4.9799999999999997E-2"/>
    <n v="5.8299999999999998E-2"/>
    <n v="0"/>
    <n v="1440.6666666666667"/>
    <n v="1163.9632000000001"/>
    <d v="3123-09-06T21:12:58"/>
    <x v="0"/>
    <x v="5"/>
  </r>
  <r>
    <x v="3"/>
    <x v="5"/>
    <x v="0"/>
    <x v="2"/>
    <s v="315012076068-M"/>
    <m/>
    <m/>
    <n v="0"/>
    <x v="337"/>
    <n v="110990"/>
    <x v="97"/>
    <x v="216"/>
    <x v="14"/>
    <x v="2"/>
    <n v="22632868"/>
    <x v="0"/>
    <x v="0"/>
    <x v="0"/>
    <d v="2022-08-22T00:00:00"/>
    <x v="241"/>
    <x v="1"/>
    <s v="8月"/>
    <x v="4"/>
    <n v="5.0299999999999997E-2"/>
    <n v="5.8799999999999998E-2"/>
    <n v="0"/>
    <n v="1440.6666666666667"/>
    <n v="1163.9632000000001"/>
    <d v="3123-09-06T21:12:58"/>
    <x v="0"/>
    <x v="4"/>
  </r>
  <r>
    <x v="3"/>
    <x v="5"/>
    <x v="0"/>
    <x v="2"/>
    <s v="315012076530-M"/>
    <m/>
    <m/>
    <n v="7844.85"/>
    <x v="338"/>
    <n v="110991"/>
    <x v="97"/>
    <x v="217"/>
    <x v="14"/>
    <x v="2"/>
    <n v="22632868"/>
    <x v="0"/>
    <x v="0"/>
    <x v="0"/>
    <d v="2022-09-05T00:00:00"/>
    <x v="242"/>
    <x v="1"/>
    <s v="9月"/>
    <x v="4"/>
    <n v="5.0299999999999997E-2"/>
    <n v="5.8799999999999998E-2"/>
    <n v="0"/>
    <n v="1440.6666666666667"/>
    <n v="1163.9632000000001"/>
    <d v="3123-09-06T21:12:58"/>
    <x v="0"/>
    <x v="4"/>
  </r>
  <r>
    <x v="3"/>
    <x v="5"/>
    <x v="0"/>
    <x v="2"/>
    <s v="LM869598100"/>
    <m/>
    <m/>
    <n v="0"/>
    <x v="339"/>
    <n v="110992"/>
    <x v="97"/>
    <x v="218"/>
    <x v="14"/>
    <x v="2"/>
    <n v="22632868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4"/>
  </r>
  <r>
    <x v="3"/>
    <x v="5"/>
    <x v="0"/>
    <x v="2"/>
    <s v="不做LC，申請T/T付款"/>
    <m/>
    <m/>
    <n v="9611.1"/>
    <x v="340"/>
    <n v="110993"/>
    <x v="97"/>
    <x v="219"/>
    <x v="14"/>
    <x v="2"/>
    <n v="22570148"/>
    <x v="0"/>
    <x v="0"/>
    <x v="0"/>
    <d v="2022-08-28T00:00:00"/>
    <x v="243"/>
    <x v="1"/>
    <s v="8月"/>
    <x v="4"/>
    <s v="No mismatch"/>
    <s v="no mismatch"/>
    <n v="0"/>
    <n v="1440.6666666666667"/>
    <n v="1163.9632000000001"/>
    <d v="3123-09-06T21:12:58"/>
    <x v="0"/>
    <x v="0"/>
  </r>
  <r>
    <x v="3"/>
    <x v="8"/>
    <x v="0"/>
    <x v="2"/>
    <s v="不做LC，申請T/T付款"/>
    <m/>
    <m/>
    <n v="11749.7"/>
    <x v="341"/>
    <n v="110995"/>
    <x v="97"/>
    <x v="220"/>
    <x v="2"/>
    <x v="2"/>
    <n v="12928395"/>
    <x v="0"/>
    <x v="0"/>
    <x v="0"/>
    <d v="2022-08-08T00:00:00"/>
    <x v="241"/>
    <x v="1"/>
    <s v="8月"/>
    <x v="4"/>
    <s v="No mismatch"/>
    <s v="no mismatch"/>
    <n v="0"/>
    <n v="1440.6666666666667"/>
    <n v="1163.9632000000001"/>
    <d v="3123-09-06T21:12:58"/>
    <x v="0"/>
    <x v="5"/>
  </r>
  <r>
    <x v="3"/>
    <x v="8"/>
    <x v="0"/>
    <x v="2"/>
    <s v="不做LC，申請T/T付款"/>
    <m/>
    <m/>
    <n v="0"/>
    <x v="342"/>
    <n v="110996"/>
    <x v="97"/>
    <x v="221"/>
    <x v="2"/>
    <x v="2"/>
    <n v="12048765"/>
    <x v="0"/>
    <x v="0"/>
    <x v="0"/>
    <d v="2022-08-08T00:00:00"/>
    <x v="244"/>
    <x v="1"/>
    <s v="8月"/>
    <x v="4"/>
    <n v="5.0299999999999997E-2"/>
    <n v="5.8799999999999998E-2"/>
    <n v="0"/>
    <n v="1440.6666666666667"/>
    <n v="1163.9632000000001"/>
    <d v="3123-09-06T21:12:58"/>
    <x v="0"/>
    <x v="5"/>
  </r>
  <r>
    <x v="3"/>
    <x v="8"/>
    <x v="0"/>
    <x v="2"/>
    <s v="DC TST120856"/>
    <m/>
    <m/>
    <n v="12369.7"/>
    <x v="343"/>
    <n v="110997"/>
    <x v="97"/>
    <x v="222"/>
    <x v="2"/>
    <x v="2"/>
    <n v="12024585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d v="3123-09-06T21:12:58"/>
    <x v="0"/>
    <x v="5"/>
  </r>
  <r>
    <x v="3"/>
    <x v="8"/>
    <x v="0"/>
    <x v="2"/>
    <s v="不做LC，申請T/T付款"/>
    <m/>
    <m/>
    <n v="0"/>
    <x v="344"/>
    <n v="110998"/>
    <x v="97"/>
    <x v="223"/>
    <x v="2"/>
    <x v="5"/>
    <n v="6464198"/>
    <x v="0"/>
    <x v="0"/>
    <x v="0"/>
    <d v="2022-08-08T00:00:00"/>
    <x v="246"/>
    <x v="1"/>
    <s v="8月"/>
    <x v="4"/>
    <s v="No mismatch"/>
    <s v="no mismatch"/>
    <n v="0"/>
    <n v="1440.6666666666667"/>
    <n v="1163.9632000000001"/>
    <d v="3123-09-06T21:12:58"/>
    <x v="0"/>
    <x v="0"/>
  </r>
  <r>
    <x v="3"/>
    <x v="8"/>
    <x v="0"/>
    <x v="2"/>
    <s v="DC TST118152"/>
    <m/>
    <m/>
    <n v="12369.7"/>
    <x v="345"/>
    <n v="110999"/>
    <x v="97"/>
    <x v="224"/>
    <x v="2"/>
    <x v="2"/>
    <n v="12024585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d v="3123-09-06T21:12:58"/>
    <x v="0"/>
    <x v="5"/>
  </r>
  <r>
    <x v="3"/>
    <x v="6"/>
    <x v="0"/>
    <x v="2"/>
    <s v="DC TST118153 "/>
    <m/>
    <m/>
    <n v="0"/>
    <x v="346"/>
    <n v="111000"/>
    <x v="97"/>
    <x v="225"/>
    <x v="2"/>
    <x v="2"/>
    <n v="12680980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d v="3123-09-06T21:12:58"/>
    <x v="0"/>
    <x v="4"/>
  </r>
  <r>
    <x v="3"/>
    <x v="6"/>
    <x v="0"/>
    <x v="2"/>
    <s v="315012076308-M"/>
    <m/>
    <m/>
    <n v="0"/>
    <x v="347"/>
    <n v="111001"/>
    <x v="97"/>
    <x v="226"/>
    <x v="2"/>
    <x v="2"/>
    <n v="12680980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4"/>
  </r>
  <r>
    <x v="3"/>
    <x v="6"/>
    <x v="0"/>
    <x v="2"/>
    <s v="315012076077-M"/>
    <m/>
    <m/>
    <n v="0"/>
    <x v="348"/>
    <n v="111002"/>
    <x v="97"/>
    <x v="227"/>
    <x v="2"/>
    <x v="2"/>
    <n v="12680980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4"/>
  </r>
  <r>
    <x v="3"/>
    <x v="6"/>
    <x v="0"/>
    <x v="2"/>
    <s v="DC TST118160"/>
    <m/>
    <m/>
    <n v="0"/>
    <x v="349"/>
    <n v="111003"/>
    <x v="97"/>
    <x v="228"/>
    <x v="2"/>
    <x v="2"/>
    <n v="12680980"/>
    <x v="0"/>
    <x v="0"/>
    <x v="0"/>
    <d v="2022-08-22T00:00:00"/>
    <x v="243"/>
    <x v="1"/>
    <s v="8月"/>
    <x v="4"/>
    <n v="5.0299999999999997E-2"/>
    <n v="5.8799999999999998E-2"/>
    <n v="0"/>
    <n v="1440.6666666666667"/>
    <n v="1163.9632000000001"/>
    <d v="3123-09-06T21:12:58"/>
    <x v="0"/>
    <x v="4"/>
  </r>
  <r>
    <x v="3"/>
    <x v="6"/>
    <x v="0"/>
    <x v="2"/>
    <s v="DC TST120853"/>
    <m/>
    <m/>
    <n v="0"/>
    <x v="350"/>
    <n v="111004"/>
    <x v="97"/>
    <x v="229"/>
    <x v="2"/>
    <x v="4"/>
    <n v="19021470"/>
    <x v="0"/>
    <x v="0"/>
    <x v="0"/>
    <d v="2022-08-08T00:00:00"/>
    <x v="232"/>
    <x v="1"/>
    <s v="8月"/>
    <x v="4"/>
    <n v="5.0299999999999997E-2"/>
    <n v="5.8799999999999998E-2"/>
    <n v="0"/>
    <n v="1440.6666666666667"/>
    <n v="1163.9632000000001"/>
    <d v="3123-09-06T21:12:58"/>
    <x v="0"/>
    <x v="4"/>
  </r>
  <r>
    <x v="3"/>
    <x v="6"/>
    <x v="0"/>
    <x v="2"/>
    <s v="DC TST120857"/>
    <m/>
    <m/>
    <n v="22879.4"/>
    <x v="351"/>
    <n v="111006"/>
    <x v="98"/>
    <x v="230"/>
    <x v="2"/>
    <x v="4"/>
    <n v="29990058"/>
    <x v="0"/>
    <x v="0"/>
    <x v="0"/>
    <d v="2022-08-08T00:00:00"/>
    <x v="232"/>
    <x v="1"/>
    <s v="8月"/>
    <x v="4"/>
    <n v="4.9799999999999997E-2"/>
    <n v="5.8299999999999998E-2"/>
    <n v="0"/>
    <n v="1440.6666666666667"/>
    <n v="1163.9632000000001"/>
    <n v="446941.88400000002"/>
    <x v="0"/>
    <x v="4"/>
  </r>
  <r>
    <x v="3"/>
    <x v="6"/>
    <x v="0"/>
    <x v="2"/>
    <s v="DC TST120857"/>
    <m/>
    <m/>
    <n v="0"/>
    <x v="351"/>
    <n v="111039"/>
    <x v="98"/>
    <x v="230"/>
    <x v="2"/>
    <x v="1"/>
    <n v="45163467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n v="446941.88400000002"/>
    <x v="0"/>
    <x v="4"/>
  </r>
  <r>
    <x v="3"/>
    <x v="11"/>
    <x v="0"/>
    <x v="2"/>
    <s v="DC TST118162"/>
    <m/>
    <m/>
    <n v="23179.4"/>
    <x v="352"/>
    <n v="111020"/>
    <x v="99"/>
    <x v="231"/>
    <x v="14"/>
    <x v="10"/>
    <n v="113890114"/>
    <x v="0"/>
    <x v="0"/>
    <x v="0"/>
    <d v="2022-09-12T00:00:00"/>
    <x v="247"/>
    <x v="1"/>
    <s v="9月"/>
    <x v="4"/>
    <n v="4.8500000000000001E-2"/>
    <n v="5.4800000000000001E-2"/>
    <n v="0"/>
    <n v="1440.6666666666667"/>
    <n v="1163.9632000000001"/>
    <n v="446941.88400000002"/>
    <x v="0"/>
    <x v="4"/>
  </r>
  <r>
    <x v="3"/>
    <x v="8"/>
    <x v="0"/>
    <x v="2"/>
    <s v="JPY ESHL单"/>
    <m/>
    <m/>
    <n v="0"/>
    <x v="353"/>
    <n v="111052"/>
    <x v="100"/>
    <x v="232"/>
    <x v="2"/>
    <x v="3"/>
    <n v="31430887.500000004"/>
    <x v="0"/>
    <x v="0"/>
    <x v="0"/>
    <d v="2022-11-07T00:00:00"/>
    <x v="248"/>
    <x v="1"/>
    <s v="11月"/>
    <x v="4"/>
    <n v="5.1200000000000002E-2"/>
    <n v="5.9499999999999997E-2"/>
    <n v="0"/>
    <n v="1440.6666666666667"/>
    <n v="1163.9632000000001"/>
    <n v="446941.88400000002"/>
    <x v="0"/>
    <x v="5"/>
  </r>
  <r>
    <x v="3"/>
    <x v="8"/>
    <x v="0"/>
    <x v="2"/>
    <s v="315012077076-M"/>
    <m/>
    <m/>
    <n v="23799.4"/>
    <x v="354"/>
    <n v="111053"/>
    <x v="100"/>
    <x v="132"/>
    <x v="2"/>
    <x v="4"/>
    <n v="18036877.500000004"/>
    <x v="0"/>
    <x v="0"/>
    <x v="0"/>
    <d v="2022-09-26T00:00:00"/>
    <x v="249"/>
    <x v="1"/>
    <s v="9月"/>
    <x v="4"/>
    <s v="No mismatch"/>
    <s v="no mismatch"/>
    <n v="0"/>
    <n v="1440.6666666666667"/>
    <n v="1163.9632000000001"/>
    <n v="446941.88400000002"/>
    <x v="0"/>
    <x v="5"/>
  </r>
  <r>
    <x v="3"/>
    <x v="8"/>
    <x v="0"/>
    <x v="2"/>
    <s v="JPY ESHL单"/>
    <m/>
    <m/>
    <n v="52258"/>
    <x v="355"/>
    <n v="111054"/>
    <x v="100"/>
    <x v="180"/>
    <x v="2"/>
    <x v="0"/>
    <n v="25448820.000000004"/>
    <x v="0"/>
    <x v="0"/>
    <x v="0"/>
    <d v="2022-11-07T00:00:00"/>
    <x v="248"/>
    <x v="1"/>
    <s v="11月"/>
    <x v="4"/>
    <n v="4.8800000000000003E-2"/>
    <s v="please quote rate"/>
    <n v="0"/>
    <n v="1440.6666666666667"/>
    <n v="1163.9632000000001"/>
    <n v="446941.88400000002"/>
    <x v="0"/>
    <x v="5"/>
  </r>
  <r>
    <x v="3"/>
    <x v="8"/>
    <x v="0"/>
    <x v="2"/>
    <s v="JPY ESHL单"/>
    <m/>
    <m/>
    <n v="0"/>
    <x v="356"/>
    <n v="111055"/>
    <x v="100"/>
    <x v="233"/>
    <x v="2"/>
    <x v="3"/>
    <n v="30761288"/>
    <x v="0"/>
    <x v="0"/>
    <x v="0"/>
    <d v="2022-11-07T00:00:00"/>
    <x v="248"/>
    <x v="1"/>
    <s v="11月"/>
    <x v="4"/>
    <n v="4.9700000000000001E-2"/>
    <n v="5.8099999999999999E-2"/>
    <n v="0"/>
    <n v="1440.6666666666667"/>
    <n v="1163.9632000000001"/>
    <n v="446941.88400000002"/>
    <x v="0"/>
    <x v="5"/>
  </r>
  <r>
    <x v="3"/>
    <x v="8"/>
    <x v="0"/>
    <x v="2"/>
    <s v="JPY ESHL单"/>
    <m/>
    <m/>
    <n v="0"/>
    <x v="357"/>
    <n v="111056"/>
    <x v="100"/>
    <x v="234"/>
    <x v="2"/>
    <x v="4"/>
    <n v="18036877.500000004"/>
    <x v="0"/>
    <x v="0"/>
    <x v="0"/>
    <d v="2022-11-07T00:00:00"/>
    <x v="248"/>
    <x v="1"/>
    <s v="11月"/>
    <x v="4"/>
    <n v="4.9700000000000001E-2"/>
    <n v="5.8099999999999999E-2"/>
    <n v="0"/>
    <n v="1440.6666666666667"/>
    <n v="1163.9632000000001"/>
    <n v="446941.88400000002"/>
    <x v="0"/>
    <x v="5"/>
  </r>
  <r>
    <x v="3"/>
    <x v="5"/>
    <x v="0"/>
    <x v="2"/>
    <s v="JPY ESHL单"/>
    <m/>
    <m/>
    <n v="0"/>
    <x v="358"/>
    <n v="111047"/>
    <x v="100"/>
    <x v="235"/>
    <x v="14"/>
    <x v="0"/>
    <n v="41675016"/>
    <x v="0"/>
    <x v="0"/>
    <x v="0"/>
    <d v="2022-11-07T00:00:00"/>
    <x v="248"/>
    <x v="1"/>
    <n v="11"/>
    <x v="4"/>
    <n v="4.9700000000000001E-2"/>
    <n v="5.8099999999999999E-2"/>
    <n v="0"/>
    <n v="1440.6666666666667"/>
    <n v="1163.9632000000001"/>
    <n v="446941.88400000002"/>
    <x v="0"/>
    <x v="4"/>
  </r>
  <r>
    <x v="3"/>
    <x v="6"/>
    <x v="0"/>
    <x v="2"/>
    <s v="JPY ESHL单"/>
    <m/>
    <m/>
    <n v="37766.35"/>
    <x v="359"/>
    <n v="111048"/>
    <x v="100"/>
    <x v="233"/>
    <x v="14"/>
    <x v="3"/>
    <n v="48012540"/>
    <x v="0"/>
    <x v="0"/>
    <x v="0"/>
    <d v="2022-10-02T00:00:00"/>
    <x v="250"/>
    <x v="1"/>
    <n v="10"/>
    <x v="4"/>
    <n v="4.9700000000000001E-2"/>
    <n v="5.8099999999999999E-2"/>
    <d v="1899-12-30T00:00:00"/>
    <n v="1440.6666666666667"/>
    <n v="1163.9632000000001"/>
    <n v="446941.88400000002"/>
    <x v="0"/>
    <x v="5"/>
  </r>
  <r>
    <x v="3"/>
    <x v="6"/>
    <x v="0"/>
    <x v="2"/>
    <s v="JPY ESHL单"/>
    <m/>
    <m/>
    <n v="0"/>
    <x v="360"/>
    <n v="111049"/>
    <x v="100"/>
    <x v="232"/>
    <x v="14"/>
    <x v="3"/>
    <n v="48130300"/>
    <x v="0"/>
    <x v="0"/>
    <x v="0"/>
    <d v="2022-10-02T00:00:00"/>
    <x v="250"/>
    <x v="1"/>
    <n v="10"/>
    <x v="4"/>
    <n v="5.1200000000000002E-2"/>
    <n v="5.9499999999999997E-2"/>
    <d v="1899-12-30T00:00:00"/>
    <n v="1440.6666666666667"/>
    <n v="1163.9632000000001"/>
    <n v="446941.88400000002"/>
    <x v="0"/>
    <x v="5"/>
  </r>
  <r>
    <x v="3"/>
    <x v="6"/>
    <x v="0"/>
    <x v="2"/>
    <s v="JPY ESHL单"/>
    <m/>
    <m/>
    <n v="0"/>
    <x v="361"/>
    <n v="111050"/>
    <x v="100"/>
    <x v="180"/>
    <x v="14"/>
    <x v="3"/>
    <n v="48294100"/>
    <x v="0"/>
    <x v="0"/>
    <x v="0"/>
    <d v="2022-10-02T00:00:00"/>
    <x v="250"/>
    <x v="1"/>
    <n v="10"/>
    <x v="4"/>
    <n v="4.8800000000000003E-2"/>
    <n v="0"/>
    <d v="1899-12-30T00:00:00"/>
    <n v="1440.6666666666667"/>
    <n v="1163.9632000000001"/>
    <n v="446941.88400000002"/>
    <x v="0"/>
    <x v="5"/>
  </r>
  <r>
    <x v="3"/>
    <x v="5"/>
    <x v="0"/>
    <x v="2"/>
    <s v="315012077067-M"/>
    <m/>
    <m/>
    <n v="0"/>
    <x v="362"/>
    <n v="111051"/>
    <x v="100"/>
    <x v="146"/>
    <x v="14"/>
    <x v="6"/>
    <n v="62606604"/>
    <x v="0"/>
    <x v="0"/>
    <x v="0"/>
    <d v="2022-09-26T00:00:00"/>
    <x v="249"/>
    <x v="1"/>
    <n v="9"/>
    <x v="4"/>
    <s v="No mismatch"/>
    <s v="no mismatch"/>
    <n v="0"/>
    <n v="1440.6666666666667"/>
    <n v="1163.9632000000001"/>
    <n v="446941.88400000002"/>
    <x v="0"/>
    <x v="4"/>
  </r>
  <r>
    <x v="3"/>
    <x v="1"/>
    <x v="1"/>
    <x v="2"/>
    <s v="DC AM1000603"/>
    <m/>
    <m/>
    <n v="0"/>
    <x v="363"/>
    <n v="111077"/>
    <x v="101"/>
    <x v="109"/>
    <x v="15"/>
    <x v="5"/>
    <n v="8528445"/>
    <x v="0"/>
    <x v="0"/>
    <x v="0"/>
    <d v="2022-11-07T00:00:00"/>
    <x v="248"/>
    <x v="1"/>
    <n v="11"/>
    <x v="2"/>
    <s v="No mismatch"/>
    <s v="no mismatch"/>
    <n v="0"/>
    <n v="1440.6666666666667"/>
    <n v="1163.9632000000001"/>
    <n v="446941.88400000002"/>
    <x v="0"/>
    <x v="1"/>
  </r>
  <r>
    <x v="3"/>
    <x v="8"/>
    <x v="0"/>
    <x v="2"/>
    <s v="不做LC，申請T/T付款"/>
    <m/>
    <m/>
    <n v="15330.15"/>
    <x v="364"/>
    <n v="111095"/>
    <x v="102"/>
    <x v="98"/>
    <x v="2"/>
    <x v="3"/>
    <n v="30061465"/>
    <x v="0"/>
    <x v="0"/>
    <x v="0"/>
    <d v="2022-11-07T00:00:00"/>
    <x v="248"/>
    <x v="1"/>
    <n v="11"/>
    <x v="4"/>
    <s v="No mismatch"/>
    <s v="no mismatch"/>
    <n v="0"/>
    <n v="1440.6666666666667"/>
    <n v="1163.9632000000001"/>
    <n v="446941.88400000002"/>
    <x v="0"/>
    <x v="5"/>
  </r>
  <r>
    <x v="3"/>
    <x v="6"/>
    <x v="0"/>
    <x v="2"/>
    <s v="不做LC，申請T/T付款"/>
    <m/>
    <m/>
    <n v="30392.55"/>
    <x v="365"/>
    <n v="111096"/>
    <x v="102"/>
    <x v="196"/>
    <x v="14"/>
    <x v="1"/>
    <n v="67347092"/>
    <x v="0"/>
    <x v="0"/>
    <x v="0"/>
    <d v="2022-11-07T00:00:00"/>
    <x v="248"/>
    <x v="1"/>
    <n v="11"/>
    <x v="4"/>
    <s v="No mismatch"/>
    <s v="no mismatch"/>
    <n v="0"/>
    <n v="1440.6666666666667"/>
    <n v="1163.9632000000001"/>
    <n v="446941.88400000002"/>
    <x v="0"/>
    <x v="5"/>
  </r>
  <r>
    <x v="3"/>
    <x v="6"/>
    <x v="0"/>
    <x v="2"/>
    <s v="DC AM1000608"/>
    <m/>
    <m/>
    <n v="11531.6"/>
    <x v="366"/>
    <n v="111097"/>
    <x v="102"/>
    <x v="236"/>
    <x v="14"/>
    <x v="2"/>
    <n v="34084770"/>
    <x v="0"/>
    <x v="0"/>
    <x v="0"/>
    <d v="2022-11-11T00:00:00"/>
    <x v="251"/>
    <x v="1"/>
    <n v="11"/>
    <x v="4"/>
    <s v="No mismatch"/>
    <s v="no mismatch"/>
    <n v="0"/>
    <n v="1440.6666666666667"/>
    <n v="1163.9632000000001"/>
    <n v="446941.88400000002"/>
    <x v="0"/>
    <x v="5"/>
  </r>
  <r>
    <x v="3"/>
    <x v="1"/>
    <x v="1"/>
    <x v="2"/>
    <s v="JPY ESHL单"/>
    <m/>
    <m/>
    <n v="2000"/>
    <x v="367"/>
    <s v="28L104351"/>
    <x v="102"/>
    <x v="103"/>
    <x v="15"/>
    <x v="2"/>
    <n v="13860020"/>
    <x v="0"/>
    <x v="0"/>
    <x v="0"/>
    <d v="2022-10-24T00:00:00"/>
    <x v="252"/>
    <x v="1"/>
    <n v="10"/>
    <x v="2"/>
    <s v="checking with sales"/>
    <s v="checking with sales"/>
    <n v="0"/>
    <n v="1440.6666666666667"/>
    <n v="1163.9632000000001"/>
    <n v="446941.88400000002"/>
    <x v="0"/>
    <x v="1"/>
  </r>
  <r>
    <x v="3"/>
    <x v="3"/>
    <x v="0"/>
    <x v="2"/>
    <s v="CNY单"/>
    <s v="CNY单"/>
    <s v="CNY单"/>
    <n v="0"/>
    <x v="368"/>
    <s v="49F104436"/>
    <x v="103"/>
    <x v="114"/>
    <x v="1"/>
    <x v="4"/>
    <n v="2550000"/>
    <x v="0"/>
    <x v="0"/>
    <x v="0"/>
    <s v="2022-12-15提货"/>
    <x v="253"/>
    <x v="1"/>
    <m/>
    <x v="4"/>
    <s v="CNY单"/>
    <s v="CNY单"/>
    <m/>
    <m/>
    <m/>
    <n v="0"/>
    <x v="0"/>
    <x v="0"/>
  </r>
  <r>
    <x v="7"/>
    <x v="8"/>
    <x v="0"/>
    <x v="2"/>
    <s v="DC AM1001257"/>
    <m/>
    <m/>
    <n v="19029.400000000001"/>
    <x v="369"/>
    <n v="111131"/>
    <x v="104"/>
    <x v="237"/>
    <x v="2"/>
    <x v="3"/>
    <n v="30954813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5"/>
  </r>
  <r>
    <x v="7"/>
    <x v="6"/>
    <x v="0"/>
    <x v="2"/>
    <s v="DC AM1001257"/>
    <m/>
    <m/>
    <n v="0"/>
    <x v="369"/>
    <n v="111131"/>
    <x v="104"/>
    <x v="237"/>
    <x v="14"/>
    <x v="3"/>
    <n v="48041980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5"/>
  </r>
  <r>
    <x v="7"/>
    <x v="8"/>
    <x v="0"/>
    <x v="2"/>
    <s v="DC AM1001256"/>
    <m/>
    <m/>
    <n v="9862.2000000000007"/>
    <x v="370"/>
    <n v="111132"/>
    <x v="104"/>
    <x v="238"/>
    <x v="2"/>
    <x v="2"/>
    <n v="11540835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5"/>
  </r>
  <r>
    <x v="7"/>
    <x v="5"/>
    <x v="0"/>
    <x v="2"/>
    <s v="DC AM1001256"/>
    <m/>
    <m/>
    <n v="0"/>
    <x v="370"/>
    <n v="111132"/>
    <x v="104"/>
    <x v="238"/>
    <x v="14"/>
    <x v="5"/>
    <n v="10435734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4"/>
  </r>
  <r>
    <x v="7"/>
    <x v="5"/>
    <x v="0"/>
    <x v="2"/>
    <s v="DC AM1001256"/>
    <m/>
    <m/>
    <n v="9862.2000000000007"/>
    <x v="371"/>
    <n v="111133"/>
    <x v="104"/>
    <x v="126"/>
    <x v="14"/>
    <x v="3"/>
    <n v="52046730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4"/>
  </r>
  <r>
    <x v="7"/>
    <x v="5"/>
    <x v="0"/>
    <x v="2"/>
    <s v="DC AM1001257"/>
    <m/>
    <m/>
    <n v="9862.2000000000007"/>
    <x v="372"/>
    <n v="111134"/>
    <x v="104"/>
    <x v="239"/>
    <x v="14"/>
    <x v="3"/>
    <n v="52113092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4"/>
  </r>
  <r>
    <x v="7"/>
    <x v="0"/>
    <x v="1"/>
    <x v="2"/>
    <s v="DC AM1001271"/>
    <m/>
    <m/>
    <n v="10087.200000000001"/>
    <x v="373"/>
    <n v="111202"/>
    <x v="105"/>
    <x v="131"/>
    <x v="13"/>
    <x v="4"/>
    <n v="36771117"/>
    <x v="0"/>
    <x v="0"/>
    <x v="0"/>
    <d v="2023-03-24T00:00:00"/>
    <x v="255"/>
    <x v="1"/>
    <n v="3"/>
    <x v="4"/>
    <s v="No mismatch"/>
    <s v="no mismatch"/>
    <n v="0"/>
    <n v="1440.6666666666667"/>
    <n v="1163.9632000000001"/>
    <n v="446941.88400000002"/>
    <x v="0"/>
    <x v="4"/>
  </r>
  <r>
    <x v="7"/>
    <x v="0"/>
    <x v="1"/>
    <x v="2"/>
    <s v="9435913NS2B"/>
    <m/>
    <m/>
    <n v="9035.2999999999993"/>
    <x v="374"/>
    <n v="111222"/>
    <x v="106"/>
    <x v="240"/>
    <x v="18"/>
    <x v="5"/>
    <n v="17344670"/>
    <x v="0"/>
    <x v="0"/>
    <x v="0"/>
    <d v="2023-04-07T00:00:00"/>
    <x v="256"/>
    <x v="1"/>
    <n v="4"/>
    <x v="4"/>
    <n v="5.16E-2"/>
    <n v="5.9900000000000002E-2"/>
    <n v="0"/>
    <n v="1440.6666666666667"/>
    <n v="1163.9632000000001"/>
    <n v="446941.88400000002"/>
    <x v="0"/>
    <x v="4"/>
  </r>
  <r>
    <x v="7"/>
    <x v="0"/>
    <x v="1"/>
    <x v="2"/>
    <m/>
    <m/>
    <m/>
    <n v="8050.3"/>
    <x v="375"/>
    <n v="111247"/>
    <x v="107"/>
    <x v="241"/>
    <x v="1"/>
    <x v="0"/>
    <n v="56947924"/>
    <x v="0"/>
    <x v="0"/>
    <x v="0"/>
    <d v="2023-05-08T00:00:00"/>
    <x v="257"/>
    <x v="1"/>
    <n v="5"/>
    <x v="4"/>
    <n v="5.1700000000000003E-2"/>
    <n v="5.8400000000000001E-2"/>
    <n v="0"/>
    <n v="1440.6666666666667"/>
    <n v="1163.9632000000001"/>
    <n v="446941.88400000002"/>
    <x v="0"/>
    <x v="4"/>
  </r>
  <r>
    <x v="7"/>
    <x v="0"/>
    <x v="1"/>
    <x v="2"/>
    <s v="DC AM1001284"/>
    <m/>
    <m/>
    <n v="8250.2999999999993"/>
    <x v="376"/>
    <n v="111252"/>
    <x v="108"/>
    <x v="114"/>
    <x v="1"/>
    <x v="0"/>
    <n v="58914320"/>
    <x v="0"/>
    <x v="0"/>
    <x v="0"/>
    <d v="2023-04-17T00:00:00"/>
    <x v="258"/>
    <x v="1"/>
    <n v="4"/>
    <x v="4"/>
    <n v="5.0900000000000001E-2"/>
    <n v="5.7500000000000002E-2"/>
    <n v="0"/>
    <n v="1440.6666666666667"/>
    <n v="1163.9632000000001"/>
    <n v="446941.88400000002"/>
    <x v="0"/>
    <x v="4"/>
  </r>
  <r>
    <x v="7"/>
    <x v="0"/>
    <x v="0"/>
    <x v="1"/>
    <s v="DC AM1001293"/>
    <m/>
    <m/>
    <n v="15580.6"/>
    <x v="377"/>
    <n v="111253"/>
    <x v="109"/>
    <x v="85"/>
    <x v="18"/>
    <x v="8"/>
    <n v="100167020"/>
    <x v="0"/>
    <x v="0"/>
    <x v="0"/>
    <d v="2023-05-15T00:00:00"/>
    <x v="259"/>
    <x v="1"/>
    <n v="5"/>
    <x v="4"/>
    <n v="5.1799999999999999E-2"/>
    <n v="5.91E-2"/>
    <n v="0"/>
    <n v="1440.6666666666667"/>
    <n v="1163.9632000000001"/>
    <n v="446941.88400000002"/>
    <x v="0"/>
    <x v="4"/>
  </r>
  <r>
    <x v="7"/>
    <x v="0"/>
    <x v="0"/>
    <x v="1"/>
    <s v="LM875788100"/>
    <m/>
    <m/>
    <n v="8050.3"/>
    <x v="378"/>
    <n v="111254"/>
    <x v="109"/>
    <x v="85"/>
    <x v="2"/>
    <x v="3"/>
    <n v="28495965"/>
    <x v="0"/>
    <x v="0"/>
    <x v="0"/>
    <d v="2023-05-08T00:00:00"/>
    <x v="257"/>
    <x v="1"/>
    <n v="5"/>
    <x v="4"/>
    <n v="5.1799999999999999E-2"/>
    <n v="5.91E-2"/>
    <n v="0"/>
    <n v="1440.6666666666667"/>
    <n v="1163.9632000000001"/>
    <n v="446941.88400000002"/>
    <x v="0"/>
    <x v="4"/>
  </r>
  <r>
    <x v="7"/>
    <x v="0"/>
    <x v="1"/>
    <x v="2"/>
    <m/>
    <m/>
    <m/>
    <n v="5352.65"/>
    <x v="379"/>
    <n v="111258"/>
    <x v="110"/>
    <x v="114"/>
    <x v="1"/>
    <x v="2"/>
    <n v="29457160"/>
    <x v="0"/>
    <x v="0"/>
    <x v="0"/>
    <d v="2023-05-08T00:00:00"/>
    <x v="260"/>
    <x v="1"/>
    <n v="5"/>
    <x v="4"/>
    <n v="5.1799999999999999E-2"/>
    <n v="5.91E-2"/>
    <n v="0"/>
    <n v="1440.6666666666667"/>
    <n v="1163.9632000000001"/>
    <n v="446941.88400000002"/>
    <x v="0"/>
    <x v="4"/>
  </r>
  <r>
    <x v="7"/>
    <x v="0"/>
    <x v="0"/>
    <x v="1"/>
    <s v="DC AM1001653"/>
    <m/>
    <m/>
    <n v="15580.6"/>
    <x v="380"/>
    <n v="111277"/>
    <x v="111"/>
    <x v="85"/>
    <x v="2"/>
    <x v="3"/>
    <n v="28495963"/>
    <x v="0"/>
    <x v="0"/>
    <x v="0"/>
    <d v="2023-06-23T00:00:00"/>
    <x v="261"/>
    <x v="1"/>
    <n v="6"/>
    <x v="4"/>
    <n v="5.16E-2"/>
    <n v="5.8799999999999998E-2"/>
    <n v="0"/>
    <n v="1440.6666666666667"/>
    <n v="1163.9632000000001"/>
    <n v="446941.88400000002"/>
    <x v="0"/>
    <x v="4"/>
  </r>
  <r>
    <x v="7"/>
    <x v="0"/>
    <x v="0"/>
    <x v="1"/>
    <s v="DC AM1001653"/>
    <m/>
    <m/>
    <n v="0"/>
    <x v="380"/>
    <n v="111305"/>
    <x v="111"/>
    <x v="85"/>
    <x v="2"/>
    <x v="3"/>
    <n v="31995087"/>
    <x v="0"/>
    <x v="0"/>
    <x v="0"/>
    <d v="2023-06-23T00:00:00"/>
    <x v="261"/>
    <x v="1"/>
    <n v="6"/>
    <x v="4"/>
    <n v="5.0799999999999998E-2"/>
    <n v="5.7599999999999998E-2"/>
    <n v="0"/>
    <n v="1440.6666666666667"/>
    <n v="1163.9632000000001"/>
    <n v="446941.88400000002"/>
    <x v="0"/>
    <x v="4"/>
  </r>
  <r>
    <x v="7"/>
    <x v="0"/>
    <x v="0"/>
    <x v="1"/>
    <s v="315012085049-M"/>
    <m/>
    <m/>
    <n v="15580.6"/>
    <x v="381"/>
    <n v="111278"/>
    <x v="111"/>
    <x v="85"/>
    <x v="18"/>
    <x v="3"/>
    <n v="50083510"/>
    <x v="0"/>
    <x v="0"/>
    <x v="0"/>
    <d v="2023-06-26T00:00:00"/>
    <x v="262"/>
    <x v="1"/>
    <n v="6"/>
    <x v="4"/>
    <n v="5.16E-2"/>
    <n v="5.8799999999999998E-2"/>
    <n v="0"/>
    <n v="1440.6666666666667"/>
    <n v="1163.9632000000001"/>
    <n v="446941.88400000002"/>
    <x v="0"/>
    <x v="4"/>
  </r>
  <r>
    <x v="7"/>
    <x v="0"/>
    <x v="0"/>
    <x v="1"/>
    <m/>
    <m/>
    <m/>
    <n v="0"/>
    <x v="381"/>
    <n v="111304"/>
    <x v="111"/>
    <x v="85"/>
    <x v="18"/>
    <x v="3"/>
    <n v="50083510"/>
    <x v="0"/>
    <x v="0"/>
    <x v="0"/>
    <d v="2023-06-26T00:00:00"/>
    <x v="262"/>
    <x v="1"/>
    <n v="6"/>
    <x v="4"/>
    <n v="5.0799999999999998E-2"/>
    <n v="5.7599999999999998E-2"/>
    <n v="0"/>
    <n v="1440.6666666666667"/>
    <n v="1163.9632000000001"/>
    <n v="446941.88400000002"/>
    <x v="0"/>
    <x v="4"/>
  </r>
  <r>
    <x v="7"/>
    <x v="2"/>
    <x v="1"/>
    <x v="2"/>
    <s v="DC AM1001665 "/>
    <n v="138422"/>
    <m/>
    <m/>
    <x v="382"/>
    <n v="111293"/>
    <x v="112"/>
    <x v="94"/>
    <x v="18"/>
    <x v="6"/>
    <n v="60951588"/>
    <x v="0"/>
    <x v="13"/>
    <x v="6"/>
    <d v="2023-07-05T00:00:00"/>
    <x v="263"/>
    <x v="0"/>
    <n v="7"/>
    <x v="2"/>
    <s v="no mismatch"/>
    <s v="no mismatch"/>
    <m/>
    <m/>
    <m/>
    <m/>
    <x v="0"/>
    <x v="0"/>
  </r>
  <r>
    <x v="7"/>
    <x v="2"/>
    <x v="1"/>
    <x v="2"/>
    <s v="DC AM1001665 "/>
    <n v="0"/>
    <m/>
    <m/>
    <x v="382"/>
    <n v="111293"/>
    <x v="112"/>
    <x v="94"/>
    <x v="2"/>
    <x v="0"/>
    <n v="26536784"/>
    <x v="0"/>
    <x v="13"/>
    <x v="6"/>
    <d v="2023-07-05T00:00:00"/>
    <x v="263"/>
    <x v="0"/>
    <n v="7"/>
    <x v="2"/>
    <s v="no mismatch"/>
    <s v="no mismatch"/>
    <n v="0"/>
    <n v="0"/>
    <n v="0"/>
    <n v="2008834.5488"/>
    <x v="0"/>
    <x v="0"/>
  </r>
  <r>
    <x v="7"/>
    <x v="0"/>
    <x v="0"/>
    <x v="1"/>
    <s v="DC AM1004862"/>
    <m/>
    <m/>
    <n v="15298"/>
    <x v="383"/>
    <n v="111309"/>
    <x v="113"/>
    <x v="85"/>
    <x v="2"/>
    <x v="3"/>
    <n v="29862138"/>
    <x v="0"/>
    <x v="0"/>
    <x v="0"/>
    <d v="2023-08-11T00:00:00"/>
    <x v="264"/>
    <x v="1"/>
    <n v="8"/>
    <x v="4"/>
    <n v="5.0500000000000003E-2"/>
    <n v="5.5E-2"/>
    <n v="0"/>
    <n v="1440.6666666666667"/>
    <n v="1163.9632000000001"/>
    <n v="446941.88400000002"/>
    <x v="0"/>
    <x v="4"/>
  </r>
  <r>
    <x v="7"/>
    <x v="0"/>
    <x v="0"/>
    <x v="1"/>
    <m/>
    <m/>
    <m/>
    <n v="0"/>
    <x v="383"/>
    <n v="111373"/>
    <x v="113"/>
    <x v="85"/>
    <x v="2"/>
    <x v="3"/>
    <n v="28555208"/>
    <x v="0"/>
    <x v="0"/>
    <x v="0"/>
    <d v="2023-08-11T00:00:00"/>
    <x v="264"/>
    <x v="1"/>
    <n v="8"/>
    <x v="4"/>
    <n v="5.0799999999999998E-2"/>
    <n v="5.5599999999999997E-2"/>
    <n v="0"/>
    <n v="1440.6666666666667"/>
    <n v="1163.9632000000001"/>
    <n v="446941.88400000002"/>
    <x v="0"/>
    <x v="4"/>
  </r>
  <r>
    <x v="7"/>
    <x v="0"/>
    <x v="0"/>
    <x v="1"/>
    <s v="315012086066-M"/>
    <m/>
    <m/>
    <n v="15894.6"/>
    <x v="384"/>
    <n v="111310"/>
    <x v="113"/>
    <x v="85"/>
    <x v="18"/>
    <x v="3"/>
    <n v="50083510"/>
    <x v="0"/>
    <x v="0"/>
    <x v="0"/>
    <d v="2023-08-02T00:00:00"/>
    <x v="265"/>
    <x v="1"/>
    <n v="8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315012086066-M"/>
    <m/>
    <m/>
    <n v="0"/>
    <x v="384"/>
    <n v="111374"/>
    <x v="113"/>
    <x v="85"/>
    <x v="18"/>
    <x v="3"/>
    <n v="50083510"/>
    <x v="0"/>
    <x v="0"/>
    <x v="0"/>
    <d v="2023-08-02T00:00:00"/>
    <x v="265"/>
    <x v="1"/>
    <n v="8"/>
    <x v="4"/>
    <n v="5.0799999999999998E-2"/>
    <n v="5.5599999999999997E-2"/>
    <n v="0"/>
    <n v="1440.6666666666667"/>
    <n v="1163.9632000000001"/>
    <n v="446941.88400000002"/>
    <x v="0"/>
    <x v="4"/>
  </r>
  <r>
    <x v="7"/>
    <x v="0"/>
    <x v="0"/>
    <x v="1"/>
    <s v="315012086734-M"/>
    <m/>
    <m/>
    <n v="7959"/>
    <x v="385"/>
    <n v="111341"/>
    <x v="114"/>
    <x v="85"/>
    <x v="2"/>
    <x v="3"/>
    <n v="29195788"/>
    <x v="0"/>
    <x v="0"/>
    <x v="0"/>
    <d v="2023-09-06T00:00:00"/>
    <x v="266"/>
    <x v="1"/>
    <n v="9"/>
    <x v="4"/>
    <n v="5.0299999999999997E-2"/>
    <n v="5.4100000000000002E-2"/>
    <n v="0"/>
    <n v="1440.6666666666667"/>
    <n v="1163.9632000000001"/>
    <n v="446941.88400000002"/>
    <x v="0"/>
    <x v="4"/>
  </r>
  <r>
    <x v="7"/>
    <x v="13"/>
    <x v="0"/>
    <x v="1"/>
    <m/>
    <m/>
    <m/>
    <n v="0"/>
    <x v="385"/>
    <n v="111420"/>
    <x v="114"/>
    <x v="85"/>
    <x v="19"/>
    <x v="14"/>
    <n v="130000"/>
    <x v="0"/>
    <x v="0"/>
    <x v="0"/>
    <d v="2023-09-06T00:00:00"/>
    <x v="266"/>
    <x v="1"/>
    <n v="9"/>
    <x v="4"/>
    <n v="5.0299999999999997E-2"/>
    <n v="5.4100000000000002E-2"/>
    <n v="0"/>
    <n v="1440.6666666666667"/>
    <n v="1163.9632000000001"/>
    <n v="446941.88400000002"/>
    <x v="0"/>
    <x v="4"/>
  </r>
  <r>
    <x v="7"/>
    <x v="0"/>
    <x v="0"/>
    <x v="1"/>
    <s v="LM878478100"/>
    <m/>
    <m/>
    <n v="7959"/>
    <x v="386"/>
    <n v="111342"/>
    <x v="114"/>
    <x v="85"/>
    <x v="18"/>
    <x v="3"/>
    <n v="50083510"/>
    <x v="0"/>
    <x v="0"/>
    <x v="0"/>
    <d v="2023-09-06T00:00:00"/>
    <x v="266"/>
    <x v="1"/>
    <n v="9"/>
    <x v="4"/>
    <n v="5.0500000000000003E-2"/>
    <n v="5.5E-2"/>
    <n v="0"/>
    <n v="1440.6666666666667"/>
    <n v="1163.9632000000001"/>
    <n v="446941.88400000002"/>
    <x v="0"/>
    <x v="4"/>
  </r>
  <r>
    <x v="7"/>
    <x v="0"/>
    <x v="0"/>
    <x v="1"/>
    <s v="DC AM1011925"/>
    <m/>
    <m/>
    <n v="8564.2999999999993"/>
    <x v="387"/>
    <n v="111361"/>
    <x v="115"/>
    <x v="85"/>
    <x v="2"/>
    <x v="0"/>
    <n v="23496596"/>
    <x v="0"/>
    <x v="0"/>
    <x v="0"/>
    <d v="2023-10-06T00:00:00"/>
    <x v="267"/>
    <x v="1"/>
    <n v="10"/>
    <x v="4"/>
    <n v="0.05"/>
    <n v="5.3800000000000001E-2"/>
    <n v="0"/>
    <n v="1440.6666666666667"/>
    <n v="1163.9632000000001"/>
    <n v="446941.88400000002"/>
    <x v="0"/>
    <x v="4"/>
  </r>
  <r>
    <x v="7"/>
    <x v="0"/>
    <x v="0"/>
    <x v="1"/>
    <s v="DC AM1011925"/>
    <m/>
    <m/>
    <n v="0"/>
    <x v="387"/>
    <n v="111364"/>
    <x v="115"/>
    <x v="85"/>
    <x v="2"/>
    <x v="5"/>
    <n v="5659817"/>
    <x v="0"/>
    <x v="0"/>
    <x v="0"/>
    <d v="2023-10-06T00:00:00"/>
    <x v="267"/>
    <x v="1"/>
    <n v="10"/>
    <x v="4"/>
    <n v="0"/>
    <n v="5.6800000000000003E-2"/>
    <n v="0"/>
    <n v="1440.6666666666667"/>
    <n v="1163.9632000000001"/>
    <n v="446941.88400000002"/>
    <x v="0"/>
    <x v="4"/>
  </r>
  <r>
    <x v="7"/>
    <x v="13"/>
    <x v="0"/>
    <x v="1"/>
    <s v="DC AM1011925"/>
    <m/>
    <m/>
    <n v="0"/>
    <x v="387"/>
    <s v="TBA"/>
    <x v="115"/>
    <x v="85"/>
    <x v="19"/>
    <x v="14"/>
    <n v="200000"/>
    <x v="0"/>
    <x v="0"/>
    <x v="0"/>
    <d v="2023-10-06T00:00:00"/>
    <x v="267"/>
    <x v="1"/>
    <n v="10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315012087993-M"/>
    <m/>
    <m/>
    <n v="8109"/>
    <x v="388"/>
    <n v="111362"/>
    <x v="115"/>
    <x v="85"/>
    <x v="18"/>
    <x v="3"/>
    <n v="50757030"/>
    <x v="0"/>
    <x v="0"/>
    <x v="0"/>
    <d v="2023-10-06T00:00:00"/>
    <x v="267"/>
    <x v="1"/>
    <n v="10"/>
    <x v="4"/>
    <n v="0.05"/>
    <n v="5.3800000000000001E-2"/>
    <n v="0"/>
    <n v="1440.6666666666667"/>
    <n v="1163.9632000000001"/>
    <n v="446941.88400000002"/>
    <x v="0"/>
    <x v="4"/>
  </r>
  <r>
    <x v="7"/>
    <x v="1"/>
    <x v="1"/>
    <x v="2"/>
    <m/>
    <m/>
    <m/>
    <n v="5482"/>
    <x v="389"/>
    <n v="111392"/>
    <x v="116"/>
    <x v="168"/>
    <x v="15"/>
    <x v="5"/>
    <n v="8255220"/>
    <x v="0"/>
    <x v="0"/>
    <x v="0"/>
    <d v="2023-11-08T00:00:00"/>
    <x v="268"/>
    <x v="1"/>
    <n v="11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DC AM1012012"/>
    <m/>
    <m/>
    <n v="8109"/>
    <x v="390"/>
    <n v="111421"/>
    <x v="117"/>
    <x v="85"/>
    <x v="2"/>
    <x v="4"/>
    <n v="17777319"/>
    <x v="0"/>
    <x v="0"/>
    <x v="0"/>
    <d v="2023-11-29T00:00:00"/>
    <x v="269"/>
    <x v="1"/>
    <n v="11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DC AM1012012"/>
    <m/>
    <m/>
    <n v="0"/>
    <x v="390"/>
    <n v="111434"/>
    <x v="117"/>
    <x v="85"/>
    <x v="2"/>
    <x v="2"/>
    <n v="10299211"/>
    <x v="0"/>
    <x v="0"/>
    <x v="0"/>
    <d v="2023-11-29T00:00:00"/>
    <x v="269"/>
    <x v="1"/>
    <n v="11"/>
    <x v="4"/>
    <n v="0"/>
    <n v="5.33E-2"/>
    <n v="0"/>
    <n v="1440.6666666666667"/>
    <n v="1163.9632000000001"/>
    <n v="446941.88400000002"/>
    <x v="0"/>
    <x v="4"/>
  </r>
  <r>
    <x v="7"/>
    <x v="0"/>
    <x v="1"/>
    <x v="2"/>
    <m/>
    <m/>
    <m/>
    <m/>
    <x v="391"/>
    <n v="111440"/>
    <x v="118"/>
    <x v="242"/>
    <x v="20"/>
    <x v="5"/>
    <n v="6447722"/>
    <x v="0"/>
    <x v="0"/>
    <x v="0"/>
    <d v="2024-01-03T00:00:00"/>
    <x v="270"/>
    <x v="1"/>
    <n v="1"/>
    <x v="4"/>
    <n v="4.9599999999999998E-2"/>
    <n v="5.3100000000000001E-2"/>
    <n v="0"/>
    <n v="1440.6666666666667"/>
    <n v="1163.9632000000001"/>
    <n v="446941.88400000002"/>
    <x v="0"/>
    <x v="4"/>
  </r>
  <r>
    <x v="7"/>
    <x v="0"/>
    <x v="0"/>
    <x v="1"/>
    <s v="315012089651-M"/>
    <m/>
    <m/>
    <n v="8109"/>
    <x v="392"/>
    <n v="111452"/>
    <x v="119"/>
    <x v="85"/>
    <x v="18"/>
    <x v="3"/>
    <n v="49993270"/>
    <x v="0"/>
    <x v="0"/>
    <x v="0"/>
    <d v="2023-12-06T00:00:00"/>
    <x v="271"/>
    <x v="1"/>
    <n v="12"/>
    <x v="4"/>
    <m/>
    <m/>
    <n v="0"/>
    <n v="1440.6666666666667"/>
    <n v="1163.9632000000001"/>
    <n v="446941.88400000002"/>
    <x v="0"/>
    <x v="4"/>
  </r>
  <r>
    <x v="7"/>
    <x v="0"/>
    <x v="0"/>
    <x v="1"/>
    <m/>
    <m/>
    <m/>
    <m/>
    <x v="393"/>
    <n v="111465"/>
    <x v="120"/>
    <x v="85"/>
    <x v="2"/>
    <x v="4"/>
    <n v="18375651"/>
    <x v="0"/>
    <x v="0"/>
    <x v="0"/>
    <d v="2024-01-05T00:00:00"/>
    <x v="272"/>
    <x v="1"/>
    <n v="1"/>
    <x v="4"/>
    <m/>
    <m/>
    <n v="0"/>
    <n v="1440.6666666666667"/>
    <n v="1163.9632000000001"/>
    <n v="446941.88400000002"/>
    <x v="0"/>
    <x v="4"/>
  </r>
  <r>
    <x v="7"/>
    <x v="0"/>
    <x v="0"/>
    <x v="1"/>
    <m/>
    <m/>
    <m/>
    <m/>
    <x v="393"/>
    <n v="111471"/>
    <x v="120"/>
    <x v="85"/>
    <x v="2"/>
    <x v="2"/>
    <n v="12250434"/>
    <x v="0"/>
    <x v="0"/>
    <x v="0"/>
    <d v="2024-01-05T00:00:00"/>
    <x v="272"/>
    <x v="1"/>
    <n v="1"/>
    <x v="4"/>
    <n v="0"/>
    <n v="5.2499999999999998E-2"/>
    <n v="0"/>
    <n v="1440.6666666666667"/>
    <n v="1163.9632000000001"/>
    <n v="446941.88400000002"/>
    <x v="0"/>
    <x v="4"/>
  </r>
  <r>
    <x v="7"/>
    <x v="0"/>
    <x v="0"/>
    <x v="1"/>
    <s v="DC AM1012019"/>
    <m/>
    <m/>
    <m/>
    <x v="394"/>
    <n v="111464"/>
    <x v="119"/>
    <x v="85"/>
    <x v="18"/>
    <x v="0"/>
    <n v="39440210"/>
    <x v="0"/>
    <x v="0"/>
    <x v="0"/>
    <d v="2024-01-03T00:00:00"/>
    <x v="270"/>
    <x v="1"/>
    <n v="1"/>
    <x v="4"/>
    <m/>
    <m/>
    <n v="0"/>
    <n v="1440.6666666666667"/>
    <n v="1163.9632000000001"/>
    <n v="446941.88400000002"/>
    <x v="0"/>
    <x v="4"/>
  </r>
  <r>
    <x v="7"/>
    <x v="0"/>
    <x v="0"/>
    <x v="1"/>
    <m/>
    <m/>
    <m/>
    <m/>
    <x v="395"/>
    <n v="111482"/>
    <x v="119"/>
    <x v="85"/>
    <x v="18"/>
    <x v="5"/>
    <n v="12298832"/>
    <x v="0"/>
    <x v="0"/>
    <x v="0"/>
    <s v="ex work end of  Dec"/>
    <x v="273"/>
    <x v="1"/>
    <e v="#VALUE!"/>
    <x v="4"/>
    <n v="0"/>
    <n v="5.3800000000000001E-2"/>
    <n v="0"/>
    <n v="1440.6666666666667"/>
    <n v="1163.9632000000001"/>
    <n v="446941.88400000002"/>
    <x v="0"/>
    <x v="4"/>
  </r>
  <r>
    <x v="7"/>
    <x v="1"/>
    <x v="1"/>
    <x v="2"/>
    <m/>
    <m/>
    <m/>
    <m/>
    <x v="396"/>
    <n v="111487"/>
    <x v="121"/>
    <x v="239"/>
    <x v="15"/>
    <x v="5"/>
    <n v="5910488"/>
    <x v="0"/>
    <x v="0"/>
    <x v="0"/>
    <s v="ex work end of  Dec"/>
    <x v="273"/>
    <x v="1"/>
    <e v="#VALUE!"/>
    <x v="4"/>
    <m/>
    <m/>
    <n v="0"/>
    <n v="1440.6666666666667"/>
    <n v="1163.9632000000001"/>
    <n v="446941.88400000002"/>
    <x v="0"/>
    <x v="4"/>
  </r>
  <r>
    <x v="7"/>
    <x v="1"/>
    <x v="0"/>
    <x v="1"/>
    <m/>
    <m/>
    <m/>
    <m/>
    <x v="397"/>
    <n v="111489"/>
    <x v="122"/>
    <x v="85"/>
    <x v="15"/>
    <x v="2"/>
    <n v="11500954"/>
    <x v="0"/>
    <x v="0"/>
    <x v="0"/>
    <s v="ex work end of  Jan,2024"/>
    <x v="274"/>
    <x v="1"/>
    <e v="#VALUE!"/>
    <x v="4"/>
    <m/>
    <m/>
    <n v="0"/>
    <n v="1440.6666666666667"/>
    <n v="1163.9632000000001"/>
    <n v="446941.88400000002"/>
    <x v="0"/>
    <x v="4"/>
  </r>
  <r>
    <x v="7"/>
    <x v="0"/>
    <x v="1"/>
    <x v="2"/>
    <m/>
    <m/>
    <m/>
    <m/>
    <x v="398"/>
    <n v="111501"/>
    <x v="123"/>
    <x v="243"/>
    <x v="2"/>
    <x v="2"/>
    <n v="11319635"/>
    <x v="0"/>
    <x v="0"/>
    <x v="0"/>
    <s v="ex work end of  Jan,2024"/>
    <x v="274"/>
    <x v="1"/>
    <e v="#VALUE!"/>
    <x v="4"/>
    <n v="4.9799999999999997E-2"/>
    <n v="5.45E-2"/>
    <n v="0"/>
    <n v="1440.6666666666667"/>
    <n v="1163.9632000000001"/>
    <n v="446941.88400000002"/>
    <x v="0"/>
    <x v="4"/>
  </r>
  <r>
    <x v="7"/>
    <x v="0"/>
    <x v="1"/>
    <x v="2"/>
    <m/>
    <m/>
    <m/>
    <m/>
    <x v="399"/>
    <n v="111503"/>
    <x v="124"/>
    <x v="244"/>
    <x v="18"/>
    <x v="2"/>
    <n v="24424576"/>
    <x v="0"/>
    <x v="0"/>
    <x v="0"/>
    <s v="ex work end of  Feb,2024"/>
    <x v="275"/>
    <x v="1"/>
    <e v="#VALUE!"/>
    <x v="4"/>
    <n v="4.99E-2"/>
    <n v="5.4100000000000002E-2"/>
    <n v="0"/>
    <n v="1440.6666666666667"/>
    <n v="1163.9632000000001"/>
    <n v="446941.88400000002"/>
    <x v="0"/>
    <x v="4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m/>
    <x v="4"/>
    <m/>
    <m/>
    <m/>
    <m/>
    <m/>
    <m/>
    <x v="0"/>
    <x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8">
  <r>
    <x v="0"/>
    <x v="0"/>
    <x v="0"/>
    <x v="0"/>
    <m/>
    <m/>
    <m/>
    <m/>
    <x v="0"/>
    <n v="109130"/>
    <x v="0"/>
    <x v="0"/>
    <x v="0"/>
    <x v="0"/>
    <n v="38832500"/>
    <x v="0"/>
    <x v="0"/>
    <x v="0"/>
    <d v="2018-02-07T00:00:00"/>
    <d v="2018-01-31T00:00:00"/>
  </r>
  <r>
    <x v="0"/>
    <x v="0"/>
    <x v="0"/>
    <x v="0"/>
    <m/>
    <m/>
    <m/>
    <m/>
    <x v="0"/>
    <n v="109131"/>
    <x v="0"/>
    <x v="0"/>
    <x v="0"/>
    <x v="1"/>
    <n v="63822500"/>
    <x v="0"/>
    <x v="0"/>
    <x v="0"/>
    <d v="2018-02-28T00:00:00"/>
    <d v="2018-02-21T00:00:00"/>
  </r>
  <r>
    <x v="0"/>
    <x v="0"/>
    <x v="1"/>
    <x v="0"/>
    <m/>
    <m/>
    <m/>
    <m/>
    <x v="0"/>
    <n v="109110"/>
    <x v="0"/>
    <x v="1"/>
    <x v="1"/>
    <x v="2"/>
    <n v="43843027"/>
    <x v="0"/>
    <x v="0"/>
    <x v="0"/>
    <d v="2018-04-06T00:00:00"/>
    <d v="2018-03-30T00:00:00"/>
  </r>
  <r>
    <x v="0"/>
    <x v="0"/>
    <x v="0"/>
    <x v="0"/>
    <m/>
    <m/>
    <m/>
    <m/>
    <x v="0"/>
    <n v="109133"/>
    <x v="0"/>
    <x v="2"/>
    <x v="2"/>
    <x v="2"/>
    <n v="89153385"/>
    <x v="0"/>
    <x v="0"/>
    <x v="0"/>
    <d v="2018-03-07T00:00:00"/>
    <d v="2018-02-28T00:00:00"/>
  </r>
  <r>
    <x v="0"/>
    <x v="0"/>
    <x v="0"/>
    <x v="0"/>
    <m/>
    <m/>
    <m/>
    <m/>
    <x v="0"/>
    <n v="109133"/>
    <x v="0"/>
    <x v="2"/>
    <x v="3"/>
    <x v="3"/>
    <n v="0"/>
    <x v="0"/>
    <x v="0"/>
    <x v="0"/>
    <d v="2018-03-07T00:00:00"/>
    <d v="2018-02-28T00:00:00"/>
  </r>
  <r>
    <x v="0"/>
    <x v="0"/>
    <x v="0"/>
    <x v="0"/>
    <m/>
    <m/>
    <m/>
    <m/>
    <x v="0"/>
    <n v="109133"/>
    <x v="0"/>
    <x v="2"/>
    <x v="4"/>
    <x v="4"/>
    <n v="0"/>
    <x v="0"/>
    <x v="0"/>
    <x v="0"/>
    <d v="2018-03-07T00:00:00"/>
    <d v="2018-02-28T00:00:00"/>
  </r>
  <r>
    <x v="0"/>
    <x v="0"/>
    <x v="0"/>
    <x v="0"/>
    <m/>
    <m/>
    <m/>
    <m/>
    <x v="0"/>
    <n v="109217"/>
    <x v="0"/>
    <x v="3"/>
    <x v="1"/>
    <x v="2"/>
    <n v="43830661"/>
    <x v="0"/>
    <x v="0"/>
    <x v="0"/>
    <d v="2018-04-06T00:00:00"/>
    <d v="2018-03-30T00:00:00"/>
  </r>
  <r>
    <x v="0"/>
    <x v="0"/>
    <x v="0"/>
    <x v="0"/>
    <m/>
    <m/>
    <m/>
    <m/>
    <x v="0"/>
    <n v="109109"/>
    <x v="0"/>
    <x v="2"/>
    <x v="0"/>
    <x v="3"/>
    <n v="63040000"/>
    <x v="0"/>
    <x v="0"/>
    <x v="0"/>
    <d v="2018-04-18T00:00:00"/>
    <d v="2018-04-11T00:00:00"/>
  </r>
  <r>
    <x v="0"/>
    <x v="0"/>
    <x v="0"/>
    <x v="0"/>
    <m/>
    <m/>
    <m/>
    <m/>
    <x v="0"/>
    <n v="109157"/>
    <x v="0"/>
    <x v="4"/>
    <x v="0"/>
    <x v="0"/>
    <n v="40670000"/>
    <x v="0"/>
    <x v="0"/>
    <x v="0"/>
    <d v="2018-05-16T00:00:00"/>
    <d v="2018-05-09T00:00:00"/>
  </r>
  <r>
    <x v="0"/>
    <x v="0"/>
    <x v="0"/>
    <x v="0"/>
    <m/>
    <m/>
    <m/>
    <m/>
    <x v="0"/>
    <n v="109210"/>
    <x v="0"/>
    <x v="5"/>
    <x v="0"/>
    <x v="5"/>
    <n v="16333560"/>
    <x v="0"/>
    <x v="0"/>
    <x v="0"/>
    <d v="2018-05-18T00:00:00"/>
    <d v="2018-05-11T00:00:00"/>
  </r>
  <r>
    <x v="0"/>
    <x v="0"/>
    <x v="0"/>
    <x v="0"/>
    <m/>
    <m/>
    <m/>
    <m/>
    <x v="0"/>
    <n v="109177"/>
    <x v="0"/>
    <x v="2"/>
    <x v="2"/>
    <x v="6"/>
    <n v="44174100"/>
    <x v="0"/>
    <x v="0"/>
    <x v="0"/>
    <d v="2018-05-02T00:00:00"/>
    <d v="2018-04-25T00:00:00"/>
  </r>
  <r>
    <x v="0"/>
    <x v="0"/>
    <x v="0"/>
    <x v="0"/>
    <m/>
    <m/>
    <m/>
    <m/>
    <x v="0"/>
    <n v="109234"/>
    <x v="0"/>
    <x v="6"/>
    <x v="2"/>
    <x v="6"/>
    <n v="40506600"/>
    <x v="0"/>
    <x v="0"/>
    <x v="0"/>
    <d v="2018-05-16T00:00:00"/>
    <d v="2018-05-09T00:00:00"/>
  </r>
  <r>
    <x v="0"/>
    <x v="0"/>
    <x v="0"/>
    <x v="0"/>
    <m/>
    <m/>
    <m/>
    <m/>
    <x v="0"/>
    <n v="109235"/>
    <x v="0"/>
    <x v="6"/>
    <x v="2"/>
    <x v="4"/>
    <n v="23290800"/>
    <x v="0"/>
    <x v="0"/>
    <x v="0"/>
    <d v="2018-06-06T00:00:00"/>
    <d v="2018-05-30T00:00:00"/>
  </r>
  <r>
    <x v="0"/>
    <x v="0"/>
    <x v="0"/>
    <x v="0"/>
    <m/>
    <m/>
    <m/>
    <m/>
    <x v="0"/>
    <n v="109211"/>
    <x v="0"/>
    <x v="7"/>
    <x v="5"/>
    <x v="2"/>
    <n v="19819950"/>
    <x v="0"/>
    <x v="0"/>
    <x v="0"/>
    <d v="2018-05-02T00:00:00"/>
    <d v="2018-04-25T00:00:00"/>
  </r>
  <r>
    <x v="0"/>
    <x v="0"/>
    <x v="0"/>
    <x v="0"/>
    <m/>
    <m/>
    <m/>
    <m/>
    <x v="0"/>
    <n v="109213"/>
    <x v="0"/>
    <x v="8"/>
    <x v="2"/>
    <x v="6"/>
    <n v="52017600"/>
    <x v="0"/>
    <x v="0"/>
    <x v="0"/>
    <d v="2018-06-15T00:00:00"/>
    <d v="2018-06-08T00:00:00"/>
  </r>
  <r>
    <x v="0"/>
    <x v="0"/>
    <x v="0"/>
    <x v="0"/>
    <m/>
    <m/>
    <m/>
    <m/>
    <x v="0"/>
    <n v="109168"/>
    <x v="0"/>
    <x v="9"/>
    <x v="6"/>
    <x v="4"/>
    <n v="37135498"/>
    <x v="0"/>
    <x v="0"/>
    <x v="0"/>
    <d v="2018-06-20T00:00:00"/>
    <d v="2018-06-13T00:00:00"/>
  </r>
  <r>
    <x v="0"/>
    <x v="0"/>
    <x v="0"/>
    <x v="0"/>
    <m/>
    <m/>
    <m/>
    <m/>
    <x v="0"/>
    <n v="109158"/>
    <x v="0"/>
    <x v="4"/>
    <x v="0"/>
    <x v="0"/>
    <n v="33320000"/>
    <x v="0"/>
    <x v="0"/>
    <x v="0"/>
    <d v="2018-05-18T00:00:00"/>
    <d v="2018-05-11T00:00:00"/>
  </r>
  <r>
    <x v="0"/>
    <x v="0"/>
    <x v="0"/>
    <x v="0"/>
    <m/>
    <m/>
    <m/>
    <m/>
    <x v="0"/>
    <n v="109218"/>
    <x v="0"/>
    <x v="3"/>
    <x v="1"/>
    <x v="0"/>
    <n v="82567851"/>
    <x v="0"/>
    <x v="0"/>
    <x v="0"/>
    <d v="2018-06-13T00:00:00"/>
    <d v="2018-06-06T00:00:00"/>
  </r>
  <r>
    <x v="0"/>
    <x v="0"/>
    <x v="0"/>
    <x v="0"/>
    <m/>
    <m/>
    <m/>
    <m/>
    <x v="0"/>
    <n v="109282"/>
    <x v="0"/>
    <x v="10"/>
    <x v="2"/>
    <x v="7"/>
    <n v="58058800"/>
    <x v="0"/>
    <x v="0"/>
    <x v="0"/>
    <d v="2018-07-04T00:00:00"/>
    <d v="2018-06-27T00:00:00"/>
  </r>
  <r>
    <x v="0"/>
    <x v="1"/>
    <x v="0"/>
    <x v="0"/>
    <m/>
    <m/>
    <m/>
    <m/>
    <x v="0"/>
    <n v="109318"/>
    <x v="0"/>
    <x v="11"/>
    <x v="7"/>
    <x v="2"/>
    <n v="9060000"/>
    <x v="0"/>
    <x v="0"/>
    <x v="0"/>
    <d v="2018-06-27T00:00:00"/>
    <d v="2018-06-20T00:00:00"/>
  </r>
  <r>
    <x v="0"/>
    <x v="0"/>
    <x v="0"/>
    <x v="0"/>
    <m/>
    <m/>
    <m/>
    <m/>
    <x v="0"/>
    <n v="109305"/>
    <x v="0"/>
    <x v="12"/>
    <x v="0"/>
    <x v="5"/>
    <n v="8330000"/>
    <x v="0"/>
    <x v="0"/>
    <x v="0"/>
    <d v="2018-06-29T00:00:00"/>
    <d v="2018-06-22T00:00:00"/>
  </r>
  <r>
    <x v="0"/>
    <x v="0"/>
    <x v="0"/>
    <x v="0"/>
    <m/>
    <m/>
    <m/>
    <m/>
    <x v="0"/>
    <n v="109257"/>
    <x v="0"/>
    <x v="13"/>
    <x v="2"/>
    <x v="4"/>
    <n v="23462550"/>
    <x v="0"/>
    <x v="0"/>
    <x v="0"/>
    <d v="2018-07-06T00:00:00"/>
    <d v="2018-06-29T00:00:00"/>
  </r>
  <r>
    <x v="0"/>
    <x v="0"/>
    <x v="0"/>
    <x v="0"/>
    <m/>
    <m/>
    <m/>
    <m/>
    <x v="0"/>
    <n v="109285"/>
    <x v="0"/>
    <x v="14"/>
    <x v="8"/>
    <x v="5"/>
    <n v="9909975"/>
    <x v="0"/>
    <x v="0"/>
    <x v="0"/>
    <d v="2018-07-11T00:00:00"/>
    <d v="2018-07-04T00:00:00"/>
  </r>
  <r>
    <x v="0"/>
    <x v="0"/>
    <x v="0"/>
    <x v="0"/>
    <m/>
    <m/>
    <m/>
    <m/>
    <x v="0"/>
    <n v="109322"/>
    <x v="0"/>
    <x v="15"/>
    <x v="2"/>
    <x v="8"/>
    <n v="77008500"/>
    <x v="0"/>
    <x v="0"/>
    <x v="0"/>
    <d v="2018-07-11T00:00:00"/>
    <d v="2018-07-04T00:00:00"/>
  </r>
  <r>
    <x v="0"/>
    <x v="0"/>
    <x v="0"/>
    <x v="0"/>
    <m/>
    <m/>
    <m/>
    <m/>
    <x v="0"/>
    <n v="109341"/>
    <x v="0"/>
    <x v="16"/>
    <x v="0"/>
    <x v="2"/>
    <n v="20335000"/>
    <x v="0"/>
    <x v="0"/>
    <x v="0"/>
    <d v="2018-07-25T00:00:00"/>
    <d v="2018-07-18T00:00:00"/>
  </r>
  <r>
    <x v="0"/>
    <x v="0"/>
    <x v="0"/>
    <x v="0"/>
    <m/>
    <m/>
    <m/>
    <m/>
    <x v="0"/>
    <n v="109342"/>
    <x v="0"/>
    <x v="16"/>
    <x v="0"/>
    <x v="0"/>
    <n v="43182500"/>
    <x v="0"/>
    <x v="0"/>
    <x v="0"/>
    <d v="2018-07-18T00:00:00"/>
    <d v="2018-07-11T00:00:00"/>
  </r>
  <r>
    <x v="0"/>
    <x v="0"/>
    <x v="0"/>
    <x v="0"/>
    <m/>
    <m/>
    <m/>
    <m/>
    <x v="0"/>
    <n v="109284"/>
    <x v="0"/>
    <x v="10"/>
    <x v="2"/>
    <x v="2"/>
    <n v="15527200"/>
    <x v="0"/>
    <x v="0"/>
    <x v="0"/>
    <d v="2018-07-27T00:00:00"/>
    <d v="2018-07-20T00:00:00"/>
  </r>
  <r>
    <x v="0"/>
    <x v="0"/>
    <x v="0"/>
    <x v="0"/>
    <m/>
    <m/>
    <m/>
    <m/>
    <x v="0"/>
    <n v="109185"/>
    <x v="0"/>
    <x v="17"/>
    <x v="6"/>
    <x v="2"/>
    <n v="25329907"/>
    <x v="0"/>
    <x v="0"/>
    <x v="0"/>
    <d v="2018-07-27T00:00:00"/>
    <d v="2018-07-20T00:00:00"/>
  </r>
  <r>
    <x v="0"/>
    <x v="0"/>
    <x v="0"/>
    <x v="0"/>
    <s v="DC TST115465"/>
    <m/>
    <m/>
    <m/>
    <x v="0"/>
    <n v="109221"/>
    <x v="0"/>
    <x v="18"/>
    <x v="6"/>
    <x v="2"/>
    <n v="21544240"/>
    <x v="0"/>
    <x v="0"/>
    <x v="0"/>
    <d v="2018-08-08T00:00:00"/>
    <d v="2018-08-01T00:00:00"/>
  </r>
  <r>
    <x v="0"/>
    <x v="0"/>
    <x v="0"/>
    <x v="0"/>
    <s v="DC TST115460"/>
    <m/>
    <m/>
    <m/>
    <x v="0"/>
    <n v="109151"/>
    <x v="0"/>
    <x v="2"/>
    <x v="0"/>
    <x v="3"/>
    <n v="56350000"/>
    <x v="0"/>
    <x v="0"/>
    <x v="0"/>
    <d v="2018-08-03T00:00:00"/>
    <d v="2018-07-27T00:00:00"/>
  </r>
  <r>
    <x v="0"/>
    <x v="0"/>
    <x v="0"/>
    <x v="0"/>
    <s v="DC TST115459"/>
    <m/>
    <m/>
    <m/>
    <x v="0"/>
    <n v="109340"/>
    <x v="0"/>
    <x v="19"/>
    <x v="9"/>
    <x v="2"/>
    <n v="15092905"/>
    <x v="0"/>
    <x v="0"/>
    <x v="0"/>
    <d v="2018-08-08T00:00:00"/>
    <d v="2018-08-01T00:00:00"/>
  </r>
  <r>
    <x v="0"/>
    <x v="0"/>
    <x v="0"/>
    <x v="0"/>
    <s v="DC TST116425"/>
    <m/>
    <m/>
    <m/>
    <x v="0"/>
    <n v="109323"/>
    <x v="0"/>
    <x v="20"/>
    <x v="2"/>
    <x v="2"/>
    <n v="12859200"/>
    <x v="0"/>
    <x v="0"/>
    <x v="0"/>
    <d v="2018-08-15T00:00:00"/>
    <d v="2018-08-08T00:00:00"/>
  </r>
  <r>
    <x v="0"/>
    <x v="0"/>
    <x v="0"/>
    <x v="0"/>
    <s v="DC TST115471"/>
    <m/>
    <m/>
    <m/>
    <x v="0"/>
    <n v="109238"/>
    <x v="0"/>
    <x v="21"/>
    <x v="2"/>
    <x v="8"/>
    <n v="84818500"/>
    <x v="0"/>
    <x v="0"/>
    <x v="0"/>
    <d v="2018-08-15T00:00:00"/>
    <d v="2018-08-08T00:00:00"/>
  </r>
  <r>
    <x v="0"/>
    <x v="0"/>
    <x v="0"/>
    <x v="0"/>
    <s v="DC TST115479"/>
    <m/>
    <m/>
    <m/>
    <x v="0"/>
    <n v="109202"/>
    <x v="0"/>
    <x v="22"/>
    <x v="6"/>
    <x v="1"/>
    <n v="77834107"/>
    <x v="0"/>
    <x v="0"/>
    <x v="0"/>
    <d v="2018-09-05T00:00:00"/>
    <d v="2018-08-29T00:00:00"/>
  </r>
  <r>
    <x v="0"/>
    <x v="0"/>
    <x v="0"/>
    <x v="0"/>
    <s v="DC TST115478"/>
    <m/>
    <m/>
    <m/>
    <x v="0"/>
    <n v="109239"/>
    <x v="0"/>
    <x v="23"/>
    <x v="2"/>
    <x v="6"/>
    <n v="59001600"/>
    <x v="0"/>
    <x v="0"/>
    <x v="0"/>
    <d v="2018-09-07T00:00:00"/>
    <d v="2018-08-31T00:00:00"/>
  </r>
  <r>
    <x v="0"/>
    <x v="0"/>
    <x v="0"/>
    <x v="0"/>
    <s v="DC TST115485"/>
    <m/>
    <m/>
    <m/>
    <x v="0"/>
    <n v="109416"/>
    <x v="0"/>
    <x v="24"/>
    <x v="2"/>
    <x v="2"/>
    <n v="15527200"/>
    <x v="0"/>
    <x v="0"/>
    <x v="0"/>
    <d v="2018-09-19T00:00:00"/>
    <d v="2018-09-12T00:00:00"/>
  </r>
  <r>
    <x v="0"/>
    <x v="0"/>
    <x v="0"/>
    <x v="0"/>
    <s v="DC TST115482"/>
    <m/>
    <m/>
    <m/>
    <x v="0"/>
    <n v="109354"/>
    <x v="0"/>
    <x v="16"/>
    <x v="0"/>
    <x v="0"/>
    <n v="33320000"/>
    <x v="0"/>
    <x v="0"/>
    <x v="0"/>
    <d v="2018-09-12T00:00:00"/>
    <d v="2018-09-05T00:00:00"/>
  </r>
  <r>
    <x v="0"/>
    <x v="0"/>
    <x v="1"/>
    <x v="0"/>
    <s v="DC TST115483"/>
    <m/>
    <m/>
    <m/>
    <x v="0"/>
    <n v="109226"/>
    <x v="0"/>
    <x v="25"/>
    <x v="6"/>
    <x v="5"/>
    <n v="17385536"/>
    <x v="0"/>
    <x v="0"/>
    <x v="0"/>
    <d v="2018-09-14T00:00:00"/>
    <d v="2018-09-07T00:00:00"/>
  </r>
  <r>
    <x v="0"/>
    <x v="0"/>
    <x v="0"/>
    <x v="0"/>
    <s v="DC TST115488"/>
    <m/>
    <m/>
    <m/>
    <x v="0"/>
    <n v="109352"/>
    <x v="0"/>
    <x v="26"/>
    <x v="6"/>
    <x v="7"/>
    <n v="99544617"/>
    <x v="0"/>
    <x v="0"/>
    <x v="0"/>
    <d v="2018-09-14T00:00:00"/>
    <d v="2018-09-07T00:00:00"/>
  </r>
  <r>
    <x v="0"/>
    <x v="0"/>
    <x v="0"/>
    <x v="0"/>
    <s v="DC TST115486"/>
    <m/>
    <m/>
    <m/>
    <x v="0"/>
    <n v="109360"/>
    <x v="0"/>
    <x v="27"/>
    <x v="2"/>
    <x v="2"/>
    <n v="12827200"/>
    <x v="0"/>
    <x v="0"/>
    <x v="0"/>
    <d v="2018-09-19T00:00:00"/>
    <d v="2018-09-12T00:00:00"/>
  </r>
  <r>
    <x v="0"/>
    <x v="0"/>
    <x v="0"/>
    <x v="0"/>
    <s v="DC TST116108"/>
    <m/>
    <m/>
    <m/>
    <x v="0"/>
    <n v="109381"/>
    <x v="0"/>
    <x v="28"/>
    <x v="2"/>
    <x v="9"/>
    <n v="80338200"/>
    <x v="0"/>
    <x v="0"/>
    <x v="0"/>
    <d v="2018-10-05T00:00:00"/>
    <d v="2018-09-28T00:00:00"/>
  </r>
  <r>
    <x v="0"/>
    <x v="0"/>
    <x v="0"/>
    <x v="0"/>
    <s v="DC TST116105"/>
    <m/>
    <m/>
    <m/>
    <x v="0"/>
    <n v="109413"/>
    <x v="0"/>
    <x v="29"/>
    <x v="2"/>
    <x v="2"/>
    <n v="14404800"/>
    <x v="0"/>
    <x v="0"/>
    <x v="0"/>
    <d v="2018-10-05T00:00:00"/>
    <d v="2018-09-28T00:00:00"/>
  </r>
  <r>
    <x v="0"/>
    <x v="0"/>
    <x v="0"/>
    <x v="0"/>
    <s v="DC TST116106"/>
    <m/>
    <m/>
    <m/>
    <x v="0"/>
    <n v="109156"/>
    <x v="0"/>
    <x v="2"/>
    <x v="0"/>
    <x v="0"/>
    <n v="49098500"/>
    <x v="0"/>
    <x v="0"/>
    <x v="0"/>
    <d v="2018-09-21T00:00:00"/>
    <d v="2018-09-14T00:00:00"/>
  </r>
  <r>
    <x v="0"/>
    <x v="0"/>
    <x v="0"/>
    <x v="0"/>
    <s v="DC TST116117"/>
    <m/>
    <m/>
    <m/>
    <x v="0"/>
    <n v="109264"/>
    <x v="0"/>
    <x v="30"/>
    <x v="6"/>
    <x v="2"/>
    <n v="23917830"/>
    <x v="0"/>
    <x v="0"/>
    <x v="0"/>
    <d v="2018-10-12T00:00:00"/>
    <d v="2018-10-05T00:00:00"/>
  </r>
  <r>
    <x v="0"/>
    <x v="0"/>
    <x v="0"/>
    <x v="0"/>
    <s v="DC TST116116"/>
    <m/>
    <m/>
    <m/>
    <x v="0"/>
    <n v="109382"/>
    <x v="0"/>
    <x v="31"/>
    <x v="6"/>
    <x v="2"/>
    <n v="24300856"/>
    <x v="0"/>
    <x v="0"/>
    <x v="0"/>
    <d v="2018-10-10T00:00:00"/>
    <d v="2018-10-03T00:00:00"/>
  </r>
  <r>
    <x v="0"/>
    <x v="0"/>
    <x v="0"/>
    <x v="0"/>
    <s v="DC TST116125"/>
    <m/>
    <m/>
    <m/>
    <x v="0"/>
    <n v="109331"/>
    <x v="0"/>
    <x v="32"/>
    <x v="6"/>
    <x v="2"/>
    <n v="24514678"/>
    <x v="0"/>
    <x v="0"/>
    <x v="0"/>
    <d v="2018-10-31T00:00:00"/>
    <d v="2018-10-24T00:00:00"/>
  </r>
  <r>
    <x v="0"/>
    <x v="0"/>
    <x v="0"/>
    <x v="0"/>
    <s v="DC TST116124"/>
    <m/>
    <m/>
    <m/>
    <x v="0"/>
    <n v="109288"/>
    <x v="0"/>
    <x v="33"/>
    <x v="6"/>
    <x v="2"/>
    <n v="25093830"/>
    <x v="0"/>
    <x v="0"/>
    <x v="0"/>
    <d v="2018-10-24T00:00:00"/>
    <d v="2018-10-17T00:00:00"/>
  </r>
  <r>
    <x v="0"/>
    <x v="0"/>
    <x v="0"/>
    <x v="0"/>
    <s v="DC TST116133"/>
    <m/>
    <m/>
    <m/>
    <x v="0"/>
    <n v="109308"/>
    <x v="0"/>
    <x v="34"/>
    <x v="6"/>
    <x v="2"/>
    <n v="31788814"/>
    <x v="0"/>
    <x v="0"/>
    <x v="0"/>
    <d v="2018-11-07T00:00:00"/>
    <d v="2018-10-31T00:00:00"/>
  </r>
  <r>
    <x v="0"/>
    <x v="0"/>
    <x v="0"/>
    <x v="0"/>
    <s v="DC TST116134"/>
    <m/>
    <m/>
    <m/>
    <x v="0"/>
    <n v="109295"/>
    <x v="0"/>
    <x v="35"/>
    <x v="2"/>
    <x v="6"/>
    <n v="50401600"/>
    <x v="0"/>
    <x v="0"/>
    <x v="0"/>
    <d v="2018-11-14T00:00:00"/>
    <d v="2018-11-07T00:00:00"/>
  </r>
  <r>
    <x v="0"/>
    <x v="0"/>
    <x v="0"/>
    <x v="0"/>
    <s v="DC TST116144"/>
    <m/>
    <m/>
    <m/>
    <x v="0"/>
    <n v="109454"/>
    <x v="0"/>
    <x v="36"/>
    <x v="2"/>
    <x v="8"/>
    <n v="89979500"/>
    <x v="0"/>
    <x v="0"/>
    <x v="0"/>
    <d v="2018-12-07T00:00:00"/>
    <d v="2018-11-30T00:00:00"/>
  </r>
  <r>
    <x v="0"/>
    <x v="0"/>
    <x v="0"/>
    <x v="0"/>
    <s v="DC TST116142"/>
    <m/>
    <m/>
    <m/>
    <x v="0"/>
    <n v="109279"/>
    <x v="0"/>
    <x v="37"/>
    <x v="6"/>
    <x v="0"/>
    <n v="37628000"/>
    <x v="0"/>
    <x v="0"/>
    <x v="0"/>
    <d v="2018-11-04T00:00:00"/>
    <d v="2018-10-28T00:00:00"/>
  </r>
  <r>
    <x v="0"/>
    <x v="0"/>
    <x v="0"/>
    <x v="0"/>
    <s v="DC TST116146"/>
    <m/>
    <m/>
    <m/>
    <x v="0"/>
    <n v="109421"/>
    <x v="0"/>
    <x v="38"/>
    <x v="0"/>
    <x v="6"/>
    <n v="61005000"/>
    <x v="0"/>
    <x v="0"/>
    <x v="0"/>
    <d v="2018-11-30T00:00:00"/>
    <d v="2018-11-23T00:00:00"/>
  </r>
  <r>
    <x v="0"/>
    <x v="0"/>
    <x v="0"/>
    <x v="0"/>
    <s v="DC TST116149"/>
    <m/>
    <m/>
    <m/>
    <x v="0"/>
    <n v="109422"/>
    <x v="0"/>
    <x v="38"/>
    <x v="0"/>
    <x v="3"/>
    <n v="41650000"/>
    <x v="0"/>
    <x v="0"/>
    <x v="0"/>
    <d v="2018-12-12T00:00:00"/>
    <d v="2018-12-05T00:00:00"/>
  </r>
  <r>
    <x v="0"/>
    <x v="0"/>
    <x v="0"/>
    <x v="0"/>
    <s v="DC TST116148"/>
    <m/>
    <m/>
    <m/>
    <x v="0"/>
    <n v="109388"/>
    <x v="0"/>
    <x v="39"/>
    <x v="6"/>
    <x v="4"/>
    <n v="25726167"/>
    <x v="0"/>
    <x v="0"/>
    <x v="0"/>
    <d v="2018-12-05T00:00:00"/>
    <d v="2018-11-28T00:00:00"/>
  </r>
  <r>
    <x v="0"/>
    <x v="0"/>
    <x v="0"/>
    <x v="0"/>
    <s v="DC TST116152"/>
    <m/>
    <m/>
    <m/>
    <x v="0"/>
    <n v="109237"/>
    <x v="0"/>
    <x v="40"/>
    <x v="6"/>
    <x v="2"/>
    <n v="19168750"/>
    <x v="0"/>
    <x v="0"/>
    <x v="0"/>
    <d v="2018-12-19T00:00:00"/>
    <d v="2018-12-12T00:00:00"/>
  </r>
  <r>
    <x v="0"/>
    <x v="0"/>
    <x v="0"/>
    <x v="0"/>
    <s v="DC TST116153"/>
    <m/>
    <m/>
    <m/>
    <x v="0"/>
    <n v="109423"/>
    <x v="0"/>
    <x v="38"/>
    <x v="0"/>
    <x v="5"/>
    <n v="10596500"/>
    <x v="0"/>
    <x v="0"/>
    <x v="0"/>
    <d v="2018-12-21T00:00:00"/>
    <d v="2018-12-14T00:00:00"/>
  </r>
  <r>
    <x v="0"/>
    <x v="0"/>
    <x v="0"/>
    <x v="0"/>
    <s v="DC TST116071"/>
    <m/>
    <m/>
    <m/>
    <x v="0"/>
    <n v="109446"/>
    <x v="0"/>
    <x v="41"/>
    <x v="6"/>
    <x v="5"/>
    <n v="12956748"/>
    <x v="0"/>
    <x v="0"/>
    <x v="0"/>
    <d v="2018-02-15T00:00:00"/>
    <d v="2018-02-08T00:00:00"/>
  </r>
  <r>
    <x v="0"/>
    <x v="0"/>
    <x v="0"/>
    <x v="0"/>
    <s v="DC TST116063"/>
    <m/>
    <m/>
    <m/>
    <x v="0"/>
    <n v="109383"/>
    <x v="0"/>
    <x v="31"/>
    <x v="6"/>
    <x v="2"/>
    <n v="23522106"/>
    <x v="0"/>
    <x v="0"/>
    <x v="0"/>
    <d v="2018-02-15T00:00:00"/>
    <d v="2018-02-08T00:00:00"/>
  </r>
  <r>
    <x v="0"/>
    <x v="0"/>
    <x v="0"/>
    <x v="0"/>
    <s v="DC TST116064"/>
    <m/>
    <m/>
    <m/>
    <x v="0"/>
    <n v="109490"/>
    <x v="0"/>
    <x v="42"/>
    <x v="6"/>
    <x v="2"/>
    <n v="21866500"/>
    <x v="0"/>
    <x v="0"/>
    <x v="0"/>
    <d v="2019-02-15T00:00:00"/>
    <d v="2019-02-08T00:00:00"/>
  </r>
  <r>
    <x v="0"/>
    <x v="0"/>
    <x v="0"/>
    <x v="0"/>
    <s v="DC TST116065"/>
    <m/>
    <m/>
    <m/>
    <x v="0"/>
    <n v="109443"/>
    <x v="0"/>
    <x v="43"/>
    <x v="6"/>
    <x v="2"/>
    <n v="19607060"/>
    <x v="0"/>
    <x v="0"/>
    <x v="0"/>
    <d v="2019-02-13T00:00:00"/>
    <d v="2019-02-06T00:00:00"/>
  </r>
  <r>
    <x v="0"/>
    <x v="0"/>
    <x v="0"/>
    <x v="0"/>
    <s v="DC TST116070"/>
    <m/>
    <m/>
    <m/>
    <x v="0"/>
    <n v="109478"/>
    <x v="0"/>
    <x v="39"/>
    <x v="6"/>
    <x v="4"/>
    <n v="43076580"/>
    <x v="0"/>
    <x v="0"/>
    <x v="0"/>
    <d v="2019-02-15T00:00:00"/>
    <d v="2019-02-08T00:00:00"/>
  </r>
  <r>
    <x v="0"/>
    <x v="0"/>
    <x v="0"/>
    <x v="0"/>
    <s v="DC TST116080"/>
    <m/>
    <m/>
    <m/>
    <x v="0"/>
    <n v="109393"/>
    <x v="0"/>
    <x v="44"/>
    <x v="6"/>
    <x v="4"/>
    <n v="28221000"/>
    <x v="0"/>
    <x v="0"/>
    <x v="0"/>
    <d v="2019-02-22T00:00:00"/>
    <d v="2019-02-15T00:00:00"/>
  </r>
  <r>
    <x v="0"/>
    <x v="0"/>
    <x v="0"/>
    <x v="0"/>
    <s v="DC TST116082"/>
    <m/>
    <m/>
    <m/>
    <x v="0"/>
    <n v="109220"/>
    <x v="0"/>
    <x v="45"/>
    <x v="6"/>
    <x v="0"/>
    <n v="41040012"/>
    <x v="0"/>
    <x v="0"/>
    <x v="0"/>
    <d v="2019-02-22T00:00:00"/>
    <d v="2019-02-15T00:00:00"/>
  </r>
  <r>
    <x v="0"/>
    <x v="0"/>
    <x v="0"/>
    <x v="0"/>
    <s v="DC TST116085"/>
    <m/>
    <m/>
    <m/>
    <x v="0"/>
    <n v="109247"/>
    <x v="0"/>
    <x v="46"/>
    <x v="6"/>
    <x v="10"/>
    <n v="101466900"/>
    <x v="0"/>
    <x v="0"/>
    <x v="0"/>
    <d v="2019-03-01T00:00:00"/>
    <d v="2019-02-22T00:00:00"/>
  </r>
  <r>
    <x v="0"/>
    <x v="0"/>
    <x v="0"/>
    <x v="0"/>
    <s v="DC TST116086"/>
    <m/>
    <m/>
    <m/>
    <x v="0"/>
    <n v="109431"/>
    <x v="0"/>
    <x v="47"/>
    <x v="6"/>
    <x v="2"/>
    <n v="23568480"/>
    <x v="0"/>
    <x v="0"/>
    <x v="0"/>
    <d v="2019-03-01T00:00:00"/>
    <d v="2019-02-22T00:00:00"/>
  </r>
  <r>
    <x v="0"/>
    <x v="0"/>
    <x v="0"/>
    <x v="0"/>
    <s v="DC TST116084"/>
    <m/>
    <m/>
    <m/>
    <x v="0"/>
    <n v="109430"/>
    <x v="0"/>
    <x v="48"/>
    <x v="6"/>
    <x v="0"/>
    <n v="42605660"/>
    <x v="0"/>
    <x v="0"/>
    <x v="0"/>
    <d v="2019-03-06T00:00:00"/>
    <d v="2019-02-27T00:00:00"/>
  </r>
  <r>
    <x v="0"/>
    <x v="0"/>
    <x v="0"/>
    <x v="0"/>
    <s v="DC TST116089"/>
    <m/>
    <n v="91017"/>
    <m/>
    <x v="0"/>
    <n v="109389"/>
    <x v="0"/>
    <x v="49"/>
    <x v="6"/>
    <x v="2"/>
    <n v="24285330"/>
    <x v="0"/>
    <x v="0"/>
    <x v="0"/>
    <d v="2019-03-08T00:00:00"/>
    <d v="2019-03-01T00:00:00"/>
  </r>
  <r>
    <x v="0"/>
    <x v="0"/>
    <x v="0"/>
    <x v="0"/>
    <s v="DC TST116090"/>
    <m/>
    <n v="77764"/>
    <m/>
    <x v="0"/>
    <n v="109429"/>
    <x v="0"/>
    <x v="50"/>
    <x v="6"/>
    <x v="2"/>
    <n v="18814000"/>
    <x v="0"/>
    <x v="0"/>
    <x v="0"/>
    <d v="2019-03-13T00:00:00"/>
    <d v="2019-03-06T00:00:00"/>
  </r>
  <r>
    <x v="0"/>
    <x v="0"/>
    <x v="0"/>
    <x v="0"/>
    <s v="DC TST116091"/>
    <m/>
    <n v="62940"/>
    <m/>
    <x v="0"/>
    <n v="109319"/>
    <x v="0"/>
    <x v="51"/>
    <x v="6"/>
    <x v="5"/>
    <n v="13656120"/>
    <x v="0"/>
    <x v="0"/>
    <x v="0"/>
    <d v="2019-03-13T00:00:00"/>
    <d v="2019-03-06T00:00:00"/>
  </r>
  <r>
    <x v="0"/>
    <x v="0"/>
    <x v="0"/>
    <x v="0"/>
    <s v="DC TST116098"/>
    <n v="400"/>
    <n v="248057"/>
    <m/>
    <x v="0"/>
    <n v="109493"/>
    <x v="0"/>
    <x v="52"/>
    <x v="10"/>
    <x v="11"/>
    <n v="118268670"/>
    <x v="0"/>
    <x v="0"/>
    <x v="0"/>
    <d v="2019-03-22T00:00:00"/>
    <d v="2019-03-15T00:00:00"/>
  </r>
  <r>
    <x v="1"/>
    <x v="1"/>
    <x v="1"/>
    <x v="0"/>
    <s v="DC TST116100"/>
    <n v="1794.48"/>
    <n v="50075"/>
    <n v="4651.3"/>
    <x v="0"/>
    <n v="109532"/>
    <x v="0"/>
    <x v="53"/>
    <x v="7"/>
    <x v="2"/>
    <n v="9060000"/>
    <x v="0"/>
    <x v="1"/>
    <x v="1"/>
    <d v="2019-04-05T00:00:00"/>
    <d v="2019-03-29T00:00:00"/>
  </r>
  <r>
    <x v="1"/>
    <x v="0"/>
    <x v="0"/>
    <x v="0"/>
    <s v="DC TST116103"/>
    <n v="3375.29"/>
    <n v="130696"/>
    <n v="6607"/>
    <x v="0"/>
    <n v="109294"/>
    <x v="0"/>
    <x v="54"/>
    <x v="6"/>
    <x v="0"/>
    <n v="45060980"/>
    <x v="0"/>
    <x v="1"/>
    <x v="1"/>
    <d v="2019-04-05T00:00:00"/>
    <d v="2019-03-29T00:00:00"/>
  </r>
  <r>
    <x v="1"/>
    <x v="0"/>
    <x v="0"/>
    <x v="0"/>
    <s v="DC TST116161"/>
    <n v="5119.07"/>
    <n v="240628"/>
    <n v="12294"/>
    <x v="0"/>
    <n v="109336"/>
    <x v="0"/>
    <x v="55"/>
    <x v="6"/>
    <x v="8"/>
    <n v="113219140"/>
    <x v="0"/>
    <x v="1"/>
    <x v="1"/>
    <d v="2019-04-05T00:00:00"/>
    <d v="2019-03-29T00:00:00"/>
  </r>
  <r>
    <x v="1"/>
    <x v="0"/>
    <x v="0"/>
    <x v="0"/>
    <s v="DC TST116104"/>
    <n v="4459.2800000000007"/>
    <n v="193074"/>
    <n v="16025.3"/>
    <x v="0"/>
    <n v="109344"/>
    <x v="0"/>
    <x v="56"/>
    <x v="2"/>
    <x v="8"/>
    <n v="82818800"/>
    <x v="0"/>
    <x v="1"/>
    <x v="1"/>
    <d v="2019-04-10T00:00:00"/>
    <d v="2019-04-03T00:00:00"/>
  </r>
  <r>
    <x v="1"/>
    <x v="0"/>
    <x v="0"/>
    <x v="0"/>
    <s v="DC TST116166"/>
    <n v="2520.7399999999998"/>
    <n v="93652"/>
    <n v="4507.75"/>
    <x v="0"/>
    <n v="109263"/>
    <x v="0"/>
    <x v="57"/>
    <x v="6"/>
    <x v="2"/>
    <n v="25464606"/>
    <x v="0"/>
    <x v="1"/>
    <x v="1"/>
    <d v="2019-04-19T00:00:00"/>
    <d v="2019-04-12T00:00:00"/>
  </r>
  <r>
    <x v="1"/>
    <x v="0"/>
    <x v="0"/>
    <x v="0"/>
    <s v="DC TST116167"/>
    <n v="2818.43"/>
    <n v="106268"/>
    <n v="6467.5"/>
    <x v="0"/>
    <n v="109526"/>
    <x v="0"/>
    <x v="58"/>
    <x v="6"/>
    <x v="4"/>
    <n v="32191000"/>
    <x v="0"/>
    <x v="1"/>
    <x v="1"/>
    <d v="2019-04-19T00:00:00"/>
    <d v="2019-04-12T00:00:00"/>
  </r>
  <r>
    <x v="1"/>
    <x v="0"/>
    <x v="0"/>
    <x v="0"/>
    <s v="DC TST116173"/>
    <n v="3557.27"/>
    <n v="138518"/>
    <n v="6617.5"/>
    <x v="0"/>
    <n v="109390"/>
    <x v="0"/>
    <x v="59"/>
    <x v="6"/>
    <x v="0"/>
    <n v="49403160"/>
    <x v="0"/>
    <x v="2"/>
    <x v="1"/>
    <d v="2019-05-03T00:00:00"/>
    <d v="2019-04-26T00:00:00"/>
  </r>
  <r>
    <x v="1"/>
    <x v="0"/>
    <x v="0"/>
    <x v="0"/>
    <s v="DC TST116172"/>
    <n v="3418"/>
    <n v="100033"/>
    <n v="6617.5"/>
    <x v="0"/>
    <n v="109497"/>
    <x v="0"/>
    <x v="60"/>
    <x v="6"/>
    <x v="4"/>
    <n v="46221192"/>
    <x v="0"/>
    <x v="2"/>
    <x v="1"/>
    <d v="2019-05-08T00:00:00"/>
    <d v="2019-05-01T00:00:00"/>
  </r>
  <r>
    <x v="1"/>
    <x v="0"/>
    <x v="0"/>
    <x v="0"/>
    <s v="DC TST116175"/>
    <n v="4923.5200000000004"/>
    <n v="88575"/>
    <n v="10355.25"/>
    <x v="0"/>
    <n v="109553"/>
    <x v="0"/>
    <x v="61"/>
    <x v="6"/>
    <x v="3"/>
    <n v="51373765"/>
    <x v="0"/>
    <x v="2"/>
    <x v="1"/>
    <d v="2019-05-17T00:00:00"/>
    <d v="2019-05-10T00:00:00"/>
  </r>
  <r>
    <x v="1"/>
    <x v="0"/>
    <x v="0"/>
    <x v="0"/>
    <s v="DC TST116174"/>
    <n v="3653.73"/>
    <n v="123801"/>
    <n v="10355.25"/>
    <x v="0"/>
    <n v="109554"/>
    <x v="0"/>
    <x v="61"/>
    <x v="6"/>
    <x v="3"/>
    <n v="51595080"/>
    <x v="0"/>
    <x v="2"/>
    <x v="1"/>
    <d v="2019-05-15T00:00:00"/>
    <d v="2019-05-08T00:00:00"/>
  </r>
  <r>
    <x v="1"/>
    <x v="0"/>
    <x v="0"/>
    <x v="0"/>
    <s v="DC TST116177"/>
    <n v="3532.69"/>
    <n v="116923"/>
    <n v="7306.5"/>
    <x v="0"/>
    <n v="109563"/>
    <x v="0"/>
    <x v="62"/>
    <x v="2"/>
    <x v="3"/>
    <n v="47977300"/>
    <x v="0"/>
    <x v="3"/>
    <x v="2"/>
    <d v="2019-06-01T00:00:00"/>
    <d v="2019-05-25T00:00:00"/>
  </r>
  <r>
    <x v="1"/>
    <x v="0"/>
    <x v="0"/>
    <x v="0"/>
    <s v="DC TST116178"/>
    <n v="5353.37"/>
    <n v="81596"/>
    <n v="9266.25"/>
    <x v="0"/>
    <n v="109564"/>
    <x v="0"/>
    <x v="62"/>
    <x v="2"/>
    <x v="3"/>
    <n v="43479400"/>
    <x v="0"/>
    <x v="3"/>
    <x v="2"/>
    <d v="2019-06-01T00:00:00"/>
    <d v="2019-05-25T00:00:00"/>
  </r>
  <r>
    <x v="1"/>
    <x v="0"/>
    <x v="0"/>
    <x v="0"/>
    <s v="DC TST116186"/>
    <n v="3754.21"/>
    <n v="144632"/>
    <n v="6417.5"/>
    <x v="0"/>
    <n v="109582"/>
    <x v="0"/>
    <x v="63"/>
    <x v="6"/>
    <x v="4"/>
    <n v="52733344"/>
    <x v="0"/>
    <x v="3"/>
    <x v="2"/>
    <d v="2019-06-01T00:00:00"/>
    <d v="2019-05-25T00:00:00"/>
  </r>
  <r>
    <x v="1"/>
    <x v="0"/>
    <x v="0"/>
    <x v="0"/>
    <s v="315012018684-M"/>
    <m/>
    <m/>
    <n v="9266.25"/>
    <x v="0"/>
    <n v="109565"/>
    <x v="0"/>
    <x v="62"/>
    <x v="2"/>
    <x v="3"/>
    <n v="44014750"/>
    <x v="0"/>
    <x v="3"/>
    <x v="2"/>
    <d v="2019-07-03T00:00:00"/>
    <d v="2019-06-26T00:00:00"/>
  </r>
  <r>
    <x v="1"/>
    <x v="0"/>
    <x v="0"/>
    <x v="0"/>
    <s v="315012018693-M"/>
    <m/>
    <m/>
    <n v="7306.5"/>
    <x v="0"/>
    <n v="109566"/>
    <x v="0"/>
    <x v="62"/>
    <x v="2"/>
    <x v="3"/>
    <n v="48549000"/>
    <x v="0"/>
    <x v="3"/>
    <x v="2"/>
    <d v="2019-07-03T00:00:00"/>
    <d v="2019-06-26T00:00:00"/>
  </r>
  <r>
    <x v="1"/>
    <x v="0"/>
    <x v="0"/>
    <x v="0"/>
    <s v="DC TST116195"/>
    <n v="3536.8"/>
    <n v="217648"/>
    <n v="6417.5"/>
    <x v="0"/>
    <n v="109603"/>
    <x v="0"/>
    <x v="64"/>
    <x v="6"/>
    <x v="0"/>
    <n v="47482920"/>
    <x v="0"/>
    <x v="3"/>
    <x v="2"/>
    <d v="2019-07-03T00:00:00"/>
    <d v="2019-06-26T00:00:00"/>
  </r>
  <r>
    <x v="1"/>
    <x v="0"/>
    <x v="1"/>
    <x v="0"/>
    <s v="DC TST116196"/>
    <n v="2765.68"/>
    <n v="78755"/>
    <n v="4507.75"/>
    <x v="0"/>
    <n v="109610"/>
    <x v="0"/>
    <x v="65"/>
    <x v="6"/>
    <x v="5"/>
    <n v="11914422"/>
    <x v="0"/>
    <x v="3"/>
    <x v="2"/>
    <d v="2019-07-19T00:00:00"/>
    <d v="2019-07-12T00:00:00"/>
  </r>
  <r>
    <x v="1"/>
    <x v="0"/>
    <x v="0"/>
    <x v="0"/>
    <s v="DC TST116198"/>
    <n v="5852.85"/>
    <n v="131975"/>
    <n v="12315"/>
    <x v="0"/>
    <n v="109602"/>
    <x v="0"/>
    <x v="64"/>
    <x v="6"/>
    <x v="1"/>
    <n v="86619690"/>
    <x v="0"/>
    <x v="3"/>
    <x v="2"/>
    <d v="2019-07-17T00:00:00"/>
    <d v="2019-07-10T00:00:00"/>
  </r>
  <r>
    <x v="1"/>
    <x v="0"/>
    <x v="0"/>
    <x v="0"/>
    <s v="DC TST116197"/>
    <n v="4900.76"/>
    <n v="101278"/>
    <n v="6467.5"/>
    <x v="0"/>
    <n v="109608"/>
    <x v="0"/>
    <x v="64"/>
    <x v="6"/>
    <x v="0"/>
    <n v="62062680"/>
    <x v="0"/>
    <x v="3"/>
    <x v="2"/>
    <d v="2019-07-19T00:00:00"/>
    <d v="2019-07-12T00:00:00"/>
  </r>
  <r>
    <x v="1"/>
    <x v="0"/>
    <x v="0"/>
    <x v="0"/>
    <s v="DC TST116208"/>
    <n v="2892.91"/>
    <n v="106400"/>
    <n v="16672.75"/>
    <x v="0"/>
    <n v="109587"/>
    <x v="0"/>
    <x v="66"/>
    <x v="2"/>
    <x v="3"/>
    <n v="33128813"/>
    <x v="0"/>
    <x v="4"/>
    <x v="2"/>
    <d v="2019-08-09T00:00:00"/>
    <d v="2019-08-02T00:00:00"/>
  </r>
  <r>
    <x v="1"/>
    <x v="0"/>
    <x v="0"/>
    <x v="0"/>
    <s v="DC TST116209"/>
    <n v="4766.41"/>
    <n v="81522"/>
    <n v="0"/>
    <x v="0"/>
    <n v="109588"/>
    <x v="0"/>
    <x v="66"/>
    <x v="2"/>
    <x v="3"/>
    <n v="46244313"/>
    <x v="0"/>
    <x v="4"/>
    <x v="2"/>
    <d v="2019-08-09T00:00:00"/>
    <d v="2019-08-02T00:00:00"/>
  </r>
  <r>
    <x v="1"/>
    <x v="0"/>
    <x v="1"/>
    <x v="0"/>
    <s v="DC TST116206"/>
    <n v="4137.34"/>
    <n v="64118"/>
    <n v="6617.5"/>
    <x v="0"/>
    <n v="109623"/>
    <x v="0"/>
    <x v="67"/>
    <x v="11"/>
    <x v="2"/>
    <n v="32334596"/>
    <x v="0"/>
    <x v="5"/>
    <x v="2"/>
    <d v="2019-07-31T00:00:00"/>
    <d v="2019-07-24T00:00:00"/>
  </r>
  <r>
    <x v="1"/>
    <x v="1"/>
    <x v="1"/>
    <x v="0"/>
    <s v="DC TST116214"/>
    <n v="1650"/>
    <n v="36725"/>
    <n v="4657.75"/>
    <x v="0"/>
    <n v="109662"/>
    <x v="0"/>
    <x v="65"/>
    <x v="12"/>
    <x v="5"/>
    <n v="4448680"/>
    <x v="0"/>
    <x v="4"/>
    <x v="2"/>
    <d v="2019-08-30T00:00:00"/>
    <d v="2019-08-23T00:00:00"/>
  </r>
  <r>
    <x v="1"/>
    <x v="0"/>
    <x v="0"/>
    <x v="0"/>
    <s v="DC TST116783"/>
    <n v="3810.03"/>
    <n v="6890"/>
    <n v="6467.5"/>
    <x v="0"/>
    <n v="109625"/>
    <x v="0"/>
    <x v="68"/>
    <x v="2"/>
    <x v="0"/>
    <n v="24630600"/>
    <x v="0"/>
    <x v="6"/>
    <x v="3"/>
    <d v="2019-09-06T00:00:00"/>
    <d v="2019-08-30T00:00:00"/>
  </r>
  <r>
    <x v="1"/>
    <x v="0"/>
    <x v="0"/>
    <x v="0"/>
    <s v="DC TST116784"/>
    <n v="5155.3"/>
    <n v="91875"/>
    <n v="10205.25"/>
    <x v="0"/>
    <n v="109624"/>
    <x v="0"/>
    <x v="68"/>
    <x v="6"/>
    <x v="6"/>
    <n v="54430020"/>
    <x v="0"/>
    <x v="6"/>
    <x v="3"/>
    <d v="2019-09-06T00:00:00"/>
    <d v="2019-08-30T00:00:00"/>
  </r>
  <r>
    <x v="1"/>
    <x v="0"/>
    <x v="0"/>
    <x v="0"/>
    <s v="DC TST116795"/>
    <n v="4487.09"/>
    <n v="73311"/>
    <n v="10355.25"/>
    <x v="0"/>
    <n v="109665"/>
    <x v="0"/>
    <x v="69"/>
    <x v="2"/>
    <x v="6"/>
    <n v="39960450"/>
    <x v="0"/>
    <x v="7"/>
    <x v="3"/>
    <d v="2019-10-11T00:00:00"/>
    <d v="2019-10-04T00:00:00"/>
  </r>
  <r>
    <x v="1"/>
    <x v="0"/>
    <x v="1"/>
    <x v="0"/>
    <s v="DC TST116793"/>
    <n v="4044.57"/>
    <n v="61109"/>
    <n v="0"/>
    <x v="0"/>
    <n v="109694"/>
    <x v="0"/>
    <x v="70"/>
    <x v="11"/>
    <x v="2"/>
    <n v="30199560"/>
    <x v="0"/>
    <x v="7"/>
    <x v="3"/>
    <d v="2019-10-02T00:00:00"/>
    <d v="2019-09-25T00:00:00"/>
  </r>
  <r>
    <x v="1"/>
    <x v="0"/>
    <x v="0"/>
    <x v="0"/>
    <s v="DC TST116796"/>
    <n v="4456.7"/>
    <n v="72456"/>
    <n v="10355.25"/>
    <x v="0"/>
    <n v="109686"/>
    <x v="0"/>
    <x v="71"/>
    <x v="2"/>
    <x v="6"/>
    <n v="39276900"/>
    <x v="0"/>
    <x v="7"/>
    <x v="3"/>
    <d v="2019-10-18T00:00:00"/>
    <d v="2019-10-11T00:00:00"/>
  </r>
  <r>
    <x v="1"/>
    <x v="0"/>
    <x v="0"/>
    <x v="0"/>
    <s v="DC TST116802"/>
    <n v="3722.3599999999997"/>
    <n v="52574"/>
    <n v="6392.5"/>
    <x v="0"/>
    <n v="109693"/>
    <x v="0"/>
    <x v="72"/>
    <x v="2"/>
    <x v="0"/>
    <n v="23111850"/>
    <x v="0"/>
    <x v="4"/>
    <x v="4"/>
    <d v="2019-11-01T00:00:00"/>
    <d v="2019-10-25T00:00:00"/>
  </r>
  <r>
    <x v="1"/>
    <x v="0"/>
    <x v="0"/>
    <x v="0"/>
    <s v="DC TST116804"/>
    <n v="5379.7800000000007"/>
    <n v="105249"/>
    <n v="10130.25"/>
    <x v="0"/>
    <n v="109664"/>
    <x v="0"/>
    <x v="69"/>
    <x v="6"/>
    <x v="6"/>
    <n v="65251620"/>
    <x v="0"/>
    <x v="4"/>
    <x v="4"/>
    <d v="2019-11-01T00:00:00"/>
    <d v="2019-10-25T00:00:00"/>
  </r>
  <r>
    <x v="1"/>
    <x v="0"/>
    <x v="0"/>
    <x v="0"/>
    <s v="DC TST116803"/>
    <n v="3983.8"/>
    <n v="59796"/>
    <n v="6392.5"/>
    <x v="0"/>
    <n v="109685"/>
    <x v="0"/>
    <x v="71"/>
    <x v="2"/>
    <x v="3"/>
    <n v="28889813"/>
    <x v="0"/>
    <x v="4"/>
    <x v="4"/>
    <d v="2019-11-01T00:00:00"/>
    <d v="2019-10-25T00:00:00"/>
  </r>
  <r>
    <x v="1"/>
    <x v="0"/>
    <x v="0"/>
    <x v="0"/>
    <s v="DC TST116805"/>
    <n v="4564.1000000000004"/>
    <n v="75756"/>
    <n v="6392.5"/>
    <x v="0"/>
    <n v="109705"/>
    <x v="0"/>
    <x v="73"/>
    <x v="6"/>
    <x v="0"/>
    <n v="41657880"/>
    <x v="0"/>
    <x v="4"/>
    <x v="4"/>
    <d v="2019-11-01T00:00:00"/>
    <d v="2019-10-25T00:00:00"/>
  </r>
  <r>
    <x v="1"/>
    <x v="0"/>
    <x v="0"/>
    <x v="0"/>
    <s v="DC TST116798"/>
    <n v="4508.25"/>
    <n v="73581"/>
    <n v="6617.5"/>
    <x v="0"/>
    <n v="109715"/>
    <x v="0"/>
    <x v="74"/>
    <x v="6"/>
    <x v="0"/>
    <n v="40177080"/>
    <x v="0"/>
    <x v="7"/>
    <x v="3"/>
    <d v="2019-10-25T00:00:00"/>
    <d v="2019-10-18T00:00:00"/>
  </r>
  <r>
    <x v="2"/>
    <x v="0"/>
    <x v="0"/>
    <x v="0"/>
    <s v="DC TST116854"/>
    <n v="679.45"/>
    <n v="42122"/>
    <n v="0"/>
    <x v="1"/>
    <n v="109714"/>
    <x v="0"/>
    <x v="75"/>
    <x v="2"/>
    <x v="5"/>
    <n v="8750000"/>
    <x v="1"/>
    <x v="8"/>
    <x v="4"/>
    <d v="2020-02-22T00:00:00"/>
    <d v="2020-02-15T00:00:00"/>
  </r>
  <r>
    <x v="1"/>
    <x v="0"/>
    <x v="0"/>
    <x v="0"/>
    <s v="DC TST116809"/>
    <n v="3958.87"/>
    <n v="155074"/>
    <n v="11226.6"/>
    <x v="0"/>
    <n v="109721"/>
    <x v="0"/>
    <x v="76"/>
    <x v="6"/>
    <x v="6"/>
    <n v="59238220"/>
    <x v="0"/>
    <x v="9"/>
    <x v="4"/>
    <d v="2019-12-04T00:00:00"/>
    <d v="2019-11-27T00:00:00"/>
  </r>
  <r>
    <x v="1"/>
    <x v="0"/>
    <x v="0"/>
    <x v="0"/>
    <s v="DC TST116825"/>
    <n v="3420.46"/>
    <n v="98483"/>
    <n v="7198.4"/>
    <x v="0"/>
    <n v="109723"/>
    <x v="0"/>
    <x v="77"/>
    <x v="2"/>
    <x v="0"/>
    <n v="45182700"/>
    <x v="0"/>
    <x v="9"/>
    <x v="4"/>
    <d v="2019-12-25T00:00:00"/>
    <d v="2019-12-18T00:00:00"/>
  </r>
  <r>
    <x v="1"/>
    <x v="0"/>
    <x v="0"/>
    <x v="0"/>
    <s v="DC TST116819"/>
    <n v="6136.69"/>
    <n v="148205"/>
    <n v="13476.8"/>
    <x v="0"/>
    <n v="109730"/>
    <x v="0"/>
    <x v="78"/>
    <x v="6"/>
    <x v="7"/>
    <n v="99403680"/>
    <x v="0"/>
    <x v="9"/>
    <x v="4"/>
    <d v="2019-12-11T00:00:00"/>
    <d v="2019-12-04T00:00:00"/>
  </r>
  <r>
    <x v="2"/>
    <x v="0"/>
    <x v="0"/>
    <x v="0"/>
    <s v="DC TST116828"/>
    <n v="5971.9"/>
    <n v="139195"/>
    <n v="13276.8"/>
    <x v="2"/>
    <n v="109749"/>
    <x v="1"/>
    <x v="79"/>
    <x v="2"/>
    <x v="4"/>
    <n v="24993150"/>
    <x v="0"/>
    <x v="10"/>
    <x v="4"/>
    <d v="2020-01-06T00:00:00"/>
    <d v="2019-12-25T00:00:00"/>
  </r>
  <r>
    <x v="2"/>
    <x v="0"/>
    <x v="0"/>
    <x v="0"/>
    <s v="DC TST116828"/>
    <n v="0"/>
    <n v="0"/>
    <n v="0"/>
    <x v="2"/>
    <n v="109749"/>
    <x v="1"/>
    <x v="79"/>
    <x v="6"/>
    <x v="6"/>
    <n v="67098288"/>
    <x v="0"/>
    <x v="10"/>
    <x v="4"/>
    <d v="2020-01-06T00:00:00"/>
    <d v="2019-12-25T00:00:00"/>
  </r>
  <r>
    <x v="2"/>
    <x v="0"/>
    <x v="0"/>
    <x v="0"/>
    <s v="DC TST116829"/>
    <n v="6941.09"/>
    <n v="192904"/>
    <n v="19555.2"/>
    <x v="3"/>
    <n v="109750"/>
    <x v="1"/>
    <x v="79"/>
    <x v="2"/>
    <x v="3"/>
    <n v="35457750"/>
    <x v="0"/>
    <x v="10"/>
    <x v="4"/>
    <d v="2020-01-06T00:00:00"/>
    <d v="2019-12-25T00:00:00"/>
  </r>
  <r>
    <x v="2"/>
    <x v="0"/>
    <x v="0"/>
    <x v="0"/>
    <s v="DC TST116829"/>
    <n v="0"/>
    <n v="0"/>
    <n v="0"/>
    <x v="3"/>
    <n v="109750"/>
    <x v="1"/>
    <x v="79"/>
    <x v="6"/>
    <x v="8"/>
    <n v="99600600"/>
    <x v="0"/>
    <x v="10"/>
    <x v="4"/>
    <d v="2020-01-06T00:00:00"/>
    <d v="2019-12-25T00:00:00"/>
  </r>
  <r>
    <x v="2"/>
    <x v="0"/>
    <x v="0"/>
    <x v="0"/>
    <s v="DC TST116832"/>
    <n v="2738.1"/>
    <n v="88603"/>
    <n v="6998.4"/>
    <x v="4"/>
    <n v="109759"/>
    <x v="2"/>
    <x v="80"/>
    <x v="2"/>
    <x v="3"/>
    <n v="30219313"/>
    <x v="0"/>
    <x v="10"/>
    <x v="4"/>
    <d v="2020-01-06T00:00:00"/>
    <d v="2019-12-30T00:00:00"/>
  </r>
  <r>
    <x v="2"/>
    <x v="0"/>
    <x v="0"/>
    <x v="0"/>
    <s v="DC TST116847"/>
    <n v="2800.62"/>
    <n v="104753"/>
    <n v="7198.4"/>
    <x v="5"/>
    <n v="109762"/>
    <x v="3"/>
    <x v="80"/>
    <x v="2"/>
    <x v="0"/>
    <n v="31419450"/>
    <x v="0"/>
    <x v="10"/>
    <x v="4"/>
    <d v="2020-02-01T00:00:00"/>
    <d v="2020-01-17T00:00:00"/>
  </r>
  <r>
    <x v="1"/>
    <x v="0"/>
    <x v="0"/>
    <x v="0"/>
    <s v="315012032392-M"/>
    <m/>
    <m/>
    <n v="7048.4"/>
    <x v="6"/>
    <n v="109774"/>
    <x v="4"/>
    <x v="81"/>
    <x v="2"/>
    <x v="2"/>
    <n v="13585845"/>
    <x v="0"/>
    <x v="8"/>
    <x v="4"/>
    <d v="2020-02-05T00:00:00"/>
    <d v="2019-01-29T00:00:00"/>
  </r>
  <r>
    <x v="1"/>
    <x v="0"/>
    <x v="0"/>
    <x v="0"/>
    <s v="315012032392-M"/>
    <m/>
    <m/>
    <n v="0"/>
    <x v="6"/>
    <n v="109774"/>
    <x v="4"/>
    <x v="81"/>
    <x v="6"/>
    <x v="2"/>
    <n v="21848640"/>
    <x v="0"/>
    <x v="8"/>
    <x v="4"/>
    <d v="2020-02-05T00:00:00"/>
    <d v="2019-01-29T00:00:00"/>
  </r>
  <r>
    <x v="1"/>
    <x v="0"/>
    <x v="0"/>
    <x v="0"/>
    <s v="315012032409-M"/>
    <m/>
    <m/>
    <n v="11076.6"/>
    <x v="7"/>
    <n v="109775"/>
    <x v="4"/>
    <x v="81"/>
    <x v="6"/>
    <x v="6"/>
    <n v="54430020"/>
    <x v="0"/>
    <x v="8"/>
    <x v="4"/>
    <d v="2020-02-05T00:00:00"/>
    <d v="2019-01-29T00:00:00"/>
  </r>
  <r>
    <x v="2"/>
    <x v="0"/>
    <x v="0"/>
    <x v="0"/>
    <s v="315012032579-M"/>
    <m/>
    <m/>
    <n v="7198.4"/>
    <x v="8"/>
    <n v="109782"/>
    <x v="5"/>
    <x v="82"/>
    <x v="6"/>
    <x v="3"/>
    <n v="45329550"/>
    <x v="0"/>
    <x v="8"/>
    <x v="4"/>
    <d v="2020-02-16T00:00:00"/>
    <d v="2020-02-07T00:00:00"/>
  </r>
  <r>
    <x v="2"/>
    <x v="0"/>
    <x v="1"/>
    <x v="0"/>
    <s v="DC TST116860"/>
    <n v="4231.84"/>
    <n v="68810"/>
    <n v="7048.4"/>
    <x v="9"/>
    <n v="109793"/>
    <x v="5"/>
    <x v="83"/>
    <x v="1"/>
    <x v="2"/>
    <n v="35730705"/>
    <x v="0"/>
    <x v="10"/>
    <x v="4"/>
    <d v="2020-03-11T00:00:00"/>
    <d v="2020-03-04T00:00:00"/>
  </r>
  <r>
    <x v="2"/>
    <x v="0"/>
    <x v="1"/>
    <x v="0"/>
    <s v="DC TST116864"/>
    <n v="4247.33"/>
    <n v="68743"/>
    <n v="7198.4"/>
    <x v="10"/>
    <n v="109794"/>
    <x v="5"/>
    <x v="84"/>
    <x v="1"/>
    <x v="2"/>
    <n v="35677155"/>
    <x v="0"/>
    <x v="10"/>
    <x v="4"/>
    <d v="2020-03-18T00:00:00"/>
    <d v="2020-03-11T00:00:00"/>
  </r>
  <r>
    <x v="2"/>
    <x v="0"/>
    <x v="0"/>
    <x v="1"/>
    <s v="DC TST116865"/>
    <n v="3617.64"/>
    <n v="103395"/>
    <n v="11076.6"/>
    <x v="11"/>
    <n v="109783"/>
    <x v="5"/>
    <x v="85"/>
    <x v="2"/>
    <x v="6"/>
    <n v="49253670"/>
    <x v="0"/>
    <x v="11"/>
    <x v="3"/>
    <d v="2020-04-01T00:00:00"/>
    <d v="2020-03-25T00:00:00"/>
  </r>
  <r>
    <x v="2"/>
    <x v="0"/>
    <x v="0"/>
    <x v="1"/>
    <s v="DC TST116858"/>
    <n v="3994.3"/>
    <n v="61541"/>
    <n v="7048.4"/>
    <x v="12"/>
    <n v="109815"/>
    <x v="6"/>
    <x v="85"/>
    <x v="2"/>
    <x v="3"/>
    <n v="29914800"/>
    <x v="0"/>
    <x v="10"/>
    <x v="4"/>
    <d v="2020-03-11T00:00:00"/>
    <d v="2020-03-04T00:00:00"/>
  </r>
  <r>
    <x v="2"/>
    <x v="0"/>
    <x v="0"/>
    <x v="1"/>
    <s v="DC TST116874"/>
    <n v="3987.74"/>
    <n v="60081"/>
    <n v="7198.4"/>
    <x v="13"/>
    <n v="109820"/>
    <x v="6"/>
    <x v="85"/>
    <x v="2"/>
    <x v="3"/>
    <n v="28797000"/>
    <x v="0"/>
    <x v="11"/>
    <x v="3"/>
    <d v="2020-04-03T00:00:00"/>
    <d v="2020-03-28T00:00:00"/>
  </r>
  <r>
    <x v="2"/>
    <x v="0"/>
    <x v="0"/>
    <x v="1"/>
    <s v="DC TST116863"/>
    <n v="5417.55"/>
    <n v="203037"/>
    <n v="13326.8"/>
    <x v="14"/>
    <n v="109816"/>
    <x v="6"/>
    <x v="85"/>
    <x v="6"/>
    <x v="8"/>
    <n v="94512900"/>
    <x v="0"/>
    <x v="11"/>
    <x v="3"/>
    <d v="2020-04-01T00:00:00"/>
    <d v="2020-03-25T00:00:00"/>
  </r>
  <r>
    <x v="2"/>
    <x v="0"/>
    <x v="0"/>
    <x v="1"/>
    <s v="DC TST116881"/>
    <n v="2126.02"/>
    <n v="34373"/>
    <n v="2870"/>
    <x v="15"/>
    <n v="109806"/>
    <x v="7"/>
    <x v="86"/>
    <x v="2"/>
    <x v="5"/>
    <n v="6351918"/>
    <x v="1"/>
    <x v="12"/>
    <x v="3"/>
    <d v="2020-05-04T00:00:00"/>
    <d v="2020-04-27T00:00:00"/>
  </r>
  <r>
    <x v="2"/>
    <x v="0"/>
    <x v="0"/>
    <x v="1"/>
    <s v="DC TST116881"/>
    <n v="0"/>
    <n v="0"/>
    <n v="0"/>
    <x v="15"/>
    <n v="109806"/>
    <x v="7"/>
    <x v="86"/>
    <x v="6"/>
    <x v="5"/>
    <n v="9978082"/>
    <x v="1"/>
    <x v="12"/>
    <x v="3"/>
    <d v="2020-05-04T00:00:00"/>
    <d v="2020-04-27T00:00:00"/>
  </r>
  <r>
    <x v="2"/>
    <x v="0"/>
    <x v="0"/>
    <x v="1"/>
    <s v="DC TST116883"/>
    <n v="5732.66"/>
    <n v="127712"/>
    <n v="11226.6"/>
    <x v="16"/>
    <n v="109855"/>
    <x v="8"/>
    <x v="85"/>
    <x v="6"/>
    <x v="6"/>
    <n v="83144670"/>
    <x v="0"/>
    <x v="11"/>
    <x v="3"/>
    <d v="2020-04-25T00:00:00"/>
    <d v="2020-04-15T00:00:00"/>
  </r>
  <r>
    <x v="2"/>
    <x v="0"/>
    <x v="0"/>
    <x v="1"/>
    <s v="DC TST116888"/>
    <n v="4317.79"/>
    <n v="69001"/>
    <n v="7174"/>
    <x v="17"/>
    <n v="109856"/>
    <x v="8"/>
    <x v="85"/>
    <x v="6"/>
    <x v="0"/>
    <n v="36200280"/>
    <x v="0"/>
    <x v="12"/>
    <x v="3"/>
    <d v="2020-05-20T00:00:00"/>
    <d v="2020-05-13T00:00:00"/>
  </r>
  <r>
    <x v="2"/>
    <x v="0"/>
    <x v="1"/>
    <x v="2"/>
    <s v="DC TST117394"/>
    <n v="3231.6"/>
    <n v="29816"/>
    <n v="4861"/>
    <x v="18"/>
    <n v="109857"/>
    <x v="9"/>
    <x v="87"/>
    <x v="13"/>
    <x v="5"/>
    <n v="12304050"/>
    <x v="0"/>
    <x v="12"/>
    <x v="3"/>
    <d v="2020-05-20T00:00:00"/>
    <d v="2020-05-13T00:00:00"/>
  </r>
  <r>
    <x v="2"/>
    <x v="0"/>
    <x v="0"/>
    <x v="2"/>
    <s v="DC TST117393"/>
    <n v="3932.55"/>
    <n v="58403"/>
    <n v="7324"/>
    <x v="19"/>
    <n v="109858"/>
    <x v="9"/>
    <x v="88"/>
    <x v="2"/>
    <x v="3"/>
    <n v="27721200"/>
    <x v="0"/>
    <x v="12"/>
    <x v="3"/>
    <d v="2020-05-22T00:00:00"/>
    <d v="2020-05-15T00:00:00"/>
  </r>
  <r>
    <x v="2"/>
    <x v="0"/>
    <x v="0"/>
    <x v="2"/>
    <s v="DC TST117397"/>
    <n v="4583.09"/>
    <n v="43506"/>
    <n v="7174"/>
    <x v="20"/>
    <n v="109889"/>
    <x v="10"/>
    <x v="88"/>
    <x v="2"/>
    <x v="4"/>
    <n v="18378720"/>
    <x v="0"/>
    <x v="3"/>
    <x v="5"/>
    <d v="2020-06-03T00:00:00"/>
    <d v="2020-05-27T00:00:00"/>
  </r>
  <r>
    <x v="2"/>
    <x v="0"/>
    <x v="1"/>
    <x v="2"/>
    <s v="DC TST117395"/>
    <n v="4206.54"/>
    <n v="34221"/>
    <n v="2041"/>
    <x v="21"/>
    <n v="109873"/>
    <x v="11"/>
    <x v="89"/>
    <x v="11"/>
    <x v="5"/>
    <n v="14251820"/>
    <x v="0"/>
    <x v="3"/>
    <x v="5"/>
    <d v="2020-06-03T00:00:00"/>
    <d v="2020-05-27T00:00:00"/>
  </r>
  <r>
    <x v="2"/>
    <x v="0"/>
    <x v="0"/>
    <x v="1"/>
    <s v="DC TST117399"/>
    <n v="4095.86"/>
    <n v="123848"/>
    <n v="14348"/>
    <x v="22"/>
    <n v="109868"/>
    <x v="11"/>
    <x v="85"/>
    <x v="6"/>
    <x v="6"/>
    <n v="66063720"/>
    <x v="0"/>
    <x v="3"/>
    <x v="5"/>
    <d v="2020-06-10T00:00:00"/>
    <d v="2020-06-03T00:00:00"/>
  </r>
  <r>
    <x v="2"/>
    <x v="1"/>
    <x v="1"/>
    <x v="2"/>
    <s v="DC TST117401"/>
    <n v="1650"/>
    <n v="30151"/>
    <n v="0"/>
    <x v="23"/>
    <n v="109880"/>
    <x v="12"/>
    <x v="90"/>
    <x v="7"/>
    <x v="5"/>
    <n v="4530000"/>
    <x v="0"/>
    <x v="3"/>
    <x v="5"/>
    <d v="2020-06-10T00:00:00"/>
    <d v="2020-06-05T00:00:00"/>
  </r>
  <r>
    <x v="2"/>
    <x v="0"/>
    <x v="0"/>
    <x v="1"/>
    <s v="DC TST117409"/>
    <n v="5197.5600000000004"/>
    <n v="230759"/>
    <n v="17819"/>
    <x v="24"/>
    <n v="109886"/>
    <x v="13"/>
    <x v="85"/>
    <x v="6"/>
    <x v="3"/>
    <n v="57672030"/>
    <x v="0"/>
    <x v="3"/>
    <x v="5"/>
    <d v="2020-06-24T00:00:00"/>
    <d v="2020-06-17T00:00:00"/>
  </r>
  <r>
    <x v="2"/>
    <x v="0"/>
    <x v="0"/>
    <x v="1"/>
    <s v="DC TST117409"/>
    <n v="0"/>
    <n v="0"/>
    <n v="0"/>
    <x v="24"/>
    <n v="109947"/>
    <x v="13"/>
    <x v="85"/>
    <x v="6"/>
    <x v="3"/>
    <n v="57672030"/>
    <x v="0"/>
    <x v="3"/>
    <x v="5"/>
    <d v="2020-06-24T00:00:00"/>
    <d v="2020-06-17T00:00:00"/>
  </r>
  <r>
    <x v="2"/>
    <x v="0"/>
    <x v="0"/>
    <x v="1"/>
    <s v="DC TST117403"/>
    <n v="4045.86"/>
    <n v="161268"/>
    <n v="13728"/>
    <x v="25"/>
    <n v="109891"/>
    <x v="14"/>
    <x v="91"/>
    <x v="2"/>
    <x v="3"/>
    <n v="31759320"/>
    <x v="0"/>
    <x v="3"/>
    <x v="5"/>
    <d v="2020-06-22T00:00:00"/>
    <d v="2020-06-12T00:00:00"/>
  </r>
  <r>
    <x v="2"/>
    <x v="0"/>
    <x v="0"/>
    <x v="1"/>
    <s v="DC TST117403"/>
    <n v="0"/>
    <n v="0"/>
    <n v="0"/>
    <x v="25"/>
    <n v="109925"/>
    <x v="14"/>
    <x v="85"/>
    <x v="2"/>
    <x v="3"/>
    <n v="32428020"/>
    <x v="0"/>
    <x v="3"/>
    <x v="5"/>
    <d v="2020-06-22T00:00:00"/>
    <d v="2020-06-12T00:00:00"/>
  </r>
  <r>
    <x v="2"/>
    <x v="0"/>
    <x v="0"/>
    <x v="1"/>
    <s v="DC TST117418"/>
    <n v="4651.24"/>
    <n v="203067"/>
    <n v="13044.2"/>
    <x v="26"/>
    <s v="109917,新建110003"/>
    <x v="15"/>
    <x v="85"/>
    <x v="6"/>
    <x v="2"/>
    <n v="37967940"/>
    <x v="0"/>
    <x v="3"/>
    <x v="3"/>
    <d v="2020-07-22T00:00:00"/>
    <d v="2020-07-15T00:00:00"/>
  </r>
  <r>
    <x v="2"/>
    <x v="0"/>
    <x v="0"/>
    <x v="1"/>
    <s v="DC TST117418"/>
    <n v="0"/>
    <n v="0"/>
    <n v="0"/>
    <x v="26"/>
    <s v="109963,新建110004"/>
    <x v="15"/>
    <x v="85"/>
    <x v="6"/>
    <x v="4"/>
    <n v="43838010"/>
    <x v="0"/>
    <x v="3"/>
    <x v="3"/>
    <d v="2020-07-22T00:00:00"/>
    <d v="2020-07-15T00:00:00"/>
  </r>
  <r>
    <x v="2"/>
    <x v="0"/>
    <x v="0"/>
    <x v="1"/>
    <s v="DC TST117418"/>
    <n v="0"/>
    <n v="0"/>
    <n v="0"/>
    <x v="26"/>
    <n v="109998"/>
    <x v="15"/>
    <x v="85"/>
    <x v="6"/>
    <x v="5"/>
    <n v="9071670"/>
    <x v="0"/>
    <x v="3"/>
    <x v="3"/>
    <d v="2020-07-22T00:00:00"/>
    <d v="2020-07-15T00:00:00"/>
  </r>
  <r>
    <x v="2"/>
    <x v="0"/>
    <x v="0"/>
    <x v="1"/>
    <s v="DC TST117417"/>
    <n v="3711.31"/>
    <n v="126667"/>
    <n v="13044.2"/>
    <x v="27"/>
    <n v="109924"/>
    <x v="16"/>
    <x v="85"/>
    <x v="2"/>
    <x v="0"/>
    <n v="26223660"/>
    <x v="0"/>
    <x v="3"/>
    <x v="3"/>
    <d v="2020-07-22T00:00:00"/>
    <d v="2020-07-15T00:00:00"/>
  </r>
  <r>
    <x v="2"/>
    <x v="0"/>
    <x v="0"/>
    <x v="1"/>
    <s v="DC TST117417"/>
    <n v="0"/>
    <n v="0"/>
    <n v="0"/>
    <x v="27"/>
    <n v="109962"/>
    <x v="16"/>
    <x v="85"/>
    <x v="2"/>
    <x v="0"/>
    <n v="25250160"/>
    <x v="0"/>
    <x v="3"/>
    <x v="3"/>
    <d v="2020-07-22T00:00:00"/>
    <d v="2020-07-15T00:00:00"/>
  </r>
  <r>
    <x v="2"/>
    <x v="0"/>
    <x v="0"/>
    <x v="2"/>
    <s v="DC TST117424"/>
    <n v="4337.7800000000007"/>
    <n v="180905"/>
    <n v="12409.2"/>
    <x v="28"/>
    <n v="109933"/>
    <x v="17"/>
    <x v="92"/>
    <x v="6"/>
    <x v="6"/>
    <n v="56696144"/>
    <x v="0"/>
    <x v="13"/>
    <x v="6"/>
    <d v="2020-08-12T00:00:00"/>
    <d v="2020-08-05T00:00:00"/>
  </r>
  <r>
    <x v="2"/>
    <x v="0"/>
    <x v="0"/>
    <x v="2"/>
    <s v="DC TST117424"/>
    <n v="0"/>
    <n v="0"/>
    <n v="0"/>
    <x v="28"/>
    <n v="109933"/>
    <x v="17"/>
    <x v="92"/>
    <x v="2"/>
    <x v="4"/>
    <n v="19946970"/>
    <x v="0"/>
    <x v="13"/>
    <x v="6"/>
    <d v="2020-08-12T00:00:00"/>
    <d v="2020-08-05T00:00:00"/>
  </r>
  <r>
    <x v="2"/>
    <x v="0"/>
    <x v="0"/>
    <x v="1"/>
    <s v="DC TST117426"/>
    <n v="4024.76"/>
    <n v="57078"/>
    <n v="12409.2"/>
    <x v="29"/>
    <n v="109957"/>
    <x v="18"/>
    <x v="85"/>
    <x v="2"/>
    <x v="1"/>
    <n v="62913240"/>
    <x v="0"/>
    <x v="13"/>
    <x v="6"/>
    <d v="2020-08-21T00:00:00"/>
    <d v="2020-08-14T00:00:00"/>
  </r>
  <r>
    <x v="2"/>
    <x v="0"/>
    <x v="0"/>
    <x v="1"/>
    <s v="DC TST117428"/>
    <n v="3487.73"/>
    <n v="57237"/>
    <n v="6514.6"/>
    <x v="30"/>
    <n v="109958"/>
    <x v="18"/>
    <x v="85"/>
    <x v="2"/>
    <x v="3"/>
    <n v="26887200"/>
    <x v="0"/>
    <x v="13"/>
    <x v="6"/>
    <d v="2020-08-28T00:00:00"/>
    <d v="2020-08-21T00:00:00"/>
  </r>
  <r>
    <x v="2"/>
    <x v="0"/>
    <x v="0"/>
    <x v="2"/>
    <s v="DC TST117429"/>
    <n v="2808.94"/>
    <n v="101877"/>
    <n v="6664.6"/>
    <x v="31"/>
    <n v="109981"/>
    <x v="19"/>
    <x v="93"/>
    <x v="1"/>
    <x v="5"/>
    <n v="15463138"/>
    <x v="0"/>
    <x v="13"/>
    <x v="6"/>
    <d v="2020-08-26T00:00:00"/>
    <d v="2020-08-21T00:00:00"/>
  </r>
  <r>
    <x v="2"/>
    <x v="0"/>
    <x v="0"/>
    <x v="2"/>
    <s v="DC TST117429"/>
    <n v="0"/>
    <n v="0"/>
    <n v="0"/>
    <x v="31"/>
    <n v="110029"/>
    <x v="19"/>
    <x v="93"/>
    <x v="1"/>
    <x v="5"/>
    <n v="15463137"/>
    <x v="0"/>
    <x v="13"/>
    <x v="6"/>
    <d v="2020-08-26T00:00:00"/>
    <d v="2020-08-21T00:00:00"/>
  </r>
  <r>
    <x v="2"/>
    <x v="2"/>
    <x v="1"/>
    <x v="2"/>
    <s v="DC TST117422"/>
    <n v="3651.81"/>
    <n v="138422"/>
    <n v="4481.24"/>
    <x v="32"/>
    <n v="109926"/>
    <x v="16"/>
    <x v="94"/>
    <x v="6"/>
    <x v="0"/>
    <n v="36524752"/>
    <x v="0"/>
    <x v="13"/>
    <x v="6"/>
    <d v="2020-08-28T00:00:00"/>
    <d v="2020-08-21T00:00:00"/>
  </r>
  <r>
    <x v="2"/>
    <x v="2"/>
    <x v="1"/>
    <x v="2"/>
    <s v="DC TST117422"/>
    <n v="0"/>
    <n v="0"/>
    <n v="0"/>
    <x v="32"/>
    <n v="109926"/>
    <x v="16"/>
    <x v="94"/>
    <x v="2"/>
    <x v="2"/>
    <n v="13546045"/>
    <x v="0"/>
    <x v="13"/>
    <x v="6"/>
    <d v="2020-08-28T00:00:00"/>
    <d v="2020-08-21T00:00:00"/>
  </r>
  <r>
    <x v="2"/>
    <x v="0"/>
    <x v="0"/>
    <x v="1"/>
    <s v="DC TST117436"/>
    <n v="4863.29"/>
    <n v="214748"/>
    <n v="12409.2"/>
    <x v="33"/>
    <n v="109954"/>
    <x v="16"/>
    <x v="85"/>
    <x v="6"/>
    <x v="4"/>
    <n v="37896690"/>
    <x v="0"/>
    <x v="14"/>
    <x v="7"/>
    <d v="2020-09-16T00:00:00"/>
    <d v="2020-09-09T00:00:00"/>
  </r>
  <r>
    <x v="2"/>
    <x v="0"/>
    <x v="0"/>
    <x v="1"/>
    <s v="DC TST117436"/>
    <n v="0"/>
    <m/>
    <n v="0"/>
    <x v="33"/>
    <n v="110000"/>
    <x v="16"/>
    <x v="85"/>
    <x v="6"/>
    <x v="2"/>
    <n v="24506220"/>
    <x v="0"/>
    <x v="14"/>
    <x v="7"/>
    <d v="2020-09-16T00:00:00"/>
    <d v="2020-09-09T00:00:00"/>
  </r>
  <r>
    <x v="2"/>
    <x v="0"/>
    <x v="0"/>
    <x v="1"/>
    <s v="DC TST117436"/>
    <n v="0"/>
    <m/>
    <n v="0"/>
    <x v="33"/>
    <n v="109999"/>
    <x v="16"/>
    <x v="85"/>
    <x v="6"/>
    <x v="4"/>
    <n v="36354210"/>
    <x v="0"/>
    <x v="14"/>
    <x v="7"/>
    <d v="2020-09-16T00:00:00"/>
    <d v="2020-09-09T00:00:00"/>
  </r>
  <r>
    <x v="2"/>
    <x v="3"/>
    <x v="0"/>
    <x v="2"/>
    <s v="CNY单"/>
    <s v="CNY单"/>
    <s v="CNY单"/>
    <n v="0"/>
    <x v="34"/>
    <s v="49J103603"/>
    <x v="20"/>
    <x v="95"/>
    <x v="1"/>
    <x v="5"/>
    <n v="1240000"/>
    <x v="0"/>
    <x v="0"/>
    <x v="7"/>
    <d v="2020-06-24T00:00:00"/>
    <d v="2020-06-24T00:00:00"/>
  </r>
  <r>
    <x v="2"/>
    <x v="0"/>
    <x v="0"/>
    <x v="2"/>
    <s v="DC TST117435"/>
    <n v="4768.7700000000004"/>
    <n v="141010"/>
    <n v="12133.6"/>
    <x v="35"/>
    <n v="109980"/>
    <x v="19"/>
    <x v="93"/>
    <x v="6"/>
    <x v="7"/>
    <n v="94369992"/>
    <x v="0"/>
    <x v="14"/>
    <x v="7"/>
    <d v="2020-09-23T00:00:00"/>
    <d v="2020-09-16T00:00:00"/>
  </r>
  <r>
    <x v="2"/>
    <x v="0"/>
    <x v="0"/>
    <x v="1"/>
    <s v="DC TST117440"/>
    <n v="2620.46"/>
    <n v="94500"/>
    <n v="6451.8"/>
    <x v="36"/>
    <n v="109976"/>
    <x v="21"/>
    <x v="85"/>
    <x v="2"/>
    <x v="3"/>
    <n v="26887200"/>
    <x v="0"/>
    <x v="14"/>
    <x v="7"/>
    <d v="2020-09-23T00:00:00"/>
    <d v="2020-09-16T00:00:00"/>
  </r>
  <r>
    <x v="2"/>
    <x v="0"/>
    <x v="0"/>
    <x v="1"/>
    <s v="DC TST117441"/>
    <n v="3428.49"/>
    <n v="78946"/>
    <n v="10425.9"/>
    <x v="37"/>
    <n v="109977"/>
    <x v="21"/>
    <x v="85"/>
    <x v="2"/>
    <x v="1"/>
    <n v="44582880"/>
    <x v="0"/>
    <x v="14"/>
    <x v="7"/>
    <d v="2020-09-25T00:00:00"/>
    <d v="2020-09-18T00:00:00"/>
  </r>
  <r>
    <x v="2"/>
    <x v="0"/>
    <x v="0"/>
    <x v="1"/>
    <s v="315012044977-M"/>
    <m/>
    <m/>
    <n v="11257.859999999999"/>
    <x v="38"/>
    <n v="109984"/>
    <x v="22"/>
    <x v="85"/>
    <x v="6"/>
    <x v="6"/>
    <n v="54343620"/>
    <x v="0"/>
    <x v="14"/>
    <x v="2"/>
    <d v="2020-10-09T00:00:00"/>
    <d v="2020-10-02T00:00:00"/>
  </r>
  <r>
    <x v="2"/>
    <x v="0"/>
    <x v="1"/>
    <x v="2"/>
    <s v="315012045235-M"/>
    <m/>
    <m/>
    <n v="4681.3"/>
    <x v="39"/>
    <n v="110058"/>
    <x v="23"/>
    <x v="96"/>
    <x v="1"/>
    <x v="5"/>
    <n v="16106070"/>
    <x v="0"/>
    <x v="14"/>
    <x v="2"/>
    <d v="2020-10-02T00:00:00"/>
    <d v="2020-09-25T00:00:00"/>
  </r>
  <r>
    <x v="2"/>
    <x v="0"/>
    <x v="0"/>
    <x v="2"/>
    <s v="315012044959-M"/>
    <m/>
    <m/>
    <n v="6805.9"/>
    <x v="40"/>
    <n v="109995"/>
    <x v="24"/>
    <x v="97"/>
    <x v="2"/>
    <x v="2"/>
    <n v="15676110"/>
    <x v="0"/>
    <x v="14"/>
    <x v="2"/>
    <d v="2020-10-22T00:00:00"/>
    <d v="2020-10-09T00:00:00"/>
  </r>
  <r>
    <x v="2"/>
    <x v="0"/>
    <x v="0"/>
    <x v="2"/>
    <s v="315012044959-M"/>
    <m/>
    <m/>
    <n v="0"/>
    <x v="40"/>
    <n v="110118"/>
    <x v="24"/>
    <x v="97"/>
    <x v="2"/>
    <x v="5"/>
    <n v="7832910"/>
    <x v="0"/>
    <x v="14"/>
    <x v="2"/>
    <d v="2020-10-22T00:00:00"/>
    <d v="2020-10-09T00:00:00"/>
  </r>
  <r>
    <x v="2"/>
    <x v="0"/>
    <x v="0"/>
    <x v="2"/>
    <s v="315012045397-M"/>
    <m/>
    <m/>
    <n v="10337.85"/>
    <x v="41"/>
    <n v="109996"/>
    <x v="24"/>
    <x v="97"/>
    <x v="6"/>
    <x v="0"/>
    <n v="35482976"/>
    <x v="0"/>
    <x v="14"/>
    <x v="2"/>
    <d v="2020-10-24T00:00:00"/>
    <d v="2020-10-16T00:00:00"/>
  </r>
  <r>
    <x v="2"/>
    <x v="0"/>
    <x v="0"/>
    <x v="2"/>
    <s v="315012045397-M"/>
    <m/>
    <m/>
    <n v="0"/>
    <x v="41"/>
    <n v="110071"/>
    <x v="24"/>
    <x v="97"/>
    <x v="6"/>
    <x v="2"/>
    <n v="17741488"/>
    <x v="0"/>
    <x v="14"/>
    <x v="2"/>
    <d v="2020-10-24T00:00:00"/>
    <d v="2020-10-16T00:00:00"/>
  </r>
  <r>
    <x v="2"/>
    <x v="0"/>
    <x v="0"/>
    <x v="2"/>
    <s v="315012045565-M"/>
    <m/>
    <m/>
    <n v="6505.9"/>
    <x v="42"/>
    <n v="110047"/>
    <x v="25"/>
    <x v="98"/>
    <x v="14"/>
    <x v="3"/>
    <n v="46988250"/>
    <x v="0"/>
    <x v="14"/>
    <x v="2"/>
    <d v="2020-10-22T00:00:00"/>
    <d v="2020-10-09T00:00:00"/>
  </r>
  <r>
    <x v="2"/>
    <x v="0"/>
    <x v="0"/>
    <x v="2"/>
    <s v="315012045574-M"/>
    <m/>
    <m/>
    <n v="6805.9"/>
    <x v="43"/>
    <n v="110048"/>
    <x v="25"/>
    <x v="98"/>
    <x v="14"/>
    <x v="3"/>
    <n v="53573430"/>
    <x v="0"/>
    <x v="14"/>
    <x v="2"/>
    <d v="2020-10-22T00:00:00"/>
    <d v="2020-10-14T00:00:00"/>
  </r>
  <r>
    <x v="2"/>
    <x v="0"/>
    <x v="1"/>
    <x v="2"/>
    <s v="TT in advance "/>
    <m/>
    <m/>
    <n v="3712.95"/>
    <x v="44"/>
    <n v="110046"/>
    <x v="26"/>
    <x v="99"/>
    <x v="14"/>
    <x v="5"/>
    <n v="11754756"/>
    <x v="0"/>
    <x v="14"/>
    <x v="2"/>
    <d v="2020-10-24T00:00:00"/>
    <d v="2020-10-16T00:00:00"/>
  </r>
  <r>
    <x v="2"/>
    <x v="0"/>
    <x v="0"/>
    <x v="1"/>
    <s v="315012045645-M"/>
    <m/>
    <m/>
    <n v="6505.9"/>
    <x v="45"/>
    <n v="109991"/>
    <x v="27"/>
    <x v="85"/>
    <x v="2"/>
    <x v="4"/>
    <n v="17119620"/>
    <x v="0"/>
    <x v="14"/>
    <x v="2"/>
    <d v="2020-10-24T00:00:00"/>
    <d v="2020-10-16T00:00:00"/>
  </r>
  <r>
    <x v="2"/>
    <x v="0"/>
    <x v="0"/>
    <x v="1"/>
    <s v="315012045645-M"/>
    <m/>
    <m/>
    <n v="0"/>
    <x v="45"/>
    <n v="110121"/>
    <x v="27"/>
    <x v="85"/>
    <x v="2"/>
    <x v="5"/>
    <n v="6364740"/>
    <x v="0"/>
    <x v="14"/>
    <x v="2"/>
    <d v="2020-10-24T00:00:00"/>
    <d v="2020-10-16T00:00:00"/>
  </r>
  <r>
    <x v="2"/>
    <x v="0"/>
    <x v="0"/>
    <x v="1"/>
    <s v="315012045645-M"/>
    <m/>
    <m/>
    <n v="0"/>
    <x v="45"/>
    <n v="110128"/>
    <x v="27"/>
    <x v="85"/>
    <x v="2"/>
    <x v="5"/>
    <n v="6364740"/>
    <x v="0"/>
    <x v="14"/>
    <x v="2"/>
    <d v="2020-10-24T00:00:00"/>
    <d v="2020-10-16T00:00:00"/>
  </r>
  <r>
    <x v="2"/>
    <x v="0"/>
    <x v="1"/>
    <x v="2"/>
    <s v="315012046038-M "/>
    <m/>
    <m/>
    <n v="3712.95"/>
    <x v="46"/>
    <n v="110033"/>
    <x v="28"/>
    <x v="100"/>
    <x v="13"/>
    <x v="5"/>
    <n v="13844626"/>
    <x v="0"/>
    <x v="14"/>
    <x v="2"/>
    <d v="2020-10-24T00:00:00"/>
    <d v="2020-10-16T00:00:00"/>
  </r>
  <r>
    <x v="2"/>
    <x v="1"/>
    <x v="1"/>
    <x v="2"/>
    <s v="315012045654-M"/>
    <m/>
    <m/>
    <n v="4751.95"/>
    <x v="47"/>
    <n v="110038"/>
    <x v="29"/>
    <x v="90"/>
    <x v="7"/>
    <x v="5"/>
    <n v="4530000"/>
    <x v="0"/>
    <x v="14"/>
    <x v="2"/>
    <d v="2020-10-19T00:00:00"/>
    <d v="2020-10-07T00:00:00"/>
  </r>
  <r>
    <x v="2"/>
    <x v="0"/>
    <x v="0"/>
    <x v="1"/>
    <s v="LM848698100"/>
    <m/>
    <m/>
    <n v="10487.85"/>
    <x v="48"/>
    <n v="109992"/>
    <x v="27"/>
    <x v="85"/>
    <x v="2"/>
    <x v="0"/>
    <n v="27231360"/>
    <x v="0"/>
    <x v="14"/>
    <x v="2"/>
    <d v="2020-11-02T00:00:00"/>
    <d v="2020-10-21T00:00:00"/>
  </r>
  <r>
    <x v="2"/>
    <x v="0"/>
    <x v="0"/>
    <x v="1"/>
    <s v="LM848698100"/>
    <m/>
    <m/>
    <n v="0"/>
    <x v="48"/>
    <n v="110072"/>
    <x v="27"/>
    <x v="85"/>
    <x v="2"/>
    <x v="4"/>
    <n v="21827520"/>
    <x v="0"/>
    <x v="14"/>
    <x v="2"/>
    <d v="2020-11-02T00:00:00"/>
    <d v="2020-10-21T00:00:00"/>
  </r>
  <r>
    <x v="2"/>
    <x v="0"/>
    <x v="1"/>
    <x v="2"/>
    <s v="DC TST117449"/>
    <n v="1523.78"/>
    <n v="56044"/>
    <n v="4601.95"/>
    <x v="49"/>
    <n v="110034"/>
    <x v="28"/>
    <x v="96"/>
    <x v="13"/>
    <x v="5"/>
    <n v="11605095"/>
    <x v="0"/>
    <x v="14"/>
    <x v="2"/>
    <d v="2020-11-02T00:00:00"/>
    <d v="2020-10-23T00:00:00"/>
  </r>
  <r>
    <x v="2"/>
    <x v="0"/>
    <x v="0"/>
    <x v="1"/>
    <s v="DC TST117452"/>
    <n v="1663.97"/>
    <n v="15376"/>
    <n v="4601.95"/>
    <x v="50"/>
    <n v="110055"/>
    <x v="23"/>
    <x v="85"/>
    <x v="2"/>
    <x v="5"/>
    <n v="5904120"/>
    <x v="0"/>
    <x v="13"/>
    <x v="8"/>
    <d v="2020-11-07T00:00:00"/>
    <d v="2020-10-28T00:00:00"/>
  </r>
  <r>
    <x v="2"/>
    <x v="0"/>
    <x v="0"/>
    <x v="2"/>
    <s v="LM849358100"/>
    <m/>
    <m/>
    <n v="6655.9"/>
    <x v="51"/>
    <n v="110049"/>
    <x v="30"/>
    <x v="101"/>
    <x v="14"/>
    <x v="2"/>
    <n v="23382240"/>
    <x v="0"/>
    <x v="13"/>
    <x v="8"/>
    <d v="2020-11-07T00:00:00"/>
    <d v="2020-10-28T00:00:00"/>
  </r>
  <r>
    <x v="2"/>
    <x v="0"/>
    <x v="0"/>
    <x v="2"/>
    <s v="LM849358100"/>
    <m/>
    <m/>
    <n v="0"/>
    <x v="51"/>
    <n v="110049"/>
    <x v="30"/>
    <x v="101"/>
    <x v="2"/>
    <x v="4"/>
    <n v="24437010"/>
    <x v="0"/>
    <x v="13"/>
    <x v="8"/>
    <d v="2020-11-07T00:00:00"/>
    <d v="2020-10-28T00:00:00"/>
  </r>
  <r>
    <x v="2"/>
    <x v="0"/>
    <x v="0"/>
    <x v="1"/>
    <s v="315012046699-M"/>
    <m/>
    <m/>
    <n v="6655.9"/>
    <x v="52"/>
    <n v="110025"/>
    <x v="31"/>
    <x v="85"/>
    <x v="2"/>
    <x v="4"/>
    <n v="20085120"/>
    <x v="0"/>
    <x v="13"/>
    <x v="8"/>
    <d v="2020-11-07T00:00:00"/>
    <d v="2020-10-28T00:00:00"/>
  </r>
  <r>
    <x v="2"/>
    <x v="0"/>
    <x v="0"/>
    <x v="1"/>
    <s v="315012046699-M"/>
    <m/>
    <m/>
    <n v="0"/>
    <x v="52"/>
    <n v="110117"/>
    <x v="31"/>
    <x v="85"/>
    <x v="2"/>
    <x v="2"/>
    <n v="13390080"/>
    <x v="0"/>
    <x v="13"/>
    <x v="8"/>
    <d v="2020-11-07T00:00:00"/>
    <d v="2020-10-28T00:00:00"/>
  </r>
  <r>
    <x v="2"/>
    <x v="1"/>
    <x v="0"/>
    <x v="1"/>
    <s v="315012046706-M"/>
    <m/>
    <m/>
    <n v="4601.95"/>
    <x v="53"/>
    <n v="110081"/>
    <x v="32"/>
    <x v="85"/>
    <x v="15"/>
    <x v="2"/>
    <n v="7745350"/>
    <x v="0"/>
    <x v="13"/>
    <x v="8"/>
    <d v="2020-11-13T00:00:00"/>
    <d v="2020-11-02T00:00:00"/>
  </r>
  <r>
    <x v="2"/>
    <x v="0"/>
    <x v="0"/>
    <x v="2"/>
    <s v="DC TST114754"/>
    <n v="3028.38"/>
    <n v="67752"/>
    <n v="6805.9"/>
    <x v="54"/>
    <n v="110050"/>
    <x v="30"/>
    <x v="101"/>
    <x v="2"/>
    <x v="2"/>
    <n v="24002792"/>
    <x v="0"/>
    <x v="13"/>
    <x v="8"/>
    <d v="2020-11-14T00:00:00"/>
    <d v="2020-11-04T00:00:00"/>
  </r>
  <r>
    <x v="2"/>
    <x v="0"/>
    <x v="0"/>
    <x v="2"/>
    <s v="DC TST114754"/>
    <n v="0"/>
    <n v="0"/>
    <n v="0"/>
    <x v="54"/>
    <n v="110179"/>
    <x v="30"/>
    <x v="101"/>
    <x v="2"/>
    <x v="5"/>
    <n v="11613120"/>
    <x v="0"/>
    <x v="13"/>
    <x v="8"/>
    <d v="2020-11-14T00:00:00"/>
    <d v="2020-11-04T00:00:00"/>
  </r>
  <r>
    <x v="2"/>
    <x v="0"/>
    <x v="0"/>
    <x v="1"/>
    <s v="LM849478100"/>
    <m/>
    <m/>
    <n v="7283.9"/>
    <x v="55"/>
    <n v="110043"/>
    <x v="26"/>
    <x v="85"/>
    <x v="2"/>
    <x v="4"/>
    <n v="16310520"/>
    <x v="0"/>
    <x v="13"/>
    <x v="8"/>
    <d v="2020-11-21T00:00:00"/>
    <d v="2020-11-11T00:00:00"/>
  </r>
  <r>
    <x v="2"/>
    <x v="0"/>
    <x v="0"/>
    <x v="1"/>
    <s v="LM849478100"/>
    <m/>
    <m/>
    <n v="0"/>
    <x v="55"/>
    <n v="110140"/>
    <x v="26"/>
    <x v="85"/>
    <x v="2"/>
    <x v="2"/>
    <n v="10873680"/>
    <x v="0"/>
    <x v="13"/>
    <x v="8"/>
    <d v="2020-11-21T00:00:00"/>
    <d v="2020-11-11T00:00:00"/>
  </r>
  <r>
    <x v="2"/>
    <x v="0"/>
    <x v="0"/>
    <x v="1"/>
    <s v="DC TST117460"/>
    <n v="2260.16"/>
    <n v="44433"/>
    <n v="4915.95"/>
    <x v="56"/>
    <n v="110137"/>
    <x v="33"/>
    <x v="85"/>
    <x v="14"/>
    <x v="2"/>
    <n v="18818340"/>
    <x v="0"/>
    <x v="13"/>
    <x v="8"/>
    <d v="2020-11-21T00:00:00"/>
    <d v="2020-11-11T00:00:00"/>
  </r>
  <r>
    <x v="2"/>
    <x v="0"/>
    <x v="0"/>
    <x v="2"/>
    <s v="LM849468100"/>
    <n v="1160.77"/>
    <m/>
    <n v="5065.95"/>
    <x v="57"/>
    <n v="110089"/>
    <x v="34"/>
    <x v="102"/>
    <x v="14"/>
    <x v="5"/>
    <n v="10159170"/>
    <x v="0"/>
    <x v="13"/>
    <x v="8"/>
    <d v="2020-11-22T00:00:00"/>
    <d v="2020-11-13T00:00:00"/>
  </r>
  <r>
    <x v="3"/>
    <x v="0"/>
    <x v="1"/>
    <x v="2"/>
    <m/>
    <m/>
    <m/>
    <n v="2000"/>
    <x v="58"/>
    <s v="49F103569"/>
    <x v="35"/>
    <x v="103"/>
    <x v="14"/>
    <x v="5"/>
    <n v="13860020"/>
    <x v="0"/>
    <x v="0"/>
    <x v="0"/>
    <d v="2020-06-10T00:00:00"/>
    <d v="2020-06-01T00:00:00"/>
  </r>
  <r>
    <x v="2"/>
    <x v="0"/>
    <x v="0"/>
    <x v="1"/>
    <s v="315012048045-M"/>
    <m/>
    <m/>
    <m/>
    <x v="59"/>
    <n v="110026"/>
    <x v="31"/>
    <x v="85"/>
    <x v="2"/>
    <x v="2"/>
    <n v="17151120"/>
    <x v="0"/>
    <x v="13"/>
    <x v="8"/>
    <d v="2020-11-26T00:00:00"/>
    <d v="2020-11-21T00:00:00"/>
  </r>
  <r>
    <x v="2"/>
    <x v="0"/>
    <x v="0"/>
    <x v="1"/>
    <s v="315012048045-M"/>
    <m/>
    <m/>
    <m/>
    <x v="59"/>
    <n v="110182"/>
    <x v="31"/>
    <x v="85"/>
    <x v="2"/>
    <x v="2"/>
    <n v="14813280"/>
    <x v="0"/>
    <x v="13"/>
    <x v="8"/>
    <d v="2020-11-26T00:00:00"/>
    <d v="2020-11-21T00:00:00"/>
  </r>
  <r>
    <x v="2"/>
    <x v="0"/>
    <x v="0"/>
    <x v="1"/>
    <s v="315012048045-M"/>
    <m/>
    <m/>
    <m/>
    <x v="59"/>
    <n v="110178"/>
    <x v="31"/>
    <x v="85"/>
    <x v="2"/>
    <x v="4"/>
    <n v="23921760"/>
    <x v="0"/>
    <x v="13"/>
    <x v="8"/>
    <d v="2020-11-26T00:00:00"/>
    <d v="2020-11-21T00:00:00"/>
  </r>
  <r>
    <x v="2"/>
    <x v="1"/>
    <x v="0"/>
    <x v="1"/>
    <s v="TT in advance "/>
    <m/>
    <m/>
    <n v="4601.95"/>
    <x v="60"/>
    <n v="110045"/>
    <x v="36"/>
    <x v="85"/>
    <x v="7"/>
    <x v="5"/>
    <n v="4530000"/>
    <x v="0"/>
    <x v="13"/>
    <x v="8"/>
    <d v="2020-11-07T00:00:00"/>
    <d v="2020-11-07T00:00:00"/>
  </r>
  <r>
    <x v="2"/>
    <x v="0"/>
    <x v="0"/>
    <x v="1"/>
    <s v="DC TST118916"/>
    <n v="2904.74"/>
    <n v="63335"/>
    <n v="19836"/>
    <x v="61"/>
    <n v="110044"/>
    <x v="26"/>
    <x v="85"/>
    <x v="2"/>
    <x v="0"/>
    <n v="21509760"/>
    <x v="0"/>
    <x v="13"/>
    <x v="8"/>
    <d v="2020-11-26T00:00:00"/>
    <d v="2020-11-18T00:00:00"/>
  </r>
  <r>
    <x v="2"/>
    <x v="0"/>
    <x v="0"/>
    <x v="1"/>
    <s v="DC TST118916"/>
    <n v="0"/>
    <n v="0"/>
    <n v="0"/>
    <x v="61"/>
    <n v="110207"/>
    <x v="26"/>
    <x v="85"/>
    <x v="2"/>
    <x v="2"/>
    <n v="10754880"/>
    <x v="0"/>
    <x v="13"/>
    <x v="8"/>
    <d v="2020-11-26T00:00:00"/>
    <d v="2020-11-18T00:00:00"/>
  </r>
  <r>
    <x v="2"/>
    <x v="3"/>
    <x v="0"/>
    <x v="2"/>
    <s v="CNY单"/>
    <s v="CNY单"/>
    <s v="CNY单"/>
    <n v="0"/>
    <x v="62"/>
    <s v="49F103708"/>
    <x v="37"/>
    <x v="104"/>
    <x v="1"/>
    <x v="2"/>
    <n v="2465000"/>
    <x v="0"/>
    <x v="13"/>
    <x v="8"/>
    <d v="2020-11-04T00:00:00"/>
    <d v="2020-11-04T00:00:00"/>
  </r>
  <r>
    <x v="2"/>
    <x v="0"/>
    <x v="0"/>
    <x v="2"/>
    <s v="315012049240-M"/>
    <m/>
    <m/>
    <n v="5065.95"/>
    <x v="63"/>
    <n v="110110"/>
    <x v="30"/>
    <x v="101"/>
    <x v="14"/>
    <x v="5"/>
    <n v="9409170"/>
    <x v="0"/>
    <x v="15"/>
    <x v="9"/>
    <d v="2020-12-15T00:00:00"/>
    <d v="2020-12-02T00:00:00"/>
  </r>
  <r>
    <x v="2"/>
    <x v="0"/>
    <x v="0"/>
    <x v="2"/>
    <s v="315012049240-M"/>
    <m/>
    <m/>
    <n v="0"/>
    <x v="63"/>
    <n v="110180"/>
    <x v="30"/>
    <x v="101"/>
    <x v="14"/>
    <x v="5"/>
    <n v="9409170"/>
    <x v="0"/>
    <x v="15"/>
    <x v="9"/>
    <d v="2020-12-15T00:00:00"/>
    <d v="2020-12-02T00:00:00"/>
  </r>
  <r>
    <x v="2"/>
    <x v="0"/>
    <x v="0"/>
    <x v="1"/>
    <s v="315012049231-M"/>
    <m/>
    <m/>
    <n v="12409.2"/>
    <x v="64"/>
    <n v="110068"/>
    <x v="33"/>
    <x v="85"/>
    <x v="14"/>
    <x v="2"/>
    <n v="20988840"/>
    <x v="0"/>
    <x v="15"/>
    <x v="9"/>
    <d v="2020-12-13T00:00:00"/>
    <d v="2020-12-04T00:00:00"/>
  </r>
  <r>
    <x v="2"/>
    <x v="0"/>
    <x v="0"/>
    <x v="1"/>
    <s v="LM850258100"/>
    <n v="1947.2"/>
    <m/>
    <n v="0"/>
    <x v="65"/>
    <n v="110069"/>
    <x v="33"/>
    <x v="85"/>
    <x v="14"/>
    <x v="3"/>
    <n v="47183650"/>
    <x v="0"/>
    <x v="15"/>
    <x v="9"/>
    <d v="2020-12-13T00:00:00"/>
    <d v="2020-12-02T00:00:00"/>
  </r>
  <r>
    <x v="2"/>
    <x v="0"/>
    <x v="0"/>
    <x v="2"/>
    <s v="315012049419-M"/>
    <m/>
    <m/>
    <n v="16089.8"/>
    <x v="66"/>
    <n v="110097"/>
    <x v="38"/>
    <x v="105"/>
    <x v="14"/>
    <x v="2"/>
    <n v="18760740"/>
    <x v="0"/>
    <x v="15"/>
    <x v="9"/>
    <d v="2020-12-21T00:00:00"/>
    <d v="2020-12-04T00:00:00"/>
  </r>
  <r>
    <x v="2"/>
    <x v="0"/>
    <x v="0"/>
    <x v="2"/>
    <s v="315012049419-M"/>
    <m/>
    <m/>
    <n v="0"/>
    <x v="66"/>
    <n v="110192"/>
    <x v="38"/>
    <x v="105"/>
    <x v="14"/>
    <x v="5"/>
    <n v="9409170"/>
    <x v="0"/>
    <x v="15"/>
    <x v="9"/>
    <d v="2020-12-21T00:00:00"/>
    <d v="2020-12-04T00:00:00"/>
  </r>
  <r>
    <x v="2"/>
    <x v="0"/>
    <x v="0"/>
    <x v="2"/>
    <s v="DC TST117472"/>
    <n v="2648.98"/>
    <n v="56863"/>
    <n v="7990"/>
    <x v="67"/>
    <n v="110181"/>
    <x v="38"/>
    <x v="105"/>
    <x v="14"/>
    <x v="5"/>
    <n v="13543545"/>
    <x v="0"/>
    <x v="15"/>
    <x v="9"/>
    <d v="2020-12-21T00:00:00"/>
    <d v="2020-12-09T00:00:00"/>
  </r>
  <r>
    <x v="2"/>
    <x v="0"/>
    <x v="0"/>
    <x v="2"/>
    <s v="DC TST117472"/>
    <n v="0"/>
    <n v="0"/>
    <n v="0"/>
    <x v="67"/>
    <n v="110214"/>
    <x v="38"/>
    <x v="105"/>
    <x v="14"/>
    <x v="5"/>
    <n v="13543545"/>
    <x v="0"/>
    <x v="15"/>
    <x v="9"/>
    <d v="2020-12-21T00:00:00"/>
    <d v="2020-12-09T00:00:00"/>
  </r>
  <r>
    <x v="2"/>
    <x v="0"/>
    <x v="0"/>
    <x v="2"/>
    <s v="DC TST117469"/>
    <m/>
    <m/>
    <n v="7990"/>
    <x v="68"/>
    <n v="110158"/>
    <x v="39"/>
    <x v="106"/>
    <x v="14"/>
    <x v="2"/>
    <n v="26093940"/>
    <x v="0"/>
    <x v="15"/>
    <x v="9"/>
    <d v="2020-12-21T00:00:00"/>
    <d v="2020-12-09T00:00:00"/>
  </r>
  <r>
    <x v="2"/>
    <x v="0"/>
    <x v="0"/>
    <x v="2"/>
    <s v="LM850248100"/>
    <n v="1454.74"/>
    <m/>
    <n v="7090"/>
    <x v="69"/>
    <n v="110159"/>
    <x v="39"/>
    <x v="106"/>
    <x v="14"/>
    <x v="2"/>
    <n v="25755540"/>
    <x v="0"/>
    <x v="15"/>
    <x v="9"/>
    <d v="2020-12-28T00:00:00"/>
    <d v="2020-12-16T00:00:00"/>
  </r>
  <r>
    <x v="2"/>
    <x v="0"/>
    <x v="0"/>
    <x v="1"/>
    <s v="315012050996-M"/>
    <n v="1929.48"/>
    <m/>
    <n v="900"/>
    <x v="70"/>
    <n v="110122"/>
    <x v="40"/>
    <x v="85"/>
    <x v="2"/>
    <x v="5"/>
    <n v="11664720"/>
    <x v="0"/>
    <x v="15"/>
    <x v="9"/>
    <d v="2020-12-28T00:00:00"/>
    <d v="2020-12-16T00:00:00"/>
  </r>
  <r>
    <x v="2"/>
    <x v="0"/>
    <x v="0"/>
    <x v="1"/>
    <s v="LM850818100"/>
    <n v="986.65"/>
    <m/>
    <n v="900"/>
    <x v="71"/>
    <n v="110161"/>
    <x v="26"/>
    <x v="85"/>
    <x v="2"/>
    <x v="5"/>
    <n v="5377440"/>
    <x v="0"/>
    <x v="15"/>
    <x v="9"/>
    <d v="2021-01-01T00:00:00"/>
    <d v="2020-12-24T00:00:00"/>
  </r>
  <r>
    <x v="2"/>
    <x v="0"/>
    <x v="0"/>
    <x v="2"/>
    <s v="LM850678100"/>
    <n v="1512.11"/>
    <m/>
    <n v="7090"/>
    <x v="72"/>
    <n v="110108"/>
    <x v="41"/>
    <x v="107"/>
    <x v="14"/>
    <x v="5"/>
    <n v="11921970"/>
    <x v="0"/>
    <x v="15"/>
    <x v="9"/>
    <d v="2021-01-01T00:00:00"/>
    <d v="2020-12-24T00:00:00"/>
  </r>
  <r>
    <x v="2"/>
    <x v="0"/>
    <x v="0"/>
    <x v="2"/>
    <s v="LM850678100"/>
    <n v="0"/>
    <m/>
    <n v="0"/>
    <x v="72"/>
    <n v="110108"/>
    <x v="41"/>
    <x v="107"/>
    <x v="2"/>
    <x v="2"/>
    <n v="15780480"/>
    <x v="0"/>
    <x v="15"/>
    <x v="9"/>
    <d v="2021-01-01T00:00:00"/>
    <d v="2020-12-24T00:00:00"/>
  </r>
  <r>
    <x v="2"/>
    <x v="0"/>
    <x v="0"/>
    <x v="1"/>
    <s v="DC TST117480"/>
    <n v="2393.8599999999997"/>
    <n v="83639"/>
    <n v="11343.2"/>
    <x v="73"/>
    <n v="110067"/>
    <x v="33"/>
    <x v="85"/>
    <x v="2"/>
    <x v="0"/>
    <n v="21509760"/>
    <x v="0"/>
    <x v="16"/>
    <x v="10"/>
    <d v="2021-01-11T00:00:00"/>
    <d v="2020-12-01T00:00:00"/>
  </r>
  <r>
    <x v="4"/>
    <x v="0"/>
    <x v="0"/>
    <x v="1"/>
    <s v="315012051236-M"/>
    <m/>
    <m/>
    <n v="17600.8"/>
    <x v="74"/>
    <n v="110285"/>
    <x v="33"/>
    <x v="85"/>
    <x v="2"/>
    <x v="1"/>
    <n v="45296880"/>
    <x v="0"/>
    <x v="16"/>
    <x v="10"/>
    <d v="2021-01-06T00:00:00"/>
    <d v="2020-12-25T00:00:00"/>
  </r>
  <r>
    <x v="4"/>
    <x v="0"/>
    <x v="0"/>
    <x v="2"/>
    <s v="LM852168100"/>
    <m/>
    <m/>
    <n v="3160.9"/>
    <x v="75"/>
    <n v="110168"/>
    <x v="42"/>
    <x v="108"/>
    <x v="1"/>
    <x v="5"/>
    <n v="16543521"/>
    <x v="0"/>
    <x v="16"/>
    <x v="10"/>
    <d v="2021-01-26T00:00:00"/>
    <d v="2021-01-13T00:00:00"/>
  </r>
  <r>
    <x v="4"/>
    <x v="0"/>
    <x v="0"/>
    <x v="2"/>
    <s v="DC TST117479"/>
    <n v="1705.31"/>
    <n v="66738"/>
    <n v="3160.9"/>
    <x v="76"/>
    <n v="110170"/>
    <x v="42"/>
    <x v="108"/>
    <x v="1"/>
    <x v="5"/>
    <n v="15324120"/>
    <x v="0"/>
    <x v="16"/>
    <x v="10"/>
    <d v="2021-01-26T00:00:00"/>
    <d v="2021-01-13T00:00:00"/>
  </r>
  <r>
    <x v="4"/>
    <x v="1"/>
    <x v="1"/>
    <x v="2"/>
    <s v="315012050736-M"/>
    <m/>
    <m/>
    <n v="7413.1"/>
    <x v="77"/>
    <n v="110195"/>
    <x v="43"/>
    <x v="109"/>
    <x v="15"/>
    <x v="5"/>
    <n v="8530611"/>
    <x v="0"/>
    <x v="16"/>
    <x v="10"/>
    <d v="2021-01-15T00:00:00"/>
    <d v="2020-12-30T00:00:00"/>
  </r>
  <r>
    <x v="4"/>
    <x v="0"/>
    <x v="0"/>
    <x v="2"/>
    <s v="315012050763-M"/>
    <m/>
    <m/>
    <n v="8627.1"/>
    <x v="78"/>
    <n v="110105"/>
    <x v="41"/>
    <x v="110"/>
    <x v="14"/>
    <x v="0"/>
    <n v="50240760"/>
    <x v="0"/>
    <x v="16"/>
    <x v="10"/>
    <d v="2021-01-16T00:00:00"/>
    <d v="2021-01-06T00:00:00"/>
  </r>
  <r>
    <x v="4"/>
    <x v="0"/>
    <x v="0"/>
    <x v="2"/>
    <s v="DC TST117482"/>
    <n v="5066.34"/>
    <n v="86745"/>
    <n v="5981.6"/>
    <x v="79"/>
    <n v="110106"/>
    <x v="41"/>
    <x v="110"/>
    <x v="14"/>
    <x v="2"/>
    <n v="25557540"/>
    <x v="0"/>
    <x v="16"/>
    <x v="10"/>
    <d v="2021-01-17T00:00:00"/>
    <d v="2021-01-08T00:00:00"/>
  </r>
  <r>
    <x v="4"/>
    <x v="0"/>
    <x v="0"/>
    <x v="2"/>
    <s v="DC TST117482"/>
    <n v="0"/>
    <n v="0"/>
    <n v="0"/>
    <x v="79"/>
    <n v="110208"/>
    <x v="41"/>
    <x v="110"/>
    <x v="14"/>
    <x v="5"/>
    <n v="12713970"/>
    <x v="0"/>
    <x v="16"/>
    <x v="10"/>
    <d v="2021-01-17T00:00:00"/>
    <d v="2021-01-08T00:00:00"/>
  </r>
  <r>
    <x v="4"/>
    <x v="0"/>
    <x v="0"/>
    <x v="2"/>
    <s v="DC TST117482"/>
    <n v="0"/>
    <n v="0"/>
    <n v="0"/>
    <x v="79"/>
    <n v="110215"/>
    <x v="41"/>
    <x v="110"/>
    <x v="14"/>
    <x v="5"/>
    <n v="12814770"/>
    <x v="0"/>
    <x v="16"/>
    <x v="10"/>
    <d v="2021-01-17T00:00:00"/>
    <d v="2021-01-08T00:00:00"/>
  </r>
  <r>
    <x v="4"/>
    <x v="0"/>
    <x v="0"/>
    <x v="2"/>
    <s v="315012050745-M"/>
    <m/>
    <m/>
    <n v="5981.6"/>
    <x v="80"/>
    <n v="110198"/>
    <x v="41"/>
    <x v="107"/>
    <x v="14"/>
    <x v="5"/>
    <n v="9409170"/>
    <x v="0"/>
    <x v="16"/>
    <x v="10"/>
    <d v="2021-01-17T00:00:00"/>
    <d v="2021-01-08T00:00:00"/>
  </r>
  <r>
    <x v="4"/>
    <x v="0"/>
    <x v="0"/>
    <x v="1"/>
    <s v="DC TST17485"/>
    <n v="3047.84"/>
    <n v="109857"/>
    <n v="8327.1"/>
    <x v="81"/>
    <n v="110199"/>
    <x v="40"/>
    <x v="85"/>
    <x v="2"/>
    <x v="3"/>
    <n v="35390400"/>
    <x v="0"/>
    <x v="16"/>
    <x v="10"/>
    <d v="2021-01-25T00:00:00"/>
    <d v="2021-01-13T00:00:00"/>
  </r>
  <r>
    <x v="4"/>
    <x v="0"/>
    <x v="0"/>
    <x v="1"/>
    <s v="DC TST555813"/>
    <n v="1832.4"/>
    <n v="49782"/>
    <n v="3927.3"/>
    <x v="82"/>
    <n v="110123"/>
    <x v="40"/>
    <x v="85"/>
    <x v="14"/>
    <x v="5"/>
    <n v="9409170"/>
    <x v="0"/>
    <x v="16"/>
    <x v="10"/>
    <d v="2021-01-25T00:00:00"/>
    <d v="2021-01-15T00:00:00"/>
  </r>
  <r>
    <x v="4"/>
    <x v="0"/>
    <x v="0"/>
    <x v="2"/>
    <s v="LM851388100"/>
    <m/>
    <m/>
    <n v="11343.2"/>
    <x v="83"/>
    <n v="110107"/>
    <x v="41"/>
    <x v="107"/>
    <x v="14"/>
    <x v="2"/>
    <n v="22930260"/>
    <x v="0"/>
    <x v="16"/>
    <x v="10"/>
    <d v="2021-01-31T00:00:00"/>
    <d v="2021-01-13T00:00:00"/>
  </r>
  <r>
    <x v="4"/>
    <x v="0"/>
    <x v="0"/>
    <x v="2"/>
    <s v="LM851388100"/>
    <m/>
    <m/>
    <n v="0"/>
    <x v="83"/>
    <n v="110209"/>
    <x v="41"/>
    <x v="107"/>
    <x v="14"/>
    <x v="2"/>
    <n v="22934820"/>
    <x v="0"/>
    <x v="16"/>
    <x v="10"/>
    <d v="2021-01-31T00:00:00"/>
    <d v="2021-01-13T00:00:00"/>
  </r>
  <r>
    <x v="4"/>
    <x v="0"/>
    <x v="0"/>
    <x v="2"/>
    <s v="315012051129-M"/>
    <m/>
    <m/>
    <n v="10986.2"/>
    <x v="84"/>
    <n v="110096"/>
    <x v="38"/>
    <x v="105"/>
    <x v="2"/>
    <x v="0"/>
    <n v="32078660"/>
    <x v="0"/>
    <x v="16"/>
    <x v="10"/>
    <d v="2021-01-25T00:00:00"/>
    <d v="2021-01-15T00:00:00"/>
  </r>
  <r>
    <x v="4"/>
    <x v="0"/>
    <x v="0"/>
    <x v="2"/>
    <s v="315012051129-M"/>
    <m/>
    <m/>
    <n v="0"/>
    <x v="84"/>
    <n v="110241"/>
    <x v="38"/>
    <x v="105"/>
    <x v="2"/>
    <x v="5"/>
    <n v="7703940"/>
    <x v="0"/>
    <x v="16"/>
    <x v="10"/>
    <d v="2021-01-25T00:00:00"/>
    <d v="2021-01-15T00:00:00"/>
  </r>
  <r>
    <x v="4"/>
    <x v="0"/>
    <x v="0"/>
    <x v="1"/>
    <s v="LM851598100"/>
    <m/>
    <m/>
    <n v="3927.3"/>
    <x v="85"/>
    <n v="110201"/>
    <x v="33"/>
    <x v="85"/>
    <x v="2"/>
    <x v="5"/>
    <n v="5377440"/>
    <x v="0"/>
    <x v="16"/>
    <x v="10"/>
    <d v="2021-01-25T00:00:00"/>
    <d v="2021-01-15T00:00:00"/>
  </r>
  <r>
    <x v="4"/>
    <x v="0"/>
    <x v="0"/>
    <x v="2"/>
    <s v="LM853008100"/>
    <m/>
    <m/>
    <n v="5701.8"/>
    <x v="86"/>
    <n v="110230"/>
    <x v="38"/>
    <x v="105"/>
    <x v="2"/>
    <x v="2"/>
    <n v="19428920"/>
    <x v="0"/>
    <x v="13"/>
    <x v="11"/>
    <d v="2021-02-07T00:00:00"/>
    <d v="2021-02-23T00:00:00"/>
  </r>
  <r>
    <x v="4"/>
    <x v="0"/>
    <x v="0"/>
    <x v="1"/>
    <s v="LM852038100"/>
    <m/>
    <m/>
    <n v="10941.58"/>
    <x v="87"/>
    <n v="110235"/>
    <x v="40"/>
    <x v="85"/>
    <x v="14"/>
    <x v="4"/>
    <n v="28227510"/>
    <x v="0"/>
    <x v="0"/>
    <x v="0"/>
    <d v="2021-02-07T00:00:00"/>
    <d v="2021-01-27T00:00:00"/>
  </r>
  <r>
    <x v="4"/>
    <x v="0"/>
    <x v="0"/>
    <x v="1"/>
    <s v="LM852038100"/>
    <m/>
    <m/>
    <n v="0"/>
    <x v="87"/>
    <n v="110242"/>
    <x v="40"/>
    <x v="85"/>
    <x v="14"/>
    <x v="5"/>
    <n v="9409170"/>
    <x v="0"/>
    <x v="0"/>
    <x v="0"/>
    <d v="2021-02-07T00:00:00"/>
    <d v="2021-01-27T00:00:00"/>
  </r>
  <r>
    <x v="4"/>
    <x v="0"/>
    <x v="0"/>
    <x v="1"/>
    <s v="DC TST117493"/>
    <n v="400"/>
    <n v="141639"/>
    <n v="10941.58"/>
    <x v="88"/>
    <n v="110133"/>
    <x v="40"/>
    <x v="85"/>
    <x v="14"/>
    <x v="3"/>
    <n v="50672850"/>
    <x v="0"/>
    <x v="13"/>
    <x v="11"/>
    <d v="2021-02-07T00:00:00"/>
    <d v="2021-01-30T00:00:00"/>
  </r>
  <r>
    <x v="4"/>
    <x v="0"/>
    <x v="0"/>
    <x v="1"/>
    <s v="315012051833-M"/>
    <m/>
    <m/>
    <n v="10941.58"/>
    <x v="89"/>
    <n v="110132"/>
    <x v="40"/>
    <x v="85"/>
    <x v="14"/>
    <x v="0"/>
    <n v="52912440"/>
    <x v="0"/>
    <x v="13"/>
    <x v="11"/>
    <d v="2021-02-07T00:00:00"/>
    <d v="2021-01-27T00:00:00"/>
  </r>
  <r>
    <x v="4"/>
    <x v="0"/>
    <x v="0"/>
    <x v="1"/>
    <s v="LM852048100"/>
    <m/>
    <m/>
    <n v="10941.58"/>
    <x v="90"/>
    <n v="110130"/>
    <x v="40"/>
    <x v="85"/>
    <x v="2"/>
    <x v="3"/>
    <n v="35325825"/>
    <x v="0"/>
    <x v="13"/>
    <x v="11"/>
    <d v="2021-02-07T00:00:00"/>
    <d v="2021-01-27T00:00:00"/>
  </r>
  <r>
    <x v="4"/>
    <x v="0"/>
    <x v="0"/>
    <x v="1"/>
    <s v="315012052805-M"/>
    <m/>
    <m/>
    <n v="11075.45"/>
    <x v="91"/>
    <n v="110131"/>
    <x v="40"/>
    <x v="85"/>
    <x v="2"/>
    <x v="3"/>
    <n v="30501825"/>
    <x v="0"/>
    <x v="0"/>
    <x v="0"/>
    <d v="2021-02-25T00:00:00"/>
    <d v="2021-02-05T00:00:00"/>
  </r>
  <r>
    <x v="4"/>
    <x v="0"/>
    <x v="0"/>
    <x v="1"/>
    <s v="DC TST117496"/>
    <n v="2895.61"/>
    <n v="104782"/>
    <n v="11343.2"/>
    <x v="92"/>
    <n v="110150"/>
    <x v="39"/>
    <x v="85"/>
    <x v="2"/>
    <x v="3"/>
    <n v="32219025"/>
    <x v="0"/>
    <x v="13"/>
    <x v="11"/>
    <d v="2021-02-28T00:00:00"/>
    <d v="2021-02-18T00:00:00"/>
  </r>
  <r>
    <x v="4"/>
    <x v="0"/>
    <x v="0"/>
    <x v="1"/>
    <s v="LM852858100"/>
    <m/>
    <m/>
    <n v="10986.2"/>
    <x v="93"/>
    <n v="110172"/>
    <x v="44"/>
    <x v="111"/>
    <x v="2"/>
    <x v="4"/>
    <n v="20480895"/>
    <x v="0"/>
    <x v="13"/>
    <x v="11"/>
    <d v="2021-03-01T00:00:00"/>
    <d v="2021-02-19T00:00:00"/>
  </r>
  <r>
    <x v="4"/>
    <x v="0"/>
    <x v="0"/>
    <x v="1"/>
    <s v="LM852858100"/>
    <m/>
    <m/>
    <n v="0"/>
    <x v="93"/>
    <n v="110275"/>
    <x v="44"/>
    <x v="111"/>
    <x v="2"/>
    <x v="2"/>
    <n v="14380530"/>
    <x v="0"/>
    <x v="13"/>
    <x v="11"/>
    <d v="2021-03-01T00:00:00"/>
    <d v="2021-02-19T00:00:00"/>
  </r>
  <r>
    <x v="4"/>
    <x v="0"/>
    <x v="0"/>
    <x v="1"/>
    <s v="LM852698100"/>
    <m/>
    <m/>
    <n v="10986.2"/>
    <x v="94"/>
    <n v="110173"/>
    <x v="44"/>
    <x v="111"/>
    <x v="2"/>
    <x v="3"/>
    <n v="34735425"/>
    <x v="0"/>
    <x v="13"/>
    <x v="11"/>
    <d v="2021-03-01T00:00:00"/>
    <d v="2021-02-19T00:00:00"/>
  </r>
  <r>
    <x v="4"/>
    <x v="0"/>
    <x v="0"/>
    <x v="2"/>
    <s v="DC TST117498"/>
    <n v="3999.24"/>
    <n v="155942"/>
    <n v="10986.2"/>
    <x v="95"/>
    <n v="110287"/>
    <x v="45"/>
    <x v="112"/>
    <x v="14"/>
    <x v="2"/>
    <n v="36239220"/>
    <x v="0"/>
    <x v="13"/>
    <x v="11"/>
    <d v="2021-03-01T00:00:00"/>
    <d v="2021-02-19T00:00:00"/>
  </r>
  <r>
    <x v="4"/>
    <x v="0"/>
    <x v="0"/>
    <x v="2"/>
    <s v="DC TST117498"/>
    <n v="0"/>
    <n v="0"/>
    <n v="0"/>
    <x v="95"/>
    <n v="110276"/>
    <x v="45"/>
    <x v="112"/>
    <x v="14"/>
    <x v="2"/>
    <n v="24043860"/>
    <x v="0"/>
    <x v="13"/>
    <x v="11"/>
    <d v="2021-03-01T00:00:00"/>
    <d v="2021-02-19T00:00:00"/>
  </r>
  <r>
    <x v="4"/>
    <x v="0"/>
    <x v="0"/>
    <x v="1"/>
    <s v="DC TST117497"/>
    <n v="3925.98"/>
    <n v="149934"/>
    <n v="11075.45"/>
    <x v="96"/>
    <n v="110174"/>
    <x v="44"/>
    <x v="111"/>
    <x v="14"/>
    <x v="3"/>
    <n v="56836050"/>
    <x v="0"/>
    <x v="0"/>
    <x v="0"/>
    <d v="2021-02-03T00:00:00"/>
    <d v="2021-01-27T00:00:00"/>
  </r>
  <r>
    <x v="4"/>
    <x v="0"/>
    <x v="0"/>
    <x v="1"/>
    <s v="LM852778100"/>
    <m/>
    <m/>
    <n v="11075.45"/>
    <x v="97"/>
    <n v="110175"/>
    <x v="44"/>
    <x v="111"/>
    <x v="14"/>
    <x v="3"/>
    <n v="56836050"/>
    <x v="0"/>
    <x v="0"/>
    <x v="0"/>
    <d v="2021-02-25T00:00:00"/>
    <d v="2021-02-10T00:00:00"/>
  </r>
  <r>
    <x v="4"/>
    <x v="0"/>
    <x v="0"/>
    <x v="2"/>
    <s v="315012052823-M"/>
    <m/>
    <m/>
    <n v="11075.45"/>
    <x v="98"/>
    <n v="110210"/>
    <x v="45"/>
    <x v="112"/>
    <x v="2"/>
    <x v="0"/>
    <n v="26203260"/>
    <x v="0"/>
    <x v="0"/>
    <x v="0"/>
    <d v="2021-02-20T00:00:00"/>
    <d v="2021-01-29T00:00:00"/>
  </r>
  <r>
    <x v="4"/>
    <x v="0"/>
    <x v="0"/>
    <x v="1"/>
    <s v="315012053412-M"/>
    <m/>
    <m/>
    <n v="8427.1"/>
    <x v="99"/>
    <n v="110176"/>
    <x v="44"/>
    <x v="111"/>
    <x v="14"/>
    <x v="3"/>
    <n v="56778450"/>
    <x v="0"/>
    <x v="0"/>
    <x v="0"/>
    <d v="2021-03-04T00:00:00"/>
    <d v="2021-02-28T00:00:00"/>
  </r>
  <r>
    <x v="4"/>
    <x v="0"/>
    <x v="0"/>
    <x v="1"/>
    <s v="DC TST117499"/>
    <n v="3148.41"/>
    <n v="45502"/>
    <n v="8605.0499999999993"/>
    <x v="100"/>
    <n v="110151"/>
    <x v="39"/>
    <x v="85"/>
    <x v="2"/>
    <x v="4"/>
    <n v="23453595"/>
    <x v="0"/>
    <x v="0"/>
    <x v="0"/>
    <d v="2021-03-04T00:00:00"/>
    <d v="2021-02-28T00:00:00"/>
  </r>
  <r>
    <x v="4"/>
    <x v="0"/>
    <x v="0"/>
    <x v="1"/>
    <s v="DC TST117499"/>
    <n v="0"/>
    <n v="0"/>
    <n v="0"/>
    <x v="100"/>
    <n v="110270"/>
    <x v="39"/>
    <x v="85"/>
    <x v="2"/>
    <x v="2"/>
    <n v="14799930"/>
    <x v="0"/>
    <x v="0"/>
    <x v="0"/>
    <d v="2021-03-04T00:00:00"/>
    <d v="2021-02-28T00:00:00"/>
  </r>
  <r>
    <x v="4"/>
    <x v="0"/>
    <x v="0"/>
    <x v="2"/>
    <s v="315012053831-M"/>
    <m/>
    <m/>
    <n v="8605.0499999999993"/>
    <x v="101"/>
    <n v="110237"/>
    <x v="46"/>
    <x v="113"/>
    <x v="2"/>
    <x v="3"/>
    <n v="35422125"/>
    <x v="0"/>
    <x v="0"/>
    <x v="0"/>
    <d v="2021-03-04T00:00:00"/>
    <d v="2021-02-28T00:00:00"/>
  </r>
  <r>
    <x v="4"/>
    <x v="0"/>
    <x v="1"/>
    <x v="1"/>
    <s v="LM852638100"/>
    <n v="1100"/>
    <m/>
    <n v="3110.9"/>
    <x v="102"/>
    <n v="110251"/>
    <x v="47"/>
    <x v="85"/>
    <x v="2"/>
    <x v="5"/>
    <n v="5750520"/>
    <x v="0"/>
    <x v="0"/>
    <x v="0"/>
    <d v="2021-03-04T00:00:00"/>
    <d v="2021-02-28T00:00:00"/>
  </r>
  <r>
    <x v="4"/>
    <x v="0"/>
    <x v="0"/>
    <x v="1"/>
    <s v="LM853548100"/>
    <m/>
    <m/>
    <n v="3110.9"/>
    <x v="103"/>
    <n v="110328"/>
    <x v="39"/>
    <x v="85"/>
    <x v="14"/>
    <x v="5"/>
    <n v="9670170"/>
    <x v="0"/>
    <x v="0"/>
    <x v="0"/>
    <d v="2021-03-04T00:00:00"/>
    <d v="2021-02-28T00:00:00"/>
  </r>
  <r>
    <x v="4"/>
    <x v="0"/>
    <x v="0"/>
    <x v="1"/>
    <s v="DC TST119392"/>
    <n v="1664.65"/>
    <n v="40692"/>
    <n v="6397"/>
    <x v="104"/>
    <n v="110297"/>
    <x v="48"/>
    <x v="85"/>
    <x v="2"/>
    <x v="5"/>
    <n v="5901915"/>
    <x v="0"/>
    <x v="0"/>
    <x v="0"/>
    <d v="2021-03-13T00:00:00"/>
    <d v="2021-03-03T00:00:00"/>
  </r>
  <r>
    <x v="4"/>
    <x v="0"/>
    <x v="0"/>
    <x v="1"/>
    <s v="LM853618100"/>
    <m/>
    <m/>
    <n v="10230"/>
    <x v="105"/>
    <n v="110152"/>
    <x v="39"/>
    <x v="85"/>
    <x v="14"/>
    <x v="0"/>
    <n v="40168380"/>
    <x v="0"/>
    <x v="0"/>
    <x v="0"/>
    <d v="2021-03-26T00:00:00"/>
    <d v="2021-03-17T00:00:00"/>
  </r>
  <r>
    <x v="4"/>
    <x v="0"/>
    <x v="0"/>
    <x v="1"/>
    <s v="315012056598-M"/>
    <m/>
    <m/>
    <n v="19560"/>
    <x v="106"/>
    <n v="110238"/>
    <x v="46"/>
    <x v="85"/>
    <x v="2"/>
    <x v="8"/>
    <n v="57272250"/>
    <x v="0"/>
    <x v="0"/>
    <x v="0"/>
    <d v="2021-03-26T00:00:00"/>
    <d v="2021-03-17T00:00:00"/>
  </r>
  <r>
    <x v="4"/>
    <x v="0"/>
    <x v="0"/>
    <x v="1"/>
    <s v="DC TST117503"/>
    <n v="4268.55"/>
    <n v="116476"/>
    <n v="17600.8"/>
    <x v="107"/>
    <n v="110212"/>
    <x v="45"/>
    <x v="85"/>
    <x v="14"/>
    <x v="6"/>
    <n v="74394720"/>
    <x v="0"/>
    <x v="0"/>
    <x v="0"/>
    <d v="2021-03-29T00:00:00"/>
    <d v="2021-03-19T00:00:00"/>
  </r>
  <r>
    <x v="4"/>
    <x v="0"/>
    <x v="0"/>
    <x v="1"/>
    <s v="315012055991-M"/>
    <m/>
    <m/>
    <n v="17065.3"/>
    <x v="108"/>
    <n v="110153"/>
    <x v="39"/>
    <x v="85"/>
    <x v="14"/>
    <x v="3"/>
    <n v="70242450"/>
    <x v="0"/>
    <x v="0"/>
    <x v="0"/>
    <d v="2021-03-29T00:00:00"/>
    <d v="2021-03-17T00:00:00"/>
  </r>
  <r>
    <x v="4"/>
    <x v="0"/>
    <x v="0"/>
    <x v="1"/>
    <s v="LM854958100"/>
    <m/>
    <m/>
    <n v="10230"/>
    <x v="109"/>
    <n v="110347"/>
    <x v="45"/>
    <x v="85"/>
    <x v="2"/>
    <x v="5"/>
    <n v="6061965"/>
    <x v="0"/>
    <x v="0"/>
    <x v="0"/>
    <d v="2021-04-01T00:00:00"/>
    <d v="2021-03-24T00:00:00"/>
  </r>
  <r>
    <x v="4"/>
    <x v="0"/>
    <x v="0"/>
    <x v="1"/>
    <s v="LM854958100"/>
    <m/>
    <m/>
    <n v="0"/>
    <x v="109"/>
    <n v="110339"/>
    <x v="45"/>
    <x v="85"/>
    <x v="2"/>
    <x v="2"/>
    <n v="10789530"/>
    <x v="0"/>
    <x v="0"/>
    <x v="0"/>
    <d v="2021-04-01T00:00:00"/>
    <d v="2021-03-24T00:00:00"/>
  </r>
  <r>
    <x v="4"/>
    <x v="0"/>
    <x v="0"/>
    <x v="1"/>
    <s v="LM854958100"/>
    <m/>
    <m/>
    <n v="0"/>
    <x v="109"/>
    <n v="110337"/>
    <x v="45"/>
    <x v="85"/>
    <x v="2"/>
    <x v="2"/>
    <n v="10789530"/>
    <x v="0"/>
    <x v="0"/>
    <x v="0"/>
    <d v="2021-04-01T00:00:00"/>
    <d v="2021-03-24T00:00:00"/>
  </r>
  <r>
    <x v="4"/>
    <x v="0"/>
    <x v="0"/>
    <x v="1"/>
    <s v="LM854698100"/>
    <m/>
    <m/>
    <n v="15727"/>
    <x v="110"/>
    <n v="110348"/>
    <x v="46"/>
    <x v="85"/>
    <x v="2"/>
    <x v="0"/>
    <n v="42315060"/>
    <x v="0"/>
    <x v="0"/>
    <x v="0"/>
    <d v="2021-04-01T00:00:00"/>
    <d v="2021-03-24T00:00:00"/>
  </r>
  <r>
    <x v="4"/>
    <x v="0"/>
    <x v="0"/>
    <x v="1"/>
    <s v="LM854698100"/>
    <m/>
    <m/>
    <n v="10230"/>
    <x v="110"/>
    <n v="110364"/>
    <x v="49"/>
    <x v="85"/>
    <x v="2"/>
    <x v="5"/>
    <n v="5394765"/>
    <x v="0"/>
    <x v="0"/>
    <x v="0"/>
    <d v="2021-04-01T00:00:00"/>
    <d v="2021-03-24T00:00:00"/>
  </r>
  <r>
    <x v="4"/>
    <x v="0"/>
    <x v="0"/>
    <x v="2"/>
    <s v="315012056160-N"/>
    <m/>
    <m/>
    <n v="7475.9"/>
    <x v="111"/>
    <n v="110274"/>
    <x v="50"/>
    <x v="96"/>
    <x v="1"/>
    <x v="5"/>
    <n v="32093271"/>
    <x v="0"/>
    <x v="0"/>
    <x v="0"/>
    <d v="2021-04-14T00:00:00"/>
    <d v="2021-04-07T00:00:00"/>
  </r>
  <r>
    <x v="4"/>
    <x v="0"/>
    <x v="1"/>
    <x v="2"/>
    <s v="315012057114-M"/>
    <m/>
    <m/>
    <n v="14272"/>
    <x v="112"/>
    <n v="110333"/>
    <x v="51"/>
    <x v="114"/>
    <x v="1"/>
    <x v="0"/>
    <n v="74396580"/>
    <x v="0"/>
    <x v="0"/>
    <x v="0"/>
    <d v="2021-04-23T00:00:00"/>
    <d v="2021-04-14T00:00:00"/>
  </r>
  <r>
    <x v="4"/>
    <x v="0"/>
    <x v="0"/>
    <x v="1"/>
    <s v="DC TST117509"/>
    <n v="5825.74"/>
    <m/>
    <n v="21425.1"/>
    <x v="113"/>
    <n v="110245"/>
    <x v="49"/>
    <x v="85"/>
    <x v="14"/>
    <x v="6"/>
    <n v="68122620"/>
    <x v="0"/>
    <x v="0"/>
    <x v="0"/>
    <d v="2021-04-23T00:00:00"/>
    <d v="2021-04-14T00:00:00"/>
  </r>
  <r>
    <x v="4"/>
    <x v="0"/>
    <x v="0"/>
    <x v="1"/>
    <s v="DC TST117509"/>
    <n v="0"/>
    <n v="0"/>
    <n v="0"/>
    <x v="113"/>
    <n v="110361"/>
    <x v="49"/>
    <x v="85"/>
    <x v="14"/>
    <x v="0"/>
    <n v="37658280"/>
    <x v="0"/>
    <x v="0"/>
    <x v="0"/>
    <d v="2021-04-23T00:00:00"/>
    <d v="2021-04-14T00:00:00"/>
  </r>
  <r>
    <x v="4"/>
    <x v="0"/>
    <x v="0"/>
    <x v="2"/>
    <s v="LM855038100"/>
    <m/>
    <m/>
    <n v="17789.2"/>
    <x v="114"/>
    <n v="110272"/>
    <x v="52"/>
    <x v="115"/>
    <x v="14"/>
    <x v="0"/>
    <n v="49163880"/>
    <x v="0"/>
    <x v="0"/>
    <x v="0"/>
    <d v="2021-04-19T00:00:00"/>
    <d v="2021-04-09T00:00:00"/>
  </r>
  <r>
    <x v="4"/>
    <x v="0"/>
    <x v="0"/>
    <x v="2"/>
    <s v="LM855038100"/>
    <m/>
    <m/>
    <n v="0"/>
    <x v="114"/>
    <n v="110407"/>
    <x v="52"/>
    <x v="115"/>
    <x v="14"/>
    <x v="5"/>
    <n v="9428970"/>
    <x v="0"/>
    <x v="0"/>
    <x v="0"/>
    <d v="2021-04-19T00:00:00"/>
    <d v="2021-04-09T00:00:00"/>
  </r>
  <r>
    <x v="4"/>
    <x v="0"/>
    <x v="0"/>
    <x v="2"/>
    <s v="LM855038100"/>
    <m/>
    <m/>
    <n v="0"/>
    <x v="114"/>
    <n v="110428"/>
    <x v="52"/>
    <x v="115"/>
    <x v="14"/>
    <x v="5"/>
    <n v="9428970"/>
    <x v="0"/>
    <x v="0"/>
    <x v="0"/>
    <d v="2021-04-19T00:00:00"/>
    <d v="2021-04-09T00:00:00"/>
  </r>
  <r>
    <x v="4"/>
    <x v="0"/>
    <x v="0"/>
    <x v="2"/>
    <s v="315012056954-M"/>
    <m/>
    <m/>
    <n v="5345.75"/>
    <x v="115"/>
    <n v="110271"/>
    <x v="52"/>
    <x v="115"/>
    <x v="2"/>
    <x v="0"/>
    <n v="28182810"/>
    <x v="0"/>
    <x v="0"/>
    <x v="0"/>
    <d v="2021-04-30T00:00:00"/>
    <d v="2021-04-22T00:00:00"/>
  </r>
  <r>
    <x v="4"/>
    <x v="1"/>
    <x v="1"/>
    <x v="1"/>
    <s v="315012056972-M"/>
    <m/>
    <m/>
    <n v="3958.7"/>
    <x v="116"/>
    <n v="110327"/>
    <x v="53"/>
    <x v="85"/>
    <x v="15"/>
    <x v="5"/>
    <n v="8659420"/>
    <x v="0"/>
    <x v="0"/>
    <x v="0"/>
    <d v="2021-04-23T00:00:00"/>
    <d v="2021-04-17T00:00:00"/>
  </r>
  <r>
    <x v="4"/>
    <x v="1"/>
    <x v="1"/>
    <x v="2"/>
    <s v="315012056963-M"/>
    <m/>
    <m/>
    <m/>
    <x v="117"/>
    <n v="110301"/>
    <x v="54"/>
    <x v="88"/>
    <x v="15"/>
    <x v="5"/>
    <n v="9963120"/>
    <x v="0"/>
    <x v="0"/>
    <x v="0"/>
    <d v="2021-04-30T00:00:00"/>
    <d v="2021-04-22T00:00:00"/>
  </r>
  <r>
    <x v="4"/>
    <x v="0"/>
    <x v="0"/>
    <x v="1"/>
    <s v="LM855058100"/>
    <m/>
    <m/>
    <n v="10858"/>
    <x v="118"/>
    <n v="110346"/>
    <x v="45"/>
    <x v="85"/>
    <x v="14"/>
    <x v="2"/>
    <n v="18857940"/>
    <x v="0"/>
    <x v="0"/>
    <x v="0"/>
    <d v="2021-05-02T00:00:00"/>
    <d v="2021-04-21T00:00:00"/>
  </r>
  <r>
    <x v="4"/>
    <x v="0"/>
    <x v="0"/>
    <x v="1"/>
    <s v="LM855058100"/>
    <m/>
    <m/>
    <n v="0"/>
    <x v="118"/>
    <n v="110409"/>
    <x v="45"/>
    <x v="85"/>
    <x v="14"/>
    <x v="5"/>
    <n v="9428970"/>
    <x v="0"/>
    <x v="0"/>
    <x v="0"/>
    <d v="2021-05-02T00:00:00"/>
    <d v="2021-04-21T00:00:00"/>
  </r>
  <r>
    <x v="4"/>
    <x v="0"/>
    <x v="0"/>
    <x v="1"/>
    <s v="LM855058100"/>
    <m/>
    <m/>
    <n v="0"/>
    <x v="118"/>
    <n v="110340"/>
    <x v="45"/>
    <x v="85"/>
    <x v="14"/>
    <x v="5"/>
    <n v="9428970"/>
    <x v="0"/>
    <x v="0"/>
    <x v="0"/>
    <d v="2021-05-02T00:00:00"/>
    <d v="2021-04-21T00:00:00"/>
  </r>
  <r>
    <x v="4"/>
    <x v="0"/>
    <x v="0"/>
    <x v="1"/>
    <s v="315012057837-M"/>
    <m/>
    <m/>
    <n v="11468.8"/>
    <x v="119"/>
    <n v="110403"/>
    <x v="49"/>
    <x v="85"/>
    <x v="2"/>
    <x v="4"/>
    <n v="16184295"/>
    <x v="0"/>
    <x v="0"/>
    <x v="0"/>
    <d v="2021-05-06T00:00:00"/>
    <d v="2021-04-30T00:00:00"/>
  </r>
  <r>
    <x v="4"/>
    <x v="1"/>
    <x v="1"/>
    <x v="2"/>
    <s v="315012058319-M"/>
    <m/>
    <m/>
    <n v="7118.9"/>
    <x v="120"/>
    <n v="110331"/>
    <x v="51"/>
    <x v="109"/>
    <x v="15"/>
    <x v="2"/>
    <n v="16176540"/>
    <x v="0"/>
    <x v="0"/>
    <x v="0"/>
    <d v="2021-05-22T00:00:00"/>
    <d v="2021-05-12T00:00:00"/>
  </r>
  <r>
    <x v="4"/>
    <x v="0"/>
    <x v="0"/>
    <x v="1"/>
    <s v="DC TST117512"/>
    <m/>
    <m/>
    <n v="21514.35"/>
    <x v="121"/>
    <n v="110416"/>
    <x v="49"/>
    <x v="85"/>
    <x v="14"/>
    <x v="10"/>
    <n v="108327930"/>
    <x v="0"/>
    <x v="0"/>
    <x v="0"/>
    <d v="2021-05-06T00:00:00"/>
    <d v="2021-04-28T00:00:00"/>
  </r>
  <r>
    <x v="4"/>
    <x v="0"/>
    <x v="0"/>
    <x v="1"/>
    <s v="315012058122-M"/>
    <m/>
    <m/>
    <n v="17521.45"/>
    <x v="122"/>
    <n v="110244"/>
    <x v="49"/>
    <x v="85"/>
    <x v="2"/>
    <x v="3"/>
    <n v="41748825"/>
    <x v="0"/>
    <x v="0"/>
    <x v="0"/>
    <d v="2021-05-06T00:00:00"/>
    <d v="2021-04-28T00:00:00"/>
  </r>
  <r>
    <x v="4"/>
    <x v="0"/>
    <x v="0"/>
    <x v="1"/>
    <s v="LM855798100 "/>
    <m/>
    <m/>
    <n v="17454"/>
    <x v="123"/>
    <n v="110211"/>
    <x v="45"/>
    <x v="85"/>
    <x v="2"/>
    <x v="3"/>
    <n v="42166305"/>
    <x v="0"/>
    <x v="0"/>
    <x v="0"/>
    <d v="2021-05-02T00:00:00"/>
    <d v="2021-04-28T00:00:00"/>
  </r>
  <r>
    <x v="4"/>
    <x v="0"/>
    <x v="0"/>
    <x v="2"/>
    <s v="DC TST117513"/>
    <m/>
    <m/>
    <n v="11468.8"/>
    <x v="124"/>
    <n v="110227"/>
    <x v="55"/>
    <x v="116"/>
    <x v="2"/>
    <x v="5"/>
    <n v="18386433"/>
    <x v="0"/>
    <x v="0"/>
    <x v="0"/>
    <d v="2021-05-02T00:00:00"/>
    <d v="2021-04-26T00:00:00"/>
  </r>
  <r>
    <x v="4"/>
    <x v="0"/>
    <x v="0"/>
    <x v="2"/>
    <s v="DC TST117513"/>
    <m/>
    <m/>
    <n v="0"/>
    <x v="124"/>
    <n v="110362"/>
    <x v="55"/>
    <x v="116"/>
    <x v="2"/>
    <x v="2"/>
    <n v="13412145"/>
    <x v="0"/>
    <x v="0"/>
    <x v="0"/>
    <d v="2021-05-02T00:00:00"/>
    <d v="2021-04-26T00:00:00"/>
  </r>
  <r>
    <x v="4"/>
    <x v="0"/>
    <x v="0"/>
    <x v="1"/>
    <s v="315012058426-M"/>
    <m/>
    <m/>
    <n v="28102.5"/>
    <x v="125"/>
    <n v="110248"/>
    <x v="49"/>
    <x v="85"/>
    <x v="2"/>
    <x v="10"/>
    <n v="72991425"/>
    <x v="0"/>
    <x v="0"/>
    <x v="0"/>
    <d v="2021-05-15T00:00:00"/>
    <d v="2021-04-26T00:00:00"/>
  </r>
  <r>
    <x v="4"/>
    <x v="0"/>
    <x v="0"/>
    <x v="1"/>
    <s v="315012058426-M"/>
    <m/>
    <m/>
    <n v="0"/>
    <x v="125"/>
    <n v="110408"/>
    <x v="49"/>
    <x v="85"/>
    <x v="2"/>
    <x v="2"/>
    <n v="13439130"/>
    <x v="0"/>
    <x v="0"/>
    <x v="0"/>
    <d v="2021-05-15T00:00:00"/>
    <d v="2021-04-26T00:00:00"/>
  </r>
  <r>
    <x v="4"/>
    <x v="0"/>
    <x v="0"/>
    <x v="1"/>
    <s v="315012058426-M"/>
    <m/>
    <m/>
    <n v="0"/>
    <x v="125"/>
    <n v="110465"/>
    <x v="49"/>
    <x v="85"/>
    <x v="2"/>
    <x v="5"/>
    <n v="5394765"/>
    <x v="0"/>
    <x v="0"/>
    <x v="0"/>
    <d v="2021-05-15T00:00:00"/>
    <d v="2021-04-26T00:00:00"/>
  </r>
  <r>
    <x v="4"/>
    <x v="0"/>
    <x v="0"/>
    <x v="2"/>
    <s v="DC TST117515"/>
    <m/>
    <m/>
    <n v="21782.1"/>
    <x v="126"/>
    <n v="110236"/>
    <x v="46"/>
    <x v="113"/>
    <x v="14"/>
    <x v="1"/>
    <n v="85130790"/>
    <x v="0"/>
    <x v="0"/>
    <x v="0"/>
    <d v="2021-05-22T00:00:00"/>
    <d v="2021-05-14T00:00:00"/>
  </r>
  <r>
    <x v="4"/>
    <x v="0"/>
    <x v="0"/>
    <x v="2"/>
    <s v="DC TST117515"/>
    <m/>
    <m/>
    <n v="0"/>
    <x v="126"/>
    <n v="110363"/>
    <x v="46"/>
    <x v="113"/>
    <x v="14"/>
    <x v="2"/>
    <n v="19397940"/>
    <x v="0"/>
    <x v="0"/>
    <x v="0"/>
    <d v="2021-05-22T00:00:00"/>
    <d v="2021-05-14T00:00:00"/>
  </r>
  <r>
    <x v="4"/>
    <x v="0"/>
    <x v="0"/>
    <x v="2"/>
    <s v="DC TST117515"/>
    <m/>
    <m/>
    <n v="0"/>
    <x v="126"/>
    <n v="110475"/>
    <x v="46"/>
    <x v="113"/>
    <x v="14"/>
    <x v="5"/>
    <n v="9698970"/>
    <x v="0"/>
    <x v="0"/>
    <x v="0"/>
    <d v="2021-05-22T00:00:00"/>
    <d v="2021-05-14T00:00:00"/>
  </r>
  <r>
    <x v="4"/>
    <x v="0"/>
    <x v="0"/>
    <x v="2"/>
    <s v="315012058756-M"/>
    <m/>
    <m/>
    <n v="32095.4"/>
    <x v="127"/>
    <n v="110228"/>
    <x v="55"/>
    <x v="116"/>
    <x v="14"/>
    <x v="8"/>
    <n v="94929840"/>
    <x v="0"/>
    <x v="0"/>
    <x v="0"/>
    <d v="2021-05-06T00:00:00"/>
    <d v="2021-04-28T00:00:00"/>
  </r>
  <r>
    <x v="4"/>
    <x v="0"/>
    <x v="0"/>
    <x v="2"/>
    <s v="315012058756-M"/>
    <m/>
    <m/>
    <n v="0"/>
    <x v="127"/>
    <n v="110338"/>
    <x v="55"/>
    <x v="116"/>
    <x v="14"/>
    <x v="3"/>
    <n v="46572200"/>
    <x v="0"/>
    <x v="0"/>
    <x v="0"/>
    <d v="2021-05-06T00:00:00"/>
    <d v="2021-04-28T00:00:00"/>
  </r>
  <r>
    <x v="4"/>
    <x v="0"/>
    <x v="0"/>
    <x v="1"/>
    <s v="LM856288100"/>
    <m/>
    <m/>
    <n v="11111.8"/>
    <x v="128"/>
    <n v="110246"/>
    <x v="49"/>
    <x v="85"/>
    <x v="2"/>
    <x v="0"/>
    <n v="49419000"/>
    <x v="0"/>
    <x v="0"/>
    <x v="0"/>
    <d v="2021-05-22T00:00:00"/>
    <d v="2021-05-12T00:00:00"/>
  </r>
  <r>
    <x v="4"/>
    <x v="0"/>
    <x v="0"/>
    <x v="1"/>
    <s v="LM856298100"/>
    <m/>
    <m/>
    <n v="11111.8"/>
    <x v="129"/>
    <n v="110437"/>
    <x v="49"/>
    <x v="85"/>
    <x v="14"/>
    <x v="5"/>
    <n v="9428970"/>
    <x v="0"/>
    <x v="0"/>
    <x v="0"/>
    <d v="2021-05-22T00:00:00"/>
    <d v="2021-05-14T00:00:00"/>
  </r>
  <r>
    <x v="4"/>
    <x v="0"/>
    <x v="0"/>
    <x v="1"/>
    <s v="LM856298100"/>
    <m/>
    <m/>
    <n v="0"/>
    <x v="129"/>
    <n v="110410"/>
    <x v="49"/>
    <x v="85"/>
    <x v="14"/>
    <x v="5"/>
    <n v="9428970"/>
    <x v="0"/>
    <x v="0"/>
    <x v="0"/>
    <d v="2021-05-22T00:00:00"/>
    <d v="2021-05-14T00:00:00"/>
  </r>
  <r>
    <x v="4"/>
    <x v="0"/>
    <x v="0"/>
    <x v="1"/>
    <s v="LM856298100"/>
    <m/>
    <m/>
    <n v="0"/>
    <x v="129"/>
    <n v="110365"/>
    <x v="49"/>
    <x v="85"/>
    <x v="14"/>
    <x v="2"/>
    <n v="32969940"/>
    <x v="0"/>
    <x v="0"/>
    <x v="0"/>
    <d v="2021-05-22T00:00:00"/>
    <d v="2021-05-14T00:00:00"/>
  </r>
  <r>
    <x v="4"/>
    <x v="0"/>
    <x v="0"/>
    <x v="2"/>
    <s v="TT in advance "/>
    <m/>
    <m/>
    <n v="226373.75"/>
    <x v="130"/>
    <n v="110397"/>
    <x v="56"/>
    <x v="117"/>
    <x v="13"/>
    <x v="4"/>
    <n v="38723254"/>
    <x v="0"/>
    <x v="0"/>
    <x v="0"/>
    <d v="2021-05-24T00:00:00"/>
    <d v="2021-05-20T00:00:00"/>
  </r>
  <r>
    <x v="4"/>
    <x v="0"/>
    <x v="0"/>
    <x v="1"/>
    <s v="LM856648100"/>
    <m/>
    <m/>
    <n v="11201.05"/>
    <x v="131"/>
    <n v="110450"/>
    <x v="57"/>
    <x v="85"/>
    <x v="2"/>
    <x v="4"/>
    <n v="17293118"/>
    <x v="0"/>
    <x v="0"/>
    <x v="0"/>
    <d v="2021-05-30T00:00:00"/>
    <d v="2021-04-19T00:00:00"/>
  </r>
  <r>
    <x v="4"/>
    <x v="0"/>
    <x v="0"/>
    <x v="1"/>
    <s v="LM856648100"/>
    <m/>
    <m/>
    <n v="0"/>
    <x v="131"/>
    <n v="110430"/>
    <x v="57"/>
    <x v="85"/>
    <x v="2"/>
    <x v="2"/>
    <n v="11528745"/>
    <x v="0"/>
    <x v="0"/>
    <x v="0"/>
    <d v="2021-05-30T00:00:00"/>
    <d v="2021-05-14T00:00:00"/>
  </r>
  <r>
    <x v="4"/>
    <x v="0"/>
    <x v="0"/>
    <x v="2"/>
    <s v="DC TST117516"/>
    <m/>
    <m/>
    <n v="17789.2"/>
    <x v="132"/>
    <n v="110384"/>
    <x v="58"/>
    <x v="118"/>
    <x v="14"/>
    <x v="1"/>
    <n v="79640390"/>
    <x v="0"/>
    <x v="0"/>
    <x v="0"/>
    <d v="2021-05-30T00:00:00"/>
    <d v="2021-05-19T00:00:00"/>
  </r>
  <r>
    <x v="4"/>
    <x v="0"/>
    <x v="0"/>
    <x v="1"/>
    <s v="646010001534-M"/>
    <m/>
    <m/>
    <n v="11201.05"/>
    <x v="133"/>
    <n v="110449"/>
    <x v="49"/>
    <x v="85"/>
    <x v="2"/>
    <x v="0"/>
    <n v="22736010"/>
    <x v="0"/>
    <x v="0"/>
    <x v="0"/>
    <d v="2021-05-30T00:00:00"/>
    <d v="2021-05-21T00:00:00"/>
  </r>
  <r>
    <x v="4"/>
    <x v="0"/>
    <x v="1"/>
    <x v="2"/>
    <s v="DC TST119481"/>
    <m/>
    <m/>
    <n v="7208.15"/>
    <x v="134"/>
    <n v="110352"/>
    <x v="54"/>
    <x v="89"/>
    <x v="11"/>
    <x v="5"/>
    <n v="14251820"/>
    <x v="0"/>
    <x v="0"/>
    <x v="0"/>
    <d v="2021-06-06T00:00:00"/>
    <d v="2021-05-14T00:00:00"/>
  </r>
  <r>
    <x v="4"/>
    <x v="0"/>
    <x v="0"/>
    <x v="2"/>
    <s v="DC TST119482"/>
    <m/>
    <m/>
    <n v="11201.05"/>
    <x v="135"/>
    <n v="110380"/>
    <x v="59"/>
    <x v="119"/>
    <x v="14"/>
    <x v="2"/>
    <n v="26441736"/>
    <x v="0"/>
    <x v="0"/>
    <x v="0"/>
    <d v="2021-06-06T00:00:00"/>
    <d v="2021-05-26T00:00:00"/>
  </r>
  <r>
    <x v="4"/>
    <x v="0"/>
    <x v="0"/>
    <x v="1"/>
    <s v="DC TST584325"/>
    <m/>
    <m/>
    <n v="3958.7"/>
    <x v="136"/>
    <n v="110481"/>
    <x v="49"/>
    <x v="85"/>
    <x v="2"/>
    <x v="5"/>
    <n v="6719565"/>
    <x v="0"/>
    <x v="0"/>
    <x v="0"/>
    <d v="2021-06-19T00:00:00"/>
    <d v="2021-06-11T00:00:00"/>
  </r>
  <r>
    <x v="4"/>
    <x v="0"/>
    <x v="0"/>
    <x v="1"/>
    <s v="LM857288100"/>
    <m/>
    <m/>
    <n v="3958.7"/>
    <x v="137"/>
    <n v="110479"/>
    <x v="49"/>
    <x v="85"/>
    <x v="14"/>
    <x v="5"/>
    <n v="16752270"/>
    <x v="0"/>
    <x v="0"/>
    <x v="0"/>
    <d v="2021-06-19T00:00:00"/>
    <d v="2021-06-09T00:00:00"/>
  </r>
  <r>
    <x v="4"/>
    <x v="0"/>
    <x v="0"/>
    <x v="1"/>
    <s v="TST117519 "/>
    <m/>
    <m/>
    <n v="11111.8"/>
    <x v="138"/>
    <n v="110452"/>
    <x v="49"/>
    <x v="85"/>
    <x v="14"/>
    <x v="0"/>
    <n v="70853880"/>
    <x v="0"/>
    <x v="0"/>
    <x v="0"/>
    <d v="2021-06-19T00:00:00"/>
    <d v="2021-06-09T00:00:00"/>
  </r>
  <r>
    <x v="4"/>
    <x v="0"/>
    <x v="0"/>
    <x v="2"/>
    <s v="646010004719-M"/>
    <m/>
    <m/>
    <n v="21782.1"/>
    <x v="139"/>
    <n v="110402"/>
    <x v="56"/>
    <x v="117"/>
    <x v="13"/>
    <x v="4"/>
    <n v="49750598"/>
    <x v="0"/>
    <x v="0"/>
    <x v="0"/>
    <d v="2021-06-28T00:00:00"/>
    <d v="2021-06-22T00:00:00"/>
  </r>
  <r>
    <x v="4"/>
    <x v="0"/>
    <x v="0"/>
    <x v="2"/>
    <s v="646010004719-M"/>
    <m/>
    <m/>
    <n v="0"/>
    <x v="139"/>
    <n v="110402"/>
    <x v="56"/>
    <x v="117"/>
    <x v="1"/>
    <x v="0"/>
    <n v="66334131"/>
    <x v="0"/>
    <x v="0"/>
    <x v="0"/>
    <d v="2021-06-28T00:00:00"/>
    <d v="2021-06-22T00:00:00"/>
  </r>
  <r>
    <x v="4"/>
    <x v="0"/>
    <x v="0"/>
    <x v="2"/>
    <s v="646010005629-M"/>
    <m/>
    <m/>
    <n v="9393"/>
    <x v="140"/>
    <n v="110441"/>
    <x v="58"/>
    <x v="118"/>
    <x v="14"/>
    <x v="1"/>
    <n v="73169990"/>
    <x v="0"/>
    <x v="0"/>
    <x v="0"/>
    <d v="2021-07-20T00:00:00"/>
    <d v="2021-07-01T00:00:00"/>
  </r>
  <r>
    <x v="4"/>
    <x v="0"/>
    <x v="0"/>
    <x v="1"/>
    <s v="TT in advance "/>
    <m/>
    <m/>
    <n v="9393"/>
    <x v="141"/>
    <n v="110247"/>
    <x v="49"/>
    <x v="85"/>
    <x v="14"/>
    <x v="5"/>
    <n v="9428970"/>
    <x v="0"/>
    <x v="0"/>
    <x v="0"/>
    <d v="2021-07-20T00:00:00"/>
    <d v="2021-07-01T00:00:00"/>
  </r>
  <r>
    <x v="4"/>
    <x v="0"/>
    <x v="0"/>
    <x v="2"/>
    <s v="DC TST117522"/>
    <m/>
    <m/>
    <n v="22284.5"/>
    <x v="142"/>
    <n v="110413"/>
    <x v="56"/>
    <x v="117"/>
    <x v="13"/>
    <x v="6"/>
    <n v="84200598"/>
    <x v="0"/>
    <x v="0"/>
    <x v="0"/>
    <d v="2021-07-22T00:00:00"/>
    <d v="2021-07-09T00:00:00"/>
  </r>
  <r>
    <x v="4"/>
    <x v="0"/>
    <x v="0"/>
    <x v="1"/>
    <s v="TT in advance "/>
    <m/>
    <m/>
    <n v="7601.5"/>
    <x v="143"/>
    <n v="110431"/>
    <x v="49"/>
    <x v="85"/>
    <x v="14"/>
    <x v="5"/>
    <n v="9428970"/>
    <x v="0"/>
    <x v="0"/>
    <x v="0"/>
    <d v="2021-07-23T00:00:00"/>
    <d v="2021-07-09T00:00:00"/>
  </r>
  <r>
    <x v="4"/>
    <x v="0"/>
    <x v="0"/>
    <x v="2"/>
    <s v="LM858398100"/>
    <m/>
    <m/>
    <n v="11720"/>
    <x v="144"/>
    <n v="110406"/>
    <x v="58"/>
    <x v="118"/>
    <x v="2"/>
    <x v="5"/>
    <n v="5542498"/>
    <x v="0"/>
    <x v="0"/>
    <x v="0"/>
    <d v="2021-07-23T00:00:00"/>
    <d v="2021-07-13T00:00:00"/>
  </r>
  <r>
    <x v="4"/>
    <x v="0"/>
    <x v="0"/>
    <x v="2"/>
    <s v="LM858398100"/>
    <m/>
    <m/>
    <n v="0"/>
    <x v="144"/>
    <n v="110383"/>
    <x v="58"/>
    <x v="118"/>
    <x v="2"/>
    <x v="0"/>
    <n v="40129370"/>
    <x v="0"/>
    <x v="0"/>
    <x v="0"/>
    <d v="2021-07-23T00:00:00"/>
    <d v="2021-07-13T00:00:00"/>
  </r>
  <r>
    <x v="4"/>
    <x v="0"/>
    <x v="0"/>
    <x v="2"/>
    <s v="LM858678100 "/>
    <m/>
    <m/>
    <n v="6989.2"/>
    <x v="145"/>
    <n v="110500"/>
    <x v="58"/>
    <x v="118"/>
    <x v="14"/>
    <x v="2"/>
    <n v="18897940"/>
    <x v="0"/>
    <x v="0"/>
    <x v="0"/>
    <d v="2021-08-26T00:00:00"/>
    <d v="2021-08-04T00:00:00"/>
  </r>
  <r>
    <x v="4"/>
    <x v="0"/>
    <x v="0"/>
    <x v="2"/>
    <s v="315012061948-M"/>
    <m/>
    <m/>
    <n v="10507"/>
    <x v="146"/>
    <n v="110314"/>
    <x v="57"/>
    <x v="120"/>
    <x v="14"/>
    <x v="3"/>
    <n v="59890530"/>
    <x v="0"/>
    <x v="0"/>
    <x v="0"/>
    <d v="2021-08-13T00:00:00"/>
    <d v="2021-08-04T00:00:00"/>
  </r>
  <r>
    <x v="4"/>
    <x v="0"/>
    <x v="0"/>
    <x v="1"/>
    <s v="DC TST117526"/>
    <m/>
    <m/>
    <n v="7930"/>
    <x v="147"/>
    <n v="110557"/>
    <x v="49"/>
    <x v="85"/>
    <x v="14"/>
    <x v="2"/>
    <n v="19217940"/>
    <x v="0"/>
    <x v="0"/>
    <x v="0"/>
    <d v="2021-09-06T00:00:00"/>
    <d v="2021-08-25T00:00:00"/>
  </r>
  <r>
    <x v="4"/>
    <x v="0"/>
    <x v="0"/>
    <x v="1"/>
    <s v="LM859348100"/>
    <m/>
    <m/>
    <n v="10664"/>
    <x v="148"/>
    <n v="110558"/>
    <x v="49"/>
    <x v="85"/>
    <x v="14"/>
    <x v="4"/>
    <n v="28286910"/>
    <x v="0"/>
    <x v="0"/>
    <x v="0"/>
    <d v="2021-09-09T00:00:00"/>
    <d v="2021-08-25T00:00:00"/>
  </r>
  <r>
    <x v="4"/>
    <x v="0"/>
    <x v="0"/>
    <x v="1"/>
    <s v="315012062493-M"/>
    <m/>
    <m/>
    <n v="900"/>
    <x v="149"/>
    <n v="110562"/>
    <x v="49"/>
    <x v="85"/>
    <x v="14"/>
    <x v="2"/>
    <n v="18800340"/>
    <x v="0"/>
    <x v="0"/>
    <x v="0"/>
    <d v="2021-09-09T00:00:00"/>
    <d v="2021-08-25T00:00:00"/>
  </r>
  <r>
    <x v="4"/>
    <x v="4"/>
    <x v="0"/>
    <x v="2"/>
    <s v="315012063312-M"/>
    <m/>
    <m/>
    <n v="7459"/>
    <x v="150"/>
    <n v="110593"/>
    <x v="60"/>
    <x v="121"/>
    <x v="2"/>
    <x v="5"/>
    <n v="8154845"/>
    <x v="0"/>
    <x v="0"/>
    <x v="0"/>
    <d v="2021-09-19T00:00:00"/>
    <d v="2021-09-10T00:00:00"/>
  </r>
  <r>
    <x v="4"/>
    <x v="4"/>
    <x v="0"/>
    <x v="2"/>
    <s v="DC TST117539"/>
    <m/>
    <m/>
    <n v="6366.25"/>
    <x v="151"/>
    <n v="110556"/>
    <x v="61"/>
    <x v="122"/>
    <x v="14"/>
    <x v="2"/>
    <n v="20506148"/>
    <x v="0"/>
    <x v="0"/>
    <x v="0"/>
    <d v="2021-10-17T00:00:00"/>
    <d v="2021-09-22T00:00:00"/>
  </r>
  <r>
    <x v="4"/>
    <x v="4"/>
    <x v="1"/>
    <x v="2"/>
    <s v="315012063820-M"/>
    <m/>
    <m/>
    <n v="6366.25"/>
    <x v="152"/>
    <n v="110576"/>
    <x v="62"/>
    <x v="122"/>
    <x v="14"/>
    <x v="2"/>
    <n v="30043900"/>
    <x v="0"/>
    <x v="0"/>
    <x v="0"/>
    <d v="2021-10-17T00:00:00"/>
    <d v="2021-09-29T00:00:00"/>
  </r>
  <r>
    <x v="4"/>
    <x v="4"/>
    <x v="0"/>
    <x v="2"/>
    <s v="LM860608100"/>
    <m/>
    <m/>
    <n v="7994"/>
    <x v="153"/>
    <n v="110579"/>
    <x v="63"/>
    <x v="123"/>
    <x v="14"/>
    <x v="5"/>
    <n v="27945314"/>
    <x v="0"/>
    <x v="0"/>
    <x v="0"/>
    <d v="2021-10-17T00:00:00"/>
    <d v="2021-09-29T00:00:00"/>
  </r>
  <r>
    <x v="4"/>
    <x v="4"/>
    <x v="0"/>
    <x v="2"/>
    <s v="DC TST117542"/>
    <m/>
    <m/>
    <n v="6366.25"/>
    <x v="154"/>
    <n v="110580"/>
    <x v="63"/>
    <x v="124"/>
    <x v="14"/>
    <x v="2"/>
    <n v="21274468"/>
    <x v="0"/>
    <x v="0"/>
    <x v="0"/>
    <d v="2021-10-17T00:00:00"/>
    <d v="2021-09-29T00:00:00"/>
  </r>
  <r>
    <x v="4"/>
    <x v="4"/>
    <x v="0"/>
    <x v="2"/>
    <s v="315012063973-M"/>
    <m/>
    <m/>
    <n v="6366.25"/>
    <x v="155"/>
    <n v="110578"/>
    <x v="63"/>
    <x v="125"/>
    <x v="14"/>
    <x v="2"/>
    <n v="33326148"/>
    <x v="0"/>
    <x v="0"/>
    <x v="0"/>
    <d v="2021-10-17T00:00:00"/>
    <d v="2021-10-01T00:00:00"/>
  </r>
  <r>
    <x v="4"/>
    <x v="4"/>
    <x v="0"/>
    <x v="2"/>
    <s v="LM860948100"/>
    <m/>
    <m/>
    <n v="7994"/>
    <x v="156"/>
    <n v="110598"/>
    <x v="60"/>
    <x v="121"/>
    <x v="2"/>
    <x v="5"/>
    <n v="7191845"/>
    <x v="0"/>
    <x v="0"/>
    <x v="0"/>
    <d v="2021-10-17T00:00:00"/>
    <d v="2021-10-13T00:00:00"/>
  </r>
  <r>
    <x v="4"/>
    <x v="4"/>
    <x v="0"/>
    <x v="2"/>
    <s v="DC TST117549"/>
    <m/>
    <m/>
    <n v="7994"/>
    <x v="157"/>
    <n v="110582"/>
    <x v="63"/>
    <x v="126"/>
    <x v="2"/>
    <x v="2"/>
    <n v="25492690"/>
    <x v="0"/>
    <x v="0"/>
    <x v="0"/>
    <d v="2021-10-25T00:00:00"/>
    <d v="2021-10-13T00:00:00"/>
  </r>
  <r>
    <x v="4"/>
    <x v="4"/>
    <x v="0"/>
    <x v="2"/>
    <s v="315012064669-M"/>
    <m/>
    <m/>
    <n v="12112.5"/>
    <x v="158"/>
    <n v="110581"/>
    <x v="63"/>
    <x v="127"/>
    <x v="13"/>
    <x v="2"/>
    <n v="17289917.5"/>
    <x v="0"/>
    <x v="0"/>
    <x v="0"/>
    <d v="2021-11-04T00:00:00"/>
    <d v="2021-10-26T00:00:00"/>
  </r>
  <r>
    <x v="4"/>
    <x v="4"/>
    <x v="0"/>
    <x v="2"/>
    <s v="315012064669-M"/>
    <m/>
    <m/>
    <n v="0"/>
    <x v="158"/>
    <n v="110581"/>
    <x v="63"/>
    <x v="127"/>
    <x v="2"/>
    <x v="5"/>
    <n v="11364222.5"/>
    <x v="0"/>
    <x v="0"/>
    <x v="0"/>
    <d v="2021-11-04T00:00:00"/>
    <d v="2021-10-26T00:00:00"/>
  </r>
  <r>
    <x v="4"/>
    <x v="4"/>
    <x v="0"/>
    <x v="2"/>
    <s v="315012064669-M"/>
    <m/>
    <m/>
    <n v="0"/>
    <x v="158"/>
    <n v="110652"/>
    <x v="63"/>
    <x v="127"/>
    <x v="2"/>
    <x v="5"/>
    <n v="5925695"/>
    <x v="0"/>
    <x v="0"/>
    <x v="0"/>
    <d v="2021-11-04T00:00:00"/>
    <d v="2021-10-26T00:00:00"/>
  </r>
  <r>
    <x v="4"/>
    <x v="4"/>
    <x v="0"/>
    <x v="2"/>
    <s v="LM861178100"/>
    <m/>
    <m/>
    <n v="7930"/>
    <x v="159"/>
    <n v="110594"/>
    <x v="60"/>
    <x v="121"/>
    <x v="14"/>
    <x v="2"/>
    <n v="21536418"/>
    <x v="0"/>
    <x v="0"/>
    <x v="0"/>
    <d v="2021-11-04T00:00:00"/>
    <d v="2021-10-26T00:00:00"/>
  </r>
  <r>
    <x v="4"/>
    <x v="4"/>
    <x v="0"/>
    <x v="2"/>
    <s v="DC TST11754"/>
    <m/>
    <m/>
    <n v="11844.75"/>
    <x v="160"/>
    <n v="110635"/>
    <x v="64"/>
    <x v="128"/>
    <x v="14"/>
    <x v="4"/>
    <n v="44682252"/>
    <x v="0"/>
    <x v="0"/>
    <x v="0"/>
    <d v="2021-11-27T00:00:00"/>
    <d v="2021-11-10T00:00:00"/>
  </r>
  <r>
    <x v="4"/>
    <x v="4"/>
    <x v="0"/>
    <x v="2"/>
    <s v="DC TST11754"/>
    <m/>
    <m/>
    <n v="0"/>
    <x v="160"/>
    <n v="110656"/>
    <x v="64"/>
    <x v="128"/>
    <x v="14"/>
    <x v="5"/>
    <n v="10284434"/>
    <x v="0"/>
    <x v="0"/>
    <x v="0"/>
    <d v="2021-11-27T00:00:00"/>
    <d v="2021-11-10T00:00:00"/>
  </r>
  <r>
    <x v="4"/>
    <x v="4"/>
    <x v="0"/>
    <x v="2"/>
    <s v="DC TST117556"/>
    <m/>
    <m/>
    <n v="11844.75"/>
    <x v="161"/>
    <n v="110634"/>
    <x v="64"/>
    <x v="128"/>
    <x v="2"/>
    <x v="2"/>
    <n v="32707750"/>
    <x v="0"/>
    <x v="0"/>
    <x v="0"/>
    <d v="2021-11-27T00:00:00"/>
    <d v="2021-11-10T00:00:00"/>
  </r>
  <r>
    <x v="4"/>
    <x v="4"/>
    <x v="0"/>
    <x v="2"/>
    <s v="DC TST117556"/>
    <m/>
    <m/>
    <n v="0"/>
    <x v="161"/>
    <n v="110662"/>
    <x v="64"/>
    <x v="128"/>
    <x v="2"/>
    <x v="2"/>
    <n v="14383690"/>
    <x v="0"/>
    <x v="0"/>
    <x v="0"/>
    <d v="2021-11-27T00:00:00"/>
    <d v="2021-11-10T00:00:00"/>
  </r>
  <r>
    <x v="4"/>
    <x v="4"/>
    <x v="0"/>
    <x v="2"/>
    <s v="DC TST117555"/>
    <m/>
    <m/>
    <n v="720"/>
    <x v="162"/>
    <n v="110620"/>
    <x v="65"/>
    <x v="128"/>
    <x v="14"/>
    <x v="2"/>
    <n v="24802468"/>
    <x v="0"/>
    <x v="0"/>
    <x v="0"/>
    <d v="2021-11-23T00:00:00"/>
    <d v="2021-11-12T00:00:00"/>
  </r>
  <r>
    <x v="4"/>
    <x v="4"/>
    <x v="0"/>
    <x v="2"/>
    <s v="315012065409-M"/>
    <m/>
    <m/>
    <n v="18751"/>
    <x v="163"/>
    <n v="110617"/>
    <x v="65"/>
    <x v="129"/>
    <x v="14"/>
    <x v="2"/>
    <n v="38626338"/>
    <x v="0"/>
    <x v="0"/>
    <x v="0"/>
    <d v="2021-11-23T00:00:00"/>
    <d v="2021-11-12T00:00:00"/>
  </r>
  <r>
    <x v="4"/>
    <x v="4"/>
    <x v="0"/>
    <x v="2"/>
    <s v="315012065310-M"/>
    <m/>
    <m/>
    <n v="720"/>
    <x v="164"/>
    <n v="110619"/>
    <x v="65"/>
    <x v="130"/>
    <x v="13"/>
    <x v="5"/>
    <n v="23022003"/>
    <x v="0"/>
    <x v="0"/>
    <x v="0"/>
    <d v="2021-11-23T00:00:00"/>
    <d v="2021-11-12T00:00:00"/>
  </r>
  <r>
    <x v="4"/>
    <x v="0"/>
    <x v="0"/>
    <x v="2"/>
    <s v="315012065702-M"/>
    <m/>
    <m/>
    <n v="12112.5"/>
    <x v="165"/>
    <n v="110459"/>
    <x v="66"/>
    <x v="131"/>
    <x v="13"/>
    <x v="4"/>
    <n v="44538665"/>
    <x v="0"/>
    <x v="0"/>
    <x v="0"/>
    <d v="2021-12-07T00:00:00"/>
    <d v="2021-11-19T00:00:00"/>
  </r>
  <r>
    <x v="4"/>
    <x v="4"/>
    <x v="0"/>
    <x v="2"/>
    <s v="DC TST117557 "/>
    <m/>
    <m/>
    <n v="6659.5"/>
    <x v="166"/>
    <n v="110618"/>
    <x v="65"/>
    <x v="132"/>
    <x v="2"/>
    <x v="2"/>
    <n v="19280890"/>
    <x v="0"/>
    <x v="0"/>
    <x v="0"/>
    <d v="2021-11-26T00:00:00"/>
    <d v="2021-11-19T00:00:00"/>
  </r>
  <r>
    <x v="4"/>
    <x v="0"/>
    <x v="0"/>
    <x v="1"/>
    <s v="DC TST117560"/>
    <m/>
    <m/>
    <n v="6659.5"/>
    <x v="167"/>
    <n v="110669"/>
    <x v="49"/>
    <x v="85"/>
    <x v="14"/>
    <x v="5"/>
    <n v="16456170"/>
    <x v="0"/>
    <x v="0"/>
    <x v="0"/>
    <d v="2021-12-23T00:00:00"/>
    <d v="2021-12-03T00:00:00"/>
  </r>
  <r>
    <x v="4"/>
    <x v="0"/>
    <x v="0"/>
    <x v="1"/>
    <s v="DC TST117560"/>
    <m/>
    <m/>
    <n v="0"/>
    <x v="167"/>
    <n v="110366"/>
    <x v="49"/>
    <x v="85"/>
    <x v="14"/>
    <x v="5"/>
    <n v="9400170"/>
    <x v="0"/>
    <x v="0"/>
    <x v="0"/>
    <d v="2021-12-23T00:00:00"/>
    <d v="2021-12-03T00:00:00"/>
  </r>
  <r>
    <x v="4"/>
    <x v="1"/>
    <x v="1"/>
    <x v="2"/>
    <s v="DC TST118066"/>
    <m/>
    <m/>
    <n v="6659.5"/>
    <x v="168"/>
    <n v="110530"/>
    <x v="67"/>
    <x v="133"/>
    <x v="16"/>
    <x v="2"/>
    <n v="10615568"/>
    <x v="2"/>
    <x v="0"/>
    <x v="0"/>
    <d v="2021-12-23T00:00:00"/>
    <d v="2021-12-08T00:00:00"/>
  </r>
  <r>
    <x v="4"/>
    <x v="0"/>
    <x v="0"/>
    <x v="1"/>
    <s v="LC copy ASAP SCB"/>
    <m/>
    <m/>
    <n v="6659.5"/>
    <x v="169"/>
    <n v="110671"/>
    <x v="49"/>
    <x v="85"/>
    <x v="14"/>
    <x v="5"/>
    <n v="9428970"/>
    <x v="0"/>
    <x v="0"/>
    <x v="0"/>
    <d v="2021-12-26T00:00:00"/>
    <d v="2021-12-10T00:00:00"/>
  </r>
  <r>
    <x v="4"/>
    <x v="3"/>
    <x v="0"/>
    <x v="2"/>
    <s v="CNY单"/>
    <s v="CNY单"/>
    <s v="CNY单"/>
    <n v="0"/>
    <x v="170"/>
    <s v="49F104087"/>
    <x v="68"/>
    <x v="134"/>
    <x v="14"/>
    <x v="2"/>
    <n v="1400000"/>
    <x v="0"/>
    <x v="0"/>
    <x v="0"/>
    <s v="提货时间2021/12/7"/>
    <s v="提货时间2021/12/7"/>
  </r>
  <r>
    <x v="4"/>
    <x v="3"/>
    <x v="0"/>
    <x v="2"/>
    <s v="CNY单"/>
    <s v="CNY单"/>
    <s v="CNY单"/>
    <n v="0"/>
    <x v="171"/>
    <s v="49F104088"/>
    <x v="68"/>
    <x v="135"/>
    <x v="14"/>
    <x v="5"/>
    <n v="700000"/>
    <x v="0"/>
    <x v="0"/>
    <x v="0"/>
    <s v="提货时间2021/12/7"/>
    <s v="提货时间2021/12/7"/>
  </r>
  <r>
    <x v="4"/>
    <x v="3"/>
    <x v="0"/>
    <x v="2"/>
    <s v="CNY单"/>
    <s v="CNY单"/>
    <s v="CNY单"/>
    <n v="0"/>
    <x v="172"/>
    <s v="49F104089"/>
    <x v="68"/>
    <x v="123"/>
    <x v="14"/>
    <x v="5"/>
    <n v="700000"/>
    <x v="0"/>
    <x v="0"/>
    <x v="0"/>
    <s v="提货时间2021/12/7"/>
    <s v="提货时间2021/12/7"/>
  </r>
  <r>
    <x v="4"/>
    <x v="3"/>
    <x v="0"/>
    <x v="2"/>
    <s v="CNY单"/>
    <s v="CNY单"/>
    <s v="CNY单"/>
    <n v="0"/>
    <x v="173"/>
    <s v="49F103948"/>
    <x v="69"/>
    <x v="136"/>
    <x v="1"/>
    <x v="4"/>
    <n v="2745372"/>
    <x v="0"/>
    <x v="0"/>
    <x v="0"/>
    <s v="提货时间2021/8/26"/>
    <s v="提货时间2021/8/26"/>
  </r>
  <r>
    <x v="4"/>
    <x v="3"/>
    <x v="0"/>
    <x v="2"/>
    <s v="CNY单"/>
    <s v="CNY单"/>
    <s v="CNY单"/>
    <n v="0"/>
    <x v="174"/>
    <s v="49F103948"/>
    <x v="69"/>
    <x v="88"/>
    <x v="2"/>
    <x v="0"/>
    <n v="1640000"/>
    <x v="0"/>
    <x v="0"/>
    <x v="0"/>
    <s v="提货时间2021/9/28"/>
    <s v="提货时间2021/9/28"/>
  </r>
  <r>
    <x v="4"/>
    <x v="3"/>
    <x v="0"/>
    <x v="2"/>
    <s v="CNY单"/>
    <s v="CNY单"/>
    <s v="CNY单"/>
    <n v="0"/>
    <x v="175"/>
    <s v="49F104054"/>
    <x v="70"/>
    <x v="137"/>
    <x v="14"/>
    <x v="2"/>
    <n v="1400000"/>
    <x v="0"/>
    <x v="0"/>
    <x v="0"/>
    <s v="提货时间2021/11/11"/>
    <s v="提货时间2021/11/11"/>
  </r>
  <r>
    <x v="3"/>
    <x v="3"/>
    <x v="0"/>
    <x v="2"/>
    <s v="CNY单"/>
    <s v="CNY单"/>
    <s v="CNY单"/>
    <n v="0"/>
    <x v="176"/>
    <s v="49F104147"/>
    <x v="71"/>
    <x v="138"/>
    <x v="1"/>
    <x v="5"/>
    <n v="1000000"/>
    <x v="0"/>
    <x v="0"/>
    <x v="0"/>
    <s v="提货时间2022/1/11"/>
    <s v="提货时间2022/1/11"/>
  </r>
  <r>
    <x v="3"/>
    <x v="0"/>
    <x v="0"/>
    <x v="1"/>
    <s v="100% befor shipment "/>
    <m/>
    <m/>
    <m/>
    <x v="177"/>
    <n v="110550"/>
    <x v="72"/>
    <x v="139"/>
    <x v="2"/>
    <x v="2"/>
    <n v="12645000"/>
    <x v="3"/>
    <x v="0"/>
    <x v="0"/>
    <s v="2021-7-21富洛HK仓库"/>
    <s v="已经到货"/>
  </r>
  <r>
    <x v="4"/>
    <x v="0"/>
    <x v="0"/>
    <x v="1"/>
    <s v="315012066916-M"/>
    <m/>
    <m/>
    <n v="7458.5"/>
    <x v="178"/>
    <n v="110670"/>
    <x v="57"/>
    <x v="85"/>
    <x v="14"/>
    <x v="2"/>
    <n v="23083192"/>
    <x v="0"/>
    <x v="0"/>
    <x v="0"/>
    <d v="2022-01-01T00:00:00"/>
    <d v="2021-12-22T00:00:00"/>
  </r>
  <r>
    <x v="4"/>
    <x v="4"/>
    <x v="0"/>
    <x v="1"/>
    <s v="DC TST118073"/>
    <m/>
    <m/>
    <n v="23069.5"/>
    <x v="179"/>
    <n v="110664"/>
    <x v="73"/>
    <x v="140"/>
    <x v="2"/>
    <x v="7"/>
    <n v="75948790"/>
    <x v="0"/>
    <x v="0"/>
    <x v="0"/>
    <d v="2022-01-01T00:00:00"/>
    <d v="2021-12-22T00:00:00"/>
  </r>
  <r>
    <x v="4"/>
    <x v="4"/>
    <x v="0"/>
    <x v="1"/>
    <s v="DC TST118074"/>
    <m/>
    <m/>
    <n v="14718.7"/>
    <x v="180"/>
    <n v="110708"/>
    <x v="74"/>
    <x v="140"/>
    <x v="14"/>
    <x v="0"/>
    <n v="73252736"/>
    <x v="0"/>
    <x v="0"/>
    <x v="0"/>
    <d v="2022-01-12T00:00:00"/>
    <d v="2021-12-24T00:00:00"/>
  </r>
  <r>
    <x v="3"/>
    <x v="5"/>
    <x v="0"/>
    <x v="1"/>
    <s v="315012066943-M"/>
    <m/>
    <m/>
    <n v="620"/>
    <x v="181"/>
    <n v="110665"/>
    <x v="74"/>
    <x v="140"/>
    <x v="14"/>
    <x v="5"/>
    <n v="12398294"/>
    <x v="0"/>
    <x v="0"/>
    <x v="0"/>
    <d v="2022-02-04T00:00:00"/>
    <d v="2022-01-07T00:00:00"/>
  </r>
  <r>
    <x v="3"/>
    <x v="5"/>
    <x v="0"/>
    <x v="1"/>
    <s v="315012066943-M"/>
    <m/>
    <m/>
    <m/>
    <x v="181"/>
    <n v="110801"/>
    <x v="74"/>
    <x v="140"/>
    <x v="14"/>
    <x v="5"/>
    <n v="12398294"/>
    <x v="0"/>
    <x v="0"/>
    <x v="0"/>
    <d v="2022-02-04T00:00:00"/>
    <d v="2022-01-07T00:00:00"/>
  </r>
  <r>
    <x v="3"/>
    <x v="4"/>
    <x v="0"/>
    <x v="2"/>
    <s v="DC TST118077"/>
    <m/>
    <m/>
    <n v="11390.3"/>
    <x v="182"/>
    <n v="110693"/>
    <x v="75"/>
    <x v="141"/>
    <x v="14"/>
    <x v="2"/>
    <n v="30498868"/>
    <x v="0"/>
    <x v="0"/>
    <x v="0"/>
    <d v="2022-02-04T00:00:00"/>
    <d v="2022-01-12T00:00:00"/>
  </r>
  <r>
    <x v="3"/>
    <x v="1"/>
    <x v="0"/>
    <x v="1"/>
    <s v="LC copy ASAP SCB"/>
    <m/>
    <m/>
    <n v="9297.1"/>
    <x v="183"/>
    <n v="110666"/>
    <x v="75"/>
    <x v="85"/>
    <x v="15"/>
    <x v="2"/>
    <n v="16039000"/>
    <x v="0"/>
    <x v="0"/>
    <x v="0"/>
    <d v="2022-01-26T00:00:00"/>
    <d v="2022-01-12T00:00:00"/>
  </r>
  <r>
    <x v="3"/>
    <x v="4"/>
    <x v="0"/>
    <x v="2"/>
    <s v="DC TST118084"/>
    <m/>
    <m/>
    <n v="15690.95"/>
    <x v="184"/>
    <n v="110694"/>
    <x v="75"/>
    <x v="142"/>
    <x v="14"/>
    <x v="5"/>
    <n v="16335434"/>
    <x v="0"/>
    <x v="0"/>
    <x v="0"/>
    <d v="2022-02-06T00:00:00"/>
    <d v="2022-01-19T00:00:00"/>
  </r>
  <r>
    <x v="3"/>
    <x v="4"/>
    <x v="0"/>
    <x v="2"/>
    <s v="DC TST118083"/>
    <m/>
    <m/>
    <n v="0"/>
    <x v="185"/>
    <n v="110695"/>
    <x v="75"/>
    <x v="143"/>
    <x v="14"/>
    <x v="5"/>
    <n v="17781074"/>
    <x v="0"/>
    <x v="0"/>
    <x v="0"/>
    <d v="2022-02-06T00:00:00"/>
    <d v="2022-01-19T00:00:00"/>
  </r>
  <r>
    <x v="3"/>
    <x v="4"/>
    <x v="0"/>
    <x v="2"/>
    <s v="DC TST118085"/>
    <m/>
    <m/>
    <n v="0"/>
    <x v="186"/>
    <n v="110697"/>
    <x v="75"/>
    <x v="144"/>
    <x v="14"/>
    <x v="5"/>
    <n v="16849034"/>
    <x v="0"/>
    <x v="0"/>
    <x v="0"/>
    <d v="2022-02-06T00:00:00"/>
    <d v="2022-01-19T00:00:00"/>
  </r>
  <r>
    <x v="3"/>
    <x v="4"/>
    <x v="0"/>
    <x v="2"/>
    <s v="315012068362-M"/>
    <m/>
    <m/>
    <n v="15070.95"/>
    <x v="187"/>
    <n v="110696"/>
    <x v="75"/>
    <x v="145"/>
    <x v="14"/>
    <x v="2"/>
    <n v="31813228"/>
    <x v="0"/>
    <x v="0"/>
    <x v="0"/>
    <d v="2022-02-05T00:00:00"/>
    <d v="2022-01-19T00:00:00"/>
  </r>
  <r>
    <x v="3"/>
    <x v="4"/>
    <x v="0"/>
    <x v="2"/>
    <s v="315012068371-M"/>
    <m/>
    <m/>
    <n v="0"/>
    <x v="188"/>
    <n v="110698"/>
    <x v="75"/>
    <x v="146"/>
    <x v="14"/>
    <x v="2"/>
    <n v="26324068"/>
    <x v="0"/>
    <x v="0"/>
    <x v="0"/>
    <d v="2022-02-05T00:00:00"/>
    <d v="2022-01-19T00:00:00"/>
  </r>
  <r>
    <x v="3"/>
    <x v="4"/>
    <x v="0"/>
    <x v="2"/>
    <s v="LC copy ASAP SCB"/>
    <m/>
    <m/>
    <n v="16310.95"/>
    <x v="189"/>
    <n v="110734"/>
    <x v="76"/>
    <x v="147"/>
    <x v="14"/>
    <x v="5"/>
    <n v="14497934"/>
    <x v="0"/>
    <x v="0"/>
    <x v="0"/>
    <d v="2022-02-08T00:00:00"/>
    <d v="2022-01-26T00:00:00"/>
  </r>
  <r>
    <x v="3"/>
    <x v="4"/>
    <x v="0"/>
    <x v="2"/>
    <s v="315012067979-M"/>
    <m/>
    <m/>
    <n v="0"/>
    <x v="190"/>
    <n v="110731"/>
    <x v="76"/>
    <x v="148"/>
    <x v="14"/>
    <x v="5"/>
    <n v="13878574"/>
    <x v="0"/>
    <x v="0"/>
    <x v="0"/>
    <d v="2022-02-08T00:00:00"/>
    <d v="2022-01-26T00:00:00"/>
  </r>
  <r>
    <x v="3"/>
    <x v="4"/>
    <x v="0"/>
    <x v="2"/>
    <s v="DC TST118089"/>
    <m/>
    <m/>
    <n v="0"/>
    <x v="191"/>
    <n v="110689"/>
    <x v="75"/>
    <x v="141"/>
    <x v="2"/>
    <x v="5"/>
    <n v="11684645"/>
    <x v="0"/>
    <x v="0"/>
    <x v="0"/>
    <d v="2022-02-08T00:00:00"/>
    <d v="2022-01-21T00:00:00"/>
  </r>
  <r>
    <x v="3"/>
    <x v="4"/>
    <x v="0"/>
    <x v="2"/>
    <s v="DC TST118088"/>
    <m/>
    <m/>
    <n v="0"/>
    <x v="192"/>
    <n v="110690"/>
    <x v="75"/>
    <x v="143"/>
    <x v="2"/>
    <x v="5"/>
    <n v="11684645"/>
    <x v="0"/>
    <x v="0"/>
    <x v="0"/>
    <d v="2022-02-08T00:00:00"/>
    <d v="2022-01-21T00:00:00"/>
  </r>
  <r>
    <x v="3"/>
    <x v="0"/>
    <x v="0"/>
    <x v="2"/>
    <s v="DC TST118090"/>
    <m/>
    <m/>
    <n v="15690.95"/>
    <x v="193"/>
    <n v="110630"/>
    <x v="64"/>
    <x v="122"/>
    <x v="17"/>
    <x v="5"/>
    <n v="17687520"/>
    <x v="0"/>
    <x v="0"/>
    <x v="0"/>
    <d v="2022-02-08T00:00:00"/>
    <d v="2022-01-28T00:00:00"/>
  </r>
  <r>
    <x v="3"/>
    <x v="4"/>
    <x v="0"/>
    <x v="2"/>
    <s v="LM864208100 "/>
    <m/>
    <m/>
    <n v="0"/>
    <x v="194"/>
    <n v="110691"/>
    <x v="75"/>
    <x v="149"/>
    <x v="2"/>
    <x v="5"/>
    <n v="11684645"/>
    <x v="0"/>
    <x v="0"/>
    <x v="0"/>
    <d v="2022-02-08T00:00:00"/>
    <d v="2022-01-28T00:00:00"/>
  </r>
  <r>
    <x v="3"/>
    <x v="4"/>
    <x v="0"/>
    <x v="2"/>
    <s v="LM864198100"/>
    <m/>
    <m/>
    <n v="0"/>
    <x v="195"/>
    <n v="110692"/>
    <x v="75"/>
    <x v="150"/>
    <x v="2"/>
    <x v="5"/>
    <n v="10074695"/>
    <x v="0"/>
    <x v="0"/>
    <x v="0"/>
    <d v="2022-02-08T00:00:00"/>
    <d v="2022-01-28T00:00:00"/>
  </r>
  <r>
    <x v="3"/>
    <x v="4"/>
    <x v="0"/>
    <x v="2"/>
    <s v="LC copy ASAP SCB"/>
    <m/>
    <s v="有驳船"/>
    <n v="0"/>
    <x v="196"/>
    <n v="110726"/>
    <x v="76"/>
    <x v="151"/>
    <x v="2"/>
    <x v="2"/>
    <n v="18436090"/>
    <x v="0"/>
    <x v="0"/>
    <x v="0"/>
    <d v="2022-02-21T00:00:00"/>
    <d v="2022-02-02T00:00:00"/>
  </r>
  <r>
    <x v="3"/>
    <x v="4"/>
    <x v="0"/>
    <x v="2"/>
    <s v="LC copy ASAP SCB"/>
    <m/>
    <s v="有驳船"/>
    <n v="15160.2"/>
    <x v="197"/>
    <n v="110727"/>
    <x v="76"/>
    <x v="152"/>
    <x v="2"/>
    <x v="2"/>
    <n v="17783290"/>
    <x v="0"/>
    <x v="0"/>
    <x v="0"/>
    <d v="2022-02-21T00:00:00"/>
    <d v="2022-02-02T00:00:00"/>
  </r>
  <r>
    <x v="3"/>
    <x v="4"/>
    <x v="0"/>
    <x v="2"/>
    <s v="DC TST118092"/>
    <m/>
    <s v="有驳船"/>
    <n v="0"/>
    <x v="198"/>
    <n v="110729"/>
    <x v="76"/>
    <x v="153"/>
    <x v="2"/>
    <x v="2"/>
    <n v="17889340"/>
    <x v="0"/>
    <x v="0"/>
    <x v="0"/>
    <d v="2022-02-21T00:00:00"/>
    <d v="2022-02-02T00:00:00"/>
  </r>
  <r>
    <x v="3"/>
    <x v="4"/>
    <x v="0"/>
    <x v="2"/>
    <s v="DC TST118092"/>
    <m/>
    <s v="有驳船"/>
    <n v="14361.7"/>
    <x v="198"/>
    <n v="110729"/>
    <x v="76"/>
    <x v="153"/>
    <x v="14"/>
    <x v="2"/>
    <n v="25571818"/>
    <x v="0"/>
    <x v="0"/>
    <x v="0"/>
    <d v="2022-02-21T00:00:00"/>
    <d v="2022-02-02T00:00:00"/>
  </r>
  <r>
    <x v="3"/>
    <x v="0"/>
    <x v="0"/>
    <x v="1"/>
    <s v="LM864808100"/>
    <m/>
    <s v="有驳船"/>
    <n v="11240.3"/>
    <x v="199"/>
    <n v="110472"/>
    <x v="49"/>
    <x v="85"/>
    <x v="2"/>
    <x v="4"/>
    <n v="16859295"/>
    <x v="0"/>
    <x v="0"/>
    <x v="0"/>
    <d v="2022-03-03T00:00:00"/>
    <d v="2022-02-02T00:00:00"/>
  </r>
  <r>
    <x v="3"/>
    <x v="4"/>
    <x v="0"/>
    <x v="2"/>
    <s v="315012069003-M"/>
    <m/>
    <s v="有驳船"/>
    <n v="0"/>
    <x v="200"/>
    <n v="110730"/>
    <x v="76"/>
    <x v="146"/>
    <x v="2"/>
    <x v="2"/>
    <n v="20100760"/>
    <x v="0"/>
    <x v="0"/>
    <x v="0"/>
    <d v="2022-03-03T00:00:00"/>
    <d v="2022-02-11T00:00:00"/>
  </r>
  <r>
    <x v="3"/>
    <x v="4"/>
    <x v="0"/>
    <x v="2"/>
    <s v="315012069003-M"/>
    <m/>
    <s v="有驳船"/>
    <n v="11240.3"/>
    <x v="200"/>
    <n v="110730"/>
    <x v="76"/>
    <x v="146"/>
    <x v="14"/>
    <x v="2"/>
    <n v="26285938"/>
    <x v="0"/>
    <x v="0"/>
    <x v="0"/>
    <d v="2022-03-03T00:00:00"/>
    <d v="2022-02-11T00:00:00"/>
  </r>
  <r>
    <x v="3"/>
    <x v="4"/>
    <x v="0"/>
    <x v="2"/>
    <s v="DC TST118097"/>
    <m/>
    <s v="有驳船"/>
    <n v="15070.95"/>
    <x v="201"/>
    <n v="110733"/>
    <x v="76"/>
    <x v="154"/>
    <x v="14"/>
    <x v="5"/>
    <n v="19739894"/>
    <x v="0"/>
    <x v="0"/>
    <x v="0"/>
    <d v="2022-03-02T00:00:00"/>
    <d v="2022-02-17T00:00:00"/>
  </r>
  <r>
    <x v="3"/>
    <x v="0"/>
    <x v="0"/>
    <x v="1"/>
    <s v="DC TST118098 "/>
    <m/>
    <s v="有驳船"/>
    <n v="0"/>
    <x v="202"/>
    <n v="110800"/>
    <x v="49"/>
    <x v="85"/>
    <x v="2"/>
    <x v="2"/>
    <n v="10789530"/>
    <x v="0"/>
    <x v="0"/>
    <x v="0"/>
    <d v="2022-03-02T00:00:00"/>
    <d v="2022-02-17T00:00:00"/>
  </r>
  <r>
    <x v="3"/>
    <x v="0"/>
    <x v="0"/>
    <x v="1"/>
    <s v="315012069842-M"/>
    <m/>
    <s v="有驳船"/>
    <n v="15070.95"/>
    <x v="203"/>
    <n v="110771"/>
    <x v="49"/>
    <x v="85"/>
    <x v="2"/>
    <x v="2"/>
    <n v="12114330"/>
    <x v="0"/>
    <x v="0"/>
    <x v="0"/>
    <d v="2022-03-02T00:00:00"/>
    <d v="2022-02-17T00:00:00"/>
  </r>
  <r>
    <x v="3"/>
    <x v="4"/>
    <x v="0"/>
    <x v="2"/>
    <s v="315012069147-M"/>
    <m/>
    <s v="有驳船"/>
    <n v="0"/>
    <x v="204"/>
    <n v="110728"/>
    <x v="76"/>
    <x v="155"/>
    <x v="2"/>
    <x v="5"/>
    <n v="9338045"/>
    <x v="0"/>
    <x v="0"/>
    <x v="0"/>
    <d v="2022-03-02T00:00:00"/>
    <d v="2022-02-17T00:00:00"/>
  </r>
  <r>
    <x v="3"/>
    <x v="4"/>
    <x v="0"/>
    <x v="2"/>
    <s v="315012069147-M"/>
    <m/>
    <s v="有驳船"/>
    <n v="0"/>
    <x v="204"/>
    <n v="110728"/>
    <x v="76"/>
    <x v="155"/>
    <x v="14"/>
    <x v="5"/>
    <n v="13179284"/>
    <x v="0"/>
    <x v="0"/>
    <x v="0"/>
    <d v="2022-03-02T00:00:00"/>
    <d v="2022-02-17T00:00:00"/>
  </r>
  <r>
    <x v="3"/>
    <x v="4"/>
    <x v="0"/>
    <x v="2"/>
    <s v="LM865508100"/>
    <m/>
    <s v="有驳船"/>
    <n v="11390.3"/>
    <x v="205"/>
    <n v="110732"/>
    <x v="76"/>
    <x v="156"/>
    <x v="14"/>
    <x v="5"/>
    <n v="20947094"/>
    <x v="0"/>
    <x v="0"/>
    <x v="0"/>
    <d v="2022-03-07T00:00:00"/>
    <d v="2022-02-24T00:00:00"/>
  </r>
  <r>
    <x v="3"/>
    <x v="4"/>
    <x v="0"/>
    <x v="2"/>
    <s v="LM865498100"/>
    <m/>
    <s v="有驳船"/>
    <n v="0"/>
    <x v="206"/>
    <n v="110737"/>
    <x v="77"/>
    <x v="157"/>
    <x v="14"/>
    <x v="5"/>
    <n v="12048434"/>
    <x v="0"/>
    <x v="0"/>
    <x v="0"/>
    <d v="2022-03-07T00:00:00"/>
    <d v="2022-02-24T00:00:00"/>
  </r>
  <r>
    <x v="3"/>
    <x v="0"/>
    <x v="0"/>
    <x v="1"/>
    <s v="LM865598100"/>
    <m/>
    <s v="有驳船"/>
    <n v="0"/>
    <x v="207"/>
    <n v="110773"/>
    <x v="49"/>
    <x v="85"/>
    <x v="14"/>
    <x v="5"/>
    <n v="9788970"/>
    <x v="0"/>
    <x v="0"/>
    <x v="0"/>
    <d v="2022-03-07T00:00:00"/>
    <d v="2022-02-24T00:00:00"/>
  </r>
  <r>
    <x v="3"/>
    <x v="0"/>
    <x v="0"/>
    <x v="1"/>
    <s v="DC TST120453"/>
    <m/>
    <s v="有驳船"/>
    <n v="12630.3"/>
    <x v="208"/>
    <n v="110775"/>
    <x v="49"/>
    <x v="85"/>
    <x v="14"/>
    <x v="4"/>
    <n v="28618110"/>
    <x v="0"/>
    <x v="0"/>
    <x v="0"/>
    <d v="2022-03-20T00:00:00"/>
    <d v="2022-03-04T00:00:00"/>
  </r>
  <r>
    <x v="3"/>
    <x v="0"/>
    <x v="0"/>
    <x v="1"/>
    <s v="DC TST120454"/>
    <m/>
    <s v="有驳船"/>
    <n v="0"/>
    <x v="209"/>
    <n v="110774"/>
    <x v="49"/>
    <x v="85"/>
    <x v="14"/>
    <x v="5"/>
    <n v="11137770"/>
    <x v="0"/>
    <x v="0"/>
    <x v="0"/>
    <d v="2022-03-20T00:00:00"/>
    <d v="2022-03-04T00:00:00"/>
  </r>
  <r>
    <x v="3"/>
    <x v="0"/>
    <x v="0"/>
    <x v="1"/>
    <s v="315012069851-M"/>
    <m/>
    <s v="有驳船"/>
    <n v="0"/>
    <x v="210"/>
    <n v="110249"/>
    <x v="49"/>
    <x v="85"/>
    <x v="14"/>
    <x v="5"/>
    <n v="9428970"/>
    <x v="0"/>
    <x v="0"/>
    <x v="0"/>
    <d v="2022-03-20T00:00:00"/>
    <d v="2022-03-04T00:00:00"/>
  </r>
  <r>
    <x v="3"/>
    <x v="4"/>
    <x v="0"/>
    <x v="2"/>
    <s v="315012069860-M"/>
    <m/>
    <s v="有驳船"/>
    <n v="16578.7"/>
    <x v="211"/>
    <n v="110755"/>
    <x v="78"/>
    <x v="158"/>
    <x v="2"/>
    <x v="5"/>
    <n v="6184445"/>
    <x v="0"/>
    <x v="0"/>
    <x v="0"/>
    <d v="2022-03-22T00:00:00"/>
    <d v="2022-03-04T00:00:00"/>
  </r>
  <r>
    <x v="3"/>
    <x v="4"/>
    <x v="0"/>
    <x v="2"/>
    <s v="315012070545-M"/>
    <m/>
    <s v="有驳船"/>
    <n v="0"/>
    <x v="212"/>
    <n v="110756"/>
    <x v="78"/>
    <x v="159"/>
    <x v="2"/>
    <x v="2"/>
    <n v="14809690"/>
    <x v="0"/>
    <x v="0"/>
    <x v="0"/>
    <d v="2022-03-22T00:00:00"/>
    <d v="2022-03-12T00:00:00"/>
  </r>
  <r>
    <x v="3"/>
    <x v="4"/>
    <x v="0"/>
    <x v="2"/>
    <s v="315012070732-M"/>
    <m/>
    <s v="有驳船"/>
    <n v="0"/>
    <x v="213"/>
    <n v="110770"/>
    <x v="78"/>
    <x v="109"/>
    <x v="14"/>
    <x v="5"/>
    <n v="9684434"/>
    <x v="0"/>
    <x v="0"/>
    <x v="0"/>
    <d v="2022-03-22T00:00:00"/>
    <d v="2022-03-12T00:00:00"/>
  </r>
  <r>
    <x v="3"/>
    <x v="4"/>
    <x v="0"/>
    <x v="2"/>
    <s v="LM865828100"/>
    <m/>
    <s v="有驳船"/>
    <n v="0"/>
    <x v="214"/>
    <n v="110769"/>
    <x v="78"/>
    <x v="160"/>
    <x v="14"/>
    <x v="5"/>
    <n v="10284434"/>
    <x v="0"/>
    <x v="0"/>
    <x v="0"/>
    <d v="2022-03-22T00:00:00"/>
    <d v="2022-03-12T00:00:00"/>
  </r>
  <r>
    <x v="3"/>
    <x v="4"/>
    <x v="0"/>
    <x v="2"/>
    <s v="LM865628100"/>
    <m/>
    <s v="有驳船"/>
    <n v="15958.7"/>
    <x v="215"/>
    <n v="110766"/>
    <x v="78"/>
    <x v="161"/>
    <x v="14"/>
    <x v="2"/>
    <n v="24137668"/>
    <x v="0"/>
    <x v="0"/>
    <x v="0"/>
    <d v="2022-03-28T00:00:00"/>
    <d v="2022-03-16T00:00:00"/>
  </r>
  <r>
    <x v="3"/>
    <x v="4"/>
    <x v="0"/>
    <x v="2"/>
    <s v="315012069922-M"/>
    <m/>
    <s v="有驳船"/>
    <n v="0"/>
    <x v="216"/>
    <n v="110768"/>
    <x v="78"/>
    <x v="110"/>
    <x v="14"/>
    <x v="5"/>
    <n v="10284434"/>
    <x v="0"/>
    <x v="0"/>
    <x v="0"/>
    <d v="2022-03-28T00:00:00"/>
    <d v="2022-03-16T00:00:00"/>
  </r>
  <r>
    <x v="3"/>
    <x v="4"/>
    <x v="0"/>
    <x v="2"/>
    <s v="315012069913-M"/>
    <m/>
    <s v="有驳船"/>
    <n v="0"/>
    <x v="217"/>
    <n v="110767"/>
    <x v="78"/>
    <x v="148"/>
    <x v="14"/>
    <x v="2"/>
    <n v="20568868"/>
    <x v="0"/>
    <x v="0"/>
    <x v="0"/>
    <d v="2022-03-28T00:00:00"/>
    <d v="2022-03-16T00:00:00"/>
  </r>
  <r>
    <x v="3"/>
    <x v="4"/>
    <x v="0"/>
    <x v="2"/>
    <s v="315012070000-M"/>
    <m/>
    <s v="有驳船"/>
    <n v="16310.95"/>
    <x v="218"/>
    <n v="110758"/>
    <x v="78"/>
    <x v="147"/>
    <x v="2"/>
    <x v="5"/>
    <n v="6184445"/>
    <x v="0"/>
    <x v="0"/>
    <x v="0"/>
    <d v="2022-03-26T00:00:00"/>
    <d v="2022-03-14T00:00:00"/>
  </r>
  <r>
    <x v="3"/>
    <x v="4"/>
    <x v="0"/>
    <x v="2"/>
    <s v="315012069995-M"/>
    <m/>
    <s v="有驳船"/>
    <n v="0"/>
    <x v="219"/>
    <n v="110760"/>
    <x v="78"/>
    <x v="162"/>
    <x v="2"/>
    <x v="5"/>
    <n v="5784445"/>
    <x v="0"/>
    <x v="0"/>
    <x v="0"/>
    <d v="2022-03-26T00:00:00"/>
    <d v="2022-03-14T00:00:00"/>
  </r>
  <r>
    <x v="3"/>
    <x v="4"/>
    <x v="0"/>
    <x v="2"/>
    <s v="315012070135-M"/>
    <m/>
    <s v="有驳船"/>
    <n v="0"/>
    <x v="220"/>
    <n v="110762"/>
    <x v="78"/>
    <x v="163"/>
    <x v="2"/>
    <x v="5"/>
    <n v="6184445"/>
    <x v="0"/>
    <x v="0"/>
    <x v="0"/>
    <d v="2022-03-26T00:00:00"/>
    <d v="2022-03-14T00:00:00"/>
  </r>
  <r>
    <x v="3"/>
    <x v="4"/>
    <x v="0"/>
    <x v="2"/>
    <s v="315012070019-M"/>
    <m/>
    <s v="有驳船"/>
    <n v="0"/>
    <x v="221"/>
    <n v="110813"/>
    <x v="79"/>
    <x v="164"/>
    <x v="2"/>
    <x v="2"/>
    <n v="18182340"/>
    <x v="0"/>
    <x v="0"/>
    <x v="0"/>
    <d v="2022-03-26T00:00:00"/>
    <d v="2022-03-14T00:00:00"/>
  </r>
  <r>
    <x v="3"/>
    <x v="4"/>
    <x v="0"/>
    <x v="2"/>
    <s v="315012070117-M"/>
    <m/>
    <s v="有驳船"/>
    <n v="8892.35"/>
    <x v="222"/>
    <n v="110757"/>
    <x v="78"/>
    <x v="164"/>
    <x v="2"/>
    <x v="2"/>
    <n v="14215290"/>
    <x v="0"/>
    <x v="0"/>
    <x v="0"/>
    <d v="2022-03-26T00:00:00"/>
    <d v="2022-03-25T00:00:00"/>
  </r>
  <r>
    <x v="3"/>
    <x v="4"/>
    <x v="0"/>
    <x v="2"/>
    <s v="315012070732-M"/>
    <m/>
    <s v="有驳船"/>
    <n v="12630.3"/>
    <x v="223"/>
    <n v="110759"/>
    <x v="78"/>
    <x v="165"/>
    <x v="2"/>
    <x v="5"/>
    <n v="6184445"/>
    <x v="0"/>
    <x v="0"/>
    <x v="0"/>
    <d v="2022-03-25T00:00:00"/>
    <d v="2022-03-25T00:00:00"/>
  </r>
  <r>
    <x v="3"/>
    <x v="4"/>
    <x v="0"/>
    <x v="2"/>
    <s v="315012070108-M"/>
    <m/>
    <s v="有驳船"/>
    <n v="0"/>
    <x v="224"/>
    <n v="110761"/>
    <x v="78"/>
    <x v="166"/>
    <x v="2"/>
    <x v="5"/>
    <n v="5784445"/>
    <x v="0"/>
    <x v="0"/>
    <x v="0"/>
    <d v="2022-03-25T00:00:00"/>
    <d v="2022-03-25T00:00:00"/>
  </r>
  <r>
    <x v="3"/>
    <x v="4"/>
    <x v="0"/>
    <x v="2"/>
    <s v="LC copy ASAP SCB"/>
    <m/>
    <s v="有驳船"/>
    <n v="0"/>
    <x v="225"/>
    <n v="110763"/>
    <x v="78"/>
    <x v="148"/>
    <x v="2"/>
    <x v="4"/>
    <n v="23533635"/>
    <x v="0"/>
    <x v="0"/>
    <x v="0"/>
    <d v="2022-03-25T00:00:00"/>
    <d v="2022-03-25T00:00:00"/>
  </r>
  <r>
    <x v="3"/>
    <x v="0"/>
    <x v="1"/>
    <x v="2"/>
    <s v="LM866038100"/>
    <m/>
    <s v="有驳船"/>
    <n v="28533.1"/>
    <x v="226"/>
    <n v="110803"/>
    <x v="80"/>
    <x v="167"/>
    <x v="11"/>
    <x v="6"/>
    <n v="82439520"/>
    <x v="0"/>
    <x v="0"/>
    <x v="0"/>
    <d v="2022-04-13T00:00:00"/>
    <d v="2022-03-15T00:00:00"/>
  </r>
  <r>
    <x v="3"/>
    <x v="1"/>
    <x v="0"/>
    <x v="2"/>
    <s v="315012070894-M"/>
    <m/>
    <m/>
    <n v="9712.15"/>
    <x v="227"/>
    <n v="110791"/>
    <x v="81"/>
    <x v="168"/>
    <x v="15"/>
    <x v="5"/>
    <n v="8641981"/>
    <x v="0"/>
    <x v="0"/>
    <x v="0"/>
    <d v="2022-04-13T00:00:00"/>
    <d v="2022-04-01T00:00:00"/>
  </r>
  <r>
    <x v="3"/>
    <x v="0"/>
    <x v="0"/>
    <x v="1"/>
    <s v="315012070796-M"/>
    <m/>
    <s v="有驳船"/>
    <n v="15958.7"/>
    <x v="228"/>
    <n v="110812"/>
    <x v="49"/>
    <x v="85"/>
    <x v="2"/>
    <x v="4"/>
    <n v="16521795"/>
    <x v="0"/>
    <x v="0"/>
    <x v="0"/>
    <d v="2020-04-07T00:00:00"/>
    <d v="2022-03-25T00:00:00"/>
  </r>
  <r>
    <x v="3"/>
    <x v="4"/>
    <x v="0"/>
    <x v="2"/>
    <s v="JPY ESHL单"/>
    <m/>
    <m/>
    <n v="16814.7"/>
    <x v="229"/>
    <n v="110808"/>
    <x v="82"/>
    <x v="88"/>
    <x v="2"/>
    <x v="3"/>
    <n v="41364930"/>
    <x v="0"/>
    <x v="0"/>
    <x v="0"/>
    <d v="2022-04-03T00:00:00"/>
    <d v="2022-03-25T00:00:00"/>
  </r>
  <r>
    <x v="3"/>
    <x v="4"/>
    <x v="0"/>
    <x v="2"/>
    <s v="315012070778-M"/>
    <m/>
    <s v="有驳船"/>
    <n v="0"/>
    <x v="230"/>
    <n v="110765"/>
    <x v="78"/>
    <x v="169"/>
    <x v="2"/>
    <x v="5"/>
    <n v="6184445"/>
    <x v="0"/>
    <x v="0"/>
    <x v="0"/>
    <d v="2020-04-07T00:00:00"/>
    <d v="2022-03-25T00:00:00"/>
  </r>
  <r>
    <x v="3"/>
    <x v="4"/>
    <x v="0"/>
    <x v="2"/>
    <s v="315012070787-M"/>
    <m/>
    <s v="有驳船"/>
    <n v="0"/>
    <x v="231"/>
    <n v="110764"/>
    <x v="78"/>
    <x v="146"/>
    <x v="2"/>
    <x v="5"/>
    <n v="6933095"/>
    <x v="0"/>
    <x v="0"/>
    <x v="0"/>
    <d v="2020-04-07T00:00:00"/>
    <d v="2022-03-25T00:00:00"/>
  </r>
  <r>
    <x v="3"/>
    <x v="0"/>
    <x v="0"/>
    <x v="2"/>
    <s v="315012071410-M"/>
    <m/>
    <s v="有驳船"/>
    <n v="0"/>
    <x v="232"/>
    <n v="110824"/>
    <x v="57"/>
    <x v="120"/>
    <x v="2"/>
    <x v="5"/>
    <n v="6849315"/>
    <x v="0"/>
    <x v="0"/>
    <x v="0"/>
    <d v="2022-04-13T00:00:00"/>
    <d v="2022-03-25T00:00:00"/>
  </r>
  <r>
    <x v="3"/>
    <x v="4"/>
    <x v="0"/>
    <x v="2"/>
    <s v="LM866168100 "/>
    <m/>
    <s v="有驳船"/>
    <n v="15816.55"/>
    <x v="233"/>
    <n v="110829"/>
    <x v="83"/>
    <x v="163"/>
    <x v="2"/>
    <x v="5"/>
    <n v="15833695"/>
    <x v="0"/>
    <x v="0"/>
    <x v="0"/>
    <d v="2022-04-13T00:00:00"/>
    <d v="2022-04-01T00:00:00"/>
  </r>
  <r>
    <x v="3"/>
    <x v="6"/>
    <x v="0"/>
    <x v="2"/>
    <s v="LM966178100"/>
    <m/>
    <s v="有驳船"/>
    <n v="0"/>
    <x v="234"/>
    <n v="110825"/>
    <x v="83"/>
    <x v="132"/>
    <x v="2"/>
    <x v="2"/>
    <n v="23290790"/>
    <x v="0"/>
    <x v="0"/>
    <x v="0"/>
    <d v="2022-04-13T00:00:00"/>
    <d v="2022-04-01T00:00:00"/>
  </r>
  <r>
    <x v="3"/>
    <x v="4"/>
    <x v="0"/>
    <x v="2"/>
    <s v="LM866218100"/>
    <m/>
    <s v="有驳船"/>
    <n v="0"/>
    <x v="235"/>
    <n v="110831"/>
    <x v="83"/>
    <x v="170"/>
    <x v="2"/>
    <x v="5"/>
    <n v="13929445"/>
    <x v="0"/>
    <x v="0"/>
    <x v="0"/>
    <d v="2022-04-13T00:00:00"/>
    <d v="2022-04-01T00:00:00"/>
  </r>
  <r>
    <x v="3"/>
    <x v="0"/>
    <x v="0"/>
    <x v="1"/>
    <s v="315012071508-M"/>
    <m/>
    <s v="有驳船"/>
    <n v="15196.55"/>
    <x v="236"/>
    <n v="110823"/>
    <x v="49"/>
    <x v="85"/>
    <x v="14"/>
    <x v="4"/>
    <n v="28286910"/>
    <x v="0"/>
    <x v="0"/>
    <x v="0"/>
    <d v="2022-04-16T00:00:00"/>
    <d v="2022-04-01T00:00:00"/>
  </r>
  <r>
    <x v="3"/>
    <x v="4"/>
    <x v="0"/>
    <x v="2"/>
    <s v="315012071517-M"/>
    <m/>
    <s v="有驳船"/>
    <n v="0"/>
    <x v="237"/>
    <n v="110830"/>
    <x v="83"/>
    <x v="143"/>
    <x v="2"/>
    <x v="2"/>
    <n v="21351990"/>
    <x v="0"/>
    <x v="0"/>
    <x v="0"/>
    <d v="2022-04-16T00:00:00"/>
    <d v="2022-04-01T00:00:00"/>
  </r>
  <r>
    <x v="3"/>
    <x v="4"/>
    <x v="0"/>
    <x v="2"/>
    <s v="315012071278-M"/>
    <m/>
    <m/>
    <n v="24640.95"/>
    <x v="238"/>
    <n v="110826"/>
    <x v="83"/>
    <x v="171"/>
    <x v="2"/>
    <x v="5"/>
    <n v="15741195"/>
    <x v="0"/>
    <x v="0"/>
    <x v="0"/>
    <d v="2022-04-16T00:00:00"/>
    <d v="2022-04-05T00:00:00"/>
  </r>
  <r>
    <x v="3"/>
    <x v="4"/>
    <x v="0"/>
    <x v="2"/>
    <s v="315012071287-M"/>
    <m/>
    <m/>
    <n v="0"/>
    <x v="239"/>
    <n v="110827"/>
    <x v="83"/>
    <x v="172"/>
    <x v="2"/>
    <x v="5"/>
    <n v="15357645"/>
    <x v="0"/>
    <x v="0"/>
    <x v="0"/>
    <d v="2022-04-16T00:00:00"/>
    <d v="2022-04-05T00:00:00"/>
  </r>
  <r>
    <x v="3"/>
    <x v="4"/>
    <x v="0"/>
    <x v="2"/>
    <s v="315012071296-M"/>
    <m/>
    <m/>
    <n v="0"/>
    <x v="240"/>
    <n v="110828"/>
    <x v="83"/>
    <x v="155"/>
    <x v="2"/>
    <x v="5"/>
    <n v="15514995"/>
    <x v="0"/>
    <x v="0"/>
    <x v="0"/>
    <d v="2022-04-16T00:00:00"/>
    <d v="2022-04-05T00:00:00"/>
  </r>
  <r>
    <x v="3"/>
    <x v="4"/>
    <x v="0"/>
    <x v="2"/>
    <s v="315012071269-M"/>
    <m/>
    <m/>
    <n v="0"/>
    <x v="241"/>
    <n v="110832"/>
    <x v="83"/>
    <x v="148"/>
    <x v="2"/>
    <x v="2"/>
    <n v="20018590"/>
    <x v="0"/>
    <x v="0"/>
    <x v="0"/>
    <d v="2022-04-16T00:00:00"/>
    <d v="2022-04-05T00:00:00"/>
  </r>
  <r>
    <x v="3"/>
    <x v="4"/>
    <x v="0"/>
    <x v="2"/>
    <s v="315012071553-M"/>
    <m/>
    <s v="有驳船"/>
    <n v="15816.55"/>
    <x v="242"/>
    <n v="110838"/>
    <x v="83"/>
    <x v="173"/>
    <x v="14"/>
    <x v="2"/>
    <n v="27724868"/>
    <x v="0"/>
    <x v="0"/>
    <x v="0"/>
    <d v="2022-04-29T00:00:00"/>
    <d v="2022-04-20T00:00:00"/>
  </r>
  <r>
    <x v="3"/>
    <x v="4"/>
    <x v="0"/>
    <x v="2"/>
    <s v="315012071839-M"/>
    <m/>
    <m/>
    <n v="15816.55"/>
    <x v="243"/>
    <n v="110833"/>
    <x v="83"/>
    <x v="174"/>
    <x v="14"/>
    <x v="5"/>
    <n v="20156514"/>
    <x v="0"/>
    <x v="0"/>
    <x v="0"/>
    <d v="2022-04-29T00:00:00"/>
    <d v="2022-04-20T00:00:00"/>
  </r>
  <r>
    <x v="3"/>
    <x v="4"/>
    <x v="0"/>
    <x v="2"/>
    <s v="315012071820-M"/>
    <m/>
    <s v="有驳船"/>
    <n v="0"/>
    <x v="244"/>
    <n v="110834"/>
    <x v="83"/>
    <x v="175"/>
    <x v="14"/>
    <x v="5"/>
    <n v="17834274"/>
    <x v="0"/>
    <x v="0"/>
    <x v="0"/>
    <d v="2022-04-29T00:00:00"/>
    <d v="2022-04-20T00:00:00"/>
  </r>
  <r>
    <x v="3"/>
    <x v="4"/>
    <x v="0"/>
    <x v="2"/>
    <s v="LM866548100"/>
    <m/>
    <m/>
    <n v="0"/>
    <x v="245"/>
    <n v="110835"/>
    <x v="83"/>
    <x v="176"/>
    <x v="14"/>
    <x v="5"/>
    <n v="13862434"/>
    <x v="0"/>
    <x v="0"/>
    <x v="0"/>
    <d v="2022-04-29T00:00:00"/>
    <d v="2022-04-20T00:00:00"/>
  </r>
  <r>
    <x v="3"/>
    <x v="4"/>
    <x v="0"/>
    <x v="2"/>
    <s v="LM866568100"/>
    <m/>
    <s v="有驳船"/>
    <n v="0"/>
    <x v="246"/>
    <n v="110836"/>
    <x v="83"/>
    <x v="177"/>
    <x v="14"/>
    <x v="5"/>
    <n v="12067074"/>
    <x v="0"/>
    <x v="0"/>
    <x v="0"/>
    <d v="2022-04-29T00:00:00"/>
    <d v="2022-04-20T00:00:00"/>
  </r>
  <r>
    <x v="3"/>
    <x v="4"/>
    <x v="0"/>
    <x v="2"/>
    <s v="LM866588100"/>
    <m/>
    <m/>
    <n v="0"/>
    <x v="247"/>
    <n v="110837"/>
    <x v="83"/>
    <x v="131"/>
    <x v="14"/>
    <x v="5"/>
    <n v="12067074"/>
    <x v="0"/>
    <x v="0"/>
    <x v="0"/>
    <d v="2022-04-29T00:00:00"/>
    <d v="2022-04-20T00:00:00"/>
  </r>
  <r>
    <x v="3"/>
    <x v="4"/>
    <x v="0"/>
    <x v="2"/>
    <s v="LC copy ASAP ANZ"/>
    <m/>
    <s v="有驳船"/>
    <n v="28265.35"/>
    <x v="248"/>
    <n v="110810"/>
    <x v="82"/>
    <x v="88"/>
    <x v="2"/>
    <x v="6"/>
    <n v="55256220"/>
    <x v="0"/>
    <x v="0"/>
    <x v="0"/>
    <d v="2022-05-10T00:00:00"/>
    <d v="2022-04-20T00:00:00"/>
  </r>
  <r>
    <x v="3"/>
    <x v="4"/>
    <x v="0"/>
    <x v="2"/>
    <s v="LC copy ASAP ANZ"/>
    <m/>
    <s v="有驳船"/>
    <n v="0"/>
    <x v="248"/>
    <n v="110913"/>
    <x v="82"/>
    <x v="88"/>
    <x v="2"/>
    <x v="0"/>
    <n v="27932380"/>
    <x v="0"/>
    <x v="0"/>
    <x v="0"/>
    <d v="2022-05-10T00:00:00"/>
    <d v="2022-04-20T00:00:00"/>
  </r>
  <r>
    <x v="3"/>
    <x v="0"/>
    <x v="0"/>
    <x v="1"/>
    <s v="LC copy ASAP SCB"/>
    <m/>
    <m/>
    <n v="9092.15"/>
    <x v="249"/>
    <n v="110436"/>
    <x v="49"/>
    <x v="85"/>
    <x v="2"/>
    <x v="5"/>
    <n v="12450765"/>
    <x v="0"/>
    <x v="0"/>
    <x v="0"/>
    <d v="2022-05-07T00:00:00"/>
    <d v="2022-04-22T00:00:00"/>
  </r>
  <r>
    <x v="3"/>
    <x v="0"/>
    <x v="0"/>
    <x v="1"/>
    <s v="315012072482-M"/>
    <m/>
    <s v="有驳船"/>
    <n v="15464.3"/>
    <x v="250"/>
    <n v="110429"/>
    <x v="49"/>
    <x v="85"/>
    <x v="2"/>
    <x v="4"/>
    <n v="16184295"/>
    <x v="0"/>
    <x v="0"/>
    <x v="0"/>
    <d v="2022-05-13T00:00:00"/>
    <d v="2022-04-30T00:00:00"/>
  </r>
  <r>
    <x v="3"/>
    <x v="4"/>
    <x v="0"/>
    <x v="2"/>
    <s v="315012072491-M"/>
    <m/>
    <s v="有驳船"/>
    <n v="0"/>
    <x v="251"/>
    <n v="110870"/>
    <x v="84"/>
    <x v="178"/>
    <x v="2"/>
    <x v="2"/>
    <n v="20207990"/>
    <x v="0"/>
    <x v="0"/>
    <x v="0"/>
    <d v="2022-05-13T00:00:00"/>
    <d v="2022-05-06T00:00:00"/>
  </r>
  <r>
    <x v="3"/>
    <x v="4"/>
    <x v="0"/>
    <x v="2"/>
    <s v="315012072473-M"/>
    <m/>
    <m/>
    <n v="14844.3"/>
    <x v="252"/>
    <n v="110874"/>
    <x v="84"/>
    <x v="179"/>
    <x v="2"/>
    <x v="5"/>
    <n v="10066645"/>
    <x v="0"/>
    <x v="0"/>
    <x v="0"/>
    <d v="2022-05-21T00:00:00"/>
    <d v="2022-04-30T00:00:00"/>
  </r>
  <r>
    <x v="3"/>
    <x v="4"/>
    <x v="0"/>
    <x v="2"/>
    <s v="LM867048100"/>
    <m/>
    <m/>
    <n v="0"/>
    <x v="253"/>
    <n v="110873"/>
    <x v="84"/>
    <x v="180"/>
    <x v="2"/>
    <x v="4"/>
    <n v="32856885"/>
    <x v="0"/>
    <x v="0"/>
    <x v="0"/>
    <d v="2022-05-21T00:00:00"/>
    <d v="2022-04-30T00:00:00"/>
  </r>
  <r>
    <x v="3"/>
    <x v="0"/>
    <x v="0"/>
    <x v="1"/>
    <s v="LM867038100"/>
    <m/>
    <s v="有驳船"/>
    <n v="14844.3"/>
    <x v="254"/>
    <n v="110882"/>
    <x v="49"/>
    <x v="85"/>
    <x v="14"/>
    <x v="4"/>
    <n v="28646910"/>
    <x v="0"/>
    <x v="0"/>
    <x v="0"/>
    <d v="2022-05-19T00:00:00"/>
    <d v="2022-04-30T00:00:00"/>
  </r>
  <r>
    <x v="3"/>
    <x v="4"/>
    <x v="0"/>
    <x v="2"/>
    <s v="315012073427-M"/>
    <m/>
    <s v="有驳船"/>
    <n v="23931.7"/>
    <x v="255"/>
    <n v="110869"/>
    <x v="84"/>
    <x v="181"/>
    <x v="14"/>
    <x v="5"/>
    <n v="20233112"/>
    <x v="0"/>
    <x v="0"/>
    <x v="0"/>
    <d v="2022-05-23T00:00:00"/>
    <d v="2022-05-13T00:00:00"/>
  </r>
  <r>
    <x v="3"/>
    <x v="5"/>
    <x v="0"/>
    <x v="2"/>
    <s v="315012073310-M"/>
    <m/>
    <s v="有驳船"/>
    <n v="15775.06"/>
    <x v="256"/>
    <n v="110863"/>
    <x v="84"/>
    <x v="129"/>
    <x v="14"/>
    <x v="5"/>
    <n v="17066994"/>
    <x v="0"/>
    <x v="0"/>
    <x v="0"/>
    <d v="2022-06-02T00:00:00"/>
    <d v="2022-05-13T00:00:00"/>
  </r>
  <r>
    <x v="3"/>
    <x v="4"/>
    <x v="0"/>
    <x v="2"/>
    <s v="315012073409-M"/>
    <m/>
    <s v="有驳船"/>
    <n v="0"/>
    <x v="257"/>
    <n v="110866"/>
    <x v="84"/>
    <x v="182"/>
    <x v="14"/>
    <x v="2"/>
    <n v="32891368"/>
    <x v="0"/>
    <x v="0"/>
    <x v="0"/>
    <d v="2022-05-23T00:00:00"/>
    <d v="2022-05-13T00:00:00"/>
  </r>
  <r>
    <x v="3"/>
    <x v="4"/>
    <x v="0"/>
    <x v="2"/>
    <s v="LM867228100"/>
    <m/>
    <m/>
    <n v="14487.3"/>
    <x v="258"/>
    <n v="110867"/>
    <x v="84"/>
    <x v="180"/>
    <x v="14"/>
    <x v="4"/>
    <n v="52656537"/>
    <x v="0"/>
    <x v="0"/>
    <x v="0"/>
    <d v="2022-05-23T00:00:00"/>
    <d v="2022-05-15T00:00:00"/>
  </r>
  <r>
    <x v="3"/>
    <x v="4"/>
    <x v="0"/>
    <x v="2"/>
    <s v="LM867228100"/>
    <m/>
    <s v="有驳船"/>
    <n v="15107.3"/>
    <x v="259"/>
    <n v="110883"/>
    <x v="85"/>
    <x v="183"/>
    <x v="2"/>
    <x v="4"/>
    <n v="25442535"/>
    <x v="0"/>
    <x v="0"/>
    <x v="0"/>
    <d v="2022-05-23T00:00:00"/>
    <d v="2022-05-13T00:00:00"/>
  </r>
  <r>
    <x v="3"/>
    <x v="4"/>
    <x v="0"/>
    <x v="2"/>
    <s v="315012073418-M"/>
    <m/>
    <s v="有驳船"/>
    <n v="0"/>
    <x v="260"/>
    <n v="110864"/>
    <x v="84"/>
    <x v="184"/>
    <x v="14"/>
    <x v="5"/>
    <n v="15357634"/>
    <x v="0"/>
    <x v="0"/>
    <x v="0"/>
    <d v="2022-05-23T00:00:00"/>
    <d v="2022-05-13T00:00:00"/>
  </r>
  <r>
    <x v="3"/>
    <x v="4"/>
    <x v="0"/>
    <x v="2"/>
    <s v="315012073203-M"/>
    <m/>
    <s v="有驳船"/>
    <n v="0"/>
    <x v="261"/>
    <n v="110872"/>
    <x v="84"/>
    <x v="185"/>
    <x v="2"/>
    <x v="2"/>
    <n v="20207990"/>
    <x v="0"/>
    <x v="0"/>
    <x v="0"/>
    <d v="2022-05-23T00:00:00"/>
    <d v="2022-05-13T00:00:00"/>
  </r>
  <r>
    <x v="3"/>
    <x v="4"/>
    <x v="0"/>
    <x v="2"/>
    <s v="315012073301-M"/>
    <m/>
    <s v="有驳船"/>
    <n v="0"/>
    <x v="262"/>
    <n v="110865"/>
    <x v="84"/>
    <x v="179"/>
    <x v="14"/>
    <x v="5"/>
    <n v="16194434"/>
    <x v="0"/>
    <x v="0"/>
    <x v="0"/>
    <d v="2022-06-02T00:00:00"/>
    <d v="2022-05-18T00:00:00"/>
  </r>
  <r>
    <x v="3"/>
    <x v="4"/>
    <x v="0"/>
    <x v="2"/>
    <s v="315012073347-M"/>
    <m/>
    <s v="有驳船"/>
    <n v="0"/>
    <x v="263"/>
    <n v="110868"/>
    <x v="84"/>
    <x v="186"/>
    <x v="14"/>
    <x v="5"/>
    <n v="15591934"/>
    <x v="0"/>
    <x v="0"/>
    <x v="0"/>
    <d v="2022-06-02T00:00:00"/>
    <d v="2022-05-18T00:00:00"/>
  </r>
  <r>
    <x v="3"/>
    <x v="3"/>
    <x v="0"/>
    <x v="2"/>
    <s v="CNY单"/>
    <s v="CNY单"/>
    <s v="CNY单"/>
    <n v="0"/>
    <x v="264"/>
    <s v="49F104103"/>
    <x v="71"/>
    <x v="187"/>
    <x v="2"/>
    <x v="5"/>
    <n v="410000"/>
    <x v="0"/>
    <x v="0"/>
    <x v="0"/>
    <s v="提货时间2022/3/14"/>
    <s v="提货时间2022/3/14"/>
  </r>
  <r>
    <x v="3"/>
    <x v="3"/>
    <x v="0"/>
    <x v="2"/>
    <s v="CNY单"/>
    <s v="CNY单"/>
    <s v="CNY单"/>
    <n v="0"/>
    <x v="264"/>
    <s v="49F104103"/>
    <x v="71"/>
    <x v="187"/>
    <x v="14"/>
    <x v="5"/>
    <n v="700000"/>
    <x v="0"/>
    <x v="0"/>
    <x v="0"/>
    <s v="提货时间2022/2/22"/>
    <s v="提货时间2022/2/22"/>
  </r>
  <r>
    <x v="3"/>
    <x v="3"/>
    <x v="0"/>
    <x v="2"/>
    <s v="CNY单"/>
    <s v="CNY单"/>
    <s v="CNY单"/>
    <n v="0"/>
    <x v="265"/>
    <s v="49F104104"/>
    <x v="71"/>
    <x v="177"/>
    <x v="2"/>
    <x v="5"/>
    <n v="410000"/>
    <x v="0"/>
    <x v="0"/>
    <x v="0"/>
    <s v="提货时间2022/2/22"/>
    <s v="提货时间2022/2/22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2/22"/>
    <s v="提货时间2022/2/22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3/14"/>
    <s v="提货时间2022/3/14"/>
  </r>
  <r>
    <x v="3"/>
    <x v="3"/>
    <x v="0"/>
    <x v="2"/>
    <s v="CNY单"/>
    <s v="CNY单"/>
    <s v="CNY单"/>
    <n v="0"/>
    <x v="267"/>
    <s v="49F104131"/>
    <x v="71"/>
    <x v="188"/>
    <x v="1"/>
    <x v="2"/>
    <n v="2000000"/>
    <x v="0"/>
    <x v="0"/>
    <x v="0"/>
    <s v="提货时间2022/3/14"/>
    <s v="提货时间2022/3/14"/>
  </r>
  <r>
    <x v="3"/>
    <x v="3"/>
    <x v="0"/>
    <x v="2"/>
    <s v="CNY单"/>
    <s v="CNY单"/>
    <s v="CNY单"/>
    <n v="0"/>
    <x v="268"/>
    <s v="49F104157"/>
    <x v="86"/>
    <x v="189"/>
    <x v="1"/>
    <x v="5"/>
    <n v="1000000"/>
    <x v="0"/>
    <x v="0"/>
    <x v="0"/>
    <s v="提货时间2022/1/17"/>
    <s v="提货时间2022/1/17"/>
  </r>
  <r>
    <x v="3"/>
    <x v="7"/>
    <x v="0"/>
    <x v="2"/>
    <s v="cancel"/>
    <s v="CNY单"/>
    <s v="CNY单"/>
    <n v="0"/>
    <x v="269"/>
    <s v="49F104158"/>
    <x v="86"/>
    <x v="190"/>
    <x v="1"/>
    <x v="5"/>
    <n v="1000000"/>
    <x v="0"/>
    <x v="0"/>
    <x v="0"/>
    <s v="cancel"/>
    <s v="cancel"/>
  </r>
  <r>
    <x v="3"/>
    <x v="3"/>
    <x v="0"/>
    <x v="2"/>
    <s v="CNY单"/>
    <s v="CNY单"/>
    <s v="CNY单"/>
    <n v="0"/>
    <x v="270"/>
    <s v="49F104161"/>
    <x v="87"/>
    <x v="114"/>
    <x v="1"/>
    <x v="3"/>
    <n v="5000000"/>
    <x v="0"/>
    <x v="0"/>
    <x v="0"/>
    <s v="提货时间2022/2/22"/>
    <s v="提货时间2022/2/22"/>
  </r>
  <r>
    <x v="3"/>
    <x v="7"/>
    <x v="0"/>
    <x v="2"/>
    <s v="cancel"/>
    <s v="CNY单"/>
    <s v="CNY单"/>
    <n v="0"/>
    <x v="271"/>
    <s v="49F104165"/>
    <x v="88"/>
    <x v="191"/>
    <x v="1"/>
    <x v="5"/>
    <n v="1000000"/>
    <x v="0"/>
    <x v="0"/>
    <x v="0"/>
    <s v="cancel"/>
    <s v="cancel"/>
  </r>
  <r>
    <x v="3"/>
    <x v="7"/>
    <x v="0"/>
    <x v="2"/>
    <s v="cancel"/>
    <s v="CNY单"/>
    <s v="CNY单"/>
    <n v="0"/>
    <x v="272"/>
    <s v="49F104166"/>
    <x v="88"/>
    <x v="192"/>
    <x v="1"/>
    <x v="5"/>
    <n v="1000000"/>
    <x v="0"/>
    <x v="0"/>
    <x v="0"/>
    <s v="cancel"/>
    <s v="cancel"/>
  </r>
  <r>
    <x v="3"/>
    <x v="3"/>
    <x v="0"/>
    <x v="2"/>
    <s v="CNY单"/>
    <s v="CNY单"/>
    <s v="CNY单"/>
    <n v="0"/>
    <x v="273"/>
    <s v="49F104167"/>
    <x v="88"/>
    <x v="95"/>
    <x v="1"/>
    <x v="2"/>
    <n v="2000000"/>
    <x v="0"/>
    <x v="0"/>
    <x v="0"/>
    <s v="提货时间2022/3/8"/>
    <s v="提货时间2022/3/8"/>
  </r>
  <r>
    <x v="3"/>
    <x v="7"/>
    <x v="0"/>
    <x v="2"/>
    <s v="cancel"/>
    <s v="CNY单"/>
    <s v="CNY单"/>
    <n v="0"/>
    <x v="274"/>
    <s v="49F104168"/>
    <x v="88"/>
    <x v="193"/>
    <x v="1"/>
    <x v="5"/>
    <n v="1000000"/>
    <x v="0"/>
    <x v="0"/>
    <x v="0"/>
    <s v="cancel"/>
    <s v="cancel"/>
  </r>
  <r>
    <x v="3"/>
    <x v="5"/>
    <x v="0"/>
    <x v="2"/>
    <s v="LC copy ASAP SCB"/>
    <m/>
    <s v="有驳船"/>
    <n v="22780.95"/>
    <x v="275"/>
    <n v="110896"/>
    <x v="82"/>
    <x v="88"/>
    <x v="2"/>
    <x v="6"/>
    <n v="55256220"/>
    <x v="0"/>
    <x v="0"/>
    <x v="0"/>
    <d v="2022-06-02T00:00:00"/>
    <d v="2022-05-18T00:00:00"/>
  </r>
  <r>
    <x v="3"/>
    <x v="1"/>
    <x v="0"/>
    <x v="2"/>
    <s v="LM867558100"/>
    <m/>
    <m/>
    <n v="0"/>
    <x v="276"/>
    <n v="110877"/>
    <x v="84"/>
    <x v="181"/>
    <x v="7"/>
    <x v="5"/>
    <n v="4700360"/>
    <x v="0"/>
    <x v="0"/>
    <x v="0"/>
    <d v="2022-06-08T00:00:00"/>
    <d v="2022-06-02T00:00:00"/>
  </r>
  <r>
    <x v="3"/>
    <x v="0"/>
    <x v="0"/>
    <x v="1"/>
    <s v="LM867568100"/>
    <m/>
    <m/>
    <n v="9359.9"/>
    <x v="277"/>
    <n v="110910"/>
    <x v="49"/>
    <x v="85"/>
    <x v="2"/>
    <x v="5"/>
    <n v="5394765"/>
    <x v="0"/>
    <x v="0"/>
    <x v="0"/>
    <d v="2022-06-08T00:00:00"/>
    <d v="2022-05-25T00:00:00"/>
  </r>
  <r>
    <x v="3"/>
    <x v="4"/>
    <x v="0"/>
    <x v="2"/>
    <s v="DC TST118122"/>
    <m/>
    <m/>
    <n v="0"/>
    <x v="278"/>
    <n v="110871"/>
    <x v="84"/>
    <x v="184"/>
    <x v="2"/>
    <x v="5"/>
    <n v="10021195"/>
    <x v="0"/>
    <x v="0"/>
    <x v="0"/>
    <d v="2022-06-12T00:00:00"/>
    <d v="2022-05-25T00:00:00"/>
  </r>
  <r>
    <x v="3"/>
    <x v="4"/>
    <x v="0"/>
    <x v="2"/>
    <s v="DC TST118121"/>
    <m/>
    <m/>
    <n v="9359.9"/>
    <x v="279"/>
    <n v="110887"/>
    <x v="85"/>
    <x v="183"/>
    <x v="2"/>
    <x v="5"/>
    <n v="9909445"/>
    <x v="0"/>
    <x v="0"/>
    <x v="0"/>
    <d v="2022-06-12T00:00:00"/>
    <d v="2022-05-25T00:00:00"/>
  </r>
  <r>
    <x v="3"/>
    <x v="4"/>
    <x v="0"/>
    <x v="2"/>
    <s v="DC TST118126"/>
    <m/>
    <m/>
    <n v="15464.3"/>
    <x v="280"/>
    <n v="110875"/>
    <x v="84"/>
    <x v="182"/>
    <x v="2"/>
    <x v="5"/>
    <n v="9704395"/>
    <x v="0"/>
    <x v="0"/>
    <x v="0"/>
    <d v="2022-06-13T00:00:00"/>
    <d v="2022-06-06T00:00:00"/>
  </r>
  <r>
    <x v="3"/>
    <x v="4"/>
    <x v="0"/>
    <x v="2"/>
    <s v="DC TST118126"/>
    <m/>
    <m/>
    <n v="0"/>
    <x v="280"/>
    <n v="110975"/>
    <x v="84"/>
    <x v="182"/>
    <x v="2"/>
    <x v="5"/>
    <n v="9704395"/>
    <x v="0"/>
    <x v="0"/>
    <x v="0"/>
    <d v="2022-06-13T00:00:00"/>
    <d v="2022-06-01T00:00:00"/>
  </r>
  <r>
    <x v="3"/>
    <x v="0"/>
    <x v="0"/>
    <x v="2"/>
    <s v="LM867878100"/>
    <m/>
    <m/>
    <n v="0"/>
    <x v="281"/>
    <n v="110935"/>
    <x v="58"/>
    <x v="118"/>
    <x v="2"/>
    <x v="2"/>
    <n v="11084995"/>
    <x v="0"/>
    <x v="0"/>
    <x v="0"/>
    <d v="2022-06-13T00:00:00"/>
    <d v="2022-06-03T00:00:00"/>
  </r>
  <r>
    <x v="3"/>
    <x v="0"/>
    <x v="0"/>
    <x v="1"/>
    <s v="315012074239-M"/>
    <m/>
    <m/>
    <n v="14844.3"/>
    <x v="282"/>
    <n v="110949"/>
    <x v="57"/>
    <x v="85"/>
    <x v="14"/>
    <x v="4"/>
    <n v="28913508"/>
    <x v="0"/>
    <x v="0"/>
    <x v="0"/>
    <d v="2022-06-18T00:00:00"/>
    <d v="2022-06-10T00:00:00"/>
  </r>
  <r>
    <x v="3"/>
    <x v="6"/>
    <x v="0"/>
    <x v="2"/>
    <s v="315012074220-M"/>
    <m/>
    <m/>
    <n v="14844.3"/>
    <x v="283"/>
    <n v="110809"/>
    <x v="82"/>
    <x v="88"/>
    <x v="2"/>
    <x v="0"/>
    <n v="27932380"/>
    <x v="0"/>
    <x v="0"/>
    <x v="0"/>
    <d v="2022-06-24T00:00:00"/>
    <d v="2022-06-08T00:00:00"/>
  </r>
  <r>
    <x v="5"/>
    <x v="7"/>
    <x v="0"/>
    <x v="1"/>
    <s v="cancel"/>
    <m/>
    <m/>
    <m/>
    <x v="284"/>
    <n v="110254"/>
    <x v="49"/>
    <x v="85"/>
    <x v="14"/>
    <x v="2"/>
    <n v="18857940"/>
    <x v="0"/>
    <x v="0"/>
    <x v="0"/>
    <s v="cancel"/>
    <s v="cancel"/>
  </r>
  <r>
    <x v="5"/>
    <x v="7"/>
    <x v="0"/>
    <x v="2"/>
    <s v="cancel"/>
    <m/>
    <m/>
    <m/>
    <x v="285"/>
    <n v="110315"/>
    <x v="57"/>
    <x v="120"/>
    <x v="2"/>
    <x v="0"/>
    <n v="37581840"/>
    <x v="0"/>
    <x v="0"/>
    <x v="0"/>
    <s v="cancel"/>
    <s v="cancel"/>
  </r>
  <r>
    <x v="5"/>
    <x v="7"/>
    <x v="0"/>
    <x v="1"/>
    <s v="cancel"/>
    <m/>
    <m/>
    <m/>
    <x v="286"/>
    <n v="110250"/>
    <x v="49"/>
    <x v="85"/>
    <x v="2"/>
    <x v="0"/>
    <n v="22736010"/>
    <x v="0"/>
    <x v="0"/>
    <x v="0"/>
    <s v="cancel"/>
    <s v="cancel"/>
  </r>
  <r>
    <x v="5"/>
    <x v="7"/>
    <x v="0"/>
    <x v="1"/>
    <s v="cancel"/>
    <m/>
    <m/>
    <m/>
    <x v="286"/>
    <n v="110367"/>
    <x v="49"/>
    <x v="85"/>
    <x v="2"/>
    <x v="2"/>
    <n v="13439130"/>
    <x v="0"/>
    <x v="0"/>
    <x v="0"/>
    <s v="cancel"/>
    <s v="cancel"/>
  </r>
  <r>
    <x v="5"/>
    <x v="7"/>
    <x v="0"/>
    <x v="1"/>
    <s v="cancel"/>
    <m/>
    <m/>
    <m/>
    <x v="287"/>
    <n v="110316"/>
    <x v="57"/>
    <x v="85"/>
    <x v="2"/>
    <x v="12"/>
    <n v="112775273"/>
    <x v="0"/>
    <x v="0"/>
    <x v="0"/>
    <s v="cancel"/>
    <s v="cancel"/>
  </r>
  <r>
    <x v="5"/>
    <x v="7"/>
    <x v="0"/>
    <x v="1"/>
    <s v="cancel"/>
    <m/>
    <m/>
    <m/>
    <x v="288"/>
    <n v="110317"/>
    <x v="57"/>
    <x v="85"/>
    <x v="14"/>
    <x v="12"/>
    <n v="145060660"/>
    <x v="0"/>
    <x v="0"/>
    <x v="0"/>
    <s v="cancel"/>
    <s v="cancel"/>
  </r>
  <r>
    <x v="5"/>
    <x v="7"/>
    <x v="0"/>
    <x v="1"/>
    <s v="cancel"/>
    <m/>
    <m/>
    <m/>
    <x v="289"/>
    <n v="110318"/>
    <x v="57"/>
    <x v="85"/>
    <x v="2"/>
    <x v="13"/>
    <n v="132985080"/>
    <x v="0"/>
    <x v="0"/>
    <x v="0"/>
    <s v="cancel"/>
    <s v="cancel"/>
  </r>
  <r>
    <x v="5"/>
    <x v="7"/>
    <x v="0"/>
    <x v="1"/>
    <s v="cancel"/>
    <m/>
    <m/>
    <m/>
    <x v="290"/>
    <n v="110319"/>
    <x v="57"/>
    <x v="85"/>
    <x v="14"/>
    <x v="13"/>
    <n v="233803760"/>
    <x v="0"/>
    <x v="0"/>
    <x v="0"/>
    <s v="cancel"/>
    <s v="cancel"/>
  </r>
  <r>
    <x v="5"/>
    <x v="7"/>
    <x v="0"/>
    <x v="1"/>
    <s v="cancel"/>
    <m/>
    <m/>
    <m/>
    <x v="291"/>
    <n v="110374"/>
    <x v="89"/>
    <x v="85"/>
    <x v="2"/>
    <x v="13"/>
    <n v="157849110"/>
    <x v="0"/>
    <x v="0"/>
    <x v="0"/>
    <s v="cancel"/>
    <s v="cancel"/>
  </r>
  <r>
    <x v="5"/>
    <x v="7"/>
    <x v="0"/>
    <x v="1"/>
    <s v="cancel"/>
    <m/>
    <m/>
    <m/>
    <x v="292"/>
    <n v="110375"/>
    <x v="89"/>
    <x v="85"/>
    <x v="2"/>
    <x v="13"/>
    <n v="161264160"/>
    <x v="0"/>
    <x v="0"/>
    <x v="0"/>
    <s v="cancel"/>
    <s v="cancel"/>
  </r>
  <r>
    <x v="5"/>
    <x v="7"/>
    <x v="0"/>
    <x v="1"/>
    <s v="cancel"/>
    <m/>
    <m/>
    <m/>
    <x v="293"/>
    <n v="110376"/>
    <x v="89"/>
    <x v="85"/>
    <x v="2"/>
    <x v="8"/>
    <n v="72886425"/>
    <x v="0"/>
    <x v="0"/>
    <x v="0"/>
    <s v="cancel"/>
    <s v="cancel"/>
  </r>
  <r>
    <x v="5"/>
    <x v="7"/>
    <x v="0"/>
    <x v="1"/>
    <s v="cancel"/>
    <m/>
    <m/>
    <m/>
    <x v="294"/>
    <n v="110377"/>
    <x v="89"/>
    <x v="85"/>
    <x v="14"/>
    <x v="13"/>
    <n v="240274160"/>
    <x v="0"/>
    <x v="0"/>
    <x v="0"/>
    <s v="cancel"/>
    <s v="cancel"/>
  </r>
  <r>
    <x v="5"/>
    <x v="7"/>
    <x v="0"/>
    <x v="1"/>
    <s v="cancel"/>
    <m/>
    <m/>
    <m/>
    <x v="295"/>
    <n v="110378"/>
    <x v="89"/>
    <x v="85"/>
    <x v="14"/>
    <x v="13"/>
    <n v="237862160"/>
    <x v="0"/>
    <x v="0"/>
    <x v="0"/>
    <s v="cancel"/>
    <s v="cancel"/>
  </r>
  <r>
    <x v="5"/>
    <x v="7"/>
    <x v="0"/>
    <x v="1"/>
    <s v="cancel"/>
    <m/>
    <m/>
    <m/>
    <x v="296"/>
    <n v="110379"/>
    <x v="89"/>
    <x v="85"/>
    <x v="14"/>
    <x v="13"/>
    <n v="236981360"/>
    <x v="0"/>
    <x v="0"/>
    <x v="0"/>
    <s v="cancel"/>
    <s v="cancel"/>
  </r>
  <r>
    <x v="5"/>
    <x v="7"/>
    <x v="0"/>
    <x v="2"/>
    <s v="cancel"/>
    <m/>
    <m/>
    <m/>
    <x v="297"/>
    <n v="110497"/>
    <x v="58"/>
    <x v="118"/>
    <x v="2"/>
    <x v="2"/>
    <n v="11084995.000000002"/>
    <x v="0"/>
    <x v="0"/>
    <x v="0"/>
    <s v="cancel"/>
    <s v="cancel"/>
  </r>
  <r>
    <x v="3"/>
    <x v="8"/>
    <x v="0"/>
    <x v="2"/>
    <s v="LM868488100"/>
    <m/>
    <m/>
    <n v="0"/>
    <x v="298"/>
    <n v="110965"/>
    <x v="58"/>
    <x v="118"/>
    <x v="2"/>
    <x v="5"/>
    <n v="5542497.5000000009"/>
    <x v="0"/>
    <x v="0"/>
    <x v="0"/>
    <d v="2022-07-04T00:00:00"/>
    <d v="2022-06-28T00:00:00"/>
  </r>
  <r>
    <x v="6"/>
    <x v="7"/>
    <x v="0"/>
    <x v="2"/>
    <s v="cancel"/>
    <m/>
    <m/>
    <m/>
    <x v="299"/>
    <n v="110444"/>
    <x v="90"/>
    <x v="128"/>
    <x v="14"/>
    <x v="8"/>
    <n v="118739880"/>
    <x v="0"/>
    <x v="0"/>
    <x v="0"/>
    <s v="cancel"/>
    <s v="cancel"/>
  </r>
  <r>
    <x v="6"/>
    <x v="7"/>
    <x v="0"/>
    <x v="2"/>
    <s v="cancel"/>
    <m/>
    <m/>
    <m/>
    <x v="300"/>
    <n v="110445"/>
    <x v="90"/>
    <x v="128"/>
    <x v="2"/>
    <x v="8"/>
    <n v="75733925"/>
    <x v="0"/>
    <x v="0"/>
    <x v="0"/>
    <s v="cancel"/>
    <s v="cancel"/>
  </r>
  <r>
    <x v="3"/>
    <x v="0"/>
    <x v="0"/>
    <x v="1"/>
    <s v="30% deposit, 70% balance"/>
    <m/>
    <s v="有驳船"/>
    <n v="4264"/>
    <x v="301"/>
    <n v="110519"/>
    <x v="91"/>
    <x v="139"/>
    <x v="14"/>
    <x v="2"/>
    <n v="22703400"/>
    <x v="4"/>
    <x v="0"/>
    <x v="0"/>
    <d v="2022-04-11T00:00:00"/>
    <d v="2022-04-10T00:00:00"/>
  </r>
  <r>
    <x v="3"/>
    <x v="0"/>
    <x v="0"/>
    <x v="1"/>
    <s v="30% deposit, 70% balance"/>
    <m/>
    <s v="有驳船"/>
    <n v="0"/>
    <x v="301"/>
    <n v="110519"/>
    <x v="91"/>
    <x v="139"/>
    <x v="2"/>
    <x v="5"/>
    <n v="7452100"/>
    <x v="4"/>
    <x v="0"/>
    <x v="0"/>
    <d v="2022-04-11T00:00:00"/>
    <d v="2022-04-10T00:00:00"/>
  </r>
  <r>
    <x v="3"/>
    <x v="5"/>
    <x v="0"/>
    <x v="2"/>
    <s v="DC TST120729"/>
    <m/>
    <s v="有驳船"/>
    <n v="24422.3"/>
    <x v="302"/>
    <n v="110915"/>
    <x v="92"/>
    <x v="129"/>
    <x v="14"/>
    <x v="4"/>
    <n v="54772602"/>
    <x v="0"/>
    <x v="0"/>
    <x v="0"/>
    <d v="2022-07-14T00:00:00"/>
    <d v="2022-07-01T00:00:00"/>
  </r>
  <r>
    <x v="3"/>
    <x v="4"/>
    <x v="0"/>
    <x v="2"/>
    <s v="315012074792-M"/>
    <m/>
    <m/>
    <n v="15107.3"/>
    <x v="303"/>
    <n v="110916"/>
    <x v="92"/>
    <x v="194"/>
    <x v="14"/>
    <x v="2"/>
    <n v="30364548"/>
    <x v="0"/>
    <x v="0"/>
    <x v="0"/>
    <d v="2022-07-04T00:00:00"/>
    <d v="2022-06-24T00:00:00"/>
  </r>
  <r>
    <x v="3"/>
    <x v="4"/>
    <x v="0"/>
    <x v="2"/>
    <s v="LM868438100"/>
    <m/>
    <m/>
    <n v="15107.3"/>
    <x v="304"/>
    <n v="110917"/>
    <x v="92"/>
    <x v="195"/>
    <x v="14"/>
    <x v="4"/>
    <n v="42036672"/>
    <x v="0"/>
    <x v="0"/>
    <x v="0"/>
    <d v="2022-07-04T00:00:00"/>
    <d v="2022-06-24T00:00:00"/>
  </r>
  <r>
    <x v="3"/>
    <x v="6"/>
    <x v="0"/>
    <x v="2"/>
    <s v="DC TST118129 "/>
    <m/>
    <m/>
    <n v="15727.3"/>
    <x v="305"/>
    <n v="110918"/>
    <x v="93"/>
    <x v="146"/>
    <x v="2"/>
    <x v="2"/>
    <n v="22504490"/>
    <x v="0"/>
    <x v="0"/>
    <x v="0"/>
    <d v="2022-06-27T00:00:00"/>
    <d v="2022-06-20T00:00:00"/>
  </r>
  <r>
    <x v="3"/>
    <x v="6"/>
    <x v="0"/>
    <x v="2"/>
    <s v="DC TST118134"/>
    <m/>
    <m/>
    <n v="22691.7"/>
    <x v="306"/>
    <n v="110919"/>
    <x v="93"/>
    <x v="180"/>
    <x v="2"/>
    <x v="3"/>
    <n v="53921503"/>
    <x v="0"/>
    <x v="0"/>
    <x v="0"/>
    <d v="2022-06-27T00:00:00"/>
    <d v="2022-06-17T00:00:00"/>
  </r>
  <r>
    <x v="3"/>
    <x v="6"/>
    <x v="0"/>
    <x v="2"/>
    <m/>
    <m/>
    <m/>
    <n v="0"/>
    <x v="306"/>
    <n v="110927"/>
    <x v="93"/>
    <x v="180"/>
    <x v="2"/>
    <x v="5"/>
    <n v="6465595"/>
    <x v="0"/>
    <x v="0"/>
    <x v="0"/>
    <d v="2022-06-27T00:00:00"/>
    <d v="2022-06-20T00:00:00"/>
  </r>
  <r>
    <x v="3"/>
    <x v="6"/>
    <x v="0"/>
    <x v="2"/>
    <s v="DC TST118137"/>
    <m/>
    <m/>
    <n v="0"/>
    <x v="307"/>
    <n v="110920"/>
    <x v="93"/>
    <x v="196"/>
    <x v="2"/>
    <x v="2"/>
    <n v="20402792"/>
    <x v="0"/>
    <x v="0"/>
    <x v="0"/>
    <d v="2022-07-04T00:00:00"/>
    <d v="2022-06-28T00:00:00"/>
  </r>
  <r>
    <x v="3"/>
    <x v="4"/>
    <x v="0"/>
    <x v="2"/>
    <s v="315012074569-M"/>
    <m/>
    <m/>
    <n v="0"/>
    <x v="308"/>
    <n v="110921"/>
    <x v="93"/>
    <x v="197"/>
    <x v="2"/>
    <x v="5"/>
    <n v="8257195"/>
    <x v="0"/>
    <x v="0"/>
    <x v="0"/>
    <d v="2022-06-27T00:00:00"/>
    <d v="2022-06-20T00:00:00"/>
  </r>
  <r>
    <x v="3"/>
    <x v="6"/>
    <x v="0"/>
    <x v="2"/>
    <s v="315012074756-M"/>
    <m/>
    <m/>
    <n v="15107.3"/>
    <x v="309"/>
    <n v="110922"/>
    <x v="93"/>
    <x v="195"/>
    <x v="2"/>
    <x v="0"/>
    <n v="40009030"/>
    <x v="0"/>
    <x v="0"/>
    <x v="0"/>
    <d v="2022-06-27T00:00:00"/>
    <d v="2022-06-17T00:00:00"/>
  </r>
  <r>
    <x v="3"/>
    <x v="4"/>
    <x v="0"/>
    <x v="2"/>
    <s v="315012074587-M"/>
    <m/>
    <m/>
    <n v="0"/>
    <x v="310"/>
    <n v="110923"/>
    <x v="93"/>
    <x v="198"/>
    <x v="2"/>
    <x v="2"/>
    <n v="19243190"/>
    <x v="0"/>
    <x v="0"/>
    <x v="0"/>
    <d v="2022-07-04T00:00:00"/>
    <d v="2022-06-28T00:00:00"/>
  </r>
  <r>
    <x v="3"/>
    <x v="4"/>
    <x v="0"/>
    <x v="2"/>
    <s v="DC TST118131"/>
    <m/>
    <m/>
    <n v="0"/>
    <x v="311"/>
    <n v="110924"/>
    <x v="93"/>
    <x v="199"/>
    <x v="2"/>
    <x v="5"/>
    <n v="8257195"/>
    <x v="0"/>
    <x v="0"/>
    <x v="0"/>
    <d v="2022-06-27T00:00:00"/>
    <d v="2022-06-17T00:00:00"/>
  </r>
  <r>
    <x v="3"/>
    <x v="9"/>
    <x v="1"/>
    <x v="2"/>
    <s v="LM869258100"/>
    <m/>
    <m/>
    <n v="11749.7"/>
    <x v="312"/>
    <n v="110928"/>
    <x v="94"/>
    <x v="200"/>
    <x v="2"/>
    <x v="5"/>
    <n v="8173265.5"/>
    <x v="0"/>
    <x v="0"/>
    <x v="0"/>
    <d v="2022-08-08T00:00:00"/>
    <d v="2022-07-29T00:00:00"/>
  </r>
  <r>
    <x v="3"/>
    <x v="10"/>
    <x v="1"/>
    <x v="2"/>
    <s v="LM869258100"/>
    <m/>
    <m/>
    <n v="0"/>
    <x v="312"/>
    <n v="110928"/>
    <x v="94"/>
    <x v="200"/>
    <x v="14"/>
    <x v="4"/>
    <n v="34129513.5"/>
    <x v="0"/>
    <x v="0"/>
    <x v="0"/>
    <d v="2022-08-08T00:00:00"/>
    <d v="2022-07-29T00:00:00"/>
  </r>
  <r>
    <x v="3"/>
    <x v="9"/>
    <x v="1"/>
    <x v="2"/>
    <s v="DC TST120854"/>
    <m/>
    <m/>
    <n v="12049.7"/>
    <x v="313"/>
    <n v="110929"/>
    <x v="94"/>
    <x v="200"/>
    <x v="2"/>
    <x v="5"/>
    <n v="7874094"/>
    <x v="0"/>
    <x v="0"/>
    <x v="0"/>
    <d v="2022-08-08T00:00:00"/>
    <d v="2022-07-27T00:00:00"/>
  </r>
  <r>
    <x v="3"/>
    <x v="10"/>
    <x v="1"/>
    <x v="2"/>
    <s v="DC TST120854"/>
    <m/>
    <m/>
    <n v="0"/>
    <x v="313"/>
    <n v="110929"/>
    <x v="94"/>
    <x v="200"/>
    <x v="14"/>
    <x v="4"/>
    <n v="33141765"/>
    <x v="0"/>
    <x v="0"/>
    <x v="0"/>
    <d v="2022-08-08T00:00:00"/>
    <d v="2022-07-27T00:00:00"/>
  </r>
  <r>
    <x v="3"/>
    <x v="1"/>
    <x v="1"/>
    <x v="2"/>
    <s v="DC TST120855"/>
    <m/>
    <m/>
    <n v="11749.7"/>
    <x v="314"/>
    <n v="110940"/>
    <x v="95"/>
    <x v="200"/>
    <x v="15"/>
    <x v="0"/>
    <n v="35339280"/>
    <x v="0"/>
    <x v="0"/>
    <x v="0"/>
    <d v="2022-08-08T00:00:00"/>
    <d v="2022-07-29T00:00:00"/>
  </r>
  <r>
    <x v="3"/>
    <x v="4"/>
    <x v="0"/>
    <x v="2"/>
    <s v="LM868358100"/>
    <m/>
    <m/>
    <n v="0"/>
    <x v="315"/>
    <n v="110930"/>
    <x v="95"/>
    <x v="201"/>
    <x v="2"/>
    <x v="5"/>
    <n v="9229495"/>
    <x v="0"/>
    <x v="0"/>
    <x v="0"/>
    <d v="2022-06-27T00:00:00"/>
    <d v="2022-06-17T00:00:00"/>
  </r>
  <r>
    <x v="3"/>
    <x v="4"/>
    <x v="0"/>
    <x v="2"/>
    <s v="315012074667-M"/>
    <m/>
    <m/>
    <n v="15727.3"/>
    <x v="316"/>
    <n v="110931"/>
    <x v="95"/>
    <x v="138"/>
    <x v="2"/>
    <x v="2"/>
    <n v="15996890"/>
    <x v="0"/>
    <x v="0"/>
    <x v="0"/>
    <d v="2022-07-04T00:00:00"/>
    <d v="2022-06-28T00:00:00"/>
  </r>
  <r>
    <x v="3"/>
    <x v="6"/>
    <x v="0"/>
    <x v="2"/>
    <s v="LM868528100"/>
    <m/>
    <m/>
    <n v="0"/>
    <x v="317"/>
    <n v="110932"/>
    <x v="95"/>
    <x v="202"/>
    <x v="2"/>
    <x v="5"/>
    <n v="8257195"/>
    <x v="0"/>
    <x v="0"/>
    <x v="0"/>
    <d v="2022-07-04T00:00:00"/>
    <d v="2022-06-28T00:00:00"/>
  </r>
  <r>
    <x v="3"/>
    <x v="4"/>
    <x v="0"/>
    <x v="2"/>
    <s v="LM868518100"/>
    <m/>
    <m/>
    <n v="9979.9"/>
    <x v="318"/>
    <n v="110933"/>
    <x v="95"/>
    <x v="203"/>
    <x v="14"/>
    <x v="5"/>
    <n v="13184434"/>
    <x v="0"/>
    <x v="0"/>
    <x v="0"/>
    <d v="2022-07-08T00:00:00"/>
    <d v="2022-06-29T00:00:00"/>
  </r>
  <r>
    <x v="3"/>
    <x v="4"/>
    <x v="0"/>
    <x v="2"/>
    <m/>
    <m/>
    <m/>
    <n v="0"/>
    <x v="319"/>
    <n v="110934"/>
    <x v="95"/>
    <x v="204"/>
    <x v="14"/>
    <x v="5"/>
    <n v="13184434"/>
    <x v="0"/>
    <x v="0"/>
    <x v="0"/>
    <d v="2022-07-08T00:00:00"/>
    <d v="2022-06-29T00:00:00"/>
  </r>
  <r>
    <x v="3"/>
    <x v="0"/>
    <x v="0"/>
    <x v="1"/>
    <s v="315012075611"/>
    <m/>
    <s v="有驳船"/>
    <n v="0"/>
    <x v="320"/>
    <n v="110948"/>
    <x v="49"/>
    <x v="85"/>
    <x v="14"/>
    <x v="5"/>
    <n v="9428970"/>
    <x v="0"/>
    <x v="0"/>
    <x v="0"/>
    <d v="2022-07-14T00:00:00"/>
    <d v="2022-07-08T00:00:00"/>
  </r>
  <r>
    <x v="3"/>
    <x v="11"/>
    <x v="0"/>
    <x v="2"/>
    <s v="315012075283-M"/>
    <m/>
    <m/>
    <n v="13289.7"/>
    <x v="321"/>
    <n v="110962"/>
    <x v="96"/>
    <x v="184"/>
    <x v="14"/>
    <x v="5"/>
    <n v="12616166"/>
    <x v="0"/>
    <x v="0"/>
    <x v="0"/>
    <d v="2022-07-31T00:00:00"/>
    <d v="2022-07-15T00:00:00"/>
  </r>
  <r>
    <x v="3"/>
    <x v="11"/>
    <x v="0"/>
    <x v="2"/>
    <s v="315012075283-M"/>
    <m/>
    <m/>
    <n v="0"/>
    <x v="321"/>
    <n v="111022"/>
    <x v="96"/>
    <x v="184"/>
    <x v="14"/>
    <x v="5"/>
    <n v="10852166"/>
    <x v="0"/>
    <x v="0"/>
    <x v="0"/>
    <d v="2022-07-31T00:00:00"/>
    <d v="2022-07-18T00:00:00"/>
  </r>
  <r>
    <x v="3"/>
    <x v="11"/>
    <x v="0"/>
    <x v="2"/>
    <s v="315012075274-M"/>
    <m/>
    <m/>
    <n v="12669.7"/>
    <x v="322"/>
    <n v="110961"/>
    <x v="96"/>
    <x v="205"/>
    <x v="14"/>
    <x v="5"/>
    <n v="12616166"/>
    <x v="0"/>
    <x v="0"/>
    <x v="0"/>
    <d v="2022-07-31T00:00:00"/>
    <d v="2022-07-15T00:00:00"/>
  </r>
  <r>
    <x v="3"/>
    <x v="11"/>
    <x v="0"/>
    <x v="2"/>
    <s v="315012075274-M"/>
    <m/>
    <m/>
    <n v="0"/>
    <x v="322"/>
    <n v="111023"/>
    <x v="96"/>
    <x v="205"/>
    <x v="14"/>
    <x v="5"/>
    <n v="10852166"/>
    <x v="0"/>
    <x v="0"/>
    <x v="0"/>
    <d v="2022-07-31T00:00:00"/>
    <d v="2022-07-18T00:00:00"/>
  </r>
  <r>
    <x v="3"/>
    <x v="11"/>
    <x v="0"/>
    <x v="2"/>
    <s v="DC TST118145"/>
    <m/>
    <m/>
    <n v="0"/>
    <x v="323"/>
    <n v="110960"/>
    <x v="96"/>
    <x v="201"/>
    <x v="14"/>
    <x v="2"/>
    <n v="21704332"/>
    <x v="0"/>
    <x v="0"/>
    <x v="0"/>
    <d v="2022-07-31T00:00:00"/>
    <d v="2022-07-19T00:00:00"/>
  </r>
  <r>
    <x v="3"/>
    <x v="11"/>
    <x v="0"/>
    <x v="2"/>
    <s v="DC TST118145"/>
    <m/>
    <m/>
    <n v="0"/>
    <x v="323"/>
    <n v="111038"/>
    <x v="96"/>
    <x v="201"/>
    <x v="14"/>
    <x v="5"/>
    <n v="12616166"/>
    <x v="0"/>
    <x v="0"/>
    <x v="0"/>
    <d v="2022-07-31T00:00:00"/>
    <d v="2022-07-15T00:00:00"/>
  </r>
  <r>
    <x v="3"/>
    <x v="12"/>
    <x v="0"/>
    <x v="2"/>
    <s v="315012075005-M"/>
    <m/>
    <m/>
    <n v="24422.3"/>
    <x v="324"/>
    <n v="110957"/>
    <x v="96"/>
    <x v="194"/>
    <x v="14"/>
    <x v="4"/>
    <n v="35061498"/>
    <x v="0"/>
    <x v="0"/>
    <x v="0"/>
    <d v="2022-07-27T00:00:00"/>
    <d v="2022-07-15T00:00:00"/>
  </r>
  <r>
    <x v="3"/>
    <x v="12"/>
    <x v="0"/>
    <x v="2"/>
    <s v="315012075522-M"/>
    <m/>
    <m/>
    <n v="23251.4"/>
    <x v="325"/>
    <n v="110959"/>
    <x v="96"/>
    <x v="183"/>
    <x v="14"/>
    <x v="1"/>
    <n v="79007679"/>
    <x v="0"/>
    <x v="0"/>
    <x v="0"/>
    <d v="2022-08-01T00:00:00"/>
    <d v="2022-07-24T00:00:00"/>
  </r>
  <r>
    <x v="3"/>
    <x v="12"/>
    <x v="0"/>
    <x v="2"/>
    <s v="315012075522-M"/>
    <m/>
    <m/>
    <n v="0"/>
    <x v="325"/>
    <n v="111021"/>
    <x v="96"/>
    <x v="183"/>
    <x v="14"/>
    <x v="5"/>
    <n v="10852166"/>
    <x v="0"/>
    <x v="0"/>
    <x v="0"/>
    <d v="2022-08-01T00:00:00"/>
    <d v="2022-07-24T00:00:00"/>
  </r>
  <r>
    <x v="3"/>
    <x v="12"/>
    <x v="0"/>
    <x v="2"/>
    <s v="LM868988100"/>
    <m/>
    <m/>
    <n v="12989.7"/>
    <x v="326"/>
    <n v="110958"/>
    <x v="96"/>
    <x v="206"/>
    <x v="14"/>
    <x v="2"/>
    <n v="23468332"/>
    <x v="0"/>
    <x v="0"/>
    <x v="0"/>
    <d v="2022-07-31T00:00:00"/>
    <d v="2022-07-15T00:00:00"/>
  </r>
  <r>
    <x v="3"/>
    <x v="10"/>
    <x v="0"/>
    <x v="2"/>
    <s v="315012075265-M"/>
    <m/>
    <m/>
    <n v="0"/>
    <x v="327"/>
    <n v="110956"/>
    <x v="96"/>
    <x v="207"/>
    <x v="2"/>
    <x v="5"/>
    <n v="8231802.5"/>
    <x v="0"/>
    <x v="0"/>
    <x v="0"/>
    <d v="2022-07-31T00:00:00"/>
    <d v="2022-07-15T00:00:00"/>
  </r>
  <r>
    <x v="3"/>
    <x v="10"/>
    <x v="0"/>
    <x v="2"/>
    <s v="LM868998100"/>
    <m/>
    <m/>
    <n v="0"/>
    <x v="328"/>
    <n v="110953"/>
    <x v="96"/>
    <x v="208"/>
    <x v="2"/>
    <x v="2"/>
    <n v="15776985"/>
    <x v="0"/>
    <x v="0"/>
    <x v="0"/>
    <d v="2022-07-31T00:00:00"/>
    <d v="2022-07-19T00:00:00"/>
  </r>
  <r>
    <x v="3"/>
    <x v="10"/>
    <x v="0"/>
    <x v="2"/>
    <s v="DC TST118146"/>
    <m/>
    <m/>
    <n v="0"/>
    <x v="329"/>
    <n v="110952"/>
    <x v="96"/>
    <x v="209"/>
    <x v="2"/>
    <x v="5"/>
    <n v="8237847.5"/>
    <x v="0"/>
    <x v="0"/>
    <x v="0"/>
    <d v="2022-07-31T00:00:00"/>
    <d v="2022-07-19T00:00:00"/>
  </r>
  <r>
    <x v="3"/>
    <x v="10"/>
    <x v="0"/>
    <x v="2"/>
    <s v="LM868758100"/>
    <m/>
    <m/>
    <n v="0"/>
    <x v="330"/>
    <n v="110951"/>
    <x v="96"/>
    <x v="209"/>
    <x v="2"/>
    <x v="4"/>
    <n v="24261667.5"/>
    <x v="0"/>
    <x v="0"/>
    <x v="0"/>
    <d v="2022-07-27T00:00:00"/>
    <d v="2022-07-13T00:00:00"/>
  </r>
  <r>
    <x v="3"/>
    <x v="10"/>
    <x v="0"/>
    <x v="2"/>
    <s v="DC TST118147 "/>
    <m/>
    <m/>
    <n v="0"/>
    <x v="331"/>
    <n v="110954"/>
    <x v="96"/>
    <x v="210"/>
    <x v="2"/>
    <x v="2"/>
    <n v="14699605"/>
    <x v="0"/>
    <x v="0"/>
    <x v="0"/>
    <d v="2022-07-31T00:00:00"/>
    <d v="2022-07-15T00:00:00"/>
  </r>
  <r>
    <x v="3"/>
    <x v="12"/>
    <x v="0"/>
    <x v="2"/>
    <s v="LM869108100"/>
    <m/>
    <m/>
    <n v="0"/>
    <x v="332"/>
    <n v="110963"/>
    <x v="96"/>
    <x v="211"/>
    <x v="2"/>
    <x v="5"/>
    <n v="8231802.5"/>
    <x v="0"/>
    <x v="0"/>
    <x v="0"/>
    <d v="2022-08-01T00:00:00"/>
    <d v="2022-07-25T00:00:00"/>
  </r>
  <r>
    <x v="3"/>
    <x v="6"/>
    <x v="0"/>
    <x v="2"/>
    <s v="315012075924-M"/>
    <m/>
    <m/>
    <n v="12469.7"/>
    <x v="333"/>
    <n v="110986"/>
    <x v="97"/>
    <x v="212"/>
    <x v="14"/>
    <x v="2"/>
    <n v="20980792"/>
    <x v="0"/>
    <x v="0"/>
    <x v="0"/>
    <d v="2022-08-22T00:00:00"/>
    <d v="2022-08-03T00:00:00"/>
  </r>
  <r>
    <x v="3"/>
    <x v="6"/>
    <x v="0"/>
    <x v="2"/>
    <s v="315012075933-M"/>
    <m/>
    <m/>
    <n v="0"/>
    <x v="334"/>
    <n v="110987"/>
    <x v="97"/>
    <x v="213"/>
    <x v="14"/>
    <x v="2"/>
    <n v="21039672"/>
    <x v="0"/>
    <x v="0"/>
    <x v="0"/>
    <d v="2022-08-22T00:00:00"/>
    <d v="2022-08-03T00:00:00"/>
  </r>
  <r>
    <x v="3"/>
    <x v="6"/>
    <x v="0"/>
    <x v="2"/>
    <s v="DC TST118161"/>
    <m/>
    <m/>
    <n v="25459.4"/>
    <x v="335"/>
    <n v="110988"/>
    <x v="97"/>
    <x v="214"/>
    <x v="14"/>
    <x v="2"/>
    <n v="21554472"/>
    <x v="0"/>
    <x v="0"/>
    <x v="0"/>
    <d v="2022-08-22T00:00:00"/>
    <d v="2022-08-03T00:00:00"/>
  </r>
  <r>
    <x v="3"/>
    <x v="6"/>
    <x v="0"/>
    <x v="2"/>
    <s v="LM869608100"/>
    <m/>
    <m/>
    <n v="12469.7"/>
    <x v="336"/>
    <n v="110989"/>
    <x v="97"/>
    <x v="215"/>
    <x v="14"/>
    <x v="2"/>
    <n v="21039672"/>
    <x v="0"/>
    <x v="0"/>
    <x v="0"/>
    <d v="2022-08-22T00:00:00"/>
    <d v="2022-08-03T00:00:00"/>
  </r>
  <r>
    <x v="3"/>
    <x v="5"/>
    <x v="0"/>
    <x v="2"/>
    <s v="315012076068-M"/>
    <m/>
    <m/>
    <n v="0"/>
    <x v="337"/>
    <n v="110990"/>
    <x v="97"/>
    <x v="216"/>
    <x v="14"/>
    <x v="2"/>
    <n v="22632868"/>
    <x v="0"/>
    <x v="0"/>
    <x v="0"/>
    <d v="2022-08-22T00:00:00"/>
    <d v="2022-08-03T00:00:00"/>
  </r>
  <r>
    <x v="3"/>
    <x v="5"/>
    <x v="0"/>
    <x v="2"/>
    <s v="315012076530-M"/>
    <m/>
    <m/>
    <n v="7844.85"/>
    <x v="338"/>
    <n v="110991"/>
    <x v="97"/>
    <x v="217"/>
    <x v="14"/>
    <x v="2"/>
    <n v="22632868"/>
    <x v="0"/>
    <x v="0"/>
    <x v="0"/>
    <d v="2022-09-05T00:00:00"/>
    <d v="2022-08-26T00:00:00"/>
  </r>
  <r>
    <x v="3"/>
    <x v="5"/>
    <x v="0"/>
    <x v="2"/>
    <s v="LM869598100"/>
    <m/>
    <m/>
    <n v="0"/>
    <x v="339"/>
    <n v="110992"/>
    <x v="97"/>
    <x v="218"/>
    <x v="14"/>
    <x v="2"/>
    <n v="22632868"/>
    <x v="0"/>
    <x v="0"/>
    <x v="0"/>
    <d v="2022-08-22T00:00:00"/>
    <d v="2022-08-03T00:00:00"/>
  </r>
  <r>
    <x v="3"/>
    <x v="5"/>
    <x v="0"/>
    <x v="2"/>
    <s v="不做LC，申請T/T付款"/>
    <m/>
    <m/>
    <n v="9611.1"/>
    <x v="340"/>
    <n v="110993"/>
    <x v="97"/>
    <x v="219"/>
    <x v="14"/>
    <x v="2"/>
    <n v="22570148"/>
    <x v="0"/>
    <x v="0"/>
    <x v="0"/>
    <d v="2022-08-28T00:00:00"/>
    <d v="2022-08-05T00:00:00"/>
  </r>
  <r>
    <x v="3"/>
    <x v="8"/>
    <x v="0"/>
    <x v="2"/>
    <s v="不做LC，申請T/T付款"/>
    <m/>
    <m/>
    <n v="11749.7"/>
    <x v="341"/>
    <n v="110995"/>
    <x v="97"/>
    <x v="220"/>
    <x v="2"/>
    <x v="2"/>
    <n v="12928395"/>
    <x v="0"/>
    <x v="0"/>
    <x v="0"/>
    <d v="2022-08-08T00:00:00"/>
    <d v="2022-08-03T00:00:00"/>
  </r>
  <r>
    <x v="3"/>
    <x v="8"/>
    <x v="0"/>
    <x v="2"/>
    <s v="不做LC，申請T/T付款"/>
    <m/>
    <m/>
    <n v="0"/>
    <x v="342"/>
    <n v="110996"/>
    <x v="97"/>
    <x v="221"/>
    <x v="2"/>
    <x v="2"/>
    <n v="12048765"/>
    <x v="0"/>
    <x v="0"/>
    <x v="0"/>
    <d v="2022-08-08T00:00:00"/>
    <d v="2022-07-28T00:00:00"/>
  </r>
  <r>
    <x v="3"/>
    <x v="8"/>
    <x v="0"/>
    <x v="2"/>
    <s v="DC TST120856"/>
    <m/>
    <m/>
    <n v="12369.7"/>
    <x v="343"/>
    <n v="110997"/>
    <x v="97"/>
    <x v="222"/>
    <x v="2"/>
    <x v="2"/>
    <n v="12024585"/>
    <x v="0"/>
    <x v="0"/>
    <x v="0"/>
    <d v="2022-08-08T00:00:00"/>
    <d v="2022-08-02T00:00:00"/>
  </r>
  <r>
    <x v="3"/>
    <x v="8"/>
    <x v="0"/>
    <x v="2"/>
    <s v="不做LC，申請T/T付款"/>
    <m/>
    <m/>
    <n v="0"/>
    <x v="344"/>
    <n v="110998"/>
    <x v="97"/>
    <x v="223"/>
    <x v="2"/>
    <x v="5"/>
    <n v="6464198"/>
    <x v="0"/>
    <x v="0"/>
    <x v="0"/>
    <d v="2022-08-08T00:00:00"/>
    <d v="2022-08-01T00:00:00"/>
  </r>
  <r>
    <x v="3"/>
    <x v="8"/>
    <x v="0"/>
    <x v="2"/>
    <s v="DC TST118152"/>
    <m/>
    <m/>
    <n v="12369.7"/>
    <x v="345"/>
    <n v="110999"/>
    <x v="97"/>
    <x v="224"/>
    <x v="2"/>
    <x v="2"/>
    <n v="12024585"/>
    <x v="0"/>
    <x v="0"/>
    <x v="0"/>
    <d v="2022-08-08T00:00:00"/>
    <d v="2022-08-02T00:00:00"/>
  </r>
  <r>
    <x v="3"/>
    <x v="6"/>
    <x v="0"/>
    <x v="2"/>
    <s v="DC TST118153 "/>
    <m/>
    <m/>
    <n v="0"/>
    <x v="346"/>
    <n v="111000"/>
    <x v="97"/>
    <x v="225"/>
    <x v="2"/>
    <x v="2"/>
    <n v="12680980"/>
    <x v="0"/>
    <x v="0"/>
    <x v="0"/>
    <d v="2022-08-08T00:00:00"/>
    <d v="2022-08-02T00:00:00"/>
  </r>
  <r>
    <x v="3"/>
    <x v="6"/>
    <x v="0"/>
    <x v="2"/>
    <s v="315012076308-M"/>
    <m/>
    <m/>
    <n v="0"/>
    <x v="347"/>
    <n v="111001"/>
    <x v="97"/>
    <x v="226"/>
    <x v="2"/>
    <x v="2"/>
    <n v="12680980"/>
    <x v="0"/>
    <x v="0"/>
    <x v="0"/>
    <d v="2022-08-22T00:00:00"/>
    <d v="2022-08-03T00:00:00"/>
  </r>
  <r>
    <x v="3"/>
    <x v="6"/>
    <x v="0"/>
    <x v="2"/>
    <s v="315012076077-M"/>
    <m/>
    <m/>
    <n v="0"/>
    <x v="348"/>
    <n v="111002"/>
    <x v="97"/>
    <x v="227"/>
    <x v="2"/>
    <x v="2"/>
    <n v="12680980"/>
    <x v="0"/>
    <x v="0"/>
    <x v="0"/>
    <d v="2022-08-22T00:00:00"/>
    <d v="2022-08-03T00:00:00"/>
  </r>
  <r>
    <x v="3"/>
    <x v="6"/>
    <x v="0"/>
    <x v="2"/>
    <s v="DC TST118160"/>
    <m/>
    <m/>
    <n v="0"/>
    <x v="349"/>
    <n v="111003"/>
    <x v="97"/>
    <x v="228"/>
    <x v="2"/>
    <x v="2"/>
    <n v="12680980"/>
    <x v="0"/>
    <x v="0"/>
    <x v="0"/>
    <d v="2022-08-22T00:00:00"/>
    <d v="2022-08-05T00:00:00"/>
  </r>
  <r>
    <x v="3"/>
    <x v="6"/>
    <x v="0"/>
    <x v="2"/>
    <s v="DC TST120853"/>
    <m/>
    <m/>
    <n v="0"/>
    <x v="350"/>
    <n v="111004"/>
    <x v="97"/>
    <x v="229"/>
    <x v="2"/>
    <x v="4"/>
    <n v="19021470"/>
    <x v="0"/>
    <x v="0"/>
    <x v="0"/>
    <d v="2022-08-08T00:00:00"/>
    <d v="2022-07-27T00:00:00"/>
  </r>
  <r>
    <x v="3"/>
    <x v="6"/>
    <x v="0"/>
    <x v="2"/>
    <s v="DC TST120857"/>
    <m/>
    <m/>
    <n v="22879.4"/>
    <x v="351"/>
    <n v="111006"/>
    <x v="98"/>
    <x v="230"/>
    <x v="2"/>
    <x v="4"/>
    <n v="29990058"/>
    <x v="0"/>
    <x v="0"/>
    <x v="0"/>
    <d v="2022-08-08T00:00:00"/>
    <d v="2022-07-27T00:00:00"/>
  </r>
  <r>
    <x v="3"/>
    <x v="6"/>
    <x v="0"/>
    <x v="2"/>
    <s v="DC TST120857"/>
    <m/>
    <m/>
    <n v="0"/>
    <x v="351"/>
    <n v="111039"/>
    <x v="98"/>
    <x v="230"/>
    <x v="2"/>
    <x v="1"/>
    <n v="45163467"/>
    <x v="0"/>
    <x v="0"/>
    <x v="0"/>
    <d v="2022-08-08T00:00:00"/>
    <d v="2022-08-02T00:00:00"/>
  </r>
  <r>
    <x v="3"/>
    <x v="11"/>
    <x v="0"/>
    <x v="2"/>
    <s v="DC TST118162"/>
    <m/>
    <m/>
    <n v="23179.4"/>
    <x v="352"/>
    <n v="111020"/>
    <x v="99"/>
    <x v="231"/>
    <x v="14"/>
    <x v="10"/>
    <n v="113890114"/>
    <x v="0"/>
    <x v="0"/>
    <x v="0"/>
    <d v="2022-09-12T00:00:00"/>
    <d v="2022-09-07T00:00:00"/>
  </r>
  <r>
    <x v="3"/>
    <x v="8"/>
    <x v="0"/>
    <x v="2"/>
    <s v="JPY ESHL单"/>
    <m/>
    <m/>
    <n v="0"/>
    <x v="353"/>
    <n v="111052"/>
    <x v="100"/>
    <x v="232"/>
    <x v="2"/>
    <x v="3"/>
    <n v="31430887.500000004"/>
    <x v="0"/>
    <x v="0"/>
    <x v="0"/>
    <d v="2022-11-07T00:00:00"/>
    <d v="2022-10-31T00:00:00"/>
  </r>
  <r>
    <x v="3"/>
    <x v="8"/>
    <x v="0"/>
    <x v="2"/>
    <s v="315012077076-M"/>
    <m/>
    <m/>
    <n v="23799.4"/>
    <x v="354"/>
    <n v="111053"/>
    <x v="100"/>
    <x v="132"/>
    <x v="2"/>
    <x v="4"/>
    <n v="18036877.500000004"/>
    <x v="0"/>
    <x v="0"/>
    <x v="0"/>
    <d v="2022-09-26T00:00:00"/>
    <d v="2022-09-19T00:00:00"/>
  </r>
  <r>
    <x v="3"/>
    <x v="8"/>
    <x v="0"/>
    <x v="2"/>
    <s v="JPY ESHL单"/>
    <m/>
    <m/>
    <n v="52258"/>
    <x v="355"/>
    <n v="111054"/>
    <x v="100"/>
    <x v="180"/>
    <x v="2"/>
    <x v="0"/>
    <n v="25448820.000000004"/>
    <x v="0"/>
    <x v="0"/>
    <x v="0"/>
    <d v="2022-11-07T00:00:00"/>
    <d v="2022-10-31T00:00:00"/>
  </r>
  <r>
    <x v="3"/>
    <x v="8"/>
    <x v="0"/>
    <x v="2"/>
    <s v="JPY ESHL单"/>
    <m/>
    <m/>
    <n v="0"/>
    <x v="356"/>
    <n v="111055"/>
    <x v="100"/>
    <x v="233"/>
    <x v="2"/>
    <x v="3"/>
    <n v="30761288"/>
    <x v="0"/>
    <x v="0"/>
    <x v="0"/>
    <d v="2022-11-07T00:00:00"/>
    <d v="2022-10-31T00:00:00"/>
  </r>
  <r>
    <x v="3"/>
    <x v="8"/>
    <x v="0"/>
    <x v="2"/>
    <s v="JPY ESHL单"/>
    <m/>
    <m/>
    <n v="0"/>
    <x v="357"/>
    <n v="111056"/>
    <x v="100"/>
    <x v="234"/>
    <x v="2"/>
    <x v="4"/>
    <n v="18036877.500000004"/>
    <x v="0"/>
    <x v="0"/>
    <x v="0"/>
    <d v="2022-11-07T00:00:00"/>
    <d v="2022-10-31T00:00:00"/>
  </r>
  <r>
    <x v="3"/>
    <x v="5"/>
    <x v="0"/>
    <x v="2"/>
    <s v="JPY ESHL单"/>
    <m/>
    <m/>
    <n v="0"/>
    <x v="358"/>
    <n v="111047"/>
    <x v="100"/>
    <x v="235"/>
    <x v="14"/>
    <x v="0"/>
    <n v="41675016"/>
    <x v="0"/>
    <x v="0"/>
    <x v="0"/>
    <d v="2022-11-07T00:00:00"/>
    <d v="2022-10-31T00:00:00"/>
  </r>
  <r>
    <x v="3"/>
    <x v="6"/>
    <x v="0"/>
    <x v="2"/>
    <s v="JPY ESHL单"/>
    <m/>
    <m/>
    <n v="37766.35"/>
    <x v="359"/>
    <n v="111048"/>
    <x v="100"/>
    <x v="233"/>
    <x v="14"/>
    <x v="3"/>
    <n v="48012540"/>
    <x v="0"/>
    <x v="0"/>
    <x v="0"/>
    <d v="2022-10-02T00:00:00"/>
    <d v="2022-09-23T00:00:00"/>
  </r>
  <r>
    <x v="3"/>
    <x v="6"/>
    <x v="0"/>
    <x v="2"/>
    <s v="JPY ESHL单"/>
    <m/>
    <m/>
    <n v="0"/>
    <x v="360"/>
    <n v="111049"/>
    <x v="100"/>
    <x v="232"/>
    <x v="14"/>
    <x v="3"/>
    <n v="48130300"/>
    <x v="0"/>
    <x v="0"/>
    <x v="0"/>
    <d v="2022-10-02T00:00:00"/>
    <d v="2022-09-23T00:00:00"/>
  </r>
  <r>
    <x v="3"/>
    <x v="6"/>
    <x v="0"/>
    <x v="2"/>
    <s v="JPY ESHL单"/>
    <m/>
    <m/>
    <n v="0"/>
    <x v="361"/>
    <n v="111050"/>
    <x v="100"/>
    <x v="180"/>
    <x v="14"/>
    <x v="3"/>
    <n v="48294100"/>
    <x v="0"/>
    <x v="0"/>
    <x v="0"/>
    <d v="2022-10-02T00:00:00"/>
    <d v="2022-09-23T00:00:00"/>
  </r>
  <r>
    <x v="3"/>
    <x v="5"/>
    <x v="0"/>
    <x v="2"/>
    <s v="315012077067-M"/>
    <m/>
    <m/>
    <n v="0"/>
    <x v="362"/>
    <n v="111051"/>
    <x v="100"/>
    <x v="146"/>
    <x v="14"/>
    <x v="6"/>
    <n v="62606604"/>
    <x v="0"/>
    <x v="0"/>
    <x v="0"/>
    <d v="2022-09-26T00:00:00"/>
    <d v="2022-09-19T00:00:00"/>
  </r>
  <r>
    <x v="3"/>
    <x v="1"/>
    <x v="1"/>
    <x v="2"/>
    <s v="DC AM1000603"/>
    <m/>
    <m/>
    <n v="0"/>
    <x v="363"/>
    <n v="111077"/>
    <x v="101"/>
    <x v="109"/>
    <x v="15"/>
    <x v="5"/>
    <n v="8528445"/>
    <x v="0"/>
    <x v="0"/>
    <x v="0"/>
    <d v="2022-11-07T00:00:00"/>
    <d v="2022-10-31T00:00:00"/>
  </r>
  <r>
    <x v="3"/>
    <x v="8"/>
    <x v="0"/>
    <x v="2"/>
    <s v="不做LC，申請T/T付款"/>
    <m/>
    <m/>
    <n v="15330.15"/>
    <x v="364"/>
    <n v="111095"/>
    <x v="102"/>
    <x v="98"/>
    <x v="2"/>
    <x v="3"/>
    <n v="30061465"/>
    <x v="0"/>
    <x v="0"/>
    <x v="0"/>
    <d v="2022-11-07T00:00:00"/>
    <d v="2022-10-31T00:00:00"/>
  </r>
  <r>
    <x v="3"/>
    <x v="6"/>
    <x v="0"/>
    <x v="2"/>
    <s v="不做LC，申請T/T付款"/>
    <m/>
    <m/>
    <n v="30392.55"/>
    <x v="365"/>
    <n v="111096"/>
    <x v="102"/>
    <x v="196"/>
    <x v="14"/>
    <x v="1"/>
    <n v="67347092"/>
    <x v="0"/>
    <x v="0"/>
    <x v="0"/>
    <d v="2022-11-07T00:00:00"/>
    <d v="2022-10-31T00:00:00"/>
  </r>
  <r>
    <x v="3"/>
    <x v="6"/>
    <x v="0"/>
    <x v="2"/>
    <s v="DC AM1000608"/>
    <m/>
    <m/>
    <n v="11531.6"/>
    <x v="366"/>
    <n v="111097"/>
    <x v="102"/>
    <x v="236"/>
    <x v="14"/>
    <x v="2"/>
    <n v="34084770"/>
    <x v="0"/>
    <x v="0"/>
    <x v="0"/>
    <d v="2022-11-11T00:00:00"/>
    <d v="2022-11-04T00:00:00"/>
  </r>
  <r>
    <x v="3"/>
    <x v="1"/>
    <x v="1"/>
    <x v="2"/>
    <s v="JPY ESHL单"/>
    <m/>
    <m/>
    <n v="2000"/>
    <x v="367"/>
    <s v="28L104351"/>
    <x v="102"/>
    <x v="103"/>
    <x v="15"/>
    <x v="2"/>
    <n v="13860020"/>
    <x v="0"/>
    <x v="0"/>
    <x v="0"/>
    <d v="2022-10-24T00:00:00"/>
    <d v="2022-10-27T00:00:00"/>
  </r>
  <r>
    <x v="3"/>
    <x v="3"/>
    <x v="0"/>
    <x v="2"/>
    <s v="CNY单"/>
    <s v="CNY单"/>
    <s v="CNY单"/>
    <n v="0"/>
    <x v="368"/>
    <s v="49F104436"/>
    <x v="103"/>
    <x v="114"/>
    <x v="1"/>
    <x v="4"/>
    <n v="2550000"/>
    <x v="0"/>
    <x v="0"/>
    <x v="0"/>
    <s v="2022-12-15提货"/>
    <s v="2022-12-15提货"/>
  </r>
  <r>
    <x v="7"/>
    <x v="8"/>
    <x v="0"/>
    <x v="2"/>
    <s v="DC AM1001257"/>
    <m/>
    <m/>
    <n v="19029.400000000001"/>
    <x v="369"/>
    <n v="111131"/>
    <x v="104"/>
    <x v="237"/>
    <x v="2"/>
    <x v="3"/>
    <n v="30954813"/>
    <x v="0"/>
    <x v="0"/>
    <x v="0"/>
    <d v="2023-02-03T00:00:00"/>
    <d v="2023-01-25T00:00:00"/>
  </r>
  <r>
    <x v="7"/>
    <x v="6"/>
    <x v="0"/>
    <x v="2"/>
    <s v="DC AM1001257"/>
    <m/>
    <m/>
    <n v="0"/>
    <x v="369"/>
    <n v="111131"/>
    <x v="104"/>
    <x v="237"/>
    <x v="14"/>
    <x v="3"/>
    <n v="48041980"/>
    <x v="0"/>
    <x v="0"/>
    <x v="0"/>
    <d v="2023-02-03T00:00:00"/>
    <d v="2023-01-25T00:00:00"/>
  </r>
  <r>
    <x v="7"/>
    <x v="8"/>
    <x v="0"/>
    <x v="2"/>
    <s v="DC AM1001256"/>
    <m/>
    <m/>
    <n v="9862.2000000000007"/>
    <x v="370"/>
    <n v="111132"/>
    <x v="104"/>
    <x v="238"/>
    <x v="2"/>
    <x v="2"/>
    <n v="11540835"/>
    <x v="0"/>
    <x v="0"/>
    <x v="0"/>
    <d v="2023-02-03T00:00:00"/>
    <d v="2023-01-25T00:00:00"/>
  </r>
  <r>
    <x v="7"/>
    <x v="5"/>
    <x v="0"/>
    <x v="2"/>
    <s v="DC AM1001256"/>
    <m/>
    <m/>
    <n v="0"/>
    <x v="370"/>
    <n v="111132"/>
    <x v="104"/>
    <x v="238"/>
    <x v="14"/>
    <x v="5"/>
    <n v="10435734"/>
    <x v="0"/>
    <x v="0"/>
    <x v="0"/>
    <d v="2023-02-03T00:00:00"/>
    <d v="2023-01-25T00:00:00"/>
  </r>
  <r>
    <x v="7"/>
    <x v="5"/>
    <x v="0"/>
    <x v="2"/>
    <s v="DC AM1001256"/>
    <m/>
    <m/>
    <n v="9862.2000000000007"/>
    <x v="371"/>
    <n v="111133"/>
    <x v="104"/>
    <x v="126"/>
    <x v="14"/>
    <x v="3"/>
    <n v="52046730"/>
    <x v="0"/>
    <x v="0"/>
    <x v="0"/>
    <d v="2023-02-03T00:00:00"/>
    <d v="2023-01-25T00:00:00"/>
  </r>
  <r>
    <x v="7"/>
    <x v="5"/>
    <x v="0"/>
    <x v="2"/>
    <s v="DC AM1001257"/>
    <m/>
    <m/>
    <n v="9862.2000000000007"/>
    <x v="372"/>
    <n v="111134"/>
    <x v="104"/>
    <x v="239"/>
    <x v="14"/>
    <x v="3"/>
    <n v="52113092"/>
    <x v="0"/>
    <x v="0"/>
    <x v="0"/>
    <d v="2023-02-03T00:00:00"/>
    <d v="2023-01-25T00:00:00"/>
  </r>
  <r>
    <x v="7"/>
    <x v="0"/>
    <x v="1"/>
    <x v="2"/>
    <s v="DC AM1001271"/>
    <m/>
    <m/>
    <n v="10087.200000000001"/>
    <x v="373"/>
    <n v="111202"/>
    <x v="105"/>
    <x v="131"/>
    <x v="13"/>
    <x v="4"/>
    <n v="36771117"/>
    <x v="0"/>
    <x v="0"/>
    <x v="0"/>
    <d v="2023-03-24T00:00:00"/>
    <d v="2023-03-15T00:00:00"/>
  </r>
  <r>
    <x v="7"/>
    <x v="0"/>
    <x v="1"/>
    <x v="2"/>
    <s v="9435913NS2B"/>
    <m/>
    <m/>
    <n v="9035.2999999999993"/>
    <x v="374"/>
    <n v="111222"/>
    <x v="106"/>
    <x v="240"/>
    <x v="18"/>
    <x v="5"/>
    <n v="17344670"/>
    <x v="0"/>
    <x v="0"/>
    <x v="0"/>
    <d v="2023-04-07T00:00:00"/>
    <d v="2023-03-31T00:00:00"/>
  </r>
  <r>
    <x v="7"/>
    <x v="0"/>
    <x v="1"/>
    <x v="2"/>
    <m/>
    <m/>
    <m/>
    <n v="8050.3"/>
    <x v="375"/>
    <n v="111247"/>
    <x v="107"/>
    <x v="241"/>
    <x v="1"/>
    <x v="0"/>
    <n v="56947924"/>
    <x v="0"/>
    <x v="0"/>
    <x v="0"/>
    <d v="2023-05-08T00:00:00"/>
    <d v="2023-04-26T00:00:00"/>
  </r>
  <r>
    <x v="7"/>
    <x v="0"/>
    <x v="1"/>
    <x v="2"/>
    <s v="DC AM1001284"/>
    <m/>
    <m/>
    <n v="8250.2999999999993"/>
    <x v="376"/>
    <n v="111252"/>
    <x v="108"/>
    <x v="114"/>
    <x v="1"/>
    <x v="0"/>
    <n v="58914320"/>
    <x v="0"/>
    <x v="0"/>
    <x v="0"/>
    <d v="2023-04-17T00:00:00"/>
    <d v="2023-04-07T00:00:00"/>
  </r>
  <r>
    <x v="7"/>
    <x v="0"/>
    <x v="0"/>
    <x v="1"/>
    <s v="DC AM1001293"/>
    <m/>
    <m/>
    <n v="15580.6"/>
    <x v="377"/>
    <n v="111253"/>
    <x v="109"/>
    <x v="85"/>
    <x v="18"/>
    <x v="8"/>
    <n v="100167020"/>
    <x v="0"/>
    <x v="0"/>
    <x v="0"/>
    <d v="2023-05-15T00:00:00"/>
    <d v="2023-05-03T00:00:00"/>
  </r>
  <r>
    <x v="7"/>
    <x v="0"/>
    <x v="0"/>
    <x v="1"/>
    <s v="LM875788100"/>
    <m/>
    <m/>
    <n v="8050.3"/>
    <x v="378"/>
    <n v="111254"/>
    <x v="109"/>
    <x v="85"/>
    <x v="2"/>
    <x v="3"/>
    <n v="28495965"/>
    <x v="0"/>
    <x v="0"/>
    <x v="0"/>
    <d v="2023-05-08T00:00:00"/>
    <d v="2023-04-26T00:00:00"/>
  </r>
  <r>
    <x v="7"/>
    <x v="0"/>
    <x v="1"/>
    <x v="2"/>
    <m/>
    <m/>
    <m/>
    <n v="5352.65"/>
    <x v="379"/>
    <n v="111258"/>
    <x v="110"/>
    <x v="114"/>
    <x v="1"/>
    <x v="2"/>
    <n v="29457160"/>
    <x v="0"/>
    <x v="0"/>
    <x v="0"/>
    <d v="2023-05-08T00:00:00"/>
    <d v="2023-04-28T00:00:00"/>
  </r>
  <r>
    <x v="7"/>
    <x v="0"/>
    <x v="0"/>
    <x v="1"/>
    <s v="DC AM1001653"/>
    <m/>
    <m/>
    <n v="15580.6"/>
    <x v="380"/>
    <n v="111277"/>
    <x v="111"/>
    <x v="85"/>
    <x v="2"/>
    <x v="3"/>
    <n v="28495963"/>
    <x v="0"/>
    <x v="0"/>
    <x v="0"/>
    <d v="2023-06-23T00:00:00"/>
    <d v="2023-06-15T00:00:00"/>
  </r>
  <r>
    <x v="7"/>
    <x v="0"/>
    <x v="0"/>
    <x v="1"/>
    <s v="DC AM1001653"/>
    <m/>
    <m/>
    <n v="0"/>
    <x v="380"/>
    <n v="111305"/>
    <x v="111"/>
    <x v="85"/>
    <x v="2"/>
    <x v="3"/>
    <n v="31995087"/>
    <x v="0"/>
    <x v="0"/>
    <x v="0"/>
    <d v="2023-06-23T00:00:00"/>
    <d v="2023-06-15T00:00:00"/>
  </r>
  <r>
    <x v="7"/>
    <x v="0"/>
    <x v="0"/>
    <x v="1"/>
    <s v="315012085049-M"/>
    <m/>
    <m/>
    <n v="15580.6"/>
    <x v="381"/>
    <n v="111278"/>
    <x v="111"/>
    <x v="85"/>
    <x v="18"/>
    <x v="3"/>
    <n v="50083510"/>
    <x v="0"/>
    <x v="0"/>
    <x v="0"/>
    <d v="2023-06-26T00:00:00"/>
    <d v="2023-06-19T00:00:00"/>
  </r>
  <r>
    <x v="7"/>
    <x v="0"/>
    <x v="0"/>
    <x v="1"/>
    <m/>
    <m/>
    <m/>
    <n v="0"/>
    <x v="381"/>
    <n v="111304"/>
    <x v="111"/>
    <x v="85"/>
    <x v="18"/>
    <x v="3"/>
    <n v="50083510"/>
    <x v="0"/>
    <x v="0"/>
    <x v="0"/>
    <d v="2023-06-26T00:00:00"/>
    <d v="2023-06-19T00:00:00"/>
  </r>
  <r>
    <x v="7"/>
    <x v="2"/>
    <x v="1"/>
    <x v="2"/>
    <s v="DC AM1001665 "/>
    <n v="138422"/>
    <m/>
    <m/>
    <x v="382"/>
    <n v="111293"/>
    <x v="112"/>
    <x v="94"/>
    <x v="18"/>
    <x v="6"/>
    <n v="60951588"/>
    <x v="0"/>
    <x v="13"/>
    <x v="6"/>
    <d v="2023-07-05T00:00:00"/>
    <d v="2023-06-30T00:00:00"/>
  </r>
  <r>
    <x v="7"/>
    <x v="2"/>
    <x v="1"/>
    <x v="2"/>
    <s v="DC AM1001665 "/>
    <n v="0"/>
    <m/>
    <m/>
    <x v="382"/>
    <n v="111293"/>
    <x v="112"/>
    <x v="94"/>
    <x v="2"/>
    <x v="0"/>
    <n v="26536784"/>
    <x v="0"/>
    <x v="13"/>
    <x v="6"/>
    <d v="2023-07-05T00:00:00"/>
    <d v="2023-06-30T00:00:00"/>
  </r>
  <r>
    <x v="7"/>
    <x v="0"/>
    <x v="0"/>
    <x v="1"/>
    <s v="DC AM1004862"/>
    <m/>
    <m/>
    <n v="15298"/>
    <x v="383"/>
    <n v="111309"/>
    <x v="113"/>
    <x v="85"/>
    <x v="2"/>
    <x v="3"/>
    <n v="29862138"/>
    <x v="0"/>
    <x v="0"/>
    <x v="0"/>
    <d v="2023-08-11T00:00:00"/>
    <d v="2023-08-04T00:00:00"/>
  </r>
  <r>
    <x v="7"/>
    <x v="0"/>
    <x v="0"/>
    <x v="1"/>
    <m/>
    <m/>
    <m/>
    <n v="0"/>
    <x v="383"/>
    <n v="111373"/>
    <x v="113"/>
    <x v="85"/>
    <x v="2"/>
    <x v="3"/>
    <n v="28555208"/>
    <x v="0"/>
    <x v="0"/>
    <x v="0"/>
    <d v="2023-08-11T00:00:00"/>
    <d v="2023-08-04T00:00:00"/>
  </r>
  <r>
    <x v="7"/>
    <x v="0"/>
    <x v="0"/>
    <x v="1"/>
    <s v="315012086066-M"/>
    <m/>
    <m/>
    <n v="15894.6"/>
    <x v="384"/>
    <n v="111310"/>
    <x v="113"/>
    <x v="85"/>
    <x v="18"/>
    <x v="3"/>
    <n v="50083510"/>
    <x v="0"/>
    <x v="0"/>
    <x v="0"/>
    <d v="2023-08-02T00:00:00"/>
    <d v="2023-07-26T00:00:00"/>
  </r>
  <r>
    <x v="7"/>
    <x v="0"/>
    <x v="0"/>
    <x v="1"/>
    <s v="315012086066-M"/>
    <m/>
    <m/>
    <n v="0"/>
    <x v="384"/>
    <n v="111374"/>
    <x v="113"/>
    <x v="85"/>
    <x v="18"/>
    <x v="3"/>
    <n v="50083510"/>
    <x v="0"/>
    <x v="0"/>
    <x v="0"/>
    <d v="2023-08-02T00:00:00"/>
    <d v="2023-07-26T00:00:00"/>
  </r>
  <r>
    <x v="7"/>
    <x v="0"/>
    <x v="0"/>
    <x v="1"/>
    <s v="315012086734-M"/>
    <m/>
    <m/>
    <n v="7959"/>
    <x v="385"/>
    <n v="111341"/>
    <x v="114"/>
    <x v="85"/>
    <x v="2"/>
    <x v="3"/>
    <n v="29195788"/>
    <x v="0"/>
    <x v="0"/>
    <x v="0"/>
    <d v="2023-09-06T00:00:00"/>
    <d v="2023-08-29T00:00:00"/>
  </r>
  <r>
    <x v="7"/>
    <x v="13"/>
    <x v="0"/>
    <x v="1"/>
    <m/>
    <m/>
    <m/>
    <n v="0"/>
    <x v="385"/>
    <n v="111420"/>
    <x v="114"/>
    <x v="85"/>
    <x v="19"/>
    <x v="14"/>
    <n v="130000"/>
    <x v="0"/>
    <x v="0"/>
    <x v="0"/>
    <d v="2023-09-06T00:00:00"/>
    <d v="2023-08-29T00:00:00"/>
  </r>
  <r>
    <x v="7"/>
    <x v="0"/>
    <x v="0"/>
    <x v="1"/>
    <s v="LM878478100"/>
    <m/>
    <m/>
    <n v="7959"/>
    <x v="386"/>
    <n v="111342"/>
    <x v="114"/>
    <x v="85"/>
    <x v="18"/>
    <x v="3"/>
    <n v="50083510"/>
    <x v="0"/>
    <x v="0"/>
    <x v="0"/>
    <d v="2023-09-06T00:00:00"/>
    <d v="2023-08-29T00:00:00"/>
  </r>
  <r>
    <x v="7"/>
    <x v="0"/>
    <x v="0"/>
    <x v="1"/>
    <s v="DC AM1011925"/>
    <m/>
    <m/>
    <n v="8564.2999999999993"/>
    <x v="387"/>
    <n v="111361"/>
    <x v="115"/>
    <x v="85"/>
    <x v="2"/>
    <x v="0"/>
    <n v="23496596"/>
    <x v="0"/>
    <x v="0"/>
    <x v="0"/>
    <d v="2023-10-06T00:00:00"/>
    <d v="2023-09-29T00:00:00"/>
  </r>
  <r>
    <x v="7"/>
    <x v="0"/>
    <x v="0"/>
    <x v="1"/>
    <s v="DC AM1011925"/>
    <m/>
    <m/>
    <n v="0"/>
    <x v="387"/>
    <n v="111364"/>
    <x v="115"/>
    <x v="85"/>
    <x v="2"/>
    <x v="5"/>
    <n v="5659817"/>
    <x v="0"/>
    <x v="0"/>
    <x v="0"/>
    <d v="2023-10-06T00:00:00"/>
    <d v="2023-09-29T00:00:00"/>
  </r>
  <r>
    <x v="7"/>
    <x v="13"/>
    <x v="0"/>
    <x v="1"/>
    <s v="DC AM1011925"/>
    <m/>
    <m/>
    <n v="0"/>
    <x v="387"/>
    <s v="TBA"/>
    <x v="115"/>
    <x v="85"/>
    <x v="19"/>
    <x v="14"/>
    <n v="200000"/>
    <x v="0"/>
    <x v="0"/>
    <x v="0"/>
    <d v="2023-10-06T00:00:00"/>
    <d v="2023-09-29T00:00:00"/>
  </r>
  <r>
    <x v="7"/>
    <x v="0"/>
    <x v="0"/>
    <x v="1"/>
    <s v="315012087993-M"/>
    <m/>
    <m/>
    <n v="8109"/>
    <x v="388"/>
    <n v="111362"/>
    <x v="115"/>
    <x v="85"/>
    <x v="18"/>
    <x v="3"/>
    <n v="50757030"/>
    <x v="0"/>
    <x v="0"/>
    <x v="0"/>
    <d v="2023-10-06T00:00:00"/>
    <d v="2023-09-29T00:00:00"/>
  </r>
  <r>
    <x v="7"/>
    <x v="1"/>
    <x v="1"/>
    <x v="2"/>
    <m/>
    <m/>
    <m/>
    <n v="5482"/>
    <x v="389"/>
    <n v="111392"/>
    <x v="116"/>
    <x v="168"/>
    <x v="15"/>
    <x v="5"/>
    <n v="8255220"/>
    <x v="0"/>
    <x v="0"/>
    <x v="0"/>
    <d v="2023-11-08T00:00:00"/>
    <d v="2023-11-01T00:00:00"/>
  </r>
  <r>
    <x v="7"/>
    <x v="0"/>
    <x v="0"/>
    <x v="1"/>
    <s v="DC AM1012012"/>
    <m/>
    <m/>
    <n v="8109"/>
    <x v="390"/>
    <n v="111421"/>
    <x v="117"/>
    <x v="85"/>
    <x v="2"/>
    <x v="4"/>
    <n v="17777319"/>
    <x v="0"/>
    <x v="0"/>
    <x v="0"/>
    <d v="2023-11-29T00:00:00"/>
    <d v="2023-11-22T00:00:00"/>
  </r>
  <r>
    <x v="7"/>
    <x v="0"/>
    <x v="0"/>
    <x v="1"/>
    <s v="DC AM1012012"/>
    <m/>
    <m/>
    <n v="0"/>
    <x v="390"/>
    <n v="111434"/>
    <x v="117"/>
    <x v="85"/>
    <x v="2"/>
    <x v="2"/>
    <n v="10299211"/>
    <x v="0"/>
    <x v="0"/>
    <x v="0"/>
    <d v="2023-11-29T00:00:00"/>
    <d v="2023-11-22T00:00:00"/>
  </r>
  <r>
    <x v="7"/>
    <x v="0"/>
    <x v="1"/>
    <x v="2"/>
    <m/>
    <m/>
    <m/>
    <n v="5282"/>
    <x v="391"/>
    <n v="111440"/>
    <x v="118"/>
    <x v="242"/>
    <x v="20"/>
    <x v="5"/>
    <n v="6447722"/>
    <x v="0"/>
    <x v="0"/>
    <x v="0"/>
    <d v="2024-01-03T00:00:00"/>
    <d v="2023-12-27T00:00:00"/>
  </r>
  <r>
    <x v="7"/>
    <x v="0"/>
    <x v="0"/>
    <x v="1"/>
    <s v="315012089651-M"/>
    <m/>
    <m/>
    <n v="8109"/>
    <x v="392"/>
    <n v="111452"/>
    <x v="119"/>
    <x v="85"/>
    <x v="18"/>
    <x v="3"/>
    <n v="49993270"/>
    <x v="0"/>
    <x v="0"/>
    <x v="0"/>
    <d v="2023-12-06T00:00:00"/>
    <d v="2023-11-29T00:00:00"/>
  </r>
  <r>
    <x v="7"/>
    <x v="0"/>
    <x v="0"/>
    <x v="1"/>
    <m/>
    <m/>
    <m/>
    <n v="7909"/>
    <x v="393"/>
    <n v="111465"/>
    <x v="120"/>
    <x v="85"/>
    <x v="2"/>
    <x v="4"/>
    <n v="18375651"/>
    <x v="0"/>
    <x v="0"/>
    <x v="0"/>
    <d v="2024-01-05T00:00:00"/>
    <d v="2023-12-29T00:00:00"/>
  </r>
  <r>
    <x v="7"/>
    <x v="0"/>
    <x v="0"/>
    <x v="1"/>
    <m/>
    <m/>
    <m/>
    <n v="0"/>
    <x v="393"/>
    <n v="111471"/>
    <x v="120"/>
    <x v="85"/>
    <x v="2"/>
    <x v="2"/>
    <n v="12250434"/>
    <x v="0"/>
    <x v="0"/>
    <x v="0"/>
    <d v="2024-01-05T00:00:00"/>
    <d v="2023-12-29T00:00:00"/>
  </r>
  <r>
    <x v="7"/>
    <x v="0"/>
    <x v="0"/>
    <x v="1"/>
    <s v="DC AM1012019"/>
    <m/>
    <m/>
    <n v="7909"/>
    <x v="394"/>
    <n v="111464"/>
    <x v="119"/>
    <x v="85"/>
    <x v="18"/>
    <x v="0"/>
    <n v="39440210"/>
    <x v="0"/>
    <x v="0"/>
    <x v="0"/>
    <d v="2024-01-03T00:00:00"/>
    <d v="2023-12-27T00:00:00"/>
  </r>
  <r>
    <x v="7"/>
    <x v="0"/>
    <x v="0"/>
    <x v="1"/>
    <m/>
    <m/>
    <m/>
    <m/>
    <x v="395"/>
    <n v="111482"/>
    <x v="119"/>
    <x v="85"/>
    <x v="18"/>
    <x v="5"/>
    <n v="12298832"/>
    <x v="0"/>
    <x v="0"/>
    <x v="0"/>
    <s v="ex work end of  Dec"/>
    <s v="ex work end of  Dec"/>
  </r>
  <r>
    <x v="7"/>
    <x v="1"/>
    <x v="1"/>
    <x v="2"/>
    <m/>
    <m/>
    <m/>
    <m/>
    <x v="396"/>
    <n v="111487"/>
    <x v="121"/>
    <x v="239"/>
    <x v="15"/>
    <x v="5"/>
    <n v="5910488"/>
    <x v="0"/>
    <x v="0"/>
    <x v="0"/>
    <s v="ex work end of  Dec"/>
    <s v="ex work end of  Dec"/>
  </r>
  <r>
    <x v="7"/>
    <x v="1"/>
    <x v="0"/>
    <x v="1"/>
    <m/>
    <m/>
    <m/>
    <m/>
    <x v="397"/>
    <n v="111489"/>
    <x v="122"/>
    <x v="85"/>
    <x v="15"/>
    <x v="2"/>
    <n v="11500954"/>
    <x v="0"/>
    <x v="0"/>
    <x v="0"/>
    <s v="ex work end of  Jan,2024"/>
    <s v="ex work end of  Jan,2024"/>
  </r>
  <r>
    <x v="7"/>
    <x v="0"/>
    <x v="1"/>
    <x v="2"/>
    <m/>
    <m/>
    <m/>
    <m/>
    <x v="398"/>
    <n v="111501"/>
    <x v="123"/>
    <x v="243"/>
    <x v="2"/>
    <x v="2"/>
    <n v="11319635"/>
    <x v="0"/>
    <x v="0"/>
    <x v="0"/>
    <d v="2024-01-31T00:00:00"/>
    <d v="2024-01-24T00:00:00"/>
  </r>
  <r>
    <x v="7"/>
    <x v="0"/>
    <x v="1"/>
    <x v="2"/>
    <m/>
    <m/>
    <m/>
    <m/>
    <x v="399"/>
    <n v="111503"/>
    <x v="124"/>
    <x v="244"/>
    <x v="18"/>
    <x v="2"/>
    <n v="24424576"/>
    <x v="0"/>
    <x v="0"/>
    <x v="0"/>
    <s v="ex work end of  Feb,2024"/>
    <s v="ex work end of  Feb,2024"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0">
  <r>
    <x v="0"/>
    <s v="SS Feeder"/>
    <x v="0"/>
    <n v="3376"/>
    <x v="0"/>
  </r>
  <r>
    <x v="0"/>
    <s v="SS Feeder"/>
    <x v="1"/>
    <n v="640"/>
    <x v="0"/>
  </r>
  <r>
    <x v="0"/>
    <s v="SS Feeder"/>
    <x v="2"/>
    <n v="65"/>
    <x v="0"/>
  </r>
  <r>
    <x v="0"/>
    <s v="SS Feeder"/>
    <x v="3"/>
    <n v="98"/>
    <x v="0"/>
  </r>
  <r>
    <x v="0"/>
    <s v="SS Feeder"/>
    <x v="4"/>
    <n v="17"/>
    <x v="0"/>
  </r>
  <r>
    <x v="0"/>
    <s v="SS Feeder"/>
    <x v="5"/>
    <n v="3"/>
    <x v="0"/>
  </r>
  <r>
    <x v="0"/>
    <s v="SS Feeder"/>
    <x v="6"/>
    <n v="0"/>
    <x v="0"/>
  </r>
  <r>
    <x v="1"/>
    <s v="SS Feeder"/>
    <x v="0"/>
    <n v="5199"/>
    <x v="0"/>
  </r>
  <r>
    <x v="1"/>
    <s v="SS Feeder"/>
    <x v="1"/>
    <n v="816"/>
    <x v="0"/>
  </r>
  <r>
    <x v="1"/>
    <s v="SS Feeder"/>
    <x v="2"/>
    <n v="265"/>
    <x v="0"/>
  </r>
  <r>
    <x v="1"/>
    <s v="SS Feeder"/>
    <x v="3"/>
    <n v="178"/>
    <x v="0"/>
  </r>
  <r>
    <x v="1"/>
    <s v="SS Feeder"/>
    <x v="4"/>
    <n v="90"/>
    <x v="0"/>
  </r>
  <r>
    <x v="1"/>
    <s v="SS Feeder"/>
    <x v="5"/>
    <n v="10"/>
    <x v="0"/>
  </r>
  <r>
    <x v="1"/>
    <s v="SS Feeder"/>
    <x v="6"/>
    <n v="1"/>
    <x v="0"/>
  </r>
  <r>
    <x v="0"/>
    <s v="ZS Feeder"/>
    <x v="7"/>
    <n v="2"/>
    <x v="0"/>
  </r>
  <r>
    <x v="0"/>
    <s v="ZS Feeder"/>
    <x v="8"/>
    <n v="928"/>
    <x v="0"/>
  </r>
  <r>
    <x v="0"/>
    <s v="ZS Feeder"/>
    <x v="9"/>
    <n v="367"/>
    <x v="0"/>
  </r>
  <r>
    <x v="0"/>
    <s v="ZS Feeder"/>
    <x v="10"/>
    <n v="82"/>
    <x v="0"/>
  </r>
  <r>
    <x v="0"/>
    <s v="ZS Feeder"/>
    <x v="11"/>
    <n v="23"/>
    <x v="0"/>
  </r>
  <r>
    <x v="0"/>
    <s v="ZS Feeder"/>
    <x v="12"/>
    <n v="12"/>
    <x v="0"/>
  </r>
  <r>
    <x v="0"/>
    <s v="ZS Feeder"/>
    <x v="13"/>
    <n v="3"/>
    <x v="0"/>
  </r>
  <r>
    <x v="0"/>
    <s v="ZS Feeder"/>
    <x v="14"/>
    <n v="0"/>
    <x v="0"/>
  </r>
  <r>
    <x v="1"/>
    <s v="ZS Feeder"/>
    <x v="7"/>
    <n v="1"/>
    <x v="0"/>
  </r>
  <r>
    <x v="1"/>
    <s v="ZS Feeder"/>
    <x v="8"/>
    <n v="355"/>
    <x v="0"/>
  </r>
  <r>
    <x v="1"/>
    <s v="ZS Feeder"/>
    <x v="9"/>
    <n v="108"/>
    <x v="0"/>
  </r>
  <r>
    <x v="1"/>
    <s v="ZS Feeder"/>
    <x v="10"/>
    <n v="78"/>
    <x v="0"/>
  </r>
  <r>
    <x v="1"/>
    <s v="ZS Feeder"/>
    <x v="11"/>
    <n v="32"/>
    <x v="0"/>
  </r>
  <r>
    <x v="1"/>
    <s v="ZS Feeder"/>
    <x v="12"/>
    <n v="8"/>
    <x v="0"/>
  </r>
  <r>
    <x v="1"/>
    <s v="ZS Feeder"/>
    <x v="13"/>
    <n v="1"/>
    <x v="0"/>
  </r>
  <r>
    <x v="1"/>
    <s v="ZS Feeder"/>
    <x v="14"/>
    <n v="0"/>
    <x v="0"/>
  </r>
  <r>
    <x v="0"/>
    <s v="SS Feeder"/>
    <x v="0"/>
    <n v="3276"/>
    <x v="1"/>
  </r>
  <r>
    <x v="0"/>
    <s v="SS Feeder"/>
    <x v="1"/>
    <n v="632"/>
    <x v="1"/>
  </r>
  <r>
    <x v="0"/>
    <s v="SS Feeder"/>
    <x v="2"/>
    <n v="61"/>
    <x v="1"/>
  </r>
  <r>
    <x v="0"/>
    <s v="SS Feeder"/>
    <x v="3"/>
    <n v="98"/>
    <x v="1"/>
  </r>
  <r>
    <x v="0"/>
    <s v="SS Feeder"/>
    <x v="4"/>
    <n v="17"/>
    <x v="1"/>
  </r>
  <r>
    <x v="0"/>
    <s v="SS Feeder"/>
    <x v="5"/>
    <n v="0"/>
    <x v="1"/>
  </r>
  <r>
    <x v="0"/>
    <s v="SS Feeder"/>
    <x v="6"/>
    <n v="0"/>
    <x v="1"/>
  </r>
  <r>
    <x v="1"/>
    <s v="SS Feeder"/>
    <x v="0"/>
    <n v="5071"/>
    <x v="1"/>
  </r>
  <r>
    <x v="1"/>
    <s v="SS Feeder"/>
    <x v="1"/>
    <n v="773"/>
    <x v="1"/>
  </r>
  <r>
    <x v="1"/>
    <s v="SS Feeder"/>
    <x v="2"/>
    <n v="256"/>
    <x v="1"/>
  </r>
  <r>
    <x v="1"/>
    <s v="SS Feeder"/>
    <x v="3"/>
    <n v="176"/>
    <x v="1"/>
  </r>
  <r>
    <x v="1"/>
    <s v="SS Feeder"/>
    <x v="4"/>
    <n v="89"/>
    <x v="1"/>
  </r>
  <r>
    <x v="1"/>
    <s v="SS Feeder"/>
    <x v="5"/>
    <n v="7"/>
    <x v="1"/>
  </r>
  <r>
    <x v="1"/>
    <s v="SS Feeder"/>
    <x v="6"/>
    <n v="1"/>
    <x v="1"/>
  </r>
  <r>
    <x v="0"/>
    <s v="ZS Feeder"/>
    <x v="7"/>
    <n v="2"/>
    <x v="1"/>
  </r>
  <r>
    <x v="0"/>
    <s v="ZS Feeder"/>
    <x v="8"/>
    <n v="928"/>
    <x v="1"/>
  </r>
  <r>
    <x v="0"/>
    <s v="ZS Feeder"/>
    <x v="9"/>
    <n v="367"/>
    <x v="1"/>
  </r>
  <r>
    <x v="0"/>
    <s v="ZS Feeder"/>
    <x v="10"/>
    <n v="82"/>
    <x v="1"/>
  </r>
  <r>
    <x v="0"/>
    <s v="ZS Feeder"/>
    <x v="11"/>
    <n v="23"/>
    <x v="1"/>
  </r>
  <r>
    <x v="0"/>
    <s v="ZS Feeder"/>
    <x v="12"/>
    <n v="12"/>
    <x v="1"/>
  </r>
  <r>
    <x v="0"/>
    <s v="ZS Feeder"/>
    <x v="13"/>
    <n v="3"/>
    <x v="1"/>
  </r>
  <r>
    <x v="0"/>
    <s v="ZS Feeder"/>
    <x v="14"/>
    <n v="0"/>
    <x v="1"/>
  </r>
  <r>
    <x v="1"/>
    <s v="ZS Feeder"/>
    <x v="7"/>
    <n v="1"/>
    <x v="1"/>
  </r>
  <r>
    <x v="1"/>
    <s v="ZS Feeder"/>
    <x v="8"/>
    <n v="355"/>
    <x v="1"/>
  </r>
  <r>
    <x v="1"/>
    <s v="ZS Feeder"/>
    <x v="9"/>
    <n v="108"/>
    <x v="1"/>
  </r>
  <r>
    <x v="1"/>
    <s v="ZS Feeder"/>
    <x v="10"/>
    <n v="78"/>
    <x v="1"/>
  </r>
  <r>
    <x v="1"/>
    <s v="ZS Feeder"/>
    <x v="11"/>
    <n v="32"/>
    <x v="1"/>
  </r>
  <r>
    <x v="1"/>
    <s v="ZS Feeder"/>
    <x v="12"/>
    <n v="8"/>
    <x v="1"/>
  </r>
  <r>
    <x v="1"/>
    <s v="ZS Feeder"/>
    <x v="13"/>
    <n v="1"/>
    <x v="1"/>
  </r>
  <r>
    <x v="1"/>
    <s v="ZS Feeder"/>
    <x v="14"/>
    <n v="0"/>
    <x v="1"/>
  </r>
  <r>
    <x v="0"/>
    <s v="SS Feeder"/>
    <x v="0"/>
    <n v="3006"/>
    <x v="2"/>
  </r>
  <r>
    <x v="0"/>
    <s v="SS Feeder"/>
    <x v="1"/>
    <n v="582"/>
    <x v="2"/>
  </r>
  <r>
    <x v="0"/>
    <s v="SS Feeder"/>
    <x v="2"/>
    <n v="56"/>
    <x v="2"/>
  </r>
  <r>
    <x v="0"/>
    <s v="SS Feeder"/>
    <x v="3"/>
    <n v="93"/>
    <x v="2"/>
  </r>
  <r>
    <x v="0"/>
    <s v="SS Feeder"/>
    <x v="4"/>
    <n v="15"/>
    <x v="2"/>
  </r>
  <r>
    <x v="0"/>
    <s v="SS Feeder"/>
    <x v="5"/>
    <n v="0"/>
    <x v="2"/>
  </r>
  <r>
    <x v="0"/>
    <s v="SS Feeder"/>
    <x v="6"/>
    <n v="0"/>
    <x v="2"/>
  </r>
  <r>
    <x v="1"/>
    <s v="SS Feeder"/>
    <x v="0"/>
    <n v="4616"/>
    <x v="2"/>
  </r>
  <r>
    <x v="1"/>
    <s v="SS Feeder"/>
    <x v="1"/>
    <n v="756"/>
    <x v="2"/>
  </r>
  <r>
    <x v="1"/>
    <s v="SS Feeder"/>
    <x v="2"/>
    <n v="250"/>
    <x v="2"/>
  </r>
  <r>
    <x v="1"/>
    <s v="SS Feeder"/>
    <x v="3"/>
    <n v="176"/>
    <x v="2"/>
  </r>
  <r>
    <x v="1"/>
    <s v="SS Feeder"/>
    <x v="4"/>
    <n v="89"/>
    <x v="2"/>
  </r>
  <r>
    <x v="1"/>
    <s v="SS Feeder"/>
    <x v="5"/>
    <n v="10"/>
    <x v="2"/>
  </r>
  <r>
    <x v="1"/>
    <s v="SS Feeder"/>
    <x v="6"/>
    <n v="1"/>
    <x v="2"/>
  </r>
  <r>
    <x v="0"/>
    <s v="ZS Feeder"/>
    <x v="7"/>
    <n v="2"/>
    <x v="2"/>
  </r>
  <r>
    <x v="0"/>
    <s v="ZS Feeder"/>
    <x v="8"/>
    <n v="928"/>
    <x v="2"/>
  </r>
  <r>
    <x v="0"/>
    <s v="ZS Feeder"/>
    <x v="9"/>
    <n v="367"/>
    <x v="2"/>
  </r>
  <r>
    <x v="0"/>
    <s v="ZS Feeder"/>
    <x v="10"/>
    <n v="82"/>
    <x v="2"/>
  </r>
  <r>
    <x v="0"/>
    <s v="ZS Feeder"/>
    <x v="11"/>
    <n v="23"/>
    <x v="2"/>
  </r>
  <r>
    <x v="0"/>
    <s v="ZS Feeder"/>
    <x v="12"/>
    <n v="12"/>
    <x v="2"/>
  </r>
  <r>
    <x v="0"/>
    <s v="ZS Feeder"/>
    <x v="13"/>
    <n v="3"/>
    <x v="2"/>
  </r>
  <r>
    <x v="0"/>
    <s v="ZS Feeder"/>
    <x v="14"/>
    <n v="0"/>
    <x v="2"/>
  </r>
  <r>
    <x v="1"/>
    <s v="ZS Feeder"/>
    <x v="7"/>
    <n v="1"/>
    <x v="2"/>
  </r>
  <r>
    <x v="1"/>
    <s v="ZS Feeder"/>
    <x v="8"/>
    <n v="355"/>
    <x v="2"/>
  </r>
  <r>
    <x v="1"/>
    <s v="ZS Feeder"/>
    <x v="9"/>
    <n v="108"/>
    <x v="2"/>
  </r>
  <r>
    <x v="1"/>
    <s v="ZS Feeder"/>
    <x v="10"/>
    <n v="78"/>
    <x v="2"/>
  </r>
  <r>
    <x v="1"/>
    <s v="ZS Feeder"/>
    <x v="11"/>
    <n v="32"/>
    <x v="2"/>
  </r>
  <r>
    <x v="1"/>
    <s v="ZS Feeder"/>
    <x v="12"/>
    <n v="8"/>
    <x v="2"/>
  </r>
  <r>
    <x v="1"/>
    <s v="ZS Feeder"/>
    <x v="13"/>
    <n v="1"/>
    <x v="2"/>
  </r>
  <r>
    <x v="1"/>
    <s v="ZS Feeder"/>
    <x v="14"/>
    <n v="0"/>
    <x v="2"/>
  </r>
  <r>
    <x v="0"/>
    <s v="SS Feeder"/>
    <x v="0"/>
    <n v="2878"/>
    <x v="3"/>
  </r>
  <r>
    <x v="0"/>
    <s v="SS Feeder"/>
    <x v="1"/>
    <n v="564"/>
    <x v="3"/>
  </r>
  <r>
    <x v="0"/>
    <s v="SS Feeder"/>
    <x v="2"/>
    <n v="51"/>
    <x v="3"/>
  </r>
  <r>
    <x v="0"/>
    <s v="SS Feeder"/>
    <x v="3"/>
    <n v="91"/>
    <x v="3"/>
  </r>
  <r>
    <x v="0"/>
    <s v="SS Feeder"/>
    <x v="4"/>
    <n v="14"/>
    <x v="3"/>
  </r>
  <r>
    <x v="0"/>
    <s v="SS Feeder"/>
    <x v="5"/>
    <n v="0"/>
    <x v="3"/>
  </r>
  <r>
    <x v="0"/>
    <s v="SS Feeder"/>
    <x v="6"/>
    <n v="0"/>
    <x v="3"/>
  </r>
  <r>
    <x v="1"/>
    <s v="SS Feeder"/>
    <x v="0"/>
    <n v="4012"/>
    <x v="3"/>
  </r>
  <r>
    <x v="1"/>
    <s v="SS Feeder"/>
    <x v="1"/>
    <n v="673"/>
    <x v="3"/>
  </r>
  <r>
    <x v="1"/>
    <s v="SS Feeder"/>
    <x v="2"/>
    <n v="225"/>
    <x v="3"/>
  </r>
  <r>
    <x v="1"/>
    <s v="SS Feeder"/>
    <x v="3"/>
    <n v="164"/>
    <x v="3"/>
  </r>
  <r>
    <x v="1"/>
    <s v="SS Feeder"/>
    <x v="4"/>
    <n v="83"/>
    <x v="3"/>
  </r>
  <r>
    <x v="1"/>
    <s v="SS Feeder"/>
    <x v="5"/>
    <n v="5"/>
    <x v="3"/>
  </r>
  <r>
    <x v="1"/>
    <s v="SS Feeder"/>
    <x v="6"/>
    <n v="1"/>
    <x v="3"/>
  </r>
  <r>
    <x v="0"/>
    <s v="ZS Feeder"/>
    <x v="7"/>
    <n v="2"/>
    <x v="3"/>
  </r>
  <r>
    <x v="0"/>
    <s v="ZS Feeder"/>
    <x v="8"/>
    <n v="928"/>
    <x v="3"/>
  </r>
  <r>
    <x v="0"/>
    <s v="ZS Feeder"/>
    <x v="9"/>
    <n v="367"/>
    <x v="3"/>
  </r>
  <r>
    <x v="0"/>
    <s v="ZS Feeder"/>
    <x v="10"/>
    <n v="82"/>
    <x v="3"/>
  </r>
  <r>
    <x v="0"/>
    <s v="ZS Feeder"/>
    <x v="11"/>
    <n v="23"/>
    <x v="3"/>
  </r>
  <r>
    <x v="0"/>
    <s v="ZS Feeder"/>
    <x v="12"/>
    <n v="12"/>
    <x v="3"/>
  </r>
  <r>
    <x v="0"/>
    <s v="ZS Feeder"/>
    <x v="13"/>
    <n v="3"/>
    <x v="3"/>
  </r>
  <r>
    <x v="0"/>
    <s v="ZS Feeder"/>
    <x v="14"/>
    <n v="0"/>
    <x v="3"/>
  </r>
  <r>
    <x v="1"/>
    <s v="ZS Feeder"/>
    <x v="7"/>
    <n v="1"/>
    <x v="3"/>
  </r>
  <r>
    <x v="1"/>
    <s v="ZS Feeder"/>
    <x v="8"/>
    <n v="355"/>
    <x v="3"/>
  </r>
  <r>
    <x v="1"/>
    <s v="ZS Feeder"/>
    <x v="9"/>
    <n v="108"/>
    <x v="3"/>
  </r>
  <r>
    <x v="1"/>
    <s v="ZS Feeder"/>
    <x v="10"/>
    <n v="78"/>
    <x v="3"/>
  </r>
  <r>
    <x v="1"/>
    <s v="ZS Feeder"/>
    <x v="11"/>
    <n v="28"/>
    <x v="3"/>
  </r>
  <r>
    <x v="1"/>
    <s v="ZS Feeder"/>
    <x v="12"/>
    <n v="5"/>
    <x v="3"/>
  </r>
  <r>
    <x v="1"/>
    <s v="ZS Feeder"/>
    <x v="13"/>
    <n v="1"/>
    <x v="3"/>
  </r>
  <r>
    <x v="1"/>
    <s v="ZS Feeder"/>
    <x v="14"/>
    <n v="0"/>
    <x v="3"/>
  </r>
  <r>
    <x v="0"/>
    <s v="SS Feeder"/>
    <x v="0"/>
    <n v="2651"/>
    <x v="4"/>
  </r>
  <r>
    <x v="0"/>
    <s v="SS Feeder"/>
    <x v="1"/>
    <n v="472"/>
    <x v="4"/>
  </r>
  <r>
    <x v="0"/>
    <s v="SS Feeder"/>
    <x v="2"/>
    <n v="23"/>
    <x v="4"/>
  </r>
  <r>
    <x v="0"/>
    <s v="SS Feeder"/>
    <x v="3"/>
    <n v="84"/>
    <x v="4"/>
  </r>
  <r>
    <x v="0"/>
    <s v="SS Feeder"/>
    <x v="4"/>
    <n v="12"/>
    <x v="4"/>
  </r>
  <r>
    <x v="0"/>
    <s v="SS Feeder"/>
    <x v="5"/>
    <n v="0"/>
    <x v="4"/>
  </r>
  <r>
    <x v="0"/>
    <s v="SS Feeder"/>
    <x v="6"/>
    <n v="0"/>
    <x v="4"/>
  </r>
  <r>
    <x v="1"/>
    <s v="SS Feeder"/>
    <x v="0"/>
    <n v="3417"/>
    <x v="4"/>
  </r>
  <r>
    <x v="1"/>
    <s v="SS Feeder"/>
    <x v="1"/>
    <n v="567"/>
    <x v="4"/>
  </r>
  <r>
    <x v="1"/>
    <s v="SS Feeder"/>
    <x v="2"/>
    <n v="205"/>
    <x v="4"/>
  </r>
  <r>
    <x v="1"/>
    <s v="SS Feeder"/>
    <x v="3"/>
    <n v="150"/>
    <x v="4"/>
  </r>
  <r>
    <x v="1"/>
    <s v="SS Feeder"/>
    <x v="4"/>
    <n v="57"/>
    <x v="4"/>
  </r>
  <r>
    <x v="1"/>
    <s v="SS Feeder"/>
    <x v="5"/>
    <n v="4"/>
    <x v="4"/>
  </r>
  <r>
    <x v="1"/>
    <s v="SS Feeder"/>
    <x v="6"/>
    <n v="1"/>
    <x v="4"/>
  </r>
  <r>
    <x v="0"/>
    <s v="ZS Feeder"/>
    <x v="7"/>
    <n v="2"/>
    <x v="4"/>
  </r>
  <r>
    <x v="0"/>
    <s v="ZS Feeder"/>
    <x v="8"/>
    <n v="918"/>
    <x v="4"/>
  </r>
  <r>
    <x v="0"/>
    <s v="ZS Feeder"/>
    <x v="9"/>
    <n v="365"/>
    <x v="4"/>
  </r>
  <r>
    <x v="0"/>
    <s v="ZS Feeder"/>
    <x v="10"/>
    <n v="82"/>
    <x v="4"/>
  </r>
  <r>
    <x v="0"/>
    <s v="ZS Feeder"/>
    <x v="11"/>
    <n v="23"/>
    <x v="4"/>
  </r>
  <r>
    <x v="0"/>
    <s v="ZS Feeder"/>
    <x v="12"/>
    <n v="12"/>
    <x v="4"/>
  </r>
  <r>
    <x v="0"/>
    <s v="ZS Feeder"/>
    <x v="13"/>
    <n v="3"/>
    <x v="4"/>
  </r>
  <r>
    <x v="0"/>
    <s v="ZS Feeder"/>
    <x v="14"/>
    <n v="0"/>
    <x v="4"/>
  </r>
  <r>
    <x v="1"/>
    <s v="ZS Feeder"/>
    <x v="7"/>
    <n v="1"/>
    <x v="4"/>
  </r>
  <r>
    <x v="1"/>
    <s v="ZS Feeder"/>
    <x v="8"/>
    <n v="155"/>
    <x v="4"/>
  </r>
  <r>
    <x v="1"/>
    <s v="ZS Feeder"/>
    <x v="9"/>
    <n v="78"/>
    <x v="4"/>
  </r>
  <r>
    <x v="1"/>
    <s v="ZS Feeder"/>
    <x v="10"/>
    <n v="66"/>
    <x v="4"/>
  </r>
  <r>
    <x v="1"/>
    <s v="ZS Feeder"/>
    <x v="11"/>
    <n v="25"/>
    <x v="4"/>
  </r>
  <r>
    <x v="1"/>
    <s v="ZS Feeder"/>
    <x v="12"/>
    <n v="4"/>
    <x v="4"/>
  </r>
  <r>
    <x v="1"/>
    <s v="ZS Feeder"/>
    <x v="13"/>
    <n v="0"/>
    <x v="4"/>
  </r>
  <r>
    <x v="1"/>
    <s v="ZS Feeder"/>
    <x v="14"/>
    <n v="0"/>
    <x v="4"/>
  </r>
  <r>
    <x v="0"/>
    <s v="SS Feeder"/>
    <x v="0"/>
    <n v="1755"/>
    <x v="5"/>
  </r>
  <r>
    <x v="0"/>
    <s v="SS Feeder"/>
    <x v="1"/>
    <n v="252"/>
    <x v="5"/>
  </r>
  <r>
    <x v="0"/>
    <s v="SS Feeder"/>
    <x v="2"/>
    <n v="7"/>
    <x v="5"/>
  </r>
  <r>
    <x v="0"/>
    <s v="SS Feeder"/>
    <x v="3"/>
    <n v="77"/>
    <x v="5"/>
  </r>
  <r>
    <x v="0"/>
    <s v="SS Feeder"/>
    <x v="4"/>
    <n v="12"/>
    <x v="5"/>
  </r>
  <r>
    <x v="0"/>
    <s v="SS Feeder"/>
    <x v="5"/>
    <n v="0"/>
    <x v="5"/>
  </r>
  <r>
    <x v="0"/>
    <s v="SS Feeder"/>
    <x v="6"/>
    <n v="0"/>
    <x v="5"/>
  </r>
  <r>
    <x v="1"/>
    <s v="SS Feeder"/>
    <x v="0"/>
    <n v="3696"/>
    <x v="5"/>
  </r>
  <r>
    <x v="1"/>
    <s v="SS Feeder"/>
    <x v="1"/>
    <n v="849"/>
    <x v="5"/>
  </r>
  <r>
    <x v="1"/>
    <s v="SS Feeder"/>
    <x v="2"/>
    <n v="220"/>
    <x v="5"/>
  </r>
  <r>
    <x v="1"/>
    <s v="SS Feeder"/>
    <x v="3"/>
    <n v="150"/>
    <x v="5"/>
  </r>
  <r>
    <x v="1"/>
    <s v="SS Feeder"/>
    <x v="4"/>
    <n v="64"/>
    <x v="5"/>
  </r>
  <r>
    <x v="1"/>
    <s v="SS Feeder"/>
    <x v="5"/>
    <n v="7"/>
    <x v="5"/>
  </r>
  <r>
    <x v="1"/>
    <s v="SS Feeder"/>
    <x v="6"/>
    <n v="0"/>
    <x v="5"/>
  </r>
  <r>
    <x v="0"/>
    <s v="ZS Feeder"/>
    <x v="7"/>
    <n v="1"/>
    <x v="5"/>
  </r>
  <r>
    <x v="0"/>
    <s v="ZS Feeder"/>
    <x v="8"/>
    <n v="657"/>
    <x v="5"/>
  </r>
  <r>
    <x v="0"/>
    <s v="ZS Feeder"/>
    <x v="9"/>
    <n v="365"/>
    <x v="5"/>
  </r>
  <r>
    <x v="0"/>
    <s v="ZS Feeder"/>
    <x v="10"/>
    <n v="82"/>
    <x v="5"/>
  </r>
  <r>
    <x v="0"/>
    <s v="ZS Feeder"/>
    <x v="11"/>
    <n v="23"/>
    <x v="5"/>
  </r>
  <r>
    <x v="0"/>
    <s v="ZS Feeder"/>
    <x v="12"/>
    <n v="12"/>
    <x v="5"/>
  </r>
  <r>
    <x v="0"/>
    <s v="ZS Feeder"/>
    <x v="13"/>
    <n v="3"/>
    <x v="5"/>
  </r>
  <r>
    <x v="0"/>
    <s v="ZS Feeder"/>
    <x v="14"/>
    <n v="0"/>
    <x v="5"/>
  </r>
  <r>
    <x v="1"/>
    <s v="ZS Feeder"/>
    <x v="7"/>
    <n v="2"/>
    <x v="5"/>
  </r>
  <r>
    <x v="1"/>
    <s v="ZS Feeder"/>
    <x v="8"/>
    <n v="325"/>
    <x v="5"/>
  </r>
  <r>
    <x v="1"/>
    <s v="ZS Feeder"/>
    <x v="9"/>
    <n v="88"/>
    <x v="5"/>
  </r>
  <r>
    <x v="1"/>
    <s v="ZS Feeder"/>
    <x v="10"/>
    <n v="66"/>
    <x v="5"/>
  </r>
  <r>
    <x v="1"/>
    <s v="ZS Feeder"/>
    <x v="11"/>
    <n v="25"/>
    <x v="5"/>
  </r>
  <r>
    <x v="1"/>
    <s v="ZS Feeder"/>
    <x v="12"/>
    <n v="4"/>
    <x v="5"/>
  </r>
  <r>
    <x v="1"/>
    <s v="ZS Feeder"/>
    <x v="13"/>
    <n v="0"/>
    <x v="5"/>
  </r>
  <r>
    <x v="1"/>
    <s v="ZS Feeder"/>
    <x v="14"/>
    <n v="0"/>
    <x v="5"/>
  </r>
  <r>
    <x v="0"/>
    <s v="SS Feeder"/>
    <x v="0"/>
    <n v="1040"/>
    <x v="6"/>
  </r>
  <r>
    <x v="0"/>
    <s v="SS Feeder"/>
    <x v="1"/>
    <n v="217"/>
    <x v="6"/>
  </r>
  <r>
    <x v="0"/>
    <s v="SS Feeder"/>
    <x v="2"/>
    <n v="7"/>
    <x v="6"/>
  </r>
  <r>
    <x v="0"/>
    <s v="SS Feeder"/>
    <x v="3"/>
    <n v="74"/>
    <x v="6"/>
  </r>
  <r>
    <x v="0"/>
    <s v="SS Feeder"/>
    <x v="4"/>
    <n v="8"/>
    <x v="6"/>
  </r>
  <r>
    <x v="0"/>
    <s v="SS Feeder"/>
    <x v="5"/>
    <n v="0"/>
    <x v="6"/>
  </r>
  <r>
    <x v="0"/>
    <s v="SS Feeder"/>
    <x v="6"/>
    <n v="0"/>
    <x v="6"/>
  </r>
  <r>
    <x v="0"/>
    <s v="ZS Feeder"/>
    <x v="7"/>
    <n v="1"/>
    <x v="6"/>
  </r>
  <r>
    <x v="0"/>
    <s v="ZS Feeder"/>
    <x v="8"/>
    <n v="567"/>
    <x v="6"/>
  </r>
  <r>
    <x v="0"/>
    <s v="ZS Feeder"/>
    <x v="9"/>
    <n v="365"/>
    <x v="6"/>
  </r>
  <r>
    <x v="0"/>
    <s v="ZS Feeder"/>
    <x v="10"/>
    <n v="82"/>
    <x v="6"/>
  </r>
  <r>
    <x v="0"/>
    <s v="ZS Feeder"/>
    <x v="11"/>
    <n v="23"/>
    <x v="6"/>
  </r>
  <r>
    <x v="0"/>
    <s v="ZS Feeder"/>
    <x v="12"/>
    <n v="12"/>
    <x v="6"/>
  </r>
  <r>
    <x v="0"/>
    <s v="ZS Feeder"/>
    <x v="13"/>
    <n v="2"/>
    <x v="6"/>
  </r>
  <r>
    <x v="0"/>
    <s v="ZS Feeder"/>
    <x v="14"/>
    <n v="0"/>
    <x v="6"/>
  </r>
  <r>
    <x v="1"/>
    <s v="SS Feeder"/>
    <x v="0"/>
    <n v="3697"/>
    <x v="6"/>
  </r>
  <r>
    <x v="1"/>
    <s v="SS Feeder"/>
    <x v="1"/>
    <n v="851"/>
    <x v="6"/>
  </r>
  <r>
    <x v="1"/>
    <s v="SS Feeder"/>
    <x v="2"/>
    <n v="218"/>
    <x v="6"/>
  </r>
  <r>
    <x v="1"/>
    <s v="SS Feeder"/>
    <x v="3"/>
    <n v="150"/>
    <x v="6"/>
  </r>
  <r>
    <x v="1"/>
    <s v="SS Feeder"/>
    <x v="4"/>
    <n v="64"/>
    <x v="6"/>
  </r>
  <r>
    <x v="1"/>
    <s v="SS Feeder"/>
    <x v="5"/>
    <n v="7"/>
    <x v="6"/>
  </r>
  <r>
    <x v="1"/>
    <s v="SS Feeder"/>
    <x v="6"/>
    <n v="0"/>
    <x v="6"/>
  </r>
  <r>
    <x v="1"/>
    <s v="ZS Feeder"/>
    <x v="7"/>
    <n v="2"/>
    <x v="6"/>
  </r>
  <r>
    <x v="1"/>
    <s v="ZS Feeder"/>
    <x v="8"/>
    <n v="365"/>
    <x v="6"/>
  </r>
  <r>
    <x v="1"/>
    <s v="ZS Feeder"/>
    <x v="9"/>
    <n v="88"/>
    <x v="6"/>
  </r>
  <r>
    <x v="1"/>
    <s v="ZS Feeder"/>
    <x v="10"/>
    <n v="66"/>
    <x v="6"/>
  </r>
  <r>
    <x v="1"/>
    <s v="ZS Feeder"/>
    <x v="11"/>
    <n v="25"/>
    <x v="6"/>
  </r>
  <r>
    <x v="1"/>
    <s v="ZS Feeder"/>
    <x v="12"/>
    <n v="4"/>
    <x v="6"/>
  </r>
  <r>
    <x v="1"/>
    <s v="ZS Feeder"/>
    <x v="13"/>
    <n v="1"/>
    <x v="6"/>
  </r>
  <r>
    <x v="1"/>
    <s v="ZS Feeder"/>
    <x v="14"/>
    <n v="0"/>
    <x v="6"/>
  </r>
  <r>
    <x v="0"/>
    <s v="SS Feeder"/>
    <x v="0"/>
    <n v="1034"/>
    <x v="7"/>
  </r>
  <r>
    <x v="0"/>
    <s v="SS Feeder"/>
    <x v="1"/>
    <n v="217"/>
    <x v="7"/>
  </r>
  <r>
    <x v="0"/>
    <s v="SS Feeder"/>
    <x v="2"/>
    <n v="7"/>
    <x v="7"/>
  </r>
  <r>
    <x v="0"/>
    <s v="SS Feeder"/>
    <x v="3"/>
    <n v="74"/>
    <x v="7"/>
  </r>
  <r>
    <x v="0"/>
    <s v="SS Feeder"/>
    <x v="4"/>
    <n v="8"/>
    <x v="7"/>
  </r>
  <r>
    <x v="0"/>
    <s v="SS Feeder"/>
    <x v="5"/>
    <n v="0"/>
    <x v="7"/>
  </r>
  <r>
    <x v="0"/>
    <s v="SS Feeder"/>
    <x v="6"/>
    <n v="0"/>
    <x v="7"/>
  </r>
  <r>
    <x v="0"/>
    <s v="ZS Feeder"/>
    <x v="7"/>
    <n v="1"/>
    <x v="7"/>
  </r>
  <r>
    <x v="0"/>
    <s v="ZS Feeder"/>
    <x v="8"/>
    <n v="564"/>
    <x v="7"/>
  </r>
  <r>
    <x v="0"/>
    <s v="ZS Feeder"/>
    <x v="9"/>
    <n v="365"/>
    <x v="7"/>
  </r>
  <r>
    <x v="0"/>
    <s v="ZS Feeder"/>
    <x v="10"/>
    <n v="82"/>
    <x v="7"/>
  </r>
  <r>
    <x v="0"/>
    <s v="ZS Feeder"/>
    <x v="11"/>
    <n v="23"/>
    <x v="7"/>
  </r>
  <r>
    <x v="0"/>
    <s v="ZS Feeder"/>
    <x v="12"/>
    <n v="12"/>
    <x v="7"/>
  </r>
  <r>
    <x v="0"/>
    <s v="ZS Feeder"/>
    <x v="13"/>
    <n v="2"/>
    <x v="7"/>
  </r>
  <r>
    <x v="0"/>
    <s v="ZS Feeder"/>
    <x v="14"/>
    <n v="0"/>
    <x v="7"/>
  </r>
  <r>
    <x v="1"/>
    <s v="SS Feeder"/>
    <x v="0"/>
    <n v="3411"/>
    <x v="7"/>
  </r>
  <r>
    <x v="1"/>
    <s v="SS Feeder"/>
    <x v="1"/>
    <n v="786"/>
    <x v="7"/>
  </r>
  <r>
    <x v="1"/>
    <s v="SS Feeder"/>
    <x v="2"/>
    <n v="202"/>
    <x v="7"/>
  </r>
  <r>
    <x v="1"/>
    <s v="SS Feeder"/>
    <x v="3"/>
    <n v="146"/>
    <x v="7"/>
  </r>
  <r>
    <x v="1"/>
    <s v="SS Feeder"/>
    <x v="4"/>
    <n v="61"/>
    <x v="7"/>
  </r>
  <r>
    <x v="1"/>
    <s v="SS Feeder"/>
    <x v="5"/>
    <n v="6"/>
    <x v="7"/>
  </r>
  <r>
    <x v="1"/>
    <s v="SS Feeder"/>
    <x v="6"/>
    <n v="0"/>
    <x v="7"/>
  </r>
  <r>
    <x v="1"/>
    <s v="ZS Feeder"/>
    <x v="7"/>
    <n v="0"/>
    <x v="7"/>
  </r>
  <r>
    <x v="1"/>
    <s v="ZS Feeder"/>
    <x v="8"/>
    <n v="365"/>
    <x v="7"/>
  </r>
  <r>
    <x v="1"/>
    <s v="ZS Feeder"/>
    <x v="9"/>
    <n v="88"/>
    <x v="7"/>
  </r>
  <r>
    <x v="1"/>
    <s v="ZS Feeder"/>
    <x v="10"/>
    <n v="66"/>
    <x v="7"/>
  </r>
  <r>
    <x v="1"/>
    <s v="ZS Feeder"/>
    <x v="11"/>
    <n v="25"/>
    <x v="7"/>
  </r>
  <r>
    <x v="1"/>
    <s v="ZS Feeder"/>
    <x v="12"/>
    <n v="4"/>
    <x v="7"/>
  </r>
  <r>
    <x v="1"/>
    <s v="ZS Feeder"/>
    <x v="13"/>
    <n v="0"/>
    <x v="7"/>
  </r>
  <r>
    <x v="1"/>
    <s v="ZS Feeder"/>
    <x v="14"/>
    <n v="0"/>
    <x v="7"/>
  </r>
  <r>
    <x v="0"/>
    <s v="SS Feeder"/>
    <x v="0"/>
    <n v="584"/>
    <x v="8"/>
  </r>
  <r>
    <x v="0"/>
    <s v="SS Feeder"/>
    <x v="1"/>
    <n v="93"/>
    <x v="8"/>
  </r>
  <r>
    <x v="0"/>
    <s v="SS Feeder"/>
    <x v="2"/>
    <n v="0"/>
    <x v="8"/>
  </r>
  <r>
    <x v="0"/>
    <s v="SS Feeder"/>
    <x v="3"/>
    <n v="70"/>
    <x v="8"/>
  </r>
  <r>
    <x v="0"/>
    <s v="SS Feeder"/>
    <x v="4"/>
    <n v="7"/>
    <x v="8"/>
  </r>
  <r>
    <x v="0"/>
    <s v="SS Feeder"/>
    <x v="5"/>
    <n v="0"/>
    <x v="8"/>
  </r>
  <r>
    <x v="0"/>
    <s v="SS Feeder"/>
    <x v="6"/>
    <n v="0"/>
    <x v="8"/>
  </r>
  <r>
    <x v="0"/>
    <s v="ZS Feeder"/>
    <x v="7"/>
    <n v="1"/>
    <x v="8"/>
  </r>
  <r>
    <x v="0"/>
    <s v="ZS Feeder"/>
    <x v="8"/>
    <n v="554"/>
    <x v="8"/>
  </r>
  <r>
    <x v="0"/>
    <s v="ZS Feeder"/>
    <x v="9"/>
    <n v="364"/>
    <x v="8"/>
  </r>
  <r>
    <x v="0"/>
    <s v="ZS Feeder"/>
    <x v="10"/>
    <n v="82"/>
    <x v="8"/>
  </r>
  <r>
    <x v="0"/>
    <s v="ZS Feeder"/>
    <x v="11"/>
    <n v="23"/>
    <x v="8"/>
  </r>
  <r>
    <x v="0"/>
    <s v="ZS Feeder"/>
    <x v="12"/>
    <n v="12"/>
    <x v="8"/>
  </r>
  <r>
    <x v="0"/>
    <s v="ZS Feeder"/>
    <x v="13"/>
    <n v="1"/>
    <x v="8"/>
  </r>
  <r>
    <x v="0"/>
    <s v="ZS Feeder"/>
    <x v="14"/>
    <n v="0"/>
    <x v="8"/>
  </r>
  <r>
    <x v="1"/>
    <s v="SS Feeder"/>
    <x v="0"/>
    <n v="3081"/>
    <x v="8"/>
  </r>
  <r>
    <x v="1"/>
    <s v="SS Feeder"/>
    <x v="1"/>
    <n v="748"/>
    <x v="8"/>
  </r>
  <r>
    <x v="1"/>
    <s v="SS Feeder"/>
    <x v="2"/>
    <n v="187"/>
    <x v="8"/>
  </r>
  <r>
    <x v="1"/>
    <s v="SS Feeder"/>
    <x v="3"/>
    <n v="144"/>
    <x v="8"/>
  </r>
  <r>
    <x v="1"/>
    <s v="SS Feeder"/>
    <x v="4"/>
    <n v="61"/>
    <x v="8"/>
  </r>
  <r>
    <x v="1"/>
    <s v="SS Feeder"/>
    <x v="5"/>
    <n v="6"/>
    <x v="8"/>
  </r>
  <r>
    <x v="1"/>
    <s v="SS Feeder"/>
    <x v="6"/>
    <n v="0"/>
    <x v="8"/>
  </r>
  <r>
    <x v="1"/>
    <s v="ZS Feeder"/>
    <x v="7"/>
    <n v="0"/>
    <x v="8"/>
  </r>
  <r>
    <x v="1"/>
    <s v="ZS Feeder"/>
    <x v="8"/>
    <n v="325"/>
    <x v="8"/>
  </r>
  <r>
    <x v="1"/>
    <s v="ZS Feeder"/>
    <x v="9"/>
    <n v="88"/>
    <x v="8"/>
  </r>
  <r>
    <x v="1"/>
    <s v="ZS Feeder"/>
    <x v="10"/>
    <n v="66"/>
    <x v="8"/>
  </r>
  <r>
    <x v="1"/>
    <s v="ZS Feeder"/>
    <x v="11"/>
    <n v="25"/>
    <x v="8"/>
  </r>
  <r>
    <x v="1"/>
    <s v="ZS Feeder"/>
    <x v="12"/>
    <n v="4"/>
    <x v="8"/>
  </r>
  <r>
    <x v="1"/>
    <s v="ZS Feeder"/>
    <x v="13"/>
    <n v="0"/>
    <x v="8"/>
  </r>
  <r>
    <x v="1"/>
    <s v="ZS Feeder"/>
    <x v="14"/>
    <n v="0"/>
    <x v="8"/>
  </r>
  <r>
    <x v="0"/>
    <s v="SS Feeder"/>
    <x v="0"/>
    <n v="508"/>
    <x v="9"/>
  </r>
  <r>
    <x v="0"/>
    <s v="SS Feeder"/>
    <x v="1"/>
    <n v="83"/>
    <x v="9"/>
  </r>
  <r>
    <x v="0"/>
    <s v="SS Feeder"/>
    <x v="2"/>
    <n v="0"/>
    <x v="9"/>
  </r>
  <r>
    <x v="0"/>
    <s v="SS Feeder"/>
    <x v="3"/>
    <n v="67"/>
    <x v="9"/>
  </r>
  <r>
    <x v="0"/>
    <s v="SS Feeder"/>
    <x v="4"/>
    <n v="6"/>
    <x v="9"/>
  </r>
  <r>
    <x v="0"/>
    <s v="SS Feeder"/>
    <x v="5"/>
    <n v="0"/>
    <x v="9"/>
  </r>
  <r>
    <x v="0"/>
    <s v="SS Feeder"/>
    <x v="6"/>
    <n v="0"/>
    <x v="9"/>
  </r>
  <r>
    <x v="0"/>
    <s v="ZS Feeder"/>
    <x v="7"/>
    <n v="2"/>
    <x v="9"/>
  </r>
  <r>
    <x v="0"/>
    <s v="ZS Feeder"/>
    <x v="8"/>
    <n v="545"/>
    <x v="9"/>
  </r>
  <r>
    <x v="0"/>
    <s v="ZS Feeder"/>
    <x v="9"/>
    <n v="359"/>
    <x v="9"/>
  </r>
  <r>
    <x v="0"/>
    <s v="ZS Feeder"/>
    <x v="10"/>
    <n v="77"/>
    <x v="9"/>
  </r>
  <r>
    <x v="0"/>
    <s v="ZS Feeder"/>
    <x v="11"/>
    <n v="23"/>
    <x v="9"/>
  </r>
  <r>
    <x v="0"/>
    <s v="ZS Feeder"/>
    <x v="12"/>
    <n v="12"/>
    <x v="9"/>
  </r>
  <r>
    <x v="0"/>
    <s v="ZS Feeder"/>
    <x v="13"/>
    <n v="1"/>
    <x v="9"/>
  </r>
  <r>
    <x v="0"/>
    <s v="ZS Feeder"/>
    <x v="14"/>
    <n v="0"/>
    <x v="9"/>
  </r>
  <r>
    <x v="1"/>
    <s v="SS Feeder"/>
    <x v="0"/>
    <n v="3050"/>
    <x v="9"/>
  </r>
  <r>
    <x v="1"/>
    <s v="SS Feeder"/>
    <x v="1"/>
    <n v="748"/>
    <x v="9"/>
  </r>
  <r>
    <x v="1"/>
    <s v="SS Feeder"/>
    <x v="2"/>
    <n v="187"/>
    <x v="9"/>
  </r>
  <r>
    <x v="1"/>
    <s v="SS Feeder"/>
    <x v="3"/>
    <n v="144"/>
    <x v="9"/>
  </r>
  <r>
    <x v="1"/>
    <s v="SS Feeder"/>
    <x v="4"/>
    <n v="61"/>
    <x v="9"/>
  </r>
  <r>
    <x v="1"/>
    <s v="SS Feeder"/>
    <x v="5"/>
    <n v="6"/>
    <x v="9"/>
  </r>
  <r>
    <x v="1"/>
    <s v="SS Feeder"/>
    <x v="6"/>
    <n v="0"/>
    <x v="9"/>
  </r>
  <r>
    <x v="1"/>
    <s v="ZS Feeder"/>
    <x v="7"/>
    <n v="0"/>
    <x v="9"/>
  </r>
  <r>
    <x v="1"/>
    <s v="ZS Feeder"/>
    <x v="8"/>
    <n v="275"/>
    <x v="9"/>
  </r>
  <r>
    <x v="1"/>
    <s v="ZS Feeder"/>
    <x v="9"/>
    <n v="77"/>
    <x v="9"/>
  </r>
  <r>
    <x v="1"/>
    <s v="ZS Feeder"/>
    <x v="10"/>
    <n v="58"/>
    <x v="9"/>
  </r>
  <r>
    <x v="1"/>
    <s v="ZS Feeder"/>
    <x v="11"/>
    <n v="25"/>
    <x v="9"/>
  </r>
  <r>
    <x v="1"/>
    <s v="ZS Feeder"/>
    <x v="12"/>
    <n v="4"/>
    <x v="9"/>
  </r>
  <r>
    <x v="1"/>
    <s v="ZS Feeder"/>
    <x v="13"/>
    <n v="0"/>
    <x v="9"/>
  </r>
  <r>
    <x v="1"/>
    <s v="ZS Feeder"/>
    <x v="14"/>
    <n v="0"/>
    <x v="9"/>
  </r>
  <r>
    <x v="0"/>
    <s v="SS Feeder"/>
    <x v="0"/>
    <n v="379"/>
    <x v="10"/>
  </r>
  <r>
    <x v="0"/>
    <s v="SS Feeder"/>
    <x v="1"/>
    <n v="53"/>
    <x v="10"/>
  </r>
  <r>
    <x v="0"/>
    <s v="SS Feeder"/>
    <x v="2"/>
    <n v="0"/>
    <x v="10"/>
  </r>
  <r>
    <x v="0"/>
    <s v="SS Feeder"/>
    <x v="3"/>
    <n v="61"/>
    <x v="10"/>
  </r>
  <r>
    <x v="0"/>
    <s v="SS Feeder"/>
    <x v="4"/>
    <n v="6"/>
    <x v="10"/>
  </r>
  <r>
    <x v="0"/>
    <s v="SS Feeder"/>
    <x v="5"/>
    <n v="0"/>
    <x v="10"/>
  </r>
  <r>
    <x v="0"/>
    <s v="SS Feeder"/>
    <x v="6"/>
    <n v="0"/>
    <x v="10"/>
  </r>
  <r>
    <x v="0"/>
    <s v="ZS Feeder"/>
    <x v="7"/>
    <n v="2"/>
    <x v="10"/>
  </r>
  <r>
    <x v="0"/>
    <s v="ZS Feeder"/>
    <x v="8"/>
    <n v="490"/>
    <x v="10"/>
  </r>
  <r>
    <x v="0"/>
    <s v="ZS Feeder"/>
    <x v="9"/>
    <n v="359"/>
    <x v="10"/>
  </r>
  <r>
    <x v="0"/>
    <s v="ZS Feeder"/>
    <x v="10"/>
    <n v="71"/>
    <x v="10"/>
  </r>
  <r>
    <x v="0"/>
    <s v="ZS Feeder"/>
    <x v="11"/>
    <n v="23"/>
    <x v="10"/>
  </r>
  <r>
    <x v="0"/>
    <s v="ZS Feeder"/>
    <x v="12"/>
    <n v="11"/>
    <x v="10"/>
  </r>
  <r>
    <x v="0"/>
    <s v="ZS Feeder"/>
    <x v="13"/>
    <n v="1"/>
    <x v="10"/>
  </r>
  <r>
    <x v="0"/>
    <s v="ZS Feeder"/>
    <x v="14"/>
    <n v="0"/>
    <x v="10"/>
  </r>
  <r>
    <x v="1"/>
    <s v="SS Feeder"/>
    <x v="0"/>
    <n v="2977"/>
    <x v="10"/>
  </r>
  <r>
    <x v="1"/>
    <s v="SS Feeder"/>
    <x v="1"/>
    <n v="733"/>
    <x v="10"/>
  </r>
  <r>
    <x v="1"/>
    <s v="SS Feeder"/>
    <x v="2"/>
    <n v="171"/>
    <x v="10"/>
  </r>
  <r>
    <x v="1"/>
    <s v="SS Feeder"/>
    <x v="3"/>
    <n v="144"/>
    <x v="10"/>
  </r>
  <r>
    <x v="1"/>
    <s v="SS Feeder"/>
    <x v="4"/>
    <n v="60"/>
    <x v="10"/>
  </r>
  <r>
    <x v="1"/>
    <s v="SS Feeder"/>
    <x v="5"/>
    <n v="6"/>
    <x v="10"/>
  </r>
  <r>
    <x v="1"/>
    <s v="SS Feeder"/>
    <x v="6"/>
    <n v="0"/>
    <x v="10"/>
  </r>
  <r>
    <x v="1"/>
    <s v="ZS Feeder"/>
    <x v="7"/>
    <n v="0"/>
    <x v="10"/>
  </r>
  <r>
    <x v="1"/>
    <s v="ZS Feeder"/>
    <x v="8"/>
    <n v="0"/>
    <x v="10"/>
  </r>
  <r>
    <x v="1"/>
    <s v="ZS Feeder"/>
    <x v="9"/>
    <n v="77"/>
    <x v="10"/>
  </r>
  <r>
    <x v="1"/>
    <s v="ZS Feeder"/>
    <x v="10"/>
    <n v="58"/>
    <x v="10"/>
  </r>
  <r>
    <x v="1"/>
    <s v="ZS Feeder"/>
    <x v="11"/>
    <n v="25"/>
    <x v="10"/>
  </r>
  <r>
    <x v="1"/>
    <s v="ZS Feeder"/>
    <x v="12"/>
    <n v="4"/>
    <x v="10"/>
  </r>
  <r>
    <x v="1"/>
    <s v="ZS Feeder"/>
    <x v="13"/>
    <n v="0"/>
    <x v="10"/>
  </r>
  <r>
    <x v="1"/>
    <s v="ZS Feeder"/>
    <x v="14"/>
    <n v="0"/>
    <x v="10"/>
  </r>
  <r>
    <x v="0"/>
    <s v="SS Feeder"/>
    <x v="0"/>
    <n v="235"/>
    <x v="11"/>
  </r>
  <r>
    <x v="0"/>
    <s v="SS Feeder"/>
    <x v="1"/>
    <n v="41"/>
    <x v="11"/>
  </r>
  <r>
    <x v="0"/>
    <s v="SS Feeder"/>
    <x v="2"/>
    <n v="0"/>
    <x v="11"/>
  </r>
  <r>
    <x v="0"/>
    <s v="SS Feeder"/>
    <x v="3"/>
    <n v="61"/>
    <x v="11"/>
  </r>
  <r>
    <x v="0"/>
    <s v="SS Feeder"/>
    <x v="4"/>
    <n v="6"/>
    <x v="11"/>
  </r>
  <r>
    <x v="0"/>
    <s v="SS Feeder"/>
    <x v="5"/>
    <n v="0"/>
    <x v="11"/>
  </r>
  <r>
    <x v="0"/>
    <s v="SS Feeder"/>
    <x v="6"/>
    <n v="0"/>
    <x v="11"/>
  </r>
  <r>
    <x v="0"/>
    <s v="ZS Feeder"/>
    <x v="7"/>
    <n v="2"/>
    <x v="11"/>
  </r>
  <r>
    <x v="0"/>
    <s v="ZS Feeder"/>
    <x v="8"/>
    <n v="283"/>
    <x v="11"/>
  </r>
  <r>
    <x v="0"/>
    <s v="ZS Feeder"/>
    <x v="9"/>
    <n v="344"/>
    <x v="11"/>
  </r>
  <r>
    <x v="0"/>
    <s v="ZS Feeder"/>
    <x v="10"/>
    <n v="68"/>
    <x v="11"/>
  </r>
  <r>
    <x v="0"/>
    <s v="ZS Feeder"/>
    <x v="11"/>
    <n v="22"/>
    <x v="11"/>
  </r>
  <r>
    <x v="0"/>
    <s v="ZS Feeder"/>
    <x v="12"/>
    <n v="11"/>
    <x v="11"/>
  </r>
  <r>
    <x v="0"/>
    <s v="ZS Feeder"/>
    <x v="13"/>
    <n v="1"/>
    <x v="11"/>
  </r>
  <r>
    <x v="0"/>
    <s v="ZS Feeder"/>
    <x v="14"/>
    <n v="0"/>
    <x v="11"/>
  </r>
  <r>
    <x v="1"/>
    <s v="SS Feeder"/>
    <x v="0"/>
    <n v="2972"/>
    <x v="11"/>
  </r>
  <r>
    <x v="1"/>
    <s v="SS Feeder"/>
    <x v="1"/>
    <n v="733"/>
    <x v="11"/>
  </r>
  <r>
    <x v="1"/>
    <s v="SS Feeder"/>
    <x v="2"/>
    <n v="167"/>
    <x v="11"/>
  </r>
  <r>
    <x v="1"/>
    <s v="SS Feeder"/>
    <x v="3"/>
    <n v="144"/>
    <x v="11"/>
  </r>
  <r>
    <x v="1"/>
    <s v="SS Feeder"/>
    <x v="4"/>
    <n v="60"/>
    <x v="11"/>
  </r>
  <r>
    <x v="1"/>
    <s v="SS Feeder"/>
    <x v="5"/>
    <n v="6"/>
    <x v="11"/>
  </r>
  <r>
    <x v="1"/>
    <s v="SS Feeder"/>
    <x v="6"/>
    <n v="0"/>
    <x v="11"/>
  </r>
  <r>
    <x v="1"/>
    <s v="ZS Feeder"/>
    <x v="7"/>
    <n v="0"/>
    <x v="11"/>
  </r>
  <r>
    <x v="1"/>
    <s v="ZS Feeder"/>
    <x v="8"/>
    <n v="30"/>
    <x v="11"/>
  </r>
  <r>
    <x v="1"/>
    <s v="ZS Feeder"/>
    <x v="9"/>
    <n v="77"/>
    <x v="11"/>
  </r>
  <r>
    <x v="1"/>
    <s v="ZS Feeder"/>
    <x v="10"/>
    <n v="58"/>
    <x v="11"/>
  </r>
  <r>
    <x v="1"/>
    <s v="ZS Feeder"/>
    <x v="11"/>
    <n v="25"/>
    <x v="11"/>
  </r>
  <r>
    <x v="1"/>
    <s v="ZS Feeder"/>
    <x v="12"/>
    <n v="4"/>
    <x v="11"/>
  </r>
  <r>
    <x v="1"/>
    <s v="ZS Feeder"/>
    <x v="13"/>
    <n v="0"/>
    <x v="11"/>
  </r>
  <r>
    <x v="1"/>
    <s v="ZS Feeder"/>
    <x v="14"/>
    <n v="0"/>
    <x v="11"/>
  </r>
  <r>
    <x v="0"/>
    <s v="SS Feeder"/>
    <x v="0"/>
    <n v="0"/>
    <x v="12"/>
  </r>
  <r>
    <x v="0"/>
    <s v="SS Feeder"/>
    <x v="1"/>
    <n v="0"/>
    <x v="12"/>
  </r>
  <r>
    <x v="0"/>
    <s v="SS Feeder"/>
    <x v="2"/>
    <n v="0"/>
    <x v="12"/>
  </r>
  <r>
    <x v="0"/>
    <s v="SS Feeder"/>
    <x v="3"/>
    <n v="56"/>
    <x v="12"/>
  </r>
  <r>
    <x v="0"/>
    <s v="SS Feeder"/>
    <x v="4"/>
    <n v="4"/>
    <x v="12"/>
  </r>
  <r>
    <x v="0"/>
    <s v="SS Feeder"/>
    <x v="5"/>
    <n v="0"/>
    <x v="12"/>
  </r>
  <r>
    <x v="0"/>
    <s v="SS Feeder"/>
    <x v="6"/>
    <n v="0"/>
    <x v="12"/>
  </r>
  <r>
    <x v="0"/>
    <s v="ZS Feeder"/>
    <x v="7"/>
    <n v="2"/>
    <x v="12"/>
  </r>
  <r>
    <x v="0"/>
    <s v="ZS Feeder"/>
    <x v="8"/>
    <n v="163"/>
    <x v="12"/>
  </r>
  <r>
    <x v="0"/>
    <s v="ZS Feeder"/>
    <x v="9"/>
    <n v="330"/>
    <x v="12"/>
  </r>
  <r>
    <x v="0"/>
    <s v="ZS Feeder"/>
    <x v="10"/>
    <n v="60"/>
    <x v="12"/>
  </r>
  <r>
    <x v="0"/>
    <s v="ZS Feeder"/>
    <x v="11"/>
    <n v="17"/>
    <x v="12"/>
  </r>
  <r>
    <x v="0"/>
    <s v="ZS Feeder"/>
    <x v="12"/>
    <n v="7"/>
    <x v="12"/>
  </r>
  <r>
    <x v="0"/>
    <s v="ZS Feeder"/>
    <x v="13"/>
    <n v="1"/>
    <x v="12"/>
  </r>
  <r>
    <x v="0"/>
    <s v="ZS Feeder"/>
    <x v="14"/>
    <n v="0"/>
    <x v="12"/>
  </r>
  <r>
    <x v="1"/>
    <s v="SS Feeder"/>
    <x v="0"/>
    <n v="2749"/>
    <x v="12"/>
  </r>
  <r>
    <x v="1"/>
    <s v="SS Feeder"/>
    <x v="1"/>
    <n v="653"/>
    <x v="12"/>
  </r>
  <r>
    <x v="1"/>
    <s v="SS Feeder"/>
    <x v="2"/>
    <n v="141"/>
    <x v="12"/>
  </r>
  <r>
    <x v="1"/>
    <s v="SS Feeder"/>
    <x v="3"/>
    <n v="144"/>
    <x v="12"/>
  </r>
  <r>
    <x v="1"/>
    <s v="SS Feeder"/>
    <x v="4"/>
    <n v="58"/>
    <x v="12"/>
  </r>
  <r>
    <x v="1"/>
    <s v="SS Feeder"/>
    <x v="5"/>
    <n v="4"/>
    <x v="12"/>
  </r>
  <r>
    <x v="1"/>
    <s v="SS Feeder"/>
    <x v="6"/>
    <n v="0"/>
    <x v="12"/>
  </r>
  <r>
    <x v="1"/>
    <s v="ZS Feeder"/>
    <x v="7"/>
    <n v="0"/>
    <x v="12"/>
  </r>
  <r>
    <x v="1"/>
    <s v="ZS Feeder"/>
    <x v="8"/>
    <n v="30"/>
    <x v="12"/>
  </r>
  <r>
    <x v="1"/>
    <s v="ZS Feeder"/>
    <x v="9"/>
    <n v="77"/>
    <x v="12"/>
  </r>
  <r>
    <x v="1"/>
    <s v="ZS Feeder"/>
    <x v="10"/>
    <n v="58"/>
    <x v="12"/>
  </r>
  <r>
    <x v="1"/>
    <s v="ZS Feeder"/>
    <x v="11"/>
    <n v="25"/>
    <x v="12"/>
  </r>
  <r>
    <x v="1"/>
    <s v="ZS Feeder"/>
    <x v="12"/>
    <n v="4"/>
    <x v="12"/>
  </r>
  <r>
    <x v="1"/>
    <s v="ZS Feeder"/>
    <x v="13"/>
    <n v="0"/>
    <x v="12"/>
  </r>
  <r>
    <x v="1"/>
    <s v="ZS Feeder"/>
    <x v="14"/>
    <n v="0"/>
    <x v="12"/>
  </r>
  <r>
    <x v="0"/>
    <s v="SS Feeder"/>
    <x v="0"/>
    <n v="105"/>
    <x v="13"/>
  </r>
  <r>
    <x v="0"/>
    <s v="SS Feeder"/>
    <x v="1"/>
    <n v="0"/>
    <x v="13"/>
  </r>
  <r>
    <x v="0"/>
    <s v="SS Feeder"/>
    <x v="2"/>
    <n v="0"/>
    <x v="13"/>
  </r>
  <r>
    <x v="0"/>
    <s v="SS Feeder"/>
    <x v="3"/>
    <n v="56"/>
    <x v="13"/>
  </r>
  <r>
    <x v="0"/>
    <s v="SS Feeder"/>
    <x v="4"/>
    <n v="4"/>
    <x v="13"/>
  </r>
  <r>
    <x v="0"/>
    <s v="SS Feeder"/>
    <x v="5"/>
    <n v="0"/>
    <x v="13"/>
  </r>
  <r>
    <x v="0"/>
    <s v="SS Feeder"/>
    <x v="6"/>
    <n v="0"/>
    <x v="13"/>
  </r>
  <r>
    <x v="0"/>
    <s v="ZS Feeder"/>
    <x v="7"/>
    <n v="2"/>
    <x v="13"/>
  </r>
  <r>
    <x v="0"/>
    <s v="ZS Feeder"/>
    <x v="8"/>
    <n v="143"/>
    <x v="13"/>
  </r>
  <r>
    <x v="0"/>
    <s v="ZS Feeder"/>
    <x v="9"/>
    <n v="330"/>
    <x v="13"/>
  </r>
  <r>
    <x v="0"/>
    <s v="ZS Feeder"/>
    <x v="10"/>
    <n v="55"/>
    <x v="13"/>
  </r>
  <r>
    <x v="0"/>
    <s v="ZS Feeder"/>
    <x v="11"/>
    <n v="12"/>
    <x v="13"/>
  </r>
  <r>
    <x v="0"/>
    <s v="ZS Feeder"/>
    <x v="12"/>
    <n v="5"/>
    <x v="13"/>
  </r>
  <r>
    <x v="0"/>
    <s v="ZS Feeder"/>
    <x v="13"/>
    <n v="1"/>
    <x v="13"/>
  </r>
  <r>
    <x v="0"/>
    <s v="ZS Feeder"/>
    <x v="14"/>
    <n v="0"/>
    <x v="13"/>
  </r>
  <r>
    <x v="1"/>
    <s v="SS Feeder"/>
    <x v="0"/>
    <n v="2599"/>
    <x v="13"/>
  </r>
  <r>
    <x v="1"/>
    <s v="SS Feeder"/>
    <x v="1"/>
    <n v="646"/>
    <x v="13"/>
  </r>
  <r>
    <x v="1"/>
    <s v="SS Feeder"/>
    <x v="2"/>
    <n v="139"/>
    <x v="13"/>
  </r>
  <r>
    <x v="1"/>
    <s v="SS Feeder"/>
    <x v="3"/>
    <n v="144"/>
    <x v="13"/>
  </r>
  <r>
    <x v="1"/>
    <s v="SS Feeder"/>
    <x v="4"/>
    <n v="58"/>
    <x v="13"/>
  </r>
  <r>
    <x v="1"/>
    <s v="SS Feeder"/>
    <x v="5"/>
    <n v="4"/>
    <x v="13"/>
  </r>
  <r>
    <x v="1"/>
    <s v="SS Feeder"/>
    <x v="6"/>
    <n v="0"/>
    <x v="13"/>
  </r>
  <r>
    <x v="1"/>
    <s v="ZS Feeder"/>
    <x v="7"/>
    <n v="0"/>
    <x v="13"/>
  </r>
  <r>
    <x v="1"/>
    <s v="ZS Feeder"/>
    <x v="8"/>
    <n v="30"/>
    <x v="13"/>
  </r>
  <r>
    <x v="1"/>
    <s v="ZS Feeder"/>
    <x v="9"/>
    <n v="77"/>
    <x v="13"/>
  </r>
  <r>
    <x v="1"/>
    <s v="ZS Feeder"/>
    <x v="10"/>
    <n v="58"/>
    <x v="13"/>
  </r>
  <r>
    <x v="1"/>
    <s v="ZS Feeder"/>
    <x v="11"/>
    <n v="25"/>
    <x v="13"/>
  </r>
  <r>
    <x v="1"/>
    <s v="ZS Feeder"/>
    <x v="12"/>
    <n v="4"/>
    <x v="13"/>
  </r>
  <r>
    <x v="1"/>
    <s v="ZS Feeder"/>
    <x v="13"/>
    <n v="0"/>
    <x v="13"/>
  </r>
  <r>
    <x v="1"/>
    <s v="ZS Feeder"/>
    <x v="14"/>
    <n v="0"/>
    <x v="1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2">
  <r>
    <n v="518"/>
    <x v="0"/>
    <x v="0"/>
    <n v="109218"/>
    <s v="EASTER"/>
    <x v="0"/>
    <s v="NO"/>
    <s v="No"/>
    <s v="Y44465"/>
    <n v="1"/>
    <s v="福保仓库"/>
    <x v="0"/>
    <n v="5.9499999999999997E-2"/>
    <s v="DEC 19"/>
    <m/>
    <s v="RMB"/>
    <s v="C49SZX20190175SX"/>
    <s v="安林"/>
    <s v="YSM40R-4"/>
    <s v="L-&gt;R"/>
    <s v="No"/>
    <s v="WRONG"/>
    <s v="DDP DG"/>
    <d v="2019-11-27T00:00:00"/>
    <s v="Yes"/>
    <d v="2018-08-03T00:00:00"/>
    <d v="2018-08-16T00:00:00"/>
    <m/>
    <s v="C200537294"/>
  </r>
  <r>
    <n v="123"/>
    <x v="0"/>
    <x v="0"/>
    <n v="109282"/>
    <s v="STK"/>
    <x v="1"/>
    <s v="L-&gt;R"/>
    <s v="MVC+ATS15"/>
    <s v="Y44481"/>
    <n v="1"/>
    <s v="福保仓库"/>
    <x v="0"/>
    <n v="5.9499999999999997E-2"/>
    <s v="DEC 18"/>
    <m/>
    <s v="JPY"/>
    <s v="C49SZX20180133SX"/>
    <s v="维众"/>
    <s v="YSM10"/>
    <s v="L-&gt;R"/>
    <s v="MVC+ATS15"/>
    <s v="OK"/>
    <s v="DAP 东莞"/>
    <d v="2018-08-23T00:00:00"/>
    <s v="Yes"/>
    <s v="Na"/>
    <s v="Na"/>
    <m/>
    <s v="Yes"/>
  </r>
  <r>
    <n v="124"/>
    <x v="0"/>
    <x v="0"/>
    <n v="109282"/>
    <s v="STK"/>
    <x v="1"/>
    <s v="L-&gt;R"/>
    <s v="MVC+ATS15"/>
    <s v="Y44483"/>
    <n v="1"/>
    <s v="福保仓库"/>
    <x v="0"/>
    <n v="5.9499999999999997E-2"/>
    <s v="DEC 18"/>
    <m/>
    <s v="JPY"/>
    <s v="C49SZX20180133SX"/>
    <s v="维众"/>
    <s v="YSM10"/>
    <s v="L-&gt;R"/>
    <s v="MVC+ATS15"/>
    <s v="OK"/>
    <s v="DAP 东莞"/>
    <d v="2018-08-23T00:00:00"/>
    <s v="Yes"/>
    <s v="Na"/>
    <s v="Na"/>
    <m/>
    <s v="Yes"/>
  </r>
  <r>
    <n v="152"/>
    <x v="0"/>
    <x v="0"/>
    <n v="109218"/>
    <s v="EASTER"/>
    <x v="0"/>
    <s v="NO"/>
    <s v="No"/>
    <s v="Y44464"/>
    <n v="1"/>
    <s v="力合仓库(已经清关)"/>
    <x v="0"/>
    <n v="5.9499999999999997E-2"/>
    <s v="JAN 19"/>
    <m/>
    <s v="RMB"/>
    <s v="C49SZX20180162SS"/>
    <s v="龙大光电"/>
    <s v="YSM40R-4"/>
    <s v="R-&gt;L"/>
    <s v="No"/>
    <s v="WRONG"/>
    <s v="含税到厂"/>
    <d v="2018-11-07T00:00:00"/>
    <s v="Yes"/>
    <d v="2018-10-15T00:00:00"/>
    <d v="2018-10-26T00:00:00"/>
    <m/>
    <s v="Yes"/>
  </r>
  <r>
    <n v="153"/>
    <x v="0"/>
    <x v="0"/>
    <n v="109218"/>
    <s v="EASTER"/>
    <x v="0"/>
    <s v="NO"/>
    <s v="No"/>
    <s v="Y45399"/>
    <n v="1"/>
    <s v="力合仓库(已经清关)"/>
    <x v="0"/>
    <n v="5.9499999999999997E-2"/>
    <s v="JAN 19"/>
    <m/>
    <s v="RMB"/>
    <s v="C49SZX20180162SS"/>
    <s v="龙大光电"/>
    <s v="YSM40R-4"/>
    <s v="R-&gt;L"/>
    <s v="No"/>
    <s v="WRONG"/>
    <s v="含税到厂"/>
    <d v="2018-11-07T00:00:00"/>
    <s v="Yes"/>
    <d v="2018-08-03T00:00:00"/>
    <d v="2018-08-16T00:00:00"/>
    <m/>
    <s v="Yes"/>
  </r>
  <r>
    <n v="563"/>
    <x v="0"/>
    <x v="0"/>
    <n v="109218"/>
    <s v="EASTER"/>
    <x v="0"/>
    <s v="NO"/>
    <s v="No"/>
    <s v="Y44467"/>
    <n v="1"/>
    <s v="力合仓库(已经清关)"/>
    <x v="0"/>
    <n v="5.9499999999999997E-2"/>
    <s v="JUL 20"/>
    <m/>
    <s v="RMB"/>
    <s v="C49SZX20190193SS"/>
    <s v="明昌"/>
    <s v="YSM40R-4"/>
    <s v="L-&gt;R"/>
    <s v="No"/>
    <s v="WRONG"/>
    <s v="含税到厂"/>
    <d v="2020-01-08T00:00:00"/>
    <s v="Yes"/>
    <m/>
    <m/>
    <m/>
    <s v="C171030457"/>
  </r>
  <r>
    <n v="166"/>
    <x v="0"/>
    <x v="0"/>
    <n v="109482"/>
    <s v="比泰利"/>
    <x v="2"/>
    <s v="R-&gt;L"/>
    <s v="No"/>
    <s v="Y41087"/>
    <n v="1"/>
    <s v="WKK HK 仓库"/>
    <x v="1"/>
    <s v="No"/>
    <s v="DEC 18"/>
    <m/>
    <s v="JPY"/>
    <s v="C49SZX20180166ZX"/>
    <s v="比泰利"/>
    <s v="YS12"/>
    <s v="L-&gt;R"/>
    <s v="MVC+Rear 站位"/>
    <s v="WRONG"/>
    <s v="DAP"/>
    <d v="2018-11-12T00:00:00"/>
    <s v="Yes"/>
    <s v="Na"/>
    <s v="Na"/>
    <m/>
    <s v="Yes"/>
  </r>
  <r>
    <n v="167"/>
    <x v="0"/>
    <x v="0"/>
    <n v="109482"/>
    <s v="比泰利"/>
    <x v="2"/>
    <s v="R-&gt;L"/>
    <s v="No"/>
    <s v="Y42858"/>
    <n v="1"/>
    <s v="WKK HK 仓库"/>
    <x v="1"/>
    <s v="No"/>
    <s v="DEC 18"/>
    <m/>
    <s v="JPY"/>
    <s v="C49SZX20180166ZX"/>
    <s v="比泰利"/>
    <s v="YS12"/>
    <s v="R-&gt;L"/>
    <s v="MVC+Rear 站位"/>
    <s v="WRONG"/>
    <s v="DAP"/>
    <d v="2018-11-12T00:00:00"/>
    <s v="Yes"/>
    <s v="Na"/>
    <s v="Na"/>
    <m/>
    <s v="Yes"/>
  </r>
  <r>
    <n v="96"/>
    <x v="0"/>
    <x v="0"/>
    <n v="109382"/>
    <s v="易而达"/>
    <x v="3"/>
    <s v="L-&gt;R"/>
    <s v="cATS10+MVC+special layout"/>
    <s v="Y46512"/>
    <n v="1"/>
    <s v="CY仓库"/>
    <x v="2"/>
    <n v="6.1600000000000002E-2"/>
    <s v="OCT 18"/>
    <m/>
    <s v="JPY"/>
    <s v="C49SZX20180101JL"/>
    <s v="易而达"/>
    <s v="YSM20-2"/>
    <s v="L-&gt;R"/>
    <s v="cATS10+MVC+special layout"/>
    <s v="OK"/>
    <s v="DAP 广州"/>
    <d v="2018-06-15T00:00:00"/>
    <s v="Yes"/>
    <s v="Na"/>
    <s v="Na"/>
    <m/>
    <s v="Yes"/>
  </r>
  <r>
    <n v="97"/>
    <x v="0"/>
    <x v="0"/>
    <n v="109382"/>
    <s v="易而达"/>
    <x v="3"/>
    <s v="L-&gt;R"/>
    <s v="No"/>
    <s v="Y46511"/>
    <n v="1"/>
    <s v="CY仓库"/>
    <x v="2"/>
    <n v="6.1600000000000002E-2"/>
    <s v="OCT 18"/>
    <m/>
    <s v="JPY"/>
    <s v="C49SZX20180101JL"/>
    <s v="易而达"/>
    <s v="YSM20-2"/>
    <s v="L-&gt;R"/>
    <s v="No"/>
    <s v="OK"/>
    <s v="DAP 广州"/>
    <d v="2018-06-15T00:00:00"/>
    <s v="Yes"/>
    <s v="Na"/>
    <s v="Na"/>
    <m/>
    <s v="Yes"/>
  </r>
  <r>
    <n v="146"/>
    <x v="0"/>
    <x v="0"/>
    <n v="109264"/>
    <s v="立昇"/>
    <x v="3"/>
    <s v="L-&gt;R"/>
    <s v="No"/>
    <s v="Y45374"/>
    <n v="1"/>
    <s v="CY仓库"/>
    <x v="2"/>
    <n v="6.2399999999999997E-2"/>
    <s v="OCT 18"/>
    <m/>
    <s v="JPY"/>
    <s v="C49SZX20180152ZX"/>
    <s v="雅鑫特"/>
    <s v="C49SZX20210065JD"/>
    <s v="L-&gt;R"/>
    <s v="No"/>
    <s v="OK"/>
    <s v="CIF"/>
    <d v="2018-10-10T00:00:00"/>
    <s v="Yes"/>
    <s v="Na"/>
    <s v="Na"/>
    <m/>
    <s v="Yes"/>
  </r>
  <r>
    <n v="147"/>
    <x v="0"/>
    <x v="0"/>
    <n v="109264"/>
    <s v="立昇"/>
    <x v="3"/>
    <s v="L-&gt;R"/>
    <s v="No"/>
    <s v="Y45375"/>
    <n v="1"/>
    <s v="CY仓库"/>
    <x v="2"/>
    <n v="6.2399999999999997E-2"/>
    <s v="OCT 18"/>
    <m/>
    <s v="JPY"/>
    <s v="C49SZX20180152ZX"/>
    <s v="雅鑫特"/>
    <s v="YSM20R(SV)-2"/>
    <s v="L-&gt;R"/>
    <s v="No"/>
    <s v="OK"/>
    <s v="CIF"/>
    <d v="2018-10-10T00:00:00"/>
    <s v="Yes"/>
    <s v="Na"/>
    <s v="Na"/>
    <m/>
    <s v="Yes"/>
  </r>
  <r>
    <n v="404"/>
    <x v="0"/>
    <x v="0"/>
    <s v="此台机器预留了上海的Y48836 "/>
    <m/>
    <x v="4"/>
    <m/>
    <m/>
    <s v="Y48836"/>
    <n v="1"/>
    <m/>
    <x v="3"/>
    <n v="6.4799999999999996E-2"/>
    <s v="SEP 19"/>
    <m/>
    <s v="RMB"/>
    <s v="C49SZX20190121JY"/>
    <s v="建航"/>
    <s v="YSM10"/>
    <s v="L-&gt;R"/>
    <s v="MVC"/>
    <s v="WRONG"/>
    <s v="含税到厂"/>
    <d v="2019-08-21T00:00:00"/>
    <s v="Yes"/>
    <m/>
    <m/>
    <m/>
    <s v="C170529430"/>
  </r>
  <r>
    <n v="375"/>
    <x v="0"/>
    <x v="0"/>
    <n v="109285"/>
    <s v="STK"/>
    <x v="5"/>
    <s v="L-&gt;R"/>
    <s v="sATSII"/>
    <s v="Y44428"/>
    <n v="1"/>
    <s v="力合仓库(已经清关)"/>
    <x v="4"/>
    <n v="6.08E-2"/>
    <s v="JUL 19"/>
    <m/>
    <s v="RMB"/>
    <s v="C49SZX20190107DZ"/>
    <s v="方案集"/>
    <s v="YS24X"/>
    <s v="L-&gt;R"/>
    <s v="No"/>
    <s v="WRONG"/>
    <s v="含税到厂"/>
    <d v="2019-07-03T00:00:00"/>
    <s v="Yes"/>
    <m/>
    <m/>
    <m/>
    <s v="C180331577"/>
  </r>
  <r>
    <n v="142"/>
    <x v="0"/>
    <x v="0"/>
    <n v="109322"/>
    <s v="上达"/>
    <x v="1"/>
    <s v="L-&gt;R"/>
    <s v="No"/>
    <s v="Y45234"/>
    <n v="1"/>
    <s v="力合仓库(已经清关)"/>
    <x v="4"/>
    <n v="6.08E-2"/>
    <s v="DEC 18"/>
    <m/>
    <s v="RMB"/>
    <s v="SDPUR-20180047"/>
    <s v="上达"/>
    <s v="YSM10"/>
    <s v="L-&gt;R"/>
    <s v="MVC"/>
    <s v="WRONG"/>
    <s v="含税到厂"/>
    <d v="2018-06-28T00:00:00"/>
    <s v="Yes"/>
    <s v="Na"/>
    <s v="Na"/>
    <m/>
    <s v="Yes"/>
  </r>
  <r>
    <n v="143"/>
    <x v="0"/>
    <x v="0"/>
    <n v="109322"/>
    <s v="上达"/>
    <x v="1"/>
    <s v="L-&gt;R"/>
    <s v="No"/>
    <s v="Y45235"/>
    <n v="1"/>
    <s v="力合仓库(已经清关)"/>
    <x v="4"/>
    <n v="6.08E-2"/>
    <s v="DEC 18"/>
    <m/>
    <s v="RMB"/>
    <s v="SDPUR-20180047"/>
    <s v="上达"/>
    <s v="YSM10"/>
    <s v="L-&gt;R"/>
    <s v="MVC"/>
    <s v="WRONG"/>
    <s v="含税到厂"/>
    <d v="2018-06-28T00:00:00"/>
    <s v="Yes"/>
    <s v="Na"/>
    <s v="Na"/>
    <m/>
    <s v="Yes"/>
  </r>
  <r>
    <n v="120"/>
    <x v="0"/>
    <x v="0"/>
    <n v="109284"/>
    <s v="STK"/>
    <x v="1"/>
    <s v="L-&gt;R"/>
    <s v="MVC+ATS15"/>
    <s v="Y44479"/>
    <n v="1"/>
    <s v="CY仓库"/>
    <x v="5"/>
    <n v="6.08E-2"/>
    <s v="DEC 18"/>
    <m/>
    <s v="JPY"/>
    <s v="C49SZX20180131DZ"/>
    <s v="朗特"/>
    <s v="YSM10"/>
    <s v="R-&gt;L"/>
    <s v="MVC+ATS15"/>
    <s v="WRONG"/>
    <s v="CIF"/>
    <d v="2018-08-13T00:00:00"/>
    <s v="Yes"/>
    <s v="Na"/>
    <s v="Na"/>
    <m/>
    <s v="Yes"/>
  </r>
  <r>
    <n v="145"/>
    <x v="0"/>
    <x v="0"/>
    <n v="109284"/>
    <s v="STK"/>
    <x v="1"/>
    <s v="L-&gt;R"/>
    <s v="MVC+ATS15"/>
    <s v="Y44468"/>
    <n v="1"/>
    <s v="福保仓库"/>
    <x v="5"/>
    <n v="6.08E-2"/>
    <s v="OCT 18"/>
    <m/>
    <s v="JPY"/>
    <s v="C49SZX20180152ZX"/>
    <s v="雅鑫特"/>
    <s v="YSM10"/>
    <s v="L-&gt;R"/>
    <s v="MVC+ATS15"/>
    <s v="OK"/>
    <s v="CIF"/>
    <d v="2018-10-10T00:00:00"/>
    <s v="Yes"/>
    <s v="Na"/>
    <s v="Na"/>
    <m/>
    <s v="Yes"/>
  </r>
  <r>
    <n v="78"/>
    <x v="0"/>
    <x v="0"/>
    <n v="109238"/>
    <s v="STK"/>
    <x v="1"/>
    <s v="L-&gt;R"/>
    <s v="MVC+ATS15"/>
    <s v="Y44961"/>
    <n v="1"/>
    <s v="福保仓库"/>
    <x v="6"/>
    <n v="6.1499999999999999E-2"/>
    <s v="MAR 19"/>
    <m/>
    <s v="JPY"/>
    <s v="C49SZX20180086DZ"/>
    <s v="BBS好兄弟"/>
    <s v="YSM10"/>
    <s v="L-&gt;R"/>
    <s v="MVC+ATS15"/>
    <s v="OK"/>
    <s v="CIF HK"/>
    <d v="2018-05-31T00:00:00"/>
    <s v="Yes"/>
    <s v="Na"/>
    <s v="Na"/>
    <m/>
    <s v="Yes"/>
  </r>
  <r>
    <n v="79"/>
    <x v="0"/>
    <x v="0"/>
    <n v="109238"/>
    <s v="STK"/>
    <x v="1"/>
    <s v="L-&gt;R"/>
    <s v="MVC+ATS15"/>
    <s v="Y44962"/>
    <n v="1"/>
    <s v="福保仓库"/>
    <x v="6"/>
    <n v="6.1499999999999999E-2"/>
    <s v="MAR 19"/>
    <m/>
    <s v="JPY"/>
    <s v="C49SZX20180086DZ"/>
    <s v="BBS好兄弟"/>
    <s v="YSM10"/>
    <s v="L-&gt;R"/>
    <s v="MVC+ATS15"/>
    <s v="OK"/>
    <s v="CIF HK"/>
    <d v="2018-05-31T00:00:00"/>
    <s v="Yes"/>
    <s v="Na"/>
    <s v="Na"/>
    <m/>
    <s v="Yes"/>
  </r>
  <r>
    <n v="186"/>
    <x v="0"/>
    <x v="0"/>
    <n v="109238"/>
    <s v="STK"/>
    <x v="1"/>
    <s v="L-&gt;R"/>
    <s v="MVC"/>
    <s v="Y44960"/>
    <n v="1"/>
    <s v="福保仓库"/>
    <x v="6"/>
    <n v="6.1499999999999999E-2"/>
    <s v="DEC 18"/>
    <m/>
    <s v="JPY"/>
    <s v="C49SZX20180180ZX"/>
    <s v="世达威"/>
    <s v="YSM10"/>
    <s v="L-&gt;R"/>
    <s v="MVC"/>
    <s v="OK"/>
    <s v="DAP深圳"/>
    <d v="2018-11-27T00:00:00"/>
    <s v="Yes"/>
    <s v="Na"/>
    <s v="Na"/>
    <m/>
    <s v="Yes"/>
  </r>
  <r>
    <n v="177"/>
    <x v="0"/>
    <x v="0"/>
    <n v="109238"/>
    <s v="STK"/>
    <x v="1"/>
    <s v="L-&gt;R"/>
    <s v="MVC+ATS15"/>
    <s v="Y44963"/>
    <n v="1"/>
    <s v="力合仓库(已经清关)"/>
    <x v="6"/>
    <n v="6.1499999999999999E-2"/>
    <s v="JUL 19"/>
    <m/>
    <s v="JPY"/>
    <s v="C49SZX20180154JL"/>
    <s v="奥晨"/>
    <s v="YSM10"/>
    <s v="L-&gt;R"/>
    <s v="MVC+ATS15"/>
    <s v="OK"/>
    <s v="DAP东莞"/>
    <d v="2018-10-15T00:00:00"/>
    <s v="Yes"/>
    <s v="Na"/>
    <s v="Na"/>
    <m/>
    <s v="C181133465"/>
  </r>
  <r>
    <n v="30"/>
    <x v="0"/>
    <x v="0"/>
    <n v="109238"/>
    <s v="STK"/>
    <x v="6"/>
    <s v="L-&gt;R"/>
    <s v="MVC"/>
    <s v="Y44956"/>
    <n v="1"/>
    <s v="力合仓库(已经清关)"/>
    <x v="6"/>
    <n v="6.1499999999999999E-2"/>
    <s v="APR 19"/>
    <m/>
    <s v="RMB"/>
    <s v="C49SZX20180058KW"/>
    <s v="STK深台"/>
    <s v="YSM10"/>
    <s v="L-&gt;R"/>
    <s v="MVC"/>
    <s v="OK"/>
    <s v="DDP SZ"/>
    <d v="2018-05-10T00:00:00"/>
    <s v="Yes"/>
    <m/>
    <m/>
    <m/>
    <s v="Yes"/>
  </r>
  <r>
    <n v="115"/>
    <x v="0"/>
    <x v="0"/>
    <n v="109202"/>
    <s v="中润互联"/>
    <x v="7"/>
    <s v="L-&gt;R"/>
    <s v="No"/>
    <s v="Y44214"/>
    <n v="1"/>
    <s v="CY仓库"/>
    <x v="7"/>
    <n v="6.3E-2"/>
    <s v="NOV 18"/>
    <m/>
    <s v="JPY"/>
    <s v="C49SZX20180124JL"/>
    <s v="通通旺"/>
    <s v="YSM20R(SV)-2"/>
    <s v="L-&gt;R"/>
    <s v="No"/>
    <s v="OK"/>
    <s v="CIF HK"/>
    <d v="2018-08-10T00:00:00"/>
    <s v="Yes"/>
    <s v="Na"/>
    <s v="Na"/>
    <m/>
    <s v="Yes"/>
  </r>
  <r>
    <n v="98"/>
    <x v="0"/>
    <x v="0"/>
    <n v="109202"/>
    <s v="中润互联"/>
    <x v="7"/>
    <s v="L-&gt;R"/>
    <s v="cATS10+MVC+special layout"/>
    <s v="Y46126"/>
    <n v="1"/>
    <s v="CY仓库"/>
    <x v="7"/>
    <n v="6.3E-2"/>
    <s v="DEC 18"/>
    <m/>
    <s v="JPY"/>
    <s v="C49SZX20180102JL"/>
    <s v="易而达"/>
    <s v="YSM20-2"/>
    <s v="L-&gt;R"/>
    <s v="cATS10+MVC+special layout"/>
    <s v="OK"/>
    <s v="DAP 广州"/>
    <d v="2018-06-15T00:00:00"/>
    <s v="Yes"/>
    <s v="Na"/>
    <s v="Na"/>
    <m/>
    <s v="Yes"/>
  </r>
  <r>
    <n v="104"/>
    <x v="0"/>
    <x v="0"/>
    <n v="109202"/>
    <s v="中润互联"/>
    <x v="7"/>
    <s v="L-&gt;R"/>
    <s v="No"/>
    <s v="Y46124"/>
    <n v="1"/>
    <s v="CY仓库"/>
    <x v="7"/>
    <n v="6.3E-2"/>
    <s v="OCT 18"/>
    <m/>
    <s v="JPY"/>
    <s v="C49SZX20180109SX"/>
    <s v="利速达"/>
    <s v="YSM20-2"/>
    <s v="L-&gt;R"/>
    <s v="No"/>
    <s v="OK"/>
    <s v="DAP SZ"/>
    <d v="2018-06-13T00:00:00"/>
    <s v="Yes"/>
    <s v="Na"/>
    <s v="Na"/>
    <m/>
    <s v="Yes"/>
  </r>
  <r>
    <n v="141"/>
    <x v="0"/>
    <x v="0"/>
    <n v="109239"/>
    <s v="STK"/>
    <x v="1"/>
    <s v="L-&gt;R"/>
    <s v="No"/>
    <s v="Y44970"/>
    <n v="1"/>
    <s v="CY仓库"/>
    <x v="8"/>
    <n v="6.3E-2"/>
    <s v="NOV 18"/>
    <m/>
    <s v="JPY"/>
    <s v="P8544EQYM44"/>
    <s v="PROTECH"/>
    <s v="YSM10"/>
    <s v="L-&gt;R"/>
    <s v="No"/>
    <s v="OK"/>
    <s v="CIF  "/>
    <d v="2018-08-28T00:00:00"/>
    <s v="Yes"/>
    <s v="Na"/>
    <s v="Na"/>
    <m/>
    <s v="Yes"/>
  </r>
  <r>
    <n v="76"/>
    <x v="0"/>
    <x v="0"/>
    <n v="109239"/>
    <s v="STK"/>
    <x v="1"/>
    <s v="L-&gt;R"/>
    <s v="No"/>
    <s v="Y44971"/>
    <n v="1"/>
    <s v="CY仓库"/>
    <x v="8"/>
    <n v="6.3E-2"/>
    <s v="NOV 18"/>
    <m/>
    <s v="JPY"/>
    <s v="C49SZX20180083DZ"/>
    <s v="HangTe航特"/>
    <s v="YSM10"/>
    <s v="L-&gt;R"/>
    <s v="No"/>
    <s v="OK"/>
    <s v="DAP SZ"/>
    <d v="2018-05-18T00:00:00"/>
    <s v="Yes"/>
    <s v="Na"/>
    <s v="Na"/>
    <m/>
    <s v="Yes"/>
  </r>
  <r>
    <n v="77"/>
    <x v="0"/>
    <x v="0"/>
    <n v="109239"/>
    <s v="STK"/>
    <x v="1"/>
    <s v="L-&gt;R"/>
    <s v="No"/>
    <s v="Y44973"/>
    <n v="1"/>
    <s v="福保仓库"/>
    <x v="8"/>
    <n v="6.3E-2"/>
    <s v="NOV 18"/>
    <m/>
    <s v="JPY"/>
    <s v="C49SZX20180083DZ"/>
    <s v="HangTe航特"/>
    <s v="YSM10"/>
    <s v="L-&gt;R"/>
    <s v="No"/>
    <s v="OK"/>
    <s v="DAP SZ"/>
    <d v="2018-05-18T00:00:00"/>
    <s v="Yes"/>
    <s v="Na"/>
    <s v="Na"/>
    <m/>
    <s v="Yes"/>
  </r>
  <r>
    <n v="125"/>
    <x v="0"/>
    <x v="0"/>
    <n v="109239"/>
    <s v="STK"/>
    <x v="1"/>
    <s v="L-&gt;R"/>
    <s v="No"/>
    <s v="Y44974"/>
    <n v="1"/>
    <s v="福保仓库"/>
    <x v="8"/>
    <n v="6.3E-2"/>
    <s v="DEC 18"/>
    <m/>
    <s v="JPY"/>
    <s v="C49SZX20180133SX"/>
    <s v="维众"/>
    <s v="YSM10"/>
    <s v="L-&gt;R"/>
    <s v="No"/>
    <s v="OK"/>
    <s v="DAP 东莞"/>
    <d v="2018-08-23T00:00:00"/>
    <s v="Yes"/>
    <s v="Na"/>
    <s v="Na"/>
    <m/>
    <s v="Yes"/>
  </r>
  <r>
    <n v="99"/>
    <x v="0"/>
    <x v="0"/>
    <n v="109352"/>
    <s v="康佳"/>
    <x v="7"/>
    <s v="L-&gt;R"/>
    <s v="No"/>
    <s v="Y45141"/>
    <n v="1"/>
    <s v="CY仓库"/>
    <x v="9"/>
    <n v="6.3E-2"/>
    <s v="DEC 18"/>
    <m/>
    <s v="JPY"/>
    <s v="C49SZX20180102JL"/>
    <s v="易而达"/>
    <s v="YSM20-2"/>
    <s v="L-&gt;R"/>
    <s v="No"/>
    <s v="OK"/>
    <s v="DAP 广州"/>
    <d v="2018-06-15T00:00:00"/>
    <s v="Yes"/>
    <s v="Na"/>
    <s v="Na"/>
    <m/>
    <s v="Yes"/>
  </r>
  <r>
    <n v="265"/>
    <x v="0"/>
    <x v="0"/>
    <n v="109352"/>
    <s v="康佳"/>
    <x v="7"/>
    <s v="L-&gt;R"/>
    <s v="No"/>
    <s v="Y45142"/>
    <n v="1"/>
    <s v="CY仓库"/>
    <x v="9"/>
    <n v="6.3E-2"/>
    <s v="APR 19"/>
    <m/>
    <s v="JPY"/>
    <s v="C49SZX20190032SX"/>
    <s v="凌鑫"/>
    <s v="YSM20-2"/>
    <s v="L-&gt;R"/>
    <s v="No"/>
    <s v="OK"/>
    <s v="DAP 深圳"/>
    <d v="2019-03-21T00:00:00"/>
    <s v="Yes"/>
    <s v="Na"/>
    <s v="Na"/>
    <m/>
    <s v="Yes"/>
  </r>
  <r>
    <n v="267"/>
    <x v="0"/>
    <x v="0"/>
    <n v="109352"/>
    <s v="康佳"/>
    <x v="7"/>
    <s v="L-&gt;R"/>
    <s v="No"/>
    <s v="Y45138"/>
    <n v="1"/>
    <s v="CY仓库"/>
    <x v="9"/>
    <n v="6.3E-2"/>
    <s v="APR 19"/>
    <m/>
    <s v="JPY"/>
    <s v="C49SZX20190046SX"/>
    <s v="永顺创"/>
    <s v="YSM20-2"/>
    <s v="L-&gt;R"/>
    <s v="MVC"/>
    <s v="WRONG"/>
    <s v="DAP 深圳"/>
    <d v="2019-03-22T00:00:00"/>
    <s v="Yes"/>
    <s v="Na"/>
    <s v="Na"/>
    <m/>
    <s v="Yes"/>
  </r>
  <r>
    <n v="149"/>
    <x v="0"/>
    <x v="0"/>
    <n v="109352"/>
    <s v="康佳"/>
    <x v="7"/>
    <s v="L-&gt;R"/>
    <s v="No"/>
    <s v="Y45140"/>
    <n v="1"/>
    <s v="CY仓库"/>
    <x v="9"/>
    <n v="6.3E-2"/>
    <s v="NOV 18"/>
    <m/>
    <s v="JPY"/>
    <s v="C49SZX20180158ZX"/>
    <s v="德兰明海"/>
    <s v="YSM20-2"/>
    <s v="L-&gt;R"/>
    <s v="No"/>
    <s v="OK"/>
    <s v="DAP 深圳"/>
    <d v="2018-10-24T00:00:00"/>
    <s v="Yes"/>
    <s v="Na"/>
    <s v="Na"/>
    <m/>
    <s v="Yes"/>
  </r>
  <r>
    <n v="271"/>
    <x v="0"/>
    <x v="0"/>
    <n v="109352"/>
    <s v="康佳"/>
    <x v="7"/>
    <s v="L-&gt;R"/>
    <s v="No"/>
    <s v="Y45797"/>
    <n v="1"/>
    <s v="CY仓库"/>
    <x v="9"/>
    <n v="6.3E-2"/>
    <s v="APR 19"/>
    <m/>
    <s v="JPY"/>
    <s v="C49SZX20190040JL"/>
    <s v="瑞福联"/>
    <s v="YSM20-2"/>
    <s v="L-&gt;R"/>
    <s v="No"/>
    <s v="OK"/>
    <s v="CIF HK"/>
    <d v="2019-03-25T00:00:00"/>
    <s v="Yes"/>
    <s v="Na"/>
    <s v="Na"/>
    <m/>
    <s v="Yes"/>
  </r>
  <r>
    <n v="272"/>
    <x v="0"/>
    <x v="0"/>
    <n v="109352"/>
    <s v="康佳"/>
    <x v="7"/>
    <s v="L-&gt;R"/>
    <s v="No"/>
    <s v="Y45798"/>
    <n v="1"/>
    <s v="CY仓库"/>
    <x v="9"/>
    <n v="6.3E-2"/>
    <s v="APR 19"/>
    <m/>
    <s v="JPY"/>
    <s v="C49SZX20190040JL"/>
    <s v="瑞福联"/>
    <s v="YSM20-2"/>
    <s v="L-&gt;R"/>
    <s v="No"/>
    <s v="OK"/>
    <s v="CIF HK"/>
    <d v="2019-03-25T00:00:00"/>
    <s v="Yes"/>
    <s v="Na"/>
    <s v="Na"/>
    <m/>
    <s v="Yes"/>
  </r>
  <r>
    <n v="278"/>
    <x v="0"/>
    <x v="0"/>
    <n v="109352"/>
    <s v="康佳"/>
    <x v="7"/>
    <s v="L-&gt;R"/>
    <s v="No"/>
    <s v="Y45799"/>
    <n v="1"/>
    <s v="CY仓库"/>
    <x v="9"/>
    <n v="6.3E-2"/>
    <s v="APR 19"/>
    <m/>
    <s v="JPY"/>
    <s v="C49SZX20190048JY"/>
    <s v="络鑫"/>
    <s v="YSM20-2"/>
    <s v="L-&gt;R"/>
    <s v="No"/>
    <s v="OK"/>
    <s v="DAP东莞"/>
    <d v="2019-04-03T00:00:00"/>
    <s v="Yes"/>
    <s v="Na"/>
    <s v="Na"/>
    <m/>
    <s v="Yes"/>
  </r>
  <r>
    <n v="31"/>
    <x v="0"/>
    <x v="0"/>
    <n v="109352"/>
    <s v="康佳"/>
    <x v="7"/>
    <s v="L-&gt;R"/>
    <s v="No"/>
    <s v="Y45139 "/>
    <n v="1"/>
    <s v="力合仓库(已经清关)"/>
    <x v="9"/>
    <n v="6.3E-2"/>
    <s v="APR 19"/>
    <m/>
    <s v="RMB"/>
    <s v="C49SZX20180058KW"/>
    <s v="STK深台"/>
    <s v="YSM20-2"/>
    <s v="L-&gt;R"/>
    <s v="No"/>
    <s v="OK"/>
    <s v="DDP SZ"/>
    <d v="2018-05-10T00:00:00"/>
    <s v="Yes"/>
    <s v="Na"/>
    <s v="Na"/>
    <m/>
    <s v="Yes"/>
  </r>
  <r>
    <n v="187"/>
    <x v="0"/>
    <x v="0"/>
    <n v="109360"/>
    <s v="STK"/>
    <x v="1"/>
    <s v="L-&gt;R"/>
    <s v="No"/>
    <s v="Y44952"/>
    <n v="1"/>
    <s v="福保仓库"/>
    <x v="10"/>
    <n v="6.3E-2"/>
    <s v="FEB 19"/>
    <m/>
    <s v="JPY"/>
    <s v="C49SZX20180161RY"/>
    <s v="恩圣"/>
    <s v="YSM10"/>
    <s v="L-&gt;R"/>
    <s v="No"/>
    <s v="OK"/>
    <s v="DAP深圳"/>
    <d v="2018-12-11T00:00:00"/>
    <s v="Yes"/>
    <s v="Na"/>
    <s v="Na"/>
    <m/>
    <s v="Yes"/>
  </r>
  <r>
    <n v="213"/>
    <x v="0"/>
    <x v="0"/>
    <n v="109360"/>
    <s v="STK"/>
    <x v="1"/>
    <s v="L-&gt;R"/>
    <s v="No"/>
    <s v="Y44953"/>
    <n v="1"/>
    <s v="福保仓库"/>
    <x v="10"/>
    <n v="6.3E-2"/>
    <s v="MAR 19"/>
    <m/>
    <s v="JPY"/>
    <s v="C49SZX20190007JL"/>
    <s v="昶达CHEERSTAR"/>
    <s v="YSM10"/>
    <s v="R-&gt;L"/>
    <s v="No"/>
    <s v="WRONG"/>
    <s v="CIF"/>
    <d v="2019-01-15T00:00:00"/>
    <s v="Yes"/>
    <s v="Na"/>
    <s v="Na"/>
    <m/>
    <s v="Yes"/>
  </r>
  <r>
    <n v="234"/>
    <x v="0"/>
    <x v="0"/>
    <n v="109416"/>
    <s v="STK"/>
    <x v="1"/>
    <s v="L-&gt;R"/>
    <s v="MVC+ATS15"/>
    <s v="Y46111"/>
    <n v="1"/>
    <s v="福保仓库"/>
    <x v="10"/>
    <n v="6.3E-2"/>
    <s v="APR 19"/>
    <m/>
    <s v="RMB"/>
    <s v="C49SZX20190016KW"/>
    <s v="同基"/>
    <s v="YSM10"/>
    <s v="L-&gt;R"/>
    <s v="MVC+ATS15"/>
    <s v="OK"/>
    <s v="DAP 深圳"/>
    <d v="2019-01-25T00:00:00"/>
    <s v="Yes"/>
    <s v="Na"/>
    <s v="Na"/>
    <m/>
    <s v="Yes"/>
  </r>
  <r>
    <n v="235"/>
    <x v="0"/>
    <x v="0"/>
    <n v="109416"/>
    <s v="STK"/>
    <x v="1"/>
    <s v="L-&gt;R"/>
    <s v="MVC+ATS15"/>
    <s v="Y46112"/>
    <n v="1"/>
    <s v="福保仓库"/>
    <x v="10"/>
    <n v="6.3E-2"/>
    <s v="APR 19"/>
    <m/>
    <s v="RMB"/>
    <s v="C49SZX20190016KW"/>
    <s v="同基"/>
    <s v="YSM10"/>
    <s v="L-&gt;R"/>
    <s v="MVC+ATS15"/>
    <s v="OK"/>
    <s v="DAP 深圳"/>
    <d v="2019-01-25T00:00:00"/>
    <s v="Yes"/>
    <s v="Na"/>
    <s v="Na"/>
    <m/>
    <s v="Yes"/>
  </r>
  <r>
    <n v="212"/>
    <x v="0"/>
    <x v="0"/>
    <n v="109381"/>
    <s v="STK"/>
    <x v="1"/>
    <s v="L-&gt;R"/>
    <s v="MVC"/>
    <s v="Y44983"/>
    <n v="1"/>
    <s v="2019.4.3拖CY"/>
    <x v="11"/>
    <n v="6.2399999999999997E-2"/>
    <s v="MAR 19"/>
    <m/>
    <s v="JPY"/>
    <s v="C49SZX20190007JL"/>
    <s v="昶达CHEERSTAR"/>
    <s v="YSM10"/>
    <s v="R-&gt;L"/>
    <s v="MVC"/>
    <s v="WRONG"/>
    <s v="CIF"/>
    <d v="2019-01-15T00:00:00"/>
    <s v="Yes"/>
    <s v="Na"/>
    <s v="Na"/>
    <m/>
    <s v="Yes"/>
  </r>
  <r>
    <n v="181"/>
    <x v="0"/>
    <x v="0"/>
    <n v="109381"/>
    <s v="STK"/>
    <x v="1"/>
    <s v="L-&gt;R"/>
    <s v="MVC"/>
    <s v="Y44984"/>
    <n v="1"/>
    <s v="福保仓库"/>
    <x v="11"/>
    <n v="6.2399999999999997E-2"/>
    <s v="DEC 18"/>
    <m/>
    <s v="JPY"/>
    <s v="C49SZX20180172ZX"/>
    <s v="网娱视通"/>
    <s v="YSM10"/>
    <s v="L-&gt;R"/>
    <s v="MVC"/>
    <s v="OK"/>
    <s v="DAP深圳"/>
    <d v="2018-11-21T00:00:00"/>
    <s v="Yes"/>
    <s v="Na"/>
    <s v="Na"/>
    <m/>
    <s v="Yes"/>
  </r>
  <r>
    <n v="253"/>
    <x v="0"/>
    <x v="0"/>
    <n v="109381"/>
    <s v="STK"/>
    <x v="1"/>
    <s v="L-&gt;R"/>
    <s v="MVC+ATS15"/>
    <s v="Y44985"/>
    <n v="1"/>
    <s v="福保仓库"/>
    <x v="11"/>
    <n v="6.2399999999999997E-2"/>
    <s v="APR 19"/>
    <m/>
    <s v="JPY"/>
    <s v="C49SZX20190027MZ"/>
    <s v="魔乐视/end user:拓普赛特"/>
    <s v="YSM10"/>
    <s v="L-&gt;R"/>
    <s v="MVC+ATS15"/>
    <s v="OK"/>
    <s v="DAP 深圳"/>
    <d v="2019-03-12T00:00:00"/>
    <s v="Yes"/>
    <s v="Na"/>
    <s v="Na"/>
    <m/>
    <s v="Yes end user 拓普塞特"/>
  </r>
  <r>
    <n v="276"/>
    <x v="0"/>
    <x v="0"/>
    <n v="109381"/>
    <s v="STK"/>
    <x v="1"/>
    <s v="L-&gt;R"/>
    <s v="MVC+ATS15"/>
    <s v="Y44986"/>
    <n v="1"/>
    <s v="福保仓库"/>
    <x v="11"/>
    <n v="6.2399999999999997E-2"/>
    <s v="APR 19"/>
    <m/>
    <s v="JPY"/>
    <s v="C49SZX20190049SS"/>
    <s v="存封"/>
    <s v="YSM10"/>
    <s v="L-&gt;R"/>
    <s v="MVC+ATS15"/>
    <s v="OK"/>
    <s v="DAP 深圳"/>
    <d v="2019-04-02T00:00:00"/>
    <s v="Yes"/>
    <d v="2018-08-30T00:00:00"/>
    <d v="2018-09-12T00:00:00"/>
    <m/>
    <s v="C180131261"/>
  </r>
  <r>
    <n v="263"/>
    <x v="0"/>
    <x v="0"/>
    <n v="109381"/>
    <s v="STK"/>
    <x v="1"/>
    <s v="L-&gt;R"/>
    <s v="No"/>
    <s v="Y44979"/>
    <n v="1"/>
    <s v="福保仓库"/>
    <x v="11"/>
    <n v="6.2399999999999997E-2"/>
    <s v="APR 19"/>
    <m/>
    <s v="JPY"/>
    <s v="C49SZX20190035ZX"/>
    <s v="恒泰创新"/>
    <s v="YSM10"/>
    <s v="L-&gt;R"/>
    <s v="MVC"/>
    <s v="WRONG"/>
    <s v="DAP 深圳"/>
    <d v="2019-03-20T00:00:00"/>
    <s v="Yes"/>
    <s v="Na"/>
    <s v="Na"/>
    <m/>
    <s v="Yes"/>
  </r>
  <r>
    <n v="275"/>
    <x v="0"/>
    <x v="0"/>
    <n v="109381"/>
    <s v="STK"/>
    <x v="1"/>
    <s v="L-&gt;R"/>
    <s v="No"/>
    <s v="Y44981"/>
    <n v="1"/>
    <s v="福保仓库"/>
    <x v="11"/>
    <n v="6.2399999999999997E-2"/>
    <s v="APR 19"/>
    <m/>
    <s v="JPY"/>
    <s v="C49SZX20190047SS"/>
    <s v="卡迪圣"/>
    <s v="YSM10"/>
    <s v="L-&gt;R"/>
    <s v="MVC"/>
    <s v="WRONG"/>
    <s v="DAP 深圳"/>
    <d v="2019-04-01T00:00:00"/>
    <s v="Yes"/>
    <d v="2018-06-15T00:00:00"/>
    <d v="2018-07-02T00:00:00"/>
    <m/>
    <s v="Yes"/>
  </r>
  <r>
    <n v="42"/>
    <x v="0"/>
    <x v="0"/>
    <n v="109381"/>
    <s v="STK"/>
    <x v="1"/>
    <s v="L-&gt;R"/>
    <s v="No"/>
    <s v="Y44980"/>
    <n v="1"/>
    <s v="福保仓库"/>
    <x v="11"/>
    <n v="6.2399999999999997E-2"/>
    <s v="MAR 19"/>
    <m/>
    <s v="JPY"/>
    <s v="C49SZX20180066JY"/>
    <s v="格力创"/>
    <s v="YSM10"/>
    <s v="R-&gt;L"/>
    <s v="No"/>
    <s v="WRONG"/>
    <s v="DAP SZ"/>
    <d v="2018-06-05T00:00:00"/>
    <s v="Yes"/>
    <m/>
    <m/>
    <m/>
    <s v="Yes"/>
  </r>
  <r>
    <n v="43"/>
    <x v="0"/>
    <x v="0"/>
    <n v="109381"/>
    <s v="STK"/>
    <x v="1"/>
    <s v="L-&gt;R"/>
    <s v="No"/>
    <s v="Y44982"/>
    <n v="1"/>
    <s v="福保仓库"/>
    <x v="11"/>
    <n v="6.2399999999999997E-2"/>
    <s v="MAR 19"/>
    <m/>
    <s v="JPY"/>
    <s v="C49SZX20180066JY"/>
    <s v="格力创"/>
    <s v="YSM10"/>
    <s v="L-&gt;R"/>
    <s v="No"/>
    <s v="OK"/>
    <s v="DAP SZ"/>
    <d v="2018-06-05T00:00:00"/>
    <s v="Yes"/>
    <m/>
    <m/>
    <m/>
    <s v="Yes"/>
  </r>
  <r>
    <n v="281"/>
    <x v="0"/>
    <x v="0"/>
    <n v="109381"/>
    <s v="STK"/>
    <x v="1"/>
    <s v="L-&gt;R"/>
    <s v="No"/>
    <s v="Y44975"/>
    <n v="1"/>
    <s v="福保仓库"/>
    <x v="11"/>
    <n v="6.2399999999999997E-2"/>
    <s v="APR 19"/>
    <m/>
    <s v="JPY"/>
    <s v="C49SZX20190052SS"/>
    <s v="乐上"/>
    <s v="YSM10"/>
    <s v="L-&gt;R"/>
    <s v="MVC"/>
    <s v="WRONG"/>
    <s v="DAP东莞"/>
    <d v="2019-04-12T00:00:00"/>
    <s v="Yes"/>
    <s v="Na"/>
    <s v="Na"/>
    <m/>
    <s v="Yes"/>
  </r>
  <r>
    <n v="282"/>
    <x v="0"/>
    <x v="0"/>
    <n v="109381"/>
    <s v="STK"/>
    <x v="1"/>
    <s v="L-&gt;R"/>
    <s v="No"/>
    <s v="Y44976"/>
    <n v="1"/>
    <s v="福保仓库"/>
    <x v="11"/>
    <n v="6.2399999999999997E-2"/>
    <s v="APR 19"/>
    <m/>
    <s v="JPY"/>
    <s v="C49SZX20190052SS"/>
    <s v="乐上"/>
    <s v="YSM10"/>
    <s v="L-&gt;R"/>
    <s v="MVC"/>
    <s v="WRONG"/>
    <s v="DAP东莞"/>
    <d v="2019-04-12T00:00:00"/>
    <s v="Yes"/>
    <s v="Na"/>
    <s v="Na"/>
    <m/>
    <s v="Yes"/>
  </r>
  <r>
    <n v="298"/>
    <x v="0"/>
    <x v="0"/>
    <n v="109381"/>
    <s v="STK"/>
    <x v="1"/>
    <s v="L-&gt;R"/>
    <s v="No"/>
    <s v="Y44977"/>
    <n v="1"/>
    <s v="福保仓库"/>
    <x v="11"/>
    <n v="6.2399999999999997E-2"/>
    <s v="MAY 19"/>
    <m/>
    <s v="JPY"/>
    <s v="C49SZX20190061JL"/>
    <s v="微力创/end user 昶达"/>
    <s v="YSM10"/>
    <s v="L-&gt;R"/>
    <s v="MVC"/>
    <s v="WRONG"/>
    <s v="CIF HK"/>
    <d v="2019-04-27T00:00:00"/>
    <s v="Yes"/>
    <s v="Na"/>
    <s v="Na"/>
    <m/>
    <s v="Yes,end user 昶达"/>
  </r>
  <r>
    <n v="243"/>
    <x v="0"/>
    <x v="0"/>
    <n v="109381"/>
    <s v="STK"/>
    <x v="1"/>
    <s v="L-&gt;R"/>
    <s v="No"/>
    <s v="Y44978"/>
    <n v="1"/>
    <s v="福保仓库"/>
    <x v="11"/>
    <n v="6.2399999999999997E-2"/>
    <s v="MAR 19"/>
    <m/>
    <s v="JPY"/>
    <s v="C49SZX20190023SS"/>
    <s v="世启纳"/>
    <s v="YSM10"/>
    <s v="R-&gt;L"/>
    <s v="MVC"/>
    <s v="WRONG"/>
    <s v="DAP 深圳"/>
    <d v="2019-02-27T00:00:00"/>
    <s v="Yes"/>
    <m/>
    <s v="Na"/>
    <m/>
    <s v="Yes"/>
  </r>
  <r>
    <n v="266"/>
    <x v="0"/>
    <x v="0"/>
    <n v="109413"/>
    <s v="STK"/>
    <x v="1"/>
    <s v="L-&gt;R"/>
    <s v="MVC"/>
    <s v="Y46673"/>
    <n v="1"/>
    <s v="福保仓库"/>
    <x v="11"/>
    <n v="6.2399999999999997E-2"/>
    <s v="APR 19"/>
    <m/>
    <s v="JPY"/>
    <s v="C49SZX20190032SX"/>
    <s v="凌鑫"/>
    <s v="YSM10"/>
    <s v="L-&gt;R"/>
    <s v="MVC"/>
    <s v="OK"/>
    <s v="DAP 深圳"/>
    <d v="2019-03-21T00:00:00"/>
    <s v="Yes"/>
    <s v="Na"/>
    <s v="Na"/>
    <m/>
    <s v="Yes"/>
  </r>
  <r>
    <n v="242"/>
    <x v="0"/>
    <x v="0"/>
    <n v="109413"/>
    <s v="STK"/>
    <x v="1"/>
    <s v="L-&gt;R"/>
    <s v="No"/>
    <s v="Y46674"/>
    <n v="1"/>
    <s v="福保仓库"/>
    <x v="11"/>
    <n v="6.2399999999999997E-2"/>
    <s v="MAR 19"/>
    <m/>
    <s v="JPY"/>
    <s v="C49SZX20190023SS"/>
    <s v="世启纳"/>
    <s v="YSM10"/>
    <s v="L-&gt;R"/>
    <s v="MVC"/>
    <s v="WRONG"/>
    <s v="DAP 深圳"/>
    <d v="2019-02-27T00:00:00"/>
    <s v="Yes"/>
    <m/>
    <s v="Na"/>
    <m/>
    <s v="Yes"/>
  </r>
  <r>
    <n v="48"/>
    <x v="0"/>
    <x v="0"/>
    <n v="109331"/>
    <s v="永顺创"/>
    <x v="3"/>
    <s v="L-&gt;R"/>
    <s v="MVC"/>
    <s v="Y46418"/>
    <n v="1"/>
    <s v="码头"/>
    <x v="12"/>
    <n v="6.1600000000000002E-2"/>
    <s v="NOV 18"/>
    <m/>
    <s v="JPY"/>
    <s v="C49SZX20180070SX"/>
    <s v="永顺创（Sales accurel in Oct)"/>
    <s v="YSM20-2"/>
    <s v="L-&gt;R"/>
    <s v="MVC"/>
    <s v="OK"/>
    <s v="DAP SZ"/>
    <d v="2018-04-18T00:00:00"/>
    <s v="Yes"/>
    <s v="Na"/>
    <s v="Na"/>
    <s v="OEF已做"/>
    <s v="Yes"/>
  </r>
  <r>
    <n v="49"/>
    <x v="0"/>
    <x v="0"/>
    <n v="109331"/>
    <s v="永顺创"/>
    <x v="3"/>
    <s v="L-&gt;R"/>
    <s v="MVC"/>
    <s v="Y46419"/>
    <n v="1"/>
    <s v="码头"/>
    <x v="12"/>
    <n v="6.1600000000000002E-2"/>
    <s v="NOV 18"/>
    <m/>
    <s v="JPY"/>
    <s v="C49SZX20180070SX"/>
    <s v="永顺创（Sales accurel in Oct)"/>
    <s v="YSM20-2"/>
    <s v="L-&gt;R"/>
    <s v="MVC"/>
    <s v="OK"/>
    <s v="DAP SZ"/>
    <d v="2018-04-18T00:00:00"/>
    <s v="Yes"/>
    <s v="Na"/>
    <s v="Na"/>
    <s v="OEF已做"/>
    <s v="Yes"/>
  </r>
  <r>
    <n v="127"/>
    <x v="0"/>
    <x v="0"/>
    <n v="109288"/>
    <s v="亿联"/>
    <x v="3"/>
    <s v="L-&gt;R"/>
    <s v="No"/>
    <s v="Y45637"/>
    <n v="1"/>
    <s v="码头"/>
    <x v="13"/>
    <n v="6.1600000000000002E-2"/>
    <s v="NOV 18"/>
    <m/>
    <s v="JPY"/>
    <s v="C49SZX20180135SX"/>
    <s v="兴开泰"/>
    <s v="YSM20R(SV)-2"/>
    <s v="L-&gt;R"/>
    <s v="No"/>
    <s v="OK"/>
    <s v="CIF "/>
    <d v="2018-08-29T00:00:00"/>
    <s v="Yes"/>
    <s v="Na"/>
    <s v="Na"/>
    <m/>
    <s v="Yes"/>
  </r>
  <r>
    <n v="128"/>
    <x v="0"/>
    <x v="0"/>
    <n v="109288"/>
    <s v="亿联"/>
    <x v="3"/>
    <s v="L-&gt;R"/>
    <s v="No"/>
    <s v="Y45638"/>
    <n v="1"/>
    <s v="码头"/>
    <x v="13"/>
    <n v="6.1600000000000002E-2"/>
    <s v="NOV 18"/>
    <m/>
    <s v="JPY"/>
    <s v="C49SZX20180135SX"/>
    <s v="兴开泰"/>
    <s v="YSM20R(SV)-2"/>
    <s v="L-&gt;R"/>
    <s v="No"/>
    <s v="OK"/>
    <s v="CIF "/>
    <d v="2018-08-29T00:00:00"/>
    <s v="Yes"/>
    <s v="Na"/>
    <s v="Na"/>
    <m/>
    <s v="Yes"/>
  </r>
  <r>
    <n v="423"/>
    <x v="0"/>
    <x v="0"/>
    <n v="109308"/>
    <s v="英拓邦"/>
    <x v="3"/>
    <s v="L-&gt;R"/>
    <s v="cATS10+special layout"/>
    <s v="Y45850"/>
    <n v="1"/>
    <s v="力合仓库(已经清关)"/>
    <x v="14"/>
    <n v="6.1600000000000002E-2"/>
    <s v="SEP 19"/>
    <m/>
    <s v="RMB"/>
    <s v="C49SZX20190135SX"/>
    <s v="迅丰"/>
    <s v="YSM20R(SV)-2"/>
    <s v="L-&gt;R"/>
    <s v="cATS10+MVC+special layout"/>
    <s v="WRONG"/>
    <s v="含税到厂"/>
    <d v="2019-09-07T00:00:00"/>
    <s v="Yes"/>
    <s v="Na"/>
    <s v="Na"/>
    <m/>
    <s v="C190935664"/>
  </r>
  <r>
    <n v="429"/>
    <x v="0"/>
    <x v="0"/>
    <n v="109308"/>
    <s v="英拓邦"/>
    <x v="3"/>
    <s v="L-&gt;R"/>
    <s v="cATS10+special layout"/>
    <s v="Y45851"/>
    <n v="1"/>
    <s v="力合仓库(已经清关)"/>
    <x v="14"/>
    <n v="6.1600000000000002E-2"/>
    <s v="SEP 19"/>
    <m/>
    <s v="RMB"/>
    <s v="C49SZX201900131JL"/>
    <s v="杉川/end user:放德劲"/>
    <s v="YSM20R(SV)-2"/>
    <s v="L-&gt;R"/>
    <s v="cATS10+MVC+special layout"/>
    <s v="WRONG"/>
    <s v="含税到厂"/>
    <d v="2019-09-09T00:00:00"/>
    <s v="Yes"/>
    <m/>
    <m/>
    <m/>
    <s v="C190434452"/>
  </r>
  <r>
    <n v="246"/>
    <x v="0"/>
    <x v="0"/>
    <n v="109295"/>
    <s v="STK"/>
    <x v="1"/>
    <s v="L-&gt;R"/>
    <s v="No"/>
    <s v="Y45751"/>
    <n v="1"/>
    <s v="福保仓库"/>
    <x v="15"/>
    <n v="6.2799999999999995E-2"/>
    <s v="MAY 19"/>
    <m/>
    <s v="JPY"/>
    <s v="C49SZX20190031MZ"/>
    <s v="鸿南"/>
    <s v="YSM10"/>
    <s v="R-&gt;L"/>
    <s v="MVC"/>
    <s v="WRONG"/>
    <s v="CIF HK"/>
    <d v="2019-03-08T00:00:00"/>
    <s v="Yes"/>
    <s v="Na"/>
    <s v="Na"/>
    <m/>
    <s v="C180331587"/>
  </r>
  <r>
    <n v="247"/>
    <x v="0"/>
    <x v="0"/>
    <n v="109295"/>
    <s v="STK"/>
    <x v="1"/>
    <s v="L-&gt;R"/>
    <s v="No"/>
    <s v="Y45752"/>
    <n v="1"/>
    <s v="福保仓库"/>
    <x v="15"/>
    <n v="6.2799999999999995E-2"/>
    <s v="MAY 19"/>
    <m/>
    <s v="JPY"/>
    <s v="C49SZX20190031MZ"/>
    <s v="鸿南"/>
    <s v="YSM10"/>
    <s v="R-&gt;L"/>
    <s v="MVC"/>
    <s v="WRONG"/>
    <s v="CIF HK"/>
    <d v="2019-03-08T00:00:00"/>
    <s v="Yes"/>
    <s v="Na"/>
    <s v="Na"/>
    <m/>
    <s v="C180331587"/>
  </r>
  <r>
    <s v="咸阳宇迪"/>
    <x v="0"/>
    <x v="0"/>
    <n v="109295"/>
    <s v="STK"/>
    <x v="1"/>
    <s v="L-&gt;R"/>
    <s v="No"/>
    <s v="Y45753"/>
    <n v="1"/>
    <s v="力合仓库(已经清关)"/>
    <x v="15"/>
    <n v="6.2799999999999995E-2"/>
    <s v="JUN 19"/>
    <m/>
    <e v="#N/A"/>
    <e v="#N/A"/>
    <e v="#N/A"/>
    <e v="#N/A"/>
    <e v="#N/A"/>
    <e v="#N/A"/>
    <e v="#N/A"/>
    <e v="#N/A"/>
    <e v="#N/A"/>
    <e v="#N/A"/>
    <d v="2018-06-01T00:00:00"/>
    <d v="2018-06-15T00:00:00"/>
    <m/>
    <s v="C111110870"/>
  </r>
  <r>
    <n v="344"/>
    <x v="0"/>
    <x v="0"/>
    <n v="109295"/>
    <s v="STK"/>
    <x v="1"/>
    <s v="L-&gt;R"/>
    <s v="No"/>
    <s v="Y45754"/>
    <n v="1"/>
    <s v="力合仓库(已经清关)"/>
    <x v="15"/>
    <n v="6.2799999999999995E-2"/>
    <s v="JUN 19"/>
    <m/>
    <s v="RMB"/>
    <s v="C49SZX20190091JL"/>
    <s v="达人高科"/>
    <s v="YSM10"/>
    <s v="L-&gt;R"/>
    <s v="No"/>
    <s v="OK"/>
    <s v="含税到厂"/>
    <d v="2019-06-06T00:00:00"/>
    <s v="Yes"/>
    <s v="Na"/>
    <s v="Na"/>
    <m/>
    <s v="C180131115"/>
  </r>
  <r>
    <n v="345"/>
    <x v="0"/>
    <x v="0"/>
    <n v="109295"/>
    <s v="STK"/>
    <x v="1"/>
    <s v="L-&gt;R"/>
    <s v="No"/>
    <s v="Y45755"/>
    <n v="1"/>
    <s v="力合仓库(已经清关)"/>
    <x v="15"/>
    <n v="6.2799999999999995E-2"/>
    <s v="JUN 19"/>
    <m/>
    <s v="RMB"/>
    <s v="C49SZX20190091JL"/>
    <s v="达人高科"/>
    <s v="YSM10"/>
    <s v="R-&gt;L"/>
    <s v="No"/>
    <s v="WRONG"/>
    <s v="含税到厂"/>
    <d v="2019-06-06T00:00:00"/>
    <s v="Yes"/>
    <s v="Na"/>
    <s v="Na"/>
    <m/>
    <s v="C180131115"/>
  </r>
  <r>
    <n v="355"/>
    <x v="0"/>
    <x v="0"/>
    <n v="109295"/>
    <s v="STK"/>
    <x v="1"/>
    <s v="L-&gt;R"/>
    <s v="No"/>
    <s v="Y45756"/>
    <n v="1"/>
    <s v="力合仓库(已经清关)"/>
    <x v="15"/>
    <n v="6.2799999999999995E-2"/>
    <s v="JUN 19"/>
    <m/>
    <s v="RMB"/>
    <s v="C49SZX20190099SX"/>
    <s v="柏星"/>
    <s v="YSM10"/>
    <s v="L-&gt;R"/>
    <s v="No"/>
    <s v="OK"/>
    <s v="含税到厂"/>
    <d v="2019-06-18T00:00:00"/>
    <s v="Yes"/>
    <s v="Na"/>
    <s v="Na"/>
    <m/>
    <s v="C181233636"/>
  </r>
  <r>
    <n v="15"/>
    <x v="0"/>
    <x v="0"/>
    <n v="109421"/>
    <s v="STK"/>
    <x v="8"/>
    <s v="L-&gt;R"/>
    <s v="No"/>
    <s v="Y45172"/>
    <n v="1"/>
    <s v="CY仓库"/>
    <x v="16"/>
    <n v="6.25E-2"/>
    <s v="MAR 19"/>
    <m/>
    <s v="JPY"/>
    <s v="C49SZX20180033GL"/>
    <s v="鼎鸿"/>
    <s v="YS24"/>
    <s v="L-&gt;R"/>
    <s v="No"/>
    <s v="OK"/>
    <s v="CIF"/>
    <d v="2018-02-02T00:00:00"/>
    <s v="Yes"/>
    <s v="Na"/>
    <s v="Na"/>
    <m/>
    <s v="前海福源 "/>
  </r>
  <r>
    <n v="154"/>
    <x v="0"/>
    <x v="0"/>
    <n v="109421"/>
    <s v="STK"/>
    <x v="8"/>
    <s v="L-&gt;R"/>
    <s v="No"/>
    <s v="Y45171"/>
    <n v="1"/>
    <s v="CY仓库"/>
    <x v="16"/>
    <n v="6.25E-2"/>
    <s v="DEC 18"/>
    <m/>
    <s v="JPY"/>
    <s v="C49SZX20180165ZX"/>
    <s v="格美通"/>
    <s v="YS24"/>
    <s v="L-&gt;R"/>
    <s v="No"/>
    <s v="OK"/>
    <s v="DAP 深圳"/>
    <d v="2018-11-08T00:00:00"/>
    <s v="Yes"/>
    <s v="Na"/>
    <s v="Na"/>
    <s v="此台机器做了OEF（鼎鸿20180033GL）"/>
    <s v="Yes"/>
  </r>
  <r>
    <n v="291"/>
    <x v="0"/>
    <x v="0"/>
    <n v="109421"/>
    <s v="STK"/>
    <x v="8"/>
    <s v="L-&gt;R"/>
    <s v="No"/>
    <s v="Y45170"/>
    <n v="1"/>
    <s v="福保仓库"/>
    <x v="16"/>
    <n v="6.25E-2"/>
    <s v="AUG 19"/>
    <m/>
    <s v="JPY"/>
    <s v="C49SZX20190060DZ"/>
    <s v="宝捷"/>
    <s v="YS24"/>
    <s v="L-&gt;R"/>
    <s v="MVC"/>
    <s v="WRONG"/>
    <s v="CIF HK"/>
    <d v="2019-04-24T00:00:00"/>
    <s v="Yes"/>
    <s v="Na"/>
    <s v="Na"/>
    <m/>
    <s v="C180331607"/>
  </r>
  <r>
    <n v="248"/>
    <x v="0"/>
    <x v="0"/>
    <n v="109421"/>
    <s v="STK"/>
    <x v="8"/>
    <s v="L-&gt;R"/>
    <s v="No"/>
    <s v="Y45169"/>
    <n v="1"/>
    <s v="福保仓库"/>
    <x v="16"/>
    <n v="6.25E-2"/>
    <s v="MAR 19"/>
    <m/>
    <s v="JPY"/>
    <s v="C49SZX20190030SX"/>
    <s v="惠阳锐诚"/>
    <s v="YS24"/>
    <s v="L-&gt;R"/>
    <s v="No"/>
    <s v="OK"/>
    <s v="DAP惠阳"/>
    <d v="2019-03-07T00:00:00"/>
    <s v="Yes"/>
    <s v="Na"/>
    <s v="Na"/>
    <m/>
    <s v="Yes"/>
  </r>
  <r>
    <n v="211"/>
    <x v="0"/>
    <x v="0"/>
    <n v="109421"/>
    <s v="STK"/>
    <x v="8"/>
    <s v="L-&gt;R"/>
    <s v="No"/>
    <s v="Y45174"/>
    <n v="1"/>
    <s v="力合仓库(已经清关)"/>
    <x v="16"/>
    <n v="6.25E-2"/>
    <s v="FEB 19"/>
    <m/>
    <s v="RMB"/>
    <s v="C49SZX20190011SX"/>
    <s v="安林An Lin"/>
    <s v="YS24"/>
    <s v="L-&gt;R"/>
    <s v="No"/>
    <s v="OK"/>
    <s v="含税到厂"/>
    <d v="2019-01-15T00:00:00"/>
    <s v="Yes"/>
    <s v="Na"/>
    <s v="Na"/>
    <m/>
    <s v="Yes"/>
  </r>
  <r>
    <n v="208"/>
    <x v="0"/>
    <x v="0"/>
    <n v="109421"/>
    <s v="STK"/>
    <x v="8"/>
    <s v="L-&gt;R"/>
    <s v="No"/>
    <s v="Y45173"/>
    <n v="1"/>
    <s v="力合仓库(已经清关)"/>
    <x v="16"/>
    <n v="6.25E-2"/>
    <s v="FEB 19"/>
    <m/>
    <s v="RMB"/>
    <s v="C49SZX20190005SX"/>
    <s v="An Lin东莞安林"/>
    <s v="YS24"/>
    <s v="L-&gt;R"/>
    <s v="No"/>
    <s v="OK"/>
    <s v="含税到厂"/>
    <d v="2019-01-09T00:00:00"/>
    <s v="Yes"/>
    <s v="Na"/>
    <s v="Na"/>
    <m/>
    <s v="Yes"/>
  </r>
  <r>
    <n v="222"/>
    <x v="0"/>
    <x v="0"/>
    <n v="109388"/>
    <s v="康佳"/>
    <x v="3"/>
    <s v="L-&gt;R"/>
    <s v="No"/>
    <s v="Y45802"/>
    <n v="1"/>
    <s v="CY仓库"/>
    <x v="17"/>
    <n v="6.25E-2"/>
    <s v="JAN 19"/>
    <m/>
    <s v="JPY"/>
    <s v="C49SZX20190012SX"/>
    <s v="恒泰"/>
    <s v="YSM20-2"/>
    <s v="L-&gt;R"/>
    <s v="No"/>
    <s v="OK"/>
    <s v="DAP 江西"/>
    <d v="2019-01-16T00:00:00"/>
    <s v="Yes"/>
    <s v="Na"/>
    <s v="Na"/>
    <m/>
    <s v="Yes"/>
  </r>
  <r>
    <n v="131"/>
    <x v="0"/>
    <x v="0"/>
    <n v="109279"/>
    <s v="上达名义"/>
    <x v="3"/>
    <s v="L-&gt;R"/>
    <s v="No"/>
    <s v="Y45144"/>
    <n v="1"/>
    <s v="CY仓库"/>
    <x v="17"/>
    <n v="6.2199999999999998E-2"/>
    <s v="DEC 18"/>
    <m/>
    <s v="JPY"/>
    <s v="C49SZX20180137DZ"/>
    <s v="朗特"/>
    <s v="YSM20R(SV)-2"/>
    <s v="R-&gt;L"/>
    <s v="No"/>
    <s v="WRONG"/>
    <s v="CIF"/>
    <d v="2018-08-31T00:00:00"/>
    <s v="Yes"/>
    <s v="Na"/>
    <s v="Na"/>
    <m/>
    <s v="Yes"/>
  </r>
  <r>
    <n v="132"/>
    <x v="0"/>
    <x v="0"/>
    <n v="109279"/>
    <s v="上达名义"/>
    <x v="3"/>
    <s v="L-&gt;R"/>
    <s v="No"/>
    <s v="Y46177"/>
    <n v="1"/>
    <s v="CY仓库"/>
    <x v="17"/>
    <n v="6.2199999999999998E-2"/>
    <s v="DEC 18"/>
    <m/>
    <s v="JPY"/>
    <s v="C49SZX20180137DZ"/>
    <s v="朗特"/>
    <s v="YSM20R(SV)-2"/>
    <s v="R-&gt;L"/>
    <s v="No"/>
    <s v="WRONG"/>
    <s v="CIF"/>
    <d v="2018-08-31T00:00:00"/>
    <s v="Yes"/>
    <s v="Na"/>
    <s v="Na"/>
    <m/>
    <s v="Yes"/>
  </r>
  <r>
    <n v="119"/>
    <x v="0"/>
    <x v="0"/>
    <n v="109279"/>
    <s v="上达名义"/>
    <x v="3"/>
    <s v="L-&gt;R"/>
    <s v="No"/>
    <s v="Y45145"/>
    <n v="1"/>
    <s v="CY仓库"/>
    <x v="17"/>
    <n v="6.2199999999999998E-2"/>
    <s v="DEC 18"/>
    <m/>
    <s v="JPY"/>
    <s v="C49SZX20180131DZ"/>
    <s v="朗特"/>
    <s v="YSM20R(SV)-2"/>
    <s v="R-&gt;L"/>
    <s v="No"/>
    <s v="WRONG"/>
    <s v="CIF"/>
    <d v="2018-08-13T00:00:00"/>
    <s v="Yes"/>
    <s v="Na"/>
    <s v="Na"/>
    <m/>
    <s v="Yes"/>
  </r>
  <r>
    <n v="182"/>
    <x v="0"/>
    <x v="0"/>
    <n v="109279"/>
    <s v="上达名义"/>
    <x v="3"/>
    <s v="L-&gt;R"/>
    <s v="No"/>
    <s v="Y45796"/>
    <n v="1"/>
    <s v="CY仓库"/>
    <x v="17"/>
    <n v="6.2199999999999998E-2"/>
    <s v="DEC 18"/>
    <m/>
    <s v="JPY"/>
    <s v="C49SZX20180173ZX"/>
    <s v="网娱视通"/>
    <s v="YSM20R(SV)-2"/>
    <s v="L-&gt;R"/>
    <s v="No"/>
    <s v="OK"/>
    <s v="DAP深圳"/>
    <d v="2018-11-21T00:00:00"/>
    <s v="Yes"/>
    <s v="Na"/>
    <s v="Na"/>
    <m/>
    <s v="Yes"/>
  </r>
  <r>
    <n v="209"/>
    <x v="0"/>
    <x v="0"/>
    <n v="109388"/>
    <s v="康佳"/>
    <x v="3"/>
    <s v="L-&gt;R"/>
    <s v="No"/>
    <s v="Y45800"/>
    <n v="1"/>
    <s v="力合仓库(已经清关)"/>
    <x v="17"/>
    <n v="6.25E-2"/>
    <s v="FEB 19"/>
    <m/>
    <s v="RMB"/>
    <s v="C49SZX20190006ZX"/>
    <s v="KeChengDa科诚达"/>
    <s v="YSM20R(SV)-2"/>
    <s v="L-&gt;R"/>
    <s v="No"/>
    <s v="OK"/>
    <s v="含税到厂"/>
    <d v="2019-01-09T00:00:00"/>
    <s v="Yes"/>
    <s v="Na"/>
    <s v="Na"/>
    <s v="OEF已做"/>
    <s v="Yes"/>
  </r>
  <r>
    <n v="210"/>
    <x v="0"/>
    <x v="0"/>
    <n v="109388"/>
    <s v="康佳"/>
    <x v="3"/>
    <s v="L-&gt;R"/>
    <s v="No"/>
    <s v="Y45801"/>
    <n v="1"/>
    <s v="力合仓库(已经清关)"/>
    <x v="17"/>
    <n v="6.25E-2"/>
    <s v="FEB 19"/>
    <m/>
    <s v="RMB"/>
    <s v="C49SZX20190006ZX"/>
    <s v="KeChengDa科诚达"/>
    <s v="YSM20R(SV)-2"/>
    <s v="L-&gt;R"/>
    <s v="No"/>
    <s v="OK"/>
    <s v="含税到厂"/>
    <d v="2019-01-09T00:00:00"/>
    <s v="Yes"/>
    <s v="Na"/>
    <s v="Na"/>
    <s v="OEF已做"/>
    <s v="Yes"/>
  </r>
  <r>
    <n v="320"/>
    <x v="0"/>
    <x v="0"/>
    <n v="109454"/>
    <s v="STK"/>
    <x v="1"/>
    <s v="L-&gt;R"/>
    <s v="No"/>
    <s v="Y45758"/>
    <n v="1"/>
    <s v="福保仓库"/>
    <x v="18"/>
    <n v="6.2199999999999998E-2"/>
    <s v="JUN 19"/>
    <m/>
    <s v="RMB"/>
    <s v="C49SZX20190077SX"/>
    <s v="An Lin东莞安林"/>
    <s v="YSM10"/>
    <s v="R-&gt;L"/>
    <s v="MVC"/>
    <s v="WRONG"/>
    <s v="含税到厂"/>
    <d v="2019-05-22T00:00:00"/>
    <s v="Yes"/>
    <s v="Na"/>
    <s v="Na"/>
    <m/>
    <s v="C180532090"/>
  </r>
  <r>
    <n v="314"/>
    <x v="0"/>
    <x v="0"/>
    <n v="109454"/>
    <s v="STK"/>
    <x v="1"/>
    <s v="L-&gt;R"/>
    <s v="MVC+Rear 站位"/>
    <s v="Y45759"/>
    <n v="1"/>
    <s v="力合仓库(已经清关)"/>
    <x v="18"/>
    <n v="6.2199999999999998E-2"/>
    <s v="JUN 19"/>
    <m/>
    <s v="RMB"/>
    <s v="C49SZX20190066MZ"/>
    <s v="派诺"/>
    <s v="YSM10"/>
    <s v="R-&gt;L"/>
    <s v="Rear站位"/>
    <s v="WRONG"/>
    <s v="含税到厂"/>
    <d v="2019-05-15T00:00:00"/>
    <s v="Yes"/>
    <m/>
    <m/>
    <m/>
    <s v="C120111315"/>
  </r>
  <r>
    <n v="236"/>
    <x v="0"/>
    <x v="0"/>
    <n v="109454"/>
    <s v="STK"/>
    <x v="1"/>
    <s v="L-&gt;R"/>
    <s v="MVC+ATS15"/>
    <s v="Y45763"/>
    <n v="1"/>
    <s v="盐保仓库"/>
    <x v="18"/>
    <n v="6.2199999999999998E-2"/>
    <s v="MAR 19"/>
    <m/>
    <s v="JPY"/>
    <s v="C49SZX20190019SX"/>
    <s v="永顺创"/>
    <s v="YSM10"/>
    <s v="L-&gt;R"/>
    <s v="MVC+ATS15"/>
    <s v="OK"/>
    <s v="DAP 深圳"/>
    <d v="2019-02-21T00:00:00"/>
    <s v="Yes"/>
    <s v="Na"/>
    <s v="Na"/>
    <m/>
    <s v="Yes"/>
  </r>
  <r>
    <n v="202"/>
    <x v="0"/>
    <x v="0"/>
    <n v="109454"/>
    <s v="STK"/>
    <x v="1"/>
    <s v="L-&gt;R"/>
    <s v="MVC+ATS15"/>
    <s v="Y45764"/>
    <n v="1"/>
    <s v="盐保仓库"/>
    <x v="18"/>
    <n v="6.2199999999999998E-2"/>
    <s v="JUN 19"/>
    <m/>
    <s v="JPY"/>
    <s v="C49SZX20190001JY"/>
    <s v="Kingtron络鑫"/>
    <s v="YSM10"/>
    <s v="L-&gt;R"/>
    <s v="MVC+ATS15"/>
    <s v="OK"/>
    <s v="CIF HK"/>
    <d v="2019-01-08T00:00:00"/>
    <s v="Yes"/>
    <s v="Na"/>
    <s v="Na"/>
    <m/>
    <s v="C190434453"/>
  </r>
  <r>
    <n v="327"/>
    <x v="0"/>
    <x v="0"/>
    <n v="109454"/>
    <s v="STK"/>
    <x v="1"/>
    <s v="L-&gt;R"/>
    <s v="MVC+ATS15"/>
    <s v="Y45765"/>
    <n v="1"/>
    <s v="盐保仓库"/>
    <x v="18"/>
    <n v="6.2199999999999998E-2"/>
    <s v="JUN 19"/>
    <m/>
    <s v="JPY"/>
    <s v="C49SZX20190075ZX"/>
    <s v="宽宏/End user:亿联"/>
    <s v="YSM10"/>
    <s v="L-&gt;R"/>
    <s v="MVC+ATS15"/>
    <s v="OK"/>
    <s v="CIF HK"/>
    <d v="2019-05-27T00:00:00"/>
    <s v="Yes"/>
    <s v="Na"/>
    <s v="Na"/>
    <m/>
    <s v="C180431966"/>
  </r>
  <r>
    <n v="237"/>
    <x v="0"/>
    <x v="0"/>
    <n v="109454"/>
    <s v="STK"/>
    <x v="1"/>
    <s v="L-&gt;R"/>
    <s v="MVC+ATS15"/>
    <s v="Y45766"/>
    <n v="1"/>
    <s v="盐保仓库"/>
    <x v="18"/>
    <n v="6.2199999999999998E-2"/>
    <s v="JUN 19"/>
    <m/>
    <s v="RMB"/>
    <s v="C49SZX20190021JL"/>
    <s v="名佳"/>
    <s v="YSM10"/>
    <s v="R-&gt;L"/>
    <s v="MVC+ATS15"/>
    <s v="WRONG"/>
    <s v="含税到厂"/>
    <d v="2019-02-26T00:00:00"/>
    <s v="Yes"/>
    <s v="Na"/>
    <s v="Na"/>
    <m/>
    <s v="C120111425"/>
  </r>
  <r>
    <n v="197"/>
    <x v="0"/>
    <x v="0"/>
    <n v="109454"/>
    <s v="STK"/>
    <x v="1"/>
    <s v="L-&gt;R"/>
    <s v="MVC"/>
    <s v="Y45760"/>
    <n v="1"/>
    <s v="盐保仓库"/>
    <x v="18"/>
    <n v="6.2199999999999998E-2"/>
    <s v="MAR 19"/>
    <m/>
    <s v="JPY"/>
    <s v="C49SZX20180177JL"/>
    <s v="Tuopuai拓普艾"/>
    <s v="YSM10"/>
    <s v="L-&gt;R"/>
    <s v="MVC"/>
    <s v="OK"/>
    <s v="CIF"/>
    <d v="2018-04-13T00:00:00"/>
    <s v="Yes"/>
    <s v="Na"/>
    <s v="Na"/>
    <m/>
    <s v="Yes"/>
  </r>
  <r>
    <n v="199"/>
    <x v="0"/>
    <x v="0"/>
    <n v="109454"/>
    <s v="STK"/>
    <x v="1"/>
    <s v="L-&gt;R"/>
    <s v="MVC"/>
    <s v="Y45761"/>
    <n v="1"/>
    <s v="盐保仓库"/>
    <x v="18"/>
    <n v="6.2199999999999998E-2"/>
    <s v="MAR 19"/>
    <m/>
    <s v="JPY"/>
    <s v="C49SZX20180177JL"/>
    <s v="Tuopuai拓普艾"/>
    <s v="YSM10"/>
    <s v="L-&gt;R"/>
    <s v="MVC"/>
    <s v="OK"/>
    <s v="CIF"/>
    <d v="2018-04-13T00:00:00"/>
    <s v="Yes"/>
    <s v="Na"/>
    <s v="Na"/>
    <m/>
    <s v="Yes"/>
  </r>
  <r>
    <n v="336"/>
    <x v="0"/>
    <x v="0"/>
    <n v="109454"/>
    <s v="STK"/>
    <x v="1"/>
    <s v="L-&gt;R"/>
    <s v="MVC"/>
    <s v="Y45762"/>
    <n v="1"/>
    <s v="盐保仓库"/>
    <x v="18"/>
    <n v="6.2199999999999998E-2"/>
    <s v="MAY 19"/>
    <m/>
    <s v="RMB"/>
    <s v="C49SZX20190085JL"/>
    <s v="鹏鑫达/end user:晶昌"/>
    <s v="YSM10"/>
    <s v="R-&gt;L"/>
    <s v="MVC"/>
    <s v="WRONG"/>
    <s v="DAP SZ"/>
    <d v="2019-05-28T00:00:00"/>
    <s v="Yes"/>
    <s v="Na"/>
    <s v="Na"/>
    <m/>
    <s v="C150122206"/>
  </r>
  <r>
    <n v="203"/>
    <x v="0"/>
    <x v="0"/>
    <n v="109454"/>
    <s v="STK"/>
    <x v="1"/>
    <s v="L-&gt;R"/>
    <s v="No"/>
    <m/>
    <n v="1"/>
    <s v="盐保仓库"/>
    <x v="18"/>
    <n v="6.2199999999999998E-2"/>
    <s v="JUN 19"/>
    <m/>
    <s v="JPY"/>
    <s v="C49SZX20190001JY"/>
    <s v="Kingtron络鑫"/>
    <s v="YSM10"/>
    <s v="L-&gt;R"/>
    <s v="MVC"/>
    <s v="WRONG"/>
    <s v="CIF HK"/>
    <d v="2019-01-08T00:00:00"/>
    <s v="Yes"/>
    <s v="Na"/>
    <s v="Na"/>
    <m/>
    <s v="C190434453"/>
  </r>
  <r>
    <n v="7"/>
    <x v="0"/>
    <x v="0"/>
    <n v="109422"/>
    <s v="STK"/>
    <x v="8"/>
    <s v="R-&gt;L"/>
    <s v="No"/>
    <s v="Y45177"/>
    <n v="1"/>
    <s v="CY仓库"/>
    <x v="19"/>
    <n v="6.25E-2"/>
    <s v="DEC 18"/>
    <m/>
    <s v="JPY"/>
    <s v="C49SZX201800038SS"/>
    <s v="祥弘瑞"/>
    <s v="YS24"/>
    <s v="R-&gt;L"/>
    <s v="No"/>
    <s v="OK"/>
    <s v="DAP"/>
    <d v="2018-02-01T00:00:00"/>
    <s v="Yes"/>
    <s v="Na"/>
    <s v="Na"/>
    <m/>
    <s v="Yes"/>
  </r>
  <r>
    <n v="239"/>
    <x v="0"/>
    <x v="0"/>
    <n v="109422"/>
    <s v="STK"/>
    <x v="8"/>
    <s v="L-&gt;R"/>
    <s v="No"/>
    <s v="Y45165"/>
    <n v="1"/>
    <s v="盐保仓库"/>
    <x v="19"/>
    <n v="6.25E-2"/>
    <s v="MAR 19"/>
    <m/>
    <s v="JPY"/>
    <s v="C49SZX20190024JL"/>
    <s v="睿视科技"/>
    <s v="YS24"/>
    <s v="L-&gt;R"/>
    <s v="No"/>
    <s v="OK"/>
    <s v="CIF"/>
    <d v="2019-02-28T00:00:00"/>
    <s v="Yes"/>
    <s v="Na"/>
    <s v="Na"/>
    <m/>
    <s v="Yes"/>
  </r>
  <r>
    <n v="240"/>
    <x v="0"/>
    <x v="0"/>
    <n v="109422"/>
    <s v="STK"/>
    <x v="8"/>
    <s v="L-&gt;R"/>
    <s v="No"/>
    <s v="Y45166"/>
    <n v="1"/>
    <s v="盐保仓库"/>
    <x v="19"/>
    <n v="6.25E-2"/>
    <s v="MAR 19"/>
    <m/>
    <s v="JPY"/>
    <s v="C49SZX20190024JL"/>
    <s v="睿视科技"/>
    <s v="YS24"/>
    <s v="L-&gt;R"/>
    <s v="No"/>
    <s v="OK"/>
    <s v="CIF"/>
    <d v="2019-02-28T00:00:00"/>
    <s v="Yes"/>
    <s v="Na"/>
    <s v="Na"/>
    <m/>
    <s v="Yes"/>
  </r>
  <r>
    <n v="241"/>
    <x v="0"/>
    <x v="0"/>
    <n v="109422"/>
    <s v="STK"/>
    <x v="8"/>
    <s v="L-&gt;R"/>
    <s v="No"/>
    <s v="Y45156"/>
    <n v="1"/>
    <s v="盐保仓库"/>
    <x v="19"/>
    <n v="6.25E-2"/>
    <s v="MAR 19"/>
    <m/>
    <s v="JPY"/>
    <s v="C49SZX20190024JL"/>
    <s v="睿视科技"/>
    <s v="YS24"/>
    <s v="L-&gt;R"/>
    <s v="No"/>
    <s v="OK"/>
    <s v="CIF"/>
    <d v="2019-02-28T00:00:00"/>
    <s v="Yes"/>
    <s v="Na"/>
    <s v="Na"/>
    <m/>
    <s v="Yes"/>
  </r>
  <r>
    <n v="233"/>
    <x v="0"/>
    <x v="0"/>
    <n v="109422"/>
    <s v="STK"/>
    <x v="8"/>
    <s v="L-&gt;R"/>
    <s v="No"/>
    <s v="Y45159"/>
    <n v="1"/>
    <s v="盐保仓库"/>
    <x v="19"/>
    <n v="6.25E-2"/>
    <s v="APR 19"/>
    <m/>
    <s v="RMB"/>
    <s v="C49SZX20190016KW"/>
    <s v="同基"/>
    <s v="YS24"/>
    <s v="L-&gt;R"/>
    <s v="No"/>
    <s v="OK"/>
    <s v="DAP 深圳"/>
    <d v="2019-01-25T00:00:00"/>
    <s v="Yes"/>
    <s v="Na"/>
    <s v="Na"/>
    <s v="OEF已做"/>
    <s v="Yes"/>
  </r>
  <r>
    <n v="50"/>
    <x v="0"/>
    <x v="0"/>
    <n v="109237"/>
    <s v="朗特名义"/>
    <x v="3"/>
    <s v="R-&gt;L"/>
    <s v="No"/>
    <s v="Y44944"/>
    <n v="1"/>
    <s v="码头"/>
    <x v="20"/>
    <n v="6.25E-2"/>
    <s v="DEC 18"/>
    <m/>
    <s v="JPY"/>
    <s v="C49SZX20180078DZ"/>
    <s v="朗特"/>
    <s v="YSM20-2"/>
    <s v="R-&gt;L"/>
    <s v="No"/>
    <s v="OK"/>
    <s v="CIF"/>
    <d v="2018-04-28T00:00:00"/>
    <s v="Yes"/>
    <s v="Na"/>
    <s v="Na"/>
    <s v="此台机器做了OEF（朗特20180078DZ）"/>
    <s v="Yes"/>
  </r>
  <r>
    <n v="51"/>
    <x v="0"/>
    <x v="0"/>
    <n v="109237"/>
    <s v="朗特名义"/>
    <x v="3"/>
    <s v="R-&gt;L"/>
    <s v="No"/>
    <s v="Y44945"/>
    <n v="1"/>
    <s v="码头"/>
    <x v="20"/>
    <n v="6.25E-2"/>
    <s v="DEC 18"/>
    <m/>
    <s v="JPY"/>
    <s v="C49SZX20180078DZ"/>
    <s v="朗特"/>
    <s v="YSM20-2"/>
    <s v="R-&gt;L"/>
    <s v="No"/>
    <s v="OK"/>
    <s v="CIF"/>
    <d v="2018-04-28T00:00:00"/>
    <s v="Yes"/>
    <s v="Na"/>
    <s v="Na"/>
    <s v="此台机器做了OEF（朗特20180078DZ）"/>
    <s v="Yes"/>
  </r>
  <r>
    <n v="101"/>
    <x v="0"/>
    <x v="0"/>
    <n v="109423"/>
    <s v="STK"/>
    <x v="8"/>
    <s v="R-&gt;L"/>
    <s v="No"/>
    <s v="Y45178"/>
    <n v="1"/>
    <s v="码头"/>
    <x v="21"/>
    <n v="6.25E-2"/>
    <s v="DEC 18"/>
    <m/>
    <s v="JPY"/>
    <s v="C49SZX20180105JY"/>
    <s v="恒润"/>
    <s v="YS24"/>
    <s v="R-&gt;L"/>
    <s v="No"/>
    <s v="OK"/>
    <s v="DAP 东莞"/>
    <d v="2018-06-15T00:00:00"/>
    <s v="Yes"/>
    <s v="Na"/>
    <s v="Na"/>
    <s v="此台机器做了OEF（恒润20180105JY）"/>
    <s v="Yes"/>
  </r>
  <r>
    <n v="129"/>
    <x v="0"/>
    <x v="0"/>
    <n v="109443"/>
    <s v="英拓邦名义"/>
    <x v="3"/>
    <s v="L-&gt;R"/>
    <s v="No"/>
    <s v="Y45853"/>
    <n v="1"/>
    <s v="CY仓库"/>
    <x v="22"/>
    <n v="6.2899999999999998E-2"/>
    <s v="FEB 19"/>
    <m/>
    <s v="JPY"/>
    <s v="C49SZX20180136JY"/>
    <s v="安嘉"/>
    <s v="YSM20R(SV)-2"/>
    <s v="L-&gt;R"/>
    <s v="No"/>
    <s v="OK"/>
    <s v="DAP深圳"/>
    <d v="2018-08-30T00:00:00"/>
    <s v="Yes"/>
    <s v="Na"/>
    <s v="Na"/>
    <m/>
    <s v="Yes"/>
  </r>
  <r>
    <n v="189"/>
    <x v="0"/>
    <x v="0"/>
    <n v="109443"/>
    <s v="英拓邦名义"/>
    <x v="3"/>
    <s v="L-&gt;R"/>
    <s v="No"/>
    <s v="Y45852"/>
    <n v="1"/>
    <s v="CY仓库"/>
    <x v="22"/>
    <n v="6.2899999999999998E-2"/>
    <s v="FEB 19"/>
    <m/>
    <s v="RMB"/>
    <s v="C49SZX20180185ZX"/>
    <s v="美斯特"/>
    <s v="YSM20R(SV)-2"/>
    <s v="L-&gt;R"/>
    <s v="No"/>
    <s v="OK"/>
    <s v="含税到厂"/>
    <d v="2018-12-22T00:00:00"/>
    <s v="Yes"/>
    <s v="Na"/>
    <s v="Na"/>
    <m/>
    <s v="Yes"/>
  </r>
  <r>
    <n v="100"/>
    <x v="0"/>
    <x v="0"/>
    <n v="109446"/>
    <s v="小耳朵名义，IND"/>
    <x v="3"/>
    <s v="L-&gt;R"/>
    <s v="cATS30+MVC+special layout"/>
    <s v="Y46916"/>
    <n v="1"/>
    <s v="CY仓库"/>
    <x v="23"/>
    <n v="6.2899999999999998E-2"/>
    <s v="FEB 19"/>
    <m/>
    <s v="JPY"/>
    <s v="C49SZX20180103MZ"/>
    <s v="小耳朵"/>
    <s v="YSM20-2"/>
    <s v="L-&gt;R"/>
    <s v="cATS30+MVC+special layout"/>
    <s v="OK"/>
    <s v="DAP 惠州"/>
    <d v="2018-06-13T00:00:00"/>
    <s v="Yes"/>
    <s v="Na"/>
    <s v="Na"/>
    <m/>
    <s v="IND order"/>
  </r>
  <r>
    <n v="130"/>
    <x v="0"/>
    <x v="0"/>
    <n v="109490"/>
    <s v="朗特名义"/>
    <x v="3"/>
    <s v="R-&gt;L"/>
    <s v="No"/>
    <s v="Y44946"/>
    <n v="1"/>
    <s v="CY仓库"/>
    <x v="23"/>
    <n v="6.2899999999999998E-2"/>
    <s v="FEB 19"/>
    <m/>
    <s v="JPY"/>
    <s v="C49SZX20180136JY"/>
    <s v="安嘉"/>
    <s v="YSM20R(SV)-2"/>
    <s v="R-&gt;L"/>
    <s v="No"/>
    <s v="OK"/>
    <s v="DAP深圳"/>
    <d v="2018-08-30T00:00:00"/>
    <s v="Yes"/>
    <s v="Na"/>
    <s v="Na"/>
    <m/>
    <s v="Yes"/>
  </r>
  <r>
    <n v="183"/>
    <x v="0"/>
    <x v="0"/>
    <n v="109490"/>
    <s v="朗特名义"/>
    <x v="3"/>
    <s v="R-&gt;L"/>
    <s v="No"/>
    <s v="Y44947"/>
    <n v="1"/>
    <s v="CY仓库"/>
    <x v="23"/>
    <n v="6.2899999999999998E-2"/>
    <s v="FEB 19"/>
    <m/>
    <s v="JPY"/>
    <s v="C49SZX20180176SX"/>
    <s v="柏星"/>
    <s v="YSM20R(SV)-2"/>
    <s v="R-&gt;L"/>
    <s v="MVC"/>
    <s v="WRONG"/>
    <s v="DAP东莞"/>
    <d v="2018-11-21T00:00:00"/>
    <s v="Yes"/>
    <s v="Na"/>
    <s v="Na"/>
    <s v="OEF已做"/>
    <s v="C181233636"/>
  </r>
  <r>
    <n v="196"/>
    <x v="0"/>
    <x v="0"/>
    <n v="109478"/>
    <s v="康佳"/>
    <x v="3"/>
    <s v="L-&gt;R"/>
    <s v="No"/>
    <s v="Y45803"/>
    <n v="1"/>
    <s v="福保仓库"/>
    <x v="23"/>
    <n v="6.2899999999999998E-2"/>
    <s v="MAR 19"/>
    <m/>
    <s v="JPY"/>
    <s v="C49SZX20180177JL"/>
    <s v="Tuopuai拓普艾"/>
    <s v="YSM20R(SV)-2"/>
    <s v="L-&gt;R"/>
    <s v="No"/>
    <s v="OK"/>
    <s v="CIF"/>
    <d v="2018-04-13T00:00:00"/>
    <s v="Yes"/>
    <s v="Na"/>
    <s v="Na"/>
    <m/>
    <s v="Yes"/>
  </r>
  <r>
    <n v="198"/>
    <x v="0"/>
    <x v="0"/>
    <n v="109478"/>
    <s v="康佳"/>
    <x v="3"/>
    <s v="L-&gt;R"/>
    <s v="No"/>
    <s v="Y45804"/>
    <n v="1"/>
    <s v="福保仓库"/>
    <x v="23"/>
    <n v="6.2899999999999998E-2"/>
    <s v="MAR 19"/>
    <m/>
    <s v="JPY"/>
    <s v="C49SZX20180177JL"/>
    <s v="Tuopuai拓普艾"/>
    <s v="YSM20R(SV)-2"/>
    <s v="L-&gt;R"/>
    <s v="No"/>
    <s v="OK"/>
    <s v="CIF"/>
    <d v="2018-04-13T00:00:00"/>
    <s v="Yes"/>
    <s v="Na"/>
    <s v="Na"/>
    <m/>
    <s v="Yes"/>
  </r>
  <r>
    <n v="252"/>
    <x v="0"/>
    <x v="0"/>
    <n v="109478"/>
    <s v="康佳"/>
    <x v="3"/>
    <s v="L-&gt;R"/>
    <s v="No"/>
    <s v="Y45805"/>
    <n v="1"/>
    <s v="福保仓库"/>
    <x v="23"/>
    <n v="6.2899999999999998E-2"/>
    <s v="APR 19"/>
    <m/>
    <s v="JPY"/>
    <s v="C49SZX20190027MZ"/>
    <s v="魔乐视/end user:拓普赛特"/>
    <s v="YSM20R(SV)-2"/>
    <s v="L-&gt;R"/>
    <s v="No"/>
    <s v="OK"/>
    <s v="DAP 深圳"/>
    <d v="2019-03-12T00:00:00"/>
    <s v="Yes"/>
    <s v="Na"/>
    <s v="Na"/>
    <m/>
    <s v="Yes end user 拓普塞特"/>
  </r>
  <r>
    <n v="436"/>
    <x v="0"/>
    <x v="0"/>
    <n v="109383"/>
    <s v="易而达名义"/>
    <x v="3"/>
    <s v="L-&gt;R"/>
    <s v="cATS10+MVC+special layout"/>
    <s v="Y46530"/>
    <n v="1"/>
    <s v="盐保仓库"/>
    <x v="23"/>
    <n v="6.2899999999999998E-2"/>
    <s v="OCT 19"/>
    <n v="2019.01"/>
    <s v="RMB"/>
    <s v="C49SZX20190139SX"/>
    <s v="太美亚"/>
    <s v="YSM20R(SV)-2"/>
    <s v="L-&gt;R"/>
    <s v="cATS10+MVC+special layout"/>
    <s v="OK"/>
    <s v="含税到厂"/>
    <d v="2019-09-27T00:00:00"/>
    <s v="Yes"/>
    <s v="Na"/>
    <s v="Na"/>
    <m/>
    <s v="C190835446"/>
  </r>
  <r>
    <n v="283"/>
    <x v="0"/>
    <x v="0"/>
    <n v="109383"/>
    <s v="易而达名义"/>
    <x v="3"/>
    <s v="L-&gt;R"/>
    <s v="No"/>
    <s v="Y46529"/>
    <n v="1"/>
    <s v="盐保仓库"/>
    <x v="23"/>
    <n v="6.2899999999999998E-2"/>
    <s v="APR 19"/>
    <m/>
    <s v="JPY"/>
    <s v="C49SZX20190042JL"/>
    <s v="杉川/end user:放德劲"/>
    <s v="YSM20R(SV)-2"/>
    <s v="L-&gt;R"/>
    <s v="MVC"/>
    <s v="WRONG"/>
    <s v="DAP 深圳"/>
    <d v="2019-04-17T00:00:00"/>
    <s v="Yes"/>
    <s v="Na"/>
    <s v="Na"/>
    <m/>
    <s v="Yes"/>
  </r>
  <r>
    <n v="151"/>
    <x v="0"/>
    <x v="0"/>
    <n v="109220"/>
    <s v="丰硕名义"/>
    <x v="3"/>
    <s v="L-&gt;R"/>
    <s v="No"/>
    <s v="Y44573"/>
    <n v="1"/>
    <s v="CY仓库"/>
    <x v="24"/>
    <n v="6.2899999999999998E-2"/>
    <s v="APR 19"/>
    <m/>
    <s v="JPY"/>
    <s v="C49SZX20180156SX"/>
    <s v="可祁"/>
    <s v="YSM20R(SV)-2"/>
    <s v="L-&gt;R"/>
    <s v="No"/>
    <s v="OK"/>
    <s v="DAP 广州"/>
    <d v="2018-10-25T00:00:00"/>
    <s v="Yes"/>
    <s v="Na"/>
    <s v="Na"/>
    <m/>
    <s v="Yes"/>
  </r>
  <r>
    <n v="150"/>
    <x v="0"/>
    <x v="0"/>
    <n v="109220"/>
    <s v="丰硕名义"/>
    <x v="3"/>
    <s v="L-&gt;R"/>
    <s v="No"/>
    <s v="Y44574"/>
    <n v="1"/>
    <s v="CY仓库"/>
    <x v="24"/>
    <n v="6.2899999999999998E-2"/>
    <s v="APR 19"/>
    <m/>
    <s v="JPY"/>
    <s v="C49SZX20180156SX"/>
    <s v="可祁"/>
    <s v="YSM20R(SV)-2"/>
    <s v="L-&gt;R"/>
    <s v="No"/>
    <s v="OK"/>
    <s v="DAP 广州"/>
    <d v="2018-10-25T00:00:00"/>
    <s v="Yes"/>
    <s v="Na"/>
    <s v="Na"/>
    <m/>
    <s v="Yes"/>
  </r>
  <r>
    <n v="184"/>
    <x v="0"/>
    <x v="0"/>
    <n v="109220"/>
    <s v="丰硕名义"/>
    <x v="3"/>
    <s v="L-&gt;R"/>
    <s v="MVC"/>
    <s v="Y44571"/>
    <n v="1"/>
    <s v="CY仓库"/>
    <x v="24"/>
    <n v="6.2899999999999998E-2"/>
    <s v="MAR 19"/>
    <m/>
    <s v="JPY"/>
    <s v="C49SZX20180175SX"/>
    <s v="永顺创"/>
    <s v="YSM20R(SV)-2"/>
    <s v="L-&gt;R"/>
    <s v="MVC"/>
    <s v="OK"/>
    <s v="DAP深圳"/>
    <d v="2018-11-21T00:00:00"/>
    <s v="Yes"/>
    <s v="Na"/>
    <s v="Na"/>
    <m/>
    <s v="Yes"/>
  </r>
  <r>
    <n v="185"/>
    <x v="0"/>
    <x v="0"/>
    <n v="109220"/>
    <s v="丰硕名义"/>
    <x v="3"/>
    <s v="L-&gt;R"/>
    <s v="MVC"/>
    <s v="Y44572"/>
    <n v="1"/>
    <s v="CY仓库"/>
    <x v="24"/>
    <n v="6.2899999999999998E-2"/>
    <s v="MAR 19"/>
    <m/>
    <s v="JPY"/>
    <s v="C49SZX20180175SX"/>
    <s v="永顺创"/>
    <s v="YSM20R(SV)-2"/>
    <s v="L-&gt;R"/>
    <s v="MVC"/>
    <s v="OK"/>
    <s v="DAP深圳"/>
    <d v="2018-11-21T00:00:00"/>
    <s v="Yes"/>
    <m/>
    <s v="Na"/>
    <m/>
    <s v="Yes"/>
  </r>
  <r>
    <n v="229"/>
    <x v="0"/>
    <x v="0"/>
    <n v="109393"/>
    <s v="上达名义"/>
    <x v="3"/>
    <s v="L-&gt;R"/>
    <s v="No"/>
    <s v="Y45143"/>
    <n v="1"/>
    <s v="CY仓库"/>
    <x v="24"/>
    <n v="6.2899999999999998E-2"/>
    <s v="MAR 19"/>
    <m/>
    <s v="JPY"/>
    <s v="C49SZX20190013DZ"/>
    <s v="兆晖"/>
    <s v="YSM20R(SV)-2"/>
    <s v="L-&gt;R"/>
    <s v="MVC"/>
    <s v="WRONG"/>
    <s v="CIF "/>
    <d v="2019-01-23T00:00:00"/>
    <s v="Yes"/>
    <m/>
    <s v="Na"/>
    <m/>
    <s v="Yes"/>
  </r>
  <r>
    <n v="228"/>
    <x v="0"/>
    <x v="0"/>
    <n v="109393"/>
    <s v="上达名义"/>
    <x v="3"/>
    <s v="L-&gt;R"/>
    <s v="No"/>
    <s v="Y45146"/>
    <n v="1"/>
    <s v="CY仓库"/>
    <x v="24"/>
    <n v="6.2899999999999998E-2"/>
    <s v="MAR 19"/>
    <m/>
    <s v="JPY"/>
    <s v="C49SZX20190013DZ"/>
    <s v="兆晖"/>
    <s v="YSM20R(SV)-2"/>
    <s v="L-&gt;R"/>
    <s v="MVC"/>
    <s v="WRONG"/>
    <s v="CIF "/>
    <d v="2019-01-23T00:00:00"/>
    <s v="Yes"/>
    <m/>
    <s v="Na"/>
    <m/>
    <s v="Yes"/>
  </r>
  <r>
    <n v="227"/>
    <x v="0"/>
    <x v="0"/>
    <n v="109393"/>
    <s v="上达名义"/>
    <x v="3"/>
    <s v="L-&gt;R"/>
    <s v="No"/>
    <s v="Y45147"/>
    <n v="1"/>
    <s v="CY仓库"/>
    <x v="24"/>
    <n v="6.2899999999999998E-2"/>
    <s v="MAR 19"/>
    <m/>
    <s v="JPY"/>
    <s v="C49SZX20190013DZ"/>
    <s v="兆晖"/>
    <s v="YSM20R(SV)-2"/>
    <s v="L-&gt;R"/>
    <s v="MVC"/>
    <s v="WRONG"/>
    <s v="CIF "/>
    <d v="2019-01-23T00:00:00"/>
    <s v="Yes"/>
    <m/>
    <s v="Na"/>
    <m/>
    <s v="Yes"/>
  </r>
  <r>
    <n v="81"/>
    <x v="0"/>
    <x v="0"/>
    <n v="109431"/>
    <s v="安嘉名义"/>
    <x v="3"/>
    <s v="L-&gt;R"/>
    <s v="No"/>
    <s v="Y46853"/>
    <n v="1"/>
    <s v="CY仓库"/>
    <x v="25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238"/>
    <x v="0"/>
    <x v="0"/>
    <n v="109431"/>
    <s v="安嘉名义"/>
    <x v="3"/>
    <s v="R-&gt;L"/>
    <s v="No"/>
    <s v="Y46852"/>
    <n v="1"/>
    <s v="CY仓库"/>
    <x v="25"/>
    <n v="6.2E-2"/>
    <s v="MAR 19"/>
    <m/>
    <s v="JPY"/>
    <s v="C49SZX20190022SS"/>
    <s v="智宏创"/>
    <s v="YSM20R(SV)-2"/>
    <s v="R-&gt;L"/>
    <s v="MVC"/>
    <s v="WRONG"/>
    <s v="DAP 深圳"/>
    <d v="2019-02-27T00:00:00"/>
    <s v="Yes"/>
    <s v="Na"/>
    <s v="Na"/>
    <m/>
    <s v="Yes"/>
  </r>
  <r>
    <n v="338"/>
    <x v="0"/>
    <x v="0"/>
    <n v="109247"/>
    <s v="栩骊名义"/>
    <x v="3"/>
    <s v="L-&gt;R"/>
    <s v="No"/>
    <s v="Y45093"/>
    <n v="1"/>
    <s v="力合仓库(已经清关)"/>
    <x v="25"/>
    <n v="6.2E-2"/>
    <s v="JUN 19"/>
    <n v="2019.01"/>
    <s v="RMB"/>
    <s v="C49SZX20190089ZX"/>
    <s v="世达威"/>
    <s v="YSM20R(SV)-2"/>
    <s v="L-&gt;R"/>
    <s v="No"/>
    <s v="OK"/>
    <s v="含税到厂"/>
    <d v="2019-06-03T00:00:00"/>
    <s v="Yes"/>
    <m/>
    <m/>
    <m/>
    <s v="C181233616"/>
  </r>
  <r>
    <s v="浙江金子星"/>
    <x v="0"/>
    <x v="0"/>
    <n v="109247"/>
    <s v="栩骊名义"/>
    <x v="3"/>
    <s v="L-&gt;R"/>
    <s v="cATS10+MVC+special layout"/>
    <s v="Y45087"/>
    <n v="1"/>
    <s v="力合中转仓"/>
    <x v="25"/>
    <n v="6.2E-2"/>
    <s v="DEC 19"/>
    <n v="2019.02"/>
    <e v="#N/A"/>
    <e v="#N/A"/>
    <e v="#N/A"/>
    <e v="#N/A"/>
    <e v="#N/A"/>
    <e v="#N/A"/>
    <e v="#N/A"/>
    <e v="#N/A"/>
    <e v="#N/A"/>
    <e v="#N/A"/>
    <s v="Na"/>
    <s v="Na "/>
    <m/>
    <s v="C191035928"/>
  </r>
  <r>
    <n v="105"/>
    <x v="0"/>
    <x v="0"/>
    <n v="109247"/>
    <s v="栩骊名义"/>
    <x v="3"/>
    <s v="L-&gt;R"/>
    <s v="No"/>
    <s v="Y45090"/>
    <n v="1"/>
    <s v="盐保仓库"/>
    <x v="25"/>
    <n v="6.2E-2"/>
    <s v="APR 19"/>
    <m/>
    <s v="JPY"/>
    <s v="C49SZX20180113JL "/>
    <s v="伯莱科"/>
    <s v="YSM20-2"/>
    <s v="R-&gt;L"/>
    <s v="No"/>
    <s v="WRONG"/>
    <s v="CIF"/>
    <d v="2018-07-03T00:00:00"/>
    <s v="Yes"/>
    <s v="Na"/>
    <s v="Na"/>
    <m/>
    <s v="Yes"/>
  </r>
  <r>
    <n v="328"/>
    <x v="0"/>
    <x v="0"/>
    <n v="109247"/>
    <s v="栩骊名义"/>
    <x v="3"/>
    <s v="L-&gt;R"/>
    <s v="No"/>
    <s v="Y45091"/>
    <n v="1"/>
    <s v="盐保仓库"/>
    <x v="25"/>
    <n v="6.2E-2"/>
    <s v="JUN 19"/>
    <m/>
    <s v="JPY"/>
    <s v="C49SZX20190075ZX"/>
    <s v="宽宏/End user:亿联"/>
    <s v="YSM20R(SV)-2"/>
    <s v="L-&gt;R"/>
    <s v="No"/>
    <s v="OK"/>
    <s v="CIF HK"/>
    <d v="2019-05-27T00:00:00"/>
    <s v="Yes"/>
    <s v="Na"/>
    <s v="Na"/>
    <m/>
    <s v="C180431966"/>
  </r>
  <r>
    <n v="329"/>
    <x v="0"/>
    <x v="0"/>
    <n v="109247"/>
    <s v="栩骊名义"/>
    <x v="3"/>
    <s v="L-&gt;R"/>
    <s v="No"/>
    <s v="Y45092"/>
    <n v="1"/>
    <s v="盐保仓库"/>
    <x v="25"/>
    <n v="6.2E-2"/>
    <s v="JUN 19"/>
    <m/>
    <s v="JPY"/>
    <s v="C49SZX20190075ZX"/>
    <s v="宽宏/End user:亿联"/>
    <s v="YSM20R(SV)-2"/>
    <s v="L-&gt;R"/>
    <s v="No"/>
    <s v="OK"/>
    <s v="CIF HK"/>
    <d v="2019-05-27T00:00:00"/>
    <s v="Yes"/>
    <s v="Na"/>
    <s v="Na"/>
    <m/>
    <s v="C180431966"/>
  </r>
  <r>
    <n v="437"/>
    <x v="0"/>
    <x v="0"/>
    <n v="109247"/>
    <s v="栩骊名义"/>
    <x v="3"/>
    <s v="L-&gt;R"/>
    <s v="cATS10+MVC+special layout"/>
    <s v="Y45086"/>
    <n v="1"/>
    <s v="盐保仓库"/>
    <x v="25"/>
    <n v="6.2E-2"/>
    <s v="OCT 19"/>
    <n v="2019.02"/>
    <s v="RMB"/>
    <s v="C49SZX20190139SX"/>
    <s v="太美亚"/>
    <s v="YSM20R(SV)-2"/>
    <s v="L-&gt;R"/>
    <s v="cATS10+MVC+special layout"/>
    <s v="OK"/>
    <s v="含税到厂"/>
    <d v="2019-09-27T00:00:00"/>
    <s v="Yes"/>
    <s v="Na"/>
    <s v="Na"/>
    <m/>
    <s v="C190835446"/>
  </r>
  <r>
    <n v="439"/>
    <x v="0"/>
    <x v="0"/>
    <n v="109247"/>
    <s v="栩骊名义"/>
    <x v="3"/>
    <s v="L-&gt;R"/>
    <s v="cATS10+MVC+special layout"/>
    <s v="Y46872"/>
    <n v="1"/>
    <s v="盐保仓库"/>
    <x v="25"/>
    <n v="6.2E-2"/>
    <s v="NOV 19"/>
    <n v="2019.02"/>
    <s v="USD"/>
    <s v="C49SZX20190138ZX"/>
    <s v="Bittele 比泰利"/>
    <s v="YSM20R(SV)-2"/>
    <s v="L-&gt;R"/>
    <s v="cATS10+MVC+special layout"/>
    <s v="OK"/>
    <s v="CIF HK"/>
    <d v="2019-10-10T00:00:00"/>
    <s v="Yes"/>
    <m/>
    <s v="Na"/>
    <m/>
    <s v="C190133789"/>
  </r>
  <r>
    <n v="251"/>
    <x v="0"/>
    <x v="0"/>
    <n v="109247"/>
    <s v="栩骊名义"/>
    <x v="3"/>
    <s v="L-&gt;R"/>
    <s v="No"/>
    <s v="Y45089"/>
    <n v="1"/>
    <s v="盐保仓库"/>
    <x v="25"/>
    <n v="6.2E-2"/>
    <s v="APR 19"/>
    <m/>
    <s v="JPY"/>
    <s v="C49SZX20190029ZX"/>
    <s v="东莞圣亨"/>
    <s v="YSM20R(SV)-2"/>
    <s v="L-&gt;R"/>
    <s v="No"/>
    <s v="OK"/>
    <s v="DAP 东莞"/>
    <d v="2019-03-13T00:00:00"/>
    <s v="Yes"/>
    <s v="Na"/>
    <s v="Na"/>
    <m/>
    <s v="Yes"/>
  </r>
  <r>
    <n v="279"/>
    <x v="0"/>
    <x v="0"/>
    <n v="109247"/>
    <s v="栩骊名义"/>
    <x v="3"/>
    <s v="L-&gt;R"/>
    <s v="No"/>
    <s v="Y45094"/>
    <n v="1"/>
    <s v="盐保仓库"/>
    <x v="25"/>
    <n v="6.2E-2"/>
    <s v="APR 19"/>
    <m/>
    <s v="JPY"/>
    <s v="C49SZX20190051SS"/>
    <s v="世启纳"/>
    <s v="YSM20R(SV)-2"/>
    <s v="L-&gt;R"/>
    <s v="MVC"/>
    <s v="WRONG"/>
    <s v="DAP 深圳"/>
    <d v="2019-04-09T00:00:00"/>
    <s v="Yes"/>
    <m/>
    <s v="Na"/>
    <m/>
    <s v="Yes"/>
  </r>
  <r>
    <n v="84"/>
    <x v="0"/>
    <x v="0"/>
    <n v="109430"/>
    <s v="瑞福联名义"/>
    <x v="3"/>
    <s v="L-&gt;R"/>
    <s v="No"/>
    <s v="Y46848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80"/>
    <x v="0"/>
    <x v="0"/>
    <n v="109430"/>
    <s v="瑞福联名义"/>
    <x v="3"/>
    <s v="L-&gt;R"/>
    <s v="No"/>
    <s v="Y46849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82"/>
    <x v="0"/>
    <x v="0"/>
    <n v="109430"/>
    <s v="瑞福联名义"/>
    <x v="3"/>
    <s v="L-&gt;R"/>
    <s v="No"/>
    <s v="Y46850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83"/>
    <x v="0"/>
    <x v="0"/>
    <n v="109430"/>
    <s v="瑞福联名义"/>
    <x v="3"/>
    <s v="L-&gt;R"/>
    <s v="No"/>
    <s v="Y46851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268"/>
    <x v="0"/>
    <x v="0"/>
    <n v="109319"/>
    <s v="深台名义"/>
    <x v="3"/>
    <s v="L-&gt;R"/>
    <s v="No"/>
    <s v="Y45958"/>
    <n v="1"/>
    <s v="CY仓库"/>
    <x v="27"/>
    <n v="6.2E-2"/>
    <s v="MAR 19"/>
    <m/>
    <s v="JPY"/>
    <s v="C49SZX20190045SS"/>
    <s v="兴丰源"/>
    <s v="YSM20R(SV)-2"/>
    <s v="L-&gt;R"/>
    <s v="No"/>
    <s v="OK"/>
    <s v="DAP 深圳"/>
    <d v="2019-03-22T00:00:00"/>
    <s v="Yes"/>
    <s v="Na"/>
    <s v="Na"/>
    <m/>
    <s v="Yes"/>
  </r>
  <r>
    <n v="270"/>
    <x v="0"/>
    <x v="0"/>
    <n v="109389"/>
    <s v="立昇名义"/>
    <x v="3"/>
    <s v="L-&gt;R"/>
    <s v="No"/>
    <s v="Y45376"/>
    <n v="1"/>
    <s v="福保仓库"/>
    <x v="27"/>
    <n v="6.2E-2"/>
    <s v="APR 19"/>
    <m/>
    <s v="JPY"/>
    <s v="C49SZX20190025SX"/>
    <s v="维众"/>
    <s v="YSM20R(SV)-2"/>
    <s v="L-&gt;R"/>
    <s v="No"/>
    <s v="OK"/>
    <s v="DAP 深圳"/>
    <d v="2019-03-06T00:00:00"/>
    <s v="Yes"/>
    <s v="Na"/>
    <s v="Na"/>
    <m/>
    <s v="Yes"/>
  </r>
  <r>
    <n v="284"/>
    <x v="0"/>
    <x v="0"/>
    <n v="109389"/>
    <s v="立昇名义"/>
    <x v="3"/>
    <s v="L-&gt;R"/>
    <s v="No"/>
    <s v="Y45377"/>
    <n v="1"/>
    <s v="福保仓库"/>
    <x v="27"/>
    <n v="6.2E-2"/>
    <s v="MAY 19"/>
    <m/>
    <s v="JPY"/>
    <s v="C49SZX20190058SX"/>
    <s v="玮芯电子"/>
    <s v="YSM20R(SV)-2"/>
    <s v="L-&gt;R"/>
    <s v="MVC"/>
    <s v="WRONG"/>
    <s v="DAP SZ"/>
    <d v="2019-04-18T00:00:00"/>
    <s v="Yes"/>
    <s v="Na"/>
    <s v="Na"/>
    <m/>
    <s v="Yes"/>
  </r>
  <r>
    <n v="264"/>
    <x v="0"/>
    <x v="0"/>
    <n v="109429"/>
    <s v="通通旺名义"/>
    <x v="3"/>
    <s v="L-&gt;R"/>
    <s v="No"/>
    <s v="Y46846"/>
    <n v="1"/>
    <s v="福保仓库"/>
    <x v="27"/>
    <n v="6.2E-2"/>
    <s v="APR 19"/>
    <m/>
    <s v="JPY"/>
    <s v="C49SZX20190035ZX"/>
    <s v="恒泰创新"/>
    <s v="YSM20R(SV)-2"/>
    <s v="L-&gt;R"/>
    <s v="No"/>
    <s v="OK"/>
    <s v="DAP 深圳"/>
    <d v="2019-03-20T00:00:00"/>
    <s v="Yes"/>
    <s v="Na"/>
    <s v="Na"/>
    <m/>
    <s v="Yes"/>
  </r>
  <r>
    <n v="269"/>
    <x v="0"/>
    <x v="0"/>
    <n v="109429"/>
    <s v="通通旺名义"/>
    <x v="3"/>
    <s v="L-&gt;R"/>
    <s v="No"/>
    <s v="Y46847"/>
    <n v="1"/>
    <s v="福保仓库"/>
    <x v="27"/>
    <n v="6.2E-2"/>
    <s v="APR 19"/>
    <m/>
    <s v="JPY"/>
    <s v="C49SZX20190025SX"/>
    <s v="维众"/>
    <s v="YSM20R(SV)-2"/>
    <s v="L-&gt;R"/>
    <s v="No"/>
    <s v="OK"/>
    <s v="DAP 深圳"/>
    <d v="2019-03-06T00:00:00"/>
    <s v="Yes"/>
    <s v="Na"/>
    <s v="Na"/>
    <m/>
    <s v="Yes"/>
  </r>
  <r>
    <n v="155"/>
    <x v="0"/>
    <x v="0"/>
    <n v="109493"/>
    <s v="朗特名义"/>
    <x v="3"/>
    <s v="R-&gt;L"/>
    <s v="No"/>
    <s v="Y47271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s v="OEF已做"/>
    <s v="Yes"/>
  </r>
  <r>
    <n v="161"/>
    <x v="0"/>
    <x v="0"/>
    <n v="109493"/>
    <s v="朗特名义"/>
    <x v="1"/>
    <s v="R-&gt;L"/>
    <s v="MVC+ATS15"/>
    <s v="Y47279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56"/>
    <x v="0"/>
    <x v="0"/>
    <n v="109493"/>
    <s v="朗特名义"/>
    <x v="3"/>
    <s v="R-&gt;L"/>
    <s v="No"/>
    <s v="Y47272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m/>
    <s v="Yes"/>
  </r>
  <r>
    <n v="157"/>
    <x v="0"/>
    <x v="0"/>
    <n v="109493"/>
    <s v="朗特名义"/>
    <x v="3"/>
    <s v="R-&gt;L"/>
    <s v="No"/>
    <s v="Y47273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m/>
    <s v="Yes"/>
  </r>
  <r>
    <n v="158"/>
    <x v="0"/>
    <x v="0"/>
    <n v="109493"/>
    <s v="朗特名义"/>
    <x v="3"/>
    <s v="R-&gt;L"/>
    <s v="No"/>
    <s v="Y47274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m/>
    <s v="Yes"/>
  </r>
  <r>
    <n v="164"/>
    <x v="0"/>
    <x v="0"/>
    <n v="109493"/>
    <s v="朗特名义"/>
    <x v="1"/>
    <s v="R-&gt;L"/>
    <s v="MVC+Fixed feeder plate 24 positions"/>
    <s v="Y47280"/>
    <n v="1"/>
    <s v="码头"/>
    <x v="28"/>
    <n v="6.2E-2"/>
    <s v="APR 19"/>
    <m/>
    <s v="JPY"/>
    <s v="C49SZX20180167DZ"/>
    <s v="朗特"/>
    <s v="YSM10"/>
    <s v="R-&gt;L"/>
    <s v="MVC+Fixed feeder plate 24 positions"/>
    <s v="OK"/>
    <s v="CIF"/>
    <d v="2018-11-09T00:00:00"/>
    <s v="Yes"/>
    <m/>
    <s v="Na"/>
    <m/>
    <s v="Yes"/>
  </r>
  <r>
    <n v="165"/>
    <x v="0"/>
    <x v="0"/>
    <n v="109493"/>
    <s v="朗特名义"/>
    <x v="1"/>
    <s v="R-&gt;L"/>
    <s v="MVC+Fixed feeder plate 24 positions"/>
    <s v="Y47281"/>
    <n v="1"/>
    <s v="码头"/>
    <x v="28"/>
    <n v="6.2E-2"/>
    <s v="APR 19"/>
    <m/>
    <s v="JPY"/>
    <s v="C49SZX20180167DZ"/>
    <s v="朗特"/>
    <s v="YSM10"/>
    <s v="R-&gt;L"/>
    <s v="MVC+Fixed feeder plate 24 positions"/>
    <s v="OK"/>
    <s v="CIF"/>
    <d v="2018-11-09T00:00:00"/>
    <s v="Yes"/>
    <m/>
    <s v="Na"/>
    <m/>
    <s v="Yes"/>
  </r>
  <r>
    <n v="162"/>
    <x v="0"/>
    <x v="0"/>
    <n v="109493"/>
    <s v="朗特名义"/>
    <x v="1"/>
    <s v="R-&gt;L"/>
    <s v="MVC+ATS15"/>
    <s v="Y47275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63"/>
    <x v="0"/>
    <x v="0"/>
    <n v="109493"/>
    <s v="朗特名义"/>
    <x v="1"/>
    <s v="R-&gt;L"/>
    <s v="MVC+ATS15"/>
    <s v="Y47276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59"/>
    <x v="0"/>
    <x v="0"/>
    <n v="109493"/>
    <s v="朗特名义"/>
    <x v="1"/>
    <s v="R-&gt;L"/>
    <s v="MVC+ATS15"/>
    <s v="Y47277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60"/>
    <x v="0"/>
    <x v="0"/>
    <n v="109493"/>
    <s v="朗特名义"/>
    <x v="1"/>
    <s v="R-&gt;L"/>
    <s v="MVC+ATS15"/>
    <s v="Y47278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273"/>
    <x v="0"/>
    <x v="0"/>
    <n v="109336"/>
    <s v="BBS名义下单"/>
    <x v="3"/>
    <s v="L-&gt;R"/>
    <s v="No"/>
    <s v="Y46160"/>
    <n v="1"/>
    <s v="福保仓库"/>
    <x v="29"/>
    <n v="6.2E-2"/>
    <s v="MAY 19"/>
    <m/>
    <s v="JPY"/>
    <s v="C49SZX20190041JL"/>
    <s v="微力创/end user 昶达"/>
    <s v="YSM20R(SV)-2"/>
    <s v="L-&gt;R"/>
    <s v="No"/>
    <s v="OK"/>
    <s v="CIF HK"/>
    <d v="2019-03-26T00:00:00"/>
    <s v="Yes"/>
    <s v="Na"/>
    <s v="Na"/>
    <m/>
    <s v="Yes,end user 昶达"/>
  </r>
  <r>
    <n v="287"/>
    <x v="0"/>
    <x v="0"/>
    <n v="109336"/>
    <s v="BBS名义下单"/>
    <x v="3"/>
    <s v="L-&gt;R"/>
    <s v="No"/>
    <s v="Y46161"/>
    <n v="1"/>
    <s v="福保仓库"/>
    <x v="29"/>
    <n v="6.2E-2"/>
    <s v="MAY 19"/>
    <m/>
    <s v="JPY"/>
    <s v="C49SZX20190056RW"/>
    <s v="富斯迈"/>
    <s v="YSM20R(SV)-2"/>
    <s v="L-&gt;R"/>
    <s v="MVC"/>
    <s v="WRONG"/>
    <s v="CIF HK"/>
    <d v="2019-04-17T00:00:00"/>
    <s v="Yes"/>
    <s v="Na"/>
    <s v="Na"/>
    <m/>
    <s v="C150523509"/>
  </r>
  <r>
    <n v="280"/>
    <x v="0"/>
    <x v="0"/>
    <n v="109336"/>
    <s v="BBS名义下单"/>
    <x v="3"/>
    <s v="L-&gt;R"/>
    <s v="No"/>
    <s v="Y46159"/>
    <n v="1"/>
    <s v="福保仓库"/>
    <x v="29"/>
    <n v="6.2E-2"/>
    <s v="APR 19"/>
    <m/>
    <s v="JPY"/>
    <s v="C49SZX20190052SS"/>
    <s v="乐上"/>
    <s v="YSM20R(SV)-2"/>
    <s v="L-&gt;R"/>
    <s v="No"/>
    <s v="OK"/>
    <s v="DAP东莞"/>
    <d v="2019-04-12T00:00:00"/>
    <s v="Yes"/>
    <s v="Na"/>
    <s v="Na"/>
    <m/>
    <s v="Yes"/>
  </r>
  <r>
    <n v="288"/>
    <x v="0"/>
    <x v="0"/>
    <n v="109336"/>
    <s v="BBS名义下单"/>
    <x v="3"/>
    <s v="L-&gt;R"/>
    <s v="No"/>
    <s v="Y46162"/>
    <n v="1"/>
    <s v="福保仓库"/>
    <x v="29"/>
    <n v="6.2E-2"/>
    <s v="MAY 19"/>
    <m/>
    <s v="JPY"/>
    <s v="C49SZX20190056RW"/>
    <s v="富斯迈"/>
    <s v="YSM20R(SV)-2"/>
    <s v="L-&gt;R"/>
    <s v="No"/>
    <s v="OK"/>
    <s v="CIF HK"/>
    <d v="2019-04-17T00:00:00"/>
    <s v="Yes"/>
    <s v="Na"/>
    <s v="Na"/>
    <m/>
    <s v="C150523509"/>
  </r>
  <r>
    <n v="315"/>
    <x v="0"/>
    <x v="0"/>
    <n v="109336"/>
    <s v="BBS名义下单"/>
    <x v="3"/>
    <s v="L-&gt;R"/>
    <s v="No"/>
    <s v="Y46163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07"/>
    <x v="0"/>
    <x v="0"/>
    <n v="109336"/>
    <s v="BBS名义下单"/>
    <x v="3"/>
    <s v="L-&gt;R"/>
    <s v="No"/>
    <s v="Y46164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05"/>
    <x v="0"/>
    <x v="0"/>
    <n v="109336"/>
    <s v="BBS名义下单"/>
    <x v="3"/>
    <s v="L-&gt;R"/>
    <s v="No"/>
    <s v="Y46165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06"/>
    <x v="0"/>
    <x v="0"/>
    <n v="109336"/>
    <s v="BBS名义下单"/>
    <x v="3"/>
    <s v="L-&gt;R"/>
    <s v="No"/>
    <s v="Y46166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67"/>
    <x v="0"/>
    <x v="0"/>
    <n v="109336"/>
    <s v="BBS名义下单"/>
    <x v="3"/>
    <s v="L-&gt;R"/>
    <s v="No"/>
    <s v="Y46167"/>
    <n v="1"/>
    <s v="福保仓库"/>
    <x v="29"/>
    <n v="6.2E-2"/>
    <s v="JUL 19"/>
    <n v="2019.03"/>
    <s v="RMB"/>
    <s v="C49SZX20190108ZX"/>
    <s v="帝泰克"/>
    <s v="YSM20R(SV)-2"/>
    <s v="L-&gt;R"/>
    <s v="No"/>
    <s v="OK"/>
    <s v="含税到厂"/>
    <d v="2019-04-25T00:00:00"/>
    <s v="Yes"/>
    <s v="Na"/>
    <s v="Na"/>
    <m/>
    <s v="C141021043"/>
  </r>
  <r>
    <n v="368"/>
    <x v="0"/>
    <x v="0"/>
    <n v="109336"/>
    <s v="BBS名义下单"/>
    <x v="3"/>
    <s v="L-&gt;R"/>
    <s v="No"/>
    <s v="Y46168"/>
    <n v="1"/>
    <s v="福保仓库"/>
    <x v="29"/>
    <n v="6.2E-2"/>
    <s v="JUL 19"/>
    <n v="2019.03"/>
    <s v="RMB"/>
    <s v="C49SZX20190108ZX"/>
    <s v="帝泰克"/>
    <s v="YSM20R(SV)-2"/>
    <s v="L-&gt;R"/>
    <s v="No"/>
    <s v="OK"/>
    <s v="含税到厂"/>
    <d v="2019-04-25T00:00:00"/>
    <s v="Yes"/>
    <s v="Na"/>
    <s v="Na"/>
    <m/>
    <s v="C141021043"/>
  </r>
  <r>
    <n v="201"/>
    <x v="0"/>
    <x v="0"/>
    <n v="109294"/>
    <s v="拓普艾名义"/>
    <x v="3"/>
    <s v="L-&gt;R"/>
    <s v="No"/>
    <s v="Y45688"/>
    <n v="1"/>
    <s v="福保仓库"/>
    <x v="30"/>
    <n v="6.2E-2"/>
    <s v="JUN 19"/>
    <m/>
    <s v="JPY"/>
    <s v="C49SZX20190001JY"/>
    <s v="Kingtron络鑫"/>
    <s v="YSM20R(SV)-2"/>
    <s v="L-&gt;R"/>
    <s v="No"/>
    <s v="OK"/>
    <s v="CIF HK"/>
    <d v="2019-01-08T00:00:00"/>
    <s v="Yes"/>
    <s v="Na"/>
    <s v="Na"/>
    <m/>
    <s v="C190434453"/>
  </r>
  <r>
    <n v="171"/>
    <x v="0"/>
    <x v="0"/>
    <n v="109294"/>
    <s v="拓普艾名义"/>
    <x v="3"/>
    <s v="L-&gt;R"/>
    <s v="No"/>
    <s v="Y45689"/>
    <n v="1"/>
    <s v="福保仓库"/>
    <x v="30"/>
    <n v="6.2E-2"/>
    <s v="JUL 19"/>
    <n v="2019.03"/>
    <s v="JPY"/>
    <s v="C49SZX20180154JL"/>
    <s v="奥晨"/>
    <s v="YSM20-2"/>
    <s v="L-&gt;R"/>
    <s v="No"/>
    <s v="OK"/>
    <s v="DAP东莞"/>
    <d v="2018-10-15T00:00:00"/>
    <s v="Yes"/>
    <s v="Na"/>
    <s v="Na"/>
    <m/>
    <s v="C181133465"/>
  </r>
  <r>
    <s v="浙江金子星-1"/>
    <x v="0"/>
    <x v="1"/>
    <n v="109532"/>
    <s v="STK"/>
    <x v="9"/>
    <s v="R-&gt;L"/>
    <s v="No"/>
    <s v="Y47728"/>
    <n v="1"/>
    <s v="福保仓库"/>
    <x v="30"/>
    <n v="6.2E-2"/>
    <s v="DEC 19"/>
    <d v="1905-07-11T00:43:12"/>
    <e v="#N/A"/>
    <e v="#N/A"/>
    <e v="#N/A"/>
    <e v="#N/A"/>
    <e v="#N/A"/>
    <e v="#N/A"/>
    <e v="#N/A"/>
    <e v="#N/A"/>
    <e v="#N/A"/>
    <e v="#N/A"/>
    <s v="Na"/>
    <s v="Na "/>
    <m/>
    <s v="C191035928"/>
  </r>
  <r>
    <n v="544"/>
    <x v="0"/>
    <x v="1"/>
    <n v="109532"/>
    <s v="STK"/>
    <x v="9"/>
    <s v="R-&gt;L"/>
    <s v="No"/>
    <s v="Y47729"/>
    <n v="1"/>
    <s v="福保仓库"/>
    <x v="30"/>
    <n v="6.2E-2"/>
    <s v="APR 20"/>
    <d v="1905-07-11T00:43:12"/>
    <s v="JPY"/>
    <s v="C28SZX20190098YY"/>
    <s v="嘉裕"/>
    <s v="YCP10"/>
    <s v="L-&gt;R"/>
    <s v="No"/>
    <s v="WRONG"/>
    <s v="CIF HK"/>
    <d v="2019-11-26T00:00:00"/>
    <s v="Yes"/>
    <m/>
    <m/>
    <m/>
    <s v="C200336888"/>
  </r>
  <r>
    <n v="385"/>
    <x v="0"/>
    <x v="0"/>
    <n v="109294"/>
    <s v="拓普艾名义"/>
    <x v="3"/>
    <s v="L-&gt;R"/>
    <s v="No"/>
    <s v="Y45690"/>
    <n v="1"/>
    <s v="力合仓库(已经清关)"/>
    <x v="30"/>
    <n v="6.2E-2"/>
    <s v="AUG 19"/>
    <n v="2019.03"/>
    <s v="RMB"/>
    <s v="C49SZX20190118R1SS"/>
    <s v="鼎鸿"/>
    <s v="YSM20R(SV)-2"/>
    <s v="L-&gt;R"/>
    <s v="No"/>
    <s v="OK"/>
    <s v="含税到厂"/>
    <d v="2019-08-14T00:00:00"/>
    <s v="Yes"/>
    <s v="Na"/>
    <s v="Na"/>
    <m/>
    <s v="C190434540, 前海福源"/>
  </r>
  <r>
    <n v="395"/>
    <x v="0"/>
    <x v="0"/>
    <n v="109294"/>
    <s v="拓普艾名义"/>
    <x v="3"/>
    <s v="L-&gt;R"/>
    <s v="No"/>
    <s v="Y45691"/>
    <n v="1"/>
    <s v="力合仓库(已经清关)"/>
    <x v="30"/>
    <n v="6.2E-2"/>
    <s v="SEP 19"/>
    <n v="2019.03"/>
    <s v="RMB"/>
    <s v="C49SZX20190119SX"/>
    <s v="太美亚"/>
    <s v="YSM20R(SV)-2"/>
    <s v="L-&gt;R"/>
    <s v="No"/>
    <s v="OK"/>
    <s v="含税到厂"/>
    <d v="2019-08-16T00:00:00"/>
    <s v="Yes"/>
    <s v="Na"/>
    <s v="Na"/>
    <m/>
    <s v="C190835446"/>
  </r>
  <r>
    <n v="356"/>
    <x v="0"/>
    <x v="0"/>
    <n v="109344"/>
    <s v="STK"/>
    <x v="1"/>
    <s v="L-&gt;R"/>
    <s v="MVC+ATS15"/>
    <s v="Y46281"/>
    <n v="1"/>
    <s v="力合仓库(已经清关)"/>
    <x v="31"/>
    <n v="6.2E-2"/>
    <s v="JUL 19"/>
    <m/>
    <s v="RMB"/>
    <s v="C49SZX20190100SX"/>
    <s v="永顺创"/>
    <s v="YSM10"/>
    <s v="L-&gt;R"/>
    <s v="MVC+ATS15"/>
    <s v="OK"/>
    <s v="含税到厂"/>
    <d v="2019-06-17T00:00:00"/>
    <s v="Yes"/>
    <s v="Na"/>
    <s v="Na"/>
    <m/>
    <s v="C180532243"/>
  </r>
  <r>
    <n v="343"/>
    <x v="0"/>
    <x v="0"/>
    <n v="109344"/>
    <s v="STK"/>
    <x v="1"/>
    <s v="L-&gt;R"/>
    <s v="No"/>
    <s v="Y46275"/>
    <n v="1"/>
    <s v="力合仓库(已经清关)"/>
    <x v="31"/>
    <n v="6.2E-2"/>
    <s v="JUN 19"/>
    <m/>
    <s v="RMB"/>
    <s v="C49SZX20190090SX"/>
    <s v="锐诚"/>
    <s v="YSM10"/>
    <s v="L-&gt;R"/>
    <s v="MVC"/>
    <s v="WRONG"/>
    <s v="含税到厂"/>
    <d v="2019-06-05T00:00:00"/>
    <s v="Yes"/>
    <m/>
    <m/>
    <m/>
    <s v="C180231291"/>
  </r>
  <r>
    <n v="325"/>
    <x v="0"/>
    <x v="0"/>
    <n v="109344"/>
    <s v="STK"/>
    <x v="1"/>
    <s v="L-&gt;R"/>
    <s v="No"/>
    <s v="Y46272"/>
    <n v="1"/>
    <s v="盐保仓库"/>
    <x v="31"/>
    <n v="6.2E-2"/>
    <s v="JUN 19"/>
    <m/>
    <s v="RMB"/>
    <s v="C49SZX20190073JL"/>
    <s v="力通威"/>
    <s v="YSM10"/>
    <s v="L-&gt;R"/>
    <s v="No"/>
    <s v="OK"/>
    <s v="含税到厂"/>
    <d v="2019-05-27T00:00:00"/>
    <s v="Yes"/>
    <s v="Na"/>
    <s v="Na"/>
    <m/>
    <s v="C190133876"/>
  </r>
  <r>
    <n v="323"/>
    <x v="0"/>
    <x v="0"/>
    <n v="109344"/>
    <s v="STK"/>
    <x v="1"/>
    <s v="L-&gt;R"/>
    <s v="No"/>
    <s v="Y46273"/>
    <n v="1"/>
    <s v="盐保仓库"/>
    <x v="31"/>
    <n v="6.2E-2"/>
    <s v="JUN 19"/>
    <m/>
    <s v="RMB"/>
    <s v="C49SZX20190073JL"/>
    <s v="力通威"/>
    <s v="YSM10"/>
    <s v="R-&gt;L"/>
    <s v="MVC"/>
    <s v="WRONG"/>
    <s v="含税到厂"/>
    <d v="2019-05-27T00:00:00"/>
    <s v="Yes"/>
    <s v="Na"/>
    <s v="Na"/>
    <m/>
    <s v="C190133876"/>
  </r>
  <r>
    <n v="324"/>
    <x v="0"/>
    <x v="0"/>
    <n v="109344"/>
    <s v="STK"/>
    <x v="1"/>
    <s v="L-&gt;R"/>
    <s v="No"/>
    <s v="Y46274"/>
    <n v="1"/>
    <s v="盐保仓库"/>
    <x v="31"/>
    <n v="6.2E-2"/>
    <s v="JUN 19"/>
    <m/>
    <s v="RMB"/>
    <s v="C49SZX20190073JL"/>
    <s v="力通威"/>
    <s v="YSM10"/>
    <s v="L-&gt;R"/>
    <s v="MVC"/>
    <s v="WRONG"/>
    <s v="含税到厂"/>
    <d v="2019-05-27T00:00:00"/>
    <s v="Yes"/>
    <s v="Na"/>
    <s v="Na"/>
    <m/>
    <s v="C190133876"/>
  </r>
  <r>
    <n v="302"/>
    <x v="0"/>
    <x v="0"/>
    <n v="109344"/>
    <s v="STK"/>
    <x v="1"/>
    <s v="L-&gt;R"/>
    <s v="No"/>
    <s v="Y46277"/>
    <n v="1"/>
    <s v="盐保仓库"/>
    <x v="31"/>
    <n v="6.2E-2"/>
    <s v="JUN 19"/>
    <m/>
    <s v="JPY"/>
    <s v="C49SZX20190050SX"/>
    <s v="丰硕"/>
    <s v="YSM10"/>
    <s v="L-&gt;R"/>
    <s v="No"/>
    <s v="OK"/>
    <s v="DAP SZ"/>
    <d v="2019-05-02T00:00:00"/>
    <s v="Yes"/>
    <s v="Na"/>
    <s v="Na"/>
    <m/>
    <s v="C180331720"/>
  </r>
  <r>
    <n v="333"/>
    <x v="0"/>
    <x v="0"/>
    <n v="109344"/>
    <s v="STK"/>
    <x v="1"/>
    <s v="L-&gt;R"/>
    <s v="MVC+ATS15"/>
    <s v="Y46280"/>
    <n v="1"/>
    <s v="盐保仓库"/>
    <x v="31"/>
    <n v="6.2E-2"/>
    <s v="AUG 19"/>
    <m/>
    <s v="JPY"/>
    <s v="C49SZX20190080ZX"/>
    <s v="长沙健科"/>
    <s v="YSM10"/>
    <s v="L-&gt;R"/>
    <s v="MVC+ATS15"/>
    <s v="OK"/>
    <s v="DAP 长沙"/>
    <d v="2019-05-27T00:00:00"/>
    <s v="Yes"/>
    <s v="Na"/>
    <s v="Na"/>
    <m/>
    <s v="C190634898"/>
  </r>
  <r>
    <n v="373"/>
    <x v="0"/>
    <x v="0"/>
    <n v="109344"/>
    <s v="STK"/>
    <x v="1"/>
    <s v="L-&gt;R"/>
    <s v="No"/>
    <s v="Y46276"/>
    <n v="1"/>
    <s v="盐保仓库"/>
    <x v="31"/>
    <n v="6.2E-2"/>
    <s v="JUL 19"/>
    <m/>
    <s v="JPY"/>
    <s v="C49SZX20190093JL"/>
    <s v="杉川/end user:放德劲"/>
    <s v="YSM10"/>
    <s v="R-&gt;L"/>
    <s v="MVC"/>
    <s v="WRONG"/>
    <s v="DAP SZ"/>
    <d v="2019-07-03T00:00:00"/>
    <s v="Yes"/>
    <d v="2018-08-17T00:00:00"/>
    <d v="2018-08-30T00:00:00"/>
    <m/>
    <s v="C4910434452"/>
  </r>
  <r>
    <n v="311"/>
    <x v="0"/>
    <x v="0"/>
    <n v="109344"/>
    <s v="STK"/>
    <x v="1"/>
    <s v="R-&gt;L"/>
    <s v="No"/>
    <s v="Y46278"/>
    <n v="1"/>
    <s v="盐保仓库"/>
    <x v="31"/>
    <n v="6.2E-2"/>
    <s v="JUN 19"/>
    <m/>
    <s v="JPY"/>
    <s v="C49SZX20190071SX"/>
    <s v="东陆"/>
    <s v="YSM10"/>
    <s v="L-&gt;R"/>
    <s v="No"/>
    <s v="WRONG"/>
    <s v="DAP SZ"/>
    <d v="2019-05-15T00:00:00"/>
    <s v="Yes"/>
    <m/>
    <m/>
    <m/>
    <s v="C171030541"/>
  </r>
  <r>
    <n v="365"/>
    <x v="0"/>
    <x v="0"/>
    <n v="109344"/>
    <s v="STK"/>
    <x v="1"/>
    <s v="R-&gt;L"/>
    <s v="No"/>
    <s v="Y46279"/>
    <n v="1"/>
    <s v="盐保仓库"/>
    <x v="31"/>
    <n v="6.2E-2"/>
    <s v="JUL 19"/>
    <m/>
    <s v="RMB"/>
    <s v="C49SZX201901008ZX"/>
    <s v="帝泰克"/>
    <s v="YSM10"/>
    <s v="L-&gt;R"/>
    <s v="MVC"/>
    <s v="WRONG"/>
    <s v="含税到厂"/>
    <d v="2019-04-25T00:00:00"/>
    <s v="Yes"/>
    <s v="Na"/>
    <s v="Na"/>
    <m/>
    <s v="C141021043"/>
  </r>
  <r>
    <n v="326"/>
    <x v="0"/>
    <x v="0"/>
    <n v="109263"/>
    <s v="龙腾名义"/>
    <x v="3"/>
    <s v="L-&gt;R"/>
    <s v="No"/>
    <s v="Y45340"/>
    <n v="1"/>
    <s v="力合仓库(已经清关)"/>
    <x v="32"/>
    <n v="6.2E-2"/>
    <s v="JUN 19"/>
    <m/>
    <s v="RMB"/>
    <s v="C49SZX20190073JL"/>
    <s v="力通威"/>
    <s v="YSM20R(SV)-2"/>
    <s v="L-&gt;R"/>
    <s v="No"/>
    <s v="OK"/>
    <s v="含税到厂"/>
    <d v="2019-05-27T00:00:00"/>
    <s v="Yes"/>
    <s v="Na"/>
    <s v="Na"/>
    <m/>
    <s v="C190133876"/>
  </r>
  <r>
    <n v="394"/>
    <x v="0"/>
    <x v="0"/>
    <n v="109526"/>
    <s v="上达名义"/>
    <x v="3"/>
    <s v="L-&gt;R"/>
    <s v="No"/>
    <s v="Y45794"/>
    <n v="1"/>
    <s v="力合仓库(已经清关)"/>
    <x v="32"/>
    <n v="6.2E-2"/>
    <s v="SEP 19"/>
    <n v="2019.03"/>
    <s v="RMB"/>
    <s v="C49SZX20190119SX"/>
    <s v="太美亚"/>
    <s v="YSM20R(SV)-2"/>
    <s v="L-&gt;R"/>
    <s v="No"/>
    <s v="OK"/>
    <s v="含税到厂"/>
    <d v="2019-08-16T00:00:00"/>
    <s v="Yes"/>
    <s v="Na"/>
    <s v="Na"/>
    <m/>
    <s v="C190835446"/>
  </r>
  <r>
    <n v="438"/>
    <x v="0"/>
    <x v="0"/>
    <n v="109263"/>
    <s v="龙腾名义"/>
    <x v="3"/>
    <s v="L-&gt;R"/>
    <s v="cATS10+MVC+special layout"/>
    <s v="Y45341"/>
    <n v="1"/>
    <s v="盐保仓库"/>
    <x v="32"/>
    <n v="6.2E-2"/>
    <s v="NOV 19"/>
    <n v="2019.03"/>
    <s v="USD"/>
    <s v="C49SZX20190138ZX"/>
    <s v="Bittele 比泰利"/>
    <s v="YSM20R(SV)-2"/>
    <s v="L-&gt;R"/>
    <s v="cATS10+MVC+special layout"/>
    <s v="OK"/>
    <s v="CIF HK"/>
    <d v="2019-10-10T00:00:00"/>
    <s v="Yes"/>
    <m/>
    <m/>
    <m/>
    <s v="C190133789"/>
  </r>
  <r>
    <n v="381"/>
    <x v="0"/>
    <x v="0"/>
    <n v="109526"/>
    <s v="上达名义"/>
    <x v="3"/>
    <s v="L-&gt;R"/>
    <s v="No"/>
    <s v="Y45792"/>
    <n v="1"/>
    <s v="盐保仓库"/>
    <x v="32"/>
    <n v="6.2E-2"/>
    <s v="AUG 19"/>
    <n v="2019.03"/>
    <s v="RMB"/>
    <s v="C49SZX20190114MX"/>
    <s v="城宇"/>
    <s v="YSM20R(SV)-2"/>
    <s v="L-&gt;R"/>
    <s v="No"/>
    <s v="OK"/>
    <s v="含税到厂"/>
    <d v="2019-08-08T00:00:00"/>
    <s v="Yes"/>
    <s v="Na"/>
    <s v="Na"/>
    <m/>
    <s v="Yes"/>
  </r>
  <r>
    <n v="359"/>
    <x v="0"/>
    <x v="0"/>
    <n v="109526"/>
    <s v="上达名义"/>
    <x v="3"/>
    <s v="L-&gt;R"/>
    <s v="No"/>
    <s v="Y45793"/>
    <n v="1"/>
    <s v="盐保仓库"/>
    <x v="32"/>
    <n v="6.2E-2"/>
    <s v="JUL 19"/>
    <n v="2019.03"/>
    <s v="RMB"/>
    <s v="C49SZX20190102SX"/>
    <s v="凯瑞丰"/>
    <s v="YSM20R(SV)-2"/>
    <s v="L-&gt;R"/>
    <s v="No"/>
    <s v="OK"/>
    <s v="含税到厂"/>
    <d v="2019-06-19T00:00:00"/>
    <s v="Yes"/>
    <m/>
    <m/>
    <m/>
    <s v="C180732678"/>
  </r>
  <r>
    <n v="532"/>
    <x v="0"/>
    <x v="0"/>
    <s v="Yamaha 归还"/>
    <s v="Yamaha "/>
    <x v="0"/>
    <s v="NO"/>
    <s v="No"/>
    <s v="Y46227"/>
    <n v="1"/>
    <s v="力合仓库(已经清关)"/>
    <x v="33"/>
    <n v="5.9499999999999997E-2"/>
    <s v="DEC 19"/>
    <m/>
    <s v="RMB"/>
    <s v="C49SZX20190149SX"/>
    <s v="锐诚"/>
    <s v="YSM40R-4"/>
    <s v="No"/>
    <s v="No"/>
    <s v="OK"/>
    <s v="DDP HZ"/>
    <d v="2019-12-11T00:00:00"/>
    <s v="Yes"/>
    <m/>
    <s v="Na"/>
    <m/>
    <s v="C180231291"/>
  </r>
  <r>
    <n v="410"/>
    <x v="0"/>
    <x v="0"/>
    <n v="109390"/>
    <s v="亿联名义"/>
    <x v="3"/>
    <s v="L-&gt;R"/>
    <s v="No"/>
    <s v="Y45639"/>
    <n v="1"/>
    <s v="力合仓库(已经清关)"/>
    <x v="34"/>
    <n v="6.1699999999999998E-2"/>
    <s v="SEP 19"/>
    <n v="2019.03"/>
    <s v="RMB"/>
    <s v="C49SZX20190130JL"/>
    <s v="铭华"/>
    <s v="YSM20R(SV)-2"/>
    <s v="L-&gt;R"/>
    <s v="No"/>
    <s v="OK"/>
    <s v="含税到厂"/>
    <d v="2019-08-27T00:00:00"/>
    <s v="Yes"/>
    <s v="Na"/>
    <s v="Na"/>
    <m/>
    <s v="C190935541"/>
  </r>
  <r>
    <n v="403"/>
    <x v="0"/>
    <x v="0"/>
    <n v="109390"/>
    <s v="亿联名义"/>
    <x v="3"/>
    <s v="L-&gt;R"/>
    <s v="No"/>
    <s v="Y45640"/>
    <n v="1"/>
    <s v="力合仓库(已经清关)"/>
    <x v="34"/>
    <n v="6.1699999999999998E-2"/>
    <s v="AUG 19"/>
    <n v="2019.03"/>
    <s v="RMB"/>
    <s v="C49SZX20190126MZ"/>
    <s v="天星创展"/>
    <s v="YSM20R(SV)-2"/>
    <s v="L-&gt;R"/>
    <s v="No"/>
    <s v="OK"/>
    <s v="含税到厂"/>
    <d v="2019-08-20T00:00:00"/>
    <s v="Yes"/>
    <s v="Na"/>
    <s v="Na"/>
    <m/>
    <s v="C170629716"/>
  </r>
  <r>
    <n v="303"/>
    <x v="0"/>
    <x v="0"/>
    <n v="109390"/>
    <s v="亿联名义"/>
    <x v="3"/>
    <s v="L-&gt;R"/>
    <s v="No"/>
    <s v="Y45641"/>
    <n v="1"/>
    <s v="盐保仓库"/>
    <x v="34"/>
    <n v="6.1699999999999998E-2"/>
    <s v="JUL 19"/>
    <n v="2019.03"/>
    <s v="JPY"/>
    <s v="C49SZX20190068ZX"/>
    <s v="梵想"/>
    <s v="YSM20R(SV)-2"/>
    <s v="L-&gt;R"/>
    <s v="No"/>
    <s v="OK"/>
    <s v="DAP SZ"/>
    <d v="2019-05-08T00:00:00"/>
    <s v="Yes"/>
    <s v="Na"/>
    <s v="Na"/>
    <m/>
    <s v="C190534702"/>
  </r>
  <r>
    <n v="304"/>
    <x v="0"/>
    <x v="0"/>
    <n v="109390"/>
    <s v="亿联名义"/>
    <x v="3"/>
    <s v="L-&gt;R"/>
    <s v="No"/>
    <s v="Y45642"/>
    <n v="1"/>
    <s v="盐保仓库"/>
    <x v="34"/>
    <n v="6.1699999999999998E-2"/>
    <s v="JUL 19"/>
    <n v="2019.03"/>
    <s v="JPY"/>
    <s v="C49SZX20190068ZX"/>
    <s v="梵想"/>
    <s v="YSM20R(SV)-2"/>
    <s v="L-&gt;R"/>
    <s v="No"/>
    <s v="OK"/>
    <s v="DAP SZ"/>
    <d v="2019-05-08T00:00:00"/>
    <s v="Yes"/>
    <s v="Na"/>
    <s v="Na"/>
    <m/>
    <s v="C190534702"/>
  </r>
  <r>
    <n v="354"/>
    <x v="0"/>
    <x v="0"/>
    <n v="109497"/>
    <s v="永顺创名义"/>
    <x v="3"/>
    <s v="L-&gt;R"/>
    <s v="MVC"/>
    <s v="Y47328"/>
    <n v="1"/>
    <s v="力合仓库(已经清关)"/>
    <x v="35"/>
    <n v="6.1699999999999998E-2"/>
    <s v="JUN 19"/>
    <n v="2019.03"/>
    <s v="RMB"/>
    <s v="C49SZX20190095ZX"/>
    <s v="恒泰创新"/>
    <s v="YSM20R(SV)-2"/>
    <s v="L-&gt;R"/>
    <s v="MVC"/>
    <s v="OK"/>
    <s v="含税到厂"/>
    <d v="2019-06-17T00:00:00"/>
    <s v="Yes"/>
    <s v="Na"/>
    <s v="Na"/>
    <m/>
    <s v="C190434451"/>
  </r>
  <r>
    <n v="277"/>
    <x v="0"/>
    <x v="0"/>
    <n v="109497"/>
    <s v="永顺创名义"/>
    <x v="3"/>
    <s v="L-&gt;R"/>
    <s v="MVC"/>
    <s v="Y47327"/>
    <n v="1"/>
    <s v="盐保仓库"/>
    <x v="35"/>
    <n v="6.1699999999999998E-2"/>
    <s v="JUN 19"/>
    <n v="2019.03"/>
    <s v="JPY"/>
    <s v="C49SZX20190043SX"/>
    <s v="丰硕"/>
    <s v="YSM20R(SV)-2"/>
    <s v="L-&gt;R"/>
    <s v="MVC"/>
    <s v="OK"/>
    <s v="DAP 恩平"/>
    <d v="2019-04-02T00:00:00"/>
    <s v="Yes"/>
    <s v="Na"/>
    <s v="Na"/>
    <m/>
    <s v="C180331720"/>
  </r>
  <r>
    <n v="322"/>
    <x v="0"/>
    <x v="0"/>
    <n v="109497"/>
    <s v="永顺创名义"/>
    <x v="3"/>
    <s v="L-&gt;R"/>
    <s v="MVC"/>
    <s v="Y47329"/>
    <n v="1"/>
    <s v="盐保仓库"/>
    <x v="35"/>
    <n v="6.1699999999999998E-2"/>
    <s v="JUL 19"/>
    <n v="2019.03"/>
    <s v="RMB"/>
    <s v="C49SZX20190065JY"/>
    <s v="旭日"/>
    <s v="YSM20R(SV)-2"/>
    <s v="L-&gt;R"/>
    <s v="MVC"/>
    <s v="OK"/>
    <s v="含税到厂"/>
    <d v="2019-05-22T00:00:00"/>
    <s v="Yes"/>
    <s v="Na"/>
    <s v="Na"/>
    <m/>
    <s v="C190735084"/>
  </r>
  <r>
    <n v="425"/>
    <x v="0"/>
    <x v="0"/>
    <n v="109554"/>
    <s v="STK"/>
    <x v="3"/>
    <s v="L-&gt;R"/>
    <s v="No"/>
    <s v="Y48037"/>
    <n v="1"/>
    <s v="力合仓库(已经清关)"/>
    <x v="36"/>
    <n v="6.1699999999999998E-2"/>
    <s v="SEP 19"/>
    <n v="2019.04"/>
    <s v="RMB"/>
    <s v="C49SZX20190123SX"/>
    <s v="君泽"/>
    <s v="YSM20R(SV)-2"/>
    <s v="L-&gt;R"/>
    <s v="No"/>
    <s v="OK"/>
    <s v="含税到厂"/>
    <d v="2019-09-06T00:00:00"/>
    <s v="Yes"/>
    <m/>
    <m/>
    <m/>
    <s v="C190735079"/>
  </r>
  <r>
    <n v="415"/>
    <x v="0"/>
    <x v="0"/>
    <n v="109554"/>
    <s v="STK"/>
    <x v="3"/>
    <s v="L-&gt;R"/>
    <s v="No"/>
    <s v="Y48035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416"/>
    <x v="0"/>
    <x v="0"/>
    <n v="109554"/>
    <s v="STK"/>
    <x v="3"/>
    <s v="L-&gt;R"/>
    <s v="No"/>
    <s v="Y48036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417"/>
    <x v="0"/>
    <x v="0"/>
    <n v="109554"/>
    <s v="STK"/>
    <x v="3"/>
    <s v="L-&gt;R"/>
    <s v="No"/>
    <s v="Y48038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418"/>
    <x v="0"/>
    <x v="0"/>
    <n v="109554"/>
    <s v="STK"/>
    <x v="3"/>
    <s v="L-&gt;R"/>
    <s v="No"/>
    <s v="Y48039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244"/>
    <x v="0"/>
    <x v="0"/>
    <n v="109553"/>
    <s v="STK"/>
    <x v="3"/>
    <s v="R-&gt;L"/>
    <s v="No"/>
    <s v="Y48040"/>
    <n v="1"/>
    <s v="CY仓库"/>
    <x v="37"/>
    <n v="6.1699999999999998E-2"/>
    <s v="MAY 19"/>
    <m/>
    <s v="JPY"/>
    <s v="C49SZX20190031MZ"/>
    <s v="鸿南"/>
    <s v="YSM20R(SV)-2"/>
    <s v="R-&gt;L"/>
    <s v="No"/>
    <s v="OK"/>
    <s v="CIF HK"/>
    <d v="2019-03-08T00:00:00"/>
    <s v="Yes"/>
    <s v="Na"/>
    <s v="Na"/>
    <m/>
    <s v="C180331587"/>
  </r>
  <r>
    <n v="245"/>
    <x v="0"/>
    <x v="0"/>
    <n v="109553"/>
    <s v="STK"/>
    <x v="3"/>
    <s v="R-&gt;L"/>
    <s v="No"/>
    <s v="Y48041"/>
    <n v="1"/>
    <s v="CY仓库"/>
    <x v="37"/>
    <n v="6.1699999999999998E-2"/>
    <s v="MAY 19"/>
    <m/>
    <s v="JPY"/>
    <s v="C49SZX20190031MZ"/>
    <s v="鸿南"/>
    <s v="YSM20R(SV)-2"/>
    <s v="R-&gt;L"/>
    <s v="No"/>
    <s v="OK"/>
    <s v="CIF HK"/>
    <d v="2019-03-08T00:00:00"/>
    <s v="Yes"/>
    <s v="Na"/>
    <s v="Na"/>
    <m/>
    <s v="C180331587"/>
  </r>
  <r>
    <n v="250"/>
    <x v="0"/>
    <x v="0"/>
    <n v="109553"/>
    <s v="STK"/>
    <x v="3"/>
    <s v="R-&gt;L"/>
    <s v="No"/>
    <s v="Y48042"/>
    <n v="1"/>
    <s v="CY仓库"/>
    <x v="37"/>
    <n v="6.1699999999999998E-2"/>
    <s v="MAY 19"/>
    <m/>
    <s v="JPY"/>
    <s v="C49SZX20190026ZX"/>
    <s v="比泰利"/>
    <s v="YSM20R(SV)-2"/>
    <s v="R-&gt;L"/>
    <s v="MVC"/>
    <s v="WRONG"/>
    <s v="DAP SZ"/>
    <d v="2019-03-13T00:00:00"/>
    <s v="Yes"/>
    <m/>
    <m/>
    <m/>
    <s v="C190133805"/>
  </r>
  <r>
    <n v="274"/>
    <x v="0"/>
    <x v="0"/>
    <n v="109553"/>
    <s v="STK"/>
    <x v="3"/>
    <s v="R-&gt;L"/>
    <s v="No"/>
    <s v="Y48044"/>
    <n v="1"/>
    <s v="CY仓库"/>
    <x v="37"/>
    <n v="6.1699999999999998E-2"/>
    <s v="JUL 19"/>
    <n v="2019.04"/>
    <s v="JPY"/>
    <s v="C49SZX20190041JL"/>
    <s v="微力创/end user 昶达"/>
    <s v="YSM20R(SV)-2"/>
    <s v="R-&gt;L"/>
    <s v="No"/>
    <s v="OK"/>
    <s v="CIF HK"/>
    <d v="2019-03-26T00:00:00"/>
    <s v="Yes"/>
    <m/>
    <m/>
    <m/>
    <s v="C190234048"/>
  </r>
  <r>
    <n v="321"/>
    <x v="0"/>
    <x v="0"/>
    <n v="109553"/>
    <s v="STK"/>
    <x v="3"/>
    <s v="R-&gt;L"/>
    <s v="No"/>
    <s v="Y48043"/>
    <n v="1"/>
    <s v="力合仓库(已经清关)"/>
    <x v="37"/>
    <n v="6.1699999999999998E-2"/>
    <s v="JUN 19"/>
    <m/>
    <s v="RMB"/>
    <s v="C49SZX20190077SX"/>
    <s v="An Lin东莞安林"/>
    <s v="YSM20R(SV)-2"/>
    <s v="R-&gt;L"/>
    <s v="No"/>
    <s v="OK"/>
    <s v="含税到厂"/>
    <d v="2019-05-22T00:00:00"/>
    <s v="Yes"/>
    <s v="Na"/>
    <s v="Na"/>
    <m/>
    <s v="C180532090"/>
  </r>
  <r>
    <n v="297"/>
    <x v="0"/>
    <x v="0"/>
    <n v="109582"/>
    <s v="魔乐视名义"/>
    <x v="3"/>
    <s v="R-&gt;L"/>
    <s v="MVC"/>
    <s v="Y48162"/>
    <n v="1"/>
    <s v="CY仓库"/>
    <x v="38"/>
    <n v="6.4299999999999996E-2"/>
    <s v="JUL 19"/>
    <n v="2019.05"/>
    <s v="JPY"/>
    <s v="C49SZX20190061JL"/>
    <s v="微力创/end user 昶达"/>
    <s v="YSM20R(SV)-2"/>
    <s v="R-&gt;L"/>
    <s v="No"/>
    <s v="WRONG"/>
    <s v="CIF HK"/>
    <d v="2019-04-27T00:00:00"/>
    <s v="Yes"/>
    <m/>
    <m/>
    <m/>
    <s v="C190234048"/>
  </r>
  <r>
    <n v="382"/>
    <x v="0"/>
    <x v="0"/>
    <n v="109563"/>
    <s v="Special price"/>
    <x v="1"/>
    <s v="R-&gt;L"/>
    <s v="ATS15"/>
    <s v="Y48171"/>
    <n v="1"/>
    <s v="力合仓库(已经清关)"/>
    <x v="38"/>
    <n v="6.4299999999999996E-2"/>
    <s v="AUG 19"/>
    <d v="1905-07-11T01:12:00"/>
    <s v="RMB"/>
    <s v="C49SZX20190110ZX"/>
    <s v="锘铧"/>
    <s v="YSM10"/>
    <s v="L-&gt;R"/>
    <s v="MVC+ATS15"/>
    <s v="WRONG"/>
    <s v="含税到厂"/>
    <d v="2019-08-09T00:00:00"/>
    <s v="Yes"/>
    <m/>
    <m/>
    <m/>
    <s v="C161128121"/>
  </r>
  <r>
    <n v="383"/>
    <x v="0"/>
    <x v="0"/>
    <n v="109563"/>
    <s v="Special price"/>
    <x v="1"/>
    <s v="R-&gt;L"/>
    <s v="ATS15"/>
    <s v="Y48172"/>
    <n v="1"/>
    <s v="力合仓库(已经清关)"/>
    <x v="38"/>
    <n v="6.4299999999999996E-2"/>
    <s v="AUG 19"/>
    <d v="1905-07-11T01:12:00"/>
    <s v="RMB"/>
    <s v="C49SZX20190110ZX"/>
    <s v="锘铧"/>
    <s v="YSM10"/>
    <s v="L-&gt;R"/>
    <s v="MVC+ATS15"/>
    <s v="WRONG"/>
    <s v="含税到厂"/>
    <d v="2019-08-09T00:00:00"/>
    <s v="Yes"/>
    <m/>
    <m/>
    <m/>
    <s v="C161128121"/>
  </r>
  <r>
    <n v="384"/>
    <x v="0"/>
    <x v="0"/>
    <n v="109563"/>
    <s v="Special price"/>
    <x v="1"/>
    <s v="L-&gt;R"/>
    <s v="ATS15"/>
    <s v="Y48175"/>
    <n v="1"/>
    <s v="力合仓库(已经清关)"/>
    <x v="38"/>
    <n v="6.4299999999999996E-2"/>
    <s v="AUG 19"/>
    <d v="1905-07-11T01:12:00"/>
    <s v="RMB"/>
    <s v="C49SZX20190110ZX"/>
    <s v="锘铧"/>
    <s v="YSM10"/>
    <s v="L-&gt;R"/>
    <s v="MVC+ATS15"/>
    <s v="WRONG"/>
    <s v="含税到厂"/>
    <d v="2019-08-09T00:00:00"/>
    <s v="Yes"/>
    <m/>
    <m/>
    <m/>
    <s v="C161128121"/>
  </r>
  <r>
    <n v="407"/>
    <x v="0"/>
    <x v="0"/>
    <n v="109564"/>
    <s v="Special price"/>
    <x v="1"/>
    <s v="L-&gt;R"/>
    <s v="ATS15"/>
    <s v="Y48176"/>
    <n v="1"/>
    <s v="力合仓库(已经清关)"/>
    <x v="38"/>
    <n v="6.4299999999999996E-2"/>
    <s v="AUG 19"/>
    <d v="1905-07-11T01:12:00"/>
    <s v="RMB"/>
    <s v="C49SZX20190117SX"/>
    <s v="玮芯电子"/>
    <s v="YSM10"/>
    <s v="L-&gt;R"/>
    <s v="MVC+ATS15"/>
    <s v="WRONG"/>
    <s v="含税到厂"/>
    <d v="2019-08-22T00:00:00"/>
    <s v="Yes"/>
    <m/>
    <m/>
    <m/>
    <s v="C190534573"/>
  </r>
  <r>
    <n v="397"/>
    <x v="0"/>
    <x v="0"/>
    <n v="109564"/>
    <s v="Special price"/>
    <x v="1"/>
    <s v="L-&gt;R"/>
    <s v="ATS15"/>
    <s v="Y48178"/>
    <n v="1"/>
    <s v="力合仓库(已经清关)"/>
    <x v="38"/>
    <n v="6.4299999999999996E-2"/>
    <s v="SEP 19"/>
    <d v="1905-07-11T01:12:00"/>
    <s v="RMB"/>
    <s v="C49SZX20190119SX"/>
    <s v="太美亚"/>
    <s v="YSM10"/>
    <s v="R-&gt;L"/>
    <s v="MVC+ATS15"/>
    <s v="WRONG"/>
    <s v="含税到厂"/>
    <d v="2019-08-16T00:00:00"/>
    <s v="Yes"/>
    <s v="Na"/>
    <s v="Na"/>
    <m/>
    <s v="C190835446"/>
  </r>
  <r>
    <n v="371"/>
    <x v="0"/>
    <x v="0"/>
    <n v="109582"/>
    <s v="魔乐视名义"/>
    <x v="3"/>
    <s v="R-&gt;L"/>
    <s v="MVC"/>
    <s v="Y48160"/>
    <n v="1"/>
    <s v="盐保仓库"/>
    <x v="38"/>
    <n v="6.4299999999999996E-2"/>
    <s v="JUL 19"/>
    <n v="2019.05"/>
    <s v="JPY"/>
    <s v="C49SZX20190093JL"/>
    <s v="杉川/end user:放德劲"/>
    <s v="YSM20R(SV)-2"/>
    <s v="R-&gt;L"/>
    <s v="No"/>
    <s v="WRONG"/>
    <s v="DAP SZ"/>
    <d v="2019-07-03T00:00:00"/>
    <s v="Yes"/>
    <m/>
    <m/>
    <m/>
    <s v="C4910434452"/>
  </r>
  <r>
    <n v="372"/>
    <x v="0"/>
    <x v="0"/>
    <n v="109582"/>
    <s v="魔乐视名义"/>
    <x v="3"/>
    <s v="R-&gt;L"/>
    <s v="MVC"/>
    <s v="Y48161"/>
    <n v="1"/>
    <s v="盐保仓库"/>
    <x v="38"/>
    <n v="6.4299999999999996E-2"/>
    <s v="JUL 19"/>
    <n v="2019.05"/>
    <s v="JPY"/>
    <s v="C49SZX20190093JL"/>
    <s v="杉川/end user:放德劲"/>
    <s v="YSM20R(SV)-2"/>
    <s v="R-&gt;L"/>
    <s v="No"/>
    <s v="WRONG"/>
    <s v="DAP SZ"/>
    <d v="2019-07-03T00:00:00"/>
    <s v="Yes"/>
    <m/>
    <m/>
    <m/>
    <s v="C4910434452"/>
  </r>
  <r>
    <n v="308"/>
    <x v="0"/>
    <x v="0"/>
    <n v="109563"/>
    <s v="Special price"/>
    <x v="1"/>
    <s v="R-&gt;L"/>
    <s v="ATS15"/>
    <s v="Y48173"/>
    <n v="1"/>
    <s v="盐保仓库"/>
    <x v="38"/>
    <n v="6.4299999999999996E-2"/>
    <s v="JUL 19"/>
    <d v="1905-07-11T01:12:00"/>
    <s v="JPY"/>
    <s v="C49SZX20190069KW"/>
    <s v="同基"/>
    <s v="YSM10"/>
    <s v="L-&gt;R"/>
    <s v="MVC+ATS15"/>
    <s v="WRONG"/>
    <s v="CIF HK"/>
    <d v="2019-05-08T00:00:00"/>
    <s v="Yes"/>
    <m/>
    <m/>
    <m/>
    <s v="C190534655"/>
  </r>
  <r>
    <n v="309"/>
    <x v="0"/>
    <x v="0"/>
    <n v="109563"/>
    <s v="Special price"/>
    <x v="1"/>
    <s v="L-&gt;R"/>
    <s v="ATS15"/>
    <s v="Y48174"/>
    <n v="1"/>
    <s v="盐保仓库"/>
    <x v="38"/>
    <n v="6.4299999999999996E-2"/>
    <s v="JUL 19"/>
    <d v="1905-07-11T01:12:00"/>
    <s v="JPY"/>
    <s v="C49SZX20190069KW"/>
    <s v="同基"/>
    <s v="YSM10"/>
    <s v="L-&gt;R"/>
    <s v="MVC+ATS15"/>
    <s v="WRONG"/>
    <s v="CIF HK"/>
    <d v="2019-05-08T00:00:00"/>
    <s v="Yes"/>
    <m/>
    <m/>
    <m/>
    <s v="C190534655"/>
  </r>
  <r>
    <n v="374"/>
    <x v="0"/>
    <x v="0"/>
    <n v="109564"/>
    <s v="Special price"/>
    <x v="1"/>
    <s v="L-&gt;R"/>
    <s v="No"/>
    <s v="Y48179"/>
    <n v="1"/>
    <s v="盐保仓库"/>
    <x v="38"/>
    <n v="6.4299999999999996E-2"/>
    <s v="JUL 19"/>
    <d v="1905-07-11T01:12:00"/>
    <s v="JPY"/>
    <s v="C49SZX20190093JL"/>
    <s v="杉川/end user:放德劲"/>
    <s v="YSM10"/>
    <s v="R-&gt;L"/>
    <s v="MVC"/>
    <s v="WRONG"/>
    <s v="DAP SZ"/>
    <d v="2019-07-03T00:00:00"/>
    <s v="Yes"/>
    <m/>
    <m/>
    <m/>
    <s v="C4910434452"/>
  </r>
  <r>
    <n v="366"/>
    <x v="0"/>
    <x v="0"/>
    <n v="109564"/>
    <s v="Special price"/>
    <x v="1"/>
    <s v="L-&gt;R"/>
    <s v="No"/>
    <s v="Y48180"/>
    <n v="1"/>
    <s v="盐保仓库"/>
    <x v="38"/>
    <n v="6.4299999999999996E-2"/>
    <s v="JUL 19"/>
    <d v="1905-07-11T01:12:00"/>
    <s v="RMB"/>
    <s v="C49SZX20190108ZX"/>
    <s v="帝泰克"/>
    <s v="YSM10"/>
    <s v="L-&gt;R"/>
    <s v="No"/>
    <s v="OK"/>
    <s v="含税到厂"/>
    <d v="2019-04-25T00:00:00"/>
    <s v="Yes"/>
    <s v="Na"/>
    <s v="Na"/>
    <m/>
    <s v="C141021043"/>
  </r>
  <r>
    <n v="419"/>
    <x v="0"/>
    <x v="0"/>
    <n v="109564"/>
    <s v="Special price"/>
    <x v="1"/>
    <s v="L-&gt;R"/>
    <s v="ATS15"/>
    <s v="Y48177"/>
    <n v="1"/>
    <s v="盐保仓库-&gt;准备清关"/>
    <x v="38"/>
    <n v="6.4299999999999996E-2"/>
    <s v="SEP 19"/>
    <d v="1905-07-11T01:12:00"/>
    <s v="RMB"/>
    <s v="C49SZX20190129DZ"/>
    <s v="博星"/>
    <s v="YSM10"/>
    <s v="L-&gt;R"/>
    <s v="MVC+ATS15"/>
    <s v="WRONG"/>
    <s v="含税到厂"/>
    <d v="2019-08-31T00:00:00"/>
    <s v="Yes"/>
    <m/>
    <m/>
    <m/>
    <s v="C190935620"/>
  </r>
  <r>
    <n v="346"/>
    <x v="0"/>
    <x v="0"/>
    <n v="109622"/>
    <s v="IND,WKK（End user 崧盛）"/>
    <x v="8"/>
    <s v="L-&gt;R"/>
    <s v="No"/>
    <s v="Y43839"/>
    <n v="1"/>
    <s v="WKK HK 仓库"/>
    <x v="39"/>
    <s v="No"/>
    <s v="JUL 19"/>
    <d v="1905-07-10T02:09:36"/>
    <s v="JPY"/>
    <s v="C49SZX20190094MZ"/>
    <s v="崧盛"/>
    <s v="YS24"/>
    <s v="L-&gt;R"/>
    <s v="No"/>
    <s v="OK"/>
    <s v="CIF HK"/>
    <d v="2019-06-13T00:00:00"/>
    <s v="Yes"/>
    <m/>
    <m/>
    <m/>
    <s v="C190635053"/>
  </r>
  <r>
    <n v="347"/>
    <x v="0"/>
    <x v="0"/>
    <n v="109622"/>
    <s v="IND,WKK（End user 崧盛）"/>
    <x v="8"/>
    <s v="L-&gt;R"/>
    <s v="No"/>
    <s v="Y43840"/>
    <n v="1"/>
    <s v="WKK HK 仓库"/>
    <x v="39"/>
    <s v="No"/>
    <s v="JUL 19"/>
    <d v="1905-07-10T02:09:36"/>
    <s v="JPY"/>
    <s v="C49SZX20190094MZ"/>
    <s v="崧盛"/>
    <s v="YS24"/>
    <s v="L-&gt;R"/>
    <s v="No"/>
    <s v="OK"/>
    <s v="CIF HK"/>
    <d v="2019-06-13T00:00:00"/>
    <s v="Yes"/>
    <m/>
    <m/>
    <m/>
    <s v="C190635053"/>
  </r>
  <r>
    <m/>
    <x v="0"/>
    <x v="0"/>
    <n v="109566"/>
    <s v="Special price"/>
    <x v="1"/>
    <s v="L-&gt;R"/>
    <s v="No"/>
    <s v="Y48293（此台机运输中有碰撞)"/>
    <s v="1"/>
    <s v="Yamaha Demo 中心"/>
    <x v="40"/>
    <n v="6.4699999999999994E-2"/>
    <s v="已发货"/>
    <d v="1905-07-11T01:26:24"/>
    <e v="#N/A"/>
    <e v="#N/A"/>
    <e v="#N/A"/>
    <e v="#N/A"/>
    <e v="#N/A"/>
    <e v="#N/A"/>
    <m/>
    <e v="#N/A"/>
    <e v="#N/A"/>
    <e v="#N/A"/>
    <m/>
    <m/>
    <m/>
    <m/>
  </r>
  <r>
    <n v="390"/>
    <x v="0"/>
    <x v="0"/>
    <n v="109565"/>
    <s v="Special price"/>
    <x v="1"/>
    <s v="L-&gt;R"/>
    <s v="No"/>
    <s v="Y48291"/>
    <n v="1"/>
    <s v="力合仓库(已经清关)"/>
    <x v="40"/>
    <n v="6.4699999999999994E-2"/>
    <s v="AUG 19"/>
    <d v="1905-07-11T01:26:24"/>
    <s v="RMB"/>
    <s v="C49SZX20190115SS"/>
    <s v="正创/End user:世启纳"/>
    <s v="YSM10"/>
    <s v="R-&gt;L"/>
    <s v="MVC"/>
    <s v="WRONG"/>
    <s v="含税到厂"/>
    <d v="2019-08-14T00:00:00"/>
    <s v="Yes"/>
    <m/>
    <m/>
    <m/>
    <s v="C4190334188"/>
  </r>
  <r>
    <n v="396"/>
    <x v="0"/>
    <x v="0"/>
    <n v="109603"/>
    <s v="Special package"/>
    <x v="3"/>
    <s v="R-&gt;L"/>
    <s v="No"/>
    <s v="Y48547"/>
    <n v="1"/>
    <s v="力合仓库(已经清关)"/>
    <x v="40"/>
    <n v="6.4699999999999994E-2"/>
    <s v="SEP 19"/>
    <n v="2019.06"/>
    <s v="RMB"/>
    <s v="C49SZX20190119SX"/>
    <s v="太美亚"/>
    <s v="YSM20R(SV)-2"/>
    <s v="R-&gt;L"/>
    <s v="No"/>
    <s v="OK"/>
    <s v="含税到厂"/>
    <d v="2019-08-16T00:00:00"/>
    <s v="Yes"/>
    <s v="Na"/>
    <s v="Na"/>
    <m/>
    <s v="C190835446"/>
  </r>
  <r>
    <n v="399"/>
    <x v="0"/>
    <x v="0"/>
    <n v="109566"/>
    <s v="Special price"/>
    <x v="1"/>
    <s v="L-&gt;R"/>
    <s v="No"/>
    <s v="Y48295"/>
    <n v="1"/>
    <s v="力合仓库(已经清关)"/>
    <x v="40"/>
    <n v="6.4699999999999994E-2"/>
    <s v="SEP 19"/>
    <d v="1905-07-11T01:26:24"/>
    <s v="RMB"/>
    <s v="C49SZX20190119SX"/>
    <s v="太美亚"/>
    <s v="YSM10"/>
    <s v="L-&gt;R"/>
    <s v="MVC"/>
    <s v="WRONG"/>
    <s v="含税到厂"/>
    <d v="2019-08-16T00:00:00"/>
    <s v="Yes"/>
    <s v="Na"/>
    <s v="Na"/>
    <m/>
    <s v="C190835446"/>
  </r>
  <r>
    <n v="400"/>
    <x v="0"/>
    <x v="0"/>
    <n v="109566"/>
    <s v="Special price"/>
    <x v="1"/>
    <s v="L-&gt;R"/>
    <s v="No"/>
    <s v="Y48296"/>
    <n v="1"/>
    <s v="力合仓库(已经清关)"/>
    <x v="40"/>
    <n v="6.4699999999999994E-2"/>
    <s v="SEP 19"/>
    <d v="1905-07-11T01:26:24"/>
    <s v="RMB"/>
    <s v="C49SZX20190119SX"/>
    <s v="太美亚"/>
    <s v="YSM10"/>
    <s v="L-&gt;R"/>
    <s v="MVC"/>
    <s v="WRONG"/>
    <s v="含税到厂"/>
    <d v="2019-08-16T00:00:00"/>
    <s v="Yes"/>
    <s v="Na"/>
    <s v="Na"/>
    <m/>
    <s v="C190835446"/>
  </r>
  <r>
    <n v="401"/>
    <x v="0"/>
    <x v="0"/>
    <n v="109566"/>
    <s v="Special price"/>
    <x v="1"/>
    <s v="L-&gt;R"/>
    <s v="No"/>
    <s v="Y48297"/>
    <n v="1"/>
    <s v="力合仓库(已经清关)"/>
    <x v="40"/>
    <n v="6.4699999999999994E-2"/>
    <s v="SEP 19"/>
    <d v="1905-07-11T01:26:24"/>
    <s v="RMB"/>
    <s v="C49SZX20190119SX"/>
    <s v="太美亚"/>
    <s v="YSM10"/>
    <s v="L-&gt;R"/>
    <s v="MVC"/>
    <s v="WRONG"/>
    <s v="含税到厂"/>
    <d v="2019-08-16T00:00:00"/>
    <s v="Yes"/>
    <s v="Na"/>
    <s v="Na"/>
    <m/>
    <s v="C190835446"/>
  </r>
  <r>
    <n v="350"/>
    <x v="0"/>
    <x v="0"/>
    <n v="109565"/>
    <s v="Special price"/>
    <x v="1"/>
    <s v="L-&gt;R"/>
    <s v="No"/>
    <s v="Y48288"/>
    <n v="1"/>
    <s v="盐保仓库"/>
    <x v="40"/>
    <n v="6.4699999999999994E-2"/>
    <s v="JUL 19"/>
    <d v="1905-07-11T01:26:24"/>
    <s v="JPY"/>
    <s v="C49SZX20190094MZ"/>
    <s v="崧盛"/>
    <s v="YSM10"/>
    <s v="R-&gt;L"/>
    <s v="No"/>
    <s v="WRONG"/>
    <s v="CIF HK"/>
    <d v="2019-06-13T00:00:00"/>
    <s v="Yes"/>
    <m/>
    <m/>
    <m/>
    <s v="C190635053"/>
  </r>
  <r>
    <n v="348"/>
    <x v="0"/>
    <x v="0"/>
    <n v="109565"/>
    <s v="Special price"/>
    <x v="1"/>
    <s v="L-&gt;R"/>
    <s v="No"/>
    <s v="Y48289"/>
    <n v="1"/>
    <s v="盐保仓库"/>
    <x v="40"/>
    <n v="6.4699999999999994E-2"/>
    <s v="JUL 19"/>
    <d v="1905-07-11T01:26:24"/>
    <s v="JPY"/>
    <s v="C49SZX20190094MZ"/>
    <s v="崧盛"/>
    <s v="YSM10"/>
    <s v="L-&gt;R"/>
    <s v="No"/>
    <s v="OK"/>
    <s v="CIF HK"/>
    <d v="2019-06-13T00:00:00"/>
    <s v="Yes"/>
    <m/>
    <m/>
    <m/>
    <s v="C190635053"/>
  </r>
  <r>
    <n v="349"/>
    <x v="0"/>
    <x v="0"/>
    <n v="109565"/>
    <s v="Special price"/>
    <x v="1"/>
    <s v="L-&gt;R"/>
    <s v="No"/>
    <s v="Y48290"/>
    <n v="1"/>
    <s v="盐保仓库"/>
    <x v="40"/>
    <n v="6.4699999999999994E-2"/>
    <s v="JUL 19"/>
    <d v="1905-07-11T01:26:24"/>
    <s v="JPY"/>
    <s v="C49SZX20190094MZ"/>
    <s v="崧盛"/>
    <s v="YSM10"/>
    <s v="L-&gt;R"/>
    <s v="No"/>
    <s v="OK"/>
    <s v="CIF HK"/>
    <d v="2019-06-13T00:00:00"/>
    <s v="Yes"/>
    <m/>
    <m/>
    <m/>
    <s v="C190635053"/>
  </r>
  <r>
    <n v="360"/>
    <x v="0"/>
    <x v="0"/>
    <n v="109565"/>
    <s v="Special price"/>
    <x v="1"/>
    <s v="L-&gt;R"/>
    <s v="No"/>
    <s v="Y48292"/>
    <n v="1"/>
    <s v="盐保仓库"/>
    <x v="40"/>
    <n v="6.4699999999999994E-2"/>
    <s v="JUL 19"/>
    <d v="1905-07-11T01:26:24"/>
    <s v="RMB"/>
    <s v="C49SZX20190102SX"/>
    <s v="凯瑞丰"/>
    <s v="YSM10"/>
    <s v="L-&gt;R"/>
    <s v="MVC"/>
    <s v="WRONG"/>
    <s v="含税到厂"/>
    <d v="2019-06-19T00:00:00"/>
    <s v="Yes"/>
    <m/>
    <m/>
    <m/>
    <s v="C180732678"/>
  </r>
  <r>
    <n v="335"/>
    <x v="0"/>
    <x v="0"/>
    <n v="109603"/>
    <s v="Special package"/>
    <x v="3"/>
    <s v="R-&gt;L"/>
    <s v="No"/>
    <s v="Y48502"/>
    <n v="1"/>
    <s v="盐保仓库"/>
    <x v="40"/>
    <n v="6.4699999999999994E-2"/>
    <s v="SEP 19"/>
    <n v="2019.06"/>
    <s v="JPY"/>
    <s v="C49SZX20190082ZX"/>
    <s v="深圳健科"/>
    <s v="YSM20R(SV)-2"/>
    <s v="R-&gt;L"/>
    <s v="No"/>
    <s v="OK"/>
    <s v="DAP SZ"/>
    <d v="2019-05-27T00:00:00"/>
    <s v="Yes"/>
    <s v="Na"/>
    <s v="Na"/>
    <m/>
    <s v="C11048457"/>
  </r>
  <r>
    <n v="376"/>
    <x v="0"/>
    <x v="0"/>
    <n v="109603"/>
    <s v="Special package"/>
    <x v="3"/>
    <s v="R-&gt;L"/>
    <s v="No"/>
    <s v="Y48499"/>
    <n v="1"/>
    <s v="盐保仓库"/>
    <x v="40"/>
    <n v="6.4699999999999994E-2"/>
    <s v="JUL 19"/>
    <n v="2019.06"/>
    <s v="JPY"/>
    <s v="C49SZX20190109MZ"/>
    <s v="汇杰伟业"/>
    <s v="YSM20R(SV)-2"/>
    <s v="R-&gt;L"/>
    <s v="No"/>
    <s v="OK"/>
    <s v="CIF HK"/>
    <d v="2019-07-06T00:00:00"/>
    <s v="Yes"/>
    <m/>
    <m/>
    <m/>
    <s v="C190735184"/>
  </r>
  <r>
    <n v="377"/>
    <x v="0"/>
    <x v="0"/>
    <n v="109603"/>
    <s v="Special package"/>
    <x v="3"/>
    <s v="R-&gt;L"/>
    <s v="No"/>
    <s v="Y48504"/>
    <n v="1"/>
    <s v="盐保仓库"/>
    <x v="40"/>
    <n v="6.4699999999999994E-2"/>
    <s v="JUL 19"/>
    <n v="2019.06"/>
    <s v="JPY"/>
    <s v="C49SZX20190109MZ"/>
    <s v="汇杰伟业"/>
    <s v="YSM20R(SV)-2"/>
    <s v="R-&gt;L"/>
    <s v="No"/>
    <s v="OK"/>
    <s v="CIF HK"/>
    <d v="2019-07-06T00:00:00"/>
    <s v="Yes"/>
    <m/>
    <m/>
    <m/>
    <s v="C190735184"/>
  </r>
  <r>
    <n v="310"/>
    <x v="0"/>
    <x v="0"/>
    <n v="109566"/>
    <s v="Special price"/>
    <x v="1"/>
    <s v="L-&gt;R"/>
    <s v="No"/>
    <s v="Y48294"/>
    <n v="1"/>
    <s v="盐保仓库"/>
    <x v="40"/>
    <n v="6.4699999999999994E-2"/>
    <s v="JUL 19"/>
    <d v="1905-07-11T01:26:24"/>
    <s v="RMB"/>
    <s v="C49SZX20190072ZX"/>
    <s v="恒康佳业"/>
    <s v="YSM10"/>
    <s v="R-&gt;L"/>
    <s v="MVC+Rear 站位"/>
    <s v="WRONG"/>
    <s v="含税到厂"/>
    <d v="2019-05-11T00:00:00"/>
    <s v="Yes"/>
    <m/>
    <m/>
    <m/>
    <s v="C190534797"/>
  </r>
  <r>
    <n v="464"/>
    <x v="0"/>
    <x v="0"/>
    <n v="109602"/>
    <s v="Special package"/>
    <x v="3"/>
    <s v="L-&gt;R"/>
    <s v="MVC"/>
    <s v="Y48509"/>
    <n v="1"/>
    <s v="辉记中转仓"/>
    <x v="41"/>
    <s v="No mismatch"/>
    <s v="NOV 19"/>
    <n v="2019.07"/>
    <s v="JPY"/>
    <s v="C49SZX20190155JY"/>
    <s v="海松微"/>
    <s v="YSM20R(SV)-2"/>
    <s v="L-&gt;R"/>
    <s v="No"/>
    <s v="WRONG"/>
    <s v="DAP SZ"/>
    <d v="2019-10-25T00:00:00"/>
    <s v="Yes"/>
    <m/>
    <m/>
    <m/>
    <s v="C190935542"/>
  </r>
  <r>
    <n v="426"/>
    <x v="0"/>
    <x v="0"/>
    <n v="109602"/>
    <s v="Special package"/>
    <x v="3"/>
    <s v="L-&gt;R"/>
    <s v="MVC"/>
    <s v="Y48549"/>
    <n v="1"/>
    <s v="力合仓库(已经清关)"/>
    <x v="41"/>
    <n v="6.4699999999999994E-2"/>
    <s v="SEP 19"/>
    <n v="2019.06"/>
    <s v="RMB"/>
    <s v="C49SZX20190123SX"/>
    <s v="君泽"/>
    <s v="YSM20R(SV)-2"/>
    <s v="L-&gt;R"/>
    <s v="No"/>
    <s v="WRONG"/>
    <s v="含税到厂"/>
    <d v="2019-09-06T00:00:00"/>
    <s v="Yes"/>
    <m/>
    <m/>
    <m/>
    <s v="C190735079"/>
  </r>
  <r>
    <n v="313"/>
    <x v="0"/>
    <x v="0"/>
    <n v="109602"/>
    <s v="Special package"/>
    <x v="3"/>
    <s v="L-&gt;R"/>
    <s v="MVC"/>
    <s v="Y48550"/>
    <n v="1"/>
    <s v="力合仓库(已经清关)"/>
    <x v="41"/>
    <n v="6.4699999999999994E-2"/>
    <s v="OCT 19"/>
    <n v="2019.06"/>
    <s v="RMB"/>
    <s v="C49SZX20190076SS"/>
    <s v="嘉兴"/>
    <s v="YSM20R(SV)-2"/>
    <s v="L-&gt;R"/>
    <s v="No"/>
    <s v="WRONG"/>
    <s v="含税到厂"/>
    <d v="2019-05-15T00:00:00"/>
    <s v="Yes"/>
    <m/>
    <m/>
    <m/>
    <s v="C190534660"/>
  </r>
  <r>
    <n v="424"/>
    <x v="0"/>
    <x v="0"/>
    <n v="109602"/>
    <s v="Special package"/>
    <x v="3"/>
    <s v="L-&gt;R"/>
    <s v="MVC"/>
    <s v="Y48508"/>
    <n v="1"/>
    <s v="力合仓库(已经清关)"/>
    <x v="41"/>
    <n v="6.4699999999999994E-2"/>
    <s v="SEP 19"/>
    <n v="2019.06"/>
    <s v="RMB"/>
    <s v="C49SZX20190135SX"/>
    <s v="迅丰"/>
    <s v="YSM20R(SV)-2"/>
    <s v="L-&gt;R"/>
    <s v="MVC"/>
    <s v="OK"/>
    <s v="含税到厂"/>
    <d v="2019-09-07T00:00:00"/>
    <s v="Yes"/>
    <m/>
    <m/>
    <m/>
    <s v="C190935664"/>
  </r>
  <r>
    <n v="430"/>
    <x v="0"/>
    <x v="0"/>
    <n v="109602"/>
    <s v="Special package"/>
    <x v="3"/>
    <s v="L-&gt;R"/>
    <s v="MVC"/>
    <s v="Y48506"/>
    <n v="1"/>
    <s v="盐保仓库-&gt;准备清关"/>
    <x v="41"/>
    <n v="6.4699999999999994E-2"/>
    <s v="SEP 19"/>
    <n v="2019.06"/>
    <s v="RMB"/>
    <s v="C49SZX201900131JL"/>
    <s v="杉川/end user:放德劲"/>
    <s v="YSM20R(SV)-2"/>
    <s v="L-&gt;R"/>
    <s v="MVC"/>
    <s v="OK"/>
    <s v="含税到厂"/>
    <d v="2019-09-09T00:00:00"/>
    <s v="Yes"/>
    <m/>
    <m/>
    <m/>
    <s v="C190434452"/>
  </r>
  <r>
    <n v="409"/>
    <x v="0"/>
    <x v="0"/>
    <n v="109602"/>
    <s v="Special package"/>
    <x v="3"/>
    <s v="L-&gt;R"/>
    <s v="MVC"/>
    <s v="Y48510"/>
    <n v="1"/>
    <s v="盐保仓库-&gt;准备清关"/>
    <x v="41"/>
    <n v="6.4699999999999994E-2"/>
    <s v="OCT 19"/>
    <n v="2019.07"/>
    <s v="RMB"/>
    <s v="C49SZX20190120DY"/>
    <s v="妙琪"/>
    <s v="YSM20R(SV)-2"/>
    <s v="L-&gt;R"/>
    <s v="MVC"/>
    <s v="OK"/>
    <s v="含税到厂"/>
    <d v="2019-08-22T00:00:00"/>
    <s v="Yes"/>
    <m/>
    <m/>
    <m/>
    <s v="C190835457"/>
  </r>
  <r>
    <n v="440"/>
    <x v="0"/>
    <x v="0"/>
    <n v="109602"/>
    <s v="Special package"/>
    <x v="3"/>
    <s v="L-&gt;R"/>
    <s v="MVC"/>
    <s v="Y48511"/>
    <n v="1"/>
    <s v="盐保仓库-&gt;准备清关"/>
    <x v="41"/>
    <n v="6.4699999999999994E-2"/>
    <s v="NOV 19"/>
    <n v="2019.07"/>
    <s v="RMB"/>
    <s v="C49SZX20190145DZ"/>
    <s v="GCL 耕创"/>
    <s v="YSM20R(SV)-2"/>
    <s v="L-&gt;R"/>
    <s v="No"/>
    <s v="WRONG"/>
    <s v="含税到厂"/>
    <d v="2019-10-12T00:00:00"/>
    <s v="Yes"/>
    <m/>
    <m/>
    <m/>
    <s v="C191035983"/>
  </r>
  <r>
    <n v="455"/>
    <x v="0"/>
    <x v="0"/>
    <n v="109608"/>
    <s v="Special package"/>
    <x v="3"/>
    <s v="L-&gt;R"/>
    <s v="MVC"/>
    <s v="Y48546"/>
    <n v="1"/>
    <s v="辉记中转仓"/>
    <x v="42"/>
    <n v="6.4699999999999994E-2"/>
    <s v="NOV 19"/>
    <n v="2019.07"/>
    <s v="RMB"/>
    <s v="C49SZX20190148SX"/>
    <s v="悦之彩"/>
    <s v="YSM20R(SV)-2"/>
    <s v="L-&gt;R"/>
    <s v="No"/>
    <s v="WRONG"/>
    <s v="含税到厂"/>
    <d v="2019-10-18T00:00:00"/>
    <s v="Yes"/>
    <m/>
    <m/>
    <m/>
    <s v="C191035936"/>
  </r>
  <r>
    <n v="463"/>
    <x v="0"/>
    <x v="0"/>
    <n v="109608"/>
    <s v="Special package"/>
    <x v="3"/>
    <s v="L-&gt;R"/>
    <s v="MVC"/>
    <s v="Y48512"/>
    <n v="1"/>
    <s v="力合仓库(已经清关)"/>
    <x v="42"/>
    <n v="6.4699999999999994E-2"/>
    <s v="NOV 19"/>
    <n v="2019.07"/>
    <s v="RMB"/>
    <s v="C49SZX20190152JL"/>
    <s v="捷舜诚"/>
    <s v="YSM20R(SV)-2"/>
    <s v="L-&gt;R"/>
    <s v="No"/>
    <s v="WRONG"/>
    <s v="含税到厂"/>
    <d v="2019-10-24T00:00:00"/>
    <s v="Yes"/>
    <m/>
    <s v="Na"/>
    <m/>
    <s v="C170929728"/>
  </r>
  <r>
    <n v="334"/>
    <x v="0"/>
    <x v="0"/>
    <n v="109610"/>
    <s v="长沙健科名义"/>
    <x v="3"/>
    <s v="L-&gt;R"/>
    <s v="No"/>
    <s v="Y48648"/>
    <n v="1"/>
    <s v="码头"/>
    <x v="42"/>
    <n v="6.4699999999999994E-2"/>
    <s v="AUG 19"/>
    <n v="2019.07"/>
    <s v="JPY"/>
    <s v="C49SZX20190080ZX"/>
    <s v="长沙健科"/>
    <s v="YSM20R(SV)-2"/>
    <s v="L-&gt;R"/>
    <s v="No"/>
    <s v="OK"/>
    <s v="DAP 长沙"/>
    <d v="2019-05-27T00:00:00"/>
    <s v="Yes"/>
    <s v="Na"/>
    <s v="Na"/>
    <m/>
    <s v="IND order "/>
  </r>
  <r>
    <n v="427"/>
    <x v="0"/>
    <x v="0"/>
    <n v="109608"/>
    <s v="Special package"/>
    <x v="3"/>
    <s v="L-&gt;R"/>
    <s v="MVC"/>
    <s v="Y48548"/>
    <n v="1"/>
    <s v="盐保仓库"/>
    <x v="42"/>
    <n v="6.4699999999999994E-2"/>
    <s v="OCT 19"/>
    <n v="2019.07"/>
    <s v="RMB"/>
    <s v="C49SZX20190128DZ"/>
    <s v="富斯迈/end user:蓝普视讯"/>
    <s v="YSM20R(SV)-2"/>
    <s v="L-&gt;R"/>
    <s v="No"/>
    <s v="WRONG"/>
    <s v="CIF HK"/>
    <d v="2019-09-11T00:00:00"/>
    <s v="Yes"/>
    <m/>
    <m/>
    <m/>
    <s v="C191035869"/>
  </r>
  <r>
    <n v="428"/>
    <x v="0"/>
    <x v="0"/>
    <n v="109608"/>
    <s v="Special package"/>
    <x v="3"/>
    <s v="L-&gt;R"/>
    <s v="MVC"/>
    <s v="Y48513"/>
    <n v="1"/>
    <s v="盐保仓库"/>
    <x v="42"/>
    <n v="6.4699999999999994E-2"/>
    <s v="OCT 19"/>
    <n v="2019.07"/>
    <s v="RMB"/>
    <s v="C49SZX20190128DZ"/>
    <s v="富斯迈/end user:蓝普视讯"/>
    <s v="YSM20R(SV)-2"/>
    <s v="L-&gt;R"/>
    <s v="No"/>
    <s v="WRONG"/>
    <s v="CIF HK"/>
    <d v="2019-09-11T00:00:00"/>
    <s v="Yes"/>
    <m/>
    <m/>
    <m/>
    <s v="C191035869"/>
  </r>
  <r>
    <n v="357"/>
    <x v="0"/>
    <x v="0"/>
    <n v="109623"/>
    <s v="IND,APT 名义"/>
    <x v="6"/>
    <s v="L-&gt;R"/>
    <s v="No"/>
    <s v="Y48792"/>
    <n v="1"/>
    <s v="码头"/>
    <x v="43"/>
    <n v="6.4799999999999996E-2"/>
    <s v="AUG 19"/>
    <d v="1905-07-11T01:40:48"/>
    <s v="JPY"/>
    <s v="C49SZX20190101KW"/>
    <s v="伟盛贸易(富洛）/晶科"/>
    <s v="SIGMA G5S2"/>
    <s v="L-&gt;R"/>
    <s v="No"/>
    <s v="OK"/>
    <s v="CIF HK"/>
    <d v="2019-06-17T00:00:00"/>
    <s v="Yes"/>
    <m/>
    <m/>
    <m/>
    <s v="IND order "/>
  </r>
  <r>
    <n v="358"/>
    <x v="0"/>
    <x v="0"/>
    <n v="109623"/>
    <s v="IND,APT 名义"/>
    <x v="6"/>
    <s v="L-&gt;R"/>
    <s v="No"/>
    <s v="Y48793"/>
    <n v="1"/>
    <s v="码头"/>
    <x v="43"/>
    <n v="6.4799999999999996E-2"/>
    <s v="AUG 19"/>
    <d v="1905-07-11T01:40:48"/>
    <s v="JPY"/>
    <s v="C49SZX20190101KW"/>
    <s v="伟盛贸易(富洛）/晶科"/>
    <s v="SIGMA G5S2"/>
    <s v="L-&gt;R"/>
    <s v="No"/>
    <s v="OK"/>
    <s v="CIF HK"/>
    <d v="2019-06-17T00:00:00"/>
    <s v="Yes"/>
    <m/>
    <m/>
    <m/>
    <s v="IND order "/>
  </r>
  <r>
    <n v="387"/>
    <x v="0"/>
    <x v="0"/>
    <n v="109587"/>
    <s v="Special package"/>
    <x v="1"/>
    <s v="R-&gt;L"/>
    <s v="No"/>
    <s v="Y48463"/>
    <n v="1"/>
    <s v="辉记中转仓"/>
    <x v="44"/>
    <n v="6.4799999999999996E-2"/>
    <s v="SEP 19"/>
    <d v="1905-07-11T01:40:48"/>
    <s v="RMB"/>
    <s v="C49SZX20190118R1SS"/>
    <s v="鼎鸿"/>
    <s v="YSM10"/>
    <s v="L-&gt;R"/>
    <s v="MVC"/>
    <s v="WRONG"/>
    <s v="含税到厂"/>
    <d v="2019-08-14T00:00:00"/>
    <s v="Yes"/>
    <s v="Na"/>
    <s v="Na"/>
    <m/>
    <s v="C190434540"/>
  </r>
  <r>
    <n v="420"/>
    <x v="0"/>
    <x v="0"/>
    <n v="109587"/>
    <s v="Special package"/>
    <x v="1"/>
    <s v="R-&gt;L"/>
    <s v="MVC+ATS15"/>
    <s v="Y48459"/>
    <n v="1"/>
    <s v="力合仓库(已经清关)"/>
    <x v="44"/>
    <n v="6.4799999999999996E-2"/>
    <s v="SEP 19"/>
    <d v="1905-07-11T01:40:48"/>
    <s v="RMB"/>
    <s v="C49SZX20190129DZ"/>
    <s v="博星"/>
    <s v="YSM10"/>
    <s v="L-&gt;R"/>
    <s v="MVC+ATS15"/>
    <s v="WRONG"/>
    <s v="含税到厂"/>
    <d v="2019-08-31T00:00:00"/>
    <s v="Yes"/>
    <m/>
    <m/>
    <m/>
    <s v="C190935620"/>
  </r>
  <r>
    <n v="421"/>
    <x v="0"/>
    <x v="0"/>
    <n v="109587"/>
    <s v="Special package"/>
    <x v="1"/>
    <s v="R-&gt;L"/>
    <s v="MVC+ATS15"/>
    <s v="Y48461"/>
    <n v="1"/>
    <s v="力合仓库(已经清关)"/>
    <x v="44"/>
    <n v="6.4799999999999996E-2"/>
    <s v="NOV 19"/>
    <d v="1905-07-11T01:40:48"/>
    <s v="RMB"/>
    <s v="C49SZX20190129DZ"/>
    <s v="博星"/>
    <s v="YSM10"/>
    <s v="R-&gt;L"/>
    <s v="MVC+ATS15"/>
    <s v="OK"/>
    <s v="含税到厂"/>
    <d v="2019-08-31T00:00:00"/>
    <s v="Yes"/>
    <m/>
    <m/>
    <m/>
    <s v="C190935620"/>
  </r>
  <r>
    <n v="408"/>
    <x v="0"/>
    <x v="0"/>
    <n v="109587"/>
    <s v="Special package"/>
    <x v="1"/>
    <s v="R-&gt;L"/>
    <s v="No"/>
    <s v="Y48462"/>
    <n v="1"/>
    <s v="力合仓库(已经清关)"/>
    <x v="44"/>
    <n v="6.4799999999999996E-2"/>
    <s v="SEP 19"/>
    <d v="1905-07-11T01:40:48"/>
    <s v="RMB"/>
    <s v="C49SZX20190127JY"/>
    <s v="海松微"/>
    <s v="YSM10"/>
    <s v="L-&gt;R"/>
    <s v="MVC"/>
    <s v="WRONG"/>
    <s v="含税到厂"/>
    <d v="2019-08-21T00:00:00"/>
    <s v="Yes"/>
    <m/>
    <m/>
    <m/>
    <s v="C190935542"/>
  </r>
  <r>
    <n v="398"/>
    <x v="0"/>
    <x v="0"/>
    <n v="109588"/>
    <s v="Special package"/>
    <x v="1"/>
    <s v="R-&gt;L"/>
    <s v="No"/>
    <s v="Y48465"/>
    <n v="1"/>
    <s v="力合仓库(已经清关)"/>
    <x v="44"/>
    <n v="6.4799999999999996E-2"/>
    <s v="SEP 19"/>
    <d v="1905-07-11T01:40:48"/>
    <s v="RMB"/>
    <s v="C49SZX20190119SX"/>
    <s v="太美亚"/>
    <s v="YSM10"/>
    <s v="R-&gt;L"/>
    <s v="MVC"/>
    <s v="WRONG"/>
    <s v="含税到厂"/>
    <d v="2019-08-16T00:00:00"/>
    <s v="Yes"/>
    <s v="Na"/>
    <s v="Na"/>
    <m/>
    <s v="C190835446"/>
  </r>
  <r>
    <n v="433"/>
    <x v="0"/>
    <x v="0"/>
    <n v="109588"/>
    <s v="Special package"/>
    <x v="1"/>
    <s v="R-&gt;L"/>
    <s v="No"/>
    <s v="Y48467"/>
    <n v="1"/>
    <s v="盐保仓库"/>
    <x v="44"/>
    <n v="6.4799999999999996E-2"/>
    <s v="OCT 19"/>
    <d v="1905-07-11T01:40:48"/>
    <s v="RMB"/>
    <s v="C49SZX20190133MX"/>
    <s v="海川伟业"/>
    <s v="YSM10"/>
    <s v="L-&gt;R"/>
    <s v="MVC"/>
    <s v="WRONG"/>
    <s v="含税到厂"/>
    <d v="2019-09-23T00:00:00"/>
    <s v="Yes"/>
    <m/>
    <m/>
    <m/>
    <s v="C190935701"/>
  </r>
  <r>
    <n v="312"/>
    <x v="0"/>
    <x v="0"/>
    <n v="109588"/>
    <s v="Special package"/>
    <x v="1"/>
    <s v="R-&gt;L"/>
    <s v="No"/>
    <s v="Y48464"/>
    <n v="1"/>
    <s v="盐保仓库"/>
    <x v="44"/>
    <n v="6.4799999999999996E-2"/>
    <s v="OCT 19"/>
    <d v="1905-07-11T01:40:48"/>
    <s v="RMB"/>
    <s v="C49SZX20190076SS"/>
    <s v="嘉兴"/>
    <s v="YSM10"/>
    <s v="L-&gt;R"/>
    <s v="MVC"/>
    <s v="WRONG"/>
    <s v="含税到厂"/>
    <d v="2019-05-15T00:00:00"/>
    <s v="Yes"/>
    <m/>
    <m/>
    <m/>
    <s v="C190534660"/>
  </r>
  <r>
    <n v="353"/>
    <x v="0"/>
    <x v="0"/>
    <n v="109588"/>
    <s v="Special package"/>
    <x v="1"/>
    <s v="R-&gt;L"/>
    <s v="96 FEEDER PLATE (YSM10) "/>
    <s v="Y48468"/>
    <n v="1"/>
    <s v="盐保仓库"/>
    <x v="44"/>
    <n v="6.4799999999999996E-2"/>
    <s v="OCT 19"/>
    <d v="1905-07-11T01:40:48"/>
    <s v="JPY"/>
    <s v="C49SZX20190150JY"/>
    <s v="尖端电子 end user海凌科达"/>
    <s v="YSM10"/>
    <s v="L-&gt;R"/>
    <s v="MVC+Rear 站位"/>
    <s v="WRONG"/>
    <s v="CIF HK"/>
    <d v="2019-10-22T00:00:00"/>
    <s v="Yes"/>
    <m/>
    <m/>
    <m/>
    <s v="C190735224"/>
  </r>
  <r>
    <n v="392"/>
    <x v="0"/>
    <x v="0"/>
    <n v="109587"/>
    <s v="Special package"/>
    <x v="1"/>
    <s v="R-&gt;L"/>
    <s v="MVC+ATS15"/>
    <s v="Y48460"/>
    <n v="1"/>
    <s v="盐保仓库-&gt;准备清关"/>
    <x v="44"/>
    <n v="6.4799999999999996E-2"/>
    <s v="OCT 19"/>
    <d v="1905-07-11T01:40:48"/>
    <s v="RMB"/>
    <s v="C49SZX20190113LC"/>
    <s v="首航"/>
    <s v="YSM10"/>
    <s v="L-&gt;R"/>
    <s v="MVC+ATS15"/>
    <s v="WRONG"/>
    <s v="含税到厂"/>
    <d v="2019-08-14T00:00:00"/>
    <s v="Yes"/>
    <m/>
    <m/>
    <m/>
    <s v="C190935643"/>
  </r>
  <r>
    <n v="393"/>
    <x v="0"/>
    <x v="0"/>
    <n v="109588"/>
    <s v="Special package"/>
    <x v="1"/>
    <s v="R-&gt;L"/>
    <s v="No"/>
    <s v="Y48466"/>
    <n v="1"/>
    <s v="盐保仓库-&gt;准备清关"/>
    <x v="44"/>
    <n v="6.4799999999999996E-2"/>
    <s v="OCT 19"/>
    <d v="1905-07-11T01:40:48"/>
    <s v="RMB"/>
    <s v="C49SZX20190113LC"/>
    <s v="首航"/>
    <s v="YSM10"/>
    <s v="L-&gt;R"/>
    <s v="No"/>
    <s v="WRONG"/>
    <s v="含税到厂"/>
    <d v="2019-08-14T00:00:00"/>
    <s v="Yes"/>
    <m/>
    <m/>
    <m/>
    <s v="C190935643"/>
  </r>
  <r>
    <n v="379"/>
    <x v="0"/>
    <x v="1"/>
    <n v="109662"/>
    <s v="IND, 科士达"/>
    <x v="10"/>
    <s v="L-&gt;R"/>
    <s v="No"/>
    <s v="Y48943"/>
    <n v="1"/>
    <s v="码头"/>
    <x v="45"/>
    <n v="6.4399999999999999E-2"/>
    <s v="SEP 19"/>
    <d v="1905-07-11T01:55:12"/>
    <s v="RMB"/>
    <s v="PG-GL02-201906140004"/>
    <s v="科士达"/>
    <s v="YSD"/>
    <s v="L-&gt;R"/>
    <s v="No"/>
    <s v="OK"/>
    <s v="含税到厂"/>
    <d v="2019-07-20T00:00:00"/>
    <s v="Yes"/>
    <m/>
    <m/>
    <m/>
    <s v="IND order "/>
  </r>
  <r>
    <n v="361"/>
    <x v="0"/>
    <x v="0"/>
    <n v="109624"/>
    <s v="Special package"/>
    <x v="3"/>
    <s v="L-&gt;R"/>
    <s v="No"/>
    <s v="Y48797"/>
    <n v="1"/>
    <s v="辉记中转仓"/>
    <x v="46"/>
    <n v="6.4799999999999996E-2"/>
    <s v="SEP 19"/>
    <n v="2019.08"/>
    <s v="JPY"/>
    <s v="C49SZX20190015JY"/>
    <s v="创荣发"/>
    <s v="YSM20R(SV)-2"/>
    <s v="L-&gt;R"/>
    <s v="No"/>
    <s v="OK"/>
    <s v="DAP惠州"/>
    <d v="2019-06-27T00:00:00"/>
    <s v="Yes"/>
    <m/>
    <m/>
    <m/>
    <s v="C190735272"/>
  </r>
  <r>
    <n v="362"/>
    <x v="0"/>
    <x v="0"/>
    <n v="109624"/>
    <s v="Special package"/>
    <x v="3"/>
    <s v="L-&gt;R"/>
    <s v="No"/>
    <s v="Y48798"/>
    <n v="1"/>
    <s v="辉记中转仓"/>
    <x v="46"/>
    <n v="6.4799999999999996E-2"/>
    <s v="SEP 19"/>
    <n v="2019.08"/>
    <s v="JPY"/>
    <s v="C49SZX20190015JY"/>
    <s v="创荣发"/>
    <s v="YSM20R(SV)-2"/>
    <s v="L-&gt;R"/>
    <s v="No"/>
    <s v="OK"/>
    <s v="DAP惠州"/>
    <d v="2019-06-27T00:00:00"/>
    <s v="Yes"/>
    <m/>
    <m/>
    <m/>
    <s v="C190735272"/>
  </r>
  <r>
    <n v="363"/>
    <x v="0"/>
    <x v="0"/>
    <n v="109625"/>
    <s v="Special package"/>
    <x v="1"/>
    <s v="R-&gt;L"/>
    <s v="No"/>
    <s v="Y48771"/>
    <n v="1"/>
    <s v="辉记中转仓"/>
    <x v="46"/>
    <n v="6.4799999999999996E-2"/>
    <s v="SEP 19"/>
    <d v="1905-07-11T01:40:48"/>
    <s v="JPY"/>
    <s v="C49SZX20190015JY"/>
    <s v="创荣发"/>
    <s v="YSM10"/>
    <s v="L-&gt;R"/>
    <s v="MVC"/>
    <s v="WRONG"/>
    <s v="DAP惠州"/>
    <d v="2019-06-27T00:00:00"/>
    <s v="Yes"/>
    <m/>
    <m/>
    <m/>
    <s v="C190735272"/>
  </r>
  <r>
    <n v="364"/>
    <x v="0"/>
    <x v="0"/>
    <n v="109625"/>
    <s v="Special package"/>
    <x v="1"/>
    <s v="R-&gt;L"/>
    <s v="No"/>
    <s v="Y48772"/>
    <n v="1"/>
    <s v="辉记中转仓"/>
    <x v="46"/>
    <n v="6.4799999999999996E-2"/>
    <s v="SEP 19"/>
    <d v="1905-07-11T01:40:48"/>
    <s v="JPY"/>
    <s v="C49SZX20190015JY"/>
    <s v="创荣发"/>
    <s v="YSM10"/>
    <s v="L-&gt;R"/>
    <s v="MVC"/>
    <s v="WRONG"/>
    <s v="DAP惠州"/>
    <d v="2019-06-27T00:00:00"/>
    <s v="Yes"/>
    <m/>
    <m/>
    <m/>
    <s v="C190735272"/>
  </r>
  <r>
    <n v="422"/>
    <x v="0"/>
    <x v="0"/>
    <n v="109625"/>
    <s v="Special package"/>
    <x v="1"/>
    <s v="R-&gt;L"/>
    <s v="ATS15"/>
    <s v="Y48769"/>
    <n v="1"/>
    <s v="力合仓库(已经清关)"/>
    <x v="46"/>
    <n v="6.4799999999999996E-2"/>
    <s v="NOV 19"/>
    <d v="1905-07-11T01:40:48"/>
    <s v="RMB"/>
    <s v="C49SZX20190129DZ"/>
    <s v="博星"/>
    <s v="YSM10"/>
    <s v="R-&gt;L"/>
    <s v="MVC+ATS15"/>
    <s v="WRONG"/>
    <s v="含税到厂"/>
    <d v="2019-08-31T00:00:00"/>
    <s v="Yes"/>
    <m/>
    <m/>
    <m/>
    <s v="C190935620"/>
  </r>
  <r>
    <n v="432"/>
    <x v="0"/>
    <x v="0"/>
    <n v="109624"/>
    <s v="Special package"/>
    <x v="3"/>
    <s v="L-&gt;R"/>
    <s v="No"/>
    <s v="Y48800"/>
    <n v="1"/>
    <s v="盐保仓库"/>
    <x v="46"/>
    <n v="6.4799999999999996E-2"/>
    <s v="OCT 19"/>
    <n v="2019.08"/>
    <s v="RMB"/>
    <s v="C49SZX20190133MX"/>
    <s v="海川伟业"/>
    <s v="YSM20R(SV)-2"/>
    <s v="L-&gt;R"/>
    <s v="No"/>
    <s v="OK"/>
    <s v="含税到厂"/>
    <d v="2019-09-23T00:00:00"/>
    <s v="Yes"/>
    <m/>
    <m/>
    <m/>
    <s v="C190935701"/>
  </r>
  <r>
    <n v="391"/>
    <x v="0"/>
    <x v="0"/>
    <n v="109624"/>
    <s v="Special package"/>
    <x v="3"/>
    <s v="L-&gt;R"/>
    <s v="No"/>
    <s v="Y48799"/>
    <n v="1"/>
    <s v="盐保仓库-&gt;准备清关"/>
    <x v="46"/>
    <n v="6.4799999999999996E-2"/>
    <s v="OCT 19"/>
    <n v="2019.08"/>
    <s v="RMB"/>
    <s v="C49SZX20190113LC"/>
    <s v="首航"/>
    <s v="YSM20R(SV)-2"/>
    <s v="L-&gt;R"/>
    <s v="No"/>
    <s v="OK"/>
    <s v="含税到厂"/>
    <d v="2019-08-14T00:00:00"/>
    <s v="Yes"/>
    <m/>
    <m/>
    <m/>
    <s v="C190935643"/>
  </r>
  <r>
    <n v="441"/>
    <x v="0"/>
    <x v="0"/>
    <n v="109624"/>
    <s v="Special package"/>
    <x v="3"/>
    <s v="L-&gt;R"/>
    <s v="No"/>
    <s v="Y48802"/>
    <n v="1"/>
    <s v="盐保仓库-&gt;准备清关"/>
    <x v="46"/>
    <n v="6.4799999999999996E-2"/>
    <s v="NOV 19"/>
    <n v="2019.08"/>
    <s v="RMB"/>
    <s v="C49SZX20190145DZ"/>
    <s v="GCL 耕创"/>
    <s v="YSM20R(SV)-2"/>
    <s v="L-&gt;R"/>
    <s v="No"/>
    <s v="OK"/>
    <s v="含税到厂"/>
    <d v="2019-10-12T00:00:00"/>
    <s v="Yes"/>
    <m/>
    <m/>
    <m/>
    <s v="C191035983"/>
  </r>
  <r>
    <s v="福建泉盛"/>
    <x v="0"/>
    <x v="0"/>
    <n v="109625"/>
    <s v="Special package"/>
    <x v="1"/>
    <s v="R-&gt;L"/>
    <s v="ATS15"/>
    <s v="Y48770"/>
    <n v="1"/>
    <s v="盐保仓库-&gt;准备清关"/>
    <x v="46"/>
    <n v="6.7100000000000007E-2"/>
    <s v="NOV 19"/>
    <d v="1905-07-11T01:40:48"/>
    <e v="#N/A"/>
    <e v="#N/A"/>
    <e v="#N/A"/>
    <e v="#N/A"/>
    <e v="#N/A"/>
    <e v="#N/A"/>
    <e v="#N/A"/>
    <e v="#N/A"/>
    <e v="#N/A"/>
    <e v="#N/A"/>
    <m/>
    <m/>
    <m/>
    <s v="C190334217"/>
  </r>
  <r>
    <n v="431"/>
    <x v="0"/>
    <x v="0"/>
    <n v="109624"/>
    <s v="Special package"/>
    <x v="3"/>
    <s v="L-&gt;R"/>
    <s v="No"/>
    <s v="Y48801"/>
    <n v="1"/>
    <s v="盐保仓库-&gt;准备清关"/>
    <x v="46"/>
    <n v="6.4799999999999996E-2"/>
    <s v="SEP 19"/>
    <n v="2019.08"/>
    <s v="RMB"/>
    <s v="C49SZX201900131JL"/>
    <s v="杉川/end user:放德劲"/>
    <s v="YSM20R(SV)-2"/>
    <s v="L-&gt;R"/>
    <s v="No"/>
    <s v="OK"/>
    <s v="含税到厂"/>
    <d v="2019-09-09T00:00:00"/>
    <s v="Yes"/>
    <m/>
    <m/>
    <m/>
    <s v="C190434452"/>
  </r>
  <r>
    <n v="405"/>
    <x v="0"/>
    <x v="0"/>
    <n v="109694"/>
    <s v="IND,APT 名义"/>
    <x v="6"/>
    <s v="L-&gt;R"/>
    <s v="No"/>
    <s v="Y49277"/>
    <n v="1"/>
    <s v="码头"/>
    <x v="47"/>
    <s v="No mismatch"/>
    <s v="OCT 19"/>
    <d v="1905-07-11T02:09:36"/>
    <s v="JPY"/>
    <s v="C49SZX20190125KW"/>
    <s v="伟盛贸易(富洛）/晶科"/>
    <s v="SIGMA G5S2"/>
    <s v="No"/>
    <s v="No"/>
    <s v="WRONG"/>
    <s v="CIF HK"/>
    <d v="2019-08-21T00:00:00"/>
    <s v="Yes"/>
    <m/>
    <m/>
    <m/>
    <s v="IND order "/>
  </r>
  <r>
    <n v="406"/>
    <x v="0"/>
    <x v="0"/>
    <n v="109694"/>
    <s v="IND,APT 名义"/>
    <x v="6"/>
    <s v="L-&gt;R"/>
    <s v="No"/>
    <s v="Y49276"/>
    <n v="1"/>
    <s v="码头"/>
    <x v="47"/>
    <s v="No mismatch"/>
    <s v="OCT 19"/>
    <d v="1905-07-11T02:09:36"/>
    <s v="JPY"/>
    <s v="C49SZX20190125KW"/>
    <s v="伟盛贸易(富洛）/晶科"/>
    <s v="SIGMA G5S2"/>
    <s v="No"/>
    <s v="No"/>
    <s v="WRONG"/>
    <s v="CIF HK"/>
    <d v="2019-08-21T00:00:00"/>
    <s v="Yes"/>
    <m/>
    <m/>
    <m/>
    <s v="IND order "/>
  </r>
  <r>
    <n v="456"/>
    <x v="0"/>
    <x v="0"/>
    <n v="109665"/>
    <s v="Special package"/>
    <x v="1"/>
    <s v="R-&gt;L"/>
    <s v="No"/>
    <s v="Y49190"/>
    <n v="1"/>
    <s v="辉记中转仓"/>
    <x v="48"/>
    <n v="6.7299999999999999E-2"/>
    <s v="NOV 19"/>
    <d v="1905-07-11T02:09:36"/>
    <s v="RMB"/>
    <s v="C49SZX20190148SX"/>
    <s v="悦之彩"/>
    <s v="YSM10"/>
    <s v="L-&gt;R"/>
    <s v="MVC"/>
    <s v="WRONG"/>
    <s v="含税到厂"/>
    <d v="2019-10-19T00:00:00"/>
    <s v="Yes"/>
    <m/>
    <m/>
    <m/>
    <s v="C191035936"/>
  </r>
  <r>
    <n v="352"/>
    <x v="0"/>
    <x v="0"/>
    <n v="109665"/>
    <s v="Special package"/>
    <x v="1"/>
    <s v="R-&gt;L"/>
    <s v="No"/>
    <s v="Y49189"/>
    <n v="1"/>
    <s v="盐保仓库"/>
    <x v="48"/>
    <n v="6.7299999999999999E-2"/>
    <s v="OCT 19"/>
    <d v="1905-07-11T02:09:36"/>
    <s v="JPY"/>
    <s v="C49SZX20190150JY"/>
    <s v="尖端电子 end user海凌科达"/>
    <s v="YSM10"/>
    <s v="L-&gt;R"/>
    <s v="No"/>
    <s v="WRONG"/>
    <s v="CIF HK"/>
    <d v="2019-10-22T00:00:00"/>
    <s v="Yes"/>
    <m/>
    <m/>
    <m/>
    <s v="C190735224"/>
  </r>
  <r>
    <n v="454"/>
    <x v="0"/>
    <x v="0"/>
    <n v="109665"/>
    <s v="Special package"/>
    <x v="1"/>
    <s v="R-&gt;L"/>
    <s v="No"/>
    <s v="Y49188"/>
    <n v="1"/>
    <s v="盐保仓库"/>
    <x v="48"/>
    <n v="6.7299999999999999E-2"/>
    <s v="OCT 19"/>
    <d v="1905-07-11T02:09:36"/>
    <s v="JPY"/>
    <s v="C49SZX20190143SX"/>
    <s v="利速达"/>
    <s v="YSM10"/>
    <s v="L-&gt;R"/>
    <s v="MVC"/>
    <s v="WRONG"/>
    <s v="DAP SZ"/>
    <d v="2019-10-16T00:00:00"/>
    <s v="Yes"/>
    <m/>
    <m/>
    <m/>
    <s v="C180732624"/>
  </r>
  <r>
    <n v="351"/>
    <x v="0"/>
    <x v="0"/>
    <n v="109665"/>
    <s v="Special package"/>
    <x v="1"/>
    <s v="R-&gt;L"/>
    <s v="HM5"/>
    <s v="Y49191"/>
    <n v="1"/>
    <s v="盐保仓库"/>
    <x v="48"/>
    <n v="6.7299999999999999E-2"/>
    <s v="OCT 19"/>
    <d v="1905-07-11T02:09:36"/>
    <s v="JPY"/>
    <s v="C49SZX20190150JY"/>
    <s v="尖端电子 end user海凌科达"/>
    <s v="YSM10"/>
    <s v="R-&gt;L"/>
    <s v="HM5"/>
    <s v="OK"/>
    <s v="CIF HK"/>
    <d v="2019-10-22T00:00:00"/>
    <s v="Yes"/>
    <m/>
    <m/>
    <m/>
    <s v="C190735224"/>
  </r>
  <r>
    <n v="615"/>
    <x v="0"/>
    <x v="0"/>
    <n v="109665"/>
    <s v="Special package"/>
    <x v="1"/>
    <s v="R-&gt;L"/>
    <s v="Fixed feeder plate 24 positions"/>
    <s v="Y49192"/>
    <n v="1"/>
    <s v="盐保仓库"/>
    <x v="48"/>
    <n v="6.7299999999999999E-2"/>
    <s v="APR 20"/>
    <d v="1905-07-11T02:09:36"/>
    <s v="JPY"/>
    <s v="C49SZX20200038SX"/>
    <s v="中研"/>
    <s v="YSM10"/>
    <s v="L-&gt;R"/>
    <s v="MVC+Fixed feeder plate 24 positions"/>
    <s v="WRONG"/>
    <s v="DAP DG"/>
    <d v="2020-04-02T00:00:00"/>
    <s v="Yes"/>
    <m/>
    <m/>
    <m/>
    <s v="C170930284"/>
  </r>
  <r>
    <n v="434"/>
    <x v="0"/>
    <x v="0"/>
    <n v="109665"/>
    <s v="Special package"/>
    <x v="1"/>
    <s v="R-&gt;L"/>
    <s v="No"/>
    <s v="Y49187"/>
    <n v="1"/>
    <s v="盐保仓库-&gt;准备清关"/>
    <x v="48"/>
    <n v="6.7299999999999999E-2"/>
    <s v="OCT 19"/>
    <m/>
    <s v="RMB"/>
    <s v="C49SZX20190140SS"/>
    <s v="中润互联"/>
    <s v="YSM10"/>
    <s v="L-&gt;R"/>
    <s v="MVC"/>
    <s v="WRONG"/>
    <s v="含税到厂"/>
    <d v="2019-09-24T00:00:00"/>
    <s v="Yes"/>
    <m/>
    <m/>
    <m/>
    <s v="C170729777"/>
  </r>
  <r>
    <n v="465"/>
    <x v="0"/>
    <x v="0"/>
    <n v="109686"/>
    <s v="Special package"/>
    <x v="1"/>
    <s v="R-&gt;L"/>
    <s v="No"/>
    <s v="Y49251"/>
    <n v="1"/>
    <s v="辉记中转仓"/>
    <x v="49"/>
    <n v="6.7100000000000007E-2"/>
    <s v="NOV 19"/>
    <d v="1905-07-11T02:24:00"/>
    <s v="JPY"/>
    <s v="C49SZX20190155JY"/>
    <s v="海松微"/>
    <s v="YSM10"/>
    <s v="L-&gt;R"/>
    <s v="MVC"/>
    <s v="WRONG"/>
    <s v="DAP SZ"/>
    <d v="2019-10-25T00:00:00"/>
    <s v="Yes"/>
    <m/>
    <m/>
    <m/>
    <s v="C190935542"/>
  </r>
  <r>
    <n v="496"/>
    <x v="0"/>
    <x v="0"/>
    <n v="109686"/>
    <s v="Special package"/>
    <x v="1"/>
    <s v="R-&gt;L"/>
    <s v="No"/>
    <s v="Y49250"/>
    <n v="1"/>
    <s v="力合仓库(已经清关)"/>
    <x v="49"/>
    <n v="6.7100000000000007E-2"/>
    <s v="DEC 19"/>
    <d v="1905-07-11T02:24:00"/>
    <s v="RMB"/>
    <s v="C49SZX20190168JL"/>
    <s v="名佳"/>
    <s v="YSM10"/>
    <s v="L-&gt;R"/>
    <s v="MVC"/>
    <s v="WRONG"/>
    <s v="含税到厂"/>
    <d v="2019-11-08T00:00:00"/>
    <s v="Yes"/>
    <m/>
    <m/>
    <m/>
    <s v="C120111425"/>
  </r>
  <r>
    <n v="513"/>
    <x v="0"/>
    <x v="0"/>
    <n v="109686"/>
    <s v="Special package"/>
    <x v="1"/>
    <s v="R-&gt;L"/>
    <s v="ATS15"/>
    <s v="Y49260"/>
    <n v="1"/>
    <s v="力合中转仓"/>
    <x v="49"/>
    <n v="6.4799999999999996E-2"/>
    <s v="JAN 20"/>
    <d v="1905-07-11T02:24:00"/>
    <s v="JPY"/>
    <s v="C49SZX20190172ZX"/>
    <s v="宽宏"/>
    <s v="YSM10"/>
    <s v="L-&gt;R"/>
    <s v="MVC+ATS15"/>
    <s v="WRONG"/>
    <s v="CIF HK"/>
    <d v="2019-11-21T00:00:00"/>
    <s v="Yes"/>
    <m/>
    <m/>
    <m/>
    <s v="C161128121,货实际送给锘铧客户"/>
  </r>
  <r>
    <n v="527"/>
    <x v="0"/>
    <x v="0"/>
    <n v="109686"/>
    <s v="Special package"/>
    <x v="1"/>
    <s v="R-&gt;L"/>
    <s v="No"/>
    <s v="Y49252"/>
    <n v="1"/>
    <s v="盐保仓库"/>
    <x v="49"/>
    <n v="6.7100000000000007E-2"/>
    <s v="DEC 19"/>
    <d v="1905-07-11T02:24:00"/>
    <s v="JPY"/>
    <s v="C49SZX20190180SS"/>
    <s v="正创"/>
    <s v="YSM10"/>
    <s v="L-&gt;R"/>
    <s v="MVC"/>
    <s v="WRONG"/>
    <s v="DAP SZ"/>
    <d v="2019-12-06T00:00:00"/>
    <s v="Yes"/>
    <m/>
    <m/>
    <m/>
    <s v="C190935522"/>
  </r>
  <r>
    <n v="459"/>
    <x v="0"/>
    <x v="0"/>
    <n v="109686"/>
    <s v="Special package"/>
    <x v="1"/>
    <s v="R-&gt;L"/>
    <s v="ATS15"/>
    <s v="Y49258"/>
    <n v="1"/>
    <s v="盐保仓库"/>
    <x v="49"/>
    <n v="6.7100000000000007E-2"/>
    <s v="DEC 19"/>
    <d v="1905-07-11T02:09:36"/>
    <s v="JPY"/>
    <s v="C49SZX20190028MZR1"/>
    <s v="魔乐视/end user:拓普赛特"/>
    <s v="YSM10"/>
    <s v="L-&gt;R"/>
    <s v="MVC+ATS15"/>
    <s v="WRONG"/>
    <s v="DAP SZ"/>
    <d v="2019-10-24T00:00:00"/>
    <s v="Yes"/>
    <m/>
    <m/>
    <m/>
    <s v="C190434446"/>
  </r>
  <r>
    <n v="460"/>
    <x v="0"/>
    <x v="0"/>
    <n v="109686"/>
    <s v="Special package"/>
    <x v="1"/>
    <s v="R-&gt;L"/>
    <s v="ATS15"/>
    <s v="Y49259"/>
    <n v="1"/>
    <s v="盐保仓库"/>
    <x v="49"/>
    <n v="6.7100000000000007E-2"/>
    <s v="DEC 19"/>
    <d v="1905-07-11T02:09:36"/>
    <s v="JPY"/>
    <s v="C49SZX20190028MZR1"/>
    <s v="魔乐视/end user:拓普赛特"/>
    <s v="YSM10"/>
    <s v="R-&gt;L"/>
    <s v="MVC+ATS15"/>
    <s v="WRONG"/>
    <s v="DAP SZ"/>
    <d v="2019-10-24T00:00:00"/>
    <s v="Yes"/>
    <m/>
    <m/>
    <m/>
    <s v="C190434446"/>
  </r>
  <r>
    <n v="525"/>
    <x v="0"/>
    <x v="0"/>
    <n v="109715"/>
    <s v="Special package"/>
    <x v="3"/>
    <s v="L-&gt;R"/>
    <s v="No"/>
    <s v="Y49068"/>
    <n v="1"/>
    <s v="力合仓库(已经清关)"/>
    <x v="50"/>
    <s v="No mismatch  （Cooper rate:0.0676)"/>
    <s v="DEC 19"/>
    <n v="2019.1"/>
    <s v="RMB"/>
    <s v="C49SZX20190181DY"/>
    <s v="杰森泰"/>
    <s v="YSM20R(SV)-2"/>
    <s v="L-&gt;R"/>
    <s v="No"/>
    <s v="OK"/>
    <s v="DDP SZ"/>
    <d v="2019-12-05T00:00:00"/>
    <s v="Yes"/>
    <m/>
    <m/>
    <m/>
    <s v="C191236410"/>
  </r>
  <r>
    <n v="476"/>
    <x v="0"/>
    <x v="0"/>
    <n v="109715"/>
    <s v="Special package"/>
    <x v="3"/>
    <s v="L-&gt;R"/>
    <s v="No"/>
    <s v="Y49070"/>
    <n v="1"/>
    <s v="力合中转仓"/>
    <x v="50"/>
    <s v="No mismatch"/>
    <s v="DEC 19"/>
    <n v="2019.1"/>
    <s v="JPY"/>
    <s v="C49SZX20190156-1ZX"/>
    <s v="锘铧"/>
    <s v="YSM20R(SV)-2"/>
    <s v="L-&gt;R"/>
    <s v="No"/>
    <s v="OK"/>
    <s v="DAP GZ"/>
    <d v="2019-11-05T00:00:00"/>
    <s v="Yes"/>
    <m/>
    <m/>
    <m/>
    <s v="C161128121"/>
  </r>
  <r>
    <n v="477"/>
    <x v="0"/>
    <x v="0"/>
    <n v="109715"/>
    <s v="Special package"/>
    <x v="3"/>
    <s v="L-&gt;R"/>
    <s v="No"/>
    <s v="Y49071"/>
    <n v="1"/>
    <s v="力合中转仓"/>
    <x v="50"/>
    <s v="No mismatch"/>
    <s v="DEC 19"/>
    <n v="2019.1"/>
    <s v="JPY"/>
    <s v="C49SZX20190156-1ZX"/>
    <s v="锘铧"/>
    <s v="YSM20R(SV)-2"/>
    <s v="L-&gt;R"/>
    <s v="No"/>
    <s v="OK"/>
    <s v="DAP GZ"/>
    <d v="2019-11-05T00:00:00"/>
    <s v="Yes"/>
    <m/>
    <m/>
    <m/>
    <s v="C161128121"/>
  </r>
  <r>
    <n v="469"/>
    <x v="0"/>
    <x v="0"/>
    <n v="109715"/>
    <s v="Special package"/>
    <x v="3"/>
    <s v="L-&gt;R"/>
    <s v="No"/>
    <s v="Y49069"/>
    <n v="1"/>
    <s v="盐保仓库"/>
    <x v="50"/>
    <s v="No mismatch"/>
    <s v="NOV 19"/>
    <n v="2019.1"/>
    <s v="JPY"/>
    <s v="C49SZX20190161SX"/>
    <s v="玮芯电子"/>
    <s v="YSM20R(SV)-2"/>
    <s v="L-&gt;R"/>
    <s v="No"/>
    <s v="OK"/>
    <s v="DAP SZ"/>
    <d v="2019-11-06T00:00:00"/>
    <s v="Yes"/>
    <m/>
    <m/>
    <m/>
    <s v="C190534573"/>
  </r>
  <r>
    <n v="411"/>
    <x v="0"/>
    <x v="0"/>
    <n v="109664"/>
    <s v="Special package"/>
    <x v="3"/>
    <s v="R-&gt;L"/>
    <s v="No"/>
    <s v="Y49322"/>
    <n v="1"/>
    <s v="力合仓库(已经清关)"/>
    <x v="51"/>
    <n v="6.7199999999999996E-2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435"/>
    <x v="0"/>
    <x v="0"/>
    <n v="109664"/>
    <s v="Special package"/>
    <x v="3"/>
    <s v="R-&gt;L"/>
    <s v="No"/>
    <s v="Y49323"/>
    <n v="1"/>
    <s v="码头-&gt;准备清关"/>
    <x v="51"/>
    <n v="6.7199999999999996E-2"/>
    <s v="NOV 19"/>
    <n v="2019.1"/>
    <s v="RMB"/>
    <s v="C49SZX20190142KW"/>
    <s v="海龙智通"/>
    <s v="YSM20R(SV)-2"/>
    <s v="R-&gt;L"/>
    <s v="MVC"/>
    <s v="WRONG"/>
    <s v="含税到厂"/>
    <d v="2019-09-26T00:00:00"/>
    <s v="Yes"/>
    <m/>
    <s v="Na"/>
    <m/>
    <s v="C191035866"/>
  </r>
  <r>
    <n v="413"/>
    <x v="0"/>
    <x v="0"/>
    <n v="109705"/>
    <s v="Special package"/>
    <x v="3"/>
    <s v="R-&gt;L"/>
    <s v="No"/>
    <s v="Y49361"/>
    <n v="1"/>
    <s v="码头-&gt;准备清关"/>
    <x v="51"/>
    <s v="No mismatch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414"/>
    <x v="0"/>
    <x v="0"/>
    <n v="109705"/>
    <s v="Special package"/>
    <x v="3"/>
    <s v="R-&gt;L"/>
    <s v="No"/>
    <s v="Y49362"/>
    <n v="1"/>
    <s v="码头-&gt;准备清关"/>
    <x v="51"/>
    <s v="No mismatch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412"/>
    <x v="0"/>
    <x v="0"/>
    <n v="109705"/>
    <s v="Special package"/>
    <x v="3"/>
    <s v="R-&gt;L"/>
    <s v="No"/>
    <s v="Y49363"/>
    <n v="1"/>
    <s v="码头-&gt;准备清关"/>
    <x v="51"/>
    <s v="No mismatch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386"/>
    <x v="0"/>
    <x v="0"/>
    <n v="109705"/>
    <s v="Special package"/>
    <x v="3"/>
    <s v="L-&gt;R"/>
    <s v="No"/>
    <s v="Y49364"/>
    <n v="1"/>
    <s v="码头-&gt;准备清关"/>
    <x v="51"/>
    <n v="6.4699999999999994E-2"/>
    <s v="NOV 19"/>
    <n v="2019.1"/>
    <s v="RMB"/>
    <s v="C49SZX20190118R1SS"/>
    <s v="鼎鸿"/>
    <s v="YSM20R(SV)-2"/>
    <s v="L-&gt;R"/>
    <s v="No"/>
    <s v="OK"/>
    <s v="含税到厂"/>
    <d v="2019-08-14T00:00:00"/>
    <s v="Yes"/>
    <m/>
    <m/>
    <m/>
    <s v="C190434540, 前海福源"/>
  </r>
  <r>
    <n v="514"/>
    <x v="0"/>
    <x v="0"/>
    <n v="109664"/>
    <s v="Special package"/>
    <x v="3"/>
    <s v="L-&gt;R"/>
    <s v="No"/>
    <s v="Y49324"/>
    <n v="1"/>
    <s v="锘铧清关，送宽宏"/>
    <x v="51"/>
    <n v="6.7199999999999996E-2"/>
    <s v="JAN 20"/>
    <n v="2019.1"/>
    <s v="JPY"/>
    <s v="C49SZX20190172ZX"/>
    <s v="宽宏"/>
    <s v="YSM20R(SV)-2"/>
    <s v="L-&gt;R"/>
    <s v="No"/>
    <s v="OK"/>
    <s v="CIF HK"/>
    <d v="2019-11-21T00:00:00"/>
    <s v="Yes"/>
    <m/>
    <m/>
    <m/>
    <s v="C190634944"/>
  </r>
  <r>
    <n v="515"/>
    <x v="0"/>
    <x v="0"/>
    <n v="109664"/>
    <s v="Special package"/>
    <x v="3"/>
    <s v="L-&gt;R"/>
    <s v="No"/>
    <s v="Y49326"/>
    <n v="1"/>
    <s v="锘铧清关，送宽宏"/>
    <x v="51"/>
    <n v="6.7199999999999996E-2"/>
    <s v="JAN 20"/>
    <n v="2019.1"/>
    <s v="JPY"/>
    <s v="C49SZX20190172ZX"/>
    <s v="宽宏"/>
    <s v="YSM20R(SV)-2"/>
    <s v="L-&gt;R"/>
    <s v="No"/>
    <s v="OK"/>
    <s v="CIF HK"/>
    <d v="2019-11-21T00:00:00"/>
    <s v="Yes"/>
    <m/>
    <m/>
    <m/>
    <s v="C190634944"/>
  </r>
  <r>
    <n v="504"/>
    <x v="0"/>
    <x v="0"/>
    <n v="109685"/>
    <s v="Special package"/>
    <x v="1"/>
    <s v="R-&gt;L"/>
    <s v="No"/>
    <s v="Y49255"/>
    <n v="1"/>
    <s v="盐保仓库"/>
    <x v="51"/>
    <s v="No mismatch"/>
    <s v="DEC 19"/>
    <d v="1905-07-11T02:24:00"/>
    <s v="JPY"/>
    <s v="C49SZX20190163JY"/>
    <s v="灿明"/>
    <s v="YSM10"/>
    <s v="L-&gt;R"/>
    <s v="MVC"/>
    <s v="WRONG"/>
    <s v="DAP SZ"/>
    <d v="2019-11-12T00:00:00"/>
    <s v="Yes"/>
    <m/>
    <m/>
    <m/>
    <s v="C191136234"/>
  </r>
  <r>
    <n v="505"/>
    <x v="0"/>
    <x v="0"/>
    <n v="109685"/>
    <s v="Special package"/>
    <x v="1"/>
    <s v="R-&gt;L"/>
    <s v="No"/>
    <s v="Y49256"/>
    <n v="1"/>
    <s v="盐保仓库"/>
    <x v="51"/>
    <s v="No mismatch"/>
    <s v="DEC 19"/>
    <d v="1905-07-11T02:24:00"/>
    <s v="JPY"/>
    <s v="C49SZX20190163JY"/>
    <s v="灿明"/>
    <s v="YSM10"/>
    <s v="L-&gt;R"/>
    <s v="1.2m longboard+加大板相机"/>
    <s v="WRONG"/>
    <s v="DAP SZ"/>
    <d v="2019-11-12T00:00:00"/>
    <s v="Yes"/>
    <m/>
    <m/>
    <m/>
    <s v="C191136234"/>
  </r>
  <r>
    <n v="506"/>
    <x v="0"/>
    <x v="0"/>
    <n v="109685"/>
    <s v="Special package"/>
    <x v="1"/>
    <s v="R-&gt;L"/>
    <s v="No"/>
    <s v="Y49257"/>
    <n v="1"/>
    <s v="盐保仓库"/>
    <x v="51"/>
    <s v="No mismatch"/>
    <s v="DEC 19"/>
    <d v="1905-07-11T02:24:00"/>
    <s v="JPY"/>
    <s v="C49SZX20190163JY"/>
    <s v="灿明"/>
    <s v="YSM10"/>
    <s v="L-&gt;R"/>
    <s v="No"/>
    <s v="WRONG"/>
    <s v="DAP SZ"/>
    <d v="2019-11-12T00:00:00"/>
    <s v="Yes"/>
    <m/>
    <m/>
    <m/>
    <s v="C191136234"/>
  </r>
  <r>
    <n v="497"/>
    <x v="0"/>
    <x v="0"/>
    <n v="109693"/>
    <s v="Special package"/>
    <x v="1"/>
    <s v="R-&gt;L"/>
    <s v="No"/>
    <s v="Y49311"/>
    <n v="1"/>
    <s v="盐保仓库"/>
    <x v="51"/>
    <s v="No mismatch"/>
    <s v="NOV 19"/>
    <d v="1905-07-11T02:24:00"/>
    <s v="JPY"/>
    <s v="C49SZX20190165DZ"/>
    <s v="铁甲"/>
    <s v="YSM10"/>
    <s v="L-&gt;R"/>
    <s v="No"/>
    <s v="WRONG"/>
    <s v="CIF HK"/>
    <d v="2019-11-12T00:00:00"/>
    <s v="Yes"/>
    <m/>
    <m/>
    <m/>
    <s v="C180131071"/>
  </r>
  <r>
    <n v="498"/>
    <x v="0"/>
    <x v="0"/>
    <n v="109693"/>
    <s v="Special package"/>
    <x v="1"/>
    <s v="R-&gt;L"/>
    <s v="No"/>
    <s v="Y49312"/>
    <n v="1"/>
    <s v="盐保仓库"/>
    <x v="51"/>
    <s v="No mismatch"/>
    <s v="NOV 19"/>
    <d v="1905-07-11T02:24:00"/>
    <s v="JPY"/>
    <s v="C49SZX20190165DZ"/>
    <s v="铁甲"/>
    <s v="YSM10"/>
    <s v="L-&gt;R"/>
    <s v="No"/>
    <s v="WRONG"/>
    <s v="CIF HK"/>
    <d v="2019-11-12T00:00:00"/>
    <s v="Yes"/>
    <m/>
    <m/>
    <m/>
    <s v="C180131071"/>
  </r>
  <r>
    <n v="507"/>
    <x v="0"/>
    <x v="0"/>
    <n v="109693"/>
    <s v="Special package"/>
    <x v="1"/>
    <s v="R-&gt;L"/>
    <s v="No"/>
    <s v="Y49313"/>
    <n v="1"/>
    <s v="盐保仓库"/>
    <x v="51"/>
    <s v="No mismatch"/>
    <s v="DEC 19"/>
    <d v="1905-07-11T02:24:00"/>
    <s v="JPY"/>
    <s v="C49SZX20190163JY"/>
    <s v="灿明"/>
    <s v="YSM10"/>
    <s v="L-&gt;R"/>
    <s v="No"/>
    <s v="WRONG"/>
    <s v="DAP SZ"/>
    <d v="2019-11-12T00:00:00"/>
    <s v="Yes"/>
    <m/>
    <m/>
    <m/>
    <s v="C191136234"/>
  </r>
  <r>
    <n v="512"/>
    <x v="0"/>
    <x v="0"/>
    <n v="109664"/>
    <s v="Special package"/>
    <x v="3"/>
    <s v="L-&gt;R"/>
    <s v="No"/>
    <s v="Y49327"/>
    <n v="1"/>
    <s v="盐保仓库"/>
    <x v="51"/>
    <n v="6.7199999999999996E-2"/>
    <s v="DEC 19"/>
    <n v="2019.1"/>
    <s v="JPY"/>
    <s v="C49SZX20190171CX"/>
    <s v="君博信"/>
    <s v="YSM20R(SV)-2"/>
    <s v="L-&gt;R"/>
    <s v="No"/>
    <s v="OK"/>
    <s v="DAP SZ"/>
    <d v="2019-11-20T00:00:00"/>
    <s v="Yes"/>
    <m/>
    <m/>
    <m/>
    <s v="C190634955"/>
  </r>
  <r>
    <n v="510"/>
    <x v="0"/>
    <x v="0"/>
    <n v="109693"/>
    <s v="Special package"/>
    <x v="1"/>
    <s v="R-&gt;L"/>
    <s v="No"/>
    <s v="Y49314"/>
    <n v="1"/>
    <s v="盐保仓库"/>
    <x v="51"/>
    <s v="No mismatch"/>
    <s v="NOV 19"/>
    <d v="1905-07-11T02:24:00"/>
    <s v="JPY"/>
    <s v="C49SZX20190617SS"/>
    <s v="乐上"/>
    <s v="YSM10"/>
    <s v="L-&gt;R"/>
    <s v="MVC"/>
    <s v="WRONG"/>
    <s v="DAP DG"/>
    <d v="2019-11-12T00:00:00"/>
    <s v="Yes"/>
    <s v="Na"/>
    <s v="Na"/>
    <m/>
    <s v="C190434487"/>
  </r>
  <r>
    <n v="468"/>
    <x v="0"/>
    <x v="0"/>
    <n v="109664"/>
    <s v="Special package"/>
    <x v="3"/>
    <s v="L-&gt;R"/>
    <s v="No"/>
    <s v="Y49325"/>
    <n v="1"/>
    <s v="盐保仓库-&gt;准备清关"/>
    <x v="51"/>
    <n v="6.7199999999999996E-2"/>
    <s v="NOV 19"/>
    <n v="2019.1"/>
    <s v="JPY"/>
    <s v="C49SZX20190159SS"/>
    <s v="思迈科技"/>
    <s v="YSM20R(SV)-2"/>
    <s v="L-&gt;R"/>
    <s v="No"/>
    <s v="OK"/>
    <s v="DAP SZ"/>
    <d v="2019-11-06T00:00:00"/>
    <s v="Yes"/>
    <m/>
    <m/>
    <m/>
    <s v="C180431770"/>
  </r>
  <r>
    <n v="472"/>
    <x v="0"/>
    <x v="0"/>
    <n v="109685"/>
    <s v="Special package"/>
    <x v="1"/>
    <s v="R-&gt;L"/>
    <s v="No"/>
    <s v="Y49253"/>
    <n v="1"/>
    <s v="盐保仓库-&gt;准备清关"/>
    <x v="51"/>
    <s v="No mismatch"/>
    <s v="NOV 19"/>
    <d v="1905-07-11T02:24:00"/>
    <s v="RMB"/>
    <s v="C49SZX20190153JL"/>
    <s v="硕泰克/end user 铭翔"/>
    <s v="YSM10"/>
    <s v="L-&gt;R"/>
    <s v="MVC"/>
    <s v="WRONG"/>
    <s v="含税到厂"/>
    <d v="2019-11-06T00:00:00"/>
    <s v="Yes"/>
    <m/>
    <m/>
    <m/>
    <s v="C191136061"/>
  </r>
  <r>
    <n v="473"/>
    <x v="0"/>
    <x v="0"/>
    <n v="109685"/>
    <s v="Special package"/>
    <x v="1"/>
    <s v="R-&gt;L"/>
    <s v="No"/>
    <s v="Y49254"/>
    <n v="1"/>
    <s v="盐保仓库-&gt;准备清关"/>
    <x v="51"/>
    <s v="No mismatch"/>
    <s v="NOV 19"/>
    <d v="1905-07-11T02:24:00"/>
    <s v="RMB"/>
    <s v="C49SZX20190153JL"/>
    <s v="硕泰克/end user 铭翔"/>
    <s v="YSM10"/>
    <s v="L-&gt;R"/>
    <s v="MVC"/>
    <s v="WRONG"/>
    <s v="含税到厂"/>
    <d v="2019-11-06T00:00:00"/>
    <s v="Yes"/>
    <m/>
    <m/>
    <m/>
    <s v="C191136061"/>
  </r>
  <r>
    <n v="503"/>
    <x v="0"/>
    <x v="0"/>
    <n v="109721"/>
    <s v="Special package"/>
    <x v="3"/>
    <s v="L-&gt;R"/>
    <s v="No"/>
    <s v="Y49584"/>
    <n v="1"/>
    <s v="盐保仓库"/>
    <x v="52"/>
    <n v="6.7199999999999996E-2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00"/>
    <x v="0"/>
    <x v="0"/>
    <n v="109721"/>
    <s v="Special package"/>
    <x v="3"/>
    <s v="L-&gt;R"/>
    <s v="No"/>
    <s v="Y49585"/>
    <n v="1"/>
    <s v="盐保仓库"/>
    <x v="52"/>
    <n v="6.5699999999999995E-2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01"/>
    <x v="0"/>
    <x v="0"/>
    <n v="109721"/>
    <s v="Special package"/>
    <x v="3"/>
    <s v="L-&gt;R"/>
    <s v="No"/>
    <s v="Y49586"/>
    <n v="1"/>
    <s v="盐保仓库"/>
    <x v="52"/>
    <n v="6.5699999999999995E-2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457"/>
    <x v="0"/>
    <x v="0"/>
    <n v="109721"/>
    <s v="Special package"/>
    <x v="3"/>
    <s v="L-&gt;R"/>
    <s v="No"/>
    <s v="Y49587"/>
    <n v="1"/>
    <s v="盐保仓库"/>
    <x v="52"/>
    <n v="6.5699999999999995E-2"/>
    <s v="DEC 19"/>
    <n v="2019.11"/>
    <s v="JPY"/>
    <s v="C49SZX20190028MZR1"/>
    <s v="魔乐视/end user:拓普赛特"/>
    <s v="YSM20R(SV)-2"/>
    <s v="L-&gt;R"/>
    <s v="No"/>
    <s v="OK"/>
    <s v="DAP SZ"/>
    <d v="2019-10-24T00:00:00"/>
    <s v="Yes"/>
    <m/>
    <m/>
    <m/>
    <s v="C190434446"/>
  </r>
  <r>
    <n v="458"/>
    <x v="0"/>
    <x v="0"/>
    <n v="109721"/>
    <s v="Special package"/>
    <x v="3"/>
    <s v="R-&gt;L"/>
    <s v="MVC"/>
    <s v="Y49588"/>
    <n v="1"/>
    <s v="盐保仓库"/>
    <x v="52"/>
    <n v="6.5699999999999995E-2"/>
    <s v="DEC 19"/>
    <n v="2019.11"/>
    <s v="JPY"/>
    <s v="C49SZX20190028MZR1"/>
    <s v="魔乐视/end user:拓普赛特"/>
    <s v="YSM20R(SV)-2"/>
    <s v="R-&gt;L"/>
    <s v="No"/>
    <s v="WRONG"/>
    <s v="DAP SZ"/>
    <d v="2019-10-24T00:00:00"/>
    <s v="Yes"/>
    <m/>
    <m/>
    <m/>
    <s v="C190434446"/>
  </r>
  <r>
    <n v="564"/>
    <x v="0"/>
    <x v="0"/>
    <n v="109721"/>
    <s v="Special package"/>
    <x v="3"/>
    <s v="R-&gt;L"/>
    <s v="MVC"/>
    <s v="Y49589"/>
    <n v="1"/>
    <s v="盐保仓库"/>
    <x v="52"/>
    <n v="6.5699999999999995E-2"/>
    <s v="JAN 20"/>
    <n v="2019.11"/>
    <s v="JPY"/>
    <s v="C49SZX20200001SX"/>
    <s v="柏星"/>
    <s v="YSM20R(SV)-2"/>
    <s v="R-&gt;L"/>
    <s v="No"/>
    <s v="WRONG"/>
    <s v="DAP DG"/>
    <d v="2020-01-01T00:00:00"/>
    <s v="Yes"/>
    <s v="Na"/>
    <s v="Na"/>
    <m/>
    <s v="C181233636"/>
  </r>
  <r>
    <n v="599"/>
    <x v="0"/>
    <x v="0"/>
    <n v="109730"/>
    <s v="博星名义下单"/>
    <x v="3"/>
    <s v="L-&gt;R"/>
    <s v="MVC"/>
    <s v="Y49696"/>
    <n v="1"/>
    <s v="力合仓库(已经清关)"/>
    <x v="53"/>
    <n v="6.5299999999999997E-2"/>
    <s v="APR 20"/>
    <n v="2019.11"/>
    <s v="RMB"/>
    <s v="C49SZX20200009MX"/>
    <s v="民龙/End user 众立创"/>
    <s v="YSM20R(SV)-2"/>
    <s v="L-&gt;R"/>
    <s v="No"/>
    <s v="WRONG"/>
    <s v="含税到厂"/>
    <d v="2020-03-20T00:00:00"/>
    <s v="Yes"/>
    <m/>
    <m/>
    <m/>
    <s v="C200337005"/>
  </r>
  <r>
    <n v="568"/>
    <x v="0"/>
    <x v="0"/>
    <n v="109730"/>
    <s v="博星名义下单"/>
    <x v="3"/>
    <s v="R-&gt;L"/>
    <s v="MVC"/>
    <s v="Y49694"/>
    <n v="1"/>
    <s v="力合仓库有货，系统没货"/>
    <x v="53"/>
    <n v="6.5299999999999997E-2"/>
    <s v="MAR 20"/>
    <n v="2019.11"/>
    <s v="JPY"/>
    <s v="C49SZX20200003CX"/>
    <s v="靓颖电子"/>
    <s v="YSM20R(SV)-2"/>
    <s v="R-&gt;L"/>
    <s v="MVC"/>
    <s v="OK"/>
    <s v="DAP ST"/>
    <d v="2019-01-02T00:00:00"/>
    <s v="Yes"/>
    <m/>
    <m/>
    <m/>
    <s v="C200136543"/>
  </r>
  <r>
    <n v="480"/>
    <x v="0"/>
    <x v="0"/>
    <n v="109730"/>
    <s v="博星名义下单"/>
    <x v="3"/>
    <s v="L-&gt;R"/>
    <s v="No"/>
    <s v="Y49700"/>
    <n v="1"/>
    <s v="力合仓库有货，系统没货"/>
    <x v="53"/>
    <s v="   NM(CR:0.0657)价格用PO#109750         "/>
    <s v="FEB 20"/>
    <n v="2019.11"/>
    <s v="JPY"/>
    <s v="C49SZX20190156-2ZX"/>
    <s v="锘铧"/>
    <s v="YSM20R(SV)-2"/>
    <s v="R-&gt;L"/>
    <s v="No"/>
    <s v="WRONG"/>
    <s v="DAP GZ"/>
    <d v="2019-11-05T00:00:00"/>
    <s v="Yes"/>
    <m/>
    <m/>
    <m/>
    <s v="C161128121"/>
  </r>
  <r>
    <n v="608"/>
    <x v="0"/>
    <x v="0"/>
    <n v="109730"/>
    <s v="博星名义下单"/>
    <x v="3"/>
    <s v="L-&gt;R"/>
    <s v="MVC"/>
    <s v="Y49697"/>
    <n v="1"/>
    <s v="力合中转仓"/>
    <x v="53"/>
    <n v="6.5299999999999997E-2"/>
    <s v="APR 20"/>
    <n v="2019.11"/>
    <s v="RMB"/>
    <s v="C49SZX20200039SX"/>
    <s v="柏星"/>
    <s v="YSM20R(SV)-2"/>
    <s v="L-&gt;R"/>
    <s v="No"/>
    <s v="WRONG"/>
    <s v="含税到厂"/>
    <d v="2020-03-30T00:00:00"/>
    <s v="Yes"/>
    <m/>
    <m/>
    <m/>
    <s v="C181233636"/>
  </r>
  <r>
    <n v="585"/>
    <x v="0"/>
    <x v="0"/>
    <n v="109730"/>
    <s v="博星名义下单"/>
    <x v="3"/>
    <s v="R-&gt;L"/>
    <s v="No"/>
    <s v="Y49695"/>
    <n v="1"/>
    <s v="盐保仓库"/>
    <x v="53"/>
    <n v="6.5299999999999997E-2"/>
    <s v="FEB 20"/>
    <n v="2019.11"/>
    <s v="JPY"/>
    <s v="C49SZX20200018SX"/>
    <s v="福瑞康"/>
    <s v="YSM20R(SV)-2"/>
    <s v="R-&gt;L"/>
    <s v="MVC"/>
    <s v="WRONG"/>
    <s v="DAP DG"/>
    <d v="2020-02-19T00:00:00"/>
    <s v="Yes"/>
    <m/>
    <m/>
    <m/>
    <s v="C190935620"/>
  </r>
  <r>
    <n v="561"/>
    <x v="0"/>
    <x v="0"/>
    <n v="109730"/>
    <s v="博星名义下单"/>
    <x v="3"/>
    <s v="R-&gt;L"/>
    <s v="MVC"/>
    <s v="Y49693"/>
    <n v="1"/>
    <s v="盐保仓库"/>
    <x v="53"/>
    <n v="6.5299999999999997E-2"/>
    <s v="JAN 20"/>
    <n v="2019.11"/>
    <s v="JPY"/>
    <s v="C49SZX20190192MZ"/>
    <s v="鸿南电子"/>
    <s v="YSM20R(SV)-2"/>
    <s v="R-&gt;L"/>
    <s v="No"/>
    <s v="WRONG"/>
    <s v="CIF HK"/>
    <d v="2019-12-24T00:00:00"/>
    <s v="Yes"/>
    <m/>
    <m/>
    <m/>
    <s v="C180331587"/>
  </r>
  <r>
    <n v="499"/>
    <x v="0"/>
    <x v="0"/>
    <n v="109730"/>
    <s v="博星名义下单"/>
    <x v="3"/>
    <s v="L-&gt;R"/>
    <s v="No"/>
    <s v="Y49698"/>
    <n v="1"/>
    <s v="盐保仓库"/>
    <x v="53"/>
    <s v="No mismatch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02"/>
    <x v="0"/>
    <x v="0"/>
    <n v="109730"/>
    <s v="博星名义下单"/>
    <x v="3"/>
    <s v="L-&gt;R"/>
    <s v="No"/>
    <s v="Y49699"/>
    <n v="1"/>
    <s v="盐保仓库"/>
    <x v="53"/>
    <s v="No mismatch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52"/>
    <x v="0"/>
    <x v="0"/>
    <n v="109723"/>
    <s v="博星名义下单"/>
    <x v="1"/>
    <s v="R-&gt;L"/>
    <s v="No"/>
    <s v="Y49758"/>
    <n v="1"/>
    <s v="力合仓库(已经清关)"/>
    <x v="54"/>
    <n v="6.54E-2"/>
    <s v="DEC 19"/>
    <d v="1905-07-11T02:52:48"/>
    <s v="RMB"/>
    <s v="C49SZX20190189DY"/>
    <s v="杰森泰"/>
    <s v="YSM10"/>
    <s v="L-&gt;R"/>
    <s v="MVC"/>
    <s v="WRONG"/>
    <s v="含税到厂"/>
    <d v="2019-12-20T00:00:00"/>
    <s v="Yes"/>
    <m/>
    <m/>
    <m/>
    <s v="C191236410"/>
  </r>
  <r>
    <n v="565"/>
    <x v="0"/>
    <x v="0"/>
    <n v="109723"/>
    <s v="博星名义下单"/>
    <x v="1"/>
    <s v="R-&gt;L"/>
    <s v="No"/>
    <s v="Y49759"/>
    <n v="1"/>
    <s v="力合仓库(已经清关)"/>
    <x v="54"/>
    <s v="0.0654(价格用PO#109759)"/>
    <s v="JAN 20"/>
    <d v="1905-07-11T02:52:48"/>
    <s v="JPY"/>
    <s v="C49SZX20200001SX"/>
    <s v="柏星"/>
    <s v="YSM10"/>
    <s v="R-&gt;L"/>
    <s v="MVC"/>
    <s v="WRONG"/>
    <s v="DAP DG"/>
    <d v="2020-01-01T00:00:00"/>
    <s v="Yes"/>
    <s v="Na"/>
    <s v="Na"/>
    <m/>
    <s v="C181233636"/>
  </r>
  <r>
    <n v="588"/>
    <x v="0"/>
    <x v="0"/>
    <n v="109723"/>
    <s v="博星名义下单"/>
    <x v="1"/>
    <s v="R-&gt;L"/>
    <s v="ATS15"/>
    <s v="Y49761"/>
    <n v="1"/>
    <s v="力合仓库(已经清关)"/>
    <x v="54"/>
    <n v="6.54E-2"/>
    <s v="MAR 20"/>
    <d v="1905-07-11T02:52:48"/>
    <s v="RMB"/>
    <s v="C49SZX20200022SX"/>
    <s v="柏星"/>
    <s v="YSM10"/>
    <s v="L-&gt;R"/>
    <s v="MVC"/>
    <s v="WRONG"/>
    <s v="含税到厂"/>
    <d v="2020-03-11T00:00:00"/>
    <s v="Yes"/>
    <s v="Na"/>
    <m/>
    <m/>
    <s v="C181233636"/>
  </r>
  <r>
    <n v="474"/>
    <x v="0"/>
    <x v="0"/>
    <n v="109723"/>
    <s v="博星名义下单"/>
    <x v="1"/>
    <s v="R-&gt;L"/>
    <s v="ATS15"/>
    <s v="Y49760"/>
    <n v="1"/>
    <s v="锘铧清关，送宽宏"/>
    <x v="54"/>
    <n v="6.54E-2"/>
    <s v="DEC 19"/>
    <d v="1905-07-11T02:52:48"/>
    <s v="JPY"/>
    <s v="C49SZX20190156-1ZX"/>
    <s v="锘铧"/>
    <s v="YSM10"/>
    <s v="L-&gt;R"/>
    <s v="MVC+ATS15"/>
    <s v="WRONG"/>
    <s v="DAP GZ"/>
    <d v="2019-11-05T00:00:00"/>
    <s v="Yes"/>
    <m/>
    <m/>
    <m/>
    <s v="C190636944.实际送货给宽宏客户"/>
  </r>
  <r>
    <n v="579"/>
    <x v="0"/>
    <x v="0"/>
    <n v="109750"/>
    <s v="锘铧名义下单"/>
    <x v="3"/>
    <s v="L-&gt;R"/>
    <s v="No"/>
    <s v="Y49849"/>
    <n v="1"/>
    <s v="力合仓库(已经清关)"/>
    <x v="55"/>
    <s v="NM(CR:0.0655）价格用PO#109774"/>
    <s v="MAR 20"/>
    <n v="2019.12"/>
    <s v="JPY"/>
    <s v="C49SZX20200015JL"/>
    <s v="鹏鑫达/欧科讯"/>
    <s v="YSM20R(SV)-2"/>
    <s v="L-&gt;R"/>
    <s v="No"/>
    <s v="OK"/>
    <s v="CIF HK"/>
    <d v="2020-01-14T00:00:00"/>
    <s v="Yes"/>
    <m/>
    <m/>
    <m/>
    <s v="C200336922"/>
  </r>
  <r>
    <n v="593"/>
    <x v="0"/>
    <x v="0"/>
    <n v="109749"/>
    <s v="锘铧名义下单"/>
    <x v="3"/>
    <s v="R-&gt;L"/>
    <s v="No"/>
    <s v="Y49839"/>
    <n v="1"/>
    <s v="力合仓库(已经清关)"/>
    <x v="55"/>
    <n v="6.54E-2"/>
    <s v="MAR 20"/>
    <n v="2019.12"/>
    <s v="RMB"/>
    <s v="C49SZX20200019SX"/>
    <s v="华汛"/>
    <s v="YSM20R(SV)-2"/>
    <s v="R-&gt;L"/>
    <s v="No"/>
    <s v="OK"/>
    <s v="含税到厂"/>
    <d v="2020-03-11T00:00:00"/>
    <s v="Yes"/>
    <m/>
    <m/>
    <m/>
    <s v="C180933040"/>
  </r>
  <r>
    <n v="580"/>
    <x v="0"/>
    <x v="0"/>
    <n v="109759"/>
    <s v="灿明名义下单"/>
    <x v="1"/>
    <s v="R-&gt;L"/>
    <s v="No"/>
    <s v="Y49990"/>
    <n v="1"/>
    <s v="力合仓库(已经清关)"/>
    <x v="55"/>
    <s v="NM(CR:0.0658）价格用PO#109820"/>
    <s v="MAR 20"/>
    <d v="1905-07-11T02:52:48"/>
    <s v="JPY"/>
    <s v="C49SZX20200015JL"/>
    <s v="鹏鑫达/欧科讯"/>
    <s v="YSM10"/>
    <s v="L-&gt;R"/>
    <s v="No"/>
    <s v="WRONG"/>
    <s v="CIF HK"/>
    <d v="2020-01-14T00:00:00"/>
    <s v="Yes"/>
    <m/>
    <m/>
    <m/>
    <s v="C200336922"/>
  </r>
  <r>
    <n v="470"/>
    <x v="0"/>
    <x v="0"/>
    <n v="109749"/>
    <s v="锘铧名义下单"/>
    <x v="3"/>
    <s v="R-&gt;L"/>
    <s v="No"/>
    <s v="Y49842"/>
    <n v="1"/>
    <s v="力合仓库(已经清关)"/>
    <x v="55"/>
    <n v="6.54E-2"/>
    <s v="APR 20"/>
    <n v="2019.12"/>
    <s v="RMB"/>
    <s v="C49SZX20190116CX"/>
    <s v="豪恩"/>
    <s v="YSM20R(SV)-2"/>
    <s v="R-&gt;L"/>
    <s v="No"/>
    <s v="OK"/>
    <s v="含税到厂"/>
    <d v="2019-10-22T00:00:00"/>
    <s v="Yes"/>
    <m/>
    <m/>
    <m/>
    <s v="C191136156"/>
  </r>
  <r>
    <n v="572"/>
    <x v="0"/>
    <x v="0"/>
    <n v="109750"/>
    <s v="锘铧名义下单"/>
    <x v="3"/>
    <s v="R-&gt;L"/>
    <s v="No"/>
    <s v="Y49848"/>
    <n v="1"/>
    <s v="力合仓库有货，系统没货"/>
    <x v="55"/>
    <s v="   NM(CR:0.0657)价格用PO#109750  "/>
    <s v="FEB 20"/>
    <n v="2019.12"/>
    <s v="JPY"/>
    <s v="C49SZX20200008MX"/>
    <s v="长源兴/end user美联辉"/>
    <s v="YSM20R(SV)-2"/>
    <s v="R-&gt;L"/>
    <s v="No"/>
    <s v="OK"/>
    <s v="CIF HK"/>
    <d v="2020-01-07T00:00:00"/>
    <s v="Yes"/>
    <m/>
    <m/>
    <m/>
    <s v="C161128121"/>
  </r>
  <r>
    <n v="632"/>
    <x v="0"/>
    <x v="0"/>
    <n v="109750"/>
    <s v="锘铧名义下单"/>
    <x v="1"/>
    <s v="R-&gt;L"/>
    <s v="ATS15"/>
    <s v="Y49858"/>
    <n v="1"/>
    <s v="力合仓库(已经清关)"/>
    <x v="55"/>
    <s v="NM(CR:0.0657）"/>
    <s v="MAY 20"/>
    <d v="1905-07-11T02:52:48"/>
    <s v="RMB"/>
    <s v="C49SZX20200055SX"/>
    <s v="永顺创"/>
    <s v="YSM10"/>
    <s v="L-&gt;R"/>
    <s v="MVC+ATS15"/>
    <s v="WRONG"/>
    <s v="含税到厂"/>
    <d v="2020-04-20T00:00:00"/>
    <s v="Yes"/>
    <m/>
    <m/>
    <m/>
    <s v="C180532243"/>
  </r>
  <r>
    <n v="627"/>
    <x v="0"/>
    <x v="0"/>
    <n v="109750"/>
    <s v="锘铧名义下单"/>
    <x v="1"/>
    <s v="R-&gt;L"/>
    <s v="ATS15"/>
    <s v="Y49859"/>
    <n v="1"/>
    <s v="华日仓库中转"/>
    <x v="55"/>
    <s v="NM(CR:0.0657）"/>
    <s v="MAY 20"/>
    <d v="1905-07-11T02:52:48"/>
    <s v="RMB"/>
    <s v="C49SZX20200051SX"/>
    <s v="中科阿尔法"/>
    <s v="YSM10"/>
    <s v="L-&gt;R"/>
    <s v="MVC+ATS15"/>
    <s v="WRONG"/>
    <s v="含税到厂"/>
    <d v="2020-04-17T00:00:00"/>
    <s v="Yes"/>
    <m/>
    <m/>
    <m/>
    <s v="C200437240"/>
  </r>
  <r>
    <n v="660"/>
    <x v="0"/>
    <x v="0"/>
    <n v="109750"/>
    <s v="锘铧名义下单"/>
    <x v="1"/>
    <s v="R-&gt;L"/>
    <s v="ATS15"/>
    <s v="Y49860"/>
    <n v="1"/>
    <s v="华日仓库中转"/>
    <x v="55"/>
    <s v="NM(CR:0.0657）"/>
    <s v="JUL 20"/>
    <d v="1905-07-11T02:52:48"/>
    <s v="RMB"/>
    <s v="C49SZX20200062SS"/>
    <s v="康腾"/>
    <s v="YSM10"/>
    <s v="R-&gt;L"/>
    <s v="MVC+ATS15"/>
    <s v="WRONG"/>
    <s v="含税到厂"/>
    <d v="2020-06-09T00:00:00"/>
    <s v="Yes"/>
    <m/>
    <m/>
    <m/>
    <s v="C180832783"/>
  </r>
  <r>
    <n v="521"/>
    <x v="0"/>
    <x v="0"/>
    <n v="109750"/>
    <s v="锘铧名义下单"/>
    <x v="3"/>
    <s v="L-&gt;R"/>
    <s v="No"/>
    <s v="Y49850"/>
    <n v="1"/>
    <s v="盐保仓库"/>
    <x v="55"/>
    <s v="NM(CR:0.0657）"/>
    <s v="JAN 20"/>
    <n v="2019.12"/>
    <s v="JPY"/>
    <s v="C49SZX20190167SS"/>
    <s v="宏威创"/>
    <s v="YSM20R(SV)-2"/>
    <s v="L-&gt;R"/>
    <s v="No"/>
    <s v="OK"/>
    <s v="DAP SZ"/>
    <d v="2019-11-29T00:00:00"/>
    <s v="Yes"/>
    <m/>
    <m/>
    <m/>
    <s v="C191236378"/>
  </r>
  <r>
    <n v="522"/>
    <x v="0"/>
    <x v="0"/>
    <n v="109750"/>
    <s v="锘铧名义下单"/>
    <x v="3"/>
    <s v="L-&gt;R"/>
    <s v="No"/>
    <s v="Y49851"/>
    <n v="1"/>
    <s v="盐保仓库"/>
    <x v="55"/>
    <s v="NM(CR:0.0657）"/>
    <s v="JAN 20"/>
    <n v="2019.12"/>
    <s v="JPY"/>
    <s v="C49SZX20190167SS"/>
    <s v="宏威创"/>
    <s v="YSM20R(SV)-2"/>
    <s v="L-&gt;R"/>
    <s v="No"/>
    <s v="OK"/>
    <s v="DAP SZ"/>
    <d v="2019-11-29T00:00:00"/>
    <s v="Yes"/>
    <m/>
    <m/>
    <m/>
    <s v="C191236378"/>
  </r>
  <r>
    <n v="586"/>
    <x v="0"/>
    <x v="0"/>
    <n v="109750"/>
    <s v="锘铧名义下单"/>
    <x v="3"/>
    <s v="L-&gt;R"/>
    <s v="No"/>
    <s v="Y49852"/>
    <n v="1"/>
    <s v="盐保仓库"/>
    <x v="55"/>
    <s v="NM(CR:0.0657）"/>
    <s v="MAR 20"/>
    <n v="2019.12"/>
    <s v="JPY"/>
    <s v="C49SZX20200021SS"/>
    <s v="格瑞智达/END USER 智宏创"/>
    <s v="YSM20R(SV)-2"/>
    <s v="L-&gt;R"/>
    <s v="No"/>
    <s v="OK"/>
    <s v="DAP SZ"/>
    <d v="2020-03-02T00:00:00"/>
    <s v="Yes"/>
    <m/>
    <m/>
    <m/>
    <s v="C200336874"/>
  </r>
  <r>
    <n v="540"/>
    <x v="0"/>
    <x v="0"/>
    <n v="109750"/>
    <s v="锘铧名义下单"/>
    <x v="1"/>
    <s v="R-&gt;L"/>
    <s v="ATS15"/>
    <s v="Y49856"/>
    <n v="1"/>
    <s v="盐保仓库"/>
    <x v="55"/>
    <s v="NM（价格用PO#109783)"/>
    <s v="FEB 20"/>
    <d v="1905-07-11T02:52:48"/>
    <s v="JPY"/>
    <s v="C49SZX20190141SS"/>
    <s v="博睿通"/>
    <s v="YSM10"/>
    <s v="L-&gt;R"/>
    <s v="MVC+ATS15"/>
    <s v="WRONG"/>
    <s v="CIF HK"/>
    <d v="2019-12-11T00:00:00"/>
    <s v="Yes"/>
    <m/>
    <m/>
    <m/>
    <s v="C191236445"/>
  </r>
  <r>
    <n v="595"/>
    <x v="0"/>
    <x v="0"/>
    <n v="109750"/>
    <s v="锘铧名义下单"/>
    <x v="1"/>
    <s v="R-&gt;L"/>
    <s v="ATS15"/>
    <s v="Y49857"/>
    <n v="1"/>
    <s v="盐保仓库"/>
    <x v="55"/>
    <s v="NM(CR:0.0657）"/>
    <s v="APR 20"/>
    <d v="1905-07-11T02:52:48"/>
    <s v="RMB"/>
    <s v="C49SZX20200027JY"/>
    <s v="络鑫"/>
    <s v="YSM10"/>
    <s v="L-&gt;R"/>
    <s v="MVC+ATS15"/>
    <s v="WRONG"/>
    <s v="DAP DG"/>
    <d v="2020-03-16T00:00:00"/>
    <s v="Yes"/>
    <m/>
    <m/>
    <m/>
    <s v="C190434453"/>
  </r>
  <r>
    <n v="528"/>
    <x v="0"/>
    <x v="0"/>
    <n v="109749"/>
    <s v="锘铧名义下单"/>
    <x v="3"/>
    <s v="R-&gt;L"/>
    <s v="No"/>
    <s v="Y49837"/>
    <n v="1"/>
    <s v="盐保仓库"/>
    <x v="55"/>
    <n v="6.54E-2"/>
    <s v="MAR 20"/>
    <n v="2019.12"/>
    <s v="JPY"/>
    <s v="C49SZX20190160R1ZX"/>
    <s v="新明海"/>
    <s v="YSM20R(SV)-2"/>
    <s v="R-&gt;L"/>
    <s v="MVC"/>
    <s v="WRONG"/>
    <s v="DAP HZ"/>
    <d v="2019-12-02T00:00:00"/>
    <s v="Yes"/>
    <m/>
    <m/>
    <m/>
    <s v="C180933045"/>
  </r>
  <r>
    <n v="516"/>
    <x v="0"/>
    <x v="0"/>
    <n v="109749"/>
    <s v="锘铧名义下单"/>
    <x v="3"/>
    <s v="R-&gt;L"/>
    <s v="No"/>
    <s v="Y49838"/>
    <n v="1"/>
    <s v="盐保仓库"/>
    <x v="55"/>
    <n v="6.54E-2"/>
    <s v="JAN 20"/>
    <n v="2019.12"/>
    <s v="JPY"/>
    <s v="C49SZX20190169MZ"/>
    <s v="创伟峰"/>
    <s v="YSM20R(SV)-2"/>
    <s v="R-&gt;L"/>
    <s v="No"/>
    <s v="OK"/>
    <s v="CIF HK"/>
    <d v="2019-11-21T00:00:00"/>
    <s v="Yes"/>
    <m/>
    <m/>
    <m/>
    <s v="C191236282"/>
  </r>
  <r>
    <n v="475"/>
    <x v="0"/>
    <x v="0"/>
    <n v="109749"/>
    <s v="锘铧名义下单"/>
    <x v="1"/>
    <s v="R-&gt;L"/>
    <s v="ATS15"/>
    <s v="Y49853"/>
    <n v="1"/>
    <s v="盐保仓库"/>
    <x v="55"/>
    <s v="NM(CR:0.0657）（价格用PO#109750)"/>
    <s v="FEB 20"/>
    <d v="1905-07-11T02:52:48"/>
    <s v="JPY"/>
    <s v="C49SZX20190156-2ZX"/>
    <s v="锘铧"/>
    <s v="YSM10"/>
    <s v="R-&gt;L"/>
    <s v="MVC+ATS15"/>
    <s v="WRONG"/>
    <s v="DAP GZ"/>
    <d v="2019-11-05T00:00:00"/>
    <s v="Yes"/>
    <m/>
    <m/>
    <m/>
    <s v="IND order "/>
  </r>
  <r>
    <n v="538"/>
    <x v="0"/>
    <x v="0"/>
    <n v="109749"/>
    <s v="锘铧名义下单"/>
    <x v="1"/>
    <s v="R-&gt;L"/>
    <s v="ATS15"/>
    <s v="Y49854"/>
    <n v="1"/>
    <s v="盐保仓库"/>
    <x v="55"/>
    <s v="NM（价格用PO#109783)"/>
    <s v="FEB 20"/>
    <d v="1905-07-11T02:52:48"/>
    <s v="JPY"/>
    <s v="C49SZX20190141SS"/>
    <s v="博睿通"/>
    <s v="YSM10"/>
    <s v="L-&gt;R"/>
    <s v="MVC+ATS15"/>
    <s v="WRONG"/>
    <s v="CIF HK"/>
    <d v="2019-12-11T00:00:00"/>
    <s v="Yes"/>
    <m/>
    <m/>
    <m/>
    <s v="C191236445"/>
  </r>
  <r>
    <n v="539"/>
    <x v="0"/>
    <x v="0"/>
    <n v="109749"/>
    <s v="锘铧名义下单"/>
    <x v="1"/>
    <s v="R-&gt;L"/>
    <s v="ATS15"/>
    <s v="Y49855"/>
    <n v="1"/>
    <s v="盐保仓库"/>
    <x v="55"/>
    <s v="NM（价格用PO#109783)"/>
    <s v="FEB 20"/>
    <d v="1905-07-11T02:52:48"/>
    <s v="JPY"/>
    <s v="C49SZX20190141SS"/>
    <s v="博睿通"/>
    <s v="YSM10"/>
    <s v="L-&gt;R"/>
    <s v="MVC+ATS15"/>
    <s v="WRONG"/>
    <s v="CIF HK"/>
    <d v="2019-12-11T00:00:00"/>
    <s v="Yes"/>
    <m/>
    <m/>
    <m/>
    <s v="C191236445"/>
  </r>
  <r>
    <n v="546"/>
    <x v="0"/>
    <x v="0"/>
    <n v="109750"/>
    <s v="锘铧名义下单"/>
    <x v="3"/>
    <s v="L-&gt;R"/>
    <s v="No"/>
    <s v="Y49843"/>
    <n v="1"/>
    <s v="盐保仓库"/>
    <x v="55"/>
    <s v="NM(CR:0.0657）"/>
    <s v="JAN 20"/>
    <n v="2019.12"/>
    <s v="JPY"/>
    <s v="C49SZX20190182JL"/>
    <s v="志恒兴盛"/>
    <s v="YSM20R(SV)-2"/>
    <s v="L-&gt;R"/>
    <s v="No"/>
    <s v="OK"/>
    <s v="CIF HK"/>
    <d v="2020-01-06T00:00:00"/>
    <s v="Yes"/>
    <m/>
    <m/>
    <m/>
    <s v="C191236443"/>
  </r>
  <r>
    <n v="547"/>
    <x v="0"/>
    <x v="0"/>
    <n v="109750"/>
    <s v="锘铧名义下单"/>
    <x v="3"/>
    <s v="L-&gt;R"/>
    <s v="No"/>
    <s v="Y49844"/>
    <n v="1"/>
    <s v="盐保仓库"/>
    <x v="55"/>
    <s v="NM(CR:0.0657）"/>
    <s v="JAN 20"/>
    <n v="2019.12"/>
    <s v="JPY"/>
    <s v="C49SZX20190182JL"/>
    <s v="志恒兴盛"/>
    <s v="YSM20R(SV)-2"/>
    <s v="L-&gt;R"/>
    <s v="No"/>
    <s v="OK"/>
    <s v="CIF HK"/>
    <d v="2020-01-06T00:00:00"/>
    <s v="Yes"/>
    <m/>
    <m/>
    <m/>
    <s v="C191236443"/>
  </r>
  <r>
    <n v="545"/>
    <x v="0"/>
    <x v="0"/>
    <n v="109750"/>
    <s v="锘铧名义下单"/>
    <x v="3"/>
    <s v="R-&gt;L"/>
    <s v="No"/>
    <s v="Y49845"/>
    <n v="1"/>
    <s v="盐保仓库"/>
    <x v="55"/>
    <s v="NM(CR:0.0657）"/>
    <s v="JAN 20"/>
    <n v="2019.12"/>
    <s v="JPY"/>
    <s v="C49SZX20190182JL"/>
    <s v="志恒兴盛"/>
    <s v="YSM20R(SV)-2"/>
    <s v="R-&gt;L"/>
    <s v="No"/>
    <s v="OK"/>
    <s v="CIF HK"/>
    <d v="2020-01-06T00:00:00"/>
    <s v="Yes"/>
    <m/>
    <m/>
    <m/>
    <s v="C191236443"/>
  </r>
  <r>
    <n v="478"/>
    <x v="0"/>
    <x v="0"/>
    <n v="109750"/>
    <s v="锘铧名义下单"/>
    <x v="3"/>
    <s v="R-&gt;L"/>
    <s v="No"/>
    <s v="Y49846"/>
    <n v="1"/>
    <s v="盐保仓库"/>
    <x v="55"/>
    <s v="NM(CR:0.0657）"/>
    <s v="FEB 20"/>
    <n v="2019.12"/>
    <s v="JPY"/>
    <s v="C49SZX20190156-2ZX"/>
    <s v="锘铧"/>
    <s v="YSM20R(SV)-2"/>
    <s v="R-&gt;L"/>
    <s v="No"/>
    <s v="OK"/>
    <s v="DAP GZ"/>
    <d v="2019-11-05T00:00:00"/>
    <s v="Yes"/>
    <m/>
    <m/>
    <m/>
    <s v="IND order "/>
  </r>
  <r>
    <n v="479"/>
    <x v="0"/>
    <x v="0"/>
    <n v="109750"/>
    <s v="锘铧名义下单"/>
    <x v="3"/>
    <s v="R-&gt;L"/>
    <s v="No"/>
    <s v="Y49847"/>
    <n v="1"/>
    <s v="盐保仓库"/>
    <x v="55"/>
    <s v="NM(CR:0.0657）"/>
    <s v="FEB 20"/>
    <n v="2019.12"/>
    <s v="JPY"/>
    <s v="C49SZX20190156-2ZX"/>
    <s v="锘铧"/>
    <s v="YSM20R(SV)-2"/>
    <s v="R-&gt;L"/>
    <s v="No"/>
    <s v="OK"/>
    <s v="DAP GZ"/>
    <d v="2019-11-05T00:00:00"/>
    <s v="Yes"/>
    <m/>
    <m/>
    <m/>
    <s v="IND order "/>
  </r>
  <r>
    <n v="548"/>
    <x v="0"/>
    <x v="0"/>
    <n v="109759"/>
    <s v="灿明名义下单"/>
    <x v="1"/>
    <s v="R-&gt;L"/>
    <s v="No"/>
    <s v="Y49987"/>
    <n v="1"/>
    <s v="盐保仓库"/>
    <x v="55"/>
    <n v="6.54E-2"/>
    <s v="JAN 20"/>
    <d v="1905-07-11T02:52:48"/>
    <s v="JPY"/>
    <s v="C49SZX20190182JL"/>
    <s v="志恒兴盛"/>
    <s v="YSM10"/>
    <s v="L-&gt;R"/>
    <s v="MVC"/>
    <s v="WRONG"/>
    <s v="CIF HK"/>
    <d v="2020-01-06T00:00:00"/>
    <s v="Yes"/>
    <m/>
    <m/>
    <m/>
    <s v="C191236443"/>
  </r>
  <r>
    <n v="560"/>
    <x v="0"/>
    <x v="0"/>
    <n v="109759"/>
    <s v="灿明名义下单"/>
    <x v="1"/>
    <s v="R-&gt;L"/>
    <s v="No"/>
    <s v="Y49988"/>
    <n v="1"/>
    <s v="盐保仓库"/>
    <x v="55"/>
    <n v="6.54E-2"/>
    <s v="JAN 20"/>
    <d v="1905-07-11T02:52:48"/>
    <s v="RMB"/>
    <s v="C49SZX20190033SX"/>
    <s v="裕达盛"/>
    <s v="YSM10"/>
    <s v="R-&gt;L"/>
    <s v="No"/>
    <s v="OK"/>
    <s v="含税到厂"/>
    <d v="2019-12-23T00:00:00"/>
    <s v="Yes"/>
    <m/>
    <m/>
    <m/>
    <s v="C190835365"/>
  </r>
  <r>
    <n v="562"/>
    <x v="0"/>
    <x v="0"/>
    <n v="109759"/>
    <s v="灿明名义下单"/>
    <x v="1"/>
    <s v="R-&gt;L"/>
    <s v="No"/>
    <s v="Y49989"/>
    <n v="1"/>
    <s v="盐保仓库"/>
    <x v="55"/>
    <n v="6.54E-2"/>
    <s v="JAN 20"/>
    <d v="1905-07-11T02:52:48"/>
    <s v="JPY"/>
    <s v="C49SZX20190192MZ"/>
    <s v="鸿南电子"/>
    <s v="YSM10"/>
    <s v="R-&gt;L"/>
    <s v="MVC"/>
    <s v="WRONG"/>
    <s v="CIF HK"/>
    <d v="2019-12-24T00:00:00"/>
    <s v="Yes"/>
    <m/>
    <m/>
    <m/>
    <s v="C180331587"/>
  </r>
  <r>
    <n v="541"/>
    <x v="0"/>
    <x v="0"/>
    <n v="109759"/>
    <s v="灿明名义下单"/>
    <x v="1"/>
    <s v="R-&gt;L"/>
    <s v="No"/>
    <s v="Y49991"/>
    <n v="1"/>
    <s v="盐保仓库"/>
    <x v="55"/>
    <s v="NM（价格用PO#109783)"/>
    <s v="FEB 20"/>
    <d v="1905-07-11T02:52:48"/>
    <s v="JPY"/>
    <s v="C49SZX20190141SS"/>
    <s v="博睿通"/>
    <s v="YSM10"/>
    <s v="L-&gt;R"/>
    <s v="MVC"/>
    <s v="WRONG"/>
    <s v="CIF HK"/>
    <d v="2019-12-11T00:00:00"/>
    <s v="Yes"/>
    <m/>
    <m/>
    <m/>
    <s v="C191236445"/>
  </r>
  <r>
    <n v="607"/>
    <x v="0"/>
    <x v="0"/>
    <n v="109749"/>
    <s v="锘铧名义下单"/>
    <x v="3"/>
    <s v="R-&gt;L"/>
    <s v="No"/>
    <s v="Y49840"/>
    <n v="1"/>
    <s v="盐保仓库"/>
    <x v="55"/>
    <n v="6.54E-2"/>
    <s v="APR 20"/>
    <n v="2019.12"/>
    <s v="JPY"/>
    <s v="C49SZX20200040MZ"/>
    <s v="崧盛"/>
    <s v="YSM20R(SV)-2"/>
    <s v="R-&gt;L"/>
    <s v="No"/>
    <s v="OK"/>
    <s v="CIF HK"/>
    <d v="2020-03-28T00:00:00"/>
    <s v="Yes"/>
    <m/>
    <m/>
    <m/>
    <s v="C190635053"/>
  </r>
  <r>
    <n v="613"/>
    <x v="0"/>
    <x v="0"/>
    <n v="109749"/>
    <s v="锘铧名义下单"/>
    <x v="3"/>
    <s v="R-&gt;L"/>
    <s v="No"/>
    <s v="Y49841"/>
    <n v="1"/>
    <s v="盐保仓库"/>
    <x v="55"/>
    <n v="6.54E-2"/>
    <s v="APR 20"/>
    <n v="2019.12"/>
    <s v="RMB"/>
    <s v="C49SZX20200041JY"/>
    <s v="晟锦威"/>
    <s v="YSM20R(SV)-2"/>
    <s v="R-&gt;L"/>
    <s v="No"/>
    <s v="OK"/>
    <s v="含税到厂"/>
    <d v="2020-04-02T00:00:00"/>
    <s v="Yes"/>
    <m/>
    <m/>
    <m/>
    <s v="C200437154"/>
  </r>
  <r>
    <n v="542"/>
    <x v="0"/>
    <x v="0"/>
    <n v="109762"/>
    <s v="灿明名义下单"/>
    <x v="1"/>
    <s v="R-&gt;L"/>
    <s v="No"/>
    <s v="Y49992"/>
    <n v="1"/>
    <s v="盐保仓库"/>
    <x v="56"/>
    <s v="NM（价格用PO#109783)"/>
    <s v="FEB 20"/>
    <d v="1905-07-12T00:14:24"/>
    <s v="JPY"/>
    <s v="C49SZX20190141SS"/>
    <s v="博睿通"/>
    <s v="YSM10"/>
    <s v="L-&gt;R"/>
    <s v="MVC"/>
    <s v="WRONG"/>
    <s v="CIF HK"/>
    <d v="2019-12-11T00:00:00"/>
    <s v="Yes"/>
    <m/>
    <m/>
    <m/>
    <s v="C191236445"/>
  </r>
  <r>
    <n v="587"/>
    <x v="0"/>
    <x v="0"/>
    <n v="109762"/>
    <s v="灿明名义下单"/>
    <x v="1"/>
    <s v="R-&gt;L"/>
    <s v="No"/>
    <s v="Y49993"/>
    <n v="1"/>
    <s v="盐保仓库"/>
    <x v="56"/>
    <n v="6.54E-2"/>
    <s v="MAR 20"/>
    <d v="1905-07-12T00:14:24"/>
    <s v="JPY"/>
    <s v="C49SZX20200020SS"/>
    <s v="正创"/>
    <s v="YSM10"/>
    <s v="L-&gt;R"/>
    <s v="MVC"/>
    <s v="WRONG"/>
    <s v="DAP SZ"/>
    <d v="2020-03-06T00:00:00"/>
    <s v="Yes"/>
    <m/>
    <m/>
    <m/>
    <s v="C190935522"/>
  </r>
  <r>
    <n v="581"/>
    <x v="0"/>
    <x v="0"/>
    <n v="109762"/>
    <s v="灿明名义下单"/>
    <x v="1"/>
    <s v="R-&gt;L"/>
    <s v="No"/>
    <s v="Y49994"/>
    <n v="1"/>
    <s v="盐保仓库"/>
    <x v="56"/>
    <n v="6.54E-2"/>
    <s v="MAR 20"/>
    <d v="1905-07-12T00:14:24"/>
    <s v="JPY"/>
    <s v="C49SZX20200016SX"/>
    <s v="赛美达"/>
    <s v="YSM10"/>
    <s v="L-&gt;R"/>
    <s v="No"/>
    <s v="WRONG"/>
    <s v="DAP SZ"/>
    <d v="2020-01-15T00:00:00"/>
    <s v="Yes"/>
    <m/>
    <m/>
    <m/>
    <s v="C200235776"/>
  </r>
  <r>
    <n v="573"/>
    <x v="0"/>
    <x v="0"/>
    <n v="109762"/>
    <s v="灿明名义下单"/>
    <x v="1"/>
    <s v="R-&gt;L"/>
    <s v="No"/>
    <s v="Y49995"/>
    <n v="1"/>
    <s v="盐保仓库"/>
    <x v="56"/>
    <n v="6.54E-2"/>
    <s v="FEB 20"/>
    <d v="1905-07-12T00:14:24"/>
    <s v="JPY"/>
    <s v="C49SZX20200008MX"/>
    <s v="长源兴/end user美联辉"/>
    <s v="YSM10"/>
    <s v="R-&gt;L"/>
    <s v="MVC"/>
    <s v="WRONG"/>
    <s v="CIF HK"/>
    <d v="2020-01-07T00:00:00"/>
    <s v="Yes"/>
    <m/>
    <m/>
    <m/>
    <s v="C191136234"/>
  </r>
  <r>
    <n v="576"/>
    <x v="0"/>
    <x v="0"/>
    <n v="109774"/>
    <s v="Special package"/>
    <x v="3"/>
    <s v="L-&gt;R"/>
    <s v="No"/>
    <s v="Y50067"/>
    <n v="1"/>
    <s v="力合仓库(已经清关)"/>
    <x v="57"/>
    <s v="NM   (CR :0.0662) 价格用PO#109705"/>
    <s v="MAR 20"/>
    <n v="2020.01"/>
    <s v="RMB"/>
    <s v="C49SZX20200010DZ"/>
    <s v="赛维显示"/>
    <s v="YSM20R(SV)-2"/>
    <s v="L-&gt;R"/>
    <s v="No"/>
    <s v="OK"/>
    <s v="含税到厂"/>
    <d v="2020-01-09T00:00:00"/>
    <s v="Yes"/>
    <m/>
    <m/>
    <m/>
    <s v="C200136594"/>
  </r>
  <r>
    <n v="575"/>
    <x v="0"/>
    <x v="0"/>
    <n v="109775"/>
    <s v="Special package"/>
    <x v="3"/>
    <s v="L-&gt;R"/>
    <s v="No"/>
    <s v="Y50068"/>
    <n v="1"/>
    <s v="力合仓库(已经清关)"/>
    <x v="57"/>
    <n v="6.4600000000000005E-2"/>
    <s v="MAR 20"/>
    <n v="2020.01"/>
    <s v="RMB"/>
    <s v="C49SZX20200010DZ"/>
    <s v="赛维显示"/>
    <s v="YSM20R(SV)-2"/>
    <s v="L-&gt;R"/>
    <s v="No"/>
    <s v="OK"/>
    <s v="含税到厂"/>
    <d v="2020-01-09T00:00:00"/>
    <s v="Yes"/>
    <m/>
    <m/>
    <m/>
    <s v="C200136594"/>
  </r>
  <r>
    <n v="551"/>
    <x v="0"/>
    <x v="0"/>
    <n v="109774"/>
    <s v="Special package"/>
    <x v="1"/>
    <s v="R-&gt;L"/>
    <s v="No"/>
    <s v="Y50211"/>
    <n v="1"/>
    <s v="盐保仓库"/>
    <x v="57"/>
    <s v="NM(CR:0.0655）"/>
    <s v="FEB 20"/>
    <d v="1905-07-12T00:14:24"/>
    <s v="JPY"/>
    <s v="FS20191216"/>
    <s v="光世代"/>
    <s v="YSM10"/>
    <s v="R-&gt;L"/>
    <s v="MVC"/>
    <s v="WRONG"/>
    <s v="CIF HK"/>
    <d v="2019-12-16T00:00:00"/>
    <s v="Yes"/>
    <m/>
    <m/>
    <m/>
    <s v="C190835342"/>
  </r>
  <r>
    <n v="582"/>
    <x v="0"/>
    <x v="0"/>
    <n v="109774"/>
    <s v="Special package"/>
    <x v="1"/>
    <s v="R-&gt;L"/>
    <s v="No"/>
    <s v="Y50212"/>
    <n v="1"/>
    <s v="盐保仓库"/>
    <x v="57"/>
    <s v="NM(CR:0.0655）"/>
    <s v="MAR 20"/>
    <d v="1905-07-12T00:14:24"/>
    <s v="JPY"/>
    <s v="C49SZX20200016SX"/>
    <s v="赛美达"/>
    <s v="YSM10"/>
    <s v="R-&gt;L"/>
    <s v="No"/>
    <s v="OK"/>
    <s v="DAP SZ"/>
    <d v="2020-01-15T00:00:00"/>
    <s v="Yes"/>
    <m/>
    <m/>
    <m/>
    <s v="C200235776"/>
  </r>
  <r>
    <n v="566"/>
    <x v="0"/>
    <x v="0"/>
    <n v="109775"/>
    <s v="Special package"/>
    <x v="3"/>
    <s v="L-&gt;R"/>
    <s v="No"/>
    <s v="Y50069"/>
    <n v="1"/>
    <s v="盐保仓库"/>
    <x v="57"/>
    <n v="6.4600000000000005E-2"/>
    <s v="MAR 20"/>
    <n v="2020.01"/>
    <s v="JPY"/>
    <s v="C49SZX20200002MZ"/>
    <s v="熙洲电子"/>
    <s v="YSM20R(SV)-2"/>
    <s v="L-&gt;R"/>
    <s v="No"/>
    <s v="OK"/>
    <s v="DAP DG"/>
    <d v="2020-01-02T00:00:00"/>
    <s v="Yes"/>
    <m/>
    <m/>
    <m/>
    <s v="C200136544"/>
  </r>
  <r>
    <n v="641"/>
    <x v="0"/>
    <x v="0"/>
    <n v="109775"/>
    <s v="Special package"/>
    <x v="3"/>
    <s v="L-&gt;R"/>
    <s v="No"/>
    <s v="Y50071"/>
    <n v="1"/>
    <s v="力合中转仓"/>
    <x v="57"/>
    <s v="NM(CR:0.0672)"/>
    <s v="MAY 20"/>
    <n v="2020.01"/>
    <s v="JPY"/>
    <s v="C49SZX20200056MZ"/>
    <s v="天星创展"/>
    <s v="YSM20R(SV)-2"/>
    <s v="L-&gt;R"/>
    <s v="No"/>
    <s v="OK"/>
    <s v="DAP SZ"/>
    <d v="2020-04-29T00:00:00"/>
    <s v="Yes"/>
    <m/>
    <m/>
    <m/>
    <s v="C170629716"/>
  </r>
  <r>
    <n v="618"/>
    <x v="0"/>
    <x v="0"/>
    <n v="109775"/>
    <s v="Special package"/>
    <x v="3"/>
    <s v="L-&gt;R"/>
    <s v="No"/>
    <s v="Y50072"/>
    <n v="1"/>
    <s v="力合仓库(已经清关)"/>
    <x v="57"/>
    <n v="6.4600000000000005E-2"/>
    <s v="APR 20"/>
    <n v="2020.01"/>
    <s v="RMB"/>
    <s v="C49SZX20200050SX"/>
    <s v="中研"/>
    <s v="YSM20R(SV)-2"/>
    <s v="L-&gt;R"/>
    <s v="No"/>
    <s v="OK"/>
    <s v="含税到厂"/>
    <d v="2020-04-17T00:00:00"/>
    <s v="Yes"/>
    <m/>
    <m/>
    <m/>
    <s v="C170930284"/>
  </r>
  <r>
    <n v="594"/>
    <x v="0"/>
    <x v="0"/>
    <n v="109775"/>
    <s v="Special package"/>
    <x v="3"/>
    <s v="L-&gt;R"/>
    <s v="No"/>
    <s v="Y50073"/>
    <n v="1"/>
    <s v="盐保仓库"/>
    <x v="57"/>
    <n v="6.4600000000000005E-2"/>
    <s v="APR 20"/>
    <n v="2020.01"/>
    <s v="RMB"/>
    <s v="C49SZX20200027JY"/>
    <s v="络鑫"/>
    <s v="YSM20R(SV)-2"/>
    <s v="L-&gt;R"/>
    <s v="No"/>
    <s v="OK"/>
    <s v="DAP DG"/>
    <d v="2020-03-16T00:00:00"/>
    <s v="Yes"/>
    <m/>
    <m/>
    <m/>
    <s v="C190434453"/>
  </r>
  <r>
    <n v="628"/>
    <x v="0"/>
    <x v="0"/>
    <n v="109775"/>
    <s v="Special package"/>
    <x v="3"/>
    <s v="L-&gt;R"/>
    <s v="No"/>
    <s v="Y50070"/>
    <n v="1"/>
    <s v="华日仓库中转"/>
    <x v="57"/>
    <n v="6.4600000000000005E-2"/>
    <s v="MAY 20"/>
    <n v="2020.01"/>
    <s v="RMB"/>
    <s v="C49SZX20200051SX"/>
    <s v="中科阿尔法"/>
    <s v="YSM20R(SV)-2"/>
    <s v="L-&gt;R"/>
    <s v="No"/>
    <s v="OK"/>
    <s v="含税到厂"/>
    <d v="2020-04-17T00:00:00"/>
    <s v="Yes"/>
    <m/>
    <m/>
    <m/>
    <s v="C200437240"/>
  </r>
  <r>
    <n v="600"/>
    <x v="0"/>
    <x v="0"/>
    <n v="109774"/>
    <s v="Special package"/>
    <x v="3"/>
    <s v="L-&gt;R"/>
    <s v="cATS10+MVC+special layout"/>
    <s v="Y50210"/>
    <n v="1"/>
    <s v="盐保仓库"/>
    <x v="57"/>
    <s v="NM(CR:0.0655）"/>
    <s v="APR 20"/>
    <n v="2020.01"/>
    <s v="JPY"/>
    <s v="C49SZX20200030SX"/>
    <s v="顺弘"/>
    <s v="YSM20R(SV)-2"/>
    <s v="L-&gt;R"/>
    <s v="cATS10+MVC+special layout"/>
    <s v="OK"/>
    <s v="DAP DG"/>
    <d v="2020-03-21T00:00:00"/>
    <s v="Yes"/>
    <m/>
    <m/>
    <m/>
    <s v="C171030531"/>
  </r>
  <r>
    <n v="533"/>
    <x v="0"/>
    <x v="0"/>
    <n v="109782"/>
    <s v="博睿通名义下单"/>
    <x v="3"/>
    <s v="L-&gt;R"/>
    <s v="No"/>
    <s v="Y50417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4"/>
    <x v="0"/>
    <x v="0"/>
    <n v="109782"/>
    <s v="博睿通名义下单"/>
    <x v="3"/>
    <s v="L-&gt;R"/>
    <s v="No"/>
    <s v="Y50418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5"/>
    <x v="0"/>
    <x v="0"/>
    <n v="109782"/>
    <s v="博睿通名义下单"/>
    <x v="3"/>
    <s v="L-&gt;R"/>
    <s v="No"/>
    <s v="Y50419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6"/>
    <x v="0"/>
    <x v="0"/>
    <n v="109782"/>
    <s v="博睿通名义下单"/>
    <x v="3"/>
    <s v="L-&gt;R"/>
    <s v="No"/>
    <s v="Y50420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7"/>
    <x v="0"/>
    <x v="0"/>
    <n v="109782"/>
    <s v="博睿通名义下单"/>
    <x v="3"/>
    <s v="R-&gt;L"/>
    <s v="No"/>
    <s v="Y50421"/>
    <n v="1"/>
    <s v="码头"/>
    <x v="58"/>
    <s v="NM(CR:0.0655）"/>
    <s v="FEB 20"/>
    <n v="2020.01"/>
    <s v="JPY"/>
    <s v="C49SZX20190141SS"/>
    <s v="博睿通"/>
    <s v="YSM20R(SV)-2"/>
    <s v="R-&gt;L"/>
    <s v="No"/>
    <s v="OK"/>
    <s v="CIF HK"/>
    <d v="2019-12-11T00:00:00"/>
    <s v="Yes"/>
    <m/>
    <m/>
    <m/>
    <s v="IND order "/>
  </r>
  <r>
    <n v="543"/>
    <x v="0"/>
    <x v="0"/>
    <n v="109714"/>
    <s v="Pro-tec"/>
    <x v="1"/>
    <s v="R-&gt;L"/>
    <s v="MVC"/>
    <s v="Y49831"/>
    <n v="1"/>
    <s v="码头"/>
    <x v="59"/>
    <s v="NM（价格用PO#109783)"/>
    <s v="FEB 20"/>
    <m/>
    <s v="JPY"/>
    <s v="C49SZX20190141SS"/>
    <s v="博睿通"/>
    <s v="YSM10"/>
    <s v="R-&gt;L"/>
    <s v="MVC"/>
    <s v="OK"/>
    <s v="CIF HK"/>
    <d v="2019-12-11T00:00:00"/>
    <s v="Yes"/>
    <m/>
    <m/>
    <m/>
    <s v="C191236445"/>
  </r>
  <r>
    <n v="471"/>
    <x v="0"/>
    <x v="0"/>
    <n v="109815"/>
    <s v="Stock order"/>
    <x v="1"/>
    <s v="R-&gt;L"/>
    <s v="No"/>
    <s v="Y50773"/>
    <n v="1"/>
    <s v="力合仓库(已经清关)"/>
    <x v="60"/>
    <s v="0.0654（价格用PO#109723)"/>
    <s v="APR 20"/>
    <d v="1905-07-12T00:28:48"/>
    <s v="RMB"/>
    <s v="C49SZX20190116CX"/>
    <s v="豪恩"/>
    <s v="YSM10"/>
    <s v="R-&gt;L"/>
    <s v="MVC"/>
    <s v="WRONG"/>
    <s v="含税到厂"/>
    <d v="2019-10-22T00:00:00"/>
    <s v="Yes"/>
    <m/>
    <m/>
    <m/>
    <s v="C191136156"/>
  </r>
  <r>
    <n v="558"/>
    <x v="0"/>
    <x v="0"/>
    <n v="109793"/>
    <s v="耕创名义下单"/>
    <x v="0"/>
    <s v="R-&gt;L"/>
    <s v="No"/>
    <s v="Y50496"/>
    <n v="1"/>
    <s v="力合仓库(已经清关)"/>
    <x v="60"/>
    <n v="6.4000000000000001E-2"/>
    <s v="MAR 20"/>
    <d v="1905-07-12T00:28:48"/>
    <s v="RMB"/>
    <s v="C49SZX20190186SS"/>
    <s v="龙大光电"/>
    <s v="YSM40R-4"/>
    <s v="R-&gt;L"/>
    <s v="No"/>
    <s v="OK"/>
    <s v="含税到厂"/>
    <d v="2019-12-19T00:00:00"/>
    <s v="Yes"/>
    <m/>
    <m/>
    <m/>
    <s v="C191035971"/>
  </r>
  <r>
    <n v="559"/>
    <x v="0"/>
    <x v="0"/>
    <n v="109793"/>
    <s v="耕创名义下单"/>
    <x v="0"/>
    <s v="R-&gt;L"/>
    <s v="No"/>
    <s v="Y50497"/>
    <n v="1"/>
    <s v="力合仓库(已经清关)"/>
    <x v="60"/>
    <n v="6.4000000000000001E-2"/>
    <s v="MAR 20"/>
    <d v="1905-07-12T00:28:48"/>
    <s v="RMB"/>
    <s v="C49SZX20190186SS"/>
    <s v="龙大光电"/>
    <s v="YSM40R-4"/>
    <s v="R-&gt;L"/>
    <s v="No"/>
    <s v="OK"/>
    <s v="含税到厂"/>
    <d v="2019-12-19T00:00:00"/>
    <s v="Yes"/>
    <m/>
    <m/>
    <m/>
    <s v="C191035971"/>
  </r>
  <r>
    <n v="591"/>
    <x v="0"/>
    <x v="0"/>
    <n v="109815"/>
    <s v="Stock order"/>
    <x v="1"/>
    <s v="R-&gt;L"/>
    <s v="No"/>
    <s v="Y50769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92"/>
    <x v="0"/>
    <x v="0"/>
    <n v="109815"/>
    <s v="Stock order"/>
    <x v="1"/>
    <s v="R-&gt;L"/>
    <s v="No"/>
    <s v="Y50770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89"/>
    <x v="0"/>
    <x v="0"/>
    <n v="109815"/>
    <s v="Stock order"/>
    <x v="1"/>
    <s v="R-&gt;L"/>
    <s v="No"/>
    <s v="Y50771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90"/>
    <x v="0"/>
    <x v="0"/>
    <n v="109815"/>
    <s v="Stock order"/>
    <x v="1"/>
    <s v="R-&gt;L"/>
    <s v="No"/>
    <s v="Y50772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49"/>
    <x v="0"/>
    <x v="0"/>
    <n v="109794"/>
    <s v="龙大名义下单"/>
    <x v="0"/>
    <s v="R-&gt;L"/>
    <s v="No"/>
    <s v="Y50681"/>
    <n v="1"/>
    <s v="码头-&gt;准备清关"/>
    <x v="61"/>
    <n v="6.4000000000000001E-2"/>
    <s v="MAR 20"/>
    <d v="1905-07-12T00:28:48"/>
    <s v="RMB"/>
    <s v="C49SZX20190185DZ"/>
    <s v="耕创"/>
    <s v="YSM40R-4"/>
    <s v="L-&gt;R"/>
    <s v="No"/>
    <s v="WRONG"/>
    <s v="DDP SZ"/>
    <d v="2019-12-18T00:00:00"/>
    <s v="Yes"/>
    <m/>
    <m/>
    <m/>
    <s v="C191035983"/>
  </r>
  <r>
    <n v="550"/>
    <x v="0"/>
    <x v="0"/>
    <n v="109794"/>
    <s v="龙大名义下单"/>
    <x v="0"/>
    <s v="R-&gt;L"/>
    <s v="No"/>
    <s v="Y50682"/>
    <n v="1"/>
    <s v="码头-&gt;准备清关"/>
    <x v="61"/>
    <n v="6.4000000000000001E-2"/>
    <s v="MAR 20"/>
    <d v="1905-07-12T04:48:00"/>
    <s v="RMB"/>
    <s v="C49SZX20190185DZ"/>
    <s v="耕创"/>
    <s v="YSM40R-4"/>
    <s v="L-&gt;R"/>
    <s v="No"/>
    <s v="WRONG"/>
    <s v="DDP SZ"/>
    <d v="2019-12-18T00:00:00"/>
    <s v="Yes"/>
    <m/>
    <m/>
    <m/>
    <s v="C191035983"/>
  </r>
  <r>
    <n v="637"/>
    <x v="0"/>
    <x v="0"/>
    <n v="109816"/>
    <s v="Stock order"/>
    <x v="3"/>
    <s v="R-&gt;L"/>
    <s v="No"/>
    <s v="Y50754"/>
    <n v="1"/>
    <s v="盐保仓库"/>
    <x v="62"/>
    <s v="NM(CR:0.0672)"/>
    <s v="JUN 20"/>
    <n v="2020.02"/>
    <s v="JPY"/>
    <s v="C49SZX20200053SS"/>
    <s v="弛瑞"/>
    <s v="YSM20R(SV)-2"/>
    <s v="R-&gt;L"/>
    <s v="No"/>
    <s v="OK"/>
    <s v="DAP SZ"/>
    <d v="2020-04-24T00:00:00"/>
    <s v="Yes"/>
    <m/>
    <m/>
    <m/>
    <s v="C191236395"/>
  </r>
  <r>
    <n v="633"/>
    <x v="0"/>
    <x v="0"/>
    <n v="109816"/>
    <s v="Stock order"/>
    <x v="3"/>
    <s v="L-&gt;R"/>
    <s v="No"/>
    <s v="Y50756"/>
    <n v="1"/>
    <s v="盐保仓库"/>
    <x v="62"/>
    <s v="NM"/>
    <s v="APR 20"/>
    <n v="2020.02"/>
    <s v="JPY"/>
    <s v="C49SZX20200046JY"/>
    <s v="海松微"/>
    <s v="YSM20R(SV)-2"/>
    <s v="L-&gt;R"/>
    <s v="MVC"/>
    <s v="WRONG"/>
    <s v="DAP SZ"/>
    <d v="2020-04-21T00:00:00"/>
    <s v="Yes"/>
    <m/>
    <m/>
    <m/>
    <s v="C190935542"/>
  </r>
  <r>
    <n v="597"/>
    <x v="0"/>
    <x v="0"/>
    <n v="109816"/>
    <s v="Stock order"/>
    <x v="3"/>
    <s v="L-&gt;R"/>
    <s v="No"/>
    <s v="Y50755"/>
    <n v="1"/>
    <s v="力合仓库(已经清关)"/>
    <x v="62"/>
    <s v="0.0656（价格用PO#109855)"/>
    <s v="MAY 20"/>
    <n v="2020.01"/>
    <s v="RMB"/>
    <s v="C49SZX20200028JYR1"/>
    <s v="珠海太川"/>
    <s v="YSM20R(SV)-2"/>
    <s v="L-&gt;R"/>
    <s v="MVC"/>
    <s v="WRONG"/>
    <s v="含税到厂"/>
    <d v="2020-03-19T00:00:00"/>
    <s v="Yes"/>
    <m/>
    <m/>
    <m/>
    <s v="C150824767"/>
  </r>
  <r>
    <n v="531"/>
    <x v="0"/>
    <x v="0"/>
    <n v="109816"/>
    <s v="Stock order"/>
    <x v="3"/>
    <s v="L-&gt;R"/>
    <s v="cATS10+MVC+special layout"/>
    <s v="Y50752"/>
    <n v="1"/>
    <s v="盐保仓库"/>
    <x v="62"/>
    <s v="NM"/>
    <s v="APR 20"/>
    <n v="2020.02"/>
    <s v="JPY"/>
    <s v="C49SZX20190173DZ"/>
    <s v="嘉裕"/>
    <s v="YSM20R(SV)-2"/>
    <s v="L-&gt;R"/>
    <s v="cATS10+MVC"/>
    <s v="WRONG"/>
    <s v="CIF HK"/>
    <d v="2019-11-26T00:00:00"/>
    <s v="Yes"/>
    <m/>
    <m/>
    <m/>
    <s v="C200336888"/>
  </r>
  <r>
    <n v="529"/>
    <x v="0"/>
    <x v="0"/>
    <n v="109816"/>
    <s v="Stock order"/>
    <x v="3"/>
    <s v="L-&gt;R"/>
    <s v="No"/>
    <s v="Y50759"/>
    <n v="1"/>
    <s v="盐保仓库"/>
    <x v="62"/>
    <s v="NM"/>
    <s v="APR 20"/>
    <n v="2020.02"/>
    <s v="JPY"/>
    <s v="C49SZX20190173DZ"/>
    <s v="嘉裕"/>
    <s v="YSM20R(SV)-2"/>
    <s v="L-&gt;R"/>
    <s v="No"/>
    <s v="OK"/>
    <s v="CIF HK"/>
    <d v="2019-11-26T00:00:00"/>
    <s v="Yes"/>
    <m/>
    <m/>
    <m/>
    <s v="C200336888"/>
  </r>
  <r>
    <n v="530"/>
    <x v="0"/>
    <x v="0"/>
    <n v="109816"/>
    <s v="Stock order"/>
    <x v="3"/>
    <s v="L-&gt;R"/>
    <s v="No"/>
    <s v="Y50760"/>
    <n v="1"/>
    <s v="盐保仓库"/>
    <x v="62"/>
    <s v="NM"/>
    <s v="APR 20"/>
    <n v="2020.02"/>
    <s v="JPY"/>
    <s v="C49SZX20190173DZ"/>
    <s v="嘉裕"/>
    <s v="YSM20R(SV)-2"/>
    <s v="L-&gt;R"/>
    <s v="No"/>
    <s v="OK"/>
    <s v="CIF HK"/>
    <d v="2019-11-26T00:00:00"/>
    <s v="Yes"/>
    <m/>
    <m/>
    <m/>
    <s v="C200336888"/>
  </r>
  <r>
    <n v="574"/>
    <x v="0"/>
    <x v="0"/>
    <n v="109816"/>
    <s v="Stock order"/>
    <x v="3"/>
    <s v="R-&gt;L"/>
    <s v="No"/>
    <s v="Y50753"/>
    <n v="1"/>
    <s v="盐保仓库"/>
    <x v="62"/>
    <s v="NM(CR:0.0672)"/>
    <s v="MAY 20"/>
    <n v="2020.02"/>
    <s v="JPY"/>
    <s v="C49SZX20200012SS"/>
    <s v="康腾"/>
    <s v="YSM20R(SV)-2"/>
    <s v="R-&gt;L"/>
    <s v="No"/>
    <s v="OK"/>
    <s v="DAP SZ"/>
    <d v="2020-01-08T00:00:00"/>
    <s v="Yes"/>
    <m/>
    <m/>
    <m/>
    <s v="C180832783"/>
  </r>
  <r>
    <n v="609"/>
    <x v="0"/>
    <x v="0"/>
    <n v="109816"/>
    <s v="Stock order"/>
    <x v="3"/>
    <s v="L-&gt;R"/>
    <s v="No"/>
    <s v="Y50758"/>
    <n v="1"/>
    <s v="盐保仓库"/>
    <x v="62"/>
    <s v="NM(CR:0.0672)"/>
    <s v="MAY 20"/>
    <n v="2020.02"/>
    <s v="JPY"/>
    <s v="C49SZX20200035JY"/>
    <s v="创荣发"/>
    <s v="YSM20R(SV)-2"/>
    <s v="L-&gt;R"/>
    <s v="No"/>
    <s v="OK"/>
    <s v="DAP HZ"/>
    <d v="2020-03-31T00:00:00"/>
    <s v="Yes"/>
    <m/>
    <m/>
    <m/>
    <s v="C200437179"/>
  </r>
  <r>
    <n v="606"/>
    <x v="0"/>
    <x v="0"/>
    <n v="109816"/>
    <s v="Stock order"/>
    <x v="3"/>
    <s v="L-&gt;R"/>
    <s v="No"/>
    <s v="Y50757"/>
    <n v="1"/>
    <s v="华日仓库中转"/>
    <x v="62"/>
    <n v="6.7000000000000004E-2"/>
    <s v="MAY 20"/>
    <n v="2020.02"/>
    <s v="JPY"/>
    <s v="C49SZX20200007SS"/>
    <s v="乐上"/>
    <s v="YSM20R(SV)-2"/>
    <s v="L-&gt;R"/>
    <s v="MVC"/>
    <s v="WRONG"/>
    <s v="DAP DG"/>
    <d v="2020-03-27T00:00:00"/>
    <s v="Yes"/>
    <m/>
    <m/>
    <m/>
    <s v="C190434487"/>
  </r>
  <r>
    <n v="774"/>
    <x v="0"/>
    <x v="0"/>
    <n v="109816"/>
    <s v="Stock order"/>
    <x v="3"/>
    <s v="R-&gt;L"/>
    <s v="cATS10+MVC+special layout"/>
    <s v="Y50751"/>
    <n v="1"/>
    <s v="力合仓库(已经清关)"/>
    <x v="62"/>
    <s v="NM(CR:0.0672)"/>
    <s v="SEP 20"/>
    <n v="2020.02"/>
    <s v="RMB"/>
    <s v="C49SZX20200123DZ"/>
    <s v="海星"/>
    <s v="YSM20R(SV)-2"/>
    <s v="R-&gt;L"/>
    <s v="cATS10+MVC"/>
    <s v="WRONG"/>
    <s v="含税到厂"/>
    <d v="2020-08-13T00:00:00"/>
    <s v="Yes"/>
    <m/>
    <m/>
    <m/>
    <s v="C190635038"/>
  </r>
  <r>
    <n v="623"/>
    <x v="0"/>
    <x v="0"/>
    <n v="109783"/>
    <s v="博睿通名义下单"/>
    <x v="1"/>
    <s v="R-&gt;L"/>
    <s v="No"/>
    <s v="Y50619"/>
    <n v="1"/>
    <s v="盐保仓库"/>
    <x v="62"/>
    <s v="0.0654（价格用PO#109762)"/>
    <s v="APR 20"/>
    <d v="1905-07-12T00:43:12"/>
    <s v="RMB"/>
    <s v="C49SZX20200042JL"/>
    <s v="铭翔"/>
    <s v="YSM10"/>
    <s v="L-&gt;R"/>
    <s v="MVC"/>
    <s v="WRONG"/>
    <s v="含税到厂"/>
    <d v="2020-04-17T00:00:00"/>
    <s v="Yes"/>
    <m/>
    <m/>
    <m/>
    <s v="C191136061"/>
  </r>
  <r>
    <n v="614"/>
    <x v="0"/>
    <x v="0"/>
    <n v="109783"/>
    <s v="博睿通名义下单"/>
    <x v="1"/>
    <s v="R-&gt;L"/>
    <s v="No"/>
    <s v="Y50620"/>
    <n v="1"/>
    <s v="盐保仓库"/>
    <x v="62"/>
    <s v="0.0648                  （价格用PO#109587"/>
    <s v="APR 20"/>
    <d v="1905-07-12T00:43:12"/>
    <s v="RMB"/>
    <s v="C49SZX20200041JY"/>
    <s v="晟锦威"/>
    <s v="YSM10"/>
    <s v="R-&gt;L"/>
    <s v="MVC"/>
    <s v="WRONG"/>
    <s v="含税到厂"/>
    <d v="2020-04-02T00:00:00"/>
    <s v="Yes"/>
    <m/>
    <m/>
    <m/>
    <s v="C200437154"/>
  </r>
  <r>
    <n v="577"/>
    <x v="0"/>
    <x v="0"/>
    <n v="109783"/>
    <s v="博睿通名义下单"/>
    <x v="1"/>
    <s v="R-&gt;L"/>
    <s v="No"/>
    <s v="Y50618"/>
    <n v="1"/>
    <s v="盐保仓库"/>
    <x v="62"/>
    <s v="0.0654（价格用PO#109759)"/>
    <s v="MAY 20"/>
    <d v="1905-07-12T00:43:12"/>
    <s v="JPY"/>
    <s v="C49SZX20200013SS"/>
    <s v="新平泰/end user:弛瑞"/>
    <s v="YSM10"/>
    <s v="L-&gt;R"/>
    <s v="MVC"/>
    <s v="WRONG"/>
    <s v="DAP SZ"/>
    <d v="2020-01-10T00:00:00"/>
    <s v="Yes"/>
    <m/>
    <m/>
    <m/>
    <s v="C191236395"/>
  </r>
  <r>
    <n v="674"/>
    <x v="0"/>
    <x v="0"/>
    <n v="109783"/>
    <s v="博睿通名义下单"/>
    <x v="1"/>
    <s v="R-&gt;L"/>
    <s v="ATS15"/>
    <s v="Y50621"/>
    <n v="1"/>
    <s v="盐保仓库"/>
    <x v="62"/>
    <s v="0.0654（价格用PO#109749)"/>
    <s v="AUG 20"/>
    <d v="1905-07-12T00:43:12"/>
    <s v="RMB"/>
    <s v="C49SZX20200079KW"/>
    <s v="晨日电子"/>
    <s v="YSM10"/>
    <s v="L-&gt;R"/>
    <s v="MVC+ATS15"/>
    <s v="WRONG"/>
    <s v="含税到厂"/>
    <d v="2020-06-23T00:00:00"/>
    <s v="Yes"/>
    <m/>
    <m/>
    <m/>
    <s v="C200737734"/>
  </r>
  <r>
    <n v="676"/>
    <x v="0"/>
    <x v="0"/>
    <n v="109783"/>
    <s v="博睿通名义下单"/>
    <x v="1"/>
    <s v="R-&gt;L"/>
    <s v="ATS15"/>
    <s v="Y50622"/>
    <n v="1"/>
    <s v="盐保仓库"/>
    <x v="62"/>
    <s v="0.0654（价格用PO#109749)"/>
    <s v="JUL 20"/>
    <d v="1905-07-12T00:43:12"/>
    <s v="JPY"/>
    <s v="C49SZX20200081DZ"/>
    <s v="朗特"/>
    <s v="YSM10"/>
    <s v="L-&gt;R"/>
    <s v="MVC+ATS15"/>
    <s v="WRONG"/>
    <s v="CIF HK"/>
    <d v="2020-06-24T00:00:00"/>
    <s v="Yes"/>
    <m/>
    <m/>
    <m/>
    <s v="C190534728"/>
  </r>
  <r>
    <n v="656"/>
    <x v="0"/>
    <x v="0"/>
    <n v="109783"/>
    <s v="博睿通名义下单"/>
    <x v="1"/>
    <s v="R-&gt;L"/>
    <s v="ATS15"/>
    <s v="Y50623"/>
    <n v="1"/>
    <s v="力合仓库(已经清关)"/>
    <x v="62"/>
    <s v="0.0654（价格用PO#109749)"/>
    <s v="JUL 20"/>
    <d v="1905-07-12T00:43:12"/>
    <s v="RMB"/>
    <s v="C49SZX20200058SS"/>
    <s v="中润互联"/>
    <s v="YSM10"/>
    <s v="R-&gt;L"/>
    <s v="MVC+ATS15"/>
    <s v="WRONG"/>
    <s v="含税到厂"/>
    <d v="2020-06-04T00:00:00"/>
    <s v="Yes"/>
    <m/>
    <m/>
    <m/>
    <s v="C200637604"/>
  </r>
  <r>
    <n v="604"/>
    <x v="0"/>
    <x v="0"/>
    <n v="109820"/>
    <s v="Stock order"/>
    <x v="1"/>
    <s v="R-&gt;L"/>
    <s v="No"/>
    <s v="Y50947"/>
    <n v="1"/>
    <s v="乐凡清关，送力合仓库"/>
    <x v="63"/>
    <s v="NM(CR:0.0679)"/>
    <s v="MAY 20"/>
    <d v="1905-07-12T00:43:12"/>
    <s v="JPY"/>
    <s v="C49SZX20200036CX"/>
    <s v="钧溢电子"/>
    <s v="YSM10"/>
    <s v="L-&gt;R"/>
    <s v="MVC"/>
    <s v="WRONG"/>
    <s v="DAP SZ"/>
    <d v="2020-03-25T00:00:00"/>
    <s v="Yes"/>
    <m/>
    <m/>
    <m/>
    <s v="C191136105"/>
  </r>
  <r>
    <n v="634"/>
    <x v="0"/>
    <x v="0"/>
    <n v="109820"/>
    <s v="Stock order"/>
    <x v="1"/>
    <s v="R-&gt;L"/>
    <s v="No"/>
    <s v="Y50948"/>
    <n v="1"/>
    <s v="乐凡清关，送力合仓库"/>
    <x v="63"/>
    <s v="0.0640（价格用PO#109820，rate 用109815)"/>
    <s v="MAY 20"/>
    <d v="1905-07-12T00:43:12"/>
    <s v="RMB"/>
    <s v="C49SZX20200011DZ"/>
    <s v="和盛光电"/>
    <s v="YSM10"/>
    <s v="R-&gt;L"/>
    <s v="No"/>
    <s v="OK"/>
    <s v="含税到厂"/>
    <d v="2020-04-22T00:00:00"/>
    <s v="Yes"/>
    <m/>
    <m/>
    <m/>
    <s v="C180832776"/>
  </r>
  <r>
    <n v="636"/>
    <x v="0"/>
    <x v="0"/>
    <n v="109820"/>
    <s v="Stock order"/>
    <x v="1"/>
    <s v="R-&gt;L"/>
    <s v="No"/>
    <s v="Y50949"/>
    <n v="1"/>
    <s v="华日仓库中转"/>
    <x v="63"/>
    <s v="0.0640（价格用PO#109820，rate 用109815)"/>
    <s v="MAY 20"/>
    <d v="1905-07-12T00:43:12"/>
    <s v="RMB"/>
    <s v="C49SZX20200047MZ"/>
    <s v="融创新合"/>
    <s v="YSM10"/>
    <s v="L-&gt;R"/>
    <s v="MVC"/>
    <s v="WRONG"/>
    <s v="含税到厂"/>
    <d v="2020-04-23T00:00:00"/>
    <s v="Yes"/>
    <m/>
    <m/>
    <m/>
    <s v="C200437235"/>
  </r>
  <r>
    <n v="602"/>
    <x v="0"/>
    <x v="0"/>
    <n v="109820"/>
    <s v="Stock order"/>
    <x v="1"/>
    <s v="R-&gt;L"/>
    <s v="No"/>
    <s v="Y50950"/>
    <n v="1"/>
    <s v="盐保仓库"/>
    <x v="63"/>
    <s v="0.0640（价格用PO#109820，rate 用109815)"/>
    <s v="JUN 20"/>
    <d v="1905-07-12T00:43:12"/>
    <s v="RMB"/>
    <s v="C49SZX20200031DZ"/>
    <s v="金海智控"/>
    <s v="YSM10"/>
    <s v="L-&gt;R"/>
    <s v="MVC"/>
    <s v="WRONG"/>
    <s v="含税到厂"/>
    <d v="2020-03-25T00:00:00"/>
    <s v="Yes"/>
    <m/>
    <m/>
    <m/>
    <s v="C200437238"/>
  </r>
  <r>
    <n v="643"/>
    <x v="0"/>
    <x v="0"/>
    <n v="109820"/>
    <s v="Stock order"/>
    <x v="1"/>
    <s v="R-&gt;L"/>
    <s v="No"/>
    <s v="Y50843"/>
    <n v="1"/>
    <s v="盐保仓库"/>
    <x v="63"/>
    <s v="0.0640（价格用PO#109820，rate 用109815)"/>
    <s v="MAY 20"/>
    <d v="1905-07-12T00:43:12"/>
    <s v="RMB"/>
    <s v="C49SZX20200037SX-R1"/>
    <s v="利速达"/>
    <s v="YSM10"/>
    <s v="L-&gt;R"/>
    <s v="MVC"/>
    <s v="WRONG"/>
    <s v="含税到厂"/>
    <d v="2020-05-12T00:00:00"/>
    <s v="Yes"/>
    <m/>
    <m/>
    <m/>
    <s v="C180732624"/>
  </r>
  <r>
    <n v="635"/>
    <x v="0"/>
    <x v="0"/>
    <n v="109855"/>
    <s v="Stock order"/>
    <x v="3"/>
    <s v="L-&gt;R"/>
    <s v="No"/>
    <s v="Y50848"/>
    <n v="1"/>
    <s v="华日仓库中转"/>
    <x v="64"/>
    <n v="6.5600000000000006E-2"/>
    <s v="MAY 20"/>
    <n v="2020.02"/>
    <s v="RMB"/>
    <s v="C49SZX20200047MZ"/>
    <s v="融创新合"/>
    <s v="YSM20R(SV)-2"/>
    <s v="L-&gt;R"/>
    <s v="No"/>
    <s v="OK"/>
    <s v="含税到厂"/>
    <d v="2020-04-23T00:00:00"/>
    <s v="Yes"/>
    <m/>
    <m/>
    <m/>
    <s v="C200437235"/>
  </r>
  <r>
    <n v="642"/>
    <x v="0"/>
    <x v="0"/>
    <n v="109855"/>
    <s v="Stock order"/>
    <x v="3"/>
    <s v="L-&gt;R"/>
    <s v="No"/>
    <s v="Y50849"/>
    <n v="1"/>
    <s v="盐保仓库"/>
    <x v="64"/>
    <s v="NM(价格用PO#109816）"/>
    <s v="MAY 20"/>
    <n v="2020.02"/>
    <s v="RMB"/>
    <s v="C49SZX20200037SX-R1"/>
    <s v="利速达"/>
    <s v="YSM20R(SV)-2"/>
    <s v="L-&gt;R"/>
    <s v="No"/>
    <s v="OK"/>
    <s v="含税到厂"/>
    <d v="2020-05-12T00:00:00"/>
    <s v="Yes"/>
    <m/>
    <m/>
    <m/>
    <s v="C180732624"/>
  </r>
  <r>
    <n v="619"/>
    <x v="0"/>
    <x v="0"/>
    <n v="109855"/>
    <s v="Stock order"/>
    <x v="3"/>
    <s v="L-&gt;R"/>
    <s v="No"/>
    <s v="Y50850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20"/>
    <x v="0"/>
    <x v="0"/>
    <n v="109855"/>
    <s v="Stock order"/>
    <x v="3"/>
    <s v="L-&gt;R"/>
    <s v="No"/>
    <s v="Y50851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21"/>
    <x v="0"/>
    <x v="0"/>
    <n v="109855"/>
    <s v="Stock order"/>
    <x v="3"/>
    <s v="L-&gt;R"/>
    <s v="No"/>
    <s v="Y50852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22"/>
    <x v="0"/>
    <x v="0"/>
    <n v="109855"/>
    <s v="Stock order"/>
    <x v="3"/>
    <s v="L-&gt;R"/>
    <s v="No"/>
    <s v="Y50866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10"/>
    <x v="0"/>
    <x v="0"/>
    <n v="109806"/>
    <s v="Pro-tec"/>
    <x v="3"/>
    <s v="L-&gt;R"/>
    <s v="No"/>
    <s v="Y50702"/>
    <n v="1"/>
    <s v="盐保仓库"/>
    <x v="65"/>
    <s v="NM(CR:0.0679)"/>
    <s v="MAY 20"/>
    <n v="2020.02"/>
    <s v="JPY"/>
    <s v="C49SZX20200035JY"/>
    <s v="创荣发"/>
    <s v="YSM20R(SV)-2"/>
    <s v="L-&gt;R"/>
    <s v="No"/>
    <s v="OK"/>
    <s v="DAP HZ"/>
    <d v="2020-03-31T00:00:00"/>
    <s v="Yes"/>
    <m/>
    <m/>
    <m/>
    <s v="C200437179"/>
  </r>
  <r>
    <n v="638"/>
    <x v="0"/>
    <x v="0"/>
    <n v="109806"/>
    <s v="Pro-tec"/>
    <x v="1"/>
    <s v="R-&gt;L"/>
    <s v="No"/>
    <s v="Y51205"/>
    <n v="1"/>
    <s v="钧溢清关，送力合仓库"/>
    <x v="65"/>
    <s v="0.0640（价格用PO#109820，rate 用109815)"/>
    <s v="MAY 20"/>
    <d v="1905-07-12T00:57:36"/>
    <s v="RMB"/>
    <s v="C49SZX20200043CY"/>
    <s v="星辰宇"/>
    <s v="YSM10"/>
    <s v="L-&gt;R"/>
    <s v="MVC"/>
    <s v="WRONG"/>
    <s v="含税到厂"/>
    <d v="2020-04-29T00:00:00"/>
    <s v="Yes"/>
    <m/>
    <m/>
    <m/>
    <s v="C200537332"/>
  </r>
  <r>
    <n v="603"/>
    <x v="0"/>
    <x v="0"/>
    <n v="109856"/>
    <s v="Stock order"/>
    <x v="3"/>
    <s v="L-&gt;R"/>
    <s v="No"/>
    <s v="Y51294"/>
    <n v="1"/>
    <s v="乐上清关，送力合仓库"/>
    <x v="66"/>
    <n v="6.4600000000000005E-2"/>
    <s v="JUN 20"/>
    <n v="2020.04"/>
    <s v="RMB"/>
    <s v="C49SZX20200031DZ"/>
    <s v="金海智控"/>
    <s v="YSM20R(SV)-2"/>
    <s v="L-&gt;R"/>
    <s v="No"/>
    <s v="OK"/>
    <s v="含税到厂"/>
    <d v="2020-03-25T00:00:00"/>
    <s v="Yes"/>
    <m/>
    <m/>
    <m/>
    <s v="C200437238"/>
  </r>
  <r>
    <n v="657"/>
    <x v="0"/>
    <x v="0"/>
    <n v="109856"/>
    <s v="Stock order"/>
    <x v="3"/>
    <s v="R-&gt;L"/>
    <s v="No"/>
    <s v="Y51295"/>
    <n v="1"/>
    <s v="力合仓库(已经清关)"/>
    <x v="66"/>
    <n v="6.7000000000000004E-2"/>
    <s v="JUL 20"/>
    <n v="2020.04"/>
    <s v="RMB"/>
    <s v="C49SZX20200058SS"/>
    <s v="中润互联"/>
    <s v="YSM20R(SV)-2"/>
    <s v="R-&gt;L"/>
    <s v="MVC"/>
    <s v="WRONG"/>
    <s v="含税到厂"/>
    <d v="2020-06-04T00:00:00"/>
    <s v="Yes"/>
    <m/>
    <m/>
    <m/>
    <s v="C200637604"/>
  </r>
  <r>
    <n v="671"/>
    <x v="0"/>
    <x v="0"/>
    <n v="109856"/>
    <s v="Stock order"/>
    <x v="3"/>
    <s v="R-&gt;L"/>
    <s v="No"/>
    <s v="Y51296"/>
    <n v="1"/>
    <s v="辉记中转仓"/>
    <x v="66"/>
    <n v="6.7000000000000004E-2"/>
    <s v="JUL 20"/>
    <n v="2020.04"/>
    <s v="JPY"/>
    <s v="C49SZX20200071JY"/>
    <s v="英拓邦"/>
    <s v="YSM20R(SV)-2"/>
    <s v="R-&gt;L"/>
    <s v="No"/>
    <s v="OK"/>
    <s v="DAP SZ"/>
    <d v="2020-06-23T00:00:00"/>
    <s v="Yes"/>
    <m/>
    <m/>
    <m/>
    <s v="C190634939"/>
  </r>
  <r>
    <n v="658"/>
    <x v="0"/>
    <x v="0"/>
    <n v="109856"/>
    <s v="Stock order"/>
    <x v="3"/>
    <s v="R-&gt;L"/>
    <s v="No"/>
    <s v="Y51297"/>
    <n v="1"/>
    <s v="力合仓库(已经清关)"/>
    <x v="66"/>
    <n v="6.7000000000000004E-2"/>
    <s v="JUL 20"/>
    <n v="2020.04"/>
    <s v="RMB"/>
    <s v="C49SZX20200058SS"/>
    <s v="中润互联"/>
    <s v="YSM20R(SV)-2"/>
    <s v="R-&gt;L"/>
    <s v="No"/>
    <s v="OK"/>
    <s v="含税到厂"/>
    <d v="2020-06-04T00:00:00"/>
    <s v="Yes"/>
    <m/>
    <m/>
    <m/>
    <s v="C200637604"/>
  </r>
  <r>
    <n v="584"/>
    <x v="0"/>
    <x v="0"/>
    <s v="49F103362"/>
    <s v="上海机器"/>
    <x v="1"/>
    <s v="R-&gt;L"/>
    <s v="No"/>
    <s v="Y49634"/>
    <n v="1"/>
    <s v="力合仓库(已经清关)"/>
    <x v="67"/>
    <n v="6.5799999999999997E-2"/>
    <s v="APR 20"/>
    <m/>
    <s v="JPY"/>
    <s v="C49SZX20200017CX"/>
    <s v="乐凡电子"/>
    <s v="YSM10"/>
    <s v="L-&gt;R"/>
    <s v="MVC"/>
    <s v="WRONG"/>
    <s v="DAP SZ"/>
    <d v="2020-01-16T00:00:00"/>
    <s v="Yes"/>
    <m/>
    <m/>
    <m/>
    <s v="C200236762"/>
  </r>
  <r>
    <n v="583"/>
    <x v="0"/>
    <x v="0"/>
    <s v="49F103362"/>
    <s v="上海机器"/>
    <x v="1"/>
    <s v="R-&gt;L"/>
    <s v="No"/>
    <s v="Y49635"/>
    <n v="1"/>
    <s v="力合仓库(已经清关)"/>
    <x v="67"/>
    <n v="6.5799999999999997E-2"/>
    <s v="APR 20"/>
    <m/>
    <s v="JPY"/>
    <s v="C49SZX20200017CX"/>
    <s v="乐凡电子"/>
    <s v="YSM10"/>
    <s v="L-&gt;R"/>
    <s v="MVC"/>
    <s v="WRONG"/>
    <s v="DAP SZ"/>
    <d v="2020-01-16T00:00:00"/>
    <s v="Yes"/>
    <m/>
    <m/>
    <m/>
    <s v="C200236762"/>
  </r>
  <r>
    <n v="601"/>
    <x v="0"/>
    <x v="0"/>
    <n v="109857"/>
    <s v="安林名义下单"/>
    <x v="11"/>
    <s v="L-&gt;R"/>
    <s v="No"/>
    <s v="Y51332"/>
    <n v="1"/>
    <s v="码头-&gt;准备清关"/>
    <x v="66"/>
    <s v="NM(CR:0.0679)"/>
    <s v="MAY 20"/>
    <d v="1905-07-12T00:57:36"/>
    <s v="JPY"/>
    <s v="C49SZX20200026SX"/>
    <s v="安林"/>
    <s v="YSM20WR-2"/>
    <s v="L-&gt;R"/>
    <s v="No"/>
    <s v="OK"/>
    <s v="DAP DG"/>
    <d v="2020-03-23T00:00:00"/>
    <s v="Yes"/>
    <m/>
    <m/>
    <m/>
    <s v="IND order "/>
  </r>
  <r>
    <n v="611"/>
    <x v="0"/>
    <x v="0"/>
    <n v="109858"/>
    <s v="奕东名义下单"/>
    <x v="1"/>
    <s v="R-&gt;L"/>
    <s v="No"/>
    <s v="Y51333"/>
    <n v="1"/>
    <s v="盐保仓库"/>
    <x v="68"/>
    <s v="NM(CR:0.0679)"/>
    <s v="MAY 20"/>
    <d v="1905-07-12T00:57:36"/>
    <s v="JPY"/>
    <s v="C49SZX20200035JY"/>
    <s v="创荣发"/>
    <s v="YSM10"/>
    <s v="L-&gt;R"/>
    <s v="MVC"/>
    <s v="WRONG"/>
    <s v="DAP HZ"/>
    <d v="2020-03-31T00:00:00"/>
    <s v="Yes"/>
    <m/>
    <m/>
    <m/>
    <s v="C200437179"/>
  </r>
  <r>
    <n v="612"/>
    <x v="0"/>
    <x v="0"/>
    <n v="109858"/>
    <s v="奕东名义下单"/>
    <x v="1"/>
    <s v="R-&gt;L"/>
    <s v="No"/>
    <s v="Y51334"/>
    <n v="1"/>
    <s v="盐保仓库"/>
    <x v="68"/>
    <s v="NM(CR:0.0679)"/>
    <s v="MAY 20"/>
    <d v="1905-07-12T00:57:36"/>
    <s v="JPY"/>
    <s v="C49SZX20200035JY"/>
    <s v="创荣发"/>
    <s v="YSM10"/>
    <s v="L-&gt;R"/>
    <s v="MVC"/>
    <s v="WRONG"/>
    <s v="DAP HZ"/>
    <d v="2020-03-31T00:00:00"/>
    <s v="Yes"/>
    <m/>
    <m/>
    <m/>
    <s v="C200437179"/>
  </r>
  <r>
    <n v="639"/>
    <x v="0"/>
    <x v="0"/>
    <n v="109858"/>
    <s v="奕东名义下单"/>
    <x v="1"/>
    <s v="R-&gt;L"/>
    <s v="No"/>
    <s v="Y51335"/>
    <n v="1"/>
    <s v="盐保仓库"/>
    <x v="68"/>
    <s v="NM(CR:0.0679)"/>
    <s v="MAY 20"/>
    <d v="1905-07-12T00:57:36"/>
    <s v="JPY"/>
    <s v="C49SZX20200052JY"/>
    <s v="创荣发"/>
    <s v="YSM10"/>
    <s v="L-&gt;R"/>
    <s v="MVC"/>
    <s v="WRONG"/>
    <s v="DAP HZ"/>
    <d v="2020-04-30T00:00:00"/>
    <s v="Yes"/>
    <m/>
    <m/>
    <m/>
    <s v="C190735271"/>
  </r>
  <r>
    <n v="640"/>
    <x v="0"/>
    <x v="0"/>
    <n v="109858"/>
    <s v="奕东名义下单"/>
    <x v="1"/>
    <s v="R-&gt;L"/>
    <s v="No"/>
    <s v="Y51336"/>
    <n v="1"/>
    <s v="盐保仓库"/>
    <x v="68"/>
    <s v="NM(CR:0.0679)"/>
    <s v="MAY 20"/>
    <d v="1905-07-12T00:57:36"/>
    <s v="JPY"/>
    <s v="C49SZX20200052JY"/>
    <s v="创荣发"/>
    <s v="YSM10"/>
    <s v="L-&gt;R"/>
    <s v="No"/>
    <s v="WRONG"/>
    <s v="DAP HZ"/>
    <d v="2020-04-30T00:00:00"/>
    <s v="Yes"/>
    <m/>
    <m/>
    <m/>
    <s v="C190735271"/>
  </r>
  <r>
    <n v="652"/>
    <x v="0"/>
    <x v="0"/>
    <n v="109858"/>
    <s v="奕东名义下单"/>
    <x v="1"/>
    <s v="R-&gt;L"/>
    <s v="No"/>
    <s v="Y51337"/>
    <n v="1"/>
    <s v="盐保仓库"/>
    <x v="68"/>
    <n v="6.7000000000000004E-2"/>
    <s v="JUN 20"/>
    <d v="1905-07-12T00:57:36"/>
    <s v="RMB"/>
    <s v="C49SZX20200025MX"/>
    <s v="城宇"/>
    <s v="YSM10"/>
    <s v="L-&gt;R"/>
    <s v="No"/>
    <s v="WRONG"/>
    <s v="含税到厂"/>
    <d v="2020-05-25T00:00:00"/>
    <s v="Yes"/>
    <m/>
    <m/>
    <m/>
    <s v="C190835366"/>
  </r>
  <r>
    <n v="662"/>
    <x v="0"/>
    <x v="0"/>
    <n v="109889"/>
    <s v="奕东名义下单"/>
    <x v="1"/>
    <s v="R-&gt;L"/>
    <s v="No"/>
    <s v="Y51338"/>
    <n v="1"/>
    <s v="盐保仓库"/>
    <x v="69"/>
    <s v="NM(CR:0.0679)"/>
    <s v="JUN 20"/>
    <d v="1905-07-12T01:12:00"/>
    <s v="JPY"/>
    <s v="C49SZX20200061JY"/>
    <s v="旭日伟光"/>
    <s v="YSM10"/>
    <s v="L-&gt;R"/>
    <s v="MVC"/>
    <s v="WRONG"/>
    <s v="DAP SZ"/>
    <d v="2020-06-11T00:00:00"/>
    <s v="Yes"/>
    <m/>
    <m/>
    <m/>
    <s v="C190735084"/>
  </r>
  <r>
    <n v="661"/>
    <x v="0"/>
    <x v="0"/>
    <n v="109889"/>
    <s v="奕东名义下单"/>
    <x v="1"/>
    <s v="R-&gt;L"/>
    <s v="No"/>
    <s v="Y51339"/>
    <n v="1"/>
    <s v="华日仓库中转"/>
    <x v="69"/>
    <n v="6.7000000000000004E-2"/>
    <s v="JUN 20"/>
    <d v="1905-07-12T01:12:00"/>
    <s v="RMB"/>
    <s v="C49SZX20200065JZ"/>
    <s v="科华/End user 美斯特"/>
    <s v="YSM10"/>
    <s v="L-&gt;R"/>
    <s v="No"/>
    <s v="WRONG"/>
    <s v="含税到厂"/>
    <d v="2020-06-11T00:00:00"/>
    <s v="Yes"/>
    <m/>
    <m/>
    <m/>
    <s v="C180732715"/>
  </r>
  <r>
    <n v="672"/>
    <x v="0"/>
    <x v="0"/>
    <n v="109889"/>
    <s v="奕东名义下单"/>
    <x v="1"/>
    <s v="R-&gt;L"/>
    <s v="No"/>
    <s v="Y51340"/>
    <n v="1"/>
    <s v="辉记中转仓"/>
    <x v="69"/>
    <n v="6.7000000000000004E-2"/>
    <s v="JUL 20"/>
    <d v="1905-07-12T01:12:00"/>
    <s v="JPY"/>
    <s v="C49SZX20200071JY"/>
    <s v="英拓邦"/>
    <s v="YSM10"/>
    <s v="R-&gt;L"/>
    <s v="MVC"/>
    <s v="WRONG"/>
    <s v="DAP SZ"/>
    <d v="2020-06-23T00:00:00"/>
    <s v="Yes"/>
    <m/>
    <m/>
    <m/>
    <s v="C190634939"/>
  </r>
  <r>
    <n v="616"/>
    <x v="0"/>
    <x v="0"/>
    <n v="109873"/>
    <s v="晶科名义下单"/>
    <x v="6"/>
    <s v="L-&gt;R"/>
    <s v="No"/>
    <s v="Y51486"/>
    <n v="1"/>
    <s v="码头"/>
    <x v="69"/>
    <s v="NM(CR:0.0679)"/>
    <s v="JUN 20"/>
    <d v="1905-07-12T01:12:00"/>
    <s v="JPY"/>
    <s v="C49SZX20200006KW"/>
    <s v="伟盛贸易(富洛）/晶科"/>
    <s v="SIGMA G5S2"/>
    <s v="L-&gt;R"/>
    <s v="No"/>
    <s v="OK"/>
    <s v="CIF HK"/>
    <d v="2020-04-10T00:00:00"/>
    <s v="Yes"/>
    <m/>
    <m/>
    <m/>
    <s v="IND order "/>
  </r>
  <r>
    <n v="624"/>
    <x v="0"/>
    <x v="0"/>
    <n v="109868"/>
    <s v="Stock order"/>
    <x v="3"/>
    <s v="L-&gt;R"/>
    <s v="cATS10+MVC+special layout"/>
    <s v="Y51469"/>
    <n v="1"/>
    <s v="码头"/>
    <x v="70"/>
    <n v="6.6699999999999995E-2"/>
    <s v="JUN 20"/>
    <n v="2020.05"/>
    <s v="RMB"/>
    <s v="C49SZX20200048DZ"/>
    <s v="海星"/>
    <s v="YSM20R(SV)-2"/>
    <s v="L-&gt;R"/>
    <s v="cATS10+MVC"/>
    <s v="WRONG"/>
    <s v="含税到厂"/>
    <d v="2020-04-17T00:00:00"/>
    <s v="Yes"/>
    <m/>
    <m/>
    <m/>
    <n v="190635038"/>
  </r>
  <r>
    <n v="645"/>
    <x v="0"/>
    <x v="0"/>
    <n v="109868"/>
    <s v="Stock order"/>
    <x v="3"/>
    <s v="L-&gt;R"/>
    <s v="No"/>
    <s v="Y51452"/>
    <n v="1"/>
    <s v="华日仓库中转"/>
    <x v="70"/>
    <n v="6.6699999999999995E-2"/>
    <s v="JUN 20"/>
    <n v="2020.05"/>
    <s v="RMB"/>
    <s v="C49SZX20200060SX"/>
    <s v="迅丰"/>
    <s v="YSM20R(SV)-2"/>
    <s v="L-&gt;R"/>
    <s v="MVC"/>
    <s v="WRONG"/>
    <s v="含税到厂"/>
    <d v="2020-05-12T00:00:00"/>
    <s v="Yes"/>
    <m/>
    <m/>
    <m/>
    <s v="C190935664"/>
  </r>
  <r>
    <n v="605"/>
    <x v="0"/>
    <x v="0"/>
    <n v="109868"/>
    <s v="Stock order"/>
    <x v="3"/>
    <s v="L-&gt;R"/>
    <s v="No"/>
    <s v="Y51453"/>
    <n v="1"/>
    <s v="华日仓库中转"/>
    <x v="70"/>
    <n v="6.6699999999999995E-2"/>
    <s v="JUL 20"/>
    <n v="2020.05"/>
    <s v="JPY"/>
    <s v="C49SZX20200036CX"/>
    <s v="钧溢电子"/>
    <s v="YSM20R(SV)-2"/>
    <s v="L-&gt;R"/>
    <s v="No"/>
    <s v="OK"/>
    <s v="DAP SZ"/>
    <d v="2020-03-25T00:00:00"/>
    <s v="Yes"/>
    <m/>
    <m/>
    <m/>
    <s v="C191136105"/>
  </r>
  <r>
    <n v="644"/>
    <x v="0"/>
    <x v="0"/>
    <n v="109868"/>
    <s v="Stock order"/>
    <x v="3"/>
    <s v="L-&gt;R"/>
    <s v="No"/>
    <s v="Y51454"/>
    <n v="1"/>
    <s v="华日仓库中转"/>
    <x v="70"/>
    <n v="6.6699999999999995E-2"/>
    <s v="JUN 20"/>
    <n v="2020.05"/>
    <s v="RMB"/>
    <s v="C49SZX20200060SX"/>
    <s v="迅丰"/>
    <s v="YSM20R(SV)-2"/>
    <s v="L-&gt;R"/>
    <s v="MVC"/>
    <s v="WRONG"/>
    <s v="含税到厂"/>
    <d v="2020-05-12T00:00:00"/>
    <s v="Yes"/>
    <m/>
    <m/>
    <m/>
    <s v="C190935664"/>
  </r>
  <r>
    <n v="625"/>
    <x v="0"/>
    <x v="0"/>
    <n v="109868"/>
    <s v="Stock order"/>
    <x v="3"/>
    <s v="L-&gt;R"/>
    <s v="No"/>
    <s v="Y51455"/>
    <n v="1"/>
    <s v="码头"/>
    <x v="70"/>
    <n v="6.6699999999999995E-2"/>
    <s v="JUN 20"/>
    <n v="2020.05"/>
    <s v="RMB"/>
    <s v="C49SZX20200048DZ"/>
    <s v="海星"/>
    <s v="YSM20R(SV)-2"/>
    <s v="L-&gt;R"/>
    <s v="No"/>
    <s v="OK"/>
    <s v="含税到厂"/>
    <d v="2020-04-17T00:00:00"/>
    <s v="Yes"/>
    <m/>
    <m/>
    <m/>
    <n v="190635038"/>
  </r>
  <r>
    <n v="626"/>
    <x v="0"/>
    <x v="0"/>
    <n v="109868"/>
    <s v="Stock order"/>
    <x v="3"/>
    <s v="L-&gt;R"/>
    <s v="No"/>
    <s v="Y51456"/>
    <n v="1"/>
    <s v="码头"/>
    <x v="70"/>
    <n v="6.6699999999999995E-2"/>
    <s v="JUN 20"/>
    <n v="2020.05"/>
    <s v="RMB"/>
    <s v="C49SZX20200048DZ"/>
    <s v="海星"/>
    <s v="YSM20R(SV)-2"/>
    <s v="L-&gt;R"/>
    <s v="No"/>
    <s v="OK"/>
    <s v="含税到厂"/>
    <d v="2020-04-17T00:00:00"/>
    <s v="Yes"/>
    <m/>
    <m/>
    <m/>
    <n v="190635038"/>
  </r>
  <r>
    <n v="630"/>
    <x v="0"/>
    <x v="1"/>
    <n v="109880"/>
    <s v="海星名义下单"/>
    <x v="9"/>
    <s v="L-&gt;R"/>
    <s v="No"/>
    <s v="Y51546"/>
    <n v="1"/>
    <s v="码头"/>
    <x v="70"/>
    <n v="6.6600000000000006E-2"/>
    <s v="JUN 20"/>
    <d v="1905-07-12T01:12:00"/>
    <s v="RMB"/>
    <s v="C28SZX20200026YY"/>
    <s v="海星"/>
    <s v="YCP10"/>
    <s v="L-&gt;R"/>
    <s v="No"/>
    <s v="OK"/>
    <s v="含税到厂"/>
    <d v="2020-04-17T00:00:00"/>
    <s v="Yes"/>
    <m/>
    <m/>
    <m/>
    <s v="C190635038"/>
  </r>
  <r>
    <n v="668"/>
    <x v="0"/>
    <x v="0"/>
    <s v="109891(拆分PO109925）"/>
    <s v="Stock order"/>
    <x v="1"/>
    <s v="R-&gt;L"/>
    <s v="No"/>
    <s v="Y51616"/>
    <n v="1"/>
    <s v="力合仓库(已经清关)"/>
    <x v="71"/>
    <s v="0.0661(价格用PO#109891)"/>
    <s v="JUL 20"/>
    <d v="1905-07-12T01:26:24"/>
    <s v="RMB"/>
    <s v="C49SZX20200076JL"/>
    <s v="鑫东泰"/>
    <s v="YSM10"/>
    <s v="L-&gt;R"/>
    <s v="MVC"/>
    <s v="WRONG"/>
    <s v="含税到厂"/>
    <d v="2020-06-22T00:00:00"/>
    <s v="Yes"/>
    <m/>
    <m/>
    <m/>
    <s v="C200737778"/>
  </r>
  <r>
    <n v="681"/>
    <x v="0"/>
    <x v="0"/>
    <s v="109891(拆分PO109925）"/>
    <s v="Stock order"/>
    <x v="1"/>
    <s v="R-&gt;L"/>
    <s v="No"/>
    <s v="Y51617"/>
    <n v="1"/>
    <s v="力合仓库(已经清关)"/>
    <x v="71"/>
    <s v="0.0661(价格用PO#109891)"/>
    <s v="JUL 20"/>
    <d v="1905-07-12T01:26:24"/>
    <s v="RMB"/>
    <s v="C49SZX20200083JL"/>
    <s v="铭华永兴"/>
    <s v="YSM10"/>
    <s v="L-&gt;R"/>
    <s v="MVC"/>
    <s v="WRONG"/>
    <s v="含税到厂"/>
    <d v="2020-06-24T00:00:00"/>
    <s v="Yes"/>
    <m/>
    <m/>
    <m/>
    <s v="C190935541"/>
  </r>
  <r>
    <n v="669"/>
    <x v="0"/>
    <x v="0"/>
    <s v="109891(拆分PO109925）"/>
    <s v="Stock order"/>
    <x v="1"/>
    <s v="R-&gt;L"/>
    <s v="No"/>
    <s v="Y51618"/>
    <n v="1"/>
    <s v="力合仓库(已经清关)"/>
    <x v="71"/>
    <s v="0.0661(价格用PO#109891)"/>
    <s v="JUL 20"/>
    <d v="1905-07-12T01:26:24"/>
    <s v="RMB"/>
    <s v="C49SZX20200076JL"/>
    <s v="鑫东泰"/>
    <s v="YSM10"/>
    <s v="L-&gt;R"/>
    <s v="MVC"/>
    <s v="WRONG"/>
    <s v="含税到厂"/>
    <d v="2020-06-22T00:00:00"/>
    <s v="Yes"/>
    <m/>
    <m/>
    <m/>
    <s v="C200737778"/>
  </r>
  <r>
    <n v="689"/>
    <x v="0"/>
    <x v="0"/>
    <s v="109891(拆分PO109925）"/>
    <s v="Stock order"/>
    <x v="1"/>
    <s v="R-&gt;L"/>
    <s v="No"/>
    <s v="Y51619"/>
    <n v="1"/>
    <s v="CY仓库"/>
    <x v="71"/>
    <n v="6.6500000000000004E-2"/>
    <s v="JUL 20"/>
    <d v="1905-07-12T01:26:24"/>
    <s v="JPY"/>
    <s v="C49SZX20200090SS"/>
    <s v="乐上"/>
    <s v="YSM10"/>
    <s v="L-&gt;R"/>
    <s v="MVC"/>
    <s v="WRONG"/>
    <s v="DAP DG"/>
    <d v="2020-06-29T00:00:00"/>
    <s v="Yes"/>
    <m/>
    <m/>
    <m/>
    <s v="C190434487"/>
  </r>
  <r>
    <n v="683"/>
    <x v="0"/>
    <x v="0"/>
    <s v="109891(拆分PO109925）"/>
    <s v="Stock order"/>
    <x v="1"/>
    <s v="R-&gt;L"/>
    <s v="No"/>
    <s v="Y51620"/>
    <n v="1"/>
    <s v="CY仓库"/>
    <x v="71"/>
    <n v="6.6500000000000004E-2"/>
    <s v="JUL 20"/>
    <d v="1905-07-12T01:26:24"/>
    <s v="JPY"/>
    <s v="C49SZX20200032DZ"/>
    <s v="朗特/end user:朗勤"/>
    <s v="YSM10"/>
    <s v="L-&gt;R"/>
    <s v="MVC"/>
    <s v="WRONG"/>
    <s v="CIF HK"/>
    <d v="2020-06-26T00:00:00"/>
    <s v="Yes"/>
    <m/>
    <m/>
    <m/>
    <s v="C200637456"/>
  </r>
  <r>
    <n v="684"/>
    <x v="0"/>
    <x v="0"/>
    <n v="109891"/>
    <s v="Stock order"/>
    <x v="1"/>
    <s v="R-&gt;L"/>
    <s v="No"/>
    <s v="Y51621"/>
    <n v="1"/>
    <s v="CY仓库"/>
    <x v="71"/>
    <s v="0.0665(价格用PO#109925)"/>
    <s v="JUL 20"/>
    <d v="1905-07-12T01:26:24"/>
    <s v="JPY"/>
    <s v="C49SZX20200032DZ"/>
    <s v="朗特/end user:朗勤"/>
    <s v="YSM10"/>
    <s v="L-&gt;R"/>
    <s v="MVC"/>
    <s v="WRONG"/>
    <s v="CIF HK"/>
    <d v="2020-06-26T00:00:00"/>
    <s v="Yes"/>
    <m/>
    <m/>
    <m/>
    <s v="C200637456"/>
  </r>
  <r>
    <n v="685"/>
    <x v="0"/>
    <x v="0"/>
    <n v="109891"/>
    <s v="Stock order"/>
    <x v="1"/>
    <s v="R-&gt;L"/>
    <s v="No"/>
    <s v="Y51622"/>
    <n v="1"/>
    <s v="CY仓库"/>
    <x v="71"/>
    <s v="0.0665(价格用PO#109925)"/>
    <s v="JUL 20"/>
    <d v="1905-07-12T01:26:24"/>
    <s v="JPY"/>
    <s v="C49SZX20200032DZ"/>
    <s v="朗特/end user:朗勤"/>
    <s v="YSM10"/>
    <s v="L-&gt;R"/>
    <s v="No"/>
    <s v="WRONG"/>
    <s v="CIF HK"/>
    <d v="2020-06-26T00:00:00"/>
    <s v="Yes"/>
    <m/>
    <m/>
    <m/>
    <s v="C200637456"/>
  </r>
  <r>
    <n v="677"/>
    <x v="0"/>
    <x v="0"/>
    <n v="109891"/>
    <s v="Stock order"/>
    <x v="1"/>
    <s v="R-&gt;L"/>
    <s v="No"/>
    <s v="Y51623"/>
    <n v="1"/>
    <s v="CY仓库"/>
    <x v="71"/>
    <s v="0.0665(价格用PO#109925)"/>
    <s v="JUL 20"/>
    <d v="1905-07-12T01:26:24"/>
    <s v="JPY"/>
    <s v="C49SZX20200081DZ"/>
    <s v="朗特"/>
    <s v="YSM10"/>
    <s v="L-&gt;R"/>
    <s v="MVC"/>
    <s v="WRONG"/>
    <s v="CIF HK"/>
    <d v="2020-06-24T00:00:00"/>
    <s v="Yes"/>
    <m/>
    <m/>
    <m/>
    <s v="C190534728"/>
  </r>
  <r>
    <n v="680"/>
    <x v="0"/>
    <x v="0"/>
    <n v="109891"/>
    <s v="Stock order"/>
    <x v="1"/>
    <s v="R-&gt;L"/>
    <s v="No"/>
    <s v="Y51624"/>
    <n v="1"/>
    <s v="力合仓库(已经清关)"/>
    <x v="71"/>
    <n v="6.6100000000000006E-2"/>
    <s v="JUL 20"/>
    <d v="1905-07-12T01:26:24"/>
    <s v="RMB"/>
    <s v="C49SZX20200085JL"/>
    <s v="达人高科"/>
    <s v="YSM10"/>
    <s v="L-&gt;R"/>
    <s v="MVC"/>
    <s v="WRONG"/>
    <s v="含税到厂"/>
    <d v="2020-06-24T00:00:00"/>
    <s v="Yes"/>
    <m/>
    <m/>
    <m/>
    <s v="C191236409"/>
  </r>
  <r>
    <n v="665"/>
    <x v="0"/>
    <x v="0"/>
    <n v="109891"/>
    <s v="Stock order"/>
    <x v="1"/>
    <s v="R-&gt;L"/>
    <s v="No"/>
    <s v="Y51625"/>
    <n v="1"/>
    <s v="力合仓库(已经清关)"/>
    <x v="71"/>
    <n v="6.6100000000000006E-2"/>
    <s v="JUL 20"/>
    <d v="1905-07-12T01:26:24"/>
    <s v="RMB"/>
    <s v="C49SZX20200063SS"/>
    <s v="中润互联"/>
    <s v="YSM10"/>
    <s v="L-&gt;R"/>
    <s v="MVC"/>
    <s v="WRONG"/>
    <s v="含税到厂"/>
    <d v="2020-06-19T00:00:00"/>
    <s v="Yes"/>
    <m/>
    <m/>
    <m/>
    <s v="C200637604"/>
  </r>
  <r>
    <n v="666"/>
    <x v="0"/>
    <x v="0"/>
    <n v="109886"/>
    <s v="Stock order"/>
    <x v="3"/>
    <s v="L-&gt;R"/>
    <s v="No"/>
    <s v="Y51547"/>
    <n v="1"/>
    <s v="华日仓库中转"/>
    <x v="72"/>
    <n v="6.6500000000000004E-2"/>
    <s v="JUL 20"/>
    <n v="2020.06"/>
    <s v="JPY"/>
    <s v="C49SZX20200069JY"/>
    <s v="百纳海"/>
    <s v="YSM20R(SV)-2"/>
    <s v="L-&gt;R"/>
    <s v="No"/>
    <s v="OK"/>
    <s v="DAP SZ"/>
    <d v="2020-06-19T00:00:00"/>
    <s v="Yes"/>
    <m/>
    <m/>
    <m/>
    <s v="C200637625"/>
  </r>
  <r>
    <n v="690"/>
    <x v="0"/>
    <x v="0"/>
    <n v="109886"/>
    <s v="Stock order"/>
    <x v="3"/>
    <s v="L-&gt;R"/>
    <s v="No"/>
    <s v="Y51548"/>
    <n v="1"/>
    <s v="钧溢清关，送力合仓库"/>
    <x v="72"/>
    <s v="0.0667（价格用PO#109868)"/>
    <s v="JUL 20"/>
    <n v="2020.06"/>
    <s v="RMB"/>
    <s v="C49SZX20200087DZ"/>
    <s v="海星"/>
    <s v="YSM20R(SV)-2"/>
    <s v="L-&gt;R"/>
    <s v="MVC"/>
    <s v="WRONG"/>
    <s v="含税到厂"/>
    <d v="2020-06-29T00:00:00"/>
    <s v="Yes"/>
    <m/>
    <m/>
    <m/>
    <s v="C190635038"/>
  </r>
  <r>
    <n v="721"/>
    <x v="0"/>
    <x v="0"/>
    <n v="109886"/>
    <s v="Stock order"/>
    <x v="3"/>
    <s v="L-&gt;R"/>
    <s v="No"/>
    <s v="Y51549"/>
    <n v="1"/>
    <s v="盐保仓库"/>
    <x v="72"/>
    <n v="6.6500000000000004E-2"/>
    <s v="JUL 20"/>
    <n v="2020.06"/>
    <s v="JPY"/>
    <s v="C49SZX20200101MZ"/>
    <s v="崧盛"/>
    <s v="YSM20R(SV)-2"/>
    <s v="L-&gt;R"/>
    <s v="No"/>
    <s v="OK"/>
    <s v="CIF HK"/>
    <d v="2020-07-16T00:00:00"/>
    <s v="Yes"/>
    <m/>
    <m/>
    <m/>
    <s v="C190635053"/>
  </r>
  <r>
    <n v="667"/>
    <x v="0"/>
    <x v="0"/>
    <n v="109886"/>
    <s v="Stock order"/>
    <x v="3"/>
    <s v="L-&gt;R"/>
    <s v="No"/>
    <s v="Y51554"/>
    <n v="1"/>
    <s v="力合仓库(已经清关)"/>
    <x v="72"/>
    <n v="6.6500000000000004E-2"/>
    <s v="JUL 20"/>
    <n v="2020.06"/>
    <s v="RMB"/>
    <s v="C49SZX20200076JL"/>
    <s v="鑫东泰"/>
    <s v="YSM20R(SV)-2"/>
    <s v="L-&gt;R"/>
    <s v="No"/>
    <s v="OK"/>
    <s v="含税到厂"/>
    <d v="2020-06-22T00:00:00"/>
    <s v="Yes"/>
    <m/>
    <m/>
    <m/>
    <s v="C200737778"/>
  </r>
  <r>
    <n v="703"/>
    <x v="0"/>
    <x v="0"/>
    <n v="109886"/>
    <s v="Stock order"/>
    <x v="3"/>
    <s v="L-&gt;R"/>
    <s v="No"/>
    <s v="Y51555"/>
    <n v="1"/>
    <s v="盐保仓库"/>
    <x v="72"/>
    <n v="6.6500000000000004E-2"/>
    <s v="JUL 20"/>
    <n v="2020.06"/>
    <s v="JPY"/>
    <s v="C49SZX20200092SS"/>
    <s v="新平泰end user:弛瑞"/>
    <s v="YSM20R(SV)-2"/>
    <s v="L-&gt;R"/>
    <s v="No"/>
    <s v="OK"/>
    <s v="DAP SZ"/>
    <d v="2020-07-09T00:00:00"/>
    <s v="Yes"/>
    <m/>
    <m/>
    <m/>
    <s v="C191236395"/>
  </r>
  <r>
    <n v="651"/>
    <x v="0"/>
    <x v="0"/>
    <s v="109886(拆分PO109947）"/>
    <s v="Stock order"/>
    <x v="3"/>
    <s v="L-&gt;R"/>
    <s v="No"/>
    <s v="Y51552"/>
    <n v="1"/>
    <s v="CY仓库"/>
    <x v="72"/>
    <s v="NM"/>
    <s v="JUN 20"/>
    <n v="2020.06"/>
    <s v="JPY"/>
    <s v="C49SZX20200033DZ"/>
    <s v="兆晖"/>
    <s v="YSM20R(SV)-2"/>
    <s v="L-&gt;R"/>
    <s v="No"/>
    <s v="OK"/>
    <s v="CIF HK"/>
    <d v="2020-05-27T00:00:00"/>
    <s v="Yes"/>
    <m/>
    <m/>
    <m/>
    <s v="C121114462"/>
  </r>
  <r>
    <n v="682"/>
    <x v="0"/>
    <x v="0"/>
    <s v="109886(拆分PO109947）"/>
    <s v="Stock order"/>
    <x v="3"/>
    <s v="L-&gt;R"/>
    <s v="No"/>
    <s v="Y51553"/>
    <n v="1"/>
    <s v="CY仓库"/>
    <x v="72"/>
    <s v="NM"/>
    <s v="JUL 20"/>
    <n v="2020.06"/>
    <s v="JPY"/>
    <s v="C49SZX20200032DZ"/>
    <s v="朗特/end user:朗勤"/>
    <s v="YSM20R(SV)-2"/>
    <s v="L-&gt;R"/>
    <s v="No"/>
    <s v="OK"/>
    <s v="CIF HK"/>
    <d v="2020-06-26T00:00:00"/>
    <s v="Yes"/>
    <m/>
    <m/>
    <m/>
    <s v="C200637456"/>
  </r>
  <r>
    <n v="649"/>
    <x v="0"/>
    <x v="0"/>
    <s v="109886(拆分PO109947）"/>
    <s v="Stock order"/>
    <x v="3"/>
    <s v="L-&gt;R"/>
    <s v="No"/>
    <s v="Y51550"/>
    <n v="1"/>
    <s v="CY仓库"/>
    <x v="72"/>
    <s v="NM"/>
    <s v="JUN 20"/>
    <n v="2020.06"/>
    <s v="JPY"/>
    <s v="C49SZX20200033DZ"/>
    <s v="兆晖"/>
    <s v="YSM20R(SV)-2"/>
    <s v="L-&gt;R"/>
    <s v="No"/>
    <s v="OK"/>
    <s v="CIF HK"/>
    <d v="2020-05-27T00:00:00"/>
    <s v="Yes"/>
    <m/>
    <m/>
    <m/>
    <s v="C121114462"/>
  </r>
  <r>
    <n v="650"/>
    <x v="0"/>
    <x v="0"/>
    <s v="109886(拆分PO109947）"/>
    <s v="Stock order"/>
    <x v="3"/>
    <s v="L-&gt;R"/>
    <s v="No"/>
    <s v="Y51551"/>
    <n v="1"/>
    <s v="CY仓库"/>
    <x v="72"/>
    <s v="NM"/>
    <s v="JUN 20"/>
    <n v="2020.06"/>
    <s v="JPY"/>
    <s v="C49SZX20200033DZ"/>
    <s v="兆晖"/>
    <s v="YSM20R(SV)-2"/>
    <s v="L-&gt;R"/>
    <s v="No"/>
    <s v="OK"/>
    <s v="CIF HK"/>
    <d v="2020-05-27T00:00:00"/>
    <s v="Yes"/>
    <m/>
    <m/>
    <m/>
    <s v="C121114462"/>
  </r>
  <r>
    <n v="675"/>
    <x v="0"/>
    <x v="0"/>
    <s v="109886(拆分PO109947）"/>
    <s v="Stock order"/>
    <x v="3"/>
    <s v="L-&gt;R"/>
    <s v="No"/>
    <s v="Y51556"/>
    <n v="1"/>
    <s v="CY仓库"/>
    <x v="72"/>
    <s v="NM"/>
    <s v="JUL 20"/>
    <n v="2020.06"/>
    <s v="JPY"/>
    <s v="C49SZX20200081DZ"/>
    <s v="朗特"/>
    <s v="YSM20R(SV)-2"/>
    <s v="L-&gt;R"/>
    <s v="No"/>
    <s v="OK"/>
    <s v="CIF HK"/>
    <d v="2020-06-24T00:00:00"/>
    <s v="Yes"/>
    <m/>
    <m/>
    <m/>
    <s v="C190534728"/>
  </r>
  <r>
    <n v="692"/>
    <x v="0"/>
    <x v="0"/>
    <s v="109917新建PO110003"/>
    <s v="Stock order"/>
    <x v="3"/>
    <s v="L-&gt;R"/>
    <s v="cATS10+special layout"/>
    <s v="Y51841"/>
    <n v="1"/>
    <s v="盐保仓库"/>
    <x v="73"/>
    <s v="NM(CR:0.0670)"/>
    <s v="AUG 20"/>
    <n v="2020.07"/>
    <s v="JPY"/>
    <s v="C49SZX20200116JL"/>
    <s v="德劲"/>
    <s v="YSM20R(SV)-2"/>
    <s v="L-&gt;R"/>
    <s v="cATS10+MVC"/>
    <s v="WRONG"/>
    <s v="DAP SZ"/>
    <d v="2020-07-06T00:00:00"/>
    <s v="Yes"/>
    <m/>
    <m/>
    <m/>
    <s v="C190434452"/>
  </r>
  <r>
    <n v="888"/>
    <x v="0"/>
    <x v="0"/>
    <s v="109917新建PO110003"/>
    <s v="Stock order"/>
    <x v="3"/>
    <s v="L-&gt;R"/>
    <s v="cATS10+special layout"/>
    <s v="Y51842"/>
    <n v="1"/>
    <s v="盐保仓库"/>
    <x v="73"/>
    <s v="NM(CR:0.0670)"/>
    <s v="OCT 20"/>
    <n v="2020.07"/>
    <s v="USD"/>
    <s v="C49SZX20200193SX"/>
    <s v="晨鑫达"/>
    <s v="YSM20R(SV)-2"/>
    <s v="L-&gt;R"/>
    <s v="cATS10+MVC"/>
    <s v="WRONG"/>
    <s v="DAP SZ"/>
    <d v="2020-10-21T00:00:00"/>
    <s v="Yes"/>
    <m/>
    <m/>
    <m/>
    <s v="C200537323"/>
  </r>
  <r>
    <n v="704"/>
    <x v="0"/>
    <x v="0"/>
    <s v="109917(拆分PO109963，新建PO110004）"/>
    <s v="Stock order"/>
    <x v="3"/>
    <s v="L-&gt;R"/>
    <s v="No"/>
    <s v="Y51840"/>
    <n v="1"/>
    <s v="盐保仓库"/>
    <x v="73"/>
    <s v="NM"/>
    <s v="JUL 20"/>
    <n v="2020.07"/>
    <s v="JPY"/>
    <s v="C49SZX20200068MZ"/>
    <s v="天星创展"/>
    <s v="YSM20R(SV)-2"/>
    <s v="L-&gt;R"/>
    <s v="No"/>
    <s v="OK"/>
    <s v="DAP SZ"/>
    <d v="2020-07-09T00:00:00"/>
    <s v="Yes"/>
    <m/>
    <m/>
    <m/>
    <s v="C170629716"/>
  </r>
  <r>
    <n v="686"/>
    <x v="0"/>
    <x v="0"/>
    <s v="109917(拆分PO109963，新建PO110004）"/>
    <s v="Stock order"/>
    <x v="3"/>
    <s v="L-&gt;R"/>
    <s v="No"/>
    <s v="Y51843"/>
    <n v="1"/>
    <s v="盐保仓库"/>
    <x v="73"/>
    <s v="NM"/>
    <s v="JUL 20"/>
    <n v="2020.07"/>
    <s v="JPY"/>
    <s v="C49SZX20200070JY"/>
    <s v="惠州创荣发"/>
    <s v="YSM20R(SV)-2"/>
    <s v="L-&gt;R"/>
    <s v="No"/>
    <s v="OK"/>
    <s v="DAP HZ"/>
    <d v="2020-06-23T00:00:00"/>
    <s v="Yes"/>
    <m/>
    <m/>
    <m/>
    <s v="C200437179"/>
  </r>
  <r>
    <n v="727"/>
    <x v="0"/>
    <x v="0"/>
    <s v="109917(拆分PO109963，新建PO110004）"/>
    <s v="Stock order"/>
    <x v="3"/>
    <s v="L-&gt;R"/>
    <s v="No"/>
    <s v="Y51844"/>
    <n v="1"/>
    <s v="盐保仓库"/>
    <x v="73"/>
    <s v="NM"/>
    <s v="AUG 20"/>
    <n v="2020.07"/>
    <s v="JPY"/>
    <s v="C49SZX20200106SS"/>
    <s v="泰鑫荣"/>
    <s v="YSM20R(SV)-2"/>
    <s v="L-&gt;R"/>
    <s v="MVC"/>
    <s v="WRONG"/>
    <s v="DAP SZ"/>
    <d v="2020-07-17T00:00:00"/>
    <s v="Yes"/>
    <m/>
    <m/>
    <m/>
    <s v="C200737853"/>
  </r>
  <r>
    <n v="673"/>
    <x v="0"/>
    <x v="0"/>
    <s v="109917(拆分PO109998）"/>
    <s v="Stock order"/>
    <x v="3"/>
    <s v="L-&gt;R"/>
    <s v="No"/>
    <s v="Y51845"/>
    <n v="1"/>
    <s v="盐保仓库"/>
    <x v="73"/>
    <n v="6.6100000000000006E-2"/>
    <s v="AUG 20"/>
    <n v="2020.07"/>
    <s v="RMB"/>
    <s v="C49SZX20200079KW"/>
    <s v="晨日电子"/>
    <s v="YSM20R(SV)-2"/>
    <s v="L-&gt;R"/>
    <s v="No"/>
    <s v="OK"/>
    <s v="含税到厂"/>
    <d v="2020-06-23T00:00:00"/>
    <s v="Yes"/>
    <m/>
    <m/>
    <m/>
    <s v="C200737734"/>
  </r>
  <r>
    <n v="687"/>
    <x v="0"/>
    <x v="0"/>
    <n v="109924"/>
    <s v="Stock order"/>
    <x v="1"/>
    <s v="R-&gt;L"/>
    <s v="No"/>
    <s v="Y51907"/>
    <n v="1"/>
    <s v="盐保仓库"/>
    <x v="73"/>
    <s v="NM"/>
    <s v="JUL 20"/>
    <d v="1905-07-12T01:40:48"/>
    <s v="JPY"/>
    <s v="C49SZX20200070JY"/>
    <s v="惠州创荣发"/>
    <s v="YSM10"/>
    <s v="L-&gt;R"/>
    <s v="MVC"/>
    <s v="WRONG"/>
    <s v="DAP HZ"/>
    <d v="2020-06-23T00:00:00"/>
    <s v="Yes"/>
    <m/>
    <m/>
    <m/>
    <s v="C200437179"/>
  </r>
  <r>
    <n v="688"/>
    <x v="0"/>
    <x v="0"/>
    <n v="109924"/>
    <s v="Stock order"/>
    <x v="1"/>
    <s v="R-&gt;L"/>
    <s v="No"/>
    <s v="Y51904"/>
    <n v="1"/>
    <s v="盐保仓库"/>
    <x v="73"/>
    <s v="NM"/>
    <s v="JUL 20"/>
    <d v="1905-07-12T01:40:48"/>
    <s v="JPY"/>
    <s v="C49SZX20200070JY"/>
    <s v="惠州创荣发"/>
    <s v="YSM10"/>
    <s v="L-&gt;R"/>
    <s v="MVC"/>
    <s v="WRONG"/>
    <s v="DAP HZ"/>
    <d v="2020-06-23T00:00:00"/>
    <s v="Yes"/>
    <m/>
    <m/>
    <m/>
    <s v="C200437179"/>
  </r>
  <r>
    <n v="691"/>
    <x v="0"/>
    <x v="0"/>
    <n v="109924"/>
    <s v="Stock order"/>
    <x v="1"/>
    <s v="R-&gt;L"/>
    <s v="No"/>
    <s v="Y51909"/>
    <n v="1"/>
    <s v="盐保仓库"/>
    <x v="73"/>
    <s v="NM"/>
    <s v="JUL 20"/>
    <d v="1905-07-12T01:40:48"/>
    <s v="JPY"/>
    <s v="C49SZX20200072JY"/>
    <s v="百施达"/>
    <s v="YSM10"/>
    <s v="L-&gt;R"/>
    <s v="MVC"/>
    <s v="WRONG"/>
    <s v="DAP DG"/>
    <d v="2020-07-02T00:00:00"/>
    <s v="Yes"/>
    <m/>
    <m/>
    <m/>
    <s v="C170629555"/>
  </r>
  <r>
    <n v="709"/>
    <x v="0"/>
    <x v="0"/>
    <n v="109924"/>
    <s v="Stock order"/>
    <x v="1"/>
    <s v="R-&gt;L"/>
    <s v="No"/>
    <s v="Y51906"/>
    <n v="1"/>
    <s v="盐保仓库"/>
    <x v="73"/>
    <s v="NM"/>
    <s v="JUL 20"/>
    <d v="1905-07-12T01:40:48"/>
    <s v="JPY"/>
    <s v="C49SZX20200098ZX"/>
    <s v="格美通"/>
    <s v="YSM10"/>
    <s v="L-&gt;R"/>
    <s v="MVC"/>
    <s v="WRONG"/>
    <s v="DAP SZ"/>
    <d v="2020-07-14T00:00:00"/>
    <s v="Yes"/>
    <m/>
    <m/>
    <m/>
    <s v="C180131148"/>
  </r>
  <r>
    <n v="733"/>
    <x v="0"/>
    <x v="0"/>
    <s v="109924(拆分PO109962)"/>
    <s v="Stock order"/>
    <x v="1"/>
    <s v="R-&gt;L"/>
    <s v="No"/>
    <s v="Y51903"/>
    <n v="1"/>
    <s v="力合仓库(已经清关)"/>
    <x v="73"/>
    <n v="6.6100000000000006E-2"/>
    <s v="JUL 20"/>
    <d v="1905-07-12T01:40:48"/>
    <s v="RMB"/>
    <s v="C49SZX20200097JY"/>
    <s v="辉拓（end user：海纳科）"/>
    <s v="YSM10"/>
    <s v="L-&gt;R"/>
    <s v="MVC"/>
    <s v="WRONG"/>
    <s v="含税到厂"/>
    <d v="2020-07-20T00:00:00"/>
    <s v="Yes"/>
    <m/>
    <m/>
    <m/>
    <s v="C141021119"/>
  </r>
  <r>
    <n v="710"/>
    <x v="0"/>
    <x v="0"/>
    <s v="109924(拆分PO109962)"/>
    <s v="Stock order"/>
    <x v="1"/>
    <s v="R-&gt;L"/>
    <s v="No"/>
    <s v="Y51908"/>
    <n v="1"/>
    <s v="盐保仓库"/>
    <x v="73"/>
    <n v="6.6100000000000006E-2"/>
    <s v="JUL 20"/>
    <d v="1905-07-12T01:40:48"/>
    <s v="JPY"/>
    <s v="C49SZX20200098ZX"/>
    <s v="格美通"/>
    <s v="YSM10"/>
    <s v="L-&gt;R"/>
    <s v="MVC"/>
    <s v="WRONG"/>
    <s v="DAP SZ"/>
    <d v="2020-07-14T00:00:00"/>
    <s v="Yes"/>
    <m/>
    <m/>
    <m/>
    <s v="C180131148"/>
  </r>
  <r>
    <n v="679"/>
    <x v="0"/>
    <x v="0"/>
    <s v="109924(拆分PO109962)"/>
    <s v="Stock order"/>
    <x v="1"/>
    <s v="R-&gt;L"/>
    <s v="No"/>
    <s v="Y51905"/>
    <n v="1"/>
    <s v="盐保仓库"/>
    <x v="73"/>
    <n v="6.6100000000000006E-2"/>
    <s v="JUL 20"/>
    <d v="1905-07-12T01:40:48"/>
    <s v="RMB"/>
    <s v="C49SZX20200085JL"/>
    <s v="达人高科"/>
    <s v="YSM10"/>
    <s v="L-&gt;R"/>
    <s v="MVC"/>
    <s v="WRONG"/>
    <s v="含税到厂"/>
    <d v="2020-06-24T00:00:00"/>
    <s v="Yes"/>
    <m/>
    <m/>
    <m/>
    <s v="C191236409"/>
  </r>
  <r>
    <n v="764"/>
    <x v="0"/>
    <x v="0"/>
    <s v="109924(拆分PO109962)"/>
    <s v="Stock order"/>
    <x v="1"/>
    <s v="R-&gt;L"/>
    <s v="No"/>
    <s v="Y51910"/>
    <n v="1"/>
    <s v="盐保仓库"/>
    <x v="73"/>
    <n v="6.6100000000000006E-2"/>
    <s v="AUG 20"/>
    <d v="1905-07-12T01:40:48"/>
    <s v="RMB"/>
    <s v="C49SZX20200131KW"/>
    <s v="江恒"/>
    <s v="YSM10"/>
    <s v="L-&gt;R"/>
    <s v="MVC"/>
    <s v="WRONG"/>
    <s v="含税到厂"/>
    <d v="2020-08-08T00:00:00"/>
    <s v="Yes"/>
    <m/>
    <m/>
    <m/>
    <s v="C170930142"/>
  </r>
  <r>
    <n v="752"/>
    <x v="0"/>
    <x v="0"/>
    <s v="49F103569"/>
    <s v="上海机器"/>
    <x v="3"/>
    <s v="L-&gt;R"/>
    <s v="No"/>
    <s v="Y51940"/>
    <n v="1"/>
    <s v="上海仓库"/>
    <x v="74"/>
    <n v="6.6900000000000001E-2"/>
    <s v="AUG 20"/>
    <n v="2020.07"/>
    <s v="RMB"/>
    <s v="C49SZX20200119SS"/>
    <s v="兴丰源"/>
    <s v="YSM20R(SV)-2"/>
    <s v="L-&gt;R"/>
    <s v="No"/>
    <s v="OK"/>
    <s v="含税到厂"/>
    <d v="2020-07-30T00:00:00"/>
    <s v="Yes"/>
    <m/>
    <m/>
    <m/>
    <s v="C200537351"/>
  </r>
  <r>
    <n v="462"/>
    <x v="0"/>
    <x v="0"/>
    <n v="109933"/>
    <s v="智序名义下单"/>
    <x v="1"/>
    <s v="R-&gt;L"/>
    <s v="ATS15"/>
    <s v="Y51972"/>
    <n v="1"/>
    <s v="盐保仓库"/>
    <x v="75"/>
    <s v="NM"/>
    <s v="AUG 20"/>
    <d v="1905-07-12T01:40:48"/>
    <s v="JPY"/>
    <s v="C49SZX20190151MZ"/>
    <s v="魔乐视/end user:拓普赛特"/>
    <s v="YSM10"/>
    <s v="L-&gt;R"/>
    <s v="MVC+ATS15"/>
    <s v="WRONG"/>
    <s v="DAP SZ"/>
    <d v="2019-10-24T00:00:00"/>
    <s v="Yes"/>
    <m/>
    <m/>
    <m/>
    <s v="C190434446"/>
  </r>
  <r>
    <n v="767"/>
    <x v="0"/>
    <x v="0"/>
    <n v="109933"/>
    <s v="智序名义下单"/>
    <x v="1"/>
    <s v="R-&gt;L"/>
    <s v="ATS15"/>
    <s v="Y51973"/>
    <n v="1"/>
    <s v="盐保仓库"/>
    <x v="75"/>
    <s v="NM(CR:0.0685)"/>
    <s v="SEP 20"/>
    <d v="1905-07-12T01:40:48"/>
    <s v="JPY"/>
    <s v="C49SZX20200078CY"/>
    <s v="博德越"/>
    <s v="YSM10"/>
    <s v="R-&gt;L"/>
    <s v="MVC+ATS15"/>
    <s v="WRONG"/>
    <s v="DAP SZ"/>
    <d v="2020-08-10T00:00:00"/>
    <s v="Yes"/>
    <m/>
    <m/>
    <m/>
    <s v="C200838030"/>
  </r>
  <r>
    <n v="732"/>
    <x v="0"/>
    <x v="0"/>
    <n v="109933"/>
    <s v="智序名义下单"/>
    <x v="1"/>
    <s v="R-&gt;L"/>
    <s v="ATS15"/>
    <s v="Y51983"/>
    <n v="1"/>
    <s v="盐保仓库"/>
    <x v="75"/>
    <s v="NM(CR:0.0685)"/>
    <s v="SEP 20"/>
    <d v="1905-07-12T01:40:48"/>
    <s v="JPY"/>
    <s v="C49SZX20200110MZ"/>
    <s v="融创新合"/>
    <s v="YSM10"/>
    <s v="L-&gt;R"/>
    <s v="MVC+ATS15"/>
    <s v="WRONG"/>
    <s v="CIF HK"/>
    <d v="2020-07-21T00:00:00"/>
    <s v="Yes"/>
    <m/>
    <m/>
    <m/>
    <s v="C200637437"/>
  </r>
  <r>
    <n v="773"/>
    <x v="0"/>
    <x v="0"/>
    <n v="109933"/>
    <s v="智序名义下单"/>
    <x v="3"/>
    <s v="R-&gt;L"/>
    <s v="No"/>
    <s v="Y51966"/>
    <n v="1"/>
    <s v="力合仓库(已经清关)"/>
    <x v="75"/>
    <s v="0.0655(价格用PO109999）"/>
    <s v="SEP 20"/>
    <n v="2020.07"/>
    <s v="RMB"/>
    <s v="C49SZX20200123DZ"/>
    <s v="海星"/>
    <s v="YSM20R(SV)-2"/>
    <s v="R-&gt;L"/>
    <s v="No"/>
    <s v="OK"/>
    <s v="含税到厂"/>
    <d v="2020-08-13T00:00:00"/>
    <s v="Yes"/>
    <m/>
    <m/>
    <m/>
    <s v="C190635038"/>
  </r>
  <r>
    <n v="678"/>
    <x v="0"/>
    <x v="0"/>
    <n v="109933"/>
    <s v="智序名义下单"/>
    <x v="3"/>
    <s v="R-&gt;L"/>
    <s v="No"/>
    <s v="Y51967"/>
    <n v="1"/>
    <s v="盐保仓库"/>
    <x v="75"/>
    <s v="NM"/>
    <s v="AUG 20"/>
    <n v="2020.07"/>
    <s v="JPY"/>
    <s v="C49SZX20200082DZ"/>
    <s v="朗特"/>
    <s v="YSM20R(SV)-2"/>
    <s v="R-&gt;L"/>
    <s v="No"/>
    <s v="OK"/>
    <s v="CIF HK"/>
    <d v="2020-06-24T00:00:00"/>
    <s v="Yes"/>
    <m/>
    <m/>
    <m/>
    <s v="C190534728"/>
  </r>
  <r>
    <n v="461"/>
    <x v="0"/>
    <x v="0"/>
    <n v="109933"/>
    <s v="智序名义下单"/>
    <x v="3"/>
    <s v="L-&gt;R"/>
    <s v="No"/>
    <s v="Y51968"/>
    <n v="1"/>
    <s v="盐保仓库"/>
    <x v="75"/>
    <s v="NM"/>
    <s v="AUG 20"/>
    <n v="2020.07"/>
    <s v="JPY"/>
    <s v="C49SZX20190151MZ"/>
    <s v="魔乐视/end user:拓普赛特"/>
    <s v="YSM20R(SV)-2"/>
    <s v="L-&gt;R"/>
    <s v="No"/>
    <s v="OK"/>
    <s v="DAP SZ"/>
    <d v="2019-10-24T00:00:00"/>
    <s v="Yes"/>
    <m/>
    <m/>
    <m/>
    <s v="C190434446"/>
  </r>
  <r>
    <n v="693"/>
    <x v="0"/>
    <x v="0"/>
    <n v="109933"/>
    <s v="智序名义下单"/>
    <x v="3"/>
    <s v="L-&gt;R"/>
    <s v="No"/>
    <s v="Y51969"/>
    <n v="1"/>
    <s v="盐保仓库"/>
    <x v="75"/>
    <s v="NM(CR:0.0685)"/>
    <s v="AUG 20"/>
    <n v="2020.07"/>
    <s v="JPY"/>
    <s v="C49SZX20200116JL"/>
    <s v="德劲"/>
    <s v="YSM20R(SV)-2"/>
    <s v="L-&gt;R"/>
    <s v="MVC"/>
    <s v="WRONG"/>
    <s v="DAP SZ"/>
    <d v="2020-07-06T00:00:00"/>
    <s v="Yes"/>
    <m/>
    <m/>
    <m/>
    <s v="C190434452"/>
  </r>
  <r>
    <n v="694"/>
    <x v="0"/>
    <x v="0"/>
    <n v="109933"/>
    <s v="智序名义下单"/>
    <x v="3"/>
    <s v="L-&gt;R"/>
    <s v="No"/>
    <s v="Y51970"/>
    <n v="1"/>
    <s v="盐保仓库"/>
    <x v="75"/>
    <s v="NM(CR:0.0685)"/>
    <s v="AUG 20"/>
    <n v="2020.07"/>
    <s v="JPY"/>
    <s v="C49SZX20200116JL"/>
    <s v="德劲"/>
    <s v="YSM20R(SV)-2"/>
    <s v="L-&gt;R"/>
    <s v="MVC"/>
    <s v="WRONG"/>
    <s v="DAP SZ"/>
    <d v="2020-07-06T00:00:00"/>
    <s v="Yes"/>
    <m/>
    <m/>
    <m/>
    <s v="C190434452"/>
  </r>
  <r>
    <n v="695"/>
    <x v="0"/>
    <x v="0"/>
    <n v="109933"/>
    <s v="智序名义下单"/>
    <x v="3"/>
    <s v="L-&gt;R"/>
    <s v="No"/>
    <s v="Y51971"/>
    <n v="1"/>
    <s v="盐保仓库"/>
    <x v="75"/>
    <s v="NM(CR:0.0685)"/>
    <s v="AUG 20"/>
    <n v="2020.07"/>
    <s v="JPY"/>
    <s v="C49SZX20200116JL"/>
    <s v="德劲"/>
    <s v="YSM20R(SV)-2"/>
    <s v="L-&gt;R"/>
    <s v="MVC"/>
    <s v="WRONG"/>
    <s v="DAP SZ"/>
    <d v="2020-07-06T00:00:00"/>
    <s v="Yes"/>
    <m/>
    <m/>
    <m/>
    <s v="C190434452"/>
  </r>
  <r>
    <n v="670"/>
    <x v="0"/>
    <x v="0"/>
    <s v="49J103603"/>
    <s v="正邦名义下单"/>
    <x v="0"/>
    <s v="L-&gt;R"/>
    <s v="No"/>
    <s v="Y50716"/>
    <n v="1"/>
    <s v="Yamaha 大浪仓"/>
    <x v="76"/>
    <s v="NM "/>
    <s v="JUL 20"/>
    <m/>
    <s v="RMB"/>
    <s v="C49SZX20200077JZ"/>
    <s v="正邦"/>
    <s v="YSM40R-4"/>
    <s v="L-&gt;R"/>
    <s v="No"/>
    <s v="OK"/>
    <s v="含税到厂"/>
    <d v="2020-06-23T00:00:00"/>
    <s v="Yes"/>
    <m/>
    <m/>
    <m/>
    <s v="IND order "/>
  </r>
  <r>
    <n v="706"/>
    <x v="0"/>
    <x v="0"/>
    <n v="109957"/>
    <s v="Stock order"/>
    <x v="1"/>
    <s v="R-&gt;L"/>
    <s v="ATS15"/>
    <s v="Y52108"/>
    <n v="1"/>
    <s v="盐保仓库"/>
    <x v="77"/>
    <s v="NM(CR:0.0685)"/>
    <s v="SEP 20"/>
    <d v="1905-07-12T01:40:48"/>
    <s v="JPY"/>
    <s v="C49SZX20200075EC"/>
    <s v="海红天远"/>
    <s v="YSM10"/>
    <s v="R-&gt;L"/>
    <s v="MVC+ATS15"/>
    <s v="WRONG"/>
    <s v="CIF HK"/>
    <d v="2020-07-13T00:00:00"/>
    <s v="Yes"/>
    <m/>
    <m/>
    <m/>
    <s v="C200737827"/>
  </r>
  <r>
    <n v="768"/>
    <x v="0"/>
    <x v="0"/>
    <n v="109957"/>
    <s v="Stock order"/>
    <x v="1"/>
    <s v="R-&gt;L"/>
    <s v="ATS15"/>
    <s v="Y52109"/>
    <n v="1"/>
    <s v="盐保仓库"/>
    <x v="77"/>
    <s v="NM(CR:0.0685)"/>
    <s v="SEP 20"/>
    <d v="1905-07-12T01:40:48"/>
    <s v="JPY"/>
    <s v="C49SZX20200078CY"/>
    <s v="博德越"/>
    <s v="YSM10"/>
    <s v="R-&gt;L"/>
    <s v="MVC+ATS15"/>
    <s v="WRONG"/>
    <s v="DAP SZ"/>
    <d v="2020-08-10T00:00:00"/>
    <s v="Yes"/>
    <m/>
    <m/>
    <m/>
    <s v="C200838030"/>
  </r>
  <r>
    <n v="734"/>
    <x v="0"/>
    <x v="0"/>
    <n v="109957"/>
    <s v="Stock order"/>
    <x v="1"/>
    <s v="R-&gt;L"/>
    <s v="No"/>
    <s v="Y52110（不能调动机器，序列号提供给了客户）"/>
    <n v="1"/>
    <s v="盐保仓库"/>
    <x v="77"/>
    <s v="NM(CR:0.0685)"/>
    <s v="SEP 20"/>
    <d v="1905-07-12T01:40:48"/>
    <s v="JPY"/>
    <s v="C49SZX20200125JY"/>
    <s v="昊亮迪（end user：海纳科）"/>
    <s v="YSM10"/>
    <s v="L-&gt;R"/>
    <s v="MVC"/>
    <s v="WRONG"/>
    <s v="DAP SZ"/>
    <d v="2020-07-20T00:00:00"/>
    <s v="Yes"/>
    <m/>
    <m/>
    <m/>
    <s v="C200838012"/>
  </r>
  <r>
    <n v="775"/>
    <x v="0"/>
    <x v="0"/>
    <n v="109957"/>
    <s v="Stock order"/>
    <x v="1"/>
    <s v="R-&gt;L"/>
    <s v="No"/>
    <s v="Y52111"/>
    <n v="1"/>
    <s v="力合仓库(已经清关)"/>
    <x v="77"/>
    <s v="0.0655(价格用PO109977）"/>
    <s v="SEP 20"/>
    <d v="1905-07-12T01:40:48"/>
    <s v="RMB"/>
    <s v="C49SZX20200123DZ"/>
    <s v="海星"/>
    <s v="YSM10"/>
    <s v="R-&gt;L"/>
    <s v="MVC"/>
    <s v="WRONG"/>
    <s v="含税到厂"/>
    <d v="2020-08-13T00:00:00"/>
    <s v="Yes"/>
    <m/>
    <m/>
    <m/>
    <s v="C190635038"/>
  </r>
  <r>
    <n v="729"/>
    <x v="0"/>
    <x v="0"/>
    <n v="109957"/>
    <s v="Stock order"/>
    <x v="1"/>
    <s v="R-&gt;L"/>
    <s v="No"/>
    <s v="Y52112"/>
    <n v="1"/>
    <s v="盐保仓库"/>
    <x v="77"/>
    <s v="NM(CR:0.0685)"/>
    <s v="AUG 20"/>
    <d v="1905-07-12T01:55:12"/>
    <s v="JPY"/>
    <s v="C49SZX20200066SX"/>
    <s v="锐诚"/>
    <s v="YSM10"/>
    <s v="L-&gt;R"/>
    <s v="MVC"/>
    <s v="WRONG"/>
    <s v="DAP HZ"/>
    <d v="2020-07-20T00:00:00"/>
    <s v="Yes"/>
    <m/>
    <m/>
    <m/>
    <s v="C180231291"/>
  </r>
  <r>
    <n v="730"/>
    <x v="0"/>
    <x v="0"/>
    <n v="109957"/>
    <s v="Stock order"/>
    <x v="1"/>
    <s v="R-&gt;L"/>
    <s v="No"/>
    <s v="Y52113"/>
    <n v="1"/>
    <s v="盐保仓库"/>
    <x v="77"/>
    <s v="NM(CR:0.0685)"/>
    <s v="AUG 20"/>
    <d v="1905-07-12T01:55:12"/>
    <s v="JPY"/>
    <s v="C49SZX20200066SX"/>
    <s v="锐诚"/>
    <s v="YSM10"/>
    <s v="L-&gt;R"/>
    <s v="No"/>
    <s v="WRONG"/>
    <s v="DAP HZ"/>
    <d v="2020-07-20T00:00:00"/>
    <s v="Yes"/>
    <m/>
    <m/>
    <m/>
    <s v="C180231291"/>
  </r>
  <r>
    <n v="771"/>
    <x v="0"/>
    <x v="0"/>
    <n v="109957"/>
    <s v="Stock order"/>
    <x v="1"/>
    <s v="R-&gt;L"/>
    <s v="No"/>
    <s v="Y52114"/>
    <n v="1"/>
    <s v="盐保仓库"/>
    <x v="77"/>
    <s v="NM(CR:0.0685)"/>
    <s v="SEP 20"/>
    <d v="1905-07-12T01:55:12"/>
    <s v="RMB"/>
    <s v="C49SZX20200126JY"/>
    <s v="芯联鑫"/>
    <s v="YSM10"/>
    <s v="L-&gt;R"/>
    <s v="MVC"/>
    <s v="WRONG"/>
    <s v="含税到厂"/>
    <d v="2020-08-11T00:00:00"/>
    <s v="Yes"/>
    <m/>
    <m/>
    <m/>
    <s v="C200737845"/>
  </r>
  <r>
    <n v="696"/>
    <x v="0"/>
    <x v="0"/>
    <n v="109981"/>
    <s v="德劲名义下单"/>
    <x v="0"/>
    <s v="L-&gt;R"/>
    <s v="No"/>
    <s v="Y51103"/>
    <n v="1"/>
    <s v="盐保仓库"/>
    <x v="78"/>
    <s v="NM(CR:0.0685)"/>
    <s v="AUG 20"/>
    <d v="1905-07-12T00:57:36"/>
    <s v="JPY"/>
    <s v="C49SZX20200116JL"/>
    <s v="德劲"/>
    <s v="YSM40R-4"/>
    <s v="L-&gt;R"/>
    <s v="No"/>
    <s v="OK"/>
    <s v="DAP SZ"/>
    <d v="2020-07-06T00:00:00"/>
    <s v="Yes"/>
    <m/>
    <m/>
    <m/>
    <s v="IND order "/>
  </r>
  <r>
    <n v="793"/>
    <x v="0"/>
    <x v="0"/>
    <s v="109981(拆分PO110029）"/>
    <s v="德劲名义下单"/>
    <x v="0"/>
    <s v="L-&gt;R"/>
    <s v="No"/>
    <s v="Y51203"/>
    <n v="1"/>
    <s v="盐保仓库"/>
    <x v="78"/>
    <n v="6.5500000000000003E-2"/>
    <s v="SEP 20"/>
    <d v="1905-07-12T00:57:36"/>
    <s v="RMB"/>
    <s v="C49SZX20200127KW"/>
    <s v="万恒光电"/>
    <s v="YSM40R-4"/>
    <s v="L-&gt;R"/>
    <s v="No"/>
    <s v="OK"/>
    <s v="含税到厂"/>
    <d v="2020-08-26T00:00:00"/>
    <s v="Yes"/>
    <m/>
    <m/>
    <m/>
    <s v="C200938128"/>
  </r>
  <r>
    <n v="707"/>
    <x v="0"/>
    <x v="0"/>
    <n v="109958"/>
    <s v="Stock order"/>
    <x v="1"/>
    <s v="R-&gt;L"/>
    <s v="No"/>
    <s v="Y52115"/>
    <n v="1"/>
    <s v="盐保仓库"/>
    <x v="79"/>
    <n v="6.6299999999999998E-2"/>
    <s v="SEP 20"/>
    <d v="1905-07-12T01:55:12"/>
    <s v="JPY"/>
    <s v="C49SZX20200075EC"/>
    <s v="海红天远"/>
    <s v="YSM10"/>
    <s v="R-&gt;L"/>
    <s v="No"/>
    <s v="OK"/>
    <s v="CIF HK"/>
    <d v="2020-07-13T00:00:00"/>
    <s v="Yes"/>
    <m/>
    <m/>
    <m/>
    <s v="C200737827"/>
  </r>
  <r>
    <n v="724"/>
    <x v="0"/>
    <x v="0"/>
    <n v="109958"/>
    <s v="Stock order"/>
    <x v="1"/>
    <s v="R-&gt;L"/>
    <s v="No"/>
    <s v="Y52116"/>
    <n v="1"/>
    <s v="盐保仓库"/>
    <x v="79"/>
    <n v="6.6299999999999998E-2"/>
    <s v="SEP 20"/>
    <d v="1905-07-12T01:55:12"/>
    <s v="JPY"/>
    <s v="C49SZX20200102MZ"/>
    <s v="崧盛"/>
    <s v="YSM10"/>
    <s v="L-&gt;R"/>
    <s v="No"/>
    <s v="WRONG"/>
    <s v="CIF HK"/>
    <d v="2020-07-16T00:00:00"/>
    <s v="Yes"/>
    <m/>
    <m/>
    <m/>
    <s v="C190635053"/>
  </r>
  <r>
    <n v="725"/>
    <x v="0"/>
    <x v="0"/>
    <n v="109958"/>
    <s v="Stock order"/>
    <x v="1"/>
    <s v="R-&gt;L"/>
    <s v="No"/>
    <s v="Y52117"/>
    <n v="1"/>
    <s v="盐保仓库"/>
    <x v="79"/>
    <n v="6.6299999999999998E-2"/>
    <s v="SEP 20"/>
    <d v="1905-07-12T01:55:12"/>
    <s v="JPY"/>
    <s v="C49SZX20200102MZ"/>
    <s v="崧盛"/>
    <s v="YSM10"/>
    <s v="L-&gt;R"/>
    <s v="No"/>
    <s v="WRONG"/>
    <s v="CIF HK"/>
    <d v="2020-07-16T00:00:00"/>
    <s v="Yes"/>
    <m/>
    <m/>
    <m/>
    <s v="C190635053"/>
  </r>
  <r>
    <n v="719"/>
    <x v="0"/>
    <x v="0"/>
    <n v="109958"/>
    <s v="Stock order"/>
    <x v="1"/>
    <s v="R-&gt;L"/>
    <s v="No"/>
    <s v="Y52118"/>
    <n v="1"/>
    <s v="盐保仓库"/>
    <x v="79"/>
    <n v="6.6299999999999998E-2"/>
    <s v="SEP 20"/>
    <d v="1905-07-12T01:55:12"/>
    <s v="JPY"/>
    <s v="C49SZX20200103SS"/>
    <s v="钧溢电子"/>
    <s v="YSM10"/>
    <s v="L-&gt;R"/>
    <s v="MVC"/>
    <s v="WRONG"/>
    <s v="DAP SZ"/>
    <d v="2020-07-15T00:00:00"/>
    <s v="Yes"/>
    <m/>
    <m/>
    <m/>
    <s v="C191136105"/>
  </r>
  <r>
    <n v="742"/>
    <x v="0"/>
    <x v="0"/>
    <n v="109958"/>
    <s v="Stock order"/>
    <x v="1"/>
    <s v="R-&gt;L"/>
    <s v="No"/>
    <s v="Y52119"/>
    <n v="1"/>
    <s v="盐保仓库"/>
    <x v="79"/>
    <n v="6.6299999999999998E-2"/>
    <s v="SEP 20"/>
    <d v="1905-07-12T01:55:12"/>
    <s v="JPY"/>
    <s v="C49SZX20200111JY"/>
    <s v="华创易达"/>
    <s v="YSM10"/>
    <s v="L-&gt;R"/>
    <s v="No"/>
    <s v="WRONG"/>
    <s v="DAP SZ"/>
    <d v="2020-07-23T00:00:00"/>
    <s v="Yes"/>
    <m/>
    <m/>
    <m/>
    <s v="C200737736"/>
  </r>
  <r>
    <n v="728"/>
    <x v="0"/>
    <x v="0"/>
    <s v="109954(拆分PO109999）"/>
    <s v="Stock order"/>
    <x v="3"/>
    <s v="L-&gt;R"/>
    <s v="No"/>
    <s v="Y52100"/>
    <n v="1"/>
    <s v="力合中转仓"/>
    <x v="80"/>
    <n v="6.5500000000000003E-2"/>
    <s v="SEP 20"/>
    <n v="2020.09"/>
    <s v="RMB"/>
    <s v="C49SZX20200096MZ"/>
    <s v="东原"/>
    <s v="YSM20R(SV)-2"/>
    <s v="L-&gt;R"/>
    <s v="No"/>
    <s v="OK"/>
    <s v="含税到厂"/>
    <d v="2020-07-18T00:00:00"/>
    <s v="Yes"/>
    <m/>
    <m/>
    <m/>
    <s v="C150222316"/>
  </r>
  <r>
    <n v="758"/>
    <x v="0"/>
    <x v="0"/>
    <s v="109954(拆分PO109999）"/>
    <s v="Stock order"/>
    <x v="3"/>
    <s v="L-&gt;R"/>
    <s v="No"/>
    <s v="Y52101"/>
    <n v="1"/>
    <s v="力合中转仓"/>
    <x v="80"/>
    <s v="NM（价格用PO#109933)"/>
    <s v="SEP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59"/>
    <x v="0"/>
    <x v="0"/>
    <s v="109954(拆分PO109999）"/>
    <s v="Stock order"/>
    <x v="3"/>
    <s v="L-&gt;R"/>
    <s v="No"/>
    <s v="Y52102"/>
    <n v="1"/>
    <s v="力合中转仓"/>
    <x v="80"/>
    <n v="6.5500000000000003E-2"/>
    <s v="SEP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36"/>
    <x v="0"/>
    <x v="0"/>
    <s v="109954(拆分PO110000)"/>
    <s v="Stock order"/>
    <x v="3"/>
    <s v="L-&gt;R"/>
    <s v="No"/>
    <s v="Y52103"/>
    <n v="1"/>
    <s v="力合中转仓"/>
    <x v="80"/>
    <n v="6.5600000000000006E-2"/>
    <s v="SEP 20"/>
    <n v="2020.09"/>
    <s v="JPY"/>
    <s v="C49SZX20200108JL"/>
    <s v="伯莱科"/>
    <s v="YSM20R(SV)-2"/>
    <s v="L-&gt;R"/>
    <s v="No"/>
    <s v="OK"/>
    <s v="DAP SZ"/>
    <d v="2020-07-21T00:00:00"/>
    <s v="Yes"/>
    <m/>
    <m/>
    <m/>
    <s v="C170128496"/>
  </r>
  <r>
    <n v="722"/>
    <x v="0"/>
    <x v="0"/>
    <s v="109954(拆分PO110000)"/>
    <s v="Stock order"/>
    <x v="3"/>
    <s v="L-&gt;R"/>
    <s v="No"/>
    <s v="Y52104"/>
    <n v="1"/>
    <s v="盐保仓库"/>
    <x v="80"/>
    <n v="6.5600000000000006E-2"/>
    <s v="SEP 20"/>
    <n v="2020.09"/>
    <s v="JPY"/>
    <s v="C49SZX20200102MZ"/>
    <s v="崧盛"/>
    <s v="YSM20R(SV)-2"/>
    <s v="L-&gt;R"/>
    <s v="No"/>
    <s v="OK"/>
    <s v="CIF HK"/>
    <d v="2020-07-16T00:00:00"/>
    <s v="Yes"/>
    <m/>
    <m/>
    <m/>
    <s v="C190635053"/>
  </r>
  <r>
    <n v="723"/>
    <x v="0"/>
    <x v="0"/>
    <n v="109954"/>
    <s v="Stock order"/>
    <x v="3"/>
    <s v="L-&gt;R"/>
    <s v="No"/>
    <s v="Y52105"/>
    <n v="1"/>
    <s v="盐保仓库"/>
    <x v="80"/>
    <n v="6.6100000000000006E-2"/>
    <s v="SEP 20"/>
    <n v="2020.09"/>
    <s v="JPY"/>
    <s v="C49SZX20200102MZ"/>
    <s v="崧盛"/>
    <s v="YSM20R(SV)-2"/>
    <s v="L-&gt;R"/>
    <s v="No"/>
    <s v="OK"/>
    <s v="CIF HK"/>
    <d v="2020-07-16T00:00:00"/>
    <s v="Yes"/>
    <m/>
    <m/>
    <m/>
    <s v="C190635053"/>
  </r>
  <r>
    <n v="731"/>
    <x v="0"/>
    <x v="0"/>
    <n v="109954"/>
    <s v="Stock order"/>
    <x v="3"/>
    <s v="L-&gt;R"/>
    <s v="No"/>
    <s v="Y52106"/>
    <n v="1"/>
    <s v="盐保仓库"/>
    <x v="80"/>
    <n v="6.6100000000000006E-2"/>
    <s v="SEP 20"/>
    <n v="2020.09"/>
    <s v="JPY"/>
    <s v="C49SZX20200110MZ"/>
    <s v="融创新合"/>
    <s v="YSM20R(SV)-2"/>
    <s v="L-&gt;R"/>
    <s v="No"/>
    <s v="OK"/>
    <s v="CIF HK"/>
    <d v="2020-07-21T00:00:00"/>
    <s v="Yes"/>
    <m/>
    <m/>
    <m/>
    <s v="C200637437"/>
  </r>
  <r>
    <n v="708"/>
    <x v="0"/>
    <x v="0"/>
    <n v="109954"/>
    <s v="Stock order"/>
    <x v="3"/>
    <s v="R-&gt;L"/>
    <s v="No"/>
    <s v="Y52107"/>
    <n v="1"/>
    <s v="TBA"/>
    <x v="80"/>
    <n v="6.6100000000000006E-2"/>
    <s v="SEP 20"/>
    <n v="2020.09"/>
    <s v="JPY"/>
    <s v="C49SZX20200075EC"/>
    <s v="海红天远"/>
    <s v="YSM20R(SV)-2"/>
    <s v="R-&gt;L"/>
    <s v="No"/>
    <s v="OK"/>
    <s v="CIF HK"/>
    <d v="2020-07-13T00:00:00"/>
    <s v="Yes"/>
    <m/>
    <m/>
    <m/>
    <s v="C200737827"/>
  </r>
  <r>
    <n v="715"/>
    <x v="0"/>
    <x v="0"/>
    <n v="109976"/>
    <s v="Stock order"/>
    <x v="1"/>
    <s v="R-&gt;L"/>
    <s v="No"/>
    <s v="Y52275"/>
    <n v="1"/>
    <s v="码头"/>
    <x v="81"/>
    <s v="NM"/>
    <s v="SEP 20"/>
    <d v="1905-07-12T02:09:36"/>
    <s v="JPY"/>
    <s v="C49SZX20200089JL-R2"/>
    <s v="瑞福联"/>
    <s v="YSM10"/>
    <s v="L-&gt;R"/>
    <s v="MVC"/>
    <s v="WRONG"/>
    <s v="CIF HK"/>
    <d v="2020-07-15T00:00:00"/>
    <s v="Yes"/>
    <m/>
    <m/>
    <m/>
    <s v="C170930271"/>
  </r>
  <r>
    <n v="716"/>
    <x v="0"/>
    <x v="0"/>
    <n v="109976"/>
    <s v="Stock order"/>
    <x v="1"/>
    <s v="R-&gt;L"/>
    <s v="No"/>
    <s v="Y52276"/>
    <n v="1"/>
    <s v="码头"/>
    <x v="81"/>
    <s v="NM"/>
    <s v="SEP 20"/>
    <d v="1905-07-12T02:09:36"/>
    <s v="JPY"/>
    <s v="C49SZX20200089JL-R2"/>
    <s v="瑞福联"/>
    <s v="YSM10"/>
    <s v="L-&gt;R"/>
    <s v="MVC"/>
    <s v="WRONG"/>
    <s v="CIF HK"/>
    <d v="2020-07-15T00:00:00"/>
    <s v="Yes"/>
    <m/>
    <m/>
    <m/>
    <s v="C170930271"/>
  </r>
  <r>
    <n v="717"/>
    <x v="0"/>
    <x v="0"/>
    <n v="109976"/>
    <s v="Stock order"/>
    <x v="1"/>
    <s v="R-&gt;L"/>
    <s v="No"/>
    <s v="Y52277"/>
    <n v="1"/>
    <s v="码头"/>
    <x v="81"/>
    <s v="NM"/>
    <s v="SEP 20"/>
    <d v="1905-07-12T02:09:36"/>
    <s v="JPY"/>
    <s v="C49SZX20200089JL-R3"/>
    <s v="金睿通"/>
    <s v="YSM10"/>
    <s v="L-&gt;R"/>
    <s v="MVC"/>
    <s v="WRONG"/>
    <s v="CIF HK"/>
    <d v="2020-07-15T00:00:00"/>
    <s v="Yes"/>
    <m/>
    <m/>
    <m/>
    <s v="C170930271"/>
  </r>
  <r>
    <n v="718"/>
    <x v="0"/>
    <x v="0"/>
    <n v="109976"/>
    <s v="Stock order"/>
    <x v="1"/>
    <s v="R-&gt;L"/>
    <s v="No"/>
    <s v="Y52278"/>
    <n v="1"/>
    <s v="码头"/>
    <x v="81"/>
    <s v="NM"/>
    <s v="SEP 20"/>
    <d v="1905-07-12T02:09:36"/>
    <s v="JPY"/>
    <s v="C49SZX20200089JL-R3"/>
    <s v="金睿通"/>
    <s v="YSM10"/>
    <s v="L-&gt;R"/>
    <s v="MVC"/>
    <s v="WRONG"/>
    <s v="CIF HK"/>
    <d v="2020-07-15T00:00:00"/>
    <s v="Yes"/>
    <m/>
    <m/>
    <m/>
    <s v="C170930271"/>
  </r>
  <r>
    <n v="701"/>
    <x v="0"/>
    <x v="0"/>
    <n v="109976"/>
    <s v="Stock order"/>
    <x v="1"/>
    <s v="R-&gt;L"/>
    <s v="No"/>
    <s v="Y52279"/>
    <n v="1"/>
    <s v="CY仓库"/>
    <x v="81"/>
    <s v="NM"/>
    <s v="SEP 20"/>
    <d v="1905-07-12T02:09:36"/>
    <s v="JPY"/>
    <s v="C49SZX20200095R1SS"/>
    <s v="前海福源"/>
    <s v="YSM10"/>
    <s v="L-&gt;R"/>
    <s v="No"/>
    <s v="WRONG"/>
    <s v="DAP SZ"/>
    <d v="2020-07-09T00:00:00"/>
    <s v="Yes"/>
    <m/>
    <m/>
    <m/>
    <s v="C190434540"/>
  </r>
  <r>
    <n v="757"/>
    <x v="0"/>
    <x v="0"/>
    <n v="109980"/>
    <s v="德劲名义下单"/>
    <x v="3"/>
    <s v="L-&gt;R"/>
    <s v="No"/>
    <s v="Y52295"/>
    <n v="1"/>
    <s v="盐保仓库"/>
    <x v="81"/>
    <s v="NM"/>
    <s v="SEP 20"/>
    <n v="2020.09"/>
    <s v="JPY"/>
    <s v="C49SZX20200122JY"/>
    <s v="豫龙辉"/>
    <s v="YSM20R(SV)-2"/>
    <s v="L-&gt;R"/>
    <s v="No"/>
    <s v="OK"/>
    <s v="DAP SZ"/>
    <d v="2020-08-04T00:00:00"/>
    <s v="Yes"/>
    <m/>
    <m/>
    <m/>
    <s v="C200838017"/>
  </r>
  <r>
    <n v="743"/>
    <x v="0"/>
    <x v="0"/>
    <n v="109980"/>
    <s v="德劲名义下单"/>
    <x v="3"/>
    <s v="L-&gt;R"/>
    <s v="No"/>
    <s v="Y52294"/>
    <n v="1"/>
    <s v="盐保仓库"/>
    <x v="81"/>
    <s v="NM"/>
    <s v="SEP 20"/>
    <n v="2020.09"/>
    <s v="JPY"/>
    <s v="C49SZX20200112SS"/>
    <s v="钧溢电子"/>
    <s v="YSM20R(SV)-2"/>
    <s v="L-&gt;R"/>
    <s v="No"/>
    <s v="OK"/>
    <s v="DAP SZ"/>
    <d v="2020-07-24T00:00:00"/>
    <s v="Yes"/>
    <m/>
    <m/>
    <m/>
    <s v="C191136105"/>
  </r>
  <r>
    <n v="868"/>
    <x v="0"/>
    <x v="0"/>
    <n v="109980"/>
    <s v="德劲名义下单"/>
    <x v="3"/>
    <s v="L-&gt;R"/>
    <s v="cATS10+special layout"/>
    <s v="Y52288"/>
    <n v="1"/>
    <s v="盐保仓库"/>
    <x v="81"/>
    <s v="NM"/>
    <s v="DEC 20"/>
    <n v="2020.09"/>
    <s v="JPY"/>
    <s v="C49SZX20200170DZ"/>
    <s v="嘉裕"/>
    <s v="YSM20R(SV)-2"/>
    <s v="L-&gt;R"/>
    <s v="cATS10+MVC"/>
    <s v="WRONG"/>
    <s v="CIF HK"/>
    <d v="2020-09-24T00:00:00"/>
    <s v="Yes"/>
    <m/>
    <m/>
    <m/>
    <s v="C200336888"/>
  </r>
  <r>
    <n v="921"/>
    <x v="0"/>
    <x v="0"/>
    <n v="109980"/>
    <s v="德劲名义下单"/>
    <x v="3"/>
    <s v="L-&gt;R"/>
    <s v="cATS10+special layout"/>
    <s v="Y52289"/>
    <n v="1"/>
    <s v="盐保仓库"/>
    <x v="81"/>
    <s v="NM"/>
    <s v="JAN 21"/>
    <n v="2020.09"/>
    <s v="JPY"/>
    <s v="C49SZX20200145JL"/>
    <s v="易而达"/>
    <s v="YSM20R(SV)-2"/>
    <s v="L-&gt;R"/>
    <s v="cATS10+MVC"/>
    <s v="WRONG"/>
    <s v="DAP GZ"/>
    <d v="2020-11-10T00:00:00"/>
    <s v="Yes"/>
    <m/>
    <m/>
    <m/>
    <s v="C180832785"/>
  </r>
  <r>
    <n v="713"/>
    <x v="0"/>
    <x v="0"/>
    <n v="109980"/>
    <s v="德劲名义下单"/>
    <x v="3"/>
    <s v="L-&gt;R"/>
    <s v="No"/>
    <s v="Y52290"/>
    <n v="1"/>
    <s v="码头"/>
    <x v="81"/>
    <s v="NM"/>
    <s v="SEP 20"/>
    <n v="2020.09"/>
    <s v="JPY"/>
    <s v="C49SZX20200089JL-R3"/>
    <s v="金睿通"/>
    <s v="YSM20R(SV)-2"/>
    <s v="L-&gt;R"/>
    <s v="No"/>
    <s v="OK"/>
    <s v="CIF HK"/>
    <d v="2020-07-15T00:00:00"/>
    <s v="Yes"/>
    <m/>
    <m/>
    <m/>
    <s v="C170930271"/>
  </r>
  <r>
    <n v="714"/>
    <x v="0"/>
    <x v="0"/>
    <n v="109980"/>
    <s v="德劲名义下单"/>
    <x v="3"/>
    <s v="L-&gt;R"/>
    <s v="No"/>
    <s v="Y52291"/>
    <n v="1"/>
    <s v="码头"/>
    <x v="81"/>
    <s v="NM"/>
    <s v="SEP 20"/>
    <n v="2020.09"/>
    <s v="JPY"/>
    <s v="C49SZX20200089JL-R3"/>
    <s v="金睿通"/>
    <s v="YSM20R(SV)-2"/>
    <s v="L-&gt;R"/>
    <s v="No"/>
    <s v="OK"/>
    <s v="CIF HK"/>
    <d v="2020-07-15T00:00:00"/>
    <s v="Yes"/>
    <m/>
    <m/>
    <m/>
    <s v="C170930271"/>
  </r>
  <r>
    <n v="711"/>
    <x v="0"/>
    <x v="0"/>
    <n v="109980"/>
    <s v="德劲名义下单"/>
    <x v="3"/>
    <s v="L-&gt;R"/>
    <s v="No"/>
    <s v="Y52292"/>
    <n v="1"/>
    <s v="码头"/>
    <x v="81"/>
    <s v="NM"/>
    <s v="SEP 20"/>
    <n v="2020.09"/>
    <s v="JPY"/>
    <s v="C49SZX20200089JL-R2"/>
    <s v="瑞福联"/>
    <s v="YSM20R(SV)-2"/>
    <s v="L-&gt;R"/>
    <s v="No"/>
    <s v="OK"/>
    <s v="CIF HK"/>
    <d v="2020-07-15T00:00:00"/>
    <s v="Yes"/>
    <m/>
    <m/>
    <m/>
    <s v="C170930271"/>
  </r>
  <r>
    <n v="712"/>
    <x v="0"/>
    <x v="0"/>
    <n v="109980"/>
    <s v="德劲名义下单"/>
    <x v="3"/>
    <s v="L-&gt;R"/>
    <s v="No"/>
    <s v="Y52293"/>
    <n v="1"/>
    <s v="码头"/>
    <x v="81"/>
    <s v="NM"/>
    <s v="SEP 20"/>
    <n v="2020.09"/>
    <s v="JPY"/>
    <s v="C49SZX20200089JL-R2"/>
    <s v="瑞福联"/>
    <s v="YSM20R(SV)-2"/>
    <s v="L-&gt;R"/>
    <s v="No"/>
    <s v="OK"/>
    <s v="CIF HK"/>
    <d v="2020-07-15T00:00:00"/>
    <s v="Yes"/>
    <m/>
    <m/>
    <m/>
    <s v="C170930271"/>
  </r>
  <r>
    <n v="799"/>
    <x v="0"/>
    <x v="0"/>
    <n v="109977"/>
    <s v="Stock order"/>
    <x v="1"/>
    <s v="R-&gt;L"/>
    <s v="No"/>
    <s v="Y52280"/>
    <n v="1"/>
    <s v="码头-&gt;准备清关"/>
    <x v="82"/>
    <n v="6.5500000000000003E-2"/>
    <s v="SEP 20"/>
    <d v="1905-07-12T02:09:36"/>
    <s v="RMB"/>
    <s v="C49SZX20200141SX"/>
    <s v="奕东"/>
    <s v="YSM10"/>
    <s v="L-&gt;R"/>
    <s v="MVC"/>
    <s v="WRONG"/>
    <s v="含税到厂"/>
    <d v="2020-08-31T00:00:00"/>
    <s v="Yes"/>
    <m/>
    <m/>
    <m/>
    <s v="C200337023"/>
  </r>
  <r>
    <n v="798"/>
    <x v="0"/>
    <x v="0"/>
    <n v="109977"/>
    <s v="Stock order"/>
    <x v="1"/>
    <s v="R-&gt;L"/>
    <s v="No"/>
    <s v="Y52281"/>
    <n v="1"/>
    <s v="码头-&gt;准备清关"/>
    <x v="82"/>
    <n v="6.5500000000000003E-2"/>
    <s v="SEP 20"/>
    <d v="1905-07-12T02:09:36"/>
    <s v="RMB"/>
    <s v="C49SZX20200141SX"/>
    <s v="奕东"/>
    <s v="YSM10"/>
    <s v="L-&gt;R"/>
    <s v="MVC"/>
    <s v="WRONG"/>
    <s v="含税到厂"/>
    <d v="2020-08-31T00:00:00"/>
    <s v="Yes"/>
    <m/>
    <m/>
    <m/>
    <s v="C200337023"/>
  </r>
  <r>
    <n v="801"/>
    <x v="0"/>
    <x v="0"/>
    <n v="109977"/>
    <s v="Stock order"/>
    <x v="1"/>
    <s v="R-&gt;L"/>
    <s v="No"/>
    <s v="Y52282"/>
    <n v="1"/>
    <s v="码头-&gt;准备清关"/>
    <x v="82"/>
    <n v="6.5500000000000003E-2"/>
    <s v="SEP 20"/>
    <d v="1905-07-12T02:09:36"/>
    <s v="RMB"/>
    <s v="C49SZX20200141SX"/>
    <s v="奕东"/>
    <s v="YSM10"/>
    <s v="R-&gt;L"/>
    <s v="MVC"/>
    <s v="WRONG"/>
    <s v="含税到厂"/>
    <d v="2020-08-31T00:00:00"/>
    <s v="Yes"/>
    <m/>
    <m/>
    <m/>
    <s v="C200337023"/>
  </r>
  <r>
    <n v="772"/>
    <x v="0"/>
    <x v="0"/>
    <n v="109977"/>
    <s v="Stock order"/>
    <x v="1"/>
    <s v="R-&gt;L"/>
    <s v="No"/>
    <s v="Y52283"/>
    <n v="1"/>
    <s v="码头-&gt;准备清关"/>
    <x v="82"/>
    <n v="6.5500000000000003E-2"/>
    <s v="SEP 20"/>
    <d v="1905-07-12T02:09:36"/>
    <s v="RMB"/>
    <s v="C49SZX20200126JY"/>
    <s v="芯联鑫"/>
    <s v="YSM10"/>
    <s v="L-&gt;R"/>
    <s v="MVC"/>
    <s v="WRONG"/>
    <s v="含税到厂"/>
    <d v="2020-08-11T00:00:00"/>
    <s v="Yes"/>
    <m/>
    <m/>
    <m/>
    <s v="C200737845"/>
  </r>
  <r>
    <n v="800"/>
    <x v="0"/>
    <x v="0"/>
    <n v="109977"/>
    <s v="Stock order"/>
    <x v="1"/>
    <s v="R-&gt;L"/>
    <s v="No"/>
    <s v="Y52284"/>
    <n v="1"/>
    <s v="码头-&gt;准备清关"/>
    <x v="82"/>
    <n v="6.5500000000000003E-2"/>
    <s v="SEP 20"/>
    <d v="1905-07-12T02:09:36"/>
    <s v="RMB"/>
    <s v="C49SZX20200141SX"/>
    <s v="奕东"/>
    <s v="YSM10"/>
    <s v="R-&gt;L"/>
    <s v="MVC"/>
    <s v="WRONG"/>
    <s v="含税到厂"/>
    <d v="2020-08-31T00:00:00"/>
    <s v="Yes"/>
    <m/>
    <m/>
    <m/>
    <s v="C200337023"/>
  </r>
  <r>
    <n v="769"/>
    <x v="0"/>
    <x v="0"/>
    <n v="109977"/>
    <s v="Stock order"/>
    <x v="1"/>
    <s v="R-&gt;L"/>
    <s v="No"/>
    <s v="Y52285"/>
    <n v="1"/>
    <s v="CY仓库"/>
    <x v="82"/>
    <n v="6.5500000000000003E-2"/>
    <s v="SEP 20"/>
    <d v="1905-07-12T02:09:36"/>
    <s v="JPY"/>
    <s v="C49SZX20200078CY"/>
    <s v="博德越"/>
    <s v="YSM10"/>
    <s v="R-&gt;L"/>
    <s v="MVC"/>
    <s v="WRONG"/>
    <s v="DAP SZ"/>
    <d v="2020-08-10T00:00:00"/>
    <s v="Yes"/>
    <m/>
    <m/>
    <m/>
    <s v="C200838030"/>
  </r>
  <r>
    <n v="702"/>
    <x v="0"/>
    <x v="0"/>
    <n v="109977"/>
    <s v="Stock order"/>
    <x v="1"/>
    <s v="R-&gt;L"/>
    <s v="No"/>
    <s v="Y52286"/>
    <n v="1"/>
    <s v="CY仓库"/>
    <x v="82"/>
    <n v="6.5500000000000003E-2"/>
    <s v="SEP 20"/>
    <d v="1905-07-12T02:09:36"/>
    <s v="JPY"/>
    <s v="C49SZX20200095R1SS"/>
    <s v="前海福源"/>
    <s v="YSM10"/>
    <s v="L-&gt;R"/>
    <s v="No"/>
    <s v="WRONG"/>
    <s v="DAP SZ"/>
    <d v="2020-07-09T00:00:00"/>
    <s v="Yes"/>
    <m/>
    <m/>
    <m/>
    <s v="C190434540"/>
  </r>
  <r>
    <n v="895"/>
    <x v="0"/>
    <x v="0"/>
    <n v="110058"/>
    <s v="平方兆赫名义下单        "/>
    <x v="0"/>
    <s v="L-&gt;R"/>
    <s v="No"/>
    <s v="Y52763"/>
    <n v="1"/>
    <s v="盐保仓库"/>
    <x v="83"/>
    <s v="NM"/>
    <s v="NOV 20"/>
    <n v="2020.09"/>
    <s v="RMB"/>
    <s v="C49SZX20200166DY"/>
    <s v="华彩鑫"/>
    <s v="YSM40R-4"/>
    <s v="L-&gt;R"/>
    <s v="No"/>
    <s v="OK"/>
    <s v="含税到厂"/>
    <d v="2020-10-23T00:00:00"/>
    <s v="Yes"/>
    <m/>
    <m/>
    <m/>
    <s v="C201138560"/>
  </r>
  <r>
    <n v="765"/>
    <x v="0"/>
    <x v="0"/>
    <n v="109984"/>
    <s v="Stock order"/>
    <x v="3"/>
    <s v="R-&gt;L"/>
    <s v="No"/>
    <s v="Y52318"/>
    <n v="1"/>
    <s v="码头-&gt;准备清关"/>
    <x v="84"/>
    <s v="NM"/>
    <s v="OCT 20"/>
    <n v="2020.09"/>
    <s v="JPY"/>
    <s v="C49SZX20200078CY"/>
    <s v="博德越"/>
    <s v="YSM20R(SV)-2"/>
    <s v="R-&gt;L"/>
    <s v="No"/>
    <s v="OK"/>
    <s v="DAP SZ"/>
    <d v="2020-08-10T00:00:00"/>
    <s v="Yes"/>
    <m/>
    <m/>
    <m/>
    <s v="C200838030"/>
  </r>
  <r>
    <n v="766"/>
    <x v="0"/>
    <x v="0"/>
    <n v="109984"/>
    <s v="Stock order"/>
    <x v="3"/>
    <s v="R-&gt;L"/>
    <s v="No"/>
    <s v="Y52319"/>
    <n v="1"/>
    <s v="码头-&gt;准备清关"/>
    <x v="84"/>
    <s v="NM"/>
    <s v="OCT 20"/>
    <n v="2020.09"/>
    <s v="JPY"/>
    <s v="C49SZX20200078CY"/>
    <s v="博德越"/>
    <s v="YSM20R(SV)-2"/>
    <s v="R-&gt;L"/>
    <s v="No"/>
    <s v="OK"/>
    <s v="DAP SZ"/>
    <d v="2020-08-10T00:00:00"/>
    <s v="Yes"/>
    <m/>
    <m/>
    <m/>
    <s v="C200838030"/>
  </r>
  <r>
    <n v="699"/>
    <x v="0"/>
    <x v="0"/>
    <n v="109984"/>
    <s v="Stock order"/>
    <x v="3"/>
    <s v="R-&gt;L"/>
    <s v="No"/>
    <s v="Y52320"/>
    <n v="1"/>
    <s v="CY仓库"/>
    <x v="84"/>
    <s v="NM"/>
    <s v="OCT 20"/>
    <n v="2020.09"/>
    <s v="JPY"/>
    <s v="C49SZX20200088SS"/>
    <s v="乐凡电子"/>
    <s v="YSM20R(SV)-2"/>
    <s v="R-&gt;L"/>
    <s v="No"/>
    <s v="OK"/>
    <s v="DAP SZ"/>
    <d v="2020-07-08T00:00:00"/>
    <s v="Yes"/>
    <m/>
    <m/>
    <m/>
    <s v="C200236762"/>
  </r>
  <r>
    <n v="760"/>
    <x v="0"/>
    <x v="0"/>
    <n v="109984"/>
    <s v="Stock order"/>
    <x v="3"/>
    <s v="L-&gt;R"/>
    <s v="No"/>
    <s v="Y52321"/>
    <n v="1"/>
    <s v="码头-&gt;准备清关"/>
    <x v="84"/>
    <s v="NM"/>
    <s v="OCT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61"/>
    <x v="0"/>
    <x v="0"/>
    <n v="109984"/>
    <s v="Stock order"/>
    <x v="3"/>
    <s v="L-&gt;R"/>
    <s v="No"/>
    <s v="Y52322"/>
    <n v="1"/>
    <s v="码头-&gt;准备清关"/>
    <x v="84"/>
    <s v="NM"/>
    <s v="OCT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37"/>
    <x v="0"/>
    <x v="0"/>
    <n v="109984"/>
    <s v="Stock order"/>
    <x v="3"/>
    <s v="L-&gt;R"/>
    <s v="No"/>
    <s v="Y52323"/>
    <n v="1"/>
    <s v="码头-&gt;准备清关"/>
    <x v="84"/>
    <s v="NM"/>
    <s v="OCT 20"/>
    <n v="2020.09"/>
    <s v="JPY"/>
    <s v="C49SZX20200109JL"/>
    <s v="捷舜诚"/>
    <s v="YSM20R(SV)-2"/>
    <s v="L-&gt;R"/>
    <s v="No"/>
    <s v="OK"/>
    <s v="DAP SZ"/>
    <d v="2020-07-21T00:00:00"/>
    <s v="Yes"/>
    <m/>
    <m/>
    <m/>
    <s v="C170629728"/>
  </r>
  <r>
    <n v="777"/>
    <x v="0"/>
    <x v="1"/>
    <n v="110038"/>
    <s v="海星名义下单"/>
    <x v="9"/>
    <s v="R-&gt;L"/>
    <s v="No"/>
    <s v="Y52654"/>
    <n v="1"/>
    <s v="码头-&gt;准备清关"/>
    <x v="85"/>
    <n v="6.5000000000000002E-2"/>
    <s v="OCT 20"/>
    <d v="1905-07-12T02:09:36"/>
    <s v="RMB"/>
    <s v="C28SZX20200055KC"/>
    <s v="海星"/>
    <s v="YCP10"/>
    <s v="R-&gt;L"/>
    <s v="No"/>
    <s v="OK"/>
    <s v="含税到厂"/>
    <d v="2020-08-13T00:00:00"/>
    <s v="Yes"/>
    <m/>
    <m/>
    <m/>
    <s v="IND order "/>
  </r>
  <r>
    <n v="795"/>
    <x v="0"/>
    <x v="0"/>
    <s v="109995(拆单110118)"/>
    <s v="瑞福联名义"/>
    <x v="1"/>
    <s v="L-&gt;R"/>
    <s v="ATS15"/>
    <s v="Y52393"/>
    <n v="1"/>
    <s v="力合仓库(已经清关)"/>
    <x v="86"/>
    <n v="6.4199999999999993E-2"/>
    <s v="JAN 21"/>
    <s v="2020.10."/>
    <s v="RMB"/>
    <s v="C49SZX20200140RSX"/>
    <s v="嘉普达"/>
    <s v="YSM10"/>
    <s v="R-&gt;L"/>
    <s v="MVC+ATS15"/>
    <s v="WRONG"/>
    <s v="含税到厂"/>
    <d v="2020-09-01T00:00:00"/>
    <s v="Yes"/>
    <m/>
    <m/>
    <m/>
    <s v="C200938204"/>
  </r>
  <r>
    <n v="832"/>
    <x v="0"/>
    <x v="0"/>
    <n v="109995"/>
    <s v="瑞福联名义"/>
    <x v="1"/>
    <s v="L-&gt;R"/>
    <s v="ATS15"/>
    <s v="Y52394"/>
    <n v="1"/>
    <s v="力合仓库(已经清关)"/>
    <x v="86"/>
    <s v="0.0638，价格PO110121"/>
    <s v="NOV 20"/>
    <s v="2020.10."/>
    <s v="RMB"/>
    <s v="C49SZX20200155JD"/>
    <s v="志华鑫"/>
    <s v="YSM10"/>
    <s v="L-&gt;R"/>
    <s v="cATS10+MVC"/>
    <s v="WRONG"/>
    <s v="含税到厂"/>
    <d v="2020-09-16T00:00:00"/>
    <s v="Yes"/>
    <m/>
    <m/>
    <m/>
    <s v="C201038384"/>
  </r>
  <r>
    <n v="770"/>
    <x v="0"/>
    <x v="0"/>
    <n v="109995"/>
    <s v="瑞福联名义"/>
    <x v="1"/>
    <s v="L-&gt;R"/>
    <s v="No"/>
    <s v="Y52395"/>
    <n v="1"/>
    <s v="码头-&gt;准备清关"/>
    <x v="86"/>
    <s v="NM"/>
    <s v="OCT 20"/>
    <s v="2020.10."/>
    <s v="JPY"/>
    <s v="C49SZX20200078CY"/>
    <s v="博德越"/>
    <s v="YSM10"/>
    <s v="R-&gt;L"/>
    <s v="MVC"/>
    <s v="WRONG"/>
    <s v="DAP SZ"/>
    <d v="2020-08-10T00:00:00"/>
    <s v="Yes"/>
    <m/>
    <m/>
    <m/>
    <s v="C200838030"/>
  </r>
  <r>
    <n v="809"/>
    <x v="0"/>
    <x v="0"/>
    <n v="110047"/>
    <s v="斯迈名义下单"/>
    <x v="12"/>
    <s v="R-&gt;L"/>
    <s v="No"/>
    <s v="Y52830"/>
    <n v="1"/>
    <s v="力合仓库(已经清关)"/>
    <x v="86"/>
    <s v="TBA（PO用110097）"/>
    <s v="DEC 20"/>
    <n v="2020.09"/>
    <s v="JPY"/>
    <s v="C49SZX20200153SS"/>
    <s v="正创"/>
    <s v="YSM20R-2"/>
    <s v="R-&gt;L"/>
    <s v="No"/>
    <s v="OK"/>
    <s v="DAP SZ"/>
    <d v="2020-09-07T00:00:00"/>
    <s v="Yes"/>
    <m/>
    <m/>
    <m/>
    <s v="C190935522"/>
  </r>
  <r>
    <n v="802"/>
    <x v="0"/>
    <x v="0"/>
    <n v="110047"/>
    <s v="斯迈名义下单"/>
    <x v="12"/>
    <s v="R-&gt;L"/>
    <s v="No"/>
    <s v="Y52831"/>
    <n v="1"/>
    <s v="CY仓库"/>
    <x v="86"/>
    <n v="6.5000000000000002E-2"/>
    <s v="OCT 20"/>
    <d v="1905-07-12T02:09:36"/>
    <s v="JPY"/>
    <s v="C49SZX20200135DZ"/>
    <s v="方案集"/>
    <s v="YSM20R-2"/>
    <s v="R-&gt;L"/>
    <s v="No"/>
    <s v="OK"/>
    <s v="CIF HK"/>
    <d v="2020-09-01T00:00:00"/>
    <s v="Yes"/>
    <m/>
    <m/>
    <m/>
    <s v="C200637592"/>
  </r>
  <r>
    <n v="852"/>
    <x v="0"/>
    <x v="0"/>
    <n v="110047"/>
    <s v="斯迈名义下单"/>
    <x v="12"/>
    <s v="L-&gt;R"/>
    <s v="No"/>
    <s v="Y52832"/>
    <n v="1"/>
    <s v="码头-&gt;准备清关"/>
    <x v="86"/>
    <n v="6.5000000000000002E-2"/>
    <s v="OCT 20"/>
    <d v="1905-07-12T02:09:36"/>
    <s v="RMB"/>
    <s v="C49SZX20200177DY"/>
    <s v="擎宇精工"/>
    <s v="YSM20R-2"/>
    <s v="L-&gt;R"/>
    <s v="No"/>
    <s v="OK"/>
    <s v="含税到厂"/>
    <d v="2020-09-24T00:00:00"/>
    <s v="Yes"/>
    <m/>
    <m/>
    <m/>
    <s v="C201038374"/>
  </r>
  <r>
    <n v="807"/>
    <x v="0"/>
    <x v="0"/>
    <n v="110047"/>
    <s v="斯迈名义下单"/>
    <x v="12"/>
    <s v="L-&gt;R"/>
    <s v="No"/>
    <s v="Y52833"/>
    <n v="1"/>
    <s v="码头-&gt;准备清关"/>
    <x v="86"/>
    <n v="6.5000000000000002E-2"/>
    <s v="OCT 20"/>
    <s v="2020.10."/>
    <s v="JPY"/>
    <s v="C49SZX20200153SS"/>
    <s v="正创"/>
    <s v="YSM20R-2"/>
    <s v="L-&gt;R"/>
    <s v="MVC"/>
    <s v="WRONG"/>
    <s v="DAP SZ"/>
    <d v="2020-09-07T00:00:00"/>
    <s v="Yes"/>
    <m/>
    <m/>
    <m/>
    <s v="C190935522"/>
  </r>
  <r>
    <n v="808"/>
    <x v="0"/>
    <x v="0"/>
    <n v="110047"/>
    <s v="斯迈名义下单"/>
    <x v="12"/>
    <s v="L-&gt;R"/>
    <s v="No"/>
    <s v="Y52834"/>
    <n v="1"/>
    <s v="码头-&gt;准备清关"/>
    <x v="86"/>
    <n v="6.5000000000000002E-2"/>
    <s v="OCT 20"/>
    <s v="2020.10."/>
    <s v="JPY"/>
    <s v="C49SZX20200153SS"/>
    <s v="正创"/>
    <s v="YSM20R-2"/>
    <s v="L-&gt;R"/>
    <s v="No"/>
    <s v="OK"/>
    <s v="DAP SZ"/>
    <d v="2020-09-07T00:00:00"/>
    <s v="Yes"/>
    <m/>
    <m/>
    <m/>
    <s v="C190935522"/>
  </r>
  <r>
    <n v="805"/>
    <x v="0"/>
    <x v="0"/>
    <n v="110048"/>
    <s v="斯迈名义下单"/>
    <x v="12"/>
    <s v="L-&gt;R"/>
    <s v="No"/>
    <s v="Y52835"/>
    <n v="1"/>
    <s v="CY仓库"/>
    <x v="86"/>
    <n v="6.4100000000000004E-2"/>
    <s v="OCT 20"/>
    <s v="2020.10."/>
    <s v="RMB"/>
    <s v="C49SZX20200148JYR1"/>
    <s v="芯联鑫"/>
    <s v="YSM20R-2"/>
    <s v="L-&gt;R"/>
    <s v="No"/>
    <s v="OK"/>
    <s v="含税到厂"/>
    <d v="2020-09-02T00:00:00"/>
    <s v="Yes"/>
    <m/>
    <m/>
    <m/>
    <s v="C200737845"/>
  </r>
  <r>
    <n v="837"/>
    <x v="0"/>
    <x v="0"/>
    <n v="110048"/>
    <s v="斯迈名义下单"/>
    <x v="12"/>
    <s v="L-&gt;R"/>
    <s v="No"/>
    <s v="Y52836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838"/>
    <x v="0"/>
    <x v="0"/>
    <n v="110048"/>
    <s v="斯迈名义下单"/>
    <x v="12"/>
    <s v="L-&gt;R"/>
    <s v="No"/>
    <s v="Y52837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839"/>
    <x v="0"/>
    <x v="0"/>
    <n v="110048"/>
    <s v="斯迈名义下单"/>
    <x v="12"/>
    <s v="L-&gt;R"/>
    <s v="No"/>
    <s v="Y52838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840"/>
    <x v="0"/>
    <x v="0"/>
    <n v="110048"/>
    <s v="斯迈名义下单"/>
    <x v="12"/>
    <s v="L-&gt;R"/>
    <s v="No"/>
    <s v="Y52839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750"/>
    <x v="0"/>
    <x v="0"/>
    <n v="109996"/>
    <s v="瑞福联名义"/>
    <x v="3"/>
    <s v="L-&gt;R"/>
    <s v="No"/>
    <s v="Y52387"/>
    <n v="1"/>
    <s v="码头-&gt;准备清关"/>
    <x v="87"/>
    <n v="6.4799999999999996E-2"/>
    <s v="OCT 20"/>
    <s v="2020.10."/>
    <s v="JPY"/>
    <s v="C49SZX20200118SS"/>
    <s v="正创"/>
    <s v="YSM20R(SV)-2"/>
    <s v="L-&gt;R"/>
    <s v="No"/>
    <s v="OK"/>
    <s v="DAP SZ"/>
    <d v="2020-07-28T00:00:00"/>
    <s v="Yes"/>
    <m/>
    <m/>
    <m/>
    <s v="C190935522"/>
  </r>
  <r>
    <n v="553"/>
    <x v="0"/>
    <x v="0"/>
    <n v="109996"/>
    <s v="瑞福联名义"/>
    <x v="3"/>
    <s v="L-&gt;R"/>
    <s v="No"/>
    <s v="Y52388"/>
    <n v="1"/>
    <s v="码头-&gt;准备清关"/>
    <x v="87"/>
    <n v="6.4799999999999996E-2"/>
    <s v="OCT 20"/>
    <s v="2020.10."/>
    <s v="JPY"/>
    <s v="C49SZX20190187JY"/>
    <s v="宏润通"/>
    <s v="YSM20R(SV)-2"/>
    <s v="L-&gt;R"/>
    <s v="MVC"/>
    <s v="WRONG"/>
    <s v="DAP SZ"/>
    <d v="2019-12-20T00:00:00"/>
    <s v="Yes"/>
    <m/>
    <m/>
    <m/>
    <s v="C201038333"/>
  </r>
  <r>
    <n v="835"/>
    <x v="0"/>
    <x v="0"/>
    <n v="109996"/>
    <s v="瑞福联名义"/>
    <x v="3"/>
    <s v="L-&gt;R"/>
    <s v="No"/>
    <s v="Y52389"/>
    <n v="1"/>
    <s v="CY仓库"/>
    <x v="87"/>
    <n v="6.4799999999999996E-2"/>
    <s v="NOV 20"/>
    <s v="2020.10."/>
    <s v="JPY"/>
    <s v="C49SZX20200159EC"/>
    <s v="伟志半导体"/>
    <s v="YSM20R(SV)-2"/>
    <s v="L-&gt;R"/>
    <s v="No"/>
    <s v="OK"/>
    <s v="DAP HZ"/>
    <d v="2020-09-17T00:00:00"/>
    <s v="Yes"/>
    <m/>
    <m/>
    <m/>
    <s v="C201038403"/>
  </r>
  <r>
    <n v="756"/>
    <x v="0"/>
    <x v="0"/>
    <n v="109996"/>
    <s v="瑞福联名义"/>
    <x v="3"/>
    <s v="L-&gt;R"/>
    <s v="No"/>
    <s v="Y52390"/>
    <n v="1"/>
    <s v="力合中转仓"/>
    <x v="87"/>
    <n v="6.4799999999999996E-2"/>
    <s v="NOV 20"/>
    <s v="2020.10."/>
    <s v="JPY"/>
    <s v="C49SZX20200099R1SS"/>
    <s v="金晟晖"/>
    <s v="YSM20R(SV)-2"/>
    <s v="L-&gt;R"/>
    <s v="MVC"/>
    <s v="WRONG"/>
    <s v="DAP SZ"/>
    <d v="2020-07-31T00:00:00"/>
    <s v="Yes"/>
    <m/>
    <m/>
    <m/>
    <s v="C180231415"/>
  </r>
  <r>
    <n v="762"/>
    <x v="0"/>
    <x v="0"/>
    <s v="109996（拆分PO110071）"/>
    <s v="瑞福联名义"/>
    <x v="3"/>
    <s v="L-&gt;R"/>
    <s v="No"/>
    <s v="Y52391"/>
    <n v="1"/>
    <s v="力合仓库(已经清关)"/>
    <x v="87"/>
    <n v="6.4899999999999999E-2"/>
    <s v="NOV 20"/>
    <s v="2020.10."/>
    <s v="RMB"/>
    <s v="C49SZX20200121JL"/>
    <s v="刻锐"/>
    <s v="YSM20R(SV)-2"/>
    <s v="L-&gt;R"/>
    <s v="MVC"/>
    <s v="WRONG"/>
    <s v="含税到厂"/>
    <d v="2020-08-25T00:00:00"/>
    <s v="Yes"/>
    <m/>
    <m/>
    <m/>
    <s v="C200938211"/>
  </r>
  <r>
    <n v="791"/>
    <x v="0"/>
    <x v="0"/>
    <s v="109996（拆分PO110071）"/>
    <s v="瑞福联名义"/>
    <x v="3"/>
    <s v="L-&gt;R"/>
    <s v="No"/>
    <s v="Y52392"/>
    <n v="1"/>
    <s v="码头-&gt;准备清关"/>
    <x v="87"/>
    <n v="6.4899999999999999E-2"/>
    <s v="OCT 20"/>
    <s v="2020.10."/>
    <s v="RMB"/>
    <s v="C49SZX20200143MZ"/>
    <s v="斯路迅"/>
    <s v="YSM20R(SV)-2"/>
    <s v="L-&gt;R"/>
    <s v="MVC"/>
    <s v="WRONG"/>
    <s v="含税到厂"/>
    <d v="2020-08-22T00:00:00"/>
    <s v="Yes"/>
    <m/>
    <m/>
    <m/>
    <s v="C200938163"/>
  </r>
  <r>
    <n v="554"/>
    <x v="0"/>
    <x v="0"/>
    <n v="109991"/>
    <s v="Stock order"/>
    <x v="1"/>
    <s v="R-&gt;L"/>
    <s v="ATS15"/>
    <s v="Y52375"/>
    <n v="1"/>
    <s v="CY仓库"/>
    <x v="87"/>
    <s v="NM"/>
    <s v="OCT 20"/>
    <s v="2020.10."/>
    <s v="JPY"/>
    <s v="C49SZX20190187JY"/>
    <s v="宏润通"/>
    <s v="YSM10"/>
    <s v="L-&gt;R"/>
    <s v="MVC+ATS15"/>
    <s v="WRONG"/>
    <s v="DAP SZ"/>
    <d v="2019-12-20T00:00:00"/>
    <s v="Yes"/>
    <m/>
    <m/>
    <m/>
    <s v="C201038333"/>
  </r>
  <r>
    <n v="986"/>
    <x v="0"/>
    <x v="0"/>
    <s v="109991（拆单110121）"/>
    <s v="Stock order"/>
    <x v="1"/>
    <s v="R-&gt;L"/>
    <s v="ATS15"/>
    <s v="Y52376"/>
    <n v="1"/>
    <s v="盐保仓库"/>
    <x v="87"/>
    <s v="NM，价格PO109995"/>
    <s v="DEC 20"/>
    <s v="2020.10."/>
    <s v="JPY"/>
    <s v="C49SZX20200232SX"/>
    <s v="永顺创"/>
    <s v="YSM10"/>
    <s v="L-&gt;R"/>
    <s v="MVC+ATS15"/>
    <s v="WRONG"/>
    <s v="DAP SZ"/>
    <d v="2020-12-01T00:00:00"/>
    <s v="Yes"/>
    <m/>
    <m/>
    <m/>
    <s v="C180532243"/>
  </r>
  <r>
    <n v="927"/>
    <x v="0"/>
    <x v="0"/>
    <s v="109991（拆单110128）"/>
    <s v="Stock order"/>
    <x v="1"/>
    <s v="R-&gt;L"/>
    <s v="ATS15"/>
    <s v="Y52377"/>
    <n v="1"/>
    <s v="盐保仓库"/>
    <x v="87"/>
    <n v="6.4399999999999999E-2"/>
    <s v="JAN 21"/>
    <s v="2020.10."/>
    <s v="JPY"/>
    <s v="C49SZX20200210RSX"/>
    <s v="众鑫科"/>
    <s v="YSM10"/>
    <s v="R-&gt;L"/>
    <s v="MVC+ATS15"/>
    <s v="WRONG"/>
    <s v="DAP HZ"/>
    <d v="2020-11-12T00:00:00"/>
    <s v="Yes"/>
    <m/>
    <m/>
    <m/>
    <s v="C201238817"/>
  </r>
  <r>
    <n v="783"/>
    <x v="0"/>
    <x v="0"/>
    <n v="109991"/>
    <s v="Stock order"/>
    <x v="1"/>
    <s v="R-&gt;L"/>
    <s v="No"/>
    <s v="Y52378"/>
    <n v="1"/>
    <s v="盐保仓库"/>
    <x v="87"/>
    <s v="NM"/>
    <s v="OCT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84"/>
    <x v="0"/>
    <x v="0"/>
    <n v="109991"/>
    <s v="Stock order"/>
    <x v="1"/>
    <s v="R-&gt;L"/>
    <s v="No"/>
    <s v="Y52379"/>
    <n v="1"/>
    <s v="盐保仓库"/>
    <x v="87"/>
    <s v="NM"/>
    <s v="OCT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90"/>
    <x v="0"/>
    <x v="0"/>
    <n v="110046"/>
    <s v="阿克西姆名义下单"/>
    <x v="12"/>
    <s v="R-&gt;L"/>
    <s v="No"/>
    <s v="Y52690"/>
    <n v="1"/>
    <s v="码头-&gt;准备清关"/>
    <x v="87"/>
    <n v="6.5000000000000002E-2"/>
    <s v="OCT 20"/>
    <s v="2020.10."/>
    <s v="RMB"/>
    <s v="C49SZX20200132SX"/>
    <s v="鹏鑫达（end user：阿克西姆）"/>
    <s v="YSM20R-2"/>
    <s v="R-&gt;L"/>
    <s v="MVC"/>
    <s v="WRONG"/>
    <s v="含税到厂"/>
    <d v="2020-08-17T00:00:00"/>
    <s v="Yes"/>
    <m/>
    <m/>
    <m/>
    <s v="IND order "/>
  </r>
  <r>
    <n v="751"/>
    <x v="0"/>
    <x v="0"/>
    <n v="110033"/>
    <s v="银宝名义下单"/>
    <x v="11"/>
    <s v="L-&gt;R"/>
    <s v="cATS10"/>
    <s v="Y52689"/>
    <n v="1"/>
    <s v="码头-&gt;准备清关"/>
    <x v="87"/>
    <n v="6.5000000000000002E-2"/>
    <s v="OCT 20"/>
    <s v="2020.10."/>
    <s v="RMB"/>
    <s v="BS-SZGZ20071306-ZB"/>
    <s v="银宝山新"/>
    <s v="YSM20WR-2"/>
    <s v="L-&gt;R"/>
    <s v="cATS10+MVC"/>
    <s v="WRONG"/>
    <s v="DDP SZ"/>
    <d v="2020-07-29T00:00:00"/>
    <s v="Yes"/>
    <m/>
    <m/>
    <m/>
    <s v="IND order "/>
  </r>
  <r>
    <n v="785"/>
    <x v="0"/>
    <x v="0"/>
    <n v="109992"/>
    <s v="Stock order"/>
    <x v="1"/>
    <s v="R-&gt;L"/>
    <s v="No"/>
    <s v="Y52804"/>
    <n v="1"/>
    <s v="码头-&gt;准备清关"/>
    <x v="88"/>
    <n v="6.4799999999999996E-2"/>
    <s v="NOV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49"/>
    <x v="0"/>
    <x v="0"/>
    <n v="109992"/>
    <s v="Stock order"/>
    <x v="1"/>
    <s v="R-&gt;L"/>
    <s v="No"/>
    <s v="Y52381"/>
    <n v="1"/>
    <s v="码头-&gt;准备清关"/>
    <x v="88"/>
    <n v="6.4799999999999996E-2"/>
    <s v="NOV 20"/>
    <s v="2020.10."/>
    <s v="JPY"/>
    <s v="C49SZX20200120SX"/>
    <s v="凌鑫"/>
    <s v="YSM10"/>
    <s v="L-&gt;R"/>
    <s v="MVC"/>
    <s v="WRONG"/>
    <s v="DAP SZ"/>
    <d v="2020-07-29T00:00:00"/>
    <s v="Yes"/>
    <m/>
    <m/>
    <m/>
    <s v="C180331698"/>
  </r>
  <r>
    <n v="786"/>
    <x v="0"/>
    <x v="0"/>
    <n v="109992"/>
    <s v="Stock order"/>
    <x v="1"/>
    <s v="R-&gt;L"/>
    <s v="No"/>
    <s v="Y52382"/>
    <n v="1"/>
    <s v="码头-&gt;准备清关"/>
    <x v="88"/>
    <n v="6.4799999999999996E-2"/>
    <s v="NOV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87"/>
    <x v="0"/>
    <x v="0"/>
    <n v="109992"/>
    <s v="Stock order"/>
    <x v="1"/>
    <s v="R-&gt;L"/>
    <s v="No"/>
    <s v="Y52383"/>
    <n v="1"/>
    <s v="码头-&gt;准备清关"/>
    <x v="88"/>
    <n v="6.4799999999999996E-2"/>
    <s v="NOV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35"/>
    <x v="0"/>
    <x v="0"/>
    <s v="109992（拆分PO110072）"/>
    <s v="Stock order（序列号已给客户，不可调）"/>
    <x v="1"/>
    <s v="R-&gt;L"/>
    <s v="No"/>
    <s v="Y52384"/>
    <n v="1"/>
    <s v="码头-&gt;准备清关"/>
    <x v="88"/>
    <n v="6.5000000000000002E-2"/>
    <s v="NOV 20"/>
    <s v="2020.10."/>
    <s v="JPY"/>
    <s v="C49SZX20200188JY"/>
    <s v="光瑞新（end user：海纳科）"/>
    <s v="YSM10"/>
    <s v="R-&gt;L"/>
    <s v="MVC"/>
    <s v="WRONG"/>
    <s v="DAP SZ"/>
    <d v="2020-07-20T00:00:00"/>
    <s v="Yes"/>
    <m/>
    <m/>
    <m/>
    <s v="C200838012"/>
  </r>
  <r>
    <n v="763"/>
    <x v="0"/>
    <x v="0"/>
    <s v="109992（拆分PO110072）"/>
    <s v="Stock order"/>
    <x v="1"/>
    <s v="R-&gt;L"/>
    <s v="No"/>
    <s v="Y52385"/>
    <n v="1"/>
    <s v="力合仓库(已经清关)"/>
    <x v="88"/>
    <n v="6.5000000000000002E-2"/>
    <s v="NOV 20"/>
    <s v="2020.10."/>
    <s v="RMB"/>
    <s v="C49SZX20200121JL"/>
    <s v="刻锐"/>
    <s v="YSM10"/>
    <s v="L-&gt;R"/>
    <s v="MVC"/>
    <s v="WRONG"/>
    <s v="含税到厂"/>
    <d v="2020-08-25T00:00:00"/>
    <s v="Yes"/>
    <m/>
    <m/>
    <m/>
    <s v="C200938211"/>
  </r>
  <r>
    <n v="789"/>
    <x v="0"/>
    <x v="0"/>
    <s v="109992（拆分PO110072）"/>
    <s v="Stock order"/>
    <x v="1"/>
    <s v="R-&gt;L"/>
    <s v="No"/>
    <s v="Y52386"/>
    <n v="1"/>
    <s v="码头-&gt;准备清关"/>
    <x v="88"/>
    <n v="6.5000000000000002E-2"/>
    <s v="NOV 20"/>
    <s v="2020.10."/>
    <s v="RMB"/>
    <s v="C49SZX20200133JL"/>
    <s v="通通旺"/>
    <s v="YSM10"/>
    <s v="L-&gt;R"/>
    <s v="MVC"/>
    <s v="WRONG"/>
    <s v="含税到厂"/>
    <d v="2020-08-18T00:00:00"/>
    <s v="Yes"/>
    <m/>
    <m/>
    <m/>
    <s v="C180231406"/>
  </r>
  <r>
    <n v="740"/>
    <x v="0"/>
    <x v="0"/>
    <n v="110034"/>
    <s v="平方兆赫名义下单"/>
    <x v="11"/>
    <s v="L-&gt;R"/>
    <s v="MVC"/>
    <s v="Y52688"/>
    <n v="1"/>
    <s v="盐保仓库"/>
    <x v="88"/>
    <s v="NM"/>
    <s v="APR 21"/>
    <s v="2020.10."/>
    <s v="JPY"/>
    <s v="C49SZX20210028DZ"/>
    <s v="平方兆赫"/>
    <s v="YSM20WR-2"/>
    <s v="L-&gt;R"/>
    <s v="MVC"/>
    <s v="OK"/>
    <s v="CIF HK"/>
    <d v="2021-03-10T00:00:00"/>
    <s v="Yes"/>
    <m/>
    <m/>
    <m/>
    <s v="YES"/>
  </r>
  <r>
    <n v="794"/>
    <x v="0"/>
    <x v="0"/>
    <n v="110055"/>
    <s v="Stock order"/>
    <x v="1"/>
    <s v="L-&gt;R"/>
    <s v="HM5+MVC+ATS15"/>
    <s v="Y53085"/>
    <n v="1"/>
    <s v="CY仓库"/>
    <x v="89"/>
    <s v="NM"/>
    <s v="NOV 20"/>
    <s v="2020.10."/>
    <s v="USD"/>
    <s v="C49SZX20200146RW"/>
    <s v="高伟"/>
    <s v="YSM10-HM5"/>
    <s v="L-&gt;R"/>
    <s v="MVC+ATS15"/>
    <s v="WRONG"/>
    <s v="CIF HK"/>
    <d v="2020-08-27T00:00:00"/>
    <s v="Yes"/>
    <m/>
    <m/>
    <m/>
    <s v="C120612523"/>
  </r>
  <r>
    <n v="904"/>
    <x v="0"/>
    <x v="0"/>
    <n v="110049"/>
    <s v="博睿通名义下单"/>
    <x v="1"/>
    <s v="R-&gt;L"/>
    <s v="MVC+ATS15"/>
    <s v="Y52847"/>
    <n v="1"/>
    <s v="盐保仓库"/>
    <x v="89"/>
    <n v="6.4199999999999993E-2"/>
    <s v="NOV 20"/>
    <m/>
    <s v="JPY"/>
    <s v="C49SZX20200200SS"/>
    <s v="君博信"/>
    <s v="YSM10"/>
    <s v="L-&gt;R"/>
    <s v="MVC+ATS15"/>
    <s v="WRONG"/>
    <s v="DAP SZ"/>
    <d v="2020-10-31T00:00:00"/>
    <s v="Yes"/>
    <m/>
    <m/>
    <m/>
    <s v="C190634955"/>
  </r>
  <r>
    <n v="1026"/>
    <x v="0"/>
    <x v="0"/>
    <n v="110049"/>
    <s v="博睿通名义下单"/>
    <x v="1"/>
    <s v="R-&gt;L"/>
    <s v="MVC+ATS15"/>
    <s v="Y52848"/>
    <n v="1"/>
    <s v="盐保仓库"/>
    <x v="89"/>
    <n v="6.4199999999999993E-2"/>
    <s v="JAN 21"/>
    <m/>
    <s v="JPY"/>
    <s v="C49SZX20200242DZ"/>
    <s v="朗特"/>
    <s v="YSM10"/>
    <s v="R-&gt;L"/>
    <s v="MVC+ATS15"/>
    <s v="OK"/>
    <s v="CIF HK"/>
    <d v="2020-12-17T00:00:00"/>
    <s v="Yes"/>
    <m/>
    <m/>
    <m/>
    <s v="C190534728"/>
  </r>
  <r>
    <n v="744"/>
    <x v="0"/>
    <x v="0"/>
    <n v="110049"/>
    <s v="博睿通名义下单"/>
    <x v="1"/>
    <s v="R-&gt;L"/>
    <s v="No"/>
    <s v="Y52849"/>
    <n v="1"/>
    <s v="盐保仓库"/>
    <x v="89"/>
    <n v="6.4199999999999993E-2"/>
    <s v="DEC 20"/>
    <m/>
    <s v="JPY"/>
    <s v="C49SZX20200115SX"/>
    <s v="优控电子"/>
    <s v="YSM10"/>
    <s v="L-&gt;R"/>
    <s v="No"/>
    <s v="WRONG"/>
    <s v="DAP JX"/>
    <d v="2020-07-28T00:00:00"/>
    <s v="Yes"/>
    <m/>
    <m/>
    <m/>
    <s v="C200938065"/>
  </r>
  <r>
    <n v="830"/>
    <x v="0"/>
    <x v="0"/>
    <n v="110049"/>
    <s v="博睿通名义下单"/>
    <x v="12"/>
    <s v="L-&gt;R"/>
    <s v="No"/>
    <s v="Y52843"/>
    <n v="1"/>
    <s v="盐保仓库"/>
    <x v="89"/>
    <n v="6.4199999999999993E-2"/>
    <s v="NOV 20"/>
    <m/>
    <s v="RMB"/>
    <s v="C49SZX20200155JD"/>
    <s v="志华鑫"/>
    <s v="YSM20R-2"/>
    <s v="L-&gt;R"/>
    <s v="No"/>
    <s v="OK"/>
    <s v="含税到厂"/>
    <d v="2020-09-16T00:00:00"/>
    <s v="Yes"/>
    <m/>
    <m/>
    <m/>
    <s v="C201038384"/>
  </r>
  <r>
    <n v="831"/>
    <x v="0"/>
    <x v="0"/>
    <n v="110049"/>
    <s v="博睿通名义下单"/>
    <x v="12"/>
    <s v="L-&gt;R"/>
    <s v="No"/>
    <s v="Y52844"/>
    <n v="1"/>
    <s v="盐保仓库"/>
    <x v="89"/>
    <n v="6.4199999999999993E-2"/>
    <s v="NOV 20"/>
    <m/>
    <s v="RMB"/>
    <s v="C49SZX20200155JD"/>
    <s v="志华鑫"/>
    <s v="YSM20R-2"/>
    <s v="L-&gt;R"/>
    <s v="No"/>
    <s v="OK"/>
    <s v="含税到厂"/>
    <d v="2020-09-16T00:00:00"/>
    <s v="Yes"/>
    <m/>
    <m/>
    <m/>
    <s v="C201038384"/>
  </r>
  <r>
    <n v="792"/>
    <x v="0"/>
    <x v="0"/>
    <n v="110025"/>
    <s v="Stock order"/>
    <x v="1"/>
    <s v="R-&gt;L"/>
    <s v="No"/>
    <s v="Y53182"/>
    <n v="1"/>
    <s v="盐保仓库"/>
    <x v="89"/>
    <n v="6.4199999999999993E-2"/>
    <s v="NOV 20"/>
    <m/>
    <s v="JPY"/>
    <s v="C49SZX20200137SS"/>
    <s v="炑炑明"/>
    <s v="YSM10"/>
    <s v="L-&gt;R"/>
    <s v="MVC"/>
    <s v="WRONG"/>
    <s v="DAP SZ"/>
    <d v="2020-08-24T00:00:00"/>
    <s v="Yes"/>
    <m/>
    <m/>
    <m/>
    <s v="C200537348"/>
  </r>
  <r>
    <n v="803"/>
    <x v="0"/>
    <x v="0"/>
    <n v="110025"/>
    <s v="Stock order"/>
    <x v="1"/>
    <s v="R-&gt;L"/>
    <s v="No"/>
    <s v="Y53183"/>
    <n v="1"/>
    <m/>
    <x v="89"/>
    <n v="6.4199999999999993E-2"/>
    <s v="NOV 20"/>
    <m/>
    <s v="JPY"/>
    <s v="C49SZX20200150SS"/>
    <s v="博睿通（end user：锂动力）"/>
    <s v="YSM10"/>
    <s v="R-&gt;L"/>
    <s v="No"/>
    <s v="OK"/>
    <s v="DAP FS"/>
    <d v="2020-09-02T00:00:00"/>
    <s v="Yes"/>
    <m/>
    <m/>
    <m/>
    <s v="C180732632"/>
  </r>
  <r>
    <n v="804"/>
    <x v="0"/>
    <x v="0"/>
    <n v="110025"/>
    <s v="Stock order"/>
    <x v="1"/>
    <s v="R-&gt;L"/>
    <s v="No"/>
    <s v="Y53184"/>
    <n v="1"/>
    <m/>
    <x v="89"/>
    <n v="6.4199999999999993E-2"/>
    <s v="NOV 20"/>
    <m/>
    <s v="JPY"/>
    <s v="C49SZX20200150SS"/>
    <s v="博睿通（end user：锂动力）"/>
    <s v="YSM10"/>
    <s v="R-&gt;L"/>
    <s v="No"/>
    <s v="OK"/>
    <s v="DAP FS"/>
    <d v="2020-09-02T00:00:00"/>
    <s v="Yes"/>
    <m/>
    <m/>
    <m/>
    <s v="C180732632"/>
  </r>
  <r>
    <n v="745"/>
    <x v="0"/>
    <x v="0"/>
    <s v="110025(拆单110117)"/>
    <s v="Stock order"/>
    <x v="1"/>
    <s v="R-&gt;L"/>
    <s v="No"/>
    <s v="Y53185"/>
    <n v="1"/>
    <s v="盐保仓库"/>
    <x v="89"/>
    <s v="NM，PO用110043"/>
    <s v="DEC 20"/>
    <m/>
    <s v="JPY"/>
    <s v="C49SZX20200115SX"/>
    <s v="优控电子"/>
    <s v="YSM10"/>
    <s v="L-&gt;R"/>
    <s v="No"/>
    <s v="WRONG"/>
    <s v="DAP JX"/>
    <d v="2020-07-28T00:00:00"/>
    <s v="Yes"/>
    <m/>
    <m/>
    <m/>
    <s v="C200938065"/>
  </r>
  <r>
    <n v="847"/>
    <x v="0"/>
    <x v="0"/>
    <s v="110025(拆单110117)"/>
    <s v="Stock order"/>
    <x v="1"/>
    <s v="R-&gt;L"/>
    <s v="No"/>
    <s v="Y53186"/>
    <n v="1"/>
    <m/>
    <x v="89"/>
    <n v="6.3799999999999996E-2"/>
    <s v="NOV 20"/>
    <m/>
    <s v="RMB"/>
    <s v="C49SZX20200168SX"/>
    <s v="利速达"/>
    <s v="YSM10"/>
    <s v="L-&gt;R"/>
    <s v="MVC"/>
    <s v="WRONG"/>
    <s v="含税到厂"/>
    <d v="2020-09-22T00:00:00"/>
    <s v="Yes"/>
    <m/>
    <m/>
    <m/>
    <s v="C180732624"/>
  </r>
  <r>
    <n v="866"/>
    <x v="0"/>
    <x v="0"/>
    <s v="49F103708"/>
    <s v="皇家显示名义下单"/>
    <x v="0"/>
    <s v="R-&gt;L"/>
    <s v="No"/>
    <s v="Y52766"/>
    <n v="1"/>
    <s v="深圳仓库"/>
    <x v="90"/>
    <s v="NM"/>
    <s v="NOV 20"/>
    <m/>
    <s v="RMB"/>
    <s v="C49SZX20200171DZ"/>
    <s v="皇家显示"/>
    <s v="YSM40R-4"/>
    <s v="L-&gt;R"/>
    <s v="No"/>
    <s v="WRONG"/>
    <s v="含税到厂"/>
    <d v="2020-09-28T00:00:00"/>
    <s v="Yes"/>
    <m/>
    <m/>
    <m/>
    <s v="IND order "/>
  </r>
  <r>
    <n v="865"/>
    <x v="0"/>
    <x v="0"/>
    <s v="49F103708"/>
    <s v="皇家显示名义下单"/>
    <x v="0"/>
    <s v="R-&gt;L"/>
    <s v="No"/>
    <s v="Y52765"/>
    <n v="1"/>
    <s v="深圳仓库"/>
    <x v="90"/>
    <s v="NM"/>
    <s v="NOV 20"/>
    <m/>
    <s v="RMB"/>
    <s v="C49SZX20200171DZ"/>
    <s v="皇家显示"/>
    <s v="YSM40R-4"/>
    <s v="L-&gt;R"/>
    <s v="No"/>
    <s v="WRONG"/>
    <s v="含税到厂"/>
    <d v="2020-09-28T00:00:00"/>
    <s v="Yes"/>
    <m/>
    <m/>
    <m/>
    <s v="IND order "/>
  </r>
  <r>
    <n v="870"/>
    <x v="0"/>
    <x v="1"/>
    <n v="110045"/>
    <s v="Stock order"/>
    <x v="9"/>
    <s v="R-&gt;L"/>
    <s v="No"/>
    <s v="Y52685"/>
    <n v="1"/>
    <s v="盐保仓库"/>
    <x v="89"/>
    <s v="NM"/>
    <s v="DEC 20"/>
    <s v="2020.10."/>
    <s v="JPY"/>
    <s v="C28SZX20200087KC"/>
    <s v="嘉裕"/>
    <s v="YCP10"/>
    <s v="L-&gt;R"/>
    <s v="No"/>
    <s v="WRONG"/>
    <s v="CIF HK"/>
    <d v="2020-09-28T00:00:00"/>
    <s v="Yes"/>
    <m/>
    <m/>
    <m/>
    <s v="C200336888"/>
  </r>
  <r>
    <n v="846"/>
    <x v="0"/>
    <x v="1"/>
    <n v="110081"/>
    <s v="Stock order"/>
    <x v="13"/>
    <s v="R-&gt;L"/>
    <s v="No"/>
    <s v="Y53169"/>
    <n v="1"/>
    <s v="盐保仓库"/>
    <x v="91"/>
    <n v="6.4000000000000001E-2"/>
    <s v="DEC 20"/>
    <s v="2020.10."/>
    <s v="RMB"/>
    <s v="C28SZX20200084KC"/>
    <s v="鑫联科"/>
    <s v="YSi-V"/>
    <s v="R-&gt;L"/>
    <s v="No"/>
    <s v="OK"/>
    <s v="含税到厂"/>
    <d v="2020-09-17T00:00:00"/>
    <s v="No"/>
    <m/>
    <m/>
    <m/>
    <s v="C180933101，客户的安贸一直没更新，用鑫联科名字做的安贸"/>
  </r>
  <r>
    <s v="上海预留."/>
    <x v="0"/>
    <x v="1"/>
    <n v="110081"/>
    <s v="Stock order"/>
    <x v="13"/>
    <s v="R-&gt;L"/>
    <s v="No"/>
    <s v="Y53170"/>
    <n v="1"/>
    <s v="华日仓库中转"/>
    <x v="91"/>
    <n v="6.4000000000000001E-2"/>
    <s v="FEB 21"/>
    <s v="2020.10."/>
    <s v="RMB"/>
    <s v="C49SHA20210115/LYJ"/>
    <s v="中科朗恩"/>
    <s v="YSi-V"/>
    <s v="R-&gt;L"/>
    <s v="No"/>
    <s v="OK"/>
    <e v="#N/A"/>
    <e v="#N/A"/>
    <e v="#N/A"/>
    <m/>
    <m/>
    <m/>
    <s v="C180231281"/>
  </r>
  <r>
    <n v="828"/>
    <x v="0"/>
    <x v="0"/>
    <n v="110050"/>
    <s v="博睿通名义下单"/>
    <x v="1"/>
    <s v="R-&gt;L"/>
    <s v="MVC+ATS15"/>
    <s v="Y52850"/>
    <n v="1"/>
    <s v="盐保仓库"/>
    <x v="92"/>
    <s v="NM"/>
    <s v="NOV 20"/>
    <s v="2020.10."/>
    <s v="JPY"/>
    <s v="C49SZX20200160JL"/>
    <s v="力通威"/>
    <s v="YSM10"/>
    <s v="R-&gt;L"/>
    <s v="MVC+ATS15"/>
    <s v="OK"/>
    <s v="CIF HK"/>
    <d v="2020-09-10T00:00:00"/>
    <s v="Yes"/>
    <m/>
    <m/>
    <m/>
    <s v="C190133876"/>
  </r>
  <r>
    <n v="849"/>
    <x v="0"/>
    <x v="0"/>
    <n v="110050"/>
    <s v="博睿通名义下单"/>
    <x v="1"/>
    <s v="R-&gt;L"/>
    <s v="MVC+ATS15"/>
    <s v="Y52851"/>
    <n v="1"/>
    <s v="盐保仓库"/>
    <x v="92"/>
    <s v="NM"/>
    <s v="DEC 20"/>
    <s v="2020.10."/>
    <s v="JPY"/>
    <s v="C49SZX20200167EC"/>
    <s v="海红天远"/>
    <s v="YSM10"/>
    <s v="L-&gt;R"/>
    <s v="MVC+ATS15"/>
    <s v="WRONG"/>
    <s v="CIF HK"/>
    <d v="2020-09-18T00:00:00"/>
    <s v="Yes"/>
    <m/>
    <m/>
    <m/>
    <s v="C200737827"/>
  </r>
  <r>
    <n v="833"/>
    <x v="0"/>
    <x v="0"/>
    <s v="110050（拆单110179）"/>
    <s v="博睿通名义下单"/>
    <x v="1"/>
    <s v="R-&gt;L"/>
    <s v="No"/>
    <s v="Y52852"/>
    <n v="1"/>
    <s v="盐保仓库"/>
    <x v="92"/>
    <n v="6.4000000000000001E-2"/>
    <s v="NOV 20"/>
    <s v="2020.10."/>
    <s v="RMB"/>
    <s v="C49SZX20200155JD"/>
    <s v="志华鑫"/>
    <s v="YSM10"/>
    <s v="L-&gt;R"/>
    <s v="MVC"/>
    <s v="WRONG"/>
    <s v="含税到厂"/>
    <d v="2020-09-16T00:00:00"/>
    <s v="Yes"/>
    <m/>
    <m/>
    <m/>
    <s v="C201038384"/>
  </r>
  <r>
    <n v="845"/>
    <x v="0"/>
    <x v="0"/>
    <n v="110043"/>
    <s v="Stock order"/>
    <x v="1"/>
    <s v="R-&gt;L"/>
    <s v="No"/>
    <s v="Y53235"/>
    <n v="1"/>
    <s v="CY仓库"/>
    <x v="93"/>
    <s v="NM"/>
    <s v="NOV 20"/>
    <m/>
    <s v="JPY"/>
    <s v="C49SZX20200159JY"/>
    <s v="昊亮迪"/>
    <s v="YSM10"/>
    <s v="L-&gt;R"/>
    <s v="No"/>
    <s v="WRONG"/>
    <s v="DAP SZ"/>
    <d v="2020-09-11T00:00:00"/>
    <s v="Yes"/>
    <m/>
    <m/>
    <m/>
    <s v="C200838012"/>
  </r>
  <r>
    <n v="810"/>
    <x v="0"/>
    <x v="0"/>
    <n v="110043"/>
    <s v="Stock order"/>
    <x v="1"/>
    <s v="R-&gt;L"/>
    <s v="No"/>
    <s v="Y53236"/>
    <n v="1"/>
    <s v="CY仓库"/>
    <x v="93"/>
    <s v="0.0638,PO 用110117"/>
    <s v="NOV 20"/>
    <m/>
    <s v="RMB"/>
    <s v="C49SZX20200157SX"/>
    <s v="成景"/>
    <s v="YSM10"/>
    <s v="L-&gt;R"/>
    <s v="MVC"/>
    <s v="WRONG"/>
    <s v="含税到厂"/>
    <d v="2020-09-08T00:00:00"/>
    <s v="Yes"/>
    <m/>
    <m/>
    <m/>
    <s v="C180532024"/>
  </r>
  <r>
    <n v="811"/>
    <x v="0"/>
    <x v="0"/>
    <n v="110043"/>
    <s v="Stock order"/>
    <x v="1"/>
    <s v="R-&gt;L"/>
    <s v="No"/>
    <s v="Y53237"/>
    <n v="1"/>
    <s v="CY仓库"/>
    <x v="93"/>
    <s v="NM"/>
    <s v="NOV 20"/>
    <m/>
    <s v="JPY"/>
    <s v="C49SZX20200129JL"/>
    <s v="力通威"/>
    <s v="YSM10"/>
    <s v="R-&gt;L"/>
    <s v="MVC"/>
    <s v="WRONG"/>
    <s v="CIF HK"/>
    <d v="2020-09-07T00:00:00"/>
    <s v="Yes"/>
    <m/>
    <m/>
    <m/>
    <s v="C171230831"/>
  </r>
  <r>
    <n v="812"/>
    <x v="0"/>
    <x v="0"/>
    <s v="110043(拆单110140)"/>
    <s v="Stock order"/>
    <x v="1"/>
    <s v="R-&gt;L"/>
    <s v="No"/>
    <s v="Y53265"/>
    <n v="1"/>
    <s v="CY仓库"/>
    <x v="93"/>
    <n v="6.4000000000000001E-2"/>
    <s v="NOV 20"/>
    <m/>
    <s v="JPY"/>
    <s v="C49SZX20200129JL"/>
    <s v="力通威"/>
    <s v="YSM10"/>
    <s v="R-&gt;L"/>
    <s v="MVC"/>
    <s v="WRONG"/>
    <s v="CIF HK"/>
    <d v="2020-09-07T00:00:00"/>
    <s v="Yes"/>
    <m/>
    <m/>
    <m/>
    <s v="C171230831"/>
  </r>
  <r>
    <n v="813"/>
    <x v="0"/>
    <x v="0"/>
    <s v="110043(拆单110140)"/>
    <s v="Stock order"/>
    <x v="1"/>
    <s v="R-&gt;L"/>
    <s v="No"/>
    <s v="Y53240"/>
    <n v="1"/>
    <s v="CY仓库"/>
    <x v="93"/>
    <n v="6.4000000000000001E-2"/>
    <s v="NOV 20"/>
    <m/>
    <s v="JPY"/>
    <s v="C49SZX20200129JL"/>
    <s v="力通威"/>
    <s v="YSM10"/>
    <s v="R-&gt;L"/>
    <s v="MVC"/>
    <s v="WRONG"/>
    <s v="CIF HK"/>
    <d v="2020-09-07T00:00:00"/>
    <s v="Yes"/>
    <m/>
    <m/>
    <m/>
    <s v="C171230831"/>
  </r>
  <r>
    <n v="862"/>
    <x v="0"/>
    <x v="0"/>
    <n v="110137"/>
    <s v="Stock order"/>
    <x v="12"/>
    <s v="L-&gt;R"/>
    <s v="No"/>
    <s v="Y53439"/>
    <n v="1"/>
    <s v="CY仓库"/>
    <x v="93"/>
    <n v="6.4000000000000001E-2"/>
    <s v="NOV 20"/>
    <n v="2020.11"/>
    <s v="JPY"/>
    <s v="C49SZX20200175JY"/>
    <s v="百纳海"/>
    <s v="YSM20R-2"/>
    <s v="L-&gt;R"/>
    <s v="No"/>
    <s v="OK"/>
    <s v="DAP SZ"/>
    <d v="2020-09-25T00:00:00"/>
    <s v="Yes"/>
    <m/>
    <m/>
    <m/>
    <s v="C200637625"/>
  </r>
  <r>
    <n v="829"/>
    <x v="0"/>
    <x v="0"/>
    <n v="110137"/>
    <s v="Stock order"/>
    <x v="12"/>
    <s v="L-&gt;R"/>
    <s v="No"/>
    <s v="Y53440"/>
    <n v="1"/>
    <s v="CY仓库"/>
    <x v="93"/>
    <n v="6.4000000000000001E-2"/>
    <s v="NOV 20"/>
    <d v="1905-07-12T02:38:24"/>
    <s v="JPY"/>
    <s v="C49SZX20200160JL"/>
    <s v="力通威"/>
    <s v="YSM20R-2"/>
    <s v="L-&gt;R"/>
    <s v="No"/>
    <s v="OK"/>
    <s v="CIF HK"/>
    <d v="2020-09-10T00:00:00"/>
    <s v="Yes"/>
    <m/>
    <m/>
    <m/>
    <s v="C190133876"/>
  </r>
  <r>
    <n v="827"/>
    <x v="0"/>
    <x v="0"/>
    <n v="110089"/>
    <s v="旭晟名义下单"/>
    <x v="12"/>
    <s v="L-&gt;R"/>
    <s v="No"/>
    <s v="Y53174"/>
    <n v="1"/>
    <s v="码头"/>
    <x v="94"/>
    <s v="NM"/>
    <s v="NOV 20"/>
    <n v="2020.11"/>
    <s v="JPY"/>
    <s v="C49SZX20200152SX"/>
    <s v="旭晟"/>
    <s v="YSM20R-2"/>
    <s v="L-&gt;R"/>
    <s v="No"/>
    <s v="OK"/>
    <s v="DAP SZ"/>
    <d v="2020-09-14T00:00:00"/>
    <s v="Yes"/>
    <m/>
    <m/>
    <m/>
    <s v="IND order"/>
  </r>
  <r>
    <n v="935"/>
    <x v="0"/>
    <x v="0"/>
    <s v="110026（拆单110178）"/>
    <s v="Stock order"/>
    <x v="1"/>
    <s v="R-&gt;L"/>
    <s v="No"/>
    <s v="Y53187"/>
    <n v="1"/>
    <s v="力合仓库(已经清关)"/>
    <x v="95"/>
    <n v="6.4000000000000001E-2"/>
    <s v="DEC 20"/>
    <m/>
    <s v="RMB"/>
    <s v="C49SZX20200215JL"/>
    <s v="江恒"/>
    <s v="YSM10"/>
    <s v="R-&gt;L"/>
    <s v="MVC"/>
    <s v="WRONG"/>
    <s v="含税到厂"/>
    <d v="2020-11-12T00:00:00"/>
    <s v="Yes"/>
    <m/>
    <m/>
    <m/>
    <s v="C170930142"/>
  </r>
  <r>
    <n v="806"/>
    <x v="0"/>
    <x v="0"/>
    <s v="110026（拆单110178）"/>
    <s v="Stock order"/>
    <x v="1"/>
    <s v="R-&gt;L"/>
    <s v="No"/>
    <s v="Y53188"/>
    <n v="1"/>
    <s v="力合仓库(已经清关)"/>
    <x v="95"/>
    <n v="6.4000000000000001E-2"/>
    <s v="DEC 20"/>
    <m/>
    <s v="RMB"/>
    <s v="C49SZX20200149JL"/>
    <s v="博新"/>
    <s v="YSM10"/>
    <s v="R-&gt;L"/>
    <s v="MVC"/>
    <s v="WRONG"/>
    <s v="含税到厂"/>
    <d v="2020-09-03T00:00:00"/>
    <s v="Yes"/>
    <m/>
    <m/>
    <m/>
    <s v="C201238746"/>
  </r>
  <r>
    <n v="876"/>
    <x v="0"/>
    <x v="0"/>
    <s v="110026（拆单110182）"/>
    <s v="Stock order"/>
    <x v="1"/>
    <s v="R-&gt;L"/>
    <s v="No"/>
    <s v="Y53189"/>
    <n v="1"/>
    <s v="力合仓库(已经清关)"/>
    <x v="95"/>
    <n v="6.3399999999999998E-2"/>
    <s v="DEC 20"/>
    <m/>
    <s v="RMB"/>
    <s v="C49SZX20200173MX"/>
    <s v="日东（end user：远爱）"/>
    <s v="YSM10"/>
    <s v="L-&gt;R"/>
    <s v="No"/>
    <s v="WRONG"/>
    <s v="含税到厂"/>
    <d v="2020-09-29T00:00:00"/>
    <s v="Yes"/>
    <m/>
    <m/>
    <m/>
    <s v="C201238776"/>
  </r>
  <r>
    <n v="877"/>
    <x v="0"/>
    <x v="0"/>
    <s v="110026（拆单110182）"/>
    <s v="Stock order"/>
    <x v="1"/>
    <s v="R-&gt;L"/>
    <s v="No"/>
    <s v="Y53190"/>
    <n v="1"/>
    <s v="力合仓库(已经清关)"/>
    <x v="95"/>
    <n v="6.3399999999999998E-2"/>
    <s v="DEC 20"/>
    <m/>
    <s v="RMB"/>
    <s v="C49SZX20200173MX"/>
    <s v="日东（end user：远爱）"/>
    <s v="YSM10"/>
    <s v="L-&gt;R"/>
    <s v="No"/>
    <s v="WRONG"/>
    <s v="含税到厂"/>
    <d v="2020-09-29T00:00:00"/>
    <s v="Yes"/>
    <m/>
    <m/>
    <m/>
    <s v="C201238776"/>
  </r>
  <r>
    <n v="922"/>
    <x v="0"/>
    <x v="0"/>
    <s v="110026（拆单110178）"/>
    <s v="Stock order"/>
    <x v="1"/>
    <s v="R-&gt;L"/>
    <s v="No"/>
    <s v="Y53191"/>
    <n v="1"/>
    <s v="力合仓库(已经清关)"/>
    <x v="95"/>
    <n v="6.4000000000000001E-2"/>
    <s v="DEC 20"/>
    <m/>
    <s v="RMB"/>
    <s v="C49SZX20200209SX"/>
    <s v="韵律光电"/>
    <s v="YSM10"/>
    <s v="R-&gt;L"/>
    <s v="MVC"/>
    <s v="WRONG"/>
    <s v="含税到厂"/>
    <d v="2020-11-11T00:00:00"/>
    <s v="Yes"/>
    <m/>
    <m/>
    <m/>
    <s v="C170429073"/>
  </r>
  <r>
    <n v="863"/>
    <x v="0"/>
    <x v="0"/>
    <n v="110026"/>
    <s v="Stock order"/>
    <x v="1"/>
    <s v="R-&gt;L"/>
    <s v="No"/>
    <s v="Y53192"/>
    <n v="1"/>
    <s v="盐保仓库"/>
    <x v="95"/>
    <s v="NM"/>
    <s v="DEC 20"/>
    <m/>
    <s v="JPY"/>
    <s v="C49SZX20200179MZ"/>
    <s v="鸿南"/>
    <s v="YSM10"/>
    <s v="R-&gt;L"/>
    <s v="MVC"/>
    <s v="WRONG"/>
    <s v="CIF HK"/>
    <d v="2020-09-28T00:00:00"/>
    <s v="Yes"/>
    <m/>
    <m/>
    <m/>
    <s v="C180331587"/>
  </r>
  <r>
    <n v="850"/>
    <x v="0"/>
    <x v="0"/>
    <n v="110026"/>
    <s v="Stock order"/>
    <x v="1"/>
    <s v="R-&gt;L"/>
    <s v="No"/>
    <s v="Y53193"/>
    <n v="1"/>
    <s v="盐保仓库"/>
    <x v="95"/>
    <s v="NM"/>
    <s v="DEC 20"/>
    <m/>
    <s v="JPY"/>
    <s v="C49SZX20200167EC"/>
    <s v="海红天远"/>
    <s v="YSM10"/>
    <s v="L-&gt;R"/>
    <s v="No"/>
    <s v="WRONG"/>
    <s v="CIF HK"/>
    <d v="2020-09-18T00:00:00"/>
    <s v="Yes"/>
    <m/>
    <m/>
    <m/>
    <s v="C200737827"/>
  </r>
  <r>
    <n v="880"/>
    <x v="0"/>
    <x v="0"/>
    <s v="110044（拆单110207）"/>
    <s v="Stock order"/>
    <x v="1"/>
    <s v="R-&gt;L"/>
    <s v="No"/>
    <s v="Y53266"/>
    <n v="1"/>
    <s v="盐保仓库"/>
    <x v="95"/>
    <n v="6.3799999999999996E-2"/>
    <s v="DEC 20"/>
    <m/>
    <s v="RMB"/>
    <s v="C49SZX20200187SX"/>
    <s v="亿莱"/>
    <s v="YSM10"/>
    <s v="L-&gt;R"/>
    <s v="MVC"/>
    <s v="WRONG"/>
    <s v="含税到厂"/>
    <d v="2020-10-12T00:00:00"/>
    <s v="Yes"/>
    <m/>
    <m/>
    <m/>
    <s v="C201238803"/>
  </r>
  <r>
    <n v="879"/>
    <x v="0"/>
    <x v="0"/>
    <s v="110044（拆单110207）"/>
    <s v="Stock order"/>
    <x v="1"/>
    <s v="R-&gt;L"/>
    <s v="No"/>
    <s v="Y53267"/>
    <n v="1"/>
    <s v="盐保仓库"/>
    <x v="95"/>
    <n v="6.3799999999999996E-2"/>
    <s v="DEC 20"/>
    <m/>
    <s v="RMB"/>
    <s v="C49SZX20200187SX"/>
    <s v="亿莱"/>
    <s v="YSM10"/>
    <s v="L-&gt;R"/>
    <s v="MVC"/>
    <s v="WRONG"/>
    <s v="含税到厂"/>
    <d v="2020-10-12T00:00:00"/>
    <s v="Yes"/>
    <m/>
    <m/>
    <m/>
    <s v="C201238803"/>
  </r>
  <r>
    <n v="861"/>
    <x v="0"/>
    <x v="0"/>
    <n v="110044"/>
    <s v="Stock order"/>
    <x v="1"/>
    <s v="R-&gt;L"/>
    <s v="No"/>
    <s v="Y53268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60"/>
    <x v="0"/>
    <x v="0"/>
    <n v="110044"/>
    <s v="Stock order"/>
    <x v="1"/>
    <s v="R-&gt;L"/>
    <s v="No"/>
    <s v="Y53269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58"/>
    <x v="0"/>
    <x v="0"/>
    <n v="110044"/>
    <s v="Stock order"/>
    <x v="1"/>
    <s v="R-&gt;L"/>
    <s v="No"/>
    <s v="Y53238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59"/>
    <x v="0"/>
    <x v="0"/>
    <n v="110044"/>
    <s v="Stock order"/>
    <x v="1"/>
    <s v="R-&gt;L"/>
    <s v="No"/>
    <s v="Y53239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51"/>
    <x v="0"/>
    <x v="0"/>
    <n v="110069"/>
    <s v="Stock order"/>
    <x v="12"/>
    <s v="L-&gt;R"/>
    <s v="No"/>
    <s v="Y53443"/>
    <n v="1"/>
    <s v="CY仓库"/>
    <x v="96"/>
    <s v="NM"/>
    <s v="DEC 20"/>
    <m/>
    <s v="JPY"/>
    <s v="C49SZX20200167EC"/>
    <s v="海红天远"/>
    <s v="YSM20R(SV)-2"/>
    <s v="L-&gt;R"/>
    <s v="No"/>
    <s v="OK"/>
    <s v="CIF HK"/>
    <d v="2020-09-18T00:00:00"/>
    <s v="Yes"/>
    <m/>
    <m/>
    <m/>
    <s v="C200737827"/>
  </r>
  <r>
    <n v="841"/>
    <x v="0"/>
    <x v="0"/>
    <n v="110069"/>
    <s v="Stock order"/>
    <x v="12"/>
    <s v="R-&gt;L"/>
    <s v="No"/>
    <s v="Y53444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842"/>
    <x v="0"/>
    <x v="0"/>
    <n v="110069"/>
    <s v="Stock order"/>
    <x v="12"/>
    <s v="R-&gt;L"/>
    <s v="No"/>
    <s v="Y53445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843"/>
    <x v="0"/>
    <x v="0"/>
    <n v="110069"/>
    <s v="Stock order"/>
    <x v="12"/>
    <s v="R-&gt;L"/>
    <s v="No"/>
    <s v="Y53446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844"/>
    <x v="0"/>
    <x v="0"/>
    <n v="110069"/>
    <s v="Stock order"/>
    <x v="12"/>
    <s v="R-&gt;L"/>
    <s v="No"/>
    <s v="Y53447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932"/>
    <x v="0"/>
    <x v="0"/>
    <n v="110110"/>
    <s v="博睿通名义下单"/>
    <x v="12"/>
    <s v="L-&gt;R"/>
    <s v="No"/>
    <s v="Y52845"/>
    <n v="1"/>
    <s v="码头-&gt;准备清关"/>
    <x v="97"/>
    <s v="NM"/>
    <s v="DEC 20"/>
    <m/>
    <s v="JPY"/>
    <s v="C49SZX20200216JL"/>
    <s v="捷舜诚"/>
    <s v="YSM20R-2"/>
    <s v="L-&gt;R"/>
    <s v="No"/>
    <s v="OK"/>
    <s v="DAP SZ"/>
    <d v="2020-11-13T00:00:00"/>
    <s v="Yes"/>
    <m/>
    <m/>
    <m/>
    <s v="C170629728"/>
  </r>
  <r>
    <n v="881"/>
    <x v="0"/>
    <x v="0"/>
    <s v="110110（拆单110180）"/>
    <s v="博睿通名义下单"/>
    <x v="12"/>
    <s v="L-&gt;R"/>
    <s v="No"/>
    <s v="Y52846"/>
    <n v="1"/>
    <s v="码头-&gt;准备清关"/>
    <x v="97"/>
    <n v="6.4000000000000001E-2"/>
    <s v="DEC 20"/>
    <m/>
    <s v="RMB"/>
    <s v="C49SZX20200187SX"/>
    <s v="亿莱"/>
    <s v="YSM20R-2"/>
    <s v="L-&gt;R"/>
    <s v="No"/>
    <s v="OK"/>
    <s v="含税到厂"/>
    <d v="2020-10-12T00:00:00"/>
    <s v="Yes"/>
    <m/>
    <m/>
    <m/>
    <s v="C201238803"/>
  </r>
  <r>
    <n v="883"/>
    <x v="0"/>
    <x v="0"/>
    <n v="110068"/>
    <s v="Stock order"/>
    <x v="12"/>
    <s v="L-&gt;R"/>
    <s v="cATS10+special layout"/>
    <s v="Y53442"/>
    <n v="1"/>
    <s v="盐保仓库"/>
    <x v="98"/>
    <s v="NM"/>
    <s v="JAN 21"/>
    <n v="2020.11"/>
    <s v="JPY"/>
    <s v="C49SZX20200113SS"/>
    <s v="派勤"/>
    <s v="YSM20R-2"/>
    <s v="L-&gt;R"/>
    <s v="cATS10+MVC"/>
    <s v="WRONG"/>
    <s v="DAP SZ"/>
    <d v="2020-10-15T00:00:00"/>
    <s v="Yes"/>
    <m/>
    <m/>
    <m/>
    <s v="C201138627"/>
  </r>
  <r>
    <n v="867"/>
    <x v="0"/>
    <x v="0"/>
    <n v="110068"/>
    <s v="Stock order"/>
    <x v="12"/>
    <s v="L-&gt;R"/>
    <s v="No"/>
    <s v="Y53441"/>
    <n v="1"/>
    <s v="盐保仓库"/>
    <x v="98"/>
    <s v="NM"/>
    <s v="DEC 20"/>
    <n v="2020.11"/>
    <s v="JPY"/>
    <s v="C49SZX20200170DZ"/>
    <s v="嘉裕"/>
    <s v="YSM20R-2"/>
    <s v="L-&gt;R"/>
    <s v="No"/>
    <s v="OK"/>
    <s v="CIF HK"/>
    <d v="2020-09-24T00:00:00"/>
    <s v="Yes"/>
    <m/>
    <m/>
    <m/>
    <s v="C200336888"/>
  </r>
  <r>
    <n v="928"/>
    <x v="0"/>
    <x v="0"/>
    <s v="110097（拆单110192）"/>
    <s v="玥芯通名义下单"/>
    <x v="12"/>
    <s v="L-&gt;R"/>
    <s v="No"/>
    <s v="Y53571"/>
    <n v="1"/>
    <s v="盐保仓库"/>
    <x v="99"/>
    <n v="6.3399999999999998E-2"/>
    <s v="JAN 21"/>
    <m/>
    <s v="JPY"/>
    <s v="C49SZX20200210RSX"/>
    <s v="众鑫科"/>
    <s v="YSM20R-2"/>
    <s v="L-&gt;R"/>
    <s v="No"/>
    <s v="OK"/>
    <s v="DAP HZ"/>
    <d v="2020-11-12T00:00:00"/>
    <s v="Yes"/>
    <m/>
    <m/>
    <m/>
    <s v="Yes"/>
  </r>
  <r>
    <n v="796"/>
    <x v="0"/>
    <x v="0"/>
    <n v="110097"/>
    <s v="玥芯通名义下单"/>
    <x v="12"/>
    <s v="R-&gt;L"/>
    <s v="No"/>
    <s v="Y53572"/>
    <n v="1"/>
    <s v="力合仓库(已经清关)"/>
    <x v="99"/>
    <s v="0.065(PO用110047）"/>
    <s v="JAN 21"/>
    <m/>
    <s v="RMB"/>
    <s v="C49SZX20200140RSX"/>
    <s v="嘉普达"/>
    <s v="YSM20R-2"/>
    <s v="R-&gt;L"/>
    <s v="No"/>
    <s v="OK"/>
    <s v="含税到厂"/>
    <d v="2020-09-01T00:00:00"/>
    <s v="Yes"/>
    <m/>
    <m/>
    <m/>
    <s v="C200938204"/>
  </r>
  <r>
    <n v="864"/>
    <x v="0"/>
    <x v="0"/>
    <n v="110097"/>
    <s v="玥芯通名义下单"/>
    <x v="12"/>
    <s v="R-&gt;L"/>
    <s v="No"/>
    <s v="Y53573"/>
    <n v="1"/>
    <s v="盐保仓库"/>
    <x v="99"/>
    <s v="NM"/>
    <s v="DEC 20"/>
    <m/>
    <s v="JPY"/>
    <s v="C49SZX20200179MZ"/>
    <s v="鸿南"/>
    <s v="YSM20R-2"/>
    <s v="R-&gt;L"/>
    <s v="No"/>
    <s v="OK"/>
    <s v="CIF HK"/>
    <d v="2020-09-28T00:00:00"/>
    <s v="Yes"/>
    <m/>
    <m/>
    <m/>
    <s v="C180331587"/>
  </r>
  <r>
    <n v="896"/>
    <x v="0"/>
    <x v="0"/>
    <s v="110181(拆单110214)"/>
    <s v="玥芯通名义下单"/>
    <x v="12"/>
    <s v="L-&gt;R"/>
    <s v="No"/>
    <s v="Y53574"/>
    <n v="1"/>
    <s v="力合仓库(已经清关)"/>
    <x v="99"/>
    <n v="6.3500000000000001E-2"/>
    <s v="DEC 20"/>
    <m/>
    <s v="RMB"/>
    <s v="C49SZX20200196EC"/>
    <s v="广泰博"/>
    <s v="YSM20R-2"/>
    <s v="L-&gt;R"/>
    <s v="No"/>
    <s v="OK"/>
    <s v="含税到厂"/>
    <d v="2020-10-23T00:00:00"/>
    <s v="Yes"/>
    <m/>
    <m/>
    <m/>
    <s v="C201138594"/>
  </r>
  <r>
    <n v="897"/>
    <x v="0"/>
    <x v="0"/>
    <n v="110181"/>
    <s v="玥芯通名义下单"/>
    <x v="12"/>
    <s v="L-&gt;R"/>
    <s v="No"/>
    <s v="Y53575"/>
    <n v="1"/>
    <s v="力合仓库(已经清关)"/>
    <x v="99"/>
    <s v="0.0638 PO用110208"/>
    <s v="DEC 20"/>
    <m/>
    <s v="RMB"/>
    <s v="C49SZX20200196EC"/>
    <s v="广泰博"/>
    <s v="YSM20R-2"/>
    <s v="L-&gt;R"/>
    <s v="No"/>
    <s v="OK"/>
    <s v="含税到厂"/>
    <d v="2020-10-23T00:00:00"/>
    <s v="Yes"/>
    <m/>
    <m/>
    <m/>
    <s v="C201138594"/>
  </r>
  <r>
    <n v="919"/>
    <x v="0"/>
    <x v="0"/>
    <n v="110158"/>
    <s v="捷舜诚名义"/>
    <x v="12"/>
    <s v="L-&gt;R"/>
    <s v="No"/>
    <s v="Y53922"/>
    <n v="1"/>
    <s v="力合中转仓"/>
    <x v="99"/>
    <s v="NM"/>
    <s v="DEC 20"/>
    <m/>
    <s v="JPY"/>
    <s v="C49SZX20200203SS"/>
    <s v="存封"/>
    <s v="YSM20R-2"/>
    <s v="L-&gt;R"/>
    <s v="No"/>
    <s v="OK"/>
    <s v="DAP DG"/>
    <d v="2020-11-09T00:00:00"/>
    <s v="Yes"/>
    <m/>
    <m/>
    <m/>
    <s v="C180131261"/>
  </r>
  <r>
    <n v="887"/>
    <x v="0"/>
    <x v="0"/>
    <n v="110158"/>
    <s v="捷舜诚名义"/>
    <x v="12"/>
    <s v="L-&gt;R"/>
    <s v="No"/>
    <s v="Y53923"/>
    <n v="1"/>
    <s v="力合中转仓"/>
    <x v="99"/>
    <s v="NM"/>
    <s v="DEC 20"/>
    <m/>
    <s v="JPY"/>
    <s v="C49SZX20200190SS"/>
    <s v="维益"/>
    <s v="YSM20R-2"/>
    <s v="L-&gt;R"/>
    <s v="No"/>
    <s v="OK"/>
    <s v="DAP SZ"/>
    <d v="2020-10-19T00:00:00"/>
    <s v="Yes"/>
    <m/>
    <m/>
    <m/>
    <s v="C180331713"/>
  </r>
  <r>
    <n v="857"/>
    <x v="0"/>
    <x v="0"/>
    <n v="110122"/>
    <s v="Stock order"/>
    <x v="1"/>
    <s v="R-&gt;L"/>
    <s v="No"/>
    <s v="Y53961"/>
    <n v="1"/>
    <s v="CY仓库"/>
    <x v="100"/>
    <s v="NM"/>
    <s v="DEC 20"/>
    <m/>
    <s v="JPY"/>
    <s v="C49SZX20200178SS"/>
    <s v="顺鸿达"/>
    <s v="YSM10"/>
    <s v="R-&gt;L"/>
    <s v="MVC"/>
    <s v="WRONG"/>
    <s v="DAP DG"/>
    <d v="2020-09-26T00:00:00"/>
    <s v="Yes"/>
    <m/>
    <m/>
    <m/>
    <s v="C190434559"/>
  </r>
  <r>
    <n v="907"/>
    <x v="0"/>
    <x v="0"/>
    <n v="110159"/>
    <s v="捷舜诚名义"/>
    <x v="12"/>
    <s v="L-&gt;R"/>
    <s v="No"/>
    <s v="Y53924"/>
    <n v="1"/>
    <s v="CY仓库"/>
    <x v="100"/>
    <s v="NM"/>
    <s v="JAN 21"/>
    <m/>
    <s v="JPY"/>
    <s v="C49SZX20200142SX"/>
    <s v="鑫亿特"/>
    <s v="YSM20R-2"/>
    <s v="L-&gt;R"/>
    <s v="No"/>
    <s v="OK"/>
    <s v="DAP SZ"/>
    <d v="2020-11-03T00:00:00"/>
    <s v="Yes"/>
    <m/>
    <m/>
    <m/>
    <s v="C201238798"/>
  </r>
  <r>
    <n v="913"/>
    <x v="0"/>
    <x v="0"/>
    <n v="110159"/>
    <s v="捷舜诚名义"/>
    <x v="12"/>
    <s v="L-&gt;R"/>
    <s v="No"/>
    <s v="Y53925"/>
    <n v="1"/>
    <s v="CY仓库"/>
    <x v="100"/>
    <s v="NM PO用110158"/>
    <s v="JAN 21"/>
    <m/>
    <s v="JPY"/>
    <s v="C49SZX20200206MZ"/>
    <s v="崧盛"/>
    <s v="YSM20R-2"/>
    <s v="L-&gt;R"/>
    <s v="No"/>
    <s v="OK"/>
    <s v="CIF HK"/>
    <d v="2020-11-04T00:00:00"/>
    <s v="Yes"/>
    <m/>
    <m/>
    <m/>
    <s v="C190635053"/>
  </r>
  <r>
    <n v="915"/>
    <x v="0"/>
    <x v="0"/>
    <n v="110161"/>
    <s v="Stock order"/>
    <x v="1"/>
    <s v="R-&gt;L"/>
    <s v="No"/>
    <s v="Y53241"/>
    <n v="1"/>
    <s v="CY仓库"/>
    <x v="101"/>
    <s v="NM"/>
    <s v="JAN 21"/>
    <m/>
    <s v="JPY"/>
    <s v="C49SZX20200206MZ"/>
    <s v="崧盛"/>
    <s v="YSM10"/>
    <s v="L-&gt;R"/>
    <s v="No"/>
    <s v="WRONG"/>
    <s v="CIF HK"/>
    <d v="2020-11-04T00:00:00"/>
    <s v="Yes"/>
    <m/>
    <m/>
    <m/>
    <s v="C190635053"/>
  </r>
  <r>
    <n v="912"/>
    <x v="0"/>
    <x v="0"/>
    <n v="110108"/>
    <s v="志华鑫名义下单"/>
    <x v="12"/>
    <s v="L-&gt;R"/>
    <s v="No"/>
    <s v="Y53846"/>
    <n v="1"/>
    <s v="CY仓库"/>
    <x v="101"/>
    <s v="NM"/>
    <s v="JAN 21"/>
    <m/>
    <s v="JPY"/>
    <s v="C49SZX20200206MZ"/>
    <s v="崧盛"/>
    <s v="YSM20R-2"/>
    <s v="L-&gt;R"/>
    <s v="No"/>
    <s v="OK"/>
    <s v="CIF HK"/>
    <d v="2020-11-04T00:00:00"/>
    <s v="Yes"/>
    <m/>
    <m/>
    <m/>
    <s v="C190635053"/>
  </r>
  <r>
    <n v="914"/>
    <x v="0"/>
    <x v="0"/>
    <n v="110108"/>
    <s v="志华鑫名义下单"/>
    <x v="1"/>
    <s v="R-&gt;L"/>
    <s v="No"/>
    <s v="Y53848"/>
    <n v="1"/>
    <s v="CY仓库"/>
    <x v="101"/>
    <s v="NM"/>
    <s v="JAN 21"/>
    <m/>
    <s v="JPY"/>
    <s v="C49SZX20200206MZ"/>
    <s v="崧盛"/>
    <s v="YSM10"/>
    <s v="L-&gt;R"/>
    <s v="No"/>
    <s v="WRONG"/>
    <s v="CIF HK"/>
    <d v="2020-11-04T00:00:00"/>
    <s v="Yes"/>
    <m/>
    <m/>
    <m/>
    <s v="C190635053"/>
  </r>
  <r>
    <n v="908"/>
    <x v="0"/>
    <x v="0"/>
    <n v="110108"/>
    <s v="志华鑫名义下单"/>
    <x v="1"/>
    <s v="R-&gt;L"/>
    <s v="No"/>
    <s v="Y53849"/>
    <n v="1"/>
    <s v="CY仓库"/>
    <x v="101"/>
    <s v="NM"/>
    <s v="JAN 21"/>
    <m/>
    <s v="JPY"/>
    <s v="C49SZX20200142SX"/>
    <s v="鑫亿特"/>
    <s v="YSM10"/>
    <s v="L-&gt;R"/>
    <s v="MVC"/>
    <s v="WRONG"/>
    <s v="DAP SZ"/>
    <d v="2020-11-03T00:00:00"/>
    <s v="Yes"/>
    <m/>
    <m/>
    <m/>
    <s v="C201238798"/>
  </r>
  <r>
    <n v="906"/>
    <x v="0"/>
    <x v="0"/>
    <n v="110066"/>
    <s v="Stock order"/>
    <x v="1"/>
    <s v="R-&gt;L"/>
    <s v="No"/>
    <s v="Y53618"/>
    <n v="1"/>
    <s v="码头-&gt;准备清关"/>
    <x v="102"/>
    <s v="NM"/>
    <s v="JAN 21"/>
    <m/>
    <s v="JPY"/>
    <s v="C49SZX20200205JZ"/>
    <s v="新明海"/>
    <s v="YSM10"/>
    <s v="L-&gt;R"/>
    <s v="MVC"/>
    <s v="WRONG"/>
    <s v="DAP HZ"/>
    <d v="2020-11-03T00:00:00"/>
    <s v="Yes"/>
    <m/>
    <m/>
    <m/>
    <s v="C180933045"/>
  </r>
  <r>
    <n v="936"/>
    <x v="0"/>
    <x v="0"/>
    <n v="110066"/>
    <s v="Stock order"/>
    <x v="1"/>
    <s v="R-&gt;L"/>
    <s v="No"/>
    <s v="Y53619"/>
    <n v="1"/>
    <s v="码头-&gt;准备清关"/>
    <x v="102"/>
    <s v="NM"/>
    <s v="JAN 21"/>
    <m/>
    <s v="JPY"/>
    <s v="C49SZX20200219SS"/>
    <s v="钧溢电子"/>
    <s v="YSM10"/>
    <s v="L-&gt;R"/>
    <s v="MVC"/>
    <s v="WRONG"/>
    <s v="DAP SZ"/>
    <d v="2020-11-17T00:00:00"/>
    <s v="Yes"/>
    <m/>
    <m/>
    <m/>
    <s v="C191136105"/>
  </r>
  <r>
    <n v="885"/>
    <x v="0"/>
    <x v="0"/>
    <n v="110066"/>
    <s v="Stock order"/>
    <x v="1"/>
    <s v="R-&gt;L"/>
    <s v="No"/>
    <s v="Y53613不能调动机器"/>
    <n v="1"/>
    <s v="盐保仓库"/>
    <x v="102"/>
    <s v="NM"/>
    <s v="JAN 21"/>
    <m/>
    <s v="JPY"/>
    <s v="C49SZX20210003JY"/>
    <s v="光瑞新（end user：海纳科）"/>
    <s v="YSM10"/>
    <s v="R-&gt;L"/>
    <s v="MVC"/>
    <s v="WRONG"/>
    <s v="DAP SZ"/>
    <d v="2020-10-15T00:00:00"/>
    <s v="Yes"/>
    <m/>
    <m/>
    <m/>
    <s v="C200838012"/>
  </r>
  <r>
    <n v="884"/>
    <x v="0"/>
    <x v="0"/>
    <n v="110066"/>
    <s v="Stock order"/>
    <x v="1"/>
    <s v="R-&gt;L"/>
    <s v="No"/>
    <s v="Y53614不能调动机器"/>
    <n v="1"/>
    <s v="盐保仓库"/>
    <x v="102"/>
    <s v="NM"/>
    <s v="JAN 21"/>
    <m/>
    <s v="JPY"/>
    <s v="C49SZX20210003JY"/>
    <s v="光瑞新（end user：海纳科）"/>
    <s v="YSM10"/>
    <s v="R-&gt;L"/>
    <s v="MVC"/>
    <s v="WRONG"/>
    <s v="DAP SZ"/>
    <d v="2020-10-15T00:00:00"/>
    <s v="Yes"/>
    <m/>
    <m/>
    <m/>
    <s v="C200838012"/>
  </r>
  <r>
    <n v="894"/>
    <x v="0"/>
    <x v="0"/>
    <n v="110066"/>
    <s v="Stock order"/>
    <x v="1"/>
    <s v="R-&gt;L"/>
    <s v="No"/>
    <s v="Y53615"/>
    <n v="1"/>
    <s v="盐保仓库"/>
    <x v="102"/>
    <s v="NM"/>
    <s v="JAN 21"/>
    <m/>
    <s v="JPY"/>
    <s v="C49SZX20200191SS"/>
    <s v="博睿通"/>
    <s v="YSM10"/>
    <s v="L-&gt;R"/>
    <s v="MVC"/>
    <s v="WRONG"/>
    <s v="CIF HK"/>
    <d v="2020-10-20T00:00:00"/>
    <s v="Yes"/>
    <m/>
    <m/>
    <m/>
    <s v="C191236445"/>
  </r>
  <r>
    <n v="1027"/>
    <x v="0"/>
    <x v="0"/>
    <n v="110066"/>
    <s v="Stock order"/>
    <x v="1"/>
    <s v="R-&gt;L"/>
    <s v="No"/>
    <s v="Y53616"/>
    <n v="1"/>
    <s v="盐保仓库"/>
    <x v="102"/>
    <s v="TBA"/>
    <s v="JAN 21"/>
    <m/>
    <s v="JPY"/>
    <s v="C49SZX20200242DZ"/>
    <s v="朗特"/>
    <s v="YSM10"/>
    <s v="R-&gt;L"/>
    <s v="MVC"/>
    <s v="WRONG"/>
    <s v="CIF HK"/>
    <d v="2020-12-17T00:00:00"/>
    <s v="Yes"/>
    <m/>
    <m/>
    <m/>
    <s v="C190534728"/>
  </r>
  <r>
    <n v="893"/>
    <x v="0"/>
    <x v="0"/>
    <n v="110066"/>
    <s v="Stock order"/>
    <x v="1"/>
    <s v="R-&gt;L"/>
    <s v="No"/>
    <s v="Y53617"/>
    <n v="1"/>
    <s v="盐保仓库"/>
    <x v="102"/>
    <s v="NM"/>
    <s v="JAN 21"/>
    <m/>
    <s v="JPY"/>
    <s v="C49SZX20200191SS"/>
    <s v="博睿通"/>
    <s v="YSM10"/>
    <s v="L-&gt;R"/>
    <s v="MVC"/>
    <s v="WRONG"/>
    <s v="CIF HK"/>
    <d v="2020-10-20T00:00:00"/>
    <s v="Yes"/>
    <m/>
    <m/>
    <m/>
    <s v="C191236445"/>
  </r>
  <r>
    <n v="959"/>
    <x v="0"/>
    <x v="0"/>
    <n v="110067"/>
    <s v="Stock order"/>
    <x v="1"/>
    <s v="R-&gt;L"/>
    <s v="No"/>
    <s v="Y53620"/>
    <n v="1"/>
    <s v="盐保仓库"/>
    <x v="103"/>
    <s v="NM"/>
    <s v="FEB 21"/>
    <m/>
    <s v="JPY"/>
    <s v="C49SZX20200213MX"/>
    <s v="音品（End user:厚朴）"/>
    <s v="YSM10"/>
    <s v="L-&gt;R"/>
    <s v="No"/>
    <s v="WRONG"/>
    <s v="DAP SZ"/>
    <d v="2020-11-18T00:00:00"/>
    <s v="Yes"/>
    <m/>
    <m/>
    <m/>
    <s v="C210139194"/>
  </r>
  <r>
    <n v="903"/>
    <x v="0"/>
    <x v="0"/>
    <n v="110067"/>
    <s v="Stock order"/>
    <x v="1"/>
    <s v="R-&gt;L"/>
    <s v="No"/>
    <s v="Y53621"/>
    <n v="1"/>
    <s v="盐保仓库"/>
    <x v="103"/>
    <s v="NM"/>
    <s v="JAN 21"/>
    <m/>
    <s v="JPY"/>
    <s v="C49SZX20200199MZ"/>
    <s v="鸿南"/>
    <s v="YSM10"/>
    <s v="R-&gt;L"/>
    <s v="MVC"/>
    <s v="WRONG"/>
    <s v="CIF HK"/>
    <d v="2020-10-30T00:00:00"/>
    <s v="Yes"/>
    <m/>
    <m/>
    <m/>
    <s v="C180331587"/>
  </r>
  <r>
    <n v="1043"/>
    <x v="0"/>
    <x v="0"/>
    <n v="110067"/>
    <s v="Stock order"/>
    <x v="1"/>
    <s v="R-&gt;L"/>
    <s v="No"/>
    <s v="Y53622"/>
    <n v="1"/>
    <s v="盐保仓库"/>
    <x v="103"/>
    <s v="NM"/>
    <s v="JAN 21"/>
    <m/>
    <s v="JPY"/>
    <s v="C49SZX20200255JY"/>
    <s v="昊亮迪"/>
    <s v="YSM10"/>
    <s v="L-&gt;R"/>
    <s v="No"/>
    <s v="WRONG"/>
    <s v="DAP SZ"/>
    <d v="2020-12-24T00:00:00"/>
    <s v="Yes"/>
    <m/>
    <m/>
    <m/>
    <s v="C201038333"/>
  </r>
  <r>
    <n v="955"/>
    <x v="0"/>
    <x v="0"/>
    <n v="110067"/>
    <s v="Stock order"/>
    <x v="1"/>
    <s v="R-&gt;L"/>
    <s v="No"/>
    <s v="Y53623（不能调动)"/>
    <n v="1"/>
    <s v="力合中转仓"/>
    <x v="103"/>
    <s v="NM"/>
    <s v="AUG 21"/>
    <m/>
    <s v="JPY"/>
    <s v="C49SZX20200213MX"/>
    <s v="音品（End user:艾艺科技)"/>
    <s v="YSM10"/>
    <s v="L-&gt;R"/>
    <s v="No"/>
    <s v="WRONG"/>
    <s v="DAP SZ"/>
    <d v="2020-11-18T00:00:00"/>
    <s v="Yes"/>
    <m/>
    <m/>
    <m/>
    <s v="C210740713"/>
  </r>
  <r>
    <n v="923"/>
    <x v="0"/>
    <x v="1"/>
    <n v="110195"/>
    <s v="鸿通宇名义"/>
    <x v="13"/>
    <s v="L-&gt;R"/>
    <s v="No"/>
    <m/>
    <n v="1"/>
    <m/>
    <x v="104"/>
    <n v="6.3100000000000003E-2"/>
    <s v="JAN 21"/>
    <m/>
    <s v="RMB"/>
    <s v="C28SZX20200081KC"/>
    <s v="鸿通宇"/>
    <s v="YSi-V"/>
    <s v="L-&gt;R"/>
    <s v="No"/>
    <s v="OK"/>
    <s v="含税到厂"/>
    <d v="2020-11-05T00:00:00"/>
    <s v="Yes"/>
    <m/>
    <m/>
    <m/>
    <s v="IND order"/>
  </r>
  <r>
    <n v="920"/>
    <x v="0"/>
    <x v="0"/>
    <n v="110105"/>
    <s v="益田名义下单"/>
    <x v="12"/>
    <s v="L-&gt;R"/>
    <s v="No"/>
    <s v="Y53630"/>
    <n v="1"/>
    <s v="盐保仓库"/>
    <x v="105"/>
    <s v="NM"/>
    <s v="JAN 21"/>
    <m/>
    <s v="JPY"/>
    <s v="C49SZX20200145JL"/>
    <s v="易而达"/>
    <s v="YSM20R-2"/>
    <s v="L-&gt;R"/>
    <s v="No"/>
    <s v="OK"/>
    <s v="DAP GZ"/>
    <d v="2020-11-10T00:00:00"/>
    <s v="Yes"/>
    <m/>
    <m/>
    <m/>
    <s v="C180832785"/>
  </r>
  <r>
    <n v="889"/>
    <x v="0"/>
    <x v="0"/>
    <n v="110105"/>
    <s v="益田名义下单"/>
    <x v="12"/>
    <s v="L-&gt;R"/>
    <s v="No"/>
    <s v="Y53631"/>
    <n v="1"/>
    <s v="盐保仓库"/>
    <x v="105"/>
    <s v="NM"/>
    <s v="JAN 21"/>
    <m/>
    <s v="JPY"/>
    <s v="C49SZX20200195SS"/>
    <s v="泰鑫荣"/>
    <s v="YSM20R-2"/>
    <s v="L-&gt;R"/>
    <s v="No"/>
    <s v="OK"/>
    <s v="DAP SZ"/>
    <d v="2020-10-21T00:00:00"/>
    <s v="Yes"/>
    <m/>
    <m/>
    <m/>
    <s v="C200737853"/>
  </r>
  <r>
    <n v="878"/>
    <x v="0"/>
    <x v="0"/>
    <n v="110105"/>
    <s v="益田名义下单"/>
    <x v="12"/>
    <s v="R-&gt;L"/>
    <s v="No"/>
    <s v="Y53632"/>
    <n v="1"/>
    <s v="盐保仓库"/>
    <x v="105"/>
    <s v="NM"/>
    <s v="JAN 21"/>
    <m/>
    <s v="JPY"/>
    <s v="C49SZX20200182JY"/>
    <s v="百纳海"/>
    <s v="YSM20R-2"/>
    <s v="R-&gt;L"/>
    <s v="No"/>
    <s v="OK"/>
    <s v="DAP SZ"/>
    <d v="2020-10-13T00:00:00"/>
    <s v="Yes"/>
    <m/>
    <m/>
    <m/>
    <s v="C200637625"/>
  </r>
  <r>
    <n v="901"/>
    <x v="0"/>
    <x v="0"/>
    <n v="110105"/>
    <s v="益田名义下单"/>
    <x v="12"/>
    <s v="R-&gt;L"/>
    <s v="No"/>
    <s v="Y53633"/>
    <n v="1"/>
    <s v="盐保仓库"/>
    <x v="105"/>
    <s v="NM"/>
    <s v="JAN 21"/>
    <m/>
    <s v="JPY"/>
    <s v="C49SZX20200199MZ"/>
    <s v="鸿南"/>
    <s v="YSM20R-2"/>
    <s v="R-&gt;L"/>
    <s v="No"/>
    <s v="OK"/>
    <s v="CIF HK"/>
    <d v="2020-10-30T00:00:00"/>
    <s v="Yes"/>
    <m/>
    <m/>
    <m/>
    <s v="C180331587"/>
  </r>
  <r>
    <n v="902"/>
    <x v="0"/>
    <x v="0"/>
    <s v="110106 (拆单110215)"/>
    <s v="益田名义下单"/>
    <x v="12"/>
    <s v="R-&gt;L"/>
    <s v="No"/>
    <s v="Y53634"/>
    <n v="1"/>
    <s v="盐保仓库"/>
    <x v="106"/>
    <n v="6.3500000000000001E-2"/>
    <s v="JAN 21"/>
    <m/>
    <s v="JPY"/>
    <s v="C49SZX20200199MZ"/>
    <s v="鸿南"/>
    <s v="YSM20R-2"/>
    <s v="R-&gt;L"/>
    <s v="No"/>
    <s v="OK"/>
    <s v="CIF HK"/>
    <d v="2020-10-30T00:00:00"/>
    <s v="Yes"/>
    <m/>
    <m/>
    <m/>
    <s v="C180331587"/>
  </r>
  <r>
    <n v="882"/>
    <x v="0"/>
    <x v="0"/>
    <s v="110106（拆单110208）"/>
    <s v="益田名义下单"/>
    <x v="12"/>
    <s v="L-&gt;R"/>
    <s v="No"/>
    <s v="Y53635"/>
    <n v="1"/>
    <s v="盐保仓库"/>
    <x v="106"/>
    <s v="TBA Po 用110181"/>
    <s v="JAN 21"/>
    <m/>
    <s v="JPY"/>
    <s v="C49SZX20200113SS"/>
    <s v="派勤"/>
    <s v="YSM20R-2"/>
    <s v="L-&gt;R"/>
    <s v="No"/>
    <s v="OK"/>
    <s v="DAP SZ"/>
    <d v="2020-10-15T00:00:00"/>
    <s v="Yes"/>
    <m/>
    <m/>
    <m/>
    <s v="C201138627"/>
  </r>
  <r>
    <n v="1045"/>
    <x v="0"/>
    <x v="0"/>
    <n v="110106"/>
    <s v="益田名义下单"/>
    <x v="12"/>
    <s v="L-&gt;R"/>
    <s v="No"/>
    <s v="Y53636"/>
    <n v="1"/>
    <s v="盐保仓库"/>
    <x v="106"/>
    <s v="NM"/>
    <s v="JAN 21"/>
    <m/>
    <s v="JPY"/>
    <s v="C49SZX20200246MX"/>
    <s v="华耘"/>
    <s v="YSM20R-2"/>
    <s v="L-&gt;R"/>
    <s v="No"/>
    <s v="OK"/>
    <s v="DAP DG"/>
    <d v="2020-12-28T00:00:00"/>
    <s v="Yes"/>
    <m/>
    <m/>
    <m/>
    <s v="C210239227"/>
  </r>
  <r>
    <n v="873"/>
    <x v="0"/>
    <x v="0"/>
    <n v="110106"/>
    <s v="益田名义下单"/>
    <x v="12"/>
    <s v="L-&gt;R"/>
    <s v="No"/>
    <s v="Y53637"/>
    <n v="1"/>
    <s v="盐保仓库"/>
    <x v="106"/>
    <s v="NM"/>
    <s v="JAN 21"/>
    <m/>
    <s v="JPY"/>
    <s v="C49SZX20200180SX"/>
    <s v="东陆"/>
    <s v="YSM20R-2"/>
    <s v="L-&gt;R"/>
    <s v="No"/>
    <s v="OK"/>
    <s v="DAP SZ"/>
    <d v="2020-09-30T00:00:00"/>
    <s v="Yes"/>
    <m/>
    <m/>
    <m/>
    <s v="C171030541"/>
  </r>
  <r>
    <n v="905"/>
    <x v="0"/>
    <x v="0"/>
    <n v="110198"/>
    <s v="志华鑫名义下单"/>
    <x v="12"/>
    <s v="L-&gt;R"/>
    <s v="No"/>
    <s v="Y53842"/>
    <n v="1"/>
    <s v="盐保仓库"/>
    <x v="106"/>
    <s v="NM"/>
    <s v="JAN 21"/>
    <m/>
    <s v="JPY"/>
    <s v="C49SZX20200205JZ"/>
    <s v="新明海"/>
    <s v="YSM20R-2"/>
    <s v="L-&gt;R"/>
    <s v="No"/>
    <s v="OK"/>
    <s v="DAP HZ"/>
    <d v="2020-11-03T00:00:00"/>
    <s v="Yes"/>
    <m/>
    <m/>
    <m/>
    <s v="C180933045"/>
  </r>
  <r>
    <n v="1038"/>
    <x v="0"/>
    <x v="0"/>
    <n v="110168"/>
    <s v="华彩鑫名义"/>
    <x v="0"/>
    <s v="L-&gt;R"/>
    <s v="No"/>
    <s v="Y54173"/>
    <n v="1"/>
    <s v="码头-&gt;准备清关"/>
    <x v="107"/>
    <n v="6.4000000000000001E-2"/>
    <s v="JAN 21"/>
    <m/>
    <s v="RMB"/>
    <s v="C49SZX20200220SX"/>
    <s v="拓新伟业"/>
    <s v="YSM40R-4"/>
    <s v="L-&gt;R"/>
    <s v="No"/>
    <s v="OK"/>
    <s v="含税到厂"/>
    <d v="2020-12-16T00:00:00"/>
    <s v="Yes"/>
    <m/>
    <m/>
    <m/>
    <s v="C210239202"/>
  </r>
  <r>
    <n v="1039"/>
    <x v="0"/>
    <x v="0"/>
    <n v="110170"/>
    <s v="华彩鑫名义"/>
    <x v="0"/>
    <s v="L-&gt;R"/>
    <s v="No"/>
    <s v="Y54174"/>
    <n v="1"/>
    <s v="码头-&gt;准备清关"/>
    <x v="107"/>
    <n v="6.3600000000000004E-2"/>
    <s v="JAN 21"/>
    <m/>
    <s v="RMB"/>
    <s v="C49SZX20200220SX"/>
    <s v="拓新伟业"/>
    <s v="YSM40R-4"/>
    <s v="L-&gt;R"/>
    <s v="No"/>
    <s v="OK"/>
    <s v="含税到厂"/>
    <d v="2020-12-16T00:00:00"/>
    <s v="Yes"/>
    <m/>
    <m/>
    <m/>
    <s v="C210239202"/>
  </r>
  <r>
    <n v="872"/>
    <x v="0"/>
    <x v="0"/>
    <n v="110107"/>
    <s v="志华鑫名义下单"/>
    <x v="12"/>
    <s v="R-&gt;L"/>
    <s v="No"/>
    <s v="Y53843"/>
    <n v="1"/>
    <s v="盐保仓库"/>
    <x v="108"/>
    <s v="NM"/>
    <s v="JAN 21"/>
    <m/>
    <s v="JPY"/>
    <s v="C49SZX20200180SX"/>
    <s v="东陆"/>
    <s v="YSM20R-2"/>
    <s v="R-&gt;L"/>
    <s v="MVC"/>
    <s v="WRONG"/>
    <s v="DAP SZ"/>
    <d v="2020-09-30T00:00:00"/>
    <s v="Yes"/>
    <m/>
    <m/>
    <m/>
    <s v="C171030541"/>
  </r>
  <r>
    <n v="978"/>
    <x v="0"/>
    <x v="0"/>
    <n v="110107"/>
    <s v="志华鑫名义下单"/>
    <x v="12"/>
    <s v="R-&gt;L"/>
    <s v="No"/>
    <s v="Y53844"/>
    <n v="1"/>
    <s v="力合中转仓"/>
    <x v="108"/>
    <s v="NM"/>
    <s v="FEB 21"/>
    <m/>
    <s v="JPY"/>
    <s v="C49SZX20200229JY"/>
    <s v="豫龙辉"/>
    <s v="YSM20R-2"/>
    <s v="R-&gt;L"/>
    <s v="No"/>
    <s v="OK"/>
    <s v="DAP SZ"/>
    <d v="2020-11-26T00:00:00"/>
    <s v="Yes"/>
    <m/>
    <m/>
    <m/>
    <s v="C200838017"/>
  </r>
  <r>
    <n v="947"/>
    <x v="0"/>
    <x v="0"/>
    <s v="110107（拆单110209）"/>
    <s v="志华鑫名义下单"/>
    <x v="12"/>
    <s v="L-&gt;R"/>
    <s v="No"/>
    <s v="Y53845"/>
    <n v="1"/>
    <s v="盐保仓库"/>
    <x v="108"/>
    <n v="6.3799999999999996E-2"/>
    <s v="JAN 21"/>
    <m/>
    <s v="JPY"/>
    <s v="C49SZX20200213MX"/>
    <s v="音品（End user:厚朴）"/>
    <s v="YSM20R-2"/>
    <s v="L-&gt;R"/>
    <s v="No"/>
    <s v="OK"/>
    <s v="DAP SZ"/>
    <d v="2020-11-18T00:00:00"/>
    <s v="Yes"/>
    <m/>
    <m/>
    <m/>
    <s v="C210139194"/>
  </r>
  <r>
    <n v="1109"/>
    <x v="0"/>
    <x v="0"/>
    <s v="110107（拆单110209）"/>
    <s v="志华鑫名义下单"/>
    <x v="12"/>
    <s v="L-&gt;R"/>
    <s v="No"/>
    <s v="Y53847"/>
    <n v="1"/>
    <s v="盐保仓库"/>
    <x v="108"/>
    <n v="6.3799999999999996E-2"/>
    <s v="MAR 21"/>
    <m/>
    <s v="JPY"/>
    <s v="C49SZX20210037SX"/>
    <s v="模鑫"/>
    <s v="YSM20R-2"/>
    <s v="L-&gt;R"/>
    <s v="No"/>
    <s v="OK"/>
    <s v="DAP SZ"/>
    <d v="2021-02-01T00:00:00"/>
    <s v="Yes"/>
    <m/>
    <m/>
    <m/>
    <s v="C210339637"/>
  </r>
  <r>
    <n v="911"/>
    <x v="0"/>
    <x v="0"/>
    <n v="110199"/>
    <s v="Stock order"/>
    <x v="1"/>
    <s v="R-&gt;L"/>
    <s v="No"/>
    <s v="Y53962"/>
    <n v="1"/>
    <s v="盐保仓库"/>
    <x v="109"/>
    <s v="NM"/>
    <s v="JAN 21"/>
    <m/>
    <s v="JPY"/>
    <s v="C49SZX20200207MZ"/>
    <s v="崧盛"/>
    <s v="YSM10"/>
    <s v="L-&gt;R"/>
    <s v="No"/>
    <s v="WRONG"/>
    <s v="CIF HK"/>
    <d v="2020-11-04T00:00:00"/>
    <s v="Yes"/>
    <m/>
    <m/>
    <m/>
    <s v="C190635053"/>
  </r>
  <r>
    <n v="910"/>
    <x v="0"/>
    <x v="0"/>
    <n v="110199"/>
    <s v="Stock order"/>
    <x v="1"/>
    <s v="R-&gt;L"/>
    <s v="No"/>
    <s v="Y53963"/>
    <n v="1"/>
    <s v="盐保仓库"/>
    <x v="109"/>
    <s v="NM"/>
    <s v="JAN 21"/>
    <m/>
    <s v="JPY"/>
    <s v="C49SZX20200207MZ"/>
    <s v="崧盛"/>
    <s v="YSM10"/>
    <s v="L-&gt;R"/>
    <s v="No"/>
    <s v="WRONG"/>
    <s v="CIF HK"/>
    <d v="2020-11-04T00:00:00"/>
    <s v="Yes"/>
    <m/>
    <m/>
    <m/>
    <s v="C190635053"/>
  </r>
  <r>
    <n v="1065"/>
    <x v="0"/>
    <x v="0"/>
    <n v="110199"/>
    <s v="Stock order"/>
    <x v="1"/>
    <s v="R-&gt;L"/>
    <s v="No"/>
    <s v="Y53964"/>
    <n v="1"/>
    <s v="盐保仓库"/>
    <x v="109"/>
    <s v="NM"/>
    <s v="JAN 21"/>
    <m/>
    <s v="JPY"/>
    <s v="C49SZX20210012SX"/>
    <s v="赛朗斯"/>
    <s v="YSM10"/>
    <s v="L-&gt;R"/>
    <s v="MVC"/>
    <s v="WRONG"/>
    <s v="DAP FS"/>
    <d v="2021-01-11T00:00:00"/>
    <s v="Yes"/>
    <m/>
    <m/>
    <m/>
    <s v="C210239281"/>
  </r>
  <r>
    <n v="917"/>
    <x v="0"/>
    <x v="0"/>
    <n v="110199"/>
    <s v="Stock order"/>
    <x v="1"/>
    <s v="R-&gt;L"/>
    <s v="No"/>
    <s v="Y53965"/>
    <n v="1"/>
    <s v="盐保仓库"/>
    <x v="109"/>
    <s v="NM"/>
    <s v="JAN 21"/>
    <m/>
    <s v="JPY"/>
    <s v="C49SZX20200192SS"/>
    <s v="合进高"/>
    <s v="YSM10"/>
    <s v="L-&gt;R"/>
    <s v="MVC"/>
    <s v="WRONG"/>
    <s v="CIF HK"/>
    <d v="2020-10-20T00:00:00"/>
    <s v="Yes"/>
    <m/>
    <m/>
    <m/>
    <s v="C200437242"/>
  </r>
  <r>
    <n v="918"/>
    <x v="0"/>
    <x v="0"/>
    <n v="110199"/>
    <s v="Stock order"/>
    <x v="1"/>
    <s v="R-&gt;L"/>
    <s v="No"/>
    <s v="Y53966"/>
    <n v="1"/>
    <s v="盐保仓库"/>
    <x v="109"/>
    <s v="NM"/>
    <s v="JAN 21"/>
    <m/>
    <s v="JPY"/>
    <s v="C49SZX20200192SS"/>
    <s v="合进高"/>
    <s v="YSM10"/>
    <s v="L-&gt;R"/>
    <s v="MVC"/>
    <s v="WRONG"/>
    <s v="CIF HK"/>
    <d v="2020-10-20T00:00:00"/>
    <s v="Yes"/>
    <m/>
    <m/>
    <m/>
    <s v="C200437242"/>
  </r>
  <r>
    <n v="940"/>
    <x v="0"/>
    <x v="0"/>
    <n v="110201"/>
    <s v="Stock order"/>
    <x v="1"/>
    <s v="R-&gt;L"/>
    <s v="No"/>
    <s v="Y53624"/>
    <n v="1"/>
    <s v="盐保仓库"/>
    <x v="109"/>
    <s v="NM"/>
    <s v="JAN 21"/>
    <m/>
    <s v="JPY"/>
    <s v="C49SZX20200222SS"/>
    <s v="盈通恒翼"/>
    <s v="YSM10"/>
    <s v="L-&gt;R"/>
    <s v="MVC"/>
    <s v="WRONG"/>
    <s v="DAP SZ"/>
    <d v="2020-11-18T00:00:00"/>
    <s v="Yes"/>
    <m/>
    <m/>
    <m/>
    <s v="C210139067"/>
  </r>
  <r>
    <n v="797"/>
    <x v="0"/>
    <x v="1"/>
    <n v="110064"/>
    <s v="Stock order"/>
    <x v="14"/>
    <s v="NO"/>
    <s v="No"/>
    <n v="6818"/>
    <n v="1"/>
    <m/>
    <x v="110"/>
    <n v="7.8"/>
    <s v="SEP 20"/>
    <m/>
    <s v="RMB"/>
    <s v="SOLMT2061001"/>
    <s v="力拔"/>
    <s v="SolderStar-Lite 6"/>
    <s v="No"/>
    <s v="No"/>
    <s v="OK"/>
    <s v="含税到厂"/>
    <d v="2020-08-26T00:00:00"/>
    <s v="No"/>
    <m/>
    <m/>
    <m/>
    <s v="C28"/>
  </r>
  <r>
    <m/>
    <x v="0"/>
    <x v="1"/>
    <n v="110064"/>
    <s v="Stock order"/>
    <x v="14"/>
    <s v="NO"/>
    <s v="No"/>
    <n v="6819"/>
    <n v="1"/>
    <m/>
    <x v="110"/>
    <n v="7.8"/>
    <m/>
    <m/>
    <e v="#N/A"/>
    <e v="#N/A"/>
    <e v="#N/A"/>
    <e v="#N/A"/>
    <e v="#N/A"/>
    <e v="#N/A"/>
    <e v="#N/A"/>
    <e v="#N/A"/>
    <e v="#N/A"/>
    <e v="#N/A"/>
    <m/>
    <m/>
    <m/>
    <s v="C28"/>
  </r>
  <r>
    <m/>
    <x v="0"/>
    <x v="1"/>
    <n v="110064"/>
    <s v="Stock order"/>
    <x v="14"/>
    <s v="NO"/>
    <s v="No"/>
    <n v="6820"/>
    <n v="1"/>
    <s v="力合中转仓"/>
    <x v="110"/>
    <n v="7.8"/>
    <s v="SEP 20"/>
    <m/>
    <e v="#N/A"/>
    <e v="#N/A"/>
    <e v="#N/A"/>
    <e v="#N/A"/>
    <e v="#N/A"/>
    <e v="#N/A"/>
    <e v="#N/A"/>
    <e v="#N/A"/>
    <e v="#N/A"/>
    <e v="#N/A"/>
    <m/>
    <m/>
    <m/>
    <s v="C28"/>
  </r>
  <r>
    <s v="力丰"/>
    <x v="0"/>
    <x v="1"/>
    <n v="110064"/>
    <s v="Stock order"/>
    <x v="14"/>
    <s v="NO"/>
    <s v="No"/>
    <n v="6821"/>
    <n v="1"/>
    <m/>
    <x v="110"/>
    <n v="7.8"/>
    <m/>
    <m/>
    <s v="RMB"/>
    <s v="力丰"/>
    <e v="#N/A"/>
    <e v="#N/A"/>
    <e v="#N/A"/>
    <e v="#N/A"/>
    <e v="#N/A"/>
    <e v="#N/A"/>
    <e v="#N/A"/>
    <e v="#N/A"/>
    <m/>
    <m/>
    <m/>
    <s v="C28"/>
  </r>
  <r>
    <m/>
    <x v="0"/>
    <x v="1"/>
    <n v="110064"/>
    <s v="Stock order"/>
    <x v="14"/>
    <s v="NO"/>
    <s v="No"/>
    <n v="6822"/>
    <n v="1"/>
    <s v="HK 仓库"/>
    <x v="110"/>
    <n v="7.8"/>
    <m/>
    <m/>
    <s v="RMB"/>
    <s v="上海客户"/>
    <e v="#N/A"/>
    <e v="#N/A"/>
    <e v="#N/A"/>
    <e v="#N/A"/>
    <e v="#N/A"/>
    <e v="#N/A"/>
    <e v="#N/A"/>
    <e v="#N/A"/>
    <m/>
    <m/>
    <m/>
    <s v="C28"/>
  </r>
  <r>
    <n v="942"/>
    <x v="0"/>
    <x v="0"/>
    <n v="110096"/>
    <s v="玥芯通名义下单"/>
    <x v="1"/>
    <s v="R-&gt;L"/>
    <s v="No"/>
    <s v="Y53564"/>
    <n v="1"/>
    <s v="盐保仓库"/>
    <x v="109"/>
    <s v="NM"/>
    <s v="JAN 21"/>
    <m/>
    <s v="JPY"/>
    <s v="C49SZX20200222SS"/>
    <s v="盈通恒翼"/>
    <s v="YSM10"/>
    <s v="R-&gt;L"/>
    <s v="No"/>
    <s v="OK"/>
    <s v="DAP SZ"/>
    <d v="2020-11-18T00:00:00"/>
    <s v="Yes"/>
    <m/>
    <m/>
    <m/>
    <s v="C210139067"/>
  </r>
  <r>
    <n v="1114"/>
    <x v="0"/>
    <x v="0"/>
    <s v="110096（拆单110241）"/>
    <s v="玥芯通名义下单"/>
    <x v="1"/>
    <s v="R-&gt;L"/>
    <s v="No"/>
    <s v="Y53565"/>
    <n v="1"/>
    <s v="力合中转仓"/>
    <x v="109"/>
    <n v="6.3100000000000003E-2"/>
    <s v="FEB 21"/>
    <m/>
    <s v="JPY"/>
    <s v="C49SZX20210032JL"/>
    <s v="捷舜诚"/>
    <s v="YSM10"/>
    <s v="L-&gt;R"/>
    <s v="MVC"/>
    <s v="WRONG"/>
    <s v="DAP SZ"/>
    <d v="2021-01-29T00:00:00"/>
    <s v="Yes"/>
    <m/>
    <m/>
    <m/>
    <s v="C170629728"/>
  </r>
  <r>
    <n v="916"/>
    <x v="0"/>
    <x v="0"/>
    <n v="110096"/>
    <s v="玥芯通名义下单"/>
    <x v="1"/>
    <s v="R-&gt;L"/>
    <s v="MVC+ATS15"/>
    <s v="Y53566"/>
    <n v="1"/>
    <s v="盐保仓库"/>
    <x v="109"/>
    <s v="NM"/>
    <s v="JAN 21"/>
    <m/>
    <s v="JPY"/>
    <s v="C49SZX20200192SS"/>
    <s v="合进高"/>
    <s v="YSM10"/>
    <s v="L-&gt;R"/>
    <s v="MVC+ATS15"/>
    <s v="WRONG"/>
    <s v="CIF HK"/>
    <d v="2020-10-20T00:00:00"/>
    <s v="Yes"/>
    <m/>
    <m/>
    <m/>
    <s v="C200336910 "/>
  </r>
  <r>
    <n v="1049"/>
    <x v="0"/>
    <x v="0"/>
    <n v="110096"/>
    <s v="玥芯通名义下单"/>
    <x v="1"/>
    <s v="R-&gt;L"/>
    <s v="MVC+ATS15"/>
    <s v="Y53567"/>
    <n v="1"/>
    <s v="盐保仓库"/>
    <x v="109"/>
    <s v="NM"/>
    <s v="APR 21"/>
    <m/>
    <s v="JPY"/>
    <s v="C49SZX20200257JY"/>
    <s v="精德鸿"/>
    <s v="YSM10"/>
    <s v="L-&gt;R"/>
    <s v="MVC+ATS15"/>
    <s v="WRONG"/>
    <s v="DAP SZ"/>
    <d v="2020-12-28T00:00:00"/>
    <s v="Yes"/>
    <m/>
    <m/>
    <m/>
    <s v="C210139127"/>
  </r>
  <r>
    <n v="1157"/>
    <x v="0"/>
    <x v="0"/>
    <n v="110096"/>
    <s v="玥芯通名义下单"/>
    <x v="1"/>
    <s v="R-&gt;L"/>
    <s v="MVC+ATS15"/>
    <s v="Y53568"/>
    <n v="1"/>
    <s v="盐保仓库"/>
    <x v="109"/>
    <s v="TBA"/>
    <s v="APR 21"/>
    <m/>
    <s v="JPY"/>
    <s v="C49SZX20210051JY"/>
    <s v="络鑫（end user:东莞络鑫）"/>
    <s v="YSM10"/>
    <s v="L-&gt;R"/>
    <s v="MVC+ATS15"/>
    <s v="WRONG"/>
    <s v="CIF HK"/>
    <d v="2021-03-04T00:00:00"/>
    <s v="Yes"/>
    <m/>
    <m/>
    <m/>
    <s v="C210439957"/>
  </r>
  <r>
    <n v="909"/>
    <x v="0"/>
    <x v="0"/>
    <n v="110123"/>
    <s v="Stock order"/>
    <x v="12"/>
    <s v="L-&gt;R"/>
    <s v="No"/>
    <s v="Y54026"/>
    <n v="1"/>
    <s v="盐保仓库"/>
    <x v="109"/>
    <s v="NM"/>
    <s v="JAN 21"/>
    <m/>
    <s v="JPY"/>
    <s v="C49SZX20200207MZ"/>
    <s v="崧盛"/>
    <s v="YSM20R-2"/>
    <s v="L-&gt;R"/>
    <s v="No"/>
    <s v="OK"/>
    <s v="CIF HK"/>
    <d v="2020-11-04T00:00:00"/>
    <s v="Yes"/>
    <m/>
    <m/>
    <m/>
    <s v="C190635053"/>
  </r>
  <r>
    <n v="1080"/>
    <x v="0"/>
    <x v="0"/>
    <s v="110235（拆单110242）"/>
    <s v="Stock order"/>
    <x v="12"/>
    <s v="L-&gt;R"/>
    <s v="No"/>
    <s v="Y54024"/>
    <n v="1"/>
    <s v="华日仓库中转"/>
    <x v="111"/>
    <s v="NM"/>
    <s v="MAR 21"/>
    <m/>
    <s v="JPY"/>
    <s v="C49SZX20210026DZ"/>
    <s v="航特"/>
    <s v="YSM20R-2"/>
    <s v="L-&gt;R"/>
    <s v="No"/>
    <s v="OK"/>
    <s v="DAP CS"/>
    <d v="2021-01-22T00:00:00"/>
    <s v="Yes"/>
    <m/>
    <m/>
    <m/>
    <s v="C200637621"/>
  </r>
  <r>
    <n v="1121"/>
    <x v="0"/>
    <x v="0"/>
    <n v="110235"/>
    <s v="Stock order"/>
    <x v="12"/>
    <s v="L-&gt;R"/>
    <s v="No"/>
    <s v="Y54025"/>
    <n v="1"/>
    <s v="盐保仓库"/>
    <x v="111"/>
    <n v="6.3100000000000003E-2"/>
    <s v="MAR 21"/>
    <m/>
    <s v="JPY"/>
    <s v="C49SZX20210011JY"/>
    <s v="英拓邦"/>
    <s v="YSM20R-2"/>
    <s v="L-&gt;R"/>
    <s v="MVC"/>
    <s v="WRONG"/>
    <s v="CIF HK"/>
    <d v="2021-01-26T00:00:00"/>
    <s v="Yes"/>
    <m/>
    <m/>
    <m/>
    <s v="C190634939"/>
  </r>
  <r>
    <n v="943"/>
    <x v="0"/>
    <x v="0"/>
    <n v="110235"/>
    <s v="Stock order"/>
    <x v="12"/>
    <s v="L-&gt;R"/>
    <s v="No"/>
    <s v="Y54027"/>
    <n v="1"/>
    <s v="华日仓库中转"/>
    <x v="111"/>
    <n v="6.3100000000000003E-2"/>
    <s v="FEB 21"/>
    <m/>
    <s v="RMB"/>
    <s v="C49SZX20200221MZ"/>
    <s v="腾拓"/>
    <s v="YSM20R-2"/>
    <s v="L-&gt;R"/>
    <s v="No"/>
    <s v="OK"/>
    <s v="含税到厂"/>
    <d v="2020-11-19T00:00:00"/>
    <s v="Yes"/>
    <m/>
    <m/>
    <m/>
    <s v="C210339459"/>
  </r>
  <r>
    <n v="944"/>
    <x v="0"/>
    <x v="0"/>
    <n v="110235"/>
    <s v="Stock order"/>
    <x v="12"/>
    <s v="L-&gt;R"/>
    <s v="No"/>
    <s v="Y54028"/>
    <n v="1"/>
    <s v="华日仓库中转"/>
    <x v="111"/>
    <n v="6.3100000000000003E-2"/>
    <s v="FEB 21"/>
    <m/>
    <s v="RMB"/>
    <s v="C49SZX20200221MZ"/>
    <s v="腾拓"/>
    <s v="YSM20R-2"/>
    <s v="L-&gt;R"/>
    <s v="MVC"/>
    <s v="WRONG"/>
    <s v="含税到厂"/>
    <d v="2020-11-19T00:00:00"/>
    <s v="Yes"/>
    <m/>
    <m/>
    <m/>
    <s v="C210339459"/>
  </r>
  <r>
    <n v="899"/>
    <x v="0"/>
    <x v="0"/>
    <n v="110132"/>
    <s v="Stock order"/>
    <x v="12"/>
    <s v="L-&gt;R"/>
    <s v="No"/>
    <s v="Y54102"/>
    <n v="1"/>
    <s v="盐保仓库"/>
    <x v="111"/>
    <s v="NM"/>
    <s v="FEB 21"/>
    <m/>
    <s v="JPY"/>
    <s v="C49SZX20200198JZ"/>
    <s v="阿里兄妹"/>
    <s v="YSM20R-2"/>
    <s v="L-&gt;R"/>
    <s v="MVC"/>
    <s v="WRONG"/>
    <s v="DAP SZ"/>
    <d v="2020-10-26T00:00:00"/>
    <s v="Yes"/>
    <m/>
    <m/>
    <m/>
    <s v="C150422959"/>
  </r>
  <r>
    <n v="900"/>
    <x v="0"/>
    <x v="0"/>
    <n v="110132"/>
    <s v="Stock order"/>
    <x v="12"/>
    <s v="L-&gt;R"/>
    <s v="No"/>
    <s v="Y54103"/>
    <n v="1"/>
    <s v="盐保仓库"/>
    <x v="111"/>
    <s v="NM"/>
    <s v="FEB 21"/>
    <m/>
    <s v="JPY"/>
    <s v="C49SZX20200198JZ"/>
    <s v="阿里兄妹"/>
    <s v="YSM20R-2"/>
    <s v="L-&gt;R"/>
    <s v="MVC"/>
    <s v="WRONG"/>
    <s v="DAP SZ"/>
    <d v="2020-10-26T00:00:00"/>
    <s v="Yes"/>
    <m/>
    <m/>
    <m/>
    <s v="C150422959"/>
  </r>
  <r>
    <n v="1111"/>
    <x v="0"/>
    <x v="0"/>
    <n v="110132"/>
    <s v="Stock order"/>
    <x v="12"/>
    <s v="L-&gt;R"/>
    <s v="No"/>
    <s v="Y54104"/>
    <n v="1"/>
    <s v="力合中转仓"/>
    <x v="111"/>
    <s v="NM"/>
    <s v="FEB 21"/>
    <m/>
    <s v="JPY"/>
    <s v="C49SZX20210032JL"/>
    <s v="捷舜诚"/>
    <s v="YSM20R-2"/>
    <s v="L-&gt;R"/>
    <s v="MVC"/>
    <s v="WRONG"/>
    <s v="DAP SZ"/>
    <d v="2021-01-29T00:00:00"/>
    <s v="Yes"/>
    <m/>
    <m/>
    <m/>
    <s v="C170629728"/>
  </r>
  <r>
    <n v="1078"/>
    <x v="0"/>
    <x v="0"/>
    <n v="110132"/>
    <s v="Stock order"/>
    <x v="12"/>
    <s v="R-&gt;L"/>
    <s v="No"/>
    <s v="Y54105"/>
    <n v="1"/>
    <s v="盐保仓库"/>
    <x v="111"/>
    <s v="NM"/>
    <s v="FEB 21"/>
    <m/>
    <s v="JPY"/>
    <s v="C49SZX20210025DZ"/>
    <s v="巨鑫电子"/>
    <s v="YSM20R-2"/>
    <s v="R-&gt;L"/>
    <s v="No"/>
    <s v="OK"/>
    <s v="DAP SZ"/>
    <d v="2021-01-20T00:00:00"/>
    <s v="Yes"/>
    <m/>
    <m/>
    <m/>
    <s v="C210239208"/>
  </r>
  <r>
    <n v="1070"/>
    <x v="0"/>
    <x v="0"/>
    <n v="110130"/>
    <s v="Stock order"/>
    <x v="1"/>
    <s v="R-&gt;L"/>
    <s v="No"/>
    <s v="Y54198"/>
    <n v="1"/>
    <s v="华日仓库中转"/>
    <x v="111"/>
    <s v="NM"/>
    <s v="FEB 21"/>
    <m/>
    <s v="JPY"/>
    <s v="C49SZX20210018SX"/>
    <s v="恒泰"/>
    <s v="YSM10"/>
    <s v="R-&gt;L"/>
    <s v="No"/>
    <s v="OK"/>
    <s v="DAP JA"/>
    <d v="2021-01-18T00:00:00"/>
    <s v="Yes"/>
    <m/>
    <m/>
    <m/>
    <s v="C180431829"/>
  </r>
  <r>
    <n v="931"/>
    <x v="0"/>
    <x v="0"/>
    <n v="110130"/>
    <s v="Stock order"/>
    <x v="1"/>
    <s v="R-&gt;L"/>
    <s v="No"/>
    <s v="Y54199"/>
    <n v="1"/>
    <s v="华日仓库中转"/>
    <x v="111"/>
    <s v="NM"/>
    <s v="FEB 21"/>
    <m/>
    <s v="JPY"/>
    <s v="C49SZX20200211SX"/>
    <s v="同创"/>
    <s v="YSM10"/>
    <s v="L-&gt;R"/>
    <s v="MVC+ANC"/>
    <s v="WRONG"/>
    <s v="DAP SZ"/>
    <d v="2020-11-13T00:00:00"/>
    <s v="Yes"/>
    <m/>
    <m/>
    <m/>
    <s v="C210139111"/>
  </r>
  <r>
    <n v="983"/>
    <x v="0"/>
    <x v="0"/>
    <n v="110130"/>
    <s v="Stock order"/>
    <x v="1"/>
    <s v="R-&gt;L"/>
    <s v="No"/>
    <s v="Y54200"/>
    <n v="1"/>
    <s v="力合中转仓"/>
    <x v="111"/>
    <s v="NM"/>
    <s v="FEB 21"/>
    <m/>
    <s v="JPY"/>
    <s v="C49SZX20200230SS"/>
    <s v="盈通恒翼"/>
    <s v="YSM10"/>
    <s v="R-&gt;L"/>
    <s v="No"/>
    <s v="OK"/>
    <s v="DAP SZ"/>
    <d v="2020-11-28T00:00:00"/>
    <s v="Yes"/>
    <m/>
    <m/>
    <m/>
    <s v="C210139067"/>
  </r>
  <r>
    <n v="1077"/>
    <x v="0"/>
    <x v="0"/>
    <n v="110130"/>
    <s v="Stock order"/>
    <x v="1"/>
    <s v="R-&gt;L"/>
    <s v="No"/>
    <s v="Y54201"/>
    <n v="1"/>
    <s v="华日仓库中转"/>
    <x v="111"/>
    <s v="NM"/>
    <s v="FEB 21"/>
    <m/>
    <s v="JPY"/>
    <s v="C49SZX20210020SX"/>
    <s v="锐诚"/>
    <s v="YSM10"/>
    <s v="L-&gt;R"/>
    <s v="MVC"/>
    <s v="WRONG"/>
    <s v="DAP HZ"/>
    <d v="2021-01-20T00:00:00"/>
    <s v="Yes"/>
    <m/>
    <m/>
    <m/>
    <s v="C180231291"/>
  </r>
  <r>
    <n v="941"/>
    <x v="0"/>
    <x v="0"/>
    <n v="110130"/>
    <s v="Stock order"/>
    <x v="1"/>
    <s v="R-&gt;L"/>
    <s v="No"/>
    <s v="Y54202"/>
    <n v="1"/>
    <s v="力合中转仓"/>
    <x v="111"/>
    <s v="NM"/>
    <s v="FEB 21"/>
    <m/>
    <s v="JPY"/>
    <s v="C49SZX20200222SS"/>
    <s v="盈通恒翼"/>
    <s v="YSM10"/>
    <s v="L-&gt;R"/>
    <s v="MVC"/>
    <s v="WRONG"/>
    <s v="DAP SZ"/>
    <d v="2020-11-18T00:00:00"/>
    <s v="Yes"/>
    <m/>
    <m/>
    <m/>
    <s v="C210139067"/>
  </r>
  <r>
    <n v="930"/>
    <x v="0"/>
    <x v="0"/>
    <n v="110133"/>
    <s v="Stock order"/>
    <x v="12"/>
    <s v="L-&gt;R"/>
    <s v="No"/>
    <s v="Y54106"/>
    <n v="1"/>
    <s v="华日仓库中转"/>
    <x v="111"/>
    <s v="NM"/>
    <s v="FEB 21"/>
    <m/>
    <s v="JPY"/>
    <s v="C49SZX20200211SX"/>
    <s v="同创"/>
    <s v="YSM20R-2"/>
    <s v="L-&gt;R"/>
    <s v="No"/>
    <s v="OK"/>
    <s v="DAP SZ"/>
    <d v="2020-11-13T00:00:00"/>
    <s v="Yes"/>
    <m/>
    <m/>
    <m/>
    <s v="C210139111"/>
  </r>
  <r>
    <n v="1079"/>
    <x v="0"/>
    <x v="0"/>
    <n v="110133"/>
    <s v="Stock order"/>
    <x v="12"/>
    <s v="L-&gt;R"/>
    <s v="No"/>
    <s v="Y54107"/>
    <n v="1"/>
    <s v="盐保仓库"/>
    <x v="111"/>
    <s v="NM"/>
    <s v="MAR 21"/>
    <m/>
    <s v="JPY"/>
    <s v="C49SZX20210026DZ"/>
    <s v="航特"/>
    <s v="YSM20R-2"/>
    <s v="L-&gt;R"/>
    <s v="No"/>
    <s v="OK"/>
    <s v="DAP CS"/>
    <d v="2021-01-22T00:00:00"/>
    <s v="Yes"/>
    <m/>
    <m/>
    <m/>
    <s v="C200637621"/>
  </r>
  <r>
    <n v="988"/>
    <x v="0"/>
    <x v="0"/>
    <n v="110133"/>
    <s v="Stock order"/>
    <x v="12"/>
    <s v="L-&gt;R"/>
    <s v="No"/>
    <s v="Y54108"/>
    <n v="1"/>
    <s v="盐保仓库"/>
    <x v="111"/>
    <s v="NM"/>
    <s v="MAR 21"/>
    <m/>
    <s v="JPY"/>
    <s v="C49SZX20200232SX"/>
    <s v="永顺创"/>
    <s v="YSM20R-2"/>
    <s v="L-&gt;R"/>
    <s v="No"/>
    <s v="OK"/>
    <s v="DAP SZ"/>
    <d v="2020-12-01T00:00:00"/>
    <s v="Yes"/>
    <m/>
    <m/>
    <m/>
    <s v="C180532243"/>
  </r>
  <r>
    <n v="1106"/>
    <x v="0"/>
    <x v="0"/>
    <n v="110133"/>
    <s v="Stock order"/>
    <x v="12"/>
    <s v="L-&gt;R"/>
    <s v="No"/>
    <s v="Y54109"/>
    <n v="1"/>
    <s v="盐保仓库"/>
    <x v="111"/>
    <s v="NM"/>
    <s v="APR 21"/>
    <m/>
    <s v="JPY"/>
    <s v="C49SZX20210038SX"/>
    <s v="赛美达"/>
    <s v="YSM20R-2"/>
    <s v="L-&gt;R"/>
    <s v="No"/>
    <s v="OK"/>
    <s v="DAP SZ"/>
    <d v="2021-01-29T00:00:00"/>
    <s v="Yes"/>
    <m/>
    <m/>
    <m/>
    <s v="C200236775"/>
  </r>
  <r>
    <n v="990"/>
    <x v="0"/>
    <x v="0"/>
    <n v="110133"/>
    <s v="Stock order"/>
    <x v="12"/>
    <s v="L-&gt;R"/>
    <s v="No"/>
    <s v="Y54110"/>
    <n v="1"/>
    <s v="力合仓库(已经清关)"/>
    <x v="111"/>
    <s v="0.0599，PO用110407"/>
    <s v="APR 21"/>
    <m/>
    <s v="RMB"/>
    <s v="C49SZX20200080DY"/>
    <s v="富源晟"/>
    <s v="YSM20R-2"/>
    <s v="L-&gt;R"/>
    <s v="No"/>
    <s v="OK"/>
    <s v="含税到厂"/>
    <d v="2020-12-08T00:00:00"/>
    <s v="Yes"/>
    <m/>
    <m/>
    <m/>
    <s v="C210139036"/>
  </r>
  <r>
    <n v="1017"/>
    <x v="0"/>
    <x v="0"/>
    <n v="110210"/>
    <s v="众鑫科名义"/>
    <x v="1"/>
    <s v="R-&gt;L"/>
    <s v="MVC F&amp;R+ATS15"/>
    <s v="Y54554"/>
    <n v="1"/>
    <s v="盐保仓库"/>
    <x v="112"/>
    <s v="NM"/>
    <s v="FEB 21"/>
    <m/>
    <s v="JPY"/>
    <s v="C49SZX20200239JL"/>
    <s v="博实结"/>
    <s v="YSM10"/>
    <s v="L-&gt;R"/>
    <s v="MVC+ATS15"/>
    <s v="WRONG"/>
    <s v="CIF HK"/>
    <d v="2020-12-09T00:00:00"/>
    <s v="Yes"/>
    <m/>
    <m/>
    <m/>
    <s v="C210339539"/>
  </r>
  <r>
    <n v="1074"/>
    <x v="0"/>
    <x v="0"/>
    <n v="110210"/>
    <s v="众鑫科名义"/>
    <x v="1"/>
    <s v="R-&gt;L"/>
    <s v="MVC F&amp;R+ATS15"/>
    <s v="Y54555"/>
    <n v="1"/>
    <s v="盐保仓库"/>
    <x v="112"/>
    <s v="NM"/>
    <s v="MAY 21"/>
    <m/>
    <s v="JPY"/>
    <s v="C49SZX20210009MZ"/>
    <s v="奥视通"/>
    <s v="YSM10"/>
    <s v="L-&gt;R"/>
    <s v="MVC+ATS15"/>
    <s v="WRONG"/>
    <s v="DAP HZ"/>
    <d v="2021-01-19T00:00:00"/>
    <s v="Yes"/>
    <m/>
    <m/>
    <m/>
    <s v="C170429029"/>
  </r>
  <r>
    <n v="1300"/>
    <x v="0"/>
    <x v="0"/>
    <n v="110210"/>
    <s v="众鑫科名义"/>
    <x v="1"/>
    <s v="R-&gt;L"/>
    <s v="MVC F&amp;R+ATS15"/>
    <s v="Y54556"/>
    <n v="1"/>
    <s v="力合中转仓"/>
    <x v="112"/>
    <s v="NM"/>
    <s v="APR 21"/>
    <m/>
    <s v="RMB"/>
    <s v="C49SZX20210105JY"/>
    <s v="辉拓"/>
    <s v="YSM10"/>
    <s v="L-&gt;R"/>
    <s v="MVC F&amp;R+ATS15"/>
    <s v="WRONG"/>
    <s v="DDP SZ"/>
    <d v="2021-04-06T00:00:00"/>
    <s v="Yes"/>
    <m/>
    <m/>
    <m/>
    <s v="C161027838"/>
  </r>
  <r>
    <n v="1299"/>
    <x v="0"/>
    <x v="2"/>
    <s v="上海货"/>
    <s v="上海货"/>
    <x v="12"/>
    <s v="L-&gt;R"/>
    <s v="No"/>
    <s v="Y55488"/>
    <n v="0"/>
    <m/>
    <x v="3"/>
    <m/>
    <s v="APR 21"/>
    <m/>
    <s v="RMB"/>
    <s v="C49SZX20210105JY"/>
    <s v="辉拓"/>
    <s v="YSM20R-2"/>
    <s v="L-&gt;R"/>
    <s v="MVC"/>
    <s v="WRONG"/>
    <s v="DDP SZ"/>
    <d v="2021-04-06T00:00:00"/>
    <s v="Yes"/>
    <m/>
    <m/>
    <m/>
    <s v="C161027838"/>
  </r>
  <r>
    <n v="1321"/>
    <x v="0"/>
    <x v="0"/>
    <n v="110210"/>
    <s v="众鑫科名义"/>
    <x v="1"/>
    <s v="R-&gt;L"/>
    <s v="MVC F&amp;R+ATS15"/>
    <s v="Y54557"/>
    <n v="1"/>
    <s v="盐保仓库"/>
    <x v="112"/>
    <s v="NM"/>
    <s v="MAY 21"/>
    <m/>
    <s v="JPY"/>
    <s v="C49SZX20210109SX"/>
    <s v="华汛"/>
    <s v="YSM10"/>
    <s v="R-&gt;L"/>
    <s v="MVC+ATS15"/>
    <s v="WRONG"/>
    <s v="DAP SZ"/>
    <d v="2021-04-09T00:00:00"/>
    <s v="Yes"/>
    <m/>
    <m/>
    <m/>
    <s v="C180933040"/>
  </r>
  <r>
    <n v="1128"/>
    <x v="0"/>
    <x v="0"/>
    <n v="110175"/>
    <s v="Stock order(reserved by Leader Tech)"/>
    <x v="12"/>
    <s v="L-&gt;R"/>
    <s v="No"/>
    <s v="Y54386"/>
    <n v="1"/>
    <s v="力合中转仓"/>
    <x v="113"/>
    <s v="NM"/>
    <s v="APR 21"/>
    <m/>
    <s v="JPY"/>
    <s v="C49SZX20210036JZ"/>
    <s v="恒泰创新"/>
    <s v="YSM20R-2"/>
    <s v="L-&gt;R"/>
    <s v="MVC"/>
    <s v="WRONG"/>
    <s v="DAP SZ"/>
    <d v="2021-02-02T00:00:00"/>
    <s v="Yes"/>
    <m/>
    <m/>
    <m/>
    <s v="C190434451"/>
  </r>
  <r>
    <n v="1217"/>
    <x v="0"/>
    <x v="0"/>
    <n v="110175"/>
    <s v="Stock order(reserved by Leader Tech)"/>
    <x v="12"/>
    <s v="L-&gt;R"/>
    <s v="No"/>
    <s v="Y54387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218"/>
    <x v="0"/>
    <x v="0"/>
    <n v="110175"/>
    <s v="Stock order(reserved by Leader Tech)"/>
    <x v="12"/>
    <s v="L-&gt;R"/>
    <s v="No"/>
    <s v="Y54388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221"/>
    <x v="0"/>
    <x v="0"/>
    <n v="110175"/>
    <s v="Stock order(reserved by Leader Tech)"/>
    <x v="12"/>
    <s v="L-&gt;R"/>
    <s v="No"/>
    <s v="Y54389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222"/>
    <x v="0"/>
    <x v="0"/>
    <n v="110175"/>
    <s v="Stock order(reserved by Leader Tech)"/>
    <x v="12"/>
    <s v="L-&gt;R"/>
    <s v="No"/>
    <s v="Y54390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098"/>
    <x v="0"/>
    <x v="0"/>
    <n v="110174"/>
    <s v="Stock order(reserved by Leader Tech)"/>
    <x v="12"/>
    <s v="L-&gt;R"/>
    <s v="No"/>
    <s v="Y54381"/>
    <n v="1"/>
    <s v="力合中转仓"/>
    <x v="114"/>
    <s v="NM"/>
    <s v="MAY 21"/>
    <m/>
    <s v="JPY"/>
    <s v="C49SZX20210022VG"/>
    <s v="吉鑫凯"/>
    <s v="YSM20R-2"/>
    <s v="L-&gt;R"/>
    <s v="MVC"/>
    <s v="WRONG"/>
    <s v="DAP SZ"/>
    <d v="2021-01-26T00:00:00"/>
    <s v="Yes"/>
    <m/>
    <m/>
    <m/>
    <s v="C210339453"/>
  </r>
  <r>
    <n v="949"/>
    <x v="0"/>
    <x v="0"/>
    <n v="110174"/>
    <s v="Stock order(reserved by Leader Tech)"/>
    <x v="12"/>
    <s v="L-&gt;R"/>
    <s v="No"/>
    <s v="Y54382"/>
    <n v="1"/>
    <s v="盐保仓库"/>
    <x v="114"/>
    <s v="NM"/>
    <s v="MAR 21"/>
    <m/>
    <s v="JPY"/>
    <s v="C49SZX20200213MX"/>
    <s v="音品（End user:艾艺科技)"/>
    <s v="YSM20R-2"/>
    <s v="L-&gt;R"/>
    <s v="No"/>
    <s v="OK"/>
    <s v="DAP SZ"/>
    <d v="2020-11-18T00:00:00"/>
    <s v="Yes"/>
    <m/>
    <m/>
    <m/>
    <s v="C210139194"/>
  </r>
  <r>
    <n v="1122"/>
    <x v="0"/>
    <x v="0"/>
    <n v="110174"/>
    <s v="Stock order(reserved by Leader Tech)"/>
    <x v="12"/>
    <s v="L-&gt;R"/>
    <s v="No"/>
    <s v="Y54383"/>
    <n v="1"/>
    <s v="盐保仓库"/>
    <x v="114"/>
    <s v="NM"/>
    <s v="MAR 21"/>
    <m/>
    <s v="JPY"/>
    <s v="C49SZX20210011JY"/>
    <s v="英拓邦"/>
    <s v="YSM20R-2"/>
    <s v="L-&gt;R"/>
    <s v="No"/>
    <s v="OK"/>
    <s v="CIF HK"/>
    <d v="2021-01-26T00:00:00"/>
    <s v="Yes"/>
    <m/>
    <m/>
    <m/>
    <s v="C210239312"/>
  </r>
  <r>
    <n v="1015"/>
    <x v="0"/>
    <x v="0"/>
    <n v="110174"/>
    <s v="Stock order(reserved by Leader Tech)"/>
    <x v="12"/>
    <s v="L-&gt;R"/>
    <s v="No"/>
    <s v="Y54384"/>
    <n v="1"/>
    <s v="盐保仓库"/>
    <x v="114"/>
    <s v="NM"/>
    <s v="FEB 21"/>
    <m/>
    <s v="JPY"/>
    <s v="C49SZX20200239JL"/>
    <s v="博实结"/>
    <s v="YSM20R-2"/>
    <s v="L-&gt;R"/>
    <s v="No"/>
    <s v="OK"/>
    <s v="CIF HK"/>
    <d v="2020-12-09T00:00:00"/>
    <s v="Yes"/>
    <m/>
    <m/>
    <m/>
    <s v="C210339539"/>
  </r>
  <r>
    <n v="1014"/>
    <x v="0"/>
    <x v="0"/>
    <n v="110174"/>
    <s v="Stock order(reserved by Leader Tech)"/>
    <x v="12"/>
    <s v="L-&gt;R"/>
    <s v="No"/>
    <s v="Y54385"/>
    <n v="1"/>
    <s v="盐保仓库"/>
    <x v="114"/>
    <s v="NM"/>
    <s v="MAR 21"/>
    <m/>
    <s v="JPY"/>
    <s v="C49SZX20200239JL"/>
    <s v="博实结"/>
    <s v="YSM20R-2"/>
    <s v="L-&gt;R"/>
    <s v="No"/>
    <s v="OK"/>
    <s v="CIF HK"/>
    <d v="2020-12-09T00:00:00"/>
    <s v="Yes"/>
    <m/>
    <m/>
    <m/>
    <s v="C210339539"/>
  </r>
  <r>
    <n v="1110"/>
    <x v="0"/>
    <x v="0"/>
    <n v="110131"/>
    <s v="Stock order"/>
    <x v="1"/>
    <s v="R-&gt;L"/>
    <s v="No"/>
    <s v="Y54203"/>
    <n v="1"/>
    <s v="盐保仓库"/>
    <x v="114"/>
    <s v="NM"/>
    <s v="MAR 21"/>
    <m/>
    <s v="JPY"/>
    <s v="C49SZX20210037SX"/>
    <s v="模鑫"/>
    <s v="YSM10"/>
    <s v="L-&gt;R"/>
    <s v="MVC"/>
    <s v="WRONG"/>
    <s v="DAP SZ"/>
    <d v="2021-02-01T00:00:00"/>
    <s v="Yes"/>
    <m/>
    <m/>
    <m/>
    <s v="C210339637"/>
  </r>
  <r>
    <n v="1056"/>
    <x v="0"/>
    <x v="0"/>
    <n v="110131"/>
    <s v="Stock order"/>
    <x v="1"/>
    <s v="R-&gt;L"/>
    <s v="No"/>
    <s v="Y54204"/>
    <n v="1"/>
    <s v="盐保仓库"/>
    <x v="114"/>
    <s v="NM"/>
    <s v="FEB 21"/>
    <m/>
    <s v="JPY"/>
    <s v="C49SZX20200260LC"/>
    <s v="永诺精密"/>
    <s v="YSM10"/>
    <s v="L-&gt;R"/>
    <s v="No"/>
    <s v="WRONG"/>
    <s v="DAP DG"/>
    <d v="2020-12-28T00:00:00"/>
    <s v="Yes"/>
    <m/>
    <m/>
    <m/>
    <s v="C210239322"/>
  </r>
  <r>
    <n v="977"/>
    <x v="0"/>
    <x v="0"/>
    <n v="110131"/>
    <s v="Stock order"/>
    <x v="1"/>
    <s v="R-&gt;L"/>
    <s v="No"/>
    <s v="Y54205"/>
    <n v="1"/>
    <s v="力合中转仓"/>
    <x v="114"/>
    <s v="NM"/>
    <s v="APR 21"/>
    <m/>
    <s v="JPY"/>
    <s v="C49SZX20200227MZ"/>
    <s v="程氏松哥"/>
    <s v="YSM10"/>
    <s v="L-&gt;R"/>
    <s v="No"/>
    <s v="WRONG"/>
    <s v="DAP SZ"/>
    <d v="2020-11-23T00:00:00"/>
    <s v="Yes"/>
    <m/>
    <m/>
    <m/>
    <s v="C210239433"/>
  </r>
  <r>
    <n v="989"/>
    <x v="0"/>
    <x v="0"/>
    <n v="110131"/>
    <s v="Stock order"/>
    <x v="1"/>
    <s v="R-&gt;L"/>
    <s v="No"/>
    <s v="Y54206"/>
    <n v="1"/>
    <s v="盐保仓库"/>
    <x v="114"/>
    <s v="NM"/>
    <s v="FEB 21"/>
    <m/>
    <s v="JPY"/>
    <s v="C49SZX20200162CY"/>
    <s v="景硕电子"/>
    <s v="YSM10"/>
    <s v="L-&gt;R"/>
    <s v="MVC"/>
    <s v="WRONG"/>
    <s v="DAP SZ"/>
    <d v="2020-12-02T00:00:00"/>
    <s v="Yes"/>
    <m/>
    <m/>
    <m/>
    <s v="C210139192"/>
  </r>
  <r>
    <n v="1123"/>
    <x v="0"/>
    <x v="0"/>
    <n v="110131"/>
    <s v="Stock order"/>
    <x v="1"/>
    <s v="R-&gt;L"/>
    <s v="No"/>
    <s v="Y54207"/>
    <n v="1"/>
    <s v="盐保仓库"/>
    <x v="114"/>
    <s v="NM"/>
    <s v="MAR 21"/>
    <m/>
    <s v="JPY"/>
    <s v="C49SZX20210011JY"/>
    <s v="英拓邦"/>
    <s v="YSM10"/>
    <s v="L-&gt;R"/>
    <s v="MVC"/>
    <s v="WRONG"/>
    <s v="CIF HK"/>
    <d v="2021-01-26T00:00:00"/>
    <s v="Yes"/>
    <m/>
    <m/>
    <m/>
    <s v="C210239312"/>
  </r>
  <r>
    <s v="上海预留"/>
    <x v="0"/>
    <x v="0"/>
    <n v="110230"/>
    <s v="玥芯通名义下单"/>
    <x v="1"/>
    <s v="R-&gt;L"/>
    <s v="MVC+ATS15"/>
    <s v="Y53569"/>
    <n v="1"/>
    <s v="华日仓库中转"/>
    <x v="115"/>
    <n v="6.1600000000000002E-2"/>
    <m/>
    <m/>
    <s v="RMB"/>
    <s v="C49BJS20201218ZX"/>
    <s v="怡德发（固安）电子"/>
    <s v="YSM10"/>
    <s v="R-&gt;L"/>
    <s v="MVC+ATS15"/>
    <s v="OK"/>
    <e v="#N/A"/>
    <e v="#N/A"/>
    <e v="#N/A"/>
    <m/>
    <m/>
    <m/>
    <s v="YES"/>
  </r>
  <r>
    <s v="上海预留。"/>
    <x v="0"/>
    <x v="0"/>
    <n v="110230"/>
    <s v="玥芯通名义下单"/>
    <x v="1"/>
    <s v="R-&gt;L"/>
    <s v="MVC+ATS15"/>
    <s v="Y53570"/>
    <n v="1"/>
    <s v="华日仓库中转"/>
    <x v="115"/>
    <n v="6.1600000000000002E-2"/>
    <m/>
    <m/>
    <s v="RMB"/>
    <s v="C49BJS20201218ZX"/>
    <s v="怡德发（固安）电子"/>
    <s v="YSM10"/>
    <s v="R-&gt;L"/>
    <s v="MVC+ATS15"/>
    <s v="OK"/>
    <e v="#N/A"/>
    <e v="#N/A"/>
    <e v="#N/A"/>
    <m/>
    <m/>
    <m/>
    <s v="YES"/>
  </r>
  <r>
    <n v="1124"/>
    <x v="0"/>
    <x v="0"/>
    <n v="110150"/>
    <s v="Stock order"/>
    <x v="1"/>
    <s v="R-&gt;L"/>
    <s v="No"/>
    <s v="Y54689"/>
    <n v="1"/>
    <s v="盐保仓库"/>
    <x v="115"/>
    <s v="NM"/>
    <s v="MAR 21"/>
    <m/>
    <s v="JPY"/>
    <s v="C49SZX20210011JY"/>
    <s v="英拓邦"/>
    <s v="YSM10"/>
    <s v="R-&gt;L"/>
    <s v="MVC"/>
    <s v="WRONG"/>
    <s v="CIF HK"/>
    <d v="2021-01-26T00:00:00"/>
    <s v="Yes"/>
    <m/>
    <m/>
    <m/>
    <s v="C210239312"/>
  </r>
  <r>
    <n v="1125"/>
    <x v="0"/>
    <x v="0"/>
    <n v="110150"/>
    <s v="Stock order"/>
    <x v="1"/>
    <s v="R-&gt;L"/>
    <s v="No"/>
    <s v="Y54690"/>
    <n v="1"/>
    <s v="盐保仓库"/>
    <x v="115"/>
    <s v="NM"/>
    <s v="MAR 21"/>
    <m/>
    <s v="JPY"/>
    <s v="C49SZX20210011JY"/>
    <s v="英拓邦"/>
    <s v="YSM10"/>
    <s v="R-&gt;L"/>
    <s v="MVC"/>
    <s v="WRONG"/>
    <s v="CIF HK"/>
    <d v="2021-01-26T00:00:00"/>
    <s v="Yes"/>
    <m/>
    <m/>
    <m/>
    <s v="C210239312"/>
  </r>
  <r>
    <n v="993"/>
    <x v="0"/>
    <x v="0"/>
    <n v="110150"/>
    <s v="Stock order"/>
    <x v="1"/>
    <s v="R-&gt;L"/>
    <s v="No"/>
    <s v="Y54691"/>
    <n v="1"/>
    <s v="盐保仓库"/>
    <x v="115"/>
    <s v="NM"/>
    <s v="MAR 21"/>
    <m/>
    <s v="JPY"/>
    <s v="C49SZX20200237SX"/>
    <s v="岚新"/>
    <s v="YSM10"/>
    <s v="L-&gt;R"/>
    <s v="No"/>
    <s v="WRONG"/>
    <s v="DAP SZ"/>
    <d v="2020-12-08T00:00:00"/>
    <s v="Yes"/>
    <m/>
    <m/>
    <m/>
    <s v="C210239298"/>
  </r>
  <r>
    <n v="1126"/>
    <x v="0"/>
    <x v="0"/>
    <n v="110150"/>
    <s v="Stock order"/>
    <x v="1"/>
    <s v="R-&gt;L"/>
    <s v="No"/>
    <s v="Y54692"/>
    <n v="1"/>
    <s v="盐保仓库"/>
    <x v="115"/>
    <s v="NM"/>
    <s v="MAR 21"/>
    <m/>
    <s v="JPY"/>
    <s v="C49SZX20210011JY"/>
    <s v="英拓邦"/>
    <s v="YSM10"/>
    <s v="R-&gt;L"/>
    <s v="MVC"/>
    <s v="WRONG"/>
    <s v="CIF HK"/>
    <d v="2021-01-26T00:00:00"/>
    <s v="Yes"/>
    <m/>
    <m/>
    <m/>
    <s v="C210239312"/>
  </r>
  <r>
    <n v="1037"/>
    <x v="0"/>
    <x v="0"/>
    <n v="110150"/>
    <s v="Stock order"/>
    <x v="1"/>
    <s v="R-&gt;L"/>
    <s v="No"/>
    <s v="Y54693"/>
    <n v="1"/>
    <s v="CY仓库"/>
    <x v="115"/>
    <s v="NM"/>
    <s v="MA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119"/>
    <x v="0"/>
    <x v="0"/>
    <s v="110287（拆单110276）"/>
    <s v="众鑫科名义"/>
    <x v="12"/>
    <s v="R-&gt;L"/>
    <s v="MVC"/>
    <s v="Y54558"/>
    <n v="1"/>
    <s v="盐保仓库"/>
    <x v="116"/>
    <n v="6.3E-2"/>
    <s v="MAR 21"/>
    <m/>
    <s v="JPY"/>
    <s v="C49SZX20210011JY"/>
    <s v="英拓邦"/>
    <s v="YSM20R-2"/>
    <s v="R-&gt;L"/>
    <s v="No"/>
    <s v="WRONG"/>
    <s v="CIF HK"/>
    <d v="2021-01-26T00:00:00"/>
    <s v="Yes"/>
    <m/>
    <m/>
    <m/>
    <s v="C210239312"/>
  </r>
  <r>
    <n v="1028"/>
    <x v="0"/>
    <x v="0"/>
    <s v="110287（拆单110276）"/>
    <s v="众鑫科名义"/>
    <x v="12"/>
    <s v="R-&gt;L"/>
    <s v="MVC"/>
    <s v="Y54559"/>
    <n v="1"/>
    <s v="CY仓库"/>
    <x v="116"/>
    <n v="6.3E-2"/>
    <s v="MAR 21"/>
    <m/>
    <s v="JPY"/>
    <s v="C49SZX20200243DZ"/>
    <s v="朗特"/>
    <s v="YSM20R-2"/>
    <s v="R-&gt;L"/>
    <s v="No"/>
    <s v="WRONG"/>
    <s v="CIF HK"/>
    <d v="2020-12-17T00:00:00"/>
    <s v="Yes"/>
    <m/>
    <m/>
    <m/>
    <s v="C170729808"/>
  </r>
  <r>
    <n v="1029"/>
    <x v="0"/>
    <x v="0"/>
    <n v="110287"/>
    <s v="众鑫科名义"/>
    <x v="12"/>
    <s v="R-&gt;L"/>
    <s v="MVC"/>
    <s v="Y54560"/>
    <n v="1"/>
    <s v="CY仓库"/>
    <x v="116"/>
    <s v="TBA"/>
    <s v="MAR 21"/>
    <m/>
    <s v="JPY"/>
    <s v="C49SZX20200243DZ"/>
    <s v="朗特"/>
    <s v="YSM20R-2"/>
    <s v="R-&gt;L"/>
    <s v="No"/>
    <s v="WRONG"/>
    <s v="CIF HK"/>
    <d v="2020-12-17T00:00:00"/>
    <s v="Yes"/>
    <m/>
    <m/>
    <m/>
    <s v="C170729808"/>
  </r>
  <r>
    <n v="1030"/>
    <x v="0"/>
    <x v="0"/>
    <n v="110287"/>
    <s v="众鑫科名义"/>
    <x v="12"/>
    <s v="R-&gt;L"/>
    <s v="MVC"/>
    <s v="Y54561"/>
    <n v="1"/>
    <s v="CY仓库"/>
    <x v="116"/>
    <s v="TBA"/>
    <s v="MAR 21"/>
    <m/>
    <s v="JPY"/>
    <s v="C49SZX20200243DZ"/>
    <s v="朗特"/>
    <s v="YSM20R-2"/>
    <s v="R-&gt;L"/>
    <s v="No"/>
    <s v="WRONG"/>
    <s v="CIF HK"/>
    <d v="2020-12-17T00:00:00"/>
    <s v="Yes"/>
    <m/>
    <m/>
    <m/>
    <s v="C170729808"/>
  </r>
  <r>
    <n v="1025"/>
    <x v="0"/>
    <x v="0"/>
    <s v="110172（拆分PO110275)"/>
    <s v="Stock order(reserved by Leader Tech)"/>
    <x v="1"/>
    <s v="R-&gt;L"/>
    <s v="No"/>
    <s v="Y54662"/>
    <n v="1"/>
    <s v="盐保仓库"/>
    <x v="116"/>
    <n v="6.3E-2"/>
    <s v="MAR 21"/>
    <m/>
    <s v="JPY"/>
    <s v="C49SZX20200230JY"/>
    <s v="海凌科达"/>
    <s v="YSM10"/>
    <s v="R-&gt;L"/>
    <s v="No"/>
    <s v="OK"/>
    <s v="CIF HK"/>
    <d v="2020-12-15T00:00:00"/>
    <s v="Yes"/>
    <m/>
    <m/>
    <m/>
    <s v="C190735224"/>
  </r>
  <r>
    <n v="1024"/>
    <x v="0"/>
    <x v="0"/>
    <s v="110172（拆分PO110275)"/>
    <s v="Stock order(reserved by Leader Tech)"/>
    <x v="1"/>
    <s v="R-&gt;L"/>
    <s v="No"/>
    <s v="Y54663"/>
    <n v="1"/>
    <s v="盐保仓库"/>
    <x v="116"/>
    <n v="6.3E-2"/>
    <s v="MAR 21"/>
    <m/>
    <s v="JPY"/>
    <s v="C49SZX20200230JY"/>
    <s v="海凌科达"/>
    <s v="YSM10"/>
    <s v="R-&gt;L"/>
    <s v="No"/>
    <s v="OK"/>
    <s v="CIF HK"/>
    <d v="2020-12-15T00:00:00"/>
    <s v="Yes"/>
    <m/>
    <m/>
    <m/>
    <s v="C190735224"/>
  </r>
  <r>
    <n v="1022"/>
    <x v="0"/>
    <x v="0"/>
    <n v="110172"/>
    <s v="Stock order(reserved by Leader Tech)"/>
    <x v="1"/>
    <s v="R-&gt;L"/>
    <s v="No"/>
    <s v="Y54664"/>
    <n v="1"/>
    <s v="盐保仓库"/>
    <x v="116"/>
    <s v="NM"/>
    <s v="MAR 21"/>
    <m/>
    <s v="JPY"/>
    <s v="C49SZX20200230JY"/>
    <s v="海凌科达"/>
    <s v="YSM10"/>
    <s v="L-&gt;R"/>
    <s v="No"/>
    <s v="WRONG"/>
    <s v="CIF HK"/>
    <d v="2020-12-15T00:00:00"/>
    <s v="Yes"/>
    <m/>
    <m/>
    <m/>
    <s v="C190735224"/>
  </r>
  <r>
    <n v="1023"/>
    <x v="0"/>
    <x v="0"/>
    <n v="110172"/>
    <s v="Stock order(reserved by Leader Tech)"/>
    <x v="1"/>
    <s v="R-&gt;L"/>
    <s v="No"/>
    <s v="Y54665"/>
    <n v="1"/>
    <s v="盐保仓库"/>
    <x v="116"/>
    <s v="NM"/>
    <s v="MAR 21"/>
    <m/>
    <s v="JPY"/>
    <s v="C49SZX20200230JY"/>
    <s v="海凌科达"/>
    <s v="YSM10"/>
    <s v="L-&gt;R"/>
    <s v="No"/>
    <s v="WRONG"/>
    <s v="CIF HK"/>
    <d v="2020-12-15T00:00:00"/>
    <s v="Yes"/>
    <m/>
    <m/>
    <m/>
    <s v="C190735224"/>
  </r>
  <r>
    <n v="1254"/>
    <x v="0"/>
    <x v="0"/>
    <n v="110172"/>
    <s v="Stock order(reserved by Leader Tech)"/>
    <x v="1"/>
    <s v="R-&gt;L"/>
    <s v="No"/>
    <s v="Y54666"/>
    <n v="1"/>
    <s v="华日仓库中转"/>
    <x v="116"/>
    <s v="NM"/>
    <s v="MAR 21"/>
    <m/>
    <s v="JPY"/>
    <s v="C49SZX20210090EC"/>
    <s v="景思"/>
    <s v="YSM10"/>
    <s v="L-&gt;R"/>
    <s v="MVC"/>
    <s v="WRONG"/>
    <s v="DAP SZ"/>
    <d v="2021-03-15T00:00:00"/>
    <s v="Yes"/>
    <m/>
    <m/>
    <m/>
    <s v="C210439795"/>
  </r>
  <r>
    <n v="1219"/>
    <x v="0"/>
    <x v="0"/>
    <n v="110173"/>
    <s v="Stock order(reserved by Leader Tech)"/>
    <x v="1"/>
    <s v="R-&gt;L"/>
    <s v="No"/>
    <s v="Y54667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220"/>
    <x v="0"/>
    <x v="0"/>
    <n v="110173"/>
    <s v="Stock order(reserved by Leader Tech)"/>
    <x v="1"/>
    <s v="R-&gt;L"/>
    <s v="No"/>
    <s v="Y54668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223"/>
    <x v="0"/>
    <x v="0"/>
    <n v="110173"/>
    <s v="Stock order(reserved by Leader Tech)"/>
    <x v="1"/>
    <s v="R-&gt;L"/>
    <s v="No"/>
    <s v="Y54669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224"/>
    <x v="0"/>
    <x v="0"/>
    <n v="110173"/>
    <s v="Stock order(reserved by Leader Tech)"/>
    <x v="1"/>
    <s v="R-&gt;L"/>
    <s v="No"/>
    <s v="Y54670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107"/>
    <x v="0"/>
    <x v="0"/>
    <n v="110173"/>
    <s v="Stock order(reserved by Leader Tech)"/>
    <x v="1"/>
    <s v="R-&gt;L"/>
    <s v="No"/>
    <s v="Y54671"/>
    <n v="1"/>
    <s v="华日仓库中转"/>
    <x v="116"/>
    <s v="NM"/>
    <s v="APR 21"/>
    <m/>
    <s v="JPY"/>
    <s v="C49SZX20210038SX"/>
    <s v="赛美达"/>
    <s v="YSM10"/>
    <s v="R-&gt;L"/>
    <s v="MVC"/>
    <s v="WRONG"/>
    <s v="DAP SZ"/>
    <d v="2021-01-29T00:00:00"/>
    <s v="Yes"/>
    <m/>
    <m/>
    <m/>
    <s v="C200236775"/>
  </r>
  <r>
    <n v="874"/>
    <x v="0"/>
    <x v="0"/>
    <s v="110151(拆分110270）"/>
    <s v="Stock order"/>
    <x v="1"/>
    <s v="R-&gt;L"/>
    <s v="No"/>
    <s v="Y54696"/>
    <n v="1"/>
    <s v="CY仓库"/>
    <x v="117"/>
    <n v="6.3200000000000006E-2"/>
    <s v="MAR 21"/>
    <m/>
    <s v="JPY"/>
    <s v="C49SZX20200181SX"/>
    <s v="东陆"/>
    <s v="YSM10"/>
    <s v="L-&gt;R"/>
    <s v="No"/>
    <s v="WRONG"/>
    <s v="DAP SZ"/>
    <d v="2020-09-30T00:00:00"/>
    <s v="Yes"/>
    <m/>
    <m/>
    <m/>
    <s v="C171030541"/>
  </r>
  <r>
    <n v="875"/>
    <x v="0"/>
    <x v="0"/>
    <s v="110151(拆分110270）"/>
    <s v="Stock order"/>
    <x v="1"/>
    <s v="R-&gt;L"/>
    <s v="No"/>
    <s v="Y54697"/>
    <n v="1"/>
    <s v="CY仓库"/>
    <x v="117"/>
    <n v="6.3200000000000006E-2"/>
    <s v="MAR 21"/>
    <m/>
    <s v="JPY"/>
    <s v="C49SZX20200181SX"/>
    <s v="东陆"/>
    <s v="YSM10"/>
    <s v="L-&gt;R"/>
    <s v="No"/>
    <s v="WRONG"/>
    <s v="DAP SZ"/>
    <d v="2020-09-30T00:00:00"/>
    <s v="Yes"/>
    <m/>
    <m/>
    <m/>
    <s v="C171030541"/>
  </r>
  <r>
    <n v="981"/>
    <x v="0"/>
    <x v="0"/>
    <n v="110151"/>
    <s v="Stock order"/>
    <x v="1"/>
    <s v="R-&gt;L"/>
    <s v="No"/>
    <s v="Y54694"/>
    <n v="1"/>
    <s v="CY仓库"/>
    <x v="117"/>
    <s v="NM"/>
    <s v="MAR 21"/>
    <m/>
    <s v="JPY"/>
    <s v="C49SZX20200228JZ"/>
    <s v="新明海"/>
    <s v="YSM10"/>
    <s v="R-&gt;L"/>
    <s v="MVC"/>
    <s v="WRONG"/>
    <s v="DAP HZ"/>
    <d v="2020-11-26T00:00:00"/>
    <s v="Yes"/>
    <m/>
    <m/>
    <m/>
    <s v="C180933045"/>
  </r>
  <r>
    <n v="937"/>
    <x v="0"/>
    <x v="0"/>
    <n v="110151"/>
    <s v="Stock order"/>
    <x v="1"/>
    <s v="R-&gt;L"/>
    <s v="No"/>
    <s v="Y54695"/>
    <n v="1"/>
    <s v="CY仓库"/>
    <x v="117"/>
    <s v="NM"/>
    <s v="MAR 21"/>
    <m/>
    <s v="JPY"/>
    <s v="C49SZX20200212SX"/>
    <s v="博科通"/>
    <s v="YSM10"/>
    <s v="L-&gt;R"/>
    <s v="MVC+ANC"/>
    <s v="WRONG"/>
    <s v="DAP BJ"/>
    <d v="2020-11-14T00:00:00"/>
    <s v="Yes"/>
    <m/>
    <m/>
    <m/>
    <s v="C210239201"/>
  </r>
  <r>
    <n v="1016"/>
    <x v="0"/>
    <x v="0"/>
    <n v="110151"/>
    <s v="Stock order"/>
    <x v="1"/>
    <s v="R-&gt;L"/>
    <s v="ATS15"/>
    <s v="Y54698"/>
    <n v="1"/>
    <s v="CY仓库"/>
    <x v="117"/>
    <s v="NM"/>
    <s v="MAR 21"/>
    <m/>
    <s v="JPY"/>
    <s v="C49SZX20200239JL"/>
    <s v="博实结"/>
    <s v="YSM10"/>
    <s v="L-&gt;R"/>
    <s v="MVC+ATS15"/>
    <s v="WRONG"/>
    <s v="CIF HK"/>
    <d v="2020-12-09T00:00:00"/>
    <s v="Yes"/>
    <m/>
    <m/>
    <m/>
    <s v="C210339539"/>
  </r>
  <r>
    <n v="984"/>
    <x v="0"/>
    <x v="0"/>
    <n v="110237"/>
    <s v="音品名义下单"/>
    <x v="1"/>
    <s v="R-&gt;L"/>
    <s v="MVC"/>
    <s v="Y55072"/>
    <n v="1"/>
    <s v="CY仓库"/>
    <x v="117"/>
    <s v="NM"/>
    <s v="MAR 21"/>
    <m/>
    <s v="JPY"/>
    <s v="C49SZX20200231SX"/>
    <s v="可祁"/>
    <s v="YSM10"/>
    <s v="L-&gt;R"/>
    <s v="MVC"/>
    <s v="WRONG"/>
    <s v="DAP SZ"/>
    <d v="2020-11-30T00:00:00"/>
    <s v="Yes"/>
    <m/>
    <m/>
    <m/>
    <s v="C181133399"/>
  </r>
  <r>
    <n v="985"/>
    <x v="0"/>
    <x v="0"/>
    <n v="110237"/>
    <s v="音品名义下单"/>
    <x v="1"/>
    <s v="R-&gt;L"/>
    <s v="MVC"/>
    <s v="Y55073"/>
    <n v="1"/>
    <s v="CY仓库"/>
    <x v="117"/>
    <s v="NM"/>
    <s v="MAR 21"/>
    <m/>
    <s v="JPY"/>
    <s v="C49SZX20200231SX"/>
    <s v="可祁"/>
    <s v="YSM10"/>
    <s v="L-&gt;R"/>
    <s v="MVC"/>
    <s v="WRONG"/>
    <s v="DAP SZ"/>
    <d v="2020-11-30T00:00:00"/>
    <s v="Yes"/>
    <m/>
    <m/>
    <m/>
    <s v="C181133399"/>
  </r>
  <r>
    <n v="1031"/>
    <x v="0"/>
    <x v="0"/>
    <n v="110237"/>
    <s v="音品名义下单"/>
    <x v="1"/>
    <s v="R-&gt;L"/>
    <s v="MVC+ATS15"/>
    <s v="Y55074"/>
    <n v="1"/>
    <s v="CY仓库"/>
    <x v="117"/>
    <s v="NM"/>
    <s v="MAR 21"/>
    <m/>
    <s v="JPY"/>
    <s v="C49SZX20200243DZ"/>
    <s v="朗特"/>
    <s v="YSM10"/>
    <s v="R-&gt;L"/>
    <s v="MVC+ATS15"/>
    <s v="OK"/>
    <s v="CIF HK"/>
    <d v="2020-12-17T00:00:00"/>
    <s v="Yes"/>
    <m/>
    <m/>
    <m/>
    <s v="C170729808"/>
  </r>
  <r>
    <n v="1032"/>
    <x v="0"/>
    <x v="0"/>
    <n v="110237"/>
    <s v="音品名义下单"/>
    <x v="1"/>
    <s v="R-&gt;L"/>
    <s v="MVC+ATS15"/>
    <s v="Y55075"/>
    <n v="1"/>
    <s v="CY仓库"/>
    <x v="117"/>
    <s v="NM"/>
    <s v="MAR 21"/>
    <m/>
    <s v="JPY"/>
    <s v="C49SZX20200243DZ"/>
    <s v="朗特"/>
    <s v="YSM10"/>
    <s v="R-&gt;L"/>
    <s v="MVC+ATS15"/>
    <s v="OK"/>
    <s v="CIF HK"/>
    <d v="2020-12-17T00:00:00"/>
    <s v="Yes"/>
    <m/>
    <m/>
    <m/>
    <s v="C170729808"/>
  </r>
  <r>
    <n v="1033"/>
    <x v="0"/>
    <x v="0"/>
    <n v="110237"/>
    <s v="音品名义下单"/>
    <x v="1"/>
    <s v="R-&gt;L"/>
    <s v="MVC+ATS15"/>
    <s v="Y55076"/>
    <n v="1"/>
    <s v="CY仓库"/>
    <x v="117"/>
    <s v="NM"/>
    <s v="APR 21"/>
    <m/>
    <s v="JPY"/>
    <s v="C49SZX20200243DZ"/>
    <s v="朗特"/>
    <s v="YSM10"/>
    <s v="R-&gt;L"/>
    <s v="MVC+ATS15"/>
    <s v="OK"/>
    <s v="CIF HK"/>
    <d v="2020-12-17T00:00:00"/>
    <s v="Yes"/>
    <m/>
    <m/>
    <m/>
    <s v="C170729808"/>
  </r>
  <r>
    <n v="1019"/>
    <x v="0"/>
    <x v="0"/>
    <n v="110251"/>
    <s v="Stock order"/>
    <x v="1"/>
    <s v="R-&gt;L"/>
    <s v="HM5+MVC+ATS15"/>
    <s v="Y54855"/>
    <n v="1"/>
    <s v="CY仓库"/>
    <x v="117"/>
    <s v="NM"/>
    <s v="MAR 21"/>
    <m/>
    <s v="USD"/>
    <s v="ZS202012031533"/>
    <s v="高伟"/>
    <s v="YSM10-HM5"/>
    <s v="L-&gt;R"/>
    <s v="MVC+ATS15"/>
    <s v="WRONG"/>
    <s v="CIF HK"/>
    <d v="2020-12-03T00:00:00"/>
    <s v="Yes"/>
    <m/>
    <m/>
    <m/>
    <s v="C120612523"/>
  </r>
  <r>
    <n v="980"/>
    <x v="0"/>
    <x v="0"/>
    <n v="110328"/>
    <s v="Stock order"/>
    <x v="12"/>
    <s v="R-&gt;L"/>
    <s v="MVC"/>
    <s v="Y54974"/>
    <n v="1"/>
    <s v="CY仓库"/>
    <x v="117"/>
    <s v="NM"/>
    <s v="MAR 21"/>
    <m/>
    <s v="JPY"/>
    <s v="C49SZX20200228JZ"/>
    <s v="新明海"/>
    <s v="YSM20R-2"/>
    <s v="R-&gt;L"/>
    <s v="MVC"/>
    <s v="OK"/>
    <s v="DAP HZ"/>
    <d v="2020-11-26T00:00:00"/>
    <s v="Yes"/>
    <m/>
    <m/>
    <m/>
    <s v="C180933045"/>
  </r>
  <r>
    <n v="1020"/>
    <x v="0"/>
    <x v="0"/>
    <n v="110176"/>
    <s v="Stock order(reserved by Leader Tech)"/>
    <x v="12"/>
    <s v="L-&gt;R"/>
    <s v="No"/>
    <s v="Y54391"/>
    <n v="1"/>
    <s v="CY仓库"/>
    <x v="117"/>
    <s v="NM"/>
    <s v="MAR 21"/>
    <m/>
    <s v="JPY"/>
    <s v="C49SZX20200245MZ"/>
    <s v="新智杰光电"/>
    <s v="YSM20R-2"/>
    <s v="L-&gt;R"/>
    <s v="MVC"/>
    <s v="WRONG"/>
    <s v="DAP FS"/>
    <d v="2020-12-14T00:00:00"/>
    <s v="Yes"/>
    <m/>
    <m/>
    <m/>
    <s v="C210339444"/>
  </r>
  <r>
    <n v="982"/>
    <x v="0"/>
    <x v="0"/>
    <n v="110176"/>
    <s v="Stock order(reserved by Leader Tech)"/>
    <x v="12"/>
    <s v="R-&gt;L"/>
    <s v="No"/>
    <s v="Y54392"/>
    <n v="1"/>
    <s v="CY仓库"/>
    <x v="117"/>
    <s v="NM"/>
    <s v="MAR 21"/>
    <m/>
    <s v="JPY"/>
    <s v="C49SZX20200218JZ"/>
    <s v="深圳健科"/>
    <s v="YSM20R-2"/>
    <s v="R-&gt;L"/>
    <s v="No"/>
    <s v="OK"/>
    <s v="DAP SZ"/>
    <d v="2020-11-27T00:00:00"/>
    <s v="Yes"/>
    <m/>
    <m/>
    <m/>
    <s v="C11048457"/>
  </r>
  <r>
    <n v="1120"/>
    <x v="0"/>
    <x v="0"/>
    <n v="110176"/>
    <s v="Stock order(reserved by Leader Tech)"/>
    <x v="12"/>
    <s v="R-&gt;L"/>
    <s v="No"/>
    <s v="Y54393"/>
    <n v="1"/>
    <s v="CY仓库"/>
    <x v="117"/>
    <s v="NM"/>
    <s v="MAR 21"/>
    <m/>
    <s v="JPY"/>
    <s v="C49SZX20210011JY"/>
    <s v="英拓邦"/>
    <s v="YSM20R-2"/>
    <s v="R-&gt;L"/>
    <s v="No"/>
    <s v="OK"/>
    <s v="CIF HK"/>
    <d v="2021-01-26T00:00:00"/>
    <s v="Yes"/>
    <m/>
    <m/>
    <m/>
    <s v="C210239312"/>
  </r>
  <r>
    <n v="979"/>
    <x v="0"/>
    <x v="0"/>
    <n v="110176"/>
    <s v="Stock order(reserved by Leader Tech)"/>
    <x v="12"/>
    <s v="L-&gt;R"/>
    <s v="No"/>
    <s v="Y54394"/>
    <n v="1"/>
    <s v="CY仓库"/>
    <x v="117"/>
    <s v="NM"/>
    <s v="MAR 21"/>
    <m/>
    <s v="JPY"/>
    <s v="C49SZX20200228JZ"/>
    <s v="新明海"/>
    <s v="YSM20R-2"/>
    <s v="L-&gt;R"/>
    <s v="No"/>
    <s v="OK"/>
    <s v="DAP HZ"/>
    <d v="2020-11-26T00:00:00"/>
    <s v="Yes"/>
    <m/>
    <m/>
    <m/>
    <s v="C180933045"/>
  </r>
  <r>
    <n v="1042"/>
    <x v="0"/>
    <x v="0"/>
    <n v="110176"/>
    <s v="Stock order(reserved by Leader Tech)"/>
    <x v="12"/>
    <s v="L-&gt;R"/>
    <s v="No"/>
    <s v="Y54395"/>
    <n v="1"/>
    <s v="CY仓库"/>
    <x v="117"/>
    <s v="NM"/>
    <s v="MAR 21"/>
    <m/>
    <s v="JPY"/>
    <s v="C49SZX20200247MZ"/>
    <s v="崧盛"/>
    <s v="YSM20R-2"/>
    <s v="L-&gt;R"/>
    <s v="MVC"/>
    <s v="WRONG"/>
    <s v="CIF HK"/>
    <d v="2020-12-18T00:00:00"/>
    <s v="Yes"/>
    <m/>
    <m/>
    <m/>
    <s v="C210139083"/>
  </r>
  <r>
    <n v="992"/>
    <x v="0"/>
    <x v="0"/>
    <n v="110297"/>
    <s v="STK"/>
    <x v="1"/>
    <s v="R-&gt;L"/>
    <s v="96 FEEDER PLATE (YSM10) "/>
    <s v="Y55289"/>
    <n v="1"/>
    <s v="CY仓库"/>
    <x v="118"/>
    <s v="TBA"/>
    <s v="MAR 21"/>
    <m/>
    <s v="JPY"/>
    <s v="C49SZX20200237SX"/>
    <s v="岚新"/>
    <s v="YSM10"/>
    <s v="L-&gt;R"/>
    <s v="Rear站位"/>
    <s v="WRONG"/>
    <s v="DAP SZ"/>
    <d v="2020-12-08T00:00:00"/>
    <s v="Yes"/>
    <m/>
    <m/>
    <m/>
    <s v="C210239298"/>
  </r>
  <r>
    <n v="1277"/>
    <x v="0"/>
    <x v="0"/>
    <n v="110152"/>
    <s v="Stock order"/>
    <x v="12"/>
    <s v="R-&gt;L"/>
    <s v="MVC"/>
    <s v="Y54975"/>
    <n v="1"/>
    <s v="盐保仓库"/>
    <x v="119"/>
    <s v="NM"/>
    <s v="MAY 21"/>
    <m/>
    <s v="JPY"/>
    <s v="C49SZX20210039JZ"/>
    <s v="世达威"/>
    <s v="YSM20R-2"/>
    <s v="R-&gt;L"/>
    <s v="No"/>
    <s v="WRONG"/>
    <s v="DAP SZ"/>
    <d v="2021-03-23T00:00:00"/>
    <s v="Yes"/>
    <m/>
    <m/>
    <m/>
    <s v="C210239270"/>
  </r>
  <r>
    <n v="1112"/>
    <x v="0"/>
    <x v="0"/>
    <n v="110152"/>
    <s v="Stock order"/>
    <x v="12"/>
    <s v="L-&gt;R"/>
    <s v="MVC"/>
    <s v="Y54976"/>
    <n v="1"/>
    <s v="盐保仓库"/>
    <x v="119"/>
    <s v="NM"/>
    <s v="MAR 21"/>
    <m/>
    <s v="JPY"/>
    <s v="C49SZX20210032JL"/>
    <s v="捷舜诚"/>
    <s v="YSM20R-2"/>
    <s v="L-&gt;R"/>
    <s v="MVC"/>
    <s v="OK"/>
    <s v="DAP SZ"/>
    <d v="2021-01-29T00:00:00"/>
    <s v="Yes"/>
    <m/>
    <m/>
    <m/>
    <s v="C170629728"/>
  </r>
  <r>
    <n v="1113"/>
    <x v="0"/>
    <x v="0"/>
    <n v="110152"/>
    <s v="Stock order"/>
    <x v="12"/>
    <s v="L-&gt;R"/>
    <s v="No"/>
    <s v="Y54977"/>
    <n v="1"/>
    <s v="盐保仓库"/>
    <x v="119"/>
    <s v="NM"/>
    <s v="MAR 21"/>
    <m/>
    <s v="JPY"/>
    <s v="C49SZX20210032JL"/>
    <s v="捷舜诚"/>
    <s v="YSM20R-2"/>
    <s v="L-&gt;R"/>
    <s v="MVC"/>
    <s v="WRONG"/>
    <s v="DAP SZ"/>
    <d v="2021-01-29T00:00:00"/>
    <s v="Yes"/>
    <m/>
    <m/>
    <m/>
    <s v="C170629728"/>
  </r>
  <r>
    <n v="987"/>
    <x v="0"/>
    <x v="0"/>
    <n v="110152"/>
    <s v="Stock order"/>
    <x v="12"/>
    <s v="L-&gt;R"/>
    <s v="cATS10+MVC+special layout"/>
    <s v="Y54978"/>
    <n v="1"/>
    <s v="盐保仓库"/>
    <x v="119"/>
    <s v="NM"/>
    <s v="MAR 21"/>
    <m/>
    <s v="JPY"/>
    <s v="C49SZX20200232SX"/>
    <s v="永顺创"/>
    <s v="YSM20R-2"/>
    <s v="L-&gt;R"/>
    <s v="cATS10+MVC"/>
    <s v="WRONG"/>
    <s v="DAP SZ"/>
    <d v="2020-12-01T00:00:00"/>
    <s v="Yes"/>
    <m/>
    <m/>
    <m/>
    <s v="C180532243"/>
  </r>
  <r>
    <n v="1048"/>
    <x v="0"/>
    <x v="0"/>
    <n v="110238"/>
    <s v="Stock order"/>
    <x v="1"/>
    <s v="R-&gt;L"/>
    <s v="MVC"/>
    <s v="Y55162"/>
    <n v="1"/>
    <s v="CY仓库"/>
    <x v="119"/>
    <s v="NM"/>
    <s v="APR 21"/>
    <m/>
    <s v="JPY"/>
    <s v="C49SZX20200257JY"/>
    <s v="精德鸿"/>
    <s v="YSM10"/>
    <s v="L-&gt;R"/>
    <s v="MVC"/>
    <s v="WRONG"/>
    <s v="DAP SZ"/>
    <d v="2020-12-28T00:00:00"/>
    <s v="Yes"/>
    <m/>
    <m/>
    <m/>
    <s v="C210139127"/>
  </r>
  <r>
    <n v="1059"/>
    <x v="0"/>
    <x v="0"/>
    <n v="110238"/>
    <s v="Stock order"/>
    <x v="1"/>
    <s v="R-&gt;L"/>
    <s v="MVC"/>
    <s v="Y55163"/>
    <n v="1"/>
    <s v="CY仓库"/>
    <x v="119"/>
    <s v="NM"/>
    <s v="APR 21"/>
    <m/>
    <s v="JPY"/>
    <s v="C49SZX20210005SX"/>
    <s v="品诚伟创"/>
    <s v="YSM10"/>
    <s v="L-&gt;R"/>
    <s v="MVC"/>
    <s v="WRONG"/>
    <s v="DAP SZ"/>
    <d v="2021-01-06T00:00:00"/>
    <s v="Yes"/>
    <m/>
    <m/>
    <m/>
    <s v="C210439784"/>
  </r>
  <r>
    <n v="1034"/>
    <x v="0"/>
    <x v="0"/>
    <n v="110238"/>
    <s v="Stock order"/>
    <x v="1"/>
    <s v="R-&gt;L"/>
    <s v="No"/>
    <s v="Y55164"/>
    <n v="1"/>
    <s v="CY仓库"/>
    <x v="119"/>
    <s v="NM"/>
    <s v="AP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035"/>
    <x v="0"/>
    <x v="0"/>
    <n v="110238"/>
    <s v="Stock order"/>
    <x v="1"/>
    <s v="R-&gt;L"/>
    <s v="No"/>
    <s v="Y55165"/>
    <n v="1"/>
    <s v="CY仓库"/>
    <x v="119"/>
    <s v="NM"/>
    <s v="AP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036"/>
    <x v="0"/>
    <x v="0"/>
    <n v="110238"/>
    <s v="Stock order"/>
    <x v="1"/>
    <s v="R-&gt;L"/>
    <s v="No"/>
    <s v="Y55166"/>
    <n v="1"/>
    <s v="CY仓库"/>
    <x v="119"/>
    <s v="NM"/>
    <s v="AP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142"/>
    <x v="0"/>
    <x v="0"/>
    <n v="110238"/>
    <s v="Stock order"/>
    <x v="1"/>
    <s v="R-&gt;L"/>
    <s v="No"/>
    <s v="Y55167"/>
    <n v="1"/>
    <s v="盐保仓库"/>
    <x v="119"/>
    <s v="NM"/>
    <s v="APR 21"/>
    <m/>
    <s v="JPY"/>
    <s v="C49SZX20210050SX"/>
    <s v="模鑫"/>
    <s v="YSM10"/>
    <s v="R-&gt;L"/>
    <s v="MVC"/>
    <s v="WRONG"/>
    <s v="DAP SZ"/>
    <d v="2021-02-07T00:00:00"/>
    <s v="Yes"/>
    <m/>
    <m/>
    <m/>
    <s v="C210339637"/>
  </r>
  <r>
    <n v="738"/>
    <x v="0"/>
    <x v="0"/>
    <n v="110238"/>
    <s v="Stock order"/>
    <x v="1"/>
    <s v="R-&gt;L"/>
    <s v="No"/>
    <s v="Y55168"/>
    <n v="1"/>
    <s v="盐保仓库"/>
    <x v="119"/>
    <s v="NM"/>
    <s v="MAR 21"/>
    <m/>
    <s v="JPY"/>
    <s v="C49SZX20200093R1SS"/>
    <s v="弛瑞"/>
    <s v="YSM10"/>
    <s v="L-&gt;R"/>
    <s v="No"/>
    <s v="WRONG"/>
    <s v="DAP SZ"/>
    <d v="2021-02-02T00:00:00"/>
    <s v="Yes"/>
    <m/>
    <m/>
    <m/>
    <s v="C210439993"/>
  </r>
  <r>
    <n v="1367"/>
    <x v="0"/>
    <x v="0"/>
    <n v="110238"/>
    <s v="Stock order"/>
    <x v="1"/>
    <s v="R-&gt;L"/>
    <s v="No"/>
    <s v="Y55169"/>
    <n v="1"/>
    <s v="盐保仓库"/>
    <x v="119"/>
    <s v="NM"/>
    <s v="MAY 21"/>
    <m/>
    <s v="JPY"/>
    <s v="C49SZX20210140DZ"/>
    <s v="锘铧"/>
    <s v="YSM10"/>
    <s v="L-&gt;R"/>
    <s v="MVC"/>
    <s v="WRONG"/>
    <s v="DAP GZ"/>
    <d v="2021-05-11T00:00:00"/>
    <s v="Yes"/>
    <m/>
    <m/>
    <m/>
    <s v="C161128121"/>
  </r>
  <r>
    <s v="上海预留.."/>
    <x v="0"/>
    <x v="0"/>
    <n v="110238"/>
    <s v="Stock order"/>
    <x v="1"/>
    <s v="R-&gt;L"/>
    <s v="MVC+ATS15"/>
    <s v="Y55174"/>
    <n v="1"/>
    <s v="华日仓库中转"/>
    <x v="119"/>
    <s v="NM(CR:0.0621"/>
    <m/>
    <m/>
    <s v="RMB"/>
    <s v="C49SHA20210326"/>
    <s v="上海多越"/>
    <s v="YSM10"/>
    <s v="L-&gt;R"/>
    <s v="MVC+ATS15"/>
    <s v="WRONG"/>
    <e v="#N/A"/>
    <e v="#N/A"/>
    <s v="Yes"/>
    <m/>
    <m/>
    <m/>
    <s v="Yes"/>
  </r>
  <r>
    <n v="1399"/>
    <x v="0"/>
    <x v="0"/>
    <n v="110238"/>
    <s v="Stock order"/>
    <x v="1"/>
    <s v="R-&gt;L"/>
    <s v="MVC+ATS15"/>
    <s v="Y55175"/>
    <n v="1"/>
    <s v="力合仓库(已经清关)"/>
    <x v="119"/>
    <s v="0.0606，PO用110430"/>
    <s v="JUL 21"/>
    <m/>
    <s v="JPY"/>
    <s v="C49SZX20210144VG"/>
    <s v="鑫华锋"/>
    <s v="YSM10"/>
    <s v="L-&gt;R"/>
    <s v="MVC+ATS15"/>
    <s v="WRONG"/>
    <s v="DAP SZ"/>
    <d v="2021-05-28T00:00:00"/>
    <s v="Yes"/>
    <m/>
    <m/>
    <m/>
    <s v="C210740683"/>
  </r>
  <r>
    <n v="1047"/>
    <x v="0"/>
    <x v="0"/>
    <n v="110153"/>
    <s v="Stock order"/>
    <x v="12"/>
    <s v="L-&gt;R"/>
    <s v="No"/>
    <s v="Y54979"/>
    <n v="1"/>
    <s v="盐保仓库"/>
    <x v="120"/>
    <s v="NM"/>
    <s v="APR 21"/>
    <m/>
    <s v="JPY"/>
    <s v="C49SZX20200257JY"/>
    <s v="精德鸿"/>
    <s v="YSM20R-2"/>
    <s v="L-&gt;R"/>
    <s v="No"/>
    <s v="OK"/>
    <s v="DAP SZ"/>
    <d v="2020-12-28T00:00:00"/>
    <s v="Yes"/>
    <m/>
    <m/>
    <m/>
    <s v="C210139127"/>
  </r>
  <r>
    <n v="1057"/>
    <x v="0"/>
    <x v="0"/>
    <n v="110153"/>
    <s v="Stock order"/>
    <x v="12"/>
    <s v="L-&gt;R"/>
    <s v="No"/>
    <s v="Y54980"/>
    <n v="1"/>
    <s v="盐保仓库"/>
    <x v="120"/>
    <s v="NM"/>
    <s v="APR 21"/>
    <m/>
    <s v="JPY"/>
    <s v="C49SZX20210001SS"/>
    <s v="乐凡电子"/>
    <s v="YSM20R-2"/>
    <s v="L-&gt;R"/>
    <s v="No"/>
    <s v="OK"/>
    <s v="DAP SZ"/>
    <d v="2020-12-31T00:00:00"/>
    <s v="Yes"/>
    <m/>
    <m/>
    <m/>
    <s v="C200236762"/>
  </r>
  <r>
    <n v="1046"/>
    <x v="0"/>
    <x v="0"/>
    <n v="110153"/>
    <s v="Stock order"/>
    <x v="12"/>
    <s v="L-&gt;R"/>
    <s v="No"/>
    <s v="Y54981"/>
    <n v="1"/>
    <s v="盐保仓库"/>
    <x v="120"/>
    <s v="NM"/>
    <s v="APR 21"/>
    <m/>
    <s v="JPY"/>
    <s v="C49SZX20200257JY"/>
    <s v="精德鸿"/>
    <s v="YSM20R-2"/>
    <s v="L-&gt;R"/>
    <s v="No"/>
    <s v="OK"/>
    <s v="DAP SZ"/>
    <d v="2020-12-28T00:00:00"/>
    <s v="Yes"/>
    <m/>
    <m/>
    <m/>
    <s v="C210139127"/>
  </r>
  <r>
    <n v="1168"/>
    <x v="0"/>
    <x v="0"/>
    <n v="110153"/>
    <s v="Stock order"/>
    <x v="12"/>
    <s v="L-&gt;R"/>
    <s v="No"/>
    <s v="Y54982"/>
    <n v="1"/>
    <s v="盐保仓库"/>
    <x v="120"/>
    <s v="NM"/>
    <s v="APR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018"/>
    <x v="0"/>
    <x v="0"/>
    <n v="110153"/>
    <s v="Stock order"/>
    <x v="12"/>
    <s v="L-&gt;R"/>
    <s v="No"/>
    <s v="Y54983"/>
    <n v="1"/>
    <s v="盐保仓库"/>
    <x v="120"/>
    <s v="NM"/>
    <s v="APR 21"/>
    <m/>
    <s v="JPY"/>
    <s v="C49SZX20200240MZ"/>
    <s v="鑫金鸿"/>
    <s v="YSM20R-2"/>
    <s v="L-&gt;R"/>
    <s v="No"/>
    <s v="OK"/>
    <s v="DAP SZ"/>
    <d v="2020-12-09T00:00:00"/>
    <s v="Yes"/>
    <m/>
    <m/>
    <m/>
    <s v="C210139105"/>
  </r>
  <r>
    <n v="1141"/>
    <x v="0"/>
    <x v="0"/>
    <n v="110212"/>
    <s v="Stock order"/>
    <x v="12"/>
    <s v="R-&gt;L"/>
    <s v="No"/>
    <s v="Y55398"/>
    <n v="1"/>
    <s v="盐保仓库"/>
    <x v="120"/>
    <s v="NM"/>
    <s v="APR 21"/>
    <m/>
    <s v="JPY"/>
    <s v="C49SZX20210050SX"/>
    <s v="模鑫"/>
    <s v="YSM20R-2"/>
    <s v="R-&gt;L"/>
    <s v="No"/>
    <s v="OK"/>
    <s v="DAP SZ"/>
    <d v="2021-02-07T00:00:00"/>
    <s v="Yes"/>
    <m/>
    <m/>
    <m/>
    <s v="C210339637"/>
  </r>
  <r>
    <n v="1044"/>
    <x v="0"/>
    <x v="0"/>
    <n v="110212"/>
    <s v="Stock order"/>
    <x v="12"/>
    <s v="R-&gt;L"/>
    <s v="No"/>
    <s v="Y55399"/>
    <n v="1"/>
    <s v="华日仓库中转"/>
    <x v="120"/>
    <s v="NM"/>
    <s v="APR 21"/>
    <m/>
    <s v="JPY"/>
    <s v="C49SZX20200249SX"/>
    <s v="凌鑫"/>
    <s v="YSM20R-2"/>
    <s v="R-&gt;L"/>
    <s v="No"/>
    <s v="OK"/>
    <s v="DAP SZ"/>
    <d v="2020-12-25T00:00:00"/>
    <s v="Yes"/>
    <m/>
    <m/>
    <m/>
    <s v="C180331698"/>
  </r>
  <r>
    <n v="1140"/>
    <x v="0"/>
    <x v="0"/>
    <n v="110212"/>
    <s v="Stock order"/>
    <x v="12"/>
    <s v="L-&gt;R"/>
    <s v="cATS10+special layout"/>
    <s v="Y55400，不能调动"/>
    <n v="1"/>
    <s v="盐保仓库"/>
    <x v="120"/>
    <s v="NM"/>
    <s v="APR 21"/>
    <m/>
    <s v="JPY"/>
    <s v="C49SZX20210126DZ"/>
    <s v="名商"/>
    <s v="YSM20R-2"/>
    <s v="L-&gt;R"/>
    <s v="cATS10+MVC+special layout"/>
    <s v="WRONG"/>
    <s v="CIF HK"/>
    <d v="2021-02-06T00:00:00"/>
    <s v="Yes"/>
    <m/>
    <m/>
    <m/>
    <s v="C190334211"/>
  </r>
  <r>
    <n v="1167"/>
    <x v="0"/>
    <x v="0"/>
    <n v="110212"/>
    <s v="Stock order"/>
    <x v="12"/>
    <s v="L-&gt;R"/>
    <s v="No"/>
    <s v="Y55401"/>
    <n v="1"/>
    <s v="盐保仓库"/>
    <x v="120"/>
    <s v="NM"/>
    <s v="APR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173"/>
    <x v="0"/>
    <x v="0"/>
    <n v="110212"/>
    <s v="Stock order"/>
    <x v="12"/>
    <s v="L-&gt;R"/>
    <s v="No"/>
    <s v="Y55402"/>
    <n v="1"/>
    <s v="盐保仓库"/>
    <x v="120"/>
    <s v="NM"/>
    <s v="APR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279"/>
    <x v="0"/>
    <x v="0"/>
    <n v="110212"/>
    <s v="Stock order"/>
    <x v="12"/>
    <s v="L-&gt;R"/>
    <s v="No"/>
    <s v="Y55403"/>
    <n v="1"/>
    <s v="华日仓库中转"/>
    <x v="120"/>
    <s v="NM"/>
    <s v="APR 21"/>
    <m/>
    <s v="JPY"/>
    <s v="C49SZX20210077JY"/>
    <s v="创荣发"/>
    <s v="YSM20R-2"/>
    <s v="L-&gt;R"/>
    <s v="No"/>
    <s v="OK"/>
    <s v="DAP HZ"/>
    <d v="2021-03-17T00:00:00"/>
    <s v="Yes"/>
    <m/>
    <m/>
    <m/>
    <s v="C200437179"/>
  </r>
  <r>
    <n v="1137"/>
    <x v="0"/>
    <x v="0"/>
    <n v="110348"/>
    <s v="Stock order"/>
    <x v="1"/>
    <s v="R-&gt;L"/>
    <s v="No"/>
    <s v="Y55170"/>
    <n v="1"/>
    <s v="盐保仓库"/>
    <x v="121"/>
    <s v="NM"/>
    <s v="MAY 21"/>
    <m/>
    <s v="JPY"/>
    <s v="C49SZX20210045SX"/>
    <s v="百益晟"/>
    <s v="YSM10"/>
    <s v="L-&gt;R"/>
    <s v="MVC"/>
    <s v="WRONG"/>
    <s v="DAP SZ"/>
    <d v="2021-02-04T00:00:00"/>
    <s v="Yes"/>
    <m/>
    <m/>
    <m/>
    <s v="C190434521"/>
  </r>
  <r>
    <s v="上海预留…"/>
    <x v="0"/>
    <x v="0"/>
    <n v="110348"/>
    <s v="Stock order"/>
    <x v="1"/>
    <s v="R-&gt;L"/>
    <s v="MVC+ATS15"/>
    <s v="Y55176"/>
    <n v="1"/>
    <s v="力合仓库(已经清关)"/>
    <x v="121"/>
    <s v="NM"/>
    <s v="MAY 21"/>
    <m/>
    <s v="RMB"/>
    <s v="C49SHA20210422/ZQR"/>
    <s v="上海项如电子科技有限公司"/>
    <s v="YSM10"/>
    <s v="L-&gt;R"/>
    <s v="MVC+ATS15"/>
    <s v="WRONG"/>
    <e v="#N/A"/>
    <e v="#N/A"/>
    <e v="#N/A"/>
    <m/>
    <m/>
    <m/>
    <s v="YES"/>
  </r>
  <r>
    <n v="1136"/>
    <x v="0"/>
    <x v="0"/>
    <s v="110348(拆单110364)"/>
    <s v="Stock order"/>
    <x v="1"/>
    <s v="R-&gt;L"/>
    <s v="No"/>
    <s v="Y55171"/>
    <n v="1"/>
    <s v="盐保仓库"/>
    <x v="121"/>
    <s v="NM PO用110347"/>
    <s v="MAY 21"/>
    <m/>
    <s v="JPY"/>
    <s v="C49SZX20210045SX"/>
    <s v="百益晟"/>
    <s v="YSM10"/>
    <s v="L-&gt;R"/>
    <s v="MVC"/>
    <s v="WRONG"/>
    <s v="DAP SZ"/>
    <d v="2021-02-04T00:00:00"/>
    <s v="Yes"/>
    <m/>
    <m/>
    <m/>
    <s v="C190434521"/>
  </r>
  <r>
    <n v="1258"/>
    <x v="0"/>
    <x v="0"/>
    <n v="110348"/>
    <s v="Stock order"/>
    <x v="1"/>
    <s v="R-&gt;L"/>
    <s v="No"/>
    <s v="Y55172"/>
    <n v="1"/>
    <s v="盐保仓库"/>
    <x v="121"/>
    <s v="NM"/>
    <s v="JUN 21"/>
    <m/>
    <s v="JPY"/>
    <s v="C49SZX20210081MZ"/>
    <s v="崧盛"/>
    <s v="YSM10"/>
    <s v="L-&gt;R"/>
    <s v="No"/>
    <s v="WRONG"/>
    <s v="CIF HK"/>
    <d v="2021-03-13T00:00:00"/>
    <s v="Yes"/>
    <m/>
    <m/>
    <m/>
    <s v="C210439739"/>
  </r>
  <r>
    <n v="1280"/>
    <x v="0"/>
    <x v="0"/>
    <n v="110348"/>
    <s v="Stock order"/>
    <x v="1"/>
    <s v="R-&gt;L"/>
    <s v="No"/>
    <s v="Y55173"/>
    <n v="1"/>
    <s v="华日仓库中转"/>
    <x v="121"/>
    <s v="NM"/>
    <s v="APR 21"/>
    <m/>
    <s v="JPY"/>
    <s v="C49SZX20210077JY"/>
    <s v="创荣发"/>
    <s v="YSM10"/>
    <s v="L-&gt;R"/>
    <s v="MVC"/>
    <s v="WRONG"/>
    <s v="DAP HZ"/>
    <d v="2021-03-17T00:00:00"/>
    <s v="Yes"/>
    <m/>
    <m/>
    <m/>
    <s v="C200437179"/>
  </r>
  <r>
    <n v="1255"/>
    <x v="0"/>
    <x v="0"/>
    <s v="110347(拆单110339)"/>
    <s v="Stock order"/>
    <x v="1"/>
    <s v="R-&gt;L"/>
    <s v="No"/>
    <s v="Y55423"/>
    <n v="1"/>
    <s v="力合中转仓"/>
    <x v="121"/>
    <s v="NM，PO用110348"/>
    <s v="APR 21"/>
    <m/>
    <s v="JPY"/>
    <s v="C49SZX20210079EC"/>
    <s v="福瑞康"/>
    <s v="YSM10"/>
    <s v="L-&gt;R"/>
    <s v="MVC"/>
    <s v="WRONG"/>
    <s v="DAP DG"/>
    <d v="2021-03-12T00:00:00"/>
    <s v="Yes"/>
    <m/>
    <m/>
    <m/>
    <s v="C210439833"/>
  </r>
  <r>
    <n v="1162"/>
    <x v="0"/>
    <x v="0"/>
    <n v="110347"/>
    <s v="Stock order"/>
    <x v="1"/>
    <s v="R-&gt;L"/>
    <s v="No"/>
    <s v="Y55424"/>
    <n v="1"/>
    <s v="力合仓库(已经清关)"/>
    <x v="121"/>
    <s v="0.0605  PO用110364"/>
    <s v="APR 21"/>
    <m/>
    <s v="RMB"/>
    <s v="C49SZX20210047JL"/>
    <s v="铭翔"/>
    <s v="YSM10"/>
    <s v="L-&gt;R"/>
    <s v="MVC"/>
    <s v="WRONG"/>
    <s v="含税到厂"/>
    <d v="2021-02-22T00:00:00"/>
    <s v="Yes"/>
    <m/>
    <m/>
    <m/>
    <s v="C191136061"/>
  </r>
  <r>
    <n v="991"/>
    <x v="0"/>
    <x v="0"/>
    <s v="110347(拆单110337)"/>
    <s v="Stock order"/>
    <x v="1"/>
    <s v="R-&gt;L"/>
    <s v="No"/>
    <s v="Y55425"/>
    <n v="1"/>
    <s v="力合仓库(已经清关)"/>
    <x v="121"/>
    <n v="6.2300000000000001E-2"/>
    <s v="MAY 21"/>
    <m/>
    <s v="RMB"/>
    <s v="C49SZX20200080DY"/>
    <s v="富源晟"/>
    <s v="YSM10"/>
    <s v="L-&gt;R"/>
    <s v="MVC"/>
    <s v="WRONG"/>
    <s v="含税到厂"/>
    <d v="2020-12-08T00:00:00"/>
    <s v="Yes"/>
    <m/>
    <m/>
    <m/>
    <s v="C210139036"/>
  </r>
  <r>
    <n v="1040"/>
    <x v="0"/>
    <x v="0"/>
    <s v="110347(拆单110337)"/>
    <s v="Stock order"/>
    <x v="1"/>
    <s v="R-&gt;L"/>
    <s v="No"/>
    <s v="Y55426"/>
    <n v="1"/>
    <s v="力合仓库(已经清关)"/>
    <x v="121"/>
    <n v="6.2300000000000001E-2"/>
    <s v="APR 21"/>
    <m/>
    <s v="RMB"/>
    <s v="C49SZX20200248SX"/>
    <s v="悦之彩"/>
    <s v="YSM10"/>
    <s v="L-&gt;R"/>
    <s v="MVC"/>
    <s v="WRONG"/>
    <s v="含税到厂"/>
    <d v="2020-12-18T00:00:00"/>
    <s v="Yes"/>
    <m/>
    <m/>
    <m/>
    <s v="C191035936"/>
  </r>
  <r>
    <n v="1041"/>
    <x v="0"/>
    <x v="0"/>
    <s v="110347(拆单110339)"/>
    <s v="Stock order"/>
    <x v="1"/>
    <s v="R-&gt;L"/>
    <s v="No"/>
    <s v="Y55427"/>
    <n v="1"/>
    <s v="力合仓库(已经清关)"/>
    <x v="121"/>
    <n v="6.2300000000000001E-2"/>
    <s v="APR 21"/>
    <m/>
    <s v="RMB"/>
    <s v="C49SZX20200248SX"/>
    <s v="悦之彩"/>
    <s v="YSM10"/>
    <s v="L-&gt;R"/>
    <s v="MVC"/>
    <s v="WRONG"/>
    <s v="含税到厂"/>
    <d v="2020-12-18T00:00:00"/>
    <s v="Yes"/>
    <m/>
    <m/>
    <m/>
    <s v="C191035936"/>
  </r>
  <r>
    <n v="739"/>
    <x v="0"/>
    <x v="0"/>
    <n v="110274"/>
    <s v="平方兆赫名义下单"/>
    <x v="0"/>
    <s v="L-&gt;R"/>
    <s v="No"/>
    <s v="Y55408"/>
    <n v="1"/>
    <s v="CY仓库"/>
    <x v="122"/>
    <s v="NM"/>
    <s v="APR 21"/>
    <m/>
    <s v="JPY"/>
    <s v="C49SZX20210028DZ"/>
    <s v="平方兆赫"/>
    <s v="YSM40R-4"/>
    <s v="L-&gt;R"/>
    <s v="No"/>
    <s v="OK"/>
    <s v="CIF HK"/>
    <d v="2021-03-10T00:00:00"/>
    <s v="Yes"/>
    <m/>
    <m/>
    <m/>
    <s v="YES"/>
  </r>
  <r>
    <n v="1058"/>
    <x v="0"/>
    <x v="0"/>
    <n v="110272"/>
    <s v="精德鸿名义下单"/>
    <x v="12"/>
    <s v="L-&gt;R"/>
    <s v="No"/>
    <s v="Y55697"/>
    <n v="1"/>
    <s v="盐保仓库"/>
    <x v="123"/>
    <s v="NM"/>
    <s v="APR 21"/>
    <m/>
    <s v="JPY"/>
    <s v="C49SZX20210002SX"/>
    <s v="利速达"/>
    <s v="YSM20R-2"/>
    <s v="L-&gt;R"/>
    <s v="No"/>
    <s v="OK"/>
    <s v="DAP SZ"/>
    <d v="2021-01-04T00:00:00"/>
    <s v="Yes"/>
    <m/>
    <m/>
    <m/>
    <s v="C180732624"/>
  </r>
  <r>
    <n v="1139"/>
    <x v="0"/>
    <x v="0"/>
    <n v="110272"/>
    <s v="精德鸿名义下单"/>
    <x v="12"/>
    <s v="L-&gt;R"/>
    <s v="No"/>
    <s v="Y55698，不能调动"/>
    <n v="1"/>
    <s v="盐保仓库"/>
    <x v="123"/>
    <s v="NM"/>
    <s v="APR 21"/>
    <m/>
    <s v="JPY"/>
    <s v="C49SZX20210126DZ"/>
    <s v="名商"/>
    <s v="YSM20R-2"/>
    <s v="L-&gt;R"/>
    <s v="No"/>
    <s v="OK"/>
    <s v="CIF HK"/>
    <d v="2021-02-06T00:00:00"/>
    <s v="Yes"/>
    <m/>
    <m/>
    <m/>
    <s v="C190334211"/>
  </r>
  <r>
    <n v="1188"/>
    <x v="0"/>
    <x v="0"/>
    <n v="110272"/>
    <s v="精德鸿名义下单"/>
    <x v="12"/>
    <s v="L-&gt;R"/>
    <s v="No"/>
    <s v="Y55699"/>
    <n v="1"/>
    <s v="力合仓库(已经清关)"/>
    <x v="123"/>
    <s v="0.0605，PO用110365"/>
    <s v="JUN 21"/>
    <m/>
    <s v="RMB"/>
    <s v="C49SZX20210156DZ"/>
    <s v="海星"/>
    <s v="YSM20R-2"/>
    <s v="L-&gt;R"/>
    <s v="No"/>
    <s v="OK"/>
    <s v="DDP SZ"/>
    <d v="2021-03-05T00:00:00"/>
    <s v="Yes"/>
    <m/>
    <m/>
    <m/>
    <s v="C210640335"/>
  </r>
  <r>
    <n v="1134"/>
    <x v="0"/>
    <x v="0"/>
    <n v="110272"/>
    <s v="精德鸿名义下单"/>
    <x v="12"/>
    <s v="L-&gt;R"/>
    <s v="No"/>
    <s v="Y55700"/>
    <n v="1"/>
    <s v="盐保仓库"/>
    <x v="123"/>
    <s v="NM"/>
    <s v="MAY 21"/>
    <m/>
    <s v="JPY"/>
    <s v="C49SZX20210042VG"/>
    <s v="狂热者"/>
    <s v="YSM20R-2"/>
    <s v="L-&gt;R"/>
    <s v="No"/>
    <s v="OK"/>
    <s v="DAP SZ"/>
    <d v="2021-02-04T00:00:00"/>
    <s v="Yes"/>
    <m/>
    <m/>
    <m/>
    <s v="C210439928"/>
  </r>
  <r>
    <n v="1347"/>
    <x v="0"/>
    <x v="0"/>
    <s v="110272(拆单110428)"/>
    <s v="精德鸿名义下单"/>
    <x v="12"/>
    <s v="L-&gt;R"/>
    <s v="No"/>
    <s v="Y55701"/>
    <n v="1"/>
    <s v="华日仓库中转"/>
    <x v="123"/>
    <n v="6.0600000000000001E-2"/>
    <s v="MAY 21"/>
    <m/>
    <s v="RMB"/>
    <s v="C49SZX20210127JL"/>
    <s v="同基"/>
    <s v="YSM20R-2"/>
    <s v="L-&gt;R"/>
    <s v="No"/>
    <s v="OK"/>
    <s v="DDP SZ"/>
    <d v="2021-04-22T00:00:00"/>
    <s v="Yes"/>
    <m/>
    <m/>
    <m/>
    <s v="C190534655"/>
  </r>
  <r>
    <n v="1270"/>
    <x v="0"/>
    <x v="0"/>
    <s v="110272(拆单110407)"/>
    <s v="精德鸿名义下单"/>
    <x v="12"/>
    <s v="L-&gt;R"/>
    <s v="No"/>
    <s v="Y55702"/>
    <n v="1"/>
    <s v="力合中转仓"/>
    <x v="123"/>
    <s v="NM，PO用110133"/>
    <s v="JUN 21"/>
    <m/>
    <s v="JPY"/>
    <s v="C49SZX20210089SX"/>
    <s v="顺弘"/>
    <s v="YSM20R-2"/>
    <s v="L-&gt;R"/>
    <s v="No"/>
    <s v="OK"/>
    <s v="DAP DG"/>
    <d v="2021-03-18T00:00:00"/>
    <s v="No"/>
    <m/>
    <m/>
    <m/>
    <s v="C171030531"/>
  </r>
  <r>
    <n v="1094"/>
    <x v="0"/>
    <x v="0"/>
    <n v="110333"/>
    <s v="龙大名义下单"/>
    <x v="0"/>
    <s v="L-&gt;R"/>
    <s v="No"/>
    <s v="Y55746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095"/>
    <x v="0"/>
    <x v="0"/>
    <n v="110333"/>
    <s v="龙大名义下单"/>
    <x v="0"/>
    <s v="L-&gt;R"/>
    <s v="No"/>
    <s v="Y55747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096"/>
    <x v="0"/>
    <x v="0"/>
    <n v="110333"/>
    <s v="龙大名义下单"/>
    <x v="0"/>
    <s v="L-&gt;R"/>
    <s v="No"/>
    <s v="Y55748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097"/>
    <x v="0"/>
    <x v="0"/>
    <n v="110333"/>
    <s v="龙大名义下单"/>
    <x v="0"/>
    <s v="L-&gt;R"/>
    <s v="No"/>
    <s v="Y55749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127"/>
    <x v="0"/>
    <x v="1"/>
    <n v="110327"/>
    <s v="嘉裕名义下单"/>
    <x v="13"/>
    <s v="L-&gt;R"/>
    <s v="No"/>
    <s v="Y54770"/>
    <n v="1"/>
    <s v="CY仓库"/>
    <x v="124"/>
    <s v="NM"/>
    <s v="APR 21"/>
    <m/>
    <s v="JPY"/>
    <s v="C28HKG2021013KC"/>
    <s v="嘉裕"/>
    <s v="YSi-V"/>
    <s v="L-&gt;R"/>
    <s v="No"/>
    <s v="OK"/>
    <s v="CIF HK"/>
    <d v="2021-01-28T00:00:00"/>
    <s v="Yes"/>
    <m/>
    <m/>
    <m/>
    <s v="YES"/>
  </r>
  <r>
    <n v="1064"/>
    <x v="0"/>
    <x v="0"/>
    <s v="110245（拆单110361）"/>
    <s v="Stock order"/>
    <x v="12"/>
    <s v="R-&gt;L"/>
    <s v="No"/>
    <s v="Y55683"/>
    <n v="1"/>
    <s v="力合中转仓"/>
    <x v="124"/>
    <n v="6.0499999999999998E-2"/>
    <s v="APR 21"/>
    <m/>
    <s v="RMB"/>
    <s v="C49SZX20210007DZ"/>
    <s v="赛维显示"/>
    <s v="YSM20R-2"/>
    <s v="R-&gt;L"/>
    <s v="No"/>
    <s v="OK"/>
    <s v="含税到厂"/>
    <d v="2021-01-09T00:00:00"/>
    <s v="Yes"/>
    <m/>
    <m/>
    <m/>
    <s v="C200136594"/>
  </r>
  <r>
    <n v="1063"/>
    <x v="0"/>
    <x v="0"/>
    <s v="110245（拆单110361）"/>
    <s v="Stock order"/>
    <x v="12"/>
    <s v="R-&gt;L"/>
    <s v="No"/>
    <s v="Y55684"/>
    <n v="1"/>
    <s v="力合中转仓"/>
    <x v="124"/>
    <n v="6.0499999999999998E-2"/>
    <s v="APR 21"/>
    <m/>
    <s v="RMB"/>
    <s v="C49SZX20210007DZ"/>
    <s v="赛维显示"/>
    <s v="YSM20R-2"/>
    <s v="R-&gt;L"/>
    <s v="No"/>
    <s v="OK"/>
    <s v="含税到厂"/>
    <d v="2021-01-09T00:00:00"/>
    <s v="Yes"/>
    <m/>
    <m/>
    <m/>
    <s v="C200136594"/>
  </r>
  <r>
    <n v="1061"/>
    <x v="0"/>
    <x v="0"/>
    <s v="110245（拆单110361）"/>
    <s v="Stock order"/>
    <x v="12"/>
    <s v="L-&gt;R"/>
    <s v="No"/>
    <s v="Y55685"/>
    <n v="1"/>
    <s v="力合中转仓"/>
    <x v="124"/>
    <n v="6.0499999999999998E-2"/>
    <s v="APR 21"/>
    <m/>
    <s v="RMB"/>
    <s v="C49SZX20210007DZ"/>
    <s v="赛维显示"/>
    <s v="YSM20R-2"/>
    <s v="L-&gt;R"/>
    <s v="No"/>
    <s v="OK"/>
    <s v="含税到厂"/>
    <d v="2021-01-09T00:00:00"/>
    <s v="Yes"/>
    <m/>
    <m/>
    <m/>
    <s v="C200136594"/>
  </r>
  <r>
    <n v="1062"/>
    <x v="0"/>
    <x v="0"/>
    <s v="110245（拆单110361）"/>
    <s v="Stock order"/>
    <x v="12"/>
    <s v="L-&gt;R"/>
    <s v="No"/>
    <s v="Y55686"/>
    <n v="1"/>
    <s v="力合中转仓"/>
    <x v="124"/>
    <n v="6.0499999999999998E-2"/>
    <s v="APR 21"/>
    <m/>
    <s v="RMB"/>
    <s v="C49SZX20210007DZ"/>
    <s v="赛维显示"/>
    <s v="YSM20R-2"/>
    <s v="L-&gt;R"/>
    <s v="No"/>
    <s v="OK"/>
    <s v="含税到厂"/>
    <d v="2021-01-09T00:00:00"/>
    <s v="Yes"/>
    <m/>
    <m/>
    <m/>
    <s v="C200136594"/>
  </r>
  <r>
    <n v="1105"/>
    <x v="0"/>
    <x v="0"/>
    <n v="110245"/>
    <s v="Stock order"/>
    <x v="12"/>
    <s v="L-&gt;R"/>
    <s v="No"/>
    <s v="Y55687"/>
    <n v="1"/>
    <s v="CY仓库"/>
    <x v="124"/>
    <s v="NM"/>
    <s v="APR 21"/>
    <m/>
    <s v="JPY"/>
    <s v="C49SZX20210029DZ"/>
    <s v="嘉裕"/>
    <s v="YSM20R-2"/>
    <s v="L-&gt;R"/>
    <s v="No"/>
    <s v="OK"/>
    <s v="CIF HK"/>
    <d v="2021-01-28T00:00:00"/>
    <s v="Yes"/>
    <m/>
    <m/>
    <m/>
    <s v="C200336888"/>
  </r>
  <r>
    <n v="1135"/>
    <x v="0"/>
    <x v="0"/>
    <n v="110245"/>
    <s v="Stock order"/>
    <x v="12"/>
    <s v="L-&gt;R"/>
    <s v="No"/>
    <s v="Y55688"/>
    <n v="1"/>
    <s v="盐保仓库"/>
    <x v="124"/>
    <s v="NM"/>
    <s v="MAY 21"/>
    <m/>
    <s v="JPY"/>
    <s v="C49SZX20210046SS"/>
    <s v="恒业信"/>
    <s v="YSM20R-2"/>
    <s v="L-&gt;R"/>
    <s v="No"/>
    <s v="OK"/>
    <s v="DAP SZ"/>
    <d v="2021-02-04T00:00:00"/>
    <s v="Yes"/>
    <m/>
    <m/>
    <m/>
    <s v="C200337000"/>
  </r>
  <r>
    <n v="1340"/>
    <x v="0"/>
    <x v="0"/>
    <n v="110245"/>
    <s v="Stock order"/>
    <x v="12"/>
    <s v="L-&gt;R"/>
    <s v="No"/>
    <s v="Y55689"/>
    <n v="1"/>
    <s v="盐保仓库"/>
    <x v="124"/>
    <s v="NM"/>
    <s v="MAY 21"/>
    <m/>
    <s v="JPY"/>
    <s v="C49SZX20210117JY"/>
    <s v="精德鸿"/>
    <s v="YSM20R-2"/>
    <s v="L-&gt;R"/>
    <s v="MVC"/>
    <s v="WRONG"/>
    <s v="DAP SZ"/>
    <d v="2021-04-20T00:00:00"/>
    <s v="Yes"/>
    <m/>
    <m/>
    <m/>
    <s v="C210139127"/>
  </r>
  <r>
    <n v="1341"/>
    <x v="0"/>
    <x v="0"/>
    <n v="110245"/>
    <s v="Stock order"/>
    <x v="12"/>
    <s v="L-&gt;R"/>
    <s v="No"/>
    <s v="Y55690"/>
    <n v="1"/>
    <s v="盐保仓库"/>
    <x v="124"/>
    <s v="NM"/>
    <s v="MAY 21"/>
    <m/>
    <s v="JPY"/>
    <s v="C49SZX20210117JY"/>
    <s v="精德鸿"/>
    <s v="YSM20R-2"/>
    <s v="L-&gt;R"/>
    <s v="No"/>
    <s v="OK"/>
    <s v="DAP SZ"/>
    <d v="2021-04-20T00:00:00"/>
    <s v="Yes"/>
    <m/>
    <m/>
    <m/>
    <s v="C210139127"/>
  </r>
  <r>
    <n v="1252"/>
    <x v="0"/>
    <x v="0"/>
    <n v="110245"/>
    <s v="Stock order"/>
    <x v="12"/>
    <s v="L-&gt;R"/>
    <s v="No"/>
    <s v="Y55691"/>
    <n v="1"/>
    <s v="盐保仓库"/>
    <x v="124"/>
    <s v="NM"/>
    <s v="MAY 21"/>
    <m/>
    <s v="JPY"/>
    <s v="C49SZX20210076JZ"/>
    <s v="圣亨"/>
    <s v="YSM20R-2"/>
    <s v="L-&gt;R"/>
    <s v="No"/>
    <s v="OK"/>
    <s v="DAP DG"/>
    <d v="2021-03-11T00:00:00"/>
    <s v="Yes"/>
    <m/>
    <m/>
    <m/>
    <s v="C210540263"/>
  </r>
  <r>
    <n v="1152"/>
    <x v="0"/>
    <x v="0"/>
    <n v="110245"/>
    <s v="Stock order"/>
    <x v="12"/>
    <s v="L-&gt;R"/>
    <s v="No"/>
    <s v="Y55692"/>
    <n v="1"/>
    <m/>
    <x v="124"/>
    <s v="NM"/>
    <s v="APR 21"/>
    <m/>
    <s v="JPY"/>
    <s v="C49SZX20210051JY"/>
    <s v="络鑫（end user:东莞络鑫）"/>
    <s v="YSM20R-2"/>
    <s v="L-&gt;R"/>
    <s v="No"/>
    <s v="OK"/>
    <s v="CIF HK"/>
    <d v="2021-03-04T00:00:00"/>
    <s v="Yes"/>
    <m/>
    <m/>
    <m/>
    <s v="C210439957"/>
  </r>
  <r>
    <n v="1163"/>
    <x v="0"/>
    <x v="0"/>
    <n v="110271"/>
    <s v="精德鸿名义下单"/>
    <x v="1"/>
    <s v="R-&gt;L"/>
    <s v="MVC"/>
    <s v="Y55693"/>
    <n v="1"/>
    <s v="CY仓库"/>
    <x v="125"/>
    <s v="NM"/>
    <s v="MAY 21"/>
    <m/>
    <s v="JPY"/>
    <s v="C49SZX20210059EC"/>
    <s v="骏孚"/>
    <s v="YSM10"/>
    <s v="R-&gt;L"/>
    <s v="MVC"/>
    <s v="OK"/>
    <s v="DAP GZ"/>
    <d v="2021-03-01T00:00:00"/>
    <s v="Yes"/>
    <m/>
    <m/>
    <m/>
    <s v="C210439747"/>
  </r>
  <r>
    <n v="1076"/>
    <x v="0"/>
    <x v="0"/>
    <n v="110271"/>
    <s v="精德鸿名义下单"/>
    <x v="1"/>
    <s v="R-&gt;L"/>
    <s v="MVC"/>
    <s v="Y55694"/>
    <n v="1"/>
    <s v="CY仓库"/>
    <x v="125"/>
    <s v="NM"/>
    <s v="MAY 21"/>
    <m/>
    <s v="JPY"/>
    <s v="C49SZX20210009MZ"/>
    <s v="奥视通"/>
    <s v="YSM10"/>
    <s v="L-&gt;R"/>
    <s v="MVC"/>
    <s v="WRONG"/>
    <s v="DAP HZ"/>
    <d v="2021-01-19T00:00:00"/>
    <s v="Yes"/>
    <m/>
    <m/>
    <m/>
    <s v="C170429029"/>
  </r>
  <r>
    <n v="1166"/>
    <x v="0"/>
    <x v="0"/>
    <n v="110271"/>
    <s v="精德鸿名义下单"/>
    <x v="1"/>
    <s v="R-&gt;L"/>
    <s v="MVC"/>
    <s v="Y55695"/>
    <n v="1"/>
    <s v="CY仓库"/>
    <x v="125"/>
    <s v="NM"/>
    <s v="MAY 21"/>
    <m/>
    <s v="JPY"/>
    <s v="C49SZX20210060SX"/>
    <s v="岚新"/>
    <s v="YSM10"/>
    <s v="L-&gt;R"/>
    <s v="MVC"/>
    <s v="WRONG"/>
    <s v="DAP DG"/>
    <d v="2021-03-01T00:00:00"/>
    <s v="Yes"/>
    <m/>
    <m/>
    <m/>
    <s v="C210239298"/>
  </r>
  <r>
    <n v="1075"/>
    <x v="0"/>
    <x v="0"/>
    <n v="110271"/>
    <s v="精德鸿名义下单"/>
    <x v="1"/>
    <s v="R-&gt;L"/>
    <s v="MVC+ATS15"/>
    <s v="Y55696"/>
    <n v="1"/>
    <s v="CY仓库"/>
    <x v="125"/>
    <s v="NM"/>
    <s v="MAY 21"/>
    <m/>
    <s v="JPY"/>
    <s v="C49SZX20210009MZ"/>
    <s v="奥视通"/>
    <s v="YSM10"/>
    <s v="L-&gt;R"/>
    <s v="MVC+ATS15"/>
    <s v="WRONG"/>
    <s v="DAP HZ"/>
    <d v="2021-01-19T00:00:00"/>
    <s v="Yes"/>
    <m/>
    <m/>
    <m/>
    <s v="C170429029"/>
  </r>
  <r>
    <n v="1069"/>
    <x v="0"/>
    <x v="1"/>
    <n v="110301"/>
    <s v="奕东名义下单"/>
    <x v="13"/>
    <s v="L-&gt;R"/>
    <s v="No"/>
    <s v="Y55393"/>
    <n v="1"/>
    <s v="CY仓库"/>
    <x v="125"/>
    <s v="NM"/>
    <s v="MAY 21"/>
    <m/>
    <s v="JPY"/>
    <s v="C28SZX20200127RW"/>
    <s v="奕东"/>
    <s v="YSi-V"/>
    <s v="L-&gt;R"/>
    <s v="No"/>
    <s v="OK"/>
    <s v="DAP DG"/>
    <d v="2021-01-08T00:00:00"/>
    <s v="Yes"/>
    <m/>
    <m/>
    <m/>
    <s v="YES"/>
  </r>
  <r>
    <n v="1228"/>
    <x v="0"/>
    <x v="0"/>
    <n v="110346"/>
    <s v="Stock order"/>
    <x v="12"/>
    <s v="L-&gt;R"/>
    <s v="No"/>
    <s v="Y55404"/>
    <n v="1"/>
    <s v="盐保仓库"/>
    <x v="126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133"/>
    <x v="0"/>
    <x v="0"/>
    <s v="110346(拆单110340)"/>
    <s v="Stock order"/>
    <x v="12"/>
    <s v="L-&gt;R"/>
    <s v="No"/>
    <s v="Y55405"/>
    <n v="1"/>
    <s v="盐保仓库"/>
    <x v="126"/>
    <n v="6.2300000000000001E-2"/>
    <s v="MAY 21"/>
    <m/>
    <s v="JPY"/>
    <s v="C49SZX20210042VG"/>
    <s v="狂热者"/>
    <s v="YSM20R-2"/>
    <s v="L-&gt;R"/>
    <s v="No"/>
    <s v="OK"/>
    <s v="DAP SZ"/>
    <d v="2021-02-04T00:00:00"/>
    <s v="Yes"/>
    <m/>
    <m/>
    <m/>
    <s v="C210439928"/>
  </r>
  <r>
    <n v="1253"/>
    <x v="0"/>
    <x v="0"/>
    <n v="110346"/>
    <s v="Stock order"/>
    <x v="12"/>
    <s v="L-&gt;R"/>
    <s v="No"/>
    <s v="Y55406"/>
    <n v="1"/>
    <s v="盐保仓库"/>
    <x v="126"/>
    <s v="NM"/>
    <s v="MAY 21"/>
    <m/>
    <s v="JPY"/>
    <s v="C49SZX20210076JZ"/>
    <s v="圣亨"/>
    <s v="YSM20R-2"/>
    <s v="L-&gt;R"/>
    <s v="No"/>
    <s v="OK"/>
    <s v="DAP DG"/>
    <d v="2021-03-11T00:00:00"/>
    <s v="Yes"/>
    <m/>
    <m/>
    <m/>
    <s v="C210540263"/>
  </r>
  <r>
    <n v="1149"/>
    <x v="0"/>
    <x v="0"/>
    <s v="110346(拆单110409)"/>
    <s v="Stock order"/>
    <x v="12"/>
    <s v="L-&gt;R"/>
    <s v="No"/>
    <s v="Y55407"/>
    <n v="1"/>
    <s v="盐保仓库"/>
    <x v="126"/>
    <n v="5.9900000000000002E-2"/>
    <s v="MAY 21"/>
    <m/>
    <s v="RMB"/>
    <s v="C49SZX20210055SS"/>
    <s v="中润互联"/>
    <s v="YSM20R-2"/>
    <s v="L-&gt;R"/>
    <s v="No"/>
    <s v="OK"/>
    <s v="含税到厂"/>
    <d v="2021-02-22T00:00:00"/>
    <s v="Yes"/>
    <m/>
    <m/>
    <m/>
    <s v="C200637604"/>
  </r>
  <r>
    <n v="1324"/>
    <x v="0"/>
    <x v="0"/>
    <n v="110211"/>
    <s v="Stock order"/>
    <x v="1"/>
    <s v="R-&gt;L"/>
    <s v="No"/>
    <s v="Y55428"/>
    <n v="1"/>
    <s v="盐保仓库"/>
    <x v="126"/>
    <s v="NM"/>
    <s v="MAY 21"/>
    <m/>
    <s v="JPY"/>
    <s v="C49SZX20210066JYR1"/>
    <s v="旭日伟光"/>
    <s v="YSM10"/>
    <s v="L-&gt;R"/>
    <s v="MVC"/>
    <s v="WRONG"/>
    <s v="DAP SZ"/>
    <d v="2021-04-12T00:00:00"/>
    <s v="Yes"/>
    <m/>
    <m/>
    <m/>
    <s v="C190735084"/>
  </r>
  <r>
    <n v="1132"/>
    <x v="0"/>
    <x v="0"/>
    <n v="110211"/>
    <s v="Stock order"/>
    <x v="1"/>
    <s v="R-&gt;L"/>
    <s v="No"/>
    <s v="Y55429"/>
    <n v="1"/>
    <s v="盐保仓库"/>
    <x v="126"/>
    <s v="NM"/>
    <s v="MAY 21"/>
    <m/>
    <s v="JPY"/>
    <s v="C49SZX20210042VG"/>
    <s v="狂热者"/>
    <s v="YSM10"/>
    <s v="L-&gt;R"/>
    <s v="No"/>
    <s v="WRONG"/>
    <s v="DAP SZ"/>
    <d v="2021-02-04T00:00:00"/>
    <s v="Yes"/>
    <m/>
    <m/>
    <m/>
    <s v="C210439928"/>
  </r>
  <r>
    <n v="1366"/>
    <x v="0"/>
    <x v="0"/>
    <n v="110211"/>
    <s v="Stock order"/>
    <x v="1"/>
    <s v="R-&gt;L"/>
    <s v="No"/>
    <s v="Y55430"/>
    <n v="1"/>
    <s v="盐保仓库"/>
    <x v="126"/>
    <s v="NM"/>
    <s v="MAY 21"/>
    <m/>
    <s v="JPY"/>
    <s v="C49SZX20210140DZ"/>
    <s v="锘铧"/>
    <s v="YSM10"/>
    <s v="L-&gt;R"/>
    <s v="MVC"/>
    <s v="WRONG"/>
    <s v="DAP GZ"/>
    <d v="2021-05-11T00:00:00"/>
    <s v="Yes"/>
    <m/>
    <m/>
    <m/>
    <s v="C161128121"/>
  </r>
  <r>
    <n v="1088"/>
    <x v="0"/>
    <x v="0"/>
    <n v="110211"/>
    <s v="Stock order"/>
    <x v="1"/>
    <s v="R-&gt;L"/>
    <s v="No"/>
    <s v="Y55431"/>
    <n v="1"/>
    <s v="盐保仓库"/>
    <x v="126"/>
    <s v="NM"/>
    <s v="MAY 21"/>
    <m/>
    <s v="JPY"/>
    <s v="C49SZX20210029SS"/>
    <s v="锂动力"/>
    <s v="YSM10"/>
    <s v="R-&gt;L"/>
    <s v="No"/>
    <s v="OK"/>
    <s v="DAP FS"/>
    <d v="2021-01-26T00:00:00"/>
    <s v="Yes"/>
    <m/>
    <m/>
    <m/>
    <s v="C180732632"/>
  </r>
  <r>
    <n v="1287"/>
    <x v="0"/>
    <x v="0"/>
    <n v="110211"/>
    <s v="Stock order"/>
    <x v="1"/>
    <s v="R-&gt;L"/>
    <s v="No"/>
    <s v="Y55432"/>
    <n v="1"/>
    <s v="盐保仓库"/>
    <x v="126"/>
    <s v="NM"/>
    <s v="MAY 21"/>
    <m/>
    <s v="JPY"/>
    <s v="C49SZX20210099VG"/>
    <s v="鸿翔"/>
    <s v="YSM10"/>
    <s v="L-&gt;R"/>
    <s v="MVC"/>
    <s v="WRONG"/>
    <s v="DAP SZ"/>
    <d v="2021-03-27T00:00:00"/>
    <s v="Yes"/>
    <m/>
    <m/>
    <m/>
    <s v="C210540191"/>
  </r>
  <r>
    <n v="1147"/>
    <x v="0"/>
    <x v="0"/>
    <s v="110227（拆单110362）"/>
    <s v="锘铧名义下单"/>
    <x v="1"/>
    <s v="R-&gt;L"/>
    <s v="MVC F&amp;R+ATS15"/>
    <s v="Y54955"/>
    <n v="1"/>
    <s v="力合仓库(已经清关)"/>
    <x v="126"/>
    <s v="0.0599 PO用110408"/>
    <s v="MAY 21"/>
    <m/>
    <s v="RMB"/>
    <s v="C49SZX20210055SS"/>
    <s v="中润互联"/>
    <s v="YSM10"/>
    <s v="L-&gt;R"/>
    <s v="MVC+ATS15"/>
    <s v="WRONG"/>
    <s v="含税到厂"/>
    <d v="2021-02-22T00:00:00"/>
    <s v="Yes"/>
    <m/>
    <m/>
    <m/>
    <s v="C200637604"/>
  </r>
  <r>
    <n v="1148"/>
    <x v="0"/>
    <x v="0"/>
    <s v="110227（拆单110362）"/>
    <s v="锘铧名义下单"/>
    <x v="1"/>
    <s v="R-&gt;L"/>
    <s v="MVC F&amp;R+ATS15"/>
    <s v="Y54956"/>
    <n v="1"/>
    <s v="力合仓库(已经清关)"/>
    <x v="126"/>
    <s v="0.0599 PO用110408"/>
    <s v="MAY 21"/>
    <m/>
    <s v="RMB"/>
    <s v="C49SZX20210055SS"/>
    <s v="中润互联"/>
    <s v="YSM10"/>
    <s v="R-&gt;L"/>
    <s v="MVC+ATS15"/>
    <s v="WRONG"/>
    <s v="含税到厂"/>
    <d v="2021-02-22T00:00:00"/>
    <s v="Yes"/>
    <m/>
    <m/>
    <m/>
    <s v="C200637604"/>
  </r>
  <r>
    <n v="1342"/>
    <x v="0"/>
    <x v="0"/>
    <n v="110227"/>
    <s v="锘铧名义下单"/>
    <x v="1"/>
    <s v="R-&gt;L"/>
    <s v="MVC F&amp;R+ATS15"/>
    <s v="Y54957"/>
    <n v="1"/>
    <s v="力合仓库(已经清关)"/>
    <x v="126"/>
    <s v="NM，PO用110238"/>
    <s v="MAY 21"/>
    <m/>
    <s v="JPY"/>
    <s v="C49SZX20210117JY"/>
    <s v="精德鸿"/>
    <s v="YSM10"/>
    <s v="L-&gt;R"/>
    <s v="MVC+ATS15"/>
    <s v="WRONG"/>
    <s v="DAP SZ"/>
    <d v="2021-04-20T00:00:00"/>
    <s v="Yes"/>
    <m/>
    <m/>
    <m/>
    <s v="C210139127"/>
  </r>
  <r>
    <n v="1102"/>
    <x v="0"/>
    <x v="0"/>
    <n v="110403"/>
    <s v="Stock order"/>
    <x v="1"/>
    <s v="R-&gt;L"/>
    <s v="No"/>
    <s v="Y55550"/>
    <n v="1"/>
    <s v="盐保仓库"/>
    <x v="127"/>
    <s v="NM"/>
    <s v="MAY 21"/>
    <m/>
    <s v="JPY"/>
    <s v="C49SZX20210019JY"/>
    <s v="晟锦威"/>
    <s v="YSM10"/>
    <s v="R-&gt;L"/>
    <s v="MVC"/>
    <s v="WRONG"/>
    <s v="DAP SZ"/>
    <d v="2021-01-27T00:00:00"/>
    <s v="Yes"/>
    <m/>
    <m/>
    <m/>
    <s v="C210440026"/>
  </r>
  <r>
    <n v="1103"/>
    <x v="0"/>
    <x v="0"/>
    <n v="110403"/>
    <s v="Stock order"/>
    <x v="1"/>
    <s v="R-&gt;L"/>
    <s v="No"/>
    <s v="Y55551"/>
    <n v="1"/>
    <s v="盐保仓库"/>
    <x v="127"/>
    <s v="NM"/>
    <s v="MAY 21"/>
    <m/>
    <s v="JPY"/>
    <s v="C49SZX20210019JY"/>
    <s v="晟锦威"/>
    <s v="YSM10"/>
    <s v="R-&gt;L"/>
    <s v="MVC"/>
    <s v="WRONG"/>
    <s v="DAP SZ"/>
    <d v="2021-01-27T00:00:00"/>
    <s v="Yes"/>
    <m/>
    <m/>
    <m/>
    <s v="C210440026"/>
  </r>
  <r>
    <n v="1104"/>
    <x v="0"/>
    <x v="0"/>
    <n v="110403"/>
    <s v="Stock order"/>
    <x v="1"/>
    <s v="R-&gt;L"/>
    <s v="No"/>
    <s v="Y55555"/>
    <n v="1"/>
    <s v="盐保仓库"/>
    <x v="127"/>
    <s v="NM"/>
    <s v="MAY 21"/>
    <m/>
    <s v="JPY"/>
    <s v="C49SZX20210019JY"/>
    <s v="晟锦威"/>
    <s v="YSM10"/>
    <s v="R-&gt;L"/>
    <s v="MVC"/>
    <s v="WRONG"/>
    <s v="DAP SZ"/>
    <d v="2021-01-27T00:00:00"/>
    <s v="Yes"/>
    <m/>
    <m/>
    <m/>
    <s v="C210440026"/>
  </r>
  <r>
    <n v="1067"/>
    <x v="0"/>
    <x v="0"/>
    <n v="110244"/>
    <s v="Stock order"/>
    <x v="1"/>
    <s v="R-&gt;L"/>
    <s v="MVC"/>
    <s v="Y55594"/>
    <n v="1"/>
    <s v="盐保仓库"/>
    <x v="127"/>
    <s v="NM"/>
    <s v="MAY 21"/>
    <m/>
    <s v="JPY"/>
    <s v="C49SZX20210013SS"/>
    <s v="泰润"/>
    <s v="YSM10"/>
    <s v="L-&gt;R"/>
    <s v="MVC"/>
    <s v="WRONG"/>
    <s v="DAP SZ"/>
    <d v="2021-01-12T00:00:00"/>
    <s v="Yes"/>
    <m/>
    <m/>
    <m/>
    <s v="C210239252"/>
  </r>
  <r>
    <n v="1108"/>
    <x v="0"/>
    <x v="0"/>
    <n v="110244"/>
    <s v="Stock order"/>
    <x v="1"/>
    <s v="R-&gt;L"/>
    <s v="MVC"/>
    <s v="Y55595"/>
    <n v="1"/>
    <s v="力合中转仓"/>
    <x v="127"/>
    <s v="NM"/>
    <s v="MAY 21"/>
    <m/>
    <s v="JPY"/>
    <s v="C49SZX20210030SX"/>
    <s v="华汛"/>
    <s v="YSM10"/>
    <s v="L-&gt;R"/>
    <s v="MVC"/>
    <s v="WRONG"/>
    <s v="DAP SZ"/>
    <d v="2021-01-26T00:00:00"/>
    <s v="Yes"/>
    <m/>
    <m/>
    <m/>
    <s v="C180933040"/>
  </r>
  <r>
    <n v="1361"/>
    <x v="0"/>
    <x v="0"/>
    <n v="110244"/>
    <s v="Stock order"/>
    <x v="1"/>
    <s v="R-&gt;L"/>
    <s v="No"/>
    <s v="Y55596"/>
    <n v="1"/>
    <s v="盐保仓库"/>
    <x v="127"/>
    <s v="NM"/>
    <s v="MAY 21"/>
    <m/>
    <s v="JPY"/>
    <s v="C49SZX20210136DZ"/>
    <s v="兆晖"/>
    <s v="YSM10"/>
    <s v="L-&gt;R"/>
    <s v="MVC"/>
    <s v="WRONG"/>
    <s v="DAP SZ"/>
    <d v="2021-04-30T00:00:00"/>
    <s v="Yes"/>
    <m/>
    <m/>
    <m/>
    <s v="C121114462"/>
  </r>
  <r>
    <n v="1362"/>
    <x v="0"/>
    <x v="0"/>
    <n v="110244"/>
    <s v="Stock order"/>
    <x v="1"/>
    <s v="R-&gt;L"/>
    <s v="No"/>
    <s v="Y55597"/>
    <n v="1"/>
    <s v="盐保仓库"/>
    <x v="127"/>
    <s v="NM"/>
    <s v="MAY 21"/>
    <m/>
    <s v="JPY"/>
    <s v="C49SZX20210136DZ"/>
    <s v="兆晖"/>
    <s v="YSM10"/>
    <s v="L-&gt;R"/>
    <s v="MVC"/>
    <s v="WRONG"/>
    <s v="DAP SZ"/>
    <d v="2021-04-30T00:00:00"/>
    <s v="Yes"/>
    <m/>
    <m/>
    <m/>
    <s v="C121114462"/>
  </r>
  <r>
    <n v="1352"/>
    <x v="0"/>
    <x v="0"/>
    <n v="110244"/>
    <s v="Stock order"/>
    <x v="1"/>
    <s v="R-&gt;L"/>
    <s v="No"/>
    <s v="Y55598"/>
    <n v="1"/>
    <s v="力合中转仓"/>
    <x v="127"/>
    <s v="NM"/>
    <s v="JUN 21"/>
    <m/>
    <s v="JPY"/>
    <s v="C49SZX20210123JY"/>
    <s v="四方信达"/>
    <s v="YSM10"/>
    <s v="L-&gt;R"/>
    <s v="MVC"/>
    <s v="WRONG"/>
    <s v="DAP SZ"/>
    <d v="2021-04-27T00:00:00"/>
    <s v="Yes"/>
    <m/>
    <m/>
    <m/>
    <s v="C150222453"/>
  </r>
  <r>
    <n v="1138"/>
    <x v="0"/>
    <x v="0"/>
    <s v="110228(拆单110338)"/>
    <s v="锘铧名义下单"/>
    <x v="12"/>
    <s v="R-&gt;L"/>
    <s v="MVC"/>
    <s v="Y54940"/>
    <n v="1"/>
    <s v="盐保仓库"/>
    <x v="127"/>
    <n v="6.2300000000000001E-2"/>
    <s v="MAY 21"/>
    <m/>
    <s v="JPY"/>
    <s v="C49SZX20210016JY"/>
    <s v="芯联鑫"/>
    <s v="YSM20R-2"/>
    <s v="R-&gt;L"/>
    <s v="MVC"/>
    <s v="OK"/>
    <s v="DAP GZ"/>
    <d v="2021-02-05T00:00:00"/>
    <s v="Yes"/>
    <m/>
    <m/>
    <m/>
    <s v="C200737845"/>
  </r>
  <r>
    <n v="1150"/>
    <x v="0"/>
    <x v="0"/>
    <s v="110228(拆单110338)"/>
    <s v="锘铧名义下单"/>
    <x v="12"/>
    <s v="R-&gt;L"/>
    <s v="MVC"/>
    <s v="Y54941"/>
    <n v="1"/>
    <s v="盐保仓库"/>
    <x v="127"/>
    <n v="6.2300000000000001E-2"/>
    <s v="MAY 21"/>
    <m/>
    <s v="RMB"/>
    <s v="C49SZX20210055SS"/>
    <s v="中润互联"/>
    <s v="YSM20R-2"/>
    <s v="R-&gt;L"/>
    <s v="No"/>
    <s v="WRONG"/>
    <s v="含税到厂"/>
    <d v="2021-02-22T00:00:00"/>
    <s v="Yes"/>
    <m/>
    <m/>
    <m/>
    <s v="C200637604"/>
  </r>
  <r>
    <n v="1068"/>
    <x v="0"/>
    <x v="0"/>
    <s v="110228(拆单110338)"/>
    <s v="锘铧名义下单"/>
    <x v="12"/>
    <s v="L-&gt;R"/>
    <s v="No"/>
    <s v="Y54942"/>
    <n v="1"/>
    <s v="盐保仓库"/>
    <x v="127"/>
    <n v="6.2300000000000001E-2"/>
    <s v="MAY 21"/>
    <m/>
    <s v="JPY"/>
    <s v="C49SZX20210013SS"/>
    <s v="泰润"/>
    <s v="YSM20R-2"/>
    <s v="L-&gt;R"/>
    <s v="MVC"/>
    <s v="WRONG"/>
    <s v="DAP SZ"/>
    <d v="2021-01-12T00:00:00"/>
    <s v="Yes"/>
    <m/>
    <m/>
    <m/>
    <s v="C210239252"/>
  </r>
  <r>
    <n v="1238"/>
    <x v="0"/>
    <x v="0"/>
    <s v="110228(拆单110338)"/>
    <s v="锘铧名义下单"/>
    <x v="12"/>
    <s v="L-&gt;R"/>
    <s v="No"/>
    <s v="Y54943"/>
    <n v="1"/>
    <s v="盐保仓库"/>
    <x v="127"/>
    <n v="6.2300000000000001E-2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9"/>
    <x v="0"/>
    <x v="0"/>
    <n v="110228"/>
    <s v="锘铧名义下单"/>
    <x v="12"/>
    <s v="L-&gt;R"/>
    <s v="No"/>
    <s v="Y54944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6"/>
    <x v="0"/>
    <x v="0"/>
    <n v="110228"/>
    <s v="锘铧名义下单"/>
    <x v="12"/>
    <s v="L-&gt;R"/>
    <s v="No"/>
    <s v="Y54945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4"/>
    <x v="0"/>
    <x v="0"/>
    <n v="110228"/>
    <s v="锘铧名义下单"/>
    <x v="12"/>
    <s v="L-&gt;R"/>
    <s v="No"/>
    <s v="Y54946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27"/>
    <x v="0"/>
    <x v="0"/>
    <s v="110228(拆单110338)"/>
    <s v="锘铧名义下单"/>
    <x v="12"/>
    <s v="L-&gt;R"/>
    <s v="No"/>
    <s v="Y54947"/>
    <n v="1"/>
    <s v="盐保仓库"/>
    <x v="127"/>
    <n v="6.2300000000000001E-2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29"/>
    <x v="0"/>
    <x v="0"/>
    <n v="110228"/>
    <s v="锘铧名义下单"/>
    <x v="12"/>
    <s v="L-&gt;R"/>
    <s v="No"/>
    <s v="Y54948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40"/>
    <x v="0"/>
    <x v="0"/>
    <n v="110228"/>
    <s v="锘铧名义下单"/>
    <x v="12"/>
    <s v="L-&gt;R"/>
    <s v="No"/>
    <s v="Y54949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41"/>
    <x v="0"/>
    <x v="0"/>
    <n v="110228"/>
    <s v="锘铧名义下单"/>
    <x v="12"/>
    <s v="L-&gt;R"/>
    <s v="No"/>
    <s v="Y54950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42"/>
    <x v="0"/>
    <x v="0"/>
    <n v="110228"/>
    <s v="锘铧名义下单"/>
    <x v="12"/>
    <s v="L-&gt;R"/>
    <s v="No"/>
    <s v="Y54951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30"/>
    <x v="0"/>
    <x v="0"/>
    <n v="110228"/>
    <s v="锘铧名义下单"/>
    <x v="12"/>
    <s v="L-&gt;R"/>
    <s v="No"/>
    <s v="Y54952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31"/>
    <x v="0"/>
    <x v="0"/>
    <n v="110228"/>
    <s v="锘铧名义下单"/>
    <x v="12"/>
    <s v="L-&gt;R"/>
    <s v="No"/>
    <s v="Y54953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2"/>
    <x v="0"/>
    <x v="0"/>
    <n v="110228"/>
    <s v="锘铧名义下单"/>
    <x v="12"/>
    <s v="L-&gt;R"/>
    <s v="No"/>
    <s v="Y54954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185"/>
    <x v="0"/>
    <x v="0"/>
    <n v="110416"/>
    <s v="Stock order"/>
    <x v="12"/>
    <s v="R-&gt;L"/>
    <s v="No"/>
    <s v="Y56411"/>
    <n v="1"/>
    <s v="盐保仓库"/>
    <x v="127"/>
    <s v="NM"/>
    <s v="MAY 21"/>
    <m/>
    <s v="JPY"/>
    <s v="C49SZX20210063LC"/>
    <s v="星辰宇"/>
    <s v="YSM20R-2"/>
    <s v="R-&gt;L"/>
    <s v="No"/>
    <s v="OK"/>
    <s v="DAP SZ"/>
    <d v="2021-03-04T00:00:00"/>
    <s v="Yes"/>
    <m/>
    <m/>
    <m/>
    <s v="C200537332"/>
  </r>
  <r>
    <n v="1100"/>
    <x v="0"/>
    <x v="0"/>
    <n v="110416"/>
    <s v="Stock order"/>
    <x v="12"/>
    <s v="R-&gt;L"/>
    <s v="No"/>
    <s v="Y56412"/>
    <n v="1"/>
    <s v="盐保仓库"/>
    <x v="127"/>
    <s v="NM"/>
    <s v="MAY 21"/>
    <m/>
    <s v="JPY"/>
    <s v="C49SZX20210019JY"/>
    <s v="晟锦威"/>
    <s v="YSM20R-2"/>
    <s v="R-&gt;L"/>
    <s v="No"/>
    <s v="OK"/>
    <s v="DAP SZ"/>
    <d v="2021-01-27T00:00:00"/>
    <s v="Yes"/>
    <m/>
    <m/>
    <m/>
    <s v="C210440026"/>
  </r>
  <r>
    <n v="1101"/>
    <x v="0"/>
    <x v="0"/>
    <n v="110416"/>
    <s v="Stock order"/>
    <x v="12"/>
    <s v="R-&gt;L"/>
    <s v="No"/>
    <s v="Y56413"/>
    <n v="1"/>
    <s v="盐保仓库"/>
    <x v="127"/>
    <s v="NM"/>
    <s v="MAY 21"/>
    <m/>
    <s v="JPY"/>
    <s v="C49SZX20210019JY"/>
    <s v="晟锦威"/>
    <s v="YSM20R-2"/>
    <s v="R-&gt;L"/>
    <s v="No"/>
    <s v="OK"/>
    <s v="DAP SZ"/>
    <d v="2021-01-27T00:00:00"/>
    <s v="Yes"/>
    <m/>
    <m/>
    <m/>
    <s v="C210440026"/>
  </r>
  <r>
    <n v="1071"/>
    <x v="0"/>
    <x v="0"/>
    <n v="110416"/>
    <s v="Stock order"/>
    <x v="12"/>
    <s v="L-&gt;R"/>
    <s v="No"/>
    <s v="Y56414"/>
    <n v="1"/>
    <s v="盐保仓库"/>
    <x v="127"/>
    <s v="NM"/>
    <s v="MAY 21"/>
    <m/>
    <s v="JPY"/>
    <s v="C49SZX20210009MZ"/>
    <s v="奥视通"/>
    <s v="YSM20R-2"/>
    <s v="L-&gt;R"/>
    <s v="No"/>
    <s v="OK"/>
    <s v="DAP HZ"/>
    <d v="2021-01-19T00:00:00"/>
    <s v="Yes"/>
    <m/>
    <m/>
    <m/>
    <s v="C170429029"/>
  </r>
  <r>
    <n v="1072"/>
    <x v="0"/>
    <x v="0"/>
    <n v="110416"/>
    <s v="Stock order"/>
    <x v="12"/>
    <s v="L-&gt;R"/>
    <s v="No"/>
    <s v="Y56415"/>
    <n v="1"/>
    <s v="盐保仓库"/>
    <x v="127"/>
    <s v="NM"/>
    <s v="MAY 21"/>
    <m/>
    <s v="JPY"/>
    <s v="C49SZX20210009MZ"/>
    <s v="奥视通"/>
    <s v="YSM20R-2"/>
    <s v="L-&gt;R"/>
    <s v="No"/>
    <s v="OK"/>
    <s v="DAP HZ"/>
    <d v="2021-01-19T00:00:00"/>
    <s v="Yes"/>
    <m/>
    <m/>
    <m/>
    <s v="C170429029"/>
  </r>
  <r>
    <n v="1073"/>
    <x v="0"/>
    <x v="0"/>
    <n v="110416"/>
    <s v="Stock order"/>
    <x v="12"/>
    <s v="L-&gt;R"/>
    <s v="No"/>
    <s v="Y56416"/>
    <n v="1"/>
    <s v="盐保仓库"/>
    <x v="127"/>
    <s v="NM"/>
    <s v="MAY 21"/>
    <m/>
    <s v="JPY"/>
    <s v="C49SZX20210009MZ"/>
    <s v="奥视通"/>
    <s v="YSM20R-2"/>
    <s v="L-&gt;R"/>
    <s v="No"/>
    <s v="OK"/>
    <s v="DAP HZ"/>
    <d v="2021-01-19T00:00:00"/>
    <s v="Yes"/>
    <m/>
    <m/>
    <m/>
    <s v="C170429029"/>
  </r>
  <r>
    <n v="1235"/>
    <x v="0"/>
    <x v="0"/>
    <n v="110416"/>
    <s v="Stock order"/>
    <x v="12"/>
    <s v="L-&gt;R"/>
    <s v="No"/>
    <s v="Y56417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33"/>
    <x v="0"/>
    <x v="0"/>
    <n v="110416"/>
    <s v="Stock order"/>
    <x v="12"/>
    <s v="L-&gt;R"/>
    <s v="No"/>
    <s v="Y56261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7"/>
    <x v="0"/>
    <x v="0"/>
    <n v="110416"/>
    <s v="Stock order"/>
    <x v="12"/>
    <s v="L-&gt;R"/>
    <s v="No"/>
    <s v="Y56418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143"/>
    <x v="0"/>
    <x v="0"/>
    <s v="110248(拆单110408)"/>
    <s v="Stock order"/>
    <x v="1"/>
    <s v="R-&gt;L"/>
    <s v="MVC+ATS15"/>
    <s v="Y55552"/>
    <n v="1"/>
    <s v="力合仓库(已经清关)"/>
    <x v="128"/>
    <s v="0.0605 PO用110362"/>
    <s v="JUN 21"/>
    <m/>
    <s v="RMB"/>
    <s v="C49SZX20210048SS"/>
    <s v="美田"/>
    <s v="YSM10"/>
    <s v="L-&gt;R"/>
    <s v="MVC F&amp;R+ATS15"/>
    <s v="WRONG"/>
    <s v="含税到厂"/>
    <d v="2021-02-09T00:00:00"/>
    <s v="Yes"/>
    <m/>
    <m/>
    <m/>
    <s v="C210640498"/>
  </r>
  <r>
    <n v="1144"/>
    <x v="0"/>
    <x v="0"/>
    <s v="110248(拆单110408)"/>
    <s v="Stock order"/>
    <x v="1"/>
    <s v="R-&gt;L"/>
    <s v="MVC+ATS15"/>
    <s v="Y55553"/>
    <n v="1"/>
    <s v="力合仓库(已经清关)"/>
    <x v="128"/>
    <s v="0.0605 PO用110362"/>
    <s v="JUN 21"/>
    <m/>
    <s v="RMB"/>
    <s v="C49SZX20210048SS"/>
    <s v="美田"/>
    <s v="YSM10"/>
    <s v="L-&gt;R"/>
    <s v="MVC F&amp;R+ATS15"/>
    <s v="WRONG"/>
    <s v="含税到厂"/>
    <d v="2021-02-09T00:00:00"/>
    <s v="Yes"/>
    <m/>
    <m/>
    <m/>
    <s v="C210640498"/>
  </r>
  <r>
    <n v="1335"/>
    <x v="0"/>
    <x v="0"/>
    <n v="110248"/>
    <s v="Stock order"/>
    <x v="1"/>
    <s v="R-&gt;L"/>
    <s v="MVC+ATS15"/>
    <s v="Y55554"/>
    <n v="1"/>
    <s v="力合中转仓"/>
    <x v="128"/>
    <s v="NM"/>
    <s v="JUN 21"/>
    <m/>
    <s v="JPY"/>
    <s v="C49SZX20210112JD"/>
    <s v="贝爱婴童"/>
    <s v="YSM10"/>
    <s v="L-&gt;R"/>
    <s v="MVC+ATS15"/>
    <s v="WRONG"/>
    <s v="DAP ZS"/>
    <d v="2021-04-14T00:00:00"/>
    <s v="Yes"/>
    <m/>
    <m/>
    <m/>
    <s v="C210440019"/>
  </r>
  <r>
    <n v="1278"/>
    <x v="0"/>
    <x v="0"/>
    <n v="110248"/>
    <s v="Stock order"/>
    <x v="1"/>
    <s v="R-&gt;L"/>
    <s v="MVC"/>
    <s v="Y55543"/>
    <n v="1"/>
    <s v="力合中转仓"/>
    <x v="128"/>
    <s v="NM"/>
    <s v="JUN 21"/>
    <m/>
    <s v="RMB"/>
    <s v="C49SZX20210085JL"/>
    <s v="欧科讯"/>
    <s v="YSM10"/>
    <s v="R-&gt;L"/>
    <s v="MVC"/>
    <s v="OK"/>
    <s v="DDP SZ"/>
    <d v="2021-03-16T00:00:00"/>
    <s v="Yes"/>
    <m/>
    <m/>
    <m/>
    <s v="C200336922"/>
  </r>
  <r>
    <n v="1336"/>
    <x v="0"/>
    <x v="0"/>
    <s v="110248(拆单110465)"/>
    <s v="Stock order"/>
    <x v="1"/>
    <s v="R-&gt;L"/>
    <s v="MVC"/>
    <s v="Y55544"/>
    <n v="1"/>
    <s v="力合仓库(已经清关)"/>
    <x v="128"/>
    <n v="5.9499999999999997E-2"/>
    <s v="JUN 21"/>
    <m/>
    <s v="RMB"/>
    <s v="C49SZX20210115DY"/>
    <s v="亮瑞"/>
    <s v="YSM10"/>
    <s v="L-&gt;R"/>
    <s v="MVC"/>
    <s v="WRONG"/>
    <s v="DDP SZ"/>
    <d v="2021-04-14T00:00:00"/>
    <s v="Yes"/>
    <m/>
    <m/>
    <m/>
    <s v="C210640328"/>
  </r>
  <r>
    <n v="1370"/>
    <x v="0"/>
    <x v="0"/>
    <n v="110248"/>
    <s v="Stock order"/>
    <x v="1"/>
    <s v="R-&gt;L"/>
    <s v="No"/>
    <s v="Y55545"/>
    <n v="1"/>
    <s v="盐保仓库"/>
    <x v="128"/>
    <s v="TBA"/>
    <s v="JUN 21"/>
    <m/>
    <s v="JPY"/>
    <s v="C49SZX20210149DY"/>
    <s v="格隆"/>
    <s v="YSM10"/>
    <s v="L-&gt;R"/>
    <s v="MVC"/>
    <s v="WRONG"/>
    <s v="CIF HK"/>
    <d v="2021-05-14T00:00:00"/>
    <s v="Yes"/>
    <m/>
    <m/>
    <m/>
    <s v="C210640305"/>
  </r>
  <r>
    <n v="1243"/>
    <x v="0"/>
    <x v="0"/>
    <n v="110248"/>
    <s v="Stock order"/>
    <x v="1"/>
    <s v="R-&gt;L"/>
    <s v="No"/>
    <s v="Y55556"/>
    <n v="1"/>
    <s v="盐保仓库"/>
    <x v="128"/>
    <s v="NM"/>
    <s v="JUN 21"/>
    <m/>
    <s v="JPY"/>
    <s v="C49SZX20210035SX"/>
    <s v="巴科"/>
    <s v="YSM10"/>
    <s v="L-&gt;R"/>
    <s v="No"/>
    <s v="WRONG"/>
    <s v="CIF HK"/>
    <d v="2021-03-09T00:00:00"/>
    <s v="Yes"/>
    <m/>
    <m/>
    <m/>
    <s v="C210440018"/>
  </r>
  <r>
    <n v="1378"/>
    <x v="0"/>
    <x v="0"/>
    <n v="110248"/>
    <s v="Stock order"/>
    <x v="1"/>
    <s v="R-&gt;L"/>
    <s v="MVC"/>
    <s v="Y55547"/>
    <n v="1"/>
    <s v="盐保仓库"/>
    <x v="128"/>
    <s v="NM"/>
    <s v="JUN 21"/>
    <m/>
    <s v="JPY"/>
    <s v="C49SZX20210153MZ"/>
    <s v="巨能"/>
    <s v="YSM10"/>
    <s v="L-&gt;R"/>
    <s v="MVC"/>
    <s v="WRONG"/>
    <s v="DAP SZ"/>
    <d v="2021-05-21T00:00:00"/>
    <s v="Yes"/>
    <m/>
    <m/>
    <m/>
    <s v="C210640437"/>
  </r>
  <r>
    <n v="1298"/>
    <x v="0"/>
    <x v="0"/>
    <n v="110248"/>
    <s v="Stock order"/>
    <x v="1"/>
    <s v="R-&gt;L"/>
    <s v="MVC"/>
    <s v="Y55548"/>
    <n v="1"/>
    <s v="盐保仓库"/>
    <x v="128"/>
    <s v="NM"/>
    <s v="MAY 21"/>
    <m/>
    <s v="JPY"/>
    <s v="C49SZX20210107SX"/>
    <s v="君泽"/>
    <s v="YSM10"/>
    <s v="R-&gt;L"/>
    <s v="MVC"/>
    <s v="OK"/>
    <s v="DAP DG"/>
    <d v="2021-04-07T00:00:00"/>
    <s v="Yes"/>
    <m/>
    <m/>
    <m/>
    <s v="C190735079"/>
  </r>
  <r>
    <n v="1297"/>
    <x v="0"/>
    <x v="0"/>
    <n v="110248"/>
    <s v="Stock order"/>
    <x v="1"/>
    <s v="R-&gt;L"/>
    <s v="MVC"/>
    <s v="Y55549"/>
    <n v="1"/>
    <s v="盐保仓库"/>
    <x v="128"/>
    <s v="Nm"/>
    <s v="MAY 21"/>
    <m/>
    <s v="JPY"/>
    <s v="C49SZX20210107SX"/>
    <s v="君泽"/>
    <s v="YSM10"/>
    <s v="L-&gt;R"/>
    <s v="MVC"/>
    <s v="WRONG"/>
    <s v="DAP DG"/>
    <d v="2021-04-07T00:00:00"/>
    <s v="Yes"/>
    <m/>
    <m/>
    <m/>
    <s v="C190735079"/>
  </r>
  <r>
    <n v="1244"/>
    <x v="0"/>
    <x v="0"/>
    <n v="110248"/>
    <s v="Stock order"/>
    <x v="1"/>
    <s v="R-&gt;L"/>
    <s v="No"/>
    <s v="Y55546"/>
    <n v="1"/>
    <s v="盐保仓库"/>
    <x v="128"/>
    <s v="NM"/>
    <s v="JUN 21"/>
    <m/>
    <s v="JPY"/>
    <s v="C49SZX20210035SX"/>
    <s v="巴科"/>
    <s v="YSM10"/>
    <s v="L-&gt;R"/>
    <s v="No"/>
    <s v="WRONG"/>
    <s v="CIF HK"/>
    <d v="2021-03-09T00:00:00"/>
    <s v="Yes"/>
    <m/>
    <m/>
    <m/>
    <s v="C210439741"/>
  </r>
  <r>
    <n v="1245"/>
    <x v="0"/>
    <x v="0"/>
    <n v="110248"/>
    <s v="Stock order"/>
    <x v="1"/>
    <s v="R-&gt;L"/>
    <s v="No"/>
    <s v="Y55557"/>
    <n v="1"/>
    <s v="盐保仓库"/>
    <x v="128"/>
    <s v="NM"/>
    <s v="JUN 21"/>
    <m/>
    <s v="JPY"/>
    <s v="C49SZX20210035SX"/>
    <s v="巴科"/>
    <s v="YSM10"/>
    <s v="L-&gt;R"/>
    <s v="No"/>
    <s v="WRONG"/>
    <s v="CIF HK"/>
    <d v="2021-03-09T00:00:00"/>
    <s v="Yes"/>
    <m/>
    <m/>
    <m/>
    <s v="C210440018"/>
  </r>
  <r>
    <n v="924"/>
    <x v="0"/>
    <x v="1"/>
    <n v="110331"/>
    <s v="鸿通宇名义"/>
    <x v="13"/>
    <s v="L-&gt;R"/>
    <s v="No"/>
    <s v="Y55797"/>
    <n v="1"/>
    <s v="码头-&gt;准备清关"/>
    <x v="129"/>
    <s v="TBA"/>
    <s v="MAY 21"/>
    <m/>
    <s v="RMB"/>
    <s v="C28SZX20200081KC"/>
    <s v="鸿通宇"/>
    <s v="YSi-V"/>
    <s v="L-&gt;R"/>
    <s v="No"/>
    <s v="OK"/>
    <s v="含税到厂"/>
    <d v="2020-11-05T00:00:00"/>
    <s v="Yes"/>
    <m/>
    <m/>
    <m/>
    <s v="YES"/>
  </r>
  <r>
    <n v="925"/>
    <x v="0"/>
    <x v="1"/>
    <n v="110331"/>
    <s v="鸿通宇名义"/>
    <x v="13"/>
    <s v="L-&gt;R"/>
    <s v="No"/>
    <s v="Y55798"/>
    <n v="1"/>
    <s v="码头-&gt;准备清关"/>
    <x v="129"/>
    <s v="TBA"/>
    <s v="MAY 21"/>
    <m/>
    <s v="RMB"/>
    <s v="C28SZX20200081KC"/>
    <s v="鸿通宇"/>
    <s v="YSi-V"/>
    <s v="L-&gt;R"/>
    <s v="No"/>
    <s v="OK"/>
    <s v="含税到厂"/>
    <d v="2020-11-05T00:00:00"/>
    <s v="Yes"/>
    <m/>
    <m/>
    <m/>
    <s v="YES"/>
  </r>
  <r>
    <n v="1418"/>
    <x v="0"/>
    <x v="0"/>
    <n v="110246"/>
    <s v="Stock order"/>
    <x v="1"/>
    <s v="R-&gt;L"/>
    <s v="MVC+ATS15"/>
    <s v="Y56505"/>
    <n v="1"/>
    <s v="CY仓库"/>
    <x v="129"/>
    <s v="NM"/>
    <s v="JUN 21"/>
    <m/>
    <s v="JPY"/>
    <s v="C49SZX20210141VG"/>
    <s v="狂热者"/>
    <s v="YSM10"/>
    <s v="L-&gt;R"/>
    <s v="MVC+ATS15"/>
    <s v="WRONG"/>
    <s v="DAP SZ"/>
    <d v="2021-06-11T00:00:00"/>
    <s v="Yes"/>
    <m/>
    <m/>
    <m/>
    <s v="C210439928"/>
  </r>
  <r>
    <n v="1165"/>
    <x v="0"/>
    <x v="0"/>
    <n v="110246"/>
    <s v="Stock order"/>
    <x v="1"/>
    <s v="R-&gt;L"/>
    <s v="MVC"/>
    <s v="Y56507"/>
    <n v="1"/>
    <s v="CY仓库"/>
    <x v="129"/>
    <s v="NM"/>
    <s v="MAY 21"/>
    <m/>
    <s v="JPY"/>
    <s v="C49SZX20210056JL"/>
    <s v="瑞福联"/>
    <s v="YSM10"/>
    <s v="L-&gt;R"/>
    <s v="MVC"/>
    <s v="WRONG"/>
    <s v="CIF HK"/>
    <d v="2021-02-24T00:00:00"/>
    <s v="Yes"/>
    <m/>
    <m/>
    <m/>
    <s v="C170930271"/>
  </r>
  <r>
    <n v="1384"/>
    <x v="0"/>
    <x v="0"/>
    <n v="110246"/>
    <s v="Stock order"/>
    <x v="1"/>
    <s v="R-&gt;L"/>
    <s v="MVC"/>
    <s v="Y56508"/>
    <n v="1"/>
    <s v="CY仓库"/>
    <x v="129"/>
    <s v="NM"/>
    <s v="JUL 21"/>
    <m/>
    <s v="JPY"/>
    <s v="C49SZX20220057DZ"/>
    <s v="广恒创新（enduser:深圳比尔乔）"/>
    <s v="YSM10"/>
    <s v="R-&gt;L"/>
    <s v="MVC"/>
    <s v="OK"/>
    <s v="CIF HK"/>
    <d v="2021-05-24T00:00:00"/>
    <s v="Yes"/>
    <m/>
    <m/>
    <m/>
    <s v="C210640373"/>
  </r>
  <r>
    <n v="1365"/>
    <x v="0"/>
    <x v="0"/>
    <n v="110246"/>
    <s v="Stock order"/>
    <x v="1"/>
    <s v="R-&gt;L"/>
    <s v="MVC"/>
    <s v="Y56509"/>
    <n v="1"/>
    <s v="力合仓库(已经清关)"/>
    <x v="129"/>
    <s v="NM"/>
    <s v="MAY 21"/>
    <m/>
    <s v="RMB"/>
    <s v="C49SZX20210145SX"/>
    <s v="东陆"/>
    <s v="YSM10"/>
    <s v="L-&gt;R"/>
    <s v="MVC"/>
    <s v="WRONG"/>
    <s v="DDP SZ"/>
    <d v="2021-05-11T00:00:00"/>
    <s v="Yes"/>
    <m/>
    <m/>
    <m/>
    <s v="C171030541"/>
  </r>
  <r>
    <n v="1177"/>
    <x v="0"/>
    <x v="0"/>
    <n v="110236"/>
    <s v="音品名义下单"/>
    <x v="12"/>
    <s v="R-&gt;L"/>
    <s v="No"/>
    <s v="Y55077"/>
    <n v="1"/>
    <s v="CY仓库"/>
    <x v="129"/>
    <s v="NM"/>
    <s v="JUL 21"/>
    <m/>
    <s v="JPY"/>
    <s v="C49SZX20210057DZ"/>
    <s v="优品"/>
    <s v="YSM20R-2"/>
    <s v="R-&gt;L"/>
    <s v="MVC"/>
    <s v="WRONG"/>
    <s v="CIF HK"/>
    <d v="2021-03-02T00:00:00"/>
    <s v="Yes"/>
    <m/>
    <m/>
    <m/>
    <s v="C120712916"/>
  </r>
  <r>
    <n v="1296"/>
    <x v="0"/>
    <x v="0"/>
    <n v="110236"/>
    <s v="音品名义下单"/>
    <x v="12"/>
    <s v="R-&gt;L"/>
    <s v="No"/>
    <s v="Y55078"/>
    <n v="1"/>
    <s v="CY仓库"/>
    <x v="129"/>
    <s v="TBA"/>
    <s v="MAY 21"/>
    <m/>
    <s v="JPY"/>
    <s v="C49SZX20210107SX"/>
    <s v="君泽"/>
    <s v="YSM20R-2"/>
    <s v="R-&gt;L"/>
    <s v="No"/>
    <s v="OK"/>
    <s v="DAP DG"/>
    <d v="2021-04-07T00:00:00"/>
    <s v="Yes"/>
    <m/>
    <m/>
    <m/>
    <s v="C190735079"/>
  </r>
  <r>
    <n v="1175"/>
    <x v="0"/>
    <x v="0"/>
    <n v="110236"/>
    <s v="音品名义下单"/>
    <x v="12"/>
    <s v="L-&gt;R"/>
    <s v="No"/>
    <s v="Y55079"/>
    <n v="1"/>
    <s v="CY仓库"/>
    <x v="129"/>
    <s v="NM"/>
    <s v="MAY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176"/>
    <x v="0"/>
    <x v="0"/>
    <n v="110236"/>
    <s v="音品名义下单"/>
    <x v="12"/>
    <s v="L-&gt;R"/>
    <s v="No"/>
    <s v="Y55080"/>
    <n v="1"/>
    <s v="CY仓库"/>
    <x v="129"/>
    <s v="NM"/>
    <s v="MAY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306"/>
    <x v="0"/>
    <x v="0"/>
    <n v="110236"/>
    <s v="音品名义下单"/>
    <x v="12"/>
    <s v="L-&gt;R"/>
    <s v="No"/>
    <s v="Y55081,机器不能调动"/>
    <n v="1"/>
    <s v="CY仓库"/>
    <x v="129"/>
    <s v="TBA"/>
    <s v="JUN 21"/>
    <m/>
    <s v="JPY"/>
    <s v="C49SZX20210096JL"/>
    <s v="杉川"/>
    <s v="YSM20R-2"/>
    <s v="L-&gt;R"/>
    <s v="No"/>
    <s v="OK"/>
    <s v="DAP SZ"/>
    <d v="2021-04-02T00:00:00"/>
    <s v="Yes"/>
    <m/>
    <m/>
    <m/>
    <s v="C210540119"/>
  </r>
  <r>
    <n v="1452"/>
    <x v="0"/>
    <x v="0"/>
    <s v="110236（拆单110363）"/>
    <s v="音品名义下单"/>
    <x v="12"/>
    <s v="L-&gt;R"/>
    <s v="MVC"/>
    <s v="Y55082"/>
    <n v="1"/>
    <s v="CY仓库"/>
    <x v="129"/>
    <n v="6.0499999999999998E-2"/>
    <s v="JUL 21"/>
    <m/>
    <s v="JPY"/>
    <s v="HKFR-ESE-2021071301"/>
    <s v="富洛"/>
    <s v="YSM20R-2"/>
    <s v="L-&gt;R"/>
    <s v="MVC"/>
    <s v="OK"/>
    <s v="CIF HK"/>
    <d v="2021-07-14T00:00:00"/>
    <s v="Yes"/>
    <m/>
    <m/>
    <m/>
    <s v="C200437262"/>
  </r>
  <r>
    <n v="1146"/>
    <x v="0"/>
    <x v="0"/>
    <s v="110236（拆单110363）"/>
    <s v="音品名义下单"/>
    <x v="12"/>
    <s v="L-&gt;R"/>
    <s v="MVC"/>
    <s v="Y55083"/>
    <n v="1"/>
    <s v="力合中转仓"/>
    <x v="129"/>
    <n v="6.0499999999999998E-2"/>
    <s v="JUN 21"/>
    <m/>
    <s v="RMB"/>
    <s v="C49SZX20210048SS"/>
    <s v="美田"/>
    <s v="YSM20R-2"/>
    <s v="L-&gt;R"/>
    <s v="MVC"/>
    <s v="OK"/>
    <s v="含税到厂"/>
    <d v="2021-02-09T00:00:00"/>
    <s v="Yes"/>
    <m/>
    <m/>
    <m/>
    <s v="C210640498"/>
  </r>
  <r>
    <n v="1256"/>
    <x v="0"/>
    <x v="0"/>
    <n v="110236"/>
    <s v="音品名义下单"/>
    <x v="12"/>
    <s v="L-&gt;R"/>
    <s v="MVC"/>
    <s v="Y55084"/>
    <n v="1"/>
    <s v="盐保仓库"/>
    <x v="129"/>
    <s v="NM"/>
    <s v="JUN 21"/>
    <m/>
    <s v="JPY"/>
    <s v="C49SZX20210081MZ"/>
    <s v="崧盛"/>
    <s v="YSM20R-2"/>
    <s v="L-&gt;R"/>
    <s v="No"/>
    <s v="WRONG"/>
    <s v="CIF HK"/>
    <d v="2021-03-13T00:00:00"/>
    <s v="Yes"/>
    <m/>
    <m/>
    <m/>
    <s v="C210439739"/>
  </r>
  <r>
    <n v="1257"/>
    <x v="0"/>
    <x v="0"/>
    <n v="110236"/>
    <s v="音品名义下单"/>
    <x v="12"/>
    <s v="L-&gt;R"/>
    <s v="MVC"/>
    <s v="Y55085"/>
    <n v="1"/>
    <s v="盐保仓库"/>
    <x v="129"/>
    <s v="NM"/>
    <s v="JUN 21"/>
    <m/>
    <s v="JPY"/>
    <s v="C49SZX20210081MZ"/>
    <s v="崧盛"/>
    <s v="YSM20R-2"/>
    <s v="L-&gt;R"/>
    <s v="No"/>
    <s v="WRONG"/>
    <s v="CIF HK"/>
    <d v="2021-03-13T00:00:00"/>
    <s v="Yes"/>
    <m/>
    <m/>
    <m/>
    <s v="C210439739"/>
  </r>
  <r>
    <n v="1145"/>
    <x v="0"/>
    <x v="0"/>
    <s v="110236(拆单110475)"/>
    <s v="音品名义下单"/>
    <x v="12"/>
    <s v="L-&gt;R"/>
    <s v="MVC"/>
    <s v="Y55086"/>
    <n v="1"/>
    <s v="盐保仓库"/>
    <x v="129"/>
    <n v="5.9299999999999999E-2"/>
    <s v="JUN 21"/>
    <m/>
    <s v="RMB"/>
    <s v="C49SZX20210048SS"/>
    <s v="美田"/>
    <s v="YSM20R-2"/>
    <s v="L-&gt;R"/>
    <s v="MVC"/>
    <s v="OK"/>
    <s v="含税到厂"/>
    <d v="2021-02-09T00:00:00"/>
    <s v="Yes"/>
    <m/>
    <m/>
    <m/>
    <s v="C210640498"/>
  </r>
  <r>
    <n v="1189"/>
    <x v="0"/>
    <x v="0"/>
    <n v="110437"/>
    <s v="Stock order"/>
    <x v="12"/>
    <s v="L-&gt;R"/>
    <s v="No"/>
    <s v="Y56419"/>
    <n v="1"/>
    <s v="力合仓库(已经清关)"/>
    <x v="129"/>
    <n v="5.9299999999999999E-2"/>
    <s v="JUN 21"/>
    <m/>
    <s v="RMB"/>
    <s v="C49SZX20210156DZ"/>
    <s v="海星"/>
    <s v="YSM20R-2"/>
    <s v="L-&gt;R"/>
    <s v="No"/>
    <s v="OK"/>
    <s v="DDP SZ"/>
    <d v="2021-03-05T00:00:00"/>
    <s v="Yes"/>
    <m/>
    <m/>
    <m/>
    <s v="C210640335"/>
  </r>
  <r>
    <n v="1131"/>
    <x v="0"/>
    <x v="0"/>
    <s v="110437(拆单110410)"/>
    <s v="Stock order"/>
    <x v="12"/>
    <s v="L-&gt;R"/>
    <s v="No"/>
    <s v="Y56420"/>
    <n v="1"/>
    <s v="力合仓库(已经清关)"/>
    <x v="129"/>
    <n v="5.9900000000000002E-2"/>
    <s v="JUN 21"/>
    <m/>
    <s v="RMB"/>
    <s v="C49SZX20210040DY"/>
    <s v="惠宇"/>
    <s v="YSM20R-2"/>
    <s v="L-&gt;R"/>
    <s v="No"/>
    <s v="OK"/>
    <s v="含税到厂"/>
    <d v="2021-02-03T00:00:00"/>
    <s v="Yes"/>
    <m/>
    <m/>
    <m/>
    <s v="C210339473"/>
  </r>
  <r>
    <n v="1169"/>
    <x v="0"/>
    <x v="0"/>
    <s v="110437(拆单110365）"/>
    <s v="Stock order"/>
    <x v="12"/>
    <s v="L-&gt;R"/>
    <s v="No"/>
    <s v="Y56421"/>
    <n v="1"/>
    <s v="力合仓库(已经清关)"/>
    <x v="129"/>
    <s v="NM，PO用110272"/>
    <s v="MAY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180"/>
    <x v="0"/>
    <x v="0"/>
    <s v="110437(拆单110365）"/>
    <s v="Stock order"/>
    <x v="12"/>
    <s v="L-&gt;R"/>
    <s v="No"/>
    <s v="Y56422"/>
    <n v="1"/>
    <s v="力合仓库(已经清关)"/>
    <x v="129"/>
    <n v="6.0499999999999998E-2"/>
    <s v="JUN 21"/>
    <m/>
    <s v="JPY"/>
    <s v="C49SZX20210065JD"/>
    <s v="贝爱婴童"/>
    <s v="YSM20R-2"/>
    <s v="L-&gt;R"/>
    <s v="No"/>
    <s v="OK"/>
    <s v="DAP ZS"/>
    <d v="2021-03-03T00:00:00"/>
    <s v="Yes"/>
    <m/>
    <m/>
    <m/>
    <s v="C210440019"/>
  </r>
  <r>
    <n v="1307"/>
    <x v="0"/>
    <x v="0"/>
    <n v="110397"/>
    <s v="杉川名义"/>
    <x v="11"/>
    <s v="L-&gt;R"/>
    <s v="cATS10+MVC(F&amp;R)+Feeder Carriage"/>
    <s v="Y57133"/>
    <n v="1"/>
    <s v="CY仓库"/>
    <x v="130"/>
    <m/>
    <s v="JUN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YES"/>
  </r>
  <r>
    <n v="1318"/>
    <x v="0"/>
    <x v="0"/>
    <n v="110397"/>
    <s v="杉川名义"/>
    <x v="11"/>
    <s v="L-&gt;R"/>
    <s v="No"/>
    <s v="Y57131"/>
    <n v="1"/>
    <s v="CY仓库"/>
    <x v="130"/>
    <m/>
    <s v="JUN 21"/>
    <m/>
    <s v="JPY"/>
    <s v="C49SZX20210096JL"/>
    <s v="杉川"/>
    <s v="YSM20WR-2"/>
    <s v="L-&gt;R"/>
    <s v="No"/>
    <s v="OK"/>
    <s v="DAP SZ"/>
    <d v="2021-04-02T00:00:00"/>
    <s v="Yes"/>
    <m/>
    <m/>
    <m/>
    <s v="YES"/>
  </r>
  <r>
    <n v="1311"/>
    <x v="0"/>
    <x v="0"/>
    <n v="110397"/>
    <s v="杉川名义"/>
    <x v="11"/>
    <s v="L-&gt;R"/>
    <s v="No"/>
    <s v="Y57132"/>
    <n v="1"/>
    <s v="CY仓库"/>
    <x v="130"/>
    <m/>
    <s v="JUN 21"/>
    <m/>
    <s v="JPY"/>
    <s v="C49SZX20210096JL"/>
    <s v="杉川"/>
    <s v="YSM20WR-2"/>
    <s v="L-&gt;R"/>
    <s v="MVC"/>
    <s v="WRONG"/>
    <s v="DAP SZ"/>
    <d v="2021-04-02T00:00:00"/>
    <s v="Yes"/>
    <m/>
    <m/>
    <m/>
    <s v="YES"/>
  </r>
  <r>
    <n v="945"/>
    <x v="0"/>
    <x v="0"/>
    <n v="110384"/>
    <s v="正创名义下单"/>
    <x v="12"/>
    <s v="L-&gt;R"/>
    <s v="No"/>
    <s v="Y56656"/>
    <n v="1"/>
    <s v="CY仓库"/>
    <x v="131"/>
    <s v="NM"/>
    <s v="JUN 21"/>
    <m/>
    <s v="JPY"/>
    <s v="C49SZX20200213MX"/>
    <s v="音品（End user:鸿翔）"/>
    <s v="YSM20R-2"/>
    <s v="L-&gt;R"/>
    <s v="No"/>
    <s v="OK"/>
    <s v="DAP SZ"/>
    <d v="2020-11-18T00:00:00"/>
    <s v="Yes"/>
    <m/>
    <m/>
    <m/>
    <s v="C210540191"/>
  </r>
  <r>
    <n v="853"/>
    <x v="0"/>
    <x v="0"/>
    <n v="110384"/>
    <s v="正创名义下单"/>
    <x v="12"/>
    <s v="L-&gt;R"/>
    <s v="No"/>
    <s v="Y56657"/>
    <n v="1"/>
    <s v="CY仓库"/>
    <x v="131"/>
    <s v="NM"/>
    <s v="JUL 21"/>
    <m/>
    <s v="JPY"/>
    <s v="C49SZX20200176SX"/>
    <s v="兴开泰"/>
    <s v="YSM20R-2"/>
    <s v="L-&gt;R"/>
    <s v="No"/>
    <s v="OK"/>
    <s v="DAP DG"/>
    <d v="2020-09-24T00:00:00"/>
    <s v="Yes"/>
    <m/>
    <m/>
    <m/>
    <s v="C140518616"/>
  </r>
  <r>
    <n v="1179"/>
    <x v="0"/>
    <x v="0"/>
    <n v="110384"/>
    <s v="正创名义下单"/>
    <x v="12"/>
    <s v="L-&gt;R"/>
    <s v="No"/>
    <s v="Y56658"/>
    <n v="1"/>
    <s v="CY仓库"/>
    <x v="131"/>
    <s v="NM"/>
    <s v="JUN 21"/>
    <m/>
    <s v="JPY"/>
    <s v="C49SZX20210062JY"/>
    <s v="海松微"/>
    <s v="YSM20R-2"/>
    <s v="L-&gt;R"/>
    <s v="No"/>
    <s v="OK"/>
    <s v="DAP SZ"/>
    <d v="2021-03-02T00:00:00"/>
    <s v="Yes"/>
    <m/>
    <m/>
    <m/>
    <s v="C190935542"/>
  </r>
  <r>
    <n v="1412"/>
    <x v="0"/>
    <x v="0"/>
    <n v="110384"/>
    <s v="正创名义下单"/>
    <x v="12"/>
    <s v="L-&gt;R"/>
    <s v="No"/>
    <s v="Y56659"/>
    <n v="1"/>
    <s v="CY仓库"/>
    <x v="131"/>
    <s v="NM"/>
    <s v="JUL 21"/>
    <m/>
    <s v="JPY"/>
    <s v="C49SZX20210095JL"/>
    <s v="伟盛贸易(富洛）/晶科"/>
    <s v="YSM20R-2"/>
    <s v="L-&gt;R"/>
    <s v="No"/>
    <s v="OK"/>
    <s v="CIF HK"/>
    <d v="2021-06-08T00:00:00"/>
    <s v="Yes"/>
    <m/>
    <m/>
    <m/>
    <s v="C190735075"/>
  </r>
  <r>
    <n v="1413"/>
    <x v="0"/>
    <x v="0"/>
    <n v="110384"/>
    <s v="正创名义下单"/>
    <x v="12"/>
    <s v="L-&gt;R"/>
    <s v="No"/>
    <s v="Y56660"/>
    <n v="1"/>
    <s v="CY仓库"/>
    <x v="131"/>
    <s v="NM"/>
    <s v="JUL 21"/>
    <m/>
    <s v="JPY"/>
    <s v="C49SZX20210095JL"/>
    <s v="伟盛贸易(富洛）/晶科"/>
    <s v="YSM20R-2"/>
    <s v="L-&gt;R"/>
    <s v="No"/>
    <s v="OK"/>
    <s v="CIF HK"/>
    <d v="2021-06-08T00:00:00"/>
    <s v="Yes"/>
    <m/>
    <m/>
    <m/>
    <s v="C190735075"/>
  </r>
  <r>
    <n v="1264"/>
    <x v="0"/>
    <x v="0"/>
    <n v="110384"/>
    <s v="正创名义下单"/>
    <x v="12"/>
    <s v="L-&gt;R"/>
    <s v="No"/>
    <s v="Y56661"/>
    <n v="1"/>
    <s v="CY仓库"/>
    <x v="131"/>
    <s v="NM"/>
    <s v="JUL 21"/>
    <m/>
    <s v="JPY"/>
    <s v="C49SZX20210087SX"/>
    <s v="特斯浦"/>
    <s v="YSM20R-2"/>
    <s v="L-&gt;R"/>
    <s v="No"/>
    <s v="OK"/>
    <s v="DAP DG"/>
    <d v="2021-03-16T00:00:00"/>
    <s v="Yes"/>
    <m/>
    <m/>
    <m/>
    <s v="C210440016"/>
  </r>
  <r>
    <n v="854"/>
    <x v="0"/>
    <x v="0"/>
    <n v="110384"/>
    <s v="正创名义下单"/>
    <x v="12"/>
    <s v="R-&gt;L"/>
    <s v="No"/>
    <s v="Y56662"/>
    <n v="1"/>
    <s v="CY仓库"/>
    <x v="131"/>
    <s v="NM"/>
    <s v="JUL 21"/>
    <m/>
    <s v="JPY"/>
    <s v="C49SZX20200176SX"/>
    <s v="兴开泰"/>
    <s v="YSM20R-2"/>
    <s v="R-&gt;L"/>
    <s v="No"/>
    <s v="OK"/>
    <s v="DAP DG"/>
    <d v="2020-09-24T00:00:00"/>
    <s v="Yes"/>
    <m/>
    <m/>
    <m/>
    <s v="C140518616"/>
  </r>
  <r>
    <n v="1268"/>
    <x v="0"/>
    <x v="0"/>
    <n v="110450"/>
    <s v="Stock order"/>
    <x v="1"/>
    <s v="R-&gt;L"/>
    <s v="MVC"/>
    <s v="Y57236"/>
    <n v="1"/>
    <s v="CY仓库"/>
    <x v="131"/>
    <s v="NM"/>
    <s v="JUN 21"/>
    <m/>
    <s v="JPY"/>
    <s v="C49SZX20210075JL"/>
    <s v="伯莱科"/>
    <s v="YSM10"/>
    <s v="L-&gt;R"/>
    <s v="MVC"/>
    <s v="WRONG"/>
    <s v="DAP SZ"/>
    <d v="2021-03-11T00:00:00"/>
    <s v="Yes"/>
    <m/>
    <m/>
    <m/>
    <s v="C170128496"/>
  </r>
  <r>
    <n v="1269"/>
    <x v="0"/>
    <x v="0"/>
    <n v="110450"/>
    <s v="Stock order"/>
    <x v="1"/>
    <s v="R-&gt;L"/>
    <s v="MVC"/>
    <s v="Y57237"/>
    <n v="1"/>
    <s v="CY仓库"/>
    <x v="131"/>
    <s v="NM"/>
    <s v="JUN 21"/>
    <m/>
    <s v="JPY"/>
    <s v="C49SZX20210075JL"/>
    <s v="伯莱科"/>
    <s v="YSM10"/>
    <s v="L-&gt;R"/>
    <s v="MVC"/>
    <s v="WRONG"/>
    <s v="DAP SZ"/>
    <d v="2021-03-11T00:00:00"/>
    <s v="Yes"/>
    <m/>
    <m/>
    <m/>
    <s v="C170128496"/>
  </r>
  <r>
    <n v="1350"/>
    <x v="0"/>
    <x v="0"/>
    <n v="110450"/>
    <s v="Stock order"/>
    <x v="1"/>
    <s v="R-&gt;L"/>
    <s v="MVC"/>
    <s v="Y57238"/>
    <n v="1"/>
    <s v="CY仓库"/>
    <x v="131"/>
    <s v="NM"/>
    <s v="JUN 21"/>
    <m/>
    <s v="JPY"/>
    <s v="C49SZX20210124JL"/>
    <s v="小婉牛"/>
    <s v="YSM10"/>
    <s v="L-&gt;R"/>
    <s v="MVC"/>
    <s v="WRONG"/>
    <s v="DAP SZ"/>
    <d v="2021-04-22T00:00:00"/>
    <s v="Yes"/>
    <m/>
    <m/>
    <m/>
    <s v="C210540181"/>
  </r>
  <r>
    <n v="1385"/>
    <x v="0"/>
    <x v="0"/>
    <s v="110450(拆单110430)"/>
    <s v="Stock order"/>
    <x v="1"/>
    <s v="R-&gt;L"/>
    <s v="MVC"/>
    <s v="Y57239"/>
    <n v="1"/>
    <s v="CY仓库"/>
    <x v="131"/>
    <s v="NM, PO 用110227"/>
    <s v="JUL 21"/>
    <m/>
    <s v="JPY"/>
    <s v="C49SZX20220057DZ"/>
    <s v="广恒创新（enduser:深圳比尔乔）"/>
    <s v="YSM10"/>
    <s v="R-&gt;L"/>
    <s v="MVC"/>
    <s v="OK"/>
    <s v="CIF HK"/>
    <d v="2021-05-24T00:00:00"/>
    <s v="Yes"/>
    <m/>
    <m/>
    <m/>
    <s v="C210640373"/>
  </r>
  <r>
    <n v="1386"/>
    <x v="0"/>
    <x v="0"/>
    <s v="110450(拆单110430)"/>
    <s v="Stock order"/>
    <x v="1"/>
    <s v="R-&gt;L"/>
    <s v="MVC"/>
    <s v="Y57240"/>
    <n v="1"/>
    <s v="CY仓库"/>
    <x v="131"/>
    <n v="6.0600000000000001E-2"/>
    <s v="JUL 21"/>
    <m/>
    <s v="JPY"/>
    <s v="C49SZX20220057DZ"/>
    <s v="广恒创新（enduser:深圳比尔乔）"/>
    <s v="YSM10"/>
    <s v="R-&gt;L"/>
    <s v="MVC"/>
    <s v="OK"/>
    <s v="CIF HK"/>
    <d v="2021-05-24T00:00:00"/>
    <s v="Yes"/>
    <m/>
    <m/>
    <m/>
    <s v="C210640373"/>
  </r>
  <r>
    <n v="1271"/>
    <x v="0"/>
    <x v="0"/>
    <n v="110449"/>
    <s v="Stock order"/>
    <x v="1"/>
    <s v="R-&gt;L"/>
    <s v="No"/>
    <s v="Y56510"/>
    <n v="1"/>
    <s v="CY仓库"/>
    <x v="131"/>
    <s v="NM"/>
    <s v="JUN 21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272"/>
    <x v="0"/>
    <x v="0"/>
    <n v="110449"/>
    <s v="Stock order"/>
    <x v="1"/>
    <s v="R-&gt;L"/>
    <s v="No"/>
    <s v="Y56511"/>
    <n v="1"/>
    <s v="CY仓库"/>
    <x v="131"/>
    <s v="NM"/>
    <s v="JUN 21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375"/>
    <x v="0"/>
    <x v="0"/>
    <n v="110449"/>
    <s v="Stock order"/>
    <x v="1"/>
    <s v="R-&gt;L"/>
    <s v="MVC+96 FEEDER PLATE (YSM10) "/>
    <s v="Y56512"/>
    <n v="1"/>
    <s v="CY仓库"/>
    <x v="131"/>
    <s v="NM"/>
    <s v="JUN 21"/>
    <m/>
    <s v="JPY"/>
    <s v="C49SZX20210138JL"/>
    <s v="力通威"/>
    <s v="YSM10"/>
    <s v="L-&gt;R"/>
    <s v="MVC+96 FEEDER PLATE (YSM10) "/>
    <s v="WRONG"/>
    <s v="CIF HK"/>
    <d v="2021-05-17T00:00:00"/>
    <s v="Yes"/>
    <m/>
    <m/>
    <m/>
    <s v="C190133876"/>
  </r>
  <r>
    <n v="1351"/>
    <x v="0"/>
    <x v="0"/>
    <n v="110449"/>
    <s v="Stock order"/>
    <x v="1"/>
    <s v="R-&gt;L"/>
    <s v="MVC"/>
    <s v="Y56513"/>
    <n v="1"/>
    <s v="CY仓库"/>
    <x v="131"/>
    <s v="TBA"/>
    <s v="JUN 21"/>
    <m/>
    <s v="JPY"/>
    <s v="C49SZX20210123JY"/>
    <s v="四方信达"/>
    <s v="YSM10"/>
    <s v="L-&gt;R"/>
    <s v="MVC"/>
    <s v="WRONG"/>
    <s v="DAP SZ"/>
    <d v="2021-04-27T00:00:00"/>
    <s v="Yes"/>
    <m/>
    <m/>
    <m/>
    <s v="C150222453"/>
  </r>
  <r>
    <n v="1151"/>
    <x v="0"/>
    <x v="0"/>
    <n v="110352"/>
    <s v="晶科名义下单"/>
    <x v="6"/>
    <s v="L-&gt;R"/>
    <s v="No"/>
    <s v="Y55599"/>
    <n v="1"/>
    <s v="CY仓库"/>
    <x v="132"/>
    <s v="NM"/>
    <s v="JUN 21"/>
    <m/>
    <s v="JPY"/>
    <s v="C49SZX20210219KW"/>
    <s v="伟盛贸易(富洛）/晶科"/>
    <s v="SIGMA G5S2"/>
    <s v="No"/>
    <s v="No"/>
    <s v="WRONG"/>
    <s v="CIF HK"/>
    <d v="2021-02-25T00:00:00"/>
    <s v="Yes"/>
    <m/>
    <m/>
    <m/>
    <s v="IND order "/>
  </r>
  <r>
    <n v="1186"/>
    <x v="0"/>
    <x v="0"/>
    <n v="110380"/>
    <s v="嘉裕名义下单"/>
    <x v="12"/>
    <s v="L-&gt;R"/>
    <s v="cATS30+MVC(F&amp;R)+10pallet for cATS30+交换台车"/>
    <s v="Y55600"/>
    <n v="1"/>
    <s v="CY仓库"/>
    <x v="132"/>
    <s v="NM"/>
    <s v="JUN 21"/>
    <m/>
    <s v="JPY"/>
    <s v="C49SZX20210161DZ"/>
    <s v="嘉裕"/>
    <s v="YSM20R-2"/>
    <s v="L-&gt;R"/>
    <s v="cATS30+MVC(F&amp;R)+10pallet for cATS30+交换台车"/>
    <s v="OK"/>
    <s v="CIF HK"/>
    <d v="2021-03-05T00:00:00"/>
    <s v="Yes"/>
    <m/>
    <m/>
    <m/>
    <s v="YES"/>
  </r>
  <r>
    <n v="1187"/>
    <x v="0"/>
    <x v="0"/>
    <n v="110380"/>
    <s v="嘉裕名义下单"/>
    <x v="12"/>
    <s v="L-&gt;R"/>
    <s v="MVC(F&amp;R)+10pallet for cATS10+交换台车"/>
    <s v="Y55601"/>
    <n v="1"/>
    <s v="CY仓库"/>
    <x v="132"/>
    <s v="NM"/>
    <s v="JUN 21"/>
    <m/>
    <s v="JPY"/>
    <s v="C49SZX20210161DZ"/>
    <s v="嘉裕"/>
    <s v="YSM20R-2"/>
    <s v="L-&gt;R"/>
    <s v="MVC(F&amp;R)+10pallet for cATS10+交换台车"/>
    <s v="OK"/>
    <s v="CIF HK"/>
    <d v="2021-03-05T00:00:00"/>
    <s v="Yes"/>
    <m/>
    <m/>
    <m/>
    <s v="YES"/>
  </r>
  <r>
    <n v="1266"/>
    <x v="0"/>
    <x v="0"/>
    <n v="110481"/>
    <s v="Stock order"/>
    <x v="1"/>
    <s v="R-&gt;L"/>
    <s v="MVC+ATS15"/>
    <s v="Y56506"/>
    <n v="1"/>
    <s v="华日仓库中转"/>
    <x v="133"/>
    <s v="TBA"/>
    <s v="JUL 21"/>
    <m/>
    <s v="JPY"/>
    <s v="C49SZX20210088SX"/>
    <s v="恒越通"/>
    <s v="YSM10"/>
    <s v="L-&gt;R"/>
    <s v="MVC+ATS15"/>
    <s v="WRONG"/>
    <s v="DAP SZ"/>
    <d v="2021-03-17T00:00:00"/>
    <s v="Yes"/>
    <m/>
    <m/>
    <m/>
    <s v="C210440022"/>
  </r>
  <r>
    <n v="1247"/>
    <x v="0"/>
    <x v="0"/>
    <n v="110479"/>
    <s v="Stock order"/>
    <x v="12"/>
    <s v="L-&gt;R"/>
    <s v="cATS10+MVC+special layout"/>
    <s v="Y56425"/>
    <n v="1"/>
    <s v="CY仓库"/>
    <x v="133"/>
    <s v="NM"/>
    <s v="JUL 21"/>
    <m/>
    <s v="JPY"/>
    <s v="C49SZX20210061SX"/>
    <s v="嘉普达"/>
    <s v="YSM20R-2"/>
    <s v="L-&gt;R"/>
    <s v="cATS10+MVC+special layout"/>
    <s v="OK"/>
    <s v="DAP SZ"/>
    <d v="2021-03-10T00:00:00"/>
    <s v="Yes"/>
    <m/>
    <m/>
    <m/>
    <s v="C200938204"/>
  </r>
  <r>
    <n v="1249"/>
    <x v="0"/>
    <x v="0"/>
    <n v="110452"/>
    <s v="Stock order"/>
    <x v="12"/>
    <s v="L-&gt;R"/>
    <s v="No"/>
    <s v="Y57089"/>
    <n v="1"/>
    <s v="CY仓库"/>
    <x v="133"/>
    <s v="NM"/>
    <s v="JUL 21"/>
    <m/>
    <s v="JPY"/>
    <s v="C49SZX20210071SS"/>
    <s v="泓凯"/>
    <s v="YSM20R-2"/>
    <s v="L-&gt;R"/>
    <s v="No"/>
    <s v="OK"/>
    <s v="DAP SZ"/>
    <d v="2021-03-06T00:00:00"/>
    <s v="Yes"/>
    <m/>
    <m/>
    <m/>
    <s v="C210540145"/>
  </r>
  <r>
    <n v="1453"/>
    <x v="0"/>
    <x v="0"/>
    <n v="110452"/>
    <s v="Stock order"/>
    <x v="12"/>
    <s v="L-&gt;R"/>
    <s v="MVC"/>
    <s v="Y57090"/>
    <n v="1"/>
    <s v="CY仓库"/>
    <x v="133"/>
    <s v="NM"/>
    <s v="JUL 21"/>
    <m/>
    <s v="JPY"/>
    <s v="HKFR-ESE-2021071301"/>
    <s v="富洛"/>
    <s v="YSM20R-2"/>
    <s v="L-&gt;R"/>
    <s v="MVC"/>
    <s v="OK"/>
    <s v="CIF HK"/>
    <d v="2021-07-14T00:00:00"/>
    <s v="Yes"/>
    <m/>
    <m/>
    <m/>
    <s v="C200437262"/>
  </r>
  <r>
    <n v="1329"/>
    <x v="0"/>
    <x v="0"/>
    <n v="110452"/>
    <s v="Stock order"/>
    <x v="12"/>
    <s v="L-&gt;R"/>
    <s v="No"/>
    <s v="Y57091"/>
    <n v="1"/>
    <s v="CY仓库"/>
    <x v="133"/>
    <s v="NM"/>
    <s v="AUG 21"/>
    <m/>
    <s v="JPY"/>
    <s v="C49SZX20210178JY"/>
    <s v="毅诚科达"/>
    <s v="YSM20R-2"/>
    <s v="L-&gt;R"/>
    <s v="No"/>
    <s v="OK"/>
    <s v="DAP SZ"/>
    <d v="2021-04-14T00:00:00"/>
    <s v="Yes"/>
    <m/>
    <m/>
    <m/>
    <s v="C191236328"/>
  </r>
  <r>
    <n v="1265"/>
    <x v="0"/>
    <x v="0"/>
    <n v="110452"/>
    <s v="Stock order"/>
    <x v="12"/>
    <s v="L-&gt;R"/>
    <s v="No"/>
    <s v="Y57092"/>
    <n v="1"/>
    <s v="华日仓库中转"/>
    <x v="133"/>
    <s v="NM"/>
    <s v="JUL 21"/>
    <m/>
    <s v="JPY"/>
    <s v="C49SZX20210088SX"/>
    <s v="恒越通"/>
    <s v="YSM20R-2"/>
    <s v="L-&gt;R"/>
    <s v="No"/>
    <s v="OK"/>
    <s v="DAP SZ"/>
    <d v="2021-03-17T00:00:00"/>
    <s v="Yes"/>
    <m/>
    <m/>
    <m/>
    <s v="C210440022"/>
  </r>
  <r>
    <n v="1303"/>
    <x v="0"/>
    <x v="0"/>
    <n v="110402"/>
    <s v="杉川名义"/>
    <x v="0"/>
    <s v="L-&gt;R"/>
    <s v="No"/>
    <s v="Y57169,机器不能调动"/>
    <n v="1"/>
    <s v="前海保税区"/>
    <x v="134"/>
    <s v="NM"/>
    <s v="JUL 21"/>
    <m/>
    <s v="JPY"/>
    <s v="C49SZX20210096JL"/>
    <s v="杉川"/>
    <s v="YSM40R-4"/>
    <s v="L-&gt;R"/>
    <s v="No"/>
    <s v="OK"/>
    <s v="DAP SZ"/>
    <d v="2021-04-02T00:00:00"/>
    <s v="Yes"/>
    <m/>
    <m/>
    <m/>
    <s v="IND order "/>
  </r>
  <r>
    <n v="1304"/>
    <x v="0"/>
    <x v="0"/>
    <n v="110402"/>
    <s v="杉川名义"/>
    <x v="0"/>
    <s v="L-&gt;R"/>
    <s v="No"/>
    <s v="Y57208,机器不能调动"/>
    <n v="1"/>
    <s v="前海保税区"/>
    <x v="134"/>
    <s v="NM"/>
    <s v="AUG 21"/>
    <m/>
    <s v="JPY"/>
    <s v="C49SZX20210096JL"/>
    <s v="杉川"/>
    <s v="YSM40R-4"/>
    <s v="L-&gt;R"/>
    <s v="No"/>
    <s v="OK"/>
    <s v="DAP SZ"/>
    <d v="2021-04-02T00:00:00"/>
    <s v="Yes"/>
    <m/>
    <m/>
    <m/>
    <s v="IND order "/>
  </r>
  <r>
    <n v="1305"/>
    <x v="0"/>
    <x v="0"/>
    <n v="110402"/>
    <s v="杉川名义"/>
    <x v="0"/>
    <s v="L-&gt;R"/>
    <s v="No"/>
    <s v="Y57209,机器不能调动"/>
    <n v="1"/>
    <s v="前海保税区"/>
    <x v="134"/>
    <s v="NM"/>
    <s v="AUG 21"/>
    <m/>
    <s v="JPY"/>
    <s v="C49SZX20210096JL"/>
    <s v="杉川"/>
    <s v="YSM40R-4"/>
    <s v="L-&gt;R"/>
    <s v="No"/>
    <s v="OK"/>
    <s v="DAP SZ"/>
    <d v="2021-04-02T00:00:00"/>
    <s v="Yes"/>
    <m/>
    <m/>
    <m/>
    <s v="IND order "/>
  </r>
  <r>
    <n v="1479"/>
    <x v="0"/>
    <x v="0"/>
    <n v="110402"/>
    <s v="杉川名义"/>
    <x v="0"/>
    <s v="L-&gt;R"/>
    <s v="No"/>
    <s v="Y57170"/>
    <n v="1"/>
    <s v="前海保税区"/>
    <x v="134"/>
    <s v="NM"/>
    <s v="OCT 21"/>
    <m/>
    <s v="JPY"/>
    <s v="C49SZX20210193SX"/>
    <s v="锐诚"/>
    <s v="YSM40R-4"/>
    <s v="L-&gt;R"/>
    <s v="No"/>
    <s v="OK"/>
    <s v="DAP HZ"/>
    <d v="2021-09-18T00:00:00"/>
    <s v="Yes"/>
    <m/>
    <m/>
    <m/>
    <s v="C180231291"/>
  </r>
  <r>
    <n v="1136"/>
    <x v="0"/>
    <x v="1"/>
    <n v="110342"/>
    <s v="STK"/>
    <x v="15"/>
    <s v="NO"/>
    <s v="No"/>
    <n v="6825"/>
    <n v="1"/>
    <s v="HK 仓库"/>
    <x v="135"/>
    <n v="7.8"/>
    <s v="MAY 21"/>
    <m/>
    <s v="JPY"/>
    <s v="C49SZX20210045SX"/>
    <s v="百益晟"/>
    <s v="YSM10"/>
    <s v="L-&gt;R"/>
    <s v="MVC"/>
    <s v="WRONG"/>
    <s v="DAP SZ"/>
    <d v="2021-02-04T00:00:00"/>
    <s v="Yes"/>
    <m/>
    <m/>
    <m/>
    <s v="YES"/>
  </r>
  <r>
    <n v="1472"/>
    <x v="0"/>
    <x v="1"/>
    <n v="110342"/>
    <s v="STK"/>
    <x v="15"/>
    <s v="NO"/>
    <s v="No"/>
    <n v="6826"/>
    <n v="1"/>
    <s v="HK 仓库"/>
    <x v="135"/>
    <n v="7.8"/>
    <m/>
    <m/>
    <s v="RMB"/>
    <s v="C28SZX2021044KC"/>
    <s v="小婉牛"/>
    <s v="SolderStar R-0625L"/>
    <s v="No"/>
    <s v="No"/>
    <s v="OK"/>
    <s v="含税到厂"/>
    <d v="2021-08-26T00:00:00"/>
    <s v="Yes"/>
    <m/>
    <m/>
    <m/>
    <s v="c28"/>
  </r>
  <r>
    <n v="1308"/>
    <x v="0"/>
    <x v="0"/>
    <n v="110402"/>
    <s v="杉川名义"/>
    <x v="11"/>
    <s v="L-&gt;R"/>
    <s v="cATS10+MVC(F&amp;R)+Feeder Carriage"/>
    <s v="Y57302"/>
    <n v="1"/>
    <s v="前海保税区"/>
    <x v="134"/>
    <s v="NM"/>
    <s v="JUL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IND order "/>
  </r>
  <r>
    <n v="1312"/>
    <x v="0"/>
    <x v="0"/>
    <n v="110402"/>
    <s v="杉川名义"/>
    <x v="11"/>
    <s v="L-&gt;R"/>
    <s v="No"/>
    <s v="Y57300"/>
    <n v="1"/>
    <s v="前海保税区"/>
    <x v="134"/>
    <s v="NM"/>
    <s v="JUL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3"/>
    <x v="0"/>
    <x v="0"/>
    <n v="110402"/>
    <s v="杉川名义"/>
    <x v="11"/>
    <s v="L-&gt;R"/>
    <s v="No"/>
    <s v="Y57301"/>
    <n v="1"/>
    <s v="前海保税区"/>
    <x v="134"/>
    <s v="NM"/>
    <s v="JUL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436"/>
    <x v="0"/>
    <x v="0"/>
    <s v="49F103948"/>
    <s v="拓新伟业名义下单"/>
    <x v="16"/>
    <s v="L-&gt;R"/>
    <s v="No"/>
    <s v="Y45659"/>
    <n v="1"/>
    <s v="Yamaha 深圳仓库"/>
    <x v="136"/>
    <s v="NM"/>
    <s v="AUG 21"/>
    <m/>
    <s v="RMB"/>
    <s v="C49SZX20210175SX"/>
    <s v="拓新伟业"/>
    <s v="YSM40R-4"/>
    <s v="L-&gt;R"/>
    <s v="No"/>
    <s v="OK"/>
    <s v="DDP SZ"/>
    <d v="2021-06-23T00:00:00"/>
    <s v="Yes"/>
    <m/>
    <m/>
    <m/>
    <s v="IND order "/>
  </r>
  <r>
    <n v="1437"/>
    <x v="0"/>
    <x v="0"/>
    <s v="49F103948"/>
    <s v="拓新伟业名义下单"/>
    <x v="16"/>
    <s v="L-&gt;R"/>
    <s v="No"/>
    <s v="Y44996"/>
    <n v="1"/>
    <s v="Yamaha 深圳仓库"/>
    <x v="136"/>
    <s v="NM"/>
    <s v="AUG 21"/>
    <m/>
    <s v="RMB"/>
    <s v="C49SZX20210175SX"/>
    <s v="拓新伟业"/>
    <s v="YSM40R-4"/>
    <s v="L-&gt;R"/>
    <s v="No"/>
    <s v="OK"/>
    <s v="DDP SZ"/>
    <d v="2021-06-23T00:00:00"/>
    <s v="Yes"/>
    <m/>
    <m/>
    <m/>
    <s v="IND order "/>
  </r>
  <r>
    <n v="1438"/>
    <x v="0"/>
    <x v="0"/>
    <s v="49F103948"/>
    <s v="拓新伟业名义下单"/>
    <x v="16"/>
    <s v="L-&gt;R"/>
    <s v="No"/>
    <s v="Y48100"/>
    <n v="1"/>
    <s v="Yamaha 深圳仓库"/>
    <x v="136"/>
    <s v="NM"/>
    <s v="AUG 21"/>
    <m/>
    <s v="RMB"/>
    <s v="C49SZX20210175SX"/>
    <s v="拓新伟业"/>
    <s v="YSM40R-4"/>
    <s v="L-&gt;R"/>
    <s v="No"/>
    <s v="OK"/>
    <s v="DDP SZ"/>
    <d v="2021-06-23T00:00:00"/>
    <s v="Yes"/>
    <m/>
    <m/>
    <m/>
    <s v="IND order "/>
  </r>
  <r>
    <n v="1259"/>
    <x v="0"/>
    <x v="0"/>
    <n v="110550"/>
    <s v="富洛Supplier (stk)"/>
    <x v="1"/>
    <s v="R-&gt;L"/>
    <s v="MVC"/>
    <s v="Y57156"/>
    <n v="1"/>
    <s v="CY仓库"/>
    <x v="137"/>
    <s v="NM"/>
    <s v="JUL 21"/>
    <m/>
    <s v="JPY"/>
    <s v="C49SZX20210081MZ"/>
    <s v="崧盛"/>
    <s v="YSM10"/>
    <s v="L-&gt;R"/>
    <s v="MVC"/>
    <s v="WRONG"/>
    <s v="CIF HK"/>
    <d v="2021-03-13T00:00:00"/>
    <s v="Yes"/>
    <m/>
    <m/>
    <m/>
    <s v="C210439739"/>
  </r>
  <r>
    <n v="1250"/>
    <x v="0"/>
    <x v="0"/>
    <n v="110550"/>
    <s v="富洛Supplier (stk)"/>
    <x v="1"/>
    <s v="R-&gt;L"/>
    <s v="MVC"/>
    <s v="Y57157"/>
    <n v="1"/>
    <s v="CY仓库"/>
    <x v="137"/>
    <s v="NM"/>
    <s v="JUL 21"/>
    <m/>
    <s v="JPY"/>
    <s v="C49SZX20210071SS"/>
    <s v="泓凯"/>
    <s v="YSM10"/>
    <s v="L-&gt;R"/>
    <s v="MVC"/>
    <s v="WRONG"/>
    <s v="DAP SZ"/>
    <d v="2021-03-06T00:00:00"/>
    <s v="Yes"/>
    <m/>
    <m/>
    <m/>
    <s v="C210540145"/>
  </r>
  <r>
    <n v="929"/>
    <x v="0"/>
    <x v="0"/>
    <n v="110441"/>
    <s v="正创名义下单"/>
    <x v="12"/>
    <s v="R-&gt;L"/>
    <s v="No"/>
    <s v="Y56663"/>
    <n v="1"/>
    <s v="力合中转仓"/>
    <x v="138"/>
    <s v="NM"/>
    <s v="AUG 21"/>
    <m/>
    <s v="JPY"/>
    <s v="C49SZX20200210RSX"/>
    <s v="众鑫科"/>
    <s v="YSM20R-2"/>
    <s v="R-&gt;L"/>
    <s v="No"/>
    <s v="OK"/>
    <s v="DAP HZ"/>
    <d v="2020-11-12T00:00:00"/>
    <s v="Yes"/>
    <m/>
    <m/>
    <m/>
    <s v="C201238817"/>
  </r>
  <r>
    <n v="1398"/>
    <x v="0"/>
    <x v="0"/>
    <n v="110441"/>
    <s v="正创名义下单"/>
    <x v="12"/>
    <s v="L-&gt;R"/>
    <s v="No"/>
    <s v="Y56664"/>
    <n v="1"/>
    <s v="前海保税区"/>
    <x v="138"/>
    <s v="NM"/>
    <s v="JUL 21"/>
    <m/>
    <s v="JPY"/>
    <s v="C49SZX20210144VG"/>
    <s v="鑫华锋"/>
    <s v="YSM20R-2"/>
    <s v="L-&gt;R"/>
    <s v="No"/>
    <s v="OK"/>
    <s v="DAP SZ"/>
    <d v="2021-05-28T00:00:00"/>
    <s v="Yes"/>
    <m/>
    <m/>
    <m/>
    <s v="C210740683"/>
  </r>
  <r>
    <n v="1379"/>
    <x v="0"/>
    <x v="0"/>
    <n v="110441"/>
    <s v="正创名义下单"/>
    <x v="12"/>
    <s v="L-&gt;R"/>
    <s v="No"/>
    <s v="Y56665"/>
    <n v="1"/>
    <s v="前海保税区"/>
    <x v="138"/>
    <s v="NM"/>
    <s v="AUG 21"/>
    <m/>
    <s v="JPY"/>
    <s v="C49SZX20210154MZ"/>
    <s v="巨能"/>
    <s v="YSM20R-2"/>
    <s v="L-&gt;R"/>
    <s v="No"/>
    <s v="OK"/>
    <s v="DAP SZ"/>
    <d v="2021-05-21T00:00:00"/>
    <s v="Yes"/>
    <m/>
    <m/>
    <m/>
    <s v="C210640437"/>
  </r>
  <r>
    <n v="1260"/>
    <x v="0"/>
    <x v="0"/>
    <n v="110441"/>
    <s v="正创名义下单"/>
    <x v="12"/>
    <s v="L-&gt;R"/>
    <s v="No"/>
    <s v="Y56666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261"/>
    <x v="0"/>
    <x v="0"/>
    <n v="110441"/>
    <s v="正创名义下单"/>
    <x v="12"/>
    <s v="L-&gt;R"/>
    <s v="No"/>
    <s v="Y56667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263"/>
    <x v="0"/>
    <x v="0"/>
    <n v="110441"/>
    <s v="正创名义下单"/>
    <x v="12"/>
    <s v="L-&gt;R"/>
    <s v="No"/>
    <s v="Y56668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262"/>
    <x v="0"/>
    <x v="0"/>
    <n v="110441"/>
    <s v="正创名义下单"/>
    <x v="12"/>
    <s v="L-&gt;R"/>
    <s v="No"/>
    <s v="Y56669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323"/>
    <x v="0"/>
    <x v="0"/>
    <n v="110247"/>
    <s v="Stock order"/>
    <x v="12"/>
    <s v="L-&gt;R"/>
    <s v="No"/>
    <s v="Y55593"/>
    <n v="1"/>
    <s v="前海保税区"/>
    <x v="138"/>
    <s v="NM"/>
    <s v="AUG 21"/>
    <m/>
    <s v="JPY"/>
    <s v="C49SZX20210108MZ"/>
    <s v="捷盛达"/>
    <s v="YSM20R-2"/>
    <s v="L-&gt;R"/>
    <s v="No"/>
    <s v="OK"/>
    <s v="DAP SZ"/>
    <d v="2021-04-08T00:00:00"/>
    <s v="Yes"/>
    <m/>
    <m/>
    <m/>
    <s v="C210640439"/>
  </r>
  <r>
    <n v="1309"/>
    <x v="0"/>
    <x v="0"/>
    <n v="110413"/>
    <s v="杉川名义"/>
    <x v="11"/>
    <s v="L-&gt;R"/>
    <s v="cATS10+MVC(F&amp;R)+Feeder Carriage"/>
    <s v="Y57381"/>
    <n v="1"/>
    <s v="前海保税区"/>
    <x v="139"/>
    <s v="NM"/>
    <s v="AUG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IND order "/>
  </r>
  <r>
    <n v="1310"/>
    <x v="0"/>
    <x v="0"/>
    <n v="110413"/>
    <s v="杉川名义"/>
    <x v="11"/>
    <s v="L-&gt;R"/>
    <s v="cATS10+MVC(F&amp;R)+Feeder Carriage"/>
    <s v="Y57382"/>
    <n v="1"/>
    <s v="前海保税区"/>
    <x v="139"/>
    <s v="NM"/>
    <s v="AUG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IND order "/>
  </r>
  <r>
    <n v="1314"/>
    <x v="0"/>
    <x v="0"/>
    <n v="110413"/>
    <s v="杉川名义"/>
    <x v="11"/>
    <s v="L-&gt;R"/>
    <s v="No"/>
    <s v="Y57377"/>
    <n v="1"/>
    <s v="前海保税区"/>
    <x v="139"/>
    <s v="NM"/>
    <s v="AUG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5"/>
    <x v="0"/>
    <x v="0"/>
    <n v="110413"/>
    <s v="杉川名义"/>
    <x v="11"/>
    <s v="L-&gt;R"/>
    <s v="No"/>
    <s v="Y57378"/>
    <n v="1"/>
    <s v="前海保税区"/>
    <x v="139"/>
    <s v="NM"/>
    <s v="AUG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6"/>
    <x v="0"/>
    <x v="0"/>
    <n v="110413"/>
    <s v="杉川名义"/>
    <x v="11"/>
    <s v="L-&gt;R"/>
    <s v="No"/>
    <s v="Y57379"/>
    <n v="1"/>
    <s v="前海保税区"/>
    <x v="139"/>
    <s v="NM"/>
    <s v="AUG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7"/>
    <x v="0"/>
    <x v="0"/>
    <n v="110413"/>
    <s v="杉川名义"/>
    <x v="11"/>
    <s v="L-&gt;R"/>
    <s v="No"/>
    <s v="Y57380"/>
    <n v="1"/>
    <s v="前海保税区"/>
    <x v="139"/>
    <s v="NM"/>
    <s v="AUG 21"/>
    <m/>
    <s v="JPY"/>
    <s v="C49SZX20210096JL"/>
    <s v="杉川"/>
    <s v="YSM20WR-2"/>
    <s v="L-&gt;R"/>
    <s v="No"/>
    <s v="OK"/>
    <s v="DAP SZ"/>
    <d v="2021-04-02T00:00:00"/>
    <s v="Yes"/>
    <m/>
    <m/>
    <m/>
    <s v="IND order "/>
  </r>
  <r>
    <n v="926"/>
    <x v="0"/>
    <x v="0"/>
    <n v="110383"/>
    <s v="正创名义下单"/>
    <x v="1"/>
    <s v="R-&gt;L"/>
    <s v="MVC+ATS15"/>
    <s v="Y57060"/>
    <n v="1"/>
    <s v="力合中转仓"/>
    <x v="140"/>
    <s v="NM"/>
    <s v="AUG 21"/>
    <m/>
    <s v="JPY"/>
    <s v="C49SZX20200210RSX"/>
    <s v="众鑫科"/>
    <s v="YSM10"/>
    <s v="L-&gt;R"/>
    <s v="MVC+ATS15"/>
    <s v="WRONG"/>
    <s v="DAP HZ"/>
    <d v="2020-11-12T00:00:00"/>
    <s v="Yes"/>
    <m/>
    <m/>
    <m/>
    <s v="C201238817"/>
  </r>
  <r>
    <n v="1160"/>
    <x v="0"/>
    <x v="0"/>
    <n v="110383"/>
    <s v="正创名义下单"/>
    <x v="1"/>
    <s v="R-&gt;L"/>
    <s v="MVC+ATS15"/>
    <s v="Y57061"/>
    <n v="1"/>
    <s v="前海保税区"/>
    <x v="140"/>
    <s v="NM"/>
    <s v="OCT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426"/>
    <x v="0"/>
    <x v="0"/>
    <n v="110383"/>
    <s v="正创名义下单"/>
    <x v="1"/>
    <s v="R-&gt;L"/>
    <s v="MVC+ATS15"/>
    <s v="Y57062"/>
    <n v="1"/>
    <s v="前海保税区"/>
    <x v="140"/>
    <s v="NM"/>
    <s v="AUG 21"/>
    <m/>
    <s v="JPY"/>
    <s v="C49SZX20210152SX"/>
    <s v="太美亚"/>
    <s v="YSM10"/>
    <s v="L-&gt;R"/>
    <s v="MVC+ATS15"/>
    <s v="WRONG"/>
    <s v="DAP SZ"/>
    <d v="2021-06-04T00:00:00"/>
    <s v="Yes"/>
    <m/>
    <m/>
    <m/>
    <s v="C190835446"/>
  </r>
  <r>
    <n v="855"/>
    <x v="0"/>
    <x v="0"/>
    <n v="110383"/>
    <s v="正创名义下单"/>
    <x v="1"/>
    <s v="R-&gt;L"/>
    <s v="No"/>
    <s v="Y57063"/>
    <n v="1"/>
    <s v="前海保税区"/>
    <x v="140"/>
    <s v="NM"/>
    <s v="JUL 21"/>
    <m/>
    <s v="JPY"/>
    <s v="C49SZX20200176SX"/>
    <s v="兴开泰（合同吸嘴已发）"/>
    <s v="YSM10"/>
    <s v="L-&gt;R"/>
    <s v="MVC"/>
    <s v="WRONG"/>
    <s v="DAP DG"/>
    <d v="2020-09-24T00:00:00"/>
    <s v="Yes"/>
    <m/>
    <m/>
    <m/>
    <s v="C140518616"/>
  </r>
  <r>
    <n v="1089"/>
    <x v="0"/>
    <x v="0"/>
    <s v="110383(拆单110406)"/>
    <s v="正创名义下单"/>
    <x v="1"/>
    <s v="R-&gt;L"/>
    <s v="No"/>
    <s v="Y57064"/>
    <n v="1"/>
    <s v="前海保税区"/>
    <x v="140"/>
    <n v="5.9900000000000002E-2"/>
    <s v="JUL 21"/>
    <m/>
    <s v="RMB"/>
    <s v="C49SZX20210015SS"/>
    <s v="保凌"/>
    <s v="YSM10"/>
    <s v="R-&gt;L"/>
    <s v="No"/>
    <s v="OK"/>
    <s v="含税到厂"/>
    <d v="2021-01-25T00:00:00"/>
    <s v="Yes"/>
    <m/>
    <m/>
    <m/>
    <s v="C130615715"/>
  </r>
  <r>
    <n v="1322"/>
    <x v="0"/>
    <x v="0"/>
    <n v="110431"/>
    <s v="Stock order"/>
    <x v="12"/>
    <s v="L-&gt;R"/>
    <s v="No"/>
    <s v="Y57093"/>
    <n v="1"/>
    <s v="CY仓库"/>
    <x v="140"/>
    <n v="6.0600000000000001E-2"/>
    <s v="AUG 21"/>
    <m/>
    <s v="RMB"/>
    <s v="C49SZX20210110SS"/>
    <s v="蓝泰翔"/>
    <s v="YSM20R-2"/>
    <s v="L-&gt;R"/>
    <s v="No"/>
    <s v="OK"/>
    <s v="DDP SZ"/>
    <d v="2021-04-10T00:00:00"/>
    <s v="Yes"/>
    <m/>
    <m/>
    <m/>
    <s v="C210640447"/>
  </r>
  <r>
    <n v="1210"/>
    <x v="0"/>
    <x v="0"/>
    <n v="110314"/>
    <s v="超思维名义下单"/>
    <x v="12"/>
    <s v="L-&gt;R"/>
    <s v="No"/>
    <s v="Y57106"/>
    <n v="1"/>
    <s v="前海保税区"/>
    <x v="141"/>
    <s v="NM"/>
    <s v="AUG 21"/>
    <m/>
    <s v="JPY"/>
    <s v="C49SZX20210125DZ"/>
    <s v="斯迈电子"/>
    <s v="YSM20R-2"/>
    <s v="L-&gt;R"/>
    <s v="MVC"/>
    <s v="WRONG"/>
    <s v="DAP GZ"/>
    <d v="2021-03-05T00:00:00"/>
    <s v="Yes"/>
    <m/>
    <m/>
    <m/>
    <s v="C210640294"/>
  </r>
  <r>
    <n v="1212"/>
    <x v="0"/>
    <x v="0"/>
    <n v="110314"/>
    <s v="超思维名义下单"/>
    <x v="12"/>
    <s v="L-&gt;R"/>
    <s v="No"/>
    <s v="Y57107"/>
    <n v="1"/>
    <s v="前海保税区"/>
    <x v="141"/>
    <s v="NM"/>
    <s v="AUG 21"/>
    <m/>
    <s v="JPY"/>
    <s v="C49SZX20210125DZ"/>
    <s v="斯迈电子"/>
    <s v="YSM20R-2"/>
    <s v="L-&gt;R"/>
    <s v="No"/>
    <s v="OK"/>
    <s v="DAP GZ"/>
    <d v="2021-03-05T00:00:00"/>
    <s v="Yes"/>
    <m/>
    <m/>
    <m/>
    <s v="C210640294"/>
  </r>
  <r>
    <n v="1214"/>
    <x v="0"/>
    <x v="0"/>
    <n v="110314"/>
    <s v="超思维名义下单"/>
    <x v="12"/>
    <s v="L-&gt;R"/>
    <s v="No"/>
    <s v="Y57108"/>
    <n v="1"/>
    <s v="前海保税区"/>
    <x v="141"/>
    <s v="NM"/>
    <s v="AUG 21"/>
    <m/>
    <s v="JPY"/>
    <s v="C49SZX20210125DZ"/>
    <s v="斯迈电子"/>
    <s v="YSM20R-2"/>
    <s v="L-&gt;R"/>
    <s v="No"/>
    <s v="OK"/>
    <s v="DAP GZ"/>
    <d v="2021-03-05T00:00:00"/>
    <s v="Yes"/>
    <m/>
    <m/>
    <m/>
    <s v="C210640294"/>
  </r>
  <r>
    <n v="1346"/>
    <x v="0"/>
    <x v="0"/>
    <n v="110314"/>
    <s v="超思维名义下单"/>
    <x v="12"/>
    <s v="L-&gt;R"/>
    <s v="No"/>
    <s v="Y57109"/>
    <n v="1"/>
    <s v="前海保税区"/>
    <x v="141"/>
    <s v="NM"/>
    <s v="AUG 21"/>
    <m/>
    <s v="JPY"/>
    <s v="C49SZX20210120R1JY"/>
    <s v="海松微(此相机是C49SZX20210062JY相机）"/>
    <s v="YSM20R-2"/>
    <s v="L-&gt;R"/>
    <s v="No"/>
    <s v="OK"/>
    <s v="DAP SZ"/>
    <d v="2021-04-20T00:00:00"/>
    <s v="Yes"/>
    <m/>
    <m/>
    <m/>
    <s v="C190935542"/>
  </r>
  <r>
    <n v="1419"/>
    <x v="0"/>
    <x v="0"/>
    <n v="110314"/>
    <s v="超思维名义下单"/>
    <x v="12"/>
    <s v="L-&gt;R"/>
    <s v="No"/>
    <s v="Y57110"/>
    <n v="1"/>
    <s v="前海保税区"/>
    <x v="141"/>
    <s v="NM"/>
    <s v="AUG 21"/>
    <m/>
    <s v="JPY"/>
    <s v="C49SZX20210152SX"/>
    <s v="太美亚"/>
    <s v="YSM20R-2"/>
    <s v="L-&gt;R"/>
    <s v="No"/>
    <s v="OK"/>
    <s v="DAP SZ"/>
    <d v="2021-06-04T00:00:00"/>
    <s v="Yes"/>
    <m/>
    <m/>
    <m/>
    <s v="C190835446"/>
  </r>
  <r>
    <n v="1420"/>
    <x v="0"/>
    <x v="0"/>
    <n v="110500"/>
    <s v="正创名义下单"/>
    <x v="12"/>
    <s v="L-&gt;R"/>
    <s v="No"/>
    <s v="Y56670"/>
    <n v="1"/>
    <s v="码头-&gt;准备清关"/>
    <x v="142"/>
    <s v="NM"/>
    <s v="AUG 21"/>
    <m/>
    <s v="JPY"/>
    <s v="C49SZX20210152SX"/>
    <s v="太美亚"/>
    <s v="YSM20R-2"/>
    <s v="L-&gt;R"/>
    <s v="MVC"/>
    <s v="WRONG"/>
    <s v="DAP SZ"/>
    <d v="2021-06-04T00:00:00"/>
    <s v="Yes"/>
    <m/>
    <m/>
    <m/>
    <s v="C190835446"/>
  </r>
  <r>
    <n v="1421"/>
    <x v="0"/>
    <x v="0"/>
    <n v="110500"/>
    <s v="正创名义下单"/>
    <x v="12"/>
    <s v="L-&gt;R"/>
    <s v="No"/>
    <s v="Y56671"/>
    <n v="1"/>
    <s v="码头-&gt;准备清关"/>
    <x v="142"/>
    <s v="NM"/>
    <s v="AUG 21"/>
    <m/>
    <s v="JPY"/>
    <s v="C49SZX20210152SX"/>
    <s v="太美亚"/>
    <s v="YSM20R-2"/>
    <s v="L-&gt;R"/>
    <s v="MVC"/>
    <s v="WRONG"/>
    <s v="DAP SZ"/>
    <d v="2021-06-04T00:00:00"/>
    <s v="Yes"/>
    <m/>
    <m/>
    <m/>
    <s v="C190835446"/>
  </r>
  <r>
    <n v="1338"/>
    <x v="0"/>
    <x v="0"/>
    <n v="110557"/>
    <s v="Stock order"/>
    <x v="12"/>
    <s v="L-&gt;R"/>
    <s v="No"/>
    <s v="Y57094，之前预留给博新的，已经清关，需要预留RMB单"/>
    <n v="1"/>
    <s v="力合仓库(已经清关)"/>
    <x v="143"/>
    <s v="NM"/>
    <s v="OCT 21"/>
    <m/>
    <s v="JPY"/>
    <s v="C49SZX20210119JY"/>
    <s v="百纳海"/>
    <s v="YSM20R-2"/>
    <s v="L-&gt;R"/>
    <s v="No"/>
    <s v="OK"/>
    <s v="DAP SZ"/>
    <d v="2021-04-20T00:00:00"/>
    <s v="Yes"/>
    <m/>
    <m/>
    <m/>
    <s v="C200637625"/>
  </r>
  <r>
    <n v="1267"/>
    <x v="0"/>
    <x v="0"/>
    <n v="110557"/>
    <s v="Stock order"/>
    <x v="12"/>
    <s v="L-&gt;R"/>
    <s v="MVC"/>
    <s v="Y57095"/>
    <n v="1"/>
    <s v="前海保税区"/>
    <x v="143"/>
    <s v="NM"/>
    <s v="OCT 21"/>
    <m/>
    <s v="JPY"/>
    <s v="C49SZX20210017R1JY"/>
    <s v="拓步"/>
    <s v="YSM20R-2"/>
    <s v="L-&gt;R"/>
    <s v="MVC"/>
    <s v="OK"/>
    <s v="DAP GZ"/>
    <d v="2021-03-17T00:00:00"/>
    <s v="Yes"/>
    <m/>
    <m/>
    <m/>
    <s v="C191236327"/>
  </r>
  <r>
    <n v="1155"/>
    <x v="0"/>
    <x v="0"/>
    <n v="110558"/>
    <s v="Stock order"/>
    <x v="12"/>
    <s v="L-&gt;R"/>
    <s v="No"/>
    <s v="Y57096"/>
    <n v="1"/>
    <s v="前海保税区"/>
    <x v="144"/>
    <s v="NM"/>
    <s v="OCT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156"/>
    <x v="0"/>
    <x v="0"/>
    <n v="110558"/>
    <s v="Stock order"/>
    <x v="12"/>
    <s v="L-&gt;R"/>
    <s v="No"/>
    <s v="Y57097"/>
    <n v="1"/>
    <s v="前海保税区"/>
    <x v="144"/>
    <s v="NM"/>
    <s v="OCT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319"/>
    <x v="0"/>
    <x v="0"/>
    <n v="110558"/>
    <s v="Stock order"/>
    <x v="12"/>
    <s v="L-&gt;R"/>
    <s v="No"/>
    <s v="Y57098"/>
    <n v="1"/>
    <s v="前海保税区"/>
    <x v="144"/>
    <s v="NM"/>
    <s v="OCT 21"/>
    <m/>
    <s v="JPY"/>
    <s v="C49SZX20210111DZ"/>
    <s v="恒创兴"/>
    <s v="YSM20R-2"/>
    <s v="L-&gt;R"/>
    <s v="No"/>
    <s v="OK"/>
    <s v="CIF HK"/>
    <d v="2021-04-09T00:00:00"/>
    <s v="Yes"/>
    <m/>
    <m/>
    <m/>
    <s v="C210640274"/>
  </r>
  <r>
    <n v="1178"/>
    <x v="0"/>
    <x v="0"/>
    <n v="110562"/>
    <s v="Stock order"/>
    <x v="12"/>
    <s v="R-&gt;L"/>
    <s v="No"/>
    <s v="Y58086"/>
    <n v="1"/>
    <s v="CY仓库"/>
    <x v="144"/>
    <s v="NM"/>
    <s v="SEP 21"/>
    <m/>
    <s v="JPY"/>
    <s v="C49SZX20210057DZ"/>
    <s v="优品"/>
    <s v="YSM20R-2"/>
    <s v="R-&gt;L"/>
    <s v="MVC"/>
    <s v="WRONG"/>
    <s v="CIF HK"/>
    <d v="2021-03-02T00:00:00"/>
    <s v="Yes"/>
    <m/>
    <m/>
    <m/>
    <s v="C120712916"/>
  </r>
  <r>
    <n v="1330"/>
    <x v="0"/>
    <x v="0"/>
    <n v="110562"/>
    <s v="Stock order"/>
    <x v="12"/>
    <s v="R-&gt;L"/>
    <s v="No"/>
    <s v="Y58087"/>
    <n v="1"/>
    <s v="前海保税区"/>
    <x v="144"/>
    <s v="NM"/>
    <s v="SEP 21"/>
    <m/>
    <s v="JPY"/>
    <s v="C49SZX20210178JY"/>
    <s v="毅诚科达"/>
    <s v="YSM20R-2"/>
    <s v="R-&gt;L"/>
    <s v="No"/>
    <s v="OK"/>
    <s v="DAP SZ"/>
    <d v="2021-04-14T00:00:00"/>
    <s v="Yes"/>
    <m/>
    <m/>
    <m/>
    <s v="C210640474"/>
  </r>
  <r>
    <n v="1161"/>
    <x v="0"/>
    <x v="0"/>
    <n v="110593"/>
    <s v="Cowell 名义下单"/>
    <x v="1"/>
    <s v="L-&gt;R"/>
    <s v="MVC F&amp;R+ATS15"/>
    <s v="Y58827"/>
    <n v="1"/>
    <s v="前海保税区"/>
    <x v="145"/>
    <s v="NM"/>
    <s v="OCT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461"/>
    <x v="0"/>
    <x v="0"/>
    <s v="49F103968"/>
    <s v="奕东名义下单"/>
    <x v="1"/>
    <s v="R-&gt;L"/>
    <s v="No"/>
    <s v="Y58464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462"/>
    <x v="0"/>
    <x v="0"/>
    <s v="49F103968"/>
    <s v="奕东名义下单"/>
    <x v="1"/>
    <s v="R-&gt;L"/>
    <s v="No"/>
    <s v="Y58465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463"/>
    <x v="0"/>
    <x v="0"/>
    <s v="49F103968"/>
    <s v="奕东名义下单"/>
    <x v="1"/>
    <s v="R-&gt;L"/>
    <s v="No"/>
    <s v="Y58466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464"/>
    <x v="0"/>
    <x v="0"/>
    <s v="49F103968"/>
    <s v="奕东名义下单"/>
    <x v="1"/>
    <s v="R-&gt;L"/>
    <s v="No"/>
    <s v="Y58467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358"/>
    <x v="0"/>
    <x v="0"/>
    <n v="110556"/>
    <s v="健科名义下单"/>
    <x v="12"/>
    <s v="R-&gt;L"/>
    <s v="No"/>
    <s v="Y58568"/>
    <n v="1"/>
    <s v="力合中转仓"/>
    <x v="147"/>
    <m/>
    <s v="OCT 21"/>
    <m/>
    <s v="JPY"/>
    <s v="C49SZX20210122DZ"/>
    <s v="深圳健科"/>
    <s v="YSM20R-2"/>
    <s v="R-&gt;L"/>
    <s v="No"/>
    <s v="OK"/>
    <s v="DAP SZ"/>
    <d v="2021-04-28T00:00:00"/>
    <s v="Yes"/>
    <m/>
    <m/>
    <m/>
    <s v="IND order "/>
  </r>
  <r>
    <n v="1359"/>
    <x v="0"/>
    <x v="0"/>
    <n v="110556"/>
    <s v="健科名义下单"/>
    <x v="12"/>
    <s v="R-&gt;L"/>
    <s v="No"/>
    <s v="Y58569"/>
    <n v="1"/>
    <s v="力合中转仓"/>
    <x v="147"/>
    <m/>
    <s v="OCT 21"/>
    <m/>
    <s v="JPY"/>
    <s v="C49SZX20210122DZ"/>
    <s v="深圳健科"/>
    <s v="YSM20R-2"/>
    <s v="R-&gt;L"/>
    <s v="MVC"/>
    <s v="WRONG"/>
    <s v="DAP SZ"/>
    <d v="2021-04-28T00:00:00"/>
    <s v="Yes"/>
    <m/>
    <m/>
    <m/>
    <s v="IND order "/>
  </r>
  <r>
    <n v="1397"/>
    <x v="0"/>
    <x v="0"/>
    <n v="110578"/>
    <s v="兴开泰名义下单"/>
    <x v="12"/>
    <s v="L-&gt;R"/>
    <s v="No"/>
    <s v="Y58712"/>
    <n v="1"/>
    <s v="前海保税区"/>
    <x v="147"/>
    <s v="NM"/>
    <s v="NOV 21"/>
    <m/>
    <s v="JPY"/>
    <s v="C49SZX20210158SS"/>
    <s v="弛瑞"/>
    <s v="YSM20R-2"/>
    <s v="L-&gt;R"/>
    <s v="MVC"/>
    <s v="WRONG"/>
    <s v="DAP SZ"/>
    <d v="2021-05-28T00:00:00"/>
    <s v="Yes"/>
    <m/>
    <m/>
    <m/>
    <s v="C210439993"/>
  </r>
  <r>
    <n v="1467"/>
    <x v="0"/>
    <x v="0"/>
    <n v="110578"/>
    <s v="兴开泰名义下单"/>
    <x v="12"/>
    <s v="R-&gt;L"/>
    <s v="No"/>
    <s v="Y58713"/>
    <n v="1"/>
    <s v="力合中转仓"/>
    <x v="147"/>
    <s v="NM"/>
    <s v="DEC 21"/>
    <m/>
    <s v="JPY"/>
    <s v="C49SZX20210186SS"/>
    <s v="恒业信"/>
    <s v="YSM20R-2"/>
    <s v="R-&gt;L"/>
    <s v="No"/>
    <s v="OK"/>
    <s v="DAP SZ"/>
    <d v="2021-08-03T00:00:00"/>
    <s v="Yes"/>
    <m/>
    <m/>
    <m/>
    <s v="C200337000"/>
  </r>
  <r>
    <n v="1465"/>
    <x v="0"/>
    <x v="0"/>
    <n v="110576"/>
    <s v="健科名义下单"/>
    <x v="12"/>
    <s v="L-&gt;R"/>
    <s v="Feeder Carriage"/>
    <s v="Y58626"/>
    <n v="1"/>
    <s v="前海保税区"/>
    <x v="147"/>
    <s v="NM"/>
    <s v="NOV 21"/>
    <m/>
    <s v="JPY"/>
    <s v="C49SZX20210184DZ"/>
    <s v="长沙健科"/>
    <s v="YSM20R-2"/>
    <s v="L-&gt;R"/>
    <s v="MVC+Feeder Carriage"/>
    <s v="WRONG"/>
    <s v="DAP CS"/>
    <d v="2021-07-31T00:00:00"/>
    <s v="Yes"/>
    <m/>
    <m/>
    <m/>
    <s v="IND order "/>
  </r>
  <r>
    <n v="1466"/>
    <x v="0"/>
    <x v="0"/>
    <n v="110576"/>
    <s v="健科名义下单"/>
    <x v="12"/>
    <s v="L-&gt;R"/>
    <s v="Feeder Carriage"/>
    <s v="Y58627"/>
    <n v="1"/>
    <s v="前海保税区"/>
    <x v="147"/>
    <s v="NM"/>
    <s v="NOV 21"/>
    <m/>
    <s v="JPY"/>
    <s v="C49SZX20210184DZ"/>
    <s v="长沙健科"/>
    <s v="YSM20R-2"/>
    <s v="L-&gt;R"/>
    <s v="Feeder Carriage"/>
    <s v="OK"/>
    <s v="DAP CS"/>
    <d v="2021-07-31T00:00:00"/>
    <s v="Yes"/>
    <m/>
    <m/>
    <m/>
    <s v="IND order "/>
  </r>
  <r>
    <n v="1403"/>
    <x v="0"/>
    <x v="0"/>
    <n v="110580"/>
    <s v="洛伦兹技术名义下单"/>
    <x v="12"/>
    <s v="L-&gt;R"/>
    <s v="No"/>
    <s v="Y58718"/>
    <n v="1"/>
    <s v="力合中转仓"/>
    <x v="147"/>
    <s v="NM"/>
    <s v="NOV 21"/>
    <m/>
    <s v="JPY"/>
    <s v="C49SZX20210164SS"/>
    <s v="派勤"/>
    <s v="YSM20R-2"/>
    <s v="L-&gt;R"/>
    <s v="No"/>
    <s v="OK"/>
    <s v="DAP SZ"/>
    <d v="2021-06-03T00:00:00"/>
    <s v="Yes"/>
    <m/>
    <m/>
    <m/>
    <s v="C201138627"/>
  </r>
  <r>
    <n v="1505"/>
    <x v="0"/>
    <x v="0"/>
    <n v="110580"/>
    <s v="洛伦兹技术名义下单"/>
    <x v="12"/>
    <s v="L-&gt;R"/>
    <s v="No"/>
    <s v="Y58719"/>
    <n v="1"/>
    <s v="前海保税区"/>
    <x v="147"/>
    <s v="NM"/>
    <s v="MAR 22"/>
    <m/>
    <s v="JPY"/>
    <s v="C49SZX20210103MZ"/>
    <s v="河南融创"/>
    <s v="YSM20R-2"/>
    <s v="L-&gt;R"/>
    <s v="No"/>
    <s v="OK"/>
    <s v="CIF HK"/>
    <d v="2021-11-24T00:00:00"/>
    <s v="Yes"/>
    <m/>
    <m/>
    <m/>
    <s v="C220242164"/>
  </r>
  <r>
    <n v="1372"/>
    <x v="0"/>
    <x v="0"/>
    <n v="110579"/>
    <s v="格隆名义下单"/>
    <x v="12"/>
    <s v="L-&gt;R"/>
    <s v="No"/>
    <s v="Y58717"/>
    <n v="1"/>
    <s v="前海保税区"/>
    <x v="147"/>
    <s v="NM"/>
    <s v="NOV 21"/>
    <m/>
    <s v="JPY"/>
    <s v="C49SZX20210147DY"/>
    <s v="朗迅"/>
    <s v="YSM20R-2"/>
    <s v="L-&gt;R"/>
    <s v="No"/>
    <s v="OK"/>
    <s v="DAP HZ"/>
    <d v="2021-05-17T00:00:00"/>
    <s v="Yes"/>
    <m/>
    <m/>
    <m/>
    <s v="C210640313"/>
  </r>
  <r>
    <n v="1404"/>
    <x v="0"/>
    <x v="0"/>
    <n v="110598"/>
    <s v="Cowell 名义下单"/>
    <x v="1"/>
    <s v="L-&gt;R"/>
    <s v="MVC F&amp;R+ATS15"/>
    <s v="Y58771"/>
    <n v="1"/>
    <s v="力合中转仓"/>
    <x v="147"/>
    <s v="NM"/>
    <s v="NOV 21"/>
    <m/>
    <s v="JPY"/>
    <s v="C49SZX20210164SS"/>
    <s v="派勤"/>
    <s v="YSM10"/>
    <s v="L-&gt;R"/>
    <s v="MVC+ATS15"/>
    <s v="WRONG"/>
    <s v="DAP SZ"/>
    <d v="2021-06-03T00:00:00"/>
    <s v="Yes"/>
    <m/>
    <m/>
    <m/>
    <s v="C201138627"/>
  </r>
  <r>
    <n v="1455"/>
    <x v="0"/>
    <x v="0"/>
    <n v="110582"/>
    <s v="新明海名义下单"/>
    <x v="1"/>
    <s v="R-&gt;L"/>
    <s v="96 FEEDER PLATE (YSM10) "/>
    <s v="Y58861"/>
    <n v="1"/>
    <s v="前海保税区"/>
    <x v="148"/>
    <s v="NM"/>
    <s v="OCT 21"/>
    <m/>
    <s v="JPY"/>
    <s v="C49SZX20210160EC"/>
    <s v="新明海"/>
    <s v="YSM10"/>
    <s v="R-&gt;L"/>
    <s v="MVC+Rear 站位"/>
    <s v="WRONG"/>
    <s v="DAP HZ"/>
    <d v="2021-07-05T00:00:00"/>
    <s v="Yes"/>
    <m/>
    <m/>
    <m/>
    <s v="IND order "/>
  </r>
  <r>
    <n v="1485"/>
    <x v="0"/>
    <x v="0"/>
    <n v="110582"/>
    <s v="新明海名义下单"/>
    <x v="1"/>
    <s v="R-&gt;L"/>
    <s v="96 FEEDER PLATE (YSM10) "/>
    <s v="Y58862"/>
    <n v="1"/>
    <s v="前海保税区"/>
    <x v="148"/>
    <s v="NM"/>
    <s v="NOV 21"/>
    <m/>
    <s v="JPY"/>
    <s v="C49SZX20210195JL"/>
    <s v="力通威"/>
    <s v="YSM10"/>
    <s v="L-&gt;R"/>
    <s v="MVC+96 FEEDER PLATE (YSM10) "/>
    <s v="WRONG"/>
    <s v="DAP DG"/>
    <d v="2021-10-22T00:00:00"/>
    <s v="Yes"/>
    <m/>
    <m/>
    <m/>
    <s v="C211141389"/>
  </r>
  <r>
    <n v="1422"/>
    <x v="0"/>
    <x v="0"/>
    <s v="49F104054"/>
    <s v="太美亚名义下单"/>
    <x v="12"/>
    <s v="R-&gt;L"/>
    <s v="No"/>
    <s v="Y58990"/>
    <n v="1"/>
    <s v="Yamaha 深圳仓库"/>
    <x v="149"/>
    <s v="RMB 单"/>
    <s v="NOV 21"/>
    <m/>
    <s v="JPY"/>
    <s v="C49SZX20210152SX"/>
    <s v="太美亚"/>
    <s v="YSM20R-2"/>
    <s v="R-&gt;L"/>
    <s v="No"/>
    <s v="OK"/>
    <s v="DAP SZ"/>
    <d v="2021-06-04T00:00:00"/>
    <s v="Yes"/>
    <m/>
    <m/>
    <m/>
    <s v="IND order "/>
  </r>
  <r>
    <n v="1423"/>
    <x v="0"/>
    <x v="0"/>
    <s v="49F104054"/>
    <s v="太美亚名义下单"/>
    <x v="12"/>
    <s v="R-&gt;L"/>
    <s v="No"/>
    <s v="Y58991"/>
    <n v="1"/>
    <s v="Yamaha 深圳仓库"/>
    <x v="149"/>
    <s v="RMB 单"/>
    <s v="NOV 21"/>
    <m/>
    <s v="JPY"/>
    <s v="C49SZX20210152SX"/>
    <s v="太美亚"/>
    <s v="YSM20R-2"/>
    <s v="R-&gt;L"/>
    <s v="No"/>
    <s v="OK"/>
    <s v="DAP SZ"/>
    <d v="2021-06-04T00:00:00"/>
    <s v="Yes"/>
    <m/>
    <m/>
    <m/>
    <s v="IND order "/>
  </r>
  <r>
    <n v="1355"/>
    <x v="0"/>
    <x v="0"/>
    <n v="110581"/>
    <s v="深圳上达名义下单"/>
    <x v="11"/>
    <s v="L-&gt;R"/>
    <s v="No"/>
    <s v="Y58723"/>
    <n v="1"/>
    <s v="前海保税区"/>
    <x v="150"/>
    <s v="NM"/>
    <s v="NOV 21"/>
    <m/>
    <s v="JPY"/>
    <s v="C49SZX20210133EC"/>
    <s v="海红天远"/>
    <s v="YSM20WR-2"/>
    <s v="L-&gt;R"/>
    <s v="No"/>
    <s v="OK"/>
    <s v="CIF HK"/>
    <d v="2021-04-28T00:00:00"/>
    <s v="Yes"/>
    <m/>
    <m/>
    <m/>
    <s v="C200737827"/>
  </r>
  <r>
    <n v="1356"/>
    <x v="0"/>
    <x v="0"/>
    <n v="110581"/>
    <s v="深圳上达名义下单"/>
    <x v="11"/>
    <s v="L-&gt;R"/>
    <s v="No"/>
    <s v="Y58724"/>
    <n v="1"/>
    <s v="前海保税区"/>
    <x v="150"/>
    <s v="NM"/>
    <s v="NOV 21"/>
    <m/>
    <s v="JPY"/>
    <s v="C49SZX20210133EC"/>
    <s v="海红天远"/>
    <s v="YSM20WR-2"/>
    <s v="L-&gt;R"/>
    <s v="No"/>
    <s v="OK"/>
    <s v="CIF HK"/>
    <d v="2021-04-28T00:00:00"/>
    <s v="Yes"/>
    <m/>
    <m/>
    <m/>
    <s v="C200737827"/>
  </r>
  <r>
    <n v="1246"/>
    <x v="0"/>
    <x v="0"/>
    <n v="110581"/>
    <s v="深圳上达名义下单"/>
    <x v="1"/>
    <s v="R-&gt;L"/>
    <s v="No"/>
    <s v="Y58864"/>
    <n v="1"/>
    <s v="力合仓库(已经清关)"/>
    <x v="150"/>
    <s v="NM"/>
    <s v="NOV 21"/>
    <m/>
    <s v="JPY"/>
    <s v="C49SZX20210073AY"/>
    <s v="铣米"/>
    <s v="YSM10"/>
    <s v="L-&gt;R"/>
    <s v="MVC"/>
    <s v="WRONG"/>
    <s v="DAP SZ"/>
    <d v="2021-03-10T00:00:00"/>
    <s v="Yes"/>
    <m/>
    <m/>
    <m/>
    <s v="C210640464"/>
  </r>
  <r>
    <n v="1434"/>
    <x v="0"/>
    <x v="0"/>
    <s v="110581(拆单110652)"/>
    <s v="深圳上达名义下单"/>
    <x v="1"/>
    <s v="R-&gt;L"/>
    <s v="No"/>
    <s v="Y58865"/>
    <n v="1"/>
    <s v="力合仓库(已经清关)"/>
    <x v="150"/>
    <n v="5.6800000000000003E-2"/>
    <s v="NOV 21"/>
    <m/>
    <s v="RMB"/>
    <s v="C49SZX20210172EC"/>
    <s v="科华/End user 美斯特"/>
    <s v="YSM10"/>
    <s v="L-&gt;R"/>
    <s v="MVC"/>
    <s v="WRONG"/>
    <s v="DDP SZ"/>
    <d v="2021-06-18T00:00:00"/>
    <s v="Yes"/>
    <m/>
    <m/>
    <m/>
    <s v="C180732715"/>
  </r>
  <r>
    <n v="1371"/>
    <x v="0"/>
    <x v="0"/>
    <n v="110594"/>
    <s v="Cowell 名义下单"/>
    <x v="12"/>
    <s v="L-&gt;R"/>
    <s v="No"/>
    <s v="Y58825"/>
    <n v="1"/>
    <s v="前海保税区"/>
    <x v="150"/>
    <n v="5.6300000000000003E-2"/>
    <s v="NOV 21"/>
    <m/>
    <s v="JPY"/>
    <s v="C49SZX20210147DY"/>
    <s v="朗迅"/>
    <s v="YSM20R-2"/>
    <s v="L-&gt;R"/>
    <s v="No"/>
    <s v="OK"/>
    <s v="DAP HZ"/>
    <d v="2021-05-17T00:00:00"/>
    <s v="Yes"/>
    <m/>
    <m/>
    <m/>
    <s v="C210640313"/>
  </r>
  <r>
    <n v="1511"/>
    <x v="0"/>
    <x v="0"/>
    <n v="110594"/>
    <s v="Cowell 名义下单"/>
    <x v="12"/>
    <s v="L-&gt;R"/>
    <s v="No"/>
    <s v="Y58826"/>
    <n v="1"/>
    <s v="力合仓库(已经清关)"/>
    <x v="150"/>
    <s v="0.0563，已经清关，尽量预留RMB单"/>
    <s v="DEC 21"/>
    <m/>
    <s v="RMB"/>
    <s v="C49SZX20210214EC"/>
    <s v="骏孚"/>
    <s v="YSM20R-2"/>
    <s v="L-&gt;R"/>
    <s v="No"/>
    <s v="OK"/>
    <s v="DDP GZ"/>
    <d v="2021-12-02T00:00:00"/>
    <s v="Yes"/>
    <m/>
    <m/>
    <m/>
    <s v="C210439747"/>
  </r>
  <r>
    <n v="1501"/>
    <x v="0"/>
    <x v="0"/>
    <s v="110635(拆单110656）"/>
    <s v="以络鑫名义下单"/>
    <x v="12"/>
    <s v="L-&gt;R"/>
    <s v="No"/>
    <s v="Y59183"/>
    <n v="1"/>
    <s v="力合仓库(已经清关)"/>
    <x v="151"/>
    <s v="Yamaha RMB单"/>
    <s v="DEC 21"/>
    <m/>
    <s v="RMB"/>
    <s v="C49SZX20210204SS"/>
    <s v="嘉力达"/>
    <s v="YSM20R-2"/>
    <s v="L-&gt;R"/>
    <s v="No"/>
    <s v="OK"/>
    <s v="DDP HZ"/>
    <d v="2021-11-13T00:00:00"/>
    <s v="Yes"/>
    <m/>
    <m/>
    <m/>
    <s v="C211141608"/>
  </r>
  <r>
    <n v="1459"/>
    <x v="0"/>
    <x v="0"/>
    <n v="110635"/>
    <s v="以络鑫名义下单"/>
    <x v="12"/>
    <s v="L-&gt;R"/>
    <s v="No"/>
    <s v="Y59184"/>
    <n v="1"/>
    <s v="力合仓库(已经清关)"/>
    <x v="151"/>
    <s v="Yamaha RMB单"/>
    <s v="MAR 22"/>
    <m/>
    <s v="RMB"/>
    <s v="C49SZX20210139DZ"/>
    <s v="力侬"/>
    <s v="YSM20R-2"/>
    <s v="L-&gt;R"/>
    <s v="No"/>
    <s v="OK"/>
    <s v="DDP QY"/>
    <d v="2021-07-15T00:00:00"/>
    <s v="Yes"/>
    <m/>
    <m/>
    <m/>
    <s v="C200938198"/>
  </r>
  <r>
    <n v="1153"/>
    <x v="0"/>
    <x v="0"/>
    <n v="110635"/>
    <s v="以络鑫名义下单"/>
    <x v="12"/>
    <s v="L-&gt;R"/>
    <s v="No"/>
    <s v="Y59185"/>
    <n v="1"/>
    <s v="力合中转仓"/>
    <x v="151"/>
    <s v="NM"/>
    <s v="DEC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154"/>
    <x v="0"/>
    <x v="0"/>
    <n v="110635"/>
    <s v="以络鑫名义下单"/>
    <x v="12"/>
    <s v="L-&gt;R"/>
    <s v="No"/>
    <s v="Y59186"/>
    <n v="1"/>
    <s v="力合中转仓"/>
    <x v="151"/>
    <s v="NM"/>
    <s v="DEC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495"/>
    <x v="0"/>
    <x v="0"/>
    <s v="110634(拆单110662)"/>
    <s v="以络鑫名义下单"/>
    <x v="1"/>
    <s v="R-&gt;L"/>
    <s v="MVC F&amp;R+ATS15"/>
    <s v="Y59179"/>
    <n v="1"/>
    <s v="码头-&gt;准备清关"/>
    <x v="151"/>
    <n v="5.6599999999999998E-2"/>
    <s v="DEC 21"/>
    <m/>
    <s v="RMB"/>
    <s v="C49SZX20210199R1SX"/>
    <s v="湖北奕宏"/>
    <s v="YSM10"/>
    <s v="L-&gt;R"/>
    <s v="MVC+ATS15"/>
    <s v="WRONG"/>
    <s v="DDP HB"/>
    <d v="2021-10-28T00:00:00"/>
    <s v="Yes"/>
    <m/>
    <m/>
    <m/>
    <s v="C170930167"/>
  </r>
  <r>
    <n v="1496"/>
    <x v="0"/>
    <x v="0"/>
    <s v="110634(拆单110662)"/>
    <s v="以络鑫名义下单"/>
    <x v="1"/>
    <s v="R-&gt;L"/>
    <s v="MVC F&amp;R+ATS15"/>
    <s v="Y59180"/>
    <n v="1"/>
    <s v="码头-&gt;准备清关"/>
    <x v="151"/>
    <n v="5.6599999999999998E-2"/>
    <s v="DEC 21"/>
    <m/>
    <s v="RMB"/>
    <s v="C49SZX20210199R1SX"/>
    <s v="湖北奕宏"/>
    <s v="YSM10"/>
    <s v="L-&gt;R"/>
    <s v="MVC+ATS15"/>
    <s v="WRONG"/>
    <s v="DDP HB"/>
    <d v="2021-10-28T00:00:00"/>
    <s v="Yes"/>
    <m/>
    <m/>
    <m/>
    <s v="C170930167"/>
  </r>
  <r>
    <n v="1158"/>
    <x v="0"/>
    <x v="0"/>
    <n v="110634"/>
    <s v="以络鑫名义下单"/>
    <x v="1"/>
    <s v="R-&gt;L"/>
    <s v="MVC F&amp;R+ATS15"/>
    <s v="Y59181"/>
    <n v="1"/>
    <s v="力合中转仓"/>
    <x v="151"/>
    <s v="NM"/>
    <s v="DEC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159"/>
    <x v="0"/>
    <x v="0"/>
    <n v="110634"/>
    <s v="以络鑫名义下单"/>
    <x v="1"/>
    <s v="R-&gt;L"/>
    <s v="MVC F&amp;R+ATS15"/>
    <s v="Y59182"/>
    <n v="1"/>
    <s v="力合中转仓"/>
    <x v="151"/>
    <s v="NM"/>
    <s v="DEC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401"/>
    <x v="0"/>
    <x v="0"/>
    <n v="110620"/>
    <s v="络鑫名义下单"/>
    <x v="12"/>
    <s v="L-&gt;R"/>
    <s v="No"/>
    <s v="Y59066"/>
    <n v="1"/>
    <s v="前海保税区"/>
    <x v="152"/>
    <s v="NM"/>
    <s v="NOV 21"/>
    <m/>
    <s v="JPY"/>
    <s v="C49SZX20210157SS"/>
    <s v="艺通能"/>
    <s v="YSM20R-2"/>
    <s v="L-&gt;R"/>
    <s v="No"/>
    <s v="OK"/>
    <s v="DAP SZ"/>
    <d v="2021-05-27T00:00:00"/>
    <s v="Yes"/>
    <m/>
    <m/>
    <m/>
    <s v="C210740721"/>
  </r>
  <r>
    <n v="1377"/>
    <x v="0"/>
    <x v="0"/>
    <n v="110620"/>
    <s v="络鑫名义下单"/>
    <x v="12"/>
    <s v="L-&gt;R"/>
    <s v="No"/>
    <s v="Y59067"/>
    <n v="1"/>
    <s v="前海保税区"/>
    <x v="152"/>
    <s v="NM "/>
    <s v="NOV 21"/>
    <m/>
    <s v="JPY"/>
    <s v="C49SZX20210151SX"/>
    <s v="龙腾共创"/>
    <s v="YSM20R-2"/>
    <s v="L-&gt;R"/>
    <s v="MVC"/>
    <s v="WRONG"/>
    <s v="DAP SZ"/>
    <d v="2021-05-20T00:00:00"/>
    <s v="Yes"/>
    <m/>
    <m/>
    <m/>
    <s v="C161128062"/>
  </r>
  <r>
    <n v="1407"/>
    <x v="0"/>
    <x v="0"/>
    <n v="110617"/>
    <s v="比泰利名义下单"/>
    <x v="12"/>
    <s v="L-&gt;R"/>
    <s v="MVC F&amp;R"/>
    <s v="Y59083"/>
    <n v="1"/>
    <s v="前海保税区"/>
    <x v="152"/>
    <s v="NM"/>
    <s v="NOV 21"/>
    <m/>
    <s v="JPY"/>
    <s v="C49SZX20210141DZ"/>
    <s v="比泰利"/>
    <s v="YSM20R-2"/>
    <s v="L-&gt;R"/>
    <s v="MVC F&amp;R"/>
    <s v="OK"/>
    <s v="DAP SZ"/>
    <d v="2021-06-08T00:00:00"/>
    <s v="Yes"/>
    <m/>
    <m/>
    <m/>
    <s v="IND order "/>
  </r>
  <r>
    <n v="1406"/>
    <x v="0"/>
    <x v="0"/>
    <n v="110617"/>
    <s v="比泰利名义下单"/>
    <x v="12"/>
    <s v="L-&gt;R"/>
    <s v="cATS30+MVC(F&amp;R)+15pallet for cATS30+交换台车"/>
    <s v="Y59084"/>
    <n v="1"/>
    <s v="前海保税区"/>
    <x v="152"/>
    <s v="NM"/>
    <s v="NOV 21"/>
    <m/>
    <s v="JPY"/>
    <s v="C49SZX20210141DZ"/>
    <s v="比泰利"/>
    <s v="YSM20R-2"/>
    <s v="L-&gt;R"/>
    <s v="cATS30+MVC(F&amp;R)+15pallet for cATS30+交换台车"/>
    <s v="OK"/>
    <s v="DAP SZ"/>
    <d v="2021-06-08T00:00:00"/>
    <s v="Yes"/>
    <m/>
    <m/>
    <m/>
    <s v="IND order "/>
  </r>
  <r>
    <n v="1354"/>
    <x v="0"/>
    <x v="0"/>
    <n v="110619"/>
    <s v="天邦达名义下单"/>
    <x v="11"/>
    <s v="L-&gt;R"/>
    <s v="cATS10+MVC(F&amp;R)+Feeder Carriage"/>
    <s v="Y59062"/>
    <n v="1"/>
    <s v="前海保税区"/>
    <x v="152"/>
    <s v="NM"/>
    <s v="NOV 21"/>
    <m/>
    <s v="JPY"/>
    <s v="C49SZX20210133EC"/>
    <s v="海红天远"/>
    <s v="YSM20WR-2"/>
    <s v="L-&gt;R"/>
    <s v="cATS10+MVC(F&amp;R)+Feeder Carriage"/>
    <s v="OK"/>
    <s v="CIF HK"/>
    <d v="2021-04-28T00:00:00"/>
    <s v="Yes"/>
    <m/>
    <m/>
    <m/>
    <s v="C200737827"/>
  </r>
  <r>
    <n v="1456"/>
    <x v="0"/>
    <x v="0"/>
    <n v="110618"/>
    <s v="力通威名义下单"/>
    <x v="1"/>
    <s v="L-&gt;R"/>
    <s v="MVC(F&amp;R)+96 FEEDER PLATE (YSM10) "/>
    <s v="Y59086"/>
    <n v="1"/>
    <s v="码头-&gt;准备清关"/>
    <x v="153"/>
    <s v="NM"/>
    <s v="DEC 21"/>
    <m/>
    <s v="JPY"/>
    <s v="C49SZX20210160EC"/>
    <s v="新明海"/>
    <s v="YSM10"/>
    <s v="R-&gt;L"/>
    <s v="MVC+Rear 站位"/>
    <s v="WRONG"/>
    <s v="DAP HZ"/>
    <d v="2021-07-05T00:00:00"/>
    <s v="Yes"/>
    <m/>
    <m/>
    <m/>
    <s v="C180933045"/>
  </r>
  <r>
    <n v="1454"/>
    <x v="0"/>
    <x v="0"/>
    <n v="110618"/>
    <s v="力通威名义下单"/>
    <x v="1"/>
    <s v="L-&gt;R"/>
    <s v="MVC(F&amp;R)+96 FEEDER PLATE (YSM10) "/>
    <s v="Y59087"/>
    <n v="1"/>
    <s v="码头-&gt;准备清关"/>
    <x v="153"/>
    <s v="NM"/>
    <s v="DEC 21"/>
    <m/>
    <s v="JPY"/>
    <s v="C49SZX20210160EC"/>
    <s v="新明海"/>
    <s v="YSM10"/>
    <s v="L-&gt;R"/>
    <s v="MVC+Rear 站位"/>
    <s v="WRONG"/>
    <s v="DAP HZ"/>
    <d v="2021-07-05T00:00:00"/>
    <s v="Yes"/>
    <m/>
    <m/>
    <m/>
    <s v="C180933045"/>
  </r>
  <r>
    <n v="1513"/>
    <x v="0"/>
    <x v="0"/>
    <s v="49F104089"/>
    <s v="深圳格隆"/>
    <x v="12"/>
    <s v="L-&gt;R"/>
    <s v="No"/>
    <s v="Y58471"/>
    <n v="1"/>
    <s v="力合仓库(已经清关)"/>
    <x v="154"/>
    <s v="RMB 单"/>
    <s v="FEB 22"/>
    <m/>
    <s v="RMB"/>
    <s v="C49SZX20210216AY"/>
    <s v="勃旭"/>
    <s v="YSM20R-2"/>
    <s v="L-&gt;R"/>
    <s v="No"/>
    <s v="OK"/>
    <s v="DDP SZ"/>
    <d v="2021-12-07T00:00:00"/>
    <s v="Yes"/>
    <m/>
    <m/>
    <m/>
    <s v="C210941086"/>
  </r>
  <r>
    <n v="1092"/>
    <x v="0"/>
    <x v="0"/>
    <s v="49F104087"/>
    <s v="广东晶科"/>
    <x v="12"/>
    <s v="L-&gt;R"/>
    <s v="No"/>
    <s v="Y58909"/>
    <n v="1"/>
    <s v="力合仓库(已经清关)"/>
    <x v="155"/>
    <s v="RMB 单"/>
    <s v="JAN 22"/>
    <m/>
    <s v="JPY"/>
    <s v="C49SZX20210031SX"/>
    <s v="益田科技"/>
    <s v="YSM20R-2"/>
    <s v="L-&gt;R"/>
    <s v="No"/>
    <s v="OK"/>
    <s v="DAP SZ"/>
    <d v="2021-01-26T00:00:00"/>
    <s v="Yes"/>
    <m/>
    <m/>
    <m/>
    <s v="C200938214"/>
  </r>
  <r>
    <n v="1556"/>
    <x v="0"/>
    <x v="0"/>
    <s v="49F104087"/>
    <s v="广东晶科"/>
    <x v="12"/>
    <s v="R-&gt;L"/>
    <s v="No"/>
    <s v="Y58989"/>
    <n v="1"/>
    <s v="力合仓库(已经清关)"/>
    <x v="155"/>
    <s v="RMB 单"/>
    <s v="FEB 22"/>
    <m/>
    <s v="JPY"/>
    <s v="C49SZX20220002BX"/>
    <s v="渝溢三甲"/>
    <s v="YSM20R-2"/>
    <s v="R-&gt;L"/>
    <s v="No"/>
    <s v="OK"/>
    <s v="DAP HZ"/>
    <d v="2022-01-06T00:00:00"/>
    <s v="Yes"/>
    <m/>
    <m/>
    <m/>
    <s v="C220141927"/>
  </r>
  <r>
    <n v="1091"/>
    <x v="0"/>
    <x v="0"/>
    <s v="49F104088"/>
    <s v="深圳宝捷信"/>
    <x v="12"/>
    <s v="L-&gt;R"/>
    <s v="No"/>
    <s v="Y58472"/>
    <n v="1"/>
    <s v="力合仓库(已经清关)"/>
    <x v="155"/>
    <s v="RMB 单"/>
    <s v="JAN 22"/>
    <m/>
    <s v="JPY"/>
    <s v="C49SZX20210031SX"/>
    <s v="益田科技"/>
    <s v="YSM20R-2"/>
    <s v="L-&gt;R"/>
    <s v="No"/>
    <s v="OK"/>
    <s v="DAP SZ"/>
    <d v="2021-01-26T00:00:00"/>
    <s v="Yes"/>
    <m/>
    <m/>
    <m/>
    <s v="C200938214"/>
  </r>
  <r>
    <n v="1586"/>
    <x v="0"/>
    <x v="0"/>
    <n v="110459"/>
    <s v="海红天远名义下单"/>
    <x v="11"/>
    <s v="L-&gt;R"/>
    <s v="cATS10+MVC(F&amp;R)+Feeder Carriage"/>
    <s v="Y58009"/>
    <n v="1"/>
    <s v="CY仓库"/>
    <x v="156"/>
    <s v="NM"/>
    <s v="MAY 22"/>
    <n v="2021.11"/>
    <s v="JPY"/>
    <s v="C49SZX20220013DZ"/>
    <s v="朗特"/>
    <s v="YSM20WR-2"/>
    <s v="L-&gt;R"/>
    <s v="cATS10+MVC(F&amp;R)+Feeder Carriage"/>
    <s v="OK"/>
    <s v="CIF HK"/>
    <d v="2022-02-22T00:00:00"/>
    <s v="Yes"/>
    <m/>
    <m/>
    <m/>
    <s v="C170729808"/>
  </r>
  <r>
    <n v="1585"/>
    <x v="0"/>
    <x v="0"/>
    <n v="110459"/>
    <s v="海红天远名义下单"/>
    <x v="11"/>
    <s v="L-&gt;R"/>
    <s v="No"/>
    <s v="Y58007"/>
    <n v="1"/>
    <s v="CY仓库"/>
    <x v="156"/>
    <s v="NM"/>
    <s v="MAY 22"/>
    <n v="2021.11"/>
    <s v="JPY"/>
    <s v="C49SZX20220013DZ"/>
    <s v="朗特"/>
    <s v="YSM20WR-2"/>
    <s v="L-&gt;R"/>
    <s v="MVC F&amp;R"/>
    <s v="WRONG"/>
    <s v="CIF HK"/>
    <d v="2022-02-22T00:00:00"/>
    <s v="Yes"/>
    <m/>
    <m/>
    <m/>
    <s v="C170729808"/>
  </r>
  <r>
    <n v="1587"/>
    <x v="0"/>
    <x v="0"/>
    <n v="110459"/>
    <s v="海红天远名义下单"/>
    <x v="11"/>
    <s v="L-&gt;R"/>
    <s v="No"/>
    <s v="Y58008"/>
    <n v="1"/>
    <s v="CY仓库"/>
    <x v="156"/>
    <s v="NM"/>
    <s v="MAY 22"/>
    <n v="2021.11"/>
    <s v="JPY"/>
    <s v="C49SZX20220013DZ"/>
    <s v="朗特"/>
    <s v="YSM20WR-2"/>
    <s v="L-&gt;R"/>
    <s v="No"/>
    <s v="OK"/>
    <s v="CIF HK"/>
    <d v="2022-02-22T00:00:00"/>
    <s v="Yes"/>
    <m/>
    <m/>
    <m/>
    <s v="C170729808"/>
  </r>
  <r>
    <n v="1424"/>
    <x v="0"/>
    <x v="0"/>
    <s v="110669(拆单110366）"/>
    <s v="Stock order"/>
    <x v="12"/>
    <s v="R-&gt;L"/>
    <s v="No"/>
    <s v="Y57086"/>
    <n v="1"/>
    <s v="码头-&gt;准备清关"/>
    <x v="157"/>
    <n v="6.0499999999999998E-2"/>
    <s v="DEC 21"/>
    <m/>
    <s v="JPY"/>
    <s v="C49SZX20210152SX"/>
    <s v="太美亚"/>
    <s v="YSM20R-2"/>
    <s v="R-&gt;L"/>
    <s v="No"/>
    <s v="OK"/>
    <s v="DAP SZ"/>
    <d v="2021-06-04T00:00:00"/>
    <s v="Yes"/>
    <m/>
    <m/>
    <m/>
    <s v="C190835446"/>
  </r>
  <r>
    <n v="1425"/>
    <x v="0"/>
    <x v="0"/>
    <n v="110669"/>
    <s v="Stock order"/>
    <x v="12"/>
    <s v="R-&gt;L"/>
    <s v="No"/>
    <s v="Y57087"/>
    <n v="1"/>
    <s v="码头-&gt;准备清关"/>
    <x v="157"/>
    <s v="TBA"/>
    <s v="DEC 21"/>
    <m/>
    <s v="JPY"/>
    <s v="C49SZX20210152SX"/>
    <s v="太美亚"/>
    <s v="YSM20R-2"/>
    <s v="R-&gt;L"/>
    <s v="No"/>
    <s v="OK"/>
    <s v="DAP SZ"/>
    <d v="2021-06-04T00:00:00"/>
    <s v="Yes"/>
    <m/>
    <m/>
    <m/>
    <s v="C190835446"/>
  </r>
  <r>
    <n v="1447"/>
    <x v="0"/>
    <x v="1"/>
    <n v="110530"/>
    <s v="Kstar 名义下单"/>
    <x v="10"/>
    <s v="L-&gt;R"/>
    <s v="No"/>
    <s v="Y59057"/>
    <n v="1"/>
    <s v="码头-&gt;准备清关"/>
    <x v="157"/>
    <n v="5.6899999999999999E-2"/>
    <s v="DEC 21"/>
    <m/>
    <s v="RMB"/>
    <s v="C28SZX2021024KC"/>
    <s v="广东科士达"/>
    <s v="YSD"/>
    <s v="R-&gt;L"/>
    <s v="No"/>
    <s v="WRONG"/>
    <s v="DDP SZ"/>
    <d v="2021-06-17T00:00:00"/>
    <s v="Yes"/>
    <m/>
    <m/>
    <m/>
    <s v="IND order "/>
  </r>
  <r>
    <n v="1448"/>
    <x v="0"/>
    <x v="1"/>
    <n v="110530"/>
    <s v="Kstar 名义下单"/>
    <x v="10"/>
    <s v="L-&gt;R"/>
    <s v="No"/>
    <s v="Y59058"/>
    <n v="1"/>
    <s v="码头-&gt;准备清关"/>
    <x v="157"/>
    <n v="5.6899999999999999E-2"/>
    <s v="DEC 21"/>
    <m/>
    <s v="RMB"/>
    <s v="C28SZX2021024KC"/>
    <s v="广东科士达"/>
    <s v="YSD"/>
    <s v="R-&gt;L"/>
    <s v="No"/>
    <s v="WRONG"/>
    <s v="DDP SZ"/>
    <d v="2021-06-17T00:00:00"/>
    <s v="Yes"/>
    <m/>
    <m/>
    <m/>
    <s v="IND order "/>
  </r>
  <r>
    <n v="1339"/>
    <x v="0"/>
    <x v="0"/>
    <n v="110671"/>
    <s v="Stock order"/>
    <x v="12"/>
    <s v="L-&gt;R"/>
    <s v="No"/>
    <s v="Y57246"/>
    <n v="1"/>
    <s v="前海保税区"/>
    <x v="158"/>
    <s v="NM"/>
    <s v="JAN 22"/>
    <m/>
    <s v="JPY"/>
    <s v="C49SZX20210119JY"/>
    <s v="百纳海"/>
    <s v="YSM20R-2"/>
    <s v="L-&gt;R"/>
    <s v="No"/>
    <s v="OK"/>
    <s v="DAP SZ"/>
    <d v="2021-04-20T00:00:00"/>
    <s v="Yes"/>
    <m/>
    <m/>
    <m/>
    <s v="C200637625"/>
  </r>
  <r>
    <n v="1353"/>
    <x v="0"/>
    <x v="0"/>
    <n v="110664"/>
    <s v="Stock order(54%)"/>
    <x v="1"/>
    <s v="R-&gt;L"/>
    <s v="MVC F&amp;R"/>
    <s v="Y59418"/>
    <n v="1"/>
    <s v="前海保税区"/>
    <x v="159"/>
    <s v="NM"/>
    <s v="JAN 22"/>
    <m/>
    <s v="JPY"/>
    <s v="C49SZX20210132VG"/>
    <s v="睿昌"/>
    <s v="YSM10"/>
    <s v="L-&gt;R"/>
    <s v="MVC"/>
    <s v="WRONG"/>
    <s v="DAP SZ"/>
    <d v="2021-04-27T00:00:00"/>
    <s v="Yes"/>
    <m/>
    <m/>
    <m/>
    <s v="C210640438"/>
  </r>
  <r>
    <n v="1394"/>
    <x v="0"/>
    <x v="0"/>
    <n v="110664"/>
    <s v="Stock order(54%)"/>
    <x v="1"/>
    <s v="R-&gt;L"/>
    <s v="MVC F&amp;R+ATS15+大板相机"/>
    <s v="Y59419"/>
    <n v="1"/>
    <s v="前海保税区"/>
    <x v="159"/>
    <s v="NM"/>
    <s v="JAN 22"/>
    <m/>
    <s v="JPY"/>
    <s v="C49SZX20210143DZ"/>
    <s v="方案集"/>
    <s v="YSM10"/>
    <s v="R-&gt;L"/>
    <s v="MVC+ATS15"/>
    <s v="WRONG"/>
    <s v="CIF HK"/>
    <d v="2021-05-25T00:00:00"/>
    <s v="Yes"/>
    <m/>
    <m/>
    <m/>
    <s v="C200637592"/>
  </r>
  <r>
    <n v="1400"/>
    <x v="0"/>
    <x v="0"/>
    <n v="110664"/>
    <s v="Stock order(54%)"/>
    <x v="1"/>
    <s v="R-&gt;L"/>
    <s v="MVC F&amp;R+大板相机"/>
    <s v="Y59421"/>
    <n v="1"/>
    <s v="前海保税区"/>
    <x v="159"/>
    <s v="NM"/>
    <s v="JAN 22"/>
    <m/>
    <s v="JPY"/>
    <s v="C49SZX20210144VG"/>
    <s v="鑫华锋"/>
    <s v="YSM10"/>
    <s v="L-&gt;R"/>
    <s v="MVC"/>
    <s v="WRONG"/>
    <s v="DAP SZ"/>
    <d v="2021-05-28T00:00:00"/>
    <s v="Yes"/>
    <m/>
    <m/>
    <m/>
    <s v="C210740683"/>
  </r>
  <r>
    <n v="1360"/>
    <x v="0"/>
    <x v="0"/>
    <n v="110664"/>
    <s v="Stock order(54%)"/>
    <x v="1"/>
    <s v="R-&gt;L"/>
    <s v="MVC F&amp;R+大板相机"/>
    <s v="Y59424"/>
    <n v="1"/>
    <s v="前海保税区"/>
    <x v="159"/>
    <s v="NM"/>
    <s v="JAN 22"/>
    <m/>
    <s v="JPY"/>
    <s v="C49SZX20210131SX"/>
    <s v="利速达"/>
    <s v="YSM10"/>
    <s v="L-&gt;R"/>
    <s v="MVC"/>
    <s v="WRONG"/>
    <s v="DAP SZ"/>
    <d v="2021-04-28T00:00:00"/>
    <s v="Yes"/>
    <m/>
    <m/>
    <m/>
    <s v="C180732624"/>
  </r>
  <r>
    <n v="1376"/>
    <x v="0"/>
    <x v="0"/>
    <n v="110664"/>
    <s v="Stock order(54%)"/>
    <x v="1"/>
    <s v="R-&gt;L"/>
    <s v="MVC F&amp;R+大板相机"/>
    <s v="Y59425"/>
    <n v="1"/>
    <s v="前海保税区"/>
    <x v="159"/>
    <s v="NM"/>
    <s v="JAN 22"/>
    <m/>
    <s v="JPY"/>
    <s v="C49SZX20210150SX"/>
    <s v="莫思特"/>
    <s v="YSM10"/>
    <s v="L-&gt;R"/>
    <s v="No"/>
    <s v="WRONG"/>
    <s v="DAP HZ"/>
    <d v="2021-05-18T00:00:00"/>
    <s v="Yes"/>
    <m/>
    <m/>
    <m/>
    <s v="C210640541"/>
  </r>
  <r>
    <n v="1411"/>
    <x v="0"/>
    <x v="0"/>
    <n v="110664"/>
    <s v="Stock order(54%)"/>
    <x v="1"/>
    <s v="R-&gt;L"/>
    <s v="MVC F&amp;R"/>
    <s v="Y59420"/>
    <n v="1"/>
    <s v="前海保税区"/>
    <x v="159"/>
    <s v="NM"/>
    <s v="JAN 22"/>
    <m/>
    <s v="JPY"/>
    <s v="C49SZX20210167MW"/>
    <s v="众华"/>
    <s v="YSM10"/>
    <s v="L-&gt;R"/>
    <s v="MVC"/>
    <s v="WRONG"/>
    <s v="DAP HN"/>
    <d v="2021-06-10T00:00:00"/>
    <s v="Yes"/>
    <m/>
    <m/>
    <m/>
    <s v="C210941180"/>
  </r>
  <r>
    <n v="1416"/>
    <x v="0"/>
    <x v="0"/>
    <n v="110664"/>
    <s v="Stock order(54%)"/>
    <x v="1"/>
    <s v="R-&gt;L"/>
    <s v="MVC F&amp;R+ATS15"/>
    <s v="Y59422"/>
    <n v="1"/>
    <s v="前海保税区"/>
    <x v="159"/>
    <s v="NM"/>
    <s v="JAN 22"/>
    <m/>
    <s v="JPY"/>
    <s v="C49SZX20210170DZ"/>
    <s v="鸿通宇"/>
    <s v="YSM10"/>
    <s v="L-&gt;R"/>
    <s v="MVC+ATS15"/>
    <s v="WRONG"/>
    <s v="DAP SZ"/>
    <d v="2021-06-11T00:00:00"/>
    <s v="Yes"/>
    <m/>
    <m/>
    <m/>
    <s v="C160526717"/>
  </r>
  <r>
    <n v="1417"/>
    <x v="0"/>
    <x v="0"/>
    <n v="110664"/>
    <s v="Stock order(54%)"/>
    <x v="1"/>
    <s v="R-&gt;L"/>
    <s v="MVC F&amp;R+ATS15"/>
    <s v="Y59423"/>
    <n v="1"/>
    <s v="前海保税区"/>
    <x v="159"/>
    <s v="NM"/>
    <s v="JAN 22"/>
    <m/>
    <s v="JPY"/>
    <s v="C49SZX20210170DZ"/>
    <s v="鸿通宇"/>
    <s v="YSM10"/>
    <s v="L-&gt;R"/>
    <s v="MVC+ATS15"/>
    <s v="WRONG"/>
    <s v="DAP SZ"/>
    <d v="2021-06-11T00:00:00"/>
    <s v="Yes"/>
    <m/>
    <m/>
    <m/>
    <s v="C160526717"/>
  </r>
  <r>
    <n v="1488"/>
    <x v="0"/>
    <x v="0"/>
    <n v="110670"/>
    <s v="Stock order(54%)"/>
    <x v="12"/>
    <s v="R-&gt;L"/>
    <s v="No"/>
    <s v="Y58207"/>
    <n v="1"/>
    <s v="力合仓库(已经清关)"/>
    <x v="159"/>
    <s v="NM"/>
    <s v="APR 22"/>
    <n v="2021.12"/>
    <s v="JPY"/>
    <s v="C49SZX20210200JY"/>
    <s v="英拓邦（End user:深圳傲尔）"/>
    <s v="YSM20R-2"/>
    <s v="R-&gt;L"/>
    <s v="No"/>
    <s v="OK"/>
    <s v="CIF HK"/>
    <d v="2021-10-27T00:00:00"/>
    <s v="Yes"/>
    <m/>
    <m/>
    <m/>
    <s v="C211241741"/>
  </r>
  <r>
    <n v="1293"/>
    <x v="0"/>
    <x v="0"/>
    <n v="110670"/>
    <s v="Stock order(54%)"/>
    <x v="12"/>
    <s v="R-&gt;L"/>
    <s v="No"/>
    <s v="Y58208"/>
    <n v="1"/>
    <s v="前海保税区"/>
    <x v="159"/>
    <s v="NM"/>
    <s v="JAN 22"/>
    <m/>
    <s v="JPY"/>
    <s v="C49SZX20210091SS"/>
    <s v="乘扬"/>
    <s v="YSM20R-2"/>
    <s v="R-&gt;L"/>
    <s v="No"/>
    <s v="OK"/>
    <s v="CIF HK"/>
    <d v="2021-03-30T00:00:00"/>
    <s v="Yes"/>
    <m/>
    <m/>
    <m/>
    <s v="C200437242"/>
  </r>
  <r>
    <n v="1439"/>
    <x v="0"/>
    <x v="0"/>
    <n v="110708"/>
    <s v="Stock order(51%)"/>
    <x v="12"/>
    <s v="L-&gt;R"/>
    <s v="No"/>
    <s v="Y59426"/>
    <n v="1"/>
    <s v="前海保税区"/>
    <x v="160"/>
    <s v="NM"/>
    <s v="APR 22"/>
    <m/>
    <s v="JPY"/>
    <s v="C49SZX20210130R1JY"/>
    <s v="海松微"/>
    <s v="YSM20R-2"/>
    <s v="L-&gt;R"/>
    <s v="No"/>
    <s v="OK"/>
    <s v="DAP SZ"/>
    <d v="2021-06-25T00:00:00"/>
    <s v="Yes"/>
    <m/>
    <m/>
    <m/>
    <s v="C160526717"/>
  </r>
  <r>
    <n v="1442"/>
    <x v="0"/>
    <x v="0"/>
    <n v="110708"/>
    <s v="Stock order(51%)"/>
    <x v="12"/>
    <s v="L-&gt;R"/>
    <s v="MVC F&amp;R"/>
    <s v="Y59427"/>
    <n v="1"/>
    <s v="前海保税区"/>
    <x v="160"/>
    <s v="NM"/>
    <s v="JAN 22"/>
    <m/>
    <s v="JPY"/>
    <s v="C49SZX20210176R1JY"/>
    <s v="建航"/>
    <s v="YSM20R-2"/>
    <s v="L-&gt;R"/>
    <s v="MVC"/>
    <s v="WRONG"/>
    <s v="DAP SZ"/>
    <d v="2021-06-25T00:00:00"/>
    <s v="Yes"/>
    <m/>
    <m/>
    <m/>
    <s v="C170529430"/>
  </r>
  <r>
    <n v="1414"/>
    <x v="0"/>
    <x v="0"/>
    <n v="110708"/>
    <s v="Stock order(51%)"/>
    <x v="12"/>
    <s v="L-&gt;R"/>
    <s v="No"/>
    <s v="Y59428"/>
    <n v="1"/>
    <s v="前海保税区"/>
    <x v="160"/>
    <s v="NM"/>
    <s v="JAN 22"/>
    <m/>
    <s v="JPY"/>
    <s v="C49SZX20210170DZ"/>
    <s v="鸿通宇"/>
    <s v="YSM20R-2"/>
    <s v="L-&gt;R"/>
    <s v="No"/>
    <s v="OK"/>
    <s v="DAP SZ"/>
    <d v="2021-06-11T00:00:00"/>
    <s v="Yes"/>
    <m/>
    <m/>
    <m/>
    <s v="C160526717"/>
  </r>
  <r>
    <n v="1475"/>
    <x v="0"/>
    <x v="0"/>
    <n v="110708"/>
    <s v="Stock order(51%)"/>
    <x v="12"/>
    <s v="L-&gt;R"/>
    <s v="No"/>
    <s v="Y59429"/>
    <n v="1"/>
    <s v="前海保税区"/>
    <x v="160"/>
    <s v="NM"/>
    <s v="JAN 22"/>
    <m/>
    <s v="JPY"/>
    <s v="C49SZX20210191DY"/>
    <s v="穗晖"/>
    <s v="YSM20R-2"/>
    <s v="L-&gt;R"/>
    <s v="No"/>
    <s v="OK"/>
    <s v="CIF HK"/>
    <d v="2021-09-13T00:00:00"/>
    <s v="Yes"/>
    <m/>
    <m/>
    <m/>
    <s v="C220141918"/>
  </r>
  <r>
    <n v="1707"/>
    <x v="0"/>
    <x v="0"/>
    <s v="49F104131"/>
    <s v="正邦名义下单"/>
    <x v="0"/>
    <s v="L-&gt;R"/>
    <s v="No"/>
    <s v="Y57508"/>
    <n v="1"/>
    <s v="力合仓库(已经清关)"/>
    <x v="161"/>
    <s v="RMB 单"/>
    <s v="AUG 22"/>
    <n v="2021.6"/>
    <s v="RMB"/>
    <s v="C49SZX20220083DZ"/>
    <s v="惠州耕创"/>
    <s v="YSM40R-4"/>
    <s v="L-&gt;R"/>
    <s v="No"/>
    <s v="OK"/>
    <s v="DDP HZ"/>
    <d v="2022-07-20T00:00:00"/>
    <s v="Yes"/>
    <m/>
    <m/>
    <m/>
    <s v="C220843546"/>
  </r>
  <r>
    <n v="1708"/>
    <x v="0"/>
    <x v="0"/>
    <s v="49F104131"/>
    <s v="正邦名义下单"/>
    <x v="0"/>
    <s v="L-&gt;R"/>
    <s v="No"/>
    <s v="Y57509"/>
    <n v="1"/>
    <s v="力合仓库(已经清关)"/>
    <x v="161"/>
    <s v="RMB 单"/>
    <s v="AUG 22"/>
    <n v="2021.6"/>
    <s v="RMB"/>
    <s v="C49SZX20220083DZ"/>
    <s v="惠州耕创"/>
    <s v="YSM40R-4"/>
    <s v="L-&gt;R"/>
    <s v="No"/>
    <s v="OK"/>
    <s v="DDP HZ"/>
    <d v="2022-07-20T00:00:00"/>
    <s v="Yes"/>
    <m/>
    <m/>
    <m/>
    <s v="C220843546"/>
  </r>
  <r>
    <n v="1540"/>
    <x v="0"/>
    <x v="0"/>
    <s v="49F104147"/>
    <s v="快宇名义下单"/>
    <x v="0"/>
    <s v="L-&gt;R"/>
    <s v="No"/>
    <s v="Y58302"/>
    <n v="1"/>
    <s v="Yamaha 仓库"/>
    <x v="161"/>
    <s v="RMB 单"/>
    <s v="JAN 22"/>
    <m/>
    <s v="RMB"/>
    <s v="C49SZX20210222JL"/>
    <s v="深圳快宇"/>
    <s v="YSM40R-4"/>
    <s v="L-&gt;R"/>
    <s v="No"/>
    <s v="OK"/>
    <s v="DDP SZ"/>
    <d v="2021-12-27T00:00:00"/>
    <s v="Yes"/>
    <m/>
    <m/>
    <m/>
    <s v="IND"/>
  </r>
  <r>
    <n v="1541"/>
    <x v="0"/>
    <x v="0"/>
    <s v="49F104157"/>
    <s v="世达威名义下单"/>
    <x v="0"/>
    <s v="L-&gt;R"/>
    <s v="No"/>
    <s v="Y58295"/>
    <n v="1"/>
    <s v="Yamaha 仓库"/>
    <x v="161"/>
    <s v="RMB 单"/>
    <m/>
    <m/>
    <s v="RMB"/>
    <s v="C49SZX20220001SS"/>
    <s v="深圳世达威"/>
    <s v="YSM40R-4"/>
    <s v="L-&gt;R"/>
    <s v="No"/>
    <s v="OK"/>
    <s v="DDP SZ"/>
    <d v="2022-01-04T00:00:00"/>
    <s v="Yes"/>
    <m/>
    <m/>
    <m/>
    <s v="IND"/>
  </r>
  <r>
    <n v="1543"/>
    <x v="0"/>
    <x v="0"/>
    <s v="49F104161"/>
    <s v="龙大名义下单"/>
    <x v="0"/>
    <s v="L-&gt;R"/>
    <s v="No"/>
    <s v="Y58296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4"/>
    <x v="0"/>
    <x v="0"/>
    <s v="49F104161"/>
    <s v="龙大名义下单"/>
    <x v="0"/>
    <s v="L-&gt;R"/>
    <s v="No"/>
    <s v="Y58297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5"/>
    <x v="0"/>
    <x v="0"/>
    <s v="49F104161"/>
    <s v="龙大名义下单"/>
    <x v="0"/>
    <s v="L-&gt;R"/>
    <s v="No"/>
    <s v="Y58298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6"/>
    <x v="0"/>
    <x v="0"/>
    <s v="49F104161"/>
    <s v="龙大名义下单"/>
    <x v="0"/>
    <s v="L-&gt;R"/>
    <s v="No"/>
    <s v="Y58299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7"/>
    <x v="0"/>
    <x v="0"/>
    <s v="49F104161"/>
    <s v="龙大名义下单"/>
    <x v="0"/>
    <s v="L-&gt;R"/>
    <s v="No"/>
    <s v="Y58300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29"/>
    <x v="0"/>
    <x v="0"/>
    <s v="49F104167"/>
    <s v="新亚胜名义下单"/>
    <x v="0"/>
    <s v="L-&gt;R"/>
    <s v="No"/>
    <s v="Y58305"/>
    <n v="1"/>
    <s v="Yamaha 苏州仓库"/>
    <x v="161"/>
    <s v="RMB 单"/>
    <s v="MAR 22"/>
    <m/>
    <s v="RMB"/>
    <s v="C49SZX20210210DZ"/>
    <s v="湖南新亚胜"/>
    <s v="YSM40R-4"/>
    <s v="L-&gt;R"/>
    <s v="No"/>
    <s v="OK"/>
    <s v="DDP CS"/>
    <d v="2021-12-16T00:00:00"/>
    <s v="Yes"/>
    <m/>
    <m/>
    <m/>
    <s v="IND"/>
  </r>
  <r>
    <n v="1530"/>
    <x v="0"/>
    <x v="0"/>
    <s v="49F104167"/>
    <s v="新亚胜名义下单"/>
    <x v="0"/>
    <s v="L-&gt;R"/>
    <s v="No"/>
    <s v="Y58306"/>
    <n v="1"/>
    <s v="Yamaha 苏州仓库"/>
    <x v="161"/>
    <s v="RMB 单"/>
    <s v="MAR 22"/>
    <m/>
    <s v="RMB"/>
    <s v="C49SZX20210210DZ"/>
    <s v="湖南新亚胜"/>
    <s v="YSM40R-4"/>
    <s v="L-&gt;R"/>
    <s v="No"/>
    <s v="OK"/>
    <s v="DDP CS"/>
    <d v="2021-12-16T00:00:00"/>
    <s v="Yes"/>
    <m/>
    <m/>
    <m/>
    <s v="IND"/>
  </r>
  <r>
    <n v="1512"/>
    <x v="0"/>
    <x v="0"/>
    <s v="49F104104"/>
    <s v="易通名义下单"/>
    <x v="1"/>
    <s v="R-&gt;L"/>
    <s v="No"/>
    <s v="Y59701"/>
    <n v="1"/>
    <s v="Yamaha 苏州仓库"/>
    <x v="161"/>
    <s v="RMB 单"/>
    <s v="FEB 22"/>
    <m/>
    <s v="RMB"/>
    <s v="C49SZX20210216AY"/>
    <s v="勃旭"/>
    <s v="YSM10"/>
    <s v="L-&gt;R"/>
    <s v="MVC"/>
    <s v="WRONG"/>
    <s v="DDP SZ"/>
    <d v="2021-12-07T00:00:00"/>
    <s v="Yes"/>
    <m/>
    <m/>
    <m/>
    <s v="C210941086"/>
  </r>
  <r>
    <n v="1484"/>
    <x v="0"/>
    <x v="0"/>
    <s v="49F104105"/>
    <s v="英托邦名义下单"/>
    <x v="1"/>
    <s v="R-&gt;L"/>
    <s v="No"/>
    <s v="Y59702 "/>
    <n v="1"/>
    <s v="力合仓库(已经清关)"/>
    <x v="161"/>
    <s v="RMB 单"/>
    <s v="MAR 22"/>
    <m/>
    <s v="RMB"/>
    <s v="C49SZX20210197JY"/>
    <s v="高华（End user:龙高）"/>
    <s v="YSM10"/>
    <s v="L-&gt;R"/>
    <s v="MVC"/>
    <s v="WRONG"/>
    <s v="DDP FS"/>
    <d v="2021-10-21T00:00:00"/>
    <s v="Yes"/>
    <m/>
    <m/>
    <m/>
    <s v="C151225623"/>
  </r>
  <r>
    <n v="1599"/>
    <x v="0"/>
    <x v="0"/>
    <s v="49F104103"/>
    <s v="勃旭名义下单"/>
    <x v="12"/>
    <s v="L-&gt;R"/>
    <s v="No"/>
    <s v="Y59781 "/>
    <n v="1"/>
    <s v="力合仓库(已经清关)"/>
    <x v="161"/>
    <s v="RMB 单"/>
    <s v="MAR 22"/>
    <m/>
    <s v="JPY"/>
    <s v="C49SZX20220017JL"/>
    <s v="英特莱"/>
    <s v="YSM20R-2"/>
    <s v="L-&gt;R"/>
    <s v="No"/>
    <s v="OK"/>
    <s v="DAP SZ"/>
    <d v="2022-02-24T00:00:00"/>
    <s v="Yes"/>
    <m/>
    <m/>
    <m/>
    <s v="C220342344"/>
  </r>
  <r>
    <n v="1382"/>
    <x v="0"/>
    <x v="0"/>
    <s v="49F104103"/>
    <s v="勃旭名义下单"/>
    <x v="1"/>
    <s v="R-&gt;L"/>
    <s v="No"/>
    <s v="Y59704 "/>
    <n v="1"/>
    <s v="力合仓库(已经清关)"/>
    <x v="161"/>
    <s v="RMB 单"/>
    <s v="MAR 22"/>
    <n v="2022.1"/>
    <s v="JPY"/>
    <s v="C49SZX20210155MZR1"/>
    <s v="巨能"/>
    <s v="YSM10"/>
    <s v="L-&gt;R"/>
    <s v="MVC"/>
    <s v="WRONG"/>
    <s v="DAP SZ"/>
    <d v="2021-05-21T00:00:00"/>
    <s v="Yes"/>
    <m/>
    <m/>
    <m/>
    <s v="C210640437"/>
  </r>
  <r>
    <n v="1383"/>
    <x v="0"/>
    <x v="0"/>
    <s v="49F104105"/>
    <s v="英托邦名义下单"/>
    <x v="1"/>
    <s v="R-&gt;L"/>
    <s v="No"/>
    <s v="Y59703"/>
    <n v="1"/>
    <s v="力合仓库(已经清关)"/>
    <x v="161"/>
    <s v="RMB 单"/>
    <s v="MAR 22"/>
    <n v="2022.1"/>
    <s v="JPY"/>
    <s v="C49SZX20210182MZ"/>
    <s v="巨能"/>
    <s v="YSM10"/>
    <s v="L-&gt;R"/>
    <s v="MVC"/>
    <s v="WRONG"/>
    <s v="DAP SZ"/>
    <d v="2021-05-21T00:00:00"/>
    <s v="Yes"/>
    <m/>
    <m/>
    <m/>
    <s v="C210640437"/>
  </r>
  <r>
    <n v="1606"/>
    <x v="0"/>
    <x v="1"/>
    <n v="110666"/>
    <s v="STOCK order"/>
    <x v="13"/>
    <s v="R-&gt;L"/>
    <s v="Repair Station+P-Tool AOI"/>
    <s v="Y59610"/>
    <n v="1"/>
    <s v="前海保税区"/>
    <x v="162"/>
    <s v="NM"/>
    <s v="JUN 22"/>
    <n v="2021.12"/>
    <s v="JPY"/>
    <s v="C49SZX20220028R1SX"/>
    <s v="通达科信"/>
    <s v="YSi-V"/>
    <s v="L-&gt;R"/>
    <s v="No"/>
    <s v="WRONG"/>
    <s v="CIF HK"/>
    <d v="2022-03-07T00:00:00"/>
    <s v="Yes"/>
    <m/>
    <m/>
    <m/>
    <s v="C220543032"/>
  </r>
  <r>
    <s v="上海禾川预留"/>
    <x v="0"/>
    <x v="1"/>
    <n v="110666"/>
    <s v="STOCK order"/>
    <x v="13"/>
    <s v="L-&gt;R"/>
    <s v="Repair Station+P-Tool AOI"/>
    <s v="Y59611"/>
    <n v="1"/>
    <s v="前海保税区"/>
    <x v="162"/>
    <s v="NM"/>
    <m/>
    <n v="2021.12"/>
    <s v="RMB"/>
    <s v="C49SHA20220306/LQM"/>
    <s v="浙江禾川"/>
    <s v="YSi-V"/>
    <s v="L-&gt;R"/>
    <s v="Repair Station+P-Tool AOI"/>
    <s v="OK"/>
    <s v="DDP 浙江"/>
    <d v="2022-03-26T00:00:00"/>
    <e v="#N/A"/>
    <m/>
    <m/>
    <m/>
    <s v="C211141465"/>
  </r>
  <r>
    <n v="1482"/>
    <x v="0"/>
    <x v="0"/>
    <s v="110665(拆单110801）"/>
    <s v="Stock order(51%)"/>
    <x v="12"/>
    <s v="L-&gt;R"/>
    <s v="cATS10+MVC+special layout"/>
    <s v="Y59430"/>
    <n v="1"/>
    <s v="前海保税区"/>
    <x v="163"/>
    <n v="5.6099999999999997E-2"/>
    <s v="FEB 22"/>
    <m/>
    <s v="RMB"/>
    <s v="C49SZX20210196MZ"/>
    <s v="派诺"/>
    <s v="YSM20R-2"/>
    <s v="L-&gt;R"/>
    <s v="cATS10+MVC+Feeder Carriage"/>
    <s v="WRONG"/>
    <s v="DDP ZH"/>
    <d v="2021-09-26T00:00:00"/>
    <s v="Yes"/>
    <m/>
    <m/>
    <m/>
    <s v="C120111315"/>
  </r>
  <r>
    <n v="1751"/>
    <x v="0"/>
    <x v="0"/>
    <n v="110665"/>
    <s v="Stock order(51%)"/>
    <x v="12"/>
    <s v="L-&gt;R"/>
    <s v="cATS10+MVC+special layout"/>
    <s v="Y59431"/>
    <n v="1"/>
    <s v="力合仓库(已经清关)"/>
    <x v="163"/>
    <n v="5.3449999999999998E-2"/>
    <s v="NOV 22"/>
    <n v="2021.12"/>
    <s v="RMB"/>
    <s v="C49SZX20220113DZ"/>
    <s v="比泰利"/>
    <s v="YSM20R-2"/>
    <s v="L-&gt;R"/>
    <s v="cATS10+MVC(F&amp;R)+special layout"/>
    <s v="WRONG"/>
    <s v="DDP SZ"/>
    <d v="2022-11-02T00:00:00"/>
    <s v="Yes"/>
    <m/>
    <m/>
    <m/>
    <s v="C211141606"/>
  </r>
  <r>
    <n v="1636"/>
    <x v="0"/>
    <x v="0"/>
    <n v="110693"/>
    <s v="深圳领德创下单"/>
    <x v="12"/>
    <s v="L-&gt;R"/>
    <s v="No"/>
    <s v="Y59644"/>
    <n v="1"/>
    <s v="前海保税区"/>
    <x v="163"/>
    <s v="Yamaha RMB单，Y57088益田名义报关"/>
    <s v="APR 22"/>
    <n v="2021.12"/>
    <s v="RMB"/>
    <s v="C49SZX20220043SQ"/>
    <s v="有泽"/>
    <s v="YSM20R-2"/>
    <s v="L-&gt;R"/>
    <s v="No"/>
    <s v="OK"/>
    <s v="DDP SZ"/>
    <d v="2022-04-08T00:00:00"/>
    <s v="Yes"/>
    <m/>
    <m/>
    <m/>
    <s v="C220442699"/>
  </r>
  <r>
    <n v="1634"/>
    <x v="0"/>
    <x v="0"/>
    <n v="110693"/>
    <s v="深圳领德创下单"/>
    <x v="12"/>
    <s v="L-&gt;R"/>
    <s v="No"/>
    <s v="Y59645"/>
    <n v="1"/>
    <s v="力合仓库(已经清关)"/>
    <x v="163"/>
    <s v="Yamaha RMB单"/>
    <s v="APR 22"/>
    <n v="2021.12"/>
    <s v="RMB"/>
    <s v="C49SZX20220039JY"/>
    <s v="顺禾"/>
    <s v="YSM20R-2"/>
    <s v="L-&gt;R"/>
    <s v="MVC"/>
    <s v="WRONG"/>
    <s v="DDP SZ"/>
    <d v="2022-03-24T00:00:00"/>
    <s v="Yes"/>
    <m/>
    <m/>
    <m/>
    <s v=" C220442618 "/>
  </r>
  <r>
    <n v="1598"/>
    <x v="0"/>
    <x v="0"/>
    <n v="110694"/>
    <s v="SZ 聚亮兴业"/>
    <x v="12"/>
    <s v="L-&gt;R"/>
    <s v="No"/>
    <s v="Y59650"/>
    <n v="1"/>
    <s v="力合仓库(已经清关)"/>
    <x v="164"/>
    <s v="0.0568,RMB清关"/>
    <s v="MAR 22"/>
    <m/>
    <s v="RMB"/>
    <s v="C49SZX20220023SX"/>
    <s v="拓新伟业"/>
    <s v="YSM20R-2"/>
    <s v="L-&gt;R"/>
    <s v="MVC"/>
    <s v="WRONG"/>
    <s v="DDP SZ"/>
    <d v="2022-02-23T00:00:00"/>
    <s v="Yes"/>
    <m/>
    <m/>
    <m/>
    <s v="C210239202"/>
  </r>
  <r>
    <n v="1567"/>
    <x v="0"/>
    <x v="0"/>
    <n v="110695"/>
    <s v="SZ 狂热者"/>
    <x v="12"/>
    <s v="L-&gt;R"/>
    <s v="No"/>
    <s v="Y59654"/>
    <n v="1"/>
    <s v="力合中转仓"/>
    <x v="164"/>
    <s v="NM"/>
    <s v="FEB 22"/>
    <m/>
    <s v="JPY"/>
    <s v="C49SZX20220014JL"/>
    <s v="捷舜诚"/>
    <s v="YSM20R-2"/>
    <s v="L-&gt;R"/>
    <s v="MVC"/>
    <s v="WRONG"/>
    <s v="DAP SZ"/>
    <d v="2022-01-25T00:00:00"/>
    <s v="Yes"/>
    <m/>
    <m/>
    <m/>
    <s v="C170629728"/>
  </r>
  <r>
    <n v="1504"/>
    <x v="0"/>
    <x v="0"/>
    <n v="110697"/>
    <s v="SZ 融创新合"/>
    <x v="12"/>
    <s v="L-&gt;R"/>
    <s v="No"/>
    <s v="Y59662"/>
    <n v="1"/>
    <s v="前海保税区"/>
    <x v="164"/>
    <s v="NM"/>
    <s v="MAY 22"/>
    <n v="2022.1"/>
    <s v="JPY"/>
    <s v="C49SZX20210103MZ"/>
    <s v="河南融创"/>
    <s v="YSM20R-2"/>
    <s v="L-&gt;R"/>
    <s v="No"/>
    <s v="OK"/>
    <s v="CIF HK"/>
    <d v="2021-11-24T00:00:00"/>
    <s v="Yes"/>
    <m/>
    <m/>
    <m/>
    <s v="C220242164"/>
  </r>
  <r>
    <n v="1514"/>
    <x v="0"/>
    <x v="0"/>
    <n v="110696"/>
    <s v="SZ 晨鑫达"/>
    <x v="12"/>
    <s v="L-&gt;R"/>
    <s v="No"/>
    <s v="Y59655"/>
    <n v="1"/>
    <s v="力合中转仓"/>
    <x v="165"/>
    <s v="NM"/>
    <s v="APR 22"/>
    <n v="2021.12"/>
    <s v="JPY"/>
    <s v="C49SZX20210206MZ"/>
    <s v="魔乐视"/>
    <s v="YSM20R-2"/>
    <s v="L-&gt;R"/>
    <s v="No"/>
    <s v="OK"/>
    <s v="DAP SZ"/>
    <d v="2021-12-10T00:00:00"/>
    <s v="Yes"/>
    <m/>
    <m/>
    <m/>
    <s v="C220342452"/>
  </r>
  <r>
    <n v="1515"/>
    <x v="0"/>
    <x v="0"/>
    <n v="110696"/>
    <s v="SZ 晨鑫达"/>
    <x v="12"/>
    <s v="L-&gt;R"/>
    <s v="No"/>
    <s v="Y59656"/>
    <n v="1"/>
    <s v="力合中转仓"/>
    <x v="165"/>
    <s v="NM"/>
    <s v="APR 22"/>
    <n v="2022.1"/>
    <s v="JPY"/>
    <s v="C49SZX20210206MZ"/>
    <s v="魔乐视"/>
    <s v="YSM20R-2"/>
    <s v="L-&gt;R"/>
    <s v="No"/>
    <s v="OK"/>
    <s v="DAP SZ"/>
    <d v="2021-12-10T00:00:00"/>
    <s v="Yes"/>
    <m/>
    <m/>
    <m/>
    <s v="C220342452"/>
  </r>
  <r>
    <n v="1497"/>
    <x v="0"/>
    <x v="0"/>
    <n v="110698"/>
    <s v="SZ 魔乐视"/>
    <x v="12"/>
    <s v="L-&gt;R"/>
    <s v="No"/>
    <s v="Y59657"/>
    <n v="1"/>
    <s v="力合中转仓"/>
    <x v="165"/>
    <s v="NM"/>
    <s v="FEB 22"/>
    <m/>
    <s v="JPY"/>
    <s v="C49SZX20210203EC"/>
    <s v="领德创"/>
    <s v="YSM20R-2"/>
    <s v="L-&gt;R"/>
    <s v="No"/>
    <s v="OK"/>
    <s v="DAP SZ"/>
    <d v="2021-11-11T00:00:00"/>
    <s v="Yes"/>
    <m/>
    <m/>
    <m/>
    <s v="C200737683"/>
  </r>
  <r>
    <n v="1498"/>
    <x v="0"/>
    <x v="0"/>
    <n v="110698"/>
    <s v="SZ 魔乐视"/>
    <x v="12"/>
    <s v="L-&gt;R"/>
    <s v="No"/>
    <s v="Y59658"/>
    <n v="1"/>
    <s v="力合中转仓"/>
    <x v="165"/>
    <s v="NM"/>
    <s v="FEB 22"/>
    <m/>
    <s v="JPY"/>
    <s v="C49SZX20210203EC"/>
    <s v="领德创"/>
    <s v="YSM20R-2"/>
    <s v="L-&gt;R"/>
    <s v="No"/>
    <s v="OK"/>
    <s v="DAP SZ"/>
    <d v="2021-11-11T00:00:00"/>
    <s v="Yes"/>
    <m/>
    <m/>
    <m/>
    <s v="C200737683"/>
  </r>
  <r>
    <n v="1579"/>
    <x v="0"/>
    <x v="0"/>
    <n v="110734"/>
    <s v="SZ 正讯"/>
    <x v="12"/>
    <s v="L-&gt;R"/>
    <s v="MVC F&amp;R"/>
    <s v="Y59959"/>
    <n v="1"/>
    <s v="力合中转仓"/>
    <x v="166"/>
    <s v="NM 110865"/>
    <s v="JUN 22"/>
    <n v="2022.1"/>
    <s v="JPY"/>
    <s v="C49SZX20220016JL"/>
    <s v="伯莱科"/>
    <s v="YSM20R-2"/>
    <s v="L-&gt;R"/>
    <s v="No"/>
    <s v="WRONG"/>
    <s v="DAP SZ"/>
    <d v="2022-02-15T00:00:00"/>
    <s v="Yes"/>
    <m/>
    <m/>
    <m/>
    <s v="C170128496"/>
  </r>
  <r>
    <n v="1531"/>
    <x v="0"/>
    <x v="0"/>
    <n v="110731"/>
    <s v="深圳傲尔"/>
    <x v="12"/>
    <s v="R-&gt;L"/>
    <s v="No"/>
    <s v="Y59950"/>
    <n v="1"/>
    <s v="前海保税区"/>
    <x v="166"/>
    <s v="NM"/>
    <s v="FEB 22"/>
    <m/>
    <s v="JPY"/>
    <s v="C49SZX20210223MZR1"/>
    <s v="东莞鸿楠"/>
    <s v="YSM20R-2"/>
    <s v="R-&gt;L"/>
    <s v="No"/>
    <s v="OK"/>
    <s v="CIF  HK"/>
    <d v="2023-07-13T00:00:00"/>
    <s v="Yes"/>
    <m/>
    <m/>
    <m/>
    <s v="C220242115"/>
  </r>
  <r>
    <n v="1499"/>
    <x v="0"/>
    <x v="0"/>
    <n v="110689"/>
    <s v="深圳领德创下单"/>
    <x v="1"/>
    <s v="R-&gt;L"/>
    <s v="MVC F&amp;R+ATS15"/>
    <s v="Y59643"/>
    <n v="1"/>
    <s v="力合中转仓"/>
    <x v="166"/>
    <s v="NM"/>
    <s v="FEB 22"/>
    <m/>
    <s v="JPY"/>
    <s v="C49SZX20210203EC"/>
    <s v="领德创"/>
    <s v="YSM10"/>
    <s v="L-&gt;R"/>
    <s v="MVC+ATS15"/>
    <s v="WRONG"/>
    <s v="DAP SZ"/>
    <d v="2021-11-11T00:00:00"/>
    <s v="Yes"/>
    <m/>
    <m/>
    <m/>
    <s v="IND"/>
  </r>
  <r>
    <n v="1564"/>
    <x v="0"/>
    <x v="0"/>
    <n v="110690"/>
    <s v="狂热者下单"/>
    <x v="1"/>
    <s v="R-&gt;L"/>
    <s v="MVC F&amp;R+ATS15"/>
    <s v="Y59653"/>
    <n v="1"/>
    <s v="前海保税区"/>
    <x v="166"/>
    <s v="NM"/>
    <s v="MAY 22"/>
    <n v="2022.1"/>
    <s v="JPY"/>
    <s v="C49SZX20220003EC"/>
    <s v="海红天远"/>
    <s v="YSM10"/>
    <s v="L-&gt;R"/>
    <s v="MVC+ATS15"/>
    <s v="WRONG"/>
    <s v="CIF HK"/>
    <d v="2022-01-24T00:00:00"/>
    <s v="Yes"/>
    <m/>
    <m/>
    <m/>
    <s v="C200737827"/>
  </r>
  <r>
    <n v="1474"/>
    <x v="0"/>
    <x v="0"/>
    <n v="110630"/>
    <s v="健科名义下单"/>
    <x v="17"/>
    <s v="L-&gt;R"/>
    <s v="No"/>
    <s v="Y59216"/>
    <n v="1"/>
    <s v="力合仓库(已经清关)"/>
    <x v="166"/>
    <s v="NM"/>
    <s v="FEB 22"/>
    <m/>
    <s v="JPY"/>
    <s v="C49SZX20210189DZ"/>
    <s v="长沙健科"/>
    <s v="YRH10"/>
    <s v="L-&gt;R"/>
    <s v="No"/>
    <s v="OK"/>
    <s v="DAP CS"/>
    <d v="2021-09-08T00:00:00"/>
    <s v="Yes"/>
    <m/>
    <m/>
    <m/>
    <s v="IND"/>
  </r>
  <r>
    <n v="1591"/>
    <x v="0"/>
    <x v="0"/>
    <n v="110691"/>
    <s v="方案集下单"/>
    <x v="1"/>
    <s v="R-&gt;L"/>
    <s v="MVC F&amp;R+ATS15"/>
    <s v="Y59648"/>
    <n v="1"/>
    <s v="CY仓库"/>
    <x v="166"/>
    <s v="NM"/>
    <s v="MAY 22"/>
    <n v="2022.1"/>
    <s v="JPY"/>
    <s v="C49SZX20220013DZ"/>
    <s v="朗特"/>
    <s v="YSM10"/>
    <s v="R-&gt;L"/>
    <s v="MVC+ATS15"/>
    <s v="WRONG"/>
    <s v="CIF HK"/>
    <d v="2022-02-22T00:00:00"/>
    <s v="Yes"/>
    <m/>
    <m/>
    <m/>
    <s v="C200637456"/>
  </r>
  <r>
    <n v="1248"/>
    <x v="0"/>
    <x v="0"/>
    <n v="110692"/>
    <s v="祥弘瑞下单"/>
    <x v="1"/>
    <s v="R-&gt;L"/>
    <s v="MVC F&amp;R+大板相机"/>
    <s v="Y59646"/>
    <n v="1"/>
    <s v="前海保税区"/>
    <x v="166"/>
    <s v="NM"/>
    <s v="FEB 22"/>
    <m/>
    <s v="JPY"/>
    <s v="C49SZX20210072SS"/>
    <s v="祥弘瑞"/>
    <s v="YSM10"/>
    <s v="L-&gt;R"/>
    <s v="MVC"/>
    <s v="WRONG"/>
    <s v="DAP SZ"/>
    <d v="2021-03-11T00:00:00"/>
    <s v="Yes"/>
    <m/>
    <m/>
    <m/>
    <s v="IND"/>
  </r>
  <r>
    <n v="1506"/>
    <x v="0"/>
    <x v="0"/>
    <n v="110726"/>
    <s v="河南融创"/>
    <x v="1"/>
    <s v="R-&gt;L"/>
    <s v="MVC F&amp;R+ATS15"/>
    <s v="Y59930"/>
    <n v="1"/>
    <s v="前海保税区"/>
    <x v="167"/>
    <s v="NM"/>
    <s v="MAR 22"/>
    <n v="2022.1"/>
    <s v="JPY"/>
    <s v="C49SZX20210103MZ"/>
    <s v="河南融创"/>
    <s v="YSM10"/>
    <s v="L-&gt;R"/>
    <s v="MVC+ATS15"/>
    <s v="WRONG"/>
    <s v="CIF HK"/>
    <d v="2021-11-24T00:00:00"/>
    <s v="Yes"/>
    <m/>
    <m/>
    <m/>
    <s v="C220242164"/>
  </r>
  <r>
    <n v="1507"/>
    <x v="0"/>
    <x v="0"/>
    <n v="110726"/>
    <s v="河南融创"/>
    <x v="1"/>
    <s v="R-&gt;L"/>
    <s v="MVC F&amp;R+ATS15"/>
    <s v="Y59931"/>
    <n v="1"/>
    <s v="前海保税区"/>
    <x v="167"/>
    <s v="NM"/>
    <s v="MAY 22"/>
    <n v="2022.1"/>
    <s v="JPY"/>
    <s v="C49SZX20210103MZ"/>
    <s v="河南融创"/>
    <s v="YSM10"/>
    <s v="L-&gt;R"/>
    <s v="MVC+ATS15"/>
    <s v="WRONG"/>
    <s v="CIF HK"/>
    <d v="2021-11-24T00:00:00"/>
    <s v="Yes"/>
    <m/>
    <m/>
    <m/>
    <s v="C220242164"/>
  </r>
  <r>
    <n v="1225"/>
    <x v="0"/>
    <x v="0"/>
    <n v="110727"/>
    <s v="SZ 海凌科达"/>
    <x v="1"/>
    <s v="R-&gt;L"/>
    <s v="MVC F&amp;R"/>
    <s v="Y59932"/>
    <n v="1"/>
    <s v="前海保税区"/>
    <x v="167"/>
    <s v="NM"/>
    <s v="MAR 22"/>
    <m/>
    <s v="JPY"/>
    <s v="C49SZX20210083SS"/>
    <s v="世启纳"/>
    <s v="YSM10"/>
    <s v="R-&gt;L"/>
    <s v="MVC"/>
    <s v="WRONG"/>
    <s v="DAP SZ"/>
    <d v="2021-03-09T00:00:00"/>
    <s v="Yes"/>
    <m/>
    <m/>
    <m/>
    <s v="C210640351"/>
  </r>
  <r>
    <n v="1226"/>
    <x v="0"/>
    <x v="0"/>
    <n v="110727"/>
    <s v="SZ 海凌科达"/>
    <x v="1"/>
    <s v="R-&gt;L"/>
    <s v="MVC F&amp;R"/>
    <s v="Y59933"/>
    <n v="1"/>
    <s v="前海保税区"/>
    <x v="167"/>
    <s v="NM"/>
    <s v="MAR 22"/>
    <m/>
    <s v="JPY"/>
    <s v="C49SZX20210083SS"/>
    <s v="世启纳"/>
    <s v="YSM10"/>
    <s v="L-&gt;R"/>
    <s v="MVC"/>
    <s v="WRONG"/>
    <s v="DAP SZ"/>
    <d v="2021-03-09T00:00:00"/>
    <s v="Yes"/>
    <m/>
    <m/>
    <m/>
    <s v="C210640351"/>
  </r>
  <r>
    <n v="1369"/>
    <x v="0"/>
    <x v="0"/>
    <n v="110729"/>
    <s v="SZ 鸿南电子"/>
    <x v="12"/>
    <s v="L-&gt;R"/>
    <s v="No"/>
    <s v="Y59936"/>
    <n v="1"/>
    <s v="前海保税区"/>
    <x v="167"/>
    <s v="NM"/>
    <s v="MAR 22"/>
    <n v="2022.1"/>
    <s v="JPY"/>
    <s v="C49SZX20210149DY"/>
    <s v="格隆"/>
    <s v="YSM20R-2"/>
    <s v="L-&gt;R"/>
    <s v="No"/>
    <s v="OK"/>
    <s v="CIF HK"/>
    <d v="2021-05-14T00:00:00"/>
    <s v="Yes"/>
    <m/>
    <m/>
    <m/>
    <s v="C210640305"/>
  </r>
  <r>
    <n v="1487"/>
    <x v="0"/>
    <x v="0"/>
    <n v="110729"/>
    <s v="SZ 鸿南电子"/>
    <x v="12"/>
    <s v="L-&gt;R"/>
    <s v="No"/>
    <s v="Y59937"/>
    <n v="1"/>
    <s v="前海保税区"/>
    <x v="167"/>
    <s v="NM"/>
    <s v="MAR 22"/>
    <m/>
    <s v="JPY"/>
    <s v="C49SZX20210200JY"/>
    <s v="英拓邦（End user:深圳傲尔）"/>
    <s v="YSM20R-2"/>
    <s v="L-&gt;R"/>
    <s v="No"/>
    <s v="OK"/>
    <s v="CIF HK"/>
    <d v="2021-10-27T00:00:00"/>
    <s v="Yes"/>
    <m/>
    <m/>
    <m/>
    <s v="C211241741"/>
  </r>
  <r>
    <n v="1273"/>
    <x v="0"/>
    <x v="0"/>
    <n v="110729"/>
    <s v="SZ 鸿南电子"/>
    <x v="1"/>
    <s v="R-&gt;L"/>
    <s v="MVC F&amp;R"/>
    <s v="Y59934"/>
    <n v="1"/>
    <s v="前海保税区"/>
    <x v="167"/>
    <s v="NM"/>
    <s v="MAR 22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274"/>
    <x v="0"/>
    <x v="0"/>
    <n v="110729"/>
    <s v="SZ 鸿南电子"/>
    <x v="1"/>
    <s v="R-&gt;L"/>
    <s v="MVC F&amp;R"/>
    <s v="Y59935"/>
    <n v="1"/>
    <s v="前海保税区"/>
    <x v="167"/>
    <s v="NM"/>
    <s v="MAR 22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468"/>
    <x v="0"/>
    <x v="0"/>
    <n v="110733"/>
    <s v="珠海派诺"/>
    <x v="12"/>
    <s v="L-&gt;R"/>
    <s v="cATS10+MVC+special layout"/>
    <s v="Y59956"/>
    <n v="1"/>
    <s v="力合中转仓"/>
    <x v="168"/>
    <s v="NM"/>
    <s v="MAR 22"/>
    <n v="2022.2"/>
    <s v="JPY"/>
    <s v="C49SZX20210185DZ"/>
    <s v="宝捷信"/>
    <s v="YSM20R-2"/>
    <s v="L-&gt;R"/>
    <s v="cATS10+MVC+Feeder Carriage"/>
    <s v="WRONG"/>
    <s v="DAP HZ"/>
    <d v="2021-08-02T00:00:00"/>
    <s v="Yes"/>
    <m/>
    <m/>
    <m/>
    <s v="C210540203"/>
  </r>
  <r>
    <n v="1093"/>
    <x v="0"/>
    <x v="0"/>
    <n v="110800"/>
    <s v="Stock order"/>
    <x v="1"/>
    <s v="R-&gt;L"/>
    <s v="No"/>
    <s v="Y56514"/>
    <n v="1"/>
    <s v="力合仓库(已经清关)"/>
    <x v="168"/>
    <s v="NM"/>
    <s v="APR 22"/>
    <n v="2022.2"/>
    <s v="JPY"/>
    <s v="C49SZX20210031SX"/>
    <s v="益田科技"/>
    <s v="YSM10"/>
    <s v="R-&gt;L"/>
    <s v="No"/>
    <s v="OK"/>
    <s v="DAP SZ"/>
    <d v="2021-01-26T00:00:00"/>
    <s v="Yes"/>
    <m/>
    <m/>
    <m/>
    <s v="C200938214"/>
  </r>
  <r>
    <n v="1502"/>
    <x v="0"/>
    <x v="0"/>
    <n v="110800"/>
    <s v="Stock order"/>
    <x v="1"/>
    <s v="R-&gt;L"/>
    <s v="No"/>
    <s v="Y56515"/>
    <n v="1"/>
    <s v="力合中转仓"/>
    <x v="168"/>
    <s v="NM"/>
    <s v="MAR 22"/>
    <m/>
    <s v="JPY"/>
    <s v="C49SZX20210205SS"/>
    <s v="嘉力达"/>
    <s v="YSM10"/>
    <s v="L-&gt;R"/>
    <s v="MVC"/>
    <s v="WRONG"/>
    <s v="DAP HZ"/>
    <d v="2021-11-13T00:00:00"/>
    <s v="Yes"/>
    <m/>
    <m/>
    <m/>
    <s v="C211141608"/>
  </r>
  <r>
    <n v="1517"/>
    <x v="0"/>
    <x v="0"/>
    <n v="110771"/>
    <s v="Stock order"/>
    <x v="1"/>
    <s v="R-&gt;L"/>
    <s v="MVC+ATS15"/>
    <s v="Y57567"/>
    <n v="1"/>
    <s v="力合中转仓"/>
    <x v="168"/>
    <s v="NM"/>
    <s v="APR 22"/>
    <n v="2022.2"/>
    <s v="JPY"/>
    <s v="C49SZX20210206MZ"/>
    <s v="魔乐视"/>
    <s v="YSM10"/>
    <s v="L-&gt;R"/>
    <s v="MVC+ATS15"/>
    <s v="WRONG"/>
    <s v="DAP SZ"/>
    <d v="2021-12-10T00:00:00"/>
    <s v="Yes"/>
    <m/>
    <m/>
    <m/>
    <s v="C220342452"/>
  </r>
  <r>
    <n v="1492"/>
    <x v="0"/>
    <x v="0"/>
    <n v="110771"/>
    <s v="Stock order"/>
    <x v="1"/>
    <s v="R-&gt;L"/>
    <s v="No"/>
    <s v="Y57568"/>
    <n v="1"/>
    <s v="力合仓库(已经清关)"/>
    <x v="168"/>
    <n v="5.5100000000000003E-2"/>
    <s v="APR 22"/>
    <n v="2022.2"/>
    <s v="JPY"/>
    <s v="C49SZX20210194SQ"/>
    <s v="旭协（End user 驰电）"/>
    <s v="YSM10"/>
    <s v="R-&gt;L"/>
    <s v="MVC"/>
    <s v="WRONG"/>
    <s v="DAPSZ"/>
    <d v="2021-10-30T00:00:00"/>
    <s v="Yes"/>
    <m/>
    <m/>
    <m/>
    <s v="C210840857"/>
  </r>
  <r>
    <n v="1469"/>
    <x v="0"/>
    <x v="0"/>
    <n v="110728"/>
    <s v="SZ 恒泰创新"/>
    <x v="12"/>
    <s v="L-&gt;R"/>
    <s v="No"/>
    <s v="Y59927"/>
    <n v="1"/>
    <s v="力合中转仓"/>
    <x v="168"/>
    <s v="Yamaha RMB单49F104105"/>
    <s v="MAR 22"/>
    <n v="2022.1"/>
    <s v="JPY"/>
    <s v="C49SZX20210185DZ"/>
    <s v="宝捷信"/>
    <s v="YSM20R-2"/>
    <s v="L-&gt;R"/>
    <s v="No"/>
    <s v="OK"/>
    <s v="DAP HZ"/>
    <d v="2021-08-02T00:00:00"/>
    <s v="Yes"/>
    <m/>
    <m/>
    <m/>
    <s v="C210540203"/>
  </r>
  <r>
    <n v="1489"/>
    <x v="0"/>
    <x v="0"/>
    <n v="110728"/>
    <s v="SZ 恒泰创新"/>
    <x v="1"/>
    <s v="R-&gt;L"/>
    <s v="MVC F&amp;R"/>
    <s v="Y59928"/>
    <n v="1"/>
    <s v="力合中转仓"/>
    <x v="168"/>
    <s v="NM"/>
    <s v="MAR 22"/>
    <m/>
    <s v="JPY"/>
    <s v="C49SZX20210200JY"/>
    <s v="英拓邦（End user:深圳傲尔）"/>
    <s v="YSM10"/>
    <s v="L-&gt;R"/>
    <s v="MVC"/>
    <s v="WRONG"/>
    <s v="CIF HK"/>
    <d v="2021-10-27T00:00:00"/>
    <s v="Yes"/>
    <m/>
    <m/>
    <m/>
    <s v="C211241741"/>
  </r>
  <r>
    <n v="1320"/>
    <x v="0"/>
    <x v="0"/>
    <n v="110472"/>
    <s v="Stock order"/>
    <x v="1"/>
    <s v="R-&gt;L"/>
    <s v="MVC"/>
    <s v="Y57570"/>
    <n v="1"/>
    <s v="力合中转仓"/>
    <x v="169"/>
    <n v="5.9499999999999997E-2"/>
    <s v="MAR 22"/>
    <m/>
    <s v="JPY"/>
    <s v="C49SZX20210111DZ"/>
    <s v="恒创兴"/>
    <s v="YSM10"/>
    <s v="L-&gt;R"/>
    <s v="MVC"/>
    <s v="WRONG"/>
    <s v="CIF HK"/>
    <d v="2021-04-09T00:00:00"/>
    <s v="Yes"/>
    <m/>
    <m/>
    <m/>
    <s v="C210640274"/>
  </r>
  <r>
    <n v="1373"/>
    <x v="0"/>
    <x v="0"/>
    <n v="110472"/>
    <s v="Stock order"/>
    <x v="1"/>
    <s v="R-&gt;L"/>
    <s v="MVC"/>
    <s v="Y57571"/>
    <n v="1"/>
    <s v="力合中转仓"/>
    <x v="169"/>
    <n v="5.9499999999999997E-2"/>
    <s v="MAR 22"/>
    <m/>
    <s v="JPY"/>
    <s v="C49SZX20210147DY"/>
    <s v="朗迅"/>
    <s v="YSM10"/>
    <s v="L-&gt;R"/>
    <s v="MVC"/>
    <s v="WRONG"/>
    <s v="DAP HZ"/>
    <d v="2021-05-17T00:00:00"/>
    <s v="Yes"/>
    <m/>
    <m/>
    <m/>
    <s v="C210640313"/>
  </r>
  <r>
    <n v="1374"/>
    <x v="0"/>
    <x v="0"/>
    <n v="110472"/>
    <s v="Stock order"/>
    <x v="1"/>
    <s v="R-&gt;L"/>
    <s v="No"/>
    <s v="Y57569"/>
    <n v="1"/>
    <s v="力合中转仓"/>
    <x v="169"/>
    <n v="5.9499999999999997E-2"/>
    <s v="MAR 22"/>
    <m/>
    <s v="JPY"/>
    <s v="C49SZX20210147DY"/>
    <s v="朗迅"/>
    <s v="YSM10"/>
    <s v="L-&gt;R"/>
    <s v="MVC"/>
    <s v="WRONG"/>
    <s v="DAP HZ"/>
    <d v="2021-05-17T00:00:00"/>
    <s v="Yes"/>
    <m/>
    <m/>
    <m/>
    <s v="C210640313"/>
  </r>
  <r>
    <n v="1408"/>
    <x v="0"/>
    <x v="0"/>
    <n v="110730"/>
    <s v="SZ 魔乐视"/>
    <x v="12"/>
    <s v="L-&gt;R"/>
    <s v="No"/>
    <s v="Y59946"/>
    <n v="1"/>
    <s v="力合中转仓"/>
    <x v="169"/>
    <s v="NM"/>
    <s v="MAR 22"/>
    <m/>
    <s v="JPY"/>
    <s v="C49SZX20210166SX"/>
    <s v="晨鑫达"/>
    <s v="YSM20R-2"/>
    <s v="L-&gt;R"/>
    <s v="No"/>
    <s v="OK"/>
    <s v="DAP SZ"/>
    <d v="2021-06-09T00:00:00"/>
    <s v="Yes"/>
    <m/>
    <m/>
    <m/>
    <s v="C200537323"/>
  </r>
  <r>
    <n v="1409"/>
    <x v="0"/>
    <x v="0"/>
    <n v="110730"/>
    <s v="SZ 魔乐视"/>
    <x v="12"/>
    <s v="L-&gt;R"/>
    <s v="No"/>
    <s v="Y59947"/>
    <n v="1"/>
    <s v="力合中转仓"/>
    <x v="169"/>
    <s v="NM"/>
    <s v="MAR 22"/>
    <m/>
    <s v="JPY"/>
    <s v="C49SZX20210166SX"/>
    <s v="晨鑫达"/>
    <s v="YSM20R-2"/>
    <s v="L-&gt;R"/>
    <s v="No"/>
    <s v="OK"/>
    <s v="DAP SZ"/>
    <d v="2021-06-09T00:00:00"/>
    <s v="Yes"/>
    <m/>
    <m/>
    <m/>
    <s v="C200537323"/>
  </r>
  <r>
    <n v="1410"/>
    <x v="0"/>
    <x v="0"/>
    <n v="110730"/>
    <s v="SZ 魔乐视"/>
    <x v="1"/>
    <s v="R-&gt;L"/>
    <s v="MVC F&amp;R+ATS15"/>
    <s v="Y59948"/>
    <n v="1"/>
    <s v="力合中转仓"/>
    <x v="169"/>
    <s v="NM"/>
    <s v="MAR 22"/>
    <m/>
    <s v="JPY"/>
    <s v="C49SZX20210166SX"/>
    <s v="晨鑫达"/>
    <s v="YSM10"/>
    <s v="L-&gt;R"/>
    <s v="MVC F&amp;R+ATS15"/>
    <s v="WRONG"/>
    <s v="DAP SZ"/>
    <d v="2021-06-09T00:00:00"/>
    <s v="Yes"/>
    <m/>
    <m/>
    <m/>
    <s v="C200537323"/>
  </r>
  <r>
    <n v="1559"/>
    <x v="0"/>
    <x v="0"/>
    <n v="110730"/>
    <s v="SZ 魔乐视"/>
    <x v="1"/>
    <s v="R-&gt;L"/>
    <s v="MVC F&amp;R+ATS15"/>
    <s v="Y59949"/>
    <n v="1"/>
    <s v="力合中转仓"/>
    <x v="169"/>
    <s v="NM，要DAP合同走货带ATS15"/>
    <s v="APR 22"/>
    <n v="2022.1"/>
    <s v="JPY"/>
    <s v="C49SZX20220010SQ"/>
    <s v="达锂"/>
    <s v="YSM10"/>
    <s v="L-&gt;R"/>
    <s v="MVC+ATS15"/>
    <s v="WRONG"/>
    <s v="DAP DG"/>
    <d v="2022-01-20T00:00:00"/>
    <s v="Yes"/>
    <m/>
    <m/>
    <m/>
    <s v="C220141989"/>
  </r>
  <r>
    <n v="1288"/>
    <x v="0"/>
    <x v="0"/>
    <n v="110732"/>
    <s v="SZ 宝捷时计"/>
    <x v="12"/>
    <s v="L-&gt;R"/>
    <s v="cATS10+MVC+special layout"/>
    <s v="Y59951"/>
    <n v="1"/>
    <s v="力合中转仓"/>
    <x v="170"/>
    <s v="NM"/>
    <s v="APR 22"/>
    <n v="2022.2"/>
    <s v="JPY"/>
    <s v="C49SZX20210092MZ"/>
    <s v="懿美莱"/>
    <s v="YSM20R-2"/>
    <s v="L-&gt;R"/>
    <s v="cATS10+MVC+special layout"/>
    <s v="OK"/>
    <s v="DAP SZ"/>
    <d v="2021-03-30T00:00:00"/>
    <s v="Yes"/>
    <m/>
    <m/>
    <m/>
    <s v="C220342350"/>
  </r>
  <r>
    <n v="1291"/>
    <x v="0"/>
    <x v="0"/>
    <n v="110773"/>
    <s v="Stock order"/>
    <x v="12"/>
    <s v="L-&gt;R"/>
    <s v="MVC"/>
    <s v="Y57247"/>
    <n v="1"/>
    <s v="力合中转仓"/>
    <x v="170"/>
    <s v="NM"/>
    <s v="APR 22"/>
    <n v="2022.2"/>
    <s v="JPY"/>
    <s v="C49SZX20210092MZ"/>
    <s v="懿美莱"/>
    <s v="YSM20R-2"/>
    <s v="L-&gt;R"/>
    <s v="No"/>
    <s v="WRONG"/>
    <s v="DAP SZ"/>
    <d v="2021-03-30T00:00:00"/>
    <s v="Yes"/>
    <m/>
    <m/>
    <m/>
    <s v="C220342350"/>
  </r>
  <r>
    <n v="1558"/>
    <x v="0"/>
    <x v="0"/>
    <n v="110737"/>
    <s v="SZ 英拓邦"/>
    <x v="12"/>
    <s v="L-&gt;R"/>
    <s v="No"/>
    <s v="Y59985"/>
    <n v="1"/>
    <s v="力合中转仓"/>
    <x v="170"/>
    <s v="NM"/>
    <s v="APR 22"/>
    <n v="2022.2"/>
    <s v="JPY"/>
    <s v="C49SZX20220010SQ"/>
    <s v="达锂"/>
    <s v="YSM20R-2"/>
    <s v="L-&gt;R"/>
    <s v="No"/>
    <s v="OK"/>
    <s v="DAP DG"/>
    <d v="2022-01-20T00:00:00"/>
    <s v="Yes"/>
    <m/>
    <m/>
    <m/>
    <s v="C220141989"/>
  </r>
  <r>
    <n v="1289"/>
    <x v="0"/>
    <x v="0"/>
    <n v="110774"/>
    <s v="Stock order"/>
    <x v="12"/>
    <s v="L-&gt;R"/>
    <s v="cATS10+MVC+special layout"/>
    <s v="Y58089"/>
    <n v="1"/>
    <s v="力合中转仓"/>
    <x v="171"/>
    <s v="NM"/>
    <s v="APR 22"/>
    <n v="2022.2"/>
    <s v="JPY"/>
    <s v="C49SZX20210092MZ"/>
    <s v="懿美莱"/>
    <s v="YSM20R-2"/>
    <s v="L-&gt;R"/>
    <s v="cATS10+MVC+special layout"/>
    <s v="OK"/>
    <s v="DAP SZ"/>
    <d v="2021-03-30T00:00:00"/>
    <s v="Yes"/>
    <m/>
    <m/>
    <m/>
    <s v="C220342350"/>
  </r>
  <r>
    <n v="1445"/>
    <x v="0"/>
    <x v="0"/>
    <n v="110775"/>
    <s v="Stock order"/>
    <x v="12"/>
    <s v="R-&gt;L"/>
    <s v="No"/>
    <s v="Y58088"/>
    <n v="1"/>
    <s v="力合中转仓"/>
    <x v="171"/>
    <s v="NM"/>
    <s v="APR 22"/>
    <n v="2022.2"/>
    <s v="JPY"/>
    <s v="C49SZX20210177SS"/>
    <s v="乐凡电子"/>
    <s v="YSM20R-2"/>
    <s v="R-&gt;L"/>
    <s v="No"/>
    <s v="OK"/>
    <s v="DAP SZ"/>
    <d v="2021-06-25T00:00:00"/>
    <s v="Yes"/>
    <m/>
    <m/>
    <m/>
    <s v="C200236762"/>
  </r>
  <r>
    <n v="1002"/>
    <x v="0"/>
    <x v="0"/>
    <n v="110775"/>
    <s v="Stock order"/>
    <x v="12"/>
    <s v="L-&gt;R"/>
    <s v="MVC"/>
    <s v="Y58090"/>
    <n v="1"/>
    <s v="力合中转仓"/>
    <x v="171"/>
    <s v="NM"/>
    <s v="APR 22"/>
    <n v="2022.2"/>
    <s v="JPY"/>
    <s v="C49SZX20200233JL"/>
    <s v="瑞福联"/>
    <s v="YSM20R-2"/>
    <s v="L-&gt;R"/>
    <s v="No"/>
    <s v="WRONG"/>
    <s v="CIF HK"/>
    <d v="2020-12-10T00:00:00"/>
    <s v="Yes"/>
    <m/>
    <m/>
    <m/>
    <s v="C220242050"/>
  </r>
  <r>
    <n v="1381"/>
    <x v="0"/>
    <x v="0"/>
    <n v="110775"/>
    <s v="Stock order"/>
    <x v="12"/>
    <s v="L-&gt;R"/>
    <s v="No"/>
    <s v="Y58091"/>
    <n v="1"/>
    <s v="力合中转仓"/>
    <x v="171"/>
    <s v="NM"/>
    <s v="APR 22"/>
    <n v="2022.2"/>
    <s v="JPY"/>
    <s v="C49SZX20210182MZ"/>
    <s v="巨能"/>
    <s v="YSM20R-2"/>
    <s v="L-&gt;R"/>
    <s v="No"/>
    <s v="OK"/>
    <s v="DAP SZ"/>
    <d v="2021-05-21T00:00:00"/>
    <s v="Yes"/>
    <m/>
    <m/>
    <m/>
    <s v="C210640437"/>
  </r>
  <r>
    <n v="1090"/>
    <x v="0"/>
    <x v="0"/>
    <n v="110249"/>
    <s v="Stock order"/>
    <x v="12"/>
    <s v="L-&gt;R"/>
    <s v="No"/>
    <s v="Y57088"/>
    <n v="1"/>
    <s v="力合中转仓"/>
    <x v="171"/>
    <s v="NM，"/>
    <s v="APR 22"/>
    <n v="2022.2"/>
    <s v="JPY"/>
    <s v="C49SZX20210031SX"/>
    <s v="益田科技"/>
    <s v="YSM20R-2"/>
    <s v="L-&gt;R"/>
    <s v="No"/>
    <s v="OK"/>
    <s v="DAP SZ"/>
    <d v="2021-01-26T00:00:00"/>
    <s v="Yes"/>
    <m/>
    <m/>
    <m/>
    <s v="C200938214"/>
  </r>
  <r>
    <n v="1557"/>
    <x v="0"/>
    <x v="0"/>
    <n v="110755"/>
    <s v="DG 维益"/>
    <x v="1"/>
    <s v="R-&gt;L"/>
    <s v="MVC"/>
    <s v="Y60236"/>
    <n v="1"/>
    <s v="力合中转仓"/>
    <x v="172"/>
    <s v="NM"/>
    <s v="MAR 22"/>
    <n v="2022.2"/>
    <s v="JPY"/>
    <s v="C49SZX20220002BX"/>
    <s v="渝溢三甲"/>
    <s v="YSM10"/>
    <s v="R-&gt;L"/>
    <s v="No"/>
    <s v="WRONG"/>
    <s v="DAP HZ"/>
    <d v="2022-01-06T00:00:00"/>
    <s v="Yes"/>
    <m/>
    <m/>
    <m/>
    <s v="C220141927"/>
  </r>
  <r>
    <n v="1292"/>
    <x v="0"/>
    <x v="0"/>
    <n v="110756"/>
    <s v="HZ 朗迅"/>
    <x v="1"/>
    <s v="R-&gt;L"/>
    <s v="MVC"/>
    <s v="Y60238"/>
    <n v="1"/>
    <s v="力合中转仓"/>
    <x v="172"/>
    <s v="NM"/>
    <s v="APR 22"/>
    <n v="2022.3"/>
    <s v="JPY"/>
    <s v="C49SZX20210091SS"/>
    <s v="乘扬"/>
    <s v="YSM10"/>
    <s v="L-&gt;R"/>
    <s v="MVC"/>
    <s v="WRONG"/>
    <s v="CIF HK"/>
    <d v="2021-03-30T00:00:00"/>
    <s v="Yes"/>
    <m/>
    <m/>
    <m/>
    <s v="C200437242"/>
  </r>
  <r>
    <n v="1004"/>
    <x v="0"/>
    <x v="0"/>
    <n v="110756"/>
    <s v="HZ 朗迅"/>
    <x v="1"/>
    <s v="R-&gt;L"/>
    <s v="MVC"/>
    <s v="Y60239"/>
    <n v="1"/>
    <s v="力合中转仓"/>
    <x v="172"/>
    <s v="NM"/>
    <s v="APR 22"/>
    <n v="2022.3"/>
    <s v="JPY"/>
    <s v="C49SZX20200233JL"/>
    <s v="瑞福联"/>
    <s v="YSM10"/>
    <s v="L-&gt;R"/>
    <s v="MVC"/>
    <s v="WRONG"/>
    <s v="CIF HK"/>
    <d v="2020-12-10T00:00:00"/>
    <s v="Yes"/>
    <m/>
    <m/>
    <m/>
    <s v="C220242050"/>
  </r>
  <r>
    <n v="1415"/>
    <x v="0"/>
    <x v="0"/>
    <n v="110770"/>
    <s v="SZ 鸿通宇（有补差额)"/>
    <x v="12"/>
    <s v="L-&gt;R"/>
    <s v="No"/>
    <s v="Y60000"/>
    <n v="1"/>
    <s v="力合中转仓"/>
    <x v="172"/>
    <s v="0.0536，此台机器清关进来后要和鸿通宇的机器调换"/>
    <s v="APR 22"/>
    <n v="2022.3"/>
    <s v="JPY"/>
    <s v="C49SZX20210170DZ"/>
    <s v="鸿通宇"/>
    <s v="YSM20R-2"/>
    <s v="L-&gt;R"/>
    <s v="No"/>
    <s v="OK"/>
    <s v="DAP SZ"/>
    <d v="2021-06-11T00:00:00"/>
    <s v="Yes"/>
    <m/>
    <m/>
    <m/>
    <s v="IND"/>
  </r>
  <r>
    <n v="1380"/>
    <x v="0"/>
    <x v="0"/>
    <n v="110769"/>
    <s v="SZ 魔乐视"/>
    <x v="12"/>
    <s v="L-&gt;R"/>
    <s v="No"/>
    <s v="Y60289"/>
    <n v="1"/>
    <s v="力合中转仓"/>
    <x v="172"/>
    <n v="5.3600000000000002E-2"/>
    <s v="APR 22"/>
    <n v="2022.3"/>
    <s v="JPY"/>
    <s v="C49SZX20210155MZR1"/>
    <s v="巨能"/>
    <s v="YSM20R-2"/>
    <s v="L-&gt;R"/>
    <s v="No"/>
    <s v="OK"/>
    <s v="DAP SZ"/>
    <d v="2021-05-21T00:00:00"/>
    <s v="Yes"/>
    <m/>
    <m/>
    <m/>
    <s v="C210640437"/>
  </r>
  <r>
    <n v="1405"/>
    <x v="0"/>
    <x v="0"/>
    <n v="110813"/>
    <s v="深圳晶昌鸿业"/>
    <x v="1"/>
    <s v="R-&gt;L"/>
    <s v="MVC"/>
    <s v="Y60589"/>
    <n v="1"/>
    <s v="力合中转仓"/>
    <x v="173"/>
    <s v="NM"/>
    <s v="APR 22"/>
    <n v="2022.3"/>
    <s v="JPY"/>
    <s v="C49SZX20210165R1SS"/>
    <s v="三步/End user新佰浚"/>
    <s v="YSM10"/>
    <s v="L-&gt;R"/>
    <s v="MVC"/>
    <s v="WRONG"/>
    <s v="DAP SZ"/>
    <d v="2021-06-17T00:00:00"/>
    <s v="Yes"/>
    <m/>
    <m/>
    <m/>
    <s v="C190133829"/>
  </r>
  <r>
    <n v="1490"/>
    <x v="0"/>
    <x v="0"/>
    <n v="110813"/>
    <s v="深圳晶昌鸿业"/>
    <x v="1"/>
    <s v="R-&gt;L"/>
    <s v="MVC"/>
    <s v="Y60590"/>
    <n v="1"/>
    <s v="力合中转仓"/>
    <x v="173"/>
    <s v="NM"/>
    <s v="APR 22"/>
    <n v="2022.3"/>
    <s v="JPY"/>
    <s v="C49SZX20210200JY"/>
    <s v="英拓邦（End user:深圳傲尔）"/>
    <s v="YSM10"/>
    <s v="L-&gt;R"/>
    <s v="MVC"/>
    <s v="WRONG"/>
    <s v="CIF HK"/>
    <d v="2021-10-27T00:00:00"/>
    <s v="Yes"/>
    <m/>
    <m/>
    <m/>
    <s v="C211241741"/>
  </r>
  <r>
    <n v="1478"/>
    <x v="0"/>
    <x v="0"/>
    <n v="110758"/>
    <s v="深圳正讯"/>
    <x v="1"/>
    <s v="R-&gt;L"/>
    <s v="MVC"/>
    <s v="Y60237"/>
    <n v="1"/>
    <s v="力合中转仓"/>
    <x v="173"/>
    <s v="NM"/>
    <s v="APR 22"/>
    <n v="2022.3"/>
    <s v="JPY"/>
    <s v="C49SZX20210192SX"/>
    <s v="正讯"/>
    <s v="YSM10"/>
    <s v="L-&gt;R"/>
    <s v="MVC"/>
    <s v="WRONG"/>
    <s v="DAP DG"/>
    <d v="2021-09-17T00:00:00"/>
    <s v="Yes"/>
    <m/>
    <m/>
    <m/>
    <s v="IND"/>
  </r>
  <r>
    <n v="1491"/>
    <x v="0"/>
    <x v="0"/>
    <n v="110760"/>
    <s v="深圳恒创兴（有补差额）"/>
    <x v="1"/>
    <s v="R-&gt;L"/>
    <s v="MVC"/>
    <s v="Y60297"/>
    <n v="1"/>
    <s v="力合中转仓"/>
    <x v="173"/>
    <s v="NM"/>
    <s v="APR 22"/>
    <n v="2022.3"/>
    <s v="JPY"/>
    <s v="C49SZX20210200JY"/>
    <s v="英拓邦（End user:深圳傲尔）"/>
    <s v="YSM10"/>
    <s v="R-&gt;L"/>
    <s v="MVC"/>
    <s v="OK"/>
    <s v="CIF HK"/>
    <d v="2021-10-27T00:00:00"/>
    <s v="Yes"/>
    <m/>
    <m/>
    <m/>
    <s v="C190634939"/>
  </r>
  <r>
    <n v="1510"/>
    <x v="0"/>
    <x v="0"/>
    <n v="110762"/>
    <s v="深圳清禾"/>
    <x v="1"/>
    <s v="R-&gt;L"/>
    <s v="MVC"/>
    <s v="Y60230"/>
    <n v="1"/>
    <s v="力合中转仓"/>
    <x v="173"/>
    <s v="NM"/>
    <s v="APR 22"/>
    <n v="2022.3"/>
    <s v="JPY"/>
    <s v="C49SZX20210213SS"/>
    <s v="维益"/>
    <s v="YSM10"/>
    <s v="R-&gt;L"/>
    <s v="MVC"/>
    <s v="OK"/>
    <s v="DAP DG"/>
    <d v="2021-12-02T00:00:00"/>
    <s v="Yes"/>
    <m/>
    <m/>
    <m/>
    <s v="C220442611"/>
  </r>
  <r>
    <n v="1275"/>
    <x v="0"/>
    <x v="0"/>
    <n v="110757"/>
    <s v="深圳晶昌鸿业(有补差额)"/>
    <x v="1"/>
    <s v="R-&gt;L"/>
    <s v="MVC"/>
    <s v="Y60293"/>
    <n v="1"/>
    <s v="力合中转仓"/>
    <x v="173"/>
    <n v="5.3600000000000002E-2"/>
    <s v="APR 22"/>
    <n v="2022.3"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IND"/>
  </r>
  <r>
    <n v="1276"/>
    <x v="0"/>
    <x v="0"/>
    <n v="110757"/>
    <s v="深圳晶昌鸿业(有补差额)"/>
    <x v="1"/>
    <s v="R-&gt;L"/>
    <s v="MVC"/>
    <s v="Y60294"/>
    <n v="1"/>
    <s v="力合中转仓"/>
    <x v="173"/>
    <n v="5.3600000000000002E-2"/>
    <s v="APR 22"/>
    <n v="2022.3"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IND"/>
  </r>
  <r>
    <n v="1446"/>
    <x v="0"/>
    <x v="0"/>
    <n v="110759"/>
    <s v="SZ 驰电"/>
    <x v="1"/>
    <s v="R-&gt;L"/>
    <s v="MVC"/>
    <s v="Y60229"/>
    <n v="1"/>
    <s v="力合仓库(已经清关)"/>
    <x v="174"/>
    <s v="NM"/>
    <s v="APR 22"/>
    <n v="2022.3"/>
    <s v="JPY"/>
    <s v="C49SZX20210177SS"/>
    <s v="乐凡电子"/>
    <s v="YSM10"/>
    <s v="R-&gt;L"/>
    <s v="MVC"/>
    <s v="OK"/>
    <s v="DAP SZ"/>
    <d v="2021-06-25T00:00:00"/>
    <s v="Yes"/>
    <m/>
    <m/>
    <m/>
    <s v="C200236762"/>
  </r>
  <r>
    <n v="1441"/>
    <x v="0"/>
    <x v="0"/>
    <n v="110761"/>
    <s v="深圳海松微（有补差额)"/>
    <x v="1"/>
    <s v="R-&gt;L"/>
    <s v="MVC"/>
    <s v="Y60295"/>
    <n v="1"/>
    <s v="力合中转仓"/>
    <x v="174"/>
    <n v="5.3600000000000002E-2"/>
    <s v="APR 22"/>
    <n v="2022.3"/>
    <s v="JPY"/>
    <s v="C49SZX20210130R1JY"/>
    <s v="海松微"/>
    <s v="YSM10"/>
    <s v="L-&gt;R"/>
    <s v="MVC"/>
    <s v="WRONG"/>
    <s v="DAP SZ"/>
    <d v="2021-06-25T00:00:00"/>
    <s v="Yes"/>
    <m/>
    <m/>
    <m/>
    <s v="IND"/>
  </r>
  <r>
    <n v="1440"/>
    <x v="0"/>
    <x v="0"/>
    <n v="110763"/>
    <s v="深圳傲尔"/>
    <x v="1"/>
    <s v="R-&gt;L"/>
    <s v="MVC"/>
    <s v="Y60280"/>
    <n v="1"/>
    <s v="力合中转仓"/>
    <x v="174"/>
    <n v="5.3600000000000002E-2"/>
    <s v="APR 22"/>
    <n v="2022.3"/>
    <s v="JPY"/>
    <s v="C49SZX20210130R1JY"/>
    <s v="海松微（最终需要从C49SZX20210120R1JY中拆除YSM20R相机改为YSM10相机）"/>
    <s v="YSM10"/>
    <s v="L-&gt;R"/>
    <s v="No"/>
    <s v="WRONG"/>
    <s v="DAP SZ"/>
    <d v="2021-06-25T00:00:00"/>
    <s v="Yes"/>
    <m/>
    <m/>
    <m/>
    <s v="C210840934"/>
  </r>
  <r>
    <n v="1470"/>
    <x v="0"/>
    <x v="0"/>
    <n v="110763"/>
    <s v="深圳傲尔"/>
    <x v="1"/>
    <s v="R-&gt;L"/>
    <s v="MVC"/>
    <s v="Y60281"/>
    <n v="1"/>
    <s v="力合中转仓"/>
    <x v="174"/>
    <n v="5.3600000000000002E-2"/>
    <s v="APR 22"/>
    <n v="2022.3"/>
    <s v="JPY"/>
    <s v="C49SZX20210187SS"/>
    <s v="盈通恒翼"/>
    <s v="YSM10"/>
    <s v="L-&gt;R"/>
    <s v="No"/>
    <s v="WRONG"/>
    <s v="DAP SZ"/>
    <d v="2021-08-31T00:00:00"/>
    <s v="Yes"/>
    <m/>
    <m/>
    <m/>
    <s v="C210139067"/>
  </r>
  <r>
    <n v="1402"/>
    <x v="0"/>
    <x v="0"/>
    <n v="110763"/>
    <s v="深圳傲尔"/>
    <x v="1"/>
    <s v="R-&gt;L"/>
    <s v="MVC"/>
    <s v="Y60282"/>
    <n v="1"/>
    <s v="力合中转仓"/>
    <x v="174"/>
    <s v="0.0536，用魔乐视名义清关归还RMB单"/>
    <s v="APR 22"/>
    <n v="2022.3"/>
    <s v="RMB"/>
    <s v="C49SZX20220034AY"/>
    <s v="清禾"/>
    <s v="YSM10"/>
    <s v="L-&gt;R"/>
    <s v="MVC"/>
    <s v="WRONG"/>
    <s v="DDP SZ"/>
    <d v="2022-03-22T00:00:00"/>
    <s v="Yes"/>
    <m/>
    <m/>
    <m/>
    <s v="C220442563"/>
  </r>
  <r>
    <n v="1568"/>
    <x v="0"/>
    <x v="0"/>
    <n v="110766"/>
    <s v="SZ 巨能"/>
    <x v="12"/>
    <s v="L-&gt;R"/>
    <s v="No"/>
    <s v="Y60291"/>
    <n v="1"/>
    <s v="力合中转仓"/>
    <x v="175"/>
    <s v="0.0536，用益田名义报关，给捷舜诚"/>
    <s v="APR 22"/>
    <n v="2022.3"/>
    <s v="JPY"/>
    <s v="C49SZX20220014JL"/>
    <s v="捷舜诚"/>
    <s v="YSM20R-2"/>
    <s v="L-&gt;R"/>
    <s v="MVC"/>
    <s v="WRONG"/>
    <s v="DAP SZ"/>
    <d v="2022-01-25T00:00:00"/>
    <s v="Yes"/>
    <m/>
    <m/>
    <m/>
    <s v="C170629728"/>
  </r>
  <r>
    <n v="1477"/>
    <x v="0"/>
    <x v="0"/>
    <n v="110766"/>
    <s v="SZ 巨能"/>
    <x v="12"/>
    <s v="L-&gt;R"/>
    <s v="No"/>
    <s v="Y60292"/>
    <n v="1"/>
    <s v="力合中转仓"/>
    <x v="175"/>
    <s v="0.0536，用懿美莱名义清关归还给正讯"/>
    <s v="APR 22"/>
    <n v="2022.3"/>
    <s v="JPY"/>
    <s v="C49SZX20210192SX"/>
    <s v="正讯"/>
    <s v="YSM20R-2"/>
    <s v="L-&gt;R"/>
    <s v="No"/>
    <s v="OK"/>
    <s v="DAP DG"/>
    <d v="2021-09-17T00:00:00"/>
    <s v="Yes"/>
    <m/>
    <m/>
    <m/>
    <s v="C220442556"/>
  </r>
  <r>
    <n v="1290"/>
    <x v="0"/>
    <x v="0"/>
    <n v="110767"/>
    <s v="SZ 深圳傲尔"/>
    <x v="12"/>
    <s v="L-&gt;R"/>
    <s v="No"/>
    <s v="Y60283"/>
    <n v="1"/>
    <s v="力合中转仓"/>
    <x v="175"/>
    <n v="5.3600000000000002E-2"/>
    <s v="APR 22"/>
    <n v="2022.3"/>
    <s v="JPY"/>
    <s v="C49SZX20210092MZ"/>
    <s v="懿美莱"/>
    <s v="YSM20R-2"/>
    <s v="L-&gt;R"/>
    <s v="No"/>
    <s v="OK"/>
    <s v="DAP SZ"/>
    <d v="2021-03-30T00:00:00"/>
    <s v="Yes"/>
    <m/>
    <m/>
    <m/>
    <s v="C220342350"/>
  </r>
  <r>
    <n v="1471"/>
    <x v="0"/>
    <x v="0"/>
    <n v="110767"/>
    <s v="SZ 深圳傲尔"/>
    <x v="12"/>
    <s v="L-&gt;R"/>
    <s v="No"/>
    <s v="Y60284"/>
    <n v="1"/>
    <s v="力合中转仓"/>
    <x v="175"/>
    <n v="5.3600000000000002E-2"/>
    <s v="APR 22"/>
    <n v="2022.3"/>
    <s v="JPY"/>
    <s v="C49SZX20210187SS"/>
    <s v="盈通恒翼"/>
    <s v="YSM20R-2"/>
    <s v="L-&gt;R"/>
    <s v="No"/>
    <s v="OK"/>
    <s v="DAP SZ"/>
    <d v="2021-08-31T00:00:00"/>
    <s v="Yes"/>
    <m/>
    <m/>
    <m/>
    <s v="C210139067"/>
  </r>
  <r>
    <n v="1486"/>
    <x v="0"/>
    <x v="0"/>
    <n v="110768"/>
    <s v="SZ 益田科技"/>
    <x v="12"/>
    <s v="L-&gt;R"/>
    <s v="No"/>
    <s v="Y60240"/>
    <n v="1"/>
    <s v="力合中转仓"/>
    <x v="175"/>
    <n v="5.3600000000000002E-2"/>
    <s v="APR 22"/>
    <n v="2022.3"/>
    <s v="JPY"/>
    <s v="C49SZX20210180SX"/>
    <s v="恒磊"/>
    <s v="YSM20R-2"/>
    <s v="L-&gt;R"/>
    <s v="No"/>
    <s v="OK"/>
    <s v="DAP SZ"/>
    <d v="2021-10-27T00:00:00"/>
    <s v="Yes"/>
    <m/>
    <m/>
    <m/>
    <s v="C211241805"/>
  </r>
  <r>
    <n v="1569"/>
    <x v="0"/>
    <x v="0"/>
    <s v="110808改49F104206"/>
    <s v="Dongguan Yidong"/>
    <x v="1"/>
    <s v="R-&gt;L"/>
    <s v="MVC F&amp;R+大板相机"/>
    <s v="Y60548"/>
    <n v="1"/>
    <s v="力合仓库(已经清关)"/>
    <x v="176"/>
    <n v="5.5500000000000001E-2"/>
    <s v="APR 22"/>
    <n v="2022.3"/>
    <s v="RMB"/>
    <s v="C49SZX20220012SX"/>
    <s v="奕东(End user:湖北奕宏)"/>
    <s v="YSM10"/>
    <s v="L-&gt;R"/>
    <s v="MVC（F&amp;R）+大板相机"/>
    <s v="WRONG"/>
    <s v="DDP HB"/>
    <d v="2022-01-27T00:00:00"/>
    <s v="Yes"/>
    <m/>
    <m/>
    <m/>
    <s v="C170930167"/>
  </r>
  <r>
    <n v="1570"/>
    <x v="0"/>
    <x v="0"/>
    <s v="110808改49F104206"/>
    <s v="Dongguan Yidong"/>
    <x v="1"/>
    <s v="R-&gt;L"/>
    <s v="MVC F&amp;R+大板相机"/>
    <s v="Y60549"/>
    <n v="1"/>
    <s v="力合仓库(已经清关)"/>
    <x v="176"/>
    <n v="5.5500000000000001E-2"/>
    <s v="APR 22"/>
    <n v="2022.3"/>
    <s v="RMB"/>
    <s v="C49SZX20220012SX"/>
    <s v="奕东(End user:湖北奕宏)"/>
    <s v="YSM10"/>
    <s v="L-&gt;R"/>
    <s v="MVC（F&amp;R）+大板相机"/>
    <s v="WRONG"/>
    <s v="DDP HB"/>
    <d v="2022-01-27T00:00:00"/>
    <s v="Yes"/>
    <m/>
    <m/>
    <m/>
    <s v="C170930167"/>
  </r>
  <r>
    <n v="1571"/>
    <x v="0"/>
    <x v="0"/>
    <s v="110808改49F104206"/>
    <s v="Dongguan Yidong"/>
    <x v="1"/>
    <s v="R-&gt;L"/>
    <s v="MVC F&amp;R+大板相机"/>
    <s v="Y60550"/>
    <n v="1"/>
    <s v="力合仓库(已经清关)"/>
    <x v="176"/>
    <n v="5.5500000000000001E-2"/>
    <s v="APR 22"/>
    <n v="2022.3"/>
    <s v="RMB"/>
    <s v="C49SZX20220012SX"/>
    <s v="奕东(End user:湖北奕宏)"/>
    <s v="YSM10"/>
    <s v="L-&gt;R"/>
    <s v="MVC（F&amp;R）+大板相机"/>
    <s v="WRONG"/>
    <s v="DDP HB"/>
    <d v="2022-01-27T00:00:00"/>
    <s v="Yes"/>
    <m/>
    <m/>
    <m/>
    <s v="C170930167"/>
  </r>
  <r>
    <n v="1572"/>
    <x v="0"/>
    <x v="0"/>
    <s v="110808改49F104206"/>
    <s v="Dongguan Yidong"/>
    <x v="1"/>
    <s v="R-&gt;L"/>
    <s v="MVC F&amp;R+大板相机"/>
    <s v="Y60551"/>
    <n v="1"/>
    <s v="力合仓库(已经清关)"/>
    <x v="176"/>
    <n v="5.5500000000000001E-2"/>
    <s v="APR 22"/>
    <n v="2022.3"/>
    <s v="RMB"/>
    <s v="C49SZX20220012SX"/>
    <s v="奕东(End user:湖北奕宏)"/>
    <s v="YSM10"/>
    <s v="R-&gt;L"/>
    <s v="MVC（F&amp;R）+大板相机"/>
    <s v="WRONG"/>
    <s v="DDP HB"/>
    <d v="2022-01-27T00:00:00"/>
    <s v="Yes"/>
    <m/>
    <m/>
    <m/>
    <s v="C170930167"/>
  </r>
  <r>
    <n v="1573"/>
    <x v="0"/>
    <x v="0"/>
    <s v="110808改49F104206"/>
    <s v="Dongguan Yidong"/>
    <x v="1"/>
    <s v="R-&gt;L"/>
    <s v="MVC F&amp;R+大板相机"/>
    <s v="Y60552"/>
    <n v="1"/>
    <s v="力合仓库(已经清关)"/>
    <x v="176"/>
    <n v="5.5500000000000001E-2"/>
    <s v="APR 22"/>
    <n v="2022.3"/>
    <s v="RMB"/>
    <s v="C49SZX20220012SX"/>
    <s v="奕东(End user:湖北奕宏)"/>
    <s v="YSM10"/>
    <s v="R-&gt;L"/>
    <s v="MVC（F&amp;R）+大板相机"/>
    <s v="WRONG"/>
    <s v="DDP HB"/>
    <d v="2022-01-27T00:00:00"/>
    <s v="Yes"/>
    <m/>
    <m/>
    <m/>
    <s v="C170930167"/>
  </r>
  <r>
    <n v="1516"/>
    <x v="0"/>
    <x v="0"/>
    <n v="110764"/>
    <s v="深圳魔乐视"/>
    <x v="1"/>
    <s v="R-&gt;L"/>
    <s v="MVC+ATS15"/>
    <s v="Y60288"/>
    <n v="1"/>
    <s v="力合中转仓"/>
    <x v="177"/>
    <s v="NM"/>
    <s v="APR 22"/>
    <n v="2022.3"/>
    <s v="JPY"/>
    <s v="C49SZX20210206MZ"/>
    <s v="魔乐视"/>
    <s v="YSM10"/>
    <s v="L-&gt;R"/>
    <s v="MVC+ATS15"/>
    <s v="WRONG"/>
    <s v="DAP SZ"/>
    <d v="2021-12-10T00:00:00"/>
    <s v="Yes"/>
    <m/>
    <m/>
    <m/>
    <s v="IND"/>
  </r>
  <r>
    <n v="1576"/>
    <x v="0"/>
    <x v="0"/>
    <n v="110765"/>
    <s v="SZ 三丽"/>
    <x v="1"/>
    <s v="R-&gt;L"/>
    <s v="MVC"/>
    <s v="Y60231"/>
    <n v="1"/>
    <s v="力合中转仓"/>
    <x v="177"/>
    <s v="NM"/>
    <s v="MAY 22"/>
    <n v="2022.3"/>
    <s v="JPY"/>
    <s v="C49SZX20220015SX"/>
    <s v="普德新星"/>
    <s v="YSM10"/>
    <s v="L-&gt;R"/>
    <s v="MVC"/>
    <s v="WRONG"/>
    <s v="DAP GX"/>
    <d v="2022-01-24T00:00:00"/>
    <s v="Yes"/>
    <m/>
    <m/>
    <m/>
    <s v="C220242116"/>
  </r>
  <r>
    <n v="1578"/>
    <x v="0"/>
    <x v="0"/>
    <n v="110812"/>
    <s v="Stock order"/>
    <x v="1"/>
    <s v="R-&gt;L"/>
    <s v="No"/>
    <s v="Y56516"/>
    <n v="1"/>
    <s v="力合仓库(已经清关)"/>
    <x v="177"/>
    <s v="0.0536 PO 110759。"/>
    <s v="APR 22"/>
    <n v="2022.3"/>
    <s v="RMB"/>
    <s v="C49SZX20220011DZ"/>
    <s v="昌大"/>
    <s v="YSM10"/>
    <s v="L-&gt;R"/>
    <s v="No"/>
    <s v="WRONG"/>
    <s v="DDP JX"/>
    <d v="2022-01-24T00:00:00"/>
    <s v="Yes"/>
    <m/>
    <m/>
    <m/>
    <s v="C220242128"/>
  </r>
  <r>
    <n v="1509"/>
    <x v="0"/>
    <x v="0"/>
    <n v="110812"/>
    <s v="Stock order"/>
    <x v="1"/>
    <s v="R-&gt;L"/>
    <s v="MVC"/>
    <s v="Y56517"/>
    <n v="1"/>
    <s v="力合中转仓"/>
    <x v="177"/>
    <s v="NM"/>
    <s v="MAY 22"/>
    <n v="2022.3"/>
    <s v="JPY"/>
    <s v="C49SZX20210207JY"/>
    <s v="海凌科达"/>
    <s v="YSM10"/>
    <s v="R-&gt;L"/>
    <s v="No"/>
    <s v="WRONG"/>
    <s v="CIF HK"/>
    <d v="2021-11-30T00:00:00"/>
    <s v="Yes"/>
    <m/>
    <m/>
    <m/>
    <s v="C190735224"/>
  </r>
  <r>
    <n v="1596"/>
    <x v="0"/>
    <x v="0"/>
    <n v="110812"/>
    <s v="Stock order"/>
    <x v="1"/>
    <s v="R-&gt;L"/>
    <s v="No"/>
    <s v="Y56518"/>
    <n v="1"/>
    <s v="CY仓库"/>
    <x v="177"/>
    <s v="NM"/>
    <s v="MAY 22"/>
    <n v="2022.3"/>
    <s v="JPY"/>
    <s v="C49SZX20220013DZ"/>
    <s v="朗特"/>
    <s v="YSM10"/>
    <s v="R-&gt;L"/>
    <s v="MVC"/>
    <s v="WRONG"/>
    <s v="CIF HK"/>
    <d v="2022-02-22T00:00:00"/>
    <s v="Yes"/>
    <m/>
    <m/>
    <m/>
    <s v="C200637456"/>
  </r>
  <r>
    <n v="1574"/>
    <x v="0"/>
    <x v="0"/>
    <n v="110519"/>
    <s v="SINRI Supplier "/>
    <x v="12"/>
    <s v="L-&gt;R"/>
    <s v="No"/>
    <s v="Y60220"/>
    <n v="1"/>
    <s v="力合中转仓"/>
    <x v="178"/>
    <s v="NM"/>
    <s v="MAY 22"/>
    <n v="2022.3"/>
    <s v="JPY"/>
    <s v="C49SZX20220015SX"/>
    <s v="普德新星"/>
    <s v="YSM20R-2"/>
    <s v="L-&gt;R"/>
    <s v="No"/>
    <s v="OK"/>
    <s v="DAP GX"/>
    <d v="2022-01-24T00:00:00"/>
    <s v="Yes"/>
    <m/>
    <m/>
    <m/>
    <s v="C220242116"/>
  </r>
  <r>
    <n v="1575"/>
    <x v="0"/>
    <x v="0"/>
    <n v="110519"/>
    <s v="SINRI Supplier "/>
    <x v="12"/>
    <s v="L-&gt;R"/>
    <s v="No"/>
    <s v="Y60221"/>
    <n v="1"/>
    <s v="力合中转仓"/>
    <x v="178"/>
    <s v="NM"/>
    <s v="MAY 22"/>
    <n v="2022.3"/>
    <s v="JPY"/>
    <s v="C49SZX20220015SX"/>
    <s v="普德新星"/>
    <s v="YSM20R-2"/>
    <s v="L-&gt;R"/>
    <s v="No"/>
    <s v="OK"/>
    <s v="DAP GX"/>
    <d v="2022-01-24T00:00:00"/>
    <s v="Yes"/>
    <m/>
    <m/>
    <m/>
    <s v="C220242116"/>
  </r>
  <r>
    <n v="1577"/>
    <x v="0"/>
    <x v="0"/>
    <n v="110519"/>
    <s v="SINRI Supplier "/>
    <x v="1"/>
    <s v="L-&gt;R"/>
    <s v="MVC"/>
    <s v="Y60219"/>
    <n v="1"/>
    <s v="力合中转仓"/>
    <x v="178"/>
    <s v="NM"/>
    <s v="MAY 22"/>
    <n v="2022.2"/>
    <s v="JPY"/>
    <s v="C49SZX20220015SX"/>
    <s v="普德新星"/>
    <s v="YSM10"/>
    <s v="L-&gt;R"/>
    <s v="MVC"/>
    <s v="OK"/>
    <s v="DAP GX"/>
    <d v="2022-01-24T00:00:00"/>
    <s v="Yes"/>
    <m/>
    <m/>
    <m/>
    <s v="C220242116"/>
  </r>
  <r>
    <n v="1548"/>
    <x v="0"/>
    <x v="0"/>
    <n v="110803"/>
    <s v="广东微观名义下单"/>
    <x v="6"/>
    <s v="L-&gt;R"/>
    <s v="No"/>
    <s v="Y60594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49"/>
    <x v="0"/>
    <x v="0"/>
    <n v="110803"/>
    <s v="广东微观名义下单"/>
    <x v="6"/>
    <s v="L-&gt;R"/>
    <s v="No"/>
    <s v="Y60595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0"/>
    <x v="0"/>
    <x v="0"/>
    <n v="110803"/>
    <s v="广东微观名义下单"/>
    <x v="6"/>
    <s v="L-&gt;R"/>
    <s v="No"/>
    <s v="Y60596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1"/>
    <x v="0"/>
    <x v="0"/>
    <n v="110803"/>
    <s v="广东微观名义下单"/>
    <x v="6"/>
    <s v="L-&gt;R"/>
    <s v="No"/>
    <s v="Y60597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2"/>
    <x v="0"/>
    <x v="0"/>
    <n v="110803"/>
    <s v="广东微观名义下单"/>
    <x v="6"/>
    <s v="L-&gt;R"/>
    <s v="No"/>
    <s v="Y60598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3"/>
    <x v="0"/>
    <x v="0"/>
    <n v="110803"/>
    <s v="广东微观名义下单"/>
    <x v="6"/>
    <s v="L-&gt;R"/>
    <s v="No"/>
    <s v="Y60599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38"/>
    <x v="0"/>
    <x v="1"/>
    <n v="110791"/>
    <s v="鸿楠名义下单"/>
    <x v="13"/>
    <s v="R-&gt;L"/>
    <s v="No"/>
    <s v="Y60443"/>
    <n v="1"/>
    <s v="力合中转仓"/>
    <x v="179"/>
    <s v="NM"/>
    <s v="APR 22"/>
    <n v="2022.3"/>
    <s v="JPY"/>
    <s v="C28SZX20210216MZ"/>
    <s v="东莞鸿楠"/>
    <s v="YSi-V"/>
    <s v="R-&gt;L"/>
    <s v="No"/>
    <s v="OK"/>
    <s v="CIF  HK"/>
    <d v="2021-12-27T00:00:00"/>
    <s v="Yes"/>
    <m/>
    <m/>
    <m/>
    <s v="IND"/>
  </r>
  <r>
    <n v="1563"/>
    <x v="0"/>
    <x v="0"/>
    <n v="110824"/>
    <s v="超思维名义下单"/>
    <x v="1"/>
    <s v="R-&gt;L"/>
    <s v="MVC F&amp;R+ATS15"/>
    <s v="Y57101"/>
    <n v="1"/>
    <s v="CY仓库"/>
    <x v="179"/>
    <s v="NM"/>
    <s v="MAY 22"/>
    <n v="2022.3"/>
    <s v="JPY"/>
    <s v="C49SZX20220003EC"/>
    <s v="海红天远"/>
    <s v="YSM10"/>
    <s v="L-&gt;R"/>
    <s v="MVC+ATS15"/>
    <s v="WRONG"/>
    <s v="CIF HK"/>
    <d v="2022-01-24T00:00:00"/>
    <s v="Yes"/>
    <m/>
    <m/>
    <m/>
    <s v="C200737827"/>
  </r>
  <r>
    <n v="1890"/>
    <x v="0"/>
    <x v="0"/>
    <n v="110825"/>
    <s v="Shenzhen 力通威"/>
    <x v="1"/>
    <s v="R-&gt;L"/>
    <s v="MVC+96 FEEDER PLATE (YSM10) "/>
    <s v="Y60840"/>
    <n v="1"/>
    <s v="力合仓库(已经清关)"/>
    <x v="179"/>
    <s v="0.0512，RMB单清关"/>
    <s v="MAR 23"/>
    <n v="2022.3"/>
    <s v="RMB"/>
    <s v="C49SZX20230033JL"/>
    <s v="力通威"/>
    <s v="YSM10"/>
    <s v="R-&gt;L"/>
    <s v="MVC+96 FEEDER PLATE (YSM10) "/>
    <s v="OK"/>
    <s v="DDP SZ"/>
    <d v="2023-03-09T00:00:00"/>
    <s v="Yes"/>
    <m/>
    <m/>
    <m/>
    <s v="IND"/>
  </r>
  <r>
    <n v="1891"/>
    <x v="0"/>
    <x v="0"/>
    <n v="110825"/>
    <s v="Shenzhen 力通威"/>
    <x v="1"/>
    <s v="R-&gt;L"/>
    <s v="MVC+96 FEEDER PLATE (YSM10) "/>
    <s v="Y60841"/>
    <n v="1"/>
    <s v="力合仓库(已经清关)"/>
    <x v="179"/>
    <s v="0.0512，RMB单清关"/>
    <s v="MAR 23"/>
    <n v="2022.3"/>
    <s v="RMB"/>
    <s v="C49SZX20230033JL"/>
    <s v="力通威"/>
    <s v="YSM10"/>
    <s v="R-&gt;L"/>
    <s v="MVC+96 FEEDER PLATE (YSM10) "/>
    <s v="OK"/>
    <s v="DDP SZ"/>
    <d v="2023-03-09T00:00:00"/>
    <s v="Yes"/>
    <m/>
    <m/>
    <m/>
    <s v="IND"/>
  </r>
  <r>
    <n v="1508"/>
    <x v="0"/>
    <x v="0"/>
    <n v="110829"/>
    <s v="Shenzhen 清禾"/>
    <x v="1"/>
    <s v="R-&gt;L"/>
    <s v="MVC F&amp;R"/>
    <s v="Y60826"/>
    <n v="1"/>
    <s v="力合中转仓"/>
    <x v="179"/>
    <n v="5.45E-2"/>
    <s v="MAY 22"/>
    <n v="2022.3"/>
    <s v="JPY"/>
    <s v="C49SZX20210207JY"/>
    <s v="海凌科达"/>
    <s v="YSM10"/>
    <s v="L-&gt;R"/>
    <s v="No"/>
    <s v="WRONG"/>
    <s v="CIF HK"/>
    <d v="2021-11-30T00:00:00"/>
    <s v="Yes"/>
    <m/>
    <m/>
    <m/>
    <s v="C190735224"/>
  </r>
  <r>
    <n v="1590"/>
    <x v="0"/>
    <x v="0"/>
    <n v="110831"/>
    <s v="Shenzhen 驰电"/>
    <x v="1"/>
    <s v="R-&gt;L"/>
    <s v="MVC F&amp;R"/>
    <s v="Y60825"/>
    <n v="1"/>
    <s v="CY仓库"/>
    <x v="179"/>
    <n v="5.45E-2"/>
    <s v="MAY 22"/>
    <n v="2022.3"/>
    <s v="JPY"/>
    <s v="C49SZX20220013DZ"/>
    <s v="朗特"/>
    <s v="YSM10"/>
    <s v="R-&gt;L"/>
    <s v="No"/>
    <s v="WRONG"/>
    <s v="CIF HK"/>
    <d v="2022-02-22T00:00:00"/>
    <s v="Yes"/>
    <m/>
    <m/>
    <m/>
    <s v="C220342453"/>
  </r>
  <r>
    <n v="1211"/>
    <x v="0"/>
    <x v="0"/>
    <n v="110823"/>
    <s v="Stock order"/>
    <x v="12"/>
    <s v="L-&gt;R"/>
    <s v="No"/>
    <s v="Y58092"/>
    <n v="1"/>
    <s v="力合中转仓"/>
    <x v="180"/>
    <s v="NM"/>
    <s v="APR 22"/>
    <n v="2022.3"/>
    <s v="JPY"/>
    <s v="C49SZX20210125DZ"/>
    <s v="斯迈电子"/>
    <s v="YSM20R-2"/>
    <s v="L-&gt;R"/>
    <s v="MVC"/>
    <s v="WRONG"/>
    <s v="DAP GZ"/>
    <d v="2021-03-05T00:00:00"/>
    <s v="Yes"/>
    <m/>
    <m/>
    <m/>
    <s v="C210640294"/>
  </r>
  <r>
    <n v="1215"/>
    <x v="0"/>
    <x v="0"/>
    <n v="110823"/>
    <s v="Stock order"/>
    <x v="12"/>
    <s v="L-&gt;R"/>
    <s v="No"/>
    <s v="Y58093"/>
    <n v="1"/>
    <s v="力合中转仓"/>
    <x v="180"/>
    <s v="NM"/>
    <s v="APR 22"/>
    <n v="2022.3"/>
    <s v="JPY"/>
    <s v="C49SZX20210125DZ"/>
    <s v="斯迈电子"/>
    <s v="YSM20R-2"/>
    <s v="L-&gt;R"/>
    <s v="No"/>
    <s v="OK"/>
    <s v="DAP GZ"/>
    <d v="2021-03-05T00:00:00"/>
    <s v="Yes"/>
    <m/>
    <m/>
    <m/>
    <s v="C210640294"/>
  </r>
  <r>
    <n v="1213"/>
    <x v="0"/>
    <x v="0"/>
    <n v="110823"/>
    <s v="Stock order"/>
    <x v="12"/>
    <s v="L-&gt;R"/>
    <s v="No"/>
    <s v="Y58094"/>
    <n v="1"/>
    <s v="力合中转仓"/>
    <x v="180"/>
    <s v="NM"/>
    <s v="APR 22"/>
    <n v="2022.3"/>
    <s v="JPY"/>
    <s v="C49SZX20210125DZ"/>
    <s v="斯迈电子"/>
    <s v="YSM20R-2"/>
    <s v="L-&gt;R"/>
    <s v="MVC"/>
    <s v="WRONG"/>
    <s v="DAP GZ"/>
    <d v="2021-03-05T00:00:00"/>
    <s v="Yes"/>
    <m/>
    <m/>
    <m/>
    <s v="C210640294"/>
  </r>
  <r>
    <n v="1595"/>
    <x v="0"/>
    <x v="0"/>
    <n v="110830"/>
    <s v="Shenzhen 狂热者（有补差额，折扣约55.3%)"/>
    <x v="1"/>
    <s v="R-&gt;L"/>
    <s v="MVC+ATS15"/>
    <s v="Y60982"/>
    <n v="1"/>
    <s v="CY仓库"/>
    <x v="180"/>
    <s v="NM"/>
    <s v="MAY 22"/>
    <n v="2022.3"/>
    <s v="JPY"/>
    <s v="C49SZX20220013DZ"/>
    <s v="朗特"/>
    <s v="YSM10"/>
    <s v="R-&gt;L"/>
    <s v="MVC+ATS15"/>
    <s v="OK"/>
    <s v="CIF HK"/>
    <d v="2022-02-22T00:00:00"/>
    <s v="Yes"/>
    <m/>
    <m/>
    <m/>
    <s v="C220342453"/>
  </r>
  <r>
    <n v="1592"/>
    <x v="0"/>
    <x v="0"/>
    <n v="110830"/>
    <s v="Shenzhen 狂热者（有补差额，折扣约55.3%)"/>
    <x v="1"/>
    <s v="R-&gt;L"/>
    <s v="MVC+ATS15"/>
    <s v="Y60983"/>
    <n v="1"/>
    <s v="CY仓库"/>
    <x v="180"/>
    <s v="NM"/>
    <s v="MAY 22"/>
    <n v="2022.3"/>
    <s v="JPY"/>
    <s v="C49SZX20220013DZ"/>
    <s v="朗特"/>
    <s v="YSM10"/>
    <s v="R-&gt;L"/>
    <s v="MVC+ATS15"/>
    <s v="OK"/>
    <s v="CIF HK"/>
    <d v="2022-02-22T00:00:00"/>
    <s v="Yes"/>
    <m/>
    <m/>
    <m/>
    <s v="C220342453"/>
  </r>
  <r>
    <n v="1651"/>
    <x v="0"/>
    <x v="0"/>
    <n v="110826"/>
    <s v="Guangzhou 骏孚（有补差额，折扣约55.3%)"/>
    <x v="1"/>
    <s v="R-&gt;L"/>
    <s v="MVC F&amp;R"/>
    <s v="Y60996"/>
    <n v="1"/>
    <s v="力合仓库(已经清关)"/>
    <x v="180"/>
    <s v="0.0502，PO110810"/>
    <s v="JUN 22"/>
    <n v="2022.3"/>
    <s v="RMB"/>
    <s v="C49SZX20220048SX"/>
    <s v="志华鑫"/>
    <s v="YSM10"/>
    <s v="R-&gt;L"/>
    <s v="MVC"/>
    <s v="WRONG"/>
    <s v="DDP SZ"/>
    <d v="2022-04-20T00:00:00"/>
    <s v="Yes"/>
    <m/>
    <m/>
    <m/>
    <s v="C201038384"/>
  </r>
  <r>
    <n v="1483"/>
    <x v="0"/>
    <x v="0"/>
    <n v="110827"/>
    <s v="Jinxi 昌大（有补差额，折扣约55.3%)"/>
    <x v="1"/>
    <s v="R-&gt;L"/>
    <s v="MVC"/>
    <s v="Y60994"/>
    <n v="1"/>
    <s v="力合仓库(已经清关)"/>
    <x v="180"/>
    <s v="NM 110828"/>
    <s v="JUN 22"/>
    <n v="2022.3"/>
    <s v="JPY"/>
    <s v="C49SZX20210198DZ"/>
    <s v="汇海通达"/>
    <s v="YSM10"/>
    <s v="L-&gt;R"/>
    <s v="No"/>
    <s v="WRONG"/>
    <s v="DAP SZ"/>
    <d v="2021-10-13T00:00:00"/>
    <s v="Yes"/>
    <m/>
    <m/>
    <m/>
    <s v="C220543032"/>
  </r>
  <r>
    <n v="1678"/>
    <x v="0"/>
    <x v="0"/>
    <n v="110828"/>
    <s v="Shenzhen 恒泰创新（有补差额，折扣约55.3%)"/>
    <x v="1"/>
    <s v="R-&gt;L"/>
    <s v="MVC F&amp;R"/>
    <s v="Y61001"/>
    <n v="1"/>
    <s v="力合仓库(已经清关)"/>
    <x v="180"/>
    <s v="0.0502 RMB清关 110810"/>
    <s v="JUN 22"/>
    <n v="2022.3"/>
    <s v="RMB"/>
    <s v="C49SZX20220065SX"/>
    <s v="正讯"/>
    <s v="YSM10"/>
    <s v="R-&gt;L"/>
    <s v="MVC"/>
    <s v="WRONG"/>
    <s v="DDP SZ"/>
    <d v="2022-06-06T00:00:00"/>
    <s v="Yes"/>
    <m/>
    <m/>
    <m/>
    <s v="C220442556"/>
  </r>
  <r>
    <n v="1566"/>
    <x v="0"/>
    <x v="0"/>
    <n v="110832"/>
    <s v="傲尔（有补差额，折扣约55.3%)"/>
    <x v="1"/>
    <s v="R-&gt;L"/>
    <s v="MVC F&amp;R"/>
    <s v="Y60998"/>
    <n v="1"/>
    <s v="CY仓库"/>
    <x v="180"/>
    <s v="NM"/>
    <s v="MAY 22"/>
    <n v="2022.3"/>
    <s v="JPY"/>
    <s v="C49SZX20220003EC"/>
    <s v="海红天远"/>
    <s v="YSM10"/>
    <s v="R-&gt;L"/>
    <s v="No"/>
    <s v="WRONG"/>
    <s v="CIF HK"/>
    <d v="2022-01-24T00:00:00"/>
    <s v="Yes"/>
    <m/>
    <m/>
    <m/>
    <s v="C200737827"/>
  </r>
  <r>
    <n v="1565"/>
    <x v="0"/>
    <x v="0"/>
    <n v="110832"/>
    <s v="傲尔（有补差额，折扣约55.3%)"/>
    <x v="1"/>
    <s v="R-&gt;L"/>
    <s v="MVC F&amp;R"/>
    <s v="Y60999"/>
    <n v="1"/>
    <s v="CY仓库"/>
    <x v="180"/>
    <s v="NM"/>
    <s v="MAY 22"/>
    <n v="2022.3"/>
    <s v="JPY"/>
    <s v="C49SZX20220003EC"/>
    <s v="海红天远"/>
    <s v="YSM10"/>
    <s v="R-&gt;L"/>
    <s v="No"/>
    <s v="WRONG"/>
    <s v="CIF HK"/>
    <d v="2022-01-24T00:00:00"/>
    <s v="Yes"/>
    <m/>
    <m/>
    <m/>
    <s v="C200737827"/>
  </r>
  <r>
    <n v="1679"/>
    <x v="0"/>
    <x v="0"/>
    <n v="110833"/>
    <s v="SZ 乐凡电子"/>
    <x v="12"/>
    <s v="R-&gt;L"/>
    <s v="No"/>
    <s v="Y60993"/>
    <n v="1"/>
    <s v="力合仓库(已经清关)"/>
    <x v="181"/>
    <s v="YamahaRMB单49F104087,"/>
    <s v="JUN 22"/>
    <n v="2022.4"/>
    <s v="RMB"/>
    <s v="C49SZX20220065SX"/>
    <s v="正讯"/>
    <s v="YSM20R-2"/>
    <s v="R-&gt;L"/>
    <s v="No"/>
    <s v="OK"/>
    <s v="DDP SZ"/>
    <d v="2022-06-06T00:00:00"/>
    <s v="Yes"/>
    <m/>
    <m/>
    <m/>
    <s v="C220442556"/>
  </r>
  <r>
    <n v="1562"/>
    <x v="0"/>
    <x v="0"/>
    <n v="110835"/>
    <s v="SZ 捷舜诚"/>
    <x v="12"/>
    <s v="L-&gt;R"/>
    <s v="No"/>
    <s v="Y61013"/>
    <n v="1"/>
    <s v="CY仓库"/>
    <x v="181"/>
    <s v="NM"/>
    <s v="MAY 22"/>
    <n v="2022.4"/>
    <s v="JPY"/>
    <s v="C49SZX20220003EC"/>
    <s v="海红天远"/>
    <s v="YSM20R-2"/>
    <s v="L-&gt;R"/>
    <s v="No"/>
    <s v="OK"/>
    <s v="CIF HK"/>
    <d v="2022-01-24T00:00:00"/>
    <s v="Yes"/>
    <m/>
    <m/>
    <m/>
    <s v="C200737827"/>
  </r>
  <r>
    <n v="1594"/>
    <x v="0"/>
    <x v="0"/>
    <n v="110837"/>
    <s v="SZ 海红天远"/>
    <x v="12"/>
    <s v="R-&gt;L"/>
    <s v="No"/>
    <s v="Y61016"/>
    <n v="1"/>
    <s v="CY仓库"/>
    <x v="181"/>
    <s v="NM"/>
    <s v="MAY 22"/>
    <n v="2022.4"/>
    <s v="JPY"/>
    <s v="C49SZX20220013DZ"/>
    <s v="朗特"/>
    <s v="YSM20R-2"/>
    <s v="R-&gt;L"/>
    <s v="No"/>
    <s v="OK"/>
    <s v="CIF HK"/>
    <d v="2022-02-22T00:00:00"/>
    <s v="Yes"/>
    <m/>
    <m/>
    <m/>
    <s v="C220342453"/>
  </r>
  <r>
    <n v="1301"/>
    <x v="0"/>
    <x v="0"/>
    <n v="110838"/>
    <s v="SZ 蓝极光"/>
    <x v="12"/>
    <s v="L-&gt;R"/>
    <s v="No"/>
    <s v="Y61017"/>
    <n v="1"/>
    <s v="力合中转仓"/>
    <x v="181"/>
    <s v="NM"/>
    <s v="MAY 22"/>
    <n v="2022.4"/>
    <s v="JPY"/>
    <s v="C49SZX20210106JY"/>
    <s v="辉拓"/>
    <s v="YSM20R-2"/>
    <s v="L-&gt;R"/>
    <s v="MVC"/>
    <s v="WRONG"/>
    <s v="DAP SZ"/>
    <d v="2021-04-07T00:00:00"/>
    <s v="Yes"/>
    <m/>
    <m/>
    <m/>
    <s v="C220442711"/>
  </r>
  <r>
    <n v="1302"/>
    <x v="0"/>
    <x v="0"/>
    <n v="110838"/>
    <s v="SZ 蓝极光"/>
    <x v="12"/>
    <s v="L-&gt;R"/>
    <s v="No"/>
    <s v="Y61018"/>
    <n v="1"/>
    <s v="力合中转仓"/>
    <x v="181"/>
    <s v="NM"/>
    <s v="MAY 22"/>
    <n v="2022.4"/>
    <s v="JPY"/>
    <s v="C49SZX20210106JY"/>
    <s v="辉拓"/>
    <s v="YSM20R-2"/>
    <s v="L-&gt;R"/>
    <s v="MVC"/>
    <s v="WRONG"/>
    <s v="DAP SZ"/>
    <d v="2021-04-07T00:00:00"/>
    <s v="Yes"/>
    <m/>
    <m/>
    <m/>
    <s v="C220442711"/>
  </r>
  <r>
    <n v="1561"/>
    <x v="0"/>
    <x v="0"/>
    <n v="110834"/>
    <s v="SZ 博新"/>
    <x v="12"/>
    <s v="R-&gt;L"/>
    <s v="No"/>
    <s v="Y61012"/>
    <n v="1"/>
    <s v="CY仓库"/>
    <x v="181"/>
    <s v="NM"/>
    <s v="MAY 22"/>
    <n v="2022.4"/>
    <s v="JPY"/>
    <s v="C49SZX20220003EC"/>
    <s v="海红天远"/>
    <s v="YSM20R-2"/>
    <s v="R-&gt;L"/>
    <s v="No"/>
    <s v="OK"/>
    <s v="CIF HK"/>
    <d v="2022-01-24T00:00:00"/>
    <s v="Yes"/>
    <m/>
    <m/>
    <m/>
    <s v="C200737827"/>
  </r>
  <r>
    <n v="1588"/>
    <x v="0"/>
    <x v="0"/>
    <n v="110836"/>
    <s v="SZ 易通"/>
    <x v="12"/>
    <s v="R-&gt;L"/>
    <s v="No"/>
    <s v="Y61014"/>
    <n v="1"/>
    <s v="CY仓库"/>
    <x v="181"/>
    <s v="NM"/>
    <s v="MAY 22"/>
    <n v="2022.4"/>
    <s v="JPY"/>
    <s v="C49SZX20220013DZ"/>
    <s v="朗特"/>
    <s v="YSM20R-2"/>
    <s v="R-&gt;L"/>
    <s v="No"/>
    <s v="OK"/>
    <s v="CIF HK"/>
    <d v="2022-02-22T00:00:00"/>
    <s v="Yes"/>
    <m/>
    <m/>
    <m/>
    <s v="C200637456"/>
  </r>
  <r>
    <n v="1637"/>
    <x v="0"/>
    <x v="0"/>
    <s v="110810 拆分PO110913"/>
    <s v="Dongguan Yidong"/>
    <x v="1"/>
    <s v="R-&gt;L"/>
    <s v="MVC"/>
    <s v="Y60553"/>
    <n v="1"/>
    <s v="力合仓库(已经清关)"/>
    <x v="182"/>
    <s v="NM 110872"/>
    <s v="JUN 22"/>
    <n v="2022.4"/>
    <s v="JPY"/>
    <s v="C49SZX20220045SX"/>
    <s v="恒磊"/>
    <s v="YSM10"/>
    <s v="L-&gt;R"/>
    <s v="MVC"/>
    <s v="WRONG"/>
    <s v="DAP SZ"/>
    <d v="2022-04-13T00:00:00"/>
    <s v="Yes"/>
    <m/>
    <m/>
    <m/>
    <s v="C211241805"/>
  </r>
  <r>
    <n v="1638"/>
    <x v="0"/>
    <x v="0"/>
    <s v="110810 拆分PO110913"/>
    <s v="Dongguan Yidong"/>
    <x v="1"/>
    <s v="R-&gt;L"/>
    <s v="MVC"/>
    <s v="Y60554"/>
    <n v="1"/>
    <s v="力合仓库(已经清关)"/>
    <x v="182"/>
    <s v="NM 110872"/>
    <s v="JUN 22"/>
    <n v="2022.4"/>
    <s v="JPY"/>
    <s v="C49SZX20220045SX"/>
    <s v="恒磊"/>
    <s v="YSM10"/>
    <s v="L-&gt;R"/>
    <s v="MVC"/>
    <s v="WRONG"/>
    <s v="DDP SZ"/>
    <d v="2022-04-13T00:00:00"/>
    <s v="Yes"/>
    <m/>
    <m/>
    <m/>
    <s v="C211241805"/>
  </r>
  <r>
    <n v="1667"/>
    <x v="0"/>
    <x v="0"/>
    <n v="110810"/>
    <s v="Dongguan Yidong"/>
    <x v="1"/>
    <s v="R-&gt;L"/>
    <s v="MVC F&amp;R"/>
    <s v="Y60559"/>
    <n v="1"/>
    <s v="力合仓库(已经清关)"/>
    <x v="182"/>
    <s v="NM 110871"/>
    <s v="JUN 22"/>
    <n v="2022.4"/>
    <s v="JPY"/>
    <s v="C49SZX20220056EC"/>
    <s v="鑫天泰"/>
    <s v="YSM10"/>
    <s v="L-&gt;R"/>
    <s v="MVC"/>
    <s v="WRONG"/>
    <s v="DAP SZ"/>
    <d v="2022-05-13T00:00:00"/>
    <s v="Yes"/>
    <m/>
    <m/>
    <m/>
    <s v="C190334130"/>
  </r>
  <r>
    <n v="1683"/>
    <x v="0"/>
    <x v="0"/>
    <n v="110810"/>
    <s v="Dongguan Yidong"/>
    <x v="1"/>
    <s v="R-&gt;L"/>
    <s v="MVC F&amp;R"/>
    <s v="Y60560"/>
    <n v="1"/>
    <s v="力合仓库(已经清关)"/>
    <x v="182"/>
    <s v="0.0502,，RMB清关 PO110436"/>
    <s v="JUN 22"/>
    <n v="2022.4"/>
    <s v="RMB"/>
    <s v="C49SZX20220063JY"/>
    <s v="芯联鑫"/>
    <s v="YSM10"/>
    <s v="L-&gt;R"/>
    <s v="No"/>
    <s v="WRONG"/>
    <s v="DDP GZ"/>
    <d v="2022-06-11T00:00:00"/>
    <s v="Yes"/>
    <m/>
    <m/>
    <m/>
    <s v="C200737845"/>
  </r>
  <r>
    <n v="1684"/>
    <x v="0"/>
    <x v="0"/>
    <n v="110810"/>
    <s v="Dongguan Yidong"/>
    <x v="1"/>
    <s v="R-&gt;L"/>
    <s v="MVC F&amp;R"/>
    <s v="Y60561"/>
    <n v="1"/>
    <s v="力合仓库(已经清关)"/>
    <x v="182"/>
    <s v="0.0502 RMB清关"/>
    <s v="JUN 22"/>
    <n v="2022.4"/>
    <s v="RMB"/>
    <s v="C49SZX20220063JY"/>
    <s v="芯联鑫"/>
    <s v="YSM10"/>
    <s v="L-&gt;R"/>
    <s v="No"/>
    <s v="WRONG"/>
    <s v="DDP GZ"/>
    <d v="2022-06-11T00:00:00"/>
    <s v="Yes"/>
    <m/>
    <m/>
    <m/>
    <s v="C200737845"/>
  </r>
  <r>
    <n v="1581"/>
    <x v="0"/>
    <x v="0"/>
    <s v="110810 拆分PO110913"/>
    <s v="Dongguan Yidong"/>
    <x v="1"/>
    <s v="R-&gt;L"/>
    <s v="MVC"/>
    <s v="Y60555"/>
    <n v="1"/>
    <s v="力合中转仓"/>
    <x v="182"/>
    <s v="NM"/>
    <s v="MAY 22"/>
    <n v="2022.4"/>
    <s v="JPY"/>
    <s v="C49SZX20220018SX"/>
    <s v="岚新"/>
    <s v="YSM10"/>
    <s v="L-&gt;R"/>
    <s v="MVC"/>
    <s v="WRONG"/>
    <s v="DAP SZ"/>
    <d v="2022-02-16T00:00:00"/>
    <s v="Yes"/>
    <m/>
    <m/>
    <m/>
    <s v="C220342284"/>
  </r>
  <r>
    <n v="1582"/>
    <x v="0"/>
    <x v="0"/>
    <s v="110810 拆分PO110913"/>
    <s v="Dongguan Yidong"/>
    <x v="1"/>
    <s v="R-&gt;L"/>
    <s v="MVC"/>
    <s v="Y60556"/>
    <n v="1"/>
    <s v="力合中转仓"/>
    <x v="182"/>
    <s v="NM"/>
    <s v="MAY 22"/>
    <n v="2022.4"/>
    <s v="JPY"/>
    <s v="C49SZX20220018SX"/>
    <s v="岚新"/>
    <s v="YSM10"/>
    <s v="L-&gt;R"/>
    <s v="No"/>
    <s v="WRONG"/>
    <s v="DAP SZ"/>
    <d v="2022-02-16T00:00:00"/>
    <s v="Yes"/>
    <m/>
    <m/>
    <m/>
    <s v="C220342284"/>
  </r>
  <r>
    <n v="1618"/>
    <x v="0"/>
    <x v="0"/>
    <n v="110810"/>
    <s v="Dongguan Yidong"/>
    <x v="1"/>
    <s v="R-&gt;L"/>
    <s v="MVC"/>
    <s v="Y60557"/>
    <n v="1"/>
    <s v="力合仓库(已经清关)"/>
    <x v="182"/>
    <n v="5.0200000000000002E-2"/>
    <m/>
    <n v="2022.4"/>
    <s v="RMB"/>
    <s v="C49SZX20220025AY"/>
    <s v="创舰"/>
    <s v="YSM10"/>
    <s v="R-&gt;L"/>
    <s v="MVC"/>
    <s v="OK"/>
    <s v="DDP HZ"/>
    <d v="2022-03-14T00:00:00"/>
    <s v="Yes"/>
    <m/>
    <m/>
    <m/>
    <s v="C220442573"/>
  </r>
  <r>
    <n v="1619"/>
    <x v="0"/>
    <x v="0"/>
    <n v="110810"/>
    <s v="Dongguan Yidong"/>
    <x v="1"/>
    <s v="R-&gt;L"/>
    <s v="MVC F&amp;R"/>
    <s v="Y60558"/>
    <n v="1"/>
    <s v="力合仓库(已经清关)"/>
    <x v="182"/>
    <n v="5.0200000000000002E-2"/>
    <m/>
    <n v="2022.4"/>
    <s v="RMB"/>
    <s v="C49SZX20220025AY"/>
    <s v="创舰"/>
    <s v="YSM10"/>
    <s v="R-&gt;L"/>
    <s v="No"/>
    <s v="WRONG"/>
    <s v="DDP HZ"/>
    <d v="2022-03-14T00:00:00"/>
    <s v="Yes"/>
    <m/>
    <m/>
    <m/>
    <s v="C220442573"/>
  </r>
  <r>
    <n v="1593"/>
    <x v="0"/>
    <x v="0"/>
    <n v="110810"/>
    <s v="Dongguan Yidong"/>
    <x v="1"/>
    <s v="R-&gt;L"/>
    <s v="MVC F&amp;R"/>
    <s v="Y60562"/>
    <n v="1"/>
    <s v="CY仓库"/>
    <x v="182"/>
    <s v="NM PO110810拆分PO110913"/>
    <s v="JUN 22"/>
    <n v="2022.4"/>
    <s v="JPY"/>
    <s v="C49SZX20220013DZ"/>
    <s v="朗特"/>
    <s v="YSM10"/>
    <s v="R-&gt;L"/>
    <s v="No"/>
    <s v="WRONG"/>
    <s v="CIF HK"/>
    <d v="2022-02-22T00:00:00"/>
    <s v="Yes"/>
    <m/>
    <m/>
    <m/>
    <s v="C220342453"/>
  </r>
  <r>
    <n v="1583"/>
    <x v="0"/>
    <x v="0"/>
    <n v="110436"/>
    <s v="Stock order"/>
    <x v="1"/>
    <s v="R-&gt;L"/>
    <s v="No"/>
    <s v="Y56519"/>
    <n v="1"/>
    <s v="力合中转仓"/>
    <x v="182"/>
    <s v="NM PO 110883"/>
    <s v="JUL 22"/>
    <n v="2022.4"/>
    <s v="JPY"/>
    <s v="C49SZX20220020R1SS"/>
    <s v="弛瑞"/>
    <s v="YSM10"/>
    <s v="L-&gt;R"/>
    <s v="No"/>
    <s v="WRONG"/>
    <s v="DAP SZ"/>
    <d v="2022-02-22T00:00:00"/>
    <s v="Yes"/>
    <m/>
    <m/>
    <m/>
    <s v="C210439993"/>
  </r>
  <r>
    <n v="1387"/>
    <x v="0"/>
    <x v="0"/>
    <n v="110429"/>
    <s v="Stock order"/>
    <x v="1"/>
    <s v="R-&gt;L"/>
    <s v="No"/>
    <s v="Y57572"/>
    <n v="1"/>
    <s v="力合中转仓"/>
    <x v="183"/>
    <n v="6.0600000000000001E-2"/>
    <s v="MAY 22"/>
    <n v="2022.4"/>
    <s v="JPY"/>
    <s v="C49SZX20220057DZ"/>
    <s v="广恒创新（enduser:深圳比尔乔）"/>
    <s v="YSM10"/>
    <s v="R-&gt;L"/>
    <s v="MVC"/>
    <s v="WRONG"/>
    <s v="CIF HK"/>
    <d v="2021-05-24T00:00:00"/>
    <s v="Yes"/>
    <m/>
    <m/>
    <m/>
    <s v="C210640373"/>
  </r>
  <r>
    <n v="1635"/>
    <x v="0"/>
    <x v="0"/>
    <n v="110429"/>
    <s v="Stock order"/>
    <x v="1"/>
    <s v="R-&gt;L"/>
    <s v="No"/>
    <s v="Y57573"/>
    <n v="1"/>
    <s v="力合中转仓"/>
    <x v="183"/>
    <n v="6.0600000000000001E-2"/>
    <s v="MAY 22"/>
    <n v="2022.4"/>
    <s v="JPY"/>
    <s v="C49SZX20220041SQ"/>
    <s v="华富快捷"/>
    <s v="YSM10"/>
    <s v="R-&gt;L"/>
    <s v="MVC"/>
    <s v="WRONG"/>
    <s v="DAP SZ"/>
    <d v="2022-03-30T00:00:00"/>
    <s v="Yes"/>
    <m/>
    <m/>
    <m/>
    <s v="C220442577"/>
  </r>
  <r>
    <n v="1388"/>
    <x v="0"/>
    <x v="0"/>
    <n v="110429"/>
    <s v="Stock order"/>
    <x v="1"/>
    <s v="R-&gt;L"/>
    <s v="No"/>
    <s v="Y57574"/>
    <n v="1"/>
    <s v="力合中转仓"/>
    <x v="183"/>
    <n v="6.0600000000000001E-2"/>
    <s v="MAY 22"/>
    <n v="2022.4"/>
    <s v="JPY"/>
    <s v="C49SZX20220057DZ"/>
    <s v="广恒创新（enduser:深圳比尔乔）"/>
    <s v="YSM10"/>
    <s v="R-&gt;L"/>
    <s v="MVC"/>
    <s v="WRONG"/>
    <s v="CIF HK"/>
    <d v="2021-05-24T00:00:00"/>
    <s v="Yes"/>
    <m/>
    <m/>
    <m/>
    <s v="C210640373"/>
  </r>
  <r>
    <n v="1674"/>
    <x v="0"/>
    <x v="0"/>
    <n v="110870"/>
    <s v="Dongguan 岚新"/>
    <x v="1"/>
    <s v="R-&gt;L"/>
    <s v="MVC F&amp;R"/>
    <s v="Y61435"/>
    <n v="1"/>
    <s v="力合仓库(已经清关)"/>
    <x v="183"/>
    <n v="5.21E-2"/>
    <s v="JUN 22"/>
    <n v="2022.4"/>
    <s v="RMB"/>
    <s v="C49SZX20220062SS"/>
    <s v="世启纳"/>
    <s v="YSM10"/>
    <s v="L-&gt;R"/>
    <s v="MVC"/>
    <s v="WRONG"/>
    <s v="DDP SZ"/>
    <d v="2022-05-26T00:00:00"/>
    <s v="Yes"/>
    <m/>
    <m/>
    <m/>
    <s v="C210640351"/>
  </r>
  <r>
    <n v="1677"/>
    <x v="0"/>
    <x v="0"/>
    <n v="110870"/>
    <s v="Dongguan 岚新"/>
    <x v="1"/>
    <s v="R-&gt;L"/>
    <s v="MVC F&amp;R"/>
    <s v="Y61436"/>
    <n v="1"/>
    <s v="力合仓库(已经清关)"/>
    <x v="183"/>
    <n v="5.21E-2"/>
    <s v="JUN 22"/>
    <n v="2022.4"/>
    <s v="RMB"/>
    <s v="C49SZX202200066SS"/>
    <s v="思迈"/>
    <s v="YSM10"/>
    <s v="L-&gt;R"/>
    <s v="MVC"/>
    <s v="WRONG"/>
    <s v="DDP SZ"/>
    <d v="2022-06-06T00:00:00"/>
    <s v="Yes"/>
    <m/>
    <m/>
    <m/>
    <s v="C180431770"/>
  </r>
  <r>
    <n v="1525"/>
    <x v="0"/>
    <x v="0"/>
    <n v="110882"/>
    <s v="Stock order"/>
    <x v="12"/>
    <s v="L-&gt;R"/>
    <s v="MVC"/>
    <s v="Y58095"/>
    <n v="1"/>
    <s v="力合中转仓"/>
    <x v="184"/>
    <s v="NM，110838"/>
    <s v="MAY 22"/>
    <n v="2022.4"/>
    <s v="JPY"/>
    <s v="C49SZX20220030SS"/>
    <s v="微克（end user：蓝极光）"/>
    <s v="YSM20R-2"/>
    <s v="L-&gt;R"/>
    <s v="No"/>
    <s v="WRONG"/>
    <s v="DAP SZ"/>
    <d v="2021-12-21T00:00:00"/>
    <s v="Yes"/>
    <m/>
    <m/>
    <m/>
    <s v="C220242133"/>
  </r>
  <r>
    <n v="1526"/>
    <x v="0"/>
    <x v="0"/>
    <n v="110882"/>
    <s v="Stock order"/>
    <x v="12"/>
    <s v="L-&gt;R"/>
    <s v="No"/>
    <s v="Y58096"/>
    <n v="1"/>
    <s v="力合中转仓"/>
    <x v="184"/>
    <s v="NM，110838"/>
    <s v="MAY 22"/>
    <n v="2022.4"/>
    <s v="JPY"/>
    <s v="C49SZX20220030SS"/>
    <s v="微克（end user：蓝极光）"/>
    <s v="YSM20R-2"/>
    <s v="L-&gt;R"/>
    <s v="No"/>
    <s v="OK"/>
    <s v="DAP SZ"/>
    <d v="2021-12-21T00:00:00"/>
    <s v="Yes"/>
    <m/>
    <m/>
    <m/>
    <s v="C220242133"/>
  </r>
  <r>
    <n v="1597"/>
    <x v="0"/>
    <x v="0"/>
    <n v="110882"/>
    <s v="Stock order"/>
    <x v="12"/>
    <s v="L-&gt;R"/>
    <s v="No"/>
    <s v="Y58097"/>
    <n v="1"/>
    <s v="力合中转仓"/>
    <x v="184"/>
    <s v="NM 110868"/>
    <s v="JUN 22"/>
    <n v="2022.4"/>
    <s v="JPY"/>
    <s v="C49SZX20220021SS"/>
    <s v="钧溢电子"/>
    <s v="YSM20R-2"/>
    <s v="L-&gt;R"/>
    <s v="No"/>
    <s v="OK"/>
    <s v="DAP SZ"/>
    <d v="2022-02-25T00:00:00"/>
    <s v="Yes"/>
    <m/>
    <m/>
    <m/>
    <s v="C211241704"/>
  </r>
  <r>
    <n v="1655"/>
    <x v="0"/>
    <x v="0"/>
    <n v="110873"/>
    <s v="Shenzhen Longtech"/>
    <x v="1"/>
    <s v="R-&gt;L"/>
    <s v="MVC F&amp;R+ATS15"/>
    <s v="Y61377"/>
    <n v="1"/>
    <s v="力合中转仓"/>
    <x v="185"/>
    <s v="NM  PO110920"/>
    <s v="AUG 22"/>
    <n v="2022.4"/>
    <s v="JPY"/>
    <s v="C49SZX20220049JY"/>
    <s v="辉拓"/>
    <s v="YSM10"/>
    <s v="L-&gt;R"/>
    <s v="MVC F&amp;R+ATS15"/>
    <s v="WRONG"/>
    <s v="CIF HK"/>
    <d v="2022-04-21T00:00:00"/>
    <s v="Yes"/>
    <m/>
    <m/>
    <m/>
    <s v="C220442711"/>
  </r>
  <r>
    <n v="1704"/>
    <x v="0"/>
    <x v="0"/>
    <n v="110873"/>
    <s v="Shenzhen Longtech"/>
    <x v="1"/>
    <s v="R-&gt;L"/>
    <s v="MVC F&amp;R+ATS15"/>
    <s v="Y61378"/>
    <n v="1"/>
    <s v="CY仓库"/>
    <x v="185"/>
    <s v="NM,PO 110998"/>
    <s v="AUG 22"/>
    <n v="2022.4"/>
    <s v="JPY"/>
    <s v="C49SZX20220073DZ"/>
    <s v="朗特"/>
    <s v="YSM10"/>
    <s v="L-&gt;R"/>
    <s v="MVC+ATS15"/>
    <s v="WRONG"/>
    <s v="CIF HK"/>
    <d v="2022-07-12T00:00:00"/>
    <s v="Yes"/>
    <m/>
    <m/>
    <m/>
    <s v="C190534728"/>
  </r>
  <r>
    <n v="1628"/>
    <x v="0"/>
    <x v="0"/>
    <n v="110873"/>
    <s v="Shenzhen Longtech"/>
    <x v="1"/>
    <s v="R-&gt;L"/>
    <s v="MVC F&amp;R"/>
    <s v="Y61379"/>
    <n v="1"/>
    <s v="力合中转仓"/>
    <x v="185"/>
    <s v="NM"/>
    <s v="JUL 22"/>
    <n v="2022.4"/>
    <s v="JPY"/>
    <s v="C49SZX20220035R1SS"/>
    <s v="中润互联"/>
    <s v="YSM10"/>
    <s v="R-&gt;L"/>
    <s v="MVC"/>
    <s v="WRONG"/>
    <s v="DAP SZ"/>
    <d v="2022-03-21T00:00:00"/>
    <s v="Yes"/>
    <m/>
    <m/>
    <m/>
    <s v="C220442706"/>
  </r>
  <r>
    <n v="1580"/>
    <x v="0"/>
    <x v="0"/>
    <n v="110874"/>
    <s v="Shenzhen 伯莱科"/>
    <x v="1"/>
    <s v="R-&gt;L"/>
    <s v="MVC F&amp;R+ATS15"/>
    <s v="Y61440"/>
    <n v="1"/>
    <s v="力合中转仓"/>
    <x v="185"/>
    <s v="NM"/>
    <s v="JUN 22"/>
    <n v="2022.4"/>
    <s v="JPY"/>
    <s v="C49SZX20220016JL"/>
    <s v="伯莱科"/>
    <s v="YSM10"/>
    <s v="L-&gt;R"/>
    <s v="MVC+ATS15"/>
    <s v="WRONG"/>
    <s v="DAP SZ"/>
    <d v="2022-02-15T00:00:00"/>
    <s v="Yes"/>
    <m/>
    <m/>
    <m/>
    <s v="IND"/>
  </r>
  <r>
    <n v="1605"/>
    <x v="0"/>
    <x v="0"/>
    <n v="110869"/>
    <s v="通达科信"/>
    <x v="12"/>
    <s v="L-&gt;R"/>
    <s v="cATS10+MVC+6pcs special layout"/>
    <s v="Y61330"/>
    <n v="1"/>
    <s v="CY仓库"/>
    <x v="186"/>
    <s v="NM"/>
    <s v="JUN 22"/>
    <n v="2022.4"/>
    <s v="JPY"/>
    <s v="C49SZX20220028R1SX"/>
    <s v="通达科信"/>
    <s v="YSM20R-2"/>
    <s v="L-&gt;R"/>
    <s v="cATS10+MVC+6pcs special layout"/>
    <s v="OK"/>
    <s v="CIF HK"/>
    <d v="2022-03-07T00:00:00"/>
    <s v="Yes"/>
    <m/>
    <m/>
    <m/>
    <s v="IND"/>
  </r>
  <r>
    <n v="1601"/>
    <x v="0"/>
    <x v="0"/>
    <n v="110866"/>
    <s v="DG 普德新星"/>
    <x v="12"/>
    <s v="L-&gt;R"/>
    <s v="No"/>
    <s v="Y61448"/>
    <n v="1"/>
    <s v="力合中转仓"/>
    <x v="186"/>
    <s v="NM"/>
    <s v="JUN 22"/>
    <n v="2022.4"/>
    <s v="JPY"/>
    <s v="C49SZX20220026SX"/>
    <s v="骏仁达"/>
    <s v="YSM20R-2"/>
    <s v="L-&gt;R"/>
    <s v="No"/>
    <s v="OK"/>
    <s v="DAP SZ"/>
    <d v="2022-03-01T00:00:00"/>
    <s v="Yes"/>
    <m/>
    <m/>
    <m/>
    <s v="C180431793"/>
  </r>
  <r>
    <n v="1528"/>
    <x v="0"/>
    <x v="0"/>
    <n v="110866"/>
    <s v="DG 普德新星"/>
    <x v="12"/>
    <s v="L-&gt;R"/>
    <s v="No"/>
    <s v="Y61449"/>
    <n v="1"/>
    <s v="力合中转仓"/>
    <x v="186"/>
    <s v="NM"/>
    <s v="MAY 22"/>
    <n v="2022.4"/>
    <s v="JPY"/>
    <s v="C49SZX20220030SS"/>
    <s v="微克（end user：蓝极光）"/>
    <s v="YSM20R-2"/>
    <s v="L-&gt;R"/>
    <s v="No"/>
    <s v="OK"/>
    <s v="DAP SZ"/>
    <d v="2022-03-24T00:00:00"/>
    <s v="Yes"/>
    <m/>
    <m/>
    <m/>
    <s v="C220242133"/>
  </r>
  <r>
    <n v="1527"/>
    <x v="0"/>
    <x v="0"/>
    <n v="110864"/>
    <s v="SZ 骏仁达"/>
    <x v="12"/>
    <s v="L-&gt;R"/>
    <s v="No"/>
    <s v="Y61438"/>
    <n v="1"/>
    <s v="力合中转仓"/>
    <x v="186"/>
    <s v="NM"/>
    <s v="MAY 22"/>
    <n v="2022.4"/>
    <s v="JPY"/>
    <s v="C49SZX20220030SS"/>
    <s v="微克（end user：蓝极光）"/>
    <s v="YSM20R-2"/>
    <s v="L-&gt;R"/>
    <s v="No"/>
    <s v="OK"/>
    <s v="DAP SZ"/>
    <d v="2021-12-21T00:00:00"/>
    <s v="Yes"/>
    <m/>
    <m/>
    <m/>
    <s v="C220242133"/>
  </r>
  <r>
    <n v="1687"/>
    <x v="0"/>
    <x v="0"/>
    <n v="110867"/>
    <s v="Shenzhen Longtech"/>
    <x v="12"/>
    <s v="R-&gt;L"/>
    <s v="No"/>
    <s v="Y61004"/>
    <n v="1"/>
    <s v="力合仓库(已经清关)"/>
    <x v="186"/>
    <s v="0.0521，RMB清关"/>
    <s v="JUL 22"/>
    <n v="2022.4"/>
    <s v="RMB"/>
    <s v="C49SZX20220072DZ"/>
    <s v="朗特"/>
    <s v="YSM20R-2"/>
    <s v="R-&gt;L"/>
    <s v="No"/>
    <s v="OK"/>
    <s v="DDP SZ"/>
    <d v="2022-06-22T00:00:00"/>
    <s v="Yes"/>
    <m/>
    <m/>
    <m/>
    <s v="C220342453"/>
  </r>
  <r>
    <n v="1633"/>
    <x v="0"/>
    <x v="0"/>
    <n v="110867"/>
    <s v="Shenzhen Longtech"/>
    <x v="12"/>
    <s v="R-&gt;L"/>
    <s v="No"/>
    <s v="Y61375"/>
    <n v="1"/>
    <s v="力合仓库(已经清关)"/>
    <x v="186"/>
    <n v="5.21E-2"/>
    <s v="JUN 22"/>
    <n v="2022.4"/>
    <s v="RMB"/>
    <s v="C49SZX20220038JY"/>
    <s v="和创永泰"/>
    <s v="YSM20R-2"/>
    <s v="R-&gt;L"/>
    <s v="No"/>
    <s v="OK"/>
    <s v="DDP SZ"/>
    <d v="2022-03-24T00:00:00"/>
    <s v="Yes"/>
    <m/>
    <m/>
    <m/>
    <s v="C220342243"/>
  </r>
  <r>
    <n v="1589"/>
    <x v="0"/>
    <x v="0"/>
    <n v="110867"/>
    <s v="Shenzhen Longtech"/>
    <x v="12"/>
    <s v="R-&gt;L"/>
    <s v="No"/>
    <s v="Y61376"/>
    <n v="1"/>
    <s v="CY仓库"/>
    <x v="186"/>
    <n v="5.21E-2"/>
    <s v="JUN 22"/>
    <n v="2022.4"/>
    <s v="JPY"/>
    <s v="C49SZX20220013DZ"/>
    <s v="朗特"/>
    <s v="YSM20R-2"/>
    <s v="R-&gt;L"/>
    <s v="No"/>
    <s v="OK"/>
    <s v="CIF HK"/>
    <d v="2022-02-22T00:00:00"/>
    <s v="Yes"/>
    <m/>
    <m/>
    <m/>
    <s v="C220342453"/>
  </r>
  <r>
    <n v="1602"/>
    <x v="0"/>
    <x v="0"/>
    <n v="110883"/>
    <s v="拓普艾名义"/>
    <x v="1"/>
    <s v="R-&gt;L"/>
    <s v="MVC"/>
    <s v="Y61539"/>
    <n v="1"/>
    <s v="力合中转仓"/>
    <x v="186"/>
    <s v="NM"/>
    <s v="JUN 22"/>
    <n v="2022.4"/>
    <s v="JPY"/>
    <s v="C49SZX20220026SX"/>
    <s v="骏仁达"/>
    <s v="YSM10"/>
    <s v="L-&gt;R"/>
    <s v="MVC"/>
    <s v="WRONG"/>
    <s v="DAP SZ"/>
    <d v="2022-03-01T00:00:00"/>
    <s v="Yes"/>
    <m/>
    <m/>
    <m/>
    <s v="C180431793"/>
  </r>
  <r>
    <n v="1603"/>
    <x v="0"/>
    <x v="0"/>
    <n v="110883"/>
    <s v="拓普艾名义"/>
    <x v="1"/>
    <s v="R-&gt;L"/>
    <s v="MVC"/>
    <s v="Y61540"/>
    <n v="1"/>
    <s v="力合中转仓"/>
    <x v="186"/>
    <s v="NM"/>
    <s v="JUN 22"/>
    <n v="2022.4"/>
    <s v="JPY"/>
    <s v="C49SZX20220026SX"/>
    <s v="骏仁达"/>
    <s v="YSM10"/>
    <s v="R-&gt;L"/>
    <s v="MVC"/>
    <s v="OK"/>
    <s v="DAP SZ"/>
    <d v="2022-03-01T00:00:00"/>
    <s v="Yes"/>
    <m/>
    <m/>
    <m/>
    <s v="C180431793"/>
  </r>
  <r>
    <n v="1645"/>
    <x v="0"/>
    <x v="0"/>
    <n v="110883"/>
    <s v="拓普艾名义"/>
    <x v="1"/>
    <s v="R-&gt;L"/>
    <s v="MVC"/>
    <s v="Y61567"/>
    <n v="1"/>
    <s v="力合中转仓"/>
    <x v="186"/>
    <s v="NM PO 110810拆分PO110913"/>
    <s v="JUN 22"/>
    <n v="2022.4"/>
    <s v="JPY"/>
    <s v="C49SZX20220046JL"/>
    <s v="快宇"/>
    <s v="YSM10"/>
    <s v="L-&gt;R"/>
    <s v="MVC"/>
    <s v="WRONG"/>
    <s v="DAP SZ"/>
    <d v="2022-04-18T00:00:00"/>
    <s v="Yes"/>
    <m/>
    <m/>
    <m/>
    <s v="C190935541"/>
  </r>
  <r>
    <n v="1691"/>
    <x v="0"/>
    <x v="0"/>
    <n v="110872"/>
    <s v="恒磊"/>
    <x v="1"/>
    <s v="R-&gt;L"/>
    <s v="MVC F&amp;R"/>
    <s v="Y61444"/>
    <n v="1"/>
    <s v="力合仓库(已经清关)"/>
    <x v="186"/>
    <s v=" 0.0502 RMB清关 110810"/>
    <s v="JUL 22"/>
    <n v="2022.4"/>
    <s v="RMB"/>
    <s v="C49SZX20220075SX"/>
    <s v="柏星"/>
    <s v="YSM10"/>
    <s v="R-&gt;L"/>
    <s v="MVC"/>
    <s v="WRONG"/>
    <s v="DDP DG"/>
    <d v="2022-06-23T00:00:00"/>
    <s v="Yes"/>
    <m/>
    <m/>
    <m/>
    <s v="C181233636"/>
  </r>
  <r>
    <n v="1164"/>
    <x v="0"/>
    <x v="0"/>
    <n v="110872"/>
    <s v="恒磊"/>
    <x v="1"/>
    <s v="R-&gt;L"/>
    <s v="MVC F&amp;R"/>
    <s v="Y61445"/>
    <n v="1"/>
    <s v="力合仓库(已经清关)"/>
    <x v="186"/>
    <s v="NM PO110910 STK"/>
    <s v="JUL 22"/>
    <n v="2022.4"/>
    <s v="JPY"/>
    <s v="C49SZX20210059EC"/>
    <s v="骏孚"/>
    <s v="YSM10"/>
    <s v="L-&gt;R"/>
    <s v="MVC"/>
    <s v="WRONG"/>
    <s v="DAP GZ"/>
    <d v="2021-03-01T00:00:00"/>
    <s v="Yes"/>
    <m/>
    <m/>
    <m/>
    <s v="C210439747"/>
  </r>
  <r>
    <n v="1689"/>
    <x v="0"/>
    <x v="0"/>
    <n v="110896"/>
    <s v="Dongguan Yidong"/>
    <x v="1"/>
    <s v="R-&gt;L"/>
    <s v="MVC+ATS15"/>
    <s v="Y60577"/>
    <n v="1"/>
    <s v="力合仓库(已经清关)"/>
    <x v="187"/>
    <s v="0.0502，RMB清关"/>
    <s v="JUL 22"/>
    <n v="2022.4"/>
    <s v="RMB"/>
    <s v="C49SZX20220072DZ"/>
    <s v="朗特"/>
    <s v="YSM10"/>
    <s v="R-&gt;L"/>
    <s v="MVC+ATS15"/>
    <s v="OK"/>
    <s v="DDP SZ"/>
    <d v="2022-06-22T00:00:00"/>
    <s v="Yes"/>
    <m/>
    <m/>
    <m/>
    <s v="C220342453"/>
  </r>
  <r>
    <n v="1673"/>
    <x v="0"/>
    <x v="0"/>
    <n v="110896"/>
    <s v="Dongguan Yidong"/>
    <x v="1"/>
    <s v="R-&gt;L"/>
    <s v="MVC+ATS15"/>
    <s v="Y60578"/>
    <n v="1"/>
    <s v="力合中转仓"/>
    <x v="187"/>
    <s v="NM,PO 110873"/>
    <s v="JUL 22"/>
    <n v="2022.4"/>
    <s v="JPY"/>
    <s v="C49SZX20220060DZ"/>
    <s v="方案集"/>
    <s v="YSM10"/>
    <s v="L-&gt;R"/>
    <s v="MVC+ATS15"/>
    <s v="WRONG"/>
    <s v="CIF HK"/>
    <d v="2022-05-24T00:00:00"/>
    <s v="Yes"/>
    <m/>
    <m/>
    <m/>
    <s v="C200637592"/>
  </r>
  <r>
    <n v="1614"/>
    <x v="0"/>
    <x v="0"/>
    <n v="110896"/>
    <s v="Dongguan Yidong"/>
    <x v="1"/>
    <s v="R-&gt;L"/>
    <s v="MVC+ATS15"/>
    <s v="Y60579"/>
    <n v="1"/>
    <s v="力合中转仓"/>
    <x v="187"/>
    <s v="NM,PO110873"/>
    <s v="AUG 22"/>
    <n v="2022.5"/>
    <s v="JPY"/>
    <s v="C49SZX20220033JL"/>
    <s v="拓普艾"/>
    <s v="YSM10"/>
    <s v="L-&gt;R"/>
    <s v="MVC+ATS15"/>
    <s v="WRONG"/>
    <s v="CIF HK"/>
    <d v="2022-03-10T00:00:00"/>
    <s v="Yes"/>
    <m/>
    <m/>
    <m/>
    <s v="C180632532"/>
  </r>
  <r>
    <n v="1520"/>
    <x v="0"/>
    <x v="0"/>
    <n v="110896"/>
    <s v="Dongguan Yidong"/>
    <x v="1"/>
    <s v="R-&gt;L"/>
    <s v="MVC+ATS15"/>
    <s v="Y60580"/>
    <n v="1"/>
    <s v="力合仓库(已经清关)"/>
    <x v="187"/>
    <s v="NM PO110995"/>
    <s v="SEP 22"/>
    <n v="2022.5"/>
    <s v="JPY"/>
    <s v="C49SZX20210215MZ"/>
    <s v="魔乐视"/>
    <s v="YSM10"/>
    <s v="L-&gt;R"/>
    <s v="MVC+ATS15"/>
    <s v="WRONG"/>
    <s v="DAP SZ"/>
    <d v="2021-12-10T00:00:00"/>
    <s v="Yes"/>
    <m/>
    <m/>
    <m/>
    <s v="C220342452"/>
  </r>
  <r>
    <n v="1521"/>
    <x v="0"/>
    <x v="0"/>
    <n v="110896"/>
    <s v="Dongguan Yidong"/>
    <x v="1"/>
    <s v="R-&gt;L"/>
    <s v="MVC+ATS15"/>
    <s v="Y60581"/>
    <n v="1"/>
    <s v="力合仓库(已经清关)"/>
    <x v="187"/>
    <s v="NM PO110995"/>
    <s v="SEP 22"/>
    <n v="2022.5"/>
    <s v="JPY"/>
    <s v="C49SZX20210215MZ"/>
    <s v="魔乐视"/>
    <s v="YSM10"/>
    <s v="L-&gt;R"/>
    <s v="MVC+ATS15"/>
    <s v="WRONG"/>
    <s v="DAP SZ"/>
    <d v="2021-12-10T00:00:00"/>
    <s v="Yes"/>
    <m/>
    <m/>
    <m/>
    <s v="C220342452"/>
  </r>
  <r>
    <n v="1734"/>
    <x v="0"/>
    <x v="0"/>
    <n v="110896"/>
    <s v="Dongguan Yidong"/>
    <x v="1"/>
    <s v="R-&gt;L"/>
    <s v="MVC+ATS15"/>
    <s v="Y60582"/>
    <n v="1"/>
    <s v="力合仓库(已经清关)"/>
    <x v="187"/>
    <s v="0.0502，RMB清关"/>
    <s v="SEP 22"/>
    <n v="2022.5"/>
    <s v="RMB"/>
    <s v="C49SZX20220102DZ"/>
    <s v="朗特"/>
    <s v="YSM10"/>
    <s v="L-&gt;R"/>
    <s v="MVC+ATS15"/>
    <s v="WRONG"/>
    <s v="DDP JX"/>
    <d v="2022-09-30T00:00:00"/>
    <s v="Yes"/>
    <m/>
    <m/>
    <m/>
    <s v="C190534728"/>
  </r>
  <r>
    <s v="上海预留"/>
    <x v="0"/>
    <x v="0"/>
    <n v="110863"/>
    <s v="深圳比泰利"/>
    <x v="12"/>
    <s v="L-&gt;R"/>
    <s v="cATS10+MVC+special layout"/>
    <s v="Y61453"/>
    <n v="1"/>
    <s v="力合仓库(已经清关)"/>
    <x v="187"/>
    <s v="0.05345，RMB清关"/>
    <s v="FEB 23"/>
    <n v="2022.5"/>
    <s v="RMB"/>
    <s v="C49CTUSHA20221203/FZM"/>
    <s v="四川乃迁科技有限公司 LogBook.xlsx]Raw data'!$B:$Z,3,FALSE)"/>
    <s v="YSM20R-2"/>
    <s v="L-&gt;R"/>
    <s v="cATS10+MVC+special layout"/>
    <s v="OK"/>
    <e v="#N/A"/>
    <e v="#N/A"/>
    <e v="#N/A"/>
    <m/>
    <m/>
    <m/>
    <s v="SHA客户"/>
  </r>
  <r>
    <n v="1343"/>
    <x v="0"/>
    <x v="0"/>
    <n v="110865"/>
    <s v="SZ 伯莱科"/>
    <x v="12"/>
    <s v="L-&gt;R"/>
    <s v="No"/>
    <s v="Y61441"/>
    <n v="1"/>
    <s v="力合仓库(已经清关)"/>
    <x v="187"/>
    <s v="NM PO110949 STK"/>
    <s v="JUL 22"/>
    <n v="2022.5"/>
    <s v="JPY"/>
    <s v="C49SZX20210118R1JY"/>
    <s v="精德鸿"/>
    <s v="YSM20R-2"/>
    <s v="L-&gt;R"/>
    <s v="No"/>
    <s v="OK"/>
    <s v="DAP SZ"/>
    <d v="2021-04-20T00:00:00"/>
    <s v="Yes"/>
    <m/>
    <m/>
    <m/>
    <s v="C210139127"/>
  </r>
  <r>
    <n v="1643"/>
    <x v="0"/>
    <x v="0"/>
    <n v="110868"/>
    <s v="SZ 盈通恒翼"/>
    <x v="12"/>
    <s v="L-&gt;R"/>
    <s v="No"/>
    <s v="Y61439"/>
    <n v="1"/>
    <s v="力合中转仓"/>
    <x v="187"/>
    <s v="NM 110882 STOCK"/>
    <s v="JUN 22"/>
    <n v="2022.5"/>
    <s v="JPY"/>
    <s v="C49SZX20220046JL"/>
    <s v="快宇"/>
    <s v="YSM20R-2"/>
    <s v="L-&gt;R"/>
    <s v="No"/>
    <s v="OK"/>
    <s v="DAP SZ"/>
    <d v="2022-04-18T00:00:00"/>
    <s v="Yes"/>
    <m/>
    <m/>
    <m/>
    <s v="C220141863"/>
  </r>
  <r>
    <n v="1604"/>
    <x v="0"/>
    <x v="1"/>
    <n v="110877"/>
    <s v="通达科信"/>
    <x v="9"/>
    <s v="L-&gt;R"/>
    <s v="No"/>
    <s v="Y61691"/>
    <n v="1"/>
    <s v="CY仓库"/>
    <x v="188"/>
    <s v="NM"/>
    <s v="JUN 22"/>
    <n v="2022.5"/>
    <s v="JPY"/>
    <s v="C49SZX20220028R1SX"/>
    <s v="通达科信"/>
    <s v="YCP10"/>
    <s v="L-&gt;R"/>
    <s v="No"/>
    <s v="OK"/>
    <s v="CIF HK"/>
    <d v="2022-03-07T00:00:00"/>
    <s v="Yes"/>
    <m/>
    <m/>
    <m/>
    <s v="IND"/>
  </r>
  <r>
    <n v="1005"/>
    <x v="0"/>
    <x v="0"/>
    <n v="110910"/>
    <s v="Stock order"/>
    <x v="1"/>
    <s v="R-&gt;L"/>
    <s v="No"/>
    <s v="Y57566"/>
    <n v="1"/>
    <s v="CY仓库"/>
    <x v="188"/>
    <s v="NM 110965 STK "/>
    <s v="JUL 22"/>
    <n v="2022.5"/>
    <s v="JPY"/>
    <s v="C49SZX20200233JL"/>
    <s v="瑞福联"/>
    <s v="YSM10"/>
    <s v="L-&gt;R"/>
    <s v="MVC"/>
    <s v="WRONG"/>
    <s v="CIF HK"/>
    <d v="2020-12-10T00:00:00"/>
    <s v="Yes"/>
    <m/>
    <m/>
    <m/>
    <s v="C220242050"/>
  </r>
  <r>
    <n v="1697"/>
    <x v="0"/>
    <x v="0"/>
    <n v="110871"/>
    <s v="SZ 骏仁达"/>
    <x v="1"/>
    <s v="R-&gt;L"/>
    <s v="MVC F&amp;R"/>
    <s v="Y61437"/>
    <n v="1"/>
    <s v="力合仓库(已经清关)"/>
    <x v="189"/>
    <s v="Yamaha RMB单49F104105"/>
    <s v="JUL 22"/>
    <n v="2022.5"/>
    <s v="RMB"/>
    <s v="C49SZX20220053SS"/>
    <s v="阿姆斯特"/>
    <s v="YSM10"/>
    <s v="L-&gt;R"/>
    <s v="MVC"/>
    <s v="WRONG"/>
    <s v="DDP DG"/>
    <d v="2022-07-08T00:00:00"/>
    <s v="Yes"/>
    <m/>
    <m/>
    <m/>
    <s v="C220543035"/>
  </r>
  <r>
    <n v="1705"/>
    <x v="0"/>
    <x v="0"/>
    <n v="110887"/>
    <s v="拓普艾名义"/>
    <x v="1"/>
    <s v="R-&gt;L"/>
    <s v="MVC F&amp;R+ATS15"/>
    <s v="Y61568"/>
    <n v="1"/>
    <s v="CY仓库"/>
    <x v="189"/>
    <s v="NM"/>
    <s v="AUG 22"/>
    <n v="2022.5"/>
    <s v="JPY"/>
    <s v="C49SZX20220073DZ"/>
    <s v="朗特"/>
    <s v="YSM10"/>
    <s v="L-&gt;R"/>
    <s v="MVC+ATS15"/>
    <s v="WRONG"/>
    <s v="CIF HK"/>
    <d v="2022-07-12T00:00:00"/>
    <s v="Yes"/>
    <m/>
    <m/>
    <m/>
    <s v="C190534728"/>
  </r>
  <r>
    <n v="1615"/>
    <x v="0"/>
    <x v="0"/>
    <s v="110875(拆单110975）"/>
    <s v="DG 普德新星"/>
    <x v="1"/>
    <s v="R-&gt;L"/>
    <s v="MVC F&amp;R"/>
    <s v="Y61446"/>
    <n v="1"/>
    <s v="力合中转仓"/>
    <x v="190"/>
    <s v="0.0512，JPY PO 110951"/>
    <s v="AUG 22"/>
    <n v="2022.5"/>
    <s v="JPY"/>
    <s v="C49SZX20220033JL"/>
    <s v="拓普艾"/>
    <s v="YSM10"/>
    <s v="L-&gt;R"/>
    <s v="MVC"/>
    <s v="WRONG"/>
    <s v="CIF HK"/>
    <d v="2022-03-10T00:00:00"/>
    <s v="Yes"/>
    <m/>
    <m/>
    <m/>
    <s v="C180632532"/>
  </r>
  <r>
    <n v="1616"/>
    <x v="0"/>
    <x v="0"/>
    <n v="110875"/>
    <s v="DG 普德新星"/>
    <x v="1"/>
    <s v="R-&gt;L"/>
    <s v="MVC F&amp;R"/>
    <s v="Y61447"/>
    <n v="1"/>
    <s v="力合中转仓"/>
    <x v="190"/>
    <s v="0.0512，JPY PO 110951"/>
    <s v="AUG 22"/>
    <n v="2022.5"/>
    <s v="JPY"/>
    <s v="C49SZX20220033JL"/>
    <s v="拓普艾"/>
    <s v="YSM10"/>
    <s v="L-&gt;R"/>
    <s v="MVC"/>
    <s v="WRONG"/>
    <s v="CIF HK"/>
    <d v="2022-03-10T00:00:00"/>
    <s v="Yes"/>
    <m/>
    <m/>
    <m/>
    <s v="C180632532"/>
  </r>
  <r>
    <n v="1617"/>
    <x v="0"/>
    <x v="0"/>
    <n v="110935"/>
    <s v="正创名义下单 CD#03946"/>
    <x v="1"/>
    <s v="R-&gt;L"/>
    <s v="No"/>
    <s v="Y57065"/>
    <n v="1"/>
    <s v="力合中转仓"/>
    <x v="190"/>
    <s v="0.0512，JPY PO 110951"/>
    <s v="AUG 22"/>
    <n v="2022.5"/>
    <s v="JPY"/>
    <s v="C49SZX20220033JL"/>
    <s v="拓普艾"/>
    <s v="YSM10"/>
    <s v="L-&gt;R"/>
    <s v="MVC"/>
    <s v="WRONG"/>
    <s v="CIF HK"/>
    <d v="2022-03-10T00:00:00"/>
    <s v="Yes"/>
    <m/>
    <m/>
    <m/>
    <s v="C180632532"/>
  </r>
  <r>
    <n v="1680"/>
    <x v="0"/>
    <x v="0"/>
    <n v="110935"/>
    <s v="正创名义下单 CD#03946"/>
    <x v="1"/>
    <s v="R-&gt;L"/>
    <s v="No"/>
    <s v="Y57066"/>
    <n v="1"/>
    <s v="力合仓库(已经清关)"/>
    <x v="190"/>
    <s v="0.0527,RMB清关"/>
    <s v="JUL 22"/>
    <n v="2022.5"/>
    <s v="RMB"/>
    <s v="C49SZX20220067SQ"/>
    <s v="湘浩"/>
    <s v="YSM10"/>
    <s v="L-&gt;R"/>
    <s v="No"/>
    <s v="WRONG"/>
    <s v="DDP FS"/>
    <d v="2022-06-08T00:00:00"/>
    <s v="Yes"/>
    <m/>
    <m/>
    <m/>
    <s v="C220643152"/>
  </r>
  <r>
    <n v="1443"/>
    <x v="0"/>
    <x v="0"/>
    <n v="110949"/>
    <s v="Stock order"/>
    <x v="12"/>
    <s v="L-&gt;R"/>
    <s v="No"/>
    <s v="Y58205"/>
    <n v="1"/>
    <s v="力合中转仓"/>
    <x v="191"/>
    <s v="NM"/>
    <s v="JUN 22"/>
    <n v="2022.6"/>
    <s v="JPY"/>
    <s v="C49SZX20210176R1JY"/>
    <s v="建航"/>
    <s v="YSM20R-2"/>
    <s v="L-&gt;R"/>
    <s v="No"/>
    <s v="OK"/>
    <s v="DAP SZ"/>
    <d v="2021-06-25T00:00:00"/>
    <s v="Yes"/>
    <m/>
    <m/>
    <m/>
    <s v="C170529430"/>
  </r>
  <r>
    <n v="1444"/>
    <x v="0"/>
    <x v="0"/>
    <n v="110949"/>
    <s v="Stock order"/>
    <x v="12"/>
    <s v="L-&gt;R"/>
    <s v="No"/>
    <s v="Y58206"/>
    <n v="1"/>
    <s v="力合中转仓"/>
    <x v="191"/>
    <s v="NM"/>
    <s v="JUN 22"/>
    <n v="2022.6"/>
    <s v="JPY"/>
    <s v="C49SZX20210176R1JY"/>
    <s v="建航"/>
    <s v="YSM20R-2"/>
    <s v="L-&gt;R"/>
    <s v="No"/>
    <s v="OK"/>
    <s v="DAP SZ"/>
    <d v="2021-06-25T00:00:00"/>
    <s v="Yes"/>
    <m/>
    <m/>
    <m/>
    <s v="C170529430"/>
  </r>
  <r>
    <n v="1696"/>
    <x v="0"/>
    <x v="0"/>
    <n v="110949"/>
    <s v="Stock order"/>
    <x v="12"/>
    <s v="L-&gt;R"/>
    <s v="No"/>
    <s v="Y58209"/>
    <n v="1"/>
    <s v="力合仓库(已经清关)"/>
    <x v="191"/>
    <s v="0.0492，RMB清关 110962（拆单111022）"/>
    <s v="JUL 22"/>
    <n v="2022.6"/>
    <s v="RMB"/>
    <s v="C49SZX20220053SS"/>
    <s v="阿姆斯特"/>
    <s v="YSM20R-2"/>
    <s v="L-&gt;R"/>
    <s v="No"/>
    <s v="OK"/>
    <s v="DDP DG"/>
    <d v="2022-07-08T00:00:00"/>
    <s v="Yes"/>
    <m/>
    <m/>
    <m/>
    <s v="C220543035"/>
  </r>
  <r>
    <n v="1744"/>
    <x v="0"/>
    <x v="0"/>
    <n v="110809"/>
    <s v="Dongguan Yidong"/>
    <x v="1"/>
    <s v="R-&gt;L"/>
    <s v="MVC+ATS15"/>
    <s v="Y60583"/>
    <n v="1"/>
    <s v="力合仓库(已经清关)"/>
    <x v="192"/>
    <s v="0.0503,RMB清关"/>
    <s v="OCT 22"/>
    <n v="2022.5"/>
    <s v="RMB"/>
    <s v="C49SZX20220107DZ"/>
    <s v="朗特"/>
    <s v="YSM10"/>
    <s v="L-&gt;R"/>
    <s v="MVC+ATS15"/>
    <s v="WRONG"/>
    <s v="DDP SZ"/>
    <d v="2022-10-12T00:00:00"/>
    <s v="Yes"/>
    <m/>
    <m/>
    <m/>
    <s v="C190534728"/>
  </r>
  <r>
    <n v="1745"/>
    <x v="0"/>
    <x v="0"/>
    <n v="110809"/>
    <s v="Dongguan Yidong"/>
    <x v="1"/>
    <s v="R-&gt;L"/>
    <s v="MVC+ATS15"/>
    <s v="Y60584"/>
    <n v="1"/>
    <s v="力合仓库(已经清关)"/>
    <x v="192"/>
    <s v="0.0503,RMB清关"/>
    <s v="OCT 22"/>
    <n v="2022.5"/>
    <s v="RMB"/>
    <s v="C49SZX20220107DZ"/>
    <s v="朗特"/>
    <s v="YSM10"/>
    <s v="R-&gt;L"/>
    <s v="MVC+ATS15"/>
    <s v="OK"/>
    <s v="DDP SZ"/>
    <d v="2022-10-12T00:00:00"/>
    <s v="Yes"/>
    <m/>
    <m/>
    <m/>
    <s v="C190534728"/>
  </r>
  <r>
    <n v="1749"/>
    <x v="0"/>
    <x v="0"/>
    <n v="110809"/>
    <s v="Dongguan Yidong"/>
    <x v="1"/>
    <s v="R-&gt;L"/>
    <s v="MVC+ATS15"/>
    <s v="Y60585"/>
    <n v="1"/>
    <s v="力合仓库(已经清关)"/>
    <x v="192"/>
    <s v="0.0503,RMB清关"/>
    <s v="NOV 22"/>
    <n v="2022.5"/>
    <s v="RMB"/>
    <s v="C49SZX20220111MZ"/>
    <s v="天星创展"/>
    <s v="YSM10"/>
    <s v="L-&gt;R"/>
    <s v="MVC+ATS15"/>
    <s v="WRONG"/>
    <s v="DDP SZ"/>
    <d v="2022-10-28T00:00:00"/>
    <s v="Yes"/>
    <m/>
    <m/>
    <m/>
    <s v="C210740701"/>
  </r>
  <r>
    <n v="1759"/>
    <x v="0"/>
    <x v="0"/>
    <n v="110809"/>
    <s v="Dongguan Yidong"/>
    <x v="1"/>
    <s v="R-&gt;L"/>
    <s v="MVC+ATS15"/>
    <s v="Y60586"/>
    <n v="1"/>
    <s v="力合仓库(已经清关)"/>
    <x v="192"/>
    <s v="0.0503,RMB清关"/>
    <s v="NOV 22"/>
    <n v="2022.5"/>
    <s v="RMB"/>
    <s v="C49SZX20220117DZ"/>
    <s v="朗特"/>
    <s v="YSM10"/>
    <s v="L-&gt;R"/>
    <s v="MVC+ATS15"/>
    <s v="WRONG"/>
    <s v="DDP SZ"/>
    <d v="2022-11-14T00:00:00"/>
    <s v="Yes"/>
    <m/>
    <m/>
    <m/>
    <s v="C190534728"/>
  </r>
  <r>
    <n v="1760"/>
    <x v="0"/>
    <x v="0"/>
    <n v="110918"/>
    <s v="魔乐视"/>
    <x v="1"/>
    <s v="R-&gt;L"/>
    <s v="MVC F&amp;R+ATS15"/>
    <s v="Y61975"/>
    <n v="1"/>
    <s v="力合仓库(已经清关)"/>
    <x v="193"/>
    <s v="0.0498,RMB清关"/>
    <s v="NOV 22"/>
    <n v="2022.6"/>
    <s v="RMB"/>
    <s v="C49SZX20220117DZ"/>
    <s v="朗特"/>
    <s v="YSM10"/>
    <s v="L-&gt;R"/>
    <s v="MVC+ATS15"/>
    <s v="WRONG"/>
    <s v="DDP SZ"/>
    <d v="2022-11-14T00:00:00"/>
    <s v="Yes"/>
    <m/>
    <m/>
    <m/>
    <s v="C190534728"/>
  </r>
  <r>
    <n v="1761"/>
    <x v="0"/>
    <x v="0"/>
    <n v="110918"/>
    <s v="魔乐视"/>
    <x v="1"/>
    <s v="R-&gt;L"/>
    <s v="MVC F&amp;R+ATS15"/>
    <s v="Y61976"/>
    <n v="1"/>
    <s v="力合仓库(已经清关)"/>
    <x v="193"/>
    <s v="0.0498,RMB清关"/>
    <s v="NOV 22"/>
    <n v="2022.6"/>
    <s v="RMB"/>
    <s v="C49SZX20220117DZ"/>
    <s v="朗特"/>
    <s v="YSM10"/>
    <s v="R-&gt;L"/>
    <s v="MVC+ATS15"/>
    <s v="WRONG"/>
    <s v="DDP SZ"/>
    <d v="2022-11-14T00:00:00"/>
    <s v="Yes"/>
    <m/>
    <m/>
    <m/>
    <s v="C190534728"/>
  </r>
  <r>
    <n v="1435"/>
    <x v="0"/>
    <x v="0"/>
    <n v="110921"/>
    <s v="和创永泰"/>
    <x v="1"/>
    <s v="R-&gt;L"/>
    <s v="MVC F&amp;R"/>
    <s v="Y61977"/>
    <n v="1"/>
    <s v="力合中转仓"/>
    <x v="193"/>
    <s v="NM PO 110954"/>
    <s v="AUG 22"/>
    <n v="2022.6"/>
    <s v="JPY"/>
    <s v="C49SZX20210173AY"/>
    <s v="三丽（End user:东莞长志）"/>
    <s v="YSM10"/>
    <s v="L-&gt;R"/>
    <s v="No"/>
    <s v="WRONG"/>
    <s v="DAP SZ"/>
    <d v="2021-06-22T00:00:00"/>
    <s v="Yes"/>
    <m/>
    <m/>
    <m/>
    <s v="C220843506"/>
  </r>
  <r>
    <n v="1629"/>
    <x v="0"/>
    <x v="0"/>
    <n v="110930"/>
    <s v="辉拓"/>
    <x v="1"/>
    <s v="R-&gt;L"/>
    <s v="MVC+ATS15"/>
    <s v="Y62066"/>
    <n v="1"/>
    <s v="力合中转仓"/>
    <x v="193"/>
    <n v="5.2699999999999997E-2"/>
    <s v="JUL 22"/>
    <n v="2022.6"/>
    <s v="JPY"/>
    <s v="C49SZX20220035R1SS"/>
    <s v="中润互联"/>
    <s v="YSM10"/>
    <s v="L-&gt;R"/>
    <s v="MVC+ATS15"/>
    <s v="WRONG"/>
    <s v="DAP SZ"/>
    <d v="2022-03-21T00:00:00"/>
    <s v="Yes"/>
    <m/>
    <m/>
    <m/>
    <s v="C220442706"/>
  </r>
  <r>
    <n v="1646"/>
    <x v="0"/>
    <x v="0"/>
    <n v="110924"/>
    <s v="深圳顺禾 "/>
    <x v="1"/>
    <s v="R-&gt;L"/>
    <s v="MVC F&amp;R"/>
    <s v="Y61962"/>
    <n v="1"/>
    <s v="力合中转仓"/>
    <x v="193"/>
    <s v="0.0512,JPY单PO110997"/>
    <s v="AUG 22"/>
    <n v="2022.6"/>
    <s v="JPY"/>
    <s v="C49SZX20220046JL"/>
    <s v="快宇"/>
    <s v="YSM10"/>
    <s v="L-&gt;R"/>
    <s v="MVC"/>
    <s v="WRONG"/>
    <s v="DAP SZ"/>
    <d v="2022-04-18T00:00:00"/>
    <s v="Yes"/>
    <m/>
    <m/>
    <m/>
    <s v="C220141863"/>
  </r>
  <r>
    <n v="1699"/>
    <x v="0"/>
    <x v="0"/>
    <n v="110922"/>
    <s v="东莞鸿楠"/>
    <x v="1"/>
    <s v="R-&gt;L"/>
    <s v="MVC F&amp;R"/>
    <s v="Y61968,机器不能调动"/>
    <n v="1"/>
    <s v="力合仓库(已经清关)"/>
    <x v="193"/>
    <s v="0.0503,RMB清关"/>
    <s v="SEP 22"/>
    <n v="2022.6"/>
    <s v="RMB"/>
    <s v="C49SZX20220079JL"/>
    <s v="铭翔"/>
    <s v="YSM10"/>
    <s v="L-&gt;R"/>
    <s v="MVC"/>
    <s v="WRONG"/>
    <s v="DDP  DG"/>
    <d v="2022-07-09T00:00:00"/>
    <s v="Yes"/>
    <m/>
    <m/>
    <m/>
    <s v="C191136061"/>
  </r>
  <r>
    <n v="1717"/>
    <x v="0"/>
    <x v="0"/>
    <n v="110922"/>
    <s v="东莞鸿楠"/>
    <x v="1"/>
    <s v="R-&gt;L"/>
    <s v="MVC F&amp;R"/>
    <s v="Y61969"/>
    <n v="1"/>
    <s v="力合仓库(已经清关)"/>
    <x v="193"/>
    <s v="0.0503,RMB清关"/>
    <s v="SEP 22"/>
    <n v="2022.6"/>
    <s v="RMB"/>
    <s v="C49SZX20220090SQ"/>
    <s v="维创斯特"/>
    <s v="YSM10"/>
    <s v="L-&gt;R"/>
    <s v="MVC"/>
    <s v="WRONG"/>
    <s v="DDP SZ"/>
    <d v="2022-08-18T00:00:00"/>
    <s v="Yes"/>
    <m/>
    <m/>
    <m/>
    <s v="C220943712"/>
  </r>
  <r>
    <n v="1542"/>
    <x v="0"/>
    <x v="0"/>
    <n v="110922"/>
    <s v="东莞鸿楠"/>
    <x v="1"/>
    <s v="R-&gt;L"/>
    <s v="MVC F&amp;R"/>
    <s v="Y61970"/>
    <n v="1"/>
    <s v="力合仓库(已经清关)"/>
    <x v="193"/>
    <s v="NM PO#110956"/>
    <s v="SEP 22"/>
    <n v="2022.6"/>
    <s v="JPY"/>
    <s v="C49SZX20220004EC"/>
    <s v="恒泰创新"/>
    <s v="YSM10"/>
    <s v="L-&gt;R"/>
    <s v="MVC"/>
    <s v="WRONG"/>
    <s v="DAP SZ"/>
    <d v="2022-01-07T00:00:00"/>
    <s v="Yes"/>
    <m/>
    <m/>
    <m/>
    <s v="C220342280"/>
  </r>
  <r>
    <n v="1728"/>
    <x v="0"/>
    <x v="0"/>
    <n v="110922"/>
    <s v="东莞鸿楠"/>
    <x v="1"/>
    <s v="R-&gt;L"/>
    <s v="MVC F&amp;R"/>
    <s v="Y61971"/>
    <n v="1"/>
    <s v="力合仓库(已经清关)"/>
    <x v="193"/>
    <s v="0.0503,RMB清关"/>
    <s v="OCT 22"/>
    <n v="2022.6"/>
    <s v="RMB"/>
    <s v="C49SZX20220100SS"/>
    <s v="世启纳"/>
    <s v="YSM10"/>
    <s v="R-&gt;L"/>
    <s v="MVC"/>
    <s v="WRONG"/>
    <s v="DDP SZ"/>
    <d v="2022-09-21T00:00:00"/>
    <s v="Yes"/>
    <m/>
    <m/>
    <m/>
    <s v="C210640351"/>
  </r>
  <r>
    <n v="1762"/>
    <x v="0"/>
    <x v="0"/>
    <n v="110919"/>
    <s v="深圳朗特"/>
    <x v="1"/>
    <s v="R-&gt;L"/>
    <s v="MVC F&amp;R+ATS15"/>
    <s v="Y62022"/>
    <n v="1"/>
    <s v="力合仓库(已经清关)"/>
    <x v="193"/>
    <s v="0.0513,RMB清关"/>
    <s v="NOV 22"/>
    <n v="2022.6"/>
    <s v="RMB"/>
    <s v="C49SZX20220117DZ"/>
    <s v="朗特"/>
    <s v="YSM10"/>
    <s v="R-&gt;L"/>
    <s v="MVC+ATS15"/>
    <s v="WRONG"/>
    <s v="DDP SZ"/>
    <d v="2022-11-14T00:00:00"/>
    <s v="Yes"/>
    <m/>
    <m/>
    <m/>
    <s v="C190534728"/>
  </r>
  <r>
    <n v="1785"/>
    <x v="0"/>
    <x v="0"/>
    <n v="110919"/>
    <s v="深圳朗特"/>
    <x v="1"/>
    <s v="R-&gt;L"/>
    <s v="MVC F&amp;R+ATS15"/>
    <s v="Y62023"/>
    <n v="1"/>
    <s v="力合仓库(已经清关)"/>
    <x v="193"/>
    <s v="0.0513,RMB清关"/>
    <s v="DEC 22"/>
    <n v="2022.6"/>
    <s v="RMB"/>
    <s v="C49SZX20220127EC"/>
    <s v="海红天远"/>
    <s v="YSM10"/>
    <s v="L-&gt;R"/>
    <s v="MVC+ATS15"/>
    <s v="WRONG"/>
    <s v="DDP SZ"/>
    <d v="2022-12-19T00:00:00"/>
    <s v="Yes"/>
    <m/>
    <m/>
    <m/>
    <s v="C200737827"/>
  </r>
  <r>
    <n v="1786"/>
    <x v="0"/>
    <x v="0"/>
    <n v="110919"/>
    <s v="深圳朗特"/>
    <x v="1"/>
    <s v="R-&gt;L"/>
    <s v="MVC F&amp;R+ATS15"/>
    <s v="Y62024"/>
    <n v="1"/>
    <s v="力合仓库(已经清关)"/>
    <x v="193"/>
    <s v="0.0513,RMB清关"/>
    <s v="DEC 22"/>
    <n v="2022.6"/>
    <s v="RMB"/>
    <s v="C49SZX20220127EC"/>
    <s v="海红天远"/>
    <s v="YSM10"/>
    <s v="R-&gt;L"/>
    <s v="MVC+ATS15"/>
    <s v="WRONG"/>
    <s v="DDP SZ"/>
    <d v="2022-12-19T00:00:00"/>
    <s v="Yes"/>
    <m/>
    <m/>
    <m/>
    <s v="C200737827"/>
  </r>
  <r>
    <n v="1721"/>
    <x v="0"/>
    <x v="0"/>
    <s v="110919(拆单110927）"/>
    <s v="深圳朗特"/>
    <x v="1"/>
    <s v="R-&gt;L"/>
    <s v="MVC F&amp;R"/>
    <s v="Y62025"/>
    <n v="1"/>
    <s v="力合仓库(已经清关)"/>
    <x v="193"/>
    <s v="0.0503，JPY单PO#110996"/>
    <s v="OCT 22"/>
    <n v="2022.6"/>
    <s v="JPY"/>
    <s v="C49SZX20220096JL"/>
    <s v="倍斯特"/>
    <s v="YSM10"/>
    <s v="L-&gt;R"/>
    <s v="MVC"/>
    <s v="WRONG"/>
    <s v="DAP SZ"/>
    <d v="2022-09-15T00:00:00"/>
    <s v="Yes"/>
    <m/>
    <m/>
    <m/>
    <s v="C200837908"/>
  </r>
  <r>
    <n v="1722"/>
    <x v="0"/>
    <x v="0"/>
    <n v="110919"/>
    <s v="深圳朗特"/>
    <x v="1"/>
    <s v="R-&gt;L"/>
    <s v="MVC F&amp;R"/>
    <s v="Y62026"/>
    <n v="1"/>
    <s v="力合仓库(已经清关)"/>
    <x v="193"/>
    <s v="0.0503，JPY单PO#110996"/>
    <s v="OCT 22"/>
    <n v="2022.6"/>
    <s v="JPY"/>
    <s v="C49SZX20220096JL"/>
    <s v="倍斯特"/>
    <s v="YSM10"/>
    <s v="R-&gt;L"/>
    <s v="MVC"/>
    <s v="WRONG"/>
    <s v="DAP SZ"/>
    <d v="2022-09-15T00:00:00"/>
    <s v="Yes"/>
    <m/>
    <m/>
    <m/>
    <s v="C200837908"/>
  </r>
  <r>
    <n v="1723"/>
    <x v="0"/>
    <x v="0"/>
    <n v="110919"/>
    <s v="深圳朗特"/>
    <x v="1"/>
    <s v="R-&gt;L"/>
    <s v="MVC F&amp;R"/>
    <s v="Y62027"/>
    <n v="1"/>
    <s v="力合仓库(已经清关)"/>
    <x v="193"/>
    <s v="NM,PO#111002"/>
    <s v="OCT 22"/>
    <n v="2022.6"/>
    <s v="JPY"/>
    <s v="C49SZX20220096JL"/>
    <s v="倍斯特"/>
    <s v="YSM10"/>
    <s v="R-&gt;L"/>
    <s v="MVC"/>
    <s v="WRONG"/>
    <s v="DAP SZ"/>
    <d v="2022-09-15T00:00:00"/>
    <s v="Yes"/>
    <m/>
    <m/>
    <m/>
    <s v="C200837908"/>
  </r>
  <r>
    <n v="1746"/>
    <x v="0"/>
    <x v="0"/>
    <n v="110923"/>
    <s v="芯联鑫"/>
    <x v="1"/>
    <s v="R-&gt;L"/>
    <s v="MVC F&amp;R"/>
    <s v="Y61978"/>
    <n v="1"/>
    <s v="力合仓库(已经清关)"/>
    <x v="194"/>
    <s v="0.0498,RMB清关"/>
    <s v="OCT 22"/>
    <n v="2022.6"/>
    <s v="RMB"/>
    <s v="C49SZX20220108SX"/>
    <s v="赛朗斯"/>
    <s v="YSM10"/>
    <s v="R-&gt;L"/>
    <s v="MVC"/>
    <s v="WRONG"/>
    <s v="DDP FS"/>
    <d v="2022-10-12T00:00:00"/>
    <s v="Yes"/>
    <m/>
    <m/>
    <m/>
    <s v="C210239281"/>
  </r>
  <r>
    <n v="1763"/>
    <x v="0"/>
    <x v="0"/>
    <n v="110923"/>
    <s v="芯联鑫"/>
    <x v="1"/>
    <s v="R-&gt;L"/>
    <s v="MVC F&amp;R"/>
    <s v="Y61979"/>
    <n v="1"/>
    <s v="力合仓库(已经清关)"/>
    <x v="194"/>
    <s v="0.0512,RMB清关PO#110997"/>
    <s v="DEC 22"/>
    <n v="2022.6"/>
    <s v="RMB"/>
    <s v="C49SZX20220122SX"/>
    <s v="莫思特"/>
    <s v="YSM10"/>
    <s v="L-&gt;R"/>
    <s v="MVC"/>
    <s v="WRONG"/>
    <s v="DDP HZ"/>
    <d v="2022-11-22T00:00:00"/>
    <s v="Yes"/>
    <m/>
    <m/>
    <m/>
    <s v="C210640541"/>
  </r>
  <r>
    <n v="1672"/>
    <x v="0"/>
    <x v="0"/>
    <n v="110917"/>
    <s v="东莞鸿楠"/>
    <x v="12"/>
    <s v="R-&gt;L"/>
    <s v="No"/>
    <s v="Y61972"/>
    <n v="1"/>
    <s v="力合中转仓"/>
    <x v="194"/>
    <n v="5.0299999999999997E-2"/>
    <s v="JUL 22"/>
    <n v="2022.6"/>
    <s v="JPY"/>
    <s v="C49SZX20220060DZ"/>
    <s v="方案集"/>
    <s v="YSM20R-2"/>
    <s v="R-&gt;L"/>
    <s v="No"/>
    <s v="OK"/>
    <s v="CIF HK"/>
    <d v="2022-05-24T00:00:00"/>
    <s v="Yes"/>
    <m/>
    <m/>
    <m/>
    <s v="C200637592"/>
  </r>
  <r>
    <n v="1688"/>
    <x v="0"/>
    <x v="0"/>
    <n v="110917"/>
    <s v="东莞鸿楠"/>
    <x v="12"/>
    <s v="R-&gt;L"/>
    <s v="No"/>
    <s v="Y61973"/>
    <n v="1"/>
    <s v="力合仓库(已经清关)"/>
    <x v="194"/>
    <n v="5.0299999999999997E-2"/>
    <s v="JUL 22"/>
    <n v="2022.6"/>
    <s v="RMB"/>
    <s v="C49SZX20220072DZ"/>
    <s v="朗特"/>
    <s v="YSM20R-2"/>
    <s v="R-&gt;L"/>
    <s v="No"/>
    <s v="OK"/>
    <s v="DDP SZ"/>
    <d v="2022-06-22T00:00:00"/>
    <s v="Yes"/>
    <m/>
    <m/>
    <m/>
    <s v="C220342453"/>
  </r>
  <r>
    <n v="1695"/>
    <x v="0"/>
    <x v="0"/>
    <n v="110917"/>
    <s v="东莞鸿楠"/>
    <x v="12"/>
    <s v="R-&gt;L"/>
    <s v="No"/>
    <s v="Y61974"/>
    <n v="1"/>
    <s v="力合仓库(已经清关)"/>
    <x v="194"/>
    <s v="0.0503,RMB清关"/>
    <s v="JUL 22"/>
    <n v="2022.6"/>
    <s v="RMB"/>
    <s v="C49SZX20220077SS"/>
    <s v="世启纳"/>
    <s v="YSM20R-2"/>
    <s v="R-&gt;L"/>
    <s v="No"/>
    <s v="OK"/>
    <s v="DDP SZ"/>
    <d v="2022-07-05T00:00:00"/>
    <s v="Yes"/>
    <m/>
    <m/>
    <m/>
    <s v="C210640351"/>
  </r>
  <r>
    <n v="1715"/>
    <x v="0"/>
    <x v="0"/>
    <n v="110931"/>
    <s v="快宇"/>
    <x v="1"/>
    <s v="R-&gt;L"/>
    <s v="MVC"/>
    <s v="Y62067"/>
    <n v="1"/>
    <s v="力合仓库(已经清关)"/>
    <x v="194"/>
    <s v="0.0527,RMB清关"/>
    <s v="AUG 22"/>
    <n v="2022.6"/>
    <s v="RMB"/>
    <s v="C49SZX20220088SX"/>
    <s v="安林"/>
    <s v="YSM10"/>
    <s v="L-&gt;R"/>
    <s v="MVC"/>
    <s v="WRONG"/>
    <s v="DDP SZ"/>
    <d v="2022-08-10T00:00:00"/>
    <s v="Yes"/>
    <m/>
    <m/>
    <m/>
    <s v="C200537294"/>
  </r>
  <r>
    <n v="1700"/>
    <x v="0"/>
    <x v="0"/>
    <n v="110931"/>
    <s v="快宇"/>
    <x v="1"/>
    <s v="R-&gt;L"/>
    <s v="MVC"/>
    <s v="Y62068，机器不能调动"/>
    <n v="1"/>
    <s v="力合仓库(已经清关)"/>
    <x v="194"/>
    <s v="0.0527,RMB清关"/>
    <s v="SEP 22"/>
    <n v="2022.6"/>
    <s v="RMB"/>
    <s v="C49SZX20220079JL"/>
    <s v="铭翔"/>
    <s v="YSM10"/>
    <s v="L-&gt;R"/>
    <s v="MVC"/>
    <s v="WRONG"/>
    <s v="DDP  DG"/>
    <d v="2022-07-09T00:00:00"/>
    <s v="Yes"/>
    <m/>
    <m/>
    <m/>
    <s v="C191136061"/>
  </r>
  <r>
    <n v="1730"/>
    <x v="0"/>
    <x v="0"/>
    <n v="110932"/>
    <s v="赛美达"/>
    <x v="1"/>
    <s v="R-&gt;L"/>
    <s v="MVC F&amp;R"/>
    <s v="Y62071（拆除1个相机，放在力合）"/>
    <n v="1"/>
    <s v="力合仓库(已经清关)"/>
    <x v="194"/>
    <s v="NM PO 111095"/>
    <s v="DEC 22"/>
    <n v="2022.6"/>
    <s v="JPY"/>
    <s v="C49SZX20220099JY"/>
    <s v="创荣发"/>
    <s v="YSM10"/>
    <s v="R-&gt;L"/>
    <s v="MVC"/>
    <s v="WRONG"/>
    <m/>
    <d v="2022-09-22T00:00:00"/>
    <s v="Yes"/>
    <m/>
    <m/>
    <m/>
    <s v="C221043971"/>
  </r>
  <r>
    <n v="1777"/>
    <x v="0"/>
    <x v="0"/>
    <n v="110965"/>
    <s v="正创名义下单 CD#03946"/>
    <x v="1"/>
    <s v="R-&gt;L"/>
    <s v="No"/>
    <s v="Y57067"/>
    <n v="1"/>
    <s v="力合仓库(已经清关)"/>
    <x v="194"/>
    <s v="Yamaha RMB 单49F104103"/>
    <s v="APR 23"/>
    <n v="2022.6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s v="上海预留"/>
    <x v="0"/>
    <x v="0"/>
    <n v="110920"/>
    <s v="博睿通"/>
    <x v="1"/>
    <s v="R-&gt;L"/>
    <s v="MVC F&amp;R+ATS15"/>
    <s v="Y62028（拆除1个相机，放在力合）"/>
    <n v="1"/>
    <s v="力合仓库(已经清关)"/>
    <x v="194"/>
    <s v="0.0502，RMB清关 PO110896"/>
    <s v="MAR 23"/>
    <n v="2022.6"/>
    <s v="RMB"/>
    <s v="苏州朋协智控科技有限公司 "/>
    <s v="苏州朋协智控科技有限公司 "/>
    <s v="YSM10"/>
    <s v="L-&gt;R"/>
    <s v="MVC+ATS15"/>
    <s v="WRONG"/>
    <e v="#N/A"/>
    <e v="#N/A"/>
    <e v="#N/A"/>
    <m/>
    <m/>
    <m/>
    <s v="SHA客户"/>
  </r>
  <r>
    <n v="1524"/>
    <x v="0"/>
    <x v="0"/>
    <n v="110920"/>
    <s v="博睿通"/>
    <x v="1"/>
    <s v="R-&gt;L"/>
    <s v="MVC F&amp;R"/>
    <s v="Y62029"/>
    <n v="1"/>
    <s v="力合中转仓"/>
    <x v="194"/>
    <s v="NM"/>
    <s v="AUG 22"/>
    <n v="2022.6"/>
    <s v="JPY"/>
    <s v="C49SZX20210220SX"/>
    <s v="赛美达"/>
    <s v="YSM10"/>
    <s v="R-&gt;L"/>
    <s v="MVC"/>
    <s v="WRONG"/>
    <s v="DAP SZ"/>
    <d v="2021-12-17T00:00:00"/>
    <s v="Yes"/>
    <m/>
    <m/>
    <m/>
    <s v="C200236775"/>
  </r>
  <r>
    <n v="1626"/>
    <x v="0"/>
    <x v="0"/>
    <n v="110916"/>
    <s v=" SZ 中润互联"/>
    <x v="12"/>
    <s v="R-&gt;L"/>
    <s v="No"/>
    <s v="Y61966"/>
    <n v="1"/>
    <s v="力合中转仓"/>
    <x v="194"/>
    <s v="NM"/>
    <s v="JUL 22"/>
    <n v="2022.6"/>
    <s v="JPY"/>
    <s v="C49SZX20220035R1SS"/>
    <s v="中润互联"/>
    <s v="YSM20R-2"/>
    <s v="R-&gt;L"/>
    <s v="No"/>
    <s v="OK"/>
    <s v="DAP SZ"/>
    <d v="2022-03-21T00:00:00"/>
    <s v="Yes"/>
    <m/>
    <m/>
    <m/>
    <s v="C220442706"/>
  </r>
  <r>
    <n v="1627"/>
    <x v="0"/>
    <x v="0"/>
    <n v="110916"/>
    <s v=" SZ 中润互联"/>
    <x v="12"/>
    <s v="R-&gt;L"/>
    <s v="No"/>
    <s v="Y61967"/>
    <n v="1"/>
    <s v="力合中转仓"/>
    <x v="194"/>
    <s v="NM"/>
    <s v="JUL 22"/>
    <n v="2022.6"/>
    <s v="JPY"/>
    <s v="C49SZX20220035R1SS"/>
    <s v="中润互联"/>
    <s v="YSM20R-2"/>
    <s v="R-&gt;L"/>
    <s v="No"/>
    <s v="OK"/>
    <s v="DAP SZ"/>
    <d v="2022-03-21T00:00:00"/>
    <s v="Yes"/>
    <m/>
    <m/>
    <m/>
    <s v="C220442706"/>
  </r>
  <r>
    <n v="1625"/>
    <x v="0"/>
    <x v="0"/>
    <n v="110933"/>
    <s v="诺亚兴 "/>
    <x v="12"/>
    <s v="L-&gt;R"/>
    <s v="No"/>
    <s v="Y62072"/>
    <n v="1"/>
    <s v="力合中转仓"/>
    <x v="195"/>
    <s v="NM"/>
    <s v="JUL 22"/>
    <n v="2022.6"/>
    <s v="JPY"/>
    <s v="C49SZX20220035R1SS"/>
    <s v="中润互联"/>
    <s v="YSM20R-2"/>
    <s v="L-&gt;R"/>
    <s v="No"/>
    <s v="OK"/>
    <s v="DDP SZ"/>
    <d v="2022-03-21T00:00:00"/>
    <s v="Yes"/>
    <m/>
    <m/>
    <m/>
    <s v="C220442706"/>
  </r>
  <r>
    <n v="1600"/>
    <x v="0"/>
    <x v="0"/>
    <n v="110934"/>
    <s v="友艺"/>
    <x v="12"/>
    <s v="L-&gt;R"/>
    <s v="No"/>
    <s v="Y62073"/>
    <n v="1"/>
    <s v="力合中转仓"/>
    <x v="195"/>
    <s v="NM"/>
    <s v="JUL 22"/>
    <n v="2022.6"/>
    <s v="JPY"/>
    <s v="C49SZX20220024VC"/>
    <s v="友艺"/>
    <s v="YSM20R-2"/>
    <s v="L-&gt;R"/>
    <s v="No"/>
    <s v="OK"/>
    <s v="DAP SZ"/>
    <d v="2022-02-28T00:00:00"/>
    <s v="Yes"/>
    <m/>
    <m/>
    <m/>
    <s v="IND"/>
  </r>
  <r>
    <n v="1003"/>
    <x v="0"/>
    <x v="0"/>
    <n v="110948"/>
    <s v="Stock order"/>
    <x v="12"/>
    <s v="L-&gt;R"/>
    <s v="No"/>
    <s v="Y58098"/>
    <n v="1"/>
    <s v="CY仓库"/>
    <x v="196"/>
    <n v="5.1200000000000002E-2"/>
    <s v="JUL 22"/>
    <n v="2022.6"/>
    <s v="JPY"/>
    <s v="C49SZX20200233JL"/>
    <s v="瑞福联"/>
    <s v="YSM20R-2"/>
    <s v="L-&gt;R"/>
    <s v="No"/>
    <s v="OK"/>
    <s v="CIF HK"/>
    <d v="2020-12-10T00:00:00"/>
    <s v="Yes"/>
    <m/>
    <m/>
    <m/>
    <s v="C220242050"/>
  </r>
  <r>
    <n v="1819"/>
    <x v="0"/>
    <x v="0"/>
    <n v="110915"/>
    <s v="比泰利"/>
    <x v="12"/>
    <s v="L-&gt;R"/>
    <s v="Feeder Carriage"/>
    <s v="Y61963"/>
    <n v="1"/>
    <s v="前海仓库-&gt;准备清关"/>
    <x v="196"/>
    <n v="5.2699999999999997E-2"/>
    <s v="MAR 23"/>
    <n v="2022.6"/>
    <s v="RMB"/>
    <s v="C49SZX20230007SX"/>
    <s v="雷特"/>
    <s v="YSM20R-2"/>
    <s v="L-&gt;R"/>
    <s v="Feeder Carriage"/>
    <s v="OK"/>
    <s v="DDP ZH"/>
    <d v="2023-01-16T00:00:00"/>
    <s v="Yes"/>
    <m/>
    <m/>
    <m/>
    <s v="C230244908"/>
  </r>
  <r>
    <n v="1820"/>
    <x v="0"/>
    <x v="0"/>
    <n v="110915"/>
    <s v="比泰利"/>
    <x v="12"/>
    <s v="L-&gt;R"/>
    <s v="Feeder Carriage"/>
    <s v="Y61964"/>
    <n v="1"/>
    <s v="前海仓库-&gt;准备清关"/>
    <x v="196"/>
    <n v="5.2699999999999997E-2"/>
    <s v="MAR 23"/>
    <n v="2022.6"/>
    <s v="RMB"/>
    <s v="C49SZX20230007SX"/>
    <s v="雷特"/>
    <s v="YSM20R-2"/>
    <s v="L-&gt;R"/>
    <s v="Feeder Carriage"/>
    <s v="OK"/>
    <s v="DDP ZH"/>
    <d v="2023-01-16T00:00:00"/>
    <s v="Yes"/>
    <m/>
    <m/>
    <m/>
    <s v="C230244908"/>
  </r>
  <r>
    <n v="1817"/>
    <x v="0"/>
    <x v="0"/>
    <n v="110915"/>
    <s v="比泰利"/>
    <x v="12"/>
    <s v="L-&gt;R"/>
    <s v="cATS10+MVC+Feeder Carriage"/>
    <s v="Y61965"/>
    <n v="1"/>
    <s v="前海仓库-&gt;准备清关"/>
    <x v="196"/>
    <n v="5.2699999999999997E-2"/>
    <s v="MAR 23"/>
    <n v="2022.6"/>
    <s v="RMB"/>
    <s v="C49SZX20230007SX"/>
    <s v="雷特"/>
    <s v="YSM20R-2"/>
    <s v="L-&gt;R"/>
    <s v="cATS10+MVC+Feeder Carriage"/>
    <s v="OK"/>
    <s v="DDP ZH"/>
    <d v="2023-01-16T00:00:00"/>
    <s v="Yes"/>
    <m/>
    <m/>
    <m/>
    <s v="C230244908"/>
  </r>
  <r>
    <n v="1778"/>
    <x v="0"/>
    <x v="0"/>
    <n v="110951"/>
    <s v="中润互联"/>
    <x v="1"/>
    <s v="R-&gt;L"/>
    <s v="MVC F&amp;R"/>
    <s v="Y62310（拆除1个相机，放在力合）"/>
    <n v="1"/>
    <s v="力合仓库(已经清关)"/>
    <x v="197"/>
    <s v=" 0.0527,RMB清关 PO#110875(拆单110975）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779"/>
    <x v="0"/>
    <x v="0"/>
    <n v="110951"/>
    <s v="中润互联"/>
    <x v="1"/>
    <s v="R-&gt;L"/>
    <s v="MVC F&amp;R"/>
    <s v="Y62311（拆除1个相机，放在力合）"/>
    <n v="1"/>
    <s v="力合仓库(已经清关)"/>
    <x v="197"/>
    <s v="0.050,RMB清关 PO110875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780"/>
    <x v="0"/>
    <x v="0"/>
    <n v="110951"/>
    <s v="           "/>
    <x v="1"/>
    <s v="R-&gt;L"/>
    <s v="MVC F&amp;R"/>
    <s v="Y62312（拆除1个相机，放在力合）"/>
    <n v="1"/>
    <s v="力合仓库(已经清关)"/>
    <x v="197"/>
    <s v="0.0527,RMB清关 PO110935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630"/>
    <x v="0"/>
    <x v="0"/>
    <n v="110957"/>
    <s v="中润互联"/>
    <x v="12"/>
    <s v="L-&gt;R"/>
    <s v="No"/>
    <s v="Y62315"/>
    <n v="1"/>
    <s v="力合中转仓"/>
    <x v="197"/>
    <n v="5.1200000000000002E-2"/>
    <s v="AUG 22"/>
    <n v="2022.7"/>
    <s v="JPY"/>
    <s v="C49SZX20220036SS"/>
    <s v="泰鑫荣"/>
    <s v="YSM20R-2"/>
    <s v="L-&gt;R"/>
    <s v="No"/>
    <s v="OK"/>
    <s v="DAP SZ"/>
    <d v="2022-03-21T00:00:00"/>
    <s v="Yes"/>
    <m/>
    <m/>
    <m/>
    <s v="C200737853"/>
  </r>
  <r>
    <n v="1653"/>
    <x v="0"/>
    <x v="0"/>
    <n v="110957"/>
    <s v="中润互联"/>
    <x v="12"/>
    <s v="L-&gt;R"/>
    <s v="No"/>
    <s v="Y62314"/>
    <n v="1"/>
    <s v="力合中转仓"/>
    <x v="197"/>
    <n v="5.1200000000000002E-2"/>
    <s v="AUG 22"/>
    <n v="2022.7"/>
    <s v="JPY"/>
    <s v="C49SZX20220049JY"/>
    <s v="辉拓"/>
    <s v="YSM20R-2"/>
    <s v="L-&gt;R"/>
    <s v="No"/>
    <s v="OK"/>
    <s v="CIF HK"/>
    <d v="2022-04-21T00:00:00"/>
    <s v="Yes"/>
    <m/>
    <m/>
    <m/>
    <s v="C220442711"/>
  </r>
  <r>
    <n v="1523"/>
    <x v="0"/>
    <x v="0"/>
    <n v="110957"/>
    <s v="中润互联"/>
    <x v="12"/>
    <s v="L-&gt;R"/>
    <s v="No"/>
    <s v="Y62313"/>
    <n v="1"/>
    <s v="力合中转仓"/>
    <x v="197"/>
    <n v="5.1200000000000002E-2"/>
    <s v="AUG 22"/>
    <n v="2022.7"/>
    <s v="JPY"/>
    <s v="C49SZX20210220SX"/>
    <s v="赛美达"/>
    <s v="YSM20R-2"/>
    <s v="L-&gt;R"/>
    <s v="No"/>
    <s v="OK"/>
    <s v="DAP SZ"/>
    <d v="2021-12-17T00:00:00"/>
    <s v="Yes"/>
    <m/>
    <m/>
    <m/>
    <s v="C200236775"/>
  </r>
  <r>
    <n v="1664"/>
    <x v="0"/>
    <x v="0"/>
    <n v="110962"/>
    <s v="骏仁达"/>
    <x v="12"/>
    <s v="L-&gt;R"/>
    <s v="No"/>
    <s v="Y62343"/>
    <n v="1"/>
    <s v="力合中转仓"/>
    <x v="198"/>
    <m/>
    <s v="AUG 22"/>
    <n v="2022.7"/>
    <s v="JPY"/>
    <s v="C49SZX20220051DZ"/>
    <s v="诺亚兴"/>
    <s v="YSM20R-2"/>
    <s v="L-&gt;R"/>
    <s v="MVC"/>
    <s v="WRONG"/>
    <s v="CIF HK"/>
    <d v="2022-04-29T00:00:00"/>
    <s v="Yes"/>
    <m/>
    <m/>
    <m/>
    <s v="C181233587"/>
  </r>
  <r>
    <n v="1731"/>
    <x v="0"/>
    <x v="0"/>
    <s v="110962（拆单111022）"/>
    <s v="骏仁达"/>
    <x v="12"/>
    <s v="L-&gt;R"/>
    <s v="No"/>
    <s v="Y62344，抽中调离商检"/>
    <n v="1"/>
    <s v="力合仓库(已经清关)"/>
    <x v="198"/>
    <s v=" Yamaha RMB单 49F104103"/>
    <s v="OCT 22"/>
    <n v="2022.7"/>
    <s v="RMB"/>
    <s v="C49SZX20220098MZ"/>
    <s v="河南融创"/>
    <s v="YSM20R-2"/>
    <s v="L-&gt;R"/>
    <s v="No"/>
    <s v="OK"/>
    <s v="DDP HN"/>
    <d v="2022-09-23T00:00:00"/>
    <s v="Yes"/>
    <m/>
    <m/>
    <m/>
    <s v="C221043973"/>
  </r>
  <r>
    <n v="1781"/>
    <x v="0"/>
    <x v="0"/>
    <n v="110953"/>
    <s v="志华鑫名义下单"/>
    <x v="1"/>
    <s v="R-&gt;L"/>
    <s v="MVC"/>
    <s v="Y62322"/>
    <n v="1"/>
    <s v="力合仓库(已经清关)"/>
    <x v="198"/>
    <s v="0.0498,RMB清关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782"/>
    <x v="0"/>
    <x v="0"/>
    <n v="110953"/>
    <s v="志华鑫名义下单"/>
    <x v="1"/>
    <s v="R-&gt;L"/>
    <s v="MVC"/>
    <s v="Y62323，抽中调离商检"/>
    <n v="1"/>
    <s v="力合仓库(已经清关)"/>
    <x v="198"/>
    <s v="0.0498,RMB清关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854"/>
    <x v="0"/>
    <x v="0"/>
    <n v="110952"/>
    <s v="利速达"/>
    <x v="1"/>
    <s v="R-&gt;L"/>
    <s v="MVC"/>
    <s v="Y62324，抽中调离商检"/>
    <n v="1"/>
    <s v="力合仓库(已经清关)"/>
    <x v="198"/>
    <s v="0.0498,RMB清关"/>
    <s v="MAR 23"/>
    <n v="2022.7"/>
    <s v="RMB"/>
    <s v="C49SZX20230030JY"/>
    <s v="和创永泰"/>
    <s v="YSM10"/>
    <s v="L-&gt;R"/>
    <s v="MVC"/>
    <s v="WRONG"/>
    <s v="DDP SZ"/>
    <d v="2023-02-23T00:00:00"/>
    <s v="Yes"/>
    <m/>
    <m/>
    <m/>
    <s v="C220342243"/>
  </r>
  <r>
    <n v="1718"/>
    <x v="0"/>
    <x v="0"/>
    <s v="110961（拆单111023）"/>
    <s v="钧溢"/>
    <x v="12"/>
    <s v="L-&gt;R"/>
    <s v="No"/>
    <s v="Y62345"/>
    <n v="1"/>
    <s v="力合仓库(已经清关)"/>
    <x v="198"/>
    <s v="NM 110960(拆单111038)"/>
    <s v="SEP 22"/>
    <n v="2022.7"/>
    <s v="RMB"/>
    <s v="C49SZX20220090SQ"/>
    <s v="维创斯特"/>
    <s v="YSM20R-2"/>
    <s v="L-&gt;R"/>
    <s v="No"/>
    <s v="OK"/>
    <s v="DDP SZ"/>
    <d v="2022-08-18T00:00:00"/>
    <s v="Yes"/>
    <m/>
    <m/>
    <m/>
    <s v="C220943712"/>
  </r>
  <r>
    <n v="1518"/>
    <x v="0"/>
    <x v="0"/>
    <n v="110961"/>
    <s v="钧溢"/>
    <x v="12"/>
    <s v="L-&gt;R"/>
    <s v="No"/>
    <s v="Y62346"/>
    <n v="1"/>
    <s v="力合中转仓"/>
    <x v="198"/>
    <s v="NM"/>
    <s v="SEP 22"/>
    <n v="2022.7"/>
    <s v="JPY"/>
    <s v="C49SZX20210215MZ"/>
    <s v="魔乐视"/>
    <s v="YSM20R-2"/>
    <s v="L-&gt;R"/>
    <s v="No"/>
    <s v="OK"/>
    <s v="DAP SZ"/>
    <d v="2021-12-10T00:00:00"/>
    <s v="Yes"/>
    <m/>
    <m/>
    <m/>
    <s v="C220342452"/>
  </r>
  <r>
    <n v="1171"/>
    <x v="0"/>
    <x v="0"/>
    <s v="110960(拆单111038)"/>
    <s v="辉拓"/>
    <x v="12"/>
    <s v="L-&gt;R"/>
    <s v="No"/>
    <s v="Y62340"/>
    <n v="1"/>
    <s v="力合中转仓"/>
    <x v="198"/>
    <s v="NM,PO 110988"/>
    <s v="AUG 22"/>
    <n v="2022.7"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709"/>
    <x v="0"/>
    <x v="0"/>
    <n v="110960"/>
    <s v="辉拓"/>
    <x v="12"/>
    <s v="L-&gt;R"/>
    <s v="No"/>
    <s v="Y62341"/>
    <n v="1"/>
    <s v="力合仓库(已经清关)"/>
    <x v="198"/>
    <n v="4.9799999999999997E-2"/>
    <s v="AUG 22"/>
    <n v="2022.7"/>
    <s v="RMB"/>
    <s v="C49SZX20220080JY"/>
    <s v="顺禾"/>
    <s v="YSM20R-2"/>
    <s v="L-&gt;R"/>
    <s v="No"/>
    <s v="OK"/>
    <s v="DDP SZ"/>
    <d v="2022-07-20T00:00:00"/>
    <s v="Yes"/>
    <m/>
    <m/>
    <m/>
    <s v="C151125547"/>
  </r>
  <r>
    <n v="1747"/>
    <x v="0"/>
    <x v="0"/>
    <n v="110960"/>
    <s v="辉拓"/>
    <x v="12"/>
    <s v="L-&gt;R"/>
    <s v="No"/>
    <s v="Y62342"/>
    <n v="1"/>
    <s v="力合中转仓"/>
    <x v="198"/>
    <n v="4.9799999999999997E-2"/>
    <s v="OCT 22"/>
    <n v="2022.7"/>
    <s v="JPY"/>
    <s v="C49SZX20220103SS"/>
    <s v="银杏（虽然机器安装在银杏，但是给到Yamaha的资料都是三才）"/>
    <s v="YSM20R-2"/>
    <s v="L-&gt;R"/>
    <s v="MVC"/>
    <s v="WRONG"/>
    <s v="DAP CS"/>
    <d v="2022-10-12T00:00:00"/>
    <s v="Yes"/>
    <m/>
    <m/>
    <m/>
    <s v="C221144426"/>
  </r>
  <r>
    <n v="1814"/>
    <x v="0"/>
    <x v="0"/>
    <n v="110954"/>
    <s v="恒磊"/>
    <x v="1"/>
    <s v="R-&gt;L"/>
    <s v="MVC"/>
    <s v="Y62325"/>
    <n v="1"/>
    <s v="力合仓库(已经清关)"/>
    <x v="198"/>
    <s v="0.0498,RMB清关 PO110921"/>
    <s v="JAN 23"/>
    <n v="2022.7"/>
    <s v="RMB"/>
    <s v="C49SZX20230010SX"/>
    <s v="嘉普达"/>
    <s v="YSM10"/>
    <s v="L-&gt;R"/>
    <s v="MVC"/>
    <s v="WRONG"/>
    <s v="DDP SZ"/>
    <d v="2023-01-12T00:00:00"/>
    <s v="Yes"/>
    <m/>
    <m/>
    <m/>
    <s v="C200938204"/>
  </r>
  <r>
    <n v="1666"/>
    <x v="0"/>
    <x v="0"/>
    <n v="110954"/>
    <s v="恒磊"/>
    <x v="1"/>
    <s v="R-&gt;L"/>
    <s v="MVC"/>
    <s v="Y62326，机器不能调动"/>
    <n v="1"/>
    <s v="力合中转仓"/>
    <x v="198"/>
    <s v="NM"/>
    <s v="SEP 22"/>
    <n v="2022.7"/>
    <s v="JPY"/>
    <s v="C49SZX20220055SX"/>
    <s v="利速达"/>
    <s v="YSM10"/>
    <s v="L-&gt;R"/>
    <s v="MVC"/>
    <s v="WRONG"/>
    <s v="DAP SZ"/>
    <d v="2022-05-10T00:00:00"/>
    <s v="Yes"/>
    <m/>
    <m/>
    <m/>
    <s v="C180732624 "/>
  </r>
  <r>
    <n v="1644"/>
    <x v="0"/>
    <x v="0"/>
    <n v="110958"/>
    <s v="伯莱科"/>
    <x v="12"/>
    <s v="L-&gt;R"/>
    <s v="No"/>
    <s v="Y62328"/>
    <n v="1"/>
    <s v="力合中转仓"/>
    <x v="198"/>
    <s v="NM"/>
    <s v="AUG 22"/>
    <n v="2022.7"/>
    <s v="JPY"/>
    <s v="C49SZX20220046JL"/>
    <s v="快宇"/>
    <s v="YSM20R-2"/>
    <s v="L-&gt;R"/>
    <s v="No"/>
    <s v="OK"/>
    <s v="DAP SZ"/>
    <d v="2022-04-18T00:00:00"/>
    <s v="Yes"/>
    <m/>
    <m/>
    <m/>
    <s v="C220141863"/>
  </r>
  <r>
    <n v="1665"/>
    <x v="0"/>
    <x v="0"/>
    <n v="110958"/>
    <s v="伯莱科"/>
    <x v="12"/>
    <s v="L-&gt;R"/>
    <s v="No"/>
    <s v="Y62329，机器不能调动"/>
    <n v="1"/>
    <s v="力合中转仓"/>
    <x v="198"/>
    <s v="NM"/>
    <s v="SEP 22"/>
    <n v="2022.7"/>
    <s v="JPY"/>
    <s v="C49SZX20220055SX"/>
    <s v="利速达"/>
    <s v="YSM20R-2"/>
    <s v="L-&gt;R"/>
    <s v="No"/>
    <s v="OK"/>
    <s v="DAP SZ"/>
    <d v="2022-05-10T00:00:00"/>
    <s v="Yes"/>
    <m/>
    <m/>
    <m/>
    <s v="C211241805"/>
  </r>
  <r>
    <n v="1821"/>
    <x v="0"/>
    <x v="0"/>
    <n v="110956"/>
    <s v="鑫天泰"/>
    <x v="1"/>
    <s v="R-&gt;L"/>
    <s v="MVC"/>
    <s v="Y62327(拆相机放在力合）"/>
    <n v="1"/>
    <s v="力合仓库(已经清关)"/>
    <x v="198"/>
    <s v="0.0503,RMB清关 PO#110922"/>
    <s v="FEB 23"/>
    <n v="2022.7"/>
    <s v="RMB"/>
    <s v="C49SZX202300011SX"/>
    <s v="益田科技"/>
    <s v="YSM10"/>
    <s v="L-&gt;R"/>
    <s v="No"/>
    <s v="WRONG"/>
    <s v="DDP SZ"/>
    <d v="2023-02-03T00:00:00"/>
    <s v="Yes"/>
    <m/>
    <m/>
    <m/>
    <s v="C200938214"/>
  </r>
  <r>
    <n v="1609"/>
    <x v="0"/>
    <x v="0"/>
    <n v="110959"/>
    <s v="拓普艾名义"/>
    <x v="12"/>
    <s v="L-&gt;R"/>
    <s v="No"/>
    <s v="Y62389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0"/>
    <x v="0"/>
    <x v="0"/>
    <n v="110959"/>
    <s v="拓普艾名义"/>
    <x v="12"/>
    <s v="L-&gt;R"/>
    <s v="No"/>
    <s v="Y62392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1"/>
    <x v="0"/>
    <x v="0"/>
    <n v="110959"/>
    <s v="拓普艾名义"/>
    <x v="12"/>
    <s v="L-&gt;R"/>
    <s v="No"/>
    <s v="Y62393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2"/>
    <x v="0"/>
    <x v="0"/>
    <n v="110959"/>
    <s v="拓普艾名义"/>
    <x v="12"/>
    <s v="L-&gt;R"/>
    <s v="No"/>
    <s v="Y62394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3"/>
    <x v="0"/>
    <x v="0"/>
    <n v="110959"/>
    <s v="拓普艾名义"/>
    <x v="12"/>
    <s v="L-&gt;R"/>
    <s v="No"/>
    <s v="Y62387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701"/>
    <x v="0"/>
    <x v="0"/>
    <n v="110959"/>
    <s v="拓普艾名义"/>
    <x v="12"/>
    <s v="L-&gt;R"/>
    <s v="No"/>
    <s v="Y62388"/>
    <n v="1"/>
    <s v="CY仓库"/>
    <x v="199"/>
    <s v="NM"/>
    <s v="AUG 22"/>
    <n v="2022.7"/>
    <s v="JPY"/>
    <s v="C49SZX20220073DZ"/>
    <s v="朗特"/>
    <s v="YSM20R-2"/>
    <s v="L-&gt;R"/>
    <s v="No"/>
    <s v="OK"/>
    <s v="CIF HK"/>
    <d v="2022-07-12T00:00:00"/>
    <s v="Yes"/>
    <m/>
    <m/>
    <m/>
    <s v="C190534728"/>
  </r>
  <r>
    <n v="1702"/>
    <x v="0"/>
    <x v="0"/>
    <n v="110959"/>
    <s v="拓普艾名义"/>
    <x v="12"/>
    <s v="L-&gt;R"/>
    <s v="No"/>
    <s v="Y62390"/>
    <n v="1"/>
    <s v="CY仓库"/>
    <x v="199"/>
    <s v="NM"/>
    <s v="AUG 22"/>
    <n v="2022.7"/>
    <s v="JPY"/>
    <s v="C49SZX20220073DZ"/>
    <s v="朗特"/>
    <s v="YSM20R-2"/>
    <s v="L-&gt;R"/>
    <s v="No"/>
    <s v="OK"/>
    <s v="CIF HK"/>
    <d v="2022-07-12T00:00:00"/>
    <s v="Yes"/>
    <m/>
    <m/>
    <m/>
    <s v="C190534728"/>
  </r>
  <r>
    <n v="1703"/>
    <x v="0"/>
    <x v="0"/>
    <s v="110959（拆单111021）"/>
    <s v="拓普艾名义"/>
    <x v="12"/>
    <s v="L-&gt;R"/>
    <s v="No"/>
    <s v="Y62391"/>
    <n v="1"/>
    <s v="CY仓库"/>
    <x v="199"/>
    <n v="4.9200000000000001E-2"/>
    <s v="AUG 22"/>
    <n v="2022.7"/>
    <s v="JPY"/>
    <s v="C49SZX20220073DZ"/>
    <s v="朗特"/>
    <s v="YSM20R-2"/>
    <s v="L-&gt;R"/>
    <s v="No"/>
    <s v="OK"/>
    <s v="CIF HK"/>
    <d v="2022-07-12T00:00:00"/>
    <s v="Yes"/>
    <m/>
    <m/>
    <m/>
    <s v="C190534728"/>
  </r>
  <r>
    <n v="1706"/>
    <x v="0"/>
    <x v="0"/>
    <n v="110963"/>
    <s v="辉拓"/>
    <x v="1"/>
    <s v="R-&gt;L"/>
    <s v="MVC"/>
    <s v="Y62339"/>
    <n v="1"/>
    <s v="CY仓库"/>
    <x v="199"/>
    <s v="NM"/>
    <s v="AUG 22"/>
    <n v="2022.7"/>
    <s v="JPY"/>
    <s v="C49SZX20220073DZ"/>
    <s v="朗特"/>
    <s v="YSM10"/>
    <s v="L-&gt;R"/>
    <s v="MVC"/>
    <s v="WRONG"/>
    <s v="CIF HK"/>
    <d v="2022-07-12T00:00:00"/>
    <s v="Yes"/>
    <m/>
    <m/>
    <m/>
    <s v="C190534728"/>
  </r>
  <r>
    <n v="1791"/>
    <x v="0"/>
    <x v="0"/>
    <s v="110995（TT）"/>
    <s v=" SZ 奥祺(Special)"/>
    <x v="1"/>
    <s v="R-&gt;L"/>
    <s v="MVC+ATS15"/>
    <s v="Y62550"/>
    <n v="1"/>
    <s v="力合仓库(已经清关)"/>
    <x v="200"/>
    <s v="0.0502，RMB清关 PO110896"/>
    <s v="JAN 23"/>
    <n v="2022.7"/>
    <s v="RMB"/>
    <s v="C49SZX20220141SS"/>
    <s v="乐凡"/>
    <s v="YSM10"/>
    <s v="R-&gt;L"/>
    <s v="MVC+ATS15"/>
    <s v="OK"/>
    <s v="DDP SZ"/>
    <d v="2022-12-21T00:00:00"/>
    <s v="Yes"/>
    <m/>
    <m/>
    <m/>
    <s v="C200236762"/>
  </r>
  <r>
    <n v="1866"/>
    <x v="0"/>
    <x v="0"/>
    <s v="110995（TT）"/>
    <s v=" SZ 奥祺(Special)"/>
    <x v="1"/>
    <s v="R-&gt;L"/>
    <s v="MVC+ATS15"/>
    <s v="Y62551"/>
    <n v="1"/>
    <s v="力合仓库(已经清关)"/>
    <x v="200"/>
    <s v="0.0502，RMB清关 PO110896"/>
    <s v="MAR 23"/>
    <n v="2022.7"/>
    <s v="RMB"/>
    <s v="C49SZX20230035SX"/>
    <s v="博祯"/>
    <s v="YSM10"/>
    <s v="R-&gt;L"/>
    <s v="MVC+ATS15"/>
    <s v="OK"/>
    <s v="DDP SZ"/>
    <d v="2023-03-01T00:00:00"/>
    <s v="Yes"/>
    <m/>
    <m/>
    <m/>
    <s v="C230345148 "/>
  </r>
  <r>
    <n v="1711"/>
    <x v="0"/>
    <x v="0"/>
    <s v="110998（TT）"/>
    <s v="精德鸿(Special)"/>
    <x v="1"/>
    <s v="R-&gt;L"/>
    <s v="MVC+ATS15"/>
    <s v="Y62552"/>
    <n v="1"/>
    <s v="力合仓库(已经清关)"/>
    <x v="200"/>
    <s v="0.0527,JPY单PO110929"/>
    <s v="SEP 22"/>
    <n v="2022.7"/>
    <s v="JPY"/>
    <s v="C49SZX20220084DZ"/>
    <s v="朗特"/>
    <s v="YSM10"/>
    <s v="R-&gt;L"/>
    <s v="MVC F&amp;R+ATS15+MVC"/>
    <s v="WRONG"/>
    <s v="CIF HK"/>
    <d v="2022-07-26T00:00:00"/>
    <s v="Yes"/>
    <m/>
    <m/>
    <m/>
    <s v="C220342453"/>
  </r>
  <r>
    <n v="1770"/>
    <x v="0"/>
    <x v="0"/>
    <s v="110996（TT)"/>
    <s v="比尔乔(Special)"/>
    <x v="1"/>
    <s v="R-&gt;L"/>
    <s v="MVC F&amp;R"/>
    <s v="Y62595（拆除2个相机，放在力合）"/>
    <n v="1"/>
    <s v="力合仓库(已经清关)"/>
    <x v="200"/>
    <s v="0.0498,RMB清关PO#110919(拆单110927）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1"/>
    <x v="0"/>
    <x v="0"/>
    <s v="110996 (TT)"/>
    <s v="比尔乔(Special)"/>
    <x v="1"/>
    <s v="R-&gt;L"/>
    <s v="MVC F&amp;R"/>
    <s v="Y62596（拆除2个相机，放在力合）"/>
    <n v="1"/>
    <s v="力合仓库(已经清关)"/>
    <x v="200"/>
    <s v="0.0513,RMB清关PO#110919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2"/>
    <x v="0"/>
    <x v="0"/>
    <n v="110997"/>
    <s v="瑞福联名义(Special)"/>
    <x v="1"/>
    <s v="R-&gt;L"/>
    <s v="MVC F&amp;R"/>
    <s v="Y62598（拆除2个相机，放在力合）"/>
    <n v="1"/>
    <s v="力合仓库(已经清关)"/>
    <x v="200"/>
    <s v="0.0513 RMB单清关，PO110924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3"/>
    <x v="0"/>
    <x v="0"/>
    <n v="110997"/>
    <s v="瑞福联名义(Special)"/>
    <x v="1"/>
    <s v="R-&gt;L"/>
    <s v="MVC F&amp;R"/>
    <s v="Y62599（拆除2个相机，放在力合）"/>
    <n v="1"/>
    <s v="力合仓库(已经清关)"/>
    <x v="200"/>
    <s v="0.0498,RMB清关，PO#110923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4"/>
    <x v="0"/>
    <x v="0"/>
    <n v="111004"/>
    <s v="惠州莫斯特"/>
    <x v="1"/>
    <s v="R-&gt;L"/>
    <s v="MVC"/>
    <s v="Y62561（拆相机放在力合）"/>
    <n v="1"/>
    <s v="力合仓库(已经清关)"/>
    <x v="200"/>
    <n v="5.0299999999999997E-2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898"/>
    <x v="0"/>
    <x v="0"/>
    <n v="111004"/>
    <s v="惠州莫斯特"/>
    <x v="1"/>
    <s v="R-&gt;L"/>
    <s v="MVC"/>
    <s v="Y62562"/>
    <n v="1"/>
    <s v="力合仓库(已经清关)"/>
    <x v="200"/>
    <n v="5.0299999999999997E-2"/>
    <s v="APR 23"/>
    <n v="2022.7"/>
    <s v="RMB"/>
    <s v="YJY-2023040701"/>
    <s v="清水湾（End use:呈承）"/>
    <s v="YSM10"/>
    <s v="L-&gt;R"/>
    <s v="MVC"/>
    <s v="WRONG"/>
    <s v="DDP ZS"/>
    <d v="2023-04-03T00:00:00"/>
    <s v="Yes"/>
    <m/>
    <m/>
    <m/>
    <s v="C221144409"/>
  </r>
  <r>
    <n v="1899"/>
    <x v="0"/>
    <x v="0"/>
    <n v="111004"/>
    <s v="惠州莫斯特"/>
    <x v="1"/>
    <s v="R-&gt;L"/>
    <s v="MVC"/>
    <s v="Y62563"/>
    <n v="1"/>
    <s v="力合仓库(已经清关)"/>
    <x v="200"/>
    <n v="5.0299999999999997E-2"/>
    <s v="APR 23"/>
    <n v="2022.7"/>
    <s v="RMB"/>
    <s v="YJY-2023040701"/>
    <s v="清水湾（End use:呈承）"/>
    <s v="YSM10"/>
    <s v="L-&gt;R"/>
    <s v="MVC"/>
    <s v="WRONG"/>
    <s v="DDP ZS"/>
    <d v="2023-04-03T00:00:00"/>
    <s v="Yes"/>
    <m/>
    <m/>
    <m/>
    <s v="C221144409"/>
  </r>
  <r>
    <n v="1663"/>
    <x v="0"/>
    <x v="0"/>
    <n v="110929"/>
    <s v="Suining konka"/>
    <x v="1"/>
    <s v="R-&gt;L"/>
    <s v="MVC+ATS15+ANC+IT option+TOK 1154"/>
    <s v="Y62359"/>
    <n v="1"/>
    <s v="力合仓库(已经清关)"/>
    <x v="200"/>
    <s v=" 0.0502，RMB清关 "/>
    <s v="AUG 23"/>
    <n v="2022.7"/>
    <s v="RMB"/>
    <s v="SNFPC-CG-2022-008"/>
    <s v="康佳"/>
    <s v="YSM10"/>
    <s v="L-&gt;R"/>
    <s v="MVC+ATS15+ANC"/>
    <s v="WRONG"/>
    <s v="DDP SN"/>
    <d v="2022-04-27T00:00:00"/>
    <s v="Yes"/>
    <m/>
    <m/>
    <m/>
    <s v="IND"/>
  </r>
  <r>
    <n v="1743"/>
    <x v="0"/>
    <x v="0"/>
    <n v="110929"/>
    <s v="Suining konka"/>
    <x v="12"/>
    <s v="R-&gt;L"/>
    <s v="MVC"/>
    <s v="Y62360"/>
    <n v="1"/>
    <s v="力合仓库(已经清关)"/>
    <x v="200"/>
    <n v="5.2699999999999997E-2"/>
    <s v="OCT 22"/>
    <n v="2022.7"/>
    <s v="RMB"/>
    <s v="C49SZX20220107DZ"/>
    <s v="朗特"/>
    <s v="YSM20R-2"/>
    <s v="R-&gt;L"/>
    <s v="No"/>
    <s v="WRONG"/>
    <s v="DDP SZ"/>
    <d v="2022-10-12T00:00:00"/>
    <s v="Yes"/>
    <m/>
    <m/>
    <m/>
    <s v="C190534728"/>
  </r>
  <r>
    <n v="1656"/>
    <x v="0"/>
    <x v="0"/>
    <n v="110929"/>
    <s v="Suining konka"/>
    <x v="12"/>
    <s v="R-&gt;L"/>
    <s v="MVC+IT option+TOK 1154 +"/>
    <s v="Y62361"/>
    <n v="1"/>
    <s v="力合仓库(已经清关)"/>
    <x v="200"/>
    <n v="5.2699999999999997E-2"/>
    <s v="AUG 23"/>
    <n v="2022.7"/>
    <s v="RMB"/>
    <s v="SNFPC-CG-2022-008"/>
    <s v="康佳"/>
    <s v="YSM20R-2"/>
    <s v="R-&gt;L"/>
    <s v="No"/>
    <s v="WRONG"/>
    <s v="DDP SN"/>
    <d v="2022-04-27T00:00:00"/>
    <s v="Yes"/>
    <m/>
    <m/>
    <m/>
    <s v="IND"/>
  </r>
  <r>
    <n v="1657"/>
    <x v="0"/>
    <x v="0"/>
    <n v="110929"/>
    <s v="Suining konka"/>
    <x v="12"/>
    <s v="R-&gt;L"/>
    <s v="MVC+IT option+TOK 1154 +"/>
    <s v="Y62362"/>
    <n v="1"/>
    <s v="力合仓库(已经清关)"/>
    <x v="200"/>
    <n v="5.2699999999999997E-2"/>
    <s v="AUG 23"/>
    <n v="2022.7"/>
    <s v="RMB"/>
    <s v="SNFPC-CG-2022-008"/>
    <s v="康佳"/>
    <s v="YSM20R-2"/>
    <s v="R-&gt;L"/>
    <s v="No"/>
    <s v="WRONG"/>
    <s v="DDP SN"/>
    <d v="2022-04-27T00:00:00"/>
    <s v="Yes"/>
    <m/>
    <m/>
    <m/>
    <s v="IND"/>
  </r>
  <r>
    <n v="1764"/>
    <x v="0"/>
    <x v="0"/>
    <s v="111006(拆单111039)"/>
    <s v="#04403奕东"/>
    <x v="1"/>
    <s v="R-&gt;L"/>
    <s v="MVC +大板相机"/>
    <s v="Y62576（拆除1个相机，放在力合）"/>
    <n v="1"/>
    <s v="力合仓库(已经清关)"/>
    <x v="200"/>
    <n v="5.1200000000000002E-2"/>
    <s v="DEC 22"/>
    <n v="2022.7"/>
    <s v="RMB"/>
    <s v="C49SZX20220125RZ"/>
    <s v="乐迪泰"/>
    <s v="YSM10"/>
    <s v="L-&gt;R"/>
    <s v="大板相机"/>
    <s v="WRONG"/>
    <s v="DDP SZ"/>
    <d v="2022-11-30T00:00:00"/>
    <s v="Yes"/>
    <m/>
    <m/>
    <m/>
    <s v="C221244461"/>
  </r>
  <r>
    <n v="1855"/>
    <x v="0"/>
    <x v="0"/>
    <s v="111006(拆单111039)"/>
    <s v="#04403奕东"/>
    <x v="1"/>
    <s v="R-&gt;L"/>
    <s v="MVC +大板相机"/>
    <s v="Y62577"/>
    <n v="1"/>
    <s v="力合仓库(已经清关)"/>
    <x v="200"/>
    <n v="5.1200000000000002E-2"/>
    <s v="JUN 23"/>
    <n v="2022.7"/>
    <s v="RMB"/>
    <s v="C49SZX20230020SX"/>
    <s v="奕东"/>
    <s v="YSM10"/>
    <s v="L-&gt;R"/>
    <s v="MVC +大板相机"/>
    <s v="WRONG"/>
    <s v="DDP DG"/>
    <s v="2023-2--20"/>
    <s v="Yes"/>
    <m/>
    <m/>
    <m/>
    <s v="IND"/>
  </r>
  <r>
    <n v="1813"/>
    <x v="0"/>
    <x v="0"/>
    <s v="111006(拆单111039)"/>
    <s v="#04403奕东"/>
    <x v="1"/>
    <s v="R-&gt;L"/>
    <s v="MVC +大板相机"/>
    <s v="Y62578（拆大板相机放在力合）"/>
    <n v="1"/>
    <s v="力合仓库(已经清关)"/>
    <x v="200"/>
    <n v="5.2499999999999998E-2"/>
    <s v="MAR 23"/>
    <n v="2022.7"/>
    <s v="RMB"/>
    <s v="C49SZX20230009SX"/>
    <s v="利速达"/>
    <s v="YSM10"/>
    <s v="L-&gt;R"/>
    <s v="MVC"/>
    <s v="WRONG"/>
    <s v="DDP SZ"/>
    <d v="2023-01-11T00:00:00"/>
    <s v="Yes"/>
    <m/>
    <m/>
    <m/>
    <s v="C230144833 "/>
  </r>
  <r>
    <n v="1902"/>
    <x v="0"/>
    <x v="0"/>
    <s v="111006(拆单111039)"/>
    <s v="#04403奕东"/>
    <x v="1"/>
    <s v="R-&gt;L"/>
    <s v="MVC +大板相机"/>
    <s v="Y62579"/>
    <n v="1"/>
    <s v="力合仓库(已经清关)"/>
    <x v="200"/>
    <n v="5.2499999999999998E-2"/>
    <s v="APR 23"/>
    <n v="2022.7"/>
    <s v="RMB"/>
    <s v="C49SZX20230049JY"/>
    <s v="和创永泰"/>
    <s v="YSM10"/>
    <s v="L-&gt;R"/>
    <s v="MVC"/>
    <s v="WRONG"/>
    <s v="DDP SZ"/>
    <d v="2023-04-20T00:00:00"/>
    <s v="Yes"/>
    <m/>
    <m/>
    <m/>
    <s v="C220342243"/>
  </r>
  <r>
    <n v="1909"/>
    <x v="0"/>
    <x v="0"/>
    <s v="111006(拆单111039)"/>
    <s v="#04403奕东"/>
    <x v="1"/>
    <s v="R-&gt;L"/>
    <s v="MVC +大板相机"/>
    <s v="Y62580"/>
    <n v="1"/>
    <s v="力合仓库(已经清关)"/>
    <x v="200"/>
    <n v="5.2499999999999998E-2"/>
    <s v="MAY 23"/>
    <n v="2022.7"/>
    <s v="RMB"/>
    <s v="C49SZX20230052MZ"/>
    <s v="佳润"/>
    <s v="YSM10"/>
    <s v="R-&gt;L"/>
    <s v="MVC"/>
    <s v="WRONG"/>
    <s v="DDP HZ"/>
    <d v="2023-04-21T00:00:00"/>
    <s v="Yes"/>
    <m/>
    <m/>
    <m/>
    <s v="C230445645"/>
  </r>
  <r>
    <n v="1837"/>
    <x v="0"/>
    <x v="0"/>
    <n v="111006"/>
    <s v="#04403奕东"/>
    <x v="1"/>
    <s v="R-&gt;L"/>
    <s v="MVC"/>
    <s v="Y62581"/>
    <n v="1"/>
    <s v="力合仓库(已经清关)"/>
    <x v="200"/>
    <n v="5.2499999999999998E-2"/>
    <s v="MAR 23"/>
    <n v="2022.7"/>
    <s v="RMB"/>
    <s v="C49SZX20230022SX"/>
    <s v="锐诚"/>
    <s v="YSM10"/>
    <s v="L-&gt;R"/>
    <s v="MVC"/>
    <s v="WRONG"/>
    <s v="DDP HZ"/>
    <d v="2023-02-21T00:00:00"/>
    <s v="Yes"/>
    <m/>
    <m/>
    <m/>
    <s v="C180231291"/>
  </r>
  <r>
    <n v="1838"/>
    <x v="0"/>
    <x v="0"/>
    <n v="111006"/>
    <s v="#04403奕东"/>
    <x v="1"/>
    <s v="R-&gt;L"/>
    <s v="MVC"/>
    <s v="Y62582"/>
    <n v="1"/>
    <s v="力合仓库(已经清关)"/>
    <x v="200"/>
    <n v="5.2699999999999997E-2"/>
    <s v="MAR 23"/>
    <n v="2022.7"/>
    <s v="RMB"/>
    <s v="C49SZX20230022SX"/>
    <s v="锐诚"/>
    <s v="YSM10"/>
    <s v="L-&gt;R"/>
    <s v="MVC"/>
    <s v="WRONG"/>
    <s v="DDP HZ"/>
    <d v="2023-02-21T00:00:00"/>
    <s v="Yes"/>
    <m/>
    <m/>
    <m/>
    <s v="C180231291"/>
  </r>
  <r>
    <n v="1822"/>
    <x v="0"/>
    <x v="0"/>
    <n v="111006"/>
    <s v="#04403奕东"/>
    <x v="1"/>
    <s v="R-&gt;L"/>
    <s v="MVC"/>
    <s v="Y62583（拆相机放在力合）"/>
    <n v="1"/>
    <s v="力合仓库(已经清关)"/>
    <x v="200"/>
    <n v="5.2699999999999997E-2"/>
    <s v="FEB 23"/>
    <n v="2022.7"/>
    <s v="RMB"/>
    <s v="C49SZX202300011SX"/>
    <s v="益田科技"/>
    <s v="YSM10"/>
    <s v="L-&gt;R"/>
    <s v="No"/>
    <s v="WRONG"/>
    <s v="DDP SZ"/>
    <d v="2023-02-03T00:00:00"/>
    <s v="Yes"/>
    <m/>
    <m/>
    <m/>
    <s v="C200938214"/>
  </r>
  <r>
    <n v="1839"/>
    <x v="0"/>
    <x v="0"/>
    <s v="111006(拆单111039)"/>
    <s v="#04403奕东"/>
    <x v="1"/>
    <s v="R-&gt;L"/>
    <s v="MVC"/>
    <s v="Y62584"/>
    <n v="1"/>
    <s v="力合仓库(已经清关)"/>
    <x v="200"/>
    <n v="5.2699999999999997E-2"/>
    <s v="MAR 23"/>
    <n v="2022.7"/>
    <s v="RMB"/>
    <s v="C49SZX20230022SX"/>
    <s v="锐诚"/>
    <s v="YSM10"/>
    <s v="L-&gt;R"/>
    <s v="MVC"/>
    <s v="WRONG"/>
    <s v="DDP HZ"/>
    <d v="2023-02-21T00:00:00"/>
    <s v="Yes"/>
    <m/>
    <m/>
    <m/>
    <s v="C180231291"/>
  </r>
  <r>
    <n v="1846"/>
    <x v="0"/>
    <x v="0"/>
    <s v="111006(拆单111039)"/>
    <s v="#04403奕东"/>
    <x v="1"/>
    <s v="R-&gt;L"/>
    <s v="MVC"/>
    <s v="Y62585"/>
    <n v="1"/>
    <s v="力合仓库(已经清关)"/>
    <x v="200"/>
    <n v="5.2699999999999997E-2"/>
    <s v="MAR 23"/>
    <n v="2022.7"/>
    <s v="RMB"/>
    <s v="C49SZX20230023R1SX"/>
    <s v="裕达盛"/>
    <s v="YSM10"/>
    <s v="L-&gt;R"/>
    <s v="MVC"/>
    <s v="WRONG"/>
    <s v="DDP HZ"/>
    <d v="2023-02-22T00:00:00"/>
    <s v="Yes"/>
    <m/>
    <m/>
    <m/>
    <s v="C230245070"/>
  </r>
  <r>
    <n v="1670"/>
    <x v="0"/>
    <x v="1"/>
    <n v="110940"/>
    <s v="Suining konka"/>
    <x v="13"/>
    <s v="R-&gt;L"/>
    <s v="No"/>
    <s v="Y62110"/>
    <n v="1"/>
    <s v="力合仓库(已经清关)"/>
    <x v="200"/>
    <n v="5.2499999999999998E-2"/>
    <s v="AUG 23"/>
    <n v="2022.7"/>
    <s v="RMB"/>
    <s v="SNFPC-CG-2022-013"/>
    <s v="康佳"/>
    <s v="YSi-V"/>
    <s v="R-&gt;L"/>
    <s v="No"/>
    <s v="OK"/>
    <s v="DDP SN"/>
    <d v="2022-05-13T00:00:00"/>
    <s v="Yes"/>
    <m/>
    <m/>
    <m/>
    <s v="IND"/>
  </r>
  <r>
    <n v="1671"/>
    <x v="0"/>
    <x v="1"/>
    <n v="110940"/>
    <s v="Suining konka"/>
    <x v="13"/>
    <s v="R-&gt;L"/>
    <s v="No"/>
    <s v="Y62111"/>
    <n v="1"/>
    <s v="力合仓库(已经清关)"/>
    <x v="200"/>
    <n v="5.2499999999999998E-2"/>
    <s v="AUG 23"/>
    <n v="2022.7"/>
    <s v="RMB"/>
    <s v="SNFPC-CG-2022-013"/>
    <s v="康佳"/>
    <s v="YSi-V"/>
    <s v="R-&gt;L"/>
    <s v="No"/>
    <s v="OK"/>
    <s v="DDP SN"/>
    <d v="2022-05-13T00:00:00"/>
    <s v="Yes"/>
    <m/>
    <m/>
    <m/>
    <s v="IND"/>
  </r>
  <r>
    <n v="1668"/>
    <x v="0"/>
    <x v="1"/>
    <n v="110940"/>
    <s v="Suining konka"/>
    <x v="13"/>
    <s v="L-&gt;R"/>
    <s v="No"/>
    <s v="Y62108"/>
    <n v="1"/>
    <s v="力合仓库(已经清关)"/>
    <x v="200"/>
    <n v="5.2499999999999998E-2"/>
    <s v="AUG 23"/>
    <n v="2022.7"/>
    <s v="RMB"/>
    <s v="SNFPC-CG-2022-013"/>
    <s v="康佳"/>
    <s v="YSi-V"/>
    <s v="L-&gt;R"/>
    <s v="No"/>
    <s v="OK"/>
    <s v="DDP SN"/>
    <d v="2022-05-13T00:00:00"/>
    <s v="Yes"/>
    <m/>
    <m/>
    <m/>
    <s v="IND"/>
  </r>
  <r>
    <n v="1669"/>
    <x v="0"/>
    <x v="1"/>
    <n v="110940"/>
    <s v="Suining konka"/>
    <x v="13"/>
    <s v="L-&gt;R"/>
    <s v="No"/>
    <s v="Y62109"/>
    <n v="1"/>
    <s v="力合仓库(已经清关)"/>
    <x v="200"/>
    <n v="5.2499999999999998E-2"/>
    <s v="AUG 23"/>
    <n v="2022.7"/>
    <s v="RMB"/>
    <s v="SNFPC-CG-2022-013"/>
    <s v="康佳"/>
    <s v="YSi-V"/>
    <s v="L-&gt;R"/>
    <s v="No"/>
    <s v="OK"/>
    <s v="DDP SN"/>
    <d v="2022-05-13T00:00:00"/>
    <s v="Yes"/>
    <m/>
    <m/>
    <m/>
    <s v="IND"/>
  </r>
  <r>
    <n v="1662"/>
    <x v="0"/>
    <x v="0"/>
    <n v="110928"/>
    <s v="Suining konka"/>
    <x v="1"/>
    <s v="R-&gt;L"/>
    <s v="MVC+ATS15+ANC+IT option+TOK 1154"/>
    <s v="Y62476"/>
    <n v="1"/>
    <s v="力合仓库(已经清关)"/>
    <x v="200"/>
    <n v="5.2699999999999997E-2"/>
    <s v="AUG 23"/>
    <n v="2022.7"/>
    <s v="RMB"/>
    <s v="SNFPC-CG-2022-008"/>
    <s v="康佳"/>
    <s v="YSM10"/>
    <s v="R-&gt;L"/>
    <s v="MVC+ATS15+ANC"/>
    <s v="WRONG"/>
    <s v="DDP SN"/>
    <d v="2022-04-27T00:00:00"/>
    <s v="Yes"/>
    <m/>
    <m/>
    <m/>
    <s v="IND"/>
  </r>
  <r>
    <n v="1660"/>
    <x v="0"/>
    <x v="0"/>
    <n v="110928"/>
    <s v="Suining konka"/>
    <x v="12"/>
    <s v="L-&gt;R"/>
    <s v="MVC+IT option+TOK 1154 +"/>
    <s v="Y62477"/>
    <n v="1"/>
    <s v="力合仓库(已经清关)"/>
    <x v="200"/>
    <n v="5.2699999999999997E-2"/>
    <s v="AUG 23"/>
    <n v="2022.7"/>
    <s v="RMB"/>
    <s v="SNFPC-CG-2022-008"/>
    <s v="康佳"/>
    <s v="YSM20R-2"/>
    <s v="L-&gt;R"/>
    <s v="No"/>
    <s v="WRONG"/>
    <s v="DDP SN"/>
    <d v="2022-04-27T00:00:00"/>
    <s v="Yes"/>
    <m/>
    <m/>
    <m/>
    <s v="IND"/>
  </r>
  <r>
    <n v="1659"/>
    <x v="0"/>
    <x v="0"/>
    <n v="110928"/>
    <s v="Suining konka"/>
    <x v="12"/>
    <s v="L-&gt;R"/>
    <s v="MVC+IT option+TOK 1154 +"/>
    <s v="Y62478"/>
    <n v="1"/>
    <s v="力合仓库(已经清关)"/>
    <x v="200"/>
    <n v="5.2699999999999997E-2"/>
    <s v="AUG 23"/>
    <n v="2022.7"/>
    <s v="RMB"/>
    <s v="SNFPC-CG-2022-008"/>
    <s v="康佳"/>
    <s v="YSM20R-2"/>
    <s v="L-&gt;R"/>
    <s v="No"/>
    <s v="WRONG"/>
    <s v="DDP SN"/>
    <d v="2022-04-27T00:00:00"/>
    <s v="Yes"/>
    <m/>
    <m/>
    <m/>
    <s v="IND"/>
  </r>
  <r>
    <n v="1661"/>
    <x v="0"/>
    <x v="0"/>
    <n v="110928"/>
    <s v="Suining konka"/>
    <x v="12"/>
    <s v="L-&gt;R"/>
    <s v="MVC+IT option+TOK 1154 +"/>
    <s v="Y62479"/>
    <n v="1"/>
    <s v="力合仓库(已经清关)"/>
    <x v="200"/>
    <n v="5.2699999999999997E-2"/>
    <s v="AUG 23"/>
    <n v="2022.7"/>
    <s v="RMB"/>
    <s v="SNFPC-CG-2022-008"/>
    <s v="康佳"/>
    <s v="YSM20R-2"/>
    <s v="L-&gt;R"/>
    <s v="No"/>
    <s v="WRONG"/>
    <s v="DDP SN"/>
    <d v="2022-04-27T00:00:00"/>
    <s v="Yes"/>
    <m/>
    <m/>
    <m/>
    <s v="IND"/>
  </r>
  <r>
    <n v="1847"/>
    <x v="0"/>
    <x v="0"/>
    <n v="111000"/>
    <s v="芯联鑫"/>
    <x v="1"/>
    <s v="R-&gt;L"/>
    <s v="MVC"/>
    <s v="Y62614"/>
    <n v="1"/>
    <s v="力合仓库(已经清关)"/>
    <x v="200"/>
    <n v="4.9700000000000001E-2"/>
    <s v="MAR 23"/>
    <n v="2022.7"/>
    <s v="RMB"/>
    <s v="C49SZX20230024MZ"/>
    <s v="斯路迅"/>
    <s v="YSM10"/>
    <s v="L-&gt;R"/>
    <s v="MVC"/>
    <s v="WRONG"/>
    <s v="DDP SZ"/>
    <d v="2023-02-21T00:00:00"/>
    <s v="Yes"/>
    <m/>
    <m/>
    <m/>
    <s v="C200938163"/>
  </r>
  <r>
    <n v="1849"/>
    <x v="0"/>
    <x v="0"/>
    <n v="111000"/>
    <s v="芯联鑫"/>
    <x v="1"/>
    <s v="R-&gt;L"/>
    <s v="MVC"/>
    <s v="Y62615"/>
    <n v="1"/>
    <s v="力合仓库(已经清关)"/>
    <x v="200"/>
    <n v="4.9700000000000001E-2"/>
    <s v="APR 23"/>
    <n v="2022.7"/>
    <s v="RMB"/>
    <s v="C49SZX20230028JY"/>
    <s v="建航"/>
    <s v="YSM10"/>
    <s v="L-&gt;R"/>
    <s v="MVC"/>
    <s v="WRONG"/>
    <s v="DDP SZ"/>
    <d v="2023-02-23T00:00:00"/>
    <s v="Yes"/>
    <m/>
    <m/>
    <m/>
    <s v="C230445648"/>
  </r>
  <r>
    <n v="1869"/>
    <x v="0"/>
    <x v="0"/>
    <n v="110999"/>
    <s v="金睿通(Special)"/>
    <x v="1"/>
    <s v="R-&gt;L"/>
    <s v="MVC F&amp;R"/>
    <s v="Y62610（拆除1个相机，放在力合）"/>
    <n v="1"/>
    <s v="力合仓库(已经清关)"/>
    <x v="200"/>
    <n v="4.9700000000000001E-2"/>
    <s v="MAR 23"/>
    <n v="2022.7"/>
    <s v="RMB"/>
    <s v="C49SZX20230037SS"/>
    <s v="清禾实业"/>
    <s v="YSM10"/>
    <s v="L-&gt;R"/>
    <s v="MVC"/>
    <s v="WRONG"/>
    <s v="DDP SZ"/>
    <d v="2023-03-07T00:00:00"/>
    <s v="Yes"/>
    <m/>
    <m/>
    <m/>
    <s v="C220442563"/>
  </r>
  <r>
    <n v="1870"/>
    <x v="0"/>
    <x v="0"/>
    <n v="110999"/>
    <s v="金睿通(Special)"/>
    <x v="1"/>
    <s v="R-&gt;L"/>
    <s v="MVC F&amp;R"/>
    <s v="Y62611（拆除1个相机，放在力合）"/>
    <n v="1"/>
    <s v="力合仓库(已经清关)"/>
    <x v="200"/>
    <n v="4.9700000000000001E-2"/>
    <s v="MAR 23"/>
    <n v="2022.7"/>
    <s v="RMB"/>
    <s v="C49SZX20230038SS"/>
    <s v="清禾电路"/>
    <s v="YSM10"/>
    <s v="L-&gt;R"/>
    <s v="MVC"/>
    <s v="WRONG"/>
    <s v="DDP SZ"/>
    <d v="2023-03-07T00:00:00"/>
    <s v="Yes"/>
    <m/>
    <m/>
    <m/>
    <s v="C230345221"/>
  </r>
  <r>
    <n v="1739"/>
    <x v="0"/>
    <x v="0"/>
    <n v="110987"/>
    <s v=" SZ 精德鸿(Special)"/>
    <x v="12"/>
    <s v="L-&gt;R"/>
    <s v="No"/>
    <s v="Y62606"/>
    <n v="1"/>
    <s v="力合仓库(已经清关)"/>
    <x v="201"/>
    <s v="NM coper rate 0.0501"/>
    <s v="OCT 22"/>
    <n v="2022.7"/>
    <s v="RMB"/>
    <s v="C49SZX20220106SX"/>
    <s v="锐诚"/>
    <s v="YSM20R-2"/>
    <s v="L-&gt;R"/>
    <s v="No"/>
    <s v="OK"/>
    <s v="DDP HZ"/>
    <d v="2022-10-11T00:00:00"/>
    <s v="Yes"/>
    <m/>
    <m/>
    <m/>
    <s v="C180231291"/>
  </r>
  <r>
    <n v="1720"/>
    <x v="0"/>
    <x v="0"/>
    <n v="110987"/>
    <s v=" SZ 精德鸿(Special)"/>
    <x v="12"/>
    <s v="L-&gt;R"/>
    <s v="No"/>
    <s v="Y62607"/>
    <n v="1"/>
    <s v="力合仓库(已经清关)"/>
    <x v="201"/>
    <s v="NM"/>
    <s v="OCT 22"/>
    <n v="2022.7"/>
    <s v="JPY"/>
    <s v="C49SZX20220096JL"/>
    <s v="倍斯特"/>
    <s v="YSM20R-2"/>
    <s v="L-&gt;R"/>
    <s v="No"/>
    <s v="OK"/>
    <s v="DAP SZ"/>
    <d v="2022-09-15T00:00:00"/>
    <s v="Yes"/>
    <m/>
    <m/>
    <m/>
    <s v="C200837908"/>
  </r>
  <r>
    <n v="1710"/>
    <x v="0"/>
    <x v="0"/>
    <n v="110986"/>
    <s v=" SZ 奥祺(Special)"/>
    <x v="12"/>
    <s v="R-&gt;L"/>
    <s v="No"/>
    <s v="Y62608"/>
    <n v="1"/>
    <s v="力合仓库(已经清关)"/>
    <x v="201"/>
    <s v="NM"/>
    <s v="SEP 22"/>
    <n v="2022.7"/>
    <s v="JPY"/>
    <s v="C49SZX20220084DZ"/>
    <s v="朗特"/>
    <s v="YSM20R-2"/>
    <s v="R-&gt;L"/>
    <s v="No"/>
    <s v="OK"/>
    <s v="CIF HK"/>
    <d v="2022-07-26T00:00:00"/>
    <s v="Yes"/>
    <m/>
    <m/>
    <m/>
    <s v="C220342453"/>
  </r>
  <r>
    <n v="1742"/>
    <x v="0"/>
    <x v="0"/>
    <n v="110986"/>
    <s v=" SZ 奥祺(Special)"/>
    <x v="12"/>
    <s v="R-&gt;L"/>
    <s v="No"/>
    <s v="Y62609"/>
    <n v="1"/>
    <s v="力合仓库(已经清关)"/>
    <x v="201"/>
    <s v="NM"/>
    <s v="OCT 22"/>
    <n v="2022.7"/>
    <s v="RMB"/>
    <s v="C49SZX20220107DZ"/>
    <s v="朗特"/>
    <s v="YSM20R-2"/>
    <s v="R-&gt;L"/>
    <s v="No"/>
    <s v="OK"/>
    <s v="DDP SZ"/>
    <d v="2022-10-12T00:00:00"/>
    <s v="Yes"/>
    <m/>
    <m/>
    <m/>
    <s v="C190534728"/>
  </r>
  <r>
    <n v="1783"/>
    <x v="0"/>
    <x v="0"/>
    <n v="110992"/>
    <s v=" SZ欣华"/>
    <x v="12"/>
    <s v="L-&gt;R"/>
    <s v="No"/>
    <s v="Y62604"/>
    <n v="1"/>
    <s v="力合仓库(已经清关)"/>
    <x v="201"/>
    <s v="NM"/>
    <s v="DEC 22"/>
    <n v="2022.7"/>
    <s v="RMB"/>
    <s v="C49SZX20220127EC"/>
    <s v="海红天远"/>
    <s v="YSM20R-2"/>
    <s v="L-&gt;R"/>
    <s v="MVC"/>
    <s v="WRONG"/>
    <s v="DDP SZ"/>
    <d v="2022-12-19T00:00:00"/>
    <s v="Yes"/>
    <m/>
    <m/>
    <m/>
    <s v="C200737827"/>
  </r>
  <r>
    <n v="1724"/>
    <x v="0"/>
    <x v="0"/>
    <n v="110992"/>
    <s v=" SZ欣华"/>
    <x v="12"/>
    <s v="L-&gt;R"/>
    <s v="No"/>
    <s v="Y62605"/>
    <n v="1"/>
    <s v="CY仓库"/>
    <x v="201"/>
    <s v="0.0527,RMB清关,"/>
    <s v="NOV 22"/>
    <n v="2022.7"/>
    <s v="JPY"/>
    <s v="159851(R2)-ELE"/>
    <s v="WKK"/>
    <s v="YSM20R-2"/>
    <s v="L-&gt;R"/>
    <s v="MVC"/>
    <s v="WRONG"/>
    <s v="CIF HK"/>
    <d v="2022-09-19T00:00:00"/>
    <s v="Yes"/>
    <m/>
    <m/>
    <m/>
    <s v="C200336938"/>
  </r>
  <r>
    <n v="1740"/>
    <x v="0"/>
    <x v="0"/>
    <n v="110989"/>
    <s v=" SZ 金睿通(Special)"/>
    <x v="12"/>
    <s v="L-&gt;R"/>
    <s v="No"/>
    <s v="Y62612"/>
    <n v="1"/>
    <s v="力合仓库(已经清关)"/>
    <x v="201"/>
    <m/>
    <s v="OCT 22"/>
    <n v="2022.7"/>
    <s v="RMB"/>
    <s v="C49SZX20220107DZ"/>
    <s v="朗特"/>
    <s v="YSM20R-2"/>
    <s v="L-&gt;R"/>
    <s v="No"/>
    <s v="OK"/>
    <s v="DDP SZ"/>
    <d v="2022-10-12T00:00:00"/>
    <s v="Yes"/>
    <m/>
    <m/>
    <m/>
    <s v="C190534728"/>
  </r>
  <r>
    <n v="1741"/>
    <x v="0"/>
    <x v="0"/>
    <n v="110989"/>
    <s v=" SZ 金睿通(Special)"/>
    <x v="12"/>
    <s v="L-&gt;R"/>
    <s v="No"/>
    <s v="Y62613"/>
    <n v="1"/>
    <s v="力合仓库(已经清关)"/>
    <x v="201"/>
    <s v="0.0512 ,"/>
    <s v="OCT 22"/>
    <n v="2022.7"/>
    <s v="RMB"/>
    <s v="C49SZX20220107DZ"/>
    <s v="朗特"/>
    <s v="YSM20R-2"/>
    <s v="L-&gt;R"/>
    <s v="No"/>
    <s v="OK"/>
    <s v="DDP SZ"/>
    <d v="2022-10-12T00:00:00"/>
    <s v="Yes"/>
    <m/>
    <m/>
    <m/>
    <s v="C190534728"/>
  </r>
  <r>
    <n v="1519"/>
    <x v="0"/>
    <x v="0"/>
    <n v="110988"/>
    <s v=" SZ 瑞福联(Special)"/>
    <x v="12"/>
    <s v="L-&gt;R"/>
    <s v="No"/>
    <s v="Y62600"/>
    <n v="1"/>
    <s v="力合中转仓"/>
    <x v="201"/>
    <m/>
    <s v="SEP 22"/>
    <n v="2022.7"/>
    <s v="JPY"/>
    <s v="C49SZX20210215MZ"/>
    <s v="魔乐视"/>
    <s v="YSM20R-2"/>
    <s v="L-&gt;R"/>
    <s v="No"/>
    <s v="OK"/>
    <s v="DAP SZ"/>
    <d v="2021-12-10T00:00:00"/>
    <s v="Yes"/>
    <m/>
    <m/>
    <m/>
    <s v="C220342452"/>
  </r>
  <r>
    <n v="1640"/>
    <x v="0"/>
    <x v="0"/>
    <n v="110988"/>
    <s v=" SZ 瑞福联(Special)"/>
    <x v="12"/>
    <s v="L-&gt;R"/>
    <s v="No"/>
    <s v="Y62601"/>
    <n v="1"/>
    <s v="CY仓库"/>
    <x v="201"/>
    <s v="NM"/>
    <s v="JAN 23"/>
    <n v="2022.7"/>
    <s v="JPY"/>
    <s v="C49SZX20220124JL"/>
    <s v="金睿通"/>
    <s v="YSM20R-2"/>
    <s v="L-&gt;R"/>
    <s v="No"/>
    <s v="OK"/>
    <s v="CIF HK"/>
    <d v="2022-11-30T00:00:00"/>
    <s v="Yes"/>
    <m/>
    <m/>
    <m/>
    <s v="C230144717"/>
  </r>
  <r>
    <n v="1733"/>
    <x v="0"/>
    <x v="0"/>
    <n v="110990"/>
    <s v=" SZ正讯"/>
    <x v="12"/>
    <s v="L-&gt;R"/>
    <s v="No"/>
    <s v="Y62627"/>
    <n v="1"/>
    <s v="力合仓库(已经清关)"/>
    <x v="201"/>
    <s v="NM"/>
    <s v="SEP 22"/>
    <n v="2022.7"/>
    <s v="RMB"/>
    <s v="C49SZX20220102DZ"/>
    <s v="朗特"/>
    <s v="YSM20R-2"/>
    <s v="L-&gt;R"/>
    <s v="No"/>
    <s v="OK"/>
    <s v="DDP JX"/>
    <d v="2022-09-30T00:00:00"/>
    <s v="Yes"/>
    <m/>
    <m/>
    <m/>
    <s v="C190534728"/>
  </r>
  <r>
    <n v="1732"/>
    <x v="0"/>
    <x v="0"/>
    <n v="110990"/>
    <s v=" SZ正讯"/>
    <x v="12"/>
    <s v="L-&gt;R"/>
    <s v="No"/>
    <s v="Y62628"/>
    <n v="1"/>
    <s v="力合中转仓"/>
    <x v="201"/>
    <s v="NM"/>
    <s v="OCT 22"/>
    <n v="2022.7"/>
    <s v="RMB"/>
    <s v="C49SZX20220098MZ"/>
    <s v="河南融创"/>
    <s v="YSM20R-2"/>
    <s v="L-&gt;R"/>
    <s v="No"/>
    <s v="OK"/>
    <s v="DDP HN"/>
    <d v="2022-09-23T00:00:00"/>
    <s v="Yes"/>
    <m/>
    <m/>
    <m/>
    <s v="C221043973"/>
  </r>
  <r>
    <n v="1851"/>
    <x v="0"/>
    <x v="0"/>
    <n v="111001"/>
    <s v="欣华"/>
    <x v="1"/>
    <s v="R-&gt;L"/>
    <s v="MVC"/>
    <s v="Y62634"/>
    <n v="1"/>
    <s v="力合仓库(已经清关)"/>
    <x v="201"/>
    <s v="NM"/>
    <s v="MAR 23"/>
    <n v="2022.7"/>
    <s v="RMB"/>
    <s v="C49SZX20230025DZ"/>
    <s v="兆晖"/>
    <s v="YSM10"/>
    <s v="R-&gt;L"/>
    <s v="MVC"/>
    <s v="OK"/>
    <s v="DDP SZ"/>
    <d v="2023-02-22T00:00:00"/>
    <s v="Yes"/>
    <m/>
    <m/>
    <m/>
    <s v="C220643122"/>
  </r>
  <r>
    <n v="1748"/>
    <x v="0"/>
    <x v="0"/>
    <n v="111002"/>
    <s v="欣华"/>
    <x v="1"/>
    <s v="R-&gt;L"/>
    <s v="MVC"/>
    <s v="Y62603"/>
    <n v="1"/>
    <s v="力合中转仓"/>
    <x v="201"/>
    <s v="NM"/>
    <s v="OCT 22"/>
    <n v="2022.7"/>
    <s v="JPY"/>
    <s v="C49SZX20220103SS"/>
    <s v="银杏（虽然机器安装在银杏，但是给到Yamaha的资料都是三才）"/>
    <s v="YSM10"/>
    <s v="L-&gt;R"/>
    <s v="MVC"/>
    <s v="WRONG"/>
    <s v="DAP CS"/>
    <d v="2022-10-12T00:00:00"/>
    <s v="Yes"/>
    <m/>
    <m/>
    <m/>
    <s v="C221144426"/>
  </r>
  <r>
    <n v="1727"/>
    <x v="0"/>
    <x v="0"/>
    <n v="111002"/>
    <s v="思迈"/>
    <x v="1"/>
    <s v="R-&gt;L"/>
    <s v="MVC"/>
    <s v="Y62602"/>
    <n v="1"/>
    <s v="CY仓库"/>
    <x v="201"/>
    <s v="NM"/>
    <s v="NOV 22"/>
    <n v="2022.7"/>
    <s v="JPY"/>
    <s v="159851(R2)-ELE"/>
    <s v="WKK"/>
    <s v="YSM10"/>
    <s v="L-&gt;R"/>
    <s v="MVC"/>
    <s v="WRONG"/>
    <s v="CIF HK"/>
    <d v="2022-09-19T00:00:00"/>
    <s v="Yes"/>
    <m/>
    <m/>
    <m/>
    <s v="C200336938"/>
  </r>
  <r>
    <n v="1726"/>
    <x v="0"/>
    <x v="0"/>
    <n v="111001"/>
    <s v="思迈"/>
    <x v="1"/>
    <s v="R-&gt;L"/>
    <s v="MVC"/>
    <s v="Y62635"/>
    <n v="1"/>
    <s v="CY仓库"/>
    <x v="201"/>
    <m/>
    <s v="NOV 22"/>
    <n v="2022.7"/>
    <s v="JPY"/>
    <s v="159851(R2)-ELE"/>
    <s v="WKK"/>
    <s v="YSM10"/>
    <s v="L-&gt;R"/>
    <s v="MVC"/>
    <s v="WRONG"/>
    <s v="CIF HK"/>
    <d v="2022-09-19T00:00:00"/>
    <s v="Yes"/>
    <m/>
    <m/>
    <m/>
    <s v="C200336938"/>
  </r>
  <r>
    <n v="1861"/>
    <x v="0"/>
    <x v="0"/>
    <n v="111003"/>
    <s v="正讯"/>
    <x v="1"/>
    <s v="R-&gt;L"/>
    <s v="MVC"/>
    <s v="Y62625"/>
    <n v="1"/>
    <s v="力合仓库(已经清关)"/>
    <x v="201"/>
    <m/>
    <s v="MAR 23"/>
    <n v="2022.7"/>
    <s v="RMB"/>
    <s v="C49SZX20230031MZ"/>
    <s v="朗迅"/>
    <s v="YSM10"/>
    <s v="R-&gt;L"/>
    <s v="MVC"/>
    <s v="OK"/>
    <s v="DDP  HZ"/>
    <d v="2023-02-28T00:00:00"/>
    <s v="Yes"/>
    <m/>
    <m/>
    <m/>
    <s v="C210640313"/>
  </r>
  <r>
    <n v="1862"/>
    <x v="0"/>
    <x v="0"/>
    <n v="111003"/>
    <s v="正讯"/>
    <x v="1"/>
    <s v="R-&gt;L"/>
    <s v="MVC"/>
    <s v="Y62626"/>
    <n v="1"/>
    <s v="力合仓库(已经清关)"/>
    <x v="201"/>
    <s v="NM"/>
    <s v="MAR 23"/>
    <n v="2022.7"/>
    <s v="RMB"/>
    <s v="C49SZX20230031MZ"/>
    <s v="朗迅"/>
    <s v="YSM10"/>
    <s v="L-&gt;R"/>
    <s v="MVC"/>
    <s v="WRONG"/>
    <s v="DDP  HZ"/>
    <d v="2023-02-28T00:00:00"/>
    <s v="Yes"/>
    <m/>
    <m/>
    <m/>
    <s v="C210640313"/>
  </r>
  <r>
    <n v="1675"/>
    <x v="0"/>
    <x v="0"/>
    <s v="110993(TT)"/>
    <s v=" SZ斯迈拓"/>
    <x v="12"/>
    <s v="R-&gt;L"/>
    <s v="No"/>
    <s v="Y62629"/>
    <n v="1"/>
    <s v="力合中转仓"/>
    <x v="202"/>
    <s v="NM"/>
    <s v="AUG 22"/>
    <n v="2022.7"/>
    <s v="JPY"/>
    <s v="C49SZX20220059DY"/>
    <s v="朗迅"/>
    <s v="YSM20R-2"/>
    <s v="R-&gt;L"/>
    <s v="MVC"/>
    <s v="WRONG"/>
    <s v="DAP HZ"/>
    <d v="2022-05-27T00:00:00"/>
    <s v="Yes"/>
    <m/>
    <m/>
    <m/>
    <s v="C210640313"/>
  </r>
  <r>
    <n v="1676"/>
    <x v="0"/>
    <x v="0"/>
    <s v="110993(TT)"/>
    <s v=" SZ斯迈拓"/>
    <x v="12"/>
    <s v="R-&gt;L"/>
    <s v="No"/>
    <s v="Y62630"/>
    <n v="1"/>
    <s v="力合中转仓"/>
    <x v="202"/>
    <s v="NM"/>
    <s v="AUG 22"/>
    <n v="2022.7"/>
    <s v="JPY"/>
    <s v="C49SZX20220059DY"/>
    <s v="朗迅"/>
    <s v="YSM20R-2"/>
    <s v="R-&gt;L"/>
    <s v="MVC"/>
    <s v="WRONG"/>
    <s v="DAP HZ"/>
    <d v="2022-05-27T00:00:00"/>
    <s v="Yes"/>
    <m/>
    <m/>
    <m/>
    <s v="C210640313"/>
  </r>
  <r>
    <n v="1690"/>
    <x v="0"/>
    <x v="0"/>
    <n v="110991"/>
    <s v=" SZ朗迅"/>
    <x v="12"/>
    <s v="L-&gt;R"/>
    <s v="No"/>
    <s v="Y62636"/>
    <n v="1"/>
    <s v="力合中转仓"/>
    <x v="203"/>
    <s v="NM"/>
    <s v="OCT 22"/>
    <n v="2022.8"/>
    <s v="JPY"/>
    <s v="C49SZX20220042JY"/>
    <s v="德天伟"/>
    <s v="YSM20R-2"/>
    <s v="L-&gt;R"/>
    <s v="No"/>
    <s v="OK"/>
    <s v="DAP SZ"/>
    <d v="2022-06-22T00:00:00"/>
    <s v="Yes"/>
    <m/>
    <m/>
    <m/>
    <s v="C220643250"/>
  </r>
  <r>
    <n v="1753"/>
    <x v="0"/>
    <x v="0"/>
    <n v="110991"/>
    <s v=" SZ朗迅"/>
    <x v="12"/>
    <s v="L-&gt;R"/>
    <s v="No"/>
    <s v="Y62637"/>
    <n v="1"/>
    <s v="力合仓库(已经清关)"/>
    <x v="203"/>
    <s v="NM"/>
    <s v="NOV 22"/>
    <n v="2022.8"/>
    <s v="RMB"/>
    <s v="C49SZX20220112SX"/>
    <s v="永诺精密"/>
    <s v="YSM20R-2"/>
    <s v="L-&gt;R"/>
    <s v="No"/>
    <s v="OK"/>
    <s v="DDP DG"/>
    <d v="2022-11-08T00:00:00"/>
    <s v="Yes"/>
    <m/>
    <m/>
    <m/>
    <s v="C210239322"/>
  </r>
  <r>
    <n v="1750"/>
    <x v="0"/>
    <x v="0"/>
    <n v="111020"/>
    <s v="惠州新明海"/>
    <x v="12"/>
    <s v="L-&gt;R"/>
    <s v="No"/>
    <s v="Y62873"/>
    <n v="1"/>
    <s v="力合仓库(已经清关)"/>
    <x v="204"/>
    <s v="NM,"/>
    <s v="NOV 22"/>
    <n v="2022.8"/>
    <s v="RMB"/>
    <s v="C49SZX20220093EC"/>
    <s v="格美通"/>
    <s v="YSM20R-2"/>
    <s v="L-&gt;R"/>
    <s v="No"/>
    <s v="OK"/>
    <s v="DDP SZ"/>
    <d v="2022-10-29T00:00:00"/>
    <s v="Yes"/>
    <m/>
    <m/>
    <m/>
    <s v="C221044184"/>
  </r>
  <r>
    <n v="1752"/>
    <x v="0"/>
    <x v="0"/>
    <n v="111020"/>
    <s v="惠州新明海"/>
    <x v="12"/>
    <s v="L-&gt;R"/>
    <s v="No"/>
    <s v="Y62874"/>
    <n v="1"/>
    <s v="力合仓库(已经清关)"/>
    <x v="204"/>
    <s v="NM,"/>
    <s v="NOV 22"/>
    <n v="2022.8"/>
    <s v="RMB"/>
    <s v="C49SZX20220113DZ"/>
    <s v="比泰利"/>
    <s v="YSM20R-2"/>
    <s v="L-&gt;R"/>
    <s v="MVC F&amp;R"/>
    <s v="WRONG"/>
    <s v="DDP SZ"/>
    <d v="2022-11-02T00:00:00"/>
    <s v="Yes"/>
    <m/>
    <m/>
    <m/>
    <s v="C211141606"/>
  </r>
  <r>
    <n v="1784"/>
    <x v="0"/>
    <x v="0"/>
    <n v="111020"/>
    <s v="惠州新明海"/>
    <x v="12"/>
    <s v="L-&gt;R"/>
    <s v="No"/>
    <s v="Y62876"/>
    <n v="1"/>
    <s v="力合仓库(已经清关)"/>
    <x v="204"/>
    <s v="NM"/>
    <s v="DEC 22"/>
    <n v="2022.8"/>
    <s v="RMB"/>
    <s v="C49SZX20220127EC"/>
    <s v="海红天远"/>
    <s v="YSM20R-2"/>
    <s v="L-&gt;R"/>
    <s v="MVC"/>
    <s v="WRONG"/>
    <s v="DDP SZ"/>
    <d v="2022-12-19T00:00:00"/>
    <s v="Yes"/>
    <m/>
    <m/>
    <m/>
    <s v="C200737827"/>
  </r>
  <r>
    <n v="1815"/>
    <x v="0"/>
    <x v="0"/>
    <n v="111020"/>
    <s v="惠州新明海"/>
    <x v="12"/>
    <s v="L-&gt;R"/>
    <s v="No"/>
    <s v="Y62877"/>
    <n v="1"/>
    <s v="力合仓库(已经清关)"/>
    <x v="204"/>
    <n v="5.0900000000000001E-2"/>
    <s v="JAN 23"/>
    <n v="2022.8"/>
    <s v="RMB"/>
    <s v="C49SZX20230010SX"/>
    <s v="嘉普达"/>
    <s v="YSM20R-2"/>
    <s v="L-&gt;R"/>
    <s v="No"/>
    <s v="OK"/>
    <s v="DDP SZ"/>
    <d v="2023-01-12T00:00:00"/>
    <s v="Yes"/>
    <m/>
    <m/>
    <m/>
    <s v="C200938204"/>
  </r>
  <r>
    <n v="1835"/>
    <x v="0"/>
    <x v="0"/>
    <n v="111020"/>
    <s v="惠州新明海"/>
    <x v="12"/>
    <s v="L-&gt;R"/>
    <s v="No"/>
    <s v="Y62878"/>
    <n v="1"/>
    <s v="力合仓库(已经清关)"/>
    <x v="204"/>
    <n v="5.0900000000000001E-2"/>
    <s v="FEB 23"/>
    <n v="2022.8"/>
    <s v="RMB"/>
    <s v="C49SZX20230013JY"/>
    <s v="德天伟"/>
    <s v="YSM20R-2"/>
    <s v="L-&gt;R"/>
    <s v="No"/>
    <s v="OK"/>
    <s v="DDP SZ"/>
    <d v="2023-02-10T00:00:00"/>
    <s v="Yes"/>
    <m/>
    <m/>
    <m/>
    <s v="C220643250"/>
  </r>
  <r>
    <n v="1790"/>
    <x v="0"/>
    <x v="0"/>
    <n v="111020"/>
    <s v="惠州新明海"/>
    <x v="12"/>
    <s v="L-&gt;R"/>
    <s v="No"/>
    <s v="Y62872"/>
    <n v="1"/>
    <s v="力合仓库(已经清关)"/>
    <x v="204"/>
    <n v="5.0900000000000001E-2"/>
    <s v="DEC 22"/>
    <n v="2022.8"/>
    <s v="RMB"/>
    <s v="C49SZX20220135EC"/>
    <s v="福瑞康"/>
    <s v="YSM20R-2"/>
    <s v="L-&gt;R"/>
    <s v="No"/>
    <s v="OK"/>
    <s v="DDP DG"/>
    <d v="2022-12-20T00:00:00"/>
    <s v="Yes"/>
    <m/>
    <m/>
    <m/>
    <s v="C210439833"/>
  </r>
  <r>
    <n v="1793"/>
    <x v="0"/>
    <x v="0"/>
    <n v="111020"/>
    <s v="惠州新明海"/>
    <x v="12"/>
    <s v="L-&gt;R"/>
    <s v="No"/>
    <s v="Y62875"/>
    <n v="1"/>
    <s v="力合仓库(已经清关)"/>
    <x v="204"/>
    <n v="5.0900000000000001E-2"/>
    <s v="FEB 23"/>
    <n v="2022.8"/>
    <s v="RMB"/>
    <s v="C49SZX20230008SS"/>
    <s v="蓝极光"/>
    <s v="YSM20R-2"/>
    <s v="L-&gt;R"/>
    <s v="No"/>
    <s v="OK"/>
    <s v="DDP SZ"/>
    <d v="2022-12-30T00:00:00"/>
    <s v="Yes"/>
    <m/>
    <m/>
    <m/>
    <s v="C220242133"/>
  </r>
  <r>
    <n v="1794"/>
    <x v="0"/>
    <x v="0"/>
    <n v="111020"/>
    <s v="惠州新明海"/>
    <x v="12"/>
    <s v="L-&gt;R"/>
    <s v="No"/>
    <s v="Y62879"/>
    <n v="1"/>
    <s v="力合仓库(已经清关)"/>
    <x v="204"/>
    <n v="5.1900000000000002E-2"/>
    <s v="FEB 23"/>
    <n v="2022.8"/>
    <s v="RMB"/>
    <s v="C49SZX20230008SS"/>
    <s v="蓝极光"/>
    <s v="YSM20R-2"/>
    <s v="L-&gt;R"/>
    <s v="No"/>
    <s v="OK"/>
    <s v="DDP SZ"/>
    <d v="2022-12-30T00:00:00"/>
    <s v="Yes"/>
    <m/>
    <m/>
    <m/>
    <s v="C220242133"/>
  </r>
  <r>
    <n v="1754"/>
    <x v="0"/>
    <x v="0"/>
    <n v="111020"/>
    <s v="惠州新明海"/>
    <x v="12"/>
    <s v="R-&gt;L"/>
    <s v="No"/>
    <s v="Y62880"/>
    <n v="1"/>
    <s v="力合仓库(已经清关)"/>
    <x v="204"/>
    <n v="5.1900000000000002E-2"/>
    <s v="NOV 22"/>
    <n v="2022.8"/>
    <s v="RMB"/>
    <s v="C49SZX20220119DZ"/>
    <s v="深圳健科"/>
    <s v="YSM20R-2"/>
    <s v="R-&gt;L"/>
    <s v="No"/>
    <s v="OK"/>
    <s v="DDP SZ"/>
    <d v="2022-11-14T00:00:00"/>
    <s v="Yes"/>
    <m/>
    <m/>
    <m/>
    <s v="C11048457"/>
  </r>
  <r>
    <n v="1641"/>
    <x v="0"/>
    <x v="0"/>
    <n v="111053"/>
    <s v="力通威(sepcial)"/>
    <x v="1"/>
    <s v="R-&gt;L"/>
    <s v="MVC F&amp;R"/>
    <s v="Y63137"/>
    <n v="1"/>
    <s v="CY仓库"/>
    <x v="205"/>
    <n v="5.1900000000000002E-2"/>
    <s v="JAN 23"/>
    <n v="2022.8"/>
    <s v="JPY"/>
    <s v="C49SZX20220124JL"/>
    <s v="金睿通"/>
    <s v="YSM10"/>
    <s v="L-&gt;R"/>
    <s v="MVC"/>
    <s v="WRONG"/>
    <s v="CIF HK"/>
    <d v="2022-11-30T00:00:00"/>
    <s v="Yes"/>
    <m/>
    <m/>
    <m/>
    <s v="C230144717"/>
  </r>
  <r>
    <n v="1693"/>
    <x v="0"/>
    <x v="0"/>
    <n v="111053"/>
    <s v="力通威(sepcial)"/>
    <x v="1"/>
    <s v="R-&gt;L"/>
    <s v="MVC F&amp;R"/>
    <s v="Y63138"/>
    <n v="1"/>
    <s v="CY仓库"/>
    <x v="205"/>
    <n v="5.1900000000000002E-2"/>
    <s v="JAN 23"/>
    <n v="2022.8"/>
    <s v="JPY"/>
    <s v="C49SZX20220070JY"/>
    <s v="宏翔福"/>
    <s v="YSM10"/>
    <s v="R-&gt;L"/>
    <s v="MVC"/>
    <s v="WRONG"/>
    <s v="CIF HK"/>
    <d v="2022-06-28T00:00:00"/>
    <s v="Yes"/>
    <m/>
    <m/>
    <m/>
    <s v="C220743421"/>
  </r>
  <r>
    <n v="1692"/>
    <x v="0"/>
    <x v="0"/>
    <n v="111053"/>
    <s v="力通威(sepcial)"/>
    <x v="1"/>
    <s v="R-&gt;L"/>
    <s v="MVC F&amp;R"/>
    <s v="Y63139"/>
    <n v="1"/>
    <s v="CY仓库"/>
    <x v="205"/>
    <n v="5.1900000000000002E-2"/>
    <s v="JAN 23"/>
    <n v="2022.8"/>
    <s v="JPY"/>
    <s v="C49SZX20220070JY"/>
    <s v="宏翔福"/>
    <s v="YSM10"/>
    <s v="L-&gt;R"/>
    <s v="MVC"/>
    <s v="WRONG"/>
    <s v="CIF HK"/>
    <d v="2022-06-28T00:00:00"/>
    <s v="Yes"/>
    <m/>
    <m/>
    <m/>
    <s v="C220743421"/>
  </r>
  <r>
    <n v="1871"/>
    <x v="0"/>
    <x v="0"/>
    <n v="111051"/>
    <s v="魔乐视"/>
    <x v="12"/>
    <s v="L-&gt;R"/>
    <s v="No"/>
    <s v="Y63079"/>
    <n v="1"/>
    <s v="前海仓库-&gt;准备清关"/>
    <x v="205"/>
    <n v="5.1700000000000003E-2"/>
    <s v="MAR 23"/>
    <n v="2022.9"/>
    <s v="RMB"/>
    <s v="C49SZX20230040JY"/>
    <s v="百纳海"/>
    <s v="YSM20R-2"/>
    <s v="L-&gt;R"/>
    <s v="No"/>
    <s v="OK"/>
    <s v="DDP SZ"/>
    <d v="2023-03-10T00:00:00"/>
    <s v="Yes"/>
    <m/>
    <m/>
    <m/>
    <s v="C220542973"/>
  </r>
  <r>
    <n v="1872"/>
    <x v="0"/>
    <x v="0"/>
    <n v="111051"/>
    <s v="魔乐视"/>
    <x v="12"/>
    <s v="L-&gt;R"/>
    <s v="No"/>
    <s v="Y63080"/>
    <n v="1"/>
    <s v="前海仓库-&gt;准备清关"/>
    <x v="205"/>
    <n v="5.1700000000000003E-2"/>
    <s v="MAR 23"/>
    <n v="2022.9"/>
    <s v="RMB"/>
    <s v="C49SZX20230040JY"/>
    <s v="百纳海"/>
    <s v="YSM20R-2"/>
    <s v="L-&gt;R"/>
    <s v="No"/>
    <s v="OK"/>
    <s v="DDP SZ"/>
    <d v="2023-03-10T00:00:00"/>
    <s v="Yes"/>
    <m/>
    <m/>
    <m/>
    <s v="C220542973"/>
  </r>
  <r>
    <n v="1848"/>
    <x v="0"/>
    <x v="0"/>
    <n v="111051"/>
    <s v="魔乐视"/>
    <x v="12"/>
    <s v="L-&gt;R"/>
    <s v="No"/>
    <s v="Y63075"/>
    <n v="1"/>
    <s v="前海仓库(已经清关)"/>
    <x v="205"/>
    <n v="5.1700000000000003E-2"/>
    <s v="MAR 23"/>
    <n v="2022.9"/>
    <s v="RMB"/>
    <s v="C49SZX20230024MZ"/>
    <s v="斯路迅"/>
    <s v="YSM20R-2"/>
    <s v="L-&gt;R"/>
    <s v="No"/>
    <s v="OK"/>
    <s v="DDP SZ"/>
    <d v="2023-02-21T00:00:00"/>
    <s v="Yes"/>
    <m/>
    <m/>
    <m/>
    <s v="C200938163"/>
  </r>
  <r>
    <n v="1860"/>
    <x v="0"/>
    <x v="0"/>
    <n v="111051"/>
    <s v="魔乐视"/>
    <x v="12"/>
    <s v="L-&gt;R"/>
    <s v="No"/>
    <s v="Y63076"/>
    <n v="1"/>
    <s v="前海仓库-&gt;准备清关"/>
    <x v="205"/>
    <n v="5.1700000000000003E-2"/>
    <s v="MAR 23"/>
    <n v="2022.9"/>
    <s v="RMB"/>
    <s v="C49SZX20230032R1SS"/>
    <s v="四川三创（End use:阿姆斯特）"/>
    <s v="YSM20R-2"/>
    <s v="L-&gt;R"/>
    <s v="No"/>
    <s v="OK"/>
    <s v="DDP DG"/>
    <d v="2023-02-28T00:00:00"/>
    <s v="Yes"/>
    <m/>
    <m/>
    <m/>
    <s v="C220543035"/>
  </r>
  <r>
    <n v="1852"/>
    <x v="0"/>
    <x v="0"/>
    <n v="111051"/>
    <s v="魔乐视"/>
    <x v="12"/>
    <s v="L-&gt;R"/>
    <s v="No"/>
    <s v="Y63077"/>
    <n v="1"/>
    <s v="前海保税区"/>
    <x v="205"/>
    <n v="5.1799999999999999E-2"/>
    <s v="APR 23"/>
    <n v="2022.9"/>
    <s v="RMB"/>
    <s v="C49SZX20230026EC"/>
    <s v="乐福源"/>
    <s v="YSM20R-2"/>
    <s v="L-&gt;R"/>
    <s v="No"/>
    <s v="OK"/>
    <s v="DDP HZ"/>
    <d v="2023-02-22T00:00:00"/>
    <s v="Yes"/>
    <m/>
    <m/>
    <m/>
    <s v="C230345120"/>
  </r>
  <r>
    <n v="1873"/>
    <x v="0"/>
    <x v="0"/>
    <n v="111051"/>
    <s v="魔乐视"/>
    <x v="12"/>
    <s v="L-&gt;R"/>
    <s v="No"/>
    <s v="Y63078"/>
    <n v="1"/>
    <s v="前海仓库-&gt;准备清关"/>
    <x v="205"/>
    <n v="5.1799999999999999E-2"/>
    <s v="MAR 23"/>
    <n v="2022.9"/>
    <s v="RMB"/>
    <s v="C49SZX20230018MX"/>
    <s v="徕芬"/>
    <s v="YSM20R-2"/>
    <s v="L-&gt;R"/>
    <s v="No"/>
    <s v="OK"/>
    <s v="DDP DG"/>
    <d v="2023-03-10T00:00:00"/>
    <s v="Yes"/>
    <m/>
    <m/>
    <m/>
    <s v="C230345279"/>
  </r>
  <r>
    <n v="1775"/>
    <x v="0"/>
    <x v="0"/>
    <s v="111048改49F104339"/>
    <s v="络鑫#03625(special)"/>
    <x v="12"/>
    <s v="L-&gt;R"/>
    <s v="No"/>
    <s v="Y63056"/>
    <n v="1"/>
    <s v="力合仓库(已经清关)"/>
    <x v="206"/>
    <n v="5.1900000000000002E-2"/>
    <s v="FEB 23"/>
    <n v="2022.8"/>
    <s v="RMB"/>
    <s v="C49SZX20220130SX"/>
    <s v="益田科技"/>
    <s v="YSM20R-2"/>
    <s v="L-&gt;R"/>
    <s v="No"/>
    <s v="OK"/>
    <s v="DDP SZ"/>
    <d v="2022-12-08T00:00:00"/>
    <s v="Yes"/>
    <m/>
    <m/>
    <m/>
    <s v="C200938214"/>
  </r>
  <r>
    <n v="1829"/>
    <x v="0"/>
    <x v="0"/>
    <s v="111048改49F104339"/>
    <s v="络鑫#03625(special)"/>
    <x v="12"/>
    <s v="L-&gt;R"/>
    <s v="No"/>
    <s v="Y63057"/>
    <n v="1"/>
    <s v="力合仓库(已经清关)"/>
    <x v="206"/>
    <n v="5.1900000000000002E-2"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30"/>
    <x v="0"/>
    <x v="0"/>
    <s v="111048改49F104339"/>
    <s v="络鑫#03625(special)"/>
    <x v="12"/>
    <s v="L-&gt;R"/>
    <s v="No"/>
    <s v="Y63058"/>
    <n v="1"/>
    <s v="力合仓库(已经清关)"/>
    <x v="206"/>
    <n v="5.1900000000000002E-2"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92"/>
    <x v="0"/>
    <x v="0"/>
    <s v="111048改49F104339"/>
    <s v="络鑫#03625(special)"/>
    <x v="12"/>
    <s v="L-&gt;R"/>
    <s v="No"/>
    <s v="Y63059"/>
    <n v="1"/>
    <s v="力合仓库(已经清关)"/>
    <x v="206"/>
    <n v="5.1900000000000002E-2"/>
    <s v="MAR 23"/>
    <n v="2022.8"/>
    <s v="RMB"/>
    <s v="C49SZX20230045RSX"/>
    <s v="安林"/>
    <s v="YSM20R-2"/>
    <s v="L-&gt;R"/>
    <s v="No"/>
    <s v="OK"/>
    <s v="DDP DG"/>
    <d v="2023-03-16T00:00:00"/>
    <s v="Yes"/>
    <m/>
    <m/>
    <m/>
    <s v="C200537294"/>
  </r>
  <r>
    <n v="1795"/>
    <x v="0"/>
    <x v="0"/>
    <s v="111048改49F104339"/>
    <s v="络鑫#03625(special)"/>
    <x v="12"/>
    <s v="L-&gt;R"/>
    <s v="No"/>
    <s v="Y63060"/>
    <n v="1"/>
    <s v="力合仓库(已经清关)"/>
    <x v="206"/>
    <n v="5.1900000000000002E-2"/>
    <s v="FEB 23"/>
    <n v="2022.8"/>
    <s v="RMB"/>
    <s v="C49SZX20230008SS"/>
    <s v="蓝极光"/>
    <s v="YSM20R-2"/>
    <s v="L-&gt;R"/>
    <s v="No"/>
    <s v="OK"/>
    <s v="DDP SZ"/>
    <d v="2022-12-30T00:00:00"/>
    <s v="Yes"/>
    <m/>
    <m/>
    <m/>
    <s v="C220242133"/>
  </r>
  <r>
    <n v="1757"/>
    <x v="0"/>
    <x v="0"/>
    <s v="111050改49F104341"/>
    <s v="朗特#06890(special)"/>
    <x v="12"/>
    <s v="R-&gt;L"/>
    <s v="No"/>
    <s v="Y63066"/>
    <n v="1"/>
    <s v="力合仓库(已经清关)"/>
    <x v="206"/>
    <n v="5.1900000000000002E-2"/>
    <s v="NOV 22"/>
    <n v="2022.9"/>
    <s v="RMB"/>
    <s v="C49SZX20220117DZ"/>
    <s v="朗特"/>
    <s v="YSM20R-2"/>
    <s v="R-&gt;L"/>
    <s v="No"/>
    <s v="OK"/>
    <s v="DDP SZ"/>
    <d v="2022-11-14T00:00:00"/>
    <s v="Yes"/>
    <m/>
    <m/>
    <m/>
    <s v="C190534728"/>
  </r>
  <r>
    <n v="1758"/>
    <x v="0"/>
    <x v="0"/>
    <s v="111050改49F104341"/>
    <s v="朗特#06890(special)"/>
    <x v="12"/>
    <s v="R-&gt;L"/>
    <s v="No"/>
    <s v="Y63067"/>
    <n v="1"/>
    <s v="力合仓库(已经清关)"/>
    <x v="206"/>
    <n v="5.1900000000000002E-2"/>
    <s v="NOV 22"/>
    <n v="2022.9"/>
    <s v="RMB"/>
    <s v="C49SZX20220117DZ"/>
    <s v="朗特"/>
    <s v="YSM20R-2"/>
    <s v="R-&gt;L"/>
    <s v="No"/>
    <s v="OK"/>
    <s v="DDP SZ"/>
    <d v="2022-11-14T00:00:00"/>
    <s v="Yes"/>
    <m/>
    <m/>
    <m/>
    <s v="C190534728"/>
  </r>
  <r>
    <n v="1755"/>
    <x v="0"/>
    <x v="0"/>
    <s v="111050改49F104341"/>
    <s v="朗特#06890(special)"/>
    <x v="12"/>
    <s v="L-&gt;R"/>
    <s v="No"/>
    <s v="Y63068"/>
    <n v="1"/>
    <s v="力合仓库(已经清关)"/>
    <x v="206"/>
    <n v="5.1900000000000002E-2"/>
    <s v="NOV 22"/>
    <n v="2022.9"/>
    <s v="RMB"/>
    <s v="C49SZX20220117DZ"/>
    <s v="朗特"/>
    <s v="YSM20R-2"/>
    <s v="L-&gt;R"/>
    <s v="No"/>
    <s v="OK"/>
    <s v="DDP SZ"/>
    <d v="2022-11-14T00:00:00"/>
    <s v="Yes"/>
    <m/>
    <m/>
    <m/>
    <s v="C190534728"/>
  </r>
  <r>
    <n v="1756"/>
    <x v="0"/>
    <x v="0"/>
    <s v="111050改49F104341"/>
    <s v="朗特#06890(special)"/>
    <x v="12"/>
    <s v="L-&gt;R"/>
    <s v="No"/>
    <s v="Y63069"/>
    <n v="1"/>
    <s v="力合仓库(已经清关)"/>
    <x v="206"/>
    <n v="5.1900000000000002E-2"/>
    <s v="NOV 22"/>
    <n v="2022.9"/>
    <s v="RMB"/>
    <s v="C49SZX20220117DZ"/>
    <s v="朗特"/>
    <s v="YSM20R-2"/>
    <s v="L-&gt;R"/>
    <s v="No"/>
    <s v="OK"/>
    <s v="DDP SZ"/>
    <d v="2022-11-14T00:00:00"/>
    <s v="Yes"/>
    <m/>
    <m/>
    <m/>
    <s v="C190534728"/>
  </r>
  <r>
    <n v="1826"/>
    <x v="0"/>
    <x v="0"/>
    <s v="111050改49F104341"/>
    <s v="朗特#06890(special)"/>
    <x v="12"/>
    <s v="L-&gt;R"/>
    <s v="No"/>
    <s v="Y63070"/>
    <n v="1"/>
    <s v="力合仓库(已经清关)"/>
    <x v="206"/>
    <n v="5.1900000000000002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3"/>
    <x v="0"/>
    <x v="0"/>
    <s v="111049改49F104342"/>
    <s v="创荣发(sepcial)"/>
    <x v="12"/>
    <s v="L-&gt;R"/>
    <s v="No"/>
    <s v="Y63061"/>
    <n v="1"/>
    <s v="力合仓库(已经清关)"/>
    <x v="206"/>
    <m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4"/>
    <x v="0"/>
    <x v="0"/>
    <s v="111049改49F104342"/>
    <s v="创荣发(sepcial)"/>
    <x v="12"/>
    <s v="L-&gt;R"/>
    <s v="No"/>
    <s v="Y63062"/>
    <n v="1"/>
    <s v="力合仓库(已经清关)"/>
    <x v="206"/>
    <n v="5.1200000000000002E-2"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5"/>
    <x v="0"/>
    <x v="0"/>
    <s v="111049改49F104342"/>
    <s v="创荣发(sepcial)"/>
    <x v="12"/>
    <s v="L-&gt;R"/>
    <s v="No"/>
    <s v="Y63063"/>
    <n v="1"/>
    <s v="力合仓库(已经清关)"/>
    <x v="206"/>
    <n v="5.1200000000000002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729"/>
    <x v="0"/>
    <x v="0"/>
    <s v="111049改49F104342"/>
    <s v="创荣发(sepcial)"/>
    <x v="12"/>
    <s v="R-&gt;L"/>
    <s v="No"/>
    <s v="Y63064"/>
    <n v="1"/>
    <s v="力合仓库(已经清关)"/>
    <x v="206"/>
    <s v="NM,                        PO111096"/>
    <s v="DEC 22"/>
    <n v="2022.9"/>
    <s v="JPY"/>
    <s v="C49SZX20220099JY"/>
    <s v="创荣发"/>
    <s v="YSM20R-2"/>
    <s v="R-&gt;L"/>
    <s v="No"/>
    <s v="OK"/>
    <s v="DAP HZ"/>
    <d v="2022-09-22T00:00:00"/>
    <s v="Yes"/>
    <m/>
    <m/>
    <m/>
    <s v="C221043971"/>
  </r>
  <r>
    <n v="1792"/>
    <x v="0"/>
    <x v="0"/>
    <s v="111049改49F104342"/>
    <s v="创荣发(sepcial)"/>
    <x v="12"/>
    <s v="R-&gt;L"/>
    <s v="No"/>
    <s v="Y63065"/>
    <n v="1"/>
    <s v="力合仓库(已经清关)"/>
    <x v="206"/>
    <n v="5.1200000000000002E-2"/>
    <s v="JAN 23"/>
    <n v="2022.9"/>
    <s v="RMB"/>
    <s v="C49SZX20220141SS"/>
    <s v="乐凡"/>
    <s v="YSM20R-2"/>
    <s v="R-&gt;L"/>
    <s v="No"/>
    <s v="OK"/>
    <s v="DDP SZ"/>
    <d v="2022-12-21T00:00:00"/>
    <s v="Yes"/>
    <m/>
    <m/>
    <m/>
    <s v="C200236762"/>
  </r>
  <r>
    <n v="1765"/>
    <x v="0"/>
    <x v="0"/>
    <s v="111052改49F104334"/>
    <s v="创荣发(sepcial)"/>
    <x v="1"/>
    <s v="R-&gt;L"/>
    <s v="MVC F&amp;R"/>
    <s v="Y63081（拆除1个相机，放在力合）"/>
    <n v="1"/>
    <s v="力合仓库(已经清关)"/>
    <x v="207"/>
    <n v="5.1200000000000002E-2"/>
    <s v="APR 23"/>
    <n v="2022.8"/>
    <s v="RMB"/>
    <s v="C49SZX20220126JL"/>
    <s v="伯莱科"/>
    <s v="YSM10"/>
    <s v="L-&gt;R"/>
    <s v="MVC"/>
    <s v="WRONG"/>
    <s v="DDP SZ"/>
    <d v="2022-12-03T00:00:00"/>
    <s v="Yes"/>
    <m/>
    <m/>
    <m/>
    <s v="C170128496"/>
  </r>
  <r>
    <n v="1894"/>
    <x v="0"/>
    <x v="0"/>
    <s v="111052改49F104334"/>
    <s v="创荣发(sepcial)"/>
    <x v="1"/>
    <s v="R-&gt;L"/>
    <s v="MVC F&amp;R+ATS15"/>
    <s v="Y63082（拆除1个相机，放在力合）"/>
    <n v="1"/>
    <s v="力合仓库(已经清关)"/>
    <x v="207"/>
    <n v="5.1200000000000002E-2"/>
    <s v="APR 23"/>
    <n v="2022.9"/>
    <s v="RMB"/>
    <s v="C49SZX20230046DM"/>
    <s v="菲帆"/>
    <s v="YSM10"/>
    <s v="L-&gt;R"/>
    <s v="MVC+ATS15"/>
    <s v="WRONG"/>
    <s v="DDP HZ"/>
    <d v="2023-03-17T00:00:00"/>
    <s v="Yes"/>
    <m/>
    <m/>
    <m/>
    <s v="C230345373"/>
  </r>
  <r>
    <n v="1874"/>
    <x v="0"/>
    <x v="0"/>
    <s v="111052改49F104334"/>
    <s v="创荣发(sepcial)"/>
    <x v="1"/>
    <s v="R-&gt;L"/>
    <s v="MVC F&amp;R+ATS15"/>
    <s v="Y63083（拆除1个相机，放在力合）"/>
    <n v="1"/>
    <s v="力合仓库(已经清关)"/>
    <x v="207"/>
    <n v="5.1200000000000002E-2"/>
    <s v="MAR 23"/>
    <n v="2022.9"/>
    <s v="RMB"/>
    <s v="C49SZX20230018MX"/>
    <s v="徕芬"/>
    <s v="YSM10"/>
    <s v="L-&gt;R"/>
    <s v="MVC+ATS15"/>
    <s v="WRONG"/>
    <s v="DDP DG"/>
    <d v="2023-03-10T00:00:00"/>
    <s v="Yes"/>
    <m/>
    <m/>
    <m/>
    <s v="C230345279"/>
  </r>
  <r>
    <n v="1766"/>
    <x v="0"/>
    <x v="0"/>
    <s v="111052改49F104334"/>
    <s v="创荣发(sepcial)"/>
    <x v="1"/>
    <s v="R-&gt;L"/>
    <s v="MVC F&amp;R"/>
    <s v="Y63084（拆除1个相机，放在力合）"/>
    <n v="1"/>
    <s v="力合仓库(已经清关)"/>
    <x v="207"/>
    <n v="5.1200000000000002E-2"/>
    <s v="APR 23"/>
    <n v="2022.8"/>
    <s v="RMB"/>
    <s v="C49SZX20220126JL"/>
    <s v="伯莱科"/>
    <s v="YSM10"/>
    <s v="L-&gt;R"/>
    <s v="MVC"/>
    <s v="WRONG"/>
    <s v="DDP SZ"/>
    <d v="2022-12-03T00:00:00"/>
    <s v="Yes"/>
    <m/>
    <m/>
    <m/>
    <s v="C170128496"/>
  </r>
  <r>
    <n v="1853"/>
    <x v="0"/>
    <x v="0"/>
    <s v="111052改49F104334"/>
    <s v="创荣发(sepcial)"/>
    <x v="1"/>
    <s v="R-&gt;L"/>
    <s v="MVC F&amp;R"/>
    <s v="Y63085（拆除1个相机，放在力合）"/>
    <n v="1"/>
    <s v="力合仓库(已经清关)"/>
    <x v="207"/>
    <n v="5.1200000000000002E-2"/>
    <s v="APR 23"/>
    <n v="2022.8"/>
    <s v="RMB"/>
    <s v="C49SZX20230026EC"/>
    <s v="乐福源"/>
    <s v="YSM10"/>
    <s v="L-&gt;R"/>
    <s v="MVC"/>
    <s v="WRONG"/>
    <s v="DDP HZ"/>
    <d v="2023-02-22T00:00:00"/>
    <s v="Yes"/>
    <m/>
    <m/>
    <m/>
    <s v="C230345120"/>
  </r>
  <r>
    <s v="上海预留"/>
    <x v="0"/>
    <x v="0"/>
    <s v="111047改49F104340"/>
    <s v="世启纳"/>
    <x v="12"/>
    <s v="R-&gt;L"/>
    <s v="No"/>
    <s v="Y63071"/>
    <n v="1"/>
    <s v="力合仓库(已经清关)"/>
    <x v="207"/>
    <n v="4.9700000000000001E-2"/>
    <m/>
    <n v="2022.9"/>
    <s v="RMB"/>
    <s v="C49XMN20221122/LYX"/>
    <s v="福建凯思达"/>
    <s v="YSM20R-2"/>
    <s v="R-&gt;L"/>
    <s v="No"/>
    <s v="OK"/>
    <e v="#N/A"/>
    <e v="#N/A"/>
    <e v="#N/A"/>
    <m/>
    <m/>
    <m/>
    <s v="已转上海客户"/>
  </r>
  <r>
    <n v="1834"/>
    <x v="0"/>
    <x v="0"/>
    <s v="111047改49F104340"/>
    <s v="世启纳"/>
    <x v="12"/>
    <s v="R-&gt;L"/>
    <s v="No"/>
    <s v="Y63072"/>
    <n v="1"/>
    <s v="力合仓库(已经清关)"/>
    <x v="207"/>
    <n v="4.9700000000000001E-2"/>
    <s v="FEB 23"/>
    <n v="2022.9"/>
    <s v="RMB"/>
    <s v="C49SZX20230012EC"/>
    <s v="海红天远"/>
    <s v="YSM20R-2"/>
    <s v="R-&gt;L"/>
    <s v="MVC F&amp;R"/>
    <s v="WRONG"/>
    <s v="DDP SZ"/>
    <d v="2023-02-09T00:00:00"/>
    <s v="Yes"/>
    <m/>
    <m/>
    <m/>
    <s v="C200737827"/>
  </r>
  <r>
    <n v="1827"/>
    <x v="0"/>
    <x v="0"/>
    <s v="111047改49F104340"/>
    <s v="世启纳"/>
    <x v="12"/>
    <s v="L-&gt;R"/>
    <s v="No"/>
    <s v="Y63073"/>
    <n v="1"/>
    <s v="力合仓库(已经清关)"/>
    <x v="207"/>
    <n v="4.9700000000000001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8"/>
    <x v="0"/>
    <x v="0"/>
    <s v="111047改49F104340"/>
    <s v="世启纳"/>
    <x v="12"/>
    <s v="L-&gt;R"/>
    <s v="No"/>
    <s v="Y63074"/>
    <n v="1"/>
    <s v="力合仓库(已经清关)"/>
    <x v="207"/>
    <n v="4.9700000000000001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719"/>
    <x v="0"/>
    <x v="0"/>
    <s v="111054改49F104337"/>
    <s v="朗特#06890(special)"/>
    <x v="1"/>
    <s v="R-&gt;L"/>
    <s v="MVC F&amp;R"/>
    <s v="Y63144（拆除1个相机，放在力合）"/>
    <n v="1"/>
    <s v="力合仓库(已经清关)"/>
    <x v="207"/>
    <n v="4.8800000000000003E-2"/>
    <s v="JUL 23"/>
    <n v="2022.9"/>
    <s v="RMB"/>
    <s v="C49SZX20220091MZ"/>
    <s v="华烨(end user:华煜）"/>
    <s v="YSM10"/>
    <s v="L-&gt;R"/>
    <s v="MVC"/>
    <s v="WRONG"/>
    <s v="DDP LJ"/>
    <d v="2022-08-20T00:00:00"/>
    <s v="Yes"/>
    <m/>
    <m/>
    <m/>
    <s v="C220943714"/>
  </r>
  <r>
    <n v="1905"/>
    <x v="0"/>
    <x v="0"/>
    <s v="111054改49F104337"/>
    <s v="朗特#06890(special)"/>
    <x v="1"/>
    <s v="R-&gt;L"/>
    <s v="MVC F&amp;R+ATS15"/>
    <s v="Y63145"/>
    <n v="1"/>
    <s v="力合仓库(已经清关)"/>
    <x v="207"/>
    <n v="4.8800000000000003E-2"/>
    <s v="APR 23"/>
    <n v="2022.9"/>
    <s v="JPY"/>
    <s v="C49SZX20230054SQ"/>
    <s v="格第"/>
    <s v="YSM10"/>
    <s v="R-&gt;L"/>
    <s v="MVC+ATS15"/>
    <s v="WRONG"/>
    <s v="DAP SZ"/>
    <d v="2023-04-21T00:00:00"/>
    <s v="Yes"/>
    <m/>
    <m/>
    <m/>
    <s v="C230445790"/>
  </r>
  <r>
    <n v="1903"/>
    <x v="0"/>
    <x v="0"/>
    <s v="111054改49F104337"/>
    <s v="朗特#06890(special)"/>
    <x v="1"/>
    <s v="R-&gt;L"/>
    <s v="MVC F&amp;R+ATS15"/>
    <s v="Y63146"/>
    <n v="1"/>
    <s v="力合仓库(已经清关)"/>
    <x v="207"/>
    <n v="4.8800000000000003E-2"/>
    <s v="APR 23"/>
    <n v="2022.9"/>
    <s v="RMB"/>
    <s v="C49SZX20230049JY"/>
    <s v="和创永泰"/>
    <s v="YSM10"/>
    <s v="L-&gt;R"/>
    <s v="MVC+ATS15"/>
    <s v="WRONG"/>
    <s v="DDP SZ"/>
    <d v="2023-04-20T00:00:00"/>
    <s v="Yes"/>
    <m/>
    <m/>
    <m/>
    <s v="C220342243"/>
  </r>
  <r>
    <n v="1912"/>
    <x v="0"/>
    <x v="0"/>
    <s v="111054改49F104337"/>
    <s v="朗特#06890(special)"/>
    <x v="1"/>
    <s v="R-&gt;L"/>
    <s v="MVC F&amp;R"/>
    <s v="Y63147（拆除1个相机，放在力合）"/>
    <n v="1"/>
    <s v="力合仓库(已经清关)"/>
    <x v="207"/>
    <n v="4.8800000000000003E-2"/>
    <s v="JUN 23"/>
    <n v="2022.9"/>
    <s v="RMB"/>
    <s v="C49SZX20230056SX"/>
    <s v="台山新欣"/>
    <s v="YSM10"/>
    <s v="L-&gt;R"/>
    <s v="MVC"/>
    <s v="WRONG"/>
    <s v="DDP TS"/>
    <d v="2023-04-24T00:00:00"/>
    <s v="Yes"/>
    <m/>
    <m/>
    <m/>
    <s v="C230545868"/>
  </r>
  <r>
    <n v="1931"/>
    <x v="0"/>
    <x v="0"/>
    <s v="111055改49F104335"/>
    <s v="络鑫#03625(special)"/>
    <x v="1"/>
    <s v="R-&gt;L"/>
    <s v="MVC F&amp;R"/>
    <s v="Y63149（拆除1个相机，放在力合）"/>
    <n v="1"/>
    <s v="力合仓库(已经清关)"/>
    <x v="207"/>
    <n v="4.9700000000000001E-2"/>
    <s v="JUL 23"/>
    <n v="2022.8"/>
    <s v="JPY"/>
    <s v="C49SZX20230079JL"/>
    <s v="友艺"/>
    <s v="YSM10"/>
    <s v="L-&gt;R"/>
    <s v="MVC"/>
    <s v="WRONG"/>
    <s v="DAP SZ"/>
    <d v="2023-06-30T00:00:00"/>
    <s v="Yes"/>
    <m/>
    <m/>
    <m/>
    <s v="C220743436"/>
  </r>
  <r>
    <n v="1481"/>
    <x v="0"/>
    <x v="0"/>
    <s v="111055改49F104335"/>
    <s v="络鑫#03625(special)"/>
    <x v="1"/>
    <s v="R-&gt;L"/>
    <s v="MVC F&amp;R+ATS15"/>
    <s v="Y63150"/>
    <n v="1"/>
    <s v="力合仓库(已经清关)"/>
    <x v="207"/>
    <n v="4.9700000000000001E-2"/>
    <s v="MAY 23"/>
    <n v="2022.9"/>
    <s v="JPY"/>
    <s v="C49SZX20220082MX"/>
    <s v="宇翔"/>
    <s v="YSM10"/>
    <s v="L-&gt;R"/>
    <s v="MVC+ATS15"/>
    <s v="WRONG"/>
    <s v="DAP DG"/>
    <d v="2021-09-27T00:00:00"/>
    <s v="Yes"/>
    <m/>
    <m/>
    <m/>
    <s v="C221144350"/>
  </r>
  <r>
    <n v="1913"/>
    <x v="0"/>
    <x v="0"/>
    <s v="111055改49F104335"/>
    <s v="络鑫#03625(special)"/>
    <x v="1"/>
    <s v="R-&gt;L"/>
    <s v="MVC F&amp;R"/>
    <s v="Y63151（拆除2个相机，放在力合）"/>
    <n v="1"/>
    <s v="力合仓库(已经清关)"/>
    <x v="207"/>
    <n v="4.9700000000000001E-2"/>
    <s v="JUN 23"/>
    <n v="2022.9"/>
    <s v="RMB"/>
    <s v="C49SZX20230056SX"/>
    <s v="台山新欣"/>
    <s v="YSM10"/>
    <s v="L-&gt;R"/>
    <s v="No"/>
    <s v="WRONG"/>
    <s v="DDP TS"/>
    <d v="2023-04-24T00:00:00"/>
    <s v="Yes"/>
    <m/>
    <m/>
    <m/>
    <s v="C230545868"/>
  </r>
  <r>
    <n v="1918"/>
    <x v="0"/>
    <x v="0"/>
    <s v="111055改49F104335"/>
    <s v="络鑫#03625(special)"/>
    <x v="1"/>
    <s v="R-&gt;L"/>
    <s v="MVC F&amp;R"/>
    <s v="Y63152"/>
    <n v="1"/>
    <s v="力合仓库(已经清关)"/>
    <x v="207"/>
    <n v="4.9700000000000001E-2"/>
    <s v="JUN 23"/>
    <n v="2022.9"/>
    <s v="RMB"/>
    <s v="C49SZX20230065EC"/>
    <s v="聚合信"/>
    <s v="YSM10"/>
    <s v="L-&gt;R"/>
    <s v="MVC"/>
    <s v="WRONG"/>
    <s v="DDP DG"/>
    <d v="2023-05-15T00:00:00"/>
    <s v="Yes"/>
    <m/>
    <m/>
    <m/>
    <s v="C220743320"/>
  </r>
  <r>
    <n v="1999"/>
    <x v="0"/>
    <x v="0"/>
    <s v="111055改49F104335"/>
    <s v="络鑫#03625(special)"/>
    <x v="1"/>
    <s v="R-&gt;L"/>
    <s v="MVC F&amp;R"/>
    <s v="Y63153（拆除2个相机，放在力合）"/>
    <n v="1"/>
    <s v="力合仓库(已经清关)"/>
    <x v="207"/>
    <n v="4.9700000000000001E-2"/>
    <s v="NOV 23"/>
    <n v="2022.9"/>
    <s v="RMB"/>
    <s v="C49SZX20230118SS"/>
    <s v="易通"/>
    <s v="YSM10"/>
    <s v="R-&gt;L"/>
    <s v="No"/>
    <s v="WRONG"/>
    <s v="DDP SZ"/>
    <d v="2023-11-02T00:00:00"/>
    <s v="Yes"/>
    <m/>
    <m/>
    <m/>
    <s v="C211241732"/>
  </r>
  <r>
    <n v="1934"/>
    <x v="0"/>
    <x v="0"/>
    <s v="111056改49F104336"/>
    <s v="东莞铭翔(special)"/>
    <x v="1"/>
    <s v="R-&gt;L"/>
    <s v="MVC F&amp;R"/>
    <s v="Y63154（拆除2个相机，放在力合）"/>
    <n v="1"/>
    <s v="力合仓库(已经清关)"/>
    <x v="207"/>
    <n v="4.9700000000000001E-2"/>
    <s v="AUG 23"/>
    <n v="2022.9"/>
    <s v="RMB"/>
    <s v="C49SZX20230086SS"/>
    <s v="铣米"/>
    <s v="YSM10"/>
    <s v="L-&gt;R"/>
    <s v="MVC"/>
    <s v="WRONG"/>
    <s v="DDP SZ"/>
    <d v="2023-07-11T00:00:00"/>
    <s v="Yes"/>
    <m/>
    <m/>
    <m/>
    <s v="C210640464"/>
  </r>
  <r>
    <n v="1935"/>
    <x v="0"/>
    <x v="0"/>
    <s v="111056改49F104336"/>
    <s v="东莞铭翔(special)"/>
    <x v="1"/>
    <s v="R-&gt;L"/>
    <s v="MVC F&amp;R"/>
    <s v="Y63155（拆除1个相机，放在力合）"/>
    <n v="1"/>
    <s v="力合仓库(已经清关)"/>
    <x v="207"/>
    <n v="4.9700000000000001E-2"/>
    <s v="AUG 23"/>
    <n v="2022.9"/>
    <s v="JPY"/>
    <s v="C49SZX20230078SX"/>
    <s v="威力斯（End user:瑞杰鑫）"/>
    <s v="YSM10"/>
    <s v="L-&gt;R"/>
    <s v="MVC"/>
    <s v="WRONG"/>
    <s v="DAP EP"/>
    <d v="2023-07-11T00:00:00"/>
    <s v="Yes"/>
    <m/>
    <m/>
    <m/>
    <s v="C230746645"/>
  </r>
  <r>
    <n v="1936"/>
    <x v="0"/>
    <x v="0"/>
    <s v="111056改49F104336"/>
    <s v="东莞铭翔(special)"/>
    <x v="1"/>
    <s v="R-&gt;L"/>
    <s v="MVC F&amp;R"/>
    <s v="Y63156（拆除1个相机，放在力合）"/>
    <n v="1"/>
    <s v="力合仓库(已经清关)"/>
    <x v="207"/>
    <n v="4.9700000000000001E-2"/>
    <s v="AUG 23"/>
    <n v="2022.9"/>
    <s v="JPY"/>
    <s v="C49SZX20230078SX"/>
    <s v="威力斯（End user:瑞杰鑫）"/>
    <s v="YSM10"/>
    <s v="R-&gt;L"/>
    <s v="MVC"/>
    <s v="WRONG"/>
    <s v="DAP EP"/>
    <d v="2023-07-11T00:00:00"/>
    <s v="Yes"/>
    <m/>
    <m/>
    <m/>
    <s v="C230746645"/>
  </r>
  <r>
    <n v="1712"/>
    <x v="0"/>
    <x v="1"/>
    <n v="111077"/>
    <s v="鸿通宇名义"/>
    <x v="13"/>
    <s v="L-&gt;R"/>
    <s v="No"/>
    <s v="Y63517"/>
    <n v="1"/>
    <s v="CY仓库"/>
    <x v="208"/>
    <s v="NM"/>
    <s v="NOV 22"/>
    <n v="2022.1"/>
    <s v="JPY"/>
    <s v="C28SZX20220085DZ"/>
    <s v="鸿通宇"/>
    <s v="YSi-V"/>
    <s v="L-&gt;R"/>
    <s v="No"/>
    <s v="OK"/>
    <s v="CIF HK"/>
    <d v="2022-08-03T00:00:00"/>
    <s v="Yes"/>
    <m/>
    <m/>
    <m/>
    <s v="IND"/>
  </r>
  <r>
    <n v="1725"/>
    <x v="0"/>
    <x v="0"/>
    <n v="111096"/>
    <s v="#04235博睿通(special）"/>
    <x v="12"/>
    <s v="R-&gt;L"/>
    <s v="No"/>
    <s v="Y63535"/>
    <n v="1"/>
    <s v="CY仓库"/>
    <x v="208"/>
    <s v="NM"/>
    <s v="NOV 22"/>
    <n v="2022.1"/>
    <s v="JPY"/>
    <s v="159851(R2)-ELE"/>
    <s v="WKK"/>
    <s v="YSM20R-2"/>
    <s v="R-&gt;L"/>
    <s v="No"/>
    <s v="OK"/>
    <s v="CIF HK"/>
    <d v="2022-09-19T00:00:00"/>
    <s v="Yes"/>
    <m/>
    <m/>
    <m/>
    <s v="C200336938"/>
  </r>
  <r>
    <n v="1850"/>
    <x v="0"/>
    <x v="0"/>
    <n v="111096"/>
    <s v="#04235博睿通(special）"/>
    <x v="12"/>
    <s v="R-&gt;L"/>
    <s v="No"/>
    <s v="Y63536"/>
    <n v="1"/>
    <s v="力合仓库(已经清关)"/>
    <x v="208"/>
    <s v="0.0512 PO#111049改49F104342"/>
    <s v="MAR 23"/>
    <n v="2022.1"/>
    <s v="RMB"/>
    <s v="C49SZX20230025DZ"/>
    <s v="兆晖"/>
    <s v="YSM20R-2"/>
    <s v="R-&gt;L"/>
    <s v="No"/>
    <s v="OK"/>
    <s v="DDP SZ"/>
    <d v="2023-02-22T00:00:00"/>
    <s v="Yes"/>
    <m/>
    <m/>
    <m/>
    <s v="C220643122"/>
  </r>
  <r>
    <n v="1906"/>
    <x v="0"/>
    <x v="0"/>
    <n v="111096"/>
    <s v="#04235博睿通(special）"/>
    <x v="12"/>
    <s v="R-&gt;L"/>
    <s v="No"/>
    <s v="Y63537"/>
    <n v="1"/>
    <s v="力合中转仓"/>
    <x v="208"/>
    <s v="NM,Coper rate 0.0530 PO#111131"/>
    <s v="APR 23"/>
    <n v="2022.1"/>
    <s v="JPY"/>
    <s v="C49SZX20230054SQ"/>
    <s v="格第"/>
    <s v="YSM20R-2"/>
    <s v="R-&gt;L"/>
    <s v="No"/>
    <s v="OK"/>
    <s v="DAP SZ"/>
    <d v="2023-04-21T00:00:00"/>
    <s v="Yes"/>
    <m/>
    <m/>
    <m/>
    <s v="C230445790"/>
  </r>
  <r>
    <n v="1864"/>
    <x v="0"/>
    <x v="0"/>
    <n v="111096"/>
    <s v="#04235博睿通(special）"/>
    <x v="12"/>
    <s v="R-&gt;L"/>
    <s v="No"/>
    <s v="Y63534"/>
    <n v="1"/>
    <s v="前海仓库-&gt;准备清关"/>
    <x v="208"/>
    <s v="NM coper rate 0.0501"/>
    <s v="MAR 23"/>
    <n v="2022.1"/>
    <s v="RMB"/>
    <s v="C49SZX20230035SX"/>
    <s v="博祯"/>
    <s v="YSM20R-2"/>
    <s v="R-&gt;L"/>
    <s v="No"/>
    <s v="OK"/>
    <s v="DDP SZ"/>
    <d v="2023-03-01T00:00:00"/>
    <s v="Yes"/>
    <m/>
    <m/>
    <m/>
    <s v="C230345148 "/>
  </r>
  <r>
    <n v="1816"/>
    <x v="0"/>
    <x v="0"/>
    <n v="111096"/>
    <s v="#04235博睿通(special）"/>
    <x v="12"/>
    <s v="L-&gt;R"/>
    <s v="No"/>
    <s v="Y63531"/>
    <n v="1"/>
    <s v="前海仓库-&gt;准备清关"/>
    <x v="208"/>
    <s v="0.0485 PO#111020"/>
    <s v="MAR 23"/>
    <n v="2022.1"/>
    <s v="RMB"/>
    <s v="C49SZX20230005SQ"/>
    <s v="德润通"/>
    <s v="YSM20R-2"/>
    <s v="L-&gt;R"/>
    <s v="No"/>
    <s v="OK"/>
    <s v="DDP ZH"/>
    <d v="2023-01-11T00:00:00"/>
    <s v="Yes"/>
    <m/>
    <m/>
    <m/>
    <s v="C230244984"/>
  </r>
  <r>
    <n v="1895"/>
    <x v="0"/>
    <x v="0"/>
    <n v="111096"/>
    <s v="#04235博睿通(special）"/>
    <x v="12"/>
    <s v="L-&gt;R"/>
    <s v="No"/>
    <s v="Y63532"/>
    <n v="1"/>
    <s v="前海保税区"/>
    <x v="208"/>
    <s v="NM coper rate 0.0501"/>
    <s v="MAR 23"/>
    <n v="2022.1"/>
    <s v="RMB"/>
    <s v="C49SZX20230047R1SS"/>
    <s v="阿姆斯特"/>
    <s v="YSM20R-2"/>
    <s v="L-&gt;R"/>
    <s v="No"/>
    <s v="OK"/>
    <s v="DDP DG"/>
    <d v="2023-03-22T00:00:00"/>
    <s v="Yes"/>
    <m/>
    <m/>
    <m/>
    <s v="C220543035"/>
  </r>
  <r>
    <n v="1896"/>
    <x v="0"/>
    <x v="0"/>
    <n v="111096"/>
    <s v="#04235博睿通(special）"/>
    <x v="12"/>
    <s v="L-&gt;R"/>
    <s v="No"/>
    <s v="Y63533"/>
    <n v="1"/>
    <s v="前海仓库-&gt;准备清关"/>
    <x v="208"/>
    <s v="NM, Coper rate 0.0530 PO#111134"/>
    <s v="APR 23"/>
    <n v="2022.1"/>
    <s v="RMB"/>
    <s v="YJY-2023040701"/>
    <s v="清水湾（End use:呈承）"/>
    <s v="YSM20R-2"/>
    <s v="L-&gt;R"/>
    <s v="No"/>
    <s v="OK"/>
    <s v="DDP ZS"/>
    <d v="2023-04-03T00:00:00"/>
    <s v="Yes"/>
    <m/>
    <m/>
    <m/>
    <s v="C221144409"/>
  </r>
  <r>
    <n v="1714"/>
    <x v="0"/>
    <x v="0"/>
    <n v="111097"/>
    <s v="宝捷时计（special WKK-IND)"/>
    <x v="12"/>
    <s v="L-&gt;R"/>
    <s v="No"/>
    <s v="Y63526"/>
    <n v="1"/>
    <s v="码头"/>
    <x v="209"/>
    <s v="NM"/>
    <s v="NOV 22"/>
    <n v="2022.1"/>
    <s v="JPY"/>
    <s v="C49SZX20220086VG/ESE220803STOCK-OS"/>
    <s v="WKK(end user:熵基）"/>
    <s v="YSM20R-2"/>
    <s v="L-&gt;R"/>
    <s v="No"/>
    <s v="OK"/>
    <s v="CIF HK"/>
    <d v="2022-08-03T00:00:00"/>
    <s v="Yes"/>
    <m/>
    <m/>
    <m/>
    <s v="C221044011"/>
  </r>
  <r>
    <n v="1713"/>
    <x v="0"/>
    <x v="0"/>
    <n v="111097"/>
    <s v="宝捷时计（special WKK-IND)"/>
    <x v="12"/>
    <s v="L-&gt;R"/>
    <s v="cATS30+MVC+Feeder Carriage"/>
    <s v="Y63527"/>
    <n v="1"/>
    <s v="码头"/>
    <x v="209"/>
    <s v="NM"/>
    <s v="NOV 22"/>
    <n v="2022.1"/>
    <s v="JPY"/>
    <s v="C49SZX20220086VG/ESE220803STOCK-OS"/>
    <s v="WKK(end user:熵基）"/>
    <s v="YSM20R-2"/>
    <s v="L-&gt;R"/>
    <s v="cATS30+MVC+Feeder Carriage"/>
    <s v="OK"/>
    <s v="CIF HK"/>
    <d v="2022-08-03T00:00:00"/>
    <s v="Yes"/>
    <m/>
    <m/>
    <m/>
    <s v="C221044011"/>
  </r>
  <r>
    <n v="2020"/>
    <x v="0"/>
    <x v="0"/>
    <n v="111095"/>
    <s v=" #18542斯迈(Special）"/>
    <x v="1"/>
    <s v="R-&gt;L"/>
    <s v="MVC F&amp;R"/>
    <s v="Y63521"/>
    <n v="1"/>
    <s v="前海（完税）仓"/>
    <x v="208"/>
    <s v="NM"/>
    <s v="NOV 23"/>
    <n v="2022.1"/>
    <s v="JPY"/>
    <s v="C49SZX20230125JY"/>
    <s v="百施达（end user:海纳科）"/>
    <s v="YSM10"/>
    <s v="L-&gt;R"/>
    <s v="MVC"/>
    <s v="WRONG"/>
    <s v="DAP SZ"/>
    <d v="2023-11-16T00:00:00"/>
    <s v="Yes"/>
    <m/>
    <m/>
    <m/>
    <s v="C220342318"/>
  </r>
  <r>
    <n v="2021"/>
    <x v="0"/>
    <x v="0"/>
    <n v="111095"/>
    <s v=" #18542斯迈(Special）"/>
    <x v="1"/>
    <s v="R-&gt;L"/>
    <s v="MVC F&amp;R"/>
    <s v="Y63522"/>
    <n v="1"/>
    <s v="前海仓库-&gt;准备清关"/>
    <x v="208"/>
    <s v="NM"/>
    <s v="NOV 23"/>
    <n v="2022.1"/>
    <s v="JPY"/>
    <s v="C49SZX20230125JY"/>
    <s v="百施达（end user:海纳科）"/>
    <s v="YSM10"/>
    <s v="L-&gt;R"/>
    <s v="MVC"/>
    <s v="WRONG"/>
    <s v="DAP SZ"/>
    <d v="2023-11-16T00:00:00"/>
    <s v="Yes"/>
    <m/>
    <m/>
    <m/>
    <s v="C220342318"/>
  </r>
  <r>
    <n v="1946"/>
    <x v="0"/>
    <x v="0"/>
    <n v="111095"/>
    <s v=" #18542斯迈(Special）"/>
    <x v="1"/>
    <s v="R-&gt;L"/>
    <s v="MVC F&amp;R"/>
    <s v="Y63523"/>
    <n v="1"/>
    <s v="前海（完税）仓"/>
    <x v="208"/>
    <s v="NM"/>
    <s v="SEP 23"/>
    <n v="2022.1"/>
    <s v="RMB"/>
    <s v="C49SZX20230093SX"/>
    <s v="益田科技(End uer:泓裕）"/>
    <s v="YSM10"/>
    <s v="L-&gt;R"/>
    <s v="No"/>
    <s v="WRONG"/>
    <s v="DDP SZ"/>
    <d v="2023-07-20T00:00:00"/>
    <s v="Yes"/>
    <m/>
    <m/>
    <m/>
    <s v="C230846961"/>
  </r>
  <r>
    <n v="1947"/>
    <x v="0"/>
    <x v="0"/>
    <n v="111095"/>
    <s v=" #18542斯迈(Special）"/>
    <x v="1"/>
    <s v="R-&gt;L"/>
    <s v="MVC F&amp;R"/>
    <s v="Y63524"/>
    <n v="1"/>
    <s v="前海（完税）仓"/>
    <x v="208"/>
    <s v="NM"/>
    <s v="SEP 23"/>
    <n v="2022.1"/>
    <s v="RMB"/>
    <s v="C49SZX20230093SX"/>
    <s v="益田科技(End uer:泓裕）"/>
    <s v="YSM10"/>
    <s v="R-&gt;L"/>
    <s v="No"/>
    <s v="WRONG"/>
    <s v="DDP SZ"/>
    <d v="2023-07-20T00:00:00"/>
    <s v="Yes"/>
    <m/>
    <m/>
    <m/>
    <s v="C230846961"/>
  </r>
  <r>
    <n v="1939"/>
    <x v="0"/>
    <x v="0"/>
    <n v="111095"/>
    <s v=" #18542斯迈(Special）"/>
    <x v="1"/>
    <s v="R-&gt;L"/>
    <s v="MVC F&amp;R"/>
    <s v="Y63525（拆除1个相机，放在力合）"/>
    <n v="1"/>
    <s v="力合仓库(已经清关)"/>
    <x v="208"/>
    <s v="0.0527,RMB清关,PO110932"/>
    <s v="NOV 23"/>
    <n v="2022.1"/>
    <s v="RMB"/>
    <s v="C49SZX20230091SX"/>
    <s v="万赢丰"/>
    <s v="YSM10"/>
    <s v="R-&gt;L"/>
    <s v="MVC"/>
    <s v="WRONG"/>
    <s v="DDP SZ"/>
    <d v="2023-07-18T00:00:00"/>
    <s v="Yes"/>
    <m/>
    <m/>
    <m/>
    <s v="C230846815"/>
  </r>
  <r>
    <n v="1716"/>
    <x v="0"/>
    <x v="1"/>
    <s v="28L104351"/>
    <s v="上海下单STK"/>
    <x v="13"/>
    <s v="L-&gt;R"/>
    <s v="No"/>
    <s v="Y63515"/>
    <n v="1"/>
    <m/>
    <x v="210"/>
    <m/>
    <s v="OCT 22"/>
    <m/>
    <s v="RMB"/>
    <s v="C49SZX20220088SX"/>
    <s v="安林"/>
    <s v="YSi-V"/>
    <s v="L-&gt;R"/>
    <s v="No"/>
    <s v="OK"/>
    <s v="DDP SZ"/>
    <d v="2022-08-10T00:00:00"/>
    <s v="Yes"/>
    <m/>
    <m/>
    <m/>
    <s v="C200537294"/>
  </r>
  <r>
    <m/>
    <x v="0"/>
    <x v="1"/>
    <s v="28L104351"/>
    <s v="上海下单STK"/>
    <x v="13"/>
    <s v="L-&gt;R"/>
    <s v="No"/>
    <s v="Y63516"/>
    <n v="1"/>
    <m/>
    <x v="210"/>
    <m/>
    <m/>
    <m/>
    <s v="RMB"/>
    <s v="留给上海做STK，有客户要"/>
    <s v="留给上海做STK，有客户要"/>
    <s v="YSi-V"/>
    <s v="L-R"/>
    <s v="No"/>
    <s v="OK"/>
    <e v="#N/A"/>
    <e v="#N/A"/>
    <e v="#N/A"/>
    <m/>
    <m/>
    <m/>
    <s v="上海STK"/>
  </r>
  <r>
    <n v="1767"/>
    <x v="0"/>
    <x v="0"/>
    <s v="49F104436"/>
    <s v="龙大名义下单"/>
    <x v="0"/>
    <s v="L-&gt;R"/>
    <s v="No"/>
    <s v="Y58301"/>
    <n v="1"/>
    <s v="Yamaha 深圳仓库"/>
    <x v="211"/>
    <s v="RMB 单"/>
    <s v="DEC 22"/>
    <n v="2021.8"/>
    <s v="RMB"/>
    <s v="C49SZX20220110SS"/>
    <s v="龙大光电"/>
    <s v="YSM40R-4"/>
    <s v="L-&gt;R"/>
    <s v="No"/>
    <s v="OK"/>
    <s v="DDP SZ"/>
    <d v="2022-12-06T00:00:00"/>
    <s v="Yes"/>
    <m/>
    <m/>
    <m/>
    <s v="IND"/>
  </r>
  <r>
    <n v="1768"/>
    <x v="0"/>
    <x v="0"/>
    <s v="49F104436"/>
    <s v="龙大名义下单"/>
    <x v="0"/>
    <s v="L-&gt;R"/>
    <s v="No"/>
    <s v="Y58699"/>
    <n v="1"/>
    <s v="Yamaha 深圳仓库"/>
    <x v="211"/>
    <s v="RMB 单"/>
    <s v="DEC 22"/>
    <m/>
    <s v="RMB"/>
    <s v="C49SZX20220110SS"/>
    <s v="龙大光电"/>
    <s v="YSM40R-4"/>
    <s v="L-&gt;R"/>
    <s v="No"/>
    <s v="OK"/>
    <s v="DDP SZ"/>
    <d v="2022-12-06T00:00:00"/>
    <s v="Yes"/>
    <m/>
    <m/>
    <m/>
    <s v="IND"/>
  </r>
  <r>
    <n v="1769"/>
    <x v="0"/>
    <x v="0"/>
    <s v="49F104436"/>
    <s v="龙大名义下单"/>
    <x v="0"/>
    <s v="L-&gt;R"/>
    <s v="No"/>
    <s v="Y58700"/>
    <n v="1"/>
    <s v="Yamaha 深圳仓库"/>
    <x v="211"/>
    <s v="RMB 单"/>
    <s v="DEC 22"/>
    <m/>
    <s v="RMB"/>
    <s v="C49SZX20220110SS"/>
    <s v="龙大光电"/>
    <s v="YSM40R-4"/>
    <s v="L-&gt;R"/>
    <s v="No"/>
    <s v="OK"/>
    <s v="DDP SZ"/>
    <d v="2022-12-06T00:00:00"/>
    <s v="Yes"/>
    <m/>
    <m/>
    <m/>
    <s v="IND"/>
  </r>
  <r>
    <n v="1841"/>
    <x v="0"/>
    <x v="0"/>
    <n v="111131"/>
    <s v="创荣发(Special）"/>
    <x v="1"/>
    <s v="R-&gt;L"/>
    <s v="MVC"/>
    <s v="Y64062"/>
    <n v="1"/>
    <s v="前海保税区"/>
    <x v="212"/>
    <m/>
    <s v="MAR 23"/>
    <n v="2023.1"/>
    <s v="USD"/>
    <s v="SUESE#001/23"/>
    <s v="SUPERIOR丰卓"/>
    <s v="YSM10"/>
    <s v="L-&gt;R"/>
    <s v="No"/>
    <s v="WRONG"/>
    <s v="CIF Vietnam"/>
    <d v="2023-02-21T00:00:00"/>
    <s v="Yes"/>
    <m/>
    <m/>
    <m/>
    <s v="C230345258"/>
  </r>
  <r>
    <n v="2003"/>
    <x v="0"/>
    <x v="0"/>
    <n v="111131"/>
    <s v="创荣发(Special）"/>
    <x v="1"/>
    <s v="R-&gt;L"/>
    <s v="MVC"/>
    <s v="Y64064"/>
    <n v="1"/>
    <s v="前海（完税）仓"/>
    <x v="212"/>
    <s v="NM,Coper rate 0.0530 "/>
    <s v="NOV 23"/>
    <n v="2023.1"/>
    <s v="JPY"/>
    <s v="C49SZX20230120SX"/>
    <s v="锐诚"/>
    <s v="YSM10"/>
    <s v="L-&gt;R"/>
    <s v="MVC"/>
    <s v="WRONG"/>
    <s v="DAP HZ"/>
    <d v="2023-11-06T00:00:00"/>
    <s v="Yes"/>
    <m/>
    <m/>
    <m/>
    <s v="C180231291"/>
  </r>
  <r>
    <n v="1919"/>
    <x v="0"/>
    <x v="0"/>
    <n v="111131"/>
    <s v="创荣发(Special）"/>
    <x v="1"/>
    <s v="R-&gt;L"/>
    <s v="MVC+ATS15"/>
    <s v="Y64061"/>
    <n v="1"/>
    <s v="力合仓库(已经清关)"/>
    <x v="212"/>
    <n v="5.2999999999999999E-2"/>
    <s v="JUN 23"/>
    <n v="2023.1"/>
    <s v="RMB"/>
    <s v="C49SZX20230066JL/HJD23050525"/>
    <s v="皓吉达"/>
    <s v="YSM10"/>
    <s v="L-&gt;R"/>
    <s v="ATS15"/>
    <s v="WRONG"/>
    <s v="DDP HY"/>
    <d v="2023-05-17T00:00:00"/>
    <s v="Yes"/>
    <m/>
    <m/>
    <m/>
    <s v="C230545954"/>
  </r>
  <r>
    <n v="1840"/>
    <x v="0"/>
    <x v="0"/>
    <n v="111131"/>
    <s v="创荣发(Special）"/>
    <x v="1"/>
    <s v="R-&gt;L"/>
    <s v="MVC+ATS15"/>
    <s v="Y64063"/>
    <n v="1"/>
    <s v="前海保税区"/>
    <x v="212"/>
    <m/>
    <s v="MAR 23"/>
    <n v="2023.1"/>
    <s v="USD"/>
    <s v="SUESE#001/23"/>
    <s v="SUPERIOR丰卓"/>
    <s v="YSM10"/>
    <s v="L-&gt;R"/>
    <s v="MVC+ATS15"/>
    <s v="WRONG"/>
    <s v="CIF Vietnam"/>
    <d v="2023-02-21T00:00:00"/>
    <s v="Yes"/>
    <m/>
    <m/>
    <m/>
    <s v="C230345258"/>
  </r>
  <r>
    <n v="1865"/>
    <x v="0"/>
    <x v="0"/>
    <n v="111131"/>
    <s v="创荣发(Special）"/>
    <x v="1"/>
    <s v="R-&gt;L"/>
    <s v="MVC+ATS15"/>
    <s v="Y64065"/>
    <n v="1"/>
    <s v="力合仓库(已经清关)"/>
    <x v="212"/>
    <n v="5.2999999999999999E-2"/>
    <s v="AUG 23"/>
    <n v="2023.1"/>
    <s v="RMB"/>
    <s v="C49SZX20230035SX"/>
    <s v="博祯"/>
    <s v="YSM10"/>
    <s v="R-&gt;L"/>
    <s v="MVC+ATS15"/>
    <s v="OK"/>
    <s v="DDP SZ"/>
    <d v="2023-03-01T00:00:00"/>
    <s v="Yes"/>
    <m/>
    <m/>
    <m/>
    <s v="C230345148 "/>
  </r>
  <r>
    <n v="1863"/>
    <x v="0"/>
    <x v="0"/>
    <n v="111131"/>
    <s v="创荣发(Special）"/>
    <x v="12"/>
    <s v="R-&gt;L"/>
    <s v="No"/>
    <s v="Y64012"/>
    <n v="1"/>
    <s v="前海（完税）仓"/>
    <x v="212"/>
    <s v="NM coper rate 0.0501,PO#111096"/>
    <s v="AUG 23"/>
    <n v="2022.12"/>
    <s v="RMB"/>
    <s v="C49SZX20230035SX"/>
    <s v="博祯"/>
    <s v="YSM20R-2"/>
    <s v="R-&gt;L"/>
    <s v="No"/>
    <s v="OK"/>
    <s v="DDP SZ"/>
    <d v="2023-03-01T00:00:00"/>
    <s v="Yes"/>
    <m/>
    <m/>
    <m/>
    <s v="C230345148 "/>
  </r>
  <r>
    <n v="1532"/>
    <x v="0"/>
    <x v="0"/>
    <n v="111131"/>
    <s v="创荣发(Special）"/>
    <x v="12"/>
    <s v="R-&gt;L"/>
    <s v="No"/>
    <s v="Y64013"/>
    <n v="1"/>
    <s v="前海保税区"/>
    <x v="212"/>
    <s v="NM,Coper rate 0.0530 "/>
    <s v="JUL 23"/>
    <n v="2022.12"/>
    <s v="JPY"/>
    <s v="C49SZX20230088MZ"/>
    <s v="东莞鸿楠"/>
    <s v="YSM20R-2"/>
    <s v="R-&gt;L"/>
    <s v="No"/>
    <s v="OK"/>
    <s v="CIF  HK"/>
    <d v="2023-07-20T00:00:00"/>
    <s v="Yes"/>
    <m/>
    <m/>
    <m/>
    <s v="C220242115"/>
  </r>
  <r>
    <n v="1658"/>
    <x v="0"/>
    <x v="0"/>
    <n v="111131"/>
    <s v="创荣发(Special）"/>
    <x v="12"/>
    <s v="R-&gt;L"/>
    <s v="No"/>
    <s v="Y63997"/>
    <n v="1"/>
    <s v="力合仓库(已经清关)"/>
    <x v="212"/>
    <s v="NM,Coper rate 0.0530 "/>
    <s v="AUG 23"/>
    <n v="2022.12"/>
    <s v="RMB"/>
    <s v="SNFPC-CG-2022-008"/>
    <s v="康佳"/>
    <s v="YSM20R-2"/>
    <s v="R-&gt;L"/>
    <s v="No"/>
    <s v="OK"/>
    <s v="DDP SN"/>
    <d v="2022-04-27T00:00:00"/>
    <s v="Yes"/>
    <m/>
    <m/>
    <m/>
    <s v="C220542822"/>
  </r>
  <r>
    <n v="1533"/>
    <x v="0"/>
    <x v="0"/>
    <n v="111131"/>
    <s v="创荣发(Special）"/>
    <x v="12"/>
    <s v="R-&gt;L"/>
    <s v="No"/>
    <s v="Y64079"/>
    <n v="1"/>
    <s v="前海保税区"/>
    <x v="212"/>
    <s v="NM,Coper rate 0.0530 "/>
    <s v="JUL 23"/>
    <n v="2022.12"/>
    <s v="JPY"/>
    <s v="C49SZX20230088MZ"/>
    <s v="东莞鸿楠"/>
    <s v="YSM20R-2"/>
    <s v="R-&gt;L"/>
    <s v="No"/>
    <s v="OK"/>
    <s v="CIF  HK"/>
    <d v="2023-07-20T00:00:00"/>
    <s v="Yes"/>
    <m/>
    <m/>
    <m/>
    <s v="C220242115"/>
  </r>
  <r>
    <n v="1951"/>
    <x v="0"/>
    <x v="0"/>
    <n v="111131"/>
    <s v="创荣发(Special）"/>
    <x v="12"/>
    <s v="R-&gt;L"/>
    <s v="No"/>
    <s v="Y64010"/>
    <n v="1"/>
    <s v="前海保税区"/>
    <x v="212"/>
    <s v="NM,Coper rate 0.0530 "/>
    <s v="SEP 23"/>
    <n v="2022.12"/>
    <s v="RMB"/>
    <s v="C49SZX20230093SX"/>
    <s v="益田科技(End uer:泓裕）"/>
    <s v="YSM20R-2"/>
    <s v="R-&gt;L"/>
    <s v="No"/>
    <s v="OK"/>
    <s v="DDP SZ"/>
    <d v="2023-07-20T00:00:00"/>
    <s v="Yes"/>
    <m/>
    <m/>
    <m/>
    <s v="C230846961"/>
  </r>
  <r>
    <n v="1933"/>
    <x v="0"/>
    <x v="0"/>
    <n v="111132"/>
    <s v="倍斯特"/>
    <x v="12"/>
    <s v="L-&gt;R"/>
    <s v="No"/>
    <s v="Y64060"/>
    <n v="1"/>
    <s v="力合仓库(已经清关)"/>
    <x v="212"/>
    <s v="NM,Coper rate 0.0530 "/>
    <s v="AUG 23"/>
    <n v="2023.1"/>
    <s v="RMB"/>
    <s v="C49SZX20230083LC"/>
    <s v="兴原星"/>
    <s v="YSM20R-2"/>
    <s v="L-&gt;R"/>
    <s v="No"/>
    <s v="OK"/>
    <s v="DDP GZ"/>
    <d v="2023-07-10T00:00:00"/>
    <s v="Yes"/>
    <m/>
    <m/>
    <m/>
    <s v="C230746574 "/>
  </r>
  <r>
    <n v="1956"/>
    <x v="0"/>
    <x v="0"/>
    <n v="111132"/>
    <s v="倍斯特(Special）"/>
    <x v="1"/>
    <s v="R-&gt;L"/>
    <s v="MVC"/>
    <s v="Y64058"/>
    <n v="1"/>
    <s v="前海保税区"/>
    <x v="212"/>
    <s v="NM,Coper rate 0.0530 "/>
    <s v="SEP 23"/>
    <n v="2023.1"/>
    <s v="RMB"/>
    <s v="GD-20230250"/>
    <s v="泰永"/>
    <s v="YSM10"/>
    <s v="R-&gt;L"/>
    <s v="No"/>
    <s v="WRONG"/>
    <s v="DDP ZH"/>
    <d v="2023-07-21T00:00:00"/>
    <s v="Yes"/>
    <m/>
    <m/>
    <m/>
    <s v="C230847021"/>
  </r>
  <r>
    <n v="1955"/>
    <x v="0"/>
    <x v="0"/>
    <n v="111132"/>
    <s v="倍斯特(Special）"/>
    <x v="1"/>
    <s v="R-&gt;L"/>
    <s v="MVC"/>
    <s v="Y64059"/>
    <n v="1"/>
    <s v="前海保税区"/>
    <x v="212"/>
    <s v="NM,Coper rate 0.0530 "/>
    <s v="SEP 23"/>
    <n v="2023.1"/>
    <s v="RMB"/>
    <s v="GD-20230250"/>
    <s v="泰永"/>
    <s v="YSM10"/>
    <s v="R-&gt;L"/>
    <s v="MVC"/>
    <s v="OK"/>
    <s v="DDP ZH"/>
    <d v="2023-07-21T00:00:00"/>
    <s v="Yes"/>
    <m/>
    <m/>
    <m/>
    <s v="C230847021"/>
  </r>
  <r>
    <n v="1952"/>
    <x v="0"/>
    <x v="0"/>
    <n v="111133"/>
    <s v="新明海"/>
    <x v="12"/>
    <s v="R-&gt;L"/>
    <s v="No"/>
    <s v="Y64011"/>
    <n v="1"/>
    <s v="前海保税区"/>
    <x v="212"/>
    <s v="NM,Coper rate 0.0530 "/>
    <s v="SEP 23"/>
    <n v="2022.12"/>
    <s v="RMB"/>
    <s v="C49SZX20230093SX"/>
    <s v="益田科技(End uer:泓裕）"/>
    <s v="YSM20R-2"/>
    <s v="R-&gt;L"/>
    <s v="No"/>
    <s v="OK"/>
    <s v="DDP SZ"/>
    <d v="2023-07-20T00:00:00"/>
    <s v="Yes"/>
    <m/>
    <m/>
    <m/>
    <s v="C230846961"/>
  </r>
  <r>
    <n v="1921"/>
    <x v="0"/>
    <x v="0"/>
    <n v="111133"/>
    <s v="新明海"/>
    <x v="12"/>
    <s v="R-&gt;L"/>
    <s v="No"/>
    <s v="Y64053"/>
    <n v="1"/>
    <s v="力合仓库(已经清关)"/>
    <x v="212"/>
    <s v="NM,Coper rate 0.0530 "/>
    <s v="AUG 23"/>
    <n v="2023.1"/>
    <s v="RMB"/>
    <s v="HX20230601A"/>
    <s v="恒鑫（End user:开普）"/>
    <s v="YSM20R-2"/>
    <s v="R-&gt;L"/>
    <s v="No"/>
    <s v="OK"/>
    <s v="DDP ZS"/>
    <d v="2023-06-02T00:00:00"/>
    <s v="Yes"/>
    <m/>
    <m/>
    <m/>
    <s v="C230646271"/>
  </r>
  <r>
    <n v="1953"/>
    <x v="0"/>
    <x v="0"/>
    <n v="111133"/>
    <s v="新明海"/>
    <x v="12"/>
    <s v="R-&gt;L"/>
    <s v="No"/>
    <s v="Y64054"/>
    <n v="1"/>
    <s v="前海保税区"/>
    <x v="212"/>
    <s v="NM,Coper rate 0.0530 "/>
    <s v="SEP 23"/>
    <n v="2023.1"/>
    <s v="RMB"/>
    <s v="C49SZX20230093SX"/>
    <s v="益田科技(End uer:泓裕）"/>
    <s v="YSM20R-2"/>
    <s v="R-&gt;L"/>
    <s v="No"/>
    <s v="OK"/>
    <s v="DDP SZ"/>
    <d v="2023-07-20T00:00:00"/>
    <s v="Yes"/>
    <m/>
    <m/>
    <m/>
    <s v="C230846961"/>
  </r>
  <r>
    <n v="1938"/>
    <x v="0"/>
    <x v="0"/>
    <n v="111133"/>
    <s v="新明海"/>
    <x v="12"/>
    <s v="R-&gt;L"/>
    <s v="No"/>
    <s v="Y64055"/>
    <n v="1"/>
    <s v="力合仓库(已经清关)"/>
    <x v="212"/>
    <s v="NM,Coper rate 0.0530 "/>
    <s v="NOV 23"/>
    <n v="2023.1"/>
    <s v="RMB"/>
    <s v="C49SZX20230091SX"/>
    <s v="万赢丰"/>
    <s v="YSM20R-2"/>
    <s v="R-&gt;L"/>
    <s v="No"/>
    <s v="OK"/>
    <s v="DDP SZ"/>
    <d v="2023-07-18T00:00:00"/>
    <s v="Yes"/>
    <m/>
    <m/>
    <m/>
    <s v="C230846815"/>
  </r>
  <r>
    <n v="1908"/>
    <x v="0"/>
    <x v="0"/>
    <n v="111133"/>
    <s v="新明海"/>
    <x v="12"/>
    <s v="L-&gt;R"/>
    <s v="No"/>
    <s v="Y64056"/>
    <n v="1"/>
    <s v="前海保税区"/>
    <x v="212"/>
    <s v="NM,Coper rate 0.0530 "/>
    <s v="JUN 23"/>
    <n v="2023.1"/>
    <s v="JPY"/>
    <s v="C49SZX20230055SX"/>
    <s v="鑫亿特"/>
    <s v="YSM20R-2"/>
    <s v="L-&gt;R"/>
    <s v="No"/>
    <s v="OK"/>
    <s v="DAP SZ"/>
    <d v="2023-04-22T00:00:00"/>
    <s v="Yes"/>
    <m/>
    <m/>
    <m/>
    <s v="C201238798"/>
  </r>
  <r>
    <n v="1910"/>
    <x v="0"/>
    <x v="0"/>
    <n v="111134"/>
    <s v="锐诚电子"/>
    <x v="12"/>
    <s v="L-&gt;R"/>
    <s v="No"/>
    <s v="Y63986"/>
    <n v="1"/>
    <s v="前海保税区"/>
    <x v="212"/>
    <s v="NM,Coper rate 0.0501 PO#111096"/>
    <s v="MAY 23"/>
    <n v="2022.12"/>
    <s v="RMB"/>
    <s v="C49SZX20230053MZ"/>
    <s v="佳润"/>
    <s v="YSM20R-2"/>
    <s v="L-&gt;R"/>
    <s v="No"/>
    <s v="OK"/>
    <s v="DDP HZ"/>
    <d v="2023-04-21T00:00:00"/>
    <s v="Yes"/>
    <m/>
    <m/>
    <m/>
    <s v="C230445645"/>
  </r>
  <r>
    <n v="1480"/>
    <x v="0"/>
    <x v="0"/>
    <n v="111134"/>
    <s v="锐诚电子"/>
    <x v="12"/>
    <s v="L-&gt;R"/>
    <s v="No"/>
    <s v="Y63987"/>
    <n v="1"/>
    <s v="前海保税区"/>
    <x v="212"/>
    <s v="NM,Coper rate 0.0530 PO#111134"/>
    <s v="MAY 23"/>
    <n v="2022.12"/>
    <s v="JPY"/>
    <s v="C49SZX20220082MX"/>
    <s v="宇翔"/>
    <s v="YSM20R-2"/>
    <s v="L-&gt;R"/>
    <s v="No"/>
    <s v="OK"/>
    <s v="DAP DG"/>
    <d v="2021-09-27T00:00:00"/>
    <s v="Yes"/>
    <m/>
    <m/>
    <m/>
    <s v="C221144350"/>
  </r>
  <r>
    <n v="1897"/>
    <x v="0"/>
    <x v="0"/>
    <n v="111134"/>
    <s v="锐诚电子"/>
    <x v="12"/>
    <s v="L-&gt;R"/>
    <s v="No"/>
    <s v="Y64080"/>
    <n v="1"/>
    <s v="前海仓库-&gt;准备清关"/>
    <x v="212"/>
    <s v="NM,Coper rate 0.0530 "/>
    <s v="APR 23"/>
    <n v="2022.12"/>
    <s v="RMB"/>
    <s v="YJY-2023040701"/>
    <s v="清水湾（End use:呈承）"/>
    <s v="YSM20R-2"/>
    <s v="L-&gt;R"/>
    <s v="No"/>
    <s v="OK"/>
    <s v="DDP ZS"/>
    <d v="2023-04-03T00:00:00"/>
    <s v="Yes"/>
    <m/>
    <m/>
    <m/>
    <s v="C221144409"/>
  </r>
  <r>
    <n v="1916"/>
    <x v="0"/>
    <x v="0"/>
    <n v="111134"/>
    <s v="锐诚电子"/>
    <x v="12"/>
    <s v="L-&gt;R"/>
    <s v="No"/>
    <s v="Y64002"/>
    <n v="1"/>
    <s v="前海保税区"/>
    <x v="212"/>
    <s v="NM,Coper rate 0.0530 "/>
    <s v="MAY 23"/>
    <n v="2022.12"/>
    <s v="HKD"/>
    <s v="C49SZX20230063TS"/>
    <s v="TBS"/>
    <s v="YSM20R-2"/>
    <s v="L-&gt;R"/>
    <s v="No"/>
    <s v="OK"/>
    <s v="CIF HK"/>
    <d v="2023-05-02T00:00:00"/>
    <s v="Yes"/>
    <m/>
    <m/>
    <m/>
    <s v="C230545984"/>
  </r>
  <r>
    <n v="1893"/>
    <x v="0"/>
    <x v="0"/>
    <n v="111134"/>
    <s v="锐诚电子"/>
    <x v="12"/>
    <s v="L-&gt;R"/>
    <s v="No"/>
    <s v="Y64003"/>
    <n v="1"/>
    <s v="前海保税区"/>
    <x v="212"/>
    <s v="NM,Coper rate 0.0530 "/>
    <s v="APR 23"/>
    <n v="2022.12"/>
    <s v="RMB"/>
    <s v="C49SZX20230046DM"/>
    <s v="菲帆"/>
    <s v="YSM20R-2"/>
    <s v="L-&gt;R"/>
    <s v="No"/>
    <s v="OK"/>
    <s v="DDP HZ"/>
    <d v="2023-03-17T00:00:00"/>
    <s v="Yes"/>
    <m/>
    <m/>
    <m/>
    <s v="C230345373"/>
  </r>
  <r>
    <n v="1787"/>
    <x v="0"/>
    <x v="0"/>
    <n v="111202"/>
    <s v="海红天远"/>
    <x v="11"/>
    <s v="R-&gt;L"/>
    <s v="No"/>
    <s v="Y64550"/>
    <n v="1"/>
    <s v="码头"/>
    <x v="213"/>
    <m/>
    <s v="MAR 23"/>
    <n v="2023.3"/>
    <s v="JPY"/>
    <s v="C49SZX20220128EC"/>
    <s v="海红天远"/>
    <s v="YSM20WR-2"/>
    <s v="R-&gt;L"/>
    <s v="No"/>
    <s v="OK"/>
    <s v="CIF HK"/>
    <d v="2022-12-19T00:00:00"/>
    <s v="Yes"/>
    <m/>
    <m/>
    <m/>
    <s v="IND"/>
  </r>
  <r>
    <n v="1788"/>
    <x v="0"/>
    <x v="0"/>
    <n v="111202"/>
    <s v="海红天远"/>
    <x v="11"/>
    <s v="R-&gt;L"/>
    <s v="MVC"/>
    <s v="Y64551"/>
    <n v="1"/>
    <s v="码头"/>
    <x v="213"/>
    <m/>
    <s v="MAR 23"/>
    <n v="2023.3"/>
    <s v="JPY"/>
    <s v="C49SZX20220128EC"/>
    <s v="海红天远"/>
    <s v="YSM20WR-2"/>
    <s v="R-&gt;L"/>
    <s v="No"/>
    <s v="WRONG"/>
    <s v="CIF HK"/>
    <d v="2022-12-19T00:00:00"/>
    <s v="Yes"/>
    <m/>
    <m/>
    <m/>
    <s v="IND"/>
  </r>
  <r>
    <n v="1789"/>
    <x v="0"/>
    <x v="0"/>
    <n v="111202"/>
    <s v="海红天远"/>
    <x v="11"/>
    <s v="R-&gt;L"/>
    <s v="cATS10+MVC+Feeder Carriage"/>
    <s v="Y64552"/>
    <n v="1"/>
    <s v="码头"/>
    <x v="213"/>
    <m/>
    <s v="MAR 23"/>
    <n v="2023.3"/>
    <s v="JPY"/>
    <s v="C49SZX20220128EC"/>
    <s v="海红天远"/>
    <s v="YSM20WR-2"/>
    <s v="R-&gt;L"/>
    <s v="cATS10+MVC(F&amp;R)+Feeder Carriage"/>
    <s v="WRONG"/>
    <s v="CIF HK"/>
    <d v="2022-12-19T00:00:00"/>
    <s v="Yes"/>
    <m/>
    <m/>
    <m/>
    <s v="IND"/>
  </r>
  <r>
    <n v="1818"/>
    <x v="0"/>
    <x v="0"/>
    <n v="111222"/>
    <s v="雷特名义"/>
    <x v="12"/>
    <s v="L-&gt;R"/>
    <s v="cATS10+MVC+Feeder Carriage"/>
    <s v="Y64933"/>
    <n v="1"/>
    <m/>
    <x v="214"/>
    <n v="5.16E-2"/>
    <s v="TBA."/>
    <n v="2023.3"/>
    <s v="RMB"/>
    <s v="C49SZX20230007SX"/>
    <s v="雷特"/>
    <s v="YSM20R-2"/>
    <s v="L-&gt;R"/>
    <s v="cATS10+MVC+Feeder Carriage"/>
    <s v="OK"/>
    <s v="DDP ZH"/>
    <d v="2023-01-16T00:00:00"/>
    <s v="Yes"/>
    <m/>
    <m/>
    <m/>
    <s v="IND"/>
  </r>
  <r>
    <n v="1856"/>
    <x v="0"/>
    <x v="0"/>
    <n v="111252"/>
    <s v="龙大名义下单"/>
    <x v="0"/>
    <s v="L-&gt;R"/>
    <s v="No"/>
    <s v="Y65176"/>
    <n v="1"/>
    <m/>
    <x v="215"/>
    <n v="5.0900000000000001E-2"/>
    <s v="APR 23"/>
    <n v="2023.3"/>
    <s v="RMB"/>
    <s v="C49SZX20230029SS"/>
    <s v="龙大光电"/>
    <s v="YSM40R-4"/>
    <s v="R-&gt;L"/>
    <s v="No"/>
    <s v="WRONG"/>
    <s v="DDP SZ"/>
    <d v="2023-02-28T00:00:00"/>
    <s v="Yes"/>
    <m/>
    <m/>
    <m/>
    <s v="IND"/>
  </r>
  <r>
    <n v="1857"/>
    <x v="0"/>
    <x v="0"/>
    <n v="111252"/>
    <s v="龙大名义下单"/>
    <x v="0"/>
    <s v="L-&gt;R"/>
    <s v="No"/>
    <s v="Y65177"/>
    <n v="1"/>
    <m/>
    <x v="215"/>
    <n v="5.0900000000000001E-2"/>
    <s v="APR 23"/>
    <n v="2023.3"/>
    <s v="RMB"/>
    <s v="C49SZX20230029SS"/>
    <s v="龙大光电"/>
    <s v="YSM40R-4"/>
    <s v="R-&gt;L"/>
    <s v="No"/>
    <s v="WRONG"/>
    <s v="DDP SZ"/>
    <d v="2023-02-28T00:00:00"/>
    <s v="Yes"/>
    <m/>
    <m/>
    <m/>
    <s v="IND"/>
  </r>
  <r>
    <n v="1858"/>
    <x v="0"/>
    <x v="0"/>
    <n v="111252"/>
    <s v="龙大名义下单"/>
    <x v="0"/>
    <s v="L-&gt;R"/>
    <s v="No"/>
    <s v="Y65178"/>
    <n v="1"/>
    <m/>
    <x v="215"/>
    <n v="5.0900000000000001E-2"/>
    <s v="APR 23"/>
    <n v="2023.3"/>
    <s v="RMB"/>
    <s v="C49SZX20230029SS"/>
    <s v="龙大光电"/>
    <s v="YSM40R-4"/>
    <s v="L-&gt;R"/>
    <s v="No"/>
    <s v="OK"/>
    <s v="DDP SZ"/>
    <d v="2023-02-28T00:00:00"/>
    <s v="Yes"/>
    <m/>
    <m/>
    <m/>
    <s v="IND"/>
  </r>
  <r>
    <n v="1859"/>
    <x v="0"/>
    <x v="0"/>
    <n v="111252"/>
    <s v="龙大名义下单"/>
    <x v="0"/>
    <s v="L-&gt;R"/>
    <s v="No"/>
    <s v="Y65179"/>
    <n v="1"/>
    <m/>
    <x v="215"/>
    <n v="5.0900000000000001E-2"/>
    <s v="APR 23"/>
    <n v="2023.3"/>
    <s v="RMB"/>
    <s v="C49SZX20230029SS"/>
    <s v="龙大光电"/>
    <s v="YSM40R-4"/>
    <s v="L-&gt;R"/>
    <s v="No"/>
    <s v="OK"/>
    <s v="DDP SZ"/>
    <d v="2023-02-28T00:00:00"/>
    <s v="Yes"/>
    <m/>
    <m/>
    <m/>
    <s v="IND"/>
  </r>
  <r>
    <n v="2058"/>
    <x v="0"/>
    <x v="0"/>
    <n v="111254"/>
    <s v="STK"/>
    <x v="1"/>
    <s v="R-&gt;L"/>
    <s v="No"/>
    <s v="Y65161"/>
    <n v="1"/>
    <s v="前海（完税）仓"/>
    <x v="216"/>
    <s v="PO 111277,rate 0.0516"/>
    <s v="JAN 24"/>
    <n v="2023.4"/>
    <s v="JPY"/>
    <s v="C49SZX20230143SX"/>
    <s v="柏星"/>
    <s v="YSM10"/>
    <s v="L-&gt;R"/>
    <s v="MVC"/>
    <s v="WRONG"/>
    <s v="DAP DG"/>
    <d v="2023-12-22T00:00:00"/>
    <s v="Yes"/>
    <m/>
    <m/>
    <m/>
    <s v="C181233636"/>
  </r>
  <r>
    <n v="2025"/>
    <x v="0"/>
    <x v="0"/>
    <n v="111254"/>
    <s v="STK"/>
    <x v="1"/>
    <s v="R-&gt;L"/>
    <s v="No"/>
    <s v="Y65162"/>
    <n v="1"/>
    <s v="前海保税区"/>
    <x v="216"/>
    <n v="5.1799999999999999E-2"/>
    <s v="NOV 23"/>
    <n v="2023.4"/>
    <s v="JPY"/>
    <s v="C49SZX20230128SX"/>
    <s v="江西奕东"/>
    <s v="YSM10"/>
    <s v="L-&gt;R"/>
    <s v="MVC"/>
    <s v="WRONG"/>
    <s v="DAP JX"/>
    <d v="2023-11-20T00:00:00"/>
    <s v="Yes"/>
    <m/>
    <m/>
    <m/>
    <s v="C231147835"/>
  </r>
  <r>
    <n v="2026"/>
    <x v="0"/>
    <x v="0"/>
    <n v="111254"/>
    <s v="STK"/>
    <x v="1"/>
    <s v="R-&gt;L"/>
    <s v="No"/>
    <s v="Y65163"/>
    <n v="1"/>
    <s v="前海保税区"/>
    <x v="216"/>
    <n v="5.1799999999999999E-2"/>
    <s v="NOV 23"/>
    <n v="2023.4"/>
    <s v="JPY"/>
    <s v="C49SZX20230128SX"/>
    <s v="江西奕东"/>
    <s v="YSM10"/>
    <s v="L-&gt;R"/>
    <s v="MVC"/>
    <s v="WRONG"/>
    <s v="DAP JX"/>
    <d v="2023-11-20T00:00:00"/>
    <s v="Yes"/>
    <m/>
    <m/>
    <m/>
    <s v="C231147835"/>
  </r>
  <r>
    <n v="2031"/>
    <x v="0"/>
    <x v="0"/>
    <n v="111254"/>
    <s v="STK"/>
    <x v="1"/>
    <s v="R-&gt;L"/>
    <s v="No"/>
    <s v="Y65164"/>
    <n v="1"/>
    <s v="前海保税区"/>
    <x v="216"/>
    <n v="5.1799999999999999E-2"/>
    <s v="DEC 23"/>
    <n v="2023.4"/>
    <s v="JPY"/>
    <s v="C49SZX20230131EC"/>
    <s v="福瑞康"/>
    <s v="YSM10"/>
    <s v="L-&gt;R"/>
    <s v="MVC"/>
    <s v="WRONG"/>
    <s v="DAP DG"/>
    <d v="2023-11-29T00:00:00"/>
    <s v="Yes"/>
    <m/>
    <m/>
    <m/>
    <s v="C231247955"/>
  </r>
  <r>
    <n v="2030"/>
    <x v="0"/>
    <x v="0"/>
    <n v="111254"/>
    <s v="STK"/>
    <x v="1"/>
    <s v="R-&gt;L"/>
    <s v="No"/>
    <s v="Y65165"/>
    <n v="1"/>
    <s v="力合中转仓"/>
    <x v="216"/>
    <n v="5.1799999999999999E-2"/>
    <s v="DEC 23"/>
    <n v="2023.4"/>
    <s v="JPY"/>
    <s v="C49SZX20230132LC"/>
    <s v="声韵"/>
    <s v="YSM10"/>
    <s v="L-&gt;R"/>
    <s v="MVC"/>
    <s v="WRONG"/>
    <s v="DAP DG"/>
    <d v="2023-11-29T00:00:00"/>
    <s v="Yes"/>
    <m/>
    <m/>
    <m/>
    <s v="C231247971"/>
  </r>
  <r>
    <n v="1842"/>
    <x v="0"/>
    <x v="0"/>
    <n v="111247"/>
    <s v="耕创名义下单"/>
    <x v="0"/>
    <s v="L-&gt;R"/>
    <s v="No"/>
    <s v="Y65157"/>
    <n v="1"/>
    <m/>
    <x v="216"/>
    <n v="5.1700000000000003E-2"/>
    <s v="MAY 23"/>
    <n v="2023.4"/>
    <s v="RMB"/>
    <s v="C49SZX20230015DZ"/>
    <s v="深圳耕创"/>
    <s v="YSM40R-4"/>
    <s v="L-&gt;R"/>
    <s v="No"/>
    <s v="OK"/>
    <s v="DDP SZ"/>
    <d v="2023-02-21T00:00:00"/>
    <s v="Yes"/>
    <m/>
    <m/>
    <m/>
    <s v="IND"/>
  </r>
  <r>
    <n v="1843"/>
    <x v="0"/>
    <x v="0"/>
    <n v="111247"/>
    <s v="耕创名义下单"/>
    <x v="0"/>
    <s v="L-&gt;R"/>
    <s v="No"/>
    <s v="Y65158"/>
    <n v="1"/>
    <m/>
    <x v="216"/>
    <n v="5.1700000000000003E-2"/>
    <s v="MAY 23"/>
    <n v="2023.4"/>
    <s v="RMB"/>
    <s v="C49SZX20230016DZ"/>
    <s v="惠州耕创"/>
    <s v="YSM40R-4"/>
    <s v="L-&gt;R"/>
    <s v="No"/>
    <s v="OK"/>
    <s v="DDP HZ"/>
    <d v="2023-02-21T00:00:00"/>
    <s v="Yes"/>
    <m/>
    <m/>
    <m/>
    <s v="IND"/>
  </r>
  <r>
    <n v="1844"/>
    <x v="0"/>
    <x v="0"/>
    <n v="111247"/>
    <s v="耕创名义下单"/>
    <x v="0"/>
    <s v="L-&gt;R"/>
    <s v="No"/>
    <s v="Y65159"/>
    <n v="1"/>
    <m/>
    <x v="216"/>
    <n v="5.1700000000000003E-2"/>
    <s v="MAY 23"/>
    <n v="2023.4"/>
    <s v="RMB"/>
    <s v="C49SZX20230016DZ"/>
    <s v="惠州耕创"/>
    <s v="YSM40R-4"/>
    <s v="L-&gt;R"/>
    <s v="No"/>
    <s v="OK"/>
    <s v="DDP HZ"/>
    <d v="2023-02-21T00:00:00"/>
    <s v="Yes"/>
    <m/>
    <m/>
    <m/>
    <s v="IND"/>
  </r>
  <r>
    <n v="1845"/>
    <x v="0"/>
    <x v="0"/>
    <n v="111247"/>
    <s v="耕创名义下单"/>
    <x v="0"/>
    <s v="L-&gt;R"/>
    <s v="No"/>
    <s v="Y65160"/>
    <n v="1"/>
    <m/>
    <x v="216"/>
    <n v="5.1700000000000003E-2"/>
    <s v="MAY 23"/>
    <n v="2023.4"/>
    <s v="RMB"/>
    <s v="C49SZX20230016DZ"/>
    <s v="惠州耕创"/>
    <s v="YSM40R-4"/>
    <s v="L-&gt;R"/>
    <s v="No"/>
    <s v="OK"/>
    <s v="DDP HZ"/>
    <d v="2023-02-21T00:00:00"/>
    <s v="Yes"/>
    <m/>
    <m/>
    <m/>
    <s v="IND"/>
  </r>
  <r>
    <n v="1867"/>
    <x v="0"/>
    <x v="0"/>
    <n v="111258"/>
    <s v="SZ Longda"/>
    <x v="0"/>
    <s v="L-&gt;R"/>
    <s v="No"/>
    <s v="Y65376"/>
    <n v="1"/>
    <m/>
    <x v="216"/>
    <n v="5.1799999999999999E-2"/>
    <s v="MAY 23"/>
    <n v="2023.4"/>
    <s v="RMB"/>
    <s v="C49SZX20230036SS"/>
    <s v="龙大光电"/>
    <s v="YSM40R-4"/>
    <s v="L-&gt;R"/>
    <s v="No"/>
    <s v="OK"/>
    <s v="DDP SZ"/>
    <d v="2023-03-03T00:00:00"/>
    <s v="Yes"/>
    <m/>
    <m/>
    <m/>
    <s v="IND"/>
  </r>
  <r>
    <n v="1868"/>
    <x v="0"/>
    <x v="0"/>
    <n v="111258"/>
    <s v="SZ Longda"/>
    <x v="0"/>
    <s v="L-&gt;R"/>
    <s v="No"/>
    <s v="Y65377"/>
    <n v="1"/>
    <m/>
    <x v="216"/>
    <n v="5.1799999999999999E-2"/>
    <s v="MAY 23"/>
    <n v="2023.4"/>
    <s v="RMB"/>
    <s v="C49SZX20230036SS"/>
    <s v="龙大光电"/>
    <s v="YSM40R-4"/>
    <s v="L-&gt;R"/>
    <s v="No"/>
    <s v="OK"/>
    <s v="DDP SZ"/>
    <d v="2023-03-03T00:00:00"/>
    <s v="Yes"/>
    <m/>
    <m/>
    <m/>
    <s v="IND"/>
  </r>
  <r>
    <n v="1954"/>
    <x v="0"/>
    <x v="0"/>
    <n v="111253"/>
    <s v="STK"/>
    <x v="12"/>
    <s v="L-&gt;R"/>
    <s v="No"/>
    <s v="Y65217"/>
    <n v="1"/>
    <s v="力合仓库(已经清关)"/>
    <x v="217"/>
    <n v="5.1799999999999999E-2"/>
    <s v="AUG 23"/>
    <n v="2023.4"/>
    <s v="RMB"/>
    <s v="LDY-2023071801"/>
    <s v="莱帝亚"/>
    <s v="YSM20R-2"/>
    <s v="L-&gt;R"/>
    <s v="MVC"/>
    <s v="WRONG"/>
    <s v="DDP GZ"/>
    <d v="2023-07-24T00:00:00"/>
    <s v="Yes"/>
    <m/>
    <m/>
    <m/>
    <s v="C230746747"/>
  </r>
  <r>
    <n v="1900"/>
    <x v="0"/>
    <x v="0"/>
    <n v="111253"/>
    <s v="STK"/>
    <x v="12"/>
    <s v="L-&gt;R"/>
    <s v="No"/>
    <s v="Y65218"/>
    <n v="1"/>
    <s v="前海保税区"/>
    <x v="217"/>
    <n v="5.1799999999999999E-2"/>
    <s v="AUG 23"/>
    <n v="2023.4"/>
    <s v="RMB"/>
    <s v="C49SZX20230048SQ"/>
    <s v="旭宇盛翔"/>
    <s v="YSM20R-2"/>
    <s v="L-&gt;R"/>
    <s v="No"/>
    <s v="OK"/>
    <s v="DDP SZ"/>
    <d v="2023-04-18T00:00:00"/>
    <s v="Yes"/>
    <m/>
    <m/>
    <m/>
    <s v="C230445485"/>
  </r>
  <r>
    <n v="1928"/>
    <x v="0"/>
    <x v="0"/>
    <n v="111253"/>
    <s v="STK"/>
    <x v="12"/>
    <s v="L-&gt;R"/>
    <s v="No"/>
    <s v="Y65219"/>
    <n v="1"/>
    <s v="前海保税区"/>
    <x v="217"/>
    <n v="5.1799999999999999E-2"/>
    <s v="AUG 23"/>
    <n v="2023.4"/>
    <s v="JPY"/>
    <s v="C49SZX20230073MZ"/>
    <s v="方案集（End user:陆巡）"/>
    <s v="YSM20R-2"/>
    <s v="L-&gt;R"/>
    <s v="No"/>
    <s v="OK"/>
    <s v="CIF HK"/>
    <d v="2023-06-20T00:00:00"/>
    <s v="Yes"/>
    <m/>
    <m/>
    <m/>
    <s v="C230846864"/>
  </r>
  <r>
    <n v="1929"/>
    <x v="0"/>
    <x v="0"/>
    <n v="111253"/>
    <s v="STK"/>
    <x v="12"/>
    <s v="L-&gt;R"/>
    <s v="No"/>
    <s v="Y65220"/>
    <n v="1"/>
    <s v="前海保税区"/>
    <x v="217"/>
    <n v="5.1799999999999999E-2"/>
    <s v="AUG 23"/>
    <n v="2023.4"/>
    <s v="JPY"/>
    <s v="C49SZX20230073MZ"/>
    <s v="方案集（End user:陆巡）"/>
    <s v="YSM20R-2"/>
    <s v="L-&gt;R"/>
    <s v="No"/>
    <s v="OK"/>
    <s v="CIF HK"/>
    <d v="2023-06-20T00:00:00"/>
    <s v="Yes"/>
    <m/>
    <m/>
    <m/>
    <s v="C230846864"/>
  </r>
  <r>
    <n v="1976"/>
    <x v="0"/>
    <x v="0"/>
    <n v="111253"/>
    <s v="STK"/>
    <x v="12"/>
    <s v="L-&gt;R"/>
    <s v="No"/>
    <s v="Y65221"/>
    <n v="1"/>
    <s v="前海保税区"/>
    <x v="217"/>
    <n v="5.1799999999999999E-2"/>
    <s v="SEP 23"/>
    <n v="2023.4"/>
    <s v="JPY"/>
    <s v="C49SZX20230102SX"/>
    <s v="太美亚"/>
    <s v="YSM20R-2"/>
    <s v="L-&gt;R"/>
    <s v="No"/>
    <s v="OK"/>
    <s v="DAP YC"/>
    <d v="2023-09-15T00:00:00"/>
    <s v="Yes"/>
    <m/>
    <m/>
    <m/>
    <s v="C230947211"/>
  </r>
  <r>
    <n v="1977"/>
    <x v="0"/>
    <x v="0"/>
    <n v="111253"/>
    <s v="STK"/>
    <x v="12"/>
    <s v="L-&gt;R"/>
    <s v="No"/>
    <s v="Y65222"/>
    <n v="1"/>
    <s v="前海保税区"/>
    <x v="217"/>
    <n v="5.1799999999999999E-2"/>
    <s v="SEP 23"/>
    <n v="2023.4"/>
    <s v="JPY"/>
    <s v="C49SZX20230102SX"/>
    <s v="太美亚"/>
    <s v="YSM20R-2"/>
    <s v="L-&gt;R"/>
    <s v="No"/>
    <s v="OK"/>
    <s v="DAP YC"/>
    <d v="2023-09-15T00:00:00"/>
    <s v="Yes"/>
    <m/>
    <m/>
    <m/>
    <s v="C230947211"/>
  </r>
  <r>
    <n v="1950"/>
    <x v="0"/>
    <x v="0"/>
    <n v="111253"/>
    <s v="STK"/>
    <x v="12"/>
    <s v="L-&gt;R"/>
    <s v="No"/>
    <s v="Y65223"/>
    <n v="1"/>
    <s v="前海保税区"/>
    <x v="217"/>
    <n v="5.1799999999999999E-2"/>
    <s v="SEP 23"/>
    <n v="2023.4"/>
    <s v="RMB"/>
    <s v="C49SZX20230093SX"/>
    <s v="益田科技(End uer:泓裕）"/>
    <s v="YSM20R-2"/>
    <s v="L-&gt;R"/>
    <s v="No"/>
    <s v="OK"/>
    <s v="DDP SZ"/>
    <d v="2023-07-20T00:00:00"/>
    <s v="Yes"/>
    <m/>
    <m/>
    <m/>
    <s v="C230846961"/>
  </r>
  <r>
    <n v="1948"/>
    <x v="0"/>
    <x v="0"/>
    <n v="111253"/>
    <s v="STK"/>
    <x v="12"/>
    <s v="L-&gt;R"/>
    <s v="No"/>
    <s v="Y65224"/>
    <n v="1"/>
    <s v="前海保税区"/>
    <x v="217"/>
    <n v="5.1799999999999999E-2"/>
    <s v="SEP 23"/>
    <n v="2023.4"/>
    <s v="RMB"/>
    <s v="C49SZX20230093SX"/>
    <s v="益田科技(End uer:泓裕）"/>
    <s v="YSM20R-2"/>
    <s v="L-&gt;R"/>
    <s v="No"/>
    <s v="OK"/>
    <s v="DDP SZ"/>
    <d v="2023-07-20T00:00:00"/>
    <s v="Yes"/>
    <m/>
    <m/>
    <m/>
    <s v="C230846961"/>
  </r>
  <r>
    <n v="1949"/>
    <x v="0"/>
    <x v="0"/>
    <n v="111253"/>
    <s v="STK"/>
    <x v="12"/>
    <s v="L-&gt;R"/>
    <s v="No"/>
    <s v="Y65225"/>
    <n v="1"/>
    <s v="前海保税区"/>
    <x v="217"/>
    <n v="5.1799999999999999E-2"/>
    <s v="SEP 23"/>
    <n v="2023.4"/>
    <s v="RMB"/>
    <s v="C49SZX20230093SX"/>
    <s v="益田科技(End uer:泓裕）"/>
    <s v="YSM20R-2"/>
    <s v="L-&gt;R"/>
    <s v="No"/>
    <s v="OK"/>
    <s v="DDP SZ"/>
    <d v="2023-07-20T00:00:00"/>
    <s v="Yes"/>
    <m/>
    <m/>
    <m/>
    <s v="C230846961"/>
  </r>
  <r>
    <n v="1974"/>
    <x v="0"/>
    <x v="0"/>
    <n v="111253"/>
    <s v="STK"/>
    <x v="12"/>
    <s v="L-&gt;R"/>
    <s v="No"/>
    <s v="Y65226,标签变红"/>
    <n v="1"/>
    <s v="前海保税区"/>
    <x v="217"/>
    <n v="5.1799999999999999E-2"/>
    <s v="SEP 23"/>
    <n v="2023.4"/>
    <s v="JPY"/>
    <s v="C49SZX20230100JL"/>
    <s v="海龙智通"/>
    <s v="YSM20R-2"/>
    <s v="L-&gt;R"/>
    <s v="No"/>
    <s v="OK"/>
    <s v="DAP DG"/>
    <d v="2023-09-13T00:00:00"/>
    <s v="Yes"/>
    <m/>
    <m/>
    <m/>
    <s v="C230947198"/>
  </r>
  <r>
    <n v="1911"/>
    <x v="0"/>
    <x v="0"/>
    <s v="49A104149(北京单采购)"/>
    <s v="STK"/>
    <x v="12"/>
    <s v="L-&gt;R"/>
    <s v="No"/>
    <s v="Y60261"/>
    <n v="1"/>
    <s v="力合仓库(已经清关)"/>
    <x v="218"/>
    <s v="平均价"/>
    <s v="MAY 23"/>
    <n v="2022.03"/>
    <s v="RMB"/>
    <s v="C49SZX20230058EC"/>
    <s v="圣亨"/>
    <s v="YSM20R-2"/>
    <s v="L-&gt;R"/>
    <s v="No"/>
    <s v="OK"/>
    <s v="DDP DG"/>
    <d v="2023-04-26T00:00:00"/>
    <s v="Yes"/>
    <m/>
    <m/>
    <m/>
    <s v="C210540263"/>
  </r>
  <r>
    <n v="1914"/>
    <x v="0"/>
    <x v="0"/>
    <s v="49A104191(北京单采购)"/>
    <s v="STK"/>
    <x v="12"/>
    <s v="L-&gt;R"/>
    <s v="No"/>
    <s v="Y60940"/>
    <n v="1"/>
    <s v="力合仓库(已经清关)"/>
    <x v="218"/>
    <s v="平均价"/>
    <s v="MAY 23"/>
    <n v="2022.04"/>
    <s v="RMB"/>
    <s v="C49SZX20230060RZ"/>
    <s v="艾为康"/>
    <s v="YSM20R-2"/>
    <s v="L-&gt;R"/>
    <s v="No"/>
    <s v="OK"/>
    <s v="DDP SZ"/>
    <d v="2023-05-06T00:00:00"/>
    <s v="Yes"/>
    <m/>
    <m/>
    <m/>
    <s v="C230545853"/>
  </r>
  <r>
    <n v="1915"/>
    <x v="0"/>
    <x v="0"/>
    <s v="49A104204(北京单采购)"/>
    <s v="STK"/>
    <x v="12"/>
    <s v="L-&gt;R"/>
    <s v="No"/>
    <s v="Y61086"/>
    <n v="1"/>
    <s v="力合仓库(已经清关)"/>
    <x v="218"/>
    <s v="平均价"/>
    <s v="MAY 23"/>
    <n v="2022.03"/>
    <s v="RMB"/>
    <s v="C49SZX20230060RZ"/>
    <s v="艾为康"/>
    <s v="YSM20R-2"/>
    <s v="L-&gt;R"/>
    <s v="No"/>
    <s v="OK"/>
    <s v="DDP SZ"/>
    <d v="2023-05-06T00:00:00"/>
    <s v="Yes"/>
    <m/>
    <m/>
    <m/>
    <s v="C230545853"/>
  </r>
  <r>
    <n v="1971"/>
    <x v="0"/>
    <x v="0"/>
    <s v="49A104234(北京单采购)"/>
    <s v="STK"/>
    <x v="12"/>
    <s v="L-&gt;R"/>
    <s v="No"/>
    <s v="Y62075"/>
    <n v="1"/>
    <s v="力合仓库(已经清关)"/>
    <x v="219"/>
    <s v="平均价"/>
    <s v="OCT 23"/>
    <n v="2022.06"/>
    <s v="RMB"/>
    <s v="C49SZX20230099EC"/>
    <s v="和兴美成"/>
    <s v="YSM20R-2"/>
    <s v="L-&gt;R"/>
    <s v="No"/>
    <s v="OK"/>
    <s v="DDP HZ"/>
    <d v="2023-09-04T00:00:00"/>
    <s v="Yes"/>
    <m/>
    <m/>
    <m/>
    <s v="C220943914"/>
  </r>
  <r>
    <n v="1973"/>
    <x v="0"/>
    <x v="0"/>
    <s v="49A104251(北京单采购)"/>
    <s v="STK"/>
    <x v="12"/>
    <s v="L-&gt;R"/>
    <s v="No"/>
    <s v="Y62432"/>
    <n v="1"/>
    <s v="力合仓库(已经清关)"/>
    <x v="219"/>
    <s v="平均价"/>
    <s v="SEP 23"/>
    <n v="2022.07"/>
    <s v="RMB"/>
    <s v="C49SZX202300095SX"/>
    <s v="利速达"/>
    <s v="YSM20R-2"/>
    <s v="L-&gt;R"/>
    <s v="No"/>
    <s v="OK"/>
    <s v="DDP SZ"/>
    <d v="2023-08-23T00:00:00"/>
    <s v="Yes"/>
    <m/>
    <m/>
    <m/>
    <s v="C230144833 "/>
  </r>
  <r>
    <n v="1982"/>
    <x v="0"/>
    <x v="0"/>
    <n v="111277"/>
    <s v="STK"/>
    <x v="1"/>
    <s v="R-&gt;L"/>
    <s v="No"/>
    <s v="Y65757"/>
    <n v="1"/>
    <s v="前海保税区"/>
    <x v="220"/>
    <n v="5.16E-2"/>
    <s v="OCT 23"/>
    <n v="2023.5"/>
    <s v="JPY"/>
    <s v="C49SZX20230101R1DM"/>
    <s v="菲帆"/>
    <s v="YSM10"/>
    <s v="L-&gt;R"/>
    <s v="MVC"/>
    <s v="WRONG"/>
    <s v="DAP HZ"/>
    <d v="2023-09-21T00:00:00"/>
    <s v="Yes"/>
    <m/>
    <m/>
    <m/>
    <s v="C230345373"/>
  </r>
  <r>
    <n v="2059"/>
    <x v="0"/>
    <x v="0"/>
    <n v="111277"/>
    <s v="STK"/>
    <x v="1"/>
    <s v="R-&gt;L"/>
    <s v="No"/>
    <s v="Y65758,标签变红"/>
    <n v="1"/>
    <s v="前海保税区"/>
    <x v="220"/>
    <n v="5.16E-2"/>
    <s v="JAN 24"/>
    <n v="2023.5"/>
    <s v="JPY"/>
    <s v="C49SZX20240002SX"/>
    <s v="悦之彩"/>
    <s v="YSM10"/>
    <s v="L-&gt;R"/>
    <s v="MVC"/>
    <s v="WRONG"/>
    <s v="DAP SZ"/>
    <d v="2024-01-09T00:00:00"/>
    <s v="Yes"/>
    <m/>
    <m/>
    <m/>
    <s v="C191035936"/>
  </r>
  <r>
    <n v="2050"/>
    <x v="0"/>
    <x v="0"/>
    <n v="111277"/>
    <s v="STK"/>
    <x v="1"/>
    <s v="R-&gt;L"/>
    <s v="No"/>
    <s v="Y65759"/>
    <n v="1"/>
    <s v="前海保税区"/>
    <x v="220"/>
    <s v="PO，111341，Rate 0.0503"/>
    <s v="JAN 24"/>
    <n v="2023.6"/>
    <s v="JPY"/>
    <s v="C49SZX20230142SS"/>
    <s v="盈通恒翼"/>
    <s v="YSM10"/>
    <s v="L-&gt;R"/>
    <s v="No"/>
    <s v="WRONG"/>
    <s v="DAP SZ"/>
    <d v="2023-12-22T00:00:00"/>
    <s v="Yes"/>
    <m/>
    <m/>
    <m/>
    <s v="C210139067"/>
  </r>
  <r>
    <n v="2057"/>
    <x v="0"/>
    <x v="0"/>
    <n v="111277"/>
    <s v="STK"/>
    <x v="1"/>
    <s v="R-&gt;L"/>
    <s v="No"/>
    <s v="Y65760"/>
    <n v="1"/>
    <s v="前海保税区"/>
    <x v="220"/>
    <n v="5.16E-2"/>
    <s v="JAN 24"/>
    <n v="2023.6"/>
    <s v="JPY"/>
    <s v="C49SZX20230145BH"/>
    <s v="世纪佳柔"/>
    <s v="YSM10"/>
    <s v="L-&gt;R"/>
    <s v="MVC"/>
    <s v="WRONG"/>
    <s v="DAP DG"/>
    <d v="2023-12-23T00:00:00"/>
    <s v="Yes"/>
    <m/>
    <m/>
    <m/>
    <s v="C240148193"/>
  </r>
  <r>
    <n v="2060"/>
    <x v="0"/>
    <x v="0"/>
    <n v="111277"/>
    <s v="STK"/>
    <x v="1"/>
    <s v="R-&gt;L"/>
    <s v="No"/>
    <s v="Y65761"/>
    <n v="1"/>
    <s v="前海保税区"/>
    <x v="220"/>
    <n v="5.16E-2"/>
    <s v="JAN 24"/>
    <n v="2023.5"/>
    <s v="JPY"/>
    <s v="C49SZX20240002SX"/>
    <s v="悦之彩"/>
    <s v="YSM10"/>
    <s v="L-&gt;R"/>
    <s v="MVC"/>
    <s v="WRONG"/>
    <s v="DAP SZ"/>
    <d v="2024-01-09T00:00:00"/>
    <s v="Yes"/>
    <m/>
    <m/>
    <m/>
    <s v="C191035936"/>
  </r>
  <r>
    <n v="1930"/>
    <x v="0"/>
    <x v="0"/>
    <s v="111277(拆分PO111305)"/>
    <s v="STK"/>
    <x v="1"/>
    <s v="R-&gt;L"/>
    <s v="ATS15"/>
    <s v="Y65762"/>
    <n v="1"/>
    <s v="前海保税区"/>
    <x v="220"/>
    <n v="5.0799999999999998E-2"/>
    <s v="AUG 23"/>
    <n v="2023.5"/>
    <s v="JPY"/>
    <s v="C49SZX20230073MZ"/>
    <s v="方案集（End user:陆巡）"/>
    <s v="YSM10"/>
    <s v="L-&gt;R"/>
    <s v="MVC+ATS15"/>
    <s v="WRONG"/>
    <s v="CIF HK"/>
    <d v="2023-06-20T00:00:00"/>
    <s v="Yes"/>
    <m/>
    <m/>
    <m/>
    <s v="C230846864"/>
  </r>
  <r>
    <n v="1979"/>
    <x v="0"/>
    <x v="0"/>
    <s v="111277(拆分PO111305)"/>
    <s v="STK"/>
    <x v="1"/>
    <s v="R-&gt;L"/>
    <s v="ATS15"/>
    <s v="Y65763"/>
    <n v="1"/>
    <s v="前海保税区"/>
    <x v="220"/>
    <n v="5.0799999999999998E-2"/>
    <s v="SEP 23"/>
    <n v="2023.5"/>
    <s v="JPY"/>
    <s v="C49SZX20230102SX"/>
    <s v="太美亚"/>
    <s v="YSM10"/>
    <s v="L-&gt;R"/>
    <s v="MVC+ATS15"/>
    <s v="WRONG"/>
    <s v="DAP YC"/>
    <d v="2023-09-15T00:00:00"/>
    <s v="Yes"/>
    <m/>
    <m/>
    <m/>
    <s v="C230947211"/>
  </r>
  <r>
    <n v="1978"/>
    <x v="0"/>
    <x v="0"/>
    <s v="111277(拆分PO111305)"/>
    <s v="STK"/>
    <x v="1"/>
    <s v="R-&gt;L"/>
    <s v="ATS15"/>
    <s v="Y65764"/>
    <n v="1"/>
    <s v="前海保税区"/>
    <x v="220"/>
    <n v="5.0799999999999998E-2"/>
    <s v="SEP 23"/>
    <n v="2023.6"/>
    <s v="JPY"/>
    <s v="C49SZX20230102SX"/>
    <s v="太美亚"/>
    <s v="YSM10"/>
    <s v="L-&gt;R"/>
    <s v="MVC+ATS15"/>
    <s v="WRONG"/>
    <s v="DAP YC"/>
    <d v="2023-09-15T00:00:00"/>
    <s v="Yes"/>
    <m/>
    <m/>
    <m/>
    <s v="C230947211"/>
  </r>
  <r>
    <n v="1970"/>
    <x v="0"/>
    <x v="0"/>
    <s v="111277(拆分PO111305)"/>
    <s v="STK"/>
    <x v="1"/>
    <s v="R-&gt;L"/>
    <s v="ATS15"/>
    <s v="Y65765"/>
    <n v="1"/>
    <s v="前海仓库-&gt;准备清关"/>
    <x v="220"/>
    <n v="5.0799999999999998E-2"/>
    <s v="OCT 23"/>
    <n v="2023.6"/>
    <s v="RMB"/>
    <s v="C49SZX20230098SX"/>
    <s v="锐诚"/>
    <s v="YSM10"/>
    <s v="L-&gt;R"/>
    <s v="MVC+ATS15"/>
    <s v="WRONG"/>
    <s v="DDP HZ"/>
    <d v="2023-08-31T00:00:00"/>
    <s v="Yes"/>
    <m/>
    <m/>
    <m/>
    <s v="C180231291"/>
  </r>
  <r>
    <n v="1994"/>
    <x v="0"/>
    <x v="0"/>
    <s v="111277(拆分PO111305)"/>
    <s v="STK"/>
    <x v="1"/>
    <s v="R-&gt;L"/>
    <s v="ATS15"/>
    <s v="Y65766"/>
    <n v="1"/>
    <s v="前海保税区"/>
    <x v="220"/>
    <n v="5.0799999999999998E-2"/>
    <s v="NOV 23"/>
    <n v="2023.6"/>
    <s v="USD"/>
    <s v="HJD-ESE20231016"/>
    <s v="越南皓吉达"/>
    <s v="YSM10"/>
    <s v="L-&gt;R"/>
    <s v="ATS15"/>
    <s v="WRONG"/>
    <s v="CIF Vietnam"/>
    <d v="2023-10-16T00:00:00"/>
    <s v="Yes"/>
    <m/>
    <m/>
    <m/>
    <s v="C231147614"/>
  </r>
  <r>
    <n v="1984"/>
    <x v="0"/>
    <x v="0"/>
    <n v="111278"/>
    <s v="STK"/>
    <x v="12"/>
    <s v="L-&gt;R"/>
    <s v="No"/>
    <s v="Y65768"/>
    <n v="1"/>
    <s v="前海保税区"/>
    <x v="221"/>
    <n v="5.16E-2"/>
    <s v="OCT 23"/>
    <n v="2023.6"/>
    <s v="JPY"/>
    <s v="C49SZX20230109JY"/>
    <s v="精德鸿（end user:海纳科)"/>
    <s v="YSM20R-2"/>
    <s v="L-&gt;R"/>
    <s v="MVC F&amp;R"/>
    <s v="WRONG"/>
    <s v="DAP SZ"/>
    <d v="2023-09-21T00:00:00"/>
    <s v="Yes"/>
    <m/>
    <m/>
    <m/>
    <s v="C220342318"/>
  </r>
  <r>
    <n v="1981"/>
    <x v="0"/>
    <x v="0"/>
    <n v="111278"/>
    <s v="STK"/>
    <x v="12"/>
    <s v="L-&gt;R"/>
    <s v="No"/>
    <s v="Y65769"/>
    <n v="1"/>
    <s v="前海保税区"/>
    <x v="221"/>
    <n v="5.16E-2"/>
    <s v="OCT 23"/>
    <n v="2023.6"/>
    <s v="JPY"/>
    <s v="C49SZX20230101R1DM"/>
    <s v="菲帆"/>
    <s v="YSM20R-2"/>
    <s v="L-&gt;R"/>
    <s v="No"/>
    <s v="OK"/>
    <s v="DAP HZ"/>
    <d v="2023-09-21T00:00:00"/>
    <s v="Yes"/>
    <m/>
    <m/>
    <m/>
    <s v="C230345373"/>
  </r>
  <r>
    <n v="1998"/>
    <x v="0"/>
    <x v="0"/>
    <n v="111278"/>
    <s v="STK"/>
    <x v="12"/>
    <s v="L-&gt;R"/>
    <s v="No"/>
    <s v="Y65770"/>
    <n v="1"/>
    <s v="前海保税区"/>
    <x v="221"/>
    <n v="5.16E-2"/>
    <s v="NOV 23"/>
    <n v="2023.6"/>
    <s v="JPY"/>
    <s v="C49SZX20230113EC"/>
    <s v="骏孚"/>
    <s v="YSM20R-2"/>
    <s v="L-&gt;R"/>
    <s v="No"/>
    <s v="OK"/>
    <s v="DAP GZ"/>
    <d v="2023-10-27T00:00:00"/>
    <s v="Yes"/>
    <m/>
    <m/>
    <m/>
    <s v="C230345230"/>
  </r>
  <r>
    <n v="1940"/>
    <x v="0"/>
    <x v="0"/>
    <n v="111278"/>
    <s v="STK"/>
    <x v="12"/>
    <s v="L-&gt;R"/>
    <s v="No"/>
    <s v="Y65771"/>
    <n v="1"/>
    <s v="前海保税区"/>
    <x v="221"/>
    <n v="5.16E-2"/>
    <s v="NOV 23"/>
    <n v="2023.6"/>
    <s v="JPY"/>
    <s v="C49SZX20230089EC"/>
    <s v="领德创"/>
    <s v="YSM20R-2"/>
    <s v="L-&gt;R"/>
    <s v="No"/>
    <s v="OK"/>
    <s v="DAP SZ"/>
    <d v="2023-07-19T00:00:00"/>
    <s v="Yes"/>
    <m/>
    <m/>
    <m/>
    <s v="C200737683"/>
  </r>
  <r>
    <n v="1941"/>
    <x v="0"/>
    <x v="0"/>
    <n v="111278"/>
    <s v="STK"/>
    <x v="12"/>
    <s v="L-&gt;R"/>
    <s v="No"/>
    <s v="Y65772"/>
    <n v="1"/>
    <s v="前海保税区"/>
    <x v="221"/>
    <n v="5.16E-2"/>
    <s v="NOV 23"/>
    <n v="2023.6"/>
    <s v="JPY"/>
    <s v="C49SZX20230089EC"/>
    <s v="领德创"/>
    <s v="YSM20R-2"/>
    <s v="L-&gt;R"/>
    <s v="No"/>
    <s v="OK"/>
    <s v="DAP SZ"/>
    <d v="2023-07-19T00:00:00"/>
    <s v="Yes"/>
    <m/>
    <m/>
    <m/>
    <s v="C200737683"/>
  </r>
  <r>
    <n v="2029"/>
    <x v="0"/>
    <x v="0"/>
    <s v="111278(拆分PO111304)"/>
    <s v="STK"/>
    <x v="12"/>
    <s v="L-&gt;R"/>
    <s v="No"/>
    <s v="Y65773"/>
    <n v="1"/>
    <s v="力合中转仓"/>
    <x v="221"/>
    <n v="5.0799999999999998E-2"/>
    <s v="DEC 23"/>
    <n v="2023.6"/>
    <s v="JPY"/>
    <s v="C49SZX20230132LC"/>
    <s v="声韵"/>
    <s v="YSM20R-2"/>
    <s v="L-&gt;R"/>
    <s v="No"/>
    <s v="OK"/>
    <s v="DAP DG"/>
    <d v="2023-11-29T00:00:00"/>
    <s v="Yes"/>
    <m/>
    <m/>
    <m/>
    <s v="C231247971"/>
  </r>
  <r>
    <n v="2002"/>
    <x v="0"/>
    <x v="0"/>
    <s v="111278(拆分PO111304)"/>
    <s v="STK"/>
    <x v="12"/>
    <s v="L-&gt;R"/>
    <s v="No"/>
    <s v="Y65774"/>
    <n v="1"/>
    <s v="前海（完税）仓"/>
    <x v="221"/>
    <n v="5.0799999999999998E-2"/>
    <s v="NOV 23"/>
    <n v="2023.6"/>
    <s v="JPY"/>
    <s v="C49SZX20230120SX"/>
    <s v="锐诚"/>
    <s v="YSM20R-2"/>
    <s v="L-&gt;R"/>
    <s v="MVC"/>
    <s v="WRONG"/>
    <s v="DAP HZ"/>
    <d v="2023-11-06T00:00:00"/>
    <s v="Yes"/>
    <m/>
    <m/>
    <m/>
    <s v="C180231291"/>
  </r>
  <r>
    <n v="2018"/>
    <x v="0"/>
    <x v="0"/>
    <s v="111278(拆分PO111304)"/>
    <s v="STK"/>
    <x v="12"/>
    <s v="L-&gt;R"/>
    <s v="No"/>
    <s v="Y65775"/>
    <n v="1"/>
    <s v="前海保税区"/>
    <x v="221"/>
    <n v="5.0799999999999998E-2"/>
    <s v="NOV 23"/>
    <n v="2023.6"/>
    <s v="JPY"/>
    <s v="C49SZX20230123SX"/>
    <s v="永顺创"/>
    <s v="YSM20R-2"/>
    <s v="L-&gt;R"/>
    <s v="No"/>
    <s v="OK"/>
    <s v="DAP SZ"/>
    <d v="2023-11-10T00:00:00"/>
    <s v="Yes"/>
    <m/>
    <m/>
    <m/>
    <s v="C220442692"/>
  </r>
  <r>
    <n v="2027"/>
    <x v="0"/>
    <x v="0"/>
    <s v="111278(拆分PO111304)"/>
    <s v="STK"/>
    <x v="12"/>
    <s v="L-&gt;R"/>
    <s v="No"/>
    <s v="Y65776"/>
    <n v="1"/>
    <s v="前海保税区"/>
    <x v="221"/>
    <n v="5.0799999999999998E-2"/>
    <s v="DEC 23"/>
    <n v="2023.6"/>
    <s v="JPY"/>
    <s v="C49SZX20230130JY"/>
    <s v="精莞盈"/>
    <s v="YSM20R-2"/>
    <s v="L-&gt;R"/>
    <s v="MVC"/>
    <s v="WRONG"/>
    <s v="DAP SZ"/>
    <d v="2023-11-27T00:00:00"/>
    <s v="Yes"/>
    <m/>
    <m/>
    <m/>
    <s v="C231147763"/>
  </r>
  <r>
    <n v="2028"/>
    <x v="0"/>
    <x v="0"/>
    <s v="111278(拆分PO111304)"/>
    <s v="STK"/>
    <x v="12"/>
    <s v="L-&gt;R"/>
    <s v="No"/>
    <s v="Y65777"/>
    <n v="1"/>
    <s v="前海保税区"/>
    <x v="221"/>
    <n v="5.0799999999999998E-2"/>
    <s v="DEC 23"/>
    <n v="2023.6"/>
    <s v="JPY"/>
    <s v="C49SZX20230130JY"/>
    <s v="精莞盈"/>
    <s v="YSM20R-2"/>
    <s v="L-&gt;R"/>
    <s v="No"/>
    <s v="OK"/>
    <s v="DAP SZ"/>
    <d v="2023-11-27T00:00:00"/>
    <s v="Yes"/>
    <m/>
    <m/>
    <m/>
    <s v="C231147763"/>
  </r>
  <r>
    <n v="2043"/>
    <x v="0"/>
    <x v="0"/>
    <s v="111310(拆分PO111374)"/>
    <s v="STK"/>
    <x v="12"/>
    <s v="L-&gt;R"/>
    <s v="No"/>
    <s v="Y66231"/>
    <n v="1"/>
    <s v="前海保税区"/>
    <x v="222"/>
    <n v="5.0799999999999998E-2"/>
    <s v="DEC 23"/>
    <n v="2023.7"/>
    <s v="RMB"/>
    <s v="C49SZX20230140SX"/>
    <s v="莫思特"/>
    <s v="YSM20R-2"/>
    <s v="L-&gt;R"/>
    <s v="No"/>
    <s v="OK"/>
    <s v="DDP HZ"/>
    <d v="2023-12-11T00:00:00"/>
    <s v="Yes"/>
    <m/>
    <m/>
    <m/>
    <s v="C210640541"/>
  </r>
  <r>
    <n v="2034"/>
    <x v="0"/>
    <x v="0"/>
    <s v="111310(拆分PO111374)"/>
    <s v="STK"/>
    <x v="12"/>
    <s v="L-&gt;R"/>
    <s v="No"/>
    <s v="Y66232"/>
    <n v="1"/>
    <s v="前海保税区"/>
    <x v="222"/>
    <n v="5.0799999999999998E-2"/>
    <s v="JAN 24"/>
    <n v="2023.7"/>
    <s v="RMB"/>
    <s v="CG20231204009"/>
    <s v="徕芬"/>
    <s v="YSM20R-2"/>
    <s v="L-&gt;R"/>
    <s v="No"/>
    <s v="OK"/>
    <s v="DDP DG"/>
    <d v="2023-12-01T00:00:00"/>
    <s v="Yes"/>
    <m/>
    <m/>
    <m/>
    <s v="C230345279"/>
  </r>
  <r>
    <n v="2047"/>
    <x v="0"/>
    <x v="0"/>
    <s v="111310(拆分PO111374)"/>
    <s v="STK"/>
    <x v="12"/>
    <s v="L-&gt;R"/>
    <s v="No"/>
    <s v="Y66233 给倍美斯"/>
    <n v="1"/>
    <s v="前海保税区"/>
    <x v="222"/>
    <n v="5.0799999999999998E-2"/>
    <s v="DEC 23"/>
    <n v="2023.7"/>
    <s v="JPY"/>
    <s v="C49SZX20230139DX"/>
    <s v="联鸿精密（end user:倍美斯）"/>
    <s v="YSM20R-2"/>
    <s v="L-&gt;R"/>
    <s v="MVC"/>
    <s v="WRONG"/>
    <s v="DAP SZ"/>
    <d v="2023-12-13T00:00:00"/>
    <s v="Yes"/>
    <m/>
    <m/>
    <m/>
    <s v="C231247960"/>
  </r>
  <r>
    <n v="2035"/>
    <x v="0"/>
    <x v="0"/>
    <s v="111310(拆分PO111374)"/>
    <s v="STK"/>
    <x v="12"/>
    <s v="L-&gt;R"/>
    <s v="No"/>
    <s v="Y66234"/>
    <n v="1"/>
    <s v="前海保税区"/>
    <x v="222"/>
    <n v="5.0799999999999998E-2"/>
    <s v="JAN 24"/>
    <n v="2023.7"/>
    <s v="RMB"/>
    <s v="CG20231204009"/>
    <s v="徕芬"/>
    <s v="YSM20R-2"/>
    <s v="L-&gt;R"/>
    <s v="No"/>
    <s v="OK"/>
    <s v="DDP DG"/>
    <d v="2023-12-01T00:00:00"/>
    <s v="Yes"/>
    <m/>
    <m/>
    <m/>
    <s v="C230345279"/>
  </r>
  <r>
    <n v="2063"/>
    <x v="0"/>
    <x v="0"/>
    <s v="111310(拆分PO111374)"/>
    <s v="STK"/>
    <x v="12"/>
    <s v="L-&gt;R"/>
    <s v="No"/>
    <s v="Y66235"/>
    <n v="1"/>
    <s v="前海保税区"/>
    <x v="222"/>
    <n v="5.0799999999999998E-2"/>
    <s v="JAN 24"/>
    <n v="2023.7"/>
    <s v="JPY"/>
    <s v="C49SZX20240005EC"/>
    <s v="诺亚兴"/>
    <s v="YSM20R-2"/>
    <s v="L-&gt;R"/>
    <s v="MVC"/>
    <s v="WRONG"/>
    <s v="CIF HK"/>
    <d v="2024-01-17T00:00:00"/>
    <s v="Yes"/>
    <m/>
    <m/>
    <m/>
    <m/>
  </r>
  <r>
    <n v="2056"/>
    <x v="0"/>
    <x v="0"/>
    <n v="111310"/>
    <s v="STK"/>
    <x v="12"/>
    <s v="L-&gt;R"/>
    <s v="No"/>
    <s v="Y66236"/>
    <n v="1"/>
    <s v="前海保税区"/>
    <x v="222"/>
    <s v="NM,Coper rate 0.0514"/>
    <s v="JAN 24"/>
    <n v="2023.7"/>
    <s v="JPY"/>
    <s v="C49SZX20230145BH"/>
    <s v="世纪佳柔"/>
    <s v="YSM20R-2"/>
    <s v="L-&gt;R"/>
    <s v="No"/>
    <s v="OK"/>
    <s v="DAP DG"/>
    <d v="2023-12-23T00:00:00"/>
    <s v="Yes"/>
    <m/>
    <m/>
    <m/>
    <s v="C240148193"/>
  </r>
  <r>
    <n v="2044"/>
    <x v="0"/>
    <x v="0"/>
    <n v="111310"/>
    <s v="STK"/>
    <x v="12"/>
    <s v="L-&gt;R"/>
    <s v="No"/>
    <s v="Y66237"/>
    <n v="1"/>
    <s v="前海保税区"/>
    <x v="222"/>
    <s v="NM,Coper rate 0.0514"/>
    <s v="DEC 23"/>
    <n v="2023.7"/>
    <s v="JPY"/>
    <s v="C49SZX202300141SS"/>
    <s v="派勤"/>
    <s v="YSM20R-2"/>
    <s v="L-&gt;R"/>
    <s v="MVC"/>
    <s v="WRONG"/>
    <s v="DAP SZ"/>
    <d v="2023-12-08T00:00:00"/>
    <s v="Yes"/>
    <m/>
    <m/>
    <m/>
    <s v="C201138627"/>
  </r>
  <r>
    <n v="2081"/>
    <x v="0"/>
    <x v="0"/>
    <n v="111310"/>
    <s v="STK"/>
    <x v="12"/>
    <s v="L-&gt;R"/>
    <s v="No"/>
    <s v="Y66238"/>
    <n v="1"/>
    <s v="前海保税区"/>
    <x v="222"/>
    <s v="NM,Coper rate 0.0514"/>
    <s v="FEB 24"/>
    <n v="2023.7"/>
    <s v="JPY"/>
    <s v="C49SZX20240018DZ"/>
    <s v="斯迈"/>
    <s v="YSM20R-2"/>
    <s v="L-&gt;R"/>
    <s v="No"/>
    <s v="OK"/>
    <s v="DAP GZ"/>
    <d v="2024-01-25T00:00:00"/>
    <s v="Yes"/>
    <m/>
    <m/>
    <m/>
    <m/>
  </r>
  <r>
    <n v="2053"/>
    <x v="0"/>
    <x v="0"/>
    <n v="111310"/>
    <s v="STK"/>
    <x v="12"/>
    <s v="L-&gt;R"/>
    <s v="No"/>
    <s v="Y66239"/>
    <n v="1"/>
    <s v="前海保税区"/>
    <x v="222"/>
    <s v="NM,Coper rate 0.0514"/>
    <s v="JAN 24"/>
    <n v="2023.7"/>
    <s v="JPY"/>
    <s v="C49SZX20230142SS"/>
    <s v="盈通恒翼"/>
    <s v="YSM20R-2"/>
    <s v="L-&gt;R"/>
    <s v="No"/>
    <s v="OK"/>
    <s v="DAP SZ"/>
    <d v="2023-12-22T00:00:00"/>
    <s v="Yes"/>
    <m/>
    <m/>
    <m/>
    <s v="C210139067"/>
  </r>
  <r>
    <n v="2055"/>
    <x v="0"/>
    <x v="0"/>
    <n v="111310"/>
    <s v="STK"/>
    <x v="12"/>
    <s v="L-&gt;R"/>
    <s v="No"/>
    <s v="Y66240"/>
    <n v="1"/>
    <s v="前海保税区"/>
    <x v="222"/>
    <s v="NM,Coper rate 0.0514"/>
    <s v="JAN 24"/>
    <n v="2023.7"/>
    <s v="JPY"/>
    <s v="C49SZX20230145BH"/>
    <s v="世纪佳柔"/>
    <s v="YSM20R-2"/>
    <s v="L-&gt;R"/>
    <s v="No"/>
    <s v="OK"/>
    <s v="DAP DG"/>
    <d v="2023-12-23T00:00:00"/>
    <s v="Yes"/>
    <m/>
    <m/>
    <m/>
    <s v="C240148193"/>
  </r>
  <r>
    <n v="1920"/>
    <x v="0"/>
    <x v="1"/>
    <s v="28L104577"/>
    <s v="成景名义下单（上海下单)"/>
    <x v="13"/>
    <s v="R-&gt;L"/>
    <s v="No"/>
    <s v="Y66709"/>
    <n v="1"/>
    <s v="码头"/>
    <x v="223"/>
    <n v="5.2200000000000003E-2"/>
    <s v="AUG 23"/>
    <m/>
    <s v="RMB"/>
    <s v="C28SZX20230069R1SX"/>
    <s v="纬博特（End user：成景）"/>
    <s v="YSi-V"/>
    <s v="R-&gt;L"/>
    <s v="No"/>
    <s v="OK"/>
    <s v="DDP FS"/>
    <d v="2023-05-24T00:00:00"/>
    <s v="Yes"/>
    <m/>
    <m/>
    <m/>
    <s v="IND"/>
  </r>
  <r>
    <n v="2017"/>
    <x v="0"/>
    <x v="0"/>
    <s v="111309(拆分PO111373)"/>
    <s v="STK"/>
    <x v="1"/>
    <s v="R-&gt;L"/>
    <s v="No"/>
    <s v="Y66221"/>
    <n v="1"/>
    <s v="力合仓库(已经清关)"/>
    <x v="224"/>
    <s v="PO 111361 Rate:0.050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m/>
  </r>
  <r>
    <n v="2010"/>
    <x v="0"/>
    <x v="0"/>
    <s v="111309(拆分PO111373)"/>
    <s v="STK"/>
    <x v="1"/>
    <s v="R-&gt;L"/>
    <s v="No"/>
    <s v="Y66222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m/>
  </r>
  <r>
    <n v="2011"/>
    <x v="0"/>
    <x v="0"/>
    <s v="111309(拆分PO111373)"/>
    <s v="STK"/>
    <x v="1"/>
    <s v="R-&gt;L"/>
    <s v="No"/>
    <s v="Y66223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m/>
  </r>
  <r>
    <n v="2012"/>
    <x v="0"/>
    <x v="0"/>
    <s v="111309(拆分PO111373)"/>
    <s v="STK"/>
    <x v="1"/>
    <s v="R-&gt;L"/>
    <s v="No"/>
    <s v="Y66224,标签变红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m/>
  </r>
  <r>
    <n v="2013"/>
    <x v="0"/>
    <x v="0"/>
    <s v="111309(拆分PO111373)"/>
    <s v="STK"/>
    <x v="1"/>
    <s v="R-&gt;L"/>
    <s v="No"/>
    <s v="Y66225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m/>
  </r>
  <r>
    <n v="2014"/>
    <x v="0"/>
    <x v="0"/>
    <n v="111309"/>
    <s v="STK"/>
    <x v="1"/>
    <s v="R-&gt;L"/>
    <s v="No"/>
    <s v="Y66226"/>
    <n v="1"/>
    <s v="前海保税区"/>
    <x v="224"/>
    <n v="5.0500000000000003E-2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m/>
  </r>
  <r>
    <n v="2015"/>
    <x v="0"/>
    <x v="0"/>
    <n v="111309"/>
    <s v="STK"/>
    <x v="1"/>
    <s v="R-&gt;L"/>
    <s v="No"/>
    <s v="Y66227"/>
    <n v="1"/>
    <s v="前海保税区"/>
    <x v="224"/>
    <n v="5.0500000000000003E-2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m/>
  </r>
  <r>
    <n v="2016"/>
    <x v="0"/>
    <x v="0"/>
    <n v="111309"/>
    <s v="STK"/>
    <x v="1"/>
    <s v="R-&gt;L"/>
    <s v="No"/>
    <s v="Y66228"/>
    <n v="1"/>
    <s v="前海保税区"/>
    <x v="224"/>
    <n v="5.0500000000000003E-2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m/>
  </r>
  <r>
    <n v="2019"/>
    <x v="0"/>
    <x v="0"/>
    <n v="111309"/>
    <s v="STK"/>
    <x v="1"/>
    <s v="R-&gt;L"/>
    <s v="ATS15"/>
    <s v="Y66229"/>
    <n v="1"/>
    <s v="前海保税区"/>
    <x v="224"/>
    <n v="5.0500000000000003E-2"/>
    <s v="NOV 23"/>
    <n v="2023.7"/>
    <s v="JPY"/>
    <s v="C49SZX20230123SX"/>
    <s v="永顺创"/>
    <s v="YSM10"/>
    <s v="L-&gt;R"/>
    <s v="MVC+ATS15"/>
    <s v="WRONG"/>
    <s v="DAP SZ"/>
    <d v="2023-11-10T00:00:00"/>
    <s v="Yes"/>
    <m/>
    <m/>
    <m/>
    <s v="C220442692"/>
  </r>
  <r>
    <n v="2022"/>
    <x v="0"/>
    <x v="0"/>
    <n v="111309"/>
    <s v="STK"/>
    <x v="1"/>
    <s v="R-&gt;L"/>
    <s v="ATS15"/>
    <s v="Y66230"/>
    <n v="1"/>
    <s v="前海仓库-&gt;准备清关"/>
    <x v="224"/>
    <n v="5.0500000000000003E-2"/>
    <s v="DEC 23"/>
    <n v="2023.7"/>
    <s v="RMB"/>
    <s v="C49SZX20230129JL/HJD23110851"/>
    <s v="皓吉达"/>
    <s v="YSM10"/>
    <s v="L-&gt;R"/>
    <s v="ATS15"/>
    <s v="WRONG"/>
    <s v="DDP HY"/>
    <d v="2023-11-20T00:00:00"/>
    <s v="Yes"/>
    <m/>
    <m/>
    <m/>
    <s v="C230545954"/>
  </r>
  <r>
    <n v="2045"/>
    <x v="0"/>
    <x v="0"/>
    <n v="111342"/>
    <s v="STK"/>
    <x v="12"/>
    <s v="L-&gt;R"/>
    <s v="No"/>
    <s v="Y66762"/>
    <n v="1"/>
    <s v="前海保税区"/>
    <x v="225"/>
    <n v="5.0500000000000003E-2"/>
    <s v="JAN 24"/>
    <n v="2023.8"/>
    <s v="JPY"/>
    <s v="C49SZX20230142MZ"/>
    <s v="朗格邦定"/>
    <s v="YSM20R-2"/>
    <s v="L-&gt;R"/>
    <s v="No"/>
    <s v="OK"/>
    <s v="DAP SZ"/>
    <d v="2023-12-11T00:00:00"/>
    <s v="Yes"/>
    <m/>
    <m/>
    <m/>
    <s v="C240148218"/>
  </r>
  <r>
    <n v="2082"/>
    <x v="0"/>
    <x v="0"/>
    <n v="111342"/>
    <s v="STK"/>
    <x v="12"/>
    <s v="L-&gt;R"/>
    <s v="No"/>
    <s v="Y66763"/>
    <n v="1"/>
    <s v="前海保税区"/>
    <x v="225"/>
    <n v="5.0500000000000003E-2"/>
    <s v="FEB 24"/>
    <n v="2023.8"/>
    <s v="JPY"/>
    <s v="C49SZX20240018DZ"/>
    <s v="斯迈"/>
    <s v="YSM20R-2"/>
    <s v="L-&gt;R"/>
    <s v="No"/>
    <s v="OK"/>
    <s v="DAP GZ"/>
    <d v="2024-01-25T00:00:00"/>
    <s v="Yes"/>
    <m/>
    <m/>
    <m/>
    <m/>
  </r>
  <r>
    <n v="2083"/>
    <x v="0"/>
    <x v="0"/>
    <n v="111342"/>
    <s v="STK"/>
    <x v="12"/>
    <s v="L-&gt;R"/>
    <s v="No"/>
    <s v="Y66764"/>
    <n v="1"/>
    <s v="前海保税区"/>
    <x v="225"/>
    <n v="5.0500000000000003E-2"/>
    <s v="FEB 24"/>
    <n v="2023.8"/>
    <s v="JPY"/>
    <s v="C49SZX20240018DZ"/>
    <s v="斯迈"/>
    <s v="YSM20R-2"/>
    <s v="L-&gt;R"/>
    <s v="No"/>
    <s v="OK"/>
    <s v="DAP GZ"/>
    <d v="2024-01-25T00:00:00"/>
    <s v="Yes"/>
    <m/>
    <m/>
    <m/>
    <m/>
  </r>
  <r>
    <n v="2084"/>
    <x v="0"/>
    <x v="0"/>
    <n v="111342"/>
    <s v="STK"/>
    <x v="12"/>
    <s v="L-&gt;R"/>
    <s v="No"/>
    <s v="Y66765"/>
    <n v="1"/>
    <s v="前海保税区"/>
    <x v="225"/>
    <n v="5.0500000000000003E-2"/>
    <s v="FEB 24"/>
    <n v="2023.8"/>
    <s v="JPY"/>
    <s v="C49SZX20240018DZ"/>
    <s v="斯迈"/>
    <s v="YSM20R-2"/>
    <s v="L-&gt;R"/>
    <s v="No"/>
    <s v="OK"/>
    <s v="DAP GZ"/>
    <d v="2024-01-25T00:00:00"/>
    <s v="Yes"/>
    <m/>
    <m/>
    <m/>
    <m/>
  </r>
  <r>
    <n v="2090"/>
    <x v="0"/>
    <x v="0"/>
    <n v="111342"/>
    <s v="STK"/>
    <x v="12"/>
    <s v="L-&gt;R"/>
    <s v="No"/>
    <s v="Y66768"/>
    <n v="1"/>
    <s v="前海保税区"/>
    <x v="225"/>
    <n v="5.0500000000000003E-2"/>
    <s v="FEB 24"/>
    <n v="2023.8"/>
    <s v="JPY"/>
    <s v="C49SZX20240021EC"/>
    <s v="格美通"/>
    <s v="YSM20R-2"/>
    <s v="L-&gt;R"/>
    <s v="No"/>
    <s v="OK"/>
    <s v="DAP SZ"/>
    <d v="2024-01-29T00:00:00"/>
    <s v="Yes"/>
    <m/>
    <m/>
    <m/>
    <m/>
  </r>
  <r>
    <n v="2052"/>
    <x v="0"/>
    <x v="0"/>
    <n v="111341"/>
    <s v="STK"/>
    <x v="1"/>
    <s v="R-&gt;L"/>
    <s v="No"/>
    <s v="Y66814"/>
    <n v="1"/>
    <s v="前海保税区"/>
    <x v="225"/>
    <n v="5.0299999999999997E-2"/>
    <s v="JAN 24"/>
    <n v="2023.7"/>
    <s v="JPY"/>
    <s v="C49SZX20230142SS"/>
    <s v="盈通恒翼"/>
    <s v="YSM10"/>
    <s v="R-&gt;L"/>
    <s v="No"/>
    <s v="OK"/>
    <s v="DAP SZ"/>
    <d v="2023-12-22T00:00:00"/>
    <s v="Yes"/>
    <m/>
    <m/>
    <m/>
    <s v="C210139067"/>
  </r>
  <r>
    <n v="2051"/>
    <x v="0"/>
    <x v="0"/>
    <n v="111341"/>
    <s v="STK"/>
    <x v="1"/>
    <s v="R-&gt;L"/>
    <s v="No"/>
    <s v="Y66815"/>
    <n v="1"/>
    <s v="前海保税区"/>
    <x v="225"/>
    <n v="5.0299999999999997E-2"/>
    <s v="JAN 24"/>
    <n v="2023.7"/>
    <s v="JPY"/>
    <s v="C49SZX20230142SS"/>
    <s v="盈通恒翼"/>
    <s v="YSM10"/>
    <s v="R-&gt;L"/>
    <s v="No"/>
    <s v="OK"/>
    <s v="DAP SZ"/>
    <d v="2023-12-22T00:00:00"/>
    <s v="Yes"/>
    <m/>
    <m/>
    <m/>
    <s v="C210139067"/>
  </r>
  <r>
    <n v="2049"/>
    <x v="0"/>
    <x v="0"/>
    <n v="111341"/>
    <s v="STK"/>
    <x v="1"/>
    <s v="R-&gt;L"/>
    <s v="No"/>
    <s v="Y66816"/>
    <n v="1"/>
    <s v="前海保税区"/>
    <x v="225"/>
    <n v="5.0299999999999997E-2"/>
    <s v="JAN 24"/>
    <n v="2023.7"/>
    <s v="JPY"/>
    <s v="C49SZX20230142SS"/>
    <s v="盈通恒翼"/>
    <s v="YSM10"/>
    <s v="L-&gt;R"/>
    <s v="No"/>
    <s v="WRONG"/>
    <s v="DAP SZ"/>
    <d v="2023-12-22T00:00:00"/>
    <s v="Yes"/>
    <m/>
    <m/>
    <m/>
    <s v="C210139067"/>
  </r>
  <r>
    <n v="2089"/>
    <x v="1"/>
    <x v="0"/>
    <n v="111341"/>
    <s v="STK"/>
    <x v="1"/>
    <s v="R-&gt;L"/>
    <s v="No"/>
    <s v="Y66817"/>
    <n v="1"/>
    <s v="力合仓库(已经清关)"/>
    <x v="225"/>
    <s v="PO，111054改49F104337，Rate:0.0488"/>
    <s v="MAR 24"/>
    <n v="2023.7"/>
    <s v="RMB"/>
    <s v="C49SZX20240022SS/ZC20240119106"/>
    <s v="创舰"/>
    <s v="YSM10"/>
    <s v="L-&gt;R"/>
    <s v="MVC"/>
    <s v="WRONG"/>
    <s v="DDP HZ"/>
    <d v="2024-01-30T00:00:00"/>
    <s v="Yes"/>
    <m/>
    <m/>
    <m/>
    <m/>
  </r>
  <r>
    <n v="2023"/>
    <x v="0"/>
    <x v="0"/>
    <n v="111341"/>
    <s v="STK"/>
    <x v="1"/>
    <s v="R-&gt;L"/>
    <s v="ATS15"/>
    <s v="Y66818"/>
    <n v="1"/>
    <s v="前海保税区"/>
    <x v="225"/>
    <n v="5.0299999999999997E-2"/>
    <s v="NOV 23"/>
    <n v="2023.8"/>
    <s v="JPY"/>
    <s v="C49SZX20230128SX"/>
    <s v="江西奕东"/>
    <s v="YSM10"/>
    <s v="L-&gt;R"/>
    <s v="MVC+ATS15"/>
    <s v="WRONG"/>
    <s v="DAP JX"/>
    <d v="2023-11-20T00:00:00"/>
    <s v="Yes"/>
    <m/>
    <m/>
    <m/>
    <s v="C231147835"/>
  </r>
  <r>
    <n v="1932"/>
    <x v="0"/>
    <x v="0"/>
    <s v="111361(拆单111364）"/>
    <s v="STK"/>
    <x v="1"/>
    <s v="L-&gt;R"/>
    <s v="MVC+ATS15(with 5 heads) "/>
    <s v="Y67123"/>
    <n v="1"/>
    <s v="CY仓库"/>
    <x v="226"/>
    <s v="JPY/HKD:0.0568,USD/HKD 固定汇率是7.8"/>
    <s v="SEP 23"/>
    <n v="2023.9"/>
    <s v="USD"/>
    <s v="C49SZX20230076JL/4600002395"/>
    <s v="高伟"/>
    <s v="YSM10"/>
    <s v="L-&gt;R"/>
    <s v="MVC+ATS15(with 5 heads)"/>
    <s v="WRONG"/>
    <s v="CIF HK"/>
    <d v="2023-06-27T00:00:00"/>
    <s v="Yes"/>
    <m/>
    <m/>
    <m/>
    <s v="C230846913"/>
  </r>
  <r>
    <n v="2024"/>
    <x v="0"/>
    <x v="0"/>
    <n v="111361"/>
    <s v="STK"/>
    <x v="1"/>
    <s v="R-&gt;L"/>
    <s v="ATS15"/>
    <s v="Y67124"/>
    <n v="1"/>
    <s v="前海保税区"/>
    <x v="226"/>
    <n v="0.05"/>
    <s v="NOV 23"/>
    <n v="2023.9"/>
    <s v="JPY"/>
    <s v="C49SZX20230128SX"/>
    <s v="江西奕东"/>
    <s v="YSM10"/>
    <s v="L-&gt;R"/>
    <s v="MVC+ATS15"/>
    <s v="WRONG"/>
    <s v="DAP JX"/>
    <d v="2023-11-20T00:00:00"/>
    <s v="Yes"/>
    <m/>
    <m/>
    <m/>
    <s v="C231147835"/>
  </r>
  <r>
    <n v="2046"/>
    <x v="0"/>
    <x v="0"/>
    <n v="111361"/>
    <s v="STK"/>
    <x v="1"/>
    <s v="R-&gt;L"/>
    <s v="No"/>
    <s v="Y67125"/>
    <n v="1"/>
    <s v="前海保税区"/>
    <x v="226"/>
    <n v="0.05"/>
    <s v="JAN 24"/>
    <n v="2023.8"/>
    <s v="JPY"/>
    <s v="C49SZX20230142MZ"/>
    <s v="朗格邦定"/>
    <s v="YSM10"/>
    <s v="R-&gt;L"/>
    <s v="MVC"/>
    <s v="WRONG"/>
    <s v="DAP SZ"/>
    <d v="2023-12-11T00:00:00"/>
    <s v="Yes"/>
    <m/>
    <m/>
    <m/>
    <s v="C240148218"/>
  </r>
  <r>
    <n v="2070"/>
    <x v="1"/>
    <x v="0"/>
    <n v="111361"/>
    <s v="STK"/>
    <x v="1"/>
    <s v="R-&gt;L"/>
    <s v="No"/>
    <s v="Y67126"/>
    <n v="1"/>
    <s v="力合仓库(已经清关)"/>
    <x v="226"/>
    <s v="111309(拆分PO111373) Rate:0.0508"/>
    <s v="MAR 24"/>
    <n v="2023.8"/>
    <s v="JPY"/>
    <s v="C49SZX20240009MZ"/>
    <s v="鸿楠"/>
    <s v="YSM10"/>
    <s v="R-&gt;L"/>
    <s v="MVC"/>
    <s v="WRONG"/>
    <s v="CIF HK"/>
    <d v="2024-01-22T00:00:00"/>
    <s v="Yes"/>
    <m/>
    <m/>
    <m/>
    <m/>
  </r>
  <r>
    <n v="2086"/>
    <x v="0"/>
    <x v="0"/>
    <n v="111361"/>
    <s v="STK"/>
    <x v="1"/>
    <s v="R-&gt;L"/>
    <s v="No"/>
    <s v="Y67127"/>
    <n v="1"/>
    <s v="前海保税区"/>
    <x v="226"/>
    <n v="0.05"/>
    <s v="FEB 24"/>
    <n v="2023.8"/>
    <s v="JPY"/>
    <s v="C49SZX20240013SX"/>
    <s v="江西优控"/>
    <s v="YSM10"/>
    <s v="L-&gt;R"/>
    <s v="MVC"/>
    <s v="WRONG"/>
    <s v="DAP JX"/>
    <d v="2024-01-23T00:00:00"/>
    <s v="Yes"/>
    <m/>
    <m/>
    <m/>
    <m/>
  </r>
  <r>
    <n v="2085"/>
    <x v="0"/>
    <x v="0"/>
    <n v="111362"/>
    <s v="STK"/>
    <x v="12"/>
    <s v="L-&gt;R"/>
    <s v="No"/>
    <s v="Y67128"/>
    <n v="1"/>
    <s v="前海保税区"/>
    <x v="227"/>
    <s v="NM,Coper rate 0.0512 PO#111464"/>
    <s v="FEB 24"/>
    <n v="2023.9"/>
    <s v="JPY"/>
    <s v="C49SZX20240013SX"/>
    <s v="江西优控"/>
    <s v="YSM20R-2"/>
    <s v="L-&gt;R"/>
    <s v="No"/>
    <s v="OK"/>
    <s v="DAP JX"/>
    <d v="2024-01-23T00:00:00"/>
    <s v="Yes"/>
    <m/>
    <m/>
    <m/>
    <m/>
  </r>
  <r>
    <n v="2099"/>
    <x v="1"/>
    <x v="0"/>
    <n v="111362"/>
    <s v="STK"/>
    <x v="12"/>
    <s v="L-&gt;R"/>
    <s v="No"/>
    <s v="Y67129"/>
    <n v="1"/>
    <s v="前海保税区"/>
    <x v="227"/>
    <n v="0.05"/>
    <s v="MAR 24"/>
    <n v="2023.9"/>
    <s v="USD"/>
    <s v="VNHJD20230226"/>
    <s v="越南皓吉达"/>
    <s v="YSM20R-2"/>
    <s v="L-&gt;R"/>
    <s v="No"/>
    <s v="OK"/>
    <s v="CIF Vietnam"/>
    <d v="2024-02-26T00:00:00"/>
    <s v="Yes"/>
    <m/>
    <m/>
    <m/>
    <m/>
  </r>
  <r>
    <n v="2087"/>
    <x v="1"/>
    <x v="0"/>
    <n v="111362"/>
    <s v="STK"/>
    <x v="12"/>
    <s v="L-&gt;R"/>
    <s v="No"/>
    <s v="Y67130"/>
    <n v="1"/>
    <s v="前海保税区"/>
    <x v="227"/>
    <s v="NM,Coper rate 0.0512 PO#111464"/>
    <s v="MAR 24"/>
    <n v="2023.9"/>
    <s v="USD"/>
    <s v="C49SZX20240030SX"/>
    <s v="广基达"/>
    <s v="YSM20R-2"/>
    <s v="L-&gt;R"/>
    <s v="No"/>
    <s v="OK"/>
    <s v="CIF Vietnam"/>
    <d v="2024-01-26T00:00:00"/>
    <s v="Yes"/>
    <m/>
    <m/>
    <m/>
    <m/>
  </r>
  <r>
    <n v="2093"/>
    <x v="1"/>
    <x v="0"/>
    <n v="111362"/>
    <s v="STK"/>
    <x v="12"/>
    <s v="L-&gt;R"/>
    <s v="No"/>
    <s v="Y67131"/>
    <n v="1"/>
    <s v="前海保税区"/>
    <x v="227"/>
    <n v="0.05"/>
    <m/>
    <n v="2023.9"/>
    <s v="RMB"/>
    <s v="C49SZX20240025JL"/>
    <s v="博新"/>
    <s v="YSM20R-2"/>
    <s v="L-&gt;R"/>
    <s v="No"/>
    <s v="OK"/>
    <s v="DDP SZ"/>
    <d v="2024-01-31T00:00:00"/>
    <s v="Yes"/>
    <m/>
    <m/>
    <m/>
    <m/>
  </r>
  <r>
    <n v="2061"/>
    <x v="0"/>
    <x v="0"/>
    <n v="111362"/>
    <s v="STK"/>
    <x v="12"/>
    <s v="L-&gt;R"/>
    <s v="No"/>
    <s v="Y67132"/>
    <n v="1"/>
    <s v="前海保税区"/>
    <x v="227"/>
    <n v="0.05"/>
    <s v="FEB 24"/>
    <n v="2023.9"/>
    <s v="JPY"/>
    <s v="C49SZX20240001JY"/>
    <s v="豫龙辉"/>
    <s v="YSM20R-2"/>
    <s v="L-&gt;R"/>
    <s v="MVC"/>
    <s v="WRONG"/>
    <s v="DAP SZ"/>
    <d v="2024-01-12T00:00:00"/>
    <s v="Yes"/>
    <m/>
    <m/>
    <m/>
    <m/>
  </r>
  <r>
    <n v="1836"/>
    <x v="0"/>
    <x v="1"/>
    <s v="B28111390"/>
    <s v="鸿楠名义下单"/>
    <x v="13"/>
    <s v="R-&gt;L"/>
    <s v="No"/>
    <s v="Y67378"/>
    <n v="1"/>
    <s v="码头"/>
    <x v="228"/>
    <s v="NM"/>
    <s v="NOV 23"/>
    <n v="2023.1"/>
    <s v="JPY"/>
    <s v="C28SZX20230085MZ"/>
    <s v="东莞鸿楠"/>
    <s v="YSi-V"/>
    <s v="R-&gt;L"/>
    <s v="No"/>
    <s v="OK"/>
    <s v="CIF HK"/>
    <d v="2023-07-11T00:00:00"/>
    <s v="Yes"/>
    <m/>
    <m/>
    <m/>
    <s v="IND"/>
  </r>
  <r>
    <n v="1967"/>
    <x v="0"/>
    <x v="0"/>
    <s v="111421(拆单111434)"/>
    <s v="STK"/>
    <x v="1"/>
    <s v="L-&gt;R"/>
    <s v="MVC(with 5 heads) "/>
    <s v="Y67714"/>
    <n v="1"/>
    <s v="CY仓库"/>
    <x v="229"/>
    <s v="JPY/HKD:0.0533,USD/HKD 固定汇率是7.8"/>
    <s v="DEC 23"/>
    <n v="2023.11"/>
    <s v="USD"/>
    <s v="C49SZX20230096JL/4600003030"/>
    <s v="高伟"/>
    <s v="YSM10"/>
    <s v="L-&gt;R"/>
    <s v="MVC(with 5 heads) "/>
    <s v="OK"/>
    <s v="CIF HK"/>
    <d v="2023-08-21T00:00:00"/>
    <s v="Yes"/>
    <m/>
    <m/>
    <m/>
    <s v="C230746633"/>
  </r>
  <r>
    <n v="1968"/>
    <x v="0"/>
    <x v="0"/>
    <s v="111421(拆单111434)"/>
    <s v="STK"/>
    <x v="1"/>
    <s v="L-&gt;R"/>
    <s v="MVC(with 5 heads) "/>
    <s v="Y67715"/>
    <n v="1"/>
    <s v="CY仓库"/>
    <x v="229"/>
    <s v="JPY/HKD:0.0533,USD/HKD 固定汇率是7.8"/>
    <s v="DEC 23"/>
    <n v="2023.11"/>
    <s v="USD"/>
    <s v="C49SZX20230096JL/4600003030"/>
    <s v="高伟"/>
    <s v="YSM10"/>
    <s v="L-&gt;R"/>
    <s v="MVC(with 5 heads) "/>
    <s v="OK"/>
    <s v="CIF HK"/>
    <d v="2023-08-21T00:00:00"/>
    <s v="Yes"/>
    <m/>
    <m/>
    <m/>
    <s v="C230746633"/>
  </r>
  <r>
    <n v="2071"/>
    <x v="1"/>
    <x v="0"/>
    <n v="111421"/>
    <s v="STK"/>
    <x v="1"/>
    <s v="R-&gt;L"/>
    <s v="No"/>
    <s v="Y67717"/>
    <n v="1"/>
    <s v="前海保税区"/>
    <x v="229"/>
    <s v="NM,Coper rate 0.0495"/>
    <s v="MAR 24"/>
    <n v="2023.11"/>
    <s v="JPY"/>
    <s v="C49SZX20240009MZ"/>
    <s v="鸿楠"/>
    <s v="YSM10"/>
    <s v="R-&gt;L"/>
    <s v="MVC"/>
    <s v="WRONG"/>
    <s v="CIF HK"/>
    <d v="2024-01-22T00:00:00"/>
    <s v="Yes"/>
    <m/>
    <m/>
    <m/>
    <m/>
  </r>
  <r>
    <n v="2098"/>
    <x v="1"/>
    <x v="0"/>
    <n v="111421"/>
    <s v="STK"/>
    <x v="1"/>
    <s v="R-&gt;L"/>
    <s v="No"/>
    <s v="Y67718"/>
    <n v="1"/>
    <s v="前海保税区"/>
    <x v="229"/>
    <s v="NM,Coper rate 0.0495"/>
    <s v="MAR 24"/>
    <n v="2023.11"/>
    <s v="JPY"/>
    <s v="C49SZX20240029JY"/>
    <s v="建航"/>
    <s v="YSM10"/>
    <s v="L-&gt;R"/>
    <s v="MVC"/>
    <s v="WRONG"/>
    <s v="DAP SZ"/>
    <d v="2024-02-22T00:00:00"/>
    <s v="Yes"/>
    <m/>
    <m/>
    <m/>
    <m/>
  </r>
  <r>
    <n v="2036"/>
    <x v="0"/>
    <x v="0"/>
    <n v="111421"/>
    <s v="STK"/>
    <x v="1"/>
    <s v="R-&gt;L"/>
    <s v="ATS15"/>
    <s v="Y67716"/>
    <n v="1"/>
    <s v="前海保税区"/>
    <x v="229"/>
    <s v="NM,Coper rate 0.0495"/>
    <s v="JAN 24"/>
    <n v="2023.11"/>
    <s v="RMB"/>
    <s v="CG20231204009"/>
    <s v="徕芬"/>
    <s v="YSM10"/>
    <s v="L-&gt;R"/>
    <s v="MVC+ATS15"/>
    <s v="WRONG"/>
    <s v="DDP DG"/>
    <d v="2023-12-01T00:00:00"/>
    <s v="Yes"/>
    <m/>
    <m/>
    <m/>
    <s v="C230345279"/>
  </r>
  <r>
    <n v="2008"/>
    <x v="0"/>
    <x v="0"/>
    <n v="111452"/>
    <s v="STK"/>
    <x v="12"/>
    <s v="R-&gt;L"/>
    <s v="No"/>
    <s v="Y67980"/>
    <n v="1"/>
    <s v="前海保税区"/>
    <x v="230"/>
    <s v="NM,Coper rate 0.0495"/>
    <s v="JAN 24"/>
    <n v="2023.11"/>
    <s v="JPY"/>
    <s v="C49SZX20230111SX"/>
    <s v="兴开泰（end user:兴连）"/>
    <s v="YSM20R-2"/>
    <s v="R-&gt;L"/>
    <s v="No"/>
    <s v="OK"/>
    <s v="DAP DG"/>
    <d v="2023-11-07T00:00:00"/>
    <s v="Yes"/>
    <m/>
    <m/>
    <m/>
    <m/>
  </r>
  <r>
    <n v="2009"/>
    <x v="0"/>
    <x v="0"/>
    <n v="111452"/>
    <s v="STK"/>
    <x v="12"/>
    <s v="R-&gt;L"/>
    <s v="No"/>
    <s v="Y67981"/>
    <n v="1"/>
    <s v="前海保税区"/>
    <x v="230"/>
    <s v="NM,Coper rate 0.0495"/>
    <s v="JAN 24"/>
    <n v="2023.11"/>
    <s v="JPY"/>
    <s v="C49SZX20230111SX"/>
    <s v="兴开泰（end user:兴连）"/>
    <s v="YSM20R-2"/>
    <s v="R-&gt;L"/>
    <s v="No"/>
    <s v="OK"/>
    <s v="DAP DG"/>
    <d v="2023-11-07T00:00:00"/>
    <s v="Yes"/>
    <m/>
    <m/>
    <m/>
    <m/>
  </r>
  <r>
    <n v="2054"/>
    <x v="0"/>
    <x v="0"/>
    <n v="111452"/>
    <s v="STK"/>
    <x v="12"/>
    <s v="R-&gt;L"/>
    <s v="No"/>
    <s v="Y67982"/>
    <n v="1"/>
    <s v="前海保税区"/>
    <x v="230"/>
    <s v="NM,Coper rate 0.0495"/>
    <s v="JAN 24"/>
    <n v="2023.11"/>
    <s v="JPY"/>
    <s v="C49SZX20230142SS"/>
    <s v="盈通恒翼"/>
    <s v="YSM20R-2"/>
    <s v="R-&gt;L"/>
    <s v="No"/>
    <s v="OK"/>
    <s v="DAP SZ"/>
    <d v="2023-12-22T00:00:00"/>
    <s v="Yes"/>
    <m/>
    <m/>
    <m/>
    <s v="C210139067"/>
  </r>
  <r>
    <n v="2006"/>
    <x v="0"/>
    <x v="0"/>
    <n v="111452"/>
    <s v="STK"/>
    <x v="12"/>
    <s v="L-&gt;R"/>
    <s v="No"/>
    <s v="Y67983"/>
    <n v="1"/>
    <s v="前海保税区"/>
    <x v="230"/>
    <s v="NM,Coper rate 0.0495"/>
    <s v="JAN 24"/>
    <n v="2023.11"/>
    <s v="JPY"/>
    <s v="C49SZX20230111SX"/>
    <s v="兴开泰（end user:兴连）"/>
    <s v="YSM20R-2"/>
    <s v="L-&gt;R"/>
    <s v="No"/>
    <s v="OK"/>
    <s v="DAP DG"/>
    <d v="2023-11-07T00:00:00"/>
    <s v="Yes"/>
    <m/>
    <m/>
    <m/>
    <m/>
  </r>
  <r>
    <n v="2007"/>
    <x v="0"/>
    <x v="0"/>
    <n v="111452"/>
    <s v="STK"/>
    <x v="12"/>
    <s v="L-&gt;R"/>
    <s v="No"/>
    <s v="Y67984"/>
    <n v="1"/>
    <s v="前海保税区"/>
    <x v="230"/>
    <s v="NM,Coper rate 0.0495"/>
    <s v="JAN 24"/>
    <n v="2023.11"/>
    <s v="JPY"/>
    <s v="C49SZX20230111SX"/>
    <s v="兴开泰（end user:兴连）"/>
    <s v="YSM20R-2"/>
    <s v="L-&gt;R"/>
    <s v="No"/>
    <s v="OK"/>
    <s v="DAP DG"/>
    <d v="2023-11-07T00:00:00"/>
    <s v="Yes"/>
    <m/>
    <m/>
    <m/>
    <m/>
  </r>
  <r>
    <m/>
    <x v="1"/>
    <x v="0"/>
    <n v="111464"/>
    <s v="STK"/>
    <x v="12"/>
    <s v="L-&gt;R"/>
    <s v="No"/>
    <s v="Y68129"/>
    <n v="1"/>
    <s v="前海保税区"/>
    <x v="231"/>
    <s v="0.05 PO#111362"/>
    <m/>
    <n v="2023.11"/>
    <e v="#N/A"/>
    <e v="#N/A"/>
    <e v="#N/A"/>
    <e v="#N/A"/>
    <e v="#N/A"/>
    <e v="#N/A"/>
    <e v="#N/A"/>
    <e v="#N/A"/>
    <e v="#N/A"/>
    <e v="#N/A"/>
    <m/>
    <m/>
    <m/>
    <m/>
  </r>
  <r>
    <n v="2005"/>
    <x v="1"/>
    <x v="0"/>
    <n v="111464"/>
    <s v="STK"/>
    <x v="12"/>
    <s v="L-&gt;R"/>
    <s v="No"/>
    <s v="Y68130"/>
    <n v="1"/>
    <s v="前海保税区"/>
    <x v="231"/>
    <s v="0.05 PO#111362"/>
    <m/>
    <n v="2023.12"/>
    <s v="JPY"/>
    <s v="C49SZX20230115JY"/>
    <s v="万有"/>
    <s v="YSM20R-2"/>
    <s v="L-&gt;R"/>
    <s v="No"/>
    <s v="OK"/>
    <s v="DAP DG"/>
    <d v="2023-11-09T00:00:00"/>
    <s v="Yes"/>
    <m/>
    <m/>
    <m/>
    <m/>
  </r>
  <r>
    <m/>
    <x v="1"/>
    <x v="0"/>
    <n v="111464"/>
    <s v="STK"/>
    <x v="12"/>
    <s v="L-&gt;R"/>
    <s v="No"/>
    <s v="Y68131"/>
    <n v="1"/>
    <s v="前海保税区"/>
    <x v="231"/>
    <s v="NM,Coper rate 0.0512"/>
    <m/>
    <n v="2023.12"/>
    <e v="#N/A"/>
    <e v="#N/A"/>
    <e v="#N/A"/>
    <e v="#N/A"/>
    <e v="#N/A"/>
    <e v="#N/A"/>
    <e v="#N/A"/>
    <e v="#N/A"/>
    <e v="#N/A"/>
    <e v="#N/A"/>
    <m/>
    <m/>
    <m/>
    <m/>
  </r>
  <r>
    <m/>
    <x v="1"/>
    <x v="0"/>
    <n v="111464"/>
    <s v="STK"/>
    <x v="12"/>
    <s v="L-&gt;R"/>
    <s v="No"/>
    <s v="Y68132,有C66的货"/>
    <n v="1"/>
    <s v="前海保税区"/>
    <x v="231"/>
    <s v="NM,Coper rate 0.0512"/>
    <m/>
    <n v="2023.12"/>
    <e v="#N/A"/>
    <e v="#N/A"/>
    <e v="#N/A"/>
    <e v="#N/A"/>
    <e v="#N/A"/>
    <e v="#N/A"/>
    <e v="#N/A"/>
    <e v="#N/A"/>
    <e v="#N/A"/>
    <e v="#N/A"/>
    <m/>
    <m/>
    <m/>
    <m/>
  </r>
  <r>
    <n v="1969"/>
    <x v="1"/>
    <x v="0"/>
    <n v="111440"/>
    <s v="康佳名义下单"/>
    <x v="18"/>
    <s v="L-&gt;R"/>
    <s v="No"/>
    <s v="Y67969"/>
    <n v="1"/>
    <s v="前海保税区"/>
    <x v="231"/>
    <n v="4.9599999999999998E-2"/>
    <m/>
    <n v="2023.12"/>
    <s v="RMB"/>
    <s v="SNFPC-CG-2023-006"/>
    <s v="康佳 "/>
    <s v="S20"/>
    <s v="L-&gt;R"/>
    <s v="No"/>
    <s v="OK"/>
    <s v="DDP SN"/>
    <d v="2023-08-04T00:00:00"/>
    <s v="Yes"/>
    <m/>
    <m/>
    <m/>
    <m/>
  </r>
  <r>
    <n v="2000"/>
    <x v="0"/>
    <x v="0"/>
    <s v="111465(拆单111471)"/>
    <s v="STK"/>
    <x v="1"/>
    <s v="L-&gt;R"/>
    <s v="MVC+ATS15(with 5 heads) "/>
    <s v="Y68127"/>
    <n v="1"/>
    <m/>
    <x v="231"/>
    <s v="JPY/HKD:0.0525,USD/HKD 固定汇率是7.8"/>
    <s v="JAN 24"/>
    <n v="2023.12"/>
    <s v="USD"/>
    <s v="C49SZX20230119JL/4600003615"/>
    <s v="高伟"/>
    <s v="YSM10"/>
    <s v="L-&gt;R"/>
    <s v="MVC+ATS15(with 5 heads)"/>
    <s v="WRONG"/>
    <s v="CIF HK"/>
    <d v="2023-11-03T00:00:00"/>
    <s v="Yes"/>
    <m/>
    <m/>
    <m/>
    <s v="C230846913"/>
  </r>
  <r>
    <n v="2001"/>
    <x v="0"/>
    <x v="0"/>
    <s v="111465(拆单111471)"/>
    <s v="STK"/>
    <x v="1"/>
    <s v="L-&gt;R"/>
    <s v="MVC+ATS15(with 5 heads) "/>
    <s v="Y68128"/>
    <n v="1"/>
    <m/>
    <x v="231"/>
    <s v="JPY/HKD:0.0525,USD/HKD 固定汇率是7.8"/>
    <s v="JAN 24"/>
    <n v="2023.12"/>
    <s v="USD"/>
    <s v="C49SZX20230119JL/4600003615"/>
    <s v="高伟"/>
    <s v="YSM10"/>
    <s v="L-&gt;R"/>
    <s v="MVC+ATS15(with 5 heads)"/>
    <s v="WRONG"/>
    <s v="CIF HK"/>
    <d v="2023-11-03T00:00:00"/>
    <s v="Yes"/>
    <m/>
    <m/>
    <m/>
    <s v="C230846913"/>
  </r>
  <r>
    <n v="2088"/>
    <x v="1"/>
    <x v="0"/>
    <n v="111465"/>
    <s v="STK"/>
    <x v="1"/>
    <s v="R-&gt;L"/>
    <s v="ATS15"/>
    <s v="Y68124"/>
    <n v="1"/>
    <s v="前海保税区"/>
    <x v="231"/>
    <s v="NM,Coper rate 0.0512"/>
    <s v="MAR 24"/>
    <n v="2023.12"/>
    <s v="USD"/>
    <s v="C49SZX20240030SX"/>
    <s v="广基达"/>
    <s v="YSM10"/>
    <s v="L-&gt;R"/>
    <s v="MVC+ATS15"/>
    <s v="WRONG"/>
    <s v="CIF Vietnam"/>
    <d v="2024-01-26T00:00:00"/>
    <s v="Yes"/>
    <m/>
    <m/>
    <m/>
    <m/>
  </r>
  <r>
    <n v="2094"/>
    <x v="1"/>
    <x v="0"/>
    <n v="111465"/>
    <s v="STK"/>
    <x v="1"/>
    <s v="R-&gt;L"/>
    <s v="ATS15"/>
    <s v="Y68125"/>
    <n v="1"/>
    <s v="前海保税区"/>
    <x v="231"/>
    <s v="NM,Coper rate 0.0512"/>
    <s v="MAR 24"/>
    <n v="2023.12"/>
    <s v="USD"/>
    <s v="C49SZX20240026JL/4600004198"/>
    <s v="高伟"/>
    <s v="YSM10"/>
    <s v="L-&gt;R"/>
    <s v="MVC+ATS15"/>
    <s v="WRONG"/>
    <s v="CIF HK"/>
    <d v="2024-02-01T00:00:00"/>
    <s v="Yes"/>
    <m/>
    <m/>
    <m/>
    <m/>
  </r>
  <r>
    <n v="2097"/>
    <x v="1"/>
    <x v="0"/>
    <n v="111465"/>
    <s v="STK"/>
    <x v="1"/>
    <s v="R-&gt;L"/>
    <s v="ATS15"/>
    <s v="Y68126"/>
    <n v="1"/>
    <s v="前海保税区"/>
    <x v="231"/>
    <s v="NM,Coper rate 0.0512"/>
    <s v="MAR 24"/>
    <n v="2023.12"/>
    <s v="RMB"/>
    <s v="C49SZX20240028JL/HJD24020240"/>
    <s v="皓吉达"/>
    <s v="YSM10"/>
    <s v="L-&gt;R"/>
    <s v="ATS15"/>
    <s v="WRONG"/>
    <s v="DDP HY"/>
    <d v="2024-02-07T00:00:00"/>
    <s v="Yes"/>
    <m/>
    <m/>
    <m/>
    <m/>
  </r>
  <r>
    <n v="2032"/>
    <x v="0"/>
    <x v="0"/>
    <n v="111501"/>
    <s v="高伟名义下单"/>
    <x v="1"/>
    <s v="L-&gt;R"/>
    <s v="MVC+ATS15(with 5 heads) "/>
    <s v="Y68505"/>
    <n v="1"/>
    <s v="码头"/>
    <x v="232"/>
    <s v="JPY/HKD:0.0545,USD/HKD 固定汇率是7.8"/>
    <s v="FEB 24"/>
    <n v="2024.1"/>
    <s v="USD"/>
    <s v="C49SZX20230133JL/4600003765"/>
    <s v="高伟"/>
    <s v="YSM10"/>
    <s v="L-&gt;R"/>
    <s v="MVC+ATS15(with 5 heads)"/>
    <s v="WRONG"/>
    <s v="CIF HK"/>
    <d v="2023-11-30T00:00:00"/>
    <s v="Yes"/>
    <m/>
    <m/>
    <m/>
    <s v="IND"/>
  </r>
  <r>
    <n v="2033"/>
    <x v="0"/>
    <x v="0"/>
    <n v="111501"/>
    <s v="高伟名义下单"/>
    <x v="1"/>
    <s v="L-&gt;R"/>
    <s v="MVC+ATS15(with 5 heads) "/>
    <s v="Y68506"/>
    <n v="1"/>
    <s v="码头"/>
    <x v="232"/>
    <s v="JPY/HKD:0.0545,USD/HKD 固定汇率是7.8"/>
    <s v="FEB 24"/>
    <n v="2024.1"/>
    <s v="USD"/>
    <s v="C49SZX20230133JL/4600003765"/>
    <s v="高伟"/>
    <s v="YSM10"/>
    <s v="L-&gt;R"/>
    <s v="MVC+ATS15(with 5 heads)"/>
    <s v="WRONG"/>
    <s v="CIF HK"/>
    <d v="2023-11-30T00:00:00"/>
    <s v="Yes"/>
    <m/>
    <m/>
    <m/>
    <s v="IND"/>
  </r>
  <r>
    <n v="2040"/>
    <x v="0"/>
    <x v="0"/>
    <n v="111482"/>
    <s v="STK"/>
    <x v="12"/>
    <s v="L-&gt;R"/>
    <s v="cATS10+ANC+MVC+special layout"/>
    <s v="Y68427"/>
    <n v="1"/>
    <m/>
    <x v="233"/>
    <s v="JPY/HKD:0.0538,USD/HKD 固定汇率是7.8"/>
    <s v="MAR 24"/>
    <n v="2024.1"/>
    <s v="USD"/>
    <s v="C49SZX20230136JAL"/>
    <s v="TBS"/>
    <s v="YSM20R-2"/>
    <s v="L-&gt;R"/>
    <s v="MVC+cATS10+ANC"/>
    <s v="WRONG"/>
    <s v="CIF HK"/>
    <d v="2023-12-04T00:00:00"/>
    <s v="Yes"/>
    <m/>
    <m/>
    <m/>
    <m/>
  </r>
  <r>
    <n v="2004"/>
    <x v="1"/>
    <x v="1"/>
    <s v="B28111487"/>
    <s v="锐诚名义下单"/>
    <x v="13"/>
    <s v="L-&gt;R"/>
    <s v="No"/>
    <s v="Y68432"/>
    <n v="1"/>
    <m/>
    <x v="234"/>
    <s v="NM"/>
    <s v="MAR 24"/>
    <n v="2024.1"/>
    <s v="JPY"/>
    <s v="C28SZX20230122SX"/>
    <s v="锐诚"/>
    <s v="YSi-V"/>
    <s v="L-&gt;R"/>
    <s v="No"/>
    <s v="OK"/>
    <s v="DAP HZ"/>
    <d v="2023-11-06T00:00:00"/>
    <s v="Yes"/>
    <m/>
    <m/>
    <m/>
    <m/>
  </r>
  <r>
    <n v="2037"/>
    <x v="0"/>
    <x v="0"/>
    <n v="111503"/>
    <s v="徕芬名义下单"/>
    <x v="12"/>
    <s v="L-&gt;R"/>
    <s v="cATS10+MVC+Feeder Carriage"/>
    <s v="Y68524"/>
    <n v="1"/>
    <m/>
    <x v="234"/>
    <n v="4.99E-2"/>
    <s v="MAR 24"/>
    <n v="2024.1"/>
    <s v="RMB"/>
    <s v="CG20231204009"/>
    <s v="徕芬"/>
    <s v="YSM20R-2"/>
    <s v="L-&gt;R"/>
    <s v="cATS10+MVC+Feeder Carriage"/>
    <s v="OK"/>
    <s v="DDP DG"/>
    <d v="2023-12-01T00:00:00"/>
    <s v="Yes"/>
    <m/>
    <m/>
    <m/>
    <m/>
  </r>
  <r>
    <n v="2038"/>
    <x v="0"/>
    <x v="0"/>
    <n v="111503"/>
    <s v="徕芬名义下单"/>
    <x v="12"/>
    <s v="L-&gt;R"/>
    <s v="cATS10+MVC+Feeder Carriage"/>
    <s v="Y68525"/>
    <n v="1"/>
    <m/>
    <x v="234"/>
    <n v="4.99E-2"/>
    <s v="MAR 24"/>
    <n v="2024.2"/>
    <s v="RMB"/>
    <s v="CG20231204009"/>
    <s v="徕芬"/>
    <s v="YSM20R-2"/>
    <s v="L-&gt;R"/>
    <s v="cATS10+MVC+Feeder Carriage"/>
    <s v="OK"/>
    <s v="DDP DG"/>
    <d v="2023-12-01T00:00:00"/>
    <s v="Yes"/>
    <m/>
    <m/>
    <m/>
    <m/>
  </r>
  <r>
    <m/>
    <x v="2"/>
    <x v="1"/>
    <s v="B28111489"/>
    <s v="STK"/>
    <x v="19"/>
    <s v="L-&gt;R"/>
    <s v="No"/>
    <s v="Y68493"/>
    <n v="1"/>
    <m/>
    <x v="235"/>
    <s v="NM"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1"/>
    <s v="B28111489"/>
    <s v="STK"/>
    <x v="20"/>
    <s v="L-&gt;R"/>
    <s v="No"/>
    <s v="Y68494"/>
    <n v="1"/>
    <m/>
    <x v="235"/>
    <s v="NM"/>
    <m/>
    <m/>
    <e v="#N/A"/>
    <e v="#N/A"/>
    <e v="#N/A"/>
    <e v="#N/A"/>
    <e v="#N/A"/>
    <e v="#N/A"/>
    <e v="#N/A"/>
    <e v="#N/A"/>
    <e v="#N/A"/>
    <e v="#N/A"/>
    <m/>
    <m/>
    <m/>
    <m/>
  </r>
  <r>
    <n v="2096"/>
    <x v="2"/>
    <x v="0"/>
    <n v="111521"/>
    <s v="STK"/>
    <x v="1"/>
    <s v="R-&gt;L"/>
    <s v="ATS15"/>
    <s v="Y68691"/>
    <n v="1"/>
    <m/>
    <x v="236"/>
    <n v="4.9299999999999997E-2"/>
    <s v="MAR 24"/>
    <m/>
    <s v="USD"/>
    <s v="C49SZX20240027JL/4600004199"/>
    <s v="高伟"/>
    <s v="YSM10"/>
    <s v="L-&gt;R"/>
    <s v="MVC+ATS15"/>
    <s v="WRONG"/>
    <s v="CIF HK"/>
    <d v="2024-02-01T00:00:00"/>
    <s v="Yes"/>
    <m/>
    <m/>
    <m/>
    <m/>
  </r>
  <r>
    <n v="2095"/>
    <x v="2"/>
    <x v="0"/>
    <n v="111521"/>
    <s v="STK"/>
    <x v="1"/>
    <s v="R-&gt;L"/>
    <s v="ATS15"/>
    <s v="Y68692"/>
    <n v="1"/>
    <m/>
    <x v="236"/>
    <n v="4.9299999999999997E-2"/>
    <s v="MAR 24"/>
    <m/>
    <s v="USD"/>
    <s v="C49SZX20240026JL/4600004198"/>
    <s v="高伟"/>
    <s v="YSM10"/>
    <s v="L-&gt;R"/>
    <s v="MVC+ATS15"/>
    <s v="WRONG"/>
    <s v="CIF HK"/>
    <d v="2024-02-01T00:00:00"/>
    <s v="Yes"/>
    <m/>
    <m/>
    <m/>
    <m/>
  </r>
  <r>
    <n v="2062"/>
    <x v="2"/>
    <x v="0"/>
    <n v="111521"/>
    <s v="STK"/>
    <x v="1"/>
    <s v="R-&gt;L"/>
    <s v="No"/>
    <s v="Y68693"/>
    <n v="1"/>
    <m/>
    <x v="236"/>
    <n v="4.9299999999999997E-2"/>
    <s v="MAR 24"/>
    <m/>
    <s v="RMB"/>
    <s v="C49SZX20240006SQ"/>
    <s v="中孟"/>
    <s v="YSM10"/>
    <s v="L-&gt;R"/>
    <s v="MVC"/>
    <s v="WRONG"/>
    <s v="DDP GZ"/>
    <d v="2024-01-16T00:00:00"/>
    <s v="Yes"/>
    <m/>
    <m/>
    <m/>
    <m/>
  </r>
  <r>
    <m/>
    <x v="2"/>
    <x v="0"/>
    <n v="111521"/>
    <s v="STK"/>
    <x v="1"/>
    <s v="R-&gt;L"/>
    <s v="No"/>
    <s v="Y68694"/>
    <n v="1"/>
    <m/>
    <x v="236"/>
    <n v="4.9299999999999997E-2"/>
    <m/>
    <m/>
    <e v="#N/A"/>
    <e v="#N/A"/>
    <e v="#N/A"/>
    <e v="#N/A"/>
    <e v="#N/A"/>
    <e v="#N/A"/>
    <e v="#N/A"/>
    <e v="#N/A"/>
    <e v="#N/A"/>
    <e v="#N/A"/>
    <m/>
    <m/>
    <m/>
    <m/>
  </r>
  <r>
    <n v="1924"/>
    <x v="2"/>
    <x v="0"/>
    <s v="111521(拆分PO111534)"/>
    <s v="STK"/>
    <x v="1"/>
    <s v="R-&gt;L"/>
    <s v="No"/>
    <s v="Y68695"/>
    <n v="1"/>
    <m/>
    <x v="236"/>
    <m/>
    <s v="MAR 24"/>
    <m/>
    <s v="JPY"/>
    <s v="C49SZX20230068JY"/>
    <s v="海凌科"/>
    <s v="YSM10"/>
    <s v="L-&gt;R"/>
    <s v="No"/>
    <s v="WRONG"/>
    <s v="DAP LS"/>
    <d v="2023-05-20T00:00:00"/>
    <s v="Yes"/>
    <m/>
    <m/>
    <m/>
    <m/>
  </r>
  <r>
    <n v="1925"/>
    <x v="2"/>
    <x v="0"/>
    <s v="111521(拆分PO111534)"/>
    <s v="STK"/>
    <x v="1"/>
    <s v="R-&gt;L"/>
    <s v="No"/>
    <s v="Y68696"/>
    <n v="1"/>
    <m/>
    <x v="236"/>
    <m/>
    <s v="MAR 24"/>
    <m/>
    <s v="JPY"/>
    <s v="C49SZX20230068JY"/>
    <s v="海凌科"/>
    <s v="YSM10"/>
    <s v="R-&gt;L"/>
    <s v="No"/>
    <s v="OK"/>
    <s v="DAP LS"/>
    <d v="2023-05-20T00:00:00"/>
    <s v="Yes"/>
    <m/>
    <m/>
    <m/>
    <m/>
  </r>
  <r>
    <n v="1926"/>
    <x v="2"/>
    <x v="0"/>
    <s v="111521(拆分PO111534)"/>
    <s v="STK"/>
    <x v="1"/>
    <s v="R-&gt;L"/>
    <s v="No"/>
    <s v="Y68697"/>
    <n v="1"/>
    <m/>
    <x v="236"/>
    <m/>
    <s v="MAR 24"/>
    <m/>
    <s v="JPY"/>
    <s v="C49SZX20230068JY"/>
    <s v="海凌科"/>
    <s v="YSM10"/>
    <s v="R-&gt;L"/>
    <s v="No"/>
    <s v="OK"/>
    <s v="DAP LS"/>
    <d v="2023-05-20T00:00:00"/>
    <s v="Yes"/>
    <m/>
    <m/>
    <m/>
    <m/>
  </r>
  <r>
    <n v="1927"/>
    <x v="2"/>
    <x v="0"/>
    <s v="111521(拆分PO111534)"/>
    <s v="STK"/>
    <x v="1"/>
    <s v="R-&gt;L"/>
    <s v="No"/>
    <s v="Y68698"/>
    <n v="1"/>
    <m/>
    <x v="236"/>
    <m/>
    <s v="MAR 24"/>
    <m/>
    <s v="JPY"/>
    <s v="C49SZX20230068JY"/>
    <s v="海凌科"/>
    <s v="YSM10"/>
    <s v="R-&gt;L"/>
    <s v="No"/>
    <s v="OK"/>
    <s v="DAP LS"/>
    <d v="2023-05-20T00:00:00"/>
    <s v="Yes"/>
    <m/>
    <m/>
    <m/>
    <m/>
  </r>
  <r>
    <n v="1922"/>
    <x v="2"/>
    <x v="0"/>
    <s v="111521(拆分PO111534)"/>
    <s v="STK"/>
    <x v="1"/>
    <s v="R-&gt;L"/>
    <s v="No"/>
    <s v="Y68699"/>
    <n v="1"/>
    <m/>
    <x v="236"/>
    <m/>
    <s v="MAR 24"/>
    <m/>
    <s v="JPY"/>
    <s v="C49SZX20230068JY"/>
    <s v="海凌科"/>
    <s v="YSM10"/>
    <s v="L-&gt;R"/>
    <s v="No"/>
    <s v="WRONG"/>
    <s v="DAP LS"/>
    <d v="2023-05-20T00:00:00"/>
    <s v="Yes"/>
    <m/>
    <m/>
    <m/>
    <m/>
  </r>
  <r>
    <n v="1923"/>
    <x v="2"/>
    <x v="0"/>
    <s v="111521(拆分PO111534)"/>
    <s v="STK"/>
    <x v="1"/>
    <s v="R-&gt;L"/>
    <s v="No"/>
    <s v="Y68700"/>
    <n v="1"/>
    <m/>
    <x v="236"/>
    <m/>
    <s v="MAR 24"/>
    <m/>
    <s v="JPY"/>
    <s v="C49SZX20230068JY"/>
    <s v="海凌科"/>
    <s v="YSM10"/>
    <s v="L-&gt;R"/>
    <s v="No"/>
    <s v="WRONG"/>
    <s v="DAP LS"/>
    <d v="2023-05-20T00:00:00"/>
    <s v="Yes"/>
    <m/>
    <m/>
    <m/>
    <m/>
  </r>
  <r>
    <n v="2065"/>
    <x v="2"/>
    <x v="0"/>
    <s v="111521(拆分PO111534)"/>
    <s v="STK"/>
    <x v="1"/>
    <s v="R-&gt;L"/>
    <s v="ATS15"/>
    <s v="Y68701"/>
    <n v="1"/>
    <m/>
    <x v="236"/>
    <m/>
    <m/>
    <m/>
    <s v="RMB"/>
    <s v="C49SZX20240007MZ"/>
    <s v="飞霖"/>
    <s v="YSM10"/>
    <s v="L-&gt;R"/>
    <s v="MVC+ATS15"/>
    <s v="WRONG"/>
    <s v="DDP DG"/>
    <d v="2024-01-17T00:00:00"/>
    <s v="No"/>
    <m/>
    <m/>
    <m/>
    <m/>
  </r>
  <r>
    <n v="2091"/>
    <x v="2"/>
    <x v="0"/>
    <s v="111521(拆分PO111534)"/>
    <s v="STK"/>
    <x v="1"/>
    <s v="R-&gt;L"/>
    <s v="No"/>
    <s v="Y68702"/>
    <n v="1"/>
    <m/>
    <x v="236"/>
    <m/>
    <m/>
    <m/>
    <s v="RMB"/>
    <s v="C49SZX20240023SQ"/>
    <s v="益友新鑫"/>
    <s v="YSM10"/>
    <s v="R-&gt;L"/>
    <s v="MVC"/>
    <s v="WRONG"/>
    <s v="DDP DG"/>
    <d v="2024-01-30T00:00:00"/>
    <s v="No"/>
    <m/>
    <m/>
    <m/>
    <m/>
  </r>
  <r>
    <n v="2068"/>
    <x v="2"/>
    <x v="0"/>
    <n v="111522"/>
    <s v="STK"/>
    <x v="12"/>
    <s v="R-&gt;L"/>
    <m/>
    <m/>
    <n v="1"/>
    <m/>
    <x v="235"/>
    <n v="4.9299999999999997E-2"/>
    <s v="MAR 24"/>
    <m/>
    <s v="JPY"/>
    <s v="C49SZX20240009MZ"/>
    <s v="鸿楠"/>
    <s v="YSM20R-2"/>
    <s v="R-&gt;L"/>
    <s v="MVC"/>
    <s v="WRONG"/>
    <s v="CIF HK"/>
    <d v="2024-01-22T00:00:00"/>
    <s v="Yes"/>
    <m/>
    <m/>
    <m/>
    <m/>
  </r>
  <r>
    <n v="2069"/>
    <x v="2"/>
    <x v="0"/>
    <n v="111522"/>
    <s v="STK"/>
    <x v="12"/>
    <s v="R-&gt;L"/>
    <m/>
    <m/>
    <n v="1"/>
    <m/>
    <x v="235"/>
    <n v="4.9299999999999997E-2"/>
    <s v="MAR 24"/>
    <m/>
    <s v="JPY"/>
    <s v="C49SZX20240009MZ"/>
    <s v="鸿楠"/>
    <s v="YSM20R-2"/>
    <s v="R-&gt;L"/>
    <s v="No"/>
    <s v="WRONG"/>
    <s v="CIF HK"/>
    <d v="2024-01-22T00:00:00"/>
    <s v="Yes"/>
    <m/>
    <m/>
    <m/>
    <m/>
  </r>
  <r>
    <n v="2092"/>
    <x v="2"/>
    <x v="0"/>
    <n v="111522"/>
    <s v="STK"/>
    <x v="12"/>
    <s v="R-&gt;L"/>
    <m/>
    <m/>
    <n v="1"/>
    <m/>
    <x v="235"/>
    <n v="4.9299999999999997E-2"/>
    <m/>
    <m/>
    <s v="RMB"/>
    <s v="C49SZX20240023SQ"/>
    <s v="益友新鑫"/>
    <s v="YSM20R-2"/>
    <s v="R-&gt;L"/>
    <s v="No"/>
    <s v="WRONG"/>
    <s v="DDP DG"/>
    <d v="2024-01-30T00:00:00"/>
    <s v="No"/>
    <m/>
    <m/>
    <m/>
    <m/>
  </r>
  <r>
    <m/>
    <x v="2"/>
    <x v="0"/>
    <s v="111522(拆分PO111535)"/>
    <s v="STK"/>
    <x v="12"/>
    <s v="R-&gt;L"/>
    <m/>
    <m/>
    <n v="1"/>
    <m/>
    <x v="235"/>
    <s v="NM"/>
    <m/>
    <m/>
    <e v="#N/A"/>
    <e v="#N/A"/>
    <e v="#N/A"/>
    <e v="#N/A"/>
    <e v="#N/A"/>
    <e v="#N/A"/>
    <e v="#N/A"/>
    <e v="#N/A"/>
    <e v="#N/A"/>
    <e v="#N/A"/>
    <m/>
    <m/>
    <m/>
    <m/>
  </r>
  <r>
    <n v="2079"/>
    <x v="0"/>
    <x v="0"/>
    <s v="49F104695"/>
    <s v="盟思拓名义下单"/>
    <x v="0"/>
    <s v="NO"/>
    <s v="No"/>
    <s v="Y66403"/>
    <n v="1"/>
    <s v="Yamaha 深圳仓库"/>
    <x v="237"/>
    <s v="RMB单"/>
    <s v="FEB 24"/>
    <m/>
    <s v="RMB"/>
    <s v="C49SZX20240015DX"/>
    <s v="盟思拓"/>
    <s v="YSM40R-4"/>
    <s v="L-&gt;R"/>
    <s v="No"/>
    <s v="WRONG"/>
    <s v="DDP SZ"/>
    <d v="2024-01-25T00:00:00"/>
    <s v="Yes"/>
    <m/>
    <m/>
    <m/>
    <m/>
  </r>
  <r>
    <n v="2080"/>
    <x v="0"/>
    <x v="0"/>
    <s v="49F104695"/>
    <s v="盟思拓名义下单"/>
    <x v="0"/>
    <s v="NO"/>
    <s v="No"/>
    <s v="Y66404"/>
    <n v="1"/>
    <s v="Yamaha 深圳仓库"/>
    <x v="237"/>
    <s v="RMB单"/>
    <s v="FEB 24"/>
    <m/>
    <s v="RMB"/>
    <s v="C49SZX20240015DX"/>
    <s v="盟思拓"/>
    <s v="YSM40R-4"/>
    <s v="L-&gt;R"/>
    <s v="No"/>
    <s v="WRONG"/>
    <s v="DDP SZ"/>
    <d v="2024-01-25T00:00:00"/>
    <s v="Yes"/>
    <m/>
    <m/>
    <m/>
    <m/>
  </r>
  <r>
    <n v="2077"/>
    <x v="2"/>
    <x v="1"/>
    <s v="B28111537"/>
    <s v="鸿楠名义下单"/>
    <x v="13"/>
    <s v="L-&gt;R"/>
    <s v="No"/>
    <m/>
    <n v="1"/>
    <m/>
    <x v="238"/>
    <m/>
    <s v="APR 24"/>
    <m/>
    <s v="JPY"/>
    <s v="C28SZX20240011MZ"/>
    <s v="鸿楠"/>
    <s v="YSi-V"/>
    <s v="R-&gt;L"/>
    <s v="No"/>
    <s v="WRONG"/>
    <s v="CIF HK"/>
    <d v="2024-01-22T00:00:00"/>
    <s v="Yes"/>
    <m/>
    <m/>
    <m/>
    <m/>
  </r>
  <r>
    <n v="2066"/>
    <x v="2"/>
    <x v="0"/>
    <n v="111536"/>
    <s v="STK"/>
    <x v="1"/>
    <s v="L-&gt;R"/>
    <s v="MVC(with 5 heads) "/>
    <m/>
    <n v="1"/>
    <m/>
    <x v="239"/>
    <s v="JPY/HKD:0.0533,USD/HKD 固定汇率是7.8"/>
    <s v="APR 24"/>
    <m/>
    <s v="USD"/>
    <s v="C49SZX20240008JL/4600004037"/>
    <s v="高伟"/>
    <s v="YSM10"/>
    <s v="L-&gt;R"/>
    <s v="MVC(with 5 heads) "/>
    <s v="OK"/>
    <s v="CIF HK"/>
    <d v="2024-01-22T00:00:00"/>
    <s v="Yes"/>
    <m/>
    <m/>
    <m/>
    <m/>
  </r>
  <r>
    <n v="2067"/>
    <x v="2"/>
    <x v="0"/>
    <n v="111536"/>
    <s v="STK"/>
    <x v="1"/>
    <s v="L-&gt;R"/>
    <s v="MVC(with 5 heads) "/>
    <m/>
    <n v="1"/>
    <m/>
    <x v="239"/>
    <s v="JPY/HKD:0.0533,USD/HKD 固定汇率是7.8"/>
    <s v="APR 24"/>
    <m/>
    <s v="USD"/>
    <s v="C49SZX20240008JL/4600004037"/>
    <s v="高伟"/>
    <s v="YSM10"/>
    <s v="L-&gt;R"/>
    <s v="MVC(with 5 heads) "/>
    <s v="OK"/>
    <s v="CIF HK"/>
    <d v="2024-01-22T00:00:00"/>
    <s v="Yes"/>
    <m/>
    <m/>
    <m/>
    <m/>
  </r>
  <r>
    <n v="2072"/>
    <x v="2"/>
    <x v="0"/>
    <s v="111536(拆分PO111542)"/>
    <s v="STK"/>
    <x v="1"/>
    <s v="R-&gt;L"/>
    <s v="MVC+Coplanarity checker"/>
    <m/>
    <n v="1"/>
    <m/>
    <x v="239"/>
    <m/>
    <s v="APR 24"/>
    <m/>
    <s v="JPY"/>
    <s v="C49SZX20240009MZ"/>
    <s v="鸿楠"/>
    <s v="YSM10"/>
    <s v="R-&gt;L"/>
    <s v="MVC"/>
    <s v="WRONG"/>
    <s v="CIF HK"/>
    <d v="2024-01-22T00:00:00"/>
    <s v="Yes"/>
    <m/>
    <m/>
    <m/>
    <m/>
  </r>
  <r>
    <m/>
    <x v="2"/>
    <x v="0"/>
    <s v="111536(拆分PO111542)"/>
    <s v="STK"/>
    <x v="1"/>
    <s v="R-&gt;L"/>
    <s v="MVC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n v="2064"/>
    <x v="3"/>
    <x v="0"/>
    <s v="111547(拆分PO111552)"/>
    <s v="STK"/>
    <x v="12"/>
    <s v="L-&gt;R"/>
    <s v="No"/>
    <m/>
    <n v="1"/>
    <m/>
    <x v="241"/>
    <n v="4.8899999999999999E-2"/>
    <s v="TBA."/>
    <m/>
    <s v="RMB"/>
    <s v="C49SZX20240007MZ"/>
    <s v="飞霖"/>
    <s v="YSM20R-2"/>
    <s v="L-&gt;R"/>
    <s v="No"/>
    <s v="OK"/>
    <s v="DDP DG"/>
    <d v="2024-01-17T00:00:00"/>
    <s v="No"/>
    <m/>
    <m/>
    <m/>
    <m/>
  </r>
  <r>
    <m/>
    <x v="3"/>
    <x v="0"/>
    <s v="111547(拆分PO111552)"/>
    <s v="STK"/>
    <x v="12"/>
    <s v="L-&gt;R"/>
    <s v="No"/>
    <m/>
    <n v="1"/>
    <m/>
    <x v="241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547(拆分PO111552)"/>
    <s v="STK"/>
    <x v="12"/>
    <s v="R-&gt;L"/>
    <s v="No"/>
    <m/>
    <n v="1"/>
    <m/>
    <x v="241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L-&gt;R"/>
    <s v="No"/>
    <m/>
    <n v="1"/>
    <m/>
    <x v="241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L-&gt;R"/>
    <s v="No"/>
    <m/>
    <n v="1"/>
    <m/>
    <x v="241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L-&gt;R"/>
    <s v="No"/>
    <m/>
    <n v="1"/>
    <m/>
    <x v="241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L-&gt;R"/>
    <s v="No"/>
    <m/>
    <n v="1"/>
    <m/>
    <x v="241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L-&gt;R"/>
    <s v="No"/>
    <m/>
    <n v="1"/>
    <m/>
    <x v="241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R-&gt;L"/>
    <s v="No"/>
    <m/>
    <n v="1"/>
    <m/>
    <x v="241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R-&gt;L"/>
    <s v="No"/>
    <m/>
    <n v="1"/>
    <m/>
    <x v="241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546(拆分PO111551)"/>
    <s v="STK"/>
    <x v="1"/>
    <s v="L-&gt;R"/>
    <s v="ATS15"/>
    <m/>
    <n v="1"/>
    <m/>
    <x v="241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546(拆分PO111551)"/>
    <s v="STK"/>
    <x v="1"/>
    <s v="L-&gt;R"/>
    <m/>
    <m/>
    <n v="1"/>
    <m/>
    <x v="241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546(拆分PO111551)"/>
    <s v="STK"/>
    <x v="1"/>
    <s v="L-&gt;R"/>
    <m/>
    <m/>
    <n v="1"/>
    <m/>
    <x v="241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546(拆分PO111551)"/>
    <s v="STK"/>
    <x v="1"/>
    <s v="L-&gt;R"/>
    <m/>
    <m/>
    <n v="1"/>
    <m/>
    <x v="241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6"/>
    <s v="STK"/>
    <x v="1"/>
    <s v="L-&gt;R"/>
    <s v="ATS15"/>
    <m/>
    <n v="1"/>
    <m/>
    <x v="241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6"/>
    <s v="STK"/>
    <x v="1"/>
    <s v="L-&gt;R"/>
    <s v="ATS15"/>
    <m/>
    <n v="1"/>
    <m/>
    <x v="241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6"/>
    <s v="STK"/>
    <x v="1"/>
    <s v="L-&gt;R"/>
    <m/>
    <m/>
    <n v="1"/>
    <m/>
    <x v="241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6"/>
    <s v="STK"/>
    <x v="1"/>
    <s v="L-&gt;R"/>
    <m/>
    <m/>
    <n v="1"/>
    <m/>
    <x v="241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6"/>
    <s v="STK"/>
    <x v="1"/>
    <s v="L-&gt;R"/>
    <m/>
    <m/>
    <n v="1"/>
    <m/>
    <x v="241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6"/>
    <s v="STK"/>
    <x v="1"/>
    <s v="L-&gt;R"/>
    <m/>
    <m/>
    <n v="1"/>
    <m/>
    <x v="241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n v="1294"/>
    <x v="4"/>
    <x v="2"/>
    <m/>
    <m/>
    <x v="4"/>
    <m/>
    <m/>
    <m/>
    <m/>
    <m/>
    <x v="3"/>
    <m/>
    <m/>
    <m/>
    <s v="JPY"/>
    <s v="C49SZX20210101JD"/>
    <s v="聚亮兴业"/>
    <s v="YSM20R-2"/>
    <s v="L-&gt;R"/>
    <s v="No"/>
    <s v="WRONG"/>
    <m/>
    <d v="2021-03-31T00:00:00"/>
    <s v="Yes"/>
    <m/>
    <m/>
    <m/>
    <m/>
  </r>
  <r>
    <n v="1129"/>
    <x v="4"/>
    <x v="2"/>
    <m/>
    <m/>
    <x v="4"/>
    <m/>
    <m/>
    <m/>
    <m/>
    <m/>
    <x v="3"/>
    <m/>
    <m/>
    <m/>
    <s v="JPY"/>
    <s v="C49SZX20210043AY"/>
    <s v="正宏兴"/>
    <s v="YSM10"/>
    <s v="L-&gt;R"/>
    <s v="MVC"/>
    <s v="WRONG"/>
    <m/>
    <d v="2021-02-03T00:00:00"/>
    <s v="Yes"/>
    <m/>
    <m/>
    <m/>
    <m/>
  </r>
  <r>
    <n v="1427"/>
    <x v="4"/>
    <x v="2"/>
    <m/>
    <m/>
    <x v="4"/>
    <m/>
    <m/>
    <m/>
    <m/>
    <m/>
    <x v="3"/>
    <m/>
    <m/>
    <m/>
    <s v="JPY"/>
    <s v="C49SZX20210169VG"/>
    <s v="狂热者"/>
    <s v="YSM20R-2"/>
    <s v="L-&gt;R"/>
    <s v="No"/>
    <s v="WRONG"/>
    <m/>
    <d v="2021-06-11T00:00:00"/>
    <s v="Yes"/>
    <m/>
    <m/>
    <m/>
    <m/>
  </r>
  <r>
    <n v="1428"/>
    <x v="4"/>
    <x v="2"/>
    <m/>
    <m/>
    <x v="4"/>
    <m/>
    <m/>
    <m/>
    <m/>
    <m/>
    <x v="3"/>
    <m/>
    <m/>
    <m/>
    <s v="JPY"/>
    <s v="C49SZX20210169VG"/>
    <s v="狂热者"/>
    <s v="YSM20R-2"/>
    <s v="L-&gt;R"/>
    <s v="No"/>
    <s v="WRONG"/>
    <m/>
    <d v="2021-06-11T00:00:00"/>
    <s v="Yes"/>
    <m/>
    <m/>
    <m/>
    <m/>
  </r>
  <r>
    <n v="1429"/>
    <x v="4"/>
    <x v="2"/>
    <m/>
    <m/>
    <x v="4"/>
    <m/>
    <m/>
    <m/>
    <m/>
    <m/>
    <x v="3"/>
    <m/>
    <m/>
    <m/>
    <s v="JPY"/>
    <s v="C49SZX20210169VG"/>
    <s v="狂热者"/>
    <s v="YSM10"/>
    <s v="L-&gt;R"/>
    <s v="MVC F&amp;R+ATS15"/>
    <s v="WRONG"/>
    <m/>
    <d v="2021-06-11T00:00:00"/>
    <s v="Yes"/>
    <m/>
    <m/>
    <m/>
    <m/>
  </r>
  <r>
    <n v="1430"/>
    <x v="4"/>
    <x v="2"/>
    <m/>
    <m/>
    <x v="4"/>
    <m/>
    <m/>
    <m/>
    <m/>
    <m/>
    <x v="3"/>
    <m/>
    <m/>
    <m/>
    <s v="JPY"/>
    <s v="C49SZX20210169VG（已发相机）"/>
    <s v="狂热者"/>
    <s v="YSM10"/>
    <s v="L-&gt;R"/>
    <s v="MVC+ATS15"/>
    <s v="WRONG"/>
    <m/>
    <d v="2021-06-11T00:00:00"/>
    <s v="Yes"/>
    <m/>
    <m/>
    <m/>
    <m/>
  </r>
  <r>
    <n v="1130"/>
    <x v="4"/>
    <x v="2"/>
    <m/>
    <m/>
    <x v="4"/>
    <m/>
    <m/>
    <m/>
    <m/>
    <m/>
    <x v="3"/>
    <m/>
    <m/>
    <m/>
    <s v="JPY"/>
    <s v="C49SZX20210043AY"/>
    <s v="正宏兴"/>
    <s v="YSM20R-2"/>
    <s v="L-&gt;R"/>
    <s v="No"/>
    <s v="WRONG"/>
    <m/>
    <d v="2021-02-03T00:00:00"/>
    <s v="Yes"/>
    <m/>
    <m/>
    <m/>
    <m/>
  </r>
  <r>
    <n v="1652"/>
    <x v="4"/>
    <x v="2"/>
    <m/>
    <m/>
    <x v="4"/>
    <m/>
    <m/>
    <m/>
    <m/>
    <m/>
    <x v="3"/>
    <m/>
    <m/>
    <m/>
    <s v="JPY"/>
    <s v="C49SZX20220049JY"/>
    <s v="辉拓"/>
    <s v="YSM20R-2"/>
    <s v="L-&gt;R"/>
    <s v="MVC"/>
    <s v="WRONG"/>
    <m/>
    <d v="2022-04-21T00:00:00"/>
    <s v="Yes"/>
    <m/>
    <m/>
    <m/>
    <m/>
  </r>
  <r>
    <n v="1654"/>
    <x v="4"/>
    <x v="2"/>
    <m/>
    <m/>
    <x v="4"/>
    <m/>
    <m/>
    <m/>
    <m/>
    <m/>
    <x v="3"/>
    <m/>
    <m/>
    <m/>
    <s v="JPY"/>
    <s v="C49SZX20220049JY"/>
    <s v="辉拓"/>
    <s v="YSM20R-2"/>
    <s v="L-&gt;R"/>
    <s v="No"/>
    <s v="WRONG"/>
    <m/>
    <d v="2022-04-21T00:00:00"/>
    <s v="Yes"/>
    <m/>
    <m/>
    <m/>
    <m/>
  </r>
  <r>
    <n v="2073"/>
    <x v="4"/>
    <x v="2"/>
    <m/>
    <m/>
    <x v="4"/>
    <m/>
    <m/>
    <m/>
    <m/>
    <m/>
    <x v="3"/>
    <m/>
    <m/>
    <m/>
    <s v="JPY"/>
    <s v="C49SZX20240010MZ"/>
    <s v="鸿楠"/>
    <s v="YSM20R-2"/>
    <s v="R-&gt;L"/>
    <s v="No"/>
    <s v="WRONG"/>
    <m/>
    <d v="2024-01-22T00:00:00"/>
    <s v="No"/>
    <m/>
    <m/>
    <m/>
    <m/>
  </r>
  <r>
    <n v="2074"/>
    <x v="4"/>
    <x v="2"/>
    <m/>
    <m/>
    <x v="4"/>
    <m/>
    <m/>
    <m/>
    <m/>
    <m/>
    <x v="3"/>
    <m/>
    <m/>
    <m/>
    <s v="JPY"/>
    <s v="C49SZX20240010MZ"/>
    <s v="鸿楠"/>
    <s v="YSM20R-2"/>
    <s v="R-&gt;L"/>
    <s v="No"/>
    <s v="WRONG"/>
    <m/>
    <d v="2024-01-22T00:00:00"/>
    <s v="No"/>
    <m/>
    <m/>
    <m/>
    <m/>
  </r>
  <r>
    <n v="2075"/>
    <x v="4"/>
    <x v="2"/>
    <m/>
    <m/>
    <x v="4"/>
    <m/>
    <m/>
    <m/>
    <m/>
    <m/>
    <x v="3"/>
    <m/>
    <m/>
    <m/>
    <s v="JPY"/>
    <s v="C49SZX20240010MZ"/>
    <s v="鸿楠"/>
    <s v="YSM10"/>
    <s v="R-&gt;L"/>
    <s v="MVC"/>
    <s v="WRONG"/>
    <m/>
    <d v="2024-01-22T00:00:00"/>
    <s v="No"/>
    <m/>
    <m/>
    <m/>
    <m/>
  </r>
  <r>
    <n v="2076"/>
    <x v="4"/>
    <x v="2"/>
    <m/>
    <m/>
    <x v="4"/>
    <m/>
    <m/>
    <m/>
    <m/>
    <m/>
    <x v="3"/>
    <m/>
    <m/>
    <m/>
    <s v="JPY"/>
    <s v="C49SZX20240010MZ"/>
    <s v="鸿楠"/>
    <s v="YSM10"/>
    <s v="R-&gt;L"/>
    <s v="MVC"/>
    <s v="WRONG"/>
    <m/>
    <d v="2024-01-22T00:00:00"/>
    <s v="No"/>
    <m/>
    <m/>
    <m/>
    <m/>
  </r>
  <r>
    <n v="2078"/>
    <x v="4"/>
    <x v="2"/>
    <m/>
    <m/>
    <x v="4"/>
    <m/>
    <m/>
    <m/>
    <m/>
    <m/>
    <x v="3"/>
    <m/>
    <m/>
    <m/>
    <s v="JPY"/>
    <s v="C28SZX20240012MZ"/>
    <s v="鸿楠"/>
    <s v="YSi-V"/>
    <s v="R-&gt;L"/>
    <s v="No"/>
    <s v="WRONG"/>
    <m/>
    <d v="2024-01-22T00:00:00"/>
    <s v="No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1372FB-4898-4E84-AEB4-C4F5C195014A}" name="数据透视表1" cacheId="27" applyNumberFormats="0" applyBorderFormats="0" applyFontFormats="0" applyPatternFormats="0" applyAlignmentFormats="0" applyWidthHeightFormats="1" dataCaption="值" updatedVersion="8" minRefreshableVersion="3" itemPrintTitles="1" createdVersion="5" indent="0" compact="0" compactData="0" gridDropZones="1" multipleFieldFilters="0">
  <location ref="A5:E38" firstHeaderRow="2" firstDataRow="2" firstDataCol="4"/>
  <pivotFields count="29">
    <pivotField compact="0" numFmtId="179" outline="0" showAll="0"/>
    <pivotField axis="axisRow" compact="0" outline="0" showAll="0">
      <items count="6">
        <item x="1"/>
        <item h="1" x="0"/>
        <item x="2"/>
        <item x="3"/>
        <item x="4"/>
        <item t="default"/>
      </items>
    </pivotField>
    <pivotField axis="axisRow" compact="0" numFmtId="179" outline="0" showAll="0" defaultSubtotal="0">
      <items count="4">
        <item m="1" x="3"/>
        <item x="0"/>
        <item x="2"/>
        <item x="1"/>
      </items>
    </pivotField>
    <pivotField compact="0" numFmtId="179" outline="0" showAll="0"/>
    <pivotField compact="0" numFmtId="179" outline="0" showAll="0"/>
    <pivotField axis="axisRow" compact="0" numFmtId="179" outline="0" showAll="0">
      <items count="22">
        <item x="1"/>
        <item x="3"/>
        <item x="0"/>
        <item h="1" x="4"/>
        <item x="9"/>
        <item x="6"/>
        <item x="5"/>
        <item x="7"/>
        <item x="8"/>
        <item x="2"/>
        <item x="10"/>
        <item x="11"/>
        <item x="12"/>
        <item h="1" x="14"/>
        <item x="13"/>
        <item h="1" x="15"/>
        <item x="16"/>
        <item x="17"/>
        <item x="18"/>
        <item x="19"/>
        <item x="20"/>
        <item t="default"/>
      </items>
    </pivotField>
    <pivotField compact="0" numFmtId="179" outline="0" showAll="0"/>
    <pivotField compact="0" numFmtId="179" outline="0" showAll="0"/>
    <pivotField compact="0" numFmtId="179" outline="0" showAll="0"/>
    <pivotField dataField="1" compact="0" outline="0" showAll="0"/>
    <pivotField compact="0" numFmtId="179" outline="0" showAll="0"/>
    <pivotField axis="axisRow" compact="0" numFmtId="179" outline="0" showAll="0" defaultSubtotal="0">
      <items count="276">
        <item x="149"/>
        <item x="113"/>
        <item x="206"/>
        <item x="207"/>
        <item x="176"/>
        <item x="210"/>
        <item m="1" x="244"/>
        <item m="1" x="265"/>
        <item m="1" x="255"/>
        <item m="1" x="246"/>
        <item m="1" x="268"/>
        <item m="1" x="245"/>
        <item x="1"/>
        <item m="1" x="262"/>
        <item m="1" x="275"/>
        <item m="1" x="251"/>
        <item m="1" x="272"/>
        <item x="2"/>
        <item m="1" x="260"/>
        <item x="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67"/>
        <item x="54"/>
        <item x="55"/>
        <item x="56"/>
        <item x="57"/>
        <item x="58"/>
        <item x="59"/>
        <item x="60"/>
        <item x="61"/>
        <item x="62"/>
        <item x="63"/>
        <item x="177"/>
        <item x="64"/>
        <item x="65"/>
        <item x="66"/>
        <item x="68"/>
        <item x="69"/>
        <item x="70"/>
        <item x="71"/>
        <item x="72"/>
        <item x="76"/>
        <item x="73"/>
        <item x="74"/>
        <item x="75"/>
        <item x="77"/>
        <item x="78"/>
        <item x="79"/>
        <item x="110"/>
        <item x="80"/>
        <item x="81"/>
        <item x="82"/>
        <item x="83"/>
        <item x="84"/>
        <item x="85"/>
        <item x="86"/>
        <item x="87"/>
        <item x="88"/>
        <item x="90"/>
        <item x="89"/>
        <item x="91"/>
        <item x="92"/>
        <item x="93"/>
        <item x="94"/>
        <item x="95"/>
        <item x="135"/>
        <item x="96"/>
        <item x="98"/>
        <item x="97"/>
        <item x="99"/>
        <item x="100"/>
        <item x="101"/>
        <item x="102"/>
        <item x="103"/>
        <item x="104"/>
        <item x="105"/>
        <item x="106"/>
        <item x="109"/>
        <item x="107"/>
        <item x="108"/>
        <item x="111"/>
        <item x="112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6"/>
        <item x="138"/>
        <item x="139"/>
        <item x="140"/>
        <item x="141"/>
        <item x="142"/>
        <item x="143"/>
        <item x="144"/>
        <item x="145"/>
        <item x="147"/>
        <item x="148"/>
        <item x="150"/>
        <item x="152"/>
        <item x="153"/>
        <item x="151"/>
        <item x="156"/>
        <item x="157"/>
        <item x="158"/>
        <item x="159"/>
        <item x="160"/>
        <item x="162"/>
        <item x="163"/>
        <item x="165"/>
        <item x="164"/>
        <item x="166"/>
        <item x="167"/>
        <item x="168"/>
        <item x="169"/>
        <item x="170"/>
        <item x="171"/>
        <item x="172"/>
        <item x="174"/>
        <item x="173"/>
        <item x="175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8"/>
        <item x="209"/>
        <item x="212"/>
        <item x="213"/>
        <item x="214"/>
        <item x="215"/>
        <item x="3"/>
        <item m="1" x="259"/>
        <item m="1" x="267"/>
        <item m="1" x="242"/>
        <item m="1" x="252"/>
        <item x="216"/>
        <item x="217"/>
        <item m="1" x="250"/>
        <item m="1" x="257"/>
        <item m="1" x="254"/>
        <item m="1" x="248"/>
        <item x="137"/>
        <item x="146"/>
        <item x="154"/>
        <item x="155"/>
        <item x="161"/>
        <item x="211"/>
        <item x="218"/>
        <item x="219"/>
        <item x="220"/>
        <item x="221"/>
        <item m="1" x="249"/>
        <item x="222"/>
        <item m="1" x="258"/>
        <item x="224"/>
        <item m="1" x="266"/>
        <item x="223"/>
        <item m="1" x="274"/>
        <item x="225"/>
        <item x="226"/>
        <item x="227"/>
        <item m="1" x="247"/>
        <item m="1" x="256"/>
        <item m="1" x="253"/>
        <item m="1" x="243"/>
        <item x="228"/>
        <item m="1" x="273"/>
        <item x="229"/>
        <item x="230"/>
        <item m="1" x="270"/>
        <item m="1" x="269"/>
        <item x="240"/>
        <item x="231"/>
        <item m="1" x="264"/>
        <item x="232"/>
        <item m="1" x="271"/>
        <item x="234"/>
        <item m="1" x="261"/>
        <item x="235"/>
        <item x="237"/>
        <item x="236"/>
        <item x="241"/>
        <item m="1" x="263"/>
        <item x="233"/>
        <item x="238"/>
        <item x="239"/>
      </items>
    </pivotField>
    <pivotField compact="0" numFmtId="179" outline="0" showAll="0"/>
    <pivotField compact="0" numFmtId="179" outline="0" showAll="0"/>
    <pivotField compact="0" numFmtId="179" outline="0" showAll="0" defaultSubtotal="0"/>
    <pivotField compact="0" numFmtId="179" outline="0" showAll="0"/>
    <pivotField compact="0" numFmtId="179" outline="0" showAll="0"/>
    <pivotField compact="0" outline="0" showAll="0"/>
    <pivotField compact="0" numFmtId="179" outline="0" showAll="0"/>
    <pivotField compact="0" numFmtId="179" outline="0" showAll="0"/>
    <pivotField compact="0" numFmtId="179" outline="0" showAll="0"/>
    <pivotField compact="0" numFmtId="179" outline="0" showAll="0"/>
    <pivotField compact="0" outline="0" showAll="0"/>
    <pivotField compact="0" numFmtId="179" outline="0" showAll="0"/>
    <pivotField compact="0" numFmtId="179" outline="0" showAll="0"/>
    <pivotField compact="0" numFmtId="179" outline="0" showAll="0"/>
    <pivotField compact="0" numFmtId="179" outline="0" showAll="0"/>
    <pivotField compact="0" numFmtId="179" outline="0" showAll="0" defaultSubtotal="0"/>
    <pivotField compact="0" numFmtId="179" outline="0" showAll="0" defaultSubtotal="0"/>
  </pivotFields>
  <rowFields count="4">
    <field x="1"/>
    <field x="2"/>
    <field x="5"/>
    <field x="11"/>
  </rowFields>
  <rowItems count="32">
    <i>
      <x/>
      <x v="1"/>
      <x/>
      <x v="248"/>
    </i>
    <i r="3">
      <x v="249"/>
    </i>
    <i r="3">
      <x v="257"/>
    </i>
    <i r="3">
      <x v="262"/>
    </i>
    <i t="default" r="2">
      <x/>
    </i>
    <i r="2">
      <x v="12"/>
      <x v="250"/>
    </i>
    <i r="3">
      <x v="262"/>
    </i>
    <i t="default" r="2">
      <x v="12"/>
    </i>
    <i r="2">
      <x v="18"/>
      <x v="262"/>
    </i>
    <i t="default" r="2">
      <x v="18"/>
    </i>
    <i r="1">
      <x v="3"/>
      <x v="14"/>
      <x v="266"/>
    </i>
    <i t="default" r="2">
      <x v="14"/>
    </i>
    <i t="default">
      <x/>
    </i>
    <i>
      <x v="2"/>
      <x v="1"/>
      <x/>
      <x v="261"/>
    </i>
    <i r="3">
      <x v="270"/>
    </i>
    <i r="3">
      <x v="275"/>
    </i>
    <i t="default" r="2">
      <x/>
    </i>
    <i r="2">
      <x v="12"/>
      <x v="268"/>
    </i>
    <i t="default" r="2">
      <x v="12"/>
    </i>
    <i r="1">
      <x v="3"/>
      <x v="14"/>
      <x v="274"/>
    </i>
    <i t="default" r="2">
      <x v="14"/>
    </i>
    <i r="2">
      <x v="19"/>
      <x v="268"/>
    </i>
    <i t="default" r="2">
      <x v="19"/>
    </i>
    <i r="2">
      <x v="20"/>
      <x v="268"/>
    </i>
    <i t="default" r="2">
      <x v="20"/>
    </i>
    <i t="default">
      <x v="2"/>
    </i>
    <i>
      <x v="3"/>
      <x v="1"/>
      <x/>
      <x v="271"/>
    </i>
    <i t="default" r="2">
      <x/>
    </i>
    <i r="2">
      <x v="12"/>
      <x v="271"/>
    </i>
    <i t="default" r="2">
      <x v="12"/>
    </i>
    <i t="default">
      <x v="3"/>
    </i>
    <i t="grand">
      <x/>
    </i>
  </rowItems>
  <colItems count="1">
    <i/>
  </colItems>
  <dataFields count="1">
    <dataField name="计数项:Machine_QTY" fld="9" subtotal="count" baseField="0" baseItem="0"/>
  </dataFields>
  <formats count="11">
    <format dxfId="2311">
      <pivotArea outline="0" collapsedLevelsAreSubtotals="1" fieldPosition="0"/>
    </format>
    <format dxfId="2310">
      <pivotArea dataOnly="0" labelOnly="1" outline="0" axis="axisValues" fieldPosition="0"/>
    </format>
    <format dxfId="2309">
      <pivotArea type="all" dataOnly="0" outline="0" fieldPosition="0"/>
    </format>
    <format dxfId="2308">
      <pivotArea outline="0" collapsedLevelsAreSubtotals="1" fieldPosition="0"/>
    </format>
    <format dxfId="2307">
      <pivotArea dataOnly="0" labelOnly="1" grandRow="1" outline="0" fieldPosition="0"/>
    </format>
    <format dxfId="2306">
      <pivotArea dataOnly="0" labelOnly="1" grandCol="1" outline="0" fieldPosition="0"/>
    </format>
    <format dxfId="2305">
      <pivotArea type="all" dataOnly="0" outline="0" fieldPosition="0"/>
    </format>
    <format dxfId="2304">
      <pivotArea outline="0" collapsedLevelsAreSubtotals="1" fieldPosition="0"/>
    </format>
    <format dxfId="2303">
      <pivotArea type="topRight" dataOnly="0" labelOnly="1" outline="0" fieldPosition="0"/>
    </format>
    <format dxfId="2302">
      <pivotArea dataOnly="0" labelOnly="1" grandRow="1" outline="0" fieldPosition="0"/>
    </format>
    <format dxfId="2301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2934C8-BBE9-4BB5-9928-C0AE01493C97}" name="数据透视表4" cacheId="6" applyNumberFormats="0" applyBorderFormats="0" applyFontFormats="0" applyPatternFormats="0" applyAlignmentFormats="0" applyWidthHeightFormats="1" dataCaption="值" updatedVersion="7" minRefreshableVersion="3" itemPrintTitles="1" createdVersion="5" indent="0" outline="1" outlineData="1" multipleFieldFilters="0">
  <location ref="S565:T576" firstHeaderRow="1" firstDataRow="1" firstDataCol="1" rowPageCount="1" colPageCount="1"/>
  <pivotFields count="30">
    <pivotField numFmtId="179" showAll="0"/>
    <pivotField axis="axisRow" numFmtId="179" showAll="0">
      <items count="6">
        <item x="3"/>
        <item h="1" x="0"/>
        <item x="1"/>
        <item x="4"/>
        <item x="2"/>
        <item t="default"/>
      </items>
    </pivotField>
    <pivotField numFmtId="179" showAll="0" defaultSubtotal="0"/>
    <pivotField numFmtId="179" showAll="0"/>
    <pivotField numFmtId="179" showAll="0"/>
    <pivotField axis="axisRow" numFmtId="179" showAll="0">
      <items count="19">
        <item x="8"/>
        <item x="5"/>
        <item x="1"/>
        <item x="7"/>
        <item x="3"/>
        <item x="0"/>
        <item h="1" x="4"/>
        <item x="2"/>
        <item x="9"/>
        <item x="6"/>
        <item x="10"/>
        <item x="11"/>
        <item x="12"/>
        <item h="1" x="14"/>
        <item x="13"/>
        <item h="1" x="15"/>
        <item x="16"/>
        <item x="17"/>
        <item t="default"/>
      </items>
    </pivotField>
    <pivotField numFmtId="179" showAll="0"/>
    <pivotField numFmtId="179" showAll="0"/>
    <pivotField numFmtId="179" showAll="0"/>
    <pivotField numFmtId="179" showAll="0"/>
    <pivotField numFmtId="179" showAll="0"/>
    <pivotField numFmtId="179" showAll="0"/>
    <pivotField numFmtId="179" showAll="0"/>
    <pivotField numFmtId="179" showAll="0"/>
    <pivotField numFmtId="179" showAll="0" defaultSubtotal="0"/>
    <pivotField numFmtId="179" showAll="0"/>
    <pivotField numFmtId="179" showAll="0"/>
    <pivotField axis="axisPage" dataField="1" numFmtId="179" multipleItemSelectionAllowed="1" showAll="0">
      <items count="395">
        <item h="1" x="11"/>
        <item h="1" x="18"/>
        <item h="1" x="17"/>
        <item h="1" x="14"/>
        <item h="1" x="56"/>
        <item h="1" x="61"/>
        <item h="1" x="4"/>
        <item h="1" x="68"/>
        <item h="1" x="21"/>
        <item h="1" x="44"/>
        <item h="1" x="32"/>
        <item h="1" x="45"/>
        <item h="1" x="60"/>
        <item h="1" x="124"/>
        <item h="1" x="65"/>
        <item h="1" x="10"/>
        <item h="1" x="77"/>
        <item h="1" x="16"/>
        <item h="1" x="2"/>
        <item h="1" x="22"/>
        <item h="1" x="9"/>
        <item h="1" x="141"/>
        <item h="1" x="15"/>
        <item h="1" x="1"/>
        <item h="1" x="58"/>
        <item h="1" x="63"/>
        <item h="1" x="37"/>
        <item h="1" x="6"/>
        <item h="1" x="5"/>
        <item h="1" x="156"/>
        <item h="1" x="36"/>
        <item x="41"/>
        <item x="393"/>
        <item h="1" x="27"/>
        <item h="1" x="7"/>
        <item h="1" x="13"/>
        <item h="1" x="43"/>
        <item h="1" x="20"/>
        <item h="1" x="12"/>
        <item h="1" x="24"/>
        <item h="1" x="62"/>
        <item h="1" x="25"/>
        <item h="1" x="26"/>
        <item h="1" x="53"/>
        <item h="1" x="73"/>
        <item h="1" x="48"/>
        <item h="1" x="49"/>
        <item h="1" x="51"/>
        <item h="1" x="50"/>
        <item h="1" x="66"/>
        <item h="1" x="55"/>
        <item h="1" x="35"/>
        <item h="1" x="59"/>
        <item h="1" x="67"/>
        <item h="1" x="47"/>
        <item h="1" x="40"/>
        <item h="1" x="70"/>
        <item h="1" x="30"/>
        <item h="1" x="19"/>
        <item h="1" x="71"/>
        <item h="1" x="31"/>
        <item h="1" x="29"/>
        <item h="1" x="78"/>
        <item h="1" x="23"/>
        <item h="1" x="33"/>
        <item h="1" x="39"/>
        <item h="1" x="72"/>
        <item h="1" x="46"/>
        <item h="1" x="74"/>
        <item h="1" x="85"/>
        <item h="1" x="94"/>
        <item h="1" x="96"/>
        <item h="1" x="80"/>
        <item h="1" x="52"/>
        <item h="1" x="34"/>
        <item h="1" x="110"/>
        <item h="1" x="57"/>
        <item h="1" x="86"/>
        <item h="1" x="76"/>
        <item h="1" x="42"/>
        <item h="1" x="54"/>
        <item h="1" x="8"/>
        <item h="1" x="28"/>
        <item h="1" x="82"/>
        <item h="1" x="90"/>
        <item h="1" x="93"/>
        <item h="1" x="107"/>
        <item h="1" x="102"/>
        <item h="1" x="106"/>
        <item h="1" x="135"/>
        <item h="1" x="64"/>
        <item h="1" x="81"/>
        <item h="1" x="84"/>
        <item h="1" x="89"/>
        <item h="1" x="111"/>
        <item h="1" x="160"/>
        <item h="1" x="105"/>
        <item h="1" x="91"/>
        <item h="1" x="97"/>
        <item h="1" x="95"/>
        <item h="1" x="83"/>
        <item h="1" x="88"/>
        <item h="1" x="38"/>
        <item h="1" x="87"/>
        <item h="1" x="92"/>
        <item h="1" x="103"/>
        <item h="1" x="109"/>
        <item h="1" x="113"/>
        <item h="1" x="79"/>
        <item h="1" x="203"/>
        <item h="1" x="69"/>
        <item h="1" x="98"/>
        <item h="1" x="101"/>
        <item h="1" x="99"/>
        <item h="1" x="100"/>
        <item h="1" x="104"/>
        <item h="1" x="150"/>
        <item h="1" x="117"/>
        <item h="1" x="125"/>
        <item h="1" x="118"/>
        <item h="1" x="114"/>
        <item h="1" x="115"/>
        <item h="1" x="0"/>
        <item h="1" x="116"/>
        <item h="1" x="133"/>
        <item h="1" x="129"/>
        <item h="1" x="75"/>
        <item h="1" x="112"/>
        <item h="1" x="132"/>
        <item h="1" x="134"/>
        <item h="1" x="131"/>
        <item h="1" x="143"/>
        <item h="1" x="3"/>
        <item h="1" x="128"/>
        <item h="1" x="122"/>
        <item h="1" x="144"/>
        <item h="1" x="120"/>
        <item h="1" x="138"/>
        <item h="1" x="189"/>
        <item h="1" x="139"/>
        <item h="1" x="177"/>
        <item h="1" x="137"/>
        <item h="1" x="157"/>
        <item h="1" x="140"/>
        <item h="1" x="121"/>
        <item h="1" x="258"/>
        <item h="1" x="126"/>
        <item h="1" x="123"/>
        <item h="1" x="130"/>
        <item h="1" x="142"/>
        <item h="1" x="145"/>
        <item h="1" x="108"/>
        <item h="1" x="136"/>
        <item h="1" x="153"/>
        <item h="1" x="127"/>
        <item h="1" x="152"/>
        <item h="1" x="147"/>
        <item h="1" x="151"/>
        <item h="1" x="154"/>
        <item h="1" x="146"/>
        <item h="1" x="119"/>
        <item h="1" x="155"/>
        <item h="1" x="148"/>
        <item h="1" x="158"/>
        <item h="1" x="159"/>
        <item h="1" x="163"/>
        <item h="1" x="173"/>
        <item h="1" x="149"/>
        <item h="1" x="161"/>
        <item h="1" x="167"/>
        <item h="1" x="162"/>
        <item h="1" x="169"/>
        <item h="1" x="174"/>
        <item h="1" x="164"/>
        <item h="1" x="168"/>
        <item h="1" x="179"/>
        <item h="1" x="170"/>
        <item h="1" x="198"/>
        <item h="1" x="178"/>
        <item h="1" x="191"/>
        <item h="1" x="182"/>
        <item h="1" x="200"/>
        <item h="1" x="196"/>
        <item h="1" x="183"/>
        <item h="1" x="171"/>
        <item h="1" x="180"/>
        <item h="1" x="192"/>
        <item h="1" x="172"/>
        <item h="1" x="176"/>
        <item h="1" x="165"/>
        <item h="1" x="195"/>
        <item h="1" x="193"/>
        <item h="1" x="201"/>
        <item h="1" x="199"/>
        <item h="1" x="185"/>
        <item h="1" x="175"/>
        <item h="1" x="262"/>
        <item h="1" x="209"/>
        <item h="1" x="207"/>
        <item h="1" x="227"/>
        <item h="1" x="208"/>
        <item h="1" x="186"/>
        <item h="1" x="190"/>
        <item h="1" x="188"/>
        <item h="1" x="206"/>
        <item h="1" x="204"/>
        <item h="1" x="181"/>
        <item h="1" x="187"/>
        <item h="1" x="216"/>
        <item h="1" x="212"/>
        <item h="1" x="213"/>
        <item h="1" x="215"/>
        <item h="1" x="166"/>
        <item h="1" x="184"/>
        <item h="1" x="214"/>
        <item h="1" x="232"/>
        <item h="1" x="217"/>
        <item h="1" x="225"/>
        <item h="1" x="211"/>
        <item h="1" x="234"/>
        <item h="1" x="220"/>
        <item h="1" x="197"/>
        <item h="1" x="202"/>
        <item h="1" x="248"/>
        <item h="1" x="226"/>
        <item h="1" x="194"/>
        <item h="1" x="231"/>
        <item h="1" x="242"/>
        <item h="1" x="210"/>
        <item h="1" x="243"/>
        <item h="1" x="235"/>
        <item h="1" x="245"/>
        <item h="1" x="236"/>
        <item h="1" x="253"/>
        <item h="1" x="249"/>
        <item h="1" x="246"/>
        <item h="1" x="222"/>
        <item h="1" x="221"/>
        <item h="1" x="228"/>
        <item h="1" x="241"/>
        <item h="1" x="250"/>
        <item h="1" x="224"/>
        <item h="1" x="264"/>
        <item h="1" x="205"/>
        <item h="1" x="244"/>
        <item h="1" x="237"/>
        <item h="1" x="233"/>
        <item h="1" x="287"/>
        <item h="1" x="240"/>
        <item h="1" x="230"/>
        <item h="1" x="223"/>
        <item h="1" x="386"/>
        <item h="1" x="276"/>
        <item h="1" x="257"/>
        <item h="1" x="255"/>
        <item h="1" x="254"/>
        <item h="1" x="266"/>
        <item h="1" x="260"/>
        <item h="1" x="273"/>
        <item h="1" x="391"/>
        <item h="1" x="229"/>
        <item h="1" x="285"/>
        <item h="1" x="289"/>
        <item h="1" x="239"/>
        <item h="1" x="261"/>
        <item h="1" x="295"/>
        <item h="1" x="282"/>
        <item h="1" x="259"/>
        <item h="1" x="247"/>
        <item h="1" x="278"/>
        <item h="1" x="281"/>
        <item h="1" x="291"/>
        <item h="1" x="280"/>
        <item h="1" x="267"/>
        <item h="1" x="268"/>
        <item h="1" x="263"/>
        <item h="1" x="326"/>
        <item h="1" x="308"/>
        <item h="1" x="390"/>
        <item h="1" x="238"/>
        <item h="1" x="274"/>
        <item h="1" x="292"/>
        <item h="1" x="288"/>
        <item h="1" x="284"/>
        <item h="1" x="269"/>
        <item h="1" x="251"/>
        <item h="1" x="279"/>
        <item h="1" x="265"/>
        <item h="1" x="304"/>
        <item h="1" x="256"/>
        <item h="1" x="270"/>
        <item h="1" x="294"/>
        <item h="1" x="271"/>
        <item h="1" x="300"/>
        <item h="1" x="305"/>
        <item h="1" x="272"/>
        <item h="1" x="252"/>
        <item h="1" x="299"/>
        <item h="1" x="330"/>
        <item h="1" x="306"/>
        <item h="1" x="277"/>
        <item h="1" x="327"/>
        <item h="1" x="303"/>
        <item h="1" x="286"/>
        <item h="1" x="301"/>
        <item h="1" x="275"/>
        <item h="1" x="218"/>
        <item h="1" x="297"/>
        <item h="1" x="283"/>
        <item h="1" x="323"/>
        <item h="1" x="219"/>
        <item h="1" x="290"/>
        <item h="1" x="329"/>
        <item h="1" x="328"/>
        <item h="1" x="377"/>
        <item h="1" x="336"/>
        <item h="1" x="314"/>
        <item h="1" x="331"/>
        <item h="1" x="324"/>
        <item h="1" x="307"/>
        <item h="1" x="296"/>
        <item h="1" x="298"/>
        <item h="1" x="321"/>
        <item h="1" x="293"/>
        <item h="1" x="320"/>
        <item h="1" x="367"/>
        <item h="1" x="313"/>
        <item h="1" x="322"/>
        <item h="1" x="311"/>
        <item h="1" x="312"/>
        <item h="1" x="309"/>
        <item h="1" x="335"/>
        <item h="1" x="302"/>
        <item h="1" x="325"/>
        <item h="1" x="333"/>
        <item h="1" x="332"/>
        <item h="1" x="334"/>
        <item h="1" x="315"/>
        <item h="1" x="353"/>
        <item h="1" x="342"/>
        <item h="1" x="345"/>
        <item h="1" x="338"/>
        <item h="1" x="316"/>
        <item h="1" x="317"/>
        <item h="1" x="319"/>
        <item h="1" x="341"/>
        <item h="1" x="343"/>
        <item h="1" x="339"/>
        <item h="1" x="318"/>
        <item h="1" x="344"/>
        <item h="1" x="360"/>
        <item h="1" x="355"/>
        <item h="1" x="337"/>
        <item h="1" x="340"/>
        <item h="1" x="348"/>
        <item h="1" x="366"/>
        <item h="1" x="368"/>
        <item h="1" x="347"/>
        <item h="1" x="310"/>
        <item h="1" x="349"/>
        <item h="1" x="365"/>
        <item h="1" x="350"/>
        <item h="1" x="376"/>
        <item h="1" x="351"/>
        <item h="1" x="392"/>
        <item h="1" x="381"/>
        <item h="1" x="380"/>
        <item h="1" x="373"/>
        <item h="1" x="361"/>
        <item h="1" x="356"/>
        <item h="1" x="346"/>
        <item h="1" x="357"/>
        <item h="1" x="389"/>
        <item h="1" x="354"/>
        <item h="1" x="379"/>
        <item h="1" x="352"/>
        <item h="1" x="382"/>
        <item h="1" x="385"/>
        <item h="1" x="370"/>
        <item h="1" x="358"/>
        <item h="1" x="369"/>
        <item h="1" x="363"/>
        <item h="1" x="364"/>
        <item h="1" x="371"/>
        <item h="1" x="372"/>
        <item h="1" x="359"/>
        <item h="1" x="362"/>
        <item h="1" x="374"/>
        <item h="1" x="375"/>
        <item h="1" x="387"/>
        <item h="1" x="388"/>
        <item h="1" x="384"/>
        <item h="1" x="378"/>
        <item h="1" x="383"/>
        <item t="default"/>
      </items>
    </pivotField>
    <pivotField numFmtId="179" showAll="0"/>
    <pivotField numFmtId="179" showAll="0"/>
    <pivotField numFmtId="179" showAll="0"/>
    <pivotField numFmtId="179" showAll="0"/>
    <pivotField showAll="0"/>
    <pivotField numFmtId="179" showAll="0"/>
    <pivotField axis="axisRow" numFmtId="179" showAll="0">
      <items count="5">
        <item h="1" x="2"/>
        <item h="1" x="0"/>
        <item x="1"/>
        <item x="3"/>
        <item t="default"/>
      </items>
    </pivotField>
    <pivotField numFmtId="179" showAll="0"/>
    <pivotField numFmtId="179" showAll="0"/>
    <pivotField numFmtId="179" showAll="0"/>
    <pivotField numFmtId="179" showAll="0" defaultSubtotal="0"/>
    <pivotField showAll="0"/>
  </pivotFields>
  <rowFields count="3">
    <field x="5"/>
    <field x="24"/>
    <field x="1"/>
  </rowFields>
  <rowItems count="11">
    <i>
      <x v="2"/>
    </i>
    <i r="1">
      <x v="2"/>
    </i>
    <i r="2">
      <x/>
    </i>
    <i r="2">
      <x v="2"/>
    </i>
    <i r="2">
      <x v="4"/>
    </i>
    <i>
      <x v="12"/>
    </i>
    <i r="1">
      <x v="2"/>
    </i>
    <i r="2">
      <x/>
    </i>
    <i r="2">
      <x v="2"/>
    </i>
    <i r="2">
      <x v="4"/>
    </i>
    <i t="grand">
      <x/>
    </i>
  </rowItems>
  <colItems count="1">
    <i/>
  </colItems>
  <pageFields count="1">
    <pageField fld="17" hier="-1"/>
  </pageFields>
  <dataFields count="1">
    <dataField name="计数项:Customer Reserved" fld="17" subtotal="count" baseField="0" baseItem="0"/>
  </dataFields>
  <formats count="26">
    <format dxfId="458">
      <pivotArea outline="0" collapsedLevelsAreSubtotals="1" fieldPosition="0"/>
    </format>
    <format dxfId="457">
      <pivotArea type="all" dataOnly="0" outline="0" fieldPosition="0"/>
    </format>
    <format dxfId="456">
      <pivotArea outline="0" collapsedLevelsAreSubtotals="1" fieldPosition="0"/>
    </format>
    <format dxfId="455">
      <pivotArea dataOnly="0" labelOnly="1" fieldPosition="0">
        <references count="1">
          <reference field="5" count="4">
            <x v="1"/>
            <x v="2"/>
            <x v="4"/>
            <x v="8"/>
          </reference>
        </references>
      </pivotArea>
    </format>
    <format dxfId="454">
      <pivotArea dataOnly="0" labelOnly="1" grandRow="1" outline="0" fieldPosition="0"/>
    </format>
    <format dxfId="453">
      <pivotArea dataOnly="0" labelOnly="1" fieldPosition="0">
        <references count="1">
          <reference field="1" count="2">
            <x v="0"/>
            <x v="2"/>
          </reference>
        </references>
      </pivotArea>
    </format>
    <format dxfId="452">
      <pivotArea dataOnly="0" labelOnly="1" grandCol="1" outline="0" fieldPosition="0"/>
    </format>
    <format dxfId="451">
      <pivotArea collapsedLevelsAreSubtotals="1" fieldPosition="0">
        <references count="1">
          <reference field="5" count="1">
            <x v="4"/>
          </reference>
        </references>
      </pivotArea>
    </format>
    <format dxfId="450">
      <pivotArea dataOnly="0" labelOnly="1" fieldPosition="0">
        <references count="1">
          <reference field="5" count="1">
            <x v="4"/>
          </reference>
        </references>
      </pivotArea>
    </format>
    <format dxfId="449">
      <pivotArea collapsedLevelsAreSubtotals="1" fieldPosition="0">
        <references count="1">
          <reference field="5" count="1">
            <x v="2"/>
          </reference>
        </references>
      </pivotArea>
    </format>
    <format dxfId="448">
      <pivotArea dataOnly="0" labelOnly="1" fieldPosition="0">
        <references count="1">
          <reference field="5" count="1">
            <x v="2"/>
          </reference>
        </references>
      </pivotArea>
    </format>
    <format dxfId="447">
      <pivotArea collapsedLevelsAreSubtotals="1" fieldPosition="0">
        <references count="1">
          <reference field="5" count="1">
            <x v="5"/>
          </reference>
        </references>
      </pivotArea>
    </format>
    <format dxfId="446">
      <pivotArea dataOnly="0" labelOnly="1" fieldPosition="0">
        <references count="1">
          <reference field="5" count="1">
            <x v="5"/>
          </reference>
        </references>
      </pivotArea>
    </format>
    <format dxfId="445">
      <pivotArea collapsedLevelsAreSubtotals="1" fieldPosition="0">
        <references count="1">
          <reference field="5" count="1">
            <x v="8"/>
          </reference>
        </references>
      </pivotArea>
    </format>
    <format dxfId="444">
      <pivotArea dataOnly="0" labelOnly="1" fieldPosition="0">
        <references count="1">
          <reference field="5" count="1">
            <x v="8"/>
          </reference>
        </references>
      </pivotArea>
    </format>
    <format dxfId="443">
      <pivotArea type="all" dataOnly="0" outline="0" fieldPosition="0"/>
    </format>
    <format dxfId="442">
      <pivotArea dataOnly="0" labelOnly="1" fieldPosition="0">
        <references count="1">
          <reference field="5" count="3">
            <x v="2"/>
            <x v="4"/>
            <x v="12"/>
          </reference>
        </references>
      </pivotArea>
    </format>
    <format dxfId="441">
      <pivotArea dataOnly="0" labelOnly="1" grandRow="1" outline="0" fieldPosition="0"/>
    </format>
    <format dxfId="440">
      <pivotArea dataOnly="0" labelOnly="1" fieldPosition="0">
        <references count="2">
          <reference field="5" count="1" selected="0">
            <x v="2"/>
          </reference>
          <reference field="24" count="0"/>
        </references>
      </pivotArea>
    </format>
    <format dxfId="439">
      <pivotArea dataOnly="0" labelOnly="1" fieldPosition="0">
        <references count="1">
          <reference field="1" count="3">
            <x v="0"/>
            <x v="1"/>
            <x v="2"/>
          </reference>
        </references>
      </pivotArea>
    </format>
    <format dxfId="438">
      <pivotArea dataOnly="0" labelOnly="1" grandCol="1" outline="0" fieldPosition="0"/>
    </format>
    <format dxfId="437">
      <pivotArea collapsedLevelsAreSubtotals="1" fieldPosition="0">
        <references count="1">
          <reference field="5" count="1">
            <x v="12"/>
          </reference>
        </references>
      </pivotArea>
    </format>
    <format dxfId="436">
      <pivotArea dataOnly="0" labelOnly="1" fieldPosition="0">
        <references count="1">
          <reference field="5" count="1">
            <x v="12"/>
          </reference>
        </references>
      </pivotArea>
    </format>
    <format dxfId="435">
      <pivotArea outline="0" collapsedLevelsAreSubtotals="1" fieldPosition="0"/>
    </format>
    <format dxfId="434">
      <pivotArea dataOnly="0" labelOnly="1" outline="0" fieldPosition="0">
        <references count="1">
          <reference field="17" count="0"/>
        </references>
      </pivotArea>
    </format>
    <format dxfId="43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1335F9-BAE7-4771-85E7-975C56286139}" name="数据透视表1" cacheId="10" applyNumberFormats="0" applyBorderFormats="0" applyFontFormats="0" applyPatternFormats="0" applyAlignmentFormats="0" applyWidthHeightFormats="1" dataCaption="值" updatedVersion="7" minRefreshableVersion="3" useAutoFormatting="1" rowGrandTotals="0" colGrandTotals="0" itemPrintTitles="1" createdVersion="7" indent="0" compact="0" compactData="0" gridDropZones="1" multipleFieldFilters="0" chartFormat="2">
  <location ref="A3:P18" firstHeaderRow="1" firstDataRow="2" firstDataCol="1" rowPageCount="1" colPageCount="1"/>
  <pivotFields count="5">
    <pivotField axis="axisPage" compact="0" outline="0" multipleItemSelectionAllowed="1" showAll="0">
      <items count="3">
        <item x="0"/>
        <item x="1"/>
        <item t="default"/>
      </items>
    </pivotField>
    <pivotField compact="0" outline="0" showAll="0"/>
    <pivotField axis="axisCol" compact="0" outline="0" showAll="0">
      <items count="16"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7"/>
        <item x="13"/>
        <item x="14"/>
        <item t="default"/>
      </items>
    </pivotField>
    <pivotField dataField="1" compact="0" outline="0" showAll="0"/>
    <pivotField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4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</rowItems>
  <colFields count="1">
    <field x="2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</colItems>
  <pageFields count="1">
    <pageField fld="0" hier="-1"/>
  </pageFields>
  <dataFields count="1">
    <dataField name="求和项:Qty" fld="3" baseField="0" baseItem="0"/>
  </dataFields>
  <chartFormats count="16">
    <chartFormat chart="1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1A88AB-6A3B-479E-9FEC-EA6A533C66AB}" name="数据透视表3" cacheId="8" applyNumberFormats="0" applyBorderFormats="0" applyFontFormats="0" applyPatternFormats="0" applyAlignmentFormats="0" applyWidthHeightFormats="1" dataCaption="值" updatedVersion="7" minRefreshableVersion="3" useAutoFormatting="1" itemPrintTitles="1" createdVersion="6" indent="0" compact="0" compactData="0" gridDropZones="1" multipleFieldFilters="0">
  <location ref="A6:F35" firstHeaderRow="1" firstDataRow="2" firstDataCol="4" rowPageCount="3" colPageCount="1"/>
  <pivotFields count="20">
    <pivotField axis="axisPage" compact="0" outline="0" multipleItemSelectionAllowed="1" showAll="0" defaultSubtotal="0">
      <items count="8">
        <item h="1" x="5"/>
        <item h="1" x="0"/>
        <item h="1" x="6"/>
        <item h="1" x="1"/>
        <item h="1" x="2"/>
        <item h="1" x="3"/>
        <item h="1" x="4"/>
        <item x="7"/>
      </items>
    </pivotField>
    <pivotField axis="axisPage" compact="0" outline="0" multipleItemSelectionAllowed="1" showAll="0" defaultSubtotal="0">
      <items count="15">
        <item x="1"/>
        <item x="0"/>
        <item x="3"/>
        <item h="1" x="2"/>
        <item x="14"/>
        <item x="4"/>
        <item x="12"/>
        <item x="6"/>
        <item x="5"/>
        <item x="8"/>
        <item x="7"/>
        <item x="9"/>
        <item x="10"/>
        <item x="11"/>
        <item x="13"/>
      </items>
    </pivotField>
    <pivotField compact="0" outline="0" showAll="0" defaultSubtotal="0"/>
    <pivotField axis="axisPage" compact="0" outline="0" showAll="0" defaultSubtotal="0">
      <items count="3">
        <item x="2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00">
        <item x="11"/>
        <item x="9"/>
        <item x="10"/>
        <item x="15"/>
        <item x="12"/>
        <item x="14"/>
        <item x="13"/>
        <item x="16"/>
        <item x="17"/>
        <item x="18"/>
        <item x="19"/>
        <item x="22"/>
        <item x="21"/>
        <item x="23"/>
        <item x="24"/>
        <item x="20"/>
        <item x="25"/>
        <item x="26"/>
        <item x="27"/>
        <item x="32"/>
        <item x="28"/>
        <item x="33"/>
        <item x="29"/>
        <item x="30"/>
        <item x="36"/>
        <item x="37"/>
        <item x="35"/>
        <item x="31"/>
        <item x="38"/>
        <item x="45"/>
        <item x="48"/>
        <item x="40"/>
        <item x="41"/>
        <item x="52"/>
        <item x="59"/>
        <item x="46"/>
        <item x="49"/>
        <item x="47"/>
        <item x="55"/>
        <item x="61"/>
        <item x="60"/>
        <item x="44"/>
        <item x="42"/>
        <item x="43"/>
        <item x="51"/>
        <item x="54"/>
        <item x="50"/>
        <item x="39"/>
        <item x="74"/>
        <item x="73"/>
        <item x="64"/>
        <item x="65"/>
        <item x="53"/>
        <item x="57"/>
        <item x="84"/>
        <item x="66"/>
        <item x="78"/>
        <item x="79"/>
        <item x="83"/>
        <item x="72"/>
        <item x="63"/>
        <item x="70"/>
        <item x="82"/>
        <item x="90"/>
        <item x="91"/>
        <item x="89"/>
        <item x="88"/>
        <item x="56"/>
        <item x="92"/>
        <item x="100"/>
        <item x="68"/>
        <item x="69"/>
        <item x="71"/>
        <item x="75"/>
        <item x="76"/>
        <item x="104"/>
        <item x="93"/>
        <item x="94"/>
        <item x="96"/>
        <item x="97"/>
        <item x="99"/>
        <item x="67"/>
        <item x="77"/>
        <item x="86"/>
        <item x="80"/>
        <item x="81"/>
        <item x="85"/>
        <item x="87"/>
        <item x="98"/>
        <item x="101"/>
        <item x="102"/>
        <item x="62"/>
        <item x="34"/>
        <item x="95"/>
        <item x="105"/>
        <item x="106"/>
        <item x="107"/>
        <item x="108"/>
        <item x="110"/>
        <item x="109"/>
        <item x="103"/>
        <item x="111"/>
        <item x="114"/>
        <item x="113"/>
        <item x="112"/>
        <item x="116"/>
        <item x="115"/>
        <item x="117"/>
        <item x="118"/>
        <item x="120"/>
        <item x="127"/>
        <item x="126"/>
        <item x="124"/>
        <item x="123"/>
        <item x="125"/>
        <item x="132"/>
        <item x="0"/>
        <item x="128"/>
        <item x="119"/>
        <item x="121"/>
        <item x="122"/>
        <item x="129"/>
        <item x="130"/>
        <item x="131"/>
        <item x="133"/>
        <item x="136"/>
        <item x="135"/>
        <item x="137"/>
        <item x="134"/>
        <item x="138"/>
        <item x="139"/>
        <item x="140"/>
        <item x="144"/>
        <item x="141"/>
        <item x="142"/>
        <item x="143"/>
        <item x="145"/>
        <item x="173"/>
        <item x="146"/>
        <item x="147"/>
        <item x="148"/>
        <item x="149"/>
        <item x="150"/>
        <item x="151"/>
        <item x="174"/>
        <item x="152"/>
        <item x="153"/>
        <item x="154"/>
        <item x="155"/>
        <item x="158"/>
        <item x="157"/>
        <item x="161"/>
        <item x="160"/>
        <item x="193"/>
        <item x="164"/>
        <item x="165"/>
        <item x="163"/>
        <item x="166"/>
        <item x="162"/>
        <item x="168"/>
        <item x="210"/>
        <item x="249"/>
        <item x="286"/>
        <item x="284"/>
        <item x="207"/>
        <item x="202"/>
        <item x="208"/>
        <item x="209"/>
        <item x="203"/>
        <item x="199"/>
        <item x="289"/>
        <item x="290"/>
        <item x="285"/>
        <item x="288"/>
        <item x="287"/>
        <item x="292"/>
        <item x="291"/>
        <item x="295"/>
        <item x="293"/>
        <item x="294"/>
        <item x="296"/>
        <item x="297"/>
        <item x="299"/>
        <item x="300"/>
        <item x="301"/>
        <item x="177"/>
        <item x="159"/>
        <item x="156"/>
        <item x="167"/>
        <item x="169"/>
        <item x="170"/>
        <item x="171"/>
        <item x="172"/>
        <item x="175"/>
        <item x="176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4"/>
        <item x="195"/>
        <item x="196"/>
        <item x="197"/>
        <item x="198"/>
        <item x="204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05"/>
        <item x="201"/>
        <item x="200"/>
        <item x="206"/>
        <item x="211"/>
        <item x="212"/>
        <item x="222"/>
        <item x="218"/>
        <item x="223"/>
        <item x="219"/>
        <item x="224"/>
        <item x="220"/>
        <item x="225"/>
        <item x="217"/>
        <item x="231"/>
        <item x="214"/>
        <item x="230"/>
        <item x="215"/>
        <item x="216"/>
        <item x="213"/>
        <item x="227"/>
        <item x="226"/>
        <item x="228"/>
        <item x="283"/>
        <item x="248"/>
        <item x="236"/>
        <item x="232"/>
        <item x="221"/>
        <item x="234"/>
        <item x="238"/>
        <item x="239"/>
        <item x="240"/>
        <item x="233"/>
        <item x="237"/>
        <item x="235"/>
        <item x="241"/>
        <item x="243"/>
        <item x="244"/>
        <item x="245"/>
        <item x="246"/>
        <item x="247"/>
        <item x="242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75"/>
        <item x="277"/>
        <item x="229"/>
        <item x="278"/>
        <item x="280"/>
        <item x="276"/>
        <item x="279"/>
        <item x="302"/>
        <item x="303"/>
        <item x="304"/>
        <item x="305"/>
        <item x="306"/>
        <item x="307"/>
        <item x="308"/>
        <item x="309"/>
        <item x="310"/>
        <item x="311"/>
        <item x="281"/>
        <item x="282"/>
        <item x="298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1"/>
        <item x="2"/>
        <item x="3"/>
        <item x="4"/>
        <item x="5"/>
        <item x="6"/>
        <item x="7"/>
        <item x="8"/>
        <item x="58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</items>
    </pivotField>
    <pivotField compact="0" outline="0" showAll="0" defaultSubtotal="0"/>
    <pivotField axis="axisRow" compact="0" outline="0" showAll="0" defaultSubtotal="0">
      <items count="126">
        <item h="1" x="1"/>
        <item h="1" x="2"/>
        <item h="1" x="3"/>
        <item h="1" x="4"/>
        <item h="1" x="5"/>
        <item h="1" x="7"/>
        <item h="1" x="6"/>
        <item h="1" x="9"/>
        <item h="1" x="8"/>
        <item h="1" x="11"/>
        <item h="1" x="12"/>
        <item h="1" x="10"/>
        <item h="1" x="13"/>
        <item h="1" x="14"/>
        <item h="1" x="15"/>
        <item h="1" x="16"/>
        <item h="1" x="17"/>
        <item h="1" x="20"/>
        <item h="1" x="18"/>
        <item h="1" x="21"/>
        <item h="1" x="19"/>
        <item h="1" x="22"/>
        <item h="1" x="27"/>
        <item h="1" x="24"/>
        <item h="1" x="31"/>
        <item h="1" x="28"/>
        <item h="1" x="29"/>
        <item h="1" x="36"/>
        <item h="1" x="26"/>
        <item h="1" x="25"/>
        <item h="1" x="30"/>
        <item h="1" x="23"/>
        <item h="1" x="33"/>
        <item h="1" x="32"/>
        <item h="1" x="38"/>
        <item h="1" x="34"/>
        <item h="1" x="41"/>
        <item h="1" x="37"/>
        <item h="1" x="40"/>
        <item h="1" x="39"/>
        <item h="1" x="42"/>
        <item h="1" x="44"/>
        <item h="1" x="43"/>
        <item h="1" x="45"/>
        <item h="1" x="55"/>
        <item h="1" x="46"/>
        <item h="1" x="49"/>
        <item h="1" x="47"/>
        <item h="1" x="52"/>
        <item h="1" x="50"/>
        <item h="1" x="48"/>
        <item h="1" x="54"/>
        <item h="1" x="57"/>
        <item h="1" x="53"/>
        <item h="1" x="51"/>
        <item h="1" x="59"/>
        <item h="1" x="89"/>
        <item h="1" x="58"/>
        <item h="1" x="0"/>
        <item h="1" x="56"/>
        <item h="1" x="60"/>
        <item h="1" x="61"/>
        <item h="1" x="62"/>
        <item h="1" x="63"/>
        <item h="1" x="90"/>
        <item h="1" x="66"/>
        <item h="1" x="91"/>
        <item h="1" x="69"/>
        <item h="1" x="67"/>
        <item h="1" x="72"/>
        <item h="1" x="65"/>
        <item h="1" x="64"/>
        <item h="1" x="68"/>
        <item h="1" x="70"/>
        <item h="1" x="71"/>
        <item h="1" x="73"/>
        <item h="1" x="74"/>
        <item h="1" x="75"/>
        <item h="1" x="76"/>
        <item h="1" x="86"/>
        <item h="1" x="87"/>
        <item h="1" x="88"/>
        <item h="1" x="77"/>
        <item h="1" x="78"/>
        <item h="1" x="80"/>
        <item h="1" x="81"/>
        <item h="1" x="82"/>
        <item h="1" x="79"/>
        <item h="1" x="83"/>
        <item h="1" x="84"/>
        <item h="1" x="85"/>
        <item h="1" x="92"/>
        <item h="1" x="93"/>
        <item h="1" x="94"/>
        <item h="1" x="95"/>
        <item h="1" x="96"/>
        <item h="1" x="97"/>
        <item h="1" x="98"/>
        <item h="1" m="1" x="125"/>
        <item h="1" x="99"/>
        <item h="1" x="100"/>
        <item h="1" x="101"/>
        <item h="1" x="102"/>
        <item h="1" x="103"/>
        <item h="1" x="104"/>
        <item h="1"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h="1" x="35"/>
      </items>
    </pivotField>
    <pivotField axis="axisRow" compact="0" outline="0" showAll="0" defaultSubtotal="0">
      <items count="246">
        <item x="92"/>
        <item x="79"/>
        <item x="80"/>
        <item x="24"/>
        <item x="28"/>
        <item x="46"/>
        <item x="13"/>
        <item x="20"/>
        <item x="15"/>
        <item x="57"/>
        <item x="30"/>
        <item x="49"/>
        <item x="37"/>
        <item x="44"/>
        <item x="58"/>
        <item x="14"/>
        <item x="33"/>
        <item x="59"/>
        <item x="54"/>
        <item x="35"/>
        <item x="36"/>
        <item x="17"/>
        <item x="34"/>
        <item x="43"/>
        <item x="51"/>
        <item x="55"/>
        <item x="32"/>
        <item x="19"/>
        <item x="56"/>
        <item x="26"/>
        <item x="31"/>
        <item x="29"/>
        <item x="22"/>
        <item x="7"/>
        <item x="3"/>
        <item x="8"/>
        <item x="10"/>
        <item x="45"/>
        <item x="18"/>
        <item x="40"/>
        <item x="42"/>
        <item x="21"/>
        <item x="27"/>
        <item x="23"/>
        <item x="66"/>
        <item x="89"/>
        <item x="65"/>
        <item x="67"/>
        <item x="25"/>
        <item x="75"/>
        <item x="77"/>
        <item x="78"/>
        <item x="86"/>
        <item x="63"/>
        <item x="64"/>
        <item x="68"/>
        <item x="69"/>
        <item x="71"/>
        <item x="72"/>
        <item x="70"/>
        <item x="73"/>
        <item x="76"/>
        <item x="39"/>
        <item x="81"/>
        <item x="82"/>
        <item x="85"/>
        <item x="91"/>
        <item x="61"/>
        <item x="62"/>
        <item x="53"/>
        <item x="111"/>
        <item x="2"/>
        <item x="38"/>
        <item x="0"/>
        <item x="4"/>
        <item x="16"/>
        <item x="5"/>
        <item x="12"/>
        <item x="6"/>
        <item x="9"/>
        <item x="99"/>
        <item x="47"/>
        <item x="87"/>
        <item x="101"/>
        <item x="93"/>
        <item x="83"/>
        <item x="90"/>
        <item x="109"/>
        <item x="108"/>
        <item x="104"/>
        <item x="106"/>
        <item x="115"/>
        <item x="52"/>
        <item x="84"/>
        <item x="1"/>
        <item x="116"/>
        <item x="96"/>
        <item x="94"/>
        <item x="97"/>
        <item x="48"/>
        <item x="11"/>
        <item x="74"/>
        <item x="98"/>
        <item x="50"/>
        <item x="41"/>
        <item x="102"/>
        <item x="88"/>
        <item x="110"/>
        <item x="113"/>
        <item x="100"/>
        <item x="60"/>
        <item x="105"/>
        <item x="95"/>
        <item x="107"/>
        <item x="112"/>
        <item x="245"/>
        <item x="120"/>
        <item x="114"/>
        <item x="119"/>
        <item x="118"/>
        <item x="117"/>
        <item x="121"/>
        <item x="122"/>
        <item x="123"/>
        <item x="124"/>
        <item x="125"/>
        <item x="131"/>
        <item x="139"/>
        <item x="136"/>
        <item x="133"/>
        <item x="127"/>
        <item x="126"/>
        <item x="129"/>
        <item x="132"/>
        <item x="130"/>
        <item x="128"/>
        <item x="134"/>
        <item x="135"/>
        <item x="137"/>
        <item x="138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87"/>
        <item x="177"/>
        <item x="157"/>
        <item x="188"/>
        <item x="189"/>
        <item x="190"/>
        <item x="191"/>
        <item x="192"/>
        <item x="193"/>
        <item x="156"/>
        <item x="154"/>
        <item x="158"/>
        <item x="159"/>
        <item x="164"/>
        <item x="165"/>
        <item x="162"/>
        <item x="166"/>
        <item x="163"/>
        <item x="160"/>
        <item x="169"/>
        <item x="161"/>
        <item x="167"/>
        <item x="171"/>
        <item x="172"/>
        <item x="170"/>
        <item x="174"/>
        <item x="175"/>
        <item x="176"/>
        <item x="173"/>
        <item x="168"/>
        <item x="178"/>
        <item x="179"/>
        <item x="180"/>
        <item x="181"/>
        <item x="182"/>
        <item x="183"/>
        <item x="184"/>
        <item x="185"/>
        <item x="186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103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</items>
    </pivotField>
    <pivotField axis="axisRow" compact="0" outline="0" showAll="0" defaultSubtotal="0">
      <items count="22">
        <item x="11"/>
        <item x="12"/>
        <item x="7"/>
        <item x="9"/>
        <item x="3"/>
        <item x="4"/>
        <item x="0"/>
        <item x="8"/>
        <item x="5"/>
        <item x="15"/>
        <item x="2"/>
        <item x="6"/>
        <item x="10"/>
        <item x="14"/>
        <item x="13"/>
        <item x="1"/>
        <item x="21"/>
        <item x="16"/>
        <item x="17"/>
        <item x="18"/>
        <item x="19"/>
        <item x="20"/>
      </items>
    </pivotField>
    <pivotField dataField="1" compact="0" outline="0" showAll="0" defaultSubtotal="0"/>
    <pivotField dataField="1"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4">
    <field x="8"/>
    <field x="10"/>
    <field x="12"/>
    <field x="11"/>
  </rowFields>
  <rowItems count="28">
    <i>
      <x v="374"/>
      <x v="106"/>
      <x v="19"/>
      <x v="241"/>
    </i>
    <i>
      <x v="375"/>
      <x v="107"/>
      <x v="15"/>
      <x v="242"/>
    </i>
    <i>
      <x v="376"/>
      <x v="108"/>
      <x v="15"/>
      <x v="117"/>
    </i>
    <i>
      <x v="377"/>
      <x v="109"/>
      <x v="19"/>
      <x v="65"/>
    </i>
    <i>
      <x v="378"/>
      <x v="109"/>
      <x v="10"/>
      <x v="65"/>
    </i>
    <i>
      <x v="379"/>
      <x v="110"/>
      <x v="15"/>
      <x v="117"/>
    </i>
    <i>
      <x v="380"/>
      <x v="111"/>
      <x v="10"/>
      <x v="65"/>
    </i>
    <i>
      <x v="381"/>
      <x v="111"/>
      <x v="19"/>
      <x v="65"/>
    </i>
    <i>
      <x v="383"/>
      <x v="113"/>
      <x v="10"/>
      <x v="65"/>
    </i>
    <i>
      <x v="384"/>
      <x v="113"/>
      <x v="19"/>
      <x v="65"/>
    </i>
    <i>
      <x v="385"/>
      <x v="114"/>
      <x v="10"/>
      <x v="65"/>
    </i>
    <i r="2">
      <x v="20"/>
      <x v="65"/>
    </i>
    <i>
      <x v="386"/>
      <x v="114"/>
      <x v="19"/>
      <x v="65"/>
    </i>
    <i>
      <x v="387"/>
      <x v="115"/>
      <x v="10"/>
      <x v="65"/>
    </i>
    <i r="2">
      <x v="20"/>
      <x v="65"/>
    </i>
    <i>
      <x v="388"/>
      <x v="115"/>
      <x v="19"/>
      <x v="65"/>
    </i>
    <i>
      <x v="389"/>
      <x v="116"/>
      <x v="9"/>
      <x v="184"/>
    </i>
    <i>
      <x v="390"/>
      <x v="117"/>
      <x v="10"/>
      <x v="65"/>
    </i>
    <i>
      <x v="391"/>
      <x v="118"/>
      <x v="21"/>
      <x v="243"/>
    </i>
    <i>
      <x v="392"/>
      <x v="119"/>
      <x v="19"/>
      <x v="65"/>
    </i>
    <i>
      <x v="393"/>
      <x v="120"/>
      <x v="10"/>
      <x v="65"/>
    </i>
    <i>
      <x v="394"/>
      <x v="119"/>
      <x v="19"/>
      <x v="65"/>
    </i>
    <i>
      <x v="395"/>
      <x v="119"/>
      <x v="19"/>
      <x v="65"/>
    </i>
    <i>
      <x v="396"/>
      <x v="121"/>
      <x v="9"/>
      <x v="240"/>
    </i>
    <i>
      <x v="397"/>
      <x v="122"/>
      <x v="9"/>
      <x v="65"/>
    </i>
    <i>
      <x v="398"/>
      <x v="123"/>
      <x v="10"/>
      <x v="244"/>
    </i>
    <i>
      <x v="399"/>
      <x v="124"/>
      <x v="19"/>
      <x v="245"/>
    </i>
    <i t="grand">
      <x/>
    </i>
  </rowItems>
  <colFields count="1">
    <field x="-2"/>
  </colFields>
  <colItems count="2">
    <i>
      <x/>
    </i>
    <i i="1">
      <x v="1"/>
    </i>
  </colItems>
  <pageFields count="3">
    <pageField fld="3" hier="-1"/>
    <pageField fld="0" hier="-1"/>
    <pageField fld="1" hier="-1"/>
  </pageFields>
  <dataFields count="2">
    <dataField name="求和项:Qty " fld="13" baseField="8" baseItem="0"/>
    <dataField name="求和项: Total price (JPY) " fld="14" baseField="8" baseItem="0" numFmtId="4"/>
  </dataFields>
  <formats count="151">
    <format dxfId="432">
      <pivotArea outline="0" fieldPosition="0">
        <references count="1">
          <reference field="4294967294" count="1" selected="0">
            <x v="1"/>
          </reference>
        </references>
      </pivotArea>
    </format>
    <format dxfId="431">
      <pivotArea type="topRight" dataOnly="0" labelOnly="1" outline="0" fieldPosition="0"/>
    </format>
    <format dxfId="43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29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3"/>
            <x v="54"/>
            <x v="55"/>
            <x v="56"/>
            <x v="57"/>
            <x v="58"/>
          </reference>
        </references>
      </pivotArea>
    </format>
    <format dxfId="428">
      <pivotArea dataOnly="0" labelOnly="1" outline="0" fieldPosition="0">
        <references count="1">
          <reference field="8" count="49"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6"/>
            <x v="77"/>
            <x v="78"/>
            <x v="79"/>
            <x v="80"/>
            <x v="81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5"/>
            <x v="96"/>
            <x v="97"/>
            <x v="101"/>
            <x v="102"/>
            <x v="103"/>
            <x v="106"/>
            <x v="110"/>
            <x v="111"/>
            <x v="112"/>
            <x v="113"/>
            <x v="114"/>
            <x v="133"/>
            <x v="160"/>
            <x v="162"/>
            <x v="163"/>
          </reference>
        </references>
      </pivotArea>
    </format>
    <format dxfId="427">
      <pivotArea dataOnly="0" labelOnly="1" outline="0" fieldPosition="0">
        <references count="1">
          <reference field="8" count="22">
            <x v="75"/>
            <x v="93"/>
            <x v="98"/>
            <x v="99"/>
            <x v="100"/>
            <x v="104"/>
            <x v="108"/>
            <x v="115"/>
            <x v="126"/>
            <x v="132"/>
            <x v="138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</reference>
        </references>
      </pivotArea>
    </format>
    <format dxfId="426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425">
      <pivotArea dataOnly="0" labelOnly="1" outline="0" fieldPosition="0">
        <references count="1">
          <reference field="8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  <x v="106"/>
          </reference>
        </references>
      </pivotArea>
    </format>
    <format dxfId="424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423">
      <pivotArea dataOnly="0" labelOnly="1" outline="0" fieldPosition="0">
        <references count="1">
          <reference field="8" count="50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</reference>
        </references>
      </pivotArea>
    </format>
    <format dxfId="422">
      <pivotArea dataOnly="0" labelOnly="1" outline="0" fieldPosition="0">
        <references count="1">
          <reference field="8" count="50">
            <x v="100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8"/>
            <x v="139"/>
            <x v="140"/>
            <x v="141"/>
            <x v="160"/>
            <x v="162"/>
            <x v="163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</reference>
        </references>
      </pivotArea>
    </format>
    <format dxfId="421">
      <pivotArea dataOnly="0" labelOnly="1" outline="0" fieldPosition="0">
        <references count="1">
          <reference field="8" count="22">
            <x v="137"/>
            <x v="142"/>
            <x v="143"/>
            <x v="144"/>
            <x v="145"/>
            <x v="146"/>
            <x v="147"/>
            <x v="148"/>
            <x v="149"/>
            <x v="150"/>
            <x v="154"/>
            <x v="155"/>
            <x v="156"/>
            <x v="157"/>
            <x v="158"/>
            <x v="159"/>
            <x v="161"/>
            <x v="181"/>
            <x v="182"/>
            <x v="183"/>
            <x v="186"/>
            <x v="187"/>
          </reference>
        </references>
      </pivotArea>
    </format>
    <format dxfId="420">
      <pivotArea dataOnly="0" labelOnly="1" outline="0" fieldPosition="0">
        <references count="3">
          <reference field="8" count="1" selected="0">
            <x v="151"/>
          </reference>
          <reference field="10" count="1" selected="0">
            <x v="71"/>
          </reference>
          <reference field="12" count="1">
            <x v="10"/>
          </reference>
        </references>
      </pivotArea>
    </format>
    <format dxfId="419">
      <pivotArea dataOnly="0" labelOnly="1" outline="0" offset="IV1" fieldPosition="0">
        <references count="4">
          <reference field="8" count="1" selected="0">
            <x v="151"/>
          </reference>
          <reference field="10" count="1" selected="0">
            <x v="71"/>
          </reference>
          <reference field="11" count="1">
            <x v="135"/>
          </reference>
          <reference field="12" count="1" selected="0">
            <x v="10"/>
          </reference>
        </references>
      </pivotArea>
    </format>
    <format dxfId="418">
      <pivotArea dataOnly="0" labelOnly="1" outline="0" fieldPosition="0">
        <references count="3">
          <reference field="8" count="1" selected="0">
            <x v="157"/>
          </reference>
          <reference field="10" count="1" selected="0">
            <x v="70"/>
          </reference>
          <reference field="12" count="1">
            <x v="10"/>
          </reference>
        </references>
      </pivotArea>
    </format>
    <format dxfId="417">
      <pivotArea dataOnly="0" labelOnly="1" outline="0" fieldPosition="0">
        <references count="4">
          <reference field="8" count="1" selected="0">
            <x v="157"/>
          </reference>
          <reference field="10" count="1" selected="0">
            <x v="70"/>
          </reference>
          <reference field="11" count="1">
            <x v="133"/>
          </reference>
          <reference field="12" count="1" selected="0">
            <x v="10"/>
          </reference>
        </references>
      </pivotArea>
    </format>
    <format dxfId="416">
      <pivotArea dataOnly="0" labelOnly="1" outline="0" fieldPosition="0">
        <references count="3">
          <reference field="8" count="1" selected="0">
            <x v="152"/>
          </reference>
          <reference field="10" count="1" selected="0">
            <x v="71"/>
          </reference>
          <reference field="12" count="1">
            <x v="13"/>
          </reference>
        </references>
      </pivotArea>
    </format>
    <format dxfId="415">
      <pivotArea dataOnly="0" labelOnly="1" outline="0" offset="IV256" fieldPosition="0">
        <references count="4">
          <reference field="8" count="1" selected="0">
            <x v="151"/>
          </reference>
          <reference field="10" count="1" selected="0">
            <x v="71"/>
          </reference>
          <reference field="11" count="1">
            <x v="135"/>
          </reference>
          <reference field="12" count="1" selected="0">
            <x v="10"/>
          </reference>
        </references>
      </pivotArea>
    </format>
    <format dxfId="414">
      <pivotArea dataOnly="0" labelOnly="1" outline="0" fieldPosition="0">
        <references count="3">
          <reference field="8" count="1" selected="0">
            <x v="156"/>
          </reference>
          <reference field="10" count="1" selected="0">
            <x v="70"/>
          </reference>
          <reference field="12" count="1">
            <x v="13"/>
          </reference>
        </references>
      </pivotArea>
    </format>
    <format dxfId="413">
      <pivotArea dataOnly="0" labelOnly="1" outline="0" fieldPosition="0">
        <references count="4">
          <reference field="8" count="1" selected="0">
            <x v="156"/>
          </reference>
          <reference field="10" count="1" selected="0">
            <x v="70"/>
          </reference>
          <reference field="11" count="1">
            <x v="132"/>
          </reference>
          <reference field="12" count="1" selected="0">
            <x v="13"/>
          </reference>
        </references>
      </pivotArea>
    </format>
    <format dxfId="412">
      <pivotArea dataOnly="0" labelOnly="1" outline="0" fieldPosition="0">
        <references count="3">
          <reference field="8" count="1" selected="0">
            <x v="158"/>
          </reference>
          <reference field="10" count="1" selected="0">
            <x v="70"/>
          </reference>
          <reference field="12" count="1">
            <x v="13"/>
          </reference>
        </references>
      </pivotArea>
    </format>
    <format dxfId="411">
      <pivotArea dataOnly="0" labelOnly="1" outline="0" fieldPosition="0">
        <references count="4">
          <reference field="8" count="1" selected="0">
            <x v="158"/>
          </reference>
          <reference field="10" count="1" selected="0">
            <x v="70"/>
          </reference>
          <reference field="11" count="1">
            <x v="135"/>
          </reference>
          <reference field="12" count="1" selected="0">
            <x v="13"/>
          </reference>
        </references>
      </pivotArea>
    </format>
    <format dxfId="410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9"/>
            <x v="220"/>
            <x v="221"/>
            <x v="222"/>
            <x v="223"/>
            <x v="224"/>
            <x v="225"/>
            <x v="226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409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5"/>
            <x v="216"/>
            <x v="217"/>
            <x v="218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408">
      <pivotArea dataOnly="0" labelOnly="1" outline="0" fieldPosition="0">
        <references count="1">
          <reference field="8" count="3">
            <x v="216"/>
            <x v="217"/>
            <x v="218"/>
          </reference>
        </references>
      </pivotArea>
    </format>
    <format dxfId="407">
      <pivotArea dataOnly="0" labelOnly="1" outline="0" fieldPosition="0">
        <references count="1">
          <reference field="8" count="1">
            <x v="215"/>
          </reference>
        </references>
      </pivotArea>
    </format>
    <format dxfId="406">
      <pivotArea dataOnly="0" labelOnly="1" outline="0" fieldPosition="0">
        <references count="1">
          <reference field="8" count="1">
            <x v="229"/>
          </reference>
        </references>
      </pivotArea>
    </format>
    <format dxfId="405">
      <pivotArea dataOnly="0" labelOnly="1" outline="0" fieldPosition="0">
        <references count="3">
          <reference field="8" count="1" selected="0">
            <x v="229"/>
          </reference>
          <reference field="10" count="1" selected="0">
            <x v="78"/>
          </reference>
          <reference field="12" count="2">
            <x v="10"/>
            <x v="13"/>
          </reference>
        </references>
      </pivotArea>
    </format>
    <format dxfId="404">
      <pivotArea dataOnly="0" labelOnly="1" outline="0" fieldPosition="0">
        <references count="4">
          <reference field="8" count="1" selected="0">
            <x v="229"/>
          </reference>
          <reference field="10" count="1" selected="0">
            <x v="78"/>
          </reference>
          <reference field="11" count="1">
            <x v="146"/>
          </reference>
          <reference field="12" count="1" selected="0">
            <x v="10"/>
          </reference>
        </references>
      </pivotArea>
    </format>
    <format dxfId="403">
      <pivotArea dataOnly="0" labelOnly="1" outline="0" fieldPosition="0">
        <references count="1">
          <reference field="8" count="2">
            <x v="227"/>
            <x v="228"/>
          </reference>
        </references>
      </pivotArea>
    </format>
    <format dxfId="402">
      <pivotArea dataOnly="0" labelOnly="1" outline="0" fieldPosition="0">
        <references count="1">
          <reference field="8" count="1">
            <x v="168"/>
          </reference>
        </references>
      </pivotArea>
    </format>
    <format dxfId="401">
      <pivotArea dataOnly="0" labelOnly="1" outline="0" fieldPosition="0">
        <references count="1">
          <reference field="8" count="1">
            <x v="165"/>
          </reference>
        </references>
      </pivotArea>
    </format>
    <format dxfId="400">
      <pivotArea dataOnly="0" labelOnly="1" outline="0" fieldPosition="0">
        <references count="1">
          <reference field="8" count="1">
            <x v="169"/>
          </reference>
        </references>
      </pivotArea>
    </format>
    <format dxfId="399">
      <pivotArea dataOnly="0" labelOnly="1" outline="0" fieldPosition="0">
        <references count="1">
          <reference field="8" count="1">
            <x v="164"/>
          </reference>
        </references>
      </pivotArea>
    </format>
    <format dxfId="398">
      <pivotArea dataOnly="0" labelOnly="1" outline="0" fieldPosition="0">
        <references count="1">
          <reference field="8" count="1">
            <x v="167"/>
          </reference>
        </references>
      </pivotArea>
    </format>
    <format dxfId="397">
      <pivotArea dataOnly="0" labelOnly="1" outline="0" fieldPosition="0">
        <references count="1">
          <reference field="8" count="1">
            <x v="166"/>
          </reference>
        </references>
      </pivotArea>
    </format>
    <format dxfId="396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5"/>
            <x v="216"/>
            <x v="217"/>
            <x v="218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395">
      <pivotArea dataOnly="0" labelOnly="1" outline="0" fieldPosition="0">
        <references count="1">
          <reference field="8" count="1">
            <x v="247"/>
          </reference>
        </references>
      </pivotArea>
    </format>
    <format dxfId="394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5"/>
            <x v="216"/>
            <x v="217"/>
            <x v="218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393">
      <pivotArea dataOnly="0" labelOnly="1" outline="0" fieldPosition="0">
        <references count="1">
          <reference field="8" count="1">
            <x v="247"/>
          </reference>
        </references>
      </pivotArea>
    </format>
    <format dxfId="392">
      <pivotArea dataOnly="0" labelOnly="1" outline="0" fieldPosition="0">
        <references count="2">
          <reference field="8" count="1" selected="0">
            <x v="160"/>
          </reference>
          <reference field="10" count="1">
            <x v="46"/>
          </reference>
        </references>
      </pivotArea>
    </format>
    <format dxfId="391">
      <pivotArea dataOnly="0" labelOnly="1" outline="0" fieldPosition="0">
        <references count="2">
          <reference field="8" count="1" selected="0">
            <x v="170"/>
          </reference>
          <reference field="10" count="1">
            <x v="52"/>
          </reference>
        </references>
      </pivotArea>
    </format>
    <format dxfId="390">
      <pivotArea dataOnly="0" labelOnly="1" outline="0" fieldPosition="0">
        <references count="2">
          <reference field="8" count="1" selected="0">
            <x v="161"/>
          </reference>
          <reference field="10" count="1">
            <x v="46"/>
          </reference>
        </references>
      </pivotArea>
    </format>
    <format dxfId="389">
      <pivotArea dataOnly="0" labelOnly="1" outline="0" fieldPosition="0">
        <references count="2">
          <reference field="8" count="1" selected="0">
            <x v="171"/>
          </reference>
          <reference field="10" count="1">
            <x v="52"/>
          </reference>
        </references>
      </pivotArea>
    </format>
    <format dxfId="388">
      <pivotArea dataOnly="0" labelOnly="1" outline="0" fieldPosition="0">
        <references count="2">
          <reference field="8" count="1" selected="0">
            <x v="175"/>
          </reference>
          <reference field="10" count="1">
            <x v="56"/>
          </reference>
        </references>
      </pivotArea>
    </format>
    <format dxfId="387">
      <pivotArea dataOnly="0" labelOnly="1" outline="0" fieldPosition="0">
        <references count="2">
          <reference field="8" count="1" selected="0">
            <x v="181"/>
          </reference>
          <reference field="10" count="1">
            <x v="57"/>
          </reference>
        </references>
      </pivotArea>
    </format>
    <format dxfId="386">
      <pivotArea dataOnly="0" labelOnly="1" outline="0" fieldPosition="0">
        <references count="2">
          <reference field="8" count="1" selected="0">
            <x v="172"/>
          </reference>
          <reference field="10" count="1">
            <x v="52"/>
          </reference>
        </references>
      </pivotArea>
    </format>
    <format dxfId="385">
      <pivotArea dataOnly="0" labelOnly="1" outline="0" fieldPosition="0">
        <references count="2">
          <reference field="8" count="1" selected="0">
            <x v="179"/>
          </reference>
          <reference field="10" count="1">
            <x v="56"/>
          </reference>
        </references>
      </pivotArea>
    </format>
    <format dxfId="384">
      <pivotArea dataOnly="0" labelOnly="1" outline="0" fieldPosition="0">
        <references count="2">
          <reference field="8" count="1" selected="0">
            <x v="162"/>
          </reference>
          <reference field="10" count="1">
            <x v="46"/>
          </reference>
        </references>
      </pivotArea>
    </format>
    <format dxfId="383">
      <pivotArea dataOnly="0" labelOnly="1" outline="0" fieldPosition="0">
        <references count="2">
          <reference field="8" count="1" selected="0">
            <x v="174"/>
          </reference>
          <reference field="10" count="1">
            <x v="52"/>
          </reference>
        </references>
      </pivotArea>
    </format>
    <format dxfId="382">
      <pivotArea dataOnly="0" labelOnly="1" outline="0" fieldPosition="0">
        <references count="2">
          <reference field="8" count="1" selected="0">
            <x v="182"/>
          </reference>
          <reference field="10" count="1">
            <x v="64"/>
          </reference>
        </references>
      </pivotArea>
    </format>
    <format dxfId="381">
      <pivotArea dataOnly="0" labelOnly="1" outline="0" fieldPosition="0">
        <references count="2">
          <reference field="8" count="1" selected="0">
            <x v="180"/>
          </reference>
          <reference field="10" count="1">
            <x v="56"/>
          </reference>
        </references>
      </pivotArea>
    </format>
    <format dxfId="380">
      <pivotArea dataOnly="0" labelOnly="1" outline="0" fieldPosition="0">
        <references count="2">
          <reference field="8" count="1" selected="0">
            <x v="183"/>
          </reference>
          <reference field="10" count="1">
            <x v="64"/>
          </reference>
        </references>
      </pivotArea>
    </format>
    <format dxfId="379">
      <pivotArea dataOnly="0" labelOnly="1" outline="0" fieldPosition="0">
        <references count="2">
          <reference field="8" count="1" selected="0">
            <x v="163"/>
          </reference>
          <reference field="10" count="1">
            <x v="46"/>
          </reference>
        </references>
      </pivotArea>
    </format>
    <format dxfId="378">
      <pivotArea dataOnly="0" labelOnly="1" outline="0" fieldPosition="0">
        <references count="2">
          <reference field="8" count="1" selected="0">
            <x v="215"/>
          </reference>
          <reference field="10" count="1">
            <x v="78"/>
          </reference>
        </references>
      </pivotArea>
    </format>
    <format dxfId="377">
      <pivotArea dataOnly="0" labelOnly="1" outline="0" fieldPosition="0">
        <references count="2">
          <reference field="8" count="1" selected="0">
            <x v="165"/>
          </reference>
          <reference field="10" count="1">
            <x v="46"/>
          </reference>
        </references>
      </pivotArea>
    </format>
    <format dxfId="376">
      <pivotArea dataOnly="0" labelOnly="1" outline="0" fieldPosition="0">
        <references count="2">
          <reference field="8" count="1" selected="0">
            <x v="216"/>
          </reference>
          <reference field="10" count="1">
            <x v="74"/>
          </reference>
        </references>
      </pivotArea>
    </format>
    <format dxfId="375">
      <pivotArea dataOnly="0" labelOnly="1" outline="0" fieldPosition="0">
        <references count="2">
          <reference field="8" count="1" selected="0">
            <x v="227"/>
          </reference>
          <reference field="10" count="1">
            <x v="78"/>
          </reference>
        </references>
      </pivotArea>
    </format>
    <format dxfId="374">
      <pivotArea dataOnly="0" labelOnly="1" outline="0" fieldPosition="0">
        <references count="2">
          <reference field="8" count="1" selected="0">
            <x v="230"/>
          </reference>
          <reference field="10" count="1">
            <x v="82"/>
          </reference>
        </references>
      </pivotArea>
    </format>
    <format dxfId="373">
      <pivotArea dataOnly="0" labelOnly="1" outline="0" fieldPosition="0">
        <references count="3">
          <reference field="8" count="1" selected="0">
            <x v="160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372">
      <pivotArea dataOnly="0" labelOnly="1" outline="0" fieldPosition="0">
        <references count="3">
          <reference field="8" count="1" selected="0">
            <x v="170"/>
          </reference>
          <reference field="10" count="1" selected="0">
            <x v="52"/>
          </reference>
          <reference field="12" count="1">
            <x v="10"/>
          </reference>
        </references>
      </pivotArea>
    </format>
    <format dxfId="371">
      <pivotArea dataOnly="0" labelOnly="1" outline="0" fieldPosition="0">
        <references count="3">
          <reference field="8" count="1" selected="0">
            <x v="171"/>
          </reference>
          <reference field="10" count="1" selected="0">
            <x v="52"/>
          </reference>
          <reference field="12" count="1">
            <x v="13"/>
          </reference>
        </references>
      </pivotArea>
    </format>
    <format dxfId="370">
      <pivotArea dataOnly="0" labelOnly="1" outline="0" fieldPosition="0">
        <references count="3">
          <reference field="8" count="1" selected="0">
            <x v="175"/>
          </reference>
          <reference field="10" count="1" selected="0">
            <x v="56"/>
          </reference>
          <reference field="12" count="1">
            <x v="10"/>
          </reference>
        </references>
      </pivotArea>
    </format>
    <format dxfId="369">
      <pivotArea dataOnly="0" labelOnly="1" outline="0" fieldPosition="0">
        <references count="3">
          <reference field="8" count="1" selected="0">
            <x v="177"/>
          </reference>
          <reference field="10" count="1" selected="0">
            <x v="56"/>
          </reference>
          <reference field="12" count="1">
            <x v="13"/>
          </reference>
        </references>
      </pivotArea>
    </format>
    <format dxfId="368">
      <pivotArea dataOnly="0" labelOnly="1" outline="0" fieldPosition="0">
        <references count="3">
          <reference field="8" count="1" selected="0">
            <x v="178"/>
          </reference>
          <reference field="10" count="1" selected="0">
            <x v="56"/>
          </reference>
          <reference field="12" count="1">
            <x v="10"/>
          </reference>
        </references>
      </pivotArea>
    </format>
    <format dxfId="367">
      <pivotArea dataOnly="0" labelOnly="1" outline="0" fieldPosition="0">
        <references count="3">
          <reference field="8" count="1" selected="0">
            <x v="173"/>
          </reference>
          <reference field="10" count="1" selected="0">
            <x v="52"/>
          </reference>
          <reference field="12" count="1">
            <x v="13"/>
          </reference>
        </references>
      </pivotArea>
    </format>
    <format dxfId="366">
      <pivotArea dataOnly="0" labelOnly="1" outline="0" fieldPosition="0">
        <references count="3">
          <reference field="8" count="1" selected="0">
            <x v="162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365">
      <pivotArea dataOnly="0" labelOnly="1" outline="0" fieldPosition="0">
        <references count="3">
          <reference field="8" count="1" selected="0">
            <x v="182"/>
          </reference>
          <reference field="10" count="1" selected="0">
            <x v="64"/>
          </reference>
          <reference field="12" count="1">
            <x v="13"/>
          </reference>
        </references>
      </pivotArea>
    </format>
    <format dxfId="364">
      <pivotArea dataOnly="0" labelOnly="1" outline="0" fieldPosition="0">
        <references count="3">
          <reference field="8" count="1" selected="0">
            <x v="183"/>
          </reference>
          <reference field="10" count="1" selected="0">
            <x v="64"/>
          </reference>
          <reference field="12" count="1">
            <x v="10"/>
          </reference>
        </references>
      </pivotArea>
    </format>
    <format dxfId="363">
      <pivotArea dataOnly="0" labelOnly="1" outline="0" fieldPosition="0">
        <references count="3">
          <reference field="8" count="1" selected="0">
            <x v="163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362">
      <pivotArea dataOnly="0" labelOnly="1" outline="0" fieldPosition="0">
        <references count="3">
          <reference field="8" count="1" selected="0">
            <x v="215"/>
          </reference>
          <reference field="10" count="1" selected="0">
            <x v="78"/>
          </reference>
          <reference field="12" count="2">
            <x v="10"/>
            <x v="13"/>
          </reference>
        </references>
      </pivotArea>
    </format>
    <format dxfId="361">
      <pivotArea dataOnly="0" labelOnly="1" outline="0" fieldPosition="0">
        <references count="3">
          <reference field="8" count="1" selected="0">
            <x v="164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360">
      <pivotArea dataOnly="0" labelOnly="1" outline="0" fieldPosition="0">
        <references count="3">
          <reference field="8" count="1" selected="0">
            <x v="168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359">
      <pivotArea dataOnly="0" labelOnly="1" outline="0" fieldPosition="0">
        <references count="3">
          <reference field="8" count="1" selected="0">
            <x v="216"/>
          </reference>
          <reference field="10" count="1" selected="0">
            <x v="74"/>
          </reference>
          <reference field="12" count="2">
            <x v="10"/>
            <x v="13"/>
          </reference>
        </references>
      </pivotArea>
    </format>
    <format dxfId="358">
      <pivotArea dataOnly="0" labelOnly="1" outline="0" fieldPosition="0">
        <references count="3">
          <reference field="8" count="1" selected="0">
            <x v="217"/>
          </reference>
          <reference field="10" count="1" selected="0">
            <x v="74"/>
          </reference>
          <reference field="12" count="1">
            <x v="10"/>
          </reference>
        </references>
      </pivotArea>
    </format>
    <format dxfId="357">
      <pivotArea dataOnly="0" labelOnly="1" outline="0" fieldPosition="0">
        <references count="3">
          <reference field="8" count="1" selected="0">
            <x v="227"/>
          </reference>
          <reference field="10" count="1" selected="0">
            <x v="78"/>
          </reference>
          <reference field="12" count="1">
            <x v="13"/>
          </reference>
        </references>
      </pivotArea>
    </format>
    <format dxfId="356">
      <pivotArea dataOnly="0" labelOnly="1" outline="0" fieldPosition="0">
        <references count="3">
          <reference field="8" count="1" selected="0">
            <x v="231"/>
          </reference>
          <reference field="10" count="1" selected="0">
            <x v="83"/>
          </reference>
          <reference field="12" count="1">
            <x v="10"/>
          </reference>
        </references>
      </pivotArea>
    </format>
    <format dxfId="355">
      <pivotArea dataOnly="0" labelOnly="1" outline="0" fieldPosition="0">
        <references count="4">
          <reference field="8" count="1" selected="0">
            <x v="160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354">
      <pivotArea dataOnly="0" labelOnly="1" outline="0" fieldPosition="0">
        <references count="4">
          <reference field="8" count="1" selected="0">
            <x v="181"/>
          </reference>
          <reference field="10" count="1" selected="0">
            <x v="57"/>
          </reference>
          <reference field="11" count="1">
            <x v="119"/>
          </reference>
          <reference field="12" count="1" selected="0">
            <x v="10"/>
          </reference>
        </references>
      </pivotArea>
    </format>
    <format dxfId="353">
      <pivotArea dataOnly="0" labelOnly="1" outline="0" fieldPosition="0">
        <references count="4">
          <reference field="8" count="1" selected="0">
            <x v="172"/>
          </reference>
          <reference field="10" count="1" selected="0">
            <x v="52"/>
          </reference>
          <reference field="11" count="1">
            <x v="116"/>
          </reference>
          <reference field="12" count="1" selected="0">
            <x v="10"/>
          </reference>
        </references>
      </pivotArea>
    </format>
    <format dxfId="352">
      <pivotArea dataOnly="0" labelOnly="1" outline="0" fieldPosition="0">
        <references count="4">
          <reference field="8" count="1" selected="0">
            <x v="173"/>
          </reference>
          <reference field="10" count="1" selected="0">
            <x v="52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351">
      <pivotArea dataOnly="0" labelOnly="1" outline="0" fieldPosition="0">
        <references count="4">
          <reference field="8" count="1" selected="0">
            <x v="182"/>
          </reference>
          <reference field="10" count="1" selected="0">
            <x v="64"/>
          </reference>
          <reference field="11" count="1">
            <x v="135"/>
          </reference>
          <reference field="12" count="1" selected="0">
            <x v="13"/>
          </reference>
        </references>
      </pivotArea>
    </format>
    <format dxfId="350">
      <pivotArea dataOnly="0" labelOnly="1" outline="0" fieldPosition="0">
        <references count="4">
          <reference field="8" count="1" selected="0">
            <x v="180"/>
          </reference>
          <reference field="10" count="1" selected="0">
            <x v="56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349">
      <pivotArea dataOnly="0" labelOnly="1" outline="0" fieldPosition="0">
        <references count="4">
          <reference field="8" count="1" selected="0">
            <x v="183"/>
          </reference>
          <reference field="10" count="1" selected="0">
            <x v="64"/>
          </reference>
          <reference field="11" count="1">
            <x v="135"/>
          </reference>
          <reference field="12" count="1" selected="0">
            <x v="10"/>
          </reference>
        </references>
      </pivotArea>
    </format>
    <format dxfId="348">
      <pivotArea dataOnly="0" labelOnly="1" outline="0" fieldPosition="0">
        <references count="4">
          <reference field="8" count="1" selected="0">
            <x v="163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347">
      <pivotArea dataOnly="0" labelOnly="1" outline="0" fieldPosition="0">
        <references count="4">
          <reference field="8" count="1" selected="0">
            <x v="215"/>
          </reference>
          <reference field="10" count="1" selected="0">
            <x v="78"/>
          </reference>
          <reference field="11" count="1">
            <x v="154"/>
          </reference>
          <reference field="12" count="1" selected="0">
            <x v="10"/>
          </reference>
        </references>
      </pivotArea>
    </format>
    <format dxfId="346">
      <pivotArea dataOnly="0" labelOnly="1" outline="0" fieldPosition="0">
        <references count="4">
          <reference field="8" count="1" selected="0">
            <x v="165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0"/>
          </reference>
        </references>
      </pivotArea>
    </format>
    <format dxfId="345">
      <pivotArea dataOnly="0" labelOnly="1" outline="0" fieldPosition="0">
        <references count="4">
          <reference field="8" count="1" selected="0">
            <x v="216"/>
          </reference>
          <reference field="10" count="1" selected="0">
            <x v="74"/>
          </reference>
          <reference field="11" count="1">
            <x v="155"/>
          </reference>
          <reference field="12" count="1" selected="0">
            <x v="10"/>
          </reference>
        </references>
      </pivotArea>
    </format>
    <format dxfId="344">
      <pivotArea dataOnly="0" labelOnly="1" outline="0" fieldPosition="0">
        <references count="4">
          <reference field="8" count="1" selected="0">
            <x v="217"/>
          </reference>
          <reference field="10" count="1" selected="0">
            <x v="74"/>
          </reference>
          <reference field="11" count="1">
            <x v="156"/>
          </reference>
          <reference field="12" count="1" selected="0">
            <x v="10"/>
          </reference>
        </references>
      </pivotArea>
    </format>
    <format dxfId="343">
      <pivotArea dataOnly="0" labelOnly="1" outline="0" fieldPosition="0">
        <references count="4">
          <reference field="8" count="1" selected="0">
            <x v="218"/>
          </reference>
          <reference field="10" count="1" selected="0">
            <x v="74"/>
          </reference>
          <reference field="11" count="1">
            <x v="157"/>
          </reference>
          <reference field="12" count="1" selected="0">
            <x v="10"/>
          </reference>
        </references>
      </pivotArea>
    </format>
    <format dxfId="342">
      <pivotArea dataOnly="0" labelOnly="1" outline="0" fieldPosition="0">
        <references count="4">
          <reference field="8" count="1" selected="0">
            <x v="227"/>
          </reference>
          <reference field="10" count="1" selected="0">
            <x v="78"/>
          </reference>
          <reference field="11" count="1">
            <x v="164"/>
          </reference>
          <reference field="12" count="1" selected="0">
            <x v="13"/>
          </reference>
        </references>
      </pivotArea>
    </format>
    <format dxfId="341">
      <pivotArea dataOnly="0" labelOnly="1" outline="0" fieldPosition="0">
        <references count="4">
          <reference field="8" count="1" selected="0">
            <x v="228"/>
          </reference>
          <reference field="10" count="1" selected="0">
            <x v="78"/>
          </reference>
          <reference field="11" count="1">
            <x v="165"/>
          </reference>
          <reference field="12" count="1" selected="0">
            <x v="13"/>
          </reference>
        </references>
      </pivotArea>
    </format>
    <format dxfId="340">
      <pivotArea dataOnly="0" labelOnly="1" outline="0" fieldPosition="0">
        <references count="4">
          <reference field="8" count="1" selected="0">
            <x v="230"/>
          </reference>
          <reference field="10" count="1" selected="0">
            <x v="82"/>
          </reference>
          <reference field="11" count="1">
            <x v="157"/>
          </reference>
          <reference field="12" count="1" selected="0">
            <x v="13"/>
          </reference>
        </references>
      </pivotArea>
    </format>
    <format dxfId="339">
      <pivotArea dataOnly="0" labelOnly="1" outline="0" fieldPosition="0">
        <references count="4">
          <reference field="8" count="1" selected="0">
            <x v="247"/>
          </reference>
          <reference field="10" count="1" selected="0">
            <x v="85"/>
          </reference>
          <reference field="11" count="1">
            <x v="129"/>
          </reference>
          <reference field="12" count="1" selected="0">
            <x v="9"/>
          </reference>
        </references>
      </pivotArea>
    </format>
    <format dxfId="338">
      <pivotArea dataOnly="0" labelOnly="1" outline="0" offset="IV2:IV256" fieldPosition="0">
        <references count="2">
          <reference field="8" count="1" selected="0">
            <x v="215"/>
          </reference>
          <reference field="10" count="1">
            <x v="78"/>
          </reference>
        </references>
      </pivotArea>
    </format>
    <format dxfId="337">
      <pivotArea dataOnly="0" labelOnly="1" outline="0" offset="IV1:IV2" fieldPosition="0">
        <references count="2">
          <reference field="8" count="1" selected="0">
            <x v="165"/>
          </reference>
          <reference field="10" count="1">
            <x v="46"/>
          </reference>
        </references>
      </pivotArea>
    </format>
    <format dxfId="336">
      <pivotArea dataOnly="0" labelOnly="1" outline="0" fieldPosition="0">
        <references count="3">
          <reference field="8" count="1" selected="0">
            <x v="215"/>
          </reference>
          <reference field="10" count="1" selected="0">
            <x v="78"/>
          </reference>
          <reference field="12" count="1">
            <x v="13"/>
          </reference>
        </references>
      </pivotArea>
    </format>
    <format dxfId="335">
      <pivotArea dataOnly="0" labelOnly="1" outline="0" fieldPosition="0">
        <references count="3">
          <reference field="8" count="1" selected="0">
            <x v="165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334">
      <pivotArea dataOnly="0" labelOnly="1" outline="0" offset="IV1" fieldPosition="0">
        <references count="3">
          <reference field="8" count="1" selected="0">
            <x v="164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333">
      <pivotArea dataOnly="0" labelOnly="1" outline="0" offset="IV256" fieldPosition="0">
        <references count="4">
          <reference field="8" count="1" selected="0">
            <x v="215"/>
          </reference>
          <reference field="10" count="1" selected="0">
            <x v="78"/>
          </reference>
          <reference field="11" count="1">
            <x v="154"/>
          </reference>
          <reference field="12" count="1" selected="0">
            <x v="10"/>
          </reference>
        </references>
      </pivotArea>
    </format>
    <format dxfId="332">
      <pivotArea dataOnly="0" labelOnly="1" outline="0" fieldPosition="0">
        <references count="4">
          <reference field="8" count="1" selected="0">
            <x v="229"/>
          </reference>
          <reference field="10" count="1" selected="0">
            <x v="78"/>
          </reference>
          <reference field="11" count="1">
            <x v="146"/>
          </reference>
          <reference field="12" count="1" selected="0">
            <x v="13"/>
          </reference>
        </references>
      </pivotArea>
    </format>
    <format dxfId="331">
      <pivotArea dataOnly="0" labelOnly="1" outline="0" offset="IV1:IV2" fieldPosition="0">
        <references count="4">
          <reference field="8" count="1" selected="0">
            <x v="165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0"/>
          </reference>
        </references>
      </pivotArea>
    </format>
    <format dxfId="330">
      <pivotArea dataOnly="0" labelOnly="1" outline="0" offset="IV256" fieldPosition="0">
        <references count="3">
          <reference field="8" count="1" selected="0">
            <x v="227"/>
          </reference>
          <reference field="10" count="1" selected="0">
            <x v="78"/>
          </reference>
          <reference field="12" count="1">
            <x v="13"/>
          </reference>
        </references>
      </pivotArea>
    </format>
    <format dxfId="329">
      <pivotArea dataOnly="0" labelOnly="1" outline="0" fieldPosition="0">
        <references count="1">
          <reference field="8" count="49">
            <x v="160"/>
            <x v="161"/>
            <x v="162"/>
            <x v="163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6"/>
            <x v="218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</reference>
        </references>
      </pivotArea>
    </format>
    <format dxfId="328">
      <pivotArea dataOnly="0" labelOnly="1" outline="0" fieldPosition="0">
        <references count="1">
          <reference field="8" count="9">
            <x v="260"/>
            <x v="261"/>
            <x v="262"/>
            <x v="263"/>
            <x v="264"/>
            <x v="265"/>
            <x v="266"/>
            <x v="267"/>
            <x v="268"/>
          </reference>
        </references>
      </pivotArea>
    </format>
    <format dxfId="327">
      <pivotArea dataOnly="0" labelOnly="1" outline="0" fieldPosition="0">
        <references count="1">
          <reference field="8" count="19"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26">
      <pivotArea dataOnly="0" labelOnly="1" outline="0" fieldPosition="0">
        <references count="2">
          <reference field="8" count="1" selected="0">
            <x v="231"/>
          </reference>
          <reference field="10" count="1">
            <x v="83"/>
          </reference>
        </references>
      </pivotArea>
    </format>
    <format dxfId="325">
      <pivotArea dataOnly="0" labelOnly="1" outline="0" fieldPosition="0">
        <references count="2">
          <reference field="8" count="1" selected="0">
            <x v="247"/>
          </reference>
          <reference field="10" count="1">
            <x v="85"/>
          </reference>
        </references>
      </pivotArea>
    </format>
    <format dxfId="324">
      <pivotArea dataOnly="0" labelOnly="1" outline="0" fieldPosition="0">
        <references count="2">
          <reference field="8" count="1" selected="0">
            <x v="248"/>
          </reference>
          <reference field="10" count="1">
            <x v="84"/>
          </reference>
        </references>
      </pivotArea>
    </format>
    <format dxfId="323">
      <pivotArea dataOnly="0" labelOnly="1" outline="0" fieldPosition="0">
        <references count="2">
          <reference field="8" count="1" selected="0">
            <x v="249"/>
          </reference>
          <reference field="10" count="1">
            <x v="46"/>
          </reference>
        </references>
      </pivotArea>
    </format>
    <format dxfId="322">
      <pivotArea dataOnly="0" labelOnly="1" outline="0" offset="IV4:IV256" fieldPosition="0">
        <references count="3">
          <reference field="8" count="1" selected="0">
            <x v="183"/>
          </reference>
          <reference field="10" count="1" selected="0">
            <x v="64"/>
          </reference>
          <reference field="12" count="1">
            <x v="10"/>
          </reference>
        </references>
      </pivotArea>
    </format>
    <format dxfId="321">
      <pivotArea dataOnly="0" labelOnly="1" outline="0" fieldPosition="0">
        <references count="3">
          <reference field="8" count="1" selected="0">
            <x v="240"/>
          </reference>
          <reference field="10" count="1" selected="0">
            <x v="83"/>
          </reference>
          <reference field="12" count="1">
            <x v="13"/>
          </reference>
        </references>
      </pivotArea>
    </format>
    <format dxfId="320">
      <pivotArea dataOnly="0" labelOnly="1" outline="0" fieldPosition="0">
        <references count="3">
          <reference field="8" count="1" selected="0">
            <x v="241"/>
          </reference>
          <reference field="10" count="1" selected="0">
            <x v="83"/>
          </reference>
          <reference field="12" count="1">
            <x v="10"/>
          </reference>
        </references>
      </pivotArea>
    </format>
    <format dxfId="319">
      <pivotArea dataOnly="0" labelOnly="1" outline="0" fieldPosition="0">
        <references count="3">
          <reference field="8" count="1" selected="0">
            <x v="242"/>
          </reference>
          <reference field="10" count="1" selected="0">
            <x v="83"/>
          </reference>
          <reference field="12" count="1">
            <x v="13"/>
          </reference>
        </references>
      </pivotArea>
    </format>
    <format dxfId="318">
      <pivotArea dataOnly="0" labelOnly="1" outline="0" fieldPosition="0">
        <references count="3">
          <reference field="8" count="1" selected="0">
            <x v="243"/>
          </reference>
          <reference field="10" count="1" selected="0">
            <x v="83"/>
          </reference>
          <reference field="12" count="1">
            <x v="10"/>
          </reference>
        </references>
      </pivotArea>
    </format>
    <format dxfId="317">
      <pivotArea dataOnly="0" labelOnly="1" outline="0" fieldPosition="0">
        <references count="3">
          <reference field="8" count="1" selected="0">
            <x v="244"/>
          </reference>
          <reference field="10" count="1" selected="0">
            <x v="83"/>
          </reference>
          <reference field="12" count="1">
            <x v="13"/>
          </reference>
        </references>
      </pivotArea>
    </format>
    <format dxfId="316">
      <pivotArea dataOnly="0" labelOnly="1" outline="0" fieldPosition="0">
        <references count="3">
          <reference field="8" count="1" selected="0">
            <x v="247"/>
          </reference>
          <reference field="10" count="1" selected="0">
            <x v="85"/>
          </reference>
          <reference field="12" count="1">
            <x v="9"/>
          </reference>
        </references>
      </pivotArea>
    </format>
    <format dxfId="315">
      <pivotArea dataOnly="0" labelOnly="1" outline="0" fieldPosition="0">
        <references count="3">
          <reference field="8" count="1" selected="0">
            <x v="248"/>
          </reference>
          <reference field="10" count="1" selected="0">
            <x v="84"/>
          </reference>
          <reference field="12" count="1">
            <x v="0"/>
          </reference>
        </references>
      </pivotArea>
    </format>
    <format dxfId="314">
      <pivotArea dataOnly="0" labelOnly="1" outline="0" offset="IV1:IV2" fieldPosition="0">
        <references count="3">
          <reference field="8" count="1" selected="0">
            <x v="249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313">
      <pivotArea dataOnly="0" labelOnly="1" outline="0" fieldPosition="0">
        <references count="4">
          <reference field="8" count="1" selected="0">
            <x v="231"/>
          </reference>
          <reference field="10" count="1" selected="0">
            <x v="83"/>
          </reference>
          <reference field="11" count="1">
            <x v="166"/>
          </reference>
          <reference field="12" count="1" selected="0">
            <x v="10"/>
          </reference>
        </references>
      </pivotArea>
    </format>
    <format dxfId="312">
      <pivotArea dataOnly="0" labelOnly="1" outline="0" fieldPosition="0">
        <references count="4">
          <reference field="8" count="1" selected="0">
            <x v="232"/>
          </reference>
          <reference field="10" count="1" selected="0">
            <x v="83"/>
          </reference>
          <reference field="11" count="1">
            <x v="167"/>
          </reference>
          <reference field="12" count="1" selected="0">
            <x v="10"/>
          </reference>
        </references>
      </pivotArea>
    </format>
    <format dxfId="311">
      <pivotArea dataOnly="0" labelOnly="1" outline="0" fieldPosition="0">
        <references count="4">
          <reference field="8" count="1" selected="0">
            <x v="233"/>
          </reference>
          <reference field="10" count="1" selected="0">
            <x v="83"/>
          </reference>
          <reference field="11" count="1">
            <x v="168"/>
          </reference>
          <reference field="12" count="1" selected="0">
            <x v="10"/>
          </reference>
        </references>
      </pivotArea>
    </format>
    <format dxfId="310">
      <pivotArea dataOnly="0" labelOnly="1" outline="0" fieldPosition="0">
        <references count="4">
          <reference field="8" count="1" selected="0">
            <x v="234"/>
          </reference>
          <reference field="10" count="1" selected="0">
            <x v="83"/>
          </reference>
          <reference field="11" count="1">
            <x v="147"/>
          </reference>
          <reference field="12" count="1" selected="0">
            <x v="10"/>
          </reference>
        </references>
      </pivotArea>
    </format>
    <format dxfId="309">
      <pivotArea dataOnly="0" labelOnly="1" outline="0" fieldPosition="0">
        <references count="4">
          <reference field="8" count="1" selected="0">
            <x v="235"/>
          </reference>
          <reference field="10" count="1" selected="0">
            <x v="83"/>
          </reference>
          <reference field="11" count="1">
            <x v="169"/>
          </reference>
          <reference field="12" count="1" selected="0">
            <x v="10"/>
          </reference>
        </references>
      </pivotArea>
    </format>
    <format dxfId="308">
      <pivotArea dataOnly="0" labelOnly="1" outline="0" fieldPosition="0">
        <references count="4">
          <reference field="8" count="1" selected="0">
            <x v="236"/>
          </reference>
          <reference field="10" count="1" selected="0">
            <x v="83"/>
          </reference>
          <reference field="11" count="1">
            <x v="170"/>
          </reference>
          <reference field="12" count="1" selected="0">
            <x v="10"/>
          </reference>
        </references>
      </pivotArea>
    </format>
    <format dxfId="307">
      <pivotArea dataOnly="0" labelOnly="1" outline="0" fieldPosition="0">
        <references count="4">
          <reference field="8" count="1" selected="0">
            <x v="237"/>
          </reference>
          <reference field="10" count="1" selected="0">
            <x v="83"/>
          </reference>
          <reference field="11" count="1">
            <x v="171"/>
          </reference>
          <reference field="12" count="1" selected="0">
            <x v="10"/>
          </reference>
        </references>
      </pivotArea>
    </format>
    <format dxfId="306">
      <pivotArea dataOnly="0" labelOnly="1" outline="0" fieldPosition="0">
        <references count="4">
          <reference field="8" count="1" selected="0">
            <x v="238"/>
          </reference>
          <reference field="10" count="1" selected="0">
            <x v="83"/>
          </reference>
          <reference field="11" count="1">
            <x v="172"/>
          </reference>
          <reference field="12" count="1" selected="0">
            <x v="10"/>
          </reference>
        </references>
      </pivotArea>
    </format>
    <format dxfId="305">
      <pivotArea dataOnly="0" labelOnly="1" outline="0" fieldPosition="0">
        <references count="4">
          <reference field="8" count="1" selected="0">
            <x v="239"/>
          </reference>
          <reference field="10" count="1" selected="0">
            <x v="83"/>
          </reference>
          <reference field="11" count="1">
            <x v="148"/>
          </reference>
          <reference field="12" count="1" selected="0">
            <x v="10"/>
          </reference>
        </references>
      </pivotArea>
    </format>
    <format dxfId="304">
      <pivotArea dataOnly="0" labelOnly="1" outline="0" fieldPosition="0">
        <references count="4">
          <reference field="8" count="1" selected="0">
            <x v="241"/>
          </reference>
          <reference field="10" count="1" selected="0">
            <x v="83"/>
          </reference>
          <reference field="11" count="1">
            <x v="146"/>
          </reference>
          <reference field="12" count="1" selected="0">
            <x v="10"/>
          </reference>
        </references>
      </pivotArea>
    </format>
    <format dxfId="303">
      <pivotArea dataOnly="0" labelOnly="1" outline="0" fieldPosition="0">
        <references count="4">
          <reference field="8" count="1" selected="0">
            <x v="242"/>
          </reference>
          <reference field="10" count="1" selected="0">
            <x v="83"/>
          </reference>
          <reference field="11" count="1">
            <x v="173"/>
          </reference>
          <reference field="12" count="1" selected="0">
            <x v="13"/>
          </reference>
        </references>
      </pivotArea>
    </format>
    <format dxfId="302">
      <pivotArea dataOnly="0" labelOnly="1" outline="0" fieldPosition="0">
        <references count="4">
          <reference field="8" count="1" selected="0">
            <x v="243"/>
          </reference>
          <reference field="10" count="1" selected="0">
            <x v="83"/>
          </reference>
          <reference field="11" count="1">
            <x v="174"/>
          </reference>
          <reference field="12" count="1" selected="0">
            <x v="10"/>
          </reference>
        </references>
      </pivotArea>
    </format>
    <format dxfId="301">
      <pivotArea dataOnly="0" labelOnly="1" outline="0" fieldPosition="0">
        <references count="4">
          <reference field="8" count="1" selected="0">
            <x v="244"/>
          </reference>
          <reference field="10" count="1" selected="0">
            <x v="83"/>
          </reference>
          <reference field="11" count="1">
            <x v="175"/>
          </reference>
          <reference field="12" count="1" selected="0">
            <x v="13"/>
          </reference>
        </references>
      </pivotArea>
    </format>
    <format dxfId="300">
      <pivotArea dataOnly="0" labelOnly="1" outline="0" fieldPosition="0">
        <references count="4">
          <reference field="8" count="1" selected="0">
            <x v="245"/>
          </reference>
          <reference field="10" count="1" selected="0">
            <x v="83"/>
          </reference>
          <reference field="11" count="1">
            <x v="107"/>
          </reference>
          <reference field="12" count="1" selected="0">
            <x v="13"/>
          </reference>
        </references>
      </pivotArea>
    </format>
    <format dxfId="299">
      <pivotArea dataOnly="0" labelOnly="1" outline="0" fieldPosition="0">
        <references count="4">
          <reference field="8" count="1" selected="0">
            <x v="246"/>
          </reference>
          <reference field="10" count="1" selected="0">
            <x v="83"/>
          </reference>
          <reference field="11" count="1">
            <x v="87"/>
          </reference>
          <reference field="12" count="1" selected="0">
            <x v="13"/>
          </reference>
        </references>
      </pivotArea>
    </format>
    <format dxfId="298">
      <pivotArea dataOnly="0" labelOnly="1" outline="0" fieldPosition="0">
        <references count="4">
          <reference field="8" count="1" selected="0">
            <x v="247"/>
          </reference>
          <reference field="10" count="1" selected="0">
            <x v="85"/>
          </reference>
          <reference field="11" count="1">
            <x v="184"/>
          </reference>
          <reference field="12" count="1" selected="0">
            <x v="9"/>
          </reference>
        </references>
      </pivotArea>
    </format>
    <format dxfId="297">
      <pivotArea dataOnly="0" labelOnly="1" outline="0" fieldPosition="0">
        <references count="4">
          <reference field="8" count="1" selected="0">
            <x v="248"/>
          </reference>
          <reference field="10" count="1" selected="0">
            <x v="84"/>
          </reference>
          <reference field="11" count="1">
            <x v="176"/>
          </reference>
          <reference field="12" count="1" selected="0">
            <x v="0"/>
          </reference>
        </references>
      </pivotArea>
    </format>
    <format dxfId="296">
      <pivotArea dataOnly="0" labelOnly="1" outline="0" fieldPosition="0">
        <references count="4">
          <reference field="8" count="1" selected="0">
            <x v="249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0"/>
          </reference>
        </references>
      </pivotArea>
    </format>
    <format dxfId="295">
      <pivotArea dataOnly="0" labelOnly="1" outline="0" fieldPosition="0">
        <references count="1">
          <reference field="8" count="14"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</reference>
        </references>
      </pivotArea>
    </format>
    <format dxfId="294">
      <pivotArea dataOnly="0" labelOnly="1" outline="0" fieldPosition="0">
        <references count="2">
          <reference field="8" count="1" selected="0">
            <x v="255"/>
          </reference>
          <reference field="10" count="1">
            <x v="88"/>
          </reference>
        </references>
      </pivotArea>
    </format>
    <format dxfId="293">
      <pivotArea dataOnly="0" labelOnly="1" outline="0" offset="IV3:IV256" fieldPosition="0">
        <references count="3">
          <reference field="8" count="1" selected="0">
            <x v="253"/>
          </reference>
          <reference field="10" count="1" selected="0">
            <x v="52"/>
          </reference>
          <reference field="12" count="1">
            <x v="10"/>
          </reference>
        </references>
      </pivotArea>
    </format>
    <format dxfId="292">
      <pivotArea dataOnly="0" labelOnly="1" outline="0" fieldPosition="0">
        <references count="3">
          <reference field="8" count="1" selected="0">
            <x v="263"/>
          </reference>
          <reference field="10" count="1" selected="0">
            <x v="88"/>
          </reference>
          <reference field="12" count="1">
            <x v="13"/>
          </reference>
        </references>
      </pivotArea>
    </format>
    <format dxfId="291">
      <pivotArea type="origin" dataOnly="0" labelOnly="1" outline="0" fieldPosition="0"/>
    </format>
    <format dxfId="290">
      <pivotArea field="8" type="button" dataOnly="0" labelOnly="1" outline="0" axis="axisRow" fieldPosition="0"/>
    </format>
    <format dxfId="289">
      <pivotArea dataOnly="0" labelOnly="1" outline="0" fieldPosition="0">
        <references count="1">
          <reference field="8" count="50"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</reference>
        </references>
      </pivotArea>
    </format>
    <format dxfId="288">
      <pivotArea dataOnly="0" labelOnly="1" outline="0" fieldPosition="0">
        <references count="1">
          <reference field="8" count="50"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</reference>
        </references>
      </pivotArea>
    </format>
    <format dxfId="287">
      <pivotArea dataOnly="0" labelOnly="1" outline="0" fieldPosition="0">
        <references count="1">
          <reference field="8" count="50"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</reference>
        </references>
      </pivotArea>
    </format>
    <format dxfId="286">
      <pivotArea dataOnly="0" labelOnly="1" outline="0" fieldPosition="0">
        <references count="1">
          <reference field="8" count="50"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</reference>
        </references>
      </pivotArea>
    </format>
    <format dxfId="285">
      <pivotArea dataOnly="0" labelOnly="1" outline="0" fieldPosition="0">
        <references count="1">
          <reference field="8" count="50"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</reference>
        </references>
      </pivotArea>
    </format>
    <format dxfId="284">
      <pivotArea dataOnly="0" labelOnly="1" outline="0" fieldPosition="0">
        <references count="1">
          <reference field="8" count="50"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83">
      <pivotArea dataOnly="0" labelOnly="1" outline="0" fieldPosition="0">
        <references count="1">
          <reference field="8" count="39"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</reference>
        </references>
      </pivotArea>
    </format>
    <format dxfId="28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D31E85-2891-428D-A9C1-988E49EE2BAB}" name="数据透视表3" cacheId="7" applyNumberFormats="0" applyBorderFormats="0" applyFontFormats="0" applyPatternFormats="0" applyAlignmentFormats="0" applyWidthHeightFormats="1" dataCaption="值" updatedVersion="7" minRefreshableVersion="3" useAutoFormatting="1" itemPrintTitles="1" createdVersion="6" indent="0" compact="0" compactData="0" gridDropZones="1" multipleFieldFilters="0">
  <location ref="A8:F39" firstHeaderRow="1" firstDataRow="2" firstDataCol="4" rowPageCount="5" colPageCount="1"/>
  <pivotFields count="31">
    <pivotField axis="axisPage" compact="0" outline="0" multipleItemSelectionAllowed="1" showAll="0" defaultSubtotal="0">
      <items count="8">
        <item h="1" x="5"/>
        <item h="1" x="0"/>
        <item h="1" x="6"/>
        <item h="1" x="1"/>
        <item h="1" x="2"/>
        <item h="1" x="4"/>
        <item h="1" x="3"/>
        <item x="7"/>
      </items>
    </pivotField>
    <pivotField axis="axisPage" compact="0" outline="0" multipleItemSelectionAllowed="1" showAll="0" defaultSubtotal="0">
      <items count="15">
        <item x="1"/>
        <item x="0"/>
        <item x="3"/>
        <item x="2"/>
        <item x="14"/>
        <item x="4"/>
        <item x="12"/>
        <item x="6"/>
        <item x="5"/>
        <item x="8"/>
        <item x="11"/>
        <item x="7"/>
        <item x="9"/>
        <item x="10"/>
        <item x="13"/>
      </items>
    </pivotField>
    <pivotField compact="0" outline="0" showAll="0" defaultSubtotal="0"/>
    <pivotField axis="axisPage" compact="0" outline="0" showAll="0" defaultSubtotal="0">
      <items count="3">
        <item x="2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00">
        <item x="11"/>
        <item x="9"/>
        <item x="10"/>
        <item x="15"/>
        <item x="12"/>
        <item x="14"/>
        <item x="13"/>
        <item x="16"/>
        <item x="17"/>
        <item x="18"/>
        <item x="19"/>
        <item x="22"/>
        <item x="21"/>
        <item x="23"/>
        <item x="24"/>
        <item x="20"/>
        <item x="25"/>
        <item x="26"/>
        <item x="27"/>
        <item x="32"/>
        <item x="28"/>
        <item x="33"/>
        <item x="29"/>
        <item x="30"/>
        <item x="36"/>
        <item x="37"/>
        <item x="35"/>
        <item x="31"/>
        <item x="38"/>
        <item x="45"/>
        <item x="48"/>
        <item x="40"/>
        <item x="41"/>
        <item x="52"/>
        <item x="59"/>
        <item x="46"/>
        <item x="49"/>
        <item x="47"/>
        <item x="55"/>
        <item x="61"/>
        <item x="60"/>
        <item x="44"/>
        <item x="42"/>
        <item x="43"/>
        <item x="51"/>
        <item x="54"/>
        <item x="50"/>
        <item x="39"/>
        <item x="74"/>
        <item x="73"/>
        <item x="64"/>
        <item x="65"/>
        <item x="53"/>
        <item x="57"/>
        <item x="84"/>
        <item x="66"/>
        <item x="78"/>
        <item x="79"/>
        <item x="83"/>
        <item x="72"/>
        <item x="63"/>
        <item x="70"/>
        <item x="82"/>
        <item x="90"/>
        <item x="91"/>
        <item x="89"/>
        <item x="88"/>
        <item x="56"/>
        <item x="92"/>
        <item x="100"/>
        <item x="68"/>
        <item x="69"/>
        <item x="71"/>
        <item x="75"/>
        <item x="76"/>
        <item x="104"/>
        <item x="93"/>
        <item x="94"/>
        <item x="96"/>
        <item x="97"/>
        <item x="99"/>
        <item x="67"/>
        <item x="77"/>
        <item x="86"/>
        <item x="80"/>
        <item x="81"/>
        <item x="85"/>
        <item x="87"/>
        <item x="98"/>
        <item x="101"/>
        <item x="102"/>
        <item x="62"/>
        <item x="34"/>
        <item x="95"/>
        <item x="105"/>
        <item x="106"/>
        <item x="107"/>
        <item x="108"/>
        <item x="110"/>
        <item x="109"/>
        <item x="103"/>
        <item x="111"/>
        <item x="114"/>
        <item x="113"/>
        <item x="112"/>
        <item x="116"/>
        <item x="115"/>
        <item x="117"/>
        <item x="118"/>
        <item x="120"/>
        <item x="127"/>
        <item x="126"/>
        <item x="124"/>
        <item x="123"/>
        <item x="125"/>
        <item x="132"/>
        <item x="0"/>
        <item x="128"/>
        <item x="119"/>
        <item x="121"/>
        <item x="122"/>
        <item x="129"/>
        <item x="130"/>
        <item x="131"/>
        <item x="133"/>
        <item x="136"/>
        <item x="135"/>
        <item x="137"/>
        <item x="134"/>
        <item x="138"/>
        <item x="139"/>
        <item x="140"/>
        <item x="144"/>
        <item x="141"/>
        <item x="142"/>
        <item x="143"/>
        <item x="145"/>
        <item x="173"/>
        <item x="146"/>
        <item x="147"/>
        <item x="148"/>
        <item x="149"/>
        <item x="150"/>
        <item x="151"/>
        <item x="174"/>
        <item x="152"/>
        <item x="153"/>
        <item x="154"/>
        <item x="155"/>
        <item x="158"/>
        <item x="157"/>
        <item x="164"/>
        <item x="165"/>
        <item x="163"/>
        <item x="166"/>
        <item x="162"/>
        <item x="168"/>
        <item x="289"/>
        <item x="290"/>
        <item x="292"/>
        <item x="291"/>
        <item x="295"/>
        <item x="293"/>
        <item x="297"/>
        <item x="285"/>
        <item x="288"/>
        <item x="294"/>
        <item x="286"/>
        <item x="287"/>
        <item x="299"/>
        <item x="296"/>
        <item x="300"/>
        <item x="301"/>
        <item x="284"/>
        <item x="177"/>
        <item x="159"/>
        <item x="156"/>
        <item x="161"/>
        <item x="160"/>
        <item x="167"/>
        <item x="169"/>
        <item x="170"/>
        <item x="171"/>
        <item x="172"/>
        <item x="175"/>
        <item x="176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4"/>
        <item x="200"/>
        <item x="202"/>
        <item x="203"/>
        <item x="201"/>
        <item x="207"/>
        <item x="205"/>
        <item x="206"/>
        <item x="210"/>
        <item x="208"/>
        <item x="209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11"/>
        <item x="212"/>
        <item x="222"/>
        <item x="218"/>
        <item x="223"/>
        <item x="219"/>
        <item x="224"/>
        <item x="220"/>
        <item x="221"/>
        <item x="225"/>
        <item x="217"/>
        <item x="231"/>
        <item x="232"/>
        <item x="229"/>
        <item x="214"/>
        <item x="230"/>
        <item x="215"/>
        <item x="216"/>
        <item x="213"/>
        <item x="226"/>
        <item x="228"/>
        <item x="248"/>
        <item x="249"/>
        <item x="227"/>
        <item x="236"/>
        <item x="234"/>
        <item x="238"/>
        <item x="239"/>
        <item x="240"/>
        <item x="233"/>
        <item x="237"/>
        <item x="235"/>
        <item x="241"/>
        <item x="243"/>
        <item x="244"/>
        <item x="245"/>
        <item x="246"/>
        <item x="247"/>
        <item x="242"/>
        <item x="250"/>
        <item x="252"/>
        <item x="253"/>
        <item x="254"/>
        <item x="251"/>
        <item x="255"/>
        <item x="256"/>
        <item x="257"/>
        <item x="258"/>
        <item x="259"/>
        <item x="260"/>
        <item x="261"/>
        <item x="262"/>
        <item x="263"/>
        <item x="275"/>
        <item x="277"/>
        <item x="278"/>
        <item x="279"/>
        <item x="280"/>
        <item x="276"/>
        <item x="281"/>
        <item x="283"/>
        <item x="282"/>
        <item x="298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1"/>
        <item x="2"/>
        <item x="3"/>
        <item x="4"/>
        <item x="5"/>
        <item x="6"/>
        <item x="7"/>
        <item x="8"/>
        <item x="58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</items>
    </pivotField>
    <pivotField compact="0" outline="0" showAll="0" defaultSubtotal="0"/>
    <pivotField axis="axisPage" compact="0" outline="0" multipleItemSelectionAllowed="1" showAll="0" defaultSubtotal="0">
      <items count="125">
        <item h="1" x="1"/>
        <item h="1" x="2"/>
        <item h="1" x="3"/>
        <item h="1" x="4"/>
        <item h="1" x="5"/>
        <item h="1" x="7"/>
        <item h="1" x="6"/>
        <item h="1" x="9"/>
        <item h="1" x="8"/>
        <item h="1" x="11"/>
        <item h="1" x="12"/>
        <item h="1" x="10"/>
        <item h="1" x="13"/>
        <item h="1" x="14"/>
        <item h="1" x="15"/>
        <item h="1" x="16"/>
        <item h="1" x="17"/>
        <item h="1" x="20"/>
        <item h="1" x="18"/>
        <item h="1" x="21"/>
        <item h="1" x="19"/>
        <item h="1" x="22"/>
        <item h="1" x="27"/>
        <item h="1" x="24"/>
        <item h="1" x="31"/>
        <item h="1" x="28"/>
        <item h="1" x="29"/>
        <item h="1" x="36"/>
        <item h="1" x="26"/>
        <item h="1" x="25"/>
        <item h="1" x="30"/>
        <item h="1" x="23"/>
        <item h="1" x="33"/>
        <item h="1" x="32"/>
        <item h="1" x="38"/>
        <item h="1" x="34"/>
        <item h="1" x="41"/>
        <item h="1" x="37"/>
        <item h="1" x="40"/>
        <item h="1" x="39"/>
        <item h="1" x="42"/>
        <item h="1" x="44"/>
        <item h="1" x="43"/>
        <item h="1" x="45"/>
        <item h="1" x="55"/>
        <item h="1" x="46"/>
        <item h="1" x="49"/>
        <item h="1" x="47"/>
        <item h="1" x="52"/>
        <item h="1" x="50"/>
        <item h="1" x="48"/>
        <item h="1" x="54"/>
        <item h="1" x="57"/>
        <item h="1" x="53"/>
        <item h="1" x="51"/>
        <item h="1" x="59"/>
        <item h="1" x="89"/>
        <item h="1" x="58"/>
        <item h="1" x="0"/>
        <item h="1" x="56"/>
        <item h="1" x="60"/>
        <item h="1" x="61"/>
        <item h="1" x="62"/>
        <item h="1" x="63"/>
        <item h="1" x="90"/>
        <item h="1" x="66"/>
        <item h="1" x="91"/>
        <item h="1" x="69"/>
        <item h="1" x="67"/>
        <item h="1" x="72"/>
        <item h="1" x="65"/>
        <item h="1" x="64"/>
        <item h="1" x="68"/>
        <item h="1" x="70"/>
        <item h="1" x="71"/>
        <item h="1" x="73"/>
        <item h="1" x="74"/>
        <item h="1" x="75"/>
        <item h="1" x="76"/>
        <item h="1" x="81"/>
        <item h="1" x="86"/>
        <item h="1" x="87"/>
        <item h="1" x="88"/>
        <item h="1" x="77"/>
        <item h="1" x="78"/>
        <item h="1" x="80"/>
        <item h="1" x="82"/>
        <item h="1" x="79"/>
        <item h="1" x="83"/>
        <item h="1" x="84"/>
        <item h="1" x="85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x="106"/>
        <item x="35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</items>
    </pivotField>
    <pivotField axis="axisRow" compact="0" outline="0" showAll="0" defaultSubtotal="0">
      <items count="246">
        <item x="92"/>
        <item x="79"/>
        <item x="80"/>
        <item x="24"/>
        <item x="28"/>
        <item x="46"/>
        <item x="13"/>
        <item x="20"/>
        <item x="15"/>
        <item x="57"/>
        <item x="30"/>
        <item x="49"/>
        <item x="37"/>
        <item x="44"/>
        <item x="58"/>
        <item x="14"/>
        <item x="33"/>
        <item x="59"/>
        <item x="54"/>
        <item x="35"/>
        <item x="36"/>
        <item x="17"/>
        <item x="34"/>
        <item x="43"/>
        <item x="51"/>
        <item x="55"/>
        <item x="32"/>
        <item x="19"/>
        <item x="56"/>
        <item x="26"/>
        <item x="31"/>
        <item x="29"/>
        <item x="22"/>
        <item x="7"/>
        <item x="3"/>
        <item x="8"/>
        <item x="10"/>
        <item x="45"/>
        <item x="18"/>
        <item x="40"/>
        <item x="42"/>
        <item x="21"/>
        <item x="27"/>
        <item x="23"/>
        <item x="66"/>
        <item x="89"/>
        <item x="65"/>
        <item x="67"/>
        <item x="25"/>
        <item x="75"/>
        <item x="77"/>
        <item x="78"/>
        <item x="86"/>
        <item x="63"/>
        <item x="64"/>
        <item x="68"/>
        <item x="69"/>
        <item x="71"/>
        <item x="72"/>
        <item x="70"/>
        <item x="73"/>
        <item x="76"/>
        <item x="39"/>
        <item x="81"/>
        <item x="82"/>
        <item x="85"/>
        <item x="91"/>
        <item x="61"/>
        <item x="62"/>
        <item x="53"/>
        <item x="111"/>
        <item x="2"/>
        <item x="38"/>
        <item x="0"/>
        <item x="4"/>
        <item x="16"/>
        <item x="5"/>
        <item x="12"/>
        <item x="6"/>
        <item x="9"/>
        <item x="99"/>
        <item x="47"/>
        <item x="87"/>
        <item x="101"/>
        <item x="93"/>
        <item x="83"/>
        <item x="90"/>
        <item x="109"/>
        <item x="108"/>
        <item x="104"/>
        <item x="106"/>
        <item x="115"/>
        <item x="52"/>
        <item x="84"/>
        <item x="1"/>
        <item x="116"/>
        <item x="96"/>
        <item x="94"/>
        <item x="97"/>
        <item x="48"/>
        <item x="11"/>
        <item x="74"/>
        <item x="98"/>
        <item x="50"/>
        <item x="41"/>
        <item x="102"/>
        <item x="88"/>
        <item x="110"/>
        <item x="113"/>
        <item x="100"/>
        <item x="60"/>
        <item x="105"/>
        <item x="95"/>
        <item x="107"/>
        <item x="112"/>
        <item x="245"/>
        <item x="120"/>
        <item x="114"/>
        <item x="119"/>
        <item x="118"/>
        <item x="117"/>
        <item x="121"/>
        <item x="122"/>
        <item x="123"/>
        <item x="124"/>
        <item x="125"/>
        <item x="131"/>
        <item x="139"/>
        <item x="136"/>
        <item x="133"/>
        <item x="127"/>
        <item x="126"/>
        <item x="129"/>
        <item x="132"/>
        <item x="130"/>
        <item x="128"/>
        <item x="134"/>
        <item x="135"/>
        <item x="137"/>
        <item x="138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87"/>
        <item x="177"/>
        <item x="157"/>
        <item x="188"/>
        <item x="189"/>
        <item x="190"/>
        <item x="191"/>
        <item x="192"/>
        <item x="193"/>
        <item x="156"/>
        <item x="154"/>
        <item x="158"/>
        <item x="159"/>
        <item x="164"/>
        <item x="165"/>
        <item x="162"/>
        <item x="166"/>
        <item x="163"/>
        <item x="160"/>
        <item x="169"/>
        <item x="161"/>
        <item x="167"/>
        <item x="171"/>
        <item x="172"/>
        <item x="170"/>
        <item x="174"/>
        <item x="175"/>
        <item x="176"/>
        <item x="173"/>
        <item x="168"/>
        <item x="178"/>
        <item x="179"/>
        <item x="180"/>
        <item x="181"/>
        <item x="182"/>
        <item x="183"/>
        <item x="184"/>
        <item x="185"/>
        <item x="186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03"/>
        <item x="237"/>
        <item x="238"/>
        <item x="239"/>
        <item x="240"/>
        <item x="241"/>
        <item x="242"/>
        <item x="243"/>
        <item x="244"/>
      </items>
    </pivotField>
    <pivotField axis="axisRow" compact="0" outline="0" showAll="0" defaultSubtotal="0">
      <items count="22">
        <item x="11"/>
        <item x="12"/>
        <item x="7"/>
        <item x="9"/>
        <item x="3"/>
        <item x="4"/>
        <item x="0"/>
        <item x="8"/>
        <item x="5"/>
        <item x="15"/>
        <item x="2"/>
        <item x="6"/>
        <item x="10"/>
        <item x="14"/>
        <item x="13"/>
        <item x="1"/>
        <item h="1" x="21"/>
        <item x="16"/>
        <item x="17"/>
        <item x="18"/>
        <item x="19"/>
        <item x="20"/>
      </items>
    </pivotField>
    <pivotField dataField="1" compact="0" outline="0" showAll="0" defaultSubtotal="0"/>
    <pivotField dataField="1" compact="0" outline="0" showAll="0" defaultSubtotal="0"/>
    <pivotField axis="axisPage" compact="0" outline="0" multipleItemSelectionAllowed="1" showAll="0" defaultSubtotal="0">
      <items count="6">
        <item h="1" x="1"/>
        <item x="0"/>
        <item x="5"/>
        <item h="1" x="4"/>
        <item h="1" x="3"/>
        <item x="2"/>
      </items>
    </pivotField>
    <pivotField compact="0" outline="0" showAll="0" defaultSubtotal="0"/>
    <pivotField compact="0" outline="0" showAll="0" defaultSubtotal="0"/>
    <pivotField compact="0" outline="0" showAll="0" sortType="descending" defaultSubtotal="0"/>
    <pivotField axis="axisRow" compact="0" outline="0" showAll="0" defaultSubtotal="0">
      <items count="277">
        <item x="185"/>
        <item x="0"/>
        <item x="43"/>
        <item x="1"/>
        <item x="3"/>
        <item x="2"/>
        <item x="4"/>
        <item x="7"/>
        <item x="5"/>
        <item x="6"/>
        <item x="8"/>
        <item x="11"/>
        <item x="9"/>
        <item x="10"/>
        <item x="13"/>
        <item x="14"/>
        <item x="12"/>
        <item x="15"/>
        <item x="16"/>
        <item x="18"/>
        <item x="17"/>
        <item x="19"/>
        <item x="21"/>
        <item x="20"/>
        <item x="22"/>
        <item x="23"/>
        <item x="24"/>
        <item x="26"/>
        <item x="27"/>
        <item x="25"/>
        <item x="29"/>
        <item x="28"/>
        <item x="31"/>
        <item x="30"/>
        <item x="33"/>
        <item x="32"/>
        <item x="37"/>
        <item x="34"/>
        <item x="35"/>
        <item x="38"/>
        <item x="40"/>
        <item x="36"/>
        <item x="39"/>
        <item x="41"/>
        <item x="42"/>
        <item x="79"/>
        <item x="45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8"/>
        <item x="57"/>
        <item x="59"/>
        <item x="60"/>
        <item x="62"/>
        <item x="61"/>
        <item x="64"/>
        <item x="63"/>
        <item x="65"/>
        <item x="66"/>
        <item x="68"/>
        <item x="67"/>
        <item x="69"/>
        <item x="71"/>
        <item x="70"/>
        <item x="73"/>
        <item x="75"/>
        <item x="74"/>
        <item x="76"/>
        <item x="77"/>
        <item x="78"/>
        <item x="80"/>
        <item x="72"/>
        <item x="81"/>
        <item x="82"/>
        <item x="83"/>
        <item x="84"/>
        <item x="86"/>
        <item x="85"/>
        <item x="87"/>
        <item x="88"/>
        <item x="89"/>
        <item x="90"/>
        <item x="91"/>
        <item x="93"/>
        <item x="92"/>
        <item x="99"/>
        <item x="94"/>
        <item x="95"/>
        <item x="96"/>
        <item x="97"/>
        <item x="98"/>
        <item x="100"/>
        <item x="101"/>
        <item x="103"/>
        <item x="102"/>
        <item x="107"/>
        <item x="104"/>
        <item x="106"/>
        <item x="105"/>
        <item x="108"/>
        <item x="109"/>
        <item x="110"/>
        <item x="111"/>
        <item x="112"/>
        <item x="117"/>
        <item x="113"/>
        <item x="114"/>
        <item x="118"/>
        <item x="116"/>
        <item x="124"/>
        <item x="119"/>
        <item x="120"/>
        <item x="121"/>
        <item x="122"/>
        <item x="123"/>
        <item x="125"/>
        <item x="127"/>
        <item x="128"/>
        <item x="129"/>
        <item x="126"/>
        <item x="130"/>
        <item x="132"/>
        <item x="138"/>
        <item x="133"/>
        <item x="134"/>
        <item x="137"/>
        <item x="135"/>
        <item x="136"/>
        <item x="131"/>
        <item x="139"/>
        <item x="140"/>
        <item x="141"/>
        <item x="142"/>
        <item x="143"/>
        <item x="144"/>
        <item x="146"/>
        <item x="145"/>
        <item x="148"/>
        <item x="156"/>
        <item x="149"/>
        <item x="147"/>
        <item x="153"/>
        <item x="152"/>
        <item x="150"/>
        <item x="151"/>
        <item x="154"/>
        <item x="157"/>
        <item x="155"/>
        <item x="158"/>
        <item x="159"/>
        <item x="161"/>
        <item x="160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6"/>
        <item x="187"/>
        <item x="188"/>
        <item x="189"/>
        <item x="190"/>
        <item x="192"/>
        <item x="191"/>
        <item x="193"/>
        <item x="194"/>
        <item x="195"/>
        <item x="196"/>
        <item x="197"/>
        <item x="198"/>
        <item x="199"/>
        <item x="201"/>
        <item x="203"/>
        <item x="200"/>
        <item x="202"/>
        <item x="204"/>
        <item x="205"/>
        <item x="226"/>
        <item x="206"/>
        <item x="207"/>
        <item x="208"/>
        <item x="209"/>
        <item x="210"/>
        <item x="211"/>
        <item x="212"/>
        <item x="219"/>
        <item x="221"/>
        <item x="218"/>
        <item x="222"/>
        <item x="220"/>
        <item x="224"/>
        <item x="223"/>
        <item x="230"/>
        <item x="229"/>
        <item x="228"/>
        <item x="225"/>
        <item x="233"/>
        <item x="227"/>
        <item x="239"/>
        <item x="235"/>
        <item x="237"/>
        <item x="232"/>
        <item x="244"/>
        <item x="231"/>
        <item x="276"/>
        <item x="236"/>
        <item x="238"/>
        <item x="240"/>
        <item x="180"/>
        <item x="181"/>
        <item x="182"/>
        <item x="183"/>
        <item x="184"/>
        <item x="213"/>
        <item x="214"/>
        <item x="215"/>
        <item x="216"/>
        <item x="217"/>
        <item x="234"/>
        <item x="241"/>
        <item x="242"/>
        <item x="243"/>
        <item x="245"/>
        <item x="246"/>
        <item x="247"/>
        <item x="248"/>
        <item x="249"/>
        <item x="250"/>
        <item x="251"/>
        <item x="252"/>
        <item x="253"/>
        <item x="254"/>
        <item x="115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4">
    <field x="8"/>
    <field x="12"/>
    <field x="11"/>
    <field x="19"/>
  </rowFields>
  <rowItems count="30">
    <i>
      <x v="365"/>
      <x v="19"/>
      <x v="241"/>
      <x v="257"/>
    </i>
    <i>
      <x v="375"/>
      <x v="15"/>
      <x v="242"/>
      <x v="258"/>
    </i>
    <i>
      <x v="376"/>
      <x v="15"/>
      <x v="117"/>
      <x v="259"/>
    </i>
    <i>
      <x v="377"/>
      <x v="19"/>
      <x v="65"/>
      <x v="260"/>
    </i>
    <i>
      <x v="378"/>
      <x v="10"/>
      <x v="65"/>
      <x v="258"/>
    </i>
    <i>
      <x v="379"/>
      <x v="15"/>
      <x v="117"/>
      <x v="261"/>
    </i>
    <i>
      <x v="380"/>
      <x v="10"/>
      <x v="65"/>
      <x v="262"/>
    </i>
    <i>
      <x v="381"/>
      <x v="19"/>
      <x v="65"/>
      <x v="263"/>
    </i>
    <i>
      <x v="382"/>
      <x v="10"/>
      <x v="97"/>
      <x v="264"/>
    </i>
    <i r="1">
      <x v="19"/>
      <x v="97"/>
      <x v="264"/>
    </i>
    <i>
      <x v="383"/>
      <x v="10"/>
      <x v="65"/>
      <x v="265"/>
    </i>
    <i>
      <x v="384"/>
      <x v="19"/>
      <x v="65"/>
      <x v="266"/>
    </i>
    <i>
      <x v="385"/>
      <x v="10"/>
      <x v="65"/>
      <x v="267"/>
    </i>
    <i r="1">
      <x v="20"/>
      <x v="65"/>
      <x v="267"/>
    </i>
    <i>
      <x v="386"/>
      <x v="19"/>
      <x v="65"/>
      <x v="267"/>
    </i>
    <i>
      <x v="387"/>
      <x v="10"/>
      <x v="65"/>
      <x v="268"/>
    </i>
    <i r="1">
      <x v="20"/>
      <x v="65"/>
      <x v="268"/>
    </i>
    <i>
      <x v="388"/>
      <x v="19"/>
      <x v="65"/>
      <x v="268"/>
    </i>
    <i>
      <x v="389"/>
      <x v="9"/>
      <x v="184"/>
      <x v="269"/>
    </i>
    <i>
      <x v="390"/>
      <x v="10"/>
      <x v="65"/>
      <x v="270"/>
    </i>
    <i>
      <x v="391"/>
      <x v="21"/>
      <x v="243"/>
      <x v="271"/>
    </i>
    <i>
      <x v="392"/>
      <x v="19"/>
      <x v="65"/>
      <x v="272"/>
    </i>
    <i>
      <x v="393"/>
      <x v="10"/>
      <x v="65"/>
      <x v="273"/>
    </i>
    <i>
      <x v="394"/>
      <x v="19"/>
      <x v="65"/>
      <x v="271"/>
    </i>
    <i>
      <x v="395"/>
      <x v="19"/>
      <x v="65"/>
      <x v="274"/>
    </i>
    <i>
      <x v="396"/>
      <x v="9"/>
      <x v="240"/>
      <x v="274"/>
    </i>
    <i>
      <x v="397"/>
      <x v="9"/>
      <x v="65"/>
      <x v="275"/>
    </i>
    <i>
      <x v="398"/>
      <x v="10"/>
      <x v="244"/>
      <x v="275"/>
    </i>
    <i>
      <x v="399"/>
      <x v="19"/>
      <x v="245"/>
      <x v="276"/>
    </i>
    <i t="grand">
      <x/>
    </i>
  </rowItems>
  <colFields count="1">
    <field x="-2"/>
  </colFields>
  <colItems count="2">
    <i>
      <x/>
    </i>
    <i i="1">
      <x v="1"/>
    </i>
  </colItems>
  <pageFields count="5">
    <pageField fld="15" hier="-1"/>
    <pageField fld="3" hier="-1"/>
    <pageField fld="0" hier="-1"/>
    <pageField fld="1" hier="-1"/>
    <pageField fld="10" hier="-1"/>
  </pageFields>
  <dataFields count="2">
    <dataField name="求和项:Qty " fld="13" baseField="8" baseItem="0"/>
    <dataField name="求和项: Total price (JPY) " fld="14" baseField="19" baseItem="254" numFmtId="4"/>
  </dataFields>
  <formats count="30">
    <format dxfId="281">
      <pivotArea outline="0" fieldPosition="0">
        <references count="1">
          <reference field="4294967294" count="1" selected="0">
            <x v="1"/>
          </reference>
        </references>
      </pivotArea>
    </format>
    <format dxfId="280">
      <pivotArea type="topRight" dataOnly="0" labelOnly="1" outline="0" fieldPosition="0"/>
    </format>
    <format dxfId="27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78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3"/>
            <x v="54"/>
            <x v="55"/>
            <x v="56"/>
            <x v="57"/>
            <x v="58"/>
          </reference>
        </references>
      </pivotArea>
    </format>
    <format dxfId="277">
      <pivotArea dataOnly="0" labelOnly="1" outline="0" fieldPosition="0">
        <references count="1">
          <reference field="8" count="49"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6"/>
            <x v="77"/>
            <x v="78"/>
            <x v="79"/>
            <x v="80"/>
            <x v="81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5"/>
            <x v="96"/>
            <x v="97"/>
            <x v="101"/>
            <x v="102"/>
            <x v="103"/>
            <x v="106"/>
            <x v="110"/>
            <x v="111"/>
            <x v="112"/>
            <x v="113"/>
            <x v="114"/>
            <x v="133"/>
            <x v="167"/>
            <x v="173"/>
            <x v="216"/>
          </reference>
        </references>
      </pivotArea>
    </format>
    <format dxfId="276">
      <pivotArea dataOnly="0" labelOnly="1" outline="0" fieldPosition="0">
        <references count="1">
          <reference field="8" count="22">
            <x v="75"/>
            <x v="93"/>
            <x v="98"/>
            <x v="99"/>
            <x v="100"/>
            <x v="104"/>
            <x v="108"/>
            <x v="115"/>
            <x v="126"/>
            <x v="132"/>
            <x v="138"/>
            <x v="157"/>
            <x v="158"/>
            <x v="159"/>
            <x v="160"/>
            <x v="161"/>
            <x v="162"/>
            <x v="164"/>
            <x v="165"/>
            <x v="166"/>
            <x v="168"/>
            <x v="170"/>
          </reference>
        </references>
      </pivotArea>
    </format>
    <format dxfId="275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274">
      <pivotArea dataOnly="0" labelOnly="1" outline="0" fieldPosition="0">
        <references count="1">
          <reference field="8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  <x v="106"/>
          </reference>
        </references>
      </pivotArea>
    </format>
    <format dxfId="273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272">
      <pivotArea dataOnly="0" labelOnly="1" outline="0" fieldPosition="0">
        <references count="1">
          <reference field="8" count="50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</reference>
        </references>
      </pivotArea>
    </format>
    <format dxfId="271">
      <pivotArea dataOnly="0" labelOnly="1" outline="0" fieldPosition="0">
        <references count="1">
          <reference field="8" count="50">
            <x v="100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8"/>
            <x v="139"/>
            <x v="140"/>
            <x v="141"/>
            <x v="157"/>
            <x v="158"/>
            <x v="159"/>
            <x v="160"/>
            <x v="161"/>
            <x v="162"/>
            <x v="164"/>
            <x v="165"/>
            <x v="166"/>
            <x v="167"/>
            <x v="168"/>
            <x v="170"/>
            <x v="173"/>
            <x v="216"/>
          </reference>
        </references>
      </pivotArea>
    </format>
    <format dxfId="270">
      <pivotArea dataOnly="0" labelOnly="1" outline="0" fieldPosition="0">
        <references count="1">
          <reference field="8" count="22">
            <x v="137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63"/>
            <x v="169"/>
            <x v="171"/>
            <x v="175"/>
            <x v="176"/>
            <x v="252"/>
          </reference>
        </references>
      </pivotArea>
    </format>
    <format dxfId="269">
      <pivotArea outline="0" fieldPosition="0">
        <references count="1">
          <reference field="12" count="1" selected="0" defaultSubtotal="1">
            <x v="10"/>
          </reference>
        </references>
      </pivotArea>
    </format>
    <format dxfId="268">
      <pivotArea dataOnly="0" labelOnly="1" outline="0" fieldPosition="0">
        <references count="1">
          <reference field="12" count="1" defaultSubtotal="1">
            <x v="10"/>
          </reference>
        </references>
      </pivotArea>
    </format>
    <format dxfId="267">
      <pivotArea outline="0" fieldPosition="0">
        <references count="1">
          <reference field="12" count="1" selected="0" defaultSubtotal="1">
            <x v="13"/>
          </reference>
        </references>
      </pivotArea>
    </format>
    <format dxfId="266">
      <pivotArea dataOnly="0" labelOnly="1" outline="0" fieldPosition="0">
        <references count="1">
          <reference field="12" count="1" defaultSubtotal="1">
            <x v="13"/>
          </reference>
        </references>
      </pivotArea>
    </format>
    <format dxfId="265">
      <pivotArea outline="0" fieldPosition="0">
        <references count="1">
          <reference field="12" count="1" selected="0" defaultSubtotal="1">
            <x v="14"/>
          </reference>
        </references>
      </pivotArea>
    </format>
    <format dxfId="264">
      <pivotArea dataOnly="0" labelOnly="1" outline="0" fieldPosition="0">
        <references count="1">
          <reference field="12" count="1" defaultSubtotal="1">
            <x v="14"/>
          </reference>
        </references>
      </pivotArea>
    </format>
    <format dxfId="263">
      <pivotArea outline="0" fieldPosition="0">
        <references count="1">
          <reference field="12" count="1" selected="0" defaultSubtotal="1">
            <x v="17"/>
          </reference>
        </references>
      </pivotArea>
    </format>
    <format dxfId="262">
      <pivotArea dataOnly="0" labelOnly="1" outline="0" fieldPosition="0">
        <references count="1">
          <reference field="12" count="1" defaultSubtotal="1">
            <x v="17"/>
          </reference>
        </references>
      </pivotArea>
    </format>
    <format dxfId="261">
      <pivotArea outline="0" fieldPosition="0">
        <references count="1">
          <reference field="12" count="1" selected="0" defaultSubtotal="1">
            <x v="9"/>
          </reference>
        </references>
      </pivotArea>
    </format>
    <format dxfId="260">
      <pivotArea dataOnly="0" labelOnly="1" outline="0" fieldPosition="0">
        <references count="1">
          <reference field="12" count="1" defaultSubtotal="1">
            <x v="9"/>
          </reference>
        </references>
      </pivotArea>
    </format>
    <format dxfId="259">
      <pivotArea outline="0" fieldPosition="0">
        <references count="1">
          <reference field="12" count="1" selected="0" defaultSubtotal="1">
            <x v="0"/>
          </reference>
        </references>
      </pivotArea>
    </format>
    <format dxfId="258">
      <pivotArea dataOnly="0" labelOnly="1" outline="0" fieldPosition="0">
        <references count="1">
          <reference field="12" count="1" defaultSubtotal="1">
            <x v="0"/>
          </reference>
        </references>
      </pivotArea>
    </format>
    <format dxfId="257">
      <pivotArea type="origin" dataOnly="0" labelOnly="1" outline="0" fieldPosition="0"/>
    </format>
    <format dxfId="256">
      <pivotArea field="8" type="button" dataOnly="0" labelOnly="1" outline="0" axis="axisRow" fieldPosition="0"/>
    </format>
    <format dxfId="255">
      <pivotArea dataOnly="0" labelOnly="1" outline="0" fieldPosition="0">
        <references count="1">
          <reference field="8" count="50"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30"/>
            <x v="231"/>
            <x v="232"/>
            <x v="233"/>
            <x v="234"/>
            <x v="235"/>
            <x v="236"/>
            <x v="237"/>
            <x v="239"/>
            <x v="240"/>
            <x v="241"/>
            <x v="244"/>
            <x v="245"/>
            <x v="246"/>
            <x v="247"/>
            <x v="248"/>
            <x v="249"/>
            <x v="250"/>
            <x v="252"/>
            <x v="253"/>
          </reference>
        </references>
      </pivotArea>
    </format>
    <format dxfId="254">
      <pivotArea dataOnly="0" labelOnly="1" outline="0" fieldPosition="0">
        <references count="1">
          <reference field="8" count="50">
            <x v="238"/>
            <x v="242"/>
            <x v="243"/>
            <x v="251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4"/>
            <x v="295"/>
            <x v="296"/>
            <x v="297"/>
            <x v="298"/>
            <x v="299"/>
            <x v="300"/>
          </reference>
        </references>
      </pivotArea>
    </format>
    <format dxfId="253">
      <pivotArea dataOnly="0" labelOnly="1" outline="0" fieldPosition="0">
        <references count="1">
          <reference field="8" count="8">
            <x v="301"/>
            <x v="302"/>
            <x v="306"/>
            <x v="307"/>
            <x v="308"/>
            <x v="309"/>
            <x v="310"/>
            <x v="311"/>
          </reference>
        </references>
      </pivotArea>
    </format>
    <format dxfId="25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8E68ED-F9C7-4617-B8A6-5B086B27A6C2}" name="数据透视表3" cacheId="5" applyNumberFormats="0" applyBorderFormats="0" applyFontFormats="0" applyPatternFormats="0" applyAlignmentFormats="0" applyWidthHeightFormats="1" dataCaption="值" updatedVersion="7" minRefreshableVersion="3" useAutoFormatting="1" itemPrintTitles="1" createdVersion="6" indent="0" compact="0" compactData="0" gridDropZones="1" multipleFieldFilters="0">
  <location ref="A7:F179" firstHeaderRow="1" firstDataRow="2" firstDataCol="4" rowPageCount="5" colPageCount="1"/>
  <pivotFields count="25">
    <pivotField axis="axisPage" compact="0" outline="0" multipleItemSelectionAllowed="1" showAll="0" defaultSubtotal="0">
      <items count="8">
        <item h="1" x="5"/>
        <item h="1" x="0"/>
        <item h="1" x="6"/>
        <item h="1" x="1"/>
        <item h="1" x="2"/>
        <item h="1" x="3"/>
        <item x="4"/>
        <item h="1" x="7"/>
      </items>
    </pivotField>
    <pivotField axis="axisPage" compact="0" outline="0" multipleItemSelectionAllowed="1" showAll="0" defaultSubtotal="0">
      <items count="15">
        <item x="1"/>
        <item x="0"/>
        <item h="1" x="3"/>
        <item h="1" x="2"/>
        <item x="13"/>
        <item x="4"/>
        <item x="12"/>
        <item h="1" m="1" x="14"/>
        <item x="5"/>
        <item x="6"/>
        <item h="1" x="7"/>
        <item x="8"/>
        <item x="9"/>
        <item x="10"/>
        <item x="11"/>
      </items>
    </pivotField>
    <pivotField compact="0" outline="0" showAll="0" defaultSubtotal="0"/>
    <pivotField axis="axisPage" compact="0" outline="0" showAll="0" defaultSubtotal="0">
      <items count="3">
        <item x="2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66">
        <item x="3"/>
        <item x="1"/>
        <item x="2"/>
        <item x="7"/>
        <item x="4"/>
        <item x="6"/>
        <item x="5"/>
        <item x="8"/>
        <item x="9"/>
        <item x="10"/>
        <item x="11"/>
        <item x="14"/>
        <item x="13"/>
        <item x="15"/>
        <item x="16"/>
        <item x="12"/>
        <item x="17"/>
        <item x="18"/>
        <item x="19"/>
        <item x="24"/>
        <item x="20"/>
        <item x="25"/>
        <item x="21"/>
        <item x="22"/>
        <item x="28"/>
        <item x="29"/>
        <item x="27"/>
        <item x="23"/>
        <item x="30"/>
        <item x="37"/>
        <item x="40"/>
        <item x="32"/>
        <item x="33"/>
        <item x="44"/>
        <item x="50"/>
        <item x="38"/>
        <item x="41"/>
        <item x="39"/>
        <item x="47"/>
        <item x="52"/>
        <item x="51"/>
        <item x="36"/>
        <item x="34"/>
        <item x="35"/>
        <item x="43"/>
        <item x="46"/>
        <item x="42"/>
        <item x="31"/>
        <item x="65"/>
        <item x="64"/>
        <item x="55"/>
        <item x="56"/>
        <item x="45"/>
        <item x="49"/>
        <item x="75"/>
        <item x="57"/>
        <item x="69"/>
        <item x="70"/>
        <item x="74"/>
        <item x="63"/>
        <item x="54"/>
        <item x="61"/>
        <item x="73"/>
        <item x="81"/>
        <item x="82"/>
        <item x="80"/>
        <item x="79"/>
        <item x="48"/>
        <item x="83"/>
        <item x="91"/>
        <item x="59"/>
        <item x="60"/>
        <item x="62"/>
        <item x="66"/>
        <item x="67"/>
        <item x="95"/>
        <item x="84"/>
        <item x="85"/>
        <item x="87"/>
        <item x="88"/>
        <item x="90"/>
        <item x="58"/>
        <item x="68"/>
        <item x="77"/>
        <item x="71"/>
        <item x="72"/>
        <item x="76"/>
        <item x="78"/>
        <item x="89"/>
        <item x="92"/>
        <item x="93"/>
        <item x="53"/>
        <item x="26"/>
        <item x="86"/>
        <item x="96"/>
        <item x="97"/>
        <item x="98"/>
        <item x="99"/>
        <item x="101"/>
        <item x="100"/>
        <item x="94"/>
        <item x="102"/>
        <item x="105"/>
        <item x="104"/>
        <item x="103"/>
        <item x="107"/>
        <item x="106"/>
        <item x="108"/>
        <item x="109"/>
        <item x="111"/>
        <item x="118"/>
        <item x="117"/>
        <item x="115"/>
        <item x="114"/>
        <item x="116"/>
        <item x="123"/>
        <item x="0"/>
        <item x="119"/>
        <item x="110"/>
        <item x="112"/>
        <item x="113"/>
        <item x="120"/>
        <item x="121"/>
        <item x="122"/>
        <item x="124"/>
        <item x="127"/>
        <item x="126"/>
        <item x="128"/>
        <item x="125"/>
        <item x="129"/>
        <item x="130"/>
        <item x="131"/>
        <item x="135"/>
        <item x="132"/>
        <item x="133"/>
        <item x="134"/>
        <item x="136"/>
        <item x="164"/>
        <item x="137"/>
        <item x="138"/>
        <item x="139"/>
        <item x="140"/>
        <item x="141"/>
        <item x="142"/>
        <item x="165"/>
        <item x="143"/>
        <item x="144"/>
        <item x="145"/>
        <item x="146"/>
        <item x="149"/>
        <item x="148"/>
        <item x="155"/>
        <item x="156"/>
        <item x="154"/>
        <item x="157"/>
        <item x="153"/>
        <item x="159"/>
        <item x="201"/>
        <item x="280"/>
        <item x="240"/>
        <item x="281"/>
        <item x="283"/>
        <item x="282"/>
        <item x="286"/>
        <item x="284"/>
        <item x="288"/>
        <item x="276"/>
        <item x="279"/>
        <item x="285"/>
        <item x="277"/>
        <item x="278"/>
        <item x="290"/>
        <item x="287"/>
        <item x="291"/>
        <item x="292"/>
        <item x="275"/>
        <item x="168"/>
        <item x="150"/>
        <item x="147"/>
        <item x="152"/>
        <item x="151"/>
        <item x="158"/>
        <item x="160"/>
        <item x="161"/>
        <item x="162"/>
        <item x="163"/>
        <item x="166"/>
        <item x="16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5"/>
        <item x="191"/>
        <item x="193"/>
        <item x="198"/>
        <item x="199"/>
        <item x="200"/>
        <item x="194"/>
        <item x="190"/>
        <item x="218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196"/>
        <item x="192"/>
        <item x="197"/>
        <item x="202"/>
        <item x="203"/>
        <item x="213"/>
        <item x="209"/>
        <item x="214"/>
        <item x="210"/>
        <item x="215"/>
        <item x="211"/>
        <item x="216"/>
        <item x="208"/>
        <item x="222"/>
        <item x="205"/>
        <item x="221"/>
        <item x="206"/>
        <item x="207"/>
        <item x="204"/>
        <item x="217"/>
        <item x="219"/>
        <item x="274"/>
        <item x="239"/>
        <item x="2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66"/>
        <item x="268"/>
        <item x="220"/>
        <item x="269"/>
        <item x="271"/>
        <item x="267"/>
        <item x="270"/>
        <item x="293"/>
        <item x="294"/>
        <item x="295"/>
        <item x="296"/>
        <item x="297"/>
        <item x="298"/>
        <item x="299"/>
        <item x="300"/>
        <item x="301"/>
        <item x="302"/>
        <item x="272"/>
        <item x="273"/>
        <item x="289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</items>
    </pivotField>
    <pivotField compact="0" outline="0" showAll="0" defaultSubtotal="0"/>
    <pivotField axis="axisRow" compact="0" outline="0" showAll="0">
      <items count="107">
        <item x="1"/>
        <item x="2"/>
        <item x="3"/>
        <item x="4"/>
        <item x="5"/>
        <item x="7"/>
        <item x="6"/>
        <item x="9"/>
        <item x="8"/>
        <item x="11"/>
        <item x="12"/>
        <item x="10"/>
        <item x="13"/>
        <item x="14"/>
        <item x="15"/>
        <item x="16"/>
        <item x="17"/>
        <item x="20"/>
        <item x="18"/>
        <item x="21"/>
        <item x="19"/>
        <item x="22"/>
        <item x="27"/>
        <item x="24"/>
        <item x="31"/>
        <item x="28"/>
        <item x="29"/>
        <item x="35"/>
        <item x="26"/>
        <item x="25"/>
        <item x="30"/>
        <item x="23"/>
        <item x="33"/>
        <item x="32"/>
        <item x="37"/>
        <item x="34"/>
        <item x="40"/>
        <item x="36"/>
        <item x="39"/>
        <item x="38"/>
        <item x="41"/>
        <item x="43"/>
        <item x="42"/>
        <item x="44"/>
        <item x="54"/>
        <item x="45"/>
        <item x="48"/>
        <item x="46"/>
        <item x="51"/>
        <item x="49"/>
        <item x="47"/>
        <item x="53"/>
        <item x="56"/>
        <item x="52"/>
        <item x="50"/>
        <item x="58"/>
        <item x="88"/>
        <item x="57"/>
        <item x="0"/>
        <item x="55"/>
        <item x="89"/>
        <item x="65"/>
        <item x="66"/>
        <item x="62"/>
        <item x="59"/>
        <item x="60"/>
        <item x="61"/>
        <item x="90"/>
        <item x="68"/>
        <item x="71"/>
        <item x="64"/>
        <item x="63"/>
        <item x="67"/>
        <item x="69"/>
        <item x="70"/>
        <item x="72"/>
        <item x="73"/>
        <item x="74"/>
        <item x="75"/>
        <item x="85"/>
        <item x="86"/>
        <item x="87"/>
        <item x="76"/>
        <item x="77"/>
        <item x="80"/>
        <item x="79"/>
        <item x="81"/>
        <item x="78"/>
        <item x="82"/>
        <item x="83"/>
        <item x="84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axis="axisRow" compact="0" outline="0" showAll="0" defaultSubtotal="0">
      <items count="243">
        <item x="92"/>
        <item x="79"/>
        <item x="80"/>
        <item x="24"/>
        <item x="28"/>
        <item x="46"/>
        <item x="13"/>
        <item x="20"/>
        <item x="15"/>
        <item x="57"/>
        <item x="30"/>
        <item x="49"/>
        <item x="37"/>
        <item x="44"/>
        <item x="58"/>
        <item x="14"/>
        <item x="33"/>
        <item x="59"/>
        <item x="54"/>
        <item x="35"/>
        <item x="36"/>
        <item x="17"/>
        <item x="34"/>
        <item x="43"/>
        <item x="51"/>
        <item x="55"/>
        <item x="32"/>
        <item x="19"/>
        <item x="56"/>
        <item x="26"/>
        <item x="31"/>
        <item x="29"/>
        <item x="22"/>
        <item x="7"/>
        <item x="3"/>
        <item x="8"/>
        <item x="10"/>
        <item x="45"/>
        <item x="18"/>
        <item x="40"/>
        <item x="42"/>
        <item x="21"/>
        <item x="27"/>
        <item x="23"/>
        <item x="66"/>
        <item x="89"/>
        <item x="65"/>
        <item x="67"/>
        <item x="25"/>
        <item x="75"/>
        <item x="77"/>
        <item x="78"/>
        <item x="86"/>
        <item x="63"/>
        <item x="64"/>
        <item x="68"/>
        <item x="69"/>
        <item x="71"/>
        <item x="72"/>
        <item x="70"/>
        <item x="73"/>
        <item x="76"/>
        <item x="39"/>
        <item x="81"/>
        <item x="82"/>
        <item x="85"/>
        <item x="91"/>
        <item x="61"/>
        <item x="62"/>
        <item x="53"/>
        <item x="110"/>
        <item x="2"/>
        <item x="38"/>
        <item x="0"/>
        <item x="4"/>
        <item x="16"/>
        <item x="5"/>
        <item x="12"/>
        <item x="6"/>
        <item x="9"/>
        <item x="99"/>
        <item x="47"/>
        <item x="87"/>
        <item x="101"/>
        <item x="93"/>
        <item x="83"/>
        <item x="90"/>
        <item x="108"/>
        <item x="107"/>
        <item x="103"/>
        <item x="105"/>
        <item x="114"/>
        <item x="52"/>
        <item x="84"/>
        <item x="1"/>
        <item x="115"/>
        <item x="96"/>
        <item x="94"/>
        <item x="97"/>
        <item x="48"/>
        <item x="11"/>
        <item x="74"/>
        <item x="98"/>
        <item x="50"/>
        <item x="41"/>
        <item x="102"/>
        <item x="88"/>
        <item x="109"/>
        <item x="112"/>
        <item x="100"/>
        <item x="60"/>
        <item x="104"/>
        <item x="95"/>
        <item x="106"/>
        <item x="111"/>
        <item x="241"/>
        <item x="119"/>
        <item x="113"/>
        <item x="118"/>
        <item x="117"/>
        <item x="116"/>
        <item x="120"/>
        <item x="121"/>
        <item x="122"/>
        <item x="123"/>
        <item x="124"/>
        <item x="130"/>
        <item x="138"/>
        <item x="135"/>
        <item x="132"/>
        <item x="126"/>
        <item x="125"/>
        <item x="128"/>
        <item x="131"/>
        <item x="129"/>
        <item x="127"/>
        <item x="133"/>
        <item x="134"/>
        <item x="136"/>
        <item x="137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86"/>
        <item x="176"/>
        <item x="156"/>
        <item x="187"/>
        <item x="188"/>
        <item x="189"/>
        <item x="190"/>
        <item x="191"/>
        <item x="192"/>
        <item x="155"/>
        <item x="153"/>
        <item x="157"/>
        <item x="158"/>
        <item x="163"/>
        <item x="164"/>
        <item x="161"/>
        <item x="165"/>
        <item x="162"/>
        <item x="159"/>
        <item x="168"/>
        <item x="160"/>
        <item x="166"/>
        <item x="167"/>
        <item x="169"/>
        <item x="170"/>
        <item x="171"/>
        <item x="172"/>
        <item x="173"/>
        <item x="174"/>
        <item x="175"/>
        <item x="177"/>
        <item x="178"/>
        <item x="179"/>
        <item x="180"/>
        <item x="181"/>
        <item x="182"/>
        <item x="183"/>
        <item x="184"/>
        <item x="185"/>
        <item m="1" x="24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Row" compact="0" outline="0" showAll="0">
      <items count="21">
        <item x="11"/>
        <item x="12"/>
        <item x="7"/>
        <item x="9"/>
        <item x="3"/>
        <item x="4"/>
        <item x="0"/>
        <item x="8"/>
        <item x="5"/>
        <item x="15"/>
        <item x="2"/>
        <item x="6"/>
        <item x="10"/>
        <item x="14"/>
        <item x="13"/>
        <item x="1"/>
        <item x="19"/>
        <item x="16"/>
        <item x="17"/>
        <item x="18"/>
        <item t="default"/>
      </items>
    </pivotField>
    <pivotField dataField="1" compact="0" outline="0" showAll="0" defaultSubtotal="0"/>
    <pivotField dataField="1" compact="0" outline="0" showAll="0" defaultSubtotal="0"/>
    <pivotField axis="axisPage" compact="0" outline="0" multipleItemSelectionAllowed="1" showAll="0" defaultSubtotal="0">
      <items count="7">
        <item h="1" x="1"/>
        <item x="0"/>
        <item x="5"/>
        <item h="1" x="4"/>
        <item m="1" x="6"/>
        <item h="1" x="3"/>
        <item x="2"/>
      </items>
    </pivotField>
    <pivotField compact="0" outline="0" showAll="0" defaultSubtotal="0"/>
    <pivotField compact="0" outline="0" showAll="0" defaultSubtotal="0"/>
    <pivotField compact="0" outline="0" multipleItemSelectionAllowed="1" showAll="0" sortType="descending" defaultSubtotal="0"/>
    <pivotField axis="axisPage" compact="0" outline="0" multipleItemSelectionAllowed="1" showAll="0" defaultSubtotal="0">
      <items count="265">
        <item m="1" x="261"/>
        <item m="1" x="263"/>
        <item m="1" x="262"/>
        <item m="1" x="258"/>
        <item x="184"/>
        <item x="0"/>
        <item x="43"/>
        <item x="1"/>
        <item x="3"/>
        <item x="2"/>
        <item x="4"/>
        <item x="7"/>
        <item x="5"/>
        <item x="6"/>
        <item x="8"/>
        <item x="11"/>
        <item x="9"/>
        <item x="10"/>
        <item x="13"/>
        <item x="14"/>
        <item x="12"/>
        <item x="15"/>
        <item x="16"/>
        <item x="18"/>
        <item x="17"/>
        <item x="19"/>
        <item x="21"/>
        <item x="20"/>
        <item x="22"/>
        <item x="23"/>
        <item x="24"/>
        <item x="26"/>
        <item x="27"/>
        <item x="25"/>
        <item x="29"/>
        <item x="28"/>
        <item x="31"/>
        <item x="30"/>
        <item x="33"/>
        <item x="32"/>
        <item x="37"/>
        <item x="34"/>
        <item x="35"/>
        <item x="38"/>
        <item x="40"/>
        <item x="36"/>
        <item x="39"/>
        <item x="41"/>
        <item x="42"/>
        <item x="79"/>
        <item x="45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8"/>
        <item x="57"/>
        <item x="59"/>
        <item x="60"/>
        <item x="62"/>
        <item x="61"/>
        <item x="64"/>
        <item x="63"/>
        <item x="65"/>
        <item x="66"/>
        <item x="68"/>
        <item x="67"/>
        <item x="69"/>
        <item x="71"/>
        <item x="70"/>
        <item x="73"/>
        <item x="75"/>
        <item x="74"/>
        <item x="76"/>
        <item x="77"/>
        <item x="78"/>
        <item x="80"/>
        <item x="72"/>
        <item x="81"/>
        <item x="82"/>
        <item x="83"/>
        <item x="84"/>
        <item x="86"/>
        <item x="85"/>
        <item x="87"/>
        <item x="88"/>
        <item x="89"/>
        <item x="90"/>
        <item x="91"/>
        <item x="93"/>
        <item x="92"/>
        <item x="99"/>
        <item x="94"/>
        <item x="95"/>
        <item x="96"/>
        <item x="97"/>
        <item x="98"/>
        <item x="100"/>
        <item x="101"/>
        <item x="103"/>
        <item x="102"/>
        <item x="107"/>
        <item x="104"/>
        <item x="106"/>
        <item x="105"/>
        <item x="108"/>
        <item x="109"/>
        <item x="110"/>
        <item x="111"/>
        <item x="112"/>
        <item x="116"/>
        <item x="113"/>
        <item x="114"/>
        <item x="117"/>
        <item x="115"/>
        <item x="123"/>
        <item x="118"/>
        <item x="119"/>
        <item x="120"/>
        <item x="121"/>
        <item x="122"/>
        <item x="124"/>
        <item x="126"/>
        <item x="127"/>
        <item x="128"/>
        <item x="125"/>
        <item x="129"/>
        <item x="131"/>
        <item x="137"/>
        <item x="132"/>
        <item x="133"/>
        <item x="136"/>
        <item x="134"/>
        <item x="135"/>
        <item x="130"/>
        <item x="138"/>
        <item x="139"/>
        <item x="140"/>
        <item x="141"/>
        <item x="142"/>
        <item x="143"/>
        <item x="145"/>
        <item x="144"/>
        <item x="147"/>
        <item x="155"/>
        <item x="148"/>
        <item x="146"/>
        <item x="152"/>
        <item x="151"/>
        <item x="149"/>
        <item x="150"/>
        <item x="153"/>
        <item x="156"/>
        <item x="154"/>
        <item x="157"/>
        <item x="158"/>
        <item x="160"/>
        <item x="159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5"/>
        <item x="186"/>
        <item x="187"/>
        <item x="188"/>
        <item x="189"/>
        <item x="191"/>
        <item x="190"/>
        <item x="192"/>
        <item x="193"/>
        <item x="194"/>
        <item x="195"/>
        <item x="196"/>
        <item x="197"/>
        <item x="198"/>
        <item x="200"/>
        <item x="202"/>
        <item x="199"/>
        <item x="201"/>
        <item x="203"/>
        <item x="204"/>
        <item x="225"/>
        <item x="205"/>
        <item x="206"/>
        <item x="207"/>
        <item x="208"/>
        <item x="209"/>
        <item x="210"/>
        <item x="211"/>
        <item x="218"/>
        <item x="220"/>
        <item x="217"/>
        <item x="221"/>
        <item x="223"/>
        <item x="222"/>
        <item m="1" x="257"/>
        <item x="256"/>
        <item m="1" x="259"/>
        <item x="215"/>
        <item m="1" x="264"/>
        <item x="219"/>
        <item x="224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m="1" x="260"/>
        <item x="253"/>
        <item x="254"/>
        <item x="255"/>
        <item x="179"/>
        <item x="180"/>
        <item x="181"/>
        <item x="182"/>
        <item x="183"/>
        <item x="212"/>
        <item x="213"/>
        <item x="214"/>
        <item x="216"/>
        <item x="252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4">
    <field x="12"/>
    <field x="8"/>
    <field x="11"/>
    <field x="10"/>
  </rowFields>
  <rowItems count="171">
    <i>
      <x/>
      <x v="248"/>
      <x v="176"/>
      <x v="85"/>
    </i>
    <i t="default">
      <x/>
    </i>
    <i>
      <x v="2"/>
      <x v="288"/>
      <x v="188"/>
      <x v="89"/>
    </i>
    <i t="default">
      <x v="2"/>
    </i>
    <i>
      <x v="9"/>
      <x v="193"/>
      <x v="65"/>
      <x v="77"/>
    </i>
    <i r="1">
      <x v="217"/>
      <x v="177"/>
      <x v="84"/>
    </i>
    <i r="1">
      <x v="305"/>
      <x v="201"/>
      <x v="94"/>
    </i>
    <i r="1">
      <x v="354"/>
      <x v="87"/>
      <x v="100"/>
    </i>
    <i r="1">
      <x v="358"/>
      <x v="238"/>
      <x v="101"/>
    </i>
    <i t="default">
      <x v="9"/>
    </i>
    <i>
      <x v="10"/>
      <x v="159"/>
      <x v="65"/>
      <x v="46"/>
    </i>
    <i r="1">
      <x v="201"/>
      <x v="141"/>
      <x v="77"/>
    </i>
    <i r="1">
      <x v="202"/>
      <x v="143"/>
      <x v="77"/>
    </i>
    <i r="1">
      <x v="204"/>
      <x v="149"/>
      <x v="77"/>
    </i>
    <i r="1">
      <x v="205"/>
      <x v="150"/>
      <x v="77"/>
    </i>
    <i r="1">
      <x v="206"/>
      <x v="151"/>
      <x v="78"/>
    </i>
    <i r="1">
      <x v="207"/>
      <x v="152"/>
      <x v="78"/>
    </i>
    <i r="1">
      <x v="208"/>
      <x v="153"/>
      <x v="78"/>
    </i>
    <i r="1">
      <x v="209"/>
      <x v="154"/>
      <x v="78"/>
    </i>
    <i r="1">
      <x v="210"/>
      <x v="146"/>
      <x v="78"/>
    </i>
    <i r="1">
      <x v="211"/>
      <x v="65"/>
      <x v="46"/>
    </i>
    <i r="1">
      <x v="215"/>
      <x v="65"/>
      <x v="46"/>
    </i>
    <i r="1">
      <x v="216"/>
      <x v="65"/>
      <x v="46"/>
    </i>
    <i r="1">
      <x v="232"/>
      <x v="166"/>
      <x v="83"/>
    </i>
    <i r="1">
      <x v="233"/>
      <x v="167"/>
      <x v="83"/>
    </i>
    <i r="1">
      <x v="234"/>
      <x v="168"/>
      <x v="83"/>
    </i>
    <i r="1">
      <x v="235"/>
      <x v="147"/>
      <x v="83"/>
    </i>
    <i r="1">
      <x v="236"/>
      <x v="169"/>
      <x v="83"/>
    </i>
    <i r="1">
      <x v="237"/>
      <x v="170"/>
      <x v="83"/>
    </i>
    <i r="1">
      <x v="238"/>
      <x v="171"/>
      <x v="83"/>
    </i>
    <i r="1">
      <x v="239"/>
      <x v="172"/>
      <x v="83"/>
    </i>
    <i r="1">
      <x v="240"/>
      <x v="148"/>
      <x v="83"/>
    </i>
    <i r="1">
      <x v="242"/>
      <x v="146"/>
      <x v="83"/>
    </i>
    <i r="1">
      <x v="244"/>
      <x v="174"/>
      <x v="83"/>
    </i>
    <i r="1">
      <x v="249"/>
      <x v="65"/>
      <x v="46"/>
    </i>
    <i r="1">
      <x v="250"/>
      <x v="106"/>
      <x v="86"/>
    </i>
    <i r="1">
      <x v="251"/>
      <x v="106"/>
      <x v="86"/>
    </i>
    <i r="1">
      <x v="252"/>
      <x v="168"/>
      <x v="87"/>
    </i>
    <i r="1">
      <x v="253"/>
      <x v="116"/>
      <x v="52"/>
    </i>
    <i r="1">
      <x v="254"/>
      <x v="172"/>
      <x v="88"/>
    </i>
    <i r="1">
      <x v="255"/>
      <x v="133"/>
      <x v="88"/>
    </i>
    <i r="1">
      <x v="256"/>
      <x v="178"/>
      <x v="88"/>
    </i>
    <i r="1">
      <x v="258"/>
      <x v="143"/>
      <x v="88"/>
    </i>
    <i r="1">
      <x v="259"/>
      <x v="179"/>
      <x v="88"/>
    </i>
    <i r="1">
      <x v="260"/>
      <x v="180"/>
      <x v="88"/>
    </i>
    <i r="1">
      <x v="261"/>
      <x v="154"/>
      <x v="88"/>
    </i>
    <i r="1">
      <x v="262"/>
      <x v="148"/>
      <x v="88"/>
    </i>
    <i r="1">
      <x v="269"/>
      <x v="65"/>
      <x v="46"/>
    </i>
    <i r="1">
      <x v="270"/>
      <x v="185"/>
      <x v="89"/>
    </i>
    <i r="1">
      <x v="271"/>
      <x v="186"/>
      <x v="89"/>
    </i>
    <i r="1">
      <x v="272"/>
      <x v="187"/>
      <x v="89"/>
    </i>
    <i r="1">
      <x v="278"/>
      <x v="190"/>
      <x v="90"/>
    </i>
    <i r="1">
      <x v="280"/>
      <x v="192"/>
      <x v="89"/>
    </i>
    <i r="1">
      <x v="283"/>
      <x v="106"/>
      <x v="86"/>
    </i>
    <i r="1">
      <x v="284"/>
      <x v="65"/>
      <x v="46"/>
    </i>
    <i r="1">
      <x v="285"/>
      <x v="106"/>
      <x v="86"/>
    </i>
    <i r="1">
      <x v="286"/>
      <x v="191"/>
      <x v="89"/>
    </i>
    <i r="1">
      <x v="287"/>
      <x v="189"/>
      <x v="89"/>
    </i>
    <i r="1">
      <x v="289"/>
      <x v="190"/>
      <x v="90"/>
    </i>
    <i r="1">
      <x v="293"/>
      <x v="146"/>
      <x v="92"/>
    </i>
    <i r="1">
      <x v="294"/>
      <x v="187"/>
      <x v="92"/>
    </i>
    <i r="1">
      <x v="295"/>
      <x v="197"/>
      <x v="92"/>
    </i>
    <i r="1">
      <x v="296"/>
      <x v="198"/>
      <x v="92"/>
    </i>
    <i r="1">
      <x v="297"/>
      <x v="196"/>
      <x v="92"/>
    </i>
    <i r="1">
      <x v="298"/>
      <x v="199"/>
      <x v="92"/>
    </i>
    <i r="1">
      <x v="299"/>
      <x v="200"/>
      <x v="92"/>
    </i>
    <i r="1">
      <x v="300"/>
      <x v="119"/>
      <x v="57"/>
    </i>
    <i r="1">
      <x v="302"/>
      <x v="119"/>
      <x v="57"/>
    </i>
    <i r="1">
      <x v="303"/>
      <x v="201"/>
      <x v="93"/>
    </i>
    <i r="1">
      <x v="304"/>
      <x v="201"/>
      <x v="93"/>
    </i>
    <i r="1">
      <x v="306"/>
      <x v="202"/>
      <x v="94"/>
    </i>
    <i r="1">
      <x v="307"/>
      <x v="139"/>
      <x v="94"/>
    </i>
    <i r="1">
      <x v="308"/>
      <x v="203"/>
      <x v="94"/>
    </i>
    <i r="1">
      <x v="318"/>
      <x v="208"/>
      <x v="95"/>
    </i>
    <i r="1">
      <x v="319"/>
      <x v="209"/>
      <x v="95"/>
    </i>
    <i r="1">
      <x v="320"/>
      <x v="210"/>
      <x v="95"/>
    </i>
    <i r="1">
      <x v="321"/>
      <x v="210"/>
      <x v="95"/>
    </i>
    <i r="1">
      <x v="322"/>
      <x v="211"/>
      <x v="95"/>
    </i>
    <i r="1">
      <x v="323"/>
      <x v="212"/>
      <x v="95"/>
    </i>
    <i r="1">
      <x v="332"/>
      <x v="221"/>
      <x v="96"/>
    </i>
    <i r="1">
      <x v="333"/>
      <x v="222"/>
      <x v="96"/>
    </i>
    <i r="1">
      <x v="334"/>
      <x v="223"/>
      <x v="96"/>
    </i>
    <i r="1">
      <x v="335"/>
      <x v="224"/>
      <x v="96"/>
    </i>
    <i r="1">
      <x v="336"/>
      <x v="225"/>
      <x v="96"/>
    </i>
    <i r="1">
      <x v="337"/>
      <x v="226"/>
      <x v="96"/>
    </i>
    <i r="1">
      <x v="338"/>
      <x v="227"/>
      <x v="96"/>
    </i>
    <i r="1">
      <x v="339"/>
      <x v="228"/>
      <x v="96"/>
    </i>
    <i r="1">
      <x v="340"/>
      <x v="229"/>
      <x v="96"/>
    </i>
    <i r="1">
      <x v="341"/>
      <x v="230"/>
      <x v="96"/>
    </i>
    <i r="1">
      <x v="342"/>
      <x v="231"/>
      <x v="97"/>
    </i>
    <i r="1">
      <x v="344"/>
      <x v="233"/>
      <x v="99"/>
    </i>
    <i r="1">
      <x v="345"/>
      <x v="133"/>
      <x v="99"/>
    </i>
    <i r="1">
      <x v="346"/>
      <x v="187"/>
      <x v="99"/>
    </i>
    <i r="1">
      <x v="347"/>
      <x v="234"/>
      <x v="99"/>
    </i>
    <i r="1">
      <x v="348"/>
      <x v="235"/>
      <x v="99"/>
    </i>
    <i r="1">
      <x v="355"/>
      <x v="102"/>
      <x v="101"/>
    </i>
    <i t="default">
      <x v="10"/>
    </i>
    <i>
      <x v="13"/>
      <x v="157"/>
      <x v="65"/>
      <x v="46"/>
    </i>
    <i r="1">
      <x v="191"/>
      <x v="140"/>
      <x v="76"/>
    </i>
    <i r="1">
      <x v="192"/>
      <x v="141"/>
      <x v="77"/>
    </i>
    <i r="1">
      <x v="194"/>
      <x v="142"/>
      <x v="77"/>
    </i>
    <i r="1">
      <x v="195"/>
      <x v="143"/>
      <x v="77"/>
    </i>
    <i r="1">
      <x v="196"/>
      <x v="144"/>
      <x v="77"/>
    </i>
    <i r="1">
      <x v="197"/>
      <x v="145"/>
      <x v="77"/>
    </i>
    <i r="1">
      <x v="198"/>
      <x v="146"/>
      <x v="77"/>
    </i>
    <i r="1">
      <x v="199"/>
      <x v="147"/>
      <x v="78"/>
    </i>
    <i r="1">
      <x v="200"/>
      <x v="148"/>
      <x v="78"/>
    </i>
    <i r="1">
      <x v="208"/>
      <x v="153"/>
      <x v="78"/>
    </i>
    <i r="1">
      <x v="209"/>
      <x v="154"/>
      <x v="78"/>
    </i>
    <i r="1">
      <x v="210"/>
      <x v="146"/>
      <x v="78"/>
    </i>
    <i r="1">
      <x v="212"/>
      <x v="65"/>
      <x v="46"/>
    </i>
    <i r="1">
      <x v="213"/>
      <x v="65"/>
      <x v="46"/>
    </i>
    <i r="1">
      <x v="214"/>
      <x v="65"/>
      <x v="46"/>
    </i>
    <i r="1">
      <x v="229"/>
      <x v="164"/>
      <x v="78"/>
    </i>
    <i r="1">
      <x v="230"/>
      <x v="165"/>
      <x v="78"/>
    </i>
    <i r="1">
      <x v="231"/>
      <x v="157"/>
      <x v="82"/>
    </i>
    <i r="1">
      <x v="241"/>
      <x v="148"/>
      <x v="83"/>
    </i>
    <i r="1">
      <x v="243"/>
      <x v="173"/>
      <x v="83"/>
    </i>
    <i r="1">
      <x v="245"/>
      <x v="175"/>
      <x v="83"/>
    </i>
    <i r="1">
      <x v="246"/>
      <x v="107"/>
      <x v="83"/>
    </i>
    <i r="1">
      <x v="247"/>
      <x v="87"/>
      <x v="83"/>
    </i>
    <i r="1">
      <x v="257"/>
      <x v="65"/>
      <x v="46"/>
    </i>
    <i r="1">
      <x v="263"/>
      <x v="181"/>
      <x v="88"/>
    </i>
    <i r="1">
      <x v="264"/>
      <x v="182"/>
      <x v="88"/>
    </i>
    <i r="1">
      <x v="265"/>
      <x v="183"/>
      <x v="88"/>
    </i>
    <i r="1">
      <x v="266"/>
      <x v="184"/>
      <x v="88"/>
    </i>
    <i r="1">
      <x v="267"/>
      <x v="156"/>
      <x v="88"/>
    </i>
    <i r="1">
      <x v="268"/>
      <x v="126"/>
      <x v="88"/>
    </i>
    <i r="1">
      <x v="273"/>
      <x v="65"/>
      <x v="46"/>
    </i>
    <i r="1">
      <x v="274"/>
      <x v="188"/>
      <x v="89"/>
    </i>
    <i r="1">
      <x v="275"/>
      <x v="132"/>
      <x v="89"/>
    </i>
    <i r="1">
      <x v="276"/>
      <x v="189"/>
      <x v="89"/>
    </i>
    <i r="1">
      <x v="277"/>
      <x v="187"/>
      <x v="89"/>
    </i>
    <i r="1">
      <x v="279"/>
      <x v="191"/>
      <x v="89"/>
    </i>
    <i r="1">
      <x v="281"/>
      <x v="186"/>
      <x v="89"/>
    </i>
    <i r="1">
      <x v="282"/>
      <x v="193"/>
      <x v="89"/>
    </i>
    <i r="1">
      <x v="290"/>
      <x v="132"/>
      <x v="91"/>
    </i>
    <i r="1">
      <x v="291"/>
      <x v="195"/>
      <x v="91"/>
    </i>
    <i r="1">
      <x v="292"/>
      <x v="196"/>
      <x v="91"/>
    </i>
    <i r="1">
      <x v="301"/>
      <x v="65"/>
      <x v="52"/>
    </i>
    <i r="1">
      <x v="303"/>
      <x v="201"/>
      <x v="93"/>
    </i>
    <i r="1">
      <x v="304"/>
      <x v="201"/>
      <x v="93"/>
    </i>
    <i r="1">
      <x v="309"/>
      <x v="204"/>
      <x v="94"/>
    </i>
    <i r="1">
      <x v="310"/>
      <x v="205"/>
      <x v="94"/>
    </i>
    <i r="1">
      <x v="311"/>
      <x v="65"/>
      <x v="46"/>
    </i>
    <i r="1">
      <x v="312"/>
      <x v="191"/>
      <x v="95"/>
    </i>
    <i r="1">
      <x v="313"/>
      <x v="206"/>
      <x v="95"/>
    </i>
    <i r="1">
      <x v="314"/>
      <x v="202"/>
      <x v="95"/>
    </i>
    <i r="1">
      <x v="315"/>
      <x v="195"/>
      <x v="95"/>
    </i>
    <i r="1">
      <x v="316"/>
      <x v="190"/>
      <x v="95"/>
    </i>
    <i r="1">
      <x v="317"/>
      <x v="207"/>
      <x v="95"/>
    </i>
    <i r="1">
      <x v="324"/>
      <x v="213"/>
      <x v="96"/>
    </i>
    <i r="1">
      <x v="325"/>
      <x v="214"/>
      <x v="96"/>
    </i>
    <i r="1">
      <x v="326"/>
      <x v="215"/>
      <x v="96"/>
    </i>
    <i r="1">
      <x v="327"/>
      <x v="216"/>
      <x v="96"/>
    </i>
    <i r="1">
      <x v="328"/>
      <x v="217"/>
      <x v="96"/>
    </i>
    <i r="1">
      <x v="329"/>
      <x v="218"/>
      <x v="96"/>
    </i>
    <i r="1">
      <x v="330"/>
      <x v="219"/>
      <x v="96"/>
    </i>
    <i r="1">
      <x v="331"/>
      <x v="220"/>
      <x v="96"/>
    </i>
    <i r="1">
      <x v="343"/>
      <x v="232"/>
      <x v="98"/>
    </i>
    <i r="1">
      <x v="349"/>
      <x v="236"/>
      <x v="99"/>
    </i>
    <i r="1">
      <x v="350"/>
      <x v="234"/>
      <x v="99"/>
    </i>
    <i r="1">
      <x v="351"/>
      <x v="233"/>
      <x v="99"/>
    </i>
    <i r="1">
      <x v="352"/>
      <x v="187"/>
      <x v="99"/>
    </i>
    <i r="1">
      <x v="353"/>
      <x v="146"/>
      <x v="99"/>
    </i>
    <i r="1">
      <x v="356"/>
      <x v="197"/>
      <x v="101"/>
    </i>
    <i r="1">
      <x v="357"/>
      <x v="237"/>
      <x v="101"/>
    </i>
    <i t="default">
      <x v="13"/>
    </i>
    <i>
      <x v="18"/>
      <x v="203"/>
      <x v="122"/>
      <x v="71"/>
    </i>
    <i t="default">
      <x v="18"/>
    </i>
    <i t="grand">
      <x/>
    </i>
  </rowItems>
  <colFields count="1">
    <field x="-2"/>
  </colFields>
  <colItems count="2">
    <i>
      <x/>
    </i>
    <i i="1">
      <x v="1"/>
    </i>
  </colItems>
  <pageFields count="5">
    <pageField fld="15" hier="-1"/>
    <pageField fld="3" hier="-1"/>
    <pageField fld="0" hier="-1"/>
    <pageField fld="1" hier="-1"/>
    <pageField fld="19" hier="-1"/>
  </pageFields>
  <dataFields count="2">
    <dataField name="求和项:Qty " fld="13" baseField="8" baseItem="0"/>
    <dataField name="求和项: Total price (JPY) " fld="14" baseField="8" baseItem="0" numFmtId="4"/>
  </dataFields>
  <formats count="92">
    <format dxfId="251">
      <pivotArea outline="0" fieldPosition="0">
        <references count="1">
          <reference field="4294967294" count="1" selected="0">
            <x v="1"/>
          </reference>
        </references>
      </pivotArea>
    </format>
    <format dxfId="250">
      <pivotArea type="topRight" dataOnly="0" labelOnly="1" outline="0" fieldPosition="0"/>
    </format>
    <format dxfId="24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48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3"/>
            <x v="54"/>
            <x v="55"/>
            <x v="56"/>
            <x v="57"/>
            <x v="58"/>
          </reference>
        </references>
      </pivotArea>
    </format>
    <format dxfId="247">
      <pivotArea dataOnly="0" labelOnly="1" outline="0" fieldPosition="0">
        <references count="1">
          <reference field="8" count="49"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6"/>
            <x v="77"/>
            <x v="78"/>
            <x v="79"/>
            <x v="80"/>
            <x v="81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5"/>
            <x v="96"/>
            <x v="97"/>
            <x v="101"/>
            <x v="102"/>
            <x v="103"/>
            <x v="106"/>
            <x v="110"/>
            <x v="111"/>
            <x v="112"/>
            <x v="113"/>
            <x v="114"/>
            <x v="133"/>
            <x v="157"/>
            <x v="169"/>
            <x v="175"/>
          </reference>
        </references>
      </pivotArea>
    </format>
    <format dxfId="246">
      <pivotArea dataOnly="0" labelOnly="1" outline="0" fieldPosition="0">
        <references count="1">
          <reference field="8" count="22">
            <x v="75"/>
            <x v="93"/>
            <x v="98"/>
            <x v="99"/>
            <x v="100"/>
            <x v="104"/>
            <x v="108"/>
            <x v="115"/>
            <x v="126"/>
            <x v="132"/>
            <x v="138"/>
            <x v="158"/>
            <x v="160"/>
            <x v="161"/>
            <x v="162"/>
            <x v="163"/>
            <x v="164"/>
            <x v="166"/>
            <x v="167"/>
            <x v="168"/>
            <x v="170"/>
            <x v="172"/>
          </reference>
        </references>
      </pivotArea>
    </format>
    <format dxfId="245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244">
      <pivotArea dataOnly="0" labelOnly="1" outline="0" fieldPosition="0">
        <references count="1">
          <reference field="8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  <x v="106"/>
          </reference>
        </references>
      </pivotArea>
    </format>
    <format dxfId="243">
      <pivotArea field="8" type="button" dataOnly="0" labelOnly="1" outline="0" axis="axisRow" fieldPosition="1"/>
    </format>
    <format dxfId="242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241">
      <pivotArea dataOnly="0" labelOnly="1" outline="0" fieldPosition="0">
        <references count="1">
          <reference field="8" count="50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</reference>
        </references>
      </pivotArea>
    </format>
    <format dxfId="240">
      <pivotArea dataOnly="0" labelOnly="1" outline="0" fieldPosition="0">
        <references count="1">
          <reference field="8" count="50">
            <x v="100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8"/>
            <x v="139"/>
            <x v="140"/>
            <x v="141"/>
            <x v="157"/>
            <x v="158"/>
            <x v="160"/>
            <x v="161"/>
            <x v="162"/>
            <x v="163"/>
            <x v="164"/>
            <x v="166"/>
            <x v="167"/>
            <x v="168"/>
            <x v="169"/>
            <x v="170"/>
            <x v="172"/>
            <x v="175"/>
          </reference>
        </references>
      </pivotArea>
    </format>
    <format dxfId="239">
      <pivotArea dataOnly="0" labelOnly="1" outline="0" fieldPosition="0">
        <references count="1">
          <reference field="8" count="22">
            <x v="137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9"/>
            <x v="165"/>
            <x v="171"/>
            <x v="173"/>
            <x v="177"/>
            <x v="178"/>
          </reference>
        </references>
      </pivotArea>
    </format>
    <format dxfId="238">
      <pivotArea outline="0" fieldPosition="0">
        <references count="1">
          <reference field="10" count="1" selected="0" defaultSubtotal="1">
            <x v="46"/>
          </reference>
        </references>
      </pivotArea>
    </format>
    <format dxfId="237">
      <pivotArea dataOnly="0" labelOnly="1" outline="0" fieldPosition="0">
        <references count="1">
          <reference field="10" count="1" defaultSubtotal="1">
            <x v="46"/>
          </reference>
        </references>
      </pivotArea>
    </format>
    <format dxfId="236">
      <pivotArea outline="0" fieldPosition="0">
        <references count="1">
          <reference field="10" count="1" selected="0" defaultSubtotal="1">
            <x v="52"/>
          </reference>
        </references>
      </pivotArea>
    </format>
    <format dxfId="235">
      <pivotArea dataOnly="0" labelOnly="1" outline="0" fieldPosition="0">
        <references count="1">
          <reference field="10" count="1" defaultSubtotal="1">
            <x v="52"/>
          </reference>
        </references>
      </pivotArea>
    </format>
    <format dxfId="234">
      <pivotArea outline="0" fieldPosition="0">
        <references count="1">
          <reference field="10" count="1" selected="0" defaultSubtotal="1">
            <x v="56"/>
          </reference>
        </references>
      </pivotArea>
    </format>
    <format dxfId="233">
      <pivotArea dataOnly="0" labelOnly="1" outline="0" fieldPosition="0">
        <references count="1">
          <reference field="10" count="1" defaultSubtotal="1">
            <x v="56"/>
          </reference>
        </references>
      </pivotArea>
    </format>
    <format dxfId="232">
      <pivotArea outline="0" fieldPosition="0">
        <references count="1">
          <reference field="10" count="1" selected="0" defaultSubtotal="1">
            <x v="57"/>
          </reference>
        </references>
      </pivotArea>
    </format>
    <format dxfId="231">
      <pivotArea dataOnly="0" labelOnly="1" outline="0" fieldPosition="0">
        <references count="1">
          <reference field="10" count="1" defaultSubtotal="1">
            <x v="57"/>
          </reference>
        </references>
      </pivotArea>
    </format>
    <format dxfId="230">
      <pivotArea outline="0" fieldPosition="0">
        <references count="1">
          <reference field="10" count="1" selected="0" defaultSubtotal="1">
            <x v="64"/>
          </reference>
        </references>
      </pivotArea>
    </format>
    <format dxfId="229">
      <pivotArea dataOnly="0" labelOnly="1" outline="0" fieldPosition="0">
        <references count="1">
          <reference field="10" count="1" defaultSubtotal="1">
            <x v="64"/>
          </reference>
        </references>
      </pivotArea>
    </format>
    <format dxfId="228">
      <pivotArea outline="0" fieldPosition="0">
        <references count="1">
          <reference field="10" count="1" selected="0" defaultSubtotal="1">
            <x v="60"/>
          </reference>
        </references>
      </pivotArea>
    </format>
    <format dxfId="227">
      <pivotArea dataOnly="0" labelOnly="1" outline="0" fieldPosition="0">
        <references count="1">
          <reference field="10" count="1" defaultSubtotal="1">
            <x v="60"/>
          </reference>
        </references>
      </pivotArea>
    </format>
    <format dxfId="226">
      <pivotArea outline="0" fieldPosition="0">
        <references count="1">
          <reference field="10" count="1" selected="0" defaultSubtotal="1">
            <x v="61"/>
          </reference>
        </references>
      </pivotArea>
    </format>
    <format dxfId="225">
      <pivotArea dataOnly="0" labelOnly="1" outline="0" fieldPosition="0">
        <references count="1">
          <reference field="10" count="1" defaultSubtotal="1">
            <x v="61"/>
          </reference>
        </references>
      </pivotArea>
    </format>
    <format dxfId="224">
      <pivotArea outline="0" fieldPosition="0">
        <references count="1">
          <reference field="10" count="1" selected="0" defaultSubtotal="1">
            <x v="62"/>
          </reference>
        </references>
      </pivotArea>
    </format>
    <format dxfId="223">
      <pivotArea dataOnly="0" labelOnly="1" outline="0" fieldPosition="0">
        <references count="1">
          <reference field="10" count="1" defaultSubtotal="1">
            <x v="62"/>
          </reference>
        </references>
      </pivotArea>
    </format>
    <format dxfId="222">
      <pivotArea outline="0" fieldPosition="0">
        <references count="1">
          <reference field="10" count="1" selected="0" defaultSubtotal="1">
            <x v="63"/>
          </reference>
        </references>
      </pivotArea>
    </format>
    <format dxfId="221">
      <pivotArea dataOnly="0" labelOnly="1" outline="0" fieldPosition="0">
        <references count="1">
          <reference field="10" count="1" defaultSubtotal="1">
            <x v="63"/>
          </reference>
        </references>
      </pivotArea>
    </format>
    <format dxfId="220">
      <pivotArea outline="0" fieldPosition="0">
        <references count="1">
          <reference field="10" count="1" selected="0" defaultSubtotal="1">
            <x v="70"/>
          </reference>
        </references>
      </pivotArea>
    </format>
    <format dxfId="219">
      <pivotArea dataOnly="0" labelOnly="1" outline="0" fieldPosition="0">
        <references count="1">
          <reference field="10" count="1" defaultSubtotal="1">
            <x v="70"/>
          </reference>
        </references>
      </pivotArea>
    </format>
    <format dxfId="218">
      <pivotArea outline="0" fieldPosition="0">
        <references count="1">
          <reference field="10" count="1" selected="0" defaultSubtotal="1">
            <x v="74"/>
          </reference>
        </references>
      </pivotArea>
    </format>
    <format dxfId="217">
      <pivotArea dataOnly="0" labelOnly="1" outline="0" fieldPosition="0">
        <references count="1">
          <reference field="10" count="1" defaultSubtotal="1">
            <x v="74"/>
          </reference>
        </references>
      </pivotArea>
    </format>
    <format dxfId="216">
      <pivotArea outline="0" fieldPosition="0">
        <references count="1">
          <reference field="10" count="1" selected="0" defaultSubtotal="1">
            <x v="77"/>
          </reference>
        </references>
      </pivotArea>
    </format>
    <format dxfId="215">
      <pivotArea dataOnly="0" labelOnly="1" outline="0" fieldPosition="0">
        <references count="1">
          <reference field="10" count="1" defaultSubtotal="1">
            <x v="77"/>
          </reference>
        </references>
      </pivotArea>
    </format>
    <format dxfId="214">
      <pivotArea outline="0" fieldPosition="0">
        <references count="1">
          <reference field="10" count="1" selected="0" defaultSubtotal="1">
            <x v="78"/>
          </reference>
        </references>
      </pivotArea>
    </format>
    <format dxfId="213">
      <pivotArea dataOnly="0" labelOnly="1" outline="0" fieldPosition="0">
        <references count="1">
          <reference field="10" count="1" defaultSubtotal="1">
            <x v="78"/>
          </reference>
        </references>
      </pivotArea>
    </format>
    <format dxfId="212">
      <pivotArea outline="0" fieldPosition="0">
        <references count="1">
          <reference field="10" count="1" selected="0" defaultSubtotal="1">
            <x v="84"/>
          </reference>
        </references>
      </pivotArea>
    </format>
    <format dxfId="211">
      <pivotArea dataOnly="0" labelOnly="1" outline="0" fieldPosition="0">
        <references count="1">
          <reference field="10" count="1" defaultSubtotal="1">
            <x v="84"/>
          </reference>
        </references>
      </pivotArea>
    </format>
    <format dxfId="210">
      <pivotArea outline="0" fieldPosition="0">
        <references count="1">
          <reference field="10" count="1" selected="0" defaultSubtotal="1">
            <x v="82"/>
          </reference>
        </references>
      </pivotArea>
    </format>
    <format dxfId="209">
      <pivotArea dataOnly="0" labelOnly="1" outline="0" fieldPosition="0">
        <references count="1">
          <reference field="10" count="1" defaultSubtotal="1">
            <x v="82"/>
          </reference>
        </references>
      </pivotArea>
    </format>
    <format dxfId="208">
      <pivotArea outline="0" fieldPosition="0">
        <references count="1">
          <reference field="10" count="1" selected="0" defaultSubtotal="1">
            <x v="83"/>
          </reference>
        </references>
      </pivotArea>
    </format>
    <format dxfId="207">
      <pivotArea dataOnly="0" labelOnly="1" outline="0" fieldPosition="0">
        <references count="1">
          <reference field="10" count="1" defaultSubtotal="1">
            <x v="83"/>
          </reference>
        </references>
      </pivotArea>
    </format>
    <format dxfId="206">
      <pivotArea outline="0" fieldPosition="0">
        <references count="1">
          <reference field="10" count="1" selected="0" defaultSubtotal="1">
            <x v="85"/>
          </reference>
        </references>
      </pivotArea>
    </format>
    <format dxfId="205">
      <pivotArea dataOnly="0" labelOnly="1" outline="0" fieldPosition="0">
        <references count="1">
          <reference field="10" count="1" defaultSubtotal="1">
            <x v="85"/>
          </reference>
        </references>
      </pivotArea>
    </format>
    <format dxfId="204">
      <pivotArea dataOnly="0" labelOnly="1" outline="0" fieldPosition="0">
        <references count="1">
          <reference field="10" count="1">
            <x v="77"/>
          </reference>
        </references>
      </pivotArea>
    </format>
    <format dxfId="203">
      <pivotArea dataOnly="0" labelOnly="1" outline="0" fieldPosition="0">
        <references count="1">
          <reference field="10" count="1" defaultSubtotal="1">
            <x v="77"/>
          </reference>
        </references>
      </pivotArea>
    </format>
    <format dxfId="202">
      <pivotArea outline="0" fieldPosition="0">
        <references count="1">
          <reference field="10" count="1" selected="0" defaultSubtotal="1">
            <x v="86"/>
          </reference>
        </references>
      </pivotArea>
    </format>
    <format dxfId="201">
      <pivotArea dataOnly="0" labelOnly="1" outline="0" fieldPosition="0">
        <references count="1">
          <reference field="10" count="1" defaultSubtotal="1">
            <x v="86"/>
          </reference>
        </references>
      </pivotArea>
    </format>
    <format dxfId="200">
      <pivotArea type="origin" dataOnly="0" labelOnly="1" outline="0" fieldPosition="0"/>
    </format>
    <format dxfId="199">
      <pivotArea field="10" type="button" dataOnly="0" labelOnly="1" outline="0" axis="axisRow" fieldPosition="3"/>
    </format>
    <format dxfId="198">
      <pivotArea dataOnly="0" labelOnly="1" outline="0" fieldPosition="0">
        <references count="1">
          <reference field="10" count="1">
            <x v="46"/>
          </reference>
        </references>
      </pivotArea>
    </format>
    <format dxfId="197">
      <pivotArea dataOnly="0" labelOnly="1" outline="0" fieldPosition="0">
        <references count="1">
          <reference field="10" count="1" defaultSubtotal="1">
            <x v="46"/>
          </reference>
        </references>
      </pivotArea>
    </format>
    <format dxfId="196">
      <pivotArea dataOnly="0" labelOnly="1" outline="0" fieldPosition="0">
        <references count="1">
          <reference field="10" count="1">
            <x v="52"/>
          </reference>
        </references>
      </pivotArea>
    </format>
    <format dxfId="195">
      <pivotArea dataOnly="0" labelOnly="1" outline="0" fieldPosition="0">
        <references count="1">
          <reference field="10" count="1" defaultSubtotal="1">
            <x v="52"/>
          </reference>
        </references>
      </pivotArea>
    </format>
    <format dxfId="194">
      <pivotArea dataOnly="0" labelOnly="1" outline="0" fieldPosition="0">
        <references count="1">
          <reference field="10" count="1">
            <x v="56"/>
          </reference>
        </references>
      </pivotArea>
    </format>
    <format dxfId="193">
      <pivotArea dataOnly="0" labelOnly="1" outline="0" fieldPosition="0">
        <references count="1">
          <reference field="10" count="1" defaultSubtotal="1">
            <x v="56"/>
          </reference>
        </references>
      </pivotArea>
    </format>
    <format dxfId="192">
      <pivotArea dataOnly="0" labelOnly="1" outline="0" fieldPosition="0">
        <references count="1">
          <reference field="10" count="1">
            <x v="57"/>
          </reference>
        </references>
      </pivotArea>
    </format>
    <format dxfId="191">
      <pivotArea dataOnly="0" labelOnly="1" outline="0" fieldPosition="0">
        <references count="1">
          <reference field="10" count="1" defaultSubtotal="1">
            <x v="57"/>
          </reference>
        </references>
      </pivotArea>
    </format>
    <format dxfId="190">
      <pivotArea dataOnly="0" labelOnly="1" outline="0" fieldPosition="0">
        <references count="1">
          <reference field="10" count="1">
            <x v="60"/>
          </reference>
        </references>
      </pivotArea>
    </format>
    <format dxfId="189">
      <pivotArea dataOnly="0" labelOnly="1" outline="0" fieldPosition="0">
        <references count="1">
          <reference field="10" count="1" defaultSubtotal="1">
            <x v="60"/>
          </reference>
        </references>
      </pivotArea>
    </format>
    <format dxfId="188">
      <pivotArea dataOnly="0" labelOnly="1" outline="0" fieldPosition="0">
        <references count="1">
          <reference field="10" count="1">
            <x v="74"/>
          </reference>
        </references>
      </pivotArea>
    </format>
    <format dxfId="187">
      <pivotArea dataOnly="0" labelOnly="1" outline="0" fieldPosition="0">
        <references count="1">
          <reference field="10" count="1" defaultSubtotal="1">
            <x v="74"/>
          </reference>
        </references>
      </pivotArea>
    </format>
    <format dxfId="186">
      <pivotArea dataOnly="0" labelOnly="1" outline="0" fieldPosition="0">
        <references count="1">
          <reference field="10" count="1">
            <x v="78"/>
          </reference>
        </references>
      </pivotArea>
    </format>
    <format dxfId="185">
      <pivotArea dataOnly="0" labelOnly="1" outline="0" fieldPosition="0">
        <references count="1">
          <reference field="10" count="1" defaultSubtotal="1">
            <x v="78"/>
          </reference>
        </references>
      </pivotArea>
    </format>
    <format dxfId="184">
      <pivotArea dataOnly="0" labelOnly="1" outline="0" fieldPosition="0">
        <references count="1">
          <reference field="10" count="1">
            <x v="82"/>
          </reference>
        </references>
      </pivotArea>
    </format>
    <format dxfId="183">
      <pivotArea dataOnly="0" labelOnly="1" outline="0" fieldPosition="0">
        <references count="1">
          <reference field="10" count="1" defaultSubtotal="1">
            <x v="82"/>
          </reference>
        </references>
      </pivotArea>
    </format>
    <format dxfId="182">
      <pivotArea dataOnly="0" labelOnly="1" outline="0" fieldPosition="0">
        <references count="1">
          <reference field="10" count="1">
            <x v="83"/>
          </reference>
        </references>
      </pivotArea>
    </format>
    <format dxfId="181">
      <pivotArea dataOnly="0" labelOnly="1" outline="0" fieldPosition="0">
        <references count="1">
          <reference field="10" count="1" defaultSubtotal="1">
            <x v="83"/>
          </reference>
        </references>
      </pivotArea>
    </format>
    <format dxfId="180">
      <pivotArea dataOnly="0" labelOnly="1" outline="0" fieldPosition="0">
        <references count="1">
          <reference field="10" count="1">
            <x v="84"/>
          </reference>
        </references>
      </pivotArea>
    </format>
    <format dxfId="179">
      <pivotArea dataOnly="0" labelOnly="1" outline="0" fieldPosition="0">
        <references count="1">
          <reference field="10" count="1" defaultSubtotal="1">
            <x v="84"/>
          </reference>
        </references>
      </pivotArea>
    </format>
    <format dxfId="178">
      <pivotArea dataOnly="0" labelOnly="1" outline="0" fieldPosition="0">
        <references count="1">
          <reference field="10" count="1">
            <x v="85"/>
          </reference>
        </references>
      </pivotArea>
    </format>
    <format dxfId="177">
      <pivotArea dataOnly="0" labelOnly="1" outline="0" fieldPosition="0">
        <references count="1">
          <reference field="10" count="1" defaultSubtotal="1">
            <x v="85"/>
          </reference>
        </references>
      </pivotArea>
    </format>
    <format dxfId="176">
      <pivotArea type="origin" dataOnly="0" labelOnly="1" outline="0" fieldPosition="0"/>
    </format>
    <format dxfId="175">
      <pivotArea outline="0" fieldPosition="0">
        <references count="1">
          <reference field="12" count="1" selected="0" defaultSubtotal="1">
            <x v="10"/>
          </reference>
        </references>
      </pivotArea>
    </format>
    <format dxfId="174">
      <pivotArea dataOnly="0" labelOnly="1" outline="0" fieldPosition="0">
        <references count="1">
          <reference field="12" count="1" defaultSubtotal="1">
            <x v="10"/>
          </reference>
        </references>
      </pivotArea>
    </format>
    <format dxfId="173">
      <pivotArea outline="0" fieldPosition="0">
        <references count="1">
          <reference field="12" count="1" selected="0" defaultSubtotal="1">
            <x v="13"/>
          </reference>
        </references>
      </pivotArea>
    </format>
    <format dxfId="172">
      <pivotArea dataOnly="0" labelOnly="1" outline="0" fieldPosition="0">
        <references count="1">
          <reference field="12" count="1" defaultSubtotal="1">
            <x v="13"/>
          </reference>
        </references>
      </pivotArea>
    </format>
    <format dxfId="171">
      <pivotArea outline="0" fieldPosition="0">
        <references count="1">
          <reference field="12" count="1" selected="0" defaultSubtotal="1">
            <x v="14"/>
          </reference>
        </references>
      </pivotArea>
    </format>
    <format dxfId="170">
      <pivotArea dataOnly="0" labelOnly="1" outline="0" fieldPosition="0">
        <references count="1">
          <reference field="12" count="1" defaultSubtotal="1">
            <x v="14"/>
          </reference>
        </references>
      </pivotArea>
    </format>
    <format dxfId="169">
      <pivotArea outline="0" fieldPosition="0">
        <references count="1">
          <reference field="12" count="1" selected="0" defaultSubtotal="1">
            <x v="18"/>
          </reference>
        </references>
      </pivotArea>
    </format>
    <format dxfId="168">
      <pivotArea dataOnly="0" labelOnly="1" outline="0" fieldPosition="0">
        <references count="1">
          <reference field="12" count="1" defaultSubtotal="1">
            <x v="18"/>
          </reference>
        </references>
      </pivotArea>
    </format>
    <format dxfId="167">
      <pivotArea dataOnly="0" labelOnly="1" outline="0" fieldPosition="0">
        <references count="1">
          <reference field="0" count="0"/>
        </references>
      </pivotArea>
    </format>
    <format dxfId="166">
      <pivotArea outline="0" fieldPosition="0">
        <references count="1">
          <reference field="12" count="1" selected="0" defaultSubtotal="1">
            <x v="9"/>
          </reference>
        </references>
      </pivotArea>
    </format>
    <format dxfId="165">
      <pivotArea dataOnly="0" labelOnly="1" outline="0" fieldPosition="0">
        <references count="1">
          <reference field="12" count="1" defaultSubtotal="1">
            <x v="9"/>
          </reference>
        </references>
      </pivotArea>
    </format>
    <format dxfId="164">
      <pivotArea outline="0" fieldPosition="0">
        <references count="1">
          <reference field="12" count="1" selected="0" defaultSubtotal="1">
            <x v="2"/>
          </reference>
        </references>
      </pivotArea>
    </format>
    <format dxfId="163">
      <pivotArea dataOnly="0" labelOnly="1" outline="0" fieldPosition="0">
        <references count="1">
          <reference field="12" count="1" defaultSubtotal="1">
            <x v="2"/>
          </reference>
        </references>
      </pivotArea>
    </format>
    <format dxfId="162">
      <pivotArea outline="0" fieldPosition="0">
        <references count="1">
          <reference field="12" count="1" selected="0" defaultSubtotal="1">
            <x v="0"/>
          </reference>
        </references>
      </pivotArea>
    </format>
    <format dxfId="161">
      <pivotArea dataOnly="0" labelOnly="1" outline="0" fieldPosition="0">
        <references count="1">
          <reference field="12" count="1" defaultSubtotal="1">
            <x v="0"/>
          </reference>
        </references>
      </pivotArea>
    </format>
    <format dxfId="160">
      <pivotArea outline="0" fieldPosition="0">
        <references count="5">
          <reference field="4294967294" count="1" selected="0">
            <x v="1"/>
          </reference>
          <reference field="8" count="6" selected="0">
            <x v="187"/>
            <x v="221"/>
            <x v="222"/>
            <x v="224"/>
            <x v="227"/>
            <x v="359"/>
          </reference>
          <reference field="10" count="5" selected="0">
            <x v="74"/>
            <x v="79"/>
            <x v="80"/>
            <x v="81"/>
            <x v="102"/>
          </reference>
          <reference field="11" count="5" selected="0">
            <x v="112"/>
            <x v="117"/>
            <x v="139"/>
            <x v="158"/>
            <x v="159"/>
          </reference>
          <reference field="12" count="1" selected="0">
            <x v="1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E84801-048F-4B1C-B89C-B6CAA2AB8114}" name="数据透视表1" cacheId="1" applyNumberFormats="0" applyBorderFormats="0" applyFontFormats="0" applyPatternFormats="0" applyAlignmentFormats="0" applyWidthHeightFormats="1" dataCaption="值" updatedVersion="6" minRefreshableVersion="3" itemPrintTitles="1" createdVersion="6" indent="0" compact="0" compactData="0" gridDropZones="1" multipleFieldFilters="0">
  <location ref="A3:E80" firstHeaderRow="2" firstDataRow="2" firstDataCol="4"/>
  <pivotFields count="2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sortType="ascending" defaultSubtotal="0">
      <items count="33">
        <item h="1" x="8"/>
        <item h="1" x="16"/>
        <item h="1" x="13"/>
        <item h="1" x="24"/>
        <item h="1" x="1"/>
        <item h="1" x="0"/>
        <item h="1" x="26"/>
        <item h="1" x="10"/>
        <item h="1" x="20"/>
        <item x="31"/>
        <item h="1" x="2"/>
        <item h="1" x="18"/>
        <item x="27"/>
        <item h="1" x="6"/>
        <item h="1" x="3"/>
        <item h="1" x="12"/>
        <item h="1" x="22"/>
        <item h="1" x="7"/>
        <item h="1" x="19"/>
        <item x="32"/>
        <item h="1" x="11"/>
        <item h="1" x="21"/>
        <item h="1" x="9"/>
        <item h="1" x="15"/>
        <item h="1" x="28"/>
        <item h="1" x="4"/>
        <item h="1" x="14"/>
        <item h="1" x="25"/>
        <item h="1" x="5"/>
        <item h="1" x="23"/>
        <item h="1" x="29"/>
        <item h="1" x="17"/>
        <item h="1" x="30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386">
        <item x="286"/>
        <item x="90"/>
        <item x="219"/>
        <item x="268"/>
        <item x="332"/>
        <item x="300"/>
        <item x="299"/>
        <item x="63"/>
        <item x="45"/>
        <item x="14"/>
        <item x="33"/>
        <item x="37"/>
        <item x="65"/>
        <item x="19"/>
        <item x="11"/>
        <item x="5"/>
        <item x="16"/>
        <item x="69"/>
        <item x="66"/>
        <item x="17"/>
        <item x="78"/>
        <item x="15"/>
        <item x="10"/>
        <item x="1"/>
        <item x="38"/>
        <item x="67"/>
        <item x="52"/>
        <item x="6"/>
        <item x="13"/>
        <item x="73"/>
        <item x="22"/>
        <item x="25"/>
        <item x="2"/>
        <item x="46"/>
        <item x="4"/>
        <item x="85"/>
        <item x="28"/>
        <item x="53"/>
        <item x="74"/>
        <item x="70"/>
        <item x="61"/>
        <item x="12"/>
        <item x="68"/>
        <item x="58"/>
        <item x="50"/>
        <item x="54"/>
        <item x="26"/>
        <item x="49"/>
        <item x="51"/>
        <item x="40"/>
        <item x="75"/>
        <item x="133"/>
        <item x="27"/>
        <item x="57"/>
        <item x="60"/>
        <item x="76"/>
        <item x="36"/>
        <item x="64"/>
        <item x="83"/>
        <item x="112"/>
        <item x="29"/>
        <item x="141"/>
        <item x="80"/>
        <item x="48"/>
        <item x="41"/>
        <item x="20"/>
        <item x="175"/>
        <item x="31"/>
        <item x="23"/>
        <item x="86"/>
        <item x="72"/>
        <item x="108"/>
        <item x="82"/>
        <item x="21"/>
        <item x="32"/>
        <item x="24"/>
        <item x="30"/>
        <item x="96"/>
        <item x="81"/>
        <item x="34"/>
        <item x="87"/>
        <item x="84"/>
        <item x="47"/>
        <item x="35"/>
        <item x="109"/>
        <item x="56"/>
        <item x="106"/>
        <item x="88"/>
        <item x="99"/>
        <item x="119"/>
        <item x="95"/>
        <item x="59"/>
        <item x="121"/>
        <item x="55"/>
        <item x="97"/>
        <item x="117"/>
        <item x="62"/>
        <item x="77"/>
        <item x="94"/>
        <item x="43"/>
        <item x="98"/>
        <item x="115"/>
        <item x="107"/>
        <item x="44"/>
        <item x="100"/>
        <item x="93"/>
        <item x="127"/>
        <item x="102"/>
        <item x="373"/>
        <item x="8"/>
        <item x="89"/>
        <item x="118"/>
        <item x="113"/>
        <item x="131"/>
        <item x="101"/>
        <item x="116"/>
        <item x="163"/>
        <item x="114"/>
        <item x="91"/>
        <item x="92"/>
        <item x="122"/>
        <item x="7"/>
        <item x="110"/>
        <item x="134"/>
        <item x="105"/>
        <item x="128"/>
        <item x="126"/>
        <item x="111"/>
        <item x="104"/>
        <item x="129"/>
        <item x="39"/>
        <item x="79"/>
        <item x="71"/>
        <item x="137"/>
        <item x="170"/>
        <item x="145"/>
        <item x="135"/>
        <item x="123"/>
        <item x="124"/>
        <item x="103"/>
        <item x="130"/>
        <item x="241"/>
        <item x="125"/>
        <item x="151"/>
        <item x="120"/>
        <item x="143"/>
        <item x="155"/>
        <item x="150"/>
        <item x="172"/>
        <item x="144"/>
        <item x="146"/>
        <item x="147"/>
        <item x="168"/>
        <item x="138"/>
        <item x="173"/>
        <item x="148"/>
        <item x="139"/>
        <item x="192"/>
        <item x="0"/>
        <item x="140"/>
        <item x="142"/>
        <item x="174"/>
        <item x="188"/>
        <item x="186"/>
        <item x="277"/>
        <item x="159"/>
        <item x="158"/>
        <item x="3"/>
        <item x="149"/>
        <item x="152"/>
        <item x="182"/>
        <item x="154"/>
        <item x="216"/>
        <item x="195"/>
        <item x="164"/>
        <item x="153"/>
        <item x="180"/>
        <item x="203"/>
        <item x="193"/>
        <item x="198"/>
        <item x="161"/>
        <item x="179"/>
        <item x="210"/>
        <item x="157"/>
        <item x="162"/>
        <item x="178"/>
        <item x="169"/>
        <item x="160"/>
        <item x="187"/>
        <item x="213"/>
        <item x="211"/>
        <item x="171"/>
        <item x="191"/>
        <item x="185"/>
        <item x="205"/>
        <item x="223"/>
        <item x="230"/>
        <item x="194"/>
        <item x="202"/>
        <item x="206"/>
        <item x="136"/>
        <item x="156"/>
        <item x="176"/>
        <item x="177"/>
        <item x="197"/>
        <item x="208"/>
        <item x="190"/>
        <item x="204"/>
        <item x="217"/>
        <item x="207"/>
        <item x="184"/>
        <item x="166"/>
        <item x="212"/>
        <item x="189"/>
        <item x="165"/>
        <item x="183"/>
        <item x="201"/>
        <item x="218"/>
        <item x="214"/>
        <item x="167"/>
        <item x="225"/>
        <item x="215"/>
        <item x="248"/>
        <item x="233"/>
        <item x="226"/>
        <item x="234"/>
        <item x="209"/>
        <item x="236"/>
        <item x="246"/>
        <item x="220"/>
        <item x="245"/>
        <item x="242"/>
        <item x="199"/>
        <item x="341"/>
        <item x="200"/>
        <item x="244"/>
        <item x="221"/>
        <item x="224"/>
        <item x="371"/>
        <item x="227"/>
        <item x="266"/>
        <item x="257"/>
        <item x="258"/>
        <item x="222"/>
        <item x="290"/>
        <item x="229"/>
        <item x="259"/>
        <item x="254"/>
        <item x="238"/>
        <item x="237"/>
        <item x="279"/>
        <item x="228"/>
        <item x="251"/>
        <item x="252"/>
        <item x="235"/>
        <item x="256"/>
        <item x="267"/>
        <item x="243"/>
        <item x="253"/>
        <item x="261"/>
        <item x="316"/>
        <item x="294"/>
        <item x="231"/>
        <item x="379"/>
        <item x="276"/>
        <item x="240"/>
        <item x="287"/>
        <item x="280"/>
        <item x="260"/>
        <item x="196"/>
        <item x="247"/>
        <item x="249"/>
        <item x="250"/>
        <item x="305"/>
        <item x="255"/>
        <item x="239"/>
        <item x="285"/>
        <item x="289"/>
        <item x="272"/>
        <item x="295"/>
        <item x="284"/>
        <item x="269"/>
        <item x="264"/>
        <item x="321"/>
        <item x="281"/>
        <item x="263"/>
        <item x="291"/>
        <item x="274"/>
        <item x="309"/>
        <item x="296"/>
        <item m="1" x="385"/>
        <item x="307"/>
        <item x="271"/>
        <item x="270"/>
        <item x="380"/>
        <item x="304"/>
        <item x="336"/>
        <item x="278"/>
        <item x="303"/>
        <item x="301"/>
        <item x="339"/>
        <item x="275"/>
        <item x="265"/>
        <item x="302"/>
        <item x="381"/>
        <item x="297"/>
        <item x="314"/>
        <item x="262"/>
        <item x="298"/>
        <item x="310"/>
        <item x="306"/>
        <item x="374"/>
        <item x="273"/>
        <item x="320"/>
        <item x="312"/>
        <item x="335"/>
        <item x="382"/>
        <item x="334"/>
        <item x="325"/>
        <item x="313"/>
        <item x="288"/>
        <item x="319"/>
        <item x="326"/>
        <item x="338"/>
        <item x="232"/>
        <item x="333"/>
        <item x="317"/>
        <item x="344"/>
        <item x="328"/>
        <item x="292"/>
        <item x="329"/>
        <item x="370"/>
        <item x="318"/>
        <item x="323"/>
        <item x="322"/>
        <item x="337"/>
        <item x="311"/>
        <item x="283"/>
        <item x="327"/>
        <item x="330"/>
        <item x="342"/>
        <item x="308"/>
        <item x="315"/>
        <item x="372"/>
        <item x="361"/>
        <item x="324"/>
        <item x="331"/>
        <item x="343"/>
        <item x="350"/>
        <item x="383"/>
        <item x="376"/>
        <item x="347"/>
        <item x="353"/>
        <item x="345"/>
        <item x="354"/>
        <item x="351"/>
        <item x="352"/>
        <item x="282"/>
        <item x="356"/>
        <item x="346"/>
        <item x="377"/>
        <item x="349"/>
        <item x="355"/>
        <item x="357"/>
        <item x="375"/>
        <item x="293"/>
        <item x="363"/>
        <item x="362"/>
        <item x="348"/>
        <item x="358"/>
        <item x="364"/>
        <item x="367"/>
        <item x="365"/>
        <item x="368"/>
        <item x="369"/>
        <item x="366"/>
        <item x="359"/>
        <item x="181"/>
        <item x="18"/>
        <item x="132"/>
        <item x="9"/>
        <item x="340"/>
        <item x="42"/>
        <item x="384"/>
        <item x="360"/>
        <item x="378"/>
      </items>
    </pivotField>
    <pivotField axis="axisRow" compact="0" outline="0" showAll="0" defaultSubtotal="0">
      <items count="243">
        <item x="49"/>
        <item x="11"/>
        <item x="69"/>
        <item x="98"/>
        <item x="18"/>
        <item x="51"/>
        <item x="53"/>
        <item x="17"/>
        <item x="14"/>
        <item x="56"/>
        <item x="228"/>
        <item x="61"/>
        <item x="0"/>
        <item x="48"/>
        <item x="13"/>
        <item x="163"/>
        <item x="169"/>
        <item x="43"/>
        <item x="46"/>
        <item x="4"/>
        <item x="68"/>
        <item x="172"/>
        <item x="219"/>
        <item x="131"/>
        <item x="202"/>
        <item x="232"/>
        <item x="208"/>
        <item x="88"/>
        <item x="114"/>
        <item x="25"/>
        <item x="149"/>
        <item x="166"/>
        <item x="206"/>
        <item x="81"/>
        <item x="136"/>
        <item x="230"/>
        <item x="144"/>
        <item x="107"/>
        <item x="133"/>
        <item x="29"/>
        <item x="42"/>
        <item x="239"/>
        <item x="165"/>
        <item x="21"/>
        <item x="74"/>
        <item x="44"/>
        <item x="70"/>
        <item x="80"/>
        <item x="179"/>
        <item x="24"/>
        <item x="85"/>
        <item x="8"/>
        <item x="78"/>
        <item x="121"/>
        <item m="1" x="242"/>
        <item x="73"/>
        <item x="101"/>
        <item x="225"/>
        <item x="199"/>
        <item x="32"/>
        <item x="45"/>
        <item x="130"/>
        <item x="143"/>
        <item x="197"/>
        <item x="139"/>
        <item x="213"/>
        <item x="103"/>
        <item x="174"/>
        <item x="234"/>
        <item x="113"/>
        <item x="217"/>
        <item x="95"/>
        <item x="146"/>
        <item x="125"/>
        <item x="205"/>
        <item x="175"/>
        <item x="222"/>
        <item x="151"/>
        <item x="94"/>
        <item x="60"/>
        <item x="50"/>
        <item x="30"/>
        <item x="189"/>
        <item x="129"/>
        <item x="40"/>
        <item x="122"/>
        <item x="221"/>
        <item x="184"/>
        <item x="178"/>
        <item x="124"/>
        <item x="231"/>
        <item x="203"/>
        <item x="170"/>
        <item x="93"/>
        <item x="47"/>
        <item x="167"/>
        <item x="185"/>
        <item x="96"/>
        <item x="75"/>
        <item x="104"/>
        <item x="7"/>
        <item x="171"/>
        <item x="112"/>
        <item x="100"/>
        <item x="191"/>
        <item x="153"/>
        <item x="181"/>
        <item x="238"/>
        <item x="223"/>
        <item x="120"/>
        <item x="116"/>
        <item x="87"/>
        <item x="150"/>
        <item x="31"/>
        <item x="82"/>
        <item x="128"/>
        <item x="240"/>
        <item x="159"/>
        <item x="106"/>
        <item x="65"/>
        <item x="192"/>
        <item x="110"/>
        <item x="54"/>
        <item x="229"/>
        <item x="10"/>
        <item x="162"/>
        <item x="157"/>
        <item x="33"/>
        <item x="224"/>
        <item x="77"/>
        <item x="16"/>
        <item x="19"/>
        <item x="2"/>
        <item x="23"/>
        <item x="62"/>
        <item x="97"/>
        <item x="119"/>
        <item x="55"/>
        <item x="3"/>
        <item x="83"/>
        <item x="161"/>
        <item x="147"/>
        <item x="28"/>
        <item x="201"/>
        <item x="89"/>
        <item x="52"/>
        <item x="212"/>
        <item x="195"/>
        <item x="57"/>
        <item x="123"/>
        <item x="198"/>
        <item x="182"/>
        <item x="187"/>
        <item x="209"/>
        <item x="152"/>
        <item x="76"/>
        <item x="22"/>
        <item x="59"/>
        <item x="137"/>
        <item x="138"/>
        <item x="39"/>
        <item x="9"/>
        <item x="92"/>
        <item x="12"/>
        <item x="35"/>
        <item x="105"/>
        <item x="141"/>
        <item x="215"/>
        <item x="118"/>
        <item x="117"/>
        <item x="193"/>
        <item x="180"/>
        <item x="90"/>
        <item x="220"/>
        <item x="64"/>
        <item x="168"/>
        <item x="227"/>
        <item x="84"/>
        <item x="115"/>
        <item x="15"/>
        <item x="218"/>
        <item x="26"/>
        <item x="177"/>
        <item x="27"/>
        <item x="34"/>
        <item x="214"/>
        <item x="1"/>
        <item x="102"/>
        <item x="190"/>
        <item x="72"/>
        <item x="140"/>
        <item x="58"/>
        <item x="63"/>
        <item x="176"/>
        <item x="132"/>
        <item x="148"/>
        <item x="164"/>
        <item x="236"/>
        <item x="160"/>
        <item x="235"/>
        <item x="204"/>
        <item x="216"/>
        <item x="155"/>
        <item x="71"/>
        <item x="37"/>
        <item x="207"/>
        <item x="86"/>
        <item x="158"/>
        <item x="38"/>
        <item x="6"/>
        <item x="211"/>
        <item x="5"/>
        <item x="142"/>
        <item x="188"/>
        <item x="226"/>
        <item x="196"/>
        <item x="156"/>
        <item x="233"/>
        <item x="237"/>
        <item x="20"/>
        <item x="36"/>
        <item x="200"/>
        <item x="135"/>
        <item x="183"/>
        <item x="99"/>
        <item x="210"/>
        <item x="79"/>
        <item x="126"/>
        <item x="66"/>
        <item x="173"/>
        <item x="111"/>
        <item x="91"/>
        <item x="134"/>
        <item x="186"/>
        <item x="67"/>
        <item x="154"/>
        <item x="127"/>
        <item x="109"/>
        <item x="108"/>
        <item x="194"/>
        <item x="145"/>
        <item x="41"/>
        <item x="241"/>
      </items>
    </pivotField>
    <pivotField axis="axisRow" compact="0" outline="0" showAll="0" defaultSubtotal="0">
      <items count="17">
        <item x="9"/>
        <item x="15"/>
        <item x="8"/>
        <item x="2"/>
        <item x="7"/>
        <item x="5"/>
        <item x="10"/>
        <item x="14"/>
        <item x="1"/>
        <item x="13"/>
        <item x="3"/>
        <item x="4"/>
        <item x="12"/>
        <item x="11"/>
        <item x="0"/>
        <item x="6"/>
        <item x="16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4">
    <field x="13"/>
    <field x="17"/>
    <field x="16"/>
    <field x="18"/>
  </rowFields>
  <rowItems count="76">
    <i>
      <x v="9"/>
      <x v="10"/>
      <x v="327"/>
      <x v="12"/>
    </i>
    <i r="1">
      <x v="25"/>
      <x v="361"/>
      <x v="8"/>
    </i>
    <i r="3">
      <x v="12"/>
    </i>
    <i r="1">
      <x v="35"/>
      <x v="351"/>
      <x v="8"/>
    </i>
    <i r="1">
      <x v="57"/>
      <x v="233"/>
      <x v="8"/>
    </i>
    <i r="3">
      <x v="12"/>
    </i>
    <i r="1">
      <x v="90"/>
      <x v="368"/>
      <x v="12"/>
    </i>
    <i r="1">
      <x v="119"/>
      <x v="356"/>
      <x v="8"/>
    </i>
    <i r="1">
      <x v="123"/>
      <x v="359"/>
      <x v="8"/>
    </i>
    <i r="1">
      <x v="162"/>
      <x v="344"/>
      <x v="12"/>
    </i>
    <i r="1">
      <x v="176"/>
      <x v="347"/>
      <x v="12"/>
    </i>
    <i r="1">
      <x v="194"/>
      <x v="352"/>
      <x v="8"/>
    </i>
    <i r="3">
      <x v="12"/>
    </i>
    <i r="1">
      <x v="214"/>
      <x v="340"/>
      <x v="8"/>
    </i>
    <i r="3">
      <x v="12"/>
    </i>
    <i r="1">
      <x v="216"/>
      <x v="330"/>
      <x v="8"/>
    </i>
    <i r="3">
      <x v="12"/>
    </i>
    <i r="1">
      <x v="217"/>
      <x v="348"/>
      <x v="8"/>
    </i>
    <i r="2">
      <x v="355"/>
      <x v="8"/>
    </i>
    <i r="1">
      <x v="219"/>
      <x v="357"/>
      <x v="12"/>
    </i>
    <i r="1">
      <x v="223"/>
      <x v="353"/>
      <x v="12"/>
    </i>
    <i>
      <x v="12"/>
      <x v="15"/>
      <x v="317"/>
      <x v="12"/>
    </i>
    <i r="1">
      <x v="22"/>
      <x v="339"/>
      <x v="8"/>
    </i>
    <i r="1">
      <x v="23"/>
      <x v="322"/>
      <x v="8"/>
    </i>
    <i r="1">
      <x v="47"/>
      <x v="315"/>
      <x v="12"/>
    </i>
    <i r="1">
      <x v="70"/>
      <x v="318"/>
      <x v="8"/>
    </i>
    <i r="1">
      <x v="76"/>
      <x v="323"/>
      <x v="8"/>
    </i>
    <i r="1">
      <x v="84"/>
      <x v="328"/>
      <x v="8"/>
    </i>
    <i r="3">
      <x v="12"/>
    </i>
    <i r="1">
      <x v="86"/>
      <x v="4"/>
      <x v="7"/>
    </i>
    <i r="1">
      <x v="96"/>
      <x v="281"/>
      <x v="8"/>
    </i>
    <i r="3">
      <x v="12"/>
    </i>
    <i r="1">
      <x v="108"/>
      <x v="300"/>
      <x v="8"/>
    </i>
    <i r="1">
      <x v="112"/>
      <x v="345"/>
      <x v="8"/>
    </i>
    <i r="1">
      <x v="124"/>
      <x v="365"/>
      <x v="8"/>
    </i>
    <i r="1">
      <x v="146"/>
      <x v="260"/>
      <x v="12"/>
    </i>
    <i r="1">
      <x v="156"/>
      <x v="296"/>
      <x v="12"/>
    </i>
    <i r="1">
      <x v="172"/>
      <x v="334"/>
      <x v="8"/>
    </i>
    <i r="3">
      <x v="12"/>
    </i>
    <i r="2">
      <x v="335"/>
      <x v="8"/>
    </i>
    <i r="3">
      <x v="12"/>
    </i>
    <i r="1">
      <x v="173"/>
      <x v="346"/>
      <x v="14"/>
    </i>
    <i r="1">
      <x v="175"/>
      <x v="325"/>
      <x v="12"/>
    </i>
    <i r="1">
      <x v="180"/>
      <x v="338"/>
      <x v="8"/>
    </i>
    <i r="3">
      <x v="12"/>
    </i>
    <i r="1">
      <x v="194"/>
      <x v="333"/>
      <x v="8"/>
    </i>
    <i r="3">
      <x v="12"/>
    </i>
    <i r="1">
      <x v="201"/>
      <x v="283"/>
      <x v="8"/>
    </i>
    <i r="3">
      <x v="12"/>
    </i>
    <i r="1">
      <x v="211"/>
      <x v="285"/>
      <x v="11"/>
    </i>
    <i r="3">
      <x v="12"/>
    </i>
    <i r="1">
      <x v="216"/>
      <x v="330"/>
      <x v="8"/>
    </i>
    <i r="3">
      <x v="12"/>
    </i>
    <i r="1">
      <x v="239"/>
      <x v="337"/>
      <x v="8"/>
    </i>
    <i r="3">
      <x v="12"/>
    </i>
    <i r="1">
      <x v="241"/>
      <x v="382"/>
      <x v="15"/>
    </i>
    <i>
      <x v="19"/>
      <x v="25"/>
      <x v="361"/>
      <x v="8"/>
    </i>
    <i r="1">
      <x v="68"/>
      <x v="354"/>
      <x v="8"/>
    </i>
    <i r="1">
      <x v="74"/>
      <x v="372"/>
      <x v="8"/>
    </i>
    <i r="1">
      <x v="106"/>
      <x v="362"/>
      <x v="8"/>
    </i>
    <i r="3">
      <x v="12"/>
    </i>
    <i r="1">
      <x v="107"/>
      <x v="373"/>
      <x v="8"/>
    </i>
    <i r="3">
      <x v="12"/>
    </i>
    <i r="1">
      <x v="124"/>
      <x v="366"/>
      <x v="8"/>
    </i>
    <i r="3">
      <x v="12"/>
    </i>
    <i r="1">
      <x v="131"/>
      <x v="371"/>
      <x v="12"/>
    </i>
    <i r="1">
      <x v="156"/>
      <x v="358"/>
      <x v="8"/>
    </i>
    <i r="3">
      <x v="12"/>
    </i>
    <i r="1">
      <x v="172"/>
      <x v="369"/>
      <x v="12"/>
    </i>
    <i r="1">
      <x v="197"/>
      <x v="367"/>
      <x v="12"/>
    </i>
    <i r="1">
      <x v="199"/>
      <x v="363"/>
      <x v="12"/>
    </i>
    <i r="1">
      <x v="214"/>
      <x v="340"/>
      <x v="8"/>
    </i>
    <i r="3">
      <x v="12"/>
    </i>
    <i r="1">
      <x v="218"/>
      <x v="375"/>
      <x v="8"/>
    </i>
    <i r="1">
      <x v="224"/>
      <x v="370"/>
      <x v="8"/>
    </i>
    <i t="grand">
      <x/>
    </i>
  </rowItems>
  <colItems count="1">
    <i/>
  </colItems>
  <dataFields count="1">
    <dataField name="求和项:QTY" fld="9" baseField="18" baseItem="8"/>
  </dataFields>
  <formats count="2">
    <format dxfId="159">
      <pivotArea outline="0" collapsedLevelsAreSubtotals="1" fieldPosition="0"/>
    </format>
    <format dxfId="158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5C00A3-B445-44A2-8D93-ED12B02915F0}" name="数据透视表2" cacheId="4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K30:W35" firstHeaderRow="1" firstDataRow="2" firstDataCol="1" rowPageCount="1" colPageCount="1"/>
  <pivotFields count="6">
    <pivotField axis="axisCol" subtotalTop="0" showAll="0">
      <items count="13">
        <item x="1"/>
        <item x="2"/>
        <item x="3"/>
        <item x="9"/>
        <item x="10"/>
        <item x="0"/>
        <item x="5"/>
        <item x="6"/>
        <item x="7"/>
        <item x="8"/>
        <item x="4"/>
        <item x="11"/>
        <item t="default"/>
      </items>
    </pivotField>
    <pivotField axis="axisRow" subtotalTop="0" showAll="0">
      <items count="84">
        <item m="1" x="38"/>
        <item m="1" x="61"/>
        <item m="1" x="78"/>
        <item m="1" x="52"/>
        <item x="2"/>
        <item m="1" x="39"/>
        <item m="1" x="82"/>
        <item m="1" x="54"/>
        <item m="1" x="53"/>
        <item m="1" x="79"/>
        <item m="1" x="59"/>
        <item x="3"/>
        <item m="1" x="48"/>
        <item m="1" x="49"/>
        <item m="1" x="77"/>
        <item m="1" x="73"/>
        <item x="5"/>
        <item m="1" x="45"/>
        <item m="1" x="42"/>
        <item x="1"/>
        <item x="34"/>
        <item x="0"/>
        <item m="1" x="74"/>
        <item x="23"/>
        <item x="28"/>
        <item m="1" x="69"/>
        <item m="1" x="80"/>
        <item m="1" x="35"/>
        <item m="1" x="56"/>
        <item m="1" x="55"/>
        <item m="1" x="81"/>
        <item m="1" x="41"/>
        <item m="1" x="72"/>
        <item m="1" x="66"/>
        <item m="1" x="71"/>
        <item m="1" x="44"/>
        <item m="1" x="43"/>
        <item m="1" x="36"/>
        <item m="1" x="62"/>
        <item m="1" x="37"/>
        <item x="6"/>
        <item x="24"/>
        <item m="1" x="67"/>
        <item m="1" x="60"/>
        <item m="1" x="68"/>
        <item x="7"/>
        <item x="8"/>
        <item x="9"/>
        <item x="10"/>
        <item x="11"/>
        <item x="12"/>
        <item m="1" x="57"/>
        <item x="13"/>
        <item m="1" x="70"/>
        <item m="1" x="46"/>
        <item m="1" x="65"/>
        <item m="1" x="76"/>
        <item m="1" x="64"/>
        <item m="1" x="51"/>
        <item m="1" x="40"/>
        <item m="1" x="47"/>
        <item m="1" x="50"/>
        <item x="18"/>
        <item x="22"/>
        <item m="1" x="75"/>
        <item x="4"/>
        <item x="14"/>
        <item x="15"/>
        <item x="16"/>
        <item x="17"/>
        <item x="19"/>
        <item x="20"/>
        <item x="21"/>
        <item m="1" x="58"/>
        <item m="1" x="63"/>
        <item x="26"/>
        <item x="27"/>
        <item x="25"/>
        <item x="29"/>
        <item x="30"/>
        <item x="31"/>
        <item x="32"/>
        <item x="33"/>
        <item t="default"/>
      </items>
    </pivotField>
    <pivotField subtotalTop="0" showAll="0"/>
    <pivotField axis="axisPage" subtotalTop="0" multipleItemSelectionAllowed="1" showAll="0">
      <items count="4">
        <item x="0"/>
        <item x="1"/>
        <item h="1" x="2"/>
        <item t="default"/>
      </items>
    </pivotField>
    <pivotField dataField="1" subtotalTop="0" showAll="0"/>
    <pivotField axis="axisRow" subtotalTop="0" showAll="0">
      <items count="8">
        <item sd="0" m="1" x="5"/>
        <item h="1" sd="0" x="3"/>
        <item sd="0" x="0"/>
        <item sd="0" m="1" x="4"/>
        <item sd="0" m="1" x="6"/>
        <item sd="0" x="2"/>
        <item sd="0" x="1"/>
        <item t="default"/>
      </items>
    </pivotField>
  </pivotFields>
  <rowFields count="2">
    <field x="5"/>
    <field x="1"/>
  </rowFields>
  <rowItems count="4">
    <i>
      <x v="2"/>
    </i>
    <i>
      <x v="5"/>
    </i>
    <i>
      <x v="6"/>
    </i>
    <i t="grand">
      <x/>
    </i>
  </rowItems>
  <colFields count="1">
    <field x="0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pageFields count="1">
    <pageField fld="3" hier="-1"/>
  </pageFields>
  <dataFields count="1">
    <dataField name="求和项:预留Feeder数" fld="4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05AC11-A2D2-4BFF-87BF-2DF32C3A3458}" name="数据透视表1" cacheId="3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K10:AZ25" firstHeaderRow="1" firstDataRow="2" firstDataCol="1" rowPageCount="1" colPageCount="1"/>
  <pivotFields count="6">
    <pivotField axis="axisRow" showAll="0">
      <items count="14">
        <item x="4"/>
        <item x="5"/>
        <item x="8"/>
        <item x="9"/>
        <item x="10"/>
        <item x="11"/>
        <item x="3"/>
        <item x="1"/>
        <item x="2"/>
        <item x="6"/>
        <item x="7"/>
        <item x="0"/>
        <item x="12"/>
        <item t="default"/>
      </items>
    </pivotField>
    <pivotField axis="axisCol" multipleItemSelectionAllowed="1" showAll="0">
      <items count="41">
        <item x="16"/>
        <item x="7"/>
        <item x="1"/>
        <item x="12"/>
        <item x="11"/>
        <item x="13"/>
        <item x="15"/>
        <item x="9"/>
        <item x="4"/>
        <item x="3"/>
        <item x="8"/>
        <item x="5"/>
        <item x="6"/>
        <item x="10"/>
        <item x="2"/>
        <item x="39"/>
        <item x="0"/>
        <item x="14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dataField="1" showAll="0"/>
    <pivotField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colItems>
  <pageFields count="1">
    <pageField fld="3" hier="-1"/>
  </pageFields>
  <dataFields count="1">
    <dataField name="求和项:预留Feeder数" fld="4" baseField="0" baseItem="0"/>
  </dataFields>
  <formats count="22">
    <format dxfId="157">
      <pivotArea outline="0" collapsedLevelsAreSubtotals="1" fieldPosition="0"/>
    </format>
    <format dxfId="156">
      <pivotArea dataOnly="0" labelOnly="1" outline="0" axis="axisValues" fieldPosition="0"/>
    </format>
    <format dxfId="155">
      <pivotArea type="all" dataOnly="0" outline="0" fieldPosition="0"/>
    </format>
    <format dxfId="154">
      <pivotArea outline="0" collapsedLevelsAreSubtotals="1" fieldPosition="0"/>
    </format>
    <format dxfId="153">
      <pivotArea type="origin" dataOnly="0" labelOnly="1" outline="0" fieldPosition="0"/>
    </format>
    <format dxfId="152">
      <pivotArea field="1" type="button" dataOnly="0" labelOnly="1" outline="0" axis="axisCol" fieldPosition="0"/>
    </format>
    <format dxfId="151">
      <pivotArea type="topRight" dataOnly="0" labelOnly="1" outline="0" fieldPosition="0"/>
    </format>
    <format dxfId="150">
      <pivotArea field="0" type="button" dataOnly="0" labelOnly="1" outline="0" axis="axisRow" fieldPosition="0"/>
    </format>
    <format dxfId="149">
      <pivotArea dataOnly="0" labelOnly="1" fieldPosition="0">
        <references count="1">
          <reference field="0" count="0"/>
        </references>
      </pivotArea>
    </format>
    <format dxfId="148">
      <pivotArea dataOnly="0" labelOnly="1" grandRow="1" outline="0" fieldPosition="0"/>
    </format>
    <format dxfId="147">
      <pivotArea dataOnly="0" labelOnly="1" fieldPosition="0">
        <references count="1">
          <reference field="1" count="0"/>
        </references>
      </pivotArea>
    </format>
    <format dxfId="146">
      <pivotArea dataOnly="0" labelOnly="1" grandCol="1" outline="0" fieldPosition="0"/>
    </format>
    <format dxfId="145">
      <pivotArea type="all" dataOnly="0" outline="0" fieldPosition="0"/>
    </format>
    <format dxfId="144">
      <pivotArea outline="0" collapsedLevelsAreSubtotals="1" fieldPosition="0"/>
    </format>
    <format dxfId="143">
      <pivotArea type="origin" dataOnly="0" labelOnly="1" outline="0" fieldPosition="0"/>
    </format>
    <format dxfId="142">
      <pivotArea field="1" type="button" dataOnly="0" labelOnly="1" outline="0" axis="axisCol" fieldPosition="0"/>
    </format>
    <format dxfId="141">
      <pivotArea type="topRight" dataOnly="0" labelOnly="1" outline="0" fieldPosition="0"/>
    </format>
    <format dxfId="140">
      <pivotArea field="0" type="button" dataOnly="0" labelOnly="1" outline="0" axis="axisRow" fieldPosition="0"/>
    </format>
    <format dxfId="139">
      <pivotArea dataOnly="0" labelOnly="1" fieldPosition="0">
        <references count="1">
          <reference field="0" count="0"/>
        </references>
      </pivotArea>
    </format>
    <format dxfId="138">
      <pivotArea dataOnly="0" labelOnly="1" grandRow="1" outline="0" fieldPosition="0"/>
    </format>
    <format dxfId="137">
      <pivotArea dataOnly="0" labelOnly="1" fieldPosition="0">
        <references count="1">
          <reference field="1" count="0"/>
        </references>
      </pivotArea>
    </format>
    <format dxfId="136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AD9991-96A2-40D5-B67E-E4F2449EBF93}" name="数据透视表1" cacheId="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compact="0" compactData="0" gridDropZones="1" multipleFieldFilters="0">
  <location ref="J7:X48" firstHeaderRow="1" firstDataRow="2" firstDataCol="3"/>
  <pivotFields count="7">
    <pivotField axis="axisCol" compact="0" outline="0" showAll="0" defaultSubtotal="0">
      <items count="11">
        <item x="1"/>
        <item x="2"/>
        <item x="3"/>
        <item x="5"/>
        <item x="4"/>
        <item x="0"/>
        <item x="7"/>
        <item x="8"/>
        <item x="9"/>
        <item x="10"/>
        <item x="6"/>
      </items>
    </pivotField>
    <pivotField compact="0" outline="0" subtotalTop="0" showAll="0" defaultSubtotal="0"/>
    <pivotField compact="0" outline="0" showAll="0" defaultSubtotal="0"/>
    <pivotField axis="axisRow" compact="0" outline="0" showAll="0" defaultSubtotal="0">
      <items count="40">
        <item x="0"/>
        <item x="2"/>
        <item x="3"/>
        <item x="4"/>
        <item x="5"/>
        <item m="1" x="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6"/>
        <item x="19"/>
        <item x="20"/>
        <item x="21"/>
        <item x="22"/>
        <item x="23"/>
        <item x="1"/>
        <item x="25"/>
        <item x="26"/>
        <item x="24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</pivotField>
    <pivotField axis="axisRow" compact="0" outline="0" showAll="0" defaultSubtotal="0">
      <items count="11">
        <item x="0"/>
        <item x="4"/>
        <item x="8"/>
        <item x="6"/>
        <item x="9"/>
        <item x="2"/>
        <item x="7"/>
        <item x="1"/>
        <item x="3"/>
        <item x="5"/>
        <item x="10"/>
      </items>
    </pivotField>
    <pivotField axis="axisRow" compact="0" outline="0" showAll="0" defaultSubtotal="0">
      <items count="23">
        <item m="1" x="17"/>
        <item m="1" x="20"/>
        <item m="1" x="22"/>
        <item m="1" x="18"/>
        <item m="1" x="19"/>
        <item x="1"/>
        <item x="13"/>
        <item x="7"/>
        <item x="14"/>
        <item x="15"/>
        <item x="11"/>
        <item x="10"/>
        <item x="8"/>
        <item x="6"/>
        <item x="9"/>
        <item m="1" x="21"/>
        <item x="0"/>
        <item x="2"/>
        <item x="3"/>
        <item x="4"/>
        <item x="5"/>
        <item x="12"/>
        <item x="16"/>
      </items>
    </pivotField>
    <pivotField compact="0" outline="0" showAll="0" defaultSubtotal="0"/>
  </pivotFields>
  <rowFields count="3">
    <field x="3"/>
    <field x="4"/>
    <field x="5"/>
  </rowFields>
  <rowItems count="40">
    <i>
      <x/>
      <x/>
      <x v="16"/>
    </i>
    <i>
      <x v="1"/>
      <x v="7"/>
      <x v="17"/>
    </i>
    <i>
      <x v="2"/>
      <x v="5"/>
      <x v="18"/>
    </i>
    <i>
      <x v="3"/>
      <x v="5"/>
      <x v="18"/>
    </i>
    <i>
      <x v="4"/>
      <x v="8"/>
      <x v="19"/>
    </i>
    <i>
      <x v="6"/>
      <x/>
      <x v="20"/>
    </i>
    <i>
      <x v="7"/>
      <x/>
      <x v="13"/>
    </i>
    <i>
      <x v="8"/>
      <x/>
      <x v="20"/>
    </i>
    <i>
      <x v="9"/>
      <x/>
      <x v="20"/>
    </i>
    <i>
      <x v="10"/>
      <x/>
      <x v="7"/>
    </i>
    <i>
      <x v="11"/>
      <x/>
      <x v="12"/>
    </i>
    <i>
      <x v="12"/>
      <x/>
      <x v="14"/>
    </i>
    <i>
      <x v="13"/>
      <x v="1"/>
      <x v="11"/>
    </i>
    <i>
      <x v="14"/>
      <x v="1"/>
      <x v="10"/>
    </i>
    <i>
      <x v="15"/>
      <x v="1"/>
      <x v="21"/>
    </i>
    <i>
      <x v="16"/>
      <x v="1"/>
      <x v="6"/>
    </i>
    <i>
      <x v="17"/>
      <x v="1"/>
      <x v="8"/>
    </i>
    <i>
      <x v="18"/>
      <x/>
      <x v="17"/>
    </i>
    <i>
      <x v="19"/>
      <x v="9"/>
      <x v="9"/>
    </i>
    <i>
      <x v="20"/>
      <x/>
      <x v="14"/>
    </i>
    <i>
      <x v="21"/>
      <x/>
      <x v="14"/>
    </i>
    <i>
      <x v="22"/>
      <x v="3"/>
      <x v="14"/>
    </i>
    <i>
      <x v="23"/>
      <x v="3"/>
      <x v="14"/>
    </i>
    <i>
      <x v="24"/>
      <x v="7"/>
      <x v="5"/>
    </i>
    <i>
      <x v="25"/>
      <x v="6"/>
      <x v="14"/>
    </i>
    <i>
      <x v="26"/>
      <x v="6"/>
      <x v="14"/>
    </i>
    <i>
      <x v="27"/>
      <x/>
      <x v="14"/>
    </i>
    <i>
      <x v="28"/>
      <x/>
      <x v="14"/>
    </i>
    <i>
      <x v="29"/>
      <x/>
      <x v="14"/>
    </i>
    <i>
      <x v="30"/>
      <x/>
      <x v="14"/>
    </i>
    <i>
      <x v="31"/>
      <x/>
      <x v="14"/>
    </i>
    <i>
      <x v="32"/>
      <x/>
      <x v="14"/>
    </i>
    <i>
      <x v="33"/>
      <x/>
      <x v="14"/>
    </i>
    <i>
      <x v="34"/>
      <x/>
      <x v="14"/>
    </i>
    <i>
      <x v="35"/>
      <x/>
      <x v="14"/>
    </i>
    <i>
      <x v="36"/>
      <x v="2"/>
      <x v="14"/>
    </i>
    <i>
      <x v="37"/>
      <x v="2"/>
      <x v="14"/>
    </i>
    <i>
      <x v="38"/>
      <x v="4"/>
      <x v="14"/>
    </i>
    <i>
      <x v="39"/>
      <x v="10"/>
      <x v="22"/>
    </i>
    <i t="grand">
      <x/>
    </i>
  </rowItems>
  <colFields count="1">
    <field x="0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formats count="28">
    <format dxfId="135">
      <pivotArea collapsedLevelsAreSubtotals="1" fieldPosition="0">
        <references count="1">
          <reference field="3" count="1">
            <x v="0"/>
          </reference>
        </references>
      </pivotArea>
    </format>
    <format dxfId="134">
      <pivotArea collapsedLevelsAreSubtotals="1" fieldPosition="0">
        <references count="1">
          <reference field="3" count="1">
            <x v="1"/>
          </reference>
        </references>
      </pivotArea>
    </format>
    <format dxfId="133">
      <pivotArea collapsedLevelsAreSubtotals="1" fieldPosition="0">
        <references count="1">
          <reference field="3" count="1">
            <x v="2"/>
          </reference>
        </references>
      </pivotArea>
    </format>
    <format dxfId="132">
      <pivotArea collapsedLevelsAreSubtotals="1" fieldPosition="0">
        <references count="1">
          <reference field="3" count="1">
            <x v="3"/>
          </reference>
        </references>
      </pivotArea>
    </format>
    <format dxfId="131">
      <pivotArea collapsedLevelsAreSubtotals="1" fieldPosition="0">
        <references count="1">
          <reference field="3" count="1">
            <x v="4"/>
          </reference>
        </references>
      </pivotArea>
    </format>
    <format dxfId="130">
      <pivotArea collapsedLevelsAreSubtotals="1" fieldPosition="0">
        <references count="1">
          <reference field="3" count="1">
            <x v="5"/>
          </reference>
        </references>
      </pivotArea>
    </format>
    <format dxfId="129">
      <pivotArea collapsedLevelsAreSubtotals="1" fieldPosition="0">
        <references count="1">
          <reference field="3" count="1">
            <x v="6"/>
          </reference>
        </references>
      </pivotArea>
    </format>
    <format dxfId="128">
      <pivotArea collapsedLevelsAreSubtotals="1" fieldPosition="0">
        <references count="1">
          <reference field="3" count="1">
            <x v="7"/>
          </reference>
        </references>
      </pivotArea>
    </format>
    <format dxfId="127">
      <pivotArea dataOnly="0" labelOnly="1" fieldPosition="0">
        <references count="1">
          <reference field="3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126">
      <pivotArea dataOnly="0" labelOnly="1" outline="0" axis="axisValues" fieldPosition="0"/>
    </format>
    <format dxfId="125">
      <pivotArea outline="0" fieldPosition="0">
        <references count="1">
          <reference field="0" count="0" selected="0"/>
        </references>
      </pivotArea>
    </format>
    <format dxfId="124">
      <pivotArea field="0" type="button" dataOnly="0" labelOnly="1" outline="0" axis="axisCol" fieldPosition="0"/>
    </format>
    <format dxfId="123">
      <pivotArea type="topRight" dataOnly="0" labelOnly="1" outline="0" fieldPosition="0"/>
    </format>
    <format dxfId="122">
      <pivotArea dataOnly="0" labelOnly="1" outline="0" fieldPosition="0">
        <references count="1">
          <reference field="0" count="0"/>
        </references>
      </pivotArea>
    </format>
    <format dxfId="121">
      <pivotArea grandCol="1" outline="0" collapsedLevelsAreSubtotals="1" fieldPosition="0"/>
    </format>
    <format dxfId="120">
      <pivotArea type="origin" dataOnly="0" labelOnly="1" outline="0" fieldPosition="0"/>
    </format>
    <format dxfId="119">
      <pivotArea field="3" type="button" dataOnly="0" labelOnly="1" outline="0" axis="axisRow" fieldPosition="0"/>
    </format>
    <format dxfId="118">
      <pivotArea dataOnly="0" labelOnly="1" outline="0" fieldPosition="0">
        <references count="1">
          <reference field="3" count="0"/>
        </references>
      </pivotArea>
    </format>
    <format dxfId="117">
      <pivotArea dataOnly="0" labelOnly="1" grandRow="1" outline="0" fieldPosition="0"/>
    </format>
    <format dxfId="116">
      <pivotArea dataOnly="0" labelOnly="1" outline="0" fieldPosition="0">
        <references count="1">
          <reference field="3" count="1">
            <x v="19"/>
          </reference>
        </references>
      </pivotArea>
    </format>
    <format dxfId="115">
      <pivotArea dataOnly="0" labelOnly="1" outline="0" fieldPosition="0">
        <references count="1">
          <reference field="3" count="1">
            <x v="22"/>
          </reference>
        </references>
      </pivotArea>
    </format>
    <format dxfId="114">
      <pivotArea dataOnly="0" labelOnly="1" outline="0" fieldPosition="0">
        <references count="1">
          <reference field="3" count="1">
            <x v="23"/>
          </reference>
        </references>
      </pivotArea>
    </format>
    <format dxfId="113">
      <pivotArea dataOnly="0" labelOnly="1" outline="0" fieldPosition="0">
        <references count="1">
          <reference field="3" count="2">
            <x v="25"/>
            <x v="26"/>
          </reference>
        </references>
      </pivotArea>
    </format>
    <format dxfId="112">
      <pivotArea dataOnly="0" labelOnly="1" outline="0" fieldPosition="0">
        <references count="1">
          <reference field="3" count="1">
            <x v="27"/>
          </reference>
        </references>
      </pivotArea>
    </format>
    <format dxfId="111">
      <pivotArea dataOnly="0" labelOnly="1" outline="0" fieldPosition="0">
        <references count="1">
          <reference field="3" count="1">
            <x v="28"/>
          </reference>
        </references>
      </pivotArea>
    </format>
    <format dxfId="110">
      <pivotArea dataOnly="0" labelOnly="1" outline="0" fieldPosition="0">
        <references count="1">
          <reference field="3" count="1">
            <x v="29"/>
          </reference>
        </references>
      </pivotArea>
    </format>
    <format dxfId="109">
      <pivotArea dataOnly="0" labelOnly="1" outline="0" fieldPosition="0">
        <references count="1">
          <reference field="3" count="1">
            <x v="30"/>
          </reference>
        </references>
      </pivotArea>
    </format>
    <format dxfId="108">
      <pivotArea outline="0" fieldPosition="0">
        <references count="1">
          <reference field="0" count="6" selected="0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Warehouse" xr10:uid="{DACE2AD6-235E-4E9F-998D-56A639F4222C}" sourceName="Warehouse">
  <pivotTables>
    <pivotTable tabId="35" name="数据透视表1"/>
  </pivotTables>
  <data>
    <tabular pivotCacheId="1163561086">
      <items count="2"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Item" xr10:uid="{5C0F33C6-248F-41B3-B4AA-6A4B4C9950EE}" sourceName="Item">
  <pivotTables>
    <pivotTable tabId="35" name="数据透视表1"/>
  </pivotTables>
  <data>
    <tabular pivotCacheId="1163561086">
      <items count="15">
        <i x="1" s="1"/>
        <i x="2" s="1"/>
        <i x="3" s="1"/>
        <i x="4" s="1"/>
        <i x="5" s="1"/>
        <i x="6" s="1"/>
        <i x="0" s="1"/>
        <i x="9" s="1"/>
        <i x="10" s="1"/>
        <i x="11" s="1"/>
        <i x="12" s="1"/>
        <i x="7" s="1"/>
        <i x="13" s="1"/>
        <i x="14" s="1"/>
        <i x="8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Warehouse" xr10:uid="{1BC7E565-EAF4-4BA7-929E-824B7C80F548}" cache="切片器_Warehouse" caption="Warehouse" rowHeight="220133"/>
  <slicer name="Item" xr10:uid="{C6C4451A-A038-48DF-A4CC-DDDE2C881770}" cache="切片器_Item" caption="Item" rowHeight="220133"/>
</slicer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369"/>
  <sheetViews>
    <sheetView topLeftCell="A5" workbookViewId="0">
      <selection activeCell="G26" sqref="G26"/>
    </sheetView>
  </sheetViews>
  <sheetFormatPr defaultColWidth="9" defaultRowHeight="14.25"/>
  <cols>
    <col min="1" max="1" width="13.375" style="1" customWidth="1"/>
    <col min="2" max="2" width="6" style="342" customWidth="1"/>
    <col min="3" max="3" width="14.75" style="1" customWidth="1"/>
    <col min="4" max="4" width="16.375" style="381" customWidth="1"/>
    <col min="5" max="5" width="9" style="1" customWidth="1"/>
    <col min="6" max="6" width="7.75" style="1" bestFit="1" customWidth="1"/>
    <col min="7" max="7" width="6.625" style="1" customWidth="1"/>
    <col min="8" max="8" width="5.25" style="1" customWidth="1"/>
    <col min="9" max="9" width="15.75" style="1" customWidth="1"/>
    <col min="10" max="10" width="6.625" style="1" customWidth="1"/>
    <col min="11" max="11" width="11.625" style="1" customWidth="1"/>
    <col min="12" max="13" width="12.25" style="1" customWidth="1"/>
    <col min="14" max="14" width="16.25" style="1" customWidth="1"/>
    <col min="15" max="15" width="17.25" style="1" customWidth="1"/>
    <col min="16" max="16" width="34.25" style="1" customWidth="1"/>
    <col min="17" max="17" width="35.25" style="1" customWidth="1"/>
    <col min="18" max="18" width="6.25" style="1" customWidth="1"/>
    <col min="19" max="19" width="14" style="1" bestFit="1" customWidth="1"/>
    <col min="20" max="20" width="11.25" style="1" bestFit="1" customWidth="1"/>
    <col min="21" max="21" width="16.25" style="1" bestFit="1" customWidth="1"/>
    <col min="22" max="23" width="5.75" style="1" customWidth="1"/>
    <col min="24" max="24" width="6.25" style="1" customWidth="1"/>
    <col min="25" max="25" width="14" style="1" bestFit="1" customWidth="1"/>
    <col min="26" max="26" width="7.25" style="1" customWidth="1"/>
    <col min="27" max="27" width="5.75" style="1" customWidth="1"/>
    <col min="28" max="28" width="17.75" style="1" bestFit="1" customWidth="1"/>
    <col min="29" max="30" width="5.75" style="1" customWidth="1"/>
    <col min="31" max="32" width="7.75" style="1" customWidth="1"/>
    <col min="33" max="33" width="6.25" style="1" customWidth="1"/>
    <col min="34" max="34" width="10.25" style="1" bestFit="1" customWidth="1"/>
    <col min="35" max="35" width="9.75" style="1" bestFit="1" customWidth="1"/>
    <col min="36" max="39" width="7.75" style="1" customWidth="1"/>
    <col min="40" max="40" width="35.75" style="1" bestFit="1" customWidth="1"/>
    <col min="41" max="41" width="13.375" style="1" bestFit="1" customWidth="1"/>
    <col min="42" max="42" width="15.25" style="1" bestFit="1" customWidth="1"/>
    <col min="43" max="43" width="12.75" style="1" bestFit="1" customWidth="1"/>
    <col min="44" max="45" width="9.25" style="1" bestFit="1" customWidth="1"/>
    <col min="46" max="46" width="16.25" style="1" bestFit="1" customWidth="1"/>
    <col min="47" max="47" width="5.75" style="1" customWidth="1"/>
    <col min="48" max="49" width="7.75" style="1" customWidth="1"/>
    <col min="50" max="50" width="5.75" style="1" customWidth="1"/>
    <col min="51" max="51" width="17.75" style="1" bestFit="1" customWidth="1"/>
    <col min="52" max="53" width="5.75" style="1" customWidth="1"/>
    <col min="54" max="54" width="7.75" style="1" customWidth="1"/>
    <col min="55" max="55" width="5.75" style="1" customWidth="1"/>
    <col min="56" max="56" width="9.75" style="1" bestFit="1" customWidth="1"/>
    <col min="57" max="57" width="7.75" style="1" customWidth="1"/>
    <col min="58" max="59" width="5.75" style="1" customWidth="1"/>
    <col min="60" max="60" width="7.75" style="1" customWidth="1"/>
    <col min="61" max="61" width="5.75" style="1" customWidth="1"/>
    <col min="62" max="62" width="7.75" style="1" customWidth="1"/>
    <col min="63" max="63" width="6.25" style="1" customWidth="1"/>
    <col min="64" max="64" width="15.25" style="1" bestFit="1" customWidth="1"/>
    <col min="65" max="65" width="10" style="1" bestFit="1" customWidth="1"/>
    <col min="66" max="67" width="5.75" style="1" customWidth="1"/>
    <col min="68" max="68" width="6.25" style="1" customWidth="1"/>
    <col min="69" max="69" width="8" style="1" customWidth="1"/>
    <col min="70" max="70" width="13.375" style="1" bestFit="1" customWidth="1"/>
    <col min="71" max="71" width="5.75" style="1" customWidth="1"/>
    <col min="72" max="16384" width="9" style="1"/>
  </cols>
  <sheetData>
    <row r="1" spans="1:14">
      <c r="A1"/>
      <c r="B1" s="256"/>
      <c r="C1"/>
      <c r="D1" s="380" t="s">
        <v>242</v>
      </c>
      <c r="E1"/>
      <c r="F1"/>
      <c r="G1"/>
      <c r="H1"/>
      <c r="I1" s="18"/>
      <c r="J1" s="18"/>
    </row>
    <row r="2" spans="1:14" ht="15">
      <c r="A2"/>
      <c r="B2" s="256"/>
      <c r="C2"/>
      <c r="D2" s="380"/>
      <c r="E2"/>
      <c r="F2"/>
      <c r="G2"/>
      <c r="H2"/>
      <c r="I2" s="19" t="s">
        <v>235</v>
      </c>
      <c r="J2" s="19" t="s">
        <v>236</v>
      </c>
      <c r="K2" s="19" t="s">
        <v>237</v>
      </c>
      <c r="L2" s="20" t="s">
        <v>238</v>
      </c>
      <c r="M2" s="20" t="s">
        <v>239</v>
      </c>
      <c r="N2" s="21" t="s">
        <v>240</v>
      </c>
    </row>
    <row r="3" spans="1:14" ht="14.25" customHeight="1">
      <c r="A3"/>
      <c r="B3" s="256"/>
      <c r="C3"/>
      <c r="D3" s="380"/>
      <c r="E3"/>
      <c r="F3"/>
      <c r="G3"/>
      <c r="I3" s="22" t="s">
        <v>241</v>
      </c>
      <c r="J3" s="22">
        <v>2</v>
      </c>
      <c r="K3" s="22">
        <v>15</v>
      </c>
      <c r="L3" s="23">
        <v>0</v>
      </c>
      <c r="M3" s="23" t="s">
        <v>242</v>
      </c>
      <c r="N3" s="24">
        <v>6</v>
      </c>
    </row>
    <row r="4" spans="1:14" ht="14.25" customHeight="1">
      <c r="A4"/>
      <c r="B4" s="256"/>
      <c r="C4"/>
      <c r="D4" s="380"/>
      <c r="E4"/>
      <c r="F4"/>
      <c r="G4"/>
      <c r="I4" s="22" t="s">
        <v>243</v>
      </c>
      <c r="J4" s="22">
        <v>19</v>
      </c>
      <c r="K4" s="22">
        <v>50</v>
      </c>
      <c r="L4" s="23">
        <v>15</v>
      </c>
      <c r="M4" s="23">
        <v>54</v>
      </c>
      <c r="N4" s="24">
        <v>42</v>
      </c>
    </row>
    <row r="5" spans="1:14" ht="15.75" thickBot="1">
      <c r="A5" s="890" t="s">
        <v>4419</v>
      </c>
      <c r="B5" s="889"/>
      <c r="C5" s="889"/>
      <c r="D5" s="889"/>
      <c r="E5" s="889"/>
      <c r="F5"/>
      <c r="G5"/>
      <c r="H5"/>
      <c r="I5" s="25" t="s">
        <v>244</v>
      </c>
      <c r="J5" s="26">
        <f>SUM(J3:J4)</f>
        <v>21</v>
      </c>
      <c r="K5" s="27">
        <f>SUM(K3:K4)</f>
        <v>65</v>
      </c>
      <c r="L5" s="28">
        <f>SUM(L3:L4)</f>
        <v>15</v>
      </c>
      <c r="M5" s="29">
        <f>SUM(M3:M4)</f>
        <v>54</v>
      </c>
      <c r="N5" s="30">
        <f>SUM(N3:N4)</f>
        <v>48</v>
      </c>
    </row>
    <row r="6" spans="1:14" ht="16.5" thickTop="1">
      <c r="A6" s="890" t="s">
        <v>4411</v>
      </c>
      <c r="B6" s="890" t="s">
        <v>0</v>
      </c>
      <c r="C6" s="890" t="s">
        <v>2</v>
      </c>
      <c r="D6" s="890" t="s">
        <v>5</v>
      </c>
      <c r="E6" s="889" t="s">
        <v>204</v>
      </c>
      <c r="F6"/>
      <c r="G6"/>
      <c r="H6"/>
      <c r="I6" s="31"/>
      <c r="J6" s="858">
        <f>SUM(J5:K5)</f>
        <v>86</v>
      </c>
      <c r="K6" s="859"/>
      <c r="L6" s="851">
        <f>SUM(L5:M5)</f>
        <v>69</v>
      </c>
      <c r="M6" s="852"/>
      <c r="N6" s="32">
        <f>SUM(N5)</f>
        <v>48</v>
      </c>
    </row>
    <row r="7" spans="1:14">
      <c r="A7" s="889" t="s">
        <v>75</v>
      </c>
      <c r="B7" s="889" t="s">
        <v>15</v>
      </c>
      <c r="C7" s="889" t="s">
        <v>17</v>
      </c>
      <c r="D7" s="889">
        <v>45175</v>
      </c>
      <c r="E7" s="889">
        <v>1</v>
      </c>
      <c r="F7"/>
      <c r="G7"/>
      <c r="H7"/>
    </row>
    <row r="8" spans="1:14">
      <c r="A8" s="889"/>
      <c r="B8" s="889"/>
      <c r="C8" s="889"/>
      <c r="D8" s="889">
        <v>45194</v>
      </c>
      <c r="E8" s="889">
        <v>1</v>
      </c>
      <c r="F8"/>
      <c r="G8"/>
      <c r="H8"/>
    </row>
    <row r="9" spans="1:14" ht="15" thickBot="1">
      <c r="A9" s="889"/>
      <c r="B9" s="889"/>
      <c r="C9" s="889"/>
      <c r="D9" s="889">
        <v>45261</v>
      </c>
      <c r="E9" s="889">
        <v>2</v>
      </c>
      <c r="F9"/>
      <c r="G9"/>
      <c r="H9"/>
    </row>
    <row r="10" spans="1:14" ht="15.75" thickBot="1">
      <c r="A10" s="889"/>
      <c r="B10" s="889"/>
      <c r="C10" s="889"/>
      <c r="D10" s="889">
        <v>45296</v>
      </c>
      <c r="E10" s="889">
        <v>3</v>
      </c>
      <c r="F10"/>
      <c r="G10"/>
      <c r="H10"/>
      <c r="I10" s="856" t="s">
        <v>245</v>
      </c>
      <c r="J10" s="855" t="s">
        <v>246</v>
      </c>
      <c r="K10" s="854"/>
      <c r="L10" s="853" t="s">
        <v>247</v>
      </c>
      <c r="M10" s="854"/>
      <c r="N10" s="33"/>
    </row>
    <row r="11" spans="1:14" ht="15.75" thickBot="1">
      <c r="A11" s="889"/>
      <c r="B11" s="889"/>
      <c r="C11" s="891" t="s">
        <v>3652</v>
      </c>
      <c r="D11" s="891"/>
      <c r="E11" s="891">
        <v>7</v>
      </c>
      <c r="F11"/>
      <c r="G11"/>
      <c r="H11"/>
      <c r="I11" s="857"/>
      <c r="J11" s="34" t="s">
        <v>248</v>
      </c>
      <c r="K11" s="34" t="s">
        <v>249</v>
      </c>
      <c r="L11" s="34" t="s">
        <v>248</v>
      </c>
      <c r="M11" s="34" t="s">
        <v>249</v>
      </c>
      <c r="N11" s="33"/>
    </row>
    <row r="12" spans="1:14" ht="15.75" thickBot="1">
      <c r="A12" s="889"/>
      <c r="B12" s="889"/>
      <c r="C12" s="889" t="s">
        <v>58</v>
      </c>
      <c r="D12" s="889">
        <v>45205</v>
      </c>
      <c r="E12" s="889">
        <v>3</v>
      </c>
      <c r="F12"/>
      <c r="G12"/>
      <c r="H12"/>
      <c r="I12" s="35" t="s">
        <v>250</v>
      </c>
      <c r="J12" s="34">
        <v>22</v>
      </c>
      <c r="K12" s="34">
        <v>2</v>
      </c>
      <c r="L12" s="34"/>
      <c r="M12" s="34"/>
      <c r="N12" s="36"/>
    </row>
    <row r="13" spans="1:14" ht="15.75" thickBot="1">
      <c r="A13" s="889"/>
      <c r="B13" s="889"/>
      <c r="C13" s="889"/>
      <c r="D13" s="889">
        <v>45296</v>
      </c>
      <c r="E13" s="889">
        <v>4</v>
      </c>
      <c r="F13"/>
      <c r="G13"/>
      <c r="H13"/>
      <c r="I13" s="35" t="s">
        <v>251</v>
      </c>
      <c r="J13" s="34">
        <v>5</v>
      </c>
      <c r="K13" s="34">
        <v>5</v>
      </c>
      <c r="L13" s="34"/>
      <c r="M13" s="34"/>
      <c r="N13" s="37"/>
    </row>
    <row r="14" spans="1:14" ht="15.75" thickBot="1">
      <c r="A14" s="889"/>
      <c r="B14" s="889"/>
      <c r="C14" s="891" t="s">
        <v>3660</v>
      </c>
      <c r="D14" s="891"/>
      <c r="E14" s="891">
        <v>7</v>
      </c>
      <c r="F14"/>
      <c r="G14"/>
      <c r="H14"/>
      <c r="I14" s="38" t="s">
        <v>20</v>
      </c>
      <c r="J14" s="39">
        <v>1</v>
      </c>
      <c r="K14" s="39">
        <v>19</v>
      </c>
      <c r="L14" s="39"/>
      <c r="M14" s="39"/>
      <c r="N14" s="37"/>
    </row>
    <row r="15" spans="1:14" ht="15.75" thickBot="1">
      <c r="A15" s="889"/>
      <c r="B15" s="889"/>
      <c r="C15" s="889" t="s">
        <v>4163</v>
      </c>
      <c r="D15" s="889">
        <v>45296</v>
      </c>
      <c r="E15" s="889">
        <v>1</v>
      </c>
      <c r="F15"/>
      <c r="G15"/>
      <c r="H15"/>
      <c r="I15" s="860" t="s">
        <v>252</v>
      </c>
      <c r="J15" s="40">
        <f>SUM(J12:J14)</f>
        <v>28</v>
      </c>
      <c r="K15" s="40">
        <f>SUM(K12:K14)</f>
        <v>26</v>
      </c>
      <c r="L15" s="40"/>
      <c r="M15" s="40"/>
      <c r="N15" s="860"/>
    </row>
    <row r="16" spans="1:14" ht="15.75" thickBot="1">
      <c r="A16" s="889"/>
      <c r="B16" s="889"/>
      <c r="C16" s="891" t="s">
        <v>4448</v>
      </c>
      <c r="D16" s="891"/>
      <c r="E16" s="891">
        <v>1</v>
      </c>
      <c r="F16"/>
      <c r="G16"/>
      <c r="H16"/>
      <c r="I16" s="861"/>
      <c r="J16" s="862">
        <f>J15+K15</f>
        <v>54</v>
      </c>
      <c r="K16" s="863"/>
      <c r="L16" s="862"/>
      <c r="M16" s="863"/>
      <c r="N16" s="861"/>
    </row>
    <row r="17" spans="1:14" ht="15" thickBot="1">
      <c r="A17" s="889"/>
      <c r="B17" s="889" t="s">
        <v>4013</v>
      </c>
      <c r="C17" s="889" t="s">
        <v>201</v>
      </c>
      <c r="D17" s="889">
        <v>45348</v>
      </c>
      <c r="E17" s="889">
        <v>1</v>
      </c>
      <c r="F17"/>
      <c r="G17"/>
      <c r="H17"/>
      <c r="I17" s="33"/>
      <c r="J17" s="33"/>
      <c r="K17" s="33"/>
      <c r="L17" s="33"/>
      <c r="M17" s="33"/>
      <c r="N17" s="33"/>
    </row>
    <row r="18" spans="1:14" ht="15">
      <c r="A18" s="889"/>
      <c r="B18" s="889"/>
      <c r="C18" s="891" t="s">
        <v>4449</v>
      </c>
      <c r="D18" s="891"/>
      <c r="E18" s="891">
        <v>1</v>
      </c>
      <c r="F18"/>
      <c r="G18"/>
      <c r="H18"/>
      <c r="I18" s="864" t="s">
        <v>253</v>
      </c>
      <c r="J18" s="865"/>
      <c r="K18" s="41"/>
      <c r="L18" s="33"/>
      <c r="M18" s="33"/>
      <c r="N18" s="33"/>
    </row>
    <row r="19" spans="1:14" ht="15.75" thickBot="1">
      <c r="A19" s="889" t="s">
        <v>4450</v>
      </c>
      <c r="B19" s="889"/>
      <c r="C19" s="889"/>
      <c r="D19" s="889"/>
      <c r="E19" s="889">
        <v>16</v>
      </c>
      <c r="F19"/>
      <c r="G19"/>
      <c r="H19"/>
      <c r="I19" s="866" t="s">
        <v>254</v>
      </c>
      <c r="J19" s="867"/>
      <c r="K19" s="34"/>
      <c r="L19" s="33"/>
      <c r="M19" s="33"/>
      <c r="N19" s="33"/>
    </row>
    <row r="20" spans="1:14" ht="15.75" thickBot="1">
      <c r="A20" s="889" t="s">
        <v>2979</v>
      </c>
      <c r="B20" s="889" t="s">
        <v>15</v>
      </c>
      <c r="C20" s="889" t="s">
        <v>17</v>
      </c>
      <c r="D20" s="889" t="s">
        <v>4312</v>
      </c>
      <c r="E20" s="889">
        <v>1</v>
      </c>
      <c r="F20"/>
      <c r="G20"/>
      <c r="H20"/>
      <c r="I20" s="42"/>
      <c r="J20" s="43"/>
      <c r="K20" s="34"/>
      <c r="L20" s="33"/>
      <c r="M20" s="33"/>
      <c r="N20" s="33"/>
    </row>
    <row r="21" spans="1:14">
      <c r="A21" s="889"/>
      <c r="B21" s="889"/>
      <c r="C21" s="889"/>
      <c r="D21" s="889">
        <v>45355</v>
      </c>
      <c r="E21" s="889">
        <v>12</v>
      </c>
      <c r="F21"/>
      <c r="G21"/>
      <c r="H21"/>
    </row>
    <row r="22" spans="1:14">
      <c r="A22" s="889"/>
      <c r="B22" s="889"/>
      <c r="C22" s="889"/>
      <c r="D22" s="889">
        <v>45380</v>
      </c>
      <c r="E22" s="889">
        <v>3</v>
      </c>
      <c r="F22"/>
      <c r="G22"/>
      <c r="H22"/>
    </row>
    <row r="23" spans="1:14" ht="15" thickBot="1">
      <c r="A23" s="889"/>
      <c r="B23" s="889"/>
      <c r="C23" s="891" t="s">
        <v>3652</v>
      </c>
      <c r="D23" s="891"/>
      <c r="E23" s="891">
        <v>16</v>
      </c>
      <c r="F23"/>
      <c r="G23"/>
      <c r="H23"/>
    </row>
    <row r="24" spans="1:14" ht="15.75" thickBot="1">
      <c r="A24" s="889"/>
      <c r="B24" s="889"/>
      <c r="C24" s="889" t="s">
        <v>58</v>
      </c>
      <c r="D24" s="889">
        <v>45354</v>
      </c>
      <c r="E24" s="889">
        <v>4</v>
      </c>
      <c r="F24"/>
      <c r="G24"/>
      <c r="H24"/>
      <c r="I24" s="856" t="s">
        <v>255</v>
      </c>
      <c r="J24" s="855" t="s">
        <v>246</v>
      </c>
      <c r="K24" s="854"/>
      <c r="L24" s="853" t="s">
        <v>247</v>
      </c>
      <c r="M24" s="854"/>
      <c r="N24" s="33"/>
    </row>
    <row r="25" spans="1:14" ht="15.75" thickBot="1">
      <c r="A25" s="889"/>
      <c r="B25" s="889"/>
      <c r="C25" s="891" t="s">
        <v>3660</v>
      </c>
      <c r="D25" s="891"/>
      <c r="E25" s="891">
        <v>4</v>
      </c>
      <c r="F25"/>
      <c r="G25"/>
      <c r="H25"/>
      <c r="I25" s="857"/>
      <c r="J25" s="34" t="s">
        <v>248</v>
      </c>
      <c r="K25" s="34" t="s">
        <v>249</v>
      </c>
      <c r="L25" s="34" t="s">
        <v>248</v>
      </c>
      <c r="M25" s="34" t="s">
        <v>249</v>
      </c>
      <c r="N25" s="33"/>
    </row>
    <row r="26" spans="1:14" ht="15.75" thickBot="1">
      <c r="A26" s="889"/>
      <c r="B26" s="889" t="s">
        <v>4013</v>
      </c>
      <c r="C26" s="889" t="s">
        <v>201</v>
      </c>
      <c r="D26" s="889">
        <v>45387</v>
      </c>
      <c r="E26" s="889">
        <v>1</v>
      </c>
      <c r="F26"/>
      <c r="G26"/>
      <c r="H26"/>
      <c r="I26" s="35" t="s">
        <v>250</v>
      </c>
      <c r="J26" s="34">
        <v>29</v>
      </c>
      <c r="K26" s="34">
        <v>14</v>
      </c>
      <c r="L26" s="34"/>
      <c r="M26" s="34"/>
      <c r="N26" s="36"/>
    </row>
    <row r="27" spans="1:14" ht="15.75" thickBot="1">
      <c r="A27" s="889"/>
      <c r="B27" s="889"/>
      <c r="C27" s="891" t="s">
        <v>4449</v>
      </c>
      <c r="D27" s="891"/>
      <c r="E27" s="891">
        <v>1</v>
      </c>
      <c r="F27"/>
      <c r="G27"/>
      <c r="H27"/>
      <c r="I27" s="35" t="s">
        <v>251</v>
      </c>
      <c r="J27" s="34">
        <v>3</v>
      </c>
      <c r="K27" s="34">
        <v>0</v>
      </c>
      <c r="L27" s="34"/>
      <c r="M27" s="34"/>
      <c r="N27" s="37"/>
    </row>
    <row r="28" spans="1:14" ht="15.75" thickBot="1">
      <c r="A28" s="889"/>
      <c r="B28" s="889"/>
      <c r="C28" s="889" t="s">
        <v>4404</v>
      </c>
      <c r="D28" s="889">
        <v>45354</v>
      </c>
      <c r="E28" s="889">
        <v>1</v>
      </c>
      <c r="F28"/>
      <c r="G28"/>
      <c r="H28"/>
      <c r="I28" s="38" t="s">
        <v>20</v>
      </c>
      <c r="J28" s="39">
        <v>0</v>
      </c>
      <c r="K28" s="39">
        <v>0</v>
      </c>
      <c r="L28" s="39"/>
      <c r="M28" s="39"/>
      <c r="N28" s="37"/>
    </row>
    <row r="29" spans="1:14" ht="15.75" thickBot="1">
      <c r="A29" s="889"/>
      <c r="B29" s="889"/>
      <c r="C29" s="891" t="s">
        <v>4451</v>
      </c>
      <c r="D29" s="891"/>
      <c r="E29" s="891">
        <v>1</v>
      </c>
      <c r="F29"/>
      <c r="G29"/>
      <c r="H29"/>
      <c r="I29" s="860" t="s">
        <v>252</v>
      </c>
      <c r="J29" s="40">
        <f>SUM(J26:J28)</f>
        <v>32</v>
      </c>
      <c r="K29" s="40">
        <f>SUM(K26:K28)</f>
        <v>14</v>
      </c>
      <c r="L29" s="40"/>
      <c r="M29" s="40"/>
      <c r="N29" s="860"/>
    </row>
    <row r="30" spans="1:14" ht="15.75" thickBot="1">
      <c r="A30" s="889"/>
      <c r="B30" s="889"/>
      <c r="C30" s="889" t="s">
        <v>4406</v>
      </c>
      <c r="D30" s="889">
        <v>45354</v>
      </c>
      <c r="E30" s="889">
        <v>1</v>
      </c>
      <c r="F30"/>
      <c r="G30"/>
      <c r="H30"/>
      <c r="I30" s="861"/>
      <c r="J30" s="862">
        <f>J29+K29</f>
        <v>46</v>
      </c>
      <c r="K30" s="863"/>
      <c r="L30" s="862"/>
      <c r="M30" s="863"/>
      <c r="N30" s="861"/>
    </row>
    <row r="31" spans="1:14" ht="15" thickBot="1">
      <c r="A31" s="889"/>
      <c r="B31" s="889"/>
      <c r="C31" s="891" t="s">
        <v>4452</v>
      </c>
      <c r="D31" s="891"/>
      <c r="E31" s="891">
        <v>1</v>
      </c>
      <c r="F31"/>
      <c r="G31"/>
      <c r="H31"/>
      <c r="I31" s="33"/>
      <c r="J31" s="33"/>
      <c r="K31" s="33"/>
      <c r="L31" s="33"/>
      <c r="M31" s="33"/>
      <c r="N31" s="33"/>
    </row>
    <row r="32" spans="1:14" ht="15">
      <c r="A32" s="889" t="s">
        <v>4453</v>
      </c>
      <c r="B32" s="889"/>
      <c r="C32" s="889"/>
      <c r="D32" s="889"/>
      <c r="E32" s="889">
        <v>23</v>
      </c>
      <c r="F32"/>
      <c r="G32"/>
      <c r="H32"/>
      <c r="I32" s="864" t="s">
        <v>253</v>
      </c>
      <c r="J32" s="865"/>
      <c r="K32" s="41"/>
      <c r="L32" s="33"/>
      <c r="M32" s="33"/>
      <c r="N32" s="33"/>
    </row>
    <row r="33" spans="1:14" ht="15.75" thickBot="1">
      <c r="A33" s="889" t="s">
        <v>4243</v>
      </c>
      <c r="B33" s="889" t="s">
        <v>15</v>
      </c>
      <c r="C33" s="889" t="s">
        <v>17</v>
      </c>
      <c r="D33" s="889" t="s">
        <v>4390</v>
      </c>
      <c r="E33" s="889">
        <v>10</v>
      </c>
      <c r="F33"/>
      <c r="G33"/>
      <c r="H33"/>
      <c r="I33" s="866" t="s">
        <v>254</v>
      </c>
      <c r="J33" s="867"/>
      <c r="K33" s="34"/>
      <c r="L33" s="33"/>
      <c r="M33" s="33"/>
      <c r="N33" s="33"/>
    </row>
    <row r="34" spans="1:14" ht="15.75" thickBot="1">
      <c r="A34" s="889"/>
      <c r="B34" s="889"/>
      <c r="C34" s="891" t="s">
        <v>3652</v>
      </c>
      <c r="D34" s="891"/>
      <c r="E34" s="891">
        <v>10</v>
      </c>
      <c r="F34"/>
      <c r="G34"/>
      <c r="H34"/>
      <c r="I34" s="42"/>
      <c r="J34" s="43"/>
      <c r="K34" s="34"/>
      <c r="L34" s="33"/>
      <c r="M34" s="33"/>
      <c r="N34" s="33"/>
    </row>
    <row r="35" spans="1:14">
      <c r="A35" s="889"/>
      <c r="B35" s="889"/>
      <c r="C35" s="889" t="s">
        <v>58</v>
      </c>
      <c r="D35" s="889" t="s">
        <v>4390</v>
      </c>
      <c r="E35" s="889">
        <v>10</v>
      </c>
      <c r="F35"/>
      <c r="G35"/>
      <c r="H35"/>
    </row>
    <row r="36" spans="1:14">
      <c r="A36" s="889"/>
      <c r="B36" s="889"/>
      <c r="C36" s="891" t="s">
        <v>3660</v>
      </c>
      <c r="D36" s="891"/>
      <c r="E36" s="891">
        <v>10</v>
      </c>
      <c r="F36"/>
      <c r="G36"/>
      <c r="H36"/>
    </row>
    <row r="37" spans="1:14">
      <c r="A37" s="889" t="s">
        <v>4454</v>
      </c>
      <c r="B37" s="889"/>
      <c r="C37" s="889"/>
      <c r="D37" s="889"/>
      <c r="E37" s="889">
        <v>20</v>
      </c>
      <c r="F37"/>
      <c r="G37"/>
      <c r="H37"/>
    </row>
    <row r="38" spans="1:14">
      <c r="A38" s="889" t="s">
        <v>214</v>
      </c>
      <c r="B38" s="889"/>
      <c r="C38" s="889"/>
      <c r="D38" s="889"/>
      <c r="E38" s="889">
        <v>59</v>
      </c>
      <c r="F38"/>
      <c r="G38"/>
      <c r="H38"/>
    </row>
    <row r="39" spans="1:14">
      <c r="A39"/>
      <c r="B39"/>
      <c r="C39"/>
      <c r="D39"/>
      <c r="E39"/>
      <c r="F39"/>
      <c r="G39"/>
      <c r="H39"/>
      <c r="I39"/>
      <c r="J39"/>
    </row>
    <row r="40" spans="1:14">
      <c r="A40"/>
      <c r="B40"/>
      <c r="C40"/>
      <c r="D40" s="256"/>
      <c r="E40"/>
      <c r="F40"/>
      <c r="G40"/>
      <c r="H40"/>
      <c r="I40"/>
      <c r="J40"/>
    </row>
    <row r="41" spans="1:14">
      <c r="A41"/>
      <c r="B41"/>
      <c r="C41"/>
      <c r="D41" s="256"/>
      <c r="E41"/>
      <c r="F41"/>
      <c r="G41"/>
      <c r="H41"/>
      <c r="I41"/>
      <c r="J41"/>
    </row>
    <row r="42" spans="1:14">
      <c r="A42"/>
      <c r="B42"/>
      <c r="C42"/>
      <c r="D42" s="256"/>
      <c r="E42"/>
      <c r="F42"/>
      <c r="G42"/>
      <c r="H42"/>
      <c r="I42"/>
      <c r="J42"/>
    </row>
    <row r="43" spans="1:14">
      <c r="A43"/>
      <c r="B43"/>
      <c r="C43"/>
      <c r="D43" s="256"/>
      <c r="E43"/>
      <c r="F43"/>
      <c r="G43"/>
      <c r="H43"/>
      <c r="I43"/>
      <c r="J43"/>
    </row>
    <row r="44" spans="1:14">
      <c r="A44"/>
      <c r="B44"/>
      <c r="C44"/>
      <c r="D44" s="256"/>
      <c r="E44"/>
      <c r="F44"/>
      <c r="G44"/>
      <c r="H44"/>
      <c r="I44"/>
      <c r="J44"/>
    </row>
    <row r="45" spans="1:14">
      <c r="A45"/>
      <c r="B45"/>
      <c r="C45"/>
      <c r="D45" s="256"/>
      <c r="E45"/>
      <c r="F45"/>
      <c r="G45"/>
      <c r="H45"/>
    </row>
    <row r="46" spans="1:14">
      <c r="A46"/>
      <c r="B46"/>
      <c r="C46"/>
      <c r="D46" s="256"/>
      <c r="E46"/>
      <c r="F46"/>
      <c r="G46"/>
      <c r="H46"/>
    </row>
    <row r="47" spans="1:14">
      <c r="A47"/>
      <c r="B47"/>
      <c r="C47"/>
      <c r="D47" s="256"/>
      <c r="E47"/>
      <c r="F47"/>
      <c r="G47"/>
      <c r="H47"/>
    </row>
    <row r="48" spans="1:14">
      <c r="A48"/>
      <c r="B48"/>
      <c r="C48"/>
      <c r="D48" s="256"/>
      <c r="E48"/>
      <c r="F48"/>
      <c r="G48"/>
      <c r="H48"/>
    </row>
    <row r="49" spans="1:8">
      <c r="A49"/>
      <c r="B49"/>
      <c r="C49"/>
      <c r="D49" s="256"/>
      <c r="E49"/>
      <c r="F49"/>
      <c r="G49"/>
      <c r="H49"/>
    </row>
    <row r="50" spans="1:8">
      <c r="A50"/>
      <c r="B50"/>
      <c r="C50"/>
      <c r="D50" s="256"/>
      <c r="E50"/>
      <c r="F50"/>
      <c r="G50"/>
      <c r="H50"/>
    </row>
    <row r="51" spans="1:8">
      <c r="A51"/>
      <c r="B51"/>
      <c r="C51"/>
      <c r="D51" s="256"/>
      <c r="E51"/>
      <c r="F51"/>
      <c r="G51"/>
      <c r="H51"/>
    </row>
    <row r="52" spans="1:8">
      <c r="A52"/>
      <c r="B52"/>
      <c r="C52"/>
      <c r="D52" s="256"/>
      <c r="E52"/>
      <c r="F52"/>
      <c r="G52"/>
      <c r="H52"/>
    </row>
    <row r="53" spans="1:8">
      <c r="A53"/>
      <c r="B53"/>
      <c r="C53"/>
      <c r="D53" s="256"/>
      <c r="E53"/>
      <c r="F53"/>
      <c r="G53"/>
      <c r="H53"/>
    </row>
    <row r="54" spans="1:8">
      <c r="A54"/>
      <c r="B54"/>
      <c r="C54"/>
      <c r="D54" s="256"/>
      <c r="E54"/>
      <c r="F54"/>
      <c r="G54"/>
      <c r="H54"/>
    </row>
    <row r="55" spans="1:8">
      <c r="A55"/>
      <c r="B55"/>
      <c r="C55"/>
      <c r="D55" s="256"/>
      <c r="E55"/>
      <c r="F55"/>
      <c r="G55"/>
      <c r="H55"/>
    </row>
    <row r="56" spans="1:8">
      <c r="A56"/>
      <c r="B56"/>
      <c r="C56"/>
      <c r="D56" s="256"/>
      <c r="E56"/>
      <c r="F56"/>
      <c r="G56"/>
      <c r="H56"/>
    </row>
    <row r="57" spans="1:8">
      <c r="A57"/>
      <c r="B57"/>
      <c r="C57"/>
      <c r="D57" s="256"/>
      <c r="E57"/>
      <c r="F57"/>
      <c r="G57"/>
      <c r="H57"/>
    </row>
    <row r="58" spans="1:8">
      <c r="A58"/>
      <c r="B58"/>
      <c r="C58"/>
      <c r="D58" s="256"/>
      <c r="E58"/>
      <c r="F58"/>
      <c r="G58"/>
      <c r="H58"/>
    </row>
    <row r="59" spans="1:8">
      <c r="A59"/>
      <c r="B59"/>
      <c r="C59"/>
      <c r="D59" s="256"/>
      <c r="E59"/>
      <c r="F59"/>
      <c r="G59"/>
      <c r="H59"/>
    </row>
    <row r="60" spans="1:8">
      <c r="A60"/>
      <c r="B60"/>
      <c r="C60"/>
      <c r="D60" s="256"/>
      <c r="E60"/>
      <c r="F60"/>
      <c r="G60"/>
      <c r="H60"/>
    </row>
    <row r="61" spans="1:8">
      <c r="A61"/>
      <c r="B61"/>
      <c r="C61"/>
      <c r="D61" s="256"/>
      <c r="E61"/>
    </row>
    <row r="62" spans="1:8">
      <c r="A62"/>
      <c r="B62"/>
      <c r="C62"/>
      <c r="D62" s="256"/>
      <c r="E62"/>
    </row>
    <row r="63" spans="1:8">
      <c r="A63"/>
      <c r="B63"/>
      <c r="C63"/>
      <c r="D63" s="256"/>
      <c r="E63"/>
    </row>
    <row r="64" spans="1:8">
      <c r="A64"/>
      <c r="B64"/>
      <c r="C64"/>
      <c r="D64" s="256"/>
      <c r="E64"/>
    </row>
    <row r="65" spans="1:5">
      <c r="A65"/>
      <c r="B65"/>
      <c r="C65"/>
      <c r="D65" s="256"/>
      <c r="E65"/>
    </row>
    <row r="66" spans="1:5">
      <c r="A66"/>
      <c r="B66"/>
      <c r="C66"/>
      <c r="D66" s="256"/>
      <c r="E66"/>
    </row>
    <row r="67" spans="1:5">
      <c r="A67"/>
      <c r="B67"/>
      <c r="C67"/>
      <c r="D67" s="256"/>
      <c r="E67"/>
    </row>
    <row r="68" spans="1:5">
      <c r="A68"/>
      <c r="B68"/>
      <c r="C68"/>
      <c r="D68" s="256"/>
      <c r="E68"/>
    </row>
    <row r="69" spans="1:5">
      <c r="A69"/>
      <c r="B69"/>
      <c r="C69"/>
      <c r="D69" s="256"/>
      <c r="E69"/>
    </row>
    <row r="70" spans="1:5">
      <c r="A70"/>
      <c r="B70"/>
      <c r="C70"/>
      <c r="D70" s="256"/>
      <c r="E70"/>
    </row>
    <row r="71" spans="1:5">
      <c r="A71"/>
      <c r="B71"/>
      <c r="C71"/>
      <c r="D71" s="256"/>
      <c r="E71"/>
    </row>
    <row r="72" spans="1:5">
      <c r="A72"/>
      <c r="B72"/>
      <c r="C72"/>
      <c r="D72" s="256"/>
      <c r="E72"/>
    </row>
    <row r="73" spans="1:5">
      <c r="A73"/>
      <c r="B73"/>
      <c r="C73"/>
      <c r="D73" s="256"/>
      <c r="E73"/>
    </row>
    <row r="74" spans="1:5">
      <c r="A74"/>
      <c r="B74"/>
      <c r="C74"/>
      <c r="D74" s="256"/>
      <c r="E74"/>
    </row>
    <row r="75" spans="1:5">
      <c r="A75"/>
      <c r="B75"/>
      <c r="C75"/>
      <c r="D75" s="256"/>
      <c r="E75"/>
    </row>
    <row r="76" spans="1:5">
      <c r="A76"/>
      <c r="B76"/>
      <c r="C76"/>
      <c r="D76" s="256"/>
      <c r="E76"/>
    </row>
    <row r="77" spans="1:5">
      <c r="A77"/>
      <c r="B77"/>
      <c r="C77"/>
      <c r="D77" s="256"/>
      <c r="E77"/>
    </row>
    <row r="78" spans="1:5">
      <c r="A78"/>
      <c r="B78"/>
      <c r="C78"/>
      <c r="D78" s="256"/>
      <c r="E78"/>
    </row>
    <row r="79" spans="1:5">
      <c r="A79"/>
      <c r="B79"/>
      <c r="C79"/>
      <c r="D79" s="256"/>
      <c r="E79"/>
    </row>
    <row r="80" spans="1:5">
      <c r="A80"/>
      <c r="B80"/>
      <c r="C80"/>
      <c r="D80" s="256"/>
      <c r="E80"/>
    </row>
    <row r="81" spans="1:5">
      <c r="A81"/>
      <c r="B81"/>
      <c r="C81"/>
      <c r="D81" s="256"/>
      <c r="E81"/>
    </row>
    <row r="82" spans="1:5">
      <c r="A82"/>
      <c r="B82"/>
      <c r="C82"/>
      <c r="D82" s="256"/>
      <c r="E82"/>
    </row>
    <row r="83" spans="1:5">
      <c r="A83"/>
      <c r="B83"/>
      <c r="C83"/>
      <c r="D83" s="256"/>
      <c r="E83"/>
    </row>
    <row r="84" spans="1:5">
      <c r="A84"/>
      <c r="B84"/>
      <c r="C84"/>
      <c r="D84" s="256"/>
      <c r="E84"/>
    </row>
    <row r="85" spans="1:5">
      <c r="A85"/>
      <c r="B85"/>
      <c r="C85"/>
      <c r="D85" s="256"/>
      <c r="E85"/>
    </row>
    <row r="86" spans="1:5">
      <c r="A86"/>
      <c r="B86"/>
      <c r="C86"/>
      <c r="D86" s="256"/>
      <c r="E86"/>
    </row>
    <row r="87" spans="1:5">
      <c r="A87"/>
      <c r="B87"/>
      <c r="C87"/>
      <c r="D87" s="256"/>
      <c r="E87"/>
    </row>
    <row r="88" spans="1:5">
      <c r="A88"/>
      <c r="B88"/>
      <c r="C88"/>
      <c r="D88" s="256"/>
      <c r="E88"/>
    </row>
    <row r="89" spans="1:5">
      <c r="A89"/>
      <c r="B89"/>
      <c r="C89"/>
      <c r="D89" s="256"/>
      <c r="E89"/>
    </row>
    <row r="90" spans="1:5">
      <c r="A90"/>
      <c r="B90"/>
      <c r="C90"/>
      <c r="D90" s="256"/>
      <c r="E90"/>
    </row>
    <row r="91" spans="1:5">
      <c r="A91"/>
      <c r="B91"/>
      <c r="C91"/>
      <c r="D91" s="256"/>
      <c r="E91"/>
    </row>
    <row r="92" spans="1:5">
      <c r="A92"/>
      <c r="B92"/>
      <c r="C92"/>
      <c r="D92" s="256"/>
      <c r="E92"/>
    </row>
    <row r="93" spans="1:5">
      <c r="A93"/>
      <c r="B93"/>
      <c r="C93"/>
      <c r="D93" s="256"/>
      <c r="E93"/>
    </row>
    <row r="94" spans="1:5">
      <c r="A94"/>
      <c r="B94"/>
      <c r="C94"/>
      <c r="D94" s="256"/>
      <c r="E94"/>
    </row>
    <row r="95" spans="1:5">
      <c r="A95"/>
      <c r="B95"/>
      <c r="C95"/>
      <c r="D95" s="256"/>
      <c r="E95"/>
    </row>
    <row r="96" spans="1:5">
      <c r="A96"/>
      <c r="B96"/>
      <c r="C96"/>
      <c r="D96" s="256"/>
      <c r="E96"/>
    </row>
    <row r="97" spans="1:5">
      <c r="A97"/>
      <c r="B97"/>
      <c r="C97"/>
      <c r="D97" s="256"/>
      <c r="E97"/>
    </row>
    <row r="98" spans="1:5">
      <c r="A98"/>
      <c r="B98"/>
      <c r="C98"/>
      <c r="D98" s="256"/>
      <c r="E98"/>
    </row>
    <row r="99" spans="1:5">
      <c r="A99"/>
      <c r="B99"/>
      <c r="C99"/>
      <c r="D99" s="256"/>
      <c r="E99"/>
    </row>
    <row r="100" spans="1:5">
      <c r="A100"/>
      <c r="B100"/>
      <c r="C100"/>
      <c r="D100" s="256"/>
      <c r="E100"/>
    </row>
    <row r="101" spans="1:5">
      <c r="A101"/>
      <c r="B101"/>
      <c r="C101"/>
      <c r="D101" s="256"/>
      <c r="E101"/>
    </row>
    <row r="102" spans="1:5">
      <c r="A102"/>
      <c r="B102"/>
      <c r="C102"/>
      <c r="D102" s="256"/>
      <c r="E102"/>
    </row>
    <row r="103" spans="1:5">
      <c r="A103"/>
      <c r="B103"/>
      <c r="C103"/>
      <c r="D103" s="256"/>
      <c r="E103"/>
    </row>
    <row r="104" spans="1:5">
      <c r="A104"/>
      <c r="B104"/>
      <c r="C104"/>
      <c r="D104" s="256"/>
      <c r="E104"/>
    </row>
    <row r="105" spans="1:5">
      <c r="A105"/>
      <c r="B105"/>
      <c r="C105"/>
      <c r="D105" s="256"/>
      <c r="E105"/>
    </row>
    <row r="106" spans="1:5">
      <c r="A106"/>
      <c r="B106"/>
      <c r="C106"/>
      <c r="D106" s="256"/>
      <c r="E106"/>
    </row>
    <row r="107" spans="1:5">
      <c r="A107"/>
      <c r="B107"/>
      <c r="C107"/>
      <c r="D107" s="256"/>
      <c r="E107"/>
    </row>
    <row r="108" spans="1:5">
      <c r="A108"/>
      <c r="B108"/>
      <c r="C108"/>
      <c r="D108" s="256"/>
      <c r="E108"/>
    </row>
    <row r="109" spans="1:5">
      <c r="A109"/>
      <c r="B109"/>
      <c r="C109"/>
      <c r="D109" s="256"/>
      <c r="E109"/>
    </row>
    <row r="110" spans="1:5">
      <c r="A110"/>
      <c r="B110"/>
      <c r="C110"/>
      <c r="D110" s="256"/>
      <c r="E110"/>
    </row>
    <row r="111" spans="1:5">
      <c r="A111"/>
      <c r="B111"/>
      <c r="C111"/>
      <c r="D111" s="256"/>
      <c r="E111"/>
    </row>
    <row r="112" spans="1:5">
      <c r="A112"/>
      <c r="B112"/>
      <c r="C112"/>
      <c r="D112" s="256"/>
      <c r="E112"/>
    </row>
    <row r="113" spans="1:5">
      <c r="A113"/>
      <c r="B113"/>
      <c r="C113"/>
      <c r="D113" s="256"/>
      <c r="E113"/>
    </row>
    <row r="114" spans="1:5">
      <c r="A114"/>
      <c r="B114"/>
      <c r="C114"/>
      <c r="D114" s="256"/>
      <c r="E114"/>
    </row>
    <row r="115" spans="1:5">
      <c r="A115"/>
      <c r="B115"/>
      <c r="C115"/>
      <c r="D115" s="256"/>
      <c r="E115"/>
    </row>
    <row r="116" spans="1:5">
      <c r="A116"/>
      <c r="B116"/>
      <c r="C116"/>
      <c r="D116" s="256"/>
      <c r="E116"/>
    </row>
    <row r="117" spans="1:5">
      <c r="A117"/>
      <c r="B117"/>
      <c r="C117"/>
      <c r="D117" s="256"/>
      <c r="E117"/>
    </row>
    <row r="118" spans="1:5">
      <c r="A118"/>
      <c r="B118"/>
      <c r="C118"/>
      <c r="D118" s="256"/>
      <c r="E118"/>
    </row>
    <row r="119" spans="1:5">
      <c r="A119"/>
      <c r="B119"/>
      <c r="C119"/>
      <c r="D119" s="256"/>
      <c r="E119"/>
    </row>
    <row r="120" spans="1:5">
      <c r="A120"/>
      <c r="B120"/>
      <c r="C120"/>
      <c r="D120" s="256"/>
      <c r="E120"/>
    </row>
    <row r="121" spans="1:5">
      <c r="A121"/>
      <c r="B121"/>
      <c r="C121"/>
      <c r="D121" s="256"/>
      <c r="E121"/>
    </row>
    <row r="122" spans="1:5">
      <c r="A122"/>
      <c r="B122"/>
      <c r="C122"/>
      <c r="D122" s="256"/>
      <c r="E122"/>
    </row>
    <row r="123" spans="1:5">
      <c r="A123"/>
      <c r="B123"/>
      <c r="C123"/>
      <c r="D123" s="256"/>
      <c r="E123"/>
    </row>
    <row r="124" spans="1:5">
      <c r="A124"/>
      <c r="B124"/>
      <c r="C124"/>
      <c r="D124" s="256"/>
      <c r="E124"/>
    </row>
    <row r="125" spans="1:5">
      <c r="A125"/>
      <c r="B125"/>
      <c r="C125"/>
      <c r="D125" s="256"/>
      <c r="E125"/>
    </row>
    <row r="126" spans="1:5">
      <c r="A126"/>
      <c r="B126"/>
      <c r="C126"/>
      <c r="D126" s="256"/>
      <c r="E126"/>
    </row>
    <row r="127" spans="1:5">
      <c r="A127"/>
      <c r="B127"/>
      <c r="C127"/>
      <c r="D127" s="256"/>
      <c r="E127"/>
    </row>
    <row r="128" spans="1:5">
      <c r="A128"/>
      <c r="B128"/>
      <c r="C128"/>
      <c r="D128" s="256"/>
      <c r="E128"/>
    </row>
    <row r="129" spans="1:5">
      <c r="A129"/>
      <c r="B129"/>
      <c r="C129"/>
      <c r="D129" s="256"/>
      <c r="E129"/>
    </row>
    <row r="130" spans="1:5">
      <c r="A130"/>
      <c r="B130"/>
      <c r="C130"/>
      <c r="D130" s="256"/>
      <c r="E130"/>
    </row>
    <row r="131" spans="1:5">
      <c r="A131"/>
      <c r="B131"/>
      <c r="C131"/>
      <c r="D131" s="256"/>
      <c r="E131"/>
    </row>
    <row r="132" spans="1:5">
      <c r="A132"/>
      <c r="B132"/>
      <c r="C132"/>
      <c r="D132" s="256"/>
      <c r="E132"/>
    </row>
    <row r="133" spans="1:5">
      <c r="A133"/>
      <c r="B133"/>
      <c r="C133"/>
      <c r="D133" s="256"/>
      <c r="E133"/>
    </row>
    <row r="134" spans="1:5">
      <c r="A134"/>
      <c r="B134"/>
      <c r="C134"/>
      <c r="D134" s="256"/>
      <c r="E134"/>
    </row>
    <row r="135" spans="1:5">
      <c r="A135"/>
      <c r="B135"/>
      <c r="C135"/>
      <c r="D135" s="256"/>
      <c r="E135"/>
    </row>
    <row r="136" spans="1:5">
      <c r="A136"/>
      <c r="B136"/>
      <c r="C136"/>
      <c r="D136" s="256"/>
      <c r="E136"/>
    </row>
    <row r="137" spans="1:5">
      <c r="A137"/>
      <c r="B137"/>
      <c r="C137"/>
      <c r="D137" s="256"/>
      <c r="E137"/>
    </row>
    <row r="138" spans="1:5">
      <c r="A138"/>
      <c r="B138"/>
      <c r="C138"/>
      <c r="D138" s="256"/>
      <c r="E138"/>
    </row>
    <row r="139" spans="1:5">
      <c r="A139"/>
      <c r="B139"/>
      <c r="C139"/>
      <c r="D139" s="256"/>
      <c r="E139"/>
    </row>
    <row r="140" spans="1:5">
      <c r="A140"/>
      <c r="B140"/>
      <c r="C140"/>
      <c r="D140" s="256"/>
      <c r="E140"/>
    </row>
    <row r="141" spans="1:5">
      <c r="A141"/>
      <c r="B141"/>
      <c r="C141"/>
      <c r="D141" s="256"/>
      <c r="E141"/>
    </row>
    <row r="142" spans="1:5">
      <c r="A142"/>
      <c r="B142"/>
      <c r="C142"/>
      <c r="D142" s="256"/>
      <c r="E142"/>
    </row>
    <row r="143" spans="1:5">
      <c r="A143"/>
      <c r="B143"/>
      <c r="C143"/>
      <c r="D143" s="256"/>
      <c r="E143"/>
    </row>
    <row r="144" spans="1:5">
      <c r="A144"/>
      <c r="B144"/>
      <c r="C144"/>
      <c r="D144" s="256"/>
      <c r="E144"/>
    </row>
    <row r="145" spans="1:5">
      <c r="A145"/>
      <c r="B145"/>
      <c r="C145"/>
      <c r="D145" s="256"/>
      <c r="E145"/>
    </row>
    <row r="146" spans="1:5">
      <c r="A146"/>
      <c r="B146"/>
      <c r="C146"/>
      <c r="D146" s="256"/>
      <c r="E146"/>
    </row>
    <row r="147" spans="1:5">
      <c r="A147"/>
      <c r="B147"/>
      <c r="C147"/>
      <c r="D147" s="256"/>
      <c r="E147"/>
    </row>
    <row r="148" spans="1:5">
      <c r="A148"/>
      <c r="B148"/>
      <c r="C148"/>
      <c r="D148" s="256"/>
      <c r="E148"/>
    </row>
    <row r="149" spans="1:5">
      <c r="A149"/>
      <c r="B149"/>
      <c r="C149"/>
      <c r="D149" s="256"/>
      <c r="E149"/>
    </row>
    <row r="150" spans="1:5">
      <c r="A150"/>
      <c r="B150"/>
      <c r="C150"/>
      <c r="D150" s="256"/>
      <c r="E150"/>
    </row>
    <row r="151" spans="1:5">
      <c r="A151"/>
      <c r="B151"/>
      <c r="C151"/>
      <c r="D151" s="256"/>
      <c r="E151"/>
    </row>
    <row r="152" spans="1:5">
      <c r="A152"/>
      <c r="B152"/>
      <c r="C152"/>
      <c r="D152" s="256"/>
      <c r="E152"/>
    </row>
    <row r="153" spans="1:5">
      <c r="A153"/>
      <c r="B153"/>
      <c r="C153"/>
      <c r="D153" s="256"/>
      <c r="E153"/>
    </row>
    <row r="154" spans="1:5">
      <c r="A154"/>
      <c r="B154"/>
      <c r="C154"/>
      <c r="D154" s="256"/>
      <c r="E154"/>
    </row>
    <row r="155" spans="1:5">
      <c r="A155"/>
      <c r="B155"/>
      <c r="C155"/>
      <c r="D155" s="256"/>
      <c r="E155"/>
    </row>
    <row r="156" spans="1:5">
      <c r="A156"/>
      <c r="B156"/>
      <c r="C156"/>
      <c r="D156" s="256"/>
      <c r="E156"/>
    </row>
    <row r="157" spans="1:5">
      <c r="A157"/>
      <c r="B157"/>
      <c r="C157"/>
      <c r="D157" s="256"/>
      <c r="E157"/>
    </row>
    <row r="158" spans="1:5">
      <c r="A158"/>
      <c r="B158"/>
      <c r="C158"/>
      <c r="D158" s="256"/>
      <c r="E158"/>
    </row>
    <row r="159" spans="1:5">
      <c r="A159"/>
      <c r="B159"/>
      <c r="C159"/>
      <c r="D159" s="256"/>
      <c r="E159"/>
    </row>
    <row r="160" spans="1:5">
      <c r="A160"/>
      <c r="B160"/>
      <c r="C160"/>
      <c r="D160" s="256"/>
      <c r="E160"/>
    </row>
    <row r="161" spans="1:5">
      <c r="A161"/>
      <c r="B161"/>
      <c r="C161"/>
      <c r="D161" s="256"/>
      <c r="E161"/>
    </row>
    <row r="162" spans="1:5">
      <c r="A162"/>
      <c r="B162"/>
      <c r="C162"/>
      <c r="D162" s="256"/>
      <c r="E162"/>
    </row>
    <row r="163" spans="1:5">
      <c r="A163"/>
      <c r="B163"/>
      <c r="C163"/>
      <c r="D163" s="256"/>
      <c r="E163"/>
    </row>
    <row r="164" spans="1:5">
      <c r="A164"/>
      <c r="B164"/>
      <c r="C164"/>
      <c r="D164" s="256"/>
      <c r="E164"/>
    </row>
    <row r="165" spans="1:5">
      <c r="A165"/>
      <c r="B165"/>
      <c r="C165"/>
      <c r="D165" s="256"/>
      <c r="E165"/>
    </row>
    <row r="166" spans="1:5">
      <c r="A166"/>
      <c r="B166"/>
      <c r="C166"/>
      <c r="D166" s="256"/>
      <c r="E166"/>
    </row>
    <row r="167" spans="1:5">
      <c r="A167"/>
      <c r="B167"/>
      <c r="C167"/>
      <c r="D167" s="256"/>
      <c r="E167"/>
    </row>
    <row r="168" spans="1:5">
      <c r="A168"/>
      <c r="B168"/>
      <c r="C168"/>
      <c r="D168" s="256"/>
      <c r="E168"/>
    </row>
    <row r="169" spans="1:5">
      <c r="A169"/>
      <c r="B169"/>
      <c r="C169"/>
      <c r="D169" s="256"/>
      <c r="E169"/>
    </row>
    <row r="170" spans="1:5">
      <c r="A170"/>
      <c r="B170"/>
      <c r="C170"/>
      <c r="D170" s="256"/>
      <c r="E170"/>
    </row>
    <row r="171" spans="1:5">
      <c r="A171"/>
      <c r="B171"/>
      <c r="C171"/>
      <c r="D171" s="256"/>
      <c r="E171"/>
    </row>
    <row r="172" spans="1:5">
      <c r="A172"/>
      <c r="B172"/>
      <c r="C172"/>
      <c r="D172" s="256"/>
      <c r="E172"/>
    </row>
    <row r="173" spans="1:5">
      <c r="A173"/>
      <c r="B173"/>
      <c r="C173"/>
      <c r="D173" s="256"/>
      <c r="E173"/>
    </row>
    <row r="174" spans="1:5">
      <c r="A174"/>
      <c r="B174"/>
      <c r="C174"/>
      <c r="D174" s="256"/>
      <c r="E174"/>
    </row>
    <row r="175" spans="1:5">
      <c r="A175"/>
      <c r="B175"/>
      <c r="C175"/>
      <c r="D175" s="256"/>
      <c r="E175"/>
    </row>
    <row r="176" spans="1:5">
      <c r="A176"/>
      <c r="B176"/>
      <c r="C176"/>
      <c r="D176" s="256"/>
      <c r="E176"/>
    </row>
    <row r="177" spans="1:5">
      <c r="A177"/>
      <c r="B177"/>
      <c r="C177"/>
      <c r="D177" s="256"/>
      <c r="E177"/>
    </row>
    <row r="178" spans="1:5">
      <c r="A178"/>
      <c r="B178"/>
      <c r="C178"/>
      <c r="D178" s="256"/>
      <c r="E178"/>
    </row>
    <row r="179" spans="1:5">
      <c r="A179"/>
      <c r="B179"/>
      <c r="C179"/>
      <c r="D179" s="256"/>
      <c r="E179"/>
    </row>
    <row r="180" spans="1:5">
      <c r="A180"/>
      <c r="B180"/>
      <c r="C180"/>
      <c r="D180" s="256"/>
      <c r="E180"/>
    </row>
    <row r="181" spans="1:5">
      <c r="A181"/>
      <c r="B181"/>
      <c r="C181"/>
      <c r="D181" s="256"/>
      <c r="E181"/>
    </row>
    <row r="182" spans="1:5">
      <c r="A182"/>
      <c r="B182"/>
      <c r="C182"/>
      <c r="D182" s="256"/>
      <c r="E182"/>
    </row>
    <row r="183" spans="1:5">
      <c r="A183"/>
      <c r="B183"/>
      <c r="C183"/>
      <c r="D183" s="256"/>
      <c r="E183"/>
    </row>
    <row r="184" spans="1:5">
      <c r="A184"/>
      <c r="B184"/>
      <c r="C184"/>
      <c r="D184" s="256"/>
      <c r="E184"/>
    </row>
    <row r="185" spans="1:5">
      <c r="A185"/>
      <c r="B185"/>
      <c r="C185"/>
      <c r="D185" s="256"/>
      <c r="E185"/>
    </row>
    <row r="186" spans="1:5">
      <c r="A186"/>
      <c r="B186"/>
      <c r="C186"/>
      <c r="D186" s="256"/>
      <c r="E186"/>
    </row>
    <row r="187" spans="1:5">
      <c r="A187"/>
      <c r="B187"/>
      <c r="C187"/>
      <c r="D187" s="256"/>
      <c r="E187"/>
    </row>
    <row r="188" spans="1:5">
      <c r="A188"/>
      <c r="B188"/>
      <c r="C188"/>
      <c r="D188" s="256"/>
      <c r="E188"/>
    </row>
    <row r="189" spans="1:5">
      <c r="A189"/>
      <c r="B189"/>
      <c r="C189"/>
      <c r="D189" s="256"/>
      <c r="E189"/>
    </row>
    <row r="190" spans="1:5">
      <c r="A190"/>
      <c r="B190"/>
      <c r="C190"/>
      <c r="D190" s="256"/>
      <c r="E190"/>
    </row>
    <row r="191" spans="1:5">
      <c r="A191"/>
      <c r="B191"/>
      <c r="C191"/>
      <c r="D191" s="256"/>
      <c r="E191"/>
    </row>
    <row r="192" spans="1:5">
      <c r="A192"/>
      <c r="B192"/>
      <c r="C192"/>
      <c r="D192" s="256"/>
      <c r="E192"/>
    </row>
    <row r="193" spans="1:5">
      <c r="A193"/>
      <c r="B193"/>
      <c r="C193"/>
      <c r="D193" s="256"/>
      <c r="E193"/>
    </row>
    <row r="194" spans="1:5">
      <c r="A194"/>
      <c r="B194"/>
      <c r="C194"/>
      <c r="D194" s="256"/>
      <c r="E194"/>
    </row>
    <row r="195" spans="1:5">
      <c r="A195"/>
      <c r="B195"/>
      <c r="C195"/>
      <c r="D195" s="256"/>
      <c r="E195"/>
    </row>
    <row r="196" spans="1:5">
      <c r="A196"/>
      <c r="B196"/>
      <c r="C196"/>
      <c r="D196" s="256"/>
      <c r="E196"/>
    </row>
    <row r="197" spans="1:5">
      <c r="A197"/>
      <c r="B197"/>
      <c r="C197"/>
      <c r="D197" s="256"/>
      <c r="E197"/>
    </row>
    <row r="198" spans="1:5">
      <c r="A198"/>
      <c r="B198"/>
      <c r="C198"/>
      <c r="D198" s="256"/>
      <c r="E198"/>
    </row>
    <row r="199" spans="1:5">
      <c r="A199"/>
      <c r="B199"/>
      <c r="C199"/>
      <c r="D199" s="256"/>
      <c r="E199"/>
    </row>
    <row r="200" spans="1:5">
      <c r="A200"/>
      <c r="B200"/>
      <c r="C200"/>
      <c r="D200" s="256"/>
      <c r="E200"/>
    </row>
    <row r="201" spans="1:5">
      <c r="A201"/>
      <c r="B201"/>
      <c r="C201"/>
      <c r="D201" s="256"/>
      <c r="E201"/>
    </row>
    <row r="202" spans="1:5">
      <c r="A202"/>
      <c r="B202"/>
      <c r="C202"/>
      <c r="D202" s="256"/>
      <c r="E202"/>
    </row>
    <row r="203" spans="1:5">
      <c r="A203"/>
      <c r="B203"/>
      <c r="C203"/>
      <c r="D203" s="256"/>
      <c r="E203"/>
    </row>
    <row r="204" spans="1:5">
      <c r="A204"/>
      <c r="B204"/>
      <c r="C204"/>
      <c r="D204" s="256"/>
      <c r="E204"/>
    </row>
    <row r="205" spans="1:5">
      <c r="A205"/>
      <c r="B205"/>
      <c r="C205"/>
      <c r="D205" s="256"/>
      <c r="E205"/>
    </row>
    <row r="206" spans="1:5">
      <c r="A206"/>
      <c r="B206"/>
      <c r="C206"/>
      <c r="D206" s="256"/>
      <c r="E206"/>
    </row>
    <row r="207" spans="1:5">
      <c r="A207"/>
      <c r="B207"/>
      <c r="C207"/>
      <c r="D207" s="256"/>
      <c r="E207"/>
    </row>
    <row r="208" spans="1:5">
      <c r="A208"/>
      <c r="B208"/>
      <c r="C208"/>
      <c r="D208" s="256"/>
      <c r="E208"/>
    </row>
    <row r="209" spans="1:5">
      <c r="A209"/>
      <c r="B209"/>
      <c r="C209"/>
      <c r="D209" s="256"/>
      <c r="E209"/>
    </row>
    <row r="210" spans="1:5">
      <c r="A210"/>
      <c r="B210"/>
      <c r="C210"/>
      <c r="D210" s="256"/>
      <c r="E210"/>
    </row>
    <row r="211" spans="1:5">
      <c r="A211"/>
      <c r="B211"/>
      <c r="C211"/>
      <c r="D211" s="256"/>
      <c r="E211"/>
    </row>
    <row r="212" spans="1:5">
      <c r="A212"/>
      <c r="B212"/>
      <c r="C212"/>
      <c r="D212" s="256"/>
      <c r="E212"/>
    </row>
    <row r="213" spans="1:5">
      <c r="A213"/>
      <c r="B213"/>
      <c r="C213"/>
      <c r="D213" s="256"/>
      <c r="E213"/>
    </row>
    <row r="214" spans="1:5">
      <c r="A214"/>
      <c r="B214"/>
      <c r="C214"/>
      <c r="D214" s="256"/>
      <c r="E214"/>
    </row>
    <row r="215" spans="1:5">
      <c r="A215"/>
      <c r="B215"/>
      <c r="C215"/>
      <c r="D215" s="256"/>
      <c r="E215"/>
    </row>
    <row r="216" spans="1:5">
      <c r="A216"/>
      <c r="B216"/>
      <c r="C216"/>
      <c r="D216" s="256"/>
      <c r="E216"/>
    </row>
    <row r="217" spans="1:5">
      <c r="A217"/>
      <c r="B217"/>
      <c r="C217"/>
      <c r="D217" s="256"/>
      <c r="E217"/>
    </row>
    <row r="218" spans="1:5">
      <c r="A218"/>
      <c r="B218"/>
      <c r="C218"/>
      <c r="D218" s="256"/>
      <c r="E218"/>
    </row>
    <row r="219" spans="1:5">
      <c r="A219"/>
      <c r="B219"/>
      <c r="C219"/>
      <c r="D219" s="256"/>
      <c r="E219"/>
    </row>
    <row r="220" spans="1:5">
      <c r="A220"/>
      <c r="B220"/>
      <c r="C220"/>
      <c r="D220" s="256"/>
      <c r="E220"/>
    </row>
    <row r="221" spans="1:5">
      <c r="A221"/>
      <c r="B221"/>
      <c r="C221"/>
      <c r="D221" s="256"/>
      <c r="E221"/>
    </row>
    <row r="222" spans="1:5">
      <c r="A222"/>
      <c r="B222"/>
      <c r="C222"/>
      <c r="D222" s="256"/>
      <c r="E222"/>
    </row>
    <row r="223" spans="1:5">
      <c r="A223"/>
      <c r="B223"/>
      <c r="C223"/>
      <c r="D223" s="256"/>
      <c r="E223"/>
    </row>
    <row r="224" spans="1:5">
      <c r="A224"/>
      <c r="B224"/>
      <c r="C224"/>
      <c r="D224" s="256"/>
      <c r="E224"/>
    </row>
    <row r="225" spans="1:5">
      <c r="A225"/>
      <c r="B225"/>
      <c r="C225"/>
      <c r="D225" s="256"/>
      <c r="E225"/>
    </row>
    <row r="226" spans="1:5">
      <c r="A226"/>
      <c r="B226"/>
      <c r="C226"/>
      <c r="D226" s="256"/>
      <c r="E226"/>
    </row>
    <row r="227" spans="1:5">
      <c r="A227"/>
      <c r="B227"/>
      <c r="C227"/>
      <c r="D227" s="256"/>
      <c r="E227"/>
    </row>
    <row r="228" spans="1:5">
      <c r="A228"/>
      <c r="B228"/>
      <c r="C228"/>
      <c r="D228" s="256"/>
      <c r="E228"/>
    </row>
    <row r="229" spans="1:5">
      <c r="A229"/>
      <c r="B229"/>
      <c r="C229"/>
      <c r="D229" s="256"/>
      <c r="E229"/>
    </row>
    <row r="230" spans="1:5">
      <c r="A230"/>
      <c r="B230"/>
      <c r="C230"/>
      <c r="D230" s="256"/>
      <c r="E230"/>
    </row>
    <row r="231" spans="1:5">
      <c r="A231"/>
      <c r="B231"/>
      <c r="C231"/>
      <c r="D231" s="256"/>
      <c r="E231"/>
    </row>
    <row r="232" spans="1:5">
      <c r="A232"/>
      <c r="B232"/>
      <c r="C232"/>
      <c r="D232" s="256"/>
      <c r="E232"/>
    </row>
    <row r="233" spans="1:5">
      <c r="A233"/>
      <c r="B233"/>
      <c r="C233"/>
      <c r="D233" s="256"/>
      <c r="E233"/>
    </row>
    <row r="234" spans="1:5">
      <c r="A234"/>
      <c r="B234"/>
      <c r="C234"/>
      <c r="D234" s="256"/>
      <c r="E234"/>
    </row>
    <row r="235" spans="1:5">
      <c r="A235"/>
      <c r="B235"/>
      <c r="C235"/>
      <c r="D235" s="256"/>
      <c r="E235"/>
    </row>
    <row r="236" spans="1:5">
      <c r="A236"/>
      <c r="B236"/>
      <c r="C236"/>
      <c r="D236" s="256"/>
      <c r="E236"/>
    </row>
    <row r="237" spans="1:5">
      <c r="A237"/>
      <c r="B237"/>
      <c r="C237"/>
      <c r="D237" s="256"/>
      <c r="E237"/>
    </row>
    <row r="238" spans="1:5">
      <c r="A238"/>
      <c r="B238"/>
      <c r="C238"/>
      <c r="D238" s="256"/>
      <c r="E238"/>
    </row>
    <row r="239" spans="1:5">
      <c r="A239"/>
      <c r="B239"/>
      <c r="C239"/>
      <c r="D239" s="256"/>
      <c r="E239"/>
    </row>
    <row r="240" spans="1:5">
      <c r="A240"/>
      <c r="B240"/>
      <c r="C240"/>
      <c r="D240" s="256"/>
      <c r="E240"/>
    </row>
    <row r="241" spans="1:5">
      <c r="A241"/>
      <c r="B241"/>
      <c r="C241"/>
      <c r="D241" s="256"/>
      <c r="E241"/>
    </row>
    <row r="242" spans="1:5">
      <c r="A242"/>
      <c r="B242"/>
      <c r="C242"/>
      <c r="D242" s="256"/>
      <c r="E242"/>
    </row>
    <row r="243" spans="1:5">
      <c r="A243"/>
      <c r="B243"/>
      <c r="C243"/>
      <c r="D243" s="256"/>
      <c r="E243"/>
    </row>
    <row r="244" spans="1:5">
      <c r="A244"/>
      <c r="B244"/>
      <c r="C244"/>
      <c r="D244" s="256"/>
      <c r="E244"/>
    </row>
    <row r="245" spans="1:5">
      <c r="A245"/>
      <c r="B245"/>
      <c r="C245"/>
      <c r="D245" s="256"/>
      <c r="E245"/>
    </row>
    <row r="246" spans="1:5">
      <c r="A246"/>
      <c r="B246"/>
      <c r="C246"/>
      <c r="D246" s="256"/>
      <c r="E246"/>
    </row>
    <row r="247" spans="1:5">
      <c r="A247"/>
      <c r="B247"/>
      <c r="C247"/>
      <c r="D247" s="256"/>
      <c r="E247"/>
    </row>
    <row r="248" spans="1:5">
      <c r="A248"/>
      <c r="B248"/>
      <c r="C248"/>
      <c r="D248" s="256"/>
      <c r="E248"/>
    </row>
    <row r="249" spans="1:5">
      <c r="A249"/>
      <c r="B249"/>
      <c r="C249"/>
      <c r="D249" s="256"/>
      <c r="E249"/>
    </row>
    <row r="250" spans="1:5">
      <c r="A250"/>
      <c r="B250"/>
      <c r="C250"/>
      <c r="D250" s="256"/>
      <c r="E250"/>
    </row>
    <row r="251" spans="1:5">
      <c r="A251"/>
      <c r="B251"/>
      <c r="C251"/>
      <c r="D251" s="256"/>
      <c r="E251"/>
    </row>
    <row r="252" spans="1:5">
      <c r="A252"/>
      <c r="B252"/>
      <c r="C252"/>
      <c r="D252" s="256"/>
      <c r="E252"/>
    </row>
    <row r="253" spans="1:5">
      <c r="A253"/>
      <c r="B253"/>
      <c r="C253"/>
      <c r="D253" s="256"/>
      <c r="E253"/>
    </row>
    <row r="254" spans="1:5">
      <c r="A254"/>
      <c r="B254"/>
      <c r="C254"/>
      <c r="D254" s="256"/>
      <c r="E254"/>
    </row>
    <row r="255" spans="1:5">
      <c r="A255"/>
      <c r="B255"/>
      <c r="C255"/>
      <c r="D255" s="256"/>
      <c r="E255"/>
    </row>
    <row r="256" spans="1:5">
      <c r="A256"/>
      <c r="B256"/>
      <c r="C256"/>
      <c r="D256" s="256"/>
      <c r="E256"/>
    </row>
    <row r="257" spans="1:5">
      <c r="A257"/>
      <c r="B257"/>
      <c r="C257"/>
      <c r="D257" s="256"/>
      <c r="E257"/>
    </row>
    <row r="258" spans="1:5">
      <c r="A258"/>
      <c r="B258"/>
      <c r="C258"/>
      <c r="D258" s="256"/>
      <c r="E258"/>
    </row>
    <row r="259" spans="1:5">
      <c r="A259"/>
      <c r="B259"/>
      <c r="C259"/>
      <c r="D259" s="256"/>
      <c r="E259"/>
    </row>
    <row r="260" spans="1:5">
      <c r="A260"/>
      <c r="B260"/>
      <c r="C260"/>
      <c r="D260" s="256"/>
      <c r="E260"/>
    </row>
    <row r="261" spans="1:5">
      <c r="A261"/>
      <c r="B261"/>
      <c r="C261"/>
      <c r="D261" s="256"/>
      <c r="E261"/>
    </row>
    <row r="262" spans="1:5">
      <c r="A262"/>
      <c r="B262"/>
      <c r="C262"/>
      <c r="D262" s="256"/>
      <c r="E262"/>
    </row>
    <row r="263" spans="1:5">
      <c r="A263"/>
      <c r="B263"/>
      <c r="C263"/>
      <c r="D263" s="256"/>
      <c r="E263"/>
    </row>
    <row r="264" spans="1:5">
      <c r="A264"/>
      <c r="B264"/>
      <c r="C264"/>
      <c r="D264" s="256"/>
      <c r="E264"/>
    </row>
    <row r="265" spans="1:5">
      <c r="A265"/>
      <c r="B265"/>
      <c r="C265"/>
      <c r="D265" s="256"/>
      <c r="E265"/>
    </row>
    <row r="266" spans="1:5">
      <c r="A266"/>
      <c r="B266"/>
      <c r="C266"/>
      <c r="D266" s="256"/>
      <c r="E266"/>
    </row>
    <row r="267" spans="1:5">
      <c r="A267"/>
      <c r="B267"/>
      <c r="C267"/>
      <c r="D267" s="256"/>
      <c r="E267"/>
    </row>
    <row r="268" spans="1:5">
      <c r="A268"/>
      <c r="B268"/>
      <c r="C268"/>
      <c r="D268" s="256"/>
      <c r="E268"/>
    </row>
    <row r="269" spans="1:5">
      <c r="A269"/>
      <c r="B269"/>
      <c r="C269"/>
      <c r="D269" s="256"/>
      <c r="E269"/>
    </row>
    <row r="270" spans="1:5">
      <c r="A270"/>
      <c r="B270"/>
      <c r="C270"/>
      <c r="D270" s="256"/>
      <c r="E270"/>
    </row>
    <row r="271" spans="1:5">
      <c r="A271"/>
      <c r="B271"/>
      <c r="C271"/>
      <c r="D271" s="256"/>
      <c r="E271"/>
    </row>
    <row r="272" spans="1:5">
      <c r="A272"/>
      <c r="B272"/>
      <c r="C272"/>
      <c r="D272" s="256"/>
      <c r="E272"/>
    </row>
    <row r="273" spans="1:5">
      <c r="A273"/>
      <c r="B273"/>
      <c r="C273"/>
      <c r="D273" s="256"/>
      <c r="E273"/>
    </row>
    <row r="274" spans="1:5">
      <c r="A274"/>
      <c r="B274"/>
      <c r="C274"/>
      <c r="D274" s="256"/>
      <c r="E274"/>
    </row>
    <row r="275" spans="1:5">
      <c r="A275"/>
      <c r="B275"/>
      <c r="C275"/>
      <c r="D275" s="256"/>
      <c r="E275"/>
    </row>
    <row r="276" spans="1:5">
      <c r="A276"/>
      <c r="B276"/>
      <c r="C276"/>
      <c r="D276" s="256"/>
      <c r="E276"/>
    </row>
    <row r="277" spans="1:5">
      <c r="A277"/>
      <c r="B277"/>
      <c r="C277"/>
      <c r="D277" s="256"/>
      <c r="E277"/>
    </row>
    <row r="278" spans="1:5">
      <c r="A278"/>
      <c r="B278"/>
      <c r="C278"/>
      <c r="D278" s="256"/>
      <c r="E278"/>
    </row>
    <row r="279" spans="1:5">
      <c r="A279"/>
      <c r="B279"/>
      <c r="C279"/>
      <c r="D279" s="256"/>
      <c r="E279"/>
    </row>
    <row r="280" spans="1:5">
      <c r="A280"/>
      <c r="B280"/>
      <c r="C280"/>
      <c r="D280" s="256"/>
      <c r="E280"/>
    </row>
    <row r="281" spans="1:5">
      <c r="A281"/>
      <c r="B281"/>
      <c r="C281"/>
      <c r="D281" s="256"/>
      <c r="E281"/>
    </row>
    <row r="282" spans="1:5">
      <c r="A282"/>
      <c r="B282"/>
      <c r="C282"/>
      <c r="D282" s="256"/>
      <c r="E282"/>
    </row>
    <row r="283" spans="1:5">
      <c r="A283"/>
      <c r="B283"/>
      <c r="C283"/>
      <c r="D283" s="256"/>
      <c r="E283"/>
    </row>
    <row r="284" spans="1:5">
      <c r="A284"/>
      <c r="B284"/>
      <c r="C284"/>
      <c r="D284" s="256"/>
      <c r="E284"/>
    </row>
    <row r="285" spans="1:5">
      <c r="A285"/>
      <c r="B285"/>
      <c r="C285"/>
      <c r="D285" s="256"/>
      <c r="E285"/>
    </row>
    <row r="286" spans="1:5">
      <c r="A286"/>
      <c r="B286"/>
      <c r="C286"/>
      <c r="D286" s="256"/>
      <c r="E286"/>
    </row>
    <row r="287" spans="1:5">
      <c r="A287"/>
      <c r="B287"/>
      <c r="C287"/>
      <c r="D287" s="256"/>
      <c r="E287"/>
    </row>
    <row r="288" spans="1:5">
      <c r="A288"/>
      <c r="B288"/>
      <c r="C288"/>
      <c r="D288" s="256"/>
      <c r="E288"/>
    </row>
    <row r="289" spans="1:5">
      <c r="A289"/>
      <c r="B289"/>
      <c r="C289"/>
      <c r="D289" s="256"/>
      <c r="E289"/>
    </row>
    <row r="290" spans="1:5">
      <c r="A290"/>
      <c r="B290"/>
      <c r="C290"/>
      <c r="D290" s="256"/>
      <c r="E290"/>
    </row>
    <row r="291" spans="1:5">
      <c r="A291"/>
      <c r="B291"/>
      <c r="C291"/>
      <c r="D291" s="256"/>
      <c r="E291"/>
    </row>
    <row r="292" spans="1:5">
      <c r="A292"/>
      <c r="B292"/>
      <c r="C292"/>
      <c r="D292" s="256"/>
      <c r="E292"/>
    </row>
    <row r="293" spans="1:5">
      <c r="A293"/>
      <c r="B293"/>
      <c r="C293"/>
      <c r="D293" s="256"/>
      <c r="E293"/>
    </row>
    <row r="294" spans="1:5">
      <c r="A294"/>
      <c r="B294"/>
      <c r="C294"/>
      <c r="D294" s="256"/>
      <c r="E294"/>
    </row>
    <row r="295" spans="1:5">
      <c r="A295"/>
      <c r="B295"/>
      <c r="C295"/>
      <c r="D295" s="256"/>
      <c r="E295"/>
    </row>
    <row r="296" spans="1:5">
      <c r="A296"/>
      <c r="B296"/>
      <c r="C296"/>
      <c r="D296" s="256"/>
      <c r="E296"/>
    </row>
    <row r="297" spans="1:5">
      <c r="A297"/>
      <c r="B297"/>
      <c r="C297"/>
      <c r="D297" s="256"/>
      <c r="E297"/>
    </row>
    <row r="298" spans="1:5">
      <c r="A298"/>
      <c r="B298"/>
      <c r="C298"/>
      <c r="D298" s="256"/>
      <c r="E298"/>
    </row>
    <row r="299" spans="1:5">
      <c r="A299"/>
      <c r="B299"/>
      <c r="C299"/>
      <c r="D299" s="256"/>
      <c r="E299"/>
    </row>
    <row r="300" spans="1:5">
      <c r="A300"/>
      <c r="B300"/>
      <c r="C300"/>
      <c r="D300" s="256"/>
      <c r="E300"/>
    </row>
    <row r="301" spans="1:5">
      <c r="A301"/>
      <c r="B301"/>
      <c r="C301"/>
      <c r="D301" s="256"/>
      <c r="E301"/>
    </row>
    <row r="302" spans="1:5">
      <c r="A302"/>
      <c r="B302"/>
      <c r="C302"/>
      <c r="D302" s="256"/>
      <c r="E302"/>
    </row>
    <row r="303" spans="1:5">
      <c r="A303"/>
      <c r="B303"/>
      <c r="C303"/>
      <c r="D303" s="256"/>
      <c r="E303"/>
    </row>
    <row r="304" spans="1:5">
      <c r="A304"/>
      <c r="B304"/>
      <c r="C304"/>
      <c r="D304" s="256"/>
      <c r="E304"/>
    </row>
    <row r="305" spans="1:5">
      <c r="A305"/>
      <c r="B305"/>
      <c r="C305"/>
      <c r="D305" s="256"/>
      <c r="E305"/>
    </row>
    <row r="306" spans="1:5">
      <c r="A306"/>
      <c r="B306"/>
      <c r="C306"/>
      <c r="D306" s="256"/>
      <c r="E306"/>
    </row>
    <row r="307" spans="1:5">
      <c r="A307"/>
      <c r="B307"/>
      <c r="C307"/>
      <c r="D307" s="256"/>
      <c r="E307"/>
    </row>
    <row r="308" spans="1:5">
      <c r="A308"/>
      <c r="B308"/>
      <c r="C308"/>
      <c r="D308" s="256"/>
      <c r="E308"/>
    </row>
    <row r="309" spans="1:5">
      <c r="A309"/>
      <c r="B309"/>
      <c r="C309"/>
      <c r="D309" s="256"/>
      <c r="E309"/>
    </row>
    <row r="310" spans="1:5">
      <c r="A310"/>
      <c r="B310"/>
      <c r="C310"/>
      <c r="D310" s="256"/>
      <c r="E310"/>
    </row>
    <row r="311" spans="1:5">
      <c r="A311"/>
      <c r="B311"/>
      <c r="C311"/>
      <c r="D311" s="256"/>
      <c r="E311"/>
    </row>
    <row r="312" spans="1:5">
      <c r="A312"/>
      <c r="B312"/>
      <c r="C312"/>
      <c r="D312" s="256"/>
      <c r="E312"/>
    </row>
    <row r="313" spans="1:5">
      <c r="A313"/>
      <c r="B313"/>
      <c r="C313"/>
      <c r="D313" s="256"/>
      <c r="E313"/>
    </row>
    <row r="314" spans="1:5">
      <c r="A314"/>
      <c r="B314"/>
      <c r="C314"/>
      <c r="D314" s="256"/>
      <c r="E314"/>
    </row>
    <row r="315" spans="1:5">
      <c r="A315"/>
      <c r="B315"/>
      <c r="C315"/>
      <c r="D315" s="256"/>
      <c r="E315"/>
    </row>
    <row r="316" spans="1:5">
      <c r="A316"/>
      <c r="B316"/>
      <c r="C316"/>
      <c r="D316" s="256"/>
      <c r="E316"/>
    </row>
    <row r="317" spans="1:5">
      <c r="A317"/>
      <c r="B317"/>
      <c r="C317"/>
      <c r="D317" s="256"/>
      <c r="E317"/>
    </row>
    <row r="318" spans="1:5">
      <c r="A318"/>
      <c r="B318"/>
      <c r="C318"/>
      <c r="D318" s="256"/>
      <c r="E318"/>
    </row>
    <row r="319" spans="1:5">
      <c r="A319"/>
      <c r="B319"/>
      <c r="C319"/>
      <c r="D319" s="256"/>
      <c r="E319"/>
    </row>
    <row r="320" spans="1:5">
      <c r="A320"/>
      <c r="B320"/>
      <c r="C320"/>
      <c r="D320" s="256"/>
      <c r="E320"/>
    </row>
    <row r="321" spans="1:5">
      <c r="A321"/>
      <c r="B321"/>
      <c r="C321"/>
      <c r="D321" s="256"/>
      <c r="E321"/>
    </row>
    <row r="322" spans="1:5">
      <c r="A322"/>
      <c r="B322"/>
      <c r="C322"/>
      <c r="D322" s="256"/>
      <c r="E322"/>
    </row>
    <row r="323" spans="1:5">
      <c r="A323"/>
      <c r="B323"/>
      <c r="C323"/>
      <c r="D323" s="256"/>
      <c r="E323"/>
    </row>
    <row r="324" spans="1:5">
      <c r="A324"/>
      <c r="B324"/>
      <c r="C324"/>
      <c r="D324" s="256"/>
      <c r="E324"/>
    </row>
    <row r="325" spans="1:5">
      <c r="A325"/>
      <c r="B325"/>
      <c r="C325"/>
      <c r="D325" s="256"/>
      <c r="E325"/>
    </row>
    <row r="326" spans="1:5">
      <c r="A326"/>
      <c r="B326"/>
      <c r="C326"/>
      <c r="D326" s="256"/>
      <c r="E326"/>
    </row>
    <row r="327" spans="1:5">
      <c r="A327"/>
      <c r="B327"/>
      <c r="C327"/>
      <c r="D327" s="256"/>
      <c r="E327"/>
    </row>
    <row r="328" spans="1:5">
      <c r="A328"/>
      <c r="B328"/>
      <c r="C328"/>
      <c r="D328" s="256"/>
      <c r="E328"/>
    </row>
    <row r="329" spans="1:5">
      <c r="A329"/>
      <c r="B329"/>
      <c r="C329"/>
      <c r="D329" s="256"/>
      <c r="E329"/>
    </row>
    <row r="330" spans="1:5">
      <c r="A330"/>
      <c r="B330"/>
      <c r="C330"/>
      <c r="D330" s="256"/>
      <c r="E330"/>
    </row>
    <row r="331" spans="1:5">
      <c r="A331"/>
      <c r="B331"/>
      <c r="C331"/>
      <c r="D331" s="256"/>
      <c r="E331"/>
    </row>
    <row r="332" spans="1:5">
      <c r="A332"/>
      <c r="B332"/>
      <c r="C332"/>
      <c r="D332" s="256"/>
      <c r="E332"/>
    </row>
    <row r="333" spans="1:5">
      <c r="A333"/>
      <c r="B333"/>
      <c r="C333"/>
      <c r="D333" s="256"/>
      <c r="E333"/>
    </row>
    <row r="334" spans="1:5">
      <c r="A334"/>
      <c r="B334"/>
      <c r="C334"/>
      <c r="D334" s="256"/>
      <c r="E334"/>
    </row>
    <row r="335" spans="1:5">
      <c r="A335"/>
      <c r="B335"/>
      <c r="C335"/>
      <c r="D335" s="256"/>
      <c r="E335"/>
    </row>
    <row r="336" spans="1:5">
      <c r="A336"/>
      <c r="B336"/>
      <c r="C336"/>
      <c r="D336" s="256"/>
      <c r="E336"/>
    </row>
    <row r="337" spans="1:5">
      <c r="A337"/>
      <c r="B337"/>
      <c r="C337"/>
      <c r="D337" s="256"/>
      <c r="E337"/>
    </row>
    <row r="338" spans="1:5">
      <c r="A338"/>
      <c r="B338"/>
      <c r="C338"/>
      <c r="D338" s="256"/>
      <c r="E338"/>
    </row>
    <row r="339" spans="1:5">
      <c r="A339"/>
      <c r="B339"/>
      <c r="C339"/>
      <c r="D339" s="256"/>
      <c r="E339"/>
    </row>
    <row r="340" spans="1:5">
      <c r="A340"/>
      <c r="B340"/>
      <c r="C340"/>
      <c r="D340" s="256"/>
      <c r="E340"/>
    </row>
    <row r="341" spans="1:5">
      <c r="A341"/>
      <c r="B341"/>
      <c r="C341"/>
      <c r="D341" s="256"/>
      <c r="E341"/>
    </row>
    <row r="342" spans="1:5">
      <c r="A342"/>
      <c r="B342"/>
      <c r="C342"/>
      <c r="D342" s="256"/>
      <c r="E342"/>
    </row>
    <row r="343" spans="1:5">
      <c r="A343"/>
      <c r="B343"/>
      <c r="C343"/>
      <c r="D343" s="256"/>
      <c r="E343"/>
    </row>
    <row r="344" spans="1:5">
      <c r="A344"/>
      <c r="B344"/>
      <c r="C344"/>
      <c r="D344" s="256"/>
      <c r="E344"/>
    </row>
    <row r="345" spans="1:5">
      <c r="A345"/>
      <c r="B345"/>
      <c r="C345"/>
      <c r="D345" s="256"/>
      <c r="E345"/>
    </row>
    <row r="346" spans="1:5">
      <c r="A346"/>
      <c r="B346"/>
      <c r="C346"/>
      <c r="D346" s="256"/>
      <c r="E346"/>
    </row>
    <row r="347" spans="1:5">
      <c r="A347"/>
      <c r="B347"/>
      <c r="C347"/>
      <c r="D347" s="256"/>
      <c r="E347"/>
    </row>
    <row r="348" spans="1:5">
      <c r="A348"/>
      <c r="B348"/>
      <c r="C348"/>
      <c r="D348" s="256"/>
      <c r="E348"/>
    </row>
    <row r="349" spans="1:5">
      <c r="A349"/>
      <c r="B349"/>
      <c r="C349"/>
      <c r="D349" s="256"/>
      <c r="E349"/>
    </row>
    <row r="350" spans="1:5">
      <c r="A350"/>
      <c r="B350"/>
      <c r="C350"/>
      <c r="D350" s="256"/>
      <c r="E350"/>
    </row>
    <row r="351" spans="1:5">
      <c r="A351"/>
      <c r="B351"/>
      <c r="C351"/>
      <c r="D351" s="256"/>
      <c r="E351"/>
    </row>
    <row r="352" spans="1:5">
      <c r="A352"/>
      <c r="B352"/>
      <c r="C352"/>
      <c r="D352" s="256"/>
      <c r="E352"/>
    </row>
    <row r="353" spans="1:5">
      <c r="A353"/>
      <c r="B353"/>
      <c r="C353"/>
      <c r="D353" s="256"/>
      <c r="E353"/>
    </row>
    <row r="354" spans="1:5">
      <c r="A354"/>
      <c r="B354"/>
      <c r="C354"/>
      <c r="D354" s="256"/>
      <c r="E354"/>
    </row>
    <row r="355" spans="1:5">
      <c r="A355"/>
      <c r="B355"/>
      <c r="C355"/>
      <c r="D355" s="256"/>
      <c r="E355"/>
    </row>
    <row r="356" spans="1:5">
      <c r="A356"/>
      <c r="B356"/>
      <c r="C356"/>
      <c r="D356" s="256"/>
      <c r="E356"/>
    </row>
    <row r="357" spans="1:5">
      <c r="A357"/>
      <c r="B357"/>
      <c r="C357"/>
      <c r="D357" s="256"/>
      <c r="E357"/>
    </row>
    <row r="358" spans="1:5">
      <c r="A358"/>
      <c r="B358"/>
      <c r="C358"/>
      <c r="D358" s="256"/>
      <c r="E358"/>
    </row>
    <row r="359" spans="1:5">
      <c r="A359"/>
      <c r="B359"/>
      <c r="C359"/>
      <c r="D359" s="256"/>
      <c r="E359"/>
    </row>
    <row r="360" spans="1:5">
      <c r="A360"/>
      <c r="B360"/>
      <c r="C360"/>
      <c r="D360" s="256"/>
      <c r="E360"/>
    </row>
    <row r="361" spans="1:5">
      <c r="A361"/>
      <c r="B361"/>
      <c r="C361"/>
      <c r="D361" s="256"/>
      <c r="E361"/>
    </row>
    <row r="362" spans="1:5">
      <c r="A362"/>
      <c r="B362"/>
      <c r="C362"/>
      <c r="D362" s="256"/>
      <c r="E362"/>
    </row>
    <row r="363" spans="1:5">
      <c r="A363"/>
      <c r="B363"/>
      <c r="C363"/>
      <c r="D363" s="256"/>
      <c r="E363"/>
    </row>
    <row r="364" spans="1:5">
      <c r="A364"/>
      <c r="B364"/>
      <c r="C364"/>
      <c r="D364" s="256"/>
      <c r="E364"/>
    </row>
    <row r="365" spans="1:5">
      <c r="A365"/>
      <c r="B365"/>
      <c r="C365"/>
      <c r="D365" s="256"/>
      <c r="E365"/>
    </row>
    <row r="366" spans="1:5">
      <c r="A366"/>
      <c r="B366"/>
      <c r="C366"/>
      <c r="D366" s="256"/>
      <c r="E366"/>
    </row>
    <row r="367" spans="1:5">
      <c r="A367"/>
      <c r="B367"/>
      <c r="C367"/>
      <c r="D367" s="256"/>
      <c r="E367"/>
    </row>
    <row r="368" spans="1:5">
      <c r="A368"/>
      <c r="B368"/>
      <c r="C368"/>
      <c r="D368" s="256"/>
      <c r="E368"/>
    </row>
    <row r="369" spans="1:5">
      <c r="A369"/>
      <c r="B369"/>
      <c r="C369"/>
      <c r="D369" s="256"/>
      <c r="E369"/>
    </row>
  </sheetData>
  <mergeCells count="20">
    <mergeCell ref="N29:N30"/>
    <mergeCell ref="L30:M30"/>
    <mergeCell ref="I29:I30"/>
    <mergeCell ref="I33:J33"/>
    <mergeCell ref="I32:J32"/>
    <mergeCell ref="L24:M24"/>
    <mergeCell ref="J24:K24"/>
    <mergeCell ref="I24:I25"/>
    <mergeCell ref="I19:J19"/>
    <mergeCell ref="J30:K30"/>
    <mergeCell ref="N15:N16"/>
    <mergeCell ref="L16:M16"/>
    <mergeCell ref="I18:J18"/>
    <mergeCell ref="J16:K16"/>
    <mergeCell ref="I15:I16"/>
    <mergeCell ref="L6:M6"/>
    <mergeCell ref="L10:M10"/>
    <mergeCell ref="J10:K10"/>
    <mergeCell ref="I10:I11"/>
    <mergeCell ref="J6:K6"/>
  </mergeCells>
  <phoneticPr fontId="3" type="noConversion"/>
  <pageMargins left="0.7" right="0.7" top="0.75" bottom="0.75" header="0.3" footer="0.3"/>
  <pageSetup paperSize="9" orientation="portrait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 filterMode="1"/>
  <dimension ref="A1:BQ2532"/>
  <sheetViews>
    <sheetView tabSelected="1" zoomScaleNormal="100" workbookViewId="0">
      <pane xSplit="7" ySplit="1" topLeftCell="H1511" activePane="bottomRight" state="frozen"/>
      <selection pane="topRight" activeCell="H1" sqref="H1"/>
      <selection pane="bottomLeft" activeCell="A2" sqref="A2"/>
      <selection pane="bottomRight" activeCell="E1567" sqref="E1567"/>
    </sheetView>
  </sheetViews>
  <sheetFormatPr defaultColWidth="9" defaultRowHeight="12.75"/>
  <cols>
    <col min="1" max="1" width="5" style="559" customWidth="1"/>
    <col min="2" max="2" width="11.625" style="581" customWidth="1"/>
    <col min="3" max="3" width="4.25" style="581" customWidth="1"/>
    <col min="4" max="4" width="17.375" style="571" customWidth="1"/>
    <col min="5" max="5" width="16.25" style="581" customWidth="1"/>
    <col min="6" max="6" width="11.25" style="581" customWidth="1"/>
    <col min="7" max="7" width="5.25" style="581" customWidth="1"/>
    <col min="8" max="8" width="25.375" style="581" customWidth="1"/>
    <col min="9" max="9" width="12.25" style="571" customWidth="1"/>
    <col min="10" max="10" width="3.5" style="571" customWidth="1"/>
    <col min="11" max="11" width="17.75" style="581" customWidth="1"/>
    <col min="12" max="12" width="18.375" style="821" customWidth="1"/>
    <col min="13" max="13" width="12.75" style="822" customWidth="1"/>
    <col min="14" max="14" width="7.25" style="563" customWidth="1"/>
    <col min="15" max="15" width="11" style="564" customWidth="1"/>
    <col min="16" max="16" width="5" style="822" customWidth="1"/>
    <col min="17" max="17" width="24.625" style="581" customWidth="1"/>
    <col min="18" max="18" width="19" style="581" customWidth="1"/>
    <col min="19" max="19" width="11.625" style="581" customWidth="1"/>
    <col min="20" max="20" width="8.375" style="581" customWidth="1"/>
    <col min="21" max="21" width="29.75" style="581" customWidth="1"/>
    <col min="22" max="22" width="11.25" style="709" customWidth="1"/>
    <col min="23" max="23" width="10.25" style="823" customWidth="1"/>
    <col min="24" max="24" width="10.25" style="821" customWidth="1"/>
    <col min="25" max="25" width="10" style="581" bestFit="1" customWidth="1"/>
    <col min="26" max="26" width="16.375" style="595" hidden="1" customWidth="1"/>
    <col min="27" max="27" width="12" style="596" hidden="1" customWidth="1"/>
    <col min="28" max="28" width="26.625" style="597" hidden="1" customWidth="1"/>
    <col min="29" max="29" width="54" style="581" bestFit="1" customWidth="1"/>
    <col min="30" max="34" width="9" style="571"/>
    <col min="35" max="35" width="9" style="572"/>
    <col min="36" max="39" width="9" style="571"/>
    <col min="40" max="40" width="9" style="580"/>
    <col min="41" max="41" width="9" style="824" customWidth="1"/>
    <col min="42" max="42" width="14.375" style="259" customWidth="1"/>
    <col min="43" max="43" width="16.5" style="259" customWidth="1"/>
    <col min="44" max="44" width="30.75" style="259" customWidth="1"/>
    <col min="45" max="45" width="15.75" style="839" bestFit="1" customWidth="1"/>
    <col min="46" max="16384" width="9" style="259"/>
  </cols>
  <sheetData>
    <row r="1" spans="1:48" s="836" customFormat="1" ht="33.75" customHeight="1">
      <c r="A1" s="543" t="s">
        <v>259</v>
      </c>
      <c r="B1" s="545" t="s">
        <v>4411</v>
      </c>
      <c r="C1" s="545" t="s">
        <v>260</v>
      </c>
      <c r="D1" s="545" t="s">
        <v>261</v>
      </c>
      <c r="E1" s="545" t="s">
        <v>262</v>
      </c>
      <c r="F1" s="544" t="s">
        <v>235</v>
      </c>
      <c r="G1" s="544" t="s">
        <v>3</v>
      </c>
      <c r="H1" s="544" t="s">
        <v>4</v>
      </c>
      <c r="I1" s="546" t="s">
        <v>263</v>
      </c>
      <c r="J1" s="546" t="s">
        <v>4415</v>
      </c>
      <c r="K1" s="544" t="s">
        <v>265</v>
      </c>
      <c r="L1" s="547" t="s">
        <v>4416</v>
      </c>
      <c r="M1" s="548" t="s">
        <v>266</v>
      </c>
      <c r="N1" s="549" t="s">
        <v>267</v>
      </c>
      <c r="O1" s="550" t="s">
        <v>268</v>
      </c>
      <c r="P1" s="551" t="s">
        <v>269</v>
      </c>
      <c r="Q1" s="551" t="s">
        <v>270</v>
      </c>
      <c r="R1" s="551" t="s">
        <v>4414</v>
      </c>
      <c r="S1" s="551" t="s">
        <v>235</v>
      </c>
      <c r="T1" s="551" t="s">
        <v>271</v>
      </c>
      <c r="U1" s="551" t="s">
        <v>272</v>
      </c>
      <c r="V1" s="552" t="s">
        <v>11</v>
      </c>
      <c r="W1" s="552" t="s">
        <v>273</v>
      </c>
      <c r="X1" s="553" t="s">
        <v>274</v>
      </c>
      <c r="Y1" s="551" t="s">
        <v>275</v>
      </c>
      <c r="Z1" s="554" t="s">
        <v>12</v>
      </c>
      <c r="AA1" s="554" t="s">
        <v>13</v>
      </c>
      <c r="AB1" s="552" t="s">
        <v>276</v>
      </c>
      <c r="AC1" s="552" t="s">
        <v>277</v>
      </c>
      <c r="AD1" s="555" t="s">
        <v>278</v>
      </c>
      <c r="AE1" s="556" t="s">
        <v>264</v>
      </c>
      <c r="AF1" s="555" t="s">
        <v>278</v>
      </c>
      <c r="AG1" s="556" t="s">
        <v>264</v>
      </c>
      <c r="AH1" s="555" t="s">
        <v>278</v>
      </c>
      <c r="AI1" s="557" t="s">
        <v>264</v>
      </c>
      <c r="AJ1" s="555" t="s">
        <v>278</v>
      </c>
      <c r="AK1" s="556" t="s">
        <v>264</v>
      </c>
      <c r="AL1" s="555" t="s">
        <v>278</v>
      </c>
      <c r="AM1" s="556" t="s">
        <v>264</v>
      </c>
      <c r="AN1" s="558" t="s">
        <v>279</v>
      </c>
      <c r="AO1" s="825" t="s">
        <v>4345</v>
      </c>
      <c r="AP1" s="541" t="s">
        <v>4402</v>
      </c>
      <c r="AQ1" s="825" t="s">
        <v>4399</v>
      </c>
      <c r="AR1" s="836" t="s">
        <v>4400</v>
      </c>
      <c r="AS1" s="838" t="s">
        <v>4403</v>
      </c>
      <c r="AT1" s="836" t="s">
        <v>4410</v>
      </c>
      <c r="AU1" s="836" t="s">
        <v>4413</v>
      </c>
      <c r="AV1" s="836" t="s">
        <v>4412</v>
      </c>
    </row>
    <row r="2" spans="1:48" hidden="1">
      <c r="A2" s="559">
        <v>518</v>
      </c>
      <c r="B2" s="560" t="s">
        <v>280</v>
      </c>
      <c r="C2" s="560" t="s">
        <v>281</v>
      </c>
      <c r="D2" s="561">
        <v>109218</v>
      </c>
      <c r="E2" s="562" t="s">
        <v>282</v>
      </c>
      <c r="F2" s="563" t="s">
        <v>149</v>
      </c>
      <c r="G2" s="563" t="s">
        <v>283</v>
      </c>
      <c r="H2" s="563" t="s">
        <v>26</v>
      </c>
      <c r="I2" s="564" t="s">
        <v>284</v>
      </c>
      <c r="J2" s="564">
        <v>1</v>
      </c>
      <c r="K2" s="563" t="s">
        <v>285</v>
      </c>
      <c r="L2" s="565">
        <v>43278</v>
      </c>
      <c r="M2" s="566">
        <v>5.9499999999999997E-2</v>
      </c>
      <c r="N2" s="563" t="s">
        <v>286</v>
      </c>
      <c r="O2" s="563"/>
      <c r="P2" s="566" t="str">
        <f>VLOOKUP(A2,'[1]Raw data'!$B:$BB,23,FALSE)</f>
        <v>RMB</v>
      </c>
      <c r="Q2" s="563" t="str">
        <f>VLOOKUP(A2,'[1]Raw data'!$B:$Z,2,FALSE)</f>
        <v>C49SZX20190175SX</v>
      </c>
      <c r="R2" s="563" t="str">
        <f>VLOOKUP(A2,'[1]Raw data'!$B:$Z,3,FALSE)</f>
        <v>安林</v>
      </c>
      <c r="S2" s="563" t="str">
        <f>VLOOKUP(A2,'[1]Raw data'!$B:$Z,4,FALSE)</f>
        <v>YSM40R-4</v>
      </c>
      <c r="T2" s="563" t="str">
        <f>VLOOKUP(A2,'[1]Raw data'!$B:$Z,8,FALSE)</f>
        <v>L-&gt;R</v>
      </c>
      <c r="U2" s="563" t="str">
        <f>VLOOKUP(A2,'[1]Raw data'!$B:$Z,9,FALSE)</f>
        <v>No</v>
      </c>
      <c r="V2" s="567" t="str">
        <f t="shared" ref="V2:V33" si="0">IF(G2&amp;H2=T2&amp;U2,"OK","WRONG")</f>
        <v>WRONG</v>
      </c>
      <c r="W2" s="563" t="str">
        <f>VLOOKUP(A2,'[1]Raw data'!$B:$AG,32,FALSE)</f>
        <v>DDP DG</v>
      </c>
      <c r="X2" s="563">
        <f>VLOOKUP(A2,'[1]Raw data'!$B:$BA,31,FALSE)</f>
        <v>43796</v>
      </c>
      <c r="Y2" s="563" t="str">
        <f>VLOOKUP(A2,'[1]Raw data'!$B:$AS,39,FALSE)</f>
        <v>Yes</v>
      </c>
      <c r="Z2" s="568">
        <v>43315</v>
      </c>
      <c r="AA2" s="569">
        <v>43328</v>
      </c>
      <c r="AB2" s="570"/>
      <c r="AC2" s="563" t="s">
        <v>287</v>
      </c>
      <c r="AN2" s="542"/>
      <c r="AO2" s="824" t="str">
        <f>IFERROR(IF(Y2&lt;&gt;"",Y2,"No"),"No")</f>
        <v>Yes</v>
      </c>
      <c r="AP2" s="259" t="str">
        <f>IFERROR(IF(N2&lt;&gt;"",N2,"blank"),"NA")</f>
        <v>DEC 19</v>
      </c>
      <c r="AQ2" s="542" t="str">
        <f>IFERROR(IF(AND(AO2="Yes", AP2&lt;&gt;"blank"), "有定金+有預留客戶", IF(AND(AO2="Yes", AP2="blank"), "有定金+无客戶送貨期", IF(AND(OR(AO2="No", ISBLANK(AO2), AO2="NA"), AP2&lt;&gt;"blank"), "无定金+有預留客戶", IF(AND(OR(AO2="No", ISBLANK(AO2), AO2="NA"), AP2="blank"), "无定金+无預留客戶", "")))), "")</f>
        <v>有定金+有預留客戶</v>
      </c>
      <c r="AR2" s="259" t="str">
        <f>IFERROR(IF(B2="已经到货", "Instock", IF(B2="有交期", "Incoming_Stock_With_YAMAHA_Schedule", IF(B2="TBA.", "Incoming_Stock_No_YAMAHA_Schedule", IF(B2="已发货", "Shipped_Stock", "")))), "")</f>
        <v>Shipped_Stock</v>
      </c>
      <c r="AS2" s="259" t="str">
        <f>IF(AND(B2="有交期", L2&lt;&gt;""), L2, "")</f>
        <v/>
      </c>
      <c r="AT2" s="259" t="str">
        <f>IFERROR(IF(R2&lt;&gt;"",R2),"-")</f>
        <v>安林</v>
      </c>
      <c r="AU2" s="259" t="str">
        <f>IFERROR(IF(Q2&lt;&gt;"",Q2),"-")</f>
        <v>C49SZX20190175SX</v>
      </c>
      <c r="AV2" s="259" t="str">
        <f>IF(L2="","-",TEXT(L2,"mmm-dd"))</f>
        <v>Jun-27</v>
      </c>
    </row>
    <row r="3" spans="1:48" hidden="1">
      <c r="A3" s="559">
        <v>123</v>
      </c>
      <c r="B3" s="560" t="s">
        <v>280</v>
      </c>
      <c r="C3" s="560" t="s">
        <v>281</v>
      </c>
      <c r="D3" s="561">
        <v>109282</v>
      </c>
      <c r="E3" s="562" t="s">
        <v>236</v>
      </c>
      <c r="F3" s="563" t="s">
        <v>17</v>
      </c>
      <c r="G3" s="563" t="s">
        <v>24</v>
      </c>
      <c r="H3" s="563" t="s">
        <v>34</v>
      </c>
      <c r="I3" s="564" t="s">
        <v>288</v>
      </c>
      <c r="J3" s="564">
        <v>1</v>
      </c>
      <c r="K3" s="563" t="s">
        <v>285</v>
      </c>
      <c r="L3" s="565">
        <v>43278</v>
      </c>
      <c r="M3" s="566">
        <v>5.9499999999999997E-2</v>
      </c>
      <c r="N3" s="563" t="s">
        <v>289</v>
      </c>
      <c r="O3" s="563"/>
      <c r="P3" s="566" t="str">
        <f>VLOOKUP(A3,'[1]Raw data'!$B:$BB,23,FALSE)</f>
        <v>JPY</v>
      </c>
      <c r="Q3" s="563" t="str">
        <f>VLOOKUP(A3,'[1]Raw data'!$B:$Z,2,FALSE)</f>
        <v>C49SZX20180133SX</v>
      </c>
      <c r="R3" s="563" t="str">
        <f>VLOOKUP(A3,'[1]Raw data'!$B:$Z,3,FALSE)</f>
        <v>维众</v>
      </c>
      <c r="S3" s="563" t="str">
        <f>VLOOKUP(A3,'[1]Raw data'!$B:$Z,4,FALSE)</f>
        <v>YSM10</v>
      </c>
      <c r="T3" s="563" t="str">
        <f>VLOOKUP(A3,'[1]Raw data'!$B:$Z,8,FALSE)</f>
        <v>L-&gt;R</v>
      </c>
      <c r="U3" s="563" t="str">
        <f>VLOOKUP(A3,'[1]Raw data'!$B:$Z,9,FALSE)</f>
        <v>MVC+ATS15</v>
      </c>
      <c r="V3" s="567" t="str">
        <f t="shared" si="0"/>
        <v>OK</v>
      </c>
      <c r="W3" s="563" t="str">
        <f>VLOOKUP(A3,'[1]Raw data'!$B:$AG,32,FALSE)</f>
        <v>DAP 东莞</v>
      </c>
      <c r="X3" s="563">
        <f>VLOOKUP(A3,'[1]Raw data'!$B:$BA,31,FALSE)</f>
        <v>43335</v>
      </c>
      <c r="Y3" s="563" t="str">
        <f>VLOOKUP(A3,'[1]Raw data'!$B:$AS,39,FALSE)</f>
        <v>Yes</v>
      </c>
      <c r="Z3" s="568" t="s">
        <v>290</v>
      </c>
      <c r="AA3" s="569" t="s">
        <v>290</v>
      </c>
      <c r="AB3" s="570"/>
      <c r="AC3" s="563" t="s">
        <v>291</v>
      </c>
      <c r="AN3" s="542"/>
      <c r="AO3" s="824" t="str">
        <f t="shared" ref="AO3:AO66" si="1">IFERROR(IF(Y3&lt;&gt;"",Y3,"No"),"No")</f>
        <v>Yes</v>
      </c>
      <c r="AP3" s="259" t="str">
        <f t="shared" ref="AP3:AP66" si="2">IFERROR(IF(N3&lt;&gt;"",N3,"blank"),"NA")</f>
        <v>DEC 18</v>
      </c>
      <c r="AQ3" s="542" t="str">
        <f t="shared" ref="AQ3:AQ66" si="3">IFERROR(IF(AND(AO3="Yes", AP3&lt;&gt;"blank"), "有定金+有預留客戶", IF(AND(AO3="Yes", AP3="blank"), "有定金+无客戶送貨期", IF(AND(OR(AO3="No", ISBLANK(AO3), AO3="NA"), AP3&lt;&gt;"blank"), "无定金+有預留客戶", IF(AND(OR(AO3="No", ISBLANK(AO3), AO3="NA"), AP3="blank"), "无定金+无預留客戶", "")))), "")</f>
        <v>有定金+有預留客戶</v>
      </c>
      <c r="AR3" s="259" t="str">
        <f t="shared" ref="AR3:AR66" si="4">IFERROR(IF(B3="已经到货", "Instock", IF(B3="有交期", "Incoming_Stock_With_YAMAHA_Schedule", IF(B3="TBA.", "Incoming_Stock_No_YAMAHA_Schedule", IF(B3="已发货", "Shipped_Stock", "")))), "")</f>
        <v>Shipped_Stock</v>
      </c>
      <c r="AS3" s="259" t="str">
        <f t="shared" ref="AS3:AS66" si="5">IF(AND(B3="有交期", L3&lt;&gt;""), L3, "")</f>
        <v/>
      </c>
      <c r="AT3" s="259" t="str">
        <f t="shared" ref="AT3:AT66" si="6">IFERROR(IF(R3&lt;&gt;"",R3),"-")</f>
        <v>维众</v>
      </c>
      <c r="AU3" s="259" t="str">
        <f t="shared" ref="AU3:AU66" si="7">IFERROR(IF(Q3&lt;&gt;"",Q3),"-")</f>
        <v>C49SZX20180133SX</v>
      </c>
      <c r="AV3" s="259" t="str">
        <f t="shared" ref="AV3:AV66" si="8">IF(L3="","-",TEXT(L3,"mmm-dd"))</f>
        <v>Jun-27</v>
      </c>
    </row>
    <row r="4" spans="1:48" hidden="1">
      <c r="A4" s="559">
        <v>124</v>
      </c>
      <c r="B4" s="560" t="s">
        <v>280</v>
      </c>
      <c r="C4" s="560" t="s">
        <v>281</v>
      </c>
      <c r="D4" s="561">
        <v>109282</v>
      </c>
      <c r="E4" s="562" t="s">
        <v>236</v>
      </c>
      <c r="F4" s="563" t="s">
        <v>17</v>
      </c>
      <c r="G4" s="563" t="s">
        <v>24</v>
      </c>
      <c r="H4" s="563" t="s">
        <v>292</v>
      </c>
      <c r="I4" s="564" t="s">
        <v>293</v>
      </c>
      <c r="J4" s="564">
        <v>1</v>
      </c>
      <c r="K4" s="563" t="s">
        <v>285</v>
      </c>
      <c r="L4" s="565">
        <v>43278</v>
      </c>
      <c r="M4" s="566">
        <v>5.9499999999999997E-2</v>
      </c>
      <c r="N4" s="563" t="s">
        <v>289</v>
      </c>
      <c r="O4" s="563"/>
      <c r="P4" s="566" t="str">
        <f>VLOOKUP(A4,'[1]Raw data'!$B:$BB,23,FALSE)</f>
        <v>JPY</v>
      </c>
      <c r="Q4" s="563" t="str">
        <f>VLOOKUP(A4,'[1]Raw data'!$B:$Z,2,FALSE)</f>
        <v>C49SZX20180133SX</v>
      </c>
      <c r="R4" s="563" t="str">
        <f>VLOOKUP(A4,'[1]Raw data'!$B:$Z,3,FALSE)</f>
        <v>维众</v>
      </c>
      <c r="S4" s="563" t="str">
        <f>VLOOKUP(A4,'[1]Raw data'!$B:$Z,4,FALSE)</f>
        <v>YSM10</v>
      </c>
      <c r="T4" s="563" t="str">
        <f>VLOOKUP(A4,'[1]Raw data'!$B:$Z,8,FALSE)</f>
        <v>L-&gt;R</v>
      </c>
      <c r="U4" s="563" t="str">
        <f>VLOOKUP(A4,'[1]Raw data'!$B:$Z,9,FALSE)</f>
        <v>MVC+ATS15</v>
      </c>
      <c r="V4" s="567" t="str">
        <f t="shared" si="0"/>
        <v>OK</v>
      </c>
      <c r="W4" s="563" t="str">
        <f>VLOOKUP(A4,'[1]Raw data'!$B:$AG,32,FALSE)</f>
        <v>DAP 东莞</v>
      </c>
      <c r="X4" s="563">
        <f>VLOOKUP(A4,'[1]Raw data'!$B:$BA,31,FALSE)</f>
        <v>43335</v>
      </c>
      <c r="Y4" s="563" t="str">
        <f>VLOOKUP(A4,'[1]Raw data'!$B:$AS,39,FALSE)</f>
        <v>Yes</v>
      </c>
      <c r="Z4" s="568" t="s">
        <v>290</v>
      </c>
      <c r="AA4" s="569" t="s">
        <v>290</v>
      </c>
      <c r="AB4" s="570"/>
      <c r="AC4" s="563" t="s">
        <v>291</v>
      </c>
      <c r="AN4" s="542"/>
      <c r="AO4" s="824" t="str">
        <f t="shared" si="1"/>
        <v>Yes</v>
      </c>
      <c r="AP4" s="259" t="str">
        <f t="shared" si="2"/>
        <v>DEC 18</v>
      </c>
      <c r="AQ4" s="542" t="str">
        <f t="shared" si="3"/>
        <v>有定金+有預留客戶</v>
      </c>
      <c r="AR4" s="259" t="str">
        <f t="shared" si="4"/>
        <v>Shipped_Stock</v>
      </c>
      <c r="AS4" s="259" t="str">
        <f t="shared" si="5"/>
        <v/>
      </c>
      <c r="AT4" s="259" t="str">
        <f t="shared" si="6"/>
        <v>维众</v>
      </c>
      <c r="AU4" s="259" t="str">
        <f t="shared" si="7"/>
        <v>C49SZX20180133SX</v>
      </c>
      <c r="AV4" s="259" t="str">
        <f t="shared" si="8"/>
        <v>Jun-27</v>
      </c>
    </row>
    <row r="5" spans="1:48" ht="13.5" hidden="1" thickBot="1">
      <c r="A5" s="559">
        <v>152</v>
      </c>
      <c r="B5" s="560" t="s">
        <v>280</v>
      </c>
      <c r="C5" s="560" t="s">
        <v>281</v>
      </c>
      <c r="D5" s="573">
        <v>109218</v>
      </c>
      <c r="E5" s="562" t="s">
        <v>282</v>
      </c>
      <c r="F5" s="563" t="s">
        <v>149</v>
      </c>
      <c r="G5" s="563" t="s">
        <v>283</v>
      </c>
      <c r="H5" s="563" t="s">
        <v>26</v>
      </c>
      <c r="I5" s="564" t="s">
        <v>294</v>
      </c>
      <c r="J5" s="564">
        <v>1</v>
      </c>
      <c r="K5" s="563" t="s">
        <v>295</v>
      </c>
      <c r="L5" s="565">
        <v>43278</v>
      </c>
      <c r="M5" s="566">
        <v>5.9499999999999997E-2</v>
      </c>
      <c r="N5" s="563" t="s">
        <v>296</v>
      </c>
      <c r="O5" s="563"/>
      <c r="P5" s="566" t="str">
        <f>VLOOKUP(A5,'[1]Raw data'!$B:$BB,23,FALSE)</f>
        <v>RMB</v>
      </c>
      <c r="Q5" s="563" t="str">
        <f>VLOOKUP(A5,'[1]Raw data'!$B:$Z,2,FALSE)</f>
        <v>C49SZX20180162SS</v>
      </c>
      <c r="R5" s="563" t="str">
        <f>VLOOKUP(A5,'[1]Raw data'!$B:$Z,3,FALSE)</f>
        <v>龙大光电</v>
      </c>
      <c r="S5" s="563" t="str">
        <f>VLOOKUP(A5,'[1]Raw data'!$B:$Z,4,FALSE)</f>
        <v>YSM40R-4</v>
      </c>
      <c r="T5" s="563" t="str">
        <f>VLOOKUP(A5,'[1]Raw data'!$B:$Z,8,FALSE)</f>
        <v>R-&gt;L</v>
      </c>
      <c r="U5" s="563" t="str">
        <f>VLOOKUP(A5,'[1]Raw data'!$B:$Z,9,FALSE)</f>
        <v>No</v>
      </c>
      <c r="V5" s="567" t="str">
        <f t="shared" si="0"/>
        <v>WRONG</v>
      </c>
      <c r="W5" s="563" t="str">
        <f>VLOOKUP(A5,'[1]Raw data'!$B:$AG,32,FALSE)</f>
        <v>含税到厂</v>
      </c>
      <c r="X5" s="563">
        <f>VLOOKUP(A5,'[1]Raw data'!$B:$BA,31,FALSE)</f>
        <v>43411</v>
      </c>
      <c r="Y5" s="563" t="str">
        <f>VLOOKUP(A5,'[1]Raw data'!$B:$AS,39,FALSE)</f>
        <v>Yes</v>
      </c>
      <c r="Z5" s="568">
        <v>43388</v>
      </c>
      <c r="AA5" s="569">
        <v>43399</v>
      </c>
      <c r="AB5" s="570"/>
      <c r="AC5" s="563" t="s">
        <v>291</v>
      </c>
      <c r="AN5" s="542"/>
      <c r="AO5" s="824" t="str">
        <f t="shared" si="1"/>
        <v>Yes</v>
      </c>
      <c r="AP5" s="259" t="str">
        <f t="shared" si="2"/>
        <v>JAN 19</v>
      </c>
      <c r="AQ5" s="542" t="str">
        <f t="shared" si="3"/>
        <v>有定金+有預留客戶</v>
      </c>
      <c r="AR5" s="259" t="str">
        <f t="shared" si="4"/>
        <v>Shipped_Stock</v>
      </c>
      <c r="AS5" s="259" t="str">
        <f t="shared" si="5"/>
        <v/>
      </c>
      <c r="AT5" s="259" t="str">
        <f t="shared" si="6"/>
        <v>龙大光电</v>
      </c>
      <c r="AU5" s="259" t="str">
        <f t="shared" si="7"/>
        <v>C49SZX20180162SS</v>
      </c>
      <c r="AV5" s="259" t="str">
        <f t="shared" si="8"/>
        <v>Jun-27</v>
      </c>
    </row>
    <row r="6" spans="1:48" hidden="1">
      <c r="A6" s="559">
        <v>153</v>
      </c>
      <c r="B6" s="560" t="s">
        <v>280</v>
      </c>
      <c r="C6" s="560" t="s">
        <v>281</v>
      </c>
      <c r="D6" s="564">
        <v>109218</v>
      </c>
      <c r="E6" s="562" t="s">
        <v>282</v>
      </c>
      <c r="F6" s="563" t="s">
        <v>149</v>
      </c>
      <c r="G6" s="563" t="s">
        <v>283</v>
      </c>
      <c r="H6" s="563" t="s">
        <v>26</v>
      </c>
      <c r="I6" s="564" t="s">
        <v>297</v>
      </c>
      <c r="J6" s="564">
        <v>1</v>
      </c>
      <c r="K6" s="563" t="s">
        <v>295</v>
      </c>
      <c r="L6" s="565">
        <v>43278</v>
      </c>
      <c r="M6" s="566">
        <v>5.9499999999999997E-2</v>
      </c>
      <c r="N6" s="574" t="s">
        <v>296</v>
      </c>
      <c r="O6" s="574"/>
      <c r="P6" s="566" t="str">
        <f>VLOOKUP(A6,'[1]Raw data'!$B:$BB,23,FALSE)</f>
        <v>RMB</v>
      </c>
      <c r="Q6" s="563" t="str">
        <f>VLOOKUP(A6,'[1]Raw data'!$B:$Z,2,FALSE)</f>
        <v>C49SZX20180162SS</v>
      </c>
      <c r="R6" s="563" t="str">
        <f>VLOOKUP(A6,'[1]Raw data'!$B:$Z,3,FALSE)</f>
        <v>龙大光电</v>
      </c>
      <c r="S6" s="563" t="str">
        <f>VLOOKUP(A6,'[1]Raw data'!$B:$Z,4,FALSE)</f>
        <v>YSM40R-4</v>
      </c>
      <c r="T6" s="563" t="str">
        <f>VLOOKUP(A6,'[1]Raw data'!$B:$Z,8,FALSE)</f>
        <v>R-&gt;L</v>
      </c>
      <c r="U6" s="563" t="str">
        <f>VLOOKUP(A6,'[1]Raw data'!$B:$Z,9,FALSE)</f>
        <v>No</v>
      </c>
      <c r="V6" s="567" t="str">
        <f t="shared" si="0"/>
        <v>WRONG</v>
      </c>
      <c r="W6" s="563" t="str">
        <f>VLOOKUP(A6,'[1]Raw data'!$B:$AG,32,FALSE)</f>
        <v>含税到厂</v>
      </c>
      <c r="X6" s="563">
        <f>VLOOKUP(A6,'[1]Raw data'!$B:$BA,31,FALSE)</f>
        <v>43411</v>
      </c>
      <c r="Y6" s="563" t="str">
        <f>VLOOKUP(A6,'[1]Raw data'!$B:$AS,39,FALSE)</f>
        <v>Yes</v>
      </c>
      <c r="Z6" s="568">
        <v>43315</v>
      </c>
      <c r="AA6" s="569">
        <v>43328</v>
      </c>
      <c r="AB6" s="570"/>
      <c r="AC6" s="563" t="s">
        <v>291</v>
      </c>
      <c r="AN6" s="542"/>
      <c r="AO6" s="824" t="str">
        <f t="shared" si="1"/>
        <v>Yes</v>
      </c>
      <c r="AP6" s="259" t="str">
        <f t="shared" si="2"/>
        <v>JAN 19</v>
      </c>
      <c r="AQ6" s="542" t="str">
        <f t="shared" si="3"/>
        <v>有定金+有預留客戶</v>
      </c>
      <c r="AR6" s="259" t="str">
        <f t="shared" si="4"/>
        <v>Shipped_Stock</v>
      </c>
      <c r="AS6" s="259" t="str">
        <f t="shared" si="5"/>
        <v/>
      </c>
      <c r="AT6" s="259" t="str">
        <f t="shared" si="6"/>
        <v>龙大光电</v>
      </c>
      <c r="AU6" s="259" t="str">
        <f t="shared" si="7"/>
        <v>C49SZX20180162SS</v>
      </c>
      <c r="AV6" s="259" t="str">
        <f t="shared" si="8"/>
        <v>Jun-27</v>
      </c>
    </row>
    <row r="7" spans="1:48" hidden="1">
      <c r="A7" s="559">
        <v>563</v>
      </c>
      <c r="B7" s="560" t="s">
        <v>280</v>
      </c>
      <c r="C7" s="560" t="s">
        <v>281</v>
      </c>
      <c r="D7" s="575">
        <v>109218</v>
      </c>
      <c r="E7" s="562" t="s">
        <v>282</v>
      </c>
      <c r="F7" s="563" t="s">
        <v>298</v>
      </c>
      <c r="G7" s="563" t="s">
        <v>283</v>
      </c>
      <c r="H7" s="563" t="s">
        <v>26</v>
      </c>
      <c r="I7" s="564" t="s">
        <v>299</v>
      </c>
      <c r="J7" s="564">
        <v>1</v>
      </c>
      <c r="K7" s="563" t="s">
        <v>295</v>
      </c>
      <c r="L7" s="565">
        <v>43278</v>
      </c>
      <c r="M7" s="576">
        <v>5.9499999999999997E-2</v>
      </c>
      <c r="N7" s="563" t="s">
        <v>300</v>
      </c>
      <c r="O7" s="563"/>
      <c r="P7" s="566" t="str">
        <f>VLOOKUP(A7,'[1]Raw data'!$B:$BB,23,FALSE)</f>
        <v>RMB</v>
      </c>
      <c r="Q7" s="563" t="str">
        <f>VLOOKUP(A7,'[1]Raw data'!$B:$Z,2,FALSE)</f>
        <v>C49SZX20190193SS</v>
      </c>
      <c r="R7" s="563" t="str">
        <f>VLOOKUP(A7,'[1]Raw data'!$B:$Z,3,FALSE)</f>
        <v>明昌</v>
      </c>
      <c r="S7" s="563" t="str">
        <f>VLOOKUP(A7,'[1]Raw data'!$B:$Z,4,FALSE)</f>
        <v>YSM40R-4</v>
      </c>
      <c r="T7" s="563" t="str">
        <f>VLOOKUP(A7,'[1]Raw data'!$B:$Z,8,FALSE)</f>
        <v>L-&gt;R</v>
      </c>
      <c r="U7" s="563" t="str">
        <f>VLOOKUP(A7,'[1]Raw data'!$B:$Z,9,FALSE)</f>
        <v>No</v>
      </c>
      <c r="V7" s="567" t="str">
        <f t="shared" si="0"/>
        <v>WRONG</v>
      </c>
      <c r="W7" s="563" t="str">
        <f>VLOOKUP(A7,'[1]Raw data'!$B:$AG,32,FALSE)</f>
        <v>含税到厂</v>
      </c>
      <c r="X7" s="563">
        <f>VLOOKUP(A7,'[1]Raw data'!$B:$BA,31,FALSE)</f>
        <v>43838</v>
      </c>
      <c r="Y7" s="563" t="str">
        <f>VLOOKUP(A7,'[1]Raw data'!$B:$AS,39,FALSE)</f>
        <v>Yes</v>
      </c>
      <c r="Z7" s="577"/>
      <c r="AA7" s="578"/>
      <c r="AB7" s="579"/>
      <c r="AC7" s="563" t="s">
        <v>301</v>
      </c>
      <c r="AN7" s="542"/>
      <c r="AO7" s="824" t="str">
        <f t="shared" si="1"/>
        <v>Yes</v>
      </c>
      <c r="AP7" s="259" t="str">
        <f t="shared" si="2"/>
        <v>JUL 20</v>
      </c>
      <c r="AQ7" s="542" t="str">
        <f t="shared" si="3"/>
        <v>有定金+有預留客戶</v>
      </c>
      <c r="AR7" s="259" t="str">
        <f t="shared" si="4"/>
        <v>Shipped_Stock</v>
      </c>
      <c r="AS7" s="259" t="str">
        <f t="shared" si="5"/>
        <v/>
      </c>
      <c r="AT7" s="259" t="str">
        <f t="shared" si="6"/>
        <v>明昌</v>
      </c>
      <c r="AU7" s="259" t="str">
        <f t="shared" si="7"/>
        <v>C49SZX20190193SS</v>
      </c>
      <c r="AV7" s="259" t="str">
        <f t="shared" si="8"/>
        <v>Jun-27</v>
      </c>
    </row>
    <row r="8" spans="1:48" hidden="1">
      <c r="A8" s="559">
        <v>166</v>
      </c>
      <c r="B8" s="563" t="s">
        <v>280</v>
      </c>
      <c r="C8" s="560" t="s">
        <v>281</v>
      </c>
      <c r="D8" s="564">
        <v>109482</v>
      </c>
      <c r="E8" s="563" t="s">
        <v>302</v>
      </c>
      <c r="F8" s="563" t="s">
        <v>303</v>
      </c>
      <c r="G8" s="563" t="s">
        <v>18</v>
      </c>
      <c r="H8" s="563" t="s">
        <v>26</v>
      </c>
      <c r="I8" s="564" t="s">
        <v>304</v>
      </c>
      <c r="J8" s="564">
        <v>1</v>
      </c>
      <c r="K8" s="563" t="s">
        <v>305</v>
      </c>
      <c r="L8" s="565" t="s">
        <v>306</v>
      </c>
      <c r="M8" s="566" t="s">
        <v>307</v>
      </c>
      <c r="N8" s="563" t="s">
        <v>289</v>
      </c>
      <c r="O8" s="563"/>
      <c r="P8" s="566" t="str">
        <f>VLOOKUP(A8,'[1]Raw data'!$B:$BB,23,FALSE)</f>
        <v>JPY</v>
      </c>
      <c r="Q8" s="563" t="str">
        <f>VLOOKUP(A8,'[1]Raw data'!$B:$Z,2,FALSE)</f>
        <v>C49SZX20180166ZX</v>
      </c>
      <c r="R8" s="563" t="str">
        <f>VLOOKUP(A8,'[1]Raw data'!$B:$Z,3,FALSE)</f>
        <v>比泰利</v>
      </c>
      <c r="S8" s="563" t="str">
        <f>VLOOKUP(A8,'[1]Raw data'!$B:$Z,4,FALSE)</f>
        <v>YS12</v>
      </c>
      <c r="T8" s="563" t="str">
        <f>VLOOKUP(A8,'[1]Raw data'!$B:$Z,8,FALSE)</f>
        <v>L-&gt;R</v>
      </c>
      <c r="U8" s="563" t="str">
        <f>VLOOKUP(A8,'[1]Raw data'!$B:$Z,9,FALSE)</f>
        <v>MVC+Rear 站位</v>
      </c>
      <c r="V8" s="567" t="str">
        <f t="shared" si="0"/>
        <v>WRONG</v>
      </c>
      <c r="W8" s="563" t="str">
        <f>VLOOKUP(A8,'[1]Raw data'!$B:$AG,32,FALSE)</f>
        <v>DAP</v>
      </c>
      <c r="X8" s="563">
        <f>VLOOKUP(A8,'[1]Raw data'!$B:$BA,31,FALSE)</f>
        <v>43416</v>
      </c>
      <c r="Y8" s="563" t="str">
        <f>VLOOKUP(A8,'[1]Raw data'!$B:$AS,39,FALSE)</f>
        <v>Yes</v>
      </c>
      <c r="Z8" s="568" t="s">
        <v>290</v>
      </c>
      <c r="AA8" s="569" t="s">
        <v>290</v>
      </c>
      <c r="AB8" s="570"/>
      <c r="AC8" s="563" t="s">
        <v>291</v>
      </c>
      <c r="AO8" s="824" t="str">
        <f t="shared" si="1"/>
        <v>Yes</v>
      </c>
      <c r="AP8" s="259" t="str">
        <f t="shared" si="2"/>
        <v>DEC 18</v>
      </c>
      <c r="AQ8" s="542" t="str">
        <f t="shared" si="3"/>
        <v>有定金+有預留客戶</v>
      </c>
      <c r="AR8" s="259" t="str">
        <f t="shared" si="4"/>
        <v>Shipped_Stock</v>
      </c>
      <c r="AS8" s="259" t="str">
        <f t="shared" si="5"/>
        <v/>
      </c>
      <c r="AT8" s="259" t="str">
        <f t="shared" si="6"/>
        <v>比泰利</v>
      </c>
      <c r="AU8" s="259" t="str">
        <f t="shared" si="7"/>
        <v>C49SZX20180166ZX</v>
      </c>
      <c r="AV8" s="259" t="str">
        <f t="shared" si="8"/>
        <v>Wkk 仓库</v>
      </c>
    </row>
    <row r="9" spans="1:48" hidden="1">
      <c r="A9" s="559">
        <v>167</v>
      </c>
      <c r="B9" s="563" t="s">
        <v>280</v>
      </c>
      <c r="C9" s="560" t="s">
        <v>281</v>
      </c>
      <c r="D9" s="564">
        <v>109482</v>
      </c>
      <c r="E9" s="563" t="s">
        <v>302</v>
      </c>
      <c r="F9" s="563" t="s">
        <v>303</v>
      </c>
      <c r="G9" s="563" t="s">
        <v>18</v>
      </c>
      <c r="H9" s="563" t="s">
        <v>26</v>
      </c>
      <c r="I9" s="564" t="s">
        <v>308</v>
      </c>
      <c r="J9" s="564">
        <v>1</v>
      </c>
      <c r="K9" s="563" t="s">
        <v>305</v>
      </c>
      <c r="L9" s="565" t="s">
        <v>306</v>
      </c>
      <c r="M9" s="566" t="s">
        <v>307</v>
      </c>
      <c r="N9" s="563" t="s">
        <v>289</v>
      </c>
      <c r="O9" s="563"/>
      <c r="P9" s="566" t="str">
        <f>VLOOKUP(A9,'[1]Raw data'!$B:$BB,23,FALSE)</f>
        <v>JPY</v>
      </c>
      <c r="Q9" s="563" t="str">
        <f>VLOOKUP(A9,'[1]Raw data'!$B:$Z,2,FALSE)</f>
        <v>C49SZX20180166ZX</v>
      </c>
      <c r="R9" s="563" t="str">
        <f>VLOOKUP(A9,'[1]Raw data'!$B:$Z,3,FALSE)</f>
        <v>比泰利</v>
      </c>
      <c r="S9" s="563" t="str">
        <f>VLOOKUP(A9,'[1]Raw data'!$B:$Z,4,FALSE)</f>
        <v>YS12</v>
      </c>
      <c r="T9" s="563" t="str">
        <f>VLOOKUP(A9,'[1]Raw data'!$B:$Z,8,FALSE)</f>
        <v>R-&gt;L</v>
      </c>
      <c r="U9" s="563" t="str">
        <f>VLOOKUP(A9,'[1]Raw data'!$B:$Z,9,FALSE)</f>
        <v>MVC+Rear 站位</v>
      </c>
      <c r="V9" s="567" t="str">
        <f t="shared" si="0"/>
        <v>WRONG</v>
      </c>
      <c r="W9" s="563" t="str">
        <f>VLOOKUP(A9,'[1]Raw data'!$B:$AG,32,FALSE)</f>
        <v>DAP</v>
      </c>
      <c r="X9" s="563">
        <f>VLOOKUP(A9,'[1]Raw data'!$B:$BA,31,FALSE)</f>
        <v>43416</v>
      </c>
      <c r="Y9" s="563" t="str">
        <f>VLOOKUP(A9,'[1]Raw data'!$B:$AS,39,FALSE)</f>
        <v>Yes</v>
      </c>
      <c r="Z9" s="568" t="s">
        <v>290</v>
      </c>
      <c r="AA9" s="569" t="s">
        <v>290</v>
      </c>
      <c r="AB9" s="570"/>
      <c r="AC9" s="563" t="s">
        <v>291</v>
      </c>
      <c r="AO9" s="824" t="str">
        <f t="shared" si="1"/>
        <v>Yes</v>
      </c>
      <c r="AP9" s="259" t="str">
        <f t="shared" si="2"/>
        <v>DEC 18</v>
      </c>
      <c r="AQ9" s="542" t="str">
        <f t="shared" si="3"/>
        <v>有定金+有預留客戶</v>
      </c>
      <c r="AR9" s="259" t="str">
        <f t="shared" si="4"/>
        <v>Shipped_Stock</v>
      </c>
      <c r="AS9" s="259" t="str">
        <f t="shared" si="5"/>
        <v/>
      </c>
      <c r="AT9" s="259" t="str">
        <f t="shared" si="6"/>
        <v>比泰利</v>
      </c>
      <c r="AU9" s="259" t="str">
        <f t="shared" si="7"/>
        <v>C49SZX20180166ZX</v>
      </c>
      <c r="AV9" s="259" t="str">
        <f t="shared" si="8"/>
        <v>Wkk 仓库</v>
      </c>
    </row>
    <row r="10" spans="1:48" hidden="1">
      <c r="A10" s="559">
        <v>96</v>
      </c>
      <c r="B10" s="563" t="s">
        <v>280</v>
      </c>
      <c r="C10" s="560" t="s">
        <v>281</v>
      </c>
      <c r="D10" s="564">
        <v>109382</v>
      </c>
      <c r="E10" s="563" t="s">
        <v>309</v>
      </c>
      <c r="F10" s="563" t="s">
        <v>256</v>
      </c>
      <c r="G10" s="563" t="s">
        <v>24</v>
      </c>
      <c r="H10" s="563" t="s">
        <v>159</v>
      </c>
      <c r="I10" s="564" t="s">
        <v>310</v>
      </c>
      <c r="J10" s="564">
        <v>1</v>
      </c>
      <c r="K10" s="563" t="s">
        <v>311</v>
      </c>
      <c r="L10" s="565" t="s">
        <v>312</v>
      </c>
      <c r="M10" s="566">
        <v>6.1600000000000002E-2</v>
      </c>
      <c r="N10" s="563" t="s">
        <v>313</v>
      </c>
      <c r="P10" s="566" t="str">
        <f>VLOOKUP(A10,'[1]Raw data'!$B:$BB,23,FALSE)</f>
        <v>JPY</v>
      </c>
      <c r="Q10" s="563" t="str">
        <f>VLOOKUP(A10,'[1]Raw data'!$B:$Z,2,FALSE)</f>
        <v>C49SZX20180101JL</v>
      </c>
      <c r="R10" s="563" t="str">
        <f>VLOOKUP(A10,'[1]Raw data'!$B:$Z,3,FALSE)</f>
        <v>易而达</v>
      </c>
      <c r="S10" s="563" t="str">
        <f>VLOOKUP(A10,'[1]Raw data'!$B:$Z,4,FALSE)</f>
        <v>YSM20-2</v>
      </c>
      <c r="T10" s="563" t="str">
        <f>VLOOKUP(A10,'[1]Raw data'!$B:$Z,8,FALSE)</f>
        <v>L-&gt;R</v>
      </c>
      <c r="U10" s="563" t="str">
        <f>VLOOKUP(A10,'[1]Raw data'!$B:$Z,9,FALSE)</f>
        <v>cATS10+MVC+special layout</v>
      </c>
      <c r="V10" s="567" t="str">
        <f t="shared" si="0"/>
        <v>OK</v>
      </c>
      <c r="W10" s="563" t="str">
        <f>VLOOKUP(A10,'[1]Raw data'!$B:$AG,32,FALSE)</f>
        <v>DAP 广州</v>
      </c>
      <c r="X10" s="563">
        <f>VLOOKUP(A10,'[1]Raw data'!$B:$BA,31,FALSE)</f>
        <v>43266</v>
      </c>
      <c r="Y10" s="563" t="str">
        <f>VLOOKUP(A10,'[1]Raw data'!$B:$AS,39,FALSE)</f>
        <v>Yes</v>
      </c>
      <c r="Z10" s="568" t="s">
        <v>290</v>
      </c>
      <c r="AA10" s="569" t="s">
        <v>290</v>
      </c>
      <c r="AB10" s="570"/>
      <c r="AC10" s="563" t="s">
        <v>291</v>
      </c>
      <c r="AO10" s="824" t="str">
        <f t="shared" si="1"/>
        <v>Yes</v>
      </c>
      <c r="AP10" s="259" t="str">
        <f t="shared" si="2"/>
        <v>OCT 18</v>
      </c>
      <c r="AQ10" s="542" t="str">
        <f t="shared" si="3"/>
        <v>有定金+有預留客戶</v>
      </c>
      <c r="AR10" s="259" t="str">
        <f t="shared" si="4"/>
        <v>Shipped_Stock</v>
      </c>
      <c r="AS10" s="259" t="str">
        <f t="shared" si="5"/>
        <v/>
      </c>
      <c r="AT10" s="259" t="str">
        <f t="shared" si="6"/>
        <v>易而达</v>
      </c>
      <c r="AU10" s="259" t="str">
        <f t="shared" si="7"/>
        <v>C49SZX20180101JL</v>
      </c>
      <c r="AV10" s="259" t="str">
        <f t="shared" si="8"/>
        <v>已经发货</v>
      </c>
    </row>
    <row r="11" spans="1:48" hidden="1">
      <c r="A11" s="559">
        <v>97</v>
      </c>
      <c r="B11" s="563" t="s">
        <v>280</v>
      </c>
      <c r="C11" s="560" t="s">
        <v>281</v>
      </c>
      <c r="D11" s="564">
        <v>109382</v>
      </c>
      <c r="E11" s="563" t="s">
        <v>309</v>
      </c>
      <c r="F11" s="563" t="s">
        <v>243</v>
      </c>
      <c r="G11" s="563" t="s">
        <v>24</v>
      </c>
      <c r="H11" s="563" t="s">
        <v>26</v>
      </c>
      <c r="I11" s="564" t="s">
        <v>314</v>
      </c>
      <c r="J11" s="564">
        <v>1</v>
      </c>
      <c r="K11" s="563" t="s">
        <v>311</v>
      </c>
      <c r="L11" s="565" t="s">
        <v>312</v>
      </c>
      <c r="M11" s="566">
        <v>6.1600000000000002E-2</v>
      </c>
      <c r="N11" s="563" t="s">
        <v>313</v>
      </c>
      <c r="P11" s="566" t="str">
        <f>VLOOKUP(A11,'[1]Raw data'!$B:$BB,23,FALSE)</f>
        <v>JPY</v>
      </c>
      <c r="Q11" s="563" t="str">
        <f>VLOOKUP(A11,'[1]Raw data'!$B:$Z,2,FALSE)</f>
        <v>C49SZX20180101JL</v>
      </c>
      <c r="R11" s="563" t="str">
        <f>VLOOKUP(A11,'[1]Raw data'!$B:$Z,3,FALSE)</f>
        <v>易而达</v>
      </c>
      <c r="S11" s="563" t="str">
        <f>VLOOKUP(A11,'[1]Raw data'!$B:$Z,4,FALSE)</f>
        <v>YSM20-2</v>
      </c>
      <c r="T11" s="563" t="str">
        <f>VLOOKUP(A11,'[1]Raw data'!$B:$Z,8,FALSE)</f>
        <v>L-&gt;R</v>
      </c>
      <c r="U11" s="563" t="str">
        <f>VLOOKUP(A11,'[1]Raw data'!$B:$Z,9,FALSE)</f>
        <v>No</v>
      </c>
      <c r="V11" s="567" t="str">
        <f t="shared" si="0"/>
        <v>OK</v>
      </c>
      <c r="W11" s="563" t="str">
        <f>VLOOKUP(A11,'[1]Raw data'!$B:$AG,32,FALSE)</f>
        <v>DAP 广州</v>
      </c>
      <c r="X11" s="563">
        <f>VLOOKUP(A11,'[1]Raw data'!$B:$BA,31,FALSE)</f>
        <v>43266</v>
      </c>
      <c r="Y11" s="563" t="str">
        <f>VLOOKUP(A11,'[1]Raw data'!$B:$AS,39,FALSE)</f>
        <v>Yes</v>
      </c>
      <c r="Z11" s="568" t="s">
        <v>290</v>
      </c>
      <c r="AA11" s="569" t="s">
        <v>290</v>
      </c>
      <c r="AB11" s="570"/>
      <c r="AC11" s="563" t="s">
        <v>291</v>
      </c>
      <c r="AO11" s="824" t="str">
        <f t="shared" si="1"/>
        <v>Yes</v>
      </c>
      <c r="AP11" s="259" t="str">
        <f t="shared" si="2"/>
        <v>OCT 18</v>
      </c>
      <c r="AQ11" s="542" t="str">
        <f t="shared" si="3"/>
        <v>有定金+有預留客戶</v>
      </c>
      <c r="AR11" s="259" t="str">
        <f t="shared" si="4"/>
        <v>Shipped_Stock</v>
      </c>
      <c r="AS11" s="259" t="str">
        <f t="shared" si="5"/>
        <v/>
      </c>
      <c r="AT11" s="259" t="str">
        <f t="shared" si="6"/>
        <v>易而达</v>
      </c>
      <c r="AU11" s="259" t="str">
        <f t="shared" si="7"/>
        <v>C49SZX20180101JL</v>
      </c>
      <c r="AV11" s="259" t="str">
        <f t="shared" si="8"/>
        <v>已经发货</v>
      </c>
    </row>
    <row r="12" spans="1:48" hidden="1">
      <c r="A12" s="559">
        <v>146</v>
      </c>
      <c r="B12" s="563" t="s">
        <v>280</v>
      </c>
      <c r="C12" s="560" t="s">
        <v>281</v>
      </c>
      <c r="D12" s="564">
        <v>109264</v>
      </c>
      <c r="E12" s="563" t="s">
        <v>315</v>
      </c>
      <c r="F12" s="563" t="s">
        <v>256</v>
      </c>
      <c r="G12" s="563" t="s">
        <v>24</v>
      </c>
      <c r="H12" s="563" t="s">
        <v>26</v>
      </c>
      <c r="I12" s="564" t="s">
        <v>316</v>
      </c>
      <c r="J12" s="564">
        <v>1</v>
      </c>
      <c r="K12" s="563" t="s">
        <v>311</v>
      </c>
      <c r="L12" s="565" t="s">
        <v>312</v>
      </c>
      <c r="M12" s="566">
        <v>6.2399999999999997E-2</v>
      </c>
      <c r="N12" s="563" t="s">
        <v>313</v>
      </c>
      <c r="P12" s="566" t="str">
        <f>VLOOKUP(A12,'[1]Raw data'!$B:$BB,23,FALSE)</f>
        <v>JPY</v>
      </c>
      <c r="Q12" s="563" t="str">
        <f>VLOOKUP(A12,'[1]Raw data'!$B:$Z,2,FALSE)</f>
        <v>C49SZX20180152ZX</v>
      </c>
      <c r="R12" s="563" t="str">
        <f>VLOOKUP(A12,'[1]Raw data'!$B:$Z,3,FALSE)</f>
        <v>雅鑫特</v>
      </c>
      <c r="S12" s="563" t="str">
        <f>VLOOKUP(A12,'[1]Raw data'!$B:$Z,4,FALSE)</f>
        <v>C49SZX20210065JD</v>
      </c>
      <c r="T12" s="563" t="str">
        <f>VLOOKUP(A12,'[1]Raw data'!$B:$Z,8,FALSE)</f>
        <v>L-&gt;R</v>
      </c>
      <c r="U12" s="563" t="str">
        <f>VLOOKUP(A12,'[1]Raw data'!$B:$Z,9,FALSE)</f>
        <v>No</v>
      </c>
      <c r="V12" s="567" t="str">
        <f t="shared" si="0"/>
        <v>OK</v>
      </c>
      <c r="W12" s="563" t="str">
        <f>VLOOKUP(A12,'[1]Raw data'!$B:$AG,32,FALSE)</f>
        <v>CIF</v>
      </c>
      <c r="X12" s="563">
        <f>VLOOKUP(A12,'[1]Raw data'!$B:$BA,31,FALSE)</f>
        <v>43383</v>
      </c>
      <c r="Y12" s="563" t="str">
        <f>VLOOKUP(A12,'[1]Raw data'!$B:$AS,39,FALSE)</f>
        <v>Yes</v>
      </c>
      <c r="Z12" s="568" t="s">
        <v>290</v>
      </c>
      <c r="AA12" s="569" t="s">
        <v>290</v>
      </c>
      <c r="AB12" s="570"/>
      <c r="AC12" s="563" t="s">
        <v>291</v>
      </c>
      <c r="AO12" s="824" t="str">
        <f t="shared" si="1"/>
        <v>Yes</v>
      </c>
      <c r="AP12" s="259" t="str">
        <f t="shared" si="2"/>
        <v>OCT 18</v>
      </c>
      <c r="AQ12" s="542" t="str">
        <f t="shared" si="3"/>
        <v>有定金+有預留客戶</v>
      </c>
      <c r="AR12" s="259" t="str">
        <f t="shared" si="4"/>
        <v>Shipped_Stock</v>
      </c>
      <c r="AS12" s="259" t="str">
        <f t="shared" si="5"/>
        <v/>
      </c>
      <c r="AT12" s="259" t="str">
        <f t="shared" si="6"/>
        <v>雅鑫特</v>
      </c>
      <c r="AU12" s="259" t="str">
        <f t="shared" si="7"/>
        <v>C49SZX20180152ZX</v>
      </c>
      <c r="AV12" s="259" t="str">
        <f t="shared" si="8"/>
        <v>已经发货</v>
      </c>
    </row>
    <row r="13" spans="1:48" hidden="1">
      <c r="A13" s="559">
        <v>147</v>
      </c>
      <c r="B13" s="563" t="s">
        <v>280</v>
      </c>
      <c r="C13" s="560" t="s">
        <v>281</v>
      </c>
      <c r="D13" s="564">
        <v>109264</v>
      </c>
      <c r="E13" s="563" t="s">
        <v>315</v>
      </c>
      <c r="F13" s="563" t="s">
        <v>256</v>
      </c>
      <c r="G13" s="563" t="s">
        <v>24</v>
      </c>
      <c r="H13" s="563" t="s">
        <v>26</v>
      </c>
      <c r="I13" s="564" t="s">
        <v>317</v>
      </c>
      <c r="J13" s="564">
        <v>1</v>
      </c>
      <c r="K13" s="563" t="s">
        <v>311</v>
      </c>
      <c r="L13" s="565" t="s">
        <v>312</v>
      </c>
      <c r="M13" s="566">
        <v>6.2399999999999997E-2</v>
      </c>
      <c r="N13" s="563" t="s">
        <v>313</v>
      </c>
      <c r="P13" s="566" t="str">
        <f>VLOOKUP(A13,'[1]Raw data'!$B:$BB,23,FALSE)</f>
        <v>JPY</v>
      </c>
      <c r="Q13" s="563" t="str">
        <f>VLOOKUP(A13,'[1]Raw data'!$B:$Z,2,FALSE)</f>
        <v>C49SZX20180152ZX</v>
      </c>
      <c r="R13" s="563" t="str">
        <f>VLOOKUP(A13,'[1]Raw data'!$B:$Z,3,FALSE)</f>
        <v>雅鑫特</v>
      </c>
      <c r="S13" s="563" t="str">
        <f>VLOOKUP(A13,'[1]Raw data'!$B:$Z,4,FALSE)</f>
        <v>YSM20R(SV)-2</v>
      </c>
      <c r="T13" s="563" t="str">
        <f>VLOOKUP(A13,'[1]Raw data'!$B:$Z,8,FALSE)</f>
        <v>L-&gt;R</v>
      </c>
      <c r="U13" s="563" t="str">
        <f>VLOOKUP(A13,'[1]Raw data'!$B:$Z,9,FALSE)</f>
        <v>No</v>
      </c>
      <c r="V13" s="567" t="str">
        <f t="shared" si="0"/>
        <v>OK</v>
      </c>
      <c r="W13" s="563" t="str">
        <f>VLOOKUP(A13,'[1]Raw data'!$B:$AG,32,FALSE)</f>
        <v>CIF</v>
      </c>
      <c r="X13" s="563">
        <f>VLOOKUP(A13,'[1]Raw data'!$B:$BA,31,FALSE)</f>
        <v>43383</v>
      </c>
      <c r="Y13" s="563" t="str">
        <f>VLOOKUP(A13,'[1]Raw data'!$B:$AS,39,FALSE)</f>
        <v>Yes</v>
      </c>
      <c r="Z13" s="568" t="s">
        <v>290</v>
      </c>
      <c r="AA13" s="569" t="s">
        <v>290</v>
      </c>
      <c r="AB13" s="570"/>
      <c r="AC13" s="563" t="s">
        <v>291</v>
      </c>
      <c r="AO13" s="824" t="str">
        <f t="shared" si="1"/>
        <v>Yes</v>
      </c>
      <c r="AP13" s="259" t="str">
        <f t="shared" si="2"/>
        <v>OCT 18</v>
      </c>
      <c r="AQ13" s="542" t="str">
        <f t="shared" si="3"/>
        <v>有定金+有預留客戶</v>
      </c>
      <c r="AR13" s="259" t="str">
        <f t="shared" si="4"/>
        <v>Shipped_Stock</v>
      </c>
      <c r="AS13" s="259" t="str">
        <f t="shared" si="5"/>
        <v/>
      </c>
      <c r="AT13" s="259" t="str">
        <f t="shared" si="6"/>
        <v>雅鑫特</v>
      </c>
      <c r="AU13" s="259" t="str">
        <f t="shared" si="7"/>
        <v>C49SZX20180152ZX</v>
      </c>
      <c r="AV13" s="259" t="str">
        <f t="shared" si="8"/>
        <v>已经发货</v>
      </c>
    </row>
    <row r="14" spans="1:48" hidden="1">
      <c r="A14" s="559">
        <v>404</v>
      </c>
      <c r="B14" s="563" t="s">
        <v>280</v>
      </c>
      <c r="C14" s="560" t="s">
        <v>281</v>
      </c>
      <c r="D14" s="564" t="s">
        <v>318</v>
      </c>
      <c r="E14" s="563"/>
      <c r="F14" s="563"/>
      <c r="G14" s="563"/>
      <c r="H14" s="563"/>
      <c r="I14" s="564" t="s">
        <v>319</v>
      </c>
      <c r="J14" s="564">
        <v>1</v>
      </c>
      <c r="K14" s="563"/>
      <c r="L14" s="565"/>
      <c r="M14" s="566">
        <v>6.4799999999999996E-2</v>
      </c>
      <c r="N14" s="563" t="s">
        <v>320</v>
      </c>
      <c r="O14" s="563"/>
      <c r="P14" s="566" t="str">
        <f>VLOOKUP(A14,'[1]Raw data'!$B:$BB,23,FALSE)</f>
        <v>RMB</v>
      </c>
      <c r="Q14" s="563" t="str">
        <f>VLOOKUP(A14,'[1]Raw data'!$B:$Z,2,FALSE)</f>
        <v>C49SZX20190121JY</v>
      </c>
      <c r="R14" s="563" t="str">
        <f>VLOOKUP(A14,'[1]Raw data'!$B:$Z,3,FALSE)</f>
        <v>建航</v>
      </c>
      <c r="S14" s="563" t="str">
        <f>VLOOKUP(A14,'[1]Raw data'!$B:$Z,4,FALSE)</f>
        <v>YSM10</v>
      </c>
      <c r="T14" s="563" t="str">
        <f>VLOOKUP(A14,'[1]Raw data'!$B:$Z,8,FALSE)</f>
        <v>L-&gt;R</v>
      </c>
      <c r="U14" s="563" t="str">
        <f>VLOOKUP(A14,'[1]Raw data'!$B:$Z,9,FALSE)</f>
        <v>MVC</v>
      </c>
      <c r="V14" s="567" t="str">
        <f t="shared" si="0"/>
        <v>WRONG</v>
      </c>
      <c r="W14" s="563" t="str">
        <f>VLOOKUP(A14,'[1]Raw data'!$B:$AG,32,FALSE)</f>
        <v>含税到厂</v>
      </c>
      <c r="X14" s="563">
        <f>VLOOKUP(A14,'[1]Raw data'!$B:$BA,31,FALSE)</f>
        <v>43698</v>
      </c>
      <c r="Y14" s="563" t="str">
        <f>VLOOKUP(A14,'[1]Raw data'!$B:$AS,39,FALSE)</f>
        <v>Yes</v>
      </c>
      <c r="Z14" s="568"/>
      <c r="AA14" s="569"/>
      <c r="AB14" s="570"/>
      <c r="AC14" s="563" t="s">
        <v>321</v>
      </c>
      <c r="AN14" s="582"/>
      <c r="AO14" s="824" t="str">
        <f t="shared" si="1"/>
        <v>Yes</v>
      </c>
      <c r="AP14" s="259" t="str">
        <f t="shared" si="2"/>
        <v>SEP 19</v>
      </c>
      <c r="AQ14" s="542" t="str">
        <f t="shared" si="3"/>
        <v>有定金+有預留客戶</v>
      </c>
      <c r="AR14" s="259" t="str">
        <f t="shared" si="4"/>
        <v>Shipped_Stock</v>
      </c>
      <c r="AS14" s="259" t="str">
        <f t="shared" si="5"/>
        <v/>
      </c>
      <c r="AT14" s="259" t="str">
        <f t="shared" si="6"/>
        <v>建航</v>
      </c>
      <c r="AU14" s="259" t="str">
        <f t="shared" si="7"/>
        <v>C49SZX20190121JY</v>
      </c>
      <c r="AV14" s="259" t="str">
        <f t="shared" si="8"/>
        <v>-</v>
      </c>
    </row>
    <row r="15" spans="1:48" ht="29.25" hidden="1" customHeight="1">
      <c r="A15" s="559">
        <v>375</v>
      </c>
      <c r="B15" s="560" t="s">
        <v>280</v>
      </c>
      <c r="C15" s="560" t="s">
        <v>281</v>
      </c>
      <c r="D15" s="583">
        <v>109285</v>
      </c>
      <c r="E15" s="563" t="s">
        <v>236</v>
      </c>
      <c r="F15" s="563" t="s">
        <v>322</v>
      </c>
      <c r="G15" s="563" t="s">
        <v>24</v>
      </c>
      <c r="H15" s="563" t="s">
        <v>323</v>
      </c>
      <c r="I15" s="564" t="s">
        <v>324</v>
      </c>
      <c r="J15" s="564">
        <v>1</v>
      </c>
      <c r="K15" s="563" t="s">
        <v>295</v>
      </c>
      <c r="L15" s="565">
        <v>43292</v>
      </c>
      <c r="M15" s="566">
        <v>6.08E-2</v>
      </c>
      <c r="N15" s="563" t="s">
        <v>325</v>
      </c>
      <c r="O15" s="563"/>
      <c r="P15" s="566" t="str">
        <f>VLOOKUP(A15,'[1]Raw data'!$B:$BB,23,FALSE)</f>
        <v>RMB</v>
      </c>
      <c r="Q15" s="563" t="str">
        <f>VLOOKUP(A15,'[1]Raw data'!$B:$Z,2,FALSE)</f>
        <v>C49SZX20190107DZ</v>
      </c>
      <c r="R15" s="563" t="str">
        <f>VLOOKUP(A15,'[1]Raw data'!$B:$Z,3,FALSE)</f>
        <v>方案集</v>
      </c>
      <c r="S15" s="563" t="str">
        <f>VLOOKUP(A15,'[1]Raw data'!$B:$Z,4,FALSE)</f>
        <v>YS24X</v>
      </c>
      <c r="T15" s="563" t="str">
        <f>VLOOKUP(A15,'[1]Raw data'!$B:$Z,8,FALSE)</f>
        <v>L-&gt;R</v>
      </c>
      <c r="U15" s="563" t="str">
        <f>VLOOKUP(A15,'[1]Raw data'!$B:$Z,9,FALSE)</f>
        <v>No</v>
      </c>
      <c r="V15" s="567" t="str">
        <f t="shared" si="0"/>
        <v>WRONG</v>
      </c>
      <c r="W15" s="563" t="str">
        <f>VLOOKUP(A15,'[1]Raw data'!$B:$AG,32,FALSE)</f>
        <v>含税到厂</v>
      </c>
      <c r="X15" s="563">
        <f>VLOOKUP(A15,'[1]Raw data'!$B:$BA,31,FALSE)</f>
        <v>43649</v>
      </c>
      <c r="Y15" s="563" t="str">
        <f>VLOOKUP(A15,'[1]Raw data'!$B:$AS,39,FALSE)</f>
        <v>Yes</v>
      </c>
      <c r="Z15" s="568"/>
      <c r="AA15" s="569"/>
      <c r="AB15" s="570"/>
      <c r="AC15" s="563" t="s">
        <v>326</v>
      </c>
      <c r="AN15" s="542"/>
      <c r="AO15" s="824" t="str">
        <f t="shared" si="1"/>
        <v>Yes</v>
      </c>
      <c r="AP15" s="259" t="str">
        <f t="shared" si="2"/>
        <v>JUL 19</v>
      </c>
      <c r="AQ15" s="542" t="str">
        <f t="shared" si="3"/>
        <v>有定金+有預留客戶</v>
      </c>
      <c r="AR15" s="259" t="str">
        <f t="shared" si="4"/>
        <v>Shipped_Stock</v>
      </c>
      <c r="AS15" s="259" t="str">
        <f t="shared" si="5"/>
        <v/>
      </c>
      <c r="AT15" s="259" t="str">
        <f t="shared" si="6"/>
        <v>方案集</v>
      </c>
      <c r="AU15" s="259" t="str">
        <f t="shared" si="7"/>
        <v>C49SZX20190107DZ</v>
      </c>
      <c r="AV15" s="259" t="str">
        <f t="shared" si="8"/>
        <v>Jul-11</v>
      </c>
    </row>
    <row r="16" spans="1:48" ht="15" hidden="1" customHeight="1">
      <c r="A16" s="559">
        <v>142</v>
      </c>
      <c r="B16" s="563" t="s">
        <v>280</v>
      </c>
      <c r="C16" s="560" t="s">
        <v>281</v>
      </c>
      <c r="D16" s="583">
        <v>109322</v>
      </c>
      <c r="E16" s="563" t="s">
        <v>327</v>
      </c>
      <c r="F16" s="563" t="s">
        <v>17</v>
      </c>
      <c r="G16" s="563" t="s">
        <v>24</v>
      </c>
      <c r="H16" s="563" t="s">
        <v>26</v>
      </c>
      <c r="I16" s="564" t="s">
        <v>328</v>
      </c>
      <c r="J16" s="564">
        <v>1</v>
      </c>
      <c r="K16" s="563" t="s">
        <v>295</v>
      </c>
      <c r="L16" s="565">
        <v>43292</v>
      </c>
      <c r="M16" s="566">
        <v>6.08E-2</v>
      </c>
      <c r="N16" s="563" t="s">
        <v>289</v>
      </c>
      <c r="O16" s="563"/>
      <c r="P16" s="566" t="str">
        <f>VLOOKUP(A16,'[1]Raw data'!$B:$BB,23,FALSE)</f>
        <v>RMB</v>
      </c>
      <c r="Q16" s="563" t="str">
        <f>VLOOKUP(A16,'[1]Raw data'!$B:$Z,2,FALSE)</f>
        <v>SDPUR-20180047</v>
      </c>
      <c r="R16" s="563" t="str">
        <f>VLOOKUP(A16,'[1]Raw data'!$B:$Z,3,FALSE)</f>
        <v>上达</v>
      </c>
      <c r="S16" s="563" t="str">
        <f>VLOOKUP(A16,'[1]Raw data'!$B:$Z,4,FALSE)</f>
        <v>YSM10</v>
      </c>
      <c r="T16" s="563" t="str">
        <f>VLOOKUP(A16,'[1]Raw data'!$B:$Z,8,FALSE)</f>
        <v>L-&gt;R</v>
      </c>
      <c r="U16" s="563" t="str">
        <f>VLOOKUP(A16,'[1]Raw data'!$B:$Z,9,FALSE)</f>
        <v>MVC</v>
      </c>
      <c r="V16" s="567" t="str">
        <f t="shared" si="0"/>
        <v>WRONG</v>
      </c>
      <c r="W16" s="563" t="str">
        <f>VLOOKUP(A16,'[1]Raw data'!$B:$AG,32,FALSE)</f>
        <v>含税到厂</v>
      </c>
      <c r="X16" s="563">
        <f>VLOOKUP(A16,'[1]Raw data'!$B:$BA,31,FALSE)</f>
        <v>43279</v>
      </c>
      <c r="Y16" s="563" t="str">
        <f>VLOOKUP(A16,'[1]Raw data'!$B:$AS,39,FALSE)</f>
        <v>Yes</v>
      </c>
      <c r="Z16" s="568" t="s">
        <v>329</v>
      </c>
      <c r="AA16" s="569" t="s">
        <v>329</v>
      </c>
      <c r="AB16" s="570"/>
      <c r="AC16" s="563" t="s">
        <v>291</v>
      </c>
      <c r="AN16" s="542"/>
      <c r="AO16" s="824" t="str">
        <f t="shared" si="1"/>
        <v>Yes</v>
      </c>
      <c r="AP16" s="259" t="str">
        <f t="shared" si="2"/>
        <v>DEC 18</v>
      </c>
      <c r="AQ16" s="542" t="str">
        <f t="shared" si="3"/>
        <v>有定金+有預留客戶</v>
      </c>
      <c r="AR16" s="259" t="str">
        <f t="shared" si="4"/>
        <v>Shipped_Stock</v>
      </c>
      <c r="AS16" s="259" t="str">
        <f t="shared" si="5"/>
        <v/>
      </c>
      <c r="AT16" s="259" t="str">
        <f t="shared" si="6"/>
        <v>上达</v>
      </c>
      <c r="AU16" s="259" t="str">
        <f t="shared" si="7"/>
        <v>SDPUR-20180047</v>
      </c>
      <c r="AV16" s="259" t="str">
        <f t="shared" si="8"/>
        <v>Jul-11</v>
      </c>
    </row>
    <row r="17" spans="1:48" ht="15" hidden="1" customHeight="1">
      <c r="A17" s="559">
        <v>143</v>
      </c>
      <c r="B17" s="563" t="s">
        <v>280</v>
      </c>
      <c r="C17" s="560" t="s">
        <v>281</v>
      </c>
      <c r="D17" s="564">
        <v>109322</v>
      </c>
      <c r="E17" s="563" t="s">
        <v>327</v>
      </c>
      <c r="F17" s="563" t="s">
        <v>17</v>
      </c>
      <c r="G17" s="563" t="s">
        <v>24</v>
      </c>
      <c r="H17" s="563" t="s">
        <v>26</v>
      </c>
      <c r="I17" s="564" t="s">
        <v>330</v>
      </c>
      <c r="J17" s="564">
        <v>1</v>
      </c>
      <c r="K17" s="563" t="s">
        <v>295</v>
      </c>
      <c r="L17" s="565">
        <v>43292</v>
      </c>
      <c r="M17" s="566">
        <v>6.08E-2</v>
      </c>
      <c r="N17" s="563" t="s">
        <v>289</v>
      </c>
      <c r="O17" s="563"/>
      <c r="P17" s="566" t="str">
        <f>VLOOKUP(A17,'[1]Raw data'!$B:$BB,23,FALSE)</f>
        <v>RMB</v>
      </c>
      <c r="Q17" s="563" t="str">
        <f>VLOOKUP(A17,'[1]Raw data'!$B:$Z,2,FALSE)</f>
        <v>SDPUR-20180047</v>
      </c>
      <c r="R17" s="563" t="str">
        <f>VLOOKUP(A17,'[1]Raw data'!$B:$Z,3,FALSE)</f>
        <v>上达</v>
      </c>
      <c r="S17" s="563" t="str">
        <f>VLOOKUP(A17,'[1]Raw data'!$B:$Z,4,FALSE)</f>
        <v>YSM10</v>
      </c>
      <c r="T17" s="563" t="str">
        <f>VLOOKUP(A17,'[1]Raw data'!$B:$Z,8,FALSE)</f>
        <v>L-&gt;R</v>
      </c>
      <c r="U17" s="563" t="str">
        <f>VLOOKUP(A17,'[1]Raw data'!$B:$Z,9,FALSE)</f>
        <v>MVC</v>
      </c>
      <c r="V17" s="567" t="str">
        <f t="shared" si="0"/>
        <v>WRONG</v>
      </c>
      <c r="W17" s="563" t="str">
        <f>VLOOKUP(A17,'[1]Raw data'!$B:$AG,32,FALSE)</f>
        <v>含税到厂</v>
      </c>
      <c r="X17" s="563">
        <f>VLOOKUP(A17,'[1]Raw data'!$B:$BA,31,FALSE)</f>
        <v>43279</v>
      </c>
      <c r="Y17" s="563" t="str">
        <f>VLOOKUP(A17,'[1]Raw data'!$B:$AS,39,FALSE)</f>
        <v>Yes</v>
      </c>
      <c r="Z17" s="568" t="s">
        <v>329</v>
      </c>
      <c r="AA17" s="569" t="s">
        <v>329</v>
      </c>
      <c r="AB17" s="570"/>
      <c r="AC17" s="563" t="s">
        <v>291</v>
      </c>
      <c r="AN17" s="542"/>
      <c r="AO17" s="824" t="str">
        <f t="shared" si="1"/>
        <v>Yes</v>
      </c>
      <c r="AP17" s="259" t="str">
        <f t="shared" si="2"/>
        <v>DEC 18</v>
      </c>
      <c r="AQ17" s="542" t="str">
        <f t="shared" si="3"/>
        <v>有定金+有預留客戶</v>
      </c>
      <c r="AR17" s="259" t="str">
        <f t="shared" si="4"/>
        <v>Shipped_Stock</v>
      </c>
      <c r="AS17" s="259" t="str">
        <f t="shared" si="5"/>
        <v/>
      </c>
      <c r="AT17" s="259" t="str">
        <f t="shared" si="6"/>
        <v>上达</v>
      </c>
      <c r="AU17" s="259" t="str">
        <f t="shared" si="7"/>
        <v>SDPUR-20180047</v>
      </c>
      <c r="AV17" s="259" t="str">
        <f t="shared" si="8"/>
        <v>Jul-11</v>
      </c>
    </row>
    <row r="18" spans="1:48" ht="15" hidden="1" customHeight="1">
      <c r="A18" s="559">
        <v>120</v>
      </c>
      <c r="B18" s="563" t="s">
        <v>280</v>
      </c>
      <c r="C18" s="560" t="s">
        <v>281</v>
      </c>
      <c r="D18" s="564">
        <v>109284</v>
      </c>
      <c r="E18" s="563" t="s">
        <v>236</v>
      </c>
      <c r="F18" s="563" t="s">
        <v>17</v>
      </c>
      <c r="G18" s="563" t="s">
        <v>24</v>
      </c>
      <c r="H18" s="563" t="s">
        <v>34</v>
      </c>
      <c r="I18" s="564" t="s">
        <v>331</v>
      </c>
      <c r="J18" s="564">
        <v>1</v>
      </c>
      <c r="K18" s="563" t="s">
        <v>311</v>
      </c>
      <c r="L18" s="565">
        <v>43310</v>
      </c>
      <c r="M18" s="566">
        <v>6.08E-2</v>
      </c>
      <c r="N18" s="563" t="s">
        <v>289</v>
      </c>
      <c r="O18" s="563"/>
      <c r="P18" s="566" t="str">
        <f>VLOOKUP(A18,'[1]Raw data'!$B:$BB,23,FALSE)</f>
        <v>JPY</v>
      </c>
      <c r="Q18" s="563" t="str">
        <f>VLOOKUP(A18,'[1]Raw data'!$B:$Z,2,FALSE)</f>
        <v>C49SZX20180131DZ</v>
      </c>
      <c r="R18" s="563" t="str">
        <f>VLOOKUP(A18,'[1]Raw data'!$B:$Z,3,FALSE)</f>
        <v>朗特</v>
      </c>
      <c r="S18" s="563" t="str">
        <f>VLOOKUP(A18,'[1]Raw data'!$B:$Z,4,FALSE)</f>
        <v>YSM10</v>
      </c>
      <c r="T18" s="563" t="str">
        <f>VLOOKUP(A18,'[1]Raw data'!$B:$Z,8,FALSE)</f>
        <v>R-&gt;L</v>
      </c>
      <c r="U18" s="563" t="str">
        <f>VLOOKUP(A18,'[1]Raw data'!$B:$Z,9,FALSE)</f>
        <v>MVC+ATS15</v>
      </c>
      <c r="V18" s="567" t="str">
        <f t="shared" si="0"/>
        <v>WRONG</v>
      </c>
      <c r="W18" s="563" t="str">
        <f>VLOOKUP(A18,'[1]Raw data'!$B:$AG,32,FALSE)</f>
        <v>CIF</v>
      </c>
      <c r="X18" s="563">
        <f>VLOOKUP(A18,'[1]Raw data'!$B:$BA,31,FALSE)</f>
        <v>43325</v>
      </c>
      <c r="Y18" s="563" t="str">
        <f>VLOOKUP(A18,'[1]Raw data'!$B:$AS,39,FALSE)</f>
        <v>Yes</v>
      </c>
      <c r="Z18" s="568" t="s">
        <v>290</v>
      </c>
      <c r="AA18" s="569" t="s">
        <v>290</v>
      </c>
      <c r="AB18" s="570"/>
      <c r="AC18" s="563" t="s">
        <v>291</v>
      </c>
      <c r="AN18" s="542"/>
      <c r="AO18" s="824" t="str">
        <f t="shared" si="1"/>
        <v>Yes</v>
      </c>
      <c r="AP18" s="259" t="str">
        <f t="shared" si="2"/>
        <v>DEC 18</v>
      </c>
      <c r="AQ18" s="542" t="str">
        <f t="shared" si="3"/>
        <v>有定金+有預留客戶</v>
      </c>
      <c r="AR18" s="259" t="str">
        <f t="shared" si="4"/>
        <v>Shipped_Stock</v>
      </c>
      <c r="AS18" s="259" t="str">
        <f t="shared" si="5"/>
        <v/>
      </c>
      <c r="AT18" s="259" t="str">
        <f t="shared" si="6"/>
        <v>朗特</v>
      </c>
      <c r="AU18" s="259" t="str">
        <f t="shared" si="7"/>
        <v>C49SZX20180131DZ</v>
      </c>
      <c r="AV18" s="259" t="str">
        <f t="shared" si="8"/>
        <v>Jul-29</v>
      </c>
    </row>
    <row r="19" spans="1:48" ht="15" hidden="1" customHeight="1">
      <c r="A19" s="559">
        <v>145</v>
      </c>
      <c r="B19" s="563" t="s">
        <v>280</v>
      </c>
      <c r="C19" s="560" t="s">
        <v>281</v>
      </c>
      <c r="D19" s="564">
        <v>109284</v>
      </c>
      <c r="E19" s="563" t="s">
        <v>236</v>
      </c>
      <c r="F19" s="563" t="s">
        <v>17</v>
      </c>
      <c r="G19" s="563" t="s">
        <v>24</v>
      </c>
      <c r="H19" s="563" t="s">
        <v>34</v>
      </c>
      <c r="I19" s="564" t="s">
        <v>332</v>
      </c>
      <c r="J19" s="564">
        <v>1</v>
      </c>
      <c r="K19" s="563" t="s">
        <v>285</v>
      </c>
      <c r="L19" s="565">
        <v>43310</v>
      </c>
      <c r="M19" s="566">
        <v>6.08E-2</v>
      </c>
      <c r="N19" s="563" t="s">
        <v>313</v>
      </c>
      <c r="O19" s="563"/>
      <c r="P19" s="566" t="str">
        <f>VLOOKUP(A19,'[1]Raw data'!$B:$BB,23,FALSE)</f>
        <v>JPY</v>
      </c>
      <c r="Q19" s="563" t="str">
        <f>VLOOKUP(A19,'[1]Raw data'!$B:$Z,2,FALSE)</f>
        <v>C49SZX20180152ZX</v>
      </c>
      <c r="R19" s="563" t="str">
        <f>VLOOKUP(A19,'[1]Raw data'!$B:$Z,3,FALSE)</f>
        <v>雅鑫特</v>
      </c>
      <c r="S19" s="563" t="str">
        <f>VLOOKUP(A19,'[1]Raw data'!$B:$Z,4,FALSE)</f>
        <v>YSM10</v>
      </c>
      <c r="T19" s="563" t="str">
        <f>VLOOKUP(A19,'[1]Raw data'!$B:$Z,8,FALSE)</f>
        <v>L-&gt;R</v>
      </c>
      <c r="U19" s="563" t="str">
        <f>VLOOKUP(A19,'[1]Raw data'!$B:$Z,9,FALSE)</f>
        <v>MVC+ATS15</v>
      </c>
      <c r="V19" s="567" t="str">
        <f t="shared" si="0"/>
        <v>OK</v>
      </c>
      <c r="W19" s="563" t="str">
        <f>VLOOKUP(A19,'[1]Raw data'!$B:$AG,32,FALSE)</f>
        <v>CIF</v>
      </c>
      <c r="X19" s="563">
        <f>VLOOKUP(A19,'[1]Raw data'!$B:$BA,31,FALSE)</f>
        <v>43383</v>
      </c>
      <c r="Y19" s="563" t="str">
        <f>VLOOKUP(A19,'[1]Raw data'!$B:$AS,39,FALSE)</f>
        <v>Yes</v>
      </c>
      <c r="Z19" s="568" t="s">
        <v>290</v>
      </c>
      <c r="AA19" s="569" t="s">
        <v>290</v>
      </c>
      <c r="AB19" s="570"/>
      <c r="AC19" s="563" t="s">
        <v>291</v>
      </c>
      <c r="AN19" s="542"/>
      <c r="AO19" s="824" t="str">
        <f t="shared" si="1"/>
        <v>Yes</v>
      </c>
      <c r="AP19" s="259" t="str">
        <f t="shared" si="2"/>
        <v>OCT 18</v>
      </c>
      <c r="AQ19" s="542" t="str">
        <f t="shared" si="3"/>
        <v>有定金+有預留客戶</v>
      </c>
      <c r="AR19" s="259" t="str">
        <f t="shared" si="4"/>
        <v>Shipped_Stock</v>
      </c>
      <c r="AS19" s="259" t="str">
        <f t="shared" si="5"/>
        <v/>
      </c>
      <c r="AT19" s="259" t="str">
        <f t="shared" si="6"/>
        <v>雅鑫特</v>
      </c>
      <c r="AU19" s="259" t="str">
        <f t="shared" si="7"/>
        <v>C49SZX20180152ZX</v>
      </c>
      <c r="AV19" s="259" t="str">
        <f t="shared" si="8"/>
        <v>Jul-29</v>
      </c>
    </row>
    <row r="20" spans="1:48" hidden="1">
      <c r="A20" s="559">
        <v>78</v>
      </c>
      <c r="B20" s="563" t="s">
        <v>280</v>
      </c>
      <c r="C20" s="560" t="s">
        <v>281</v>
      </c>
      <c r="D20" s="564">
        <v>109238</v>
      </c>
      <c r="E20" s="563" t="s">
        <v>236</v>
      </c>
      <c r="F20" s="563" t="s">
        <v>17</v>
      </c>
      <c r="G20" s="563" t="s">
        <v>24</v>
      </c>
      <c r="H20" s="563" t="s">
        <v>34</v>
      </c>
      <c r="I20" s="564" t="s">
        <v>333</v>
      </c>
      <c r="J20" s="564">
        <v>1</v>
      </c>
      <c r="K20" s="563" t="s">
        <v>285</v>
      </c>
      <c r="L20" s="565">
        <v>43327</v>
      </c>
      <c r="M20" s="566">
        <v>6.1499999999999999E-2</v>
      </c>
      <c r="N20" s="563" t="s">
        <v>334</v>
      </c>
      <c r="O20" s="563"/>
      <c r="P20" s="566" t="str">
        <f>VLOOKUP(A20,'[1]Raw data'!$B:$BB,23,FALSE)</f>
        <v>JPY</v>
      </c>
      <c r="Q20" s="563" t="str">
        <f>VLOOKUP(A20,'[1]Raw data'!$B:$Z,2,FALSE)</f>
        <v>C49SZX20180086DZ</v>
      </c>
      <c r="R20" s="563" t="str">
        <f>VLOOKUP(A20,'[1]Raw data'!$B:$Z,3,FALSE)</f>
        <v>BBS好兄弟</v>
      </c>
      <c r="S20" s="563" t="str">
        <f>VLOOKUP(A20,'[1]Raw data'!$B:$Z,4,FALSE)</f>
        <v>YSM10</v>
      </c>
      <c r="T20" s="563" t="str">
        <f>VLOOKUP(A20,'[1]Raw data'!$B:$Z,8,FALSE)</f>
        <v>L-&gt;R</v>
      </c>
      <c r="U20" s="563" t="str">
        <f>VLOOKUP(A20,'[1]Raw data'!$B:$Z,9,FALSE)</f>
        <v>MVC+ATS15</v>
      </c>
      <c r="V20" s="567" t="str">
        <f t="shared" si="0"/>
        <v>OK</v>
      </c>
      <c r="W20" s="563" t="str">
        <f>VLOOKUP(A20,'[1]Raw data'!$B:$AG,32,FALSE)</f>
        <v>CIF HK</v>
      </c>
      <c r="X20" s="563">
        <f>VLOOKUP(A20,'[1]Raw data'!$B:$BA,31,FALSE)</f>
        <v>43251</v>
      </c>
      <c r="Y20" s="563" t="str">
        <f>VLOOKUP(A20,'[1]Raw data'!$B:$AS,39,FALSE)</f>
        <v>Yes</v>
      </c>
      <c r="Z20" s="568" t="s">
        <v>290</v>
      </c>
      <c r="AA20" s="569" t="s">
        <v>290</v>
      </c>
      <c r="AB20" s="570"/>
      <c r="AC20" s="563" t="s">
        <v>291</v>
      </c>
      <c r="AN20" s="542"/>
      <c r="AO20" s="824" t="str">
        <f t="shared" si="1"/>
        <v>Yes</v>
      </c>
      <c r="AP20" s="259" t="str">
        <f t="shared" si="2"/>
        <v>MAR 19</v>
      </c>
      <c r="AQ20" s="542" t="str">
        <f t="shared" si="3"/>
        <v>有定金+有預留客戶</v>
      </c>
      <c r="AR20" s="259" t="str">
        <f t="shared" si="4"/>
        <v>Shipped_Stock</v>
      </c>
      <c r="AS20" s="259" t="str">
        <f t="shared" si="5"/>
        <v/>
      </c>
      <c r="AT20" s="259" t="str">
        <f t="shared" si="6"/>
        <v>BBS好兄弟</v>
      </c>
      <c r="AU20" s="259" t="str">
        <f t="shared" si="7"/>
        <v>C49SZX20180086DZ</v>
      </c>
      <c r="AV20" s="259" t="str">
        <f t="shared" si="8"/>
        <v>Aug-15</v>
      </c>
    </row>
    <row r="21" spans="1:48" ht="15" hidden="1" customHeight="1">
      <c r="A21" s="559">
        <v>79</v>
      </c>
      <c r="B21" s="563" t="s">
        <v>280</v>
      </c>
      <c r="C21" s="560" t="s">
        <v>281</v>
      </c>
      <c r="D21" s="564">
        <v>109238</v>
      </c>
      <c r="E21" s="563" t="s">
        <v>236</v>
      </c>
      <c r="F21" s="563" t="s">
        <v>17</v>
      </c>
      <c r="G21" s="563" t="s">
        <v>24</v>
      </c>
      <c r="H21" s="563" t="s">
        <v>34</v>
      </c>
      <c r="I21" s="564" t="s">
        <v>335</v>
      </c>
      <c r="J21" s="564">
        <v>1</v>
      </c>
      <c r="K21" s="563" t="s">
        <v>285</v>
      </c>
      <c r="L21" s="565">
        <v>43327</v>
      </c>
      <c r="M21" s="566">
        <v>6.1499999999999999E-2</v>
      </c>
      <c r="N21" s="563" t="s">
        <v>334</v>
      </c>
      <c r="O21" s="563"/>
      <c r="P21" s="566" t="str">
        <f>VLOOKUP(A21,'[1]Raw data'!$B:$BB,23,FALSE)</f>
        <v>JPY</v>
      </c>
      <c r="Q21" s="563" t="str">
        <f>VLOOKUP(A21,'[1]Raw data'!$B:$Z,2,FALSE)</f>
        <v>C49SZX20180086DZ</v>
      </c>
      <c r="R21" s="563" t="str">
        <f>VLOOKUP(A21,'[1]Raw data'!$B:$Z,3,FALSE)</f>
        <v>BBS好兄弟</v>
      </c>
      <c r="S21" s="563" t="str">
        <f>VLOOKUP(A21,'[1]Raw data'!$B:$Z,4,FALSE)</f>
        <v>YSM10</v>
      </c>
      <c r="T21" s="563" t="str">
        <f>VLOOKUP(A21,'[1]Raw data'!$B:$Z,8,FALSE)</f>
        <v>L-&gt;R</v>
      </c>
      <c r="U21" s="563" t="str">
        <f>VLOOKUP(A21,'[1]Raw data'!$B:$Z,9,FALSE)</f>
        <v>MVC+ATS15</v>
      </c>
      <c r="V21" s="567" t="str">
        <f t="shared" si="0"/>
        <v>OK</v>
      </c>
      <c r="W21" s="563" t="str">
        <f>VLOOKUP(A21,'[1]Raw data'!$B:$AG,32,FALSE)</f>
        <v>CIF HK</v>
      </c>
      <c r="X21" s="563">
        <f>VLOOKUP(A21,'[1]Raw data'!$B:$BA,31,FALSE)</f>
        <v>43251</v>
      </c>
      <c r="Y21" s="563" t="str">
        <f>VLOOKUP(A21,'[1]Raw data'!$B:$AS,39,FALSE)</f>
        <v>Yes</v>
      </c>
      <c r="Z21" s="568" t="s">
        <v>290</v>
      </c>
      <c r="AA21" s="569" t="s">
        <v>290</v>
      </c>
      <c r="AB21" s="570"/>
      <c r="AC21" s="563" t="s">
        <v>291</v>
      </c>
      <c r="AN21" s="542"/>
      <c r="AO21" s="824" t="str">
        <f t="shared" si="1"/>
        <v>Yes</v>
      </c>
      <c r="AP21" s="259" t="str">
        <f t="shared" si="2"/>
        <v>MAR 19</v>
      </c>
      <c r="AQ21" s="542" t="str">
        <f t="shared" si="3"/>
        <v>有定金+有預留客戶</v>
      </c>
      <c r="AR21" s="259" t="str">
        <f t="shared" si="4"/>
        <v>Shipped_Stock</v>
      </c>
      <c r="AS21" s="259" t="str">
        <f t="shared" si="5"/>
        <v/>
      </c>
      <c r="AT21" s="259" t="str">
        <f t="shared" si="6"/>
        <v>BBS好兄弟</v>
      </c>
      <c r="AU21" s="259" t="str">
        <f t="shared" si="7"/>
        <v>C49SZX20180086DZ</v>
      </c>
      <c r="AV21" s="259" t="str">
        <f t="shared" si="8"/>
        <v>Aug-15</v>
      </c>
    </row>
    <row r="22" spans="1:48" ht="15" hidden="1" customHeight="1">
      <c r="A22" s="559">
        <v>186</v>
      </c>
      <c r="B22" s="563" t="s">
        <v>280</v>
      </c>
      <c r="C22" s="560" t="s">
        <v>281</v>
      </c>
      <c r="D22" s="564">
        <v>109238</v>
      </c>
      <c r="E22" s="563" t="s">
        <v>236</v>
      </c>
      <c r="F22" s="563" t="s">
        <v>17</v>
      </c>
      <c r="G22" s="563" t="s">
        <v>24</v>
      </c>
      <c r="H22" s="563" t="s">
        <v>27</v>
      </c>
      <c r="I22" s="564" t="s">
        <v>336</v>
      </c>
      <c r="J22" s="564">
        <v>1</v>
      </c>
      <c r="K22" s="563" t="s">
        <v>285</v>
      </c>
      <c r="L22" s="565">
        <v>43327</v>
      </c>
      <c r="M22" s="566">
        <v>6.1499999999999999E-2</v>
      </c>
      <c r="N22" s="563" t="s">
        <v>289</v>
      </c>
      <c r="O22" s="563"/>
      <c r="P22" s="566" t="str">
        <f>VLOOKUP(A22,'[1]Raw data'!$B:$BB,23,FALSE)</f>
        <v>JPY</v>
      </c>
      <c r="Q22" s="563" t="str">
        <f>VLOOKUP(A22,'[1]Raw data'!$B:$Z,2,FALSE)</f>
        <v>C49SZX20180180ZX</v>
      </c>
      <c r="R22" s="563" t="str">
        <f>VLOOKUP(A22,'[1]Raw data'!$B:$Z,3,FALSE)</f>
        <v>世达威</v>
      </c>
      <c r="S22" s="563" t="str">
        <f>VLOOKUP(A22,'[1]Raw data'!$B:$Z,4,FALSE)</f>
        <v>YSM10</v>
      </c>
      <c r="T22" s="563" t="str">
        <f>VLOOKUP(A22,'[1]Raw data'!$B:$Z,8,FALSE)</f>
        <v>L-&gt;R</v>
      </c>
      <c r="U22" s="563" t="str">
        <f>VLOOKUP(A22,'[1]Raw data'!$B:$Z,9,FALSE)</f>
        <v>MVC</v>
      </c>
      <c r="V22" s="567" t="str">
        <f t="shared" si="0"/>
        <v>OK</v>
      </c>
      <c r="W22" s="563" t="str">
        <f>VLOOKUP(A22,'[1]Raw data'!$B:$AG,32,FALSE)</f>
        <v>DAP深圳</v>
      </c>
      <c r="X22" s="563">
        <f>VLOOKUP(A22,'[1]Raw data'!$B:$BA,31,FALSE)</f>
        <v>43431</v>
      </c>
      <c r="Y22" s="563" t="str">
        <f>VLOOKUP(A22,'[1]Raw data'!$B:$AS,39,FALSE)</f>
        <v>Yes</v>
      </c>
      <c r="Z22" s="568" t="s">
        <v>290</v>
      </c>
      <c r="AA22" s="569" t="s">
        <v>290</v>
      </c>
      <c r="AB22" s="570"/>
      <c r="AC22" s="563" t="s">
        <v>291</v>
      </c>
      <c r="AN22" s="542"/>
      <c r="AO22" s="824" t="str">
        <f t="shared" si="1"/>
        <v>Yes</v>
      </c>
      <c r="AP22" s="259" t="str">
        <f t="shared" si="2"/>
        <v>DEC 18</v>
      </c>
      <c r="AQ22" s="542" t="str">
        <f t="shared" si="3"/>
        <v>有定金+有預留客戶</v>
      </c>
      <c r="AR22" s="259" t="str">
        <f t="shared" si="4"/>
        <v>Shipped_Stock</v>
      </c>
      <c r="AS22" s="259" t="str">
        <f t="shared" si="5"/>
        <v/>
      </c>
      <c r="AT22" s="259" t="str">
        <f t="shared" si="6"/>
        <v>世达威</v>
      </c>
      <c r="AU22" s="259" t="str">
        <f t="shared" si="7"/>
        <v>C49SZX20180180ZX</v>
      </c>
      <c r="AV22" s="259" t="str">
        <f t="shared" si="8"/>
        <v>Aug-15</v>
      </c>
    </row>
    <row r="23" spans="1:48" ht="15" hidden="1" customHeight="1">
      <c r="A23" s="559">
        <v>177</v>
      </c>
      <c r="B23" s="563" t="s">
        <v>280</v>
      </c>
      <c r="C23" s="560" t="s">
        <v>281</v>
      </c>
      <c r="D23" s="564">
        <v>109238</v>
      </c>
      <c r="E23" s="563" t="s">
        <v>236</v>
      </c>
      <c r="F23" s="563" t="s">
        <v>17</v>
      </c>
      <c r="G23" s="563" t="s">
        <v>24</v>
      </c>
      <c r="H23" s="563" t="s">
        <v>34</v>
      </c>
      <c r="I23" s="564" t="s">
        <v>337</v>
      </c>
      <c r="J23" s="564">
        <v>1</v>
      </c>
      <c r="K23" s="563" t="s">
        <v>295</v>
      </c>
      <c r="L23" s="565">
        <v>43327</v>
      </c>
      <c r="M23" s="566">
        <v>6.1499999999999999E-2</v>
      </c>
      <c r="N23" s="563" t="s">
        <v>325</v>
      </c>
      <c r="O23" s="563"/>
      <c r="P23" s="566" t="str">
        <f>VLOOKUP(A23,'[1]Raw data'!$B:$BB,23,FALSE)</f>
        <v>JPY</v>
      </c>
      <c r="Q23" s="563" t="str">
        <f>VLOOKUP(A23,'[1]Raw data'!$B:$Z,2,FALSE)</f>
        <v>C49SZX20180154JL</v>
      </c>
      <c r="R23" s="563" t="str">
        <f>VLOOKUP(A23,'[1]Raw data'!$B:$Z,3,FALSE)</f>
        <v>奥晨</v>
      </c>
      <c r="S23" s="563" t="str">
        <f>VLOOKUP(A23,'[1]Raw data'!$B:$Z,4,FALSE)</f>
        <v>YSM10</v>
      </c>
      <c r="T23" s="563" t="str">
        <f>VLOOKUP(A23,'[1]Raw data'!$B:$Z,8,FALSE)</f>
        <v>L-&gt;R</v>
      </c>
      <c r="U23" s="563" t="str">
        <f>VLOOKUP(A23,'[1]Raw data'!$B:$Z,9,FALSE)</f>
        <v>MVC+ATS15</v>
      </c>
      <c r="V23" s="567" t="str">
        <f t="shared" si="0"/>
        <v>OK</v>
      </c>
      <c r="W23" s="563" t="str">
        <f>VLOOKUP(A23,'[1]Raw data'!$B:$AG,32,FALSE)</f>
        <v>DAP东莞</v>
      </c>
      <c r="X23" s="563">
        <f>VLOOKUP(A23,'[1]Raw data'!$B:$BA,31,FALSE)</f>
        <v>43388</v>
      </c>
      <c r="Y23" s="563" t="str">
        <f>VLOOKUP(A23,'[1]Raw data'!$B:$AS,39,FALSE)</f>
        <v>Yes</v>
      </c>
      <c r="Z23" s="568" t="s">
        <v>290</v>
      </c>
      <c r="AA23" s="569" t="s">
        <v>290</v>
      </c>
      <c r="AB23" s="570"/>
      <c r="AC23" s="584" t="s">
        <v>338</v>
      </c>
      <c r="AN23" s="542"/>
      <c r="AO23" s="824" t="str">
        <f t="shared" si="1"/>
        <v>Yes</v>
      </c>
      <c r="AP23" s="259" t="str">
        <f t="shared" si="2"/>
        <v>JUL 19</v>
      </c>
      <c r="AQ23" s="542" t="str">
        <f t="shared" si="3"/>
        <v>有定金+有預留客戶</v>
      </c>
      <c r="AR23" s="259" t="str">
        <f t="shared" si="4"/>
        <v>Shipped_Stock</v>
      </c>
      <c r="AS23" s="259" t="str">
        <f t="shared" si="5"/>
        <v/>
      </c>
      <c r="AT23" s="259" t="str">
        <f t="shared" si="6"/>
        <v>奥晨</v>
      </c>
      <c r="AU23" s="259" t="str">
        <f t="shared" si="7"/>
        <v>C49SZX20180154JL</v>
      </c>
      <c r="AV23" s="259" t="str">
        <f t="shared" si="8"/>
        <v>Aug-15</v>
      </c>
    </row>
    <row r="24" spans="1:48" ht="15" hidden="1" customHeight="1">
      <c r="A24" s="559">
        <v>30</v>
      </c>
      <c r="B24" s="563" t="s">
        <v>280</v>
      </c>
      <c r="C24" s="560" t="s">
        <v>281</v>
      </c>
      <c r="D24" s="564">
        <v>109238</v>
      </c>
      <c r="E24" s="563" t="s">
        <v>236</v>
      </c>
      <c r="F24" s="563" t="s">
        <v>339</v>
      </c>
      <c r="G24" s="563" t="s">
        <v>24</v>
      </c>
      <c r="H24" s="563" t="s">
        <v>27</v>
      </c>
      <c r="I24" s="564" t="s">
        <v>340</v>
      </c>
      <c r="J24" s="564">
        <v>1</v>
      </c>
      <c r="K24" s="563" t="s">
        <v>295</v>
      </c>
      <c r="L24" s="565">
        <v>43327</v>
      </c>
      <c r="M24" s="566">
        <v>6.1499999999999999E-2</v>
      </c>
      <c r="N24" s="563" t="s">
        <v>341</v>
      </c>
      <c r="O24" s="563"/>
      <c r="P24" s="566" t="str">
        <f>VLOOKUP(A24,'[1]Raw data'!$B:$BB,23,FALSE)</f>
        <v>RMB</v>
      </c>
      <c r="Q24" s="563" t="str">
        <f>VLOOKUP(A24,'[1]Raw data'!$B:$Z,2,FALSE)</f>
        <v>C49SZX20180058KW</v>
      </c>
      <c r="R24" s="563" t="str">
        <f>VLOOKUP(A24,'[1]Raw data'!$B:$Z,3,FALSE)</f>
        <v>STK深台</v>
      </c>
      <c r="S24" s="563" t="str">
        <f>VLOOKUP(A24,'[1]Raw data'!$B:$Z,4,FALSE)</f>
        <v>YSM10</v>
      </c>
      <c r="T24" s="563" t="str">
        <f>VLOOKUP(A24,'[1]Raw data'!$B:$Z,8,FALSE)</f>
        <v>L-&gt;R</v>
      </c>
      <c r="U24" s="563" t="str">
        <f>VLOOKUP(A24,'[1]Raw data'!$B:$Z,9,FALSE)</f>
        <v>MVC</v>
      </c>
      <c r="V24" s="567" t="str">
        <f t="shared" si="0"/>
        <v>OK</v>
      </c>
      <c r="W24" s="563" t="str">
        <f>VLOOKUP(A24,'[1]Raw data'!$B:$AG,32,FALSE)</f>
        <v>DDP SZ</v>
      </c>
      <c r="X24" s="563">
        <f>VLOOKUP(A24,'[1]Raw data'!$B:$BA,31,FALSE)</f>
        <v>43230</v>
      </c>
      <c r="Y24" s="563" t="str">
        <f>VLOOKUP(A24,'[1]Raw data'!$B:$AS,39,FALSE)</f>
        <v>Yes</v>
      </c>
      <c r="Z24" s="568"/>
      <c r="AA24" s="569"/>
      <c r="AB24" s="585"/>
      <c r="AC24" s="563" t="s">
        <v>291</v>
      </c>
      <c r="AN24" s="542"/>
      <c r="AO24" s="824" t="str">
        <f t="shared" si="1"/>
        <v>Yes</v>
      </c>
      <c r="AP24" s="259" t="str">
        <f t="shared" si="2"/>
        <v>APR 19</v>
      </c>
      <c r="AQ24" s="542" t="str">
        <f t="shared" si="3"/>
        <v>有定金+有預留客戶</v>
      </c>
      <c r="AR24" s="259" t="str">
        <f t="shared" si="4"/>
        <v>Shipped_Stock</v>
      </c>
      <c r="AS24" s="259" t="str">
        <f t="shared" si="5"/>
        <v/>
      </c>
      <c r="AT24" s="259" t="str">
        <f t="shared" si="6"/>
        <v>STK深台</v>
      </c>
      <c r="AU24" s="259" t="str">
        <f t="shared" si="7"/>
        <v>C49SZX20180058KW</v>
      </c>
      <c r="AV24" s="259" t="str">
        <f t="shared" si="8"/>
        <v>Aug-15</v>
      </c>
    </row>
    <row r="25" spans="1:48" ht="15" hidden="1" customHeight="1">
      <c r="A25" s="559">
        <v>115</v>
      </c>
      <c r="B25" s="563" t="s">
        <v>280</v>
      </c>
      <c r="C25" s="560" t="s">
        <v>281</v>
      </c>
      <c r="D25" s="564">
        <v>109202</v>
      </c>
      <c r="E25" s="563" t="s">
        <v>342</v>
      </c>
      <c r="F25" s="563" t="s">
        <v>343</v>
      </c>
      <c r="G25" s="563" t="s">
        <v>24</v>
      </c>
      <c r="H25" s="563" t="s">
        <v>26</v>
      </c>
      <c r="I25" s="564" t="s">
        <v>344</v>
      </c>
      <c r="J25" s="564">
        <v>1</v>
      </c>
      <c r="K25" s="563" t="s">
        <v>311</v>
      </c>
      <c r="L25" s="565">
        <v>43348</v>
      </c>
      <c r="M25" s="566">
        <v>6.3E-2</v>
      </c>
      <c r="N25" s="563" t="s">
        <v>345</v>
      </c>
      <c r="O25" s="563"/>
      <c r="P25" s="566" t="str">
        <f>VLOOKUP(A25,'[1]Raw data'!$B:$BB,23,FALSE)</f>
        <v>JPY</v>
      </c>
      <c r="Q25" s="563" t="str">
        <f>VLOOKUP(A25,'[1]Raw data'!$B:$Z,2,FALSE)</f>
        <v>C49SZX20180124JL</v>
      </c>
      <c r="R25" s="563" t="str">
        <f>VLOOKUP(A25,'[1]Raw data'!$B:$Z,3,FALSE)</f>
        <v>通通旺</v>
      </c>
      <c r="S25" s="563" t="str">
        <f>VLOOKUP(A25,'[1]Raw data'!$B:$Z,4,FALSE)</f>
        <v>YSM20R(SV)-2</v>
      </c>
      <c r="T25" s="563" t="str">
        <f>VLOOKUP(A25,'[1]Raw data'!$B:$Z,8,FALSE)</f>
        <v>L-&gt;R</v>
      </c>
      <c r="U25" s="563" t="str">
        <f>VLOOKUP(A25,'[1]Raw data'!$B:$Z,9,FALSE)</f>
        <v>No</v>
      </c>
      <c r="V25" s="567" t="str">
        <f t="shared" si="0"/>
        <v>OK</v>
      </c>
      <c r="W25" s="563" t="str">
        <f>VLOOKUP(A25,'[1]Raw data'!$B:$AG,32,FALSE)</f>
        <v>CIF HK</v>
      </c>
      <c r="X25" s="563">
        <f>VLOOKUP(A25,'[1]Raw data'!$B:$BA,31,FALSE)</f>
        <v>43322</v>
      </c>
      <c r="Y25" s="563" t="str">
        <f>VLOOKUP(A25,'[1]Raw data'!$B:$AS,39,FALSE)</f>
        <v>Yes</v>
      </c>
      <c r="Z25" s="568" t="s">
        <v>290</v>
      </c>
      <c r="AA25" s="569" t="s">
        <v>290</v>
      </c>
      <c r="AB25" s="570"/>
      <c r="AC25" s="563" t="s">
        <v>291</v>
      </c>
      <c r="AN25" s="542"/>
      <c r="AO25" s="824" t="str">
        <f t="shared" si="1"/>
        <v>Yes</v>
      </c>
      <c r="AP25" s="259" t="str">
        <f t="shared" si="2"/>
        <v>NOV 18</v>
      </c>
      <c r="AQ25" s="542" t="str">
        <f t="shared" si="3"/>
        <v>有定金+有預留客戶</v>
      </c>
      <c r="AR25" s="259" t="str">
        <f t="shared" si="4"/>
        <v>Shipped_Stock</v>
      </c>
      <c r="AS25" s="259" t="str">
        <f t="shared" si="5"/>
        <v/>
      </c>
      <c r="AT25" s="259" t="str">
        <f t="shared" si="6"/>
        <v>通通旺</v>
      </c>
      <c r="AU25" s="259" t="str">
        <f t="shared" si="7"/>
        <v>C49SZX20180124JL</v>
      </c>
      <c r="AV25" s="259" t="str">
        <f t="shared" si="8"/>
        <v>Sep-05</v>
      </c>
    </row>
    <row r="26" spans="1:48" ht="15" hidden="1" customHeight="1">
      <c r="A26" s="559">
        <v>98</v>
      </c>
      <c r="B26" s="563" t="s">
        <v>280</v>
      </c>
      <c r="C26" s="560" t="s">
        <v>281</v>
      </c>
      <c r="D26" s="564">
        <v>109202</v>
      </c>
      <c r="E26" s="563" t="s">
        <v>342</v>
      </c>
      <c r="F26" s="563" t="s">
        <v>343</v>
      </c>
      <c r="G26" s="563" t="s">
        <v>24</v>
      </c>
      <c r="H26" s="563" t="s">
        <v>159</v>
      </c>
      <c r="I26" s="564" t="s">
        <v>346</v>
      </c>
      <c r="J26" s="564">
        <v>1</v>
      </c>
      <c r="K26" s="563" t="s">
        <v>347</v>
      </c>
      <c r="L26" s="565">
        <v>43348</v>
      </c>
      <c r="M26" s="566">
        <v>6.3E-2</v>
      </c>
      <c r="N26" s="563" t="s">
        <v>289</v>
      </c>
      <c r="O26" s="563"/>
      <c r="P26" s="566" t="str">
        <f>VLOOKUP(A26,'[1]Raw data'!$B:$BB,23,FALSE)</f>
        <v>JPY</v>
      </c>
      <c r="Q26" s="563" t="str">
        <f>VLOOKUP(A26,'[1]Raw data'!$B:$Z,2,FALSE)</f>
        <v>C49SZX20180102JL</v>
      </c>
      <c r="R26" s="563" t="str">
        <f>VLOOKUP(A26,'[1]Raw data'!$B:$Z,3,FALSE)</f>
        <v>易而达</v>
      </c>
      <c r="S26" s="563" t="str">
        <f>VLOOKUP(A26,'[1]Raw data'!$B:$Z,4,FALSE)</f>
        <v>YSM20-2</v>
      </c>
      <c r="T26" s="563" t="str">
        <f>VLOOKUP(A26,'[1]Raw data'!$B:$Z,8,FALSE)</f>
        <v>L-&gt;R</v>
      </c>
      <c r="U26" s="563" t="str">
        <f>VLOOKUP(A26,'[1]Raw data'!$B:$Z,9,FALSE)</f>
        <v>cATS10+MVC+special layout</v>
      </c>
      <c r="V26" s="567" t="str">
        <f t="shared" si="0"/>
        <v>OK</v>
      </c>
      <c r="W26" s="563" t="str">
        <f>VLOOKUP(A26,'[1]Raw data'!$B:$AG,32,FALSE)</f>
        <v>DAP 广州</v>
      </c>
      <c r="X26" s="563">
        <f>VLOOKUP(A26,'[1]Raw data'!$B:$BA,31,FALSE)</f>
        <v>43266</v>
      </c>
      <c r="Y26" s="563" t="str">
        <f>VLOOKUP(A26,'[1]Raw data'!$B:$AS,39,FALSE)</f>
        <v>Yes</v>
      </c>
      <c r="Z26" s="568" t="s">
        <v>290</v>
      </c>
      <c r="AA26" s="569" t="s">
        <v>290</v>
      </c>
      <c r="AB26" s="570"/>
      <c r="AC26" s="563" t="s">
        <v>291</v>
      </c>
      <c r="AN26" s="542"/>
      <c r="AO26" s="824" t="str">
        <f t="shared" si="1"/>
        <v>Yes</v>
      </c>
      <c r="AP26" s="259" t="str">
        <f t="shared" si="2"/>
        <v>DEC 18</v>
      </c>
      <c r="AQ26" s="542" t="str">
        <f t="shared" si="3"/>
        <v>有定金+有預留客戶</v>
      </c>
      <c r="AR26" s="259" t="str">
        <f t="shared" si="4"/>
        <v>Shipped_Stock</v>
      </c>
      <c r="AS26" s="259" t="str">
        <f t="shared" si="5"/>
        <v/>
      </c>
      <c r="AT26" s="259" t="str">
        <f t="shared" si="6"/>
        <v>易而达</v>
      </c>
      <c r="AU26" s="259" t="str">
        <f t="shared" si="7"/>
        <v>C49SZX20180102JL</v>
      </c>
      <c r="AV26" s="259" t="str">
        <f t="shared" si="8"/>
        <v>Sep-05</v>
      </c>
    </row>
    <row r="27" spans="1:48" ht="15" hidden="1" customHeight="1">
      <c r="A27" s="559">
        <v>104</v>
      </c>
      <c r="B27" s="563" t="s">
        <v>280</v>
      </c>
      <c r="C27" s="560" t="s">
        <v>281</v>
      </c>
      <c r="D27" s="564">
        <v>109202</v>
      </c>
      <c r="E27" s="563" t="s">
        <v>342</v>
      </c>
      <c r="F27" s="563" t="s">
        <v>343</v>
      </c>
      <c r="G27" s="563" t="s">
        <v>24</v>
      </c>
      <c r="H27" s="563" t="s">
        <v>26</v>
      </c>
      <c r="I27" s="564" t="s">
        <v>348</v>
      </c>
      <c r="J27" s="564">
        <v>1</v>
      </c>
      <c r="K27" s="563" t="s">
        <v>347</v>
      </c>
      <c r="L27" s="565">
        <v>43348</v>
      </c>
      <c r="M27" s="566">
        <v>6.3E-2</v>
      </c>
      <c r="N27" s="563" t="s">
        <v>313</v>
      </c>
      <c r="O27" s="563"/>
      <c r="P27" s="566" t="str">
        <f>VLOOKUP(A27,'[1]Raw data'!$B:$BB,23,FALSE)</f>
        <v>JPY</v>
      </c>
      <c r="Q27" s="563" t="str">
        <f>VLOOKUP(A27,'[1]Raw data'!$B:$Z,2,FALSE)</f>
        <v>C49SZX20180109SX</v>
      </c>
      <c r="R27" s="563" t="str">
        <f>VLOOKUP(A27,'[1]Raw data'!$B:$Z,3,FALSE)</f>
        <v>利速达</v>
      </c>
      <c r="S27" s="563" t="str">
        <f>VLOOKUP(A27,'[1]Raw data'!$B:$Z,4,FALSE)</f>
        <v>YSM20-2</v>
      </c>
      <c r="T27" s="563" t="str">
        <f>VLOOKUP(A27,'[1]Raw data'!$B:$Z,8,FALSE)</f>
        <v>L-&gt;R</v>
      </c>
      <c r="U27" s="563" t="str">
        <f>VLOOKUP(A27,'[1]Raw data'!$B:$Z,9,FALSE)</f>
        <v>No</v>
      </c>
      <c r="V27" s="567" t="str">
        <f t="shared" si="0"/>
        <v>OK</v>
      </c>
      <c r="W27" s="563" t="str">
        <f>VLOOKUP(A27,'[1]Raw data'!$B:$AG,32,FALSE)</f>
        <v>DAP SZ</v>
      </c>
      <c r="X27" s="563">
        <f>VLOOKUP(A27,'[1]Raw data'!$B:$BA,31,FALSE)</f>
        <v>43264</v>
      </c>
      <c r="Y27" s="563" t="str">
        <f>VLOOKUP(A27,'[1]Raw data'!$B:$AS,39,FALSE)</f>
        <v>Yes</v>
      </c>
      <c r="Z27" s="568" t="s">
        <v>290</v>
      </c>
      <c r="AA27" s="569" t="s">
        <v>290</v>
      </c>
      <c r="AB27" s="570"/>
      <c r="AC27" s="563" t="s">
        <v>291</v>
      </c>
      <c r="AN27" s="542"/>
      <c r="AO27" s="824" t="str">
        <f t="shared" si="1"/>
        <v>Yes</v>
      </c>
      <c r="AP27" s="259" t="str">
        <f t="shared" si="2"/>
        <v>OCT 18</v>
      </c>
      <c r="AQ27" s="542" t="str">
        <f t="shared" si="3"/>
        <v>有定金+有預留客戶</v>
      </c>
      <c r="AR27" s="259" t="str">
        <f t="shared" si="4"/>
        <v>Shipped_Stock</v>
      </c>
      <c r="AS27" s="259" t="str">
        <f t="shared" si="5"/>
        <v/>
      </c>
      <c r="AT27" s="259" t="str">
        <f t="shared" si="6"/>
        <v>利速达</v>
      </c>
      <c r="AU27" s="259" t="str">
        <f t="shared" si="7"/>
        <v>C49SZX20180109SX</v>
      </c>
      <c r="AV27" s="259" t="str">
        <f t="shared" si="8"/>
        <v>Sep-05</v>
      </c>
    </row>
    <row r="28" spans="1:48" ht="15" hidden="1" customHeight="1">
      <c r="A28" s="559">
        <v>141</v>
      </c>
      <c r="B28" s="563" t="s">
        <v>280</v>
      </c>
      <c r="C28" s="560" t="s">
        <v>281</v>
      </c>
      <c r="D28" s="564">
        <v>109239</v>
      </c>
      <c r="E28" s="563" t="s">
        <v>236</v>
      </c>
      <c r="F28" s="563" t="s">
        <v>17</v>
      </c>
      <c r="G28" s="563" t="s">
        <v>24</v>
      </c>
      <c r="H28" s="563" t="s">
        <v>26</v>
      </c>
      <c r="I28" s="564" t="s">
        <v>349</v>
      </c>
      <c r="J28" s="564">
        <v>1</v>
      </c>
      <c r="K28" s="563" t="s">
        <v>311</v>
      </c>
      <c r="L28" s="565">
        <v>43350</v>
      </c>
      <c r="M28" s="566">
        <v>6.3E-2</v>
      </c>
      <c r="N28" s="563" t="s">
        <v>345</v>
      </c>
      <c r="O28" s="563"/>
      <c r="P28" s="566" t="str">
        <f>VLOOKUP(A28,'[1]Raw data'!$B:$BB,23,FALSE)</f>
        <v>JPY</v>
      </c>
      <c r="Q28" s="563" t="str">
        <f>VLOOKUP(A28,'[1]Raw data'!$B:$Z,2,FALSE)</f>
        <v>P8544EQYM44</v>
      </c>
      <c r="R28" s="563" t="str">
        <f>VLOOKUP(A28,'[1]Raw data'!$B:$Z,3,FALSE)</f>
        <v>PROTECH</v>
      </c>
      <c r="S28" s="563" t="str">
        <f>VLOOKUP(A28,'[1]Raw data'!$B:$Z,4,FALSE)</f>
        <v>YSM10</v>
      </c>
      <c r="T28" s="563" t="str">
        <f>VLOOKUP(A28,'[1]Raw data'!$B:$Z,8,FALSE)</f>
        <v>L-&gt;R</v>
      </c>
      <c r="U28" s="563" t="str">
        <f>VLOOKUP(A28,'[1]Raw data'!$B:$Z,9,FALSE)</f>
        <v>No</v>
      </c>
      <c r="V28" s="567" t="str">
        <f t="shared" si="0"/>
        <v>OK</v>
      </c>
      <c r="W28" s="563" t="str">
        <f>VLOOKUP(A28,'[1]Raw data'!$B:$AG,32,FALSE)</f>
        <v xml:space="preserve">CIF  </v>
      </c>
      <c r="X28" s="563">
        <f>VLOOKUP(A28,'[1]Raw data'!$B:$BA,31,FALSE)</f>
        <v>43340</v>
      </c>
      <c r="Y28" s="563" t="str">
        <f>VLOOKUP(A28,'[1]Raw data'!$B:$AS,39,FALSE)</f>
        <v>Yes</v>
      </c>
      <c r="Z28" s="568" t="s">
        <v>290</v>
      </c>
      <c r="AA28" s="569" t="s">
        <v>290</v>
      </c>
      <c r="AB28" s="570"/>
      <c r="AC28" s="563" t="s">
        <v>291</v>
      </c>
      <c r="AN28" s="542"/>
      <c r="AO28" s="824" t="str">
        <f t="shared" si="1"/>
        <v>Yes</v>
      </c>
      <c r="AP28" s="259" t="str">
        <f t="shared" si="2"/>
        <v>NOV 18</v>
      </c>
      <c r="AQ28" s="542" t="str">
        <f t="shared" si="3"/>
        <v>有定金+有預留客戶</v>
      </c>
      <c r="AR28" s="259" t="str">
        <f t="shared" si="4"/>
        <v>Shipped_Stock</v>
      </c>
      <c r="AS28" s="259" t="str">
        <f t="shared" si="5"/>
        <v/>
      </c>
      <c r="AT28" s="259" t="str">
        <f t="shared" si="6"/>
        <v>PROTECH</v>
      </c>
      <c r="AU28" s="259" t="str">
        <f t="shared" si="7"/>
        <v>P8544EQYM44</v>
      </c>
      <c r="AV28" s="259" t="str">
        <f t="shared" si="8"/>
        <v>Sep-07</v>
      </c>
    </row>
    <row r="29" spans="1:48" ht="15" hidden="1" customHeight="1">
      <c r="A29" s="559">
        <v>76</v>
      </c>
      <c r="B29" s="563" t="s">
        <v>280</v>
      </c>
      <c r="C29" s="560" t="s">
        <v>281</v>
      </c>
      <c r="D29" s="564">
        <v>109239</v>
      </c>
      <c r="E29" s="563" t="s">
        <v>236</v>
      </c>
      <c r="F29" s="563" t="s">
        <v>17</v>
      </c>
      <c r="G29" s="563" t="s">
        <v>24</v>
      </c>
      <c r="H29" s="563" t="s">
        <v>26</v>
      </c>
      <c r="I29" s="564" t="s">
        <v>350</v>
      </c>
      <c r="J29" s="564">
        <v>1</v>
      </c>
      <c r="K29" s="563" t="s">
        <v>311</v>
      </c>
      <c r="L29" s="565">
        <v>43350</v>
      </c>
      <c r="M29" s="566">
        <v>6.3E-2</v>
      </c>
      <c r="N29" s="563" t="s">
        <v>345</v>
      </c>
      <c r="O29" s="563"/>
      <c r="P29" s="566" t="str">
        <f>VLOOKUP(A29,'[1]Raw data'!$B:$BB,23,FALSE)</f>
        <v>JPY</v>
      </c>
      <c r="Q29" s="563" t="str">
        <f>VLOOKUP(A29,'[1]Raw data'!$B:$Z,2,FALSE)</f>
        <v>C49SZX20180083DZ</v>
      </c>
      <c r="R29" s="563" t="str">
        <f>VLOOKUP(A29,'[1]Raw data'!$B:$Z,3,FALSE)</f>
        <v>HangTe航特</v>
      </c>
      <c r="S29" s="563" t="str">
        <f>VLOOKUP(A29,'[1]Raw data'!$B:$Z,4,FALSE)</f>
        <v>YSM10</v>
      </c>
      <c r="T29" s="563" t="str">
        <f>VLOOKUP(A29,'[1]Raw data'!$B:$Z,8,FALSE)</f>
        <v>L-&gt;R</v>
      </c>
      <c r="U29" s="563" t="str">
        <f>VLOOKUP(A29,'[1]Raw data'!$B:$Z,9,FALSE)</f>
        <v>No</v>
      </c>
      <c r="V29" s="567" t="str">
        <f t="shared" si="0"/>
        <v>OK</v>
      </c>
      <c r="W29" s="563" t="str">
        <f>VLOOKUP(A29,'[1]Raw data'!$B:$AG,32,FALSE)</f>
        <v>DAP SZ</v>
      </c>
      <c r="X29" s="563">
        <f>VLOOKUP(A29,'[1]Raw data'!$B:$BA,31,FALSE)</f>
        <v>43238</v>
      </c>
      <c r="Y29" s="563" t="str">
        <f>VLOOKUP(A29,'[1]Raw data'!$B:$AS,39,FALSE)</f>
        <v>Yes</v>
      </c>
      <c r="Z29" s="568" t="s">
        <v>290</v>
      </c>
      <c r="AA29" s="569" t="s">
        <v>290</v>
      </c>
      <c r="AB29" s="570"/>
      <c r="AC29" s="563" t="s">
        <v>291</v>
      </c>
      <c r="AN29" s="542"/>
      <c r="AO29" s="824" t="str">
        <f t="shared" si="1"/>
        <v>Yes</v>
      </c>
      <c r="AP29" s="259" t="str">
        <f t="shared" si="2"/>
        <v>NOV 18</v>
      </c>
      <c r="AQ29" s="542" t="str">
        <f t="shared" si="3"/>
        <v>有定金+有預留客戶</v>
      </c>
      <c r="AR29" s="259" t="str">
        <f t="shared" si="4"/>
        <v>Shipped_Stock</v>
      </c>
      <c r="AS29" s="259" t="str">
        <f t="shared" si="5"/>
        <v/>
      </c>
      <c r="AT29" s="259" t="str">
        <f t="shared" si="6"/>
        <v>HangTe航特</v>
      </c>
      <c r="AU29" s="259" t="str">
        <f t="shared" si="7"/>
        <v>C49SZX20180083DZ</v>
      </c>
      <c r="AV29" s="259" t="str">
        <f t="shared" si="8"/>
        <v>Sep-07</v>
      </c>
    </row>
    <row r="30" spans="1:48" ht="15" hidden="1" customHeight="1">
      <c r="A30" s="559">
        <v>77</v>
      </c>
      <c r="B30" s="563" t="s">
        <v>280</v>
      </c>
      <c r="C30" s="560" t="s">
        <v>281</v>
      </c>
      <c r="D30" s="564">
        <v>109239</v>
      </c>
      <c r="E30" s="563" t="s">
        <v>236</v>
      </c>
      <c r="F30" s="563" t="s">
        <v>17</v>
      </c>
      <c r="G30" s="563" t="s">
        <v>24</v>
      </c>
      <c r="H30" s="563" t="s">
        <v>26</v>
      </c>
      <c r="I30" s="564" t="s">
        <v>351</v>
      </c>
      <c r="J30" s="564">
        <v>1</v>
      </c>
      <c r="K30" s="563" t="s">
        <v>285</v>
      </c>
      <c r="L30" s="565">
        <v>43350</v>
      </c>
      <c r="M30" s="566">
        <v>6.3E-2</v>
      </c>
      <c r="N30" s="563" t="s">
        <v>345</v>
      </c>
      <c r="O30" s="563"/>
      <c r="P30" s="566" t="str">
        <f>VLOOKUP(A30,'[1]Raw data'!$B:$BB,23,FALSE)</f>
        <v>JPY</v>
      </c>
      <c r="Q30" s="563" t="str">
        <f>VLOOKUP(A30,'[1]Raw data'!$B:$Z,2,FALSE)</f>
        <v>C49SZX20180083DZ</v>
      </c>
      <c r="R30" s="563" t="str">
        <f>VLOOKUP(A30,'[1]Raw data'!$B:$Z,3,FALSE)</f>
        <v>HangTe航特</v>
      </c>
      <c r="S30" s="563" t="str">
        <f>VLOOKUP(A30,'[1]Raw data'!$B:$Z,4,FALSE)</f>
        <v>YSM10</v>
      </c>
      <c r="T30" s="563" t="str">
        <f>VLOOKUP(A30,'[1]Raw data'!$B:$Z,8,FALSE)</f>
        <v>L-&gt;R</v>
      </c>
      <c r="U30" s="563" t="str">
        <f>VLOOKUP(A30,'[1]Raw data'!$B:$Z,9,FALSE)</f>
        <v>No</v>
      </c>
      <c r="V30" s="567" t="str">
        <f t="shared" si="0"/>
        <v>OK</v>
      </c>
      <c r="W30" s="563" t="str">
        <f>VLOOKUP(A30,'[1]Raw data'!$B:$AG,32,FALSE)</f>
        <v>DAP SZ</v>
      </c>
      <c r="X30" s="563">
        <f>VLOOKUP(A30,'[1]Raw data'!$B:$BA,31,FALSE)</f>
        <v>43238</v>
      </c>
      <c r="Y30" s="563" t="str">
        <f>VLOOKUP(A30,'[1]Raw data'!$B:$AS,39,FALSE)</f>
        <v>Yes</v>
      </c>
      <c r="Z30" s="568" t="s">
        <v>290</v>
      </c>
      <c r="AA30" s="569" t="s">
        <v>290</v>
      </c>
      <c r="AB30" s="570"/>
      <c r="AC30" s="563" t="s">
        <v>291</v>
      </c>
      <c r="AN30" s="542"/>
      <c r="AO30" s="824" t="str">
        <f t="shared" si="1"/>
        <v>Yes</v>
      </c>
      <c r="AP30" s="259" t="str">
        <f t="shared" si="2"/>
        <v>NOV 18</v>
      </c>
      <c r="AQ30" s="542" t="str">
        <f t="shared" si="3"/>
        <v>有定金+有預留客戶</v>
      </c>
      <c r="AR30" s="259" t="str">
        <f t="shared" si="4"/>
        <v>Shipped_Stock</v>
      </c>
      <c r="AS30" s="259" t="str">
        <f t="shared" si="5"/>
        <v/>
      </c>
      <c r="AT30" s="259" t="str">
        <f t="shared" si="6"/>
        <v>HangTe航特</v>
      </c>
      <c r="AU30" s="259" t="str">
        <f t="shared" si="7"/>
        <v>C49SZX20180083DZ</v>
      </c>
      <c r="AV30" s="259" t="str">
        <f t="shared" si="8"/>
        <v>Sep-07</v>
      </c>
    </row>
    <row r="31" spans="1:48" ht="15" hidden="1" customHeight="1">
      <c r="A31" s="559">
        <v>125</v>
      </c>
      <c r="B31" s="563" t="s">
        <v>280</v>
      </c>
      <c r="C31" s="560" t="s">
        <v>281</v>
      </c>
      <c r="D31" s="564">
        <v>109239</v>
      </c>
      <c r="E31" s="563" t="s">
        <v>236</v>
      </c>
      <c r="F31" s="563" t="s">
        <v>17</v>
      </c>
      <c r="G31" s="563" t="s">
        <v>24</v>
      </c>
      <c r="H31" s="563" t="s">
        <v>26</v>
      </c>
      <c r="I31" s="564" t="s">
        <v>352</v>
      </c>
      <c r="J31" s="564">
        <v>1</v>
      </c>
      <c r="K31" s="563" t="s">
        <v>285</v>
      </c>
      <c r="L31" s="565">
        <v>43350</v>
      </c>
      <c r="M31" s="566">
        <v>6.3E-2</v>
      </c>
      <c r="N31" s="563" t="s">
        <v>289</v>
      </c>
      <c r="O31" s="563"/>
      <c r="P31" s="566" t="str">
        <f>VLOOKUP(A31,'[1]Raw data'!$B:$BB,23,FALSE)</f>
        <v>JPY</v>
      </c>
      <c r="Q31" s="563" t="str">
        <f>VLOOKUP(A31,'[1]Raw data'!$B:$Z,2,FALSE)</f>
        <v>C49SZX20180133SX</v>
      </c>
      <c r="R31" s="563" t="str">
        <f>VLOOKUP(A31,'[1]Raw data'!$B:$Z,3,FALSE)</f>
        <v>维众</v>
      </c>
      <c r="S31" s="563" t="str">
        <f>VLOOKUP(A31,'[1]Raw data'!$B:$Z,4,FALSE)</f>
        <v>YSM10</v>
      </c>
      <c r="T31" s="563" t="str">
        <f>VLOOKUP(A31,'[1]Raw data'!$B:$Z,8,FALSE)</f>
        <v>L-&gt;R</v>
      </c>
      <c r="U31" s="563" t="str">
        <f>VLOOKUP(A31,'[1]Raw data'!$B:$Z,9,FALSE)</f>
        <v>No</v>
      </c>
      <c r="V31" s="567" t="str">
        <f t="shared" si="0"/>
        <v>OK</v>
      </c>
      <c r="W31" s="563" t="str">
        <f>VLOOKUP(A31,'[1]Raw data'!$B:$AG,32,FALSE)</f>
        <v>DAP 东莞</v>
      </c>
      <c r="X31" s="563">
        <f>VLOOKUP(A31,'[1]Raw data'!$B:$BA,31,FALSE)</f>
        <v>43335</v>
      </c>
      <c r="Y31" s="563" t="str">
        <f>VLOOKUP(A31,'[1]Raw data'!$B:$AS,39,FALSE)</f>
        <v>Yes</v>
      </c>
      <c r="Z31" s="568" t="s">
        <v>329</v>
      </c>
      <c r="AA31" s="569" t="s">
        <v>329</v>
      </c>
      <c r="AB31" s="570"/>
      <c r="AC31" s="563" t="s">
        <v>291</v>
      </c>
      <c r="AN31" s="542"/>
      <c r="AO31" s="824" t="str">
        <f t="shared" si="1"/>
        <v>Yes</v>
      </c>
      <c r="AP31" s="259" t="str">
        <f t="shared" si="2"/>
        <v>DEC 18</v>
      </c>
      <c r="AQ31" s="542" t="str">
        <f t="shared" si="3"/>
        <v>有定金+有預留客戶</v>
      </c>
      <c r="AR31" s="259" t="str">
        <f t="shared" si="4"/>
        <v>Shipped_Stock</v>
      </c>
      <c r="AS31" s="259" t="str">
        <f t="shared" si="5"/>
        <v/>
      </c>
      <c r="AT31" s="259" t="str">
        <f t="shared" si="6"/>
        <v>维众</v>
      </c>
      <c r="AU31" s="259" t="str">
        <f t="shared" si="7"/>
        <v>C49SZX20180133SX</v>
      </c>
      <c r="AV31" s="259" t="str">
        <f t="shared" si="8"/>
        <v>Sep-07</v>
      </c>
    </row>
    <row r="32" spans="1:48" ht="15" hidden="1" customHeight="1">
      <c r="A32" s="559">
        <v>99</v>
      </c>
      <c r="B32" s="563" t="s">
        <v>280</v>
      </c>
      <c r="C32" s="560" t="s">
        <v>281</v>
      </c>
      <c r="D32" s="564">
        <v>109352</v>
      </c>
      <c r="E32" s="563" t="s">
        <v>353</v>
      </c>
      <c r="F32" s="563" t="s">
        <v>343</v>
      </c>
      <c r="G32" s="563" t="s">
        <v>24</v>
      </c>
      <c r="H32" s="563" t="s">
        <v>26</v>
      </c>
      <c r="I32" s="564" t="s">
        <v>354</v>
      </c>
      <c r="J32" s="564">
        <v>1</v>
      </c>
      <c r="K32" s="563" t="s">
        <v>311</v>
      </c>
      <c r="L32" s="565">
        <v>43358</v>
      </c>
      <c r="M32" s="566">
        <v>6.3E-2</v>
      </c>
      <c r="N32" s="563" t="s">
        <v>289</v>
      </c>
      <c r="O32" s="563"/>
      <c r="P32" s="566" t="str">
        <f>VLOOKUP(A32,'[1]Raw data'!$B:$BB,23,FALSE)</f>
        <v>JPY</v>
      </c>
      <c r="Q32" s="563" t="str">
        <f>VLOOKUP(A32,'[1]Raw data'!$B:$Z,2,FALSE)</f>
        <v>C49SZX20180102JL</v>
      </c>
      <c r="R32" s="563" t="str">
        <f>VLOOKUP(A32,'[1]Raw data'!$B:$Z,3,FALSE)</f>
        <v>易而达</v>
      </c>
      <c r="S32" s="563" t="str">
        <f>VLOOKUP(A32,'[1]Raw data'!$B:$Z,4,FALSE)</f>
        <v>YSM20-2</v>
      </c>
      <c r="T32" s="563" t="str">
        <f>VLOOKUP(A32,'[1]Raw data'!$B:$Z,8,FALSE)</f>
        <v>L-&gt;R</v>
      </c>
      <c r="U32" s="563" t="str">
        <f>VLOOKUP(A32,'[1]Raw data'!$B:$Z,9,FALSE)</f>
        <v>No</v>
      </c>
      <c r="V32" s="567" t="str">
        <f t="shared" si="0"/>
        <v>OK</v>
      </c>
      <c r="W32" s="563" t="str">
        <f>VLOOKUP(A32,'[1]Raw data'!$B:$AG,32,FALSE)</f>
        <v>DAP 广州</v>
      </c>
      <c r="X32" s="563">
        <f>VLOOKUP(A32,'[1]Raw data'!$B:$BA,31,FALSE)</f>
        <v>43266</v>
      </c>
      <c r="Y32" s="563" t="str">
        <f>VLOOKUP(A32,'[1]Raw data'!$B:$AS,39,FALSE)</f>
        <v>Yes</v>
      </c>
      <c r="Z32" s="568" t="s">
        <v>290</v>
      </c>
      <c r="AA32" s="569" t="s">
        <v>290</v>
      </c>
      <c r="AB32" s="570"/>
      <c r="AC32" s="563" t="s">
        <v>291</v>
      </c>
      <c r="AN32" s="542"/>
      <c r="AO32" s="824" t="str">
        <f t="shared" si="1"/>
        <v>Yes</v>
      </c>
      <c r="AP32" s="259" t="str">
        <f t="shared" si="2"/>
        <v>DEC 18</v>
      </c>
      <c r="AQ32" s="542" t="str">
        <f t="shared" si="3"/>
        <v>有定金+有預留客戶</v>
      </c>
      <c r="AR32" s="259" t="str">
        <f t="shared" si="4"/>
        <v>Shipped_Stock</v>
      </c>
      <c r="AS32" s="259" t="str">
        <f t="shared" si="5"/>
        <v/>
      </c>
      <c r="AT32" s="259" t="str">
        <f t="shared" si="6"/>
        <v>易而达</v>
      </c>
      <c r="AU32" s="259" t="str">
        <f t="shared" si="7"/>
        <v>C49SZX20180102JL</v>
      </c>
      <c r="AV32" s="259" t="str">
        <f t="shared" si="8"/>
        <v>Sep-15</v>
      </c>
    </row>
    <row r="33" spans="1:69" ht="15" hidden="1" customHeight="1">
      <c r="A33" s="559">
        <v>265</v>
      </c>
      <c r="B33" s="563" t="s">
        <v>280</v>
      </c>
      <c r="C33" s="560" t="s">
        <v>281</v>
      </c>
      <c r="D33" s="564">
        <v>109352</v>
      </c>
      <c r="E33" s="563" t="s">
        <v>353</v>
      </c>
      <c r="F33" s="563" t="s">
        <v>343</v>
      </c>
      <c r="G33" s="563" t="s">
        <v>24</v>
      </c>
      <c r="H33" s="563" t="s">
        <v>26</v>
      </c>
      <c r="I33" s="564" t="s">
        <v>355</v>
      </c>
      <c r="J33" s="564">
        <v>1</v>
      </c>
      <c r="K33" s="563" t="s">
        <v>311</v>
      </c>
      <c r="L33" s="565">
        <v>43358</v>
      </c>
      <c r="M33" s="566">
        <v>6.3E-2</v>
      </c>
      <c r="N33" s="563" t="s">
        <v>341</v>
      </c>
      <c r="O33" s="563"/>
      <c r="P33" s="566" t="str">
        <f>VLOOKUP(A33,'[1]Raw data'!$B:$BB,23,FALSE)</f>
        <v>JPY</v>
      </c>
      <c r="Q33" s="563" t="str">
        <f>VLOOKUP(A33,'[1]Raw data'!$B:$Z,2,FALSE)</f>
        <v>C49SZX20190032SX</v>
      </c>
      <c r="R33" s="563" t="str">
        <f>VLOOKUP(A33,'[1]Raw data'!$B:$Z,3,FALSE)</f>
        <v>凌鑫</v>
      </c>
      <c r="S33" s="563" t="str">
        <f>VLOOKUP(A33,'[1]Raw data'!$B:$Z,4,FALSE)</f>
        <v>YSM20-2</v>
      </c>
      <c r="T33" s="563" t="str">
        <f>VLOOKUP(A33,'[1]Raw data'!$B:$Z,8,FALSE)</f>
        <v>L-&gt;R</v>
      </c>
      <c r="U33" s="563" t="str">
        <f>VLOOKUP(A33,'[1]Raw data'!$B:$Z,9,FALSE)</f>
        <v>No</v>
      </c>
      <c r="V33" s="567" t="str">
        <f t="shared" si="0"/>
        <v>OK</v>
      </c>
      <c r="W33" s="563" t="str">
        <f>VLOOKUP(A33,'[1]Raw data'!$B:$AG,32,FALSE)</f>
        <v>DAP 深圳</v>
      </c>
      <c r="X33" s="563">
        <f>VLOOKUP(A33,'[1]Raw data'!$B:$BA,31,FALSE)</f>
        <v>43545</v>
      </c>
      <c r="Y33" s="563" t="str">
        <f>VLOOKUP(A33,'[1]Raw data'!$B:$AS,39,FALSE)</f>
        <v>Yes</v>
      </c>
      <c r="Z33" s="568" t="s">
        <v>290</v>
      </c>
      <c r="AA33" s="569" t="s">
        <v>290</v>
      </c>
      <c r="AB33" s="570"/>
      <c r="AC33" s="563" t="s">
        <v>291</v>
      </c>
      <c r="AN33" s="542"/>
      <c r="AO33" s="824" t="str">
        <f t="shared" si="1"/>
        <v>Yes</v>
      </c>
      <c r="AP33" s="259" t="str">
        <f t="shared" si="2"/>
        <v>APR 19</v>
      </c>
      <c r="AQ33" s="542" t="str">
        <f t="shared" si="3"/>
        <v>有定金+有預留客戶</v>
      </c>
      <c r="AR33" s="259" t="str">
        <f t="shared" si="4"/>
        <v>Shipped_Stock</v>
      </c>
      <c r="AS33" s="259" t="str">
        <f t="shared" si="5"/>
        <v/>
      </c>
      <c r="AT33" s="259" t="str">
        <f t="shared" si="6"/>
        <v>凌鑫</v>
      </c>
      <c r="AU33" s="259" t="str">
        <f t="shared" si="7"/>
        <v>C49SZX20190032SX</v>
      </c>
      <c r="AV33" s="259" t="str">
        <f t="shared" si="8"/>
        <v>Sep-15</v>
      </c>
    </row>
    <row r="34" spans="1:69" ht="15" hidden="1" customHeight="1">
      <c r="A34" s="559">
        <v>267</v>
      </c>
      <c r="B34" s="563" t="s">
        <v>280</v>
      </c>
      <c r="C34" s="560" t="s">
        <v>281</v>
      </c>
      <c r="D34" s="564">
        <v>109352</v>
      </c>
      <c r="E34" s="563" t="s">
        <v>353</v>
      </c>
      <c r="F34" s="563" t="s">
        <v>343</v>
      </c>
      <c r="G34" s="563" t="s">
        <v>24</v>
      </c>
      <c r="H34" s="563" t="s">
        <v>26</v>
      </c>
      <c r="I34" s="564" t="s">
        <v>356</v>
      </c>
      <c r="J34" s="564">
        <v>1</v>
      </c>
      <c r="K34" s="563" t="s">
        <v>311</v>
      </c>
      <c r="L34" s="565">
        <v>43358</v>
      </c>
      <c r="M34" s="566">
        <v>6.3E-2</v>
      </c>
      <c r="N34" s="563" t="s">
        <v>341</v>
      </c>
      <c r="O34" s="563"/>
      <c r="P34" s="566" t="str">
        <f>VLOOKUP(A34,'[1]Raw data'!$B:$BB,23,FALSE)</f>
        <v>JPY</v>
      </c>
      <c r="Q34" s="563" t="str">
        <f>VLOOKUP(A34,'[1]Raw data'!$B:$Z,2,FALSE)</f>
        <v>C49SZX20190046SX</v>
      </c>
      <c r="R34" s="563" t="str">
        <f>VLOOKUP(A34,'[1]Raw data'!$B:$Z,3,FALSE)</f>
        <v>永顺创</v>
      </c>
      <c r="S34" s="563" t="str">
        <f>VLOOKUP(A34,'[1]Raw data'!$B:$Z,4,FALSE)</f>
        <v>YSM20-2</v>
      </c>
      <c r="T34" s="563" t="str">
        <f>VLOOKUP(A34,'[1]Raw data'!$B:$Z,8,FALSE)</f>
        <v>L-&gt;R</v>
      </c>
      <c r="U34" s="563" t="str">
        <f>VLOOKUP(A34,'[1]Raw data'!$B:$Z,9,FALSE)</f>
        <v>MVC</v>
      </c>
      <c r="V34" s="567" t="str">
        <f t="shared" ref="V34:V65" si="9">IF(G34&amp;H34=T34&amp;U34,"OK","WRONG")</f>
        <v>WRONG</v>
      </c>
      <c r="W34" s="563" t="str">
        <f>VLOOKUP(A34,'[1]Raw data'!$B:$AG,32,FALSE)</f>
        <v>DAP 深圳</v>
      </c>
      <c r="X34" s="563">
        <f>VLOOKUP(A34,'[1]Raw data'!$B:$BA,31,FALSE)</f>
        <v>43546</v>
      </c>
      <c r="Y34" s="563" t="str">
        <f>VLOOKUP(A34,'[1]Raw data'!$B:$AS,39,FALSE)</f>
        <v>Yes</v>
      </c>
      <c r="Z34" s="568" t="s">
        <v>290</v>
      </c>
      <c r="AA34" s="569" t="s">
        <v>290</v>
      </c>
      <c r="AB34" s="570"/>
      <c r="AC34" s="563" t="s">
        <v>291</v>
      </c>
      <c r="AN34" s="542"/>
      <c r="AO34" s="824" t="str">
        <f t="shared" si="1"/>
        <v>Yes</v>
      </c>
      <c r="AP34" s="259" t="str">
        <f t="shared" si="2"/>
        <v>APR 19</v>
      </c>
      <c r="AQ34" s="542" t="str">
        <f t="shared" si="3"/>
        <v>有定金+有預留客戶</v>
      </c>
      <c r="AR34" s="259" t="str">
        <f t="shared" si="4"/>
        <v>Shipped_Stock</v>
      </c>
      <c r="AS34" s="259" t="str">
        <f t="shared" si="5"/>
        <v/>
      </c>
      <c r="AT34" s="259" t="str">
        <f t="shared" si="6"/>
        <v>永顺创</v>
      </c>
      <c r="AU34" s="259" t="str">
        <f t="shared" si="7"/>
        <v>C49SZX20190046SX</v>
      </c>
      <c r="AV34" s="259" t="str">
        <f t="shared" si="8"/>
        <v>Sep-15</v>
      </c>
    </row>
    <row r="35" spans="1:69" ht="15" hidden="1" customHeight="1">
      <c r="A35" s="559">
        <v>149</v>
      </c>
      <c r="B35" s="563" t="s">
        <v>280</v>
      </c>
      <c r="C35" s="560" t="s">
        <v>281</v>
      </c>
      <c r="D35" s="564">
        <v>109352</v>
      </c>
      <c r="E35" s="563" t="s">
        <v>353</v>
      </c>
      <c r="F35" s="563" t="s">
        <v>343</v>
      </c>
      <c r="G35" s="563" t="s">
        <v>24</v>
      </c>
      <c r="H35" s="563" t="s">
        <v>26</v>
      </c>
      <c r="I35" s="564" t="s">
        <v>357</v>
      </c>
      <c r="J35" s="564">
        <v>1</v>
      </c>
      <c r="K35" s="563" t="s">
        <v>311</v>
      </c>
      <c r="L35" s="565">
        <v>43358</v>
      </c>
      <c r="M35" s="566">
        <v>6.3E-2</v>
      </c>
      <c r="N35" s="563" t="s">
        <v>345</v>
      </c>
      <c r="O35" s="563"/>
      <c r="P35" s="566" t="str">
        <f>VLOOKUP(A35,'[1]Raw data'!$B:$BB,23,FALSE)</f>
        <v>JPY</v>
      </c>
      <c r="Q35" s="563" t="str">
        <f>VLOOKUP(A35,'[1]Raw data'!$B:$Z,2,FALSE)</f>
        <v>C49SZX20180158ZX</v>
      </c>
      <c r="R35" s="563" t="str">
        <f>VLOOKUP(A35,'[1]Raw data'!$B:$Z,3,FALSE)</f>
        <v>德兰明海</v>
      </c>
      <c r="S35" s="563" t="str">
        <f>VLOOKUP(A35,'[1]Raw data'!$B:$Z,4,FALSE)</f>
        <v>YSM20-2</v>
      </c>
      <c r="T35" s="563" t="str">
        <f>VLOOKUP(A35,'[1]Raw data'!$B:$Z,8,FALSE)</f>
        <v>L-&gt;R</v>
      </c>
      <c r="U35" s="563" t="str">
        <f>VLOOKUP(A35,'[1]Raw data'!$B:$Z,9,FALSE)</f>
        <v>No</v>
      </c>
      <c r="V35" s="567" t="str">
        <f t="shared" si="9"/>
        <v>OK</v>
      </c>
      <c r="W35" s="563" t="str">
        <f>VLOOKUP(A35,'[1]Raw data'!$B:$AG,32,FALSE)</f>
        <v>DAP 深圳</v>
      </c>
      <c r="X35" s="563">
        <f>VLOOKUP(A35,'[1]Raw data'!$B:$BA,31,FALSE)</f>
        <v>43397</v>
      </c>
      <c r="Y35" s="563" t="str">
        <f>VLOOKUP(A35,'[1]Raw data'!$B:$AS,39,FALSE)</f>
        <v>Yes</v>
      </c>
      <c r="Z35" s="568" t="s">
        <v>290</v>
      </c>
      <c r="AA35" s="569" t="s">
        <v>290</v>
      </c>
      <c r="AB35" s="570"/>
      <c r="AC35" s="563" t="s">
        <v>291</v>
      </c>
      <c r="AN35" s="542"/>
      <c r="AO35" s="824" t="str">
        <f t="shared" si="1"/>
        <v>Yes</v>
      </c>
      <c r="AP35" s="259" t="str">
        <f t="shared" si="2"/>
        <v>NOV 18</v>
      </c>
      <c r="AQ35" s="542" t="str">
        <f t="shared" si="3"/>
        <v>有定金+有預留客戶</v>
      </c>
      <c r="AR35" s="259" t="str">
        <f t="shared" si="4"/>
        <v>Shipped_Stock</v>
      </c>
      <c r="AS35" s="259" t="str">
        <f t="shared" si="5"/>
        <v/>
      </c>
      <c r="AT35" s="259" t="str">
        <f t="shared" si="6"/>
        <v>德兰明海</v>
      </c>
      <c r="AU35" s="259" t="str">
        <f t="shared" si="7"/>
        <v>C49SZX20180158ZX</v>
      </c>
      <c r="AV35" s="259" t="str">
        <f t="shared" si="8"/>
        <v>Sep-15</v>
      </c>
    </row>
    <row r="36" spans="1:69" ht="15" hidden="1" customHeight="1">
      <c r="A36" s="559">
        <v>271</v>
      </c>
      <c r="B36" s="563" t="s">
        <v>280</v>
      </c>
      <c r="C36" s="560" t="s">
        <v>281</v>
      </c>
      <c r="D36" s="564">
        <v>109352</v>
      </c>
      <c r="E36" s="563" t="s">
        <v>353</v>
      </c>
      <c r="F36" s="563" t="s">
        <v>343</v>
      </c>
      <c r="G36" s="563" t="s">
        <v>24</v>
      </c>
      <c r="H36" s="563" t="s">
        <v>26</v>
      </c>
      <c r="I36" s="564" t="s">
        <v>358</v>
      </c>
      <c r="J36" s="564">
        <v>1</v>
      </c>
      <c r="K36" s="563" t="s">
        <v>311</v>
      </c>
      <c r="L36" s="565">
        <v>43358</v>
      </c>
      <c r="M36" s="566">
        <v>6.3E-2</v>
      </c>
      <c r="N36" s="563" t="s">
        <v>341</v>
      </c>
      <c r="O36" s="563"/>
      <c r="P36" s="566" t="str">
        <f>VLOOKUP(A36,'[1]Raw data'!$B:$BB,23,FALSE)</f>
        <v>JPY</v>
      </c>
      <c r="Q36" s="563" t="str">
        <f>VLOOKUP(A36,'[1]Raw data'!$B:$Z,2,FALSE)</f>
        <v>C49SZX20190040JL</v>
      </c>
      <c r="R36" s="563" t="str">
        <f>VLOOKUP(A36,'[1]Raw data'!$B:$Z,3,FALSE)</f>
        <v>瑞福联</v>
      </c>
      <c r="S36" s="563" t="str">
        <f>VLOOKUP(A36,'[1]Raw data'!$B:$Z,4,FALSE)</f>
        <v>YSM20-2</v>
      </c>
      <c r="T36" s="563" t="str">
        <f>VLOOKUP(A36,'[1]Raw data'!$B:$Z,8,FALSE)</f>
        <v>L-&gt;R</v>
      </c>
      <c r="U36" s="563" t="str">
        <f>VLOOKUP(A36,'[1]Raw data'!$B:$Z,9,FALSE)</f>
        <v>No</v>
      </c>
      <c r="V36" s="567" t="str">
        <f t="shared" si="9"/>
        <v>OK</v>
      </c>
      <c r="W36" s="563" t="str">
        <f>VLOOKUP(A36,'[1]Raw data'!$B:$AG,32,FALSE)</f>
        <v>CIF HK</v>
      </c>
      <c r="X36" s="563">
        <f>VLOOKUP(A36,'[1]Raw data'!$B:$BA,31,FALSE)</f>
        <v>43549</v>
      </c>
      <c r="Y36" s="563" t="str">
        <f>VLOOKUP(A36,'[1]Raw data'!$B:$AS,39,FALSE)</f>
        <v>Yes</v>
      </c>
      <c r="Z36" s="568" t="s">
        <v>290</v>
      </c>
      <c r="AA36" s="569" t="s">
        <v>290</v>
      </c>
      <c r="AB36" s="570"/>
      <c r="AC36" s="563" t="s">
        <v>291</v>
      </c>
      <c r="AN36" s="542"/>
      <c r="AO36" s="824" t="str">
        <f t="shared" si="1"/>
        <v>Yes</v>
      </c>
      <c r="AP36" s="259" t="str">
        <f t="shared" si="2"/>
        <v>APR 19</v>
      </c>
      <c r="AQ36" s="542" t="str">
        <f t="shared" si="3"/>
        <v>有定金+有預留客戶</v>
      </c>
      <c r="AR36" s="259" t="str">
        <f t="shared" si="4"/>
        <v>Shipped_Stock</v>
      </c>
      <c r="AS36" s="259" t="str">
        <f t="shared" si="5"/>
        <v/>
      </c>
      <c r="AT36" s="259" t="str">
        <f t="shared" si="6"/>
        <v>瑞福联</v>
      </c>
      <c r="AU36" s="259" t="str">
        <f t="shared" si="7"/>
        <v>C49SZX20190040JL</v>
      </c>
      <c r="AV36" s="259" t="str">
        <f t="shared" si="8"/>
        <v>Sep-15</v>
      </c>
    </row>
    <row r="37" spans="1:69" ht="15" hidden="1" customHeight="1">
      <c r="A37" s="559">
        <v>272</v>
      </c>
      <c r="B37" s="563" t="s">
        <v>280</v>
      </c>
      <c r="C37" s="560" t="s">
        <v>281</v>
      </c>
      <c r="D37" s="564">
        <v>109352</v>
      </c>
      <c r="E37" s="563" t="s">
        <v>353</v>
      </c>
      <c r="F37" s="563" t="s">
        <v>343</v>
      </c>
      <c r="G37" s="563" t="s">
        <v>24</v>
      </c>
      <c r="H37" s="563" t="s">
        <v>26</v>
      </c>
      <c r="I37" s="564" t="s">
        <v>359</v>
      </c>
      <c r="J37" s="564">
        <v>1</v>
      </c>
      <c r="K37" s="563" t="s">
        <v>311</v>
      </c>
      <c r="L37" s="565">
        <v>43358</v>
      </c>
      <c r="M37" s="566">
        <v>6.3E-2</v>
      </c>
      <c r="N37" s="563" t="s">
        <v>341</v>
      </c>
      <c r="O37" s="563"/>
      <c r="P37" s="566" t="str">
        <f>VLOOKUP(A37,'[1]Raw data'!$B:$BB,23,FALSE)</f>
        <v>JPY</v>
      </c>
      <c r="Q37" s="563" t="str">
        <f>VLOOKUP(A37,'[1]Raw data'!$B:$Z,2,FALSE)</f>
        <v>C49SZX20190040JL</v>
      </c>
      <c r="R37" s="563" t="str">
        <f>VLOOKUP(A37,'[1]Raw data'!$B:$Z,3,FALSE)</f>
        <v>瑞福联</v>
      </c>
      <c r="S37" s="563" t="str">
        <f>VLOOKUP(A37,'[1]Raw data'!$B:$Z,4,FALSE)</f>
        <v>YSM20-2</v>
      </c>
      <c r="T37" s="563" t="str">
        <f>VLOOKUP(A37,'[1]Raw data'!$B:$Z,8,FALSE)</f>
        <v>L-&gt;R</v>
      </c>
      <c r="U37" s="563" t="str">
        <f>VLOOKUP(A37,'[1]Raw data'!$B:$Z,9,FALSE)</f>
        <v>No</v>
      </c>
      <c r="V37" s="567" t="str">
        <f t="shared" si="9"/>
        <v>OK</v>
      </c>
      <c r="W37" s="563" t="str">
        <f>VLOOKUP(A37,'[1]Raw data'!$B:$AG,32,FALSE)</f>
        <v>CIF HK</v>
      </c>
      <c r="X37" s="563">
        <f>VLOOKUP(A37,'[1]Raw data'!$B:$BA,31,FALSE)</f>
        <v>43549</v>
      </c>
      <c r="Y37" s="563" t="str">
        <f>VLOOKUP(A37,'[1]Raw data'!$B:$AS,39,FALSE)</f>
        <v>Yes</v>
      </c>
      <c r="Z37" s="568" t="s">
        <v>290</v>
      </c>
      <c r="AA37" s="569" t="s">
        <v>290</v>
      </c>
      <c r="AB37" s="570"/>
      <c r="AC37" s="563" t="s">
        <v>291</v>
      </c>
      <c r="AN37" s="542"/>
      <c r="AO37" s="824" t="str">
        <f t="shared" si="1"/>
        <v>Yes</v>
      </c>
      <c r="AP37" s="259" t="str">
        <f t="shared" si="2"/>
        <v>APR 19</v>
      </c>
      <c r="AQ37" s="542" t="str">
        <f t="shared" si="3"/>
        <v>有定金+有預留客戶</v>
      </c>
      <c r="AR37" s="259" t="str">
        <f t="shared" si="4"/>
        <v>Shipped_Stock</v>
      </c>
      <c r="AS37" s="259" t="str">
        <f t="shared" si="5"/>
        <v/>
      </c>
      <c r="AT37" s="259" t="str">
        <f t="shared" si="6"/>
        <v>瑞福联</v>
      </c>
      <c r="AU37" s="259" t="str">
        <f t="shared" si="7"/>
        <v>C49SZX20190040JL</v>
      </c>
      <c r="AV37" s="259" t="str">
        <f t="shared" si="8"/>
        <v>Sep-15</v>
      </c>
    </row>
    <row r="38" spans="1:69" ht="15" hidden="1" customHeight="1">
      <c r="A38" s="559">
        <v>278</v>
      </c>
      <c r="B38" s="563" t="s">
        <v>280</v>
      </c>
      <c r="C38" s="560" t="s">
        <v>281</v>
      </c>
      <c r="D38" s="564">
        <v>109352</v>
      </c>
      <c r="E38" s="563" t="s">
        <v>353</v>
      </c>
      <c r="F38" s="563" t="s">
        <v>343</v>
      </c>
      <c r="G38" s="563" t="s">
        <v>24</v>
      </c>
      <c r="H38" s="563" t="s">
        <v>26</v>
      </c>
      <c r="I38" s="564" t="s">
        <v>360</v>
      </c>
      <c r="J38" s="564">
        <v>1</v>
      </c>
      <c r="K38" s="563" t="s">
        <v>311</v>
      </c>
      <c r="L38" s="565">
        <v>43358</v>
      </c>
      <c r="M38" s="566">
        <v>6.3E-2</v>
      </c>
      <c r="N38" s="563" t="s">
        <v>341</v>
      </c>
      <c r="O38" s="563"/>
      <c r="P38" s="566" t="str">
        <f>VLOOKUP(A38,'[1]Raw data'!$B:$BB,23,FALSE)</f>
        <v>JPY</v>
      </c>
      <c r="Q38" s="563" t="str">
        <f>VLOOKUP(A38,'[1]Raw data'!$B:$Z,2,FALSE)</f>
        <v>C49SZX20190048JY</v>
      </c>
      <c r="R38" s="563" t="str">
        <f>VLOOKUP(A38,'[1]Raw data'!$B:$Z,3,FALSE)</f>
        <v>络鑫</v>
      </c>
      <c r="S38" s="563" t="str">
        <f>VLOOKUP(A38,'[1]Raw data'!$B:$Z,4,FALSE)</f>
        <v>YSM20-2</v>
      </c>
      <c r="T38" s="563" t="str">
        <f>VLOOKUP(A38,'[1]Raw data'!$B:$Z,8,FALSE)</f>
        <v>L-&gt;R</v>
      </c>
      <c r="U38" s="563" t="str">
        <f>VLOOKUP(A38,'[1]Raw data'!$B:$Z,9,FALSE)</f>
        <v>No</v>
      </c>
      <c r="V38" s="567" t="str">
        <f t="shared" si="9"/>
        <v>OK</v>
      </c>
      <c r="W38" s="563" t="str">
        <f>VLOOKUP(A38,'[1]Raw data'!$B:$AG,32,FALSE)</f>
        <v>DAP东莞</v>
      </c>
      <c r="X38" s="563">
        <f>VLOOKUP(A38,'[1]Raw data'!$B:$BA,31,FALSE)</f>
        <v>43558</v>
      </c>
      <c r="Y38" s="563" t="str">
        <f>VLOOKUP(A38,'[1]Raw data'!$B:$AS,39,FALSE)</f>
        <v>Yes</v>
      </c>
      <c r="Z38" s="568" t="s">
        <v>290</v>
      </c>
      <c r="AA38" s="569" t="s">
        <v>290</v>
      </c>
      <c r="AB38" s="570"/>
      <c r="AC38" s="563" t="s">
        <v>291</v>
      </c>
      <c r="AN38" s="542"/>
      <c r="AO38" s="824" t="str">
        <f t="shared" si="1"/>
        <v>Yes</v>
      </c>
      <c r="AP38" s="259" t="str">
        <f t="shared" si="2"/>
        <v>APR 19</v>
      </c>
      <c r="AQ38" s="542" t="str">
        <f t="shared" si="3"/>
        <v>有定金+有預留客戶</v>
      </c>
      <c r="AR38" s="259" t="str">
        <f t="shared" si="4"/>
        <v>Shipped_Stock</v>
      </c>
      <c r="AS38" s="259" t="str">
        <f t="shared" si="5"/>
        <v/>
      </c>
      <c r="AT38" s="259" t="str">
        <f t="shared" si="6"/>
        <v>络鑫</v>
      </c>
      <c r="AU38" s="259" t="str">
        <f t="shared" si="7"/>
        <v>C49SZX20190048JY</v>
      </c>
      <c r="AV38" s="259" t="str">
        <f t="shared" si="8"/>
        <v>Sep-15</v>
      </c>
    </row>
    <row r="39" spans="1:69" ht="15" hidden="1" customHeight="1">
      <c r="A39" s="559">
        <v>31</v>
      </c>
      <c r="B39" s="563" t="s">
        <v>280</v>
      </c>
      <c r="C39" s="560" t="s">
        <v>281</v>
      </c>
      <c r="D39" s="564">
        <v>109352</v>
      </c>
      <c r="E39" s="563" t="s">
        <v>353</v>
      </c>
      <c r="F39" s="563" t="s">
        <v>343</v>
      </c>
      <c r="G39" s="563" t="s">
        <v>24</v>
      </c>
      <c r="H39" s="563" t="s">
        <v>26</v>
      </c>
      <c r="I39" s="564" t="s">
        <v>361</v>
      </c>
      <c r="J39" s="564">
        <v>1</v>
      </c>
      <c r="K39" s="563" t="s">
        <v>295</v>
      </c>
      <c r="L39" s="565">
        <v>43358</v>
      </c>
      <c r="M39" s="566">
        <v>6.3E-2</v>
      </c>
      <c r="N39" s="563" t="s">
        <v>341</v>
      </c>
      <c r="O39" s="563"/>
      <c r="P39" s="566" t="str">
        <f>VLOOKUP(A39,'[1]Raw data'!$B:$BB,23,FALSE)</f>
        <v>RMB</v>
      </c>
      <c r="Q39" s="563" t="str">
        <f>VLOOKUP(A39,'[1]Raw data'!$B:$Z,2,FALSE)</f>
        <v>C49SZX20180058KW</v>
      </c>
      <c r="R39" s="563" t="str">
        <f>VLOOKUP(A39,'[1]Raw data'!$B:$Z,3,FALSE)</f>
        <v>STK深台</v>
      </c>
      <c r="S39" s="563" t="str">
        <f>VLOOKUP(A39,'[1]Raw data'!$B:$Z,4,FALSE)</f>
        <v>YSM20-2</v>
      </c>
      <c r="T39" s="563" t="str">
        <f>VLOOKUP(A39,'[1]Raw data'!$B:$Z,8,FALSE)</f>
        <v>L-&gt;R</v>
      </c>
      <c r="U39" s="563" t="str">
        <f>VLOOKUP(A39,'[1]Raw data'!$B:$Z,9,FALSE)</f>
        <v>No</v>
      </c>
      <c r="V39" s="567" t="str">
        <f t="shared" si="9"/>
        <v>OK</v>
      </c>
      <c r="W39" s="563" t="str">
        <f>VLOOKUP(A39,'[1]Raw data'!$B:$AG,32,FALSE)</f>
        <v>DDP SZ</v>
      </c>
      <c r="X39" s="563">
        <f>VLOOKUP(A39,'[1]Raw data'!$B:$BA,31,FALSE)</f>
        <v>43230</v>
      </c>
      <c r="Y39" s="563" t="str">
        <f>VLOOKUP(A39,'[1]Raw data'!$B:$AS,39,FALSE)</f>
        <v>Yes</v>
      </c>
      <c r="Z39" s="568" t="s">
        <v>290</v>
      </c>
      <c r="AA39" s="569" t="s">
        <v>290</v>
      </c>
      <c r="AB39" s="570"/>
      <c r="AC39" s="563" t="s">
        <v>291</v>
      </c>
      <c r="AN39" s="542"/>
      <c r="AO39" s="824" t="str">
        <f t="shared" si="1"/>
        <v>Yes</v>
      </c>
      <c r="AP39" s="259" t="str">
        <f t="shared" si="2"/>
        <v>APR 19</v>
      </c>
      <c r="AQ39" s="542" t="str">
        <f t="shared" si="3"/>
        <v>有定金+有預留客戶</v>
      </c>
      <c r="AR39" s="259" t="str">
        <f t="shared" si="4"/>
        <v>Shipped_Stock</v>
      </c>
      <c r="AS39" s="259" t="str">
        <f t="shared" si="5"/>
        <v/>
      </c>
      <c r="AT39" s="259" t="str">
        <f t="shared" si="6"/>
        <v>STK深台</v>
      </c>
      <c r="AU39" s="259" t="str">
        <f t="shared" si="7"/>
        <v>C49SZX20180058KW</v>
      </c>
      <c r="AV39" s="259" t="str">
        <f t="shared" si="8"/>
        <v>Sep-15</v>
      </c>
    </row>
    <row r="40" spans="1:69" ht="15" hidden="1" customHeight="1">
      <c r="A40" s="559">
        <v>187</v>
      </c>
      <c r="B40" s="563" t="s">
        <v>280</v>
      </c>
      <c r="C40" s="560" t="s">
        <v>281</v>
      </c>
      <c r="D40" s="564">
        <v>109360</v>
      </c>
      <c r="E40" s="563" t="s">
        <v>236</v>
      </c>
      <c r="F40" s="563" t="s">
        <v>17</v>
      </c>
      <c r="G40" s="563" t="s">
        <v>24</v>
      </c>
      <c r="H40" s="563" t="s">
        <v>26</v>
      </c>
      <c r="I40" s="564" t="s">
        <v>362</v>
      </c>
      <c r="J40" s="564">
        <v>1</v>
      </c>
      <c r="K40" s="563" t="s">
        <v>285</v>
      </c>
      <c r="L40" s="565">
        <v>43362</v>
      </c>
      <c r="M40" s="566">
        <v>6.3E-2</v>
      </c>
      <c r="N40" s="563" t="s">
        <v>363</v>
      </c>
      <c r="O40" s="563"/>
      <c r="P40" s="566" t="str">
        <f>VLOOKUP(A40,'[1]Raw data'!$B:$BB,23,FALSE)</f>
        <v>JPY</v>
      </c>
      <c r="Q40" s="563" t="str">
        <f>VLOOKUP(A40,'[1]Raw data'!$B:$Z,2,FALSE)</f>
        <v>C49SZX20180161RY</v>
      </c>
      <c r="R40" s="563" t="str">
        <f>VLOOKUP(A40,'[1]Raw data'!$B:$Z,3,FALSE)</f>
        <v>恩圣</v>
      </c>
      <c r="S40" s="563" t="str">
        <f>VLOOKUP(A40,'[1]Raw data'!$B:$Z,4,FALSE)</f>
        <v>YSM10</v>
      </c>
      <c r="T40" s="563" t="str">
        <f>VLOOKUP(A40,'[1]Raw data'!$B:$Z,8,FALSE)</f>
        <v>L-&gt;R</v>
      </c>
      <c r="U40" s="563" t="str">
        <f>VLOOKUP(A40,'[1]Raw data'!$B:$Z,9,FALSE)</f>
        <v>No</v>
      </c>
      <c r="V40" s="567" t="str">
        <f t="shared" si="9"/>
        <v>OK</v>
      </c>
      <c r="W40" s="563" t="str">
        <f>VLOOKUP(A40,'[1]Raw data'!$B:$AG,32,FALSE)</f>
        <v>DAP深圳</v>
      </c>
      <c r="X40" s="563">
        <f>VLOOKUP(A40,'[1]Raw data'!$B:$BA,31,FALSE)</f>
        <v>43445</v>
      </c>
      <c r="Y40" s="563" t="str">
        <f>VLOOKUP(A40,'[1]Raw data'!$B:$AS,39,FALSE)</f>
        <v>Yes</v>
      </c>
      <c r="Z40" s="568" t="s">
        <v>329</v>
      </c>
      <c r="AA40" s="569" t="s">
        <v>290</v>
      </c>
      <c r="AB40" s="570"/>
      <c r="AC40" s="563" t="s">
        <v>291</v>
      </c>
      <c r="AN40" s="542"/>
      <c r="AO40" s="824" t="str">
        <f t="shared" si="1"/>
        <v>Yes</v>
      </c>
      <c r="AP40" s="259" t="str">
        <f t="shared" si="2"/>
        <v>FEB 19</v>
      </c>
      <c r="AQ40" s="542" t="str">
        <f t="shared" si="3"/>
        <v>有定金+有預留客戶</v>
      </c>
      <c r="AR40" s="259" t="str">
        <f t="shared" si="4"/>
        <v>Shipped_Stock</v>
      </c>
      <c r="AS40" s="259" t="str">
        <f t="shared" si="5"/>
        <v/>
      </c>
      <c r="AT40" s="259" t="str">
        <f t="shared" si="6"/>
        <v>恩圣</v>
      </c>
      <c r="AU40" s="259" t="str">
        <f t="shared" si="7"/>
        <v>C49SZX20180161RY</v>
      </c>
      <c r="AV40" s="259" t="str">
        <f t="shared" si="8"/>
        <v>Sep-19</v>
      </c>
    </row>
    <row r="41" spans="1:69" ht="15" hidden="1" customHeight="1">
      <c r="A41" s="559">
        <v>213</v>
      </c>
      <c r="B41" s="563" t="s">
        <v>280</v>
      </c>
      <c r="C41" s="560" t="s">
        <v>281</v>
      </c>
      <c r="D41" s="564">
        <v>109360</v>
      </c>
      <c r="E41" s="563" t="s">
        <v>236</v>
      </c>
      <c r="F41" s="563" t="s">
        <v>17</v>
      </c>
      <c r="G41" s="563" t="s">
        <v>24</v>
      </c>
      <c r="H41" s="563" t="s">
        <v>26</v>
      </c>
      <c r="I41" s="564" t="s">
        <v>364</v>
      </c>
      <c r="J41" s="564">
        <v>1</v>
      </c>
      <c r="K41" s="563" t="s">
        <v>285</v>
      </c>
      <c r="L41" s="565">
        <v>43362</v>
      </c>
      <c r="M41" s="566">
        <v>6.3E-2</v>
      </c>
      <c r="N41" s="563" t="s">
        <v>334</v>
      </c>
      <c r="O41" s="563"/>
      <c r="P41" s="566" t="str">
        <f>VLOOKUP(A41,'[1]Raw data'!$B:$BB,23,FALSE)</f>
        <v>JPY</v>
      </c>
      <c r="Q41" s="563" t="str">
        <f>VLOOKUP(A41,'[1]Raw data'!$B:$Z,2,FALSE)</f>
        <v>C49SZX20190007JL</v>
      </c>
      <c r="R41" s="563" t="str">
        <f>VLOOKUP(A41,'[1]Raw data'!$B:$Z,3,FALSE)</f>
        <v>昶达CHEERSTAR</v>
      </c>
      <c r="S41" s="563" t="str">
        <f>VLOOKUP(A41,'[1]Raw data'!$B:$Z,4,FALSE)</f>
        <v>YSM10</v>
      </c>
      <c r="T41" s="563" t="str">
        <f>VLOOKUP(A41,'[1]Raw data'!$B:$Z,8,FALSE)</f>
        <v>R-&gt;L</v>
      </c>
      <c r="U41" s="563" t="str">
        <f>VLOOKUP(A41,'[1]Raw data'!$B:$Z,9,FALSE)</f>
        <v>No</v>
      </c>
      <c r="V41" s="567" t="str">
        <f t="shared" si="9"/>
        <v>WRONG</v>
      </c>
      <c r="W41" s="563" t="str">
        <f>VLOOKUP(A41,'[1]Raw data'!$B:$AG,32,FALSE)</f>
        <v>CIF</v>
      </c>
      <c r="X41" s="563">
        <f>VLOOKUP(A41,'[1]Raw data'!$B:$BA,31,FALSE)</f>
        <v>43480</v>
      </c>
      <c r="Y41" s="563" t="str">
        <f>VLOOKUP(A41,'[1]Raw data'!$B:$AS,39,FALSE)</f>
        <v>Yes</v>
      </c>
      <c r="Z41" s="568" t="s">
        <v>329</v>
      </c>
      <c r="AA41" s="569" t="s">
        <v>290</v>
      </c>
      <c r="AB41" s="570"/>
      <c r="AC41" s="563" t="s">
        <v>291</v>
      </c>
      <c r="AN41" s="542"/>
      <c r="AO41" s="824" t="str">
        <f t="shared" si="1"/>
        <v>Yes</v>
      </c>
      <c r="AP41" s="259" t="str">
        <f t="shared" si="2"/>
        <v>MAR 19</v>
      </c>
      <c r="AQ41" s="542" t="str">
        <f t="shared" si="3"/>
        <v>有定金+有預留客戶</v>
      </c>
      <c r="AR41" s="259" t="str">
        <f t="shared" si="4"/>
        <v>Shipped_Stock</v>
      </c>
      <c r="AS41" s="259" t="str">
        <f t="shared" si="5"/>
        <v/>
      </c>
      <c r="AT41" s="259" t="str">
        <f t="shared" si="6"/>
        <v>昶达CHEERSTAR</v>
      </c>
      <c r="AU41" s="259" t="str">
        <f t="shared" si="7"/>
        <v>C49SZX20190007JL</v>
      </c>
      <c r="AV41" s="259" t="str">
        <f t="shared" si="8"/>
        <v>Sep-19</v>
      </c>
    </row>
    <row r="42" spans="1:69" ht="15" hidden="1" customHeight="1">
      <c r="A42" s="559">
        <v>234</v>
      </c>
      <c r="B42" s="563" t="s">
        <v>280</v>
      </c>
      <c r="C42" s="560" t="s">
        <v>281</v>
      </c>
      <c r="D42" s="564">
        <v>109416</v>
      </c>
      <c r="E42" s="563" t="s">
        <v>236</v>
      </c>
      <c r="F42" s="563" t="s">
        <v>17</v>
      </c>
      <c r="G42" s="563" t="s">
        <v>24</v>
      </c>
      <c r="H42" s="563" t="s">
        <v>34</v>
      </c>
      <c r="I42" s="564" t="s">
        <v>365</v>
      </c>
      <c r="J42" s="564">
        <v>1</v>
      </c>
      <c r="K42" s="563" t="s">
        <v>285</v>
      </c>
      <c r="L42" s="565">
        <v>43362</v>
      </c>
      <c r="M42" s="566">
        <v>6.3E-2</v>
      </c>
      <c r="N42" s="563" t="s">
        <v>341</v>
      </c>
      <c r="O42" s="563"/>
      <c r="P42" s="566" t="str">
        <f>VLOOKUP(A42,'[1]Raw data'!$B:$BB,23,FALSE)</f>
        <v>RMB</v>
      </c>
      <c r="Q42" s="563" t="str">
        <f>VLOOKUP(A42,'[1]Raw data'!$B:$Z,2,FALSE)</f>
        <v>C49SZX20190016KW</v>
      </c>
      <c r="R42" s="563" t="str">
        <f>VLOOKUP(A42,'[1]Raw data'!$B:$Z,3,FALSE)</f>
        <v>同基</v>
      </c>
      <c r="S42" s="563" t="str">
        <f>VLOOKUP(A42,'[1]Raw data'!$B:$Z,4,FALSE)</f>
        <v>YSM10</v>
      </c>
      <c r="T42" s="563" t="str">
        <f>VLOOKUP(A42,'[1]Raw data'!$B:$Z,8,FALSE)</f>
        <v>L-&gt;R</v>
      </c>
      <c r="U42" s="563" t="str">
        <f>VLOOKUP(A42,'[1]Raw data'!$B:$Z,9,FALSE)</f>
        <v>MVC+ATS15</v>
      </c>
      <c r="V42" s="567" t="str">
        <f t="shared" si="9"/>
        <v>OK</v>
      </c>
      <c r="W42" s="563" t="str">
        <f>VLOOKUP(A42,'[1]Raw data'!$B:$AG,32,FALSE)</f>
        <v>DAP 深圳</v>
      </c>
      <c r="X42" s="563">
        <f>VLOOKUP(A42,'[1]Raw data'!$B:$BA,31,FALSE)</f>
        <v>43490</v>
      </c>
      <c r="Y42" s="563" t="str">
        <f>VLOOKUP(A42,'[1]Raw data'!$B:$AS,39,FALSE)</f>
        <v>Yes</v>
      </c>
      <c r="Z42" s="568" t="s">
        <v>290</v>
      </c>
      <c r="AA42" s="569" t="s">
        <v>290</v>
      </c>
      <c r="AB42" s="570"/>
      <c r="AC42" s="563" t="s">
        <v>291</v>
      </c>
      <c r="AN42" s="542"/>
      <c r="AO42" s="824" t="str">
        <f t="shared" si="1"/>
        <v>Yes</v>
      </c>
      <c r="AP42" s="259" t="str">
        <f t="shared" si="2"/>
        <v>APR 19</v>
      </c>
      <c r="AQ42" s="542" t="str">
        <f t="shared" si="3"/>
        <v>有定金+有預留客戶</v>
      </c>
      <c r="AR42" s="259" t="str">
        <f t="shared" si="4"/>
        <v>Shipped_Stock</v>
      </c>
      <c r="AS42" s="259" t="str">
        <f t="shared" si="5"/>
        <v/>
      </c>
      <c r="AT42" s="259" t="str">
        <f t="shared" si="6"/>
        <v>同基</v>
      </c>
      <c r="AU42" s="259" t="str">
        <f t="shared" si="7"/>
        <v>C49SZX20190016KW</v>
      </c>
      <c r="AV42" s="259" t="str">
        <f t="shared" si="8"/>
        <v>Sep-19</v>
      </c>
    </row>
    <row r="43" spans="1:69" ht="15" hidden="1" customHeight="1">
      <c r="A43" s="559">
        <v>235</v>
      </c>
      <c r="B43" s="563" t="s">
        <v>280</v>
      </c>
      <c r="C43" s="560" t="s">
        <v>281</v>
      </c>
      <c r="D43" s="564">
        <v>109416</v>
      </c>
      <c r="E43" s="563" t="s">
        <v>236</v>
      </c>
      <c r="F43" s="563" t="s">
        <v>17</v>
      </c>
      <c r="G43" s="563" t="s">
        <v>24</v>
      </c>
      <c r="H43" s="563" t="s">
        <v>292</v>
      </c>
      <c r="I43" s="564" t="s">
        <v>366</v>
      </c>
      <c r="J43" s="564">
        <v>1</v>
      </c>
      <c r="K43" s="563" t="s">
        <v>285</v>
      </c>
      <c r="L43" s="565">
        <v>43362</v>
      </c>
      <c r="M43" s="566">
        <v>6.3E-2</v>
      </c>
      <c r="N43" s="563" t="s">
        <v>341</v>
      </c>
      <c r="O43" s="563"/>
      <c r="P43" s="566" t="str">
        <f>VLOOKUP(A43,'[1]Raw data'!$B:$BB,23,FALSE)</f>
        <v>RMB</v>
      </c>
      <c r="Q43" s="563" t="str">
        <f>VLOOKUP(A43,'[1]Raw data'!$B:$Z,2,FALSE)</f>
        <v>C49SZX20190016KW</v>
      </c>
      <c r="R43" s="563" t="str">
        <f>VLOOKUP(A43,'[1]Raw data'!$B:$Z,3,FALSE)</f>
        <v>同基</v>
      </c>
      <c r="S43" s="563" t="str">
        <f>VLOOKUP(A43,'[1]Raw data'!$B:$Z,4,FALSE)</f>
        <v>YSM10</v>
      </c>
      <c r="T43" s="563" t="str">
        <f>VLOOKUP(A43,'[1]Raw data'!$B:$Z,8,FALSE)</f>
        <v>L-&gt;R</v>
      </c>
      <c r="U43" s="563" t="str">
        <f>VLOOKUP(A43,'[1]Raw data'!$B:$Z,9,FALSE)</f>
        <v>MVC+ATS15</v>
      </c>
      <c r="V43" s="567" t="str">
        <f t="shared" si="9"/>
        <v>OK</v>
      </c>
      <c r="W43" s="563" t="str">
        <f>VLOOKUP(A43,'[1]Raw data'!$B:$AG,32,FALSE)</f>
        <v>DAP 深圳</v>
      </c>
      <c r="X43" s="563">
        <f>VLOOKUP(A43,'[1]Raw data'!$B:$BA,31,FALSE)</f>
        <v>43490</v>
      </c>
      <c r="Y43" s="563" t="str">
        <f>VLOOKUP(A43,'[1]Raw data'!$B:$AS,39,FALSE)</f>
        <v>Yes</v>
      </c>
      <c r="Z43" s="568" t="s">
        <v>290</v>
      </c>
      <c r="AA43" s="569" t="s">
        <v>290</v>
      </c>
      <c r="AB43" s="570"/>
      <c r="AC43" s="563" t="s">
        <v>291</v>
      </c>
      <c r="AN43" s="542"/>
      <c r="AO43" s="824" t="str">
        <f t="shared" si="1"/>
        <v>Yes</v>
      </c>
      <c r="AP43" s="259" t="str">
        <f t="shared" si="2"/>
        <v>APR 19</v>
      </c>
      <c r="AQ43" s="542" t="str">
        <f t="shared" si="3"/>
        <v>有定金+有預留客戶</v>
      </c>
      <c r="AR43" s="259" t="str">
        <f t="shared" si="4"/>
        <v>Shipped_Stock</v>
      </c>
      <c r="AS43" s="259" t="str">
        <f t="shared" si="5"/>
        <v/>
      </c>
      <c r="AT43" s="259" t="str">
        <f t="shared" si="6"/>
        <v>同基</v>
      </c>
      <c r="AU43" s="259" t="str">
        <f t="shared" si="7"/>
        <v>C49SZX20190016KW</v>
      </c>
      <c r="AV43" s="259" t="str">
        <f t="shared" si="8"/>
        <v>Sep-19</v>
      </c>
    </row>
    <row r="44" spans="1:69" ht="15" hidden="1" customHeight="1">
      <c r="A44" s="559">
        <v>212</v>
      </c>
      <c r="B44" s="563" t="s">
        <v>280</v>
      </c>
      <c r="C44" s="560" t="s">
        <v>281</v>
      </c>
      <c r="D44" s="564">
        <v>109381</v>
      </c>
      <c r="E44" s="563" t="s">
        <v>236</v>
      </c>
      <c r="F44" s="563" t="s">
        <v>17</v>
      </c>
      <c r="G44" s="563" t="s">
        <v>24</v>
      </c>
      <c r="H44" s="563" t="s">
        <v>27</v>
      </c>
      <c r="I44" s="564" t="s">
        <v>367</v>
      </c>
      <c r="J44" s="564">
        <v>1</v>
      </c>
      <c r="K44" s="563" t="s">
        <v>368</v>
      </c>
      <c r="L44" s="565">
        <v>43385</v>
      </c>
      <c r="M44" s="566">
        <v>6.2399999999999997E-2</v>
      </c>
      <c r="N44" s="563" t="s">
        <v>334</v>
      </c>
      <c r="O44" s="563"/>
      <c r="P44" s="566" t="str">
        <f>VLOOKUP(A44,'[1]Raw data'!$B:$BB,23,FALSE)</f>
        <v>JPY</v>
      </c>
      <c r="Q44" s="563" t="str">
        <f>VLOOKUP(A44,'[1]Raw data'!$B:$Z,2,FALSE)</f>
        <v>C49SZX20190007JL</v>
      </c>
      <c r="R44" s="563" t="str">
        <f>VLOOKUP(A44,'[1]Raw data'!$B:$Z,3,FALSE)</f>
        <v>昶达CHEERSTAR</v>
      </c>
      <c r="S44" s="563" t="str">
        <f>VLOOKUP(A44,'[1]Raw data'!$B:$Z,4,FALSE)</f>
        <v>YSM10</v>
      </c>
      <c r="T44" s="563" t="str">
        <f>VLOOKUP(A44,'[1]Raw data'!$B:$Z,8,FALSE)</f>
        <v>R-&gt;L</v>
      </c>
      <c r="U44" s="563" t="str">
        <f>VLOOKUP(A44,'[1]Raw data'!$B:$Z,9,FALSE)</f>
        <v>MVC</v>
      </c>
      <c r="V44" s="567" t="str">
        <f t="shared" si="9"/>
        <v>WRONG</v>
      </c>
      <c r="W44" s="563" t="str">
        <f>VLOOKUP(A44,'[1]Raw data'!$B:$AG,32,FALSE)</f>
        <v>CIF</v>
      </c>
      <c r="X44" s="563">
        <f>VLOOKUP(A44,'[1]Raw data'!$B:$BA,31,FALSE)</f>
        <v>43480</v>
      </c>
      <c r="Y44" s="563" t="str">
        <f>VLOOKUP(A44,'[1]Raw data'!$B:$AS,39,FALSE)</f>
        <v>Yes</v>
      </c>
      <c r="Z44" s="568" t="s">
        <v>290</v>
      </c>
      <c r="AA44" s="569" t="s">
        <v>290</v>
      </c>
      <c r="AB44" s="570"/>
      <c r="AC44" s="563" t="s">
        <v>291</v>
      </c>
      <c r="AN44" s="542"/>
      <c r="AO44" s="824" t="str">
        <f t="shared" si="1"/>
        <v>Yes</v>
      </c>
      <c r="AP44" s="259" t="str">
        <f t="shared" si="2"/>
        <v>MAR 19</v>
      </c>
      <c r="AQ44" s="542" t="str">
        <f t="shared" si="3"/>
        <v>有定金+有預留客戶</v>
      </c>
      <c r="AR44" s="259" t="str">
        <f t="shared" si="4"/>
        <v>Shipped_Stock</v>
      </c>
      <c r="AS44" s="259" t="str">
        <f t="shared" si="5"/>
        <v/>
      </c>
      <c r="AT44" s="259" t="str">
        <f t="shared" si="6"/>
        <v>昶达CHEERSTAR</v>
      </c>
      <c r="AU44" s="259" t="str">
        <f t="shared" si="7"/>
        <v>C49SZX20190007JL</v>
      </c>
      <c r="AV44" s="259" t="str">
        <f t="shared" si="8"/>
        <v>Oct-12</v>
      </c>
    </row>
    <row r="45" spans="1:69" ht="15" hidden="1" customHeight="1">
      <c r="A45" s="559">
        <v>181</v>
      </c>
      <c r="B45" s="563" t="s">
        <v>280</v>
      </c>
      <c r="C45" s="560" t="s">
        <v>281</v>
      </c>
      <c r="D45" s="564">
        <v>109381</v>
      </c>
      <c r="E45" s="563" t="s">
        <v>236</v>
      </c>
      <c r="F45" s="563" t="s">
        <v>17</v>
      </c>
      <c r="G45" s="563" t="s">
        <v>24</v>
      </c>
      <c r="H45" s="563" t="s">
        <v>27</v>
      </c>
      <c r="I45" s="564" t="s">
        <v>369</v>
      </c>
      <c r="J45" s="564">
        <v>1</v>
      </c>
      <c r="K45" s="563" t="s">
        <v>285</v>
      </c>
      <c r="L45" s="565">
        <v>43385</v>
      </c>
      <c r="M45" s="566">
        <v>6.2399999999999997E-2</v>
      </c>
      <c r="N45" s="563" t="s">
        <v>289</v>
      </c>
      <c r="O45" s="563"/>
      <c r="P45" s="566" t="str">
        <f>VLOOKUP(A45,'[1]Raw data'!$B:$BB,23,FALSE)</f>
        <v>JPY</v>
      </c>
      <c r="Q45" s="563" t="str">
        <f>VLOOKUP(A45,'[1]Raw data'!$B:$Z,2,FALSE)</f>
        <v>C49SZX20180172ZX</v>
      </c>
      <c r="R45" s="563" t="str">
        <f>VLOOKUP(A45,'[1]Raw data'!$B:$Z,3,FALSE)</f>
        <v>网娱视通</v>
      </c>
      <c r="S45" s="563" t="str">
        <f>VLOOKUP(A45,'[1]Raw data'!$B:$Z,4,FALSE)</f>
        <v>YSM10</v>
      </c>
      <c r="T45" s="563" t="str">
        <f>VLOOKUP(A45,'[1]Raw data'!$B:$Z,8,FALSE)</f>
        <v>L-&gt;R</v>
      </c>
      <c r="U45" s="563" t="str">
        <f>VLOOKUP(A45,'[1]Raw data'!$B:$Z,9,FALSE)</f>
        <v>MVC</v>
      </c>
      <c r="V45" s="567" t="str">
        <f t="shared" si="9"/>
        <v>OK</v>
      </c>
      <c r="W45" s="563" t="str">
        <f>VLOOKUP(A45,'[1]Raw data'!$B:$AG,32,FALSE)</f>
        <v>DAP深圳</v>
      </c>
      <c r="X45" s="563">
        <f>VLOOKUP(A45,'[1]Raw data'!$B:$BA,31,FALSE)</f>
        <v>43425</v>
      </c>
      <c r="Y45" s="563" t="str">
        <f>VLOOKUP(A45,'[1]Raw data'!$B:$AS,39,FALSE)</f>
        <v>Yes</v>
      </c>
      <c r="Z45" s="568" t="s">
        <v>290</v>
      </c>
      <c r="AA45" s="569" t="s">
        <v>329</v>
      </c>
      <c r="AB45" s="570"/>
      <c r="AC45" s="563" t="s">
        <v>291</v>
      </c>
      <c r="AN45" s="542"/>
      <c r="AO45" s="824" t="str">
        <f t="shared" si="1"/>
        <v>Yes</v>
      </c>
      <c r="AP45" s="259" t="str">
        <f t="shared" si="2"/>
        <v>DEC 18</v>
      </c>
      <c r="AQ45" s="542" t="str">
        <f t="shared" si="3"/>
        <v>有定金+有預留客戶</v>
      </c>
      <c r="AR45" s="259" t="str">
        <f t="shared" si="4"/>
        <v>Shipped_Stock</v>
      </c>
      <c r="AS45" s="259" t="str">
        <f t="shared" si="5"/>
        <v/>
      </c>
      <c r="AT45" s="259" t="str">
        <f t="shared" si="6"/>
        <v>网娱视通</v>
      </c>
      <c r="AU45" s="259" t="str">
        <f t="shared" si="7"/>
        <v>C49SZX20180172ZX</v>
      </c>
      <c r="AV45" s="259" t="str">
        <f t="shared" si="8"/>
        <v>Oct-12</v>
      </c>
    </row>
    <row r="46" spans="1:69" ht="15" hidden="1" customHeight="1">
      <c r="A46" s="559">
        <v>253</v>
      </c>
      <c r="B46" s="563" t="s">
        <v>280</v>
      </c>
      <c r="C46" s="560" t="s">
        <v>281</v>
      </c>
      <c r="D46" s="564">
        <v>109381</v>
      </c>
      <c r="E46" s="563" t="s">
        <v>236</v>
      </c>
      <c r="F46" s="563" t="s">
        <v>17</v>
      </c>
      <c r="G46" s="563" t="s">
        <v>24</v>
      </c>
      <c r="H46" s="563" t="s">
        <v>292</v>
      </c>
      <c r="I46" s="564" t="s">
        <v>370</v>
      </c>
      <c r="J46" s="564">
        <v>1</v>
      </c>
      <c r="K46" s="563" t="s">
        <v>285</v>
      </c>
      <c r="L46" s="565">
        <v>43385</v>
      </c>
      <c r="M46" s="566">
        <v>6.2399999999999997E-2</v>
      </c>
      <c r="N46" s="563" t="s">
        <v>341</v>
      </c>
      <c r="O46" s="563"/>
      <c r="P46" s="566" t="str">
        <f>VLOOKUP(A46,'[1]Raw data'!$B:$BB,23,FALSE)</f>
        <v>JPY</v>
      </c>
      <c r="Q46" s="563" t="str">
        <f>VLOOKUP(A46,'[1]Raw data'!$B:$Z,2,FALSE)</f>
        <v>C49SZX20190027MZ</v>
      </c>
      <c r="R46" s="563" t="str">
        <f>VLOOKUP(A46,'[1]Raw data'!$B:$Z,3,FALSE)</f>
        <v>魔乐视/end user:拓普赛特</v>
      </c>
      <c r="S46" s="563" t="str">
        <f>VLOOKUP(A46,'[1]Raw data'!$B:$Z,4,FALSE)</f>
        <v>YSM10</v>
      </c>
      <c r="T46" s="563" t="str">
        <f>VLOOKUP(A46,'[1]Raw data'!$B:$Z,8,FALSE)</f>
        <v>L-&gt;R</v>
      </c>
      <c r="U46" s="563" t="str">
        <f>VLOOKUP(A46,'[1]Raw data'!$B:$Z,9,FALSE)</f>
        <v>MVC+ATS15</v>
      </c>
      <c r="V46" s="567" t="str">
        <f t="shared" si="9"/>
        <v>OK</v>
      </c>
      <c r="W46" s="563" t="str">
        <f>VLOOKUP(A46,'[1]Raw data'!$B:$AG,32,FALSE)</f>
        <v>DAP 深圳</v>
      </c>
      <c r="X46" s="563">
        <f>VLOOKUP(A46,'[1]Raw data'!$B:$BA,31,FALSE)</f>
        <v>43536</v>
      </c>
      <c r="Y46" s="563" t="str">
        <f>VLOOKUP(A46,'[1]Raw data'!$B:$AS,39,FALSE)</f>
        <v>Yes</v>
      </c>
      <c r="Z46" s="568" t="s">
        <v>329</v>
      </c>
      <c r="AA46" s="569" t="s">
        <v>329</v>
      </c>
      <c r="AB46" s="570"/>
      <c r="AC46" s="563" t="s">
        <v>371</v>
      </c>
      <c r="AN46" s="542"/>
      <c r="AO46" s="824" t="str">
        <f t="shared" si="1"/>
        <v>Yes</v>
      </c>
      <c r="AP46" s="259" t="str">
        <f t="shared" si="2"/>
        <v>APR 19</v>
      </c>
      <c r="AQ46" s="542" t="str">
        <f t="shared" si="3"/>
        <v>有定金+有預留客戶</v>
      </c>
      <c r="AR46" s="259" t="str">
        <f t="shared" si="4"/>
        <v>Shipped_Stock</v>
      </c>
      <c r="AS46" s="259" t="str">
        <f t="shared" si="5"/>
        <v/>
      </c>
      <c r="AT46" s="259" t="str">
        <f t="shared" si="6"/>
        <v>魔乐视/end user:拓普赛特</v>
      </c>
      <c r="AU46" s="259" t="str">
        <f t="shared" si="7"/>
        <v>C49SZX20190027MZ</v>
      </c>
      <c r="AV46" s="259" t="str">
        <f t="shared" si="8"/>
        <v>Oct-12</v>
      </c>
    </row>
    <row r="47" spans="1:69" ht="15" hidden="1" customHeight="1">
      <c r="A47" s="559">
        <v>276</v>
      </c>
      <c r="B47" s="563" t="s">
        <v>280</v>
      </c>
      <c r="C47" s="560" t="s">
        <v>281</v>
      </c>
      <c r="D47" s="564">
        <v>109381</v>
      </c>
      <c r="E47" s="563" t="s">
        <v>236</v>
      </c>
      <c r="F47" s="563" t="s">
        <v>17</v>
      </c>
      <c r="G47" s="563" t="s">
        <v>24</v>
      </c>
      <c r="H47" s="563" t="s">
        <v>34</v>
      </c>
      <c r="I47" s="564" t="s">
        <v>372</v>
      </c>
      <c r="J47" s="564">
        <v>1</v>
      </c>
      <c r="K47" s="563" t="s">
        <v>285</v>
      </c>
      <c r="L47" s="565">
        <v>43385</v>
      </c>
      <c r="M47" s="566">
        <v>6.2399999999999997E-2</v>
      </c>
      <c r="N47" s="563" t="s">
        <v>341</v>
      </c>
      <c r="O47" s="563"/>
      <c r="P47" s="566" t="str">
        <f>VLOOKUP(A47,'[1]Raw data'!$B:$BB,23,FALSE)</f>
        <v>JPY</v>
      </c>
      <c r="Q47" s="563" t="str">
        <f>VLOOKUP(A47,'[1]Raw data'!$B:$Z,2,FALSE)</f>
        <v>C49SZX20190049SS</v>
      </c>
      <c r="R47" s="563" t="str">
        <f>VLOOKUP(A47,'[1]Raw data'!$B:$Z,3,FALSE)</f>
        <v>存封</v>
      </c>
      <c r="S47" s="563" t="str">
        <f>VLOOKUP(A47,'[1]Raw data'!$B:$Z,4,FALSE)</f>
        <v>YSM10</v>
      </c>
      <c r="T47" s="563" t="str">
        <f>VLOOKUP(A47,'[1]Raw data'!$B:$Z,8,FALSE)</f>
        <v>L-&gt;R</v>
      </c>
      <c r="U47" s="563" t="str">
        <f>VLOOKUP(A47,'[1]Raw data'!$B:$Z,9,FALSE)</f>
        <v>MVC+ATS15</v>
      </c>
      <c r="V47" s="567" t="str">
        <f t="shared" si="9"/>
        <v>OK</v>
      </c>
      <c r="W47" s="563" t="str">
        <f>VLOOKUP(A47,'[1]Raw data'!$B:$AG,32,FALSE)</f>
        <v>DAP 深圳</v>
      </c>
      <c r="X47" s="563">
        <f>VLOOKUP(A47,'[1]Raw data'!$B:$BA,31,FALSE)</f>
        <v>43557</v>
      </c>
      <c r="Y47" s="563" t="str">
        <f>VLOOKUP(A47,'[1]Raw data'!$B:$AS,39,FALSE)</f>
        <v>Yes</v>
      </c>
      <c r="Z47" s="568">
        <v>43342</v>
      </c>
      <c r="AA47" s="569">
        <v>43355</v>
      </c>
      <c r="AB47" s="570"/>
      <c r="AC47" s="563" t="s">
        <v>373</v>
      </c>
      <c r="AN47" s="542"/>
      <c r="AO47" s="824" t="str">
        <f t="shared" si="1"/>
        <v>Yes</v>
      </c>
      <c r="AP47" s="259" t="str">
        <f t="shared" si="2"/>
        <v>APR 19</v>
      </c>
      <c r="AQ47" s="542" t="str">
        <f t="shared" si="3"/>
        <v>有定金+有預留客戶</v>
      </c>
      <c r="AR47" s="259" t="str">
        <f t="shared" si="4"/>
        <v>Shipped_Stock</v>
      </c>
      <c r="AS47" s="259" t="str">
        <f t="shared" si="5"/>
        <v/>
      </c>
      <c r="AT47" s="259" t="str">
        <f t="shared" si="6"/>
        <v>存封</v>
      </c>
      <c r="AU47" s="259" t="str">
        <f t="shared" si="7"/>
        <v>C49SZX20190049SS</v>
      </c>
      <c r="AV47" s="259" t="str">
        <f t="shared" si="8"/>
        <v>Oct-12</v>
      </c>
    </row>
    <row r="48" spans="1:69" ht="15" hidden="1" customHeight="1">
      <c r="A48" s="559">
        <v>263</v>
      </c>
      <c r="B48" s="563" t="s">
        <v>280</v>
      </c>
      <c r="C48" s="560" t="s">
        <v>281</v>
      </c>
      <c r="D48" s="564">
        <v>109381</v>
      </c>
      <c r="E48" s="563" t="s">
        <v>236</v>
      </c>
      <c r="F48" s="563" t="s">
        <v>241</v>
      </c>
      <c r="G48" s="563" t="s">
        <v>24</v>
      </c>
      <c r="H48" s="563" t="s">
        <v>26</v>
      </c>
      <c r="I48" s="564" t="s">
        <v>374</v>
      </c>
      <c r="J48" s="564">
        <v>1</v>
      </c>
      <c r="K48" s="563" t="s">
        <v>285</v>
      </c>
      <c r="L48" s="565">
        <v>43385</v>
      </c>
      <c r="M48" s="566">
        <v>6.2399999999999997E-2</v>
      </c>
      <c r="N48" s="563" t="s">
        <v>341</v>
      </c>
      <c r="O48" s="563"/>
      <c r="P48" s="566" t="str">
        <f>VLOOKUP(A48,'[1]Raw data'!$B:$BB,23,FALSE)</f>
        <v>JPY</v>
      </c>
      <c r="Q48" s="563" t="str">
        <f>VLOOKUP(A48,'[1]Raw data'!$B:$Z,2,FALSE)</f>
        <v>C49SZX20190035ZX</v>
      </c>
      <c r="R48" s="563" t="str">
        <f>VLOOKUP(A48,'[1]Raw data'!$B:$Z,3,FALSE)</f>
        <v>恒泰创新</v>
      </c>
      <c r="S48" s="563" t="str">
        <f>VLOOKUP(A48,'[1]Raw data'!$B:$Z,4,FALSE)</f>
        <v>YSM10</v>
      </c>
      <c r="T48" s="563" t="str">
        <f>VLOOKUP(A48,'[1]Raw data'!$B:$Z,8,FALSE)</f>
        <v>L-&gt;R</v>
      </c>
      <c r="U48" s="563" t="str">
        <f>VLOOKUP(A48,'[1]Raw data'!$B:$Z,9,FALSE)</f>
        <v>MVC</v>
      </c>
      <c r="V48" s="567" t="str">
        <f t="shared" si="9"/>
        <v>WRONG</v>
      </c>
      <c r="W48" s="563" t="str">
        <f>VLOOKUP(A48,'[1]Raw data'!$B:$AG,32,FALSE)</f>
        <v>DAP 深圳</v>
      </c>
      <c r="X48" s="563">
        <f>VLOOKUP(A48,'[1]Raw data'!$B:$BA,31,FALSE)</f>
        <v>43544</v>
      </c>
      <c r="Y48" s="563" t="str">
        <f>VLOOKUP(A48,'[1]Raw data'!$B:$AS,39,FALSE)</f>
        <v>Yes</v>
      </c>
      <c r="Z48" s="568" t="s">
        <v>329</v>
      </c>
      <c r="AA48" s="569" t="s">
        <v>329</v>
      </c>
      <c r="AB48" s="570"/>
      <c r="AC48" s="563" t="s">
        <v>291</v>
      </c>
      <c r="AN48" s="542"/>
      <c r="AO48" s="824" t="str">
        <f t="shared" si="1"/>
        <v>Yes</v>
      </c>
      <c r="AP48" s="259" t="str">
        <f t="shared" si="2"/>
        <v>APR 19</v>
      </c>
      <c r="AQ48" s="542" t="str">
        <f t="shared" si="3"/>
        <v>有定金+有預留客戶</v>
      </c>
      <c r="AR48" s="259" t="str">
        <f t="shared" si="4"/>
        <v>Shipped_Stock</v>
      </c>
      <c r="AS48" s="259" t="str">
        <f t="shared" si="5"/>
        <v/>
      </c>
      <c r="AT48" s="259" t="str">
        <f t="shared" si="6"/>
        <v>恒泰创新</v>
      </c>
      <c r="AU48" s="259" t="str">
        <f t="shared" si="7"/>
        <v>C49SZX20190035ZX</v>
      </c>
      <c r="AV48" s="259" t="str">
        <f t="shared" si="8"/>
        <v>Oct-12</v>
      </c>
      <c r="AW48" s="837"/>
      <c r="AX48" s="837"/>
      <c r="AY48" s="837"/>
      <c r="AZ48" s="837"/>
      <c r="BA48" s="837"/>
      <c r="BB48" s="837"/>
      <c r="BC48" s="837"/>
      <c r="BD48" s="837"/>
      <c r="BE48" s="837"/>
      <c r="BF48" s="837"/>
      <c r="BG48" s="837"/>
      <c r="BH48" s="837"/>
      <c r="BI48" s="837"/>
      <c r="BJ48" s="837"/>
      <c r="BK48" s="837"/>
      <c r="BL48" s="837"/>
      <c r="BM48" s="837"/>
      <c r="BN48" s="837"/>
      <c r="BO48" s="837"/>
      <c r="BP48" s="837"/>
      <c r="BQ48" s="837"/>
    </row>
    <row r="49" spans="1:69" ht="15" hidden="1" customHeight="1">
      <c r="A49" s="559">
        <v>275</v>
      </c>
      <c r="B49" s="563" t="s">
        <v>280</v>
      </c>
      <c r="C49" s="560" t="s">
        <v>281</v>
      </c>
      <c r="D49" s="564">
        <v>109381</v>
      </c>
      <c r="E49" s="563" t="s">
        <v>236</v>
      </c>
      <c r="F49" s="563" t="s">
        <v>17</v>
      </c>
      <c r="G49" s="563" t="s">
        <v>24</v>
      </c>
      <c r="H49" s="563" t="s">
        <v>26</v>
      </c>
      <c r="I49" s="564" t="s">
        <v>375</v>
      </c>
      <c r="J49" s="564">
        <v>1</v>
      </c>
      <c r="K49" s="563" t="s">
        <v>285</v>
      </c>
      <c r="L49" s="565">
        <v>43385</v>
      </c>
      <c r="M49" s="566">
        <v>6.2399999999999997E-2</v>
      </c>
      <c r="N49" s="563" t="s">
        <v>341</v>
      </c>
      <c r="O49" s="563"/>
      <c r="P49" s="566" t="str">
        <f>VLOOKUP(A49,'[1]Raw data'!$B:$BB,23,FALSE)</f>
        <v>JPY</v>
      </c>
      <c r="Q49" s="563" t="str">
        <f>VLOOKUP(A49,'[1]Raw data'!$B:$Z,2,FALSE)</f>
        <v>C49SZX20190047SS</v>
      </c>
      <c r="R49" s="563" t="str">
        <f>VLOOKUP(A49,'[1]Raw data'!$B:$Z,3,FALSE)</f>
        <v>卡迪圣</v>
      </c>
      <c r="S49" s="563" t="str">
        <f>VLOOKUP(A49,'[1]Raw data'!$B:$Z,4,FALSE)</f>
        <v>YSM10</v>
      </c>
      <c r="T49" s="563" t="str">
        <f>VLOOKUP(A49,'[1]Raw data'!$B:$Z,8,FALSE)</f>
        <v>L-&gt;R</v>
      </c>
      <c r="U49" s="563" t="str">
        <f>VLOOKUP(A49,'[1]Raw data'!$B:$Z,9,FALSE)</f>
        <v>MVC</v>
      </c>
      <c r="V49" s="567" t="str">
        <f t="shared" si="9"/>
        <v>WRONG</v>
      </c>
      <c r="W49" s="563" t="str">
        <f>VLOOKUP(A49,'[1]Raw data'!$B:$AG,32,FALSE)</f>
        <v>DAP 深圳</v>
      </c>
      <c r="X49" s="563">
        <f>VLOOKUP(A49,'[1]Raw data'!$B:$BA,31,FALSE)</f>
        <v>43556</v>
      </c>
      <c r="Y49" s="563" t="str">
        <f>VLOOKUP(A49,'[1]Raw data'!$B:$AS,39,FALSE)</f>
        <v>Yes</v>
      </c>
      <c r="Z49" s="568">
        <v>43266</v>
      </c>
      <c r="AA49" s="569">
        <v>43283</v>
      </c>
      <c r="AB49" s="570"/>
      <c r="AC49" s="563" t="s">
        <v>291</v>
      </c>
      <c r="AN49" s="542"/>
      <c r="AO49" s="824" t="str">
        <f t="shared" si="1"/>
        <v>Yes</v>
      </c>
      <c r="AP49" s="259" t="str">
        <f t="shared" si="2"/>
        <v>APR 19</v>
      </c>
      <c r="AQ49" s="542" t="str">
        <f t="shared" si="3"/>
        <v>有定金+有預留客戶</v>
      </c>
      <c r="AR49" s="259" t="str">
        <f t="shared" si="4"/>
        <v>Shipped_Stock</v>
      </c>
      <c r="AS49" s="259" t="str">
        <f t="shared" si="5"/>
        <v/>
      </c>
      <c r="AT49" s="259" t="str">
        <f t="shared" si="6"/>
        <v>卡迪圣</v>
      </c>
      <c r="AU49" s="259" t="str">
        <f t="shared" si="7"/>
        <v>C49SZX20190047SS</v>
      </c>
      <c r="AV49" s="259" t="str">
        <f t="shared" si="8"/>
        <v>Oct-12</v>
      </c>
      <c r="AW49" s="837"/>
      <c r="AX49" s="837"/>
      <c r="AY49" s="837"/>
      <c r="AZ49" s="837"/>
      <c r="BA49" s="837"/>
      <c r="BB49" s="837"/>
      <c r="BC49" s="837"/>
      <c r="BD49" s="837"/>
      <c r="BE49" s="837"/>
      <c r="BF49" s="837"/>
      <c r="BG49" s="837"/>
      <c r="BH49" s="837"/>
      <c r="BI49" s="837"/>
      <c r="BJ49" s="837"/>
      <c r="BK49" s="837"/>
      <c r="BL49" s="837"/>
      <c r="BM49" s="837"/>
      <c r="BN49" s="837"/>
      <c r="BO49" s="837"/>
      <c r="BP49" s="837"/>
      <c r="BQ49" s="837"/>
    </row>
    <row r="50" spans="1:69" ht="15" hidden="1" customHeight="1">
      <c r="A50" s="559">
        <v>42</v>
      </c>
      <c r="B50" s="563" t="s">
        <v>280</v>
      </c>
      <c r="C50" s="560" t="s">
        <v>281</v>
      </c>
      <c r="D50" s="564">
        <v>109381</v>
      </c>
      <c r="E50" s="563" t="s">
        <v>236</v>
      </c>
      <c r="F50" s="563" t="s">
        <v>17</v>
      </c>
      <c r="G50" s="563" t="s">
        <v>24</v>
      </c>
      <c r="H50" s="563" t="s">
        <v>26</v>
      </c>
      <c r="I50" s="564" t="s">
        <v>376</v>
      </c>
      <c r="J50" s="564">
        <v>1</v>
      </c>
      <c r="K50" s="563" t="s">
        <v>285</v>
      </c>
      <c r="L50" s="565">
        <v>43385</v>
      </c>
      <c r="M50" s="566">
        <v>6.2399999999999997E-2</v>
      </c>
      <c r="N50" s="563" t="s">
        <v>334</v>
      </c>
      <c r="O50" s="563"/>
      <c r="P50" s="566" t="str">
        <f>VLOOKUP(A50,'[1]Raw data'!$B:$BB,23,FALSE)</f>
        <v>JPY</v>
      </c>
      <c r="Q50" s="563" t="str">
        <f>VLOOKUP(A50,'[1]Raw data'!$B:$Z,2,FALSE)</f>
        <v>C49SZX20180066JY</v>
      </c>
      <c r="R50" s="563" t="str">
        <f>VLOOKUP(A50,'[1]Raw data'!$B:$Z,3,FALSE)</f>
        <v>格力创</v>
      </c>
      <c r="S50" s="563" t="str">
        <f>VLOOKUP(A50,'[1]Raw data'!$B:$Z,4,FALSE)</f>
        <v>YSM10</v>
      </c>
      <c r="T50" s="563" t="str">
        <f>VLOOKUP(A50,'[1]Raw data'!$B:$Z,8,FALSE)</f>
        <v>R-&gt;L</v>
      </c>
      <c r="U50" s="563" t="str">
        <f>VLOOKUP(A50,'[1]Raw data'!$B:$Z,9,FALSE)</f>
        <v>No</v>
      </c>
      <c r="V50" s="567" t="str">
        <f t="shared" si="9"/>
        <v>WRONG</v>
      </c>
      <c r="W50" s="563" t="str">
        <f>VLOOKUP(A50,'[1]Raw data'!$B:$AG,32,FALSE)</f>
        <v>DAP SZ</v>
      </c>
      <c r="X50" s="563">
        <f>VLOOKUP(A50,'[1]Raw data'!$B:$BA,31,FALSE)</f>
        <v>43256</v>
      </c>
      <c r="Y50" s="563" t="str">
        <f>VLOOKUP(A50,'[1]Raw data'!$B:$AS,39,FALSE)</f>
        <v>Yes</v>
      </c>
      <c r="Z50" s="568"/>
      <c r="AA50" s="569"/>
      <c r="AB50" s="570"/>
      <c r="AC50" s="563" t="s">
        <v>291</v>
      </c>
      <c r="AN50" s="542"/>
      <c r="AO50" s="824" t="str">
        <f t="shared" si="1"/>
        <v>Yes</v>
      </c>
      <c r="AP50" s="259" t="str">
        <f t="shared" si="2"/>
        <v>MAR 19</v>
      </c>
      <c r="AQ50" s="542" t="str">
        <f t="shared" si="3"/>
        <v>有定金+有預留客戶</v>
      </c>
      <c r="AR50" s="259" t="str">
        <f t="shared" si="4"/>
        <v>Shipped_Stock</v>
      </c>
      <c r="AS50" s="259" t="str">
        <f t="shared" si="5"/>
        <v/>
      </c>
      <c r="AT50" s="259" t="str">
        <f t="shared" si="6"/>
        <v>格力创</v>
      </c>
      <c r="AU50" s="259" t="str">
        <f t="shared" si="7"/>
        <v>C49SZX20180066JY</v>
      </c>
      <c r="AV50" s="259" t="str">
        <f t="shared" si="8"/>
        <v>Oct-12</v>
      </c>
    </row>
    <row r="51" spans="1:69" ht="15" hidden="1" customHeight="1">
      <c r="A51" s="559">
        <v>43</v>
      </c>
      <c r="B51" s="563" t="s">
        <v>280</v>
      </c>
      <c r="C51" s="560" t="s">
        <v>281</v>
      </c>
      <c r="D51" s="564">
        <v>109381</v>
      </c>
      <c r="E51" s="563" t="s">
        <v>236</v>
      </c>
      <c r="F51" s="563" t="s">
        <v>17</v>
      </c>
      <c r="G51" s="563" t="s">
        <v>24</v>
      </c>
      <c r="H51" s="563" t="s">
        <v>26</v>
      </c>
      <c r="I51" s="564" t="s">
        <v>377</v>
      </c>
      <c r="J51" s="564">
        <v>1</v>
      </c>
      <c r="K51" s="563" t="s">
        <v>285</v>
      </c>
      <c r="L51" s="565">
        <v>43385</v>
      </c>
      <c r="M51" s="566">
        <v>6.2399999999999997E-2</v>
      </c>
      <c r="N51" s="563" t="s">
        <v>334</v>
      </c>
      <c r="O51" s="563"/>
      <c r="P51" s="566" t="str">
        <f>VLOOKUP(A51,'[1]Raw data'!$B:$BB,23,FALSE)</f>
        <v>JPY</v>
      </c>
      <c r="Q51" s="563" t="str">
        <f>VLOOKUP(A51,'[1]Raw data'!$B:$Z,2,FALSE)</f>
        <v>C49SZX20180066JY</v>
      </c>
      <c r="R51" s="563" t="str">
        <f>VLOOKUP(A51,'[1]Raw data'!$B:$Z,3,FALSE)</f>
        <v>格力创</v>
      </c>
      <c r="S51" s="563" t="str">
        <f>VLOOKUP(A51,'[1]Raw data'!$B:$Z,4,FALSE)</f>
        <v>YSM10</v>
      </c>
      <c r="T51" s="563" t="str">
        <f>VLOOKUP(A51,'[1]Raw data'!$B:$Z,8,FALSE)</f>
        <v>L-&gt;R</v>
      </c>
      <c r="U51" s="563" t="str">
        <f>VLOOKUP(A51,'[1]Raw data'!$B:$Z,9,FALSE)</f>
        <v>No</v>
      </c>
      <c r="V51" s="567" t="str">
        <f t="shared" si="9"/>
        <v>OK</v>
      </c>
      <c r="W51" s="563" t="str">
        <f>VLOOKUP(A51,'[1]Raw data'!$B:$AG,32,FALSE)</f>
        <v>DAP SZ</v>
      </c>
      <c r="X51" s="563">
        <f>VLOOKUP(A51,'[1]Raw data'!$B:$BA,31,FALSE)</f>
        <v>43256</v>
      </c>
      <c r="Y51" s="563" t="str">
        <f>VLOOKUP(A51,'[1]Raw data'!$B:$AS,39,FALSE)</f>
        <v>Yes</v>
      </c>
      <c r="Z51" s="563"/>
      <c r="AA51" s="584"/>
      <c r="AB51" s="570"/>
      <c r="AC51" s="563" t="s">
        <v>291</v>
      </c>
      <c r="AN51" s="542"/>
      <c r="AO51" s="824" t="str">
        <f t="shared" si="1"/>
        <v>Yes</v>
      </c>
      <c r="AP51" s="259" t="str">
        <f t="shared" si="2"/>
        <v>MAR 19</v>
      </c>
      <c r="AQ51" s="542" t="str">
        <f t="shared" si="3"/>
        <v>有定金+有預留客戶</v>
      </c>
      <c r="AR51" s="259" t="str">
        <f t="shared" si="4"/>
        <v>Shipped_Stock</v>
      </c>
      <c r="AS51" s="259" t="str">
        <f t="shared" si="5"/>
        <v/>
      </c>
      <c r="AT51" s="259" t="str">
        <f t="shared" si="6"/>
        <v>格力创</v>
      </c>
      <c r="AU51" s="259" t="str">
        <f t="shared" si="7"/>
        <v>C49SZX20180066JY</v>
      </c>
      <c r="AV51" s="259" t="str">
        <f t="shared" si="8"/>
        <v>Oct-12</v>
      </c>
    </row>
    <row r="52" spans="1:69" ht="15" hidden="1" customHeight="1">
      <c r="A52" s="559">
        <v>281</v>
      </c>
      <c r="B52" s="563" t="s">
        <v>280</v>
      </c>
      <c r="C52" s="560" t="s">
        <v>281</v>
      </c>
      <c r="D52" s="564">
        <v>109381</v>
      </c>
      <c r="E52" s="563" t="s">
        <v>236</v>
      </c>
      <c r="F52" s="563" t="s">
        <v>17</v>
      </c>
      <c r="G52" s="563" t="s">
        <v>24</v>
      </c>
      <c r="H52" s="563" t="s">
        <v>26</v>
      </c>
      <c r="I52" s="564" t="s">
        <v>378</v>
      </c>
      <c r="J52" s="564">
        <v>1</v>
      </c>
      <c r="K52" s="563" t="s">
        <v>285</v>
      </c>
      <c r="L52" s="565">
        <v>43385</v>
      </c>
      <c r="M52" s="566">
        <v>6.2399999999999997E-2</v>
      </c>
      <c r="N52" s="563" t="s">
        <v>341</v>
      </c>
      <c r="O52" s="563"/>
      <c r="P52" s="566" t="str">
        <f>VLOOKUP(A52,'[1]Raw data'!$B:$BB,23,FALSE)</f>
        <v>JPY</v>
      </c>
      <c r="Q52" s="563" t="str">
        <f>VLOOKUP(A52,'[1]Raw data'!$B:$Z,2,FALSE)</f>
        <v>C49SZX20190052SS</v>
      </c>
      <c r="R52" s="563" t="str">
        <f>VLOOKUP(A52,'[1]Raw data'!$B:$Z,3,FALSE)</f>
        <v>乐上</v>
      </c>
      <c r="S52" s="563" t="str">
        <f>VLOOKUP(A52,'[1]Raw data'!$B:$Z,4,FALSE)</f>
        <v>YSM10</v>
      </c>
      <c r="T52" s="563" t="str">
        <f>VLOOKUP(A52,'[1]Raw data'!$B:$Z,8,FALSE)</f>
        <v>L-&gt;R</v>
      </c>
      <c r="U52" s="563" t="str">
        <f>VLOOKUP(A52,'[1]Raw data'!$B:$Z,9,FALSE)</f>
        <v>MVC</v>
      </c>
      <c r="V52" s="567" t="str">
        <f t="shared" si="9"/>
        <v>WRONG</v>
      </c>
      <c r="W52" s="563" t="str">
        <f>VLOOKUP(A52,'[1]Raw data'!$B:$AG,32,FALSE)</f>
        <v>DAP东莞</v>
      </c>
      <c r="X52" s="563">
        <f>VLOOKUP(A52,'[1]Raw data'!$B:$BA,31,FALSE)</f>
        <v>43567</v>
      </c>
      <c r="Y52" s="563" t="str">
        <f>VLOOKUP(A52,'[1]Raw data'!$B:$AS,39,FALSE)</f>
        <v>Yes</v>
      </c>
      <c r="Z52" s="568" t="s">
        <v>290</v>
      </c>
      <c r="AA52" s="569" t="s">
        <v>290</v>
      </c>
      <c r="AB52" s="570"/>
      <c r="AC52" s="563" t="s">
        <v>291</v>
      </c>
      <c r="AN52" s="542"/>
      <c r="AO52" s="824" t="str">
        <f t="shared" si="1"/>
        <v>Yes</v>
      </c>
      <c r="AP52" s="259" t="str">
        <f t="shared" si="2"/>
        <v>APR 19</v>
      </c>
      <c r="AQ52" s="542" t="str">
        <f t="shared" si="3"/>
        <v>有定金+有預留客戶</v>
      </c>
      <c r="AR52" s="259" t="str">
        <f t="shared" si="4"/>
        <v>Shipped_Stock</v>
      </c>
      <c r="AS52" s="259" t="str">
        <f t="shared" si="5"/>
        <v/>
      </c>
      <c r="AT52" s="259" t="str">
        <f t="shared" si="6"/>
        <v>乐上</v>
      </c>
      <c r="AU52" s="259" t="str">
        <f t="shared" si="7"/>
        <v>C49SZX20190052SS</v>
      </c>
      <c r="AV52" s="259" t="str">
        <f t="shared" si="8"/>
        <v>Oct-12</v>
      </c>
    </row>
    <row r="53" spans="1:69" ht="13.5" hidden="1" customHeight="1">
      <c r="A53" s="559">
        <v>282</v>
      </c>
      <c r="B53" s="563" t="s">
        <v>280</v>
      </c>
      <c r="C53" s="560" t="s">
        <v>281</v>
      </c>
      <c r="D53" s="564">
        <v>109381</v>
      </c>
      <c r="E53" s="563" t="s">
        <v>236</v>
      </c>
      <c r="F53" s="563" t="s">
        <v>17</v>
      </c>
      <c r="G53" s="563" t="s">
        <v>24</v>
      </c>
      <c r="H53" s="563" t="s">
        <v>26</v>
      </c>
      <c r="I53" s="564" t="s">
        <v>379</v>
      </c>
      <c r="J53" s="564">
        <v>1</v>
      </c>
      <c r="K53" s="563" t="s">
        <v>285</v>
      </c>
      <c r="L53" s="565">
        <v>43385</v>
      </c>
      <c r="M53" s="566">
        <v>6.2399999999999997E-2</v>
      </c>
      <c r="N53" s="563" t="s">
        <v>341</v>
      </c>
      <c r="O53" s="563"/>
      <c r="P53" s="566" t="str">
        <f>VLOOKUP(A53,'[1]Raw data'!$B:$BB,23,FALSE)</f>
        <v>JPY</v>
      </c>
      <c r="Q53" s="563" t="str">
        <f>VLOOKUP(A53,'[1]Raw data'!$B:$Z,2,FALSE)</f>
        <v>C49SZX20190052SS</v>
      </c>
      <c r="R53" s="563" t="str">
        <f>VLOOKUP(A53,'[1]Raw data'!$B:$Z,3,FALSE)</f>
        <v>乐上</v>
      </c>
      <c r="S53" s="563" t="str">
        <f>VLOOKUP(A53,'[1]Raw data'!$B:$Z,4,FALSE)</f>
        <v>YSM10</v>
      </c>
      <c r="T53" s="563" t="str">
        <f>VLOOKUP(A53,'[1]Raw data'!$B:$Z,8,FALSE)</f>
        <v>L-&gt;R</v>
      </c>
      <c r="U53" s="563" t="str">
        <f>VLOOKUP(A53,'[1]Raw data'!$B:$Z,9,FALSE)</f>
        <v>MVC</v>
      </c>
      <c r="V53" s="567" t="str">
        <f t="shared" si="9"/>
        <v>WRONG</v>
      </c>
      <c r="W53" s="563" t="str">
        <f>VLOOKUP(A53,'[1]Raw data'!$B:$AG,32,FALSE)</f>
        <v>DAP东莞</v>
      </c>
      <c r="X53" s="563">
        <f>VLOOKUP(A53,'[1]Raw data'!$B:$BA,31,FALSE)</f>
        <v>43567</v>
      </c>
      <c r="Y53" s="563" t="str">
        <f>VLOOKUP(A53,'[1]Raw data'!$B:$AS,39,FALSE)</f>
        <v>Yes</v>
      </c>
      <c r="Z53" s="568" t="s">
        <v>329</v>
      </c>
      <c r="AA53" s="569" t="s">
        <v>329</v>
      </c>
      <c r="AB53" s="570"/>
      <c r="AC53" s="563" t="s">
        <v>291</v>
      </c>
      <c r="AN53" s="542"/>
      <c r="AO53" s="824" t="str">
        <f t="shared" si="1"/>
        <v>Yes</v>
      </c>
      <c r="AP53" s="259" t="str">
        <f t="shared" si="2"/>
        <v>APR 19</v>
      </c>
      <c r="AQ53" s="542" t="str">
        <f t="shared" si="3"/>
        <v>有定金+有預留客戶</v>
      </c>
      <c r="AR53" s="259" t="str">
        <f t="shared" si="4"/>
        <v>Shipped_Stock</v>
      </c>
      <c r="AS53" s="259" t="str">
        <f t="shared" si="5"/>
        <v/>
      </c>
      <c r="AT53" s="259" t="str">
        <f t="shared" si="6"/>
        <v>乐上</v>
      </c>
      <c r="AU53" s="259" t="str">
        <f t="shared" si="7"/>
        <v>C49SZX20190052SS</v>
      </c>
      <c r="AV53" s="259" t="str">
        <f t="shared" si="8"/>
        <v>Oct-12</v>
      </c>
    </row>
    <row r="54" spans="1:69" ht="15" hidden="1" customHeight="1">
      <c r="A54" s="559">
        <v>298</v>
      </c>
      <c r="B54" s="563" t="s">
        <v>280</v>
      </c>
      <c r="C54" s="560" t="s">
        <v>281</v>
      </c>
      <c r="D54" s="564">
        <v>109381</v>
      </c>
      <c r="E54" s="563" t="s">
        <v>236</v>
      </c>
      <c r="F54" s="563" t="s">
        <v>17</v>
      </c>
      <c r="G54" s="563" t="s">
        <v>24</v>
      </c>
      <c r="H54" s="563" t="s">
        <v>26</v>
      </c>
      <c r="I54" s="564" t="s">
        <v>380</v>
      </c>
      <c r="J54" s="564">
        <v>1</v>
      </c>
      <c r="K54" s="563" t="s">
        <v>285</v>
      </c>
      <c r="L54" s="565">
        <v>43385</v>
      </c>
      <c r="M54" s="566">
        <v>6.2399999999999997E-2</v>
      </c>
      <c r="N54" s="563" t="s">
        <v>381</v>
      </c>
      <c r="O54" s="563"/>
      <c r="P54" s="566" t="str">
        <f>VLOOKUP(A54,'[1]Raw data'!$B:$BB,23,FALSE)</f>
        <v>JPY</v>
      </c>
      <c r="Q54" s="563" t="str">
        <f>VLOOKUP(A54,'[1]Raw data'!$B:$Z,2,FALSE)</f>
        <v>C49SZX20190061JL</v>
      </c>
      <c r="R54" s="563" t="str">
        <f>VLOOKUP(A54,'[1]Raw data'!$B:$Z,3,FALSE)</f>
        <v>微力创/end user 昶达</v>
      </c>
      <c r="S54" s="563" t="str">
        <f>VLOOKUP(A54,'[1]Raw data'!$B:$Z,4,FALSE)</f>
        <v>YSM10</v>
      </c>
      <c r="T54" s="563" t="str">
        <f>VLOOKUP(A54,'[1]Raw data'!$B:$Z,8,FALSE)</f>
        <v>L-&gt;R</v>
      </c>
      <c r="U54" s="563" t="str">
        <f>VLOOKUP(A54,'[1]Raw data'!$B:$Z,9,FALSE)</f>
        <v>MVC</v>
      </c>
      <c r="V54" s="567" t="str">
        <f t="shared" si="9"/>
        <v>WRONG</v>
      </c>
      <c r="W54" s="563" t="str">
        <f>VLOOKUP(A54,'[1]Raw data'!$B:$AG,32,FALSE)</f>
        <v>CIF HK</v>
      </c>
      <c r="X54" s="563">
        <f>VLOOKUP(A54,'[1]Raw data'!$B:$BA,31,FALSE)</f>
        <v>43582</v>
      </c>
      <c r="Y54" s="563" t="str">
        <f>VLOOKUP(A54,'[1]Raw data'!$B:$AS,39,FALSE)</f>
        <v>Yes</v>
      </c>
      <c r="Z54" s="568" t="s">
        <v>329</v>
      </c>
      <c r="AA54" s="569" t="s">
        <v>329</v>
      </c>
      <c r="AB54" s="570"/>
      <c r="AC54" s="563" t="s">
        <v>382</v>
      </c>
      <c r="AN54" s="542"/>
      <c r="AO54" s="824" t="str">
        <f t="shared" si="1"/>
        <v>Yes</v>
      </c>
      <c r="AP54" s="259" t="str">
        <f t="shared" si="2"/>
        <v>MAY 19</v>
      </c>
      <c r="AQ54" s="542" t="str">
        <f t="shared" si="3"/>
        <v>有定金+有預留客戶</v>
      </c>
      <c r="AR54" s="259" t="str">
        <f t="shared" si="4"/>
        <v>Shipped_Stock</v>
      </c>
      <c r="AS54" s="259" t="str">
        <f t="shared" si="5"/>
        <v/>
      </c>
      <c r="AT54" s="259" t="str">
        <f t="shared" si="6"/>
        <v>微力创/end user 昶达</v>
      </c>
      <c r="AU54" s="259" t="str">
        <f t="shared" si="7"/>
        <v>C49SZX20190061JL</v>
      </c>
      <c r="AV54" s="259" t="str">
        <f t="shared" si="8"/>
        <v>Oct-12</v>
      </c>
    </row>
    <row r="55" spans="1:69" ht="15" hidden="1" customHeight="1">
      <c r="A55" s="559">
        <v>243</v>
      </c>
      <c r="B55" s="563" t="s">
        <v>280</v>
      </c>
      <c r="C55" s="560" t="s">
        <v>281</v>
      </c>
      <c r="D55" s="564">
        <v>109381</v>
      </c>
      <c r="E55" s="563" t="s">
        <v>236</v>
      </c>
      <c r="F55" s="563" t="s">
        <v>17</v>
      </c>
      <c r="G55" s="563" t="s">
        <v>24</v>
      </c>
      <c r="H55" s="563" t="s">
        <v>26</v>
      </c>
      <c r="I55" s="564" t="s">
        <v>383</v>
      </c>
      <c r="J55" s="564">
        <v>1</v>
      </c>
      <c r="K55" s="563" t="s">
        <v>285</v>
      </c>
      <c r="L55" s="565">
        <v>43385</v>
      </c>
      <c r="M55" s="566">
        <v>6.2399999999999997E-2</v>
      </c>
      <c r="N55" s="563" t="s">
        <v>334</v>
      </c>
      <c r="O55" s="563"/>
      <c r="P55" s="566" t="str">
        <f>VLOOKUP(A55,'[1]Raw data'!$B:$BB,23,FALSE)</f>
        <v>JPY</v>
      </c>
      <c r="Q55" s="563" t="str">
        <f>VLOOKUP(A55,'[1]Raw data'!$B:$Z,2,FALSE)</f>
        <v>C49SZX20190023SS</v>
      </c>
      <c r="R55" s="563" t="str">
        <f>VLOOKUP(A55,'[1]Raw data'!$B:$Z,3,FALSE)</f>
        <v>世启纳</v>
      </c>
      <c r="S55" s="563" t="str">
        <f>VLOOKUP(A55,'[1]Raw data'!$B:$Z,4,FALSE)</f>
        <v>YSM10</v>
      </c>
      <c r="T55" s="563" t="str">
        <f>VLOOKUP(A55,'[1]Raw data'!$B:$Z,8,FALSE)</f>
        <v>R-&gt;L</v>
      </c>
      <c r="U55" s="563" t="str">
        <f>VLOOKUP(A55,'[1]Raw data'!$B:$Z,9,FALSE)</f>
        <v>MVC</v>
      </c>
      <c r="V55" s="567" t="str">
        <f t="shared" si="9"/>
        <v>WRONG</v>
      </c>
      <c r="W55" s="563" t="str">
        <f>VLOOKUP(A55,'[1]Raw data'!$B:$AG,32,FALSE)</f>
        <v>DAP 深圳</v>
      </c>
      <c r="X55" s="563">
        <f>VLOOKUP(A55,'[1]Raw data'!$B:$BA,31,FALSE)</f>
        <v>43523</v>
      </c>
      <c r="Y55" s="563" t="str">
        <f>VLOOKUP(A55,'[1]Raw data'!$B:$AS,39,FALSE)</f>
        <v>Yes</v>
      </c>
      <c r="Z55" s="568"/>
      <c r="AA55" s="569" t="s">
        <v>329</v>
      </c>
      <c r="AB55" s="570"/>
      <c r="AC55" s="563" t="s">
        <v>291</v>
      </c>
      <c r="AN55" s="542"/>
      <c r="AO55" s="824" t="str">
        <f t="shared" si="1"/>
        <v>Yes</v>
      </c>
      <c r="AP55" s="259" t="str">
        <f t="shared" si="2"/>
        <v>MAR 19</v>
      </c>
      <c r="AQ55" s="542" t="str">
        <f t="shared" si="3"/>
        <v>有定金+有預留客戶</v>
      </c>
      <c r="AR55" s="259" t="str">
        <f t="shared" si="4"/>
        <v>Shipped_Stock</v>
      </c>
      <c r="AS55" s="259" t="str">
        <f t="shared" si="5"/>
        <v/>
      </c>
      <c r="AT55" s="259" t="str">
        <f t="shared" si="6"/>
        <v>世启纳</v>
      </c>
      <c r="AU55" s="259" t="str">
        <f t="shared" si="7"/>
        <v>C49SZX20190023SS</v>
      </c>
      <c r="AV55" s="259" t="str">
        <f t="shared" si="8"/>
        <v>Oct-12</v>
      </c>
    </row>
    <row r="56" spans="1:69" ht="15" hidden="1" customHeight="1">
      <c r="A56" s="559">
        <v>266</v>
      </c>
      <c r="B56" s="563" t="s">
        <v>280</v>
      </c>
      <c r="C56" s="560" t="s">
        <v>281</v>
      </c>
      <c r="D56" s="564">
        <v>109413</v>
      </c>
      <c r="E56" s="563" t="s">
        <v>236</v>
      </c>
      <c r="F56" s="563" t="s">
        <v>17</v>
      </c>
      <c r="G56" s="563" t="s">
        <v>24</v>
      </c>
      <c r="H56" s="563" t="s">
        <v>27</v>
      </c>
      <c r="I56" s="564" t="s">
        <v>384</v>
      </c>
      <c r="J56" s="564">
        <v>1</v>
      </c>
      <c r="K56" s="563" t="s">
        <v>285</v>
      </c>
      <c r="L56" s="565">
        <v>43385</v>
      </c>
      <c r="M56" s="566">
        <v>6.2399999999999997E-2</v>
      </c>
      <c r="N56" s="563" t="s">
        <v>341</v>
      </c>
      <c r="O56" s="563"/>
      <c r="P56" s="566" t="str">
        <f>VLOOKUP(A56,'[1]Raw data'!$B:$BB,23,FALSE)</f>
        <v>JPY</v>
      </c>
      <c r="Q56" s="563" t="str">
        <f>VLOOKUP(A56,'[1]Raw data'!$B:$Z,2,FALSE)</f>
        <v>C49SZX20190032SX</v>
      </c>
      <c r="R56" s="563" t="str">
        <f>VLOOKUP(A56,'[1]Raw data'!$B:$Z,3,FALSE)</f>
        <v>凌鑫</v>
      </c>
      <c r="S56" s="563" t="str">
        <f>VLOOKUP(A56,'[1]Raw data'!$B:$Z,4,FALSE)</f>
        <v>YSM10</v>
      </c>
      <c r="T56" s="563" t="str">
        <f>VLOOKUP(A56,'[1]Raw data'!$B:$Z,8,FALSE)</f>
        <v>L-&gt;R</v>
      </c>
      <c r="U56" s="563" t="str">
        <f>VLOOKUP(A56,'[1]Raw data'!$B:$Z,9,FALSE)</f>
        <v>MVC</v>
      </c>
      <c r="V56" s="567" t="str">
        <f t="shared" si="9"/>
        <v>OK</v>
      </c>
      <c r="W56" s="563" t="str">
        <f>VLOOKUP(A56,'[1]Raw data'!$B:$AG,32,FALSE)</f>
        <v>DAP 深圳</v>
      </c>
      <c r="X56" s="563">
        <f>VLOOKUP(A56,'[1]Raw data'!$B:$BA,31,FALSE)</f>
        <v>43545</v>
      </c>
      <c r="Y56" s="563" t="str">
        <f>VLOOKUP(A56,'[1]Raw data'!$B:$AS,39,FALSE)</f>
        <v>Yes</v>
      </c>
      <c r="Z56" s="568" t="s">
        <v>290</v>
      </c>
      <c r="AA56" s="569" t="s">
        <v>290</v>
      </c>
      <c r="AB56" s="570"/>
      <c r="AC56" s="563" t="s">
        <v>291</v>
      </c>
      <c r="AN56" s="542"/>
      <c r="AO56" s="824" t="str">
        <f t="shared" si="1"/>
        <v>Yes</v>
      </c>
      <c r="AP56" s="259" t="str">
        <f t="shared" si="2"/>
        <v>APR 19</v>
      </c>
      <c r="AQ56" s="542" t="str">
        <f t="shared" si="3"/>
        <v>有定金+有預留客戶</v>
      </c>
      <c r="AR56" s="259" t="str">
        <f t="shared" si="4"/>
        <v>Shipped_Stock</v>
      </c>
      <c r="AS56" s="259" t="str">
        <f t="shared" si="5"/>
        <v/>
      </c>
      <c r="AT56" s="259" t="str">
        <f t="shared" si="6"/>
        <v>凌鑫</v>
      </c>
      <c r="AU56" s="259" t="str">
        <f t="shared" si="7"/>
        <v>C49SZX20190032SX</v>
      </c>
      <c r="AV56" s="259" t="str">
        <f t="shared" si="8"/>
        <v>Oct-12</v>
      </c>
    </row>
    <row r="57" spans="1:69" ht="12.75" hidden="1" customHeight="1">
      <c r="A57" s="559">
        <v>242</v>
      </c>
      <c r="B57" s="563" t="s">
        <v>280</v>
      </c>
      <c r="C57" s="560" t="s">
        <v>281</v>
      </c>
      <c r="D57" s="564">
        <v>109413</v>
      </c>
      <c r="E57" s="563" t="s">
        <v>236</v>
      </c>
      <c r="F57" s="563" t="s">
        <v>17</v>
      </c>
      <c r="G57" s="563" t="s">
        <v>24</v>
      </c>
      <c r="H57" s="563" t="s">
        <v>26</v>
      </c>
      <c r="I57" s="564" t="s">
        <v>385</v>
      </c>
      <c r="J57" s="564">
        <v>1</v>
      </c>
      <c r="K57" s="563" t="s">
        <v>285</v>
      </c>
      <c r="L57" s="565">
        <v>43385</v>
      </c>
      <c r="M57" s="566">
        <v>6.2399999999999997E-2</v>
      </c>
      <c r="N57" s="563" t="s">
        <v>334</v>
      </c>
      <c r="O57" s="563"/>
      <c r="P57" s="566" t="str">
        <f>VLOOKUP(A57,'[1]Raw data'!$B:$BB,23,FALSE)</f>
        <v>JPY</v>
      </c>
      <c r="Q57" s="563" t="str">
        <f>VLOOKUP(A57,'[1]Raw data'!$B:$Z,2,FALSE)</f>
        <v>C49SZX20190023SS</v>
      </c>
      <c r="R57" s="563" t="str">
        <f>VLOOKUP(A57,'[1]Raw data'!$B:$Z,3,FALSE)</f>
        <v>世启纳</v>
      </c>
      <c r="S57" s="563" t="str">
        <f>VLOOKUP(A57,'[1]Raw data'!$B:$Z,4,FALSE)</f>
        <v>YSM10</v>
      </c>
      <c r="T57" s="563" t="str">
        <f>VLOOKUP(A57,'[1]Raw data'!$B:$Z,8,FALSE)</f>
        <v>L-&gt;R</v>
      </c>
      <c r="U57" s="563" t="str">
        <f>VLOOKUP(A57,'[1]Raw data'!$B:$Z,9,FALSE)</f>
        <v>MVC</v>
      </c>
      <c r="V57" s="567" t="str">
        <f t="shared" si="9"/>
        <v>WRONG</v>
      </c>
      <c r="W57" s="563" t="str">
        <f>VLOOKUP(A57,'[1]Raw data'!$B:$AG,32,FALSE)</f>
        <v>DAP 深圳</v>
      </c>
      <c r="X57" s="563">
        <f>VLOOKUP(A57,'[1]Raw data'!$B:$BA,31,FALSE)</f>
        <v>43523</v>
      </c>
      <c r="Y57" s="563" t="str">
        <f>VLOOKUP(A57,'[1]Raw data'!$B:$AS,39,FALSE)</f>
        <v>Yes</v>
      </c>
      <c r="Z57" s="568"/>
      <c r="AA57" s="569" t="s">
        <v>329</v>
      </c>
      <c r="AB57" s="570"/>
      <c r="AC57" s="563" t="s">
        <v>291</v>
      </c>
      <c r="AN57" s="542"/>
      <c r="AO57" s="824" t="str">
        <f t="shared" si="1"/>
        <v>Yes</v>
      </c>
      <c r="AP57" s="259" t="str">
        <f t="shared" si="2"/>
        <v>MAR 19</v>
      </c>
      <c r="AQ57" s="542" t="str">
        <f t="shared" si="3"/>
        <v>有定金+有預留客戶</v>
      </c>
      <c r="AR57" s="259" t="str">
        <f t="shared" si="4"/>
        <v>Shipped_Stock</v>
      </c>
      <c r="AS57" s="259" t="str">
        <f t="shared" si="5"/>
        <v/>
      </c>
      <c r="AT57" s="259" t="str">
        <f t="shared" si="6"/>
        <v>世启纳</v>
      </c>
      <c r="AU57" s="259" t="str">
        <f t="shared" si="7"/>
        <v>C49SZX20190023SS</v>
      </c>
      <c r="AV57" s="259" t="str">
        <f t="shared" si="8"/>
        <v>Oct-12</v>
      </c>
    </row>
    <row r="58" spans="1:69" ht="15" hidden="1" customHeight="1">
      <c r="A58" s="559">
        <v>48</v>
      </c>
      <c r="B58" s="563" t="s">
        <v>280</v>
      </c>
      <c r="C58" s="560" t="s">
        <v>281</v>
      </c>
      <c r="D58" s="564">
        <v>109331</v>
      </c>
      <c r="E58" s="563" t="s">
        <v>386</v>
      </c>
      <c r="F58" s="563" t="s">
        <v>256</v>
      </c>
      <c r="G58" s="563" t="s">
        <v>24</v>
      </c>
      <c r="H58" s="563" t="s">
        <v>27</v>
      </c>
      <c r="I58" s="564" t="s">
        <v>387</v>
      </c>
      <c r="J58" s="564">
        <v>1</v>
      </c>
      <c r="K58" s="563" t="s">
        <v>388</v>
      </c>
      <c r="L58" s="565">
        <v>43405</v>
      </c>
      <c r="M58" s="566">
        <v>6.1600000000000002E-2</v>
      </c>
      <c r="N58" s="563" t="s">
        <v>345</v>
      </c>
      <c r="P58" s="566" t="str">
        <f>VLOOKUP(A58,'[1]Raw data'!$B:$BB,23,FALSE)</f>
        <v>JPY</v>
      </c>
      <c r="Q58" s="563" t="str">
        <f>VLOOKUP(A58,'[1]Raw data'!$B:$Z,2,FALSE)</f>
        <v>C49SZX20180070SX</v>
      </c>
      <c r="R58" s="563" t="str">
        <f>VLOOKUP(A58,'[1]Raw data'!$B:$Z,3,FALSE)</f>
        <v>永顺创（Sales accurel in Oct)</v>
      </c>
      <c r="S58" s="563" t="str">
        <f>VLOOKUP(A58,'[1]Raw data'!$B:$Z,4,FALSE)</f>
        <v>YSM20-2</v>
      </c>
      <c r="T58" s="563" t="str">
        <f>VLOOKUP(A58,'[1]Raw data'!$B:$Z,8,FALSE)</f>
        <v>L-&gt;R</v>
      </c>
      <c r="U58" s="563" t="str">
        <f>VLOOKUP(A58,'[1]Raw data'!$B:$Z,9,FALSE)</f>
        <v>MVC</v>
      </c>
      <c r="V58" s="567" t="str">
        <f t="shared" si="9"/>
        <v>OK</v>
      </c>
      <c r="W58" s="563" t="str">
        <f>VLOOKUP(A58,'[1]Raw data'!$B:$AG,32,FALSE)</f>
        <v>DAP SZ</v>
      </c>
      <c r="X58" s="563">
        <f>VLOOKUP(A58,'[1]Raw data'!$B:$BA,31,FALSE)</f>
        <v>43208</v>
      </c>
      <c r="Y58" s="563" t="str">
        <f>VLOOKUP(A58,'[1]Raw data'!$B:$AS,39,FALSE)</f>
        <v>Yes</v>
      </c>
      <c r="Z58" s="568" t="s">
        <v>290</v>
      </c>
      <c r="AA58" s="569" t="s">
        <v>290</v>
      </c>
      <c r="AB58" s="570" t="s">
        <v>389</v>
      </c>
      <c r="AC58" s="563" t="s">
        <v>291</v>
      </c>
      <c r="AN58" s="542"/>
      <c r="AO58" s="824" t="str">
        <f t="shared" si="1"/>
        <v>Yes</v>
      </c>
      <c r="AP58" s="259" t="str">
        <f t="shared" si="2"/>
        <v>NOV 18</v>
      </c>
      <c r="AQ58" s="542" t="str">
        <f t="shared" si="3"/>
        <v>有定金+有預留客戶</v>
      </c>
      <c r="AR58" s="259" t="str">
        <f t="shared" si="4"/>
        <v>Shipped_Stock</v>
      </c>
      <c r="AS58" s="259" t="str">
        <f t="shared" si="5"/>
        <v/>
      </c>
      <c r="AT58" s="259" t="str">
        <f t="shared" si="6"/>
        <v>永顺创（Sales accurel in Oct)</v>
      </c>
      <c r="AU58" s="259" t="str">
        <f t="shared" si="7"/>
        <v>C49SZX20180070SX</v>
      </c>
      <c r="AV58" s="259" t="str">
        <f t="shared" si="8"/>
        <v>Nov-01</v>
      </c>
    </row>
    <row r="59" spans="1:69" ht="15" hidden="1" customHeight="1">
      <c r="A59" s="559">
        <v>49</v>
      </c>
      <c r="B59" s="563" t="s">
        <v>280</v>
      </c>
      <c r="C59" s="560" t="s">
        <v>281</v>
      </c>
      <c r="D59" s="564">
        <v>109331</v>
      </c>
      <c r="E59" s="563" t="s">
        <v>386</v>
      </c>
      <c r="F59" s="563" t="s">
        <v>256</v>
      </c>
      <c r="G59" s="563" t="s">
        <v>24</v>
      </c>
      <c r="H59" s="563" t="s">
        <v>27</v>
      </c>
      <c r="I59" s="564" t="s">
        <v>390</v>
      </c>
      <c r="J59" s="564">
        <v>1</v>
      </c>
      <c r="K59" s="563" t="s">
        <v>388</v>
      </c>
      <c r="L59" s="565">
        <v>43405</v>
      </c>
      <c r="M59" s="566">
        <v>6.1600000000000002E-2</v>
      </c>
      <c r="N59" s="563" t="s">
        <v>345</v>
      </c>
      <c r="P59" s="566" t="str">
        <f>VLOOKUP(A59,'[1]Raw data'!$B:$BB,23,FALSE)</f>
        <v>JPY</v>
      </c>
      <c r="Q59" s="563" t="str">
        <f>VLOOKUP(A59,'[1]Raw data'!$B:$Z,2,FALSE)</f>
        <v>C49SZX20180070SX</v>
      </c>
      <c r="R59" s="563" t="str">
        <f>VLOOKUP(A59,'[1]Raw data'!$B:$Z,3,FALSE)</f>
        <v>永顺创（Sales accurel in Oct)</v>
      </c>
      <c r="S59" s="563" t="str">
        <f>VLOOKUP(A59,'[1]Raw data'!$B:$Z,4,FALSE)</f>
        <v>YSM20-2</v>
      </c>
      <c r="T59" s="563" t="str">
        <f>VLOOKUP(A59,'[1]Raw data'!$B:$Z,8,FALSE)</f>
        <v>L-&gt;R</v>
      </c>
      <c r="U59" s="563" t="str">
        <f>VLOOKUP(A59,'[1]Raw data'!$B:$Z,9,FALSE)</f>
        <v>MVC</v>
      </c>
      <c r="V59" s="567" t="str">
        <f t="shared" si="9"/>
        <v>OK</v>
      </c>
      <c r="W59" s="563" t="str">
        <f>VLOOKUP(A59,'[1]Raw data'!$B:$AG,32,FALSE)</f>
        <v>DAP SZ</v>
      </c>
      <c r="X59" s="563">
        <f>VLOOKUP(A59,'[1]Raw data'!$B:$BA,31,FALSE)</f>
        <v>43208</v>
      </c>
      <c r="Y59" s="563" t="str">
        <f>VLOOKUP(A59,'[1]Raw data'!$B:$AS,39,FALSE)</f>
        <v>Yes</v>
      </c>
      <c r="Z59" s="568" t="s">
        <v>290</v>
      </c>
      <c r="AA59" s="569" t="s">
        <v>290</v>
      </c>
      <c r="AB59" s="570" t="s">
        <v>389</v>
      </c>
      <c r="AC59" s="563" t="s">
        <v>291</v>
      </c>
      <c r="AN59" s="542"/>
      <c r="AO59" s="824" t="str">
        <f t="shared" si="1"/>
        <v>Yes</v>
      </c>
      <c r="AP59" s="259" t="str">
        <f t="shared" si="2"/>
        <v>NOV 18</v>
      </c>
      <c r="AQ59" s="542" t="str">
        <f t="shared" si="3"/>
        <v>有定金+有預留客戶</v>
      </c>
      <c r="AR59" s="259" t="str">
        <f t="shared" si="4"/>
        <v>Shipped_Stock</v>
      </c>
      <c r="AS59" s="259" t="str">
        <f t="shared" si="5"/>
        <v/>
      </c>
      <c r="AT59" s="259" t="str">
        <f t="shared" si="6"/>
        <v>永顺创（Sales accurel in Oct)</v>
      </c>
      <c r="AU59" s="259" t="str">
        <f t="shared" si="7"/>
        <v>C49SZX20180070SX</v>
      </c>
      <c r="AV59" s="259" t="str">
        <f t="shared" si="8"/>
        <v>Nov-01</v>
      </c>
    </row>
    <row r="60" spans="1:69" ht="15" hidden="1" customHeight="1">
      <c r="A60" s="559">
        <v>127</v>
      </c>
      <c r="B60" s="563" t="s">
        <v>280</v>
      </c>
      <c r="C60" s="560" t="s">
        <v>281</v>
      </c>
      <c r="D60" s="564">
        <v>109288</v>
      </c>
      <c r="E60" s="563" t="s">
        <v>391</v>
      </c>
      <c r="F60" s="563" t="s">
        <v>256</v>
      </c>
      <c r="G60" s="563" t="s">
        <v>24</v>
      </c>
      <c r="H60" s="563" t="s">
        <v>26</v>
      </c>
      <c r="I60" s="564" t="s">
        <v>392</v>
      </c>
      <c r="J60" s="564">
        <v>1</v>
      </c>
      <c r="K60" s="563" t="s">
        <v>388</v>
      </c>
      <c r="L60" s="565">
        <v>43407</v>
      </c>
      <c r="M60" s="566">
        <v>6.1600000000000002E-2</v>
      </c>
      <c r="N60" s="563" t="s">
        <v>345</v>
      </c>
      <c r="P60" s="566" t="str">
        <f>VLOOKUP(A60,'[1]Raw data'!$B:$BB,23,FALSE)</f>
        <v>JPY</v>
      </c>
      <c r="Q60" s="563" t="str">
        <f>VLOOKUP(A60,'[1]Raw data'!$B:$Z,2,FALSE)</f>
        <v>C49SZX20180135SX</v>
      </c>
      <c r="R60" s="563" t="str">
        <f>VLOOKUP(A60,'[1]Raw data'!$B:$Z,3,FALSE)</f>
        <v>兴开泰</v>
      </c>
      <c r="S60" s="563" t="str">
        <f>VLOOKUP(A60,'[1]Raw data'!$B:$Z,4,FALSE)</f>
        <v>YSM20R(SV)-2</v>
      </c>
      <c r="T60" s="563" t="str">
        <f>VLOOKUP(A60,'[1]Raw data'!$B:$Z,8,FALSE)</f>
        <v>L-&gt;R</v>
      </c>
      <c r="U60" s="563" t="str">
        <f>VLOOKUP(A60,'[1]Raw data'!$B:$Z,9,FALSE)</f>
        <v>No</v>
      </c>
      <c r="V60" s="567" t="str">
        <f t="shared" si="9"/>
        <v>OK</v>
      </c>
      <c r="W60" s="563" t="str">
        <f>VLOOKUP(A60,'[1]Raw data'!$B:$AG,32,FALSE)</f>
        <v xml:space="preserve">CIF </v>
      </c>
      <c r="X60" s="563">
        <f>VLOOKUP(A60,'[1]Raw data'!$B:$BA,31,FALSE)</f>
        <v>43341</v>
      </c>
      <c r="Y60" s="563" t="str">
        <f>VLOOKUP(A60,'[1]Raw data'!$B:$AS,39,FALSE)</f>
        <v>Yes</v>
      </c>
      <c r="Z60" s="568" t="s">
        <v>329</v>
      </c>
      <c r="AA60" s="569" t="s">
        <v>329</v>
      </c>
      <c r="AB60" s="570"/>
      <c r="AC60" s="563" t="s">
        <v>291</v>
      </c>
      <c r="AN60" s="542"/>
      <c r="AO60" s="824" t="str">
        <f t="shared" si="1"/>
        <v>Yes</v>
      </c>
      <c r="AP60" s="259" t="str">
        <f t="shared" si="2"/>
        <v>NOV 18</v>
      </c>
      <c r="AQ60" s="542" t="str">
        <f t="shared" si="3"/>
        <v>有定金+有預留客戶</v>
      </c>
      <c r="AR60" s="259" t="str">
        <f t="shared" si="4"/>
        <v>Shipped_Stock</v>
      </c>
      <c r="AS60" s="259" t="str">
        <f t="shared" si="5"/>
        <v/>
      </c>
      <c r="AT60" s="259" t="str">
        <f t="shared" si="6"/>
        <v>兴开泰</v>
      </c>
      <c r="AU60" s="259" t="str">
        <f t="shared" si="7"/>
        <v>C49SZX20180135SX</v>
      </c>
      <c r="AV60" s="259" t="str">
        <f t="shared" si="8"/>
        <v>Nov-03</v>
      </c>
    </row>
    <row r="61" spans="1:69" ht="13.5" hidden="1" customHeight="1">
      <c r="A61" s="559">
        <v>128</v>
      </c>
      <c r="B61" s="563" t="s">
        <v>280</v>
      </c>
      <c r="C61" s="560" t="s">
        <v>281</v>
      </c>
      <c r="D61" s="564">
        <v>109288</v>
      </c>
      <c r="E61" s="563" t="s">
        <v>391</v>
      </c>
      <c r="F61" s="563" t="s">
        <v>256</v>
      </c>
      <c r="G61" s="563" t="s">
        <v>24</v>
      </c>
      <c r="H61" s="563" t="s">
        <v>26</v>
      </c>
      <c r="I61" s="564" t="s">
        <v>393</v>
      </c>
      <c r="J61" s="564">
        <v>1</v>
      </c>
      <c r="K61" s="563" t="s">
        <v>388</v>
      </c>
      <c r="L61" s="565">
        <v>43407</v>
      </c>
      <c r="M61" s="566">
        <v>6.1600000000000002E-2</v>
      </c>
      <c r="N61" s="563" t="s">
        <v>345</v>
      </c>
      <c r="P61" s="566" t="str">
        <f>VLOOKUP(A61,'[1]Raw data'!$B:$BB,23,FALSE)</f>
        <v>JPY</v>
      </c>
      <c r="Q61" s="563" t="str">
        <f>VLOOKUP(A61,'[1]Raw data'!$B:$Z,2,FALSE)</f>
        <v>C49SZX20180135SX</v>
      </c>
      <c r="R61" s="563" t="str">
        <f>VLOOKUP(A61,'[1]Raw data'!$B:$Z,3,FALSE)</f>
        <v>兴开泰</v>
      </c>
      <c r="S61" s="563" t="str">
        <f>VLOOKUP(A61,'[1]Raw data'!$B:$Z,4,FALSE)</f>
        <v>YSM20R(SV)-2</v>
      </c>
      <c r="T61" s="563" t="str">
        <f>VLOOKUP(A61,'[1]Raw data'!$B:$Z,8,FALSE)</f>
        <v>L-&gt;R</v>
      </c>
      <c r="U61" s="563" t="str">
        <f>VLOOKUP(A61,'[1]Raw data'!$B:$Z,9,FALSE)</f>
        <v>No</v>
      </c>
      <c r="V61" s="567" t="str">
        <f t="shared" si="9"/>
        <v>OK</v>
      </c>
      <c r="W61" s="563" t="str">
        <f>VLOOKUP(A61,'[1]Raw data'!$B:$AG,32,FALSE)</f>
        <v xml:space="preserve">CIF </v>
      </c>
      <c r="X61" s="563">
        <f>VLOOKUP(A61,'[1]Raw data'!$B:$BA,31,FALSE)</f>
        <v>43341</v>
      </c>
      <c r="Y61" s="563" t="str">
        <f>VLOOKUP(A61,'[1]Raw data'!$B:$AS,39,FALSE)</f>
        <v>Yes</v>
      </c>
      <c r="Z61" s="568" t="s">
        <v>329</v>
      </c>
      <c r="AA61" s="569" t="s">
        <v>329</v>
      </c>
      <c r="AB61" s="570"/>
      <c r="AC61" s="563" t="s">
        <v>291</v>
      </c>
      <c r="AN61" s="542"/>
      <c r="AO61" s="824" t="str">
        <f t="shared" si="1"/>
        <v>Yes</v>
      </c>
      <c r="AP61" s="259" t="str">
        <f t="shared" si="2"/>
        <v>NOV 18</v>
      </c>
      <c r="AQ61" s="542" t="str">
        <f t="shared" si="3"/>
        <v>有定金+有預留客戶</v>
      </c>
      <c r="AR61" s="259" t="str">
        <f t="shared" si="4"/>
        <v>Shipped_Stock</v>
      </c>
      <c r="AS61" s="259" t="str">
        <f t="shared" si="5"/>
        <v/>
      </c>
      <c r="AT61" s="259" t="str">
        <f t="shared" si="6"/>
        <v>兴开泰</v>
      </c>
      <c r="AU61" s="259" t="str">
        <f t="shared" si="7"/>
        <v>C49SZX20180135SX</v>
      </c>
      <c r="AV61" s="259" t="str">
        <f t="shared" si="8"/>
        <v>Nov-03</v>
      </c>
    </row>
    <row r="62" spans="1:69" ht="15" hidden="1" customHeight="1">
      <c r="A62" s="559">
        <v>423</v>
      </c>
      <c r="B62" s="563" t="s">
        <v>280</v>
      </c>
      <c r="C62" s="560" t="s">
        <v>281</v>
      </c>
      <c r="D62" s="564">
        <v>109308</v>
      </c>
      <c r="E62" s="563" t="s">
        <v>394</v>
      </c>
      <c r="F62" s="563" t="s">
        <v>256</v>
      </c>
      <c r="G62" s="563" t="s">
        <v>24</v>
      </c>
      <c r="H62" s="563" t="s">
        <v>176</v>
      </c>
      <c r="I62" s="564" t="s">
        <v>395</v>
      </c>
      <c r="J62" s="564">
        <v>1</v>
      </c>
      <c r="K62" s="563" t="s">
        <v>295</v>
      </c>
      <c r="L62" s="565">
        <v>43415</v>
      </c>
      <c r="M62" s="566">
        <v>6.1600000000000002E-2</v>
      </c>
      <c r="N62" s="563" t="s">
        <v>320</v>
      </c>
      <c r="P62" s="566" t="str">
        <f>VLOOKUP(A62,'[1]Raw data'!$B:$BB,23,FALSE)</f>
        <v>RMB</v>
      </c>
      <c r="Q62" s="563" t="str">
        <f>VLOOKUP(A62,'[1]Raw data'!$B:$Z,2,FALSE)</f>
        <v>C49SZX20190135SX</v>
      </c>
      <c r="R62" s="563" t="str">
        <f>VLOOKUP(A62,'[1]Raw data'!$B:$Z,3,FALSE)</f>
        <v>迅丰</v>
      </c>
      <c r="S62" s="563" t="str">
        <f>VLOOKUP(A62,'[1]Raw data'!$B:$Z,4,FALSE)</f>
        <v>YSM20R(SV)-2</v>
      </c>
      <c r="T62" s="563" t="str">
        <f>VLOOKUP(A62,'[1]Raw data'!$B:$Z,8,FALSE)</f>
        <v>L-&gt;R</v>
      </c>
      <c r="U62" s="563" t="str">
        <f>VLOOKUP(A62,'[1]Raw data'!$B:$Z,9,FALSE)</f>
        <v>cATS10+MVC+special layout</v>
      </c>
      <c r="V62" s="567" t="str">
        <f t="shared" si="9"/>
        <v>WRONG</v>
      </c>
      <c r="W62" s="563" t="str">
        <f>VLOOKUP(A62,'[1]Raw data'!$B:$AG,32,FALSE)</f>
        <v>含税到厂</v>
      </c>
      <c r="X62" s="563">
        <f>VLOOKUP(A62,'[1]Raw data'!$B:$BA,31,FALSE)</f>
        <v>43715</v>
      </c>
      <c r="Y62" s="563" t="str">
        <f>VLOOKUP(A62,'[1]Raw data'!$B:$AS,39,FALSE)</f>
        <v>Yes</v>
      </c>
      <c r="Z62" s="568" t="s">
        <v>290</v>
      </c>
      <c r="AA62" s="569" t="s">
        <v>290</v>
      </c>
      <c r="AB62" s="570"/>
      <c r="AC62" s="563" t="s">
        <v>396</v>
      </c>
      <c r="AN62" s="542"/>
      <c r="AO62" s="824" t="str">
        <f t="shared" si="1"/>
        <v>Yes</v>
      </c>
      <c r="AP62" s="259" t="str">
        <f t="shared" si="2"/>
        <v>SEP 19</v>
      </c>
      <c r="AQ62" s="542" t="str">
        <f t="shared" si="3"/>
        <v>有定金+有預留客戶</v>
      </c>
      <c r="AR62" s="259" t="str">
        <f t="shared" si="4"/>
        <v>Shipped_Stock</v>
      </c>
      <c r="AS62" s="259" t="str">
        <f t="shared" si="5"/>
        <v/>
      </c>
      <c r="AT62" s="259" t="str">
        <f t="shared" si="6"/>
        <v>迅丰</v>
      </c>
      <c r="AU62" s="259" t="str">
        <f t="shared" si="7"/>
        <v>C49SZX20190135SX</v>
      </c>
      <c r="AV62" s="259" t="str">
        <f t="shared" si="8"/>
        <v>Nov-11</v>
      </c>
    </row>
    <row r="63" spans="1:69" ht="15" hidden="1" customHeight="1">
      <c r="A63" s="559">
        <v>429</v>
      </c>
      <c r="B63" s="563" t="s">
        <v>280</v>
      </c>
      <c r="C63" s="560" t="s">
        <v>281</v>
      </c>
      <c r="D63" s="564">
        <v>109308</v>
      </c>
      <c r="E63" s="563" t="s">
        <v>394</v>
      </c>
      <c r="F63" s="563" t="s">
        <v>256</v>
      </c>
      <c r="G63" s="563" t="s">
        <v>24</v>
      </c>
      <c r="H63" s="563" t="s">
        <v>176</v>
      </c>
      <c r="I63" s="564" t="s">
        <v>397</v>
      </c>
      <c r="J63" s="564">
        <v>1</v>
      </c>
      <c r="K63" s="563" t="s">
        <v>295</v>
      </c>
      <c r="L63" s="565">
        <v>43415</v>
      </c>
      <c r="M63" s="566">
        <v>6.1600000000000002E-2</v>
      </c>
      <c r="N63" s="563" t="s">
        <v>320</v>
      </c>
      <c r="P63" s="566" t="str">
        <f>VLOOKUP(A63,'[1]Raw data'!$B:$BB,23,FALSE)</f>
        <v>RMB</v>
      </c>
      <c r="Q63" s="563" t="str">
        <f>VLOOKUP(A63,'[1]Raw data'!$B:$Z,2,FALSE)</f>
        <v>C49SZX201900131JL</v>
      </c>
      <c r="R63" s="563" t="str">
        <f>VLOOKUP(A63,'[1]Raw data'!$B:$Z,3,FALSE)</f>
        <v>杉川/end user:放德劲</v>
      </c>
      <c r="S63" s="563" t="str">
        <f>VLOOKUP(A63,'[1]Raw data'!$B:$Z,4,FALSE)</f>
        <v>YSM20R(SV)-2</v>
      </c>
      <c r="T63" s="563" t="str">
        <f>VLOOKUP(A63,'[1]Raw data'!$B:$Z,8,FALSE)</f>
        <v>L-&gt;R</v>
      </c>
      <c r="U63" s="563" t="str">
        <f>VLOOKUP(A63,'[1]Raw data'!$B:$Z,9,FALSE)</f>
        <v>cATS10+MVC+special layout</v>
      </c>
      <c r="V63" s="567" t="str">
        <f t="shared" si="9"/>
        <v>WRONG</v>
      </c>
      <c r="W63" s="563" t="str">
        <f>VLOOKUP(A63,'[1]Raw data'!$B:$AG,32,FALSE)</f>
        <v>含税到厂</v>
      </c>
      <c r="X63" s="563">
        <f>VLOOKUP(A63,'[1]Raw data'!$B:$BA,31,FALSE)</f>
        <v>43717</v>
      </c>
      <c r="Y63" s="563" t="str">
        <f>VLOOKUP(A63,'[1]Raw data'!$B:$AS,39,FALSE)</f>
        <v>Yes</v>
      </c>
      <c r="Z63" s="568"/>
      <c r="AA63" s="569"/>
      <c r="AB63" s="570"/>
      <c r="AC63" s="563" t="s">
        <v>398</v>
      </c>
      <c r="AN63" s="542"/>
      <c r="AO63" s="824" t="str">
        <f t="shared" si="1"/>
        <v>Yes</v>
      </c>
      <c r="AP63" s="259" t="str">
        <f t="shared" si="2"/>
        <v>SEP 19</v>
      </c>
      <c r="AQ63" s="542" t="str">
        <f t="shared" si="3"/>
        <v>有定金+有預留客戶</v>
      </c>
      <c r="AR63" s="259" t="str">
        <f t="shared" si="4"/>
        <v>Shipped_Stock</v>
      </c>
      <c r="AS63" s="259" t="str">
        <f t="shared" si="5"/>
        <v/>
      </c>
      <c r="AT63" s="259" t="str">
        <f t="shared" si="6"/>
        <v>杉川/end user:放德劲</v>
      </c>
      <c r="AU63" s="259" t="str">
        <f t="shared" si="7"/>
        <v>C49SZX201900131JL</v>
      </c>
      <c r="AV63" s="259" t="str">
        <f t="shared" si="8"/>
        <v>Nov-11</v>
      </c>
    </row>
    <row r="64" spans="1:69" ht="15" hidden="1" customHeight="1">
      <c r="A64" s="559">
        <v>246</v>
      </c>
      <c r="B64" s="563" t="s">
        <v>280</v>
      </c>
      <c r="C64" s="560" t="s">
        <v>281</v>
      </c>
      <c r="D64" s="564">
        <v>109295</v>
      </c>
      <c r="E64" s="563" t="s">
        <v>236</v>
      </c>
      <c r="F64" s="563" t="s">
        <v>17</v>
      </c>
      <c r="G64" s="563" t="s">
        <v>24</v>
      </c>
      <c r="H64" s="563" t="s">
        <v>26</v>
      </c>
      <c r="I64" s="564" t="s">
        <v>399</v>
      </c>
      <c r="J64" s="564">
        <v>1</v>
      </c>
      <c r="K64" s="563" t="s">
        <v>285</v>
      </c>
      <c r="L64" s="565">
        <v>43418</v>
      </c>
      <c r="M64" s="566">
        <v>6.2799999999999995E-2</v>
      </c>
      <c r="N64" s="563" t="s">
        <v>381</v>
      </c>
      <c r="O64" s="563"/>
      <c r="P64" s="566" t="str">
        <f>VLOOKUP(A64,'[1]Raw data'!$B:$BB,23,FALSE)</f>
        <v>JPY</v>
      </c>
      <c r="Q64" s="563" t="str">
        <f>VLOOKUP(A64,'[1]Raw data'!$B:$Z,2,FALSE)</f>
        <v>C49SZX20190031MZ</v>
      </c>
      <c r="R64" s="563" t="str">
        <f>VLOOKUP(A64,'[1]Raw data'!$B:$Z,3,FALSE)</f>
        <v>鸿南</v>
      </c>
      <c r="S64" s="563" t="str">
        <f>VLOOKUP(A64,'[1]Raw data'!$B:$Z,4,FALSE)</f>
        <v>YSM10</v>
      </c>
      <c r="T64" s="563" t="str">
        <f>VLOOKUP(A64,'[1]Raw data'!$B:$Z,8,FALSE)</f>
        <v>R-&gt;L</v>
      </c>
      <c r="U64" s="563" t="str">
        <f>VLOOKUP(A64,'[1]Raw data'!$B:$Z,9,FALSE)</f>
        <v>MVC</v>
      </c>
      <c r="V64" s="567" t="str">
        <f t="shared" si="9"/>
        <v>WRONG</v>
      </c>
      <c r="W64" s="563" t="str">
        <f>VLOOKUP(A64,'[1]Raw data'!$B:$AG,32,FALSE)</f>
        <v>CIF HK</v>
      </c>
      <c r="X64" s="563">
        <f>VLOOKUP(A64,'[1]Raw data'!$B:$BA,31,FALSE)</f>
        <v>43532</v>
      </c>
      <c r="Y64" s="563" t="str">
        <f>VLOOKUP(A64,'[1]Raw data'!$B:$AS,39,FALSE)</f>
        <v>Yes</v>
      </c>
      <c r="Z64" s="568" t="s">
        <v>329</v>
      </c>
      <c r="AA64" s="569" t="s">
        <v>329</v>
      </c>
      <c r="AB64" s="570"/>
      <c r="AC64" s="563" t="s">
        <v>400</v>
      </c>
      <c r="AN64" s="542"/>
      <c r="AO64" s="824" t="str">
        <f t="shared" si="1"/>
        <v>Yes</v>
      </c>
      <c r="AP64" s="259" t="str">
        <f t="shared" si="2"/>
        <v>MAY 19</v>
      </c>
      <c r="AQ64" s="542" t="str">
        <f t="shared" si="3"/>
        <v>有定金+有預留客戶</v>
      </c>
      <c r="AR64" s="259" t="str">
        <f t="shared" si="4"/>
        <v>Shipped_Stock</v>
      </c>
      <c r="AS64" s="259" t="str">
        <f t="shared" si="5"/>
        <v/>
      </c>
      <c r="AT64" s="259" t="str">
        <f t="shared" si="6"/>
        <v>鸿南</v>
      </c>
      <c r="AU64" s="259" t="str">
        <f t="shared" si="7"/>
        <v>C49SZX20190031MZ</v>
      </c>
      <c r="AV64" s="259" t="str">
        <f t="shared" si="8"/>
        <v>Nov-14</v>
      </c>
    </row>
    <row r="65" spans="1:48" ht="13.5" hidden="1" customHeight="1">
      <c r="A65" s="559">
        <v>247</v>
      </c>
      <c r="B65" s="563" t="s">
        <v>280</v>
      </c>
      <c r="C65" s="560" t="s">
        <v>281</v>
      </c>
      <c r="D65" s="564">
        <v>109295</v>
      </c>
      <c r="E65" s="563" t="s">
        <v>236</v>
      </c>
      <c r="F65" s="563" t="s">
        <v>17</v>
      </c>
      <c r="G65" s="563" t="s">
        <v>24</v>
      </c>
      <c r="H65" s="563" t="s">
        <v>26</v>
      </c>
      <c r="I65" s="564" t="s">
        <v>401</v>
      </c>
      <c r="J65" s="564">
        <v>1</v>
      </c>
      <c r="K65" s="563" t="s">
        <v>285</v>
      </c>
      <c r="L65" s="565">
        <v>43418</v>
      </c>
      <c r="M65" s="566">
        <v>6.2799999999999995E-2</v>
      </c>
      <c r="N65" s="563" t="s">
        <v>381</v>
      </c>
      <c r="O65" s="563"/>
      <c r="P65" s="566" t="str">
        <f>VLOOKUP(A65,'[1]Raw data'!$B:$BB,23,FALSE)</f>
        <v>JPY</v>
      </c>
      <c r="Q65" s="563" t="str">
        <f>VLOOKUP(A65,'[1]Raw data'!$B:$Z,2,FALSE)</f>
        <v>C49SZX20190031MZ</v>
      </c>
      <c r="R65" s="563" t="str">
        <f>VLOOKUP(A65,'[1]Raw data'!$B:$Z,3,FALSE)</f>
        <v>鸿南</v>
      </c>
      <c r="S65" s="563" t="str">
        <f>VLOOKUP(A65,'[1]Raw data'!$B:$Z,4,FALSE)</f>
        <v>YSM10</v>
      </c>
      <c r="T65" s="563" t="str">
        <f>VLOOKUP(A65,'[1]Raw data'!$B:$Z,8,FALSE)</f>
        <v>R-&gt;L</v>
      </c>
      <c r="U65" s="563" t="str">
        <f>VLOOKUP(A65,'[1]Raw data'!$B:$Z,9,FALSE)</f>
        <v>MVC</v>
      </c>
      <c r="V65" s="567" t="str">
        <f t="shared" si="9"/>
        <v>WRONG</v>
      </c>
      <c r="W65" s="563" t="str">
        <f>VLOOKUP(A65,'[1]Raw data'!$B:$AG,32,FALSE)</f>
        <v>CIF HK</v>
      </c>
      <c r="X65" s="563">
        <f>VLOOKUP(A65,'[1]Raw data'!$B:$BA,31,FALSE)</f>
        <v>43532</v>
      </c>
      <c r="Y65" s="563" t="str">
        <f>VLOOKUP(A65,'[1]Raw data'!$B:$AS,39,FALSE)</f>
        <v>Yes</v>
      </c>
      <c r="Z65" s="568" t="s">
        <v>329</v>
      </c>
      <c r="AA65" s="569" t="s">
        <v>329</v>
      </c>
      <c r="AB65" s="570"/>
      <c r="AC65" s="563" t="s">
        <v>400</v>
      </c>
      <c r="AN65" s="542"/>
      <c r="AO65" s="824" t="str">
        <f t="shared" si="1"/>
        <v>Yes</v>
      </c>
      <c r="AP65" s="259" t="str">
        <f t="shared" si="2"/>
        <v>MAY 19</v>
      </c>
      <c r="AQ65" s="542" t="str">
        <f t="shared" si="3"/>
        <v>有定金+有預留客戶</v>
      </c>
      <c r="AR65" s="259" t="str">
        <f t="shared" si="4"/>
        <v>Shipped_Stock</v>
      </c>
      <c r="AS65" s="259" t="str">
        <f t="shared" si="5"/>
        <v/>
      </c>
      <c r="AT65" s="259" t="str">
        <f t="shared" si="6"/>
        <v>鸿南</v>
      </c>
      <c r="AU65" s="259" t="str">
        <f t="shared" si="7"/>
        <v>C49SZX20190031MZ</v>
      </c>
      <c r="AV65" s="259" t="str">
        <f t="shared" si="8"/>
        <v>Nov-14</v>
      </c>
    </row>
    <row r="66" spans="1:48" ht="15" hidden="1" customHeight="1">
      <c r="A66" s="559" t="s">
        <v>402</v>
      </c>
      <c r="B66" s="563" t="s">
        <v>280</v>
      </c>
      <c r="C66" s="560" t="s">
        <v>281</v>
      </c>
      <c r="D66" s="564">
        <v>109295</v>
      </c>
      <c r="E66" s="563" t="s">
        <v>236</v>
      </c>
      <c r="F66" s="563" t="s">
        <v>17</v>
      </c>
      <c r="G66" s="563" t="s">
        <v>24</v>
      </c>
      <c r="H66" s="563" t="s">
        <v>26</v>
      </c>
      <c r="I66" s="564" t="s">
        <v>403</v>
      </c>
      <c r="J66" s="564">
        <v>1</v>
      </c>
      <c r="K66" s="563" t="s">
        <v>295</v>
      </c>
      <c r="L66" s="565">
        <v>43418</v>
      </c>
      <c r="M66" s="566">
        <v>6.2799999999999995E-2</v>
      </c>
      <c r="N66" s="563" t="s">
        <v>404</v>
      </c>
      <c r="O66" s="563"/>
      <c r="P66" s="566" t="e">
        <f>VLOOKUP(A66,'[1]Raw data'!$B:$BB,23,FALSE)</f>
        <v>#N/A</v>
      </c>
      <c r="Q66" s="563" t="e">
        <f>VLOOKUP(A66,'[1]Raw data'!$B:$Z,2,FALSE)</f>
        <v>#N/A</v>
      </c>
      <c r="R66" s="563" t="e">
        <f>VLOOKUP(A66,'[1]Raw data'!$B:$Z,3,FALSE)</f>
        <v>#N/A</v>
      </c>
      <c r="S66" s="563" t="e">
        <f>VLOOKUP(A66,'[1]Raw data'!$B:$Z,4,FALSE)</f>
        <v>#N/A</v>
      </c>
      <c r="T66" s="563" t="e">
        <f>VLOOKUP(A66,'[1]Raw data'!$B:$Z,8,FALSE)</f>
        <v>#N/A</v>
      </c>
      <c r="U66" s="563" t="e">
        <f>VLOOKUP(A66,'[1]Raw data'!$B:$Z,9,FALSE)</f>
        <v>#N/A</v>
      </c>
      <c r="V66" s="567" t="e">
        <f t="shared" ref="V66:V97" si="10">IF(G66&amp;H66=T66&amp;U66,"OK","WRONG")</f>
        <v>#N/A</v>
      </c>
      <c r="W66" s="563" t="e">
        <f>VLOOKUP(A66,'[1]Raw data'!$B:$AG,32,FALSE)</f>
        <v>#N/A</v>
      </c>
      <c r="X66" s="563" t="e">
        <f>VLOOKUP(A66,'[1]Raw data'!$B:$BA,31,FALSE)</f>
        <v>#N/A</v>
      </c>
      <c r="Y66" s="563" t="e">
        <f>VLOOKUP(A66,'[1]Raw data'!$B:$AS,39,FALSE)</f>
        <v>#N/A</v>
      </c>
      <c r="Z66" s="568">
        <v>43252</v>
      </c>
      <c r="AA66" s="569">
        <v>43266</v>
      </c>
      <c r="AB66" s="570"/>
      <c r="AC66" s="563" t="s">
        <v>405</v>
      </c>
      <c r="AN66" s="542"/>
      <c r="AO66" s="824" t="str">
        <f t="shared" si="1"/>
        <v>No</v>
      </c>
      <c r="AP66" s="259" t="str">
        <f t="shared" si="2"/>
        <v>JUN 19</v>
      </c>
      <c r="AQ66" s="542" t="str">
        <f t="shared" si="3"/>
        <v>无定金+有預留客戶</v>
      </c>
      <c r="AR66" s="259" t="str">
        <f t="shared" si="4"/>
        <v>Shipped_Stock</v>
      </c>
      <c r="AS66" s="259" t="str">
        <f t="shared" si="5"/>
        <v/>
      </c>
      <c r="AT66" s="259" t="str">
        <f t="shared" si="6"/>
        <v>-</v>
      </c>
      <c r="AU66" s="259" t="str">
        <f t="shared" si="7"/>
        <v>-</v>
      </c>
      <c r="AV66" s="259" t="str">
        <f t="shared" si="8"/>
        <v>Nov-14</v>
      </c>
    </row>
    <row r="67" spans="1:48" ht="15" hidden="1" customHeight="1">
      <c r="A67" s="559">
        <v>344</v>
      </c>
      <c r="B67" s="563" t="s">
        <v>280</v>
      </c>
      <c r="C67" s="560" t="s">
        <v>281</v>
      </c>
      <c r="D67" s="564">
        <v>109295</v>
      </c>
      <c r="E67" s="563" t="s">
        <v>236</v>
      </c>
      <c r="F67" s="563" t="s">
        <v>17</v>
      </c>
      <c r="G67" s="563" t="s">
        <v>24</v>
      </c>
      <c r="H67" s="563" t="s">
        <v>26</v>
      </c>
      <c r="I67" s="564" t="s">
        <v>406</v>
      </c>
      <c r="J67" s="564">
        <v>1</v>
      </c>
      <c r="K67" s="563" t="s">
        <v>295</v>
      </c>
      <c r="L67" s="565">
        <v>43418</v>
      </c>
      <c r="M67" s="566">
        <v>6.2799999999999995E-2</v>
      </c>
      <c r="N67" s="563" t="s">
        <v>404</v>
      </c>
      <c r="O67" s="563"/>
      <c r="P67" s="566" t="str">
        <f>VLOOKUP(A67,'[1]Raw data'!$B:$BB,23,FALSE)</f>
        <v>RMB</v>
      </c>
      <c r="Q67" s="563" t="str">
        <f>VLOOKUP(A67,'[1]Raw data'!$B:$Z,2,FALSE)</f>
        <v>C49SZX20190091JL</v>
      </c>
      <c r="R67" s="563" t="str">
        <f>VLOOKUP(A67,'[1]Raw data'!$B:$Z,3,FALSE)</f>
        <v>达人高科</v>
      </c>
      <c r="S67" s="563" t="str">
        <f>VLOOKUP(A67,'[1]Raw data'!$B:$Z,4,FALSE)</f>
        <v>YSM10</v>
      </c>
      <c r="T67" s="563" t="str">
        <f>VLOOKUP(A67,'[1]Raw data'!$B:$Z,8,FALSE)</f>
        <v>L-&gt;R</v>
      </c>
      <c r="U67" s="563" t="str">
        <f>VLOOKUP(A67,'[1]Raw data'!$B:$Z,9,FALSE)</f>
        <v>No</v>
      </c>
      <c r="V67" s="567" t="str">
        <f t="shared" si="10"/>
        <v>OK</v>
      </c>
      <c r="W67" s="563" t="str">
        <f>VLOOKUP(A67,'[1]Raw data'!$B:$AG,32,FALSE)</f>
        <v>含税到厂</v>
      </c>
      <c r="X67" s="563">
        <f>VLOOKUP(A67,'[1]Raw data'!$B:$BA,31,FALSE)</f>
        <v>43622</v>
      </c>
      <c r="Y67" s="563" t="str">
        <f>VLOOKUP(A67,'[1]Raw data'!$B:$AS,39,FALSE)</f>
        <v>Yes</v>
      </c>
      <c r="Z67" s="568" t="s">
        <v>329</v>
      </c>
      <c r="AA67" s="569" t="s">
        <v>329</v>
      </c>
      <c r="AB67" s="570"/>
      <c r="AC67" s="563" t="s">
        <v>407</v>
      </c>
      <c r="AN67" s="542"/>
      <c r="AO67" s="824" t="str">
        <f t="shared" ref="AO67:AO130" si="11">IFERROR(IF(Y67&lt;&gt;"",Y67,"No"),"No")</f>
        <v>Yes</v>
      </c>
      <c r="AP67" s="259" t="str">
        <f t="shared" ref="AP67:AP130" si="12">IFERROR(IF(N67&lt;&gt;"",N67,"blank"),"NA")</f>
        <v>JUN 19</v>
      </c>
      <c r="AQ67" s="542" t="str">
        <f t="shared" ref="AQ67:AQ130" si="13">IFERROR(IF(AND(AO67="Yes", AP67&lt;&gt;"blank"), "有定金+有預留客戶", IF(AND(AO67="Yes", AP67="blank"), "有定金+无客戶送貨期", IF(AND(OR(AO67="No", ISBLANK(AO67), AO67="NA"), AP67&lt;&gt;"blank"), "无定金+有預留客戶", IF(AND(OR(AO67="No", ISBLANK(AO67), AO67="NA"), AP67="blank"), "无定金+无預留客戶", "")))), "")</f>
        <v>有定金+有預留客戶</v>
      </c>
      <c r="AR67" s="259" t="str">
        <f t="shared" ref="AR67:AR130" si="14">IFERROR(IF(B67="已经到货", "Instock", IF(B67="有交期", "Incoming_Stock_With_YAMAHA_Schedule", IF(B67="TBA.", "Incoming_Stock_No_YAMAHA_Schedule", IF(B67="已发货", "Shipped_Stock", "")))), "")</f>
        <v>Shipped_Stock</v>
      </c>
      <c r="AS67" s="259" t="str">
        <f t="shared" ref="AS67:AS130" si="15">IF(AND(B67="有交期", L67&lt;&gt;""), L67, "")</f>
        <v/>
      </c>
      <c r="AT67" s="259" t="str">
        <f t="shared" ref="AT67:AT130" si="16">IFERROR(IF(R67&lt;&gt;"",R67),"-")</f>
        <v>达人高科</v>
      </c>
      <c r="AU67" s="259" t="str">
        <f t="shared" ref="AU67:AU130" si="17">IFERROR(IF(Q67&lt;&gt;"",Q67),"-")</f>
        <v>C49SZX20190091JL</v>
      </c>
      <c r="AV67" s="259" t="str">
        <f t="shared" ref="AV67:AV130" si="18">IF(L67="","-",TEXT(L67,"mmm-dd"))</f>
        <v>Nov-14</v>
      </c>
    </row>
    <row r="68" spans="1:48" ht="15" hidden="1" customHeight="1">
      <c r="A68" s="559">
        <v>345</v>
      </c>
      <c r="B68" s="563" t="s">
        <v>280</v>
      </c>
      <c r="C68" s="560" t="s">
        <v>281</v>
      </c>
      <c r="D68" s="564">
        <v>109295</v>
      </c>
      <c r="E68" s="563" t="s">
        <v>236</v>
      </c>
      <c r="F68" s="563" t="s">
        <v>17</v>
      </c>
      <c r="G68" s="563" t="s">
        <v>24</v>
      </c>
      <c r="H68" s="563" t="s">
        <v>26</v>
      </c>
      <c r="I68" s="564" t="s">
        <v>408</v>
      </c>
      <c r="J68" s="564">
        <v>1</v>
      </c>
      <c r="K68" s="563" t="s">
        <v>295</v>
      </c>
      <c r="L68" s="565">
        <v>43418</v>
      </c>
      <c r="M68" s="566">
        <v>6.2799999999999995E-2</v>
      </c>
      <c r="N68" s="563" t="s">
        <v>404</v>
      </c>
      <c r="O68" s="563"/>
      <c r="P68" s="566" t="str">
        <f>VLOOKUP(A68,'[1]Raw data'!$B:$BB,23,FALSE)</f>
        <v>RMB</v>
      </c>
      <c r="Q68" s="563" t="str">
        <f>VLOOKUP(A68,'[1]Raw data'!$B:$Z,2,FALSE)</f>
        <v>C49SZX20190091JL</v>
      </c>
      <c r="R68" s="563" t="str">
        <f>VLOOKUP(A68,'[1]Raw data'!$B:$Z,3,FALSE)</f>
        <v>达人高科</v>
      </c>
      <c r="S68" s="563" t="str">
        <f>VLOOKUP(A68,'[1]Raw data'!$B:$Z,4,FALSE)</f>
        <v>YSM10</v>
      </c>
      <c r="T68" s="563" t="str">
        <f>VLOOKUP(A68,'[1]Raw data'!$B:$Z,8,FALSE)</f>
        <v>R-&gt;L</v>
      </c>
      <c r="U68" s="563" t="str">
        <f>VLOOKUP(A68,'[1]Raw data'!$B:$Z,9,FALSE)</f>
        <v>No</v>
      </c>
      <c r="V68" s="567" t="str">
        <f t="shared" si="10"/>
        <v>WRONG</v>
      </c>
      <c r="W68" s="563" t="str">
        <f>VLOOKUP(A68,'[1]Raw data'!$B:$AG,32,FALSE)</f>
        <v>含税到厂</v>
      </c>
      <c r="X68" s="563">
        <f>VLOOKUP(A68,'[1]Raw data'!$B:$BA,31,FALSE)</f>
        <v>43622</v>
      </c>
      <c r="Y68" s="563" t="str">
        <f>VLOOKUP(A68,'[1]Raw data'!$B:$AS,39,FALSE)</f>
        <v>Yes</v>
      </c>
      <c r="Z68" s="568" t="s">
        <v>329</v>
      </c>
      <c r="AA68" s="569" t="s">
        <v>329</v>
      </c>
      <c r="AB68" s="570"/>
      <c r="AC68" s="563" t="s">
        <v>407</v>
      </c>
      <c r="AN68" s="542"/>
      <c r="AO68" s="824" t="str">
        <f t="shared" si="11"/>
        <v>Yes</v>
      </c>
      <c r="AP68" s="259" t="str">
        <f t="shared" si="12"/>
        <v>JUN 19</v>
      </c>
      <c r="AQ68" s="542" t="str">
        <f t="shared" si="13"/>
        <v>有定金+有預留客戶</v>
      </c>
      <c r="AR68" s="259" t="str">
        <f t="shared" si="14"/>
        <v>Shipped_Stock</v>
      </c>
      <c r="AS68" s="259" t="str">
        <f t="shared" si="15"/>
        <v/>
      </c>
      <c r="AT68" s="259" t="str">
        <f t="shared" si="16"/>
        <v>达人高科</v>
      </c>
      <c r="AU68" s="259" t="str">
        <f t="shared" si="17"/>
        <v>C49SZX20190091JL</v>
      </c>
      <c r="AV68" s="259" t="str">
        <f t="shared" si="18"/>
        <v>Nov-14</v>
      </c>
    </row>
    <row r="69" spans="1:48" ht="15" hidden="1" customHeight="1">
      <c r="A69" s="559">
        <v>355</v>
      </c>
      <c r="B69" s="563" t="s">
        <v>280</v>
      </c>
      <c r="C69" s="560" t="s">
        <v>281</v>
      </c>
      <c r="D69" s="564">
        <v>109295</v>
      </c>
      <c r="E69" s="563" t="s">
        <v>236</v>
      </c>
      <c r="F69" s="563" t="s">
        <v>17</v>
      </c>
      <c r="G69" s="563" t="s">
        <v>24</v>
      </c>
      <c r="H69" s="563" t="s">
        <v>26</v>
      </c>
      <c r="I69" s="564" t="s">
        <v>409</v>
      </c>
      <c r="J69" s="564">
        <v>1</v>
      </c>
      <c r="K69" s="563" t="s">
        <v>295</v>
      </c>
      <c r="L69" s="565">
        <v>43418</v>
      </c>
      <c r="M69" s="566">
        <v>6.2799999999999995E-2</v>
      </c>
      <c r="N69" s="563" t="s">
        <v>404</v>
      </c>
      <c r="O69" s="563"/>
      <c r="P69" s="566" t="str">
        <f>VLOOKUP(A69,'[1]Raw data'!$B:$BB,23,FALSE)</f>
        <v>RMB</v>
      </c>
      <c r="Q69" s="563" t="str">
        <f>VLOOKUP(A69,'[1]Raw data'!$B:$Z,2,FALSE)</f>
        <v>C49SZX20190099SX</v>
      </c>
      <c r="R69" s="563" t="str">
        <f>VLOOKUP(A69,'[1]Raw data'!$B:$Z,3,FALSE)</f>
        <v>柏星</v>
      </c>
      <c r="S69" s="563" t="str">
        <f>VLOOKUP(A69,'[1]Raw data'!$B:$Z,4,FALSE)</f>
        <v>YSM10</v>
      </c>
      <c r="T69" s="563" t="str">
        <f>VLOOKUP(A69,'[1]Raw data'!$B:$Z,8,FALSE)</f>
        <v>L-&gt;R</v>
      </c>
      <c r="U69" s="563" t="str">
        <f>VLOOKUP(A69,'[1]Raw data'!$B:$Z,9,FALSE)</f>
        <v>No</v>
      </c>
      <c r="V69" s="567" t="str">
        <f t="shared" si="10"/>
        <v>OK</v>
      </c>
      <c r="W69" s="563" t="str">
        <f>VLOOKUP(A69,'[1]Raw data'!$B:$AG,32,FALSE)</f>
        <v>含税到厂</v>
      </c>
      <c r="X69" s="563">
        <f>VLOOKUP(A69,'[1]Raw data'!$B:$BA,31,FALSE)</f>
        <v>43634</v>
      </c>
      <c r="Y69" s="563" t="str">
        <f>VLOOKUP(A69,'[1]Raw data'!$B:$AS,39,FALSE)</f>
        <v>Yes</v>
      </c>
      <c r="Z69" s="568" t="s">
        <v>290</v>
      </c>
      <c r="AA69" s="569" t="s">
        <v>290</v>
      </c>
      <c r="AB69" s="570"/>
      <c r="AC69" s="563" t="s">
        <v>410</v>
      </c>
      <c r="AN69" s="542"/>
      <c r="AO69" s="824" t="str">
        <f t="shared" si="11"/>
        <v>Yes</v>
      </c>
      <c r="AP69" s="259" t="str">
        <f t="shared" si="12"/>
        <v>JUN 19</v>
      </c>
      <c r="AQ69" s="542" t="str">
        <f t="shared" si="13"/>
        <v>有定金+有預留客戶</v>
      </c>
      <c r="AR69" s="259" t="str">
        <f t="shared" si="14"/>
        <v>Shipped_Stock</v>
      </c>
      <c r="AS69" s="259" t="str">
        <f t="shared" si="15"/>
        <v/>
      </c>
      <c r="AT69" s="259" t="str">
        <f t="shared" si="16"/>
        <v>柏星</v>
      </c>
      <c r="AU69" s="259" t="str">
        <f t="shared" si="17"/>
        <v>C49SZX20190099SX</v>
      </c>
      <c r="AV69" s="259" t="str">
        <f t="shared" si="18"/>
        <v>Nov-14</v>
      </c>
    </row>
    <row r="70" spans="1:48" ht="15" hidden="1" customHeight="1">
      <c r="A70" s="559">
        <v>15</v>
      </c>
      <c r="B70" s="563" t="s">
        <v>280</v>
      </c>
      <c r="C70" s="560" t="s">
        <v>281</v>
      </c>
      <c r="D70" s="564">
        <v>109421</v>
      </c>
      <c r="E70" s="563" t="s">
        <v>236</v>
      </c>
      <c r="F70" s="563" t="s">
        <v>411</v>
      </c>
      <c r="G70" s="563" t="s">
        <v>24</v>
      </c>
      <c r="H70" s="563" t="s">
        <v>26</v>
      </c>
      <c r="I70" s="587" t="s">
        <v>412</v>
      </c>
      <c r="J70" s="564">
        <v>1</v>
      </c>
      <c r="K70" s="563" t="s">
        <v>311</v>
      </c>
      <c r="L70" s="565">
        <v>43435</v>
      </c>
      <c r="M70" s="566">
        <v>6.25E-2</v>
      </c>
      <c r="N70" s="563" t="s">
        <v>334</v>
      </c>
      <c r="O70" s="563"/>
      <c r="P70" s="566" t="str">
        <f>VLOOKUP(A70,'[1]Raw data'!$B:$BB,23,FALSE)</f>
        <v>JPY</v>
      </c>
      <c r="Q70" s="563" t="str">
        <f>VLOOKUP(A70,'[1]Raw data'!$B:$Z,2,FALSE)</f>
        <v>C49SZX20180033GL</v>
      </c>
      <c r="R70" s="563" t="str">
        <f>VLOOKUP(A70,'[1]Raw data'!$B:$Z,3,FALSE)</f>
        <v>鼎鸿</v>
      </c>
      <c r="S70" s="563" t="str">
        <f>VLOOKUP(A70,'[1]Raw data'!$B:$Z,4,FALSE)</f>
        <v>YS24</v>
      </c>
      <c r="T70" s="563" t="str">
        <f>VLOOKUP(A70,'[1]Raw data'!$B:$Z,8,FALSE)</f>
        <v>L-&gt;R</v>
      </c>
      <c r="U70" s="563" t="str">
        <f>VLOOKUP(A70,'[1]Raw data'!$B:$Z,9,FALSE)</f>
        <v>No</v>
      </c>
      <c r="V70" s="567" t="str">
        <f t="shared" si="10"/>
        <v>OK</v>
      </c>
      <c r="W70" s="563" t="str">
        <f>VLOOKUP(A70,'[1]Raw data'!$B:$AG,32,FALSE)</f>
        <v>CIF</v>
      </c>
      <c r="X70" s="563">
        <f>VLOOKUP(A70,'[1]Raw data'!$B:$BA,31,FALSE)</f>
        <v>43133</v>
      </c>
      <c r="Y70" s="563" t="str">
        <f>VLOOKUP(A70,'[1]Raw data'!$B:$AS,39,FALSE)</f>
        <v>Yes</v>
      </c>
      <c r="Z70" s="568" t="s">
        <v>290</v>
      </c>
      <c r="AA70" s="569" t="s">
        <v>290</v>
      </c>
      <c r="AB70" s="570"/>
      <c r="AC70" s="563" t="s">
        <v>413</v>
      </c>
      <c r="AN70" s="542"/>
      <c r="AO70" s="824" t="str">
        <f t="shared" si="11"/>
        <v>Yes</v>
      </c>
      <c r="AP70" s="259" t="str">
        <f t="shared" si="12"/>
        <v>MAR 19</v>
      </c>
      <c r="AQ70" s="542" t="str">
        <f t="shared" si="13"/>
        <v>有定金+有預留客戶</v>
      </c>
      <c r="AR70" s="259" t="str">
        <f t="shared" si="14"/>
        <v>Shipped_Stock</v>
      </c>
      <c r="AS70" s="259" t="str">
        <f t="shared" si="15"/>
        <v/>
      </c>
      <c r="AT70" s="259" t="str">
        <f t="shared" si="16"/>
        <v>鼎鸿</v>
      </c>
      <c r="AU70" s="259" t="str">
        <f t="shared" si="17"/>
        <v>C49SZX20180033GL</v>
      </c>
      <c r="AV70" s="259" t="str">
        <f t="shared" si="18"/>
        <v>Dec-01</v>
      </c>
    </row>
    <row r="71" spans="1:48" ht="15" hidden="1" customHeight="1">
      <c r="A71" s="559">
        <v>154</v>
      </c>
      <c r="B71" s="563" t="s">
        <v>280</v>
      </c>
      <c r="C71" s="560" t="s">
        <v>281</v>
      </c>
      <c r="D71" s="564">
        <v>109421</v>
      </c>
      <c r="E71" s="563" t="s">
        <v>236</v>
      </c>
      <c r="F71" s="563" t="s">
        <v>411</v>
      </c>
      <c r="G71" s="563" t="s">
        <v>24</v>
      </c>
      <c r="H71" s="563" t="s">
        <v>26</v>
      </c>
      <c r="I71" s="587" t="s">
        <v>414</v>
      </c>
      <c r="J71" s="564">
        <v>1</v>
      </c>
      <c r="K71" s="563" t="s">
        <v>311</v>
      </c>
      <c r="L71" s="565">
        <v>43435</v>
      </c>
      <c r="M71" s="566">
        <v>6.25E-2</v>
      </c>
      <c r="N71" s="563" t="s">
        <v>289</v>
      </c>
      <c r="O71" s="563"/>
      <c r="P71" s="566" t="str">
        <f>VLOOKUP(A71,'[1]Raw data'!$B:$BB,23,FALSE)</f>
        <v>JPY</v>
      </c>
      <c r="Q71" s="563" t="str">
        <f>VLOOKUP(A71,'[1]Raw data'!$B:$Z,2,FALSE)</f>
        <v>C49SZX20180165ZX</v>
      </c>
      <c r="R71" s="563" t="str">
        <f>VLOOKUP(A71,'[1]Raw data'!$B:$Z,3,FALSE)</f>
        <v>格美通</v>
      </c>
      <c r="S71" s="563" t="str">
        <f>VLOOKUP(A71,'[1]Raw data'!$B:$Z,4,FALSE)</f>
        <v>YS24</v>
      </c>
      <c r="T71" s="563" t="str">
        <f>VLOOKUP(A71,'[1]Raw data'!$B:$Z,8,FALSE)</f>
        <v>L-&gt;R</v>
      </c>
      <c r="U71" s="563" t="str">
        <f>VLOOKUP(A71,'[1]Raw data'!$B:$Z,9,FALSE)</f>
        <v>No</v>
      </c>
      <c r="V71" s="567" t="str">
        <f t="shared" si="10"/>
        <v>OK</v>
      </c>
      <c r="W71" s="563" t="str">
        <f>VLOOKUP(A71,'[1]Raw data'!$B:$AG,32,FALSE)</f>
        <v>DAP 深圳</v>
      </c>
      <c r="X71" s="563">
        <f>VLOOKUP(A71,'[1]Raw data'!$B:$BA,31,FALSE)</f>
        <v>43412</v>
      </c>
      <c r="Y71" s="563" t="str">
        <f>VLOOKUP(A71,'[1]Raw data'!$B:$AS,39,FALSE)</f>
        <v>Yes</v>
      </c>
      <c r="Z71" s="568" t="s">
        <v>290</v>
      </c>
      <c r="AA71" s="569" t="s">
        <v>290</v>
      </c>
      <c r="AB71" s="570" t="s">
        <v>415</v>
      </c>
      <c r="AC71" s="563" t="s">
        <v>291</v>
      </c>
      <c r="AN71" s="542"/>
      <c r="AO71" s="824" t="str">
        <f t="shared" si="11"/>
        <v>Yes</v>
      </c>
      <c r="AP71" s="259" t="str">
        <f t="shared" si="12"/>
        <v>DEC 18</v>
      </c>
      <c r="AQ71" s="542" t="str">
        <f t="shared" si="13"/>
        <v>有定金+有預留客戶</v>
      </c>
      <c r="AR71" s="259" t="str">
        <f t="shared" si="14"/>
        <v>Shipped_Stock</v>
      </c>
      <c r="AS71" s="259" t="str">
        <f t="shared" si="15"/>
        <v/>
      </c>
      <c r="AT71" s="259" t="str">
        <f t="shared" si="16"/>
        <v>格美通</v>
      </c>
      <c r="AU71" s="259" t="str">
        <f t="shared" si="17"/>
        <v>C49SZX20180165ZX</v>
      </c>
      <c r="AV71" s="259" t="str">
        <f t="shared" si="18"/>
        <v>Dec-01</v>
      </c>
    </row>
    <row r="72" spans="1:48" ht="15" hidden="1" customHeight="1">
      <c r="A72" s="559">
        <v>291</v>
      </c>
      <c r="B72" s="563" t="s">
        <v>280</v>
      </c>
      <c r="C72" s="560" t="s">
        <v>281</v>
      </c>
      <c r="D72" s="564">
        <v>109421</v>
      </c>
      <c r="E72" s="563" t="s">
        <v>236</v>
      </c>
      <c r="F72" s="563" t="s">
        <v>411</v>
      </c>
      <c r="G72" s="563" t="s">
        <v>24</v>
      </c>
      <c r="H72" s="563" t="s">
        <v>26</v>
      </c>
      <c r="I72" s="587" t="s">
        <v>416</v>
      </c>
      <c r="J72" s="564">
        <v>1</v>
      </c>
      <c r="K72" s="563" t="s">
        <v>285</v>
      </c>
      <c r="L72" s="565">
        <v>43435</v>
      </c>
      <c r="M72" s="566">
        <v>6.25E-2</v>
      </c>
      <c r="N72" s="563" t="s">
        <v>417</v>
      </c>
      <c r="O72" s="563"/>
      <c r="P72" s="566" t="str">
        <f>VLOOKUP(A72,'[1]Raw data'!$B:$BB,23,FALSE)</f>
        <v>JPY</v>
      </c>
      <c r="Q72" s="563" t="str">
        <f>VLOOKUP(A72,'[1]Raw data'!$B:$Z,2,FALSE)</f>
        <v>C49SZX20190060DZ</v>
      </c>
      <c r="R72" s="563" t="str">
        <f>VLOOKUP(A72,'[1]Raw data'!$B:$Z,3,FALSE)</f>
        <v>宝捷</v>
      </c>
      <c r="S72" s="563" t="str">
        <f>VLOOKUP(A72,'[1]Raw data'!$B:$Z,4,FALSE)</f>
        <v>YS24</v>
      </c>
      <c r="T72" s="563" t="str">
        <f>VLOOKUP(A72,'[1]Raw data'!$B:$Z,8,FALSE)</f>
        <v>L-&gt;R</v>
      </c>
      <c r="U72" s="563" t="str">
        <f>VLOOKUP(A72,'[1]Raw data'!$B:$Z,9,FALSE)</f>
        <v>MVC</v>
      </c>
      <c r="V72" s="567" t="str">
        <f t="shared" si="10"/>
        <v>WRONG</v>
      </c>
      <c r="W72" s="563" t="str">
        <f>VLOOKUP(A72,'[1]Raw data'!$B:$AG,32,FALSE)</f>
        <v>CIF HK</v>
      </c>
      <c r="X72" s="563">
        <f>VLOOKUP(A72,'[1]Raw data'!$B:$BA,31,FALSE)</f>
        <v>43579</v>
      </c>
      <c r="Y72" s="563" t="str">
        <f>VLOOKUP(A72,'[1]Raw data'!$B:$AS,39,FALSE)</f>
        <v>Yes</v>
      </c>
      <c r="Z72" s="568" t="s">
        <v>290</v>
      </c>
      <c r="AA72" s="569" t="s">
        <v>290</v>
      </c>
      <c r="AB72" s="570"/>
      <c r="AC72" s="563" t="s">
        <v>418</v>
      </c>
      <c r="AN72" s="542"/>
      <c r="AO72" s="824" t="str">
        <f t="shared" si="11"/>
        <v>Yes</v>
      </c>
      <c r="AP72" s="259" t="str">
        <f t="shared" si="12"/>
        <v>AUG 19</v>
      </c>
      <c r="AQ72" s="542" t="str">
        <f t="shared" si="13"/>
        <v>有定金+有預留客戶</v>
      </c>
      <c r="AR72" s="259" t="str">
        <f t="shared" si="14"/>
        <v>Shipped_Stock</v>
      </c>
      <c r="AS72" s="259" t="str">
        <f t="shared" si="15"/>
        <v/>
      </c>
      <c r="AT72" s="259" t="str">
        <f t="shared" si="16"/>
        <v>宝捷</v>
      </c>
      <c r="AU72" s="259" t="str">
        <f t="shared" si="17"/>
        <v>C49SZX20190060DZ</v>
      </c>
      <c r="AV72" s="259" t="str">
        <f t="shared" si="18"/>
        <v>Dec-01</v>
      </c>
    </row>
    <row r="73" spans="1:48" ht="15" hidden="1" customHeight="1">
      <c r="A73" s="559">
        <v>248</v>
      </c>
      <c r="B73" s="563" t="s">
        <v>280</v>
      </c>
      <c r="C73" s="560" t="s">
        <v>281</v>
      </c>
      <c r="D73" s="564">
        <v>109421</v>
      </c>
      <c r="E73" s="563" t="s">
        <v>236</v>
      </c>
      <c r="F73" s="563" t="s">
        <v>411</v>
      </c>
      <c r="G73" s="563" t="s">
        <v>24</v>
      </c>
      <c r="H73" s="563" t="s">
        <v>26</v>
      </c>
      <c r="I73" s="587" t="s">
        <v>419</v>
      </c>
      <c r="J73" s="564">
        <v>1</v>
      </c>
      <c r="K73" s="563" t="s">
        <v>285</v>
      </c>
      <c r="L73" s="565">
        <v>43435</v>
      </c>
      <c r="M73" s="566">
        <v>6.25E-2</v>
      </c>
      <c r="N73" s="563" t="s">
        <v>334</v>
      </c>
      <c r="O73" s="563"/>
      <c r="P73" s="566" t="str">
        <f>VLOOKUP(A73,'[1]Raw data'!$B:$BB,23,FALSE)</f>
        <v>JPY</v>
      </c>
      <c r="Q73" s="563" t="str">
        <f>VLOOKUP(A73,'[1]Raw data'!$B:$Z,2,FALSE)</f>
        <v>C49SZX20190030SX</v>
      </c>
      <c r="R73" s="563" t="str">
        <f>VLOOKUP(A73,'[1]Raw data'!$B:$Z,3,FALSE)</f>
        <v>惠阳锐诚</v>
      </c>
      <c r="S73" s="563" t="str">
        <f>VLOOKUP(A73,'[1]Raw data'!$B:$Z,4,FALSE)</f>
        <v>YS24</v>
      </c>
      <c r="T73" s="563" t="str">
        <f>VLOOKUP(A73,'[1]Raw data'!$B:$Z,8,FALSE)</f>
        <v>L-&gt;R</v>
      </c>
      <c r="U73" s="563" t="str">
        <f>VLOOKUP(A73,'[1]Raw data'!$B:$Z,9,FALSE)</f>
        <v>No</v>
      </c>
      <c r="V73" s="567" t="str">
        <f t="shared" si="10"/>
        <v>OK</v>
      </c>
      <c r="W73" s="563" t="str">
        <f>VLOOKUP(A73,'[1]Raw data'!$B:$AG,32,FALSE)</f>
        <v>DAP惠阳</v>
      </c>
      <c r="X73" s="563">
        <f>VLOOKUP(A73,'[1]Raw data'!$B:$BA,31,FALSE)</f>
        <v>43531</v>
      </c>
      <c r="Y73" s="563" t="str">
        <f>VLOOKUP(A73,'[1]Raw data'!$B:$AS,39,FALSE)</f>
        <v>Yes</v>
      </c>
      <c r="Z73" s="568" t="s">
        <v>290</v>
      </c>
      <c r="AA73" s="569" t="s">
        <v>290</v>
      </c>
      <c r="AB73" s="570"/>
      <c r="AC73" s="563" t="s">
        <v>291</v>
      </c>
      <c r="AN73" s="542"/>
      <c r="AO73" s="824" t="str">
        <f t="shared" si="11"/>
        <v>Yes</v>
      </c>
      <c r="AP73" s="259" t="str">
        <f t="shared" si="12"/>
        <v>MAR 19</v>
      </c>
      <c r="AQ73" s="542" t="str">
        <f t="shared" si="13"/>
        <v>有定金+有預留客戶</v>
      </c>
      <c r="AR73" s="259" t="str">
        <f t="shared" si="14"/>
        <v>Shipped_Stock</v>
      </c>
      <c r="AS73" s="259" t="str">
        <f t="shared" si="15"/>
        <v/>
      </c>
      <c r="AT73" s="259" t="str">
        <f t="shared" si="16"/>
        <v>惠阳锐诚</v>
      </c>
      <c r="AU73" s="259" t="str">
        <f t="shared" si="17"/>
        <v>C49SZX20190030SX</v>
      </c>
      <c r="AV73" s="259" t="str">
        <f t="shared" si="18"/>
        <v>Dec-01</v>
      </c>
    </row>
    <row r="74" spans="1:48" ht="15" hidden="1" customHeight="1">
      <c r="A74" s="559">
        <v>211</v>
      </c>
      <c r="B74" s="563" t="s">
        <v>280</v>
      </c>
      <c r="C74" s="560" t="s">
        <v>281</v>
      </c>
      <c r="D74" s="564">
        <v>109421</v>
      </c>
      <c r="E74" s="563" t="s">
        <v>236</v>
      </c>
      <c r="F74" s="563" t="s">
        <v>411</v>
      </c>
      <c r="G74" s="563" t="s">
        <v>24</v>
      </c>
      <c r="H74" s="563" t="s">
        <v>26</v>
      </c>
      <c r="I74" s="587" t="s">
        <v>420</v>
      </c>
      <c r="J74" s="564">
        <v>1</v>
      </c>
      <c r="K74" s="563" t="s">
        <v>295</v>
      </c>
      <c r="L74" s="565">
        <v>43435</v>
      </c>
      <c r="M74" s="566">
        <v>6.25E-2</v>
      </c>
      <c r="N74" s="563" t="s">
        <v>363</v>
      </c>
      <c r="O74" s="563"/>
      <c r="P74" s="566" t="str">
        <f>VLOOKUP(A74,'[1]Raw data'!$B:$BB,23,FALSE)</f>
        <v>RMB</v>
      </c>
      <c r="Q74" s="563" t="str">
        <f>VLOOKUP(A74,'[1]Raw data'!$B:$Z,2,FALSE)</f>
        <v>C49SZX20190011SX</v>
      </c>
      <c r="R74" s="563" t="str">
        <f>VLOOKUP(A74,'[1]Raw data'!$B:$Z,3,FALSE)</f>
        <v>安林An Lin</v>
      </c>
      <c r="S74" s="563" t="str">
        <f>VLOOKUP(A74,'[1]Raw data'!$B:$Z,4,FALSE)</f>
        <v>YS24</v>
      </c>
      <c r="T74" s="563" t="str">
        <f>VLOOKUP(A74,'[1]Raw data'!$B:$Z,8,FALSE)</f>
        <v>L-&gt;R</v>
      </c>
      <c r="U74" s="563" t="str">
        <f>VLOOKUP(A74,'[1]Raw data'!$B:$Z,9,FALSE)</f>
        <v>No</v>
      </c>
      <c r="V74" s="567" t="str">
        <f t="shared" si="10"/>
        <v>OK</v>
      </c>
      <c r="W74" s="563" t="str">
        <f>VLOOKUP(A74,'[1]Raw data'!$B:$AG,32,FALSE)</f>
        <v>含税到厂</v>
      </c>
      <c r="X74" s="563">
        <f>VLOOKUP(A74,'[1]Raw data'!$B:$BA,31,FALSE)</f>
        <v>43480</v>
      </c>
      <c r="Y74" s="563" t="str">
        <f>VLOOKUP(A74,'[1]Raw data'!$B:$AS,39,FALSE)</f>
        <v>Yes</v>
      </c>
      <c r="Z74" s="568" t="s">
        <v>290</v>
      </c>
      <c r="AA74" s="569" t="s">
        <v>290</v>
      </c>
      <c r="AB74" s="570"/>
      <c r="AC74" s="563" t="s">
        <v>291</v>
      </c>
      <c r="AN74" s="542"/>
      <c r="AO74" s="824" t="str">
        <f t="shared" si="11"/>
        <v>Yes</v>
      </c>
      <c r="AP74" s="259" t="str">
        <f t="shared" si="12"/>
        <v>FEB 19</v>
      </c>
      <c r="AQ74" s="542" t="str">
        <f t="shared" si="13"/>
        <v>有定金+有預留客戶</v>
      </c>
      <c r="AR74" s="259" t="str">
        <f t="shared" si="14"/>
        <v>Shipped_Stock</v>
      </c>
      <c r="AS74" s="259" t="str">
        <f t="shared" si="15"/>
        <v/>
      </c>
      <c r="AT74" s="259" t="str">
        <f t="shared" si="16"/>
        <v>安林An Lin</v>
      </c>
      <c r="AU74" s="259" t="str">
        <f t="shared" si="17"/>
        <v>C49SZX20190011SX</v>
      </c>
      <c r="AV74" s="259" t="str">
        <f t="shared" si="18"/>
        <v>Dec-01</v>
      </c>
    </row>
    <row r="75" spans="1:48" ht="15" hidden="1" customHeight="1">
      <c r="A75" s="559">
        <v>208</v>
      </c>
      <c r="B75" s="563" t="s">
        <v>280</v>
      </c>
      <c r="C75" s="560" t="s">
        <v>281</v>
      </c>
      <c r="D75" s="564">
        <v>109421</v>
      </c>
      <c r="E75" s="563" t="s">
        <v>236</v>
      </c>
      <c r="F75" s="563" t="s">
        <v>411</v>
      </c>
      <c r="G75" s="563" t="s">
        <v>24</v>
      </c>
      <c r="H75" s="563" t="s">
        <v>307</v>
      </c>
      <c r="I75" s="587" t="s">
        <v>421</v>
      </c>
      <c r="J75" s="564">
        <v>1</v>
      </c>
      <c r="K75" s="563" t="s">
        <v>295</v>
      </c>
      <c r="L75" s="565">
        <v>43435</v>
      </c>
      <c r="M75" s="566">
        <v>6.25E-2</v>
      </c>
      <c r="N75" s="563" t="s">
        <v>363</v>
      </c>
      <c r="O75" s="563"/>
      <c r="P75" s="566" t="str">
        <f>VLOOKUP(A75,'[1]Raw data'!$B:$BB,23,FALSE)</f>
        <v>RMB</v>
      </c>
      <c r="Q75" s="563" t="str">
        <f>VLOOKUP(A75,'[1]Raw data'!$B:$Z,2,FALSE)</f>
        <v>C49SZX20190005SX</v>
      </c>
      <c r="R75" s="563" t="str">
        <f>VLOOKUP(A75,'[1]Raw data'!$B:$Z,3,FALSE)</f>
        <v>An Lin东莞安林</v>
      </c>
      <c r="S75" s="563" t="str">
        <f>VLOOKUP(A75,'[1]Raw data'!$B:$Z,4,FALSE)</f>
        <v>YS24</v>
      </c>
      <c r="T75" s="563" t="str">
        <f>VLOOKUP(A75,'[1]Raw data'!$B:$Z,8,FALSE)</f>
        <v>L-&gt;R</v>
      </c>
      <c r="U75" s="563" t="str">
        <f>VLOOKUP(A75,'[1]Raw data'!$B:$Z,9,FALSE)</f>
        <v>No</v>
      </c>
      <c r="V75" s="567" t="str">
        <f t="shared" si="10"/>
        <v>OK</v>
      </c>
      <c r="W75" s="563" t="str">
        <f>VLOOKUP(A75,'[1]Raw data'!$B:$AG,32,FALSE)</f>
        <v>含税到厂</v>
      </c>
      <c r="X75" s="563">
        <f>VLOOKUP(A75,'[1]Raw data'!$B:$BA,31,FALSE)</f>
        <v>43474</v>
      </c>
      <c r="Y75" s="563" t="str">
        <f>VLOOKUP(A75,'[1]Raw data'!$B:$AS,39,FALSE)</f>
        <v>Yes</v>
      </c>
      <c r="Z75" s="568" t="s">
        <v>290</v>
      </c>
      <c r="AA75" s="569" t="s">
        <v>290</v>
      </c>
      <c r="AB75" s="570"/>
      <c r="AC75" s="563" t="s">
        <v>291</v>
      </c>
      <c r="AN75" s="542"/>
      <c r="AO75" s="824" t="str">
        <f t="shared" si="11"/>
        <v>Yes</v>
      </c>
      <c r="AP75" s="259" t="str">
        <f t="shared" si="12"/>
        <v>FEB 19</v>
      </c>
      <c r="AQ75" s="542" t="str">
        <f t="shared" si="13"/>
        <v>有定金+有預留客戶</v>
      </c>
      <c r="AR75" s="259" t="str">
        <f t="shared" si="14"/>
        <v>Shipped_Stock</v>
      </c>
      <c r="AS75" s="259" t="str">
        <f t="shared" si="15"/>
        <v/>
      </c>
      <c r="AT75" s="259" t="str">
        <f t="shared" si="16"/>
        <v>An Lin东莞安林</v>
      </c>
      <c r="AU75" s="259" t="str">
        <f t="shared" si="17"/>
        <v>C49SZX20190005SX</v>
      </c>
      <c r="AV75" s="259" t="str">
        <f t="shared" si="18"/>
        <v>Dec-01</v>
      </c>
    </row>
    <row r="76" spans="1:48" ht="15" hidden="1" customHeight="1">
      <c r="A76" s="559">
        <v>222</v>
      </c>
      <c r="B76" s="563" t="s">
        <v>280</v>
      </c>
      <c r="C76" s="560" t="s">
        <v>281</v>
      </c>
      <c r="D76" s="564">
        <v>109388</v>
      </c>
      <c r="E76" s="563" t="s">
        <v>353</v>
      </c>
      <c r="F76" s="563" t="s">
        <v>256</v>
      </c>
      <c r="G76" s="563" t="s">
        <v>24</v>
      </c>
      <c r="H76" s="563" t="s">
        <v>26</v>
      </c>
      <c r="I76" s="564" t="s">
        <v>422</v>
      </c>
      <c r="J76" s="564">
        <v>1</v>
      </c>
      <c r="K76" s="563" t="s">
        <v>311</v>
      </c>
      <c r="L76" s="565">
        <v>43439</v>
      </c>
      <c r="M76" s="566">
        <v>6.25E-2</v>
      </c>
      <c r="N76" s="563" t="s">
        <v>296</v>
      </c>
      <c r="P76" s="566" t="str">
        <f>VLOOKUP(A76,'[1]Raw data'!$B:$BB,23,FALSE)</f>
        <v>JPY</v>
      </c>
      <c r="Q76" s="563" t="str">
        <f>VLOOKUP(A76,'[1]Raw data'!$B:$Z,2,FALSE)</f>
        <v>C49SZX20190012SX</v>
      </c>
      <c r="R76" s="563" t="str">
        <f>VLOOKUP(A76,'[1]Raw data'!$B:$Z,3,FALSE)</f>
        <v>恒泰</v>
      </c>
      <c r="S76" s="563" t="str">
        <f>VLOOKUP(A76,'[1]Raw data'!$B:$Z,4,FALSE)</f>
        <v>YSM20-2</v>
      </c>
      <c r="T76" s="563" t="str">
        <f>VLOOKUP(A76,'[1]Raw data'!$B:$Z,8,FALSE)</f>
        <v>L-&gt;R</v>
      </c>
      <c r="U76" s="563" t="str">
        <f>VLOOKUP(A76,'[1]Raw data'!$B:$Z,9,FALSE)</f>
        <v>No</v>
      </c>
      <c r="V76" s="567" t="str">
        <f t="shared" si="10"/>
        <v>OK</v>
      </c>
      <c r="W76" s="563" t="str">
        <f>VLOOKUP(A76,'[1]Raw data'!$B:$AG,32,FALSE)</f>
        <v>DAP 江西</v>
      </c>
      <c r="X76" s="563">
        <f>VLOOKUP(A76,'[1]Raw data'!$B:$BA,31,FALSE)</f>
        <v>43481</v>
      </c>
      <c r="Y76" s="563" t="str">
        <f>VLOOKUP(A76,'[1]Raw data'!$B:$AS,39,FALSE)</f>
        <v>Yes</v>
      </c>
      <c r="Z76" s="568" t="s">
        <v>290</v>
      </c>
      <c r="AA76" s="569" t="s">
        <v>290</v>
      </c>
      <c r="AB76" s="570"/>
      <c r="AC76" s="563" t="s">
        <v>291</v>
      </c>
      <c r="AN76" s="588"/>
      <c r="AO76" s="824" t="str">
        <f t="shared" si="11"/>
        <v>Yes</v>
      </c>
      <c r="AP76" s="259" t="str">
        <f t="shared" si="12"/>
        <v>JAN 19</v>
      </c>
      <c r="AQ76" s="542" t="str">
        <f t="shared" si="13"/>
        <v>有定金+有預留客戶</v>
      </c>
      <c r="AR76" s="259" t="str">
        <f t="shared" si="14"/>
        <v>Shipped_Stock</v>
      </c>
      <c r="AS76" s="259" t="str">
        <f t="shared" si="15"/>
        <v/>
      </c>
      <c r="AT76" s="259" t="str">
        <f t="shared" si="16"/>
        <v>恒泰</v>
      </c>
      <c r="AU76" s="259" t="str">
        <f t="shared" si="17"/>
        <v>C49SZX20190012SX</v>
      </c>
      <c r="AV76" s="259" t="str">
        <f t="shared" si="18"/>
        <v>Dec-05</v>
      </c>
    </row>
    <row r="77" spans="1:48" ht="15" hidden="1" customHeight="1">
      <c r="A77" s="559">
        <v>131</v>
      </c>
      <c r="B77" s="563" t="s">
        <v>280</v>
      </c>
      <c r="C77" s="560" t="s">
        <v>281</v>
      </c>
      <c r="D77" s="589">
        <v>109279</v>
      </c>
      <c r="E77" s="584" t="s">
        <v>423</v>
      </c>
      <c r="F77" s="563" t="s">
        <v>256</v>
      </c>
      <c r="G77" s="563" t="s">
        <v>24</v>
      </c>
      <c r="H77" s="563" t="s">
        <v>26</v>
      </c>
      <c r="I77" s="589" t="s">
        <v>424</v>
      </c>
      <c r="J77" s="589">
        <v>1</v>
      </c>
      <c r="K77" s="584" t="s">
        <v>425</v>
      </c>
      <c r="L77" s="590">
        <v>43439</v>
      </c>
      <c r="M77" s="587">
        <v>6.2199999999999998E-2</v>
      </c>
      <c r="N77" s="563" t="s">
        <v>289</v>
      </c>
      <c r="P77" s="566" t="str">
        <f>VLOOKUP(A77,'[1]Raw data'!$B:$BB,23,FALSE)</f>
        <v>JPY</v>
      </c>
      <c r="Q77" s="563" t="str">
        <f>VLOOKUP(A77,'[1]Raw data'!$B:$Z,2,FALSE)</f>
        <v>C49SZX20180137DZ</v>
      </c>
      <c r="R77" s="563" t="str">
        <f>VLOOKUP(A77,'[1]Raw data'!$B:$Z,3,FALSE)</f>
        <v>朗特</v>
      </c>
      <c r="S77" s="563" t="str">
        <f>VLOOKUP(A77,'[1]Raw data'!$B:$Z,4,FALSE)</f>
        <v>YSM20R(SV)-2</v>
      </c>
      <c r="T77" s="563" t="str">
        <f>VLOOKUP(A77,'[1]Raw data'!$B:$Z,8,FALSE)</f>
        <v>R-&gt;L</v>
      </c>
      <c r="U77" s="563" t="str">
        <f>VLOOKUP(A77,'[1]Raw data'!$B:$Z,9,FALSE)</f>
        <v>No</v>
      </c>
      <c r="V77" s="567" t="str">
        <f t="shared" si="10"/>
        <v>WRONG</v>
      </c>
      <c r="W77" s="563" t="str">
        <f>VLOOKUP(A77,'[1]Raw data'!$B:$AG,32,FALSE)</f>
        <v>CIF</v>
      </c>
      <c r="X77" s="563">
        <f>VLOOKUP(A77,'[1]Raw data'!$B:$BA,31,FALSE)</f>
        <v>43343</v>
      </c>
      <c r="Y77" s="563" t="str">
        <f>VLOOKUP(A77,'[1]Raw data'!$B:$AS,39,FALSE)</f>
        <v>Yes</v>
      </c>
      <c r="Z77" s="569" t="s">
        <v>290</v>
      </c>
      <c r="AA77" s="569" t="s">
        <v>290</v>
      </c>
      <c r="AB77" s="591"/>
      <c r="AC77" s="563" t="s">
        <v>291</v>
      </c>
      <c r="AD77" s="592"/>
      <c r="AE77" s="592"/>
      <c r="AF77" s="592"/>
      <c r="AG77" s="592"/>
      <c r="AH77" s="592"/>
      <c r="AI77" s="593"/>
      <c r="AJ77" s="592"/>
      <c r="AK77" s="592"/>
      <c r="AL77" s="592"/>
      <c r="AM77" s="592"/>
      <c r="AN77" s="542"/>
      <c r="AO77" s="824" t="str">
        <f t="shared" si="11"/>
        <v>Yes</v>
      </c>
      <c r="AP77" s="259" t="str">
        <f t="shared" si="12"/>
        <v>DEC 18</v>
      </c>
      <c r="AQ77" s="542" t="str">
        <f t="shared" si="13"/>
        <v>有定金+有預留客戶</v>
      </c>
      <c r="AR77" s="259" t="str">
        <f t="shared" si="14"/>
        <v>Shipped_Stock</v>
      </c>
      <c r="AS77" s="259" t="str">
        <f t="shared" si="15"/>
        <v/>
      </c>
      <c r="AT77" s="259" t="str">
        <f t="shared" si="16"/>
        <v>朗特</v>
      </c>
      <c r="AU77" s="259" t="str">
        <f t="shared" si="17"/>
        <v>C49SZX20180137DZ</v>
      </c>
      <c r="AV77" s="259" t="str">
        <f t="shared" si="18"/>
        <v>Dec-05</v>
      </c>
    </row>
    <row r="78" spans="1:48" ht="15" hidden="1" customHeight="1">
      <c r="A78" s="559">
        <v>132</v>
      </c>
      <c r="B78" s="563" t="s">
        <v>280</v>
      </c>
      <c r="C78" s="560" t="s">
        <v>281</v>
      </c>
      <c r="D78" s="589">
        <v>109279</v>
      </c>
      <c r="E78" s="584" t="s">
        <v>423</v>
      </c>
      <c r="F78" s="563" t="s">
        <v>256</v>
      </c>
      <c r="G78" s="563" t="s">
        <v>24</v>
      </c>
      <c r="H78" s="563" t="s">
        <v>26</v>
      </c>
      <c r="I78" s="589" t="s">
        <v>426</v>
      </c>
      <c r="J78" s="589">
        <v>1</v>
      </c>
      <c r="K78" s="584" t="s">
        <v>425</v>
      </c>
      <c r="L78" s="590">
        <v>43439</v>
      </c>
      <c r="M78" s="587">
        <v>6.2199999999999998E-2</v>
      </c>
      <c r="N78" s="563" t="s">
        <v>289</v>
      </c>
      <c r="P78" s="566" t="str">
        <f>VLOOKUP(A78,'[1]Raw data'!$B:$BB,23,FALSE)</f>
        <v>JPY</v>
      </c>
      <c r="Q78" s="563" t="str">
        <f>VLOOKUP(A78,'[1]Raw data'!$B:$Z,2,FALSE)</f>
        <v>C49SZX20180137DZ</v>
      </c>
      <c r="R78" s="563" t="str">
        <f>VLOOKUP(A78,'[1]Raw data'!$B:$Z,3,FALSE)</f>
        <v>朗特</v>
      </c>
      <c r="S78" s="563" t="str">
        <f>VLOOKUP(A78,'[1]Raw data'!$B:$Z,4,FALSE)</f>
        <v>YSM20R(SV)-2</v>
      </c>
      <c r="T78" s="563" t="str">
        <f>VLOOKUP(A78,'[1]Raw data'!$B:$Z,8,FALSE)</f>
        <v>R-&gt;L</v>
      </c>
      <c r="U78" s="563" t="str">
        <f>VLOOKUP(A78,'[1]Raw data'!$B:$Z,9,FALSE)</f>
        <v>No</v>
      </c>
      <c r="V78" s="567" t="str">
        <f t="shared" si="10"/>
        <v>WRONG</v>
      </c>
      <c r="W78" s="563" t="str">
        <f>VLOOKUP(A78,'[1]Raw data'!$B:$AG,32,FALSE)</f>
        <v>CIF</v>
      </c>
      <c r="X78" s="563">
        <f>VLOOKUP(A78,'[1]Raw data'!$B:$BA,31,FALSE)</f>
        <v>43343</v>
      </c>
      <c r="Y78" s="563" t="str">
        <f>VLOOKUP(A78,'[1]Raw data'!$B:$AS,39,FALSE)</f>
        <v>Yes</v>
      </c>
      <c r="Z78" s="569" t="s">
        <v>290</v>
      </c>
      <c r="AA78" s="569" t="s">
        <v>290</v>
      </c>
      <c r="AB78" s="591"/>
      <c r="AC78" s="563" t="s">
        <v>291</v>
      </c>
      <c r="AD78" s="592"/>
      <c r="AE78" s="592"/>
      <c r="AF78" s="592"/>
      <c r="AG78" s="592"/>
      <c r="AH78" s="592"/>
      <c r="AI78" s="593"/>
      <c r="AJ78" s="592"/>
      <c r="AK78" s="592"/>
      <c r="AL78" s="592"/>
      <c r="AM78" s="592"/>
      <c r="AN78" s="542"/>
      <c r="AO78" s="824" t="str">
        <f t="shared" si="11"/>
        <v>Yes</v>
      </c>
      <c r="AP78" s="259" t="str">
        <f t="shared" si="12"/>
        <v>DEC 18</v>
      </c>
      <c r="AQ78" s="542" t="str">
        <f t="shared" si="13"/>
        <v>有定金+有預留客戶</v>
      </c>
      <c r="AR78" s="259" t="str">
        <f t="shared" si="14"/>
        <v>Shipped_Stock</v>
      </c>
      <c r="AS78" s="259" t="str">
        <f t="shared" si="15"/>
        <v/>
      </c>
      <c r="AT78" s="259" t="str">
        <f t="shared" si="16"/>
        <v>朗特</v>
      </c>
      <c r="AU78" s="259" t="str">
        <f t="shared" si="17"/>
        <v>C49SZX20180137DZ</v>
      </c>
      <c r="AV78" s="259" t="str">
        <f t="shared" si="18"/>
        <v>Dec-05</v>
      </c>
    </row>
    <row r="79" spans="1:48" ht="15" hidden="1" customHeight="1">
      <c r="A79" s="559">
        <v>119</v>
      </c>
      <c r="B79" s="563" t="s">
        <v>280</v>
      </c>
      <c r="C79" s="560" t="s">
        <v>281</v>
      </c>
      <c r="D79" s="589">
        <v>109279</v>
      </c>
      <c r="E79" s="584" t="s">
        <v>423</v>
      </c>
      <c r="F79" s="563" t="s">
        <v>256</v>
      </c>
      <c r="G79" s="563" t="s">
        <v>24</v>
      </c>
      <c r="H79" s="563" t="s">
        <v>26</v>
      </c>
      <c r="I79" s="589" t="s">
        <v>427</v>
      </c>
      <c r="J79" s="589">
        <v>1</v>
      </c>
      <c r="K79" s="584" t="s">
        <v>425</v>
      </c>
      <c r="L79" s="590">
        <v>43439</v>
      </c>
      <c r="M79" s="587">
        <v>6.2199999999999998E-2</v>
      </c>
      <c r="N79" s="563" t="s">
        <v>289</v>
      </c>
      <c r="P79" s="566" t="str">
        <f>VLOOKUP(A79,'[1]Raw data'!$B:$BB,23,FALSE)</f>
        <v>JPY</v>
      </c>
      <c r="Q79" s="563" t="str">
        <f>VLOOKUP(A79,'[1]Raw data'!$B:$Z,2,FALSE)</f>
        <v>C49SZX20180131DZ</v>
      </c>
      <c r="R79" s="563" t="str">
        <f>VLOOKUP(A79,'[1]Raw data'!$B:$Z,3,FALSE)</f>
        <v>朗特</v>
      </c>
      <c r="S79" s="563" t="str">
        <f>VLOOKUP(A79,'[1]Raw data'!$B:$Z,4,FALSE)</f>
        <v>YSM20R(SV)-2</v>
      </c>
      <c r="T79" s="563" t="str">
        <f>VLOOKUP(A79,'[1]Raw data'!$B:$Z,8,FALSE)</f>
        <v>R-&gt;L</v>
      </c>
      <c r="U79" s="563" t="str">
        <f>VLOOKUP(A79,'[1]Raw data'!$B:$Z,9,FALSE)</f>
        <v>No</v>
      </c>
      <c r="V79" s="567" t="str">
        <f t="shared" si="10"/>
        <v>WRONG</v>
      </c>
      <c r="W79" s="563" t="str">
        <f>VLOOKUP(A79,'[1]Raw data'!$B:$AG,32,FALSE)</f>
        <v>CIF</v>
      </c>
      <c r="X79" s="563">
        <f>VLOOKUP(A79,'[1]Raw data'!$B:$BA,31,FALSE)</f>
        <v>43325</v>
      </c>
      <c r="Y79" s="563" t="str">
        <f>VLOOKUP(A79,'[1]Raw data'!$B:$AS,39,FALSE)</f>
        <v>Yes</v>
      </c>
      <c r="Z79" s="569" t="s">
        <v>290</v>
      </c>
      <c r="AA79" s="569" t="s">
        <v>290</v>
      </c>
      <c r="AB79" s="591"/>
      <c r="AC79" s="563" t="s">
        <v>291</v>
      </c>
      <c r="AD79" s="592"/>
      <c r="AE79" s="592"/>
      <c r="AF79" s="592"/>
      <c r="AG79" s="592"/>
      <c r="AH79" s="592"/>
      <c r="AI79" s="593"/>
      <c r="AJ79" s="592"/>
      <c r="AK79" s="592"/>
      <c r="AL79" s="592"/>
      <c r="AM79" s="592"/>
      <c r="AN79" s="542"/>
      <c r="AO79" s="824" t="str">
        <f t="shared" si="11"/>
        <v>Yes</v>
      </c>
      <c r="AP79" s="259" t="str">
        <f t="shared" si="12"/>
        <v>DEC 18</v>
      </c>
      <c r="AQ79" s="542" t="str">
        <f t="shared" si="13"/>
        <v>有定金+有預留客戶</v>
      </c>
      <c r="AR79" s="259" t="str">
        <f t="shared" si="14"/>
        <v>Shipped_Stock</v>
      </c>
      <c r="AS79" s="259" t="str">
        <f t="shared" si="15"/>
        <v/>
      </c>
      <c r="AT79" s="259" t="str">
        <f t="shared" si="16"/>
        <v>朗特</v>
      </c>
      <c r="AU79" s="259" t="str">
        <f t="shared" si="17"/>
        <v>C49SZX20180131DZ</v>
      </c>
      <c r="AV79" s="259" t="str">
        <f t="shared" si="18"/>
        <v>Dec-05</v>
      </c>
    </row>
    <row r="80" spans="1:48" ht="15" hidden="1" customHeight="1">
      <c r="A80" s="559">
        <v>182</v>
      </c>
      <c r="B80" s="563" t="s">
        <v>280</v>
      </c>
      <c r="C80" s="560" t="s">
        <v>281</v>
      </c>
      <c r="D80" s="589">
        <v>109279</v>
      </c>
      <c r="E80" s="584" t="s">
        <v>423</v>
      </c>
      <c r="F80" s="563" t="s">
        <v>256</v>
      </c>
      <c r="G80" s="563" t="s">
        <v>24</v>
      </c>
      <c r="H80" s="563" t="s">
        <v>26</v>
      </c>
      <c r="I80" s="589" t="s">
        <v>428</v>
      </c>
      <c r="J80" s="589">
        <v>1</v>
      </c>
      <c r="K80" s="584" t="s">
        <v>425</v>
      </c>
      <c r="L80" s="590">
        <v>43439</v>
      </c>
      <c r="M80" s="587">
        <v>6.2199999999999998E-2</v>
      </c>
      <c r="N80" s="563" t="s">
        <v>289</v>
      </c>
      <c r="P80" s="566" t="str">
        <f>VLOOKUP(A80,'[1]Raw data'!$B:$BB,23,FALSE)</f>
        <v>JPY</v>
      </c>
      <c r="Q80" s="563" t="str">
        <f>VLOOKUP(A80,'[1]Raw data'!$B:$Z,2,FALSE)</f>
        <v>C49SZX20180173ZX</v>
      </c>
      <c r="R80" s="563" t="str">
        <f>VLOOKUP(A80,'[1]Raw data'!$B:$Z,3,FALSE)</f>
        <v>网娱视通</v>
      </c>
      <c r="S80" s="563" t="str">
        <f>VLOOKUP(A80,'[1]Raw data'!$B:$Z,4,FALSE)</f>
        <v>YSM20R(SV)-2</v>
      </c>
      <c r="T80" s="563" t="str">
        <f>VLOOKUP(A80,'[1]Raw data'!$B:$Z,8,FALSE)</f>
        <v>L-&gt;R</v>
      </c>
      <c r="U80" s="563" t="str">
        <f>VLOOKUP(A80,'[1]Raw data'!$B:$Z,9,FALSE)</f>
        <v>No</v>
      </c>
      <c r="V80" s="567" t="str">
        <f t="shared" si="10"/>
        <v>OK</v>
      </c>
      <c r="W80" s="563" t="str">
        <f>VLOOKUP(A80,'[1]Raw data'!$B:$AG,32,FALSE)</f>
        <v>DAP深圳</v>
      </c>
      <c r="X80" s="563">
        <f>VLOOKUP(A80,'[1]Raw data'!$B:$BA,31,FALSE)</f>
        <v>43425</v>
      </c>
      <c r="Y80" s="563" t="str">
        <f>VLOOKUP(A80,'[1]Raw data'!$B:$AS,39,FALSE)</f>
        <v>Yes</v>
      </c>
      <c r="Z80" s="569" t="s">
        <v>290</v>
      </c>
      <c r="AA80" s="569" t="s">
        <v>290</v>
      </c>
      <c r="AB80" s="591"/>
      <c r="AC80" s="563" t="s">
        <v>291</v>
      </c>
      <c r="AD80" s="592"/>
      <c r="AE80" s="592"/>
      <c r="AF80" s="592"/>
      <c r="AG80" s="592"/>
      <c r="AH80" s="592"/>
      <c r="AI80" s="593"/>
      <c r="AJ80" s="592"/>
      <c r="AK80" s="592"/>
      <c r="AL80" s="592"/>
      <c r="AM80" s="592"/>
      <c r="AN80" s="542"/>
      <c r="AO80" s="824" t="str">
        <f t="shared" si="11"/>
        <v>Yes</v>
      </c>
      <c r="AP80" s="259" t="str">
        <f t="shared" si="12"/>
        <v>DEC 18</v>
      </c>
      <c r="AQ80" s="542" t="str">
        <f t="shared" si="13"/>
        <v>有定金+有預留客戶</v>
      </c>
      <c r="AR80" s="259" t="str">
        <f t="shared" si="14"/>
        <v>Shipped_Stock</v>
      </c>
      <c r="AS80" s="259" t="str">
        <f t="shared" si="15"/>
        <v/>
      </c>
      <c r="AT80" s="259" t="str">
        <f t="shared" si="16"/>
        <v>网娱视通</v>
      </c>
      <c r="AU80" s="259" t="str">
        <f t="shared" si="17"/>
        <v>C49SZX20180173ZX</v>
      </c>
      <c r="AV80" s="259" t="str">
        <f t="shared" si="18"/>
        <v>Dec-05</v>
      </c>
    </row>
    <row r="81" spans="1:69" ht="15" hidden="1" customHeight="1">
      <c r="A81" s="559">
        <v>209</v>
      </c>
      <c r="B81" s="563" t="s">
        <v>280</v>
      </c>
      <c r="C81" s="560" t="s">
        <v>281</v>
      </c>
      <c r="D81" s="564">
        <v>109388</v>
      </c>
      <c r="E81" s="563" t="s">
        <v>353</v>
      </c>
      <c r="F81" s="563" t="s">
        <v>256</v>
      </c>
      <c r="G81" s="563" t="s">
        <v>24</v>
      </c>
      <c r="H81" s="563" t="s">
        <v>26</v>
      </c>
      <c r="I81" s="564" t="s">
        <v>429</v>
      </c>
      <c r="J81" s="564">
        <v>1</v>
      </c>
      <c r="K81" s="563" t="s">
        <v>295</v>
      </c>
      <c r="L81" s="565">
        <v>43439</v>
      </c>
      <c r="M81" s="566">
        <v>6.25E-2</v>
      </c>
      <c r="N81" s="563" t="s">
        <v>363</v>
      </c>
      <c r="P81" s="566" t="str">
        <f>VLOOKUP(A81,'[1]Raw data'!$B:$BB,23,FALSE)</f>
        <v>RMB</v>
      </c>
      <c r="Q81" s="563" t="str">
        <f>VLOOKUP(A81,'[1]Raw data'!$B:$Z,2,FALSE)</f>
        <v>C49SZX20190006ZX</v>
      </c>
      <c r="R81" s="563" t="str">
        <f>VLOOKUP(A81,'[1]Raw data'!$B:$Z,3,FALSE)</f>
        <v>KeChengDa科诚达</v>
      </c>
      <c r="S81" s="563" t="str">
        <f>VLOOKUP(A81,'[1]Raw data'!$B:$Z,4,FALSE)</f>
        <v>YSM20R(SV)-2</v>
      </c>
      <c r="T81" s="563" t="str">
        <f>VLOOKUP(A81,'[1]Raw data'!$B:$Z,8,FALSE)</f>
        <v>L-&gt;R</v>
      </c>
      <c r="U81" s="563" t="str">
        <f>VLOOKUP(A81,'[1]Raw data'!$B:$Z,9,FALSE)</f>
        <v>No</v>
      </c>
      <c r="V81" s="567" t="str">
        <f t="shared" si="10"/>
        <v>OK</v>
      </c>
      <c r="W81" s="563" t="str">
        <f>VLOOKUP(A81,'[1]Raw data'!$B:$AG,32,FALSE)</f>
        <v>含税到厂</v>
      </c>
      <c r="X81" s="563">
        <f>VLOOKUP(A81,'[1]Raw data'!$B:$BA,31,FALSE)</f>
        <v>43474</v>
      </c>
      <c r="Y81" s="563" t="str">
        <f>VLOOKUP(A81,'[1]Raw data'!$B:$AS,39,FALSE)</f>
        <v>Yes</v>
      </c>
      <c r="Z81" s="568" t="s">
        <v>290</v>
      </c>
      <c r="AA81" s="569" t="s">
        <v>290</v>
      </c>
      <c r="AB81" s="570" t="s">
        <v>389</v>
      </c>
      <c r="AC81" s="563" t="s">
        <v>291</v>
      </c>
      <c r="AN81" s="542"/>
      <c r="AO81" s="824" t="str">
        <f t="shared" si="11"/>
        <v>Yes</v>
      </c>
      <c r="AP81" s="259" t="str">
        <f t="shared" si="12"/>
        <v>FEB 19</v>
      </c>
      <c r="AQ81" s="542" t="str">
        <f t="shared" si="13"/>
        <v>有定金+有預留客戶</v>
      </c>
      <c r="AR81" s="259" t="str">
        <f t="shared" si="14"/>
        <v>Shipped_Stock</v>
      </c>
      <c r="AS81" s="259" t="str">
        <f t="shared" si="15"/>
        <v/>
      </c>
      <c r="AT81" s="259" t="str">
        <f t="shared" si="16"/>
        <v>KeChengDa科诚达</v>
      </c>
      <c r="AU81" s="259" t="str">
        <f t="shared" si="17"/>
        <v>C49SZX20190006ZX</v>
      </c>
      <c r="AV81" s="259" t="str">
        <f t="shared" si="18"/>
        <v>Dec-05</v>
      </c>
    </row>
    <row r="82" spans="1:69" ht="15" hidden="1" customHeight="1">
      <c r="A82" s="559">
        <v>210</v>
      </c>
      <c r="B82" s="563" t="s">
        <v>280</v>
      </c>
      <c r="C82" s="560" t="s">
        <v>281</v>
      </c>
      <c r="D82" s="564">
        <v>109388</v>
      </c>
      <c r="E82" s="563" t="s">
        <v>353</v>
      </c>
      <c r="F82" s="563" t="s">
        <v>256</v>
      </c>
      <c r="G82" s="563" t="s">
        <v>24</v>
      </c>
      <c r="H82" s="563" t="s">
        <v>26</v>
      </c>
      <c r="I82" s="564" t="s">
        <v>430</v>
      </c>
      <c r="J82" s="564">
        <v>1</v>
      </c>
      <c r="K82" s="563" t="s">
        <v>295</v>
      </c>
      <c r="L82" s="565">
        <v>43439</v>
      </c>
      <c r="M82" s="566">
        <v>6.25E-2</v>
      </c>
      <c r="N82" s="563" t="s">
        <v>363</v>
      </c>
      <c r="P82" s="566" t="str">
        <f>VLOOKUP(A82,'[1]Raw data'!$B:$BB,23,FALSE)</f>
        <v>RMB</v>
      </c>
      <c r="Q82" s="563" t="str">
        <f>VLOOKUP(A82,'[1]Raw data'!$B:$Z,2,FALSE)</f>
        <v>C49SZX20190006ZX</v>
      </c>
      <c r="R82" s="563" t="str">
        <f>VLOOKUP(A82,'[1]Raw data'!$B:$Z,3,FALSE)</f>
        <v>KeChengDa科诚达</v>
      </c>
      <c r="S82" s="563" t="str">
        <f>VLOOKUP(A82,'[1]Raw data'!$B:$Z,4,FALSE)</f>
        <v>YSM20R(SV)-2</v>
      </c>
      <c r="T82" s="563" t="str">
        <f>VLOOKUP(A82,'[1]Raw data'!$B:$Z,8,FALSE)</f>
        <v>L-&gt;R</v>
      </c>
      <c r="U82" s="563" t="str">
        <f>VLOOKUP(A82,'[1]Raw data'!$B:$Z,9,FALSE)</f>
        <v>No</v>
      </c>
      <c r="V82" s="567" t="str">
        <f t="shared" si="10"/>
        <v>OK</v>
      </c>
      <c r="W82" s="563" t="str">
        <f>VLOOKUP(A82,'[1]Raw data'!$B:$AG,32,FALSE)</f>
        <v>含税到厂</v>
      </c>
      <c r="X82" s="563">
        <f>VLOOKUP(A82,'[1]Raw data'!$B:$BA,31,FALSE)</f>
        <v>43474</v>
      </c>
      <c r="Y82" s="563" t="str">
        <f>VLOOKUP(A82,'[1]Raw data'!$B:$AS,39,FALSE)</f>
        <v>Yes</v>
      </c>
      <c r="Z82" s="568" t="s">
        <v>290</v>
      </c>
      <c r="AA82" s="569" t="s">
        <v>290</v>
      </c>
      <c r="AB82" s="570" t="s">
        <v>389</v>
      </c>
      <c r="AC82" s="563" t="s">
        <v>291</v>
      </c>
      <c r="AN82" s="542"/>
      <c r="AO82" s="824" t="str">
        <f t="shared" si="11"/>
        <v>Yes</v>
      </c>
      <c r="AP82" s="259" t="str">
        <f t="shared" si="12"/>
        <v>FEB 19</v>
      </c>
      <c r="AQ82" s="542" t="str">
        <f t="shared" si="13"/>
        <v>有定金+有預留客戶</v>
      </c>
      <c r="AR82" s="259" t="str">
        <f t="shared" si="14"/>
        <v>Shipped_Stock</v>
      </c>
      <c r="AS82" s="259" t="str">
        <f t="shared" si="15"/>
        <v/>
      </c>
      <c r="AT82" s="259" t="str">
        <f t="shared" si="16"/>
        <v>KeChengDa科诚达</v>
      </c>
      <c r="AU82" s="259" t="str">
        <f t="shared" si="17"/>
        <v>C49SZX20190006ZX</v>
      </c>
      <c r="AV82" s="259" t="str">
        <f t="shared" si="18"/>
        <v>Dec-05</v>
      </c>
    </row>
    <row r="83" spans="1:69" ht="15.75" hidden="1" customHeight="1">
      <c r="A83" s="559">
        <v>320</v>
      </c>
      <c r="B83" s="563" t="s">
        <v>280</v>
      </c>
      <c r="C83" s="560" t="s">
        <v>281</v>
      </c>
      <c r="D83" s="564">
        <v>109454</v>
      </c>
      <c r="E83" s="563" t="s">
        <v>236</v>
      </c>
      <c r="F83" s="563" t="s">
        <v>17</v>
      </c>
      <c r="G83" s="563" t="s">
        <v>24</v>
      </c>
      <c r="H83" s="563" t="s">
        <v>26</v>
      </c>
      <c r="I83" s="564" t="s">
        <v>431</v>
      </c>
      <c r="J83" s="564">
        <v>1</v>
      </c>
      <c r="K83" s="563" t="s">
        <v>285</v>
      </c>
      <c r="L83" s="565">
        <v>43442</v>
      </c>
      <c r="M83" s="566">
        <v>6.2199999999999998E-2</v>
      </c>
      <c r="N83" s="563" t="s">
        <v>404</v>
      </c>
      <c r="O83" s="563"/>
      <c r="P83" s="566" t="str">
        <f>VLOOKUP(A83,'[1]Raw data'!$B:$BB,23,FALSE)</f>
        <v>RMB</v>
      </c>
      <c r="Q83" s="563" t="str">
        <f>VLOOKUP(A83,'[1]Raw data'!$B:$Z,2,FALSE)</f>
        <v>C49SZX20190077SX</v>
      </c>
      <c r="R83" s="563" t="str">
        <f>VLOOKUP(A83,'[1]Raw data'!$B:$Z,3,FALSE)</f>
        <v>An Lin东莞安林</v>
      </c>
      <c r="S83" s="563" t="str">
        <f>VLOOKUP(A83,'[1]Raw data'!$B:$Z,4,FALSE)</f>
        <v>YSM10</v>
      </c>
      <c r="T83" s="563" t="str">
        <f>VLOOKUP(A83,'[1]Raw data'!$B:$Z,8,FALSE)</f>
        <v>R-&gt;L</v>
      </c>
      <c r="U83" s="563" t="str">
        <f>VLOOKUP(A83,'[1]Raw data'!$B:$Z,9,FALSE)</f>
        <v>MVC</v>
      </c>
      <c r="V83" s="567" t="str">
        <f t="shared" si="10"/>
        <v>WRONG</v>
      </c>
      <c r="W83" s="563" t="str">
        <f>VLOOKUP(A83,'[1]Raw data'!$B:$AG,32,FALSE)</f>
        <v>含税到厂</v>
      </c>
      <c r="X83" s="563">
        <f>VLOOKUP(A83,'[1]Raw data'!$B:$BA,31,FALSE)</f>
        <v>43607</v>
      </c>
      <c r="Y83" s="563" t="str">
        <f>VLOOKUP(A83,'[1]Raw data'!$B:$AS,39,FALSE)</f>
        <v>Yes</v>
      </c>
      <c r="Z83" s="568" t="s">
        <v>329</v>
      </c>
      <c r="AA83" s="569" t="s">
        <v>329</v>
      </c>
      <c r="AB83" s="570"/>
      <c r="AC83" s="563" t="s">
        <v>432</v>
      </c>
      <c r="AN83" s="542"/>
      <c r="AO83" s="824" t="str">
        <f t="shared" si="11"/>
        <v>Yes</v>
      </c>
      <c r="AP83" s="259" t="str">
        <f t="shared" si="12"/>
        <v>JUN 19</v>
      </c>
      <c r="AQ83" s="542" t="str">
        <f t="shared" si="13"/>
        <v>有定金+有預留客戶</v>
      </c>
      <c r="AR83" s="259" t="str">
        <f t="shared" si="14"/>
        <v>Shipped_Stock</v>
      </c>
      <c r="AS83" s="259" t="str">
        <f t="shared" si="15"/>
        <v/>
      </c>
      <c r="AT83" s="259" t="str">
        <f t="shared" si="16"/>
        <v>An Lin东莞安林</v>
      </c>
      <c r="AU83" s="259" t="str">
        <f t="shared" si="17"/>
        <v>C49SZX20190077SX</v>
      </c>
      <c r="AV83" s="259" t="str">
        <f t="shared" si="18"/>
        <v>Dec-08</v>
      </c>
    </row>
    <row r="84" spans="1:69" ht="15" hidden="1" customHeight="1">
      <c r="A84" s="559">
        <v>314</v>
      </c>
      <c r="B84" s="563" t="s">
        <v>280</v>
      </c>
      <c r="C84" s="560" t="s">
        <v>281</v>
      </c>
      <c r="D84" s="564">
        <v>109454</v>
      </c>
      <c r="E84" s="563" t="s">
        <v>236</v>
      </c>
      <c r="F84" s="563" t="s">
        <v>17</v>
      </c>
      <c r="G84" s="563" t="s">
        <v>24</v>
      </c>
      <c r="H84" s="563" t="s">
        <v>433</v>
      </c>
      <c r="I84" s="564" t="s">
        <v>434</v>
      </c>
      <c r="J84" s="564">
        <v>1</v>
      </c>
      <c r="K84" s="563" t="s">
        <v>295</v>
      </c>
      <c r="L84" s="565">
        <v>43442</v>
      </c>
      <c r="M84" s="566">
        <v>6.2199999999999998E-2</v>
      </c>
      <c r="N84" s="563" t="s">
        <v>404</v>
      </c>
      <c r="O84" s="563"/>
      <c r="P84" s="566" t="str">
        <f>VLOOKUP(A84,'[1]Raw data'!$B:$BB,23,FALSE)</f>
        <v>RMB</v>
      </c>
      <c r="Q84" s="563" t="str">
        <f>VLOOKUP(A84,'[1]Raw data'!$B:$Z,2,FALSE)</f>
        <v>C49SZX20190066MZ</v>
      </c>
      <c r="R84" s="563" t="str">
        <f>VLOOKUP(A84,'[1]Raw data'!$B:$Z,3,FALSE)</f>
        <v>派诺</v>
      </c>
      <c r="S84" s="563" t="str">
        <f>VLOOKUP(A84,'[1]Raw data'!$B:$Z,4,FALSE)</f>
        <v>YSM10</v>
      </c>
      <c r="T84" s="563" t="str">
        <f>VLOOKUP(A84,'[1]Raw data'!$B:$Z,8,FALSE)</f>
        <v>R-&gt;L</v>
      </c>
      <c r="U84" s="563" t="str">
        <f>VLOOKUP(A84,'[1]Raw data'!$B:$Z,9,FALSE)</f>
        <v>Rear站位</v>
      </c>
      <c r="V84" s="567" t="str">
        <f t="shared" si="10"/>
        <v>WRONG</v>
      </c>
      <c r="W84" s="563" t="str">
        <f>VLOOKUP(A84,'[1]Raw data'!$B:$AG,32,FALSE)</f>
        <v>含税到厂</v>
      </c>
      <c r="X84" s="563">
        <f>VLOOKUP(A84,'[1]Raw data'!$B:$BA,31,FALSE)</f>
        <v>43600</v>
      </c>
      <c r="Y84" s="563" t="str">
        <f>VLOOKUP(A84,'[1]Raw data'!$B:$AS,39,FALSE)</f>
        <v>Yes</v>
      </c>
      <c r="Z84" s="568"/>
      <c r="AA84" s="569"/>
      <c r="AB84" s="570"/>
      <c r="AC84" s="563" t="s">
        <v>435</v>
      </c>
      <c r="AN84" s="542"/>
      <c r="AO84" s="824" t="str">
        <f t="shared" si="11"/>
        <v>Yes</v>
      </c>
      <c r="AP84" s="259" t="str">
        <f t="shared" si="12"/>
        <v>JUN 19</v>
      </c>
      <c r="AQ84" s="542" t="str">
        <f t="shared" si="13"/>
        <v>有定金+有預留客戶</v>
      </c>
      <c r="AR84" s="259" t="str">
        <f t="shared" si="14"/>
        <v>Shipped_Stock</v>
      </c>
      <c r="AS84" s="259" t="str">
        <f t="shared" si="15"/>
        <v/>
      </c>
      <c r="AT84" s="259" t="str">
        <f t="shared" si="16"/>
        <v>派诺</v>
      </c>
      <c r="AU84" s="259" t="str">
        <f t="shared" si="17"/>
        <v>C49SZX20190066MZ</v>
      </c>
      <c r="AV84" s="259" t="str">
        <f t="shared" si="18"/>
        <v>Dec-08</v>
      </c>
    </row>
    <row r="85" spans="1:69" ht="15" hidden="1" customHeight="1">
      <c r="A85" s="559">
        <v>236</v>
      </c>
      <c r="B85" s="563" t="s">
        <v>280</v>
      </c>
      <c r="C85" s="560" t="s">
        <v>281</v>
      </c>
      <c r="D85" s="564">
        <v>109454</v>
      </c>
      <c r="E85" s="563" t="s">
        <v>236</v>
      </c>
      <c r="F85" s="563" t="s">
        <v>17</v>
      </c>
      <c r="G85" s="563" t="s">
        <v>24</v>
      </c>
      <c r="H85" s="563" t="s">
        <v>34</v>
      </c>
      <c r="I85" s="564" t="s">
        <v>436</v>
      </c>
      <c r="J85" s="564">
        <v>1</v>
      </c>
      <c r="K85" s="563" t="s">
        <v>437</v>
      </c>
      <c r="L85" s="565">
        <v>43442</v>
      </c>
      <c r="M85" s="566">
        <v>6.2199999999999998E-2</v>
      </c>
      <c r="N85" s="563" t="s">
        <v>334</v>
      </c>
      <c r="O85" s="563"/>
      <c r="P85" s="566" t="str">
        <f>VLOOKUP(A85,'[1]Raw data'!$B:$BB,23,FALSE)</f>
        <v>JPY</v>
      </c>
      <c r="Q85" s="563" t="str">
        <f>VLOOKUP(A85,'[1]Raw data'!$B:$Z,2,FALSE)</f>
        <v>C49SZX20190019SX</v>
      </c>
      <c r="R85" s="563" t="str">
        <f>VLOOKUP(A85,'[1]Raw data'!$B:$Z,3,FALSE)</f>
        <v>永顺创</v>
      </c>
      <c r="S85" s="563" t="str">
        <f>VLOOKUP(A85,'[1]Raw data'!$B:$Z,4,FALSE)</f>
        <v>YSM10</v>
      </c>
      <c r="T85" s="563" t="str">
        <f>VLOOKUP(A85,'[1]Raw data'!$B:$Z,8,FALSE)</f>
        <v>L-&gt;R</v>
      </c>
      <c r="U85" s="563" t="str">
        <f>VLOOKUP(A85,'[1]Raw data'!$B:$Z,9,FALSE)</f>
        <v>MVC+ATS15</v>
      </c>
      <c r="V85" s="567" t="str">
        <f t="shared" si="10"/>
        <v>OK</v>
      </c>
      <c r="W85" s="563" t="str">
        <f>VLOOKUP(A85,'[1]Raw data'!$B:$AG,32,FALSE)</f>
        <v>DAP 深圳</v>
      </c>
      <c r="X85" s="563">
        <f>VLOOKUP(A85,'[1]Raw data'!$B:$BA,31,FALSE)</f>
        <v>43517</v>
      </c>
      <c r="Y85" s="563" t="str">
        <f>VLOOKUP(A85,'[1]Raw data'!$B:$AS,39,FALSE)</f>
        <v>Yes</v>
      </c>
      <c r="Z85" s="568" t="s">
        <v>290</v>
      </c>
      <c r="AA85" s="569" t="s">
        <v>290</v>
      </c>
      <c r="AB85" s="570"/>
      <c r="AC85" s="563" t="s">
        <v>291</v>
      </c>
      <c r="AN85" s="588"/>
      <c r="AO85" s="824" t="str">
        <f t="shared" si="11"/>
        <v>Yes</v>
      </c>
      <c r="AP85" s="259" t="str">
        <f t="shared" si="12"/>
        <v>MAR 19</v>
      </c>
      <c r="AQ85" s="542" t="str">
        <f t="shared" si="13"/>
        <v>有定金+有預留客戶</v>
      </c>
      <c r="AR85" s="259" t="str">
        <f t="shared" si="14"/>
        <v>Shipped_Stock</v>
      </c>
      <c r="AS85" s="259" t="str">
        <f t="shared" si="15"/>
        <v/>
      </c>
      <c r="AT85" s="259" t="str">
        <f t="shared" si="16"/>
        <v>永顺创</v>
      </c>
      <c r="AU85" s="259" t="str">
        <f t="shared" si="17"/>
        <v>C49SZX20190019SX</v>
      </c>
      <c r="AV85" s="259" t="str">
        <f t="shared" si="18"/>
        <v>Dec-08</v>
      </c>
    </row>
    <row r="86" spans="1:69" ht="15" hidden="1" customHeight="1">
      <c r="A86" s="559">
        <v>202</v>
      </c>
      <c r="B86" s="563" t="s">
        <v>280</v>
      </c>
      <c r="C86" s="560" t="s">
        <v>281</v>
      </c>
      <c r="D86" s="564">
        <v>109454</v>
      </c>
      <c r="E86" s="563" t="s">
        <v>236</v>
      </c>
      <c r="F86" s="563" t="s">
        <v>241</v>
      </c>
      <c r="G86" s="563" t="s">
        <v>24</v>
      </c>
      <c r="H86" s="563" t="s">
        <v>34</v>
      </c>
      <c r="I86" s="564" t="s">
        <v>438</v>
      </c>
      <c r="J86" s="564">
        <v>1</v>
      </c>
      <c r="K86" s="563" t="s">
        <v>437</v>
      </c>
      <c r="L86" s="565">
        <v>43442</v>
      </c>
      <c r="M86" s="566">
        <v>6.2199999999999998E-2</v>
      </c>
      <c r="N86" s="563" t="s">
        <v>404</v>
      </c>
      <c r="O86" s="563"/>
      <c r="P86" s="566" t="str">
        <f>VLOOKUP(A86,'[1]Raw data'!$B:$BB,23,FALSE)</f>
        <v>JPY</v>
      </c>
      <c r="Q86" s="563" t="str">
        <f>VLOOKUP(A86,'[1]Raw data'!$B:$Z,2,FALSE)</f>
        <v>C49SZX20190001JY</v>
      </c>
      <c r="R86" s="563" t="str">
        <f>VLOOKUP(A86,'[1]Raw data'!$B:$Z,3,FALSE)</f>
        <v>Kingtron络鑫</v>
      </c>
      <c r="S86" s="563" t="str">
        <f>VLOOKUP(A86,'[1]Raw data'!$B:$Z,4,FALSE)</f>
        <v>YSM10</v>
      </c>
      <c r="T86" s="563" t="str">
        <f>VLOOKUP(A86,'[1]Raw data'!$B:$Z,8,FALSE)</f>
        <v>L-&gt;R</v>
      </c>
      <c r="U86" s="563" t="str">
        <f>VLOOKUP(A86,'[1]Raw data'!$B:$Z,9,FALSE)</f>
        <v>MVC+ATS15</v>
      </c>
      <c r="V86" s="567" t="str">
        <f t="shared" si="10"/>
        <v>OK</v>
      </c>
      <c r="W86" s="563" t="str">
        <f>VLOOKUP(A86,'[1]Raw data'!$B:$AG,32,FALSE)</f>
        <v>CIF HK</v>
      </c>
      <c r="X86" s="563">
        <f>VLOOKUP(A86,'[1]Raw data'!$B:$BA,31,FALSE)</f>
        <v>43473</v>
      </c>
      <c r="Y86" s="563" t="str">
        <f>VLOOKUP(A86,'[1]Raw data'!$B:$AS,39,FALSE)</f>
        <v>Yes</v>
      </c>
      <c r="Z86" s="568" t="s">
        <v>290</v>
      </c>
      <c r="AA86" s="569" t="s">
        <v>290</v>
      </c>
      <c r="AB86" s="570"/>
      <c r="AC86" s="563" t="s">
        <v>439</v>
      </c>
      <c r="AN86" s="588"/>
      <c r="AO86" s="824" t="str">
        <f t="shared" si="11"/>
        <v>Yes</v>
      </c>
      <c r="AP86" s="259" t="str">
        <f t="shared" si="12"/>
        <v>JUN 19</v>
      </c>
      <c r="AQ86" s="542" t="str">
        <f t="shared" si="13"/>
        <v>有定金+有預留客戶</v>
      </c>
      <c r="AR86" s="259" t="str">
        <f t="shared" si="14"/>
        <v>Shipped_Stock</v>
      </c>
      <c r="AS86" s="259" t="str">
        <f t="shared" si="15"/>
        <v/>
      </c>
      <c r="AT86" s="259" t="str">
        <f t="shared" si="16"/>
        <v>Kingtron络鑫</v>
      </c>
      <c r="AU86" s="259" t="str">
        <f t="shared" si="17"/>
        <v>C49SZX20190001JY</v>
      </c>
      <c r="AV86" s="259" t="str">
        <f t="shared" si="18"/>
        <v>Dec-08</v>
      </c>
    </row>
    <row r="87" spans="1:69" ht="15" hidden="1" customHeight="1">
      <c r="A87" s="559">
        <v>327</v>
      </c>
      <c r="B87" s="563" t="s">
        <v>280</v>
      </c>
      <c r="C87" s="560" t="s">
        <v>281</v>
      </c>
      <c r="D87" s="564">
        <v>109454</v>
      </c>
      <c r="E87" s="563" t="s">
        <v>236</v>
      </c>
      <c r="F87" s="563" t="s">
        <v>17</v>
      </c>
      <c r="G87" s="563" t="s">
        <v>24</v>
      </c>
      <c r="H87" s="563" t="s">
        <v>34</v>
      </c>
      <c r="I87" s="564" t="s">
        <v>440</v>
      </c>
      <c r="J87" s="564">
        <v>1</v>
      </c>
      <c r="K87" s="563" t="s">
        <v>437</v>
      </c>
      <c r="L87" s="565">
        <v>43442</v>
      </c>
      <c r="M87" s="566">
        <v>6.2199999999999998E-2</v>
      </c>
      <c r="N87" s="563" t="s">
        <v>404</v>
      </c>
      <c r="O87" s="563"/>
      <c r="P87" s="566" t="str">
        <f>VLOOKUP(A87,'[1]Raw data'!$B:$BB,23,FALSE)</f>
        <v>JPY</v>
      </c>
      <c r="Q87" s="563" t="str">
        <f>VLOOKUP(A87,'[1]Raw data'!$B:$Z,2,FALSE)</f>
        <v>C49SZX20190075ZX</v>
      </c>
      <c r="R87" s="563" t="str">
        <f>VLOOKUP(A87,'[1]Raw data'!$B:$Z,3,FALSE)</f>
        <v>宽宏/End user:亿联</v>
      </c>
      <c r="S87" s="563" t="str">
        <f>VLOOKUP(A87,'[1]Raw data'!$B:$Z,4,FALSE)</f>
        <v>YSM10</v>
      </c>
      <c r="T87" s="563" t="str">
        <f>VLOOKUP(A87,'[1]Raw data'!$B:$Z,8,FALSE)</f>
        <v>L-&gt;R</v>
      </c>
      <c r="U87" s="563" t="str">
        <f>VLOOKUP(A87,'[1]Raw data'!$B:$Z,9,FALSE)</f>
        <v>MVC+ATS15</v>
      </c>
      <c r="V87" s="567" t="str">
        <f t="shared" si="10"/>
        <v>OK</v>
      </c>
      <c r="W87" s="563" t="str">
        <f>VLOOKUP(A87,'[1]Raw data'!$B:$AG,32,FALSE)</f>
        <v>CIF HK</v>
      </c>
      <c r="X87" s="563">
        <f>VLOOKUP(A87,'[1]Raw data'!$B:$BA,31,FALSE)</f>
        <v>43612</v>
      </c>
      <c r="Y87" s="563" t="str">
        <f>VLOOKUP(A87,'[1]Raw data'!$B:$AS,39,FALSE)</f>
        <v>Yes</v>
      </c>
      <c r="Z87" s="568" t="s">
        <v>290</v>
      </c>
      <c r="AA87" s="569" t="s">
        <v>290</v>
      </c>
      <c r="AB87" s="570"/>
      <c r="AC87" s="563" t="s">
        <v>441</v>
      </c>
      <c r="AN87" s="588"/>
      <c r="AO87" s="824" t="str">
        <f t="shared" si="11"/>
        <v>Yes</v>
      </c>
      <c r="AP87" s="259" t="str">
        <f t="shared" si="12"/>
        <v>JUN 19</v>
      </c>
      <c r="AQ87" s="542" t="str">
        <f t="shared" si="13"/>
        <v>有定金+有預留客戶</v>
      </c>
      <c r="AR87" s="259" t="str">
        <f t="shared" si="14"/>
        <v>Shipped_Stock</v>
      </c>
      <c r="AS87" s="259" t="str">
        <f t="shared" si="15"/>
        <v/>
      </c>
      <c r="AT87" s="259" t="str">
        <f t="shared" si="16"/>
        <v>宽宏/End user:亿联</v>
      </c>
      <c r="AU87" s="259" t="str">
        <f t="shared" si="17"/>
        <v>C49SZX20190075ZX</v>
      </c>
      <c r="AV87" s="259" t="str">
        <f t="shared" si="18"/>
        <v>Dec-08</v>
      </c>
    </row>
    <row r="88" spans="1:69" ht="15" hidden="1" customHeight="1">
      <c r="A88" s="559">
        <v>237</v>
      </c>
      <c r="B88" s="563" t="s">
        <v>280</v>
      </c>
      <c r="C88" s="560" t="s">
        <v>281</v>
      </c>
      <c r="D88" s="564">
        <v>109454</v>
      </c>
      <c r="E88" s="563" t="s">
        <v>236</v>
      </c>
      <c r="F88" s="563" t="s">
        <v>17</v>
      </c>
      <c r="G88" s="563" t="s">
        <v>24</v>
      </c>
      <c r="H88" s="563" t="s">
        <v>34</v>
      </c>
      <c r="I88" s="564" t="s">
        <v>442</v>
      </c>
      <c r="J88" s="564">
        <v>1</v>
      </c>
      <c r="K88" s="563" t="s">
        <v>437</v>
      </c>
      <c r="L88" s="565">
        <v>43442</v>
      </c>
      <c r="M88" s="566">
        <v>6.2199999999999998E-2</v>
      </c>
      <c r="N88" s="563" t="s">
        <v>404</v>
      </c>
      <c r="O88" s="563"/>
      <c r="P88" s="566" t="str">
        <f>VLOOKUP(A88,'[1]Raw data'!$B:$BB,23,FALSE)</f>
        <v>RMB</v>
      </c>
      <c r="Q88" s="563" t="str">
        <f>VLOOKUP(A88,'[1]Raw data'!$B:$Z,2,FALSE)</f>
        <v>C49SZX20190021JL</v>
      </c>
      <c r="R88" s="563" t="str">
        <f>VLOOKUP(A88,'[1]Raw data'!$B:$Z,3,FALSE)</f>
        <v>名佳</v>
      </c>
      <c r="S88" s="563" t="str">
        <f>VLOOKUP(A88,'[1]Raw data'!$B:$Z,4,FALSE)</f>
        <v>YSM10</v>
      </c>
      <c r="T88" s="563" t="str">
        <f>VLOOKUP(A88,'[1]Raw data'!$B:$Z,8,FALSE)</f>
        <v>R-&gt;L</v>
      </c>
      <c r="U88" s="563" t="str">
        <f>VLOOKUP(A88,'[1]Raw data'!$B:$Z,9,FALSE)</f>
        <v>MVC+ATS15</v>
      </c>
      <c r="V88" s="567" t="str">
        <f t="shared" si="10"/>
        <v>WRONG</v>
      </c>
      <c r="W88" s="563" t="str">
        <f>VLOOKUP(A88,'[1]Raw data'!$B:$AG,32,FALSE)</f>
        <v>含税到厂</v>
      </c>
      <c r="X88" s="563">
        <f>VLOOKUP(A88,'[1]Raw data'!$B:$BA,31,FALSE)</f>
        <v>43522</v>
      </c>
      <c r="Y88" s="563" t="str">
        <f>VLOOKUP(A88,'[1]Raw data'!$B:$AS,39,FALSE)</f>
        <v>Yes</v>
      </c>
      <c r="Z88" s="568" t="s">
        <v>290</v>
      </c>
      <c r="AA88" s="569" t="s">
        <v>290</v>
      </c>
      <c r="AB88" s="570"/>
      <c r="AC88" s="563" t="s">
        <v>443</v>
      </c>
      <c r="AN88" s="542"/>
      <c r="AO88" s="824" t="str">
        <f t="shared" si="11"/>
        <v>Yes</v>
      </c>
      <c r="AP88" s="259" t="str">
        <f t="shared" si="12"/>
        <v>JUN 19</v>
      </c>
      <c r="AQ88" s="542" t="str">
        <f t="shared" si="13"/>
        <v>有定金+有預留客戶</v>
      </c>
      <c r="AR88" s="259" t="str">
        <f t="shared" si="14"/>
        <v>Shipped_Stock</v>
      </c>
      <c r="AS88" s="259" t="str">
        <f t="shared" si="15"/>
        <v/>
      </c>
      <c r="AT88" s="259" t="str">
        <f t="shared" si="16"/>
        <v>名佳</v>
      </c>
      <c r="AU88" s="259" t="str">
        <f t="shared" si="17"/>
        <v>C49SZX20190021JL</v>
      </c>
      <c r="AV88" s="259" t="str">
        <f t="shared" si="18"/>
        <v>Dec-08</v>
      </c>
    </row>
    <row r="89" spans="1:69" s="837" customFormat="1" ht="15" hidden="1" customHeight="1">
      <c r="A89" s="559">
        <v>197</v>
      </c>
      <c r="B89" s="563" t="s">
        <v>280</v>
      </c>
      <c r="C89" s="560" t="s">
        <v>281</v>
      </c>
      <c r="D89" s="564">
        <v>109454</v>
      </c>
      <c r="E89" s="563" t="s">
        <v>236</v>
      </c>
      <c r="F89" s="563" t="s">
        <v>17</v>
      </c>
      <c r="G89" s="563" t="s">
        <v>24</v>
      </c>
      <c r="H89" s="563" t="s">
        <v>27</v>
      </c>
      <c r="I89" s="564" t="s">
        <v>444</v>
      </c>
      <c r="J89" s="564">
        <v>1</v>
      </c>
      <c r="K89" s="563" t="s">
        <v>437</v>
      </c>
      <c r="L89" s="565">
        <v>43442</v>
      </c>
      <c r="M89" s="566">
        <v>6.2199999999999998E-2</v>
      </c>
      <c r="N89" s="563" t="s">
        <v>334</v>
      </c>
      <c r="O89" s="563"/>
      <c r="P89" s="566" t="str">
        <f>VLOOKUP(A89,'[1]Raw data'!$B:$BB,23,FALSE)</f>
        <v>JPY</v>
      </c>
      <c r="Q89" s="563" t="str">
        <f>VLOOKUP(A89,'[1]Raw data'!$B:$Z,2,FALSE)</f>
        <v>C49SZX20180177JL</v>
      </c>
      <c r="R89" s="563" t="str">
        <f>VLOOKUP(A89,'[1]Raw data'!$B:$Z,3,FALSE)</f>
        <v>Tuopuai拓普艾</v>
      </c>
      <c r="S89" s="563" t="str">
        <f>VLOOKUP(A89,'[1]Raw data'!$B:$Z,4,FALSE)</f>
        <v>YSM10</v>
      </c>
      <c r="T89" s="563" t="str">
        <f>VLOOKUP(A89,'[1]Raw data'!$B:$Z,8,FALSE)</f>
        <v>L-&gt;R</v>
      </c>
      <c r="U89" s="563" t="str">
        <f>VLOOKUP(A89,'[1]Raw data'!$B:$Z,9,FALSE)</f>
        <v>MVC</v>
      </c>
      <c r="V89" s="567" t="str">
        <f t="shared" si="10"/>
        <v>OK</v>
      </c>
      <c r="W89" s="563" t="str">
        <f>VLOOKUP(A89,'[1]Raw data'!$B:$AG,32,FALSE)</f>
        <v>CIF</v>
      </c>
      <c r="X89" s="563">
        <f>VLOOKUP(A89,'[1]Raw data'!$B:$BA,31,FALSE)</f>
        <v>43203</v>
      </c>
      <c r="Y89" s="563" t="str">
        <f>VLOOKUP(A89,'[1]Raw data'!$B:$AS,39,FALSE)</f>
        <v>Yes</v>
      </c>
      <c r="Z89" s="568" t="s">
        <v>445</v>
      </c>
      <c r="AA89" s="569" t="s">
        <v>329</v>
      </c>
      <c r="AB89" s="570"/>
      <c r="AC89" s="563" t="s">
        <v>291</v>
      </c>
      <c r="AD89" s="571"/>
      <c r="AE89" s="571"/>
      <c r="AF89" s="571"/>
      <c r="AG89" s="571"/>
      <c r="AH89" s="571"/>
      <c r="AI89" s="572"/>
      <c r="AJ89" s="571"/>
      <c r="AK89" s="571"/>
      <c r="AL89" s="571"/>
      <c r="AM89" s="571"/>
      <c r="AN89" s="542"/>
      <c r="AO89" s="824" t="str">
        <f t="shared" si="11"/>
        <v>Yes</v>
      </c>
      <c r="AP89" s="259" t="str">
        <f t="shared" si="12"/>
        <v>MAR 19</v>
      </c>
      <c r="AQ89" s="542" t="str">
        <f t="shared" si="13"/>
        <v>有定金+有預留客戶</v>
      </c>
      <c r="AR89" s="259" t="str">
        <f t="shared" si="14"/>
        <v>Shipped_Stock</v>
      </c>
      <c r="AS89" s="259" t="str">
        <f t="shared" si="15"/>
        <v/>
      </c>
      <c r="AT89" s="259" t="str">
        <f t="shared" si="16"/>
        <v>Tuopuai拓普艾</v>
      </c>
      <c r="AU89" s="259" t="str">
        <f t="shared" si="17"/>
        <v>C49SZX20180177JL</v>
      </c>
      <c r="AV89" s="259" t="str">
        <f t="shared" si="18"/>
        <v>Dec-08</v>
      </c>
      <c r="AW89" s="259"/>
      <c r="AX89" s="259"/>
      <c r="AY89" s="259"/>
      <c r="AZ89" s="259"/>
      <c r="BA89" s="259"/>
      <c r="BB89" s="259"/>
      <c r="BC89" s="259"/>
      <c r="BD89" s="259"/>
      <c r="BE89" s="259"/>
      <c r="BF89" s="259"/>
      <c r="BG89" s="259"/>
      <c r="BH89" s="259"/>
      <c r="BI89" s="259"/>
      <c r="BJ89" s="259"/>
      <c r="BK89" s="259"/>
      <c r="BL89" s="259"/>
      <c r="BM89" s="259"/>
      <c r="BN89" s="259"/>
      <c r="BO89" s="259"/>
      <c r="BP89" s="259"/>
      <c r="BQ89" s="259"/>
    </row>
    <row r="90" spans="1:69" s="837" customFormat="1" ht="15" hidden="1" customHeight="1">
      <c r="A90" s="559">
        <v>199</v>
      </c>
      <c r="B90" s="563" t="s">
        <v>280</v>
      </c>
      <c r="C90" s="560" t="s">
        <v>281</v>
      </c>
      <c r="D90" s="564">
        <v>109454</v>
      </c>
      <c r="E90" s="563" t="s">
        <v>236</v>
      </c>
      <c r="F90" s="563" t="s">
        <v>17</v>
      </c>
      <c r="G90" s="563" t="s">
        <v>24</v>
      </c>
      <c r="H90" s="563" t="s">
        <v>27</v>
      </c>
      <c r="I90" s="564" t="s">
        <v>446</v>
      </c>
      <c r="J90" s="564">
        <v>1</v>
      </c>
      <c r="K90" s="563" t="s">
        <v>437</v>
      </c>
      <c r="L90" s="565">
        <v>43442</v>
      </c>
      <c r="M90" s="566">
        <v>6.2199999999999998E-2</v>
      </c>
      <c r="N90" s="563" t="s">
        <v>334</v>
      </c>
      <c r="O90" s="563"/>
      <c r="P90" s="566" t="str">
        <f>VLOOKUP(A90,'[1]Raw data'!$B:$BB,23,FALSE)</f>
        <v>JPY</v>
      </c>
      <c r="Q90" s="563" t="str">
        <f>VLOOKUP(A90,'[1]Raw data'!$B:$Z,2,FALSE)</f>
        <v>C49SZX20180177JL</v>
      </c>
      <c r="R90" s="563" t="str">
        <f>VLOOKUP(A90,'[1]Raw data'!$B:$Z,3,FALSE)</f>
        <v>Tuopuai拓普艾</v>
      </c>
      <c r="S90" s="563" t="str">
        <f>VLOOKUP(A90,'[1]Raw data'!$B:$Z,4,FALSE)</f>
        <v>YSM10</v>
      </c>
      <c r="T90" s="563" t="str">
        <f>VLOOKUP(A90,'[1]Raw data'!$B:$Z,8,FALSE)</f>
        <v>L-&gt;R</v>
      </c>
      <c r="U90" s="563" t="str">
        <f>VLOOKUP(A90,'[1]Raw data'!$B:$Z,9,FALSE)</f>
        <v>MVC</v>
      </c>
      <c r="V90" s="567" t="str">
        <f t="shared" si="10"/>
        <v>OK</v>
      </c>
      <c r="W90" s="563" t="str">
        <f>VLOOKUP(A90,'[1]Raw data'!$B:$AG,32,FALSE)</f>
        <v>CIF</v>
      </c>
      <c r="X90" s="563">
        <f>VLOOKUP(A90,'[1]Raw data'!$B:$BA,31,FALSE)</f>
        <v>43203</v>
      </c>
      <c r="Y90" s="563" t="str">
        <f>VLOOKUP(A90,'[1]Raw data'!$B:$AS,39,FALSE)</f>
        <v>Yes</v>
      </c>
      <c r="Z90" s="568" t="s">
        <v>329</v>
      </c>
      <c r="AA90" s="569" t="s">
        <v>329</v>
      </c>
      <c r="AB90" s="570"/>
      <c r="AC90" s="563" t="s">
        <v>291</v>
      </c>
      <c r="AD90" s="571"/>
      <c r="AE90" s="571"/>
      <c r="AF90" s="571"/>
      <c r="AG90" s="571"/>
      <c r="AH90" s="571"/>
      <c r="AI90" s="572"/>
      <c r="AJ90" s="571"/>
      <c r="AK90" s="571"/>
      <c r="AL90" s="571"/>
      <c r="AM90" s="571"/>
      <c r="AN90" s="542"/>
      <c r="AO90" s="824" t="str">
        <f t="shared" si="11"/>
        <v>Yes</v>
      </c>
      <c r="AP90" s="259" t="str">
        <f t="shared" si="12"/>
        <v>MAR 19</v>
      </c>
      <c r="AQ90" s="542" t="str">
        <f t="shared" si="13"/>
        <v>有定金+有預留客戶</v>
      </c>
      <c r="AR90" s="259" t="str">
        <f t="shared" si="14"/>
        <v>Shipped_Stock</v>
      </c>
      <c r="AS90" s="259" t="str">
        <f t="shared" si="15"/>
        <v/>
      </c>
      <c r="AT90" s="259" t="str">
        <f t="shared" si="16"/>
        <v>Tuopuai拓普艾</v>
      </c>
      <c r="AU90" s="259" t="str">
        <f t="shared" si="17"/>
        <v>C49SZX20180177JL</v>
      </c>
      <c r="AV90" s="259" t="str">
        <f t="shared" si="18"/>
        <v>Dec-08</v>
      </c>
      <c r="AW90" s="259"/>
      <c r="AX90" s="259"/>
      <c r="AY90" s="259"/>
      <c r="AZ90" s="259"/>
      <c r="BA90" s="259"/>
      <c r="BB90" s="259"/>
      <c r="BC90" s="259"/>
      <c r="BD90" s="259"/>
      <c r="BE90" s="259"/>
      <c r="BF90" s="259"/>
      <c r="BG90" s="259"/>
      <c r="BH90" s="259"/>
      <c r="BI90" s="259"/>
      <c r="BJ90" s="259"/>
      <c r="BK90" s="259"/>
      <c r="BL90" s="259"/>
      <c r="BM90" s="259"/>
      <c r="BN90" s="259"/>
      <c r="BO90" s="259"/>
      <c r="BP90" s="259"/>
      <c r="BQ90" s="259"/>
    </row>
    <row r="91" spans="1:69" s="837" customFormat="1" ht="15" hidden="1" customHeight="1">
      <c r="A91" s="559">
        <v>336</v>
      </c>
      <c r="B91" s="563" t="s">
        <v>280</v>
      </c>
      <c r="C91" s="560" t="s">
        <v>281</v>
      </c>
      <c r="D91" s="564">
        <v>109454</v>
      </c>
      <c r="E91" s="563" t="s">
        <v>236</v>
      </c>
      <c r="F91" s="563" t="s">
        <v>17</v>
      </c>
      <c r="G91" s="563" t="s">
        <v>24</v>
      </c>
      <c r="H91" s="563" t="s">
        <v>27</v>
      </c>
      <c r="I91" s="564" t="s">
        <v>447</v>
      </c>
      <c r="J91" s="564">
        <v>1</v>
      </c>
      <c r="K91" s="563" t="s">
        <v>437</v>
      </c>
      <c r="L91" s="565">
        <v>43442</v>
      </c>
      <c r="M91" s="566">
        <v>6.2199999999999998E-2</v>
      </c>
      <c r="N91" s="563" t="s">
        <v>381</v>
      </c>
      <c r="O91" s="563"/>
      <c r="P91" s="566" t="str">
        <f>VLOOKUP(A91,'[1]Raw data'!$B:$BB,23,FALSE)</f>
        <v>RMB</v>
      </c>
      <c r="Q91" s="563" t="str">
        <f>VLOOKUP(A91,'[1]Raw data'!$B:$Z,2,FALSE)</f>
        <v>C49SZX20190085JL</v>
      </c>
      <c r="R91" s="563" t="str">
        <f>VLOOKUP(A91,'[1]Raw data'!$B:$Z,3,FALSE)</f>
        <v>鹏鑫达/end user:晶昌</v>
      </c>
      <c r="S91" s="563" t="str">
        <f>VLOOKUP(A91,'[1]Raw data'!$B:$Z,4,FALSE)</f>
        <v>YSM10</v>
      </c>
      <c r="T91" s="563" t="str">
        <f>VLOOKUP(A91,'[1]Raw data'!$B:$Z,8,FALSE)</f>
        <v>R-&gt;L</v>
      </c>
      <c r="U91" s="563" t="str">
        <f>VLOOKUP(A91,'[1]Raw data'!$B:$Z,9,FALSE)</f>
        <v>MVC</v>
      </c>
      <c r="V91" s="567" t="str">
        <f t="shared" si="10"/>
        <v>WRONG</v>
      </c>
      <c r="W91" s="563" t="str">
        <f>VLOOKUP(A91,'[1]Raw data'!$B:$AG,32,FALSE)</f>
        <v>DAP SZ</v>
      </c>
      <c r="X91" s="563">
        <f>VLOOKUP(A91,'[1]Raw data'!$B:$BA,31,FALSE)</f>
        <v>43613</v>
      </c>
      <c r="Y91" s="563" t="str">
        <f>VLOOKUP(A91,'[1]Raw data'!$B:$AS,39,FALSE)</f>
        <v>Yes</v>
      </c>
      <c r="Z91" s="568" t="s">
        <v>290</v>
      </c>
      <c r="AA91" s="569" t="s">
        <v>290</v>
      </c>
      <c r="AB91" s="570"/>
      <c r="AC91" s="563" t="s">
        <v>448</v>
      </c>
      <c r="AD91" s="571"/>
      <c r="AE91" s="571"/>
      <c r="AF91" s="571"/>
      <c r="AG91" s="571"/>
      <c r="AH91" s="571"/>
      <c r="AI91" s="572"/>
      <c r="AJ91" s="571"/>
      <c r="AK91" s="571"/>
      <c r="AL91" s="571"/>
      <c r="AM91" s="571"/>
      <c r="AN91" s="542"/>
      <c r="AO91" s="824" t="str">
        <f t="shared" si="11"/>
        <v>Yes</v>
      </c>
      <c r="AP91" s="259" t="str">
        <f t="shared" si="12"/>
        <v>MAY 19</v>
      </c>
      <c r="AQ91" s="542" t="str">
        <f t="shared" si="13"/>
        <v>有定金+有預留客戶</v>
      </c>
      <c r="AR91" s="259" t="str">
        <f t="shared" si="14"/>
        <v>Shipped_Stock</v>
      </c>
      <c r="AS91" s="259" t="str">
        <f t="shared" si="15"/>
        <v/>
      </c>
      <c r="AT91" s="259" t="str">
        <f t="shared" si="16"/>
        <v>鹏鑫达/end user:晶昌</v>
      </c>
      <c r="AU91" s="259" t="str">
        <f t="shared" si="17"/>
        <v>C49SZX20190085JL</v>
      </c>
      <c r="AV91" s="259" t="str">
        <f t="shared" si="18"/>
        <v>Dec-08</v>
      </c>
      <c r="AW91" s="259"/>
      <c r="AX91" s="259"/>
      <c r="AY91" s="259"/>
      <c r="AZ91" s="259"/>
      <c r="BA91" s="259"/>
      <c r="BB91" s="259"/>
      <c r="BC91" s="259"/>
      <c r="BD91" s="259"/>
      <c r="BE91" s="259"/>
      <c r="BF91" s="259"/>
      <c r="BG91" s="259"/>
      <c r="BH91" s="259"/>
      <c r="BI91" s="259"/>
      <c r="BJ91" s="259"/>
      <c r="BK91" s="259"/>
      <c r="BL91" s="259"/>
      <c r="BM91" s="259"/>
      <c r="BN91" s="259"/>
      <c r="BO91" s="259"/>
      <c r="BP91" s="259"/>
      <c r="BQ91" s="259"/>
    </row>
    <row r="92" spans="1:69" s="837" customFormat="1" ht="15" hidden="1" customHeight="1">
      <c r="A92" s="559">
        <v>203</v>
      </c>
      <c r="B92" s="563" t="s">
        <v>280</v>
      </c>
      <c r="C92" s="560" t="s">
        <v>281</v>
      </c>
      <c r="D92" s="564">
        <v>109454</v>
      </c>
      <c r="E92" s="563" t="s">
        <v>236</v>
      </c>
      <c r="F92" s="563" t="s">
        <v>17</v>
      </c>
      <c r="G92" s="563" t="s">
        <v>24</v>
      </c>
      <c r="H92" s="563" t="s">
        <v>26</v>
      </c>
      <c r="I92" s="564"/>
      <c r="J92" s="564">
        <v>1</v>
      </c>
      <c r="K92" s="563" t="s">
        <v>437</v>
      </c>
      <c r="L92" s="565">
        <v>43442</v>
      </c>
      <c r="M92" s="566">
        <v>6.2199999999999998E-2</v>
      </c>
      <c r="N92" s="563" t="s">
        <v>404</v>
      </c>
      <c r="O92" s="563"/>
      <c r="P92" s="566" t="str">
        <f>VLOOKUP(A92,'[1]Raw data'!$B:$BB,23,FALSE)</f>
        <v>JPY</v>
      </c>
      <c r="Q92" s="563" t="str">
        <f>VLOOKUP(A92,'[1]Raw data'!$B:$Z,2,FALSE)</f>
        <v>C49SZX20190001JY</v>
      </c>
      <c r="R92" s="563" t="str">
        <f>VLOOKUP(A92,'[1]Raw data'!$B:$Z,3,FALSE)</f>
        <v>Kingtron络鑫</v>
      </c>
      <c r="S92" s="563" t="str">
        <f>VLOOKUP(A92,'[1]Raw data'!$B:$Z,4,FALSE)</f>
        <v>YSM10</v>
      </c>
      <c r="T92" s="563" t="str">
        <f>VLOOKUP(A92,'[1]Raw data'!$B:$Z,8,FALSE)</f>
        <v>L-&gt;R</v>
      </c>
      <c r="U92" s="563" t="str">
        <f>VLOOKUP(A92,'[1]Raw data'!$B:$Z,9,FALSE)</f>
        <v>MVC</v>
      </c>
      <c r="V92" s="567" t="str">
        <f t="shared" si="10"/>
        <v>WRONG</v>
      </c>
      <c r="W92" s="563" t="str">
        <f>VLOOKUP(A92,'[1]Raw data'!$B:$AG,32,FALSE)</f>
        <v>CIF HK</v>
      </c>
      <c r="X92" s="563">
        <f>VLOOKUP(A92,'[1]Raw data'!$B:$BA,31,FALSE)</f>
        <v>43473</v>
      </c>
      <c r="Y92" s="563" t="str">
        <f>VLOOKUP(A92,'[1]Raw data'!$B:$AS,39,FALSE)</f>
        <v>Yes</v>
      </c>
      <c r="Z92" s="568" t="s">
        <v>329</v>
      </c>
      <c r="AA92" s="569" t="s">
        <v>329</v>
      </c>
      <c r="AB92" s="570"/>
      <c r="AC92" s="563" t="s">
        <v>439</v>
      </c>
      <c r="AD92" s="571"/>
      <c r="AE92" s="571"/>
      <c r="AF92" s="571"/>
      <c r="AG92" s="571"/>
      <c r="AH92" s="571"/>
      <c r="AI92" s="572"/>
      <c r="AJ92" s="571"/>
      <c r="AK92" s="571"/>
      <c r="AL92" s="571"/>
      <c r="AM92" s="571"/>
      <c r="AN92" s="542"/>
      <c r="AO92" s="824" t="str">
        <f t="shared" si="11"/>
        <v>Yes</v>
      </c>
      <c r="AP92" s="259" t="str">
        <f t="shared" si="12"/>
        <v>JUN 19</v>
      </c>
      <c r="AQ92" s="542" t="str">
        <f t="shared" si="13"/>
        <v>有定金+有預留客戶</v>
      </c>
      <c r="AR92" s="259" t="str">
        <f t="shared" si="14"/>
        <v>Shipped_Stock</v>
      </c>
      <c r="AS92" s="259" t="str">
        <f t="shared" si="15"/>
        <v/>
      </c>
      <c r="AT92" s="259" t="str">
        <f t="shared" si="16"/>
        <v>Kingtron络鑫</v>
      </c>
      <c r="AU92" s="259" t="str">
        <f t="shared" si="17"/>
        <v>C49SZX20190001JY</v>
      </c>
      <c r="AV92" s="259" t="str">
        <f t="shared" si="18"/>
        <v>Dec-08</v>
      </c>
      <c r="AW92" s="259"/>
      <c r="AX92" s="259"/>
      <c r="AY92" s="259"/>
      <c r="AZ92" s="259"/>
      <c r="BA92" s="259"/>
      <c r="BB92" s="259"/>
      <c r="BC92" s="259"/>
      <c r="BD92" s="259"/>
      <c r="BE92" s="259"/>
      <c r="BF92" s="259"/>
      <c r="BG92" s="259"/>
      <c r="BH92" s="259"/>
      <c r="BI92" s="259"/>
      <c r="BJ92" s="259"/>
      <c r="BK92" s="259"/>
      <c r="BL92" s="259"/>
      <c r="BM92" s="259"/>
      <c r="BN92" s="259"/>
      <c r="BO92" s="259"/>
      <c r="BP92" s="259"/>
      <c r="BQ92" s="259"/>
    </row>
    <row r="93" spans="1:69" ht="15" hidden="1" customHeight="1">
      <c r="A93" s="559">
        <v>7</v>
      </c>
      <c r="B93" s="563" t="s">
        <v>280</v>
      </c>
      <c r="C93" s="560" t="s">
        <v>281</v>
      </c>
      <c r="D93" s="564">
        <v>109422</v>
      </c>
      <c r="E93" s="563" t="s">
        <v>236</v>
      </c>
      <c r="F93" s="563" t="s">
        <v>411</v>
      </c>
      <c r="G93" s="563" t="s">
        <v>18</v>
      </c>
      <c r="H93" s="563" t="s">
        <v>26</v>
      </c>
      <c r="I93" s="587" t="s">
        <v>449</v>
      </c>
      <c r="J93" s="564">
        <v>1</v>
      </c>
      <c r="K93" s="563" t="s">
        <v>311</v>
      </c>
      <c r="L93" s="565">
        <v>43446</v>
      </c>
      <c r="M93" s="566">
        <v>6.25E-2</v>
      </c>
      <c r="N93" s="563" t="s">
        <v>289</v>
      </c>
      <c r="O93" s="563"/>
      <c r="P93" s="566" t="str">
        <f>VLOOKUP(A93,'[1]Raw data'!$B:$BB,23,FALSE)</f>
        <v>JPY</v>
      </c>
      <c r="Q93" s="563" t="str">
        <f>VLOOKUP(A93,'[1]Raw data'!$B:$Z,2,FALSE)</f>
        <v>C49SZX201800038SS</v>
      </c>
      <c r="R93" s="563" t="str">
        <f>VLOOKUP(A93,'[1]Raw data'!$B:$Z,3,FALSE)</f>
        <v>祥弘瑞</v>
      </c>
      <c r="S93" s="563" t="str">
        <f>VLOOKUP(A93,'[1]Raw data'!$B:$Z,4,FALSE)</f>
        <v>YS24</v>
      </c>
      <c r="T93" s="563" t="str">
        <f>VLOOKUP(A93,'[1]Raw data'!$B:$Z,8,FALSE)</f>
        <v>R-&gt;L</v>
      </c>
      <c r="U93" s="563" t="str">
        <f>VLOOKUP(A93,'[1]Raw data'!$B:$Z,9,FALSE)</f>
        <v>No</v>
      </c>
      <c r="V93" s="567" t="str">
        <f t="shared" si="10"/>
        <v>OK</v>
      </c>
      <c r="W93" s="563" t="str">
        <f>VLOOKUP(A93,'[1]Raw data'!$B:$AG,32,FALSE)</f>
        <v>DAP</v>
      </c>
      <c r="X93" s="563">
        <f>VLOOKUP(A93,'[1]Raw data'!$B:$BA,31,FALSE)</f>
        <v>43132</v>
      </c>
      <c r="Y93" s="563" t="str">
        <f>VLOOKUP(A93,'[1]Raw data'!$B:$AS,39,FALSE)</f>
        <v>Yes</v>
      </c>
      <c r="Z93" s="568" t="s">
        <v>290</v>
      </c>
      <c r="AA93" s="569" t="s">
        <v>290</v>
      </c>
      <c r="AB93" s="570"/>
      <c r="AC93" s="563" t="s">
        <v>291</v>
      </c>
      <c r="AN93" s="542"/>
      <c r="AO93" s="824" t="str">
        <f t="shared" si="11"/>
        <v>Yes</v>
      </c>
      <c r="AP93" s="259" t="str">
        <f t="shared" si="12"/>
        <v>DEC 18</v>
      </c>
      <c r="AQ93" s="542" t="str">
        <f t="shared" si="13"/>
        <v>有定金+有預留客戶</v>
      </c>
      <c r="AR93" s="259" t="str">
        <f t="shared" si="14"/>
        <v>Shipped_Stock</v>
      </c>
      <c r="AS93" s="259" t="str">
        <f t="shared" si="15"/>
        <v/>
      </c>
      <c r="AT93" s="259" t="str">
        <f t="shared" si="16"/>
        <v>祥弘瑞</v>
      </c>
      <c r="AU93" s="259" t="str">
        <f t="shared" si="17"/>
        <v>C49SZX201800038SS</v>
      </c>
      <c r="AV93" s="259" t="str">
        <f t="shared" si="18"/>
        <v>Dec-12</v>
      </c>
    </row>
    <row r="94" spans="1:69" ht="15" hidden="1" customHeight="1">
      <c r="A94" s="559">
        <v>239</v>
      </c>
      <c r="B94" s="563" t="s">
        <v>280</v>
      </c>
      <c r="C94" s="560" t="s">
        <v>281</v>
      </c>
      <c r="D94" s="564">
        <v>109422</v>
      </c>
      <c r="E94" s="563" t="s">
        <v>236</v>
      </c>
      <c r="F94" s="563" t="s">
        <v>411</v>
      </c>
      <c r="G94" s="563" t="s">
        <v>24</v>
      </c>
      <c r="H94" s="563" t="s">
        <v>26</v>
      </c>
      <c r="I94" s="587" t="s">
        <v>450</v>
      </c>
      <c r="J94" s="564">
        <v>1</v>
      </c>
      <c r="K94" s="563" t="s">
        <v>437</v>
      </c>
      <c r="L94" s="565">
        <v>43446</v>
      </c>
      <c r="M94" s="566">
        <v>6.25E-2</v>
      </c>
      <c r="N94" s="563" t="s">
        <v>334</v>
      </c>
      <c r="O94" s="563"/>
      <c r="P94" s="566" t="str">
        <f>VLOOKUP(A94,'[1]Raw data'!$B:$BB,23,FALSE)</f>
        <v>JPY</v>
      </c>
      <c r="Q94" s="563" t="str">
        <f>VLOOKUP(A94,'[1]Raw data'!$B:$Z,2,FALSE)</f>
        <v>C49SZX20190024JL</v>
      </c>
      <c r="R94" s="563" t="str">
        <f>VLOOKUP(A94,'[1]Raw data'!$B:$Z,3,FALSE)</f>
        <v>睿视科技</v>
      </c>
      <c r="S94" s="563" t="str">
        <f>VLOOKUP(A94,'[1]Raw data'!$B:$Z,4,FALSE)</f>
        <v>YS24</v>
      </c>
      <c r="T94" s="563" t="str">
        <f>VLOOKUP(A94,'[1]Raw data'!$B:$Z,8,FALSE)</f>
        <v>L-&gt;R</v>
      </c>
      <c r="U94" s="563" t="str">
        <f>VLOOKUP(A94,'[1]Raw data'!$B:$Z,9,FALSE)</f>
        <v>No</v>
      </c>
      <c r="V94" s="567" t="str">
        <f t="shared" si="10"/>
        <v>OK</v>
      </c>
      <c r="W94" s="563" t="str">
        <f>VLOOKUP(A94,'[1]Raw data'!$B:$AG,32,FALSE)</f>
        <v>CIF</v>
      </c>
      <c r="X94" s="563">
        <f>VLOOKUP(A94,'[1]Raw data'!$B:$BA,31,FALSE)</f>
        <v>43524</v>
      </c>
      <c r="Y94" s="563" t="str">
        <f>VLOOKUP(A94,'[1]Raw data'!$B:$AS,39,FALSE)</f>
        <v>Yes</v>
      </c>
      <c r="Z94" s="568" t="s">
        <v>290</v>
      </c>
      <c r="AA94" s="569" t="s">
        <v>290</v>
      </c>
      <c r="AB94" s="570"/>
      <c r="AC94" s="563" t="s">
        <v>291</v>
      </c>
      <c r="AN94" s="542"/>
      <c r="AO94" s="824" t="str">
        <f t="shared" si="11"/>
        <v>Yes</v>
      </c>
      <c r="AP94" s="259" t="str">
        <f t="shared" si="12"/>
        <v>MAR 19</v>
      </c>
      <c r="AQ94" s="542" t="str">
        <f t="shared" si="13"/>
        <v>有定金+有預留客戶</v>
      </c>
      <c r="AR94" s="259" t="str">
        <f t="shared" si="14"/>
        <v>Shipped_Stock</v>
      </c>
      <c r="AS94" s="259" t="str">
        <f t="shared" si="15"/>
        <v/>
      </c>
      <c r="AT94" s="259" t="str">
        <f t="shared" si="16"/>
        <v>睿视科技</v>
      </c>
      <c r="AU94" s="259" t="str">
        <f t="shared" si="17"/>
        <v>C49SZX20190024JL</v>
      </c>
      <c r="AV94" s="259" t="str">
        <f t="shared" si="18"/>
        <v>Dec-12</v>
      </c>
    </row>
    <row r="95" spans="1:69" ht="15" hidden="1" customHeight="1">
      <c r="A95" s="559">
        <v>240</v>
      </c>
      <c r="B95" s="563" t="s">
        <v>280</v>
      </c>
      <c r="C95" s="560" t="s">
        <v>281</v>
      </c>
      <c r="D95" s="564">
        <v>109422</v>
      </c>
      <c r="E95" s="563" t="s">
        <v>236</v>
      </c>
      <c r="F95" s="563" t="s">
        <v>411</v>
      </c>
      <c r="G95" s="563" t="s">
        <v>24</v>
      </c>
      <c r="H95" s="563" t="s">
        <v>26</v>
      </c>
      <c r="I95" s="587" t="s">
        <v>451</v>
      </c>
      <c r="J95" s="564">
        <v>1</v>
      </c>
      <c r="K95" s="563" t="s">
        <v>437</v>
      </c>
      <c r="L95" s="565">
        <v>43446</v>
      </c>
      <c r="M95" s="566">
        <v>6.25E-2</v>
      </c>
      <c r="N95" s="563" t="s">
        <v>334</v>
      </c>
      <c r="O95" s="563"/>
      <c r="P95" s="566" t="str">
        <f>VLOOKUP(A95,'[1]Raw data'!$B:$BB,23,FALSE)</f>
        <v>JPY</v>
      </c>
      <c r="Q95" s="563" t="str">
        <f>VLOOKUP(A95,'[1]Raw data'!$B:$Z,2,FALSE)</f>
        <v>C49SZX20190024JL</v>
      </c>
      <c r="R95" s="563" t="str">
        <f>VLOOKUP(A95,'[1]Raw data'!$B:$Z,3,FALSE)</f>
        <v>睿视科技</v>
      </c>
      <c r="S95" s="563" t="str">
        <f>VLOOKUP(A95,'[1]Raw data'!$B:$Z,4,FALSE)</f>
        <v>YS24</v>
      </c>
      <c r="T95" s="563" t="str">
        <f>VLOOKUP(A95,'[1]Raw data'!$B:$Z,8,FALSE)</f>
        <v>L-&gt;R</v>
      </c>
      <c r="U95" s="563" t="str">
        <f>VLOOKUP(A95,'[1]Raw data'!$B:$Z,9,FALSE)</f>
        <v>No</v>
      </c>
      <c r="V95" s="567" t="str">
        <f t="shared" si="10"/>
        <v>OK</v>
      </c>
      <c r="W95" s="563" t="str">
        <f>VLOOKUP(A95,'[1]Raw data'!$B:$AG,32,FALSE)</f>
        <v>CIF</v>
      </c>
      <c r="X95" s="563">
        <f>VLOOKUP(A95,'[1]Raw data'!$B:$BA,31,FALSE)</f>
        <v>43524</v>
      </c>
      <c r="Y95" s="563" t="str">
        <f>VLOOKUP(A95,'[1]Raw data'!$B:$AS,39,FALSE)</f>
        <v>Yes</v>
      </c>
      <c r="Z95" s="568" t="s">
        <v>290</v>
      </c>
      <c r="AA95" s="569" t="s">
        <v>290</v>
      </c>
      <c r="AB95" s="570"/>
      <c r="AC95" s="563" t="s">
        <v>291</v>
      </c>
      <c r="AN95" s="542"/>
      <c r="AO95" s="824" t="str">
        <f t="shared" si="11"/>
        <v>Yes</v>
      </c>
      <c r="AP95" s="259" t="str">
        <f t="shared" si="12"/>
        <v>MAR 19</v>
      </c>
      <c r="AQ95" s="542" t="str">
        <f t="shared" si="13"/>
        <v>有定金+有預留客戶</v>
      </c>
      <c r="AR95" s="259" t="str">
        <f t="shared" si="14"/>
        <v>Shipped_Stock</v>
      </c>
      <c r="AS95" s="259" t="str">
        <f t="shared" si="15"/>
        <v/>
      </c>
      <c r="AT95" s="259" t="str">
        <f t="shared" si="16"/>
        <v>睿视科技</v>
      </c>
      <c r="AU95" s="259" t="str">
        <f t="shared" si="17"/>
        <v>C49SZX20190024JL</v>
      </c>
      <c r="AV95" s="259" t="str">
        <f t="shared" si="18"/>
        <v>Dec-12</v>
      </c>
    </row>
    <row r="96" spans="1:69" ht="15" hidden="1" customHeight="1">
      <c r="A96" s="559">
        <v>241</v>
      </c>
      <c r="B96" s="563" t="s">
        <v>280</v>
      </c>
      <c r="C96" s="560" t="s">
        <v>281</v>
      </c>
      <c r="D96" s="564">
        <v>109422</v>
      </c>
      <c r="E96" s="563" t="s">
        <v>236</v>
      </c>
      <c r="F96" s="563" t="s">
        <v>411</v>
      </c>
      <c r="G96" s="563" t="s">
        <v>24</v>
      </c>
      <c r="H96" s="563" t="s">
        <v>26</v>
      </c>
      <c r="I96" s="587" t="s">
        <v>452</v>
      </c>
      <c r="J96" s="564">
        <v>1</v>
      </c>
      <c r="K96" s="563" t="s">
        <v>437</v>
      </c>
      <c r="L96" s="565">
        <v>43446</v>
      </c>
      <c r="M96" s="566">
        <v>6.25E-2</v>
      </c>
      <c r="N96" s="563" t="s">
        <v>334</v>
      </c>
      <c r="O96" s="563"/>
      <c r="P96" s="566" t="str">
        <f>VLOOKUP(A96,'[1]Raw data'!$B:$BB,23,FALSE)</f>
        <v>JPY</v>
      </c>
      <c r="Q96" s="563" t="str">
        <f>VLOOKUP(A96,'[1]Raw data'!$B:$Z,2,FALSE)</f>
        <v>C49SZX20190024JL</v>
      </c>
      <c r="R96" s="563" t="str">
        <f>VLOOKUP(A96,'[1]Raw data'!$B:$Z,3,FALSE)</f>
        <v>睿视科技</v>
      </c>
      <c r="S96" s="563" t="str">
        <f>VLOOKUP(A96,'[1]Raw data'!$B:$Z,4,FALSE)</f>
        <v>YS24</v>
      </c>
      <c r="T96" s="563" t="str">
        <f>VLOOKUP(A96,'[1]Raw data'!$B:$Z,8,FALSE)</f>
        <v>L-&gt;R</v>
      </c>
      <c r="U96" s="563" t="str">
        <f>VLOOKUP(A96,'[1]Raw data'!$B:$Z,9,FALSE)</f>
        <v>No</v>
      </c>
      <c r="V96" s="567" t="str">
        <f t="shared" si="10"/>
        <v>OK</v>
      </c>
      <c r="W96" s="563" t="str">
        <f>VLOOKUP(A96,'[1]Raw data'!$B:$AG,32,FALSE)</f>
        <v>CIF</v>
      </c>
      <c r="X96" s="563">
        <f>VLOOKUP(A96,'[1]Raw data'!$B:$BA,31,FALSE)</f>
        <v>43524</v>
      </c>
      <c r="Y96" s="563" t="str">
        <f>VLOOKUP(A96,'[1]Raw data'!$B:$AS,39,FALSE)</f>
        <v>Yes</v>
      </c>
      <c r="Z96" s="568" t="s">
        <v>290</v>
      </c>
      <c r="AA96" s="569" t="s">
        <v>290</v>
      </c>
      <c r="AB96" s="570"/>
      <c r="AC96" s="563" t="s">
        <v>291</v>
      </c>
      <c r="AN96" s="542"/>
      <c r="AO96" s="824" t="str">
        <f t="shared" si="11"/>
        <v>Yes</v>
      </c>
      <c r="AP96" s="259" t="str">
        <f t="shared" si="12"/>
        <v>MAR 19</v>
      </c>
      <c r="AQ96" s="542" t="str">
        <f t="shared" si="13"/>
        <v>有定金+有預留客戶</v>
      </c>
      <c r="AR96" s="259" t="str">
        <f t="shared" si="14"/>
        <v>Shipped_Stock</v>
      </c>
      <c r="AS96" s="259" t="str">
        <f t="shared" si="15"/>
        <v/>
      </c>
      <c r="AT96" s="259" t="str">
        <f t="shared" si="16"/>
        <v>睿视科技</v>
      </c>
      <c r="AU96" s="259" t="str">
        <f t="shared" si="17"/>
        <v>C49SZX20190024JL</v>
      </c>
      <c r="AV96" s="259" t="str">
        <f t="shared" si="18"/>
        <v>Dec-12</v>
      </c>
    </row>
    <row r="97" spans="1:48" ht="15" hidden="1" customHeight="1">
      <c r="A97" s="559">
        <v>233</v>
      </c>
      <c r="B97" s="563" t="s">
        <v>280</v>
      </c>
      <c r="C97" s="560" t="s">
        <v>281</v>
      </c>
      <c r="D97" s="564">
        <v>109422</v>
      </c>
      <c r="E97" s="563" t="s">
        <v>236</v>
      </c>
      <c r="F97" s="563" t="s">
        <v>411</v>
      </c>
      <c r="G97" s="563" t="s">
        <v>24</v>
      </c>
      <c r="H97" s="563" t="s">
        <v>26</v>
      </c>
      <c r="I97" s="587" t="s">
        <v>453</v>
      </c>
      <c r="J97" s="564">
        <v>1</v>
      </c>
      <c r="K97" s="563" t="s">
        <v>437</v>
      </c>
      <c r="L97" s="565">
        <v>43446</v>
      </c>
      <c r="M97" s="566">
        <v>6.25E-2</v>
      </c>
      <c r="N97" s="563" t="s">
        <v>341</v>
      </c>
      <c r="O97" s="563"/>
      <c r="P97" s="566" t="str">
        <f>VLOOKUP(A97,'[1]Raw data'!$B:$BB,23,FALSE)</f>
        <v>RMB</v>
      </c>
      <c r="Q97" s="563" t="str">
        <f>VLOOKUP(A97,'[1]Raw data'!$B:$Z,2,FALSE)</f>
        <v>C49SZX20190016KW</v>
      </c>
      <c r="R97" s="563" t="str">
        <f>VLOOKUP(A97,'[1]Raw data'!$B:$Z,3,FALSE)</f>
        <v>同基</v>
      </c>
      <c r="S97" s="563" t="str">
        <f>VLOOKUP(A97,'[1]Raw data'!$B:$Z,4,FALSE)</f>
        <v>YS24</v>
      </c>
      <c r="T97" s="563" t="str">
        <f>VLOOKUP(A97,'[1]Raw data'!$B:$Z,8,FALSE)</f>
        <v>L-&gt;R</v>
      </c>
      <c r="U97" s="563" t="str">
        <f>VLOOKUP(A97,'[1]Raw data'!$B:$Z,9,FALSE)</f>
        <v>No</v>
      </c>
      <c r="V97" s="567" t="str">
        <f t="shared" si="10"/>
        <v>OK</v>
      </c>
      <c r="W97" s="563" t="str">
        <f>VLOOKUP(A97,'[1]Raw data'!$B:$AG,32,FALSE)</f>
        <v>DAP 深圳</v>
      </c>
      <c r="X97" s="563">
        <f>VLOOKUP(A97,'[1]Raw data'!$B:$BA,31,FALSE)</f>
        <v>43490</v>
      </c>
      <c r="Y97" s="563" t="str">
        <f>VLOOKUP(A97,'[1]Raw data'!$B:$AS,39,FALSE)</f>
        <v>Yes</v>
      </c>
      <c r="Z97" s="568" t="s">
        <v>290</v>
      </c>
      <c r="AA97" s="569" t="s">
        <v>290</v>
      </c>
      <c r="AB97" s="570" t="s">
        <v>389</v>
      </c>
      <c r="AC97" s="563" t="s">
        <v>291</v>
      </c>
      <c r="AN97" s="542"/>
      <c r="AO97" s="824" t="str">
        <f t="shared" si="11"/>
        <v>Yes</v>
      </c>
      <c r="AP97" s="259" t="str">
        <f t="shared" si="12"/>
        <v>APR 19</v>
      </c>
      <c r="AQ97" s="542" t="str">
        <f t="shared" si="13"/>
        <v>有定金+有預留客戶</v>
      </c>
      <c r="AR97" s="259" t="str">
        <f t="shared" si="14"/>
        <v>Shipped_Stock</v>
      </c>
      <c r="AS97" s="259" t="str">
        <f t="shared" si="15"/>
        <v/>
      </c>
      <c r="AT97" s="259" t="str">
        <f t="shared" si="16"/>
        <v>同基</v>
      </c>
      <c r="AU97" s="259" t="str">
        <f t="shared" si="17"/>
        <v>C49SZX20190016KW</v>
      </c>
      <c r="AV97" s="259" t="str">
        <f t="shared" si="18"/>
        <v>Dec-12</v>
      </c>
    </row>
    <row r="98" spans="1:48" ht="15" hidden="1" customHeight="1">
      <c r="A98" s="559">
        <v>50</v>
      </c>
      <c r="B98" s="563" t="s">
        <v>280</v>
      </c>
      <c r="C98" s="560" t="s">
        <v>281</v>
      </c>
      <c r="D98" s="564">
        <v>109237</v>
      </c>
      <c r="E98" s="563" t="s">
        <v>454</v>
      </c>
      <c r="F98" s="563" t="s">
        <v>256</v>
      </c>
      <c r="G98" s="563" t="s">
        <v>18</v>
      </c>
      <c r="H98" s="563" t="s">
        <v>26</v>
      </c>
      <c r="I98" s="564" t="s">
        <v>455</v>
      </c>
      <c r="J98" s="564">
        <v>1</v>
      </c>
      <c r="K98" s="563" t="s">
        <v>388</v>
      </c>
      <c r="L98" s="565">
        <v>43453</v>
      </c>
      <c r="M98" s="566">
        <v>6.25E-2</v>
      </c>
      <c r="N98" s="563" t="s">
        <v>289</v>
      </c>
      <c r="P98" s="566" t="str">
        <f>VLOOKUP(A98,'[1]Raw data'!$B:$BB,23,FALSE)</f>
        <v>JPY</v>
      </c>
      <c r="Q98" s="563" t="str">
        <f>VLOOKUP(A98,'[1]Raw data'!$B:$Z,2,FALSE)</f>
        <v>C49SZX20180078DZ</v>
      </c>
      <c r="R98" s="563" t="str">
        <f>VLOOKUP(A98,'[1]Raw data'!$B:$Z,3,FALSE)</f>
        <v>朗特</v>
      </c>
      <c r="S98" s="563" t="str">
        <f>VLOOKUP(A98,'[1]Raw data'!$B:$Z,4,FALSE)</f>
        <v>YSM20-2</v>
      </c>
      <c r="T98" s="563" t="str">
        <f>VLOOKUP(A98,'[1]Raw data'!$B:$Z,8,FALSE)</f>
        <v>R-&gt;L</v>
      </c>
      <c r="U98" s="563" t="str">
        <f>VLOOKUP(A98,'[1]Raw data'!$B:$Z,9,FALSE)</f>
        <v>No</v>
      </c>
      <c r="V98" s="567" t="str">
        <f t="shared" ref="V98:V120" si="19">IF(G98&amp;H98=T98&amp;U98,"OK","WRONG")</f>
        <v>OK</v>
      </c>
      <c r="W98" s="563" t="str">
        <f>VLOOKUP(A98,'[1]Raw data'!$B:$AG,32,FALSE)</f>
        <v>CIF</v>
      </c>
      <c r="X98" s="563">
        <f>VLOOKUP(A98,'[1]Raw data'!$B:$BA,31,FALSE)</f>
        <v>43218</v>
      </c>
      <c r="Y98" s="563" t="str">
        <f>VLOOKUP(A98,'[1]Raw data'!$B:$AS,39,FALSE)</f>
        <v>Yes</v>
      </c>
      <c r="Z98" s="568" t="s">
        <v>329</v>
      </c>
      <c r="AA98" s="569" t="s">
        <v>329</v>
      </c>
      <c r="AB98" s="570" t="s">
        <v>456</v>
      </c>
      <c r="AC98" s="563" t="s">
        <v>291</v>
      </c>
      <c r="AN98" s="542"/>
      <c r="AO98" s="824" t="str">
        <f t="shared" si="11"/>
        <v>Yes</v>
      </c>
      <c r="AP98" s="259" t="str">
        <f t="shared" si="12"/>
        <v>DEC 18</v>
      </c>
      <c r="AQ98" s="542" t="str">
        <f t="shared" si="13"/>
        <v>有定金+有預留客戶</v>
      </c>
      <c r="AR98" s="259" t="str">
        <f t="shared" si="14"/>
        <v>Shipped_Stock</v>
      </c>
      <c r="AS98" s="259" t="str">
        <f t="shared" si="15"/>
        <v/>
      </c>
      <c r="AT98" s="259" t="str">
        <f t="shared" si="16"/>
        <v>朗特</v>
      </c>
      <c r="AU98" s="259" t="str">
        <f t="shared" si="17"/>
        <v>C49SZX20180078DZ</v>
      </c>
      <c r="AV98" s="259" t="str">
        <f t="shared" si="18"/>
        <v>Dec-19</v>
      </c>
    </row>
    <row r="99" spans="1:48" ht="15" hidden="1" customHeight="1">
      <c r="A99" s="559">
        <v>51</v>
      </c>
      <c r="B99" s="563" t="s">
        <v>280</v>
      </c>
      <c r="C99" s="560" t="s">
        <v>281</v>
      </c>
      <c r="D99" s="564">
        <v>109237</v>
      </c>
      <c r="E99" s="563" t="s">
        <v>454</v>
      </c>
      <c r="F99" s="563" t="s">
        <v>256</v>
      </c>
      <c r="G99" s="563" t="s">
        <v>18</v>
      </c>
      <c r="H99" s="563" t="s">
        <v>26</v>
      </c>
      <c r="I99" s="564" t="s">
        <v>457</v>
      </c>
      <c r="J99" s="564">
        <v>1</v>
      </c>
      <c r="K99" s="563" t="s">
        <v>388</v>
      </c>
      <c r="L99" s="565">
        <v>43453</v>
      </c>
      <c r="M99" s="566">
        <v>6.25E-2</v>
      </c>
      <c r="N99" s="563" t="s">
        <v>289</v>
      </c>
      <c r="P99" s="566" t="str">
        <f>VLOOKUP(A99,'[1]Raw data'!$B:$BB,23,FALSE)</f>
        <v>JPY</v>
      </c>
      <c r="Q99" s="563" t="str">
        <f>VLOOKUP(A99,'[1]Raw data'!$B:$Z,2,FALSE)</f>
        <v>C49SZX20180078DZ</v>
      </c>
      <c r="R99" s="563" t="str">
        <f>VLOOKUP(A99,'[1]Raw data'!$B:$Z,3,FALSE)</f>
        <v>朗特</v>
      </c>
      <c r="S99" s="563" t="str">
        <f>VLOOKUP(A99,'[1]Raw data'!$B:$Z,4,FALSE)</f>
        <v>YSM20-2</v>
      </c>
      <c r="T99" s="563" t="str">
        <f>VLOOKUP(A99,'[1]Raw data'!$B:$Z,8,FALSE)</f>
        <v>R-&gt;L</v>
      </c>
      <c r="U99" s="563" t="str">
        <f>VLOOKUP(A99,'[1]Raw data'!$B:$Z,9,FALSE)</f>
        <v>No</v>
      </c>
      <c r="V99" s="567" t="str">
        <f t="shared" si="19"/>
        <v>OK</v>
      </c>
      <c r="W99" s="563" t="str">
        <f>VLOOKUP(A99,'[1]Raw data'!$B:$AG,32,FALSE)</f>
        <v>CIF</v>
      </c>
      <c r="X99" s="563">
        <f>VLOOKUP(A99,'[1]Raw data'!$B:$BA,31,FALSE)</f>
        <v>43218</v>
      </c>
      <c r="Y99" s="563" t="str">
        <f>VLOOKUP(A99,'[1]Raw data'!$B:$AS,39,FALSE)</f>
        <v>Yes</v>
      </c>
      <c r="Z99" s="568" t="s">
        <v>329</v>
      </c>
      <c r="AA99" s="569" t="s">
        <v>329</v>
      </c>
      <c r="AB99" s="570" t="s">
        <v>456</v>
      </c>
      <c r="AC99" s="563" t="s">
        <v>291</v>
      </c>
      <c r="AN99" s="542"/>
      <c r="AO99" s="824" t="str">
        <f t="shared" si="11"/>
        <v>Yes</v>
      </c>
      <c r="AP99" s="259" t="str">
        <f t="shared" si="12"/>
        <v>DEC 18</v>
      </c>
      <c r="AQ99" s="542" t="str">
        <f t="shared" si="13"/>
        <v>有定金+有預留客戶</v>
      </c>
      <c r="AR99" s="259" t="str">
        <f t="shared" si="14"/>
        <v>Shipped_Stock</v>
      </c>
      <c r="AS99" s="259" t="str">
        <f t="shared" si="15"/>
        <v/>
      </c>
      <c r="AT99" s="259" t="str">
        <f t="shared" si="16"/>
        <v>朗特</v>
      </c>
      <c r="AU99" s="259" t="str">
        <f t="shared" si="17"/>
        <v>C49SZX20180078DZ</v>
      </c>
      <c r="AV99" s="259" t="str">
        <f t="shared" si="18"/>
        <v>Dec-19</v>
      </c>
    </row>
    <row r="100" spans="1:48" ht="15" hidden="1" customHeight="1">
      <c r="A100" s="559">
        <v>101</v>
      </c>
      <c r="B100" s="563" t="s">
        <v>280</v>
      </c>
      <c r="C100" s="560" t="s">
        <v>281</v>
      </c>
      <c r="D100" s="564">
        <v>109423</v>
      </c>
      <c r="E100" s="563" t="s">
        <v>236</v>
      </c>
      <c r="F100" s="563" t="s">
        <v>411</v>
      </c>
      <c r="G100" s="563" t="s">
        <v>18</v>
      </c>
      <c r="H100" s="563" t="s">
        <v>26</v>
      </c>
      <c r="I100" s="587" t="s">
        <v>458</v>
      </c>
      <c r="J100" s="564">
        <v>1</v>
      </c>
      <c r="K100" s="563" t="s">
        <v>388</v>
      </c>
      <c r="L100" s="565">
        <v>43455</v>
      </c>
      <c r="M100" s="566">
        <v>6.25E-2</v>
      </c>
      <c r="N100" s="563" t="s">
        <v>289</v>
      </c>
      <c r="O100" s="563"/>
      <c r="P100" s="566" t="str">
        <f>VLOOKUP(A100,'[1]Raw data'!$B:$BB,23,FALSE)</f>
        <v>JPY</v>
      </c>
      <c r="Q100" s="563" t="str">
        <f>VLOOKUP(A100,'[1]Raw data'!$B:$Z,2,FALSE)</f>
        <v>C49SZX20180105JY</v>
      </c>
      <c r="R100" s="563" t="str">
        <f>VLOOKUP(A100,'[1]Raw data'!$B:$Z,3,FALSE)</f>
        <v>恒润</v>
      </c>
      <c r="S100" s="563" t="str">
        <f>VLOOKUP(A100,'[1]Raw data'!$B:$Z,4,FALSE)</f>
        <v>YS24</v>
      </c>
      <c r="T100" s="563" t="str">
        <f>VLOOKUP(A100,'[1]Raw data'!$B:$Z,8,FALSE)</f>
        <v>R-&gt;L</v>
      </c>
      <c r="U100" s="563" t="str">
        <f>VLOOKUP(A100,'[1]Raw data'!$B:$Z,9,FALSE)</f>
        <v>No</v>
      </c>
      <c r="V100" s="567" t="str">
        <f t="shared" si="19"/>
        <v>OK</v>
      </c>
      <c r="W100" s="563" t="str">
        <f>VLOOKUP(A100,'[1]Raw data'!$B:$AG,32,FALSE)</f>
        <v>DAP 东莞</v>
      </c>
      <c r="X100" s="563">
        <f>VLOOKUP(A100,'[1]Raw data'!$B:$BA,31,FALSE)</f>
        <v>43266</v>
      </c>
      <c r="Y100" s="563" t="str">
        <f>VLOOKUP(A100,'[1]Raw data'!$B:$AS,39,FALSE)</f>
        <v>Yes</v>
      </c>
      <c r="Z100" s="568" t="s">
        <v>290</v>
      </c>
      <c r="AA100" s="569" t="s">
        <v>290</v>
      </c>
      <c r="AB100" s="570" t="s">
        <v>459</v>
      </c>
      <c r="AC100" s="563" t="s">
        <v>291</v>
      </c>
      <c r="AN100" s="542"/>
      <c r="AO100" s="824" t="str">
        <f t="shared" si="11"/>
        <v>Yes</v>
      </c>
      <c r="AP100" s="259" t="str">
        <f t="shared" si="12"/>
        <v>DEC 18</v>
      </c>
      <c r="AQ100" s="542" t="str">
        <f t="shared" si="13"/>
        <v>有定金+有預留客戶</v>
      </c>
      <c r="AR100" s="259" t="str">
        <f t="shared" si="14"/>
        <v>Shipped_Stock</v>
      </c>
      <c r="AS100" s="259" t="str">
        <f t="shared" si="15"/>
        <v/>
      </c>
      <c r="AT100" s="259" t="str">
        <f t="shared" si="16"/>
        <v>恒润</v>
      </c>
      <c r="AU100" s="259" t="str">
        <f t="shared" si="17"/>
        <v>C49SZX20180105JY</v>
      </c>
      <c r="AV100" s="259" t="str">
        <f t="shared" si="18"/>
        <v>Dec-21</v>
      </c>
    </row>
    <row r="101" spans="1:48" ht="15" hidden="1" customHeight="1">
      <c r="A101" s="559">
        <v>129</v>
      </c>
      <c r="B101" s="563" t="s">
        <v>280</v>
      </c>
      <c r="C101" s="560" t="s">
        <v>281</v>
      </c>
      <c r="D101" s="564">
        <v>109443</v>
      </c>
      <c r="E101" s="563" t="s">
        <v>460</v>
      </c>
      <c r="F101" s="563" t="s">
        <v>256</v>
      </c>
      <c r="G101" s="563" t="s">
        <v>24</v>
      </c>
      <c r="H101" s="563" t="s">
        <v>26</v>
      </c>
      <c r="I101" s="587" t="s">
        <v>461</v>
      </c>
      <c r="J101" s="564">
        <v>1</v>
      </c>
      <c r="K101" s="563" t="s">
        <v>311</v>
      </c>
      <c r="L101" s="565">
        <v>43509</v>
      </c>
      <c r="M101" s="566">
        <v>6.2899999999999998E-2</v>
      </c>
      <c r="N101" s="563" t="s">
        <v>363</v>
      </c>
      <c r="P101" s="566" t="str">
        <f>VLOOKUP(A101,'[1]Raw data'!$B:$BB,23,FALSE)</f>
        <v>JPY</v>
      </c>
      <c r="Q101" s="563" t="str">
        <f>VLOOKUP(A101,'[1]Raw data'!$B:$Z,2,FALSE)</f>
        <v>C49SZX20180136JY</v>
      </c>
      <c r="R101" s="563" t="str">
        <f>VLOOKUP(A101,'[1]Raw data'!$B:$Z,3,FALSE)</f>
        <v>安嘉</v>
      </c>
      <c r="S101" s="563" t="str">
        <f>VLOOKUP(A101,'[1]Raw data'!$B:$Z,4,FALSE)</f>
        <v>YSM20R(SV)-2</v>
      </c>
      <c r="T101" s="563" t="str">
        <f>VLOOKUP(A101,'[1]Raw data'!$B:$Z,8,FALSE)</f>
        <v>L-&gt;R</v>
      </c>
      <c r="U101" s="563" t="str">
        <f>VLOOKUP(A101,'[1]Raw data'!$B:$Z,9,FALSE)</f>
        <v>No</v>
      </c>
      <c r="V101" s="567" t="str">
        <f t="shared" si="19"/>
        <v>OK</v>
      </c>
      <c r="W101" s="563" t="str">
        <f>VLOOKUP(A101,'[1]Raw data'!$B:$AG,32,FALSE)</f>
        <v>DAP深圳</v>
      </c>
      <c r="X101" s="563">
        <f>VLOOKUP(A101,'[1]Raw data'!$B:$BA,31,FALSE)</f>
        <v>43342</v>
      </c>
      <c r="Y101" s="563" t="str">
        <f>VLOOKUP(A101,'[1]Raw data'!$B:$AS,39,FALSE)</f>
        <v>Yes</v>
      </c>
      <c r="Z101" s="568" t="s">
        <v>329</v>
      </c>
      <c r="AA101" s="569" t="s">
        <v>329</v>
      </c>
      <c r="AB101" s="570"/>
      <c r="AC101" s="563" t="s">
        <v>291</v>
      </c>
      <c r="AN101" s="542"/>
      <c r="AO101" s="824" t="str">
        <f t="shared" si="11"/>
        <v>Yes</v>
      </c>
      <c r="AP101" s="259" t="str">
        <f t="shared" si="12"/>
        <v>FEB 19</v>
      </c>
      <c r="AQ101" s="542" t="str">
        <f t="shared" si="13"/>
        <v>有定金+有預留客戶</v>
      </c>
      <c r="AR101" s="259" t="str">
        <f t="shared" si="14"/>
        <v>Shipped_Stock</v>
      </c>
      <c r="AS101" s="259" t="str">
        <f t="shared" si="15"/>
        <v/>
      </c>
      <c r="AT101" s="259" t="str">
        <f t="shared" si="16"/>
        <v>安嘉</v>
      </c>
      <c r="AU101" s="259" t="str">
        <f t="shared" si="17"/>
        <v>C49SZX20180136JY</v>
      </c>
      <c r="AV101" s="259" t="str">
        <f t="shared" si="18"/>
        <v>Feb-13</v>
      </c>
    </row>
    <row r="102" spans="1:48" ht="15" hidden="1" customHeight="1">
      <c r="A102" s="559">
        <v>189</v>
      </c>
      <c r="B102" s="563" t="s">
        <v>280</v>
      </c>
      <c r="C102" s="560" t="s">
        <v>281</v>
      </c>
      <c r="D102" s="564">
        <v>109443</v>
      </c>
      <c r="E102" s="563" t="s">
        <v>460</v>
      </c>
      <c r="F102" s="563" t="s">
        <v>256</v>
      </c>
      <c r="G102" s="563" t="s">
        <v>24</v>
      </c>
      <c r="H102" s="563" t="s">
        <v>26</v>
      </c>
      <c r="I102" s="587" t="s">
        <v>462</v>
      </c>
      <c r="J102" s="564">
        <v>1</v>
      </c>
      <c r="K102" s="563" t="s">
        <v>311</v>
      </c>
      <c r="L102" s="565">
        <v>43509</v>
      </c>
      <c r="M102" s="566">
        <v>6.2899999999999998E-2</v>
      </c>
      <c r="N102" s="563" t="s">
        <v>363</v>
      </c>
      <c r="P102" s="566" t="str">
        <f>VLOOKUP(A102,'[1]Raw data'!$B:$BB,23,FALSE)</f>
        <v>RMB</v>
      </c>
      <c r="Q102" s="563" t="str">
        <f>VLOOKUP(A102,'[1]Raw data'!$B:$Z,2,FALSE)</f>
        <v>C49SZX20180185ZX</v>
      </c>
      <c r="R102" s="563" t="str">
        <f>VLOOKUP(A102,'[1]Raw data'!$B:$Z,3,FALSE)</f>
        <v>美斯特</v>
      </c>
      <c r="S102" s="563" t="str">
        <f>VLOOKUP(A102,'[1]Raw data'!$B:$Z,4,FALSE)</f>
        <v>YSM20R(SV)-2</v>
      </c>
      <c r="T102" s="563" t="str">
        <f>VLOOKUP(A102,'[1]Raw data'!$B:$Z,8,FALSE)</f>
        <v>L-&gt;R</v>
      </c>
      <c r="U102" s="563" t="str">
        <f>VLOOKUP(A102,'[1]Raw data'!$B:$Z,9,FALSE)</f>
        <v>No</v>
      </c>
      <c r="V102" s="567" t="str">
        <f t="shared" si="19"/>
        <v>OK</v>
      </c>
      <c r="W102" s="563" t="str">
        <f>VLOOKUP(A102,'[1]Raw data'!$B:$AG,32,FALSE)</f>
        <v>含税到厂</v>
      </c>
      <c r="X102" s="563">
        <f>VLOOKUP(A102,'[1]Raw data'!$B:$BA,31,FALSE)</f>
        <v>43456</v>
      </c>
      <c r="Y102" s="563" t="str">
        <f>VLOOKUP(A102,'[1]Raw data'!$B:$AS,39,FALSE)</f>
        <v>Yes</v>
      </c>
      <c r="Z102" s="568" t="s">
        <v>290</v>
      </c>
      <c r="AA102" s="569" t="s">
        <v>290</v>
      </c>
      <c r="AB102" s="570"/>
      <c r="AC102" s="563" t="s">
        <v>463</v>
      </c>
      <c r="AN102" s="542"/>
      <c r="AO102" s="824" t="str">
        <f t="shared" si="11"/>
        <v>Yes</v>
      </c>
      <c r="AP102" s="259" t="str">
        <f t="shared" si="12"/>
        <v>FEB 19</v>
      </c>
      <c r="AQ102" s="542" t="str">
        <f t="shared" si="13"/>
        <v>有定金+有預留客戶</v>
      </c>
      <c r="AR102" s="259" t="str">
        <f t="shared" si="14"/>
        <v>Shipped_Stock</v>
      </c>
      <c r="AS102" s="259" t="str">
        <f t="shared" si="15"/>
        <v/>
      </c>
      <c r="AT102" s="259" t="str">
        <f t="shared" si="16"/>
        <v>美斯特</v>
      </c>
      <c r="AU102" s="259" t="str">
        <f t="shared" si="17"/>
        <v>C49SZX20180185ZX</v>
      </c>
      <c r="AV102" s="259" t="str">
        <f t="shared" si="18"/>
        <v>Feb-13</v>
      </c>
    </row>
    <row r="103" spans="1:48" ht="14.25" hidden="1" customHeight="1">
      <c r="A103" s="559">
        <v>100</v>
      </c>
      <c r="B103" s="563" t="s">
        <v>280</v>
      </c>
      <c r="C103" s="560" t="s">
        <v>281</v>
      </c>
      <c r="D103" s="564">
        <v>109446</v>
      </c>
      <c r="E103" s="563" t="s">
        <v>464</v>
      </c>
      <c r="F103" s="563" t="s">
        <v>256</v>
      </c>
      <c r="G103" s="563" t="s">
        <v>24</v>
      </c>
      <c r="H103" s="563" t="s">
        <v>465</v>
      </c>
      <c r="I103" s="564" t="s">
        <v>466</v>
      </c>
      <c r="J103" s="564">
        <v>1</v>
      </c>
      <c r="K103" s="563" t="s">
        <v>311</v>
      </c>
      <c r="L103" s="565">
        <v>43512</v>
      </c>
      <c r="M103" s="566">
        <v>6.2899999999999998E-2</v>
      </c>
      <c r="N103" s="563" t="s">
        <v>363</v>
      </c>
      <c r="P103" s="566" t="str">
        <f>VLOOKUP(A103,'[1]Raw data'!$B:$BB,23,FALSE)</f>
        <v>JPY</v>
      </c>
      <c r="Q103" s="563" t="str">
        <f>VLOOKUP(A103,'[1]Raw data'!$B:$Z,2,FALSE)</f>
        <v>C49SZX20180103MZ</v>
      </c>
      <c r="R103" s="563" t="str">
        <f>VLOOKUP(A103,'[1]Raw data'!$B:$Z,3,FALSE)</f>
        <v>小耳朵</v>
      </c>
      <c r="S103" s="563" t="str">
        <f>VLOOKUP(A103,'[1]Raw data'!$B:$Z,4,FALSE)</f>
        <v>YSM20-2</v>
      </c>
      <c r="T103" s="563" t="str">
        <f>VLOOKUP(A103,'[1]Raw data'!$B:$Z,8,FALSE)</f>
        <v>L-&gt;R</v>
      </c>
      <c r="U103" s="563" t="str">
        <f>VLOOKUP(A103,'[1]Raw data'!$B:$Z,9,FALSE)</f>
        <v>cATS30+MVC+special layout</v>
      </c>
      <c r="V103" s="567" t="str">
        <f t="shared" si="19"/>
        <v>OK</v>
      </c>
      <c r="W103" s="563" t="str">
        <f>VLOOKUP(A103,'[1]Raw data'!$B:$AG,32,FALSE)</f>
        <v>DAP 惠州</v>
      </c>
      <c r="X103" s="563">
        <f>VLOOKUP(A103,'[1]Raw data'!$B:$BA,31,FALSE)</f>
        <v>43264</v>
      </c>
      <c r="Y103" s="563" t="str">
        <f>VLOOKUP(A103,'[1]Raw data'!$B:$AS,39,FALSE)</f>
        <v>Yes</v>
      </c>
      <c r="Z103" s="568" t="s">
        <v>290</v>
      </c>
      <c r="AA103" s="569" t="s">
        <v>290</v>
      </c>
      <c r="AB103" s="570"/>
      <c r="AC103" s="563" t="s">
        <v>467</v>
      </c>
      <c r="AN103" s="542"/>
      <c r="AO103" s="824" t="str">
        <f t="shared" si="11"/>
        <v>Yes</v>
      </c>
      <c r="AP103" s="259" t="str">
        <f t="shared" si="12"/>
        <v>FEB 19</v>
      </c>
      <c r="AQ103" s="542" t="str">
        <f t="shared" si="13"/>
        <v>有定金+有預留客戶</v>
      </c>
      <c r="AR103" s="259" t="str">
        <f t="shared" si="14"/>
        <v>Shipped_Stock</v>
      </c>
      <c r="AS103" s="259" t="str">
        <f t="shared" si="15"/>
        <v/>
      </c>
      <c r="AT103" s="259" t="str">
        <f t="shared" si="16"/>
        <v>小耳朵</v>
      </c>
      <c r="AU103" s="259" t="str">
        <f t="shared" si="17"/>
        <v>C49SZX20180103MZ</v>
      </c>
      <c r="AV103" s="259" t="str">
        <f t="shared" si="18"/>
        <v>Feb-16</v>
      </c>
    </row>
    <row r="104" spans="1:48" ht="15" hidden="1" customHeight="1">
      <c r="A104" s="559">
        <v>130</v>
      </c>
      <c r="B104" s="563" t="s">
        <v>280</v>
      </c>
      <c r="C104" s="560" t="s">
        <v>281</v>
      </c>
      <c r="D104" s="564">
        <v>109490</v>
      </c>
      <c r="E104" s="563" t="s">
        <v>454</v>
      </c>
      <c r="F104" s="563" t="s">
        <v>256</v>
      </c>
      <c r="G104" s="563" t="s">
        <v>18</v>
      </c>
      <c r="H104" s="563" t="s">
        <v>26</v>
      </c>
      <c r="I104" s="564" t="s">
        <v>468</v>
      </c>
      <c r="J104" s="564">
        <v>1</v>
      </c>
      <c r="K104" s="563" t="s">
        <v>311</v>
      </c>
      <c r="L104" s="565">
        <v>43512</v>
      </c>
      <c r="M104" s="566">
        <v>6.2899999999999998E-2</v>
      </c>
      <c r="N104" s="563" t="s">
        <v>363</v>
      </c>
      <c r="P104" s="566" t="str">
        <f>VLOOKUP(A104,'[1]Raw data'!$B:$BB,23,FALSE)</f>
        <v>JPY</v>
      </c>
      <c r="Q104" s="563" t="str">
        <f>VLOOKUP(A104,'[1]Raw data'!$B:$Z,2,FALSE)</f>
        <v>C49SZX20180136JY</v>
      </c>
      <c r="R104" s="563" t="str">
        <f>VLOOKUP(A104,'[1]Raw data'!$B:$Z,3,FALSE)</f>
        <v>安嘉</v>
      </c>
      <c r="S104" s="563" t="str">
        <f>VLOOKUP(A104,'[1]Raw data'!$B:$Z,4,FALSE)</f>
        <v>YSM20R(SV)-2</v>
      </c>
      <c r="T104" s="563" t="str">
        <f>VLOOKUP(A104,'[1]Raw data'!$B:$Z,8,FALSE)</f>
        <v>R-&gt;L</v>
      </c>
      <c r="U104" s="563" t="str">
        <f>VLOOKUP(A104,'[1]Raw data'!$B:$Z,9,FALSE)</f>
        <v>No</v>
      </c>
      <c r="V104" s="567" t="str">
        <f t="shared" si="19"/>
        <v>OK</v>
      </c>
      <c r="W104" s="563" t="str">
        <f>VLOOKUP(A104,'[1]Raw data'!$B:$AG,32,FALSE)</f>
        <v>DAP深圳</v>
      </c>
      <c r="X104" s="563">
        <f>VLOOKUP(A104,'[1]Raw data'!$B:$BA,31,FALSE)</f>
        <v>43342</v>
      </c>
      <c r="Y104" s="563" t="str">
        <f>VLOOKUP(A104,'[1]Raw data'!$B:$AS,39,FALSE)</f>
        <v>Yes</v>
      </c>
      <c r="Z104" s="568" t="s">
        <v>329</v>
      </c>
      <c r="AA104" s="569" t="s">
        <v>329</v>
      </c>
      <c r="AB104" s="570"/>
      <c r="AC104" s="563" t="s">
        <v>291</v>
      </c>
      <c r="AN104" s="542"/>
      <c r="AO104" s="824" t="str">
        <f t="shared" si="11"/>
        <v>Yes</v>
      </c>
      <c r="AP104" s="259" t="str">
        <f t="shared" si="12"/>
        <v>FEB 19</v>
      </c>
      <c r="AQ104" s="542" t="str">
        <f t="shared" si="13"/>
        <v>有定金+有預留客戶</v>
      </c>
      <c r="AR104" s="259" t="str">
        <f t="shared" si="14"/>
        <v>Shipped_Stock</v>
      </c>
      <c r="AS104" s="259" t="str">
        <f t="shared" si="15"/>
        <v/>
      </c>
      <c r="AT104" s="259" t="str">
        <f t="shared" si="16"/>
        <v>安嘉</v>
      </c>
      <c r="AU104" s="259" t="str">
        <f t="shared" si="17"/>
        <v>C49SZX20180136JY</v>
      </c>
      <c r="AV104" s="259" t="str">
        <f t="shared" si="18"/>
        <v>Feb-16</v>
      </c>
    </row>
    <row r="105" spans="1:48" ht="15" hidden="1" customHeight="1">
      <c r="A105" s="559">
        <v>183</v>
      </c>
      <c r="B105" s="563" t="s">
        <v>280</v>
      </c>
      <c r="C105" s="560" t="s">
        <v>281</v>
      </c>
      <c r="D105" s="564">
        <v>109490</v>
      </c>
      <c r="E105" s="563" t="s">
        <v>454</v>
      </c>
      <c r="F105" s="563" t="s">
        <v>256</v>
      </c>
      <c r="G105" s="563" t="s">
        <v>18</v>
      </c>
      <c r="H105" s="563" t="s">
        <v>26</v>
      </c>
      <c r="I105" s="564" t="s">
        <v>469</v>
      </c>
      <c r="J105" s="564">
        <v>1</v>
      </c>
      <c r="K105" s="563" t="s">
        <v>311</v>
      </c>
      <c r="L105" s="565">
        <v>43512</v>
      </c>
      <c r="M105" s="566">
        <v>6.2899999999999998E-2</v>
      </c>
      <c r="N105" s="563" t="s">
        <v>363</v>
      </c>
      <c r="P105" s="566" t="str">
        <f>VLOOKUP(A105,'[1]Raw data'!$B:$BB,23,FALSE)</f>
        <v>JPY</v>
      </c>
      <c r="Q105" s="563" t="str">
        <f>VLOOKUP(A105,'[1]Raw data'!$B:$Z,2,FALSE)</f>
        <v>C49SZX20180176SX</v>
      </c>
      <c r="R105" s="563" t="str">
        <f>VLOOKUP(A105,'[1]Raw data'!$B:$Z,3,FALSE)</f>
        <v>柏星</v>
      </c>
      <c r="S105" s="563" t="str">
        <f>VLOOKUP(A105,'[1]Raw data'!$B:$Z,4,FALSE)</f>
        <v>YSM20R(SV)-2</v>
      </c>
      <c r="T105" s="563" t="str">
        <f>VLOOKUP(A105,'[1]Raw data'!$B:$Z,8,FALSE)</f>
        <v>R-&gt;L</v>
      </c>
      <c r="U105" s="563" t="str">
        <f>VLOOKUP(A105,'[1]Raw data'!$B:$Z,9,FALSE)</f>
        <v>MVC</v>
      </c>
      <c r="V105" s="567" t="str">
        <f t="shared" si="19"/>
        <v>WRONG</v>
      </c>
      <c r="W105" s="563" t="str">
        <f>VLOOKUP(A105,'[1]Raw data'!$B:$AG,32,FALSE)</f>
        <v>DAP东莞</v>
      </c>
      <c r="X105" s="563">
        <f>VLOOKUP(A105,'[1]Raw data'!$B:$BA,31,FALSE)</f>
        <v>43425</v>
      </c>
      <c r="Y105" s="563" t="str">
        <f>VLOOKUP(A105,'[1]Raw data'!$B:$AS,39,FALSE)</f>
        <v>Yes</v>
      </c>
      <c r="Z105" s="568" t="s">
        <v>329</v>
      </c>
      <c r="AA105" s="569" t="s">
        <v>329</v>
      </c>
      <c r="AB105" s="570" t="s">
        <v>389</v>
      </c>
      <c r="AC105" s="563" t="s">
        <v>410</v>
      </c>
      <c r="AN105" s="542"/>
      <c r="AO105" s="824" t="str">
        <f t="shared" si="11"/>
        <v>Yes</v>
      </c>
      <c r="AP105" s="259" t="str">
        <f t="shared" si="12"/>
        <v>FEB 19</v>
      </c>
      <c r="AQ105" s="542" t="str">
        <f t="shared" si="13"/>
        <v>有定金+有預留客戶</v>
      </c>
      <c r="AR105" s="259" t="str">
        <f t="shared" si="14"/>
        <v>Shipped_Stock</v>
      </c>
      <c r="AS105" s="259" t="str">
        <f t="shared" si="15"/>
        <v/>
      </c>
      <c r="AT105" s="259" t="str">
        <f t="shared" si="16"/>
        <v>柏星</v>
      </c>
      <c r="AU105" s="259" t="str">
        <f t="shared" si="17"/>
        <v>C49SZX20180176SX</v>
      </c>
      <c r="AV105" s="259" t="str">
        <f t="shared" si="18"/>
        <v>Feb-16</v>
      </c>
    </row>
    <row r="106" spans="1:48" ht="15" hidden="1" customHeight="1">
      <c r="A106" s="559">
        <v>196</v>
      </c>
      <c r="B106" s="563" t="s">
        <v>280</v>
      </c>
      <c r="C106" s="560" t="s">
        <v>281</v>
      </c>
      <c r="D106" s="564">
        <v>109478</v>
      </c>
      <c r="E106" s="563" t="s">
        <v>353</v>
      </c>
      <c r="F106" s="563" t="s">
        <v>256</v>
      </c>
      <c r="G106" s="563" t="s">
        <v>24</v>
      </c>
      <c r="H106" s="563" t="s">
        <v>26</v>
      </c>
      <c r="I106" s="564" t="s">
        <v>470</v>
      </c>
      <c r="J106" s="564">
        <v>1</v>
      </c>
      <c r="K106" s="563" t="s">
        <v>285</v>
      </c>
      <c r="L106" s="565">
        <v>43512</v>
      </c>
      <c r="M106" s="566">
        <v>6.2899999999999998E-2</v>
      </c>
      <c r="N106" s="563" t="s">
        <v>334</v>
      </c>
      <c r="P106" s="566" t="str">
        <f>VLOOKUP(A106,'[1]Raw data'!$B:$BB,23,FALSE)</f>
        <v>JPY</v>
      </c>
      <c r="Q106" s="563" t="str">
        <f>VLOOKUP(A106,'[1]Raw data'!$B:$Z,2,FALSE)</f>
        <v>C49SZX20180177JL</v>
      </c>
      <c r="R106" s="563" t="str">
        <f>VLOOKUP(A106,'[1]Raw data'!$B:$Z,3,FALSE)</f>
        <v>Tuopuai拓普艾</v>
      </c>
      <c r="S106" s="563" t="str">
        <f>VLOOKUP(A106,'[1]Raw data'!$B:$Z,4,FALSE)</f>
        <v>YSM20R(SV)-2</v>
      </c>
      <c r="T106" s="563" t="str">
        <f>VLOOKUP(A106,'[1]Raw data'!$B:$Z,8,FALSE)</f>
        <v>L-&gt;R</v>
      </c>
      <c r="U106" s="563" t="str">
        <f>VLOOKUP(A106,'[1]Raw data'!$B:$Z,9,FALSE)</f>
        <v>No</v>
      </c>
      <c r="V106" s="567" t="str">
        <f t="shared" si="19"/>
        <v>OK</v>
      </c>
      <c r="W106" s="563" t="str">
        <f>VLOOKUP(A106,'[1]Raw data'!$B:$AG,32,FALSE)</f>
        <v>CIF</v>
      </c>
      <c r="X106" s="563">
        <f>VLOOKUP(A106,'[1]Raw data'!$B:$BA,31,FALSE)</f>
        <v>43203</v>
      </c>
      <c r="Y106" s="563" t="str">
        <f>VLOOKUP(A106,'[1]Raw data'!$B:$AS,39,FALSE)</f>
        <v>Yes</v>
      </c>
      <c r="Z106" s="568" t="s">
        <v>290</v>
      </c>
      <c r="AA106" s="569" t="s">
        <v>290</v>
      </c>
      <c r="AB106" s="570"/>
      <c r="AC106" s="563" t="s">
        <v>291</v>
      </c>
      <c r="AN106" s="542"/>
      <c r="AO106" s="824" t="str">
        <f t="shared" si="11"/>
        <v>Yes</v>
      </c>
      <c r="AP106" s="259" t="str">
        <f t="shared" si="12"/>
        <v>MAR 19</v>
      </c>
      <c r="AQ106" s="542" t="str">
        <f t="shared" si="13"/>
        <v>有定金+有預留客戶</v>
      </c>
      <c r="AR106" s="259" t="str">
        <f t="shared" si="14"/>
        <v>Shipped_Stock</v>
      </c>
      <c r="AS106" s="259" t="str">
        <f t="shared" si="15"/>
        <v/>
      </c>
      <c r="AT106" s="259" t="str">
        <f t="shared" si="16"/>
        <v>Tuopuai拓普艾</v>
      </c>
      <c r="AU106" s="259" t="str">
        <f t="shared" si="17"/>
        <v>C49SZX20180177JL</v>
      </c>
      <c r="AV106" s="259" t="str">
        <f t="shared" si="18"/>
        <v>Feb-16</v>
      </c>
    </row>
    <row r="107" spans="1:48" ht="15" hidden="1" customHeight="1">
      <c r="A107" s="559">
        <v>198</v>
      </c>
      <c r="B107" s="563" t="s">
        <v>280</v>
      </c>
      <c r="C107" s="560" t="s">
        <v>281</v>
      </c>
      <c r="D107" s="564">
        <v>109478</v>
      </c>
      <c r="E107" s="563" t="s">
        <v>353</v>
      </c>
      <c r="F107" s="563" t="s">
        <v>256</v>
      </c>
      <c r="G107" s="563" t="s">
        <v>24</v>
      </c>
      <c r="H107" s="563" t="s">
        <v>26</v>
      </c>
      <c r="I107" s="564" t="s">
        <v>471</v>
      </c>
      <c r="J107" s="564">
        <v>1</v>
      </c>
      <c r="K107" s="563" t="s">
        <v>285</v>
      </c>
      <c r="L107" s="565">
        <v>43512</v>
      </c>
      <c r="M107" s="566">
        <v>6.2899999999999998E-2</v>
      </c>
      <c r="N107" s="563" t="s">
        <v>334</v>
      </c>
      <c r="P107" s="566" t="str">
        <f>VLOOKUP(A107,'[1]Raw data'!$B:$BB,23,FALSE)</f>
        <v>JPY</v>
      </c>
      <c r="Q107" s="563" t="str">
        <f>VLOOKUP(A107,'[1]Raw data'!$B:$Z,2,FALSE)</f>
        <v>C49SZX20180177JL</v>
      </c>
      <c r="R107" s="563" t="str">
        <f>VLOOKUP(A107,'[1]Raw data'!$B:$Z,3,FALSE)</f>
        <v>Tuopuai拓普艾</v>
      </c>
      <c r="S107" s="563" t="str">
        <f>VLOOKUP(A107,'[1]Raw data'!$B:$Z,4,FALSE)</f>
        <v>YSM20R(SV)-2</v>
      </c>
      <c r="T107" s="563" t="str">
        <f>VLOOKUP(A107,'[1]Raw data'!$B:$Z,8,FALSE)</f>
        <v>L-&gt;R</v>
      </c>
      <c r="U107" s="563" t="str">
        <f>VLOOKUP(A107,'[1]Raw data'!$B:$Z,9,FALSE)</f>
        <v>No</v>
      </c>
      <c r="V107" s="567" t="str">
        <f t="shared" si="19"/>
        <v>OK</v>
      </c>
      <c r="W107" s="563" t="str">
        <f>VLOOKUP(A107,'[1]Raw data'!$B:$AG,32,FALSE)</f>
        <v>CIF</v>
      </c>
      <c r="X107" s="563">
        <f>VLOOKUP(A107,'[1]Raw data'!$B:$BA,31,FALSE)</f>
        <v>43203</v>
      </c>
      <c r="Y107" s="563" t="str">
        <f>VLOOKUP(A107,'[1]Raw data'!$B:$AS,39,FALSE)</f>
        <v>Yes</v>
      </c>
      <c r="Z107" s="568" t="s">
        <v>290</v>
      </c>
      <c r="AA107" s="569" t="s">
        <v>290</v>
      </c>
      <c r="AB107" s="570"/>
      <c r="AC107" s="563" t="s">
        <v>291</v>
      </c>
      <c r="AN107" s="542"/>
      <c r="AO107" s="824" t="str">
        <f t="shared" si="11"/>
        <v>Yes</v>
      </c>
      <c r="AP107" s="259" t="str">
        <f t="shared" si="12"/>
        <v>MAR 19</v>
      </c>
      <c r="AQ107" s="542" t="str">
        <f t="shared" si="13"/>
        <v>有定金+有預留客戶</v>
      </c>
      <c r="AR107" s="259" t="str">
        <f t="shared" si="14"/>
        <v>Shipped_Stock</v>
      </c>
      <c r="AS107" s="259" t="str">
        <f t="shared" si="15"/>
        <v/>
      </c>
      <c r="AT107" s="259" t="str">
        <f t="shared" si="16"/>
        <v>Tuopuai拓普艾</v>
      </c>
      <c r="AU107" s="259" t="str">
        <f t="shared" si="17"/>
        <v>C49SZX20180177JL</v>
      </c>
      <c r="AV107" s="259" t="str">
        <f t="shared" si="18"/>
        <v>Feb-16</v>
      </c>
    </row>
    <row r="108" spans="1:48" ht="15" hidden="1" customHeight="1">
      <c r="A108" s="559">
        <v>252</v>
      </c>
      <c r="B108" s="563" t="s">
        <v>280</v>
      </c>
      <c r="C108" s="560" t="s">
        <v>281</v>
      </c>
      <c r="D108" s="564">
        <v>109478</v>
      </c>
      <c r="E108" s="563" t="s">
        <v>353</v>
      </c>
      <c r="F108" s="563" t="s">
        <v>256</v>
      </c>
      <c r="G108" s="563" t="s">
        <v>24</v>
      </c>
      <c r="H108" s="563" t="s">
        <v>26</v>
      </c>
      <c r="I108" s="564" t="s">
        <v>472</v>
      </c>
      <c r="J108" s="564">
        <v>1</v>
      </c>
      <c r="K108" s="563" t="s">
        <v>285</v>
      </c>
      <c r="L108" s="565">
        <v>43512</v>
      </c>
      <c r="M108" s="566">
        <v>6.2899999999999998E-2</v>
      </c>
      <c r="N108" s="563" t="s">
        <v>341</v>
      </c>
      <c r="P108" s="566" t="str">
        <f>VLOOKUP(A108,'[1]Raw data'!$B:$BB,23,FALSE)</f>
        <v>JPY</v>
      </c>
      <c r="Q108" s="563" t="str">
        <f>VLOOKUP(A108,'[1]Raw data'!$B:$Z,2,FALSE)</f>
        <v>C49SZX20190027MZ</v>
      </c>
      <c r="R108" s="563" t="str">
        <f>VLOOKUP(A108,'[1]Raw data'!$B:$Z,3,FALSE)</f>
        <v>魔乐视/end user:拓普赛特</v>
      </c>
      <c r="S108" s="563" t="str">
        <f>VLOOKUP(A108,'[1]Raw data'!$B:$Z,4,FALSE)</f>
        <v>YSM20R(SV)-2</v>
      </c>
      <c r="T108" s="563" t="str">
        <f>VLOOKUP(A108,'[1]Raw data'!$B:$Z,8,FALSE)</f>
        <v>L-&gt;R</v>
      </c>
      <c r="U108" s="563" t="str">
        <f>VLOOKUP(A108,'[1]Raw data'!$B:$Z,9,FALSE)</f>
        <v>No</v>
      </c>
      <c r="V108" s="567" t="str">
        <f t="shared" si="19"/>
        <v>OK</v>
      </c>
      <c r="W108" s="563" t="str">
        <f>VLOOKUP(A108,'[1]Raw data'!$B:$AG,32,FALSE)</f>
        <v>DAP 深圳</v>
      </c>
      <c r="X108" s="563">
        <f>VLOOKUP(A108,'[1]Raw data'!$B:$BA,31,FALSE)</f>
        <v>43536</v>
      </c>
      <c r="Y108" s="563" t="str">
        <f>VLOOKUP(A108,'[1]Raw data'!$B:$AS,39,FALSE)</f>
        <v>Yes</v>
      </c>
      <c r="Z108" s="568" t="s">
        <v>290</v>
      </c>
      <c r="AA108" s="569" t="s">
        <v>290</v>
      </c>
      <c r="AB108" s="570"/>
      <c r="AC108" s="563" t="s">
        <v>371</v>
      </c>
      <c r="AN108" s="542"/>
      <c r="AO108" s="824" t="str">
        <f t="shared" si="11"/>
        <v>Yes</v>
      </c>
      <c r="AP108" s="259" t="str">
        <f t="shared" si="12"/>
        <v>APR 19</v>
      </c>
      <c r="AQ108" s="542" t="str">
        <f t="shared" si="13"/>
        <v>有定金+有預留客戶</v>
      </c>
      <c r="AR108" s="259" t="str">
        <f t="shared" si="14"/>
        <v>Shipped_Stock</v>
      </c>
      <c r="AS108" s="259" t="str">
        <f t="shared" si="15"/>
        <v/>
      </c>
      <c r="AT108" s="259" t="str">
        <f t="shared" si="16"/>
        <v>魔乐视/end user:拓普赛特</v>
      </c>
      <c r="AU108" s="259" t="str">
        <f t="shared" si="17"/>
        <v>C49SZX20190027MZ</v>
      </c>
      <c r="AV108" s="259" t="str">
        <f t="shared" si="18"/>
        <v>Feb-16</v>
      </c>
    </row>
    <row r="109" spans="1:48" ht="15" hidden="1" customHeight="1">
      <c r="A109" s="559">
        <v>436</v>
      </c>
      <c r="B109" s="563" t="s">
        <v>280</v>
      </c>
      <c r="C109" s="560" t="s">
        <v>281</v>
      </c>
      <c r="D109" s="564">
        <v>109383</v>
      </c>
      <c r="E109" s="563" t="s">
        <v>473</v>
      </c>
      <c r="F109" s="563" t="s">
        <v>256</v>
      </c>
      <c r="G109" s="563" t="s">
        <v>24</v>
      </c>
      <c r="H109" s="563" t="s">
        <v>159</v>
      </c>
      <c r="I109" s="564" t="s">
        <v>474</v>
      </c>
      <c r="J109" s="564">
        <v>1</v>
      </c>
      <c r="K109" s="563" t="s">
        <v>437</v>
      </c>
      <c r="L109" s="565">
        <v>43512</v>
      </c>
      <c r="M109" s="566">
        <v>6.2899999999999998E-2</v>
      </c>
      <c r="N109" s="563" t="s">
        <v>475</v>
      </c>
      <c r="O109" s="564">
        <v>2019.01</v>
      </c>
      <c r="P109" s="566" t="str">
        <f>VLOOKUP(A109,'[1]Raw data'!$B:$BB,23,FALSE)</f>
        <v>RMB</v>
      </c>
      <c r="Q109" s="563" t="str">
        <f>VLOOKUP(A109,'[1]Raw data'!$B:$Z,2,FALSE)</f>
        <v>C49SZX20190139SX</v>
      </c>
      <c r="R109" s="563" t="str">
        <f>VLOOKUP(A109,'[1]Raw data'!$B:$Z,3,FALSE)</f>
        <v>太美亚</v>
      </c>
      <c r="S109" s="563" t="str">
        <f>VLOOKUP(A109,'[1]Raw data'!$B:$Z,4,FALSE)</f>
        <v>YSM20R(SV)-2</v>
      </c>
      <c r="T109" s="563" t="str">
        <f>VLOOKUP(A109,'[1]Raw data'!$B:$Z,8,FALSE)</f>
        <v>L-&gt;R</v>
      </c>
      <c r="U109" s="563" t="str">
        <f>VLOOKUP(A109,'[1]Raw data'!$B:$Z,9,FALSE)</f>
        <v>cATS10+MVC+special layout</v>
      </c>
      <c r="V109" s="567" t="str">
        <f t="shared" si="19"/>
        <v>OK</v>
      </c>
      <c r="W109" s="563" t="str">
        <f>VLOOKUP(A109,'[1]Raw data'!$B:$AG,32,FALSE)</f>
        <v>含税到厂</v>
      </c>
      <c r="X109" s="563">
        <f>VLOOKUP(A109,'[1]Raw data'!$B:$BA,31,FALSE)</f>
        <v>43735</v>
      </c>
      <c r="Y109" s="563" t="str">
        <f>VLOOKUP(A109,'[1]Raw data'!$B:$AS,39,FALSE)</f>
        <v>Yes</v>
      </c>
      <c r="Z109" s="568" t="s">
        <v>290</v>
      </c>
      <c r="AA109" s="569" t="s">
        <v>290</v>
      </c>
      <c r="AB109" s="570"/>
      <c r="AC109" s="563" t="s">
        <v>476</v>
      </c>
      <c r="AN109" s="542"/>
      <c r="AO109" s="824" t="str">
        <f t="shared" si="11"/>
        <v>Yes</v>
      </c>
      <c r="AP109" s="259" t="str">
        <f t="shared" si="12"/>
        <v>OCT 19</v>
      </c>
      <c r="AQ109" s="542" t="str">
        <f t="shared" si="13"/>
        <v>有定金+有預留客戶</v>
      </c>
      <c r="AR109" s="259" t="str">
        <f t="shared" si="14"/>
        <v>Shipped_Stock</v>
      </c>
      <c r="AS109" s="259" t="str">
        <f t="shared" si="15"/>
        <v/>
      </c>
      <c r="AT109" s="259" t="str">
        <f t="shared" si="16"/>
        <v>太美亚</v>
      </c>
      <c r="AU109" s="259" t="str">
        <f t="shared" si="17"/>
        <v>C49SZX20190139SX</v>
      </c>
      <c r="AV109" s="259" t="str">
        <f t="shared" si="18"/>
        <v>Feb-16</v>
      </c>
    </row>
    <row r="110" spans="1:48" ht="15" hidden="1" customHeight="1">
      <c r="A110" s="559">
        <v>283</v>
      </c>
      <c r="B110" s="563" t="s">
        <v>280</v>
      </c>
      <c r="C110" s="560" t="s">
        <v>281</v>
      </c>
      <c r="D110" s="564">
        <v>109383</v>
      </c>
      <c r="E110" s="563" t="s">
        <v>473</v>
      </c>
      <c r="F110" s="563" t="s">
        <v>256</v>
      </c>
      <c r="G110" s="563" t="s">
        <v>24</v>
      </c>
      <c r="H110" s="563" t="s">
        <v>26</v>
      </c>
      <c r="I110" s="564" t="s">
        <v>477</v>
      </c>
      <c r="J110" s="564">
        <v>1</v>
      </c>
      <c r="K110" s="563" t="s">
        <v>437</v>
      </c>
      <c r="L110" s="565">
        <v>43512</v>
      </c>
      <c r="M110" s="566">
        <v>6.2899999999999998E-2</v>
      </c>
      <c r="N110" s="563" t="s">
        <v>341</v>
      </c>
      <c r="P110" s="566" t="str">
        <f>VLOOKUP(A110,'[1]Raw data'!$B:$BB,23,FALSE)</f>
        <v>JPY</v>
      </c>
      <c r="Q110" s="563" t="str">
        <f>VLOOKUP(A110,'[1]Raw data'!$B:$Z,2,FALSE)</f>
        <v>C49SZX20190042JL</v>
      </c>
      <c r="R110" s="563" t="str">
        <f>VLOOKUP(A110,'[1]Raw data'!$B:$Z,3,FALSE)</f>
        <v>杉川/end user:放德劲</v>
      </c>
      <c r="S110" s="563" t="str">
        <f>VLOOKUP(A110,'[1]Raw data'!$B:$Z,4,FALSE)</f>
        <v>YSM20R(SV)-2</v>
      </c>
      <c r="T110" s="563" t="str">
        <f>VLOOKUP(A110,'[1]Raw data'!$B:$Z,8,FALSE)</f>
        <v>L-&gt;R</v>
      </c>
      <c r="U110" s="563" t="str">
        <f>VLOOKUP(A110,'[1]Raw data'!$B:$Z,9,FALSE)</f>
        <v>MVC</v>
      </c>
      <c r="V110" s="567" t="str">
        <f t="shared" si="19"/>
        <v>WRONG</v>
      </c>
      <c r="W110" s="563" t="str">
        <f>VLOOKUP(A110,'[1]Raw data'!$B:$AG,32,FALSE)</f>
        <v>DAP 深圳</v>
      </c>
      <c r="X110" s="563">
        <f>VLOOKUP(A110,'[1]Raw data'!$B:$BA,31,FALSE)</f>
        <v>43572</v>
      </c>
      <c r="Y110" s="563" t="str">
        <f>VLOOKUP(A110,'[1]Raw data'!$B:$AS,39,FALSE)</f>
        <v>Yes</v>
      </c>
      <c r="Z110" s="568" t="s">
        <v>290</v>
      </c>
      <c r="AA110" s="569" t="s">
        <v>290</v>
      </c>
      <c r="AB110" s="570"/>
      <c r="AC110" s="563" t="s">
        <v>291</v>
      </c>
      <c r="AN110" s="542"/>
      <c r="AO110" s="824" t="str">
        <f t="shared" si="11"/>
        <v>Yes</v>
      </c>
      <c r="AP110" s="259" t="str">
        <f t="shared" si="12"/>
        <v>APR 19</v>
      </c>
      <c r="AQ110" s="542" t="str">
        <f t="shared" si="13"/>
        <v>有定金+有預留客戶</v>
      </c>
      <c r="AR110" s="259" t="str">
        <f t="shared" si="14"/>
        <v>Shipped_Stock</v>
      </c>
      <c r="AS110" s="259" t="str">
        <f t="shared" si="15"/>
        <v/>
      </c>
      <c r="AT110" s="259" t="str">
        <f t="shared" si="16"/>
        <v>杉川/end user:放德劲</v>
      </c>
      <c r="AU110" s="259" t="str">
        <f t="shared" si="17"/>
        <v>C49SZX20190042JL</v>
      </c>
      <c r="AV110" s="259" t="str">
        <f t="shared" si="18"/>
        <v>Feb-16</v>
      </c>
    </row>
    <row r="111" spans="1:48" ht="15" hidden="1" customHeight="1">
      <c r="A111" s="559">
        <v>151</v>
      </c>
      <c r="B111" s="563" t="s">
        <v>280</v>
      </c>
      <c r="C111" s="560" t="s">
        <v>281</v>
      </c>
      <c r="D111" s="589">
        <v>109220</v>
      </c>
      <c r="E111" s="584" t="s">
        <v>478</v>
      </c>
      <c r="F111" s="563" t="s">
        <v>256</v>
      </c>
      <c r="G111" s="563" t="s">
        <v>24</v>
      </c>
      <c r="H111" s="563" t="s">
        <v>26</v>
      </c>
      <c r="I111" s="589" t="s">
        <v>479</v>
      </c>
      <c r="J111" s="589">
        <v>1</v>
      </c>
      <c r="K111" s="563" t="s">
        <v>311</v>
      </c>
      <c r="L111" s="590">
        <v>43518</v>
      </c>
      <c r="M111" s="566">
        <v>6.2899999999999998E-2</v>
      </c>
      <c r="N111" s="563" t="s">
        <v>341</v>
      </c>
      <c r="P111" s="566" t="str">
        <f>VLOOKUP(A111,'[1]Raw data'!$B:$BB,23,FALSE)</f>
        <v>JPY</v>
      </c>
      <c r="Q111" s="563" t="str">
        <f>VLOOKUP(A111,'[1]Raw data'!$B:$Z,2,FALSE)</f>
        <v>C49SZX20180156SX</v>
      </c>
      <c r="R111" s="563" t="str">
        <f>VLOOKUP(A111,'[1]Raw data'!$B:$Z,3,FALSE)</f>
        <v>可祁</v>
      </c>
      <c r="S111" s="563" t="str">
        <f>VLOOKUP(A111,'[1]Raw data'!$B:$Z,4,FALSE)</f>
        <v>YSM20R(SV)-2</v>
      </c>
      <c r="T111" s="563" t="str">
        <f>VLOOKUP(A111,'[1]Raw data'!$B:$Z,8,FALSE)</f>
        <v>L-&gt;R</v>
      </c>
      <c r="U111" s="563" t="str">
        <f>VLOOKUP(A111,'[1]Raw data'!$B:$Z,9,FALSE)</f>
        <v>No</v>
      </c>
      <c r="V111" s="567" t="str">
        <f t="shared" si="19"/>
        <v>OK</v>
      </c>
      <c r="W111" s="563" t="str">
        <f>VLOOKUP(A111,'[1]Raw data'!$B:$AG,32,FALSE)</f>
        <v>DAP 广州</v>
      </c>
      <c r="X111" s="563">
        <f>VLOOKUP(A111,'[1]Raw data'!$B:$BA,31,FALSE)</f>
        <v>43398</v>
      </c>
      <c r="Y111" s="563" t="str">
        <f>VLOOKUP(A111,'[1]Raw data'!$B:$AS,39,FALSE)</f>
        <v>Yes</v>
      </c>
      <c r="Z111" s="568" t="s">
        <v>290</v>
      </c>
      <c r="AA111" s="569" t="s">
        <v>290</v>
      </c>
      <c r="AB111" s="591"/>
      <c r="AC111" s="584" t="s">
        <v>291</v>
      </c>
      <c r="AD111" s="592"/>
      <c r="AE111" s="592"/>
      <c r="AF111" s="592"/>
      <c r="AG111" s="592"/>
      <c r="AH111" s="592"/>
      <c r="AI111" s="593"/>
      <c r="AJ111" s="592"/>
      <c r="AK111" s="592"/>
      <c r="AL111" s="592"/>
      <c r="AM111" s="592"/>
      <c r="AN111" s="542"/>
      <c r="AO111" s="824" t="str">
        <f t="shared" si="11"/>
        <v>Yes</v>
      </c>
      <c r="AP111" s="259" t="str">
        <f t="shared" si="12"/>
        <v>APR 19</v>
      </c>
      <c r="AQ111" s="542" t="str">
        <f t="shared" si="13"/>
        <v>有定金+有預留客戶</v>
      </c>
      <c r="AR111" s="259" t="str">
        <f t="shared" si="14"/>
        <v>Shipped_Stock</v>
      </c>
      <c r="AS111" s="259" t="str">
        <f t="shared" si="15"/>
        <v/>
      </c>
      <c r="AT111" s="259" t="str">
        <f t="shared" si="16"/>
        <v>可祁</v>
      </c>
      <c r="AU111" s="259" t="str">
        <f t="shared" si="17"/>
        <v>C49SZX20180156SX</v>
      </c>
      <c r="AV111" s="259" t="str">
        <f t="shared" si="18"/>
        <v>Feb-22</v>
      </c>
    </row>
    <row r="112" spans="1:48" ht="15" hidden="1" customHeight="1">
      <c r="A112" s="559">
        <v>150</v>
      </c>
      <c r="B112" s="563" t="s">
        <v>280</v>
      </c>
      <c r="C112" s="560" t="s">
        <v>281</v>
      </c>
      <c r="D112" s="564">
        <v>109220</v>
      </c>
      <c r="E112" s="563" t="s">
        <v>480</v>
      </c>
      <c r="F112" s="563" t="s">
        <v>256</v>
      </c>
      <c r="G112" s="563" t="s">
        <v>24</v>
      </c>
      <c r="H112" s="563" t="s">
        <v>26</v>
      </c>
      <c r="I112" s="564" t="s">
        <v>481</v>
      </c>
      <c r="J112" s="564">
        <v>1</v>
      </c>
      <c r="K112" s="563" t="s">
        <v>311</v>
      </c>
      <c r="L112" s="590">
        <v>43518</v>
      </c>
      <c r="M112" s="566">
        <v>6.2899999999999998E-2</v>
      </c>
      <c r="N112" s="563" t="s">
        <v>341</v>
      </c>
      <c r="P112" s="566" t="str">
        <f>VLOOKUP(A112,'[1]Raw data'!$B:$BB,23,FALSE)</f>
        <v>JPY</v>
      </c>
      <c r="Q112" s="563" t="str">
        <f>VLOOKUP(A112,'[1]Raw data'!$B:$Z,2,FALSE)</f>
        <v>C49SZX20180156SX</v>
      </c>
      <c r="R112" s="563" t="str">
        <f>VLOOKUP(A112,'[1]Raw data'!$B:$Z,3,FALSE)</f>
        <v>可祁</v>
      </c>
      <c r="S112" s="563" t="str">
        <f>VLOOKUP(A112,'[1]Raw data'!$B:$Z,4,FALSE)</f>
        <v>YSM20R(SV)-2</v>
      </c>
      <c r="T112" s="563" t="str">
        <f>VLOOKUP(A112,'[1]Raw data'!$B:$Z,8,FALSE)</f>
        <v>L-&gt;R</v>
      </c>
      <c r="U112" s="563" t="str">
        <f>VLOOKUP(A112,'[1]Raw data'!$B:$Z,9,FALSE)</f>
        <v>No</v>
      </c>
      <c r="V112" s="567" t="str">
        <f t="shared" si="19"/>
        <v>OK</v>
      </c>
      <c r="W112" s="563" t="str">
        <f>VLOOKUP(A112,'[1]Raw data'!$B:$AG,32,FALSE)</f>
        <v>DAP 广州</v>
      </c>
      <c r="X112" s="563">
        <f>VLOOKUP(A112,'[1]Raw data'!$B:$BA,31,FALSE)</f>
        <v>43398</v>
      </c>
      <c r="Y112" s="563" t="str">
        <f>VLOOKUP(A112,'[1]Raw data'!$B:$AS,39,FALSE)</f>
        <v>Yes</v>
      </c>
      <c r="Z112" s="568" t="s">
        <v>290</v>
      </c>
      <c r="AA112" s="569" t="s">
        <v>290</v>
      </c>
      <c r="AB112" s="570"/>
      <c r="AC112" s="563" t="s">
        <v>291</v>
      </c>
      <c r="AN112" s="542"/>
      <c r="AO112" s="824" t="str">
        <f t="shared" si="11"/>
        <v>Yes</v>
      </c>
      <c r="AP112" s="259" t="str">
        <f t="shared" si="12"/>
        <v>APR 19</v>
      </c>
      <c r="AQ112" s="542" t="str">
        <f t="shared" si="13"/>
        <v>有定金+有預留客戶</v>
      </c>
      <c r="AR112" s="259" t="str">
        <f t="shared" si="14"/>
        <v>Shipped_Stock</v>
      </c>
      <c r="AS112" s="259" t="str">
        <f t="shared" si="15"/>
        <v/>
      </c>
      <c r="AT112" s="259" t="str">
        <f t="shared" si="16"/>
        <v>可祁</v>
      </c>
      <c r="AU112" s="259" t="str">
        <f t="shared" si="17"/>
        <v>C49SZX20180156SX</v>
      </c>
      <c r="AV112" s="259" t="str">
        <f t="shared" si="18"/>
        <v>Feb-22</v>
      </c>
    </row>
    <row r="113" spans="1:69" ht="15" hidden="1" customHeight="1">
      <c r="A113" s="559">
        <v>184</v>
      </c>
      <c r="B113" s="563" t="s">
        <v>280</v>
      </c>
      <c r="C113" s="560" t="s">
        <v>281</v>
      </c>
      <c r="D113" s="564">
        <v>109220</v>
      </c>
      <c r="E113" s="563" t="s">
        <v>480</v>
      </c>
      <c r="F113" s="563" t="s">
        <v>256</v>
      </c>
      <c r="G113" s="563" t="s">
        <v>24</v>
      </c>
      <c r="H113" s="563" t="s">
        <v>27</v>
      </c>
      <c r="I113" s="564" t="s">
        <v>482</v>
      </c>
      <c r="J113" s="564">
        <v>1</v>
      </c>
      <c r="K113" s="563" t="s">
        <v>311</v>
      </c>
      <c r="L113" s="590">
        <v>43518</v>
      </c>
      <c r="M113" s="566">
        <v>6.2899999999999998E-2</v>
      </c>
      <c r="N113" s="563" t="s">
        <v>334</v>
      </c>
      <c r="P113" s="566" t="str">
        <f>VLOOKUP(A113,'[1]Raw data'!$B:$BB,23,FALSE)</f>
        <v>JPY</v>
      </c>
      <c r="Q113" s="563" t="str">
        <f>VLOOKUP(A113,'[1]Raw data'!$B:$Z,2,FALSE)</f>
        <v>C49SZX20180175SX</v>
      </c>
      <c r="R113" s="563" t="str">
        <f>VLOOKUP(A113,'[1]Raw data'!$B:$Z,3,FALSE)</f>
        <v>永顺创</v>
      </c>
      <c r="S113" s="563" t="str">
        <f>VLOOKUP(A113,'[1]Raw data'!$B:$Z,4,FALSE)</f>
        <v>YSM20R(SV)-2</v>
      </c>
      <c r="T113" s="563" t="str">
        <f>VLOOKUP(A113,'[1]Raw data'!$B:$Z,8,FALSE)</f>
        <v>L-&gt;R</v>
      </c>
      <c r="U113" s="563" t="str">
        <f>VLOOKUP(A113,'[1]Raw data'!$B:$Z,9,FALSE)</f>
        <v>MVC</v>
      </c>
      <c r="V113" s="567" t="str">
        <f t="shared" si="19"/>
        <v>OK</v>
      </c>
      <c r="W113" s="563" t="str">
        <f>VLOOKUP(A113,'[1]Raw data'!$B:$AG,32,FALSE)</f>
        <v>DAP深圳</v>
      </c>
      <c r="X113" s="563">
        <f>VLOOKUP(A113,'[1]Raw data'!$B:$BA,31,FALSE)</f>
        <v>43425</v>
      </c>
      <c r="Y113" s="563" t="str">
        <f>VLOOKUP(A113,'[1]Raw data'!$B:$AS,39,FALSE)</f>
        <v>Yes</v>
      </c>
      <c r="Z113" s="568" t="s">
        <v>290</v>
      </c>
      <c r="AA113" s="569" t="s">
        <v>290</v>
      </c>
      <c r="AB113" s="570"/>
      <c r="AC113" s="563" t="s">
        <v>291</v>
      </c>
      <c r="AN113" s="542"/>
      <c r="AO113" s="824" t="str">
        <f t="shared" si="11"/>
        <v>Yes</v>
      </c>
      <c r="AP113" s="259" t="str">
        <f t="shared" si="12"/>
        <v>MAR 19</v>
      </c>
      <c r="AQ113" s="542" t="str">
        <f t="shared" si="13"/>
        <v>有定金+有預留客戶</v>
      </c>
      <c r="AR113" s="259" t="str">
        <f t="shared" si="14"/>
        <v>Shipped_Stock</v>
      </c>
      <c r="AS113" s="259" t="str">
        <f t="shared" si="15"/>
        <v/>
      </c>
      <c r="AT113" s="259" t="str">
        <f t="shared" si="16"/>
        <v>永顺创</v>
      </c>
      <c r="AU113" s="259" t="str">
        <f t="shared" si="17"/>
        <v>C49SZX20180175SX</v>
      </c>
      <c r="AV113" s="259" t="str">
        <f t="shared" si="18"/>
        <v>Feb-22</v>
      </c>
    </row>
    <row r="114" spans="1:69" ht="14.25" hidden="1" customHeight="1">
      <c r="A114" s="559">
        <v>185</v>
      </c>
      <c r="B114" s="563" t="s">
        <v>280</v>
      </c>
      <c r="C114" s="560" t="s">
        <v>281</v>
      </c>
      <c r="D114" s="564">
        <v>109220</v>
      </c>
      <c r="E114" s="563" t="s">
        <v>480</v>
      </c>
      <c r="F114" s="563" t="s">
        <v>256</v>
      </c>
      <c r="G114" s="563" t="s">
        <v>24</v>
      </c>
      <c r="H114" s="563" t="s">
        <v>27</v>
      </c>
      <c r="I114" s="564" t="s">
        <v>483</v>
      </c>
      <c r="J114" s="564">
        <v>1</v>
      </c>
      <c r="K114" s="563" t="s">
        <v>311</v>
      </c>
      <c r="L114" s="590">
        <v>43518</v>
      </c>
      <c r="M114" s="566">
        <v>6.2899999999999998E-2</v>
      </c>
      <c r="N114" s="563" t="s">
        <v>334</v>
      </c>
      <c r="P114" s="566" t="str">
        <f>VLOOKUP(A114,'[1]Raw data'!$B:$BB,23,FALSE)</f>
        <v>JPY</v>
      </c>
      <c r="Q114" s="563" t="str">
        <f>VLOOKUP(A114,'[1]Raw data'!$B:$Z,2,FALSE)</f>
        <v>C49SZX20180175SX</v>
      </c>
      <c r="R114" s="563" t="str">
        <f>VLOOKUP(A114,'[1]Raw data'!$B:$Z,3,FALSE)</f>
        <v>永顺创</v>
      </c>
      <c r="S114" s="563" t="str">
        <f>VLOOKUP(A114,'[1]Raw data'!$B:$Z,4,FALSE)</f>
        <v>YSM20R(SV)-2</v>
      </c>
      <c r="T114" s="563" t="str">
        <f>VLOOKUP(A114,'[1]Raw data'!$B:$Z,8,FALSE)</f>
        <v>L-&gt;R</v>
      </c>
      <c r="U114" s="563" t="str">
        <f>VLOOKUP(A114,'[1]Raw data'!$B:$Z,9,FALSE)</f>
        <v>MVC</v>
      </c>
      <c r="V114" s="567" t="str">
        <f t="shared" si="19"/>
        <v>OK</v>
      </c>
      <c r="W114" s="563" t="str">
        <f>VLOOKUP(A114,'[1]Raw data'!$B:$AG,32,FALSE)</f>
        <v>DAP深圳</v>
      </c>
      <c r="X114" s="563">
        <f>VLOOKUP(A114,'[1]Raw data'!$B:$BA,31,FALSE)</f>
        <v>43425</v>
      </c>
      <c r="Y114" s="563" t="str">
        <f>VLOOKUP(A114,'[1]Raw data'!$B:$AS,39,FALSE)</f>
        <v>Yes</v>
      </c>
      <c r="Z114" s="568"/>
      <c r="AA114" s="569" t="s">
        <v>329</v>
      </c>
      <c r="AB114" s="570"/>
      <c r="AC114" s="563" t="s">
        <v>291</v>
      </c>
      <c r="AN114" s="542"/>
      <c r="AO114" s="824" t="str">
        <f t="shared" si="11"/>
        <v>Yes</v>
      </c>
      <c r="AP114" s="259" t="str">
        <f t="shared" si="12"/>
        <v>MAR 19</v>
      </c>
      <c r="AQ114" s="542" t="str">
        <f t="shared" si="13"/>
        <v>有定金+有預留客戶</v>
      </c>
      <c r="AR114" s="259" t="str">
        <f t="shared" si="14"/>
        <v>Shipped_Stock</v>
      </c>
      <c r="AS114" s="259" t="str">
        <f t="shared" si="15"/>
        <v/>
      </c>
      <c r="AT114" s="259" t="str">
        <f t="shared" si="16"/>
        <v>永顺创</v>
      </c>
      <c r="AU114" s="259" t="str">
        <f t="shared" si="17"/>
        <v>C49SZX20180175SX</v>
      </c>
      <c r="AV114" s="259" t="str">
        <f t="shared" si="18"/>
        <v>Feb-22</v>
      </c>
    </row>
    <row r="115" spans="1:69" ht="15" hidden="1" customHeight="1">
      <c r="A115" s="559">
        <v>229</v>
      </c>
      <c r="B115" s="563" t="s">
        <v>280</v>
      </c>
      <c r="C115" s="560" t="s">
        <v>281</v>
      </c>
      <c r="D115" s="589">
        <v>109393</v>
      </c>
      <c r="E115" s="584" t="s">
        <v>423</v>
      </c>
      <c r="F115" s="563" t="s">
        <v>256</v>
      </c>
      <c r="G115" s="563" t="s">
        <v>24</v>
      </c>
      <c r="H115" s="584" t="s">
        <v>26</v>
      </c>
      <c r="I115" s="589" t="s">
        <v>484</v>
      </c>
      <c r="J115" s="589">
        <v>1</v>
      </c>
      <c r="K115" s="584" t="s">
        <v>425</v>
      </c>
      <c r="L115" s="590">
        <v>43518</v>
      </c>
      <c r="M115" s="566">
        <v>6.2899999999999998E-2</v>
      </c>
      <c r="N115" s="563" t="s">
        <v>334</v>
      </c>
      <c r="P115" s="566" t="str">
        <f>VLOOKUP(A115,'[1]Raw data'!$B:$BB,23,FALSE)</f>
        <v>JPY</v>
      </c>
      <c r="Q115" s="563" t="str">
        <f>VLOOKUP(A115,'[1]Raw data'!$B:$Z,2,FALSE)</f>
        <v>C49SZX20190013DZ</v>
      </c>
      <c r="R115" s="563" t="str">
        <f>VLOOKUP(A115,'[1]Raw data'!$B:$Z,3,FALSE)</f>
        <v>兆晖</v>
      </c>
      <c r="S115" s="563" t="str">
        <f>VLOOKUP(A115,'[1]Raw data'!$B:$Z,4,FALSE)</f>
        <v>YSM20R(SV)-2</v>
      </c>
      <c r="T115" s="563" t="str">
        <f>VLOOKUP(A115,'[1]Raw data'!$B:$Z,8,FALSE)</f>
        <v>L-&gt;R</v>
      </c>
      <c r="U115" s="563" t="str">
        <f>VLOOKUP(A115,'[1]Raw data'!$B:$Z,9,FALSE)</f>
        <v>MVC</v>
      </c>
      <c r="V115" s="567" t="str">
        <f t="shared" si="19"/>
        <v>WRONG</v>
      </c>
      <c r="W115" s="563" t="str">
        <f>VLOOKUP(A115,'[1]Raw data'!$B:$AG,32,FALSE)</f>
        <v xml:space="preserve">CIF </v>
      </c>
      <c r="X115" s="563">
        <f>VLOOKUP(A115,'[1]Raw data'!$B:$BA,31,FALSE)</f>
        <v>43488</v>
      </c>
      <c r="Y115" s="563" t="str">
        <f>VLOOKUP(A115,'[1]Raw data'!$B:$AS,39,FALSE)</f>
        <v>Yes</v>
      </c>
      <c r="Z115" s="569"/>
      <c r="AA115" s="569" t="s">
        <v>290</v>
      </c>
      <c r="AB115" s="591"/>
      <c r="AC115" s="584" t="s">
        <v>291</v>
      </c>
      <c r="AD115" s="592"/>
      <c r="AE115" s="592"/>
      <c r="AF115" s="592"/>
      <c r="AG115" s="592"/>
      <c r="AH115" s="592"/>
      <c r="AI115" s="593"/>
      <c r="AJ115" s="592"/>
      <c r="AK115" s="592"/>
      <c r="AL115" s="592"/>
      <c r="AM115" s="592"/>
      <c r="AN115" s="542"/>
      <c r="AO115" s="824" t="str">
        <f t="shared" si="11"/>
        <v>Yes</v>
      </c>
      <c r="AP115" s="259" t="str">
        <f t="shared" si="12"/>
        <v>MAR 19</v>
      </c>
      <c r="AQ115" s="542" t="str">
        <f t="shared" si="13"/>
        <v>有定金+有預留客戶</v>
      </c>
      <c r="AR115" s="259" t="str">
        <f t="shared" si="14"/>
        <v>Shipped_Stock</v>
      </c>
      <c r="AS115" s="259" t="str">
        <f t="shared" si="15"/>
        <v/>
      </c>
      <c r="AT115" s="259" t="str">
        <f t="shared" si="16"/>
        <v>兆晖</v>
      </c>
      <c r="AU115" s="259" t="str">
        <f t="shared" si="17"/>
        <v>C49SZX20190013DZ</v>
      </c>
      <c r="AV115" s="259" t="str">
        <f t="shared" si="18"/>
        <v>Feb-22</v>
      </c>
    </row>
    <row r="116" spans="1:69" ht="15" hidden="1" customHeight="1">
      <c r="A116" s="559">
        <v>228</v>
      </c>
      <c r="B116" s="563" t="s">
        <v>280</v>
      </c>
      <c r="C116" s="560" t="s">
        <v>281</v>
      </c>
      <c r="D116" s="564">
        <v>109393</v>
      </c>
      <c r="E116" s="563" t="s">
        <v>485</v>
      </c>
      <c r="F116" s="563" t="s">
        <v>256</v>
      </c>
      <c r="G116" s="563" t="s">
        <v>24</v>
      </c>
      <c r="H116" s="563" t="s">
        <v>26</v>
      </c>
      <c r="I116" s="564" t="s">
        <v>486</v>
      </c>
      <c r="J116" s="564">
        <v>1</v>
      </c>
      <c r="K116" s="563" t="s">
        <v>311</v>
      </c>
      <c r="L116" s="590">
        <v>43518</v>
      </c>
      <c r="M116" s="566">
        <v>6.2899999999999998E-2</v>
      </c>
      <c r="N116" s="563" t="s">
        <v>334</v>
      </c>
      <c r="P116" s="566" t="str">
        <f>VLOOKUP(A116,'[1]Raw data'!$B:$BB,23,FALSE)</f>
        <v>JPY</v>
      </c>
      <c r="Q116" s="563" t="str">
        <f>VLOOKUP(A116,'[1]Raw data'!$B:$Z,2,FALSE)</f>
        <v>C49SZX20190013DZ</v>
      </c>
      <c r="R116" s="563" t="str">
        <f>VLOOKUP(A116,'[1]Raw data'!$B:$Z,3,FALSE)</f>
        <v>兆晖</v>
      </c>
      <c r="S116" s="563" t="str">
        <f>VLOOKUP(A116,'[1]Raw data'!$B:$Z,4,FALSE)</f>
        <v>YSM20R(SV)-2</v>
      </c>
      <c r="T116" s="563" t="str">
        <f>VLOOKUP(A116,'[1]Raw data'!$B:$Z,8,FALSE)</f>
        <v>L-&gt;R</v>
      </c>
      <c r="U116" s="563" t="str">
        <f>VLOOKUP(A116,'[1]Raw data'!$B:$Z,9,FALSE)</f>
        <v>MVC</v>
      </c>
      <c r="V116" s="567" t="str">
        <f t="shared" si="19"/>
        <v>WRONG</v>
      </c>
      <c r="W116" s="563" t="str">
        <f>VLOOKUP(A116,'[1]Raw data'!$B:$AG,32,FALSE)</f>
        <v xml:space="preserve">CIF </v>
      </c>
      <c r="X116" s="563">
        <f>VLOOKUP(A116,'[1]Raw data'!$B:$BA,31,FALSE)</f>
        <v>43488</v>
      </c>
      <c r="Y116" s="563" t="str">
        <f>VLOOKUP(A116,'[1]Raw data'!$B:$AS,39,FALSE)</f>
        <v>Yes</v>
      </c>
      <c r="Z116" s="568"/>
      <c r="AA116" s="569" t="s">
        <v>290</v>
      </c>
      <c r="AB116" s="570"/>
      <c r="AC116" s="563" t="s">
        <v>291</v>
      </c>
      <c r="AN116" s="542"/>
      <c r="AO116" s="824" t="str">
        <f t="shared" si="11"/>
        <v>Yes</v>
      </c>
      <c r="AP116" s="259" t="str">
        <f t="shared" si="12"/>
        <v>MAR 19</v>
      </c>
      <c r="AQ116" s="542" t="str">
        <f t="shared" si="13"/>
        <v>有定金+有預留客戶</v>
      </c>
      <c r="AR116" s="259" t="str">
        <f t="shared" si="14"/>
        <v>Shipped_Stock</v>
      </c>
      <c r="AS116" s="259" t="str">
        <f t="shared" si="15"/>
        <v/>
      </c>
      <c r="AT116" s="259" t="str">
        <f t="shared" si="16"/>
        <v>兆晖</v>
      </c>
      <c r="AU116" s="259" t="str">
        <f t="shared" si="17"/>
        <v>C49SZX20190013DZ</v>
      </c>
      <c r="AV116" s="259" t="str">
        <f t="shared" si="18"/>
        <v>Feb-22</v>
      </c>
    </row>
    <row r="117" spans="1:69" ht="15" hidden="1" customHeight="1">
      <c r="A117" s="559">
        <v>227</v>
      </c>
      <c r="B117" s="563" t="s">
        <v>280</v>
      </c>
      <c r="C117" s="560" t="s">
        <v>281</v>
      </c>
      <c r="D117" s="564">
        <v>109393</v>
      </c>
      <c r="E117" s="563" t="s">
        <v>485</v>
      </c>
      <c r="F117" s="563" t="s">
        <v>256</v>
      </c>
      <c r="G117" s="563" t="s">
        <v>24</v>
      </c>
      <c r="H117" s="563" t="s">
        <v>26</v>
      </c>
      <c r="I117" s="564" t="s">
        <v>487</v>
      </c>
      <c r="J117" s="564">
        <v>1</v>
      </c>
      <c r="K117" s="563" t="s">
        <v>311</v>
      </c>
      <c r="L117" s="590">
        <v>43518</v>
      </c>
      <c r="M117" s="566">
        <v>6.2899999999999998E-2</v>
      </c>
      <c r="N117" s="563" t="s">
        <v>334</v>
      </c>
      <c r="P117" s="566" t="str">
        <f>VLOOKUP(A117,'[1]Raw data'!$B:$BB,23,FALSE)</f>
        <v>JPY</v>
      </c>
      <c r="Q117" s="563" t="str">
        <f>VLOOKUP(A117,'[1]Raw data'!$B:$Z,2,FALSE)</f>
        <v>C49SZX20190013DZ</v>
      </c>
      <c r="R117" s="563" t="str">
        <f>VLOOKUP(A117,'[1]Raw data'!$B:$Z,3,FALSE)</f>
        <v>兆晖</v>
      </c>
      <c r="S117" s="563" t="str">
        <f>VLOOKUP(A117,'[1]Raw data'!$B:$Z,4,FALSE)</f>
        <v>YSM20R(SV)-2</v>
      </c>
      <c r="T117" s="563" t="str">
        <f>VLOOKUP(A117,'[1]Raw data'!$B:$Z,8,FALSE)</f>
        <v>L-&gt;R</v>
      </c>
      <c r="U117" s="563" t="str">
        <f>VLOOKUP(A117,'[1]Raw data'!$B:$Z,9,FALSE)</f>
        <v>MVC</v>
      </c>
      <c r="V117" s="567" t="str">
        <f t="shared" si="19"/>
        <v>WRONG</v>
      </c>
      <c r="W117" s="563" t="str">
        <f>VLOOKUP(A117,'[1]Raw data'!$B:$AG,32,FALSE)</f>
        <v xml:space="preserve">CIF </v>
      </c>
      <c r="X117" s="563">
        <f>VLOOKUP(A117,'[1]Raw data'!$B:$BA,31,FALSE)</f>
        <v>43488</v>
      </c>
      <c r="Y117" s="563" t="str">
        <f>VLOOKUP(A117,'[1]Raw data'!$B:$AS,39,FALSE)</f>
        <v>Yes</v>
      </c>
      <c r="Z117" s="568"/>
      <c r="AA117" s="569" t="s">
        <v>290</v>
      </c>
      <c r="AB117" s="570"/>
      <c r="AC117" s="563" t="s">
        <v>291</v>
      </c>
      <c r="AN117" s="542"/>
      <c r="AO117" s="824" t="str">
        <f t="shared" si="11"/>
        <v>Yes</v>
      </c>
      <c r="AP117" s="259" t="str">
        <f t="shared" si="12"/>
        <v>MAR 19</v>
      </c>
      <c r="AQ117" s="542" t="str">
        <f t="shared" si="13"/>
        <v>有定金+有預留客戶</v>
      </c>
      <c r="AR117" s="259" t="str">
        <f t="shared" si="14"/>
        <v>Shipped_Stock</v>
      </c>
      <c r="AS117" s="259" t="str">
        <f t="shared" si="15"/>
        <v/>
      </c>
      <c r="AT117" s="259" t="str">
        <f t="shared" si="16"/>
        <v>兆晖</v>
      </c>
      <c r="AU117" s="259" t="str">
        <f t="shared" si="17"/>
        <v>C49SZX20190013DZ</v>
      </c>
      <c r="AV117" s="259" t="str">
        <f t="shared" si="18"/>
        <v>Feb-22</v>
      </c>
    </row>
    <row r="118" spans="1:69" ht="15" hidden="1" customHeight="1">
      <c r="A118" s="559">
        <v>81</v>
      </c>
      <c r="B118" s="563" t="s">
        <v>280</v>
      </c>
      <c r="C118" s="560" t="s">
        <v>281</v>
      </c>
      <c r="D118" s="564">
        <v>109431</v>
      </c>
      <c r="E118" s="563" t="s">
        <v>488</v>
      </c>
      <c r="F118" s="563" t="s">
        <v>256</v>
      </c>
      <c r="G118" s="563" t="s">
        <v>24</v>
      </c>
      <c r="H118" s="563" t="s">
        <v>26</v>
      </c>
      <c r="I118" s="564" t="s">
        <v>489</v>
      </c>
      <c r="J118" s="564">
        <v>1</v>
      </c>
      <c r="K118" s="563" t="s">
        <v>311</v>
      </c>
      <c r="L118" s="565">
        <v>43527</v>
      </c>
      <c r="M118" s="566">
        <v>6.2E-2</v>
      </c>
      <c r="N118" s="563" t="s">
        <v>334</v>
      </c>
      <c r="P118" s="566" t="str">
        <f>VLOOKUP(A118,'[1]Raw data'!$B:$BB,23,FALSE)</f>
        <v>JPY</v>
      </c>
      <c r="Q118" s="563" t="str">
        <f>VLOOKUP(A118,'[1]Raw data'!$B:$Z,2,FALSE)</f>
        <v>C49SZX20180086DZ</v>
      </c>
      <c r="R118" s="563" t="str">
        <f>VLOOKUP(A118,'[1]Raw data'!$B:$Z,3,FALSE)</f>
        <v>BBS好兄弟</v>
      </c>
      <c r="S118" s="563" t="str">
        <f>VLOOKUP(A118,'[1]Raw data'!$B:$Z,4,FALSE)</f>
        <v>YSM20-2</v>
      </c>
      <c r="T118" s="563" t="str">
        <f>VLOOKUP(A118,'[1]Raw data'!$B:$Z,8,FALSE)</f>
        <v>L-&gt;R</v>
      </c>
      <c r="U118" s="563" t="str">
        <f>VLOOKUP(A118,'[1]Raw data'!$B:$Z,9,FALSE)</f>
        <v>No</v>
      </c>
      <c r="V118" s="567" t="str">
        <f t="shared" si="19"/>
        <v>OK</v>
      </c>
      <c r="W118" s="563" t="str">
        <f>VLOOKUP(A118,'[1]Raw data'!$B:$AG,32,FALSE)</f>
        <v>CIF HK</v>
      </c>
      <c r="X118" s="563">
        <f>VLOOKUP(A118,'[1]Raw data'!$B:$BA,31,FALSE)</f>
        <v>43251</v>
      </c>
      <c r="Y118" s="563" t="str">
        <f>VLOOKUP(A118,'[1]Raw data'!$B:$AS,39,FALSE)</f>
        <v>Yes</v>
      </c>
      <c r="Z118" s="568" t="s">
        <v>290</v>
      </c>
      <c r="AA118" s="569" t="s">
        <v>290</v>
      </c>
      <c r="AB118" s="570"/>
      <c r="AC118" s="563" t="s">
        <v>291</v>
      </c>
      <c r="AN118" s="542"/>
      <c r="AO118" s="824" t="str">
        <f t="shared" si="11"/>
        <v>Yes</v>
      </c>
      <c r="AP118" s="259" t="str">
        <f t="shared" si="12"/>
        <v>MAR 19</v>
      </c>
      <c r="AQ118" s="542" t="str">
        <f t="shared" si="13"/>
        <v>有定金+有預留客戶</v>
      </c>
      <c r="AR118" s="259" t="str">
        <f t="shared" si="14"/>
        <v>Shipped_Stock</v>
      </c>
      <c r="AS118" s="259" t="str">
        <f t="shared" si="15"/>
        <v/>
      </c>
      <c r="AT118" s="259" t="str">
        <f t="shared" si="16"/>
        <v>BBS好兄弟</v>
      </c>
      <c r="AU118" s="259" t="str">
        <f t="shared" si="17"/>
        <v>C49SZX20180086DZ</v>
      </c>
      <c r="AV118" s="259" t="str">
        <f t="shared" si="18"/>
        <v>Mar-03</v>
      </c>
    </row>
    <row r="119" spans="1:69" ht="15" hidden="1" customHeight="1">
      <c r="A119" s="559">
        <v>238</v>
      </c>
      <c r="B119" s="563" t="s">
        <v>280</v>
      </c>
      <c r="C119" s="560" t="s">
        <v>281</v>
      </c>
      <c r="D119" s="564">
        <v>109431</v>
      </c>
      <c r="E119" s="563" t="s">
        <v>488</v>
      </c>
      <c r="F119" s="563" t="s">
        <v>256</v>
      </c>
      <c r="G119" s="563" t="s">
        <v>18</v>
      </c>
      <c r="H119" s="563" t="s">
        <v>26</v>
      </c>
      <c r="I119" s="564" t="s">
        <v>490</v>
      </c>
      <c r="J119" s="564">
        <v>1</v>
      </c>
      <c r="K119" s="563" t="s">
        <v>311</v>
      </c>
      <c r="L119" s="565">
        <v>43527</v>
      </c>
      <c r="M119" s="566">
        <v>6.2E-2</v>
      </c>
      <c r="N119" s="563" t="s">
        <v>334</v>
      </c>
      <c r="P119" s="566" t="str">
        <f>VLOOKUP(A119,'[1]Raw data'!$B:$BB,23,FALSE)</f>
        <v>JPY</v>
      </c>
      <c r="Q119" s="563" t="str">
        <f>VLOOKUP(A119,'[1]Raw data'!$B:$Z,2,FALSE)</f>
        <v>C49SZX20190022SS</v>
      </c>
      <c r="R119" s="563" t="str">
        <f>VLOOKUP(A119,'[1]Raw data'!$B:$Z,3,FALSE)</f>
        <v>智宏创</v>
      </c>
      <c r="S119" s="563" t="str">
        <f>VLOOKUP(A119,'[1]Raw data'!$B:$Z,4,FALSE)</f>
        <v>YSM20R(SV)-2</v>
      </c>
      <c r="T119" s="563" t="str">
        <f>VLOOKUP(A119,'[1]Raw data'!$B:$Z,8,FALSE)</f>
        <v>R-&gt;L</v>
      </c>
      <c r="U119" s="563" t="str">
        <f>VLOOKUP(A119,'[1]Raw data'!$B:$Z,9,FALSE)</f>
        <v>MVC</v>
      </c>
      <c r="V119" s="567" t="str">
        <f t="shared" si="19"/>
        <v>WRONG</v>
      </c>
      <c r="W119" s="563" t="str">
        <f>VLOOKUP(A119,'[1]Raw data'!$B:$AG,32,FALSE)</f>
        <v>DAP 深圳</v>
      </c>
      <c r="X119" s="563">
        <f>VLOOKUP(A119,'[1]Raw data'!$B:$BA,31,FALSE)</f>
        <v>43523</v>
      </c>
      <c r="Y119" s="563" t="str">
        <f>VLOOKUP(A119,'[1]Raw data'!$B:$AS,39,FALSE)</f>
        <v>Yes</v>
      </c>
      <c r="Z119" s="568" t="s">
        <v>290</v>
      </c>
      <c r="AA119" s="569" t="s">
        <v>290</v>
      </c>
      <c r="AB119" s="570"/>
      <c r="AC119" s="563" t="s">
        <v>291</v>
      </c>
      <c r="AN119" s="588"/>
      <c r="AO119" s="824" t="str">
        <f t="shared" si="11"/>
        <v>Yes</v>
      </c>
      <c r="AP119" s="259" t="str">
        <f t="shared" si="12"/>
        <v>MAR 19</v>
      </c>
      <c r="AQ119" s="542" t="str">
        <f t="shared" si="13"/>
        <v>有定金+有預留客戶</v>
      </c>
      <c r="AR119" s="259" t="str">
        <f t="shared" si="14"/>
        <v>Shipped_Stock</v>
      </c>
      <c r="AS119" s="259" t="str">
        <f t="shared" si="15"/>
        <v/>
      </c>
      <c r="AT119" s="259" t="str">
        <f t="shared" si="16"/>
        <v>智宏创</v>
      </c>
      <c r="AU119" s="259" t="str">
        <f t="shared" si="17"/>
        <v>C49SZX20190022SS</v>
      </c>
      <c r="AV119" s="259" t="str">
        <f t="shared" si="18"/>
        <v>Mar-03</v>
      </c>
    </row>
    <row r="120" spans="1:69" ht="15" hidden="1" customHeight="1">
      <c r="A120" s="559">
        <v>338</v>
      </c>
      <c r="B120" s="563" t="s">
        <v>280</v>
      </c>
      <c r="C120" s="560" t="s">
        <v>281</v>
      </c>
      <c r="D120" s="564">
        <v>109247</v>
      </c>
      <c r="E120" s="563" t="s">
        <v>491</v>
      </c>
      <c r="F120" s="563" t="s">
        <v>256</v>
      </c>
      <c r="G120" s="563" t="s">
        <v>24</v>
      </c>
      <c r="H120" s="584" t="s">
        <v>26</v>
      </c>
      <c r="I120" s="564" t="s">
        <v>492</v>
      </c>
      <c r="J120" s="564">
        <v>1</v>
      </c>
      <c r="K120" s="563" t="s">
        <v>295</v>
      </c>
      <c r="L120" s="565">
        <v>43527</v>
      </c>
      <c r="M120" s="566">
        <v>6.2E-2</v>
      </c>
      <c r="N120" s="563" t="s">
        <v>404</v>
      </c>
      <c r="O120" s="564">
        <v>2019.01</v>
      </c>
      <c r="P120" s="566" t="str">
        <f>VLOOKUP(A120,'[1]Raw data'!$B:$BB,23,FALSE)</f>
        <v>RMB</v>
      </c>
      <c r="Q120" s="563" t="str">
        <f>VLOOKUP(A120,'[1]Raw data'!$B:$Z,2,FALSE)</f>
        <v>C49SZX20190089ZX</v>
      </c>
      <c r="R120" s="563" t="str">
        <f>VLOOKUP(A120,'[1]Raw data'!$B:$Z,3,FALSE)</f>
        <v>世达威</v>
      </c>
      <c r="S120" s="563" t="str">
        <f>VLOOKUP(A120,'[1]Raw data'!$B:$Z,4,FALSE)</f>
        <v>YSM20R(SV)-2</v>
      </c>
      <c r="T120" s="563" t="str">
        <f>VLOOKUP(A120,'[1]Raw data'!$B:$Z,8,FALSE)</f>
        <v>L-&gt;R</v>
      </c>
      <c r="U120" s="563" t="str">
        <f>VLOOKUP(A120,'[1]Raw data'!$B:$Z,9,FALSE)</f>
        <v>No</v>
      </c>
      <c r="V120" s="567" t="str">
        <f t="shared" si="19"/>
        <v>OK</v>
      </c>
      <c r="W120" s="563" t="str">
        <f>VLOOKUP(A120,'[1]Raw data'!$B:$AG,32,FALSE)</f>
        <v>含税到厂</v>
      </c>
      <c r="X120" s="563">
        <f>VLOOKUP(A120,'[1]Raw data'!$B:$BA,31,FALSE)</f>
        <v>43619</v>
      </c>
      <c r="Y120" s="563" t="str">
        <f>VLOOKUP(A120,'[1]Raw data'!$B:$AS,39,FALSE)</f>
        <v>Yes</v>
      </c>
      <c r="Z120" s="568"/>
      <c r="AA120" s="569"/>
      <c r="AB120" s="570"/>
      <c r="AC120" s="563" t="s">
        <v>493</v>
      </c>
      <c r="AN120" s="542"/>
      <c r="AO120" s="824" t="str">
        <f t="shared" si="11"/>
        <v>Yes</v>
      </c>
      <c r="AP120" s="259" t="str">
        <f t="shared" si="12"/>
        <v>JUN 19</v>
      </c>
      <c r="AQ120" s="542" t="str">
        <f t="shared" si="13"/>
        <v>有定金+有預留客戶</v>
      </c>
      <c r="AR120" s="259" t="str">
        <f t="shared" si="14"/>
        <v>Shipped_Stock</v>
      </c>
      <c r="AS120" s="259" t="str">
        <f t="shared" si="15"/>
        <v/>
      </c>
      <c r="AT120" s="259" t="str">
        <f t="shared" si="16"/>
        <v>世达威</v>
      </c>
      <c r="AU120" s="259" t="str">
        <f t="shared" si="17"/>
        <v>C49SZX20190089ZX</v>
      </c>
      <c r="AV120" s="259" t="str">
        <f t="shared" si="18"/>
        <v>Mar-03</v>
      </c>
    </row>
    <row r="121" spans="1:69" ht="15" hidden="1" customHeight="1">
      <c r="A121" s="559" t="s">
        <v>494</v>
      </c>
      <c r="B121" s="563" t="s">
        <v>280</v>
      </c>
      <c r="C121" s="560" t="s">
        <v>281</v>
      </c>
      <c r="D121" s="564">
        <v>109247</v>
      </c>
      <c r="E121" s="563" t="s">
        <v>491</v>
      </c>
      <c r="F121" s="563" t="s">
        <v>256</v>
      </c>
      <c r="G121" s="563" t="s">
        <v>24</v>
      </c>
      <c r="H121" s="563" t="s">
        <v>159</v>
      </c>
      <c r="I121" s="564" t="s">
        <v>495</v>
      </c>
      <c r="J121" s="564">
        <v>1</v>
      </c>
      <c r="K121" s="563" t="s">
        <v>496</v>
      </c>
      <c r="L121" s="565">
        <v>43527</v>
      </c>
      <c r="M121" s="566">
        <v>6.2E-2</v>
      </c>
      <c r="N121" s="563" t="s">
        <v>286</v>
      </c>
      <c r="O121" s="564">
        <v>2019.02</v>
      </c>
      <c r="P121" s="566" t="e">
        <f>VLOOKUP(A121,'[1]Raw data'!$B:$BB,23,FALSE)</f>
        <v>#N/A</v>
      </c>
      <c r="Q121" s="563" t="e">
        <f>VLOOKUP(A121,'[1]Raw data'!$B:$Z,2,FALSE)</f>
        <v>#N/A</v>
      </c>
      <c r="R121" s="563" t="e">
        <f>VLOOKUP(A121,'[1]Raw data'!$B:$Z,3,FALSE)</f>
        <v>#N/A</v>
      </c>
      <c r="S121" s="563" t="e">
        <f>VLOOKUP(A121,'[1]Raw data'!$B:$Z,4,FALSE)</f>
        <v>#N/A</v>
      </c>
      <c r="T121" s="563" t="e">
        <f>VLOOKUP(A121,'[1]Raw data'!$B:$Z,8,FALSE)</f>
        <v>#N/A</v>
      </c>
      <c r="U121" s="563" t="e">
        <f>VLOOKUP(A121,'[1]Raw data'!$B:$Z,9,FALSE)</f>
        <v>#N/A</v>
      </c>
      <c r="V121" s="567" t="e">
        <f>IF(G121&amp;H172=T121&amp;U121,"OK","WRONG")</f>
        <v>#N/A</v>
      </c>
      <c r="W121" s="563" t="e">
        <f>VLOOKUP(A121,'[1]Raw data'!$B:$AG,32,FALSE)</f>
        <v>#N/A</v>
      </c>
      <c r="X121" s="563" t="e">
        <f>VLOOKUP(A121,'[1]Raw data'!$B:$BA,31,FALSE)</f>
        <v>#N/A</v>
      </c>
      <c r="Y121" s="563" t="e">
        <f>VLOOKUP(A121,'[1]Raw data'!$B:$AS,39,FALSE)</f>
        <v>#N/A</v>
      </c>
      <c r="Z121" s="568" t="s">
        <v>329</v>
      </c>
      <c r="AA121" s="569" t="s">
        <v>497</v>
      </c>
      <c r="AB121" s="570"/>
      <c r="AC121" s="563" t="s">
        <v>498</v>
      </c>
      <c r="AN121" s="542"/>
      <c r="AO121" s="824" t="str">
        <f t="shared" si="11"/>
        <v>No</v>
      </c>
      <c r="AP121" s="259" t="str">
        <f t="shared" si="12"/>
        <v>DEC 19</v>
      </c>
      <c r="AQ121" s="542" t="str">
        <f t="shared" si="13"/>
        <v>无定金+有預留客戶</v>
      </c>
      <c r="AR121" s="259" t="str">
        <f t="shared" si="14"/>
        <v>Shipped_Stock</v>
      </c>
      <c r="AS121" s="259" t="str">
        <f t="shared" si="15"/>
        <v/>
      </c>
      <c r="AT121" s="259" t="str">
        <f t="shared" si="16"/>
        <v>-</v>
      </c>
      <c r="AU121" s="259" t="str">
        <f t="shared" si="17"/>
        <v>-</v>
      </c>
      <c r="AV121" s="259" t="str">
        <f t="shared" si="18"/>
        <v>Mar-03</v>
      </c>
    </row>
    <row r="122" spans="1:69" ht="15" hidden="1" customHeight="1">
      <c r="A122" s="559">
        <v>105</v>
      </c>
      <c r="B122" s="563" t="s">
        <v>280</v>
      </c>
      <c r="C122" s="560" t="s">
        <v>281</v>
      </c>
      <c r="D122" s="564">
        <v>109247</v>
      </c>
      <c r="E122" s="563" t="s">
        <v>491</v>
      </c>
      <c r="F122" s="563" t="s">
        <v>256</v>
      </c>
      <c r="G122" s="563" t="s">
        <v>24</v>
      </c>
      <c r="H122" s="584" t="s">
        <v>26</v>
      </c>
      <c r="I122" s="564" t="s">
        <v>499</v>
      </c>
      <c r="J122" s="564">
        <v>1</v>
      </c>
      <c r="K122" s="563" t="s">
        <v>437</v>
      </c>
      <c r="L122" s="565">
        <v>43527</v>
      </c>
      <c r="M122" s="566">
        <v>6.2E-2</v>
      </c>
      <c r="N122" s="563" t="s">
        <v>341</v>
      </c>
      <c r="P122" s="566" t="str">
        <f>VLOOKUP(A122,'[1]Raw data'!$B:$BB,23,FALSE)</f>
        <v>JPY</v>
      </c>
      <c r="Q122" s="563" t="str">
        <f>VLOOKUP(A122,'[1]Raw data'!$B:$Z,2,FALSE)</f>
        <v xml:space="preserve">C49SZX20180113JL </v>
      </c>
      <c r="R122" s="563" t="str">
        <f>VLOOKUP(A122,'[1]Raw data'!$B:$Z,3,FALSE)</f>
        <v>伯莱科</v>
      </c>
      <c r="S122" s="563" t="str">
        <f>VLOOKUP(A122,'[1]Raw data'!$B:$Z,4,FALSE)</f>
        <v>YSM20-2</v>
      </c>
      <c r="T122" s="563" t="str">
        <f>VLOOKUP(A122,'[1]Raw data'!$B:$Z,8,FALSE)</f>
        <v>R-&gt;L</v>
      </c>
      <c r="U122" s="563" t="str">
        <f>VLOOKUP(A122,'[1]Raw data'!$B:$Z,9,FALSE)</f>
        <v>No</v>
      </c>
      <c r="V122" s="567" t="str">
        <f t="shared" ref="V122:V153" si="20">IF(G122&amp;H122=T122&amp;U122,"OK","WRONG")</f>
        <v>WRONG</v>
      </c>
      <c r="W122" s="563" t="str">
        <f>VLOOKUP(A122,'[1]Raw data'!$B:$AG,32,FALSE)</f>
        <v>CIF</v>
      </c>
      <c r="X122" s="563">
        <f>VLOOKUP(A122,'[1]Raw data'!$B:$BA,31,FALSE)</f>
        <v>43284</v>
      </c>
      <c r="Y122" s="563" t="str">
        <f>VLOOKUP(A122,'[1]Raw data'!$B:$AS,39,FALSE)</f>
        <v>Yes</v>
      </c>
      <c r="Z122" s="568" t="s">
        <v>290</v>
      </c>
      <c r="AA122" s="569" t="s">
        <v>290</v>
      </c>
      <c r="AB122" s="570"/>
      <c r="AC122" s="563" t="s">
        <v>291</v>
      </c>
      <c r="AN122" s="542"/>
      <c r="AO122" s="824" t="str">
        <f t="shared" si="11"/>
        <v>Yes</v>
      </c>
      <c r="AP122" s="259" t="str">
        <f t="shared" si="12"/>
        <v>APR 19</v>
      </c>
      <c r="AQ122" s="542" t="str">
        <f t="shared" si="13"/>
        <v>有定金+有預留客戶</v>
      </c>
      <c r="AR122" s="259" t="str">
        <f t="shared" si="14"/>
        <v>Shipped_Stock</v>
      </c>
      <c r="AS122" s="259" t="str">
        <f t="shared" si="15"/>
        <v/>
      </c>
      <c r="AT122" s="259" t="str">
        <f t="shared" si="16"/>
        <v>伯莱科</v>
      </c>
      <c r="AU122" s="259" t="str">
        <f t="shared" si="17"/>
        <v xml:space="preserve">C49SZX20180113JL </v>
      </c>
      <c r="AV122" s="259" t="str">
        <f t="shared" si="18"/>
        <v>Mar-03</v>
      </c>
    </row>
    <row r="123" spans="1:69" ht="15" hidden="1" customHeight="1">
      <c r="A123" s="559">
        <v>328</v>
      </c>
      <c r="B123" s="563" t="s">
        <v>280</v>
      </c>
      <c r="C123" s="560" t="s">
        <v>281</v>
      </c>
      <c r="D123" s="564">
        <v>109247</v>
      </c>
      <c r="E123" s="563" t="s">
        <v>491</v>
      </c>
      <c r="F123" s="563" t="s">
        <v>256</v>
      </c>
      <c r="G123" s="563" t="s">
        <v>24</v>
      </c>
      <c r="H123" s="584" t="s">
        <v>26</v>
      </c>
      <c r="I123" s="564" t="s">
        <v>500</v>
      </c>
      <c r="J123" s="564">
        <v>1</v>
      </c>
      <c r="K123" s="563" t="s">
        <v>437</v>
      </c>
      <c r="L123" s="565">
        <v>43527</v>
      </c>
      <c r="M123" s="566">
        <v>6.2E-2</v>
      </c>
      <c r="N123" s="563" t="s">
        <v>404</v>
      </c>
      <c r="P123" s="566" t="str">
        <f>VLOOKUP(A123,'[1]Raw data'!$B:$BB,23,FALSE)</f>
        <v>JPY</v>
      </c>
      <c r="Q123" s="563" t="str">
        <f>VLOOKUP(A123,'[1]Raw data'!$B:$Z,2,FALSE)</f>
        <v>C49SZX20190075ZX</v>
      </c>
      <c r="R123" s="563" t="str">
        <f>VLOOKUP(A123,'[1]Raw data'!$B:$Z,3,FALSE)</f>
        <v>宽宏/End user:亿联</v>
      </c>
      <c r="S123" s="563" t="str">
        <f>VLOOKUP(A123,'[1]Raw data'!$B:$Z,4,FALSE)</f>
        <v>YSM20R(SV)-2</v>
      </c>
      <c r="T123" s="563" t="str">
        <f>VLOOKUP(A123,'[1]Raw data'!$B:$Z,8,FALSE)</f>
        <v>L-&gt;R</v>
      </c>
      <c r="U123" s="563" t="str">
        <f>VLOOKUP(A123,'[1]Raw data'!$B:$Z,9,FALSE)</f>
        <v>No</v>
      </c>
      <c r="V123" s="567" t="str">
        <f t="shared" si="20"/>
        <v>OK</v>
      </c>
      <c r="W123" s="563" t="str">
        <f>VLOOKUP(A123,'[1]Raw data'!$B:$AG,32,FALSE)</f>
        <v>CIF HK</v>
      </c>
      <c r="X123" s="563">
        <f>VLOOKUP(A123,'[1]Raw data'!$B:$BA,31,FALSE)</f>
        <v>43612</v>
      </c>
      <c r="Y123" s="563" t="str">
        <f>VLOOKUP(A123,'[1]Raw data'!$B:$AS,39,FALSE)</f>
        <v>Yes</v>
      </c>
      <c r="Z123" s="568" t="s">
        <v>329</v>
      </c>
      <c r="AA123" s="569" t="s">
        <v>329</v>
      </c>
      <c r="AB123" s="570"/>
      <c r="AC123" s="563" t="s">
        <v>441</v>
      </c>
      <c r="AN123" s="542"/>
      <c r="AO123" s="824" t="str">
        <f t="shared" si="11"/>
        <v>Yes</v>
      </c>
      <c r="AP123" s="259" t="str">
        <f t="shared" si="12"/>
        <v>JUN 19</v>
      </c>
      <c r="AQ123" s="542" t="str">
        <f t="shared" si="13"/>
        <v>有定金+有預留客戶</v>
      </c>
      <c r="AR123" s="259" t="str">
        <f t="shared" si="14"/>
        <v>Shipped_Stock</v>
      </c>
      <c r="AS123" s="259" t="str">
        <f t="shared" si="15"/>
        <v/>
      </c>
      <c r="AT123" s="259" t="str">
        <f t="shared" si="16"/>
        <v>宽宏/End user:亿联</v>
      </c>
      <c r="AU123" s="259" t="str">
        <f t="shared" si="17"/>
        <v>C49SZX20190075ZX</v>
      </c>
      <c r="AV123" s="259" t="str">
        <f t="shared" si="18"/>
        <v>Mar-03</v>
      </c>
    </row>
    <row r="124" spans="1:69" ht="15" hidden="1" customHeight="1">
      <c r="A124" s="559">
        <v>329</v>
      </c>
      <c r="B124" s="563" t="s">
        <v>280</v>
      </c>
      <c r="C124" s="560" t="s">
        <v>281</v>
      </c>
      <c r="D124" s="564">
        <v>109247</v>
      </c>
      <c r="E124" s="563" t="s">
        <v>491</v>
      </c>
      <c r="F124" s="563" t="s">
        <v>256</v>
      </c>
      <c r="G124" s="563" t="s">
        <v>24</v>
      </c>
      <c r="H124" s="584" t="s">
        <v>26</v>
      </c>
      <c r="I124" s="564" t="s">
        <v>501</v>
      </c>
      <c r="J124" s="564">
        <v>1</v>
      </c>
      <c r="K124" s="563" t="s">
        <v>437</v>
      </c>
      <c r="L124" s="565">
        <v>43527</v>
      </c>
      <c r="M124" s="566">
        <v>6.2E-2</v>
      </c>
      <c r="N124" s="563" t="s">
        <v>404</v>
      </c>
      <c r="P124" s="566" t="str">
        <f>VLOOKUP(A124,'[1]Raw data'!$B:$BB,23,FALSE)</f>
        <v>JPY</v>
      </c>
      <c r="Q124" s="563" t="str">
        <f>VLOOKUP(A124,'[1]Raw data'!$B:$Z,2,FALSE)</f>
        <v>C49SZX20190075ZX</v>
      </c>
      <c r="R124" s="563" t="str">
        <f>VLOOKUP(A124,'[1]Raw data'!$B:$Z,3,FALSE)</f>
        <v>宽宏/End user:亿联</v>
      </c>
      <c r="S124" s="563" t="str">
        <f>VLOOKUP(A124,'[1]Raw data'!$B:$Z,4,FALSE)</f>
        <v>YSM20R(SV)-2</v>
      </c>
      <c r="T124" s="563" t="str">
        <f>VLOOKUP(A124,'[1]Raw data'!$B:$Z,8,FALSE)</f>
        <v>L-&gt;R</v>
      </c>
      <c r="U124" s="563" t="str">
        <f>VLOOKUP(A124,'[1]Raw data'!$B:$Z,9,FALSE)</f>
        <v>No</v>
      </c>
      <c r="V124" s="567" t="str">
        <f t="shared" si="20"/>
        <v>OK</v>
      </c>
      <c r="W124" s="563" t="str">
        <f>VLOOKUP(A124,'[1]Raw data'!$B:$AG,32,FALSE)</f>
        <v>CIF HK</v>
      </c>
      <c r="X124" s="563">
        <f>VLOOKUP(A124,'[1]Raw data'!$B:$BA,31,FALSE)</f>
        <v>43612</v>
      </c>
      <c r="Y124" s="563" t="str">
        <f>VLOOKUP(A124,'[1]Raw data'!$B:$AS,39,FALSE)</f>
        <v>Yes</v>
      </c>
      <c r="Z124" s="568" t="s">
        <v>290</v>
      </c>
      <c r="AA124" s="569" t="s">
        <v>290</v>
      </c>
      <c r="AB124" s="570"/>
      <c r="AC124" s="563" t="s">
        <v>441</v>
      </c>
      <c r="AN124" s="588"/>
      <c r="AO124" s="824" t="str">
        <f t="shared" si="11"/>
        <v>Yes</v>
      </c>
      <c r="AP124" s="259" t="str">
        <f t="shared" si="12"/>
        <v>JUN 19</v>
      </c>
      <c r="AQ124" s="542" t="str">
        <f t="shared" si="13"/>
        <v>有定金+有預留客戶</v>
      </c>
      <c r="AR124" s="259" t="str">
        <f t="shared" si="14"/>
        <v>Shipped_Stock</v>
      </c>
      <c r="AS124" s="259" t="str">
        <f t="shared" si="15"/>
        <v/>
      </c>
      <c r="AT124" s="259" t="str">
        <f t="shared" si="16"/>
        <v>宽宏/End user:亿联</v>
      </c>
      <c r="AU124" s="259" t="str">
        <f t="shared" si="17"/>
        <v>C49SZX20190075ZX</v>
      </c>
      <c r="AV124" s="259" t="str">
        <f t="shared" si="18"/>
        <v>Mar-03</v>
      </c>
    </row>
    <row r="125" spans="1:69" ht="15" hidden="1" customHeight="1">
      <c r="A125" s="559">
        <v>437</v>
      </c>
      <c r="B125" s="563" t="s">
        <v>280</v>
      </c>
      <c r="C125" s="560" t="s">
        <v>281</v>
      </c>
      <c r="D125" s="564">
        <v>109247</v>
      </c>
      <c r="E125" s="563" t="s">
        <v>491</v>
      </c>
      <c r="F125" s="563" t="s">
        <v>256</v>
      </c>
      <c r="G125" s="563" t="s">
        <v>24</v>
      </c>
      <c r="H125" s="563" t="s">
        <v>159</v>
      </c>
      <c r="I125" s="564" t="s">
        <v>502</v>
      </c>
      <c r="J125" s="564">
        <v>1</v>
      </c>
      <c r="K125" s="563" t="s">
        <v>437</v>
      </c>
      <c r="L125" s="565">
        <v>43527</v>
      </c>
      <c r="M125" s="566">
        <v>6.2E-2</v>
      </c>
      <c r="N125" s="563" t="s">
        <v>475</v>
      </c>
      <c r="O125" s="564">
        <v>2019.02</v>
      </c>
      <c r="P125" s="566" t="str">
        <f>VLOOKUP(A125,'[1]Raw data'!$B:$BB,23,FALSE)</f>
        <v>RMB</v>
      </c>
      <c r="Q125" s="563" t="str">
        <f>VLOOKUP(A125,'[1]Raw data'!$B:$Z,2,FALSE)</f>
        <v>C49SZX20190139SX</v>
      </c>
      <c r="R125" s="563" t="str">
        <f>VLOOKUP(A125,'[1]Raw data'!$B:$Z,3,FALSE)</f>
        <v>太美亚</v>
      </c>
      <c r="S125" s="563" t="str">
        <f>VLOOKUP(A125,'[1]Raw data'!$B:$Z,4,FALSE)</f>
        <v>YSM20R(SV)-2</v>
      </c>
      <c r="T125" s="563" t="str">
        <f>VLOOKUP(A125,'[1]Raw data'!$B:$Z,8,FALSE)</f>
        <v>L-&gt;R</v>
      </c>
      <c r="U125" s="563" t="str">
        <f>VLOOKUP(A125,'[1]Raw data'!$B:$Z,9,FALSE)</f>
        <v>cATS10+MVC+special layout</v>
      </c>
      <c r="V125" s="567" t="str">
        <f t="shared" si="20"/>
        <v>OK</v>
      </c>
      <c r="W125" s="563" t="str">
        <f>VLOOKUP(A125,'[1]Raw data'!$B:$AG,32,FALSE)</f>
        <v>含税到厂</v>
      </c>
      <c r="X125" s="563">
        <f>VLOOKUP(A125,'[1]Raw data'!$B:$BA,31,FALSE)</f>
        <v>43735</v>
      </c>
      <c r="Y125" s="563" t="str">
        <f>VLOOKUP(A125,'[1]Raw data'!$B:$AS,39,FALSE)</f>
        <v>Yes</v>
      </c>
      <c r="Z125" s="568" t="s">
        <v>329</v>
      </c>
      <c r="AA125" s="569" t="s">
        <v>329</v>
      </c>
      <c r="AB125" s="570"/>
      <c r="AC125" s="563" t="s">
        <v>476</v>
      </c>
      <c r="AN125" s="542"/>
      <c r="AO125" s="824" t="str">
        <f t="shared" si="11"/>
        <v>Yes</v>
      </c>
      <c r="AP125" s="259" t="str">
        <f t="shared" si="12"/>
        <v>OCT 19</v>
      </c>
      <c r="AQ125" s="542" t="str">
        <f t="shared" si="13"/>
        <v>有定金+有預留客戶</v>
      </c>
      <c r="AR125" s="259" t="str">
        <f t="shared" si="14"/>
        <v>Shipped_Stock</v>
      </c>
      <c r="AS125" s="259" t="str">
        <f t="shared" si="15"/>
        <v/>
      </c>
      <c r="AT125" s="259" t="str">
        <f t="shared" si="16"/>
        <v>太美亚</v>
      </c>
      <c r="AU125" s="259" t="str">
        <f t="shared" si="17"/>
        <v>C49SZX20190139SX</v>
      </c>
      <c r="AV125" s="259" t="str">
        <f t="shared" si="18"/>
        <v>Mar-03</v>
      </c>
    </row>
    <row r="126" spans="1:69" s="837" customFormat="1" ht="15" hidden="1" customHeight="1">
      <c r="A126" s="559">
        <v>439</v>
      </c>
      <c r="B126" s="563" t="s">
        <v>280</v>
      </c>
      <c r="C126" s="560" t="s">
        <v>281</v>
      </c>
      <c r="D126" s="564">
        <v>109247</v>
      </c>
      <c r="E126" s="563" t="s">
        <v>491</v>
      </c>
      <c r="F126" s="563" t="s">
        <v>256</v>
      </c>
      <c r="G126" s="563" t="s">
        <v>24</v>
      </c>
      <c r="H126" s="563" t="s">
        <v>159</v>
      </c>
      <c r="I126" s="564" t="s">
        <v>503</v>
      </c>
      <c r="J126" s="564">
        <v>1</v>
      </c>
      <c r="K126" s="563" t="s">
        <v>437</v>
      </c>
      <c r="L126" s="565">
        <v>43527</v>
      </c>
      <c r="M126" s="566">
        <v>6.2E-2</v>
      </c>
      <c r="N126" s="563" t="s">
        <v>504</v>
      </c>
      <c r="O126" s="564">
        <v>2019.02</v>
      </c>
      <c r="P126" s="566" t="str">
        <f>VLOOKUP(A126,'[1]Raw data'!$B:$BB,23,FALSE)</f>
        <v>USD</v>
      </c>
      <c r="Q126" s="563" t="str">
        <f>VLOOKUP(A126,'[1]Raw data'!$B:$Z,2,FALSE)</f>
        <v>C49SZX20190138ZX</v>
      </c>
      <c r="R126" s="563" t="str">
        <f>VLOOKUP(A126,'[1]Raw data'!$B:$Z,3,FALSE)</f>
        <v>Bittele 比泰利</v>
      </c>
      <c r="S126" s="563" t="str">
        <f>VLOOKUP(A126,'[1]Raw data'!$B:$Z,4,FALSE)</f>
        <v>YSM20R(SV)-2</v>
      </c>
      <c r="T126" s="563" t="str">
        <f>VLOOKUP(A126,'[1]Raw data'!$B:$Z,8,FALSE)</f>
        <v>L-&gt;R</v>
      </c>
      <c r="U126" s="563" t="str">
        <f>VLOOKUP(A126,'[1]Raw data'!$B:$Z,9,FALSE)</f>
        <v>cATS10+MVC+special layout</v>
      </c>
      <c r="V126" s="567" t="str">
        <f t="shared" si="20"/>
        <v>OK</v>
      </c>
      <c r="W126" s="563" t="str">
        <f>VLOOKUP(A126,'[1]Raw data'!$B:$AG,32,FALSE)</f>
        <v>CIF HK</v>
      </c>
      <c r="X126" s="563">
        <f>VLOOKUP(A126,'[1]Raw data'!$B:$BA,31,FALSE)</f>
        <v>43748</v>
      </c>
      <c r="Y126" s="563" t="str">
        <f>VLOOKUP(A126,'[1]Raw data'!$B:$AS,39,FALSE)</f>
        <v>Yes</v>
      </c>
      <c r="Z126" s="568"/>
      <c r="AA126" s="569" t="s">
        <v>329</v>
      </c>
      <c r="AB126" s="570"/>
      <c r="AC126" s="563" t="s">
        <v>505</v>
      </c>
      <c r="AD126" s="571"/>
      <c r="AE126" s="571"/>
      <c r="AF126" s="571"/>
      <c r="AG126" s="571"/>
      <c r="AH126" s="571"/>
      <c r="AI126" s="572"/>
      <c r="AJ126" s="571"/>
      <c r="AK126" s="571"/>
      <c r="AL126" s="571"/>
      <c r="AM126" s="571"/>
      <c r="AN126" s="542"/>
      <c r="AO126" s="824" t="str">
        <f t="shared" si="11"/>
        <v>Yes</v>
      </c>
      <c r="AP126" s="259" t="str">
        <f t="shared" si="12"/>
        <v>NOV 19</v>
      </c>
      <c r="AQ126" s="542" t="str">
        <f t="shared" si="13"/>
        <v>有定金+有預留客戶</v>
      </c>
      <c r="AR126" s="259" t="str">
        <f t="shared" si="14"/>
        <v>Shipped_Stock</v>
      </c>
      <c r="AS126" s="259" t="str">
        <f t="shared" si="15"/>
        <v/>
      </c>
      <c r="AT126" s="259" t="str">
        <f t="shared" si="16"/>
        <v>Bittele 比泰利</v>
      </c>
      <c r="AU126" s="259" t="str">
        <f t="shared" si="17"/>
        <v>C49SZX20190138ZX</v>
      </c>
      <c r="AV126" s="259" t="str">
        <f t="shared" si="18"/>
        <v>Mar-03</v>
      </c>
      <c r="AW126" s="259"/>
      <c r="AX126" s="259"/>
      <c r="AY126" s="259"/>
      <c r="AZ126" s="259"/>
      <c r="BA126" s="259"/>
      <c r="BB126" s="259"/>
      <c r="BC126" s="259"/>
      <c r="BD126" s="259"/>
      <c r="BE126" s="259"/>
      <c r="BF126" s="259"/>
      <c r="BG126" s="259"/>
      <c r="BH126" s="259"/>
      <c r="BI126" s="259"/>
      <c r="BJ126" s="259"/>
      <c r="BK126" s="259"/>
      <c r="BL126" s="259"/>
      <c r="BM126" s="259"/>
      <c r="BN126" s="259"/>
      <c r="BO126" s="259"/>
      <c r="BP126" s="259"/>
      <c r="BQ126" s="259"/>
    </row>
    <row r="127" spans="1:69" ht="15" hidden="1" customHeight="1">
      <c r="A127" s="559">
        <v>251</v>
      </c>
      <c r="B127" s="563" t="s">
        <v>280</v>
      </c>
      <c r="C127" s="560" t="s">
        <v>281</v>
      </c>
      <c r="D127" s="564">
        <v>109247</v>
      </c>
      <c r="E127" s="563" t="s">
        <v>491</v>
      </c>
      <c r="F127" s="563" t="s">
        <v>256</v>
      </c>
      <c r="G127" s="563" t="s">
        <v>24</v>
      </c>
      <c r="H127" s="563" t="s">
        <v>26</v>
      </c>
      <c r="I127" s="564" t="s">
        <v>506</v>
      </c>
      <c r="J127" s="564">
        <v>1</v>
      </c>
      <c r="K127" s="563" t="s">
        <v>437</v>
      </c>
      <c r="L127" s="565">
        <v>43527</v>
      </c>
      <c r="M127" s="566">
        <v>6.2E-2</v>
      </c>
      <c r="N127" s="563" t="s">
        <v>341</v>
      </c>
      <c r="P127" s="566" t="str">
        <f>VLOOKUP(A127,'[1]Raw data'!$B:$BB,23,FALSE)</f>
        <v>JPY</v>
      </c>
      <c r="Q127" s="563" t="str">
        <f>VLOOKUP(A127,'[1]Raw data'!$B:$Z,2,FALSE)</f>
        <v>C49SZX20190029ZX</v>
      </c>
      <c r="R127" s="563" t="str">
        <f>VLOOKUP(A127,'[1]Raw data'!$B:$Z,3,FALSE)</f>
        <v>东莞圣亨</v>
      </c>
      <c r="S127" s="563" t="str">
        <f>VLOOKUP(A127,'[1]Raw data'!$B:$Z,4,FALSE)</f>
        <v>YSM20R(SV)-2</v>
      </c>
      <c r="T127" s="563" t="str">
        <f>VLOOKUP(A127,'[1]Raw data'!$B:$Z,8,FALSE)</f>
        <v>L-&gt;R</v>
      </c>
      <c r="U127" s="563" t="str">
        <f>VLOOKUP(A127,'[1]Raw data'!$B:$Z,9,FALSE)</f>
        <v>No</v>
      </c>
      <c r="V127" s="567" t="str">
        <f t="shared" si="20"/>
        <v>OK</v>
      </c>
      <c r="W127" s="563" t="str">
        <f>VLOOKUP(A127,'[1]Raw data'!$B:$AG,32,FALSE)</f>
        <v>DAP 东莞</v>
      </c>
      <c r="X127" s="563">
        <f>VLOOKUP(A127,'[1]Raw data'!$B:$BA,31,FALSE)</f>
        <v>43537</v>
      </c>
      <c r="Y127" s="563" t="str">
        <f>VLOOKUP(A127,'[1]Raw data'!$B:$AS,39,FALSE)</f>
        <v>Yes</v>
      </c>
      <c r="Z127" s="568" t="s">
        <v>329</v>
      </c>
      <c r="AA127" s="569" t="s">
        <v>329</v>
      </c>
      <c r="AB127" s="570"/>
      <c r="AC127" s="563" t="s">
        <v>291</v>
      </c>
      <c r="AN127" s="542"/>
      <c r="AO127" s="824" t="str">
        <f t="shared" si="11"/>
        <v>Yes</v>
      </c>
      <c r="AP127" s="259" t="str">
        <f t="shared" si="12"/>
        <v>APR 19</v>
      </c>
      <c r="AQ127" s="542" t="str">
        <f t="shared" si="13"/>
        <v>有定金+有預留客戶</v>
      </c>
      <c r="AR127" s="259" t="str">
        <f t="shared" si="14"/>
        <v>Shipped_Stock</v>
      </c>
      <c r="AS127" s="259" t="str">
        <f t="shared" si="15"/>
        <v/>
      </c>
      <c r="AT127" s="259" t="str">
        <f t="shared" si="16"/>
        <v>东莞圣亨</v>
      </c>
      <c r="AU127" s="259" t="str">
        <f t="shared" si="17"/>
        <v>C49SZX20190029ZX</v>
      </c>
      <c r="AV127" s="259" t="str">
        <f t="shared" si="18"/>
        <v>Mar-03</v>
      </c>
    </row>
    <row r="128" spans="1:69" ht="15" hidden="1" customHeight="1">
      <c r="A128" s="559">
        <v>279</v>
      </c>
      <c r="B128" s="563" t="s">
        <v>280</v>
      </c>
      <c r="C128" s="560" t="s">
        <v>281</v>
      </c>
      <c r="D128" s="564">
        <v>109247</v>
      </c>
      <c r="E128" s="563" t="s">
        <v>491</v>
      </c>
      <c r="F128" s="563" t="s">
        <v>256</v>
      </c>
      <c r="G128" s="563" t="s">
        <v>24</v>
      </c>
      <c r="H128" s="563" t="s">
        <v>26</v>
      </c>
      <c r="I128" s="564" t="s">
        <v>507</v>
      </c>
      <c r="J128" s="564">
        <v>1</v>
      </c>
      <c r="K128" s="563" t="s">
        <v>437</v>
      </c>
      <c r="L128" s="565">
        <v>43527</v>
      </c>
      <c r="M128" s="566">
        <v>6.2E-2</v>
      </c>
      <c r="N128" s="563" t="s">
        <v>341</v>
      </c>
      <c r="P128" s="566" t="str">
        <f>VLOOKUP(A128,'[1]Raw data'!$B:$BB,23,FALSE)</f>
        <v>JPY</v>
      </c>
      <c r="Q128" s="563" t="str">
        <f>VLOOKUP(A128,'[1]Raw data'!$B:$Z,2,FALSE)</f>
        <v>C49SZX20190051SS</v>
      </c>
      <c r="R128" s="563" t="str">
        <f>VLOOKUP(A128,'[1]Raw data'!$B:$Z,3,FALSE)</f>
        <v>世启纳</v>
      </c>
      <c r="S128" s="563" t="str">
        <f>VLOOKUP(A128,'[1]Raw data'!$B:$Z,4,FALSE)</f>
        <v>YSM20R(SV)-2</v>
      </c>
      <c r="T128" s="563" t="str">
        <f>VLOOKUP(A128,'[1]Raw data'!$B:$Z,8,FALSE)</f>
        <v>L-&gt;R</v>
      </c>
      <c r="U128" s="563" t="str">
        <f>VLOOKUP(A128,'[1]Raw data'!$B:$Z,9,FALSE)</f>
        <v>MVC</v>
      </c>
      <c r="V128" s="567" t="str">
        <f t="shared" si="20"/>
        <v>WRONG</v>
      </c>
      <c r="W128" s="563" t="str">
        <f>VLOOKUP(A128,'[1]Raw data'!$B:$AG,32,FALSE)</f>
        <v>DAP 深圳</v>
      </c>
      <c r="X128" s="563">
        <f>VLOOKUP(A128,'[1]Raw data'!$B:$BA,31,FALSE)</f>
        <v>43564</v>
      </c>
      <c r="Y128" s="563" t="str">
        <f>VLOOKUP(A128,'[1]Raw data'!$B:$AS,39,FALSE)</f>
        <v>Yes</v>
      </c>
      <c r="Z128" s="568"/>
      <c r="AA128" s="569" t="s">
        <v>329</v>
      </c>
      <c r="AB128" s="570"/>
      <c r="AC128" s="563" t="s">
        <v>291</v>
      </c>
      <c r="AN128" s="542"/>
      <c r="AO128" s="824" t="str">
        <f t="shared" si="11"/>
        <v>Yes</v>
      </c>
      <c r="AP128" s="259" t="str">
        <f t="shared" si="12"/>
        <v>APR 19</v>
      </c>
      <c r="AQ128" s="542" t="str">
        <f t="shared" si="13"/>
        <v>有定金+有預留客戶</v>
      </c>
      <c r="AR128" s="259" t="str">
        <f t="shared" si="14"/>
        <v>Shipped_Stock</v>
      </c>
      <c r="AS128" s="259" t="str">
        <f t="shared" si="15"/>
        <v/>
      </c>
      <c r="AT128" s="259" t="str">
        <f t="shared" si="16"/>
        <v>世启纳</v>
      </c>
      <c r="AU128" s="259" t="str">
        <f t="shared" si="17"/>
        <v>C49SZX20190051SS</v>
      </c>
      <c r="AV128" s="259" t="str">
        <f t="shared" si="18"/>
        <v>Mar-03</v>
      </c>
    </row>
    <row r="129" spans="1:69" s="837" customFormat="1" ht="15" hidden="1" customHeight="1">
      <c r="A129" s="559">
        <v>84</v>
      </c>
      <c r="B129" s="563" t="s">
        <v>280</v>
      </c>
      <c r="C129" s="560" t="s">
        <v>281</v>
      </c>
      <c r="D129" s="564">
        <v>109430</v>
      </c>
      <c r="E129" s="563" t="s">
        <v>508</v>
      </c>
      <c r="F129" s="563" t="s">
        <v>256</v>
      </c>
      <c r="G129" s="563" t="s">
        <v>24</v>
      </c>
      <c r="H129" s="563" t="s">
        <v>26</v>
      </c>
      <c r="I129" s="564" t="s">
        <v>509</v>
      </c>
      <c r="J129" s="564">
        <v>1</v>
      </c>
      <c r="K129" s="563" t="s">
        <v>388</v>
      </c>
      <c r="L129" s="565">
        <v>43530</v>
      </c>
      <c r="M129" s="566">
        <v>6.2E-2</v>
      </c>
      <c r="N129" s="563" t="s">
        <v>334</v>
      </c>
      <c r="O129" s="564"/>
      <c r="P129" s="566" t="str">
        <f>VLOOKUP(A129,'[1]Raw data'!$B:$BB,23,FALSE)</f>
        <v>JPY</v>
      </c>
      <c r="Q129" s="563" t="str">
        <f>VLOOKUP(A129,'[1]Raw data'!$B:$Z,2,FALSE)</f>
        <v>C49SZX20180086DZ</v>
      </c>
      <c r="R129" s="563" t="str">
        <f>VLOOKUP(A129,'[1]Raw data'!$B:$Z,3,FALSE)</f>
        <v>BBS好兄弟</v>
      </c>
      <c r="S129" s="563" t="str">
        <f>VLOOKUP(A129,'[1]Raw data'!$B:$Z,4,FALSE)</f>
        <v>YSM20-2</v>
      </c>
      <c r="T129" s="563" t="str">
        <f>VLOOKUP(A129,'[1]Raw data'!$B:$Z,8,FALSE)</f>
        <v>L-&gt;R</v>
      </c>
      <c r="U129" s="563" t="str">
        <f>VLOOKUP(A129,'[1]Raw data'!$B:$Z,9,FALSE)</f>
        <v>No</v>
      </c>
      <c r="V129" s="567" t="str">
        <f t="shared" si="20"/>
        <v>OK</v>
      </c>
      <c r="W129" s="563" t="str">
        <f>VLOOKUP(A129,'[1]Raw data'!$B:$AG,32,FALSE)</f>
        <v>CIF HK</v>
      </c>
      <c r="X129" s="563">
        <f>VLOOKUP(A129,'[1]Raw data'!$B:$BA,31,FALSE)</f>
        <v>43251</v>
      </c>
      <c r="Y129" s="563" t="str">
        <f>VLOOKUP(A129,'[1]Raw data'!$B:$AS,39,FALSE)</f>
        <v>Yes</v>
      </c>
      <c r="Z129" s="568" t="s">
        <v>290</v>
      </c>
      <c r="AA129" s="569" t="s">
        <v>290</v>
      </c>
      <c r="AB129" s="570"/>
      <c r="AC129" s="563" t="s">
        <v>291</v>
      </c>
      <c r="AD129" s="571"/>
      <c r="AE129" s="571"/>
      <c r="AF129" s="571"/>
      <c r="AG129" s="571"/>
      <c r="AH129" s="571"/>
      <c r="AI129" s="572"/>
      <c r="AJ129" s="571"/>
      <c r="AK129" s="571"/>
      <c r="AL129" s="571"/>
      <c r="AM129" s="571"/>
      <c r="AN129" s="542"/>
      <c r="AO129" s="824" t="str">
        <f t="shared" si="11"/>
        <v>Yes</v>
      </c>
      <c r="AP129" s="259" t="str">
        <f t="shared" si="12"/>
        <v>MAR 19</v>
      </c>
      <c r="AQ129" s="542" t="str">
        <f t="shared" si="13"/>
        <v>有定金+有預留客戶</v>
      </c>
      <c r="AR129" s="259" t="str">
        <f t="shared" si="14"/>
        <v>Shipped_Stock</v>
      </c>
      <c r="AS129" s="259" t="str">
        <f t="shared" si="15"/>
        <v/>
      </c>
      <c r="AT129" s="259" t="str">
        <f t="shared" si="16"/>
        <v>BBS好兄弟</v>
      </c>
      <c r="AU129" s="259" t="str">
        <f t="shared" si="17"/>
        <v>C49SZX20180086DZ</v>
      </c>
      <c r="AV129" s="259" t="str">
        <f t="shared" si="18"/>
        <v>Mar-06</v>
      </c>
      <c r="AW129" s="259"/>
      <c r="AX129" s="259"/>
      <c r="AY129" s="259"/>
      <c r="AZ129" s="259"/>
      <c r="BA129" s="259"/>
      <c r="BB129" s="259"/>
      <c r="BC129" s="259"/>
      <c r="BD129" s="259"/>
      <c r="BE129" s="259"/>
      <c r="BF129" s="259"/>
      <c r="BG129" s="259"/>
      <c r="BH129" s="259"/>
      <c r="BI129" s="259"/>
      <c r="BJ129" s="259"/>
      <c r="BK129" s="259"/>
      <c r="BL129" s="259"/>
      <c r="BM129" s="259"/>
      <c r="BN129" s="259"/>
      <c r="BO129" s="259"/>
      <c r="BP129" s="259"/>
      <c r="BQ129" s="259"/>
    </row>
    <row r="130" spans="1:69" ht="15" hidden="1" customHeight="1">
      <c r="A130" s="559">
        <v>80</v>
      </c>
      <c r="B130" s="563" t="s">
        <v>280</v>
      </c>
      <c r="C130" s="560" t="s">
        <v>281</v>
      </c>
      <c r="D130" s="564">
        <v>109430</v>
      </c>
      <c r="E130" s="563" t="s">
        <v>508</v>
      </c>
      <c r="F130" s="563" t="s">
        <v>256</v>
      </c>
      <c r="G130" s="563" t="s">
        <v>24</v>
      </c>
      <c r="H130" s="563" t="s">
        <v>26</v>
      </c>
      <c r="I130" s="564" t="s">
        <v>510</v>
      </c>
      <c r="J130" s="564">
        <v>1</v>
      </c>
      <c r="K130" s="563" t="s">
        <v>388</v>
      </c>
      <c r="L130" s="565">
        <v>43530</v>
      </c>
      <c r="M130" s="566">
        <v>6.2E-2</v>
      </c>
      <c r="N130" s="563" t="s">
        <v>334</v>
      </c>
      <c r="P130" s="566" t="str">
        <f>VLOOKUP(A130,'[1]Raw data'!$B:$BB,23,FALSE)</f>
        <v>JPY</v>
      </c>
      <c r="Q130" s="563" t="str">
        <f>VLOOKUP(A130,'[1]Raw data'!$B:$Z,2,FALSE)</f>
        <v>C49SZX20180086DZ</v>
      </c>
      <c r="R130" s="563" t="str">
        <f>VLOOKUP(A130,'[1]Raw data'!$B:$Z,3,FALSE)</f>
        <v>BBS好兄弟</v>
      </c>
      <c r="S130" s="563" t="str">
        <f>VLOOKUP(A130,'[1]Raw data'!$B:$Z,4,FALSE)</f>
        <v>YSM20-2</v>
      </c>
      <c r="T130" s="563" t="str">
        <f>VLOOKUP(A130,'[1]Raw data'!$B:$Z,8,FALSE)</f>
        <v>L-&gt;R</v>
      </c>
      <c r="U130" s="563" t="str">
        <f>VLOOKUP(A130,'[1]Raw data'!$B:$Z,9,FALSE)</f>
        <v>No</v>
      </c>
      <c r="V130" s="567" t="str">
        <f t="shared" si="20"/>
        <v>OK</v>
      </c>
      <c r="W130" s="563" t="str">
        <f>VLOOKUP(A130,'[1]Raw data'!$B:$AG,32,FALSE)</f>
        <v>CIF HK</v>
      </c>
      <c r="X130" s="563">
        <f>VLOOKUP(A130,'[1]Raw data'!$B:$BA,31,FALSE)</f>
        <v>43251</v>
      </c>
      <c r="Y130" s="563" t="str">
        <f>VLOOKUP(A130,'[1]Raw data'!$B:$AS,39,FALSE)</f>
        <v>Yes</v>
      </c>
      <c r="Z130" s="568" t="s">
        <v>290</v>
      </c>
      <c r="AA130" s="569" t="s">
        <v>290</v>
      </c>
      <c r="AB130" s="570"/>
      <c r="AC130" s="563" t="s">
        <v>291</v>
      </c>
      <c r="AN130" s="542"/>
      <c r="AO130" s="824" t="str">
        <f t="shared" si="11"/>
        <v>Yes</v>
      </c>
      <c r="AP130" s="259" t="str">
        <f t="shared" si="12"/>
        <v>MAR 19</v>
      </c>
      <c r="AQ130" s="542" t="str">
        <f t="shared" si="13"/>
        <v>有定金+有預留客戶</v>
      </c>
      <c r="AR130" s="259" t="str">
        <f t="shared" si="14"/>
        <v>Shipped_Stock</v>
      </c>
      <c r="AS130" s="259" t="str">
        <f t="shared" si="15"/>
        <v/>
      </c>
      <c r="AT130" s="259" t="str">
        <f t="shared" si="16"/>
        <v>BBS好兄弟</v>
      </c>
      <c r="AU130" s="259" t="str">
        <f t="shared" si="17"/>
        <v>C49SZX20180086DZ</v>
      </c>
      <c r="AV130" s="259" t="str">
        <f t="shared" si="18"/>
        <v>Mar-06</v>
      </c>
    </row>
    <row r="131" spans="1:69" ht="15" hidden="1" customHeight="1">
      <c r="A131" s="559">
        <v>82</v>
      </c>
      <c r="B131" s="563" t="s">
        <v>280</v>
      </c>
      <c r="C131" s="560" t="s">
        <v>281</v>
      </c>
      <c r="D131" s="564">
        <v>109430</v>
      </c>
      <c r="E131" s="563" t="s">
        <v>508</v>
      </c>
      <c r="F131" s="563" t="s">
        <v>256</v>
      </c>
      <c r="G131" s="563" t="s">
        <v>24</v>
      </c>
      <c r="H131" s="563" t="s">
        <v>26</v>
      </c>
      <c r="I131" s="564" t="s">
        <v>511</v>
      </c>
      <c r="J131" s="564">
        <v>1</v>
      </c>
      <c r="K131" s="563" t="s">
        <v>388</v>
      </c>
      <c r="L131" s="565">
        <v>43530</v>
      </c>
      <c r="M131" s="566">
        <v>6.2E-2</v>
      </c>
      <c r="N131" s="563" t="s">
        <v>334</v>
      </c>
      <c r="P131" s="566" t="str">
        <f>VLOOKUP(A131,'[1]Raw data'!$B:$BB,23,FALSE)</f>
        <v>JPY</v>
      </c>
      <c r="Q131" s="563" t="str">
        <f>VLOOKUP(A131,'[1]Raw data'!$B:$Z,2,FALSE)</f>
        <v>C49SZX20180086DZ</v>
      </c>
      <c r="R131" s="563" t="str">
        <f>VLOOKUP(A131,'[1]Raw data'!$B:$Z,3,FALSE)</f>
        <v>BBS好兄弟</v>
      </c>
      <c r="S131" s="563" t="str">
        <f>VLOOKUP(A131,'[1]Raw data'!$B:$Z,4,FALSE)</f>
        <v>YSM20-2</v>
      </c>
      <c r="T131" s="563" t="str">
        <f>VLOOKUP(A131,'[1]Raw data'!$B:$Z,8,FALSE)</f>
        <v>L-&gt;R</v>
      </c>
      <c r="U131" s="563" t="str">
        <f>VLOOKUP(A131,'[1]Raw data'!$B:$Z,9,FALSE)</f>
        <v>No</v>
      </c>
      <c r="V131" s="567" t="str">
        <f t="shared" si="20"/>
        <v>OK</v>
      </c>
      <c r="W131" s="563" t="str">
        <f>VLOOKUP(A131,'[1]Raw data'!$B:$AG,32,FALSE)</f>
        <v>CIF HK</v>
      </c>
      <c r="X131" s="563">
        <f>VLOOKUP(A131,'[1]Raw data'!$B:$BA,31,FALSE)</f>
        <v>43251</v>
      </c>
      <c r="Y131" s="563" t="str">
        <f>VLOOKUP(A131,'[1]Raw data'!$B:$AS,39,FALSE)</f>
        <v>Yes</v>
      </c>
      <c r="Z131" s="568" t="s">
        <v>290</v>
      </c>
      <c r="AA131" s="569" t="s">
        <v>290</v>
      </c>
      <c r="AB131" s="570"/>
      <c r="AC131" s="563" t="s">
        <v>291</v>
      </c>
      <c r="AN131" s="542"/>
      <c r="AO131" s="824" t="str">
        <f t="shared" ref="AO131:AO194" si="21">IFERROR(IF(Y131&lt;&gt;"",Y131,"No"),"No")</f>
        <v>Yes</v>
      </c>
      <c r="AP131" s="259" t="str">
        <f t="shared" ref="AP131:AP194" si="22">IFERROR(IF(N131&lt;&gt;"",N131,"blank"),"NA")</f>
        <v>MAR 19</v>
      </c>
      <c r="AQ131" s="542" t="str">
        <f t="shared" ref="AQ131:AQ194" si="23">IFERROR(IF(AND(AO131="Yes", AP131&lt;&gt;"blank"), "有定金+有預留客戶", IF(AND(AO131="Yes", AP131="blank"), "有定金+无客戶送貨期", IF(AND(OR(AO131="No", ISBLANK(AO131), AO131="NA"), AP131&lt;&gt;"blank"), "无定金+有預留客戶", IF(AND(OR(AO131="No", ISBLANK(AO131), AO131="NA"), AP131="blank"), "无定金+无預留客戶", "")))), "")</f>
        <v>有定金+有預留客戶</v>
      </c>
      <c r="AR131" s="259" t="str">
        <f t="shared" ref="AR131:AR194" si="24">IFERROR(IF(B131="已经到货", "Instock", IF(B131="有交期", "Incoming_Stock_With_YAMAHA_Schedule", IF(B131="TBA.", "Incoming_Stock_No_YAMAHA_Schedule", IF(B131="已发货", "Shipped_Stock", "")))), "")</f>
        <v>Shipped_Stock</v>
      </c>
      <c r="AS131" s="259" t="str">
        <f t="shared" ref="AS131:AS194" si="25">IF(AND(B131="有交期", L131&lt;&gt;""), L131, "")</f>
        <v/>
      </c>
      <c r="AT131" s="259" t="str">
        <f t="shared" ref="AT131:AT194" si="26">IFERROR(IF(R131&lt;&gt;"",R131),"-")</f>
        <v>BBS好兄弟</v>
      </c>
      <c r="AU131" s="259" t="str">
        <f t="shared" ref="AU131:AU194" si="27">IFERROR(IF(Q131&lt;&gt;"",Q131),"-")</f>
        <v>C49SZX20180086DZ</v>
      </c>
      <c r="AV131" s="259" t="str">
        <f t="shared" ref="AV131:AV194" si="28">IF(L131="","-",TEXT(L131,"mmm-dd"))</f>
        <v>Mar-06</v>
      </c>
    </row>
    <row r="132" spans="1:69" ht="15" hidden="1" customHeight="1">
      <c r="A132" s="559">
        <v>83</v>
      </c>
      <c r="B132" s="563" t="s">
        <v>280</v>
      </c>
      <c r="C132" s="560" t="s">
        <v>281</v>
      </c>
      <c r="D132" s="564">
        <v>109430</v>
      </c>
      <c r="E132" s="563" t="s">
        <v>508</v>
      </c>
      <c r="F132" s="563" t="s">
        <v>256</v>
      </c>
      <c r="G132" s="563" t="s">
        <v>24</v>
      </c>
      <c r="H132" s="563" t="s">
        <v>26</v>
      </c>
      <c r="I132" s="564" t="s">
        <v>512</v>
      </c>
      <c r="J132" s="564">
        <v>1</v>
      </c>
      <c r="K132" s="563" t="s">
        <v>388</v>
      </c>
      <c r="L132" s="565">
        <v>43530</v>
      </c>
      <c r="M132" s="566">
        <v>6.2E-2</v>
      </c>
      <c r="N132" s="563" t="s">
        <v>334</v>
      </c>
      <c r="P132" s="566" t="str">
        <f>VLOOKUP(A132,'[1]Raw data'!$B:$BB,23,FALSE)</f>
        <v>JPY</v>
      </c>
      <c r="Q132" s="563" t="str">
        <f>VLOOKUP(A132,'[1]Raw data'!$B:$Z,2,FALSE)</f>
        <v>C49SZX20180086DZ</v>
      </c>
      <c r="R132" s="563" t="str">
        <f>VLOOKUP(A132,'[1]Raw data'!$B:$Z,3,FALSE)</f>
        <v>BBS好兄弟</v>
      </c>
      <c r="S132" s="563" t="str">
        <f>VLOOKUP(A132,'[1]Raw data'!$B:$Z,4,FALSE)</f>
        <v>YSM20-2</v>
      </c>
      <c r="T132" s="563" t="str">
        <f>VLOOKUP(A132,'[1]Raw data'!$B:$Z,8,FALSE)</f>
        <v>L-&gt;R</v>
      </c>
      <c r="U132" s="563" t="str">
        <f>VLOOKUP(A132,'[1]Raw data'!$B:$Z,9,FALSE)</f>
        <v>No</v>
      </c>
      <c r="V132" s="567" t="str">
        <f t="shared" si="20"/>
        <v>OK</v>
      </c>
      <c r="W132" s="563" t="str">
        <f>VLOOKUP(A132,'[1]Raw data'!$B:$AG,32,FALSE)</f>
        <v>CIF HK</v>
      </c>
      <c r="X132" s="563">
        <f>VLOOKUP(A132,'[1]Raw data'!$B:$BA,31,FALSE)</f>
        <v>43251</v>
      </c>
      <c r="Y132" s="563" t="str">
        <f>VLOOKUP(A132,'[1]Raw data'!$B:$AS,39,FALSE)</f>
        <v>Yes</v>
      </c>
      <c r="Z132" s="568" t="s">
        <v>290</v>
      </c>
      <c r="AA132" s="569" t="s">
        <v>290</v>
      </c>
      <c r="AB132" s="570"/>
      <c r="AC132" s="563" t="s">
        <v>291</v>
      </c>
      <c r="AN132" s="542"/>
      <c r="AO132" s="824" t="str">
        <f t="shared" si="21"/>
        <v>Yes</v>
      </c>
      <c r="AP132" s="259" t="str">
        <f t="shared" si="22"/>
        <v>MAR 19</v>
      </c>
      <c r="AQ132" s="542" t="str">
        <f t="shared" si="23"/>
        <v>有定金+有預留客戶</v>
      </c>
      <c r="AR132" s="259" t="str">
        <f t="shared" si="24"/>
        <v>Shipped_Stock</v>
      </c>
      <c r="AS132" s="259" t="str">
        <f t="shared" si="25"/>
        <v/>
      </c>
      <c r="AT132" s="259" t="str">
        <f t="shared" si="26"/>
        <v>BBS好兄弟</v>
      </c>
      <c r="AU132" s="259" t="str">
        <f t="shared" si="27"/>
        <v>C49SZX20180086DZ</v>
      </c>
      <c r="AV132" s="259" t="str">
        <f t="shared" si="28"/>
        <v>Mar-06</v>
      </c>
    </row>
    <row r="133" spans="1:69" ht="15" hidden="1" customHeight="1">
      <c r="A133" s="559">
        <v>268</v>
      </c>
      <c r="B133" s="563" t="s">
        <v>280</v>
      </c>
      <c r="C133" s="560" t="s">
        <v>281</v>
      </c>
      <c r="D133" s="564">
        <v>109319</v>
      </c>
      <c r="E133" s="563" t="s">
        <v>513</v>
      </c>
      <c r="F133" s="563" t="s">
        <v>256</v>
      </c>
      <c r="G133" s="563" t="s">
        <v>24</v>
      </c>
      <c r="H133" s="563" t="s">
        <v>26</v>
      </c>
      <c r="I133" s="564" t="s">
        <v>514</v>
      </c>
      <c r="J133" s="564">
        <v>1</v>
      </c>
      <c r="K133" s="563" t="s">
        <v>311</v>
      </c>
      <c r="L133" s="565">
        <v>43537</v>
      </c>
      <c r="M133" s="566">
        <v>6.2E-2</v>
      </c>
      <c r="N133" s="563" t="s">
        <v>334</v>
      </c>
      <c r="P133" s="566" t="str">
        <f>VLOOKUP(A133,'[1]Raw data'!$B:$BB,23,FALSE)</f>
        <v>JPY</v>
      </c>
      <c r="Q133" s="563" t="str">
        <f>VLOOKUP(A133,'[1]Raw data'!$B:$Z,2,FALSE)</f>
        <v>C49SZX20190045SS</v>
      </c>
      <c r="R133" s="563" t="str">
        <f>VLOOKUP(A133,'[1]Raw data'!$B:$Z,3,FALSE)</f>
        <v>兴丰源</v>
      </c>
      <c r="S133" s="563" t="str">
        <f>VLOOKUP(A133,'[1]Raw data'!$B:$Z,4,FALSE)</f>
        <v>YSM20R(SV)-2</v>
      </c>
      <c r="T133" s="563" t="str">
        <f>VLOOKUP(A133,'[1]Raw data'!$B:$Z,8,FALSE)</f>
        <v>L-&gt;R</v>
      </c>
      <c r="U133" s="563" t="str">
        <f>VLOOKUP(A133,'[1]Raw data'!$B:$Z,9,FALSE)</f>
        <v>No</v>
      </c>
      <c r="V133" s="567" t="str">
        <f t="shared" si="20"/>
        <v>OK</v>
      </c>
      <c r="W133" s="563" t="str">
        <f>VLOOKUP(A133,'[1]Raw data'!$B:$AG,32,FALSE)</f>
        <v>DAP 深圳</v>
      </c>
      <c r="X133" s="563">
        <f>VLOOKUP(A133,'[1]Raw data'!$B:$BA,31,FALSE)</f>
        <v>43546</v>
      </c>
      <c r="Y133" s="563" t="str">
        <f>VLOOKUP(A133,'[1]Raw data'!$B:$AS,39,FALSE)</f>
        <v>Yes</v>
      </c>
      <c r="Z133" s="568" t="s">
        <v>290</v>
      </c>
      <c r="AA133" s="569" t="s">
        <v>290</v>
      </c>
      <c r="AB133" s="570"/>
      <c r="AC133" s="563" t="s">
        <v>291</v>
      </c>
      <c r="AN133" s="542"/>
      <c r="AO133" s="824" t="str">
        <f t="shared" si="21"/>
        <v>Yes</v>
      </c>
      <c r="AP133" s="259" t="str">
        <f t="shared" si="22"/>
        <v>MAR 19</v>
      </c>
      <c r="AQ133" s="542" t="str">
        <f t="shared" si="23"/>
        <v>有定金+有預留客戶</v>
      </c>
      <c r="AR133" s="259" t="str">
        <f t="shared" si="24"/>
        <v>Shipped_Stock</v>
      </c>
      <c r="AS133" s="259" t="str">
        <f t="shared" si="25"/>
        <v/>
      </c>
      <c r="AT133" s="259" t="str">
        <f t="shared" si="26"/>
        <v>兴丰源</v>
      </c>
      <c r="AU133" s="259" t="str">
        <f t="shared" si="27"/>
        <v>C49SZX20190045SS</v>
      </c>
      <c r="AV133" s="259" t="str">
        <f t="shared" si="28"/>
        <v>Mar-13</v>
      </c>
      <c r="AW133" s="837"/>
      <c r="AX133" s="837"/>
      <c r="AY133" s="837"/>
      <c r="AZ133" s="837"/>
      <c r="BA133" s="837"/>
      <c r="BB133" s="837"/>
      <c r="BC133" s="837"/>
      <c r="BD133" s="837"/>
      <c r="BE133" s="837"/>
      <c r="BF133" s="837"/>
      <c r="BG133" s="837"/>
      <c r="BH133" s="837"/>
      <c r="BI133" s="837"/>
      <c r="BJ133" s="837"/>
      <c r="BK133" s="837"/>
      <c r="BL133" s="837"/>
      <c r="BM133" s="837"/>
      <c r="BN133" s="837"/>
      <c r="BO133" s="837"/>
      <c r="BP133" s="837"/>
      <c r="BQ133" s="837"/>
    </row>
    <row r="134" spans="1:69" ht="15" hidden="1" customHeight="1">
      <c r="A134" s="559">
        <v>270</v>
      </c>
      <c r="B134" s="563" t="s">
        <v>280</v>
      </c>
      <c r="C134" s="560" t="s">
        <v>281</v>
      </c>
      <c r="D134" s="564">
        <v>109389</v>
      </c>
      <c r="E134" s="563" t="s">
        <v>515</v>
      </c>
      <c r="F134" s="563" t="s">
        <v>256</v>
      </c>
      <c r="G134" s="563" t="s">
        <v>24</v>
      </c>
      <c r="H134" s="563" t="s">
        <v>26</v>
      </c>
      <c r="I134" s="564" t="s">
        <v>516</v>
      </c>
      <c r="J134" s="564">
        <v>1</v>
      </c>
      <c r="K134" s="563" t="s">
        <v>285</v>
      </c>
      <c r="L134" s="565">
        <v>43537</v>
      </c>
      <c r="M134" s="566">
        <v>6.2E-2</v>
      </c>
      <c r="N134" s="563" t="s">
        <v>341</v>
      </c>
      <c r="P134" s="566" t="str">
        <f>VLOOKUP(A134,'[1]Raw data'!$B:$BB,23,FALSE)</f>
        <v>JPY</v>
      </c>
      <c r="Q134" s="563" t="str">
        <f>VLOOKUP(A134,'[1]Raw data'!$B:$Z,2,FALSE)</f>
        <v>C49SZX20190025SX</v>
      </c>
      <c r="R134" s="563" t="str">
        <f>VLOOKUP(A134,'[1]Raw data'!$B:$Z,3,FALSE)</f>
        <v>维众</v>
      </c>
      <c r="S134" s="563" t="str">
        <f>VLOOKUP(A134,'[1]Raw data'!$B:$Z,4,FALSE)</f>
        <v>YSM20R(SV)-2</v>
      </c>
      <c r="T134" s="563" t="str">
        <f>VLOOKUP(A134,'[1]Raw data'!$B:$Z,8,FALSE)</f>
        <v>L-&gt;R</v>
      </c>
      <c r="U134" s="563" t="str">
        <f>VLOOKUP(A134,'[1]Raw data'!$B:$Z,9,FALSE)</f>
        <v>No</v>
      </c>
      <c r="V134" s="567" t="str">
        <f t="shared" si="20"/>
        <v>OK</v>
      </c>
      <c r="W134" s="563" t="str">
        <f>VLOOKUP(A134,'[1]Raw data'!$B:$AG,32,FALSE)</f>
        <v>DAP 深圳</v>
      </c>
      <c r="X134" s="563">
        <f>VLOOKUP(A134,'[1]Raw data'!$B:$BA,31,FALSE)</f>
        <v>43530</v>
      </c>
      <c r="Y134" s="563" t="str">
        <f>VLOOKUP(A134,'[1]Raw data'!$B:$AS,39,FALSE)</f>
        <v>Yes</v>
      </c>
      <c r="Z134" s="568" t="s">
        <v>290</v>
      </c>
      <c r="AA134" s="569" t="s">
        <v>290</v>
      </c>
      <c r="AB134" s="570"/>
      <c r="AC134" s="563" t="s">
        <v>291</v>
      </c>
      <c r="AN134" s="542"/>
      <c r="AO134" s="824" t="str">
        <f t="shared" si="21"/>
        <v>Yes</v>
      </c>
      <c r="AP134" s="259" t="str">
        <f t="shared" si="22"/>
        <v>APR 19</v>
      </c>
      <c r="AQ134" s="542" t="str">
        <f t="shared" si="23"/>
        <v>有定金+有預留客戶</v>
      </c>
      <c r="AR134" s="259" t="str">
        <f t="shared" si="24"/>
        <v>Shipped_Stock</v>
      </c>
      <c r="AS134" s="259" t="str">
        <f t="shared" si="25"/>
        <v/>
      </c>
      <c r="AT134" s="259" t="str">
        <f t="shared" si="26"/>
        <v>维众</v>
      </c>
      <c r="AU134" s="259" t="str">
        <f t="shared" si="27"/>
        <v>C49SZX20190025SX</v>
      </c>
      <c r="AV134" s="259" t="str">
        <f t="shared" si="28"/>
        <v>Mar-13</v>
      </c>
    </row>
    <row r="135" spans="1:69" ht="15" hidden="1" customHeight="1">
      <c r="A135" s="559">
        <v>284</v>
      </c>
      <c r="B135" s="563" t="s">
        <v>280</v>
      </c>
      <c r="C135" s="560" t="s">
        <v>281</v>
      </c>
      <c r="D135" s="564">
        <v>109389</v>
      </c>
      <c r="E135" s="563" t="s">
        <v>515</v>
      </c>
      <c r="F135" s="563" t="s">
        <v>256</v>
      </c>
      <c r="G135" s="563" t="s">
        <v>24</v>
      </c>
      <c r="H135" s="563" t="s">
        <v>26</v>
      </c>
      <c r="I135" s="564" t="s">
        <v>517</v>
      </c>
      <c r="J135" s="564">
        <v>1</v>
      </c>
      <c r="K135" s="563" t="s">
        <v>285</v>
      </c>
      <c r="L135" s="565">
        <v>43537</v>
      </c>
      <c r="M135" s="566">
        <v>6.2E-2</v>
      </c>
      <c r="N135" s="563" t="s">
        <v>381</v>
      </c>
      <c r="P135" s="566" t="str">
        <f>VLOOKUP(A135,'[1]Raw data'!$B:$BB,23,FALSE)</f>
        <v>JPY</v>
      </c>
      <c r="Q135" s="563" t="str">
        <f>VLOOKUP(A135,'[1]Raw data'!$B:$Z,2,FALSE)</f>
        <v>C49SZX20190058SX</v>
      </c>
      <c r="R135" s="563" t="str">
        <f>VLOOKUP(A135,'[1]Raw data'!$B:$Z,3,FALSE)</f>
        <v>玮芯电子</v>
      </c>
      <c r="S135" s="563" t="str">
        <f>VLOOKUP(A135,'[1]Raw data'!$B:$Z,4,FALSE)</f>
        <v>YSM20R(SV)-2</v>
      </c>
      <c r="T135" s="563" t="str">
        <f>VLOOKUP(A135,'[1]Raw data'!$B:$Z,8,FALSE)</f>
        <v>L-&gt;R</v>
      </c>
      <c r="U135" s="563" t="str">
        <f>VLOOKUP(A135,'[1]Raw data'!$B:$Z,9,FALSE)</f>
        <v>MVC</v>
      </c>
      <c r="V135" s="567" t="str">
        <f t="shared" si="20"/>
        <v>WRONG</v>
      </c>
      <c r="W135" s="563" t="str">
        <f>VLOOKUP(A135,'[1]Raw data'!$B:$AG,32,FALSE)</f>
        <v>DAP SZ</v>
      </c>
      <c r="X135" s="563">
        <f>VLOOKUP(A135,'[1]Raw data'!$B:$BA,31,FALSE)</f>
        <v>43573</v>
      </c>
      <c r="Y135" s="563" t="str">
        <f>VLOOKUP(A135,'[1]Raw data'!$B:$AS,39,FALSE)</f>
        <v>Yes</v>
      </c>
      <c r="Z135" s="568" t="s">
        <v>290</v>
      </c>
      <c r="AA135" s="569" t="s">
        <v>290</v>
      </c>
      <c r="AB135" s="570"/>
      <c r="AC135" s="563" t="s">
        <v>291</v>
      </c>
      <c r="AN135" s="542"/>
      <c r="AO135" s="824" t="str">
        <f t="shared" si="21"/>
        <v>Yes</v>
      </c>
      <c r="AP135" s="259" t="str">
        <f t="shared" si="22"/>
        <v>MAY 19</v>
      </c>
      <c r="AQ135" s="542" t="str">
        <f t="shared" si="23"/>
        <v>有定金+有預留客戶</v>
      </c>
      <c r="AR135" s="259" t="str">
        <f t="shared" si="24"/>
        <v>Shipped_Stock</v>
      </c>
      <c r="AS135" s="259" t="str">
        <f t="shared" si="25"/>
        <v/>
      </c>
      <c r="AT135" s="259" t="str">
        <f t="shared" si="26"/>
        <v>玮芯电子</v>
      </c>
      <c r="AU135" s="259" t="str">
        <f t="shared" si="27"/>
        <v>C49SZX20190058SX</v>
      </c>
      <c r="AV135" s="259" t="str">
        <f t="shared" si="28"/>
        <v>Mar-13</v>
      </c>
      <c r="AW135" s="837"/>
      <c r="AX135" s="837"/>
      <c r="AY135" s="837"/>
      <c r="AZ135" s="837"/>
      <c r="BA135" s="837"/>
      <c r="BB135" s="837"/>
      <c r="BC135" s="837"/>
      <c r="BD135" s="837"/>
      <c r="BE135" s="837"/>
      <c r="BF135" s="837"/>
      <c r="BG135" s="837"/>
      <c r="BH135" s="837"/>
      <c r="BI135" s="837"/>
      <c r="BJ135" s="837"/>
      <c r="BK135" s="837"/>
      <c r="BL135" s="837"/>
      <c r="BM135" s="837"/>
      <c r="BN135" s="837"/>
      <c r="BO135" s="837"/>
      <c r="BP135" s="837"/>
      <c r="BQ135" s="837"/>
    </row>
    <row r="136" spans="1:69" ht="15" hidden="1" customHeight="1">
      <c r="A136" s="559">
        <v>264</v>
      </c>
      <c r="B136" s="563" t="s">
        <v>280</v>
      </c>
      <c r="C136" s="560" t="s">
        <v>281</v>
      </c>
      <c r="D136" s="564">
        <v>109429</v>
      </c>
      <c r="E136" s="563" t="s">
        <v>518</v>
      </c>
      <c r="F136" s="563" t="s">
        <v>256</v>
      </c>
      <c r="G136" s="563" t="s">
        <v>24</v>
      </c>
      <c r="H136" s="563" t="s">
        <v>26</v>
      </c>
      <c r="I136" s="564" t="s">
        <v>519</v>
      </c>
      <c r="J136" s="564">
        <v>1</v>
      </c>
      <c r="K136" s="563" t="s">
        <v>285</v>
      </c>
      <c r="L136" s="565">
        <v>43537</v>
      </c>
      <c r="M136" s="566">
        <v>6.2E-2</v>
      </c>
      <c r="N136" s="563" t="s">
        <v>341</v>
      </c>
      <c r="P136" s="566" t="str">
        <f>VLOOKUP(A136,'[1]Raw data'!$B:$BB,23,FALSE)</f>
        <v>JPY</v>
      </c>
      <c r="Q136" s="563" t="str">
        <f>VLOOKUP(A136,'[1]Raw data'!$B:$Z,2,FALSE)</f>
        <v>C49SZX20190035ZX</v>
      </c>
      <c r="R136" s="563" t="str">
        <f>VLOOKUP(A136,'[1]Raw data'!$B:$Z,3,FALSE)</f>
        <v>恒泰创新</v>
      </c>
      <c r="S136" s="563" t="str">
        <f>VLOOKUP(A136,'[1]Raw data'!$B:$Z,4,FALSE)</f>
        <v>YSM20R(SV)-2</v>
      </c>
      <c r="T136" s="563" t="str">
        <f>VLOOKUP(A136,'[1]Raw data'!$B:$Z,8,FALSE)</f>
        <v>L-&gt;R</v>
      </c>
      <c r="U136" s="563" t="str">
        <f>VLOOKUP(A136,'[1]Raw data'!$B:$Z,9,FALSE)</f>
        <v>No</v>
      </c>
      <c r="V136" s="567" t="str">
        <f t="shared" si="20"/>
        <v>OK</v>
      </c>
      <c r="W136" s="563" t="str">
        <f>VLOOKUP(A136,'[1]Raw data'!$B:$AG,32,FALSE)</f>
        <v>DAP 深圳</v>
      </c>
      <c r="X136" s="563">
        <f>VLOOKUP(A136,'[1]Raw data'!$B:$BA,31,FALSE)</f>
        <v>43544</v>
      </c>
      <c r="Y136" s="563" t="str">
        <f>VLOOKUP(A136,'[1]Raw data'!$B:$AS,39,FALSE)</f>
        <v>Yes</v>
      </c>
      <c r="Z136" s="568" t="s">
        <v>329</v>
      </c>
      <c r="AA136" s="569" t="s">
        <v>329</v>
      </c>
      <c r="AB136" s="570"/>
      <c r="AC136" s="563" t="s">
        <v>291</v>
      </c>
      <c r="AN136" s="542"/>
      <c r="AO136" s="824" t="str">
        <f t="shared" si="21"/>
        <v>Yes</v>
      </c>
      <c r="AP136" s="259" t="str">
        <f t="shared" si="22"/>
        <v>APR 19</v>
      </c>
      <c r="AQ136" s="542" t="str">
        <f t="shared" si="23"/>
        <v>有定金+有預留客戶</v>
      </c>
      <c r="AR136" s="259" t="str">
        <f t="shared" si="24"/>
        <v>Shipped_Stock</v>
      </c>
      <c r="AS136" s="259" t="str">
        <f t="shared" si="25"/>
        <v/>
      </c>
      <c r="AT136" s="259" t="str">
        <f t="shared" si="26"/>
        <v>恒泰创新</v>
      </c>
      <c r="AU136" s="259" t="str">
        <f t="shared" si="27"/>
        <v>C49SZX20190035ZX</v>
      </c>
      <c r="AV136" s="259" t="str">
        <f t="shared" si="28"/>
        <v>Mar-13</v>
      </c>
      <c r="AW136" s="837"/>
      <c r="AX136" s="837"/>
      <c r="AY136" s="837"/>
      <c r="AZ136" s="837"/>
      <c r="BA136" s="837"/>
      <c r="BB136" s="837"/>
      <c r="BC136" s="837"/>
      <c r="BD136" s="837"/>
      <c r="BE136" s="837"/>
      <c r="BF136" s="837"/>
      <c r="BG136" s="837"/>
      <c r="BH136" s="837"/>
      <c r="BI136" s="837"/>
      <c r="BJ136" s="837"/>
      <c r="BK136" s="837"/>
      <c r="BL136" s="837"/>
      <c r="BM136" s="837"/>
      <c r="BN136" s="837"/>
      <c r="BO136" s="837"/>
      <c r="BP136" s="837"/>
      <c r="BQ136" s="837"/>
    </row>
    <row r="137" spans="1:69" ht="15" hidden="1" customHeight="1">
      <c r="A137" s="559">
        <v>269</v>
      </c>
      <c r="B137" s="563" t="s">
        <v>280</v>
      </c>
      <c r="C137" s="560" t="s">
        <v>281</v>
      </c>
      <c r="D137" s="564">
        <v>109429</v>
      </c>
      <c r="E137" s="563" t="s">
        <v>518</v>
      </c>
      <c r="F137" s="563" t="s">
        <v>256</v>
      </c>
      <c r="G137" s="563" t="s">
        <v>24</v>
      </c>
      <c r="H137" s="563" t="s">
        <v>26</v>
      </c>
      <c r="I137" s="564" t="s">
        <v>520</v>
      </c>
      <c r="J137" s="564">
        <v>1</v>
      </c>
      <c r="K137" s="563" t="s">
        <v>285</v>
      </c>
      <c r="L137" s="565">
        <v>43537</v>
      </c>
      <c r="M137" s="566">
        <v>6.2E-2</v>
      </c>
      <c r="N137" s="563" t="s">
        <v>341</v>
      </c>
      <c r="P137" s="566" t="str">
        <f>VLOOKUP(A137,'[1]Raw data'!$B:$BB,23,FALSE)</f>
        <v>JPY</v>
      </c>
      <c r="Q137" s="563" t="str">
        <f>VLOOKUP(A137,'[1]Raw data'!$B:$Z,2,FALSE)</f>
        <v>C49SZX20190025SX</v>
      </c>
      <c r="R137" s="563" t="str">
        <f>VLOOKUP(A137,'[1]Raw data'!$B:$Z,3,FALSE)</f>
        <v>维众</v>
      </c>
      <c r="S137" s="563" t="str">
        <f>VLOOKUP(A137,'[1]Raw data'!$B:$Z,4,FALSE)</f>
        <v>YSM20R(SV)-2</v>
      </c>
      <c r="T137" s="563" t="str">
        <f>VLOOKUP(A137,'[1]Raw data'!$B:$Z,8,FALSE)</f>
        <v>L-&gt;R</v>
      </c>
      <c r="U137" s="563" t="str">
        <f>VLOOKUP(A137,'[1]Raw data'!$B:$Z,9,FALSE)</f>
        <v>No</v>
      </c>
      <c r="V137" s="567" t="str">
        <f t="shared" si="20"/>
        <v>OK</v>
      </c>
      <c r="W137" s="563" t="str">
        <f>VLOOKUP(A137,'[1]Raw data'!$B:$AG,32,FALSE)</f>
        <v>DAP 深圳</v>
      </c>
      <c r="X137" s="563">
        <f>VLOOKUP(A137,'[1]Raw data'!$B:$BA,31,FALSE)</f>
        <v>43530</v>
      </c>
      <c r="Y137" s="563" t="str">
        <f>VLOOKUP(A137,'[1]Raw data'!$B:$AS,39,FALSE)</f>
        <v>Yes</v>
      </c>
      <c r="Z137" s="568" t="s">
        <v>329</v>
      </c>
      <c r="AA137" s="569" t="s">
        <v>329</v>
      </c>
      <c r="AB137" s="570"/>
      <c r="AC137" s="563" t="s">
        <v>291</v>
      </c>
      <c r="AN137" s="542"/>
      <c r="AO137" s="824" t="str">
        <f t="shared" si="21"/>
        <v>Yes</v>
      </c>
      <c r="AP137" s="259" t="str">
        <f t="shared" si="22"/>
        <v>APR 19</v>
      </c>
      <c r="AQ137" s="542" t="str">
        <f t="shared" si="23"/>
        <v>有定金+有預留客戶</v>
      </c>
      <c r="AR137" s="259" t="str">
        <f t="shared" si="24"/>
        <v>Shipped_Stock</v>
      </c>
      <c r="AS137" s="259" t="str">
        <f t="shared" si="25"/>
        <v/>
      </c>
      <c r="AT137" s="259" t="str">
        <f t="shared" si="26"/>
        <v>维众</v>
      </c>
      <c r="AU137" s="259" t="str">
        <f t="shared" si="27"/>
        <v>C49SZX20190025SX</v>
      </c>
      <c r="AV137" s="259" t="str">
        <f t="shared" si="28"/>
        <v>Mar-13</v>
      </c>
      <c r="AW137" s="837"/>
      <c r="AX137" s="837"/>
      <c r="AY137" s="837"/>
      <c r="AZ137" s="837"/>
      <c r="BA137" s="837"/>
      <c r="BB137" s="837"/>
      <c r="BC137" s="837"/>
      <c r="BD137" s="837"/>
      <c r="BE137" s="837"/>
      <c r="BF137" s="837"/>
      <c r="BG137" s="837"/>
      <c r="BH137" s="837"/>
      <c r="BI137" s="837"/>
      <c r="BJ137" s="837"/>
      <c r="BK137" s="837"/>
      <c r="BL137" s="837"/>
      <c r="BM137" s="837"/>
      <c r="BN137" s="837"/>
      <c r="BO137" s="837"/>
      <c r="BP137" s="837"/>
      <c r="BQ137" s="837"/>
    </row>
    <row r="138" spans="1:69" ht="15" hidden="1" customHeight="1">
      <c r="A138" s="559">
        <v>155</v>
      </c>
      <c r="B138" s="563" t="s">
        <v>280</v>
      </c>
      <c r="C138" s="560" t="s">
        <v>281</v>
      </c>
      <c r="D138" s="564">
        <v>109493</v>
      </c>
      <c r="E138" s="563" t="s">
        <v>454</v>
      </c>
      <c r="F138" s="563" t="s">
        <v>256</v>
      </c>
      <c r="G138" s="563" t="s">
        <v>18</v>
      </c>
      <c r="H138" s="563" t="s">
        <v>307</v>
      </c>
      <c r="I138" s="564" t="s">
        <v>521</v>
      </c>
      <c r="J138" s="564">
        <v>1</v>
      </c>
      <c r="K138" s="563" t="s">
        <v>388</v>
      </c>
      <c r="L138" s="565">
        <v>43546</v>
      </c>
      <c r="M138" s="566">
        <v>6.2E-2</v>
      </c>
      <c r="N138" s="563" t="s">
        <v>341</v>
      </c>
      <c r="P138" s="566" t="str">
        <f>VLOOKUP(A138,'[1]Raw data'!$B:$BB,23,FALSE)</f>
        <v>JPY</v>
      </c>
      <c r="Q138" s="563" t="str">
        <f>VLOOKUP(A138,'[1]Raw data'!$B:$Z,2,FALSE)</f>
        <v>C49SZX20180167DZ</v>
      </c>
      <c r="R138" s="563" t="str">
        <f>VLOOKUP(A138,'[1]Raw data'!$B:$Z,3,FALSE)</f>
        <v>朗特</v>
      </c>
      <c r="S138" s="563" t="str">
        <f>VLOOKUP(A138,'[1]Raw data'!$B:$Z,4,FALSE)</f>
        <v>YSM20R(SV)-2</v>
      </c>
      <c r="T138" s="563" t="str">
        <f>VLOOKUP(A138,'[1]Raw data'!$B:$Z,8,FALSE)</f>
        <v>R-&gt;L</v>
      </c>
      <c r="U138" s="563" t="str">
        <f>VLOOKUP(A138,'[1]Raw data'!$B:$Z,9,FALSE)</f>
        <v>No</v>
      </c>
      <c r="V138" s="567" t="str">
        <f t="shared" si="20"/>
        <v>OK</v>
      </c>
      <c r="W138" s="563" t="str">
        <f>VLOOKUP(A138,'[1]Raw data'!$B:$AG,32,FALSE)</f>
        <v>CIF</v>
      </c>
      <c r="X138" s="563">
        <f>VLOOKUP(A138,'[1]Raw data'!$B:$BA,31,FALSE)</f>
        <v>43413</v>
      </c>
      <c r="Y138" s="563" t="str">
        <f>VLOOKUP(A138,'[1]Raw data'!$B:$AS,39,FALSE)</f>
        <v>Yes</v>
      </c>
      <c r="Z138" s="568"/>
      <c r="AA138" s="569" t="s">
        <v>290</v>
      </c>
      <c r="AB138" s="570" t="s">
        <v>389</v>
      </c>
      <c r="AC138" s="563" t="s">
        <v>291</v>
      </c>
      <c r="AN138" s="542"/>
      <c r="AO138" s="824" t="str">
        <f t="shared" si="21"/>
        <v>Yes</v>
      </c>
      <c r="AP138" s="259" t="str">
        <f t="shared" si="22"/>
        <v>APR 19</v>
      </c>
      <c r="AQ138" s="542" t="str">
        <f t="shared" si="23"/>
        <v>有定金+有預留客戶</v>
      </c>
      <c r="AR138" s="259" t="str">
        <f t="shared" si="24"/>
        <v>Shipped_Stock</v>
      </c>
      <c r="AS138" s="259" t="str">
        <f t="shared" si="25"/>
        <v/>
      </c>
      <c r="AT138" s="259" t="str">
        <f t="shared" si="26"/>
        <v>朗特</v>
      </c>
      <c r="AU138" s="259" t="str">
        <f t="shared" si="27"/>
        <v>C49SZX20180167DZ</v>
      </c>
      <c r="AV138" s="259" t="str">
        <f t="shared" si="28"/>
        <v>Mar-22</v>
      </c>
    </row>
    <row r="139" spans="1:69" ht="15" hidden="1" customHeight="1">
      <c r="A139" s="559">
        <v>161</v>
      </c>
      <c r="B139" s="563" t="s">
        <v>280</v>
      </c>
      <c r="C139" s="560" t="s">
        <v>281</v>
      </c>
      <c r="D139" s="564">
        <v>109493</v>
      </c>
      <c r="E139" s="563" t="s">
        <v>454</v>
      </c>
      <c r="F139" s="563" t="s">
        <v>17</v>
      </c>
      <c r="G139" s="563" t="s">
        <v>18</v>
      </c>
      <c r="H139" s="563" t="s">
        <v>34</v>
      </c>
      <c r="I139" s="564" t="s">
        <v>522</v>
      </c>
      <c r="J139" s="564">
        <v>1</v>
      </c>
      <c r="K139" s="563" t="s">
        <v>388</v>
      </c>
      <c r="L139" s="565">
        <v>43546</v>
      </c>
      <c r="M139" s="566">
        <v>6.2E-2</v>
      </c>
      <c r="N139" s="563" t="s">
        <v>341</v>
      </c>
      <c r="O139" s="563"/>
      <c r="P139" s="566" t="str">
        <f>VLOOKUP(A139,'[1]Raw data'!$B:$BB,23,FALSE)</f>
        <v>JPY</v>
      </c>
      <c r="Q139" s="563" t="str">
        <f>VLOOKUP(A139,'[1]Raw data'!$B:$Z,2,FALSE)</f>
        <v>C49SZX20180167DZ</v>
      </c>
      <c r="R139" s="563" t="str">
        <f>VLOOKUP(A139,'[1]Raw data'!$B:$Z,3,FALSE)</f>
        <v>朗特</v>
      </c>
      <c r="S139" s="563" t="str">
        <f>VLOOKUP(A139,'[1]Raw data'!$B:$Z,4,FALSE)</f>
        <v>YSM10</v>
      </c>
      <c r="T139" s="563" t="str">
        <f>VLOOKUP(A139,'[1]Raw data'!$B:$Z,8,FALSE)</f>
        <v>R-&gt;L</v>
      </c>
      <c r="U139" s="563" t="str">
        <f>VLOOKUP(A139,'[1]Raw data'!$B:$Z,9,FALSE)</f>
        <v>MVC+ATS15</v>
      </c>
      <c r="V139" s="567" t="str">
        <f t="shared" si="20"/>
        <v>OK</v>
      </c>
      <c r="W139" s="563" t="str">
        <f>VLOOKUP(A139,'[1]Raw data'!$B:$AG,32,FALSE)</f>
        <v>CIF</v>
      </c>
      <c r="X139" s="563">
        <f>VLOOKUP(A139,'[1]Raw data'!$B:$BA,31,FALSE)</f>
        <v>43413</v>
      </c>
      <c r="Y139" s="563" t="str">
        <f>VLOOKUP(A139,'[1]Raw data'!$B:$AS,39,FALSE)</f>
        <v>Yes</v>
      </c>
      <c r="Z139" s="568"/>
      <c r="AA139" s="569" t="s">
        <v>290</v>
      </c>
      <c r="AB139" s="570"/>
      <c r="AC139" s="563" t="s">
        <v>291</v>
      </c>
      <c r="AN139" s="542"/>
      <c r="AO139" s="824" t="str">
        <f t="shared" si="21"/>
        <v>Yes</v>
      </c>
      <c r="AP139" s="259" t="str">
        <f t="shared" si="22"/>
        <v>APR 19</v>
      </c>
      <c r="AQ139" s="542" t="str">
        <f t="shared" si="23"/>
        <v>有定金+有預留客戶</v>
      </c>
      <c r="AR139" s="259" t="str">
        <f t="shared" si="24"/>
        <v>Shipped_Stock</v>
      </c>
      <c r="AS139" s="259" t="str">
        <f t="shared" si="25"/>
        <v/>
      </c>
      <c r="AT139" s="259" t="str">
        <f t="shared" si="26"/>
        <v>朗特</v>
      </c>
      <c r="AU139" s="259" t="str">
        <f t="shared" si="27"/>
        <v>C49SZX20180167DZ</v>
      </c>
      <c r="AV139" s="259" t="str">
        <f t="shared" si="28"/>
        <v>Mar-22</v>
      </c>
    </row>
    <row r="140" spans="1:69" ht="15" hidden="1" customHeight="1">
      <c r="A140" s="559">
        <v>156</v>
      </c>
      <c r="B140" s="563" t="s">
        <v>280</v>
      </c>
      <c r="C140" s="560" t="s">
        <v>281</v>
      </c>
      <c r="D140" s="564">
        <v>109493</v>
      </c>
      <c r="E140" s="563" t="s">
        <v>454</v>
      </c>
      <c r="F140" s="563" t="s">
        <v>256</v>
      </c>
      <c r="G140" s="563" t="s">
        <v>18</v>
      </c>
      <c r="H140" s="563" t="s">
        <v>307</v>
      </c>
      <c r="I140" s="564" t="s">
        <v>523</v>
      </c>
      <c r="J140" s="564">
        <v>1</v>
      </c>
      <c r="K140" s="563" t="s">
        <v>388</v>
      </c>
      <c r="L140" s="565">
        <v>43546</v>
      </c>
      <c r="M140" s="566">
        <v>6.2E-2</v>
      </c>
      <c r="N140" s="563" t="s">
        <v>341</v>
      </c>
      <c r="P140" s="566" t="str">
        <f>VLOOKUP(A140,'[1]Raw data'!$B:$BB,23,FALSE)</f>
        <v>JPY</v>
      </c>
      <c r="Q140" s="563" t="str">
        <f>VLOOKUP(A140,'[1]Raw data'!$B:$Z,2,FALSE)</f>
        <v>C49SZX20180167DZ</v>
      </c>
      <c r="R140" s="563" t="str">
        <f>VLOOKUP(A140,'[1]Raw data'!$B:$Z,3,FALSE)</f>
        <v>朗特</v>
      </c>
      <c r="S140" s="563" t="str">
        <f>VLOOKUP(A140,'[1]Raw data'!$B:$Z,4,FALSE)</f>
        <v>YSM20R(SV)-2</v>
      </c>
      <c r="T140" s="563" t="str">
        <f>VLOOKUP(A140,'[1]Raw data'!$B:$Z,8,FALSE)</f>
        <v>R-&gt;L</v>
      </c>
      <c r="U140" s="563" t="str">
        <f>VLOOKUP(A140,'[1]Raw data'!$B:$Z,9,FALSE)</f>
        <v>No</v>
      </c>
      <c r="V140" s="567" t="str">
        <f t="shared" si="20"/>
        <v>OK</v>
      </c>
      <c r="W140" s="563" t="str">
        <f>VLOOKUP(A140,'[1]Raw data'!$B:$AG,32,FALSE)</f>
        <v>CIF</v>
      </c>
      <c r="X140" s="563">
        <f>VLOOKUP(A140,'[1]Raw data'!$B:$BA,31,FALSE)</f>
        <v>43413</v>
      </c>
      <c r="Y140" s="563" t="str">
        <f>VLOOKUP(A140,'[1]Raw data'!$B:$AS,39,FALSE)</f>
        <v>Yes</v>
      </c>
      <c r="Z140" s="568"/>
      <c r="AA140" s="569" t="s">
        <v>290</v>
      </c>
      <c r="AB140" s="570"/>
      <c r="AC140" s="563" t="s">
        <v>291</v>
      </c>
      <c r="AN140" s="542"/>
      <c r="AO140" s="824" t="str">
        <f t="shared" si="21"/>
        <v>Yes</v>
      </c>
      <c r="AP140" s="259" t="str">
        <f t="shared" si="22"/>
        <v>APR 19</v>
      </c>
      <c r="AQ140" s="542" t="str">
        <f t="shared" si="23"/>
        <v>有定金+有預留客戶</v>
      </c>
      <c r="AR140" s="259" t="str">
        <f t="shared" si="24"/>
        <v>Shipped_Stock</v>
      </c>
      <c r="AS140" s="259" t="str">
        <f t="shared" si="25"/>
        <v/>
      </c>
      <c r="AT140" s="259" t="str">
        <f t="shared" si="26"/>
        <v>朗特</v>
      </c>
      <c r="AU140" s="259" t="str">
        <f t="shared" si="27"/>
        <v>C49SZX20180167DZ</v>
      </c>
      <c r="AV140" s="259" t="str">
        <f t="shared" si="28"/>
        <v>Mar-22</v>
      </c>
    </row>
    <row r="141" spans="1:69" ht="15" hidden="1" customHeight="1">
      <c r="A141" s="559">
        <v>157</v>
      </c>
      <c r="B141" s="563" t="s">
        <v>280</v>
      </c>
      <c r="C141" s="560" t="s">
        <v>281</v>
      </c>
      <c r="D141" s="564">
        <v>109493</v>
      </c>
      <c r="E141" s="563" t="s">
        <v>454</v>
      </c>
      <c r="F141" s="563" t="s">
        <v>256</v>
      </c>
      <c r="G141" s="563" t="s">
        <v>18</v>
      </c>
      <c r="H141" s="563" t="s">
        <v>307</v>
      </c>
      <c r="I141" s="564" t="s">
        <v>524</v>
      </c>
      <c r="J141" s="564">
        <v>1</v>
      </c>
      <c r="K141" s="563" t="s">
        <v>388</v>
      </c>
      <c r="L141" s="565">
        <v>43546</v>
      </c>
      <c r="M141" s="566">
        <v>6.2E-2</v>
      </c>
      <c r="N141" s="563" t="s">
        <v>341</v>
      </c>
      <c r="P141" s="566" t="str">
        <f>VLOOKUP(A141,'[1]Raw data'!$B:$BB,23,FALSE)</f>
        <v>JPY</v>
      </c>
      <c r="Q141" s="563" t="str">
        <f>VLOOKUP(A141,'[1]Raw data'!$B:$Z,2,FALSE)</f>
        <v>C49SZX20180167DZ</v>
      </c>
      <c r="R141" s="563" t="str">
        <f>VLOOKUP(A141,'[1]Raw data'!$B:$Z,3,FALSE)</f>
        <v>朗特</v>
      </c>
      <c r="S141" s="563" t="str">
        <f>VLOOKUP(A141,'[1]Raw data'!$B:$Z,4,FALSE)</f>
        <v>YSM20R(SV)-2</v>
      </c>
      <c r="T141" s="563" t="str">
        <f>VLOOKUP(A141,'[1]Raw data'!$B:$Z,8,FALSE)</f>
        <v>R-&gt;L</v>
      </c>
      <c r="U141" s="563" t="str">
        <f>VLOOKUP(A141,'[1]Raw data'!$B:$Z,9,FALSE)</f>
        <v>No</v>
      </c>
      <c r="V141" s="567" t="str">
        <f t="shared" si="20"/>
        <v>OK</v>
      </c>
      <c r="W141" s="563" t="str">
        <f>VLOOKUP(A141,'[1]Raw data'!$B:$AG,32,FALSE)</f>
        <v>CIF</v>
      </c>
      <c r="X141" s="563">
        <f>VLOOKUP(A141,'[1]Raw data'!$B:$BA,31,FALSE)</f>
        <v>43413</v>
      </c>
      <c r="Y141" s="563" t="str">
        <f>VLOOKUP(A141,'[1]Raw data'!$B:$AS,39,FALSE)</f>
        <v>Yes</v>
      </c>
      <c r="Z141" s="568"/>
      <c r="AA141" s="569" t="s">
        <v>290</v>
      </c>
      <c r="AB141" s="570"/>
      <c r="AC141" s="563" t="s">
        <v>291</v>
      </c>
      <c r="AN141" s="542"/>
      <c r="AO141" s="824" t="str">
        <f t="shared" si="21"/>
        <v>Yes</v>
      </c>
      <c r="AP141" s="259" t="str">
        <f t="shared" si="22"/>
        <v>APR 19</v>
      </c>
      <c r="AQ141" s="542" t="str">
        <f t="shared" si="23"/>
        <v>有定金+有預留客戶</v>
      </c>
      <c r="AR141" s="259" t="str">
        <f t="shared" si="24"/>
        <v>Shipped_Stock</v>
      </c>
      <c r="AS141" s="259" t="str">
        <f t="shared" si="25"/>
        <v/>
      </c>
      <c r="AT141" s="259" t="str">
        <f t="shared" si="26"/>
        <v>朗特</v>
      </c>
      <c r="AU141" s="259" t="str">
        <f t="shared" si="27"/>
        <v>C49SZX20180167DZ</v>
      </c>
      <c r="AV141" s="259" t="str">
        <f t="shared" si="28"/>
        <v>Mar-22</v>
      </c>
    </row>
    <row r="142" spans="1:69" ht="15" hidden="1" customHeight="1">
      <c r="A142" s="559">
        <v>158</v>
      </c>
      <c r="B142" s="563" t="s">
        <v>280</v>
      </c>
      <c r="C142" s="560" t="s">
        <v>281</v>
      </c>
      <c r="D142" s="564">
        <v>109493</v>
      </c>
      <c r="E142" s="563" t="s">
        <v>454</v>
      </c>
      <c r="F142" s="563" t="s">
        <v>256</v>
      </c>
      <c r="G142" s="563" t="s">
        <v>18</v>
      </c>
      <c r="H142" s="563" t="s">
        <v>307</v>
      </c>
      <c r="I142" s="564" t="s">
        <v>525</v>
      </c>
      <c r="J142" s="564">
        <v>1</v>
      </c>
      <c r="K142" s="563" t="s">
        <v>388</v>
      </c>
      <c r="L142" s="565">
        <v>43546</v>
      </c>
      <c r="M142" s="566">
        <v>6.2E-2</v>
      </c>
      <c r="N142" s="563" t="s">
        <v>341</v>
      </c>
      <c r="P142" s="566" t="str">
        <f>VLOOKUP(A142,'[1]Raw data'!$B:$BB,23,FALSE)</f>
        <v>JPY</v>
      </c>
      <c r="Q142" s="563" t="str">
        <f>VLOOKUP(A142,'[1]Raw data'!$B:$Z,2,FALSE)</f>
        <v>C49SZX20180167DZ</v>
      </c>
      <c r="R142" s="563" t="str">
        <f>VLOOKUP(A142,'[1]Raw data'!$B:$Z,3,FALSE)</f>
        <v>朗特</v>
      </c>
      <c r="S142" s="563" t="str">
        <f>VLOOKUP(A142,'[1]Raw data'!$B:$Z,4,FALSE)</f>
        <v>YSM20R(SV)-2</v>
      </c>
      <c r="T142" s="563" t="str">
        <f>VLOOKUP(A142,'[1]Raw data'!$B:$Z,8,FALSE)</f>
        <v>R-&gt;L</v>
      </c>
      <c r="U142" s="563" t="str">
        <f>VLOOKUP(A142,'[1]Raw data'!$B:$Z,9,FALSE)</f>
        <v>No</v>
      </c>
      <c r="V142" s="567" t="str">
        <f t="shared" si="20"/>
        <v>OK</v>
      </c>
      <c r="W142" s="563" t="str">
        <f>VLOOKUP(A142,'[1]Raw data'!$B:$AG,32,FALSE)</f>
        <v>CIF</v>
      </c>
      <c r="X142" s="563">
        <f>VLOOKUP(A142,'[1]Raw data'!$B:$BA,31,FALSE)</f>
        <v>43413</v>
      </c>
      <c r="Y142" s="563" t="str">
        <f>VLOOKUP(A142,'[1]Raw data'!$B:$AS,39,FALSE)</f>
        <v>Yes</v>
      </c>
      <c r="Z142" s="568"/>
      <c r="AA142" s="569" t="s">
        <v>290</v>
      </c>
      <c r="AB142" s="570"/>
      <c r="AC142" s="563" t="s">
        <v>291</v>
      </c>
      <c r="AN142" s="542"/>
      <c r="AO142" s="824" t="str">
        <f t="shared" si="21"/>
        <v>Yes</v>
      </c>
      <c r="AP142" s="259" t="str">
        <f t="shared" si="22"/>
        <v>APR 19</v>
      </c>
      <c r="AQ142" s="542" t="str">
        <f t="shared" si="23"/>
        <v>有定金+有預留客戶</v>
      </c>
      <c r="AR142" s="259" t="str">
        <f t="shared" si="24"/>
        <v>Shipped_Stock</v>
      </c>
      <c r="AS142" s="259" t="str">
        <f t="shared" si="25"/>
        <v/>
      </c>
      <c r="AT142" s="259" t="str">
        <f t="shared" si="26"/>
        <v>朗特</v>
      </c>
      <c r="AU142" s="259" t="str">
        <f t="shared" si="27"/>
        <v>C49SZX20180167DZ</v>
      </c>
      <c r="AV142" s="259" t="str">
        <f t="shared" si="28"/>
        <v>Mar-22</v>
      </c>
    </row>
    <row r="143" spans="1:69" ht="15" hidden="1" customHeight="1">
      <c r="A143" s="559">
        <v>164</v>
      </c>
      <c r="B143" s="563" t="s">
        <v>280</v>
      </c>
      <c r="C143" s="560" t="s">
        <v>281</v>
      </c>
      <c r="D143" s="564">
        <v>109493</v>
      </c>
      <c r="E143" s="563" t="s">
        <v>454</v>
      </c>
      <c r="F143" s="563" t="s">
        <v>17</v>
      </c>
      <c r="G143" s="563" t="s">
        <v>18</v>
      </c>
      <c r="H143" s="563" t="s">
        <v>526</v>
      </c>
      <c r="I143" s="564" t="s">
        <v>527</v>
      </c>
      <c r="J143" s="564">
        <v>1</v>
      </c>
      <c r="K143" s="563" t="s">
        <v>388</v>
      </c>
      <c r="L143" s="565">
        <v>43546</v>
      </c>
      <c r="M143" s="566">
        <v>6.2E-2</v>
      </c>
      <c r="N143" s="563" t="s">
        <v>341</v>
      </c>
      <c r="O143" s="563"/>
      <c r="P143" s="566" t="str">
        <f>VLOOKUP(A143,'[1]Raw data'!$B:$BB,23,FALSE)</f>
        <v>JPY</v>
      </c>
      <c r="Q143" s="563" t="str">
        <f>VLOOKUP(A143,'[1]Raw data'!$B:$Z,2,FALSE)</f>
        <v>C49SZX20180167DZ</v>
      </c>
      <c r="R143" s="563" t="str">
        <f>VLOOKUP(A143,'[1]Raw data'!$B:$Z,3,FALSE)</f>
        <v>朗特</v>
      </c>
      <c r="S143" s="563" t="str">
        <f>VLOOKUP(A143,'[1]Raw data'!$B:$Z,4,FALSE)</f>
        <v>YSM10</v>
      </c>
      <c r="T143" s="563" t="str">
        <f>VLOOKUP(A143,'[1]Raw data'!$B:$Z,8,FALSE)</f>
        <v>R-&gt;L</v>
      </c>
      <c r="U143" s="563" t="str">
        <f>VLOOKUP(A143,'[1]Raw data'!$B:$Z,9,FALSE)</f>
        <v>MVC+Fixed feeder plate 24 positions</v>
      </c>
      <c r="V143" s="567" t="str">
        <f t="shared" si="20"/>
        <v>OK</v>
      </c>
      <c r="W143" s="563" t="str">
        <f>VLOOKUP(A143,'[1]Raw data'!$B:$AG,32,FALSE)</f>
        <v>CIF</v>
      </c>
      <c r="X143" s="563">
        <f>VLOOKUP(A143,'[1]Raw data'!$B:$BA,31,FALSE)</f>
        <v>43413</v>
      </c>
      <c r="Y143" s="563" t="str">
        <f>VLOOKUP(A143,'[1]Raw data'!$B:$AS,39,FALSE)</f>
        <v>Yes</v>
      </c>
      <c r="Z143" s="568"/>
      <c r="AA143" s="569" t="s">
        <v>290</v>
      </c>
      <c r="AB143" s="570"/>
      <c r="AC143" s="563" t="s">
        <v>291</v>
      </c>
      <c r="AN143" s="542"/>
      <c r="AO143" s="824" t="str">
        <f t="shared" si="21"/>
        <v>Yes</v>
      </c>
      <c r="AP143" s="259" t="str">
        <f t="shared" si="22"/>
        <v>APR 19</v>
      </c>
      <c r="AQ143" s="542" t="str">
        <f t="shared" si="23"/>
        <v>有定金+有預留客戶</v>
      </c>
      <c r="AR143" s="259" t="str">
        <f t="shared" si="24"/>
        <v>Shipped_Stock</v>
      </c>
      <c r="AS143" s="259" t="str">
        <f t="shared" si="25"/>
        <v/>
      </c>
      <c r="AT143" s="259" t="str">
        <f t="shared" si="26"/>
        <v>朗特</v>
      </c>
      <c r="AU143" s="259" t="str">
        <f t="shared" si="27"/>
        <v>C49SZX20180167DZ</v>
      </c>
      <c r="AV143" s="259" t="str">
        <f t="shared" si="28"/>
        <v>Mar-22</v>
      </c>
    </row>
    <row r="144" spans="1:69" ht="15" hidden="1" customHeight="1">
      <c r="A144" s="559">
        <v>165</v>
      </c>
      <c r="B144" s="563" t="s">
        <v>280</v>
      </c>
      <c r="C144" s="560" t="s">
        <v>281</v>
      </c>
      <c r="D144" s="564">
        <v>109493</v>
      </c>
      <c r="E144" s="563" t="s">
        <v>454</v>
      </c>
      <c r="F144" s="563" t="s">
        <v>17</v>
      </c>
      <c r="G144" s="563" t="s">
        <v>18</v>
      </c>
      <c r="H144" s="563" t="s">
        <v>526</v>
      </c>
      <c r="I144" s="564" t="s">
        <v>528</v>
      </c>
      <c r="J144" s="564">
        <v>1</v>
      </c>
      <c r="K144" s="563" t="s">
        <v>388</v>
      </c>
      <c r="L144" s="565">
        <v>43546</v>
      </c>
      <c r="M144" s="566">
        <v>6.2E-2</v>
      </c>
      <c r="N144" s="563" t="s">
        <v>341</v>
      </c>
      <c r="O144" s="563"/>
      <c r="P144" s="566" t="str">
        <f>VLOOKUP(A144,'[1]Raw data'!$B:$BB,23,FALSE)</f>
        <v>JPY</v>
      </c>
      <c r="Q144" s="563" t="str">
        <f>VLOOKUP(A144,'[1]Raw data'!$B:$Z,2,FALSE)</f>
        <v>C49SZX20180167DZ</v>
      </c>
      <c r="R144" s="563" t="str">
        <f>VLOOKUP(A144,'[1]Raw data'!$B:$Z,3,FALSE)</f>
        <v>朗特</v>
      </c>
      <c r="S144" s="563" t="str">
        <f>VLOOKUP(A144,'[1]Raw data'!$B:$Z,4,FALSE)</f>
        <v>YSM10</v>
      </c>
      <c r="T144" s="563" t="str">
        <f>VLOOKUP(A144,'[1]Raw data'!$B:$Z,8,FALSE)</f>
        <v>R-&gt;L</v>
      </c>
      <c r="U144" s="563" t="str">
        <f>VLOOKUP(A144,'[1]Raw data'!$B:$Z,9,FALSE)</f>
        <v>MVC+Fixed feeder plate 24 positions</v>
      </c>
      <c r="V144" s="567" t="str">
        <f t="shared" si="20"/>
        <v>OK</v>
      </c>
      <c r="W144" s="563" t="str">
        <f>VLOOKUP(A144,'[1]Raw data'!$B:$AG,32,FALSE)</f>
        <v>CIF</v>
      </c>
      <c r="X144" s="563">
        <f>VLOOKUP(A144,'[1]Raw data'!$B:$BA,31,FALSE)</f>
        <v>43413</v>
      </c>
      <c r="Y144" s="563" t="str">
        <f>VLOOKUP(A144,'[1]Raw data'!$B:$AS,39,FALSE)</f>
        <v>Yes</v>
      </c>
      <c r="Z144" s="568"/>
      <c r="AA144" s="569" t="s">
        <v>290</v>
      </c>
      <c r="AB144" s="570"/>
      <c r="AC144" s="563" t="s">
        <v>291</v>
      </c>
      <c r="AN144" s="542"/>
      <c r="AO144" s="824" t="str">
        <f t="shared" si="21"/>
        <v>Yes</v>
      </c>
      <c r="AP144" s="259" t="str">
        <f t="shared" si="22"/>
        <v>APR 19</v>
      </c>
      <c r="AQ144" s="542" t="str">
        <f t="shared" si="23"/>
        <v>有定金+有預留客戶</v>
      </c>
      <c r="AR144" s="259" t="str">
        <f t="shared" si="24"/>
        <v>Shipped_Stock</v>
      </c>
      <c r="AS144" s="259" t="str">
        <f t="shared" si="25"/>
        <v/>
      </c>
      <c r="AT144" s="259" t="str">
        <f t="shared" si="26"/>
        <v>朗特</v>
      </c>
      <c r="AU144" s="259" t="str">
        <f t="shared" si="27"/>
        <v>C49SZX20180167DZ</v>
      </c>
      <c r="AV144" s="259" t="str">
        <f t="shared" si="28"/>
        <v>Mar-22</v>
      </c>
    </row>
    <row r="145" spans="1:69" ht="15" hidden="1" customHeight="1">
      <c r="A145" s="559">
        <v>162</v>
      </c>
      <c r="B145" s="563" t="s">
        <v>280</v>
      </c>
      <c r="C145" s="560" t="s">
        <v>281</v>
      </c>
      <c r="D145" s="564">
        <v>109493</v>
      </c>
      <c r="E145" s="563" t="s">
        <v>454</v>
      </c>
      <c r="F145" s="563" t="s">
        <v>17</v>
      </c>
      <c r="G145" s="563" t="s">
        <v>18</v>
      </c>
      <c r="H145" s="563" t="s">
        <v>34</v>
      </c>
      <c r="I145" s="564" t="s">
        <v>529</v>
      </c>
      <c r="J145" s="564">
        <v>1</v>
      </c>
      <c r="K145" s="563" t="s">
        <v>388</v>
      </c>
      <c r="L145" s="565">
        <v>43546</v>
      </c>
      <c r="M145" s="566">
        <v>6.2E-2</v>
      </c>
      <c r="N145" s="563" t="s">
        <v>341</v>
      </c>
      <c r="O145" s="563"/>
      <c r="P145" s="566" t="str">
        <f>VLOOKUP(A145,'[1]Raw data'!$B:$BB,23,FALSE)</f>
        <v>JPY</v>
      </c>
      <c r="Q145" s="563" t="str">
        <f>VLOOKUP(A145,'[1]Raw data'!$B:$Z,2,FALSE)</f>
        <v>C49SZX20180167DZ</v>
      </c>
      <c r="R145" s="563" t="str">
        <f>VLOOKUP(A145,'[1]Raw data'!$B:$Z,3,FALSE)</f>
        <v>朗特</v>
      </c>
      <c r="S145" s="563" t="str">
        <f>VLOOKUP(A145,'[1]Raw data'!$B:$Z,4,FALSE)</f>
        <v>YSM10</v>
      </c>
      <c r="T145" s="563" t="str">
        <f>VLOOKUP(A145,'[1]Raw data'!$B:$Z,8,FALSE)</f>
        <v>R-&gt;L</v>
      </c>
      <c r="U145" s="563" t="str">
        <f>VLOOKUP(A145,'[1]Raw data'!$B:$Z,9,FALSE)</f>
        <v>MVC+ATS15</v>
      </c>
      <c r="V145" s="567" t="str">
        <f t="shared" si="20"/>
        <v>OK</v>
      </c>
      <c r="W145" s="563" t="str">
        <f>VLOOKUP(A145,'[1]Raw data'!$B:$AG,32,FALSE)</f>
        <v>CIF</v>
      </c>
      <c r="X145" s="563">
        <f>VLOOKUP(A145,'[1]Raw data'!$B:$BA,31,FALSE)</f>
        <v>43413</v>
      </c>
      <c r="Y145" s="563" t="str">
        <f>VLOOKUP(A145,'[1]Raw data'!$B:$AS,39,FALSE)</f>
        <v>Yes</v>
      </c>
      <c r="Z145" s="568"/>
      <c r="AA145" s="569" t="s">
        <v>290</v>
      </c>
      <c r="AB145" s="570"/>
      <c r="AC145" s="563" t="s">
        <v>291</v>
      </c>
      <c r="AN145" s="542"/>
      <c r="AO145" s="824" t="str">
        <f t="shared" si="21"/>
        <v>Yes</v>
      </c>
      <c r="AP145" s="259" t="str">
        <f t="shared" si="22"/>
        <v>APR 19</v>
      </c>
      <c r="AQ145" s="542" t="str">
        <f t="shared" si="23"/>
        <v>有定金+有預留客戶</v>
      </c>
      <c r="AR145" s="259" t="str">
        <f t="shared" si="24"/>
        <v>Shipped_Stock</v>
      </c>
      <c r="AS145" s="259" t="str">
        <f t="shared" si="25"/>
        <v/>
      </c>
      <c r="AT145" s="259" t="str">
        <f t="shared" si="26"/>
        <v>朗特</v>
      </c>
      <c r="AU145" s="259" t="str">
        <f t="shared" si="27"/>
        <v>C49SZX20180167DZ</v>
      </c>
      <c r="AV145" s="259" t="str">
        <f t="shared" si="28"/>
        <v>Mar-22</v>
      </c>
    </row>
    <row r="146" spans="1:69" ht="15" hidden="1" customHeight="1">
      <c r="A146" s="559">
        <v>163</v>
      </c>
      <c r="B146" s="563" t="s">
        <v>280</v>
      </c>
      <c r="C146" s="560" t="s">
        <v>281</v>
      </c>
      <c r="D146" s="564">
        <v>109493</v>
      </c>
      <c r="E146" s="563" t="s">
        <v>454</v>
      </c>
      <c r="F146" s="563" t="s">
        <v>17</v>
      </c>
      <c r="G146" s="563" t="s">
        <v>18</v>
      </c>
      <c r="H146" s="563" t="s">
        <v>34</v>
      </c>
      <c r="I146" s="564" t="s">
        <v>530</v>
      </c>
      <c r="J146" s="564">
        <v>1</v>
      </c>
      <c r="K146" s="563" t="s">
        <v>388</v>
      </c>
      <c r="L146" s="565">
        <v>43546</v>
      </c>
      <c r="M146" s="566">
        <v>6.2E-2</v>
      </c>
      <c r="N146" s="563" t="s">
        <v>341</v>
      </c>
      <c r="O146" s="563"/>
      <c r="P146" s="566" t="str">
        <f>VLOOKUP(A146,'[1]Raw data'!$B:$BB,23,FALSE)</f>
        <v>JPY</v>
      </c>
      <c r="Q146" s="563" t="str">
        <f>VLOOKUP(A146,'[1]Raw data'!$B:$Z,2,FALSE)</f>
        <v>C49SZX20180167DZ</v>
      </c>
      <c r="R146" s="563" t="str">
        <f>VLOOKUP(A146,'[1]Raw data'!$B:$Z,3,FALSE)</f>
        <v>朗特</v>
      </c>
      <c r="S146" s="563" t="str">
        <f>VLOOKUP(A146,'[1]Raw data'!$B:$Z,4,FALSE)</f>
        <v>YSM10</v>
      </c>
      <c r="T146" s="563" t="str">
        <f>VLOOKUP(A146,'[1]Raw data'!$B:$Z,8,FALSE)</f>
        <v>R-&gt;L</v>
      </c>
      <c r="U146" s="563" t="str">
        <f>VLOOKUP(A146,'[1]Raw data'!$B:$Z,9,FALSE)</f>
        <v>MVC+ATS15</v>
      </c>
      <c r="V146" s="567" t="str">
        <f t="shared" si="20"/>
        <v>OK</v>
      </c>
      <c r="W146" s="563" t="str">
        <f>VLOOKUP(A146,'[1]Raw data'!$B:$AG,32,FALSE)</f>
        <v>CIF</v>
      </c>
      <c r="X146" s="563">
        <f>VLOOKUP(A146,'[1]Raw data'!$B:$BA,31,FALSE)</f>
        <v>43413</v>
      </c>
      <c r="Y146" s="563" t="str">
        <f>VLOOKUP(A146,'[1]Raw data'!$B:$AS,39,FALSE)</f>
        <v>Yes</v>
      </c>
      <c r="Z146" s="568"/>
      <c r="AA146" s="569" t="s">
        <v>290</v>
      </c>
      <c r="AB146" s="570"/>
      <c r="AC146" s="563" t="s">
        <v>291</v>
      </c>
      <c r="AN146" s="542"/>
      <c r="AO146" s="824" t="str">
        <f t="shared" si="21"/>
        <v>Yes</v>
      </c>
      <c r="AP146" s="259" t="str">
        <f t="shared" si="22"/>
        <v>APR 19</v>
      </c>
      <c r="AQ146" s="542" t="str">
        <f t="shared" si="23"/>
        <v>有定金+有預留客戶</v>
      </c>
      <c r="AR146" s="259" t="str">
        <f t="shared" si="24"/>
        <v>Shipped_Stock</v>
      </c>
      <c r="AS146" s="259" t="str">
        <f t="shared" si="25"/>
        <v/>
      </c>
      <c r="AT146" s="259" t="str">
        <f t="shared" si="26"/>
        <v>朗特</v>
      </c>
      <c r="AU146" s="259" t="str">
        <f t="shared" si="27"/>
        <v>C49SZX20180167DZ</v>
      </c>
      <c r="AV146" s="259" t="str">
        <f t="shared" si="28"/>
        <v>Mar-22</v>
      </c>
    </row>
    <row r="147" spans="1:69" ht="15" hidden="1" customHeight="1">
      <c r="A147" s="559">
        <v>159</v>
      </c>
      <c r="B147" s="563" t="s">
        <v>280</v>
      </c>
      <c r="C147" s="560" t="s">
        <v>281</v>
      </c>
      <c r="D147" s="564">
        <v>109493</v>
      </c>
      <c r="E147" s="563" t="s">
        <v>454</v>
      </c>
      <c r="F147" s="563" t="s">
        <v>17</v>
      </c>
      <c r="G147" s="563" t="s">
        <v>18</v>
      </c>
      <c r="H147" s="563" t="s">
        <v>34</v>
      </c>
      <c r="I147" s="564" t="s">
        <v>531</v>
      </c>
      <c r="J147" s="564">
        <v>1</v>
      </c>
      <c r="K147" s="563" t="s">
        <v>388</v>
      </c>
      <c r="L147" s="565">
        <v>43546</v>
      </c>
      <c r="M147" s="566">
        <v>6.2E-2</v>
      </c>
      <c r="N147" s="563" t="s">
        <v>341</v>
      </c>
      <c r="O147" s="563"/>
      <c r="P147" s="566" t="str">
        <f>VLOOKUP(A147,'[1]Raw data'!$B:$BB,23,FALSE)</f>
        <v>JPY</v>
      </c>
      <c r="Q147" s="563" t="str">
        <f>VLOOKUP(A147,'[1]Raw data'!$B:$Z,2,FALSE)</f>
        <v>C49SZX20180167DZ</v>
      </c>
      <c r="R147" s="563" t="str">
        <f>VLOOKUP(A147,'[1]Raw data'!$B:$Z,3,FALSE)</f>
        <v>朗特</v>
      </c>
      <c r="S147" s="563" t="str">
        <f>VLOOKUP(A147,'[1]Raw data'!$B:$Z,4,FALSE)</f>
        <v>YSM10</v>
      </c>
      <c r="T147" s="563" t="str">
        <f>VLOOKUP(A147,'[1]Raw data'!$B:$Z,8,FALSE)</f>
        <v>R-&gt;L</v>
      </c>
      <c r="U147" s="563" t="str">
        <f>VLOOKUP(A147,'[1]Raw data'!$B:$Z,9,FALSE)</f>
        <v>MVC+ATS15</v>
      </c>
      <c r="V147" s="567" t="str">
        <f t="shared" si="20"/>
        <v>OK</v>
      </c>
      <c r="W147" s="563" t="str">
        <f>VLOOKUP(A147,'[1]Raw data'!$B:$AG,32,FALSE)</f>
        <v>CIF</v>
      </c>
      <c r="X147" s="563">
        <f>VLOOKUP(A147,'[1]Raw data'!$B:$BA,31,FALSE)</f>
        <v>43413</v>
      </c>
      <c r="Y147" s="563" t="str">
        <f>VLOOKUP(A147,'[1]Raw data'!$B:$AS,39,FALSE)</f>
        <v>Yes</v>
      </c>
      <c r="Z147" s="568"/>
      <c r="AA147" s="569" t="s">
        <v>290</v>
      </c>
      <c r="AB147" s="570"/>
      <c r="AC147" s="563" t="s">
        <v>291</v>
      </c>
      <c r="AN147" s="542"/>
      <c r="AO147" s="824" t="str">
        <f t="shared" si="21"/>
        <v>Yes</v>
      </c>
      <c r="AP147" s="259" t="str">
        <f t="shared" si="22"/>
        <v>APR 19</v>
      </c>
      <c r="AQ147" s="542" t="str">
        <f t="shared" si="23"/>
        <v>有定金+有預留客戶</v>
      </c>
      <c r="AR147" s="259" t="str">
        <f t="shared" si="24"/>
        <v>Shipped_Stock</v>
      </c>
      <c r="AS147" s="259" t="str">
        <f t="shared" si="25"/>
        <v/>
      </c>
      <c r="AT147" s="259" t="str">
        <f t="shared" si="26"/>
        <v>朗特</v>
      </c>
      <c r="AU147" s="259" t="str">
        <f t="shared" si="27"/>
        <v>C49SZX20180167DZ</v>
      </c>
      <c r="AV147" s="259" t="str">
        <f t="shared" si="28"/>
        <v>Mar-22</v>
      </c>
    </row>
    <row r="148" spans="1:69" ht="15" hidden="1" customHeight="1">
      <c r="A148" s="559">
        <v>160</v>
      </c>
      <c r="B148" s="563" t="s">
        <v>280</v>
      </c>
      <c r="C148" s="560" t="s">
        <v>281</v>
      </c>
      <c r="D148" s="564">
        <v>109493</v>
      </c>
      <c r="E148" s="563" t="s">
        <v>454</v>
      </c>
      <c r="F148" s="563" t="s">
        <v>17</v>
      </c>
      <c r="G148" s="563" t="s">
        <v>18</v>
      </c>
      <c r="H148" s="563" t="s">
        <v>34</v>
      </c>
      <c r="I148" s="564" t="s">
        <v>532</v>
      </c>
      <c r="J148" s="564">
        <v>1</v>
      </c>
      <c r="K148" s="563" t="s">
        <v>388</v>
      </c>
      <c r="L148" s="565">
        <v>43546</v>
      </c>
      <c r="M148" s="566">
        <v>6.2E-2</v>
      </c>
      <c r="N148" s="563" t="s">
        <v>341</v>
      </c>
      <c r="O148" s="563"/>
      <c r="P148" s="566" t="str">
        <f>VLOOKUP(A148,'[1]Raw data'!$B:$BB,23,FALSE)</f>
        <v>JPY</v>
      </c>
      <c r="Q148" s="563" t="str">
        <f>VLOOKUP(A148,'[1]Raw data'!$B:$Z,2,FALSE)</f>
        <v>C49SZX20180167DZ</v>
      </c>
      <c r="R148" s="563" t="str">
        <f>VLOOKUP(A148,'[1]Raw data'!$B:$Z,3,FALSE)</f>
        <v>朗特</v>
      </c>
      <c r="S148" s="563" t="str">
        <f>VLOOKUP(A148,'[1]Raw data'!$B:$Z,4,FALSE)</f>
        <v>YSM10</v>
      </c>
      <c r="T148" s="563" t="str">
        <f>VLOOKUP(A148,'[1]Raw data'!$B:$Z,8,FALSE)</f>
        <v>R-&gt;L</v>
      </c>
      <c r="U148" s="563" t="str">
        <f>VLOOKUP(A148,'[1]Raw data'!$B:$Z,9,FALSE)</f>
        <v>MVC+ATS15</v>
      </c>
      <c r="V148" s="567" t="str">
        <f t="shared" si="20"/>
        <v>OK</v>
      </c>
      <c r="W148" s="563" t="str">
        <f>VLOOKUP(A148,'[1]Raw data'!$B:$AG,32,FALSE)</f>
        <v>CIF</v>
      </c>
      <c r="X148" s="563">
        <f>VLOOKUP(A148,'[1]Raw data'!$B:$BA,31,FALSE)</f>
        <v>43413</v>
      </c>
      <c r="Y148" s="563" t="str">
        <f>VLOOKUP(A148,'[1]Raw data'!$B:$AS,39,FALSE)</f>
        <v>Yes</v>
      </c>
      <c r="Z148" s="568"/>
      <c r="AA148" s="569" t="s">
        <v>290</v>
      </c>
      <c r="AB148" s="570"/>
      <c r="AC148" s="563" t="s">
        <v>291</v>
      </c>
      <c r="AN148" s="542"/>
      <c r="AO148" s="824" t="str">
        <f t="shared" si="21"/>
        <v>Yes</v>
      </c>
      <c r="AP148" s="259" t="str">
        <f t="shared" si="22"/>
        <v>APR 19</v>
      </c>
      <c r="AQ148" s="542" t="str">
        <f t="shared" si="23"/>
        <v>有定金+有預留客戶</v>
      </c>
      <c r="AR148" s="259" t="str">
        <f t="shared" si="24"/>
        <v>Shipped_Stock</v>
      </c>
      <c r="AS148" s="259" t="str">
        <f t="shared" si="25"/>
        <v/>
      </c>
      <c r="AT148" s="259" t="str">
        <f t="shared" si="26"/>
        <v>朗特</v>
      </c>
      <c r="AU148" s="259" t="str">
        <f t="shared" si="27"/>
        <v>C49SZX20180167DZ</v>
      </c>
      <c r="AV148" s="259" t="str">
        <f t="shared" si="28"/>
        <v>Mar-22</v>
      </c>
    </row>
    <row r="149" spans="1:69" ht="15" hidden="1" customHeight="1">
      <c r="A149" s="559">
        <v>273</v>
      </c>
      <c r="B149" s="563" t="s">
        <v>280</v>
      </c>
      <c r="C149" s="560" t="s">
        <v>281</v>
      </c>
      <c r="D149" s="564">
        <v>109336</v>
      </c>
      <c r="E149" s="563" t="s">
        <v>533</v>
      </c>
      <c r="F149" s="563" t="s">
        <v>256</v>
      </c>
      <c r="G149" s="563" t="s">
        <v>24</v>
      </c>
      <c r="H149" s="563" t="s">
        <v>26</v>
      </c>
      <c r="I149" s="564" t="s">
        <v>534</v>
      </c>
      <c r="J149" s="564">
        <v>1</v>
      </c>
      <c r="K149" s="563" t="s">
        <v>285</v>
      </c>
      <c r="L149" s="565">
        <v>43558</v>
      </c>
      <c r="M149" s="566">
        <v>6.2E-2</v>
      </c>
      <c r="N149" s="563" t="s">
        <v>381</v>
      </c>
      <c r="P149" s="566" t="str">
        <f>VLOOKUP(A149,'[1]Raw data'!$B:$BB,23,FALSE)</f>
        <v>JPY</v>
      </c>
      <c r="Q149" s="563" t="str">
        <f>VLOOKUP(A149,'[1]Raw data'!$B:$Z,2,FALSE)</f>
        <v>C49SZX20190041JL</v>
      </c>
      <c r="R149" s="563" t="str">
        <f>VLOOKUP(A149,'[1]Raw data'!$B:$Z,3,FALSE)</f>
        <v>微力创/end user 昶达</v>
      </c>
      <c r="S149" s="563" t="str">
        <f>VLOOKUP(A149,'[1]Raw data'!$B:$Z,4,FALSE)</f>
        <v>YSM20R(SV)-2</v>
      </c>
      <c r="T149" s="563" t="str">
        <f>VLOOKUP(A149,'[1]Raw data'!$B:$Z,8,FALSE)</f>
        <v>L-&gt;R</v>
      </c>
      <c r="U149" s="563" t="str">
        <f>VLOOKUP(A149,'[1]Raw data'!$B:$Z,9,FALSE)</f>
        <v>No</v>
      </c>
      <c r="V149" s="567" t="str">
        <f t="shared" si="20"/>
        <v>OK</v>
      </c>
      <c r="W149" s="563" t="str">
        <f>VLOOKUP(A149,'[1]Raw data'!$B:$AG,32,FALSE)</f>
        <v>CIF HK</v>
      </c>
      <c r="X149" s="563">
        <f>VLOOKUP(A149,'[1]Raw data'!$B:$BA,31,FALSE)</f>
        <v>43550</v>
      </c>
      <c r="Y149" s="563" t="str">
        <f>VLOOKUP(A149,'[1]Raw data'!$B:$AS,39,FALSE)</f>
        <v>Yes</v>
      </c>
      <c r="Z149" s="568" t="s">
        <v>290</v>
      </c>
      <c r="AA149" s="569" t="s">
        <v>290</v>
      </c>
      <c r="AB149" s="570"/>
      <c r="AC149" s="563" t="s">
        <v>382</v>
      </c>
      <c r="AN149" s="542"/>
      <c r="AO149" s="824" t="str">
        <f t="shared" si="21"/>
        <v>Yes</v>
      </c>
      <c r="AP149" s="259" t="str">
        <f t="shared" si="22"/>
        <v>MAY 19</v>
      </c>
      <c r="AQ149" s="542" t="str">
        <f t="shared" si="23"/>
        <v>有定金+有預留客戶</v>
      </c>
      <c r="AR149" s="259" t="str">
        <f t="shared" si="24"/>
        <v>Shipped_Stock</v>
      </c>
      <c r="AS149" s="259" t="str">
        <f t="shared" si="25"/>
        <v/>
      </c>
      <c r="AT149" s="259" t="str">
        <f t="shared" si="26"/>
        <v>微力创/end user 昶达</v>
      </c>
      <c r="AU149" s="259" t="str">
        <f t="shared" si="27"/>
        <v>C49SZX20190041JL</v>
      </c>
      <c r="AV149" s="259" t="str">
        <f t="shared" si="28"/>
        <v>Apr-03</v>
      </c>
    </row>
    <row r="150" spans="1:69" ht="15" hidden="1" customHeight="1">
      <c r="A150" s="559">
        <v>287</v>
      </c>
      <c r="B150" s="563" t="s">
        <v>280</v>
      </c>
      <c r="C150" s="560" t="s">
        <v>281</v>
      </c>
      <c r="D150" s="564">
        <v>109336</v>
      </c>
      <c r="E150" s="563" t="s">
        <v>533</v>
      </c>
      <c r="F150" s="563" t="s">
        <v>256</v>
      </c>
      <c r="G150" s="563" t="s">
        <v>24</v>
      </c>
      <c r="H150" s="563" t="s">
        <v>26</v>
      </c>
      <c r="I150" s="564" t="s">
        <v>535</v>
      </c>
      <c r="J150" s="564">
        <v>1</v>
      </c>
      <c r="K150" s="563" t="s">
        <v>285</v>
      </c>
      <c r="L150" s="565">
        <v>43558</v>
      </c>
      <c r="M150" s="566">
        <v>6.2E-2</v>
      </c>
      <c r="N150" s="563" t="s">
        <v>381</v>
      </c>
      <c r="P150" s="566" t="str">
        <f>VLOOKUP(A150,'[1]Raw data'!$B:$BB,23,FALSE)</f>
        <v>JPY</v>
      </c>
      <c r="Q150" s="563" t="str">
        <f>VLOOKUP(A150,'[1]Raw data'!$B:$Z,2,FALSE)</f>
        <v>C49SZX20190056RW</v>
      </c>
      <c r="R150" s="563" t="str">
        <f>VLOOKUP(A150,'[1]Raw data'!$B:$Z,3,FALSE)</f>
        <v>富斯迈</v>
      </c>
      <c r="S150" s="563" t="str">
        <f>VLOOKUP(A150,'[1]Raw data'!$B:$Z,4,FALSE)</f>
        <v>YSM20R(SV)-2</v>
      </c>
      <c r="T150" s="563" t="str">
        <f>VLOOKUP(A150,'[1]Raw data'!$B:$Z,8,FALSE)</f>
        <v>L-&gt;R</v>
      </c>
      <c r="U150" s="563" t="str">
        <f>VLOOKUP(A150,'[1]Raw data'!$B:$Z,9,FALSE)</f>
        <v>MVC</v>
      </c>
      <c r="V150" s="567" t="str">
        <f t="shared" si="20"/>
        <v>WRONG</v>
      </c>
      <c r="W150" s="563" t="str">
        <f>VLOOKUP(A150,'[1]Raw data'!$B:$AG,32,FALSE)</f>
        <v>CIF HK</v>
      </c>
      <c r="X150" s="563">
        <f>VLOOKUP(A150,'[1]Raw data'!$B:$BA,31,FALSE)</f>
        <v>43572</v>
      </c>
      <c r="Y150" s="563" t="str">
        <f>VLOOKUP(A150,'[1]Raw data'!$B:$AS,39,FALSE)</f>
        <v>Yes</v>
      </c>
      <c r="Z150" s="568" t="s">
        <v>290</v>
      </c>
      <c r="AA150" s="569" t="s">
        <v>290</v>
      </c>
      <c r="AB150" s="570"/>
      <c r="AC150" s="563" t="s">
        <v>536</v>
      </c>
      <c r="AN150" s="542"/>
      <c r="AO150" s="824" t="str">
        <f t="shared" si="21"/>
        <v>Yes</v>
      </c>
      <c r="AP150" s="259" t="str">
        <f t="shared" si="22"/>
        <v>MAY 19</v>
      </c>
      <c r="AQ150" s="542" t="str">
        <f t="shared" si="23"/>
        <v>有定金+有預留客戶</v>
      </c>
      <c r="AR150" s="259" t="str">
        <f t="shared" si="24"/>
        <v>Shipped_Stock</v>
      </c>
      <c r="AS150" s="259" t="str">
        <f t="shared" si="25"/>
        <v/>
      </c>
      <c r="AT150" s="259" t="str">
        <f t="shared" si="26"/>
        <v>富斯迈</v>
      </c>
      <c r="AU150" s="259" t="str">
        <f t="shared" si="27"/>
        <v>C49SZX20190056RW</v>
      </c>
      <c r="AV150" s="259" t="str">
        <f t="shared" si="28"/>
        <v>Apr-03</v>
      </c>
    </row>
    <row r="151" spans="1:69" ht="15" hidden="1" customHeight="1">
      <c r="A151" s="559">
        <v>280</v>
      </c>
      <c r="B151" s="563" t="s">
        <v>280</v>
      </c>
      <c r="C151" s="560" t="s">
        <v>281</v>
      </c>
      <c r="D151" s="564">
        <v>109336</v>
      </c>
      <c r="E151" s="563" t="s">
        <v>533</v>
      </c>
      <c r="F151" s="563" t="s">
        <v>256</v>
      </c>
      <c r="G151" s="563" t="s">
        <v>24</v>
      </c>
      <c r="H151" s="563" t="s">
        <v>26</v>
      </c>
      <c r="I151" s="564" t="s">
        <v>537</v>
      </c>
      <c r="J151" s="564">
        <v>1</v>
      </c>
      <c r="K151" s="563" t="s">
        <v>285</v>
      </c>
      <c r="L151" s="565">
        <v>43558</v>
      </c>
      <c r="M151" s="566">
        <v>6.2E-2</v>
      </c>
      <c r="N151" s="563" t="s">
        <v>341</v>
      </c>
      <c r="P151" s="566" t="str">
        <f>VLOOKUP(A151,'[1]Raw data'!$B:$BB,23,FALSE)</f>
        <v>JPY</v>
      </c>
      <c r="Q151" s="563" t="str">
        <f>VLOOKUP(A151,'[1]Raw data'!$B:$Z,2,FALSE)</f>
        <v>C49SZX20190052SS</v>
      </c>
      <c r="R151" s="563" t="str">
        <f>VLOOKUP(A151,'[1]Raw data'!$B:$Z,3,FALSE)</f>
        <v>乐上</v>
      </c>
      <c r="S151" s="563" t="str">
        <f>VLOOKUP(A151,'[1]Raw data'!$B:$Z,4,FALSE)</f>
        <v>YSM20R(SV)-2</v>
      </c>
      <c r="T151" s="563" t="str">
        <f>VLOOKUP(A151,'[1]Raw data'!$B:$Z,8,FALSE)</f>
        <v>L-&gt;R</v>
      </c>
      <c r="U151" s="563" t="str">
        <f>VLOOKUP(A151,'[1]Raw data'!$B:$Z,9,FALSE)</f>
        <v>No</v>
      </c>
      <c r="V151" s="567" t="str">
        <f t="shared" si="20"/>
        <v>OK</v>
      </c>
      <c r="W151" s="563" t="str">
        <f>VLOOKUP(A151,'[1]Raw data'!$B:$AG,32,FALSE)</f>
        <v>DAP东莞</v>
      </c>
      <c r="X151" s="563">
        <f>VLOOKUP(A151,'[1]Raw data'!$B:$BA,31,FALSE)</f>
        <v>43567</v>
      </c>
      <c r="Y151" s="563" t="str">
        <f>VLOOKUP(A151,'[1]Raw data'!$B:$AS,39,FALSE)</f>
        <v>Yes</v>
      </c>
      <c r="Z151" s="568" t="s">
        <v>290</v>
      </c>
      <c r="AA151" s="569" t="s">
        <v>290</v>
      </c>
      <c r="AB151" s="570"/>
      <c r="AC151" s="563" t="s">
        <v>291</v>
      </c>
      <c r="AN151" s="542"/>
      <c r="AO151" s="824" t="str">
        <f t="shared" si="21"/>
        <v>Yes</v>
      </c>
      <c r="AP151" s="259" t="str">
        <f t="shared" si="22"/>
        <v>APR 19</v>
      </c>
      <c r="AQ151" s="542" t="str">
        <f t="shared" si="23"/>
        <v>有定金+有預留客戶</v>
      </c>
      <c r="AR151" s="259" t="str">
        <f t="shared" si="24"/>
        <v>Shipped_Stock</v>
      </c>
      <c r="AS151" s="259" t="str">
        <f t="shared" si="25"/>
        <v/>
      </c>
      <c r="AT151" s="259" t="str">
        <f t="shared" si="26"/>
        <v>乐上</v>
      </c>
      <c r="AU151" s="259" t="str">
        <f t="shared" si="27"/>
        <v>C49SZX20190052SS</v>
      </c>
      <c r="AV151" s="259" t="str">
        <f t="shared" si="28"/>
        <v>Apr-03</v>
      </c>
      <c r="AW151" s="837"/>
      <c r="AX151" s="837"/>
      <c r="AY151" s="837"/>
      <c r="AZ151" s="837"/>
      <c r="BA151" s="837"/>
      <c r="BB151" s="837"/>
      <c r="BC151" s="837"/>
      <c r="BD151" s="837"/>
      <c r="BE151" s="837"/>
      <c r="BF151" s="837"/>
      <c r="BG151" s="837"/>
      <c r="BH151" s="837"/>
      <c r="BI151" s="837"/>
      <c r="BJ151" s="837"/>
      <c r="BK151" s="837"/>
      <c r="BL151" s="837"/>
      <c r="BM151" s="837"/>
      <c r="BN151" s="837"/>
      <c r="BO151" s="837"/>
      <c r="BP151" s="837"/>
      <c r="BQ151" s="837"/>
    </row>
    <row r="152" spans="1:69" ht="15" hidden="1" customHeight="1">
      <c r="A152" s="559">
        <v>288</v>
      </c>
      <c r="B152" s="563" t="s">
        <v>280</v>
      </c>
      <c r="C152" s="560" t="s">
        <v>281</v>
      </c>
      <c r="D152" s="564">
        <v>109336</v>
      </c>
      <c r="E152" s="563" t="s">
        <v>533</v>
      </c>
      <c r="F152" s="563" t="s">
        <v>256</v>
      </c>
      <c r="G152" s="563" t="s">
        <v>24</v>
      </c>
      <c r="H152" s="563" t="s">
        <v>307</v>
      </c>
      <c r="I152" s="564" t="s">
        <v>538</v>
      </c>
      <c r="J152" s="564">
        <v>1</v>
      </c>
      <c r="K152" s="563" t="s">
        <v>285</v>
      </c>
      <c r="L152" s="565">
        <v>43558</v>
      </c>
      <c r="M152" s="566">
        <v>6.2E-2</v>
      </c>
      <c r="N152" s="563" t="s">
        <v>381</v>
      </c>
      <c r="P152" s="566" t="str">
        <f>VLOOKUP(A152,'[1]Raw data'!$B:$BB,23,FALSE)</f>
        <v>JPY</v>
      </c>
      <c r="Q152" s="563" t="str">
        <f>VLOOKUP(A152,'[1]Raw data'!$B:$Z,2,FALSE)</f>
        <v>C49SZX20190056RW</v>
      </c>
      <c r="R152" s="563" t="str">
        <f>VLOOKUP(A152,'[1]Raw data'!$B:$Z,3,FALSE)</f>
        <v>富斯迈</v>
      </c>
      <c r="S152" s="563" t="str">
        <f>VLOOKUP(A152,'[1]Raw data'!$B:$Z,4,FALSE)</f>
        <v>YSM20R(SV)-2</v>
      </c>
      <c r="T152" s="563" t="str">
        <f>VLOOKUP(A152,'[1]Raw data'!$B:$Z,8,FALSE)</f>
        <v>L-&gt;R</v>
      </c>
      <c r="U152" s="563" t="str">
        <f>VLOOKUP(A152,'[1]Raw data'!$B:$Z,9,FALSE)</f>
        <v>No</v>
      </c>
      <c r="V152" s="567" t="str">
        <f t="shared" si="20"/>
        <v>OK</v>
      </c>
      <c r="W152" s="563" t="str">
        <f>VLOOKUP(A152,'[1]Raw data'!$B:$AG,32,FALSE)</f>
        <v>CIF HK</v>
      </c>
      <c r="X152" s="563">
        <f>VLOOKUP(A152,'[1]Raw data'!$B:$BA,31,FALSE)</f>
        <v>43572</v>
      </c>
      <c r="Y152" s="563" t="str">
        <f>VLOOKUP(A152,'[1]Raw data'!$B:$AS,39,FALSE)</f>
        <v>Yes</v>
      </c>
      <c r="Z152" s="568" t="s">
        <v>290</v>
      </c>
      <c r="AA152" s="569" t="s">
        <v>290</v>
      </c>
      <c r="AB152" s="570"/>
      <c r="AC152" s="563" t="s">
        <v>536</v>
      </c>
      <c r="AN152" s="542"/>
      <c r="AO152" s="824" t="str">
        <f t="shared" si="21"/>
        <v>Yes</v>
      </c>
      <c r="AP152" s="259" t="str">
        <f t="shared" si="22"/>
        <v>MAY 19</v>
      </c>
      <c r="AQ152" s="542" t="str">
        <f t="shared" si="23"/>
        <v>有定金+有預留客戶</v>
      </c>
      <c r="AR152" s="259" t="str">
        <f t="shared" si="24"/>
        <v>Shipped_Stock</v>
      </c>
      <c r="AS152" s="259" t="str">
        <f t="shared" si="25"/>
        <v/>
      </c>
      <c r="AT152" s="259" t="str">
        <f t="shared" si="26"/>
        <v>富斯迈</v>
      </c>
      <c r="AU152" s="259" t="str">
        <f t="shared" si="27"/>
        <v>C49SZX20190056RW</v>
      </c>
      <c r="AV152" s="259" t="str">
        <f t="shared" si="28"/>
        <v>Apr-03</v>
      </c>
    </row>
    <row r="153" spans="1:69" ht="15" hidden="1" customHeight="1">
      <c r="A153" s="559">
        <v>315</v>
      </c>
      <c r="B153" s="563" t="s">
        <v>280</v>
      </c>
      <c r="C153" s="560" t="s">
        <v>281</v>
      </c>
      <c r="D153" s="564">
        <v>109336</v>
      </c>
      <c r="E153" s="563" t="s">
        <v>533</v>
      </c>
      <c r="F153" s="563" t="s">
        <v>256</v>
      </c>
      <c r="G153" s="563" t="s">
        <v>24</v>
      </c>
      <c r="H153" s="563" t="s">
        <v>26</v>
      </c>
      <c r="I153" s="564" t="s">
        <v>539</v>
      </c>
      <c r="J153" s="564">
        <v>1</v>
      </c>
      <c r="K153" s="563" t="s">
        <v>285</v>
      </c>
      <c r="L153" s="565">
        <v>43558</v>
      </c>
      <c r="M153" s="566">
        <v>6.2E-2</v>
      </c>
      <c r="N153" s="563" t="s">
        <v>325</v>
      </c>
      <c r="O153" s="564">
        <v>2019.03</v>
      </c>
      <c r="P153" s="566" t="str">
        <f>VLOOKUP(A153,'[1]Raw data'!$B:$BB,23,FALSE)</f>
        <v>JPY</v>
      </c>
      <c r="Q153" s="563" t="str">
        <f>VLOOKUP(A153,'[1]Raw data'!$B:$Z,2,FALSE)</f>
        <v>C49SZX20190069KW</v>
      </c>
      <c r="R153" s="563" t="str">
        <f>VLOOKUP(A153,'[1]Raw data'!$B:$Z,3,FALSE)</f>
        <v>同基</v>
      </c>
      <c r="S153" s="563" t="str">
        <f>VLOOKUP(A153,'[1]Raw data'!$B:$Z,4,FALSE)</f>
        <v>YSM20R(SV)-2</v>
      </c>
      <c r="T153" s="563" t="str">
        <f>VLOOKUP(A153,'[1]Raw data'!$B:$Z,8,FALSE)</f>
        <v>L-&gt;R</v>
      </c>
      <c r="U153" s="563" t="str">
        <f>VLOOKUP(A153,'[1]Raw data'!$B:$Z,9,FALSE)</f>
        <v>No</v>
      </c>
      <c r="V153" s="567" t="str">
        <f t="shared" si="20"/>
        <v>OK</v>
      </c>
      <c r="W153" s="563" t="str">
        <f>VLOOKUP(A153,'[1]Raw data'!$B:$AG,32,FALSE)</f>
        <v>CIF HK</v>
      </c>
      <c r="X153" s="563">
        <f>VLOOKUP(A153,'[1]Raw data'!$B:$BA,31,FALSE)</f>
        <v>43593</v>
      </c>
      <c r="Y153" s="563" t="str">
        <f>VLOOKUP(A153,'[1]Raw data'!$B:$AS,39,FALSE)</f>
        <v>Yes</v>
      </c>
      <c r="Z153" s="568" t="s">
        <v>290</v>
      </c>
      <c r="AA153" s="569" t="s">
        <v>290</v>
      </c>
      <c r="AB153" s="570"/>
      <c r="AC153" s="563" t="s">
        <v>540</v>
      </c>
      <c r="AN153" s="542"/>
      <c r="AO153" s="824" t="str">
        <f t="shared" si="21"/>
        <v>Yes</v>
      </c>
      <c r="AP153" s="259" t="str">
        <f t="shared" si="22"/>
        <v>JUL 19</v>
      </c>
      <c r="AQ153" s="542" t="str">
        <f t="shared" si="23"/>
        <v>有定金+有預留客戶</v>
      </c>
      <c r="AR153" s="259" t="str">
        <f t="shared" si="24"/>
        <v>Shipped_Stock</v>
      </c>
      <c r="AS153" s="259" t="str">
        <f t="shared" si="25"/>
        <v/>
      </c>
      <c r="AT153" s="259" t="str">
        <f t="shared" si="26"/>
        <v>同基</v>
      </c>
      <c r="AU153" s="259" t="str">
        <f t="shared" si="27"/>
        <v>C49SZX20190069KW</v>
      </c>
      <c r="AV153" s="259" t="str">
        <f t="shared" si="28"/>
        <v>Apr-03</v>
      </c>
    </row>
    <row r="154" spans="1:69" ht="15" hidden="1" customHeight="1">
      <c r="A154" s="559">
        <v>307</v>
      </c>
      <c r="B154" s="563" t="s">
        <v>280</v>
      </c>
      <c r="C154" s="560" t="s">
        <v>281</v>
      </c>
      <c r="D154" s="564">
        <v>109336</v>
      </c>
      <c r="E154" s="563" t="s">
        <v>533</v>
      </c>
      <c r="F154" s="563" t="s">
        <v>256</v>
      </c>
      <c r="G154" s="563" t="s">
        <v>24</v>
      </c>
      <c r="H154" s="563" t="s">
        <v>26</v>
      </c>
      <c r="I154" s="564" t="s">
        <v>541</v>
      </c>
      <c r="J154" s="564">
        <v>1</v>
      </c>
      <c r="K154" s="563" t="s">
        <v>285</v>
      </c>
      <c r="L154" s="565">
        <v>43558</v>
      </c>
      <c r="M154" s="566">
        <v>6.2E-2</v>
      </c>
      <c r="N154" s="563" t="s">
        <v>325</v>
      </c>
      <c r="O154" s="564">
        <v>2019.03</v>
      </c>
      <c r="P154" s="566" t="str">
        <f>VLOOKUP(A154,'[1]Raw data'!$B:$BB,23,FALSE)</f>
        <v>JPY</v>
      </c>
      <c r="Q154" s="563" t="str">
        <f>VLOOKUP(A154,'[1]Raw data'!$B:$Z,2,FALSE)</f>
        <v>C49SZX20190069KW</v>
      </c>
      <c r="R154" s="563" t="str">
        <f>VLOOKUP(A154,'[1]Raw data'!$B:$Z,3,FALSE)</f>
        <v>同基</v>
      </c>
      <c r="S154" s="563" t="str">
        <f>VLOOKUP(A154,'[1]Raw data'!$B:$Z,4,FALSE)</f>
        <v>YSM20R(SV)-2</v>
      </c>
      <c r="T154" s="563" t="str">
        <f>VLOOKUP(A154,'[1]Raw data'!$B:$Z,8,FALSE)</f>
        <v>L-&gt;R</v>
      </c>
      <c r="U154" s="563" t="str">
        <f>VLOOKUP(A154,'[1]Raw data'!$B:$Z,9,FALSE)</f>
        <v>No</v>
      </c>
      <c r="V154" s="567" t="str">
        <f t="shared" ref="V154:V185" si="29">IF(G154&amp;H154=T154&amp;U154,"OK","WRONG")</f>
        <v>OK</v>
      </c>
      <c r="W154" s="563" t="str">
        <f>VLOOKUP(A154,'[1]Raw data'!$B:$AG,32,FALSE)</f>
        <v>CIF HK</v>
      </c>
      <c r="X154" s="563">
        <f>VLOOKUP(A154,'[1]Raw data'!$B:$BA,31,FALSE)</f>
        <v>43593</v>
      </c>
      <c r="Y154" s="563" t="str">
        <f>VLOOKUP(A154,'[1]Raw data'!$B:$AS,39,FALSE)</f>
        <v>Yes</v>
      </c>
      <c r="Z154" s="568" t="s">
        <v>290</v>
      </c>
      <c r="AA154" s="569" t="s">
        <v>290</v>
      </c>
      <c r="AB154" s="570"/>
      <c r="AC154" s="563" t="s">
        <v>540</v>
      </c>
      <c r="AN154" s="542"/>
      <c r="AO154" s="824" t="str">
        <f t="shared" si="21"/>
        <v>Yes</v>
      </c>
      <c r="AP154" s="259" t="str">
        <f t="shared" si="22"/>
        <v>JUL 19</v>
      </c>
      <c r="AQ154" s="542" t="str">
        <f t="shared" si="23"/>
        <v>有定金+有預留客戶</v>
      </c>
      <c r="AR154" s="259" t="str">
        <f t="shared" si="24"/>
        <v>Shipped_Stock</v>
      </c>
      <c r="AS154" s="259" t="str">
        <f t="shared" si="25"/>
        <v/>
      </c>
      <c r="AT154" s="259" t="str">
        <f t="shared" si="26"/>
        <v>同基</v>
      </c>
      <c r="AU154" s="259" t="str">
        <f t="shared" si="27"/>
        <v>C49SZX20190069KW</v>
      </c>
      <c r="AV154" s="259" t="str">
        <f t="shared" si="28"/>
        <v>Apr-03</v>
      </c>
      <c r="AW154" s="837"/>
      <c r="AX154" s="837"/>
      <c r="AY154" s="837"/>
      <c r="AZ154" s="837"/>
      <c r="BA154" s="837"/>
      <c r="BB154" s="837"/>
      <c r="BC154" s="837"/>
      <c r="BD154" s="837"/>
      <c r="BE154" s="837"/>
      <c r="BF154" s="837"/>
      <c r="BG154" s="837"/>
      <c r="BH154" s="837"/>
      <c r="BI154" s="837"/>
      <c r="BJ154" s="837"/>
      <c r="BK154" s="837"/>
      <c r="BL154" s="837"/>
      <c r="BM154" s="837"/>
      <c r="BN154" s="837"/>
      <c r="BO154" s="837"/>
      <c r="BP154" s="837"/>
      <c r="BQ154" s="837"/>
    </row>
    <row r="155" spans="1:69" ht="15" hidden="1" customHeight="1">
      <c r="A155" s="559">
        <v>305</v>
      </c>
      <c r="B155" s="563" t="s">
        <v>280</v>
      </c>
      <c r="C155" s="560" t="s">
        <v>281</v>
      </c>
      <c r="D155" s="564">
        <v>109336</v>
      </c>
      <c r="E155" s="563" t="s">
        <v>533</v>
      </c>
      <c r="F155" s="563" t="s">
        <v>256</v>
      </c>
      <c r="G155" s="563" t="s">
        <v>24</v>
      </c>
      <c r="H155" s="563" t="s">
        <v>26</v>
      </c>
      <c r="I155" s="564" t="s">
        <v>542</v>
      </c>
      <c r="J155" s="564">
        <v>1</v>
      </c>
      <c r="K155" s="563" t="s">
        <v>285</v>
      </c>
      <c r="L155" s="565">
        <v>43558</v>
      </c>
      <c r="M155" s="566">
        <v>6.2E-2</v>
      </c>
      <c r="N155" s="563" t="s">
        <v>325</v>
      </c>
      <c r="O155" s="564">
        <v>2019.03</v>
      </c>
      <c r="P155" s="566" t="str">
        <f>VLOOKUP(A155,'[1]Raw data'!$B:$BB,23,FALSE)</f>
        <v>JPY</v>
      </c>
      <c r="Q155" s="563" t="str">
        <f>VLOOKUP(A155,'[1]Raw data'!$B:$Z,2,FALSE)</f>
        <v>C49SZX20190069KW</v>
      </c>
      <c r="R155" s="563" t="str">
        <f>VLOOKUP(A155,'[1]Raw data'!$B:$Z,3,FALSE)</f>
        <v>同基</v>
      </c>
      <c r="S155" s="563" t="str">
        <f>VLOOKUP(A155,'[1]Raw data'!$B:$Z,4,FALSE)</f>
        <v>YSM20R(SV)-2</v>
      </c>
      <c r="T155" s="563" t="str">
        <f>VLOOKUP(A155,'[1]Raw data'!$B:$Z,8,FALSE)</f>
        <v>L-&gt;R</v>
      </c>
      <c r="U155" s="563" t="str">
        <f>VLOOKUP(A155,'[1]Raw data'!$B:$Z,9,FALSE)</f>
        <v>No</v>
      </c>
      <c r="V155" s="567" t="str">
        <f t="shared" si="29"/>
        <v>OK</v>
      </c>
      <c r="W155" s="563" t="str">
        <f>VLOOKUP(A155,'[1]Raw data'!$B:$AG,32,FALSE)</f>
        <v>CIF HK</v>
      </c>
      <c r="X155" s="563">
        <f>VLOOKUP(A155,'[1]Raw data'!$B:$BA,31,FALSE)</f>
        <v>43593</v>
      </c>
      <c r="Y155" s="563" t="str">
        <f>VLOOKUP(A155,'[1]Raw data'!$B:$AS,39,FALSE)</f>
        <v>Yes</v>
      </c>
      <c r="Z155" s="568" t="s">
        <v>290</v>
      </c>
      <c r="AA155" s="569" t="s">
        <v>290</v>
      </c>
      <c r="AB155" s="570"/>
      <c r="AC155" s="563" t="s">
        <v>540</v>
      </c>
      <c r="AN155" s="542"/>
      <c r="AO155" s="824" t="str">
        <f t="shared" si="21"/>
        <v>Yes</v>
      </c>
      <c r="AP155" s="259" t="str">
        <f t="shared" si="22"/>
        <v>JUL 19</v>
      </c>
      <c r="AQ155" s="542" t="str">
        <f t="shared" si="23"/>
        <v>有定金+有預留客戶</v>
      </c>
      <c r="AR155" s="259" t="str">
        <f t="shared" si="24"/>
        <v>Shipped_Stock</v>
      </c>
      <c r="AS155" s="259" t="str">
        <f t="shared" si="25"/>
        <v/>
      </c>
      <c r="AT155" s="259" t="str">
        <f t="shared" si="26"/>
        <v>同基</v>
      </c>
      <c r="AU155" s="259" t="str">
        <f t="shared" si="27"/>
        <v>C49SZX20190069KW</v>
      </c>
      <c r="AV155" s="259" t="str">
        <f t="shared" si="28"/>
        <v>Apr-03</v>
      </c>
    </row>
    <row r="156" spans="1:69" ht="15" hidden="1" customHeight="1">
      <c r="A156" s="559">
        <v>306</v>
      </c>
      <c r="B156" s="563" t="s">
        <v>280</v>
      </c>
      <c r="C156" s="560" t="s">
        <v>281</v>
      </c>
      <c r="D156" s="564">
        <v>109336</v>
      </c>
      <c r="E156" s="563" t="s">
        <v>533</v>
      </c>
      <c r="F156" s="563" t="s">
        <v>256</v>
      </c>
      <c r="G156" s="563" t="s">
        <v>24</v>
      </c>
      <c r="H156" s="563" t="s">
        <v>26</v>
      </c>
      <c r="I156" s="564" t="s">
        <v>543</v>
      </c>
      <c r="J156" s="564">
        <v>1</v>
      </c>
      <c r="K156" s="563" t="s">
        <v>285</v>
      </c>
      <c r="L156" s="565">
        <v>43558</v>
      </c>
      <c r="M156" s="566">
        <v>6.2E-2</v>
      </c>
      <c r="N156" s="563" t="s">
        <v>325</v>
      </c>
      <c r="O156" s="564">
        <v>2019.03</v>
      </c>
      <c r="P156" s="566" t="str">
        <f>VLOOKUP(A156,'[1]Raw data'!$B:$BB,23,FALSE)</f>
        <v>JPY</v>
      </c>
      <c r="Q156" s="563" t="str">
        <f>VLOOKUP(A156,'[1]Raw data'!$B:$Z,2,FALSE)</f>
        <v>C49SZX20190069KW</v>
      </c>
      <c r="R156" s="563" t="str">
        <f>VLOOKUP(A156,'[1]Raw data'!$B:$Z,3,FALSE)</f>
        <v>同基</v>
      </c>
      <c r="S156" s="563" t="str">
        <f>VLOOKUP(A156,'[1]Raw data'!$B:$Z,4,FALSE)</f>
        <v>YSM20R(SV)-2</v>
      </c>
      <c r="T156" s="563" t="str">
        <f>VLOOKUP(A156,'[1]Raw data'!$B:$Z,8,FALSE)</f>
        <v>L-&gt;R</v>
      </c>
      <c r="U156" s="563" t="str">
        <f>VLOOKUP(A156,'[1]Raw data'!$B:$Z,9,FALSE)</f>
        <v>No</v>
      </c>
      <c r="V156" s="567" t="str">
        <f t="shared" si="29"/>
        <v>OK</v>
      </c>
      <c r="W156" s="563" t="str">
        <f>VLOOKUP(A156,'[1]Raw data'!$B:$AG,32,FALSE)</f>
        <v>CIF HK</v>
      </c>
      <c r="X156" s="563">
        <f>VLOOKUP(A156,'[1]Raw data'!$B:$BA,31,FALSE)</f>
        <v>43593</v>
      </c>
      <c r="Y156" s="563" t="str">
        <f>VLOOKUP(A156,'[1]Raw data'!$B:$AS,39,FALSE)</f>
        <v>Yes</v>
      </c>
      <c r="Z156" s="568" t="s">
        <v>290</v>
      </c>
      <c r="AA156" s="569" t="s">
        <v>290</v>
      </c>
      <c r="AB156" s="570"/>
      <c r="AC156" s="563" t="s">
        <v>540</v>
      </c>
      <c r="AN156" s="542"/>
      <c r="AO156" s="824" t="str">
        <f t="shared" si="21"/>
        <v>Yes</v>
      </c>
      <c r="AP156" s="259" t="str">
        <f t="shared" si="22"/>
        <v>JUL 19</v>
      </c>
      <c r="AQ156" s="542" t="str">
        <f t="shared" si="23"/>
        <v>有定金+有預留客戶</v>
      </c>
      <c r="AR156" s="259" t="str">
        <f t="shared" si="24"/>
        <v>Shipped_Stock</v>
      </c>
      <c r="AS156" s="259" t="str">
        <f t="shared" si="25"/>
        <v/>
      </c>
      <c r="AT156" s="259" t="str">
        <f t="shared" si="26"/>
        <v>同基</v>
      </c>
      <c r="AU156" s="259" t="str">
        <f t="shared" si="27"/>
        <v>C49SZX20190069KW</v>
      </c>
      <c r="AV156" s="259" t="str">
        <f t="shared" si="28"/>
        <v>Apr-03</v>
      </c>
    </row>
    <row r="157" spans="1:69" ht="15" hidden="1" customHeight="1">
      <c r="A157" s="559">
        <v>367</v>
      </c>
      <c r="B157" s="563" t="s">
        <v>280</v>
      </c>
      <c r="C157" s="560" t="s">
        <v>281</v>
      </c>
      <c r="D157" s="564">
        <v>109336</v>
      </c>
      <c r="E157" s="563" t="s">
        <v>533</v>
      </c>
      <c r="F157" s="563" t="s">
        <v>256</v>
      </c>
      <c r="G157" s="563" t="s">
        <v>24</v>
      </c>
      <c r="H157" s="563" t="s">
        <v>26</v>
      </c>
      <c r="I157" s="564" t="s">
        <v>544</v>
      </c>
      <c r="J157" s="564">
        <v>1</v>
      </c>
      <c r="K157" s="563" t="s">
        <v>285</v>
      </c>
      <c r="L157" s="565">
        <v>43558</v>
      </c>
      <c r="M157" s="566">
        <v>6.2E-2</v>
      </c>
      <c r="N157" s="563" t="s">
        <v>325</v>
      </c>
      <c r="O157" s="564">
        <v>2019.03</v>
      </c>
      <c r="P157" s="566" t="str">
        <f>VLOOKUP(A157,'[1]Raw data'!$B:$BB,23,FALSE)</f>
        <v>RMB</v>
      </c>
      <c r="Q157" s="563" t="str">
        <f>VLOOKUP(A157,'[1]Raw data'!$B:$Z,2,FALSE)</f>
        <v>C49SZX20190108ZX</v>
      </c>
      <c r="R157" s="563" t="str">
        <f>VLOOKUP(A157,'[1]Raw data'!$B:$Z,3,FALSE)</f>
        <v>帝泰克</v>
      </c>
      <c r="S157" s="563" t="str">
        <f>VLOOKUP(A157,'[1]Raw data'!$B:$Z,4,FALSE)</f>
        <v>YSM20R(SV)-2</v>
      </c>
      <c r="T157" s="563" t="str">
        <f>VLOOKUP(A157,'[1]Raw data'!$B:$Z,8,FALSE)</f>
        <v>L-&gt;R</v>
      </c>
      <c r="U157" s="563" t="str">
        <f>VLOOKUP(A157,'[1]Raw data'!$B:$Z,9,FALSE)</f>
        <v>No</v>
      </c>
      <c r="V157" s="567" t="str">
        <f t="shared" si="29"/>
        <v>OK</v>
      </c>
      <c r="W157" s="563" t="str">
        <f>VLOOKUP(A157,'[1]Raw data'!$B:$AG,32,FALSE)</f>
        <v>含税到厂</v>
      </c>
      <c r="X157" s="563">
        <f>VLOOKUP(A157,'[1]Raw data'!$B:$BA,31,FALSE)</f>
        <v>43580</v>
      </c>
      <c r="Y157" s="563" t="str">
        <f>VLOOKUP(A157,'[1]Raw data'!$B:$AS,39,FALSE)</f>
        <v>Yes</v>
      </c>
      <c r="Z157" s="568" t="s">
        <v>290</v>
      </c>
      <c r="AA157" s="569" t="s">
        <v>290</v>
      </c>
      <c r="AB157" s="570"/>
      <c r="AC157" s="563" t="s">
        <v>545</v>
      </c>
      <c r="AN157" s="542"/>
      <c r="AO157" s="824" t="str">
        <f t="shared" si="21"/>
        <v>Yes</v>
      </c>
      <c r="AP157" s="259" t="str">
        <f t="shared" si="22"/>
        <v>JUL 19</v>
      </c>
      <c r="AQ157" s="542" t="str">
        <f t="shared" si="23"/>
        <v>有定金+有預留客戶</v>
      </c>
      <c r="AR157" s="259" t="str">
        <f t="shared" si="24"/>
        <v>Shipped_Stock</v>
      </c>
      <c r="AS157" s="259" t="str">
        <f t="shared" si="25"/>
        <v/>
      </c>
      <c r="AT157" s="259" t="str">
        <f t="shared" si="26"/>
        <v>帝泰克</v>
      </c>
      <c r="AU157" s="259" t="str">
        <f t="shared" si="27"/>
        <v>C49SZX20190108ZX</v>
      </c>
      <c r="AV157" s="259" t="str">
        <f t="shared" si="28"/>
        <v>Apr-03</v>
      </c>
    </row>
    <row r="158" spans="1:69" ht="15" hidden="1" customHeight="1">
      <c r="A158" s="559">
        <v>368</v>
      </c>
      <c r="B158" s="563" t="s">
        <v>280</v>
      </c>
      <c r="C158" s="560" t="s">
        <v>281</v>
      </c>
      <c r="D158" s="564">
        <v>109336</v>
      </c>
      <c r="E158" s="563" t="s">
        <v>533</v>
      </c>
      <c r="F158" s="563" t="s">
        <v>256</v>
      </c>
      <c r="G158" s="563" t="s">
        <v>24</v>
      </c>
      <c r="H158" s="563" t="s">
        <v>26</v>
      </c>
      <c r="I158" s="564" t="s">
        <v>546</v>
      </c>
      <c r="J158" s="564">
        <v>1</v>
      </c>
      <c r="K158" s="563" t="s">
        <v>285</v>
      </c>
      <c r="L158" s="565">
        <v>43558</v>
      </c>
      <c r="M158" s="566">
        <v>6.2E-2</v>
      </c>
      <c r="N158" s="563" t="s">
        <v>325</v>
      </c>
      <c r="O158" s="564">
        <v>2019.03</v>
      </c>
      <c r="P158" s="566" t="str">
        <f>VLOOKUP(A158,'[1]Raw data'!$B:$BB,23,FALSE)</f>
        <v>RMB</v>
      </c>
      <c r="Q158" s="563" t="str">
        <f>VLOOKUP(A158,'[1]Raw data'!$B:$Z,2,FALSE)</f>
        <v>C49SZX20190108ZX</v>
      </c>
      <c r="R158" s="563" t="str">
        <f>VLOOKUP(A158,'[1]Raw data'!$B:$Z,3,FALSE)</f>
        <v>帝泰克</v>
      </c>
      <c r="S158" s="563" t="str">
        <f>VLOOKUP(A158,'[1]Raw data'!$B:$Z,4,FALSE)</f>
        <v>YSM20R(SV)-2</v>
      </c>
      <c r="T158" s="563" t="str">
        <f>VLOOKUP(A158,'[1]Raw data'!$B:$Z,8,FALSE)</f>
        <v>L-&gt;R</v>
      </c>
      <c r="U158" s="563" t="str">
        <f>VLOOKUP(A158,'[1]Raw data'!$B:$Z,9,FALSE)</f>
        <v>No</v>
      </c>
      <c r="V158" s="567" t="str">
        <f t="shared" si="29"/>
        <v>OK</v>
      </c>
      <c r="W158" s="563" t="str">
        <f>VLOOKUP(A158,'[1]Raw data'!$B:$AG,32,FALSE)</f>
        <v>含税到厂</v>
      </c>
      <c r="X158" s="563">
        <f>VLOOKUP(A158,'[1]Raw data'!$B:$BA,31,FALSE)</f>
        <v>43580</v>
      </c>
      <c r="Y158" s="563" t="str">
        <f>VLOOKUP(A158,'[1]Raw data'!$B:$AS,39,FALSE)</f>
        <v>Yes</v>
      </c>
      <c r="Z158" s="568" t="s">
        <v>290</v>
      </c>
      <c r="AA158" s="569" t="s">
        <v>290</v>
      </c>
      <c r="AB158" s="570"/>
      <c r="AC158" s="563" t="s">
        <v>545</v>
      </c>
      <c r="AN158" s="542"/>
      <c r="AO158" s="824" t="str">
        <f t="shared" si="21"/>
        <v>Yes</v>
      </c>
      <c r="AP158" s="259" t="str">
        <f t="shared" si="22"/>
        <v>JUL 19</v>
      </c>
      <c r="AQ158" s="542" t="str">
        <f t="shared" si="23"/>
        <v>有定金+有預留客戶</v>
      </c>
      <c r="AR158" s="259" t="str">
        <f t="shared" si="24"/>
        <v>Shipped_Stock</v>
      </c>
      <c r="AS158" s="259" t="str">
        <f t="shared" si="25"/>
        <v/>
      </c>
      <c r="AT158" s="259" t="str">
        <f t="shared" si="26"/>
        <v>帝泰克</v>
      </c>
      <c r="AU158" s="259" t="str">
        <f t="shared" si="27"/>
        <v>C49SZX20190108ZX</v>
      </c>
      <c r="AV158" s="259" t="str">
        <f t="shared" si="28"/>
        <v>Apr-03</v>
      </c>
    </row>
    <row r="159" spans="1:69" ht="15" hidden="1" customHeight="1">
      <c r="A159" s="559">
        <v>201</v>
      </c>
      <c r="B159" s="563" t="s">
        <v>280</v>
      </c>
      <c r="C159" s="560" t="s">
        <v>281</v>
      </c>
      <c r="D159" s="589">
        <v>109294</v>
      </c>
      <c r="E159" s="584" t="s">
        <v>547</v>
      </c>
      <c r="F159" s="563" t="s">
        <v>256</v>
      </c>
      <c r="G159" s="563" t="s">
        <v>24</v>
      </c>
      <c r="H159" s="563" t="s">
        <v>26</v>
      </c>
      <c r="I159" s="589" t="s">
        <v>548</v>
      </c>
      <c r="J159" s="589">
        <v>1</v>
      </c>
      <c r="K159" s="563" t="s">
        <v>285</v>
      </c>
      <c r="L159" s="590">
        <v>43560</v>
      </c>
      <c r="M159" s="566">
        <v>6.2E-2</v>
      </c>
      <c r="N159" s="563" t="s">
        <v>404</v>
      </c>
      <c r="P159" s="566" t="str">
        <f>VLOOKUP(A159,'[1]Raw data'!$B:$BB,23,FALSE)</f>
        <v>JPY</v>
      </c>
      <c r="Q159" s="563" t="str">
        <f>VLOOKUP(A159,'[1]Raw data'!$B:$Z,2,FALSE)</f>
        <v>C49SZX20190001JY</v>
      </c>
      <c r="R159" s="563" t="str">
        <f>VLOOKUP(A159,'[1]Raw data'!$B:$Z,3,FALSE)</f>
        <v>Kingtron络鑫</v>
      </c>
      <c r="S159" s="563" t="str">
        <f>VLOOKUP(A159,'[1]Raw data'!$B:$Z,4,FALSE)</f>
        <v>YSM20R(SV)-2</v>
      </c>
      <c r="T159" s="563" t="str">
        <f>VLOOKUP(A159,'[1]Raw data'!$B:$Z,8,FALSE)</f>
        <v>L-&gt;R</v>
      </c>
      <c r="U159" s="563" t="str">
        <f>VLOOKUP(A159,'[1]Raw data'!$B:$Z,9,FALSE)</f>
        <v>No</v>
      </c>
      <c r="V159" s="567" t="str">
        <f t="shared" si="29"/>
        <v>OK</v>
      </c>
      <c r="W159" s="563" t="str">
        <f>VLOOKUP(A159,'[1]Raw data'!$B:$AG,32,FALSE)</f>
        <v>CIF HK</v>
      </c>
      <c r="X159" s="563">
        <f>VLOOKUP(A159,'[1]Raw data'!$B:$BA,31,FALSE)</f>
        <v>43473</v>
      </c>
      <c r="Y159" s="563" t="str">
        <f>VLOOKUP(A159,'[1]Raw data'!$B:$AS,39,FALSE)</f>
        <v>Yes</v>
      </c>
      <c r="Z159" s="569" t="s">
        <v>329</v>
      </c>
      <c r="AA159" s="569" t="s">
        <v>329</v>
      </c>
      <c r="AB159" s="591"/>
      <c r="AC159" s="563" t="s">
        <v>439</v>
      </c>
      <c r="AD159" s="592"/>
      <c r="AE159" s="592"/>
      <c r="AF159" s="592"/>
      <c r="AG159" s="592"/>
      <c r="AH159" s="592"/>
      <c r="AI159" s="593"/>
      <c r="AJ159" s="592"/>
      <c r="AK159" s="592"/>
      <c r="AL159" s="592"/>
      <c r="AM159" s="592"/>
      <c r="AN159" s="542"/>
      <c r="AO159" s="824" t="str">
        <f t="shared" si="21"/>
        <v>Yes</v>
      </c>
      <c r="AP159" s="259" t="str">
        <f t="shared" si="22"/>
        <v>JUN 19</v>
      </c>
      <c r="AQ159" s="542" t="str">
        <f t="shared" si="23"/>
        <v>有定金+有預留客戶</v>
      </c>
      <c r="AR159" s="259" t="str">
        <f t="shared" si="24"/>
        <v>Shipped_Stock</v>
      </c>
      <c r="AS159" s="259" t="str">
        <f t="shared" si="25"/>
        <v/>
      </c>
      <c r="AT159" s="259" t="str">
        <f t="shared" si="26"/>
        <v>Kingtron络鑫</v>
      </c>
      <c r="AU159" s="259" t="str">
        <f t="shared" si="27"/>
        <v>C49SZX20190001JY</v>
      </c>
      <c r="AV159" s="259" t="str">
        <f t="shared" si="28"/>
        <v>Apr-05</v>
      </c>
    </row>
    <row r="160" spans="1:69" ht="15" hidden="1" customHeight="1">
      <c r="A160" s="559">
        <v>171</v>
      </c>
      <c r="B160" s="563" t="s">
        <v>280</v>
      </c>
      <c r="C160" s="560" t="s">
        <v>281</v>
      </c>
      <c r="D160" s="589">
        <v>109294</v>
      </c>
      <c r="E160" s="584" t="s">
        <v>547</v>
      </c>
      <c r="F160" s="563" t="s">
        <v>256</v>
      </c>
      <c r="G160" s="563" t="s">
        <v>24</v>
      </c>
      <c r="H160" s="563" t="s">
        <v>26</v>
      </c>
      <c r="I160" s="589" t="s">
        <v>549</v>
      </c>
      <c r="J160" s="589">
        <v>1</v>
      </c>
      <c r="K160" s="563" t="s">
        <v>285</v>
      </c>
      <c r="L160" s="590">
        <v>43560</v>
      </c>
      <c r="M160" s="566">
        <v>6.2E-2</v>
      </c>
      <c r="N160" s="563" t="s">
        <v>325</v>
      </c>
      <c r="O160" s="564">
        <v>2019.03</v>
      </c>
      <c r="P160" s="566" t="str">
        <f>VLOOKUP(A160,'[1]Raw data'!$B:$BB,23,FALSE)</f>
        <v>JPY</v>
      </c>
      <c r="Q160" s="563" t="str">
        <f>VLOOKUP(A160,'[1]Raw data'!$B:$Z,2,FALSE)</f>
        <v>C49SZX20180154JL</v>
      </c>
      <c r="R160" s="563" t="str">
        <f>VLOOKUP(A160,'[1]Raw data'!$B:$Z,3,FALSE)</f>
        <v>奥晨</v>
      </c>
      <c r="S160" s="563" t="str">
        <f>VLOOKUP(A160,'[1]Raw data'!$B:$Z,4,FALSE)</f>
        <v>YSM20-2</v>
      </c>
      <c r="T160" s="563" t="str">
        <f>VLOOKUP(A160,'[1]Raw data'!$B:$Z,8,FALSE)</f>
        <v>L-&gt;R</v>
      </c>
      <c r="U160" s="563" t="str">
        <f>VLOOKUP(A160,'[1]Raw data'!$B:$Z,9,FALSE)</f>
        <v>No</v>
      </c>
      <c r="V160" s="567" t="str">
        <f t="shared" si="29"/>
        <v>OK</v>
      </c>
      <c r="W160" s="563" t="str">
        <f>VLOOKUP(A160,'[1]Raw data'!$B:$AG,32,FALSE)</f>
        <v>DAP东莞</v>
      </c>
      <c r="X160" s="563">
        <f>VLOOKUP(A160,'[1]Raw data'!$B:$BA,31,FALSE)</f>
        <v>43388</v>
      </c>
      <c r="Y160" s="563" t="str">
        <f>VLOOKUP(A160,'[1]Raw data'!$B:$AS,39,FALSE)</f>
        <v>Yes</v>
      </c>
      <c r="Z160" s="569" t="s">
        <v>329</v>
      </c>
      <c r="AA160" s="569" t="s">
        <v>329</v>
      </c>
      <c r="AB160" s="591"/>
      <c r="AC160" s="584" t="s">
        <v>338</v>
      </c>
      <c r="AD160" s="592"/>
      <c r="AE160" s="592"/>
      <c r="AF160" s="592"/>
      <c r="AG160" s="592"/>
      <c r="AH160" s="592"/>
      <c r="AI160" s="593"/>
      <c r="AJ160" s="592"/>
      <c r="AK160" s="592"/>
      <c r="AL160" s="592"/>
      <c r="AM160" s="592"/>
      <c r="AN160" s="542"/>
      <c r="AO160" s="824" t="str">
        <f t="shared" si="21"/>
        <v>Yes</v>
      </c>
      <c r="AP160" s="259" t="str">
        <f t="shared" si="22"/>
        <v>JUL 19</v>
      </c>
      <c r="AQ160" s="542" t="str">
        <f t="shared" si="23"/>
        <v>有定金+有預留客戶</v>
      </c>
      <c r="AR160" s="259" t="str">
        <f t="shared" si="24"/>
        <v>Shipped_Stock</v>
      </c>
      <c r="AS160" s="259" t="str">
        <f t="shared" si="25"/>
        <v/>
      </c>
      <c r="AT160" s="259" t="str">
        <f t="shared" si="26"/>
        <v>奥晨</v>
      </c>
      <c r="AU160" s="259" t="str">
        <f t="shared" si="27"/>
        <v>C49SZX20180154JL</v>
      </c>
      <c r="AV160" s="259" t="str">
        <f t="shared" si="28"/>
        <v>Apr-05</v>
      </c>
    </row>
    <row r="161" spans="1:69" ht="15" hidden="1" customHeight="1">
      <c r="A161" s="559" t="s">
        <v>550</v>
      </c>
      <c r="B161" s="563" t="s">
        <v>280</v>
      </c>
      <c r="C161" s="563" t="s">
        <v>4013</v>
      </c>
      <c r="D161" s="564">
        <v>109532</v>
      </c>
      <c r="E161" s="563" t="s">
        <v>236</v>
      </c>
      <c r="F161" s="563" t="s">
        <v>551</v>
      </c>
      <c r="G161" s="563" t="s">
        <v>18</v>
      </c>
      <c r="H161" s="563" t="s">
        <v>26</v>
      </c>
      <c r="I161" s="564" t="s">
        <v>552</v>
      </c>
      <c r="J161" s="564">
        <v>1</v>
      </c>
      <c r="K161" s="563" t="s">
        <v>285</v>
      </c>
      <c r="L161" s="565">
        <v>43560</v>
      </c>
      <c r="M161" s="566">
        <v>6.2E-2</v>
      </c>
      <c r="N161" s="563" t="s">
        <v>286</v>
      </c>
      <c r="O161" s="563">
        <v>2019.03</v>
      </c>
      <c r="P161" s="566" t="e">
        <f>VLOOKUP(A161,'[1]Raw data'!$B:$BB,23,FALSE)</f>
        <v>#N/A</v>
      </c>
      <c r="Q161" s="563" t="e">
        <f>VLOOKUP(A161,'[1]Raw data'!$B:$Z,2,FALSE)</f>
        <v>#N/A</v>
      </c>
      <c r="R161" s="563" t="e">
        <f>VLOOKUP(A161,'[1]Raw data'!$B:$Z,3,FALSE)</f>
        <v>#N/A</v>
      </c>
      <c r="S161" s="563" t="e">
        <f>VLOOKUP(A161,'[1]Raw data'!$B:$Z,4,FALSE)</f>
        <v>#N/A</v>
      </c>
      <c r="T161" s="563" t="e">
        <f>VLOOKUP(A161,'[1]Raw data'!$B:$Z,8,FALSE)</f>
        <v>#N/A</v>
      </c>
      <c r="U161" s="563" t="e">
        <f>VLOOKUP(A161,'[1]Raw data'!$B:$Z,9,FALSE)</f>
        <v>#N/A</v>
      </c>
      <c r="V161" s="567" t="e">
        <f t="shared" si="29"/>
        <v>#N/A</v>
      </c>
      <c r="W161" s="563" t="e">
        <f>VLOOKUP(A161,'[1]Raw data'!$B:$AG,32,FALSE)</f>
        <v>#N/A</v>
      </c>
      <c r="X161" s="563" t="e">
        <f>VLOOKUP(A161,'[1]Raw data'!$B:$BA,31,FALSE)</f>
        <v>#N/A</v>
      </c>
      <c r="Y161" s="563" t="e">
        <f>VLOOKUP(A161,'[1]Raw data'!$B:$AS,39,FALSE)</f>
        <v>#N/A</v>
      </c>
      <c r="Z161" s="568" t="s">
        <v>329</v>
      </c>
      <c r="AA161" s="569" t="s">
        <v>497</v>
      </c>
      <c r="AB161" s="570"/>
      <c r="AC161" s="563" t="s">
        <v>498</v>
      </c>
      <c r="AN161" s="542"/>
      <c r="AO161" s="824" t="str">
        <f t="shared" si="21"/>
        <v>No</v>
      </c>
      <c r="AP161" s="259" t="str">
        <f t="shared" si="22"/>
        <v>DEC 19</v>
      </c>
      <c r="AQ161" s="542" t="str">
        <f t="shared" si="23"/>
        <v>无定金+有預留客戶</v>
      </c>
      <c r="AR161" s="259" t="str">
        <f t="shared" si="24"/>
        <v>Shipped_Stock</v>
      </c>
      <c r="AS161" s="259" t="str">
        <f t="shared" si="25"/>
        <v/>
      </c>
      <c r="AT161" s="259" t="str">
        <f t="shared" si="26"/>
        <v>-</v>
      </c>
      <c r="AU161" s="259" t="str">
        <f t="shared" si="27"/>
        <v>-</v>
      </c>
      <c r="AV161" s="259" t="str">
        <f t="shared" si="28"/>
        <v>Apr-05</v>
      </c>
    </row>
    <row r="162" spans="1:69" ht="15" hidden="1" customHeight="1">
      <c r="A162" s="559">
        <v>544</v>
      </c>
      <c r="B162" s="563" t="s">
        <v>280</v>
      </c>
      <c r="C162" s="563" t="s">
        <v>4013</v>
      </c>
      <c r="D162" s="564">
        <v>109532</v>
      </c>
      <c r="E162" s="563" t="s">
        <v>236</v>
      </c>
      <c r="F162" s="563" t="s">
        <v>551</v>
      </c>
      <c r="G162" s="563" t="s">
        <v>18</v>
      </c>
      <c r="H162" s="563" t="s">
        <v>26</v>
      </c>
      <c r="I162" s="564" t="s">
        <v>553</v>
      </c>
      <c r="J162" s="564">
        <v>1</v>
      </c>
      <c r="K162" s="563" t="s">
        <v>285</v>
      </c>
      <c r="L162" s="565">
        <v>43560</v>
      </c>
      <c r="M162" s="576">
        <v>6.2E-2</v>
      </c>
      <c r="N162" s="563" t="s">
        <v>554</v>
      </c>
      <c r="O162" s="563">
        <v>2019.03</v>
      </c>
      <c r="P162" s="566" t="str">
        <f>VLOOKUP(A162,'[1]Raw data'!$B:$BB,23,FALSE)</f>
        <v>JPY</v>
      </c>
      <c r="Q162" s="563" t="str">
        <f>VLOOKUP(A162,'[1]Raw data'!$B:$Z,2,FALSE)</f>
        <v>C28SZX20190098YY</v>
      </c>
      <c r="R162" s="563" t="str">
        <f>VLOOKUP(A162,'[1]Raw data'!$B:$Z,3,FALSE)</f>
        <v>嘉裕</v>
      </c>
      <c r="S162" s="563" t="str">
        <f>VLOOKUP(A162,'[1]Raw data'!$B:$Z,4,FALSE)</f>
        <v>YCP10</v>
      </c>
      <c r="T162" s="563" t="str">
        <f>VLOOKUP(A162,'[1]Raw data'!$B:$Z,8,FALSE)</f>
        <v>L-&gt;R</v>
      </c>
      <c r="U162" s="563" t="str">
        <f>VLOOKUP(A162,'[1]Raw data'!$B:$Z,9,FALSE)</f>
        <v>No</v>
      </c>
      <c r="V162" s="567" t="str">
        <f t="shared" si="29"/>
        <v>WRONG</v>
      </c>
      <c r="W162" s="563" t="str">
        <f>VLOOKUP(A162,'[1]Raw data'!$B:$AG,32,FALSE)</f>
        <v>CIF HK</v>
      </c>
      <c r="X162" s="563">
        <f>VLOOKUP(A162,'[1]Raw data'!$B:$BA,31,FALSE)</f>
        <v>43795</v>
      </c>
      <c r="Y162" s="563" t="str">
        <f>VLOOKUP(A162,'[1]Raw data'!$B:$AS,39,FALSE)</f>
        <v>Yes</v>
      </c>
      <c r="AC162" s="563" t="s">
        <v>555</v>
      </c>
      <c r="AN162" s="542"/>
      <c r="AO162" s="824" t="str">
        <f t="shared" si="21"/>
        <v>Yes</v>
      </c>
      <c r="AP162" s="259" t="str">
        <f t="shared" si="22"/>
        <v>APR 20</v>
      </c>
      <c r="AQ162" s="542" t="str">
        <f t="shared" si="23"/>
        <v>有定金+有預留客戶</v>
      </c>
      <c r="AR162" s="259" t="str">
        <f t="shared" si="24"/>
        <v>Shipped_Stock</v>
      </c>
      <c r="AS162" s="259" t="str">
        <f t="shared" si="25"/>
        <v/>
      </c>
      <c r="AT162" s="259" t="str">
        <f t="shared" si="26"/>
        <v>嘉裕</v>
      </c>
      <c r="AU162" s="259" t="str">
        <f t="shared" si="27"/>
        <v>C28SZX20190098YY</v>
      </c>
      <c r="AV162" s="259" t="str">
        <f t="shared" si="28"/>
        <v>Apr-05</v>
      </c>
    </row>
    <row r="163" spans="1:69" ht="15" hidden="1" customHeight="1">
      <c r="A163" s="559">
        <v>385</v>
      </c>
      <c r="B163" s="563" t="s">
        <v>280</v>
      </c>
      <c r="C163" s="560" t="s">
        <v>281</v>
      </c>
      <c r="D163" s="564">
        <v>109294</v>
      </c>
      <c r="E163" s="563" t="s">
        <v>556</v>
      </c>
      <c r="F163" s="563" t="s">
        <v>256</v>
      </c>
      <c r="G163" s="563" t="s">
        <v>24</v>
      </c>
      <c r="H163" s="563" t="s">
        <v>26</v>
      </c>
      <c r="I163" s="564" t="s">
        <v>557</v>
      </c>
      <c r="J163" s="564">
        <v>1</v>
      </c>
      <c r="K163" s="563" t="s">
        <v>295</v>
      </c>
      <c r="L163" s="590">
        <v>43560</v>
      </c>
      <c r="M163" s="566">
        <v>6.2E-2</v>
      </c>
      <c r="N163" s="563" t="s">
        <v>417</v>
      </c>
      <c r="O163" s="564">
        <v>2019.03</v>
      </c>
      <c r="P163" s="566" t="str">
        <f>VLOOKUP(A163,'[1]Raw data'!$B:$BB,23,FALSE)</f>
        <v>RMB</v>
      </c>
      <c r="Q163" s="563" t="str">
        <f>VLOOKUP(A163,'[1]Raw data'!$B:$Z,2,FALSE)</f>
        <v>C49SZX20190118R1SS</v>
      </c>
      <c r="R163" s="563" t="str">
        <f>VLOOKUP(A163,'[1]Raw data'!$B:$Z,3,FALSE)</f>
        <v>鼎鸿</v>
      </c>
      <c r="S163" s="563" t="str">
        <f>VLOOKUP(A163,'[1]Raw data'!$B:$Z,4,FALSE)</f>
        <v>YSM20R(SV)-2</v>
      </c>
      <c r="T163" s="563" t="str">
        <f>VLOOKUP(A163,'[1]Raw data'!$B:$Z,8,FALSE)</f>
        <v>L-&gt;R</v>
      </c>
      <c r="U163" s="563" t="str">
        <f>VLOOKUP(A163,'[1]Raw data'!$B:$Z,9,FALSE)</f>
        <v>No</v>
      </c>
      <c r="V163" s="567" t="str">
        <f t="shared" si="29"/>
        <v>OK</v>
      </c>
      <c r="W163" s="563" t="str">
        <f>VLOOKUP(A163,'[1]Raw data'!$B:$AG,32,FALSE)</f>
        <v>含税到厂</v>
      </c>
      <c r="X163" s="563">
        <f>VLOOKUP(A163,'[1]Raw data'!$B:$BA,31,FALSE)</f>
        <v>43691</v>
      </c>
      <c r="Y163" s="563" t="str">
        <f>VLOOKUP(A163,'[1]Raw data'!$B:$AS,39,FALSE)</f>
        <v>Yes</v>
      </c>
      <c r="Z163" s="568" t="s">
        <v>329</v>
      </c>
      <c r="AA163" s="569" t="s">
        <v>329</v>
      </c>
      <c r="AB163" s="570"/>
      <c r="AC163" s="563" t="s">
        <v>558</v>
      </c>
      <c r="AN163" s="542"/>
      <c r="AO163" s="824" t="str">
        <f t="shared" si="21"/>
        <v>Yes</v>
      </c>
      <c r="AP163" s="259" t="str">
        <f t="shared" si="22"/>
        <v>AUG 19</v>
      </c>
      <c r="AQ163" s="542" t="str">
        <f t="shared" si="23"/>
        <v>有定金+有預留客戶</v>
      </c>
      <c r="AR163" s="259" t="str">
        <f t="shared" si="24"/>
        <v>Shipped_Stock</v>
      </c>
      <c r="AS163" s="259" t="str">
        <f t="shared" si="25"/>
        <v/>
      </c>
      <c r="AT163" s="259" t="str">
        <f t="shared" si="26"/>
        <v>鼎鸿</v>
      </c>
      <c r="AU163" s="259" t="str">
        <f t="shared" si="27"/>
        <v>C49SZX20190118R1SS</v>
      </c>
      <c r="AV163" s="259" t="str">
        <f t="shared" si="28"/>
        <v>Apr-05</v>
      </c>
    </row>
    <row r="164" spans="1:69" ht="15" hidden="1" customHeight="1">
      <c r="A164" s="559">
        <v>395</v>
      </c>
      <c r="B164" s="563" t="s">
        <v>280</v>
      </c>
      <c r="C164" s="560" t="s">
        <v>281</v>
      </c>
      <c r="D164" s="564">
        <v>109294</v>
      </c>
      <c r="E164" s="563" t="s">
        <v>556</v>
      </c>
      <c r="F164" s="563" t="s">
        <v>256</v>
      </c>
      <c r="G164" s="563" t="s">
        <v>24</v>
      </c>
      <c r="H164" s="563" t="s">
        <v>26</v>
      </c>
      <c r="I164" s="564" t="s">
        <v>559</v>
      </c>
      <c r="J164" s="564">
        <v>1</v>
      </c>
      <c r="K164" s="563" t="s">
        <v>295</v>
      </c>
      <c r="L164" s="590">
        <v>43560</v>
      </c>
      <c r="M164" s="566">
        <v>6.2E-2</v>
      </c>
      <c r="N164" s="563" t="s">
        <v>320</v>
      </c>
      <c r="O164" s="564">
        <v>2019.03</v>
      </c>
      <c r="P164" s="566" t="str">
        <f>VLOOKUP(A164,'[1]Raw data'!$B:$BB,23,FALSE)</f>
        <v>RMB</v>
      </c>
      <c r="Q164" s="563" t="str">
        <f>VLOOKUP(A164,'[1]Raw data'!$B:$Z,2,FALSE)</f>
        <v>C49SZX20190119SX</v>
      </c>
      <c r="R164" s="563" t="str">
        <f>VLOOKUP(A164,'[1]Raw data'!$B:$Z,3,FALSE)</f>
        <v>太美亚</v>
      </c>
      <c r="S164" s="563" t="str">
        <f>VLOOKUP(A164,'[1]Raw data'!$B:$Z,4,FALSE)</f>
        <v>YSM20R(SV)-2</v>
      </c>
      <c r="T164" s="563" t="str">
        <f>VLOOKUP(A164,'[1]Raw data'!$B:$Z,8,FALSE)</f>
        <v>L-&gt;R</v>
      </c>
      <c r="U164" s="563" t="str">
        <f>VLOOKUP(A164,'[1]Raw data'!$B:$Z,9,FALSE)</f>
        <v>No</v>
      </c>
      <c r="V164" s="567" t="str">
        <f t="shared" si="29"/>
        <v>OK</v>
      </c>
      <c r="W164" s="563" t="str">
        <f>VLOOKUP(A164,'[1]Raw data'!$B:$AG,32,FALSE)</f>
        <v>含税到厂</v>
      </c>
      <c r="X164" s="563">
        <f>VLOOKUP(A164,'[1]Raw data'!$B:$BA,31,FALSE)</f>
        <v>43693</v>
      </c>
      <c r="Y164" s="563" t="str">
        <f>VLOOKUP(A164,'[1]Raw data'!$B:$AS,39,FALSE)</f>
        <v>Yes</v>
      </c>
      <c r="Z164" s="568" t="s">
        <v>329</v>
      </c>
      <c r="AA164" s="569" t="s">
        <v>329</v>
      </c>
      <c r="AB164" s="570"/>
      <c r="AC164" s="563" t="s">
        <v>476</v>
      </c>
      <c r="AN164" s="542"/>
      <c r="AO164" s="824" t="str">
        <f t="shared" si="21"/>
        <v>Yes</v>
      </c>
      <c r="AP164" s="259" t="str">
        <f t="shared" si="22"/>
        <v>SEP 19</v>
      </c>
      <c r="AQ164" s="542" t="str">
        <f t="shared" si="23"/>
        <v>有定金+有預留客戶</v>
      </c>
      <c r="AR164" s="259" t="str">
        <f t="shared" si="24"/>
        <v>Shipped_Stock</v>
      </c>
      <c r="AS164" s="259" t="str">
        <f t="shared" si="25"/>
        <v/>
      </c>
      <c r="AT164" s="259" t="str">
        <f t="shared" si="26"/>
        <v>太美亚</v>
      </c>
      <c r="AU164" s="259" t="str">
        <f t="shared" si="27"/>
        <v>C49SZX20190119SX</v>
      </c>
      <c r="AV164" s="259" t="str">
        <f t="shared" si="28"/>
        <v>Apr-05</v>
      </c>
    </row>
    <row r="165" spans="1:69" ht="15" hidden="1" customHeight="1">
      <c r="A165" s="559">
        <v>356</v>
      </c>
      <c r="B165" s="563" t="s">
        <v>280</v>
      </c>
      <c r="C165" s="560" t="s">
        <v>281</v>
      </c>
      <c r="D165" s="564">
        <v>109344</v>
      </c>
      <c r="E165" s="563" t="s">
        <v>236</v>
      </c>
      <c r="F165" s="563" t="s">
        <v>17</v>
      </c>
      <c r="G165" s="563" t="s">
        <v>24</v>
      </c>
      <c r="H165" s="563" t="s">
        <v>34</v>
      </c>
      <c r="I165" s="564" t="s">
        <v>560</v>
      </c>
      <c r="J165" s="564">
        <v>1</v>
      </c>
      <c r="K165" s="563" t="s">
        <v>295</v>
      </c>
      <c r="L165" s="565">
        <v>43565</v>
      </c>
      <c r="M165" s="566">
        <v>6.2E-2</v>
      </c>
      <c r="N165" s="563" t="s">
        <v>325</v>
      </c>
      <c r="O165" s="563"/>
      <c r="P165" s="566" t="str">
        <f>VLOOKUP(A165,'[1]Raw data'!$B:$BB,23,FALSE)</f>
        <v>RMB</v>
      </c>
      <c r="Q165" s="563" t="str">
        <f>VLOOKUP(A165,'[1]Raw data'!$B:$Z,2,FALSE)</f>
        <v>C49SZX20190100SX</v>
      </c>
      <c r="R165" s="563" t="str">
        <f>VLOOKUP(A165,'[1]Raw data'!$B:$Z,3,FALSE)</f>
        <v>永顺创</v>
      </c>
      <c r="S165" s="563" t="str">
        <f>VLOOKUP(A165,'[1]Raw data'!$B:$Z,4,FALSE)</f>
        <v>YSM10</v>
      </c>
      <c r="T165" s="563" t="str">
        <f>VLOOKUP(A165,'[1]Raw data'!$B:$Z,8,FALSE)</f>
        <v>L-&gt;R</v>
      </c>
      <c r="U165" s="563" t="str">
        <f>VLOOKUP(A165,'[1]Raw data'!$B:$Z,9,FALSE)</f>
        <v>MVC+ATS15</v>
      </c>
      <c r="V165" s="567" t="str">
        <f t="shared" si="29"/>
        <v>OK</v>
      </c>
      <c r="W165" s="563" t="str">
        <f>VLOOKUP(A165,'[1]Raw data'!$B:$AG,32,FALSE)</f>
        <v>含税到厂</v>
      </c>
      <c r="X165" s="563">
        <f>VLOOKUP(A165,'[1]Raw data'!$B:$BA,31,FALSE)</f>
        <v>43633</v>
      </c>
      <c r="Y165" s="563" t="str">
        <f>VLOOKUP(A165,'[1]Raw data'!$B:$AS,39,FALSE)</f>
        <v>Yes</v>
      </c>
      <c r="Z165" s="568" t="s">
        <v>290</v>
      </c>
      <c r="AA165" s="569" t="s">
        <v>290</v>
      </c>
      <c r="AB165" s="570"/>
      <c r="AC165" s="563" t="s">
        <v>561</v>
      </c>
      <c r="AN165" s="588"/>
      <c r="AO165" s="824" t="str">
        <f t="shared" si="21"/>
        <v>Yes</v>
      </c>
      <c r="AP165" s="259" t="str">
        <f t="shared" si="22"/>
        <v>JUL 19</v>
      </c>
      <c r="AQ165" s="542" t="str">
        <f t="shared" si="23"/>
        <v>有定金+有預留客戶</v>
      </c>
      <c r="AR165" s="259" t="str">
        <f t="shared" si="24"/>
        <v>Shipped_Stock</v>
      </c>
      <c r="AS165" s="259" t="str">
        <f t="shared" si="25"/>
        <v/>
      </c>
      <c r="AT165" s="259" t="str">
        <f t="shared" si="26"/>
        <v>永顺创</v>
      </c>
      <c r="AU165" s="259" t="str">
        <f t="shared" si="27"/>
        <v>C49SZX20190100SX</v>
      </c>
      <c r="AV165" s="259" t="str">
        <f t="shared" si="28"/>
        <v>Apr-10</v>
      </c>
    </row>
    <row r="166" spans="1:69" ht="15" hidden="1" customHeight="1">
      <c r="A166" s="559">
        <v>343</v>
      </c>
      <c r="B166" s="563" t="s">
        <v>280</v>
      </c>
      <c r="C166" s="560" t="s">
        <v>281</v>
      </c>
      <c r="D166" s="564">
        <v>109344</v>
      </c>
      <c r="E166" s="563" t="s">
        <v>236</v>
      </c>
      <c r="F166" s="563" t="s">
        <v>17</v>
      </c>
      <c r="G166" s="563" t="s">
        <v>24</v>
      </c>
      <c r="H166" s="563" t="s">
        <v>26</v>
      </c>
      <c r="I166" s="564" t="s">
        <v>562</v>
      </c>
      <c r="J166" s="564">
        <v>1</v>
      </c>
      <c r="K166" s="563" t="s">
        <v>295</v>
      </c>
      <c r="L166" s="565">
        <v>43565</v>
      </c>
      <c r="M166" s="566">
        <v>6.2E-2</v>
      </c>
      <c r="N166" s="563" t="s">
        <v>404</v>
      </c>
      <c r="O166" s="563"/>
      <c r="P166" s="566" t="str">
        <f>VLOOKUP(A166,'[1]Raw data'!$B:$BB,23,FALSE)</f>
        <v>RMB</v>
      </c>
      <c r="Q166" s="563" t="str">
        <f>VLOOKUP(A166,'[1]Raw data'!$B:$Z,2,FALSE)</f>
        <v>C49SZX20190090SX</v>
      </c>
      <c r="R166" s="563" t="str">
        <f>VLOOKUP(A166,'[1]Raw data'!$B:$Z,3,FALSE)</f>
        <v>锐诚</v>
      </c>
      <c r="S166" s="563" t="str">
        <f>VLOOKUP(A166,'[1]Raw data'!$B:$Z,4,FALSE)</f>
        <v>YSM10</v>
      </c>
      <c r="T166" s="563" t="str">
        <f>VLOOKUP(A166,'[1]Raw data'!$B:$Z,8,FALSE)</f>
        <v>L-&gt;R</v>
      </c>
      <c r="U166" s="563" t="str">
        <f>VLOOKUP(A166,'[1]Raw data'!$B:$Z,9,FALSE)</f>
        <v>MVC</v>
      </c>
      <c r="V166" s="567" t="str">
        <f t="shared" si="29"/>
        <v>WRONG</v>
      </c>
      <c r="W166" s="563" t="str">
        <f>VLOOKUP(A166,'[1]Raw data'!$B:$AG,32,FALSE)</f>
        <v>含税到厂</v>
      </c>
      <c r="X166" s="563">
        <f>VLOOKUP(A166,'[1]Raw data'!$B:$BA,31,FALSE)</f>
        <v>43621</v>
      </c>
      <c r="Y166" s="563" t="str">
        <f>VLOOKUP(A166,'[1]Raw data'!$B:$AS,39,FALSE)</f>
        <v>Yes</v>
      </c>
      <c r="Z166" s="568"/>
      <c r="AA166" s="569"/>
      <c r="AB166" s="570"/>
      <c r="AC166" s="563" t="s">
        <v>563</v>
      </c>
      <c r="AN166" s="542"/>
      <c r="AO166" s="824" t="str">
        <f t="shared" si="21"/>
        <v>Yes</v>
      </c>
      <c r="AP166" s="259" t="str">
        <f t="shared" si="22"/>
        <v>JUN 19</v>
      </c>
      <c r="AQ166" s="542" t="str">
        <f t="shared" si="23"/>
        <v>有定金+有預留客戶</v>
      </c>
      <c r="AR166" s="259" t="str">
        <f t="shared" si="24"/>
        <v>Shipped_Stock</v>
      </c>
      <c r="AS166" s="259" t="str">
        <f t="shared" si="25"/>
        <v/>
      </c>
      <c r="AT166" s="259" t="str">
        <f t="shared" si="26"/>
        <v>锐诚</v>
      </c>
      <c r="AU166" s="259" t="str">
        <f t="shared" si="27"/>
        <v>C49SZX20190090SX</v>
      </c>
      <c r="AV166" s="259" t="str">
        <f t="shared" si="28"/>
        <v>Apr-10</v>
      </c>
    </row>
    <row r="167" spans="1:69" ht="15" hidden="1" customHeight="1">
      <c r="A167" s="559">
        <v>325</v>
      </c>
      <c r="B167" s="563" t="s">
        <v>280</v>
      </c>
      <c r="C167" s="560" t="s">
        <v>281</v>
      </c>
      <c r="D167" s="564">
        <v>109344</v>
      </c>
      <c r="E167" s="563" t="s">
        <v>236</v>
      </c>
      <c r="F167" s="563" t="s">
        <v>17</v>
      </c>
      <c r="G167" s="563" t="s">
        <v>24</v>
      </c>
      <c r="H167" s="563" t="s">
        <v>26</v>
      </c>
      <c r="I167" s="564" t="s">
        <v>564</v>
      </c>
      <c r="J167" s="564">
        <v>1</v>
      </c>
      <c r="K167" s="563" t="s">
        <v>437</v>
      </c>
      <c r="L167" s="565">
        <v>43565</v>
      </c>
      <c r="M167" s="566">
        <v>6.2E-2</v>
      </c>
      <c r="N167" s="563" t="s">
        <v>404</v>
      </c>
      <c r="O167" s="563"/>
      <c r="P167" s="566" t="str">
        <f>VLOOKUP(A167,'[1]Raw data'!$B:$BB,23,FALSE)</f>
        <v>RMB</v>
      </c>
      <c r="Q167" s="563" t="str">
        <f>VLOOKUP(A167,'[1]Raw data'!$B:$Z,2,FALSE)</f>
        <v>C49SZX20190073JL</v>
      </c>
      <c r="R167" s="563" t="str">
        <f>VLOOKUP(A167,'[1]Raw data'!$B:$Z,3,FALSE)</f>
        <v>力通威</v>
      </c>
      <c r="S167" s="563" t="str">
        <f>VLOOKUP(A167,'[1]Raw data'!$B:$Z,4,FALSE)</f>
        <v>YSM10</v>
      </c>
      <c r="T167" s="563" t="str">
        <f>VLOOKUP(A167,'[1]Raw data'!$B:$Z,8,FALSE)</f>
        <v>L-&gt;R</v>
      </c>
      <c r="U167" s="563" t="str">
        <f>VLOOKUP(A167,'[1]Raw data'!$B:$Z,9,FALSE)</f>
        <v>No</v>
      </c>
      <c r="V167" s="567" t="str">
        <f t="shared" si="29"/>
        <v>OK</v>
      </c>
      <c r="W167" s="563" t="str">
        <f>VLOOKUP(A167,'[1]Raw data'!$B:$AG,32,FALSE)</f>
        <v>含税到厂</v>
      </c>
      <c r="X167" s="563">
        <f>VLOOKUP(A167,'[1]Raw data'!$B:$BA,31,FALSE)</f>
        <v>43612</v>
      </c>
      <c r="Y167" s="563" t="str">
        <f>VLOOKUP(A167,'[1]Raw data'!$B:$AS,39,FALSE)</f>
        <v>Yes</v>
      </c>
      <c r="Z167" s="568" t="s">
        <v>329</v>
      </c>
      <c r="AA167" s="569" t="s">
        <v>329</v>
      </c>
      <c r="AB167" s="570"/>
      <c r="AC167" s="563" t="s">
        <v>565</v>
      </c>
      <c r="AN167" s="542"/>
      <c r="AO167" s="824" t="str">
        <f t="shared" si="21"/>
        <v>Yes</v>
      </c>
      <c r="AP167" s="259" t="str">
        <f t="shared" si="22"/>
        <v>JUN 19</v>
      </c>
      <c r="AQ167" s="542" t="str">
        <f t="shared" si="23"/>
        <v>有定金+有預留客戶</v>
      </c>
      <c r="AR167" s="259" t="str">
        <f t="shared" si="24"/>
        <v>Shipped_Stock</v>
      </c>
      <c r="AS167" s="259" t="str">
        <f t="shared" si="25"/>
        <v/>
      </c>
      <c r="AT167" s="259" t="str">
        <f t="shared" si="26"/>
        <v>力通威</v>
      </c>
      <c r="AU167" s="259" t="str">
        <f t="shared" si="27"/>
        <v>C49SZX20190073JL</v>
      </c>
      <c r="AV167" s="259" t="str">
        <f t="shared" si="28"/>
        <v>Apr-10</v>
      </c>
    </row>
    <row r="168" spans="1:69" ht="15" hidden="1" customHeight="1">
      <c r="A168" s="559">
        <v>323</v>
      </c>
      <c r="B168" s="563" t="s">
        <v>280</v>
      </c>
      <c r="C168" s="560" t="s">
        <v>281</v>
      </c>
      <c r="D168" s="564">
        <v>109344</v>
      </c>
      <c r="E168" s="563" t="s">
        <v>236</v>
      </c>
      <c r="F168" s="563" t="s">
        <v>17</v>
      </c>
      <c r="G168" s="563" t="s">
        <v>24</v>
      </c>
      <c r="H168" s="563" t="s">
        <v>26</v>
      </c>
      <c r="I168" s="564" t="s">
        <v>566</v>
      </c>
      <c r="J168" s="564">
        <v>1</v>
      </c>
      <c r="K168" s="563" t="s">
        <v>437</v>
      </c>
      <c r="L168" s="565">
        <v>43565</v>
      </c>
      <c r="M168" s="566">
        <v>6.2E-2</v>
      </c>
      <c r="N168" s="563" t="s">
        <v>404</v>
      </c>
      <c r="O168" s="563"/>
      <c r="P168" s="566" t="str">
        <f>VLOOKUP(A168,'[1]Raw data'!$B:$BB,23,FALSE)</f>
        <v>RMB</v>
      </c>
      <c r="Q168" s="563" t="str">
        <f>VLOOKUP(A168,'[1]Raw data'!$B:$Z,2,FALSE)</f>
        <v>C49SZX20190073JL</v>
      </c>
      <c r="R168" s="563" t="str">
        <f>VLOOKUP(A168,'[1]Raw data'!$B:$Z,3,FALSE)</f>
        <v>力通威</v>
      </c>
      <c r="S168" s="563" t="str">
        <f>VLOOKUP(A168,'[1]Raw data'!$B:$Z,4,FALSE)</f>
        <v>YSM10</v>
      </c>
      <c r="T168" s="563" t="str">
        <f>VLOOKUP(A168,'[1]Raw data'!$B:$Z,8,FALSE)</f>
        <v>R-&gt;L</v>
      </c>
      <c r="U168" s="563" t="str">
        <f>VLOOKUP(A168,'[1]Raw data'!$B:$Z,9,FALSE)</f>
        <v>MVC</v>
      </c>
      <c r="V168" s="567" t="str">
        <f t="shared" si="29"/>
        <v>WRONG</v>
      </c>
      <c r="W168" s="563" t="str">
        <f>VLOOKUP(A168,'[1]Raw data'!$B:$AG,32,FALSE)</f>
        <v>含税到厂</v>
      </c>
      <c r="X168" s="563">
        <f>VLOOKUP(A168,'[1]Raw data'!$B:$BA,31,FALSE)</f>
        <v>43612</v>
      </c>
      <c r="Y168" s="563" t="str">
        <f>VLOOKUP(A168,'[1]Raw data'!$B:$AS,39,FALSE)</f>
        <v>Yes</v>
      </c>
      <c r="Z168" s="568" t="s">
        <v>329</v>
      </c>
      <c r="AA168" s="569" t="s">
        <v>329</v>
      </c>
      <c r="AB168" s="570"/>
      <c r="AC168" s="563" t="s">
        <v>565</v>
      </c>
      <c r="AN168" s="542"/>
      <c r="AO168" s="824" t="str">
        <f t="shared" si="21"/>
        <v>Yes</v>
      </c>
      <c r="AP168" s="259" t="str">
        <f t="shared" si="22"/>
        <v>JUN 19</v>
      </c>
      <c r="AQ168" s="542" t="str">
        <f t="shared" si="23"/>
        <v>有定金+有預留客戶</v>
      </c>
      <c r="AR168" s="259" t="str">
        <f t="shared" si="24"/>
        <v>Shipped_Stock</v>
      </c>
      <c r="AS168" s="259" t="str">
        <f t="shared" si="25"/>
        <v/>
      </c>
      <c r="AT168" s="259" t="str">
        <f t="shared" si="26"/>
        <v>力通威</v>
      </c>
      <c r="AU168" s="259" t="str">
        <f t="shared" si="27"/>
        <v>C49SZX20190073JL</v>
      </c>
      <c r="AV168" s="259" t="str">
        <f t="shared" si="28"/>
        <v>Apr-10</v>
      </c>
    </row>
    <row r="169" spans="1:69" ht="15" hidden="1" customHeight="1">
      <c r="A169" s="559">
        <v>324</v>
      </c>
      <c r="B169" s="563" t="s">
        <v>280</v>
      </c>
      <c r="C169" s="560" t="s">
        <v>281</v>
      </c>
      <c r="D169" s="564">
        <v>109344</v>
      </c>
      <c r="E169" s="563" t="s">
        <v>236</v>
      </c>
      <c r="F169" s="563" t="s">
        <v>17</v>
      </c>
      <c r="G169" s="563" t="s">
        <v>24</v>
      </c>
      <c r="H169" s="563" t="s">
        <v>26</v>
      </c>
      <c r="I169" s="564" t="s">
        <v>567</v>
      </c>
      <c r="J169" s="564">
        <v>1</v>
      </c>
      <c r="K169" s="563" t="s">
        <v>437</v>
      </c>
      <c r="L169" s="565">
        <v>43565</v>
      </c>
      <c r="M169" s="566">
        <v>6.2E-2</v>
      </c>
      <c r="N169" s="563" t="s">
        <v>404</v>
      </c>
      <c r="O169" s="563"/>
      <c r="P169" s="566" t="str">
        <f>VLOOKUP(A169,'[1]Raw data'!$B:$BB,23,FALSE)</f>
        <v>RMB</v>
      </c>
      <c r="Q169" s="563" t="str">
        <f>VLOOKUP(A169,'[1]Raw data'!$B:$Z,2,FALSE)</f>
        <v>C49SZX20190073JL</v>
      </c>
      <c r="R169" s="563" t="str">
        <f>VLOOKUP(A169,'[1]Raw data'!$B:$Z,3,FALSE)</f>
        <v>力通威</v>
      </c>
      <c r="S169" s="563" t="str">
        <f>VLOOKUP(A169,'[1]Raw data'!$B:$Z,4,FALSE)</f>
        <v>YSM10</v>
      </c>
      <c r="T169" s="563" t="str">
        <f>VLOOKUP(A169,'[1]Raw data'!$B:$Z,8,FALSE)</f>
        <v>L-&gt;R</v>
      </c>
      <c r="U169" s="563" t="str">
        <f>VLOOKUP(A169,'[1]Raw data'!$B:$Z,9,FALSE)</f>
        <v>MVC</v>
      </c>
      <c r="V169" s="567" t="str">
        <f t="shared" si="29"/>
        <v>WRONG</v>
      </c>
      <c r="W169" s="563" t="str">
        <f>VLOOKUP(A169,'[1]Raw data'!$B:$AG,32,FALSE)</f>
        <v>含税到厂</v>
      </c>
      <c r="X169" s="563">
        <f>VLOOKUP(A169,'[1]Raw data'!$B:$BA,31,FALSE)</f>
        <v>43612</v>
      </c>
      <c r="Y169" s="563" t="str">
        <f>VLOOKUP(A169,'[1]Raw data'!$B:$AS,39,FALSE)</f>
        <v>Yes</v>
      </c>
      <c r="Z169" s="568" t="s">
        <v>329</v>
      </c>
      <c r="AA169" s="569" t="s">
        <v>329</v>
      </c>
      <c r="AB169" s="570"/>
      <c r="AC169" s="563" t="s">
        <v>565</v>
      </c>
      <c r="AN169" s="542"/>
      <c r="AO169" s="824" t="str">
        <f t="shared" si="21"/>
        <v>Yes</v>
      </c>
      <c r="AP169" s="259" t="str">
        <f t="shared" si="22"/>
        <v>JUN 19</v>
      </c>
      <c r="AQ169" s="542" t="str">
        <f t="shared" si="23"/>
        <v>有定金+有預留客戶</v>
      </c>
      <c r="AR169" s="259" t="str">
        <f t="shared" si="24"/>
        <v>Shipped_Stock</v>
      </c>
      <c r="AS169" s="259" t="str">
        <f t="shared" si="25"/>
        <v/>
      </c>
      <c r="AT169" s="259" t="str">
        <f t="shared" si="26"/>
        <v>力通威</v>
      </c>
      <c r="AU169" s="259" t="str">
        <f t="shared" si="27"/>
        <v>C49SZX20190073JL</v>
      </c>
      <c r="AV169" s="259" t="str">
        <f t="shared" si="28"/>
        <v>Apr-10</v>
      </c>
    </row>
    <row r="170" spans="1:69" ht="15" hidden="1" customHeight="1">
      <c r="A170" s="559">
        <v>302</v>
      </c>
      <c r="B170" s="563" t="s">
        <v>280</v>
      </c>
      <c r="C170" s="560" t="s">
        <v>281</v>
      </c>
      <c r="D170" s="564">
        <v>109344</v>
      </c>
      <c r="E170" s="563" t="s">
        <v>236</v>
      </c>
      <c r="F170" s="563" t="s">
        <v>17</v>
      </c>
      <c r="G170" s="563" t="s">
        <v>24</v>
      </c>
      <c r="H170" s="563" t="s">
        <v>26</v>
      </c>
      <c r="I170" s="564" t="s">
        <v>568</v>
      </c>
      <c r="J170" s="564">
        <v>1</v>
      </c>
      <c r="K170" s="563" t="s">
        <v>437</v>
      </c>
      <c r="L170" s="565">
        <v>43565</v>
      </c>
      <c r="M170" s="566">
        <v>6.2E-2</v>
      </c>
      <c r="N170" s="563" t="s">
        <v>404</v>
      </c>
      <c r="O170" s="563"/>
      <c r="P170" s="566" t="str">
        <f>VLOOKUP(A170,'[1]Raw data'!$B:$BB,23,FALSE)</f>
        <v>JPY</v>
      </c>
      <c r="Q170" s="563" t="str">
        <f>VLOOKUP(A170,'[1]Raw data'!$B:$Z,2,FALSE)</f>
        <v>C49SZX20190050SX</v>
      </c>
      <c r="R170" s="563" t="str">
        <f>VLOOKUP(A170,'[1]Raw data'!$B:$Z,3,FALSE)</f>
        <v>丰硕</v>
      </c>
      <c r="S170" s="563" t="str">
        <f>VLOOKUP(A170,'[1]Raw data'!$B:$Z,4,FALSE)</f>
        <v>YSM10</v>
      </c>
      <c r="T170" s="563" t="str">
        <f>VLOOKUP(A170,'[1]Raw data'!$B:$Z,8,FALSE)</f>
        <v>L-&gt;R</v>
      </c>
      <c r="U170" s="563" t="str">
        <f>VLOOKUP(A170,'[1]Raw data'!$B:$Z,9,FALSE)</f>
        <v>No</v>
      </c>
      <c r="V170" s="567" t="str">
        <f t="shared" si="29"/>
        <v>OK</v>
      </c>
      <c r="W170" s="563" t="str">
        <f>VLOOKUP(A170,'[1]Raw data'!$B:$AG,32,FALSE)</f>
        <v>DAP SZ</v>
      </c>
      <c r="X170" s="563">
        <f>VLOOKUP(A170,'[1]Raw data'!$B:$BA,31,FALSE)</f>
        <v>43587</v>
      </c>
      <c r="Y170" s="563" t="str">
        <f>VLOOKUP(A170,'[1]Raw data'!$B:$AS,39,FALSE)</f>
        <v>Yes</v>
      </c>
      <c r="Z170" s="568" t="s">
        <v>329</v>
      </c>
      <c r="AA170" s="569" t="s">
        <v>329</v>
      </c>
      <c r="AB170" s="570"/>
      <c r="AC170" s="563" t="s">
        <v>569</v>
      </c>
      <c r="AN170" s="598"/>
      <c r="AO170" s="824" t="str">
        <f t="shared" si="21"/>
        <v>Yes</v>
      </c>
      <c r="AP170" s="259" t="str">
        <f t="shared" si="22"/>
        <v>JUN 19</v>
      </c>
      <c r="AQ170" s="542" t="str">
        <f t="shared" si="23"/>
        <v>有定金+有預留客戶</v>
      </c>
      <c r="AR170" s="259" t="str">
        <f t="shared" si="24"/>
        <v>Shipped_Stock</v>
      </c>
      <c r="AS170" s="259" t="str">
        <f t="shared" si="25"/>
        <v/>
      </c>
      <c r="AT170" s="259" t="str">
        <f t="shared" si="26"/>
        <v>丰硕</v>
      </c>
      <c r="AU170" s="259" t="str">
        <f t="shared" si="27"/>
        <v>C49SZX20190050SX</v>
      </c>
      <c r="AV170" s="259" t="str">
        <f t="shared" si="28"/>
        <v>Apr-10</v>
      </c>
    </row>
    <row r="171" spans="1:69" ht="15" hidden="1" customHeight="1">
      <c r="A171" s="559">
        <v>333</v>
      </c>
      <c r="B171" s="563" t="s">
        <v>280</v>
      </c>
      <c r="C171" s="560" t="s">
        <v>281</v>
      </c>
      <c r="D171" s="564">
        <v>109344</v>
      </c>
      <c r="E171" s="563" t="s">
        <v>236</v>
      </c>
      <c r="F171" s="563" t="s">
        <v>17</v>
      </c>
      <c r="G171" s="563" t="s">
        <v>24</v>
      </c>
      <c r="H171" s="563" t="s">
        <v>34</v>
      </c>
      <c r="I171" s="564" t="s">
        <v>570</v>
      </c>
      <c r="J171" s="564">
        <v>1</v>
      </c>
      <c r="K171" s="563" t="s">
        <v>437</v>
      </c>
      <c r="L171" s="565">
        <v>43565</v>
      </c>
      <c r="M171" s="566">
        <v>6.2E-2</v>
      </c>
      <c r="N171" s="563" t="s">
        <v>417</v>
      </c>
      <c r="O171" s="563"/>
      <c r="P171" s="566" t="str">
        <f>VLOOKUP(A171,'[1]Raw data'!$B:$BB,23,FALSE)</f>
        <v>JPY</v>
      </c>
      <c r="Q171" s="563" t="str">
        <f>VLOOKUP(A171,'[1]Raw data'!$B:$Z,2,FALSE)</f>
        <v>C49SZX20190080ZX</v>
      </c>
      <c r="R171" s="563" t="str">
        <f>VLOOKUP(A171,'[1]Raw data'!$B:$Z,3,FALSE)</f>
        <v>长沙健科</v>
      </c>
      <c r="S171" s="563" t="str">
        <f>VLOOKUP(A171,'[1]Raw data'!$B:$Z,4,FALSE)</f>
        <v>YSM10</v>
      </c>
      <c r="T171" s="563" t="str">
        <f>VLOOKUP(A171,'[1]Raw data'!$B:$Z,8,FALSE)</f>
        <v>L-&gt;R</v>
      </c>
      <c r="U171" s="563" t="str">
        <f>VLOOKUP(A171,'[1]Raw data'!$B:$Z,9,FALSE)</f>
        <v>MVC+ATS15</v>
      </c>
      <c r="V171" s="567" t="str">
        <f t="shared" si="29"/>
        <v>OK</v>
      </c>
      <c r="W171" s="563" t="str">
        <f>VLOOKUP(A171,'[1]Raw data'!$B:$AG,32,FALSE)</f>
        <v>DAP 长沙</v>
      </c>
      <c r="X171" s="563">
        <f>VLOOKUP(A171,'[1]Raw data'!$B:$BA,31,FALSE)</f>
        <v>43612</v>
      </c>
      <c r="Y171" s="563" t="str">
        <f>VLOOKUP(A171,'[1]Raw data'!$B:$AS,39,FALSE)</f>
        <v>Yes</v>
      </c>
      <c r="Z171" s="568" t="s">
        <v>290</v>
      </c>
      <c r="AA171" s="569" t="s">
        <v>290</v>
      </c>
      <c r="AB171" s="570"/>
      <c r="AC171" s="563" t="s">
        <v>571</v>
      </c>
      <c r="AN171" s="588"/>
      <c r="AO171" s="824" t="str">
        <f t="shared" si="21"/>
        <v>Yes</v>
      </c>
      <c r="AP171" s="259" t="str">
        <f t="shared" si="22"/>
        <v>AUG 19</v>
      </c>
      <c r="AQ171" s="542" t="str">
        <f t="shared" si="23"/>
        <v>有定金+有預留客戶</v>
      </c>
      <c r="AR171" s="259" t="str">
        <f t="shared" si="24"/>
        <v>Shipped_Stock</v>
      </c>
      <c r="AS171" s="259" t="str">
        <f t="shared" si="25"/>
        <v/>
      </c>
      <c r="AT171" s="259" t="str">
        <f t="shared" si="26"/>
        <v>长沙健科</v>
      </c>
      <c r="AU171" s="259" t="str">
        <f t="shared" si="27"/>
        <v>C49SZX20190080ZX</v>
      </c>
      <c r="AV171" s="259" t="str">
        <f t="shared" si="28"/>
        <v>Apr-10</v>
      </c>
    </row>
    <row r="172" spans="1:69" ht="15" hidden="1" customHeight="1">
      <c r="A172" s="559">
        <v>373</v>
      </c>
      <c r="B172" s="563" t="s">
        <v>280</v>
      </c>
      <c r="C172" s="560" t="s">
        <v>281</v>
      </c>
      <c r="D172" s="564">
        <v>109344</v>
      </c>
      <c r="E172" s="563" t="s">
        <v>236</v>
      </c>
      <c r="F172" s="563" t="s">
        <v>17</v>
      </c>
      <c r="G172" s="563" t="s">
        <v>24</v>
      </c>
      <c r="H172" s="563" t="s">
        <v>26</v>
      </c>
      <c r="I172" s="564" t="s">
        <v>572</v>
      </c>
      <c r="J172" s="564">
        <v>1</v>
      </c>
      <c r="K172" s="563" t="s">
        <v>437</v>
      </c>
      <c r="L172" s="565">
        <v>43565</v>
      </c>
      <c r="M172" s="566">
        <v>6.2E-2</v>
      </c>
      <c r="N172" s="563" t="s">
        <v>325</v>
      </c>
      <c r="O172" s="563"/>
      <c r="P172" s="566" t="str">
        <f>VLOOKUP(A172,'[1]Raw data'!$B:$BB,23,FALSE)</f>
        <v>JPY</v>
      </c>
      <c r="Q172" s="563" t="str">
        <f>VLOOKUP(A172,'[1]Raw data'!$B:$Z,2,FALSE)</f>
        <v>C49SZX20190093JL</v>
      </c>
      <c r="R172" s="563" t="str">
        <f>VLOOKUP(A172,'[1]Raw data'!$B:$Z,3,FALSE)</f>
        <v>杉川/end user:放德劲</v>
      </c>
      <c r="S172" s="563" t="str">
        <f>VLOOKUP(A172,'[1]Raw data'!$B:$Z,4,FALSE)</f>
        <v>YSM10</v>
      </c>
      <c r="T172" s="563" t="str">
        <f>VLOOKUP(A172,'[1]Raw data'!$B:$Z,8,FALSE)</f>
        <v>R-&gt;L</v>
      </c>
      <c r="U172" s="563" t="str">
        <f>VLOOKUP(A172,'[1]Raw data'!$B:$Z,9,FALSE)</f>
        <v>MVC</v>
      </c>
      <c r="V172" s="567" t="str">
        <f t="shared" si="29"/>
        <v>WRONG</v>
      </c>
      <c r="W172" s="563" t="str">
        <f>VLOOKUP(A172,'[1]Raw data'!$B:$AG,32,FALSE)</f>
        <v>DAP SZ</v>
      </c>
      <c r="X172" s="563">
        <f>VLOOKUP(A172,'[1]Raw data'!$B:$BA,31,FALSE)</f>
        <v>43649</v>
      </c>
      <c r="Y172" s="563" t="str">
        <f>VLOOKUP(A172,'[1]Raw data'!$B:$AS,39,FALSE)</f>
        <v>Yes</v>
      </c>
      <c r="Z172" s="568">
        <v>43329</v>
      </c>
      <c r="AA172" s="569">
        <v>43342</v>
      </c>
      <c r="AB172" s="570"/>
      <c r="AC172" s="563" t="s">
        <v>573</v>
      </c>
      <c r="AN172" s="542"/>
      <c r="AO172" s="824" t="str">
        <f t="shared" si="21"/>
        <v>Yes</v>
      </c>
      <c r="AP172" s="259" t="str">
        <f t="shared" si="22"/>
        <v>JUL 19</v>
      </c>
      <c r="AQ172" s="542" t="str">
        <f t="shared" si="23"/>
        <v>有定金+有預留客戶</v>
      </c>
      <c r="AR172" s="259" t="str">
        <f t="shared" si="24"/>
        <v>Shipped_Stock</v>
      </c>
      <c r="AS172" s="259" t="str">
        <f t="shared" si="25"/>
        <v/>
      </c>
      <c r="AT172" s="259" t="str">
        <f t="shared" si="26"/>
        <v>杉川/end user:放德劲</v>
      </c>
      <c r="AU172" s="259" t="str">
        <f t="shared" si="27"/>
        <v>C49SZX20190093JL</v>
      </c>
      <c r="AV172" s="259" t="str">
        <f t="shared" si="28"/>
        <v>Apr-10</v>
      </c>
    </row>
    <row r="173" spans="1:69" ht="15" hidden="1" customHeight="1">
      <c r="A173" s="559">
        <v>311</v>
      </c>
      <c r="B173" s="563" t="s">
        <v>280</v>
      </c>
      <c r="C173" s="560" t="s">
        <v>281</v>
      </c>
      <c r="D173" s="564">
        <v>109344</v>
      </c>
      <c r="E173" s="563" t="s">
        <v>236</v>
      </c>
      <c r="F173" s="563" t="s">
        <v>17</v>
      </c>
      <c r="G173" s="563" t="s">
        <v>18</v>
      </c>
      <c r="H173" s="563" t="s">
        <v>26</v>
      </c>
      <c r="I173" s="564" t="s">
        <v>574</v>
      </c>
      <c r="J173" s="564">
        <v>1</v>
      </c>
      <c r="K173" s="563" t="s">
        <v>437</v>
      </c>
      <c r="L173" s="565">
        <v>43565</v>
      </c>
      <c r="M173" s="566">
        <v>6.2E-2</v>
      </c>
      <c r="N173" s="563" t="s">
        <v>404</v>
      </c>
      <c r="O173" s="563"/>
      <c r="P173" s="566" t="str">
        <f>VLOOKUP(A173,'[1]Raw data'!$B:$BB,23,FALSE)</f>
        <v>JPY</v>
      </c>
      <c r="Q173" s="563" t="str">
        <f>VLOOKUP(A173,'[1]Raw data'!$B:$Z,2,FALSE)</f>
        <v>C49SZX20190071SX</v>
      </c>
      <c r="R173" s="563" t="str">
        <f>VLOOKUP(A173,'[1]Raw data'!$B:$Z,3,FALSE)</f>
        <v>东陆</v>
      </c>
      <c r="S173" s="563" t="str">
        <f>VLOOKUP(A173,'[1]Raw data'!$B:$Z,4,FALSE)</f>
        <v>YSM10</v>
      </c>
      <c r="T173" s="563" t="str">
        <f>VLOOKUP(A173,'[1]Raw data'!$B:$Z,8,FALSE)</f>
        <v>L-&gt;R</v>
      </c>
      <c r="U173" s="563" t="str">
        <f>VLOOKUP(A173,'[1]Raw data'!$B:$Z,9,FALSE)</f>
        <v>No</v>
      </c>
      <c r="V173" s="567" t="str">
        <f t="shared" si="29"/>
        <v>WRONG</v>
      </c>
      <c r="W173" s="563" t="str">
        <f>VLOOKUP(A173,'[1]Raw data'!$B:$AG,32,FALSE)</f>
        <v>DAP SZ</v>
      </c>
      <c r="X173" s="563">
        <f>VLOOKUP(A173,'[1]Raw data'!$B:$BA,31,FALSE)</f>
        <v>43600</v>
      </c>
      <c r="Y173" s="563" t="str">
        <f>VLOOKUP(A173,'[1]Raw data'!$B:$AS,39,FALSE)</f>
        <v>Yes</v>
      </c>
      <c r="Z173" s="568"/>
      <c r="AA173" s="569"/>
      <c r="AB173" s="570"/>
      <c r="AC173" s="563" t="s">
        <v>575</v>
      </c>
      <c r="AN173" s="542"/>
      <c r="AO173" s="824" t="str">
        <f t="shared" si="21"/>
        <v>Yes</v>
      </c>
      <c r="AP173" s="259" t="str">
        <f t="shared" si="22"/>
        <v>JUN 19</v>
      </c>
      <c r="AQ173" s="542" t="str">
        <f t="shared" si="23"/>
        <v>有定金+有預留客戶</v>
      </c>
      <c r="AR173" s="259" t="str">
        <f t="shared" si="24"/>
        <v>Shipped_Stock</v>
      </c>
      <c r="AS173" s="259" t="str">
        <f t="shared" si="25"/>
        <v/>
      </c>
      <c r="AT173" s="259" t="str">
        <f t="shared" si="26"/>
        <v>东陆</v>
      </c>
      <c r="AU173" s="259" t="str">
        <f t="shared" si="27"/>
        <v>C49SZX20190071SX</v>
      </c>
      <c r="AV173" s="259" t="str">
        <f t="shared" si="28"/>
        <v>Apr-10</v>
      </c>
    </row>
    <row r="174" spans="1:69" ht="15" hidden="1" customHeight="1">
      <c r="A174" s="559">
        <v>365</v>
      </c>
      <c r="B174" s="563" t="s">
        <v>280</v>
      </c>
      <c r="C174" s="560" t="s">
        <v>281</v>
      </c>
      <c r="D174" s="564">
        <v>109344</v>
      </c>
      <c r="E174" s="563" t="s">
        <v>236</v>
      </c>
      <c r="F174" s="563" t="s">
        <v>17</v>
      </c>
      <c r="G174" s="563" t="s">
        <v>18</v>
      </c>
      <c r="H174" s="563" t="s">
        <v>26</v>
      </c>
      <c r="I174" s="564" t="s">
        <v>576</v>
      </c>
      <c r="J174" s="564">
        <v>1</v>
      </c>
      <c r="K174" s="563" t="s">
        <v>437</v>
      </c>
      <c r="L174" s="565">
        <v>43565</v>
      </c>
      <c r="M174" s="566">
        <v>6.2E-2</v>
      </c>
      <c r="N174" s="563" t="s">
        <v>325</v>
      </c>
      <c r="O174" s="563"/>
      <c r="P174" s="566" t="str">
        <f>VLOOKUP(A174,'[1]Raw data'!$B:$BB,23,FALSE)</f>
        <v>RMB</v>
      </c>
      <c r="Q174" s="563" t="str">
        <f>VLOOKUP(A174,'[1]Raw data'!$B:$Z,2,FALSE)</f>
        <v>C49SZX201901008ZX</v>
      </c>
      <c r="R174" s="563" t="str">
        <f>VLOOKUP(A174,'[1]Raw data'!$B:$Z,3,FALSE)</f>
        <v>帝泰克</v>
      </c>
      <c r="S174" s="563" t="str">
        <f>VLOOKUP(A174,'[1]Raw data'!$B:$Z,4,FALSE)</f>
        <v>YSM10</v>
      </c>
      <c r="T174" s="563" t="str">
        <f>VLOOKUP(A174,'[1]Raw data'!$B:$Z,8,FALSE)</f>
        <v>L-&gt;R</v>
      </c>
      <c r="U174" s="563" t="str">
        <f>VLOOKUP(A174,'[1]Raw data'!$B:$Z,9,FALSE)</f>
        <v>MVC</v>
      </c>
      <c r="V174" s="567" t="str">
        <f t="shared" si="29"/>
        <v>WRONG</v>
      </c>
      <c r="W174" s="563" t="str">
        <f>VLOOKUP(A174,'[1]Raw data'!$B:$AG,32,FALSE)</f>
        <v>含税到厂</v>
      </c>
      <c r="X174" s="563">
        <f>VLOOKUP(A174,'[1]Raw data'!$B:$BA,31,FALSE)</f>
        <v>43580</v>
      </c>
      <c r="Y174" s="563" t="str">
        <f>VLOOKUP(A174,'[1]Raw data'!$B:$AS,39,FALSE)</f>
        <v>Yes</v>
      </c>
      <c r="Z174" s="568" t="s">
        <v>290</v>
      </c>
      <c r="AA174" s="569" t="s">
        <v>290</v>
      </c>
      <c r="AB174" s="570"/>
      <c r="AC174" s="563" t="s">
        <v>545</v>
      </c>
      <c r="AN174" s="542"/>
      <c r="AO174" s="824" t="str">
        <f t="shared" si="21"/>
        <v>Yes</v>
      </c>
      <c r="AP174" s="259" t="str">
        <f t="shared" si="22"/>
        <v>JUL 19</v>
      </c>
      <c r="AQ174" s="542" t="str">
        <f t="shared" si="23"/>
        <v>有定金+有預留客戶</v>
      </c>
      <c r="AR174" s="259" t="str">
        <f t="shared" si="24"/>
        <v>Shipped_Stock</v>
      </c>
      <c r="AS174" s="259" t="str">
        <f t="shared" si="25"/>
        <v/>
      </c>
      <c r="AT174" s="259" t="str">
        <f t="shared" si="26"/>
        <v>帝泰克</v>
      </c>
      <c r="AU174" s="259" t="str">
        <f t="shared" si="27"/>
        <v>C49SZX201901008ZX</v>
      </c>
      <c r="AV174" s="259" t="str">
        <f t="shared" si="28"/>
        <v>Apr-10</v>
      </c>
    </row>
    <row r="175" spans="1:69" hidden="1">
      <c r="A175" s="559">
        <v>326</v>
      </c>
      <c r="B175" s="563" t="s">
        <v>280</v>
      </c>
      <c r="C175" s="560" t="s">
        <v>281</v>
      </c>
      <c r="D175" s="564">
        <v>109263</v>
      </c>
      <c r="E175" s="563" t="s">
        <v>577</v>
      </c>
      <c r="F175" s="563" t="s">
        <v>256</v>
      </c>
      <c r="G175" s="563" t="s">
        <v>24</v>
      </c>
      <c r="H175" s="563" t="s">
        <v>26</v>
      </c>
      <c r="I175" s="564" t="s">
        <v>578</v>
      </c>
      <c r="J175" s="564">
        <v>1</v>
      </c>
      <c r="K175" s="563" t="s">
        <v>295</v>
      </c>
      <c r="L175" s="565">
        <v>43574</v>
      </c>
      <c r="M175" s="566">
        <v>6.2E-2</v>
      </c>
      <c r="N175" s="563" t="s">
        <v>404</v>
      </c>
      <c r="P175" s="566" t="str">
        <f>VLOOKUP(A175,'[1]Raw data'!$B:$BB,23,FALSE)</f>
        <v>RMB</v>
      </c>
      <c r="Q175" s="563" t="str">
        <f>VLOOKUP(A175,'[1]Raw data'!$B:$Z,2,FALSE)</f>
        <v>C49SZX20190073JL</v>
      </c>
      <c r="R175" s="563" t="str">
        <f>VLOOKUP(A175,'[1]Raw data'!$B:$Z,3,FALSE)</f>
        <v>力通威</v>
      </c>
      <c r="S175" s="563" t="str">
        <f>VLOOKUP(A175,'[1]Raw data'!$B:$Z,4,FALSE)</f>
        <v>YSM20R(SV)-2</v>
      </c>
      <c r="T175" s="563" t="str">
        <f>VLOOKUP(A175,'[1]Raw data'!$B:$Z,8,FALSE)</f>
        <v>L-&gt;R</v>
      </c>
      <c r="U175" s="563" t="str">
        <f>VLOOKUP(A175,'[1]Raw data'!$B:$Z,9,FALSE)</f>
        <v>No</v>
      </c>
      <c r="V175" s="567" t="str">
        <f t="shared" si="29"/>
        <v>OK</v>
      </c>
      <c r="W175" s="563" t="str">
        <f>VLOOKUP(A175,'[1]Raw data'!$B:$AG,32,FALSE)</f>
        <v>含税到厂</v>
      </c>
      <c r="X175" s="563">
        <f>VLOOKUP(A175,'[1]Raw data'!$B:$BA,31,FALSE)</f>
        <v>43612</v>
      </c>
      <c r="Y175" s="563" t="str">
        <f>VLOOKUP(A175,'[1]Raw data'!$B:$AS,39,FALSE)</f>
        <v>Yes</v>
      </c>
      <c r="Z175" s="568" t="s">
        <v>329</v>
      </c>
      <c r="AA175" s="569" t="s">
        <v>329</v>
      </c>
      <c r="AB175" s="570"/>
      <c r="AC175" s="563" t="s">
        <v>565</v>
      </c>
      <c r="AN175" s="542"/>
      <c r="AO175" s="824" t="str">
        <f t="shared" si="21"/>
        <v>Yes</v>
      </c>
      <c r="AP175" s="259" t="str">
        <f t="shared" si="22"/>
        <v>JUN 19</v>
      </c>
      <c r="AQ175" s="542" t="str">
        <f t="shared" si="23"/>
        <v>有定金+有預留客戶</v>
      </c>
      <c r="AR175" s="259" t="str">
        <f t="shared" si="24"/>
        <v>Shipped_Stock</v>
      </c>
      <c r="AS175" s="259" t="str">
        <f t="shared" si="25"/>
        <v/>
      </c>
      <c r="AT175" s="259" t="str">
        <f t="shared" si="26"/>
        <v>力通威</v>
      </c>
      <c r="AU175" s="259" t="str">
        <f t="shared" si="27"/>
        <v>C49SZX20190073JL</v>
      </c>
      <c r="AV175" s="259" t="str">
        <f t="shared" si="28"/>
        <v>Apr-19</v>
      </c>
    </row>
    <row r="176" spans="1:69" s="837" customFormat="1" ht="15" hidden="1" customHeight="1">
      <c r="A176" s="559">
        <v>394</v>
      </c>
      <c r="B176" s="563" t="s">
        <v>280</v>
      </c>
      <c r="C176" s="560" t="s">
        <v>281</v>
      </c>
      <c r="D176" s="564">
        <v>109526</v>
      </c>
      <c r="E176" s="563" t="s">
        <v>485</v>
      </c>
      <c r="F176" s="563" t="s">
        <v>256</v>
      </c>
      <c r="G176" s="563" t="s">
        <v>24</v>
      </c>
      <c r="H176" s="563" t="s">
        <v>26</v>
      </c>
      <c r="I176" s="564" t="s">
        <v>579</v>
      </c>
      <c r="J176" s="564">
        <v>1</v>
      </c>
      <c r="K176" s="563" t="s">
        <v>295</v>
      </c>
      <c r="L176" s="565">
        <v>43574</v>
      </c>
      <c r="M176" s="566">
        <v>6.2E-2</v>
      </c>
      <c r="N176" s="563" t="s">
        <v>320</v>
      </c>
      <c r="O176" s="564">
        <v>2019.03</v>
      </c>
      <c r="P176" s="566" t="str">
        <f>VLOOKUP(A176,'[1]Raw data'!$B:$BB,23,FALSE)</f>
        <v>RMB</v>
      </c>
      <c r="Q176" s="563" t="str">
        <f>VLOOKUP(A176,'[1]Raw data'!$B:$Z,2,FALSE)</f>
        <v>C49SZX20190119SX</v>
      </c>
      <c r="R176" s="563" t="str">
        <f>VLOOKUP(A176,'[1]Raw data'!$B:$Z,3,FALSE)</f>
        <v>太美亚</v>
      </c>
      <c r="S176" s="563" t="str">
        <f>VLOOKUP(A176,'[1]Raw data'!$B:$Z,4,FALSE)</f>
        <v>YSM20R(SV)-2</v>
      </c>
      <c r="T176" s="563" t="str">
        <f>VLOOKUP(A176,'[1]Raw data'!$B:$Z,8,FALSE)</f>
        <v>L-&gt;R</v>
      </c>
      <c r="U176" s="563" t="str">
        <f>VLOOKUP(A176,'[1]Raw data'!$B:$Z,9,FALSE)</f>
        <v>No</v>
      </c>
      <c r="V176" s="567" t="str">
        <f t="shared" si="29"/>
        <v>OK</v>
      </c>
      <c r="W176" s="563" t="str">
        <f>VLOOKUP(A176,'[1]Raw data'!$B:$AG,32,FALSE)</f>
        <v>含税到厂</v>
      </c>
      <c r="X176" s="563">
        <f>VLOOKUP(A176,'[1]Raw data'!$B:$BA,31,FALSE)</f>
        <v>43693</v>
      </c>
      <c r="Y176" s="563" t="str">
        <f>VLOOKUP(A176,'[1]Raw data'!$B:$AS,39,FALSE)</f>
        <v>Yes</v>
      </c>
      <c r="Z176" s="568" t="s">
        <v>329</v>
      </c>
      <c r="AA176" s="569" t="s">
        <v>329</v>
      </c>
      <c r="AB176" s="570"/>
      <c r="AC176" s="563" t="s">
        <v>476</v>
      </c>
      <c r="AD176" s="571"/>
      <c r="AE176" s="571"/>
      <c r="AF176" s="571"/>
      <c r="AG176" s="571"/>
      <c r="AH176" s="571"/>
      <c r="AI176" s="572"/>
      <c r="AJ176" s="571"/>
      <c r="AK176" s="571"/>
      <c r="AL176" s="571"/>
      <c r="AM176" s="571"/>
      <c r="AN176" s="542"/>
      <c r="AO176" s="824" t="str">
        <f t="shared" si="21"/>
        <v>Yes</v>
      </c>
      <c r="AP176" s="259" t="str">
        <f t="shared" si="22"/>
        <v>SEP 19</v>
      </c>
      <c r="AQ176" s="542" t="str">
        <f t="shared" si="23"/>
        <v>有定金+有預留客戶</v>
      </c>
      <c r="AR176" s="259" t="str">
        <f t="shared" si="24"/>
        <v>Shipped_Stock</v>
      </c>
      <c r="AS176" s="259" t="str">
        <f t="shared" si="25"/>
        <v/>
      </c>
      <c r="AT176" s="259" t="str">
        <f t="shared" si="26"/>
        <v>太美亚</v>
      </c>
      <c r="AU176" s="259" t="str">
        <f t="shared" si="27"/>
        <v>C49SZX20190119SX</v>
      </c>
      <c r="AV176" s="259" t="str">
        <f t="shared" si="28"/>
        <v>Apr-19</v>
      </c>
      <c r="AW176" s="259"/>
      <c r="AX176" s="259"/>
      <c r="AY176" s="259"/>
      <c r="AZ176" s="259"/>
      <c r="BA176" s="259"/>
      <c r="BB176" s="259"/>
      <c r="BC176" s="259"/>
      <c r="BD176" s="259"/>
      <c r="BE176" s="259"/>
      <c r="BF176" s="259"/>
      <c r="BG176" s="259"/>
      <c r="BH176" s="259"/>
      <c r="BI176" s="259"/>
      <c r="BJ176" s="259"/>
      <c r="BK176" s="259"/>
      <c r="BL176" s="259"/>
      <c r="BM176" s="259"/>
      <c r="BN176" s="259"/>
      <c r="BO176" s="259"/>
      <c r="BP176" s="259"/>
      <c r="BQ176" s="259"/>
    </row>
    <row r="177" spans="1:69" s="837" customFormat="1" ht="15" hidden="1" customHeight="1">
      <c r="A177" s="559">
        <v>438</v>
      </c>
      <c r="B177" s="563" t="s">
        <v>280</v>
      </c>
      <c r="C177" s="560" t="s">
        <v>281</v>
      </c>
      <c r="D177" s="564">
        <v>109263</v>
      </c>
      <c r="E177" s="563" t="s">
        <v>577</v>
      </c>
      <c r="F177" s="563" t="s">
        <v>256</v>
      </c>
      <c r="G177" s="563" t="s">
        <v>24</v>
      </c>
      <c r="H177" s="563" t="s">
        <v>159</v>
      </c>
      <c r="I177" s="564" t="s">
        <v>580</v>
      </c>
      <c r="J177" s="564">
        <v>1</v>
      </c>
      <c r="K177" s="563" t="s">
        <v>437</v>
      </c>
      <c r="L177" s="565">
        <v>43574</v>
      </c>
      <c r="M177" s="566">
        <v>6.2E-2</v>
      </c>
      <c r="N177" s="563" t="s">
        <v>504</v>
      </c>
      <c r="O177" s="564">
        <v>2019.03</v>
      </c>
      <c r="P177" s="566" t="str">
        <f>VLOOKUP(A177,'[1]Raw data'!$B:$BB,23,FALSE)</f>
        <v>USD</v>
      </c>
      <c r="Q177" s="563" t="str">
        <f>VLOOKUP(A177,'[1]Raw data'!$B:$Z,2,FALSE)</f>
        <v>C49SZX20190138ZX</v>
      </c>
      <c r="R177" s="563" t="str">
        <f>VLOOKUP(A177,'[1]Raw data'!$B:$Z,3,FALSE)</f>
        <v>Bittele 比泰利</v>
      </c>
      <c r="S177" s="563" t="str">
        <f>VLOOKUP(A177,'[1]Raw data'!$B:$Z,4,FALSE)</f>
        <v>YSM20R(SV)-2</v>
      </c>
      <c r="T177" s="563" t="str">
        <f>VLOOKUP(A177,'[1]Raw data'!$B:$Z,8,FALSE)</f>
        <v>L-&gt;R</v>
      </c>
      <c r="U177" s="563" t="str">
        <f>VLOOKUP(A177,'[1]Raw data'!$B:$Z,9,FALSE)</f>
        <v>cATS10+MVC+special layout</v>
      </c>
      <c r="V177" s="567" t="str">
        <f t="shared" si="29"/>
        <v>OK</v>
      </c>
      <c r="W177" s="563" t="str">
        <f>VLOOKUP(A177,'[1]Raw data'!$B:$AG,32,FALSE)</f>
        <v>CIF HK</v>
      </c>
      <c r="X177" s="563">
        <f>VLOOKUP(A177,'[1]Raw data'!$B:$BA,31,FALSE)</f>
        <v>43748</v>
      </c>
      <c r="Y177" s="563" t="str">
        <f>VLOOKUP(A177,'[1]Raw data'!$B:$AS,39,FALSE)</f>
        <v>Yes</v>
      </c>
      <c r="Z177" s="568"/>
      <c r="AA177" s="569"/>
      <c r="AB177" s="570"/>
      <c r="AC177" s="563" t="s">
        <v>505</v>
      </c>
      <c r="AD177" s="571"/>
      <c r="AE177" s="571"/>
      <c r="AF177" s="571"/>
      <c r="AG177" s="571"/>
      <c r="AH177" s="571"/>
      <c r="AI177" s="572"/>
      <c r="AJ177" s="571"/>
      <c r="AK177" s="571"/>
      <c r="AL177" s="571"/>
      <c r="AM177" s="571"/>
      <c r="AN177" s="542"/>
      <c r="AO177" s="824" t="str">
        <f t="shared" si="21"/>
        <v>Yes</v>
      </c>
      <c r="AP177" s="259" t="str">
        <f t="shared" si="22"/>
        <v>NOV 19</v>
      </c>
      <c r="AQ177" s="542" t="str">
        <f t="shared" si="23"/>
        <v>有定金+有預留客戶</v>
      </c>
      <c r="AR177" s="259" t="str">
        <f t="shared" si="24"/>
        <v>Shipped_Stock</v>
      </c>
      <c r="AS177" s="259" t="str">
        <f t="shared" si="25"/>
        <v/>
      </c>
      <c r="AT177" s="259" t="str">
        <f t="shared" si="26"/>
        <v>Bittele 比泰利</v>
      </c>
      <c r="AU177" s="259" t="str">
        <f t="shared" si="27"/>
        <v>C49SZX20190138ZX</v>
      </c>
      <c r="AV177" s="259" t="str">
        <f t="shared" si="28"/>
        <v>Apr-19</v>
      </c>
      <c r="AW177" s="259"/>
      <c r="AX177" s="259"/>
      <c r="AY177" s="259"/>
      <c r="AZ177" s="259"/>
      <c r="BA177" s="259"/>
      <c r="BB177" s="259"/>
      <c r="BC177" s="259"/>
      <c r="BD177" s="259"/>
      <c r="BE177" s="259"/>
      <c r="BF177" s="259"/>
      <c r="BG177" s="259"/>
      <c r="BH177" s="259"/>
      <c r="BI177" s="259"/>
      <c r="BJ177" s="259"/>
      <c r="BK177" s="259"/>
      <c r="BL177" s="259"/>
      <c r="BM177" s="259"/>
      <c r="BN177" s="259"/>
      <c r="BO177" s="259"/>
      <c r="BP177" s="259"/>
      <c r="BQ177" s="259"/>
    </row>
    <row r="178" spans="1:69" ht="15" hidden="1" customHeight="1">
      <c r="A178" s="559">
        <v>381</v>
      </c>
      <c r="B178" s="563" t="s">
        <v>280</v>
      </c>
      <c r="C178" s="560" t="s">
        <v>281</v>
      </c>
      <c r="D178" s="564">
        <v>109526</v>
      </c>
      <c r="E178" s="563" t="s">
        <v>485</v>
      </c>
      <c r="F178" s="563" t="s">
        <v>256</v>
      </c>
      <c r="G178" s="563" t="s">
        <v>24</v>
      </c>
      <c r="H178" s="563" t="s">
        <v>26</v>
      </c>
      <c r="I178" s="564" t="s">
        <v>581</v>
      </c>
      <c r="J178" s="564">
        <v>1</v>
      </c>
      <c r="K178" s="563" t="s">
        <v>437</v>
      </c>
      <c r="L178" s="565">
        <v>43574</v>
      </c>
      <c r="M178" s="566">
        <v>6.2E-2</v>
      </c>
      <c r="N178" s="563" t="s">
        <v>417</v>
      </c>
      <c r="O178" s="564">
        <v>2019.03</v>
      </c>
      <c r="P178" s="566" t="str">
        <f>VLOOKUP(A178,'[1]Raw data'!$B:$BB,23,FALSE)</f>
        <v>RMB</v>
      </c>
      <c r="Q178" s="563" t="str">
        <f>VLOOKUP(A178,'[1]Raw data'!$B:$Z,2,FALSE)</f>
        <v>C49SZX20190114MX</v>
      </c>
      <c r="R178" s="563" t="str">
        <f>VLOOKUP(A178,'[1]Raw data'!$B:$Z,3,FALSE)</f>
        <v>城宇</v>
      </c>
      <c r="S178" s="563" t="str">
        <f>VLOOKUP(A178,'[1]Raw data'!$B:$Z,4,FALSE)</f>
        <v>YSM20R(SV)-2</v>
      </c>
      <c r="T178" s="563" t="str">
        <f>VLOOKUP(A178,'[1]Raw data'!$B:$Z,8,FALSE)</f>
        <v>L-&gt;R</v>
      </c>
      <c r="U178" s="563" t="str">
        <f>VLOOKUP(A178,'[1]Raw data'!$B:$Z,9,FALSE)</f>
        <v>No</v>
      </c>
      <c r="V178" s="567" t="str">
        <f t="shared" si="29"/>
        <v>OK</v>
      </c>
      <c r="W178" s="563" t="str">
        <f>VLOOKUP(A178,'[1]Raw data'!$B:$AG,32,FALSE)</f>
        <v>含税到厂</v>
      </c>
      <c r="X178" s="563">
        <f>VLOOKUP(A178,'[1]Raw data'!$B:$BA,31,FALSE)</f>
        <v>43685</v>
      </c>
      <c r="Y178" s="563" t="str">
        <f>VLOOKUP(A178,'[1]Raw data'!$B:$AS,39,FALSE)</f>
        <v>Yes</v>
      </c>
      <c r="Z178" s="568" t="s">
        <v>329</v>
      </c>
      <c r="AA178" s="569" t="s">
        <v>329</v>
      </c>
      <c r="AB178" s="570"/>
      <c r="AC178" s="563" t="s">
        <v>291</v>
      </c>
      <c r="AN178" s="542"/>
      <c r="AO178" s="824" t="str">
        <f t="shared" si="21"/>
        <v>Yes</v>
      </c>
      <c r="AP178" s="259" t="str">
        <f t="shared" si="22"/>
        <v>AUG 19</v>
      </c>
      <c r="AQ178" s="542" t="str">
        <f t="shared" si="23"/>
        <v>有定金+有預留客戶</v>
      </c>
      <c r="AR178" s="259" t="str">
        <f t="shared" si="24"/>
        <v>Shipped_Stock</v>
      </c>
      <c r="AS178" s="259" t="str">
        <f t="shared" si="25"/>
        <v/>
      </c>
      <c r="AT178" s="259" t="str">
        <f t="shared" si="26"/>
        <v>城宇</v>
      </c>
      <c r="AU178" s="259" t="str">
        <f t="shared" si="27"/>
        <v>C49SZX20190114MX</v>
      </c>
      <c r="AV178" s="259" t="str">
        <f t="shared" si="28"/>
        <v>Apr-19</v>
      </c>
    </row>
    <row r="179" spans="1:69" ht="15" hidden="1" customHeight="1">
      <c r="A179" s="559">
        <v>359</v>
      </c>
      <c r="B179" s="563" t="s">
        <v>280</v>
      </c>
      <c r="C179" s="560" t="s">
        <v>281</v>
      </c>
      <c r="D179" s="564">
        <v>109526</v>
      </c>
      <c r="E179" s="563" t="s">
        <v>485</v>
      </c>
      <c r="F179" s="563" t="s">
        <v>256</v>
      </c>
      <c r="G179" s="563" t="s">
        <v>24</v>
      </c>
      <c r="H179" s="563" t="s">
        <v>26</v>
      </c>
      <c r="I179" s="564" t="s">
        <v>582</v>
      </c>
      <c r="J179" s="564">
        <v>1</v>
      </c>
      <c r="K179" s="563" t="s">
        <v>437</v>
      </c>
      <c r="L179" s="565">
        <v>43574</v>
      </c>
      <c r="M179" s="566">
        <v>6.2E-2</v>
      </c>
      <c r="N179" s="563" t="s">
        <v>325</v>
      </c>
      <c r="O179" s="564">
        <v>2019.03</v>
      </c>
      <c r="P179" s="566" t="str">
        <f>VLOOKUP(A179,'[1]Raw data'!$B:$BB,23,FALSE)</f>
        <v>RMB</v>
      </c>
      <c r="Q179" s="563" t="str">
        <f>VLOOKUP(A179,'[1]Raw data'!$B:$Z,2,FALSE)</f>
        <v>C49SZX20190102SX</v>
      </c>
      <c r="R179" s="563" t="str">
        <f>VLOOKUP(A179,'[1]Raw data'!$B:$Z,3,FALSE)</f>
        <v>凯瑞丰</v>
      </c>
      <c r="S179" s="563" t="str">
        <f>VLOOKUP(A179,'[1]Raw data'!$B:$Z,4,FALSE)</f>
        <v>YSM20R(SV)-2</v>
      </c>
      <c r="T179" s="563" t="str">
        <f>VLOOKUP(A179,'[1]Raw data'!$B:$Z,8,FALSE)</f>
        <v>L-&gt;R</v>
      </c>
      <c r="U179" s="563" t="str">
        <f>VLOOKUP(A179,'[1]Raw data'!$B:$Z,9,FALSE)</f>
        <v>No</v>
      </c>
      <c r="V179" s="567" t="str">
        <f t="shared" si="29"/>
        <v>OK</v>
      </c>
      <c r="W179" s="563" t="str">
        <f>VLOOKUP(A179,'[1]Raw data'!$B:$AG,32,FALSE)</f>
        <v>含税到厂</v>
      </c>
      <c r="X179" s="563">
        <f>VLOOKUP(A179,'[1]Raw data'!$B:$BA,31,FALSE)</f>
        <v>43635</v>
      </c>
      <c r="Y179" s="563" t="str">
        <f>VLOOKUP(A179,'[1]Raw data'!$B:$AS,39,FALSE)</f>
        <v>Yes</v>
      </c>
      <c r="Z179" s="568"/>
      <c r="AA179" s="569"/>
      <c r="AB179" s="570"/>
      <c r="AC179" s="563" t="s">
        <v>583</v>
      </c>
      <c r="AN179" s="542"/>
      <c r="AO179" s="824" t="str">
        <f t="shared" si="21"/>
        <v>Yes</v>
      </c>
      <c r="AP179" s="259" t="str">
        <f t="shared" si="22"/>
        <v>JUL 19</v>
      </c>
      <c r="AQ179" s="542" t="str">
        <f t="shared" si="23"/>
        <v>有定金+有預留客戶</v>
      </c>
      <c r="AR179" s="259" t="str">
        <f t="shared" si="24"/>
        <v>Shipped_Stock</v>
      </c>
      <c r="AS179" s="259" t="str">
        <f t="shared" si="25"/>
        <v/>
      </c>
      <c r="AT179" s="259" t="str">
        <f t="shared" si="26"/>
        <v>凯瑞丰</v>
      </c>
      <c r="AU179" s="259" t="str">
        <f t="shared" si="27"/>
        <v>C49SZX20190102SX</v>
      </c>
      <c r="AV179" s="259" t="str">
        <f t="shared" si="28"/>
        <v>Apr-19</v>
      </c>
    </row>
    <row r="180" spans="1:69" ht="15" hidden="1" customHeight="1">
      <c r="A180" s="559">
        <v>532</v>
      </c>
      <c r="B180" s="563" t="s">
        <v>280</v>
      </c>
      <c r="C180" s="560" t="s">
        <v>281</v>
      </c>
      <c r="D180" s="564" t="s">
        <v>584</v>
      </c>
      <c r="E180" s="563" t="s">
        <v>585</v>
      </c>
      <c r="F180" s="563" t="s">
        <v>149</v>
      </c>
      <c r="G180" s="563" t="s">
        <v>283</v>
      </c>
      <c r="H180" s="563" t="s">
        <v>26</v>
      </c>
      <c r="I180" s="564" t="s">
        <v>586</v>
      </c>
      <c r="J180" s="564">
        <v>1</v>
      </c>
      <c r="K180" s="563" t="s">
        <v>295</v>
      </c>
      <c r="L180" s="565">
        <v>43586</v>
      </c>
      <c r="M180" s="566">
        <v>5.9499999999999997E-2</v>
      </c>
      <c r="N180" s="563" t="s">
        <v>286</v>
      </c>
      <c r="O180" s="574"/>
      <c r="P180" s="566" t="str">
        <f>VLOOKUP(A180,'[1]Raw data'!$B:$BB,23,FALSE)</f>
        <v>RMB</v>
      </c>
      <c r="Q180" s="563" t="str">
        <f>VLOOKUP(A180,'[1]Raw data'!$B:$Z,2,FALSE)</f>
        <v>C49SZX20190149SX</v>
      </c>
      <c r="R180" s="563" t="str">
        <f>VLOOKUP(A180,'[1]Raw data'!$B:$Z,3,FALSE)</f>
        <v>锐诚</v>
      </c>
      <c r="S180" s="563" t="str">
        <f>VLOOKUP(A180,'[1]Raw data'!$B:$Z,4,FALSE)</f>
        <v>YSM40R-4</v>
      </c>
      <c r="T180" s="563" t="str">
        <f>VLOOKUP(A180,'[1]Raw data'!$B:$Z,8,FALSE)</f>
        <v>No</v>
      </c>
      <c r="U180" s="563" t="str">
        <f>VLOOKUP(A180,'[1]Raw data'!$B:$Z,9,FALSE)</f>
        <v>No</v>
      </c>
      <c r="V180" s="567" t="str">
        <f t="shared" si="29"/>
        <v>OK</v>
      </c>
      <c r="W180" s="563" t="str">
        <f>VLOOKUP(A180,'[1]Raw data'!$B:$AG,32,FALSE)</f>
        <v>DDP HZ</v>
      </c>
      <c r="X180" s="563">
        <f>VLOOKUP(A180,'[1]Raw data'!$B:$BA,31,FALSE)</f>
        <v>43810</v>
      </c>
      <c r="Y180" s="563" t="str">
        <f>VLOOKUP(A180,'[1]Raw data'!$B:$AS,39,FALSE)</f>
        <v>Yes</v>
      </c>
      <c r="Z180" s="568"/>
      <c r="AA180" s="569" t="s">
        <v>329</v>
      </c>
      <c r="AB180" s="570"/>
      <c r="AC180" s="563" t="s">
        <v>563</v>
      </c>
      <c r="AN180" s="542"/>
      <c r="AO180" s="824" t="str">
        <f t="shared" si="21"/>
        <v>Yes</v>
      </c>
      <c r="AP180" s="259" t="str">
        <f t="shared" si="22"/>
        <v>DEC 19</v>
      </c>
      <c r="AQ180" s="542" t="str">
        <f t="shared" si="23"/>
        <v>有定金+有預留客戶</v>
      </c>
      <c r="AR180" s="259" t="str">
        <f t="shared" si="24"/>
        <v>Shipped_Stock</v>
      </c>
      <c r="AS180" s="259" t="str">
        <f t="shared" si="25"/>
        <v/>
      </c>
      <c r="AT180" s="259" t="str">
        <f t="shared" si="26"/>
        <v>锐诚</v>
      </c>
      <c r="AU180" s="259" t="str">
        <f t="shared" si="27"/>
        <v>C49SZX20190149SX</v>
      </c>
      <c r="AV180" s="259" t="str">
        <f t="shared" si="28"/>
        <v>May-01</v>
      </c>
    </row>
    <row r="181" spans="1:69" ht="15" hidden="1" customHeight="1">
      <c r="A181" s="559">
        <v>410</v>
      </c>
      <c r="B181" s="563" t="s">
        <v>280</v>
      </c>
      <c r="C181" s="560" t="s">
        <v>281</v>
      </c>
      <c r="D181" s="564">
        <v>109390</v>
      </c>
      <c r="E181" s="563" t="s">
        <v>587</v>
      </c>
      <c r="F181" s="563" t="s">
        <v>256</v>
      </c>
      <c r="G181" s="563" t="s">
        <v>24</v>
      </c>
      <c r="H181" s="563" t="s">
        <v>26</v>
      </c>
      <c r="I181" s="564" t="s">
        <v>588</v>
      </c>
      <c r="J181" s="564">
        <v>1</v>
      </c>
      <c r="K181" s="563" t="s">
        <v>295</v>
      </c>
      <c r="L181" s="565">
        <v>43588</v>
      </c>
      <c r="M181" s="566">
        <v>6.1699999999999998E-2</v>
      </c>
      <c r="N181" s="563" t="s">
        <v>320</v>
      </c>
      <c r="O181" s="564">
        <v>2019.03</v>
      </c>
      <c r="P181" s="566" t="str">
        <f>VLOOKUP(A181,'[1]Raw data'!$B:$BB,23,FALSE)</f>
        <v>RMB</v>
      </c>
      <c r="Q181" s="563" t="str">
        <f>VLOOKUP(A181,'[1]Raw data'!$B:$Z,2,FALSE)</f>
        <v>C49SZX20190130JL</v>
      </c>
      <c r="R181" s="563" t="str">
        <f>VLOOKUP(A181,'[1]Raw data'!$B:$Z,3,FALSE)</f>
        <v>铭华</v>
      </c>
      <c r="S181" s="563" t="str">
        <f>VLOOKUP(A181,'[1]Raw data'!$B:$Z,4,FALSE)</f>
        <v>YSM20R(SV)-2</v>
      </c>
      <c r="T181" s="563" t="str">
        <f>VLOOKUP(A181,'[1]Raw data'!$B:$Z,8,FALSE)</f>
        <v>L-&gt;R</v>
      </c>
      <c r="U181" s="563" t="str">
        <f>VLOOKUP(A181,'[1]Raw data'!$B:$Z,9,FALSE)</f>
        <v>No</v>
      </c>
      <c r="V181" s="567" t="str">
        <f t="shared" si="29"/>
        <v>OK</v>
      </c>
      <c r="W181" s="563" t="str">
        <f>VLOOKUP(A181,'[1]Raw data'!$B:$AG,32,FALSE)</f>
        <v>含税到厂</v>
      </c>
      <c r="X181" s="563">
        <f>VLOOKUP(A181,'[1]Raw data'!$B:$BA,31,FALSE)</f>
        <v>43704</v>
      </c>
      <c r="Y181" s="563" t="str">
        <f>VLOOKUP(A181,'[1]Raw data'!$B:$AS,39,FALSE)</f>
        <v>Yes</v>
      </c>
      <c r="Z181" s="568" t="s">
        <v>329</v>
      </c>
      <c r="AA181" s="569" t="s">
        <v>329</v>
      </c>
      <c r="AB181" s="570"/>
      <c r="AC181" s="563" t="s">
        <v>589</v>
      </c>
      <c r="AN181" s="542"/>
      <c r="AO181" s="824" t="str">
        <f t="shared" si="21"/>
        <v>Yes</v>
      </c>
      <c r="AP181" s="259" t="str">
        <f t="shared" si="22"/>
        <v>SEP 19</v>
      </c>
      <c r="AQ181" s="542" t="str">
        <f t="shared" si="23"/>
        <v>有定金+有預留客戶</v>
      </c>
      <c r="AR181" s="259" t="str">
        <f t="shared" si="24"/>
        <v>Shipped_Stock</v>
      </c>
      <c r="AS181" s="259" t="str">
        <f t="shared" si="25"/>
        <v/>
      </c>
      <c r="AT181" s="259" t="str">
        <f t="shared" si="26"/>
        <v>铭华</v>
      </c>
      <c r="AU181" s="259" t="str">
        <f t="shared" si="27"/>
        <v>C49SZX20190130JL</v>
      </c>
      <c r="AV181" s="259" t="str">
        <f t="shared" si="28"/>
        <v>May-03</v>
      </c>
    </row>
    <row r="182" spans="1:69" ht="15" hidden="1" customHeight="1">
      <c r="A182" s="559">
        <v>403</v>
      </c>
      <c r="B182" s="563" t="s">
        <v>280</v>
      </c>
      <c r="C182" s="560" t="s">
        <v>281</v>
      </c>
      <c r="D182" s="564">
        <v>109390</v>
      </c>
      <c r="E182" s="563" t="s">
        <v>587</v>
      </c>
      <c r="F182" s="563" t="s">
        <v>256</v>
      </c>
      <c r="G182" s="563" t="s">
        <v>24</v>
      </c>
      <c r="H182" s="563" t="s">
        <v>26</v>
      </c>
      <c r="I182" s="564" t="s">
        <v>590</v>
      </c>
      <c r="J182" s="564">
        <v>1</v>
      </c>
      <c r="K182" s="563" t="s">
        <v>295</v>
      </c>
      <c r="L182" s="565">
        <v>43588</v>
      </c>
      <c r="M182" s="566">
        <v>6.1699999999999998E-2</v>
      </c>
      <c r="N182" s="563" t="s">
        <v>417</v>
      </c>
      <c r="O182" s="564">
        <v>2019.03</v>
      </c>
      <c r="P182" s="566" t="str">
        <f>VLOOKUP(A182,'[1]Raw data'!$B:$BB,23,FALSE)</f>
        <v>RMB</v>
      </c>
      <c r="Q182" s="563" t="str">
        <f>VLOOKUP(A182,'[1]Raw data'!$B:$Z,2,FALSE)</f>
        <v>C49SZX20190126MZ</v>
      </c>
      <c r="R182" s="563" t="str">
        <f>VLOOKUP(A182,'[1]Raw data'!$B:$Z,3,FALSE)</f>
        <v>天星创展</v>
      </c>
      <c r="S182" s="563" t="str">
        <f>VLOOKUP(A182,'[1]Raw data'!$B:$Z,4,FALSE)</f>
        <v>YSM20R(SV)-2</v>
      </c>
      <c r="T182" s="563" t="str">
        <f>VLOOKUP(A182,'[1]Raw data'!$B:$Z,8,FALSE)</f>
        <v>L-&gt;R</v>
      </c>
      <c r="U182" s="563" t="str">
        <f>VLOOKUP(A182,'[1]Raw data'!$B:$Z,9,FALSE)</f>
        <v>No</v>
      </c>
      <c r="V182" s="567" t="str">
        <f t="shared" si="29"/>
        <v>OK</v>
      </c>
      <c r="W182" s="563" t="str">
        <f>VLOOKUP(A182,'[1]Raw data'!$B:$AG,32,FALSE)</f>
        <v>含税到厂</v>
      </c>
      <c r="X182" s="563">
        <f>VLOOKUP(A182,'[1]Raw data'!$B:$BA,31,FALSE)</f>
        <v>43697</v>
      </c>
      <c r="Y182" s="563" t="str">
        <f>VLOOKUP(A182,'[1]Raw data'!$B:$AS,39,FALSE)</f>
        <v>Yes</v>
      </c>
      <c r="Z182" s="568" t="s">
        <v>329</v>
      </c>
      <c r="AA182" s="569" t="s">
        <v>329</v>
      </c>
      <c r="AB182" s="570"/>
      <c r="AC182" s="563" t="s">
        <v>591</v>
      </c>
      <c r="AN182" s="542"/>
      <c r="AO182" s="824" t="str">
        <f t="shared" si="21"/>
        <v>Yes</v>
      </c>
      <c r="AP182" s="259" t="str">
        <f t="shared" si="22"/>
        <v>AUG 19</v>
      </c>
      <c r="AQ182" s="542" t="str">
        <f t="shared" si="23"/>
        <v>有定金+有預留客戶</v>
      </c>
      <c r="AR182" s="259" t="str">
        <f t="shared" si="24"/>
        <v>Shipped_Stock</v>
      </c>
      <c r="AS182" s="259" t="str">
        <f t="shared" si="25"/>
        <v/>
      </c>
      <c r="AT182" s="259" t="str">
        <f t="shared" si="26"/>
        <v>天星创展</v>
      </c>
      <c r="AU182" s="259" t="str">
        <f t="shared" si="27"/>
        <v>C49SZX20190126MZ</v>
      </c>
      <c r="AV182" s="259" t="str">
        <f t="shared" si="28"/>
        <v>May-03</v>
      </c>
    </row>
    <row r="183" spans="1:69" ht="15" hidden="1" customHeight="1">
      <c r="A183" s="559">
        <v>303</v>
      </c>
      <c r="B183" s="563" t="s">
        <v>280</v>
      </c>
      <c r="C183" s="560" t="s">
        <v>281</v>
      </c>
      <c r="D183" s="564">
        <v>109390</v>
      </c>
      <c r="E183" s="563" t="s">
        <v>587</v>
      </c>
      <c r="F183" s="563" t="s">
        <v>256</v>
      </c>
      <c r="G183" s="563" t="s">
        <v>24</v>
      </c>
      <c r="H183" s="563" t="s">
        <v>26</v>
      </c>
      <c r="I183" s="564" t="s">
        <v>592</v>
      </c>
      <c r="J183" s="564">
        <v>1</v>
      </c>
      <c r="K183" s="563" t="s">
        <v>437</v>
      </c>
      <c r="L183" s="565">
        <v>43588</v>
      </c>
      <c r="M183" s="566">
        <v>6.1699999999999998E-2</v>
      </c>
      <c r="N183" s="563" t="s">
        <v>325</v>
      </c>
      <c r="O183" s="564">
        <v>2019.03</v>
      </c>
      <c r="P183" s="566" t="str">
        <f>VLOOKUP(A183,'[1]Raw data'!$B:$BB,23,FALSE)</f>
        <v>JPY</v>
      </c>
      <c r="Q183" s="563" t="str">
        <f>VLOOKUP(A183,'[1]Raw data'!$B:$Z,2,FALSE)</f>
        <v>C49SZX20190068ZX</v>
      </c>
      <c r="R183" s="563" t="str">
        <f>VLOOKUP(A183,'[1]Raw data'!$B:$Z,3,FALSE)</f>
        <v>梵想</v>
      </c>
      <c r="S183" s="563" t="str">
        <f>VLOOKUP(A183,'[1]Raw data'!$B:$Z,4,FALSE)</f>
        <v>YSM20R(SV)-2</v>
      </c>
      <c r="T183" s="563" t="str">
        <f>VLOOKUP(A183,'[1]Raw data'!$B:$Z,8,FALSE)</f>
        <v>L-&gt;R</v>
      </c>
      <c r="U183" s="563" t="str">
        <f>VLOOKUP(A183,'[1]Raw data'!$B:$Z,9,FALSE)</f>
        <v>No</v>
      </c>
      <c r="V183" s="567" t="str">
        <f t="shared" si="29"/>
        <v>OK</v>
      </c>
      <c r="W183" s="563" t="str">
        <f>VLOOKUP(A183,'[1]Raw data'!$B:$AG,32,FALSE)</f>
        <v>DAP SZ</v>
      </c>
      <c r="X183" s="563">
        <f>VLOOKUP(A183,'[1]Raw data'!$B:$BA,31,FALSE)</f>
        <v>43593</v>
      </c>
      <c r="Y183" s="563" t="str">
        <f>VLOOKUP(A183,'[1]Raw data'!$B:$AS,39,FALSE)</f>
        <v>Yes</v>
      </c>
      <c r="Z183" s="568" t="s">
        <v>329</v>
      </c>
      <c r="AA183" s="569" t="s">
        <v>593</v>
      </c>
      <c r="AB183" s="570"/>
      <c r="AC183" s="563" t="s">
        <v>594</v>
      </c>
      <c r="AN183" s="542"/>
      <c r="AO183" s="824" t="str">
        <f t="shared" si="21"/>
        <v>Yes</v>
      </c>
      <c r="AP183" s="259" t="str">
        <f t="shared" si="22"/>
        <v>JUL 19</v>
      </c>
      <c r="AQ183" s="542" t="str">
        <f t="shared" si="23"/>
        <v>有定金+有預留客戶</v>
      </c>
      <c r="AR183" s="259" t="str">
        <f t="shared" si="24"/>
        <v>Shipped_Stock</v>
      </c>
      <c r="AS183" s="259" t="str">
        <f t="shared" si="25"/>
        <v/>
      </c>
      <c r="AT183" s="259" t="str">
        <f t="shared" si="26"/>
        <v>梵想</v>
      </c>
      <c r="AU183" s="259" t="str">
        <f t="shared" si="27"/>
        <v>C49SZX20190068ZX</v>
      </c>
      <c r="AV183" s="259" t="str">
        <f t="shared" si="28"/>
        <v>May-03</v>
      </c>
    </row>
    <row r="184" spans="1:69" ht="15" hidden="1" customHeight="1">
      <c r="A184" s="559">
        <v>304</v>
      </c>
      <c r="B184" s="563" t="s">
        <v>280</v>
      </c>
      <c r="C184" s="560" t="s">
        <v>281</v>
      </c>
      <c r="D184" s="564">
        <v>109390</v>
      </c>
      <c r="E184" s="563" t="s">
        <v>587</v>
      </c>
      <c r="F184" s="563" t="s">
        <v>256</v>
      </c>
      <c r="G184" s="563" t="s">
        <v>24</v>
      </c>
      <c r="H184" s="563" t="s">
        <v>26</v>
      </c>
      <c r="I184" s="564" t="s">
        <v>595</v>
      </c>
      <c r="J184" s="564">
        <v>1</v>
      </c>
      <c r="K184" s="563" t="s">
        <v>437</v>
      </c>
      <c r="L184" s="565">
        <v>43588</v>
      </c>
      <c r="M184" s="566">
        <v>6.1699999999999998E-2</v>
      </c>
      <c r="N184" s="563" t="s">
        <v>325</v>
      </c>
      <c r="O184" s="564">
        <v>2019.03</v>
      </c>
      <c r="P184" s="566" t="str">
        <f>VLOOKUP(A184,'[1]Raw data'!$B:$BB,23,FALSE)</f>
        <v>JPY</v>
      </c>
      <c r="Q184" s="563" t="str">
        <f>VLOOKUP(A184,'[1]Raw data'!$B:$Z,2,FALSE)</f>
        <v>C49SZX20190068ZX</v>
      </c>
      <c r="R184" s="563" t="str">
        <f>VLOOKUP(A184,'[1]Raw data'!$B:$Z,3,FALSE)</f>
        <v>梵想</v>
      </c>
      <c r="S184" s="563" t="str">
        <f>VLOOKUP(A184,'[1]Raw data'!$B:$Z,4,FALSE)</f>
        <v>YSM20R(SV)-2</v>
      </c>
      <c r="T184" s="563" t="str">
        <f>VLOOKUP(A184,'[1]Raw data'!$B:$Z,8,FALSE)</f>
        <v>L-&gt;R</v>
      </c>
      <c r="U184" s="563" t="str">
        <f>VLOOKUP(A184,'[1]Raw data'!$B:$Z,9,FALSE)</f>
        <v>No</v>
      </c>
      <c r="V184" s="567" t="str">
        <f t="shared" si="29"/>
        <v>OK</v>
      </c>
      <c r="W184" s="563" t="str">
        <f>VLOOKUP(A184,'[1]Raw data'!$B:$AG,32,FALSE)</f>
        <v>DAP SZ</v>
      </c>
      <c r="X184" s="563">
        <f>VLOOKUP(A184,'[1]Raw data'!$B:$BA,31,FALSE)</f>
        <v>43593</v>
      </c>
      <c r="Y184" s="563" t="str">
        <f>VLOOKUP(A184,'[1]Raw data'!$B:$AS,39,FALSE)</f>
        <v>Yes</v>
      </c>
      <c r="Z184" s="568" t="s">
        <v>329</v>
      </c>
      <c r="AA184" s="569" t="s">
        <v>329</v>
      </c>
      <c r="AB184" s="570"/>
      <c r="AC184" s="563" t="s">
        <v>594</v>
      </c>
      <c r="AN184" s="542"/>
      <c r="AO184" s="824" t="str">
        <f t="shared" si="21"/>
        <v>Yes</v>
      </c>
      <c r="AP184" s="259" t="str">
        <f t="shared" si="22"/>
        <v>JUL 19</v>
      </c>
      <c r="AQ184" s="542" t="str">
        <f t="shared" si="23"/>
        <v>有定金+有預留客戶</v>
      </c>
      <c r="AR184" s="259" t="str">
        <f t="shared" si="24"/>
        <v>Shipped_Stock</v>
      </c>
      <c r="AS184" s="259" t="str">
        <f t="shared" si="25"/>
        <v/>
      </c>
      <c r="AT184" s="259" t="str">
        <f t="shared" si="26"/>
        <v>梵想</v>
      </c>
      <c r="AU184" s="259" t="str">
        <f t="shared" si="27"/>
        <v>C49SZX20190068ZX</v>
      </c>
      <c r="AV184" s="259" t="str">
        <f t="shared" si="28"/>
        <v>May-03</v>
      </c>
    </row>
    <row r="185" spans="1:69" ht="15" hidden="1" customHeight="1">
      <c r="A185" s="559">
        <v>354</v>
      </c>
      <c r="B185" s="563" t="s">
        <v>280</v>
      </c>
      <c r="C185" s="560" t="s">
        <v>281</v>
      </c>
      <c r="D185" s="564">
        <v>109497</v>
      </c>
      <c r="E185" s="563" t="s">
        <v>596</v>
      </c>
      <c r="F185" s="563" t="s">
        <v>256</v>
      </c>
      <c r="G185" s="563" t="s">
        <v>24</v>
      </c>
      <c r="H185" s="563" t="s">
        <v>27</v>
      </c>
      <c r="I185" s="564" t="s">
        <v>597</v>
      </c>
      <c r="J185" s="564">
        <v>1</v>
      </c>
      <c r="K185" s="563" t="s">
        <v>295</v>
      </c>
      <c r="L185" s="565">
        <v>43593</v>
      </c>
      <c r="M185" s="566">
        <v>6.1699999999999998E-2</v>
      </c>
      <c r="N185" s="563" t="s">
        <v>404</v>
      </c>
      <c r="O185" s="564">
        <v>2019.03</v>
      </c>
      <c r="P185" s="566" t="str">
        <f>VLOOKUP(A185,'[1]Raw data'!$B:$BB,23,FALSE)</f>
        <v>RMB</v>
      </c>
      <c r="Q185" s="563" t="str">
        <f>VLOOKUP(A185,'[1]Raw data'!$B:$Z,2,FALSE)</f>
        <v>C49SZX20190095ZX</v>
      </c>
      <c r="R185" s="563" t="str">
        <f>VLOOKUP(A185,'[1]Raw data'!$B:$Z,3,FALSE)</f>
        <v>恒泰创新</v>
      </c>
      <c r="S185" s="563" t="str">
        <f>VLOOKUP(A185,'[1]Raw data'!$B:$Z,4,FALSE)</f>
        <v>YSM20R(SV)-2</v>
      </c>
      <c r="T185" s="563" t="str">
        <f>VLOOKUP(A185,'[1]Raw data'!$B:$Z,8,FALSE)</f>
        <v>L-&gt;R</v>
      </c>
      <c r="U185" s="563" t="str">
        <f>VLOOKUP(A185,'[1]Raw data'!$B:$Z,9,FALSE)</f>
        <v>MVC</v>
      </c>
      <c r="V185" s="567" t="str">
        <f t="shared" si="29"/>
        <v>OK</v>
      </c>
      <c r="W185" s="563" t="str">
        <f>VLOOKUP(A185,'[1]Raw data'!$B:$AG,32,FALSE)</f>
        <v>含税到厂</v>
      </c>
      <c r="X185" s="563">
        <f>VLOOKUP(A185,'[1]Raw data'!$B:$BA,31,FALSE)</f>
        <v>43633</v>
      </c>
      <c r="Y185" s="563" t="str">
        <f>VLOOKUP(A185,'[1]Raw data'!$B:$AS,39,FALSE)</f>
        <v>Yes</v>
      </c>
      <c r="Z185" s="568" t="s">
        <v>329</v>
      </c>
      <c r="AA185" s="569" t="s">
        <v>329</v>
      </c>
      <c r="AB185" s="570"/>
      <c r="AC185" s="563" t="s">
        <v>598</v>
      </c>
      <c r="AN185" s="542"/>
      <c r="AO185" s="824" t="str">
        <f t="shared" si="21"/>
        <v>Yes</v>
      </c>
      <c r="AP185" s="259" t="str">
        <f t="shared" si="22"/>
        <v>JUN 19</v>
      </c>
      <c r="AQ185" s="542" t="str">
        <f t="shared" si="23"/>
        <v>有定金+有預留客戶</v>
      </c>
      <c r="AR185" s="259" t="str">
        <f t="shared" si="24"/>
        <v>Shipped_Stock</v>
      </c>
      <c r="AS185" s="259" t="str">
        <f t="shared" si="25"/>
        <v/>
      </c>
      <c r="AT185" s="259" t="str">
        <f t="shared" si="26"/>
        <v>恒泰创新</v>
      </c>
      <c r="AU185" s="259" t="str">
        <f t="shared" si="27"/>
        <v>C49SZX20190095ZX</v>
      </c>
      <c r="AV185" s="259" t="str">
        <f t="shared" si="28"/>
        <v>May-08</v>
      </c>
    </row>
    <row r="186" spans="1:69" ht="15" hidden="1" customHeight="1">
      <c r="A186" s="559">
        <v>277</v>
      </c>
      <c r="B186" s="563" t="s">
        <v>280</v>
      </c>
      <c r="C186" s="560" t="s">
        <v>281</v>
      </c>
      <c r="D186" s="564">
        <v>109497</v>
      </c>
      <c r="E186" s="563" t="s">
        <v>596</v>
      </c>
      <c r="F186" s="563" t="s">
        <v>256</v>
      </c>
      <c r="G186" s="563" t="s">
        <v>24</v>
      </c>
      <c r="H186" s="563" t="s">
        <v>27</v>
      </c>
      <c r="I186" s="564" t="s">
        <v>599</v>
      </c>
      <c r="J186" s="564">
        <v>1</v>
      </c>
      <c r="K186" s="563" t="s">
        <v>437</v>
      </c>
      <c r="L186" s="565">
        <v>43593</v>
      </c>
      <c r="M186" s="566">
        <v>6.1699999999999998E-2</v>
      </c>
      <c r="N186" s="563" t="s">
        <v>404</v>
      </c>
      <c r="O186" s="564">
        <v>2019.03</v>
      </c>
      <c r="P186" s="566" t="str">
        <f>VLOOKUP(A186,'[1]Raw data'!$B:$BB,23,FALSE)</f>
        <v>JPY</v>
      </c>
      <c r="Q186" s="563" t="str">
        <f>VLOOKUP(A186,'[1]Raw data'!$B:$Z,2,FALSE)</f>
        <v>C49SZX20190043SX</v>
      </c>
      <c r="R186" s="563" t="str">
        <f>VLOOKUP(A186,'[1]Raw data'!$B:$Z,3,FALSE)</f>
        <v>丰硕</v>
      </c>
      <c r="S186" s="563" t="str">
        <f>VLOOKUP(A186,'[1]Raw data'!$B:$Z,4,FALSE)</f>
        <v>YSM20R(SV)-2</v>
      </c>
      <c r="T186" s="563" t="str">
        <f>VLOOKUP(A186,'[1]Raw data'!$B:$Z,8,FALSE)</f>
        <v>L-&gt;R</v>
      </c>
      <c r="U186" s="563" t="str">
        <f>VLOOKUP(A186,'[1]Raw data'!$B:$Z,9,FALSE)</f>
        <v>MVC</v>
      </c>
      <c r="V186" s="567" t="str">
        <f t="shared" ref="V186:V212" si="30">IF(G186&amp;H186=T186&amp;U186,"OK","WRONG")</f>
        <v>OK</v>
      </c>
      <c r="W186" s="563" t="str">
        <f>VLOOKUP(A186,'[1]Raw data'!$B:$AG,32,FALSE)</f>
        <v>DAP 恩平</v>
      </c>
      <c r="X186" s="563">
        <f>VLOOKUP(A186,'[1]Raw data'!$B:$BA,31,FALSE)</f>
        <v>43557</v>
      </c>
      <c r="Y186" s="563" t="str">
        <f>VLOOKUP(A186,'[1]Raw data'!$B:$AS,39,FALSE)</f>
        <v>Yes</v>
      </c>
      <c r="Z186" s="568" t="s">
        <v>329</v>
      </c>
      <c r="AA186" s="569" t="s">
        <v>329</v>
      </c>
      <c r="AB186" s="570"/>
      <c r="AC186" s="563" t="s">
        <v>569</v>
      </c>
      <c r="AN186" s="542"/>
      <c r="AO186" s="824" t="str">
        <f t="shared" si="21"/>
        <v>Yes</v>
      </c>
      <c r="AP186" s="259" t="str">
        <f t="shared" si="22"/>
        <v>JUN 19</v>
      </c>
      <c r="AQ186" s="542" t="str">
        <f t="shared" si="23"/>
        <v>有定金+有預留客戶</v>
      </c>
      <c r="AR186" s="259" t="str">
        <f t="shared" si="24"/>
        <v>Shipped_Stock</v>
      </c>
      <c r="AS186" s="259" t="str">
        <f t="shared" si="25"/>
        <v/>
      </c>
      <c r="AT186" s="259" t="str">
        <f t="shared" si="26"/>
        <v>丰硕</v>
      </c>
      <c r="AU186" s="259" t="str">
        <f t="shared" si="27"/>
        <v>C49SZX20190043SX</v>
      </c>
      <c r="AV186" s="259" t="str">
        <f t="shared" si="28"/>
        <v>May-08</v>
      </c>
    </row>
    <row r="187" spans="1:69" ht="15" hidden="1" customHeight="1">
      <c r="A187" s="559">
        <v>322</v>
      </c>
      <c r="B187" s="563" t="s">
        <v>280</v>
      </c>
      <c r="C187" s="560" t="s">
        <v>281</v>
      </c>
      <c r="D187" s="564">
        <v>109497</v>
      </c>
      <c r="E187" s="563" t="s">
        <v>596</v>
      </c>
      <c r="F187" s="563" t="s">
        <v>256</v>
      </c>
      <c r="G187" s="563" t="s">
        <v>24</v>
      </c>
      <c r="H187" s="563" t="s">
        <v>27</v>
      </c>
      <c r="I187" s="564" t="s">
        <v>600</v>
      </c>
      <c r="J187" s="564">
        <v>1</v>
      </c>
      <c r="K187" s="563" t="s">
        <v>437</v>
      </c>
      <c r="L187" s="565">
        <v>43593</v>
      </c>
      <c r="M187" s="566">
        <v>6.1699999999999998E-2</v>
      </c>
      <c r="N187" s="563" t="s">
        <v>325</v>
      </c>
      <c r="O187" s="564">
        <v>2019.03</v>
      </c>
      <c r="P187" s="566" t="str">
        <f>VLOOKUP(A187,'[1]Raw data'!$B:$BB,23,FALSE)</f>
        <v>RMB</v>
      </c>
      <c r="Q187" s="563" t="str">
        <f>VLOOKUP(A187,'[1]Raw data'!$B:$Z,2,FALSE)</f>
        <v>C49SZX20190065JY</v>
      </c>
      <c r="R187" s="563" t="str">
        <f>VLOOKUP(A187,'[1]Raw data'!$B:$Z,3,FALSE)</f>
        <v>旭日</v>
      </c>
      <c r="S187" s="563" t="str">
        <f>VLOOKUP(A187,'[1]Raw data'!$B:$Z,4,FALSE)</f>
        <v>YSM20R(SV)-2</v>
      </c>
      <c r="T187" s="563" t="str">
        <f>VLOOKUP(A187,'[1]Raw data'!$B:$Z,8,FALSE)</f>
        <v>L-&gt;R</v>
      </c>
      <c r="U187" s="563" t="str">
        <f>VLOOKUP(A187,'[1]Raw data'!$B:$Z,9,FALSE)</f>
        <v>MVC</v>
      </c>
      <c r="V187" s="567" t="str">
        <f t="shared" si="30"/>
        <v>OK</v>
      </c>
      <c r="W187" s="563" t="str">
        <f>VLOOKUP(A187,'[1]Raw data'!$B:$AG,32,FALSE)</f>
        <v>含税到厂</v>
      </c>
      <c r="X187" s="563">
        <f>VLOOKUP(A187,'[1]Raw data'!$B:$BA,31,FALSE)</f>
        <v>43607</v>
      </c>
      <c r="Y187" s="563" t="str">
        <f>VLOOKUP(A187,'[1]Raw data'!$B:$AS,39,FALSE)</f>
        <v>Yes</v>
      </c>
      <c r="Z187" s="568" t="s">
        <v>329</v>
      </c>
      <c r="AA187" s="569" t="s">
        <v>329</v>
      </c>
      <c r="AB187" s="570"/>
      <c r="AC187" s="563" t="s">
        <v>601</v>
      </c>
      <c r="AN187" s="542"/>
      <c r="AO187" s="824" t="str">
        <f t="shared" si="21"/>
        <v>Yes</v>
      </c>
      <c r="AP187" s="259" t="str">
        <f t="shared" si="22"/>
        <v>JUL 19</v>
      </c>
      <c r="AQ187" s="542" t="str">
        <f t="shared" si="23"/>
        <v>有定金+有預留客戶</v>
      </c>
      <c r="AR187" s="259" t="str">
        <f t="shared" si="24"/>
        <v>Shipped_Stock</v>
      </c>
      <c r="AS187" s="259" t="str">
        <f t="shared" si="25"/>
        <v/>
      </c>
      <c r="AT187" s="259" t="str">
        <f t="shared" si="26"/>
        <v>旭日</v>
      </c>
      <c r="AU187" s="259" t="str">
        <f t="shared" si="27"/>
        <v>C49SZX20190065JY</v>
      </c>
      <c r="AV187" s="259" t="str">
        <f t="shared" si="28"/>
        <v>May-08</v>
      </c>
    </row>
    <row r="188" spans="1:69" ht="15" hidden="1" customHeight="1">
      <c r="A188" s="559">
        <v>425</v>
      </c>
      <c r="B188" s="563" t="s">
        <v>280</v>
      </c>
      <c r="C188" s="560" t="s">
        <v>281</v>
      </c>
      <c r="D188" s="564">
        <v>109554</v>
      </c>
      <c r="E188" s="563" t="s">
        <v>236</v>
      </c>
      <c r="F188" s="563" t="s">
        <v>256</v>
      </c>
      <c r="G188" s="563" t="s">
        <v>24</v>
      </c>
      <c r="H188" s="563" t="s">
        <v>26</v>
      </c>
      <c r="I188" s="564" t="s">
        <v>602</v>
      </c>
      <c r="J188" s="564">
        <v>1</v>
      </c>
      <c r="K188" s="563" t="s">
        <v>295</v>
      </c>
      <c r="L188" s="565">
        <v>43600</v>
      </c>
      <c r="M188" s="566">
        <v>6.1699999999999998E-2</v>
      </c>
      <c r="N188" s="563" t="s">
        <v>320</v>
      </c>
      <c r="O188" s="564">
        <v>2019.04</v>
      </c>
      <c r="P188" s="566" t="str">
        <f>VLOOKUP(A188,'[1]Raw data'!$B:$BB,23,FALSE)</f>
        <v>RMB</v>
      </c>
      <c r="Q188" s="563" t="str">
        <f>VLOOKUP(A188,'[1]Raw data'!$B:$Z,2,FALSE)</f>
        <v>C49SZX20190123SX</v>
      </c>
      <c r="R188" s="563" t="str">
        <f>VLOOKUP(A188,'[1]Raw data'!$B:$Z,3,FALSE)</f>
        <v>君泽</v>
      </c>
      <c r="S188" s="563" t="str">
        <f>VLOOKUP(A188,'[1]Raw data'!$B:$Z,4,FALSE)</f>
        <v>YSM20R(SV)-2</v>
      </c>
      <c r="T188" s="563" t="str">
        <f>VLOOKUP(A188,'[1]Raw data'!$B:$Z,8,FALSE)</f>
        <v>L-&gt;R</v>
      </c>
      <c r="U188" s="563" t="str">
        <f>VLOOKUP(A188,'[1]Raw data'!$B:$Z,9,FALSE)</f>
        <v>No</v>
      </c>
      <c r="V188" s="567" t="str">
        <f t="shared" si="30"/>
        <v>OK</v>
      </c>
      <c r="W188" s="563" t="str">
        <f>VLOOKUP(A188,'[1]Raw data'!$B:$AG,32,FALSE)</f>
        <v>含税到厂</v>
      </c>
      <c r="X188" s="563">
        <f>VLOOKUP(A188,'[1]Raw data'!$B:$BA,31,FALSE)</f>
        <v>43714</v>
      </c>
      <c r="Y188" s="563" t="str">
        <f>VLOOKUP(A188,'[1]Raw data'!$B:$AS,39,FALSE)</f>
        <v>Yes</v>
      </c>
      <c r="Z188" s="568"/>
      <c r="AA188" s="569"/>
      <c r="AB188" s="570"/>
      <c r="AC188" s="563" t="s">
        <v>603</v>
      </c>
      <c r="AN188" s="542"/>
      <c r="AO188" s="824" t="str">
        <f t="shared" si="21"/>
        <v>Yes</v>
      </c>
      <c r="AP188" s="259" t="str">
        <f t="shared" si="22"/>
        <v>SEP 19</v>
      </c>
      <c r="AQ188" s="542" t="str">
        <f t="shared" si="23"/>
        <v>有定金+有預留客戶</v>
      </c>
      <c r="AR188" s="259" t="str">
        <f t="shared" si="24"/>
        <v>Shipped_Stock</v>
      </c>
      <c r="AS188" s="259" t="str">
        <f t="shared" si="25"/>
        <v/>
      </c>
      <c r="AT188" s="259" t="str">
        <f t="shared" si="26"/>
        <v>君泽</v>
      </c>
      <c r="AU188" s="259" t="str">
        <f t="shared" si="27"/>
        <v>C49SZX20190123SX</v>
      </c>
      <c r="AV188" s="259" t="str">
        <f t="shared" si="28"/>
        <v>May-15</v>
      </c>
    </row>
    <row r="189" spans="1:69" ht="15" hidden="1" customHeight="1">
      <c r="A189" s="559">
        <v>415</v>
      </c>
      <c r="B189" s="563" t="s">
        <v>280</v>
      </c>
      <c r="C189" s="560" t="s">
        <v>281</v>
      </c>
      <c r="D189" s="564">
        <v>109554</v>
      </c>
      <c r="E189" s="563" t="s">
        <v>236</v>
      </c>
      <c r="F189" s="563" t="s">
        <v>256</v>
      </c>
      <c r="G189" s="563" t="s">
        <v>24</v>
      </c>
      <c r="H189" s="563" t="s">
        <v>26</v>
      </c>
      <c r="I189" s="564" t="s">
        <v>604</v>
      </c>
      <c r="J189" s="564">
        <v>1</v>
      </c>
      <c r="K189" s="563" t="s">
        <v>605</v>
      </c>
      <c r="L189" s="565">
        <v>43600</v>
      </c>
      <c r="M189" s="566">
        <v>6.1699999999999998E-2</v>
      </c>
      <c r="N189" s="563" t="s">
        <v>320</v>
      </c>
      <c r="O189" s="564">
        <v>2019.04</v>
      </c>
      <c r="P189" s="566" t="str">
        <f>VLOOKUP(A189,'[1]Raw data'!$B:$BB,23,FALSE)</f>
        <v>RMB</v>
      </c>
      <c r="Q189" s="563" t="str">
        <f>VLOOKUP(A189,'[1]Raw data'!$B:$Z,2,FALSE)</f>
        <v>C49SZX20190129DZ</v>
      </c>
      <c r="R189" s="563" t="str">
        <f>VLOOKUP(A189,'[1]Raw data'!$B:$Z,3,FALSE)</f>
        <v>博星</v>
      </c>
      <c r="S189" s="563" t="str">
        <f>VLOOKUP(A189,'[1]Raw data'!$B:$Z,4,FALSE)</f>
        <v>YSM20R(SV)-2</v>
      </c>
      <c r="T189" s="563" t="str">
        <f>VLOOKUP(A189,'[1]Raw data'!$B:$Z,8,FALSE)</f>
        <v>L-&gt;R</v>
      </c>
      <c r="U189" s="563" t="str">
        <f>VLOOKUP(A189,'[1]Raw data'!$B:$Z,9,FALSE)</f>
        <v>No</v>
      </c>
      <c r="V189" s="567" t="str">
        <f t="shared" si="30"/>
        <v>OK</v>
      </c>
      <c r="W189" s="563" t="str">
        <f>VLOOKUP(A189,'[1]Raw data'!$B:$AG,32,FALSE)</f>
        <v>含税到厂</v>
      </c>
      <c r="X189" s="563">
        <f>VLOOKUP(A189,'[1]Raw data'!$B:$BA,31,FALSE)</f>
        <v>43708</v>
      </c>
      <c r="Y189" s="563" t="str">
        <f>VLOOKUP(A189,'[1]Raw data'!$B:$AS,39,FALSE)</f>
        <v>Yes</v>
      </c>
      <c r="Z189" s="568"/>
      <c r="AA189" s="569"/>
      <c r="AB189" s="570"/>
      <c r="AC189" s="563" t="s">
        <v>606</v>
      </c>
      <c r="AN189" s="542"/>
      <c r="AO189" s="824" t="str">
        <f t="shared" si="21"/>
        <v>Yes</v>
      </c>
      <c r="AP189" s="259" t="str">
        <f t="shared" si="22"/>
        <v>SEP 19</v>
      </c>
      <c r="AQ189" s="542" t="str">
        <f t="shared" si="23"/>
        <v>有定金+有預留客戶</v>
      </c>
      <c r="AR189" s="259" t="str">
        <f t="shared" si="24"/>
        <v>Shipped_Stock</v>
      </c>
      <c r="AS189" s="259" t="str">
        <f t="shared" si="25"/>
        <v/>
      </c>
      <c r="AT189" s="259" t="str">
        <f t="shared" si="26"/>
        <v>博星</v>
      </c>
      <c r="AU189" s="259" t="str">
        <f t="shared" si="27"/>
        <v>C49SZX20190129DZ</v>
      </c>
      <c r="AV189" s="259" t="str">
        <f t="shared" si="28"/>
        <v>May-15</v>
      </c>
    </row>
    <row r="190" spans="1:69" ht="15" hidden="1" customHeight="1">
      <c r="A190" s="559">
        <v>416</v>
      </c>
      <c r="B190" s="563" t="s">
        <v>280</v>
      </c>
      <c r="C190" s="560" t="s">
        <v>281</v>
      </c>
      <c r="D190" s="564">
        <v>109554</v>
      </c>
      <c r="E190" s="563" t="s">
        <v>236</v>
      </c>
      <c r="F190" s="563" t="s">
        <v>256</v>
      </c>
      <c r="G190" s="563" t="s">
        <v>24</v>
      </c>
      <c r="H190" s="563" t="s">
        <v>26</v>
      </c>
      <c r="I190" s="564" t="s">
        <v>607</v>
      </c>
      <c r="J190" s="564">
        <v>1</v>
      </c>
      <c r="K190" s="563" t="s">
        <v>605</v>
      </c>
      <c r="L190" s="565">
        <v>43600</v>
      </c>
      <c r="M190" s="566">
        <v>6.1699999999999998E-2</v>
      </c>
      <c r="N190" s="563" t="s">
        <v>320</v>
      </c>
      <c r="O190" s="564">
        <v>2019.04</v>
      </c>
      <c r="P190" s="566" t="str">
        <f>VLOOKUP(A190,'[1]Raw data'!$B:$BB,23,FALSE)</f>
        <v>RMB</v>
      </c>
      <c r="Q190" s="563" t="str">
        <f>VLOOKUP(A190,'[1]Raw data'!$B:$Z,2,FALSE)</f>
        <v>C49SZX20190129DZ</v>
      </c>
      <c r="R190" s="563" t="str">
        <f>VLOOKUP(A190,'[1]Raw data'!$B:$Z,3,FALSE)</f>
        <v>博星</v>
      </c>
      <c r="S190" s="563" t="str">
        <f>VLOOKUP(A190,'[1]Raw data'!$B:$Z,4,FALSE)</f>
        <v>YSM20R(SV)-2</v>
      </c>
      <c r="T190" s="563" t="str">
        <f>VLOOKUP(A190,'[1]Raw data'!$B:$Z,8,FALSE)</f>
        <v>L-&gt;R</v>
      </c>
      <c r="U190" s="563" t="str">
        <f>VLOOKUP(A190,'[1]Raw data'!$B:$Z,9,FALSE)</f>
        <v>No</v>
      </c>
      <c r="V190" s="567" t="str">
        <f t="shared" si="30"/>
        <v>OK</v>
      </c>
      <c r="W190" s="563" t="str">
        <f>VLOOKUP(A190,'[1]Raw data'!$B:$AG,32,FALSE)</f>
        <v>含税到厂</v>
      </c>
      <c r="X190" s="563">
        <f>VLOOKUP(A190,'[1]Raw data'!$B:$BA,31,FALSE)</f>
        <v>43708</v>
      </c>
      <c r="Y190" s="563" t="str">
        <f>VLOOKUP(A190,'[1]Raw data'!$B:$AS,39,FALSE)</f>
        <v>Yes</v>
      </c>
      <c r="Z190" s="568"/>
      <c r="AA190" s="569"/>
      <c r="AB190" s="570"/>
      <c r="AC190" s="563" t="s">
        <v>606</v>
      </c>
      <c r="AN190" s="542"/>
      <c r="AO190" s="824" t="str">
        <f t="shared" si="21"/>
        <v>Yes</v>
      </c>
      <c r="AP190" s="259" t="str">
        <f t="shared" si="22"/>
        <v>SEP 19</v>
      </c>
      <c r="AQ190" s="542" t="str">
        <f t="shared" si="23"/>
        <v>有定金+有預留客戶</v>
      </c>
      <c r="AR190" s="259" t="str">
        <f t="shared" si="24"/>
        <v>Shipped_Stock</v>
      </c>
      <c r="AS190" s="259" t="str">
        <f t="shared" si="25"/>
        <v/>
      </c>
      <c r="AT190" s="259" t="str">
        <f t="shared" si="26"/>
        <v>博星</v>
      </c>
      <c r="AU190" s="259" t="str">
        <f t="shared" si="27"/>
        <v>C49SZX20190129DZ</v>
      </c>
      <c r="AV190" s="259" t="str">
        <f t="shared" si="28"/>
        <v>May-15</v>
      </c>
    </row>
    <row r="191" spans="1:69" ht="15" hidden="1" customHeight="1">
      <c r="A191" s="559">
        <v>417</v>
      </c>
      <c r="B191" s="563" t="s">
        <v>280</v>
      </c>
      <c r="C191" s="560" t="s">
        <v>281</v>
      </c>
      <c r="D191" s="564">
        <v>109554</v>
      </c>
      <c r="E191" s="563" t="s">
        <v>236</v>
      </c>
      <c r="F191" s="563" t="s">
        <v>256</v>
      </c>
      <c r="G191" s="563" t="s">
        <v>24</v>
      </c>
      <c r="H191" s="563" t="s">
        <v>26</v>
      </c>
      <c r="I191" s="564" t="s">
        <v>608</v>
      </c>
      <c r="J191" s="564">
        <v>1</v>
      </c>
      <c r="K191" s="563" t="s">
        <v>605</v>
      </c>
      <c r="L191" s="565">
        <v>43600</v>
      </c>
      <c r="M191" s="566">
        <v>6.1699999999999998E-2</v>
      </c>
      <c r="N191" s="563" t="s">
        <v>320</v>
      </c>
      <c r="O191" s="564">
        <v>2019.04</v>
      </c>
      <c r="P191" s="566" t="str">
        <f>VLOOKUP(A191,'[1]Raw data'!$B:$BB,23,FALSE)</f>
        <v>RMB</v>
      </c>
      <c r="Q191" s="563" t="str">
        <f>VLOOKUP(A191,'[1]Raw data'!$B:$Z,2,FALSE)</f>
        <v>C49SZX20190129DZ</v>
      </c>
      <c r="R191" s="563" t="str">
        <f>VLOOKUP(A191,'[1]Raw data'!$B:$Z,3,FALSE)</f>
        <v>博星</v>
      </c>
      <c r="S191" s="563" t="str">
        <f>VLOOKUP(A191,'[1]Raw data'!$B:$Z,4,FALSE)</f>
        <v>YSM20R(SV)-2</v>
      </c>
      <c r="T191" s="563" t="str">
        <f>VLOOKUP(A191,'[1]Raw data'!$B:$Z,8,FALSE)</f>
        <v>L-&gt;R</v>
      </c>
      <c r="U191" s="563" t="str">
        <f>VLOOKUP(A191,'[1]Raw data'!$B:$Z,9,FALSE)</f>
        <v>No</v>
      </c>
      <c r="V191" s="567" t="str">
        <f t="shared" si="30"/>
        <v>OK</v>
      </c>
      <c r="W191" s="563" t="str">
        <f>VLOOKUP(A191,'[1]Raw data'!$B:$AG,32,FALSE)</f>
        <v>含税到厂</v>
      </c>
      <c r="X191" s="563">
        <f>VLOOKUP(A191,'[1]Raw data'!$B:$BA,31,FALSE)</f>
        <v>43708</v>
      </c>
      <c r="Y191" s="563" t="str">
        <f>VLOOKUP(A191,'[1]Raw data'!$B:$AS,39,FALSE)</f>
        <v>Yes</v>
      </c>
      <c r="Z191" s="568"/>
      <c r="AA191" s="569"/>
      <c r="AB191" s="570"/>
      <c r="AC191" s="563" t="s">
        <v>606</v>
      </c>
      <c r="AN191" s="542"/>
      <c r="AO191" s="824" t="str">
        <f t="shared" si="21"/>
        <v>Yes</v>
      </c>
      <c r="AP191" s="259" t="str">
        <f t="shared" si="22"/>
        <v>SEP 19</v>
      </c>
      <c r="AQ191" s="542" t="str">
        <f t="shared" si="23"/>
        <v>有定金+有預留客戶</v>
      </c>
      <c r="AR191" s="259" t="str">
        <f t="shared" si="24"/>
        <v>Shipped_Stock</v>
      </c>
      <c r="AS191" s="259" t="str">
        <f t="shared" si="25"/>
        <v/>
      </c>
      <c r="AT191" s="259" t="str">
        <f t="shared" si="26"/>
        <v>博星</v>
      </c>
      <c r="AU191" s="259" t="str">
        <f t="shared" si="27"/>
        <v>C49SZX20190129DZ</v>
      </c>
      <c r="AV191" s="259" t="str">
        <f t="shared" si="28"/>
        <v>May-15</v>
      </c>
    </row>
    <row r="192" spans="1:69" ht="15" hidden="1" customHeight="1">
      <c r="A192" s="559">
        <v>418</v>
      </c>
      <c r="B192" s="563" t="s">
        <v>280</v>
      </c>
      <c r="C192" s="560" t="s">
        <v>281</v>
      </c>
      <c r="D192" s="564">
        <v>109554</v>
      </c>
      <c r="E192" s="563" t="s">
        <v>236</v>
      </c>
      <c r="F192" s="563" t="s">
        <v>256</v>
      </c>
      <c r="G192" s="563" t="s">
        <v>24</v>
      </c>
      <c r="H192" s="563" t="s">
        <v>26</v>
      </c>
      <c r="I192" s="564" t="s">
        <v>609</v>
      </c>
      <c r="J192" s="564">
        <v>1</v>
      </c>
      <c r="K192" s="563" t="s">
        <v>605</v>
      </c>
      <c r="L192" s="565">
        <v>43600</v>
      </c>
      <c r="M192" s="566">
        <v>6.1699999999999998E-2</v>
      </c>
      <c r="N192" s="563" t="s">
        <v>320</v>
      </c>
      <c r="O192" s="564">
        <v>2019.04</v>
      </c>
      <c r="P192" s="566" t="str">
        <f>VLOOKUP(A192,'[1]Raw data'!$B:$BB,23,FALSE)</f>
        <v>RMB</v>
      </c>
      <c r="Q192" s="563" t="str">
        <f>VLOOKUP(A192,'[1]Raw data'!$B:$Z,2,FALSE)</f>
        <v>C49SZX20190129DZ</v>
      </c>
      <c r="R192" s="563" t="str">
        <f>VLOOKUP(A192,'[1]Raw data'!$B:$Z,3,FALSE)</f>
        <v>博星</v>
      </c>
      <c r="S192" s="563" t="str">
        <f>VLOOKUP(A192,'[1]Raw data'!$B:$Z,4,FALSE)</f>
        <v>YSM20R(SV)-2</v>
      </c>
      <c r="T192" s="563" t="str">
        <f>VLOOKUP(A192,'[1]Raw data'!$B:$Z,8,FALSE)</f>
        <v>L-&gt;R</v>
      </c>
      <c r="U192" s="563" t="str">
        <f>VLOOKUP(A192,'[1]Raw data'!$B:$Z,9,FALSE)</f>
        <v>No</v>
      </c>
      <c r="V192" s="567" t="str">
        <f t="shared" si="30"/>
        <v>OK</v>
      </c>
      <c r="W192" s="563" t="str">
        <f>VLOOKUP(A192,'[1]Raw data'!$B:$AG,32,FALSE)</f>
        <v>含税到厂</v>
      </c>
      <c r="X192" s="563">
        <f>VLOOKUP(A192,'[1]Raw data'!$B:$BA,31,FALSE)</f>
        <v>43708</v>
      </c>
      <c r="Y192" s="563" t="str">
        <f>VLOOKUP(A192,'[1]Raw data'!$B:$AS,39,FALSE)</f>
        <v>Yes</v>
      </c>
      <c r="Z192" s="568"/>
      <c r="AA192" s="569"/>
      <c r="AB192" s="570"/>
      <c r="AC192" s="563" t="s">
        <v>606</v>
      </c>
      <c r="AN192" s="542"/>
      <c r="AO192" s="824" t="str">
        <f t="shared" si="21"/>
        <v>Yes</v>
      </c>
      <c r="AP192" s="259" t="str">
        <f t="shared" si="22"/>
        <v>SEP 19</v>
      </c>
      <c r="AQ192" s="542" t="str">
        <f t="shared" si="23"/>
        <v>有定金+有預留客戶</v>
      </c>
      <c r="AR192" s="259" t="str">
        <f t="shared" si="24"/>
        <v>Shipped_Stock</v>
      </c>
      <c r="AS192" s="259" t="str">
        <f t="shared" si="25"/>
        <v/>
      </c>
      <c r="AT192" s="259" t="str">
        <f t="shared" si="26"/>
        <v>博星</v>
      </c>
      <c r="AU192" s="259" t="str">
        <f t="shared" si="27"/>
        <v>C49SZX20190129DZ</v>
      </c>
      <c r="AV192" s="259" t="str">
        <f t="shared" si="28"/>
        <v>May-15</v>
      </c>
    </row>
    <row r="193" spans="1:48" ht="15" hidden="1" customHeight="1">
      <c r="A193" s="559">
        <v>244</v>
      </c>
      <c r="B193" s="563" t="s">
        <v>280</v>
      </c>
      <c r="C193" s="560" t="s">
        <v>281</v>
      </c>
      <c r="D193" s="564">
        <v>109553</v>
      </c>
      <c r="E193" s="563" t="s">
        <v>236</v>
      </c>
      <c r="F193" s="563" t="s">
        <v>256</v>
      </c>
      <c r="G193" s="563" t="s">
        <v>18</v>
      </c>
      <c r="H193" s="563" t="s">
        <v>26</v>
      </c>
      <c r="I193" s="564" t="s">
        <v>610</v>
      </c>
      <c r="J193" s="564">
        <v>1</v>
      </c>
      <c r="K193" s="563" t="s">
        <v>311</v>
      </c>
      <c r="L193" s="565">
        <v>43602</v>
      </c>
      <c r="M193" s="566">
        <v>6.1699999999999998E-2</v>
      </c>
      <c r="N193" s="563" t="s">
        <v>381</v>
      </c>
      <c r="P193" s="566" t="str">
        <f>VLOOKUP(A193,'[1]Raw data'!$B:$BB,23,FALSE)</f>
        <v>JPY</v>
      </c>
      <c r="Q193" s="563" t="str">
        <f>VLOOKUP(A193,'[1]Raw data'!$B:$Z,2,FALSE)</f>
        <v>C49SZX20190031MZ</v>
      </c>
      <c r="R193" s="563" t="str">
        <f>VLOOKUP(A193,'[1]Raw data'!$B:$Z,3,FALSE)</f>
        <v>鸿南</v>
      </c>
      <c r="S193" s="563" t="str">
        <f>VLOOKUP(A193,'[1]Raw data'!$B:$Z,4,FALSE)</f>
        <v>YSM20R(SV)-2</v>
      </c>
      <c r="T193" s="563" t="str">
        <f>VLOOKUP(A193,'[1]Raw data'!$B:$Z,8,FALSE)</f>
        <v>R-&gt;L</v>
      </c>
      <c r="U193" s="563" t="str">
        <f>VLOOKUP(A193,'[1]Raw data'!$B:$Z,9,FALSE)</f>
        <v>No</v>
      </c>
      <c r="V193" s="567" t="str">
        <f t="shared" si="30"/>
        <v>OK</v>
      </c>
      <c r="W193" s="563" t="str">
        <f>VLOOKUP(A193,'[1]Raw data'!$B:$AG,32,FALSE)</f>
        <v>CIF HK</v>
      </c>
      <c r="X193" s="563">
        <f>VLOOKUP(A193,'[1]Raw data'!$B:$BA,31,FALSE)</f>
        <v>43532</v>
      </c>
      <c r="Y193" s="563" t="str">
        <f>VLOOKUP(A193,'[1]Raw data'!$B:$AS,39,FALSE)</f>
        <v>Yes</v>
      </c>
      <c r="Z193" s="568" t="s">
        <v>329</v>
      </c>
      <c r="AA193" s="569" t="s">
        <v>329</v>
      </c>
      <c r="AB193" s="570"/>
      <c r="AC193" s="563" t="s">
        <v>400</v>
      </c>
      <c r="AN193" s="542"/>
      <c r="AO193" s="824" t="str">
        <f t="shared" si="21"/>
        <v>Yes</v>
      </c>
      <c r="AP193" s="259" t="str">
        <f t="shared" si="22"/>
        <v>MAY 19</v>
      </c>
      <c r="AQ193" s="542" t="str">
        <f t="shared" si="23"/>
        <v>有定金+有預留客戶</v>
      </c>
      <c r="AR193" s="259" t="str">
        <f t="shared" si="24"/>
        <v>Shipped_Stock</v>
      </c>
      <c r="AS193" s="259" t="str">
        <f t="shared" si="25"/>
        <v/>
      </c>
      <c r="AT193" s="259" t="str">
        <f t="shared" si="26"/>
        <v>鸿南</v>
      </c>
      <c r="AU193" s="259" t="str">
        <f t="shared" si="27"/>
        <v>C49SZX20190031MZ</v>
      </c>
      <c r="AV193" s="259" t="str">
        <f t="shared" si="28"/>
        <v>May-17</v>
      </c>
    </row>
    <row r="194" spans="1:48" ht="15" hidden="1" customHeight="1">
      <c r="A194" s="559">
        <v>245</v>
      </c>
      <c r="B194" s="563" t="s">
        <v>280</v>
      </c>
      <c r="C194" s="560" t="s">
        <v>281</v>
      </c>
      <c r="D194" s="564">
        <v>109553</v>
      </c>
      <c r="E194" s="563" t="s">
        <v>236</v>
      </c>
      <c r="F194" s="563" t="s">
        <v>256</v>
      </c>
      <c r="G194" s="563" t="s">
        <v>18</v>
      </c>
      <c r="H194" s="563" t="s">
        <v>26</v>
      </c>
      <c r="I194" s="564" t="s">
        <v>611</v>
      </c>
      <c r="J194" s="564">
        <v>1</v>
      </c>
      <c r="K194" s="563" t="s">
        <v>311</v>
      </c>
      <c r="L194" s="565">
        <v>43602</v>
      </c>
      <c r="M194" s="566">
        <v>6.1699999999999998E-2</v>
      </c>
      <c r="N194" s="563" t="s">
        <v>381</v>
      </c>
      <c r="P194" s="566" t="str">
        <f>VLOOKUP(A194,'[1]Raw data'!$B:$BB,23,FALSE)</f>
        <v>JPY</v>
      </c>
      <c r="Q194" s="563" t="str">
        <f>VLOOKUP(A194,'[1]Raw data'!$B:$Z,2,FALSE)</f>
        <v>C49SZX20190031MZ</v>
      </c>
      <c r="R194" s="563" t="str">
        <f>VLOOKUP(A194,'[1]Raw data'!$B:$Z,3,FALSE)</f>
        <v>鸿南</v>
      </c>
      <c r="S194" s="563" t="str">
        <f>VLOOKUP(A194,'[1]Raw data'!$B:$Z,4,FALSE)</f>
        <v>YSM20R(SV)-2</v>
      </c>
      <c r="T194" s="563" t="str">
        <f>VLOOKUP(A194,'[1]Raw data'!$B:$Z,8,FALSE)</f>
        <v>R-&gt;L</v>
      </c>
      <c r="U194" s="563" t="str">
        <f>VLOOKUP(A194,'[1]Raw data'!$B:$Z,9,FALSE)</f>
        <v>No</v>
      </c>
      <c r="V194" s="567" t="str">
        <f t="shared" si="30"/>
        <v>OK</v>
      </c>
      <c r="W194" s="563" t="str">
        <f>VLOOKUP(A194,'[1]Raw data'!$B:$AG,32,FALSE)</f>
        <v>CIF HK</v>
      </c>
      <c r="X194" s="563">
        <f>VLOOKUP(A194,'[1]Raw data'!$B:$BA,31,FALSE)</f>
        <v>43532</v>
      </c>
      <c r="Y194" s="563" t="str">
        <f>VLOOKUP(A194,'[1]Raw data'!$B:$AS,39,FALSE)</f>
        <v>Yes</v>
      </c>
      <c r="Z194" s="568" t="s">
        <v>329</v>
      </c>
      <c r="AA194" s="569" t="s">
        <v>329</v>
      </c>
      <c r="AB194" s="570"/>
      <c r="AC194" s="563" t="s">
        <v>400</v>
      </c>
      <c r="AN194" s="542"/>
      <c r="AO194" s="824" t="str">
        <f t="shared" si="21"/>
        <v>Yes</v>
      </c>
      <c r="AP194" s="259" t="str">
        <f t="shared" si="22"/>
        <v>MAY 19</v>
      </c>
      <c r="AQ194" s="542" t="str">
        <f t="shared" si="23"/>
        <v>有定金+有預留客戶</v>
      </c>
      <c r="AR194" s="259" t="str">
        <f t="shared" si="24"/>
        <v>Shipped_Stock</v>
      </c>
      <c r="AS194" s="259" t="str">
        <f t="shared" si="25"/>
        <v/>
      </c>
      <c r="AT194" s="259" t="str">
        <f t="shared" si="26"/>
        <v>鸿南</v>
      </c>
      <c r="AU194" s="259" t="str">
        <f t="shared" si="27"/>
        <v>C49SZX20190031MZ</v>
      </c>
      <c r="AV194" s="259" t="str">
        <f t="shared" si="28"/>
        <v>May-17</v>
      </c>
    </row>
    <row r="195" spans="1:48" ht="15" hidden="1" customHeight="1">
      <c r="A195" s="559">
        <v>250</v>
      </c>
      <c r="B195" s="563" t="s">
        <v>280</v>
      </c>
      <c r="C195" s="560" t="s">
        <v>281</v>
      </c>
      <c r="D195" s="564">
        <v>109553</v>
      </c>
      <c r="E195" s="563" t="s">
        <v>236</v>
      </c>
      <c r="F195" s="563" t="s">
        <v>256</v>
      </c>
      <c r="G195" s="563" t="s">
        <v>18</v>
      </c>
      <c r="H195" s="563" t="s">
        <v>26</v>
      </c>
      <c r="I195" s="564" t="s">
        <v>612</v>
      </c>
      <c r="J195" s="564">
        <v>1</v>
      </c>
      <c r="K195" s="563" t="s">
        <v>311</v>
      </c>
      <c r="L195" s="565">
        <v>43602</v>
      </c>
      <c r="M195" s="566">
        <v>6.1699999999999998E-2</v>
      </c>
      <c r="N195" s="563" t="s">
        <v>381</v>
      </c>
      <c r="P195" s="566" t="str">
        <f>VLOOKUP(A195,'[1]Raw data'!$B:$BB,23,FALSE)</f>
        <v>JPY</v>
      </c>
      <c r="Q195" s="563" t="str">
        <f>VLOOKUP(A195,'[1]Raw data'!$B:$Z,2,FALSE)</f>
        <v>C49SZX20190026ZX</v>
      </c>
      <c r="R195" s="563" t="str">
        <f>VLOOKUP(A195,'[1]Raw data'!$B:$Z,3,FALSE)</f>
        <v>比泰利</v>
      </c>
      <c r="S195" s="563" t="str">
        <f>VLOOKUP(A195,'[1]Raw data'!$B:$Z,4,FALSE)</f>
        <v>YSM20R(SV)-2</v>
      </c>
      <c r="T195" s="563" t="str">
        <f>VLOOKUP(A195,'[1]Raw data'!$B:$Z,8,FALSE)</f>
        <v>R-&gt;L</v>
      </c>
      <c r="U195" s="563" t="str">
        <f>VLOOKUP(A195,'[1]Raw data'!$B:$Z,9,FALSE)</f>
        <v>MVC</v>
      </c>
      <c r="V195" s="567" t="str">
        <f t="shared" si="30"/>
        <v>WRONG</v>
      </c>
      <c r="W195" s="563" t="str">
        <f>VLOOKUP(A195,'[1]Raw data'!$B:$AG,32,FALSE)</f>
        <v>DAP SZ</v>
      </c>
      <c r="X195" s="563">
        <f>VLOOKUP(A195,'[1]Raw data'!$B:$BA,31,FALSE)</f>
        <v>43537</v>
      </c>
      <c r="Y195" s="563" t="str">
        <f>VLOOKUP(A195,'[1]Raw data'!$B:$AS,39,FALSE)</f>
        <v>Yes</v>
      </c>
      <c r="Z195" s="568"/>
      <c r="AA195" s="569"/>
      <c r="AB195" s="570"/>
      <c r="AC195" s="563" t="s">
        <v>613</v>
      </c>
      <c r="AN195" s="542"/>
      <c r="AO195" s="824" t="str">
        <f t="shared" ref="AO195:AO258" si="31">IFERROR(IF(Y195&lt;&gt;"",Y195,"No"),"No")</f>
        <v>Yes</v>
      </c>
      <c r="AP195" s="259" t="str">
        <f t="shared" ref="AP195:AP258" si="32">IFERROR(IF(N195&lt;&gt;"",N195,"blank"),"NA")</f>
        <v>MAY 19</v>
      </c>
      <c r="AQ195" s="542" t="str">
        <f t="shared" ref="AQ195:AQ258" si="33">IFERROR(IF(AND(AO195="Yes", AP195&lt;&gt;"blank"), "有定金+有預留客戶", IF(AND(AO195="Yes", AP195="blank"), "有定金+无客戶送貨期", IF(AND(OR(AO195="No", ISBLANK(AO195), AO195="NA"), AP195&lt;&gt;"blank"), "无定金+有預留客戶", IF(AND(OR(AO195="No", ISBLANK(AO195), AO195="NA"), AP195="blank"), "无定金+无預留客戶", "")))), "")</f>
        <v>有定金+有預留客戶</v>
      </c>
      <c r="AR195" s="259" t="str">
        <f t="shared" ref="AR195:AR258" si="34">IFERROR(IF(B195="已经到货", "Instock", IF(B195="有交期", "Incoming_Stock_With_YAMAHA_Schedule", IF(B195="TBA.", "Incoming_Stock_No_YAMAHA_Schedule", IF(B195="已发货", "Shipped_Stock", "")))), "")</f>
        <v>Shipped_Stock</v>
      </c>
      <c r="AS195" s="259" t="str">
        <f t="shared" ref="AS195:AS258" si="35">IF(AND(B195="有交期", L195&lt;&gt;""), L195, "")</f>
        <v/>
      </c>
      <c r="AT195" s="259" t="str">
        <f t="shared" ref="AT195:AT258" si="36">IFERROR(IF(R195&lt;&gt;"",R195),"-")</f>
        <v>比泰利</v>
      </c>
      <c r="AU195" s="259" t="str">
        <f t="shared" ref="AU195:AU258" si="37">IFERROR(IF(Q195&lt;&gt;"",Q195),"-")</f>
        <v>C49SZX20190026ZX</v>
      </c>
      <c r="AV195" s="259" t="str">
        <f t="shared" ref="AV195:AV258" si="38">IF(L195="","-",TEXT(L195,"mmm-dd"))</f>
        <v>May-17</v>
      </c>
    </row>
    <row r="196" spans="1:48" ht="15" hidden="1" customHeight="1">
      <c r="A196" s="559">
        <v>274</v>
      </c>
      <c r="B196" s="563" t="s">
        <v>280</v>
      </c>
      <c r="C196" s="560" t="s">
        <v>281</v>
      </c>
      <c r="D196" s="564">
        <v>109553</v>
      </c>
      <c r="E196" s="563" t="s">
        <v>236</v>
      </c>
      <c r="F196" s="563" t="s">
        <v>256</v>
      </c>
      <c r="G196" s="563" t="s">
        <v>18</v>
      </c>
      <c r="H196" s="563" t="s">
        <v>26</v>
      </c>
      <c r="I196" s="564" t="s">
        <v>614</v>
      </c>
      <c r="J196" s="564">
        <v>1</v>
      </c>
      <c r="K196" s="563" t="s">
        <v>311</v>
      </c>
      <c r="L196" s="565">
        <v>43602</v>
      </c>
      <c r="M196" s="566">
        <v>6.1699999999999998E-2</v>
      </c>
      <c r="N196" s="563" t="s">
        <v>325</v>
      </c>
      <c r="O196" s="564">
        <v>2019.04</v>
      </c>
      <c r="P196" s="566" t="str">
        <f>VLOOKUP(A196,'[1]Raw data'!$B:$BB,23,FALSE)</f>
        <v>JPY</v>
      </c>
      <c r="Q196" s="563" t="str">
        <f>VLOOKUP(A196,'[1]Raw data'!$B:$Z,2,FALSE)</f>
        <v>C49SZX20190041JL</v>
      </c>
      <c r="R196" s="563" t="str">
        <f>VLOOKUP(A196,'[1]Raw data'!$B:$Z,3,FALSE)</f>
        <v>微力创/end user 昶达</v>
      </c>
      <c r="S196" s="563" t="str">
        <f>VLOOKUP(A196,'[1]Raw data'!$B:$Z,4,FALSE)</f>
        <v>YSM20R(SV)-2</v>
      </c>
      <c r="T196" s="563" t="str">
        <f>VLOOKUP(A196,'[1]Raw data'!$B:$Z,8,FALSE)</f>
        <v>R-&gt;L</v>
      </c>
      <c r="U196" s="563" t="str">
        <f>VLOOKUP(A196,'[1]Raw data'!$B:$Z,9,FALSE)</f>
        <v>No</v>
      </c>
      <c r="V196" s="567" t="str">
        <f t="shared" si="30"/>
        <v>OK</v>
      </c>
      <c r="W196" s="563" t="str">
        <f>VLOOKUP(A196,'[1]Raw data'!$B:$AG,32,FALSE)</f>
        <v>CIF HK</v>
      </c>
      <c r="X196" s="563">
        <f>VLOOKUP(A196,'[1]Raw data'!$B:$BA,31,FALSE)</f>
        <v>43550</v>
      </c>
      <c r="Y196" s="563" t="str">
        <f>VLOOKUP(A196,'[1]Raw data'!$B:$AS,39,FALSE)</f>
        <v>Yes</v>
      </c>
      <c r="Z196" s="568"/>
      <c r="AA196" s="569"/>
      <c r="AB196" s="570"/>
      <c r="AC196" s="563" t="s">
        <v>615</v>
      </c>
      <c r="AN196" s="542"/>
      <c r="AO196" s="824" t="str">
        <f t="shared" si="31"/>
        <v>Yes</v>
      </c>
      <c r="AP196" s="259" t="str">
        <f t="shared" si="32"/>
        <v>JUL 19</v>
      </c>
      <c r="AQ196" s="542" t="str">
        <f t="shared" si="33"/>
        <v>有定金+有預留客戶</v>
      </c>
      <c r="AR196" s="259" t="str">
        <f t="shared" si="34"/>
        <v>Shipped_Stock</v>
      </c>
      <c r="AS196" s="259" t="str">
        <f t="shared" si="35"/>
        <v/>
      </c>
      <c r="AT196" s="259" t="str">
        <f t="shared" si="36"/>
        <v>微力创/end user 昶达</v>
      </c>
      <c r="AU196" s="259" t="str">
        <f t="shared" si="37"/>
        <v>C49SZX20190041JL</v>
      </c>
      <c r="AV196" s="259" t="str">
        <f t="shared" si="38"/>
        <v>May-17</v>
      </c>
    </row>
    <row r="197" spans="1:48" ht="15" hidden="1" customHeight="1">
      <c r="A197" s="559">
        <v>321</v>
      </c>
      <c r="B197" s="563" t="s">
        <v>280</v>
      </c>
      <c r="C197" s="560" t="s">
        <v>281</v>
      </c>
      <c r="D197" s="564">
        <v>109553</v>
      </c>
      <c r="E197" s="563" t="s">
        <v>236</v>
      </c>
      <c r="F197" s="563" t="s">
        <v>256</v>
      </c>
      <c r="G197" s="563" t="s">
        <v>18</v>
      </c>
      <c r="H197" s="563" t="s">
        <v>26</v>
      </c>
      <c r="I197" s="564" t="s">
        <v>616</v>
      </c>
      <c r="J197" s="564">
        <v>1</v>
      </c>
      <c r="K197" s="563" t="s">
        <v>295</v>
      </c>
      <c r="L197" s="565">
        <v>43602</v>
      </c>
      <c r="M197" s="566">
        <v>6.1699999999999998E-2</v>
      </c>
      <c r="N197" s="563" t="s">
        <v>404</v>
      </c>
      <c r="P197" s="566" t="str">
        <f>VLOOKUP(A197,'[1]Raw data'!$B:$BB,23,FALSE)</f>
        <v>RMB</v>
      </c>
      <c r="Q197" s="563" t="str">
        <f>VLOOKUP(A197,'[1]Raw data'!$B:$Z,2,FALSE)</f>
        <v>C49SZX20190077SX</v>
      </c>
      <c r="R197" s="563" t="str">
        <f>VLOOKUP(A197,'[1]Raw data'!$B:$Z,3,FALSE)</f>
        <v>An Lin东莞安林</v>
      </c>
      <c r="S197" s="563" t="str">
        <f>VLOOKUP(A197,'[1]Raw data'!$B:$Z,4,FALSE)</f>
        <v>YSM20R(SV)-2</v>
      </c>
      <c r="T197" s="563" t="str">
        <f>VLOOKUP(A197,'[1]Raw data'!$B:$Z,8,FALSE)</f>
        <v>R-&gt;L</v>
      </c>
      <c r="U197" s="563" t="str">
        <f>VLOOKUP(A197,'[1]Raw data'!$B:$Z,9,FALSE)</f>
        <v>No</v>
      </c>
      <c r="V197" s="567" t="str">
        <f t="shared" si="30"/>
        <v>OK</v>
      </c>
      <c r="W197" s="563" t="str">
        <f>VLOOKUP(A197,'[1]Raw data'!$B:$AG,32,FALSE)</f>
        <v>含税到厂</v>
      </c>
      <c r="X197" s="563">
        <f>VLOOKUP(A197,'[1]Raw data'!$B:$BA,31,FALSE)</f>
        <v>43607</v>
      </c>
      <c r="Y197" s="563" t="str">
        <f>VLOOKUP(A197,'[1]Raw data'!$B:$AS,39,FALSE)</f>
        <v>Yes</v>
      </c>
      <c r="Z197" s="568" t="s">
        <v>329</v>
      </c>
      <c r="AA197" s="569" t="s">
        <v>329</v>
      </c>
      <c r="AB197" s="570"/>
      <c r="AC197" s="563" t="s">
        <v>432</v>
      </c>
      <c r="AN197" s="542"/>
      <c r="AO197" s="824" t="str">
        <f t="shared" si="31"/>
        <v>Yes</v>
      </c>
      <c r="AP197" s="259" t="str">
        <f t="shared" si="32"/>
        <v>JUN 19</v>
      </c>
      <c r="AQ197" s="542" t="str">
        <f t="shared" si="33"/>
        <v>有定金+有預留客戶</v>
      </c>
      <c r="AR197" s="259" t="str">
        <f t="shared" si="34"/>
        <v>Shipped_Stock</v>
      </c>
      <c r="AS197" s="259" t="str">
        <f t="shared" si="35"/>
        <v/>
      </c>
      <c r="AT197" s="259" t="str">
        <f t="shared" si="36"/>
        <v>An Lin东莞安林</v>
      </c>
      <c r="AU197" s="259" t="str">
        <f t="shared" si="37"/>
        <v>C49SZX20190077SX</v>
      </c>
      <c r="AV197" s="259" t="str">
        <f t="shared" si="38"/>
        <v>May-17</v>
      </c>
    </row>
    <row r="198" spans="1:48" ht="15" hidden="1" customHeight="1">
      <c r="A198" s="559">
        <v>297</v>
      </c>
      <c r="B198" s="563" t="s">
        <v>280</v>
      </c>
      <c r="C198" s="560" t="s">
        <v>281</v>
      </c>
      <c r="D198" s="564">
        <v>109582</v>
      </c>
      <c r="E198" s="563" t="s">
        <v>617</v>
      </c>
      <c r="F198" s="563" t="s">
        <v>256</v>
      </c>
      <c r="G198" s="563" t="s">
        <v>18</v>
      </c>
      <c r="H198" s="563" t="s">
        <v>27</v>
      </c>
      <c r="I198" s="564" t="s">
        <v>618</v>
      </c>
      <c r="J198" s="564">
        <v>1</v>
      </c>
      <c r="K198" s="563" t="s">
        <v>311</v>
      </c>
      <c r="L198" s="565">
        <v>43617</v>
      </c>
      <c r="M198" s="566">
        <v>6.4299999999999996E-2</v>
      </c>
      <c r="N198" s="563" t="s">
        <v>325</v>
      </c>
      <c r="O198" s="564">
        <v>2019.05</v>
      </c>
      <c r="P198" s="566" t="str">
        <f>VLOOKUP(A198,'[1]Raw data'!$B:$BB,23,FALSE)</f>
        <v>JPY</v>
      </c>
      <c r="Q198" s="563" t="str">
        <f>VLOOKUP(A198,'[1]Raw data'!$B:$Z,2,FALSE)</f>
        <v>C49SZX20190061JL</v>
      </c>
      <c r="R198" s="563" t="str">
        <f>VLOOKUP(A198,'[1]Raw data'!$B:$Z,3,FALSE)</f>
        <v>微力创/end user 昶达</v>
      </c>
      <c r="S198" s="563" t="str">
        <f>VLOOKUP(A198,'[1]Raw data'!$B:$Z,4,FALSE)</f>
        <v>YSM20R(SV)-2</v>
      </c>
      <c r="T198" s="563" t="str">
        <f>VLOOKUP(A198,'[1]Raw data'!$B:$Z,8,FALSE)</f>
        <v>R-&gt;L</v>
      </c>
      <c r="U198" s="563" t="str">
        <f>VLOOKUP(A198,'[1]Raw data'!$B:$Z,9,FALSE)</f>
        <v>No</v>
      </c>
      <c r="V198" s="567" t="str">
        <f t="shared" si="30"/>
        <v>WRONG</v>
      </c>
      <c r="W198" s="563" t="str">
        <f>VLOOKUP(A198,'[1]Raw data'!$B:$AG,32,FALSE)</f>
        <v>CIF HK</v>
      </c>
      <c r="X198" s="563">
        <f>VLOOKUP(A198,'[1]Raw data'!$B:$BA,31,FALSE)</f>
        <v>43582</v>
      </c>
      <c r="Y198" s="563" t="str">
        <f>VLOOKUP(A198,'[1]Raw data'!$B:$AS,39,FALSE)</f>
        <v>Yes</v>
      </c>
      <c r="Z198" s="568"/>
      <c r="AA198" s="569"/>
      <c r="AB198" s="570"/>
      <c r="AC198" s="563" t="s">
        <v>615</v>
      </c>
      <c r="AD198" s="571">
        <v>301</v>
      </c>
      <c r="AE198" s="571">
        <v>10</v>
      </c>
      <c r="AF198" s="571">
        <v>303</v>
      </c>
      <c r="AG198" s="571">
        <v>10</v>
      </c>
      <c r="AN198" s="542"/>
      <c r="AO198" s="824" t="str">
        <f t="shared" si="31"/>
        <v>Yes</v>
      </c>
      <c r="AP198" s="259" t="str">
        <f t="shared" si="32"/>
        <v>JUL 19</v>
      </c>
      <c r="AQ198" s="542" t="str">
        <f t="shared" si="33"/>
        <v>有定金+有預留客戶</v>
      </c>
      <c r="AR198" s="259" t="str">
        <f t="shared" si="34"/>
        <v>Shipped_Stock</v>
      </c>
      <c r="AS198" s="259" t="str">
        <f t="shared" si="35"/>
        <v/>
      </c>
      <c r="AT198" s="259" t="str">
        <f t="shared" si="36"/>
        <v>微力创/end user 昶达</v>
      </c>
      <c r="AU198" s="259" t="str">
        <f t="shared" si="37"/>
        <v>C49SZX20190061JL</v>
      </c>
      <c r="AV198" s="259" t="str">
        <f t="shared" si="38"/>
        <v>Jun-01</v>
      </c>
    </row>
    <row r="199" spans="1:48" ht="15" hidden="1" customHeight="1">
      <c r="A199" s="559">
        <v>382</v>
      </c>
      <c r="B199" s="563" t="s">
        <v>280</v>
      </c>
      <c r="C199" s="560" t="s">
        <v>281</v>
      </c>
      <c r="D199" s="564">
        <v>109563</v>
      </c>
      <c r="E199" s="563" t="s">
        <v>619</v>
      </c>
      <c r="F199" s="563" t="s">
        <v>17</v>
      </c>
      <c r="G199" s="563" t="s">
        <v>18</v>
      </c>
      <c r="H199" s="563" t="s">
        <v>19</v>
      </c>
      <c r="I199" s="564" t="s">
        <v>620</v>
      </c>
      <c r="J199" s="564">
        <v>1</v>
      </c>
      <c r="K199" s="563" t="s">
        <v>295</v>
      </c>
      <c r="L199" s="565">
        <v>43617</v>
      </c>
      <c r="M199" s="566">
        <v>6.4299999999999996E-2</v>
      </c>
      <c r="N199" s="563" t="s">
        <v>417</v>
      </c>
      <c r="O199" s="563">
        <v>2019.05</v>
      </c>
      <c r="P199" s="566" t="str">
        <f>VLOOKUP(A199,'[1]Raw data'!$B:$BB,23,FALSE)</f>
        <v>RMB</v>
      </c>
      <c r="Q199" s="563" t="str">
        <f>VLOOKUP(A199,'[1]Raw data'!$B:$Z,2,FALSE)</f>
        <v>C49SZX20190110ZX</v>
      </c>
      <c r="R199" s="563" t="str">
        <f>VLOOKUP(A199,'[1]Raw data'!$B:$Z,3,FALSE)</f>
        <v>锘铧</v>
      </c>
      <c r="S199" s="563" t="str">
        <f>VLOOKUP(A199,'[1]Raw data'!$B:$Z,4,FALSE)</f>
        <v>YSM10</v>
      </c>
      <c r="T199" s="563" t="str">
        <f>VLOOKUP(A199,'[1]Raw data'!$B:$Z,8,FALSE)</f>
        <v>L-&gt;R</v>
      </c>
      <c r="U199" s="563" t="str">
        <f>VLOOKUP(A199,'[1]Raw data'!$B:$Z,9,FALSE)</f>
        <v>MVC+ATS15</v>
      </c>
      <c r="V199" s="567" t="str">
        <f t="shared" si="30"/>
        <v>WRONG</v>
      </c>
      <c r="W199" s="563" t="str">
        <f>VLOOKUP(A199,'[1]Raw data'!$B:$AG,32,FALSE)</f>
        <v>含税到厂</v>
      </c>
      <c r="X199" s="563">
        <f>VLOOKUP(A199,'[1]Raw data'!$B:$BA,31,FALSE)</f>
        <v>43686</v>
      </c>
      <c r="Y199" s="563" t="str">
        <f>VLOOKUP(A199,'[1]Raw data'!$B:$AS,39,FALSE)</f>
        <v>Yes</v>
      </c>
      <c r="Z199" s="568"/>
      <c r="AA199" s="569"/>
      <c r="AB199" s="570"/>
      <c r="AC199" s="563" t="s">
        <v>621</v>
      </c>
      <c r="AD199" s="571">
        <v>302</v>
      </c>
      <c r="AE199" s="571">
        <v>10</v>
      </c>
      <c r="AN199" s="542"/>
      <c r="AO199" s="824" t="str">
        <f t="shared" si="31"/>
        <v>Yes</v>
      </c>
      <c r="AP199" s="259" t="str">
        <f t="shared" si="32"/>
        <v>AUG 19</v>
      </c>
      <c r="AQ199" s="542" t="str">
        <f t="shared" si="33"/>
        <v>有定金+有預留客戶</v>
      </c>
      <c r="AR199" s="259" t="str">
        <f t="shared" si="34"/>
        <v>Shipped_Stock</v>
      </c>
      <c r="AS199" s="259" t="str">
        <f t="shared" si="35"/>
        <v/>
      </c>
      <c r="AT199" s="259" t="str">
        <f t="shared" si="36"/>
        <v>锘铧</v>
      </c>
      <c r="AU199" s="259" t="str">
        <f t="shared" si="37"/>
        <v>C49SZX20190110ZX</v>
      </c>
      <c r="AV199" s="259" t="str">
        <f t="shared" si="38"/>
        <v>Jun-01</v>
      </c>
    </row>
    <row r="200" spans="1:48" ht="15" hidden="1" customHeight="1">
      <c r="A200" s="559">
        <v>383</v>
      </c>
      <c r="B200" s="563" t="s">
        <v>280</v>
      </c>
      <c r="C200" s="560" t="s">
        <v>281</v>
      </c>
      <c r="D200" s="564">
        <v>109563</v>
      </c>
      <c r="E200" s="563" t="s">
        <v>619</v>
      </c>
      <c r="F200" s="563" t="s">
        <v>17</v>
      </c>
      <c r="G200" s="563" t="s">
        <v>18</v>
      </c>
      <c r="H200" s="563" t="s">
        <v>19</v>
      </c>
      <c r="I200" s="564" t="s">
        <v>622</v>
      </c>
      <c r="J200" s="564">
        <v>1</v>
      </c>
      <c r="K200" s="563" t="s">
        <v>295</v>
      </c>
      <c r="L200" s="565">
        <v>43617</v>
      </c>
      <c r="M200" s="566">
        <v>6.4299999999999996E-2</v>
      </c>
      <c r="N200" s="563" t="s">
        <v>417</v>
      </c>
      <c r="O200" s="563">
        <v>2019.05</v>
      </c>
      <c r="P200" s="566" t="str">
        <f>VLOOKUP(A200,'[1]Raw data'!$B:$BB,23,FALSE)</f>
        <v>RMB</v>
      </c>
      <c r="Q200" s="563" t="str">
        <f>VLOOKUP(A200,'[1]Raw data'!$B:$Z,2,FALSE)</f>
        <v>C49SZX20190110ZX</v>
      </c>
      <c r="R200" s="563" t="str">
        <f>VLOOKUP(A200,'[1]Raw data'!$B:$Z,3,FALSE)</f>
        <v>锘铧</v>
      </c>
      <c r="S200" s="563" t="str">
        <f>VLOOKUP(A200,'[1]Raw data'!$B:$Z,4,FALSE)</f>
        <v>YSM10</v>
      </c>
      <c r="T200" s="563" t="str">
        <f>VLOOKUP(A200,'[1]Raw data'!$B:$Z,8,FALSE)</f>
        <v>L-&gt;R</v>
      </c>
      <c r="U200" s="563" t="str">
        <f>VLOOKUP(A200,'[1]Raw data'!$B:$Z,9,FALSE)</f>
        <v>MVC+ATS15</v>
      </c>
      <c r="V200" s="567" t="str">
        <f t="shared" si="30"/>
        <v>WRONG</v>
      </c>
      <c r="W200" s="563" t="str">
        <f>VLOOKUP(A200,'[1]Raw data'!$B:$AG,32,FALSE)</f>
        <v>含税到厂</v>
      </c>
      <c r="X200" s="563">
        <f>VLOOKUP(A200,'[1]Raw data'!$B:$BA,31,FALSE)</f>
        <v>43686</v>
      </c>
      <c r="Y200" s="563" t="str">
        <f>VLOOKUP(A200,'[1]Raw data'!$B:$AS,39,FALSE)</f>
        <v>Yes</v>
      </c>
      <c r="Z200" s="568"/>
      <c r="AA200" s="569"/>
      <c r="AB200" s="570"/>
      <c r="AC200" s="563" t="s">
        <v>621</v>
      </c>
      <c r="AD200" s="571">
        <v>302</v>
      </c>
      <c r="AE200" s="571">
        <v>10</v>
      </c>
      <c r="AN200" s="542"/>
      <c r="AO200" s="824" t="str">
        <f t="shared" si="31"/>
        <v>Yes</v>
      </c>
      <c r="AP200" s="259" t="str">
        <f t="shared" si="32"/>
        <v>AUG 19</v>
      </c>
      <c r="AQ200" s="542" t="str">
        <f t="shared" si="33"/>
        <v>有定金+有預留客戶</v>
      </c>
      <c r="AR200" s="259" t="str">
        <f t="shared" si="34"/>
        <v>Shipped_Stock</v>
      </c>
      <c r="AS200" s="259" t="str">
        <f t="shared" si="35"/>
        <v/>
      </c>
      <c r="AT200" s="259" t="str">
        <f t="shared" si="36"/>
        <v>锘铧</v>
      </c>
      <c r="AU200" s="259" t="str">
        <f t="shared" si="37"/>
        <v>C49SZX20190110ZX</v>
      </c>
      <c r="AV200" s="259" t="str">
        <f t="shared" si="38"/>
        <v>Jun-01</v>
      </c>
    </row>
    <row r="201" spans="1:48" ht="15" hidden="1" customHeight="1">
      <c r="A201" s="559">
        <v>384</v>
      </c>
      <c r="B201" s="563" t="s">
        <v>280</v>
      </c>
      <c r="C201" s="560" t="s">
        <v>281</v>
      </c>
      <c r="D201" s="564">
        <v>109563</v>
      </c>
      <c r="E201" s="563" t="s">
        <v>619</v>
      </c>
      <c r="F201" s="563" t="s">
        <v>17</v>
      </c>
      <c r="G201" s="563" t="s">
        <v>24</v>
      </c>
      <c r="H201" s="563" t="s">
        <v>19</v>
      </c>
      <c r="I201" s="564" t="s">
        <v>623</v>
      </c>
      <c r="J201" s="564">
        <v>1</v>
      </c>
      <c r="K201" s="563" t="s">
        <v>295</v>
      </c>
      <c r="L201" s="565">
        <v>43617</v>
      </c>
      <c r="M201" s="566">
        <v>6.4299999999999996E-2</v>
      </c>
      <c r="N201" s="563" t="s">
        <v>417</v>
      </c>
      <c r="O201" s="563">
        <v>2019.05</v>
      </c>
      <c r="P201" s="566" t="str">
        <f>VLOOKUP(A201,'[1]Raw data'!$B:$BB,23,FALSE)</f>
        <v>RMB</v>
      </c>
      <c r="Q201" s="563" t="str">
        <f>VLOOKUP(A201,'[1]Raw data'!$B:$Z,2,FALSE)</f>
        <v>C49SZX20190110ZX</v>
      </c>
      <c r="R201" s="563" t="str">
        <f>VLOOKUP(A201,'[1]Raw data'!$B:$Z,3,FALSE)</f>
        <v>锘铧</v>
      </c>
      <c r="S201" s="563" t="str">
        <f>VLOOKUP(A201,'[1]Raw data'!$B:$Z,4,FALSE)</f>
        <v>YSM10</v>
      </c>
      <c r="T201" s="563" t="str">
        <f>VLOOKUP(A201,'[1]Raw data'!$B:$Z,8,FALSE)</f>
        <v>L-&gt;R</v>
      </c>
      <c r="U201" s="563" t="str">
        <f>VLOOKUP(A201,'[1]Raw data'!$B:$Z,9,FALSE)</f>
        <v>MVC+ATS15</v>
      </c>
      <c r="V201" s="567" t="str">
        <f t="shared" si="30"/>
        <v>WRONG</v>
      </c>
      <c r="W201" s="563" t="str">
        <f>VLOOKUP(A201,'[1]Raw data'!$B:$AG,32,FALSE)</f>
        <v>含税到厂</v>
      </c>
      <c r="X201" s="563">
        <f>VLOOKUP(A201,'[1]Raw data'!$B:$BA,31,FALSE)</f>
        <v>43686</v>
      </c>
      <c r="Y201" s="563" t="str">
        <f>VLOOKUP(A201,'[1]Raw data'!$B:$AS,39,FALSE)</f>
        <v>Yes</v>
      </c>
      <c r="Z201" s="568"/>
      <c r="AA201" s="569"/>
      <c r="AB201" s="570"/>
      <c r="AC201" s="563" t="s">
        <v>621</v>
      </c>
      <c r="AD201" s="571">
        <v>301</v>
      </c>
      <c r="AE201" s="571">
        <v>10</v>
      </c>
      <c r="AN201" s="542"/>
      <c r="AO201" s="824" t="str">
        <f t="shared" si="31"/>
        <v>Yes</v>
      </c>
      <c r="AP201" s="259" t="str">
        <f t="shared" si="32"/>
        <v>AUG 19</v>
      </c>
      <c r="AQ201" s="542" t="str">
        <f t="shared" si="33"/>
        <v>有定金+有預留客戶</v>
      </c>
      <c r="AR201" s="259" t="str">
        <f t="shared" si="34"/>
        <v>Shipped_Stock</v>
      </c>
      <c r="AS201" s="259" t="str">
        <f t="shared" si="35"/>
        <v/>
      </c>
      <c r="AT201" s="259" t="str">
        <f t="shared" si="36"/>
        <v>锘铧</v>
      </c>
      <c r="AU201" s="259" t="str">
        <f t="shared" si="37"/>
        <v>C49SZX20190110ZX</v>
      </c>
      <c r="AV201" s="259" t="str">
        <f t="shared" si="38"/>
        <v>Jun-01</v>
      </c>
    </row>
    <row r="202" spans="1:48" ht="15" hidden="1" customHeight="1">
      <c r="A202" s="559">
        <v>407</v>
      </c>
      <c r="B202" s="563" t="s">
        <v>280</v>
      </c>
      <c r="C202" s="560" t="s">
        <v>281</v>
      </c>
      <c r="D202" s="564">
        <v>109564</v>
      </c>
      <c r="E202" s="563" t="s">
        <v>619</v>
      </c>
      <c r="F202" s="563" t="s">
        <v>17</v>
      </c>
      <c r="G202" s="563" t="s">
        <v>24</v>
      </c>
      <c r="H202" s="563" t="s">
        <v>19</v>
      </c>
      <c r="I202" s="564" t="s">
        <v>624</v>
      </c>
      <c r="J202" s="564">
        <v>1</v>
      </c>
      <c r="K202" s="563" t="s">
        <v>295</v>
      </c>
      <c r="L202" s="565">
        <v>43617</v>
      </c>
      <c r="M202" s="566">
        <v>6.4299999999999996E-2</v>
      </c>
      <c r="N202" s="563" t="s">
        <v>417</v>
      </c>
      <c r="O202" s="563">
        <v>2019.05</v>
      </c>
      <c r="P202" s="566" t="str">
        <f>VLOOKUP(A202,'[1]Raw data'!$B:$BB,23,FALSE)</f>
        <v>RMB</v>
      </c>
      <c r="Q202" s="563" t="str">
        <f>VLOOKUP(A202,'[1]Raw data'!$B:$Z,2,FALSE)</f>
        <v>C49SZX20190117SX</v>
      </c>
      <c r="R202" s="563" t="str">
        <f>VLOOKUP(A202,'[1]Raw data'!$B:$Z,3,FALSE)</f>
        <v>玮芯电子</v>
      </c>
      <c r="S202" s="563" t="str">
        <f>VLOOKUP(A202,'[1]Raw data'!$B:$Z,4,FALSE)</f>
        <v>YSM10</v>
      </c>
      <c r="T202" s="563" t="str">
        <f>VLOOKUP(A202,'[1]Raw data'!$B:$Z,8,FALSE)</f>
        <v>L-&gt;R</v>
      </c>
      <c r="U202" s="563" t="str">
        <f>VLOOKUP(A202,'[1]Raw data'!$B:$Z,9,FALSE)</f>
        <v>MVC+ATS15</v>
      </c>
      <c r="V202" s="567" t="str">
        <f t="shared" si="30"/>
        <v>WRONG</v>
      </c>
      <c r="W202" s="563" t="str">
        <f>VLOOKUP(A202,'[1]Raw data'!$B:$AG,32,FALSE)</f>
        <v>含税到厂</v>
      </c>
      <c r="X202" s="563">
        <f>VLOOKUP(A202,'[1]Raw data'!$B:$BA,31,FALSE)</f>
        <v>43699</v>
      </c>
      <c r="Y202" s="563" t="str">
        <f>VLOOKUP(A202,'[1]Raw data'!$B:$AS,39,FALSE)</f>
        <v>Yes</v>
      </c>
      <c r="Z202" s="568"/>
      <c r="AA202" s="569"/>
      <c r="AB202" s="570"/>
      <c r="AC202" s="563" t="s">
        <v>625</v>
      </c>
      <c r="AD202" s="571">
        <v>301</v>
      </c>
      <c r="AE202" s="571">
        <v>10</v>
      </c>
      <c r="AN202" s="542"/>
      <c r="AO202" s="824" t="str">
        <f t="shared" si="31"/>
        <v>Yes</v>
      </c>
      <c r="AP202" s="259" t="str">
        <f t="shared" si="32"/>
        <v>AUG 19</v>
      </c>
      <c r="AQ202" s="542" t="str">
        <f t="shared" si="33"/>
        <v>有定金+有預留客戶</v>
      </c>
      <c r="AR202" s="259" t="str">
        <f t="shared" si="34"/>
        <v>Shipped_Stock</v>
      </c>
      <c r="AS202" s="259" t="str">
        <f t="shared" si="35"/>
        <v/>
      </c>
      <c r="AT202" s="259" t="str">
        <f t="shared" si="36"/>
        <v>玮芯电子</v>
      </c>
      <c r="AU202" s="259" t="str">
        <f t="shared" si="37"/>
        <v>C49SZX20190117SX</v>
      </c>
      <c r="AV202" s="259" t="str">
        <f t="shared" si="38"/>
        <v>Jun-01</v>
      </c>
    </row>
    <row r="203" spans="1:48" ht="15" hidden="1" customHeight="1">
      <c r="A203" s="559">
        <v>397</v>
      </c>
      <c r="B203" s="563" t="s">
        <v>280</v>
      </c>
      <c r="C203" s="560" t="s">
        <v>281</v>
      </c>
      <c r="D203" s="564">
        <v>109564</v>
      </c>
      <c r="E203" s="563" t="s">
        <v>619</v>
      </c>
      <c r="F203" s="563" t="s">
        <v>17</v>
      </c>
      <c r="G203" s="563" t="s">
        <v>24</v>
      </c>
      <c r="H203" s="563" t="s">
        <v>19</v>
      </c>
      <c r="I203" s="564" t="s">
        <v>626</v>
      </c>
      <c r="J203" s="564">
        <v>1</v>
      </c>
      <c r="K203" s="563" t="s">
        <v>295</v>
      </c>
      <c r="L203" s="565">
        <v>43617</v>
      </c>
      <c r="M203" s="566">
        <v>6.4299999999999996E-2</v>
      </c>
      <c r="N203" s="563" t="s">
        <v>320</v>
      </c>
      <c r="O203" s="563">
        <v>2019.05</v>
      </c>
      <c r="P203" s="566" t="str">
        <f>VLOOKUP(A203,'[1]Raw data'!$B:$BB,23,FALSE)</f>
        <v>RMB</v>
      </c>
      <c r="Q203" s="563" t="str">
        <f>VLOOKUP(A203,'[1]Raw data'!$B:$Z,2,FALSE)</f>
        <v>C49SZX20190119SX</v>
      </c>
      <c r="R203" s="563" t="str">
        <f>VLOOKUP(A203,'[1]Raw data'!$B:$Z,3,FALSE)</f>
        <v>太美亚</v>
      </c>
      <c r="S203" s="563" t="str">
        <f>VLOOKUP(A203,'[1]Raw data'!$B:$Z,4,FALSE)</f>
        <v>YSM10</v>
      </c>
      <c r="T203" s="563" t="str">
        <f>VLOOKUP(A203,'[1]Raw data'!$B:$Z,8,FALSE)</f>
        <v>R-&gt;L</v>
      </c>
      <c r="U203" s="563" t="str">
        <f>VLOOKUP(A203,'[1]Raw data'!$B:$Z,9,FALSE)</f>
        <v>MVC+ATS15</v>
      </c>
      <c r="V203" s="567" t="str">
        <f t="shared" si="30"/>
        <v>WRONG</v>
      </c>
      <c r="W203" s="563" t="str">
        <f>VLOOKUP(A203,'[1]Raw data'!$B:$AG,32,FALSE)</f>
        <v>含税到厂</v>
      </c>
      <c r="X203" s="563">
        <f>VLOOKUP(A203,'[1]Raw data'!$B:$BA,31,FALSE)</f>
        <v>43693</v>
      </c>
      <c r="Y203" s="563" t="str">
        <f>VLOOKUP(A203,'[1]Raw data'!$B:$AS,39,FALSE)</f>
        <v>Yes</v>
      </c>
      <c r="Z203" s="568" t="s">
        <v>329</v>
      </c>
      <c r="AA203" s="569" t="s">
        <v>329</v>
      </c>
      <c r="AB203" s="570"/>
      <c r="AC203" s="563" t="s">
        <v>476</v>
      </c>
      <c r="AD203" s="571">
        <v>301</v>
      </c>
      <c r="AE203" s="571">
        <v>10</v>
      </c>
      <c r="AN203" s="542"/>
      <c r="AO203" s="824" t="str">
        <f t="shared" si="31"/>
        <v>Yes</v>
      </c>
      <c r="AP203" s="259" t="str">
        <f t="shared" si="32"/>
        <v>SEP 19</v>
      </c>
      <c r="AQ203" s="542" t="str">
        <f t="shared" si="33"/>
        <v>有定金+有預留客戶</v>
      </c>
      <c r="AR203" s="259" t="str">
        <f t="shared" si="34"/>
        <v>Shipped_Stock</v>
      </c>
      <c r="AS203" s="259" t="str">
        <f t="shared" si="35"/>
        <v/>
      </c>
      <c r="AT203" s="259" t="str">
        <f t="shared" si="36"/>
        <v>太美亚</v>
      </c>
      <c r="AU203" s="259" t="str">
        <f t="shared" si="37"/>
        <v>C49SZX20190119SX</v>
      </c>
      <c r="AV203" s="259" t="str">
        <f t="shared" si="38"/>
        <v>Jun-01</v>
      </c>
    </row>
    <row r="204" spans="1:48" ht="15" hidden="1" customHeight="1">
      <c r="A204" s="559">
        <v>371</v>
      </c>
      <c r="B204" s="563" t="s">
        <v>280</v>
      </c>
      <c r="C204" s="560" t="s">
        <v>281</v>
      </c>
      <c r="D204" s="564">
        <v>109582</v>
      </c>
      <c r="E204" s="563" t="s">
        <v>617</v>
      </c>
      <c r="F204" s="563" t="s">
        <v>256</v>
      </c>
      <c r="G204" s="563" t="s">
        <v>18</v>
      </c>
      <c r="H204" s="563" t="s">
        <v>27</v>
      </c>
      <c r="I204" s="564" t="s">
        <v>627</v>
      </c>
      <c r="J204" s="564">
        <v>1</v>
      </c>
      <c r="K204" s="563" t="s">
        <v>437</v>
      </c>
      <c r="L204" s="565">
        <v>43617</v>
      </c>
      <c r="M204" s="566">
        <v>6.4299999999999996E-2</v>
      </c>
      <c r="N204" s="563" t="s">
        <v>325</v>
      </c>
      <c r="O204" s="564">
        <v>2019.05</v>
      </c>
      <c r="P204" s="566" t="str">
        <f>VLOOKUP(A204,'[1]Raw data'!$B:$BB,23,FALSE)</f>
        <v>JPY</v>
      </c>
      <c r="Q204" s="563" t="str">
        <f>VLOOKUP(A204,'[1]Raw data'!$B:$Z,2,FALSE)</f>
        <v>C49SZX20190093JL</v>
      </c>
      <c r="R204" s="563" t="str">
        <f>VLOOKUP(A204,'[1]Raw data'!$B:$Z,3,FALSE)</f>
        <v>杉川/end user:放德劲</v>
      </c>
      <c r="S204" s="563" t="str">
        <f>VLOOKUP(A204,'[1]Raw data'!$B:$Z,4,FALSE)</f>
        <v>YSM20R(SV)-2</v>
      </c>
      <c r="T204" s="563" t="str">
        <f>VLOOKUP(A204,'[1]Raw data'!$B:$Z,8,FALSE)</f>
        <v>R-&gt;L</v>
      </c>
      <c r="U204" s="563" t="str">
        <f>VLOOKUP(A204,'[1]Raw data'!$B:$Z,9,FALSE)</f>
        <v>No</v>
      </c>
      <c r="V204" s="567" t="str">
        <f t="shared" si="30"/>
        <v>WRONG</v>
      </c>
      <c r="W204" s="563" t="str">
        <f>VLOOKUP(A204,'[1]Raw data'!$B:$AG,32,FALSE)</f>
        <v>DAP SZ</v>
      </c>
      <c r="X204" s="563">
        <f>VLOOKUP(A204,'[1]Raw data'!$B:$BA,31,FALSE)</f>
        <v>43649</v>
      </c>
      <c r="Y204" s="563" t="str">
        <f>VLOOKUP(A204,'[1]Raw data'!$B:$AS,39,FALSE)</f>
        <v>Yes</v>
      </c>
      <c r="Z204" s="568"/>
      <c r="AA204" s="569"/>
      <c r="AB204" s="570"/>
      <c r="AC204" s="563" t="s">
        <v>573</v>
      </c>
      <c r="AD204" s="571">
        <v>301</v>
      </c>
      <c r="AE204" s="571">
        <v>10</v>
      </c>
      <c r="AF204" s="571">
        <v>303</v>
      </c>
      <c r="AG204" s="571">
        <v>10</v>
      </c>
      <c r="AN204" s="542"/>
      <c r="AO204" s="824" t="str">
        <f t="shared" si="31"/>
        <v>Yes</v>
      </c>
      <c r="AP204" s="259" t="str">
        <f t="shared" si="32"/>
        <v>JUL 19</v>
      </c>
      <c r="AQ204" s="542" t="str">
        <f t="shared" si="33"/>
        <v>有定金+有預留客戶</v>
      </c>
      <c r="AR204" s="259" t="str">
        <f t="shared" si="34"/>
        <v>Shipped_Stock</v>
      </c>
      <c r="AS204" s="259" t="str">
        <f t="shared" si="35"/>
        <v/>
      </c>
      <c r="AT204" s="259" t="str">
        <f t="shared" si="36"/>
        <v>杉川/end user:放德劲</v>
      </c>
      <c r="AU204" s="259" t="str">
        <f t="shared" si="37"/>
        <v>C49SZX20190093JL</v>
      </c>
      <c r="AV204" s="259" t="str">
        <f t="shared" si="38"/>
        <v>Jun-01</v>
      </c>
    </row>
    <row r="205" spans="1:48" ht="15" hidden="1" customHeight="1">
      <c r="A205" s="559">
        <v>372</v>
      </c>
      <c r="B205" s="563" t="s">
        <v>280</v>
      </c>
      <c r="C205" s="560" t="s">
        <v>281</v>
      </c>
      <c r="D205" s="564">
        <v>109582</v>
      </c>
      <c r="E205" s="563" t="s">
        <v>617</v>
      </c>
      <c r="F205" s="563" t="s">
        <v>256</v>
      </c>
      <c r="G205" s="563" t="s">
        <v>18</v>
      </c>
      <c r="H205" s="563" t="s">
        <v>27</v>
      </c>
      <c r="I205" s="564" t="s">
        <v>628</v>
      </c>
      <c r="J205" s="564">
        <v>1</v>
      </c>
      <c r="K205" s="563" t="s">
        <v>437</v>
      </c>
      <c r="L205" s="565">
        <v>43617</v>
      </c>
      <c r="M205" s="566">
        <v>6.4299999999999996E-2</v>
      </c>
      <c r="N205" s="563" t="s">
        <v>325</v>
      </c>
      <c r="O205" s="564">
        <v>2019.05</v>
      </c>
      <c r="P205" s="566" t="str">
        <f>VLOOKUP(A205,'[1]Raw data'!$B:$BB,23,FALSE)</f>
        <v>JPY</v>
      </c>
      <c r="Q205" s="563" t="str">
        <f>VLOOKUP(A205,'[1]Raw data'!$B:$Z,2,FALSE)</f>
        <v>C49SZX20190093JL</v>
      </c>
      <c r="R205" s="563" t="str">
        <f>VLOOKUP(A205,'[1]Raw data'!$B:$Z,3,FALSE)</f>
        <v>杉川/end user:放德劲</v>
      </c>
      <c r="S205" s="563" t="str">
        <f>VLOOKUP(A205,'[1]Raw data'!$B:$Z,4,FALSE)</f>
        <v>YSM20R(SV)-2</v>
      </c>
      <c r="T205" s="563" t="str">
        <f>VLOOKUP(A205,'[1]Raw data'!$B:$Z,8,FALSE)</f>
        <v>R-&gt;L</v>
      </c>
      <c r="U205" s="563" t="str">
        <f>VLOOKUP(A205,'[1]Raw data'!$B:$Z,9,FALSE)</f>
        <v>No</v>
      </c>
      <c r="V205" s="567" t="str">
        <f t="shared" si="30"/>
        <v>WRONG</v>
      </c>
      <c r="W205" s="563" t="str">
        <f>VLOOKUP(A205,'[1]Raw data'!$B:$AG,32,FALSE)</f>
        <v>DAP SZ</v>
      </c>
      <c r="X205" s="563">
        <f>VLOOKUP(A205,'[1]Raw data'!$B:$BA,31,FALSE)</f>
        <v>43649</v>
      </c>
      <c r="Y205" s="563" t="str">
        <f>VLOOKUP(A205,'[1]Raw data'!$B:$AS,39,FALSE)</f>
        <v>Yes</v>
      </c>
      <c r="Z205" s="568"/>
      <c r="AA205" s="569"/>
      <c r="AB205" s="570"/>
      <c r="AC205" s="563" t="s">
        <v>573</v>
      </c>
      <c r="AD205" s="571">
        <v>301</v>
      </c>
      <c r="AE205" s="571">
        <v>10</v>
      </c>
      <c r="AF205" s="571">
        <v>303</v>
      </c>
      <c r="AG205" s="571">
        <v>10</v>
      </c>
      <c r="AN205" s="542"/>
      <c r="AO205" s="824" t="str">
        <f t="shared" si="31"/>
        <v>Yes</v>
      </c>
      <c r="AP205" s="259" t="str">
        <f t="shared" si="32"/>
        <v>JUL 19</v>
      </c>
      <c r="AQ205" s="542" t="str">
        <f t="shared" si="33"/>
        <v>有定金+有預留客戶</v>
      </c>
      <c r="AR205" s="259" t="str">
        <f t="shared" si="34"/>
        <v>Shipped_Stock</v>
      </c>
      <c r="AS205" s="259" t="str">
        <f t="shared" si="35"/>
        <v/>
      </c>
      <c r="AT205" s="259" t="str">
        <f t="shared" si="36"/>
        <v>杉川/end user:放德劲</v>
      </c>
      <c r="AU205" s="259" t="str">
        <f t="shared" si="37"/>
        <v>C49SZX20190093JL</v>
      </c>
      <c r="AV205" s="259" t="str">
        <f t="shared" si="38"/>
        <v>Jun-01</v>
      </c>
    </row>
    <row r="206" spans="1:48" ht="15" hidden="1" customHeight="1">
      <c r="A206" s="559">
        <v>308</v>
      </c>
      <c r="B206" s="563" t="s">
        <v>280</v>
      </c>
      <c r="C206" s="560" t="s">
        <v>281</v>
      </c>
      <c r="D206" s="564">
        <v>109563</v>
      </c>
      <c r="E206" s="563" t="s">
        <v>619</v>
      </c>
      <c r="F206" s="563" t="s">
        <v>17</v>
      </c>
      <c r="G206" s="563" t="s">
        <v>18</v>
      </c>
      <c r="H206" s="563" t="s">
        <v>19</v>
      </c>
      <c r="I206" s="564" t="s">
        <v>629</v>
      </c>
      <c r="J206" s="564">
        <v>1</v>
      </c>
      <c r="K206" s="563" t="s">
        <v>437</v>
      </c>
      <c r="L206" s="565">
        <v>43617</v>
      </c>
      <c r="M206" s="566">
        <v>6.4299999999999996E-2</v>
      </c>
      <c r="N206" s="563" t="s">
        <v>325</v>
      </c>
      <c r="O206" s="563">
        <v>2019.05</v>
      </c>
      <c r="P206" s="566" t="str">
        <f>VLOOKUP(A206,'[1]Raw data'!$B:$BB,23,FALSE)</f>
        <v>JPY</v>
      </c>
      <c r="Q206" s="563" t="str">
        <f>VLOOKUP(A206,'[1]Raw data'!$B:$Z,2,FALSE)</f>
        <v>C49SZX20190069KW</v>
      </c>
      <c r="R206" s="563" t="str">
        <f>VLOOKUP(A206,'[1]Raw data'!$B:$Z,3,FALSE)</f>
        <v>同基</v>
      </c>
      <c r="S206" s="563" t="str">
        <f>VLOOKUP(A206,'[1]Raw data'!$B:$Z,4,FALSE)</f>
        <v>YSM10</v>
      </c>
      <c r="T206" s="563" t="str">
        <f>VLOOKUP(A206,'[1]Raw data'!$B:$Z,8,FALSE)</f>
        <v>L-&gt;R</v>
      </c>
      <c r="U206" s="563" t="str">
        <f>VLOOKUP(A206,'[1]Raw data'!$B:$Z,9,FALSE)</f>
        <v>MVC+ATS15</v>
      </c>
      <c r="V206" s="567" t="str">
        <f t="shared" si="30"/>
        <v>WRONG</v>
      </c>
      <c r="W206" s="563" t="str">
        <f>VLOOKUP(A206,'[1]Raw data'!$B:$AG,32,FALSE)</f>
        <v>CIF HK</v>
      </c>
      <c r="X206" s="563">
        <f>VLOOKUP(A206,'[1]Raw data'!$B:$BA,31,FALSE)</f>
        <v>43593</v>
      </c>
      <c r="Y206" s="563" t="str">
        <f>VLOOKUP(A206,'[1]Raw data'!$B:$AS,39,FALSE)</f>
        <v>Yes</v>
      </c>
      <c r="Z206" s="568"/>
      <c r="AA206" s="569"/>
      <c r="AB206" s="570"/>
      <c r="AC206" s="563" t="s">
        <v>540</v>
      </c>
      <c r="AD206" s="571">
        <v>302</v>
      </c>
      <c r="AE206" s="571">
        <v>10</v>
      </c>
      <c r="AN206" s="542"/>
      <c r="AO206" s="824" t="str">
        <f t="shared" si="31"/>
        <v>Yes</v>
      </c>
      <c r="AP206" s="259" t="str">
        <f t="shared" si="32"/>
        <v>JUL 19</v>
      </c>
      <c r="AQ206" s="542" t="str">
        <f t="shared" si="33"/>
        <v>有定金+有預留客戶</v>
      </c>
      <c r="AR206" s="259" t="str">
        <f t="shared" si="34"/>
        <v>Shipped_Stock</v>
      </c>
      <c r="AS206" s="259" t="str">
        <f t="shared" si="35"/>
        <v/>
      </c>
      <c r="AT206" s="259" t="str">
        <f t="shared" si="36"/>
        <v>同基</v>
      </c>
      <c r="AU206" s="259" t="str">
        <f t="shared" si="37"/>
        <v>C49SZX20190069KW</v>
      </c>
      <c r="AV206" s="259" t="str">
        <f t="shared" si="38"/>
        <v>Jun-01</v>
      </c>
    </row>
    <row r="207" spans="1:48" ht="15" hidden="1" customHeight="1">
      <c r="A207" s="559">
        <v>309</v>
      </c>
      <c r="B207" s="563" t="s">
        <v>280</v>
      </c>
      <c r="C207" s="560" t="s">
        <v>281</v>
      </c>
      <c r="D207" s="564">
        <v>109563</v>
      </c>
      <c r="E207" s="563" t="s">
        <v>619</v>
      </c>
      <c r="F207" s="563" t="s">
        <v>17</v>
      </c>
      <c r="G207" s="563" t="s">
        <v>24</v>
      </c>
      <c r="H207" s="563" t="s">
        <v>19</v>
      </c>
      <c r="I207" s="564" t="s">
        <v>630</v>
      </c>
      <c r="J207" s="564">
        <v>1</v>
      </c>
      <c r="K207" s="563" t="s">
        <v>437</v>
      </c>
      <c r="L207" s="565">
        <v>43617</v>
      </c>
      <c r="M207" s="566">
        <v>6.4299999999999996E-2</v>
      </c>
      <c r="N207" s="563" t="s">
        <v>325</v>
      </c>
      <c r="O207" s="563">
        <v>2019.05</v>
      </c>
      <c r="P207" s="566" t="str">
        <f>VLOOKUP(A207,'[1]Raw data'!$B:$BB,23,FALSE)</f>
        <v>JPY</v>
      </c>
      <c r="Q207" s="563" t="str">
        <f>VLOOKUP(A207,'[1]Raw data'!$B:$Z,2,FALSE)</f>
        <v>C49SZX20190069KW</v>
      </c>
      <c r="R207" s="563" t="str">
        <f>VLOOKUP(A207,'[1]Raw data'!$B:$Z,3,FALSE)</f>
        <v>同基</v>
      </c>
      <c r="S207" s="563" t="str">
        <f>VLOOKUP(A207,'[1]Raw data'!$B:$Z,4,FALSE)</f>
        <v>YSM10</v>
      </c>
      <c r="T207" s="563" t="str">
        <f>VLOOKUP(A207,'[1]Raw data'!$B:$Z,8,FALSE)</f>
        <v>L-&gt;R</v>
      </c>
      <c r="U207" s="563" t="str">
        <f>VLOOKUP(A207,'[1]Raw data'!$B:$Z,9,FALSE)</f>
        <v>MVC+ATS15</v>
      </c>
      <c r="V207" s="567" t="str">
        <f t="shared" si="30"/>
        <v>WRONG</v>
      </c>
      <c r="W207" s="563" t="str">
        <f>VLOOKUP(A207,'[1]Raw data'!$B:$AG,32,FALSE)</f>
        <v>CIF HK</v>
      </c>
      <c r="X207" s="563">
        <f>VLOOKUP(A207,'[1]Raw data'!$B:$BA,31,FALSE)</f>
        <v>43593</v>
      </c>
      <c r="Y207" s="563" t="str">
        <f>VLOOKUP(A207,'[1]Raw data'!$B:$AS,39,FALSE)</f>
        <v>Yes</v>
      </c>
      <c r="Z207" s="568"/>
      <c r="AA207" s="569"/>
      <c r="AB207" s="570"/>
      <c r="AC207" s="563" t="s">
        <v>540</v>
      </c>
      <c r="AD207" s="571">
        <v>302</v>
      </c>
      <c r="AE207" s="571">
        <v>10</v>
      </c>
      <c r="AN207" s="542"/>
      <c r="AO207" s="824" t="str">
        <f t="shared" si="31"/>
        <v>Yes</v>
      </c>
      <c r="AP207" s="259" t="str">
        <f t="shared" si="32"/>
        <v>JUL 19</v>
      </c>
      <c r="AQ207" s="542" t="str">
        <f t="shared" si="33"/>
        <v>有定金+有預留客戶</v>
      </c>
      <c r="AR207" s="259" t="str">
        <f t="shared" si="34"/>
        <v>Shipped_Stock</v>
      </c>
      <c r="AS207" s="259" t="str">
        <f t="shared" si="35"/>
        <v/>
      </c>
      <c r="AT207" s="259" t="str">
        <f t="shared" si="36"/>
        <v>同基</v>
      </c>
      <c r="AU207" s="259" t="str">
        <f t="shared" si="37"/>
        <v>C49SZX20190069KW</v>
      </c>
      <c r="AV207" s="259" t="str">
        <f t="shared" si="38"/>
        <v>Jun-01</v>
      </c>
    </row>
    <row r="208" spans="1:48" ht="15" hidden="1" customHeight="1">
      <c r="A208" s="559">
        <v>374</v>
      </c>
      <c r="B208" s="563" t="s">
        <v>280</v>
      </c>
      <c r="C208" s="560" t="s">
        <v>281</v>
      </c>
      <c r="D208" s="564">
        <v>109564</v>
      </c>
      <c r="E208" s="563" t="s">
        <v>619</v>
      </c>
      <c r="F208" s="563" t="s">
        <v>17</v>
      </c>
      <c r="G208" s="563" t="s">
        <v>24</v>
      </c>
      <c r="H208" s="563" t="s">
        <v>26</v>
      </c>
      <c r="I208" s="564" t="s">
        <v>631</v>
      </c>
      <c r="J208" s="564">
        <v>1</v>
      </c>
      <c r="K208" s="563" t="s">
        <v>437</v>
      </c>
      <c r="L208" s="565">
        <v>43617</v>
      </c>
      <c r="M208" s="566">
        <v>6.4299999999999996E-2</v>
      </c>
      <c r="N208" s="563" t="s">
        <v>325</v>
      </c>
      <c r="O208" s="563">
        <v>2019.05</v>
      </c>
      <c r="P208" s="566" t="str">
        <f>VLOOKUP(A208,'[1]Raw data'!$B:$BB,23,FALSE)</f>
        <v>JPY</v>
      </c>
      <c r="Q208" s="563" t="str">
        <f>VLOOKUP(A208,'[1]Raw data'!$B:$Z,2,FALSE)</f>
        <v>C49SZX20190093JL</v>
      </c>
      <c r="R208" s="563" t="str">
        <f>VLOOKUP(A208,'[1]Raw data'!$B:$Z,3,FALSE)</f>
        <v>杉川/end user:放德劲</v>
      </c>
      <c r="S208" s="563" t="str">
        <f>VLOOKUP(A208,'[1]Raw data'!$B:$Z,4,FALSE)</f>
        <v>YSM10</v>
      </c>
      <c r="T208" s="563" t="str">
        <f>VLOOKUP(A208,'[1]Raw data'!$B:$Z,8,FALSE)</f>
        <v>R-&gt;L</v>
      </c>
      <c r="U208" s="563" t="str">
        <f>VLOOKUP(A208,'[1]Raw data'!$B:$Z,9,FALSE)</f>
        <v>MVC</v>
      </c>
      <c r="V208" s="567" t="str">
        <f t="shared" si="30"/>
        <v>WRONG</v>
      </c>
      <c r="W208" s="563" t="str">
        <f>VLOOKUP(A208,'[1]Raw data'!$B:$AG,32,FALSE)</f>
        <v>DAP SZ</v>
      </c>
      <c r="X208" s="563">
        <f>VLOOKUP(A208,'[1]Raw data'!$B:$BA,31,FALSE)</f>
        <v>43649</v>
      </c>
      <c r="Y208" s="563" t="str">
        <f>VLOOKUP(A208,'[1]Raw data'!$B:$AS,39,FALSE)</f>
        <v>Yes</v>
      </c>
      <c r="Z208" s="568"/>
      <c r="AA208" s="569"/>
      <c r="AB208" s="570"/>
      <c r="AC208" s="563" t="s">
        <v>573</v>
      </c>
      <c r="AD208" s="571">
        <v>301</v>
      </c>
      <c r="AE208" s="571">
        <v>10</v>
      </c>
      <c r="AN208" s="542"/>
      <c r="AO208" s="824" t="str">
        <f t="shared" si="31"/>
        <v>Yes</v>
      </c>
      <c r="AP208" s="259" t="str">
        <f t="shared" si="32"/>
        <v>JUL 19</v>
      </c>
      <c r="AQ208" s="542" t="str">
        <f t="shared" si="33"/>
        <v>有定金+有預留客戶</v>
      </c>
      <c r="AR208" s="259" t="str">
        <f t="shared" si="34"/>
        <v>Shipped_Stock</v>
      </c>
      <c r="AS208" s="259" t="str">
        <f t="shared" si="35"/>
        <v/>
      </c>
      <c r="AT208" s="259" t="str">
        <f t="shared" si="36"/>
        <v>杉川/end user:放德劲</v>
      </c>
      <c r="AU208" s="259" t="str">
        <f t="shared" si="37"/>
        <v>C49SZX20190093JL</v>
      </c>
      <c r="AV208" s="259" t="str">
        <f t="shared" si="38"/>
        <v>Jun-01</v>
      </c>
    </row>
    <row r="209" spans="1:69" ht="15" hidden="1" customHeight="1">
      <c r="A209" s="559">
        <v>366</v>
      </c>
      <c r="B209" s="563" t="s">
        <v>280</v>
      </c>
      <c r="C209" s="560" t="s">
        <v>281</v>
      </c>
      <c r="D209" s="564">
        <v>109564</v>
      </c>
      <c r="E209" s="563" t="s">
        <v>619</v>
      </c>
      <c r="F209" s="563" t="s">
        <v>17</v>
      </c>
      <c r="G209" s="563" t="s">
        <v>24</v>
      </c>
      <c r="H209" s="563" t="s">
        <v>26</v>
      </c>
      <c r="I209" s="564" t="s">
        <v>632</v>
      </c>
      <c r="J209" s="564">
        <v>1</v>
      </c>
      <c r="K209" s="563" t="s">
        <v>437</v>
      </c>
      <c r="L209" s="565">
        <v>43617</v>
      </c>
      <c r="M209" s="566">
        <v>6.4299999999999996E-2</v>
      </c>
      <c r="N209" s="563" t="s">
        <v>325</v>
      </c>
      <c r="O209" s="563">
        <v>2019.05</v>
      </c>
      <c r="P209" s="566" t="str">
        <f>VLOOKUP(A209,'[1]Raw data'!$B:$BB,23,FALSE)</f>
        <v>RMB</v>
      </c>
      <c r="Q209" s="563" t="str">
        <f>VLOOKUP(A209,'[1]Raw data'!$B:$Z,2,FALSE)</f>
        <v>C49SZX20190108ZX</v>
      </c>
      <c r="R209" s="563" t="str">
        <f>VLOOKUP(A209,'[1]Raw data'!$B:$Z,3,FALSE)</f>
        <v>帝泰克</v>
      </c>
      <c r="S209" s="563" t="str">
        <f>VLOOKUP(A209,'[1]Raw data'!$B:$Z,4,FALSE)</f>
        <v>YSM10</v>
      </c>
      <c r="T209" s="563" t="str">
        <f>VLOOKUP(A209,'[1]Raw data'!$B:$Z,8,FALSE)</f>
        <v>L-&gt;R</v>
      </c>
      <c r="U209" s="563" t="str">
        <f>VLOOKUP(A209,'[1]Raw data'!$B:$Z,9,FALSE)</f>
        <v>No</v>
      </c>
      <c r="V209" s="567" t="str">
        <f t="shared" si="30"/>
        <v>OK</v>
      </c>
      <c r="W209" s="563" t="str">
        <f>VLOOKUP(A209,'[1]Raw data'!$B:$AG,32,FALSE)</f>
        <v>含税到厂</v>
      </c>
      <c r="X209" s="563">
        <f>VLOOKUP(A209,'[1]Raw data'!$B:$BA,31,FALSE)</f>
        <v>43580</v>
      </c>
      <c r="Y209" s="563" t="str">
        <f>VLOOKUP(A209,'[1]Raw data'!$B:$AS,39,FALSE)</f>
        <v>Yes</v>
      </c>
      <c r="Z209" s="568" t="s">
        <v>290</v>
      </c>
      <c r="AA209" s="569" t="s">
        <v>290</v>
      </c>
      <c r="AB209" s="570"/>
      <c r="AC209" s="563" t="s">
        <v>545</v>
      </c>
      <c r="AD209" s="571">
        <v>301</v>
      </c>
      <c r="AE209" s="571">
        <v>10</v>
      </c>
      <c r="AN209" s="542"/>
      <c r="AO209" s="824" t="str">
        <f t="shared" si="31"/>
        <v>Yes</v>
      </c>
      <c r="AP209" s="259" t="str">
        <f t="shared" si="32"/>
        <v>JUL 19</v>
      </c>
      <c r="AQ209" s="542" t="str">
        <f t="shared" si="33"/>
        <v>有定金+有預留客戶</v>
      </c>
      <c r="AR209" s="259" t="str">
        <f t="shared" si="34"/>
        <v>Shipped_Stock</v>
      </c>
      <c r="AS209" s="259" t="str">
        <f t="shared" si="35"/>
        <v/>
      </c>
      <c r="AT209" s="259" t="str">
        <f t="shared" si="36"/>
        <v>帝泰克</v>
      </c>
      <c r="AU209" s="259" t="str">
        <f t="shared" si="37"/>
        <v>C49SZX20190108ZX</v>
      </c>
      <c r="AV209" s="259" t="str">
        <f t="shared" si="38"/>
        <v>Jun-01</v>
      </c>
    </row>
    <row r="210" spans="1:69" ht="15" hidden="1" customHeight="1">
      <c r="A210" s="559">
        <v>419</v>
      </c>
      <c r="B210" s="563" t="s">
        <v>280</v>
      </c>
      <c r="C210" s="560" t="s">
        <v>281</v>
      </c>
      <c r="D210" s="564">
        <v>109564</v>
      </c>
      <c r="E210" s="563" t="s">
        <v>619</v>
      </c>
      <c r="F210" s="563" t="s">
        <v>17</v>
      </c>
      <c r="G210" s="563" t="s">
        <v>24</v>
      </c>
      <c r="H210" s="563" t="s">
        <v>19</v>
      </c>
      <c r="I210" s="564" t="s">
        <v>633</v>
      </c>
      <c r="J210" s="564">
        <v>1</v>
      </c>
      <c r="K210" s="563" t="s">
        <v>605</v>
      </c>
      <c r="L210" s="565">
        <v>43617</v>
      </c>
      <c r="M210" s="566">
        <v>6.4299999999999996E-2</v>
      </c>
      <c r="N210" s="563" t="s">
        <v>320</v>
      </c>
      <c r="O210" s="563">
        <v>2019.05</v>
      </c>
      <c r="P210" s="566" t="str">
        <f>VLOOKUP(A210,'[1]Raw data'!$B:$BB,23,FALSE)</f>
        <v>RMB</v>
      </c>
      <c r="Q210" s="563" t="str">
        <f>VLOOKUP(A210,'[1]Raw data'!$B:$Z,2,FALSE)</f>
        <v>C49SZX20190129DZ</v>
      </c>
      <c r="R210" s="563" t="str">
        <f>VLOOKUP(A210,'[1]Raw data'!$B:$Z,3,FALSE)</f>
        <v>博星</v>
      </c>
      <c r="S210" s="563" t="str">
        <f>VLOOKUP(A210,'[1]Raw data'!$B:$Z,4,FALSE)</f>
        <v>YSM10</v>
      </c>
      <c r="T210" s="563" t="str">
        <f>VLOOKUP(A210,'[1]Raw data'!$B:$Z,8,FALSE)</f>
        <v>L-&gt;R</v>
      </c>
      <c r="U210" s="563" t="str">
        <f>VLOOKUP(A210,'[1]Raw data'!$B:$Z,9,FALSE)</f>
        <v>MVC+ATS15</v>
      </c>
      <c r="V210" s="567" t="str">
        <f t="shared" si="30"/>
        <v>WRONG</v>
      </c>
      <c r="W210" s="563" t="str">
        <f>VLOOKUP(A210,'[1]Raw data'!$B:$AG,32,FALSE)</f>
        <v>含税到厂</v>
      </c>
      <c r="X210" s="563">
        <f>VLOOKUP(A210,'[1]Raw data'!$B:$BA,31,FALSE)</f>
        <v>43708</v>
      </c>
      <c r="Y210" s="563" t="str">
        <f>VLOOKUP(A210,'[1]Raw data'!$B:$AS,39,FALSE)</f>
        <v>Yes</v>
      </c>
      <c r="Z210" s="568"/>
      <c r="AA210" s="569"/>
      <c r="AB210" s="570"/>
      <c r="AC210" s="563" t="s">
        <v>606</v>
      </c>
      <c r="AD210" s="571">
        <v>301</v>
      </c>
      <c r="AE210" s="571">
        <v>10</v>
      </c>
      <c r="AN210" s="542"/>
      <c r="AO210" s="824" t="str">
        <f t="shared" si="31"/>
        <v>Yes</v>
      </c>
      <c r="AP210" s="259" t="str">
        <f t="shared" si="32"/>
        <v>SEP 19</v>
      </c>
      <c r="AQ210" s="542" t="str">
        <f t="shared" si="33"/>
        <v>有定金+有預留客戶</v>
      </c>
      <c r="AR210" s="259" t="str">
        <f t="shared" si="34"/>
        <v>Shipped_Stock</v>
      </c>
      <c r="AS210" s="259" t="str">
        <f t="shared" si="35"/>
        <v/>
      </c>
      <c r="AT210" s="259" t="str">
        <f t="shared" si="36"/>
        <v>博星</v>
      </c>
      <c r="AU210" s="259" t="str">
        <f t="shared" si="37"/>
        <v>C49SZX20190129DZ</v>
      </c>
      <c r="AV210" s="259" t="str">
        <f t="shared" si="38"/>
        <v>Jun-01</v>
      </c>
    </row>
    <row r="211" spans="1:69" ht="15" hidden="1" customHeight="1">
      <c r="A211" s="559">
        <v>346</v>
      </c>
      <c r="B211" s="563" t="s">
        <v>280</v>
      </c>
      <c r="C211" s="560" t="s">
        <v>281</v>
      </c>
      <c r="D211" s="599">
        <v>109622</v>
      </c>
      <c r="E211" s="563" t="s">
        <v>634</v>
      </c>
      <c r="F211" s="563" t="s">
        <v>411</v>
      </c>
      <c r="G211" s="563" t="s">
        <v>24</v>
      </c>
      <c r="H211" s="563" t="s">
        <v>26</v>
      </c>
      <c r="I211" s="564" t="s">
        <v>635</v>
      </c>
      <c r="J211" s="564">
        <v>1</v>
      </c>
      <c r="K211" s="563" t="s">
        <v>636</v>
      </c>
      <c r="L211" s="565">
        <v>43647</v>
      </c>
      <c r="M211" s="566" t="s">
        <v>307</v>
      </c>
      <c r="N211" s="563" t="s">
        <v>325</v>
      </c>
      <c r="O211" s="563">
        <v>2018.09</v>
      </c>
      <c r="P211" s="566" t="str">
        <f>VLOOKUP(A211,'[1]Raw data'!$B:$BB,23,FALSE)</f>
        <v>JPY</v>
      </c>
      <c r="Q211" s="563" t="str">
        <f>VLOOKUP(A211,'[1]Raw data'!$B:$Z,2,FALSE)</f>
        <v>C49SZX20190094MZ</v>
      </c>
      <c r="R211" s="563" t="str">
        <f>VLOOKUP(A211,'[1]Raw data'!$B:$Z,3,FALSE)</f>
        <v>崧盛</v>
      </c>
      <c r="S211" s="563" t="str">
        <f>VLOOKUP(A211,'[1]Raw data'!$B:$Z,4,FALSE)</f>
        <v>YS24</v>
      </c>
      <c r="T211" s="563" t="str">
        <f>VLOOKUP(A211,'[1]Raw data'!$B:$Z,8,FALSE)</f>
        <v>L-&gt;R</v>
      </c>
      <c r="U211" s="563" t="str">
        <f>VLOOKUP(A211,'[1]Raw data'!$B:$Z,9,FALSE)</f>
        <v>No</v>
      </c>
      <c r="V211" s="567" t="str">
        <f t="shared" si="30"/>
        <v>OK</v>
      </c>
      <c r="W211" s="563" t="str">
        <f>VLOOKUP(A211,'[1]Raw data'!$B:$AG,32,FALSE)</f>
        <v>CIF HK</v>
      </c>
      <c r="X211" s="563">
        <f>VLOOKUP(A211,'[1]Raw data'!$B:$BA,31,FALSE)</f>
        <v>43629</v>
      </c>
      <c r="Y211" s="563" t="str">
        <f>VLOOKUP(A211,'[1]Raw data'!$B:$AS,39,FALSE)</f>
        <v>Yes</v>
      </c>
      <c r="Z211" s="568"/>
      <c r="AA211" s="569"/>
      <c r="AB211" s="570"/>
      <c r="AC211" s="563" t="s">
        <v>637</v>
      </c>
      <c r="AD211" s="571">
        <v>301</v>
      </c>
      <c r="AE211" s="571">
        <v>20</v>
      </c>
      <c r="AN211" s="542"/>
      <c r="AO211" s="824" t="str">
        <f t="shared" si="31"/>
        <v>Yes</v>
      </c>
      <c r="AP211" s="259" t="str">
        <f t="shared" si="32"/>
        <v>JUL 19</v>
      </c>
      <c r="AQ211" s="542" t="str">
        <f t="shared" si="33"/>
        <v>有定金+有預留客戶</v>
      </c>
      <c r="AR211" s="259" t="str">
        <f t="shared" si="34"/>
        <v>Shipped_Stock</v>
      </c>
      <c r="AS211" s="259" t="str">
        <f t="shared" si="35"/>
        <v/>
      </c>
      <c r="AT211" s="259" t="str">
        <f t="shared" si="36"/>
        <v>崧盛</v>
      </c>
      <c r="AU211" s="259" t="str">
        <f t="shared" si="37"/>
        <v>C49SZX20190094MZ</v>
      </c>
      <c r="AV211" s="259" t="str">
        <f t="shared" si="38"/>
        <v>Jul-01</v>
      </c>
    </row>
    <row r="212" spans="1:69" ht="15" hidden="1" customHeight="1">
      <c r="A212" s="559">
        <v>347</v>
      </c>
      <c r="B212" s="560" t="s">
        <v>280</v>
      </c>
      <c r="C212" s="560" t="s">
        <v>281</v>
      </c>
      <c r="D212" s="600">
        <v>109622</v>
      </c>
      <c r="E212" s="563" t="s">
        <v>634</v>
      </c>
      <c r="F212" s="563" t="s">
        <v>411</v>
      </c>
      <c r="G212" s="563" t="s">
        <v>24</v>
      </c>
      <c r="H212" s="563" t="s">
        <v>26</v>
      </c>
      <c r="I212" s="564" t="s">
        <v>638</v>
      </c>
      <c r="J212" s="564">
        <v>1</v>
      </c>
      <c r="K212" s="563" t="s">
        <v>636</v>
      </c>
      <c r="L212" s="565">
        <v>43647</v>
      </c>
      <c r="M212" s="566" t="s">
        <v>307</v>
      </c>
      <c r="N212" s="563" t="s">
        <v>325</v>
      </c>
      <c r="O212" s="563">
        <v>2018.09</v>
      </c>
      <c r="P212" s="566" t="str">
        <f>VLOOKUP(A212,'[1]Raw data'!$B:$BB,23,FALSE)</f>
        <v>JPY</v>
      </c>
      <c r="Q212" s="563" t="str">
        <f>VLOOKUP(A212,'[1]Raw data'!$B:$Z,2,FALSE)</f>
        <v>C49SZX20190094MZ</v>
      </c>
      <c r="R212" s="563" t="str">
        <f>VLOOKUP(A212,'[1]Raw data'!$B:$Z,3,FALSE)</f>
        <v>崧盛</v>
      </c>
      <c r="S212" s="563" t="str">
        <f>VLOOKUP(A212,'[1]Raw data'!$B:$Z,4,FALSE)</f>
        <v>YS24</v>
      </c>
      <c r="T212" s="563" t="str">
        <f>VLOOKUP(A212,'[1]Raw data'!$B:$Z,8,FALSE)</f>
        <v>L-&gt;R</v>
      </c>
      <c r="U212" s="563" t="str">
        <f>VLOOKUP(A212,'[1]Raw data'!$B:$Z,9,FALSE)</f>
        <v>No</v>
      </c>
      <c r="V212" s="567" t="str">
        <f t="shared" si="30"/>
        <v>OK</v>
      </c>
      <c r="W212" s="563" t="str">
        <f>VLOOKUP(A212,'[1]Raw data'!$B:$AG,32,FALSE)</f>
        <v>CIF HK</v>
      </c>
      <c r="X212" s="563">
        <f>VLOOKUP(A212,'[1]Raw data'!$B:$BA,31,FALSE)</f>
        <v>43629</v>
      </c>
      <c r="Y212" s="563" t="str">
        <f>VLOOKUP(A212,'[1]Raw data'!$B:$AS,39,FALSE)</f>
        <v>Yes</v>
      </c>
      <c r="Z212" s="568"/>
      <c r="AA212" s="569"/>
      <c r="AB212" s="570"/>
      <c r="AC212" s="563" t="s">
        <v>637</v>
      </c>
      <c r="AD212" s="571">
        <v>301</v>
      </c>
      <c r="AE212" s="571">
        <v>20</v>
      </c>
      <c r="AN212" s="542"/>
      <c r="AO212" s="824" t="str">
        <f t="shared" si="31"/>
        <v>Yes</v>
      </c>
      <c r="AP212" s="259" t="str">
        <f t="shared" si="32"/>
        <v>JUL 19</v>
      </c>
      <c r="AQ212" s="542" t="str">
        <f t="shared" si="33"/>
        <v>有定金+有預留客戶</v>
      </c>
      <c r="AR212" s="259" t="str">
        <f t="shared" si="34"/>
        <v>Shipped_Stock</v>
      </c>
      <c r="AS212" s="259" t="str">
        <f t="shared" si="35"/>
        <v/>
      </c>
      <c r="AT212" s="259" t="str">
        <f t="shared" si="36"/>
        <v>崧盛</v>
      </c>
      <c r="AU212" s="259" t="str">
        <f t="shared" si="37"/>
        <v>C49SZX20190094MZ</v>
      </c>
      <c r="AV212" s="259" t="str">
        <f t="shared" si="38"/>
        <v>Jul-01</v>
      </c>
    </row>
    <row r="213" spans="1:69" ht="15" hidden="1" customHeight="1">
      <c r="A213" s="601"/>
      <c r="B213" s="602" t="s">
        <v>280</v>
      </c>
      <c r="C213" s="560" t="s">
        <v>281</v>
      </c>
      <c r="D213" s="603">
        <v>109566</v>
      </c>
      <c r="E213" s="604" t="s">
        <v>619</v>
      </c>
      <c r="F213" s="604" t="s">
        <v>17</v>
      </c>
      <c r="G213" s="604" t="s">
        <v>24</v>
      </c>
      <c r="H213" s="604" t="s">
        <v>26</v>
      </c>
      <c r="I213" s="605" t="s">
        <v>639</v>
      </c>
      <c r="J213" s="606" t="s">
        <v>640</v>
      </c>
      <c r="K213" s="604" t="s">
        <v>641</v>
      </c>
      <c r="L213" s="607">
        <v>43649</v>
      </c>
      <c r="M213" s="605">
        <v>6.4699999999999994E-2</v>
      </c>
      <c r="N213" s="604" t="s">
        <v>280</v>
      </c>
      <c r="O213" s="604">
        <v>2019.06</v>
      </c>
      <c r="P213" s="566" t="e">
        <f>VLOOKUP(A213,'[1]Raw data'!$B:$BB,23,FALSE)</f>
        <v>#N/A</v>
      </c>
      <c r="Q213" s="563" t="e">
        <f>VLOOKUP(A213,'[1]Raw data'!$B:$Z,2,FALSE)</f>
        <v>#N/A</v>
      </c>
      <c r="R213" s="563" t="e">
        <f>VLOOKUP(A213,'[1]Raw data'!$B:$Z,3,FALSE)</f>
        <v>#N/A</v>
      </c>
      <c r="S213" s="563" t="e">
        <f>VLOOKUP(A213,'[1]Raw data'!$B:$Z,4,FALSE)</f>
        <v>#N/A</v>
      </c>
      <c r="T213" s="563" t="e">
        <f>VLOOKUP(A213,'[1]Raw data'!$B:$Z,8,FALSE)</f>
        <v>#N/A</v>
      </c>
      <c r="U213" s="563" t="e">
        <f>VLOOKUP(A213,'[1]Raw data'!$B:$Z,9,FALSE)</f>
        <v>#N/A</v>
      </c>
      <c r="V213" s="608"/>
      <c r="W213" s="563" t="e">
        <f>VLOOKUP(A213,'[1]Raw data'!$B:$AG,32,FALSE)</f>
        <v>#N/A</v>
      </c>
      <c r="X213" s="563" t="e">
        <f>VLOOKUP(A213,'[1]Raw data'!$B:$BA,31,FALSE)</f>
        <v>#N/A</v>
      </c>
      <c r="Y213" s="563" t="e">
        <f>VLOOKUP(A213,'[1]Raw data'!$B:$AS,39,FALSE)</f>
        <v>#N/A</v>
      </c>
      <c r="Z213" s="609"/>
      <c r="AA213" s="610"/>
      <c r="AB213" s="611"/>
      <c r="AC213" s="604"/>
      <c r="AD213" s="606"/>
      <c r="AE213" s="606"/>
      <c r="AF213" s="606"/>
      <c r="AG213" s="606"/>
      <c r="AH213" s="606"/>
      <c r="AI213" s="612"/>
      <c r="AJ213" s="606"/>
      <c r="AK213" s="606"/>
      <c r="AL213" s="606"/>
      <c r="AM213" s="606"/>
      <c r="AN213" s="594"/>
      <c r="AO213" s="824" t="str">
        <f t="shared" si="31"/>
        <v>No</v>
      </c>
      <c r="AP213" s="259" t="str">
        <f t="shared" si="32"/>
        <v>已发货</v>
      </c>
      <c r="AQ213" s="542" t="str">
        <f t="shared" si="33"/>
        <v>无定金+有預留客戶</v>
      </c>
      <c r="AR213" s="259" t="str">
        <f t="shared" si="34"/>
        <v>Shipped_Stock</v>
      </c>
      <c r="AS213" s="259" t="str">
        <f t="shared" si="35"/>
        <v/>
      </c>
      <c r="AT213" s="259" t="str">
        <f t="shared" si="36"/>
        <v>-</v>
      </c>
      <c r="AU213" s="259" t="str">
        <f t="shared" si="37"/>
        <v>-</v>
      </c>
      <c r="AV213" s="259" t="str">
        <f t="shared" si="38"/>
        <v>Jul-03</v>
      </c>
    </row>
    <row r="214" spans="1:69" ht="15" hidden="1" customHeight="1">
      <c r="A214" s="559">
        <v>390</v>
      </c>
      <c r="B214" s="563" t="s">
        <v>280</v>
      </c>
      <c r="C214" s="560" t="s">
        <v>281</v>
      </c>
      <c r="D214" s="603">
        <v>109565</v>
      </c>
      <c r="E214" s="563" t="s">
        <v>619</v>
      </c>
      <c r="F214" s="563" t="s">
        <v>17</v>
      </c>
      <c r="G214" s="563" t="s">
        <v>24</v>
      </c>
      <c r="H214" s="563" t="s">
        <v>26</v>
      </c>
      <c r="I214" s="564" t="s">
        <v>642</v>
      </c>
      <c r="J214" s="564">
        <v>1</v>
      </c>
      <c r="K214" s="563" t="s">
        <v>295</v>
      </c>
      <c r="L214" s="565">
        <v>43649</v>
      </c>
      <c r="M214" s="566">
        <v>6.4699999999999994E-2</v>
      </c>
      <c r="N214" s="563" t="s">
        <v>417</v>
      </c>
      <c r="O214" s="563">
        <v>2019.06</v>
      </c>
      <c r="P214" s="566" t="str">
        <f>VLOOKUP(A214,'[1]Raw data'!$B:$BB,23,FALSE)</f>
        <v>RMB</v>
      </c>
      <c r="Q214" s="563" t="str">
        <f>VLOOKUP(A214,'[1]Raw data'!$B:$Z,2,FALSE)</f>
        <v>C49SZX20190115SS</v>
      </c>
      <c r="R214" s="563" t="str">
        <f>VLOOKUP(A214,'[1]Raw data'!$B:$Z,3,FALSE)</f>
        <v>正创/End user:世启纳</v>
      </c>
      <c r="S214" s="563" t="str">
        <f>VLOOKUP(A214,'[1]Raw data'!$B:$Z,4,FALSE)</f>
        <v>YSM10</v>
      </c>
      <c r="T214" s="563" t="str">
        <f>VLOOKUP(A214,'[1]Raw data'!$B:$Z,8,FALSE)</f>
        <v>R-&gt;L</v>
      </c>
      <c r="U214" s="563" t="str">
        <f>VLOOKUP(A214,'[1]Raw data'!$B:$Z,9,FALSE)</f>
        <v>MVC</v>
      </c>
      <c r="V214" s="567" t="str">
        <f t="shared" ref="V214:V277" si="39">IF(G214&amp;H214=T214&amp;U214,"OK","WRONG")</f>
        <v>WRONG</v>
      </c>
      <c r="W214" s="563" t="str">
        <f>VLOOKUP(A214,'[1]Raw data'!$B:$AG,32,FALSE)</f>
        <v>含税到厂</v>
      </c>
      <c r="X214" s="563">
        <f>VLOOKUP(A214,'[1]Raw data'!$B:$BA,31,FALSE)</f>
        <v>43691</v>
      </c>
      <c r="Y214" s="563" t="str">
        <f>VLOOKUP(A214,'[1]Raw data'!$B:$AS,39,FALSE)</f>
        <v>Yes</v>
      </c>
      <c r="Z214" s="568"/>
      <c r="AA214" s="569"/>
      <c r="AB214" s="570"/>
      <c r="AC214" s="563" t="s">
        <v>643</v>
      </c>
      <c r="AD214" s="571">
        <v>301</v>
      </c>
      <c r="AE214" s="571">
        <v>10</v>
      </c>
      <c r="AN214" s="542"/>
      <c r="AO214" s="824" t="str">
        <f t="shared" si="31"/>
        <v>Yes</v>
      </c>
      <c r="AP214" s="259" t="str">
        <f t="shared" si="32"/>
        <v>AUG 19</v>
      </c>
      <c r="AQ214" s="542" t="str">
        <f t="shared" si="33"/>
        <v>有定金+有預留客戶</v>
      </c>
      <c r="AR214" s="259" t="str">
        <f t="shared" si="34"/>
        <v>Shipped_Stock</v>
      </c>
      <c r="AS214" s="259" t="str">
        <f t="shared" si="35"/>
        <v/>
      </c>
      <c r="AT214" s="259" t="str">
        <f t="shared" si="36"/>
        <v>正创/End user:世启纳</v>
      </c>
      <c r="AU214" s="259" t="str">
        <f t="shared" si="37"/>
        <v>C49SZX20190115SS</v>
      </c>
      <c r="AV214" s="259" t="str">
        <f t="shared" si="38"/>
        <v>Jul-03</v>
      </c>
    </row>
    <row r="215" spans="1:69" ht="15" hidden="1" customHeight="1">
      <c r="A215" s="559">
        <v>396</v>
      </c>
      <c r="B215" s="563" t="s">
        <v>280</v>
      </c>
      <c r="C215" s="560" t="s">
        <v>281</v>
      </c>
      <c r="D215" s="600">
        <v>109603</v>
      </c>
      <c r="E215" s="563" t="s">
        <v>644</v>
      </c>
      <c r="F215" s="563" t="s">
        <v>256</v>
      </c>
      <c r="G215" s="563" t="s">
        <v>18</v>
      </c>
      <c r="H215" s="563" t="s">
        <v>26</v>
      </c>
      <c r="I215" s="564" t="s">
        <v>645</v>
      </c>
      <c r="J215" s="564">
        <v>1</v>
      </c>
      <c r="K215" s="563" t="s">
        <v>295</v>
      </c>
      <c r="L215" s="565">
        <v>43649</v>
      </c>
      <c r="M215" s="566">
        <v>6.4699999999999994E-2</v>
      </c>
      <c r="N215" s="563" t="s">
        <v>320</v>
      </c>
      <c r="O215" s="564">
        <v>2019.06</v>
      </c>
      <c r="P215" s="566" t="str">
        <f>VLOOKUP(A215,'[1]Raw data'!$B:$BB,23,FALSE)</f>
        <v>RMB</v>
      </c>
      <c r="Q215" s="563" t="str">
        <f>VLOOKUP(A215,'[1]Raw data'!$B:$Z,2,FALSE)</f>
        <v>C49SZX20190119SX</v>
      </c>
      <c r="R215" s="563" t="str">
        <f>VLOOKUP(A215,'[1]Raw data'!$B:$Z,3,FALSE)</f>
        <v>太美亚</v>
      </c>
      <c r="S215" s="563" t="str">
        <f>VLOOKUP(A215,'[1]Raw data'!$B:$Z,4,FALSE)</f>
        <v>YSM20R(SV)-2</v>
      </c>
      <c r="T215" s="563" t="str">
        <f>VLOOKUP(A215,'[1]Raw data'!$B:$Z,8,FALSE)</f>
        <v>R-&gt;L</v>
      </c>
      <c r="U215" s="563" t="str">
        <f>VLOOKUP(A215,'[1]Raw data'!$B:$Z,9,FALSE)</f>
        <v>No</v>
      </c>
      <c r="V215" s="567" t="str">
        <f t="shared" si="39"/>
        <v>OK</v>
      </c>
      <c r="W215" s="563" t="str">
        <f>VLOOKUP(A215,'[1]Raw data'!$B:$AG,32,FALSE)</f>
        <v>含税到厂</v>
      </c>
      <c r="X215" s="563">
        <f>VLOOKUP(A215,'[1]Raw data'!$B:$BA,31,FALSE)</f>
        <v>43693</v>
      </c>
      <c r="Y215" s="563" t="str">
        <f>VLOOKUP(A215,'[1]Raw data'!$B:$AS,39,FALSE)</f>
        <v>Yes</v>
      </c>
      <c r="Z215" s="568" t="s">
        <v>329</v>
      </c>
      <c r="AA215" s="569" t="s">
        <v>329</v>
      </c>
      <c r="AB215" s="570"/>
      <c r="AC215" s="563" t="s">
        <v>476</v>
      </c>
      <c r="AD215" s="571">
        <v>312</v>
      </c>
      <c r="AE215" s="571">
        <v>10</v>
      </c>
      <c r="AF215" s="571">
        <v>303</v>
      </c>
      <c r="AG215" s="571">
        <v>10</v>
      </c>
      <c r="AN215" s="542"/>
      <c r="AO215" s="824" t="str">
        <f t="shared" si="31"/>
        <v>Yes</v>
      </c>
      <c r="AP215" s="259" t="str">
        <f t="shared" si="32"/>
        <v>SEP 19</v>
      </c>
      <c r="AQ215" s="542" t="str">
        <f t="shared" si="33"/>
        <v>有定金+有預留客戶</v>
      </c>
      <c r="AR215" s="259" t="str">
        <f t="shared" si="34"/>
        <v>Shipped_Stock</v>
      </c>
      <c r="AS215" s="259" t="str">
        <f t="shared" si="35"/>
        <v/>
      </c>
      <c r="AT215" s="259" t="str">
        <f t="shared" si="36"/>
        <v>太美亚</v>
      </c>
      <c r="AU215" s="259" t="str">
        <f t="shared" si="37"/>
        <v>C49SZX20190119SX</v>
      </c>
      <c r="AV215" s="259" t="str">
        <f t="shared" si="38"/>
        <v>Jul-03</v>
      </c>
    </row>
    <row r="216" spans="1:69" ht="15" hidden="1" customHeight="1">
      <c r="A216" s="559">
        <v>399</v>
      </c>
      <c r="B216" s="560" t="s">
        <v>280</v>
      </c>
      <c r="C216" s="560" t="s">
        <v>281</v>
      </c>
      <c r="D216" s="603">
        <v>109566</v>
      </c>
      <c r="E216" s="563" t="s">
        <v>619</v>
      </c>
      <c r="F216" s="563" t="s">
        <v>17</v>
      </c>
      <c r="G216" s="563" t="s">
        <v>24</v>
      </c>
      <c r="H216" s="563" t="s">
        <v>26</v>
      </c>
      <c r="I216" s="564" t="s">
        <v>646</v>
      </c>
      <c r="J216" s="564">
        <v>1</v>
      </c>
      <c r="K216" s="563" t="s">
        <v>295</v>
      </c>
      <c r="L216" s="565">
        <v>43649</v>
      </c>
      <c r="M216" s="566">
        <v>6.4699999999999994E-2</v>
      </c>
      <c r="N216" s="563" t="s">
        <v>320</v>
      </c>
      <c r="O216" s="563">
        <v>2019.06</v>
      </c>
      <c r="P216" s="566" t="str">
        <f>VLOOKUP(A216,'[1]Raw data'!$B:$BB,23,FALSE)</f>
        <v>RMB</v>
      </c>
      <c r="Q216" s="563" t="str">
        <f>VLOOKUP(A216,'[1]Raw data'!$B:$Z,2,FALSE)</f>
        <v>C49SZX20190119SX</v>
      </c>
      <c r="R216" s="563" t="str">
        <f>VLOOKUP(A216,'[1]Raw data'!$B:$Z,3,FALSE)</f>
        <v>太美亚</v>
      </c>
      <c r="S216" s="563" t="str">
        <f>VLOOKUP(A216,'[1]Raw data'!$B:$Z,4,FALSE)</f>
        <v>YSM10</v>
      </c>
      <c r="T216" s="563" t="str">
        <f>VLOOKUP(A216,'[1]Raw data'!$B:$Z,8,FALSE)</f>
        <v>L-&gt;R</v>
      </c>
      <c r="U216" s="563" t="str">
        <f>VLOOKUP(A216,'[1]Raw data'!$B:$Z,9,FALSE)</f>
        <v>MVC</v>
      </c>
      <c r="V216" s="567" t="str">
        <f t="shared" si="39"/>
        <v>WRONG</v>
      </c>
      <c r="W216" s="563" t="str">
        <f>VLOOKUP(A216,'[1]Raw data'!$B:$AG,32,FALSE)</f>
        <v>含税到厂</v>
      </c>
      <c r="X216" s="563">
        <f>VLOOKUP(A216,'[1]Raw data'!$B:$BA,31,FALSE)</f>
        <v>43693</v>
      </c>
      <c r="Y216" s="563" t="str">
        <f>VLOOKUP(A216,'[1]Raw data'!$B:$AS,39,FALSE)</f>
        <v>Yes</v>
      </c>
      <c r="Z216" s="568" t="s">
        <v>329</v>
      </c>
      <c r="AA216" s="569" t="s">
        <v>329</v>
      </c>
      <c r="AB216" s="570"/>
      <c r="AC216" s="563" t="s">
        <v>476</v>
      </c>
      <c r="AD216" s="571">
        <v>302</v>
      </c>
      <c r="AE216" s="571">
        <v>10</v>
      </c>
      <c r="AN216" s="542"/>
      <c r="AO216" s="824" t="str">
        <f t="shared" si="31"/>
        <v>Yes</v>
      </c>
      <c r="AP216" s="259" t="str">
        <f t="shared" si="32"/>
        <v>SEP 19</v>
      </c>
      <c r="AQ216" s="542" t="str">
        <f t="shared" si="33"/>
        <v>有定金+有預留客戶</v>
      </c>
      <c r="AR216" s="259" t="str">
        <f t="shared" si="34"/>
        <v>Shipped_Stock</v>
      </c>
      <c r="AS216" s="259" t="str">
        <f t="shared" si="35"/>
        <v/>
      </c>
      <c r="AT216" s="259" t="str">
        <f t="shared" si="36"/>
        <v>太美亚</v>
      </c>
      <c r="AU216" s="259" t="str">
        <f t="shared" si="37"/>
        <v>C49SZX20190119SX</v>
      </c>
      <c r="AV216" s="259" t="str">
        <f t="shared" si="38"/>
        <v>Jul-03</v>
      </c>
    </row>
    <row r="217" spans="1:69" ht="15" hidden="1" customHeight="1">
      <c r="A217" s="559">
        <v>400</v>
      </c>
      <c r="B217" s="560" t="s">
        <v>280</v>
      </c>
      <c r="C217" s="560" t="s">
        <v>281</v>
      </c>
      <c r="D217" s="603">
        <v>109566</v>
      </c>
      <c r="E217" s="563" t="s">
        <v>619</v>
      </c>
      <c r="F217" s="563" t="s">
        <v>17</v>
      </c>
      <c r="G217" s="563" t="s">
        <v>24</v>
      </c>
      <c r="H217" s="563" t="s">
        <v>26</v>
      </c>
      <c r="I217" s="564" t="s">
        <v>647</v>
      </c>
      <c r="J217" s="564">
        <v>1</v>
      </c>
      <c r="K217" s="563" t="s">
        <v>295</v>
      </c>
      <c r="L217" s="565">
        <v>43649</v>
      </c>
      <c r="M217" s="566">
        <v>6.4699999999999994E-2</v>
      </c>
      <c r="N217" s="563" t="s">
        <v>320</v>
      </c>
      <c r="O217" s="563">
        <v>2019.06</v>
      </c>
      <c r="P217" s="566" t="str">
        <f>VLOOKUP(A217,'[1]Raw data'!$B:$BB,23,FALSE)</f>
        <v>RMB</v>
      </c>
      <c r="Q217" s="563" t="str">
        <f>VLOOKUP(A217,'[1]Raw data'!$B:$Z,2,FALSE)</f>
        <v>C49SZX20190119SX</v>
      </c>
      <c r="R217" s="563" t="str">
        <f>VLOOKUP(A217,'[1]Raw data'!$B:$Z,3,FALSE)</f>
        <v>太美亚</v>
      </c>
      <c r="S217" s="563" t="str">
        <f>VLOOKUP(A217,'[1]Raw data'!$B:$Z,4,FALSE)</f>
        <v>YSM10</v>
      </c>
      <c r="T217" s="563" t="str">
        <f>VLOOKUP(A217,'[1]Raw data'!$B:$Z,8,FALSE)</f>
        <v>L-&gt;R</v>
      </c>
      <c r="U217" s="563" t="str">
        <f>VLOOKUP(A217,'[1]Raw data'!$B:$Z,9,FALSE)</f>
        <v>MVC</v>
      </c>
      <c r="V217" s="567" t="str">
        <f t="shared" si="39"/>
        <v>WRONG</v>
      </c>
      <c r="W217" s="563" t="str">
        <f>VLOOKUP(A217,'[1]Raw data'!$B:$AG,32,FALSE)</f>
        <v>含税到厂</v>
      </c>
      <c r="X217" s="563">
        <f>VLOOKUP(A217,'[1]Raw data'!$B:$BA,31,FALSE)</f>
        <v>43693</v>
      </c>
      <c r="Y217" s="563" t="str">
        <f>VLOOKUP(A217,'[1]Raw data'!$B:$AS,39,FALSE)</f>
        <v>Yes</v>
      </c>
      <c r="Z217" s="568" t="s">
        <v>329</v>
      </c>
      <c r="AA217" s="569" t="s">
        <v>329</v>
      </c>
      <c r="AB217" s="570"/>
      <c r="AC217" s="563" t="s">
        <v>476</v>
      </c>
      <c r="AD217" s="571">
        <v>302</v>
      </c>
      <c r="AE217" s="571">
        <v>10</v>
      </c>
      <c r="AN217" s="542"/>
      <c r="AO217" s="824" t="str">
        <f t="shared" si="31"/>
        <v>Yes</v>
      </c>
      <c r="AP217" s="259" t="str">
        <f t="shared" si="32"/>
        <v>SEP 19</v>
      </c>
      <c r="AQ217" s="542" t="str">
        <f t="shared" si="33"/>
        <v>有定金+有預留客戶</v>
      </c>
      <c r="AR217" s="259" t="str">
        <f t="shared" si="34"/>
        <v>Shipped_Stock</v>
      </c>
      <c r="AS217" s="259" t="str">
        <f t="shared" si="35"/>
        <v/>
      </c>
      <c r="AT217" s="259" t="str">
        <f t="shared" si="36"/>
        <v>太美亚</v>
      </c>
      <c r="AU217" s="259" t="str">
        <f t="shared" si="37"/>
        <v>C49SZX20190119SX</v>
      </c>
      <c r="AV217" s="259" t="str">
        <f t="shared" si="38"/>
        <v>Jul-03</v>
      </c>
    </row>
    <row r="218" spans="1:69" ht="15" hidden="1" customHeight="1">
      <c r="A218" s="559">
        <v>401</v>
      </c>
      <c r="B218" s="563" t="s">
        <v>280</v>
      </c>
      <c r="C218" s="560" t="s">
        <v>281</v>
      </c>
      <c r="D218" s="603">
        <v>109566</v>
      </c>
      <c r="E218" s="563" t="s">
        <v>619</v>
      </c>
      <c r="F218" s="563" t="s">
        <v>17</v>
      </c>
      <c r="G218" s="563" t="s">
        <v>24</v>
      </c>
      <c r="H218" s="563" t="s">
        <v>26</v>
      </c>
      <c r="I218" s="564" t="s">
        <v>648</v>
      </c>
      <c r="J218" s="564">
        <v>1</v>
      </c>
      <c r="K218" s="563" t="s">
        <v>295</v>
      </c>
      <c r="L218" s="565">
        <v>43649</v>
      </c>
      <c r="M218" s="566">
        <v>6.4699999999999994E-2</v>
      </c>
      <c r="N218" s="563" t="s">
        <v>320</v>
      </c>
      <c r="O218" s="563">
        <v>2019.06</v>
      </c>
      <c r="P218" s="566" t="str">
        <f>VLOOKUP(A218,'[1]Raw data'!$B:$BB,23,FALSE)</f>
        <v>RMB</v>
      </c>
      <c r="Q218" s="563" t="str">
        <f>VLOOKUP(A218,'[1]Raw data'!$B:$Z,2,FALSE)</f>
        <v>C49SZX20190119SX</v>
      </c>
      <c r="R218" s="563" t="str">
        <f>VLOOKUP(A218,'[1]Raw data'!$B:$Z,3,FALSE)</f>
        <v>太美亚</v>
      </c>
      <c r="S218" s="563" t="str">
        <f>VLOOKUP(A218,'[1]Raw data'!$B:$Z,4,FALSE)</f>
        <v>YSM10</v>
      </c>
      <c r="T218" s="563" t="str">
        <f>VLOOKUP(A218,'[1]Raw data'!$B:$Z,8,FALSE)</f>
        <v>L-&gt;R</v>
      </c>
      <c r="U218" s="563" t="str">
        <f>VLOOKUP(A218,'[1]Raw data'!$B:$Z,9,FALSE)</f>
        <v>MVC</v>
      </c>
      <c r="V218" s="567" t="str">
        <f t="shared" si="39"/>
        <v>WRONG</v>
      </c>
      <c r="W218" s="563" t="str">
        <f>VLOOKUP(A218,'[1]Raw data'!$B:$AG,32,FALSE)</f>
        <v>含税到厂</v>
      </c>
      <c r="X218" s="563">
        <f>VLOOKUP(A218,'[1]Raw data'!$B:$BA,31,FALSE)</f>
        <v>43693</v>
      </c>
      <c r="Y218" s="563" t="str">
        <f>VLOOKUP(A218,'[1]Raw data'!$B:$AS,39,FALSE)</f>
        <v>Yes</v>
      </c>
      <c r="Z218" s="568" t="s">
        <v>329</v>
      </c>
      <c r="AA218" s="569" t="s">
        <v>329</v>
      </c>
      <c r="AB218" s="570"/>
      <c r="AC218" s="563" t="s">
        <v>476</v>
      </c>
      <c r="AD218" s="571">
        <v>302</v>
      </c>
      <c r="AE218" s="571">
        <v>10</v>
      </c>
      <c r="AN218" s="542"/>
      <c r="AO218" s="824" t="str">
        <f t="shared" si="31"/>
        <v>Yes</v>
      </c>
      <c r="AP218" s="259" t="str">
        <f t="shared" si="32"/>
        <v>SEP 19</v>
      </c>
      <c r="AQ218" s="542" t="str">
        <f t="shared" si="33"/>
        <v>有定金+有預留客戶</v>
      </c>
      <c r="AR218" s="259" t="str">
        <f t="shared" si="34"/>
        <v>Shipped_Stock</v>
      </c>
      <c r="AS218" s="259" t="str">
        <f t="shared" si="35"/>
        <v/>
      </c>
      <c r="AT218" s="259" t="str">
        <f t="shared" si="36"/>
        <v>太美亚</v>
      </c>
      <c r="AU218" s="259" t="str">
        <f t="shared" si="37"/>
        <v>C49SZX20190119SX</v>
      </c>
      <c r="AV218" s="259" t="str">
        <f t="shared" si="38"/>
        <v>Jul-03</v>
      </c>
    </row>
    <row r="219" spans="1:69" ht="15" hidden="1" customHeight="1">
      <c r="A219" s="559">
        <v>350</v>
      </c>
      <c r="B219" s="563" t="s">
        <v>280</v>
      </c>
      <c r="C219" s="560" t="s">
        <v>281</v>
      </c>
      <c r="D219" s="603">
        <v>109565</v>
      </c>
      <c r="E219" s="563" t="s">
        <v>619</v>
      </c>
      <c r="F219" s="563" t="s">
        <v>17</v>
      </c>
      <c r="G219" s="563" t="s">
        <v>24</v>
      </c>
      <c r="H219" s="563" t="s">
        <v>26</v>
      </c>
      <c r="I219" s="564" t="s">
        <v>649</v>
      </c>
      <c r="J219" s="564">
        <v>1</v>
      </c>
      <c r="K219" s="563" t="s">
        <v>437</v>
      </c>
      <c r="L219" s="565">
        <v>43649</v>
      </c>
      <c r="M219" s="566">
        <v>6.4699999999999994E-2</v>
      </c>
      <c r="N219" s="563" t="s">
        <v>325</v>
      </c>
      <c r="O219" s="563">
        <v>2019.06</v>
      </c>
      <c r="P219" s="566" t="str">
        <f>VLOOKUP(A219,'[1]Raw data'!$B:$BB,23,FALSE)</f>
        <v>JPY</v>
      </c>
      <c r="Q219" s="563" t="str">
        <f>VLOOKUP(A219,'[1]Raw data'!$B:$Z,2,FALSE)</f>
        <v>C49SZX20190094MZ</v>
      </c>
      <c r="R219" s="563" t="str">
        <f>VLOOKUP(A219,'[1]Raw data'!$B:$Z,3,FALSE)</f>
        <v>崧盛</v>
      </c>
      <c r="S219" s="563" t="str">
        <f>VLOOKUP(A219,'[1]Raw data'!$B:$Z,4,FALSE)</f>
        <v>YSM10</v>
      </c>
      <c r="T219" s="563" t="str">
        <f>VLOOKUP(A219,'[1]Raw data'!$B:$Z,8,FALSE)</f>
        <v>R-&gt;L</v>
      </c>
      <c r="U219" s="563" t="str">
        <f>VLOOKUP(A219,'[1]Raw data'!$B:$Z,9,FALSE)</f>
        <v>No</v>
      </c>
      <c r="V219" s="567" t="str">
        <f t="shared" si="39"/>
        <v>WRONG</v>
      </c>
      <c r="W219" s="563" t="str">
        <f>VLOOKUP(A219,'[1]Raw data'!$B:$AG,32,FALSE)</f>
        <v>CIF HK</v>
      </c>
      <c r="X219" s="563">
        <f>VLOOKUP(A219,'[1]Raw data'!$B:$BA,31,FALSE)</f>
        <v>43629</v>
      </c>
      <c r="Y219" s="563" t="str">
        <f>VLOOKUP(A219,'[1]Raw data'!$B:$AS,39,FALSE)</f>
        <v>Yes</v>
      </c>
      <c r="Z219" s="568"/>
      <c r="AA219" s="569"/>
      <c r="AB219" s="570"/>
      <c r="AC219" s="563" t="s">
        <v>637</v>
      </c>
      <c r="AD219" s="571">
        <v>301</v>
      </c>
      <c r="AE219" s="571">
        <v>10</v>
      </c>
      <c r="AN219" s="542"/>
      <c r="AO219" s="824" t="str">
        <f t="shared" si="31"/>
        <v>Yes</v>
      </c>
      <c r="AP219" s="259" t="str">
        <f t="shared" si="32"/>
        <v>JUL 19</v>
      </c>
      <c r="AQ219" s="542" t="str">
        <f t="shared" si="33"/>
        <v>有定金+有預留客戶</v>
      </c>
      <c r="AR219" s="259" t="str">
        <f t="shared" si="34"/>
        <v>Shipped_Stock</v>
      </c>
      <c r="AS219" s="259" t="str">
        <f t="shared" si="35"/>
        <v/>
      </c>
      <c r="AT219" s="259" t="str">
        <f t="shared" si="36"/>
        <v>崧盛</v>
      </c>
      <c r="AU219" s="259" t="str">
        <f t="shared" si="37"/>
        <v>C49SZX20190094MZ</v>
      </c>
      <c r="AV219" s="259" t="str">
        <f t="shared" si="38"/>
        <v>Jul-03</v>
      </c>
    </row>
    <row r="220" spans="1:69" ht="15" hidden="1" customHeight="1">
      <c r="A220" s="559">
        <v>348</v>
      </c>
      <c r="B220" s="560" t="s">
        <v>280</v>
      </c>
      <c r="C220" s="560" t="s">
        <v>281</v>
      </c>
      <c r="D220" s="603">
        <v>109565</v>
      </c>
      <c r="E220" s="563" t="s">
        <v>619</v>
      </c>
      <c r="F220" s="563" t="s">
        <v>17</v>
      </c>
      <c r="G220" s="563" t="s">
        <v>24</v>
      </c>
      <c r="H220" s="563" t="s">
        <v>26</v>
      </c>
      <c r="I220" s="564" t="s">
        <v>650</v>
      </c>
      <c r="J220" s="564">
        <v>1</v>
      </c>
      <c r="K220" s="563" t="s">
        <v>437</v>
      </c>
      <c r="L220" s="565">
        <v>43649</v>
      </c>
      <c r="M220" s="566">
        <v>6.4699999999999994E-2</v>
      </c>
      <c r="N220" s="563" t="s">
        <v>325</v>
      </c>
      <c r="O220" s="563">
        <v>2019.06</v>
      </c>
      <c r="P220" s="566" t="str">
        <f>VLOOKUP(A220,'[1]Raw data'!$B:$BB,23,FALSE)</f>
        <v>JPY</v>
      </c>
      <c r="Q220" s="563" t="str">
        <f>VLOOKUP(A220,'[1]Raw data'!$B:$Z,2,FALSE)</f>
        <v>C49SZX20190094MZ</v>
      </c>
      <c r="R220" s="563" t="str">
        <f>VLOOKUP(A220,'[1]Raw data'!$B:$Z,3,FALSE)</f>
        <v>崧盛</v>
      </c>
      <c r="S220" s="563" t="str">
        <f>VLOOKUP(A220,'[1]Raw data'!$B:$Z,4,FALSE)</f>
        <v>YSM10</v>
      </c>
      <c r="T220" s="563" t="str">
        <f>VLOOKUP(A220,'[1]Raw data'!$B:$Z,8,FALSE)</f>
        <v>L-&gt;R</v>
      </c>
      <c r="U220" s="563" t="str">
        <f>VLOOKUP(A220,'[1]Raw data'!$B:$Z,9,FALSE)</f>
        <v>No</v>
      </c>
      <c r="V220" s="567" t="str">
        <f t="shared" si="39"/>
        <v>OK</v>
      </c>
      <c r="W220" s="563" t="str">
        <f>VLOOKUP(A220,'[1]Raw data'!$B:$AG,32,FALSE)</f>
        <v>CIF HK</v>
      </c>
      <c r="X220" s="563">
        <f>VLOOKUP(A220,'[1]Raw data'!$B:$BA,31,FALSE)</f>
        <v>43629</v>
      </c>
      <c r="Y220" s="563" t="str">
        <f>VLOOKUP(A220,'[1]Raw data'!$B:$AS,39,FALSE)</f>
        <v>Yes</v>
      </c>
      <c r="Z220" s="568"/>
      <c r="AA220" s="569"/>
      <c r="AB220" s="570"/>
      <c r="AC220" s="563" t="s">
        <v>637</v>
      </c>
      <c r="AD220" s="571">
        <v>301</v>
      </c>
      <c r="AE220" s="571">
        <v>10</v>
      </c>
      <c r="AN220" s="542"/>
      <c r="AO220" s="824" t="str">
        <f t="shared" si="31"/>
        <v>Yes</v>
      </c>
      <c r="AP220" s="259" t="str">
        <f t="shared" si="32"/>
        <v>JUL 19</v>
      </c>
      <c r="AQ220" s="542" t="str">
        <f t="shared" si="33"/>
        <v>有定金+有預留客戶</v>
      </c>
      <c r="AR220" s="259" t="str">
        <f t="shared" si="34"/>
        <v>Shipped_Stock</v>
      </c>
      <c r="AS220" s="259" t="str">
        <f t="shared" si="35"/>
        <v/>
      </c>
      <c r="AT220" s="259" t="str">
        <f t="shared" si="36"/>
        <v>崧盛</v>
      </c>
      <c r="AU220" s="259" t="str">
        <f t="shared" si="37"/>
        <v>C49SZX20190094MZ</v>
      </c>
      <c r="AV220" s="259" t="str">
        <f t="shared" si="38"/>
        <v>Jul-03</v>
      </c>
      <c r="AW220" s="837"/>
      <c r="AX220" s="837"/>
      <c r="AY220" s="837"/>
      <c r="AZ220" s="837"/>
      <c r="BA220" s="837"/>
      <c r="BB220" s="837"/>
      <c r="BC220" s="837"/>
      <c r="BD220" s="837"/>
      <c r="BE220" s="837"/>
      <c r="BF220" s="837"/>
      <c r="BG220" s="837"/>
      <c r="BH220" s="837"/>
      <c r="BI220" s="837"/>
      <c r="BJ220" s="837"/>
      <c r="BK220" s="837"/>
      <c r="BL220" s="837"/>
      <c r="BM220" s="837"/>
      <c r="BN220" s="837"/>
      <c r="BO220" s="837"/>
      <c r="BP220" s="837"/>
      <c r="BQ220" s="837"/>
    </row>
    <row r="221" spans="1:69" ht="15" hidden="1" customHeight="1">
      <c r="A221" s="559">
        <v>349</v>
      </c>
      <c r="B221" s="560" t="s">
        <v>280</v>
      </c>
      <c r="C221" s="560" t="s">
        <v>281</v>
      </c>
      <c r="D221" s="603">
        <v>109565</v>
      </c>
      <c r="E221" s="563" t="s">
        <v>619</v>
      </c>
      <c r="F221" s="563" t="s">
        <v>17</v>
      </c>
      <c r="G221" s="563" t="s">
        <v>24</v>
      </c>
      <c r="H221" s="563" t="s">
        <v>26</v>
      </c>
      <c r="I221" s="564" t="s">
        <v>651</v>
      </c>
      <c r="J221" s="564">
        <v>1</v>
      </c>
      <c r="K221" s="563" t="s">
        <v>437</v>
      </c>
      <c r="L221" s="565">
        <v>43649</v>
      </c>
      <c r="M221" s="566">
        <v>6.4699999999999994E-2</v>
      </c>
      <c r="N221" s="563" t="s">
        <v>325</v>
      </c>
      <c r="O221" s="563">
        <v>2019.06</v>
      </c>
      <c r="P221" s="566" t="str">
        <f>VLOOKUP(A221,'[1]Raw data'!$B:$BB,23,FALSE)</f>
        <v>JPY</v>
      </c>
      <c r="Q221" s="563" t="str">
        <f>VLOOKUP(A221,'[1]Raw data'!$B:$Z,2,FALSE)</f>
        <v>C49SZX20190094MZ</v>
      </c>
      <c r="R221" s="563" t="str">
        <f>VLOOKUP(A221,'[1]Raw data'!$B:$Z,3,FALSE)</f>
        <v>崧盛</v>
      </c>
      <c r="S221" s="563" t="str">
        <f>VLOOKUP(A221,'[1]Raw data'!$B:$Z,4,FALSE)</f>
        <v>YSM10</v>
      </c>
      <c r="T221" s="563" t="str">
        <f>VLOOKUP(A221,'[1]Raw data'!$B:$Z,8,FALSE)</f>
        <v>L-&gt;R</v>
      </c>
      <c r="U221" s="563" t="str">
        <f>VLOOKUP(A221,'[1]Raw data'!$B:$Z,9,FALSE)</f>
        <v>No</v>
      </c>
      <c r="V221" s="567" t="str">
        <f t="shared" si="39"/>
        <v>OK</v>
      </c>
      <c r="W221" s="563" t="str">
        <f>VLOOKUP(A221,'[1]Raw data'!$B:$AG,32,FALSE)</f>
        <v>CIF HK</v>
      </c>
      <c r="X221" s="563">
        <f>VLOOKUP(A221,'[1]Raw data'!$B:$BA,31,FALSE)</f>
        <v>43629</v>
      </c>
      <c r="Y221" s="563" t="str">
        <f>VLOOKUP(A221,'[1]Raw data'!$B:$AS,39,FALSE)</f>
        <v>Yes</v>
      </c>
      <c r="Z221" s="568"/>
      <c r="AA221" s="569"/>
      <c r="AB221" s="570"/>
      <c r="AC221" s="563" t="s">
        <v>637</v>
      </c>
      <c r="AD221" s="571">
        <v>301</v>
      </c>
      <c r="AE221" s="571">
        <v>10</v>
      </c>
      <c r="AN221" s="542"/>
      <c r="AO221" s="824" t="str">
        <f t="shared" si="31"/>
        <v>Yes</v>
      </c>
      <c r="AP221" s="259" t="str">
        <f t="shared" si="32"/>
        <v>JUL 19</v>
      </c>
      <c r="AQ221" s="542" t="str">
        <f t="shared" si="33"/>
        <v>有定金+有預留客戶</v>
      </c>
      <c r="AR221" s="259" t="str">
        <f t="shared" si="34"/>
        <v>Shipped_Stock</v>
      </c>
      <c r="AS221" s="259" t="str">
        <f t="shared" si="35"/>
        <v/>
      </c>
      <c r="AT221" s="259" t="str">
        <f t="shared" si="36"/>
        <v>崧盛</v>
      </c>
      <c r="AU221" s="259" t="str">
        <f t="shared" si="37"/>
        <v>C49SZX20190094MZ</v>
      </c>
      <c r="AV221" s="259" t="str">
        <f t="shared" si="38"/>
        <v>Jul-03</v>
      </c>
      <c r="AW221" s="837"/>
      <c r="AX221" s="837"/>
      <c r="AY221" s="837"/>
      <c r="AZ221" s="837"/>
      <c r="BA221" s="837"/>
      <c r="BB221" s="837"/>
      <c r="BC221" s="837"/>
      <c r="BD221" s="837"/>
      <c r="BE221" s="837"/>
      <c r="BF221" s="837"/>
      <c r="BG221" s="837"/>
      <c r="BH221" s="837"/>
      <c r="BI221" s="837"/>
      <c r="BJ221" s="837"/>
      <c r="BK221" s="837"/>
      <c r="BL221" s="837"/>
      <c r="BM221" s="837"/>
      <c r="BN221" s="837"/>
      <c r="BO221" s="837"/>
      <c r="BP221" s="837"/>
      <c r="BQ221" s="837"/>
    </row>
    <row r="222" spans="1:69" ht="15" hidden="1" customHeight="1">
      <c r="A222" s="559">
        <v>360</v>
      </c>
      <c r="B222" s="560" t="s">
        <v>280</v>
      </c>
      <c r="C222" s="560" t="s">
        <v>281</v>
      </c>
      <c r="D222" s="603">
        <v>109565</v>
      </c>
      <c r="E222" s="563" t="s">
        <v>619</v>
      </c>
      <c r="F222" s="563" t="s">
        <v>17</v>
      </c>
      <c r="G222" s="563" t="s">
        <v>24</v>
      </c>
      <c r="H222" s="563" t="s">
        <v>26</v>
      </c>
      <c r="I222" s="564" t="s">
        <v>652</v>
      </c>
      <c r="J222" s="564">
        <v>1</v>
      </c>
      <c r="K222" s="563" t="s">
        <v>437</v>
      </c>
      <c r="L222" s="565">
        <v>43649</v>
      </c>
      <c r="M222" s="566">
        <v>6.4699999999999994E-2</v>
      </c>
      <c r="N222" s="563" t="s">
        <v>325</v>
      </c>
      <c r="O222" s="563">
        <v>2019.06</v>
      </c>
      <c r="P222" s="566" t="str">
        <f>VLOOKUP(A222,'[1]Raw data'!$B:$BB,23,FALSE)</f>
        <v>RMB</v>
      </c>
      <c r="Q222" s="563" t="str">
        <f>VLOOKUP(A222,'[1]Raw data'!$B:$Z,2,FALSE)</f>
        <v>C49SZX20190102SX</v>
      </c>
      <c r="R222" s="563" t="str">
        <f>VLOOKUP(A222,'[1]Raw data'!$B:$Z,3,FALSE)</f>
        <v>凯瑞丰</v>
      </c>
      <c r="S222" s="563" t="str">
        <f>VLOOKUP(A222,'[1]Raw data'!$B:$Z,4,FALSE)</f>
        <v>YSM10</v>
      </c>
      <c r="T222" s="563" t="str">
        <f>VLOOKUP(A222,'[1]Raw data'!$B:$Z,8,FALSE)</f>
        <v>L-&gt;R</v>
      </c>
      <c r="U222" s="563" t="str">
        <f>VLOOKUP(A222,'[1]Raw data'!$B:$Z,9,FALSE)</f>
        <v>MVC</v>
      </c>
      <c r="V222" s="567" t="str">
        <f t="shared" si="39"/>
        <v>WRONG</v>
      </c>
      <c r="W222" s="563" t="str">
        <f>VLOOKUP(A222,'[1]Raw data'!$B:$AG,32,FALSE)</f>
        <v>含税到厂</v>
      </c>
      <c r="X222" s="563">
        <f>VLOOKUP(A222,'[1]Raw data'!$B:$BA,31,FALSE)</f>
        <v>43635</v>
      </c>
      <c r="Y222" s="563" t="str">
        <f>VLOOKUP(A222,'[1]Raw data'!$B:$AS,39,FALSE)</f>
        <v>Yes</v>
      </c>
      <c r="Z222" s="568"/>
      <c r="AA222" s="569"/>
      <c r="AB222" s="570"/>
      <c r="AC222" s="563" t="s">
        <v>583</v>
      </c>
      <c r="AD222" s="571">
        <v>301</v>
      </c>
      <c r="AE222" s="571">
        <v>10</v>
      </c>
      <c r="AN222" s="542"/>
      <c r="AO222" s="824" t="str">
        <f t="shared" si="31"/>
        <v>Yes</v>
      </c>
      <c r="AP222" s="259" t="str">
        <f t="shared" si="32"/>
        <v>JUL 19</v>
      </c>
      <c r="AQ222" s="542" t="str">
        <f t="shared" si="33"/>
        <v>有定金+有預留客戶</v>
      </c>
      <c r="AR222" s="259" t="str">
        <f t="shared" si="34"/>
        <v>Shipped_Stock</v>
      </c>
      <c r="AS222" s="259" t="str">
        <f t="shared" si="35"/>
        <v/>
      </c>
      <c r="AT222" s="259" t="str">
        <f t="shared" si="36"/>
        <v>凯瑞丰</v>
      </c>
      <c r="AU222" s="259" t="str">
        <f t="shared" si="37"/>
        <v>C49SZX20190102SX</v>
      </c>
      <c r="AV222" s="259" t="str">
        <f t="shared" si="38"/>
        <v>Jul-03</v>
      </c>
    </row>
    <row r="223" spans="1:69" ht="15" hidden="1" customHeight="1">
      <c r="A223" s="559">
        <v>335</v>
      </c>
      <c r="B223" s="560" t="s">
        <v>280</v>
      </c>
      <c r="C223" s="560" t="s">
        <v>281</v>
      </c>
      <c r="D223" s="600">
        <v>109603</v>
      </c>
      <c r="E223" s="563" t="s">
        <v>644</v>
      </c>
      <c r="F223" s="563" t="s">
        <v>256</v>
      </c>
      <c r="G223" s="563" t="s">
        <v>18</v>
      </c>
      <c r="H223" s="563" t="s">
        <v>26</v>
      </c>
      <c r="I223" s="564" t="s">
        <v>653</v>
      </c>
      <c r="J223" s="564">
        <v>1</v>
      </c>
      <c r="K223" s="563" t="s">
        <v>437</v>
      </c>
      <c r="L223" s="565">
        <v>43649</v>
      </c>
      <c r="M223" s="566">
        <v>6.4699999999999994E-2</v>
      </c>
      <c r="N223" s="563" t="s">
        <v>320</v>
      </c>
      <c r="O223" s="564">
        <v>2019.06</v>
      </c>
      <c r="P223" s="566" t="str">
        <f>VLOOKUP(A223,'[1]Raw data'!$B:$BB,23,FALSE)</f>
        <v>JPY</v>
      </c>
      <c r="Q223" s="563" t="str">
        <f>VLOOKUP(A223,'[1]Raw data'!$B:$Z,2,FALSE)</f>
        <v>C49SZX20190082ZX</v>
      </c>
      <c r="R223" s="563" t="str">
        <f>VLOOKUP(A223,'[1]Raw data'!$B:$Z,3,FALSE)</f>
        <v>深圳健科</v>
      </c>
      <c r="S223" s="563" t="str">
        <f>VLOOKUP(A223,'[1]Raw data'!$B:$Z,4,FALSE)</f>
        <v>YSM20R(SV)-2</v>
      </c>
      <c r="T223" s="563" t="str">
        <f>VLOOKUP(A223,'[1]Raw data'!$B:$Z,8,FALSE)</f>
        <v>R-&gt;L</v>
      </c>
      <c r="U223" s="563" t="str">
        <f>VLOOKUP(A223,'[1]Raw data'!$B:$Z,9,FALSE)</f>
        <v>No</v>
      </c>
      <c r="V223" s="567" t="str">
        <f t="shared" si="39"/>
        <v>OK</v>
      </c>
      <c r="W223" s="563" t="str">
        <f>VLOOKUP(A223,'[1]Raw data'!$B:$AG,32,FALSE)</f>
        <v>DAP SZ</v>
      </c>
      <c r="X223" s="563">
        <f>VLOOKUP(A223,'[1]Raw data'!$B:$BA,31,FALSE)</f>
        <v>43612</v>
      </c>
      <c r="Y223" s="563" t="str">
        <f>VLOOKUP(A223,'[1]Raw data'!$B:$AS,39,FALSE)</f>
        <v>Yes</v>
      </c>
      <c r="Z223" s="568" t="s">
        <v>329</v>
      </c>
      <c r="AA223" s="569" t="s">
        <v>329</v>
      </c>
      <c r="AB223" s="570"/>
      <c r="AC223" s="563" t="s">
        <v>654</v>
      </c>
      <c r="AD223" s="571">
        <v>312</v>
      </c>
      <c r="AE223" s="571">
        <v>10</v>
      </c>
      <c r="AF223" s="571">
        <v>303</v>
      </c>
      <c r="AG223" s="571">
        <v>10</v>
      </c>
      <c r="AN223" s="542"/>
      <c r="AO223" s="824" t="str">
        <f t="shared" si="31"/>
        <v>Yes</v>
      </c>
      <c r="AP223" s="259" t="str">
        <f t="shared" si="32"/>
        <v>SEP 19</v>
      </c>
      <c r="AQ223" s="542" t="str">
        <f t="shared" si="33"/>
        <v>有定金+有預留客戶</v>
      </c>
      <c r="AR223" s="259" t="str">
        <f t="shared" si="34"/>
        <v>Shipped_Stock</v>
      </c>
      <c r="AS223" s="259" t="str">
        <f t="shared" si="35"/>
        <v/>
      </c>
      <c r="AT223" s="259" t="str">
        <f t="shared" si="36"/>
        <v>深圳健科</v>
      </c>
      <c r="AU223" s="259" t="str">
        <f t="shared" si="37"/>
        <v>C49SZX20190082ZX</v>
      </c>
      <c r="AV223" s="259" t="str">
        <f t="shared" si="38"/>
        <v>Jul-03</v>
      </c>
    </row>
    <row r="224" spans="1:69" ht="15" hidden="1" customHeight="1">
      <c r="A224" s="559">
        <v>376</v>
      </c>
      <c r="B224" s="560" t="s">
        <v>280</v>
      </c>
      <c r="C224" s="560" t="s">
        <v>281</v>
      </c>
      <c r="D224" s="600">
        <v>109603</v>
      </c>
      <c r="E224" s="563" t="s">
        <v>644</v>
      </c>
      <c r="F224" s="563" t="s">
        <v>256</v>
      </c>
      <c r="G224" s="563" t="s">
        <v>18</v>
      </c>
      <c r="H224" s="563" t="s">
        <v>26</v>
      </c>
      <c r="I224" s="564" t="s">
        <v>655</v>
      </c>
      <c r="J224" s="564">
        <v>1</v>
      </c>
      <c r="K224" s="563" t="s">
        <v>437</v>
      </c>
      <c r="L224" s="565">
        <v>43649</v>
      </c>
      <c r="M224" s="566">
        <v>6.4699999999999994E-2</v>
      </c>
      <c r="N224" s="563" t="s">
        <v>325</v>
      </c>
      <c r="O224" s="564">
        <v>2019.06</v>
      </c>
      <c r="P224" s="566" t="str">
        <f>VLOOKUP(A224,'[1]Raw data'!$B:$BB,23,FALSE)</f>
        <v>JPY</v>
      </c>
      <c r="Q224" s="563" t="str">
        <f>VLOOKUP(A224,'[1]Raw data'!$B:$Z,2,FALSE)</f>
        <v>C49SZX20190109MZ</v>
      </c>
      <c r="R224" s="563" t="str">
        <f>VLOOKUP(A224,'[1]Raw data'!$B:$Z,3,FALSE)</f>
        <v>汇杰伟业</v>
      </c>
      <c r="S224" s="563" t="str">
        <f>VLOOKUP(A224,'[1]Raw data'!$B:$Z,4,FALSE)</f>
        <v>YSM20R(SV)-2</v>
      </c>
      <c r="T224" s="563" t="str">
        <f>VLOOKUP(A224,'[1]Raw data'!$B:$Z,8,FALSE)</f>
        <v>R-&gt;L</v>
      </c>
      <c r="U224" s="563" t="str">
        <f>VLOOKUP(A224,'[1]Raw data'!$B:$Z,9,FALSE)</f>
        <v>No</v>
      </c>
      <c r="V224" s="567" t="str">
        <f t="shared" si="39"/>
        <v>OK</v>
      </c>
      <c r="W224" s="563" t="str">
        <f>VLOOKUP(A224,'[1]Raw data'!$B:$AG,32,FALSE)</f>
        <v>CIF HK</v>
      </c>
      <c r="X224" s="563">
        <f>VLOOKUP(A224,'[1]Raw data'!$B:$BA,31,FALSE)</f>
        <v>43652</v>
      </c>
      <c r="Y224" s="563" t="str">
        <f>VLOOKUP(A224,'[1]Raw data'!$B:$AS,39,FALSE)</f>
        <v>Yes</v>
      </c>
      <c r="Z224" s="568"/>
      <c r="AA224" s="569"/>
      <c r="AB224" s="570"/>
      <c r="AC224" s="563" t="s">
        <v>656</v>
      </c>
      <c r="AD224" s="571">
        <v>311</v>
      </c>
      <c r="AE224" s="571">
        <v>10</v>
      </c>
      <c r="AF224" s="571">
        <v>303</v>
      </c>
      <c r="AG224" s="571">
        <v>10</v>
      </c>
      <c r="AN224" s="542"/>
      <c r="AO224" s="824" t="str">
        <f t="shared" si="31"/>
        <v>Yes</v>
      </c>
      <c r="AP224" s="259" t="str">
        <f t="shared" si="32"/>
        <v>JUL 19</v>
      </c>
      <c r="AQ224" s="542" t="str">
        <f t="shared" si="33"/>
        <v>有定金+有預留客戶</v>
      </c>
      <c r="AR224" s="259" t="str">
        <f t="shared" si="34"/>
        <v>Shipped_Stock</v>
      </c>
      <c r="AS224" s="259" t="str">
        <f t="shared" si="35"/>
        <v/>
      </c>
      <c r="AT224" s="259" t="str">
        <f t="shared" si="36"/>
        <v>汇杰伟业</v>
      </c>
      <c r="AU224" s="259" t="str">
        <f t="shared" si="37"/>
        <v>C49SZX20190109MZ</v>
      </c>
      <c r="AV224" s="259" t="str">
        <f t="shared" si="38"/>
        <v>Jul-03</v>
      </c>
    </row>
    <row r="225" spans="1:48" ht="15" hidden="1" customHeight="1">
      <c r="A225" s="559">
        <v>377</v>
      </c>
      <c r="B225" s="560" t="s">
        <v>280</v>
      </c>
      <c r="C225" s="560" t="s">
        <v>281</v>
      </c>
      <c r="D225" s="599">
        <v>109603</v>
      </c>
      <c r="E225" s="563" t="s">
        <v>644</v>
      </c>
      <c r="F225" s="563" t="s">
        <v>256</v>
      </c>
      <c r="G225" s="563" t="s">
        <v>18</v>
      </c>
      <c r="H225" s="563" t="s">
        <v>26</v>
      </c>
      <c r="I225" s="564" t="s">
        <v>657</v>
      </c>
      <c r="J225" s="564">
        <v>1</v>
      </c>
      <c r="K225" s="563" t="s">
        <v>437</v>
      </c>
      <c r="L225" s="565">
        <v>43649</v>
      </c>
      <c r="M225" s="566">
        <v>6.4699999999999994E-2</v>
      </c>
      <c r="N225" s="563" t="s">
        <v>325</v>
      </c>
      <c r="O225" s="564">
        <v>2019.06</v>
      </c>
      <c r="P225" s="566" t="str">
        <f>VLOOKUP(A225,'[1]Raw data'!$B:$BB,23,FALSE)</f>
        <v>JPY</v>
      </c>
      <c r="Q225" s="563" t="str">
        <f>VLOOKUP(A225,'[1]Raw data'!$B:$Z,2,FALSE)</f>
        <v>C49SZX20190109MZ</v>
      </c>
      <c r="R225" s="563" t="str">
        <f>VLOOKUP(A225,'[1]Raw data'!$B:$Z,3,FALSE)</f>
        <v>汇杰伟业</v>
      </c>
      <c r="S225" s="563" t="str">
        <f>VLOOKUP(A225,'[1]Raw data'!$B:$Z,4,FALSE)</f>
        <v>YSM20R(SV)-2</v>
      </c>
      <c r="T225" s="563" t="str">
        <f>VLOOKUP(A225,'[1]Raw data'!$B:$Z,8,FALSE)</f>
        <v>R-&gt;L</v>
      </c>
      <c r="U225" s="563" t="str">
        <f>VLOOKUP(A225,'[1]Raw data'!$B:$Z,9,FALSE)</f>
        <v>No</v>
      </c>
      <c r="V225" s="567" t="str">
        <f t="shared" si="39"/>
        <v>OK</v>
      </c>
      <c r="W225" s="563" t="str">
        <f>VLOOKUP(A225,'[1]Raw data'!$B:$AG,32,FALSE)</f>
        <v>CIF HK</v>
      </c>
      <c r="X225" s="563">
        <f>VLOOKUP(A225,'[1]Raw data'!$B:$BA,31,FALSE)</f>
        <v>43652</v>
      </c>
      <c r="Y225" s="563" t="str">
        <f>VLOOKUP(A225,'[1]Raw data'!$B:$AS,39,FALSE)</f>
        <v>Yes</v>
      </c>
      <c r="Z225" s="568"/>
      <c r="AA225" s="569"/>
      <c r="AB225" s="570"/>
      <c r="AC225" s="563" t="s">
        <v>656</v>
      </c>
      <c r="AD225" s="571">
        <v>311</v>
      </c>
      <c r="AE225" s="571">
        <v>10</v>
      </c>
      <c r="AF225" s="571">
        <v>303</v>
      </c>
      <c r="AG225" s="571">
        <v>10</v>
      </c>
      <c r="AN225" s="542"/>
      <c r="AO225" s="824" t="str">
        <f t="shared" si="31"/>
        <v>Yes</v>
      </c>
      <c r="AP225" s="259" t="str">
        <f t="shared" si="32"/>
        <v>JUL 19</v>
      </c>
      <c r="AQ225" s="542" t="str">
        <f t="shared" si="33"/>
        <v>有定金+有預留客戶</v>
      </c>
      <c r="AR225" s="259" t="str">
        <f t="shared" si="34"/>
        <v>Shipped_Stock</v>
      </c>
      <c r="AS225" s="259" t="str">
        <f t="shared" si="35"/>
        <v/>
      </c>
      <c r="AT225" s="259" t="str">
        <f t="shared" si="36"/>
        <v>汇杰伟业</v>
      </c>
      <c r="AU225" s="259" t="str">
        <f t="shared" si="37"/>
        <v>C49SZX20190109MZ</v>
      </c>
      <c r="AV225" s="259" t="str">
        <f t="shared" si="38"/>
        <v>Jul-03</v>
      </c>
    </row>
    <row r="226" spans="1:48" ht="15" hidden="1" customHeight="1">
      <c r="A226" s="559">
        <v>310</v>
      </c>
      <c r="B226" s="560" t="s">
        <v>280</v>
      </c>
      <c r="C226" s="560" t="s">
        <v>281</v>
      </c>
      <c r="D226" s="564">
        <v>109566</v>
      </c>
      <c r="E226" s="563" t="s">
        <v>619</v>
      </c>
      <c r="F226" s="563" t="s">
        <v>17</v>
      </c>
      <c r="G226" s="563" t="s">
        <v>24</v>
      </c>
      <c r="H226" s="563" t="s">
        <v>26</v>
      </c>
      <c r="I226" s="564" t="s">
        <v>658</v>
      </c>
      <c r="J226" s="564">
        <v>1</v>
      </c>
      <c r="K226" s="563" t="s">
        <v>437</v>
      </c>
      <c r="L226" s="565">
        <v>43649</v>
      </c>
      <c r="M226" s="566">
        <v>6.4699999999999994E-2</v>
      </c>
      <c r="N226" s="563" t="s">
        <v>325</v>
      </c>
      <c r="O226" s="563">
        <v>2019.06</v>
      </c>
      <c r="P226" s="566" t="str">
        <f>VLOOKUP(A226,'[1]Raw data'!$B:$BB,23,FALSE)</f>
        <v>RMB</v>
      </c>
      <c r="Q226" s="563" t="str">
        <f>VLOOKUP(A226,'[1]Raw data'!$B:$Z,2,FALSE)</f>
        <v>C49SZX20190072ZX</v>
      </c>
      <c r="R226" s="563" t="str">
        <f>VLOOKUP(A226,'[1]Raw data'!$B:$Z,3,FALSE)</f>
        <v>恒康佳业</v>
      </c>
      <c r="S226" s="563" t="str">
        <f>VLOOKUP(A226,'[1]Raw data'!$B:$Z,4,FALSE)</f>
        <v>YSM10</v>
      </c>
      <c r="T226" s="563" t="str">
        <f>VLOOKUP(A226,'[1]Raw data'!$B:$Z,8,FALSE)</f>
        <v>R-&gt;L</v>
      </c>
      <c r="U226" s="563" t="str">
        <f>VLOOKUP(A226,'[1]Raw data'!$B:$Z,9,FALSE)</f>
        <v>MVC+Rear 站位</v>
      </c>
      <c r="V226" s="567" t="str">
        <f t="shared" si="39"/>
        <v>WRONG</v>
      </c>
      <c r="W226" s="563" t="str">
        <f>VLOOKUP(A226,'[1]Raw data'!$B:$AG,32,FALSE)</f>
        <v>含税到厂</v>
      </c>
      <c r="X226" s="563">
        <f>VLOOKUP(A226,'[1]Raw data'!$B:$BA,31,FALSE)</f>
        <v>43596</v>
      </c>
      <c r="Y226" s="563" t="str">
        <f>VLOOKUP(A226,'[1]Raw data'!$B:$AS,39,FALSE)</f>
        <v>Yes</v>
      </c>
      <c r="Z226" s="568"/>
      <c r="AA226" s="569"/>
      <c r="AB226" s="570"/>
      <c r="AC226" s="563" t="s">
        <v>659</v>
      </c>
      <c r="AD226" s="571">
        <v>302</v>
      </c>
      <c r="AE226" s="571">
        <v>10</v>
      </c>
      <c r="AN226" s="542"/>
      <c r="AO226" s="824" t="str">
        <f t="shared" si="31"/>
        <v>Yes</v>
      </c>
      <c r="AP226" s="259" t="str">
        <f t="shared" si="32"/>
        <v>JUL 19</v>
      </c>
      <c r="AQ226" s="542" t="str">
        <f t="shared" si="33"/>
        <v>有定金+有預留客戶</v>
      </c>
      <c r="AR226" s="259" t="str">
        <f t="shared" si="34"/>
        <v>Shipped_Stock</v>
      </c>
      <c r="AS226" s="259" t="str">
        <f t="shared" si="35"/>
        <v/>
      </c>
      <c r="AT226" s="259" t="str">
        <f t="shared" si="36"/>
        <v>恒康佳业</v>
      </c>
      <c r="AU226" s="259" t="str">
        <f t="shared" si="37"/>
        <v>C49SZX20190072ZX</v>
      </c>
      <c r="AV226" s="259" t="str">
        <f t="shared" si="38"/>
        <v>Jul-03</v>
      </c>
    </row>
    <row r="227" spans="1:48" ht="15" hidden="1" customHeight="1">
      <c r="A227" s="559">
        <v>464</v>
      </c>
      <c r="B227" s="560" t="s">
        <v>280</v>
      </c>
      <c r="C227" s="560" t="s">
        <v>281</v>
      </c>
      <c r="D227" s="599">
        <v>109602</v>
      </c>
      <c r="E227" s="563" t="s">
        <v>644</v>
      </c>
      <c r="F227" s="563" t="s">
        <v>256</v>
      </c>
      <c r="G227" s="563" t="s">
        <v>24</v>
      </c>
      <c r="H227" s="563" t="s">
        <v>27</v>
      </c>
      <c r="I227" s="564" t="s">
        <v>660</v>
      </c>
      <c r="J227" s="564">
        <v>1</v>
      </c>
      <c r="K227" s="563" t="s">
        <v>661</v>
      </c>
      <c r="L227" s="565">
        <v>43663</v>
      </c>
      <c r="M227" s="613" t="s">
        <v>257</v>
      </c>
      <c r="N227" s="563" t="s">
        <v>504</v>
      </c>
      <c r="O227" s="564">
        <v>2019.07</v>
      </c>
      <c r="P227" s="566" t="str">
        <f>VLOOKUP(A227,'[1]Raw data'!$B:$BB,23,FALSE)</f>
        <v>JPY</v>
      </c>
      <c r="Q227" s="563" t="str">
        <f>VLOOKUP(A227,'[1]Raw data'!$B:$Z,2,FALSE)</f>
        <v>C49SZX20190155JY</v>
      </c>
      <c r="R227" s="563" t="str">
        <f>VLOOKUP(A227,'[1]Raw data'!$B:$Z,3,FALSE)</f>
        <v>海松微</v>
      </c>
      <c r="S227" s="563" t="str">
        <f>VLOOKUP(A227,'[1]Raw data'!$B:$Z,4,FALSE)</f>
        <v>YSM20R(SV)-2</v>
      </c>
      <c r="T227" s="563" t="str">
        <f>VLOOKUP(A227,'[1]Raw data'!$B:$Z,8,FALSE)</f>
        <v>L-&gt;R</v>
      </c>
      <c r="U227" s="563" t="str">
        <f>VLOOKUP(A227,'[1]Raw data'!$B:$Z,9,FALSE)</f>
        <v>No</v>
      </c>
      <c r="V227" s="567" t="str">
        <f t="shared" si="39"/>
        <v>WRONG</v>
      </c>
      <c r="W227" s="563" t="str">
        <f>VLOOKUP(A227,'[1]Raw data'!$B:$AG,32,FALSE)</f>
        <v>DAP SZ</v>
      </c>
      <c r="X227" s="563">
        <f>VLOOKUP(A227,'[1]Raw data'!$B:$BA,31,FALSE)</f>
        <v>43763</v>
      </c>
      <c r="Y227" s="563" t="str">
        <f>VLOOKUP(A227,'[1]Raw data'!$B:$AS,39,FALSE)</f>
        <v>Yes</v>
      </c>
      <c r="Z227" s="568"/>
      <c r="AA227" s="569"/>
      <c r="AB227" s="570"/>
      <c r="AC227" s="563" t="s">
        <v>662</v>
      </c>
      <c r="AD227" s="571">
        <v>301</v>
      </c>
      <c r="AE227" s="571">
        <v>10</v>
      </c>
      <c r="AF227" s="571">
        <v>302</v>
      </c>
      <c r="AG227" s="571">
        <v>10</v>
      </c>
      <c r="AN227" s="542"/>
      <c r="AO227" s="824" t="str">
        <f t="shared" si="31"/>
        <v>Yes</v>
      </c>
      <c r="AP227" s="259" t="str">
        <f t="shared" si="32"/>
        <v>NOV 19</v>
      </c>
      <c r="AQ227" s="542" t="str">
        <f t="shared" si="33"/>
        <v>有定金+有預留客戶</v>
      </c>
      <c r="AR227" s="259" t="str">
        <f t="shared" si="34"/>
        <v>Shipped_Stock</v>
      </c>
      <c r="AS227" s="259" t="str">
        <f t="shared" si="35"/>
        <v/>
      </c>
      <c r="AT227" s="259" t="str">
        <f t="shared" si="36"/>
        <v>海松微</v>
      </c>
      <c r="AU227" s="259" t="str">
        <f t="shared" si="37"/>
        <v>C49SZX20190155JY</v>
      </c>
      <c r="AV227" s="259" t="str">
        <f t="shared" si="38"/>
        <v>Jul-17</v>
      </c>
    </row>
    <row r="228" spans="1:48" ht="15" hidden="1" customHeight="1">
      <c r="A228" s="559">
        <v>426</v>
      </c>
      <c r="B228" s="560" t="s">
        <v>280</v>
      </c>
      <c r="C228" s="560" t="s">
        <v>281</v>
      </c>
      <c r="D228" s="599">
        <v>109602</v>
      </c>
      <c r="E228" s="563" t="s">
        <v>644</v>
      </c>
      <c r="F228" s="563" t="s">
        <v>256</v>
      </c>
      <c r="G228" s="563" t="s">
        <v>24</v>
      </c>
      <c r="H228" s="563" t="s">
        <v>27</v>
      </c>
      <c r="I228" s="564" t="s">
        <v>663</v>
      </c>
      <c r="J228" s="564">
        <v>1</v>
      </c>
      <c r="K228" s="563" t="s">
        <v>295</v>
      </c>
      <c r="L228" s="565">
        <v>43663</v>
      </c>
      <c r="M228" s="566">
        <v>6.4699999999999994E-2</v>
      </c>
      <c r="N228" s="563" t="s">
        <v>320</v>
      </c>
      <c r="O228" s="564">
        <v>2019.06</v>
      </c>
      <c r="P228" s="566" t="str">
        <f>VLOOKUP(A228,'[1]Raw data'!$B:$BB,23,FALSE)</f>
        <v>RMB</v>
      </c>
      <c r="Q228" s="563" t="str">
        <f>VLOOKUP(A228,'[1]Raw data'!$B:$Z,2,FALSE)</f>
        <v>C49SZX20190123SX</v>
      </c>
      <c r="R228" s="563" t="str">
        <f>VLOOKUP(A228,'[1]Raw data'!$B:$Z,3,FALSE)</f>
        <v>君泽</v>
      </c>
      <c r="S228" s="563" t="str">
        <f>VLOOKUP(A228,'[1]Raw data'!$B:$Z,4,FALSE)</f>
        <v>YSM20R(SV)-2</v>
      </c>
      <c r="T228" s="563" t="str">
        <f>VLOOKUP(A228,'[1]Raw data'!$B:$Z,8,FALSE)</f>
        <v>L-&gt;R</v>
      </c>
      <c r="U228" s="563" t="str">
        <f>VLOOKUP(A228,'[1]Raw data'!$B:$Z,9,FALSE)</f>
        <v>No</v>
      </c>
      <c r="V228" s="567" t="str">
        <f t="shared" si="39"/>
        <v>WRONG</v>
      </c>
      <c r="W228" s="563" t="str">
        <f>VLOOKUP(A228,'[1]Raw data'!$B:$AG,32,FALSE)</f>
        <v>含税到厂</v>
      </c>
      <c r="X228" s="563">
        <f>VLOOKUP(A228,'[1]Raw data'!$B:$BA,31,FALSE)</f>
        <v>43714</v>
      </c>
      <c r="Y228" s="563" t="str">
        <f>VLOOKUP(A228,'[1]Raw data'!$B:$AS,39,FALSE)</f>
        <v>Yes</v>
      </c>
      <c r="Z228" s="568"/>
      <c r="AA228" s="569"/>
      <c r="AB228" s="570"/>
      <c r="AC228" s="563" t="s">
        <v>603</v>
      </c>
      <c r="AD228" s="571">
        <v>301</v>
      </c>
      <c r="AE228" s="571">
        <v>10</v>
      </c>
      <c r="AF228" s="571">
        <v>302</v>
      </c>
      <c r="AG228" s="571">
        <v>10</v>
      </c>
      <c r="AN228" s="542"/>
      <c r="AO228" s="824" t="str">
        <f t="shared" si="31"/>
        <v>Yes</v>
      </c>
      <c r="AP228" s="259" t="str">
        <f t="shared" si="32"/>
        <v>SEP 19</v>
      </c>
      <c r="AQ228" s="542" t="str">
        <f t="shared" si="33"/>
        <v>有定金+有預留客戶</v>
      </c>
      <c r="AR228" s="259" t="str">
        <f t="shared" si="34"/>
        <v>Shipped_Stock</v>
      </c>
      <c r="AS228" s="259" t="str">
        <f t="shared" si="35"/>
        <v/>
      </c>
      <c r="AT228" s="259" t="str">
        <f t="shared" si="36"/>
        <v>君泽</v>
      </c>
      <c r="AU228" s="259" t="str">
        <f t="shared" si="37"/>
        <v>C49SZX20190123SX</v>
      </c>
      <c r="AV228" s="259" t="str">
        <f t="shared" si="38"/>
        <v>Jul-17</v>
      </c>
    </row>
    <row r="229" spans="1:48" ht="15" hidden="1" customHeight="1">
      <c r="A229" s="559">
        <v>313</v>
      </c>
      <c r="B229" s="563" t="s">
        <v>280</v>
      </c>
      <c r="C229" s="560" t="s">
        <v>281</v>
      </c>
      <c r="D229" s="599">
        <v>109602</v>
      </c>
      <c r="E229" s="563" t="s">
        <v>644</v>
      </c>
      <c r="F229" s="563" t="s">
        <v>256</v>
      </c>
      <c r="G229" s="563" t="s">
        <v>24</v>
      </c>
      <c r="H229" s="563" t="s">
        <v>27</v>
      </c>
      <c r="I229" s="564" t="s">
        <v>664</v>
      </c>
      <c r="J229" s="564">
        <v>1</v>
      </c>
      <c r="K229" s="563" t="s">
        <v>295</v>
      </c>
      <c r="L229" s="565">
        <v>43663</v>
      </c>
      <c r="M229" s="566">
        <v>6.4699999999999994E-2</v>
      </c>
      <c r="N229" s="563" t="s">
        <v>475</v>
      </c>
      <c r="O229" s="564">
        <v>2019.06</v>
      </c>
      <c r="P229" s="566" t="str">
        <f>VLOOKUP(A229,'[1]Raw data'!$B:$BB,23,FALSE)</f>
        <v>RMB</v>
      </c>
      <c r="Q229" s="563" t="str">
        <f>VLOOKUP(A229,'[1]Raw data'!$B:$Z,2,FALSE)</f>
        <v>C49SZX20190076SS</v>
      </c>
      <c r="R229" s="563" t="str">
        <f>VLOOKUP(A229,'[1]Raw data'!$B:$Z,3,FALSE)</f>
        <v>嘉兴</v>
      </c>
      <c r="S229" s="563" t="str">
        <f>VLOOKUP(A229,'[1]Raw data'!$B:$Z,4,FALSE)</f>
        <v>YSM20R(SV)-2</v>
      </c>
      <c r="T229" s="563" t="str">
        <f>VLOOKUP(A229,'[1]Raw data'!$B:$Z,8,FALSE)</f>
        <v>L-&gt;R</v>
      </c>
      <c r="U229" s="563" t="str">
        <f>VLOOKUP(A229,'[1]Raw data'!$B:$Z,9,FALSE)</f>
        <v>No</v>
      </c>
      <c r="V229" s="567" t="str">
        <f t="shared" si="39"/>
        <v>WRONG</v>
      </c>
      <c r="W229" s="563" t="str">
        <f>VLOOKUP(A229,'[1]Raw data'!$B:$AG,32,FALSE)</f>
        <v>含税到厂</v>
      </c>
      <c r="X229" s="563">
        <f>VLOOKUP(A229,'[1]Raw data'!$B:$BA,31,FALSE)</f>
        <v>43600</v>
      </c>
      <c r="Y229" s="563" t="str">
        <f>VLOOKUP(A229,'[1]Raw data'!$B:$AS,39,FALSE)</f>
        <v>Yes</v>
      </c>
      <c r="Z229" s="568"/>
      <c r="AA229" s="569"/>
      <c r="AB229" s="570"/>
      <c r="AC229" s="563" t="s">
        <v>665</v>
      </c>
      <c r="AD229" s="571">
        <v>301</v>
      </c>
      <c r="AE229" s="571">
        <v>10</v>
      </c>
      <c r="AF229" s="571">
        <v>302</v>
      </c>
      <c r="AG229" s="571">
        <v>10</v>
      </c>
      <c r="AN229" s="542"/>
      <c r="AO229" s="824" t="str">
        <f t="shared" si="31"/>
        <v>Yes</v>
      </c>
      <c r="AP229" s="259" t="str">
        <f t="shared" si="32"/>
        <v>OCT 19</v>
      </c>
      <c r="AQ229" s="542" t="str">
        <f t="shared" si="33"/>
        <v>有定金+有預留客戶</v>
      </c>
      <c r="AR229" s="259" t="str">
        <f t="shared" si="34"/>
        <v>Shipped_Stock</v>
      </c>
      <c r="AS229" s="259" t="str">
        <f t="shared" si="35"/>
        <v/>
      </c>
      <c r="AT229" s="259" t="str">
        <f t="shared" si="36"/>
        <v>嘉兴</v>
      </c>
      <c r="AU229" s="259" t="str">
        <f t="shared" si="37"/>
        <v>C49SZX20190076SS</v>
      </c>
      <c r="AV229" s="259" t="str">
        <f t="shared" si="38"/>
        <v>Jul-17</v>
      </c>
    </row>
    <row r="230" spans="1:48" ht="15" hidden="1" customHeight="1">
      <c r="A230" s="559">
        <v>424</v>
      </c>
      <c r="B230" s="560" t="s">
        <v>280</v>
      </c>
      <c r="C230" s="560" t="s">
        <v>281</v>
      </c>
      <c r="D230" s="599">
        <v>109602</v>
      </c>
      <c r="E230" s="563" t="s">
        <v>644</v>
      </c>
      <c r="F230" s="563" t="s">
        <v>256</v>
      </c>
      <c r="G230" s="563" t="s">
        <v>24</v>
      </c>
      <c r="H230" s="563" t="s">
        <v>27</v>
      </c>
      <c r="I230" s="564" t="s">
        <v>666</v>
      </c>
      <c r="J230" s="564">
        <v>1</v>
      </c>
      <c r="K230" s="563" t="s">
        <v>295</v>
      </c>
      <c r="L230" s="565">
        <v>43663</v>
      </c>
      <c r="M230" s="566">
        <v>6.4699999999999994E-2</v>
      </c>
      <c r="N230" s="563" t="s">
        <v>320</v>
      </c>
      <c r="O230" s="564">
        <v>2019.06</v>
      </c>
      <c r="P230" s="566" t="str">
        <f>VLOOKUP(A230,'[1]Raw data'!$B:$BB,23,FALSE)</f>
        <v>RMB</v>
      </c>
      <c r="Q230" s="563" t="str">
        <f>VLOOKUP(A230,'[1]Raw data'!$B:$Z,2,FALSE)</f>
        <v>C49SZX20190135SX</v>
      </c>
      <c r="R230" s="563" t="str">
        <f>VLOOKUP(A230,'[1]Raw data'!$B:$Z,3,FALSE)</f>
        <v>迅丰</v>
      </c>
      <c r="S230" s="563" t="str">
        <f>VLOOKUP(A230,'[1]Raw data'!$B:$Z,4,FALSE)</f>
        <v>YSM20R(SV)-2</v>
      </c>
      <c r="T230" s="563" t="str">
        <f>VLOOKUP(A230,'[1]Raw data'!$B:$Z,8,FALSE)</f>
        <v>L-&gt;R</v>
      </c>
      <c r="U230" s="563" t="str">
        <f>VLOOKUP(A230,'[1]Raw data'!$B:$Z,9,FALSE)</f>
        <v>MVC</v>
      </c>
      <c r="V230" s="567" t="str">
        <f t="shared" si="39"/>
        <v>OK</v>
      </c>
      <c r="W230" s="563" t="str">
        <f>VLOOKUP(A230,'[1]Raw data'!$B:$AG,32,FALSE)</f>
        <v>含税到厂</v>
      </c>
      <c r="X230" s="563">
        <f>VLOOKUP(A230,'[1]Raw data'!$B:$BA,31,FALSE)</f>
        <v>43715</v>
      </c>
      <c r="Y230" s="563" t="str">
        <f>VLOOKUP(A230,'[1]Raw data'!$B:$AS,39,FALSE)</f>
        <v>Yes</v>
      </c>
      <c r="Z230" s="568"/>
      <c r="AA230" s="569"/>
      <c r="AB230" s="570"/>
      <c r="AC230" s="563" t="s">
        <v>396</v>
      </c>
      <c r="AD230" s="571">
        <v>301</v>
      </c>
      <c r="AE230" s="571">
        <v>10</v>
      </c>
      <c r="AF230" s="571">
        <v>302</v>
      </c>
      <c r="AG230" s="571">
        <v>10</v>
      </c>
      <c r="AN230" s="542"/>
      <c r="AO230" s="824" t="str">
        <f t="shared" si="31"/>
        <v>Yes</v>
      </c>
      <c r="AP230" s="259" t="str">
        <f t="shared" si="32"/>
        <v>SEP 19</v>
      </c>
      <c r="AQ230" s="542" t="str">
        <f t="shared" si="33"/>
        <v>有定金+有預留客戶</v>
      </c>
      <c r="AR230" s="259" t="str">
        <f t="shared" si="34"/>
        <v>Shipped_Stock</v>
      </c>
      <c r="AS230" s="259" t="str">
        <f t="shared" si="35"/>
        <v/>
      </c>
      <c r="AT230" s="259" t="str">
        <f t="shared" si="36"/>
        <v>迅丰</v>
      </c>
      <c r="AU230" s="259" t="str">
        <f t="shared" si="37"/>
        <v>C49SZX20190135SX</v>
      </c>
      <c r="AV230" s="259" t="str">
        <f t="shared" si="38"/>
        <v>Jul-17</v>
      </c>
    </row>
    <row r="231" spans="1:48" ht="15" hidden="1" customHeight="1">
      <c r="A231" s="559">
        <v>430</v>
      </c>
      <c r="B231" s="563" t="s">
        <v>280</v>
      </c>
      <c r="C231" s="560" t="s">
        <v>281</v>
      </c>
      <c r="D231" s="599">
        <v>109602</v>
      </c>
      <c r="E231" s="563" t="s">
        <v>644</v>
      </c>
      <c r="F231" s="563" t="s">
        <v>256</v>
      </c>
      <c r="G231" s="563" t="s">
        <v>24</v>
      </c>
      <c r="H231" s="563" t="s">
        <v>27</v>
      </c>
      <c r="I231" s="564" t="s">
        <v>667</v>
      </c>
      <c r="J231" s="564">
        <v>1</v>
      </c>
      <c r="K231" s="563" t="s">
        <v>605</v>
      </c>
      <c r="L231" s="565">
        <v>43663</v>
      </c>
      <c r="M231" s="566">
        <v>6.4699999999999994E-2</v>
      </c>
      <c r="N231" s="563" t="s">
        <v>320</v>
      </c>
      <c r="O231" s="564">
        <v>2019.06</v>
      </c>
      <c r="P231" s="566" t="str">
        <f>VLOOKUP(A231,'[1]Raw data'!$B:$BB,23,FALSE)</f>
        <v>RMB</v>
      </c>
      <c r="Q231" s="563" t="str">
        <f>VLOOKUP(A231,'[1]Raw data'!$B:$Z,2,FALSE)</f>
        <v>C49SZX201900131JL</v>
      </c>
      <c r="R231" s="563" t="str">
        <f>VLOOKUP(A231,'[1]Raw data'!$B:$Z,3,FALSE)</f>
        <v>杉川/end user:放德劲</v>
      </c>
      <c r="S231" s="563" t="str">
        <f>VLOOKUP(A231,'[1]Raw data'!$B:$Z,4,FALSE)</f>
        <v>YSM20R(SV)-2</v>
      </c>
      <c r="T231" s="563" t="str">
        <f>VLOOKUP(A231,'[1]Raw data'!$B:$Z,8,FALSE)</f>
        <v>L-&gt;R</v>
      </c>
      <c r="U231" s="563" t="str">
        <f>VLOOKUP(A231,'[1]Raw data'!$B:$Z,9,FALSE)</f>
        <v>MVC</v>
      </c>
      <c r="V231" s="567" t="str">
        <f t="shared" si="39"/>
        <v>OK</v>
      </c>
      <c r="W231" s="563" t="str">
        <f>VLOOKUP(A231,'[1]Raw data'!$B:$AG,32,FALSE)</f>
        <v>含税到厂</v>
      </c>
      <c r="X231" s="563">
        <f>VLOOKUP(A231,'[1]Raw data'!$B:$BA,31,FALSE)</f>
        <v>43717</v>
      </c>
      <c r="Y231" s="563" t="str">
        <f>VLOOKUP(A231,'[1]Raw data'!$B:$AS,39,FALSE)</f>
        <v>Yes</v>
      </c>
      <c r="Z231" s="568"/>
      <c r="AA231" s="569"/>
      <c r="AB231" s="570"/>
      <c r="AC231" s="563" t="s">
        <v>398</v>
      </c>
      <c r="AD231" s="571">
        <v>301</v>
      </c>
      <c r="AE231" s="571">
        <v>10</v>
      </c>
      <c r="AF231" s="571">
        <v>302</v>
      </c>
      <c r="AG231" s="571">
        <v>10</v>
      </c>
      <c r="AN231" s="542"/>
      <c r="AO231" s="824" t="str">
        <f t="shared" si="31"/>
        <v>Yes</v>
      </c>
      <c r="AP231" s="259" t="str">
        <f t="shared" si="32"/>
        <v>SEP 19</v>
      </c>
      <c r="AQ231" s="542" t="str">
        <f t="shared" si="33"/>
        <v>有定金+有預留客戶</v>
      </c>
      <c r="AR231" s="259" t="str">
        <f t="shared" si="34"/>
        <v>Shipped_Stock</v>
      </c>
      <c r="AS231" s="259" t="str">
        <f t="shared" si="35"/>
        <v/>
      </c>
      <c r="AT231" s="259" t="str">
        <f t="shared" si="36"/>
        <v>杉川/end user:放德劲</v>
      </c>
      <c r="AU231" s="259" t="str">
        <f t="shared" si="37"/>
        <v>C49SZX201900131JL</v>
      </c>
      <c r="AV231" s="259" t="str">
        <f t="shared" si="38"/>
        <v>Jul-17</v>
      </c>
    </row>
    <row r="232" spans="1:48" ht="15" hidden="1" customHeight="1">
      <c r="A232" s="559">
        <v>409</v>
      </c>
      <c r="B232" s="563" t="s">
        <v>280</v>
      </c>
      <c r="C232" s="560" t="s">
        <v>281</v>
      </c>
      <c r="D232" s="599">
        <v>109602</v>
      </c>
      <c r="E232" s="563" t="s">
        <v>644</v>
      </c>
      <c r="F232" s="563" t="s">
        <v>256</v>
      </c>
      <c r="G232" s="563" t="s">
        <v>24</v>
      </c>
      <c r="H232" s="563" t="s">
        <v>27</v>
      </c>
      <c r="I232" s="564" t="s">
        <v>668</v>
      </c>
      <c r="J232" s="564">
        <v>1</v>
      </c>
      <c r="K232" s="563" t="s">
        <v>605</v>
      </c>
      <c r="L232" s="565">
        <v>43663</v>
      </c>
      <c r="M232" s="566">
        <v>6.4699999999999994E-2</v>
      </c>
      <c r="N232" s="563" t="s">
        <v>475</v>
      </c>
      <c r="O232" s="564">
        <v>2019.07</v>
      </c>
      <c r="P232" s="566" t="str">
        <f>VLOOKUP(A232,'[1]Raw data'!$B:$BB,23,FALSE)</f>
        <v>RMB</v>
      </c>
      <c r="Q232" s="563" t="str">
        <f>VLOOKUP(A232,'[1]Raw data'!$B:$Z,2,FALSE)</f>
        <v>C49SZX20190120DY</v>
      </c>
      <c r="R232" s="563" t="str">
        <f>VLOOKUP(A232,'[1]Raw data'!$B:$Z,3,FALSE)</f>
        <v>妙琪</v>
      </c>
      <c r="S232" s="563" t="str">
        <f>VLOOKUP(A232,'[1]Raw data'!$B:$Z,4,FALSE)</f>
        <v>YSM20R(SV)-2</v>
      </c>
      <c r="T232" s="563" t="str">
        <f>VLOOKUP(A232,'[1]Raw data'!$B:$Z,8,FALSE)</f>
        <v>L-&gt;R</v>
      </c>
      <c r="U232" s="563" t="str">
        <f>VLOOKUP(A232,'[1]Raw data'!$B:$Z,9,FALSE)</f>
        <v>MVC</v>
      </c>
      <c r="V232" s="567" t="str">
        <f t="shared" si="39"/>
        <v>OK</v>
      </c>
      <c r="W232" s="563" t="str">
        <f>VLOOKUP(A232,'[1]Raw data'!$B:$AG,32,FALSE)</f>
        <v>含税到厂</v>
      </c>
      <c r="X232" s="563">
        <f>VLOOKUP(A232,'[1]Raw data'!$B:$BA,31,FALSE)</f>
        <v>43699</v>
      </c>
      <c r="Y232" s="563" t="str">
        <f>VLOOKUP(A232,'[1]Raw data'!$B:$AS,39,FALSE)</f>
        <v>Yes</v>
      </c>
      <c r="Z232" s="568"/>
      <c r="AA232" s="569"/>
      <c r="AB232" s="570"/>
      <c r="AC232" s="563" t="s">
        <v>669</v>
      </c>
      <c r="AD232" s="571">
        <v>301</v>
      </c>
      <c r="AE232" s="571">
        <v>10</v>
      </c>
      <c r="AF232" s="571">
        <v>302</v>
      </c>
      <c r="AG232" s="571">
        <v>10</v>
      </c>
      <c r="AN232" s="542"/>
      <c r="AO232" s="824" t="str">
        <f t="shared" si="31"/>
        <v>Yes</v>
      </c>
      <c r="AP232" s="259" t="str">
        <f t="shared" si="32"/>
        <v>OCT 19</v>
      </c>
      <c r="AQ232" s="542" t="str">
        <f t="shared" si="33"/>
        <v>有定金+有預留客戶</v>
      </c>
      <c r="AR232" s="259" t="str">
        <f t="shared" si="34"/>
        <v>Shipped_Stock</v>
      </c>
      <c r="AS232" s="259" t="str">
        <f t="shared" si="35"/>
        <v/>
      </c>
      <c r="AT232" s="259" t="str">
        <f t="shared" si="36"/>
        <v>妙琪</v>
      </c>
      <c r="AU232" s="259" t="str">
        <f t="shared" si="37"/>
        <v>C49SZX20190120DY</v>
      </c>
      <c r="AV232" s="259" t="str">
        <f t="shared" si="38"/>
        <v>Jul-17</v>
      </c>
    </row>
    <row r="233" spans="1:48" ht="15" hidden="1" customHeight="1">
      <c r="A233" s="559">
        <v>440</v>
      </c>
      <c r="B233" s="563" t="s">
        <v>280</v>
      </c>
      <c r="C233" s="560" t="s">
        <v>281</v>
      </c>
      <c r="D233" s="599">
        <v>109602</v>
      </c>
      <c r="E233" s="563" t="s">
        <v>644</v>
      </c>
      <c r="F233" s="563" t="s">
        <v>256</v>
      </c>
      <c r="G233" s="563" t="s">
        <v>24</v>
      </c>
      <c r="H233" s="563" t="s">
        <v>27</v>
      </c>
      <c r="I233" s="564" t="s">
        <v>670</v>
      </c>
      <c r="J233" s="564">
        <v>1</v>
      </c>
      <c r="K233" s="563" t="s">
        <v>605</v>
      </c>
      <c r="L233" s="565">
        <v>43663</v>
      </c>
      <c r="M233" s="566">
        <v>6.4699999999999994E-2</v>
      </c>
      <c r="N233" s="563" t="s">
        <v>504</v>
      </c>
      <c r="O233" s="564">
        <v>2019.07</v>
      </c>
      <c r="P233" s="566" t="str">
        <f>VLOOKUP(A233,'[1]Raw data'!$B:$BB,23,FALSE)</f>
        <v>RMB</v>
      </c>
      <c r="Q233" s="563" t="str">
        <f>VLOOKUP(A233,'[1]Raw data'!$B:$Z,2,FALSE)</f>
        <v>C49SZX20190145DZ</v>
      </c>
      <c r="R233" s="563" t="str">
        <f>VLOOKUP(A233,'[1]Raw data'!$B:$Z,3,FALSE)</f>
        <v>GCL 耕创</v>
      </c>
      <c r="S233" s="563" t="str">
        <f>VLOOKUP(A233,'[1]Raw data'!$B:$Z,4,FALSE)</f>
        <v>YSM20R(SV)-2</v>
      </c>
      <c r="T233" s="563" t="str">
        <f>VLOOKUP(A233,'[1]Raw data'!$B:$Z,8,FALSE)</f>
        <v>L-&gt;R</v>
      </c>
      <c r="U233" s="563" t="str">
        <f>VLOOKUP(A233,'[1]Raw data'!$B:$Z,9,FALSE)</f>
        <v>No</v>
      </c>
      <c r="V233" s="567" t="str">
        <f t="shared" si="39"/>
        <v>WRONG</v>
      </c>
      <c r="W233" s="563" t="str">
        <f>VLOOKUP(A233,'[1]Raw data'!$B:$AG,32,FALSE)</f>
        <v>含税到厂</v>
      </c>
      <c r="X233" s="563">
        <f>VLOOKUP(A233,'[1]Raw data'!$B:$BA,31,FALSE)</f>
        <v>43750</v>
      </c>
      <c r="Y233" s="563" t="str">
        <f>VLOOKUP(A233,'[1]Raw data'!$B:$AS,39,FALSE)</f>
        <v>Yes</v>
      </c>
      <c r="Z233" s="568"/>
      <c r="AA233" s="569"/>
      <c r="AB233" s="570"/>
      <c r="AC233" s="563" t="s">
        <v>671</v>
      </c>
      <c r="AD233" s="571">
        <v>301</v>
      </c>
      <c r="AE233" s="571">
        <v>10</v>
      </c>
      <c r="AF233" s="571">
        <v>302</v>
      </c>
      <c r="AG233" s="571">
        <v>10</v>
      </c>
      <c r="AN233" s="542"/>
      <c r="AO233" s="824" t="str">
        <f t="shared" si="31"/>
        <v>Yes</v>
      </c>
      <c r="AP233" s="259" t="str">
        <f t="shared" si="32"/>
        <v>NOV 19</v>
      </c>
      <c r="AQ233" s="542" t="str">
        <f t="shared" si="33"/>
        <v>有定金+有預留客戶</v>
      </c>
      <c r="AR233" s="259" t="str">
        <f t="shared" si="34"/>
        <v>Shipped_Stock</v>
      </c>
      <c r="AS233" s="259" t="str">
        <f t="shared" si="35"/>
        <v/>
      </c>
      <c r="AT233" s="259" t="str">
        <f t="shared" si="36"/>
        <v>GCL 耕创</v>
      </c>
      <c r="AU233" s="259" t="str">
        <f t="shared" si="37"/>
        <v>C49SZX20190145DZ</v>
      </c>
      <c r="AV233" s="259" t="str">
        <f t="shared" si="38"/>
        <v>Jul-17</v>
      </c>
    </row>
    <row r="234" spans="1:48" ht="15" hidden="1" customHeight="1">
      <c r="A234" s="559">
        <v>455</v>
      </c>
      <c r="B234" s="560" t="s">
        <v>280</v>
      </c>
      <c r="C234" s="560" t="s">
        <v>281</v>
      </c>
      <c r="D234" s="599">
        <v>109608</v>
      </c>
      <c r="E234" s="563" t="s">
        <v>644</v>
      </c>
      <c r="F234" s="563" t="s">
        <v>256</v>
      </c>
      <c r="G234" s="563" t="s">
        <v>24</v>
      </c>
      <c r="H234" s="563" t="s">
        <v>27</v>
      </c>
      <c r="I234" s="564" t="s">
        <v>672</v>
      </c>
      <c r="J234" s="564">
        <v>1</v>
      </c>
      <c r="K234" s="563" t="s">
        <v>661</v>
      </c>
      <c r="L234" s="565">
        <v>43665</v>
      </c>
      <c r="M234" s="566">
        <v>6.4699999999999994E-2</v>
      </c>
      <c r="N234" s="563" t="s">
        <v>504</v>
      </c>
      <c r="O234" s="564">
        <v>2019.07</v>
      </c>
      <c r="P234" s="566" t="str">
        <f>VLOOKUP(A234,'[1]Raw data'!$B:$BB,23,FALSE)</f>
        <v>RMB</v>
      </c>
      <c r="Q234" s="563" t="str">
        <f>VLOOKUP(A234,'[1]Raw data'!$B:$Z,2,FALSE)</f>
        <v>C49SZX20190148SX</v>
      </c>
      <c r="R234" s="563" t="str">
        <f>VLOOKUP(A234,'[1]Raw data'!$B:$Z,3,FALSE)</f>
        <v>悦之彩</v>
      </c>
      <c r="S234" s="563" t="str">
        <f>VLOOKUP(A234,'[1]Raw data'!$B:$Z,4,FALSE)</f>
        <v>YSM20R(SV)-2</v>
      </c>
      <c r="T234" s="563" t="str">
        <f>VLOOKUP(A234,'[1]Raw data'!$B:$Z,8,FALSE)</f>
        <v>L-&gt;R</v>
      </c>
      <c r="U234" s="563" t="str">
        <f>VLOOKUP(A234,'[1]Raw data'!$B:$Z,9,FALSE)</f>
        <v>No</v>
      </c>
      <c r="V234" s="567" t="str">
        <f t="shared" si="39"/>
        <v>WRONG</v>
      </c>
      <c r="W234" s="563" t="str">
        <f>VLOOKUP(A234,'[1]Raw data'!$B:$AG,32,FALSE)</f>
        <v>含税到厂</v>
      </c>
      <c r="X234" s="563">
        <f>VLOOKUP(A234,'[1]Raw data'!$B:$BA,31,FALSE)</f>
        <v>43756</v>
      </c>
      <c r="Y234" s="563" t="str">
        <f>VLOOKUP(A234,'[1]Raw data'!$B:$AS,39,FALSE)</f>
        <v>Yes</v>
      </c>
      <c r="Z234" s="568"/>
      <c r="AA234" s="569"/>
      <c r="AB234" s="570"/>
      <c r="AC234" s="563" t="s">
        <v>673</v>
      </c>
      <c r="AD234" s="571">
        <v>311</v>
      </c>
      <c r="AE234" s="571">
        <v>10</v>
      </c>
      <c r="AF234" s="571">
        <v>312</v>
      </c>
      <c r="AG234" s="571">
        <v>10</v>
      </c>
      <c r="AN234" s="542"/>
      <c r="AO234" s="824" t="str">
        <f t="shared" si="31"/>
        <v>Yes</v>
      </c>
      <c r="AP234" s="259" t="str">
        <f t="shared" si="32"/>
        <v>NOV 19</v>
      </c>
      <c r="AQ234" s="542" t="str">
        <f t="shared" si="33"/>
        <v>有定金+有預留客戶</v>
      </c>
      <c r="AR234" s="259" t="str">
        <f t="shared" si="34"/>
        <v>Shipped_Stock</v>
      </c>
      <c r="AS234" s="259" t="str">
        <f t="shared" si="35"/>
        <v/>
      </c>
      <c r="AT234" s="259" t="str">
        <f t="shared" si="36"/>
        <v>悦之彩</v>
      </c>
      <c r="AU234" s="259" t="str">
        <f t="shared" si="37"/>
        <v>C49SZX20190148SX</v>
      </c>
      <c r="AV234" s="259" t="str">
        <f t="shared" si="38"/>
        <v>Jul-19</v>
      </c>
    </row>
    <row r="235" spans="1:48" ht="15" hidden="1" customHeight="1">
      <c r="A235" s="559">
        <v>463</v>
      </c>
      <c r="B235" s="563" t="s">
        <v>280</v>
      </c>
      <c r="C235" s="560" t="s">
        <v>281</v>
      </c>
      <c r="D235" s="599">
        <v>109608</v>
      </c>
      <c r="E235" s="563" t="s">
        <v>644</v>
      </c>
      <c r="F235" s="563" t="s">
        <v>256</v>
      </c>
      <c r="G235" s="563" t="s">
        <v>24</v>
      </c>
      <c r="H235" s="563" t="s">
        <v>27</v>
      </c>
      <c r="I235" s="564" t="s">
        <v>674</v>
      </c>
      <c r="J235" s="564">
        <v>1</v>
      </c>
      <c r="K235" s="563" t="s">
        <v>295</v>
      </c>
      <c r="L235" s="565">
        <v>43665</v>
      </c>
      <c r="M235" s="566">
        <v>6.4699999999999994E-2</v>
      </c>
      <c r="N235" s="563" t="s">
        <v>504</v>
      </c>
      <c r="O235" s="564">
        <v>2019.07</v>
      </c>
      <c r="P235" s="566" t="str">
        <f>VLOOKUP(A235,'[1]Raw data'!$B:$BB,23,FALSE)</f>
        <v>RMB</v>
      </c>
      <c r="Q235" s="563" t="str">
        <f>VLOOKUP(A235,'[1]Raw data'!$B:$Z,2,FALSE)</f>
        <v>C49SZX20190152JL</v>
      </c>
      <c r="R235" s="563" t="str">
        <f>VLOOKUP(A235,'[1]Raw data'!$B:$Z,3,FALSE)</f>
        <v>捷舜诚</v>
      </c>
      <c r="S235" s="563" t="str">
        <f>VLOOKUP(A235,'[1]Raw data'!$B:$Z,4,FALSE)</f>
        <v>YSM20R(SV)-2</v>
      </c>
      <c r="T235" s="563" t="str">
        <f>VLOOKUP(A235,'[1]Raw data'!$B:$Z,8,FALSE)</f>
        <v>L-&gt;R</v>
      </c>
      <c r="U235" s="563" t="str">
        <f>VLOOKUP(A235,'[1]Raw data'!$B:$Z,9,FALSE)</f>
        <v>No</v>
      </c>
      <c r="V235" s="567" t="str">
        <f t="shared" si="39"/>
        <v>WRONG</v>
      </c>
      <c r="W235" s="563" t="str">
        <f>VLOOKUP(A235,'[1]Raw data'!$B:$AG,32,FALSE)</f>
        <v>含税到厂</v>
      </c>
      <c r="X235" s="563">
        <f>VLOOKUP(A235,'[1]Raw data'!$B:$BA,31,FALSE)</f>
        <v>43762</v>
      </c>
      <c r="Y235" s="563" t="str">
        <f>VLOOKUP(A235,'[1]Raw data'!$B:$AS,39,FALSE)</f>
        <v>Yes</v>
      </c>
      <c r="Z235" s="568"/>
      <c r="AA235" s="569" t="s">
        <v>329</v>
      </c>
      <c r="AB235" s="570"/>
      <c r="AC235" s="563" t="s">
        <v>675</v>
      </c>
      <c r="AD235" s="571">
        <v>301</v>
      </c>
      <c r="AE235" s="571">
        <v>10</v>
      </c>
      <c r="AF235" s="571">
        <v>311</v>
      </c>
      <c r="AG235" s="571">
        <v>10</v>
      </c>
      <c r="AN235" s="542"/>
      <c r="AO235" s="824" t="str">
        <f t="shared" si="31"/>
        <v>Yes</v>
      </c>
      <c r="AP235" s="259" t="str">
        <f t="shared" si="32"/>
        <v>NOV 19</v>
      </c>
      <c r="AQ235" s="542" t="str">
        <f t="shared" si="33"/>
        <v>有定金+有預留客戶</v>
      </c>
      <c r="AR235" s="259" t="str">
        <f t="shared" si="34"/>
        <v>Shipped_Stock</v>
      </c>
      <c r="AS235" s="259" t="str">
        <f t="shared" si="35"/>
        <v/>
      </c>
      <c r="AT235" s="259" t="str">
        <f t="shared" si="36"/>
        <v>捷舜诚</v>
      </c>
      <c r="AU235" s="259" t="str">
        <f t="shared" si="37"/>
        <v>C49SZX20190152JL</v>
      </c>
      <c r="AV235" s="259" t="str">
        <f t="shared" si="38"/>
        <v>Jul-19</v>
      </c>
    </row>
    <row r="236" spans="1:48" ht="15" hidden="1" customHeight="1">
      <c r="A236" s="559">
        <v>334</v>
      </c>
      <c r="B236" s="560" t="s">
        <v>280</v>
      </c>
      <c r="C236" s="560" t="s">
        <v>281</v>
      </c>
      <c r="D236" s="599">
        <v>109610</v>
      </c>
      <c r="E236" s="563" t="s">
        <v>676</v>
      </c>
      <c r="F236" s="563" t="s">
        <v>256</v>
      </c>
      <c r="G236" s="563" t="s">
        <v>24</v>
      </c>
      <c r="H236" s="563" t="s">
        <v>26</v>
      </c>
      <c r="I236" s="564" t="s">
        <v>677</v>
      </c>
      <c r="J236" s="564">
        <v>1</v>
      </c>
      <c r="K236" s="563" t="s">
        <v>388</v>
      </c>
      <c r="L236" s="565">
        <v>43665</v>
      </c>
      <c r="M236" s="566">
        <v>6.4699999999999994E-2</v>
      </c>
      <c r="N236" s="563" t="s">
        <v>417</v>
      </c>
      <c r="O236" s="564">
        <v>2019.07</v>
      </c>
      <c r="P236" s="566" t="str">
        <f>VLOOKUP(A236,'[1]Raw data'!$B:$BB,23,FALSE)</f>
        <v>JPY</v>
      </c>
      <c r="Q236" s="563" t="str">
        <f>VLOOKUP(A236,'[1]Raw data'!$B:$Z,2,FALSE)</f>
        <v>C49SZX20190080ZX</v>
      </c>
      <c r="R236" s="563" t="str">
        <f>VLOOKUP(A236,'[1]Raw data'!$B:$Z,3,FALSE)</f>
        <v>长沙健科</v>
      </c>
      <c r="S236" s="563" t="str">
        <f>VLOOKUP(A236,'[1]Raw data'!$B:$Z,4,FALSE)</f>
        <v>YSM20R(SV)-2</v>
      </c>
      <c r="T236" s="563" t="str">
        <f>VLOOKUP(A236,'[1]Raw data'!$B:$Z,8,FALSE)</f>
        <v>L-&gt;R</v>
      </c>
      <c r="U236" s="563" t="str">
        <f>VLOOKUP(A236,'[1]Raw data'!$B:$Z,9,FALSE)</f>
        <v>No</v>
      </c>
      <c r="V236" s="567" t="str">
        <f t="shared" si="39"/>
        <v>OK</v>
      </c>
      <c r="W236" s="563" t="str">
        <f>VLOOKUP(A236,'[1]Raw data'!$B:$AG,32,FALSE)</f>
        <v>DAP 长沙</v>
      </c>
      <c r="X236" s="563">
        <f>VLOOKUP(A236,'[1]Raw data'!$B:$BA,31,FALSE)</f>
        <v>43612</v>
      </c>
      <c r="Y236" s="563" t="str">
        <f>VLOOKUP(A236,'[1]Raw data'!$B:$AS,39,FALSE)</f>
        <v>Yes</v>
      </c>
      <c r="Z236" s="568" t="s">
        <v>329</v>
      </c>
      <c r="AA236" s="569" t="s">
        <v>329</v>
      </c>
      <c r="AB236" s="570"/>
      <c r="AC236" s="563" t="s">
        <v>678</v>
      </c>
      <c r="AD236" s="571">
        <v>301</v>
      </c>
      <c r="AE236" s="571">
        <v>10</v>
      </c>
      <c r="AF236" s="571">
        <v>302</v>
      </c>
      <c r="AG236" s="571">
        <v>6</v>
      </c>
      <c r="AH236" s="571">
        <v>303</v>
      </c>
      <c r="AI236" s="572">
        <v>4</v>
      </c>
      <c r="AN236" s="542"/>
      <c r="AO236" s="824" t="str">
        <f t="shared" si="31"/>
        <v>Yes</v>
      </c>
      <c r="AP236" s="259" t="str">
        <f t="shared" si="32"/>
        <v>AUG 19</v>
      </c>
      <c r="AQ236" s="542" t="str">
        <f t="shared" si="33"/>
        <v>有定金+有預留客戶</v>
      </c>
      <c r="AR236" s="259" t="str">
        <f t="shared" si="34"/>
        <v>Shipped_Stock</v>
      </c>
      <c r="AS236" s="259" t="str">
        <f t="shared" si="35"/>
        <v/>
      </c>
      <c r="AT236" s="259" t="str">
        <f t="shared" si="36"/>
        <v>长沙健科</v>
      </c>
      <c r="AU236" s="259" t="str">
        <f t="shared" si="37"/>
        <v>C49SZX20190080ZX</v>
      </c>
      <c r="AV236" s="259" t="str">
        <f t="shared" si="38"/>
        <v>Jul-19</v>
      </c>
    </row>
    <row r="237" spans="1:48" ht="15" hidden="1" customHeight="1">
      <c r="A237" s="559">
        <v>427</v>
      </c>
      <c r="B237" s="560" t="s">
        <v>280</v>
      </c>
      <c r="C237" s="560" t="s">
        <v>281</v>
      </c>
      <c r="D237" s="599">
        <v>109608</v>
      </c>
      <c r="E237" s="563" t="s">
        <v>644</v>
      </c>
      <c r="F237" s="563" t="s">
        <v>256</v>
      </c>
      <c r="G237" s="563" t="s">
        <v>24</v>
      </c>
      <c r="H237" s="563" t="s">
        <v>27</v>
      </c>
      <c r="I237" s="564" t="s">
        <v>679</v>
      </c>
      <c r="J237" s="564">
        <v>1</v>
      </c>
      <c r="K237" s="563" t="s">
        <v>437</v>
      </c>
      <c r="L237" s="565">
        <v>43665</v>
      </c>
      <c r="M237" s="566">
        <v>6.4699999999999994E-2</v>
      </c>
      <c r="N237" s="563" t="s">
        <v>475</v>
      </c>
      <c r="O237" s="564">
        <v>2019.07</v>
      </c>
      <c r="P237" s="566" t="str">
        <f>VLOOKUP(A237,'[1]Raw data'!$B:$BB,23,FALSE)</f>
        <v>RMB</v>
      </c>
      <c r="Q237" s="563" t="str">
        <f>VLOOKUP(A237,'[1]Raw data'!$B:$Z,2,FALSE)</f>
        <v>C49SZX20190128DZ</v>
      </c>
      <c r="R237" s="563" t="str">
        <f>VLOOKUP(A237,'[1]Raw data'!$B:$Z,3,FALSE)</f>
        <v>富斯迈/end user:蓝普视讯</v>
      </c>
      <c r="S237" s="563" t="str">
        <f>VLOOKUP(A237,'[1]Raw data'!$B:$Z,4,FALSE)</f>
        <v>YSM20R(SV)-2</v>
      </c>
      <c r="T237" s="563" t="str">
        <f>VLOOKUP(A237,'[1]Raw data'!$B:$Z,8,FALSE)</f>
        <v>L-&gt;R</v>
      </c>
      <c r="U237" s="563" t="str">
        <f>VLOOKUP(A237,'[1]Raw data'!$B:$Z,9,FALSE)</f>
        <v>No</v>
      </c>
      <c r="V237" s="567" t="str">
        <f t="shared" si="39"/>
        <v>WRONG</v>
      </c>
      <c r="W237" s="563" t="str">
        <f>VLOOKUP(A237,'[1]Raw data'!$B:$AG,32,FALSE)</f>
        <v>CIF HK</v>
      </c>
      <c r="X237" s="563">
        <f>VLOOKUP(A237,'[1]Raw data'!$B:$BA,31,FALSE)</f>
        <v>43719</v>
      </c>
      <c r="Y237" s="563" t="str">
        <f>VLOOKUP(A237,'[1]Raw data'!$B:$AS,39,FALSE)</f>
        <v>Yes</v>
      </c>
      <c r="Z237" s="568"/>
      <c r="AA237" s="569"/>
      <c r="AB237" s="570"/>
      <c r="AC237" s="563" t="s">
        <v>680</v>
      </c>
      <c r="AD237" s="571">
        <v>301</v>
      </c>
      <c r="AE237" s="571">
        <v>20</v>
      </c>
      <c r="AN237" s="542"/>
      <c r="AO237" s="824" t="str">
        <f t="shared" si="31"/>
        <v>Yes</v>
      </c>
      <c r="AP237" s="259" t="str">
        <f t="shared" si="32"/>
        <v>OCT 19</v>
      </c>
      <c r="AQ237" s="542" t="str">
        <f t="shared" si="33"/>
        <v>有定金+有預留客戶</v>
      </c>
      <c r="AR237" s="259" t="str">
        <f t="shared" si="34"/>
        <v>Shipped_Stock</v>
      </c>
      <c r="AS237" s="259" t="str">
        <f t="shared" si="35"/>
        <v/>
      </c>
      <c r="AT237" s="259" t="str">
        <f t="shared" si="36"/>
        <v>富斯迈/end user:蓝普视讯</v>
      </c>
      <c r="AU237" s="259" t="str">
        <f t="shared" si="37"/>
        <v>C49SZX20190128DZ</v>
      </c>
      <c r="AV237" s="259" t="str">
        <f t="shared" si="38"/>
        <v>Jul-19</v>
      </c>
    </row>
    <row r="238" spans="1:48" ht="15" hidden="1" customHeight="1">
      <c r="A238" s="559">
        <v>428</v>
      </c>
      <c r="B238" s="563" t="s">
        <v>280</v>
      </c>
      <c r="C238" s="560" t="s">
        <v>281</v>
      </c>
      <c r="D238" s="599">
        <v>109608</v>
      </c>
      <c r="E238" s="563" t="s">
        <v>644</v>
      </c>
      <c r="F238" s="563" t="s">
        <v>256</v>
      </c>
      <c r="G238" s="563" t="s">
        <v>24</v>
      </c>
      <c r="H238" s="563" t="s">
        <v>27</v>
      </c>
      <c r="I238" s="564" t="s">
        <v>681</v>
      </c>
      <c r="J238" s="564">
        <v>1</v>
      </c>
      <c r="K238" s="563" t="s">
        <v>437</v>
      </c>
      <c r="L238" s="565">
        <v>43665</v>
      </c>
      <c r="M238" s="566">
        <v>6.4699999999999994E-2</v>
      </c>
      <c r="N238" s="563" t="s">
        <v>475</v>
      </c>
      <c r="O238" s="564">
        <v>2019.07</v>
      </c>
      <c r="P238" s="566" t="str">
        <f>VLOOKUP(A238,'[1]Raw data'!$B:$BB,23,FALSE)</f>
        <v>RMB</v>
      </c>
      <c r="Q238" s="563" t="str">
        <f>VLOOKUP(A238,'[1]Raw data'!$B:$Z,2,FALSE)</f>
        <v>C49SZX20190128DZ</v>
      </c>
      <c r="R238" s="563" t="str">
        <f>VLOOKUP(A238,'[1]Raw data'!$B:$Z,3,FALSE)</f>
        <v>富斯迈/end user:蓝普视讯</v>
      </c>
      <c r="S238" s="563" t="str">
        <f>VLOOKUP(A238,'[1]Raw data'!$B:$Z,4,FALSE)</f>
        <v>YSM20R(SV)-2</v>
      </c>
      <c r="T238" s="563" t="str">
        <f>VLOOKUP(A238,'[1]Raw data'!$B:$Z,8,FALSE)</f>
        <v>L-&gt;R</v>
      </c>
      <c r="U238" s="563" t="str">
        <f>VLOOKUP(A238,'[1]Raw data'!$B:$Z,9,FALSE)</f>
        <v>No</v>
      </c>
      <c r="V238" s="567" t="str">
        <f t="shared" si="39"/>
        <v>WRONG</v>
      </c>
      <c r="W238" s="563" t="str">
        <f>VLOOKUP(A238,'[1]Raw data'!$B:$AG,32,FALSE)</f>
        <v>CIF HK</v>
      </c>
      <c r="X238" s="563">
        <f>VLOOKUP(A238,'[1]Raw data'!$B:$BA,31,FALSE)</f>
        <v>43719</v>
      </c>
      <c r="Y238" s="563" t="str">
        <f>VLOOKUP(A238,'[1]Raw data'!$B:$AS,39,FALSE)</f>
        <v>Yes</v>
      </c>
      <c r="Z238" s="568"/>
      <c r="AA238" s="569"/>
      <c r="AB238" s="570"/>
      <c r="AC238" s="563" t="s">
        <v>680</v>
      </c>
      <c r="AD238" s="571">
        <v>302</v>
      </c>
      <c r="AE238" s="571">
        <v>10</v>
      </c>
      <c r="AF238" s="571">
        <v>312</v>
      </c>
      <c r="AG238" s="571">
        <v>10</v>
      </c>
      <c r="AN238" s="542"/>
      <c r="AO238" s="824" t="str">
        <f t="shared" si="31"/>
        <v>Yes</v>
      </c>
      <c r="AP238" s="259" t="str">
        <f t="shared" si="32"/>
        <v>OCT 19</v>
      </c>
      <c r="AQ238" s="542" t="str">
        <f t="shared" si="33"/>
        <v>有定金+有預留客戶</v>
      </c>
      <c r="AR238" s="259" t="str">
        <f t="shared" si="34"/>
        <v>Shipped_Stock</v>
      </c>
      <c r="AS238" s="259" t="str">
        <f t="shared" si="35"/>
        <v/>
      </c>
      <c r="AT238" s="259" t="str">
        <f t="shared" si="36"/>
        <v>富斯迈/end user:蓝普视讯</v>
      </c>
      <c r="AU238" s="259" t="str">
        <f t="shared" si="37"/>
        <v>C49SZX20190128DZ</v>
      </c>
      <c r="AV238" s="259" t="str">
        <f t="shared" si="38"/>
        <v>Jul-19</v>
      </c>
    </row>
    <row r="239" spans="1:48" ht="15" hidden="1" customHeight="1">
      <c r="A239" s="559">
        <v>357</v>
      </c>
      <c r="B239" s="563" t="s">
        <v>280</v>
      </c>
      <c r="C239" s="560" t="s">
        <v>281</v>
      </c>
      <c r="D239" s="599">
        <v>109623</v>
      </c>
      <c r="E239" s="563" t="s">
        <v>682</v>
      </c>
      <c r="F239" s="563" t="s">
        <v>339</v>
      </c>
      <c r="G239" s="563" t="s">
        <v>24</v>
      </c>
      <c r="H239" s="563" t="s">
        <v>26</v>
      </c>
      <c r="I239" s="564" t="s">
        <v>683</v>
      </c>
      <c r="J239" s="564">
        <v>1</v>
      </c>
      <c r="K239" s="563" t="s">
        <v>388</v>
      </c>
      <c r="L239" s="565">
        <v>43677</v>
      </c>
      <c r="M239" s="566">
        <v>6.4799999999999996E-2</v>
      </c>
      <c r="N239" s="563" t="s">
        <v>417</v>
      </c>
      <c r="O239" s="563">
        <v>2019.07</v>
      </c>
      <c r="P239" s="566" t="str">
        <f>VLOOKUP(A239,'[1]Raw data'!$B:$BB,23,FALSE)</f>
        <v>JPY</v>
      </c>
      <c r="Q239" s="563" t="str">
        <f>VLOOKUP(A239,'[1]Raw data'!$B:$Z,2,FALSE)</f>
        <v>C49SZX20190101KW</v>
      </c>
      <c r="R239" s="563" t="str">
        <f>VLOOKUP(A239,'[1]Raw data'!$B:$Z,3,FALSE)</f>
        <v>伟盛贸易(富洛）/晶科</v>
      </c>
      <c r="S239" s="563" t="str">
        <f>VLOOKUP(A239,'[1]Raw data'!$B:$Z,4,FALSE)</f>
        <v>SIGMA G5S2</v>
      </c>
      <c r="T239" s="563" t="str">
        <f>VLOOKUP(A239,'[1]Raw data'!$B:$Z,8,FALSE)</f>
        <v>L-&gt;R</v>
      </c>
      <c r="U239" s="563" t="str">
        <f>VLOOKUP(A239,'[1]Raw data'!$B:$Z,9,FALSE)</f>
        <v>No</v>
      </c>
      <c r="V239" s="567" t="str">
        <f t="shared" si="39"/>
        <v>OK</v>
      </c>
      <c r="W239" s="563" t="str">
        <f>VLOOKUP(A239,'[1]Raw data'!$B:$AG,32,FALSE)</f>
        <v>CIF HK</v>
      </c>
      <c r="X239" s="563">
        <f>VLOOKUP(A239,'[1]Raw data'!$B:$BA,31,FALSE)</f>
        <v>43633</v>
      </c>
      <c r="Y239" s="563" t="str">
        <f>VLOOKUP(A239,'[1]Raw data'!$B:$AS,39,FALSE)</f>
        <v>Yes</v>
      </c>
      <c r="Z239" s="568"/>
      <c r="AA239" s="569"/>
      <c r="AB239" s="570"/>
      <c r="AC239" s="563" t="s">
        <v>678</v>
      </c>
      <c r="AN239" s="542"/>
      <c r="AO239" s="824" t="str">
        <f t="shared" si="31"/>
        <v>Yes</v>
      </c>
      <c r="AP239" s="259" t="str">
        <f t="shared" si="32"/>
        <v>AUG 19</v>
      </c>
      <c r="AQ239" s="542" t="str">
        <f t="shared" si="33"/>
        <v>有定金+有預留客戶</v>
      </c>
      <c r="AR239" s="259" t="str">
        <f t="shared" si="34"/>
        <v>Shipped_Stock</v>
      </c>
      <c r="AS239" s="259" t="str">
        <f t="shared" si="35"/>
        <v/>
      </c>
      <c r="AT239" s="259" t="str">
        <f t="shared" si="36"/>
        <v>伟盛贸易(富洛）/晶科</v>
      </c>
      <c r="AU239" s="259" t="str">
        <f t="shared" si="37"/>
        <v>C49SZX20190101KW</v>
      </c>
      <c r="AV239" s="259" t="str">
        <f t="shared" si="38"/>
        <v>Jul-31</v>
      </c>
    </row>
    <row r="240" spans="1:48" ht="15" hidden="1" customHeight="1">
      <c r="A240" s="559">
        <v>358</v>
      </c>
      <c r="B240" s="563" t="s">
        <v>280</v>
      </c>
      <c r="C240" s="560" t="s">
        <v>281</v>
      </c>
      <c r="D240" s="599">
        <v>109623</v>
      </c>
      <c r="E240" s="563" t="s">
        <v>682</v>
      </c>
      <c r="F240" s="563" t="s">
        <v>153</v>
      </c>
      <c r="G240" s="563" t="s">
        <v>24</v>
      </c>
      <c r="H240" s="563" t="s">
        <v>26</v>
      </c>
      <c r="I240" s="564" t="s">
        <v>684</v>
      </c>
      <c r="J240" s="564">
        <v>1</v>
      </c>
      <c r="K240" s="563" t="s">
        <v>388</v>
      </c>
      <c r="L240" s="565">
        <v>43677</v>
      </c>
      <c r="M240" s="566">
        <v>6.4799999999999996E-2</v>
      </c>
      <c r="N240" s="563" t="s">
        <v>417</v>
      </c>
      <c r="O240" s="563">
        <v>2019.07</v>
      </c>
      <c r="P240" s="566" t="str">
        <f>VLOOKUP(A240,'[1]Raw data'!$B:$BB,23,FALSE)</f>
        <v>JPY</v>
      </c>
      <c r="Q240" s="563" t="str">
        <f>VLOOKUP(A240,'[1]Raw data'!$B:$Z,2,FALSE)</f>
        <v>C49SZX20190101KW</v>
      </c>
      <c r="R240" s="563" t="str">
        <f>VLOOKUP(A240,'[1]Raw data'!$B:$Z,3,FALSE)</f>
        <v>伟盛贸易(富洛）/晶科</v>
      </c>
      <c r="S240" s="563" t="str">
        <f>VLOOKUP(A240,'[1]Raw data'!$B:$Z,4,FALSE)</f>
        <v>SIGMA G5S2</v>
      </c>
      <c r="T240" s="563" t="str">
        <f>VLOOKUP(A240,'[1]Raw data'!$B:$Z,8,FALSE)</f>
        <v>L-&gt;R</v>
      </c>
      <c r="U240" s="563" t="str">
        <f>VLOOKUP(A240,'[1]Raw data'!$B:$Z,9,FALSE)</f>
        <v>No</v>
      </c>
      <c r="V240" s="567" t="str">
        <f t="shared" si="39"/>
        <v>OK</v>
      </c>
      <c r="W240" s="563" t="str">
        <f>VLOOKUP(A240,'[1]Raw data'!$B:$AG,32,FALSE)</f>
        <v>CIF HK</v>
      </c>
      <c r="X240" s="563">
        <f>VLOOKUP(A240,'[1]Raw data'!$B:$BA,31,FALSE)</f>
        <v>43633</v>
      </c>
      <c r="Y240" s="563" t="str">
        <f>VLOOKUP(A240,'[1]Raw data'!$B:$AS,39,FALSE)</f>
        <v>Yes</v>
      </c>
      <c r="Z240" s="568"/>
      <c r="AA240" s="569"/>
      <c r="AB240" s="570"/>
      <c r="AC240" s="563" t="s">
        <v>678</v>
      </c>
      <c r="AN240" s="542"/>
      <c r="AO240" s="824" t="str">
        <f t="shared" si="31"/>
        <v>Yes</v>
      </c>
      <c r="AP240" s="259" t="str">
        <f t="shared" si="32"/>
        <v>AUG 19</v>
      </c>
      <c r="AQ240" s="542" t="str">
        <f t="shared" si="33"/>
        <v>有定金+有預留客戶</v>
      </c>
      <c r="AR240" s="259" t="str">
        <f t="shared" si="34"/>
        <v>Shipped_Stock</v>
      </c>
      <c r="AS240" s="259" t="str">
        <f t="shared" si="35"/>
        <v/>
      </c>
      <c r="AT240" s="259" t="str">
        <f t="shared" si="36"/>
        <v>伟盛贸易(富洛）/晶科</v>
      </c>
      <c r="AU240" s="259" t="str">
        <f t="shared" si="37"/>
        <v>C49SZX20190101KW</v>
      </c>
      <c r="AV240" s="259" t="str">
        <f t="shared" si="38"/>
        <v>Jul-31</v>
      </c>
    </row>
    <row r="241" spans="1:48" ht="15" hidden="1" customHeight="1">
      <c r="A241" s="559">
        <v>387</v>
      </c>
      <c r="B241" s="563" t="s">
        <v>280</v>
      </c>
      <c r="C241" s="560" t="s">
        <v>281</v>
      </c>
      <c r="D241" s="599">
        <v>109587</v>
      </c>
      <c r="E241" s="563" t="s">
        <v>644</v>
      </c>
      <c r="F241" s="563" t="s">
        <v>17</v>
      </c>
      <c r="G241" s="563" t="s">
        <v>18</v>
      </c>
      <c r="H241" s="563" t="s">
        <v>26</v>
      </c>
      <c r="I241" s="564" t="s">
        <v>685</v>
      </c>
      <c r="J241" s="564">
        <v>1</v>
      </c>
      <c r="K241" s="563" t="s">
        <v>661</v>
      </c>
      <c r="L241" s="565">
        <v>43686</v>
      </c>
      <c r="M241" s="566">
        <v>6.4799999999999996E-2</v>
      </c>
      <c r="N241" s="563" t="s">
        <v>320</v>
      </c>
      <c r="O241" s="563">
        <v>2019.07</v>
      </c>
      <c r="P241" s="566" t="str">
        <f>VLOOKUP(A241,'[1]Raw data'!$B:$BB,23,FALSE)</f>
        <v>RMB</v>
      </c>
      <c r="Q241" s="563" t="str">
        <f>VLOOKUP(A241,'[1]Raw data'!$B:$Z,2,FALSE)</f>
        <v>C49SZX20190118R1SS</v>
      </c>
      <c r="R241" s="563" t="str">
        <f>VLOOKUP(A241,'[1]Raw data'!$B:$Z,3,FALSE)</f>
        <v>鼎鸿</v>
      </c>
      <c r="S241" s="563" t="str">
        <f>VLOOKUP(A241,'[1]Raw data'!$B:$Z,4,FALSE)</f>
        <v>YSM10</v>
      </c>
      <c r="T241" s="563" t="str">
        <f>VLOOKUP(A241,'[1]Raw data'!$B:$Z,8,FALSE)</f>
        <v>L-&gt;R</v>
      </c>
      <c r="U241" s="563" t="str">
        <f>VLOOKUP(A241,'[1]Raw data'!$B:$Z,9,FALSE)</f>
        <v>MVC</v>
      </c>
      <c r="V241" s="567" t="str">
        <f t="shared" si="39"/>
        <v>WRONG</v>
      </c>
      <c r="W241" s="563" t="str">
        <f>VLOOKUP(A241,'[1]Raw data'!$B:$AG,32,FALSE)</f>
        <v>含税到厂</v>
      </c>
      <c r="X241" s="563">
        <f>VLOOKUP(A241,'[1]Raw data'!$B:$BA,31,FALSE)</f>
        <v>43691</v>
      </c>
      <c r="Y241" s="563" t="str">
        <f>VLOOKUP(A241,'[1]Raw data'!$B:$AS,39,FALSE)</f>
        <v>Yes</v>
      </c>
      <c r="Z241" s="568" t="s">
        <v>329</v>
      </c>
      <c r="AA241" s="569" t="s">
        <v>329</v>
      </c>
      <c r="AB241" s="570"/>
      <c r="AC241" s="563" t="s">
        <v>686</v>
      </c>
      <c r="AD241" s="571">
        <v>301</v>
      </c>
      <c r="AE241" s="571">
        <v>10</v>
      </c>
      <c r="AN241" s="542"/>
      <c r="AO241" s="824" t="str">
        <f t="shared" si="31"/>
        <v>Yes</v>
      </c>
      <c r="AP241" s="259" t="str">
        <f t="shared" si="32"/>
        <v>SEP 19</v>
      </c>
      <c r="AQ241" s="542" t="str">
        <f t="shared" si="33"/>
        <v>有定金+有預留客戶</v>
      </c>
      <c r="AR241" s="259" t="str">
        <f t="shared" si="34"/>
        <v>Shipped_Stock</v>
      </c>
      <c r="AS241" s="259" t="str">
        <f t="shared" si="35"/>
        <v/>
      </c>
      <c r="AT241" s="259" t="str">
        <f t="shared" si="36"/>
        <v>鼎鸿</v>
      </c>
      <c r="AU241" s="259" t="str">
        <f t="shared" si="37"/>
        <v>C49SZX20190118R1SS</v>
      </c>
      <c r="AV241" s="259" t="str">
        <f t="shared" si="38"/>
        <v>Aug-09</v>
      </c>
    </row>
    <row r="242" spans="1:48" ht="15" hidden="1" customHeight="1">
      <c r="A242" s="559">
        <v>420</v>
      </c>
      <c r="B242" s="563" t="s">
        <v>280</v>
      </c>
      <c r="C242" s="560" t="s">
        <v>281</v>
      </c>
      <c r="D242" s="599">
        <v>109587</v>
      </c>
      <c r="E242" s="563" t="s">
        <v>644</v>
      </c>
      <c r="F242" s="563" t="s">
        <v>17</v>
      </c>
      <c r="G242" s="563" t="s">
        <v>18</v>
      </c>
      <c r="H242" s="563" t="s">
        <v>34</v>
      </c>
      <c r="I242" s="564" t="s">
        <v>687</v>
      </c>
      <c r="J242" s="564">
        <v>1</v>
      </c>
      <c r="K242" s="563" t="s">
        <v>295</v>
      </c>
      <c r="L242" s="565">
        <v>43686</v>
      </c>
      <c r="M242" s="566">
        <v>6.4799999999999996E-2</v>
      </c>
      <c r="N242" s="563" t="s">
        <v>320</v>
      </c>
      <c r="O242" s="563">
        <v>2019.07</v>
      </c>
      <c r="P242" s="566" t="str">
        <f>VLOOKUP(A242,'[1]Raw data'!$B:$BB,23,FALSE)</f>
        <v>RMB</v>
      </c>
      <c r="Q242" s="563" t="str">
        <f>VLOOKUP(A242,'[1]Raw data'!$B:$Z,2,FALSE)</f>
        <v>C49SZX20190129DZ</v>
      </c>
      <c r="R242" s="563" t="str">
        <f>VLOOKUP(A242,'[1]Raw data'!$B:$Z,3,FALSE)</f>
        <v>博星</v>
      </c>
      <c r="S242" s="563" t="str">
        <f>VLOOKUP(A242,'[1]Raw data'!$B:$Z,4,FALSE)</f>
        <v>YSM10</v>
      </c>
      <c r="T242" s="563" t="str">
        <f>VLOOKUP(A242,'[1]Raw data'!$B:$Z,8,FALSE)</f>
        <v>L-&gt;R</v>
      </c>
      <c r="U242" s="563" t="str">
        <f>VLOOKUP(A242,'[1]Raw data'!$B:$Z,9,FALSE)</f>
        <v>MVC+ATS15</v>
      </c>
      <c r="V242" s="567" t="str">
        <f t="shared" si="39"/>
        <v>WRONG</v>
      </c>
      <c r="W242" s="563" t="str">
        <f>VLOOKUP(A242,'[1]Raw data'!$B:$AG,32,FALSE)</f>
        <v>含税到厂</v>
      </c>
      <c r="X242" s="563">
        <f>VLOOKUP(A242,'[1]Raw data'!$B:$BA,31,FALSE)</f>
        <v>43708</v>
      </c>
      <c r="Y242" s="563" t="str">
        <f>VLOOKUP(A242,'[1]Raw data'!$B:$AS,39,FALSE)</f>
        <v>Yes</v>
      </c>
      <c r="Z242" s="568"/>
      <c r="AA242" s="569"/>
      <c r="AB242" s="570"/>
      <c r="AC242" s="563" t="s">
        <v>606</v>
      </c>
      <c r="AD242" s="571">
        <v>302</v>
      </c>
      <c r="AE242" s="571">
        <v>10</v>
      </c>
      <c r="AN242" s="542"/>
      <c r="AO242" s="824" t="str">
        <f t="shared" si="31"/>
        <v>Yes</v>
      </c>
      <c r="AP242" s="259" t="str">
        <f t="shared" si="32"/>
        <v>SEP 19</v>
      </c>
      <c r="AQ242" s="542" t="str">
        <f t="shared" si="33"/>
        <v>有定金+有預留客戶</v>
      </c>
      <c r="AR242" s="259" t="str">
        <f t="shared" si="34"/>
        <v>Shipped_Stock</v>
      </c>
      <c r="AS242" s="259" t="str">
        <f t="shared" si="35"/>
        <v/>
      </c>
      <c r="AT242" s="259" t="str">
        <f t="shared" si="36"/>
        <v>博星</v>
      </c>
      <c r="AU242" s="259" t="str">
        <f t="shared" si="37"/>
        <v>C49SZX20190129DZ</v>
      </c>
      <c r="AV242" s="259" t="str">
        <f t="shared" si="38"/>
        <v>Aug-09</v>
      </c>
    </row>
    <row r="243" spans="1:48" ht="15" hidden="1" customHeight="1">
      <c r="A243" s="559">
        <v>421</v>
      </c>
      <c r="B243" s="563" t="s">
        <v>280</v>
      </c>
      <c r="C243" s="560" t="s">
        <v>281</v>
      </c>
      <c r="D243" s="599">
        <v>109587</v>
      </c>
      <c r="E243" s="563" t="s">
        <v>644</v>
      </c>
      <c r="F243" s="563" t="s">
        <v>17</v>
      </c>
      <c r="G243" s="563" t="s">
        <v>18</v>
      </c>
      <c r="H243" s="563" t="s">
        <v>34</v>
      </c>
      <c r="I243" s="564" t="s">
        <v>688</v>
      </c>
      <c r="J243" s="564">
        <v>1</v>
      </c>
      <c r="K243" s="563" t="s">
        <v>295</v>
      </c>
      <c r="L243" s="565">
        <v>43686</v>
      </c>
      <c r="M243" s="566">
        <v>6.4799999999999996E-2</v>
      </c>
      <c r="N243" s="563" t="s">
        <v>504</v>
      </c>
      <c r="O243" s="563">
        <v>2019.07</v>
      </c>
      <c r="P243" s="566" t="str">
        <f>VLOOKUP(A243,'[1]Raw data'!$B:$BB,23,FALSE)</f>
        <v>RMB</v>
      </c>
      <c r="Q243" s="563" t="str">
        <f>VLOOKUP(A243,'[1]Raw data'!$B:$Z,2,FALSE)</f>
        <v>C49SZX20190129DZ</v>
      </c>
      <c r="R243" s="563" t="str">
        <f>VLOOKUP(A243,'[1]Raw data'!$B:$Z,3,FALSE)</f>
        <v>博星</v>
      </c>
      <c r="S243" s="563" t="str">
        <f>VLOOKUP(A243,'[1]Raw data'!$B:$Z,4,FALSE)</f>
        <v>YSM10</v>
      </c>
      <c r="T243" s="563" t="str">
        <f>VLOOKUP(A243,'[1]Raw data'!$B:$Z,8,FALSE)</f>
        <v>R-&gt;L</v>
      </c>
      <c r="U243" s="563" t="str">
        <f>VLOOKUP(A243,'[1]Raw data'!$B:$Z,9,FALSE)</f>
        <v>MVC+ATS15</v>
      </c>
      <c r="V243" s="567" t="str">
        <f t="shared" si="39"/>
        <v>OK</v>
      </c>
      <c r="W243" s="563" t="str">
        <f>VLOOKUP(A243,'[1]Raw data'!$B:$AG,32,FALSE)</f>
        <v>含税到厂</v>
      </c>
      <c r="X243" s="563">
        <f>VLOOKUP(A243,'[1]Raw data'!$B:$BA,31,FALSE)</f>
        <v>43708</v>
      </c>
      <c r="Y243" s="563" t="str">
        <f>VLOOKUP(A243,'[1]Raw data'!$B:$AS,39,FALSE)</f>
        <v>Yes</v>
      </c>
      <c r="Z243" s="568"/>
      <c r="AA243" s="569"/>
      <c r="AB243" s="570"/>
      <c r="AC243" s="563" t="s">
        <v>606</v>
      </c>
      <c r="AD243" s="571">
        <v>302</v>
      </c>
      <c r="AE243" s="571">
        <v>10</v>
      </c>
      <c r="AN243" s="542"/>
      <c r="AO243" s="824" t="str">
        <f t="shared" si="31"/>
        <v>Yes</v>
      </c>
      <c r="AP243" s="259" t="str">
        <f t="shared" si="32"/>
        <v>NOV 19</v>
      </c>
      <c r="AQ243" s="542" t="str">
        <f t="shared" si="33"/>
        <v>有定金+有預留客戶</v>
      </c>
      <c r="AR243" s="259" t="str">
        <f t="shared" si="34"/>
        <v>Shipped_Stock</v>
      </c>
      <c r="AS243" s="259" t="str">
        <f t="shared" si="35"/>
        <v/>
      </c>
      <c r="AT243" s="259" t="str">
        <f t="shared" si="36"/>
        <v>博星</v>
      </c>
      <c r="AU243" s="259" t="str">
        <f t="shared" si="37"/>
        <v>C49SZX20190129DZ</v>
      </c>
      <c r="AV243" s="259" t="str">
        <f t="shared" si="38"/>
        <v>Aug-09</v>
      </c>
    </row>
    <row r="244" spans="1:48" ht="15" hidden="1" customHeight="1">
      <c r="A244" s="559">
        <v>408</v>
      </c>
      <c r="B244" s="563" t="s">
        <v>280</v>
      </c>
      <c r="C244" s="560" t="s">
        <v>281</v>
      </c>
      <c r="D244" s="599">
        <v>109587</v>
      </c>
      <c r="E244" s="563" t="s">
        <v>644</v>
      </c>
      <c r="F244" s="563" t="s">
        <v>17</v>
      </c>
      <c r="G244" s="563" t="s">
        <v>18</v>
      </c>
      <c r="H244" s="563" t="s">
        <v>26</v>
      </c>
      <c r="I244" s="564" t="s">
        <v>689</v>
      </c>
      <c r="J244" s="564">
        <v>1</v>
      </c>
      <c r="K244" s="563" t="s">
        <v>295</v>
      </c>
      <c r="L244" s="565">
        <v>43686</v>
      </c>
      <c r="M244" s="566">
        <v>6.4799999999999996E-2</v>
      </c>
      <c r="N244" s="563" t="s">
        <v>320</v>
      </c>
      <c r="O244" s="563">
        <v>2019.07</v>
      </c>
      <c r="P244" s="566" t="str">
        <f>VLOOKUP(A244,'[1]Raw data'!$B:$BB,23,FALSE)</f>
        <v>RMB</v>
      </c>
      <c r="Q244" s="563" t="str">
        <f>VLOOKUP(A244,'[1]Raw data'!$B:$Z,2,FALSE)</f>
        <v>C49SZX20190127JY</v>
      </c>
      <c r="R244" s="563" t="str">
        <f>VLOOKUP(A244,'[1]Raw data'!$B:$Z,3,FALSE)</f>
        <v>海松微</v>
      </c>
      <c r="S244" s="563" t="str">
        <f>VLOOKUP(A244,'[1]Raw data'!$B:$Z,4,FALSE)</f>
        <v>YSM10</v>
      </c>
      <c r="T244" s="563" t="str">
        <f>VLOOKUP(A244,'[1]Raw data'!$B:$Z,8,FALSE)</f>
        <v>L-&gt;R</v>
      </c>
      <c r="U244" s="563" t="str">
        <f>VLOOKUP(A244,'[1]Raw data'!$B:$Z,9,FALSE)</f>
        <v>MVC</v>
      </c>
      <c r="V244" s="567" t="str">
        <f t="shared" si="39"/>
        <v>WRONG</v>
      </c>
      <c r="W244" s="563" t="str">
        <f>VLOOKUP(A244,'[1]Raw data'!$B:$AG,32,FALSE)</f>
        <v>含税到厂</v>
      </c>
      <c r="X244" s="563">
        <f>VLOOKUP(A244,'[1]Raw data'!$B:$BA,31,FALSE)</f>
        <v>43698</v>
      </c>
      <c r="Y244" s="563" t="str">
        <f>VLOOKUP(A244,'[1]Raw data'!$B:$AS,39,FALSE)</f>
        <v>Yes</v>
      </c>
      <c r="Z244" s="568"/>
      <c r="AA244" s="569"/>
      <c r="AB244" s="570"/>
      <c r="AC244" s="563" t="s">
        <v>662</v>
      </c>
      <c r="AD244" s="571">
        <v>301</v>
      </c>
      <c r="AE244" s="571">
        <v>10</v>
      </c>
      <c r="AN244" s="542"/>
      <c r="AO244" s="824" t="str">
        <f t="shared" si="31"/>
        <v>Yes</v>
      </c>
      <c r="AP244" s="259" t="str">
        <f t="shared" si="32"/>
        <v>SEP 19</v>
      </c>
      <c r="AQ244" s="542" t="str">
        <f t="shared" si="33"/>
        <v>有定金+有預留客戶</v>
      </c>
      <c r="AR244" s="259" t="str">
        <f t="shared" si="34"/>
        <v>Shipped_Stock</v>
      </c>
      <c r="AS244" s="259" t="str">
        <f t="shared" si="35"/>
        <v/>
      </c>
      <c r="AT244" s="259" t="str">
        <f t="shared" si="36"/>
        <v>海松微</v>
      </c>
      <c r="AU244" s="259" t="str">
        <f t="shared" si="37"/>
        <v>C49SZX20190127JY</v>
      </c>
      <c r="AV244" s="259" t="str">
        <f t="shared" si="38"/>
        <v>Aug-09</v>
      </c>
    </row>
    <row r="245" spans="1:48" ht="15" hidden="1" customHeight="1">
      <c r="A245" s="559">
        <v>398</v>
      </c>
      <c r="B245" s="560" t="s">
        <v>280</v>
      </c>
      <c r="C245" s="560" t="s">
        <v>281</v>
      </c>
      <c r="D245" s="600">
        <v>109588</v>
      </c>
      <c r="E245" s="563" t="s">
        <v>644</v>
      </c>
      <c r="F245" s="563" t="s">
        <v>17</v>
      </c>
      <c r="G245" s="563" t="s">
        <v>18</v>
      </c>
      <c r="H245" s="563" t="s">
        <v>26</v>
      </c>
      <c r="I245" s="564" t="s">
        <v>690</v>
      </c>
      <c r="J245" s="564">
        <v>1</v>
      </c>
      <c r="K245" s="563" t="s">
        <v>295</v>
      </c>
      <c r="L245" s="565">
        <v>43686</v>
      </c>
      <c r="M245" s="566">
        <v>6.4799999999999996E-2</v>
      </c>
      <c r="N245" s="563" t="s">
        <v>320</v>
      </c>
      <c r="O245" s="563">
        <v>2019.07</v>
      </c>
      <c r="P245" s="566" t="str">
        <f>VLOOKUP(A245,'[1]Raw data'!$B:$BB,23,FALSE)</f>
        <v>RMB</v>
      </c>
      <c r="Q245" s="563" t="str">
        <f>VLOOKUP(A245,'[1]Raw data'!$B:$Z,2,FALSE)</f>
        <v>C49SZX20190119SX</v>
      </c>
      <c r="R245" s="563" t="str">
        <f>VLOOKUP(A245,'[1]Raw data'!$B:$Z,3,FALSE)</f>
        <v>太美亚</v>
      </c>
      <c r="S245" s="563" t="str">
        <f>VLOOKUP(A245,'[1]Raw data'!$B:$Z,4,FALSE)</f>
        <v>YSM10</v>
      </c>
      <c r="T245" s="563" t="str">
        <f>VLOOKUP(A245,'[1]Raw data'!$B:$Z,8,FALSE)</f>
        <v>R-&gt;L</v>
      </c>
      <c r="U245" s="563" t="str">
        <f>VLOOKUP(A245,'[1]Raw data'!$B:$Z,9,FALSE)</f>
        <v>MVC</v>
      </c>
      <c r="V245" s="567" t="str">
        <f t="shared" si="39"/>
        <v>WRONG</v>
      </c>
      <c r="W245" s="563" t="str">
        <f>VLOOKUP(A245,'[1]Raw data'!$B:$AG,32,FALSE)</f>
        <v>含税到厂</v>
      </c>
      <c r="X245" s="563">
        <f>VLOOKUP(A245,'[1]Raw data'!$B:$BA,31,FALSE)</f>
        <v>43693</v>
      </c>
      <c r="Y245" s="563" t="str">
        <f>VLOOKUP(A245,'[1]Raw data'!$B:$AS,39,FALSE)</f>
        <v>Yes</v>
      </c>
      <c r="Z245" s="568" t="s">
        <v>329</v>
      </c>
      <c r="AA245" s="569" t="s">
        <v>329</v>
      </c>
      <c r="AB245" s="570"/>
      <c r="AC245" s="563" t="s">
        <v>476</v>
      </c>
      <c r="AD245" s="571">
        <v>301</v>
      </c>
      <c r="AE245" s="571">
        <v>10</v>
      </c>
      <c r="AN245" s="542"/>
      <c r="AO245" s="824" t="str">
        <f t="shared" si="31"/>
        <v>Yes</v>
      </c>
      <c r="AP245" s="259" t="str">
        <f t="shared" si="32"/>
        <v>SEP 19</v>
      </c>
      <c r="AQ245" s="542" t="str">
        <f t="shared" si="33"/>
        <v>有定金+有預留客戶</v>
      </c>
      <c r="AR245" s="259" t="str">
        <f t="shared" si="34"/>
        <v>Shipped_Stock</v>
      </c>
      <c r="AS245" s="259" t="str">
        <f t="shared" si="35"/>
        <v/>
      </c>
      <c r="AT245" s="259" t="str">
        <f t="shared" si="36"/>
        <v>太美亚</v>
      </c>
      <c r="AU245" s="259" t="str">
        <f t="shared" si="37"/>
        <v>C49SZX20190119SX</v>
      </c>
      <c r="AV245" s="259" t="str">
        <f t="shared" si="38"/>
        <v>Aug-09</v>
      </c>
    </row>
    <row r="246" spans="1:48" ht="15" hidden="1" customHeight="1">
      <c r="A246" s="559">
        <v>433</v>
      </c>
      <c r="B246" s="563" t="s">
        <v>280</v>
      </c>
      <c r="C246" s="560" t="s">
        <v>281</v>
      </c>
      <c r="D246" s="600">
        <v>109588</v>
      </c>
      <c r="E246" s="563" t="s">
        <v>644</v>
      </c>
      <c r="F246" s="563" t="s">
        <v>17</v>
      </c>
      <c r="G246" s="563" t="s">
        <v>18</v>
      </c>
      <c r="H246" s="563" t="s">
        <v>26</v>
      </c>
      <c r="I246" s="564" t="s">
        <v>691</v>
      </c>
      <c r="J246" s="564">
        <v>1</v>
      </c>
      <c r="K246" s="563" t="s">
        <v>437</v>
      </c>
      <c r="L246" s="565">
        <v>43686</v>
      </c>
      <c r="M246" s="566">
        <v>6.4799999999999996E-2</v>
      </c>
      <c r="N246" s="563" t="s">
        <v>475</v>
      </c>
      <c r="O246" s="563">
        <v>2019.07</v>
      </c>
      <c r="P246" s="566" t="str">
        <f>VLOOKUP(A246,'[1]Raw data'!$B:$BB,23,FALSE)</f>
        <v>RMB</v>
      </c>
      <c r="Q246" s="563" t="str">
        <f>VLOOKUP(A246,'[1]Raw data'!$B:$Z,2,FALSE)</f>
        <v>C49SZX20190133MX</v>
      </c>
      <c r="R246" s="563" t="str">
        <f>VLOOKUP(A246,'[1]Raw data'!$B:$Z,3,FALSE)</f>
        <v>海川伟业</v>
      </c>
      <c r="S246" s="563" t="str">
        <f>VLOOKUP(A246,'[1]Raw data'!$B:$Z,4,FALSE)</f>
        <v>YSM10</v>
      </c>
      <c r="T246" s="563" t="str">
        <f>VLOOKUP(A246,'[1]Raw data'!$B:$Z,8,FALSE)</f>
        <v>L-&gt;R</v>
      </c>
      <c r="U246" s="563" t="str">
        <f>VLOOKUP(A246,'[1]Raw data'!$B:$Z,9,FALSE)</f>
        <v>MVC</v>
      </c>
      <c r="V246" s="567" t="str">
        <f t="shared" si="39"/>
        <v>WRONG</v>
      </c>
      <c r="W246" s="563" t="str">
        <f>VLOOKUP(A246,'[1]Raw data'!$B:$AG,32,FALSE)</f>
        <v>含税到厂</v>
      </c>
      <c r="X246" s="563">
        <f>VLOOKUP(A246,'[1]Raw data'!$B:$BA,31,FALSE)</f>
        <v>43731</v>
      </c>
      <c r="Y246" s="563" t="str">
        <f>VLOOKUP(A246,'[1]Raw data'!$B:$AS,39,FALSE)</f>
        <v>Yes</v>
      </c>
      <c r="Z246" s="568"/>
      <c r="AA246" s="569"/>
      <c r="AB246" s="570"/>
      <c r="AC246" s="563" t="s">
        <v>692</v>
      </c>
      <c r="AD246" s="571">
        <v>301</v>
      </c>
      <c r="AE246" s="571">
        <v>10</v>
      </c>
      <c r="AN246" s="542"/>
      <c r="AO246" s="824" t="str">
        <f t="shared" si="31"/>
        <v>Yes</v>
      </c>
      <c r="AP246" s="259" t="str">
        <f t="shared" si="32"/>
        <v>OCT 19</v>
      </c>
      <c r="AQ246" s="542" t="str">
        <f t="shared" si="33"/>
        <v>有定金+有預留客戶</v>
      </c>
      <c r="AR246" s="259" t="str">
        <f t="shared" si="34"/>
        <v>Shipped_Stock</v>
      </c>
      <c r="AS246" s="259" t="str">
        <f t="shared" si="35"/>
        <v/>
      </c>
      <c r="AT246" s="259" t="str">
        <f t="shared" si="36"/>
        <v>海川伟业</v>
      </c>
      <c r="AU246" s="259" t="str">
        <f t="shared" si="37"/>
        <v>C49SZX20190133MX</v>
      </c>
      <c r="AV246" s="259" t="str">
        <f t="shared" si="38"/>
        <v>Aug-09</v>
      </c>
    </row>
    <row r="247" spans="1:48" ht="15" hidden="1" customHeight="1">
      <c r="A247" s="559">
        <v>312</v>
      </c>
      <c r="B247" s="563" t="s">
        <v>280</v>
      </c>
      <c r="C247" s="560" t="s">
        <v>281</v>
      </c>
      <c r="D247" s="599">
        <v>109588</v>
      </c>
      <c r="E247" s="563" t="s">
        <v>644</v>
      </c>
      <c r="F247" s="563" t="s">
        <v>17</v>
      </c>
      <c r="G247" s="563" t="s">
        <v>18</v>
      </c>
      <c r="H247" s="563" t="s">
        <v>26</v>
      </c>
      <c r="I247" s="564" t="s">
        <v>693</v>
      </c>
      <c r="J247" s="564">
        <v>1</v>
      </c>
      <c r="K247" s="563" t="s">
        <v>437</v>
      </c>
      <c r="L247" s="565">
        <v>43686</v>
      </c>
      <c r="M247" s="566">
        <v>6.4799999999999996E-2</v>
      </c>
      <c r="N247" s="563" t="s">
        <v>475</v>
      </c>
      <c r="O247" s="563">
        <v>2019.07</v>
      </c>
      <c r="P247" s="566" t="str">
        <f>VLOOKUP(A247,'[1]Raw data'!$B:$BB,23,FALSE)</f>
        <v>RMB</v>
      </c>
      <c r="Q247" s="563" t="str">
        <f>VLOOKUP(A247,'[1]Raw data'!$B:$Z,2,FALSE)</f>
        <v>C49SZX20190076SS</v>
      </c>
      <c r="R247" s="563" t="str">
        <f>VLOOKUP(A247,'[1]Raw data'!$B:$Z,3,FALSE)</f>
        <v>嘉兴</v>
      </c>
      <c r="S247" s="563" t="str">
        <f>VLOOKUP(A247,'[1]Raw data'!$B:$Z,4,FALSE)</f>
        <v>YSM10</v>
      </c>
      <c r="T247" s="563" t="str">
        <f>VLOOKUP(A247,'[1]Raw data'!$B:$Z,8,FALSE)</f>
        <v>L-&gt;R</v>
      </c>
      <c r="U247" s="563" t="str">
        <f>VLOOKUP(A247,'[1]Raw data'!$B:$Z,9,FALSE)</f>
        <v>MVC</v>
      </c>
      <c r="V247" s="567" t="str">
        <f t="shared" si="39"/>
        <v>WRONG</v>
      </c>
      <c r="W247" s="563" t="str">
        <f>VLOOKUP(A247,'[1]Raw data'!$B:$AG,32,FALSE)</f>
        <v>含税到厂</v>
      </c>
      <c r="X247" s="563">
        <f>VLOOKUP(A247,'[1]Raw data'!$B:$BA,31,FALSE)</f>
        <v>43600</v>
      </c>
      <c r="Y247" s="563" t="str">
        <f>VLOOKUP(A247,'[1]Raw data'!$B:$AS,39,FALSE)</f>
        <v>Yes</v>
      </c>
      <c r="Z247" s="568"/>
      <c r="AA247" s="569"/>
      <c r="AB247" s="570"/>
      <c r="AC247" s="563" t="s">
        <v>665</v>
      </c>
      <c r="AD247" s="571">
        <v>301</v>
      </c>
      <c r="AE247" s="571">
        <v>10</v>
      </c>
      <c r="AN247" s="542"/>
      <c r="AO247" s="824" t="str">
        <f t="shared" si="31"/>
        <v>Yes</v>
      </c>
      <c r="AP247" s="259" t="str">
        <f t="shared" si="32"/>
        <v>OCT 19</v>
      </c>
      <c r="AQ247" s="542" t="str">
        <f t="shared" si="33"/>
        <v>有定金+有預留客戶</v>
      </c>
      <c r="AR247" s="259" t="str">
        <f t="shared" si="34"/>
        <v>Shipped_Stock</v>
      </c>
      <c r="AS247" s="259" t="str">
        <f t="shared" si="35"/>
        <v/>
      </c>
      <c r="AT247" s="259" t="str">
        <f t="shared" si="36"/>
        <v>嘉兴</v>
      </c>
      <c r="AU247" s="259" t="str">
        <f t="shared" si="37"/>
        <v>C49SZX20190076SS</v>
      </c>
      <c r="AV247" s="259" t="str">
        <f t="shared" si="38"/>
        <v>Aug-09</v>
      </c>
    </row>
    <row r="248" spans="1:48" ht="15" hidden="1" customHeight="1">
      <c r="A248" s="559">
        <v>353</v>
      </c>
      <c r="B248" s="563" t="s">
        <v>280</v>
      </c>
      <c r="C248" s="560" t="s">
        <v>281</v>
      </c>
      <c r="D248" s="599">
        <v>109588</v>
      </c>
      <c r="E248" s="563" t="s">
        <v>644</v>
      </c>
      <c r="F248" s="563" t="s">
        <v>17</v>
      </c>
      <c r="G248" s="563" t="s">
        <v>18</v>
      </c>
      <c r="H248" s="563" t="s">
        <v>77</v>
      </c>
      <c r="I248" s="564" t="s">
        <v>694</v>
      </c>
      <c r="J248" s="564">
        <v>1</v>
      </c>
      <c r="K248" s="563" t="s">
        <v>437</v>
      </c>
      <c r="L248" s="565">
        <v>43686</v>
      </c>
      <c r="M248" s="566">
        <v>6.4799999999999996E-2</v>
      </c>
      <c r="N248" s="563" t="s">
        <v>475</v>
      </c>
      <c r="O248" s="563">
        <v>2019.07</v>
      </c>
      <c r="P248" s="566" t="str">
        <f>VLOOKUP(A248,'[1]Raw data'!$B:$BB,23,FALSE)</f>
        <v>JPY</v>
      </c>
      <c r="Q248" s="563" t="str">
        <f>VLOOKUP(A248,'[1]Raw data'!$B:$Z,2,FALSE)</f>
        <v>C49SZX20190150JY</v>
      </c>
      <c r="R248" s="563" t="str">
        <f>VLOOKUP(A248,'[1]Raw data'!$B:$Z,3,FALSE)</f>
        <v>尖端电子 end user海凌科达</v>
      </c>
      <c r="S248" s="563" t="str">
        <f>VLOOKUP(A248,'[1]Raw data'!$B:$Z,4,FALSE)</f>
        <v>YSM10</v>
      </c>
      <c r="T248" s="563" t="str">
        <f>VLOOKUP(A248,'[1]Raw data'!$B:$Z,8,FALSE)</f>
        <v>L-&gt;R</v>
      </c>
      <c r="U248" s="563" t="str">
        <f>VLOOKUP(A248,'[1]Raw data'!$B:$Z,9,FALSE)</f>
        <v>MVC+Rear 站位</v>
      </c>
      <c r="V248" s="567" t="str">
        <f t="shared" si="39"/>
        <v>WRONG</v>
      </c>
      <c r="W248" s="563" t="str">
        <f>VLOOKUP(A248,'[1]Raw data'!$B:$AG,32,FALSE)</f>
        <v>CIF HK</v>
      </c>
      <c r="X248" s="563">
        <f>VLOOKUP(A248,'[1]Raw data'!$B:$BA,31,FALSE)</f>
        <v>43760</v>
      </c>
      <c r="Y248" s="563" t="str">
        <f>VLOOKUP(A248,'[1]Raw data'!$B:$AS,39,FALSE)</f>
        <v>Yes</v>
      </c>
      <c r="Z248" s="568"/>
      <c r="AA248" s="569"/>
      <c r="AB248" s="570"/>
      <c r="AC248" s="563" t="s">
        <v>695</v>
      </c>
      <c r="AD248" s="571">
        <v>302</v>
      </c>
      <c r="AE248" s="571">
        <v>10</v>
      </c>
      <c r="AN248" s="542"/>
      <c r="AO248" s="824" t="str">
        <f t="shared" si="31"/>
        <v>Yes</v>
      </c>
      <c r="AP248" s="259" t="str">
        <f t="shared" si="32"/>
        <v>OCT 19</v>
      </c>
      <c r="AQ248" s="542" t="str">
        <f t="shared" si="33"/>
        <v>有定金+有預留客戶</v>
      </c>
      <c r="AR248" s="259" t="str">
        <f t="shared" si="34"/>
        <v>Shipped_Stock</v>
      </c>
      <c r="AS248" s="259" t="str">
        <f t="shared" si="35"/>
        <v/>
      </c>
      <c r="AT248" s="259" t="str">
        <f t="shared" si="36"/>
        <v>尖端电子 end user海凌科达</v>
      </c>
      <c r="AU248" s="259" t="str">
        <f t="shared" si="37"/>
        <v>C49SZX20190150JY</v>
      </c>
      <c r="AV248" s="259" t="str">
        <f t="shared" si="38"/>
        <v>Aug-09</v>
      </c>
    </row>
    <row r="249" spans="1:48" ht="15.75" hidden="1" customHeight="1">
      <c r="A249" s="559">
        <v>392</v>
      </c>
      <c r="B249" s="563" t="s">
        <v>280</v>
      </c>
      <c r="C249" s="560" t="s">
        <v>281</v>
      </c>
      <c r="D249" s="599">
        <v>109587</v>
      </c>
      <c r="E249" s="563" t="s">
        <v>644</v>
      </c>
      <c r="F249" s="563" t="s">
        <v>17</v>
      </c>
      <c r="G249" s="563" t="s">
        <v>18</v>
      </c>
      <c r="H249" s="563" t="s">
        <v>34</v>
      </c>
      <c r="I249" s="564" t="s">
        <v>696</v>
      </c>
      <c r="J249" s="564">
        <v>1</v>
      </c>
      <c r="K249" s="563" t="s">
        <v>605</v>
      </c>
      <c r="L249" s="565">
        <v>43686</v>
      </c>
      <c r="M249" s="566">
        <v>6.4799999999999996E-2</v>
      </c>
      <c r="N249" s="563" t="s">
        <v>475</v>
      </c>
      <c r="O249" s="563">
        <v>2019.07</v>
      </c>
      <c r="P249" s="566" t="str">
        <f>VLOOKUP(A249,'[1]Raw data'!$B:$BB,23,FALSE)</f>
        <v>RMB</v>
      </c>
      <c r="Q249" s="563" t="str">
        <f>VLOOKUP(A249,'[1]Raw data'!$B:$Z,2,FALSE)</f>
        <v>C49SZX20190113LC</v>
      </c>
      <c r="R249" s="563" t="str">
        <f>VLOOKUP(A249,'[1]Raw data'!$B:$Z,3,FALSE)</f>
        <v>首航</v>
      </c>
      <c r="S249" s="563" t="str">
        <f>VLOOKUP(A249,'[1]Raw data'!$B:$Z,4,FALSE)</f>
        <v>YSM10</v>
      </c>
      <c r="T249" s="563" t="str">
        <f>VLOOKUP(A249,'[1]Raw data'!$B:$Z,8,FALSE)</f>
        <v>L-&gt;R</v>
      </c>
      <c r="U249" s="563" t="str">
        <f>VLOOKUP(A249,'[1]Raw data'!$B:$Z,9,FALSE)</f>
        <v>MVC+ATS15</v>
      </c>
      <c r="V249" s="567" t="str">
        <f t="shared" si="39"/>
        <v>WRONG</v>
      </c>
      <c r="W249" s="563" t="str">
        <f>VLOOKUP(A249,'[1]Raw data'!$B:$AG,32,FALSE)</f>
        <v>含税到厂</v>
      </c>
      <c r="X249" s="563">
        <f>VLOOKUP(A249,'[1]Raw data'!$B:$BA,31,FALSE)</f>
        <v>43691</v>
      </c>
      <c r="Y249" s="563" t="str">
        <f>VLOOKUP(A249,'[1]Raw data'!$B:$AS,39,FALSE)</f>
        <v>Yes</v>
      </c>
      <c r="Z249" s="568"/>
      <c r="AA249" s="569"/>
      <c r="AB249" s="570"/>
      <c r="AC249" s="563" t="s">
        <v>697</v>
      </c>
      <c r="AD249" s="571">
        <v>302</v>
      </c>
      <c r="AE249" s="571">
        <v>10</v>
      </c>
      <c r="AN249" s="542"/>
      <c r="AO249" s="824" t="str">
        <f t="shared" si="31"/>
        <v>Yes</v>
      </c>
      <c r="AP249" s="259" t="str">
        <f t="shared" si="32"/>
        <v>OCT 19</v>
      </c>
      <c r="AQ249" s="542" t="str">
        <f t="shared" si="33"/>
        <v>有定金+有預留客戶</v>
      </c>
      <c r="AR249" s="259" t="str">
        <f t="shared" si="34"/>
        <v>Shipped_Stock</v>
      </c>
      <c r="AS249" s="259" t="str">
        <f t="shared" si="35"/>
        <v/>
      </c>
      <c r="AT249" s="259" t="str">
        <f t="shared" si="36"/>
        <v>首航</v>
      </c>
      <c r="AU249" s="259" t="str">
        <f t="shared" si="37"/>
        <v>C49SZX20190113LC</v>
      </c>
      <c r="AV249" s="259" t="str">
        <f t="shared" si="38"/>
        <v>Aug-09</v>
      </c>
    </row>
    <row r="250" spans="1:48" ht="15" hidden="1" customHeight="1">
      <c r="A250" s="559">
        <v>393</v>
      </c>
      <c r="B250" s="560" t="s">
        <v>280</v>
      </c>
      <c r="C250" s="560" t="s">
        <v>281</v>
      </c>
      <c r="D250" s="600">
        <v>109588</v>
      </c>
      <c r="E250" s="563" t="s">
        <v>644</v>
      </c>
      <c r="F250" s="563" t="s">
        <v>17</v>
      </c>
      <c r="G250" s="563" t="s">
        <v>18</v>
      </c>
      <c r="H250" s="563" t="s">
        <v>26</v>
      </c>
      <c r="I250" s="564" t="s">
        <v>698</v>
      </c>
      <c r="J250" s="564">
        <v>1</v>
      </c>
      <c r="K250" s="563" t="s">
        <v>605</v>
      </c>
      <c r="L250" s="565">
        <v>43686</v>
      </c>
      <c r="M250" s="566">
        <v>6.4799999999999996E-2</v>
      </c>
      <c r="N250" s="563" t="s">
        <v>475</v>
      </c>
      <c r="O250" s="563">
        <v>2019.07</v>
      </c>
      <c r="P250" s="566" t="str">
        <f>VLOOKUP(A250,'[1]Raw data'!$B:$BB,23,FALSE)</f>
        <v>RMB</v>
      </c>
      <c r="Q250" s="563" t="str">
        <f>VLOOKUP(A250,'[1]Raw data'!$B:$Z,2,FALSE)</f>
        <v>C49SZX20190113LC</v>
      </c>
      <c r="R250" s="563" t="str">
        <f>VLOOKUP(A250,'[1]Raw data'!$B:$Z,3,FALSE)</f>
        <v>首航</v>
      </c>
      <c r="S250" s="563" t="str">
        <f>VLOOKUP(A250,'[1]Raw data'!$B:$Z,4,FALSE)</f>
        <v>YSM10</v>
      </c>
      <c r="T250" s="563" t="str">
        <f>VLOOKUP(A250,'[1]Raw data'!$B:$Z,8,FALSE)</f>
        <v>L-&gt;R</v>
      </c>
      <c r="U250" s="563" t="str">
        <f>VLOOKUP(A250,'[1]Raw data'!$B:$Z,9,FALSE)</f>
        <v>No</v>
      </c>
      <c r="V250" s="567" t="str">
        <f t="shared" si="39"/>
        <v>WRONG</v>
      </c>
      <c r="W250" s="563" t="str">
        <f>VLOOKUP(A250,'[1]Raw data'!$B:$AG,32,FALSE)</f>
        <v>含税到厂</v>
      </c>
      <c r="X250" s="563">
        <f>VLOOKUP(A250,'[1]Raw data'!$B:$BA,31,FALSE)</f>
        <v>43691</v>
      </c>
      <c r="Y250" s="563" t="str">
        <f>VLOOKUP(A250,'[1]Raw data'!$B:$AS,39,FALSE)</f>
        <v>Yes</v>
      </c>
      <c r="Z250" s="568"/>
      <c r="AA250" s="569"/>
      <c r="AB250" s="570"/>
      <c r="AC250" s="563" t="s">
        <v>697</v>
      </c>
      <c r="AD250" s="571">
        <v>301</v>
      </c>
      <c r="AE250" s="571">
        <v>10</v>
      </c>
      <c r="AN250" s="542"/>
      <c r="AO250" s="824" t="str">
        <f t="shared" si="31"/>
        <v>Yes</v>
      </c>
      <c r="AP250" s="259" t="str">
        <f t="shared" si="32"/>
        <v>OCT 19</v>
      </c>
      <c r="AQ250" s="542" t="str">
        <f t="shared" si="33"/>
        <v>有定金+有預留客戶</v>
      </c>
      <c r="AR250" s="259" t="str">
        <f t="shared" si="34"/>
        <v>Shipped_Stock</v>
      </c>
      <c r="AS250" s="259" t="str">
        <f t="shared" si="35"/>
        <v/>
      </c>
      <c r="AT250" s="259" t="str">
        <f t="shared" si="36"/>
        <v>首航</v>
      </c>
      <c r="AU250" s="259" t="str">
        <f t="shared" si="37"/>
        <v>C49SZX20190113LC</v>
      </c>
      <c r="AV250" s="259" t="str">
        <f t="shared" si="38"/>
        <v>Aug-09</v>
      </c>
    </row>
    <row r="251" spans="1:48" ht="15" hidden="1" customHeight="1">
      <c r="A251" s="559">
        <v>379</v>
      </c>
      <c r="B251" s="560" t="s">
        <v>280</v>
      </c>
      <c r="C251" s="563" t="s">
        <v>4013</v>
      </c>
      <c r="D251" s="600">
        <v>109662</v>
      </c>
      <c r="E251" s="563" t="s">
        <v>699</v>
      </c>
      <c r="F251" s="563" t="s">
        <v>700</v>
      </c>
      <c r="G251" s="563" t="s">
        <v>24</v>
      </c>
      <c r="H251" s="563" t="s">
        <v>26</v>
      </c>
      <c r="I251" s="564" t="s">
        <v>701</v>
      </c>
      <c r="J251" s="564">
        <v>1</v>
      </c>
      <c r="K251" s="563" t="s">
        <v>388</v>
      </c>
      <c r="L251" s="565">
        <v>43707</v>
      </c>
      <c r="M251" s="566">
        <v>6.4399999999999999E-2</v>
      </c>
      <c r="N251" s="563" t="s">
        <v>320</v>
      </c>
      <c r="O251" s="563">
        <v>2019.08</v>
      </c>
      <c r="P251" s="566" t="str">
        <f>VLOOKUP(A251,'[1]Raw data'!$B:$BB,23,FALSE)</f>
        <v>RMB</v>
      </c>
      <c r="Q251" s="563" t="str">
        <f>VLOOKUP(A251,'[1]Raw data'!$B:$Z,2,FALSE)</f>
        <v>PG-GL02-201906140004</v>
      </c>
      <c r="R251" s="563" t="str">
        <f>VLOOKUP(A251,'[1]Raw data'!$B:$Z,3,FALSE)</f>
        <v>科士达</v>
      </c>
      <c r="S251" s="563" t="str">
        <f>VLOOKUP(A251,'[1]Raw data'!$B:$Z,4,FALSE)</f>
        <v>YSD</v>
      </c>
      <c r="T251" s="563" t="str">
        <f>VLOOKUP(A251,'[1]Raw data'!$B:$Z,8,FALSE)</f>
        <v>L-&gt;R</v>
      </c>
      <c r="U251" s="563" t="str">
        <f>VLOOKUP(A251,'[1]Raw data'!$B:$Z,9,FALSE)</f>
        <v>No</v>
      </c>
      <c r="V251" s="567" t="str">
        <f t="shared" si="39"/>
        <v>OK</v>
      </c>
      <c r="W251" s="563" t="str">
        <f>VLOOKUP(A251,'[1]Raw data'!$B:$AG,32,FALSE)</f>
        <v>含税到厂</v>
      </c>
      <c r="X251" s="563">
        <f>VLOOKUP(A251,'[1]Raw data'!$B:$BA,31,FALSE)</f>
        <v>43666</v>
      </c>
      <c r="Y251" s="563" t="str">
        <f>VLOOKUP(A251,'[1]Raw data'!$B:$AS,39,FALSE)</f>
        <v>Yes</v>
      </c>
      <c r="Z251" s="568"/>
      <c r="AA251" s="569"/>
      <c r="AB251" s="570"/>
      <c r="AC251" s="563" t="s">
        <v>678</v>
      </c>
      <c r="AN251" s="542"/>
      <c r="AO251" s="824" t="str">
        <f t="shared" si="31"/>
        <v>Yes</v>
      </c>
      <c r="AP251" s="259" t="str">
        <f t="shared" si="32"/>
        <v>SEP 19</v>
      </c>
      <c r="AQ251" s="542" t="str">
        <f t="shared" si="33"/>
        <v>有定金+有預留客戶</v>
      </c>
      <c r="AR251" s="259" t="str">
        <f t="shared" si="34"/>
        <v>Shipped_Stock</v>
      </c>
      <c r="AS251" s="259" t="str">
        <f t="shared" si="35"/>
        <v/>
      </c>
      <c r="AT251" s="259" t="str">
        <f t="shared" si="36"/>
        <v>科士达</v>
      </c>
      <c r="AU251" s="259" t="str">
        <f t="shared" si="37"/>
        <v>PG-GL02-201906140004</v>
      </c>
      <c r="AV251" s="259" t="str">
        <f t="shared" si="38"/>
        <v>Aug-30</v>
      </c>
    </row>
    <row r="252" spans="1:48" ht="15" hidden="1" customHeight="1">
      <c r="A252" s="559">
        <v>361</v>
      </c>
      <c r="B252" s="563" t="s">
        <v>280</v>
      </c>
      <c r="C252" s="560" t="s">
        <v>281</v>
      </c>
      <c r="D252" s="600">
        <v>109624</v>
      </c>
      <c r="E252" s="563" t="s">
        <v>644</v>
      </c>
      <c r="F252" s="563" t="s">
        <v>256</v>
      </c>
      <c r="G252" s="563" t="s">
        <v>24</v>
      </c>
      <c r="H252" s="563" t="s">
        <v>26</v>
      </c>
      <c r="I252" s="564" t="s">
        <v>702</v>
      </c>
      <c r="J252" s="564">
        <v>1</v>
      </c>
      <c r="K252" s="563" t="s">
        <v>661</v>
      </c>
      <c r="L252" s="565">
        <v>43714</v>
      </c>
      <c r="M252" s="566">
        <v>6.4799999999999996E-2</v>
      </c>
      <c r="N252" s="563" t="s">
        <v>320</v>
      </c>
      <c r="O252" s="564">
        <v>2019.08</v>
      </c>
      <c r="P252" s="566" t="str">
        <f>VLOOKUP(A252,'[1]Raw data'!$B:$BB,23,FALSE)</f>
        <v>JPY</v>
      </c>
      <c r="Q252" s="563" t="str">
        <f>VLOOKUP(A252,'[1]Raw data'!$B:$Z,2,FALSE)</f>
        <v>C49SZX20190015JY</v>
      </c>
      <c r="R252" s="563" t="str">
        <f>VLOOKUP(A252,'[1]Raw data'!$B:$Z,3,FALSE)</f>
        <v>创荣发</v>
      </c>
      <c r="S252" s="563" t="str">
        <f>VLOOKUP(A252,'[1]Raw data'!$B:$Z,4,FALSE)</f>
        <v>YSM20R(SV)-2</v>
      </c>
      <c r="T252" s="563" t="str">
        <f>VLOOKUP(A252,'[1]Raw data'!$B:$Z,8,FALSE)</f>
        <v>L-&gt;R</v>
      </c>
      <c r="U252" s="563" t="str">
        <f>VLOOKUP(A252,'[1]Raw data'!$B:$Z,9,FALSE)</f>
        <v>No</v>
      </c>
      <c r="V252" s="567" t="str">
        <f t="shared" si="39"/>
        <v>OK</v>
      </c>
      <c r="W252" s="563" t="str">
        <f>VLOOKUP(A252,'[1]Raw data'!$B:$AG,32,FALSE)</f>
        <v>DAP惠州</v>
      </c>
      <c r="X252" s="563">
        <f>VLOOKUP(A252,'[1]Raw data'!$B:$BA,31,FALSE)</f>
        <v>43643</v>
      </c>
      <c r="Y252" s="563" t="str">
        <f>VLOOKUP(A252,'[1]Raw data'!$B:$AS,39,FALSE)</f>
        <v>Yes</v>
      </c>
      <c r="Z252" s="568"/>
      <c r="AA252" s="569"/>
      <c r="AB252" s="570"/>
      <c r="AC252" s="563" t="s">
        <v>703</v>
      </c>
      <c r="AD252" s="571">
        <v>301</v>
      </c>
      <c r="AE252" s="571">
        <v>20</v>
      </c>
      <c r="AN252" s="542"/>
      <c r="AO252" s="824" t="str">
        <f t="shared" si="31"/>
        <v>Yes</v>
      </c>
      <c r="AP252" s="259" t="str">
        <f t="shared" si="32"/>
        <v>SEP 19</v>
      </c>
      <c r="AQ252" s="542" t="str">
        <f t="shared" si="33"/>
        <v>有定金+有預留客戶</v>
      </c>
      <c r="AR252" s="259" t="str">
        <f t="shared" si="34"/>
        <v>Shipped_Stock</v>
      </c>
      <c r="AS252" s="259" t="str">
        <f t="shared" si="35"/>
        <v/>
      </c>
      <c r="AT252" s="259" t="str">
        <f t="shared" si="36"/>
        <v>创荣发</v>
      </c>
      <c r="AU252" s="259" t="str">
        <f t="shared" si="37"/>
        <v>C49SZX20190015JY</v>
      </c>
      <c r="AV252" s="259" t="str">
        <f t="shared" si="38"/>
        <v>Sep-06</v>
      </c>
    </row>
    <row r="253" spans="1:48" ht="15" hidden="1" customHeight="1">
      <c r="A253" s="559">
        <v>362</v>
      </c>
      <c r="B253" s="563" t="s">
        <v>280</v>
      </c>
      <c r="C253" s="560" t="s">
        <v>281</v>
      </c>
      <c r="D253" s="600">
        <v>109624</v>
      </c>
      <c r="E253" s="563" t="s">
        <v>644</v>
      </c>
      <c r="F253" s="563" t="s">
        <v>256</v>
      </c>
      <c r="G253" s="563" t="s">
        <v>24</v>
      </c>
      <c r="H253" s="563" t="s">
        <v>26</v>
      </c>
      <c r="I253" s="564" t="s">
        <v>704</v>
      </c>
      <c r="J253" s="564">
        <v>1</v>
      </c>
      <c r="K253" s="563" t="s">
        <v>661</v>
      </c>
      <c r="L253" s="565">
        <v>43714</v>
      </c>
      <c r="M253" s="566">
        <v>6.4799999999999996E-2</v>
      </c>
      <c r="N253" s="563" t="s">
        <v>320</v>
      </c>
      <c r="O253" s="564">
        <v>2019.08</v>
      </c>
      <c r="P253" s="566" t="str">
        <f>VLOOKUP(A253,'[1]Raw data'!$B:$BB,23,FALSE)</f>
        <v>JPY</v>
      </c>
      <c r="Q253" s="563" t="str">
        <f>VLOOKUP(A253,'[1]Raw data'!$B:$Z,2,FALSE)</f>
        <v>C49SZX20190015JY</v>
      </c>
      <c r="R253" s="563" t="str">
        <f>VLOOKUP(A253,'[1]Raw data'!$B:$Z,3,FALSE)</f>
        <v>创荣发</v>
      </c>
      <c r="S253" s="563" t="str">
        <f>VLOOKUP(A253,'[1]Raw data'!$B:$Z,4,FALSE)</f>
        <v>YSM20R(SV)-2</v>
      </c>
      <c r="T253" s="563" t="str">
        <f>VLOOKUP(A253,'[1]Raw data'!$B:$Z,8,FALSE)</f>
        <v>L-&gt;R</v>
      </c>
      <c r="U253" s="563" t="str">
        <f>VLOOKUP(A253,'[1]Raw data'!$B:$Z,9,FALSE)</f>
        <v>No</v>
      </c>
      <c r="V253" s="567" t="str">
        <f t="shared" si="39"/>
        <v>OK</v>
      </c>
      <c r="W253" s="563" t="str">
        <f>VLOOKUP(A253,'[1]Raw data'!$B:$AG,32,FALSE)</f>
        <v>DAP惠州</v>
      </c>
      <c r="X253" s="563">
        <f>VLOOKUP(A253,'[1]Raw data'!$B:$BA,31,FALSE)</f>
        <v>43643</v>
      </c>
      <c r="Y253" s="563" t="str">
        <f>VLOOKUP(A253,'[1]Raw data'!$B:$AS,39,FALSE)</f>
        <v>Yes</v>
      </c>
      <c r="Z253" s="568"/>
      <c r="AA253" s="569"/>
      <c r="AB253" s="570"/>
      <c r="AC253" s="563" t="s">
        <v>703</v>
      </c>
      <c r="AD253" s="571">
        <v>301</v>
      </c>
      <c r="AE253" s="571">
        <v>20</v>
      </c>
      <c r="AN253" s="542"/>
      <c r="AO253" s="824" t="str">
        <f t="shared" si="31"/>
        <v>Yes</v>
      </c>
      <c r="AP253" s="259" t="str">
        <f t="shared" si="32"/>
        <v>SEP 19</v>
      </c>
      <c r="AQ253" s="542" t="str">
        <f t="shared" si="33"/>
        <v>有定金+有預留客戶</v>
      </c>
      <c r="AR253" s="259" t="str">
        <f t="shared" si="34"/>
        <v>Shipped_Stock</v>
      </c>
      <c r="AS253" s="259" t="str">
        <f t="shared" si="35"/>
        <v/>
      </c>
      <c r="AT253" s="259" t="str">
        <f t="shared" si="36"/>
        <v>创荣发</v>
      </c>
      <c r="AU253" s="259" t="str">
        <f t="shared" si="37"/>
        <v>C49SZX20190015JY</v>
      </c>
      <c r="AV253" s="259" t="str">
        <f t="shared" si="38"/>
        <v>Sep-06</v>
      </c>
    </row>
    <row r="254" spans="1:48" ht="15" hidden="1" customHeight="1">
      <c r="A254" s="559">
        <v>363</v>
      </c>
      <c r="B254" s="563" t="s">
        <v>280</v>
      </c>
      <c r="C254" s="560" t="s">
        <v>281</v>
      </c>
      <c r="D254" s="600">
        <v>109625</v>
      </c>
      <c r="E254" s="563" t="s">
        <v>644</v>
      </c>
      <c r="F254" s="563" t="s">
        <v>17</v>
      </c>
      <c r="G254" s="563" t="s">
        <v>18</v>
      </c>
      <c r="H254" s="563" t="s">
        <v>26</v>
      </c>
      <c r="I254" s="564" t="s">
        <v>705</v>
      </c>
      <c r="J254" s="564">
        <v>1</v>
      </c>
      <c r="K254" s="563" t="s">
        <v>661</v>
      </c>
      <c r="L254" s="565">
        <v>43714</v>
      </c>
      <c r="M254" s="566">
        <v>6.4799999999999996E-2</v>
      </c>
      <c r="N254" s="563" t="s">
        <v>320</v>
      </c>
      <c r="O254" s="563">
        <v>2019.07</v>
      </c>
      <c r="P254" s="566" t="str">
        <f>VLOOKUP(A254,'[1]Raw data'!$B:$BB,23,FALSE)</f>
        <v>JPY</v>
      </c>
      <c r="Q254" s="563" t="str">
        <f>VLOOKUP(A254,'[1]Raw data'!$B:$Z,2,FALSE)</f>
        <v>C49SZX20190015JY</v>
      </c>
      <c r="R254" s="563" t="str">
        <f>VLOOKUP(A254,'[1]Raw data'!$B:$Z,3,FALSE)</f>
        <v>创荣发</v>
      </c>
      <c r="S254" s="563" t="str">
        <f>VLOOKUP(A254,'[1]Raw data'!$B:$Z,4,FALSE)</f>
        <v>YSM10</v>
      </c>
      <c r="T254" s="563" t="str">
        <f>VLOOKUP(A254,'[1]Raw data'!$B:$Z,8,FALSE)</f>
        <v>L-&gt;R</v>
      </c>
      <c r="U254" s="563" t="str">
        <f>VLOOKUP(A254,'[1]Raw data'!$B:$Z,9,FALSE)</f>
        <v>MVC</v>
      </c>
      <c r="V254" s="567" t="str">
        <f t="shared" si="39"/>
        <v>WRONG</v>
      </c>
      <c r="W254" s="563" t="str">
        <f>VLOOKUP(A254,'[1]Raw data'!$B:$AG,32,FALSE)</f>
        <v>DAP惠州</v>
      </c>
      <c r="X254" s="563">
        <f>VLOOKUP(A254,'[1]Raw data'!$B:$BA,31,FALSE)</f>
        <v>43643</v>
      </c>
      <c r="Y254" s="563" t="str">
        <f>VLOOKUP(A254,'[1]Raw data'!$B:$AS,39,FALSE)</f>
        <v>Yes</v>
      </c>
      <c r="Z254" s="568"/>
      <c r="AA254" s="569"/>
      <c r="AB254" s="570"/>
      <c r="AC254" s="563" t="s">
        <v>703</v>
      </c>
      <c r="AD254" s="571">
        <v>302</v>
      </c>
      <c r="AE254" s="571">
        <v>10</v>
      </c>
      <c r="AN254" s="542"/>
      <c r="AO254" s="824" t="str">
        <f t="shared" si="31"/>
        <v>Yes</v>
      </c>
      <c r="AP254" s="259" t="str">
        <f t="shared" si="32"/>
        <v>SEP 19</v>
      </c>
      <c r="AQ254" s="542" t="str">
        <f t="shared" si="33"/>
        <v>有定金+有預留客戶</v>
      </c>
      <c r="AR254" s="259" t="str">
        <f t="shared" si="34"/>
        <v>Shipped_Stock</v>
      </c>
      <c r="AS254" s="259" t="str">
        <f t="shared" si="35"/>
        <v/>
      </c>
      <c r="AT254" s="259" t="str">
        <f t="shared" si="36"/>
        <v>创荣发</v>
      </c>
      <c r="AU254" s="259" t="str">
        <f t="shared" si="37"/>
        <v>C49SZX20190015JY</v>
      </c>
      <c r="AV254" s="259" t="str">
        <f t="shared" si="38"/>
        <v>Sep-06</v>
      </c>
    </row>
    <row r="255" spans="1:48" ht="15" hidden="1" customHeight="1">
      <c r="A255" s="559">
        <v>364</v>
      </c>
      <c r="B255" s="563" t="s">
        <v>280</v>
      </c>
      <c r="C255" s="560" t="s">
        <v>281</v>
      </c>
      <c r="D255" s="600">
        <v>109625</v>
      </c>
      <c r="E255" s="563" t="s">
        <v>644</v>
      </c>
      <c r="F255" s="563" t="s">
        <v>17</v>
      </c>
      <c r="G255" s="563" t="s">
        <v>18</v>
      </c>
      <c r="H255" s="563" t="s">
        <v>26</v>
      </c>
      <c r="I255" s="564" t="s">
        <v>706</v>
      </c>
      <c r="J255" s="564">
        <v>1</v>
      </c>
      <c r="K255" s="563" t="s">
        <v>661</v>
      </c>
      <c r="L255" s="565">
        <v>43714</v>
      </c>
      <c r="M255" s="566">
        <v>6.4799999999999996E-2</v>
      </c>
      <c r="N255" s="563" t="s">
        <v>320</v>
      </c>
      <c r="O255" s="563">
        <v>2019.07</v>
      </c>
      <c r="P255" s="566" t="str">
        <f>VLOOKUP(A255,'[1]Raw data'!$B:$BB,23,FALSE)</f>
        <v>JPY</v>
      </c>
      <c r="Q255" s="563" t="str">
        <f>VLOOKUP(A255,'[1]Raw data'!$B:$Z,2,FALSE)</f>
        <v>C49SZX20190015JY</v>
      </c>
      <c r="R255" s="563" t="str">
        <f>VLOOKUP(A255,'[1]Raw data'!$B:$Z,3,FALSE)</f>
        <v>创荣发</v>
      </c>
      <c r="S255" s="563" t="str">
        <f>VLOOKUP(A255,'[1]Raw data'!$B:$Z,4,FALSE)</f>
        <v>YSM10</v>
      </c>
      <c r="T255" s="563" t="str">
        <f>VLOOKUP(A255,'[1]Raw data'!$B:$Z,8,FALSE)</f>
        <v>L-&gt;R</v>
      </c>
      <c r="U255" s="563" t="str">
        <f>VLOOKUP(A255,'[1]Raw data'!$B:$Z,9,FALSE)</f>
        <v>MVC</v>
      </c>
      <c r="V255" s="567" t="str">
        <f t="shared" si="39"/>
        <v>WRONG</v>
      </c>
      <c r="W255" s="563" t="str">
        <f>VLOOKUP(A255,'[1]Raw data'!$B:$AG,32,FALSE)</f>
        <v>DAP惠州</v>
      </c>
      <c r="X255" s="563">
        <f>VLOOKUP(A255,'[1]Raw data'!$B:$BA,31,FALSE)</f>
        <v>43643</v>
      </c>
      <c r="Y255" s="563" t="str">
        <f>VLOOKUP(A255,'[1]Raw data'!$B:$AS,39,FALSE)</f>
        <v>Yes</v>
      </c>
      <c r="Z255" s="568"/>
      <c r="AA255" s="569"/>
      <c r="AB255" s="570"/>
      <c r="AC255" s="563" t="s">
        <v>703</v>
      </c>
      <c r="AD255" s="571">
        <v>301</v>
      </c>
      <c r="AE255" s="571">
        <v>10</v>
      </c>
      <c r="AN255" s="542"/>
      <c r="AO255" s="824" t="str">
        <f t="shared" si="31"/>
        <v>Yes</v>
      </c>
      <c r="AP255" s="259" t="str">
        <f t="shared" si="32"/>
        <v>SEP 19</v>
      </c>
      <c r="AQ255" s="542" t="str">
        <f t="shared" si="33"/>
        <v>有定金+有預留客戶</v>
      </c>
      <c r="AR255" s="259" t="str">
        <f t="shared" si="34"/>
        <v>Shipped_Stock</v>
      </c>
      <c r="AS255" s="259" t="str">
        <f t="shared" si="35"/>
        <v/>
      </c>
      <c r="AT255" s="259" t="str">
        <f t="shared" si="36"/>
        <v>创荣发</v>
      </c>
      <c r="AU255" s="259" t="str">
        <f t="shared" si="37"/>
        <v>C49SZX20190015JY</v>
      </c>
      <c r="AV255" s="259" t="str">
        <f t="shared" si="38"/>
        <v>Sep-06</v>
      </c>
    </row>
    <row r="256" spans="1:48" ht="15" hidden="1" customHeight="1">
      <c r="A256" s="559">
        <v>422</v>
      </c>
      <c r="B256" s="563" t="s">
        <v>280</v>
      </c>
      <c r="C256" s="560" t="s">
        <v>281</v>
      </c>
      <c r="D256" s="600">
        <v>109625</v>
      </c>
      <c r="E256" s="563" t="s">
        <v>644</v>
      </c>
      <c r="F256" s="563" t="s">
        <v>17</v>
      </c>
      <c r="G256" s="563" t="s">
        <v>18</v>
      </c>
      <c r="H256" s="563" t="s">
        <v>19</v>
      </c>
      <c r="I256" s="564" t="s">
        <v>707</v>
      </c>
      <c r="J256" s="564">
        <v>1</v>
      </c>
      <c r="K256" s="563" t="s">
        <v>295</v>
      </c>
      <c r="L256" s="565">
        <v>43714</v>
      </c>
      <c r="M256" s="566">
        <v>6.4799999999999996E-2</v>
      </c>
      <c r="N256" s="563" t="s">
        <v>504</v>
      </c>
      <c r="O256" s="563">
        <v>2019.07</v>
      </c>
      <c r="P256" s="566" t="str">
        <f>VLOOKUP(A256,'[1]Raw data'!$B:$BB,23,FALSE)</f>
        <v>RMB</v>
      </c>
      <c r="Q256" s="563" t="str">
        <f>VLOOKUP(A256,'[1]Raw data'!$B:$Z,2,FALSE)</f>
        <v>C49SZX20190129DZ</v>
      </c>
      <c r="R256" s="563" t="str">
        <f>VLOOKUP(A256,'[1]Raw data'!$B:$Z,3,FALSE)</f>
        <v>博星</v>
      </c>
      <c r="S256" s="563" t="str">
        <f>VLOOKUP(A256,'[1]Raw data'!$B:$Z,4,FALSE)</f>
        <v>YSM10</v>
      </c>
      <c r="T256" s="563" t="str">
        <f>VLOOKUP(A256,'[1]Raw data'!$B:$Z,8,FALSE)</f>
        <v>R-&gt;L</v>
      </c>
      <c r="U256" s="563" t="str">
        <f>VLOOKUP(A256,'[1]Raw data'!$B:$Z,9,FALSE)</f>
        <v>MVC+ATS15</v>
      </c>
      <c r="V256" s="567" t="str">
        <f t="shared" si="39"/>
        <v>WRONG</v>
      </c>
      <c r="W256" s="563" t="str">
        <f>VLOOKUP(A256,'[1]Raw data'!$B:$AG,32,FALSE)</f>
        <v>含税到厂</v>
      </c>
      <c r="X256" s="563">
        <f>VLOOKUP(A256,'[1]Raw data'!$B:$BA,31,FALSE)</f>
        <v>43708</v>
      </c>
      <c r="Y256" s="563" t="str">
        <f>VLOOKUP(A256,'[1]Raw data'!$B:$AS,39,FALSE)</f>
        <v>Yes</v>
      </c>
      <c r="Z256" s="568"/>
      <c r="AA256" s="569"/>
      <c r="AB256" s="570"/>
      <c r="AC256" s="563" t="s">
        <v>606</v>
      </c>
      <c r="AD256" s="571">
        <v>302</v>
      </c>
      <c r="AE256" s="571">
        <v>10</v>
      </c>
      <c r="AN256" s="542"/>
      <c r="AO256" s="824" t="str">
        <f t="shared" si="31"/>
        <v>Yes</v>
      </c>
      <c r="AP256" s="259" t="str">
        <f t="shared" si="32"/>
        <v>NOV 19</v>
      </c>
      <c r="AQ256" s="542" t="str">
        <f t="shared" si="33"/>
        <v>有定金+有預留客戶</v>
      </c>
      <c r="AR256" s="259" t="str">
        <f t="shared" si="34"/>
        <v>Shipped_Stock</v>
      </c>
      <c r="AS256" s="259" t="str">
        <f t="shared" si="35"/>
        <v/>
      </c>
      <c r="AT256" s="259" t="str">
        <f t="shared" si="36"/>
        <v>博星</v>
      </c>
      <c r="AU256" s="259" t="str">
        <f t="shared" si="37"/>
        <v>C49SZX20190129DZ</v>
      </c>
      <c r="AV256" s="259" t="str">
        <f t="shared" si="38"/>
        <v>Sep-06</v>
      </c>
    </row>
    <row r="257" spans="1:48" ht="15" hidden="1" customHeight="1">
      <c r="A257" s="559">
        <v>432</v>
      </c>
      <c r="B257" s="563" t="s">
        <v>280</v>
      </c>
      <c r="C257" s="560" t="s">
        <v>281</v>
      </c>
      <c r="D257" s="600">
        <v>109624</v>
      </c>
      <c r="E257" s="563" t="s">
        <v>644</v>
      </c>
      <c r="F257" s="563" t="s">
        <v>256</v>
      </c>
      <c r="G257" s="563" t="s">
        <v>24</v>
      </c>
      <c r="H257" s="563" t="s">
        <v>26</v>
      </c>
      <c r="I257" s="564" t="s">
        <v>708</v>
      </c>
      <c r="J257" s="564">
        <v>1</v>
      </c>
      <c r="K257" s="563" t="s">
        <v>437</v>
      </c>
      <c r="L257" s="565">
        <v>43714</v>
      </c>
      <c r="M257" s="566">
        <v>6.4799999999999996E-2</v>
      </c>
      <c r="N257" s="563" t="s">
        <v>475</v>
      </c>
      <c r="O257" s="564">
        <v>2019.08</v>
      </c>
      <c r="P257" s="566" t="str">
        <f>VLOOKUP(A257,'[1]Raw data'!$B:$BB,23,FALSE)</f>
        <v>RMB</v>
      </c>
      <c r="Q257" s="563" t="str">
        <f>VLOOKUP(A257,'[1]Raw data'!$B:$Z,2,FALSE)</f>
        <v>C49SZX20190133MX</v>
      </c>
      <c r="R257" s="563" t="str">
        <f>VLOOKUP(A257,'[1]Raw data'!$B:$Z,3,FALSE)</f>
        <v>海川伟业</v>
      </c>
      <c r="S257" s="563" t="str">
        <f>VLOOKUP(A257,'[1]Raw data'!$B:$Z,4,FALSE)</f>
        <v>YSM20R(SV)-2</v>
      </c>
      <c r="T257" s="563" t="str">
        <f>VLOOKUP(A257,'[1]Raw data'!$B:$Z,8,FALSE)</f>
        <v>L-&gt;R</v>
      </c>
      <c r="U257" s="563" t="str">
        <f>VLOOKUP(A257,'[1]Raw data'!$B:$Z,9,FALSE)</f>
        <v>No</v>
      </c>
      <c r="V257" s="567" t="str">
        <f t="shared" si="39"/>
        <v>OK</v>
      </c>
      <c r="W257" s="563" t="str">
        <f>VLOOKUP(A257,'[1]Raw data'!$B:$AG,32,FALSE)</f>
        <v>含税到厂</v>
      </c>
      <c r="X257" s="563">
        <f>VLOOKUP(A257,'[1]Raw data'!$B:$BA,31,FALSE)</f>
        <v>43731</v>
      </c>
      <c r="Y257" s="563" t="str">
        <f>VLOOKUP(A257,'[1]Raw data'!$B:$AS,39,FALSE)</f>
        <v>Yes</v>
      </c>
      <c r="Z257" s="568"/>
      <c r="AA257" s="569"/>
      <c r="AB257" s="570"/>
      <c r="AC257" s="563" t="s">
        <v>692</v>
      </c>
      <c r="AD257" s="571">
        <v>303</v>
      </c>
      <c r="AE257" s="571">
        <v>10</v>
      </c>
      <c r="AF257" s="571">
        <v>302</v>
      </c>
      <c r="AG257" s="571">
        <v>10</v>
      </c>
      <c r="AN257" s="542"/>
      <c r="AO257" s="824" t="str">
        <f t="shared" si="31"/>
        <v>Yes</v>
      </c>
      <c r="AP257" s="259" t="str">
        <f t="shared" si="32"/>
        <v>OCT 19</v>
      </c>
      <c r="AQ257" s="542" t="str">
        <f t="shared" si="33"/>
        <v>有定金+有預留客戶</v>
      </c>
      <c r="AR257" s="259" t="str">
        <f t="shared" si="34"/>
        <v>Shipped_Stock</v>
      </c>
      <c r="AS257" s="259" t="str">
        <f t="shared" si="35"/>
        <v/>
      </c>
      <c r="AT257" s="259" t="str">
        <f t="shared" si="36"/>
        <v>海川伟业</v>
      </c>
      <c r="AU257" s="259" t="str">
        <f t="shared" si="37"/>
        <v>C49SZX20190133MX</v>
      </c>
      <c r="AV257" s="259" t="str">
        <f t="shared" si="38"/>
        <v>Sep-06</v>
      </c>
    </row>
    <row r="258" spans="1:48" ht="15" hidden="1" customHeight="1">
      <c r="A258" s="559">
        <v>391</v>
      </c>
      <c r="B258" s="563" t="s">
        <v>280</v>
      </c>
      <c r="C258" s="560" t="s">
        <v>281</v>
      </c>
      <c r="D258" s="600">
        <v>109624</v>
      </c>
      <c r="E258" s="563" t="s">
        <v>644</v>
      </c>
      <c r="F258" s="563" t="s">
        <v>256</v>
      </c>
      <c r="G258" s="563" t="s">
        <v>24</v>
      </c>
      <c r="H258" s="563" t="s">
        <v>26</v>
      </c>
      <c r="I258" s="564" t="s">
        <v>709</v>
      </c>
      <c r="J258" s="564">
        <v>1</v>
      </c>
      <c r="K258" s="563" t="s">
        <v>605</v>
      </c>
      <c r="L258" s="565">
        <v>43714</v>
      </c>
      <c r="M258" s="566">
        <v>6.4799999999999996E-2</v>
      </c>
      <c r="N258" s="563" t="s">
        <v>475</v>
      </c>
      <c r="O258" s="564">
        <v>2019.08</v>
      </c>
      <c r="P258" s="566" t="str">
        <f>VLOOKUP(A258,'[1]Raw data'!$B:$BB,23,FALSE)</f>
        <v>RMB</v>
      </c>
      <c r="Q258" s="563" t="str">
        <f>VLOOKUP(A258,'[1]Raw data'!$B:$Z,2,FALSE)</f>
        <v>C49SZX20190113LC</v>
      </c>
      <c r="R258" s="563" t="str">
        <f>VLOOKUP(A258,'[1]Raw data'!$B:$Z,3,FALSE)</f>
        <v>首航</v>
      </c>
      <c r="S258" s="563" t="str">
        <f>VLOOKUP(A258,'[1]Raw data'!$B:$Z,4,FALSE)</f>
        <v>YSM20R(SV)-2</v>
      </c>
      <c r="T258" s="563" t="str">
        <f>VLOOKUP(A258,'[1]Raw data'!$B:$Z,8,FALSE)</f>
        <v>L-&gt;R</v>
      </c>
      <c r="U258" s="563" t="str">
        <f>VLOOKUP(A258,'[1]Raw data'!$B:$Z,9,FALSE)</f>
        <v>No</v>
      </c>
      <c r="V258" s="567" t="str">
        <f t="shared" si="39"/>
        <v>OK</v>
      </c>
      <c r="W258" s="563" t="str">
        <f>VLOOKUP(A258,'[1]Raw data'!$B:$AG,32,FALSE)</f>
        <v>含税到厂</v>
      </c>
      <c r="X258" s="563">
        <f>VLOOKUP(A258,'[1]Raw data'!$B:$BA,31,FALSE)</f>
        <v>43691</v>
      </c>
      <c r="Y258" s="563" t="str">
        <f>VLOOKUP(A258,'[1]Raw data'!$B:$AS,39,FALSE)</f>
        <v>Yes</v>
      </c>
      <c r="Z258" s="568"/>
      <c r="AA258" s="569"/>
      <c r="AB258" s="570"/>
      <c r="AC258" s="563" t="s">
        <v>697</v>
      </c>
      <c r="AD258" s="571">
        <v>303</v>
      </c>
      <c r="AE258" s="571">
        <v>20</v>
      </c>
      <c r="AN258" s="542"/>
      <c r="AO258" s="824" t="str">
        <f t="shared" si="31"/>
        <v>Yes</v>
      </c>
      <c r="AP258" s="259" t="str">
        <f t="shared" si="32"/>
        <v>OCT 19</v>
      </c>
      <c r="AQ258" s="542" t="str">
        <f t="shared" si="33"/>
        <v>有定金+有預留客戶</v>
      </c>
      <c r="AR258" s="259" t="str">
        <f t="shared" si="34"/>
        <v>Shipped_Stock</v>
      </c>
      <c r="AS258" s="259" t="str">
        <f t="shared" si="35"/>
        <v/>
      </c>
      <c r="AT258" s="259" t="str">
        <f t="shared" si="36"/>
        <v>首航</v>
      </c>
      <c r="AU258" s="259" t="str">
        <f t="shared" si="37"/>
        <v>C49SZX20190113LC</v>
      </c>
      <c r="AV258" s="259" t="str">
        <f t="shared" si="38"/>
        <v>Sep-06</v>
      </c>
    </row>
    <row r="259" spans="1:48" ht="15" hidden="1" customHeight="1">
      <c r="A259" s="559">
        <v>441</v>
      </c>
      <c r="B259" s="563" t="s">
        <v>280</v>
      </c>
      <c r="C259" s="560" t="s">
        <v>281</v>
      </c>
      <c r="D259" s="600">
        <v>109624</v>
      </c>
      <c r="E259" s="563" t="s">
        <v>644</v>
      </c>
      <c r="F259" s="563" t="s">
        <v>256</v>
      </c>
      <c r="G259" s="563" t="s">
        <v>24</v>
      </c>
      <c r="H259" s="563" t="s">
        <v>26</v>
      </c>
      <c r="I259" s="564" t="s">
        <v>710</v>
      </c>
      <c r="J259" s="564">
        <v>1</v>
      </c>
      <c r="K259" s="563" t="s">
        <v>605</v>
      </c>
      <c r="L259" s="565">
        <v>43714</v>
      </c>
      <c r="M259" s="566">
        <v>6.4799999999999996E-2</v>
      </c>
      <c r="N259" s="563" t="s">
        <v>504</v>
      </c>
      <c r="O259" s="564">
        <v>2019.08</v>
      </c>
      <c r="P259" s="566" t="str">
        <f>VLOOKUP(A259,'[1]Raw data'!$B:$BB,23,FALSE)</f>
        <v>RMB</v>
      </c>
      <c r="Q259" s="563" t="str">
        <f>VLOOKUP(A259,'[1]Raw data'!$B:$Z,2,FALSE)</f>
        <v>C49SZX20190145DZ</v>
      </c>
      <c r="R259" s="563" t="str">
        <f>VLOOKUP(A259,'[1]Raw data'!$B:$Z,3,FALSE)</f>
        <v>GCL 耕创</v>
      </c>
      <c r="S259" s="563" t="str">
        <f>VLOOKUP(A259,'[1]Raw data'!$B:$Z,4,FALSE)</f>
        <v>YSM20R(SV)-2</v>
      </c>
      <c r="T259" s="563" t="str">
        <f>VLOOKUP(A259,'[1]Raw data'!$B:$Z,8,FALSE)</f>
        <v>L-&gt;R</v>
      </c>
      <c r="U259" s="563" t="str">
        <f>VLOOKUP(A259,'[1]Raw data'!$B:$Z,9,FALSE)</f>
        <v>No</v>
      </c>
      <c r="V259" s="567" t="str">
        <f t="shared" si="39"/>
        <v>OK</v>
      </c>
      <c r="W259" s="563" t="str">
        <f>VLOOKUP(A259,'[1]Raw data'!$B:$AG,32,FALSE)</f>
        <v>含税到厂</v>
      </c>
      <c r="X259" s="563">
        <f>VLOOKUP(A259,'[1]Raw data'!$B:$BA,31,FALSE)</f>
        <v>43750</v>
      </c>
      <c r="Y259" s="563" t="str">
        <f>VLOOKUP(A259,'[1]Raw data'!$B:$AS,39,FALSE)</f>
        <v>Yes</v>
      </c>
      <c r="Z259" s="568"/>
      <c r="AA259" s="569"/>
      <c r="AB259" s="570"/>
      <c r="AC259" s="563" t="s">
        <v>671</v>
      </c>
      <c r="AD259" s="571">
        <v>304</v>
      </c>
      <c r="AE259" s="571">
        <v>20</v>
      </c>
      <c r="AN259" s="542"/>
      <c r="AO259" s="824" t="str">
        <f t="shared" ref="AO259:AO322" si="40">IFERROR(IF(Y259&lt;&gt;"",Y259,"No"),"No")</f>
        <v>Yes</v>
      </c>
      <c r="AP259" s="259" t="str">
        <f t="shared" ref="AP259:AP322" si="41">IFERROR(IF(N259&lt;&gt;"",N259,"blank"),"NA")</f>
        <v>NOV 19</v>
      </c>
      <c r="AQ259" s="542" t="str">
        <f t="shared" ref="AQ259:AQ322" si="42">IFERROR(IF(AND(AO259="Yes", AP259&lt;&gt;"blank"), "有定金+有預留客戶", IF(AND(AO259="Yes", AP259="blank"), "有定金+无客戶送貨期", IF(AND(OR(AO259="No", ISBLANK(AO259), AO259="NA"), AP259&lt;&gt;"blank"), "无定金+有預留客戶", IF(AND(OR(AO259="No", ISBLANK(AO259), AO259="NA"), AP259="blank"), "无定金+无預留客戶", "")))), "")</f>
        <v>有定金+有預留客戶</v>
      </c>
      <c r="AR259" s="259" t="str">
        <f t="shared" ref="AR259:AR322" si="43">IFERROR(IF(B259="已经到货", "Instock", IF(B259="有交期", "Incoming_Stock_With_YAMAHA_Schedule", IF(B259="TBA.", "Incoming_Stock_No_YAMAHA_Schedule", IF(B259="已发货", "Shipped_Stock", "")))), "")</f>
        <v>Shipped_Stock</v>
      </c>
      <c r="AS259" s="259" t="str">
        <f t="shared" ref="AS259:AS322" si="44">IF(AND(B259="有交期", L259&lt;&gt;""), L259, "")</f>
        <v/>
      </c>
      <c r="AT259" s="259" t="str">
        <f t="shared" ref="AT259:AT322" si="45">IFERROR(IF(R259&lt;&gt;"",R259),"-")</f>
        <v>GCL 耕创</v>
      </c>
      <c r="AU259" s="259" t="str">
        <f t="shared" ref="AU259:AU322" si="46">IFERROR(IF(Q259&lt;&gt;"",Q259),"-")</f>
        <v>C49SZX20190145DZ</v>
      </c>
      <c r="AV259" s="259" t="str">
        <f t="shared" ref="AV259:AV322" si="47">IF(L259="","-",TEXT(L259,"mmm-dd"))</f>
        <v>Sep-06</v>
      </c>
    </row>
    <row r="260" spans="1:48" ht="15" hidden="1" customHeight="1">
      <c r="A260" s="559" t="s">
        <v>711</v>
      </c>
      <c r="B260" s="563" t="s">
        <v>280</v>
      </c>
      <c r="C260" s="560" t="s">
        <v>281</v>
      </c>
      <c r="D260" s="600">
        <v>109625</v>
      </c>
      <c r="E260" s="563" t="s">
        <v>644</v>
      </c>
      <c r="F260" s="563" t="s">
        <v>17</v>
      </c>
      <c r="G260" s="563" t="s">
        <v>18</v>
      </c>
      <c r="H260" s="563" t="s">
        <v>19</v>
      </c>
      <c r="I260" s="564" t="s">
        <v>712</v>
      </c>
      <c r="J260" s="564">
        <v>1</v>
      </c>
      <c r="K260" s="563" t="s">
        <v>605</v>
      </c>
      <c r="L260" s="565">
        <v>43714</v>
      </c>
      <c r="M260" s="613">
        <v>6.7100000000000007E-2</v>
      </c>
      <c r="N260" s="563" t="s">
        <v>504</v>
      </c>
      <c r="O260" s="563">
        <v>2019.07</v>
      </c>
      <c r="P260" s="566" t="e">
        <f>VLOOKUP(A260,'[1]Raw data'!$B:$BB,23,FALSE)</f>
        <v>#N/A</v>
      </c>
      <c r="Q260" s="563" t="e">
        <f>VLOOKUP(A260,'[1]Raw data'!$B:$Z,2,FALSE)</f>
        <v>#N/A</v>
      </c>
      <c r="R260" s="563" t="e">
        <f>VLOOKUP(A260,'[1]Raw data'!$B:$Z,3,FALSE)</f>
        <v>#N/A</v>
      </c>
      <c r="S260" s="563" t="e">
        <f>VLOOKUP(A260,'[1]Raw data'!$B:$Z,4,FALSE)</f>
        <v>#N/A</v>
      </c>
      <c r="T260" s="563" t="e">
        <f>VLOOKUP(A260,'[1]Raw data'!$B:$Z,8,FALSE)</f>
        <v>#N/A</v>
      </c>
      <c r="U260" s="563" t="e">
        <f>VLOOKUP(A260,'[1]Raw data'!$B:$Z,9,FALSE)</f>
        <v>#N/A</v>
      </c>
      <c r="V260" s="567" t="e">
        <f t="shared" si="39"/>
        <v>#N/A</v>
      </c>
      <c r="W260" s="563" t="e">
        <f>VLOOKUP(A260,'[1]Raw data'!$B:$AG,32,FALSE)</f>
        <v>#N/A</v>
      </c>
      <c r="X260" s="563" t="e">
        <f>VLOOKUP(A260,'[1]Raw data'!$B:$BA,31,FALSE)</f>
        <v>#N/A</v>
      </c>
      <c r="Y260" s="563" t="e">
        <f>VLOOKUP(A260,'[1]Raw data'!$B:$AS,39,FALSE)</f>
        <v>#N/A</v>
      </c>
      <c r="Z260" s="568"/>
      <c r="AA260" s="569"/>
      <c r="AB260" s="570"/>
      <c r="AC260" s="563" t="s">
        <v>713</v>
      </c>
      <c r="AD260" s="571">
        <v>302</v>
      </c>
      <c r="AE260" s="571">
        <v>10</v>
      </c>
      <c r="AN260" s="542"/>
      <c r="AO260" s="824" t="str">
        <f t="shared" si="40"/>
        <v>No</v>
      </c>
      <c r="AP260" s="259" t="str">
        <f t="shared" si="41"/>
        <v>NOV 19</v>
      </c>
      <c r="AQ260" s="542" t="str">
        <f t="shared" si="42"/>
        <v>无定金+有預留客戶</v>
      </c>
      <c r="AR260" s="259" t="str">
        <f t="shared" si="43"/>
        <v>Shipped_Stock</v>
      </c>
      <c r="AS260" s="259" t="str">
        <f t="shared" si="44"/>
        <v/>
      </c>
      <c r="AT260" s="259" t="str">
        <f t="shared" si="45"/>
        <v>-</v>
      </c>
      <c r="AU260" s="259" t="str">
        <f t="shared" si="46"/>
        <v>-</v>
      </c>
      <c r="AV260" s="259" t="str">
        <f t="shared" si="47"/>
        <v>Sep-06</v>
      </c>
    </row>
    <row r="261" spans="1:48" ht="15" hidden="1" customHeight="1">
      <c r="A261" s="559">
        <v>431</v>
      </c>
      <c r="B261" s="563" t="s">
        <v>280</v>
      </c>
      <c r="C261" s="560" t="s">
        <v>281</v>
      </c>
      <c r="D261" s="600">
        <v>109624</v>
      </c>
      <c r="E261" s="563" t="s">
        <v>644</v>
      </c>
      <c r="F261" s="563" t="s">
        <v>256</v>
      </c>
      <c r="G261" s="563" t="s">
        <v>24</v>
      </c>
      <c r="H261" s="563" t="s">
        <v>26</v>
      </c>
      <c r="I261" s="564" t="s">
        <v>714</v>
      </c>
      <c r="J261" s="564">
        <v>1</v>
      </c>
      <c r="K261" s="563" t="s">
        <v>605</v>
      </c>
      <c r="L261" s="565">
        <v>43714</v>
      </c>
      <c r="M261" s="566">
        <v>6.4799999999999996E-2</v>
      </c>
      <c r="N261" s="563" t="s">
        <v>320</v>
      </c>
      <c r="O261" s="564">
        <v>2019.08</v>
      </c>
      <c r="P261" s="566" t="str">
        <f>VLOOKUP(A261,'[1]Raw data'!$B:$BB,23,FALSE)</f>
        <v>RMB</v>
      </c>
      <c r="Q261" s="563" t="str">
        <f>VLOOKUP(A261,'[1]Raw data'!$B:$Z,2,FALSE)</f>
        <v>C49SZX201900131JL</v>
      </c>
      <c r="R261" s="563" t="str">
        <f>VLOOKUP(A261,'[1]Raw data'!$B:$Z,3,FALSE)</f>
        <v>杉川/end user:放德劲</v>
      </c>
      <c r="S261" s="563" t="str">
        <f>VLOOKUP(A261,'[1]Raw data'!$B:$Z,4,FALSE)</f>
        <v>YSM20R(SV)-2</v>
      </c>
      <c r="T261" s="563" t="str">
        <f>VLOOKUP(A261,'[1]Raw data'!$B:$Z,8,FALSE)</f>
        <v>L-&gt;R</v>
      </c>
      <c r="U261" s="563" t="str">
        <f>VLOOKUP(A261,'[1]Raw data'!$B:$Z,9,FALSE)</f>
        <v>No</v>
      </c>
      <c r="V261" s="567" t="str">
        <f t="shared" si="39"/>
        <v>OK</v>
      </c>
      <c r="W261" s="563" t="str">
        <f>VLOOKUP(A261,'[1]Raw data'!$B:$AG,32,FALSE)</f>
        <v>含税到厂</v>
      </c>
      <c r="X261" s="563">
        <f>VLOOKUP(A261,'[1]Raw data'!$B:$BA,31,FALSE)</f>
        <v>43717</v>
      </c>
      <c r="Y261" s="563" t="str">
        <f>VLOOKUP(A261,'[1]Raw data'!$B:$AS,39,FALSE)</f>
        <v>Yes</v>
      </c>
      <c r="Z261" s="568"/>
      <c r="AA261" s="569"/>
      <c r="AB261" s="570"/>
      <c r="AC261" s="563" t="s">
        <v>398</v>
      </c>
      <c r="AD261" s="571">
        <v>302</v>
      </c>
      <c r="AE261" s="571">
        <v>10</v>
      </c>
      <c r="AF261" s="571">
        <v>304</v>
      </c>
      <c r="AG261" s="571">
        <v>10</v>
      </c>
      <c r="AN261" s="542"/>
      <c r="AO261" s="824" t="str">
        <f t="shared" si="40"/>
        <v>Yes</v>
      </c>
      <c r="AP261" s="259" t="str">
        <f t="shared" si="41"/>
        <v>SEP 19</v>
      </c>
      <c r="AQ261" s="542" t="str">
        <f t="shared" si="42"/>
        <v>有定金+有預留客戶</v>
      </c>
      <c r="AR261" s="259" t="str">
        <f t="shared" si="43"/>
        <v>Shipped_Stock</v>
      </c>
      <c r="AS261" s="259" t="str">
        <f t="shared" si="44"/>
        <v/>
      </c>
      <c r="AT261" s="259" t="str">
        <f t="shared" si="45"/>
        <v>杉川/end user:放德劲</v>
      </c>
      <c r="AU261" s="259" t="str">
        <f t="shared" si="46"/>
        <v>C49SZX201900131JL</v>
      </c>
      <c r="AV261" s="259" t="str">
        <f t="shared" si="47"/>
        <v>Sep-06</v>
      </c>
    </row>
    <row r="262" spans="1:48" ht="15" hidden="1" customHeight="1">
      <c r="A262" s="559">
        <v>405</v>
      </c>
      <c r="B262" s="563" t="s">
        <v>280</v>
      </c>
      <c r="C262" s="560" t="s">
        <v>281</v>
      </c>
      <c r="D262" s="600">
        <v>109694</v>
      </c>
      <c r="E262" s="563" t="s">
        <v>682</v>
      </c>
      <c r="F262" s="563" t="s">
        <v>339</v>
      </c>
      <c r="G262" s="563" t="s">
        <v>24</v>
      </c>
      <c r="H262" s="563" t="s">
        <v>26</v>
      </c>
      <c r="I262" s="564" t="s">
        <v>715</v>
      </c>
      <c r="J262" s="564">
        <v>1</v>
      </c>
      <c r="K262" s="563" t="s">
        <v>388</v>
      </c>
      <c r="L262" s="565">
        <v>43737</v>
      </c>
      <c r="M262" s="566" t="s">
        <v>257</v>
      </c>
      <c r="N262" s="563" t="s">
        <v>475</v>
      </c>
      <c r="O262" s="563">
        <v>2019.09</v>
      </c>
      <c r="P262" s="566" t="str">
        <f>VLOOKUP(A262,'[1]Raw data'!$B:$BB,23,FALSE)</f>
        <v>JPY</v>
      </c>
      <c r="Q262" s="563" t="str">
        <f>VLOOKUP(A262,'[1]Raw data'!$B:$Z,2,FALSE)</f>
        <v>C49SZX20190125KW</v>
      </c>
      <c r="R262" s="563" t="str">
        <f>VLOOKUP(A262,'[1]Raw data'!$B:$Z,3,FALSE)</f>
        <v>伟盛贸易(富洛）/晶科</v>
      </c>
      <c r="S262" s="563" t="str">
        <f>VLOOKUP(A262,'[1]Raw data'!$B:$Z,4,FALSE)</f>
        <v>SIGMA G5S2</v>
      </c>
      <c r="T262" s="563" t="str">
        <f>VLOOKUP(A262,'[1]Raw data'!$B:$Z,8,FALSE)</f>
        <v>No</v>
      </c>
      <c r="U262" s="563" t="str">
        <f>VLOOKUP(A262,'[1]Raw data'!$B:$Z,9,FALSE)</f>
        <v>No</v>
      </c>
      <c r="V262" s="567" t="str">
        <f t="shared" si="39"/>
        <v>WRONG</v>
      </c>
      <c r="W262" s="563" t="str">
        <f>VLOOKUP(A262,'[1]Raw data'!$B:$AG,32,FALSE)</f>
        <v>CIF HK</v>
      </c>
      <c r="X262" s="563">
        <f>VLOOKUP(A262,'[1]Raw data'!$B:$BA,31,FALSE)</f>
        <v>43698</v>
      </c>
      <c r="Y262" s="563" t="str">
        <f>VLOOKUP(A262,'[1]Raw data'!$B:$AS,39,FALSE)</f>
        <v>Yes</v>
      </c>
      <c r="Z262" s="568"/>
      <c r="AA262" s="569"/>
      <c r="AB262" s="570"/>
      <c r="AC262" s="563" t="s">
        <v>678</v>
      </c>
      <c r="AN262" s="542"/>
      <c r="AO262" s="824" t="str">
        <f t="shared" si="40"/>
        <v>Yes</v>
      </c>
      <c r="AP262" s="259" t="str">
        <f t="shared" si="41"/>
        <v>OCT 19</v>
      </c>
      <c r="AQ262" s="542" t="str">
        <f t="shared" si="42"/>
        <v>有定金+有預留客戶</v>
      </c>
      <c r="AR262" s="259" t="str">
        <f t="shared" si="43"/>
        <v>Shipped_Stock</v>
      </c>
      <c r="AS262" s="259" t="str">
        <f t="shared" si="44"/>
        <v/>
      </c>
      <c r="AT262" s="259" t="str">
        <f t="shared" si="45"/>
        <v>伟盛贸易(富洛）/晶科</v>
      </c>
      <c r="AU262" s="259" t="str">
        <f t="shared" si="46"/>
        <v>C49SZX20190125KW</v>
      </c>
      <c r="AV262" s="259" t="str">
        <f t="shared" si="47"/>
        <v>Sep-29</v>
      </c>
    </row>
    <row r="263" spans="1:48" ht="15" hidden="1" customHeight="1">
      <c r="A263" s="559">
        <v>406</v>
      </c>
      <c r="B263" s="563" t="s">
        <v>280</v>
      </c>
      <c r="C263" s="560" t="s">
        <v>281</v>
      </c>
      <c r="D263" s="600">
        <v>109694</v>
      </c>
      <c r="E263" s="563" t="s">
        <v>682</v>
      </c>
      <c r="F263" s="563" t="s">
        <v>153</v>
      </c>
      <c r="G263" s="563" t="s">
        <v>24</v>
      </c>
      <c r="H263" s="563" t="s">
        <v>26</v>
      </c>
      <c r="I263" s="564" t="s">
        <v>716</v>
      </c>
      <c r="J263" s="564">
        <v>1</v>
      </c>
      <c r="K263" s="563" t="s">
        <v>388</v>
      </c>
      <c r="L263" s="565">
        <v>43737</v>
      </c>
      <c r="M263" s="566" t="s">
        <v>257</v>
      </c>
      <c r="N263" s="563" t="s">
        <v>475</v>
      </c>
      <c r="O263" s="563">
        <v>2019.09</v>
      </c>
      <c r="P263" s="566" t="str">
        <f>VLOOKUP(A263,'[1]Raw data'!$B:$BB,23,FALSE)</f>
        <v>JPY</v>
      </c>
      <c r="Q263" s="563" t="str">
        <f>VLOOKUP(A263,'[1]Raw data'!$B:$Z,2,FALSE)</f>
        <v>C49SZX20190125KW</v>
      </c>
      <c r="R263" s="563" t="str">
        <f>VLOOKUP(A263,'[1]Raw data'!$B:$Z,3,FALSE)</f>
        <v>伟盛贸易(富洛）/晶科</v>
      </c>
      <c r="S263" s="563" t="str">
        <f>VLOOKUP(A263,'[1]Raw data'!$B:$Z,4,FALSE)</f>
        <v>SIGMA G5S2</v>
      </c>
      <c r="T263" s="563" t="str">
        <f>VLOOKUP(A263,'[1]Raw data'!$B:$Z,8,FALSE)</f>
        <v>No</v>
      </c>
      <c r="U263" s="563" t="str">
        <f>VLOOKUP(A263,'[1]Raw data'!$B:$Z,9,FALSE)</f>
        <v>No</v>
      </c>
      <c r="V263" s="567" t="str">
        <f t="shared" si="39"/>
        <v>WRONG</v>
      </c>
      <c r="W263" s="563" t="str">
        <f>VLOOKUP(A263,'[1]Raw data'!$B:$AG,32,FALSE)</f>
        <v>CIF HK</v>
      </c>
      <c r="X263" s="563">
        <f>VLOOKUP(A263,'[1]Raw data'!$B:$BA,31,FALSE)</f>
        <v>43698</v>
      </c>
      <c r="Y263" s="563" t="str">
        <f>VLOOKUP(A263,'[1]Raw data'!$B:$AS,39,FALSE)</f>
        <v>Yes</v>
      </c>
      <c r="Z263" s="568"/>
      <c r="AA263" s="569"/>
      <c r="AB263" s="570"/>
      <c r="AC263" s="563" t="s">
        <v>678</v>
      </c>
      <c r="AN263" s="542"/>
      <c r="AO263" s="824" t="str">
        <f t="shared" si="40"/>
        <v>Yes</v>
      </c>
      <c r="AP263" s="259" t="str">
        <f t="shared" si="41"/>
        <v>OCT 19</v>
      </c>
      <c r="AQ263" s="542" t="str">
        <f t="shared" si="42"/>
        <v>有定金+有預留客戶</v>
      </c>
      <c r="AR263" s="259" t="str">
        <f t="shared" si="43"/>
        <v>Shipped_Stock</v>
      </c>
      <c r="AS263" s="259" t="str">
        <f t="shared" si="44"/>
        <v/>
      </c>
      <c r="AT263" s="259" t="str">
        <f t="shared" si="45"/>
        <v>伟盛贸易(富洛）/晶科</v>
      </c>
      <c r="AU263" s="259" t="str">
        <f t="shared" si="46"/>
        <v>C49SZX20190125KW</v>
      </c>
      <c r="AV263" s="259" t="str">
        <f t="shared" si="47"/>
        <v>Sep-29</v>
      </c>
    </row>
    <row r="264" spans="1:48" ht="15" hidden="1" customHeight="1">
      <c r="A264" s="559">
        <v>456</v>
      </c>
      <c r="B264" s="560" t="s">
        <v>280</v>
      </c>
      <c r="C264" s="560" t="s">
        <v>281</v>
      </c>
      <c r="D264" s="600">
        <v>109665</v>
      </c>
      <c r="E264" s="563" t="s">
        <v>644</v>
      </c>
      <c r="F264" s="563" t="s">
        <v>17</v>
      </c>
      <c r="G264" s="563" t="s">
        <v>18</v>
      </c>
      <c r="H264" s="563" t="s">
        <v>26</v>
      </c>
      <c r="I264" s="564" t="s">
        <v>717</v>
      </c>
      <c r="J264" s="564">
        <v>1</v>
      </c>
      <c r="K264" s="563" t="s">
        <v>661</v>
      </c>
      <c r="L264" s="565">
        <v>43749</v>
      </c>
      <c r="M264" s="566">
        <v>6.7299999999999999E-2</v>
      </c>
      <c r="N264" s="563" t="s">
        <v>504</v>
      </c>
      <c r="O264" s="563">
        <v>2019.09</v>
      </c>
      <c r="P264" s="566" t="str">
        <f>VLOOKUP(A264,'[1]Raw data'!$B:$BB,23,FALSE)</f>
        <v>RMB</v>
      </c>
      <c r="Q264" s="563" t="str">
        <f>VLOOKUP(A264,'[1]Raw data'!$B:$Z,2,FALSE)</f>
        <v>C49SZX20190148SX</v>
      </c>
      <c r="R264" s="563" t="str">
        <f>VLOOKUP(A264,'[1]Raw data'!$B:$Z,3,FALSE)</f>
        <v>悦之彩</v>
      </c>
      <c r="S264" s="563" t="str">
        <f>VLOOKUP(A264,'[1]Raw data'!$B:$Z,4,FALSE)</f>
        <v>YSM10</v>
      </c>
      <c r="T264" s="563" t="str">
        <f>VLOOKUP(A264,'[1]Raw data'!$B:$Z,8,FALSE)</f>
        <v>L-&gt;R</v>
      </c>
      <c r="U264" s="563" t="str">
        <f>VLOOKUP(A264,'[1]Raw data'!$B:$Z,9,FALSE)</f>
        <v>MVC</v>
      </c>
      <c r="V264" s="567" t="str">
        <f t="shared" si="39"/>
        <v>WRONG</v>
      </c>
      <c r="W264" s="563" t="str">
        <f>VLOOKUP(A264,'[1]Raw data'!$B:$AG,32,FALSE)</f>
        <v>含税到厂</v>
      </c>
      <c r="X264" s="563">
        <f>VLOOKUP(A264,'[1]Raw data'!$B:$BA,31,FALSE)</f>
        <v>43757</v>
      </c>
      <c r="Y264" s="563" t="str">
        <f>VLOOKUP(A264,'[1]Raw data'!$B:$AS,39,FALSE)</f>
        <v>Yes</v>
      </c>
      <c r="Z264" s="568"/>
      <c r="AA264" s="569"/>
      <c r="AB264" s="570"/>
      <c r="AC264" s="563" t="s">
        <v>673</v>
      </c>
      <c r="AD264" s="571">
        <v>302</v>
      </c>
      <c r="AE264" s="571">
        <v>10</v>
      </c>
      <c r="AN264" s="542"/>
      <c r="AO264" s="824" t="str">
        <f t="shared" si="40"/>
        <v>Yes</v>
      </c>
      <c r="AP264" s="259" t="str">
        <f t="shared" si="41"/>
        <v>NOV 19</v>
      </c>
      <c r="AQ264" s="542" t="str">
        <f t="shared" si="42"/>
        <v>有定金+有預留客戶</v>
      </c>
      <c r="AR264" s="259" t="str">
        <f t="shared" si="43"/>
        <v>Shipped_Stock</v>
      </c>
      <c r="AS264" s="259" t="str">
        <f t="shared" si="44"/>
        <v/>
      </c>
      <c r="AT264" s="259" t="str">
        <f t="shared" si="45"/>
        <v>悦之彩</v>
      </c>
      <c r="AU264" s="259" t="str">
        <f t="shared" si="46"/>
        <v>C49SZX20190148SX</v>
      </c>
      <c r="AV264" s="259" t="str">
        <f t="shared" si="47"/>
        <v>Oct-11</v>
      </c>
    </row>
    <row r="265" spans="1:48" ht="15" hidden="1" customHeight="1">
      <c r="A265" s="559">
        <v>352</v>
      </c>
      <c r="B265" s="563" t="s">
        <v>280</v>
      </c>
      <c r="C265" s="560" t="s">
        <v>281</v>
      </c>
      <c r="D265" s="600">
        <v>109665</v>
      </c>
      <c r="E265" s="563" t="s">
        <v>644</v>
      </c>
      <c r="F265" s="563" t="s">
        <v>17</v>
      </c>
      <c r="G265" s="563" t="s">
        <v>18</v>
      </c>
      <c r="H265" s="563" t="s">
        <v>26</v>
      </c>
      <c r="I265" s="564" t="s">
        <v>718</v>
      </c>
      <c r="J265" s="564">
        <v>1</v>
      </c>
      <c r="K265" s="563" t="s">
        <v>437</v>
      </c>
      <c r="L265" s="565">
        <v>43749</v>
      </c>
      <c r="M265" s="566">
        <v>6.7299999999999999E-2</v>
      </c>
      <c r="N265" s="563" t="s">
        <v>475</v>
      </c>
      <c r="O265" s="563">
        <v>2019.09</v>
      </c>
      <c r="P265" s="566" t="str">
        <f>VLOOKUP(A265,'[1]Raw data'!$B:$BB,23,FALSE)</f>
        <v>JPY</v>
      </c>
      <c r="Q265" s="563" t="str">
        <f>VLOOKUP(A265,'[1]Raw data'!$B:$Z,2,FALSE)</f>
        <v>C49SZX20190150JY</v>
      </c>
      <c r="R265" s="563" t="str">
        <f>VLOOKUP(A265,'[1]Raw data'!$B:$Z,3,FALSE)</f>
        <v>尖端电子 end user海凌科达</v>
      </c>
      <c r="S265" s="563" t="str">
        <f>VLOOKUP(A265,'[1]Raw data'!$B:$Z,4,FALSE)</f>
        <v>YSM10</v>
      </c>
      <c r="T265" s="563" t="str">
        <f>VLOOKUP(A265,'[1]Raw data'!$B:$Z,8,FALSE)</f>
        <v>L-&gt;R</v>
      </c>
      <c r="U265" s="563" t="str">
        <f>VLOOKUP(A265,'[1]Raw data'!$B:$Z,9,FALSE)</f>
        <v>No</v>
      </c>
      <c r="V265" s="567" t="str">
        <f t="shared" si="39"/>
        <v>WRONG</v>
      </c>
      <c r="W265" s="563" t="str">
        <f>VLOOKUP(A265,'[1]Raw data'!$B:$AG,32,FALSE)</f>
        <v>CIF HK</v>
      </c>
      <c r="X265" s="563">
        <f>VLOOKUP(A265,'[1]Raw data'!$B:$BA,31,FALSE)</f>
        <v>43760</v>
      </c>
      <c r="Y265" s="563" t="str">
        <f>VLOOKUP(A265,'[1]Raw data'!$B:$AS,39,FALSE)</f>
        <v>Yes</v>
      </c>
      <c r="Z265" s="568"/>
      <c r="AA265" s="569"/>
      <c r="AB265" s="570"/>
      <c r="AC265" s="563" t="s">
        <v>695</v>
      </c>
      <c r="AD265" s="571">
        <v>302</v>
      </c>
      <c r="AE265" s="571">
        <v>10</v>
      </c>
      <c r="AN265" s="542"/>
      <c r="AO265" s="824" t="str">
        <f t="shared" si="40"/>
        <v>Yes</v>
      </c>
      <c r="AP265" s="259" t="str">
        <f t="shared" si="41"/>
        <v>OCT 19</v>
      </c>
      <c r="AQ265" s="542" t="str">
        <f t="shared" si="42"/>
        <v>有定金+有預留客戶</v>
      </c>
      <c r="AR265" s="259" t="str">
        <f t="shared" si="43"/>
        <v>Shipped_Stock</v>
      </c>
      <c r="AS265" s="259" t="str">
        <f t="shared" si="44"/>
        <v/>
      </c>
      <c r="AT265" s="259" t="str">
        <f t="shared" si="45"/>
        <v>尖端电子 end user海凌科达</v>
      </c>
      <c r="AU265" s="259" t="str">
        <f t="shared" si="46"/>
        <v>C49SZX20190150JY</v>
      </c>
      <c r="AV265" s="259" t="str">
        <f t="shared" si="47"/>
        <v>Oct-11</v>
      </c>
    </row>
    <row r="266" spans="1:48" ht="15" hidden="1" customHeight="1">
      <c r="A266" s="559">
        <v>454</v>
      </c>
      <c r="B266" s="563" t="s">
        <v>280</v>
      </c>
      <c r="C266" s="560" t="s">
        <v>281</v>
      </c>
      <c r="D266" s="600">
        <v>109665</v>
      </c>
      <c r="E266" s="563" t="s">
        <v>644</v>
      </c>
      <c r="F266" s="563" t="s">
        <v>17</v>
      </c>
      <c r="G266" s="563" t="s">
        <v>18</v>
      </c>
      <c r="H266" s="563" t="s">
        <v>26</v>
      </c>
      <c r="I266" s="564" t="s">
        <v>719</v>
      </c>
      <c r="J266" s="564">
        <v>1</v>
      </c>
      <c r="K266" s="563" t="s">
        <v>437</v>
      </c>
      <c r="L266" s="565">
        <v>43749</v>
      </c>
      <c r="M266" s="566">
        <v>6.7299999999999999E-2</v>
      </c>
      <c r="N266" s="563" t="s">
        <v>475</v>
      </c>
      <c r="O266" s="563">
        <v>2019.09</v>
      </c>
      <c r="P266" s="566" t="str">
        <f>VLOOKUP(A266,'[1]Raw data'!$B:$BB,23,FALSE)</f>
        <v>JPY</v>
      </c>
      <c r="Q266" s="563" t="str">
        <f>VLOOKUP(A266,'[1]Raw data'!$B:$Z,2,FALSE)</f>
        <v>C49SZX20190143SX</v>
      </c>
      <c r="R266" s="563" t="str">
        <f>VLOOKUP(A266,'[1]Raw data'!$B:$Z,3,FALSE)</f>
        <v>利速达</v>
      </c>
      <c r="S266" s="563" t="str">
        <f>VLOOKUP(A266,'[1]Raw data'!$B:$Z,4,FALSE)</f>
        <v>YSM10</v>
      </c>
      <c r="T266" s="563" t="str">
        <f>VLOOKUP(A266,'[1]Raw data'!$B:$Z,8,FALSE)</f>
        <v>L-&gt;R</v>
      </c>
      <c r="U266" s="563" t="str">
        <f>VLOOKUP(A266,'[1]Raw data'!$B:$Z,9,FALSE)</f>
        <v>MVC</v>
      </c>
      <c r="V266" s="567" t="str">
        <f t="shared" si="39"/>
        <v>WRONG</v>
      </c>
      <c r="W266" s="563" t="str">
        <f>VLOOKUP(A266,'[1]Raw data'!$B:$AG,32,FALSE)</f>
        <v>DAP SZ</v>
      </c>
      <c r="X266" s="563">
        <f>VLOOKUP(A266,'[1]Raw data'!$B:$BA,31,FALSE)</f>
        <v>43754</v>
      </c>
      <c r="Y266" s="563" t="str">
        <f>VLOOKUP(A266,'[1]Raw data'!$B:$AS,39,FALSE)</f>
        <v>Yes</v>
      </c>
      <c r="Z266" s="568"/>
      <c r="AA266" s="569"/>
      <c r="AB266" s="570"/>
      <c r="AC266" s="563" t="s">
        <v>720</v>
      </c>
      <c r="AD266" s="571">
        <v>301</v>
      </c>
      <c r="AE266" s="571">
        <v>10</v>
      </c>
      <c r="AN266" s="542"/>
      <c r="AO266" s="824" t="str">
        <f t="shared" si="40"/>
        <v>Yes</v>
      </c>
      <c r="AP266" s="259" t="str">
        <f t="shared" si="41"/>
        <v>OCT 19</v>
      </c>
      <c r="AQ266" s="542" t="str">
        <f t="shared" si="42"/>
        <v>有定金+有預留客戶</v>
      </c>
      <c r="AR266" s="259" t="str">
        <f t="shared" si="43"/>
        <v>Shipped_Stock</v>
      </c>
      <c r="AS266" s="259" t="str">
        <f t="shared" si="44"/>
        <v/>
      </c>
      <c r="AT266" s="259" t="str">
        <f t="shared" si="45"/>
        <v>利速达</v>
      </c>
      <c r="AU266" s="259" t="str">
        <f t="shared" si="46"/>
        <v>C49SZX20190143SX</v>
      </c>
      <c r="AV266" s="259" t="str">
        <f t="shared" si="47"/>
        <v>Oct-11</v>
      </c>
    </row>
    <row r="267" spans="1:48" ht="15" hidden="1" customHeight="1">
      <c r="A267" s="559">
        <v>351</v>
      </c>
      <c r="B267" s="563" t="s">
        <v>280</v>
      </c>
      <c r="C267" s="560" t="s">
        <v>281</v>
      </c>
      <c r="D267" s="600">
        <v>109665</v>
      </c>
      <c r="E267" s="563" t="s">
        <v>644</v>
      </c>
      <c r="F267" s="563" t="s">
        <v>17</v>
      </c>
      <c r="G267" s="563" t="s">
        <v>18</v>
      </c>
      <c r="H267" s="563" t="s">
        <v>721</v>
      </c>
      <c r="I267" s="564" t="s">
        <v>722</v>
      </c>
      <c r="J267" s="564">
        <v>1</v>
      </c>
      <c r="K267" s="563" t="s">
        <v>437</v>
      </c>
      <c r="L267" s="565">
        <v>43749</v>
      </c>
      <c r="M267" s="566">
        <v>6.7299999999999999E-2</v>
      </c>
      <c r="N267" s="563" t="s">
        <v>475</v>
      </c>
      <c r="O267" s="563">
        <v>2019.09</v>
      </c>
      <c r="P267" s="566" t="str">
        <f>VLOOKUP(A267,'[1]Raw data'!$B:$BB,23,FALSE)</f>
        <v>JPY</v>
      </c>
      <c r="Q267" s="563" t="str">
        <f>VLOOKUP(A267,'[1]Raw data'!$B:$Z,2,FALSE)</f>
        <v>C49SZX20190150JY</v>
      </c>
      <c r="R267" s="563" t="str">
        <f>VLOOKUP(A267,'[1]Raw data'!$B:$Z,3,FALSE)</f>
        <v>尖端电子 end user海凌科达</v>
      </c>
      <c r="S267" s="563" t="str">
        <f>VLOOKUP(A267,'[1]Raw data'!$B:$Z,4,FALSE)</f>
        <v>YSM10</v>
      </c>
      <c r="T267" s="563" t="str">
        <f>VLOOKUP(A267,'[1]Raw data'!$B:$Z,8,FALSE)</f>
        <v>R-&gt;L</v>
      </c>
      <c r="U267" s="563" t="str">
        <f>VLOOKUP(A267,'[1]Raw data'!$B:$Z,9,FALSE)</f>
        <v>HM5</v>
      </c>
      <c r="V267" s="567" t="str">
        <f t="shared" si="39"/>
        <v>OK</v>
      </c>
      <c r="W267" s="563" t="str">
        <f>VLOOKUP(A267,'[1]Raw data'!$B:$AG,32,FALSE)</f>
        <v>CIF HK</v>
      </c>
      <c r="X267" s="563">
        <f>VLOOKUP(A267,'[1]Raw data'!$B:$BA,31,FALSE)</f>
        <v>43760</v>
      </c>
      <c r="Y267" s="563" t="str">
        <f>VLOOKUP(A267,'[1]Raw data'!$B:$AS,39,FALSE)</f>
        <v>Yes</v>
      </c>
      <c r="Z267" s="568"/>
      <c r="AA267" s="569"/>
      <c r="AB267" s="570"/>
      <c r="AC267" s="563" t="s">
        <v>695</v>
      </c>
      <c r="AD267" s="571">
        <v>302</v>
      </c>
      <c r="AE267" s="571">
        <v>10</v>
      </c>
      <c r="AN267" s="542"/>
      <c r="AO267" s="824" t="str">
        <f t="shared" si="40"/>
        <v>Yes</v>
      </c>
      <c r="AP267" s="259" t="str">
        <f t="shared" si="41"/>
        <v>OCT 19</v>
      </c>
      <c r="AQ267" s="542" t="str">
        <f t="shared" si="42"/>
        <v>有定金+有預留客戶</v>
      </c>
      <c r="AR267" s="259" t="str">
        <f t="shared" si="43"/>
        <v>Shipped_Stock</v>
      </c>
      <c r="AS267" s="259" t="str">
        <f t="shared" si="44"/>
        <v/>
      </c>
      <c r="AT267" s="259" t="str">
        <f t="shared" si="45"/>
        <v>尖端电子 end user海凌科达</v>
      </c>
      <c r="AU267" s="259" t="str">
        <f t="shared" si="46"/>
        <v>C49SZX20190150JY</v>
      </c>
      <c r="AV267" s="259" t="str">
        <f t="shared" si="47"/>
        <v>Oct-11</v>
      </c>
    </row>
    <row r="268" spans="1:48" ht="15" hidden="1" customHeight="1">
      <c r="A268" s="599">
        <v>615</v>
      </c>
      <c r="B268" s="563" t="s">
        <v>280</v>
      </c>
      <c r="C268" s="560" t="s">
        <v>281</v>
      </c>
      <c r="D268" s="600">
        <v>109665</v>
      </c>
      <c r="E268" s="563" t="s">
        <v>644</v>
      </c>
      <c r="F268" s="563" t="s">
        <v>17</v>
      </c>
      <c r="G268" s="563" t="s">
        <v>18</v>
      </c>
      <c r="H268" s="563" t="s">
        <v>723</v>
      </c>
      <c r="I268" s="564" t="s">
        <v>724</v>
      </c>
      <c r="J268" s="564">
        <v>1</v>
      </c>
      <c r="K268" s="563" t="s">
        <v>437</v>
      </c>
      <c r="L268" s="565">
        <v>43749</v>
      </c>
      <c r="M268" s="576">
        <v>6.7299999999999999E-2</v>
      </c>
      <c r="N268" s="563" t="s">
        <v>554</v>
      </c>
      <c r="O268" s="563">
        <v>2019.09</v>
      </c>
      <c r="P268" s="566" t="str">
        <f>VLOOKUP(A268,'[1]Raw data'!$B:$BB,23,FALSE)</f>
        <v>JPY</v>
      </c>
      <c r="Q268" s="563" t="str">
        <f>VLOOKUP(A268,'[1]Raw data'!$B:$Z,2,FALSE)</f>
        <v>C49SZX20200038SX</v>
      </c>
      <c r="R268" s="563" t="str">
        <f>VLOOKUP(A268,'[1]Raw data'!$B:$Z,3,FALSE)</f>
        <v>中研</v>
      </c>
      <c r="S268" s="563" t="str">
        <f>VLOOKUP(A268,'[1]Raw data'!$B:$Z,4,FALSE)</f>
        <v>YSM10</v>
      </c>
      <c r="T268" s="563" t="str">
        <f>VLOOKUP(A268,'[1]Raw data'!$B:$Z,8,FALSE)</f>
        <v>L-&gt;R</v>
      </c>
      <c r="U268" s="563" t="str">
        <f>VLOOKUP(A268,'[1]Raw data'!$B:$Z,9,FALSE)</f>
        <v>MVC+Fixed feeder plate 24 positions</v>
      </c>
      <c r="V268" s="567" t="str">
        <f t="shared" si="39"/>
        <v>WRONG</v>
      </c>
      <c r="W268" s="563" t="str">
        <f>VLOOKUP(A268,'[1]Raw data'!$B:$AG,32,FALSE)</f>
        <v>DAP DG</v>
      </c>
      <c r="X268" s="563">
        <f>VLOOKUP(A268,'[1]Raw data'!$B:$BA,31,FALSE)</f>
        <v>43923</v>
      </c>
      <c r="Y268" s="563" t="str">
        <f>VLOOKUP(A268,'[1]Raw data'!$B:$AS,39,FALSE)</f>
        <v>Yes</v>
      </c>
      <c r="AC268" s="563" t="s">
        <v>725</v>
      </c>
      <c r="AD268" s="571">
        <v>301</v>
      </c>
      <c r="AE268" s="571">
        <v>10</v>
      </c>
      <c r="AN268" s="542"/>
      <c r="AO268" s="824" t="str">
        <f t="shared" si="40"/>
        <v>Yes</v>
      </c>
      <c r="AP268" s="259" t="str">
        <f t="shared" si="41"/>
        <v>APR 20</v>
      </c>
      <c r="AQ268" s="542" t="str">
        <f t="shared" si="42"/>
        <v>有定金+有預留客戶</v>
      </c>
      <c r="AR268" s="259" t="str">
        <f t="shared" si="43"/>
        <v>Shipped_Stock</v>
      </c>
      <c r="AS268" s="259" t="str">
        <f t="shared" si="44"/>
        <v/>
      </c>
      <c r="AT268" s="259" t="str">
        <f t="shared" si="45"/>
        <v>中研</v>
      </c>
      <c r="AU268" s="259" t="str">
        <f t="shared" si="46"/>
        <v>C49SZX20200038SX</v>
      </c>
      <c r="AV268" s="259" t="str">
        <f t="shared" si="47"/>
        <v>Oct-11</v>
      </c>
    </row>
    <row r="269" spans="1:48" ht="15" hidden="1" customHeight="1">
      <c r="A269" s="559">
        <v>434</v>
      </c>
      <c r="B269" s="563" t="s">
        <v>280</v>
      </c>
      <c r="C269" s="560" t="s">
        <v>281</v>
      </c>
      <c r="D269" s="600">
        <v>109665</v>
      </c>
      <c r="E269" s="563" t="s">
        <v>644</v>
      </c>
      <c r="F269" s="563" t="s">
        <v>17</v>
      </c>
      <c r="G269" s="563" t="s">
        <v>18</v>
      </c>
      <c r="H269" s="563" t="s">
        <v>26</v>
      </c>
      <c r="I269" s="564" t="s">
        <v>726</v>
      </c>
      <c r="J269" s="564">
        <v>1</v>
      </c>
      <c r="K269" s="563" t="s">
        <v>605</v>
      </c>
      <c r="L269" s="565">
        <v>43749</v>
      </c>
      <c r="M269" s="566">
        <v>6.7299999999999999E-2</v>
      </c>
      <c r="N269" s="563" t="s">
        <v>475</v>
      </c>
      <c r="O269" s="563"/>
      <c r="P269" s="566" t="str">
        <f>VLOOKUP(A269,'[1]Raw data'!$B:$BB,23,FALSE)</f>
        <v>RMB</v>
      </c>
      <c r="Q269" s="563" t="str">
        <f>VLOOKUP(A269,'[1]Raw data'!$B:$Z,2,FALSE)</f>
        <v>C49SZX20190140SS</v>
      </c>
      <c r="R269" s="563" t="str">
        <f>VLOOKUP(A269,'[1]Raw data'!$B:$Z,3,FALSE)</f>
        <v>中润互联</v>
      </c>
      <c r="S269" s="563" t="str">
        <f>VLOOKUP(A269,'[1]Raw data'!$B:$Z,4,FALSE)</f>
        <v>YSM10</v>
      </c>
      <c r="T269" s="563" t="str">
        <f>VLOOKUP(A269,'[1]Raw data'!$B:$Z,8,FALSE)</f>
        <v>L-&gt;R</v>
      </c>
      <c r="U269" s="563" t="str">
        <f>VLOOKUP(A269,'[1]Raw data'!$B:$Z,9,FALSE)</f>
        <v>MVC</v>
      </c>
      <c r="V269" s="567" t="str">
        <f t="shared" si="39"/>
        <v>WRONG</v>
      </c>
      <c r="W269" s="563" t="str">
        <f>VLOOKUP(A269,'[1]Raw data'!$B:$AG,32,FALSE)</f>
        <v>含税到厂</v>
      </c>
      <c r="X269" s="563">
        <f>VLOOKUP(A269,'[1]Raw data'!$B:$BA,31,FALSE)</f>
        <v>43732</v>
      </c>
      <c r="Y269" s="563" t="str">
        <f>VLOOKUP(A269,'[1]Raw data'!$B:$AS,39,FALSE)</f>
        <v>Yes</v>
      </c>
      <c r="Z269" s="568"/>
      <c r="AA269" s="569"/>
      <c r="AB269" s="570"/>
      <c r="AC269" s="563" t="s">
        <v>727</v>
      </c>
      <c r="AD269" s="571">
        <v>301</v>
      </c>
      <c r="AE269" s="571">
        <v>10</v>
      </c>
      <c r="AN269" s="542"/>
      <c r="AO269" s="824" t="str">
        <f t="shared" si="40"/>
        <v>Yes</v>
      </c>
      <c r="AP269" s="259" t="str">
        <f t="shared" si="41"/>
        <v>OCT 19</v>
      </c>
      <c r="AQ269" s="542" t="str">
        <f t="shared" si="42"/>
        <v>有定金+有預留客戶</v>
      </c>
      <c r="AR269" s="259" t="str">
        <f t="shared" si="43"/>
        <v>Shipped_Stock</v>
      </c>
      <c r="AS269" s="259" t="str">
        <f t="shared" si="44"/>
        <v/>
      </c>
      <c r="AT269" s="259" t="str">
        <f t="shared" si="45"/>
        <v>中润互联</v>
      </c>
      <c r="AU269" s="259" t="str">
        <f t="shared" si="46"/>
        <v>C49SZX20190140SS</v>
      </c>
      <c r="AV269" s="259" t="str">
        <f t="shared" si="47"/>
        <v>Oct-11</v>
      </c>
    </row>
    <row r="270" spans="1:48" ht="15" hidden="1" customHeight="1">
      <c r="A270" s="559">
        <v>465</v>
      </c>
      <c r="B270" s="563" t="s">
        <v>280</v>
      </c>
      <c r="C270" s="560" t="s">
        <v>281</v>
      </c>
      <c r="D270" s="600">
        <v>109686</v>
      </c>
      <c r="E270" s="563" t="s">
        <v>644</v>
      </c>
      <c r="F270" s="563" t="s">
        <v>17</v>
      </c>
      <c r="G270" s="563" t="s">
        <v>18</v>
      </c>
      <c r="H270" s="563" t="s">
        <v>26</v>
      </c>
      <c r="I270" s="564" t="s">
        <v>728</v>
      </c>
      <c r="J270" s="564">
        <v>1</v>
      </c>
      <c r="K270" s="563" t="s">
        <v>661</v>
      </c>
      <c r="L270" s="565">
        <v>43756</v>
      </c>
      <c r="M270" s="566">
        <v>6.7100000000000007E-2</v>
      </c>
      <c r="N270" s="563" t="s">
        <v>504</v>
      </c>
      <c r="O270" s="563">
        <v>2019.1</v>
      </c>
      <c r="P270" s="566" t="str">
        <f>VLOOKUP(A270,'[1]Raw data'!$B:$BB,23,FALSE)</f>
        <v>JPY</v>
      </c>
      <c r="Q270" s="563" t="str">
        <f>VLOOKUP(A270,'[1]Raw data'!$B:$Z,2,FALSE)</f>
        <v>C49SZX20190155JY</v>
      </c>
      <c r="R270" s="563" t="str">
        <f>VLOOKUP(A270,'[1]Raw data'!$B:$Z,3,FALSE)</f>
        <v>海松微</v>
      </c>
      <c r="S270" s="563" t="str">
        <f>VLOOKUP(A270,'[1]Raw data'!$B:$Z,4,FALSE)</f>
        <v>YSM10</v>
      </c>
      <c r="T270" s="563" t="str">
        <f>VLOOKUP(A270,'[1]Raw data'!$B:$Z,8,FALSE)</f>
        <v>L-&gt;R</v>
      </c>
      <c r="U270" s="563" t="str">
        <f>VLOOKUP(A270,'[1]Raw data'!$B:$Z,9,FALSE)</f>
        <v>MVC</v>
      </c>
      <c r="V270" s="567" t="str">
        <f t="shared" si="39"/>
        <v>WRONG</v>
      </c>
      <c r="W270" s="563" t="str">
        <f>VLOOKUP(A270,'[1]Raw data'!$B:$AG,32,FALSE)</f>
        <v>DAP SZ</v>
      </c>
      <c r="X270" s="563">
        <f>VLOOKUP(A270,'[1]Raw data'!$B:$BA,31,FALSE)</f>
        <v>43763</v>
      </c>
      <c r="Y270" s="563" t="str">
        <f>VLOOKUP(A270,'[1]Raw data'!$B:$AS,39,FALSE)</f>
        <v>Yes</v>
      </c>
      <c r="Z270" s="568"/>
      <c r="AA270" s="569"/>
      <c r="AB270" s="570"/>
      <c r="AC270" s="563" t="s">
        <v>662</v>
      </c>
      <c r="AD270" s="571">
        <v>302</v>
      </c>
      <c r="AE270" s="571">
        <v>10</v>
      </c>
      <c r="AN270" s="542"/>
      <c r="AO270" s="824" t="str">
        <f t="shared" si="40"/>
        <v>Yes</v>
      </c>
      <c r="AP270" s="259" t="str">
        <f t="shared" si="41"/>
        <v>NOV 19</v>
      </c>
      <c r="AQ270" s="542" t="str">
        <f t="shared" si="42"/>
        <v>有定金+有預留客戶</v>
      </c>
      <c r="AR270" s="259" t="str">
        <f t="shared" si="43"/>
        <v>Shipped_Stock</v>
      </c>
      <c r="AS270" s="259" t="str">
        <f t="shared" si="44"/>
        <v/>
      </c>
      <c r="AT270" s="259" t="str">
        <f t="shared" si="45"/>
        <v>海松微</v>
      </c>
      <c r="AU270" s="259" t="str">
        <f t="shared" si="46"/>
        <v>C49SZX20190155JY</v>
      </c>
      <c r="AV270" s="259" t="str">
        <f t="shared" si="47"/>
        <v>Oct-18</v>
      </c>
    </row>
    <row r="271" spans="1:48" ht="15" hidden="1" customHeight="1">
      <c r="A271" s="559">
        <v>496</v>
      </c>
      <c r="B271" s="563" t="s">
        <v>280</v>
      </c>
      <c r="C271" s="560" t="s">
        <v>281</v>
      </c>
      <c r="D271" s="600">
        <v>109686</v>
      </c>
      <c r="E271" s="563" t="s">
        <v>644</v>
      </c>
      <c r="F271" s="563" t="s">
        <v>241</v>
      </c>
      <c r="G271" s="563" t="s">
        <v>18</v>
      </c>
      <c r="H271" s="563" t="s">
        <v>26</v>
      </c>
      <c r="I271" s="564" t="s">
        <v>729</v>
      </c>
      <c r="J271" s="564">
        <v>1</v>
      </c>
      <c r="K271" s="563" t="s">
        <v>295</v>
      </c>
      <c r="L271" s="565">
        <v>43756</v>
      </c>
      <c r="M271" s="566">
        <v>6.7100000000000007E-2</v>
      </c>
      <c r="N271" s="563" t="s">
        <v>286</v>
      </c>
      <c r="O271" s="563">
        <v>2019.1</v>
      </c>
      <c r="P271" s="566" t="str">
        <f>VLOOKUP(A271,'[1]Raw data'!$B:$BB,23,FALSE)</f>
        <v>RMB</v>
      </c>
      <c r="Q271" s="563" t="str">
        <f>VLOOKUP(A271,'[1]Raw data'!$B:$Z,2,FALSE)</f>
        <v>C49SZX20190168JL</v>
      </c>
      <c r="R271" s="563" t="str">
        <f>VLOOKUP(A271,'[1]Raw data'!$B:$Z,3,FALSE)</f>
        <v>名佳</v>
      </c>
      <c r="S271" s="563" t="str">
        <f>VLOOKUP(A271,'[1]Raw data'!$B:$Z,4,FALSE)</f>
        <v>YSM10</v>
      </c>
      <c r="T271" s="563" t="str">
        <f>VLOOKUP(A271,'[1]Raw data'!$B:$Z,8,FALSE)</f>
        <v>L-&gt;R</v>
      </c>
      <c r="U271" s="563" t="str">
        <f>VLOOKUP(A271,'[1]Raw data'!$B:$Z,9,FALSE)</f>
        <v>MVC</v>
      </c>
      <c r="V271" s="567" t="str">
        <f t="shared" si="39"/>
        <v>WRONG</v>
      </c>
      <c r="W271" s="563" t="str">
        <f>VLOOKUP(A271,'[1]Raw data'!$B:$AG,32,FALSE)</f>
        <v>含税到厂</v>
      </c>
      <c r="X271" s="563">
        <f>VLOOKUP(A271,'[1]Raw data'!$B:$BA,31,FALSE)</f>
        <v>43777</v>
      </c>
      <c r="Y271" s="563" t="str">
        <f>VLOOKUP(A271,'[1]Raw data'!$B:$AS,39,FALSE)</f>
        <v>Yes</v>
      </c>
      <c r="Z271" s="568"/>
      <c r="AA271" s="569"/>
      <c r="AB271" s="570"/>
      <c r="AC271" s="563" t="s">
        <v>443</v>
      </c>
      <c r="AD271" s="571">
        <v>301</v>
      </c>
      <c r="AE271" s="571">
        <v>10</v>
      </c>
      <c r="AN271" s="542"/>
      <c r="AO271" s="824" t="str">
        <f t="shared" si="40"/>
        <v>Yes</v>
      </c>
      <c r="AP271" s="259" t="str">
        <f t="shared" si="41"/>
        <v>DEC 19</v>
      </c>
      <c r="AQ271" s="542" t="str">
        <f t="shared" si="42"/>
        <v>有定金+有預留客戶</v>
      </c>
      <c r="AR271" s="259" t="str">
        <f t="shared" si="43"/>
        <v>Shipped_Stock</v>
      </c>
      <c r="AS271" s="259" t="str">
        <f t="shared" si="44"/>
        <v/>
      </c>
      <c r="AT271" s="259" t="str">
        <f t="shared" si="45"/>
        <v>名佳</v>
      </c>
      <c r="AU271" s="259" t="str">
        <f t="shared" si="46"/>
        <v>C49SZX20190168JL</v>
      </c>
      <c r="AV271" s="259" t="str">
        <f t="shared" si="47"/>
        <v>Oct-18</v>
      </c>
    </row>
    <row r="272" spans="1:48" ht="15" hidden="1" customHeight="1">
      <c r="A272" s="599">
        <v>513</v>
      </c>
      <c r="B272" s="563" t="s">
        <v>280</v>
      </c>
      <c r="C272" s="560" t="s">
        <v>281</v>
      </c>
      <c r="D272" s="600">
        <v>109686</v>
      </c>
      <c r="E272" s="563" t="s">
        <v>644</v>
      </c>
      <c r="F272" s="563" t="s">
        <v>17</v>
      </c>
      <c r="G272" s="563" t="s">
        <v>18</v>
      </c>
      <c r="H272" s="563" t="s">
        <v>19</v>
      </c>
      <c r="I272" s="564" t="s">
        <v>730</v>
      </c>
      <c r="J272" s="564">
        <v>1</v>
      </c>
      <c r="K272" s="563" t="s">
        <v>496</v>
      </c>
      <c r="L272" s="565">
        <v>43756</v>
      </c>
      <c r="M272" s="613">
        <v>6.4799999999999996E-2</v>
      </c>
      <c r="N272" s="563" t="s">
        <v>731</v>
      </c>
      <c r="O272" s="563">
        <v>2019.1</v>
      </c>
      <c r="P272" s="566" t="str">
        <f>VLOOKUP(A272,'[1]Raw data'!$B:$BB,23,FALSE)</f>
        <v>JPY</v>
      </c>
      <c r="Q272" s="563" t="str">
        <f>VLOOKUP(A272,'[1]Raw data'!$B:$Z,2,FALSE)</f>
        <v>C49SZX20190172ZX</v>
      </c>
      <c r="R272" s="563" t="str">
        <f>VLOOKUP(A272,'[1]Raw data'!$B:$Z,3,FALSE)</f>
        <v>宽宏</v>
      </c>
      <c r="S272" s="563" t="str">
        <f>VLOOKUP(A272,'[1]Raw data'!$B:$Z,4,FALSE)</f>
        <v>YSM10</v>
      </c>
      <c r="T272" s="563" t="str">
        <f>VLOOKUP(A272,'[1]Raw data'!$B:$Z,8,FALSE)</f>
        <v>L-&gt;R</v>
      </c>
      <c r="U272" s="563" t="str">
        <f>VLOOKUP(A272,'[1]Raw data'!$B:$Z,9,FALSE)</f>
        <v>MVC+ATS15</v>
      </c>
      <c r="V272" s="567" t="str">
        <f t="shared" si="39"/>
        <v>WRONG</v>
      </c>
      <c r="W272" s="563" t="str">
        <f>VLOOKUP(A272,'[1]Raw data'!$B:$AG,32,FALSE)</f>
        <v>CIF HK</v>
      </c>
      <c r="X272" s="563">
        <f>VLOOKUP(A272,'[1]Raw data'!$B:$BA,31,FALSE)</f>
        <v>43790</v>
      </c>
      <c r="Y272" s="563" t="str">
        <f>VLOOKUP(A272,'[1]Raw data'!$B:$AS,39,FALSE)</f>
        <v>Yes</v>
      </c>
      <c r="Z272" s="568"/>
      <c r="AA272" s="569"/>
      <c r="AB272" s="570"/>
      <c r="AC272" s="563" t="s">
        <v>732</v>
      </c>
      <c r="AD272" s="571">
        <v>302</v>
      </c>
      <c r="AE272" s="571">
        <v>10</v>
      </c>
      <c r="AN272" s="542"/>
      <c r="AO272" s="824" t="str">
        <f t="shared" si="40"/>
        <v>Yes</v>
      </c>
      <c r="AP272" s="259" t="str">
        <f t="shared" si="41"/>
        <v>JAN 20</v>
      </c>
      <c r="AQ272" s="542" t="str">
        <f t="shared" si="42"/>
        <v>有定金+有預留客戶</v>
      </c>
      <c r="AR272" s="259" t="str">
        <f t="shared" si="43"/>
        <v>Shipped_Stock</v>
      </c>
      <c r="AS272" s="259" t="str">
        <f t="shared" si="44"/>
        <v/>
      </c>
      <c r="AT272" s="259" t="str">
        <f t="shared" si="45"/>
        <v>宽宏</v>
      </c>
      <c r="AU272" s="259" t="str">
        <f t="shared" si="46"/>
        <v>C49SZX20190172ZX</v>
      </c>
      <c r="AV272" s="259" t="str">
        <f t="shared" si="47"/>
        <v>Oct-18</v>
      </c>
    </row>
    <row r="273" spans="1:48" ht="15" hidden="1" customHeight="1">
      <c r="A273" s="559">
        <v>527</v>
      </c>
      <c r="B273" s="563" t="s">
        <v>280</v>
      </c>
      <c r="C273" s="560" t="s">
        <v>281</v>
      </c>
      <c r="D273" s="600">
        <v>109686</v>
      </c>
      <c r="E273" s="563" t="s">
        <v>644</v>
      </c>
      <c r="F273" s="563" t="s">
        <v>17</v>
      </c>
      <c r="G273" s="563" t="s">
        <v>18</v>
      </c>
      <c r="H273" s="563" t="s">
        <v>26</v>
      </c>
      <c r="I273" s="564" t="s">
        <v>733</v>
      </c>
      <c r="J273" s="564">
        <v>1</v>
      </c>
      <c r="K273" s="563" t="s">
        <v>437</v>
      </c>
      <c r="L273" s="565">
        <v>43756</v>
      </c>
      <c r="M273" s="566">
        <v>6.7100000000000007E-2</v>
      </c>
      <c r="N273" s="563" t="s">
        <v>286</v>
      </c>
      <c r="O273" s="563">
        <v>2019.1</v>
      </c>
      <c r="P273" s="566" t="str">
        <f>VLOOKUP(A273,'[1]Raw data'!$B:$BB,23,FALSE)</f>
        <v>JPY</v>
      </c>
      <c r="Q273" s="563" t="str">
        <f>VLOOKUP(A273,'[1]Raw data'!$B:$Z,2,FALSE)</f>
        <v>C49SZX20190180SS</v>
      </c>
      <c r="R273" s="563" t="str">
        <f>VLOOKUP(A273,'[1]Raw data'!$B:$Z,3,FALSE)</f>
        <v>正创</v>
      </c>
      <c r="S273" s="563" t="str">
        <f>VLOOKUP(A273,'[1]Raw data'!$B:$Z,4,FALSE)</f>
        <v>YSM10</v>
      </c>
      <c r="T273" s="563" t="str">
        <f>VLOOKUP(A273,'[1]Raw data'!$B:$Z,8,FALSE)</f>
        <v>L-&gt;R</v>
      </c>
      <c r="U273" s="563" t="str">
        <f>VLOOKUP(A273,'[1]Raw data'!$B:$Z,9,FALSE)</f>
        <v>MVC</v>
      </c>
      <c r="V273" s="567" t="str">
        <f t="shared" si="39"/>
        <v>WRONG</v>
      </c>
      <c r="W273" s="563" t="str">
        <f>VLOOKUP(A273,'[1]Raw data'!$B:$AG,32,FALSE)</f>
        <v>DAP SZ</v>
      </c>
      <c r="X273" s="563">
        <f>VLOOKUP(A273,'[1]Raw data'!$B:$BA,31,FALSE)</f>
        <v>43805</v>
      </c>
      <c r="Y273" s="563" t="str">
        <f>VLOOKUP(A273,'[1]Raw data'!$B:$AS,39,FALSE)</f>
        <v>Yes</v>
      </c>
      <c r="Z273" s="568"/>
      <c r="AA273" s="569"/>
      <c r="AB273" s="570"/>
      <c r="AC273" s="563" t="s">
        <v>734</v>
      </c>
      <c r="AD273" s="571">
        <v>302</v>
      </c>
      <c r="AE273" s="571">
        <v>10</v>
      </c>
      <c r="AN273" s="542"/>
      <c r="AO273" s="824" t="str">
        <f t="shared" si="40"/>
        <v>Yes</v>
      </c>
      <c r="AP273" s="259" t="str">
        <f t="shared" si="41"/>
        <v>DEC 19</v>
      </c>
      <c r="AQ273" s="542" t="str">
        <f t="shared" si="42"/>
        <v>有定金+有預留客戶</v>
      </c>
      <c r="AR273" s="259" t="str">
        <f t="shared" si="43"/>
        <v>Shipped_Stock</v>
      </c>
      <c r="AS273" s="259" t="str">
        <f t="shared" si="44"/>
        <v/>
      </c>
      <c r="AT273" s="259" t="str">
        <f t="shared" si="45"/>
        <v>正创</v>
      </c>
      <c r="AU273" s="259" t="str">
        <f t="shared" si="46"/>
        <v>C49SZX20190180SS</v>
      </c>
      <c r="AV273" s="259" t="str">
        <f t="shared" si="47"/>
        <v>Oct-18</v>
      </c>
    </row>
    <row r="274" spans="1:48" ht="15" hidden="1" customHeight="1">
      <c r="A274" s="559">
        <v>459</v>
      </c>
      <c r="B274" s="563" t="s">
        <v>280</v>
      </c>
      <c r="C274" s="560" t="s">
        <v>281</v>
      </c>
      <c r="D274" s="600">
        <v>109686</v>
      </c>
      <c r="E274" s="563" t="s">
        <v>644</v>
      </c>
      <c r="F274" s="563" t="s">
        <v>17</v>
      </c>
      <c r="G274" s="563" t="s">
        <v>18</v>
      </c>
      <c r="H274" s="563" t="s">
        <v>19</v>
      </c>
      <c r="I274" s="564" t="s">
        <v>735</v>
      </c>
      <c r="J274" s="564">
        <v>1</v>
      </c>
      <c r="K274" s="563" t="s">
        <v>437</v>
      </c>
      <c r="L274" s="565">
        <v>43756</v>
      </c>
      <c r="M274" s="566">
        <v>6.7100000000000007E-2</v>
      </c>
      <c r="N274" s="563" t="s">
        <v>286</v>
      </c>
      <c r="O274" s="563">
        <v>2019.09</v>
      </c>
      <c r="P274" s="566" t="str">
        <f>VLOOKUP(A274,'[1]Raw data'!$B:$BB,23,FALSE)</f>
        <v>JPY</v>
      </c>
      <c r="Q274" s="563" t="str">
        <f>VLOOKUP(A274,'[1]Raw data'!$B:$Z,2,FALSE)</f>
        <v>C49SZX20190028MZR1</v>
      </c>
      <c r="R274" s="563" t="str">
        <f>VLOOKUP(A274,'[1]Raw data'!$B:$Z,3,FALSE)</f>
        <v>魔乐视/end user:拓普赛特</v>
      </c>
      <c r="S274" s="563" t="str">
        <f>VLOOKUP(A274,'[1]Raw data'!$B:$Z,4,FALSE)</f>
        <v>YSM10</v>
      </c>
      <c r="T274" s="563" t="str">
        <f>VLOOKUP(A274,'[1]Raw data'!$B:$Z,8,FALSE)</f>
        <v>L-&gt;R</v>
      </c>
      <c r="U274" s="563" t="str">
        <f>VLOOKUP(A274,'[1]Raw data'!$B:$Z,9,FALSE)</f>
        <v>MVC+ATS15</v>
      </c>
      <c r="V274" s="567" t="str">
        <f t="shared" si="39"/>
        <v>WRONG</v>
      </c>
      <c r="W274" s="563" t="str">
        <f>VLOOKUP(A274,'[1]Raw data'!$B:$AG,32,FALSE)</f>
        <v>DAP SZ</v>
      </c>
      <c r="X274" s="563">
        <f>VLOOKUP(A274,'[1]Raw data'!$B:$BA,31,FALSE)</f>
        <v>43762</v>
      </c>
      <c r="Y274" s="563" t="str">
        <f>VLOOKUP(A274,'[1]Raw data'!$B:$AS,39,FALSE)</f>
        <v>Yes</v>
      </c>
      <c r="Z274" s="568"/>
      <c r="AA274" s="569"/>
      <c r="AB274" s="570"/>
      <c r="AC274" s="563" t="s">
        <v>736</v>
      </c>
      <c r="AD274" s="571">
        <v>302</v>
      </c>
      <c r="AE274" s="571">
        <v>10</v>
      </c>
      <c r="AN274" s="542"/>
      <c r="AO274" s="824" t="str">
        <f t="shared" si="40"/>
        <v>Yes</v>
      </c>
      <c r="AP274" s="259" t="str">
        <f t="shared" si="41"/>
        <v>DEC 19</v>
      </c>
      <c r="AQ274" s="542" t="str">
        <f t="shared" si="42"/>
        <v>有定金+有預留客戶</v>
      </c>
      <c r="AR274" s="259" t="str">
        <f t="shared" si="43"/>
        <v>Shipped_Stock</v>
      </c>
      <c r="AS274" s="259" t="str">
        <f t="shared" si="44"/>
        <v/>
      </c>
      <c r="AT274" s="259" t="str">
        <f t="shared" si="45"/>
        <v>魔乐视/end user:拓普赛特</v>
      </c>
      <c r="AU274" s="259" t="str">
        <f t="shared" si="46"/>
        <v>C49SZX20190028MZR1</v>
      </c>
      <c r="AV274" s="259" t="str">
        <f t="shared" si="47"/>
        <v>Oct-18</v>
      </c>
    </row>
    <row r="275" spans="1:48" ht="15" hidden="1" customHeight="1">
      <c r="A275" s="559">
        <v>460</v>
      </c>
      <c r="B275" s="563" t="s">
        <v>280</v>
      </c>
      <c r="C275" s="560" t="s">
        <v>281</v>
      </c>
      <c r="D275" s="600">
        <v>109686</v>
      </c>
      <c r="E275" s="563" t="s">
        <v>644</v>
      </c>
      <c r="F275" s="563" t="s">
        <v>17</v>
      </c>
      <c r="G275" s="563" t="s">
        <v>18</v>
      </c>
      <c r="H275" s="563" t="s">
        <v>19</v>
      </c>
      <c r="I275" s="564" t="s">
        <v>737</v>
      </c>
      <c r="J275" s="564">
        <v>1</v>
      </c>
      <c r="K275" s="563" t="s">
        <v>437</v>
      </c>
      <c r="L275" s="565">
        <v>43756</v>
      </c>
      <c r="M275" s="566">
        <v>6.7100000000000007E-2</v>
      </c>
      <c r="N275" s="563" t="s">
        <v>286</v>
      </c>
      <c r="O275" s="563">
        <v>2019.09</v>
      </c>
      <c r="P275" s="566" t="str">
        <f>VLOOKUP(A275,'[1]Raw data'!$B:$BB,23,FALSE)</f>
        <v>JPY</v>
      </c>
      <c r="Q275" s="563" t="str">
        <f>VLOOKUP(A275,'[1]Raw data'!$B:$Z,2,FALSE)</f>
        <v>C49SZX20190028MZR1</v>
      </c>
      <c r="R275" s="563" t="str">
        <f>VLOOKUP(A275,'[1]Raw data'!$B:$Z,3,FALSE)</f>
        <v>魔乐视/end user:拓普赛特</v>
      </c>
      <c r="S275" s="563" t="str">
        <f>VLOOKUP(A275,'[1]Raw data'!$B:$Z,4,FALSE)</f>
        <v>YSM10</v>
      </c>
      <c r="T275" s="563" t="str">
        <f>VLOOKUP(A275,'[1]Raw data'!$B:$Z,8,FALSE)</f>
        <v>R-&gt;L</v>
      </c>
      <c r="U275" s="563" t="str">
        <f>VLOOKUP(A275,'[1]Raw data'!$B:$Z,9,FALSE)</f>
        <v>MVC+ATS15</v>
      </c>
      <c r="V275" s="567" t="str">
        <f t="shared" si="39"/>
        <v>WRONG</v>
      </c>
      <c r="W275" s="563" t="str">
        <f>VLOOKUP(A275,'[1]Raw data'!$B:$AG,32,FALSE)</f>
        <v>DAP SZ</v>
      </c>
      <c r="X275" s="563">
        <f>VLOOKUP(A275,'[1]Raw data'!$B:$BA,31,FALSE)</f>
        <v>43762</v>
      </c>
      <c r="Y275" s="563" t="str">
        <f>VLOOKUP(A275,'[1]Raw data'!$B:$AS,39,FALSE)</f>
        <v>Yes</v>
      </c>
      <c r="Z275" s="568"/>
      <c r="AA275" s="569"/>
      <c r="AB275" s="570"/>
      <c r="AC275" s="563" t="s">
        <v>736</v>
      </c>
      <c r="AD275" s="571">
        <v>302</v>
      </c>
      <c r="AE275" s="571">
        <v>10</v>
      </c>
      <c r="AN275" s="542"/>
      <c r="AO275" s="824" t="str">
        <f t="shared" si="40"/>
        <v>Yes</v>
      </c>
      <c r="AP275" s="259" t="str">
        <f t="shared" si="41"/>
        <v>DEC 19</v>
      </c>
      <c r="AQ275" s="542" t="str">
        <f t="shared" si="42"/>
        <v>有定金+有預留客戶</v>
      </c>
      <c r="AR275" s="259" t="str">
        <f t="shared" si="43"/>
        <v>Shipped_Stock</v>
      </c>
      <c r="AS275" s="259" t="str">
        <f t="shared" si="44"/>
        <v/>
      </c>
      <c r="AT275" s="259" t="str">
        <f t="shared" si="45"/>
        <v>魔乐视/end user:拓普赛特</v>
      </c>
      <c r="AU275" s="259" t="str">
        <f t="shared" si="46"/>
        <v>C49SZX20190028MZR1</v>
      </c>
      <c r="AV275" s="259" t="str">
        <f t="shared" si="47"/>
        <v>Oct-18</v>
      </c>
    </row>
    <row r="276" spans="1:48" ht="15" hidden="1" customHeight="1">
      <c r="A276" s="559">
        <v>525</v>
      </c>
      <c r="B276" s="563" t="s">
        <v>280</v>
      </c>
      <c r="C276" s="560" t="s">
        <v>281</v>
      </c>
      <c r="D276" s="600">
        <v>109715</v>
      </c>
      <c r="E276" s="563" t="s">
        <v>644</v>
      </c>
      <c r="F276" s="563" t="s">
        <v>256</v>
      </c>
      <c r="G276" s="563" t="s">
        <v>24</v>
      </c>
      <c r="H276" s="563" t="s">
        <v>26</v>
      </c>
      <c r="I276" s="564" t="s">
        <v>738</v>
      </c>
      <c r="J276" s="564">
        <v>1</v>
      </c>
      <c r="K276" s="563" t="s">
        <v>295</v>
      </c>
      <c r="L276" s="565">
        <v>43763</v>
      </c>
      <c r="M276" s="615" t="s">
        <v>739</v>
      </c>
      <c r="N276" s="563" t="s">
        <v>286</v>
      </c>
      <c r="O276" s="564">
        <v>2019.1</v>
      </c>
      <c r="P276" s="566" t="str">
        <f>VLOOKUP(A276,'[1]Raw data'!$B:$BB,23,FALSE)</f>
        <v>RMB</v>
      </c>
      <c r="Q276" s="563" t="str">
        <f>VLOOKUP(A276,'[1]Raw data'!$B:$Z,2,FALSE)</f>
        <v>C49SZX20190181DY</v>
      </c>
      <c r="R276" s="563" t="str">
        <f>VLOOKUP(A276,'[1]Raw data'!$B:$Z,3,FALSE)</f>
        <v>杰森泰</v>
      </c>
      <c r="S276" s="563" t="str">
        <f>VLOOKUP(A276,'[1]Raw data'!$B:$Z,4,FALSE)</f>
        <v>YSM20R(SV)-2</v>
      </c>
      <c r="T276" s="563" t="str">
        <f>VLOOKUP(A276,'[1]Raw data'!$B:$Z,8,FALSE)</f>
        <v>L-&gt;R</v>
      </c>
      <c r="U276" s="563" t="str">
        <f>VLOOKUP(A276,'[1]Raw data'!$B:$Z,9,FALSE)</f>
        <v>No</v>
      </c>
      <c r="V276" s="567" t="str">
        <f t="shared" si="39"/>
        <v>OK</v>
      </c>
      <c r="W276" s="563" t="str">
        <f>VLOOKUP(A276,'[1]Raw data'!$B:$AG,32,FALSE)</f>
        <v>DDP SZ</v>
      </c>
      <c r="X276" s="563">
        <f>VLOOKUP(A276,'[1]Raw data'!$B:$BA,31,FALSE)</f>
        <v>43804</v>
      </c>
      <c r="Y276" s="563" t="str">
        <f>VLOOKUP(A276,'[1]Raw data'!$B:$AS,39,FALSE)</f>
        <v>Yes</v>
      </c>
      <c r="Z276" s="568"/>
      <c r="AA276" s="569"/>
      <c r="AB276" s="570"/>
      <c r="AC276" s="563" t="s">
        <v>740</v>
      </c>
      <c r="AD276" s="571">
        <v>301</v>
      </c>
      <c r="AE276" s="571">
        <v>10</v>
      </c>
      <c r="AF276" s="571">
        <v>303</v>
      </c>
      <c r="AG276" s="571">
        <v>10</v>
      </c>
      <c r="AN276" s="542"/>
      <c r="AO276" s="824" t="str">
        <f t="shared" si="40"/>
        <v>Yes</v>
      </c>
      <c r="AP276" s="259" t="str">
        <f t="shared" si="41"/>
        <v>DEC 19</v>
      </c>
      <c r="AQ276" s="542" t="str">
        <f t="shared" si="42"/>
        <v>有定金+有預留客戶</v>
      </c>
      <c r="AR276" s="259" t="str">
        <f t="shared" si="43"/>
        <v>Shipped_Stock</v>
      </c>
      <c r="AS276" s="259" t="str">
        <f t="shared" si="44"/>
        <v/>
      </c>
      <c r="AT276" s="259" t="str">
        <f t="shared" si="45"/>
        <v>杰森泰</v>
      </c>
      <c r="AU276" s="259" t="str">
        <f t="shared" si="46"/>
        <v>C49SZX20190181DY</v>
      </c>
      <c r="AV276" s="259" t="str">
        <f t="shared" si="47"/>
        <v>Oct-25</v>
      </c>
    </row>
    <row r="277" spans="1:48" ht="15" hidden="1" customHeight="1">
      <c r="A277" s="599">
        <v>476</v>
      </c>
      <c r="B277" s="563" t="s">
        <v>280</v>
      </c>
      <c r="C277" s="560" t="s">
        <v>281</v>
      </c>
      <c r="D277" s="600">
        <v>109715</v>
      </c>
      <c r="E277" s="563" t="s">
        <v>644</v>
      </c>
      <c r="F277" s="563" t="s">
        <v>256</v>
      </c>
      <c r="G277" s="563" t="s">
        <v>24</v>
      </c>
      <c r="H277" s="563" t="s">
        <v>26</v>
      </c>
      <c r="I277" s="564" t="s">
        <v>741</v>
      </c>
      <c r="J277" s="564">
        <v>1</v>
      </c>
      <c r="K277" s="563" t="s">
        <v>496</v>
      </c>
      <c r="L277" s="565">
        <v>43763</v>
      </c>
      <c r="M277" s="566" t="s">
        <v>257</v>
      </c>
      <c r="N277" s="563" t="s">
        <v>286</v>
      </c>
      <c r="O277" s="564">
        <v>2019.1</v>
      </c>
      <c r="P277" s="566" t="str">
        <f>VLOOKUP(A277,'[1]Raw data'!$B:$BB,23,FALSE)</f>
        <v>JPY</v>
      </c>
      <c r="Q277" s="563" t="str">
        <f>VLOOKUP(A277,'[1]Raw data'!$B:$Z,2,FALSE)</f>
        <v>C49SZX20190156-1ZX</v>
      </c>
      <c r="R277" s="563" t="str">
        <f>VLOOKUP(A277,'[1]Raw data'!$B:$Z,3,FALSE)</f>
        <v>锘铧</v>
      </c>
      <c r="S277" s="563" t="str">
        <f>VLOOKUP(A277,'[1]Raw data'!$B:$Z,4,FALSE)</f>
        <v>YSM20R(SV)-2</v>
      </c>
      <c r="T277" s="563" t="str">
        <f>VLOOKUP(A277,'[1]Raw data'!$B:$Z,8,FALSE)</f>
        <v>L-&gt;R</v>
      </c>
      <c r="U277" s="563" t="str">
        <f>VLOOKUP(A277,'[1]Raw data'!$B:$Z,9,FALSE)</f>
        <v>No</v>
      </c>
      <c r="V277" s="567" t="str">
        <f t="shared" si="39"/>
        <v>OK</v>
      </c>
      <c r="W277" s="563" t="str">
        <f>VLOOKUP(A277,'[1]Raw data'!$B:$AG,32,FALSE)</f>
        <v>DAP GZ</v>
      </c>
      <c r="X277" s="563">
        <f>VLOOKUP(A277,'[1]Raw data'!$B:$BA,31,FALSE)</f>
        <v>43774</v>
      </c>
      <c r="Y277" s="563" t="str">
        <f>VLOOKUP(A277,'[1]Raw data'!$B:$AS,39,FALSE)</f>
        <v>Yes</v>
      </c>
      <c r="Z277" s="568"/>
      <c r="AA277" s="569"/>
      <c r="AB277" s="570"/>
      <c r="AC277" s="563" t="s">
        <v>621</v>
      </c>
      <c r="AD277" s="571">
        <v>302</v>
      </c>
      <c r="AE277" s="571">
        <v>20</v>
      </c>
      <c r="AN277" s="542"/>
      <c r="AO277" s="824" t="str">
        <f t="shared" si="40"/>
        <v>Yes</v>
      </c>
      <c r="AP277" s="259" t="str">
        <f t="shared" si="41"/>
        <v>DEC 19</v>
      </c>
      <c r="AQ277" s="542" t="str">
        <f t="shared" si="42"/>
        <v>有定金+有預留客戶</v>
      </c>
      <c r="AR277" s="259" t="str">
        <f t="shared" si="43"/>
        <v>Shipped_Stock</v>
      </c>
      <c r="AS277" s="259" t="str">
        <f t="shared" si="44"/>
        <v/>
      </c>
      <c r="AT277" s="259" t="str">
        <f t="shared" si="45"/>
        <v>锘铧</v>
      </c>
      <c r="AU277" s="259" t="str">
        <f t="shared" si="46"/>
        <v>C49SZX20190156-1ZX</v>
      </c>
      <c r="AV277" s="259" t="str">
        <f t="shared" si="47"/>
        <v>Oct-25</v>
      </c>
    </row>
    <row r="278" spans="1:48" ht="15" hidden="1" customHeight="1">
      <c r="A278" s="599">
        <v>477</v>
      </c>
      <c r="B278" s="563" t="s">
        <v>280</v>
      </c>
      <c r="C278" s="560" t="s">
        <v>281</v>
      </c>
      <c r="D278" s="600">
        <v>109715</v>
      </c>
      <c r="E278" s="563" t="s">
        <v>644</v>
      </c>
      <c r="F278" s="563" t="s">
        <v>256</v>
      </c>
      <c r="G278" s="563" t="s">
        <v>24</v>
      </c>
      <c r="H278" s="563" t="s">
        <v>26</v>
      </c>
      <c r="I278" s="564" t="s">
        <v>742</v>
      </c>
      <c r="J278" s="564">
        <v>1</v>
      </c>
      <c r="K278" s="563" t="s">
        <v>496</v>
      </c>
      <c r="L278" s="565">
        <v>43763</v>
      </c>
      <c r="M278" s="566" t="s">
        <v>257</v>
      </c>
      <c r="N278" s="563" t="s">
        <v>286</v>
      </c>
      <c r="O278" s="564">
        <v>2019.1</v>
      </c>
      <c r="P278" s="566" t="str">
        <f>VLOOKUP(A278,'[1]Raw data'!$B:$BB,23,FALSE)</f>
        <v>JPY</v>
      </c>
      <c r="Q278" s="563" t="str">
        <f>VLOOKUP(A278,'[1]Raw data'!$B:$Z,2,FALSE)</f>
        <v>C49SZX20190156-1ZX</v>
      </c>
      <c r="R278" s="563" t="str">
        <f>VLOOKUP(A278,'[1]Raw data'!$B:$Z,3,FALSE)</f>
        <v>锘铧</v>
      </c>
      <c r="S278" s="563" t="str">
        <f>VLOOKUP(A278,'[1]Raw data'!$B:$Z,4,FALSE)</f>
        <v>YSM20R(SV)-2</v>
      </c>
      <c r="T278" s="563" t="str">
        <f>VLOOKUP(A278,'[1]Raw data'!$B:$Z,8,FALSE)</f>
        <v>L-&gt;R</v>
      </c>
      <c r="U278" s="563" t="str">
        <f>VLOOKUP(A278,'[1]Raw data'!$B:$Z,9,FALSE)</f>
        <v>No</v>
      </c>
      <c r="V278" s="567" t="str">
        <f t="shared" ref="V278:V341" si="48">IF(G278&amp;H278=T278&amp;U278,"OK","WRONG")</f>
        <v>OK</v>
      </c>
      <c r="W278" s="563" t="str">
        <f>VLOOKUP(A278,'[1]Raw data'!$B:$AG,32,FALSE)</f>
        <v>DAP GZ</v>
      </c>
      <c r="X278" s="563">
        <f>VLOOKUP(A278,'[1]Raw data'!$B:$BA,31,FALSE)</f>
        <v>43774</v>
      </c>
      <c r="Y278" s="563" t="str">
        <f>VLOOKUP(A278,'[1]Raw data'!$B:$AS,39,FALSE)</f>
        <v>Yes</v>
      </c>
      <c r="Z278" s="568"/>
      <c r="AA278" s="569"/>
      <c r="AB278" s="570"/>
      <c r="AC278" s="563" t="s">
        <v>621</v>
      </c>
      <c r="AD278" s="571">
        <v>302</v>
      </c>
      <c r="AE278" s="571">
        <v>20</v>
      </c>
      <c r="AN278" s="542"/>
      <c r="AO278" s="824" t="str">
        <f t="shared" si="40"/>
        <v>Yes</v>
      </c>
      <c r="AP278" s="259" t="str">
        <f t="shared" si="41"/>
        <v>DEC 19</v>
      </c>
      <c r="AQ278" s="542" t="str">
        <f t="shared" si="42"/>
        <v>有定金+有預留客戶</v>
      </c>
      <c r="AR278" s="259" t="str">
        <f t="shared" si="43"/>
        <v>Shipped_Stock</v>
      </c>
      <c r="AS278" s="259" t="str">
        <f t="shared" si="44"/>
        <v/>
      </c>
      <c r="AT278" s="259" t="str">
        <f t="shared" si="45"/>
        <v>锘铧</v>
      </c>
      <c r="AU278" s="259" t="str">
        <f t="shared" si="46"/>
        <v>C49SZX20190156-1ZX</v>
      </c>
      <c r="AV278" s="259" t="str">
        <f t="shared" si="47"/>
        <v>Oct-25</v>
      </c>
    </row>
    <row r="279" spans="1:48" ht="15" hidden="1" customHeight="1">
      <c r="A279" s="559">
        <v>469</v>
      </c>
      <c r="B279" s="563" t="s">
        <v>280</v>
      </c>
      <c r="C279" s="560" t="s">
        <v>281</v>
      </c>
      <c r="D279" s="600">
        <v>109715</v>
      </c>
      <c r="E279" s="563" t="s">
        <v>644</v>
      </c>
      <c r="F279" s="563" t="s">
        <v>256</v>
      </c>
      <c r="G279" s="563" t="s">
        <v>24</v>
      </c>
      <c r="H279" s="563" t="s">
        <v>26</v>
      </c>
      <c r="I279" s="564" t="s">
        <v>743</v>
      </c>
      <c r="J279" s="564">
        <v>1</v>
      </c>
      <c r="K279" s="563" t="s">
        <v>437</v>
      </c>
      <c r="L279" s="565">
        <v>43763</v>
      </c>
      <c r="M279" s="566" t="s">
        <v>257</v>
      </c>
      <c r="N279" s="563" t="s">
        <v>504</v>
      </c>
      <c r="O279" s="564">
        <v>2019.1</v>
      </c>
      <c r="P279" s="566" t="str">
        <f>VLOOKUP(A279,'[1]Raw data'!$B:$BB,23,FALSE)</f>
        <v>JPY</v>
      </c>
      <c r="Q279" s="563" t="str">
        <f>VLOOKUP(A279,'[1]Raw data'!$B:$Z,2,FALSE)</f>
        <v>C49SZX20190161SX</v>
      </c>
      <c r="R279" s="563" t="str">
        <f>VLOOKUP(A279,'[1]Raw data'!$B:$Z,3,FALSE)</f>
        <v>玮芯电子</v>
      </c>
      <c r="S279" s="563" t="str">
        <f>VLOOKUP(A279,'[1]Raw data'!$B:$Z,4,FALSE)</f>
        <v>YSM20R(SV)-2</v>
      </c>
      <c r="T279" s="563" t="str">
        <f>VLOOKUP(A279,'[1]Raw data'!$B:$Z,8,FALSE)</f>
        <v>L-&gt;R</v>
      </c>
      <c r="U279" s="563" t="str">
        <f>VLOOKUP(A279,'[1]Raw data'!$B:$Z,9,FALSE)</f>
        <v>No</v>
      </c>
      <c r="V279" s="567" t="str">
        <f t="shared" si="48"/>
        <v>OK</v>
      </c>
      <c r="W279" s="563" t="str">
        <f>VLOOKUP(A279,'[1]Raw data'!$B:$AG,32,FALSE)</f>
        <v>DAP SZ</v>
      </c>
      <c r="X279" s="563">
        <f>VLOOKUP(A279,'[1]Raw data'!$B:$BA,31,FALSE)</f>
        <v>43775</v>
      </c>
      <c r="Y279" s="563" t="str">
        <f>VLOOKUP(A279,'[1]Raw data'!$B:$AS,39,FALSE)</f>
        <v>Yes</v>
      </c>
      <c r="Z279" s="568"/>
      <c r="AA279" s="569"/>
      <c r="AB279" s="570"/>
      <c r="AC279" s="563" t="s">
        <v>625</v>
      </c>
      <c r="AD279" s="571">
        <v>303</v>
      </c>
      <c r="AE279" s="571">
        <v>10</v>
      </c>
      <c r="AF279" s="571">
        <v>304</v>
      </c>
      <c r="AG279" s="571">
        <v>10</v>
      </c>
      <c r="AN279" s="542"/>
      <c r="AO279" s="824" t="str">
        <f t="shared" si="40"/>
        <v>Yes</v>
      </c>
      <c r="AP279" s="259" t="str">
        <f t="shared" si="41"/>
        <v>NOV 19</v>
      </c>
      <c r="AQ279" s="542" t="str">
        <f t="shared" si="42"/>
        <v>有定金+有預留客戶</v>
      </c>
      <c r="AR279" s="259" t="str">
        <f t="shared" si="43"/>
        <v>Shipped_Stock</v>
      </c>
      <c r="AS279" s="259" t="str">
        <f t="shared" si="44"/>
        <v/>
      </c>
      <c r="AT279" s="259" t="str">
        <f t="shared" si="45"/>
        <v>玮芯电子</v>
      </c>
      <c r="AU279" s="259" t="str">
        <f t="shared" si="46"/>
        <v>C49SZX20190161SX</v>
      </c>
      <c r="AV279" s="259" t="str">
        <f t="shared" si="47"/>
        <v>Oct-25</v>
      </c>
    </row>
    <row r="280" spans="1:48" ht="15" hidden="1" customHeight="1">
      <c r="A280" s="559">
        <v>411</v>
      </c>
      <c r="B280" s="563" t="s">
        <v>280</v>
      </c>
      <c r="C280" s="560" t="s">
        <v>281</v>
      </c>
      <c r="D280" s="600">
        <v>109664</v>
      </c>
      <c r="E280" s="563" t="s">
        <v>644</v>
      </c>
      <c r="F280" s="563" t="s">
        <v>256</v>
      </c>
      <c r="G280" s="563" t="s">
        <v>18</v>
      </c>
      <c r="H280" s="563" t="s">
        <v>26</v>
      </c>
      <c r="I280" s="564" t="s">
        <v>744</v>
      </c>
      <c r="J280" s="564">
        <v>1</v>
      </c>
      <c r="K280" s="563" t="s">
        <v>295</v>
      </c>
      <c r="L280" s="565">
        <v>43770</v>
      </c>
      <c r="M280" s="566">
        <v>6.7199999999999996E-2</v>
      </c>
      <c r="N280" s="563" t="s">
        <v>504</v>
      </c>
      <c r="O280" s="564">
        <v>2019.1</v>
      </c>
      <c r="P280" s="566" t="str">
        <f>VLOOKUP(A280,'[1]Raw data'!$B:$BB,23,FALSE)</f>
        <v>RMB</v>
      </c>
      <c r="Q280" s="563" t="str">
        <f>VLOOKUP(A280,'[1]Raw data'!$B:$Z,2,FALSE)</f>
        <v>C49SZX20190129DZ</v>
      </c>
      <c r="R280" s="563" t="str">
        <f>VLOOKUP(A280,'[1]Raw data'!$B:$Z,3,FALSE)</f>
        <v>博星</v>
      </c>
      <c r="S280" s="563" t="str">
        <f>VLOOKUP(A280,'[1]Raw data'!$B:$Z,4,FALSE)</f>
        <v>YSM20R(SV)-2</v>
      </c>
      <c r="T280" s="563" t="str">
        <f>VLOOKUP(A280,'[1]Raw data'!$B:$Z,8,FALSE)</f>
        <v>R-&gt;L</v>
      </c>
      <c r="U280" s="563" t="str">
        <f>VLOOKUP(A280,'[1]Raw data'!$B:$Z,9,FALSE)</f>
        <v>No</v>
      </c>
      <c r="V280" s="567" t="str">
        <f t="shared" si="48"/>
        <v>OK</v>
      </c>
      <c r="W280" s="563" t="str">
        <f>VLOOKUP(A280,'[1]Raw data'!$B:$AG,32,FALSE)</f>
        <v>含税到厂</v>
      </c>
      <c r="X280" s="563">
        <f>VLOOKUP(A280,'[1]Raw data'!$B:$BA,31,FALSE)</f>
        <v>43708</v>
      </c>
      <c r="Y280" s="563" t="str">
        <f>VLOOKUP(A280,'[1]Raw data'!$B:$AS,39,FALSE)</f>
        <v>Yes</v>
      </c>
      <c r="Z280" s="568"/>
      <c r="AA280" s="569"/>
      <c r="AB280" s="570"/>
      <c r="AC280" s="563" t="s">
        <v>606</v>
      </c>
      <c r="AD280" s="571">
        <v>301</v>
      </c>
      <c r="AE280" s="571">
        <v>20</v>
      </c>
      <c r="AN280" s="542"/>
      <c r="AO280" s="824" t="str">
        <f t="shared" si="40"/>
        <v>Yes</v>
      </c>
      <c r="AP280" s="259" t="str">
        <f t="shared" si="41"/>
        <v>NOV 19</v>
      </c>
      <c r="AQ280" s="542" t="str">
        <f t="shared" si="42"/>
        <v>有定金+有預留客戶</v>
      </c>
      <c r="AR280" s="259" t="str">
        <f t="shared" si="43"/>
        <v>Shipped_Stock</v>
      </c>
      <c r="AS280" s="259" t="str">
        <f t="shared" si="44"/>
        <v/>
      </c>
      <c r="AT280" s="259" t="str">
        <f t="shared" si="45"/>
        <v>博星</v>
      </c>
      <c r="AU280" s="259" t="str">
        <f t="shared" si="46"/>
        <v>C49SZX20190129DZ</v>
      </c>
      <c r="AV280" s="259" t="str">
        <f t="shared" si="47"/>
        <v>Nov-01</v>
      </c>
    </row>
    <row r="281" spans="1:48" ht="15" hidden="1" customHeight="1">
      <c r="A281" s="559">
        <v>435</v>
      </c>
      <c r="B281" s="563" t="s">
        <v>280</v>
      </c>
      <c r="C281" s="560" t="s">
        <v>281</v>
      </c>
      <c r="D281" s="600">
        <v>109664</v>
      </c>
      <c r="E281" s="563" t="s">
        <v>644</v>
      </c>
      <c r="F281" s="563" t="s">
        <v>256</v>
      </c>
      <c r="G281" s="563" t="s">
        <v>18</v>
      </c>
      <c r="H281" s="563" t="s">
        <v>26</v>
      </c>
      <c r="I281" s="564" t="s">
        <v>745</v>
      </c>
      <c r="J281" s="564">
        <v>1</v>
      </c>
      <c r="K281" s="563" t="s">
        <v>746</v>
      </c>
      <c r="L281" s="565">
        <v>43770</v>
      </c>
      <c r="M281" s="566">
        <v>6.7199999999999996E-2</v>
      </c>
      <c r="N281" s="563" t="s">
        <v>504</v>
      </c>
      <c r="O281" s="564">
        <v>2019.1</v>
      </c>
      <c r="P281" s="566" t="str">
        <f>VLOOKUP(A281,'[1]Raw data'!$B:$BB,23,FALSE)</f>
        <v>RMB</v>
      </c>
      <c r="Q281" s="563" t="str">
        <f>VLOOKUP(A281,'[1]Raw data'!$B:$Z,2,FALSE)</f>
        <v>C49SZX20190142KW</v>
      </c>
      <c r="R281" s="563" t="str">
        <f>VLOOKUP(A281,'[1]Raw data'!$B:$Z,3,FALSE)</f>
        <v>海龙智通</v>
      </c>
      <c r="S281" s="563" t="str">
        <f>VLOOKUP(A281,'[1]Raw data'!$B:$Z,4,FALSE)</f>
        <v>YSM20R(SV)-2</v>
      </c>
      <c r="T281" s="563" t="str">
        <f>VLOOKUP(A281,'[1]Raw data'!$B:$Z,8,FALSE)</f>
        <v>R-&gt;L</v>
      </c>
      <c r="U281" s="563" t="str">
        <f>VLOOKUP(A281,'[1]Raw data'!$B:$Z,9,FALSE)</f>
        <v>MVC</v>
      </c>
      <c r="V281" s="567" t="str">
        <f t="shared" si="48"/>
        <v>WRONG</v>
      </c>
      <c r="W281" s="563" t="str">
        <f>VLOOKUP(A281,'[1]Raw data'!$B:$AG,32,FALSE)</f>
        <v>含税到厂</v>
      </c>
      <c r="X281" s="563">
        <f>VLOOKUP(A281,'[1]Raw data'!$B:$BA,31,FALSE)</f>
        <v>43734</v>
      </c>
      <c r="Y281" s="563" t="str">
        <f>VLOOKUP(A281,'[1]Raw data'!$B:$AS,39,FALSE)</f>
        <v>Yes</v>
      </c>
      <c r="Z281" s="568"/>
      <c r="AA281" s="569" t="s">
        <v>329</v>
      </c>
      <c r="AB281" s="570"/>
      <c r="AC281" s="563" t="s">
        <v>747</v>
      </c>
      <c r="AD281" s="571">
        <v>301</v>
      </c>
      <c r="AE281" s="571">
        <v>20</v>
      </c>
      <c r="AN281" s="542"/>
      <c r="AO281" s="824" t="str">
        <f t="shared" si="40"/>
        <v>Yes</v>
      </c>
      <c r="AP281" s="259" t="str">
        <f t="shared" si="41"/>
        <v>NOV 19</v>
      </c>
      <c r="AQ281" s="542" t="str">
        <f t="shared" si="42"/>
        <v>有定金+有預留客戶</v>
      </c>
      <c r="AR281" s="259" t="str">
        <f t="shared" si="43"/>
        <v>Shipped_Stock</v>
      </c>
      <c r="AS281" s="259" t="str">
        <f t="shared" si="44"/>
        <v/>
      </c>
      <c r="AT281" s="259" t="str">
        <f t="shared" si="45"/>
        <v>海龙智通</v>
      </c>
      <c r="AU281" s="259" t="str">
        <f t="shared" si="46"/>
        <v>C49SZX20190142KW</v>
      </c>
      <c r="AV281" s="259" t="str">
        <f t="shared" si="47"/>
        <v>Nov-01</v>
      </c>
    </row>
    <row r="282" spans="1:48" hidden="1">
      <c r="A282" s="559">
        <v>413</v>
      </c>
      <c r="B282" s="563" t="s">
        <v>280</v>
      </c>
      <c r="C282" s="560" t="s">
        <v>281</v>
      </c>
      <c r="D282" s="600">
        <v>109705</v>
      </c>
      <c r="E282" s="563" t="s">
        <v>644</v>
      </c>
      <c r="F282" s="563" t="s">
        <v>256</v>
      </c>
      <c r="G282" s="563" t="s">
        <v>18</v>
      </c>
      <c r="H282" s="563" t="s">
        <v>26</v>
      </c>
      <c r="I282" s="564" t="s">
        <v>748</v>
      </c>
      <c r="J282" s="564">
        <v>1</v>
      </c>
      <c r="K282" s="563" t="s">
        <v>746</v>
      </c>
      <c r="L282" s="565">
        <v>43770</v>
      </c>
      <c r="M282" s="566" t="s">
        <v>257</v>
      </c>
      <c r="N282" s="563" t="s">
        <v>504</v>
      </c>
      <c r="O282" s="564">
        <v>2019.1</v>
      </c>
      <c r="P282" s="566" t="str">
        <f>VLOOKUP(A282,'[1]Raw data'!$B:$BB,23,FALSE)</f>
        <v>RMB</v>
      </c>
      <c r="Q282" s="563" t="str">
        <f>VLOOKUP(A282,'[1]Raw data'!$B:$Z,2,FALSE)</f>
        <v>C49SZX20190129DZ</v>
      </c>
      <c r="R282" s="563" t="str">
        <f>VLOOKUP(A282,'[1]Raw data'!$B:$Z,3,FALSE)</f>
        <v>博星</v>
      </c>
      <c r="S282" s="563" t="str">
        <f>VLOOKUP(A282,'[1]Raw data'!$B:$Z,4,FALSE)</f>
        <v>YSM20R(SV)-2</v>
      </c>
      <c r="T282" s="563" t="str">
        <f>VLOOKUP(A282,'[1]Raw data'!$B:$Z,8,FALSE)</f>
        <v>R-&gt;L</v>
      </c>
      <c r="U282" s="563" t="str">
        <f>VLOOKUP(A282,'[1]Raw data'!$B:$Z,9,FALSE)</f>
        <v>No</v>
      </c>
      <c r="V282" s="567" t="str">
        <f t="shared" si="48"/>
        <v>OK</v>
      </c>
      <c r="W282" s="563" t="str">
        <f>VLOOKUP(A282,'[1]Raw data'!$B:$AG,32,FALSE)</f>
        <v>含税到厂</v>
      </c>
      <c r="X282" s="563">
        <f>VLOOKUP(A282,'[1]Raw data'!$B:$BA,31,FALSE)</f>
        <v>43708</v>
      </c>
      <c r="Y282" s="563" t="str">
        <f>VLOOKUP(A282,'[1]Raw data'!$B:$AS,39,FALSE)</f>
        <v>Yes</v>
      </c>
      <c r="Z282" s="568"/>
      <c r="AA282" s="569"/>
      <c r="AB282" s="570"/>
      <c r="AC282" s="563" t="s">
        <v>606</v>
      </c>
      <c r="AD282" s="571">
        <v>301</v>
      </c>
      <c r="AE282" s="571">
        <v>20</v>
      </c>
      <c r="AN282" s="586"/>
      <c r="AO282" s="824" t="str">
        <f t="shared" si="40"/>
        <v>Yes</v>
      </c>
      <c r="AP282" s="259" t="str">
        <f t="shared" si="41"/>
        <v>NOV 19</v>
      </c>
      <c r="AQ282" s="542" t="str">
        <f t="shared" si="42"/>
        <v>有定金+有預留客戶</v>
      </c>
      <c r="AR282" s="259" t="str">
        <f t="shared" si="43"/>
        <v>Shipped_Stock</v>
      </c>
      <c r="AS282" s="259" t="str">
        <f t="shared" si="44"/>
        <v/>
      </c>
      <c r="AT282" s="259" t="str">
        <f t="shared" si="45"/>
        <v>博星</v>
      </c>
      <c r="AU282" s="259" t="str">
        <f t="shared" si="46"/>
        <v>C49SZX20190129DZ</v>
      </c>
      <c r="AV282" s="259" t="str">
        <f t="shared" si="47"/>
        <v>Nov-01</v>
      </c>
    </row>
    <row r="283" spans="1:48" ht="15" hidden="1" customHeight="1">
      <c r="A283" s="559">
        <v>414</v>
      </c>
      <c r="B283" s="563" t="s">
        <v>280</v>
      </c>
      <c r="C283" s="560" t="s">
        <v>281</v>
      </c>
      <c r="D283" s="600">
        <v>109705</v>
      </c>
      <c r="E283" s="563" t="s">
        <v>644</v>
      </c>
      <c r="F283" s="563" t="s">
        <v>256</v>
      </c>
      <c r="G283" s="563" t="s">
        <v>18</v>
      </c>
      <c r="H283" s="563" t="s">
        <v>26</v>
      </c>
      <c r="I283" s="564" t="s">
        <v>749</v>
      </c>
      <c r="J283" s="564">
        <v>1</v>
      </c>
      <c r="K283" s="563" t="s">
        <v>746</v>
      </c>
      <c r="L283" s="565">
        <v>43770</v>
      </c>
      <c r="M283" s="566" t="s">
        <v>257</v>
      </c>
      <c r="N283" s="563" t="s">
        <v>504</v>
      </c>
      <c r="O283" s="564">
        <v>2019.1</v>
      </c>
      <c r="P283" s="566" t="str">
        <f>VLOOKUP(A283,'[1]Raw data'!$B:$BB,23,FALSE)</f>
        <v>RMB</v>
      </c>
      <c r="Q283" s="563" t="str">
        <f>VLOOKUP(A283,'[1]Raw data'!$B:$Z,2,FALSE)</f>
        <v>C49SZX20190129DZ</v>
      </c>
      <c r="R283" s="563" t="str">
        <f>VLOOKUP(A283,'[1]Raw data'!$B:$Z,3,FALSE)</f>
        <v>博星</v>
      </c>
      <c r="S283" s="563" t="str">
        <f>VLOOKUP(A283,'[1]Raw data'!$B:$Z,4,FALSE)</f>
        <v>YSM20R(SV)-2</v>
      </c>
      <c r="T283" s="563" t="str">
        <f>VLOOKUP(A283,'[1]Raw data'!$B:$Z,8,FALSE)</f>
        <v>R-&gt;L</v>
      </c>
      <c r="U283" s="563" t="str">
        <f>VLOOKUP(A283,'[1]Raw data'!$B:$Z,9,FALSE)</f>
        <v>No</v>
      </c>
      <c r="V283" s="567" t="str">
        <f t="shared" si="48"/>
        <v>OK</v>
      </c>
      <c r="W283" s="563" t="str">
        <f>VLOOKUP(A283,'[1]Raw data'!$B:$AG,32,FALSE)</f>
        <v>含税到厂</v>
      </c>
      <c r="X283" s="563">
        <f>VLOOKUP(A283,'[1]Raw data'!$B:$BA,31,FALSE)</f>
        <v>43708</v>
      </c>
      <c r="Y283" s="563" t="str">
        <f>VLOOKUP(A283,'[1]Raw data'!$B:$AS,39,FALSE)</f>
        <v>Yes</v>
      </c>
      <c r="Z283" s="568"/>
      <c r="AA283" s="569"/>
      <c r="AB283" s="570"/>
      <c r="AC283" s="563" t="s">
        <v>606</v>
      </c>
      <c r="AD283" s="571">
        <v>301</v>
      </c>
      <c r="AE283" s="571">
        <v>20</v>
      </c>
      <c r="AN283" s="542"/>
      <c r="AO283" s="824" t="str">
        <f t="shared" si="40"/>
        <v>Yes</v>
      </c>
      <c r="AP283" s="259" t="str">
        <f t="shared" si="41"/>
        <v>NOV 19</v>
      </c>
      <c r="AQ283" s="542" t="str">
        <f t="shared" si="42"/>
        <v>有定金+有預留客戶</v>
      </c>
      <c r="AR283" s="259" t="str">
        <f t="shared" si="43"/>
        <v>Shipped_Stock</v>
      </c>
      <c r="AS283" s="259" t="str">
        <f t="shared" si="44"/>
        <v/>
      </c>
      <c r="AT283" s="259" t="str">
        <f t="shared" si="45"/>
        <v>博星</v>
      </c>
      <c r="AU283" s="259" t="str">
        <f t="shared" si="46"/>
        <v>C49SZX20190129DZ</v>
      </c>
      <c r="AV283" s="259" t="str">
        <f t="shared" si="47"/>
        <v>Nov-01</v>
      </c>
    </row>
    <row r="284" spans="1:48" ht="15" hidden="1" customHeight="1">
      <c r="A284" s="559">
        <v>412</v>
      </c>
      <c r="B284" s="563" t="s">
        <v>280</v>
      </c>
      <c r="C284" s="560" t="s">
        <v>281</v>
      </c>
      <c r="D284" s="600">
        <v>109705</v>
      </c>
      <c r="E284" s="563" t="s">
        <v>644</v>
      </c>
      <c r="F284" s="563" t="s">
        <v>256</v>
      </c>
      <c r="G284" s="563" t="s">
        <v>18</v>
      </c>
      <c r="H284" s="563" t="s">
        <v>26</v>
      </c>
      <c r="I284" s="564" t="s">
        <v>750</v>
      </c>
      <c r="J284" s="564">
        <v>1</v>
      </c>
      <c r="K284" s="563" t="s">
        <v>746</v>
      </c>
      <c r="L284" s="565">
        <v>43770</v>
      </c>
      <c r="M284" s="566" t="s">
        <v>257</v>
      </c>
      <c r="N284" s="563" t="s">
        <v>504</v>
      </c>
      <c r="O284" s="564">
        <v>2019.1</v>
      </c>
      <c r="P284" s="566" t="str">
        <f>VLOOKUP(A284,'[1]Raw data'!$B:$BB,23,FALSE)</f>
        <v>RMB</v>
      </c>
      <c r="Q284" s="563" t="str">
        <f>VLOOKUP(A284,'[1]Raw data'!$B:$Z,2,FALSE)</f>
        <v>C49SZX20190129DZ</v>
      </c>
      <c r="R284" s="563" t="str">
        <f>VLOOKUP(A284,'[1]Raw data'!$B:$Z,3,FALSE)</f>
        <v>博星</v>
      </c>
      <c r="S284" s="563" t="str">
        <f>VLOOKUP(A284,'[1]Raw data'!$B:$Z,4,FALSE)</f>
        <v>YSM20R(SV)-2</v>
      </c>
      <c r="T284" s="563" t="str">
        <f>VLOOKUP(A284,'[1]Raw data'!$B:$Z,8,FALSE)</f>
        <v>R-&gt;L</v>
      </c>
      <c r="U284" s="563" t="str">
        <f>VLOOKUP(A284,'[1]Raw data'!$B:$Z,9,FALSE)</f>
        <v>No</v>
      </c>
      <c r="V284" s="567" t="str">
        <f t="shared" si="48"/>
        <v>OK</v>
      </c>
      <c r="W284" s="563" t="str">
        <f>VLOOKUP(A284,'[1]Raw data'!$B:$AG,32,FALSE)</f>
        <v>含税到厂</v>
      </c>
      <c r="X284" s="563">
        <f>VLOOKUP(A284,'[1]Raw data'!$B:$BA,31,FALSE)</f>
        <v>43708</v>
      </c>
      <c r="Y284" s="563" t="str">
        <f>VLOOKUP(A284,'[1]Raw data'!$B:$AS,39,FALSE)</f>
        <v>Yes</v>
      </c>
      <c r="Z284" s="568"/>
      <c r="AA284" s="569"/>
      <c r="AB284" s="570"/>
      <c r="AC284" s="563" t="s">
        <v>606</v>
      </c>
      <c r="AD284" s="571">
        <v>301</v>
      </c>
      <c r="AE284" s="571">
        <v>20</v>
      </c>
      <c r="AN284" s="542"/>
      <c r="AO284" s="824" t="str">
        <f t="shared" si="40"/>
        <v>Yes</v>
      </c>
      <c r="AP284" s="259" t="str">
        <f t="shared" si="41"/>
        <v>NOV 19</v>
      </c>
      <c r="AQ284" s="542" t="str">
        <f t="shared" si="42"/>
        <v>有定金+有預留客戶</v>
      </c>
      <c r="AR284" s="259" t="str">
        <f t="shared" si="43"/>
        <v>Shipped_Stock</v>
      </c>
      <c r="AS284" s="259" t="str">
        <f t="shared" si="44"/>
        <v/>
      </c>
      <c r="AT284" s="259" t="str">
        <f t="shared" si="45"/>
        <v>博星</v>
      </c>
      <c r="AU284" s="259" t="str">
        <f t="shared" si="46"/>
        <v>C49SZX20190129DZ</v>
      </c>
      <c r="AV284" s="259" t="str">
        <f t="shared" si="47"/>
        <v>Nov-01</v>
      </c>
    </row>
    <row r="285" spans="1:48" ht="15" hidden="1" customHeight="1">
      <c r="A285" s="559">
        <v>386</v>
      </c>
      <c r="B285" s="563" t="s">
        <v>280</v>
      </c>
      <c r="C285" s="560" t="s">
        <v>281</v>
      </c>
      <c r="D285" s="600">
        <v>109705</v>
      </c>
      <c r="E285" s="563" t="s">
        <v>644</v>
      </c>
      <c r="F285" s="563" t="s">
        <v>256</v>
      </c>
      <c r="G285" s="563" t="s">
        <v>24</v>
      </c>
      <c r="H285" s="563" t="s">
        <v>26</v>
      </c>
      <c r="I285" s="564" t="s">
        <v>751</v>
      </c>
      <c r="J285" s="564">
        <v>1</v>
      </c>
      <c r="K285" s="563" t="s">
        <v>746</v>
      </c>
      <c r="L285" s="565">
        <v>43770</v>
      </c>
      <c r="M285" s="613">
        <v>6.4699999999999994E-2</v>
      </c>
      <c r="N285" s="563" t="s">
        <v>504</v>
      </c>
      <c r="O285" s="564">
        <v>2019.1</v>
      </c>
      <c r="P285" s="566" t="str">
        <f>VLOOKUP(A285,'[1]Raw data'!$B:$BB,23,FALSE)</f>
        <v>RMB</v>
      </c>
      <c r="Q285" s="563" t="str">
        <f>VLOOKUP(A285,'[1]Raw data'!$B:$Z,2,FALSE)</f>
        <v>C49SZX20190118R1SS</v>
      </c>
      <c r="R285" s="563" t="str">
        <f>VLOOKUP(A285,'[1]Raw data'!$B:$Z,3,FALSE)</f>
        <v>鼎鸿</v>
      </c>
      <c r="S285" s="563" t="str">
        <f>VLOOKUP(A285,'[1]Raw data'!$B:$Z,4,FALSE)</f>
        <v>YSM20R(SV)-2</v>
      </c>
      <c r="T285" s="563" t="str">
        <f>VLOOKUP(A285,'[1]Raw data'!$B:$Z,8,FALSE)</f>
        <v>L-&gt;R</v>
      </c>
      <c r="U285" s="563" t="str">
        <f>VLOOKUP(A285,'[1]Raw data'!$B:$Z,9,FALSE)</f>
        <v>No</v>
      </c>
      <c r="V285" s="567" t="str">
        <f t="shared" si="48"/>
        <v>OK</v>
      </c>
      <c r="W285" s="563" t="str">
        <f>VLOOKUP(A285,'[1]Raw data'!$B:$AG,32,FALSE)</f>
        <v>含税到厂</v>
      </c>
      <c r="X285" s="563">
        <f>VLOOKUP(A285,'[1]Raw data'!$B:$BA,31,FALSE)</f>
        <v>43691</v>
      </c>
      <c r="Y285" s="563" t="str">
        <f>VLOOKUP(A285,'[1]Raw data'!$B:$AS,39,FALSE)</f>
        <v>Yes</v>
      </c>
      <c r="Z285" s="568"/>
      <c r="AA285" s="569"/>
      <c r="AB285" s="570"/>
      <c r="AC285" s="563" t="s">
        <v>558</v>
      </c>
      <c r="AD285" s="571">
        <v>303</v>
      </c>
      <c r="AE285" s="571">
        <v>10</v>
      </c>
      <c r="AF285" s="571">
        <v>302</v>
      </c>
      <c r="AG285" s="571">
        <v>10</v>
      </c>
      <c r="AN285" s="542"/>
      <c r="AO285" s="824" t="str">
        <f t="shared" si="40"/>
        <v>Yes</v>
      </c>
      <c r="AP285" s="259" t="str">
        <f t="shared" si="41"/>
        <v>NOV 19</v>
      </c>
      <c r="AQ285" s="542" t="str">
        <f t="shared" si="42"/>
        <v>有定金+有預留客戶</v>
      </c>
      <c r="AR285" s="259" t="str">
        <f t="shared" si="43"/>
        <v>Shipped_Stock</v>
      </c>
      <c r="AS285" s="259" t="str">
        <f t="shared" si="44"/>
        <v/>
      </c>
      <c r="AT285" s="259" t="str">
        <f t="shared" si="45"/>
        <v>鼎鸿</v>
      </c>
      <c r="AU285" s="259" t="str">
        <f t="shared" si="46"/>
        <v>C49SZX20190118R1SS</v>
      </c>
      <c r="AV285" s="259" t="str">
        <f t="shared" si="47"/>
        <v>Nov-01</v>
      </c>
    </row>
    <row r="286" spans="1:48" ht="15" hidden="1" customHeight="1">
      <c r="A286" s="616">
        <v>514</v>
      </c>
      <c r="B286" s="584" t="s">
        <v>752</v>
      </c>
      <c r="C286" s="560" t="s">
        <v>281</v>
      </c>
      <c r="D286" s="617">
        <v>109664</v>
      </c>
      <c r="E286" s="584" t="s">
        <v>644</v>
      </c>
      <c r="F286" s="584" t="s">
        <v>256</v>
      </c>
      <c r="G286" s="584" t="s">
        <v>24</v>
      </c>
      <c r="H286" s="584" t="s">
        <v>26</v>
      </c>
      <c r="I286" s="589" t="s">
        <v>753</v>
      </c>
      <c r="J286" s="589">
        <v>1</v>
      </c>
      <c r="K286" s="584" t="s">
        <v>754</v>
      </c>
      <c r="L286" s="590">
        <v>43770</v>
      </c>
      <c r="M286" s="618">
        <v>6.7199999999999996E-2</v>
      </c>
      <c r="N286" s="584" t="s">
        <v>731</v>
      </c>
      <c r="O286" s="589">
        <v>2019.1</v>
      </c>
      <c r="P286" s="566" t="str">
        <f>VLOOKUP(A286,'[1]Raw data'!$B:$BB,23,FALSE)</f>
        <v>JPY</v>
      </c>
      <c r="Q286" s="563" t="str">
        <f>VLOOKUP(A286,'[1]Raw data'!$B:$Z,2,FALSE)</f>
        <v>C49SZX20190172ZX</v>
      </c>
      <c r="R286" s="563" t="str">
        <f>VLOOKUP(A286,'[1]Raw data'!$B:$Z,3,FALSE)</f>
        <v>宽宏</v>
      </c>
      <c r="S286" s="563" t="str">
        <f>VLOOKUP(A286,'[1]Raw data'!$B:$Z,4,FALSE)</f>
        <v>YSM20R(SV)-2</v>
      </c>
      <c r="T286" s="563" t="str">
        <f>VLOOKUP(A286,'[1]Raw data'!$B:$Z,8,FALSE)</f>
        <v>L-&gt;R</v>
      </c>
      <c r="U286" s="563" t="str">
        <f>VLOOKUP(A286,'[1]Raw data'!$B:$Z,9,FALSE)</f>
        <v>No</v>
      </c>
      <c r="V286" s="619" t="str">
        <f t="shared" si="48"/>
        <v>OK</v>
      </c>
      <c r="W286" s="563" t="str">
        <f>VLOOKUP(A286,'[1]Raw data'!$B:$AG,32,FALSE)</f>
        <v>CIF HK</v>
      </c>
      <c r="X286" s="563">
        <f>VLOOKUP(A286,'[1]Raw data'!$B:$BA,31,FALSE)</f>
        <v>43790</v>
      </c>
      <c r="Y286" s="563" t="str">
        <f>VLOOKUP(A286,'[1]Raw data'!$B:$AS,39,FALSE)</f>
        <v>Yes</v>
      </c>
      <c r="Z286" s="569"/>
      <c r="AA286" s="569"/>
      <c r="AB286" s="591"/>
      <c r="AC286" s="584" t="s">
        <v>755</v>
      </c>
      <c r="AD286" s="620">
        <v>312</v>
      </c>
      <c r="AE286" s="620">
        <v>20</v>
      </c>
      <c r="AF286" s="620"/>
      <c r="AG286" s="620"/>
      <c r="AH286" s="620"/>
      <c r="AI286" s="621"/>
      <c r="AJ286" s="620"/>
      <c r="AK286" s="620"/>
      <c r="AL286" s="620"/>
      <c r="AM286" s="620"/>
      <c r="AN286" s="542"/>
      <c r="AO286" s="824" t="str">
        <f t="shared" si="40"/>
        <v>Yes</v>
      </c>
      <c r="AP286" s="259" t="str">
        <f t="shared" si="41"/>
        <v>JAN 20</v>
      </c>
      <c r="AQ286" s="542" t="str">
        <f t="shared" si="42"/>
        <v>有定金+有預留客戶</v>
      </c>
      <c r="AR286" s="259" t="str">
        <f t="shared" si="43"/>
        <v>Shipped_Stock</v>
      </c>
      <c r="AS286" s="259" t="str">
        <f t="shared" si="44"/>
        <v/>
      </c>
      <c r="AT286" s="259" t="str">
        <f t="shared" si="45"/>
        <v>宽宏</v>
      </c>
      <c r="AU286" s="259" t="str">
        <f t="shared" si="46"/>
        <v>C49SZX20190172ZX</v>
      </c>
      <c r="AV286" s="259" t="str">
        <f t="shared" si="47"/>
        <v>Nov-01</v>
      </c>
    </row>
    <row r="287" spans="1:48" ht="15" hidden="1" customHeight="1">
      <c r="A287" s="616">
        <v>515</v>
      </c>
      <c r="B287" s="584" t="s">
        <v>752</v>
      </c>
      <c r="C287" s="560" t="s">
        <v>281</v>
      </c>
      <c r="D287" s="617">
        <v>109664</v>
      </c>
      <c r="E287" s="584" t="s">
        <v>644</v>
      </c>
      <c r="F287" s="584" t="s">
        <v>256</v>
      </c>
      <c r="G287" s="584" t="s">
        <v>24</v>
      </c>
      <c r="H287" s="584" t="s">
        <v>26</v>
      </c>
      <c r="I287" s="589" t="s">
        <v>756</v>
      </c>
      <c r="J287" s="589">
        <v>1</v>
      </c>
      <c r="K287" s="584" t="s">
        <v>754</v>
      </c>
      <c r="L287" s="590">
        <v>43770</v>
      </c>
      <c r="M287" s="618">
        <v>6.7199999999999996E-2</v>
      </c>
      <c r="N287" s="584" t="s">
        <v>731</v>
      </c>
      <c r="O287" s="589">
        <v>2019.1</v>
      </c>
      <c r="P287" s="566" t="str">
        <f>VLOOKUP(A287,'[1]Raw data'!$B:$BB,23,FALSE)</f>
        <v>JPY</v>
      </c>
      <c r="Q287" s="563" t="str">
        <f>VLOOKUP(A287,'[1]Raw data'!$B:$Z,2,FALSE)</f>
        <v>C49SZX20190172ZX</v>
      </c>
      <c r="R287" s="563" t="str">
        <f>VLOOKUP(A287,'[1]Raw data'!$B:$Z,3,FALSE)</f>
        <v>宽宏</v>
      </c>
      <c r="S287" s="563" t="str">
        <f>VLOOKUP(A287,'[1]Raw data'!$B:$Z,4,FALSE)</f>
        <v>YSM20R(SV)-2</v>
      </c>
      <c r="T287" s="563" t="str">
        <f>VLOOKUP(A287,'[1]Raw data'!$B:$Z,8,FALSE)</f>
        <v>L-&gt;R</v>
      </c>
      <c r="U287" s="563" t="str">
        <f>VLOOKUP(A287,'[1]Raw data'!$B:$Z,9,FALSE)</f>
        <v>No</v>
      </c>
      <c r="V287" s="619" t="str">
        <f t="shared" si="48"/>
        <v>OK</v>
      </c>
      <c r="W287" s="563" t="str">
        <f>VLOOKUP(A287,'[1]Raw data'!$B:$AG,32,FALSE)</f>
        <v>CIF HK</v>
      </c>
      <c r="X287" s="563">
        <f>VLOOKUP(A287,'[1]Raw data'!$B:$BA,31,FALSE)</f>
        <v>43790</v>
      </c>
      <c r="Y287" s="563" t="str">
        <f>VLOOKUP(A287,'[1]Raw data'!$B:$AS,39,FALSE)</f>
        <v>Yes</v>
      </c>
      <c r="Z287" s="569"/>
      <c r="AA287" s="569"/>
      <c r="AB287" s="591"/>
      <c r="AC287" s="584" t="s">
        <v>755</v>
      </c>
      <c r="AD287" s="620">
        <v>313</v>
      </c>
      <c r="AE287" s="620">
        <v>20</v>
      </c>
      <c r="AF287" s="620"/>
      <c r="AG287" s="620"/>
      <c r="AH287" s="620"/>
      <c r="AI287" s="621"/>
      <c r="AJ287" s="620"/>
      <c r="AK287" s="620"/>
      <c r="AL287" s="620"/>
      <c r="AM287" s="620"/>
      <c r="AN287" s="542"/>
      <c r="AO287" s="824" t="str">
        <f t="shared" si="40"/>
        <v>Yes</v>
      </c>
      <c r="AP287" s="259" t="str">
        <f t="shared" si="41"/>
        <v>JAN 20</v>
      </c>
      <c r="AQ287" s="542" t="str">
        <f t="shared" si="42"/>
        <v>有定金+有預留客戶</v>
      </c>
      <c r="AR287" s="259" t="str">
        <f t="shared" si="43"/>
        <v>Shipped_Stock</v>
      </c>
      <c r="AS287" s="259" t="str">
        <f t="shared" si="44"/>
        <v/>
      </c>
      <c r="AT287" s="259" t="str">
        <f t="shared" si="45"/>
        <v>宽宏</v>
      </c>
      <c r="AU287" s="259" t="str">
        <f t="shared" si="46"/>
        <v>C49SZX20190172ZX</v>
      </c>
      <c r="AV287" s="259" t="str">
        <f t="shared" si="47"/>
        <v>Nov-01</v>
      </c>
    </row>
    <row r="288" spans="1:48" ht="15" hidden="1" customHeight="1">
      <c r="A288" s="559">
        <v>504</v>
      </c>
      <c r="B288" s="563" t="s">
        <v>280</v>
      </c>
      <c r="C288" s="560" t="s">
        <v>281</v>
      </c>
      <c r="D288" s="600">
        <v>109685</v>
      </c>
      <c r="E288" s="563" t="s">
        <v>644</v>
      </c>
      <c r="F288" s="563" t="s">
        <v>17</v>
      </c>
      <c r="G288" s="563" t="s">
        <v>18</v>
      </c>
      <c r="H288" s="563" t="s">
        <v>26</v>
      </c>
      <c r="I288" s="564" t="s">
        <v>757</v>
      </c>
      <c r="J288" s="564">
        <v>1</v>
      </c>
      <c r="K288" s="563" t="s">
        <v>437</v>
      </c>
      <c r="L288" s="565">
        <v>43770</v>
      </c>
      <c r="M288" s="566" t="s">
        <v>257</v>
      </c>
      <c r="N288" s="563" t="s">
        <v>286</v>
      </c>
      <c r="O288" s="563">
        <v>2019.1</v>
      </c>
      <c r="P288" s="566" t="str">
        <f>VLOOKUP(A288,'[1]Raw data'!$B:$BB,23,FALSE)</f>
        <v>JPY</v>
      </c>
      <c r="Q288" s="563" t="str">
        <f>VLOOKUP(A288,'[1]Raw data'!$B:$Z,2,FALSE)</f>
        <v>C49SZX20190163JY</v>
      </c>
      <c r="R288" s="563" t="str">
        <f>VLOOKUP(A288,'[1]Raw data'!$B:$Z,3,FALSE)</f>
        <v>灿明</v>
      </c>
      <c r="S288" s="563" t="str">
        <f>VLOOKUP(A288,'[1]Raw data'!$B:$Z,4,FALSE)</f>
        <v>YSM10</v>
      </c>
      <c r="T288" s="563" t="str">
        <f>VLOOKUP(A288,'[1]Raw data'!$B:$Z,8,FALSE)</f>
        <v>L-&gt;R</v>
      </c>
      <c r="U288" s="563" t="str">
        <f>VLOOKUP(A288,'[1]Raw data'!$B:$Z,9,FALSE)</f>
        <v>MVC</v>
      </c>
      <c r="V288" s="567" t="str">
        <f t="shared" si="48"/>
        <v>WRONG</v>
      </c>
      <c r="W288" s="563" t="str">
        <f>VLOOKUP(A288,'[1]Raw data'!$B:$AG,32,FALSE)</f>
        <v>DAP SZ</v>
      </c>
      <c r="X288" s="563">
        <f>VLOOKUP(A288,'[1]Raw data'!$B:$BA,31,FALSE)</f>
        <v>43781</v>
      </c>
      <c r="Y288" s="563" t="str">
        <f>VLOOKUP(A288,'[1]Raw data'!$B:$AS,39,FALSE)</f>
        <v>Yes</v>
      </c>
      <c r="Z288" s="568"/>
      <c r="AA288" s="569"/>
      <c r="AB288" s="570"/>
      <c r="AC288" s="563" t="s">
        <v>758</v>
      </c>
      <c r="AD288" s="571">
        <v>301</v>
      </c>
      <c r="AE288" s="571">
        <v>10</v>
      </c>
      <c r="AN288" s="542"/>
      <c r="AO288" s="824" t="str">
        <f t="shared" si="40"/>
        <v>Yes</v>
      </c>
      <c r="AP288" s="259" t="str">
        <f t="shared" si="41"/>
        <v>DEC 19</v>
      </c>
      <c r="AQ288" s="542" t="str">
        <f t="shared" si="42"/>
        <v>有定金+有預留客戶</v>
      </c>
      <c r="AR288" s="259" t="str">
        <f t="shared" si="43"/>
        <v>Shipped_Stock</v>
      </c>
      <c r="AS288" s="259" t="str">
        <f t="shared" si="44"/>
        <v/>
      </c>
      <c r="AT288" s="259" t="str">
        <f t="shared" si="45"/>
        <v>灿明</v>
      </c>
      <c r="AU288" s="259" t="str">
        <f t="shared" si="46"/>
        <v>C49SZX20190163JY</v>
      </c>
      <c r="AV288" s="259" t="str">
        <f t="shared" si="47"/>
        <v>Nov-01</v>
      </c>
    </row>
    <row r="289" spans="1:69" ht="38.25" hidden="1" customHeight="1">
      <c r="A289" s="559">
        <v>505</v>
      </c>
      <c r="B289" s="563" t="s">
        <v>280</v>
      </c>
      <c r="C289" s="560" t="s">
        <v>281</v>
      </c>
      <c r="D289" s="600">
        <v>109685</v>
      </c>
      <c r="E289" s="563" t="s">
        <v>644</v>
      </c>
      <c r="F289" s="563" t="s">
        <v>17</v>
      </c>
      <c r="G289" s="563" t="s">
        <v>18</v>
      </c>
      <c r="H289" s="563" t="s">
        <v>26</v>
      </c>
      <c r="I289" s="564" t="s">
        <v>759</v>
      </c>
      <c r="J289" s="564">
        <v>1</v>
      </c>
      <c r="K289" s="563" t="s">
        <v>437</v>
      </c>
      <c r="L289" s="565">
        <v>43770</v>
      </c>
      <c r="M289" s="566" t="s">
        <v>257</v>
      </c>
      <c r="N289" s="563" t="s">
        <v>286</v>
      </c>
      <c r="O289" s="563">
        <v>2019.1</v>
      </c>
      <c r="P289" s="566" t="str">
        <f>VLOOKUP(A289,'[1]Raw data'!$B:$BB,23,FALSE)</f>
        <v>JPY</v>
      </c>
      <c r="Q289" s="563" t="str">
        <f>VLOOKUP(A289,'[1]Raw data'!$B:$Z,2,FALSE)</f>
        <v>C49SZX20190163JY</v>
      </c>
      <c r="R289" s="563" t="str">
        <f>VLOOKUP(A289,'[1]Raw data'!$B:$Z,3,FALSE)</f>
        <v>灿明</v>
      </c>
      <c r="S289" s="563" t="str">
        <f>VLOOKUP(A289,'[1]Raw data'!$B:$Z,4,FALSE)</f>
        <v>YSM10</v>
      </c>
      <c r="T289" s="563" t="str">
        <f>VLOOKUP(A289,'[1]Raw data'!$B:$Z,8,FALSE)</f>
        <v>L-&gt;R</v>
      </c>
      <c r="U289" s="563" t="str">
        <f>VLOOKUP(A289,'[1]Raw data'!$B:$Z,9,FALSE)</f>
        <v>1.2m longboard+加大板相机</v>
      </c>
      <c r="V289" s="567" t="str">
        <f t="shared" si="48"/>
        <v>WRONG</v>
      </c>
      <c r="W289" s="563" t="str">
        <f>VLOOKUP(A289,'[1]Raw data'!$B:$AG,32,FALSE)</f>
        <v>DAP SZ</v>
      </c>
      <c r="X289" s="563">
        <f>VLOOKUP(A289,'[1]Raw data'!$B:$BA,31,FALSE)</f>
        <v>43781</v>
      </c>
      <c r="Y289" s="563" t="str">
        <f>VLOOKUP(A289,'[1]Raw data'!$B:$AS,39,FALSE)</f>
        <v>Yes</v>
      </c>
      <c r="Z289" s="568"/>
      <c r="AA289" s="569"/>
      <c r="AB289" s="570"/>
      <c r="AC289" s="563" t="s">
        <v>758</v>
      </c>
      <c r="AD289" s="571">
        <v>301</v>
      </c>
      <c r="AE289" s="571">
        <v>10</v>
      </c>
      <c r="AN289" s="542"/>
      <c r="AO289" s="824" t="str">
        <f t="shared" si="40"/>
        <v>Yes</v>
      </c>
      <c r="AP289" s="259" t="str">
        <f t="shared" si="41"/>
        <v>DEC 19</v>
      </c>
      <c r="AQ289" s="542" t="str">
        <f t="shared" si="42"/>
        <v>有定金+有預留客戶</v>
      </c>
      <c r="AR289" s="259" t="str">
        <f t="shared" si="43"/>
        <v>Shipped_Stock</v>
      </c>
      <c r="AS289" s="259" t="str">
        <f t="shared" si="44"/>
        <v/>
      </c>
      <c r="AT289" s="259" t="str">
        <f t="shared" si="45"/>
        <v>灿明</v>
      </c>
      <c r="AU289" s="259" t="str">
        <f t="shared" si="46"/>
        <v>C49SZX20190163JY</v>
      </c>
      <c r="AV289" s="259" t="str">
        <f t="shared" si="47"/>
        <v>Nov-01</v>
      </c>
    </row>
    <row r="290" spans="1:69" ht="15" hidden="1" customHeight="1">
      <c r="A290" s="559">
        <v>506</v>
      </c>
      <c r="B290" s="563" t="s">
        <v>280</v>
      </c>
      <c r="C290" s="560" t="s">
        <v>281</v>
      </c>
      <c r="D290" s="600">
        <v>109685</v>
      </c>
      <c r="E290" s="563" t="s">
        <v>644</v>
      </c>
      <c r="F290" s="563" t="s">
        <v>17</v>
      </c>
      <c r="G290" s="563" t="s">
        <v>18</v>
      </c>
      <c r="H290" s="563" t="s">
        <v>26</v>
      </c>
      <c r="I290" s="564" t="s">
        <v>760</v>
      </c>
      <c r="J290" s="564">
        <v>1</v>
      </c>
      <c r="K290" s="563" t="s">
        <v>437</v>
      </c>
      <c r="L290" s="565">
        <v>43770</v>
      </c>
      <c r="M290" s="566" t="s">
        <v>257</v>
      </c>
      <c r="N290" s="563" t="s">
        <v>286</v>
      </c>
      <c r="O290" s="563">
        <v>2019.1</v>
      </c>
      <c r="P290" s="566" t="str">
        <f>VLOOKUP(A290,'[1]Raw data'!$B:$BB,23,FALSE)</f>
        <v>JPY</v>
      </c>
      <c r="Q290" s="563" t="str">
        <f>VLOOKUP(A290,'[1]Raw data'!$B:$Z,2,FALSE)</f>
        <v>C49SZX20190163JY</v>
      </c>
      <c r="R290" s="563" t="str">
        <f>VLOOKUP(A290,'[1]Raw data'!$B:$Z,3,FALSE)</f>
        <v>灿明</v>
      </c>
      <c r="S290" s="563" t="str">
        <f>VLOOKUP(A290,'[1]Raw data'!$B:$Z,4,FALSE)</f>
        <v>YSM10</v>
      </c>
      <c r="T290" s="563" t="str">
        <f>VLOOKUP(A290,'[1]Raw data'!$B:$Z,8,FALSE)</f>
        <v>L-&gt;R</v>
      </c>
      <c r="U290" s="563" t="str">
        <f>VLOOKUP(A290,'[1]Raw data'!$B:$Z,9,FALSE)</f>
        <v>No</v>
      </c>
      <c r="V290" s="567" t="str">
        <f t="shared" si="48"/>
        <v>WRONG</v>
      </c>
      <c r="W290" s="563" t="str">
        <f>VLOOKUP(A290,'[1]Raw data'!$B:$AG,32,FALSE)</f>
        <v>DAP SZ</v>
      </c>
      <c r="X290" s="563">
        <f>VLOOKUP(A290,'[1]Raw data'!$B:$BA,31,FALSE)</f>
        <v>43781</v>
      </c>
      <c r="Y290" s="563" t="str">
        <f>VLOOKUP(A290,'[1]Raw data'!$B:$AS,39,FALSE)</f>
        <v>Yes</v>
      </c>
      <c r="Z290" s="568"/>
      <c r="AA290" s="569"/>
      <c r="AB290" s="570"/>
      <c r="AC290" s="563" t="s">
        <v>758</v>
      </c>
      <c r="AD290" s="571">
        <v>301</v>
      </c>
      <c r="AE290" s="571">
        <v>10</v>
      </c>
      <c r="AN290" s="542"/>
      <c r="AO290" s="824" t="str">
        <f t="shared" si="40"/>
        <v>Yes</v>
      </c>
      <c r="AP290" s="259" t="str">
        <f t="shared" si="41"/>
        <v>DEC 19</v>
      </c>
      <c r="AQ290" s="542" t="str">
        <f t="shared" si="42"/>
        <v>有定金+有預留客戶</v>
      </c>
      <c r="AR290" s="259" t="str">
        <f t="shared" si="43"/>
        <v>Shipped_Stock</v>
      </c>
      <c r="AS290" s="259" t="str">
        <f t="shared" si="44"/>
        <v/>
      </c>
      <c r="AT290" s="259" t="str">
        <f t="shared" si="45"/>
        <v>灿明</v>
      </c>
      <c r="AU290" s="259" t="str">
        <f t="shared" si="46"/>
        <v>C49SZX20190163JY</v>
      </c>
      <c r="AV290" s="259" t="str">
        <f t="shared" si="47"/>
        <v>Nov-01</v>
      </c>
    </row>
    <row r="291" spans="1:69" ht="15" hidden="1" customHeight="1">
      <c r="A291" s="559">
        <v>497</v>
      </c>
      <c r="B291" s="563" t="s">
        <v>280</v>
      </c>
      <c r="C291" s="560" t="s">
        <v>281</v>
      </c>
      <c r="D291" s="600">
        <v>109693</v>
      </c>
      <c r="E291" s="563" t="s">
        <v>644</v>
      </c>
      <c r="F291" s="563" t="s">
        <v>17</v>
      </c>
      <c r="G291" s="563" t="s">
        <v>18</v>
      </c>
      <c r="H291" s="563" t="s">
        <v>26</v>
      </c>
      <c r="I291" s="564" t="s">
        <v>761</v>
      </c>
      <c r="J291" s="564">
        <v>1</v>
      </c>
      <c r="K291" s="563" t="s">
        <v>437</v>
      </c>
      <c r="L291" s="565">
        <v>43770</v>
      </c>
      <c r="M291" s="566" t="s">
        <v>257</v>
      </c>
      <c r="N291" s="563" t="s">
        <v>504</v>
      </c>
      <c r="O291" s="563">
        <v>2019.1</v>
      </c>
      <c r="P291" s="566" t="str">
        <f>VLOOKUP(A291,'[1]Raw data'!$B:$BB,23,FALSE)</f>
        <v>JPY</v>
      </c>
      <c r="Q291" s="563" t="str">
        <f>VLOOKUP(A291,'[1]Raw data'!$B:$Z,2,FALSE)</f>
        <v>C49SZX20190165DZ</v>
      </c>
      <c r="R291" s="563" t="str">
        <f>VLOOKUP(A291,'[1]Raw data'!$B:$Z,3,FALSE)</f>
        <v>铁甲</v>
      </c>
      <c r="S291" s="563" t="str">
        <f>VLOOKUP(A291,'[1]Raw data'!$B:$Z,4,FALSE)</f>
        <v>YSM10</v>
      </c>
      <c r="T291" s="563" t="str">
        <f>VLOOKUP(A291,'[1]Raw data'!$B:$Z,8,FALSE)</f>
        <v>L-&gt;R</v>
      </c>
      <c r="U291" s="563" t="str">
        <f>VLOOKUP(A291,'[1]Raw data'!$B:$Z,9,FALSE)</f>
        <v>No</v>
      </c>
      <c r="V291" s="567" t="str">
        <f t="shared" si="48"/>
        <v>WRONG</v>
      </c>
      <c r="W291" s="563" t="str">
        <f>VLOOKUP(A291,'[1]Raw data'!$B:$AG,32,FALSE)</f>
        <v>CIF HK</v>
      </c>
      <c r="X291" s="563">
        <f>VLOOKUP(A291,'[1]Raw data'!$B:$BA,31,FALSE)</f>
        <v>43781</v>
      </c>
      <c r="Y291" s="563" t="str">
        <f>VLOOKUP(A291,'[1]Raw data'!$B:$AS,39,FALSE)</f>
        <v>Yes</v>
      </c>
      <c r="Z291" s="568"/>
      <c r="AA291" s="569"/>
      <c r="AB291" s="570"/>
      <c r="AC291" s="563" t="s">
        <v>762</v>
      </c>
      <c r="AD291" s="571">
        <v>301</v>
      </c>
      <c r="AE291" s="571">
        <v>10</v>
      </c>
      <c r="AN291" s="542"/>
      <c r="AO291" s="824" t="str">
        <f t="shared" si="40"/>
        <v>Yes</v>
      </c>
      <c r="AP291" s="259" t="str">
        <f t="shared" si="41"/>
        <v>NOV 19</v>
      </c>
      <c r="AQ291" s="542" t="str">
        <f t="shared" si="42"/>
        <v>有定金+有預留客戶</v>
      </c>
      <c r="AR291" s="259" t="str">
        <f t="shared" si="43"/>
        <v>Shipped_Stock</v>
      </c>
      <c r="AS291" s="259" t="str">
        <f t="shared" si="44"/>
        <v/>
      </c>
      <c r="AT291" s="259" t="str">
        <f t="shared" si="45"/>
        <v>铁甲</v>
      </c>
      <c r="AU291" s="259" t="str">
        <f t="shared" si="46"/>
        <v>C49SZX20190165DZ</v>
      </c>
      <c r="AV291" s="259" t="str">
        <f t="shared" si="47"/>
        <v>Nov-01</v>
      </c>
    </row>
    <row r="292" spans="1:69" ht="15" hidden="1" customHeight="1">
      <c r="A292" s="559">
        <v>498</v>
      </c>
      <c r="B292" s="563" t="s">
        <v>280</v>
      </c>
      <c r="C292" s="560" t="s">
        <v>281</v>
      </c>
      <c r="D292" s="600">
        <v>109693</v>
      </c>
      <c r="E292" s="563" t="s">
        <v>644</v>
      </c>
      <c r="F292" s="563" t="s">
        <v>17</v>
      </c>
      <c r="G292" s="563" t="s">
        <v>18</v>
      </c>
      <c r="H292" s="563" t="s">
        <v>26</v>
      </c>
      <c r="I292" s="564" t="s">
        <v>763</v>
      </c>
      <c r="J292" s="564">
        <v>1</v>
      </c>
      <c r="K292" s="563" t="s">
        <v>437</v>
      </c>
      <c r="L292" s="565">
        <v>43770</v>
      </c>
      <c r="M292" s="566" t="s">
        <v>257</v>
      </c>
      <c r="N292" s="563" t="s">
        <v>504</v>
      </c>
      <c r="O292" s="563">
        <v>2019.1</v>
      </c>
      <c r="P292" s="566" t="str">
        <f>VLOOKUP(A292,'[1]Raw data'!$B:$BB,23,FALSE)</f>
        <v>JPY</v>
      </c>
      <c r="Q292" s="563" t="str">
        <f>VLOOKUP(A292,'[1]Raw data'!$B:$Z,2,FALSE)</f>
        <v>C49SZX20190165DZ</v>
      </c>
      <c r="R292" s="563" t="str">
        <f>VLOOKUP(A292,'[1]Raw data'!$B:$Z,3,FALSE)</f>
        <v>铁甲</v>
      </c>
      <c r="S292" s="563" t="str">
        <f>VLOOKUP(A292,'[1]Raw data'!$B:$Z,4,FALSE)</f>
        <v>YSM10</v>
      </c>
      <c r="T292" s="563" t="str">
        <f>VLOOKUP(A292,'[1]Raw data'!$B:$Z,8,FALSE)</f>
        <v>L-&gt;R</v>
      </c>
      <c r="U292" s="563" t="str">
        <f>VLOOKUP(A292,'[1]Raw data'!$B:$Z,9,FALSE)</f>
        <v>No</v>
      </c>
      <c r="V292" s="567" t="str">
        <f t="shared" si="48"/>
        <v>WRONG</v>
      </c>
      <c r="W292" s="563" t="str">
        <f>VLOOKUP(A292,'[1]Raw data'!$B:$AG,32,FALSE)</f>
        <v>CIF HK</v>
      </c>
      <c r="X292" s="563">
        <f>VLOOKUP(A292,'[1]Raw data'!$B:$BA,31,FALSE)</f>
        <v>43781</v>
      </c>
      <c r="Y292" s="563" t="str">
        <f>VLOOKUP(A292,'[1]Raw data'!$B:$AS,39,FALSE)</f>
        <v>Yes</v>
      </c>
      <c r="Z292" s="568"/>
      <c r="AA292" s="569"/>
      <c r="AB292" s="570"/>
      <c r="AC292" s="563" t="s">
        <v>762</v>
      </c>
      <c r="AD292" s="571">
        <v>301</v>
      </c>
      <c r="AE292" s="571">
        <v>10</v>
      </c>
      <c r="AN292" s="542"/>
      <c r="AO292" s="824" t="str">
        <f t="shared" si="40"/>
        <v>Yes</v>
      </c>
      <c r="AP292" s="259" t="str">
        <f t="shared" si="41"/>
        <v>NOV 19</v>
      </c>
      <c r="AQ292" s="542" t="str">
        <f t="shared" si="42"/>
        <v>有定金+有預留客戶</v>
      </c>
      <c r="AR292" s="259" t="str">
        <f t="shared" si="43"/>
        <v>Shipped_Stock</v>
      </c>
      <c r="AS292" s="259" t="str">
        <f t="shared" si="44"/>
        <v/>
      </c>
      <c r="AT292" s="259" t="str">
        <f t="shared" si="45"/>
        <v>铁甲</v>
      </c>
      <c r="AU292" s="259" t="str">
        <f t="shared" si="46"/>
        <v>C49SZX20190165DZ</v>
      </c>
      <c r="AV292" s="259" t="str">
        <f t="shared" si="47"/>
        <v>Nov-01</v>
      </c>
    </row>
    <row r="293" spans="1:69" ht="15" hidden="1" customHeight="1">
      <c r="A293" s="559">
        <v>507</v>
      </c>
      <c r="B293" s="563" t="s">
        <v>280</v>
      </c>
      <c r="C293" s="560" t="s">
        <v>281</v>
      </c>
      <c r="D293" s="600">
        <v>109693</v>
      </c>
      <c r="E293" s="563" t="s">
        <v>644</v>
      </c>
      <c r="F293" s="563" t="s">
        <v>17</v>
      </c>
      <c r="G293" s="563" t="s">
        <v>18</v>
      </c>
      <c r="H293" s="563" t="s">
        <v>26</v>
      </c>
      <c r="I293" s="564" t="s">
        <v>764</v>
      </c>
      <c r="J293" s="564">
        <v>1</v>
      </c>
      <c r="K293" s="563" t="s">
        <v>437</v>
      </c>
      <c r="L293" s="565">
        <v>43770</v>
      </c>
      <c r="M293" s="566" t="s">
        <v>257</v>
      </c>
      <c r="N293" s="563" t="s">
        <v>286</v>
      </c>
      <c r="O293" s="563">
        <v>2019.1</v>
      </c>
      <c r="P293" s="566" t="str">
        <f>VLOOKUP(A293,'[1]Raw data'!$B:$BB,23,FALSE)</f>
        <v>JPY</v>
      </c>
      <c r="Q293" s="563" t="str">
        <f>VLOOKUP(A293,'[1]Raw data'!$B:$Z,2,FALSE)</f>
        <v>C49SZX20190163JY</v>
      </c>
      <c r="R293" s="563" t="str">
        <f>VLOOKUP(A293,'[1]Raw data'!$B:$Z,3,FALSE)</f>
        <v>灿明</v>
      </c>
      <c r="S293" s="563" t="str">
        <f>VLOOKUP(A293,'[1]Raw data'!$B:$Z,4,FALSE)</f>
        <v>YSM10</v>
      </c>
      <c r="T293" s="563" t="str">
        <f>VLOOKUP(A293,'[1]Raw data'!$B:$Z,8,FALSE)</f>
        <v>L-&gt;R</v>
      </c>
      <c r="U293" s="563" t="str">
        <f>VLOOKUP(A293,'[1]Raw data'!$B:$Z,9,FALSE)</f>
        <v>No</v>
      </c>
      <c r="V293" s="567" t="str">
        <f t="shared" si="48"/>
        <v>WRONG</v>
      </c>
      <c r="W293" s="563" t="str">
        <f>VLOOKUP(A293,'[1]Raw data'!$B:$AG,32,FALSE)</f>
        <v>DAP SZ</v>
      </c>
      <c r="X293" s="563">
        <f>VLOOKUP(A293,'[1]Raw data'!$B:$BA,31,FALSE)</f>
        <v>43781</v>
      </c>
      <c r="Y293" s="563" t="str">
        <f>VLOOKUP(A293,'[1]Raw data'!$B:$AS,39,FALSE)</f>
        <v>Yes</v>
      </c>
      <c r="Z293" s="568"/>
      <c r="AA293" s="569"/>
      <c r="AB293" s="570"/>
      <c r="AC293" s="563" t="s">
        <v>758</v>
      </c>
      <c r="AD293" s="571">
        <v>301</v>
      </c>
      <c r="AE293" s="571">
        <v>10</v>
      </c>
      <c r="AN293" s="542"/>
      <c r="AO293" s="824" t="str">
        <f t="shared" si="40"/>
        <v>Yes</v>
      </c>
      <c r="AP293" s="259" t="str">
        <f t="shared" si="41"/>
        <v>DEC 19</v>
      </c>
      <c r="AQ293" s="542" t="str">
        <f t="shared" si="42"/>
        <v>有定金+有預留客戶</v>
      </c>
      <c r="AR293" s="259" t="str">
        <f t="shared" si="43"/>
        <v>Shipped_Stock</v>
      </c>
      <c r="AS293" s="259" t="str">
        <f t="shared" si="44"/>
        <v/>
      </c>
      <c r="AT293" s="259" t="str">
        <f t="shared" si="45"/>
        <v>灿明</v>
      </c>
      <c r="AU293" s="259" t="str">
        <f t="shared" si="46"/>
        <v>C49SZX20190163JY</v>
      </c>
      <c r="AV293" s="259" t="str">
        <f t="shared" si="47"/>
        <v>Nov-01</v>
      </c>
    </row>
    <row r="294" spans="1:69" ht="15" hidden="1" customHeight="1">
      <c r="A294" s="559">
        <v>512</v>
      </c>
      <c r="B294" s="563" t="s">
        <v>280</v>
      </c>
      <c r="C294" s="560" t="s">
        <v>281</v>
      </c>
      <c r="D294" s="600">
        <v>109664</v>
      </c>
      <c r="E294" s="563" t="s">
        <v>644</v>
      </c>
      <c r="F294" s="563" t="s">
        <v>256</v>
      </c>
      <c r="G294" s="563" t="s">
        <v>24</v>
      </c>
      <c r="H294" s="563" t="s">
        <v>26</v>
      </c>
      <c r="I294" s="564" t="s">
        <v>765</v>
      </c>
      <c r="J294" s="564">
        <v>1</v>
      </c>
      <c r="K294" s="563" t="s">
        <v>437</v>
      </c>
      <c r="L294" s="565">
        <v>43770</v>
      </c>
      <c r="M294" s="566">
        <v>6.7199999999999996E-2</v>
      </c>
      <c r="N294" s="563" t="s">
        <v>286</v>
      </c>
      <c r="O294" s="564">
        <v>2019.1</v>
      </c>
      <c r="P294" s="566" t="str">
        <f>VLOOKUP(A294,'[1]Raw data'!$B:$BB,23,FALSE)</f>
        <v>JPY</v>
      </c>
      <c r="Q294" s="563" t="str">
        <f>VLOOKUP(A294,'[1]Raw data'!$B:$Z,2,FALSE)</f>
        <v>C49SZX20190171CX</v>
      </c>
      <c r="R294" s="563" t="str">
        <f>VLOOKUP(A294,'[1]Raw data'!$B:$Z,3,FALSE)</f>
        <v>君博信</v>
      </c>
      <c r="S294" s="563" t="str">
        <f>VLOOKUP(A294,'[1]Raw data'!$B:$Z,4,FALSE)</f>
        <v>YSM20R(SV)-2</v>
      </c>
      <c r="T294" s="563" t="str">
        <f>VLOOKUP(A294,'[1]Raw data'!$B:$Z,8,FALSE)</f>
        <v>L-&gt;R</v>
      </c>
      <c r="U294" s="563" t="str">
        <f>VLOOKUP(A294,'[1]Raw data'!$B:$Z,9,FALSE)</f>
        <v>No</v>
      </c>
      <c r="V294" s="567" t="str">
        <f t="shared" si="48"/>
        <v>OK</v>
      </c>
      <c r="W294" s="563" t="str">
        <f>VLOOKUP(A294,'[1]Raw data'!$B:$AG,32,FALSE)</f>
        <v>DAP SZ</v>
      </c>
      <c r="X294" s="563">
        <f>VLOOKUP(A294,'[1]Raw data'!$B:$BA,31,FALSE)</f>
        <v>43789</v>
      </c>
      <c r="Y294" s="563" t="str">
        <f>VLOOKUP(A294,'[1]Raw data'!$B:$AS,39,FALSE)</f>
        <v>Yes</v>
      </c>
      <c r="Z294" s="568"/>
      <c r="AA294" s="569"/>
      <c r="AB294" s="570"/>
      <c r="AC294" s="563" t="s">
        <v>766</v>
      </c>
      <c r="AD294" s="571">
        <v>313</v>
      </c>
      <c r="AE294" s="571">
        <v>10</v>
      </c>
      <c r="AF294" s="571">
        <v>312</v>
      </c>
      <c r="AG294" s="571">
        <v>10</v>
      </c>
      <c r="AN294" s="542"/>
      <c r="AO294" s="824" t="str">
        <f t="shared" si="40"/>
        <v>Yes</v>
      </c>
      <c r="AP294" s="259" t="str">
        <f t="shared" si="41"/>
        <v>DEC 19</v>
      </c>
      <c r="AQ294" s="542" t="str">
        <f t="shared" si="42"/>
        <v>有定金+有預留客戶</v>
      </c>
      <c r="AR294" s="259" t="str">
        <f t="shared" si="43"/>
        <v>Shipped_Stock</v>
      </c>
      <c r="AS294" s="259" t="str">
        <f t="shared" si="44"/>
        <v/>
      </c>
      <c r="AT294" s="259" t="str">
        <f t="shared" si="45"/>
        <v>君博信</v>
      </c>
      <c r="AU294" s="259" t="str">
        <f t="shared" si="46"/>
        <v>C49SZX20190171CX</v>
      </c>
      <c r="AV294" s="259" t="str">
        <f t="shared" si="47"/>
        <v>Nov-01</v>
      </c>
    </row>
    <row r="295" spans="1:69" ht="15" hidden="1" customHeight="1">
      <c r="A295" s="559">
        <v>510</v>
      </c>
      <c r="B295" s="563" t="s">
        <v>280</v>
      </c>
      <c r="C295" s="560" t="s">
        <v>281</v>
      </c>
      <c r="D295" s="600">
        <v>109693</v>
      </c>
      <c r="E295" s="563" t="s">
        <v>644</v>
      </c>
      <c r="F295" s="563" t="s">
        <v>17</v>
      </c>
      <c r="G295" s="563" t="s">
        <v>18</v>
      </c>
      <c r="H295" s="563" t="s">
        <v>26</v>
      </c>
      <c r="I295" s="564" t="s">
        <v>767</v>
      </c>
      <c r="J295" s="564">
        <v>1</v>
      </c>
      <c r="K295" s="563" t="s">
        <v>437</v>
      </c>
      <c r="L295" s="565">
        <v>43770</v>
      </c>
      <c r="M295" s="566" t="s">
        <v>257</v>
      </c>
      <c r="N295" s="563" t="s">
        <v>504</v>
      </c>
      <c r="O295" s="563">
        <v>2019.1</v>
      </c>
      <c r="P295" s="566" t="str">
        <f>VLOOKUP(A295,'[1]Raw data'!$B:$BB,23,FALSE)</f>
        <v>JPY</v>
      </c>
      <c r="Q295" s="563" t="str">
        <f>VLOOKUP(A295,'[1]Raw data'!$B:$Z,2,FALSE)</f>
        <v>C49SZX20190617SS</v>
      </c>
      <c r="R295" s="563" t="str">
        <f>VLOOKUP(A295,'[1]Raw data'!$B:$Z,3,FALSE)</f>
        <v>乐上</v>
      </c>
      <c r="S295" s="563" t="str">
        <f>VLOOKUP(A295,'[1]Raw data'!$B:$Z,4,FALSE)</f>
        <v>YSM10</v>
      </c>
      <c r="T295" s="563" t="str">
        <f>VLOOKUP(A295,'[1]Raw data'!$B:$Z,8,FALSE)</f>
        <v>L-&gt;R</v>
      </c>
      <c r="U295" s="563" t="str">
        <f>VLOOKUP(A295,'[1]Raw data'!$B:$Z,9,FALSE)</f>
        <v>MVC</v>
      </c>
      <c r="V295" s="567" t="str">
        <f t="shared" si="48"/>
        <v>WRONG</v>
      </c>
      <c r="W295" s="563" t="str">
        <f>VLOOKUP(A295,'[1]Raw data'!$B:$AG,32,FALSE)</f>
        <v>DAP DG</v>
      </c>
      <c r="X295" s="563">
        <f>VLOOKUP(A295,'[1]Raw data'!$B:$BA,31,FALSE)</f>
        <v>43781</v>
      </c>
      <c r="Y295" s="563" t="str">
        <f>VLOOKUP(A295,'[1]Raw data'!$B:$AS,39,FALSE)</f>
        <v>Yes</v>
      </c>
      <c r="Z295" s="568" t="s">
        <v>329</v>
      </c>
      <c r="AA295" s="569" t="s">
        <v>329</v>
      </c>
      <c r="AB295" s="570"/>
      <c r="AC295" s="563" t="s">
        <v>768</v>
      </c>
      <c r="AD295" s="571">
        <v>301</v>
      </c>
      <c r="AE295" s="571">
        <v>10</v>
      </c>
      <c r="AN295" s="586"/>
      <c r="AO295" s="824" t="str">
        <f t="shared" si="40"/>
        <v>Yes</v>
      </c>
      <c r="AP295" s="259" t="str">
        <f t="shared" si="41"/>
        <v>NOV 19</v>
      </c>
      <c r="AQ295" s="542" t="str">
        <f t="shared" si="42"/>
        <v>有定金+有預留客戶</v>
      </c>
      <c r="AR295" s="259" t="str">
        <f t="shared" si="43"/>
        <v>Shipped_Stock</v>
      </c>
      <c r="AS295" s="259" t="str">
        <f t="shared" si="44"/>
        <v/>
      </c>
      <c r="AT295" s="259" t="str">
        <f t="shared" si="45"/>
        <v>乐上</v>
      </c>
      <c r="AU295" s="259" t="str">
        <f t="shared" si="46"/>
        <v>C49SZX20190617SS</v>
      </c>
      <c r="AV295" s="259" t="str">
        <f t="shared" si="47"/>
        <v>Nov-01</v>
      </c>
    </row>
    <row r="296" spans="1:69" ht="15" hidden="1" customHeight="1">
      <c r="A296" s="559">
        <v>468</v>
      </c>
      <c r="B296" s="563" t="s">
        <v>280</v>
      </c>
      <c r="C296" s="560" t="s">
        <v>281</v>
      </c>
      <c r="D296" s="600">
        <v>109664</v>
      </c>
      <c r="E296" s="563" t="s">
        <v>644</v>
      </c>
      <c r="F296" s="563" t="s">
        <v>256</v>
      </c>
      <c r="G296" s="563" t="s">
        <v>24</v>
      </c>
      <c r="H296" s="563" t="s">
        <v>26</v>
      </c>
      <c r="I296" s="564" t="s">
        <v>769</v>
      </c>
      <c r="J296" s="564">
        <v>1</v>
      </c>
      <c r="K296" s="563" t="s">
        <v>605</v>
      </c>
      <c r="L296" s="565">
        <v>43770</v>
      </c>
      <c r="M296" s="566">
        <v>6.7199999999999996E-2</v>
      </c>
      <c r="N296" s="563" t="s">
        <v>504</v>
      </c>
      <c r="O296" s="564">
        <v>2019.1</v>
      </c>
      <c r="P296" s="566" t="str">
        <f>VLOOKUP(A296,'[1]Raw data'!$B:$BB,23,FALSE)</f>
        <v>JPY</v>
      </c>
      <c r="Q296" s="563" t="str">
        <f>VLOOKUP(A296,'[1]Raw data'!$B:$Z,2,FALSE)</f>
        <v>C49SZX20190159SS</v>
      </c>
      <c r="R296" s="563" t="str">
        <f>VLOOKUP(A296,'[1]Raw data'!$B:$Z,3,FALSE)</f>
        <v>思迈科技</v>
      </c>
      <c r="S296" s="563" t="str">
        <f>VLOOKUP(A296,'[1]Raw data'!$B:$Z,4,FALSE)</f>
        <v>YSM20R(SV)-2</v>
      </c>
      <c r="T296" s="563" t="str">
        <f>VLOOKUP(A296,'[1]Raw data'!$B:$Z,8,FALSE)</f>
        <v>L-&gt;R</v>
      </c>
      <c r="U296" s="563" t="str">
        <f>VLOOKUP(A296,'[1]Raw data'!$B:$Z,9,FALSE)</f>
        <v>No</v>
      </c>
      <c r="V296" s="567" t="str">
        <f t="shared" si="48"/>
        <v>OK</v>
      </c>
      <c r="W296" s="563" t="str">
        <f>VLOOKUP(A296,'[1]Raw data'!$B:$AG,32,FALSE)</f>
        <v>DAP SZ</v>
      </c>
      <c r="X296" s="563">
        <f>VLOOKUP(A296,'[1]Raw data'!$B:$BA,31,FALSE)</f>
        <v>43775</v>
      </c>
      <c r="Y296" s="563" t="str">
        <f>VLOOKUP(A296,'[1]Raw data'!$B:$AS,39,FALSE)</f>
        <v>Yes</v>
      </c>
      <c r="Z296" s="568"/>
      <c r="AA296" s="569"/>
      <c r="AB296" s="570"/>
      <c r="AC296" s="563" t="s">
        <v>770</v>
      </c>
      <c r="AD296" s="571">
        <v>301</v>
      </c>
      <c r="AE296" s="571">
        <v>20</v>
      </c>
      <c r="AN296" s="542"/>
      <c r="AO296" s="824" t="str">
        <f t="shared" si="40"/>
        <v>Yes</v>
      </c>
      <c r="AP296" s="259" t="str">
        <f t="shared" si="41"/>
        <v>NOV 19</v>
      </c>
      <c r="AQ296" s="542" t="str">
        <f t="shared" si="42"/>
        <v>有定金+有預留客戶</v>
      </c>
      <c r="AR296" s="259" t="str">
        <f t="shared" si="43"/>
        <v>Shipped_Stock</v>
      </c>
      <c r="AS296" s="259" t="str">
        <f t="shared" si="44"/>
        <v/>
      </c>
      <c r="AT296" s="259" t="str">
        <f t="shared" si="45"/>
        <v>思迈科技</v>
      </c>
      <c r="AU296" s="259" t="str">
        <f t="shared" si="46"/>
        <v>C49SZX20190159SS</v>
      </c>
      <c r="AV296" s="259" t="str">
        <f t="shared" si="47"/>
        <v>Nov-01</v>
      </c>
    </row>
    <row r="297" spans="1:69" ht="15.75" hidden="1" customHeight="1" thickBot="1">
      <c r="A297" s="559">
        <v>472</v>
      </c>
      <c r="B297" s="563" t="s">
        <v>280</v>
      </c>
      <c r="C297" s="560" t="s">
        <v>281</v>
      </c>
      <c r="D297" s="622">
        <v>109685</v>
      </c>
      <c r="E297" s="563" t="s">
        <v>644</v>
      </c>
      <c r="F297" s="563" t="s">
        <v>17</v>
      </c>
      <c r="G297" s="563" t="s">
        <v>18</v>
      </c>
      <c r="H297" s="563" t="s">
        <v>26</v>
      </c>
      <c r="I297" s="564" t="s">
        <v>771</v>
      </c>
      <c r="J297" s="564">
        <v>1</v>
      </c>
      <c r="K297" s="563" t="s">
        <v>605</v>
      </c>
      <c r="L297" s="565">
        <v>43770</v>
      </c>
      <c r="M297" s="566" t="s">
        <v>257</v>
      </c>
      <c r="N297" s="563" t="s">
        <v>504</v>
      </c>
      <c r="O297" s="563">
        <v>2019.1</v>
      </c>
      <c r="P297" s="566" t="str">
        <f>VLOOKUP(A297,'[1]Raw data'!$B:$BB,23,FALSE)</f>
        <v>RMB</v>
      </c>
      <c r="Q297" s="563" t="str">
        <f>VLOOKUP(A297,'[1]Raw data'!$B:$Z,2,FALSE)</f>
        <v>C49SZX20190153JL</v>
      </c>
      <c r="R297" s="563" t="str">
        <f>VLOOKUP(A297,'[1]Raw data'!$B:$Z,3,FALSE)</f>
        <v>硕泰克/end user 铭翔</v>
      </c>
      <c r="S297" s="563" t="str">
        <f>VLOOKUP(A297,'[1]Raw data'!$B:$Z,4,FALSE)</f>
        <v>YSM10</v>
      </c>
      <c r="T297" s="563" t="str">
        <f>VLOOKUP(A297,'[1]Raw data'!$B:$Z,8,FALSE)</f>
        <v>L-&gt;R</v>
      </c>
      <c r="U297" s="563" t="str">
        <f>VLOOKUP(A297,'[1]Raw data'!$B:$Z,9,FALSE)</f>
        <v>MVC</v>
      </c>
      <c r="V297" s="567" t="str">
        <f t="shared" si="48"/>
        <v>WRONG</v>
      </c>
      <c r="W297" s="563" t="str">
        <f>VLOOKUP(A297,'[1]Raw data'!$B:$AG,32,FALSE)</f>
        <v>含税到厂</v>
      </c>
      <c r="X297" s="563">
        <f>VLOOKUP(A297,'[1]Raw data'!$B:$BA,31,FALSE)</f>
        <v>43775</v>
      </c>
      <c r="Y297" s="563" t="str">
        <f>VLOOKUP(A297,'[1]Raw data'!$B:$AS,39,FALSE)</f>
        <v>Yes</v>
      </c>
      <c r="Z297" s="568"/>
      <c r="AA297" s="569"/>
      <c r="AB297" s="570"/>
      <c r="AC297" s="563" t="s">
        <v>772</v>
      </c>
      <c r="AD297" s="571">
        <v>301</v>
      </c>
      <c r="AE297" s="571">
        <v>10</v>
      </c>
      <c r="AN297" s="542"/>
      <c r="AO297" s="824" t="str">
        <f t="shared" si="40"/>
        <v>Yes</v>
      </c>
      <c r="AP297" s="259" t="str">
        <f t="shared" si="41"/>
        <v>NOV 19</v>
      </c>
      <c r="AQ297" s="542" t="str">
        <f t="shared" si="42"/>
        <v>有定金+有預留客戶</v>
      </c>
      <c r="AR297" s="259" t="str">
        <f t="shared" si="43"/>
        <v>Shipped_Stock</v>
      </c>
      <c r="AS297" s="259" t="str">
        <f t="shared" si="44"/>
        <v/>
      </c>
      <c r="AT297" s="259" t="str">
        <f t="shared" si="45"/>
        <v>硕泰克/end user 铭翔</v>
      </c>
      <c r="AU297" s="259" t="str">
        <f t="shared" si="46"/>
        <v>C49SZX20190153JL</v>
      </c>
      <c r="AV297" s="259" t="str">
        <f t="shared" si="47"/>
        <v>Nov-01</v>
      </c>
    </row>
    <row r="298" spans="1:69" ht="15" hidden="1" customHeight="1">
      <c r="A298" s="559">
        <v>473</v>
      </c>
      <c r="B298" s="563" t="s">
        <v>280</v>
      </c>
      <c r="C298" s="560" t="s">
        <v>281</v>
      </c>
      <c r="D298" s="623">
        <v>109685</v>
      </c>
      <c r="E298" s="562" t="s">
        <v>644</v>
      </c>
      <c r="F298" s="563" t="s">
        <v>17</v>
      </c>
      <c r="G298" s="563" t="s">
        <v>18</v>
      </c>
      <c r="H298" s="563" t="s">
        <v>26</v>
      </c>
      <c r="I298" s="564" t="s">
        <v>773</v>
      </c>
      <c r="J298" s="564">
        <v>1</v>
      </c>
      <c r="K298" s="563" t="s">
        <v>605</v>
      </c>
      <c r="L298" s="565">
        <v>43770</v>
      </c>
      <c r="M298" s="566" t="s">
        <v>257</v>
      </c>
      <c r="N298" s="563" t="s">
        <v>504</v>
      </c>
      <c r="O298" s="563">
        <v>2019.1</v>
      </c>
      <c r="P298" s="566" t="str">
        <f>VLOOKUP(A298,'[1]Raw data'!$B:$BB,23,FALSE)</f>
        <v>RMB</v>
      </c>
      <c r="Q298" s="563" t="str">
        <f>VLOOKUP(A298,'[1]Raw data'!$B:$Z,2,FALSE)</f>
        <v>C49SZX20190153JL</v>
      </c>
      <c r="R298" s="563" t="str">
        <f>VLOOKUP(A298,'[1]Raw data'!$B:$Z,3,FALSE)</f>
        <v>硕泰克/end user 铭翔</v>
      </c>
      <c r="S298" s="563" t="str">
        <f>VLOOKUP(A298,'[1]Raw data'!$B:$Z,4,FALSE)</f>
        <v>YSM10</v>
      </c>
      <c r="T298" s="563" t="str">
        <f>VLOOKUP(A298,'[1]Raw data'!$B:$Z,8,FALSE)</f>
        <v>L-&gt;R</v>
      </c>
      <c r="U298" s="563" t="str">
        <f>VLOOKUP(A298,'[1]Raw data'!$B:$Z,9,FALSE)</f>
        <v>MVC</v>
      </c>
      <c r="V298" s="567" t="str">
        <f t="shared" si="48"/>
        <v>WRONG</v>
      </c>
      <c r="W298" s="563" t="str">
        <f>VLOOKUP(A298,'[1]Raw data'!$B:$AG,32,FALSE)</f>
        <v>含税到厂</v>
      </c>
      <c r="X298" s="563">
        <f>VLOOKUP(A298,'[1]Raw data'!$B:$BA,31,FALSE)</f>
        <v>43775</v>
      </c>
      <c r="Y298" s="563" t="str">
        <f>VLOOKUP(A298,'[1]Raw data'!$B:$AS,39,FALSE)</f>
        <v>Yes</v>
      </c>
      <c r="Z298" s="568"/>
      <c r="AA298" s="569"/>
      <c r="AB298" s="570"/>
      <c r="AC298" s="563" t="s">
        <v>772</v>
      </c>
      <c r="AD298" s="571">
        <v>301</v>
      </c>
      <c r="AE298" s="571">
        <v>10</v>
      </c>
      <c r="AN298" s="542"/>
      <c r="AO298" s="824" t="str">
        <f t="shared" si="40"/>
        <v>Yes</v>
      </c>
      <c r="AP298" s="259" t="str">
        <f t="shared" si="41"/>
        <v>NOV 19</v>
      </c>
      <c r="AQ298" s="542" t="str">
        <f t="shared" si="42"/>
        <v>有定金+有預留客戶</v>
      </c>
      <c r="AR298" s="259" t="str">
        <f t="shared" si="43"/>
        <v>Shipped_Stock</v>
      </c>
      <c r="AS298" s="259" t="str">
        <f t="shared" si="44"/>
        <v/>
      </c>
      <c r="AT298" s="259" t="str">
        <f t="shared" si="45"/>
        <v>硕泰克/end user 铭翔</v>
      </c>
      <c r="AU298" s="259" t="str">
        <f t="shared" si="46"/>
        <v>C49SZX20190153JL</v>
      </c>
      <c r="AV298" s="259" t="str">
        <f t="shared" si="47"/>
        <v>Nov-01</v>
      </c>
    </row>
    <row r="299" spans="1:69" ht="15.75" hidden="1" customHeight="1" thickBot="1">
      <c r="A299" s="559">
        <v>503</v>
      </c>
      <c r="B299" s="560" t="s">
        <v>280</v>
      </c>
      <c r="C299" s="560" t="s">
        <v>281</v>
      </c>
      <c r="D299" s="624">
        <v>109721</v>
      </c>
      <c r="E299" s="562" t="s">
        <v>644</v>
      </c>
      <c r="F299" s="563" t="s">
        <v>256</v>
      </c>
      <c r="G299" s="563" t="s">
        <v>24</v>
      </c>
      <c r="H299" s="563" t="s">
        <v>26</v>
      </c>
      <c r="I299" s="564" t="s">
        <v>774</v>
      </c>
      <c r="J299" s="564">
        <v>1</v>
      </c>
      <c r="K299" s="563" t="s">
        <v>437</v>
      </c>
      <c r="L299" s="565">
        <v>43803</v>
      </c>
      <c r="M299" s="613">
        <v>6.7199999999999996E-2</v>
      </c>
      <c r="N299" s="563" t="s">
        <v>286</v>
      </c>
      <c r="O299" s="564">
        <v>2019.11</v>
      </c>
      <c r="P299" s="566" t="str">
        <f>VLOOKUP(A299,'[1]Raw data'!$B:$BB,23,FALSE)</f>
        <v>JPY</v>
      </c>
      <c r="Q299" s="563" t="str">
        <f>VLOOKUP(A299,'[1]Raw data'!$B:$Z,2,FALSE)</f>
        <v>C49SZX20190163JY</v>
      </c>
      <c r="R299" s="563" t="str">
        <f>VLOOKUP(A299,'[1]Raw data'!$B:$Z,3,FALSE)</f>
        <v>灿明</v>
      </c>
      <c r="S299" s="563" t="str">
        <f>VLOOKUP(A299,'[1]Raw data'!$B:$Z,4,FALSE)</f>
        <v>YSM20R(SV)-2</v>
      </c>
      <c r="T299" s="563" t="str">
        <f>VLOOKUP(A299,'[1]Raw data'!$B:$Z,8,FALSE)</f>
        <v>L-&gt;R</v>
      </c>
      <c r="U299" s="563" t="str">
        <f>VLOOKUP(A299,'[1]Raw data'!$B:$Z,9,FALSE)</f>
        <v>No</v>
      </c>
      <c r="V299" s="567" t="str">
        <f t="shared" si="48"/>
        <v>OK</v>
      </c>
      <c r="W299" s="563" t="str">
        <f>VLOOKUP(A299,'[1]Raw data'!$B:$AG,32,FALSE)</f>
        <v>DAP SZ</v>
      </c>
      <c r="X299" s="563">
        <f>VLOOKUP(A299,'[1]Raw data'!$B:$BA,31,FALSE)</f>
        <v>43781</v>
      </c>
      <c r="Y299" s="563" t="str">
        <f>VLOOKUP(A299,'[1]Raw data'!$B:$AS,39,FALSE)</f>
        <v>Yes</v>
      </c>
      <c r="Z299" s="568"/>
      <c r="AA299" s="569"/>
      <c r="AB299" s="570"/>
      <c r="AC299" s="563" t="s">
        <v>758</v>
      </c>
      <c r="AD299" s="571">
        <v>301</v>
      </c>
      <c r="AE299" s="571">
        <v>20</v>
      </c>
      <c r="AN299" s="542"/>
      <c r="AO299" s="824" t="str">
        <f t="shared" si="40"/>
        <v>Yes</v>
      </c>
      <c r="AP299" s="259" t="str">
        <f t="shared" si="41"/>
        <v>DEC 19</v>
      </c>
      <c r="AQ299" s="542" t="str">
        <f t="shared" si="42"/>
        <v>有定金+有預留客戶</v>
      </c>
      <c r="AR299" s="259" t="str">
        <f t="shared" si="43"/>
        <v>Shipped_Stock</v>
      </c>
      <c r="AS299" s="259" t="str">
        <f t="shared" si="44"/>
        <v/>
      </c>
      <c r="AT299" s="259" t="str">
        <f t="shared" si="45"/>
        <v>灿明</v>
      </c>
      <c r="AU299" s="259" t="str">
        <f t="shared" si="46"/>
        <v>C49SZX20190163JY</v>
      </c>
      <c r="AV299" s="259" t="str">
        <f t="shared" si="47"/>
        <v>Dec-04</v>
      </c>
    </row>
    <row r="300" spans="1:69" ht="15" hidden="1" customHeight="1">
      <c r="A300" s="559">
        <v>500</v>
      </c>
      <c r="B300" s="563" t="s">
        <v>280</v>
      </c>
      <c r="C300" s="560" t="s">
        <v>281</v>
      </c>
      <c r="D300" s="623">
        <v>109721</v>
      </c>
      <c r="E300" s="562" t="s">
        <v>644</v>
      </c>
      <c r="F300" s="563" t="s">
        <v>256</v>
      </c>
      <c r="G300" s="563" t="s">
        <v>24</v>
      </c>
      <c r="H300" s="563" t="s">
        <v>26</v>
      </c>
      <c r="I300" s="564" t="s">
        <v>775</v>
      </c>
      <c r="J300" s="564">
        <v>1</v>
      </c>
      <c r="K300" s="563" t="s">
        <v>437</v>
      </c>
      <c r="L300" s="565">
        <v>43803</v>
      </c>
      <c r="M300" s="566">
        <v>6.5699999999999995E-2</v>
      </c>
      <c r="N300" s="563" t="s">
        <v>286</v>
      </c>
      <c r="O300" s="564">
        <v>2019.11</v>
      </c>
      <c r="P300" s="566" t="str">
        <f>VLOOKUP(A300,'[1]Raw data'!$B:$BB,23,FALSE)</f>
        <v>JPY</v>
      </c>
      <c r="Q300" s="563" t="str">
        <f>VLOOKUP(A300,'[1]Raw data'!$B:$Z,2,FALSE)</f>
        <v>C49SZX20190163JY</v>
      </c>
      <c r="R300" s="563" t="str">
        <f>VLOOKUP(A300,'[1]Raw data'!$B:$Z,3,FALSE)</f>
        <v>灿明</v>
      </c>
      <c r="S300" s="563" t="str">
        <f>VLOOKUP(A300,'[1]Raw data'!$B:$Z,4,FALSE)</f>
        <v>YSM20R(SV)-2</v>
      </c>
      <c r="T300" s="563" t="str">
        <f>VLOOKUP(A300,'[1]Raw data'!$B:$Z,8,FALSE)</f>
        <v>L-&gt;R</v>
      </c>
      <c r="U300" s="563" t="str">
        <f>VLOOKUP(A300,'[1]Raw data'!$B:$Z,9,FALSE)</f>
        <v>No</v>
      </c>
      <c r="V300" s="567" t="str">
        <f t="shared" si="48"/>
        <v>OK</v>
      </c>
      <c r="W300" s="563" t="str">
        <f>VLOOKUP(A300,'[1]Raw data'!$B:$AG,32,FALSE)</f>
        <v>DAP SZ</v>
      </c>
      <c r="X300" s="563">
        <f>VLOOKUP(A300,'[1]Raw data'!$B:$BA,31,FALSE)</f>
        <v>43781</v>
      </c>
      <c r="Y300" s="563" t="str">
        <f>VLOOKUP(A300,'[1]Raw data'!$B:$AS,39,FALSE)</f>
        <v>Yes</v>
      </c>
      <c r="Z300" s="568"/>
      <c r="AA300" s="569"/>
      <c r="AB300" s="570"/>
      <c r="AC300" s="563" t="s">
        <v>758</v>
      </c>
      <c r="AD300" s="571">
        <v>302</v>
      </c>
      <c r="AE300" s="571">
        <v>20</v>
      </c>
      <c r="AN300" s="542"/>
      <c r="AO300" s="824" t="str">
        <f t="shared" si="40"/>
        <v>Yes</v>
      </c>
      <c r="AP300" s="259" t="str">
        <f t="shared" si="41"/>
        <v>DEC 19</v>
      </c>
      <c r="AQ300" s="542" t="str">
        <f t="shared" si="42"/>
        <v>有定金+有預留客戶</v>
      </c>
      <c r="AR300" s="259" t="str">
        <f t="shared" si="43"/>
        <v>Shipped_Stock</v>
      </c>
      <c r="AS300" s="259" t="str">
        <f t="shared" si="44"/>
        <v/>
      </c>
      <c r="AT300" s="259" t="str">
        <f t="shared" si="45"/>
        <v>灿明</v>
      </c>
      <c r="AU300" s="259" t="str">
        <f t="shared" si="46"/>
        <v>C49SZX20190163JY</v>
      </c>
      <c r="AV300" s="259" t="str">
        <f t="shared" si="47"/>
        <v>Dec-04</v>
      </c>
    </row>
    <row r="301" spans="1:69" s="837" customFormat="1" ht="60" hidden="1" customHeight="1">
      <c r="A301" s="559">
        <v>501</v>
      </c>
      <c r="B301" s="563" t="s">
        <v>280</v>
      </c>
      <c r="C301" s="560" t="s">
        <v>281</v>
      </c>
      <c r="D301" s="625">
        <v>109721</v>
      </c>
      <c r="E301" s="562" t="s">
        <v>644</v>
      </c>
      <c r="F301" s="563" t="s">
        <v>256</v>
      </c>
      <c r="G301" s="563" t="s">
        <v>24</v>
      </c>
      <c r="H301" s="563" t="s">
        <v>26</v>
      </c>
      <c r="I301" s="564" t="s">
        <v>776</v>
      </c>
      <c r="J301" s="564">
        <v>1</v>
      </c>
      <c r="K301" s="563" t="s">
        <v>437</v>
      </c>
      <c r="L301" s="565">
        <v>43803</v>
      </c>
      <c r="M301" s="566">
        <v>6.5699999999999995E-2</v>
      </c>
      <c r="N301" s="563" t="s">
        <v>286</v>
      </c>
      <c r="O301" s="564">
        <v>2019.11</v>
      </c>
      <c r="P301" s="566" t="str">
        <f>VLOOKUP(A301,'[1]Raw data'!$B:$BB,23,FALSE)</f>
        <v>JPY</v>
      </c>
      <c r="Q301" s="563" t="str">
        <f>VLOOKUP(A301,'[1]Raw data'!$B:$Z,2,FALSE)</f>
        <v>C49SZX20190163JY</v>
      </c>
      <c r="R301" s="563" t="str">
        <f>VLOOKUP(A301,'[1]Raw data'!$B:$Z,3,FALSE)</f>
        <v>灿明</v>
      </c>
      <c r="S301" s="563" t="str">
        <f>VLOOKUP(A301,'[1]Raw data'!$B:$Z,4,FALSE)</f>
        <v>YSM20R(SV)-2</v>
      </c>
      <c r="T301" s="563" t="str">
        <f>VLOOKUP(A301,'[1]Raw data'!$B:$Z,8,FALSE)</f>
        <v>L-&gt;R</v>
      </c>
      <c r="U301" s="563" t="str">
        <f>VLOOKUP(A301,'[1]Raw data'!$B:$Z,9,FALSE)</f>
        <v>No</v>
      </c>
      <c r="V301" s="567" t="str">
        <f t="shared" si="48"/>
        <v>OK</v>
      </c>
      <c r="W301" s="563" t="str">
        <f>VLOOKUP(A301,'[1]Raw data'!$B:$AG,32,FALSE)</f>
        <v>DAP SZ</v>
      </c>
      <c r="X301" s="563">
        <f>VLOOKUP(A301,'[1]Raw data'!$B:$BA,31,FALSE)</f>
        <v>43781</v>
      </c>
      <c r="Y301" s="563" t="str">
        <f>VLOOKUP(A301,'[1]Raw data'!$B:$AS,39,FALSE)</f>
        <v>Yes</v>
      </c>
      <c r="Z301" s="568"/>
      <c r="AA301" s="569"/>
      <c r="AB301" s="570"/>
      <c r="AC301" s="563" t="s">
        <v>758</v>
      </c>
      <c r="AD301" s="571">
        <v>302</v>
      </c>
      <c r="AE301" s="571">
        <v>20</v>
      </c>
      <c r="AF301" s="571"/>
      <c r="AG301" s="571"/>
      <c r="AH301" s="571"/>
      <c r="AI301" s="572"/>
      <c r="AJ301" s="571"/>
      <c r="AK301" s="571"/>
      <c r="AL301" s="571"/>
      <c r="AM301" s="571"/>
      <c r="AN301" s="542"/>
      <c r="AO301" s="824" t="str">
        <f t="shared" si="40"/>
        <v>Yes</v>
      </c>
      <c r="AP301" s="259" t="str">
        <f t="shared" si="41"/>
        <v>DEC 19</v>
      </c>
      <c r="AQ301" s="542" t="str">
        <f t="shared" si="42"/>
        <v>有定金+有預留客戶</v>
      </c>
      <c r="AR301" s="259" t="str">
        <f t="shared" si="43"/>
        <v>Shipped_Stock</v>
      </c>
      <c r="AS301" s="259" t="str">
        <f t="shared" si="44"/>
        <v/>
      </c>
      <c r="AT301" s="259" t="str">
        <f t="shared" si="45"/>
        <v>灿明</v>
      </c>
      <c r="AU301" s="259" t="str">
        <f t="shared" si="46"/>
        <v>C49SZX20190163JY</v>
      </c>
      <c r="AV301" s="259" t="str">
        <f t="shared" si="47"/>
        <v>Dec-04</v>
      </c>
      <c r="AW301" s="259"/>
      <c r="AX301" s="259"/>
      <c r="AY301" s="259"/>
      <c r="AZ301" s="259"/>
      <c r="BA301" s="259"/>
      <c r="BB301" s="259"/>
      <c r="BC301" s="259"/>
      <c r="BD301" s="259"/>
      <c r="BE301" s="259"/>
      <c r="BF301" s="259"/>
      <c r="BG301" s="259"/>
      <c r="BH301" s="259"/>
      <c r="BI301" s="259"/>
      <c r="BJ301" s="259"/>
      <c r="BK301" s="259"/>
      <c r="BL301" s="259"/>
      <c r="BM301" s="259"/>
      <c r="BN301" s="259"/>
      <c r="BO301" s="259"/>
      <c r="BP301" s="259"/>
      <c r="BQ301" s="259"/>
    </row>
    <row r="302" spans="1:69" s="837" customFormat="1" ht="60" hidden="1" customHeight="1">
      <c r="A302" s="559">
        <v>457</v>
      </c>
      <c r="B302" s="563" t="s">
        <v>280</v>
      </c>
      <c r="C302" s="560" t="s">
        <v>281</v>
      </c>
      <c r="D302" s="625">
        <v>109721</v>
      </c>
      <c r="E302" s="562" t="s">
        <v>644</v>
      </c>
      <c r="F302" s="563" t="s">
        <v>256</v>
      </c>
      <c r="G302" s="563" t="s">
        <v>24</v>
      </c>
      <c r="H302" s="563" t="s">
        <v>26</v>
      </c>
      <c r="I302" s="564" t="s">
        <v>777</v>
      </c>
      <c r="J302" s="564">
        <v>1</v>
      </c>
      <c r="K302" s="563" t="s">
        <v>437</v>
      </c>
      <c r="L302" s="565">
        <v>43803</v>
      </c>
      <c r="M302" s="566">
        <v>6.5699999999999995E-2</v>
      </c>
      <c r="N302" s="563" t="s">
        <v>286</v>
      </c>
      <c r="O302" s="564">
        <v>2019.11</v>
      </c>
      <c r="P302" s="566" t="str">
        <f>VLOOKUP(A302,'[1]Raw data'!$B:$BB,23,FALSE)</f>
        <v>JPY</v>
      </c>
      <c r="Q302" s="563" t="str">
        <f>VLOOKUP(A302,'[1]Raw data'!$B:$Z,2,FALSE)</f>
        <v>C49SZX20190028MZR1</v>
      </c>
      <c r="R302" s="563" t="str">
        <f>VLOOKUP(A302,'[1]Raw data'!$B:$Z,3,FALSE)</f>
        <v>魔乐视/end user:拓普赛特</v>
      </c>
      <c r="S302" s="563" t="str">
        <f>VLOOKUP(A302,'[1]Raw data'!$B:$Z,4,FALSE)</f>
        <v>YSM20R(SV)-2</v>
      </c>
      <c r="T302" s="563" t="str">
        <f>VLOOKUP(A302,'[1]Raw data'!$B:$Z,8,FALSE)</f>
        <v>L-&gt;R</v>
      </c>
      <c r="U302" s="563" t="str">
        <f>VLOOKUP(A302,'[1]Raw data'!$B:$Z,9,FALSE)</f>
        <v>No</v>
      </c>
      <c r="V302" s="567" t="str">
        <f t="shared" si="48"/>
        <v>OK</v>
      </c>
      <c r="W302" s="563" t="str">
        <f>VLOOKUP(A302,'[1]Raw data'!$B:$AG,32,FALSE)</f>
        <v>DAP SZ</v>
      </c>
      <c r="X302" s="563">
        <f>VLOOKUP(A302,'[1]Raw data'!$B:$BA,31,FALSE)</f>
        <v>43762</v>
      </c>
      <c r="Y302" s="563" t="str">
        <f>VLOOKUP(A302,'[1]Raw data'!$B:$AS,39,FALSE)</f>
        <v>Yes</v>
      </c>
      <c r="Z302" s="568"/>
      <c r="AA302" s="569"/>
      <c r="AB302" s="570"/>
      <c r="AC302" s="563" t="s">
        <v>736</v>
      </c>
      <c r="AD302" s="571">
        <v>301</v>
      </c>
      <c r="AE302" s="571">
        <v>5</v>
      </c>
      <c r="AF302" s="571">
        <v>302</v>
      </c>
      <c r="AG302" s="571">
        <v>10</v>
      </c>
      <c r="AH302" s="571">
        <v>303</v>
      </c>
      <c r="AI302" s="572">
        <v>5</v>
      </c>
      <c r="AJ302" s="571"/>
      <c r="AK302" s="571"/>
      <c r="AL302" s="571"/>
      <c r="AM302" s="571"/>
      <c r="AN302" s="542"/>
      <c r="AO302" s="824" t="str">
        <f t="shared" si="40"/>
        <v>Yes</v>
      </c>
      <c r="AP302" s="259" t="str">
        <f t="shared" si="41"/>
        <v>DEC 19</v>
      </c>
      <c r="AQ302" s="542" t="str">
        <f t="shared" si="42"/>
        <v>有定金+有預留客戶</v>
      </c>
      <c r="AR302" s="259" t="str">
        <f t="shared" si="43"/>
        <v>Shipped_Stock</v>
      </c>
      <c r="AS302" s="259" t="str">
        <f t="shared" si="44"/>
        <v/>
      </c>
      <c r="AT302" s="259" t="str">
        <f t="shared" si="45"/>
        <v>魔乐视/end user:拓普赛特</v>
      </c>
      <c r="AU302" s="259" t="str">
        <f t="shared" si="46"/>
        <v>C49SZX20190028MZR1</v>
      </c>
      <c r="AV302" s="259" t="str">
        <f t="shared" si="47"/>
        <v>Dec-04</v>
      </c>
      <c r="AW302" s="259"/>
      <c r="AX302" s="259"/>
      <c r="AY302" s="259"/>
      <c r="AZ302" s="259"/>
      <c r="BA302" s="259"/>
      <c r="BB302" s="259"/>
      <c r="BC302" s="259"/>
      <c r="BD302" s="259"/>
      <c r="BE302" s="259"/>
      <c r="BF302" s="259"/>
      <c r="BG302" s="259"/>
      <c r="BH302" s="259"/>
      <c r="BI302" s="259"/>
      <c r="BJ302" s="259"/>
      <c r="BK302" s="259"/>
      <c r="BL302" s="259"/>
      <c r="BM302" s="259"/>
      <c r="BN302" s="259"/>
      <c r="BO302" s="259"/>
      <c r="BP302" s="259"/>
      <c r="BQ302" s="259"/>
    </row>
    <row r="303" spans="1:69" ht="15.75" hidden="1" customHeight="1" thickBot="1">
      <c r="A303" s="559">
        <v>458</v>
      </c>
      <c r="B303" s="563" t="s">
        <v>280</v>
      </c>
      <c r="C303" s="560" t="s">
        <v>281</v>
      </c>
      <c r="D303" s="624">
        <v>109721</v>
      </c>
      <c r="E303" s="562" t="s">
        <v>644</v>
      </c>
      <c r="F303" s="563" t="s">
        <v>256</v>
      </c>
      <c r="G303" s="563" t="s">
        <v>18</v>
      </c>
      <c r="H303" s="563" t="s">
        <v>27</v>
      </c>
      <c r="I303" s="564" t="s">
        <v>778</v>
      </c>
      <c r="J303" s="564">
        <v>1</v>
      </c>
      <c r="K303" s="563" t="s">
        <v>437</v>
      </c>
      <c r="L303" s="565">
        <v>43803</v>
      </c>
      <c r="M303" s="566">
        <v>6.5699999999999995E-2</v>
      </c>
      <c r="N303" s="563" t="s">
        <v>286</v>
      </c>
      <c r="O303" s="564">
        <v>2019.11</v>
      </c>
      <c r="P303" s="566" t="str">
        <f>VLOOKUP(A303,'[1]Raw data'!$B:$BB,23,FALSE)</f>
        <v>JPY</v>
      </c>
      <c r="Q303" s="563" t="str">
        <f>VLOOKUP(A303,'[1]Raw data'!$B:$Z,2,FALSE)</f>
        <v>C49SZX20190028MZR1</v>
      </c>
      <c r="R303" s="563" t="str">
        <f>VLOOKUP(A303,'[1]Raw data'!$B:$Z,3,FALSE)</f>
        <v>魔乐视/end user:拓普赛特</v>
      </c>
      <c r="S303" s="563" t="str">
        <f>VLOOKUP(A303,'[1]Raw data'!$B:$Z,4,FALSE)</f>
        <v>YSM20R(SV)-2</v>
      </c>
      <c r="T303" s="563" t="str">
        <f>VLOOKUP(A303,'[1]Raw data'!$B:$Z,8,FALSE)</f>
        <v>R-&gt;L</v>
      </c>
      <c r="U303" s="563" t="str">
        <f>VLOOKUP(A303,'[1]Raw data'!$B:$Z,9,FALSE)</f>
        <v>No</v>
      </c>
      <c r="V303" s="567" t="str">
        <f t="shared" si="48"/>
        <v>WRONG</v>
      </c>
      <c r="W303" s="563" t="str">
        <f>VLOOKUP(A303,'[1]Raw data'!$B:$AG,32,FALSE)</f>
        <v>DAP SZ</v>
      </c>
      <c r="X303" s="563">
        <f>VLOOKUP(A303,'[1]Raw data'!$B:$BA,31,FALSE)</f>
        <v>43762</v>
      </c>
      <c r="Y303" s="563" t="str">
        <f>VLOOKUP(A303,'[1]Raw data'!$B:$AS,39,FALSE)</f>
        <v>Yes</v>
      </c>
      <c r="Z303" s="568"/>
      <c r="AA303" s="569"/>
      <c r="AB303" s="570"/>
      <c r="AC303" s="563" t="s">
        <v>736</v>
      </c>
      <c r="AD303" s="571">
        <v>301</v>
      </c>
      <c r="AE303" s="571">
        <v>10</v>
      </c>
      <c r="AF303" s="571">
        <v>303</v>
      </c>
      <c r="AG303" s="571">
        <v>5</v>
      </c>
      <c r="AH303" s="571">
        <v>311</v>
      </c>
      <c r="AI303" s="572">
        <v>5</v>
      </c>
      <c r="AN303" s="542"/>
      <c r="AO303" s="824" t="str">
        <f t="shared" si="40"/>
        <v>Yes</v>
      </c>
      <c r="AP303" s="259" t="str">
        <f t="shared" si="41"/>
        <v>DEC 19</v>
      </c>
      <c r="AQ303" s="542" t="str">
        <f t="shared" si="42"/>
        <v>有定金+有預留客戶</v>
      </c>
      <c r="AR303" s="259" t="str">
        <f t="shared" si="43"/>
        <v>Shipped_Stock</v>
      </c>
      <c r="AS303" s="259" t="str">
        <f t="shared" si="44"/>
        <v/>
      </c>
      <c r="AT303" s="259" t="str">
        <f t="shared" si="45"/>
        <v>魔乐视/end user:拓普赛特</v>
      </c>
      <c r="AU303" s="259" t="str">
        <f t="shared" si="46"/>
        <v>C49SZX20190028MZR1</v>
      </c>
      <c r="AV303" s="259" t="str">
        <f t="shared" si="47"/>
        <v>Dec-04</v>
      </c>
    </row>
    <row r="304" spans="1:69" ht="15" hidden="1" customHeight="1">
      <c r="A304" s="559">
        <v>564</v>
      </c>
      <c r="B304" s="563" t="s">
        <v>280</v>
      </c>
      <c r="C304" s="560" t="s">
        <v>281</v>
      </c>
      <c r="D304" s="626">
        <v>109721</v>
      </c>
      <c r="E304" s="563" t="s">
        <v>644</v>
      </c>
      <c r="F304" s="563" t="s">
        <v>256</v>
      </c>
      <c r="G304" s="563" t="s">
        <v>18</v>
      </c>
      <c r="H304" s="563" t="s">
        <v>27</v>
      </c>
      <c r="I304" s="564" t="s">
        <v>779</v>
      </c>
      <c r="J304" s="564">
        <v>1</v>
      </c>
      <c r="K304" s="563" t="s">
        <v>437</v>
      </c>
      <c r="L304" s="565">
        <v>43803</v>
      </c>
      <c r="M304" s="576">
        <v>6.5699999999999995E-2</v>
      </c>
      <c r="N304" s="563" t="s">
        <v>731</v>
      </c>
      <c r="O304" s="564">
        <v>2019.11</v>
      </c>
      <c r="P304" s="566" t="str">
        <f>VLOOKUP(A304,'[1]Raw data'!$B:$BB,23,FALSE)</f>
        <v>JPY</v>
      </c>
      <c r="Q304" s="563" t="str">
        <f>VLOOKUP(A304,'[1]Raw data'!$B:$Z,2,FALSE)</f>
        <v>C49SZX20200001SX</v>
      </c>
      <c r="R304" s="563" t="str">
        <f>VLOOKUP(A304,'[1]Raw data'!$B:$Z,3,FALSE)</f>
        <v>柏星</v>
      </c>
      <c r="S304" s="563" t="str">
        <f>VLOOKUP(A304,'[1]Raw data'!$B:$Z,4,FALSE)</f>
        <v>YSM20R(SV)-2</v>
      </c>
      <c r="T304" s="563" t="str">
        <f>VLOOKUP(A304,'[1]Raw data'!$B:$Z,8,FALSE)</f>
        <v>R-&gt;L</v>
      </c>
      <c r="U304" s="563" t="str">
        <f>VLOOKUP(A304,'[1]Raw data'!$B:$Z,9,FALSE)</f>
        <v>No</v>
      </c>
      <c r="V304" s="567" t="str">
        <f t="shared" si="48"/>
        <v>WRONG</v>
      </c>
      <c r="W304" s="563" t="str">
        <f>VLOOKUP(A304,'[1]Raw data'!$B:$AG,32,FALSE)</f>
        <v>DAP DG</v>
      </c>
      <c r="X304" s="563">
        <f>VLOOKUP(A304,'[1]Raw data'!$B:$BA,31,FALSE)</f>
        <v>43831</v>
      </c>
      <c r="Y304" s="563" t="str">
        <f>VLOOKUP(A304,'[1]Raw data'!$B:$AS,39,FALSE)</f>
        <v>Yes</v>
      </c>
      <c r="Z304" s="568" t="s">
        <v>329</v>
      </c>
      <c r="AA304" s="569" t="s">
        <v>329</v>
      </c>
      <c r="AB304" s="570"/>
      <c r="AC304" s="563" t="s">
        <v>410</v>
      </c>
      <c r="AD304" s="571">
        <v>301</v>
      </c>
      <c r="AE304" s="571">
        <v>10</v>
      </c>
      <c r="AF304" s="571">
        <v>303</v>
      </c>
      <c r="AG304" s="571">
        <v>5</v>
      </c>
      <c r="AH304" s="571">
        <v>311</v>
      </c>
      <c r="AI304" s="572">
        <v>5</v>
      </c>
      <c r="AN304" s="542"/>
      <c r="AO304" s="824" t="str">
        <f t="shared" si="40"/>
        <v>Yes</v>
      </c>
      <c r="AP304" s="259" t="str">
        <f t="shared" si="41"/>
        <v>JAN 20</v>
      </c>
      <c r="AQ304" s="542" t="str">
        <f t="shared" si="42"/>
        <v>有定金+有預留客戶</v>
      </c>
      <c r="AR304" s="259" t="str">
        <f t="shared" si="43"/>
        <v>Shipped_Stock</v>
      </c>
      <c r="AS304" s="259" t="str">
        <f t="shared" si="44"/>
        <v/>
      </c>
      <c r="AT304" s="259" t="str">
        <f t="shared" si="45"/>
        <v>柏星</v>
      </c>
      <c r="AU304" s="259" t="str">
        <f t="shared" si="46"/>
        <v>C49SZX20200001SX</v>
      </c>
      <c r="AV304" s="259" t="str">
        <f t="shared" si="47"/>
        <v>Dec-04</v>
      </c>
    </row>
    <row r="305" spans="1:48" ht="15" hidden="1" customHeight="1">
      <c r="A305" s="559">
        <v>599</v>
      </c>
      <c r="B305" s="563" t="s">
        <v>280</v>
      </c>
      <c r="C305" s="560" t="s">
        <v>281</v>
      </c>
      <c r="D305" s="600">
        <v>109730</v>
      </c>
      <c r="E305" s="563" t="s">
        <v>780</v>
      </c>
      <c r="F305" s="563" t="s">
        <v>256</v>
      </c>
      <c r="G305" s="563" t="s">
        <v>24</v>
      </c>
      <c r="H305" s="563" t="s">
        <v>27</v>
      </c>
      <c r="I305" s="564" t="s">
        <v>781</v>
      </c>
      <c r="J305" s="564">
        <v>1</v>
      </c>
      <c r="K305" s="563" t="s">
        <v>295</v>
      </c>
      <c r="L305" s="565">
        <v>43810</v>
      </c>
      <c r="M305" s="576">
        <v>6.5299999999999997E-2</v>
      </c>
      <c r="N305" s="563" t="s">
        <v>554</v>
      </c>
      <c r="O305" s="564">
        <v>2019.11</v>
      </c>
      <c r="P305" s="566" t="str">
        <f>VLOOKUP(A305,'[1]Raw data'!$B:$BB,23,FALSE)</f>
        <v>RMB</v>
      </c>
      <c r="Q305" s="563" t="str">
        <f>VLOOKUP(A305,'[1]Raw data'!$B:$Z,2,FALSE)</f>
        <v>C49SZX20200009MX</v>
      </c>
      <c r="R305" s="563" t="str">
        <f>VLOOKUP(A305,'[1]Raw data'!$B:$Z,3,FALSE)</f>
        <v>民龙/End user 众立创</v>
      </c>
      <c r="S305" s="563" t="str">
        <f>VLOOKUP(A305,'[1]Raw data'!$B:$Z,4,FALSE)</f>
        <v>YSM20R(SV)-2</v>
      </c>
      <c r="T305" s="563" t="str">
        <f>VLOOKUP(A305,'[1]Raw data'!$B:$Z,8,FALSE)</f>
        <v>L-&gt;R</v>
      </c>
      <c r="U305" s="563" t="str">
        <f>VLOOKUP(A305,'[1]Raw data'!$B:$Z,9,FALSE)</f>
        <v>No</v>
      </c>
      <c r="V305" s="567" t="str">
        <f t="shared" si="48"/>
        <v>WRONG</v>
      </c>
      <c r="W305" s="563" t="str">
        <f>VLOOKUP(A305,'[1]Raw data'!$B:$AG,32,FALSE)</f>
        <v>含税到厂</v>
      </c>
      <c r="X305" s="563">
        <f>VLOOKUP(A305,'[1]Raw data'!$B:$BA,31,FALSE)</f>
        <v>43910</v>
      </c>
      <c r="Y305" s="563" t="str">
        <f>VLOOKUP(A305,'[1]Raw data'!$B:$AS,39,FALSE)</f>
        <v>Yes</v>
      </c>
      <c r="Z305" s="577"/>
      <c r="AA305" s="578"/>
      <c r="AB305" s="579"/>
      <c r="AC305" s="563" t="s">
        <v>782</v>
      </c>
      <c r="AD305" s="564">
        <v>301</v>
      </c>
      <c r="AE305" s="564">
        <v>20</v>
      </c>
      <c r="AF305" s="564"/>
      <c r="AG305" s="564"/>
      <c r="AH305" s="564"/>
      <c r="AI305" s="627"/>
      <c r="AJ305" s="564"/>
      <c r="AK305" s="564"/>
      <c r="AL305" s="564"/>
      <c r="AM305" s="564"/>
      <c r="AN305" s="542"/>
      <c r="AO305" s="824" t="str">
        <f t="shared" si="40"/>
        <v>Yes</v>
      </c>
      <c r="AP305" s="259" t="str">
        <f t="shared" si="41"/>
        <v>APR 20</v>
      </c>
      <c r="AQ305" s="542" t="str">
        <f t="shared" si="42"/>
        <v>有定金+有預留客戶</v>
      </c>
      <c r="AR305" s="259" t="str">
        <f t="shared" si="43"/>
        <v>Shipped_Stock</v>
      </c>
      <c r="AS305" s="259" t="str">
        <f t="shared" si="44"/>
        <v/>
      </c>
      <c r="AT305" s="259" t="str">
        <f t="shared" si="45"/>
        <v>民龙/End user 众立创</v>
      </c>
      <c r="AU305" s="259" t="str">
        <f t="shared" si="46"/>
        <v>C49SZX20200009MX</v>
      </c>
      <c r="AV305" s="259" t="str">
        <f t="shared" si="47"/>
        <v>Dec-11</v>
      </c>
    </row>
    <row r="306" spans="1:48" ht="15" hidden="1" customHeight="1">
      <c r="A306" s="599">
        <v>568</v>
      </c>
      <c r="B306" s="563" t="s">
        <v>280</v>
      </c>
      <c r="C306" s="560" t="s">
        <v>281</v>
      </c>
      <c r="D306" s="600">
        <v>109730</v>
      </c>
      <c r="E306" s="563" t="s">
        <v>780</v>
      </c>
      <c r="F306" s="563" t="s">
        <v>256</v>
      </c>
      <c r="G306" s="563" t="s">
        <v>18</v>
      </c>
      <c r="H306" s="563" t="s">
        <v>27</v>
      </c>
      <c r="I306" s="564" t="s">
        <v>783</v>
      </c>
      <c r="J306" s="564">
        <v>1</v>
      </c>
      <c r="K306" s="563" t="s">
        <v>784</v>
      </c>
      <c r="L306" s="565">
        <v>43810</v>
      </c>
      <c r="M306" s="576">
        <v>6.5299999999999997E-2</v>
      </c>
      <c r="N306" s="563" t="s">
        <v>785</v>
      </c>
      <c r="O306" s="564">
        <v>2019.11</v>
      </c>
      <c r="P306" s="566" t="str">
        <f>VLOOKUP(A306,'[1]Raw data'!$B:$BB,23,FALSE)</f>
        <v>JPY</v>
      </c>
      <c r="Q306" s="563" t="str">
        <f>VLOOKUP(A306,'[1]Raw data'!$B:$Z,2,FALSE)</f>
        <v>C49SZX20200003CX</v>
      </c>
      <c r="R306" s="563" t="str">
        <f>VLOOKUP(A306,'[1]Raw data'!$B:$Z,3,FALSE)</f>
        <v>靓颖电子</v>
      </c>
      <c r="S306" s="563" t="str">
        <f>VLOOKUP(A306,'[1]Raw data'!$B:$Z,4,FALSE)</f>
        <v>YSM20R(SV)-2</v>
      </c>
      <c r="T306" s="563" t="str">
        <f>VLOOKUP(A306,'[1]Raw data'!$B:$Z,8,FALSE)</f>
        <v>R-&gt;L</v>
      </c>
      <c r="U306" s="563" t="str">
        <f>VLOOKUP(A306,'[1]Raw data'!$B:$Z,9,FALSE)</f>
        <v>MVC</v>
      </c>
      <c r="V306" s="567" t="str">
        <f t="shared" si="48"/>
        <v>OK</v>
      </c>
      <c r="W306" s="563" t="str">
        <f>VLOOKUP(A306,'[1]Raw data'!$B:$AG,32,FALSE)</f>
        <v>DAP ST</v>
      </c>
      <c r="X306" s="563">
        <f>VLOOKUP(A306,'[1]Raw data'!$B:$BA,31,FALSE)</f>
        <v>43467</v>
      </c>
      <c r="Y306" s="563" t="str">
        <f>VLOOKUP(A306,'[1]Raw data'!$B:$AS,39,FALSE)</f>
        <v>Yes</v>
      </c>
      <c r="Z306" s="568"/>
      <c r="AA306" s="569"/>
      <c r="AB306" s="570"/>
      <c r="AC306" s="563" t="s">
        <v>786</v>
      </c>
      <c r="AD306" s="564">
        <v>312</v>
      </c>
      <c r="AE306" s="564">
        <v>10</v>
      </c>
      <c r="AF306" s="564">
        <v>303</v>
      </c>
      <c r="AG306" s="564">
        <v>10</v>
      </c>
      <c r="AH306" s="564"/>
      <c r="AI306" s="627"/>
      <c r="AJ306" s="564"/>
      <c r="AK306" s="564"/>
      <c r="AL306" s="564"/>
      <c r="AM306" s="564"/>
      <c r="AN306" s="542"/>
      <c r="AO306" s="824" t="str">
        <f t="shared" si="40"/>
        <v>Yes</v>
      </c>
      <c r="AP306" s="259" t="str">
        <f t="shared" si="41"/>
        <v>MAR 20</v>
      </c>
      <c r="AQ306" s="542" t="str">
        <f t="shared" si="42"/>
        <v>有定金+有預留客戶</v>
      </c>
      <c r="AR306" s="259" t="str">
        <f t="shared" si="43"/>
        <v>Shipped_Stock</v>
      </c>
      <c r="AS306" s="259" t="str">
        <f t="shared" si="44"/>
        <v/>
      </c>
      <c r="AT306" s="259" t="str">
        <f t="shared" si="45"/>
        <v>靓颖电子</v>
      </c>
      <c r="AU306" s="259" t="str">
        <f t="shared" si="46"/>
        <v>C49SZX20200003CX</v>
      </c>
      <c r="AV306" s="259" t="str">
        <f t="shared" si="47"/>
        <v>Dec-11</v>
      </c>
    </row>
    <row r="307" spans="1:48" ht="15" hidden="1" customHeight="1">
      <c r="A307" s="599">
        <v>480</v>
      </c>
      <c r="B307" s="563" t="s">
        <v>280</v>
      </c>
      <c r="C307" s="560" t="s">
        <v>281</v>
      </c>
      <c r="D307" s="600">
        <v>109730</v>
      </c>
      <c r="E307" s="563" t="s">
        <v>780</v>
      </c>
      <c r="F307" s="563" t="s">
        <v>256</v>
      </c>
      <c r="G307" s="563" t="s">
        <v>24</v>
      </c>
      <c r="H307" s="563" t="s">
        <v>26</v>
      </c>
      <c r="I307" s="564" t="s">
        <v>787</v>
      </c>
      <c r="J307" s="628">
        <v>1</v>
      </c>
      <c r="K307" s="563" t="s">
        <v>784</v>
      </c>
      <c r="L307" s="565">
        <v>43810</v>
      </c>
      <c r="M307" s="615" t="s">
        <v>788</v>
      </c>
      <c r="N307" s="563" t="s">
        <v>789</v>
      </c>
      <c r="O307" s="564">
        <v>2019.11</v>
      </c>
      <c r="P307" s="566" t="str">
        <f>VLOOKUP(A307,'[1]Raw data'!$B:$BB,23,FALSE)</f>
        <v>JPY</v>
      </c>
      <c r="Q307" s="563" t="str">
        <f>VLOOKUP(A307,'[1]Raw data'!$B:$Z,2,FALSE)</f>
        <v>C49SZX20190156-2ZX</v>
      </c>
      <c r="R307" s="563" t="str">
        <f>VLOOKUP(A307,'[1]Raw data'!$B:$Z,3,FALSE)</f>
        <v>锘铧</v>
      </c>
      <c r="S307" s="563" t="str">
        <f>VLOOKUP(A307,'[1]Raw data'!$B:$Z,4,FALSE)</f>
        <v>YSM20R(SV)-2</v>
      </c>
      <c r="T307" s="563" t="str">
        <f>VLOOKUP(A307,'[1]Raw data'!$B:$Z,8,FALSE)</f>
        <v>R-&gt;L</v>
      </c>
      <c r="U307" s="563" t="str">
        <f>VLOOKUP(A307,'[1]Raw data'!$B:$Z,9,FALSE)</f>
        <v>No</v>
      </c>
      <c r="V307" s="567" t="str">
        <f t="shared" si="48"/>
        <v>WRONG</v>
      </c>
      <c r="W307" s="563" t="str">
        <f>VLOOKUP(A307,'[1]Raw data'!$B:$AG,32,FALSE)</f>
        <v>DAP GZ</v>
      </c>
      <c r="X307" s="563">
        <f>VLOOKUP(A307,'[1]Raw data'!$B:$BA,31,FALSE)</f>
        <v>43774</v>
      </c>
      <c r="Y307" s="563" t="str">
        <f>VLOOKUP(A307,'[1]Raw data'!$B:$AS,39,FALSE)</f>
        <v>Yes</v>
      </c>
      <c r="Z307" s="568"/>
      <c r="AA307" s="569"/>
      <c r="AB307" s="570"/>
      <c r="AC307" s="563" t="s">
        <v>621</v>
      </c>
      <c r="AD307" s="564">
        <v>301</v>
      </c>
      <c r="AE307" s="564">
        <v>10</v>
      </c>
      <c r="AF307" s="564">
        <v>302</v>
      </c>
      <c r="AG307" s="564">
        <v>10</v>
      </c>
      <c r="AH307" s="564"/>
      <c r="AI307" s="627"/>
      <c r="AJ307" s="564"/>
      <c r="AK307" s="564"/>
      <c r="AL307" s="564"/>
      <c r="AM307" s="564"/>
      <c r="AN307" s="542"/>
      <c r="AO307" s="824" t="str">
        <f t="shared" si="40"/>
        <v>Yes</v>
      </c>
      <c r="AP307" s="259" t="str">
        <f t="shared" si="41"/>
        <v>FEB 20</v>
      </c>
      <c r="AQ307" s="542" t="str">
        <f t="shared" si="42"/>
        <v>有定金+有預留客戶</v>
      </c>
      <c r="AR307" s="259" t="str">
        <f t="shared" si="43"/>
        <v>Shipped_Stock</v>
      </c>
      <c r="AS307" s="259" t="str">
        <f t="shared" si="44"/>
        <v/>
      </c>
      <c r="AT307" s="259" t="str">
        <f t="shared" si="45"/>
        <v>锘铧</v>
      </c>
      <c r="AU307" s="259" t="str">
        <f t="shared" si="46"/>
        <v>C49SZX20190156-2ZX</v>
      </c>
      <c r="AV307" s="259" t="str">
        <f t="shared" si="47"/>
        <v>Dec-11</v>
      </c>
    </row>
    <row r="308" spans="1:48" ht="15" hidden="1" customHeight="1">
      <c r="A308" s="559">
        <v>608</v>
      </c>
      <c r="B308" s="563" t="s">
        <v>280</v>
      </c>
      <c r="C308" s="560" t="s">
        <v>281</v>
      </c>
      <c r="D308" s="629">
        <v>109730</v>
      </c>
      <c r="E308" s="630" t="s">
        <v>780</v>
      </c>
      <c r="F308" s="563" t="s">
        <v>256</v>
      </c>
      <c r="G308" s="563" t="s">
        <v>24</v>
      </c>
      <c r="H308" s="563" t="s">
        <v>27</v>
      </c>
      <c r="I308" s="564" t="s">
        <v>790</v>
      </c>
      <c r="J308" s="564">
        <v>1</v>
      </c>
      <c r="K308" s="563" t="s">
        <v>496</v>
      </c>
      <c r="L308" s="565">
        <v>43810</v>
      </c>
      <c r="M308" s="576">
        <v>6.5299999999999997E-2</v>
      </c>
      <c r="N308" s="563" t="s">
        <v>554</v>
      </c>
      <c r="O308" s="564">
        <v>2019.11</v>
      </c>
      <c r="P308" s="566" t="str">
        <f>VLOOKUP(A308,'[1]Raw data'!$B:$BB,23,FALSE)</f>
        <v>RMB</v>
      </c>
      <c r="Q308" s="563" t="str">
        <f>VLOOKUP(A308,'[1]Raw data'!$B:$Z,2,FALSE)</f>
        <v>C49SZX20200039SX</v>
      </c>
      <c r="R308" s="563" t="str">
        <f>VLOOKUP(A308,'[1]Raw data'!$B:$Z,3,FALSE)</f>
        <v>柏星</v>
      </c>
      <c r="S308" s="563" t="str">
        <f>VLOOKUP(A308,'[1]Raw data'!$B:$Z,4,FALSE)</f>
        <v>YSM20R(SV)-2</v>
      </c>
      <c r="T308" s="563" t="str">
        <f>VLOOKUP(A308,'[1]Raw data'!$B:$Z,8,FALSE)</f>
        <v>L-&gt;R</v>
      </c>
      <c r="U308" s="563" t="str">
        <f>VLOOKUP(A308,'[1]Raw data'!$B:$Z,9,FALSE)</f>
        <v>No</v>
      </c>
      <c r="V308" s="567" t="str">
        <f t="shared" si="48"/>
        <v>WRONG</v>
      </c>
      <c r="W308" s="563" t="str">
        <f>VLOOKUP(A308,'[1]Raw data'!$B:$AG,32,FALSE)</f>
        <v>含税到厂</v>
      </c>
      <c r="X308" s="563">
        <f>VLOOKUP(A308,'[1]Raw data'!$B:$BA,31,FALSE)</f>
        <v>43920</v>
      </c>
      <c r="Y308" s="563" t="str">
        <f>VLOOKUP(A308,'[1]Raw data'!$B:$AS,39,FALSE)</f>
        <v>Yes</v>
      </c>
      <c r="AC308" s="563" t="s">
        <v>410</v>
      </c>
      <c r="AD308" s="571">
        <v>301</v>
      </c>
      <c r="AE308" s="571">
        <v>20</v>
      </c>
      <c r="AN308" s="542"/>
      <c r="AO308" s="824" t="str">
        <f t="shared" si="40"/>
        <v>Yes</v>
      </c>
      <c r="AP308" s="259" t="str">
        <f t="shared" si="41"/>
        <v>APR 20</v>
      </c>
      <c r="AQ308" s="542" t="str">
        <f t="shared" si="42"/>
        <v>有定金+有預留客戶</v>
      </c>
      <c r="AR308" s="259" t="str">
        <f t="shared" si="43"/>
        <v>Shipped_Stock</v>
      </c>
      <c r="AS308" s="259" t="str">
        <f t="shared" si="44"/>
        <v/>
      </c>
      <c r="AT308" s="259" t="str">
        <f t="shared" si="45"/>
        <v>柏星</v>
      </c>
      <c r="AU308" s="259" t="str">
        <f t="shared" si="46"/>
        <v>C49SZX20200039SX</v>
      </c>
      <c r="AV308" s="259" t="str">
        <f t="shared" si="47"/>
        <v>Dec-11</v>
      </c>
    </row>
    <row r="309" spans="1:48" ht="15" hidden="1" customHeight="1">
      <c r="A309" s="599">
        <v>585</v>
      </c>
      <c r="B309" s="563" t="s">
        <v>280</v>
      </c>
      <c r="C309" s="560" t="s">
        <v>281</v>
      </c>
      <c r="D309" s="625">
        <v>109730</v>
      </c>
      <c r="E309" s="562" t="s">
        <v>780</v>
      </c>
      <c r="F309" s="563" t="s">
        <v>256</v>
      </c>
      <c r="G309" s="563" t="s">
        <v>18</v>
      </c>
      <c r="H309" s="563" t="s">
        <v>26</v>
      </c>
      <c r="I309" s="564" t="s">
        <v>791</v>
      </c>
      <c r="J309" s="571">
        <v>1</v>
      </c>
      <c r="K309" s="563" t="s">
        <v>437</v>
      </c>
      <c r="L309" s="565">
        <v>43810</v>
      </c>
      <c r="M309" s="576">
        <v>6.5299999999999997E-2</v>
      </c>
      <c r="N309" s="563" t="s">
        <v>789</v>
      </c>
      <c r="O309" s="564">
        <v>2019.11</v>
      </c>
      <c r="P309" s="566" t="str">
        <f>VLOOKUP(A309,'[1]Raw data'!$B:$BB,23,FALSE)</f>
        <v>JPY</v>
      </c>
      <c r="Q309" s="563" t="str">
        <f>VLOOKUP(A309,'[1]Raw data'!$B:$Z,2,FALSE)</f>
        <v>C49SZX20200018SX</v>
      </c>
      <c r="R309" s="563" t="str">
        <f>VLOOKUP(A309,'[1]Raw data'!$B:$Z,3,FALSE)</f>
        <v>福瑞康</v>
      </c>
      <c r="S309" s="563" t="str">
        <f>VLOOKUP(A309,'[1]Raw data'!$B:$Z,4,FALSE)</f>
        <v>YSM20R(SV)-2</v>
      </c>
      <c r="T309" s="563" t="str">
        <f>VLOOKUP(A309,'[1]Raw data'!$B:$Z,8,FALSE)</f>
        <v>R-&gt;L</v>
      </c>
      <c r="U309" s="563" t="str">
        <f>VLOOKUP(A309,'[1]Raw data'!$B:$Z,9,FALSE)</f>
        <v>MVC</v>
      </c>
      <c r="V309" s="567" t="str">
        <f t="shared" si="48"/>
        <v>WRONG</v>
      </c>
      <c r="W309" s="563" t="str">
        <f>VLOOKUP(A309,'[1]Raw data'!$B:$AG,32,FALSE)</f>
        <v>DAP DG</v>
      </c>
      <c r="X309" s="563">
        <f>VLOOKUP(A309,'[1]Raw data'!$B:$BA,31,FALSE)</f>
        <v>43880</v>
      </c>
      <c r="Y309" s="563" t="str">
        <f>VLOOKUP(A309,'[1]Raw data'!$B:$AS,39,FALSE)</f>
        <v>Yes</v>
      </c>
      <c r="Z309" s="568"/>
      <c r="AA309" s="569"/>
      <c r="AB309" s="570"/>
      <c r="AC309" s="563" t="s">
        <v>606</v>
      </c>
      <c r="AD309" s="564">
        <v>301</v>
      </c>
      <c r="AE309" s="564">
        <v>10</v>
      </c>
      <c r="AF309" s="564">
        <v>303</v>
      </c>
      <c r="AG309" s="564">
        <v>10</v>
      </c>
      <c r="AH309" s="564"/>
      <c r="AI309" s="627"/>
      <c r="AJ309" s="564"/>
      <c r="AK309" s="564"/>
      <c r="AL309" s="564"/>
      <c r="AM309" s="564"/>
      <c r="AN309" s="542"/>
      <c r="AO309" s="824" t="str">
        <f t="shared" si="40"/>
        <v>Yes</v>
      </c>
      <c r="AP309" s="259" t="str">
        <f t="shared" si="41"/>
        <v>FEB 20</v>
      </c>
      <c r="AQ309" s="542" t="str">
        <f t="shared" si="42"/>
        <v>有定金+有預留客戶</v>
      </c>
      <c r="AR309" s="259" t="str">
        <f t="shared" si="43"/>
        <v>Shipped_Stock</v>
      </c>
      <c r="AS309" s="259" t="str">
        <f t="shared" si="44"/>
        <v/>
      </c>
      <c r="AT309" s="259" t="str">
        <f t="shared" si="45"/>
        <v>福瑞康</v>
      </c>
      <c r="AU309" s="259" t="str">
        <f t="shared" si="46"/>
        <v>C49SZX20200018SX</v>
      </c>
      <c r="AV309" s="259" t="str">
        <f t="shared" si="47"/>
        <v>Dec-11</v>
      </c>
    </row>
    <row r="310" spans="1:48" ht="15" hidden="1" customHeight="1">
      <c r="A310" s="559">
        <v>561</v>
      </c>
      <c r="B310" s="563" t="s">
        <v>280</v>
      </c>
      <c r="C310" s="560" t="s">
        <v>281</v>
      </c>
      <c r="D310" s="625">
        <v>109730</v>
      </c>
      <c r="E310" s="562" t="s">
        <v>780</v>
      </c>
      <c r="F310" s="563" t="s">
        <v>256</v>
      </c>
      <c r="G310" s="563" t="s">
        <v>18</v>
      </c>
      <c r="H310" s="563" t="s">
        <v>27</v>
      </c>
      <c r="I310" s="564" t="s">
        <v>792</v>
      </c>
      <c r="J310" s="564">
        <v>1</v>
      </c>
      <c r="K310" s="563" t="s">
        <v>437</v>
      </c>
      <c r="L310" s="565">
        <v>43810</v>
      </c>
      <c r="M310" s="576">
        <v>6.5299999999999997E-2</v>
      </c>
      <c r="N310" s="563" t="s">
        <v>731</v>
      </c>
      <c r="O310" s="564">
        <v>2019.11</v>
      </c>
      <c r="P310" s="566" t="str">
        <f>VLOOKUP(A310,'[1]Raw data'!$B:$BB,23,FALSE)</f>
        <v>JPY</v>
      </c>
      <c r="Q310" s="563" t="str">
        <f>VLOOKUP(A310,'[1]Raw data'!$B:$Z,2,FALSE)</f>
        <v>C49SZX20190192MZ</v>
      </c>
      <c r="R310" s="563" t="str">
        <f>VLOOKUP(A310,'[1]Raw data'!$B:$Z,3,FALSE)</f>
        <v>鸿南电子</v>
      </c>
      <c r="S310" s="563" t="str">
        <f>VLOOKUP(A310,'[1]Raw data'!$B:$Z,4,FALSE)</f>
        <v>YSM20R(SV)-2</v>
      </c>
      <c r="T310" s="563" t="str">
        <f>VLOOKUP(A310,'[1]Raw data'!$B:$Z,8,FALSE)</f>
        <v>R-&gt;L</v>
      </c>
      <c r="U310" s="563" t="str">
        <f>VLOOKUP(A310,'[1]Raw data'!$B:$Z,9,FALSE)</f>
        <v>No</v>
      </c>
      <c r="V310" s="567" t="str">
        <f t="shared" si="48"/>
        <v>WRONG</v>
      </c>
      <c r="W310" s="563" t="str">
        <f>VLOOKUP(A310,'[1]Raw data'!$B:$AG,32,FALSE)</f>
        <v>CIF HK</v>
      </c>
      <c r="X310" s="563">
        <f>VLOOKUP(A310,'[1]Raw data'!$B:$BA,31,FALSE)</f>
        <v>43823</v>
      </c>
      <c r="Y310" s="563" t="str">
        <f>VLOOKUP(A310,'[1]Raw data'!$B:$AS,39,FALSE)</f>
        <v>Yes</v>
      </c>
      <c r="Z310" s="568"/>
      <c r="AA310" s="569"/>
      <c r="AB310" s="570"/>
      <c r="AC310" s="563" t="s">
        <v>400</v>
      </c>
      <c r="AD310" s="571">
        <v>311</v>
      </c>
      <c r="AE310" s="571">
        <v>10</v>
      </c>
      <c r="AF310" s="571">
        <v>303</v>
      </c>
      <c r="AG310" s="571">
        <v>10</v>
      </c>
      <c r="AN310" s="542"/>
      <c r="AO310" s="824" t="str">
        <f t="shared" si="40"/>
        <v>Yes</v>
      </c>
      <c r="AP310" s="259" t="str">
        <f t="shared" si="41"/>
        <v>JAN 20</v>
      </c>
      <c r="AQ310" s="542" t="str">
        <f t="shared" si="42"/>
        <v>有定金+有預留客戶</v>
      </c>
      <c r="AR310" s="259" t="str">
        <f t="shared" si="43"/>
        <v>Shipped_Stock</v>
      </c>
      <c r="AS310" s="259" t="str">
        <f t="shared" si="44"/>
        <v/>
      </c>
      <c r="AT310" s="259" t="str">
        <f t="shared" si="45"/>
        <v>鸿南电子</v>
      </c>
      <c r="AU310" s="259" t="str">
        <f t="shared" si="46"/>
        <v>C49SZX20190192MZ</v>
      </c>
      <c r="AV310" s="259" t="str">
        <f t="shared" si="47"/>
        <v>Dec-11</v>
      </c>
    </row>
    <row r="311" spans="1:48" ht="15.75" hidden="1" customHeight="1" thickBot="1">
      <c r="A311" s="559">
        <v>499</v>
      </c>
      <c r="B311" s="560" t="s">
        <v>280</v>
      </c>
      <c r="C311" s="560" t="s">
        <v>281</v>
      </c>
      <c r="D311" s="624">
        <v>109730</v>
      </c>
      <c r="E311" s="562" t="s">
        <v>780</v>
      </c>
      <c r="F311" s="563" t="s">
        <v>256</v>
      </c>
      <c r="G311" s="563" t="s">
        <v>24</v>
      </c>
      <c r="H311" s="563" t="s">
        <v>26</v>
      </c>
      <c r="I311" s="564" t="s">
        <v>793</v>
      </c>
      <c r="J311" s="564">
        <v>1</v>
      </c>
      <c r="K311" s="563" t="s">
        <v>437</v>
      </c>
      <c r="L311" s="565">
        <v>43810</v>
      </c>
      <c r="M311" s="613" t="s">
        <v>257</v>
      </c>
      <c r="N311" s="563" t="s">
        <v>286</v>
      </c>
      <c r="O311" s="564">
        <v>2019.11</v>
      </c>
      <c r="P311" s="566" t="str">
        <f>VLOOKUP(A311,'[1]Raw data'!$B:$BB,23,FALSE)</f>
        <v>JPY</v>
      </c>
      <c r="Q311" s="563" t="str">
        <f>VLOOKUP(A311,'[1]Raw data'!$B:$Z,2,FALSE)</f>
        <v>C49SZX20190163JY</v>
      </c>
      <c r="R311" s="563" t="str">
        <f>VLOOKUP(A311,'[1]Raw data'!$B:$Z,3,FALSE)</f>
        <v>灿明</v>
      </c>
      <c r="S311" s="563" t="str">
        <f>VLOOKUP(A311,'[1]Raw data'!$B:$Z,4,FALSE)</f>
        <v>YSM20R(SV)-2</v>
      </c>
      <c r="T311" s="563" t="str">
        <f>VLOOKUP(A311,'[1]Raw data'!$B:$Z,8,FALSE)</f>
        <v>L-&gt;R</v>
      </c>
      <c r="U311" s="563" t="str">
        <f>VLOOKUP(A311,'[1]Raw data'!$B:$Z,9,FALSE)</f>
        <v>No</v>
      </c>
      <c r="V311" s="567" t="str">
        <f t="shared" si="48"/>
        <v>OK</v>
      </c>
      <c r="W311" s="563" t="str">
        <f>VLOOKUP(A311,'[1]Raw data'!$B:$AG,32,FALSE)</f>
        <v>DAP SZ</v>
      </c>
      <c r="X311" s="563">
        <f>VLOOKUP(A311,'[1]Raw data'!$B:$BA,31,FALSE)</f>
        <v>43781</v>
      </c>
      <c r="Y311" s="563" t="str">
        <f>VLOOKUP(A311,'[1]Raw data'!$B:$AS,39,FALSE)</f>
        <v>Yes</v>
      </c>
      <c r="Z311" s="568"/>
      <c r="AA311" s="569"/>
      <c r="AB311" s="570"/>
      <c r="AC311" s="563" t="s">
        <v>758</v>
      </c>
      <c r="AD311" s="571">
        <v>301</v>
      </c>
      <c r="AE311" s="571">
        <v>10</v>
      </c>
      <c r="AF311" s="571">
        <v>302</v>
      </c>
      <c r="AG311" s="571">
        <v>10</v>
      </c>
      <c r="AN311" s="542"/>
      <c r="AO311" s="824" t="str">
        <f t="shared" si="40"/>
        <v>Yes</v>
      </c>
      <c r="AP311" s="259" t="str">
        <f t="shared" si="41"/>
        <v>DEC 19</v>
      </c>
      <c r="AQ311" s="542" t="str">
        <f t="shared" si="42"/>
        <v>有定金+有預留客戶</v>
      </c>
      <c r="AR311" s="259" t="str">
        <f t="shared" si="43"/>
        <v>Shipped_Stock</v>
      </c>
      <c r="AS311" s="259" t="str">
        <f t="shared" si="44"/>
        <v/>
      </c>
      <c r="AT311" s="259" t="str">
        <f t="shared" si="45"/>
        <v>灿明</v>
      </c>
      <c r="AU311" s="259" t="str">
        <f t="shared" si="46"/>
        <v>C49SZX20190163JY</v>
      </c>
      <c r="AV311" s="259" t="str">
        <f t="shared" si="47"/>
        <v>Dec-11</v>
      </c>
    </row>
    <row r="312" spans="1:48" ht="15" hidden="1" customHeight="1">
      <c r="A312" s="559">
        <v>502</v>
      </c>
      <c r="B312" s="563" t="s">
        <v>280</v>
      </c>
      <c r="C312" s="560" t="s">
        <v>281</v>
      </c>
      <c r="D312" s="600">
        <v>109730</v>
      </c>
      <c r="E312" s="563" t="s">
        <v>780</v>
      </c>
      <c r="F312" s="563" t="s">
        <v>256</v>
      </c>
      <c r="G312" s="563" t="s">
        <v>24</v>
      </c>
      <c r="H312" s="563" t="s">
        <v>26</v>
      </c>
      <c r="I312" s="564" t="s">
        <v>794</v>
      </c>
      <c r="J312" s="564">
        <v>1</v>
      </c>
      <c r="K312" s="563" t="s">
        <v>437</v>
      </c>
      <c r="L312" s="565">
        <v>43810</v>
      </c>
      <c r="M312" s="613" t="s">
        <v>257</v>
      </c>
      <c r="N312" s="563" t="s">
        <v>286</v>
      </c>
      <c r="O312" s="564">
        <v>2019.11</v>
      </c>
      <c r="P312" s="566" t="str">
        <f>VLOOKUP(A312,'[1]Raw data'!$B:$BB,23,FALSE)</f>
        <v>JPY</v>
      </c>
      <c r="Q312" s="563" t="str">
        <f>VLOOKUP(A312,'[1]Raw data'!$B:$Z,2,FALSE)</f>
        <v>C49SZX20190163JY</v>
      </c>
      <c r="R312" s="563" t="str">
        <f>VLOOKUP(A312,'[1]Raw data'!$B:$Z,3,FALSE)</f>
        <v>灿明</v>
      </c>
      <c r="S312" s="563" t="str">
        <f>VLOOKUP(A312,'[1]Raw data'!$B:$Z,4,FALSE)</f>
        <v>YSM20R(SV)-2</v>
      </c>
      <c r="T312" s="563" t="str">
        <f>VLOOKUP(A312,'[1]Raw data'!$B:$Z,8,FALSE)</f>
        <v>L-&gt;R</v>
      </c>
      <c r="U312" s="563" t="str">
        <f>VLOOKUP(A312,'[1]Raw data'!$B:$Z,9,FALSE)</f>
        <v>No</v>
      </c>
      <c r="V312" s="567" t="str">
        <f t="shared" si="48"/>
        <v>OK</v>
      </c>
      <c r="W312" s="563" t="str">
        <f>VLOOKUP(A312,'[1]Raw data'!$B:$AG,32,FALSE)</f>
        <v>DAP SZ</v>
      </c>
      <c r="X312" s="563">
        <f>VLOOKUP(A312,'[1]Raw data'!$B:$BA,31,FALSE)</f>
        <v>43781</v>
      </c>
      <c r="Y312" s="563" t="str">
        <f>VLOOKUP(A312,'[1]Raw data'!$B:$AS,39,FALSE)</f>
        <v>Yes</v>
      </c>
      <c r="Z312" s="568"/>
      <c r="AA312" s="569"/>
      <c r="AB312" s="570"/>
      <c r="AC312" s="563" t="s">
        <v>758</v>
      </c>
      <c r="AD312" s="571">
        <v>301</v>
      </c>
      <c r="AE312" s="571">
        <v>10</v>
      </c>
      <c r="AF312" s="571">
        <v>302</v>
      </c>
      <c r="AG312" s="571">
        <v>10</v>
      </c>
      <c r="AN312" s="542"/>
      <c r="AO312" s="824" t="str">
        <f t="shared" si="40"/>
        <v>Yes</v>
      </c>
      <c r="AP312" s="259" t="str">
        <f t="shared" si="41"/>
        <v>DEC 19</v>
      </c>
      <c r="AQ312" s="542" t="str">
        <f t="shared" si="42"/>
        <v>有定金+有預留客戶</v>
      </c>
      <c r="AR312" s="259" t="str">
        <f t="shared" si="43"/>
        <v>Shipped_Stock</v>
      </c>
      <c r="AS312" s="259" t="str">
        <f t="shared" si="44"/>
        <v/>
      </c>
      <c r="AT312" s="259" t="str">
        <f t="shared" si="45"/>
        <v>灿明</v>
      </c>
      <c r="AU312" s="259" t="str">
        <f t="shared" si="46"/>
        <v>C49SZX20190163JY</v>
      </c>
      <c r="AV312" s="259" t="str">
        <f t="shared" si="47"/>
        <v>Dec-11</v>
      </c>
    </row>
    <row r="313" spans="1:48" ht="15" hidden="1" customHeight="1">
      <c r="A313" s="559">
        <v>552</v>
      </c>
      <c r="B313" s="563" t="s">
        <v>280</v>
      </c>
      <c r="C313" s="560" t="s">
        <v>281</v>
      </c>
      <c r="D313" s="600">
        <v>109723</v>
      </c>
      <c r="E313" s="563" t="s">
        <v>780</v>
      </c>
      <c r="F313" s="563" t="s">
        <v>17</v>
      </c>
      <c r="G313" s="563" t="s">
        <v>18</v>
      </c>
      <c r="H313" s="563" t="s">
        <v>26</v>
      </c>
      <c r="I313" s="564" t="s">
        <v>795</v>
      </c>
      <c r="J313" s="564">
        <v>1</v>
      </c>
      <c r="K313" s="563" t="s">
        <v>295</v>
      </c>
      <c r="L313" s="565">
        <v>43824</v>
      </c>
      <c r="M313" s="576">
        <v>6.54E-2</v>
      </c>
      <c r="N313" s="563" t="s">
        <v>286</v>
      </c>
      <c r="O313" s="563">
        <v>2019.12</v>
      </c>
      <c r="P313" s="566" t="str">
        <f>VLOOKUP(A313,'[1]Raw data'!$B:$BB,23,FALSE)</f>
        <v>RMB</v>
      </c>
      <c r="Q313" s="563" t="str">
        <f>VLOOKUP(A313,'[1]Raw data'!$B:$Z,2,FALSE)</f>
        <v>C49SZX20190189DY</v>
      </c>
      <c r="R313" s="563" t="str">
        <f>VLOOKUP(A313,'[1]Raw data'!$B:$Z,3,FALSE)</f>
        <v>杰森泰</v>
      </c>
      <c r="S313" s="563" t="str">
        <f>VLOOKUP(A313,'[1]Raw data'!$B:$Z,4,FALSE)</f>
        <v>YSM10</v>
      </c>
      <c r="T313" s="563" t="str">
        <f>VLOOKUP(A313,'[1]Raw data'!$B:$Z,8,FALSE)</f>
        <v>L-&gt;R</v>
      </c>
      <c r="U313" s="563" t="str">
        <f>VLOOKUP(A313,'[1]Raw data'!$B:$Z,9,FALSE)</f>
        <v>MVC</v>
      </c>
      <c r="V313" s="567" t="str">
        <f t="shared" si="48"/>
        <v>WRONG</v>
      </c>
      <c r="W313" s="563" t="str">
        <f>VLOOKUP(A313,'[1]Raw data'!$B:$AG,32,FALSE)</f>
        <v>含税到厂</v>
      </c>
      <c r="X313" s="563">
        <f>VLOOKUP(A313,'[1]Raw data'!$B:$BA,31,FALSE)</f>
        <v>43819</v>
      </c>
      <c r="Y313" s="563" t="str">
        <f>VLOOKUP(A313,'[1]Raw data'!$B:$AS,39,FALSE)</f>
        <v>Yes</v>
      </c>
      <c r="Z313" s="568"/>
      <c r="AA313" s="569"/>
      <c r="AB313" s="570"/>
      <c r="AC313" s="563" t="s">
        <v>740</v>
      </c>
      <c r="AD313" s="571">
        <v>301</v>
      </c>
      <c r="AE313" s="571">
        <v>10</v>
      </c>
      <c r="AN313" s="598"/>
      <c r="AO313" s="824" t="str">
        <f t="shared" si="40"/>
        <v>Yes</v>
      </c>
      <c r="AP313" s="259" t="str">
        <f t="shared" si="41"/>
        <v>DEC 19</v>
      </c>
      <c r="AQ313" s="542" t="str">
        <f t="shared" si="42"/>
        <v>有定金+有預留客戶</v>
      </c>
      <c r="AR313" s="259" t="str">
        <f t="shared" si="43"/>
        <v>Shipped_Stock</v>
      </c>
      <c r="AS313" s="259" t="str">
        <f t="shared" si="44"/>
        <v/>
      </c>
      <c r="AT313" s="259" t="str">
        <f t="shared" si="45"/>
        <v>杰森泰</v>
      </c>
      <c r="AU313" s="259" t="str">
        <f t="shared" si="46"/>
        <v>C49SZX20190189DY</v>
      </c>
      <c r="AV313" s="259" t="str">
        <f t="shared" si="47"/>
        <v>Dec-25</v>
      </c>
    </row>
    <row r="314" spans="1:48" ht="15" hidden="1" customHeight="1">
      <c r="A314" s="559">
        <v>565</v>
      </c>
      <c r="B314" s="563" t="s">
        <v>280</v>
      </c>
      <c r="C314" s="560" t="s">
        <v>281</v>
      </c>
      <c r="D314" s="600">
        <v>109723</v>
      </c>
      <c r="E314" s="563" t="s">
        <v>780</v>
      </c>
      <c r="F314" s="563" t="s">
        <v>17</v>
      </c>
      <c r="G314" s="563" t="s">
        <v>18</v>
      </c>
      <c r="H314" s="563" t="s">
        <v>26</v>
      </c>
      <c r="I314" s="564" t="s">
        <v>796</v>
      </c>
      <c r="J314" s="564">
        <v>1</v>
      </c>
      <c r="K314" s="563" t="s">
        <v>295</v>
      </c>
      <c r="L314" s="565">
        <v>43824</v>
      </c>
      <c r="M314" s="576" t="s">
        <v>797</v>
      </c>
      <c r="N314" s="563" t="s">
        <v>731</v>
      </c>
      <c r="O314" s="563">
        <v>2019.12</v>
      </c>
      <c r="P314" s="566" t="str">
        <f>VLOOKUP(A314,'[1]Raw data'!$B:$BB,23,FALSE)</f>
        <v>JPY</v>
      </c>
      <c r="Q314" s="563" t="str">
        <f>VLOOKUP(A314,'[1]Raw data'!$B:$Z,2,FALSE)</f>
        <v>C49SZX20200001SX</v>
      </c>
      <c r="R314" s="563" t="str">
        <f>VLOOKUP(A314,'[1]Raw data'!$B:$Z,3,FALSE)</f>
        <v>柏星</v>
      </c>
      <c r="S314" s="563" t="str">
        <f>VLOOKUP(A314,'[1]Raw data'!$B:$Z,4,FALSE)</f>
        <v>YSM10</v>
      </c>
      <c r="T314" s="563" t="str">
        <f>VLOOKUP(A314,'[1]Raw data'!$B:$Z,8,FALSE)</f>
        <v>R-&gt;L</v>
      </c>
      <c r="U314" s="563" t="str">
        <f>VLOOKUP(A314,'[1]Raw data'!$B:$Z,9,FALSE)</f>
        <v>MVC</v>
      </c>
      <c r="V314" s="567" t="str">
        <f t="shared" si="48"/>
        <v>WRONG</v>
      </c>
      <c r="W314" s="563" t="str">
        <f>VLOOKUP(A314,'[1]Raw data'!$B:$AG,32,FALSE)</f>
        <v>DAP DG</v>
      </c>
      <c r="X314" s="563">
        <f>VLOOKUP(A314,'[1]Raw data'!$B:$BA,31,FALSE)</f>
        <v>43831</v>
      </c>
      <c r="Y314" s="563" t="str">
        <f>VLOOKUP(A314,'[1]Raw data'!$B:$AS,39,FALSE)</f>
        <v>Yes</v>
      </c>
      <c r="Z314" s="568" t="s">
        <v>329</v>
      </c>
      <c r="AA314" s="569" t="s">
        <v>329</v>
      </c>
      <c r="AB314" s="570"/>
      <c r="AC314" s="563" t="s">
        <v>410</v>
      </c>
      <c r="AD314" s="571">
        <v>302</v>
      </c>
      <c r="AE314" s="571">
        <v>10</v>
      </c>
      <c r="AN314" s="614"/>
      <c r="AO314" s="824" t="str">
        <f t="shared" si="40"/>
        <v>Yes</v>
      </c>
      <c r="AP314" s="259" t="str">
        <f t="shared" si="41"/>
        <v>JAN 20</v>
      </c>
      <c r="AQ314" s="542" t="str">
        <f t="shared" si="42"/>
        <v>有定金+有預留客戶</v>
      </c>
      <c r="AR314" s="259" t="str">
        <f t="shared" si="43"/>
        <v>Shipped_Stock</v>
      </c>
      <c r="AS314" s="259" t="str">
        <f t="shared" si="44"/>
        <v/>
      </c>
      <c r="AT314" s="259" t="str">
        <f t="shared" si="45"/>
        <v>柏星</v>
      </c>
      <c r="AU314" s="259" t="str">
        <f t="shared" si="46"/>
        <v>C49SZX20200001SX</v>
      </c>
      <c r="AV314" s="259" t="str">
        <f t="shared" si="47"/>
        <v>Dec-25</v>
      </c>
    </row>
    <row r="315" spans="1:48" ht="15" hidden="1" customHeight="1">
      <c r="A315" s="599">
        <v>588</v>
      </c>
      <c r="B315" s="563" t="s">
        <v>280</v>
      </c>
      <c r="C315" s="560" t="s">
        <v>281</v>
      </c>
      <c r="D315" s="600">
        <v>109723</v>
      </c>
      <c r="E315" s="563" t="s">
        <v>780</v>
      </c>
      <c r="F315" s="563" t="s">
        <v>17</v>
      </c>
      <c r="G315" s="563" t="s">
        <v>18</v>
      </c>
      <c r="H315" s="563" t="s">
        <v>19</v>
      </c>
      <c r="I315" s="564" t="s">
        <v>798</v>
      </c>
      <c r="J315" s="564">
        <v>1</v>
      </c>
      <c r="K315" s="563" t="s">
        <v>295</v>
      </c>
      <c r="L315" s="565">
        <v>43824</v>
      </c>
      <c r="M315" s="576">
        <v>6.54E-2</v>
      </c>
      <c r="N315" s="563" t="s">
        <v>785</v>
      </c>
      <c r="O315" s="563">
        <v>2019.12</v>
      </c>
      <c r="P315" s="566" t="str">
        <f>VLOOKUP(A315,'[1]Raw data'!$B:$BB,23,FALSE)</f>
        <v>RMB</v>
      </c>
      <c r="Q315" s="563" t="str">
        <f>VLOOKUP(A315,'[1]Raw data'!$B:$Z,2,FALSE)</f>
        <v>C49SZX20200022SX</v>
      </c>
      <c r="R315" s="563" t="str">
        <f>VLOOKUP(A315,'[1]Raw data'!$B:$Z,3,FALSE)</f>
        <v>柏星</v>
      </c>
      <c r="S315" s="563" t="str">
        <f>VLOOKUP(A315,'[1]Raw data'!$B:$Z,4,FALSE)</f>
        <v>YSM10</v>
      </c>
      <c r="T315" s="563" t="str">
        <f>VLOOKUP(A315,'[1]Raw data'!$B:$Z,8,FALSE)</f>
        <v>L-&gt;R</v>
      </c>
      <c r="U315" s="563" t="str">
        <f>VLOOKUP(A315,'[1]Raw data'!$B:$Z,9,FALSE)</f>
        <v>MVC</v>
      </c>
      <c r="V315" s="567" t="str">
        <f t="shared" si="48"/>
        <v>WRONG</v>
      </c>
      <c r="W315" s="563" t="str">
        <f>VLOOKUP(A315,'[1]Raw data'!$B:$AG,32,FALSE)</f>
        <v>含税到厂</v>
      </c>
      <c r="X315" s="563">
        <f>VLOOKUP(A315,'[1]Raw data'!$B:$BA,31,FALSE)</f>
        <v>43901</v>
      </c>
      <c r="Y315" s="563" t="str">
        <f>VLOOKUP(A315,'[1]Raw data'!$B:$AS,39,FALSE)</f>
        <v>Yes</v>
      </c>
      <c r="Z315" s="568" t="s">
        <v>329</v>
      </c>
      <c r="AA315" s="569"/>
      <c r="AB315" s="570"/>
      <c r="AC315" s="563" t="s">
        <v>410</v>
      </c>
      <c r="AD315" s="564">
        <v>301</v>
      </c>
      <c r="AE315" s="564">
        <v>10</v>
      </c>
      <c r="AF315" s="564"/>
      <c r="AG315" s="564"/>
      <c r="AH315" s="564"/>
      <c r="AI315" s="627"/>
      <c r="AJ315" s="564"/>
      <c r="AK315" s="564"/>
      <c r="AL315" s="564"/>
      <c r="AM315" s="564"/>
      <c r="AN315" s="542"/>
      <c r="AO315" s="824" t="str">
        <f t="shared" si="40"/>
        <v>Yes</v>
      </c>
      <c r="AP315" s="259" t="str">
        <f t="shared" si="41"/>
        <v>MAR 20</v>
      </c>
      <c r="AQ315" s="542" t="str">
        <f t="shared" si="42"/>
        <v>有定金+有預留客戶</v>
      </c>
      <c r="AR315" s="259" t="str">
        <f t="shared" si="43"/>
        <v>Shipped_Stock</v>
      </c>
      <c r="AS315" s="259" t="str">
        <f t="shared" si="44"/>
        <v/>
      </c>
      <c r="AT315" s="259" t="str">
        <f t="shared" si="45"/>
        <v>柏星</v>
      </c>
      <c r="AU315" s="259" t="str">
        <f t="shared" si="46"/>
        <v>C49SZX20200022SX</v>
      </c>
      <c r="AV315" s="259" t="str">
        <f t="shared" si="47"/>
        <v>Dec-25</v>
      </c>
    </row>
    <row r="316" spans="1:48" ht="15" hidden="1" customHeight="1">
      <c r="A316" s="599">
        <v>474</v>
      </c>
      <c r="B316" s="563" t="s">
        <v>280</v>
      </c>
      <c r="C316" s="560" t="s">
        <v>281</v>
      </c>
      <c r="D316" s="600">
        <v>109723</v>
      </c>
      <c r="E316" s="563" t="s">
        <v>780</v>
      </c>
      <c r="F316" s="563" t="s">
        <v>17</v>
      </c>
      <c r="G316" s="563" t="s">
        <v>18</v>
      </c>
      <c r="H316" s="563" t="s">
        <v>19</v>
      </c>
      <c r="I316" s="564" t="s">
        <v>799</v>
      </c>
      <c r="J316" s="564">
        <v>1</v>
      </c>
      <c r="K316" s="563" t="s">
        <v>800</v>
      </c>
      <c r="L316" s="565">
        <v>43824</v>
      </c>
      <c r="M316" s="576">
        <v>6.54E-2</v>
      </c>
      <c r="N316" s="563" t="s">
        <v>286</v>
      </c>
      <c r="O316" s="563">
        <v>2019.12</v>
      </c>
      <c r="P316" s="566" t="str">
        <f>VLOOKUP(A316,'[1]Raw data'!$B:$BB,23,FALSE)</f>
        <v>JPY</v>
      </c>
      <c r="Q316" s="563" t="str">
        <f>VLOOKUP(A316,'[1]Raw data'!$B:$Z,2,FALSE)</f>
        <v>C49SZX20190156-1ZX</v>
      </c>
      <c r="R316" s="563" t="str">
        <f>VLOOKUP(A316,'[1]Raw data'!$B:$Z,3,FALSE)</f>
        <v>锘铧</v>
      </c>
      <c r="S316" s="563" t="str">
        <f>VLOOKUP(A316,'[1]Raw data'!$B:$Z,4,FALSE)</f>
        <v>YSM10</v>
      </c>
      <c r="T316" s="563" t="str">
        <f>VLOOKUP(A316,'[1]Raw data'!$B:$Z,8,FALSE)</f>
        <v>L-&gt;R</v>
      </c>
      <c r="U316" s="563" t="str">
        <f>VLOOKUP(A316,'[1]Raw data'!$B:$Z,9,FALSE)</f>
        <v>MVC+ATS15</v>
      </c>
      <c r="V316" s="567" t="str">
        <f t="shared" si="48"/>
        <v>WRONG</v>
      </c>
      <c r="W316" s="563" t="str">
        <f>VLOOKUP(A316,'[1]Raw data'!$B:$AG,32,FALSE)</f>
        <v>DAP GZ</v>
      </c>
      <c r="X316" s="563">
        <f>VLOOKUP(A316,'[1]Raw data'!$B:$BA,31,FALSE)</f>
        <v>43774</v>
      </c>
      <c r="Y316" s="563" t="str">
        <f>VLOOKUP(A316,'[1]Raw data'!$B:$AS,39,FALSE)</f>
        <v>Yes</v>
      </c>
      <c r="Z316" s="568"/>
      <c r="AA316" s="569"/>
      <c r="AB316" s="570"/>
      <c r="AC316" s="563" t="s">
        <v>801</v>
      </c>
      <c r="AD316" s="631">
        <v>302</v>
      </c>
      <c r="AE316" s="631">
        <v>10</v>
      </c>
      <c r="AF316" s="631"/>
      <c r="AG316" s="631"/>
      <c r="AH316" s="631"/>
      <c r="AI316" s="632"/>
      <c r="AJ316" s="631"/>
      <c r="AK316" s="631"/>
      <c r="AL316" s="631"/>
      <c r="AM316" s="631"/>
      <c r="AN316" s="614"/>
      <c r="AO316" s="824" t="str">
        <f t="shared" si="40"/>
        <v>Yes</v>
      </c>
      <c r="AP316" s="259" t="str">
        <f t="shared" si="41"/>
        <v>DEC 19</v>
      </c>
      <c r="AQ316" s="542" t="str">
        <f t="shared" si="42"/>
        <v>有定金+有預留客戶</v>
      </c>
      <c r="AR316" s="259" t="str">
        <f t="shared" si="43"/>
        <v>Shipped_Stock</v>
      </c>
      <c r="AS316" s="259" t="str">
        <f t="shared" si="44"/>
        <v/>
      </c>
      <c r="AT316" s="259" t="str">
        <f t="shared" si="45"/>
        <v>锘铧</v>
      </c>
      <c r="AU316" s="259" t="str">
        <f t="shared" si="46"/>
        <v>C49SZX20190156-1ZX</v>
      </c>
      <c r="AV316" s="259" t="str">
        <f t="shared" si="47"/>
        <v>Dec-25</v>
      </c>
    </row>
    <row r="317" spans="1:48" ht="15" hidden="1" customHeight="1">
      <c r="A317" s="599">
        <v>579</v>
      </c>
      <c r="B317" s="563" t="s">
        <v>280</v>
      </c>
      <c r="C317" s="560" t="s">
        <v>281</v>
      </c>
      <c r="D317" s="600">
        <v>109750</v>
      </c>
      <c r="E317" s="563" t="s">
        <v>802</v>
      </c>
      <c r="F317" s="563" t="s">
        <v>256</v>
      </c>
      <c r="G317" s="563" t="s">
        <v>24</v>
      </c>
      <c r="H317" s="563" t="s">
        <v>26</v>
      </c>
      <c r="I317" s="564" t="s">
        <v>803</v>
      </c>
      <c r="J317" s="564">
        <v>1</v>
      </c>
      <c r="K317" s="565" t="s">
        <v>295</v>
      </c>
      <c r="L317" s="565">
        <v>43836</v>
      </c>
      <c r="M317" s="615" t="s">
        <v>804</v>
      </c>
      <c r="N317" s="563" t="s">
        <v>785</v>
      </c>
      <c r="O317" s="564">
        <v>2019.12</v>
      </c>
      <c r="P317" s="566" t="str">
        <f>VLOOKUP(A317,'[1]Raw data'!$B:$BB,23,FALSE)</f>
        <v>JPY</v>
      </c>
      <c r="Q317" s="563" t="str">
        <f>VLOOKUP(A317,'[1]Raw data'!$B:$Z,2,FALSE)</f>
        <v>C49SZX20200015JL</v>
      </c>
      <c r="R317" s="563" t="str">
        <f>VLOOKUP(A317,'[1]Raw data'!$B:$Z,3,FALSE)</f>
        <v>鹏鑫达/欧科讯</v>
      </c>
      <c r="S317" s="563" t="str">
        <f>VLOOKUP(A317,'[1]Raw data'!$B:$Z,4,FALSE)</f>
        <v>YSM20R(SV)-2</v>
      </c>
      <c r="T317" s="563" t="str">
        <f>VLOOKUP(A317,'[1]Raw data'!$B:$Z,8,FALSE)</f>
        <v>L-&gt;R</v>
      </c>
      <c r="U317" s="563" t="str">
        <f>VLOOKUP(A317,'[1]Raw data'!$B:$Z,9,FALSE)</f>
        <v>No</v>
      </c>
      <c r="V317" s="567" t="str">
        <f t="shared" si="48"/>
        <v>OK</v>
      </c>
      <c r="W317" s="563" t="str">
        <f>VLOOKUP(A317,'[1]Raw data'!$B:$AG,32,FALSE)</f>
        <v>CIF HK</v>
      </c>
      <c r="X317" s="563">
        <f>VLOOKUP(A317,'[1]Raw data'!$B:$BA,31,FALSE)</f>
        <v>43844</v>
      </c>
      <c r="Y317" s="563" t="str">
        <f>VLOOKUP(A317,'[1]Raw data'!$B:$AS,39,FALSE)</f>
        <v>Yes</v>
      </c>
      <c r="Z317" s="578"/>
      <c r="AA317" s="579"/>
      <c r="AB317" s="633"/>
      <c r="AC317" s="563" t="s">
        <v>805</v>
      </c>
      <c r="AD317" s="564">
        <v>302</v>
      </c>
      <c r="AE317" s="564">
        <v>20</v>
      </c>
      <c r="AF317" s="564"/>
      <c r="AG317" s="564"/>
      <c r="AH317" s="564"/>
      <c r="AI317" s="627"/>
      <c r="AJ317" s="564"/>
      <c r="AK317" s="564"/>
      <c r="AL317" s="564"/>
      <c r="AM317" s="564"/>
      <c r="AN317" s="580" t="s">
        <v>291</v>
      </c>
      <c r="AO317" s="824" t="str">
        <f t="shared" si="40"/>
        <v>Yes</v>
      </c>
      <c r="AP317" s="259" t="str">
        <f t="shared" si="41"/>
        <v>MAR 20</v>
      </c>
      <c r="AQ317" s="542" t="str">
        <f t="shared" si="42"/>
        <v>有定金+有預留客戶</v>
      </c>
      <c r="AR317" s="259" t="str">
        <f t="shared" si="43"/>
        <v>Shipped_Stock</v>
      </c>
      <c r="AS317" s="259" t="str">
        <f t="shared" si="44"/>
        <v/>
      </c>
      <c r="AT317" s="259" t="str">
        <f t="shared" si="45"/>
        <v>鹏鑫达/欧科讯</v>
      </c>
      <c r="AU317" s="259" t="str">
        <f t="shared" si="46"/>
        <v>C49SZX20200015JL</v>
      </c>
      <c r="AV317" s="259" t="str">
        <f t="shared" si="47"/>
        <v>Jan-06</v>
      </c>
    </row>
    <row r="318" spans="1:48" ht="15" hidden="1" customHeight="1">
      <c r="A318" s="599">
        <v>593</v>
      </c>
      <c r="B318" s="560" t="s">
        <v>280</v>
      </c>
      <c r="C318" s="560" t="s">
        <v>281</v>
      </c>
      <c r="D318" s="600">
        <v>109749</v>
      </c>
      <c r="E318" s="563" t="s">
        <v>802</v>
      </c>
      <c r="F318" s="563" t="s">
        <v>256</v>
      </c>
      <c r="G318" s="563" t="s">
        <v>18</v>
      </c>
      <c r="H318" s="563" t="s">
        <v>26</v>
      </c>
      <c r="I318" s="564" t="s">
        <v>806</v>
      </c>
      <c r="J318" s="564">
        <v>1</v>
      </c>
      <c r="K318" s="565" t="s">
        <v>295</v>
      </c>
      <c r="L318" s="565">
        <v>43836</v>
      </c>
      <c r="M318" s="576">
        <v>6.54E-2</v>
      </c>
      <c r="N318" s="563" t="s">
        <v>785</v>
      </c>
      <c r="O318" s="564">
        <v>2019.12</v>
      </c>
      <c r="P318" s="566" t="str">
        <f>VLOOKUP(A318,'[1]Raw data'!$B:$BB,23,FALSE)</f>
        <v>RMB</v>
      </c>
      <c r="Q318" s="563" t="str">
        <f>VLOOKUP(A318,'[1]Raw data'!$B:$Z,2,FALSE)</f>
        <v>C49SZX20200019SX</v>
      </c>
      <c r="R318" s="563" t="str">
        <f>VLOOKUP(A318,'[1]Raw data'!$B:$Z,3,FALSE)</f>
        <v>华汛</v>
      </c>
      <c r="S318" s="563" t="str">
        <f>VLOOKUP(A318,'[1]Raw data'!$B:$Z,4,FALSE)</f>
        <v>YSM20R(SV)-2</v>
      </c>
      <c r="T318" s="563" t="str">
        <f>VLOOKUP(A318,'[1]Raw data'!$B:$Z,8,FALSE)</f>
        <v>R-&gt;L</v>
      </c>
      <c r="U318" s="563" t="str">
        <f>VLOOKUP(A318,'[1]Raw data'!$B:$Z,9,FALSE)</f>
        <v>No</v>
      </c>
      <c r="V318" s="567" t="str">
        <f t="shared" si="48"/>
        <v>OK</v>
      </c>
      <c r="W318" s="563" t="str">
        <f>VLOOKUP(A318,'[1]Raw data'!$B:$AG,32,FALSE)</f>
        <v>含税到厂</v>
      </c>
      <c r="X318" s="563">
        <f>VLOOKUP(A318,'[1]Raw data'!$B:$BA,31,FALSE)</f>
        <v>43901</v>
      </c>
      <c r="Y318" s="563" t="str">
        <f>VLOOKUP(A318,'[1]Raw data'!$B:$AS,39,FALSE)</f>
        <v>Yes</v>
      </c>
      <c r="Z318" s="578"/>
      <c r="AA318" s="579"/>
      <c r="AB318" s="633"/>
      <c r="AC318" s="563" t="s">
        <v>807</v>
      </c>
      <c r="AD318" s="564">
        <v>301</v>
      </c>
      <c r="AE318" s="564">
        <v>20</v>
      </c>
      <c r="AF318" s="564"/>
      <c r="AG318" s="564"/>
      <c r="AH318" s="564"/>
      <c r="AI318" s="627"/>
      <c r="AJ318" s="564"/>
      <c r="AK318" s="564"/>
      <c r="AL318" s="564"/>
      <c r="AM318" s="564"/>
      <c r="AN318" s="542"/>
      <c r="AO318" s="824" t="str">
        <f t="shared" si="40"/>
        <v>Yes</v>
      </c>
      <c r="AP318" s="259" t="str">
        <f t="shared" si="41"/>
        <v>MAR 20</v>
      </c>
      <c r="AQ318" s="542" t="str">
        <f t="shared" si="42"/>
        <v>有定金+有預留客戶</v>
      </c>
      <c r="AR318" s="259" t="str">
        <f t="shared" si="43"/>
        <v>Shipped_Stock</v>
      </c>
      <c r="AS318" s="259" t="str">
        <f t="shared" si="44"/>
        <v/>
      </c>
      <c r="AT318" s="259" t="str">
        <f t="shared" si="45"/>
        <v>华汛</v>
      </c>
      <c r="AU318" s="259" t="str">
        <f t="shared" si="46"/>
        <v>C49SZX20200019SX</v>
      </c>
      <c r="AV318" s="259" t="str">
        <f t="shared" si="47"/>
        <v>Jan-06</v>
      </c>
    </row>
    <row r="319" spans="1:48" ht="25.5" hidden="1" customHeight="1">
      <c r="A319" s="599">
        <v>580</v>
      </c>
      <c r="B319" s="560" t="s">
        <v>280</v>
      </c>
      <c r="C319" s="560" t="s">
        <v>281</v>
      </c>
      <c r="D319" s="600">
        <v>109759</v>
      </c>
      <c r="E319" s="563" t="s">
        <v>808</v>
      </c>
      <c r="F319" s="634" t="s">
        <v>17</v>
      </c>
      <c r="G319" s="634" t="s">
        <v>18</v>
      </c>
      <c r="H319" s="634" t="s">
        <v>26</v>
      </c>
      <c r="I319" s="635" t="s">
        <v>809</v>
      </c>
      <c r="J319" s="635">
        <v>1</v>
      </c>
      <c r="K319" s="634" t="s">
        <v>295</v>
      </c>
      <c r="L319" s="636">
        <v>43836</v>
      </c>
      <c r="M319" s="555" t="s">
        <v>810</v>
      </c>
      <c r="N319" s="634" t="s">
        <v>785</v>
      </c>
      <c r="O319" s="563">
        <v>2019.12</v>
      </c>
      <c r="P319" s="566" t="str">
        <f>VLOOKUP(A319,'[1]Raw data'!$B:$BB,23,FALSE)</f>
        <v>JPY</v>
      </c>
      <c r="Q319" s="563" t="str">
        <f>VLOOKUP(A319,'[1]Raw data'!$B:$Z,2,FALSE)</f>
        <v>C49SZX20200015JL</v>
      </c>
      <c r="R319" s="563" t="str">
        <f>VLOOKUP(A319,'[1]Raw data'!$B:$Z,3,FALSE)</f>
        <v>鹏鑫达/欧科讯</v>
      </c>
      <c r="S319" s="563" t="str">
        <f>VLOOKUP(A319,'[1]Raw data'!$B:$Z,4,FALSE)</f>
        <v>YSM10</v>
      </c>
      <c r="T319" s="563" t="str">
        <f>VLOOKUP(A319,'[1]Raw data'!$B:$Z,8,FALSE)</f>
        <v>L-&gt;R</v>
      </c>
      <c r="U319" s="563" t="str">
        <f>VLOOKUP(A319,'[1]Raw data'!$B:$Z,9,FALSE)</f>
        <v>No</v>
      </c>
      <c r="V319" s="567" t="str">
        <f t="shared" si="48"/>
        <v>WRONG</v>
      </c>
      <c r="W319" s="563" t="str">
        <f>VLOOKUP(A319,'[1]Raw data'!$B:$AG,32,FALSE)</f>
        <v>CIF HK</v>
      </c>
      <c r="X319" s="563">
        <f>VLOOKUP(A319,'[1]Raw data'!$B:$BA,31,FALSE)</f>
        <v>43844</v>
      </c>
      <c r="Y319" s="563" t="str">
        <f>VLOOKUP(A319,'[1]Raw data'!$B:$AS,39,FALSE)</f>
        <v>Yes</v>
      </c>
      <c r="Z319" s="637"/>
      <c r="AA319" s="638"/>
      <c r="AB319" s="639"/>
      <c r="AC319" s="563" t="s">
        <v>805</v>
      </c>
      <c r="AD319" s="564">
        <v>301</v>
      </c>
      <c r="AE319" s="564">
        <v>10</v>
      </c>
      <c r="AF319" s="564"/>
      <c r="AG319" s="564"/>
      <c r="AH319" s="564"/>
      <c r="AI319" s="627"/>
      <c r="AJ319" s="564"/>
      <c r="AK319" s="564"/>
      <c r="AL319" s="564"/>
      <c r="AM319" s="564"/>
      <c r="AN319" s="614"/>
      <c r="AO319" s="824" t="str">
        <f t="shared" si="40"/>
        <v>Yes</v>
      </c>
      <c r="AP319" s="259" t="str">
        <f t="shared" si="41"/>
        <v>MAR 20</v>
      </c>
      <c r="AQ319" s="542" t="str">
        <f t="shared" si="42"/>
        <v>有定金+有預留客戶</v>
      </c>
      <c r="AR319" s="259" t="str">
        <f t="shared" si="43"/>
        <v>Shipped_Stock</v>
      </c>
      <c r="AS319" s="259" t="str">
        <f t="shared" si="44"/>
        <v/>
      </c>
      <c r="AT319" s="259" t="str">
        <f t="shared" si="45"/>
        <v>鹏鑫达/欧科讯</v>
      </c>
      <c r="AU319" s="259" t="str">
        <f t="shared" si="46"/>
        <v>C49SZX20200015JL</v>
      </c>
      <c r="AV319" s="259" t="str">
        <f t="shared" si="47"/>
        <v>Jan-06</v>
      </c>
    </row>
    <row r="320" spans="1:48" ht="60" hidden="1" customHeight="1">
      <c r="A320" s="599">
        <v>470</v>
      </c>
      <c r="B320" s="560" t="s">
        <v>280</v>
      </c>
      <c r="C320" s="560" t="s">
        <v>281</v>
      </c>
      <c r="D320" s="600">
        <v>109749</v>
      </c>
      <c r="E320" s="563" t="s">
        <v>802</v>
      </c>
      <c r="F320" s="563" t="s">
        <v>256</v>
      </c>
      <c r="G320" s="563" t="s">
        <v>18</v>
      </c>
      <c r="H320" s="563" t="s">
        <v>26</v>
      </c>
      <c r="I320" s="564" t="s">
        <v>811</v>
      </c>
      <c r="J320" s="564">
        <v>1</v>
      </c>
      <c r="K320" s="563" t="s">
        <v>812</v>
      </c>
      <c r="L320" s="565">
        <v>43836</v>
      </c>
      <c r="M320" s="576">
        <v>6.54E-2</v>
      </c>
      <c r="N320" s="563" t="s">
        <v>554</v>
      </c>
      <c r="O320" s="564">
        <v>2019.12</v>
      </c>
      <c r="P320" s="566" t="str">
        <f>VLOOKUP(A320,'[1]Raw data'!$B:$BB,23,FALSE)</f>
        <v>RMB</v>
      </c>
      <c r="Q320" s="563" t="str">
        <f>VLOOKUP(A320,'[1]Raw data'!$B:$Z,2,FALSE)</f>
        <v>C49SZX20190116CX</v>
      </c>
      <c r="R320" s="563" t="str">
        <f>VLOOKUP(A320,'[1]Raw data'!$B:$Z,3,FALSE)</f>
        <v>豪恩</v>
      </c>
      <c r="S320" s="563" t="str">
        <f>VLOOKUP(A320,'[1]Raw data'!$B:$Z,4,FALSE)</f>
        <v>YSM20R(SV)-2</v>
      </c>
      <c r="T320" s="563" t="str">
        <f>VLOOKUP(A320,'[1]Raw data'!$B:$Z,8,FALSE)</f>
        <v>R-&gt;L</v>
      </c>
      <c r="U320" s="563" t="str">
        <f>VLOOKUP(A320,'[1]Raw data'!$B:$Z,9,FALSE)</f>
        <v>No</v>
      </c>
      <c r="V320" s="567" t="str">
        <f t="shared" si="48"/>
        <v>OK</v>
      </c>
      <c r="W320" s="563" t="str">
        <f>VLOOKUP(A320,'[1]Raw data'!$B:$AG,32,FALSE)</f>
        <v>含税到厂</v>
      </c>
      <c r="X320" s="563">
        <f>VLOOKUP(A320,'[1]Raw data'!$B:$BA,31,FALSE)</f>
        <v>43760</v>
      </c>
      <c r="Y320" s="563" t="str">
        <f>VLOOKUP(A320,'[1]Raw data'!$B:$AS,39,FALSE)</f>
        <v>Yes</v>
      </c>
      <c r="Z320" s="637"/>
      <c r="AA320" s="638"/>
      <c r="AB320" s="639"/>
      <c r="AC320" s="563" t="s">
        <v>813</v>
      </c>
      <c r="AD320" s="564">
        <v>301</v>
      </c>
      <c r="AE320" s="564">
        <v>20</v>
      </c>
      <c r="AF320" s="564"/>
      <c r="AG320" s="564"/>
      <c r="AH320" s="564"/>
      <c r="AI320" s="627"/>
      <c r="AJ320" s="564"/>
      <c r="AK320" s="564"/>
      <c r="AL320" s="564"/>
      <c r="AM320" s="564"/>
      <c r="AN320" s="542"/>
      <c r="AO320" s="824" t="str">
        <f t="shared" si="40"/>
        <v>Yes</v>
      </c>
      <c r="AP320" s="259" t="str">
        <f t="shared" si="41"/>
        <v>APR 20</v>
      </c>
      <c r="AQ320" s="542" t="str">
        <f t="shared" si="42"/>
        <v>有定金+有預留客戶</v>
      </c>
      <c r="AR320" s="259" t="str">
        <f t="shared" si="43"/>
        <v>Shipped_Stock</v>
      </c>
      <c r="AS320" s="259" t="str">
        <f t="shared" si="44"/>
        <v/>
      </c>
      <c r="AT320" s="259" t="str">
        <f t="shared" si="45"/>
        <v>豪恩</v>
      </c>
      <c r="AU320" s="259" t="str">
        <f t="shared" si="46"/>
        <v>C49SZX20190116CX</v>
      </c>
      <c r="AV320" s="259" t="str">
        <f t="shared" si="47"/>
        <v>Jan-06</v>
      </c>
    </row>
    <row r="321" spans="1:48" ht="15" hidden="1" customHeight="1">
      <c r="A321" s="599">
        <v>572</v>
      </c>
      <c r="B321" s="560" t="s">
        <v>280</v>
      </c>
      <c r="C321" s="560" t="s">
        <v>281</v>
      </c>
      <c r="D321" s="600">
        <v>109750</v>
      </c>
      <c r="E321" s="563" t="s">
        <v>802</v>
      </c>
      <c r="F321" s="563" t="s">
        <v>256</v>
      </c>
      <c r="G321" s="563" t="s">
        <v>18</v>
      </c>
      <c r="H321" s="563" t="s">
        <v>26</v>
      </c>
      <c r="I321" s="564" t="s">
        <v>814</v>
      </c>
      <c r="J321" s="571">
        <v>1</v>
      </c>
      <c r="K321" s="563" t="s">
        <v>784</v>
      </c>
      <c r="L321" s="565">
        <v>43836</v>
      </c>
      <c r="M321" s="615" t="s">
        <v>815</v>
      </c>
      <c r="N321" s="563" t="s">
        <v>789</v>
      </c>
      <c r="O321" s="564">
        <v>2019.12</v>
      </c>
      <c r="P321" s="566" t="str">
        <f>VLOOKUP(A321,'[1]Raw data'!$B:$BB,23,FALSE)</f>
        <v>JPY</v>
      </c>
      <c r="Q321" s="563" t="str">
        <f>VLOOKUP(A321,'[1]Raw data'!$B:$Z,2,FALSE)</f>
        <v>C49SZX20200008MX</v>
      </c>
      <c r="R321" s="563" t="str">
        <f>VLOOKUP(A321,'[1]Raw data'!$B:$Z,3,FALSE)</f>
        <v>长源兴/end user美联辉</v>
      </c>
      <c r="S321" s="563" t="str">
        <f>VLOOKUP(A321,'[1]Raw data'!$B:$Z,4,FALSE)</f>
        <v>YSM20R(SV)-2</v>
      </c>
      <c r="T321" s="563" t="str">
        <f>VLOOKUP(A321,'[1]Raw data'!$B:$Z,8,FALSE)</f>
        <v>R-&gt;L</v>
      </c>
      <c r="U321" s="563" t="str">
        <f>VLOOKUP(A321,'[1]Raw data'!$B:$Z,9,FALSE)</f>
        <v>No</v>
      </c>
      <c r="V321" s="567" t="str">
        <f t="shared" si="48"/>
        <v>OK</v>
      </c>
      <c r="W321" s="563" t="str">
        <f>VLOOKUP(A321,'[1]Raw data'!$B:$AG,32,FALSE)</f>
        <v>CIF HK</v>
      </c>
      <c r="X321" s="563">
        <f>VLOOKUP(A321,'[1]Raw data'!$B:$BA,31,FALSE)</f>
        <v>43837</v>
      </c>
      <c r="Y321" s="563" t="str">
        <f>VLOOKUP(A321,'[1]Raw data'!$B:$AS,39,FALSE)</f>
        <v>Yes</v>
      </c>
      <c r="Z321" s="568"/>
      <c r="AA321" s="569"/>
      <c r="AB321" s="570"/>
      <c r="AC321" s="563" t="s">
        <v>621</v>
      </c>
      <c r="AD321" s="564">
        <v>302</v>
      </c>
      <c r="AE321" s="564">
        <v>20</v>
      </c>
      <c r="AF321" s="564"/>
      <c r="AG321" s="564"/>
      <c r="AH321" s="564"/>
      <c r="AI321" s="627"/>
      <c r="AJ321" s="564"/>
      <c r="AK321" s="564"/>
      <c r="AL321" s="564"/>
      <c r="AM321" s="564"/>
      <c r="AN321" s="542"/>
      <c r="AO321" s="824" t="str">
        <f t="shared" si="40"/>
        <v>Yes</v>
      </c>
      <c r="AP321" s="259" t="str">
        <f t="shared" si="41"/>
        <v>FEB 20</v>
      </c>
      <c r="AQ321" s="542" t="str">
        <f t="shared" si="42"/>
        <v>有定金+有預留客戶</v>
      </c>
      <c r="AR321" s="259" t="str">
        <f t="shared" si="43"/>
        <v>Shipped_Stock</v>
      </c>
      <c r="AS321" s="259" t="str">
        <f t="shared" si="44"/>
        <v/>
      </c>
      <c r="AT321" s="259" t="str">
        <f t="shared" si="45"/>
        <v>长源兴/end user美联辉</v>
      </c>
      <c r="AU321" s="259" t="str">
        <f t="shared" si="46"/>
        <v>C49SZX20200008MX</v>
      </c>
      <c r="AV321" s="259" t="str">
        <f t="shared" si="47"/>
        <v>Jan-06</v>
      </c>
    </row>
    <row r="322" spans="1:48" ht="15" hidden="1" customHeight="1">
      <c r="A322" s="559">
        <v>632</v>
      </c>
      <c r="B322" s="563" t="s">
        <v>280</v>
      </c>
      <c r="C322" s="560" t="s">
        <v>281</v>
      </c>
      <c r="D322" s="600">
        <v>109750</v>
      </c>
      <c r="E322" s="563" t="s">
        <v>802</v>
      </c>
      <c r="F322" s="563" t="s">
        <v>17</v>
      </c>
      <c r="G322" s="563" t="s">
        <v>18</v>
      </c>
      <c r="H322" s="563" t="s">
        <v>19</v>
      </c>
      <c r="I322" s="564" t="s">
        <v>816</v>
      </c>
      <c r="J322" s="564">
        <v>1</v>
      </c>
      <c r="K322" s="563" t="s">
        <v>295</v>
      </c>
      <c r="L322" s="565">
        <v>43836</v>
      </c>
      <c r="M322" s="576" t="s">
        <v>817</v>
      </c>
      <c r="N322" s="563" t="s">
        <v>818</v>
      </c>
      <c r="O322" s="563">
        <v>2019.12</v>
      </c>
      <c r="P322" s="566" t="str">
        <f>VLOOKUP(A322,'[1]Raw data'!$B:$BB,23,FALSE)</f>
        <v>RMB</v>
      </c>
      <c r="Q322" s="563" t="str">
        <f>VLOOKUP(A322,'[1]Raw data'!$B:$Z,2,FALSE)</f>
        <v>C49SZX20200055SX</v>
      </c>
      <c r="R322" s="563" t="str">
        <f>VLOOKUP(A322,'[1]Raw data'!$B:$Z,3,FALSE)</f>
        <v>永顺创</v>
      </c>
      <c r="S322" s="563" t="str">
        <f>VLOOKUP(A322,'[1]Raw data'!$B:$Z,4,FALSE)</f>
        <v>YSM10</v>
      </c>
      <c r="T322" s="563" t="str">
        <f>VLOOKUP(A322,'[1]Raw data'!$B:$Z,8,FALSE)</f>
        <v>L-&gt;R</v>
      </c>
      <c r="U322" s="563" t="str">
        <f>VLOOKUP(A322,'[1]Raw data'!$B:$Z,9,FALSE)</f>
        <v>MVC+ATS15</v>
      </c>
      <c r="V322" s="567" t="str">
        <f t="shared" si="48"/>
        <v>WRONG</v>
      </c>
      <c r="W322" s="563" t="str">
        <f>VLOOKUP(A322,'[1]Raw data'!$B:$AG,32,FALSE)</f>
        <v>含税到厂</v>
      </c>
      <c r="X322" s="563">
        <f>VLOOKUP(A322,'[1]Raw data'!$B:$BA,31,FALSE)</f>
        <v>43941</v>
      </c>
      <c r="Y322" s="563" t="str">
        <f>VLOOKUP(A322,'[1]Raw data'!$B:$AS,39,FALSE)</f>
        <v>Yes</v>
      </c>
      <c r="AC322" s="563" t="s">
        <v>561</v>
      </c>
      <c r="AD322" s="571">
        <v>302</v>
      </c>
      <c r="AE322" s="571">
        <v>10</v>
      </c>
      <c r="AN322" s="542"/>
      <c r="AO322" s="824" t="str">
        <f t="shared" si="40"/>
        <v>Yes</v>
      </c>
      <c r="AP322" s="259" t="str">
        <f t="shared" si="41"/>
        <v>MAY 20</v>
      </c>
      <c r="AQ322" s="542" t="str">
        <f t="shared" si="42"/>
        <v>有定金+有預留客戶</v>
      </c>
      <c r="AR322" s="259" t="str">
        <f t="shared" si="43"/>
        <v>Shipped_Stock</v>
      </c>
      <c r="AS322" s="259" t="str">
        <f t="shared" si="44"/>
        <v/>
      </c>
      <c r="AT322" s="259" t="str">
        <f t="shared" si="45"/>
        <v>永顺创</v>
      </c>
      <c r="AU322" s="259" t="str">
        <f t="shared" si="46"/>
        <v>C49SZX20200055SX</v>
      </c>
      <c r="AV322" s="259" t="str">
        <f t="shared" si="47"/>
        <v>Jan-06</v>
      </c>
    </row>
    <row r="323" spans="1:48" ht="15" hidden="1" customHeight="1">
      <c r="A323" s="559">
        <v>627</v>
      </c>
      <c r="B323" s="563" t="s">
        <v>280</v>
      </c>
      <c r="C323" s="560" t="s">
        <v>281</v>
      </c>
      <c r="D323" s="600">
        <v>109750</v>
      </c>
      <c r="E323" s="563" t="s">
        <v>802</v>
      </c>
      <c r="F323" s="563" t="s">
        <v>17</v>
      </c>
      <c r="G323" s="563" t="s">
        <v>18</v>
      </c>
      <c r="H323" s="563" t="s">
        <v>19</v>
      </c>
      <c r="I323" s="564" t="s">
        <v>819</v>
      </c>
      <c r="J323" s="564">
        <v>1</v>
      </c>
      <c r="K323" s="563" t="s">
        <v>820</v>
      </c>
      <c r="L323" s="565">
        <v>43836</v>
      </c>
      <c r="M323" s="576" t="s">
        <v>817</v>
      </c>
      <c r="N323" s="563" t="s">
        <v>818</v>
      </c>
      <c r="O323" s="563">
        <v>2019.12</v>
      </c>
      <c r="P323" s="566" t="str">
        <f>VLOOKUP(A323,'[1]Raw data'!$B:$BB,23,FALSE)</f>
        <v>RMB</v>
      </c>
      <c r="Q323" s="563" t="str">
        <f>VLOOKUP(A323,'[1]Raw data'!$B:$Z,2,FALSE)</f>
        <v>C49SZX20200051SX</v>
      </c>
      <c r="R323" s="563" t="str">
        <f>VLOOKUP(A323,'[1]Raw data'!$B:$Z,3,FALSE)</f>
        <v>中科阿尔法</v>
      </c>
      <c r="S323" s="563" t="str">
        <f>VLOOKUP(A323,'[1]Raw data'!$B:$Z,4,FALSE)</f>
        <v>YSM10</v>
      </c>
      <c r="T323" s="563" t="str">
        <f>VLOOKUP(A323,'[1]Raw data'!$B:$Z,8,FALSE)</f>
        <v>L-&gt;R</v>
      </c>
      <c r="U323" s="563" t="str">
        <f>VLOOKUP(A323,'[1]Raw data'!$B:$Z,9,FALSE)</f>
        <v>MVC+ATS15</v>
      </c>
      <c r="V323" s="567" t="str">
        <f t="shared" si="48"/>
        <v>WRONG</v>
      </c>
      <c r="W323" s="563" t="str">
        <f>VLOOKUP(A323,'[1]Raw data'!$B:$AG,32,FALSE)</f>
        <v>含税到厂</v>
      </c>
      <c r="X323" s="563">
        <f>VLOOKUP(A323,'[1]Raw data'!$B:$BA,31,FALSE)</f>
        <v>43938</v>
      </c>
      <c r="Y323" s="563" t="str">
        <f>VLOOKUP(A323,'[1]Raw data'!$B:$AS,39,FALSE)</f>
        <v>Yes</v>
      </c>
      <c r="AC323" s="563" t="s">
        <v>821</v>
      </c>
      <c r="AD323" s="571">
        <v>302</v>
      </c>
      <c r="AE323" s="571">
        <v>10</v>
      </c>
      <c r="AN323" s="614"/>
      <c r="AO323" s="824" t="str">
        <f t="shared" ref="AO323:AO386" si="49">IFERROR(IF(Y323&lt;&gt;"",Y323,"No"),"No")</f>
        <v>Yes</v>
      </c>
      <c r="AP323" s="259" t="str">
        <f t="shared" ref="AP323:AP386" si="50">IFERROR(IF(N323&lt;&gt;"",N323,"blank"),"NA")</f>
        <v>MAY 20</v>
      </c>
      <c r="AQ323" s="542" t="str">
        <f t="shared" ref="AQ323:AQ386" si="51">IFERROR(IF(AND(AO323="Yes", AP323&lt;&gt;"blank"), "有定金+有預留客戶", IF(AND(AO323="Yes", AP323="blank"), "有定金+无客戶送貨期", IF(AND(OR(AO323="No", ISBLANK(AO323), AO323="NA"), AP323&lt;&gt;"blank"), "无定金+有預留客戶", IF(AND(OR(AO323="No", ISBLANK(AO323), AO323="NA"), AP323="blank"), "无定金+无預留客戶", "")))), "")</f>
        <v>有定金+有預留客戶</v>
      </c>
      <c r="AR323" s="259" t="str">
        <f t="shared" ref="AR323:AR386" si="52">IFERROR(IF(B323="已经到货", "Instock", IF(B323="有交期", "Incoming_Stock_With_YAMAHA_Schedule", IF(B323="TBA.", "Incoming_Stock_No_YAMAHA_Schedule", IF(B323="已发货", "Shipped_Stock", "")))), "")</f>
        <v>Shipped_Stock</v>
      </c>
      <c r="AS323" s="259" t="str">
        <f t="shared" ref="AS323:AS386" si="53">IF(AND(B323="有交期", L323&lt;&gt;""), L323, "")</f>
        <v/>
      </c>
      <c r="AT323" s="259" t="str">
        <f t="shared" ref="AT323:AT386" si="54">IFERROR(IF(R323&lt;&gt;"",R323),"-")</f>
        <v>中科阿尔法</v>
      </c>
      <c r="AU323" s="259" t="str">
        <f t="shared" ref="AU323:AU386" si="55">IFERROR(IF(Q323&lt;&gt;"",Q323),"-")</f>
        <v>C49SZX20200051SX</v>
      </c>
      <c r="AV323" s="259" t="str">
        <f t="shared" ref="AV323:AV386" si="56">IF(L323="","-",TEXT(L323,"mmm-dd"))</f>
        <v>Jan-06</v>
      </c>
    </row>
    <row r="324" spans="1:48" ht="15" hidden="1" customHeight="1">
      <c r="A324" s="559">
        <v>660</v>
      </c>
      <c r="B324" s="563" t="s">
        <v>280</v>
      </c>
      <c r="C324" s="560" t="s">
        <v>281</v>
      </c>
      <c r="D324" s="600">
        <v>109750</v>
      </c>
      <c r="E324" s="563" t="s">
        <v>802</v>
      </c>
      <c r="F324" s="563" t="s">
        <v>17</v>
      </c>
      <c r="G324" s="563" t="s">
        <v>18</v>
      </c>
      <c r="H324" s="563" t="s">
        <v>19</v>
      </c>
      <c r="I324" s="564" t="s">
        <v>822</v>
      </c>
      <c r="J324" s="564">
        <v>1</v>
      </c>
      <c r="K324" s="563" t="s">
        <v>820</v>
      </c>
      <c r="L324" s="565">
        <v>43836</v>
      </c>
      <c r="M324" s="576" t="s">
        <v>817</v>
      </c>
      <c r="N324" s="563" t="s">
        <v>300</v>
      </c>
      <c r="O324" s="563">
        <v>2019.12</v>
      </c>
      <c r="P324" s="566" t="str">
        <f>VLOOKUP(A324,'[1]Raw data'!$B:$BB,23,FALSE)</f>
        <v>RMB</v>
      </c>
      <c r="Q324" s="563" t="str">
        <f>VLOOKUP(A324,'[1]Raw data'!$B:$Z,2,FALSE)</f>
        <v>C49SZX20200062SS</v>
      </c>
      <c r="R324" s="563" t="str">
        <f>VLOOKUP(A324,'[1]Raw data'!$B:$Z,3,FALSE)</f>
        <v>康腾</v>
      </c>
      <c r="S324" s="563" t="str">
        <f>VLOOKUP(A324,'[1]Raw data'!$B:$Z,4,FALSE)</f>
        <v>YSM10</v>
      </c>
      <c r="T324" s="563" t="str">
        <f>VLOOKUP(A324,'[1]Raw data'!$B:$Z,8,FALSE)</f>
        <v>R-&gt;L</v>
      </c>
      <c r="U324" s="563" t="str">
        <f>VLOOKUP(A324,'[1]Raw data'!$B:$Z,9,FALSE)</f>
        <v>MVC+ATS15</v>
      </c>
      <c r="V324" s="567" t="str">
        <f t="shared" si="48"/>
        <v>WRONG</v>
      </c>
      <c r="W324" s="563" t="str">
        <f>VLOOKUP(A324,'[1]Raw data'!$B:$AG,32,FALSE)</f>
        <v>含税到厂</v>
      </c>
      <c r="X324" s="563">
        <f>VLOOKUP(A324,'[1]Raw data'!$B:$BA,31,FALSE)</f>
        <v>43991</v>
      </c>
      <c r="Y324" s="563" t="str">
        <f>VLOOKUP(A324,'[1]Raw data'!$B:$AS,39,FALSE)</f>
        <v>Yes</v>
      </c>
      <c r="AC324" s="563" t="s">
        <v>823</v>
      </c>
      <c r="AD324" s="571">
        <v>302</v>
      </c>
      <c r="AE324" s="571">
        <v>10</v>
      </c>
      <c r="AN324" s="614"/>
      <c r="AO324" s="824" t="str">
        <f t="shared" si="49"/>
        <v>Yes</v>
      </c>
      <c r="AP324" s="259" t="str">
        <f t="shared" si="50"/>
        <v>JUL 20</v>
      </c>
      <c r="AQ324" s="542" t="str">
        <f t="shared" si="51"/>
        <v>有定金+有預留客戶</v>
      </c>
      <c r="AR324" s="259" t="str">
        <f t="shared" si="52"/>
        <v>Shipped_Stock</v>
      </c>
      <c r="AS324" s="259" t="str">
        <f t="shared" si="53"/>
        <v/>
      </c>
      <c r="AT324" s="259" t="str">
        <f t="shared" si="54"/>
        <v>康腾</v>
      </c>
      <c r="AU324" s="259" t="str">
        <f t="shared" si="55"/>
        <v>C49SZX20200062SS</v>
      </c>
      <c r="AV324" s="259" t="str">
        <f t="shared" si="56"/>
        <v>Jan-06</v>
      </c>
    </row>
    <row r="325" spans="1:48" ht="14.25" hidden="1" customHeight="1">
      <c r="A325" s="599">
        <v>521</v>
      </c>
      <c r="B325" s="563" t="s">
        <v>280</v>
      </c>
      <c r="C325" s="560" t="s">
        <v>281</v>
      </c>
      <c r="D325" s="600">
        <v>109750</v>
      </c>
      <c r="E325" s="563" t="s">
        <v>802</v>
      </c>
      <c r="F325" s="563" t="s">
        <v>256</v>
      </c>
      <c r="G325" s="563" t="s">
        <v>24</v>
      </c>
      <c r="H325" s="563" t="s">
        <v>26</v>
      </c>
      <c r="I325" s="564" t="s">
        <v>824</v>
      </c>
      <c r="J325" s="564">
        <v>1</v>
      </c>
      <c r="K325" s="563" t="s">
        <v>437</v>
      </c>
      <c r="L325" s="565">
        <v>43836</v>
      </c>
      <c r="M325" s="576" t="s">
        <v>817</v>
      </c>
      <c r="N325" s="563" t="s">
        <v>731</v>
      </c>
      <c r="O325" s="564">
        <v>2019.12</v>
      </c>
      <c r="P325" s="566" t="str">
        <f>VLOOKUP(A325,'[1]Raw data'!$B:$BB,23,FALSE)</f>
        <v>JPY</v>
      </c>
      <c r="Q325" s="563" t="str">
        <f>VLOOKUP(A325,'[1]Raw data'!$B:$Z,2,FALSE)</f>
        <v>C49SZX20190167SS</v>
      </c>
      <c r="R325" s="563" t="str">
        <f>VLOOKUP(A325,'[1]Raw data'!$B:$Z,3,FALSE)</f>
        <v>宏威创</v>
      </c>
      <c r="S325" s="563" t="str">
        <f>VLOOKUP(A325,'[1]Raw data'!$B:$Z,4,FALSE)</f>
        <v>YSM20R(SV)-2</v>
      </c>
      <c r="T325" s="563" t="str">
        <f>VLOOKUP(A325,'[1]Raw data'!$B:$Z,8,FALSE)</f>
        <v>L-&gt;R</v>
      </c>
      <c r="U325" s="563" t="str">
        <f>VLOOKUP(A325,'[1]Raw data'!$B:$Z,9,FALSE)</f>
        <v>No</v>
      </c>
      <c r="V325" s="567" t="str">
        <f t="shared" si="48"/>
        <v>OK</v>
      </c>
      <c r="W325" s="563" t="str">
        <f>VLOOKUP(A325,'[1]Raw data'!$B:$AG,32,FALSE)</f>
        <v>DAP SZ</v>
      </c>
      <c r="X325" s="563">
        <f>VLOOKUP(A325,'[1]Raw data'!$B:$BA,31,FALSE)</f>
        <v>43798</v>
      </c>
      <c r="Y325" s="563" t="str">
        <f>VLOOKUP(A325,'[1]Raw data'!$B:$AS,39,FALSE)</f>
        <v>Yes</v>
      </c>
      <c r="Z325" s="568"/>
      <c r="AA325" s="569"/>
      <c r="AB325" s="570"/>
      <c r="AC325" s="563" t="s">
        <v>825</v>
      </c>
      <c r="AD325" s="571">
        <v>311</v>
      </c>
      <c r="AE325" s="571">
        <v>10</v>
      </c>
      <c r="AF325" s="571">
        <v>303</v>
      </c>
      <c r="AG325" s="571">
        <v>10</v>
      </c>
      <c r="AN325" s="542"/>
      <c r="AO325" s="824" t="str">
        <f t="shared" si="49"/>
        <v>Yes</v>
      </c>
      <c r="AP325" s="259" t="str">
        <f t="shared" si="50"/>
        <v>JAN 20</v>
      </c>
      <c r="AQ325" s="542" t="str">
        <f t="shared" si="51"/>
        <v>有定金+有預留客戶</v>
      </c>
      <c r="AR325" s="259" t="str">
        <f t="shared" si="52"/>
        <v>Shipped_Stock</v>
      </c>
      <c r="AS325" s="259" t="str">
        <f t="shared" si="53"/>
        <v/>
      </c>
      <c r="AT325" s="259" t="str">
        <f t="shared" si="54"/>
        <v>宏威创</v>
      </c>
      <c r="AU325" s="259" t="str">
        <f t="shared" si="55"/>
        <v>C49SZX20190167SS</v>
      </c>
      <c r="AV325" s="259" t="str">
        <f t="shared" si="56"/>
        <v>Jan-06</v>
      </c>
    </row>
    <row r="326" spans="1:48" hidden="1">
      <c r="A326" s="599">
        <v>522</v>
      </c>
      <c r="B326" s="563" t="s">
        <v>280</v>
      </c>
      <c r="C326" s="560" t="s">
        <v>281</v>
      </c>
      <c r="D326" s="600">
        <v>109750</v>
      </c>
      <c r="E326" s="563" t="s">
        <v>802</v>
      </c>
      <c r="F326" s="563" t="s">
        <v>256</v>
      </c>
      <c r="G326" s="563" t="s">
        <v>24</v>
      </c>
      <c r="H326" s="563" t="s">
        <v>26</v>
      </c>
      <c r="I326" s="564" t="s">
        <v>826</v>
      </c>
      <c r="J326" s="564">
        <v>1</v>
      </c>
      <c r="K326" s="563" t="s">
        <v>437</v>
      </c>
      <c r="L326" s="565">
        <v>43836</v>
      </c>
      <c r="M326" s="576" t="s">
        <v>817</v>
      </c>
      <c r="N326" s="563" t="s">
        <v>731</v>
      </c>
      <c r="O326" s="564">
        <v>2019.12</v>
      </c>
      <c r="P326" s="566" t="str">
        <f>VLOOKUP(A326,'[1]Raw data'!$B:$BB,23,FALSE)</f>
        <v>JPY</v>
      </c>
      <c r="Q326" s="563" t="str">
        <f>VLOOKUP(A326,'[1]Raw data'!$B:$Z,2,FALSE)</f>
        <v>C49SZX20190167SS</v>
      </c>
      <c r="R326" s="563" t="str">
        <f>VLOOKUP(A326,'[1]Raw data'!$B:$Z,3,FALSE)</f>
        <v>宏威创</v>
      </c>
      <c r="S326" s="563" t="str">
        <f>VLOOKUP(A326,'[1]Raw data'!$B:$Z,4,FALSE)</f>
        <v>YSM20R(SV)-2</v>
      </c>
      <c r="T326" s="563" t="str">
        <f>VLOOKUP(A326,'[1]Raw data'!$B:$Z,8,FALSE)</f>
        <v>L-&gt;R</v>
      </c>
      <c r="U326" s="563" t="str">
        <f>VLOOKUP(A326,'[1]Raw data'!$B:$Z,9,FALSE)</f>
        <v>No</v>
      </c>
      <c r="V326" s="567" t="str">
        <f t="shared" si="48"/>
        <v>OK</v>
      </c>
      <c r="W326" s="563" t="str">
        <f>VLOOKUP(A326,'[1]Raw data'!$B:$AG,32,FALSE)</f>
        <v>DAP SZ</v>
      </c>
      <c r="X326" s="563">
        <f>VLOOKUP(A326,'[1]Raw data'!$B:$BA,31,FALSE)</f>
        <v>43798</v>
      </c>
      <c r="Y326" s="563" t="str">
        <f>VLOOKUP(A326,'[1]Raw data'!$B:$AS,39,FALSE)</f>
        <v>Yes</v>
      </c>
      <c r="Z326" s="568"/>
      <c r="AA326" s="569"/>
      <c r="AB326" s="570"/>
      <c r="AC326" s="563" t="s">
        <v>825</v>
      </c>
      <c r="AD326" s="571">
        <v>311</v>
      </c>
      <c r="AE326" s="571">
        <v>10</v>
      </c>
      <c r="AF326" s="571">
        <v>303</v>
      </c>
      <c r="AG326" s="571">
        <v>10</v>
      </c>
      <c r="AN326" s="614"/>
      <c r="AO326" s="824" t="str">
        <f t="shared" si="49"/>
        <v>Yes</v>
      </c>
      <c r="AP326" s="259" t="str">
        <f t="shared" si="50"/>
        <v>JAN 20</v>
      </c>
      <c r="AQ326" s="542" t="str">
        <f t="shared" si="51"/>
        <v>有定金+有預留客戶</v>
      </c>
      <c r="AR326" s="259" t="str">
        <f t="shared" si="52"/>
        <v>Shipped_Stock</v>
      </c>
      <c r="AS326" s="259" t="str">
        <f t="shared" si="53"/>
        <v/>
      </c>
      <c r="AT326" s="259" t="str">
        <f t="shared" si="54"/>
        <v>宏威创</v>
      </c>
      <c r="AU326" s="259" t="str">
        <f t="shared" si="55"/>
        <v>C49SZX20190167SS</v>
      </c>
      <c r="AV326" s="259" t="str">
        <f t="shared" si="56"/>
        <v>Jan-06</v>
      </c>
    </row>
    <row r="327" spans="1:48" ht="15" hidden="1" customHeight="1">
      <c r="A327" s="599">
        <v>586</v>
      </c>
      <c r="B327" s="563" t="s">
        <v>280</v>
      </c>
      <c r="C327" s="560" t="s">
        <v>281</v>
      </c>
      <c r="D327" s="600">
        <v>109750</v>
      </c>
      <c r="E327" s="563" t="s">
        <v>802</v>
      </c>
      <c r="F327" s="563" t="s">
        <v>256</v>
      </c>
      <c r="G327" s="563" t="s">
        <v>24</v>
      </c>
      <c r="H327" s="563" t="s">
        <v>26</v>
      </c>
      <c r="I327" s="564" t="s">
        <v>827</v>
      </c>
      <c r="J327" s="564">
        <v>1</v>
      </c>
      <c r="K327" s="563" t="s">
        <v>437</v>
      </c>
      <c r="L327" s="565">
        <v>43836</v>
      </c>
      <c r="M327" s="576" t="s">
        <v>817</v>
      </c>
      <c r="N327" s="563" t="s">
        <v>785</v>
      </c>
      <c r="O327" s="564">
        <v>2019.12</v>
      </c>
      <c r="P327" s="566" t="str">
        <f>VLOOKUP(A327,'[1]Raw data'!$B:$BB,23,FALSE)</f>
        <v>JPY</v>
      </c>
      <c r="Q327" s="563" t="str">
        <f>VLOOKUP(A327,'[1]Raw data'!$B:$Z,2,FALSE)</f>
        <v>C49SZX20200021SS</v>
      </c>
      <c r="R327" s="563" t="str">
        <f>VLOOKUP(A327,'[1]Raw data'!$B:$Z,3,FALSE)</f>
        <v>格瑞智达/END USER 智宏创</v>
      </c>
      <c r="S327" s="563" t="str">
        <f>VLOOKUP(A327,'[1]Raw data'!$B:$Z,4,FALSE)</f>
        <v>YSM20R(SV)-2</v>
      </c>
      <c r="T327" s="563" t="str">
        <f>VLOOKUP(A327,'[1]Raw data'!$B:$Z,8,FALSE)</f>
        <v>L-&gt;R</v>
      </c>
      <c r="U327" s="563" t="str">
        <f>VLOOKUP(A327,'[1]Raw data'!$B:$Z,9,FALSE)</f>
        <v>No</v>
      </c>
      <c r="V327" s="567" t="str">
        <f t="shared" si="48"/>
        <v>OK</v>
      </c>
      <c r="W327" s="563" t="str">
        <f>VLOOKUP(A327,'[1]Raw data'!$B:$AG,32,FALSE)</f>
        <v>DAP SZ</v>
      </c>
      <c r="X327" s="563">
        <f>VLOOKUP(A327,'[1]Raw data'!$B:$BA,31,FALSE)</f>
        <v>43892</v>
      </c>
      <c r="Y327" s="563" t="str">
        <f>VLOOKUP(A327,'[1]Raw data'!$B:$AS,39,FALSE)</f>
        <v>Yes</v>
      </c>
      <c r="Z327" s="568"/>
      <c r="AA327" s="569"/>
      <c r="AB327" s="570"/>
      <c r="AC327" s="563" t="s">
        <v>828</v>
      </c>
      <c r="AD327" s="564">
        <v>311</v>
      </c>
      <c r="AE327" s="564">
        <v>20</v>
      </c>
      <c r="AF327" s="564"/>
      <c r="AG327" s="564"/>
      <c r="AH327" s="564"/>
      <c r="AI327" s="627"/>
      <c r="AJ327" s="564"/>
      <c r="AK327" s="564"/>
      <c r="AL327" s="564"/>
      <c r="AM327" s="564"/>
      <c r="AN327" s="614"/>
      <c r="AO327" s="824" t="str">
        <f t="shared" si="49"/>
        <v>Yes</v>
      </c>
      <c r="AP327" s="259" t="str">
        <f t="shared" si="50"/>
        <v>MAR 20</v>
      </c>
      <c r="AQ327" s="542" t="str">
        <f t="shared" si="51"/>
        <v>有定金+有預留客戶</v>
      </c>
      <c r="AR327" s="259" t="str">
        <f t="shared" si="52"/>
        <v>Shipped_Stock</v>
      </c>
      <c r="AS327" s="259" t="str">
        <f t="shared" si="53"/>
        <v/>
      </c>
      <c r="AT327" s="259" t="str">
        <f t="shared" si="54"/>
        <v>格瑞智达/END USER 智宏创</v>
      </c>
      <c r="AU327" s="259" t="str">
        <f t="shared" si="55"/>
        <v>C49SZX20200021SS</v>
      </c>
      <c r="AV327" s="259" t="str">
        <f t="shared" si="56"/>
        <v>Jan-06</v>
      </c>
    </row>
    <row r="328" spans="1:48" ht="15" hidden="1" customHeight="1">
      <c r="A328" s="599">
        <v>540</v>
      </c>
      <c r="B328" s="563" t="s">
        <v>280</v>
      </c>
      <c r="C328" s="560" t="s">
        <v>281</v>
      </c>
      <c r="D328" s="600">
        <v>109750</v>
      </c>
      <c r="E328" s="563" t="s">
        <v>802</v>
      </c>
      <c r="F328" s="563" t="s">
        <v>17</v>
      </c>
      <c r="G328" s="563" t="s">
        <v>18</v>
      </c>
      <c r="H328" s="563" t="s">
        <v>19</v>
      </c>
      <c r="I328" s="564" t="s">
        <v>829</v>
      </c>
      <c r="J328" s="571">
        <v>1</v>
      </c>
      <c r="K328" s="563" t="s">
        <v>437</v>
      </c>
      <c r="L328" s="565">
        <v>43836</v>
      </c>
      <c r="M328" s="615" t="s">
        <v>830</v>
      </c>
      <c r="N328" s="563" t="s">
        <v>789</v>
      </c>
      <c r="O328" s="563">
        <v>2019.12</v>
      </c>
      <c r="P328" s="566" t="str">
        <f>VLOOKUP(A328,'[1]Raw data'!$B:$BB,23,FALSE)</f>
        <v>JPY</v>
      </c>
      <c r="Q328" s="563" t="str">
        <f>VLOOKUP(A328,'[1]Raw data'!$B:$Z,2,FALSE)</f>
        <v>C49SZX20190141SS</v>
      </c>
      <c r="R328" s="563" t="str">
        <f>VLOOKUP(A328,'[1]Raw data'!$B:$Z,3,FALSE)</f>
        <v>博睿通</v>
      </c>
      <c r="S328" s="563" t="str">
        <f>VLOOKUP(A328,'[1]Raw data'!$B:$Z,4,FALSE)</f>
        <v>YSM10</v>
      </c>
      <c r="T328" s="563" t="str">
        <f>VLOOKUP(A328,'[1]Raw data'!$B:$Z,8,FALSE)</f>
        <v>L-&gt;R</v>
      </c>
      <c r="U328" s="563" t="str">
        <f>VLOOKUP(A328,'[1]Raw data'!$B:$Z,9,FALSE)</f>
        <v>MVC+ATS15</v>
      </c>
      <c r="V328" s="567" t="str">
        <f t="shared" si="48"/>
        <v>WRONG</v>
      </c>
      <c r="W328" s="563" t="str">
        <f>VLOOKUP(A328,'[1]Raw data'!$B:$AG,32,FALSE)</f>
        <v>CIF HK</v>
      </c>
      <c r="X328" s="563">
        <f>VLOOKUP(A328,'[1]Raw data'!$B:$BA,31,FALSE)</f>
        <v>43810</v>
      </c>
      <c r="Y328" s="563" t="str">
        <f>VLOOKUP(A328,'[1]Raw data'!$B:$AS,39,FALSE)</f>
        <v>Yes</v>
      </c>
      <c r="Z328" s="568"/>
      <c r="AA328" s="569"/>
      <c r="AB328" s="570"/>
      <c r="AC328" s="563" t="s">
        <v>831</v>
      </c>
      <c r="AD328" s="564">
        <v>301</v>
      </c>
      <c r="AE328" s="564">
        <v>10</v>
      </c>
      <c r="AF328" s="564"/>
      <c r="AG328" s="564"/>
      <c r="AH328" s="564"/>
      <c r="AI328" s="627"/>
      <c r="AJ328" s="564"/>
      <c r="AK328" s="564"/>
      <c r="AL328" s="564"/>
      <c r="AM328" s="564"/>
      <c r="AN328" s="614"/>
      <c r="AO328" s="824" t="str">
        <f t="shared" si="49"/>
        <v>Yes</v>
      </c>
      <c r="AP328" s="259" t="str">
        <f t="shared" si="50"/>
        <v>FEB 20</v>
      </c>
      <c r="AQ328" s="542" t="str">
        <f t="shared" si="51"/>
        <v>有定金+有預留客戶</v>
      </c>
      <c r="AR328" s="259" t="str">
        <f t="shared" si="52"/>
        <v>Shipped_Stock</v>
      </c>
      <c r="AS328" s="259" t="str">
        <f t="shared" si="53"/>
        <v/>
      </c>
      <c r="AT328" s="259" t="str">
        <f t="shared" si="54"/>
        <v>博睿通</v>
      </c>
      <c r="AU328" s="259" t="str">
        <f t="shared" si="55"/>
        <v>C49SZX20190141SS</v>
      </c>
      <c r="AV328" s="259" t="str">
        <f t="shared" si="56"/>
        <v>Jan-06</v>
      </c>
    </row>
    <row r="329" spans="1:48" ht="39" hidden="1" customHeight="1" thickBot="1">
      <c r="A329" s="559">
        <v>595</v>
      </c>
      <c r="B329" s="563" t="s">
        <v>280</v>
      </c>
      <c r="C329" s="560" t="s">
        <v>281</v>
      </c>
      <c r="D329" s="622">
        <v>109750</v>
      </c>
      <c r="E329" s="563" t="s">
        <v>802</v>
      </c>
      <c r="F329" s="563" t="s">
        <v>17</v>
      </c>
      <c r="G329" s="563" t="s">
        <v>18</v>
      </c>
      <c r="H329" s="563" t="s">
        <v>19</v>
      </c>
      <c r="I329" s="564" t="s">
        <v>832</v>
      </c>
      <c r="J329" s="564">
        <v>1</v>
      </c>
      <c r="K329" s="563" t="s">
        <v>437</v>
      </c>
      <c r="L329" s="565">
        <v>43836</v>
      </c>
      <c r="M329" s="576" t="s">
        <v>817</v>
      </c>
      <c r="N329" s="563" t="s">
        <v>554</v>
      </c>
      <c r="O329" s="563">
        <v>2019.12</v>
      </c>
      <c r="P329" s="566" t="str">
        <f>VLOOKUP(A329,'[1]Raw data'!$B:$BB,23,FALSE)</f>
        <v>RMB</v>
      </c>
      <c r="Q329" s="563" t="str">
        <f>VLOOKUP(A329,'[1]Raw data'!$B:$Z,2,FALSE)</f>
        <v>C49SZX20200027JY</v>
      </c>
      <c r="R329" s="563" t="str">
        <f>VLOOKUP(A329,'[1]Raw data'!$B:$Z,3,FALSE)</f>
        <v>络鑫</v>
      </c>
      <c r="S329" s="563" t="str">
        <f>VLOOKUP(A329,'[1]Raw data'!$B:$Z,4,FALSE)</f>
        <v>YSM10</v>
      </c>
      <c r="T329" s="563" t="str">
        <f>VLOOKUP(A329,'[1]Raw data'!$B:$Z,8,FALSE)</f>
        <v>L-&gt;R</v>
      </c>
      <c r="U329" s="563" t="str">
        <f>VLOOKUP(A329,'[1]Raw data'!$B:$Z,9,FALSE)</f>
        <v>MVC+ATS15</v>
      </c>
      <c r="V329" s="567" t="str">
        <f t="shared" si="48"/>
        <v>WRONG</v>
      </c>
      <c r="W329" s="563" t="str">
        <f>VLOOKUP(A329,'[1]Raw data'!$B:$AG,32,FALSE)</f>
        <v>DAP DG</v>
      </c>
      <c r="X329" s="563">
        <f>VLOOKUP(A329,'[1]Raw data'!$B:$BA,31,FALSE)</f>
        <v>43906</v>
      </c>
      <c r="Y329" s="563" t="str">
        <f>VLOOKUP(A329,'[1]Raw data'!$B:$AS,39,FALSE)</f>
        <v>Yes</v>
      </c>
      <c r="AC329" s="563" t="s">
        <v>439</v>
      </c>
      <c r="AD329" s="571">
        <v>302</v>
      </c>
      <c r="AE329" s="571">
        <v>10</v>
      </c>
      <c r="AN329" s="542"/>
      <c r="AO329" s="824" t="str">
        <f t="shared" si="49"/>
        <v>Yes</v>
      </c>
      <c r="AP329" s="259" t="str">
        <f t="shared" si="50"/>
        <v>APR 20</v>
      </c>
      <c r="AQ329" s="542" t="str">
        <f t="shared" si="51"/>
        <v>有定金+有預留客戶</v>
      </c>
      <c r="AR329" s="259" t="str">
        <f t="shared" si="52"/>
        <v>Shipped_Stock</v>
      </c>
      <c r="AS329" s="259" t="str">
        <f t="shared" si="53"/>
        <v/>
      </c>
      <c r="AT329" s="259" t="str">
        <f t="shared" si="54"/>
        <v>络鑫</v>
      </c>
      <c r="AU329" s="259" t="str">
        <f t="shared" si="55"/>
        <v>C49SZX20200027JY</v>
      </c>
      <c r="AV329" s="259" t="str">
        <f t="shared" si="56"/>
        <v>Jan-06</v>
      </c>
    </row>
    <row r="330" spans="1:48" ht="14.25" hidden="1" customHeight="1">
      <c r="A330" s="599">
        <v>528</v>
      </c>
      <c r="B330" s="560" t="s">
        <v>280</v>
      </c>
      <c r="C330" s="560" t="s">
        <v>281</v>
      </c>
      <c r="D330" s="623">
        <v>109749</v>
      </c>
      <c r="E330" s="562" t="s">
        <v>802</v>
      </c>
      <c r="F330" s="563" t="s">
        <v>256</v>
      </c>
      <c r="G330" s="563" t="s">
        <v>18</v>
      </c>
      <c r="H330" s="563" t="s">
        <v>26</v>
      </c>
      <c r="I330" s="564" t="s">
        <v>833</v>
      </c>
      <c r="J330" s="564">
        <v>1</v>
      </c>
      <c r="K330" s="563" t="s">
        <v>437</v>
      </c>
      <c r="L330" s="565">
        <v>43836</v>
      </c>
      <c r="M330" s="576">
        <v>6.54E-2</v>
      </c>
      <c r="N330" s="563" t="s">
        <v>785</v>
      </c>
      <c r="O330" s="564">
        <v>2019.12</v>
      </c>
      <c r="P330" s="566" t="str">
        <f>VLOOKUP(A330,'[1]Raw data'!$B:$BB,23,FALSE)</f>
        <v>JPY</v>
      </c>
      <c r="Q330" s="563" t="str">
        <f>VLOOKUP(A330,'[1]Raw data'!$B:$Z,2,FALSE)</f>
        <v>C49SZX20190160R1ZX</v>
      </c>
      <c r="R330" s="563" t="str">
        <f>VLOOKUP(A330,'[1]Raw data'!$B:$Z,3,FALSE)</f>
        <v>新明海</v>
      </c>
      <c r="S330" s="563" t="str">
        <f>VLOOKUP(A330,'[1]Raw data'!$B:$Z,4,FALSE)</f>
        <v>YSM20R(SV)-2</v>
      </c>
      <c r="T330" s="563" t="str">
        <f>VLOOKUP(A330,'[1]Raw data'!$B:$Z,8,FALSE)</f>
        <v>R-&gt;L</v>
      </c>
      <c r="U330" s="563" t="str">
        <f>VLOOKUP(A330,'[1]Raw data'!$B:$Z,9,FALSE)</f>
        <v>MVC</v>
      </c>
      <c r="V330" s="567" t="str">
        <f t="shared" si="48"/>
        <v>WRONG</v>
      </c>
      <c r="W330" s="563" t="str">
        <f>VLOOKUP(A330,'[1]Raw data'!$B:$AG,32,FALSE)</f>
        <v>DAP HZ</v>
      </c>
      <c r="X330" s="563">
        <f>VLOOKUP(A330,'[1]Raw data'!$B:$BA,31,FALSE)</f>
        <v>43801</v>
      </c>
      <c r="Y330" s="563" t="str">
        <f>VLOOKUP(A330,'[1]Raw data'!$B:$AS,39,FALSE)</f>
        <v>Yes</v>
      </c>
      <c r="AC330" s="563" t="s">
        <v>834</v>
      </c>
      <c r="AD330" s="564">
        <v>301</v>
      </c>
      <c r="AE330" s="564">
        <v>20</v>
      </c>
      <c r="AF330" s="564"/>
      <c r="AG330" s="564"/>
      <c r="AH330" s="564"/>
      <c r="AI330" s="627"/>
      <c r="AJ330" s="564"/>
      <c r="AK330" s="564"/>
      <c r="AL330" s="564"/>
      <c r="AM330" s="564"/>
      <c r="AN330" s="542"/>
      <c r="AO330" s="824" t="str">
        <f t="shared" si="49"/>
        <v>Yes</v>
      </c>
      <c r="AP330" s="259" t="str">
        <f t="shared" si="50"/>
        <v>MAR 20</v>
      </c>
      <c r="AQ330" s="542" t="str">
        <f t="shared" si="51"/>
        <v>有定金+有預留客戶</v>
      </c>
      <c r="AR330" s="259" t="str">
        <f t="shared" si="52"/>
        <v>Shipped_Stock</v>
      </c>
      <c r="AS330" s="259" t="str">
        <f t="shared" si="53"/>
        <v/>
      </c>
      <c r="AT330" s="259" t="str">
        <f t="shared" si="54"/>
        <v>新明海</v>
      </c>
      <c r="AU330" s="259" t="str">
        <f t="shared" si="55"/>
        <v>C49SZX20190160R1ZX</v>
      </c>
      <c r="AV330" s="259" t="str">
        <f t="shared" si="56"/>
        <v>Jan-06</v>
      </c>
    </row>
    <row r="331" spans="1:48" ht="15" hidden="1" customHeight="1">
      <c r="A331" s="599">
        <v>516</v>
      </c>
      <c r="B331" s="560" t="s">
        <v>280</v>
      </c>
      <c r="C331" s="560" t="s">
        <v>281</v>
      </c>
      <c r="D331" s="625">
        <v>109749</v>
      </c>
      <c r="E331" s="562" t="s">
        <v>802</v>
      </c>
      <c r="F331" s="563" t="s">
        <v>256</v>
      </c>
      <c r="G331" s="563" t="s">
        <v>18</v>
      </c>
      <c r="H331" s="563" t="s">
        <v>26</v>
      </c>
      <c r="I331" s="564" t="s">
        <v>835</v>
      </c>
      <c r="J331" s="564">
        <v>1</v>
      </c>
      <c r="K331" s="563" t="s">
        <v>437</v>
      </c>
      <c r="L331" s="565">
        <v>43836</v>
      </c>
      <c r="M331" s="576">
        <v>6.54E-2</v>
      </c>
      <c r="N331" s="563" t="s">
        <v>731</v>
      </c>
      <c r="O331" s="564">
        <v>2019.12</v>
      </c>
      <c r="P331" s="566" t="str">
        <f>VLOOKUP(A331,'[1]Raw data'!$B:$BB,23,FALSE)</f>
        <v>JPY</v>
      </c>
      <c r="Q331" s="563" t="str">
        <f>VLOOKUP(A331,'[1]Raw data'!$B:$Z,2,FALSE)</f>
        <v>C49SZX20190169MZ</v>
      </c>
      <c r="R331" s="563" t="str">
        <f>VLOOKUP(A331,'[1]Raw data'!$B:$Z,3,FALSE)</f>
        <v>创伟峰</v>
      </c>
      <c r="S331" s="563" t="str">
        <f>VLOOKUP(A331,'[1]Raw data'!$B:$Z,4,FALSE)</f>
        <v>YSM20R(SV)-2</v>
      </c>
      <c r="T331" s="563" t="str">
        <f>VLOOKUP(A331,'[1]Raw data'!$B:$Z,8,FALSE)</f>
        <v>R-&gt;L</v>
      </c>
      <c r="U331" s="563" t="str">
        <f>VLOOKUP(A331,'[1]Raw data'!$B:$Z,9,FALSE)</f>
        <v>No</v>
      </c>
      <c r="V331" s="567" t="str">
        <f t="shared" si="48"/>
        <v>OK</v>
      </c>
      <c r="W331" s="563" t="str">
        <f>VLOOKUP(A331,'[1]Raw data'!$B:$AG,32,FALSE)</f>
        <v>CIF HK</v>
      </c>
      <c r="X331" s="563">
        <f>VLOOKUP(A331,'[1]Raw data'!$B:$BA,31,FALSE)</f>
        <v>43790</v>
      </c>
      <c r="Y331" s="563" t="str">
        <f>VLOOKUP(A331,'[1]Raw data'!$B:$AS,39,FALSE)</f>
        <v>Yes</v>
      </c>
      <c r="Z331" s="568"/>
      <c r="AA331" s="569"/>
      <c r="AB331" s="570"/>
      <c r="AC331" s="563" t="s">
        <v>836</v>
      </c>
      <c r="AD331" s="564">
        <v>301</v>
      </c>
      <c r="AE331" s="564">
        <v>10</v>
      </c>
      <c r="AF331" s="564"/>
      <c r="AG331" s="564"/>
      <c r="AH331" s="564"/>
      <c r="AI331" s="627"/>
      <c r="AJ331" s="564"/>
      <c r="AK331" s="564"/>
      <c r="AL331" s="564"/>
      <c r="AM331" s="564"/>
      <c r="AN331" s="542"/>
      <c r="AO331" s="824" t="str">
        <f t="shared" si="49"/>
        <v>Yes</v>
      </c>
      <c r="AP331" s="259" t="str">
        <f t="shared" si="50"/>
        <v>JAN 20</v>
      </c>
      <c r="AQ331" s="542" t="str">
        <f t="shared" si="51"/>
        <v>有定金+有預留客戶</v>
      </c>
      <c r="AR331" s="259" t="str">
        <f t="shared" si="52"/>
        <v>Shipped_Stock</v>
      </c>
      <c r="AS331" s="259" t="str">
        <f t="shared" si="53"/>
        <v/>
      </c>
      <c r="AT331" s="259" t="str">
        <f t="shared" si="54"/>
        <v>创伟峰</v>
      </c>
      <c r="AU331" s="259" t="str">
        <f t="shared" si="55"/>
        <v>C49SZX20190169MZ</v>
      </c>
      <c r="AV331" s="259" t="str">
        <f t="shared" si="56"/>
        <v>Jan-06</v>
      </c>
    </row>
    <row r="332" spans="1:48" ht="33.75" hidden="1">
      <c r="A332" s="599">
        <v>475</v>
      </c>
      <c r="B332" s="563" t="s">
        <v>280</v>
      </c>
      <c r="C332" s="560" t="s">
        <v>281</v>
      </c>
      <c r="D332" s="600">
        <v>109749</v>
      </c>
      <c r="E332" s="563" t="s">
        <v>802</v>
      </c>
      <c r="F332" s="563" t="s">
        <v>17</v>
      </c>
      <c r="G332" s="563" t="s">
        <v>18</v>
      </c>
      <c r="H332" s="563" t="s">
        <v>19</v>
      </c>
      <c r="I332" s="564" t="s">
        <v>837</v>
      </c>
      <c r="J332" s="564">
        <v>1</v>
      </c>
      <c r="K332" s="563" t="s">
        <v>437</v>
      </c>
      <c r="L332" s="565">
        <v>43836</v>
      </c>
      <c r="M332" s="615" t="s">
        <v>838</v>
      </c>
      <c r="N332" s="563" t="s">
        <v>789</v>
      </c>
      <c r="O332" s="563">
        <v>2019.12</v>
      </c>
      <c r="P332" s="566" t="str">
        <f>VLOOKUP(A332,'[1]Raw data'!$B:$BB,23,FALSE)</f>
        <v>JPY</v>
      </c>
      <c r="Q332" s="563" t="str">
        <f>VLOOKUP(A332,'[1]Raw data'!$B:$Z,2,FALSE)</f>
        <v>C49SZX20190156-2ZX</v>
      </c>
      <c r="R332" s="563" t="str">
        <f>VLOOKUP(A332,'[1]Raw data'!$B:$Z,3,FALSE)</f>
        <v>锘铧</v>
      </c>
      <c r="S332" s="563" t="str">
        <f>VLOOKUP(A332,'[1]Raw data'!$B:$Z,4,FALSE)</f>
        <v>YSM10</v>
      </c>
      <c r="T332" s="563" t="str">
        <f>VLOOKUP(A332,'[1]Raw data'!$B:$Z,8,FALSE)</f>
        <v>R-&gt;L</v>
      </c>
      <c r="U332" s="563" t="str">
        <f>VLOOKUP(A332,'[1]Raw data'!$B:$Z,9,FALSE)</f>
        <v>MVC+ATS15</v>
      </c>
      <c r="V332" s="567" t="str">
        <f t="shared" si="48"/>
        <v>WRONG</v>
      </c>
      <c r="W332" s="563" t="str">
        <f>VLOOKUP(A332,'[1]Raw data'!$B:$AG,32,FALSE)</f>
        <v>DAP GZ</v>
      </c>
      <c r="X332" s="563">
        <f>VLOOKUP(A332,'[1]Raw data'!$B:$BA,31,FALSE)</f>
        <v>43774</v>
      </c>
      <c r="Y332" s="563" t="str">
        <f>VLOOKUP(A332,'[1]Raw data'!$B:$AS,39,FALSE)</f>
        <v>Yes</v>
      </c>
      <c r="Z332" s="568"/>
      <c r="AA332" s="569"/>
      <c r="AB332" s="570"/>
      <c r="AC332" s="563" t="s">
        <v>678</v>
      </c>
      <c r="AD332" s="564">
        <v>301</v>
      </c>
      <c r="AE332" s="564">
        <v>10</v>
      </c>
      <c r="AF332" s="564"/>
      <c r="AG332" s="564"/>
      <c r="AH332" s="564"/>
      <c r="AI332" s="640"/>
      <c r="AJ332" s="564"/>
      <c r="AK332" s="564"/>
      <c r="AL332" s="564"/>
      <c r="AM332" s="564"/>
      <c r="AN332" s="614"/>
      <c r="AO332" s="824" t="str">
        <f t="shared" si="49"/>
        <v>Yes</v>
      </c>
      <c r="AP332" s="259" t="str">
        <f t="shared" si="50"/>
        <v>FEB 20</v>
      </c>
      <c r="AQ332" s="542" t="str">
        <f t="shared" si="51"/>
        <v>有定金+有預留客戶</v>
      </c>
      <c r="AR332" s="259" t="str">
        <f t="shared" si="52"/>
        <v>Shipped_Stock</v>
      </c>
      <c r="AS332" s="259" t="str">
        <f t="shared" si="53"/>
        <v/>
      </c>
      <c r="AT332" s="259" t="str">
        <f t="shared" si="54"/>
        <v>锘铧</v>
      </c>
      <c r="AU332" s="259" t="str">
        <f t="shared" si="55"/>
        <v>C49SZX20190156-2ZX</v>
      </c>
      <c r="AV332" s="259" t="str">
        <f t="shared" si="56"/>
        <v>Jan-06</v>
      </c>
    </row>
    <row r="333" spans="1:48" ht="22.5" hidden="1">
      <c r="A333" s="599">
        <v>538</v>
      </c>
      <c r="B333" s="560" t="s">
        <v>280</v>
      </c>
      <c r="C333" s="560" t="s">
        <v>281</v>
      </c>
      <c r="D333" s="625">
        <v>109749</v>
      </c>
      <c r="E333" s="562" t="s">
        <v>802</v>
      </c>
      <c r="F333" s="563" t="s">
        <v>17</v>
      </c>
      <c r="G333" s="563" t="s">
        <v>18</v>
      </c>
      <c r="H333" s="563" t="s">
        <v>19</v>
      </c>
      <c r="I333" s="564" t="s">
        <v>839</v>
      </c>
      <c r="J333" s="564">
        <v>1</v>
      </c>
      <c r="K333" s="563" t="s">
        <v>437</v>
      </c>
      <c r="L333" s="565">
        <v>43836</v>
      </c>
      <c r="M333" s="615" t="s">
        <v>830</v>
      </c>
      <c r="N333" s="563" t="s">
        <v>789</v>
      </c>
      <c r="O333" s="563">
        <v>2019.12</v>
      </c>
      <c r="P333" s="566" t="str">
        <f>VLOOKUP(A333,'[1]Raw data'!$B:$BB,23,FALSE)</f>
        <v>JPY</v>
      </c>
      <c r="Q333" s="563" t="str">
        <f>VLOOKUP(A333,'[1]Raw data'!$B:$Z,2,FALSE)</f>
        <v>C49SZX20190141SS</v>
      </c>
      <c r="R333" s="563" t="str">
        <f>VLOOKUP(A333,'[1]Raw data'!$B:$Z,3,FALSE)</f>
        <v>博睿通</v>
      </c>
      <c r="S333" s="563" t="str">
        <f>VLOOKUP(A333,'[1]Raw data'!$B:$Z,4,FALSE)</f>
        <v>YSM10</v>
      </c>
      <c r="T333" s="563" t="str">
        <f>VLOOKUP(A333,'[1]Raw data'!$B:$Z,8,FALSE)</f>
        <v>L-&gt;R</v>
      </c>
      <c r="U333" s="563" t="str">
        <f>VLOOKUP(A333,'[1]Raw data'!$B:$Z,9,FALSE)</f>
        <v>MVC+ATS15</v>
      </c>
      <c r="V333" s="567" t="str">
        <f t="shared" si="48"/>
        <v>WRONG</v>
      </c>
      <c r="W333" s="563" t="str">
        <f>VLOOKUP(A333,'[1]Raw data'!$B:$AG,32,FALSE)</f>
        <v>CIF HK</v>
      </c>
      <c r="X333" s="563">
        <f>VLOOKUP(A333,'[1]Raw data'!$B:$BA,31,FALSE)</f>
        <v>43810</v>
      </c>
      <c r="Y333" s="563" t="str">
        <f>VLOOKUP(A333,'[1]Raw data'!$B:$AS,39,FALSE)</f>
        <v>Yes</v>
      </c>
      <c r="Z333" s="568"/>
      <c r="AA333" s="569"/>
      <c r="AB333" s="570"/>
      <c r="AC333" s="563" t="s">
        <v>831</v>
      </c>
      <c r="AD333" s="564">
        <v>301</v>
      </c>
      <c r="AE333" s="564">
        <v>10</v>
      </c>
      <c r="AF333" s="564"/>
      <c r="AG333" s="564"/>
      <c r="AH333" s="564"/>
      <c r="AI333" s="627"/>
      <c r="AJ333" s="564"/>
      <c r="AK333" s="564"/>
      <c r="AL333" s="564"/>
      <c r="AM333" s="564"/>
      <c r="AN333" s="614"/>
      <c r="AO333" s="824" t="str">
        <f t="shared" si="49"/>
        <v>Yes</v>
      </c>
      <c r="AP333" s="259" t="str">
        <f t="shared" si="50"/>
        <v>FEB 20</v>
      </c>
      <c r="AQ333" s="542" t="str">
        <f t="shared" si="51"/>
        <v>有定金+有預留客戶</v>
      </c>
      <c r="AR333" s="259" t="str">
        <f t="shared" si="52"/>
        <v>Shipped_Stock</v>
      </c>
      <c r="AS333" s="259" t="str">
        <f t="shared" si="53"/>
        <v/>
      </c>
      <c r="AT333" s="259" t="str">
        <f t="shared" si="54"/>
        <v>博睿通</v>
      </c>
      <c r="AU333" s="259" t="str">
        <f t="shared" si="55"/>
        <v>C49SZX20190141SS</v>
      </c>
      <c r="AV333" s="259" t="str">
        <f t="shared" si="56"/>
        <v>Jan-06</v>
      </c>
    </row>
    <row r="334" spans="1:48" ht="23.25" hidden="1" thickBot="1">
      <c r="A334" s="599">
        <v>539</v>
      </c>
      <c r="B334" s="560" t="s">
        <v>280</v>
      </c>
      <c r="C334" s="560" t="s">
        <v>281</v>
      </c>
      <c r="D334" s="624">
        <v>109749</v>
      </c>
      <c r="E334" s="562" t="s">
        <v>802</v>
      </c>
      <c r="F334" s="563" t="s">
        <v>17</v>
      </c>
      <c r="G334" s="563" t="s">
        <v>18</v>
      </c>
      <c r="H334" s="563" t="s">
        <v>19</v>
      </c>
      <c r="I334" s="564" t="s">
        <v>840</v>
      </c>
      <c r="J334" s="564">
        <v>1</v>
      </c>
      <c r="K334" s="563" t="s">
        <v>437</v>
      </c>
      <c r="L334" s="565">
        <v>43836</v>
      </c>
      <c r="M334" s="615" t="s">
        <v>830</v>
      </c>
      <c r="N334" s="563" t="s">
        <v>789</v>
      </c>
      <c r="O334" s="563">
        <v>2019.12</v>
      </c>
      <c r="P334" s="566" t="str">
        <f>VLOOKUP(A334,'[1]Raw data'!$B:$BB,23,FALSE)</f>
        <v>JPY</v>
      </c>
      <c r="Q334" s="563" t="str">
        <f>VLOOKUP(A334,'[1]Raw data'!$B:$Z,2,FALSE)</f>
        <v>C49SZX20190141SS</v>
      </c>
      <c r="R334" s="563" t="str">
        <f>VLOOKUP(A334,'[1]Raw data'!$B:$Z,3,FALSE)</f>
        <v>博睿通</v>
      </c>
      <c r="S334" s="563" t="str">
        <f>VLOOKUP(A334,'[1]Raw data'!$B:$Z,4,FALSE)</f>
        <v>YSM10</v>
      </c>
      <c r="T334" s="563" t="str">
        <f>VLOOKUP(A334,'[1]Raw data'!$B:$Z,8,FALSE)</f>
        <v>L-&gt;R</v>
      </c>
      <c r="U334" s="563" t="str">
        <f>VLOOKUP(A334,'[1]Raw data'!$B:$Z,9,FALSE)</f>
        <v>MVC+ATS15</v>
      </c>
      <c r="V334" s="567" t="str">
        <f t="shared" si="48"/>
        <v>WRONG</v>
      </c>
      <c r="W334" s="563" t="str">
        <f>VLOOKUP(A334,'[1]Raw data'!$B:$AG,32,FALSE)</f>
        <v>CIF HK</v>
      </c>
      <c r="X334" s="563">
        <f>VLOOKUP(A334,'[1]Raw data'!$B:$BA,31,FALSE)</f>
        <v>43810</v>
      </c>
      <c r="Y334" s="563" t="str">
        <f>VLOOKUP(A334,'[1]Raw data'!$B:$AS,39,FALSE)</f>
        <v>Yes</v>
      </c>
      <c r="Z334" s="568"/>
      <c r="AA334" s="569"/>
      <c r="AB334" s="570"/>
      <c r="AC334" s="563" t="s">
        <v>831</v>
      </c>
      <c r="AD334" s="564">
        <v>301</v>
      </c>
      <c r="AE334" s="564">
        <v>10</v>
      </c>
      <c r="AF334" s="564"/>
      <c r="AG334" s="564"/>
      <c r="AH334" s="564"/>
      <c r="AI334" s="627"/>
      <c r="AJ334" s="564"/>
      <c r="AK334" s="564"/>
      <c r="AL334" s="564"/>
      <c r="AM334" s="564"/>
      <c r="AN334" s="542"/>
      <c r="AO334" s="824" t="str">
        <f t="shared" si="49"/>
        <v>Yes</v>
      </c>
      <c r="AP334" s="259" t="str">
        <f t="shared" si="50"/>
        <v>FEB 20</v>
      </c>
      <c r="AQ334" s="542" t="str">
        <f t="shared" si="51"/>
        <v>有定金+有預留客戶</v>
      </c>
      <c r="AR334" s="259" t="str">
        <f t="shared" si="52"/>
        <v>Shipped_Stock</v>
      </c>
      <c r="AS334" s="259" t="str">
        <f t="shared" si="53"/>
        <v/>
      </c>
      <c r="AT334" s="259" t="str">
        <f t="shared" si="54"/>
        <v>博睿通</v>
      </c>
      <c r="AU334" s="259" t="str">
        <f t="shared" si="55"/>
        <v>C49SZX20190141SS</v>
      </c>
      <c r="AV334" s="259" t="str">
        <f t="shared" si="56"/>
        <v>Jan-06</v>
      </c>
    </row>
    <row r="335" spans="1:48" hidden="1">
      <c r="A335" s="559">
        <v>546</v>
      </c>
      <c r="B335" s="560" t="s">
        <v>280</v>
      </c>
      <c r="C335" s="560" t="s">
        <v>281</v>
      </c>
      <c r="D335" s="623">
        <v>109750</v>
      </c>
      <c r="E335" s="562" t="s">
        <v>802</v>
      </c>
      <c r="F335" s="563" t="s">
        <v>256</v>
      </c>
      <c r="G335" s="563" t="s">
        <v>24</v>
      </c>
      <c r="H335" s="563" t="s">
        <v>26</v>
      </c>
      <c r="I335" s="564" t="s">
        <v>841</v>
      </c>
      <c r="J335" s="564">
        <v>1</v>
      </c>
      <c r="K335" s="563" t="s">
        <v>437</v>
      </c>
      <c r="L335" s="565">
        <v>43836</v>
      </c>
      <c r="M335" s="576" t="s">
        <v>817</v>
      </c>
      <c r="N335" s="563" t="s">
        <v>731</v>
      </c>
      <c r="O335" s="564">
        <v>2019.12</v>
      </c>
      <c r="P335" s="566" t="str">
        <f>VLOOKUP(A335,'[1]Raw data'!$B:$BB,23,FALSE)</f>
        <v>JPY</v>
      </c>
      <c r="Q335" s="563" t="str">
        <f>VLOOKUP(A335,'[1]Raw data'!$B:$Z,2,FALSE)</f>
        <v>C49SZX20190182JL</v>
      </c>
      <c r="R335" s="563" t="str">
        <f>VLOOKUP(A335,'[1]Raw data'!$B:$Z,3,FALSE)</f>
        <v>志恒兴盛</v>
      </c>
      <c r="S335" s="563" t="str">
        <f>VLOOKUP(A335,'[1]Raw data'!$B:$Z,4,FALSE)</f>
        <v>YSM20R(SV)-2</v>
      </c>
      <c r="T335" s="563" t="str">
        <f>VLOOKUP(A335,'[1]Raw data'!$B:$Z,8,FALSE)</f>
        <v>L-&gt;R</v>
      </c>
      <c r="U335" s="563" t="str">
        <f>VLOOKUP(A335,'[1]Raw data'!$B:$Z,9,FALSE)</f>
        <v>No</v>
      </c>
      <c r="V335" s="567" t="str">
        <f t="shared" si="48"/>
        <v>OK</v>
      </c>
      <c r="W335" s="563" t="str">
        <f>VLOOKUP(A335,'[1]Raw data'!$B:$AG,32,FALSE)</f>
        <v>CIF HK</v>
      </c>
      <c r="X335" s="563">
        <f>VLOOKUP(A335,'[1]Raw data'!$B:$BA,31,FALSE)</f>
        <v>43836</v>
      </c>
      <c r="Y335" s="563" t="str">
        <f>VLOOKUP(A335,'[1]Raw data'!$B:$AS,39,FALSE)</f>
        <v>Yes</v>
      </c>
      <c r="Z335" s="568"/>
      <c r="AA335" s="569"/>
      <c r="AB335" s="570"/>
      <c r="AC335" s="563" t="s">
        <v>842</v>
      </c>
      <c r="AD335" s="571">
        <v>301</v>
      </c>
      <c r="AE335" s="571">
        <v>10</v>
      </c>
      <c r="AF335" s="571">
        <v>302</v>
      </c>
      <c r="AG335" s="571">
        <v>10</v>
      </c>
      <c r="AN335" s="542"/>
      <c r="AO335" s="824" t="str">
        <f t="shared" si="49"/>
        <v>Yes</v>
      </c>
      <c r="AP335" s="259" t="str">
        <f t="shared" si="50"/>
        <v>JAN 20</v>
      </c>
      <c r="AQ335" s="542" t="str">
        <f t="shared" si="51"/>
        <v>有定金+有預留客戶</v>
      </c>
      <c r="AR335" s="259" t="str">
        <f t="shared" si="52"/>
        <v>Shipped_Stock</v>
      </c>
      <c r="AS335" s="259" t="str">
        <f t="shared" si="53"/>
        <v/>
      </c>
      <c r="AT335" s="259" t="str">
        <f t="shared" si="54"/>
        <v>志恒兴盛</v>
      </c>
      <c r="AU335" s="259" t="str">
        <f t="shared" si="55"/>
        <v>C49SZX20190182JL</v>
      </c>
      <c r="AV335" s="259" t="str">
        <f t="shared" si="56"/>
        <v>Jan-06</v>
      </c>
    </row>
    <row r="336" spans="1:48" ht="38.25" hidden="1" customHeight="1">
      <c r="A336" s="559">
        <v>547</v>
      </c>
      <c r="B336" s="560" t="s">
        <v>280</v>
      </c>
      <c r="C336" s="560" t="s">
        <v>281</v>
      </c>
      <c r="D336" s="625">
        <v>109750</v>
      </c>
      <c r="E336" s="562" t="s">
        <v>802</v>
      </c>
      <c r="F336" s="563" t="s">
        <v>256</v>
      </c>
      <c r="G336" s="563" t="s">
        <v>24</v>
      </c>
      <c r="H336" s="563" t="s">
        <v>26</v>
      </c>
      <c r="I336" s="564" t="s">
        <v>843</v>
      </c>
      <c r="J336" s="564">
        <v>1</v>
      </c>
      <c r="K336" s="563" t="s">
        <v>437</v>
      </c>
      <c r="L336" s="565">
        <v>43836</v>
      </c>
      <c r="M336" s="576" t="s">
        <v>817</v>
      </c>
      <c r="N336" s="563" t="s">
        <v>731</v>
      </c>
      <c r="O336" s="564">
        <v>2019.12</v>
      </c>
      <c r="P336" s="566" t="str">
        <f>VLOOKUP(A336,'[1]Raw data'!$B:$BB,23,FALSE)</f>
        <v>JPY</v>
      </c>
      <c r="Q336" s="563" t="str">
        <f>VLOOKUP(A336,'[1]Raw data'!$B:$Z,2,FALSE)</f>
        <v>C49SZX20190182JL</v>
      </c>
      <c r="R336" s="563" t="str">
        <f>VLOOKUP(A336,'[1]Raw data'!$B:$Z,3,FALSE)</f>
        <v>志恒兴盛</v>
      </c>
      <c r="S336" s="563" t="str">
        <f>VLOOKUP(A336,'[1]Raw data'!$B:$Z,4,FALSE)</f>
        <v>YSM20R(SV)-2</v>
      </c>
      <c r="T336" s="563" t="str">
        <f>VLOOKUP(A336,'[1]Raw data'!$B:$Z,8,FALSE)</f>
        <v>L-&gt;R</v>
      </c>
      <c r="U336" s="563" t="str">
        <f>VLOOKUP(A336,'[1]Raw data'!$B:$Z,9,FALSE)</f>
        <v>No</v>
      </c>
      <c r="V336" s="567" t="str">
        <f t="shared" si="48"/>
        <v>OK</v>
      </c>
      <c r="W336" s="563" t="str">
        <f>VLOOKUP(A336,'[1]Raw data'!$B:$AG,32,FALSE)</f>
        <v>CIF HK</v>
      </c>
      <c r="X336" s="563">
        <f>VLOOKUP(A336,'[1]Raw data'!$B:$BA,31,FALSE)</f>
        <v>43836</v>
      </c>
      <c r="Y336" s="563" t="str">
        <f>VLOOKUP(A336,'[1]Raw data'!$B:$AS,39,FALSE)</f>
        <v>Yes</v>
      </c>
      <c r="Z336" s="568"/>
      <c r="AA336" s="569"/>
      <c r="AB336" s="570"/>
      <c r="AC336" s="563" t="s">
        <v>842</v>
      </c>
      <c r="AD336" s="571">
        <v>303</v>
      </c>
      <c r="AE336" s="571">
        <v>10</v>
      </c>
      <c r="AF336" s="571">
        <v>302</v>
      </c>
      <c r="AG336" s="571">
        <v>10</v>
      </c>
      <c r="AN336" s="542"/>
      <c r="AO336" s="824" t="str">
        <f t="shared" si="49"/>
        <v>Yes</v>
      </c>
      <c r="AP336" s="259" t="str">
        <f t="shared" si="50"/>
        <v>JAN 20</v>
      </c>
      <c r="AQ336" s="542" t="str">
        <f t="shared" si="51"/>
        <v>有定金+有預留客戶</v>
      </c>
      <c r="AR336" s="259" t="str">
        <f t="shared" si="52"/>
        <v>Shipped_Stock</v>
      </c>
      <c r="AS336" s="259" t="str">
        <f t="shared" si="53"/>
        <v/>
      </c>
      <c r="AT336" s="259" t="str">
        <f t="shared" si="54"/>
        <v>志恒兴盛</v>
      </c>
      <c r="AU336" s="259" t="str">
        <f t="shared" si="55"/>
        <v>C49SZX20190182JL</v>
      </c>
      <c r="AV336" s="259" t="str">
        <f t="shared" si="56"/>
        <v>Jan-06</v>
      </c>
    </row>
    <row r="337" spans="1:48" ht="25.5" hidden="1" customHeight="1">
      <c r="A337" s="559">
        <v>545</v>
      </c>
      <c r="B337" s="560" t="s">
        <v>280</v>
      </c>
      <c r="C337" s="560" t="s">
        <v>281</v>
      </c>
      <c r="D337" s="625">
        <v>109750</v>
      </c>
      <c r="E337" s="562" t="s">
        <v>802</v>
      </c>
      <c r="F337" s="563" t="s">
        <v>256</v>
      </c>
      <c r="G337" s="563" t="s">
        <v>18</v>
      </c>
      <c r="H337" s="563" t="s">
        <v>26</v>
      </c>
      <c r="I337" s="564" t="s">
        <v>844</v>
      </c>
      <c r="J337" s="564">
        <v>1</v>
      </c>
      <c r="K337" s="563" t="s">
        <v>437</v>
      </c>
      <c r="L337" s="565">
        <v>43836</v>
      </c>
      <c r="M337" s="576" t="s">
        <v>817</v>
      </c>
      <c r="N337" s="563" t="s">
        <v>731</v>
      </c>
      <c r="O337" s="564">
        <v>2019.12</v>
      </c>
      <c r="P337" s="566" t="str">
        <f>VLOOKUP(A337,'[1]Raw data'!$B:$BB,23,FALSE)</f>
        <v>JPY</v>
      </c>
      <c r="Q337" s="563" t="str">
        <f>VLOOKUP(A337,'[1]Raw data'!$B:$Z,2,FALSE)</f>
        <v>C49SZX20190182JL</v>
      </c>
      <c r="R337" s="563" t="str">
        <f>VLOOKUP(A337,'[1]Raw data'!$B:$Z,3,FALSE)</f>
        <v>志恒兴盛</v>
      </c>
      <c r="S337" s="563" t="str">
        <f>VLOOKUP(A337,'[1]Raw data'!$B:$Z,4,FALSE)</f>
        <v>YSM20R(SV)-2</v>
      </c>
      <c r="T337" s="563" t="str">
        <f>VLOOKUP(A337,'[1]Raw data'!$B:$Z,8,FALSE)</f>
        <v>R-&gt;L</v>
      </c>
      <c r="U337" s="563" t="str">
        <f>VLOOKUP(A337,'[1]Raw data'!$B:$Z,9,FALSE)</f>
        <v>No</v>
      </c>
      <c r="V337" s="567" t="str">
        <f t="shared" si="48"/>
        <v>OK</v>
      </c>
      <c r="W337" s="563" t="str">
        <f>VLOOKUP(A337,'[1]Raw data'!$B:$AG,32,FALSE)</f>
        <v>CIF HK</v>
      </c>
      <c r="X337" s="563">
        <f>VLOOKUP(A337,'[1]Raw data'!$B:$BA,31,FALSE)</f>
        <v>43836</v>
      </c>
      <c r="Y337" s="563" t="str">
        <f>VLOOKUP(A337,'[1]Raw data'!$B:$AS,39,FALSE)</f>
        <v>Yes</v>
      </c>
      <c r="Z337" s="568"/>
      <c r="AA337" s="569"/>
      <c r="AB337" s="570"/>
      <c r="AC337" s="563" t="s">
        <v>842</v>
      </c>
      <c r="AD337" s="571">
        <v>304</v>
      </c>
      <c r="AE337" s="571">
        <v>10</v>
      </c>
      <c r="AF337" s="571">
        <v>302</v>
      </c>
      <c r="AG337" s="571">
        <v>10</v>
      </c>
      <c r="AN337" s="614"/>
      <c r="AO337" s="824" t="str">
        <f t="shared" si="49"/>
        <v>Yes</v>
      </c>
      <c r="AP337" s="259" t="str">
        <f t="shared" si="50"/>
        <v>JAN 20</v>
      </c>
      <c r="AQ337" s="542" t="str">
        <f t="shared" si="51"/>
        <v>有定金+有預留客戶</v>
      </c>
      <c r="AR337" s="259" t="str">
        <f t="shared" si="52"/>
        <v>Shipped_Stock</v>
      </c>
      <c r="AS337" s="259" t="str">
        <f t="shared" si="53"/>
        <v/>
      </c>
      <c r="AT337" s="259" t="str">
        <f t="shared" si="54"/>
        <v>志恒兴盛</v>
      </c>
      <c r="AU337" s="259" t="str">
        <f t="shared" si="55"/>
        <v>C49SZX20190182JL</v>
      </c>
      <c r="AV337" s="259" t="str">
        <f t="shared" si="56"/>
        <v>Jan-06</v>
      </c>
    </row>
    <row r="338" spans="1:48" ht="26.25" hidden="1" customHeight="1" thickBot="1">
      <c r="A338" s="599">
        <v>478</v>
      </c>
      <c r="B338" s="560" t="s">
        <v>280</v>
      </c>
      <c r="C338" s="560" t="s">
        <v>281</v>
      </c>
      <c r="D338" s="624">
        <v>109750</v>
      </c>
      <c r="E338" s="562" t="s">
        <v>802</v>
      </c>
      <c r="F338" s="563" t="s">
        <v>256</v>
      </c>
      <c r="G338" s="563" t="s">
        <v>18</v>
      </c>
      <c r="H338" s="563" t="s">
        <v>26</v>
      </c>
      <c r="I338" s="564" t="s">
        <v>845</v>
      </c>
      <c r="J338" s="571">
        <v>1</v>
      </c>
      <c r="K338" s="563" t="s">
        <v>437</v>
      </c>
      <c r="L338" s="565">
        <v>43836</v>
      </c>
      <c r="M338" s="576" t="s">
        <v>817</v>
      </c>
      <c r="N338" s="563" t="s">
        <v>789</v>
      </c>
      <c r="O338" s="564">
        <v>2019.12</v>
      </c>
      <c r="P338" s="566" t="str">
        <f>VLOOKUP(A338,'[1]Raw data'!$B:$BB,23,FALSE)</f>
        <v>JPY</v>
      </c>
      <c r="Q338" s="563" t="str">
        <f>VLOOKUP(A338,'[1]Raw data'!$B:$Z,2,FALSE)</f>
        <v>C49SZX20190156-2ZX</v>
      </c>
      <c r="R338" s="563" t="str">
        <f>VLOOKUP(A338,'[1]Raw data'!$B:$Z,3,FALSE)</f>
        <v>锘铧</v>
      </c>
      <c r="S338" s="563" t="str">
        <f>VLOOKUP(A338,'[1]Raw data'!$B:$Z,4,FALSE)</f>
        <v>YSM20R(SV)-2</v>
      </c>
      <c r="T338" s="563" t="str">
        <f>VLOOKUP(A338,'[1]Raw data'!$B:$Z,8,FALSE)</f>
        <v>R-&gt;L</v>
      </c>
      <c r="U338" s="563" t="str">
        <f>VLOOKUP(A338,'[1]Raw data'!$B:$Z,9,FALSE)</f>
        <v>No</v>
      </c>
      <c r="V338" s="567" t="str">
        <f t="shared" si="48"/>
        <v>OK</v>
      </c>
      <c r="W338" s="563" t="str">
        <f>VLOOKUP(A338,'[1]Raw data'!$B:$AG,32,FALSE)</f>
        <v>DAP GZ</v>
      </c>
      <c r="X338" s="563">
        <f>VLOOKUP(A338,'[1]Raw data'!$B:$BA,31,FALSE)</f>
        <v>43774</v>
      </c>
      <c r="Y338" s="563" t="str">
        <f>VLOOKUP(A338,'[1]Raw data'!$B:$AS,39,FALSE)</f>
        <v>Yes</v>
      </c>
      <c r="Z338" s="568"/>
      <c r="AA338" s="569"/>
      <c r="AB338" s="570"/>
      <c r="AC338" s="563" t="s">
        <v>678</v>
      </c>
      <c r="AD338" s="564">
        <v>304</v>
      </c>
      <c r="AE338" s="564">
        <v>10</v>
      </c>
      <c r="AF338" s="564">
        <v>302</v>
      </c>
      <c r="AG338" s="564">
        <v>10</v>
      </c>
      <c r="AH338" s="564"/>
      <c r="AI338" s="627"/>
      <c r="AJ338" s="564"/>
      <c r="AK338" s="564"/>
      <c r="AL338" s="564"/>
      <c r="AM338" s="564"/>
      <c r="AN338" s="614"/>
      <c r="AO338" s="824" t="str">
        <f t="shared" si="49"/>
        <v>Yes</v>
      </c>
      <c r="AP338" s="259" t="str">
        <f t="shared" si="50"/>
        <v>FEB 20</v>
      </c>
      <c r="AQ338" s="542" t="str">
        <f t="shared" si="51"/>
        <v>有定金+有預留客戶</v>
      </c>
      <c r="AR338" s="259" t="str">
        <f t="shared" si="52"/>
        <v>Shipped_Stock</v>
      </c>
      <c r="AS338" s="259" t="str">
        <f t="shared" si="53"/>
        <v/>
      </c>
      <c r="AT338" s="259" t="str">
        <f t="shared" si="54"/>
        <v>锘铧</v>
      </c>
      <c r="AU338" s="259" t="str">
        <f t="shared" si="55"/>
        <v>C49SZX20190156-2ZX</v>
      </c>
      <c r="AV338" s="259" t="str">
        <f t="shared" si="56"/>
        <v>Jan-06</v>
      </c>
    </row>
    <row r="339" spans="1:48" ht="15" hidden="1" customHeight="1">
      <c r="A339" s="599">
        <v>479</v>
      </c>
      <c r="B339" s="560" t="s">
        <v>280</v>
      </c>
      <c r="C339" s="560" t="s">
        <v>281</v>
      </c>
      <c r="D339" s="623">
        <v>109750</v>
      </c>
      <c r="E339" s="562" t="s">
        <v>802</v>
      </c>
      <c r="F339" s="563" t="s">
        <v>256</v>
      </c>
      <c r="G339" s="563" t="s">
        <v>18</v>
      </c>
      <c r="H339" s="563" t="s">
        <v>26</v>
      </c>
      <c r="I339" s="564" t="s">
        <v>846</v>
      </c>
      <c r="J339" s="571">
        <v>1</v>
      </c>
      <c r="K339" s="563" t="s">
        <v>437</v>
      </c>
      <c r="L339" s="565">
        <v>43836</v>
      </c>
      <c r="M339" s="576" t="s">
        <v>817</v>
      </c>
      <c r="N339" s="563" t="s">
        <v>789</v>
      </c>
      <c r="O339" s="564">
        <v>2019.12</v>
      </c>
      <c r="P339" s="566" t="str">
        <f>VLOOKUP(A339,'[1]Raw data'!$B:$BB,23,FALSE)</f>
        <v>JPY</v>
      </c>
      <c r="Q339" s="563" t="str">
        <f>VLOOKUP(A339,'[1]Raw data'!$B:$Z,2,FALSE)</f>
        <v>C49SZX20190156-2ZX</v>
      </c>
      <c r="R339" s="563" t="str">
        <f>VLOOKUP(A339,'[1]Raw data'!$B:$Z,3,FALSE)</f>
        <v>锘铧</v>
      </c>
      <c r="S339" s="563" t="str">
        <f>VLOOKUP(A339,'[1]Raw data'!$B:$Z,4,FALSE)</f>
        <v>YSM20R(SV)-2</v>
      </c>
      <c r="T339" s="563" t="str">
        <f>VLOOKUP(A339,'[1]Raw data'!$B:$Z,8,FALSE)</f>
        <v>R-&gt;L</v>
      </c>
      <c r="U339" s="563" t="str">
        <f>VLOOKUP(A339,'[1]Raw data'!$B:$Z,9,FALSE)</f>
        <v>No</v>
      </c>
      <c r="V339" s="567" t="str">
        <f t="shared" si="48"/>
        <v>OK</v>
      </c>
      <c r="W339" s="563" t="str">
        <f>VLOOKUP(A339,'[1]Raw data'!$B:$AG,32,FALSE)</f>
        <v>DAP GZ</v>
      </c>
      <c r="X339" s="563">
        <f>VLOOKUP(A339,'[1]Raw data'!$B:$BA,31,FALSE)</f>
        <v>43774</v>
      </c>
      <c r="Y339" s="563" t="str">
        <f>VLOOKUP(A339,'[1]Raw data'!$B:$AS,39,FALSE)</f>
        <v>Yes</v>
      </c>
      <c r="Z339" s="568"/>
      <c r="AA339" s="569"/>
      <c r="AB339" s="570"/>
      <c r="AC339" s="563" t="s">
        <v>678</v>
      </c>
      <c r="AD339" s="564">
        <v>302</v>
      </c>
      <c r="AE339" s="564">
        <v>20</v>
      </c>
      <c r="AF339" s="564"/>
      <c r="AG339" s="564"/>
      <c r="AH339" s="564"/>
      <c r="AI339" s="627"/>
      <c r="AJ339" s="564"/>
      <c r="AK339" s="564"/>
      <c r="AL339" s="564"/>
      <c r="AM339" s="564"/>
      <c r="AN339" s="614"/>
      <c r="AO339" s="824" t="str">
        <f t="shared" si="49"/>
        <v>Yes</v>
      </c>
      <c r="AP339" s="259" t="str">
        <f t="shared" si="50"/>
        <v>FEB 20</v>
      </c>
      <c r="AQ339" s="542" t="str">
        <f t="shared" si="51"/>
        <v>有定金+有預留客戶</v>
      </c>
      <c r="AR339" s="259" t="str">
        <f t="shared" si="52"/>
        <v>Shipped_Stock</v>
      </c>
      <c r="AS339" s="259" t="str">
        <f t="shared" si="53"/>
        <v/>
      </c>
      <c r="AT339" s="259" t="str">
        <f t="shared" si="54"/>
        <v>锘铧</v>
      </c>
      <c r="AU339" s="259" t="str">
        <f t="shared" si="55"/>
        <v>C49SZX20190156-2ZX</v>
      </c>
      <c r="AV339" s="259" t="str">
        <f t="shared" si="56"/>
        <v>Jan-06</v>
      </c>
    </row>
    <row r="340" spans="1:48" ht="15" hidden="1" customHeight="1">
      <c r="A340" s="599">
        <v>548</v>
      </c>
      <c r="B340" s="560" t="s">
        <v>280</v>
      </c>
      <c r="C340" s="560" t="s">
        <v>281</v>
      </c>
      <c r="D340" s="625">
        <v>109759</v>
      </c>
      <c r="E340" s="562" t="s">
        <v>808</v>
      </c>
      <c r="F340" s="563" t="s">
        <v>17</v>
      </c>
      <c r="G340" s="563" t="s">
        <v>18</v>
      </c>
      <c r="H340" s="563" t="s">
        <v>26</v>
      </c>
      <c r="I340" s="564" t="s">
        <v>847</v>
      </c>
      <c r="J340" s="564">
        <v>1</v>
      </c>
      <c r="K340" s="563" t="s">
        <v>437</v>
      </c>
      <c r="L340" s="565">
        <v>43836</v>
      </c>
      <c r="M340" s="576">
        <v>6.54E-2</v>
      </c>
      <c r="N340" s="563" t="s">
        <v>731</v>
      </c>
      <c r="O340" s="563">
        <v>2019.12</v>
      </c>
      <c r="P340" s="566" t="str">
        <f>VLOOKUP(A340,'[1]Raw data'!$B:$BB,23,FALSE)</f>
        <v>JPY</v>
      </c>
      <c r="Q340" s="563" t="str">
        <f>VLOOKUP(A340,'[1]Raw data'!$B:$Z,2,FALSE)</f>
        <v>C49SZX20190182JL</v>
      </c>
      <c r="R340" s="563" t="str">
        <f>VLOOKUP(A340,'[1]Raw data'!$B:$Z,3,FALSE)</f>
        <v>志恒兴盛</v>
      </c>
      <c r="S340" s="563" t="str">
        <f>VLOOKUP(A340,'[1]Raw data'!$B:$Z,4,FALSE)</f>
        <v>YSM10</v>
      </c>
      <c r="T340" s="563" t="str">
        <f>VLOOKUP(A340,'[1]Raw data'!$B:$Z,8,FALSE)</f>
        <v>L-&gt;R</v>
      </c>
      <c r="U340" s="563" t="str">
        <f>VLOOKUP(A340,'[1]Raw data'!$B:$Z,9,FALSE)</f>
        <v>MVC</v>
      </c>
      <c r="V340" s="567" t="str">
        <f t="shared" si="48"/>
        <v>WRONG</v>
      </c>
      <c r="W340" s="563" t="str">
        <f>VLOOKUP(A340,'[1]Raw data'!$B:$AG,32,FALSE)</f>
        <v>CIF HK</v>
      </c>
      <c r="X340" s="563">
        <f>VLOOKUP(A340,'[1]Raw data'!$B:$BA,31,FALSE)</f>
        <v>43836</v>
      </c>
      <c r="Y340" s="563" t="str">
        <f>VLOOKUP(A340,'[1]Raw data'!$B:$AS,39,FALSE)</f>
        <v>Yes</v>
      </c>
      <c r="Z340" s="568"/>
      <c r="AA340" s="569"/>
      <c r="AB340" s="570"/>
      <c r="AC340" s="563" t="s">
        <v>842</v>
      </c>
      <c r="AD340" s="571">
        <v>301</v>
      </c>
      <c r="AE340" s="571">
        <v>10</v>
      </c>
      <c r="AN340" s="614"/>
      <c r="AO340" s="824" t="str">
        <f t="shared" si="49"/>
        <v>Yes</v>
      </c>
      <c r="AP340" s="259" t="str">
        <f t="shared" si="50"/>
        <v>JAN 20</v>
      </c>
      <c r="AQ340" s="542" t="str">
        <f t="shared" si="51"/>
        <v>有定金+有預留客戶</v>
      </c>
      <c r="AR340" s="259" t="str">
        <f t="shared" si="52"/>
        <v>Shipped_Stock</v>
      </c>
      <c r="AS340" s="259" t="str">
        <f t="shared" si="53"/>
        <v/>
      </c>
      <c r="AT340" s="259" t="str">
        <f t="shared" si="54"/>
        <v>志恒兴盛</v>
      </c>
      <c r="AU340" s="259" t="str">
        <f t="shared" si="55"/>
        <v>C49SZX20190182JL</v>
      </c>
      <c r="AV340" s="259" t="str">
        <f t="shared" si="56"/>
        <v>Jan-06</v>
      </c>
    </row>
    <row r="341" spans="1:48" ht="15" hidden="1" customHeight="1">
      <c r="A341" s="599">
        <v>560</v>
      </c>
      <c r="B341" s="560" t="s">
        <v>280</v>
      </c>
      <c r="C341" s="560" t="s">
        <v>281</v>
      </c>
      <c r="D341" s="625">
        <v>109759</v>
      </c>
      <c r="E341" s="562" t="s">
        <v>808</v>
      </c>
      <c r="F341" s="563" t="s">
        <v>17</v>
      </c>
      <c r="G341" s="563" t="s">
        <v>18</v>
      </c>
      <c r="H341" s="563" t="s">
        <v>26</v>
      </c>
      <c r="I341" s="564" t="s">
        <v>848</v>
      </c>
      <c r="J341" s="564">
        <v>1</v>
      </c>
      <c r="K341" s="563" t="s">
        <v>437</v>
      </c>
      <c r="L341" s="565">
        <v>43836</v>
      </c>
      <c r="M341" s="576">
        <v>6.54E-2</v>
      </c>
      <c r="N341" s="563" t="s">
        <v>731</v>
      </c>
      <c r="O341" s="563">
        <v>2019.12</v>
      </c>
      <c r="P341" s="566" t="str">
        <f>VLOOKUP(A341,'[1]Raw data'!$B:$BB,23,FALSE)</f>
        <v>RMB</v>
      </c>
      <c r="Q341" s="563" t="str">
        <f>VLOOKUP(A341,'[1]Raw data'!$B:$Z,2,FALSE)</f>
        <v>C49SZX20190033SX</v>
      </c>
      <c r="R341" s="563" t="str">
        <f>VLOOKUP(A341,'[1]Raw data'!$B:$Z,3,FALSE)</f>
        <v>裕达盛</v>
      </c>
      <c r="S341" s="563" t="str">
        <f>VLOOKUP(A341,'[1]Raw data'!$B:$Z,4,FALSE)</f>
        <v>YSM10</v>
      </c>
      <c r="T341" s="563" t="str">
        <f>VLOOKUP(A341,'[1]Raw data'!$B:$Z,8,FALSE)</f>
        <v>R-&gt;L</v>
      </c>
      <c r="U341" s="563" t="str">
        <f>VLOOKUP(A341,'[1]Raw data'!$B:$Z,9,FALSE)</f>
        <v>No</v>
      </c>
      <c r="V341" s="567" t="str">
        <f t="shared" si="48"/>
        <v>OK</v>
      </c>
      <c r="W341" s="563" t="str">
        <f>VLOOKUP(A341,'[1]Raw data'!$B:$AG,32,FALSE)</f>
        <v>含税到厂</v>
      </c>
      <c r="X341" s="563">
        <f>VLOOKUP(A341,'[1]Raw data'!$B:$BA,31,FALSE)</f>
        <v>43822</v>
      </c>
      <c r="Y341" s="563" t="str">
        <f>VLOOKUP(A341,'[1]Raw data'!$B:$AS,39,FALSE)</f>
        <v>Yes</v>
      </c>
      <c r="Z341" s="568"/>
      <c r="AA341" s="569"/>
      <c r="AB341" s="570"/>
      <c r="AC341" s="563" t="s">
        <v>849</v>
      </c>
      <c r="AD341" s="571">
        <v>301</v>
      </c>
      <c r="AE341" s="571">
        <v>10</v>
      </c>
      <c r="AN341" s="542"/>
      <c r="AO341" s="824" t="str">
        <f t="shared" si="49"/>
        <v>Yes</v>
      </c>
      <c r="AP341" s="259" t="str">
        <f t="shared" si="50"/>
        <v>JAN 20</v>
      </c>
      <c r="AQ341" s="542" t="str">
        <f t="shared" si="51"/>
        <v>有定金+有預留客戶</v>
      </c>
      <c r="AR341" s="259" t="str">
        <f t="shared" si="52"/>
        <v>Shipped_Stock</v>
      </c>
      <c r="AS341" s="259" t="str">
        <f t="shared" si="53"/>
        <v/>
      </c>
      <c r="AT341" s="259" t="str">
        <f t="shared" si="54"/>
        <v>裕达盛</v>
      </c>
      <c r="AU341" s="259" t="str">
        <f t="shared" si="55"/>
        <v>C49SZX20190033SX</v>
      </c>
      <c r="AV341" s="259" t="str">
        <f t="shared" si="56"/>
        <v>Jan-06</v>
      </c>
    </row>
    <row r="342" spans="1:48" ht="15" hidden="1" customHeight="1">
      <c r="A342" s="599">
        <v>562</v>
      </c>
      <c r="B342" s="560" t="s">
        <v>280</v>
      </c>
      <c r="C342" s="560" t="s">
        <v>281</v>
      </c>
      <c r="D342" s="625">
        <v>109759</v>
      </c>
      <c r="E342" s="562" t="s">
        <v>808</v>
      </c>
      <c r="F342" s="563" t="s">
        <v>17</v>
      </c>
      <c r="G342" s="563" t="s">
        <v>18</v>
      </c>
      <c r="H342" s="563" t="s">
        <v>26</v>
      </c>
      <c r="I342" s="564" t="s">
        <v>850</v>
      </c>
      <c r="J342" s="564">
        <v>1</v>
      </c>
      <c r="K342" s="563" t="s">
        <v>437</v>
      </c>
      <c r="L342" s="565">
        <v>43836</v>
      </c>
      <c r="M342" s="576">
        <v>6.54E-2</v>
      </c>
      <c r="N342" s="563" t="s">
        <v>731</v>
      </c>
      <c r="O342" s="563">
        <v>2019.12</v>
      </c>
      <c r="P342" s="566" t="str">
        <f>VLOOKUP(A342,'[1]Raw data'!$B:$BB,23,FALSE)</f>
        <v>JPY</v>
      </c>
      <c r="Q342" s="563" t="str">
        <f>VLOOKUP(A342,'[1]Raw data'!$B:$Z,2,FALSE)</f>
        <v>C49SZX20190192MZ</v>
      </c>
      <c r="R342" s="563" t="str">
        <f>VLOOKUP(A342,'[1]Raw data'!$B:$Z,3,FALSE)</f>
        <v>鸿南电子</v>
      </c>
      <c r="S342" s="563" t="str">
        <f>VLOOKUP(A342,'[1]Raw data'!$B:$Z,4,FALSE)</f>
        <v>YSM10</v>
      </c>
      <c r="T342" s="563" t="str">
        <f>VLOOKUP(A342,'[1]Raw data'!$B:$Z,8,FALSE)</f>
        <v>R-&gt;L</v>
      </c>
      <c r="U342" s="563" t="str">
        <f>VLOOKUP(A342,'[1]Raw data'!$B:$Z,9,FALSE)</f>
        <v>MVC</v>
      </c>
      <c r="V342" s="567" t="str">
        <f t="shared" ref="V342:V405" si="57">IF(G342&amp;H342=T342&amp;U342,"OK","WRONG")</f>
        <v>WRONG</v>
      </c>
      <c r="W342" s="563" t="str">
        <f>VLOOKUP(A342,'[1]Raw data'!$B:$AG,32,FALSE)</f>
        <v>CIF HK</v>
      </c>
      <c r="X342" s="563">
        <f>VLOOKUP(A342,'[1]Raw data'!$B:$BA,31,FALSE)</f>
        <v>43823</v>
      </c>
      <c r="Y342" s="563" t="str">
        <f>VLOOKUP(A342,'[1]Raw data'!$B:$AS,39,FALSE)</f>
        <v>Yes</v>
      </c>
      <c r="Z342" s="568"/>
      <c r="AA342" s="569"/>
      <c r="AB342" s="570"/>
      <c r="AC342" s="563" t="s">
        <v>400</v>
      </c>
      <c r="AD342" s="571">
        <v>301</v>
      </c>
      <c r="AE342" s="571">
        <v>10</v>
      </c>
      <c r="AN342" s="542"/>
      <c r="AO342" s="824" t="str">
        <f t="shared" si="49"/>
        <v>Yes</v>
      </c>
      <c r="AP342" s="259" t="str">
        <f t="shared" si="50"/>
        <v>JAN 20</v>
      </c>
      <c r="AQ342" s="542" t="str">
        <f t="shared" si="51"/>
        <v>有定金+有預留客戶</v>
      </c>
      <c r="AR342" s="259" t="str">
        <f t="shared" si="52"/>
        <v>Shipped_Stock</v>
      </c>
      <c r="AS342" s="259" t="str">
        <f t="shared" si="53"/>
        <v/>
      </c>
      <c r="AT342" s="259" t="str">
        <f t="shared" si="54"/>
        <v>鸿南电子</v>
      </c>
      <c r="AU342" s="259" t="str">
        <f t="shared" si="55"/>
        <v>C49SZX20190192MZ</v>
      </c>
      <c r="AV342" s="259" t="str">
        <f t="shared" si="56"/>
        <v>Jan-06</v>
      </c>
    </row>
    <row r="343" spans="1:48" ht="15.75" hidden="1" customHeight="1" thickBot="1">
      <c r="A343" s="599">
        <v>541</v>
      </c>
      <c r="B343" s="560" t="s">
        <v>280</v>
      </c>
      <c r="C343" s="560" t="s">
        <v>281</v>
      </c>
      <c r="D343" s="624">
        <v>109759</v>
      </c>
      <c r="E343" s="562" t="s">
        <v>808</v>
      </c>
      <c r="F343" s="634" t="s">
        <v>17</v>
      </c>
      <c r="G343" s="634" t="s">
        <v>18</v>
      </c>
      <c r="H343" s="634" t="s">
        <v>26</v>
      </c>
      <c r="I343" s="635" t="s">
        <v>851</v>
      </c>
      <c r="J343" s="635">
        <v>1</v>
      </c>
      <c r="K343" s="634" t="s">
        <v>437</v>
      </c>
      <c r="L343" s="636">
        <v>43836</v>
      </c>
      <c r="M343" s="641" t="s">
        <v>830</v>
      </c>
      <c r="N343" s="563" t="s">
        <v>789</v>
      </c>
      <c r="O343" s="563">
        <v>2019.12</v>
      </c>
      <c r="P343" s="566" t="str">
        <f>VLOOKUP(A343,'[1]Raw data'!$B:$BB,23,FALSE)</f>
        <v>JPY</v>
      </c>
      <c r="Q343" s="563" t="str">
        <f>VLOOKUP(A343,'[1]Raw data'!$B:$Z,2,FALSE)</f>
        <v>C49SZX20190141SS</v>
      </c>
      <c r="R343" s="563" t="str">
        <f>VLOOKUP(A343,'[1]Raw data'!$B:$Z,3,FALSE)</f>
        <v>博睿通</v>
      </c>
      <c r="S343" s="563" t="str">
        <f>VLOOKUP(A343,'[1]Raw data'!$B:$Z,4,FALSE)</f>
        <v>YSM10</v>
      </c>
      <c r="T343" s="563" t="str">
        <f>VLOOKUP(A343,'[1]Raw data'!$B:$Z,8,FALSE)</f>
        <v>L-&gt;R</v>
      </c>
      <c r="U343" s="563" t="str">
        <f>VLOOKUP(A343,'[1]Raw data'!$B:$Z,9,FALSE)</f>
        <v>MVC</v>
      </c>
      <c r="V343" s="567" t="str">
        <f t="shared" si="57"/>
        <v>WRONG</v>
      </c>
      <c r="W343" s="563" t="str">
        <f>VLOOKUP(A343,'[1]Raw data'!$B:$AG,32,FALSE)</f>
        <v>CIF HK</v>
      </c>
      <c r="X343" s="563">
        <f>VLOOKUP(A343,'[1]Raw data'!$B:$BA,31,FALSE)</f>
        <v>43810</v>
      </c>
      <c r="Y343" s="563" t="str">
        <f>VLOOKUP(A343,'[1]Raw data'!$B:$AS,39,FALSE)</f>
        <v>Yes</v>
      </c>
      <c r="Z343" s="568"/>
      <c r="AA343" s="569"/>
      <c r="AB343" s="570"/>
      <c r="AC343" s="563" t="s">
        <v>831</v>
      </c>
      <c r="AD343" s="564">
        <v>301</v>
      </c>
      <c r="AE343" s="564">
        <v>10</v>
      </c>
      <c r="AF343" s="564"/>
      <c r="AG343" s="564"/>
      <c r="AH343" s="564"/>
      <c r="AI343" s="627"/>
      <c r="AJ343" s="564"/>
      <c r="AK343" s="564"/>
      <c r="AL343" s="564"/>
      <c r="AM343" s="564"/>
      <c r="AN343" s="614"/>
      <c r="AO343" s="824" t="str">
        <f t="shared" si="49"/>
        <v>Yes</v>
      </c>
      <c r="AP343" s="259" t="str">
        <f t="shared" si="50"/>
        <v>FEB 20</v>
      </c>
      <c r="AQ343" s="542" t="str">
        <f t="shared" si="51"/>
        <v>有定金+有預留客戶</v>
      </c>
      <c r="AR343" s="259" t="str">
        <f t="shared" si="52"/>
        <v>Shipped_Stock</v>
      </c>
      <c r="AS343" s="259" t="str">
        <f t="shared" si="53"/>
        <v/>
      </c>
      <c r="AT343" s="259" t="str">
        <f t="shared" si="54"/>
        <v>博睿通</v>
      </c>
      <c r="AU343" s="259" t="str">
        <f t="shared" si="55"/>
        <v>C49SZX20190141SS</v>
      </c>
      <c r="AV343" s="259" t="str">
        <f t="shared" si="56"/>
        <v>Jan-06</v>
      </c>
    </row>
    <row r="344" spans="1:48" ht="38.25" hidden="1" customHeight="1">
      <c r="A344" s="559">
        <v>607</v>
      </c>
      <c r="B344" s="560" t="s">
        <v>280</v>
      </c>
      <c r="C344" s="560" t="s">
        <v>281</v>
      </c>
      <c r="D344" s="623">
        <v>109749</v>
      </c>
      <c r="E344" s="562" t="s">
        <v>802</v>
      </c>
      <c r="F344" s="563" t="s">
        <v>256</v>
      </c>
      <c r="G344" s="563" t="s">
        <v>18</v>
      </c>
      <c r="H344" s="563" t="s">
        <v>26</v>
      </c>
      <c r="I344" s="564" t="s">
        <v>852</v>
      </c>
      <c r="J344" s="564">
        <v>1</v>
      </c>
      <c r="K344" s="563" t="s">
        <v>437</v>
      </c>
      <c r="L344" s="565">
        <v>43836</v>
      </c>
      <c r="M344" s="576">
        <v>6.54E-2</v>
      </c>
      <c r="N344" s="563" t="s">
        <v>554</v>
      </c>
      <c r="O344" s="564">
        <v>2019.12</v>
      </c>
      <c r="P344" s="566" t="str">
        <f>VLOOKUP(A344,'[1]Raw data'!$B:$BB,23,FALSE)</f>
        <v>JPY</v>
      </c>
      <c r="Q344" s="563" t="str">
        <f>VLOOKUP(A344,'[1]Raw data'!$B:$Z,2,FALSE)</f>
        <v>C49SZX20200040MZ</v>
      </c>
      <c r="R344" s="563" t="str">
        <f>VLOOKUP(A344,'[1]Raw data'!$B:$Z,3,FALSE)</f>
        <v>崧盛</v>
      </c>
      <c r="S344" s="563" t="str">
        <f>VLOOKUP(A344,'[1]Raw data'!$B:$Z,4,FALSE)</f>
        <v>YSM20R(SV)-2</v>
      </c>
      <c r="T344" s="563" t="str">
        <f>VLOOKUP(A344,'[1]Raw data'!$B:$Z,8,FALSE)</f>
        <v>R-&gt;L</v>
      </c>
      <c r="U344" s="563" t="str">
        <f>VLOOKUP(A344,'[1]Raw data'!$B:$Z,9,FALSE)</f>
        <v>No</v>
      </c>
      <c r="V344" s="567" t="str">
        <f t="shared" si="57"/>
        <v>OK</v>
      </c>
      <c r="W344" s="563" t="str">
        <f>VLOOKUP(A344,'[1]Raw data'!$B:$AG,32,FALSE)</f>
        <v>CIF HK</v>
      </c>
      <c r="X344" s="563">
        <f>VLOOKUP(A344,'[1]Raw data'!$B:$BA,31,FALSE)</f>
        <v>43918</v>
      </c>
      <c r="Y344" s="563" t="str">
        <f>VLOOKUP(A344,'[1]Raw data'!$B:$AS,39,FALSE)</f>
        <v>Yes</v>
      </c>
      <c r="AC344" s="563" t="s">
        <v>637</v>
      </c>
      <c r="AD344" s="571">
        <v>301</v>
      </c>
      <c r="AE344" s="571">
        <v>20</v>
      </c>
      <c r="AN344" s="542"/>
      <c r="AO344" s="824" t="str">
        <f t="shared" si="49"/>
        <v>Yes</v>
      </c>
      <c r="AP344" s="259" t="str">
        <f t="shared" si="50"/>
        <v>APR 20</v>
      </c>
      <c r="AQ344" s="542" t="str">
        <f t="shared" si="51"/>
        <v>有定金+有預留客戶</v>
      </c>
      <c r="AR344" s="259" t="str">
        <f t="shared" si="52"/>
        <v>Shipped_Stock</v>
      </c>
      <c r="AS344" s="259" t="str">
        <f t="shared" si="53"/>
        <v/>
      </c>
      <c r="AT344" s="259" t="str">
        <f t="shared" si="54"/>
        <v>崧盛</v>
      </c>
      <c r="AU344" s="259" t="str">
        <f t="shared" si="55"/>
        <v>C49SZX20200040MZ</v>
      </c>
      <c r="AV344" s="259" t="str">
        <f t="shared" si="56"/>
        <v>Jan-06</v>
      </c>
    </row>
    <row r="345" spans="1:48" hidden="1">
      <c r="A345" s="559">
        <v>613</v>
      </c>
      <c r="B345" s="563" t="s">
        <v>280</v>
      </c>
      <c r="C345" s="560" t="s">
        <v>281</v>
      </c>
      <c r="D345" s="600">
        <v>109749</v>
      </c>
      <c r="E345" s="563" t="s">
        <v>802</v>
      </c>
      <c r="F345" s="563" t="s">
        <v>256</v>
      </c>
      <c r="G345" s="563" t="s">
        <v>18</v>
      </c>
      <c r="H345" s="563" t="s">
        <v>26</v>
      </c>
      <c r="I345" s="564" t="s">
        <v>853</v>
      </c>
      <c r="J345" s="564">
        <v>1</v>
      </c>
      <c r="K345" s="563" t="s">
        <v>437</v>
      </c>
      <c r="L345" s="565">
        <v>43836</v>
      </c>
      <c r="M345" s="576">
        <v>6.54E-2</v>
      </c>
      <c r="N345" s="563" t="s">
        <v>554</v>
      </c>
      <c r="O345" s="564">
        <v>2019.12</v>
      </c>
      <c r="P345" s="566" t="str">
        <f>VLOOKUP(A345,'[1]Raw data'!$B:$BB,23,FALSE)</f>
        <v>RMB</v>
      </c>
      <c r="Q345" s="563" t="str">
        <f>VLOOKUP(A345,'[1]Raw data'!$B:$Z,2,FALSE)</f>
        <v>C49SZX20200041JY</v>
      </c>
      <c r="R345" s="563" t="str">
        <f>VLOOKUP(A345,'[1]Raw data'!$B:$Z,3,FALSE)</f>
        <v>晟锦威</v>
      </c>
      <c r="S345" s="563" t="str">
        <f>VLOOKUP(A345,'[1]Raw data'!$B:$Z,4,FALSE)</f>
        <v>YSM20R(SV)-2</v>
      </c>
      <c r="T345" s="563" t="str">
        <f>VLOOKUP(A345,'[1]Raw data'!$B:$Z,8,FALSE)</f>
        <v>R-&gt;L</v>
      </c>
      <c r="U345" s="563" t="str">
        <f>VLOOKUP(A345,'[1]Raw data'!$B:$Z,9,FALSE)</f>
        <v>No</v>
      </c>
      <c r="V345" s="567" t="str">
        <f t="shared" si="57"/>
        <v>OK</v>
      </c>
      <c r="W345" s="563" t="str">
        <f>VLOOKUP(A345,'[1]Raw data'!$B:$AG,32,FALSE)</f>
        <v>含税到厂</v>
      </c>
      <c r="X345" s="563">
        <f>VLOOKUP(A345,'[1]Raw data'!$B:$BA,31,FALSE)</f>
        <v>43923</v>
      </c>
      <c r="Y345" s="563" t="str">
        <f>VLOOKUP(A345,'[1]Raw data'!$B:$AS,39,FALSE)</f>
        <v>Yes</v>
      </c>
      <c r="AC345" s="563" t="s">
        <v>854</v>
      </c>
      <c r="AD345" s="571">
        <v>301</v>
      </c>
      <c r="AE345" s="571">
        <v>20</v>
      </c>
      <c r="AI345" s="642"/>
      <c r="AN345" s="542"/>
      <c r="AO345" s="824" t="str">
        <f t="shared" si="49"/>
        <v>Yes</v>
      </c>
      <c r="AP345" s="259" t="str">
        <f t="shared" si="50"/>
        <v>APR 20</v>
      </c>
      <c r="AQ345" s="542" t="str">
        <f t="shared" si="51"/>
        <v>有定金+有預留客戶</v>
      </c>
      <c r="AR345" s="259" t="str">
        <f t="shared" si="52"/>
        <v>Shipped_Stock</v>
      </c>
      <c r="AS345" s="259" t="str">
        <f t="shared" si="53"/>
        <v/>
      </c>
      <c r="AT345" s="259" t="str">
        <f t="shared" si="54"/>
        <v>晟锦威</v>
      </c>
      <c r="AU345" s="259" t="str">
        <f t="shared" si="55"/>
        <v>C49SZX20200041JY</v>
      </c>
      <c r="AV345" s="259" t="str">
        <f t="shared" si="56"/>
        <v>Jan-06</v>
      </c>
    </row>
    <row r="346" spans="1:48" ht="15" hidden="1" customHeight="1">
      <c r="A346" s="599">
        <v>542</v>
      </c>
      <c r="B346" s="560" t="s">
        <v>280</v>
      </c>
      <c r="C346" s="560" t="s">
        <v>281</v>
      </c>
      <c r="D346" s="625">
        <v>109762</v>
      </c>
      <c r="E346" s="562" t="s">
        <v>808</v>
      </c>
      <c r="F346" s="563" t="s">
        <v>17</v>
      </c>
      <c r="G346" s="563" t="s">
        <v>18</v>
      </c>
      <c r="H346" s="563" t="s">
        <v>26</v>
      </c>
      <c r="I346" s="564" t="s">
        <v>855</v>
      </c>
      <c r="J346" s="571">
        <v>1</v>
      </c>
      <c r="K346" s="563" t="s">
        <v>437</v>
      </c>
      <c r="L346" s="565">
        <v>43862</v>
      </c>
      <c r="M346" s="615" t="s">
        <v>830</v>
      </c>
      <c r="N346" s="563" t="s">
        <v>789</v>
      </c>
      <c r="O346" s="563">
        <v>2020.01</v>
      </c>
      <c r="P346" s="566" t="str">
        <f>VLOOKUP(A346,'[1]Raw data'!$B:$BB,23,FALSE)</f>
        <v>JPY</v>
      </c>
      <c r="Q346" s="563" t="str">
        <f>VLOOKUP(A346,'[1]Raw data'!$B:$Z,2,FALSE)</f>
        <v>C49SZX20190141SS</v>
      </c>
      <c r="R346" s="563" t="str">
        <f>VLOOKUP(A346,'[1]Raw data'!$B:$Z,3,FALSE)</f>
        <v>博睿通</v>
      </c>
      <c r="S346" s="563" t="str">
        <f>VLOOKUP(A346,'[1]Raw data'!$B:$Z,4,FALSE)</f>
        <v>YSM10</v>
      </c>
      <c r="T346" s="563" t="str">
        <f>VLOOKUP(A346,'[1]Raw data'!$B:$Z,8,FALSE)</f>
        <v>L-&gt;R</v>
      </c>
      <c r="U346" s="563" t="str">
        <f>VLOOKUP(A346,'[1]Raw data'!$B:$Z,9,FALSE)</f>
        <v>MVC</v>
      </c>
      <c r="V346" s="567" t="str">
        <f t="shared" si="57"/>
        <v>WRONG</v>
      </c>
      <c r="W346" s="563" t="str">
        <f>VLOOKUP(A346,'[1]Raw data'!$B:$AG,32,FALSE)</f>
        <v>CIF HK</v>
      </c>
      <c r="X346" s="563">
        <f>VLOOKUP(A346,'[1]Raw data'!$B:$BA,31,FALSE)</f>
        <v>43810</v>
      </c>
      <c r="Y346" s="563" t="str">
        <f>VLOOKUP(A346,'[1]Raw data'!$B:$AS,39,FALSE)</f>
        <v>Yes</v>
      </c>
      <c r="Z346" s="568"/>
      <c r="AA346" s="569"/>
      <c r="AB346" s="570"/>
      <c r="AC346" s="563" t="s">
        <v>831</v>
      </c>
      <c r="AD346" s="564">
        <v>302</v>
      </c>
      <c r="AE346" s="564">
        <v>10</v>
      </c>
      <c r="AF346" s="564"/>
      <c r="AG346" s="564"/>
      <c r="AH346" s="564"/>
      <c r="AI346" s="627"/>
      <c r="AJ346" s="564"/>
      <c r="AK346" s="564"/>
      <c r="AL346" s="564"/>
      <c r="AM346" s="564"/>
      <c r="AN346" s="542"/>
      <c r="AO346" s="824" t="str">
        <f t="shared" si="49"/>
        <v>Yes</v>
      </c>
      <c r="AP346" s="259" t="str">
        <f t="shared" si="50"/>
        <v>FEB 20</v>
      </c>
      <c r="AQ346" s="542" t="str">
        <f t="shared" si="51"/>
        <v>有定金+有預留客戶</v>
      </c>
      <c r="AR346" s="259" t="str">
        <f t="shared" si="52"/>
        <v>Shipped_Stock</v>
      </c>
      <c r="AS346" s="259" t="str">
        <f t="shared" si="53"/>
        <v/>
      </c>
      <c r="AT346" s="259" t="str">
        <f t="shared" si="54"/>
        <v>博睿通</v>
      </c>
      <c r="AU346" s="259" t="str">
        <f t="shared" si="55"/>
        <v>C49SZX20190141SS</v>
      </c>
      <c r="AV346" s="259" t="str">
        <f t="shared" si="56"/>
        <v>Feb-01</v>
      </c>
    </row>
    <row r="347" spans="1:48" ht="15" hidden="1" customHeight="1">
      <c r="A347" s="599">
        <v>587</v>
      </c>
      <c r="B347" s="560" t="s">
        <v>280</v>
      </c>
      <c r="C347" s="560" t="s">
        <v>281</v>
      </c>
      <c r="D347" s="625">
        <v>109762</v>
      </c>
      <c r="E347" s="562" t="s">
        <v>808</v>
      </c>
      <c r="F347" s="563" t="s">
        <v>17</v>
      </c>
      <c r="G347" s="563" t="s">
        <v>18</v>
      </c>
      <c r="H347" s="563" t="s">
        <v>26</v>
      </c>
      <c r="I347" s="564" t="s">
        <v>856</v>
      </c>
      <c r="J347" s="564">
        <v>1</v>
      </c>
      <c r="K347" s="563" t="s">
        <v>437</v>
      </c>
      <c r="L347" s="565">
        <v>43862</v>
      </c>
      <c r="M347" s="576">
        <v>6.54E-2</v>
      </c>
      <c r="N347" s="563" t="s">
        <v>785</v>
      </c>
      <c r="O347" s="563">
        <v>2020.01</v>
      </c>
      <c r="P347" s="566" t="str">
        <f>VLOOKUP(A347,'[1]Raw data'!$B:$BB,23,FALSE)</f>
        <v>JPY</v>
      </c>
      <c r="Q347" s="563" t="str">
        <f>VLOOKUP(A347,'[1]Raw data'!$B:$Z,2,FALSE)</f>
        <v>C49SZX20200020SS</v>
      </c>
      <c r="R347" s="563" t="str">
        <f>VLOOKUP(A347,'[1]Raw data'!$B:$Z,3,FALSE)</f>
        <v>正创</v>
      </c>
      <c r="S347" s="563" t="str">
        <f>VLOOKUP(A347,'[1]Raw data'!$B:$Z,4,FALSE)</f>
        <v>YSM10</v>
      </c>
      <c r="T347" s="563" t="str">
        <f>VLOOKUP(A347,'[1]Raw data'!$B:$Z,8,FALSE)</f>
        <v>L-&gt;R</v>
      </c>
      <c r="U347" s="563" t="str">
        <f>VLOOKUP(A347,'[1]Raw data'!$B:$Z,9,FALSE)</f>
        <v>MVC</v>
      </c>
      <c r="V347" s="567" t="str">
        <f t="shared" si="57"/>
        <v>WRONG</v>
      </c>
      <c r="W347" s="563" t="str">
        <f>VLOOKUP(A347,'[1]Raw data'!$B:$AG,32,FALSE)</f>
        <v>DAP SZ</v>
      </c>
      <c r="X347" s="563">
        <f>VLOOKUP(A347,'[1]Raw data'!$B:$BA,31,FALSE)</f>
        <v>43896</v>
      </c>
      <c r="Y347" s="563" t="str">
        <f>VLOOKUP(A347,'[1]Raw data'!$B:$AS,39,FALSE)</f>
        <v>Yes</v>
      </c>
      <c r="Z347" s="568"/>
      <c r="AA347" s="569"/>
      <c r="AB347" s="570"/>
      <c r="AC347" s="563" t="s">
        <v>734</v>
      </c>
      <c r="AD347" s="564">
        <v>302</v>
      </c>
      <c r="AE347" s="564">
        <v>10</v>
      </c>
      <c r="AF347" s="564"/>
      <c r="AG347" s="564"/>
      <c r="AH347" s="564"/>
      <c r="AI347" s="627"/>
      <c r="AJ347" s="564"/>
      <c r="AK347" s="564"/>
      <c r="AL347" s="564"/>
      <c r="AM347" s="564"/>
      <c r="AN347" s="542"/>
      <c r="AO347" s="824" t="str">
        <f t="shared" si="49"/>
        <v>Yes</v>
      </c>
      <c r="AP347" s="259" t="str">
        <f t="shared" si="50"/>
        <v>MAR 20</v>
      </c>
      <c r="AQ347" s="542" t="str">
        <f t="shared" si="51"/>
        <v>有定金+有預留客戶</v>
      </c>
      <c r="AR347" s="259" t="str">
        <f t="shared" si="52"/>
        <v>Shipped_Stock</v>
      </c>
      <c r="AS347" s="259" t="str">
        <f t="shared" si="53"/>
        <v/>
      </c>
      <c r="AT347" s="259" t="str">
        <f t="shared" si="54"/>
        <v>正创</v>
      </c>
      <c r="AU347" s="259" t="str">
        <f t="shared" si="55"/>
        <v>C49SZX20200020SS</v>
      </c>
      <c r="AV347" s="259" t="str">
        <f t="shared" si="56"/>
        <v>Feb-01</v>
      </c>
    </row>
    <row r="348" spans="1:48" ht="15.75" hidden="1" customHeight="1" thickBot="1">
      <c r="A348" s="599">
        <v>581</v>
      </c>
      <c r="B348" s="560" t="s">
        <v>280</v>
      </c>
      <c r="C348" s="560" t="s">
        <v>281</v>
      </c>
      <c r="D348" s="624">
        <v>109762</v>
      </c>
      <c r="E348" s="562" t="s">
        <v>808</v>
      </c>
      <c r="F348" s="563" t="s">
        <v>17</v>
      </c>
      <c r="G348" s="563" t="s">
        <v>18</v>
      </c>
      <c r="H348" s="563" t="s">
        <v>26</v>
      </c>
      <c r="I348" s="564" t="s">
        <v>857</v>
      </c>
      <c r="J348" s="564">
        <v>1</v>
      </c>
      <c r="K348" s="563" t="s">
        <v>437</v>
      </c>
      <c r="L348" s="565">
        <v>43862</v>
      </c>
      <c r="M348" s="576">
        <v>6.54E-2</v>
      </c>
      <c r="N348" s="563" t="s">
        <v>785</v>
      </c>
      <c r="O348" s="563">
        <v>2020.01</v>
      </c>
      <c r="P348" s="566" t="str">
        <f>VLOOKUP(A348,'[1]Raw data'!$B:$BB,23,FALSE)</f>
        <v>JPY</v>
      </c>
      <c r="Q348" s="563" t="str">
        <f>VLOOKUP(A348,'[1]Raw data'!$B:$Z,2,FALSE)</f>
        <v>C49SZX20200016SX</v>
      </c>
      <c r="R348" s="563" t="str">
        <f>VLOOKUP(A348,'[1]Raw data'!$B:$Z,3,FALSE)</f>
        <v>赛美达</v>
      </c>
      <c r="S348" s="563" t="str">
        <f>VLOOKUP(A348,'[1]Raw data'!$B:$Z,4,FALSE)</f>
        <v>YSM10</v>
      </c>
      <c r="T348" s="563" t="str">
        <f>VLOOKUP(A348,'[1]Raw data'!$B:$Z,8,FALSE)</f>
        <v>L-&gt;R</v>
      </c>
      <c r="U348" s="563" t="str">
        <f>VLOOKUP(A348,'[1]Raw data'!$B:$Z,9,FALSE)</f>
        <v>No</v>
      </c>
      <c r="V348" s="567" t="str">
        <f t="shared" si="57"/>
        <v>WRONG</v>
      </c>
      <c r="W348" s="563" t="str">
        <f>VLOOKUP(A348,'[1]Raw data'!$B:$AG,32,FALSE)</f>
        <v>DAP SZ</v>
      </c>
      <c r="X348" s="563">
        <f>VLOOKUP(A348,'[1]Raw data'!$B:$BA,31,FALSE)</f>
        <v>43845</v>
      </c>
      <c r="Y348" s="563" t="str">
        <f>VLOOKUP(A348,'[1]Raw data'!$B:$AS,39,FALSE)</f>
        <v>Yes</v>
      </c>
      <c r="AC348" s="563" t="s">
        <v>858</v>
      </c>
      <c r="AD348" s="564">
        <v>302</v>
      </c>
      <c r="AE348" s="564">
        <v>10</v>
      </c>
      <c r="AF348" s="564"/>
      <c r="AG348" s="564"/>
      <c r="AH348" s="564"/>
      <c r="AI348" s="627"/>
      <c r="AJ348" s="564"/>
      <c r="AK348" s="564"/>
      <c r="AL348" s="564"/>
      <c r="AM348" s="564"/>
      <c r="AN348" s="542"/>
      <c r="AO348" s="824" t="str">
        <f t="shared" si="49"/>
        <v>Yes</v>
      </c>
      <c r="AP348" s="259" t="str">
        <f t="shared" si="50"/>
        <v>MAR 20</v>
      </c>
      <c r="AQ348" s="542" t="str">
        <f t="shared" si="51"/>
        <v>有定金+有預留客戶</v>
      </c>
      <c r="AR348" s="259" t="str">
        <f t="shared" si="52"/>
        <v>Shipped_Stock</v>
      </c>
      <c r="AS348" s="259" t="str">
        <f t="shared" si="53"/>
        <v/>
      </c>
      <c r="AT348" s="259" t="str">
        <f t="shared" si="54"/>
        <v>赛美达</v>
      </c>
      <c r="AU348" s="259" t="str">
        <f t="shared" si="55"/>
        <v>C49SZX20200016SX</v>
      </c>
      <c r="AV348" s="259" t="str">
        <f t="shared" si="56"/>
        <v>Feb-01</v>
      </c>
    </row>
    <row r="349" spans="1:48" ht="25.5" hidden="1" customHeight="1">
      <c r="A349" s="599">
        <v>573</v>
      </c>
      <c r="B349" s="560" t="s">
        <v>280</v>
      </c>
      <c r="C349" s="560" t="s">
        <v>281</v>
      </c>
      <c r="D349" s="623">
        <v>109762</v>
      </c>
      <c r="E349" s="562" t="s">
        <v>808</v>
      </c>
      <c r="F349" s="563" t="s">
        <v>17</v>
      </c>
      <c r="G349" s="563" t="s">
        <v>18</v>
      </c>
      <c r="H349" s="563" t="s">
        <v>26</v>
      </c>
      <c r="I349" s="564" t="s">
        <v>859</v>
      </c>
      <c r="J349" s="571">
        <v>1</v>
      </c>
      <c r="K349" s="563" t="s">
        <v>437</v>
      </c>
      <c r="L349" s="565">
        <v>43862</v>
      </c>
      <c r="M349" s="576">
        <v>6.54E-2</v>
      </c>
      <c r="N349" s="563" t="s">
        <v>789</v>
      </c>
      <c r="O349" s="563">
        <v>2020.01</v>
      </c>
      <c r="P349" s="566" t="str">
        <f>VLOOKUP(A349,'[1]Raw data'!$B:$BB,23,FALSE)</f>
        <v>JPY</v>
      </c>
      <c r="Q349" s="563" t="str">
        <f>VLOOKUP(A349,'[1]Raw data'!$B:$Z,2,FALSE)</f>
        <v>C49SZX20200008MX</v>
      </c>
      <c r="R349" s="563" t="str">
        <f>VLOOKUP(A349,'[1]Raw data'!$B:$Z,3,FALSE)</f>
        <v>长源兴/end user美联辉</v>
      </c>
      <c r="S349" s="563" t="str">
        <f>VLOOKUP(A349,'[1]Raw data'!$B:$Z,4,FALSE)</f>
        <v>YSM10</v>
      </c>
      <c r="T349" s="563" t="str">
        <f>VLOOKUP(A349,'[1]Raw data'!$B:$Z,8,FALSE)</f>
        <v>R-&gt;L</v>
      </c>
      <c r="U349" s="563" t="str">
        <f>VLOOKUP(A349,'[1]Raw data'!$B:$Z,9,FALSE)</f>
        <v>MVC</v>
      </c>
      <c r="V349" s="567" t="str">
        <f t="shared" si="57"/>
        <v>WRONG</v>
      </c>
      <c r="W349" s="563" t="str">
        <f>VLOOKUP(A349,'[1]Raw data'!$B:$AG,32,FALSE)</f>
        <v>CIF HK</v>
      </c>
      <c r="X349" s="563">
        <f>VLOOKUP(A349,'[1]Raw data'!$B:$BA,31,FALSE)</f>
        <v>43837</v>
      </c>
      <c r="Y349" s="563" t="str">
        <f>VLOOKUP(A349,'[1]Raw data'!$B:$AS,39,FALSE)</f>
        <v>Yes</v>
      </c>
      <c r="Z349" s="568"/>
      <c r="AA349" s="569"/>
      <c r="AB349" s="570"/>
      <c r="AC349" s="563" t="s">
        <v>758</v>
      </c>
      <c r="AD349" s="564">
        <v>302</v>
      </c>
      <c r="AE349" s="564">
        <v>10</v>
      </c>
      <c r="AF349" s="564"/>
      <c r="AG349" s="564"/>
      <c r="AH349" s="564"/>
      <c r="AI349" s="627"/>
      <c r="AJ349" s="564"/>
      <c r="AK349" s="564"/>
      <c r="AL349" s="564"/>
      <c r="AM349" s="564"/>
      <c r="AN349" s="542"/>
      <c r="AO349" s="824" t="str">
        <f t="shared" si="49"/>
        <v>Yes</v>
      </c>
      <c r="AP349" s="259" t="str">
        <f t="shared" si="50"/>
        <v>FEB 20</v>
      </c>
      <c r="AQ349" s="542" t="str">
        <f t="shared" si="51"/>
        <v>有定金+有預留客戶</v>
      </c>
      <c r="AR349" s="259" t="str">
        <f t="shared" si="52"/>
        <v>Shipped_Stock</v>
      </c>
      <c r="AS349" s="259" t="str">
        <f t="shared" si="53"/>
        <v/>
      </c>
      <c r="AT349" s="259" t="str">
        <f t="shared" si="54"/>
        <v>长源兴/end user美联辉</v>
      </c>
      <c r="AU349" s="259" t="str">
        <f t="shared" si="55"/>
        <v>C49SZX20200008MX</v>
      </c>
      <c r="AV349" s="259" t="str">
        <f t="shared" si="56"/>
        <v>Feb-01</v>
      </c>
    </row>
    <row r="350" spans="1:48" ht="22.5" hidden="1">
      <c r="A350" s="559">
        <v>576</v>
      </c>
      <c r="B350" s="560" t="s">
        <v>280</v>
      </c>
      <c r="C350" s="560" t="s">
        <v>281</v>
      </c>
      <c r="D350" s="625">
        <v>109774</v>
      </c>
      <c r="E350" s="562" t="s">
        <v>644</v>
      </c>
      <c r="F350" s="563" t="s">
        <v>256</v>
      </c>
      <c r="G350" s="563" t="s">
        <v>24</v>
      </c>
      <c r="H350" s="563" t="s">
        <v>26</v>
      </c>
      <c r="I350" s="564" t="s">
        <v>860</v>
      </c>
      <c r="J350" s="564">
        <v>1</v>
      </c>
      <c r="K350" s="563" t="s">
        <v>295</v>
      </c>
      <c r="L350" s="565">
        <v>43866</v>
      </c>
      <c r="M350" s="615" t="s">
        <v>861</v>
      </c>
      <c r="N350" s="563" t="s">
        <v>785</v>
      </c>
      <c r="O350" s="564">
        <v>2020.01</v>
      </c>
      <c r="P350" s="566" t="str">
        <f>VLOOKUP(A350,'[1]Raw data'!$B:$BB,23,FALSE)</f>
        <v>RMB</v>
      </c>
      <c r="Q350" s="563" t="str">
        <f>VLOOKUP(A350,'[1]Raw data'!$B:$Z,2,FALSE)</f>
        <v>C49SZX20200010DZ</v>
      </c>
      <c r="R350" s="563" t="str">
        <f>VLOOKUP(A350,'[1]Raw data'!$B:$Z,3,FALSE)</f>
        <v>赛维显示</v>
      </c>
      <c r="S350" s="563" t="str">
        <f>VLOOKUP(A350,'[1]Raw data'!$B:$Z,4,FALSE)</f>
        <v>YSM20R(SV)-2</v>
      </c>
      <c r="T350" s="563" t="str">
        <f>VLOOKUP(A350,'[1]Raw data'!$B:$Z,8,FALSE)</f>
        <v>L-&gt;R</v>
      </c>
      <c r="U350" s="563" t="str">
        <f>VLOOKUP(A350,'[1]Raw data'!$B:$Z,9,FALSE)</f>
        <v>No</v>
      </c>
      <c r="V350" s="567" t="str">
        <f t="shared" si="57"/>
        <v>OK</v>
      </c>
      <c r="W350" s="563" t="str">
        <f>VLOOKUP(A350,'[1]Raw data'!$B:$AG,32,FALSE)</f>
        <v>含税到厂</v>
      </c>
      <c r="X350" s="563">
        <f>VLOOKUP(A350,'[1]Raw data'!$B:$BA,31,FALSE)</f>
        <v>43839</v>
      </c>
      <c r="Y350" s="563" t="str">
        <f>VLOOKUP(A350,'[1]Raw data'!$B:$AS,39,FALSE)</f>
        <v>Yes</v>
      </c>
      <c r="AC350" s="563" t="s">
        <v>862</v>
      </c>
      <c r="AD350" s="571">
        <v>311</v>
      </c>
      <c r="AE350" s="571">
        <v>10</v>
      </c>
      <c r="AF350" s="571">
        <v>301</v>
      </c>
      <c r="AG350" s="571">
        <v>10</v>
      </c>
      <c r="AN350" s="614"/>
      <c r="AO350" s="824" t="str">
        <f t="shared" si="49"/>
        <v>Yes</v>
      </c>
      <c r="AP350" s="259" t="str">
        <f t="shared" si="50"/>
        <v>MAR 20</v>
      </c>
      <c r="AQ350" s="542" t="str">
        <f t="shared" si="51"/>
        <v>有定金+有預留客戶</v>
      </c>
      <c r="AR350" s="259" t="str">
        <f t="shared" si="52"/>
        <v>Shipped_Stock</v>
      </c>
      <c r="AS350" s="259" t="str">
        <f t="shared" si="53"/>
        <v/>
      </c>
      <c r="AT350" s="259" t="str">
        <f t="shared" si="54"/>
        <v>赛维显示</v>
      </c>
      <c r="AU350" s="259" t="str">
        <f t="shared" si="55"/>
        <v>C49SZX20200010DZ</v>
      </c>
      <c r="AV350" s="259" t="str">
        <f t="shared" si="56"/>
        <v>Feb-05</v>
      </c>
    </row>
    <row r="351" spans="1:48" hidden="1">
      <c r="A351" s="559">
        <v>575</v>
      </c>
      <c r="B351" s="560" t="s">
        <v>280</v>
      </c>
      <c r="C351" s="560" t="s">
        <v>281</v>
      </c>
      <c r="D351" s="625">
        <v>109775</v>
      </c>
      <c r="E351" s="562" t="s">
        <v>644</v>
      </c>
      <c r="F351" s="563" t="s">
        <v>256</v>
      </c>
      <c r="G351" s="563" t="s">
        <v>24</v>
      </c>
      <c r="H351" s="563" t="s">
        <v>26</v>
      </c>
      <c r="I351" s="564" t="s">
        <v>863</v>
      </c>
      <c r="J351" s="564">
        <v>1</v>
      </c>
      <c r="K351" s="563" t="s">
        <v>295</v>
      </c>
      <c r="L351" s="565">
        <v>43866</v>
      </c>
      <c r="M351" s="576">
        <v>6.4600000000000005E-2</v>
      </c>
      <c r="N351" s="563" t="s">
        <v>785</v>
      </c>
      <c r="O351" s="564">
        <v>2020.01</v>
      </c>
      <c r="P351" s="566" t="str">
        <f>VLOOKUP(A351,'[1]Raw data'!$B:$BB,23,FALSE)</f>
        <v>RMB</v>
      </c>
      <c r="Q351" s="563" t="str">
        <f>VLOOKUP(A351,'[1]Raw data'!$B:$Z,2,FALSE)</f>
        <v>C49SZX20200010DZ</v>
      </c>
      <c r="R351" s="563" t="str">
        <f>VLOOKUP(A351,'[1]Raw data'!$B:$Z,3,FALSE)</f>
        <v>赛维显示</v>
      </c>
      <c r="S351" s="563" t="str">
        <f>VLOOKUP(A351,'[1]Raw data'!$B:$Z,4,FALSE)</f>
        <v>YSM20R(SV)-2</v>
      </c>
      <c r="T351" s="563" t="str">
        <f>VLOOKUP(A351,'[1]Raw data'!$B:$Z,8,FALSE)</f>
        <v>L-&gt;R</v>
      </c>
      <c r="U351" s="563" t="str">
        <f>VLOOKUP(A351,'[1]Raw data'!$B:$Z,9,FALSE)</f>
        <v>No</v>
      </c>
      <c r="V351" s="567" t="str">
        <f t="shared" si="57"/>
        <v>OK</v>
      </c>
      <c r="W351" s="563" t="str">
        <f>VLOOKUP(A351,'[1]Raw data'!$B:$AG,32,FALSE)</f>
        <v>含税到厂</v>
      </c>
      <c r="X351" s="563">
        <f>VLOOKUP(A351,'[1]Raw data'!$B:$BA,31,FALSE)</f>
        <v>43839</v>
      </c>
      <c r="Y351" s="563" t="str">
        <f>VLOOKUP(A351,'[1]Raw data'!$B:$AS,39,FALSE)</f>
        <v>Yes</v>
      </c>
      <c r="AC351" s="563" t="s">
        <v>862</v>
      </c>
      <c r="AD351" s="571">
        <v>301</v>
      </c>
      <c r="AE351" s="571">
        <v>20</v>
      </c>
      <c r="AN351" s="614"/>
      <c r="AO351" s="824" t="str">
        <f t="shared" si="49"/>
        <v>Yes</v>
      </c>
      <c r="AP351" s="259" t="str">
        <f t="shared" si="50"/>
        <v>MAR 20</v>
      </c>
      <c r="AQ351" s="542" t="str">
        <f t="shared" si="51"/>
        <v>有定金+有預留客戶</v>
      </c>
      <c r="AR351" s="259" t="str">
        <f t="shared" si="52"/>
        <v>Shipped_Stock</v>
      </c>
      <c r="AS351" s="259" t="str">
        <f t="shared" si="53"/>
        <v/>
      </c>
      <c r="AT351" s="259" t="str">
        <f t="shared" si="54"/>
        <v>赛维显示</v>
      </c>
      <c r="AU351" s="259" t="str">
        <f t="shared" si="55"/>
        <v>C49SZX20200010DZ</v>
      </c>
      <c r="AV351" s="259" t="str">
        <f t="shared" si="56"/>
        <v>Feb-05</v>
      </c>
    </row>
    <row r="352" spans="1:48" hidden="1">
      <c r="A352" s="599">
        <v>551</v>
      </c>
      <c r="B352" s="560" t="s">
        <v>280</v>
      </c>
      <c r="C352" s="560" t="s">
        <v>281</v>
      </c>
      <c r="D352" s="625">
        <v>109774</v>
      </c>
      <c r="E352" s="562" t="s">
        <v>644</v>
      </c>
      <c r="F352" s="563" t="s">
        <v>17</v>
      </c>
      <c r="G352" s="563" t="s">
        <v>18</v>
      </c>
      <c r="H352" s="563" t="s">
        <v>26</v>
      </c>
      <c r="I352" s="564" t="s">
        <v>864</v>
      </c>
      <c r="J352" s="571">
        <v>1</v>
      </c>
      <c r="K352" s="563" t="s">
        <v>437</v>
      </c>
      <c r="L352" s="565">
        <v>43866</v>
      </c>
      <c r="M352" s="576" t="s">
        <v>865</v>
      </c>
      <c r="N352" s="563" t="s">
        <v>789</v>
      </c>
      <c r="O352" s="563">
        <v>2020.01</v>
      </c>
      <c r="P352" s="566" t="str">
        <f>VLOOKUP(A352,'[1]Raw data'!$B:$BB,23,FALSE)</f>
        <v>JPY</v>
      </c>
      <c r="Q352" s="563" t="str">
        <f>VLOOKUP(A352,'[1]Raw data'!$B:$Z,2,FALSE)</f>
        <v>FS20191216</v>
      </c>
      <c r="R352" s="563" t="str">
        <f>VLOOKUP(A352,'[1]Raw data'!$B:$Z,3,FALSE)</f>
        <v>光世代</v>
      </c>
      <c r="S352" s="563" t="str">
        <f>VLOOKUP(A352,'[1]Raw data'!$B:$Z,4,FALSE)</f>
        <v>YSM10</v>
      </c>
      <c r="T352" s="563" t="str">
        <f>VLOOKUP(A352,'[1]Raw data'!$B:$Z,8,FALSE)</f>
        <v>R-&gt;L</v>
      </c>
      <c r="U352" s="563" t="str">
        <f>VLOOKUP(A352,'[1]Raw data'!$B:$Z,9,FALSE)</f>
        <v>MVC</v>
      </c>
      <c r="V352" s="567" t="str">
        <f t="shared" si="57"/>
        <v>WRONG</v>
      </c>
      <c r="W352" s="563" t="str">
        <f>VLOOKUP(A352,'[1]Raw data'!$B:$AG,32,FALSE)</f>
        <v>CIF HK</v>
      </c>
      <c r="X352" s="563">
        <f>VLOOKUP(A352,'[1]Raw data'!$B:$BA,31,FALSE)</f>
        <v>43815</v>
      </c>
      <c r="Y352" s="563" t="str">
        <f>VLOOKUP(A352,'[1]Raw data'!$B:$AS,39,FALSE)</f>
        <v>Yes</v>
      </c>
      <c r="Z352" s="568"/>
      <c r="AA352" s="569"/>
      <c r="AB352" s="570"/>
      <c r="AC352" s="563" t="s">
        <v>866</v>
      </c>
      <c r="AD352" s="564">
        <v>301</v>
      </c>
      <c r="AE352" s="564">
        <v>10</v>
      </c>
      <c r="AF352" s="564"/>
      <c r="AG352" s="564"/>
      <c r="AH352" s="564"/>
      <c r="AI352" s="627"/>
      <c r="AJ352" s="564"/>
      <c r="AK352" s="564"/>
      <c r="AL352" s="564"/>
      <c r="AM352" s="564"/>
      <c r="AN352" s="614"/>
      <c r="AO352" s="824" t="str">
        <f t="shared" si="49"/>
        <v>Yes</v>
      </c>
      <c r="AP352" s="259" t="str">
        <f t="shared" si="50"/>
        <v>FEB 20</v>
      </c>
      <c r="AQ352" s="542" t="str">
        <f t="shared" si="51"/>
        <v>有定金+有預留客戶</v>
      </c>
      <c r="AR352" s="259" t="str">
        <f t="shared" si="52"/>
        <v>Shipped_Stock</v>
      </c>
      <c r="AS352" s="259" t="str">
        <f t="shared" si="53"/>
        <v/>
      </c>
      <c r="AT352" s="259" t="str">
        <f t="shared" si="54"/>
        <v>光世代</v>
      </c>
      <c r="AU352" s="259" t="str">
        <f t="shared" si="55"/>
        <v>FS20191216</v>
      </c>
      <c r="AV352" s="259" t="str">
        <f t="shared" si="56"/>
        <v>Feb-05</v>
      </c>
    </row>
    <row r="353" spans="1:48" ht="13.5" hidden="1" thickBot="1">
      <c r="A353" s="599">
        <v>582</v>
      </c>
      <c r="B353" s="560" t="s">
        <v>280</v>
      </c>
      <c r="C353" s="560" t="s">
        <v>281</v>
      </c>
      <c r="D353" s="624">
        <v>109774</v>
      </c>
      <c r="E353" s="562" t="s">
        <v>644</v>
      </c>
      <c r="F353" s="563" t="s">
        <v>17</v>
      </c>
      <c r="G353" s="563" t="s">
        <v>18</v>
      </c>
      <c r="H353" s="563" t="s">
        <v>26</v>
      </c>
      <c r="I353" s="564" t="s">
        <v>867</v>
      </c>
      <c r="J353" s="564">
        <v>1</v>
      </c>
      <c r="K353" s="563" t="s">
        <v>437</v>
      </c>
      <c r="L353" s="565">
        <v>43866</v>
      </c>
      <c r="M353" s="576" t="s">
        <v>865</v>
      </c>
      <c r="N353" s="563" t="s">
        <v>785</v>
      </c>
      <c r="O353" s="563">
        <v>2020.01</v>
      </c>
      <c r="P353" s="566" t="str">
        <f>VLOOKUP(A353,'[1]Raw data'!$B:$BB,23,FALSE)</f>
        <v>JPY</v>
      </c>
      <c r="Q353" s="563" t="str">
        <f>VLOOKUP(A353,'[1]Raw data'!$B:$Z,2,FALSE)</f>
        <v>C49SZX20200016SX</v>
      </c>
      <c r="R353" s="563" t="str">
        <f>VLOOKUP(A353,'[1]Raw data'!$B:$Z,3,FALSE)</f>
        <v>赛美达</v>
      </c>
      <c r="S353" s="563" t="str">
        <f>VLOOKUP(A353,'[1]Raw data'!$B:$Z,4,FALSE)</f>
        <v>YSM10</v>
      </c>
      <c r="T353" s="563" t="str">
        <f>VLOOKUP(A353,'[1]Raw data'!$B:$Z,8,FALSE)</f>
        <v>R-&gt;L</v>
      </c>
      <c r="U353" s="563" t="str">
        <f>VLOOKUP(A353,'[1]Raw data'!$B:$Z,9,FALSE)</f>
        <v>No</v>
      </c>
      <c r="V353" s="567" t="str">
        <f t="shared" si="57"/>
        <v>OK</v>
      </c>
      <c r="W353" s="563" t="str">
        <f>VLOOKUP(A353,'[1]Raw data'!$B:$AG,32,FALSE)</f>
        <v>DAP SZ</v>
      </c>
      <c r="X353" s="563">
        <f>VLOOKUP(A353,'[1]Raw data'!$B:$BA,31,FALSE)</f>
        <v>43845</v>
      </c>
      <c r="Y353" s="563" t="str">
        <f>VLOOKUP(A353,'[1]Raw data'!$B:$AS,39,FALSE)</f>
        <v>Yes</v>
      </c>
      <c r="AC353" s="563" t="s">
        <v>858</v>
      </c>
      <c r="AD353" s="564">
        <v>301</v>
      </c>
      <c r="AE353" s="564">
        <v>10</v>
      </c>
      <c r="AF353" s="564"/>
      <c r="AG353" s="564"/>
      <c r="AH353" s="564"/>
      <c r="AI353" s="627"/>
      <c r="AJ353" s="564"/>
      <c r="AK353" s="564"/>
      <c r="AL353" s="564"/>
      <c r="AM353" s="564"/>
      <c r="AN353" s="614"/>
      <c r="AO353" s="824" t="str">
        <f t="shared" si="49"/>
        <v>Yes</v>
      </c>
      <c r="AP353" s="259" t="str">
        <f t="shared" si="50"/>
        <v>MAR 20</v>
      </c>
      <c r="AQ353" s="542" t="str">
        <f t="shared" si="51"/>
        <v>有定金+有預留客戶</v>
      </c>
      <c r="AR353" s="259" t="str">
        <f t="shared" si="52"/>
        <v>Shipped_Stock</v>
      </c>
      <c r="AS353" s="259" t="str">
        <f t="shared" si="53"/>
        <v/>
      </c>
      <c r="AT353" s="259" t="str">
        <f t="shared" si="54"/>
        <v>赛美达</v>
      </c>
      <c r="AU353" s="259" t="str">
        <f t="shared" si="55"/>
        <v>C49SZX20200016SX</v>
      </c>
      <c r="AV353" s="259" t="str">
        <f t="shared" si="56"/>
        <v>Feb-05</v>
      </c>
    </row>
    <row r="354" spans="1:48" ht="15" hidden="1" customHeight="1">
      <c r="A354" s="599">
        <v>566</v>
      </c>
      <c r="B354" s="560" t="s">
        <v>280</v>
      </c>
      <c r="C354" s="560" t="s">
        <v>281</v>
      </c>
      <c r="D354" s="623">
        <v>109775</v>
      </c>
      <c r="E354" s="562" t="s">
        <v>644</v>
      </c>
      <c r="F354" s="563" t="s">
        <v>256</v>
      </c>
      <c r="G354" s="563" t="s">
        <v>24</v>
      </c>
      <c r="H354" s="563" t="s">
        <v>26</v>
      </c>
      <c r="I354" s="564" t="s">
        <v>868</v>
      </c>
      <c r="J354" s="564">
        <v>1</v>
      </c>
      <c r="K354" s="563" t="s">
        <v>437</v>
      </c>
      <c r="L354" s="565">
        <v>43866</v>
      </c>
      <c r="M354" s="576">
        <v>6.4600000000000005E-2</v>
      </c>
      <c r="N354" s="563" t="s">
        <v>785</v>
      </c>
      <c r="O354" s="564">
        <v>2020.01</v>
      </c>
      <c r="P354" s="566" t="str">
        <f>VLOOKUP(A354,'[1]Raw data'!$B:$BB,23,FALSE)</f>
        <v>JPY</v>
      </c>
      <c r="Q354" s="563" t="str">
        <f>VLOOKUP(A354,'[1]Raw data'!$B:$Z,2,FALSE)</f>
        <v>C49SZX20200002MZ</v>
      </c>
      <c r="R354" s="563" t="str">
        <f>VLOOKUP(A354,'[1]Raw data'!$B:$Z,3,FALSE)</f>
        <v>熙洲电子</v>
      </c>
      <c r="S354" s="563" t="str">
        <f>VLOOKUP(A354,'[1]Raw data'!$B:$Z,4,FALSE)</f>
        <v>YSM20R(SV)-2</v>
      </c>
      <c r="T354" s="563" t="str">
        <f>VLOOKUP(A354,'[1]Raw data'!$B:$Z,8,FALSE)</f>
        <v>L-&gt;R</v>
      </c>
      <c r="U354" s="563" t="str">
        <f>VLOOKUP(A354,'[1]Raw data'!$B:$Z,9,FALSE)</f>
        <v>No</v>
      </c>
      <c r="V354" s="567" t="str">
        <f t="shared" si="57"/>
        <v>OK</v>
      </c>
      <c r="W354" s="563" t="str">
        <f>VLOOKUP(A354,'[1]Raw data'!$B:$AG,32,FALSE)</f>
        <v>DAP DG</v>
      </c>
      <c r="X354" s="563">
        <f>VLOOKUP(A354,'[1]Raw data'!$B:$BA,31,FALSE)</f>
        <v>43832</v>
      </c>
      <c r="Y354" s="563" t="str">
        <f>VLOOKUP(A354,'[1]Raw data'!$B:$AS,39,FALSE)</f>
        <v>Yes</v>
      </c>
      <c r="Z354" s="568"/>
      <c r="AA354" s="569"/>
      <c r="AC354" s="563" t="s">
        <v>869</v>
      </c>
      <c r="AD354" s="564">
        <v>301</v>
      </c>
      <c r="AE354" s="564">
        <v>20</v>
      </c>
      <c r="AF354" s="564"/>
      <c r="AG354" s="564"/>
      <c r="AH354" s="564"/>
      <c r="AI354" s="627"/>
      <c r="AJ354" s="564"/>
      <c r="AK354" s="564"/>
      <c r="AL354" s="564"/>
      <c r="AM354" s="564"/>
      <c r="AN354" s="614"/>
      <c r="AO354" s="824" t="str">
        <f t="shared" si="49"/>
        <v>Yes</v>
      </c>
      <c r="AP354" s="259" t="str">
        <f t="shared" si="50"/>
        <v>MAR 20</v>
      </c>
      <c r="AQ354" s="542" t="str">
        <f t="shared" si="51"/>
        <v>有定金+有預留客戶</v>
      </c>
      <c r="AR354" s="259" t="str">
        <f t="shared" si="52"/>
        <v>Shipped_Stock</v>
      </c>
      <c r="AS354" s="259" t="str">
        <f t="shared" si="53"/>
        <v/>
      </c>
      <c r="AT354" s="259" t="str">
        <f t="shared" si="54"/>
        <v>熙洲电子</v>
      </c>
      <c r="AU354" s="259" t="str">
        <f t="shared" si="55"/>
        <v>C49SZX20200002MZ</v>
      </c>
      <c r="AV354" s="259" t="str">
        <f t="shared" si="56"/>
        <v>Feb-05</v>
      </c>
    </row>
    <row r="355" spans="1:48" ht="15" hidden="1" customHeight="1">
      <c r="A355" s="559">
        <v>641</v>
      </c>
      <c r="B355" s="560" t="s">
        <v>280</v>
      </c>
      <c r="C355" s="560" t="s">
        <v>281</v>
      </c>
      <c r="D355" s="625">
        <v>109775</v>
      </c>
      <c r="E355" s="562" t="s">
        <v>644</v>
      </c>
      <c r="F355" s="563" t="s">
        <v>256</v>
      </c>
      <c r="G355" s="563" t="s">
        <v>24</v>
      </c>
      <c r="H355" s="563" t="s">
        <v>26</v>
      </c>
      <c r="I355" s="564" t="s">
        <v>870</v>
      </c>
      <c r="J355" s="564">
        <v>1</v>
      </c>
      <c r="K355" s="563" t="s">
        <v>496</v>
      </c>
      <c r="L355" s="565">
        <v>43866</v>
      </c>
      <c r="M355" s="615" t="s">
        <v>871</v>
      </c>
      <c r="N355" s="563" t="s">
        <v>818</v>
      </c>
      <c r="O355" s="564">
        <v>2020.01</v>
      </c>
      <c r="P355" s="566" t="str">
        <f>VLOOKUP(A355,'[1]Raw data'!$B:$BB,23,FALSE)</f>
        <v>JPY</v>
      </c>
      <c r="Q355" s="563" t="str">
        <f>VLOOKUP(A355,'[1]Raw data'!$B:$Z,2,FALSE)</f>
        <v>C49SZX20200056MZ</v>
      </c>
      <c r="R355" s="563" t="str">
        <f>VLOOKUP(A355,'[1]Raw data'!$B:$Z,3,FALSE)</f>
        <v>天星创展</v>
      </c>
      <c r="S355" s="563" t="str">
        <f>VLOOKUP(A355,'[1]Raw data'!$B:$Z,4,FALSE)</f>
        <v>YSM20R(SV)-2</v>
      </c>
      <c r="T355" s="563" t="str">
        <f>VLOOKUP(A355,'[1]Raw data'!$B:$Z,8,FALSE)</f>
        <v>L-&gt;R</v>
      </c>
      <c r="U355" s="563" t="str">
        <f>VLOOKUP(A355,'[1]Raw data'!$B:$Z,9,FALSE)</f>
        <v>No</v>
      </c>
      <c r="V355" s="567" t="str">
        <f t="shared" si="57"/>
        <v>OK</v>
      </c>
      <c r="W355" s="563" t="str">
        <f>VLOOKUP(A355,'[1]Raw data'!$B:$AG,32,FALSE)</f>
        <v>DAP SZ</v>
      </c>
      <c r="X355" s="563">
        <f>VLOOKUP(A355,'[1]Raw data'!$B:$BA,31,FALSE)</f>
        <v>43950</v>
      </c>
      <c r="Y355" s="563" t="str">
        <f>VLOOKUP(A355,'[1]Raw data'!$B:$AS,39,FALSE)</f>
        <v>Yes</v>
      </c>
      <c r="AC355" s="563" t="s">
        <v>591</v>
      </c>
      <c r="AD355" s="571">
        <v>301</v>
      </c>
      <c r="AE355" s="571">
        <v>20</v>
      </c>
      <c r="AN355" s="614"/>
      <c r="AO355" s="824" t="str">
        <f t="shared" si="49"/>
        <v>Yes</v>
      </c>
      <c r="AP355" s="259" t="str">
        <f t="shared" si="50"/>
        <v>MAY 20</v>
      </c>
      <c r="AQ355" s="542" t="str">
        <f t="shared" si="51"/>
        <v>有定金+有預留客戶</v>
      </c>
      <c r="AR355" s="259" t="str">
        <f t="shared" si="52"/>
        <v>Shipped_Stock</v>
      </c>
      <c r="AS355" s="259" t="str">
        <f t="shared" si="53"/>
        <v/>
      </c>
      <c r="AT355" s="259" t="str">
        <f t="shared" si="54"/>
        <v>天星创展</v>
      </c>
      <c r="AU355" s="259" t="str">
        <f t="shared" si="55"/>
        <v>C49SZX20200056MZ</v>
      </c>
      <c r="AV355" s="259" t="str">
        <f t="shared" si="56"/>
        <v>Feb-05</v>
      </c>
    </row>
    <row r="356" spans="1:48" ht="15" hidden="1" customHeight="1">
      <c r="A356" s="559">
        <v>618</v>
      </c>
      <c r="B356" s="560" t="s">
        <v>280</v>
      </c>
      <c r="C356" s="560" t="s">
        <v>281</v>
      </c>
      <c r="D356" s="625">
        <v>109775</v>
      </c>
      <c r="E356" s="562" t="s">
        <v>644</v>
      </c>
      <c r="F356" s="563" t="s">
        <v>256</v>
      </c>
      <c r="G356" s="563" t="s">
        <v>24</v>
      </c>
      <c r="H356" s="563" t="s">
        <v>26</v>
      </c>
      <c r="I356" s="564" t="s">
        <v>872</v>
      </c>
      <c r="J356" s="564">
        <v>1</v>
      </c>
      <c r="K356" s="563" t="s">
        <v>295</v>
      </c>
      <c r="L356" s="565">
        <v>43866</v>
      </c>
      <c r="M356" s="576">
        <v>6.4600000000000005E-2</v>
      </c>
      <c r="N356" s="563" t="s">
        <v>554</v>
      </c>
      <c r="O356" s="564">
        <v>2020.01</v>
      </c>
      <c r="P356" s="566" t="str">
        <f>VLOOKUP(A356,'[1]Raw data'!$B:$BB,23,FALSE)</f>
        <v>RMB</v>
      </c>
      <c r="Q356" s="563" t="str">
        <f>VLOOKUP(A356,'[1]Raw data'!$B:$Z,2,FALSE)</f>
        <v>C49SZX20200050SX</v>
      </c>
      <c r="R356" s="563" t="str">
        <f>VLOOKUP(A356,'[1]Raw data'!$B:$Z,3,FALSE)</f>
        <v>中研</v>
      </c>
      <c r="S356" s="563" t="str">
        <f>VLOOKUP(A356,'[1]Raw data'!$B:$Z,4,FALSE)</f>
        <v>YSM20R(SV)-2</v>
      </c>
      <c r="T356" s="563" t="str">
        <f>VLOOKUP(A356,'[1]Raw data'!$B:$Z,8,FALSE)</f>
        <v>L-&gt;R</v>
      </c>
      <c r="U356" s="563" t="str">
        <f>VLOOKUP(A356,'[1]Raw data'!$B:$Z,9,FALSE)</f>
        <v>No</v>
      </c>
      <c r="V356" s="567" t="str">
        <f t="shared" si="57"/>
        <v>OK</v>
      </c>
      <c r="W356" s="563" t="str">
        <f>VLOOKUP(A356,'[1]Raw data'!$B:$AG,32,FALSE)</f>
        <v>含税到厂</v>
      </c>
      <c r="X356" s="563">
        <f>VLOOKUP(A356,'[1]Raw data'!$B:$BA,31,FALSE)</f>
        <v>43938</v>
      </c>
      <c r="Y356" s="563" t="str">
        <f>VLOOKUP(A356,'[1]Raw data'!$B:$AS,39,FALSE)</f>
        <v>Yes</v>
      </c>
      <c r="AC356" s="563" t="s">
        <v>725</v>
      </c>
      <c r="AD356" s="571">
        <v>303</v>
      </c>
      <c r="AE356" s="571">
        <v>10</v>
      </c>
      <c r="AF356" s="571">
        <v>313</v>
      </c>
      <c r="AG356" s="571">
        <v>10</v>
      </c>
      <c r="AN356" s="614"/>
      <c r="AO356" s="824" t="str">
        <f t="shared" si="49"/>
        <v>Yes</v>
      </c>
      <c r="AP356" s="259" t="str">
        <f t="shared" si="50"/>
        <v>APR 20</v>
      </c>
      <c r="AQ356" s="542" t="str">
        <f t="shared" si="51"/>
        <v>有定金+有預留客戶</v>
      </c>
      <c r="AR356" s="259" t="str">
        <f t="shared" si="52"/>
        <v>Shipped_Stock</v>
      </c>
      <c r="AS356" s="259" t="str">
        <f t="shared" si="53"/>
        <v/>
      </c>
      <c r="AT356" s="259" t="str">
        <f t="shared" si="54"/>
        <v>中研</v>
      </c>
      <c r="AU356" s="259" t="str">
        <f t="shared" si="55"/>
        <v>C49SZX20200050SX</v>
      </c>
      <c r="AV356" s="259" t="str">
        <f t="shared" si="56"/>
        <v>Feb-05</v>
      </c>
    </row>
    <row r="357" spans="1:48" ht="38.25" hidden="1" customHeight="1">
      <c r="A357" s="559">
        <v>594</v>
      </c>
      <c r="B357" s="560" t="s">
        <v>280</v>
      </c>
      <c r="C357" s="560" t="s">
        <v>281</v>
      </c>
      <c r="D357" s="625">
        <v>109775</v>
      </c>
      <c r="E357" s="562" t="s">
        <v>644</v>
      </c>
      <c r="F357" s="563" t="s">
        <v>256</v>
      </c>
      <c r="G357" s="563" t="s">
        <v>24</v>
      </c>
      <c r="H357" s="563" t="s">
        <v>26</v>
      </c>
      <c r="I357" s="564" t="s">
        <v>873</v>
      </c>
      <c r="J357" s="564">
        <v>1</v>
      </c>
      <c r="K357" s="563" t="s">
        <v>437</v>
      </c>
      <c r="L357" s="565">
        <v>43866</v>
      </c>
      <c r="M357" s="576">
        <v>6.4600000000000005E-2</v>
      </c>
      <c r="N357" s="563" t="s">
        <v>554</v>
      </c>
      <c r="O357" s="564">
        <v>2020.01</v>
      </c>
      <c r="P357" s="566" t="str">
        <f>VLOOKUP(A357,'[1]Raw data'!$B:$BB,23,FALSE)</f>
        <v>RMB</v>
      </c>
      <c r="Q357" s="563" t="str">
        <f>VLOOKUP(A357,'[1]Raw data'!$B:$Z,2,FALSE)</f>
        <v>C49SZX20200027JY</v>
      </c>
      <c r="R357" s="563" t="str">
        <f>VLOOKUP(A357,'[1]Raw data'!$B:$Z,3,FALSE)</f>
        <v>络鑫</v>
      </c>
      <c r="S357" s="563" t="str">
        <f>VLOOKUP(A357,'[1]Raw data'!$B:$Z,4,FALSE)</f>
        <v>YSM20R(SV)-2</v>
      </c>
      <c r="T357" s="563" t="str">
        <f>VLOOKUP(A357,'[1]Raw data'!$B:$Z,8,FALSE)</f>
        <v>L-&gt;R</v>
      </c>
      <c r="U357" s="563" t="str">
        <f>VLOOKUP(A357,'[1]Raw data'!$B:$Z,9,FALSE)</f>
        <v>No</v>
      </c>
      <c r="V357" s="567" t="str">
        <f t="shared" si="57"/>
        <v>OK</v>
      </c>
      <c r="W357" s="563" t="str">
        <f>VLOOKUP(A357,'[1]Raw data'!$B:$AG,32,FALSE)</f>
        <v>DAP DG</v>
      </c>
      <c r="X357" s="563">
        <f>VLOOKUP(A357,'[1]Raw data'!$B:$BA,31,FALSE)</f>
        <v>43906</v>
      </c>
      <c r="Y357" s="563" t="str">
        <f>VLOOKUP(A357,'[1]Raw data'!$B:$AS,39,FALSE)</f>
        <v>Yes</v>
      </c>
      <c r="AC357" s="563" t="s">
        <v>439</v>
      </c>
      <c r="AD357" s="571">
        <v>302</v>
      </c>
      <c r="AE357" s="571">
        <v>10</v>
      </c>
      <c r="AF357" s="571">
        <v>313</v>
      </c>
      <c r="AG357" s="571">
        <v>10</v>
      </c>
      <c r="AN357" s="614"/>
      <c r="AO357" s="824" t="str">
        <f t="shared" si="49"/>
        <v>Yes</v>
      </c>
      <c r="AP357" s="259" t="str">
        <f t="shared" si="50"/>
        <v>APR 20</v>
      </c>
      <c r="AQ357" s="542" t="str">
        <f t="shared" si="51"/>
        <v>有定金+有預留客戶</v>
      </c>
      <c r="AR357" s="259" t="str">
        <f t="shared" si="52"/>
        <v>Shipped_Stock</v>
      </c>
      <c r="AS357" s="259" t="str">
        <f t="shared" si="53"/>
        <v/>
      </c>
      <c r="AT357" s="259" t="str">
        <f t="shared" si="54"/>
        <v>络鑫</v>
      </c>
      <c r="AU357" s="259" t="str">
        <f t="shared" si="55"/>
        <v>C49SZX20200027JY</v>
      </c>
      <c r="AV357" s="259" t="str">
        <f t="shared" si="56"/>
        <v>Feb-05</v>
      </c>
    </row>
    <row r="358" spans="1:48" ht="26.25" hidden="1" customHeight="1" thickBot="1">
      <c r="A358" s="559">
        <v>628</v>
      </c>
      <c r="B358" s="560" t="s">
        <v>280</v>
      </c>
      <c r="C358" s="560" t="s">
        <v>281</v>
      </c>
      <c r="D358" s="624">
        <v>109775</v>
      </c>
      <c r="E358" s="562" t="s">
        <v>644</v>
      </c>
      <c r="F358" s="563" t="s">
        <v>256</v>
      </c>
      <c r="G358" s="563" t="s">
        <v>24</v>
      </c>
      <c r="H358" s="563" t="s">
        <v>26</v>
      </c>
      <c r="I358" s="564" t="s">
        <v>874</v>
      </c>
      <c r="J358" s="564">
        <v>1</v>
      </c>
      <c r="K358" s="563" t="s">
        <v>820</v>
      </c>
      <c r="L358" s="565">
        <v>43866</v>
      </c>
      <c r="M358" s="576">
        <v>6.4600000000000005E-2</v>
      </c>
      <c r="N358" s="563" t="s">
        <v>818</v>
      </c>
      <c r="O358" s="564">
        <v>2020.01</v>
      </c>
      <c r="P358" s="566" t="str">
        <f>VLOOKUP(A358,'[1]Raw data'!$B:$BB,23,FALSE)</f>
        <v>RMB</v>
      </c>
      <c r="Q358" s="563" t="str">
        <f>VLOOKUP(A358,'[1]Raw data'!$B:$Z,2,FALSE)</f>
        <v>C49SZX20200051SX</v>
      </c>
      <c r="R358" s="563" t="str">
        <f>VLOOKUP(A358,'[1]Raw data'!$B:$Z,3,FALSE)</f>
        <v>中科阿尔法</v>
      </c>
      <c r="S358" s="563" t="str">
        <f>VLOOKUP(A358,'[1]Raw data'!$B:$Z,4,FALSE)</f>
        <v>YSM20R(SV)-2</v>
      </c>
      <c r="T358" s="563" t="str">
        <f>VLOOKUP(A358,'[1]Raw data'!$B:$Z,8,FALSE)</f>
        <v>L-&gt;R</v>
      </c>
      <c r="U358" s="563" t="str">
        <f>VLOOKUP(A358,'[1]Raw data'!$B:$Z,9,FALSE)</f>
        <v>No</v>
      </c>
      <c r="V358" s="567" t="str">
        <f t="shared" si="57"/>
        <v>OK</v>
      </c>
      <c r="W358" s="563" t="str">
        <f>VLOOKUP(A358,'[1]Raw data'!$B:$AG,32,FALSE)</f>
        <v>含税到厂</v>
      </c>
      <c r="X358" s="563">
        <f>VLOOKUP(A358,'[1]Raw data'!$B:$BA,31,FALSE)</f>
        <v>43938</v>
      </c>
      <c r="Y358" s="563" t="str">
        <f>VLOOKUP(A358,'[1]Raw data'!$B:$AS,39,FALSE)</f>
        <v>Yes</v>
      </c>
      <c r="AC358" s="563" t="s">
        <v>821</v>
      </c>
      <c r="AD358" s="571">
        <v>301</v>
      </c>
      <c r="AE358" s="571">
        <v>20</v>
      </c>
      <c r="AN358" s="542"/>
      <c r="AO358" s="824" t="str">
        <f t="shared" si="49"/>
        <v>Yes</v>
      </c>
      <c r="AP358" s="259" t="str">
        <f t="shared" si="50"/>
        <v>MAY 20</v>
      </c>
      <c r="AQ358" s="542" t="str">
        <f t="shared" si="51"/>
        <v>有定金+有預留客戶</v>
      </c>
      <c r="AR358" s="259" t="str">
        <f t="shared" si="52"/>
        <v>Shipped_Stock</v>
      </c>
      <c r="AS358" s="259" t="str">
        <f t="shared" si="53"/>
        <v/>
      </c>
      <c r="AT358" s="259" t="str">
        <f t="shared" si="54"/>
        <v>中科阿尔法</v>
      </c>
      <c r="AU358" s="259" t="str">
        <f t="shared" si="55"/>
        <v>C49SZX20200051SX</v>
      </c>
      <c r="AV358" s="259" t="str">
        <f t="shared" si="56"/>
        <v>Feb-05</v>
      </c>
    </row>
    <row r="359" spans="1:48" ht="25.5" hidden="1" customHeight="1">
      <c r="A359" s="559">
        <v>600</v>
      </c>
      <c r="B359" s="560" t="s">
        <v>280</v>
      </c>
      <c r="C359" s="560" t="s">
        <v>281</v>
      </c>
      <c r="D359" s="623">
        <v>109774</v>
      </c>
      <c r="E359" s="562" t="s">
        <v>644</v>
      </c>
      <c r="F359" s="563" t="s">
        <v>256</v>
      </c>
      <c r="G359" s="563" t="s">
        <v>24</v>
      </c>
      <c r="H359" s="563" t="s">
        <v>875</v>
      </c>
      <c r="I359" s="564" t="s">
        <v>876</v>
      </c>
      <c r="J359" s="564">
        <v>1</v>
      </c>
      <c r="K359" s="563" t="s">
        <v>437</v>
      </c>
      <c r="L359" s="565">
        <v>43866</v>
      </c>
      <c r="M359" s="576" t="s">
        <v>865</v>
      </c>
      <c r="N359" s="563" t="s">
        <v>554</v>
      </c>
      <c r="O359" s="564">
        <v>2020.01</v>
      </c>
      <c r="P359" s="566" t="str">
        <f>VLOOKUP(A359,'[1]Raw data'!$B:$BB,23,FALSE)</f>
        <v>JPY</v>
      </c>
      <c r="Q359" s="563" t="str">
        <f>VLOOKUP(A359,'[1]Raw data'!$B:$Z,2,FALSE)</f>
        <v>C49SZX20200030SX</v>
      </c>
      <c r="R359" s="563" t="str">
        <f>VLOOKUP(A359,'[1]Raw data'!$B:$Z,3,FALSE)</f>
        <v>顺弘</v>
      </c>
      <c r="S359" s="563" t="str">
        <f>VLOOKUP(A359,'[1]Raw data'!$B:$Z,4,FALSE)</f>
        <v>YSM20R(SV)-2</v>
      </c>
      <c r="T359" s="563" t="str">
        <f>VLOOKUP(A359,'[1]Raw data'!$B:$Z,8,FALSE)</f>
        <v>L-&gt;R</v>
      </c>
      <c r="U359" s="563" t="str">
        <f>VLOOKUP(A359,'[1]Raw data'!$B:$Z,9,FALSE)</f>
        <v>cATS10+MVC+special layout</v>
      </c>
      <c r="V359" s="567" t="str">
        <f t="shared" si="57"/>
        <v>OK</v>
      </c>
      <c r="W359" s="563" t="str">
        <f>VLOOKUP(A359,'[1]Raw data'!$B:$AG,32,FALSE)</f>
        <v>DAP DG</v>
      </c>
      <c r="X359" s="563">
        <f>VLOOKUP(A359,'[1]Raw data'!$B:$BA,31,FALSE)</f>
        <v>43911</v>
      </c>
      <c r="Y359" s="563" t="str">
        <f>VLOOKUP(A359,'[1]Raw data'!$B:$AS,39,FALSE)</f>
        <v>Yes</v>
      </c>
      <c r="AC359" s="563" t="s">
        <v>877</v>
      </c>
      <c r="AD359" s="571">
        <v>312</v>
      </c>
      <c r="AE359" s="571">
        <v>10</v>
      </c>
      <c r="AF359" s="571">
        <v>302</v>
      </c>
      <c r="AG359" s="571">
        <v>10</v>
      </c>
      <c r="AN359" s="542"/>
      <c r="AO359" s="824" t="str">
        <f t="shared" si="49"/>
        <v>Yes</v>
      </c>
      <c r="AP359" s="259" t="str">
        <f t="shared" si="50"/>
        <v>APR 20</v>
      </c>
      <c r="AQ359" s="542" t="str">
        <f t="shared" si="51"/>
        <v>有定金+有預留客戶</v>
      </c>
      <c r="AR359" s="259" t="str">
        <f t="shared" si="52"/>
        <v>Shipped_Stock</v>
      </c>
      <c r="AS359" s="259" t="str">
        <f t="shared" si="53"/>
        <v/>
      </c>
      <c r="AT359" s="259" t="str">
        <f t="shared" si="54"/>
        <v>顺弘</v>
      </c>
      <c r="AU359" s="259" t="str">
        <f t="shared" si="55"/>
        <v>C49SZX20200030SX</v>
      </c>
      <c r="AV359" s="259" t="str">
        <f t="shared" si="56"/>
        <v>Feb-05</v>
      </c>
    </row>
    <row r="360" spans="1:48" ht="15" hidden="1" customHeight="1">
      <c r="A360" s="599">
        <v>533</v>
      </c>
      <c r="B360" s="560" t="s">
        <v>280</v>
      </c>
      <c r="C360" s="560" t="s">
        <v>281</v>
      </c>
      <c r="D360" s="625">
        <v>109782</v>
      </c>
      <c r="E360" s="562" t="s">
        <v>878</v>
      </c>
      <c r="F360" s="563" t="s">
        <v>256</v>
      </c>
      <c r="G360" s="563" t="s">
        <v>24</v>
      </c>
      <c r="H360" s="563" t="s">
        <v>26</v>
      </c>
      <c r="I360" s="564" t="s">
        <v>879</v>
      </c>
      <c r="J360" s="571">
        <v>1</v>
      </c>
      <c r="K360" s="563" t="s">
        <v>388</v>
      </c>
      <c r="L360" s="565">
        <v>43877</v>
      </c>
      <c r="M360" s="576" t="s">
        <v>865</v>
      </c>
      <c r="N360" s="563" t="s">
        <v>789</v>
      </c>
      <c r="O360" s="564">
        <v>2020.01</v>
      </c>
      <c r="P360" s="566" t="str">
        <f>VLOOKUP(A360,'[1]Raw data'!$B:$BB,23,FALSE)</f>
        <v>JPY</v>
      </c>
      <c r="Q360" s="563" t="str">
        <f>VLOOKUP(A360,'[1]Raw data'!$B:$Z,2,FALSE)</f>
        <v>C49SZX20190141SS</v>
      </c>
      <c r="R360" s="563" t="str">
        <f>VLOOKUP(A360,'[1]Raw data'!$B:$Z,3,FALSE)</f>
        <v>博睿通</v>
      </c>
      <c r="S360" s="563" t="str">
        <f>VLOOKUP(A360,'[1]Raw data'!$B:$Z,4,FALSE)</f>
        <v>YSM20R(SV)-2</v>
      </c>
      <c r="T360" s="563" t="str">
        <f>VLOOKUP(A360,'[1]Raw data'!$B:$Z,8,FALSE)</f>
        <v>L-&gt;R</v>
      </c>
      <c r="U360" s="563" t="str">
        <f>VLOOKUP(A360,'[1]Raw data'!$B:$Z,9,FALSE)</f>
        <v>No</v>
      </c>
      <c r="V360" s="567" t="str">
        <f t="shared" si="57"/>
        <v>OK</v>
      </c>
      <c r="W360" s="563" t="str">
        <f>VLOOKUP(A360,'[1]Raw data'!$B:$AG,32,FALSE)</f>
        <v>CIF HK</v>
      </c>
      <c r="X360" s="563">
        <f>VLOOKUP(A360,'[1]Raw data'!$B:$BA,31,FALSE)</f>
        <v>43810</v>
      </c>
      <c r="Y360" s="563" t="str">
        <f>VLOOKUP(A360,'[1]Raw data'!$B:$AS,39,FALSE)</f>
        <v>Yes</v>
      </c>
      <c r="Z360" s="568"/>
      <c r="AA360" s="569"/>
      <c r="AB360" s="570"/>
      <c r="AC360" s="563" t="s">
        <v>678</v>
      </c>
      <c r="AD360" s="564">
        <v>301</v>
      </c>
      <c r="AE360" s="564">
        <v>20</v>
      </c>
      <c r="AF360" s="564"/>
      <c r="AG360" s="564"/>
      <c r="AH360" s="564"/>
      <c r="AI360" s="627"/>
      <c r="AJ360" s="564"/>
      <c r="AK360" s="564"/>
      <c r="AL360" s="564"/>
      <c r="AM360" s="564"/>
      <c r="AN360" s="542"/>
      <c r="AO360" s="824" t="str">
        <f t="shared" si="49"/>
        <v>Yes</v>
      </c>
      <c r="AP360" s="259" t="str">
        <f t="shared" si="50"/>
        <v>FEB 20</v>
      </c>
      <c r="AQ360" s="542" t="str">
        <f t="shared" si="51"/>
        <v>有定金+有預留客戶</v>
      </c>
      <c r="AR360" s="259" t="str">
        <f t="shared" si="52"/>
        <v>Shipped_Stock</v>
      </c>
      <c r="AS360" s="259" t="str">
        <f t="shared" si="53"/>
        <v/>
      </c>
      <c r="AT360" s="259" t="str">
        <f t="shared" si="54"/>
        <v>博睿通</v>
      </c>
      <c r="AU360" s="259" t="str">
        <f t="shared" si="55"/>
        <v>C49SZX20190141SS</v>
      </c>
      <c r="AV360" s="259" t="str">
        <f t="shared" si="56"/>
        <v>Feb-16</v>
      </c>
    </row>
    <row r="361" spans="1:48" ht="15" hidden="1" customHeight="1">
      <c r="A361" s="599">
        <v>534</v>
      </c>
      <c r="B361" s="560" t="s">
        <v>280</v>
      </c>
      <c r="C361" s="560" t="s">
        <v>281</v>
      </c>
      <c r="D361" s="625">
        <v>109782</v>
      </c>
      <c r="E361" s="562" t="s">
        <v>878</v>
      </c>
      <c r="F361" s="563" t="s">
        <v>256</v>
      </c>
      <c r="G361" s="563" t="s">
        <v>24</v>
      </c>
      <c r="H361" s="563" t="s">
        <v>26</v>
      </c>
      <c r="I361" s="564" t="s">
        <v>880</v>
      </c>
      <c r="J361" s="571">
        <v>1</v>
      </c>
      <c r="K361" s="563" t="s">
        <v>388</v>
      </c>
      <c r="L361" s="565">
        <v>43877</v>
      </c>
      <c r="M361" s="576" t="s">
        <v>865</v>
      </c>
      <c r="N361" s="563" t="s">
        <v>789</v>
      </c>
      <c r="O361" s="564">
        <v>2020.01</v>
      </c>
      <c r="P361" s="566" t="str">
        <f>VLOOKUP(A361,'[1]Raw data'!$B:$BB,23,FALSE)</f>
        <v>JPY</v>
      </c>
      <c r="Q361" s="563" t="str">
        <f>VLOOKUP(A361,'[1]Raw data'!$B:$Z,2,FALSE)</f>
        <v>C49SZX20190141SS</v>
      </c>
      <c r="R361" s="563" t="str">
        <f>VLOOKUP(A361,'[1]Raw data'!$B:$Z,3,FALSE)</f>
        <v>博睿通</v>
      </c>
      <c r="S361" s="563" t="str">
        <f>VLOOKUP(A361,'[1]Raw data'!$B:$Z,4,FALSE)</f>
        <v>YSM20R(SV)-2</v>
      </c>
      <c r="T361" s="563" t="str">
        <f>VLOOKUP(A361,'[1]Raw data'!$B:$Z,8,FALSE)</f>
        <v>L-&gt;R</v>
      </c>
      <c r="U361" s="563" t="str">
        <f>VLOOKUP(A361,'[1]Raw data'!$B:$Z,9,FALSE)</f>
        <v>No</v>
      </c>
      <c r="V361" s="567" t="str">
        <f t="shared" si="57"/>
        <v>OK</v>
      </c>
      <c r="W361" s="563" t="str">
        <f>VLOOKUP(A361,'[1]Raw data'!$B:$AG,32,FALSE)</f>
        <v>CIF HK</v>
      </c>
      <c r="X361" s="563">
        <f>VLOOKUP(A361,'[1]Raw data'!$B:$BA,31,FALSE)</f>
        <v>43810</v>
      </c>
      <c r="Y361" s="563" t="str">
        <f>VLOOKUP(A361,'[1]Raw data'!$B:$AS,39,FALSE)</f>
        <v>Yes</v>
      </c>
      <c r="Z361" s="568"/>
      <c r="AA361" s="569"/>
      <c r="AB361" s="570"/>
      <c r="AC361" s="563" t="s">
        <v>678</v>
      </c>
      <c r="AD361" s="564">
        <v>301</v>
      </c>
      <c r="AE361" s="564">
        <v>10</v>
      </c>
      <c r="AF361" s="564">
        <v>304</v>
      </c>
      <c r="AG361" s="564">
        <v>10</v>
      </c>
      <c r="AH361" s="564"/>
      <c r="AI361" s="627"/>
      <c r="AJ361" s="564"/>
      <c r="AK361" s="564"/>
      <c r="AL361" s="564"/>
      <c r="AM361" s="564"/>
      <c r="AN361" s="614"/>
      <c r="AO361" s="824" t="str">
        <f t="shared" si="49"/>
        <v>Yes</v>
      </c>
      <c r="AP361" s="259" t="str">
        <f t="shared" si="50"/>
        <v>FEB 20</v>
      </c>
      <c r="AQ361" s="542" t="str">
        <f t="shared" si="51"/>
        <v>有定金+有預留客戶</v>
      </c>
      <c r="AR361" s="259" t="str">
        <f t="shared" si="52"/>
        <v>Shipped_Stock</v>
      </c>
      <c r="AS361" s="259" t="str">
        <f t="shared" si="53"/>
        <v/>
      </c>
      <c r="AT361" s="259" t="str">
        <f t="shared" si="54"/>
        <v>博睿通</v>
      </c>
      <c r="AU361" s="259" t="str">
        <f t="shared" si="55"/>
        <v>C49SZX20190141SS</v>
      </c>
      <c r="AV361" s="259" t="str">
        <f t="shared" si="56"/>
        <v>Feb-16</v>
      </c>
    </row>
    <row r="362" spans="1:48" ht="15.75" hidden="1" customHeight="1" thickBot="1">
      <c r="A362" s="599">
        <v>535</v>
      </c>
      <c r="B362" s="560" t="s">
        <v>280</v>
      </c>
      <c r="C362" s="560" t="s">
        <v>281</v>
      </c>
      <c r="D362" s="624">
        <v>109782</v>
      </c>
      <c r="E362" s="562" t="s">
        <v>878</v>
      </c>
      <c r="F362" s="563" t="s">
        <v>256</v>
      </c>
      <c r="G362" s="563" t="s">
        <v>24</v>
      </c>
      <c r="H362" s="563" t="s">
        <v>26</v>
      </c>
      <c r="I362" s="564" t="s">
        <v>881</v>
      </c>
      <c r="J362" s="571">
        <v>1</v>
      </c>
      <c r="K362" s="563" t="s">
        <v>388</v>
      </c>
      <c r="L362" s="565">
        <v>43877</v>
      </c>
      <c r="M362" s="576" t="s">
        <v>865</v>
      </c>
      <c r="N362" s="563" t="s">
        <v>789</v>
      </c>
      <c r="O362" s="564">
        <v>2020.01</v>
      </c>
      <c r="P362" s="566" t="str">
        <f>VLOOKUP(A362,'[1]Raw data'!$B:$BB,23,FALSE)</f>
        <v>JPY</v>
      </c>
      <c r="Q362" s="563" t="str">
        <f>VLOOKUP(A362,'[1]Raw data'!$B:$Z,2,FALSE)</f>
        <v>C49SZX20190141SS</v>
      </c>
      <c r="R362" s="563" t="str">
        <f>VLOOKUP(A362,'[1]Raw data'!$B:$Z,3,FALSE)</f>
        <v>博睿通</v>
      </c>
      <c r="S362" s="563" t="str">
        <f>VLOOKUP(A362,'[1]Raw data'!$B:$Z,4,FALSE)</f>
        <v>YSM20R(SV)-2</v>
      </c>
      <c r="T362" s="563" t="str">
        <f>VLOOKUP(A362,'[1]Raw data'!$B:$Z,8,FALSE)</f>
        <v>L-&gt;R</v>
      </c>
      <c r="U362" s="563" t="str">
        <f>VLOOKUP(A362,'[1]Raw data'!$B:$Z,9,FALSE)</f>
        <v>No</v>
      </c>
      <c r="V362" s="567" t="str">
        <f t="shared" si="57"/>
        <v>OK</v>
      </c>
      <c r="W362" s="563" t="str">
        <f>VLOOKUP(A362,'[1]Raw data'!$B:$AG,32,FALSE)</f>
        <v>CIF HK</v>
      </c>
      <c r="X362" s="563">
        <f>VLOOKUP(A362,'[1]Raw data'!$B:$BA,31,FALSE)</f>
        <v>43810</v>
      </c>
      <c r="Y362" s="563" t="str">
        <f>VLOOKUP(A362,'[1]Raw data'!$B:$AS,39,FALSE)</f>
        <v>Yes</v>
      </c>
      <c r="Z362" s="568"/>
      <c r="AA362" s="569"/>
      <c r="AB362" s="570"/>
      <c r="AC362" s="563" t="s">
        <v>678</v>
      </c>
      <c r="AD362" s="564">
        <v>301</v>
      </c>
      <c r="AE362" s="564">
        <v>10</v>
      </c>
      <c r="AF362" s="564">
        <v>302</v>
      </c>
      <c r="AG362" s="564">
        <v>10</v>
      </c>
      <c r="AH362" s="564"/>
      <c r="AI362" s="627"/>
      <c r="AJ362" s="564"/>
      <c r="AK362" s="564"/>
      <c r="AL362" s="564"/>
      <c r="AM362" s="564"/>
      <c r="AN362" s="542"/>
      <c r="AO362" s="824" t="str">
        <f t="shared" si="49"/>
        <v>Yes</v>
      </c>
      <c r="AP362" s="259" t="str">
        <f t="shared" si="50"/>
        <v>FEB 20</v>
      </c>
      <c r="AQ362" s="542" t="str">
        <f t="shared" si="51"/>
        <v>有定金+有預留客戶</v>
      </c>
      <c r="AR362" s="259" t="str">
        <f t="shared" si="52"/>
        <v>Shipped_Stock</v>
      </c>
      <c r="AS362" s="259" t="str">
        <f t="shared" si="53"/>
        <v/>
      </c>
      <c r="AT362" s="259" t="str">
        <f t="shared" si="54"/>
        <v>博睿通</v>
      </c>
      <c r="AU362" s="259" t="str">
        <f t="shared" si="55"/>
        <v>C49SZX20190141SS</v>
      </c>
      <c r="AV362" s="259" t="str">
        <f t="shared" si="56"/>
        <v>Feb-16</v>
      </c>
    </row>
    <row r="363" spans="1:48" ht="15" hidden="1" customHeight="1">
      <c r="A363" s="599">
        <v>536</v>
      </c>
      <c r="B363" s="560" t="s">
        <v>280</v>
      </c>
      <c r="C363" s="560" t="s">
        <v>281</v>
      </c>
      <c r="D363" s="623">
        <v>109782</v>
      </c>
      <c r="E363" s="562" t="s">
        <v>878</v>
      </c>
      <c r="F363" s="563" t="s">
        <v>256</v>
      </c>
      <c r="G363" s="563" t="s">
        <v>24</v>
      </c>
      <c r="H363" s="563" t="s">
        <v>26</v>
      </c>
      <c r="I363" s="564" t="s">
        <v>882</v>
      </c>
      <c r="J363" s="571">
        <v>1</v>
      </c>
      <c r="K363" s="563" t="s">
        <v>388</v>
      </c>
      <c r="L363" s="565">
        <v>43877</v>
      </c>
      <c r="M363" s="576" t="s">
        <v>865</v>
      </c>
      <c r="N363" s="563" t="s">
        <v>789</v>
      </c>
      <c r="O363" s="564">
        <v>2020.01</v>
      </c>
      <c r="P363" s="566" t="str">
        <f>VLOOKUP(A363,'[1]Raw data'!$B:$BB,23,FALSE)</f>
        <v>JPY</v>
      </c>
      <c r="Q363" s="563" t="str">
        <f>VLOOKUP(A363,'[1]Raw data'!$B:$Z,2,FALSE)</f>
        <v>C49SZX20190141SS</v>
      </c>
      <c r="R363" s="563" t="str">
        <f>VLOOKUP(A363,'[1]Raw data'!$B:$Z,3,FALSE)</f>
        <v>博睿通</v>
      </c>
      <c r="S363" s="563" t="str">
        <f>VLOOKUP(A363,'[1]Raw data'!$B:$Z,4,FALSE)</f>
        <v>YSM20R(SV)-2</v>
      </c>
      <c r="T363" s="563" t="str">
        <f>VLOOKUP(A363,'[1]Raw data'!$B:$Z,8,FALSE)</f>
        <v>L-&gt;R</v>
      </c>
      <c r="U363" s="563" t="str">
        <f>VLOOKUP(A363,'[1]Raw data'!$B:$Z,9,FALSE)</f>
        <v>No</v>
      </c>
      <c r="V363" s="567" t="str">
        <f t="shared" si="57"/>
        <v>OK</v>
      </c>
      <c r="W363" s="563" t="str">
        <f>VLOOKUP(A363,'[1]Raw data'!$B:$AG,32,FALSE)</f>
        <v>CIF HK</v>
      </c>
      <c r="X363" s="563">
        <f>VLOOKUP(A363,'[1]Raw data'!$B:$BA,31,FALSE)</f>
        <v>43810</v>
      </c>
      <c r="Y363" s="563" t="str">
        <f>VLOOKUP(A363,'[1]Raw data'!$B:$AS,39,FALSE)</f>
        <v>Yes</v>
      </c>
      <c r="Z363" s="568"/>
      <c r="AA363" s="569"/>
      <c r="AB363" s="570"/>
      <c r="AC363" s="563" t="s">
        <v>678</v>
      </c>
      <c r="AD363" s="564">
        <v>301</v>
      </c>
      <c r="AE363" s="564">
        <v>10</v>
      </c>
      <c r="AF363" s="564">
        <v>303</v>
      </c>
      <c r="AG363" s="564">
        <v>10</v>
      </c>
      <c r="AH363" s="564"/>
      <c r="AI363" s="627"/>
      <c r="AJ363" s="564"/>
      <c r="AK363" s="564"/>
      <c r="AL363" s="564"/>
      <c r="AM363" s="564"/>
      <c r="AN363" s="542"/>
      <c r="AO363" s="824" t="str">
        <f t="shared" si="49"/>
        <v>Yes</v>
      </c>
      <c r="AP363" s="259" t="str">
        <f t="shared" si="50"/>
        <v>FEB 20</v>
      </c>
      <c r="AQ363" s="542" t="str">
        <f t="shared" si="51"/>
        <v>有定金+有預留客戶</v>
      </c>
      <c r="AR363" s="259" t="str">
        <f t="shared" si="52"/>
        <v>Shipped_Stock</v>
      </c>
      <c r="AS363" s="259" t="str">
        <f t="shared" si="53"/>
        <v/>
      </c>
      <c r="AT363" s="259" t="str">
        <f t="shared" si="54"/>
        <v>博睿通</v>
      </c>
      <c r="AU363" s="259" t="str">
        <f t="shared" si="55"/>
        <v>C49SZX20190141SS</v>
      </c>
      <c r="AV363" s="259" t="str">
        <f t="shared" si="56"/>
        <v>Feb-16</v>
      </c>
    </row>
    <row r="364" spans="1:48" ht="15" hidden="1" customHeight="1">
      <c r="A364" s="599">
        <v>537</v>
      </c>
      <c r="B364" s="560" t="s">
        <v>280</v>
      </c>
      <c r="C364" s="560" t="s">
        <v>281</v>
      </c>
      <c r="D364" s="625">
        <v>109782</v>
      </c>
      <c r="E364" s="562" t="s">
        <v>878</v>
      </c>
      <c r="F364" s="563" t="s">
        <v>256</v>
      </c>
      <c r="G364" s="563" t="s">
        <v>18</v>
      </c>
      <c r="H364" s="563" t="s">
        <v>26</v>
      </c>
      <c r="I364" s="564" t="s">
        <v>883</v>
      </c>
      <c r="J364" s="571">
        <v>1</v>
      </c>
      <c r="K364" s="563" t="s">
        <v>388</v>
      </c>
      <c r="L364" s="565">
        <v>43877</v>
      </c>
      <c r="M364" s="576" t="s">
        <v>865</v>
      </c>
      <c r="N364" s="563" t="s">
        <v>789</v>
      </c>
      <c r="O364" s="564">
        <v>2020.01</v>
      </c>
      <c r="P364" s="566" t="str">
        <f>VLOOKUP(A364,'[1]Raw data'!$B:$BB,23,FALSE)</f>
        <v>JPY</v>
      </c>
      <c r="Q364" s="563" t="str">
        <f>VLOOKUP(A364,'[1]Raw data'!$B:$Z,2,FALSE)</f>
        <v>C49SZX20190141SS</v>
      </c>
      <c r="R364" s="563" t="str">
        <f>VLOOKUP(A364,'[1]Raw data'!$B:$Z,3,FALSE)</f>
        <v>博睿通</v>
      </c>
      <c r="S364" s="563" t="str">
        <f>VLOOKUP(A364,'[1]Raw data'!$B:$Z,4,FALSE)</f>
        <v>YSM20R(SV)-2</v>
      </c>
      <c r="T364" s="563" t="str">
        <f>VLOOKUP(A364,'[1]Raw data'!$B:$Z,8,FALSE)</f>
        <v>R-&gt;L</v>
      </c>
      <c r="U364" s="563" t="str">
        <f>VLOOKUP(A364,'[1]Raw data'!$B:$Z,9,FALSE)</f>
        <v>No</v>
      </c>
      <c r="V364" s="567" t="str">
        <f t="shared" si="57"/>
        <v>OK</v>
      </c>
      <c r="W364" s="563" t="str">
        <f>VLOOKUP(A364,'[1]Raw data'!$B:$AG,32,FALSE)</f>
        <v>CIF HK</v>
      </c>
      <c r="X364" s="563">
        <f>VLOOKUP(A364,'[1]Raw data'!$B:$BA,31,FALSE)</f>
        <v>43810</v>
      </c>
      <c r="Y364" s="563" t="str">
        <f>VLOOKUP(A364,'[1]Raw data'!$B:$AS,39,FALSE)</f>
        <v>Yes</v>
      </c>
      <c r="Z364" s="568"/>
      <c r="AA364" s="569"/>
      <c r="AB364" s="570"/>
      <c r="AC364" s="563" t="s">
        <v>678</v>
      </c>
      <c r="AD364" s="564">
        <v>301</v>
      </c>
      <c r="AE364" s="564">
        <v>10</v>
      </c>
      <c r="AF364" s="564">
        <v>304</v>
      </c>
      <c r="AG364" s="564">
        <v>10</v>
      </c>
      <c r="AH364" s="564"/>
      <c r="AI364" s="627"/>
      <c r="AJ364" s="564"/>
      <c r="AK364" s="564"/>
      <c r="AL364" s="564"/>
      <c r="AM364" s="564"/>
      <c r="AN364" s="542"/>
      <c r="AO364" s="824" t="str">
        <f t="shared" si="49"/>
        <v>Yes</v>
      </c>
      <c r="AP364" s="259" t="str">
        <f t="shared" si="50"/>
        <v>FEB 20</v>
      </c>
      <c r="AQ364" s="542" t="str">
        <f t="shared" si="51"/>
        <v>有定金+有預留客戶</v>
      </c>
      <c r="AR364" s="259" t="str">
        <f t="shared" si="52"/>
        <v>Shipped_Stock</v>
      </c>
      <c r="AS364" s="259" t="str">
        <f t="shared" si="53"/>
        <v/>
      </c>
      <c r="AT364" s="259" t="str">
        <f t="shared" si="54"/>
        <v>博睿通</v>
      </c>
      <c r="AU364" s="259" t="str">
        <f t="shared" si="55"/>
        <v>C49SZX20190141SS</v>
      </c>
      <c r="AV364" s="259" t="str">
        <f t="shared" si="56"/>
        <v>Feb-16</v>
      </c>
    </row>
    <row r="365" spans="1:48" ht="22.5" hidden="1">
      <c r="A365" s="599">
        <v>543</v>
      </c>
      <c r="B365" s="560" t="s">
        <v>280</v>
      </c>
      <c r="C365" s="560" t="s">
        <v>281</v>
      </c>
      <c r="D365" s="625">
        <v>109714</v>
      </c>
      <c r="E365" s="562" t="s">
        <v>884</v>
      </c>
      <c r="F365" s="563" t="s">
        <v>17</v>
      </c>
      <c r="G365" s="563" t="s">
        <v>18</v>
      </c>
      <c r="H365" s="563" t="s">
        <v>27</v>
      </c>
      <c r="I365" s="564" t="s">
        <v>885</v>
      </c>
      <c r="J365" s="571">
        <v>1</v>
      </c>
      <c r="K365" s="563" t="s">
        <v>388</v>
      </c>
      <c r="L365" s="565">
        <v>43883</v>
      </c>
      <c r="M365" s="615" t="s">
        <v>830</v>
      </c>
      <c r="N365" s="563" t="s">
        <v>789</v>
      </c>
      <c r="O365" s="563"/>
      <c r="P365" s="566" t="str">
        <f>VLOOKUP(A365,'[1]Raw data'!$B:$BB,23,FALSE)</f>
        <v>JPY</v>
      </c>
      <c r="Q365" s="563" t="str">
        <f>VLOOKUP(A365,'[1]Raw data'!$B:$Z,2,FALSE)</f>
        <v>C49SZX20190141SS</v>
      </c>
      <c r="R365" s="563" t="str">
        <f>VLOOKUP(A365,'[1]Raw data'!$B:$Z,3,FALSE)</f>
        <v>博睿通</v>
      </c>
      <c r="S365" s="563" t="str">
        <f>VLOOKUP(A365,'[1]Raw data'!$B:$Z,4,FALSE)</f>
        <v>YSM10</v>
      </c>
      <c r="T365" s="563" t="str">
        <f>VLOOKUP(A365,'[1]Raw data'!$B:$Z,8,FALSE)</f>
        <v>R-&gt;L</v>
      </c>
      <c r="U365" s="563" t="str">
        <f>VLOOKUP(A365,'[1]Raw data'!$B:$Z,9,FALSE)</f>
        <v>MVC</v>
      </c>
      <c r="V365" s="567" t="str">
        <f t="shared" si="57"/>
        <v>OK</v>
      </c>
      <c r="W365" s="563" t="str">
        <f>VLOOKUP(A365,'[1]Raw data'!$B:$AG,32,FALSE)</f>
        <v>CIF HK</v>
      </c>
      <c r="X365" s="563">
        <f>VLOOKUP(A365,'[1]Raw data'!$B:$BA,31,FALSE)</f>
        <v>43810</v>
      </c>
      <c r="Y365" s="563" t="str">
        <f>VLOOKUP(A365,'[1]Raw data'!$B:$AS,39,FALSE)</f>
        <v>Yes</v>
      </c>
      <c r="Z365" s="568"/>
      <c r="AA365" s="569"/>
      <c r="AB365" s="570"/>
      <c r="AC365" s="563" t="s">
        <v>831</v>
      </c>
      <c r="AD365" s="564">
        <v>303</v>
      </c>
      <c r="AE365" s="564">
        <v>10</v>
      </c>
      <c r="AF365" s="564">
        <v>302</v>
      </c>
      <c r="AG365" s="564">
        <v>10</v>
      </c>
      <c r="AH365" s="564"/>
      <c r="AI365" s="627"/>
      <c r="AJ365" s="564"/>
      <c r="AK365" s="564"/>
      <c r="AL365" s="564"/>
      <c r="AM365" s="564"/>
      <c r="AN365" s="542"/>
      <c r="AO365" s="824" t="str">
        <f t="shared" si="49"/>
        <v>Yes</v>
      </c>
      <c r="AP365" s="259" t="str">
        <f t="shared" si="50"/>
        <v>FEB 20</v>
      </c>
      <c r="AQ365" s="542" t="str">
        <f t="shared" si="51"/>
        <v>有定金+有預留客戶</v>
      </c>
      <c r="AR365" s="259" t="str">
        <f t="shared" si="52"/>
        <v>Shipped_Stock</v>
      </c>
      <c r="AS365" s="259" t="str">
        <f t="shared" si="53"/>
        <v/>
      </c>
      <c r="AT365" s="259" t="str">
        <f t="shared" si="54"/>
        <v>博睿通</v>
      </c>
      <c r="AU365" s="259" t="str">
        <f t="shared" si="55"/>
        <v>C49SZX20190141SS</v>
      </c>
      <c r="AV365" s="259" t="str">
        <f t="shared" si="56"/>
        <v>Feb-22</v>
      </c>
    </row>
    <row r="366" spans="1:48" ht="23.25" hidden="1" thickBot="1">
      <c r="A366" s="599">
        <v>471</v>
      </c>
      <c r="B366" s="560" t="s">
        <v>280</v>
      </c>
      <c r="C366" s="560" t="s">
        <v>281</v>
      </c>
      <c r="D366" s="624">
        <v>109815</v>
      </c>
      <c r="E366" s="562" t="s">
        <v>886</v>
      </c>
      <c r="F366" s="563" t="s">
        <v>17</v>
      </c>
      <c r="G366" s="563" t="s">
        <v>18</v>
      </c>
      <c r="H366" s="563" t="s">
        <v>26</v>
      </c>
      <c r="I366" s="564" t="s">
        <v>887</v>
      </c>
      <c r="J366" s="564">
        <v>1</v>
      </c>
      <c r="K366" s="563" t="s">
        <v>295</v>
      </c>
      <c r="L366" s="565">
        <v>43901</v>
      </c>
      <c r="M366" s="615" t="s">
        <v>888</v>
      </c>
      <c r="N366" s="563" t="s">
        <v>554</v>
      </c>
      <c r="O366" s="563">
        <v>2020.02</v>
      </c>
      <c r="P366" s="566" t="str">
        <f>VLOOKUP(A366,'[1]Raw data'!$B:$BB,23,FALSE)</f>
        <v>RMB</v>
      </c>
      <c r="Q366" s="563" t="str">
        <f>VLOOKUP(A366,'[1]Raw data'!$B:$Z,2,FALSE)</f>
        <v>C49SZX20190116CX</v>
      </c>
      <c r="R366" s="563" t="str">
        <f>VLOOKUP(A366,'[1]Raw data'!$B:$Z,3,FALSE)</f>
        <v>豪恩</v>
      </c>
      <c r="S366" s="563" t="str">
        <f>VLOOKUP(A366,'[1]Raw data'!$B:$Z,4,FALSE)</f>
        <v>YSM10</v>
      </c>
      <c r="T366" s="563" t="str">
        <f>VLOOKUP(A366,'[1]Raw data'!$B:$Z,8,FALSE)</f>
        <v>R-&gt;L</v>
      </c>
      <c r="U366" s="563" t="str">
        <f>VLOOKUP(A366,'[1]Raw data'!$B:$Z,9,FALSE)</f>
        <v>MVC</v>
      </c>
      <c r="V366" s="567" t="str">
        <f t="shared" si="57"/>
        <v>WRONG</v>
      </c>
      <c r="W366" s="563" t="str">
        <f>VLOOKUP(A366,'[1]Raw data'!$B:$AG,32,FALSE)</f>
        <v>含税到厂</v>
      </c>
      <c r="X366" s="563">
        <f>VLOOKUP(A366,'[1]Raw data'!$B:$BA,31,FALSE)</f>
        <v>43760</v>
      </c>
      <c r="Y366" s="563" t="str">
        <f>VLOOKUP(A366,'[1]Raw data'!$B:$AS,39,FALSE)</f>
        <v>Yes</v>
      </c>
      <c r="AC366" s="563" t="s">
        <v>813</v>
      </c>
      <c r="AD366" s="564">
        <v>301</v>
      </c>
      <c r="AE366" s="564">
        <v>10</v>
      </c>
      <c r="AF366" s="564"/>
      <c r="AG366" s="564"/>
      <c r="AH366" s="564"/>
      <c r="AI366" s="627"/>
      <c r="AJ366" s="564"/>
      <c r="AK366" s="564"/>
      <c r="AL366" s="564"/>
      <c r="AM366" s="564"/>
      <c r="AN366" s="614"/>
      <c r="AO366" s="824" t="str">
        <f t="shared" si="49"/>
        <v>Yes</v>
      </c>
      <c r="AP366" s="259" t="str">
        <f t="shared" si="50"/>
        <v>APR 20</v>
      </c>
      <c r="AQ366" s="542" t="str">
        <f t="shared" si="51"/>
        <v>有定金+有預留客戶</v>
      </c>
      <c r="AR366" s="259" t="str">
        <f t="shared" si="52"/>
        <v>Shipped_Stock</v>
      </c>
      <c r="AS366" s="259" t="str">
        <f t="shared" si="53"/>
        <v/>
      </c>
      <c r="AT366" s="259" t="str">
        <f t="shared" si="54"/>
        <v>豪恩</v>
      </c>
      <c r="AU366" s="259" t="str">
        <f t="shared" si="55"/>
        <v>C49SZX20190116CX</v>
      </c>
      <c r="AV366" s="259" t="str">
        <f t="shared" si="56"/>
        <v>Mar-11</v>
      </c>
    </row>
    <row r="367" spans="1:48" hidden="1">
      <c r="A367" s="599">
        <v>558</v>
      </c>
      <c r="B367" s="560" t="s">
        <v>280</v>
      </c>
      <c r="C367" s="560" t="s">
        <v>281</v>
      </c>
      <c r="D367" s="623">
        <v>109793</v>
      </c>
      <c r="E367" s="562" t="s">
        <v>889</v>
      </c>
      <c r="F367" s="563" t="s">
        <v>149</v>
      </c>
      <c r="G367" s="563" t="s">
        <v>18</v>
      </c>
      <c r="H367" s="563" t="s">
        <v>307</v>
      </c>
      <c r="I367" s="564" t="s">
        <v>890</v>
      </c>
      <c r="J367" s="564">
        <v>1</v>
      </c>
      <c r="K367" s="563" t="s">
        <v>295</v>
      </c>
      <c r="L367" s="565">
        <v>43901</v>
      </c>
      <c r="M367" s="576">
        <v>6.4000000000000001E-2</v>
      </c>
      <c r="N367" s="563" t="s">
        <v>785</v>
      </c>
      <c r="O367" s="563">
        <v>2020.02</v>
      </c>
      <c r="P367" s="566" t="str">
        <f>VLOOKUP(A367,'[1]Raw data'!$B:$BB,23,FALSE)</f>
        <v>RMB</v>
      </c>
      <c r="Q367" s="563" t="str">
        <f>VLOOKUP(A367,'[1]Raw data'!$B:$Z,2,FALSE)</f>
        <v>C49SZX20190186SS</v>
      </c>
      <c r="R367" s="563" t="str">
        <f>VLOOKUP(A367,'[1]Raw data'!$B:$Z,3,FALSE)</f>
        <v>龙大光电</v>
      </c>
      <c r="S367" s="563" t="str">
        <f>VLOOKUP(A367,'[1]Raw data'!$B:$Z,4,FALSE)</f>
        <v>YSM40R-4</v>
      </c>
      <c r="T367" s="563" t="str">
        <f>VLOOKUP(A367,'[1]Raw data'!$B:$Z,8,FALSE)</f>
        <v>R-&gt;L</v>
      </c>
      <c r="U367" s="563" t="str">
        <f>VLOOKUP(A367,'[1]Raw data'!$B:$Z,9,FALSE)</f>
        <v>No</v>
      </c>
      <c r="V367" s="567" t="str">
        <f t="shared" si="57"/>
        <v>OK</v>
      </c>
      <c r="W367" s="563" t="str">
        <f>VLOOKUP(A367,'[1]Raw data'!$B:$AG,32,FALSE)</f>
        <v>含税到厂</v>
      </c>
      <c r="X367" s="563">
        <f>VLOOKUP(A367,'[1]Raw data'!$B:$BA,31,FALSE)</f>
        <v>43818</v>
      </c>
      <c r="Y367" s="563" t="str">
        <f>VLOOKUP(A367,'[1]Raw data'!$B:$AS,39,FALSE)</f>
        <v>Yes</v>
      </c>
      <c r="AC367" s="563" t="s">
        <v>891</v>
      </c>
      <c r="AD367" s="564"/>
      <c r="AE367" s="564"/>
      <c r="AF367" s="564"/>
      <c r="AG367" s="564"/>
      <c r="AH367" s="564"/>
      <c r="AI367" s="627"/>
      <c r="AJ367" s="564"/>
      <c r="AK367" s="564"/>
      <c r="AL367" s="564"/>
      <c r="AM367" s="564"/>
      <c r="AN367" s="614"/>
      <c r="AO367" s="824" t="str">
        <f t="shared" si="49"/>
        <v>Yes</v>
      </c>
      <c r="AP367" s="259" t="str">
        <f t="shared" si="50"/>
        <v>MAR 20</v>
      </c>
      <c r="AQ367" s="542" t="str">
        <f t="shared" si="51"/>
        <v>有定金+有預留客戶</v>
      </c>
      <c r="AR367" s="259" t="str">
        <f t="shared" si="52"/>
        <v>Shipped_Stock</v>
      </c>
      <c r="AS367" s="259" t="str">
        <f t="shared" si="53"/>
        <v/>
      </c>
      <c r="AT367" s="259" t="str">
        <f t="shared" si="54"/>
        <v>龙大光电</v>
      </c>
      <c r="AU367" s="259" t="str">
        <f t="shared" si="55"/>
        <v>C49SZX20190186SS</v>
      </c>
      <c r="AV367" s="259" t="str">
        <f t="shared" si="56"/>
        <v>Mar-11</v>
      </c>
    </row>
    <row r="368" spans="1:48" ht="15" hidden="1" customHeight="1">
      <c r="A368" s="599">
        <v>559</v>
      </c>
      <c r="B368" s="560" t="s">
        <v>280</v>
      </c>
      <c r="C368" s="560" t="s">
        <v>281</v>
      </c>
      <c r="D368" s="625">
        <v>109793</v>
      </c>
      <c r="E368" s="562" t="s">
        <v>889</v>
      </c>
      <c r="F368" s="563" t="s">
        <v>149</v>
      </c>
      <c r="G368" s="563" t="s">
        <v>18</v>
      </c>
      <c r="H368" s="563" t="s">
        <v>307</v>
      </c>
      <c r="I368" s="564" t="s">
        <v>892</v>
      </c>
      <c r="J368" s="564">
        <v>1</v>
      </c>
      <c r="K368" s="563" t="s">
        <v>295</v>
      </c>
      <c r="L368" s="565">
        <v>43901</v>
      </c>
      <c r="M368" s="576">
        <v>6.4000000000000001E-2</v>
      </c>
      <c r="N368" s="563" t="s">
        <v>785</v>
      </c>
      <c r="O368" s="563">
        <v>2020.02</v>
      </c>
      <c r="P368" s="566" t="str">
        <f>VLOOKUP(A368,'[1]Raw data'!$B:$BB,23,FALSE)</f>
        <v>RMB</v>
      </c>
      <c r="Q368" s="563" t="str">
        <f>VLOOKUP(A368,'[1]Raw data'!$B:$Z,2,FALSE)</f>
        <v>C49SZX20190186SS</v>
      </c>
      <c r="R368" s="563" t="str">
        <f>VLOOKUP(A368,'[1]Raw data'!$B:$Z,3,FALSE)</f>
        <v>龙大光电</v>
      </c>
      <c r="S368" s="563" t="str">
        <f>VLOOKUP(A368,'[1]Raw data'!$B:$Z,4,FALSE)</f>
        <v>YSM40R-4</v>
      </c>
      <c r="T368" s="563" t="str">
        <f>VLOOKUP(A368,'[1]Raw data'!$B:$Z,8,FALSE)</f>
        <v>R-&gt;L</v>
      </c>
      <c r="U368" s="563" t="str">
        <f>VLOOKUP(A368,'[1]Raw data'!$B:$Z,9,FALSE)</f>
        <v>No</v>
      </c>
      <c r="V368" s="567" t="str">
        <f t="shared" si="57"/>
        <v>OK</v>
      </c>
      <c r="W368" s="563" t="str">
        <f>VLOOKUP(A368,'[1]Raw data'!$B:$AG,32,FALSE)</f>
        <v>含税到厂</v>
      </c>
      <c r="X368" s="563">
        <f>VLOOKUP(A368,'[1]Raw data'!$B:$BA,31,FALSE)</f>
        <v>43818</v>
      </c>
      <c r="Y368" s="563" t="str">
        <f>VLOOKUP(A368,'[1]Raw data'!$B:$AS,39,FALSE)</f>
        <v>Yes</v>
      </c>
      <c r="AC368" s="563" t="s">
        <v>891</v>
      </c>
      <c r="AD368" s="564"/>
      <c r="AE368" s="564"/>
      <c r="AF368" s="564"/>
      <c r="AG368" s="564"/>
      <c r="AH368" s="564"/>
      <c r="AI368" s="627"/>
      <c r="AJ368" s="564"/>
      <c r="AK368" s="564"/>
      <c r="AL368" s="564"/>
      <c r="AM368" s="564"/>
      <c r="AN368" s="614"/>
      <c r="AO368" s="824" t="str">
        <f t="shared" si="49"/>
        <v>Yes</v>
      </c>
      <c r="AP368" s="259" t="str">
        <f t="shared" si="50"/>
        <v>MAR 20</v>
      </c>
      <c r="AQ368" s="542" t="str">
        <f t="shared" si="51"/>
        <v>有定金+有預留客戶</v>
      </c>
      <c r="AR368" s="259" t="str">
        <f t="shared" si="52"/>
        <v>Shipped_Stock</v>
      </c>
      <c r="AS368" s="259" t="str">
        <f t="shared" si="53"/>
        <v/>
      </c>
      <c r="AT368" s="259" t="str">
        <f t="shared" si="54"/>
        <v>龙大光电</v>
      </c>
      <c r="AU368" s="259" t="str">
        <f t="shared" si="55"/>
        <v>C49SZX20190186SS</v>
      </c>
      <c r="AV368" s="259" t="str">
        <f t="shared" si="56"/>
        <v>Mar-11</v>
      </c>
    </row>
    <row r="369" spans="1:48" ht="33.75" hidden="1">
      <c r="A369" s="559">
        <v>591</v>
      </c>
      <c r="B369" s="560" t="s">
        <v>280</v>
      </c>
      <c r="C369" s="560" t="s">
        <v>281</v>
      </c>
      <c r="D369" s="625">
        <v>109815</v>
      </c>
      <c r="E369" s="562" t="s">
        <v>886</v>
      </c>
      <c r="F369" s="563" t="s">
        <v>17</v>
      </c>
      <c r="G369" s="563" t="s">
        <v>18</v>
      </c>
      <c r="H369" s="563" t="s">
        <v>26</v>
      </c>
      <c r="I369" s="564" t="s">
        <v>893</v>
      </c>
      <c r="J369" s="564">
        <v>1</v>
      </c>
      <c r="K369" s="563" t="s">
        <v>437</v>
      </c>
      <c r="L369" s="565">
        <v>43901</v>
      </c>
      <c r="M369" s="615" t="s">
        <v>894</v>
      </c>
      <c r="N369" s="563" t="s">
        <v>554</v>
      </c>
      <c r="O369" s="563">
        <v>2020.02</v>
      </c>
      <c r="P369" s="566" t="str">
        <f>VLOOKUP(A369,'[1]Raw data'!$B:$BB,23,FALSE)</f>
        <v>JPY</v>
      </c>
      <c r="Q369" s="563" t="str">
        <f>VLOOKUP(A369,'[1]Raw data'!$B:$Z,2,FALSE)</f>
        <v>C49SZX20200023SX</v>
      </c>
      <c r="R369" s="563" t="str">
        <f>VLOOKUP(A369,'[1]Raw data'!$B:$Z,3,FALSE)</f>
        <v>奕东</v>
      </c>
      <c r="S369" s="563" t="str">
        <f>VLOOKUP(A369,'[1]Raw data'!$B:$Z,4,FALSE)</f>
        <v>YSM10</v>
      </c>
      <c r="T369" s="563" t="str">
        <f>VLOOKUP(A369,'[1]Raw data'!$B:$Z,8,FALSE)</f>
        <v>R-&gt;L</v>
      </c>
      <c r="U369" s="563" t="str">
        <f>VLOOKUP(A369,'[1]Raw data'!$B:$Z,9,FALSE)</f>
        <v>No</v>
      </c>
      <c r="V369" s="567" t="str">
        <f t="shared" si="57"/>
        <v>OK</v>
      </c>
      <c r="W369" s="563" t="str">
        <f>VLOOKUP(A369,'[1]Raw data'!$B:$AG,32,FALSE)</f>
        <v>DAP DG</v>
      </c>
      <c r="X369" s="563">
        <f>VLOOKUP(A369,'[1]Raw data'!$B:$BA,31,FALSE)</f>
        <v>43924</v>
      </c>
      <c r="Y369" s="563" t="str">
        <f>VLOOKUP(A369,'[1]Raw data'!$B:$AS,39,FALSE)</f>
        <v>Yes</v>
      </c>
      <c r="AC369" s="563" t="s">
        <v>895</v>
      </c>
      <c r="AD369" s="571">
        <v>302</v>
      </c>
      <c r="AE369" s="571">
        <v>10</v>
      </c>
      <c r="AN369" s="614"/>
      <c r="AO369" s="824" t="str">
        <f t="shared" si="49"/>
        <v>Yes</v>
      </c>
      <c r="AP369" s="259" t="str">
        <f t="shared" si="50"/>
        <v>APR 20</v>
      </c>
      <c r="AQ369" s="542" t="str">
        <f t="shared" si="51"/>
        <v>有定金+有預留客戶</v>
      </c>
      <c r="AR369" s="259" t="str">
        <f t="shared" si="52"/>
        <v>Shipped_Stock</v>
      </c>
      <c r="AS369" s="259" t="str">
        <f t="shared" si="53"/>
        <v/>
      </c>
      <c r="AT369" s="259" t="str">
        <f t="shared" si="54"/>
        <v>奕东</v>
      </c>
      <c r="AU369" s="259" t="str">
        <f t="shared" si="55"/>
        <v>C49SZX20200023SX</v>
      </c>
      <c r="AV369" s="259" t="str">
        <f t="shared" si="56"/>
        <v>Mar-11</v>
      </c>
    </row>
    <row r="370" spans="1:48" ht="34.5" hidden="1" thickBot="1">
      <c r="A370" s="559">
        <v>592</v>
      </c>
      <c r="B370" s="560" t="s">
        <v>280</v>
      </c>
      <c r="C370" s="560" t="s">
        <v>281</v>
      </c>
      <c r="D370" s="624">
        <v>109815</v>
      </c>
      <c r="E370" s="562" t="s">
        <v>886</v>
      </c>
      <c r="F370" s="563" t="s">
        <v>17</v>
      </c>
      <c r="G370" s="563" t="s">
        <v>18</v>
      </c>
      <c r="H370" s="563" t="s">
        <v>26</v>
      </c>
      <c r="I370" s="564" t="s">
        <v>896</v>
      </c>
      <c r="J370" s="564">
        <v>1</v>
      </c>
      <c r="K370" s="563" t="s">
        <v>437</v>
      </c>
      <c r="L370" s="565">
        <v>43901</v>
      </c>
      <c r="M370" s="615" t="s">
        <v>894</v>
      </c>
      <c r="N370" s="563" t="s">
        <v>554</v>
      </c>
      <c r="O370" s="563">
        <v>2020.02</v>
      </c>
      <c r="P370" s="566" t="str">
        <f>VLOOKUP(A370,'[1]Raw data'!$B:$BB,23,FALSE)</f>
        <v>JPY</v>
      </c>
      <c r="Q370" s="563" t="str">
        <f>VLOOKUP(A370,'[1]Raw data'!$B:$Z,2,FALSE)</f>
        <v>C49SZX20200023SX</v>
      </c>
      <c r="R370" s="563" t="str">
        <f>VLOOKUP(A370,'[1]Raw data'!$B:$Z,3,FALSE)</f>
        <v>奕东</v>
      </c>
      <c r="S370" s="563" t="str">
        <f>VLOOKUP(A370,'[1]Raw data'!$B:$Z,4,FALSE)</f>
        <v>YSM10</v>
      </c>
      <c r="T370" s="563" t="str">
        <f>VLOOKUP(A370,'[1]Raw data'!$B:$Z,8,FALSE)</f>
        <v>R-&gt;L</v>
      </c>
      <c r="U370" s="563" t="str">
        <f>VLOOKUP(A370,'[1]Raw data'!$B:$Z,9,FALSE)</f>
        <v>No</v>
      </c>
      <c r="V370" s="567" t="str">
        <f t="shared" si="57"/>
        <v>OK</v>
      </c>
      <c r="W370" s="563" t="str">
        <f>VLOOKUP(A370,'[1]Raw data'!$B:$AG,32,FALSE)</f>
        <v>DAP DG</v>
      </c>
      <c r="X370" s="563">
        <f>VLOOKUP(A370,'[1]Raw data'!$B:$BA,31,FALSE)</f>
        <v>43924</v>
      </c>
      <c r="Y370" s="563" t="str">
        <f>VLOOKUP(A370,'[1]Raw data'!$B:$AS,39,FALSE)</f>
        <v>Yes</v>
      </c>
      <c r="AC370" s="563" t="s">
        <v>895</v>
      </c>
      <c r="AD370" s="571">
        <v>302</v>
      </c>
      <c r="AE370" s="571">
        <v>10</v>
      </c>
      <c r="AN370" s="614"/>
      <c r="AO370" s="824" t="str">
        <f t="shared" si="49"/>
        <v>Yes</v>
      </c>
      <c r="AP370" s="259" t="str">
        <f t="shared" si="50"/>
        <v>APR 20</v>
      </c>
      <c r="AQ370" s="542" t="str">
        <f t="shared" si="51"/>
        <v>有定金+有預留客戶</v>
      </c>
      <c r="AR370" s="259" t="str">
        <f t="shared" si="52"/>
        <v>Shipped_Stock</v>
      </c>
      <c r="AS370" s="259" t="str">
        <f t="shared" si="53"/>
        <v/>
      </c>
      <c r="AT370" s="259" t="str">
        <f t="shared" si="54"/>
        <v>奕东</v>
      </c>
      <c r="AU370" s="259" t="str">
        <f t="shared" si="55"/>
        <v>C49SZX20200023SX</v>
      </c>
      <c r="AV370" s="259" t="str">
        <f t="shared" si="56"/>
        <v>Mar-11</v>
      </c>
    </row>
    <row r="371" spans="1:48" ht="33.75" hidden="1">
      <c r="A371" s="559">
        <v>589</v>
      </c>
      <c r="B371" s="560" t="s">
        <v>280</v>
      </c>
      <c r="C371" s="560" t="s">
        <v>281</v>
      </c>
      <c r="D371" s="623">
        <v>109815</v>
      </c>
      <c r="E371" s="562" t="s">
        <v>886</v>
      </c>
      <c r="F371" s="563" t="s">
        <v>17</v>
      </c>
      <c r="G371" s="563" t="s">
        <v>18</v>
      </c>
      <c r="H371" s="563" t="s">
        <v>26</v>
      </c>
      <c r="I371" s="564" t="s">
        <v>897</v>
      </c>
      <c r="J371" s="564">
        <v>1</v>
      </c>
      <c r="K371" s="563" t="s">
        <v>437</v>
      </c>
      <c r="L371" s="565">
        <v>43901</v>
      </c>
      <c r="M371" s="615" t="s">
        <v>894</v>
      </c>
      <c r="N371" s="563" t="s">
        <v>554</v>
      </c>
      <c r="O371" s="563">
        <v>2020.02</v>
      </c>
      <c r="P371" s="566" t="str">
        <f>VLOOKUP(A371,'[1]Raw data'!$B:$BB,23,FALSE)</f>
        <v>JPY</v>
      </c>
      <c r="Q371" s="563" t="str">
        <f>VLOOKUP(A371,'[1]Raw data'!$B:$Z,2,FALSE)</f>
        <v>C49SZX20200023SX</v>
      </c>
      <c r="R371" s="563" t="str">
        <f>VLOOKUP(A371,'[1]Raw data'!$B:$Z,3,FALSE)</f>
        <v>奕东</v>
      </c>
      <c r="S371" s="563" t="str">
        <f>VLOOKUP(A371,'[1]Raw data'!$B:$Z,4,FALSE)</f>
        <v>YSM10</v>
      </c>
      <c r="T371" s="563" t="str">
        <f>VLOOKUP(A371,'[1]Raw data'!$B:$Z,8,FALSE)</f>
        <v>R-&gt;L</v>
      </c>
      <c r="U371" s="563" t="str">
        <f>VLOOKUP(A371,'[1]Raw data'!$B:$Z,9,FALSE)</f>
        <v>No</v>
      </c>
      <c r="V371" s="567" t="str">
        <f t="shared" si="57"/>
        <v>OK</v>
      </c>
      <c r="W371" s="563" t="str">
        <f>VLOOKUP(A371,'[1]Raw data'!$B:$AG,32,FALSE)</f>
        <v>DAP DG</v>
      </c>
      <c r="X371" s="563">
        <f>VLOOKUP(A371,'[1]Raw data'!$B:$BA,31,FALSE)</f>
        <v>43924</v>
      </c>
      <c r="Y371" s="563" t="str">
        <f>VLOOKUP(A371,'[1]Raw data'!$B:$AS,39,FALSE)</f>
        <v>Yes</v>
      </c>
      <c r="AC371" s="563" t="s">
        <v>895</v>
      </c>
      <c r="AD371" s="571">
        <v>302</v>
      </c>
      <c r="AE371" s="571">
        <v>10</v>
      </c>
      <c r="AN371" s="614"/>
      <c r="AO371" s="824" t="str">
        <f t="shared" si="49"/>
        <v>Yes</v>
      </c>
      <c r="AP371" s="259" t="str">
        <f t="shared" si="50"/>
        <v>APR 20</v>
      </c>
      <c r="AQ371" s="542" t="str">
        <f t="shared" si="51"/>
        <v>有定金+有預留客戶</v>
      </c>
      <c r="AR371" s="259" t="str">
        <f t="shared" si="52"/>
        <v>Shipped_Stock</v>
      </c>
      <c r="AS371" s="259" t="str">
        <f t="shared" si="53"/>
        <v/>
      </c>
      <c r="AT371" s="259" t="str">
        <f t="shared" si="54"/>
        <v>奕东</v>
      </c>
      <c r="AU371" s="259" t="str">
        <f t="shared" si="55"/>
        <v>C49SZX20200023SX</v>
      </c>
      <c r="AV371" s="259" t="str">
        <f t="shared" si="56"/>
        <v>Mar-11</v>
      </c>
    </row>
    <row r="372" spans="1:48" ht="34.5" hidden="1" thickBot="1">
      <c r="A372" s="559">
        <v>590</v>
      </c>
      <c r="B372" s="560" t="s">
        <v>280</v>
      </c>
      <c r="C372" s="560" t="s">
        <v>281</v>
      </c>
      <c r="D372" s="624">
        <v>109815</v>
      </c>
      <c r="E372" s="562" t="s">
        <v>886</v>
      </c>
      <c r="F372" s="563" t="s">
        <v>17</v>
      </c>
      <c r="G372" s="563" t="s">
        <v>18</v>
      </c>
      <c r="H372" s="563" t="s">
        <v>26</v>
      </c>
      <c r="I372" s="564" t="s">
        <v>898</v>
      </c>
      <c r="J372" s="564">
        <v>1</v>
      </c>
      <c r="K372" s="563" t="s">
        <v>437</v>
      </c>
      <c r="L372" s="565">
        <v>43901</v>
      </c>
      <c r="M372" s="615" t="s">
        <v>894</v>
      </c>
      <c r="N372" s="563" t="s">
        <v>554</v>
      </c>
      <c r="O372" s="563">
        <v>2020.02</v>
      </c>
      <c r="P372" s="566" t="str">
        <f>VLOOKUP(A372,'[1]Raw data'!$B:$BB,23,FALSE)</f>
        <v>JPY</v>
      </c>
      <c r="Q372" s="563" t="str">
        <f>VLOOKUP(A372,'[1]Raw data'!$B:$Z,2,FALSE)</f>
        <v>C49SZX20200023SX</v>
      </c>
      <c r="R372" s="563" t="str">
        <f>VLOOKUP(A372,'[1]Raw data'!$B:$Z,3,FALSE)</f>
        <v>奕东</v>
      </c>
      <c r="S372" s="563" t="str">
        <f>VLOOKUP(A372,'[1]Raw data'!$B:$Z,4,FALSE)</f>
        <v>YSM10</v>
      </c>
      <c r="T372" s="563" t="str">
        <f>VLOOKUP(A372,'[1]Raw data'!$B:$Z,8,FALSE)</f>
        <v>R-&gt;L</v>
      </c>
      <c r="U372" s="563" t="str">
        <f>VLOOKUP(A372,'[1]Raw data'!$B:$Z,9,FALSE)</f>
        <v>No</v>
      </c>
      <c r="V372" s="567" t="str">
        <f t="shared" si="57"/>
        <v>OK</v>
      </c>
      <c r="W372" s="563" t="str">
        <f>VLOOKUP(A372,'[1]Raw data'!$B:$AG,32,FALSE)</f>
        <v>DAP DG</v>
      </c>
      <c r="X372" s="563">
        <f>VLOOKUP(A372,'[1]Raw data'!$B:$BA,31,FALSE)</f>
        <v>43924</v>
      </c>
      <c r="Y372" s="563" t="str">
        <f>VLOOKUP(A372,'[1]Raw data'!$B:$AS,39,FALSE)</f>
        <v>Yes</v>
      </c>
      <c r="AC372" s="563" t="s">
        <v>895</v>
      </c>
      <c r="AD372" s="571">
        <v>302</v>
      </c>
      <c r="AE372" s="571">
        <v>10</v>
      </c>
      <c r="AN372" s="614"/>
      <c r="AO372" s="824" t="str">
        <f t="shared" si="49"/>
        <v>Yes</v>
      </c>
      <c r="AP372" s="259" t="str">
        <f t="shared" si="50"/>
        <v>APR 20</v>
      </c>
      <c r="AQ372" s="542" t="str">
        <f t="shared" si="51"/>
        <v>有定金+有預留客戶</v>
      </c>
      <c r="AR372" s="259" t="str">
        <f t="shared" si="52"/>
        <v>Shipped_Stock</v>
      </c>
      <c r="AS372" s="259" t="str">
        <f t="shared" si="53"/>
        <v/>
      </c>
      <c r="AT372" s="259" t="str">
        <f t="shared" si="54"/>
        <v>奕东</v>
      </c>
      <c r="AU372" s="259" t="str">
        <f t="shared" si="55"/>
        <v>C49SZX20200023SX</v>
      </c>
      <c r="AV372" s="259" t="str">
        <f t="shared" si="56"/>
        <v>Mar-11</v>
      </c>
    </row>
    <row r="373" spans="1:48" ht="26.25" hidden="1" customHeight="1" thickBot="1">
      <c r="A373" s="559">
        <v>549</v>
      </c>
      <c r="B373" s="560" t="s">
        <v>280</v>
      </c>
      <c r="C373" s="560" t="s">
        <v>281</v>
      </c>
      <c r="D373" s="643">
        <v>109794</v>
      </c>
      <c r="E373" s="562" t="s">
        <v>899</v>
      </c>
      <c r="F373" s="563" t="s">
        <v>149</v>
      </c>
      <c r="G373" s="563" t="s">
        <v>18</v>
      </c>
      <c r="H373" s="563" t="s">
        <v>307</v>
      </c>
      <c r="I373" s="564" t="s">
        <v>900</v>
      </c>
      <c r="J373" s="564">
        <v>1</v>
      </c>
      <c r="K373" s="563" t="s">
        <v>746</v>
      </c>
      <c r="L373" s="565">
        <v>43908</v>
      </c>
      <c r="M373" s="576">
        <v>6.4000000000000001E-2</v>
      </c>
      <c r="N373" s="563" t="s">
        <v>785</v>
      </c>
      <c r="O373" s="563">
        <v>2020.02</v>
      </c>
      <c r="P373" s="566" t="str">
        <f>VLOOKUP(A373,'[1]Raw data'!$B:$BB,23,FALSE)</f>
        <v>RMB</v>
      </c>
      <c r="Q373" s="563" t="str">
        <f>VLOOKUP(A373,'[1]Raw data'!$B:$Z,2,FALSE)</f>
        <v>C49SZX20190185DZ</v>
      </c>
      <c r="R373" s="563" t="str">
        <f>VLOOKUP(A373,'[1]Raw data'!$B:$Z,3,FALSE)</f>
        <v>耕创</v>
      </c>
      <c r="S373" s="563" t="str">
        <f>VLOOKUP(A373,'[1]Raw data'!$B:$Z,4,FALSE)</f>
        <v>YSM40R-4</v>
      </c>
      <c r="T373" s="563" t="str">
        <f>VLOOKUP(A373,'[1]Raw data'!$B:$Z,8,FALSE)</f>
        <v>L-&gt;R</v>
      </c>
      <c r="U373" s="563" t="str">
        <f>VLOOKUP(A373,'[1]Raw data'!$B:$Z,9,FALSE)</f>
        <v>No</v>
      </c>
      <c r="V373" s="567" t="str">
        <f t="shared" si="57"/>
        <v>WRONG</v>
      </c>
      <c r="W373" s="563" t="str">
        <f>VLOOKUP(A373,'[1]Raw data'!$B:$AG,32,FALSE)</f>
        <v>DDP SZ</v>
      </c>
      <c r="X373" s="563">
        <f>VLOOKUP(A373,'[1]Raw data'!$B:$BA,31,FALSE)</f>
        <v>43817</v>
      </c>
      <c r="Y373" s="563" t="str">
        <f>VLOOKUP(A373,'[1]Raw data'!$B:$AS,39,FALSE)</f>
        <v>Yes</v>
      </c>
      <c r="AC373" s="563" t="s">
        <v>671</v>
      </c>
      <c r="AN373" s="614"/>
      <c r="AO373" s="824" t="str">
        <f t="shared" si="49"/>
        <v>Yes</v>
      </c>
      <c r="AP373" s="259" t="str">
        <f t="shared" si="50"/>
        <v>MAR 20</v>
      </c>
      <c r="AQ373" s="542" t="str">
        <f t="shared" si="51"/>
        <v>有定金+有預留客戶</v>
      </c>
      <c r="AR373" s="259" t="str">
        <f t="shared" si="52"/>
        <v>Shipped_Stock</v>
      </c>
      <c r="AS373" s="259" t="str">
        <f t="shared" si="53"/>
        <v/>
      </c>
      <c r="AT373" s="259" t="str">
        <f t="shared" si="54"/>
        <v>耕创</v>
      </c>
      <c r="AU373" s="259" t="str">
        <f t="shared" si="55"/>
        <v>C49SZX20190185DZ</v>
      </c>
      <c r="AV373" s="259" t="str">
        <f t="shared" si="56"/>
        <v>Mar-18</v>
      </c>
    </row>
    <row r="374" spans="1:48" ht="15" hidden="1" customHeight="1">
      <c r="A374" s="559">
        <v>550</v>
      </c>
      <c r="B374" s="560" t="s">
        <v>280</v>
      </c>
      <c r="C374" s="560" t="s">
        <v>281</v>
      </c>
      <c r="D374" s="623">
        <v>109794</v>
      </c>
      <c r="E374" s="562" t="s">
        <v>899</v>
      </c>
      <c r="F374" s="563" t="s">
        <v>298</v>
      </c>
      <c r="G374" s="563" t="s">
        <v>18</v>
      </c>
      <c r="H374" s="563" t="s">
        <v>307</v>
      </c>
      <c r="I374" s="564" t="s">
        <v>901</v>
      </c>
      <c r="J374" s="564">
        <v>1</v>
      </c>
      <c r="K374" s="563" t="s">
        <v>746</v>
      </c>
      <c r="L374" s="565">
        <v>43908</v>
      </c>
      <c r="M374" s="576">
        <v>6.4000000000000001E-2</v>
      </c>
      <c r="N374" s="563" t="s">
        <v>785</v>
      </c>
      <c r="O374" s="563">
        <v>2020.2</v>
      </c>
      <c r="P374" s="566" t="str">
        <f>VLOOKUP(A374,'[1]Raw data'!$B:$BB,23,FALSE)</f>
        <v>RMB</v>
      </c>
      <c r="Q374" s="563" t="str">
        <f>VLOOKUP(A374,'[1]Raw data'!$B:$Z,2,FALSE)</f>
        <v>C49SZX20190185DZ</v>
      </c>
      <c r="R374" s="563" t="str">
        <f>VLOOKUP(A374,'[1]Raw data'!$B:$Z,3,FALSE)</f>
        <v>耕创</v>
      </c>
      <c r="S374" s="563" t="str">
        <f>VLOOKUP(A374,'[1]Raw data'!$B:$Z,4,FALSE)</f>
        <v>YSM40R-4</v>
      </c>
      <c r="T374" s="563" t="str">
        <f>VLOOKUP(A374,'[1]Raw data'!$B:$Z,8,FALSE)</f>
        <v>L-&gt;R</v>
      </c>
      <c r="U374" s="563" t="str">
        <f>VLOOKUP(A374,'[1]Raw data'!$B:$Z,9,FALSE)</f>
        <v>No</v>
      </c>
      <c r="V374" s="567" t="str">
        <f t="shared" si="57"/>
        <v>WRONG</v>
      </c>
      <c r="W374" s="563" t="str">
        <f>VLOOKUP(A374,'[1]Raw data'!$B:$AG,32,FALSE)</f>
        <v>DDP SZ</v>
      </c>
      <c r="X374" s="563">
        <f>VLOOKUP(A374,'[1]Raw data'!$B:$BA,31,FALSE)</f>
        <v>43817</v>
      </c>
      <c r="Y374" s="563" t="str">
        <f>VLOOKUP(A374,'[1]Raw data'!$B:$AS,39,FALSE)</f>
        <v>Yes</v>
      </c>
      <c r="AC374" s="563" t="s">
        <v>671</v>
      </c>
      <c r="AN374" s="542"/>
      <c r="AO374" s="824" t="str">
        <f t="shared" si="49"/>
        <v>Yes</v>
      </c>
      <c r="AP374" s="259" t="str">
        <f t="shared" si="50"/>
        <v>MAR 20</v>
      </c>
      <c r="AQ374" s="542" t="str">
        <f t="shared" si="51"/>
        <v>有定金+有預留客戶</v>
      </c>
      <c r="AR374" s="259" t="str">
        <f t="shared" si="52"/>
        <v>Shipped_Stock</v>
      </c>
      <c r="AS374" s="259" t="str">
        <f t="shared" si="53"/>
        <v/>
      </c>
      <c r="AT374" s="259" t="str">
        <f t="shared" si="54"/>
        <v>耕创</v>
      </c>
      <c r="AU374" s="259" t="str">
        <f t="shared" si="55"/>
        <v>C49SZX20190185DZ</v>
      </c>
      <c r="AV374" s="259" t="str">
        <f t="shared" si="56"/>
        <v>Mar-18</v>
      </c>
    </row>
    <row r="375" spans="1:48" ht="15" hidden="1" customHeight="1">
      <c r="A375" s="559">
        <v>637</v>
      </c>
      <c r="B375" s="560" t="s">
        <v>280</v>
      </c>
      <c r="C375" s="560" t="s">
        <v>281</v>
      </c>
      <c r="D375" s="625">
        <v>109816</v>
      </c>
      <c r="E375" s="562" t="s">
        <v>886</v>
      </c>
      <c r="F375" s="563" t="s">
        <v>256</v>
      </c>
      <c r="G375" s="563" t="s">
        <v>18</v>
      </c>
      <c r="H375" s="563" t="s">
        <v>307</v>
      </c>
      <c r="I375" s="564" t="s">
        <v>902</v>
      </c>
      <c r="J375" s="564">
        <v>1</v>
      </c>
      <c r="K375" s="563" t="s">
        <v>437</v>
      </c>
      <c r="L375" s="565">
        <v>43922</v>
      </c>
      <c r="M375" s="576" t="s">
        <v>871</v>
      </c>
      <c r="N375" s="563" t="s">
        <v>903</v>
      </c>
      <c r="O375" s="564">
        <v>2020.02</v>
      </c>
      <c r="P375" s="566" t="str">
        <f>VLOOKUP(A375,'[1]Raw data'!$B:$BB,23,FALSE)</f>
        <v>JPY</v>
      </c>
      <c r="Q375" s="563" t="str">
        <f>VLOOKUP(A375,'[1]Raw data'!$B:$Z,2,FALSE)</f>
        <v>C49SZX20200053SS</v>
      </c>
      <c r="R375" s="563" t="str">
        <f>VLOOKUP(A375,'[1]Raw data'!$B:$Z,3,FALSE)</f>
        <v>弛瑞</v>
      </c>
      <c r="S375" s="563" t="str">
        <f>VLOOKUP(A375,'[1]Raw data'!$B:$Z,4,FALSE)</f>
        <v>YSM20R(SV)-2</v>
      </c>
      <c r="T375" s="563" t="str">
        <f>VLOOKUP(A375,'[1]Raw data'!$B:$Z,8,FALSE)</f>
        <v>R-&gt;L</v>
      </c>
      <c r="U375" s="563" t="str">
        <f>VLOOKUP(A375,'[1]Raw data'!$B:$Z,9,FALSE)</f>
        <v>No</v>
      </c>
      <c r="V375" s="567" t="str">
        <f t="shared" si="57"/>
        <v>OK</v>
      </c>
      <c r="W375" s="563" t="str">
        <f>VLOOKUP(A375,'[1]Raw data'!$B:$AG,32,FALSE)</f>
        <v>DAP SZ</v>
      </c>
      <c r="X375" s="563">
        <f>VLOOKUP(A375,'[1]Raw data'!$B:$BA,31,FALSE)</f>
        <v>43945</v>
      </c>
      <c r="Y375" s="563" t="str">
        <f>VLOOKUP(A375,'[1]Raw data'!$B:$AS,39,FALSE)</f>
        <v>Yes</v>
      </c>
      <c r="AC375" s="563" t="s">
        <v>904</v>
      </c>
      <c r="AD375" s="571">
        <v>301</v>
      </c>
      <c r="AE375" s="571">
        <v>20</v>
      </c>
      <c r="AN375" s="542"/>
      <c r="AO375" s="824" t="str">
        <f t="shared" si="49"/>
        <v>Yes</v>
      </c>
      <c r="AP375" s="259" t="str">
        <f t="shared" si="50"/>
        <v>JUN 20</v>
      </c>
      <c r="AQ375" s="542" t="str">
        <f t="shared" si="51"/>
        <v>有定金+有預留客戶</v>
      </c>
      <c r="AR375" s="259" t="str">
        <f t="shared" si="52"/>
        <v>Shipped_Stock</v>
      </c>
      <c r="AS375" s="259" t="str">
        <f t="shared" si="53"/>
        <v/>
      </c>
      <c r="AT375" s="259" t="str">
        <f t="shared" si="54"/>
        <v>弛瑞</v>
      </c>
      <c r="AU375" s="259" t="str">
        <f t="shared" si="55"/>
        <v>C49SZX20200053SS</v>
      </c>
      <c r="AV375" s="259" t="str">
        <f t="shared" si="56"/>
        <v>Apr-01</v>
      </c>
    </row>
    <row r="376" spans="1:48" ht="15" hidden="1" customHeight="1">
      <c r="A376" s="559">
        <v>633</v>
      </c>
      <c r="B376" s="560" t="s">
        <v>280</v>
      </c>
      <c r="C376" s="560" t="s">
        <v>281</v>
      </c>
      <c r="D376" s="625">
        <v>109816</v>
      </c>
      <c r="E376" s="562" t="s">
        <v>886</v>
      </c>
      <c r="F376" s="563" t="s">
        <v>256</v>
      </c>
      <c r="G376" s="563" t="s">
        <v>24</v>
      </c>
      <c r="H376" s="563" t="s">
        <v>307</v>
      </c>
      <c r="I376" s="564" t="s">
        <v>905</v>
      </c>
      <c r="J376" s="564">
        <v>1</v>
      </c>
      <c r="K376" s="563" t="s">
        <v>437</v>
      </c>
      <c r="L376" s="565">
        <v>43922</v>
      </c>
      <c r="M376" s="576" t="s">
        <v>906</v>
      </c>
      <c r="N376" s="563" t="s">
        <v>554</v>
      </c>
      <c r="O376" s="564">
        <v>2020.02</v>
      </c>
      <c r="P376" s="566" t="str">
        <f>VLOOKUP(A376,'[1]Raw data'!$B:$BB,23,FALSE)</f>
        <v>JPY</v>
      </c>
      <c r="Q376" s="563" t="str">
        <f>VLOOKUP(A376,'[1]Raw data'!$B:$Z,2,FALSE)</f>
        <v>C49SZX20200046JY</v>
      </c>
      <c r="R376" s="563" t="str">
        <f>VLOOKUP(A376,'[1]Raw data'!$B:$Z,3,FALSE)</f>
        <v>海松微</v>
      </c>
      <c r="S376" s="563" t="str">
        <f>VLOOKUP(A376,'[1]Raw data'!$B:$Z,4,FALSE)</f>
        <v>YSM20R(SV)-2</v>
      </c>
      <c r="T376" s="563" t="str">
        <f>VLOOKUP(A376,'[1]Raw data'!$B:$Z,8,FALSE)</f>
        <v>L-&gt;R</v>
      </c>
      <c r="U376" s="563" t="str">
        <f>VLOOKUP(A376,'[1]Raw data'!$B:$Z,9,FALSE)</f>
        <v>MVC</v>
      </c>
      <c r="V376" s="567" t="str">
        <f t="shared" si="57"/>
        <v>WRONG</v>
      </c>
      <c r="W376" s="563" t="str">
        <f>VLOOKUP(A376,'[1]Raw data'!$B:$AG,32,FALSE)</f>
        <v>DAP SZ</v>
      </c>
      <c r="X376" s="563">
        <f>VLOOKUP(A376,'[1]Raw data'!$B:$BA,31,FALSE)</f>
        <v>43942</v>
      </c>
      <c r="Y376" s="563" t="str">
        <f>VLOOKUP(A376,'[1]Raw data'!$B:$AS,39,FALSE)</f>
        <v>Yes</v>
      </c>
      <c r="AC376" s="563" t="s">
        <v>662</v>
      </c>
      <c r="AD376" s="571">
        <v>301</v>
      </c>
      <c r="AE376" s="571">
        <v>20</v>
      </c>
      <c r="AN376" s="542"/>
      <c r="AO376" s="824" t="str">
        <f t="shared" si="49"/>
        <v>Yes</v>
      </c>
      <c r="AP376" s="259" t="str">
        <f t="shared" si="50"/>
        <v>APR 20</v>
      </c>
      <c r="AQ376" s="542" t="str">
        <f t="shared" si="51"/>
        <v>有定金+有預留客戶</v>
      </c>
      <c r="AR376" s="259" t="str">
        <f t="shared" si="52"/>
        <v>Shipped_Stock</v>
      </c>
      <c r="AS376" s="259" t="str">
        <f t="shared" si="53"/>
        <v/>
      </c>
      <c r="AT376" s="259" t="str">
        <f t="shared" si="54"/>
        <v>海松微</v>
      </c>
      <c r="AU376" s="259" t="str">
        <f t="shared" si="55"/>
        <v>C49SZX20200046JY</v>
      </c>
      <c r="AV376" s="259" t="str">
        <f t="shared" si="56"/>
        <v>Apr-01</v>
      </c>
    </row>
    <row r="377" spans="1:48" ht="24.75" hidden="1" customHeight="1">
      <c r="A377" s="559">
        <v>597</v>
      </c>
      <c r="B377" s="560" t="s">
        <v>280</v>
      </c>
      <c r="C377" s="560" t="s">
        <v>281</v>
      </c>
      <c r="D377" s="625">
        <v>109816</v>
      </c>
      <c r="E377" s="562" t="s">
        <v>886</v>
      </c>
      <c r="F377" s="563" t="s">
        <v>256</v>
      </c>
      <c r="G377" s="563" t="s">
        <v>24</v>
      </c>
      <c r="H377" s="563" t="s">
        <v>26</v>
      </c>
      <c r="I377" s="564" t="s">
        <v>907</v>
      </c>
      <c r="J377" s="564">
        <v>1</v>
      </c>
      <c r="K377" s="563" t="s">
        <v>295</v>
      </c>
      <c r="L377" s="565">
        <v>43922</v>
      </c>
      <c r="M377" s="615" t="s">
        <v>908</v>
      </c>
      <c r="N377" s="563" t="s">
        <v>818</v>
      </c>
      <c r="O377" s="564">
        <v>2020.01</v>
      </c>
      <c r="P377" s="566" t="str">
        <f>VLOOKUP(A377,'[1]Raw data'!$B:$BB,23,FALSE)</f>
        <v>RMB</v>
      </c>
      <c r="Q377" s="563" t="str">
        <f>VLOOKUP(A377,'[1]Raw data'!$B:$Z,2,FALSE)</f>
        <v>C49SZX20200028JYR1</v>
      </c>
      <c r="R377" s="563" t="str">
        <f>VLOOKUP(A377,'[1]Raw data'!$B:$Z,3,FALSE)</f>
        <v>珠海太川</v>
      </c>
      <c r="S377" s="563" t="str">
        <f>VLOOKUP(A377,'[1]Raw data'!$B:$Z,4,FALSE)</f>
        <v>YSM20R(SV)-2</v>
      </c>
      <c r="T377" s="563" t="str">
        <f>VLOOKUP(A377,'[1]Raw data'!$B:$Z,8,FALSE)</f>
        <v>L-&gt;R</v>
      </c>
      <c r="U377" s="563" t="str">
        <f>VLOOKUP(A377,'[1]Raw data'!$B:$Z,9,FALSE)</f>
        <v>MVC</v>
      </c>
      <c r="V377" s="567" t="str">
        <f t="shared" si="57"/>
        <v>WRONG</v>
      </c>
      <c r="W377" s="563" t="str">
        <f>VLOOKUP(A377,'[1]Raw data'!$B:$AG,32,FALSE)</f>
        <v>含税到厂</v>
      </c>
      <c r="X377" s="563">
        <f>VLOOKUP(A377,'[1]Raw data'!$B:$BA,31,FALSE)</f>
        <v>43909</v>
      </c>
      <c r="Y377" s="563" t="str">
        <f>VLOOKUP(A377,'[1]Raw data'!$B:$AS,39,FALSE)</f>
        <v>Yes</v>
      </c>
      <c r="AC377" s="563" t="s">
        <v>909</v>
      </c>
      <c r="AD377" s="571">
        <v>301</v>
      </c>
      <c r="AE377" s="571">
        <v>20</v>
      </c>
      <c r="AN377" s="542"/>
      <c r="AO377" s="824" t="str">
        <f t="shared" si="49"/>
        <v>Yes</v>
      </c>
      <c r="AP377" s="259" t="str">
        <f t="shared" si="50"/>
        <v>MAY 20</v>
      </c>
      <c r="AQ377" s="542" t="str">
        <f t="shared" si="51"/>
        <v>有定金+有預留客戶</v>
      </c>
      <c r="AR377" s="259" t="str">
        <f t="shared" si="52"/>
        <v>Shipped_Stock</v>
      </c>
      <c r="AS377" s="259" t="str">
        <f t="shared" si="53"/>
        <v/>
      </c>
      <c r="AT377" s="259" t="str">
        <f t="shared" si="54"/>
        <v>珠海太川</v>
      </c>
      <c r="AU377" s="259" t="str">
        <f t="shared" si="55"/>
        <v>C49SZX20200028JYR1</v>
      </c>
      <c r="AV377" s="259" t="str">
        <f t="shared" si="56"/>
        <v>Apr-01</v>
      </c>
    </row>
    <row r="378" spans="1:48" ht="15.75" hidden="1" customHeight="1" thickBot="1">
      <c r="A378" s="559">
        <v>531</v>
      </c>
      <c r="B378" s="560" t="s">
        <v>280</v>
      </c>
      <c r="C378" s="560" t="s">
        <v>281</v>
      </c>
      <c r="D378" s="624">
        <v>109816</v>
      </c>
      <c r="E378" s="562" t="s">
        <v>886</v>
      </c>
      <c r="F378" s="563" t="s">
        <v>243</v>
      </c>
      <c r="G378" s="563" t="s">
        <v>24</v>
      </c>
      <c r="H378" s="563" t="s">
        <v>159</v>
      </c>
      <c r="I378" s="564" t="s">
        <v>910</v>
      </c>
      <c r="J378" s="564">
        <v>1</v>
      </c>
      <c r="K378" s="563" t="s">
        <v>437</v>
      </c>
      <c r="L378" s="565">
        <v>43922</v>
      </c>
      <c r="M378" s="576" t="s">
        <v>906</v>
      </c>
      <c r="N378" s="563" t="s">
        <v>554</v>
      </c>
      <c r="O378" s="564">
        <v>2020.02</v>
      </c>
      <c r="P378" s="566" t="str">
        <f>VLOOKUP(A378,'[1]Raw data'!$B:$BB,23,FALSE)</f>
        <v>JPY</v>
      </c>
      <c r="Q378" s="563" t="str">
        <f>VLOOKUP(A378,'[1]Raw data'!$B:$Z,2,FALSE)</f>
        <v>C49SZX20190173DZ</v>
      </c>
      <c r="R378" s="563" t="str">
        <f>VLOOKUP(A378,'[1]Raw data'!$B:$Z,3,FALSE)</f>
        <v>嘉裕</v>
      </c>
      <c r="S378" s="563" t="str">
        <f>VLOOKUP(A378,'[1]Raw data'!$B:$Z,4,FALSE)</f>
        <v>YSM20R(SV)-2</v>
      </c>
      <c r="T378" s="563" t="str">
        <f>VLOOKUP(A378,'[1]Raw data'!$B:$Z,8,FALSE)</f>
        <v>L-&gt;R</v>
      </c>
      <c r="U378" s="563" t="str">
        <f>VLOOKUP(A378,'[1]Raw data'!$B:$Z,9,FALSE)</f>
        <v>cATS10+MVC</v>
      </c>
      <c r="V378" s="567" t="str">
        <f t="shared" si="57"/>
        <v>WRONG</v>
      </c>
      <c r="W378" s="563" t="str">
        <f>VLOOKUP(A378,'[1]Raw data'!$B:$AG,32,FALSE)</f>
        <v>CIF HK</v>
      </c>
      <c r="X378" s="563">
        <f>VLOOKUP(A378,'[1]Raw data'!$B:$BA,31,FALSE)</f>
        <v>43795</v>
      </c>
      <c r="Y378" s="563" t="str">
        <f>VLOOKUP(A378,'[1]Raw data'!$B:$AS,39,FALSE)</f>
        <v>Yes</v>
      </c>
      <c r="AC378" s="563" t="s">
        <v>555</v>
      </c>
      <c r="AD378" s="571">
        <v>313</v>
      </c>
      <c r="AE378" s="571">
        <v>10</v>
      </c>
      <c r="AF378" s="571">
        <v>312</v>
      </c>
      <c r="AG378" s="571">
        <v>10</v>
      </c>
      <c r="AN378" s="542"/>
      <c r="AO378" s="824" t="str">
        <f t="shared" si="49"/>
        <v>Yes</v>
      </c>
      <c r="AP378" s="259" t="str">
        <f t="shared" si="50"/>
        <v>APR 20</v>
      </c>
      <c r="AQ378" s="542" t="str">
        <f t="shared" si="51"/>
        <v>有定金+有預留客戶</v>
      </c>
      <c r="AR378" s="259" t="str">
        <f t="shared" si="52"/>
        <v>Shipped_Stock</v>
      </c>
      <c r="AS378" s="259" t="str">
        <f t="shared" si="53"/>
        <v/>
      </c>
      <c r="AT378" s="259" t="str">
        <f t="shared" si="54"/>
        <v>嘉裕</v>
      </c>
      <c r="AU378" s="259" t="str">
        <f t="shared" si="55"/>
        <v>C49SZX20190173DZ</v>
      </c>
      <c r="AV378" s="259" t="str">
        <f t="shared" si="56"/>
        <v>Apr-01</v>
      </c>
    </row>
    <row r="379" spans="1:48" hidden="1">
      <c r="A379" s="559">
        <v>529</v>
      </c>
      <c r="B379" s="560" t="s">
        <v>280</v>
      </c>
      <c r="C379" s="560" t="s">
        <v>281</v>
      </c>
      <c r="D379" s="644">
        <v>109816</v>
      </c>
      <c r="E379" s="562" t="s">
        <v>886</v>
      </c>
      <c r="F379" s="563" t="s">
        <v>256</v>
      </c>
      <c r="G379" s="563" t="s">
        <v>24</v>
      </c>
      <c r="H379" s="563" t="s">
        <v>26</v>
      </c>
      <c r="I379" s="564" t="s">
        <v>911</v>
      </c>
      <c r="J379" s="564">
        <v>1</v>
      </c>
      <c r="K379" s="563" t="s">
        <v>437</v>
      </c>
      <c r="L379" s="565">
        <v>43922</v>
      </c>
      <c r="M379" s="576" t="s">
        <v>906</v>
      </c>
      <c r="N379" s="563" t="s">
        <v>554</v>
      </c>
      <c r="O379" s="564">
        <v>2020.02</v>
      </c>
      <c r="P379" s="566" t="str">
        <f>VLOOKUP(A379,'[1]Raw data'!$B:$BB,23,FALSE)</f>
        <v>JPY</v>
      </c>
      <c r="Q379" s="563" t="str">
        <f>VLOOKUP(A379,'[1]Raw data'!$B:$Z,2,FALSE)</f>
        <v>C49SZX20190173DZ</v>
      </c>
      <c r="R379" s="563" t="str">
        <f>VLOOKUP(A379,'[1]Raw data'!$B:$Z,3,FALSE)</f>
        <v>嘉裕</v>
      </c>
      <c r="S379" s="563" t="str">
        <f>VLOOKUP(A379,'[1]Raw data'!$B:$Z,4,FALSE)</f>
        <v>YSM20R(SV)-2</v>
      </c>
      <c r="T379" s="563" t="str">
        <f>VLOOKUP(A379,'[1]Raw data'!$B:$Z,8,FALSE)</f>
        <v>L-&gt;R</v>
      </c>
      <c r="U379" s="563" t="str">
        <f>VLOOKUP(A379,'[1]Raw data'!$B:$Z,9,FALSE)</f>
        <v>No</v>
      </c>
      <c r="V379" s="567" t="str">
        <f t="shared" si="57"/>
        <v>OK</v>
      </c>
      <c r="W379" s="563" t="str">
        <f>VLOOKUP(A379,'[1]Raw data'!$B:$AG,32,FALSE)</f>
        <v>CIF HK</v>
      </c>
      <c r="X379" s="563">
        <f>VLOOKUP(A379,'[1]Raw data'!$B:$BA,31,FALSE)</f>
        <v>43795</v>
      </c>
      <c r="Y379" s="563" t="str">
        <f>VLOOKUP(A379,'[1]Raw data'!$B:$AS,39,FALSE)</f>
        <v>Yes</v>
      </c>
      <c r="AC379" s="563" t="s">
        <v>555</v>
      </c>
      <c r="AD379" s="571">
        <v>301</v>
      </c>
      <c r="AE379" s="571">
        <v>10</v>
      </c>
      <c r="AF379" s="571">
        <v>311</v>
      </c>
      <c r="AG379" s="571">
        <v>10</v>
      </c>
      <c r="AN379" s="542"/>
      <c r="AO379" s="824" t="str">
        <f t="shared" si="49"/>
        <v>Yes</v>
      </c>
      <c r="AP379" s="259" t="str">
        <f t="shared" si="50"/>
        <v>APR 20</v>
      </c>
      <c r="AQ379" s="542" t="str">
        <f t="shared" si="51"/>
        <v>有定金+有預留客戶</v>
      </c>
      <c r="AR379" s="259" t="str">
        <f t="shared" si="52"/>
        <v>Shipped_Stock</v>
      </c>
      <c r="AS379" s="259" t="str">
        <f t="shared" si="53"/>
        <v/>
      </c>
      <c r="AT379" s="259" t="str">
        <f t="shared" si="54"/>
        <v>嘉裕</v>
      </c>
      <c r="AU379" s="259" t="str">
        <f t="shared" si="55"/>
        <v>C49SZX20190173DZ</v>
      </c>
      <c r="AV379" s="259" t="str">
        <f t="shared" si="56"/>
        <v>Apr-01</v>
      </c>
    </row>
    <row r="380" spans="1:48" hidden="1">
      <c r="A380" s="559">
        <v>530</v>
      </c>
      <c r="B380" s="560" t="s">
        <v>280</v>
      </c>
      <c r="C380" s="560" t="s">
        <v>281</v>
      </c>
      <c r="D380" s="599">
        <v>109816</v>
      </c>
      <c r="E380" s="562" t="s">
        <v>886</v>
      </c>
      <c r="F380" s="563" t="s">
        <v>256</v>
      </c>
      <c r="G380" s="563" t="s">
        <v>24</v>
      </c>
      <c r="H380" s="563" t="s">
        <v>26</v>
      </c>
      <c r="I380" s="564" t="s">
        <v>912</v>
      </c>
      <c r="J380" s="564">
        <v>1</v>
      </c>
      <c r="K380" s="563" t="s">
        <v>437</v>
      </c>
      <c r="L380" s="565">
        <v>43922</v>
      </c>
      <c r="M380" s="576" t="s">
        <v>906</v>
      </c>
      <c r="N380" s="563" t="s">
        <v>554</v>
      </c>
      <c r="O380" s="564">
        <v>2020.02</v>
      </c>
      <c r="P380" s="566" t="str">
        <f>VLOOKUP(A380,'[1]Raw data'!$B:$BB,23,FALSE)</f>
        <v>JPY</v>
      </c>
      <c r="Q380" s="563" t="str">
        <f>VLOOKUP(A380,'[1]Raw data'!$B:$Z,2,FALSE)</f>
        <v>C49SZX20190173DZ</v>
      </c>
      <c r="R380" s="563" t="str">
        <f>VLOOKUP(A380,'[1]Raw data'!$B:$Z,3,FALSE)</f>
        <v>嘉裕</v>
      </c>
      <c r="S380" s="563" t="str">
        <f>VLOOKUP(A380,'[1]Raw data'!$B:$Z,4,FALSE)</f>
        <v>YSM20R(SV)-2</v>
      </c>
      <c r="T380" s="563" t="str">
        <f>VLOOKUP(A380,'[1]Raw data'!$B:$Z,8,FALSE)</f>
        <v>L-&gt;R</v>
      </c>
      <c r="U380" s="563" t="str">
        <f>VLOOKUP(A380,'[1]Raw data'!$B:$Z,9,FALSE)</f>
        <v>No</v>
      </c>
      <c r="V380" s="567" t="str">
        <f t="shared" si="57"/>
        <v>OK</v>
      </c>
      <c r="W380" s="563" t="str">
        <f>VLOOKUP(A380,'[1]Raw data'!$B:$AG,32,FALSE)</f>
        <v>CIF HK</v>
      </c>
      <c r="X380" s="563">
        <f>VLOOKUP(A380,'[1]Raw data'!$B:$BA,31,FALSE)</f>
        <v>43795</v>
      </c>
      <c r="Y380" s="563" t="str">
        <f>VLOOKUP(A380,'[1]Raw data'!$B:$AS,39,FALSE)</f>
        <v>Yes</v>
      </c>
      <c r="AC380" s="563" t="s">
        <v>555</v>
      </c>
      <c r="AD380" s="571">
        <v>301</v>
      </c>
      <c r="AE380" s="571">
        <v>10</v>
      </c>
      <c r="AF380" s="571">
        <v>302</v>
      </c>
      <c r="AG380" s="571">
        <v>10</v>
      </c>
      <c r="AN380" s="542"/>
      <c r="AO380" s="824" t="str">
        <f t="shared" si="49"/>
        <v>Yes</v>
      </c>
      <c r="AP380" s="259" t="str">
        <f t="shared" si="50"/>
        <v>APR 20</v>
      </c>
      <c r="AQ380" s="542" t="str">
        <f t="shared" si="51"/>
        <v>有定金+有預留客戶</v>
      </c>
      <c r="AR380" s="259" t="str">
        <f t="shared" si="52"/>
        <v>Shipped_Stock</v>
      </c>
      <c r="AS380" s="259" t="str">
        <f t="shared" si="53"/>
        <v/>
      </c>
      <c r="AT380" s="259" t="str">
        <f t="shared" si="54"/>
        <v>嘉裕</v>
      </c>
      <c r="AU380" s="259" t="str">
        <f t="shared" si="55"/>
        <v>C49SZX20190173DZ</v>
      </c>
      <c r="AV380" s="259" t="str">
        <f t="shared" si="56"/>
        <v>Apr-01</v>
      </c>
    </row>
    <row r="381" spans="1:48" hidden="1">
      <c r="A381" s="559">
        <v>574</v>
      </c>
      <c r="B381" s="560" t="s">
        <v>280</v>
      </c>
      <c r="C381" s="560" t="s">
        <v>281</v>
      </c>
      <c r="D381" s="623">
        <v>109816</v>
      </c>
      <c r="E381" s="562" t="s">
        <v>886</v>
      </c>
      <c r="F381" s="563" t="s">
        <v>256</v>
      </c>
      <c r="G381" s="563" t="s">
        <v>18</v>
      </c>
      <c r="H381" s="563" t="s">
        <v>26</v>
      </c>
      <c r="I381" s="564" t="s">
        <v>913</v>
      </c>
      <c r="J381" s="564">
        <v>1</v>
      </c>
      <c r="K381" s="563" t="s">
        <v>437</v>
      </c>
      <c r="L381" s="565">
        <v>43922</v>
      </c>
      <c r="M381" s="576" t="s">
        <v>871</v>
      </c>
      <c r="N381" s="563" t="s">
        <v>818</v>
      </c>
      <c r="O381" s="564">
        <v>2020.02</v>
      </c>
      <c r="P381" s="566" t="str">
        <f>VLOOKUP(A381,'[1]Raw data'!$B:$BB,23,FALSE)</f>
        <v>JPY</v>
      </c>
      <c r="Q381" s="563" t="str">
        <f>VLOOKUP(A381,'[1]Raw data'!$B:$Z,2,FALSE)</f>
        <v>C49SZX20200012SS</v>
      </c>
      <c r="R381" s="563" t="str">
        <f>VLOOKUP(A381,'[1]Raw data'!$B:$Z,3,FALSE)</f>
        <v>康腾</v>
      </c>
      <c r="S381" s="563" t="str">
        <f>VLOOKUP(A381,'[1]Raw data'!$B:$Z,4,FALSE)</f>
        <v>YSM20R(SV)-2</v>
      </c>
      <c r="T381" s="563" t="str">
        <f>VLOOKUP(A381,'[1]Raw data'!$B:$Z,8,FALSE)</f>
        <v>R-&gt;L</v>
      </c>
      <c r="U381" s="563" t="str">
        <f>VLOOKUP(A381,'[1]Raw data'!$B:$Z,9,FALSE)</f>
        <v>No</v>
      </c>
      <c r="V381" s="567" t="str">
        <f t="shared" si="57"/>
        <v>OK</v>
      </c>
      <c r="W381" s="563" t="str">
        <f>VLOOKUP(A381,'[1]Raw data'!$B:$AG,32,FALSE)</f>
        <v>DAP SZ</v>
      </c>
      <c r="X381" s="563">
        <f>VLOOKUP(A381,'[1]Raw data'!$B:$BA,31,FALSE)</f>
        <v>43838</v>
      </c>
      <c r="Y381" s="563" t="str">
        <f>VLOOKUP(A381,'[1]Raw data'!$B:$AS,39,FALSE)</f>
        <v>Yes</v>
      </c>
      <c r="AC381" s="563" t="s">
        <v>823</v>
      </c>
      <c r="AD381" s="571">
        <v>301</v>
      </c>
      <c r="AE381" s="571">
        <v>20</v>
      </c>
      <c r="AN381" s="542"/>
      <c r="AO381" s="824" t="str">
        <f t="shared" si="49"/>
        <v>Yes</v>
      </c>
      <c r="AP381" s="259" t="str">
        <f t="shared" si="50"/>
        <v>MAY 20</v>
      </c>
      <c r="AQ381" s="542" t="str">
        <f t="shared" si="51"/>
        <v>有定金+有預留客戶</v>
      </c>
      <c r="AR381" s="259" t="str">
        <f t="shared" si="52"/>
        <v>Shipped_Stock</v>
      </c>
      <c r="AS381" s="259" t="str">
        <f t="shared" si="53"/>
        <v/>
      </c>
      <c r="AT381" s="259" t="str">
        <f t="shared" si="54"/>
        <v>康腾</v>
      </c>
      <c r="AU381" s="259" t="str">
        <f t="shared" si="55"/>
        <v>C49SZX20200012SS</v>
      </c>
      <c r="AV381" s="259" t="str">
        <f t="shared" si="56"/>
        <v>Apr-01</v>
      </c>
    </row>
    <row r="382" spans="1:48" hidden="1">
      <c r="A382" s="559">
        <v>609</v>
      </c>
      <c r="B382" s="560" t="s">
        <v>280</v>
      </c>
      <c r="C382" s="560" t="s">
        <v>281</v>
      </c>
      <c r="D382" s="599">
        <v>109816</v>
      </c>
      <c r="E382" s="562" t="s">
        <v>886</v>
      </c>
      <c r="F382" s="563" t="s">
        <v>256</v>
      </c>
      <c r="G382" s="563" t="s">
        <v>24</v>
      </c>
      <c r="H382" s="563" t="s">
        <v>26</v>
      </c>
      <c r="I382" s="564" t="s">
        <v>914</v>
      </c>
      <c r="J382" s="564">
        <v>1</v>
      </c>
      <c r="K382" s="563" t="s">
        <v>437</v>
      </c>
      <c r="L382" s="565">
        <v>43922</v>
      </c>
      <c r="M382" s="576" t="s">
        <v>871</v>
      </c>
      <c r="N382" s="563" t="s">
        <v>818</v>
      </c>
      <c r="O382" s="564">
        <v>2020.02</v>
      </c>
      <c r="P382" s="566" t="str">
        <f>VLOOKUP(A382,'[1]Raw data'!$B:$BB,23,FALSE)</f>
        <v>JPY</v>
      </c>
      <c r="Q382" s="563" t="str">
        <f>VLOOKUP(A382,'[1]Raw data'!$B:$Z,2,FALSE)</f>
        <v>C49SZX20200035JY</v>
      </c>
      <c r="R382" s="563" t="str">
        <f>VLOOKUP(A382,'[1]Raw data'!$B:$Z,3,FALSE)</f>
        <v>创荣发</v>
      </c>
      <c r="S382" s="563" t="str">
        <f>VLOOKUP(A382,'[1]Raw data'!$B:$Z,4,FALSE)</f>
        <v>YSM20R(SV)-2</v>
      </c>
      <c r="T382" s="563" t="str">
        <f>VLOOKUP(A382,'[1]Raw data'!$B:$Z,8,FALSE)</f>
        <v>L-&gt;R</v>
      </c>
      <c r="U382" s="563" t="str">
        <f>VLOOKUP(A382,'[1]Raw data'!$B:$Z,9,FALSE)</f>
        <v>No</v>
      </c>
      <c r="V382" s="567" t="str">
        <f t="shared" si="57"/>
        <v>OK</v>
      </c>
      <c r="W382" s="563" t="str">
        <f>VLOOKUP(A382,'[1]Raw data'!$B:$AG,32,FALSE)</f>
        <v>DAP HZ</v>
      </c>
      <c r="X382" s="563">
        <f>VLOOKUP(A382,'[1]Raw data'!$B:$BA,31,FALSE)</f>
        <v>43921</v>
      </c>
      <c r="Y382" s="563" t="str">
        <f>VLOOKUP(A382,'[1]Raw data'!$B:$AS,39,FALSE)</f>
        <v>Yes</v>
      </c>
      <c r="AC382" s="563" t="s">
        <v>915</v>
      </c>
      <c r="AD382" s="571">
        <v>302</v>
      </c>
      <c r="AE382" s="571">
        <v>10</v>
      </c>
      <c r="AF382" s="571">
        <v>313</v>
      </c>
      <c r="AG382" s="571">
        <v>10</v>
      </c>
      <c r="AN382" s="542"/>
      <c r="AO382" s="824" t="str">
        <f t="shared" si="49"/>
        <v>Yes</v>
      </c>
      <c r="AP382" s="259" t="str">
        <f t="shared" si="50"/>
        <v>MAY 20</v>
      </c>
      <c r="AQ382" s="542" t="str">
        <f t="shared" si="51"/>
        <v>有定金+有預留客戶</v>
      </c>
      <c r="AR382" s="259" t="str">
        <f t="shared" si="52"/>
        <v>Shipped_Stock</v>
      </c>
      <c r="AS382" s="259" t="str">
        <f t="shared" si="53"/>
        <v/>
      </c>
      <c r="AT382" s="259" t="str">
        <f t="shared" si="54"/>
        <v>创荣发</v>
      </c>
      <c r="AU382" s="259" t="str">
        <f t="shared" si="55"/>
        <v>C49SZX20200035JY</v>
      </c>
      <c r="AV382" s="259" t="str">
        <f t="shared" si="56"/>
        <v>Apr-01</v>
      </c>
    </row>
    <row r="383" spans="1:48" hidden="1">
      <c r="A383" s="559">
        <v>606</v>
      </c>
      <c r="B383" s="560" t="s">
        <v>280</v>
      </c>
      <c r="C383" s="560" t="s">
        <v>281</v>
      </c>
      <c r="D383" s="599">
        <v>109816</v>
      </c>
      <c r="E383" s="562" t="s">
        <v>886</v>
      </c>
      <c r="F383" s="563" t="s">
        <v>256</v>
      </c>
      <c r="G383" s="563" t="s">
        <v>24</v>
      </c>
      <c r="H383" s="563" t="s">
        <v>26</v>
      </c>
      <c r="I383" s="564" t="s">
        <v>916</v>
      </c>
      <c r="J383" s="564">
        <v>1</v>
      </c>
      <c r="K383" s="563" t="s">
        <v>820</v>
      </c>
      <c r="L383" s="565">
        <v>43922</v>
      </c>
      <c r="M383" s="576">
        <v>6.7000000000000004E-2</v>
      </c>
      <c r="N383" s="563" t="s">
        <v>818</v>
      </c>
      <c r="O383" s="564">
        <v>2020.02</v>
      </c>
      <c r="P383" s="566" t="str">
        <f>VLOOKUP(A383,'[1]Raw data'!$B:$BB,23,FALSE)</f>
        <v>JPY</v>
      </c>
      <c r="Q383" s="563" t="str">
        <f>VLOOKUP(A383,'[1]Raw data'!$B:$Z,2,FALSE)</f>
        <v>C49SZX20200007SS</v>
      </c>
      <c r="R383" s="563" t="str">
        <f>VLOOKUP(A383,'[1]Raw data'!$B:$Z,3,FALSE)</f>
        <v>乐上</v>
      </c>
      <c r="S383" s="563" t="str">
        <f>VLOOKUP(A383,'[1]Raw data'!$B:$Z,4,FALSE)</f>
        <v>YSM20R(SV)-2</v>
      </c>
      <c r="T383" s="563" t="str">
        <f>VLOOKUP(A383,'[1]Raw data'!$B:$Z,8,FALSE)</f>
        <v>L-&gt;R</v>
      </c>
      <c r="U383" s="563" t="str">
        <f>VLOOKUP(A383,'[1]Raw data'!$B:$Z,9,FALSE)</f>
        <v>MVC</v>
      </c>
      <c r="V383" s="567" t="str">
        <f t="shared" si="57"/>
        <v>WRONG</v>
      </c>
      <c r="W383" s="563" t="str">
        <f>VLOOKUP(A383,'[1]Raw data'!$B:$AG,32,FALSE)</f>
        <v>DAP DG</v>
      </c>
      <c r="X383" s="563">
        <f>VLOOKUP(A383,'[1]Raw data'!$B:$BA,31,FALSE)</f>
        <v>43917</v>
      </c>
      <c r="Y383" s="563" t="str">
        <f>VLOOKUP(A383,'[1]Raw data'!$B:$AS,39,FALSE)</f>
        <v>Yes</v>
      </c>
      <c r="AC383" s="563" t="s">
        <v>768</v>
      </c>
      <c r="AD383" s="571">
        <v>303</v>
      </c>
      <c r="AE383" s="571">
        <v>10</v>
      </c>
      <c r="AF383" s="571">
        <v>313</v>
      </c>
      <c r="AG383" s="571">
        <v>10</v>
      </c>
      <c r="AN383" s="542"/>
      <c r="AO383" s="824" t="str">
        <f t="shared" si="49"/>
        <v>Yes</v>
      </c>
      <c r="AP383" s="259" t="str">
        <f t="shared" si="50"/>
        <v>MAY 20</v>
      </c>
      <c r="AQ383" s="542" t="str">
        <f t="shared" si="51"/>
        <v>有定金+有預留客戶</v>
      </c>
      <c r="AR383" s="259" t="str">
        <f t="shared" si="52"/>
        <v>Shipped_Stock</v>
      </c>
      <c r="AS383" s="259" t="str">
        <f t="shared" si="53"/>
        <v/>
      </c>
      <c r="AT383" s="259" t="str">
        <f t="shared" si="54"/>
        <v>乐上</v>
      </c>
      <c r="AU383" s="259" t="str">
        <f t="shared" si="55"/>
        <v>C49SZX20200007SS</v>
      </c>
      <c r="AV383" s="259" t="str">
        <f t="shared" si="56"/>
        <v>Apr-01</v>
      </c>
    </row>
    <row r="384" spans="1:48" hidden="1">
      <c r="A384" s="559">
        <v>774</v>
      </c>
      <c r="B384" s="560" t="s">
        <v>280</v>
      </c>
      <c r="C384" s="560" t="s">
        <v>281</v>
      </c>
      <c r="D384" s="599">
        <v>109816</v>
      </c>
      <c r="E384" s="562" t="s">
        <v>886</v>
      </c>
      <c r="F384" s="563" t="s">
        <v>243</v>
      </c>
      <c r="G384" s="563" t="s">
        <v>18</v>
      </c>
      <c r="H384" s="563" t="s">
        <v>159</v>
      </c>
      <c r="I384" s="564" t="s">
        <v>917</v>
      </c>
      <c r="J384" s="564">
        <v>1</v>
      </c>
      <c r="K384" s="563" t="s">
        <v>295</v>
      </c>
      <c r="L384" s="565">
        <v>43922</v>
      </c>
      <c r="M384" s="576" t="s">
        <v>871</v>
      </c>
      <c r="N384" s="563" t="s">
        <v>918</v>
      </c>
      <c r="O384" s="564">
        <v>2020.02</v>
      </c>
      <c r="P384" s="566" t="str">
        <f>VLOOKUP(A384,'[1]Raw data'!$B:$BB,23,FALSE)</f>
        <v>RMB</v>
      </c>
      <c r="Q384" s="563" t="str">
        <f>VLOOKUP(A384,'[1]Raw data'!$B:$Z,2,FALSE)</f>
        <v>C49SZX20200123DZ</v>
      </c>
      <c r="R384" s="563" t="str">
        <f>VLOOKUP(A384,'[1]Raw data'!$B:$Z,3,FALSE)</f>
        <v>海星</v>
      </c>
      <c r="S384" s="563" t="str">
        <f>VLOOKUP(A384,'[1]Raw data'!$B:$Z,4,FALSE)</f>
        <v>YSM20R(SV)-2</v>
      </c>
      <c r="T384" s="563" t="str">
        <f>VLOOKUP(A384,'[1]Raw data'!$B:$Z,8,FALSE)</f>
        <v>R-&gt;L</v>
      </c>
      <c r="U384" s="563" t="str">
        <f>VLOOKUP(A384,'[1]Raw data'!$B:$Z,9,FALSE)</f>
        <v>cATS10+MVC</v>
      </c>
      <c r="V384" s="567" t="str">
        <f t="shared" si="57"/>
        <v>WRONG</v>
      </c>
      <c r="W384" s="563" t="str">
        <f>VLOOKUP(A384,'[1]Raw data'!$B:$AG,32,FALSE)</f>
        <v>含税到厂</v>
      </c>
      <c r="X384" s="563">
        <f>VLOOKUP(A384,'[1]Raw data'!$B:$BA,31,FALSE)</f>
        <v>44056</v>
      </c>
      <c r="Y384" s="563" t="str">
        <f>VLOOKUP(A384,'[1]Raw data'!$B:$AS,39,FALSE)</f>
        <v>Yes</v>
      </c>
      <c r="AC384" s="563" t="s">
        <v>919</v>
      </c>
      <c r="AD384" s="571">
        <v>312</v>
      </c>
      <c r="AE384" s="571">
        <v>20</v>
      </c>
      <c r="AN384" s="542"/>
      <c r="AO384" s="824" t="str">
        <f t="shared" si="49"/>
        <v>Yes</v>
      </c>
      <c r="AP384" s="259" t="str">
        <f t="shared" si="50"/>
        <v>SEP 20</v>
      </c>
      <c r="AQ384" s="542" t="str">
        <f t="shared" si="51"/>
        <v>有定金+有預留客戶</v>
      </c>
      <c r="AR384" s="259" t="str">
        <f t="shared" si="52"/>
        <v>Shipped_Stock</v>
      </c>
      <c r="AS384" s="259" t="str">
        <f t="shared" si="53"/>
        <v/>
      </c>
      <c r="AT384" s="259" t="str">
        <f t="shared" si="54"/>
        <v>海星</v>
      </c>
      <c r="AU384" s="259" t="str">
        <f t="shared" si="55"/>
        <v>C49SZX20200123DZ</v>
      </c>
      <c r="AV384" s="259" t="str">
        <f t="shared" si="56"/>
        <v>Apr-01</v>
      </c>
    </row>
    <row r="385" spans="1:48" ht="22.5" hidden="1">
      <c r="A385" s="559">
        <v>623</v>
      </c>
      <c r="B385" s="560" t="s">
        <v>280</v>
      </c>
      <c r="C385" s="560" t="s">
        <v>281</v>
      </c>
      <c r="D385" s="599">
        <v>109783</v>
      </c>
      <c r="E385" s="562" t="s">
        <v>878</v>
      </c>
      <c r="F385" s="563" t="s">
        <v>17</v>
      </c>
      <c r="G385" s="563" t="s">
        <v>18</v>
      </c>
      <c r="H385" s="563" t="s">
        <v>26</v>
      </c>
      <c r="I385" s="564" t="s">
        <v>920</v>
      </c>
      <c r="J385" s="564">
        <v>1</v>
      </c>
      <c r="K385" s="563" t="s">
        <v>921</v>
      </c>
      <c r="L385" s="565">
        <v>43922</v>
      </c>
      <c r="M385" s="615" t="s">
        <v>922</v>
      </c>
      <c r="N385" s="563" t="s">
        <v>554</v>
      </c>
      <c r="O385" s="563">
        <v>2020.03</v>
      </c>
      <c r="P385" s="566" t="str">
        <f>VLOOKUP(A385,'[1]Raw data'!$B:$BB,23,FALSE)</f>
        <v>RMB</v>
      </c>
      <c r="Q385" s="563" t="str">
        <f>VLOOKUP(A385,'[1]Raw data'!$B:$Z,2,FALSE)</f>
        <v>C49SZX20200042JL</v>
      </c>
      <c r="R385" s="563" t="str">
        <f>VLOOKUP(A385,'[1]Raw data'!$B:$Z,3,FALSE)</f>
        <v>铭翔</v>
      </c>
      <c r="S385" s="563" t="str">
        <f>VLOOKUP(A385,'[1]Raw data'!$B:$Z,4,FALSE)</f>
        <v>YSM10</v>
      </c>
      <c r="T385" s="563" t="str">
        <f>VLOOKUP(A385,'[1]Raw data'!$B:$Z,8,FALSE)</f>
        <v>L-&gt;R</v>
      </c>
      <c r="U385" s="563" t="str">
        <f>VLOOKUP(A385,'[1]Raw data'!$B:$Z,9,FALSE)</f>
        <v>MVC</v>
      </c>
      <c r="V385" s="567" t="str">
        <f t="shared" si="57"/>
        <v>WRONG</v>
      </c>
      <c r="W385" s="563" t="str">
        <f>VLOOKUP(A385,'[1]Raw data'!$B:$AG,32,FALSE)</f>
        <v>含税到厂</v>
      </c>
      <c r="X385" s="563">
        <f>VLOOKUP(A385,'[1]Raw data'!$B:$BA,31,FALSE)</f>
        <v>43938</v>
      </c>
      <c r="Y385" s="563" t="str">
        <f>VLOOKUP(A385,'[1]Raw data'!$B:$AS,39,FALSE)</f>
        <v>Yes</v>
      </c>
      <c r="AC385" s="563" t="s">
        <v>772</v>
      </c>
      <c r="AD385" s="571">
        <v>301</v>
      </c>
      <c r="AE385" s="571">
        <v>10</v>
      </c>
      <c r="AN385" s="542"/>
      <c r="AO385" s="824" t="str">
        <f t="shared" si="49"/>
        <v>Yes</v>
      </c>
      <c r="AP385" s="259" t="str">
        <f t="shared" si="50"/>
        <v>APR 20</v>
      </c>
      <c r="AQ385" s="542" t="str">
        <f t="shared" si="51"/>
        <v>有定金+有預留客戶</v>
      </c>
      <c r="AR385" s="259" t="str">
        <f t="shared" si="52"/>
        <v>Shipped_Stock</v>
      </c>
      <c r="AS385" s="259" t="str">
        <f t="shared" si="53"/>
        <v/>
      </c>
      <c r="AT385" s="259" t="str">
        <f t="shared" si="54"/>
        <v>铭翔</v>
      </c>
      <c r="AU385" s="259" t="str">
        <f t="shared" si="55"/>
        <v>C49SZX20200042JL</v>
      </c>
      <c r="AV385" s="259" t="str">
        <f t="shared" si="56"/>
        <v>Apr-01</v>
      </c>
    </row>
    <row r="386" spans="1:48" ht="33.75" hidden="1">
      <c r="A386" s="559">
        <v>614</v>
      </c>
      <c r="B386" s="560" t="s">
        <v>280</v>
      </c>
      <c r="C386" s="560" t="s">
        <v>281</v>
      </c>
      <c r="D386" s="599">
        <v>109783</v>
      </c>
      <c r="E386" s="562" t="s">
        <v>878</v>
      </c>
      <c r="F386" s="563" t="s">
        <v>17</v>
      </c>
      <c r="G386" s="563" t="s">
        <v>18</v>
      </c>
      <c r="H386" s="563" t="s">
        <v>26</v>
      </c>
      <c r="I386" s="564" t="s">
        <v>923</v>
      </c>
      <c r="J386" s="564">
        <v>1</v>
      </c>
      <c r="K386" s="563" t="s">
        <v>437</v>
      </c>
      <c r="L386" s="565">
        <v>43922</v>
      </c>
      <c r="M386" s="615" t="s">
        <v>924</v>
      </c>
      <c r="N386" s="563" t="s">
        <v>554</v>
      </c>
      <c r="O386" s="563">
        <v>2020.03</v>
      </c>
      <c r="P386" s="566" t="str">
        <f>VLOOKUP(A386,'[1]Raw data'!$B:$BB,23,FALSE)</f>
        <v>RMB</v>
      </c>
      <c r="Q386" s="563" t="str">
        <f>VLOOKUP(A386,'[1]Raw data'!$B:$Z,2,FALSE)</f>
        <v>C49SZX20200041JY</v>
      </c>
      <c r="R386" s="563" t="str">
        <f>VLOOKUP(A386,'[1]Raw data'!$B:$Z,3,FALSE)</f>
        <v>晟锦威</v>
      </c>
      <c r="S386" s="563" t="str">
        <f>VLOOKUP(A386,'[1]Raw data'!$B:$Z,4,FALSE)</f>
        <v>YSM10</v>
      </c>
      <c r="T386" s="563" t="str">
        <f>VLOOKUP(A386,'[1]Raw data'!$B:$Z,8,FALSE)</f>
        <v>R-&gt;L</v>
      </c>
      <c r="U386" s="563" t="str">
        <f>VLOOKUP(A386,'[1]Raw data'!$B:$Z,9,FALSE)</f>
        <v>MVC</v>
      </c>
      <c r="V386" s="567" t="str">
        <f t="shared" si="57"/>
        <v>WRONG</v>
      </c>
      <c r="W386" s="563" t="str">
        <f>VLOOKUP(A386,'[1]Raw data'!$B:$AG,32,FALSE)</f>
        <v>含税到厂</v>
      </c>
      <c r="X386" s="563">
        <f>VLOOKUP(A386,'[1]Raw data'!$B:$BA,31,FALSE)</f>
        <v>43923</v>
      </c>
      <c r="Y386" s="563" t="str">
        <f>VLOOKUP(A386,'[1]Raw data'!$B:$AS,39,FALSE)</f>
        <v>Yes</v>
      </c>
      <c r="AC386" s="563" t="s">
        <v>854</v>
      </c>
      <c r="AD386" s="571">
        <v>302</v>
      </c>
      <c r="AE386" s="571">
        <v>10</v>
      </c>
      <c r="AN386" s="542"/>
      <c r="AO386" s="824" t="str">
        <f t="shared" si="49"/>
        <v>Yes</v>
      </c>
      <c r="AP386" s="259" t="str">
        <f t="shared" si="50"/>
        <v>APR 20</v>
      </c>
      <c r="AQ386" s="542" t="str">
        <f t="shared" si="51"/>
        <v>有定金+有預留客戶</v>
      </c>
      <c r="AR386" s="259" t="str">
        <f t="shared" si="52"/>
        <v>Shipped_Stock</v>
      </c>
      <c r="AS386" s="259" t="str">
        <f t="shared" si="53"/>
        <v/>
      </c>
      <c r="AT386" s="259" t="str">
        <f t="shared" si="54"/>
        <v>晟锦威</v>
      </c>
      <c r="AU386" s="259" t="str">
        <f t="shared" si="55"/>
        <v>C49SZX20200041JY</v>
      </c>
      <c r="AV386" s="259" t="str">
        <f t="shared" si="56"/>
        <v>Apr-01</v>
      </c>
    </row>
    <row r="387" spans="1:48" ht="22.5" hidden="1">
      <c r="A387" s="559">
        <v>577</v>
      </c>
      <c r="B387" s="560" t="s">
        <v>280</v>
      </c>
      <c r="C387" s="560" t="s">
        <v>281</v>
      </c>
      <c r="D387" s="599">
        <v>109783</v>
      </c>
      <c r="E387" s="562" t="s">
        <v>878</v>
      </c>
      <c r="F387" s="563" t="s">
        <v>17</v>
      </c>
      <c r="G387" s="563" t="s">
        <v>18</v>
      </c>
      <c r="H387" s="563" t="s">
        <v>26</v>
      </c>
      <c r="I387" s="564" t="s">
        <v>925</v>
      </c>
      <c r="J387" s="564">
        <v>1</v>
      </c>
      <c r="K387" s="563" t="s">
        <v>437</v>
      </c>
      <c r="L387" s="565">
        <v>43922</v>
      </c>
      <c r="M387" s="615" t="s">
        <v>926</v>
      </c>
      <c r="N387" s="563" t="s">
        <v>818</v>
      </c>
      <c r="O387" s="563">
        <v>2020.03</v>
      </c>
      <c r="P387" s="566" t="str">
        <f>VLOOKUP(A387,'[1]Raw data'!$B:$BB,23,FALSE)</f>
        <v>JPY</v>
      </c>
      <c r="Q387" s="563" t="str">
        <f>VLOOKUP(A387,'[1]Raw data'!$B:$Z,2,FALSE)</f>
        <v>C49SZX20200013SS</v>
      </c>
      <c r="R387" s="563" t="str">
        <f>VLOOKUP(A387,'[1]Raw data'!$B:$Z,3,FALSE)</f>
        <v>新平泰/end user:弛瑞</v>
      </c>
      <c r="S387" s="563" t="str">
        <f>VLOOKUP(A387,'[1]Raw data'!$B:$Z,4,FALSE)</f>
        <v>YSM10</v>
      </c>
      <c r="T387" s="563" t="str">
        <f>VLOOKUP(A387,'[1]Raw data'!$B:$Z,8,FALSE)</f>
        <v>L-&gt;R</v>
      </c>
      <c r="U387" s="563" t="str">
        <f>VLOOKUP(A387,'[1]Raw data'!$B:$Z,9,FALSE)</f>
        <v>MVC</v>
      </c>
      <c r="V387" s="567" t="str">
        <f t="shared" si="57"/>
        <v>WRONG</v>
      </c>
      <c r="W387" s="563" t="str">
        <f>VLOOKUP(A387,'[1]Raw data'!$B:$AG,32,FALSE)</f>
        <v>DAP SZ</v>
      </c>
      <c r="X387" s="563">
        <f>VLOOKUP(A387,'[1]Raw data'!$B:$BA,31,FALSE)</f>
        <v>43840</v>
      </c>
      <c r="Y387" s="563" t="str">
        <f>VLOOKUP(A387,'[1]Raw data'!$B:$AS,39,FALSE)</f>
        <v>Yes</v>
      </c>
      <c r="AC387" s="563" t="s">
        <v>904</v>
      </c>
      <c r="AD387" s="571">
        <v>301</v>
      </c>
      <c r="AE387" s="571">
        <v>10</v>
      </c>
      <c r="AN387" s="542"/>
      <c r="AO387" s="824" t="str">
        <f t="shared" ref="AO387:AO450" si="58">IFERROR(IF(Y387&lt;&gt;"",Y387,"No"),"No")</f>
        <v>Yes</v>
      </c>
      <c r="AP387" s="259" t="str">
        <f t="shared" ref="AP387:AP450" si="59">IFERROR(IF(N387&lt;&gt;"",N387,"blank"),"NA")</f>
        <v>MAY 20</v>
      </c>
      <c r="AQ387" s="542" t="str">
        <f t="shared" ref="AQ387:AQ450" si="60">IFERROR(IF(AND(AO387="Yes", AP387&lt;&gt;"blank"), "有定金+有預留客戶", IF(AND(AO387="Yes", AP387="blank"), "有定金+无客戶送貨期", IF(AND(OR(AO387="No", ISBLANK(AO387), AO387="NA"), AP387&lt;&gt;"blank"), "无定金+有預留客戶", IF(AND(OR(AO387="No", ISBLANK(AO387), AO387="NA"), AP387="blank"), "无定金+无預留客戶", "")))), "")</f>
        <v>有定金+有預留客戶</v>
      </c>
      <c r="AR387" s="259" t="str">
        <f t="shared" ref="AR387:AR450" si="61">IFERROR(IF(B387="已经到货", "Instock", IF(B387="有交期", "Incoming_Stock_With_YAMAHA_Schedule", IF(B387="TBA.", "Incoming_Stock_No_YAMAHA_Schedule", IF(B387="已发货", "Shipped_Stock", "")))), "")</f>
        <v>Shipped_Stock</v>
      </c>
      <c r="AS387" s="259" t="str">
        <f t="shared" ref="AS387:AS450" si="62">IF(AND(B387="有交期", L387&lt;&gt;""), L387, "")</f>
        <v/>
      </c>
      <c r="AT387" s="259" t="str">
        <f t="shared" ref="AT387:AT450" si="63">IFERROR(IF(R387&lt;&gt;"",R387),"-")</f>
        <v>新平泰/end user:弛瑞</v>
      </c>
      <c r="AU387" s="259" t="str">
        <f t="shared" ref="AU387:AU450" si="64">IFERROR(IF(Q387&lt;&gt;"",Q387),"-")</f>
        <v>C49SZX20200013SS</v>
      </c>
      <c r="AV387" s="259" t="str">
        <f t="shared" ref="AV387:AV450" si="65">IF(L387="","-",TEXT(L387,"mmm-dd"))</f>
        <v>Apr-01</v>
      </c>
    </row>
    <row r="388" spans="1:48" ht="22.5" hidden="1">
      <c r="A388" s="559">
        <v>674</v>
      </c>
      <c r="B388" s="560" t="s">
        <v>927</v>
      </c>
      <c r="C388" s="560" t="s">
        <v>281</v>
      </c>
      <c r="D388" s="599">
        <v>109783</v>
      </c>
      <c r="E388" s="562" t="s">
        <v>878</v>
      </c>
      <c r="F388" s="563" t="s">
        <v>17</v>
      </c>
      <c r="G388" s="563" t="s">
        <v>18</v>
      </c>
      <c r="H388" s="563" t="s">
        <v>19</v>
      </c>
      <c r="I388" s="564" t="s">
        <v>928</v>
      </c>
      <c r="J388" s="564">
        <v>1</v>
      </c>
      <c r="K388" s="563" t="s">
        <v>437</v>
      </c>
      <c r="L388" s="565">
        <v>43922</v>
      </c>
      <c r="M388" s="615" t="s">
        <v>929</v>
      </c>
      <c r="N388" s="563" t="s">
        <v>930</v>
      </c>
      <c r="O388" s="563">
        <v>2020.03</v>
      </c>
      <c r="P388" s="566" t="str">
        <f>VLOOKUP(A388,'[1]Raw data'!$B:$BB,23,FALSE)</f>
        <v>RMB</v>
      </c>
      <c r="Q388" s="563" t="str">
        <f>VLOOKUP(A388,'[1]Raw data'!$B:$Z,2,FALSE)</f>
        <v>C49SZX20200079KW</v>
      </c>
      <c r="R388" s="563" t="str">
        <f>VLOOKUP(A388,'[1]Raw data'!$B:$Z,3,FALSE)</f>
        <v>晨日电子</v>
      </c>
      <c r="S388" s="563" t="str">
        <f>VLOOKUP(A388,'[1]Raw data'!$B:$Z,4,FALSE)</f>
        <v>YSM10</v>
      </c>
      <c r="T388" s="563" t="str">
        <f>VLOOKUP(A388,'[1]Raw data'!$B:$Z,8,FALSE)</f>
        <v>L-&gt;R</v>
      </c>
      <c r="U388" s="563" t="str">
        <f>VLOOKUP(A388,'[1]Raw data'!$B:$Z,9,FALSE)</f>
        <v>MVC+ATS15</v>
      </c>
      <c r="V388" s="567" t="str">
        <f t="shared" si="57"/>
        <v>WRONG</v>
      </c>
      <c r="W388" s="563" t="str">
        <f>VLOOKUP(A388,'[1]Raw data'!$B:$AG,32,FALSE)</f>
        <v>含税到厂</v>
      </c>
      <c r="X388" s="563">
        <f>VLOOKUP(A388,'[1]Raw data'!$B:$BA,31,FALSE)</f>
        <v>44005</v>
      </c>
      <c r="Y388" s="563" t="str">
        <f>VLOOKUP(A388,'[1]Raw data'!$B:$AS,39,FALSE)</f>
        <v>Yes</v>
      </c>
      <c r="AC388" s="563" t="s">
        <v>931</v>
      </c>
      <c r="AD388" s="571">
        <v>301</v>
      </c>
      <c r="AE388" s="571">
        <v>10</v>
      </c>
      <c r="AN388" s="542"/>
      <c r="AO388" s="824" t="str">
        <f t="shared" si="58"/>
        <v>Yes</v>
      </c>
      <c r="AP388" s="259" t="str">
        <f t="shared" si="59"/>
        <v>AUG 20</v>
      </c>
      <c r="AQ388" s="542" t="str">
        <f t="shared" si="60"/>
        <v>有定金+有預留客戶</v>
      </c>
      <c r="AR388" s="259" t="str">
        <f t="shared" si="61"/>
        <v>Shipped_Stock</v>
      </c>
      <c r="AS388" s="259" t="str">
        <f t="shared" si="62"/>
        <v/>
      </c>
      <c r="AT388" s="259" t="str">
        <f t="shared" si="63"/>
        <v>晨日电子</v>
      </c>
      <c r="AU388" s="259" t="str">
        <f t="shared" si="64"/>
        <v>C49SZX20200079KW</v>
      </c>
      <c r="AV388" s="259" t="str">
        <f t="shared" si="65"/>
        <v>Apr-01</v>
      </c>
    </row>
    <row r="389" spans="1:48" ht="22.5" hidden="1">
      <c r="A389" s="559">
        <v>676</v>
      </c>
      <c r="B389" s="560" t="s">
        <v>280</v>
      </c>
      <c r="C389" s="560" t="s">
        <v>281</v>
      </c>
      <c r="D389" s="599">
        <v>109783</v>
      </c>
      <c r="E389" s="562" t="s">
        <v>878</v>
      </c>
      <c r="F389" s="563" t="s">
        <v>17</v>
      </c>
      <c r="G389" s="563" t="s">
        <v>18</v>
      </c>
      <c r="H389" s="563" t="s">
        <v>19</v>
      </c>
      <c r="I389" s="564" t="s">
        <v>932</v>
      </c>
      <c r="J389" s="564">
        <v>1</v>
      </c>
      <c r="K389" s="563" t="s">
        <v>437</v>
      </c>
      <c r="L389" s="565">
        <v>43922</v>
      </c>
      <c r="M389" s="615" t="s">
        <v>929</v>
      </c>
      <c r="N389" s="563" t="s">
        <v>300</v>
      </c>
      <c r="O389" s="563">
        <v>2020.03</v>
      </c>
      <c r="P389" s="566" t="str">
        <f>VLOOKUP(A389,'[1]Raw data'!$B:$BB,23,FALSE)</f>
        <v>JPY</v>
      </c>
      <c r="Q389" s="563" t="str">
        <f>VLOOKUP(A389,'[1]Raw data'!$B:$Z,2,FALSE)</f>
        <v>C49SZX20200081DZ</v>
      </c>
      <c r="R389" s="563" t="str">
        <f>VLOOKUP(A389,'[1]Raw data'!$B:$Z,3,FALSE)</f>
        <v>朗特</v>
      </c>
      <c r="S389" s="563" t="str">
        <f>VLOOKUP(A389,'[1]Raw data'!$B:$Z,4,FALSE)</f>
        <v>YSM10</v>
      </c>
      <c r="T389" s="563" t="str">
        <f>VLOOKUP(A389,'[1]Raw data'!$B:$Z,8,FALSE)</f>
        <v>L-&gt;R</v>
      </c>
      <c r="U389" s="563" t="str">
        <f>VLOOKUP(A389,'[1]Raw data'!$B:$Z,9,FALSE)</f>
        <v>MVC+ATS15</v>
      </c>
      <c r="V389" s="567" t="str">
        <f t="shared" si="57"/>
        <v>WRONG</v>
      </c>
      <c r="W389" s="563" t="str">
        <f>VLOOKUP(A389,'[1]Raw data'!$B:$AG,32,FALSE)</f>
        <v>CIF HK</v>
      </c>
      <c r="X389" s="563">
        <f>VLOOKUP(A389,'[1]Raw data'!$B:$BA,31,FALSE)</f>
        <v>44006</v>
      </c>
      <c r="Y389" s="563" t="str">
        <f>VLOOKUP(A389,'[1]Raw data'!$B:$AS,39,FALSE)</f>
        <v>Yes</v>
      </c>
      <c r="AC389" s="563" t="s">
        <v>933</v>
      </c>
      <c r="AD389" s="571">
        <v>301</v>
      </c>
      <c r="AE389" s="571">
        <v>10</v>
      </c>
      <c r="AN389" s="542"/>
      <c r="AO389" s="824" t="str">
        <f t="shared" si="58"/>
        <v>Yes</v>
      </c>
      <c r="AP389" s="259" t="str">
        <f t="shared" si="59"/>
        <v>JUL 20</v>
      </c>
      <c r="AQ389" s="542" t="str">
        <f t="shared" si="60"/>
        <v>有定金+有預留客戶</v>
      </c>
      <c r="AR389" s="259" t="str">
        <f t="shared" si="61"/>
        <v>Shipped_Stock</v>
      </c>
      <c r="AS389" s="259" t="str">
        <f t="shared" si="62"/>
        <v/>
      </c>
      <c r="AT389" s="259" t="str">
        <f t="shared" si="63"/>
        <v>朗特</v>
      </c>
      <c r="AU389" s="259" t="str">
        <f t="shared" si="64"/>
        <v>C49SZX20200081DZ</v>
      </c>
      <c r="AV389" s="259" t="str">
        <f t="shared" si="65"/>
        <v>Apr-01</v>
      </c>
    </row>
    <row r="390" spans="1:48" ht="22.5" hidden="1">
      <c r="A390" s="559">
        <v>656</v>
      </c>
      <c r="B390" s="560" t="s">
        <v>280</v>
      </c>
      <c r="C390" s="560" t="s">
        <v>281</v>
      </c>
      <c r="D390" s="599">
        <v>109783</v>
      </c>
      <c r="E390" s="562" t="s">
        <v>878</v>
      </c>
      <c r="F390" s="563" t="s">
        <v>17</v>
      </c>
      <c r="G390" s="563" t="s">
        <v>18</v>
      </c>
      <c r="H390" s="563" t="s">
        <v>934</v>
      </c>
      <c r="I390" s="564" t="s">
        <v>935</v>
      </c>
      <c r="J390" s="564">
        <v>1</v>
      </c>
      <c r="K390" s="563" t="s">
        <v>295</v>
      </c>
      <c r="L390" s="565">
        <v>43922</v>
      </c>
      <c r="M390" s="615" t="s">
        <v>929</v>
      </c>
      <c r="N390" s="563" t="s">
        <v>300</v>
      </c>
      <c r="O390" s="563">
        <v>2020.03</v>
      </c>
      <c r="P390" s="566" t="str">
        <f>VLOOKUP(A390,'[1]Raw data'!$B:$BB,23,FALSE)</f>
        <v>RMB</v>
      </c>
      <c r="Q390" s="563" t="str">
        <f>VLOOKUP(A390,'[1]Raw data'!$B:$Z,2,FALSE)</f>
        <v>C49SZX20200058SS</v>
      </c>
      <c r="R390" s="563" t="str">
        <f>VLOOKUP(A390,'[1]Raw data'!$B:$Z,3,FALSE)</f>
        <v>中润互联</v>
      </c>
      <c r="S390" s="563" t="str">
        <f>VLOOKUP(A390,'[1]Raw data'!$B:$Z,4,FALSE)</f>
        <v>YSM10</v>
      </c>
      <c r="T390" s="563" t="str">
        <f>VLOOKUP(A390,'[1]Raw data'!$B:$Z,8,FALSE)</f>
        <v>R-&gt;L</v>
      </c>
      <c r="U390" s="563" t="str">
        <f>VLOOKUP(A390,'[1]Raw data'!$B:$Z,9,FALSE)</f>
        <v>MVC+ATS15</v>
      </c>
      <c r="V390" s="567" t="str">
        <f t="shared" si="57"/>
        <v>WRONG</v>
      </c>
      <c r="W390" s="563" t="str">
        <f>VLOOKUP(A390,'[1]Raw data'!$B:$AG,32,FALSE)</f>
        <v>含税到厂</v>
      </c>
      <c r="X390" s="563">
        <f>VLOOKUP(A390,'[1]Raw data'!$B:$BA,31,FALSE)</f>
        <v>43986</v>
      </c>
      <c r="Y390" s="563" t="str">
        <f>VLOOKUP(A390,'[1]Raw data'!$B:$AS,39,FALSE)</f>
        <v>Yes</v>
      </c>
      <c r="AC390" s="563" t="s">
        <v>936</v>
      </c>
      <c r="AD390" s="571">
        <v>301</v>
      </c>
      <c r="AE390" s="571">
        <v>10</v>
      </c>
      <c r="AN390" s="542"/>
      <c r="AO390" s="824" t="str">
        <f t="shared" si="58"/>
        <v>Yes</v>
      </c>
      <c r="AP390" s="259" t="str">
        <f t="shared" si="59"/>
        <v>JUL 20</v>
      </c>
      <c r="AQ390" s="542" t="str">
        <f t="shared" si="60"/>
        <v>有定金+有預留客戶</v>
      </c>
      <c r="AR390" s="259" t="str">
        <f t="shared" si="61"/>
        <v>Shipped_Stock</v>
      </c>
      <c r="AS390" s="259" t="str">
        <f t="shared" si="62"/>
        <v/>
      </c>
      <c r="AT390" s="259" t="str">
        <f t="shared" si="63"/>
        <v>中润互联</v>
      </c>
      <c r="AU390" s="259" t="str">
        <f t="shared" si="64"/>
        <v>C49SZX20200058SS</v>
      </c>
      <c r="AV390" s="259" t="str">
        <f t="shared" si="65"/>
        <v>Apr-01</v>
      </c>
    </row>
    <row r="391" spans="1:48" hidden="1">
      <c r="A391" s="559">
        <v>604</v>
      </c>
      <c r="B391" s="560" t="s">
        <v>280</v>
      </c>
      <c r="C391" s="560" t="s">
        <v>281</v>
      </c>
      <c r="D391" s="599">
        <v>109820</v>
      </c>
      <c r="E391" s="562" t="s">
        <v>886</v>
      </c>
      <c r="F391" s="563" t="s">
        <v>17</v>
      </c>
      <c r="G391" s="563" t="s">
        <v>18</v>
      </c>
      <c r="H391" s="563" t="s">
        <v>26</v>
      </c>
      <c r="I391" s="564" t="s">
        <v>937</v>
      </c>
      <c r="J391" s="564">
        <v>1</v>
      </c>
      <c r="K391" s="563" t="s">
        <v>938</v>
      </c>
      <c r="L391" s="565">
        <v>43924</v>
      </c>
      <c r="M391" s="576" t="s">
        <v>939</v>
      </c>
      <c r="N391" s="563" t="s">
        <v>818</v>
      </c>
      <c r="O391" s="563">
        <v>2020.03</v>
      </c>
      <c r="P391" s="566" t="str">
        <f>VLOOKUP(A391,'[1]Raw data'!$B:$BB,23,FALSE)</f>
        <v>JPY</v>
      </c>
      <c r="Q391" s="563" t="str">
        <f>VLOOKUP(A391,'[1]Raw data'!$B:$Z,2,FALSE)</f>
        <v>C49SZX20200036CX</v>
      </c>
      <c r="R391" s="563" t="str">
        <f>VLOOKUP(A391,'[1]Raw data'!$B:$Z,3,FALSE)</f>
        <v>钧溢电子</v>
      </c>
      <c r="S391" s="563" t="str">
        <f>VLOOKUP(A391,'[1]Raw data'!$B:$Z,4,FALSE)</f>
        <v>YSM10</v>
      </c>
      <c r="T391" s="563" t="str">
        <f>VLOOKUP(A391,'[1]Raw data'!$B:$Z,8,FALSE)</f>
        <v>L-&gt;R</v>
      </c>
      <c r="U391" s="563" t="str">
        <f>VLOOKUP(A391,'[1]Raw data'!$B:$Z,9,FALSE)</f>
        <v>MVC</v>
      </c>
      <c r="V391" s="567" t="str">
        <f t="shared" si="57"/>
        <v>WRONG</v>
      </c>
      <c r="W391" s="563" t="str">
        <f>VLOOKUP(A391,'[1]Raw data'!$B:$AG,32,FALSE)</f>
        <v>DAP SZ</v>
      </c>
      <c r="X391" s="563">
        <f>VLOOKUP(A391,'[1]Raw data'!$B:$BA,31,FALSE)</f>
        <v>43915</v>
      </c>
      <c r="Y391" s="563" t="str">
        <f>VLOOKUP(A391,'[1]Raw data'!$B:$AS,39,FALSE)</f>
        <v>Yes</v>
      </c>
      <c r="AC391" s="563" t="s">
        <v>940</v>
      </c>
      <c r="AD391" s="571">
        <v>301</v>
      </c>
      <c r="AE391" s="571">
        <v>10</v>
      </c>
      <c r="AN391" s="542"/>
      <c r="AO391" s="824" t="str">
        <f t="shared" si="58"/>
        <v>Yes</v>
      </c>
      <c r="AP391" s="259" t="str">
        <f t="shared" si="59"/>
        <v>MAY 20</v>
      </c>
      <c r="AQ391" s="542" t="str">
        <f t="shared" si="60"/>
        <v>有定金+有預留客戶</v>
      </c>
      <c r="AR391" s="259" t="str">
        <f t="shared" si="61"/>
        <v>Shipped_Stock</v>
      </c>
      <c r="AS391" s="259" t="str">
        <f t="shared" si="62"/>
        <v/>
      </c>
      <c r="AT391" s="259" t="str">
        <f t="shared" si="63"/>
        <v>钧溢电子</v>
      </c>
      <c r="AU391" s="259" t="str">
        <f t="shared" si="64"/>
        <v>C49SZX20200036CX</v>
      </c>
      <c r="AV391" s="259" t="str">
        <f t="shared" si="65"/>
        <v>Apr-03</v>
      </c>
    </row>
    <row r="392" spans="1:48" ht="33.75" hidden="1">
      <c r="A392" s="559">
        <v>634</v>
      </c>
      <c r="B392" s="560" t="s">
        <v>280</v>
      </c>
      <c r="C392" s="560" t="s">
        <v>281</v>
      </c>
      <c r="D392" s="625">
        <v>109820</v>
      </c>
      <c r="E392" s="562" t="s">
        <v>886</v>
      </c>
      <c r="F392" s="563" t="s">
        <v>17</v>
      </c>
      <c r="G392" s="563" t="s">
        <v>18</v>
      </c>
      <c r="H392" s="563" t="s">
        <v>26</v>
      </c>
      <c r="I392" s="564" t="s">
        <v>941</v>
      </c>
      <c r="J392" s="564">
        <v>1</v>
      </c>
      <c r="K392" s="563" t="s">
        <v>938</v>
      </c>
      <c r="L392" s="565">
        <v>43924</v>
      </c>
      <c r="M392" s="615" t="s">
        <v>942</v>
      </c>
      <c r="N392" s="563" t="s">
        <v>818</v>
      </c>
      <c r="O392" s="563">
        <v>2020.03</v>
      </c>
      <c r="P392" s="566" t="str">
        <f>VLOOKUP(A392,'[1]Raw data'!$B:$BB,23,FALSE)</f>
        <v>RMB</v>
      </c>
      <c r="Q392" s="563" t="str">
        <f>VLOOKUP(A392,'[1]Raw data'!$B:$Z,2,FALSE)</f>
        <v>C49SZX20200011DZ</v>
      </c>
      <c r="R392" s="563" t="str">
        <f>VLOOKUP(A392,'[1]Raw data'!$B:$Z,3,FALSE)</f>
        <v>和盛光电</v>
      </c>
      <c r="S392" s="563" t="str">
        <f>VLOOKUP(A392,'[1]Raw data'!$B:$Z,4,FALSE)</f>
        <v>YSM10</v>
      </c>
      <c r="T392" s="563" t="str">
        <f>VLOOKUP(A392,'[1]Raw data'!$B:$Z,8,FALSE)</f>
        <v>R-&gt;L</v>
      </c>
      <c r="U392" s="563" t="str">
        <f>VLOOKUP(A392,'[1]Raw data'!$B:$Z,9,FALSE)</f>
        <v>No</v>
      </c>
      <c r="V392" s="567" t="str">
        <f t="shared" si="57"/>
        <v>OK</v>
      </c>
      <c r="W392" s="563" t="str">
        <f>VLOOKUP(A392,'[1]Raw data'!$B:$AG,32,FALSE)</f>
        <v>含税到厂</v>
      </c>
      <c r="X392" s="563">
        <f>VLOOKUP(A392,'[1]Raw data'!$B:$BA,31,FALSE)</f>
        <v>43943</v>
      </c>
      <c r="Y392" s="563" t="str">
        <f>VLOOKUP(A392,'[1]Raw data'!$B:$AS,39,FALSE)</f>
        <v>Yes</v>
      </c>
      <c r="AC392" s="563" t="s">
        <v>943</v>
      </c>
      <c r="AD392" s="571">
        <v>301</v>
      </c>
      <c r="AE392" s="571">
        <v>10</v>
      </c>
      <c r="AN392" s="542"/>
      <c r="AO392" s="824" t="str">
        <f t="shared" si="58"/>
        <v>Yes</v>
      </c>
      <c r="AP392" s="259" t="str">
        <f t="shared" si="59"/>
        <v>MAY 20</v>
      </c>
      <c r="AQ392" s="542" t="str">
        <f t="shared" si="60"/>
        <v>有定金+有預留客戶</v>
      </c>
      <c r="AR392" s="259" t="str">
        <f t="shared" si="61"/>
        <v>Shipped_Stock</v>
      </c>
      <c r="AS392" s="259" t="str">
        <f t="shared" si="62"/>
        <v/>
      </c>
      <c r="AT392" s="259" t="str">
        <f t="shared" si="63"/>
        <v>和盛光电</v>
      </c>
      <c r="AU392" s="259" t="str">
        <f t="shared" si="64"/>
        <v>C49SZX20200011DZ</v>
      </c>
      <c r="AV392" s="259" t="str">
        <f t="shared" si="65"/>
        <v>Apr-03</v>
      </c>
    </row>
    <row r="393" spans="1:48" ht="34.5" hidden="1" thickBot="1">
      <c r="A393" s="559">
        <v>636</v>
      </c>
      <c r="B393" s="560" t="s">
        <v>280</v>
      </c>
      <c r="C393" s="560" t="s">
        <v>281</v>
      </c>
      <c r="D393" s="624">
        <v>109820</v>
      </c>
      <c r="E393" s="562" t="s">
        <v>886</v>
      </c>
      <c r="F393" s="563" t="s">
        <v>17</v>
      </c>
      <c r="G393" s="563" t="s">
        <v>18</v>
      </c>
      <c r="H393" s="563" t="s">
        <v>26</v>
      </c>
      <c r="I393" s="564" t="s">
        <v>944</v>
      </c>
      <c r="J393" s="564">
        <v>1</v>
      </c>
      <c r="K393" s="563" t="s">
        <v>820</v>
      </c>
      <c r="L393" s="565">
        <v>43924</v>
      </c>
      <c r="M393" s="615" t="s">
        <v>942</v>
      </c>
      <c r="N393" s="563" t="s">
        <v>818</v>
      </c>
      <c r="O393" s="563">
        <v>2020.03</v>
      </c>
      <c r="P393" s="566" t="str">
        <f>VLOOKUP(A393,'[1]Raw data'!$B:$BB,23,FALSE)</f>
        <v>RMB</v>
      </c>
      <c r="Q393" s="563" t="str">
        <f>VLOOKUP(A393,'[1]Raw data'!$B:$Z,2,FALSE)</f>
        <v>C49SZX20200047MZ</v>
      </c>
      <c r="R393" s="563" t="str">
        <f>VLOOKUP(A393,'[1]Raw data'!$B:$Z,3,FALSE)</f>
        <v>融创新合</v>
      </c>
      <c r="S393" s="563" t="str">
        <f>VLOOKUP(A393,'[1]Raw data'!$B:$Z,4,FALSE)</f>
        <v>YSM10</v>
      </c>
      <c r="T393" s="563" t="str">
        <f>VLOOKUP(A393,'[1]Raw data'!$B:$Z,8,FALSE)</f>
        <v>L-&gt;R</v>
      </c>
      <c r="U393" s="563" t="str">
        <f>VLOOKUP(A393,'[1]Raw data'!$B:$Z,9,FALSE)</f>
        <v>MVC</v>
      </c>
      <c r="V393" s="567" t="str">
        <f t="shared" si="57"/>
        <v>WRONG</v>
      </c>
      <c r="W393" s="563" t="str">
        <f>VLOOKUP(A393,'[1]Raw data'!$B:$AG,32,FALSE)</f>
        <v>含税到厂</v>
      </c>
      <c r="X393" s="563">
        <f>VLOOKUP(A393,'[1]Raw data'!$B:$BA,31,FALSE)</f>
        <v>43944</v>
      </c>
      <c r="Y393" s="563" t="str">
        <f>VLOOKUP(A393,'[1]Raw data'!$B:$AS,39,FALSE)</f>
        <v>Yes</v>
      </c>
      <c r="AC393" s="563" t="s">
        <v>945</v>
      </c>
      <c r="AD393" s="571">
        <v>301</v>
      </c>
      <c r="AE393" s="571">
        <v>10</v>
      </c>
      <c r="AN393" s="542"/>
      <c r="AO393" s="824" t="str">
        <f t="shared" si="58"/>
        <v>Yes</v>
      </c>
      <c r="AP393" s="259" t="str">
        <f t="shared" si="59"/>
        <v>MAY 20</v>
      </c>
      <c r="AQ393" s="542" t="str">
        <f t="shared" si="60"/>
        <v>有定金+有預留客戶</v>
      </c>
      <c r="AR393" s="259" t="str">
        <f t="shared" si="61"/>
        <v>Shipped_Stock</v>
      </c>
      <c r="AS393" s="259" t="str">
        <f t="shared" si="62"/>
        <v/>
      </c>
      <c r="AT393" s="259" t="str">
        <f t="shared" si="63"/>
        <v>融创新合</v>
      </c>
      <c r="AU393" s="259" t="str">
        <f t="shared" si="64"/>
        <v>C49SZX20200047MZ</v>
      </c>
      <c r="AV393" s="259" t="str">
        <f t="shared" si="65"/>
        <v>Apr-03</v>
      </c>
    </row>
    <row r="394" spans="1:48" ht="34.5" hidden="1" thickBot="1">
      <c r="A394" s="559">
        <v>602</v>
      </c>
      <c r="B394" s="560" t="s">
        <v>280</v>
      </c>
      <c r="C394" s="560" t="s">
        <v>281</v>
      </c>
      <c r="D394" s="643">
        <v>109820</v>
      </c>
      <c r="E394" s="562" t="s">
        <v>886</v>
      </c>
      <c r="F394" s="563" t="s">
        <v>17</v>
      </c>
      <c r="G394" s="563" t="s">
        <v>18</v>
      </c>
      <c r="H394" s="563" t="s">
        <v>26</v>
      </c>
      <c r="I394" s="564" t="s">
        <v>946</v>
      </c>
      <c r="J394" s="564">
        <v>1</v>
      </c>
      <c r="K394" s="563" t="s">
        <v>437</v>
      </c>
      <c r="L394" s="565">
        <v>43924</v>
      </c>
      <c r="M394" s="615" t="s">
        <v>942</v>
      </c>
      <c r="N394" s="563" t="s">
        <v>903</v>
      </c>
      <c r="O394" s="563">
        <v>2020.03</v>
      </c>
      <c r="P394" s="566" t="str">
        <f>VLOOKUP(A394,'[1]Raw data'!$B:$BB,23,FALSE)</f>
        <v>RMB</v>
      </c>
      <c r="Q394" s="563" t="str">
        <f>VLOOKUP(A394,'[1]Raw data'!$B:$Z,2,FALSE)</f>
        <v>C49SZX20200031DZ</v>
      </c>
      <c r="R394" s="563" t="str">
        <f>VLOOKUP(A394,'[1]Raw data'!$B:$Z,3,FALSE)</f>
        <v>金海智控</v>
      </c>
      <c r="S394" s="563" t="str">
        <f>VLOOKUP(A394,'[1]Raw data'!$B:$Z,4,FALSE)</f>
        <v>YSM10</v>
      </c>
      <c r="T394" s="563" t="str">
        <f>VLOOKUP(A394,'[1]Raw data'!$B:$Z,8,FALSE)</f>
        <v>L-&gt;R</v>
      </c>
      <c r="U394" s="563" t="str">
        <f>VLOOKUP(A394,'[1]Raw data'!$B:$Z,9,FALSE)</f>
        <v>MVC</v>
      </c>
      <c r="V394" s="567" t="str">
        <f t="shared" si="57"/>
        <v>WRONG</v>
      </c>
      <c r="W394" s="563" t="str">
        <f>VLOOKUP(A394,'[1]Raw data'!$B:$AG,32,FALSE)</f>
        <v>含税到厂</v>
      </c>
      <c r="X394" s="563">
        <f>VLOOKUP(A394,'[1]Raw data'!$B:$BA,31,FALSE)</f>
        <v>43915</v>
      </c>
      <c r="Y394" s="563" t="str">
        <f>VLOOKUP(A394,'[1]Raw data'!$B:$AS,39,FALSE)</f>
        <v>Yes</v>
      </c>
      <c r="AC394" s="563" t="s">
        <v>947</v>
      </c>
      <c r="AD394" s="571">
        <v>301</v>
      </c>
      <c r="AE394" s="571">
        <v>10</v>
      </c>
      <c r="AN394" s="542"/>
      <c r="AO394" s="824" t="str">
        <f t="shared" si="58"/>
        <v>Yes</v>
      </c>
      <c r="AP394" s="259" t="str">
        <f t="shared" si="59"/>
        <v>JUN 20</v>
      </c>
      <c r="AQ394" s="542" t="str">
        <f t="shared" si="60"/>
        <v>有定金+有預留客戶</v>
      </c>
      <c r="AR394" s="259" t="str">
        <f t="shared" si="61"/>
        <v>Shipped_Stock</v>
      </c>
      <c r="AS394" s="259" t="str">
        <f t="shared" si="62"/>
        <v/>
      </c>
      <c r="AT394" s="259" t="str">
        <f t="shared" si="63"/>
        <v>金海智控</v>
      </c>
      <c r="AU394" s="259" t="str">
        <f t="shared" si="64"/>
        <v>C49SZX20200031DZ</v>
      </c>
      <c r="AV394" s="259" t="str">
        <f t="shared" si="65"/>
        <v>Apr-03</v>
      </c>
    </row>
    <row r="395" spans="1:48" ht="33.75" hidden="1">
      <c r="A395" s="559">
        <v>643</v>
      </c>
      <c r="B395" s="560" t="s">
        <v>280</v>
      </c>
      <c r="C395" s="560" t="s">
        <v>281</v>
      </c>
      <c r="D395" s="644">
        <v>109820</v>
      </c>
      <c r="E395" s="562" t="s">
        <v>886</v>
      </c>
      <c r="F395" s="563" t="s">
        <v>17</v>
      </c>
      <c r="G395" s="563" t="s">
        <v>18</v>
      </c>
      <c r="H395" s="563" t="s">
        <v>26</v>
      </c>
      <c r="I395" s="564" t="s">
        <v>948</v>
      </c>
      <c r="J395" s="564">
        <v>1</v>
      </c>
      <c r="K395" s="563" t="s">
        <v>437</v>
      </c>
      <c r="L395" s="565">
        <v>43924</v>
      </c>
      <c r="M395" s="615" t="s">
        <v>942</v>
      </c>
      <c r="N395" s="563" t="s">
        <v>818</v>
      </c>
      <c r="O395" s="563">
        <v>2020.03</v>
      </c>
      <c r="P395" s="566" t="str">
        <f>VLOOKUP(A395,'[1]Raw data'!$B:$BB,23,FALSE)</f>
        <v>RMB</v>
      </c>
      <c r="Q395" s="563" t="str">
        <f>VLOOKUP(A395,'[1]Raw data'!$B:$Z,2,FALSE)</f>
        <v>C49SZX20200037SX-R1</v>
      </c>
      <c r="R395" s="563" t="str">
        <f>VLOOKUP(A395,'[1]Raw data'!$B:$Z,3,FALSE)</f>
        <v>利速达</v>
      </c>
      <c r="S395" s="563" t="str">
        <f>VLOOKUP(A395,'[1]Raw data'!$B:$Z,4,FALSE)</f>
        <v>YSM10</v>
      </c>
      <c r="T395" s="563" t="str">
        <f>VLOOKUP(A395,'[1]Raw data'!$B:$Z,8,FALSE)</f>
        <v>L-&gt;R</v>
      </c>
      <c r="U395" s="563" t="str">
        <f>VLOOKUP(A395,'[1]Raw data'!$B:$Z,9,FALSE)</f>
        <v>MVC</v>
      </c>
      <c r="V395" s="567" t="str">
        <f t="shared" si="57"/>
        <v>WRONG</v>
      </c>
      <c r="W395" s="563" t="str">
        <f>VLOOKUP(A395,'[1]Raw data'!$B:$AG,32,FALSE)</f>
        <v>含税到厂</v>
      </c>
      <c r="X395" s="563">
        <f>VLOOKUP(A395,'[1]Raw data'!$B:$BA,31,FALSE)</f>
        <v>43963</v>
      </c>
      <c r="Y395" s="563" t="str">
        <f>VLOOKUP(A395,'[1]Raw data'!$B:$AS,39,FALSE)</f>
        <v>Yes</v>
      </c>
      <c r="AC395" s="563" t="s">
        <v>720</v>
      </c>
      <c r="AD395" s="571">
        <v>301</v>
      </c>
      <c r="AE395" s="571">
        <v>10</v>
      </c>
      <c r="AN395" s="542"/>
      <c r="AO395" s="824" t="str">
        <f t="shared" si="58"/>
        <v>Yes</v>
      </c>
      <c r="AP395" s="259" t="str">
        <f t="shared" si="59"/>
        <v>MAY 20</v>
      </c>
      <c r="AQ395" s="542" t="str">
        <f t="shared" si="60"/>
        <v>有定金+有預留客戶</v>
      </c>
      <c r="AR395" s="259" t="str">
        <f t="shared" si="61"/>
        <v>Shipped_Stock</v>
      </c>
      <c r="AS395" s="259" t="str">
        <f t="shared" si="62"/>
        <v/>
      </c>
      <c r="AT395" s="259" t="str">
        <f t="shared" si="63"/>
        <v>利速达</v>
      </c>
      <c r="AU395" s="259" t="str">
        <f t="shared" si="64"/>
        <v>C49SZX20200037SX-R1</v>
      </c>
      <c r="AV395" s="259" t="str">
        <f t="shared" si="65"/>
        <v>Apr-03</v>
      </c>
    </row>
    <row r="396" spans="1:48" hidden="1">
      <c r="A396" s="559">
        <v>635</v>
      </c>
      <c r="B396" s="560" t="s">
        <v>280</v>
      </c>
      <c r="C396" s="560" t="s">
        <v>281</v>
      </c>
      <c r="D396" s="599">
        <v>109855</v>
      </c>
      <c r="E396" s="562" t="s">
        <v>886</v>
      </c>
      <c r="F396" s="563" t="s">
        <v>256</v>
      </c>
      <c r="G396" s="563" t="s">
        <v>24</v>
      </c>
      <c r="H396" s="563" t="s">
        <v>26</v>
      </c>
      <c r="I396" s="564" t="s">
        <v>949</v>
      </c>
      <c r="J396" s="564">
        <v>1</v>
      </c>
      <c r="K396" s="563" t="s">
        <v>820</v>
      </c>
      <c r="L396" s="565">
        <v>43946</v>
      </c>
      <c r="M396" s="576">
        <v>6.5600000000000006E-2</v>
      </c>
      <c r="N396" s="563" t="s">
        <v>818</v>
      </c>
      <c r="O396" s="564">
        <v>2020.02</v>
      </c>
      <c r="P396" s="566" t="str">
        <f>VLOOKUP(A396,'[1]Raw data'!$B:$BB,23,FALSE)</f>
        <v>RMB</v>
      </c>
      <c r="Q396" s="563" t="str">
        <f>VLOOKUP(A396,'[1]Raw data'!$B:$Z,2,FALSE)</f>
        <v>C49SZX20200047MZ</v>
      </c>
      <c r="R396" s="563" t="str">
        <f>VLOOKUP(A396,'[1]Raw data'!$B:$Z,3,FALSE)</f>
        <v>融创新合</v>
      </c>
      <c r="S396" s="563" t="str">
        <f>VLOOKUP(A396,'[1]Raw data'!$B:$Z,4,FALSE)</f>
        <v>YSM20R(SV)-2</v>
      </c>
      <c r="T396" s="563" t="str">
        <f>VLOOKUP(A396,'[1]Raw data'!$B:$Z,8,FALSE)</f>
        <v>L-&gt;R</v>
      </c>
      <c r="U396" s="563" t="str">
        <f>VLOOKUP(A396,'[1]Raw data'!$B:$Z,9,FALSE)</f>
        <v>No</v>
      </c>
      <c r="V396" s="567" t="str">
        <f t="shared" si="57"/>
        <v>OK</v>
      </c>
      <c r="W396" s="563" t="str">
        <f>VLOOKUP(A396,'[1]Raw data'!$B:$AG,32,FALSE)</f>
        <v>含税到厂</v>
      </c>
      <c r="X396" s="563">
        <f>VLOOKUP(A396,'[1]Raw data'!$B:$BA,31,FALSE)</f>
        <v>43944</v>
      </c>
      <c r="Y396" s="563" t="str">
        <f>VLOOKUP(A396,'[1]Raw data'!$B:$AS,39,FALSE)</f>
        <v>Yes</v>
      </c>
      <c r="AC396" s="563" t="s">
        <v>945</v>
      </c>
      <c r="AD396" s="571">
        <v>301</v>
      </c>
      <c r="AE396" s="571">
        <v>20</v>
      </c>
      <c r="AN396" s="542"/>
      <c r="AO396" s="824" t="str">
        <f t="shared" si="58"/>
        <v>Yes</v>
      </c>
      <c r="AP396" s="259" t="str">
        <f t="shared" si="59"/>
        <v>MAY 20</v>
      </c>
      <c r="AQ396" s="542" t="str">
        <f t="shared" si="60"/>
        <v>有定金+有預留客戶</v>
      </c>
      <c r="AR396" s="259" t="str">
        <f t="shared" si="61"/>
        <v>Shipped_Stock</v>
      </c>
      <c r="AS396" s="259" t="str">
        <f t="shared" si="62"/>
        <v/>
      </c>
      <c r="AT396" s="259" t="str">
        <f t="shared" si="63"/>
        <v>融创新合</v>
      </c>
      <c r="AU396" s="259" t="str">
        <f t="shared" si="64"/>
        <v>C49SZX20200047MZ</v>
      </c>
      <c r="AV396" s="259" t="str">
        <f t="shared" si="65"/>
        <v>Apr-25</v>
      </c>
    </row>
    <row r="397" spans="1:48" ht="22.5" hidden="1">
      <c r="A397" s="559">
        <v>642</v>
      </c>
      <c r="B397" s="560" t="s">
        <v>280</v>
      </c>
      <c r="C397" s="560" t="s">
        <v>281</v>
      </c>
      <c r="D397" s="599">
        <v>109855</v>
      </c>
      <c r="E397" s="562" t="s">
        <v>886</v>
      </c>
      <c r="F397" s="563" t="s">
        <v>256</v>
      </c>
      <c r="G397" s="563" t="s">
        <v>24</v>
      </c>
      <c r="H397" s="563" t="s">
        <v>26</v>
      </c>
      <c r="I397" s="564" t="s">
        <v>950</v>
      </c>
      <c r="J397" s="564">
        <v>1</v>
      </c>
      <c r="K397" s="563" t="s">
        <v>437</v>
      </c>
      <c r="L397" s="565">
        <v>43946</v>
      </c>
      <c r="M397" s="615" t="s">
        <v>951</v>
      </c>
      <c r="N397" s="563" t="s">
        <v>818</v>
      </c>
      <c r="O397" s="564">
        <v>2020.02</v>
      </c>
      <c r="P397" s="566" t="str">
        <f>VLOOKUP(A397,'[1]Raw data'!$B:$BB,23,FALSE)</f>
        <v>RMB</v>
      </c>
      <c r="Q397" s="563" t="str">
        <f>VLOOKUP(A397,'[1]Raw data'!$B:$Z,2,FALSE)</f>
        <v>C49SZX20200037SX-R1</v>
      </c>
      <c r="R397" s="563" t="str">
        <f>VLOOKUP(A397,'[1]Raw data'!$B:$Z,3,FALSE)</f>
        <v>利速达</v>
      </c>
      <c r="S397" s="563" t="str">
        <f>VLOOKUP(A397,'[1]Raw data'!$B:$Z,4,FALSE)</f>
        <v>YSM20R(SV)-2</v>
      </c>
      <c r="T397" s="563" t="str">
        <f>VLOOKUP(A397,'[1]Raw data'!$B:$Z,8,FALSE)</f>
        <v>L-&gt;R</v>
      </c>
      <c r="U397" s="563" t="str">
        <f>VLOOKUP(A397,'[1]Raw data'!$B:$Z,9,FALSE)</f>
        <v>No</v>
      </c>
      <c r="V397" s="567" t="str">
        <f t="shared" si="57"/>
        <v>OK</v>
      </c>
      <c r="W397" s="563" t="str">
        <f>VLOOKUP(A397,'[1]Raw data'!$B:$AG,32,FALSE)</f>
        <v>含税到厂</v>
      </c>
      <c r="X397" s="563">
        <f>VLOOKUP(A397,'[1]Raw data'!$B:$BA,31,FALSE)</f>
        <v>43963</v>
      </c>
      <c r="Y397" s="563" t="str">
        <f>VLOOKUP(A397,'[1]Raw data'!$B:$AS,39,FALSE)</f>
        <v>Yes</v>
      </c>
      <c r="AC397" s="563" t="s">
        <v>720</v>
      </c>
      <c r="AD397" s="571">
        <v>301</v>
      </c>
      <c r="AE397" s="571">
        <v>20</v>
      </c>
      <c r="AN397" s="542"/>
      <c r="AO397" s="824" t="str">
        <f t="shared" si="58"/>
        <v>Yes</v>
      </c>
      <c r="AP397" s="259" t="str">
        <f t="shared" si="59"/>
        <v>MAY 20</v>
      </c>
      <c r="AQ397" s="542" t="str">
        <f t="shared" si="60"/>
        <v>有定金+有預留客戶</v>
      </c>
      <c r="AR397" s="259" t="str">
        <f t="shared" si="61"/>
        <v>Shipped_Stock</v>
      </c>
      <c r="AS397" s="259" t="str">
        <f t="shared" si="62"/>
        <v/>
      </c>
      <c r="AT397" s="259" t="str">
        <f t="shared" si="63"/>
        <v>利速达</v>
      </c>
      <c r="AU397" s="259" t="str">
        <f t="shared" si="64"/>
        <v>C49SZX20200037SX-R1</v>
      </c>
      <c r="AV397" s="259" t="str">
        <f t="shared" si="65"/>
        <v>Apr-25</v>
      </c>
    </row>
    <row r="398" spans="1:48" hidden="1">
      <c r="A398" s="559">
        <v>619</v>
      </c>
      <c r="B398" s="560" t="s">
        <v>280</v>
      </c>
      <c r="C398" s="560" t="s">
        <v>281</v>
      </c>
      <c r="D398" s="599">
        <v>109855</v>
      </c>
      <c r="E398" s="562" t="s">
        <v>886</v>
      </c>
      <c r="F398" s="563" t="s">
        <v>256</v>
      </c>
      <c r="G398" s="563" t="s">
        <v>24</v>
      </c>
      <c r="H398" s="563" t="s">
        <v>26</v>
      </c>
      <c r="I398" s="564" t="s">
        <v>952</v>
      </c>
      <c r="J398" s="564">
        <v>1</v>
      </c>
      <c r="K398" s="563" t="s">
        <v>437</v>
      </c>
      <c r="L398" s="565">
        <v>43946</v>
      </c>
      <c r="M398" s="576">
        <v>6.5600000000000006E-2</v>
      </c>
      <c r="N398" s="563" t="s">
        <v>818</v>
      </c>
      <c r="O398" s="564">
        <v>2020.02</v>
      </c>
      <c r="P398" s="566" t="str">
        <f>VLOOKUP(A398,'[1]Raw data'!$B:$BB,23,FALSE)</f>
        <v>RMB</v>
      </c>
      <c r="Q398" s="563" t="str">
        <f>VLOOKUP(A398,'[1]Raw data'!$B:$Z,2,FALSE)</f>
        <v>C49SZX20200049MX</v>
      </c>
      <c r="R398" s="563" t="str">
        <f>VLOOKUP(A398,'[1]Raw data'!$B:$Z,3,FALSE)</f>
        <v>智序</v>
      </c>
      <c r="S398" s="563" t="str">
        <f>VLOOKUP(A398,'[1]Raw data'!$B:$Z,4,FALSE)</f>
        <v>YSM20R(SV)-2</v>
      </c>
      <c r="T398" s="563" t="str">
        <f>VLOOKUP(A398,'[1]Raw data'!$B:$Z,8,FALSE)</f>
        <v>L-&gt;R</v>
      </c>
      <c r="U398" s="563" t="str">
        <f>VLOOKUP(A398,'[1]Raw data'!$B:$Z,9,FALSE)</f>
        <v>No</v>
      </c>
      <c r="V398" s="567" t="str">
        <f t="shared" si="57"/>
        <v>OK</v>
      </c>
      <c r="W398" s="563" t="str">
        <f>VLOOKUP(A398,'[1]Raw data'!$B:$AG,32,FALSE)</f>
        <v>含税到厂</v>
      </c>
      <c r="X398" s="563">
        <f>VLOOKUP(A398,'[1]Raw data'!$B:$BA,31,FALSE)</f>
        <v>43938</v>
      </c>
      <c r="Y398" s="563" t="str">
        <f>VLOOKUP(A398,'[1]Raw data'!$B:$AS,39,FALSE)</f>
        <v>Yes</v>
      </c>
      <c r="AC398" s="563" t="s">
        <v>953</v>
      </c>
      <c r="AD398" s="571">
        <v>301</v>
      </c>
      <c r="AE398" s="571">
        <v>20</v>
      </c>
      <c r="AN398" s="542"/>
      <c r="AO398" s="824" t="str">
        <f t="shared" si="58"/>
        <v>Yes</v>
      </c>
      <c r="AP398" s="259" t="str">
        <f t="shared" si="59"/>
        <v>MAY 20</v>
      </c>
      <c r="AQ398" s="542" t="str">
        <f t="shared" si="60"/>
        <v>有定金+有預留客戶</v>
      </c>
      <c r="AR398" s="259" t="str">
        <f t="shared" si="61"/>
        <v>Shipped_Stock</v>
      </c>
      <c r="AS398" s="259" t="str">
        <f t="shared" si="62"/>
        <v/>
      </c>
      <c r="AT398" s="259" t="str">
        <f t="shared" si="63"/>
        <v>智序</v>
      </c>
      <c r="AU398" s="259" t="str">
        <f t="shared" si="64"/>
        <v>C49SZX20200049MX</v>
      </c>
      <c r="AV398" s="259" t="str">
        <f t="shared" si="65"/>
        <v>Apr-25</v>
      </c>
    </row>
    <row r="399" spans="1:48" hidden="1">
      <c r="A399" s="559">
        <v>620</v>
      </c>
      <c r="B399" s="560" t="s">
        <v>280</v>
      </c>
      <c r="C399" s="560" t="s">
        <v>281</v>
      </c>
      <c r="D399" s="599">
        <v>109855</v>
      </c>
      <c r="E399" s="562" t="s">
        <v>886</v>
      </c>
      <c r="F399" s="563" t="s">
        <v>256</v>
      </c>
      <c r="G399" s="563" t="s">
        <v>24</v>
      </c>
      <c r="H399" s="563" t="s">
        <v>26</v>
      </c>
      <c r="I399" s="564" t="s">
        <v>954</v>
      </c>
      <c r="J399" s="564">
        <v>1</v>
      </c>
      <c r="K399" s="563" t="s">
        <v>437</v>
      </c>
      <c r="L399" s="565">
        <v>43946</v>
      </c>
      <c r="M399" s="576">
        <v>6.5600000000000006E-2</v>
      </c>
      <c r="N399" s="563" t="s">
        <v>818</v>
      </c>
      <c r="O399" s="564">
        <v>2020.02</v>
      </c>
      <c r="P399" s="566" t="str">
        <f>VLOOKUP(A399,'[1]Raw data'!$B:$BB,23,FALSE)</f>
        <v>RMB</v>
      </c>
      <c r="Q399" s="563" t="str">
        <f>VLOOKUP(A399,'[1]Raw data'!$B:$Z,2,FALSE)</f>
        <v>C49SZX20200049MX</v>
      </c>
      <c r="R399" s="563" t="str">
        <f>VLOOKUP(A399,'[1]Raw data'!$B:$Z,3,FALSE)</f>
        <v>智序</v>
      </c>
      <c r="S399" s="563" t="str">
        <f>VLOOKUP(A399,'[1]Raw data'!$B:$Z,4,FALSE)</f>
        <v>YSM20R(SV)-2</v>
      </c>
      <c r="T399" s="563" t="str">
        <f>VLOOKUP(A399,'[1]Raw data'!$B:$Z,8,FALSE)</f>
        <v>L-&gt;R</v>
      </c>
      <c r="U399" s="563" t="str">
        <f>VLOOKUP(A399,'[1]Raw data'!$B:$Z,9,FALSE)</f>
        <v>No</v>
      </c>
      <c r="V399" s="567" t="str">
        <f t="shared" si="57"/>
        <v>OK</v>
      </c>
      <c r="W399" s="563" t="str">
        <f>VLOOKUP(A399,'[1]Raw data'!$B:$AG,32,FALSE)</f>
        <v>含税到厂</v>
      </c>
      <c r="X399" s="563">
        <f>VLOOKUP(A399,'[1]Raw data'!$B:$BA,31,FALSE)</f>
        <v>43938</v>
      </c>
      <c r="Y399" s="563" t="str">
        <f>VLOOKUP(A399,'[1]Raw data'!$B:$AS,39,FALSE)</f>
        <v>Yes</v>
      </c>
      <c r="AC399" s="563" t="s">
        <v>953</v>
      </c>
      <c r="AD399" s="571">
        <v>301</v>
      </c>
      <c r="AE399" s="571">
        <v>20</v>
      </c>
      <c r="AN399" s="542"/>
      <c r="AO399" s="824" t="str">
        <f t="shared" si="58"/>
        <v>Yes</v>
      </c>
      <c r="AP399" s="259" t="str">
        <f t="shared" si="59"/>
        <v>MAY 20</v>
      </c>
      <c r="AQ399" s="542" t="str">
        <f t="shared" si="60"/>
        <v>有定金+有預留客戶</v>
      </c>
      <c r="AR399" s="259" t="str">
        <f t="shared" si="61"/>
        <v>Shipped_Stock</v>
      </c>
      <c r="AS399" s="259" t="str">
        <f t="shared" si="62"/>
        <v/>
      </c>
      <c r="AT399" s="259" t="str">
        <f t="shared" si="63"/>
        <v>智序</v>
      </c>
      <c r="AU399" s="259" t="str">
        <f t="shared" si="64"/>
        <v>C49SZX20200049MX</v>
      </c>
      <c r="AV399" s="259" t="str">
        <f t="shared" si="65"/>
        <v>Apr-25</v>
      </c>
    </row>
    <row r="400" spans="1:48" hidden="1">
      <c r="A400" s="559">
        <v>621</v>
      </c>
      <c r="B400" s="560" t="s">
        <v>280</v>
      </c>
      <c r="C400" s="560" t="s">
        <v>281</v>
      </c>
      <c r="D400" s="599">
        <v>109855</v>
      </c>
      <c r="E400" s="562" t="s">
        <v>886</v>
      </c>
      <c r="F400" s="563" t="s">
        <v>256</v>
      </c>
      <c r="G400" s="563" t="s">
        <v>24</v>
      </c>
      <c r="H400" s="563" t="s">
        <v>26</v>
      </c>
      <c r="I400" s="564" t="s">
        <v>955</v>
      </c>
      <c r="J400" s="564">
        <v>1</v>
      </c>
      <c r="K400" s="563" t="s">
        <v>437</v>
      </c>
      <c r="L400" s="565">
        <v>43946</v>
      </c>
      <c r="M400" s="576">
        <v>6.5600000000000006E-2</v>
      </c>
      <c r="N400" s="563" t="s">
        <v>818</v>
      </c>
      <c r="O400" s="564">
        <v>2020.02</v>
      </c>
      <c r="P400" s="566" t="str">
        <f>VLOOKUP(A400,'[1]Raw data'!$B:$BB,23,FALSE)</f>
        <v>RMB</v>
      </c>
      <c r="Q400" s="563" t="str">
        <f>VLOOKUP(A400,'[1]Raw data'!$B:$Z,2,FALSE)</f>
        <v>C49SZX20200049MX</v>
      </c>
      <c r="R400" s="563" t="str">
        <f>VLOOKUP(A400,'[1]Raw data'!$B:$Z,3,FALSE)</f>
        <v>智序</v>
      </c>
      <c r="S400" s="563" t="str">
        <f>VLOOKUP(A400,'[1]Raw data'!$B:$Z,4,FALSE)</f>
        <v>YSM20R(SV)-2</v>
      </c>
      <c r="T400" s="563" t="str">
        <f>VLOOKUP(A400,'[1]Raw data'!$B:$Z,8,FALSE)</f>
        <v>L-&gt;R</v>
      </c>
      <c r="U400" s="563" t="str">
        <f>VLOOKUP(A400,'[1]Raw data'!$B:$Z,9,FALSE)</f>
        <v>No</v>
      </c>
      <c r="V400" s="567" t="str">
        <f t="shared" si="57"/>
        <v>OK</v>
      </c>
      <c r="W400" s="563" t="str">
        <f>VLOOKUP(A400,'[1]Raw data'!$B:$AG,32,FALSE)</f>
        <v>含税到厂</v>
      </c>
      <c r="X400" s="563">
        <f>VLOOKUP(A400,'[1]Raw data'!$B:$BA,31,FALSE)</f>
        <v>43938</v>
      </c>
      <c r="Y400" s="563" t="str">
        <f>VLOOKUP(A400,'[1]Raw data'!$B:$AS,39,FALSE)</f>
        <v>Yes</v>
      </c>
      <c r="AC400" s="563" t="s">
        <v>953</v>
      </c>
      <c r="AD400" s="571">
        <v>301</v>
      </c>
      <c r="AE400" s="571">
        <v>20</v>
      </c>
      <c r="AN400" s="542"/>
      <c r="AO400" s="824" t="str">
        <f t="shared" si="58"/>
        <v>Yes</v>
      </c>
      <c r="AP400" s="259" t="str">
        <f t="shared" si="59"/>
        <v>MAY 20</v>
      </c>
      <c r="AQ400" s="542" t="str">
        <f t="shared" si="60"/>
        <v>有定金+有預留客戶</v>
      </c>
      <c r="AR400" s="259" t="str">
        <f t="shared" si="61"/>
        <v>Shipped_Stock</v>
      </c>
      <c r="AS400" s="259" t="str">
        <f t="shared" si="62"/>
        <v/>
      </c>
      <c r="AT400" s="259" t="str">
        <f t="shared" si="63"/>
        <v>智序</v>
      </c>
      <c r="AU400" s="259" t="str">
        <f t="shared" si="64"/>
        <v>C49SZX20200049MX</v>
      </c>
      <c r="AV400" s="259" t="str">
        <f t="shared" si="65"/>
        <v>Apr-25</v>
      </c>
    </row>
    <row r="401" spans="1:48" hidden="1">
      <c r="A401" s="559">
        <v>622</v>
      </c>
      <c r="B401" s="560" t="s">
        <v>280</v>
      </c>
      <c r="C401" s="560" t="s">
        <v>281</v>
      </c>
      <c r="D401" s="599">
        <v>109855</v>
      </c>
      <c r="E401" s="562" t="s">
        <v>886</v>
      </c>
      <c r="F401" s="563" t="s">
        <v>243</v>
      </c>
      <c r="G401" s="563" t="s">
        <v>24</v>
      </c>
      <c r="H401" s="563" t="s">
        <v>26</v>
      </c>
      <c r="I401" s="564" t="s">
        <v>956</v>
      </c>
      <c r="J401" s="564">
        <v>1</v>
      </c>
      <c r="K401" s="563" t="s">
        <v>437</v>
      </c>
      <c r="L401" s="565">
        <v>43946</v>
      </c>
      <c r="M401" s="576">
        <v>6.5600000000000006E-2</v>
      </c>
      <c r="N401" s="563" t="s">
        <v>818</v>
      </c>
      <c r="O401" s="564">
        <v>2020.02</v>
      </c>
      <c r="P401" s="566" t="str">
        <f>VLOOKUP(A401,'[1]Raw data'!$B:$BB,23,FALSE)</f>
        <v>RMB</v>
      </c>
      <c r="Q401" s="563" t="str">
        <f>VLOOKUP(A401,'[1]Raw data'!$B:$Z,2,FALSE)</f>
        <v>C49SZX20200049MX</v>
      </c>
      <c r="R401" s="563" t="str">
        <f>VLOOKUP(A401,'[1]Raw data'!$B:$Z,3,FALSE)</f>
        <v>智序</v>
      </c>
      <c r="S401" s="563" t="str">
        <f>VLOOKUP(A401,'[1]Raw data'!$B:$Z,4,FALSE)</f>
        <v>YSM20R(SV)-2</v>
      </c>
      <c r="T401" s="563" t="str">
        <f>VLOOKUP(A401,'[1]Raw data'!$B:$Z,8,FALSE)</f>
        <v>L-&gt;R</v>
      </c>
      <c r="U401" s="563" t="str">
        <f>VLOOKUP(A401,'[1]Raw data'!$B:$Z,9,FALSE)</f>
        <v>No</v>
      </c>
      <c r="V401" s="567" t="str">
        <f t="shared" si="57"/>
        <v>OK</v>
      </c>
      <c r="W401" s="563" t="str">
        <f>VLOOKUP(A401,'[1]Raw data'!$B:$AG,32,FALSE)</f>
        <v>含税到厂</v>
      </c>
      <c r="X401" s="563">
        <f>VLOOKUP(A401,'[1]Raw data'!$B:$BA,31,FALSE)</f>
        <v>43938</v>
      </c>
      <c r="Y401" s="563" t="str">
        <f>VLOOKUP(A401,'[1]Raw data'!$B:$AS,39,FALSE)</f>
        <v>Yes</v>
      </c>
      <c r="AC401" s="563" t="s">
        <v>953</v>
      </c>
      <c r="AD401" s="571">
        <v>301</v>
      </c>
      <c r="AE401" s="571">
        <v>20</v>
      </c>
      <c r="AN401" s="542"/>
      <c r="AO401" s="824" t="str">
        <f t="shared" si="58"/>
        <v>Yes</v>
      </c>
      <c r="AP401" s="259" t="str">
        <f t="shared" si="59"/>
        <v>MAY 20</v>
      </c>
      <c r="AQ401" s="542" t="str">
        <f t="shared" si="60"/>
        <v>有定金+有預留客戶</v>
      </c>
      <c r="AR401" s="259" t="str">
        <f t="shared" si="61"/>
        <v>Shipped_Stock</v>
      </c>
      <c r="AS401" s="259" t="str">
        <f t="shared" si="62"/>
        <v/>
      </c>
      <c r="AT401" s="259" t="str">
        <f t="shared" si="63"/>
        <v>智序</v>
      </c>
      <c r="AU401" s="259" t="str">
        <f t="shared" si="64"/>
        <v>C49SZX20200049MX</v>
      </c>
      <c r="AV401" s="259" t="str">
        <f t="shared" si="65"/>
        <v>Apr-25</v>
      </c>
    </row>
    <row r="402" spans="1:48" hidden="1">
      <c r="A402" s="559">
        <v>610</v>
      </c>
      <c r="B402" s="560" t="s">
        <v>280</v>
      </c>
      <c r="C402" s="560" t="s">
        <v>281</v>
      </c>
      <c r="D402" s="599">
        <v>109806</v>
      </c>
      <c r="E402" s="562" t="s">
        <v>884</v>
      </c>
      <c r="F402" s="563" t="s">
        <v>256</v>
      </c>
      <c r="G402" s="563" t="s">
        <v>24</v>
      </c>
      <c r="H402" s="563" t="s">
        <v>307</v>
      </c>
      <c r="I402" s="564" t="s">
        <v>957</v>
      </c>
      <c r="J402" s="564">
        <v>1</v>
      </c>
      <c r="K402" s="563" t="s">
        <v>437</v>
      </c>
      <c r="L402" s="565">
        <v>43955</v>
      </c>
      <c r="M402" s="576" t="s">
        <v>939</v>
      </c>
      <c r="N402" s="563" t="s">
        <v>818</v>
      </c>
      <c r="O402" s="564">
        <v>2020.02</v>
      </c>
      <c r="P402" s="566" t="str">
        <f>VLOOKUP(A402,'[1]Raw data'!$B:$BB,23,FALSE)</f>
        <v>JPY</v>
      </c>
      <c r="Q402" s="563" t="str">
        <f>VLOOKUP(A402,'[1]Raw data'!$B:$Z,2,FALSE)</f>
        <v>C49SZX20200035JY</v>
      </c>
      <c r="R402" s="563" t="str">
        <f>VLOOKUP(A402,'[1]Raw data'!$B:$Z,3,FALSE)</f>
        <v>创荣发</v>
      </c>
      <c r="S402" s="563" t="str">
        <f>VLOOKUP(A402,'[1]Raw data'!$B:$Z,4,FALSE)</f>
        <v>YSM20R(SV)-2</v>
      </c>
      <c r="T402" s="563" t="str">
        <f>VLOOKUP(A402,'[1]Raw data'!$B:$Z,8,FALSE)</f>
        <v>L-&gt;R</v>
      </c>
      <c r="U402" s="563" t="str">
        <f>VLOOKUP(A402,'[1]Raw data'!$B:$Z,9,FALSE)</f>
        <v>No</v>
      </c>
      <c r="V402" s="567" t="str">
        <f t="shared" si="57"/>
        <v>OK</v>
      </c>
      <c r="W402" s="563" t="str">
        <f>VLOOKUP(A402,'[1]Raw data'!$B:$AG,32,FALSE)</f>
        <v>DAP HZ</v>
      </c>
      <c r="X402" s="563">
        <f>VLOOKUP(A402,'[1]Raw data'!$B:$BA,31,FALSE)</f>
        <v>43921</v>
      </c>
      <c r="Y402" s="563" t="str">
        <f>VLOOKUP(A402,'[1]Raw data'!$B:$AS,39,FALSE)</f>
        <v>Yes</v>
      </c>
      <c r="AC402" s="563" t="s">
        <v>915</v>
      </c>
      <c r="AN402" s="542"/>
      <c r="AO402" s="824" t="str">
        <f t="shared" si="58"/>
        <v>Yes</v>
      </c>
      <c r="AP402" s="259" t="str">
        <f t="shared" si="59"/>
        <v>MAY 20</v>
      </c>
      <c r="AQ402" s="542" t="str">
        <f t="shared" si="60"/>
        <v>有定金+有預留客戶</v>
      </c>
      <c r="AR402" s="259" t="str">
        <f t="shared" si="61"/>
        <v>Shipped_Stock</v>
      </c>
      <c r="AS402" s="259" t="str">
        <f t="shared" si="62"/>
        <v/>
      </c>
      <c r="AT402" s="259" t="str">
        <f t="shared" si="63"/>
        <v>创荣发</v>
      </c>
      <c r="AU402" s="259" t="str">
        <f t="shared" si="64"/>
        <v>C49SZX20200035JY</v>
      </c>
      <c r="AV402" s="259" t="str">
        <f t="shared" si="65"/>
        <v>May-04</v>
      </c>
    </row>
    <row r="403" spans="1:48" ht="33.75" hidden="1">
      <c r="A403" s="559">
        <v>638</v>
      </c>
      <c r="B403" s="560" t="s">
        <v>280</v>
      </c>
      <c r="C403" s="560" t="s">
        <v>281</v>
      </c>
      <c r="D403" s="599">
        <v>109806</v>
      </c>
      <c r="E403" s="562" t="s">
        <v>884</v>
      </c>
      <c r="F403" s="563" t="s">
        <v>241</v>
      </c>
      <c r="G403" s="563" t="s">
        <v>18</v>
      </c>
      <c r="H403" s="563" t="s">
        <v>307</v>
      </c>
      <c r="I403" s="564" t="s">
        <v>958</v>
      </c>
      <c r="J403" s="564">
        <v>1</v>
      </c>
      <c r="K403" s="563" t="s">
        <v>959</v>
      </c>
      <c r="L403" s="565">
        <v>43955</v>
      </c>
      <c r="M403" s="615" t="s">
        <v>942</v>
      </c>
      <c r="N403" s="563" t="s">
        <v>818</v>
      </c>
      <c r="O403" s="563">
        <v>2020.04</v>
      </c>
      <c r="P403" s="566" t="str">
        <f>VLOOKUP(A403,'[1]Raw data'!$B:$BB,23,FALSE)</f>
        <v>RMB</v>
      </c>
      <c r="Q403" s="563" t="str">
        <f>VLOOKUP(A403,'[1]Raw data'!$B:$Z,2,FALSE)</f>
        <v>C49SZX20200043CY</v>
      </c>
      <c r="R403" s="563" t="str">
        <f>VLOOKUP(A403,'[1]Raw data'!$B:$Z,3,FALSE)</f>
        <v>星辰宇</v>
      </c>
      <c r="S403" s="563" t="str">
        <f>VLOOKUP(A403,'[1]Raw data'!$B:$Z,4,FALSE)</f>
        <v>YSM10</v>
      </c>
      <c r="T403" s="563" t="str">
        <f>VLOOKUP(A403,'[1]Raw data'!$B:$Z,8,FALSE)</f>
        <v>L-&gt;R</v>
      </c>
      <c r="U403" s="563" t="str">
        <f>VLOOKUP(A403,'[1]Raw data'!$B:$Z,9,FALSE)</f>
        <v>MVC</v>
      </c>
      <c r="V403" s="567" t="str">
        <f t="shared" si="57"/>
        <v>WRONG</v>
      </c>
      <c r="W403" s="563" t="str">
        <f>VLOOKUP(A403,'[1]Raw data'!$B:$AG,32,FALSE)</f>
        <v>含税到厂</v>
      </c>
      <c r="X403" s="563">
        <f>VLOOKUP(A403,'[1]Raw data'!$B:$BA,31,FALSE)</f>
        <v>43950</v>
      </c>
      <c r="Y403" s="563" t="str">
        <f>VLOOKUP(A403,'[1]Raw data'!$B:$AS,39,FALSE)</f>
        <v>Yes</v>
      </c>
      <c r="AC403" s="563" t="s">
        <v>960</v>
      </c>
      <c r="AN403" s="542"/>
      <c r="AO403" s="824" t="str">
        <f t="shared" si="58"/>
        <v>Yes</v>
      </c>
      <c r="AP403" s="259" t="str">
        <f t="shared" si="59"/>
        <v>MAY 20</v>
      </c>
      <c r="AQ403" s="542" t="str">
        <f t="shared" si="60"/>
        <v>有定金+有預留客戶</v>
      </c>
      <c r="AR403" s="259" t="str">
        <f t="shared" si="61"/>
        <v>Shipped_Stock</v>
      </c>
      <c r="AS403" s="259" t="str">
        <f t="shared" si="62"/>
        <v/>
      </c>
      <c r="AT403" s="259" t="str">
        <f t="shared" si="63"/>
        <v>星辰宇</v>
      </c>
      <c r="AU403" s="259" t="str">
        <f t="shared" si="64"/>
        <v>C49SZX20200043CY</v>
      </c>
      <c r="AV403" s="259" t="str">
        <f t="shared" si="65"/>
        <v>May-04</v>
      </c>
    </row>
    <row r="404" spans="1:48" hidden="1">
      <c r="A404" s="559">
        <v>603</v>
      </c>
      <c r="B404" s="560" t="s">
        <v>280</v>
      </c>
      <c r="C404" s="560" t="s">
        <v>281</v>
      </c>
      <c r="D404" s="599">
        <v>109856</v>
      </c>
      <c r="E404" s="562" t="s">
        <v>886</v>
      </c>
      <c r="F404" s="563" t="s">
        <v>243</v>
      </c>
      <c r="G404" s="563" t="s">
        <v>24</v>
      </c>
      <c r="H404" s="563" t="s">
        <v>26</v>
      </c>
      <c r="I404" s="564" t="s">
        <v>961</v>
      </c>
      <c r="J404" s="564">
        <v>1</v>
      </c>
      <c r="K404" s="563" t="s">
        <v>962</v>
      </c>
      <c r="L404" s="565">
        <v>43971</v>
      </c>
      <c r="M404" s="615">
        <v>6.4600000000000005E-2</v>
      </c>
      <c r="N404" s="563" t="s">
        <v>903</v>
      </c>
      <c r="O404" s="564">
        <v>2020.04</v>
      </c>
      <c r="P404" s="566" t="str">
        <f>VLOOKUP(A404,'[1]Raw data'!$B:$BB,23,FALSE)</f>
        <v>RMB</v>
      </c>
      <c r="Q404" s="563" t="str">
        <f>VLOOKUP(A404,'[1]Raw data'!$B:$Z,2,FALSE)</f>
        <v>C49SZX20200031DZ</v>
      </c>
      <c r="R404" s="563" t="str">
        <f>VLOOKUP(A404,'[1]Raw data'!$B:$Z,3,FALSE)</f>
        <v>金海智控</v>
      </c>
      <c r="S404" s="563" t="str">
        <f>VLOOKUP(A404,'[1]Raw data'!$B:$Z,4,FALSE)</f>
        <v>YSM20R(SV)-2</v>
      </c>
      <c r="T404" s="563" t="str">
        <f>VLOOKUP(A404,'[1]Raw data'!$B:$Z,8,FALSE)</f>
        <v>L-&gt;R</v>
      </c>
      <c r="U404" s="563" t="str">
        <f>VLOOKUP(A404,'[1]Raw data'!$B:$Z,9,FALSE)</f>
        <v>No</v>
      </c>
      <c r="V404" s="567" t="str">
        <f t="shared" si="57"/>
        <v>OK</v>
      </c>
      <c r="W404" s="563" t="str">
        <f>VLOOKUP(A404,'[1]Raw data'!$B:$AG,32,FALSE)</f>
        <v>含税到厂</v>
      </c>
      <c r="X404" s="563">
        <f>VLOOKUP(A404,'[1]Raw data'!$B:$BA,31,FALSE)</f>
        <v>43915</v>
      </c>
      <c r="Y404" s="563" t="str">
        <f>VLOOKUP(A404,'[1]Raw data'!$B:$AS,39,FALSE)</f>
        <v>Yes</v>
      </c>
      <c r="AC404" s="563" t="s">
        <v>947</v>
      </c>
      <c r="AD404" s="571">
        <v>304</v>
      </c>
      <c r="AE404" s="571">
        <v>10</v>
      </c>
      <c r="AF404" s="571">
        <v>302</v>
      </c>
      <c r="AG404" s="571">
        <v>10</v>
      </c>
      <c r="AN404" s="542"/>
      <c r="AO404" s="824" t="str">
        <f t="shared" si="58"/>
        <v>Yes</v>
      </c>
      <c r="AP404" s="259" t="str">
        <f t="shared" si="59"/>
        <v>JUN 20</v>
      </c>
      <c r="AQ404" s="542" t="str">
        <f t="shared" si="60"/>
        <v>有定金+有預留客戶</v>
      </c>
      <c r="AR404" s="259" t="str">
        <f t="shared" si="61"/>
        <v>Shipped_Stock</v>
      </c>
      <c r="AS404" s="259" t="str">
        <f t="shared" si="62"/>
        <v/>
      </c>
      <c r="AT404" s="259" t="str">
        <f t="shared" si="63"/>
        <v>金海智控</v>
      </c>
      <c r="AU404" s="259" t="str">
        <f t="shared" si="64"/>
        <v>C49SZX20200031DZ</v>
      </c>
      <c r="AV404" s="259" t="str">
        <f t="shared" si="65"/>
        <v>May-20</v>
      </c>
    </row>
    <row r="405" spans="1:48" hidden="1">
      <c r="A405" s="559">
        <v>657</v>
      </c>
      <c r="B405" s="560" t="s">
        <v>280</v>
      </c>
      <c r="C405" s="560" t="s">
        <v>281</v>
      </c>
      <c r="D405" s="599">
        <v>109856</v>
      </c>
      <c r="E405" s="562" t="s">
        <v>886</v>
      </c>
      <c r="F405" s="563" t="s">
        <v>243</v>
      </c>
      <c r="G405" s="563" t="s">
        <v>18</v>
      </c>
      <c r="H405" s="563" t="s">
        <v>26</v>
      </c>
      <c r="I405" s="564" t="s">
        <v>963</v>
      </c>
      <c r="J405" s="564">
        <v>1</v>
      </c>
      <c r="K405" s="563" t="s">
        <v>295</v>
      </c>
      <c r="L405" s="565">
        <v>43971</v>
      </c>
      <c r="M405" s="576">
        <v>6.7000000000000004E-2</v>
      </c>
      <c r="N405" s="563" t="s">
        <v>300</v>
      </c>
      <c r="O405" s="564">
        <v>2020.04</v>
      </c>
      <c r="P405" s="566" t="str">
        <f>VLOOKUP(A405,'[1]Raw data'!$B:$BB,23,FALSE)</f>
        <v>RMB</v>
      </c>
      <c r="Q405" s="563" t="str">
        <f>VLOOKUP(A405,'[1]Raw data'!$B:$Z,2,FALSE)</f>
        <v>C49SZX20200058SS</v>
      </c>
      <c r="R405" s="563" t="str">
        <f>VLOOKUP(A405,'[1]Raw data'!$B:$Z,3,FALSE)</f>
        <v>中润互联</v>
      </c>
      <c r="S405" s="563" t="str">
        <f>VLOOKUP(A405,'[1]Raw data'!$B:$Z,4,FALSE)</f>
        <v>YSM20R(SV)-2</v>
      </c>
      <c r="T405" s="563" t="str">
        <f>VLOOKUP(A405,'[1]Raw data'!$B:$Z,8,FALSE)</f>
        <v>R-&gt;L</v>
      </c>
      <c r="U405" s="563" t="str">
        <f>VLOOKUP(A405,'[1]Raw data'!$B:$Z,9,FALSE)</f>
        <v>MVC</v>
      </c>
      <c r="V405" s="567" t="str">
        <f t="shared" si="57"/>
        <v>WRONG</v>
      </c>
      <c r="W405" s="563" t="str">
        <f>VLOOKUP(A405,'[1]Raw data'!$B:$AG,32,FALSE)</f>
        <v>含税到厂</v>
      </c>
      <c r="X405" s="563">
        <f>VLOOKUP(A405,'[1]Raw data'!$B:$BA,31,FALSE)</f>
        <v>43986</v>
      </c>
      <c r="Y405" s="563" t="str">
        <f>VLOOKUP(A405,'[1]Raw data'!$B:$AS,39,FALSE)</f>
        <v>Yes</v>
      </c>
      <c r="AC405" s="563" t="s">
        <v>936</v>
      </c>
      <c r="AD405" s="571">
        <v>302</v>
      </c>
      <c r="AE405" s="571">
        <v>20</v>
      </c>
      <c r="AN405" s="542"/>
      <c r="AO405" s="824" t="str">
        <f t="shared" si="58"/>
        <v>Yes</v>
      </c>
      <c r="AP405" s="259" t="str">
        <f t="shared" si="59"/>
        <v>JUL 20</v>
      </c>
      <c r="AQ405" s="542" t="str">
        <f t="shared" si="60"/>
        <v>有定金+有預留客戶</v>
      </c>
      <c r="AR405" s="259" t="str">
        <f t="shared" si="61"/>
        <v>Shipped_Stock</v>
      </c>
      <c r="AS405" s="259" t="str">
        <f t="shared" si="62"/>
        <v/>
      </c>
      <c r="AT405" s="259" t="str">
        <f t="shared" si="63"/>
        <v>中润互联</v>
      </c>
      <c r="AU405" s="259" t="str">
        <f t="shared" si="64"/>
        <v>C49SZX20200058SS</v>
      </c>
      <c r="AV405" s="259" t="str">
        <f t="shared" si="65"/>
        <v>May-20</v>
      </c>
    </row>
    <row r="406" spans="1:48" hidden="1">
      <c r="A406" s="559">
        <v>671</v>
      </c>
      <c r="B406" s="560" t="s">
        <v>280</v>
      </c>
      <c r="C406" s="560" t="s">
        <v>281</v>
      </c>
      <c r="D406" s="599">
        <v>109856</v>
      </c>
      <c r="E406" s="562" t="s">
        <v>886</v>
      </c>
      <c r="F406" s="563" t="s">
        <v>243</v>
      </c>
      <c r="G406" s="563" t="s">
        <v>18</v>
      </c>
      <c r="H406" s="563" t="s">
        <v>26</v>
      </c>
      <c r="I406" s="564" t="s">
        <v>964</v>
      </c>
      <c r="J406" s="564">
        <v>1</v>
      </c>
      <c r="K406" s="563" t="s">
        <v>661</v>
      </c>
      <c r="L406" s="565">
        <v>43971</v>
      </c>
      <c r="M406" s="576">
        <v>6.7000000000000004E-2</v>
      </c>
      <c r="N406" s="563" t="s">
        <v>300</v>
      </c>
      <c r="O406" s="564">
        <v>2020.04</v>
      </c>
      <c r="P406" s="566" t="str">
        <f>VLOOKUP(A406,'[1]Raw data'!$B:$BB,23,FALSE)</f>
        <v>JPY</v>
      </c>
      <c r="Q406" s="563" t="str">
        <f>VLOOKUP(A406,'[1]Raw data'!$B:$Z,2,FALSE)</f>
        <v>C49SZX20200071JY</v>
      </c>
      <c r="R406" s="563" t="str">
        <f>VLOOKUP(A406,'[1]Raw data'!$B:$Z,3,FALSE)</f>
        <v>英拓邦</v>
      </c>
      <c r="S406" s="563" t="str">
        <f>VLOOKUP(A406,'[1]Raw data'!$B:$Z,4,FALSE)</f>
        <v>YSM20R(SV)-2</v>
      </c>
      <c r="T406" s="563" t="str">
        <f>VLOOKUP(A406,'[1]Raw data'!$B:$Z,8,FALSE)</f>
        <v>R-&gt;L</v>
      </c>
      <c r="U406" s="563" t="str">
        <f>VLOOKUP(A406,'[1]Raw data'!$B:$Z,9,FALSE)</f>
        <v>No</v>
      </c>
      <c r="V406" s="567" t="str">
        <f t="shared" ref="V406:V469" si="66">IF(G406&amp;H406=T406&amp;U406,"OK","WRONG")</f>
        <v>OK</v>
      </c>
      <c r="W406" s="563" t="str">
        <f>VLOOKUP(A406,'[1]Raw data'!$B:$AG,32,FALSE)</f>
        <v>DAP SZ</v>
      </c>
      <c r="X406" s="563">
        <f>VLOOKUP(A406,'[1]Raw data'!$B:$BA,31,FALSE)</f>
        <v>44005</v>
      </c>
      <c r="Y406" s="563" t="str">
        <f>VLOOKUP(A406,'[1]Raw data'!$B:$AS,39,FALSE)</f>
        <v>Yes</v>
      </c>
      <c r="AC406" s="563" t="s">
        <v>965</v>
      </c>
      <c r="AD406" s="571">
        <v>301</v>
      </c>
      <c r="AE406" s="571">
        <v>10</v>
      </c>
      <c r="AF406" s="571">
        <v>311</v>
      </c>
      <c r="AG406" s="571">
        <v>10</v>
      </c>
      <c r="AN406" s="542"/>
      <c r="AO406" s="824" t="str">
        <f t="shared" si="58"/>
        <v>Yes</v>
      </c>
      <c r="AP406" s="259" t="str">
        <f t="shared" si="59"/>
        <v>JUL 20</v>
      </c>
      <c r="AQ406" s="542" t="str">
        <f t="shared" si="60"/>
        <v>有定金+有預留客戶</v>
      </c>
      <c r="AR406" s="259" t="str">
        <f t="shared" si="61"/>
        <v>Shipped_Stock</v>
      </c>
      <c r="AS406" s="259" t="str">
        <f t="shared" si="62"/>
        <v/>
      </c>
      <c r="AT406" s="259" t="str">
        <f t="shared" si="63"/>
        <v>英拓邦</v>
      </c>
      <c r="AU406" s="259" t="str">
        <f t="shared" si="64"/>
        <v>C49SZX20200071JY</v>
      </c>
      <c r="AV406" s="259" t="str">
        <f t="shared" si="65"/>
        <v>May-20</v>
      </c>
    </row>
    <row r="407" spans="1:48" hidden="1">
      <c r="A407" s="559">
        <v>658</v>
      </c>
      <c r="B407" s="560" t="s">
        <v>280</v>
      </c>
      <c r="C407" s="560" t="s">
        <v>281</v>
      </c>
      <c r="D407" s="599">
        <v>109856</v>
      </c>
      <c r="E407" s="562" t="s">
        <v>886</v>
      </c>
      <c r="F407" s="563" t="s">
        <v>243</v>
      </c>
      <c r="G407" s="563" t="s">
        <v>18</v>
      </c>
      <c r="H407" s="563" t="s">
        <v>26</v>
      </c>
      <c r="I407" s="564" t="s">
        <v>966</v>
      </c>
      <c r="J407" s="564">
        <v>1</v>
      </c>
      <c r="K407" s="563" t="s">
        <v>295</v>
      </c>
      <c r="L407" s="565">
        <v>43971</v>
      </c>
      <c r="M407" s="576">
        <v>6.7000000000000004E-2</v>
      </c>
      <c r="N407" s="563" t="s">
        <v>300</v>
      </c>
      <c r="O407" s="564">
        <v>2020.04</v>
      </c>
      <c r="P407" s="566" t="str">
        <f>VLOOKUP(A407,'[1]Raw data'!$B:$BB,23,FALSE)</f>
        <v>RMB</v>
      </c>
      <c r="Q407" s="563" t="str">
        <f>VLOOKUP(A407,'[1]Raw data'!$B:$Z,2,FALSE)</f>
        <v>C49SZX20200058SS</v>
      </c>
      <c r="R407" s="563" t="str">
        <f>VLOOKUP(A407,'[1]Raw data'!$B:$Z,3,FALSE)</f>
        <v>中润互联</v>
      </c>
      <c r="S407" s="563" t="str">
        <f>VLOOKUP(A407,'[1]Raw data'!$B:$Z,4,FALSE)</f>
        <v>YSM20R(SV)-2</v>
      </c>
      <c r="T407" s="563" t="str">
        <f>VLOOKUP(A407,'[1]Raw data'!$B:$Z,8,FALSE)</f>
        <v>R-&gt;L</v>
      </c>
      <c r="U407" s="563" t="str">
        <f>VLOOKUP(A407,'[1]Raw data'!$B:$Z,9,FALSE)</f>
        <v>No</v>
      </c>
      <c r="V407" s="567" t="str">
        <f t="shared" si="66"/>
        <v>OK</v>
      </c>
      <c r="W407" s="563" t="str">
        <f>VLOOKUP(A407,'[1]Raw data'!$B:$AG,32,FALSE)</f>
        <v>含税到厂</v>
      </c>
      <c r="X407" s="563">
        <f>VLOOKUP(A407,'[1]Raw data'!$B:$BA,31,FALSE)</f>
        <v>43986</v>
      </c>
      <c r="Y407" s="563" t="str">
        <f>VLOOKUP(A407,'[1]Raw data'!$B:$AS,39,FALSE)</f>
        <v>Yes</v>
      </c>
      <c r="AC407" s="563" t="s">
        <v>936</v>
      </c>
      <c r="AD407" s="571">
        <v>302</v>
      </c>
      <c r="AE407" s="571">
        <v>10</v>
      </c>
      <c r="AF407" s="571">
        <v>303</v>
      </c>
      <c r="AG407" s="571">
        <v>10</v>
      </c>
      <c r="AN407" s="542"/>
      <c r="AO407" s="824" t="str">
        <f t="shared" si="58"/>
        <v>Yes</v>
      </c>
      <c r="AP407" s="259" t="str">
        <f t="shared" si="59"/>
        <v>JUL 20</v>
      </c>
      <c r="AQ407" s="542" t="str">
        <f t="shared" si="60"/>
        <v>有定金+有預留客戶</v>
      </c>
      <c r="AR407" s="259" t="str">
        <f t="shared" si="61"/>
        <v>Shipped_Stock</v>
      </c>
      <c r="AS407" s="259" t="str">
        <f t="shared" si="62"/>
        <v/>
      </c>
      <c r="AT407" s="259" t="str">
        <f t="shared" si="63"/>
        <v>中润互联</v>
      </c>
      <c r="AU407" s="259" t="str">
        <f t="shared" si="64"/>
        <v>C49SZX20200058SS</v>
      </c>
      <c r="AV407" s="259" t="str">
        <f t="shared" si="65"/>
        <v>May-20</v>
      </c>
    </row>
    <row r="408" spans="1:48" hidden="1">
      <c r="A408" s="559">
        <v>584</v>
      </c>
      <c r="B408" s="560" t="s">
        <v>280</v>
      </c>
      <c r="C408" s="560" t="s">
        <v>281</v>
      </c>
      <c r="D408" s="599" t="s">
        <v>967</v>
      </c>
      <c r="E408" s="562" t="s">
        <v>968</v>
      </c>
      <c r="F408" s="563" t="s">
        <v>241</v>
      </c>
      <c r="G408" s="563" t="s">
        <v>18</v>
      </c>
      <c r="H408" s="563" t="s">
        <v>307</v>
      </c>
      <c r="I408" s="564" t="s">
        <v>969</v>
      </c>
      <c r="J408" s="564">
        <v>1</v>
      </c>
      <c r="K408" s="563" t="s">
        <v>295</v>
      </c>
      <c r="L408" s="565">
        <v>43818</v>
      </c>
      <c r="M408" s="576">
        <v>6.5799999999999997E-2</v>
      </c>
      <c r="N408" s="563" t="s">
        <v>554</v>
      </c>
      <c r="O408" s="563"/>
      <c r="P408" s="566" t="str">
        <f>VLOOKUP(A408,'[1]Raw data'!$B:$BB,23,FALSE)</f>
        <v>JPY</v>
      </c>
      <c r="Q408" s="563" t="str">
        <f>VLOOKUP(A408,'[1]Raw data'!$B:$Z,2,FALSE)</f>
        <v>C49SZX20200017CX</v>
      </c>
      <c r="R408" s="563" t="str">
        <f>VLOOKUP(A408,'[1]Raw data'!$B:$Z,3,FALSE)</f>
        <v>乐凡电子</v>
      </c>
      <c r="S408" s="563" t="str">
        <f>VLOOKUP(A408,'[1]Raw data'!$B:$Z,4,FALSE)</f>
        <v>YSM10</v>
      </c>
      <c r="T408" s="563" t="str">
        <f>VLOOKUP(A408,'[1]Raw data'!$B:$Z,8,FALSE)</f>
        <v>L-&gt;R</v>
      </c>
      <c r="U408" s="563" t="str">
        <f>VLOOKUP(A408,'[1]Raw data'!$B:$Z,9,FALSE)</f>
        <v>MVC</v>
      </c>
      <c r="V408" s="567" t="str">
        <f t="shared" si="66"/>
        <v>WRONG</v>
      </c>
      <c r="W408" s="563" t="str">
        <f>VLOOKUP(A408,'[1]Raw data'!$B:$AG,32,FALSE)</f>
        <v>DAP SZ</v>
      </c>
      <c r="X408" s="563">
        <f>VLOOKUP(A408,'[1]Raw data'!$B:$BA,31,FALSE)</f>
        <v>43846</v>
      </c>
      <c r="Y408" s="563" t="str">
        <f>VLOOKUP(A408,'[1]Raw data'!$B:$AS,39,FALSE)</f>
        <v>Yes</v>
      </c>
      <c r="AC408" s="563" t="s">
        <v>970</v>
      </c>
      <c r="AD408" s="571">
        <v>301</v>
      </c>
      <c r="AE408" s="571">
        <v>10</v>
      </c>
      <c r="AN408" s="542"/>
      <c r="AO408" s="824" t="str">
        <f t="shared" si="58"/>
        <v>Yes</v>
      </c>
      <c r="AP408" s="259" t="str">
        <f t="shared" si="59"/>
        <v>APR 20</v>
      </c>
      <c r="AQ408" s="542" t="str">
        <f t="shared" si="60"/>
        <v>有定金+有預留客戶</v>
      </c>
      <c r="AR408" s="259" t="str">
        <f t="shared" si="61"/>
        <v>Shipped_Stock</v>
      </c>
      <c r="AS408" s="259" t="str">
        <f t="shared" si="62"/>
        <v/>
      </c>
      <c r="AT408" s="259" t="str">
        <f t="shared" si="63"/>
        <v>乐凡电子</v>
      </c>
      <c r="AU408" s="259" t="str">
        <f t="shared" si="64"/>
        <v>C49SZX20200017CX</v>
      </c>
      <c r="AV408" s="259" t="str">
        <f t="shared" si="65"/>
        <v>Dec-19</v>
      </c>
    </row>
    <row r="409" spans="1:48" hidden="1">
      <c r="A409" s="559">
        <v>583</v>
      </c>
      <c r="B409" s="560" t="s">
        <v>280</v>
      </c>
      <c r="C409" s="560" t="s">
        <v>281</v>
      </c>
      <c r="D409" s="645" t="s">
        <v>967</v>
      </c>
      <c r="E409" s="646" t="s">
        <v>968</v>
      </c>
      <c r="F409" s="647" t="s">
        <v>241</v>
      </c>
      <c r="G409" s="563" t="s">
        <v>18</v>
      </c>
      <c r="H409" s="563" t="s">
        <v>307</v>
      </c>
      <c r="I409" s="564" t="s">
        <v>971</v>
      </c>
      <c r="J409" s="564">
        <v>1</v>
      </c>
      <c r="K409" s="563" t="s">
        <v>295</v>
      </c>
      <c r="L409" s="565">
        <v>43818</v>
      </c>
      <c r="M409" s="576">
        <v>6.5799999999999997E-2</v>
      </c>
      <c r="N409" s="563" t="s">
        <v>554</v>
      </c>
      <c r="O409" s="563"/>
      <c r="P409" s="566" t="str">
        <f>VLOOKUP(A409,'[1]Raw data'!$B:$BB,23,FALSE)</f>
        <v>JPY</v>
      </c>
      <c r="Q409" s="563" t="str">
        <f>VLOOKUP(A409,'[1]Raw data'!$B:$Z,2,FALSE)</f>
        <v>C49SZX20200017CX</v>
      </c>
      <c r="R409" s="563" t="str">
        <f>VLOOKUP(A409,'[1]Raw data'!$B:$Z,3,FALSE)</f>
        <v>乐凡电子</v>
      </c>
      <c r="S409" s="563" t="str">
        <f>VLOOKUP(A409,'[1]Raw data'!$B:$Z,4,FALSE)</f>
        <v>YSM10</v>
      </c>
      <c r="T409" s="563" t="str">
        <f>VLOOKUP(A409,'[1]Raw data'!$B:$Z,8,FALSE)</f>
        <v>L-&gt;R</v>
      </c>
      <c r="U409" s="563" t="str">
        <f>VLOOKUP(A409,'[1]Raw data'!$B:$Z,9,FALSE)</f>
        <v>MVC</v>
      </c>
      <c r="V409" s="567" t="str">
        <f t="shared" si="66"/>
        <v>WRONG</v>
      </c>
      <c r="W409" s="563" t="str">
        <f>VLOOKUP(A409,'[1]Raw data'!$B:$AG,32,FALSE)</f>
        <v>DAP SZ</v>
      </c>
      <c r="X409" s="563">
        <f>VLOOKUP(A409,'[1]Raw data'!$B:$BA,31,FALSE)</f>
        <v>43846</v>
      </c>
      <c r="Y409" s="563" t="str">
        <f>VLOOKUP(A409,'[1]Raw data'!$B:$AS,39,FALSE)</f>
        <v>Yes</v>
      </c>
      <c r="AC409" s="563" t="s">
        <v>970</v>
      </c>
      <c r="AD409" s="571">
        <v>301</v>
      </c>
      <c r="AE409" s="571">
        <v>10</v>
      </c>
      <c r="AN409" s="542"/>
      <c r="AO409" s="824" t="str">
        <f t="shared" si="58"/>
        <v>Yes</v>
      </c>
      <c r="AP409" s="259" t="str">
        <f t="shared" si="59"/>
        <v>APR 20</v>
      </c>
      <c r="AQ409" s="542" t="str">
        <f t="shared" si="60"/>
        <v>有定金+有預留客戶</v>
      </c>
      <c r="AR409" s="259" t="str">
        <f t="shared" si="61"/>
        <v>Shipped_Stock</v>
      </c>
      <c r="AS409" s="259" t="str">
        <f t="shared" si="62"/>
        <v/>
      </c>
      <c r="AT409" s="259" t="str">
        <f t="shared" si="63"/>
        <v>乐凡电子</v>
      </c>
      <c r="AU409" s="259" t="str">
        <f t="shared" si="64"/>
        <v>C49SZX20200017CX</v>
      </c>
      <c r="AV409" s="259" t="str">
        <f t="shared" si="65"/>
        <v>Dec-19</v>
      </c>
    </row>
    <row r="410" spans="1:48" hidden="1">
      <c r="A410" s="559">
        <v>601</v>
      </c>
      <c r="B410" s="560" t="s">
        <v>280</v>
      </c>
      <c r="C410" s="560" t="s">
        <v>281</v>
      </c>
      <c r="D410" s="599">
        <v>109857</v>
      </c>
      <c r="E410" s="563" t="s">
        <v>972</v>
      </c>
      <c r="F410" s="563" t="s">
        <v>154</v>
      </c>
      <c r="G410" s="563" t="s">
        <v>24</v>
      </c>
      <c r="H410" s="563" t="s">
        <v>26</v>
      </c>
      <c r="I410" s="564" t="s">
        <v>973</v>
      </c>
      <c r="J410" s="564">
        <v>1</v>
      </c>
      <c r="K410" s="563" t="s">
        <v>746</v>
      </c>
      <c r="L410" s="565">
        <v>43971</v>
      </c>
      <c r="M410" s="576" t="s">
        <v>939</v>
      </c>
      <c r="N410" s="563" t="s">
        <v>818</v>
      </c>
      <c r="O410" s="563">
        <v>2020.04</v>
      </c>
      <c r="P410" s="566" t="str">
        <f>VLOOKUP(A410,'[1]Raw data'!$B:$BB,23,FALSE)</f>
        <v>JPY</v>
      </c>
      <c r="Q410" s="563" t="str">
        <f>VLOOKUP(A410,'[1]Raw data'!$B:$Z,2,FALSE)</f>
        <v>C49SZX20200026SX</v>
      </c>
      <c r="R410" s="563" t="str">
        <f>VLOOKUP(A410,'[1]Raw data'!$B:$Z,3,FALSE)</f>
        <v>安林</v>
      </c>
      <c r="S410" s="563" t="str">
        <f>VLOOKUP(A410,'[1]Raw data'!$B:$Z,4,FALSE)</f>
        <v>YSM20WR-2</v>
      </c>
      <c r="T410" s="563" t="str">
        <f>VLOOKUP(A410,'[1]Raw data'!$B:$Z,8,FALSE)</f>
        <v>L-&gt;R</v>
      </c>
      <c r="U410" s="563" t="str">
        <f>VLOOKUP(A410,'[1]Raw data'!$B:$Z,9,FALSE)</f>
        <v>No</v>
      </c>
      <c r="V410" s="567" t="str">
        <f t="shared" si="66"/>
        <v>OK</v>
      </c>
      <c r="W410" s="563" t="str">
        <f>VLOOKUP(A410,'[1]Raw data'!$B:$AG,32,FALSE)</f>
        <v>DAP DG</v>
      </c>
      <c r="X410" s="563">
        <f>VLOOKUP(A410,'[1]Raw data'!$B:$BA,31,FALSE)</f>
        <v>43913</v>
      </c>
      <c r="Y410" s="563" t="str">
        <f>VLOOKUP(A410,'[1]Raw data'!$B:$AS,39,FALSE)</f>
        <v>Yes</v>
      </c>
      <c r="AC410" s="563" t="s">
        <v>678</v>
      </c>
      <c r="AN410" s="542"/>
      <c r="AO410" s="824" t="str">
        <f t="shared" si="58"/>
        <v>Yes</v>
      </c>
      <c r="AP410" s="259" t="str">
        <f t="shared" si="59"/>
        <v>MAY 20</v>
      </c>
      <c r="AQ410" s="542" t="str">
        <f t="shared" si="60"/>
        <v>有定金+有預留客戶</v>
      </c>
      <c r="AR410" s="259" t="str">
        <f t="shared" si="61"/>
        <v>Shipped_Stock</v>
      </c>
      <c r="AS410" s="259" t="str">
        <f t="shared" si="62"/>
        <v/>
      </c>
      <c r="AT410" s="259" t="str">
        <f t="shared" si="63"/>
        <v>安林</v>
      </c>
      <c r="AU410" s="259" t="str">
        <f t="shared" si="64"/>
        <v>C49SZX20200026SX</v>
      </c>
      <c r="AV410" s="259" t="str">
        <f t="shared" si="65"/>
        <v>May-20</v>
      </c>
    </row>
    <row r="411" spans="1:48" hidden="1">
      <c r="A411" s="559">
        <v>611</v>
      </c>
      <c r="B411" s="560" t="s">
        <v>280</v>
      </c>
      <c r="C411" s="560" t="s">
        <v>281</v>
      </c>
      <c r="D411" s="599">
        <v>109858</v>
      </c>
      <c r="E411" s="563" t="s">
        <v>974</v>
      </c>
      <c r="F411" s="563" t="s">
        <v>17</v>
      </c>
      <c r="G411" s="563" t="s">
        <v>18</v>
      </c>
      <c r="H411" s="563" t="s">
        <v>26</v>
      </c>
      <c r="I411" s="564" t="s">
        <v>975</v>
      </c>
      <c r="J411" s="564">
        <v>1</v>
      </c>
      <c r="K411" s="563" t="s">
        <v>437</v>
      </c>
      <c r="L411" s="565">
        <v>43973</v>
      </c>
      <c r="M411" s="576" t="s">
        <v>939</v>
      </c>
      <c r="N411" s="563" t="s">
        <v>818</v>
      </c>
      <c r="O411" s="563">
        <v>2020.04</v>
      </c>
      <c r="P411" s="566" t="str">
        <f>VLOOKUP(A411,'[1]Raw data'!$B:$BB,23,FALSE)</f>
        <v>JPY</v>
      </c>
      <c r="Q411" s="563" t="str">
        <f>VLOOKUP(A411,'[1]Raw data'!$B:$Z,2,FALSE)</f>
        <v>C49SZX20200035JY</v>
      </c>
      <c r="R411" s="563" t="str">
        <f>VLOOKUP(A411,'[1]Raw data'!$B:$Z,3,FALSE)</f>
        <v>创荣发</v>
      </c>
      <c r="S411" s="563" t="str">
        <f>VLOOKUP(A411,'[1]Raw data'!$B:$Z,4,FALSE)</f>
        <v>YSM10</v>
      </c>
      <c r="T411" s="563" t="str">
        <f>VLOOKUP(A411,'[1]Raw data'!$B:$Z,8,FALSE)</f>
        <v>L-&gt;R</v>
      </c>
      <c r="U411" s="563" t="str">
        <f>VLOOKUP(A411,'[1]Raw data'!$B:$Z,9,FALSE)</f>
        <v>MVC</v>
      </c>
      <c r="V411" s="567" t="str">
        <f t="shared" si="66"/>
        <v>WRONG</v>
      </c>
      <c r="W411" s="563" t="str">
        <f>VLOOKUP(A411,'[1]Raw data'!$B:$AG,32,FALSE)</f>
        <v>DAP HZ</v>
      </c>
      <c r="X411" s="563">
        <f>VLOOKUP(A411,'[1]Raw data'!$B:$BA,31,FALSE)</f>
        <v>43921</v>
      </c>
      <c r="Y411" s="563" t="str">
        <f>VLOOKUP(A411,'[1]Raw data'!$B:$AS,39,FALSE)</f>
        <v>Yes</v>
      </c>
      <c r="AC411" s="563" t="s">
        <v>915</v>
      </c>
      <c r="AD411" s="571">
        <v>301</v>
      </c>
      <c r="AE411" s="571">
        <v>10</v>
      </c>
      <c r="AN411" s="542"/>
      <c r="AO411" s="824" t="str">
        <f t="shared" si="58"/>
        <v>Yes</v>
      </c>
      <c r="AP411" s="259" t="str">
        <f t="shared" si="59"/>
        <v>MAY 20</v>
      </c>
      <c r="AQ411" s="542" t="str">
        <f t="shared" si="60"/>
        <v>有定金+有預留客戶</v>
      </c>
      <c r="AR411" s="259" t="str">
        <f t="shared" si="61"/>
        <v>Shipped_Stock</v>
      </c>
      <c r="AS411" s="259" t="str">
        <f t="shared" si="62"/>
        <v/>
      </c>
      <c r="AT411" s="259" t="str">
        <f t="shared" si="63"/>
        <v>创荣发</v>
      </c>
      <c r="AU411" s="259" t="str">
        <f t="shared" si="64"/>
        <v>C49SZX20200035JY</v>
      </c>
      <c r="AV411" s="259" t="str">
        <f t="shared" si="65"/>
        <v>May-22</v>
      </c>
    </row>
    <row r="412" spans="1:48" hidden="1">
      <c r="A412" s="559">
        <v>612</v>
      </c>
      <c r="B412" s="560" t="s">
        <v>280</v>
      </c>
      <c r="C412" s="560" t="s">
        <v>281</v>
      </c>
      <c r="D412" s="599">
        <v>109858</v>
      </c>
      <c r="E412" s="563" t="s">
        <v>974</v>
      </c>
      <c r="F412" s="563" t="s">
        <v>17</v>
      </c>
      <c r="G412" s="563" t="s">
        <v>18</v>
      </c>
      <c r="H412" s="563" t="s">
        <v>26</v>
      </c>
      <c r="I412" s="564" t="s">
        <v>976</v>
      </c>
      <c r="J412" s="564">
        <v>1</v>
      </c>
      <c r="K412" s="563" t="s">
        <v>437</v>
      </c>
      <c r="L412" s="565">
        <v>43973</v>
      </c>
      <c r="M412" s="576" t="s">
        <v>939</v>
      </c>
      <c r="N412" s="563" t="s">
        <v>818</v>
      </c>
      <c r="O412" s="563">
        <v>2020.04</v>
      </c>
      <c r="P412" s="566" t="str">
        <f>VLOOKUP(A412,'[1]Raw data'!$B:$BB,23,FALSE)</f>
        <v>JPY</v>
      </c>
      <c r="Q412" s="563" t="str">
        <f>VLOOKUP(A412,'[1]Raw data'!$B:$Z,2,FALSE)</f>
        <v>C49SZX20200035JY</v>
      </c>
      <c r="R412" s="563" t="str">
        <f>VLOOKUP(A412,'[1]Raw data'!$B:$Z,3,FALSE)</f>
        <v>创荣发</v>
      </c>
      <c r="S412" s="563" t="str">
        <f>VLOOKUP(A412,'[1]Raw data'!$B:$Z,4,FALSE)</f>
        <v>YSM10</v>
      </c>
      <c r="T412" s="563" t="str">
        <f>VLOOKUP(A412,'[1]Raw data'!$B:$Z,8,FALSE)</f>
        <v>L-&gt;R</v>
      </c>
      <c r="U412" s="563" t="str">
        <f>VLOOKUP(A412,'[1]Raw data'!$B:$Z,9,FALSE)</f>
        <v>MVC</v>
      </c>
      <c r="V412" s="567" t="str">
        <f t="shared" si="66"/>
        <v>WRONG</v>
      </c>
      <c r="W412" s="563" t="str">
        <f>VLOOKUP(A412,'[1]Raw data'!$B:$AG,32,FALSE)</f>
        <v>DAP HZ</v>
      </c>
      <c r="X412" s="563">
        <f>VLOOKUP(A412,'[1]Raw data'!$B:$BA,31,FALSE)</f>
        <v>43921</v>
      </c>
      <c r="Y412" s="563" t="str">
        <f>VLOOKUP(A412,'[1]Raw data'!$B:$AS,39,FALSE)</f>
        <v>Yes</v>
      </c>
      <c r="AC412" s="563" t="s">
        <v>915</v>
      </c>
      <c r="AD412" s="571">
        <v>301</v>
      </c>
      <c r="AE412" s="571">
        <v>10</v>
      </c>
      <c r="AN412" s="542"/>
      <c r="AO412" s="824" t="str">
        <f t="shared" si="58"/>
        <v>Yes</v>
      </c>
      <c r="AP412" s="259" t="str">
        <f t="shared" si="59"/>
        <v>MAY 20</v>
      </c>
      <c r="AQ412" s="542" t="str">
        <f t="shared" si="60"/>
        <v>有定金+有預留客戶</v>
      </c>
      <c r="AR412" s="259" t="str">
        <f t="shared" si="61"/>
        <v>Shipped_Stock</v>
      </c>
      <c r="AS412" s="259" t="str">
        <f t="shared" si="62"/>
        <v/>
      </c>
      <c r="AT412" s="259" t="str">
        <f t="shared" si="63"/>
        <v>创荣发</v>
      </c>
      <c r="AU412" s="259" t="str">
        <f t="shared" si="64"/>
        <v>C49SZX20200035JY</v>
      </c>
      <c r="AV412" s="259" t="str">
        <f t="shared" si="65"/>
        <v>May-22</v>
      </c>
    </row>
    <row r="413" spans="1:48" hidden="1">
      <c r="A413" s="559">
        <v>639</v>
      </c>
      <c r="B413" s="560" t="s">
        <v>280</v>
      </c>
      <c r="C413" s="560" t="s">
        <v>281</v>
      </c>
      <c r="D413" s="599">
        <v>109858</v>
      </c>
      <c r="E413" s="563" t="s">
        <v>974</v>
      </c>
      <c r="F413" s="563" t="s">
        <v>241</v>
      </c>
      <c r="G413" s="563" t="s">
        <v>18</v>
      </c>
      <c r="H413" s="563" t="s">
        <v>26</v>
      </c>
      <c r="I413" s="564" t="s">
        <v>977</v>
      </c>
      <c r="J413" s="564">
        <v>1</v>
      </c>
      <c r="K413" s="563" t="s">
        <v>437</v>
      </c>
      <c r="L413" s="565">
        <v>43973</v>
      </c>
      <c r="M413" s="576" t="s">
        <v>939</v>
      </c>
      <c r="N413" s="563" t="s">
        <v>818</v>
      </c>
      <c r="O413" s="563">
        <v>2020.04</v>
      </c>
      <c r="P413" s="566" t="str">
        <f>VLOOKUP(A413,'[1]Raw data'!$B:$BB,23,FALSE)</f>
        <v>JPY</v>
      </c>
      <c r="Q413" s="563" t="str">
        <f>VLOOKUP(A413,'[1]Raw data'!$B:$Z,2,FALSE)</f>
        <v>C49SZX20200052JY</v>
      </c>
      <c r="R413" s="563" t="str">
        <f>VLOOKUP(A413,'[1]Raw data'!$B:$Z,3,FALSE)</f>
        <v>创荣发</v>
      </c>
      <c r="S413" s="563" t="str">
        <f>VLOOKUP(A413,'[1]Raw data'!$B:$Z,4,FALSE)</f>
        <v>YSM10</v>
      </c>
      <c r="T413" s="563" t="str">
        <f>VLOOKUP(A413,'[1]Raw data'!$B:$Z,8,FALSE)</f>
        <v>L-&gt;R</v>
      </c>
      <c r="U413" s="563" t="str">
        <f>VLOOKUP(A413,'[1]Raw data'!$B:$Z,9,FALSE)</f>
        <v>MVC</v>
      </c>
      <c r="V413" s="567" t="str">
        <f t="shared" si="66"/>
        <v>WRONG</v>
      </c>
      <c r="W413" s="563" t="str">
        <f>VLOOKUP(A413,'[1]Raw data'!$B:$AG,32,FALSE)</f>
        <v>DAP HZ</v>
      </c>
      <c r="X413" s="563">
        <f>VLOOKUP(A413,'[1]Raw data'!$B:$BA,31,FALSE)</f>
        <v>43951</v>
      </c>
      <c r="Y413" s="563" t="str">
        <f>VLOOKUP(A413,'[1]Raw data'!$B:$AS,39,FALSE)</f>
        <v>Yes</v>
      </c>
      <c r="AC413" s="563" t="s">
        <v>978</v>
      </c>
      <c r="AD413" s="571">
        <v>301</v>
      </c>
      <c r="AE413" s="571">
        <v>10</v>
      </c>
      <c r="AN413" s="542"/>
      <c r="AO413" s="824" t="str">
        <f t="shared" si="58"/>
        <v>Yes</v>
      </c>
      <c r="AP413" s="259" t="str">
        <f t="shared" si="59"/>
        <v>MAY 20</v>
      </c>
      <c r="AQ413" s="542" t="str">
        <f t="shared" si="60"/>
        <v>有定金+有預留客戶</v>
      </c>
      <c r="AR413" s="259" t="str">
        <f t="shared" si="61"/>
        <v>Shipped_Stock</v>
      </c>
      <c r="AS413" s="259" t="str">
        <f t="shared" si="62"/>
        <v/>
      </c>
      <c r="AT413" s="259" t="str">
        <f t="shared" si="63"/>
        <v>创荣发</v>
      </c>
      <c r="AU413" s="259" t="str">
        <f t="shared" si="64"/>
        <v>C49SZX20200052JY</v>
      </c>
      <c r="AV413" s="259" t="str">
        <f t="shared" si="65"/>
        <v>May-22</v>
      </c>
    </row>
    <row r="414" spans="1:48" hidden="1">
      <c r="A414" s="559">
        <v>640</v>
      </c>
      <c r="B414" s="560" t="s">
        <v>280</v>
      </c>
      <c r="C414" s="560" t="s">
        <v>281</v>
      </c>
      <c r="D414" s="599">
        <v>109858</v>
      </c>
      <c r="E414" s="563" t="s">
        <v>974</v>
      </c>
      <c r="F414" s="563" t="s">
        <v>17</v>
      </c>
      <c r="G414" s="563" t="s">
        <v>18</v>
      </c>
      <c r="H414" s="563" t="s">
        <v>26</v>
      </c>
      <c r="I414" s="564" t="s">
        <v>979</v>
      </c>
      <c r="J414" s="564">
        <v>1</v>
      </c>
      <c r="K414" s="563" t="s">
        <v>437</v>
      </c>
      <c r="L414" s="565">
        <v>43973</v>
      </c>
      <c r="M414" s="576" t="s">
        <v>939</v>
      </c>
      <c r="N414" s="563" t="s">
        <v>818</v>
      </c>
      <c r="O414" s="563">
        <v>2020.04</v>
      </c>
      <c r="P414" s="566" t="str">
        <f>VLOOKUP(A414,'[1]Raw data'!$B:$BB,23,FALSE)</f>
        <v>JPY</v>
      </c>
      <c r="Q414" s="563" t="str">
        <f>VLOOKUP(A414,'[1]Raw data'!$B:$Z,2,FALSE)</f>
        <v>C49SZX20200052JY</v>
      </c>
      <c r="R414" s="563" t="str">
        <f>VLOOKUP(A414,'[1]Raw data'!$B:$Z,3,FALSE)</f>
        <v>创荣发</v>
      </c>
      <c r="S414" s="563" t="str">
        <f>VLOOKUP(A414,'[1]Raw data'!$B:$Z,4,FALSE)</f>
        <v>YSM10</v>
      </c>
      <c r="T414" s="563" t="str">
        <f>VLOOKUP(A414,'[1]Raw data'!$B:$Z,8,FALSE)</f>
        <v>L-&gt;R</v>
      </c>
      <c r="U414" s="563" t="str">
        <f>VLOOKUP(A414,'[1]Raw data'!$B:$Z,9,FALSE)</f>
        <v>No</v>
      </c>
      <c r="V414" s="567" t="str">
        <f t="shared" si="66"/>
        <v>WRONG</v>
      </c>
      <c r="W414" s="563" t="str">
        <f>VLOOKUP(A414,'[1]Raw data'!$B:$AG,32,FALSE)</f>
        <v>DAP HZ</v>
      </c>
      <c r="X414" s="563">
        <f>VLOOKUP(A414,'[1]Raw data'!$B:$BA,31,FALSE)</f>
        <v>43951</v>
      </c>
      <c r="Y414" s="563" t="str">
        <f>VLOOKUP(A414,'[1]Raw data'!$B:$AS,39,FALSE)</f>
        <v>Yes</v>
      </c>
      <c r="AC414" s="563" t="s">
        <v>978</v>
      </c>
      <c r="AD414" s="571">
        <v>301</v>
      </c>
      <c r="AE414" s="571">
        <v>10</v>
      </c>
      <c r="AN414" s="542"/>
      <c r="AO414" s="824" t="str">
        <f t="shared" si="58"/>
        <v>Yes</v>
      </c>
      <c r="AP414" s="259" t="str">
        <f t="shared" si="59"/>
        <v>MAY 20</v>
      </c>
      <c r="AQ414" s="542" t="str">
        <f t="shared" si="60"/>
        <v>有定金+有預留客戶</v>
      </c>
      <c r="AR414" s="259" t="str">
        <f t="shared" si="61"/>
        <v>Shipped_Stock</v>
      </c>
      <c r="AS414" s="259" t="str">
        <f t="shared" si="62"/>
        <v/>
      </c>
      <c r="AT414" s="259" t="str">
        <f t="shared" si="63"/>
        <v>创荣发</v>
      </c>
      <c r="AU414" s="259" t="str">
        <f t="shared" si="64"/>
        <v>C49SZX20200052JY</v>
      </c>
      <c r="AV414" s="259" t="str">
        <f t="shared" si="65"/>
        <v>May-22</v>
      </c>
    </row>
    <row r="415" spans="1:48" hidden="1">
      <c r="A415" s="559">
        <v>652</v>
      </c>
      <c r="B415" s="560" t="s">
        <v>280</v>
      </c>
      <c r="C415" s="560" t="s">
        <v>281</v>
      </c>
      <c r="D415" s="599">
        <v>109858</v>
      </c>
      <c r="E415" s="563" t="s">
        <v>974</v>
      </c>
      <c r="F415" s="563" t="s">
        <v>17</v>
      </c>
      <c r="G415" s="563" t="s">
        <v>18</v>
      </c>
      <c r="H415" s="563" t="s">
        <v>26</v>
      </c>
      <c r="I415" s="564" t="s">
        <v>980</v>
      </c>
      <c r="J415" s="564">
        <v>1</v>
      </c>
      <c r="K415" s="563" t="s">
        <v>437</v>
      </c>
      <c r="L415" s="565">
        <v>43973</v>
      </c>
      <c r="M415" s="576">
        <v>6.7000000000000004E-2</v>
      </c>
      <c r="N415" s="563" t="s">
        <v>903</v>
      </c>
      <c r="O415" s="563">
        <v>2020.04</v>
      </c>
      <c r="P415" s="566" t="str">
        <f>VLOOKUP(A415,'[1]Raw data'!$B:$BB,23,FALSE)</f>
        <v>RMB</v>
      </c>
      <c r="Q415" s="563" t="str">
        <f>VLOOKUP(A415,'[1]Raw data'!$B:$Z,2,FALSE)</f>
        <v>C49SZX20200025MX</v>
      </c>
      <c r="R415" s="563" t="str">
        <f>VLOOKUP(A415,'[1]Raw data'!$B:$Z,3,FALSE)</f>
        <v>城宇</v>
      </c>
      <c r="S415" s="563" t="str">
        <f>VLOOKUP(A415,'[1]Raw data'!$B:$Z,4,FALSE)</f>
        <v>YSM10</v>
      </c>
      <c r="T415" s="563" t="str">
        <f>VLOOKUP(A415,'[1]Raw data'!$B:$Z,8,FALSE)</f>
        <v>L-&gt;R</v>
      </c>
      <c r="U415" s="563" t="str">
        <f>VLOOKUP(A415,'[1]Raw data'!$B:$Z,9,FALSE)</f>
        <v>No</v>
      </c>
      <c r="V415" s="567" t="str">
        <f t="shared" si="66"/>
        <v>WRONG</v>
      </c>
      <c r="W415" s="563" t="str">
        <f>VLOOKUP(A415,'[1]Raw data'!$B:$AG,32,FALSE)</f>
        <v>含税到厂</v>
      </c>
      <c r="X415" s="563">
        <f>VLOOKUP(A415,'[1]Raw data'!$B:$BA,31,FALSE)</f>
        <v>43976</v>
      </c>
      <c r="Y415" s="563" t="str">
        <f>VLOOKUP(A415,'[1]Raw data'!$B:$AS,39,FALSE)</f>
        <v>Yes</v>
      </c>
      <c r="AC415" s="563" t="s">
        <v>981</v>
      </c>
      <c r="AD415" s="571">
        <v>301</v>
      </c>
      <c r="AE415" s="571">
        <v>10</v>
      </c>
      <c r="AN415" s="542"/>
      <c r="AO415" s="824" t="str">
        <f t="shared" si="58"/>
        <v>Yes</v>
      </c>
      <c r="AP415" s="259" t="str">
        <f t="shared" si="59"/>
        <v>JUN 20</v>
      </c>
      <c r="AQ415" s="542" t="str">
        <f t="shared" si="60"/>
        <v>有定金+有預留客戶</v>
      </c>
      <c r="AR415" s="259" t="str">
        <f t="shared" si="61"/>
        <v>Shipped_Stock</v>
      </c>
      <c r="AS415" s="259" t="str">
        <f t="shared" si="62"/>
        <v/>
      </c>
      <c r="AT415" s="259" t="str">
        <f t="shared" si="63"/>
        <v>城宇</v>
      </c>
      <c r="AU415" s="259" t="str">
        <f t="shared" si="64"/>
        <v>C49SZX20200025MX</v>
      </c>
      <c r="AV415" s="259" t="str">
        <f t="shared" si="65"/>
        <v>May-22</v>
      </c>
    </row>
    <row r="416" spans="1:48" hidden="1">
      <c r="A416" s="559">
        <v>662</v>
      </c>
      <c r="B416" s="560" t="s">
        <v>280</v>
      </c>
      <c r="C416" s="560" t="s">
        <v>281</v>
      </c>
      <c r="D416" s="599">
        <v>109889</v>
      </c>
      <c r="E416" s="563" t="s">
        <v>974</v>
      </c>
      <c r="F416" s="563" t="s">
        <v>17</v>
      </c>
      <c r="G416" s="563" t="s">
        <v>18</v>
      </c>
      <c r="H416" s="563" t="s">
        <v>26</v>
      </c>
      <c r="I416" s="564" t="s">
        <v>982</v>
      </c>
      <c r="J416" s="564">
        <v>1</v>
      </c>
      <c r="K416" s="563" t="s">
        <v>437</v>
      </c>
      <c r="L416" s="565">
        <v>43985</v>
      </c>
      <c r="M416" s="576" t="s">
        <v>939</v>
      </c>
      <c r="N416" s="563" t="s">
        <v>903</v>
      </c>
      <c r="O416" s="563">
        <v>2020.05</v>
      </c>
      <c r="P416" s="566" t="str">
        <f>VLOOKUP(A416,'[1]Raw data'!$B:$BB,23,FALSE)</f>
        <v>JPY</v>
      </c>
      <c r="Q416" s="563" t="str">
        <f>VLOOKUP(A416,'[1]Raw data'!$B:$Z,2,FALSE)</f>
        <v>C49SZX20200061JY</v>
      </c>
      <c r="R416" s="563" t="str">
        <f>VLOOKUP(A416,'[1]Raw data'!$B:$Z,3,FALSE)</f>
        <v>旭日伟光</v>
      </c>
      <c r="S416" s="563" t="str">
        <f>VLOOKUP(A416,'[1]Raw data'!$B:$Z,4,FALSE)</f>
        <v>YSM10</v>
      </c>
      <c r="T416" s="563" t="str">
        <f>VLOOKUP(A416,'[1]Raw data'!$B:$Z,8,FALSE)</f>
        <v>L-&gt;R</v>
      </c>
      <c r="U416" s="563" t="str">
        <f>VLOOKUP(A416,'[1]Raw data'!$B:$Z,9,FALSE)</f>
        <v>MVC</v>
      </c>
      <c r="V416" s="567" t="str">
        <f t="shared" si="66"/>
        <v>WRONG</v>
      </c>
      <c r="W416" s="563" t="str">
        <f>VLOOKUP(A416,'[1]Raw data'!$B:$AG,32,FALSE)</f>
        <v>DAP SZ</v>
      </c>
      <c r="X416" s="563">
        <f>VLOOKUP(A416,'[1]Raw data'!$B:$BA,31,FALSE)</f>
        <v>43993</v>
      </c>
      <c r="Y416" s="563" t="str">
        <f>VLOOKUP(A416,'[1]Raw data'!$B:$AS,39,FALSE)</f>
        <v>Yes</v>
      </c>
      <c r="AC416" s="563" t="s">
        <v>601</v>
      </c>
      <c r="AD416" s="571">
        <v>301</v>
      </c>
      <c r="AE416" s="571">
        <v>10</v>
      </c>
      <c r="AN416" s="648"/>
      <c r="AO416" s="824" t="str">
        <f t="shared" si="58"/>
        <v>Yes</v>
      </c>
      <c r="AP416" s="259" t="str">
        <f t="shared" si="59"/>
        <v>JUN 20</v>
      </c>
      <c r="AQ416" s="542" t="str">
        <f t="shared" si="60"/>
        <v>有定金+有預留客戶</v>
      </c>
      <c r="AR416" s="259" t="str">
        <f t="shared" si="61"/>
        <v>Shipped_Stock</v>
      </c>
      <c r="AS416" s="259" t="str">
        <f t="shared" si="62"/>
        <v/>
      </c>
      <c r="AT416" s="259" t="str">
        <f t="shared" si="63"/>
        <v>旭日伟光</v>
      </c>
      <c r="AU416" s="259" t="str">
        <f t="shared" si="64"/>
        <v>C49SZX20200061JY</v>
      </c>
      <c r="AV416" s="259" t="str">
        <f t="shared" si="65"/>
        <v>Jun-03</v>
      </c>
    </row>
    <row r="417" spans="1:48" hidden="1">
      <c r="A417" s="559">
        <v>661</v>
      </c>
      <c r="B417" s="560" t="s">
        <v>280</v>
      </c>
      <c r="C417" s="560" t="s">
        <v>281</v>
      </c>
      <c r="D417" s="599">
        <v>109889</v>
      </c>
      <c r="E417" s="563" t="s">
        <v>974</v>
      </c>
      <c r="F417" s="563" t="s">
        <v>17</v>
      </c>
      <c r="G417" s="649" t="s">
        <v>18</v>
      </c>
      <c r="H417" s="649" t="s">
        <v>26</v>
      </c>
      <c r="I417" s="583" t="s">
        <v>983</v>
      </c>
      <c r="J417" s="583">
        <v>1</v>
      </c>
      <c r="K417" s="563" t="s">
        <v>820</v>
      </c>
      <c r="L417" s="650">
        <v>43985</v>
      </c>
      <c r="M417" s="576">
        <v>6.7000000000000004E-2</v>
      </c>
      <c r="N417" s="649" t="s">
        <v>903</v>
      </c>
      <c r="O417" s="649">
        <v>2020.05</v>
      </c>
      <c r="P417" s="566" t="str">
        <f>VLOOKUP(A417,'[1]Raw data'!$B:$BB,23,FALSE)</f>
        <v>RMB</v>
      </c>
      <c r="Q417" s="563" t="str">
        <f>VLOOKUP(A417,'[1]Raw data'!$B:$Z,2,FALSE)</f>
        <v>C49SZX20200065JZ</v>
      </c>
      <c r="R417" s="563" t="str">
        <f>VLOOKUP(A417,'[1]Raw data'!$B:$Z,3,FALSE)</f>
        <v>科华/End user 美斯特</v>
      </c>
      <c r="S417" s="563" t="str">
        <f>VLOOKUP(A417,'[1]Raw data'!$B:$Z,4,FALSE)</f>
        <v>YSM10</v>
      </c>
      <c r="T417" s="563" t="str">
        <f>VLOOKUP(A417,'[1]Raw data'!$B:$Z,8,FALSE)</f>
        <v>L-&gt;R</v>
      </c>
      <c r="U417" s="563" t="str">
        <f>VLOOKUP(A417,'[1]Raw data'!$B:$Z,9,FALSE)</f>
        <v>No</v>
      </c>
      <c r="V417" s="651" t="str">
        <f t="shared" si="66"/>
        <v>WRONG</v>
      </c>
      <c r="W417" s="563" t="str">
        <f>VLOOKUP(A417,'[1]Raw data'!$B:$AG,32,FALSE)</f>
        <v>含税到厂</v>
      </c>
      <c r="X417" s="563">
        <f>VLOOKUP(A417,'[1]Raw data'!$B:$BA,31,FALSE)</f>
        <v>43993</v>
      </c>
      <c r="Y417" s="563" t="str">
        <f>VLOOKUP(A417,'[1]Raw data'!$B:$AS,39,FALSE)</f>
        <v>Yes</v>
      </c>
      <c r="Z417" s="652"/>
      <c r="AA417" s="653"/>
      <c r="AB417" s="654"/>
      <c r="AC417" s="649" t="s">
        <v>984</v>
      </c>
      <c r="AD417" s="655">
        <v>301</v>
      </c>
      <c r="AE417" s="655">
        <v>10</v>
      </c>
      <c r="AF417" s="655"/>
      <c r="AG417" s="655"/>
      <c r="AH417" s="655"/>
      <c r="AI417" s="656"/>
      <c r="AN417" s="542"/>
      <c r="AO417" s="824" t="str">
        <f t="shared" si="58"/>
        <v>Yes</v>
      </c>
      <c r="AP417" s="259" t="str">
        <f t="shared" si="59"/>
        <v>JUN 20</v>
      </c>
      <c r="AQ417" s="542" t="str">
        <f t="shared" si="60"/>
        <v>有定金+有預留客戶</v>
      </c>
      <c r="AR417" s="259" t="str">
        <f t="shared" si="61"/>
        <v>Shipped_Stock</v>
      </c>
      <c r="AS417" s="259" t="str">
        <f t="shared" si="62"/>
        <v/>
      </c>
      <c r="AT417" s="259" t="str">
        <f t="shared" si="63"/>
        <v>科华/End user 美斯特</v>
      </c>
      <c r="AU417" s="259" t="str">
        <f t="shared" si="64"/>
        <v>C49SZX20200065JZ</v>
      </c>
      <c r="AV417" s="259" t="str">
        <f t="shared" si="65"/>
        <v>Jun-03</v>
      </c>
    </row>
    <row r="418" spans="1:48" hidden="1">
      <c r="A418" s="559">
        <v>672</v>
      </c>
      <c r="B418" s="560" t="s">
        <v>280</v>
      </c>
      <c r="C418" s="560" t="s">
        <v>281</v>
      </c>
      <c r="D418" s="599">
        <v>109889</v>
      </c>
      <c r="E418" s="563" t="s">
        <v>974</v>
      </c>
      <c r="F418" s="563" t="s">
        <v>17</v>
      </c>
      <c r="G418" s="647" t="s">
        <v>18</v>
      </c>
      <c r="H418" s="647" t="s">
        <v>26</v>
      </c>
      <c r="I418" s="575" t="s">
        <v>985</v>
      </c>
      <c r="J418" s="575">
        <v>1</v>
      </c>
      <c r="K418" s="563" t="s">
        <v>661</v>
      </c>
      <c r="L418" s="657">
        <v>43985</v>
      </c>
      <c r="M418" s="576">
        <v>6.7000000000000004E-2</v>
      </c>
      <c r="N418" s="649" t="s">
        <v>300</v>
      </c>
      <c r="O418" s="647">
        <v>2020.05</v>
      </c>
      <c r="P418" s="566" t="str">
        <f>VLOOKUP(A418,'[1]Raw data'!$B:$BB,23,FALSE)</f>
        <v>JPY</v>
      </c>
      <c r="Q418" s="563" t="str">
        <f>VLOOKUP(A418,'[1]Raw data'!$B:$Z,2,FALSE)</f>
        <v>C49SZX20200071JY</v>
      </c>
      <c r="R418" s="563" t="str">
        <f>VLOOKUP(A418,'[1]Raw data'!$B:$Z,3,FALSE)</f>
        <v>英拓邦</v>
      </c>
      <c r="S418" s="563" t="str">
        <f>VLOOKUP(A418,'[1]Raw data'!$B:$Z,4,FALSE)</f>
        <v>YSM10</v>
      </c>
      <c r="T418" s="563" t="str">
        <f>VLOOKUP(A418,'[1]Raw data'!$B:$Z,8,FALSE)</f>
        <v>R-&gt;L</v>
      </c>
      <c r="U418" s="563" t="str">
        <f>VLOOKUP(A418,'[1]Raw data'!$B:$Z,9,FALSE)</f>
        <v>MVC</v>
      </c>
      <c r="V418" s="658" t="str">
        <f t="shared" si="66"/>
        <v>WRONG</v>
      </c>
      <c r="W418" s="563" t="str">
        <f>VLOOKUP(A418,'[1]Raw data'!$B:$AG,32,FALSE)</f>
        <v>DAP SZ</v>
      </c>
      <c r="X418" s="563">
        <f>VLOOKUP(A418,'[1]Raw data'!$B:$BA,31,FALSE)</f>
        <v>44005</v>
      </c>
      <c r="Y418" s="563" t="str">
        <f>VLOOKUP(A418,'[1]Raw data'!$B:$AS,39,FALSE)</f>
        <v>Yes</v>
      </c>
      <c r="Z418" s="659"/>
      <c r="AA418" s="660"/>
      <c r="AB418" s="661"/>
      <c r="AC418" s="647" t="s">
        <v>965</v>
      </c>
      <c r="AD418" s="662">
        <v>301</v>
      </c>
      <c r="AE418" s="662">
        <v>10</v>
      </c>
      <c r="AF418" s="662"/>
      <c r="AG418" s="662"/>
      <c r="AH418" s="662"/>
      <c r="AI418" s="663"/>
      <c r="AN418" s="542"/>
      <c r="AO418" s="824" t="str">
        <f t="shared" si="58"/>
        <v>Yes</v>
      </c>
      <c r="AP418" s="259" t="str">
        <f t="shared" si="59"/>
        <v>JUL 20</v>
      </c>
      <c r="AQ418" s="542" t="str">
        <f t="shared" si="60"/>
        <v>有定金+有預留客戶</v>
      </c>
      <c r="AR418" s="259" t="str">
        <f t="shared" si="61"/>
        <v>Shipped_Stock</v>
      </c>
      <c r="AS418" s="259" t="str">
        <f t="shared" si="62"/>
        <v/>
      </c>
      <c r="AT418" s="259" t="str">
        <f t="shared" si="63"/>
        <v>英拓邦</v>
      </c>
      <c r="AU418" s="259" t="str">
        <f t="shared" si="64"/>
        <v>C49SZX20200071JY</v>
      </c>
      <c r="AV418" s="259" t="str">
        <f t="shared" si="65"/>
        <v>Jun-03</v>
      </c>
    </row>
    <row r="419" spans="1:48" hidden="1">
      <c r="A419" s="559">
        <v>616</v>
      </c>
      <c r="B419" s="560" t="s">
        <v>280</v>
      </c>
      <c r="C419" s="560" t="s">
        <v>281</v>
      </c>
      <c r="D419" s="645">
        <v>109873</v>
      </c>
      <c r="E419" s="646" t="s">
        <v>986</v>
      </c>
      <c r="F419" s="647" t="s">
        <v>153</v>
      </c>
      <c r="G419" s="647" t="s">
        <v>24</v>
      </c>
      <c r="H419" s="647" t="s">
        <v>307</v>
      </c>
      <c r="I419" s="575" t="s">
        <v>987</v>
      </c>
      <c r="J419" s="575">
        <v>1</v>
      </c>
      <c r="K419" s="647" t="s">
        <v>388</v>
      </c>
      <c r="L419" s="657">
        <v>43985</v>
      </c>
      <c r="M419" s="576" t="s">
        <v>939</v>
      </c>
      <c r="N419" s="647" t="s">
        <v>903</v>
      </c>
      <c r="O419" s="647">
        <v>2020.05</v>
      </c>
      <c r="P419" s="566" t="str">
        <f>VLOOKUP(A419,'[1]Raw data'!$B:$BB,23,FALSE)</f>
        <v>JPY</v>
      </c>
      <c r="Q419" s="563" t="str">
        <f>VLOOKUP(A419,'[1]Raw data'!$B:$Z,2,FALSE)</f>
        <v>C49SZX20200006KW</v>
      </c>
      <c r="R419" s="563" t="str">
        <f>VLOOKUP(A419,'[1]Raw data'!$B:$Z,3,FALSE)</f>
        <v>伟盛贸易(富洛）/晶科</v>
      </c>
      <c r="S419" s="563" t="str">
        <f>VLOOKUP(A419,'[1]Raw data'!$B:$Z,4,FALSE)</f>
        <v>SIGMA G5S2</v>
      </c>
      <c r="T419" s="563" t="str">
        <f>VLOOKUP(A419,'[1]Raw data'!$B:$Z,8,FALSE)</f>
        <v>L-&gt;R</v>
      </c>
      <c r="U419" s="563" t="str">
        <f>VLOOKUP(A419,'[1]Raw data'!$B:$Z,9,FALSE)</f>
        <v>No</v>
      </c>
      <c r="V419" s="567" t="str">
        <f t="shared" si="66"/>
        <v>OK</v>
      </c>
      <c r="W419" s="563" t="str">
        <f>VLOOKUP(A419,'[1]Raw data'!$B:$AG,32,FALSE)</f>
        <v>CIF HK</v>
      </c>
      <c r="X419" s="563">
        <f>VLOOKUP(A419,'[1]Raw data'!$B:$BA,31,FALSE)</f>
        <v>43931</v>
      </c>
      <c r="Y419" s="563" t="str">
        <f>VLOOKUP(A419,'[1]Raw data'!$B:$AS,39,FALSE)</f>
        <v>Yes</v>
      </c>
      <c r="Z419" s="659"/>
      <c r="AA419" s="660"/>
      <c r="AB419" s="661"/>
      <c r="AC419" s="563" t="s">
        <v>678</v>
      </c>
      <c r="AD419" s="662"/>
      <c r="AE419" s="662"/>
      <c r="AF419" s="662"/>
      <c r="AG419" s="662"/>
      <c r="AH419" s="662"/>
      <c r="AI419" s="663"/>
      <c r="AN419" s="542"/>
      <c r="AO419" s="824" t="str">
        <f t="shared" si="58"/>
        <v>Yes</v>
      </c>
      <c r="AP419" s="259" t="str">
        <f t="shared" si="59"/>
        <v>JUN 20</v>
      </c>
      <c r="AQ419" s="542" t="str">
        <f t="shared" si="60"/>
        <v>有定金+有預留客戶</v>
      </c>
      <c r="AR419" s="259" t="str">
        <f t="shared" si="61"/>
        <v>Shipped_Stock</v>
      </c>
      <c r="AS419" s="259" t="str">
        <f t="shared" si="62"/>
        <v/>
      </c>
      <c r="AT419" s="259" t="str">
        <f t="shared" si="63"/>
        <v>伟盛贸易(富洛）/晶科</v>
      </c>
      <c r="AU419" s="259" t="str">
        <f t="shared" si="64"/>
        <v>C49SZX20200006KW</v>
      </c>
      <c r="AV419" s="259" t="str">
        <f t="shared" si="65"/>
        <v>Jun-03</v>
      </c>
    </row>
    <row r="420" spans="1:48" ht="15.75" hidden="1" customHeight="1">
      <c r="A420" s="559">
        <v>624</v>
      </c>
      <c r="B420" s="560" t="s">
        <v>280</v>
      </c>
      <c r="C420" s="560" t="s">
        <v>281</v>
      </c>
      <c r="D420" s="599">
        <v>109868</v>
      </c>
      <c r="E420" s="563" t="s">
        <v>886</v>
      </c>
      <c r="F420" s="563" t="s">
        <v>243</v>
      </c>
      <c r="G420" s="563" t="s">
        <v>24</v>
      </c>
      <c r="H420" s="563" t="s">
        <v>159</v>
      </c>
      <c r="I420" s="564" t="s">
        <v>988</v>
      </c>
      <c r="J420" s="575">
        <v>1</v>
      </c>
      <c r="K420" s="647" t="s">
        <v>388</v>
      </c>
      <c r="L420" s="657">
        <v>43992</v>
      </c>
      <c r="M420" s="576">
        <v>6.6699999999999995E-2</v>
      </c>
      <c r="N420" s="647" t="s">
        <v>903</v>
      </c>
      <c r="O420" s="575">
        <v>2020.05</v>
      </c>
      <c r="P420" s="566" t="str">
        <f>VLOOKUP(A420,'[1]Raw data'!$B:$BB,23,FALSE)</f>
        <v>RMB</v>
      </c>
      <c r="Q420" s="563" t="str">
        <f>VLOOKUP(A420,'[1]Raw data'!$B:$Z,2,FALSE)</f>
        <v>C49SZX20200048DZ</v>
      </c>
      <c r="R420" s="563" t="str">
        <f>VLOOKUP(A420,'[1]Raw data'!$B:$Z,3,FALSE)</f>
        <v>海星</v>
      </c>
      <c r="S420" s="563" t="str">
        <f>VLOOKUP(A420,'[1]Raw data'!$B:$Z,4,FALSE)</f>
        <v>YSM20R(SV)-2</v>
      </c>
      <c r="T420" s="563" t="str">
        <f>VLOOKUP(A420,'[1]Raw data'!$B:$Z,8,FALSE)</f>
        <v>L-&gt;R</v>
      </c>
      <c r="U420" s="563" t="str">
        <f>VLOOKUP(A420,'[1]Raw data'!$B:$Z,9,FALSE)</f>
        <v>cATS10+MVC</v>
      </c>
      <c r="V420" s="567" t="str">
        <f t="shared" si="66"/>
        <v>WRONG</v>
      </c>
      <c r="W420" s="563" t="str">
        <f>VLOOKUP(A420,'[1]Raw data'!$B:$AG,32,FALSE)</f>
        <v>含税到厂</v>
      </c>
      <c r="X420" s="563">
        <f>VLOOKUP(A420,'[1]Raw data'!$B:$BA,31,FALSE)</f>
        <v>43938</v>
      </c>
      <c r="Y420" s="563" t="str">
        <f>VLOOKUP(A420,'[1]Raw data'!$B:$AS,39,FALSE)</f>
        <v>Yes</v>
      </c>
      <c r="AC420" s="563">
        <v>190635038</v>
      </c>
      <c r="AD420" s="571">
        <v>303</v>
      </c>
      <c r="AE420" s="571">
        <v>20</v>
      </c>
      <c r="AN420" s="542"/>
      <c r="AO420" s="824" t="str">
        <f t="shared" si="58"/>
        <v>Yes</v>
      </c>
      <c r="AP420" s="259" t="str">
        <f t="shared" si="59"/>
        <v>JUN 20</v>
      </c>
      <c r="AQ420" s="542" t="str">
        <f t="shared" si="60"/>
        <v>有定金+有預留客戶</v>
      </c>
      <c r="AR420" s="259" t="str">
        <f t="shared" si="61"/>
        <v>Shipped_Stock</v>
      </c>
      <c r="AS420" s="259" t="str">
        <f t="shared" si="62"/>
        <v/>
      </c>
      <c r="AT420" s="259" t="str">
        <f t="shared" si="63"/>
        <v>海星</v>
      </c>
      <c r="AU420" s="259" t="str">
        <f t="shared" si="64"/>
        <v>C49SZX20200048DZ</v>
      </c>
      <c r="AV420" s="259" t="str">
        <f t="shared" si="65"/>
        <v>Jun-10</v>
      </c>
    </row>
    <row r="421" spans="1:48" ht="15" hidden="1" customHeight="1">
      <c r="A421" s="559">
        <v>645</v>
      </c>
      <c r="B421" s="560" t="s">
        <v>280</v>
      </c>
      <c r="C421" s="560" t="s">
        <v>281</v>
      </c>
      <c r="D421" s="599">
        <v>109868</v>
      </c>
      <c r="E421" s="563" t="s">
        <v>886</v>
      </c>
      <c r="F421" s="563" t="s">
        <v>256</v>
      </c>
      <c r="G421" s="563" t="s">
        <v>24</v>
      </c>
      <c r="H421" s="563" t="s">
        <v>307</v>
      </c>
      <c r="I421" s="564" t="s">
        <v>989</v>
      </c>
      <c r="J421" s="575">
        <v>1</v>
      </c>
      <c r="K421" s="647" t="s">
        <v>820</v>
      </c>
      <c r="L421" s="657">
        <v>43992</v>
      </c>
      <c r="M421" s="576">
        <v>6.6699999999999995E-2</v>
      </c>
      <c r="N421" s="647" t="s">
        <v>903</v>
      </c>
      <c r="O421" s="575">
        <v>2020.05</v>
      </c>
      <c r="P421" s="566" t="str">
        <f>VLOOKUP(A421,'[1]Raw data'!$B:$BB,23,FALSE)</f>
        <v>RMB</v>
      </c>
      <c r="Q421" s="563" t="str">
        <f>VLOOKUP(A421,'[1]Raw data'!$B:$Z,2,FALSE)</f>
        <v>C49SZX20200060SX</v>
      </c>
      <c r="R421" s="563" t="str">
        <f>VLOOKUP(A421,'[1]Raw data'!$B:$Z,3,FALSE)</f>
        <v>迅丰</v>
      </c>
      <c r="S421" s="563" t="str">
        <f>VLOOKUP(A421,'[1]Raw data'!$B:$Z,4,FALSE)</f>
        <v>YSM20R(SV)-2</v>
      </c>
      <c r="T421" s="563" t="str">
        <f>VLOOKUP(A421,'[1]Raw data'!$B:$Z,8,FALSE)</f>
        <v>L-&gt;R</v>
      </c>
      <c r="U421" s="563" t="str">
        <f>VLOOKUP(A421,'[1]Raw data'!$B:$Z,9,FALSE)</f>
        <v>MVC</v>
      </c>
      <c r="V421" s="567" t="str">
        <f t="shared" si="66"/>
        <v>WRONG</v>
      </c>
      <c r="W421" s="563" t="str">
        <f>VLOOKUP(A421,'[1]Raw data'!$B:$AG,32,FALSE)</f>
        <v>含税到厂</v>
      </c>
      <c r="X421" s="563">
        <f>VLOOKUP(A421,'[1]Raw data'!$B:$BA,31,FALSE)</f>
        <v>43963</v>
      </c>
      <c r="Y421" s="563" t="str">
        <f>VLOOKUP(A421,'[1]Raw data'!$B:$AS,39,FALSE)</f>
        <v>Yes</v>
      </c>
      <c r="AC421" s="563" t="s">
        <v>396</v>
      </c>
      <c r="AD421" s="571">
        <v>304</v>
      </c>
      <c r="AE421" s="571">
        <v>20</v>
      </c>
      <c r="AN421" s="542"/>
      <c r="AO421" s="824" t="str">
        <f t="shared" si="58"/>
        <v>Yes</v>
      </c>
      <c r="AP421" s="259" t="str">
        <f t="shared" si="59"/>
        <v>JUN 20</v>
      </c>
      <c r="AQ421" s="542" t="str">
        <f t="shared" si="60"/>
        <v>有定金+有預留客戶</v>
      </c>
      <c r="AR421" s="259" t="str">
        <f t="shared" si="61"/>
        <v>Shipped_Stock</v>
      </c>
      <c r="AS421" s="259" t="str">
        <f t="shared" si="62"/>
        <v/>
      </c>
      <c r="AT421" s="259" t="str">
        <f t="shared" si="63"/>
        <v>迅丰</v>
      </c>
      <c r="AU421" s="259" t="str">
        <f t="shared" si="64"/>
        <v>C49SZX20200060SX</v>
      </c>
      <c r="AV421" s="259" t="str">
        <f t="shared" si="65"/>
        <v>Jun-10</v>
      </c>
    </row>
    <row r="422" spans="1:48" ht="15" hidden="1" customHeight="1">
      <c r="A422" s="559">
        <v>605</v>
      </c>
      <c r="B422" s="560" t="s">
        <v>280</v>
      </c>
      <c r="C422" s="560" t="s">
        <v>281</v>
      </c>
      <c r="D422" s="599">
        <v>109868</v>
      </c>
      <c r="E422" s="563" t="s">
        <v>886</v>
      </c>
      <c r="F422" s="563" t="s">
        <v>256</v>
      </c>
      <c r="G422" s="563" t="s">
        <v>24</v>
      </c>
      <c r="H422" s="563" t="s">
        <v>307</v>
      </c>
      <c r="I422" s="564" t="s">
        <v>990</v>
      </c>
      <c r="J422" s="575">
        <v>1</v>
      </c>
      <c r="K422" s="647" t="s">
        <v>820</v>
      </c>
      <c r="L422" s="657">
        <v>43992</v>
      </c>
      <c r="M422" s="576">
        <v>6.6699999999999995E-2</v>
      </c>
      <c r="N422" s="649" t="s">
        <v>300</v>
      </c>
      <c r="O422" s="575">
        <v>2020.05</v>
      </c>
      <c r="P422" s="566" t="str">
        <f>VLOOKUP(A422,'[1]Raw data'!$B:$BB,23,FALSE)</f>
        <v>JPY</v>
      </c>
      <c r="Q422" s="563" t="str">
        <f>VLOOKUP(A422,'[1]Raw data'!$B:$Z,2,FALSE)</f>
        <v>C49SZX20200036CX</v>
      </c>
      <c r="R422" s="563" t="str">
        <f>VLOOKUP(A422,'[1]Raw data'!$B:$Z,3,FALSE)</f>
        <v>钧溢电子</v>
      </c>
      <c r="S422" s="563" t="str">
        <f>VLOOKUP(A422,'[1]Raw data'!$B:$Z,4,FALSE)</f>
        <v>YSM20R(SV)-2</v>
      </c>
      <c r="T422" s="563" t="str">
        <f>VLOOKUP(A422,'[1]Raw data'!$B:$Z,8,FALSE)</f>
        <v>L-&gt;R</v>
      </c>
      <c r="U422" s="563" t="str">
        <f>VLOOKUP(A422,'[1]Raw data'!$B:$Z,9,FALSE)</f>
        <v>No</v>
      </c>
      <c r="V422" s="567" t="str">
        <f t="shared" si="66"/>
        <v>OK</v>
      </c>
      <c r="W422" s="563" t="str">
        <f>VLOOKUP(A422,'[1]Raw data'!$B:$AG,32,FALSE)</f>
        <v>DAP SZ</v>
      </c>
      <c r="X422" s="563">
        <f>VLOOKUP(A422,'[1]Raw data'!$B:$BA,31,FALSE)</f>
        <v>43915</v>
      </c>
      <c r="Y422" s="563" t="str">
        <f>VLOOKUP(A422,'[1]Raw data'!$B:$AS,39,FALSE)</f>
        <v>Yes</v>
      </c>
      <c r="AC422" s="563" t="s">
        <v>940</v>
      </c>
      <c r="AD422" s="571">
        <v>304</v>
      </c>
      <c r="AE422" s="571">
        <v>10</v>
      </c>
      <c r="AF422" s="571">
        <v>301</v>
      </c>
      <c r="AG422" s="571">
        <v>10</v>
      </c>
      <c r="AN422" s="542"/>
      <c r="AO422" s="824" t="str">
        <f t="shared" si="58"/>
        <v>Yes</v>
      </c>
      <c r="AP422" s="259" t="str">
        <f t="shared" si="59"/>
        <v>JUL 20</v>
      </c>
      <c r="AQ422" s="542" t="str">
        <f t="shared" si="60"/>
        <v>有定金+有預留客戶</v>
      </c>
      <c r="AR422" s="259" t="str">
        <f t="shared" si="61"/>
        <v>Shipped_Stock</v>
      </c>
      <c r="AS422" s="259" t="str">
        <f t="shared" si="62"/>
        <v/>
      </c>
      <c r="AT422" s="259" t="str">
        <f t="shared" si="63"/>
        <v>钧溢电子</v>
      </c>
      <c r="AU422" s="259" t="str">
        <f t="shared" si="64"/>
        <v>C49SZX20200036CX</v>
      </c>
      <c r="AV422" s="259" t="str">
        <f t="shared" si="65"/>
        <v>Jun-10</v>
      </c>
    </row>
    <row r="423" spans="1:48" ht="15" hidden="1" customHeight="1">
      <c r="A423" s="559">
        <v>644</v>
      </c>
      <c r="B423" s="560" t="s">
        <v>280</v>
      </c>
      <c r="C423" s="560" t="s">
        <v>281</v>
      </c>
      <c r="D423" s="599">
        <v>109868</v>
      </c>
      <c r="E423" s="563" t="s">
        <v>886</v>
      </c>
      <c r="F423" s="563" t="s">
        <v>256</v>
      </c>
      <c r="G423" s="563" t="s">
        <v>24</v>
      </c>
      <c r="H423" s="563" t="s">
        <v>26</v>
      </c>
      <c r="I423" s="564" t="s">
        <v>991</v>
      </c>
      <c r="J423" s="575">
        <v>1</v>
      </c>
      <c r="K423" s="647" t="s">
        <v>820</v>
      </c>
      <c r="L423" s="657">
        <v>43992</v>
      </c>
      <c r="M423" s="576">
        <v>6.6699999999999995E-2</v>
      </c>
      <c r="N423" s="563" t="s">
        <v>903</v>
      </c>
      <c r="O423" s="575">
        <v>2020.05</v>
      </c>
      <c r="P423" s="566" t="str">
        <f>VLOOKUP(A423,'[1]Raw data'!$B:$BB,23,FALSE)</f>
        <v>RMB</v>
      </c>
      <c r="Q423" s="563" t="str">
        <f>VLOOKUP(A423,'[1]Raw data'!$B:$Z,2,FALSE)</f>
        <v>C49SZX20200060SX</v>
      </c>
      <c r="R423" s="563" t="str">
        <f>VLOOKUP(A423,'[1]Raw data'!$B:$Z,3,FALSE)</f>
        <v>迅丰</v>
      </c>
      <c r="S423" s="563" t="str">
        <f>VLOOKUP(A423,'[1]Raw data'!$B:$Z,4,FALSE)</f>
        <v>YSM20R(SV)-2</v>
      </c>
      <c r="T423" s="563" t="str">
        <f>VLOOKUP(A423,'[1]Raw data'!$B:$Z,8,FALSE)</f>
        <v>L-&gt;R</v>
      </c>
      <c r="U423" s="563" t="str">
        <f>VLOOKUP(A423,'[1]Raw data'!$B:$Z,9,FALSE)</f>
        <v>MVC</v>
      </c>
      <c r="V423" s="567" t="str">
        <f t="shared" si="66"/>
        <v>WRONG</v>
      </c>
      <c r="W423" s="563" t="str">
        <f>VLOOKUP(A423,'[1]Raw data'!$B:$AG,32,FALSE)</f>
        <v>含税到厂</v>
      </c>
      <c r="X423" s="563">
        <f>VLOOKUP(A423,'[1]Raw data'!$B:$BA,31,FALSE)</f>
        <v>43963</v>
      </c>
      <c r="Y423" s="563" t="str">
        <f>VLOOKUP(A423,'[1]Raw data'!$B:$AS,39,FALSE)</f>
        <v>Yes</v>
      </c>
      <c r="AC423" s="563" t="s">
        <v>992</v>
      </c>
      <c r="AD423" s="571">
        <v>301</v>
      </c>
      <c r="AE423" s="571">
        <v>20</v>
      </c>
      <c r="AN423" s="542"/>
      <c r="AO423" s="824" t="str">
        <f t="shared" si="58"/>
        <v>Yes</v>
      </c>
      <c r="AP423" s="259" t="str">
        <f t="shared" si="59"/>
        <v>JUN 20</v>
      </c>
      <c r="AQ423" s="542" t="str">
        <f t="shared" si="60"/>
        <v>有定金+有預留客戶</v>
      </c>
      <c r="AR423" s="259" t="str">
        <f t="shared" si="61"/>
        <v>Shipped_Stock</v>
      </c>
      <c r="AS423" s="259" t="str">
        <f t="shared" si="62"/>
        <v/>
      </c>
      <c r="AT423" s="259" t="str">
        <f t="shared" si="63"/>
        <v>迅丰</v>
      </c>
      <c r="AU423" s="259" t="str">
        <f t="shared" si="64"/>
        <v>C49SZX20200060SX</v>
      </c>
      <c r="AV423" s="259" t="str">
        <f t="shared" si="65"/>
        <v>Jun-10</v>
      </c>
    </row>
    <row r="424" spans="1:48" hidden="1">
      <c r="A424" s="559">
        <v>625</v>
      </c>
      <c r="B424" s="560" t="s">
        <v>280</v>
      </c>
      <c r="C424" s="560" t="s">
        <v>281</v>
      </c>
      <c r="D424" s="599">
        <v>109868</v>
      </c>
      <c r="E424" s="563" t="s">
        <v>886</v>
      </c>
      <c r="F424" s="563" t="s">
        <v>256</v>
      </c>
      <c r="G424" s="563" t="s">
        <v>24</v>
      </c>
      <c r="H424" s="563" t="s">
        <v>26</v>
      </c>
      <c r="I424" s="564" t="s">
        <v>993</v>
      </c>
      <c r="J424" s="575">
        <v>1</v>
      </c>
      <c r="K424" s="647" t="s">
        <v>388</v>
      </c>
      <c r="L424" s="657">
        <v>43992</v>
      </c>
      <c r="M424" s="576">
        <v>6.6699999999999995E-2</v>
      </c>
      <c r="N424" s="563" t="s">
        <v>903</v>
      </c>
      <c r="O424" s="575">
        <v>2020.05</v>
      </c>
      <c r="P424" s="566" t="str">
        <f>VLOOKUP(A424,'[1]Raw data'!$B:$BB,23,FALSE)</f>
        <v>RMB</v>
      </c>
      <c r="Q424" s="563" t="str">
        <f>VLOOKUP(A424,'[1]Raw data'!$B:$Z,2,FALSE)</f>
        <v>C49SZX20200048DZ</v>
      </c>
      <c r="R424" s="563" t="str">
        <f>VLOOKUP(A424,'[1]Raw data'!$B:$Z,3,FALSE)</f>
        <v>海星</v>
      </c>
      <c r="S424" s="563" t="str">
        <f>VLOOKUP(A424,'[1]Raw data'!$B:$Z,4,FALSE)</f>
        <v>YSM20R(SV)-2</v>
      </c>
      <c r="T424" s="563" t="str">
        <f>VLOOKUP(A424,'[1]Raw data'!$B:$Z,8,FALSE)</f>
        <v>L-&gt;R</v>
      </c>
      <c r="U424" s="563" t="str">
        <f>VLOOKUP(A424,'[1]Raw data'!$B:$Z,9,FALSE)</f>
        <v>No</v>
      </c>
      <c r="V424" s="567" t="str">
        <f t="shared" si="66"/>
        <v>OK</v>
      </c>
      <c r="W424" s="563" t="str">
        <f>VLOOKUP(A424,'[1]Raw data'!$B:$AG,32,FALSE)</f>
        <v>含税到厂</v>
      </c>
      <c r="X424" s="563">
        <f>VLOOKUP(A424,'[1]Raw data'!$B:$BA,31,FALSE)</f>
        <v>43938</v>
      </c>
      <c r="Y424" s="563" t="str">
        <f>VLOOKUP(A424,'[1]Raw data'!$B:$AS,39,FALSE)</f>
        <v>Yes</v>
      </c>
      <c r="AC424" s="563">
        <v>190635038</v>
      </c>
      <c r="AD424" s="571">
        <v>301</v>
      </c>
      <c r="AE424" s="571">
        <v>20</v>
      </c>
      <c r="AN424" s="542"/>
      <c r="AO424" s="824" t="str">
        <f t="shared" si="58"/>
        <v>Yes</v>
      </c>
      <c r="AP424" s="259" t="str">
        <f t="shared" si="59"/>
        <v>JUN 20</v>
      </c>
      <c r="AQ424" s="542" t="str">
        <f t="shared" si="60"/>
        <v>有定金+有預留客戶</v>
      </c>
      <c r="AR424" s="259" t="str">
        <f t="shared" si="61"/>
        <v>Shipped_Stock</v>
      </c>
      <c r="AS424" s="259" t="str">
        <f t="shared" si="62"/>
        <v/>
      </c>
      <c r="AT424" s="259" t="str">
        <f t="shared" si="63"/>
        <v>海星</v>
      </c>
      <c r="AU424" s="259" t="str">
        <f t="shared" si="64"/>
        <v>C49SZX20200048DZ</v>
      </c>
      <c r="AV424" s="259" t="str">
        <f t="shared" si="65"/>
        <v>Jun-10</v>
      </c>
    </row>
    <row r="425" spans="1:48" hidden="1">
      <c r="A425" s="559">
        <v>626</v>
      </c>
      <c r="B425" s="560" t="s">
        <v>280</v>
      </c>
      <c r="C425" s="560" t="s">
        <v>281</v>
      </c>
      <c r="D425" s="599">
        <v>109868</v>
      </c>
      <c r="E425" s="563" t="s">
        <v>886</v>
      </c>
      <c r="F425" s="563" t="s">
        <v>256</v>
      </c>
      <c r="G425" s="563" t="s">
        <v>24</v>
      </c>
      <c r="H425" s="563" t="s">
        <v>26</v>
      </c>
      <c r="I425" s="564" t="s">
        <v>994</v>
      </c>
      <c r="J425" s="575">
        <v>1</v>
      </c>
      <c r="K425" s="647" t="s">
        <v>388</v>
      </c>
      <c r="L425" s="657">
        <v>43992</v>
      </c>
      <c r="M425" s="576">
        <v>6.6699999999999995E-2</v>
      </c>
      <c r="N425" s="563" t="s">
        <v>903</v>
      </c>
      <c r="O425" s="575">
        <v>2020.05</v>
      </c>
      <c r="P425" s="566" t="str">
        <f>VLOOKUP(A425,'[1]Raw data'!$B:$BB,23,FALSE)</f>
        <v>RMB</v>
      </c>
      <c r="Q425" s="563" t="str">
        <f>VLOOKUP(A425,'[1]Raw data'!$B:$Z,2,FALSE)</f>
        <v>C49SZX20200048DZ</v>
      </c>
      <c r="R425" s="563" t="str">
        <f>VLOOKUP(A425,'[1]Raw data'!$B:$Z,3,FALSE)</f>
        <v>海星</v>
      </c>
      <c r="S425" s="563" t="str">
        <f>VLOOKUP(A425,'[1]Raw data'!$B:$Z,4,FALSE)</f>
        <v>YSM20R(SV)-2</v>
      </c>
      <c r="T425" s="563" t="str">
        <f>VLOOKUP(A425,'[1]Raw data'!$B:$Z,8,FALSE)</f>
        <v>L-&gt;R</v>
      </c>
      <c r="U425" s="563" t="str">
        <f>VLOOKUP(A425,'[1]Raw data'!$B:$Z,9,FALSE)</f>
        <v>No</v>
      </c>
      <c r="V425" s="567" t="str">
        <f t="shared" si="66"/>
        <v>OK</v>
      </c>
      <c r="W425" s="563" t="str">
        <f>VLOOKUP(A425,'[1]Raw data'!$B:$AG,32,FALSE)</f>
        <v>含税到厂</v>
      </c>
      <c r="X425" s="563">
        <f>VLOOKUP(A425,'[1]Raw data'!$B:$BA,31,FALSE)</f>
        <v>43938</v>
      </c>
      <c r="Y425" s="563" t="str">
        <f>VLOOKUP(A425,'[1]Raw data'!$B:$AS,39,FALSE)</f>
        <v>Yes</v>
      </c>
      <c r="AC425" s="563">
        <v>190635038</v>
      </c>
      <c r="AD425" s="571">
        <v>312</v>
      </c>
      <c r="AE425" s="571">
        <v>20</v>
      </c>
      <c r="AN425" s="542"/>
      <c r="AO425" s="824" t="str">
        <f t="shared" si="58"/>
        <v>Yes</v>
      </c>
      <c r="AP425" s="259" t="str">
        <f t="shared" si="59"/>
        <v>JUN 20</v>
      </c>
      <c r="AQ425" s="542" t="str">
        <f t="shared" si="60"/>
        <v>有定金+有預留客戶</v>
      </c>
      <c r="AR425" s="259" t="str">
        <f t="shared" si="61"/>
        <v>Shipped_Stock</v>
      </c>
      <c r="AS425" s="259" t="str">
        <f t="shared" si="62"/>
        <v/>
      </c>
      <c r="AT425" s="259" t="str">
        <f t="shared" si="63"/>
        <v>海星</v>
      </c>
      <c r="AU425" s="259" t="str">
        <f t="shared" si="64"/>
        <v>C49SZX20200048DZ</v>
      </c>
      <c r="AV425" s="259" t="str">
        <f t="shared" si="65"/>
        <v>Jun-10</v>
      </c>
    </row>
    <row r="426" spans="1:48" hidden="1">
      <c r="A426" s="559">
        <v>630</v>
      </c>
      <c r="B426" s="560" t="s">
        <v>280</v>
      </c>
      <c r="C426" s="563" t="s">
        <v>4013</v>
      </c>
      <c r="D426" s="645">
        <v>109880</v>
      </c>
      <c r="E426" s="563" t="s">
        <v>995</v>
      </c>
      <c r="F426" s="647" t="s">
        <v>551</v>
      </c>
      <c r="G426" s="647" t="s">
        <v>24</v>
      </c>
      <c r="H426" s="647" t="s">
        <v>26</v>
      </c>
      <c r="I426" s="575" t="s">
        <v>996</v>
      </c>
      <c r="J426" s="575">
        <v>1</v>
      </c>
      <c r="K426" s="647" t="s">
        <v>388</v>
      </c>
      <c r="L426" s="657">
        <v>43992</v>
      </c>
      <c r="M426" s="576">
        <v>6.6600000000000006E-2</v>
      </c>
      <c r="N426" s="563" t="s">
        <v>903</v>
      </c>
      <c r="O426" s="647">
        <v>2020.05</v>
      </c>
      <c r="P426" s="566" t="str">
        <f>VLOOKUP(A426,'[1]Raw data'!$B:$BB,23,FALSE)</f>
        <v>RMB</v>
      </c>
      <c r="Q426" s="563" t="str">
        <f>VLOOKUP(A426,'[1]Raw data'!$B:$Z,2,FALSE)</f>
        <v>C28SZX20200026YY</v>
      </c>
      <c r="R426" s="563" t="str">
        <f>VLOOKUP(A426,'[1]Raw data'!$B:$Z,3,FALSE)</f>
        <v>海星</v>
      </c>
      <c r="S426" s="563" t="str">
        <f>VLOOKUP(A426,'[1]Raw data'!$B:$Z,4,FALSE)</f>
        <v>YCP10</v>
      </c>
      <c r="T426" s="563" t="str">
        <f>VLOOKUP(A426,'[1]Raw data'!$B:$Z,8,FALSE)</f>
        <v>L-&gt;R</v>
      </c>
      <c r="U426" s="563" t="str">
        <f>VLOOKUP(A426,'[1]Raw data'!$B:$Z,9,FALSE)</f>
        <v>No</v>
      </c>
      <c r="V426" s="567" t="str">
        <f t="shared" si="66"/>
        <v>OK</v>
      </c>
      <c r="W426" s="563" t="str">
        <f>VLOOKUP(A426,'[1]Raw data'!$B:$AG,32,FALSE)</f>
        <v>含税到厂</v>
      </c>
      <c r="X426" s="563">
        <f>VLOOKUP(A426,'[1]Raw data'!$B:$BA,31,FALSE)</f>
        <v>43938</v>
      </c>
      <c r="Y426" s="563" t="str">
        <f>VLOOKUP(A426,'[1]Raw data'!$B:$AS,39,FALSE)</f>
        <v>Yes</v>
      </c>
      <c r="Z426" s="659"/>
      <c r="AA426" s="660"/>
      <c r="AB426" s="661"/>
      <c r="AC426" s="647" t="s">
        <v>919</v>
      </c>
      <c r="AD426" s="662">
        <v>302</v>
      </c>
      <c r="AE426" s="662">
        <v>10</v>
      </c>
      <c r="AF426" s="662"/>
      <c r="AG426" s="662"/>
      <c r="AH426" s="662"/>
      <c r="AI426" s="663"/>
      <c r="AN426" s="542"/>
      <c r="AO426" s="824" t="str">
        <f t="shared" si="58"/>
        <v>Yes</v>
      </c>
      <c r="AP426" s="259" t="str">
        <f t="shared" si="59"/>
        <v>JUN 20</v>
      </c>
      <c r="AQ426" s="542" t="str">
        <f t="shared" si="60"/>
        <v>有定金+有預留客戶</v>
      </c>
      <c r="AR426" s="259" t="str">
        <f t="shared" si="61"/>
        <v>Shipped_Stock</v>
      </c>
      <c r="AS426" s="259" t="str">
        <f t="shared" si="62"/>
        <v/>
      </c>
      <c r="AT426" s="259" t="str">
        <f t="shared" si="63"/>
        <v>海星</v>
      </c>
      <c r="AU426" s="259" t="str">
        <f t="shared" si="64"/>
        <v>C28SZX20200026YY</v>
      </c>
      <c r="AV426" s="259" t="str">
        <f t="shared" si="65"/>
        <v>Jun-10</v>
      </c>
    </row>
    <row r="427" spans="1:48" ht="22.5" hidden="1">
      <c r="A427" s="559">
        <v>668</v>
      </c>
      <c r="B427" s="560" t="s">
        <v>280</v>
      </c>
      <c r="C427" s="560" t="s">
        <v>281</v>
      </c>
      <c r="D427" s="645" t="s">
        <v>997</v>
      </c>
      <c r="E427" s="563" t="s">
        <v>886</v>
      </c>
      <c r="F427" s="647" t="s">
        <v>17</v>
      </c>
      <c r="G427" s="647" t="s">
        <v>18</v>
      </c>
      <c r="H427" s="647" t="s">
        <v>26</v>
      </c>
      <c r="I427" s="575" t="s">
        <v>998</v>
      </c>
      <c r="J427" s="575">
        <v>1</v>
      </c>
      <c r="K427" s="647" t="s">
        <v>295</v>
      </c>
      <c r="L427" s="657">
        <v>44004</v>
      </c>
      <c r="M427" s="615" t="s">
        <v>999</v>
      </c>
      <c r="N427" s="563" t="s">
        <v>300</v>
      </c>
      <c r="O427" s="563">
        <v>2020.06</v>
      </c>
      <c r="P427" s="566" t="str">
        <f>VLOOKUP(A427,'[1]Raw data'!$B:$BB,23,FALSE)</f>
        <v>RMB</v>
      </c>
      <c r="Q427" s="563" t="str">
        <f>VLOOKUP(A427,'[1]Raw data'!$B:$Z,2,FALSE)</f>
        <v>C49SZX20200076JL</v>
      </c>
      <c r="R427" s="563" t="str">
        <f>VLOOKUP(A427,'[1]Raw data'!$B:$Z,3,FALSE)</f>
        <v>鑫东泰</v>
      </c>
      <c r="S427" s="563" t="str">
        <f>VLOOKUP(A427,'[1]Raw data'!$B:$Z,4,FALSE)</f>
        <v>YSM10</v>
      </c>
      <c r="T427" s="563" t="str">
        <f>VLOOKUP(A427,'[1]Raw data'!$B:$Z,8,FALSE)</f>
        <v>L-&gt;R</v>
      </c>
      <c r="U427" s="563" t="str">
        <f>VLOOKUP(A427,'[1]Raw data'!$B:$Z,9,FALSE)</f>
        <v>MVC</v>
      </c>
      <c r="V427" s="567" t="str">
        <f t="shared" si="66"/>
        <v>WRONG</v>
      </c>
      <c r="W427" s="563" t="str">
        <f>VLOOKUP(A427,'[1]Raw data'!$B:$AG,32,FALSE)</f>
        <v>含税到厂</v>
      </c>
      <c r="X427" s="563">
        <f>VLOOKUP(A427,'[1]Raw data'!$B:$BA,31,FALSE)</f>
        <v>44004</v>
      </c>
      <c r="Y427" s="563" t="str">
        <f>VLOOKUP(A427,'[1]Raw data'!$B:$AS,39,FALSE)</f>
        <v>Yes</v>
      </c>
      <c r="Z427" s="659"/>
      <c r="AA427" s="660"/>
      <c r="AB427" s="661"/>
      <c r="AC427" s="647" t="s">
        <v>1000</v>
      </c>
      <c r="AD427" s="662">
        <v>301</v>
      </c>
      <c r="AE427" s="662">
        <v>10</v>
      </c>
      <c r="AF427" s="662"/>
      <c r="AG427" s="662"/>
      <c r="AH427" s="662"/>
      <c r="AI427" s="663"/>
      <c r="AN427" s="542"/>
      <c r="AO427" s="824" t="str">
        <f t="shared" si="58"/>
        <v>Yes</v>
      </c>
      <c r="AP427" s="259" t="str">
        <f t="shared" si="59"/>
        <v>JUL 20</v>
      </c>
      <c r="AQ427" s="542" t="str">
        <f t="shared" si="60"/>
        <v>有定金+有預留客戶</v>
      </c>
      <c r="AR427" s="259" t="str">
        <f t="shared" si="61"/>
        <v>Shipped_Stock</v>
      </c>
      <c r="AS427" s="259" t="str">
        <f t="shared" si="62"/>
        <v/>
      </c>
      <c r="AT427" s="259" t="str">
        <f t="shared" si="63"/>
        <v>鑫东泰</v>
      </c>
      <c r="AU427" s="259" t="str">
        <f t="shared" si="64"/>
        <v>C49SZX20200076JL</v>
      </c>
      <c r="AV427" s="259" t="str">
        <f t="shared" si="65"/>
        <v>Jun-22</v>
      </c>
    </row>
    <row r="428" spans="1:48" ht="22.5" hidden="1">
      <c r="A428" s="559">
        <v>681</v>
      </c>
      <c r="B428" s="560" t="s">
        <v>280</v>
      </c>
      <c r="C428" s="560" t="s">
        <v>281</v>
      </c>
      <c r="D428" s="645" t="s">
        <v>997</v>
      </c>
      <c r="E428" s="563" t="s">
        <v>886</v>
      </c>
      <c r="F428" s="647" t="s">
        <v>17</v>
      </c>
      <c r="G428" s="647" t="s">
        <v>18</v>
      </c>
      <c r="H428" s="647" t="s">
        <v>26</v>
      </c>
      <c r="I428" s="575" t="s">
        <v>1001</v>
      </c>
      <c r="J428" s="575">
        <v>1</v>
      </c>
      <c r="K428" s="647" t="s">
        <v>295</v>
      </c>
      <c r="L428" s="657">
        <v>44004</v>
      </c>
      <c r="M428" s="615" t="s">
        <v>999</v>
      </c>
      <c r="N428" s="563" t="s">
        <v>300</v>
      </c>
      <c r="O428" s="563">
        <v>2020.06</v>
      </c>
      <c r="P428" s="566" t="str">
        <f>VLOOKUP(A428,'[1]Raw data'!$B:$BB,23,FALSE)</f>
        <v>RMB</v>
      </c>
      <c r="Q428" s="563" t="str">
        <f>VLOOKUP(A428,'[1]Raw data'!$B:$Z,2,FALSE)</f>
        <v>C49SZX20200083JL</v>
      </c>
      <c r="R428" s="563" t="str">
        <f>VLOOKUP(A428,'[1]Raw data'!$B:$Z,3,FALSE)</f>
        <v>铭华永兴</v>
      </c>
      <c r="S428" s="563" t="str">
        <f>VLOOKUP(A428,'[1]Raw data'!$B:$Z,4,FALSE)</f>
        <v>YSM10</v>
      </c>
      <c r="T428" s="563" t="str">
        <f>VLOOKUP(A428,'[1]Raw data'!$B:$Z,8,FALSE)</f>
        <v>L-&gt;R</v>
      </c>
      <c r="U428" s="563" t="str">
        <f>VLOOKUP(A428,'[1]Raw data'!$B:$Z,9,FALSE)</f>
        <v>MVC</v>
      </c>
      <c r="V428" s="567" t="str">
        <f t="shared" si="66"/>
        <v>WRONG</v>
      </c>
      <c r="W428" s="563" t="str">
        <f>VLOOKUP(A428,'[1]Raw data'!$B:$AG,32,FALSE)</f>
        <v>含税到厂</v>
      </c>
      <c r="X428" s="563">
        <f>VLOOKUP(A428,'[1]Raw data'!$B:$BA,31,FALSE)</f>
        <v>44006</v>
      </c>
      <c r="Y428" s="563" t="str">
        <f>VLOOKUP(A428,'[1]Raw data'!$B:$AS,39,FALSE)</f>
        <v>Yes</v>
      </c>
      <c r="Z428" s="659"/>
      <c r="AA428" s="660"/>
      <c r="AB428" s="661"/>
      <c r="AC428" s="647" t="s">
        <v>589</v>
      </c>
      <c r="AD428" s="662">
        <v>301</v>
      </c>
      <c r="AE428" s="662">
        <v>10</v>
      </c>
      <c r="AF428" s="662"/>
      <c r="AG428" s="662"/>
      <c r="AH428" s="662"/>
      <c r="AI428" s="663"/>
      <c r="AN428" s="542"/>
      <c r="AO428" s="824" t="str">
        <f t="shared" si="58"/>
        <v>Yes</v>
      </c>
      <c r="AP428" s="259" t="str">
        <f t="shared" si="59"/>
        <v>JUL 20</v>
      </c>
      <c r="AQ428" s="542" t="str">
        <f t="shared" si="60"/>
        <v>有定金+有預留客戶</v>
      </c>
      <c r="AR428" s="259" t="str">
        <f t="shared" si="61"/>
        <v>Shipped_Stock</v>
      </c>
      <c r="AS428" s="259" t="str">
        <f t="shared" si="62"/>
        <v/>
      </c>
      <c r="AT428" s="259" t="str">
        <f t="shared" si="63"/>
        <v>铭华永兴</v>
      </c>
      <c r="AU428" s="259" t="str">
        <f t="shared" si="64"/>
        <v>C49SZX20200083JL</v>
      </c>
      <c r="AV428" s="259" t="str">
        <f t="shared" si="65"/>
        <v>Jun-22</v>
      </c>
    </row>
    <row r="429" spans="1:48" ht="22.5" hidden="1">
      <c r="A429" s="559">
        <v>669</v>
      </c>
      <c r="B429" s="560" t="s">
        <v>280</v>
      </c>
      <c r="C429" s="560" t="s">
        <v>281</v>
      </c>
      <c r="D429" s="645" t="s">
        <v>997</v>
      </c>
      <c r="E429" s="563" t="s">
        <v>886</v>
      </c>
      <c r="F429" s="647" t="s">
        <v>241</v>
      </c>
      <c r="G429" s="647" t="s">
        <v>18</v>
      </c>
      <c r="H429" s="647" t="s">
        <v>26</v>
      </c>
      <c r="I429" s="575" t="s">
        <v>1002</v>
      </c>
      <c r="J429" s="575">
        <v>1</v>
      </c>
      <c r="K429" s="647" t="s">
        <v>295</v>
      </c>
      <c r="L429" s="657">
        <v>44004</v>
      </c>
      <c r="M429" s="615" t="s">
        <v>999</v>
      </c>
      <c r="N429" s="563" t="s">
        <v>300</v>
      </c>
      <c r="O429" s="563">
        <v>2020.06</v>
      </c>
      <c r="P429" s="566" t="str">
        <f>VLOOKUP(A429,'[1]Raw data'!$B:$BB,23,FALSE)</f>
        <v>RMB</v>
      </c>
      <c r="Q429" s="563" t="str">
        <f>VLOOKUP(A429,'[1]Raw data'!$B:$Z,2,FALSE)</f>
        <v>C49SZX20200076JL</v>
      </c>
      <c r="R429" s="563" t="str">
        <f>VLOOKUP(A429,'[1]Raw data'!$B:$Z,3,FALSE)</f>
        <v>鑫东泰</v>
      </c>
      <c r="S429" s="563" t="str">
        <f>VLOOKUP(A429,'[1]Raw data'!$B:$Z,4,FALSE)</f>
        <v>YSM10</v>
      </c>
      <c r="T429" s="563" t="str">
        <f>VLOOKUP(A429,'[1]Raw data'!$B:$Z,8,FALSE)</f>
        <v>L-&gt;R</v>
      </c>
      <c r="U429" s="563" t="str">
        <f>VLOOKUP(A429,'[1]Raw data'!$B:$Z,9,FALSE)</f>
        <v>MVC</v>
      </c>
      <c r="V429" s="567" t="str">
        <f t="shared" si="66"/>
        <v>WRONG</v>
      </c>
      <c r="W429" s="563" t="str">
        <f>VLOOKUP(A429,'[1]Raw data'!$B:$AG,32,FALSE)</f>
        <v>含税到厂</v>
      </c>
      <c r="X429" s="563">
        <f>VLOOKUP(A429,'[1]Raw data'!$B:$BA,31,FALSE)</f>
        <v>44004</v>
      </c>
      <c r="Y429" s="563" t="str">
        <f>VLOOKUP(A429,'[1]Raw data'!$B:$AS,39,FALSE)</f>
        <v>Yes</v>
      </c>
      <c r="Z429" s="659"/>
      <c r="AA429" s="660"/>
      <c r="AB429" s="661"/>
      <c r="AC429" s="647" t="s">
        <v>1000</v>
      </c>
      <c r="AD429" s="662">
        <v>301</v>
      </c>
      <c r="AE429" s="662">
        <v>10</v>
      </c>
      <c r="AF429" s="662"/>
      <c r="AG429" s="662"/>
      <c r="AH429" s="662"/>
      <c r="AI429" s="663"/>
      <c r="AN429" s="542"/>
      <c r="AO429" s="824" t="str">
        <f t="shared" si="58"/>
        <v>Yes</v>
      </c>
      <c r="AP429" s="259" t="str">
        <f t="shared" si="59"/>
        <v>JUL 20</v>
      </c>
      <c r="AQ429" s="542" t="str">
        <f t="shared" si="60"/>
        <v>有定金+有預留客戶</v>
      </c>
      <c r="AR429" s="259" t="str">
        <f t="shared" si="61"/>
        <v>Shipped_Stock</v>
      </c>
      <c r="AS429" s="259" t="str">
        <f t="shared" si="62"/>
        <v/>
      </c>
      <c r="AT429" s="259" t="str">
        <f t="shared" si="63"/>
        <v>鑫东泰</v>
      </c>
      <c r="AU429" s="259" t="str">
        <f t="shared" si="64"/>
        <v>C49SZX20200076JL</v>
      </c>
      <c r="AV429" s="259" t="str">
        <f t="shared" si="65"/>
        <v>Jun-22</v>
      </c>
    </row>
    <row r="430" spans="1:48" hidden="1">
      <c r="A430" s="559">
        <v>689</v>
      </c>
      <c r="B430" s="560" t="s">
        <v>280</v>
      </c>
      <c r="C430" s="560" t="s">
        <v>281</v>
      </c>
      <c r="D430" s="645" t="s">
        <v>997</v>
      </c>
      <c r="E430" s="563" t="s">
        <v>886</v>
      </c>
      <c r="F430" s="647" t="s">
        <v>17</v>
      </c>
      <c r="G430" s="647" t="s">
        <v>18</v>
      </c>
      <c r="H430" s="647" t="s">
        <v>26</v>
      </c>
      <c r="I430" s="575" t="s">
        <v>1003</v>
      </c>
      <c r="J430" s="575">
        <v>1</v>
      </c>
      <c r="K430" s="647" t="s">
        <v>311</v>
      </c>
      <c r="L430" s="657">
        <v>44004</v>
      </c>
      <c r="M430" s="576">
        <v>6.6500000000000004E-2</v>
      </c>
      <c r="N430" s="563" t="s">
        <v>300</v>
      </c>
      <c r="O430" s="563">
        <v>2020.06</v>
      </c>
      <c r="P430" s="566" t="str">
        <f>VLOOKUP(A430,'[1]Raw data'!$B:$BB,23,FALSE)</f>
        <v>JPY</v>
      </c>
      <c r="Q430" s="563" t="str">
        <f>VLOOKUP(A430,'[1]Raw data'!$B:$Z,2,FALSE)</f>
        <v>C49SZX20200090SS</v>
      </c>
      <c r="R430" s="563" t="str">
        <f>VLOOKUP(A430,'[1]Raw data'!$B:$Z,3,FALSE)</f>
        <v>乐上</v>
      </c>
      <c r="S430" s="563" t="str">
        <f>VLOOKUP(A430,'[1]Raw data'!$B:$Z,4,FALSE)</f>
        <v>YSM10</v>
      </c>
      <c r="T430" s="563" t="str">
        <f>VLOOKUP(A430,'[1]Raw data'!$B:$Z,8,FALSE)</f>
        <v>L-&gt;R</v>
      </c>
      <c r="U430" s="563" t="str">
        <f>VLOOKUP(A430,'[1]Raw data'!$B:$Z,9,FALSE)</f>
        <v>MVC</v>
      </c>
      <c r="V430" s="567" t="str">
        <f t="shared" si="66"/>
        <v>WRONG</v>
      </c>
      <c r="W430" s="563" t="str">
        <f>VLOOKUP(A430,'[1]Raw data'!$B:$AG,32,FALSE)</f>
        <v>DAP DG</v>
      </c>
      <c r="X430" s="563">
        <f>VLOOKUP(A430,'[1]Raw data'!$B:$BA,31,FALSE)</f>
        <v>44011</v>
      </c>
      <c r="Y430" s="563" t="str">
        <f>VLOOKUP(A430,'[1]Raw data'!$B:$AS,39,FALSE)</f>
        <v>Yes</v>
      </c>
      <c r="Z430" s="659"/>
      <c r="AA430" s="660"/>
      <c r="AB430" s="661"/>
      <c r="AC430" s="647" t="s">
        <v>768</v>
      </c>
      <c r="AD430" s="662">
        <v>301</v>
      </c>
      <c r="AE430" s="662">
        <v>10</v>
      </c>
      <c r="AF430" s="662"/>
      <c r="AG430" s="662"/>
      <c r="AH430" s="662"/>
      <c r="AI430" s="663"/>
      <c r="AN430" s="542"/>
      <c r="AO430" s="824" t="str">
        <f t="shared" si="58"/>
        <v>Yes</v>
      </c>
      <c r="AP430" s="259" t="str">
        <f t="shared" si="59"/>
        <v>JUL 20</v>
      </c>
      <c r="AQ430" s="542" t="str">
        <f t="shared" si="60"/>
        <v>有定金+有預留客戶</v>
      </c>
      <c r="AR430" s="259" t="str">
        <f t="shared" si="61"/>
        <v>Shipped_Stock</v>
      </c>
      <c r="AS430" s="259" t="str">
        <f t="shared" si="62"/>
        <v/>
      </c>
      <c r="AT430" s="259" t="str">
        <f t="shared" si="63"/>
        <v>乐上</v>
      </c>
      <c r="AU430" s="259" t="str">
        <f t="shared" si="64"/>
        <v>C49SZX20200090SS</v>
      </c>
      <c r="AV430" s="259" t="str">
        <f t="shared" si="65"/>
        <v>Jun-22</v>
      </c>
    </row>
    <row r="431" spans="1:48" hidden="1">
      <c r="A431" s="559">
        <v>683</v>
      </c>
      <c r="B431" s="560" t="s">
        <v>280</v>
      </c>
      <c r="C431" s="560" t="s">
        <v>281</v>
      </c>
      <c r="D431" s="645" t="s">
        <v>997</v>
      </c>
      <c r="E431" s="563" t="s">
        <v>886</v>
      </c>
      <c r="F431" s="647" t="s">
        <v>17</v>
      </c>
      <c r="G431" s="647" t="s">
        <v>18</v>
      </c>
      <c r="H431" s="647" t="s">
        <v>26</v>
      </c>
      <c r="I431" s="575" t="s">
        <v>1004</v>
      </c>
      <c r="J431" s="575">
        <v>1</v>
      </c>
      <c r="K431" s="647" t="s">
        <v>311</v>
      </c>
      <c r="L431" s="657">
        <v>44004</v>
      </c>
      <c r="M431" s="576">
        <v>6.6500000000000004E-2</v>
      </c>
      <c r="N431" s="563" t="s">
        <v>300</v>
      </c>
      <c r="O431" s="563">
        <v>2020.06</v>
      </c>
      <c r="P431" s="566" t="str">
        <f>VLOOKUP(A431,'[1]Raw data'!$B:$BB,23,FALSE)</f>
        <v>JPY</v>
      </c>
      <c r="Q431" s="563" t="str">
        <f>VLOOKUP(A431,'[1]Raw data'!$B:$Z,2,FALSE)</f>
        <v>C49SZX20200032DZ</v>
      </c>
      <c r="R431" s="563" t="str">
        <f>VLOOKUP(A431,'[1]Raw data'!$B:$Z,3,FALSE)</f>
        <v>朗特/end user:朗勤</v>
      </c>
      <c r="S431" s="563" t="str">
        <f>VLOOKUP(A431,'[1]Raw data'!$B:$Z,4,FALSE)</f>
        <v>YSM10</v>
      </c>
      <c r="T431" s="563" t="str">
        <f>VLOOKUP(A431,'[1]Raw data'!$B:$Z,8,FALSE)</f>
        <v>L-&gt;R</v>
      </c>
      <c r="U431" s="563" t="str">
        <f>VLOOKUP(A431,'[1]Raw data'!$B:$Z,9,FALSE)</f>
        <v>MVC</v>
      </c>
      <c r="V431" s="567" t="str">
        <f t="shared" si="66"/>
        <v>WRONG</v>
      </c>
      <c r="W431" s="563" t="str">
        <f>VLOOKUP(A431,'[1]Raw data'!$B:$AG,32,FALSE)</f>
        <v>CIF HK</v>
      </c>
      <c r="X431" s="563">
        <f>VLOOKUP(A431,'[1]Raw data'!$B:$BA,31,FALSE)</f>
        <v>44008</v>
      </c>
      <c r="Y431" s="563" t="str">
        <f>VLOOKUP(A431,'[1]Raw data'!$B:$AS,39,FALSE)</f>
        <v>Yes</v>
      </c>
      <c r="Z431" s="659"/>
      <c r="AA431" s="660"/>
      <c r="AB431" s="661"/>
      <c r="AC431" s="647" t="s">
        <v>1005</v>
      </c>
      <c r="AD431" s="662">
        <v>301</v>
      </c>
      <c r="AE431" s="662">
        <v>10</v>
      </c>
      <c r="AF431" s="662"/>
      <c r="AG431" s="662"/>
      <c r="AH431" s="662"/>
      <c r="AI431" s="663"/>
      <c r="AN431" s="542"/>
      <c r="AO431" s="824" t="str">
        <f t="shared" si="58"/>
        <v>Yes</v>
      </c>
      <c r="AP431" s="259" t="str">
        <f t="shared" si="59"/>
        <v>JUL 20</v>
      </c>
      <c r="AQ431" s="542" t="str">
        <f t="shared" si="60"/>
        <v>有定金+有預留客戶</v>
      </c>
      <c r="AR431" s="259" t="str">
        <f t="shared" si="61"/>
        <v>Shipped_Stock</v>
      </c>
      <c r="AS431" s="259" t="str">
        <f t="shared" si="62"/>
        <v/>
      </c>
      <c r="AT431" s="259" t="str">
        <f t="shared" si="63"/>
        <v>朗特/end user:朗勤</v>
      </c>
      <c r="AU431" s="259" t="str">
        <f t="shared" si="64"/>
        <v>C49SZX20200032DZ</v>
      </c>
      <c r="AV431" s="259" t="str">
        <f t="shared" si="65"/>
        <v>Jun-22</v>
      </c>
    </row>
    <row r="432" spans="1:48" ht="22.5" hidden="1">
      <c r="A432" s="559">
        <v>684</v>
      </c>
      <c r="B432" s="560" t="s">
        <v>280</v>
      </c>
      <c r="C432" s="560" t="s">
        <v>281</v>
      </c>
      <c r="D432" s="645">
        <v>109891</v>
      </c>
      <c r="E432" s="563" t="s">
        <v>886</v>
      </c>
      <c r="F432" s="647" t="s">
        <v>17</v>
      </c>
      <c r="G432" s="647" t="s">
        <v>18</v>
      </c>
      <c r="H432" s="647" t="s">
        <v>26</v>
      </c>
      <c r="I432" s="575" t="s">
        <v>1006</v>
      </c>
      <c r="J432" s="575">
        <v>1</v>
      </c>
      <c r="K432" s="647" t="s">
        <v>311</v>
      </c>
      <c r="L432" s="657">
        <v>44004</v>
      </c>
      <c r="M432" s="615" t="s">
        <v>1007</v>
      </c>
      <c r="N432" s="563" t="s">
        <v>300</v>
      </c>
      <c r="O432" s="563">
        <v>2020.06</v>
      </c>
      <c r="P432" s="566" t="str">
        <f>VLOOKUP(A432,'[1]Raw data'!$B:$BB,23,FALSE)</f>
        <v>JPY</v>
      </c>
      <c r="Q432" s="563" t="str">
        <f>VLOOKUP(A432,'[1]Raw data'!$B:$Z,2,FALSE)</f>
        <v>C49SZX20200032DZ</v>
      </c>
      <c r="R432" s="563" t="str">
        <f>VLOOKUP(A432,'[1]Raw data'!$B:$Z,3,FALSE)</f>
        <v>朗特/end user:朗勤</v>
      </c>
      <c r="S432" s="563" t="str">
        <f>VLOOKUP(A432,'[1]Raw data'!$B:$Z,4,FALSE)</f>
        <v>YSM10</v>
      </c>
      <c r="T432" s="563" t="str">
        <f>VLOOKUP(A432,'[1]Raw data'!$B:$Z,8,FALSE)</f>
        <v>L-&gt;R</v>
      </c>
      <c r="U432" s="563" t="str">
        <f>VLOOKUP(A432,'[1]Raw data'!$B:$Z,9,FALSE)</f>
        <v>MVC</v>
      </c>
      <c r="V432" s="567" t="str">
        <f t="shared" si="66"/>
        <v>WRONG</v>
      </c>
      <c r="W432" s="563" t="str">
        <f>VLOOKUP(A432,'[1]Raw data'!$B:$AG,32,FALSE)</f>
        <v>CIF HK</v>
      </c>
      <c r="X432" s="563">
        <f>VLOOKUP(A432,'[1]Raw data'!$B:$BA,31,FALSE)</f>
        <v>44008</v>
      </c>
      <c r="Y432" s="563" t="str">
        <f>VLOOKUP(A432,'[1]Raw data'!$B:$AS,39,FALSE)</f>
        <v>Yes</v>
      </c>
      <c r="Z432" s="659"/>
      <c r="AA432" s="660"/>
      <c r="AB432" s="661"/>
      <c r="AC432" s="647" t="s">
        <v>1005</v>
      </c>
      <c r="AD432" s="662">
        <v>301</v>
      </c>
      <c r="AE432" s="662">
        <v>10</v>
      </c>
      <c r="AF432" s="662"/>
      <c r="AG432" s="662"/>
      <c r="AH432" s="662"/>
      <c r="AI432" s="663"/>
      <c r="AN432" s="542"/>
      <c r="AO432" s="824" t="str">
        <f t="shared" si="58"/>
        <v>Yes</v>
      </c>
      <c r="AP432" s="259" t="str">
        <f t="shared" si="59"/>
        <v>JUL 20</v>
      </c>
      <c r="AQ432" s="542" t="str">
        <f t="shared" si="60"/>
        <v>有定金+有預留客戶</v>
      </c>
      <c r="AR432" s="259" t="str">
        <f t="shared" si="61"/>
        <v>Shipped_Stock</v>
      </c>
      <c r="AS432" s="259" t="str">
        <f t="shared" si="62"/>
        <v/>
      </c>
      <c r="AT432" s="259" t="str">
        <f t="shared" si="63"/>
        <v>朗特/end user:朗勤</v>
      </c>
      <c r="AU432" s="259" t="str">
        <f t="shared" si="64"/>
        <v>C49SZX20200032DZ</v>
      </c>
      <c r="AV432" s="259" t="str">
        <f t="shared" si="65"/>
        <v>Jun-22</v>
      </c>
    </row>
    <row r="433" spans="1:48" ht="22.5" hidden="1">
      <c r="A433" s="559">
        <v>685</v>
      </c>
      <c r="B433" s="560" t="s">
        <v>280</v>
      </c>
      <c r="C433" s="560" t="s">
        <v>281</v>
      </c>
      <c r="D433" s="645">
        <v>109891</v>
      </c>
      <c r="E433" s="563" t="s">
        <v>886</v>
      </c>
      <c r="F433" s="647" t="s">
        <v>17</v>
      </c>
      <c r="G433" s="647" t="s">
        <v>18</v>
      </c>
      <c r="H433" s="647" t="s">
        <v>26</v>
      </c>
      <c r="I433" s="575" t="s">
        <v>1008</v>
      </c>
      <c r="J433" s="575">
        <v>1</v>
      </c>
      <c r="K433" s="647" t="s">
        <v>311</v>
      </c>
      <c r="L433" s="657">
        <v>44004</v>
      </c>
      <c r="M433" s="615" t="s">
        <v>1007</v>
      </c>
      <c r="N433" s="563" t="s">
        <v>300</v>
      </c>
      <c r="O433" s="563">
        <v>2020.06</v>
      </c>
      <c r="P433" s="566" t="str">
        <f>VLOOKUP(A433,'[1]Raw data'!$B:$BB,23,FALSE)</f>
        <v>JPY</v>
      </c>
      <c r="Q433" s="563" t="str">
        <f>VLOOKUP(A433,'[1]Raw data'!$B:$Z,2,FALSE)</f>
        <v>C49SZX20200032DZ</v>
      </c>
      <c r="R433" s="563" t="str">
        <f>VLOOKUP(A433,'[1]Raw data'!$B:$Z,3,FALSE)</f>
        <v>朗特/end user:朗勤</v>
      </c>
      <c r="S433" s="563" t="str">
        <f>VLOOKUP(A433,'[1]Raw data'!$B:$Z,4,FALSE)</f>
        <v>YSM10</v>
      </c>
      <c r="T433" s="563" t="str">
        <f>VLOOKUP(A433,'[1]Raw data'!$B:$Z,8,FALSE)</f>
        <v>L-&gt;R</v>
      </c>
      <c r="U433" s="563" t="str">
        <f>VLOOKUP(A433,'[1]Raw data'!$B:$Z,9,FALSE)</f>
        <v>No</v>
      </c>
      <c r="V433" s="567" t="str">
        <f t="shared" si="66"/>
        <v>WRONG</v>
      </c>
      <c r="W433" s="563" t="str">
        <f>VLOOKUP(A433,'[1]Raw data'!$B:$AG,32,FALSE)</f>
        <v>CIF HK</v>
      </c>
      <c r="X433" s="563">
        <f>VLOOKUP(A433,'[1]Raw data'!$B:$BA,31,FALSE)</f>
        <v>44008</v>
      </c>
      <c r="Y433" s="563" t="str">
        <f>VLOOKUP(A433,'[1]Raw data'!$B:$AS,39,FALSE)</f>
        <v>Yes</v>
      </c>
      <c r="Z433" s="659"/>
      <c r="AA433" s="660"/>
      <c r="AB433" s="661"/>
      <c r="AC433" s="647" t="s">
        <v>1005</v>
      </c>
      <c r="AD433" s="662">
        <v>302</v>
      </c>
      <c r="AE433" s="662">
        <v>10</v>
      </c>
      <c r="AF433" s="662"/>
      <c r="AG433" s="662"/>
      <c r="AH433" s="662"/>
      <c r="AI433" s="663"/>
      <c r="AN433" s="542"/>
      <c r="AO433" s="824" t="str">
        <f t="shared" si="58"/>
        <v>Yes</v>
      </c>
      <c r="AP433" s="259" t="str">
        <f t="shared" si="59"/>
        <v>JUL 20</v>
      </c>
      <c r="AQ433" s="542" t="str">
        <f t="shared" si="60"/>
        <v>有定金+有預留客戶</v>
      </c>
      <c r="AR433" s="259" t="str">
        <f t="shared" si="61"/>
        <v>Shipped_Stock</v>
      </c>
      <c r="AS433" s="259" t="str">
        <f t="shared" si="62"/>
        <v/>
      </c>
      <c r="AT433" s="259" t="str">
        <f t="shared" si="63"/>
        <v>朗特/end user:朗勤</v>
      </c>
      <c r="AU433" s="259" t="str">
        <f t="shared" si="64"/>
        <v>C49SZX20200032DZ</v>
      </c>
      <c r="AV433" s="259" t="str">
        <f t="shared" si="65"/>
        <v>Jun-22</v>
      </c>
    </row>
    <row r="434" spans="1:48" ht="22.5" hidden="1">
      <c r="A434" s="559">
        <v>677</v>
      </c>
      <c r="B434" s="560" t="s">
        <v>280</v>
      </c>
      <c r="C434" s="560" t="s">
        <v>281</v>
      </c>
      <c r="D434" s="645">
        <v>109891</v>
      </c>
      <c r="E434" s="563" t="s">
        <v>886</v>
      </c>
      <c r="F434" s="647" t="s">
        <v>17</v>
      </c>
      <c r="G434" s="647" t="s">
        <v>18</v>
      </c>
      <c r="H434" s="647" t="s">
        <v>26</v>
      </c>
      <c r="I434" s="575" t="s">
        <v>1009</v>
      </c>
      <c r="J434" s="575">
        <v>1</v>
      </c>
      <c r="K434" s="647" t="s">
        <v>311</v>
      </c>
      <c r="L434" s="657">
        <v>44004</v>
      </c>
      <c r="M434" s="615" t="s">
        <v>1007</v>
      </c>
      <c r="N434" s="563" t="s">
        <v>300</v>
      </c>
      <c r="O434" s="563">
        <v>2020.06</v>
      </c>
      <c r="P434" s="566" t="str">
        <f>VLOOKUP(A434,'[1]Raw data'!$B:$BB,23,FALSE)</f>
        <v>JPY</v>
      </c>
      <c r="Q434" s="563" t="str">
        <f>VLOOKUP(A434,'[1]Raw data'!$B:$Z,2,FALSE)</f>
        <v>C49SZX20200081DZ</v>
      </c>
      <c r="R434" s="563" t="str">
        <f>VLOOKUP(A434,'[1]Raw data'!$B:$Z,3,FALSE)</f>
        <v>朗特</v>
      </c>
      <c r="S434" s="563" t="str">
        <f>VLOOKUP(A434,'[1]Raw data'!$B:$Z,4,FALSE)</f>
        <v>YSM10</v>
      </c>
      <c r="T434" s="563" t="str">
        <f>VLOOKUP(A434,'[1]Raw data'!$B:$Z,8,FALSE)</f>
        <v>L-&gt;R</v>
      </c>
      <c r="U434" s="563" t="str">
        <f>VLOOKUP(A434,'[1]Raw data'!$B:$Z,9,FALSE)</f>
        <v>MVC</v>
      </c>
      <c r="V434" s="567" t="str">
        <f t="shared" si="66"/>
        <v>WRONG</v>
      </c>
      <c r="W434" s="563" t="str">
        <f>VLOOKUP(A434,'[1]Raw data'!$B:$AG,32,FALSE)</f>
        <v>CIF HK</v>
      </c>
      <c r="X434" s="563">
        <f>VLOOKUP(A434,'[1]Raw data'!$B:$BA,31,FALSE)</f>
        <v>44006</v>
      </c>
      <c r="Y434" s="563" t="str">
        <f>VLOOKUP(A434,'[1]Raw data'!$B:$AS,39,FALSE)</f>
        <v>Yes</v>
      </c>
      <c r="Z434" s="659"/>
      <c r="AA434" s="660"/>
      <c r="AB434" s="661"/>
      <c r="AC434" s="647" t="s">
        <v>933</v>
      </c>
      <c r="AD434" s="662">
        <v>302</v>
      </c>
      <c r="AE434" s="662">
        <v>10</v>
      </c>
      <c r="AF434" s="662"/>
      <c r="AG434" s="662"/>
      <c r="AH434" s="662"/>
      <c r="AI434" s="663"/>
      <c r="AN434" s="542"/>
      <c r="AO434" s="824" t="str">
        <f t="shared" si="58"/>
        <v>Yes</v>
      </c>
      <c r="AP434" s="259" t="str">
        <f t="shared" si="59"/>
        <v>JUL 20</v>
      </c>
      <c r="AQ434" s="542" t="str">
        <f t="shared" si="60"/>
        <v>有定金+有預留客戶</v>
      </c>
      <c r="AR434" s="259" t="str">
        <f t="shared" si="61"/>
        <v>Shipped_Stock</v>
      </c>
      <c r="AS434" s="259" t="str">
        <f t="shared" si="62"/>
        <v/>
      </c>
      <c r="AT434" s="259" t="str">
        <f t="shared" si="63"/>
        <v>朗特</v>
      </c>
      <c r="AU434" s="259" t="str">
        <f t="shared" si="64"/>
        <v>C49SZX20200081DZ</v>
      </c>
      <c r="AV434" s="259" t="str">
        <f t="shared" si="65"/>
        <v>Jun-22</v>
      </c>
    </row>
    <row r="435" spans="1:48" hidden="1">
      <c r="A435" s="559">
        <v>680</v>
      </c>
      <c r="B435" s="560" t="s">
        <v>927</v>
      </c>
      <c r="C435" s="560" t="s">
        <v>281</v>
      </c>
      <c r="D435" s="645">
        <v>109891</v>
      </c>
      <c r="E435" s="563" t="s">
        <v>886</v>
      </c>
      <c r="F435" s="647" t="s">
        <v>17</v>
      </c>
      <c r="G435" s="647" t="s">
        <v>18</v>
      </c>
      <c r="H435" s="647" t="s">
        <v>26</v>
      </c>
      <c r="I435" s="575" t="s">
        <v>1010</v>
      </c>
      <c r="J435" s="575">
        <v>1</v>
      </c>
      <c r="K435" s="647" t="s">
        <v>295</v>
      </c>
      <c r="L435" s="657">
        <v>44004</v>
      </c>
      <c r="M435" s="576">
        <v>6.6100000000000006E-2</v>
      </c>
      <c r="N435" s="563" t="s">
        <v>300</v>
      </c>
      <c r="O435" s="563">
        <v>2020.06</v>
      </c>
      <c r="P435" s="566" t="str">
        <f>VLOOKUP(A435,'[1]Raw data'!$B:$BB,23,FALSE)</f>
        <v>RMB</v>
      </c>
      <c r="Q435" s="563" t="str">
        <f>VLOOKUP(A435,'[1]Raw data'!$B:$Z,2,FALSE)</f>
        <v>C49SZX20200085JL</v>
      </c>
      <c r="R435" s="563" t="str">
        <f>VLOOKUP(A435,'[1]Raw data'!$B:$Z,3,FALSE)</f>
        <v>达人高科</v>
      </c>
      <c r="S435" s="563" t="str">
        <f>VLOOKUP(A435,'[1]Raw data'!$B:$Z,4,FALSE)</f>
        <v>YSM10</v>
      </c>
      <c r="T435" s="563" t="str">
        <f>VLOOKUP(A435,'[1]Raw data'!$B:$Z,8,FALSE)</f>
        <v>L-&gt;R</v>
      </c>
      <c r="U435" s="563" t="str">
        <f>VLOOKUP(A435,'[1]Raw data'!$B:$Z,9,FALSE)</f>
        <v>MVC</v>
      </c>
      <c r="V435" s="567" t="str">
        <f t="shared" si="66"/>
        <v>WRONG</v>
      </c>
      <c r="W435" s="563" t="str">
        <f>VLOOKUP(A435,'[1]Raw data'!$B:$AG,32,FALSE)</f>
        <v>含税到厂</v>
      </c>
      <c r="X435" s="563">
        <f>VLOOKUP(A435,'[1]Raw data'!$B:$BA,31,FALSE)</f>
        <v>44006</v>
      </c>
      <c r="Y435" s="563" t="str">
        <f>VLOOKUP(A435,'[1]Raw data'!$B:$AS,39,FALSE)</f>
        <v>Yes</v>
      </c>
      <c r="Z435" s="659"/>
      <c r="AA435" s="660"/>
      <c r="AB435" s="661"/>
      <c r="AC435" s="647" t="s">
        <v>1011</v>
      </c>
      <c r="AD435" s="662">
        <v>302</v>
      </c>
      <c r="AE435" s="662">
        <v>10</v>
      </c>
      <c r="AF435" s="662"/>
      <c r="AG435" s="662"/>
      <c r="AH435" s="662"/>
      <c r="AI435" s="663"/>
      <c r="AN435" s="542"/>
      <c r="AO435" s="824" t="str">
        <f t="shared" si="58"/>
        <v>Yes</v>
      </c>
      <c r="AP435" s="259" t="str">
        <f t="shared" si="59"/>
        <v>JUL 20</v>
      </c>
      <c r="AQ435" s="542" t="str">
        <f t="shared" si="60"/>
        <v>有定金+有預留客戶</v>
      </c>
      <c r="AR435" s="259" t="str">
        <f t="shared" si="61"/>
        <v>Shipped_Stock</v>
      </c>
      <c r="AS435" s="259" t="str">
        <f t="shared" si="62"/>
        <v/>
      </c>
      <c r="AT435" s="259" t="str">
        <f t="shared" si="63"/>
        <v>达人高科</v>
      </c>
      <c r="AU435" s="259" t="str">
        <f t="shared" si="64"/>
        <v>C49SZX20200085JL</v>
      </c>
      <c r="AV435" s="259" t="str">
        <f t="shared" si="65"/>
        <v>Jun-22</v>
      </c>
    </row>
    <row r="436" spans="1:48" hidden="1">
      <c r="A436" s="559">
        <v>665</v>
      </c>
      <c r="B436" s="560" t="s">
        <v>280</v>
      </c>
      <c r="C436" s="560" t="s">
        <v>281</v>
      </c>
      <c r="D436" s="645">
        <v>109891</v>
      </c>
      <c r="E436" s="563" t="s">
        <v>886</v>
      </c>
      <c r="F436" s="647" t="s">
        <v>17</v>
      </c>
      <c r="G436" s="647" t="s">
        <v>1012</v>
      </c>
      <c r="H436" s="647" t="s">
        <v>26</v>
      </c>
      <c r="I436" s="575" t="s">
        <v>1013</v>
      </c>
      <c r="J436" s="575">
        <v>1</v>
      </c>
      <c r="K436" s="647" t="s">
        <v>295</v>
      </c>
      <c r="L436" s="657">
        <v>44004</v>
      </c>
      <c r="M436" s="576">
        <v>6.6100000000000006E-2</v>
      </c>
      <c r="N436" s="563" t="s">
        <v>300</v>
      </c>
      <c r="O436" s="563">
        <v>2020.06</v>
      </c>
      <c r="P436" s="566" t="str">
        <f>VLOOKUP(A436,'[1]Raw data'!$B:$BB,23,FALSE)</f>
        <v>RMB</v>
      </c>
      <c r="Q436" s="563" t="str">
        <f>VLOOKUP(A436,'[1]Raw data'!$B:$Z,2,FALSE)</f>
        <v>C49SZX20200063SS</v>
      </c>
      <c r="R436" s="563" t="str">
        <f>VLOOKUP(A436,'[1]Raw data'!$B:$Z,3,FALSE)</f>
        <v>中润互联</v>
      </c>
      <c r="S436" s="563" t="str">
        <f>VLOOKUP(A436,'[1]Raw data'!$B:$Z,4,FALSE)</f>
        <v>YSM10</v>
      </c>
      <c r="T436" s="563" t="str">
        <f>VLOOKUP(A436,'[1]Raw data'!$B:$Z,8,FALSE)</f>
        <v>L-&gt;R</v>
      </c>
      <c r="U436" s="563" t="str">
        <f>VLOOKUP(A436,'[1]Raw data'!$B:$Z,9,FALSE)</f>
        <v>MVC</v>
      </c>
      <c r="V436" s="567" t="str">
        <f t="shared" si="66"/>
        <v>WRONG</v>
      </c>
      <c r="W436" s="563" t="str">
        <f>VLOOKUP(A436,'[1]Raw data'!$B:$AG,32,FALSE)</f>
        <v>含税到厂</v>
      </c>
      <c r="X436" s="563">
        <f>VLOOKUP(A436,'[1]Raw data'!$B:$BA,31,FALSE)</f>
        <v>44001</v>
      </c>
      <c r="Y436" s="563" t="str">
        <f>VLOOKUP(A436,'[1]Raw data'!$B:$AS,39,FALSE)</f>
        <v>Yes</v>
      </c>
      <c r="Z436" s="659"/>
      <c r="AA436" s="660"/>
      <c r="AB436" s="661"/>
      <c r="AC436" s="563" t="s">
        <v>936</v>
      </c>
      <c r="AD436" s="662">
        <v>302</v>
      </c>
      <c r="AE436" s="662">
        <v>10</v>
      </c>
      <c r="AF436" s="662"/>
      <c r="AG436" s="662"/>
      <c r="AH436" s="662"/>
      <c r="AI436" s="663"/>
      <c r="AN436" s="542"/>
      <c r="AO436" s="824" t="str">
        <f t="shared" si="58"/>
        <v>Yes</v>
      </c>
      <c r="AP436" s="259" t="str">
        <f t="shared" si="59"/>
        <v>JUL 20</v>
      </c>
      <c r="AQ436" s="542" t="str">
        <f t="shared" si="60"/>
        <v>有定金+有預留客戶</v>
      </c>
      <c r="AR436" s="259" t="str">
        <f t="shared" si="61"/>
        <v>Shipped_Stock</v>
      </c>
      <c r="AS436" s="259" t="str">
        <f t="shared" si="62"/>
        <v/>
      </c>
      <c r="AT436" s="259" t="str">
        <f t="shared" si="63"/>
        <v>中润互联</v>
      </c>
      <c r="AU436" s="259" t="str">
        <f t="shared" si="64"/>
        <v>C49SZX20200063SS</v>
      </c>
      <c r="AV436" s="259" t="str">
        <f t="shared" si="65"/>
        <v>Jun-22</v>
      </c>
    </row>
    <row r="437" spans="1:48" ht="15" hidden="1" customHeight="1">
      <c r="A437" s="559">
        <v>666</v>
      </c>
      <c r="B437" s="664" t="s">
        <v>280</v>
      </c>
      <c r="C437" s="560" t="s">
        <v>281</v>
      </c>
      <c r="D437" s="599">
        <v>109886</v>
      </c>
      <c r="E437" s="563" t="s">
        <v>886</v>
      </c>
      <c r="F437" s="563" t="s">
        <v>256</v>
      </c>
      <c r="G437" s="563" t="s">
        <v>24</v>
      </c>
      <c r="H437" s="563" t="s">
        <v>307</v>
      </c>
      <c r="I437" s="564" t="s">
        <v>1014</v>
      </c>
      <c r="J437" s="575">
        <v>1</v>
      </c>
      <c r="K437" s="647" t="s">
        <v>820</v>
      </c>
      <c r="L437" s="657">
        <v>44006</v>
      </c>
      <c r="M437" s="576">
        <v>6.6500000000000004E-2</v>
      </c>
      <c r="N437" s="563" t="s">
        <v>300</v>
      </c>
      <c r="O437" s="564">
        <v>2020.06</v>
      </c>
      <c r="P437" s="566" t="str">
        <f>VLOOKUP(A437,'[1]Raw data'!$B:$BB,23,FALSE)</f>
        <v>JPY</v>
      </c>
      <c r="Q437" s="563" t="str">
        <f>VLOOKUP(A437,'[1]Raw data'!$B:$Z,2,FALSE)</f>
        <v>C49SZX20200069JY</v>
      </c>
      <c r="R437" s="563" t="str">
        <f>VLOOKUP(A437,'[1]Raw data'!$B:$Z,3,FALSE)</f>
        <v>百纳海</v>
      </c>
      <c r="S437" s="563" t="str">
        <f>VLOOKUP(A437,'[1]Raw data'!$B:$Z,4,FALSE)</f>
        <v>YSM20R(SV)-2</v>
      </c>
      <c r="T437" s="563" t="str">
        <f>VLOOKUP(A437,'[1]Raw data'!$B:$Z,8,FALSE)</f>
        <v>L-&gt;R</v>
      </c>
      <c r="U437" s="563" t="str">
        <f>VLOOKUP(A437,'[1]Raw data'!$B:$Z,9,FALSE)</f>
        <v>No</v>
      </c>
      <c r="V437" s="567" t="str">
        <f t="shared" si="66"/>
        <v>OK</v>
      </c>
      <c r="W437" s="563" t="str">
        <f>VLOOKUP(A437,'[1]Raw data'!$B:$AG,32,FALSE)</f>
        <v>DAP SZ</v>
      </c>
      <c r="X437" s="563">
        <f>VLOOKUP(A437,'[1]Raw data'!$B:$BA,31,FALSE)</f>
        <v>44001</v>
      </c>
      <c r="Y437" s="563" t="str">
        <f>VLOOKUP(A437,'[1]Raw data'!$B:$AS,39,FALSE)</f>
        <v>Yes</v>
      </c>
      <c r="AC437" s="563" t="s">
        <v>1015</v>
      </c>
      <c r="AD437" s="571">
        <v>312</v>
      </c>
      <c r="AE437" s="571">
        <v>10</v>
      </c>
      <c r="AF437" s="571">
        <v>303</v>
      </c>
      <c r="AG437" s="571">
        <v>10</v>
      </c>
      <c r="AN437" s="542"/>
      <c r="AO437" s="824" t="str">
        <f t="shared" si="58"/>
        <v>Yes</v>
      </c>
      <c r="AP437" s="259" t="str">
        <f t="shared" si="59"/>
        <v>JUL 20</v>
      </c>
      <c r="AQ437" s="542" t="str">
        <f t="shared" si="60"/>
        <v>有定金+有預留客戶</v>
      </c>
      <c r="AR437" s="259" t="str">
        <f t="shared" si="61"/>
        <v>Shipped_Stock</v>
      </c>
      <c r="AS437" s="259" t="str">
        <f t="shared" si="62"/>
        <v/>
      </c>
      <c r="AT437" s="259" t="str">
        <f t="shared" si="63"/>
        <v>百纳海</v>
      </c>
      <c r="AU437" s="259" t="str">
        <f t="shared" si="64"/>
        <v>C49SZX20200069JY</v>
      </c>
      <c r="AV437" s="259" t="str">
        <f t="shared" si="65"/>
        <v>Jun-24</v>
      </c>
    </row>
    <row r="438" spans="1:48" ht="23.25" hidden="1" customHeight="1">
      <c r="A438" s="559">
        <v>690</v>
      </c>
      <c r="B438" s="560" t="s">
        <v>280</v>
      </c>
      <c r="C438" s="560" t="s">
        <v>281</v>
      </c>
      <c r="D438" s="599">
        <v>109886</v>
      </c>
      <c r="E438" s="563" t="s">
        <v>886</v>
      </c>
      <c r="F438" s="563" t="s">
        <v>256</v>
      </c>
      <c r="G438" s="563" t="s">
        <v>24</v>
      </c>
      <c r="H438" s="563" t="s">
        <v>307</v>
      </c>
      <c r="I438" s="564" t="s">
        <v>1016</v>
      </c>
      <c r="J438" s="575">
        <v>1</v>
      </c>
      <c r="K438" s="647" t="s">
        <v>959</v>
      </c>
      <c r="L438" s="657">
        <v>44006</v>
      </c>
      <c r="M438" s="615" t="s">
        <v>1017</v>
      </c>
      <c r="N438" s="563" t="s">
        <v>300</v>
      </c>
      <c r="O438" s="564">
        <v>2020.06</v>
      </c>
      <c r="P438" s="566" t="str">
        <f>VLOOKUP(A438,'[1]Raw data'!$B:$BB,23,FALSE)</f>
        <v>RMB</v>
      </c>
      <c r="Q438" s="563" t="str">
        <f>VLOOKUP(A438,'[1]Raw data'!$B:$Z,2,FALSE)</f>
        <v>C49SZX20200087DZ</v>
      </c>
      <c r="R438" s="563" t="str">
        <f>VLOOKUP(A438,'[1]Raw data'!$B:$Z,3,FALSE)</f>
        <v>海星</v>
      </c>
      <c r="S438" s="563" t="str">
        <f>VLOOKUP(A438,'[1]Raw data'!$B:$Z,4,FALSE)</f>
        <v>YSM20R(SV)-2</v>
      </c>
      <c r="T438" s="563" t="str">
        <f>VLOOKUP(A438,'[1]Raw data'!$B:$Z,8,FALSE)</f>
        <v>L-&gt;R</v>
      </c>
      <c r="U438" s="563" t="str">
        <f>VLOOKUP(A438,'[1]Raw data'!$B:$Z,9,FALSE)</f>
        <v>MVC</v>
      </c>
      <c r="V438" s="567" t="str">
        <f t="shared" si="66"/>
        <v>WRONG</v>
      </c>
      <c r="W438" s="563" t="str">
        <f>VLOOKUP(A438,'[1]Raw data'!$B:$AG,32,FALSE)</f>
        <v>含税到厂</v>
      </c>
      <c r="X438" s="563">
        <f>VLOOKUP(A438,'[1]Raw data'!$B:$BA,31,FALSE)</f>
        <v>44011</v>
      </c>
      <c r="Y438" s="563" t="str">
        <f>VLOOKUP(A438,'[1]Raw data'!$B:$AS,39,FALSE)</f>
        <v>Yes</v>
      </c>
      <c r="AC438" s="563" t="s">
        <v>919</v>
      </c>
      <c r="AD438" s="571">
        <v>313</v>
      </c>
      <c r="AE438" s="571">
        <v>10</v>
      </c>
      <c r="AF438" s="571">
        <v>312</v>
      </c>
      <c r="AG438" s="571">
        <v>10</v>
      </c>
      <c r="AN438" s="542"/>
      <c r="AO438" s="824" t="str">
        <f t="shared" si="58"/>
        <v>Yes</v>
      </c>
      <c r="AP438" s="259" t="str">
        <f t="shared" si="59"/>
        <v>JUL 20</v>
      </c>
      <c r="AQ438" s="542" t="str">
        <f t="shared" si="60"/>
        <v>有定金+有預留客戶</v>
      </c>
      <c r="AR438" s="259" t="str">
        <f t="shared" si="61"/>
        <v>Shipped_Stock</v>
      </c>
      <c r="AS438" s="259" t="str">
        <f t="shared" si="62"/>
        <v/>
      </c>
      <c r="AT438" s="259" t="str">
        <f t="shared" si="63"/>
        <v>海星</v>
      </c>
      <c r="AU438" s="259" t="str">
        <f t="shared" si="64"/>
        <v>C49SZX20200087DZ</v>
      </c>
      <c r="AV438" s="259" t="str">
        <f t="shared" si="65"/>
        <v>Jun-24</v>
      </c>
    </row>
    <row r="439" spans="1:48" ht="15" hidden="1" customHeight="1">
      <c r="A439" s="559">
        <v>721</v>
      </c>
      <c r="B439" s="560" t="s">
        <v>280</v>
      </c>
      <c r="C439" s="560" t="s">
        <v>281</v>
      </c>
      <c r="D439" s="599">
        <v>109886</v>
      </c>
      <c r="E439" s="563" t="s">
        <v>886</v>
      </c>
      <c r="F439" s="563" t="s">
        <v>256</v>
      </c>
      <c r="G439" s="563" t="s">
        <v>24</v>
      </c>
      <c r="H439" s="563" t="s">
        <v>26</v>
      </c>
      <c r="I439" s="564" t="s">
        <v>1018</v>
      </c>
      <c r="J439" s="575">
        <v>1</v>
      </c>
      <c r="K439" s="647" t="s">
        <v>437</v>
      </c>
      <c r="L439" s="657">
        <v>44006</v>
      </c>
      <c r="M439" s="576">
        <v>6.6500000000000004E-2</v>
      </c>
      <c r="N439" s="563" t="s">
        <v>300</v>
      </c>
      <c r="O439" s="564">
        <v>2020.06</v>
      </c>
      <c r="P439" s="566" t="str">
        <f>VLOOKUP(A439,'[1]Raw data'!$B:$BB,23,FALSE)</f>
        <v>JPY</v>
      </c>
      <c r="Q439" s="563" t="str">
        <f>VLOOKUP(A439,'[1]Raw data'!$B:$Z,2,FALSE)</f>
        <v>C49SZX20200101MZ</v>
      </c>
      <c r="R439" s="563" t="str">
        <f>VLOOKUP(A439,'[1]Raw data'!$B:$Z,3,FALSE)</f>
        <v>崧盛</v>
      </c>
      <c r="S439" s="563" t="str">
        <f>VLOOKUP(A439,'[1]Raw data'!$B:$Z,4,FALSE)</f>
        <v>YSM20R(SV)-2</v>
      </c>
      <c r="T439" s="563" t="str">
        <f>VLOOKUP(A439,'[1]Raw data'!$B:$Z,8,FALSE)</f>
        <v>L-&gt;R</v>
      </c>
      <c r="U439" s="563" t="str">
        <f>VLOOKUP(A439,'[1]Raw data'!$B:$Z,9,FALSE)</f>
        <v>No</v>
      </c>
      <c r="V439" s="567" t="str">
        <f t="shared" si="66"/>
        <v>OK</v>
      </c>
      <c r="W439" s="563" t="str">
        <f>VLOOKUP(A439,'[1]Raw data'!$B:$AG,32,FALSE)</f>
        <v>CIF HK</v>
      </c>
      <c r="X439" s="563">
        <f>VLOOKUP(A439,'[1]Raw data'!$B:$BA,31,FALSE)</f>
        <v>44028</v>
      </c>
      <c r="Y439" s="563" t="str">
        <f>VLOOKUP(A439,'[1]Raw data'!$B:$AS,39,FALSE)</f>
        <v>Yes</v>
      </c>
      <c r="AC439" s="563" t="s">
        <v>637</v>
      </c>
      <c r="AD439" s="571">
        <v>301</v>
      </c>
      <c r="AE439" s="571">
        <v>20</v>
      </c>
      <c r="AN439" s="542"/>
      <c r="AO439" s="824" t="str">
        <f t="shared" si="58"/>
        <v>Yes</v>
      </c>
      <c r="AP439" s="259" t="str">
        <f t="shared" si="59"/>
        <v>JUL 20</v>
      </c>
      <c r="AQ439" s="542" t="str">
        <f t="shared" si="60"/>
        <v>有定金+有預留客戶</v>
      </c>
      <c r="AR439" s="259" t="str">
        <f t="shared" si="61"/>
        <v>Shipped_Stock</v>
      </c>
      <c r="AS439" s="259" t="str">
        <f t="shared" si="62"/>
        <v/>
      </c>
      <c r="AT439" s="259" t="str">
        <f t="shared" si="63"/>
        <v>崧盛</v>
      </c>
      <c r="AU439" s="259" t="str">
        <f t="shared" si="64"/>
        <v>C49SZX20200101MZ</v>
      </c>
      <c r="AV439" s="259" t="str">
        <f t="shared" si="65"/>
        <v>Jun-24</v>
      </c>
    </row>
    <row r="440" spans="1:48" hidden="1">
      <c r="A440" s="559">
        <v>667</v>
      </c>
      <c r="B440" s="560" t="s">
        <v>280</v>
      </c>
      <c r="C440" s="560" t="s">
        <v>281</v>
      </c>
      <c r="D440" s="599">
        <v>109886</v>
      </c>
      <c r="E440" s="563" t="s">
        <v>886</v>
      </c>
      <c r="F440" s="563" t="s">
        <v>256</v>
      </c>
      <c r="G440" s="563" t="s">
        <v>24</v>
      </c>
      <c r="H440" s="563" t="s">
        <v>26</v>
      </c>
      <c r="I440" s="564" t="s">
        <v>1019</v>
      </c>
      <c r="J440" s="575">
        <v>1</v>
      </c>
      <c r="K440" s="647" t="s">
        <v>295</v>
      </c>
      <c r="L440" s="657">
        <v>44006</v>
      </c>
      <c r="M440" s="576">
        <v>6.6500000000000004E-2</v>
      </c>
      <c r="N440" s="563" t="s">
        <v>300</v>
      </c>
      <c r="O440" s="564">
        <v>2020.06</v>
      </c>
      <c r="P440" s="566" t="str">
        <f>VLOOKUP(A440,'[1]Raw data'!$B:$BB,23,FALSE)</f>
        <v>RMB</v>
      </c>
      <c r="Q440" s="563" t="str">
        <f>VLOOKUP(A440,'[1]Raw data'!$B:$Z,2,FALSE)</f>
        <v>C49SZX20200076JL</v>
      </c>
      <c r="R440" s="563" t="str">
        <f>VLOOKUP(A440,'[1]Raw data'!$B:$Z,3,FALSE)</f>
        <v>鑫东泰</v>
      </c>
      <c r="S440" s="563" t="str">
        <f>VLOOKUP(A440,'[1]Raw data'!$B:$Z,4,FALSE)</f>
        <v>YSM20R(SV)-2</v>
      </c>
      <c r="T440" s="563" t="str">
        <f>VLOOKUP(A440,'[1]Raw data'!$B:$Z,8,FALSE)</f>
        <v>L-&gt;R</v>
      </c>
      <c r="U440" s="563" t="str">
        <f>VLOOKUP(A440,'[1]Raw data'!$B:$Z,9,FALSE)</f>
        <v>No</v>
      </c>
      <c r="V440" s="567" t="str">
        <f t="shared" si="66"/>
        <v>OK</v>
      </c>
      <c r="W440" s="563" t="str">
        <f>VLOOKUP(A440,'[1]Raw data'!$B:$AG,32,FALSE)</f>
        <v>含税到厂</v>
      </c>
      <c r="X440" s="563">
        <f>VLOOKUP(A440,'[1]Raw data'!$B:$BA,31,FALSE)</f>
        <v>44004</v>
      </c>
      <c r="Y440" s="563" t="str">
        <f>VLOOKUP(A440,'[1]Raw data'!$B:$AS,39,FALSE)</f>
        <v>Yes</v>
      </c>
      <c r="AC440" s="563" t="s">
        <v>1000</v>
      </c>
      <c r="AD440" s="571">
        <v>312</v>
      </c>
      <c r="AE440" s="571">
        <v>10</v>
      </c>
      <c r="AF440" s="571">
        <v>304</v>
      </c>
      <c r="AG440" s="571">
        <v>10</v>
      </c>
      <c r="AN440" s="542"/>
      <c r="AO440" s="824" t="str">
        <f t="shared" si="58"/>
        <v>Yes</v>
      </c>
      <c r="AP440" s="259" t="str">
        <f t="shared" si="59"/>
        <v>JUL 20</v>
      </c>
      <c r="AQ440" s="542" t="str">
        <f t="shared" si="60"/>
        <v>有定金+有預留客戶</v>
      </c>
      <c r="AR440" s="259" t="str">
        <f t="shared" si="61"/>
        <v>Shipped_Stock</v>
      </c>
      <c r="AS440" s="259" t="str">
        <f t="shared" si="62"/>
        <v/>
      </c>
      <c r="AT440" s="259" t="str">
        <f t="shared" si="63"/>
        <v>鑫东泰</v>
      </c>
      <c r="AU440" s="259" t="str">
        <f t="shared" si="64"/>
        <v>C49SZX20200076JL</v>
      </c>
      <c r="AV440" s="259" t="str">
        <f t="shared" si="65"/>
        <v>Jun-24</v>
      </c>
    </row>
    <row r="441" spans="1:48" hidden="1">
      <c r="A441" s="559">
        <v>703</v>
      </c>
      <c r="B441" s="560" t="s">
        <v>280</v>
      </c>
      <c r="C441" s="560" t="s">
        <v>281</v>
      </c>
      <c r="D441" s="599">
        <v>109886</v>
      </c>
      <c r="E441" s="563" t="s">
        <v>886</v>
      </c>
      <c r="F441" s="563" t="s">
        <v>256</v>
      </c>
      <c r="G441" s="563" t="s">
        <v>24</v>
      </c>
      <c r="H441" s="563" t="s">
        <v>26</v>
      </c>
      <c r="I441" s="564" t="s">
        <v>1020</v>
      </c>
      <c r="J441" s="575">
        <v>1</v>
      </c>
      <c r="K441" s="647" t="s">
        <v>437</v>
      </c>
      <c r="L441" s="657">
        <v>44006</v>
      </c>
      <c r="M441" s="576">
        <v>6.6500000000000004E-2</v>
      </c>
      <c r="N441" s="563" t="s">
        <v>300</v>
      </c>
      <c r="O441" s="564">
        <v>2020.06</v>
      </c>
      <c r="P441" s="566" t="str">
        <f>VLOOKUP(A441,'[1]Raw data'!$B:$BB,23,FALSE)</f>
        <v>JPY</v>
      </c>
      <c r="Q441" s="563" t="str">
        <f>VLOOKUP(A441,'[1]Raw data'!$B:$Z,2,FALSE)</f>
        <v>C49SZX20200092SS</v>
      </c>
      <c r="R441" s="563" t="str">
        <f>VLOOKUP(A441,'[1]Raw data'!$B:$Z,3,FALSE)</f>
        <v>新平泰end user:弛瑞</v>
      </c>
      <c r="S441" s="563" t="str">
        <f>VLOOKUP(A441,'[1]Raw data'!$B:$Z,4,FALSE)</f>
        <v>YSM20R(SV)-2</v>
      </c>
      <c r="T441" s="563" t="str">
        <f>VLOOKUP(A441,'[1]Raw data'!$B:$Z,8,FALSE)</f>
        <v>L-&gt;R</v>
      </c>
      <c r="U441" s="563" t="str">
        <f>VLOOKUP(A441,'[1]Raw data'!$B:$Z,9,FALSE)</f>
        <v>No</v>
      </c>
      <c r="V441" s="567" t="str">
        <f t="shared" si="66"/>
        <v>OK</v>
      </c>
      <c r="W441" s="563" t="str">
        <f>VLOOKUP(A441,'[1]Raw data'!$B:$AG,32,FALSE)</f>
        <v>DAP SZ</v>
      </c>
      <c r="X441" s="563">
        <f>VLOOKUP(A441,'[1]Raw data'!$B:$BA,31,FALSE)</f>
        <v>44021</v>
      </c>
      <c r="Y441" s="563" t="str">
        <f>VLOOKUP(A441,'[1]Raw data'!$B:$AS,39,FALSE)</f>
        <v>Yes</v>
      </c>
      <c r="AC441" s="563" t="s">
        <v>904</v>
      </c>
      <c r="AD441" s="571">
        <v>301</v>
      </c>
      <c r="AE441" s="571">
        <v>5</v>
      </c>
      <c r="AF441" s="571">
        <v>306</v>
      </c>
      <c r="AG441" s="571">
        <v>5</v>
      </c>
      <c r="AH441" s="571">
        <v>304</v>
      </c>
      <c r="AI441" s="572">
        <v>10</v>
      </c>
      <c r="AN441" s="542"/>
      <c r="AO441" s="824" t="str">
        <f t="shared" si="58"/>
        <v>Yes</v>
      </c>
      <c r="AP441" s="259" t="str">
        <f t="shared" si="59"/>
        <v>JUL 20</v>
      </c>
      <c r="AQ441" s="542" t="str">
        <f t="shared" si="60"/>
        <v>有定金+有預留客戶</v>
      </c>
      <c r="AR441" s="259" t="str">
        <f t="shared" si="61"/>
        <v>Shipped_Stock</v>
      </c>
      <c r="AS441" s="259" t="str">
        <f t="shared" si="62"/>
        <v/>
      </c>
      <c r="AT441" s="259" t="str">
        <f t="shared" si="63"/>
        <v>新平泰end user:弛瑞</v>
      </c>
      <c r="AU441" s="259" t="str">
        <f t="shared" si="64"/>
        <v>C49SZX20200092SS</v>
      </c>
      <c r="AV441" s="259" t="str">
        <f t="shared" si="65"/>
        <v>Jun-24</v>
      </c>
    </row>
    <row r="442" spans="1:48" ht="15" hidden="1" customHeight="1">
      <c r="A442" s="559">
        <v>651</v>
      </c>
      <c r="B442" s="664" t="s">
        <v>280</v>
      </c>
      <c r="C442" s="560" t="s">
        <v>281</v>
      </c>
      <c r="D442" s="599" t="s">
        <v>1021</v>
      </c>
      <c r="E442" s="563" t="s">
        <v>886</v>
      </c>
      <c r="F442" s="563" t="s">
        <v>256</v>
      </c>
      <c r="G442" s="563" t="s">
        <v>24</v>
      </c>
      <c r="H442" s="563" t="s">
        <v>307</v>
      </c>
      <c r="I442" s="589" t="s">
        <v>1022</v>
      </c>
      <c r="J442" s="575">
        <v>1</v>
      </c>
      <c r="K442" s="563" t="s">
        <v>311</v>
      </c>
      <c r="L442" s="657">
        <v>44006</v>
      </c>
      <c r="M442" s="576" t="s">
        <v>906</v>
      </c>
      <c r="N442" s="563" t="s">
        <v>903</v>
      </c>
      <c r="O442" s="564">
        <v>2020.06</v>
      </c>
      <c r="P442" s="566" t="str">
        <f>VLOOKUP(A442,'[1]Raw data'!$B:$BB,23,FALSE)</f>
        <v>JPY</v>
      </c>
      <c r="Q442" s="563" t="str">
        <f>VLOOKUP(A442,'[1]Raw data'!$B:$Z,2,FALSE)</f>
        <v>C49SZX20200033DZ</v>
      </c>
      <c r="R442" s="563" t="str">
        <f>VLOOKUP(A442,'[1]Raw data'!$B:$Z,3,FALSE)</f>
        <v>兆晖</v>
      </c>
      <c r="S442" s="563" t="str">
        <f>VLOOKUP(A442,'[1]Raw data'!$B:$Z,4,FALSE)</f>
        <v>YSM20R(SV)-2</v>
      </c>
      <c r="T442" s="563" t="str">
        <f>VLOOKUP(A442,'[1]Raw data'!$B:$Z,8,FALSE)</f>
        <v>L-&gt;R</v>
      </c>
      <c r="U442" s="563" t="str">
        <f>VLOOKUP(A442,'[1]Raw data'!$B:$Z,9,FALSE)</f>
        <v>No</v>
      </c>
      <c r="V442" s="567" t="str">
        <f t="shared" si="66"/>
        <v>OK</v>
      </c>
      <c r="W442" s="563" t="str">
        <f>VLOOKUP(A442,'[1]Raw data'!$B:$AG,32,FALSE)</f>
        <v>CIF HK</v>
      </c>
      <c r="X442" s="563">
        <f>VLOOKUP(A442,'[1]Raw data'!$B:$BA,31,FALSE)</f>
        <v>43978</v>
      </c>
      <c r="Y442" s="563" t="str">
        <f>VLOOKUP(A442,'[1]Raw data'!$B:$AS,39,FALSE)</f>
        <v>Yes</v>
      </c>
      <c r="AC442" s="563" t="s">
        <v>1023</v>
      </c>
      <c r="AD442" s="571">
        <v>302</v>
      </c>
      <c r="AE442" s="571">
        <v>20</v>
      </c>
      <c r="AN442" s="542"/>
      <c r="AO442" s="824" t="str">
        <f t="shared" si="58"/>
        <v>Yes</v>
      </c>
      <c r="AP442" s="259" t="str">
        <f t="shared" si="59"/>
        <v>JUN 20</v>
      </c>
      <c r="AQ442" s="542" t="str">
        <f t="shared" si="60"/>
        <v>有定金+有預留客戶</v>
      </c>
      <c r="AR442" s="259" t="str">
        <f t="shared" si="61"/>
        <v>Shipped_Stock</v>
      </c>
      <c r="AS442" s="259" t="str">
        <f t="shared" si="62"/>
        <v/>
      </c>
      <c r="AT442" s="259" t="str">
        <f t="shared" si="63"/>
        <v>兆晖</v>
      </c>
      <c r="AU442" s="259" t="str">
        <f t="shared" si="64"/>
        <v>C49SZX20200033DZ</v>
      </c>
      <c r="AV442" s="259" t="str">
        <f t="shared" si="65"/>
        <v>Jun-24</v>
      </c>
    </row>
    <row r="443" spans="1:48" ht="15" hidden="1" customHeight="1">
      <c r="A443" s="559">
        <v>682</v>
      </c>
      <c r="B443" s="560" t="s">
        <v>280</v>
      </c>
      <c r="C443" s="560" t="s">
        <v>281</v>
      </c>
      <c r="D443" s="599" t="s">
        <v>1021</v>
      </c>
      <c r="E443" s="563" t="s">
        <v>886</v>
      </c>
      <c r="F443" s="563" t="s">
        <v>256</v>
      </c>
      <c r="G443" s="563" t="s">
        <v>24</v>
      </c>
      <c r="H443" s="563" t="s">
        <v>307</v>
      </c>
      <c r="I443" s="589" t="s">
        <v>1024</v>
      </c>
      <c r="J443" s="575">
        <v>1</v>
      </c>
      <c r="K443" s="563" t="s">
        <v>311</v>
      </c>
      <c r="L443" s="657">
        <v>44006</v>
      </c>
      <c r="M443" s="576" t="s">
        <v>906</v>
      </c>
      <c r="N443" s="563" t="s">
        <v>300</v>
      </c>
      <c r="O443" s="564">
        <v>2020.06</v>
      </c>
      <c r="P443" s="566" t="str">
        <f>VLOOKUP(A443,'[1]Raw data'!$B:$BB,23,FALSE)</f>
        <v>JPY</v>
      </c>
      <c r="Q443" s="563" t="str">
        <f>VLOOKUP(A443,'[1]Raw data'!$B:$Z,2,FALSE)</f>
        <v>C49SZX20200032DZ</v>
      </c>
      <c r="R443" s="563" t="str">
        <f>VLOOKUP(A443,'[1]Raw data'!$B:$Z,3,FALSE)</f>
        <v>朗特/end user:朗勤</v>
      </c>
      <c r="S443" s="563" t="str">
        <f>VLOOKUP(A443,'[1]Raw data'!$B:$Z,4,FALSE)</f>
        <v>YSM20R(SV)-2</v>
      </c>
      <c r="T443" s="563" t="str">
        <f>VLOOKUP(A443,'[1]Raw data'!$B:$Z,8,FALSE)</f>
        <v>L-&gt;R</v>
      </c>
      <c r="U443" s="563" t="str">
        <f>VLOOKUP(A443,'[1]Raw data'!$B:$Z,9,FALSE)</f>
        <v>No</v>
      </c>
      <c r="V443" s="567" t="str">
        <f t="shared" si="66"/>
        <v>OK</v>
      </c>
      <c r="W443" s="563" t="str">
        <f>VLOOKUP(A443,'[1]Raw data'!$B:$AG,32,FALSE)</f>
        <v>CIF HK</v>
      </c>
      <c r="X443" s="563">
        <f>VLOOKUP(A443,'[1]Raw data'!$B:$BA,31,FALSE)</f>
        <v>44008</v>
      </c>
      <c r="Y443" s="563" t="str">
        <f>VLOOKUP(A443,'[1]Raw data'!$B:$AS,39,FALSE)</f>
        <v>Yes</v>
      </c>
      <c r="AC443" s="563" t="s">
        <v>1005</v>
      </c>
      <c r="AD443" s="571">
        <v>302</v>
      </c>
      <c r="AE443" s="571">
        <v>20</v>
      </c>
      <c r="AN443" s="542"/>
      <c r="AO443" s="824" t="str">
        <f t="shared" si="58"/>
        <v>Yes</v>
      </c>
      <c r="AP443" s="259" t="str">
        <f t="shared" si="59"/>
        <v>JUL 20</v>
      </c>
      <c r="AQ443" s="542" t="str">
        <f t="shared" si="60"/>
        <v>有定金+有預留客戶</v>
      </c>
      <c r="AR443" s="259" t="str">
        <f t="shared" si="61"/>
        <v>Shipped_Stock</v>
      </c>
      <c r="AS443" s="259" t="str">
        <f t="shared" si="62"/>
        <v/>
      </c>
      <c r="AT443" s="259" t="str">
        <f t="shared" si="63"/>
        <v>朗特/end user:朗勤</v>
      </c>
      <c r="AU443" s="259" t="str">
        <f t="shared" si="64"/>
        <v>C49SZX20200032DZ</v>
      </c>
      <c r="AV443" s="259" t="str">
        <f t="shared" si="65"/>
        <v>Jun-24</v>
      </c>
    </row>
    <row r="444" spans="1:48" ht="15" hidden="1" customHeight="1">
      <c r="A444" s="559">
        <v>649</v>
      </c>
      <c r="B444" s="664" t="s">
        <v>280</v>
      </c>
      <c r="C444" s="560" t="s">
        <v>281</v>
      </c>
      <c r="D444" s="599" t="s">
        <v>1021</v>
      </c>
      <c r="E444" s="563" t="s">
        <v>886</v>
      </c>
      <c r="F444" s="563" t="s">
        <v>256</v>
      </c>
      <c r="G444" s="563" t="s">
        <v>24</v>
      </c>
      <c r="H444" s="563" t="s">
        <v>26</v>
      </c>
      <c r="I444" s="589" t="s">
        <v>1025</v>
      </c>
      <c r="J444" s="575">
        <v>1</v>
      </c>
      <c r="K444" s="563" t="s">
        <v>311</v>
      </c>
      <c r="L444" s="657">
        <v>44006</v>
      </c>
      <c r="M444" s="576" t="s">
        <v>906</v>
      </c>
      <c r="N444" s="563" t="s">
        <v>903</v>
      </c>
      <c r="O444" s="564">
        <v>2020.06</v>
      </c>
      <c r="P444" s="566" t="str">
        <f>VLOOKUP(A444,'[1]Raw data'!$B:$BB,23,FALSE)</f>
        <v>JPY</v>
      </c>
      <c r="Q444" s="563" t="str">
        <f>VLOOKUP(A444,'[1]Raw data'!$B:$Z,2,FALSE)</f>
        <v>C49SZX20200033DZ</v>
      </c>
      <c r="R444" s="563" t="str">
        <f>VLOOKUP(A444,'[1]Raw data'!$B:$Z,3,FALSE)</f>
        <v>兆晖</v>
      </c>
      <c r="S444" s="563" t="str">
        <f>VLOOKUP(A444,'[1]Raw data'!$B:$Z,4,FALSE)</f>
        <v>YSM20R(SV)-2</v>
      </c>
      <c r="T444" s="563" t="str">
        <f>VLOOKUP(A444,'[1]Raw data'!$B:$Z,8,FALSE)</f>
        <v>L-&gt;R</v>
      </c>
      <c r="U444" s="563" t="str">
        <f>VLOOKUP(A444,'[1]Raw data'!$B:$Z,9,FALSE)</f>
        <v>No</v>
      </c>
      <c r="V444" s="567" t="str">
        <f t="shared" si="66"/>
        <v>OK</v>
      </c>
      <c r="W444" s="563" t="str">
        <f>VLOOKUP(A444,'[1]Raw data'!$B:$AG,32,FALSE)</f>
        <v>CIF HK</v>
      </c>
      <c r="X444" s="563">
        <f>VLOOKUP(A444,'[1]Raw data'!$B:$BA,31,FALSE)</f>
        <v>43978</v>
      </c>
      <c r="Y444" s="563" t="str">
        <f>VLOOKUP(A444,'[1]Raw data'!$B:$AS,39,FALSE)</f>
        <v>Yes</v>
      </c>
      <c r="AC444" s="563" t="s">
        <v>1023</v>
      </c>
      <c r="AD444" s="571">
        <v>301</v>
      </c>
      <c r="AE444" s="571">
        <v>20</v>
      </c>
      <c r="AN444" s="542"/>
      <c r="AO444" s="824" t="str">
        <f t="shared" si="58"/>
        <v>Yes</v>
      </c>
      <c r="AP444" s="259" t="str">
        <f t="shared" si="59"/>
        <v>JUN 20</v>
      </c>
      <c r="AQ444" s="542" t="str">
        <f t="shared" si="60"/>
        <v>有定金+有預留客戶</v>
      </c>
      <c r="AR444" s="259" t="str">
        <f t="shared" si="61"/>
        <v>Shipped_Stock</v>
      </c>
      <c r="AS444" s="259" t="str">
        <f t="shared" si="62"/>
        <v/>
      </c>
      <c r="AT444" s="259" t="str">
        <f t="shared" si="63"/>
        <v>兆晖</v>
      </c>
      <c r="AU444" s="259" t="str">
        <f t="shared" si="64"/>
        <v>C49SZX20200033DZ</v>
      </c>
      <c r="AV444" s="259" t="str">
        <f t="shared" si="65"/>
        <v>Jun-24</v>
      </c>
    </row>
    <row r="445" spans="1:48" hidden="1">
      <c r="A445" s="559">
        <v>650</v>
      </c>
      <c r="B445" s="664" t="s">
        <v>280</v>
      </c>
      <c r="C445" s="560" t="s">
        <v>281</v>
      </c>
      <c r="D445" s="599" t="s">
        <v>1021</v>
      </c>
      <c r="E445" s="563" t="s">
        <v>886</v>
      </c>
      <c r="F445" s="563" t="s">
        <v>256</v>
      </c>
      <c r="G445" s="563" t="s">
        <v>24</v>
      </c>
      <c r="H445" s="563" t="s">
        <v>26</v>
      </c>
      <c r="I445" s="589" t="s">
        <v>1026</v>
      </c>
      <c r="J445" s="575">
        <v>1</v>
      </c>
      <c r="K445" s="563" t="s">
        <v>311</v>
      </c>
      <c r="L445" s="657">
        <v>44006</v>
      </c>
      <c r="M445" s="576" t="s">
        <v>906</v>
      </c>
      <c r="N445" s="563" t="s">
        <v>903</v>
      </c>
      <c r="O445" s="564">
        <v>2020.06</v>
      </c>
      <c r="P445" s="566" t="str">
        <f>VLOOKUP(A445,'[1]Raw data'!$B:$BB,23,FALSE)</f>
        <v>JPY</v>
      </c>
      <c r="Q445" s="563" t="str">
        <f>VLOOKUP(A445,'[1]Raw data'!$B:$Z,2,FALSE)</f>
        <v>C49SZX20200033DZ</v>
      </c>
      <c r="R445" s="563" t="str">
        <f>VLOOKUP(A445,'[1]Raw data'!$B:$Z,3,FALSE)</f>
        <v>兆晖</v>
      </c>
      <c r="S445" s="563" t="str">
        <f>VLOOKUP(A445,'[1]Raw data'!$B:$Z,4,FALSE)</f>
        <v>YSM20R(SV)-2</v>
      </c>
      <c r="T445" s="563" t="str">
        <f>VLOOKUP(A445,'[1]Raw data'!$B:$Z,8,FALSE)</f>
        <v>L-&gt;R</v>
      </c>
      <c r="U445" s="563" t="str">
        <f>VLOOKUP(A445,'[1]Raw data'!$B:$Z,9,FALSE)</f>
        <v>No</v>
      </c>
      <c r="V445" s="567" t="str">
        <f t="shared" si="66"/>
        <v>OK</v>
      </c>
      <c r="W445" s="563" t="str">
        <f>VLOOKUP(A445,'[1]Raw data'!$B:$AG,32,FALSE)</f>
        <v>CIF HK</v>
      </c>
      <c r="X445" s="563">
        <f>VLOOKUP(A445,'[1]Raw data'!$B:$BA,31,FALSE)</f>
        <v>43978</v>
      </c>
      <c r="Y445" s="563" t="str">
        <f>VLOOKUP(A445,'[1]Raw data'!$B:$AS,39,FALSE)</f>
        <v>Yes</v>
      </c>
      <c r="AC445" s="563" t="s">
        <v>1023</v>
      </c>
      <c r="AD445" s="571">
        <v>301</v>
      </c>
      <c r="AE445" s="571">
        <v>20</v>
      </c>
      <c r="AN445" s="542"/>
      <c r="AO445" s="824" t="str">
        <f t="shared" si="58"/>
        <v>Yes</v>
      </c>
      <c r="AP445" s="259" t="str">
        <f t="shared" si="59"/>
        <v>JUN 20</v>
      </c>
      <c r="AQ445" s="542" t="str">
        <f t="shared" si="60"/>
        <v>有定金+有預留客戶</v>
      </c>
      <c r="AR445" s="259" t="str">
        <f t="shared" si="61"/>
        <v>Shipped_Stock</v>
      </c>
      <c r="AS445" s="259" t="str">
        <f t="shared" si="62"/>
        <v/>
      </c>
      <c r="AT445" s="259" t="str">
        <f t="shared" si="63"/>
        <v>兆晖</v>
      </c>
      <c r="AU445" s="259" t="str">
        <f t="shared" si="64"/>
        <v>C49SZX20200033DZ</v>
      </c>
      <c r="AV445" s="259" t="str">
        <f t="shared" si="65"/>
        <v>Jun-24</v>
      </c>
    </row>
    <row r="446" spans="1:48" hidden="1">
      <c r="A446" s="559">
        <v>675</v>
      </c>
      <c r="B446" s="560" t="s">
        <v>280</v>
      </c>
      <c r="C446" s="560" t="s">
        <v>281</v>
      </c>
      <c r="D446" s="599" t="s">
        <v>1021</v>
      </c>
      <c r="E446" s="563" t="s">
        <v>886</v>
      </c>
      <c r="F446" s="563" t="s">
        <v>256</v>
      </c>
      <c r="G446" s="563" t="s">
        <v>24</v>
      </c>
      <c r="H446" s="563" t="s">
        <v>26</v>
      </c>
      <c r="I446" s="589" t="s">
        <v>1027</v>
      </c>
      <c r="J446" s="575">
        <v>1</v>
      </c>
      <c r="K446" s="563" t="s">
        <v>311</v>
      </c>
      <c r="L446" s="657">
        <v>44006</v>
      </c>
      <c r="M446" s="576" t="s">
        <v>906</v>
      </c>
      <c r="N446" s="563" t="s">
        <v>300</v>
      </c>
      <c r="O446" s="564">
        <v>2020.06</v>
      </c>
      <c r="P446" s="566" t="str">
        <f>VLOOKUP(A446,'[1]Raw data'!$B:$BB,23,FALSE)</f>
        <v>JPY</v>
      </c>
      <c r="Q446" s="563" t="str">
        <f>VLOOKUP(A446,'[1]Raw data'!$B:$Z,2,FALSE)</f>
        <v>C49SZX20200081DZ</v>
      </c>
      <c r="R446" s="563" t="str">
        <f>VLOOKUP(A446,'[1]Raw data'!$B:$Z,3,FALSE)</f>
        <v>朗特</v>
      </c>
      <c r="S446" s="563" t="str">
        <f>VLOOKUP(A446,'[1]Raw data'!$B:$Z,4,FALSE)</f>
        <v>YSM20R(SV)-2</v>
      </c>
      <c r="T446" s="563" t="str">
        <f>VLOOKUP(A446,'[1]Raw data'!$B:$Z,8,FALSE)</f>
        <v>L-&gt;R</v>
      </c>
      <c r="U446" s="563" t="str">
        <f>VLOOKUP(A446,'[1]Raw data'!$B:$Z,9,FALSE)</f>
        <v>No</v>
      </c>
      <c r="V446" s="567" t="str">
        <f t="shared" si="66"/>
        <v>OK</v>
      </c>
      <c r="W446" s="563" t="str">
        <f>VLOOKUP(A446,'[1]Raw data'!$B:$AG,32,FALSE)</f>
        <v>CIF HK</v>
      </c>
      <c r="X446" s="563">
        <f>VLOOKUP(A446,'[1]Raw data'!$B:$BA,31,FALSE)</f>
        <v>44006</v>
      </c>
      <c r="Y446" s="563" t="str">
        <f>VLOOKUP(A446,'[1]Raw data'!$B:$AS,39,FALSE)</f>
        <v>Yes</v>
      </c>
      <c r="AC446" s="563" t="s">
        <v>933</v>
      </c>
      <c r="AD446" s="571">
        <v>311</v>
      </c>
      <c r="AE446" s="571">
        <v>10</v>
      </c>
      <c r="AF446" s="571">
        <v>312</v>
      </c>
      <c r="AG446" s="571">
        <v>10</v>
      </c>
      <c r="AN446" s="542"/>
      <c r="AO446" s="824" t="str">
        <f t="shared" si="58"/>
        <v>Yes</v>
      </c>
      <c r="AP446" s="259" t="str">
        <f t="shared" si="59"/>
        <v>JUL 20</v>
      </c>
      <c r="AQ446" s="542" t="str">
        <f t="shared" si="60"/>
        <v>有定金+有預留客戶</v>
      </c>
      <c r="AR446" s="259" t="str">
        <f t="shared" si="61"/>
        <v>Shipped_Stock</v>
      </c>
      <c r="AS446" s="259" t="str">
        <f t="shared" si="62"/>
        <v/>
      </c>
      <c r="AT446" s="259" t="str">
        <f t="shared" si="63"/>
        <v>朗特</v>
      </c>
      <c r="AU446" s="259" t="str">
        <f t="shared" si="64"/>
        <v>C49SZX20200081DZ</v>
      </c>
      <c r="AV446" s="259" t="str">
        <f t="shared" si="65"/>
        <v>Jun-24</v>
      </c>
    </row>
    <row r="447" spans="1:48" hidden="1">
      <c r="A447" s="559">
        <v>692</v>
      </c>
      <c r="B447" s="560" t="s">
        <v>280</v>
      </c>
      <c r="C447" s="560" t="s">
        <v>281</v>
      </c>
      <c r="D447" s="645" t="s">
        <v>1028</v>
      </c>
      <c r="E447" s="563" t="s">
        <v>886</v>
      </c>
      <c r="F447" s="647" t="s">
        <v>256</v>
      </c>
      <c r="G447" s="647" t="s">
        <v>24</v>
      </c>
      <c r="H447" s="647" t="s">
        <v>176</v>
      </c>
      <c r="I447" s="575" t="s">
        <v>1029</v>
      </c>
      <c r="J447" s="575">
        <v>1</v>
      </c>
      <c r="K447" s="647" t="s">
        <v>437</v>
      </c>
      <c r="L447" s="657">
        <v>44034</v>
      </c>
      <c r="M447" s="665" t="s">
        <v>1030</v>
      </c>
      <c r="N447" s="563" t="s">
        <v>930</v>
      </c>
      <c r="O447" s="564">
        <v>2020.07</v>
      </c>
      <c r="P447" s="566" t="str">
        <f>VLOOKUP(A447,'[1]Raw data'!$B:$BB,23,FALSE)</f>
        <v>JPY</v>
      </c>
      <c r="Q447" s="563" t="str">
        <f>VLOOKUP(A447,'[1]Raw data'!$B:$Z,2,FALSE)</f>
        <v>C49SZX20200116JL</v>
      </c>
      <c r="R447" s="563" t="str">
        <f>VLOOKUP(A447,'[1]Raw data'!$B:$Z,3,FALSE)</f>
        <v>德劲</v>
      </c>
      <c r="S447" s="563" t="str">
        <f>VLOOKUP(A447,'[1]Raw data'!$B:$Z,4,FALSE)</f>
        <v>YSM20R(SV)-2</v>
      </c>
      <c r="T447" s="563" t="str">
        <f>VLOOKUP(A447,'[1]Raw data'!$B:$Z,8,FALSE)</f>
        <v>L-&gt;R</v>
      </c>
      <c r="U447" s="563" t="str">
        <f>VLOOKUP(A447,'[1]Raw data'!$B:$Z,9,FALSE)</f>
        <v>cATS10+MVC</v>
      </c>
      <c r="V447" s="567" t="str">
        <f t="shared" si="66"/>
        <v>WRONG</v>
      </c>
      <c r="W447" s="563" t="str">
        <f>VLOOKUP(A447,'[1]Raw data'!$B:$AG,32,FALSE)</f>
        <v>DAP SZ</v>
      </c>
      <c r="X447" s="563">
        <f>VLOOKUP(A447,'[1]Raw data'!$B:$BA,31,FALSE)</f>
        <v>44018</v>
      </c>
      <c r="Y447" s="563" t="str">
        <f>VLOOKUP(A447,'[1]Raw data'!$B:$AS,39,FALSE)</f>
        <v>Yes</v>
      </c>
      <c r="Z447" s="659"/>
      <c r="AA447" s="660"/>
      <c r="AB447" s="661"/>
      <c r="AC447" s="647" t="s">
        <v>398</v>
      </c>
      <c r="AD447" s="662"/>
      <c r="AE447" s="662"/>
      <c r="AF447" s="662"/>
      <c r="AG447" s="662"/>
      <c r="AH447" s="662"/>
      <c r="AI447" s="663"/>
      <c r="AN447" s="542"/>
      <c r="AO447" s="824" t="str">
        <f t="shared" si="58"/>
        <v>Yes</v>
      </c>
      <c r="AP447" s="259" t="str">
        <f t="shared" si="59"/>
        <v>AUG 20</v>
      </c>
      <c r="AQ447" s="542" t="str">
        <f t="shared" si="60"/>
        <v>有定金+有預留客戶</v>
      </c>
      <c r="AR447" s="259" t="str">
        <f t="shared" si="61"/>
        <v>Shipped_Stock</v>
      </c>
      <c r="AS447" s="259" t="str">
        <f t="shared" si="62"/>
        <v/>
      </c>
      <c r="AT447" s="259" t="str">
        <f t="shared" si="63"/>
        <v>德劲</v>
      </c>
      <c r="AU447" s="259" t="str">
        <f t="shared" si="64"/>
        <v>C49SZX20200116JL</v>
      </c>
      <c r="AV447" s="259" t="str">
        <f t="shared" si="65"/>
        <v>Jul-22</v>
      </c>
    </row>
    <row r="448" spans="1:48" hidden="1">
      <c r="A448" s="559">
        <v>888</v>
      </c>
      <c r="B448" s="560" t="s">
        <v>927</v>
      </c>
      <c r="C448" s="563" t="s">
        <v>15</v>
      </c>
      <c r="D448" s="645" t="s">
        <v>1028</v>
      </c>
      <c r="E448" s="563" t="s">
        <v>886</v>
      </c>
      <c r="F448" s="647" t="s">
        <v>256</v>
      </c>
      <c r="G448" s="647" t="s">
        <v>24</v>
      </c>
      <c r="H448" s="647" t="s">
        <v>176</v>
      </c>
      <c r="I448" s="575" t="s">
        <v>1031</v>
      </c>
      <c r="J448" s="575">
        <v>1</v>
      </c>
      <c r="K448" s="647" t="s">
        <v>437</v>
      </c>
      <c r="L448" s="657">
        <v>44034</v>
      </c>
      <c r="M448" s="665" t="s">
        <v>1030</v>
      </c>
      <c r="N448" s="563" t="s">
        <v>1032</v>
      </c>
      <c r="O448" s="564">
        <v>2020.07</v>
      </c>
      <c r="P448" s="566" t="str">
        <f>VLOOKUP(A448,'[1]Raw data'!$B:$BB,23,FALSE)</f>
        <v>USD</v>
      </c>
      <c r="Q448" s="563" t="str">
        <f>VLOOKUP(A448,'[1]Raw data'!$B:$Z,2,FALSE)</f>
        <v>C49SZX20200193SX</v>
      </c>
      <c r="R448" s="563" t="str">
        <f>VLOOKUP(A448,'[1]Raw data'!$B:$Z,3,FALSE)</f>
        <v>晨鑫达</v>
      </c>
      <c r="S448" s="563" t="str">
        <f>VLOOKUP(A448,'[1]Raw data'!$B:$Z,4,FALSE)</f>
        <v>YSM20R(SV)-2</v>
      </c>
      <c r="T448" s="563" t="str">
        <f>VLOOKUP(A448,'[1]Raw data'!$B:$Z,8,FALSE)</f>
        <v>L-&gt;R</v>
      </c>
      <c r="U448" s="563" t="str">
        <f>VLOOKUP(A448,'[1]Raw data'!$B:$Z,9,FALSE)</f>
        <v>cATS10+MVC</v>
      </c>
      <c r="V448" s="567" t="str">
        <f t="shared" si="66"/>
        <v>WRONG</v>
      </c>
      <c r="W448" s="563" t="str">
        <f>VLOOKUP(A448,'[1]Raw data'!$B:$AG,32,FALSE)</f>
        <v>DAP SZ</v>
      </c>
      <c r="X448" s="563">
        <f>VLOOKUP(A448,'[1]Raw data'!$B:$BA,31,FALSE)</f>
        <v>44125</v>
      </c>
      <c r="Y448" s="563" t="str">
        <f>VLOOKUP(A448,'[1]Raw data'!$B:$AS,39,FALSE)</f>
        <v>Yes</v>
      </c>
      <c r="Z448" s="666"/>
      <c r="AA448" s="667"/>
      <c r="AB448" s="668"/>
      <c r="AC448" s="647" t="s">
        <v>1033</v>
      </c>
      <c r="AD448" s="662"/>
      <c r="AE448" s="662"/>
      <c r="AF448" s="662"/>
      <c r="AG448" s="662"/>
      <c r="AH448" s="662"/>
      <c r="AI448" s="663"/>
      <c r="AN448" s="542"/>
      <c r="AO448" s="824" t="str">
        <f t="shared" si="58"/>
        <v>Yes</v>
      </c>
      <c r="AP448" s="259" t="str">
        <f t="shared" si="59"/>
        <v>OCT 20</v>
      </c>
      <c r="AQ448" s="542" t="str">
        <f t="shared" si="60"/>
        <v>有定金+有預留客戶</v>
      </c>
      <c r="AR448" s="259" t="str">
        <f t="shared" si="61"/>
        <v>Shipped_Stock</v>
      </c>
      <c r="AS448" s="259" t="str">
        <f t="shared" si="62"/>
        <v/>
      </c>
      <c r="AT448" s="259" t="str">
        <f t="shared" si="63"/>
        <v>晨鑫达</v>
      </c>
      <c r="AU448" s="259" t="str">
        <f t="shared" si="64"/>
        <v>C49SZX20200193SX</v>
      </c>
      <c r="AV448" s="259" t="str">
        <f t="shared" si="65"/>
        <v>Jul-22</v>
      </c>
    </row>
    <row r="449" spans="1:48" hidden="1">
      <c r="A449" s="559">
        <v>704</v>
      </c>
      <c r="B449" s="664" t="s">
        <v>280</v>
      </c>
      <c r="C449" s="563" t="s">
        <v>15</v>
      </c>
      <c r="D449" s="645" t="s">
        <v>1034</v>
      </c>
      <c r="E449" s="563" t="s">
        <v>886</v>
      </c>
      <c r="F449" s="647" t="s">
        <v>256</v>
      </c>
      <c r="G449" s="647" t="s">
        <v>24</v>
      </c>
      <c r="H449" s="647" t="s">
        <v>26</v>
      </c>
      <c r="I449" s="575" t="s">
        <v>1035</v>
      </c>
      <c r="J449" s="575">
        <v>1</v>
      </c>
      <c r="K449" s="647" t="s">
        <v>437</v>
      </c>
      <c r="L449" s="657">
        <v>44034</v>
      </c>
      <c r="M449" s="665" t="s">
        <v>906</v>
      </c>
      <c r="N449" s="563" t="s">
        <v>300</v>
      </c>
      <c r="O449" s="564">
        <v>2020.07</v>
      </c>
      <c r="P449" s="566" t="str">
        <f>VLOOKUP(A449,'[1]Raw data'!$B:$BB,23,FALSE)</f>
        <v>JPY</v>
      </c>
      <c r="Q449" s="563" t="str">
        <f>VLOOKUP(A449,'[1]Raw data'!$B:$Z,2,FALSE)</f>
        <v>C49SZX20200068MZ</v>
      </c>
      <c r="R449" s="563" t="str">
        <f>VLOOKUP(A449,'[1]Raw data'!$B:$Z,3,FALSE)</f>
        <v>天星创展</v>
      </c>
      <c r="S449" s="563" t="str">
        <f>VLOOKUP(A449,'[1]Raw data'!$B:$Z,4,FALSE)</f>
        <v>YSM20R(SV)-2</v>
      </c>
      <c r="T449" s="563" t="str">
        <f>VLOOKUP(A449,'[1]Raw data'!$B:$Z,8,FALSE)</f>
        <v>L-&gt;R</v>
      </c>
      <c r="U449" s="563" t="str">
        <f>VLOOKUP(A449,'[1]Raw data'!$B:$Z,9,FALSE)</f>
        <v>No</v>
      </c>
      <c r="V449" s="567" t="str">
        <f t="shared" si="66"/>
        <v>OK</v>
      </c>
      <c r="W449" s="563" t="str">
        <f>VLOOKUP(A449,'[1]Raw data'!$B:$AG,32,FALSE)</f>
        <v>DAP SZ</v>
      </c>
      <c r="X449" s="563">
        <f>VLOOKUP(A449,'[1]Raw data'!$B:$BA,31,FALSE)</f>
        <v>44021</v>
      </c>
      <c r="Y449" s="563" t="str">
        <f>VLOOKUP(A449,'[1]Raw data'!$B:$AS,39,FALSE)</f>
        <v>Yes</v>
      </c>
      <c r="Z449" s="659"/>
      <c r="AA449" s="660"/>
      <c r="AB449" s="661"/>
      <c r="AC449" s="563" t="s">
        <v>591</v>
      </c>
      <c r="AD449" s="662"/>
      <c r="AE449" s="662"/>
      <c r="AF449" s="662"/>
      <c r="AG449" s="662"/>
      <c r="AH449" s="662"/>
      <c r="AI449" s="663"/>
      <c r="AN449" s="542"/>
      <c r="AO449" s="824" t="str">
        <f t="shared" si="58"/>
        <v>Yes</v>
      </c>
      <c r="AP449" s="259" t="str">
        <f t="shared" si="59"/>
        <v>JUL 20</v>
      </c>
      <c r="AQ449" s="542" t="str">
        <f t="shared" si="60"/>
        <v>有定金+有預留客戶</v>
      </c>
      <c r="AR449" s="259" t="str">
        <f t="shared" si="61"/>
        <v>Shipped_Stock</v>
      </c>
      <c r="AS449" s="259" t="str">
        <f t="shared" si="62"/>
        <v/>
      </c>
      <c r="AT449" s="259" t="str">
        <f t="shared" si="63"/>
        <v>天星创展</v>
      </c>
      <c r="AU449" s="259" t="str">
        <f t="shared" si="64"/>
        <v>C49SZX20200068MZ</v>
      </c>
      <c r="AV449" s="259" t="str">
        <f t="shared" si="65"/>
        <v>Jul-22</v>
      </c>
    </row>
    <row r="450" spans="1:48" hidden="1">
      <c r="A450" s="559">
        <v>686</v>
      </c>
      <c r="B450" s="664" t="s">
        <v>280</v>
      </c>
      <c r="C450" s="563" t="s">
        <v>15</v>
      </c>
      <c r="D450" s="645" t="s">
        <v>1034</v>
      </c>
      <c r="E450" s="563" t="s">
        <v>886</v>
      </c>
      <c r="F450" s="647" t="s">
        <v>256</v>
      </c>
      <c r="G450" s="647" t="s">
        <v>24</v>
      </c>
      <c r="H450" s="647" t="s">
        <v>26</v>
      </c>
      <c r="I450" s="575" t="s">
        <v>1036</v>
      </c>
      <c r="J450" s="575">
        <v>1</v>
      </c>
      <c r="K450" s="647" t="s">
        <v>437</v>
      </c>
      <c r="L450" s="657">
        <v>44034</v>
      </c>
      <c r="M450" s="665" t="s">
        <v>906</v>
      </c>
      <c r="N450" s="563" t="s">
        <v>300</v>
      </c>
      <c r="O450" s="564">
        <v>2020.07</v>
      </c>
      <c r="P450" s="566" t="str">
        <f>VLOOKUP(A450,'[1]Raw data'!$B:$BB,23,FALSE)</f>
        <v>JPY</v>
      </c>
      <c r="Q450" s="563" t="str">
        <f>VLOOKUP(A450,'[1]Raw data'!$B:$Z,2,FALSE)</f>
        <v>C49SZX20200070JY</v>
      </c>
      <c r="R450" s="563" t="str">
        <f>VLOOKUP(A450,'[1]Raw data'!$B:$Z,3,FALSE)</f>
        <v>惠州创荣发</v>
      </c>
      <c r="S450" s="563" t="str">
        <f>VLOOKUP(A450,'[1]Raw data'!$B:$Z,4,FALSE)</f>
        <v>YSM20R(SV)-2</v>
      </c>
      <c r="T450" s="563" t="str">
        <f>VLOOKUP(A450,'[1]Raw data'!$B:$Z,8,FALSE)</f>
        <v>L-&gt;R</v>
      </c>
      <c r="U450" s="563" t="str">
        <f>VLOOKUP(A450,'[1]Raw data'!$B:$Z,9,FALSE)</f>
        <v>No</v>
      </c>
      <c r="V450" s="567" t="str">
        <f t="shared" si="66"/>
        <v>OK</v>
      </c>
      <c r="W450" s="563" t="str">
        <f>VLOOKUP(A450,'[1]Raw data'!$B:$AG,32,FALSE)</f>
        <v>DAP HZ</v>
      </c>
      <c r="X450" s="563">
        <f>VLOOKUP(A450,'[1]Raw data'!$B:$BA,31,FALSE)</f>
        <v>44005</v>
      </c>
      <c r="Y450" s="563" t="str">
        <f>VLOOKUP(A450,'[1]Raw data'!$B:$AS,39,FALSE)</f>
        <v>Yes</v>
      </c>
      <c r="Z450" s="659"/>
      <c r="AA450" s="660"/>
      <c r="AB450" s="661"/>
      <c r="AC450" s="647" t="s">
        <v>915</v>
      </c>
      <c r="AD450" s="662"/>
      <c r="AE450" s="662"/>
      <c r="AF450" s="662"/>
      <c r="AG450" s="662"/>
      <c r="AH450" s="662"/>
      <c r="AI450" s="663"/>
      <c r="AN450" s="542"/>
      <c r="AO450" s="824" t="str">
        <f t="shared" si="58"/>
        <v>Yes</v>
      </c>
      <c r="AP450" s="259" t="str">
        <f t="shared" si="59"/>
        <v>JUL 20</v>
      </c>
      <c r="AQ450" s="542" t="str">
        <f t="shared" si="60"/>
        <v>有定金+有預留客戶</v>
      </c>
      <c r="AR450" s="259" t="str">
        <f t="shared" si="61"/>
        <v>Shipped_Stock</v>
      </c>
      <c r="AS450" s="259" t="str">
        <f t="shared" si="62"/>
        <v/>
      </c>
      <c r="AT450" s="259" t="str">
        <f t="shared" si="63"/>
        <v>惠州创荣发</v>
      </c>
      <c r="AU450" s="259" t="str">
        <f t="shared" si="64"/>
        <v>C49SZX20200070JY</v>
      </c>
      <c r="AV450" s="259" t="str">
        <f t="shared" si="65"/>
        <v>Jul-22</v>
      </c>
    </row>
    <row r="451" spans="1:48" hidden="1">
      <c r="A451" s="559">
        <v>727</v>
      </c>
      <c r="B451" s="560" t="s">
        <v>280</v>
      </c>
      <c r="C451" s="563" t="s">
        <v>15</v>
      </c>
      <c r="D451" s="645" t="s">
        <v>1034</v>
      </c>
      <c r="E451" s="563" t="s">
        <v>886</v>
      </c>
      <c r="F451" s="647" t="s">
        <v>256</v>
      </c>
      <c r="G451" s="647" t="s">
        <v>24</v>
      </c>
      <c r="H451" s="647" t="s">
        <v>26</v>
      </c>
      <c r="I451" s="575" t="s">
        <v>1037</v>
      </c>
      <c r="J451" s="575">
        <v>1</v>
      </c>
      <c r="K451" s="647" t="s">
        <v>437</v>
      </c>
      <c r="L451" s="657">
        <v>44034</v>
      </c>
      <c r="M451" s="665" t="s">
        <v>906</v>
      </c>
      <c r="N451" s="563" t="s">
        <v>930</v>
      </c>
      <c r="O451" s="564">
        <v>2020.07</v>
      </c>
      <c r="P451" s="566" t="str">
        <f>VLOOKUP(A451,'[1]Raw data'!$B:$BB,23,FALSE)</f>
        <v>JPY</v>
      </c>
      <c r="Q451" s="563" t="str">
        <f>VLOOKUP(A451,'[1]Raw data'!$B:$Z,2,FALSE)</f>
        <v>C49SZX20200106SS</v>
      </c>
      <c r="R451" s="563" t="str">
        <f>VLOOKUP(A451,'[1]Raw data'!$B:$Z,3,FALSE)</f>
        <v>泰鑫荣</v>
      </c>
      <c r="S451" s="563" t="str">
        <f>VLOOKUP(A451,'[1]Raw data'!$B:$Z,4,FALSE)</f>
        <v>YSM20R(SV)-2</v>
      </c>
      <c r="T451" s="563" t="str">
        <f>VLOOKUP(A451,'[1]Raw data'!$B:$Z,8,FALSE)</f>
        <v>L-&gt;R</v>
      </c>
      <c r="U451" s="563" t="str">
        <f>VLOOKUP(A451,'[1]Raw data'!$B:$Z,9,FALSE)</f>
        <v>MVC</v>
      </c>
      <c r="V451" s="567" t="str">
        <f t="shared" si="66"/>
        <v>WRONG</v>
      </c>
      <c r="W451" s="563" t="str">
        <f>VLOOKUP(A451,'[1]Raw data'!$B:$AG,32,FALSE)</f>
        <v>DAP SZ</v>
      </c>
      <c r="X451" s="563">
        <f>VLOOKUP(A451,'[1]Raw data'!$B:$BA,31,FALSE)</f>
        <v>44029</v>
      </c>
      <c r="Y451" s="563" t="str">
        <f>VLOOKUP(A451,'[1]Raw data'!$B:$AS,39,FALSE)</f>
        <v>Yes</v>
      </c>
      <c r="Z451" s="659"/>
      <c r="AA451" s="660"/>
      <c r="AB451" s="661"/>
      <c r="AC451" s="647" t="s">
        <v>1038</v>
      </c>
      <c r="AD451" s="662"/>
      <c r="AE451" s="662"/>
      <c r="AF451" s="662"/>
      <c r="AG451" s="662"/>
      <c r="AH451" s="662"/>
      <c r="AI451" s="663"/>
      <c r="AN451" s="542"/>
      <c r="AO451" s="824" t="str">
        <f t="shared" ref="AO451:AO514" si="67">IFERROR(IF(Y451&lt;&gt;"",Y451,"No"),"No")</f>
        <v>Yes</v>
      </c>
      <c r="AP451" s="259" t="str">
        <f t="shared" ref="AP451:AP514" si="68">IFERROR(IF(N451&lt;&gt;"",N451,"blank"),"NA")</f>
        <v>AUG 20</v>
      </c>
      <c r="AQ451" s="542" t="str">
        <f t="shared" ref="AQ451:AQ514" si="69">IFERROR(IF(AND(AO451="Yes", AP451&lt;&gt;"blank"), "有定金+有預留客戶", IF(AND(AO451="Yes", AP451="blank"), "有定金+无客戶送貨期", IF(AND(OR(AO451="No", ISBLANK(AO451), AO451="NA"), AP451&lt;&gt;"blank"), "无定金+有預留客戶", IF(AND(OR(AO451="No", ISBLANK(AO451), AO451="NA"), AP451="blank"), "无定金+无預留客戶", "")))), "")</f>
        <v>有定金+有預留客戶</v>
      </c>
      <c r="AR451" s="259" t="str">
        <f t="shared" ref="AR451:AR514" si="70">IFERROR(IF(B451="已经到货", "Instock", IF(B451="有交期", "Incoming_Stock_With_YAMAHA_Schedule", IF(B451="TBA.", "Incoming_Stock_No_YAMAHA_Schedule", IF(B451="已发货", "Shipped_Stock", "")))), "")</f>
        <v>Shipped_Stock</v>
      </c>
      <c r="AS451" s="259" t="str">
        <f t="shared" ref="AS451:AS514" si="71">IF(AND(B451="有交期", L451&lt;&gt;""), L451, "")</f>
        <v/>
      </c>
      <c r="AT451" s="259" t="str">
        <f t="shared" ref="AT451:AT514" si="72">IFERROR(IF(R451&lt;&gt;"",R451),"-")</f>
        <v>泰鑫荣</v>
      </c>
      <c r="AU451" s="259" t="str">
        <f t="shared" ref="AU451:AU514" si="73">IFERROR(IF(Q451&lt;&gt;"",Q451),"-")</f>
        <v>C49SZX20200106SS</v>
      </c>
      <c r="AV451" s="259" t="str">
        <f t="shared" ref="AV451:AV514" si="74">IF(L451="","-",TEXT(L451,"mmm-dd"))</f>
        <v>Jul-22</v>
      </c>
    </row>
    <row r="452" spans="1:48" hidden="1">
      <c r="A452" s="559">
        <v>673</v>
      </c>
      <c r="B452" s="664" t="s">
        <v>927</v>
      </c>
      <c r="C452" s="563" t="s">
        <v>15</v>
      </c>
      <c r="D452" s="645" t="s">
        <v>1039</v>
      </c>
      <c r="E452" s="563" t="s">
        <v>886</v>
      </c>
      <c r="F452" s="647" t="s">
        <v>256</v>
      </c>
      <c r="G452" s="647" t="s">
        <v>24</v>
      </c>
      <c r="H452" s="647" t="s">
        <v>26</v>
      </c>
      <c r="I452" s="575" t="s">
        <v>1040</v>
      </c>
      <c r="J452" s="575">
        <v>1</v>
      </c>
      <c r="K452" s="647" t="s">
        <v>437</v>
      </c>
      <c r="L452" s="657">
        <v>44034</v>
      </c>
      <c r="M452" s="576">
        <v>6.6100000000000006E-2</v>
      </c>
      <c r="N452" s="563" t="s">
        <v>930</v>
      </c>
      <c r="O452" s="564">
        <v>2020.07</v>
      </c>
      <c r="P452" s="566" t="str">
        <f>VLOOKUP(A452,'[1]Raw data'!$B:$BB,23,FALSE)</f>
        <v>RMB</v>
      </c>
      <c r="Q452" s="563" t="str">
        <f>VLOOKUP(A452,'[1]Raw data'!$B:$Z,2,FALSE)</f>
        <v>C49SZX20200079KW</v>
      </c>
      <c r="R452" s="563" t="str">
        <f>VLOOKUP(A452,'[1]Raw data'!$B:$Z,3,FALSE)</f>
        <v>晨日电子</v>
      </c>
      <c r="S452" s="563" t="str">
        <f>VLOOKUP(A452,'[1]Raw data'!$B:$Z,4,FALSE)</f>
        <v>YSM20R(SV)-2</v>
      </c>
      <c r="T452" s="563" t="str">
        <f>VLOOKUP(A452,'[1]Raw data'!$B:$Z,8,FALSE)</f>
        <v>L-&gt;R</v>
      </c>
      <c r="U452" s="563" t="str">
        <f>VLOOKUP(A452,'[1]Raw data'!$B:$Z,9,FALSE)</f>
        <v>No</v>
      </c>
      <c r="V452" s="567" t="str">
        <f t="shared" si="66"/>
        <v>OK</v>
      </c>
      <c r="W452" s="563" t="str">
        <f>VLOOKUP(A452,'[1]Raw data'!$B:$AG,32,FALSE)</f>
        <v>含税到厂</v>
      </c>
      <c r="X452" s="563">
        <f>VLOOKUP(A452,'[1]Raw data'!$B:$BA,31,FALSE)</f>
        <v>44005</v>
      </c>
      <c r="Y452" s="563" t="str">
        <f>VLOOKUP(A452,'[1]Raw data'!$B:$AS,39,FALSE)</f>
        <v>Yes</v>
      </c>
      <c r="Z452" s="659"/>
      <c r="AA452" s="660"/>
      <c r="AB452" s="661"/>
      <c r="AC452" s="647" t="s">
        <v>931</v>
      </c>
      <c r="AD452" s="662"/>
      <c r="AE452" s="662"/>
      <c r="AF452" s="662"/>
      <c r="AG452" s="662"/>
      <c r="AH452" s="662"/>
      <c r="AI452" s="663"/>
      <c r="AN452" s="542"/>
      <c r="AO452" s="824" t="str">
        <f t="shared" si="67"/>
        <v>Yes</v>
      </c>
      <c r="AP452" s="259" t="str">
        <f t="shared" si="68"/>
        <v>AUG 20</v>
      </c>
      <c r="AQ452" s="542" t="str">
        <f t="shared" si="69"/>
        <v>有定金+有預留客戶</v>
      </c>
      <c r="AR452" s="259" t="str">
        <f t="shared" si="70"/>
        <v>Shipped_Stock</v>
      </c>
      <c r="AS452" s="259" t="str">
        <f t="shared" si="71"/>
        <v/>
      </c>
      <c r="AT452" s="259" t="str">
        <f t="shared" si="72"/>
        <v>晨日电子</v>
      </c>
      <c r="AU452" s="259" t="str">
        <f t="shared" si="73"/>
        <v>C49SZX20200079KW</v>
      </c>
      <c r="AV452" s="259" t="str">
        <f t="shared" si="74"/>
        <v>Jul-22</v>
      </c>
    </row>
    <row r="453" spans="1:48" hidden="1">
      <c r="A453" s="559">
        <v>687</v>
      </c>
      <c r="B453" s="664" t="s">
        <v>280</v>
      </c>
      <c r="C453" s="563" t="s">
        <v>15</v>
      </c>
      <c r="D453" s="645">
        <v>109924</v>
      </c>
      <c r="E453" s="563" t="s">
        <v>886</v>
      </c>
      <c r="F453" s="647" t="s">
        <v>17</v>
      </c>
      <c r="G453" s="647" t="s">
        <v>18</v>
      </c>
      <c r="H453" s="647" t="s">
        <v>26</v>
      </c>
      <c r="I453" s="575" t="s">
        <v>1041</v>
      </c>
      <c r="J453" s="575">
        <v>1</v>
      </c>
      <c r="K453" s="647" t="s">
        <v>437</v>
      </c>
      <c r="L453" s="657">
        <v>44034</v>
      </c>
      <c r="M453" s="576" t="s">
        <v>906</v>
      </c>
      <c r="N453" s="563" t="s">
        <v>300</v>
      </c>
      <c r="O453" s="563">
        <v>2020.07</v>
      </c>
      <c r="P453" s="566" t="str">
        <f>VLOOKUP(A453,'[1]Raw data'!$B:$BB,23,FALSE)</f>
        <v>JPY</v>
      </c>
      <c r="Q453" s="563" t="str">
        <f>VLOOKUP(A453,'[1]Raw data'!$B:$Z,2,FALSE)</f>
        <v>C49SZX20200070JY</v>
      </c>
      <c r="R453" s="563" t="str">
        <f>VLOOKUP(A453,'[1]Raw data'!$B:$Z,3,FALSE)</f>
        <v>惠州创荣发</v>
      </c>
      <c r="S453" s="563" t="str">
        <f>VLOOKUP(A453,'[1]Raw data'!$B:$Z,4,FALSE)</f>
        <v>YSM10</v>
      </c>
      <c r="T453" s="563" t="str">
        <f>VLOOKUP(A453,'[1]Raw data'!$B:$Z,8,FALSE)</f>
        <v>L-&gt;R</v>
      </c>
      <c r="U453" s="563" t="str">
        <f>VLOOKUP(A453,'[1]Raw data'!$B:$Z,9,FALSE)</f>
        <v>MVC</v>
      </c>
      <c r="V453" s="567" t="str">
        <f t="shared" si="66"/>
        <v>WRONG</v>
      </c>
      <c r="W453" s="563" t="str">
        <f>VLOOKUP(A453,'[1]Raw data'!$B:$AG,32,FALSE)</f>
        <v>DAP HZ</v>
      </c>
      <c r="X453" s="563">
        <f>VLOOKUP(A453,'[1]Raw data'!$B:$BA,31,FALSE)</f>
        <v>44005</v>
      </c>
      <c r="Y453" s="563" t="str">
        <f>VLOOKUP(A453,'[1]Raw data'!$B:$AS,39,FALSE)</f>
        <v>Yes</v>
      </c>
      <c r="Z453" s="659"/>
      <c r="AA453" s="660"/>
      <c r="AB453" s="661"/>
      <c r="AC453" s="647" t="s">
        <v>915</v>
      </c>
      <c r="AD453" s="662">
        <v>301</v>
      </c>
      <c r="AE453" s="662">
        <v>10</v>
      </c>
      <c r="AF453" s="662"/>
      <c r="AG453" s="662"/>
      <c r="AH453" s="662"/>
      <c r="AI453" s="663"/>
      <c r="AN453" s="542"/>
      <c r="AO453" s="824" t="str">
        <f t="shared" si="67"/>
        <v>Yes</v>
      </c>
      <c r="AP453" s="259" t="str">
        <f t="shared" si="68"/>
        <v>JUL 20</v>
      </c>
      <c r="AQ453" s="542" t="str">
        <f t="shared" si="69"/>
        <v>有定金+有預留客戶</v>
      </c>
      <c r="AR453" s="259" t="str">
        <f t="shared" si="70"/>
        <v>Shipped_Stock</v>
      </c>
      <c r="AS453" s="259" t="str">
        <f t="shared" si="71"/>
        <v/>
      </c>
      <c r="AT453" s="259" t="str">
        <f t="shared" si="72"/>
        <v>惠州创荣发</v>
      </c>
      <c r="AU453" s="259" t="str">
        <f t="shared" si="73"/>
        <v>C49SZX20200070JY</v>
      </c>
      <c r="AV453" s="259" t="str">
        <f t="shared" si="74"/>
        <v>Jul-22</v>
      </c>
    </row>
    <row r="454" spans="1:48" hidden="1">
      <c r="A454" s="559">
        <v>688</v>
      </c>
      <c r="B454" s="664" t="s">
        <v>280</v>
      </c>
      <c r="C454" s="563" t="s">
        <v>15</v>
      </c>
      <c r="D454" s="645">
        <v>109924</v>
      </c>
      <c r="E454" s="563" t="s">
        <v>886</v>
      </c>
      <c r="F454" s="647" t="s">
        <v>17</v>
      </c>
      <c r="G454" s="647" t="s">
        <v>18</v>
      </c>
      <c r="H454" s="647" t="s">
        <v>26</v>
      </c>
      <c r="I454" s="575" t="s">
        <v>1042</v>
      </c>
      <c r="J454" s="575">
        <v>1</v>
      </c>
      <c r="K454" s="647" t="s">
        <v>437</v>
      </c>
      <c r="L454" s="657">
        <v>44034</v>
      </c>
      <c r="M454" s="576" t="s">
        <v>906</v>
      </c>
      <c r="N454" s="563" t="s">
        <v>300</v>
      </c>
      <c r="O454" s="563">
        <v>2020.07</v>
      </c>
      <c r="P454" s="566" t="str">
        <f>VLOOKUP(A454,'[1]Raw data'!$B:$BB,23,FALSE)</f>
        <v>JPY</v>
      </c>
      <c r="Q454" s="563" t="str">
        <f>VLOOKUP(A454,'[1]Raw data'!$B:$Z,2,FALSE)</f>
        <v>C49SZX20200070JY</v>
      </c>
      <c r="R454" s="563" t="str">
        <f>VLOOKUP(A454,'[1]Raw data'!$B:$Z,3,FALSE)</f>
        <v>惠州创荣发</v>
      </c>
      <c r="S454" s="563" t="str">
        <f>VLOOKUP(A454,'[1]Raw data'!$B:$Z,4,FALSE)</f>
        <v>YSM10</v>
      </c>
      <c r="T454" s="563" t="str">
        <f>VLOOKUP(A454,'[1]Raw data'!$B:$Z,8,FALSE)</f>
        <v>L-&gt;R</v>
      </c>
      <c r="U454" s="563" t="str">
        <f>VLOOKUP(A454,'[1]Raw data'!$B:$Z,9,FALSE)</f>
        <v>MVC</v>
      </c>
      <c r="V454" s="567" t="str">
        <f t="shared" si="66"/>
        <v>WRONG</v>
      </c>
      <c r="W454" s="563" t="str">
        <f>VLOOKUP(A454,'[1]Raw data'!$B:$AG,32,FALSE)</f>
        <v>DAP HZ</v>
      </c>
      <c r="X454" s="563">
        <f>VLOOKUP(A454,'[1]Raw data'!$B:$BA,31,FALSE)</f>
        <v>44005</v>
      </c>
      <c r="Y454" s="563" t="str">
        <f>VLOOKUP(A454,'[1]Raw data'!$B:$AS,39,FALSE)</f>
        <v>Yes</v>
      </c>
      <c r="Z454" s="659"/>
      <c r="AA454" s="660"/>
      <c r="AB454" s="661"/>
      <c r="AC454" s="647" t="s">
        <v>915</v>
      </c>
      <c r="AD454" s="662">
        <v>301</v>
      </c>
      <c r="AE454" s="662">
        <v>10</v>
      </c>
      <c r="AF454" s="662"/>
      <c r="AG454" s="662"/>
      <c r="AH454" s="662"/>
      <c r="AI454" s="663"/>
      <c r="AN454" s="542"/>
      <c r="AO454" s="824" t="str">
        <f t="shared" si="67"/>
        <v>Yes</v>
      </c>
      <c r="AP454" s="259" t="str">
        <f t="shared" si="68"/>
        <v>JUL 20</v>
      </c>
      <c r="AQ454" s="542" t="str">
        <f t="shared" si="69"/>
        <v>有定金+有預留客戶</v>
      </c>
      <c r="AR454" s="259" t="str">
        <f t="shared" si="70"/>
        <v>Shipped_Stock</v>
      </c>
      <c r="AS454" s="259" t="str">
        <f t="shared" si="71"/>
        <v/>
      </c>
      <c r="AT454" s="259" t="str">
        <f t="shared" si="72"/>
        <v>惠州创荣发</v>
      </c>
      <c r="AU454" s="259" t="str">
        <f t="shared" si="73"/>
        <v>C49SZX20200070JY</v>
      </c>
      <c r="AV454" s="259" t="str">
        <f t="shared" si="74"/>
        <v>Jul-22</v>
      </c>
    </row>
    <row r="455" spans="1:48" hidden="1">
      <c r="A455" s="559">
        <v>691</v>
      </c>
      <c r="B455" s="664" t="s">
        <v>927</v>
      </c>
      <c r="C455" s="563" t="s">
        <v>15</v>
      </c>
      <c r="D455" s="645">
        <v>109924</v>
      </c>
      <c r="E455" s="563" t="s">
        <v>886</v>
      </c>
      <c r="F455" s="647" t="s">
        <v>17</v>
      </c>
      <c r="G455" s="647" t="s">
        <v>18</v>
      </c>
      <c r="H455" s="647" t="s">
        <v>26</v>
      </c>
      <c r="I455" s="575" t="s">
        <v>1043</v>
      </c>
      <c r="J455" s="575">
        <v>1</v>
      </c>
      <c r="K455" s="647" t="s">
        <v>437</v>
      </c>
      <c r="L455" s="657">
        <v>44034</v>
      </c>
      <c r="M455" s="576" t="s">
        <v>906</v>
      </c>
      <c r="N455" s="563" t="s">
        <v>300</v>
      </c>
      <c r="O455" s="563">
        <v>2020.07</v>
      </c>
      <c r="P455" s="566" t="str">
        <f>VLOOKUP(A455,'[1]Raw data'!$B:$BB,23,FALSE)</f>
        <v>JPY</v>
      </c>
      <c r="Q455" s="563" t="str">
        <f>VLOOKUP(A455,'[1]Raw data'!$B:$Z,2,FALSE)</f>
        <v>C49SZX20200072JY</v>
      </c>
      <c r="R455" s="563" t="str">
        <f>VLOOKUP(A455,'[1]Raw data'!$B:$Z,3,FALSE)</f>
        <v>百施达</v>
      </c>
      <c r="S455" s="563" t="str">
        <f>VLOOKUP(A455,'[1]Raw data'!$B:$Z,4,FALSE)</f>
        <v>YSM10</v>
      </c>
      <c r="T455" s="563" t="str">
        <f>VLOOKUP(A455,'[1]Raw data'!$B:$Z,8,FALSE)</f>
        <v>L-&gt;R</v>
      </c>
      <c r="U455" s="563" t="str">
        <f>VLOOKUP(A455,'[1]Raw data'!$B:$Z,9,FALSE)</f>
        <v>MVC</v>
      </c>
      <c r="V455" s="567" t="str">
        <f t="shared" si="66"/>
        <v>WRONG</v>
      </c>
      <c r="W455" s="563" t="str">
        <f>VLOOKUP(A455,'[1]Raw data'!$B:$AG,32,FALSE)</f>
        <v>DAP DG</v>
      </c>
      <c r="X455" s="563">
        <f>VLOOKUP(A455,'[1]Raw data'!$B:$BA,31,FALSE)</f>
        <v>44014</v>
      </c>
      <c r="Y455" s="563" t="str">
        <f>VLOOKUP(A455,'[1]Raw data'!$B:$AS,39,FALSE)</f>
        <v>Yes</v>
      </c>
      <c r="Z455" s="659"/>
      <c r="AA455" s="660"/>
      <c r="AB455" s="661"/>
      <c r="AC455" s="647" t="s">
        <v>1044</v>
      </c>
      <c r="AD455" s="662">
        <v>301</v>
      </c>
      <c r="AE455" s="662">
        <v>10</v>
      </c>
      <c r="AF455" s="662"/>
      <c r="AG455" s="662"/>
      <c r="AH455" s="662"/>
      <c r="AI455" s="663"/>
      <c r="AN455" s="542"/>
      <c r="AO455" s="824" t="str">
        <f t="shared" si="67"/>
        <v>Yes</v>
      </c>
      <c r="AP455" s="259" t="str">
        <f t="shared" si="68"/>
        <v>JUL 20</v>
      </c>
      <c r="AQ455" s="542" t="str">
        <f t="shared" si="69"/>
        <v>有定金+有預留客戶</v>
      </c>
      <c r="AR455" s="259" t="str">
        <f t="shared" si="70"/>
        <v>Shipped_Stock</v>
      </c>
      <c r="AS455" s="259" t="str">
        <f t="shared" si="71"/>
        <v/>
      </c>
      <c r="AT455" s="259" t="str">
        <f t="shared" si="72"/>
        <v>百施达</v>
      </c>
      <c r="AU455" s="259" t="str">
        <f t="shared" si="73"/>
        <v>C49SZX20200072JY</v>
      </c>
      <c r="AV455" s="259" t="str">
        <f t="shared" si="74"/>
        <v>Jul-22</v>
      </c>
    </row>
    <row r="456" spans="1:48" hidden="1">
      <c r="A456" s="559">
        <v>709</v>
      </c>
      <c r="B456" s="664" t="s">
        <v>280</v>
      </c>
      <c r="C456" s="563" t="s">
        <v>15</v>
      </c>
      <c r="D456" s="645">
        <v>109924</v>
      </c>
      <c r="E456" s="563" t="s">
        <v>886</v>
      </c>
      <c r="F456" s="647" t="s">
        <v>17</v>
      </c>
      <c r="G456" s="647" t="s">
        <v>18</v>
      </c>
      <c r="H456" s="647" t="s">
        <v>26</v>
      </c>
      <c r="I456" s="575" t="s">
        <v>1045</v>
      </c>
      <c r="J456" s="575">
        <v>1</v>
      </c>
      <c r="K456" s="647" t="s">
        <v>437</v>
      </c>
      <c r="L456" s="657">
        <v>44034</v>
      </c>
      <c r="M456" s="576" t="s">
        <v>906</v>
      </c>
      <c r="N456" s="563" t="s">
        <v>300</v>
      </c>
      <c r="O456" s="563">
        <v>2020.07</v>
      </c>
      <c r="P456" s="566" t="str">
        <f>VLOOKUP(A456,'[1]Raw data'!$B:$BB,23,FALSE)</f>
        <v>JPY</v>
      </c>
      <c r="Q456" s="563" t="str">
        <f>VLOOKUP(A456,'[1]Raw data'!$B:$Z,2,FALSE)</f>
        <v>C49SZX20200098ZX</v>
      </c>
      <c r="R456" s="563" t="str">
        <f>VLOOKUP(A456,'[1]Raw data'!$B:$Z,3,FALSE)</f>
        <v>格美通</v>
      </c>
      <c r="S456" s="563" t="str">
        <f>VLOOKUP(A456,'[1]Raw data'!$B:$Z,4,FALSE)</f>
        <v>YSM10</v>
      </c>
      <c r="T456" s="563" t="str">
        <f>VLOOKUP(A456,'[1]Raw data'!$B:$Z,8,FALSE)</f>
        <v>L-&gt;R</v>
      </c>
      <c r="U456" s="563" t="str">
        <f>VLOOKUP(A456,'[1]Raw data'!$B:$Z,9,FALSE)</f>
        <v>MVC</v>
      </c>
      <c r="V456" s="567" t="str">
        <f t="shared" si="66"/>
        <v>WRONG</v>
      </c>
      <c r="W456" s="563" t="str">
        <f>VLOOKUP(A456,'[1]Raw data'!$B:$AG,32,FALSE)</f>
        <v>DAP SZ</v>
      </c>
      <c r="X456" s="563">
        <f>VLOOKUP(A456,'[1]Raw data'!$B:$BA,31,FALSE)</f>
        <v>44026</v>
      </c>
      <c r="Y456" s="563" t="str">
        <f>VLOOKUP(A456,'[1]Raw data'!$B:$AS,39,FALSE)</f>
        <v>Yes</v>
      </c>
      <c r="Z456" s="659"/>
      <c r="AA456" s="660"/>
      <c r="AB456" s="661"/>
      <c r="AC456" s="647" t="s">
        <v>1046</v>
      </c>
      <c r="AD456" s="662">
        <v>301</v>
      </c>
      <c r="AE456" s="662">
        <v>10</v>
      </c>
      <c r="AF456" s="662"/>
      <c r="AG456" s="662"/>
      <c r="AH456" s="662"/>
      <c r="AI456" s="663"/>
      <c r="AN456" s="542"/>
      <c r="AO456" s="824" t="str">
        <f t="shared" si="67"/>
        <v>Yes</v>
      </c>
      <c r="AP456" s="259" t="str">
        <f t="shared" si="68"/>
        <v>JUL 20</v>
      </c>
      <c r="AQ456" s="542" t="str">
        <f t="shared" si="69"/>
        <v>有定金+有預留客戶</v>
      </c>
      <c r="AR456" s="259" t="str">
        <f t="shared" si="70"/>
        <v>Shipped_Stock</v>
      </c>
      <c r="AS456" s="259" t="str">
        <f t="shared" si="71"/>
        <v/>
      </c>
      <c r="AT456" s="259" t="str">
        <f t="shared" si="72"/>
        <v>格美通</v>
      </c>
      <c r="AU456" s="259" t="str">
        <f t="shared" si="73"/>
        <v>C49SZX20200098ZX</v>
      </c>
      <c r="AV456" s="259" t="str">
        <f t="shared" si="74"/>
        <v>Jul-22</v>
      </c>
    </row>
    <row r="457" spans="1:48" hidden="1">
      <c r="A457" s="559">
        <v>733</v>
      </c>
      <c r="B457" s="664" t="s">
        <v>927</v>
      </c>
      <c r="C457" s="563" t="s">
        <v>15</v>
      </c>
      <c r="D457" s="645" t="s">
        <v>1047</v>
      </c>
      <c r="E457" s="563" t="s">
        <v>886</v>
      </c>
      <c r="F457" s="647" t="s">
        <v>17</v>
      </c>
      <c r="G457" s="647" t="s">
        <v>18</v>
      </c>
      <c r="H457" s="647" t="s">
        <v>26</v>
      </c>
      <c r="I457" s="575" t="s">
        <v>1048</v>
      </c>
      <c r="J457" s="575">
        <v>1</v>
      </c>
      <c r="K457" s="647" t="s">
        <v>295</v>
      </c>
      <c r="L457" s="657">
        <v>44034</v>
      </c>
      <c r="M457" s="576">
        <v>6.6100000000000006E-2</v>
      </c>
      <c r="N457" s="647" t="s">
        <v>300</v>
      </c>
      <c r="O457" s="647">
        <v>2020.07</v>
      </c>
      <c r="P457" s="566" t="str">
        <f>VLOOKUP(A457,'[1]Raw data'!$B:$BB,23,FALSE)</f>
        <v>RMB</v>
      </c>
      <c r="Q457" s="563" t="str">
        <f>VLOOKUP(A457,'[1]Raw data'!$B:$Z,2,FALSE)</f>
        <v>C49SZX20200097JY</v>
      </c>
      <c r="R457" s="563" t="str">
        <f>VLOOKUP(A457,'[1]Raw data'!$B:$Z,3,FALSE)</f>
        <v>辉拓（end user：海纳科）</v>
      </c>
      <c r="S457" s="563" t="str">
        <f>VLOOKUP(A457,'[1]Raw data'!$B:$Z,4,FALSE)</f>
        <v>YSM10</v>
      </c>
      <c r="T457" s="563" t="str">
        <f>VLOOKUP(A457,'[1]Raw data'!$B:$Z,8,FALSE)</f>
        <v>L-&gt;R</v>
      </c>
      <c r="U457" s="563" t="str">
        <f>VLOOKUP(A457,'[1]Raw data'!$B:$Z,9,FALSE)</f>
        <v>MVC</v>
      </c>
      <c r="V457" s="567" t="str">
        <f t="shared" si="66"/>
        <v>WRONG</v>
      </c>
      <c r="W457" s="563" t="str">
        <f>VLOOKUP(A457,'[1]Raw data'!$B:$AG,32,FALSE)</f>
        <v>含税到厂</v>
      </c>
      <c r="X457" s="563">
        <f>VLOOKUP(A457,'[1]Raw data'!$B:$BA,31,FALSE)</f>
        <v>44032</v>
      </c>
      <c r="Y457" s="563" t="str">
        <f>VLOOKUP(A457,'[1]Raw data'!$B:$AS,39,FALSE)</f>
        <v>Yes</v>
      </c>
      <c r="Z457" s="659"/>
      <c r="AA457" s="660"/>
      <c r="AB457" s="661"/>
      <c r="AC457" s="647" t="s">
        <v>1049</v>
      </c>
      <c r="AD457" s="662">
        <v>301</v>
      </c>
      <c r="AE457" s="662">
        <v>10</v>
      </c>
      <c r="AF457" s="662"/>
      <c r="AG457" s="662"/>
      <c r="AH457" s="662"/>
      <c r="AI457" s="663"/>
      <c r="AN457" s="542"/>
      <c r="AO457" s="824" t="str">
        <f t="shared" si="67"/>
        <v>Yes</v>
      </c>
      <c r="AP457" s="259" t="str">
        <f t="shared" si="68"/>
        <v>JUL 20</v>
      </c>
      <c r="AQ457" s="542" t="str">
        <f t="shared" si="69"/>
        <v>有定金+有預留客戶</v>
      </c>
      <c r="AR457" s="259" t="str">
        <f t="shared" si="70"/>
        <v>Shipped_Stock</v>
      </c>
      <c r="AS457" s="259" t="str">
        <f t="shared" si="71"/>
        <v/>
      </c>
      <c r="AT457" s="259" t="str">
        <f t="shared" si="72"/>
        <v>辉拓（end user：海纳科）</v>
      </c>
      <c r="AU457" s="259" t="str">
        <f t="shared" si="73"/>
        <v>C49SZX20200097JY</v>
      </c>
      <c r="AV457" s="259" t="str">
        <f t="shared" si="74"/>
        <v>Jul-22</v>
      </c>
    </row>
    <row r="458" spans="1:48" hidden="1">
      <c r="A458" s="559">
        <v>710</v>
      </c>
      <c r="B458" s="664" t="s">
        <v>280</v>
      </c>
      <c r="C458" s="563" t="s">
        <v>15</v>
      </c>
      <c r="D458" s="645" t="s">
        <v>1047</v>
      </c>
      <c r="E458" s="563" t="s">
        <v>886</v>
      </c>
      <c r="F458" s="647" t="s">
        <v>17</v>
      </c>
      <c r="G458" s="647" t="s">
        <v>18</v>
      </c>
      <c r="H458" s="647" t="s">
        <v>26</v>
      </c>
      <c r="I458" s="575" t="s">
        <v>1050</v>
      </c>
      <c r="J458" s="575">
        <v>1</v>
      </c>
      <c r="K458" s="647" t="s">
        <v>437</v>
      </c>
      <c r="L458" s="657">
        <v>44034</v>
      </c>
      <c r="M458" s="576">
        <v>6.6100000000000006E-2</v>
      </c>
      <c r="N458" s="647" t="s">
        <v>300</v>
      </c>
      <c r="O458" s="563">
        <v>2020.07</v>
      </c>
      <c r="P458" s="566" t="str">
        <f>VLOOKUP(A458,'[1]Raw data'!$B:$BB,23,FALSE)</f>
        <v>JPY</v>
      </c>
      <c r="Q458" s="563" t="str">
        <f>VLOOKUP(A458,'[1]Raw data'!$B:$Z,2,FALSE)</f>
        <v>C49SZX20200098ZX</v>
      </c>
      <c r="R458" s="563" t="str">
        <f>VLOOKUP(A458,'[1]Raw data'!$B:$Z,3,FALSE)</f>
        <v>格美通</v>
      </c>
      <c r="S458" s="563" t="str">
        <f>VLOOKUP(A458,'[1]Raw data'!$B:$Z,4,FALSE)</f>
        <v>YSM10</v>
      </c>
      <c r="T458" s="563" t="str">
        <f>VLOOKUP(A458,'[1]Raw data'!$B:$Z,8,FALSE)</f>
        <v>L-&gt;R</v>
      </c>
      <c r="U458" s="563" t="str">
        <f>VLOOKUP(A458,'[1]Raw data'!$B:$Z,9,FALSE)</f>
        <v>MVC</v>
      </c>
      <c r="V458" s="567" t="str">
        <f t="shared" si="66"/>
        <v>WRONG</v>
      </c>
      <c r="W458" s="563" t="str">
        <f>VLOOKUP(A458,'[1]Raw data'!$B:$AG,32,FALSE)</f>
        <v>DAP SZ</v>
      </c>
      <c r="X458" s="563">
        <f>VLOOKUP(A458,'[1]Raw data'!$B:$BA,31,FALSE)</f>
        <v>44026</v>
      </c>
      <c r="Y458" s="563" t="str">
        <f>VLOOKUP(A458,'[1]Raw data'!$B:$AS,39,FALSE)</f>
        <v>Yes</v>
      </c>
      <c r="Z458" s="659"/>
      <c r="AA458" s="660"/>
      <c r="AB458" s="661"/>
      <c r="AC458" s="647" t="s">
        <v>1046</v>
      </c>
      <c r="AD458" s="662">
        <v>301</v>
      </c>
      <c r="AE458" s="662">
        <v>10</v>
      </c>
      <c r="AF458" s="662"/>
      <c r="AG458" s="662"/>
      <c r="AH458" s="662"/>
      <c r="AI458" s="663"/>
      <c r="AN458" s="542"/>
      <c r="AO458" s="824" t="str">
        <f t="shared" si="67"/>
        <v>Yes</v>
      </c>
      <c r="AP458" s="259" t="str">
        <f t="shared" si="68"/>
        <v>JUL 20</v>
      </c>
      <c r="AQ458" s="542" t="str">
        <f t="shared" si="69"/>
        <v>有定金+有預留客戶</v>
      </c>
      <c r="AR458" s="259" t="str">
        <f t="shared" si="70"/>
        <v>Shipped_Stock</v>
      </c>
      <c r="AS458" s="259" t="str">
        <f t="shared" si="71"/>
        <v/>
      </c>
      <c r="AT458" s="259" t="str">
        <f t="shared" si="72"/>
        <v>格美通</v>
      </c>
      <c r="AU458" s="259" t="str">
        <f t="shared" si="73"/>
        <v>C49SZX20200098ZX</v>
      </c>
      <c r="AV458" s="259" t="str">
        <f t="shared" si="74"/>
        <v>Jul-22</v>
      </c>
    </row>
    <row r="459" spans="1:48" hidden="1">
      <c r="A459" s="559">
        <v>679</v>
      </c>
      <c r="B459" s="664" t="s">
        <v>927</v>
      </c>
      <c r="C459" s="563" t="s">
        <v>15</v>
      </c>
      <c r="D459" s="645" t="s">
        <v>1047</v>
      </c>
      <c r="E459" s="563" t="s">
        <v>886</v>
      </c>
      <c r="F459" s="647" t="s">
        <v>17</v>
      </c>
      <c r="G459" s="647" t="s">
        <v>18</v>
      </c>
      <c r="H459" s="647" t="s">
        <v>26</v>
      </c>
      <c r="I459" s="575" t="s">
        <v>1051</v>
      </c>
      <c r="J459" s="575">
        <v>1</v>
      </c>
      <c r="K459" s="647" t="s">
        <v>437</v>
      </c>
      <c r="L459" s="657">
        <v>44034</v>
      </c>
      <c r="M459" s="576">
        <v>6.6100000000000006E-2</v>
      </c>
      <c r="N459" s="647" t="s">
        <v>300</v>
      </c>
      <c r="O459" s="647">
        <v>2020.07</v>
      </c>
      <c r="P459" s="566" t="str">
        <f>VLOOKUP(A459,'[1]Raw data'!$B:$BB,23,FALSE)</f>
        <v>RMB</v>
      </c>
      <c r="Q459" s="563" t="str">
        <f>VLOOKUP(A459,'[1]Raw data'!$B:$Z,2,FALSE)</f>
        <v>C49SZX20200085JL</v>
      </c>
      <c r="R459" s="563" t="str">
        <f>VLOOKUP(A459,'[1]Raw data'!$B:$Z,3,FALSE)</f>
        <v>达人高科</v>
      </c>
      <c r="S459" s="563" t="str">
        <f>VLOOKUP(A459,'[1]Raw data'!$B:$Z,4,FALSE)</f>
        <v>YSM10</v>
      </c>
      <c r="T459" s="563" t="str">
        <f>VLOOKUP(A459,'[1]Raw data'!$B:$Z,8,FALSE)</f>
        <v>L-&gt;R</v>
      </c>
      <c r="U459" s="563" t="str">
        <f>VLOOKUP(A459,'[1]Raw data'!$B:$Z,9,FALSE)</f>
        <v>MVC</v>
      </c>
      <c r="V459" s="567" t="str">
        <f t="shared" si="66"/>
        <v>WRONG</v>
      </c>
      <c r="W459" s="563" t="str">
        <f>VLOOKUP(A459,'[1]Raw data'!$B:$AG,32,FALSE)</f>
        <v>含税到厂</v>
      </c>
      <c r="X459" s="563">
        <f>VLOOKUP(A459,'[1]Raw data'!$B:$BA,31,FALSE)</f>
        <v>44006</v>
      </c>
      <c r="Y459" s="563" t="str">
        <f>VLOOKUP(A459,'[1]Raw data'!$B:$AS,39,FALSE)</f>
        <v>Yes</v>
      </c>
      <c r="Z459" s="659"/>
      <c r="AA459" s="660"/>
      <c r="AB459" s="661"/>
      <c r="AC459" s="647" t="s">
        <v>1011</v>
      </c>
      <c r="AD459" s="662">
        <v>302</v>
      </c>
      <c r="AE459" s="662">
        <v>10</v>
      </c>
      <c r="AF459" s="662"/>
      <c r="AG459" s="662"/>
      <c r="AH459" s="662"/>
      <c r="AI459" s="663"/>
      <c r="AN459" s="542"/>
      <c r="AO459" s="824" t="str">
        <f t="shared" si="67"/>
        <v>Yes</v>
      </c>
      <c r="AP459" s="259" t="str">
        <f t="shared" si="68"/>
        <v>JUL 20</v>
      </c>
      <c r="AQ459" s="542" t="str">
        <f t="shared" si="69"/>
        <v>有定金+有預留客戶</v>
      </c>
      <c r="AR459" s="259" t="str">
        <f t="shared" si="70"/>
        <v>Shipped_Stock</v>
      </c>
      <c r="AS459" s="259" t="str">
        <f t="shared" si="71"/>
        <v/>
      </c>
      <c r="AT459" s="259" t="str">
        <f t="shared" si="72"/>
        <v>达人高科</v>
      </c>
      <c r="AU459" s="259" t="str">
        <f t="shared" si="73"/>
        <v>C49SZX20200085JL</v>
      </c>
      <c r="AV459" s="259" t="str">
        <f t="shared" si="74"/>
        <v>Jul-22</v>
      </c>
    </row>
    <row r="460" spans="1:48" hidden="1">
      <c r="A460" s="559">
        <v>764</v>
      </c>
      <c r="B460" s="560" t="s">
        <v>280</v>
      </c>
      <c r="C460" s="563" t="s">
        <v>15</v>
      </c>
      <c r="D460" s="645" t="s">
        <v>1047</v>
      </c>
      <c r="E460" s="563" t="s">
        <v>886</v>
      </c>
      <c r="F460" s="647" t="s">
        <v>17</v>
      </c>
      <c r="G460" s="647" t="s">
        <v>18</v>
      </c>
      <c r="H460" s="647" t="s">
        <v>26</v>
      </c>
      <c r="I460" s="575" t="s">
        <v>1052</v>
      </c>
      <c r="J460" s="575">
        <v>1</v>
      </c>
      <c r="K460" s="647" t="s">
        <v>437</v>
      </c>
      <c r="L460" s="657">
        <v>44034</v>
      </c>
      <c r="M460" s="576">
        <v>6.6100000000000006E-2</v>
      </c>
      <c r="N460" s="647" t="s">
        <v>930</v>
      </c>
      <c r="O460" s="563">
        <v>2020.07</v>
      </c>
      <c r="P460" s="566" t="str">
        <f>VLOOKUP(A460,'[1]Raw data'!$B:$BB,23,FALSE)</f>
        <v>RMB</v>
      </c>
      <c r="Q460" s="563" t="str">
        <f>VLOOKUP(A460,'[1]Raw data'!$B:$Z,2,FALSE)</f>
        <v>C49SZX20200131KW</v>
      </c>
      <c r="R460" s="563" t="str">
        <f>VLOOKUP(A460,'[1]Raw data'!$B:$Z,3,FALSE)</f>
        <v>江恒</v>
      </c>
      <c r="S460" s="563" t="str">
        <f>VLOOKUP(A460,'[1]Raw data'!$B:$Z,4,FALSE)</f>
        <v>YSM10</v>
      </c>
      <c r="T460" s="563" t="str">
        <f>VLOOKUP(A460,'[1]Raw data'!$B:$Z,8,FALSE)</f>
        <v>L-&gt;R</v>
      </c>
      <c r="U460" s="563" t="str">
        <f>VLOOKUP(A460,'[1]Raw data'!$B:$Z,9,FALSE)</f>
        <v>MVC</v>
      </c>
      <c r="V460" s="567" t="str">
        <f t="shared" si="66"/>
        <v>WRONG</v>
      </c>
      <c r="W460" s="563" t="str">
        <f>VLOOKUP(A460,'[1]Raw data'!$B:$AG,32,FALSE)</f>
        <v>含税到厂</v>
      </c>
      <c r="X460" s="563">
        <f>VLOOKUP(A460,'[1]Raw data'!$B:$BA,31,FALSE)</f>
        <v>44051</v>
      </c>
      <c r="Y460" s="563" t="str">
        <f>VLOOKUP(A460,'[1]Raw data'!$B:$AS,39,FALSE)</f>
        <v>Yes</v>
      </c>
      <c r="Z460" s="659"/>
      <c r="AA460" s="660"/>
      <c r="AB460" s="661"/>
      <c r="AC460" s="647" t="s">
        <v>1053</v>
      </c>
      <c r="AD460" s="662">
        <v>302</v>
      </c>
      <c r="AE460" s="662">
        <v>10</v>
      </c>
      <c r="AF460" s="662"/>
      <c r="AG460" s="662"/>
      <c r="AH460" s="662"/>
      <c r="AI460" s="663"/>
      <c r="AN460" s="542"/>
      <c r="AO460" s="824" t="str">
        <f t="shared" si="67"/>
        <v>Yes</v>
      </c>
      <c r="AP460" s="259" t="str">
        <f t="shared" si="68"/>
        <v>AUG 20</v>
      </c>
      <c r="AQ460" s="542" t="str">
        <f t="shared" si="69"/>
        <v>有定金+有預留客戶</v>
      </c>
      <c r="AR460" s="259" t="str">
        <f t="shared" si="70"/>
        <v>Shipped_Stock</v>
      </c>
      <c r="AS460" s="259" t="str">
        <f t="shared" si="71"/>
        <v/>
      </c>
      <c r="AT460" s="259" t="str">
        <f t="shared" si="72"/>
        <v>江恒</v>
      </c>
      <c r="AU460" s="259" t="str">
        <f t="shared" si="73"/>
        <v>C49SZX20200131KW</v>
      </c>
      <c r="AV460" s="259" t="str">
        <f t="shared" si="74"/>
        <v>Jul-22</v>
      </c>
    </row>
    <row r="461" spans="1:48" hidden="1">
      <c r="A461" s="559">
        <v>752</v>
      </c>
      <c r="B461" s="560" t="s">
        <v>927</v>
      </c>
      <c r="C461" s="563" t="s">
        <v>15</v>
      </c>
      <c r="D461" s="599" t="s">
        <v>1054</v>
      </c>
      <c r="E461" s="562" t="s">
        <v>968</v>
      </c>
      <c r="F461" s="563" t="s">
        <v>256</v>
      </c>
      <c r="G461" s="563" t="s">
        <v>24</v>
      </c>
      <c r="H461" s="563" t="s">
        <v>307</v>
      </c>
      <c r="I461" s="564" t="s">
        <v>1055</v>
      </c>
      <c r="J461" s="564">
        <v>1</v>
      </c>
      <c r="K461" s="563" t="s">
        <v>1056</v>
      </c>
      <c r="L461" s="657">
        <v>44035</v>
      </c>
      <c r="M461" s="576">
        <v>6.6900000000000001E-2</v>
      </c>
      <c r="N461" s="647" t="s">
        <v>930</v>
      </c>
      <c r="O461" s="564">
        <v>2020.07</v>
      </c>
      <c r="P461" s="566" t="str">
        <f>VLOOKUP(A461,'[1]Raw data'!$B:$BB,23,FALSE)</f>
        <v>RMB</v>
      </c>
      <c r="Q461" s="563" t="str">
        <f>VLOOKUP(A461,'[1]Raw data'!$B:$Z,2,FALSE)</f>
        <v>C49SZX20200119SS</v>
      </c>
      <c r="R461" s="563" t="str">
        <f>VLOOKUP(A461,'[1]Raw data'!$B:$Z,3,FALSE)</f>
        <v>兴丰源</v>
      </c>
      <c r="S461" s="563" t="str">
        <f>VLOOKUP(A461,'[1]Raw data'!$B:$Z,4,FALSE)</f>
        <v>YSM20R(SV)-2</v>
      </c>
      <c r="T461" s="563" t="str">
        <f>VLOOKUP(A461,'[1]Raw data'!$B:$Z,8,FALSE)</f>
        <v>L-&gt;R</v>
      </c>
      <c r="U461" s="563" t="str">
        <f>VLOOKUP(A461,'[1]Raw data'!$B:$Z,9,FALSE)</f>
        <v>No</v>
      </c>
      <c r="V461" s="567" t="str">
        <f t="shared" si="66"/>
        <v>OK</v>
      </c>
      <c r="W461" s="563" t="str">
        <f>VLOOKUP(A461,'[1]Raw data'!$B:$AG,32,FALSE)</f>
        <v>含税到厂</v>
      </c>
      <c r="X461" s="563">
        <f>VLOOKUP(A461,'[1]Raw data'!$B:$BA,31,FALSE)</f>
        <v>44042</v>
      </c>
      <c r="Y461" s="563" t="str">
        <f>VLOOKUP(A461,'[1]Raw data'!$B:$AS,39,FALSE)</f>
        <v>Yes</v>
      </c>
      <c r="AC461" s="563" t="s">
        <v>1057</v>
      </c>
      <c r="AD461" s="571">
        <v>301</v>
      </c>
      <c r="AE461" s="571">
        <v>10</v>
      </c>
      <c r="AF461" s="571">
        <v>304</v>
      </c>
      <c r="AG461" s="571">
        <v>10</v>
      </c>
      <c r="AN461" s="542"/>
      <c r="AO461" s="824" t="str">
        <f t="shared" si="67"/>
        <v>Yes</v>
      </c>
      <c r="AP461" s="259" t="str">
        <f t="shared" si="68"/>
        <v>AUG 20</v>
      </c>
      <c r="AQ461" s="542" t="str">
        <f t="shared" si="69"/>
        <v>有定金+有預留客戶</v>
      </c>
      <c r="AR461" s="259" t="str">
        <f t="shared" si="70"/>
        <v>Shipped_Stock</v>
      </c>
      <c r="AS461" s="259" t="str">
        <f t="shared" si="71"/>
        <v/>
      </c>
      <c r="AT461" s="259" t="str">
        <f t="shared" si="72"/>
        <v>兴丰源</v>
      </c>
      <c r="AU461" s="259" t="str">
        <f t="shared" si="73"/>
        <v>C49SZX20200119SS</v>
      </c>
      <c r="AV461" s="259" t="str">
        <f t="shared" si="74"/>
        <v>Jul-23</v>
      </c>
    </row>
    <row r="462" spans="1:48" hidden="1">
      <c r="A462" s="559">
        <v>462</v>
      </c>
      <c r="B462" s="560" t="s">
        <v>280</v>
      </c>
      <c r="C462" s="563" t="s">
        <v>15</v>
      </c>
      <c r="D462" s="645">
        <v>109933</v>
      </c>
      <c r="E462" s="563" t="s">
        <v>1058</v>
      </c>
      <c r="F462" s="647" t="s">
        <v>17</v>
      </c>
      <c r="G462" s="647" t="s">
        <v>18</v>
      </c>
      <c r="H462" s="647" t="s">
        <v>19</v>
      </c>
      <c r="I462" s="575" t="s">
        <v>1059</v>
      </c>
      <c r="J462" s="575">
        <v>1</v>
      </c>
      <c r="K462" s="647" t="s">
        <v>437</v>
      </c>
      <c r="L462" s="657">
        <v>44055</v>
      </c>
      <c r="M462" s="576" t="s">
        <v>906</v>
      </c>
      <c r="N462" s="647" t="s">
        <v>930</v>
      </c>
      <c r="O462" s="647">
        <v>2020.07</v>
      </c>
      <c r="P462" s="566" t="str">
        <f>VLOOKUP(A462,'[1]Raw data'!$B:$BB,23,FALSE)</f>
        <v>JPY</v>
      </c>
      <c r="Q462" s="563" t="str">
        <f>VLOOKUP(A462,'[1]Raw data'!$B:$Z,2,FALSE)</f>
        <v>C49SZX20190151MZ</v>
      </c>
      <c r="R462" s="563" t="str">
        <f>VLOOKUP(A462,'[1]Raw data'!$B:$Z,3,FALSE)</f>
        <v>魔乐视/end user:拓普赛特</v>
      </c>
      <c r="S462" s="563" t="str">
        <f>VLOOKUP(A462,'[1]Raw data'!$B:$Z,4,FALSE)</f>
        <v>YSM10</v>
      </c>
      <c r="T462" s="563" t="str">
        <f>VLOOKUP(A462,'[1]Raw data'!$B:$Z,8,FALSE)</f>
        <v>L-&gt;R</v>
      </c>
      <c r="U462" s="563" t="str">
        <f>VLOOKUP(A462,'[1]Raw data'!$B:$Z,9,FALSE)</f>
        <v>MVC+ATS15</v>
      </c>
      <c r="V462" s="567" t="str">
        <f t="shared" si="66"/>
        <v>WRONG</v>
      </c>
      <c r="W462" s="563" t="str">
        <f>VLOOKUP(A462,'[1]Raw data'!$B:$AG,32,FALSE)</f>
        <v>DAP SZ</v>
      </c>
      <c r="X462" s="563">
        <f>VLOOKUP(A462,'[1]Raw data'!$B:$BA,31,FALSE)</f>
        <v>43762</v>
      </c>
      <c r="Y462" s="563" t="str">
        <f>VLOOKUP(A462,'[1]Raw data'!$B:$AS,39,FALSE)</f>
        <v>Yes</v>
      </c>
      <c r="Z462" s="659"/>
      <c r="AA462" s="660"/>
      <c r="AB462" s="661"/>
      <c r="AC462" s="647" t="s">
        <v>736</v>
      </c>
      <c r="AD462" s="662">
        <v>301</v>
      </c>
      <c r="AE462" s="662">
        <v>10</v>
      </c>
      <c r="AF462" s="662"/>
      <c r="AG462" s="662"/>
      <c r="AH462" s="662"/>
      <c r="AI462" s="663"/>
      <c r="AN462" s="542"/>
      <c r="AO462" s="824" t="str">
        <f t="shared" si="67"/>
        <v>Yes</v>
      </c>
      <c r="AP462" s="259" t="str">
        <f t="shared" si="68"/>
        <v>AUG 20</v>
      </c>
      <c r="AQ462" s="542" t="str">
        <f t="shared" si="69"/>
        <v>有定金+有預留客戶</v>
      </c>
      <c r="AR462" s="259" t="str">
        <f t="shared" si="70"/>
        <v>Shipped_Stock</v>
      </c>
      <c r="AS462" s="259" t="str">
        <f t="shared" si="71"/>
        <v/>
      </c>
      <c r="AT462" s="259" t="str">
        <f t="shared" si="72"/>
        <v>魔乐视/end user:拓普赛特</v>
      </c>
      <c r="AU462" s="259" t="str">
        <f t="shared" si="73"/>
        <v>C49SZX20190151MZ</v>
      </c>
      <c r="AV462" s="259" t="str">
        <f t="shared" si="74"/>
        <v>Aug-12</v>
      </c>
    </row>
    <row r="463" spans="1:48" hidden="1">
      <c r="A463" s="559">
        <v>767</v>
      </c>
      <c r="B463" s="560" t="s">
        <v>927</v>
      </c>
      <c r="C463" s="563" t="s">
        <v>15</v>
      </c>
      <c r="D463" s="645">
        <v>109933</v>
      </c>
      <c r="E463" s="563" t="s">
        <v>1058</v>
      </c>
      <c r="F463" s="647" t="s">
        <v>17</v>
      </c>
      <c r="G463" s="647" t="s">
        <v>18</v>
      </c>
      <c r="H463" s="647" t="s">
        <v>19</v>
      </c>
      <c r="I463" s="575" t="s">
        <v>1060</v>
      </c>
      <c r="J463" s="575">
        <v>1</v>
      </c>
      <c r="K463" s="647" t="s">
        <v>437</v>
      </c>
      <c r="L463" s="657">
        <v>44055</v>
      </c>
      <c r="M463" s="576" t="s">
        <v>1061</v>
      </c>
      <c r="N463" s="647" t="s">
        <v>918</v>
      </c>
      <c r="O463" s="647">
        <v>2020.07</v>
      </c>
      <c r="P463" s="566" t="str">
        <f>VLOOKUP(A463,'[1]Raw data'!$B:$BB,23,FALSE)</f>
        <v>JPY</v>
      </c>
      <c r="Q463" s="563" t="str">
        <f>VLOOKUP(A463,'[1]Raw data'!$B:$Z,2,FALSE)</f>
        <v>C49SZX20200078CY</v>
      </c>
      <c r="R463" s="563" t="str">
        <f>VLOOKUP(A463,'[1]Raw data'!$B:$Z,3,FALSE)</f>
        <v>博德越</v>
      </c>
      <c r="S463" s="563" t="str">
        <f>VLOOKUP(A463,'[1]Raw data'!$B:$Z,4,FALSE)</f>
        <v>YSM10</v>
      </c>
      <c r="T463" s="563" t="str">
        <f>VLOOKUP(A463,'[1]Raw data'!$B:$Z,8,FALSE)</f>
        <v>R-&gt;L</v>
      </c>
      <c r="U463" s="563" t="str">
        <f>VLOOKUP(A463,'[1]Raw data'!$B:$Z,9,FALSE)</f>
        <v>MVC+ATS15</v>
      </c>
      <c r="V463" s="567" t="str">
        <f t="shared" si="66"/>
        <v>WRONG</v>
      </c>
      <c r="W463" s="563" t="str">
        <f>VLOOKUP(A463,'[1]Raw data'!$B:$AG,32,FALSE)</f>
        <v>DAP SZ</v>
      </c>
      <c r="X463" s="563">
        <f>VLOOKUP(A463,'[1]Raw data'!$B:$BA,31,FALSE)</f>
        <v>44053</v>
      </c>
      <c r="Y463" s="563" t="str">
        <f>VLOOKUP(A463,'[1]Raw data'!$B:$AS,39,FALSE)</f>
        <v>Yes</v>
      </c>
      <c r="Z463" s="659"/>
      <c r="AA463" s="660"/>
      <c r="AB463" s="661"/>
      <c r="AC463" s="647" t="s">
        <v>1062</v>
      </c>
      <c r="AD463" s="662">
        <v>301</v>
      </c>
      <c r="AE463" s="662">
        <v>10</v>
      </c>
      <c r="AF463" s="662"/>
      <c r="AG463" s="662"/>
      <c r="AH463" s="662"/>
      <c r="AI463" s="663"/>
      <c r="AN463" s="542"/>
      <c r="AO463" s="824" t="str">
        <f t="shared" si="67"/>
        <v>Yes</v>
      </c>
      <c r="AP463" s="259" t="str">
        <f t="shared" si="68"/>
        <v>SEP 20</v>
      </c>
      <c r="AQ463" s="542" t="str">
        <f t="shared" si="69"/>
        <v>有定金+有預留客戶</v>
      </c>
      <c r="AR463" s="259" t="str">
        <f t="shared" si="70"/>
        <v>Shipped_Stock</v>
      </c>
      <c r="AS463" s="259" t="str">
        <f t="shared" si="71"/>
        <v/>
      </c>
      <c r="AT463" s="259" t="str">
        <f t="shared" si="72"/>
        <v>博德越</v>
      </c>
      <c r="AU463" s="259" t="str">
        <f t="shared" si="73"/>
        <v>C49SZX20200078CY</v>
      </c>
      <c r="AV463" s="259" t="str">
        <f t="shared" si="74"/>
        <v>Aug-12</v>
      </c>
    </row>
    <row r="464" spans="1:48" hidden="1">
      <c r="A464" s="559">
        <v>732</v>
      </c>
      <c r="B464" s="560" t="s">
        <v>280</v>
      </c>
      <c r="C464" s="563" t="s">
        <v>15</v>
      </c>
      <c r="D464" s="645">
        <v>109933</v>
      </c>
      <c r="E464" s="563" t="s">
        <v>1058</v>
      </c>
      <c r="F464" s="647" t="s">
        <v>17</v>
      </c>
      <c r="G464" s="647" t="s">
        <v>18</v>
      </c>
      <c r="H464" s="647" t="s">
        <v>19</v>
      </c>
      <c r="I464" s="575" t="s">
        <v>1063</v>
      </c>
      <c r="J464" s="575">
        <v>1</v>
      </c>
      <c r="K464" s="647" t="s">
        <v>437</v>
      </c>
      <c r="L464" s="657">
        <v>44055</v>
      </c>
      <c r="M464" s="576" t="s">
        <v>1061</v>
      </c>
      <c r="N464" s="647" t="s">
        <v>918</v>
      </c>
      <c r="O464" s="647">
        <v>2020.07</v>
      </c>
      <c r="P464" s="566" t="str">
        <f>VLOOKUP(A464,'[1]Raw data'!$B:$BB,23,FALSE)</f>
        <v>JPY</v>
      </c>
      <c r="Q464" s="563" t="str">
        <f>VLOOKUP(A464,'[1]Raw data'!$B:$Z,2,FALSE)</f>
        <v>C49SZX20200110MZ</v>
      </c>
      <c r="R464" s="563" t="str">
        <f>VLOOKUP(A464,'[1]Raw data'!$B:$Z,3,FALSE)</f>
        <v>融创新合</v>
      </c>
      <c r="S464" s="563" t="str">
        <f>VLOOKUP(A464,'[1]Raw data'!$B:$Z,4,FALSE)</f>
        <v>YSM10</v>
      </c>
      <c r="T464" s="563" t="str">
        <f>VLOOKUP(A464,'[1]Raw data'!$B:$Z,8,FALSE)</f>
        <v>L-&gt;R</v>
      </c>
      <c r="U464" s="563" t="str">
        <f>VLOOKUP(A464,'[1]Raw data'!$B:$Z,9,FALSE)</f>
        <v>MVC+ATS15</v>
      </c>
      <c r="V464" s="567" t="str">
        <f t="shared" si="66"/>
        <v>WRONG</v>
      </c>
      <c r="W464" s="563" t="str">
        <f>VLOOKUP(A464,'[1]Raw data'!$B:$AG,32,FALSE)</f>
        <v>CIF HK</v>
      </c>
      <c r="X464" s="563">
        <f>VLOOKUP(A464,'[1]Raw data'!$B:$BA,31,FALSE)</f>
        <v>44033</v>
      </c>
      <c r="Y464" s="563" t="str">
        <f>VLOOKUP(A464,'[1]Raw data'!$B:$AS,39,FALSE)</f>
        <v>Yes</v>
      </c>
      <c r="Z464" s="659"/>
      <c r="AA464" s="660"/>
      <c r="AB464" s="661"/>
      <c r="AC464" s="647" t="s">
        <v>1064</v>
      </c>
      <c r="AD464" s="662">
        <v>301</v>
      </c>
      <c r="AE464" s="662">
        <v>10</v>
      </c>
      <c r="AF464" s="662"/>
      <c r="AG464" s="662"/>
      <c r="AH464" s="662"/>
      <c r="AI464" s="663"/>
      <c r="AN464" s="542"/>
      <c r="AO464" s="824" t="str">
        <f t="shared" si="67"/>
        <v>Yes</v>
      </c>
      <c r="AP464" s="259" t="str">
        <f t="shared" si="68"/>
        <v>SEP 20</v>
      </c>
      <c r="AQ464" s="542" t="str">
        <f t="shared" si="69"/>
        <v>有定金+有預留客戶</v>
      </c>
      <c r="AR464" s="259" t="str">
        <f t="shared" si="70"/>
        <v>Shipped_Stock</v>
      </c>
      <c r="AS464" s="259" t="str">
        <f t="shared" si="71"/>
        <v/>
      </c>
      <c r="AT464" s="259" t="str">
        <f t="shared" si="72"/>
        <v>融创新合</v>
      </c>
      <c r="AU464" s="259" t="str">
        <f t="shared" si="73"/>
        <v>C49SZX20200110MZ</v>
      </c>
      <c r="AV464" s="259" t="str">
        <f t="shared" si="74"/>
        <v>Aug-12</v>
      </c>
    </row>
    <row r="465" spans="1:48" ht="22.5" hidden="1">
      <c r="A465" s="559">
        <v>773</v>
      </c>
      <c r="B465" s="560" t="s">
        <v>280</v>
      </c>
      <c r="C465" s="563" t="s">
        <v>15</v>
      </c>
      <c r="D465" s="645">
        <v>109933</v>
      </c>
      <c r="E465" s="563" t="s">
        <v>1058</v>
      </c>
      <c r="F465" s="647" t="s">
        <v>256</v>
      </c>
      <c r="G465" s="647" t="s">
        <v>18</v>
      </c>
      <c r="H465" s="647" t="s">
        <v>26</v>
      </c>
      <c r="I465" s="575" t="s">
        <v>1065</v>
      </c>
      <c r="J465" s="575">
        <v>1</v>
      </c>
      <c r="K465" s="647" t="s">
        <v>295</v>
      </c>
      <c r="L465" s="657">
        <v>44055</v>
      </c>
      <c r="M465" s="615" t="s">
        <v>1066</v>
      </c>
      <c r="N465" s="647" t="s">
        <v>918</v>
      </c>
      <c r="O465" s="575">
        <v>2020.07</v>
      </c>
      <c r="P465" s="566" t="str">
        <f>VLOOKUP(A465,'[1]Raw data'!$B:$BB,23,FALSE)</f>
        <v>RMB</v>
      </c>
      <c r="Q465" s="563" t="str">
        <f>VLOOKUP(A465,'[1]Raw data'!$B:$Z,2,FALSE)</f>
        <v>C49SZX20200123DZ</v>
      </c>
      <c r="R465" s="563" t="str">
        <f>VLOOKUP(A465,'[1]Raw data'!$B:$Z,3,FALSE)</f>
        <v>海星</v>
      </c>
      <c r="S465" s="563" t="str">
        <f>VLOOKUP(A465,'[1]Raw data'!$B:$Z,4,FALSE)</f>
        <v>YSM20R(SV)-2</v>
      </c>
      <c r="T465" s="563" t="str">
        <f>VLOOKUP(A465,'[1]Raw data'!$B:$Z,8,FALSE)</f>
        <v>R-&gt;L</v>
      </c>
      <c r="U465" s="563" t="str">
        <f>VLOOKUP(A465,'[1]Raw data'!$B:$Z,9,FALSE)</f>
        <v>No</v>
      </c>
      <c r="V465" s="567" t="str">
        <f t="shared" si="66"/>
        <v>OK</v>
      </c>
      <c r="W465" s="563" t="str">
        <f>VLOOKUP(A465,'[1]Raw data'!$B:$AG,32,FALSE)</f>
        <v>含税到厂</v>
      </c>
      <c r="X465" s="563">
        <f>VLOOKUP(A465,'[1]Raw data'!$B:$BA,31,FALSE)</f>
        <v>44056</v>
      </c>
      <c r="Y465" s="563" t="str">
        <f>VLOOKUP(A465,'[1]Raw data'!$B:$AS,39,FALSE)</f>
        <v>Yes</v>
      </c>
      <c r="Z465" s="669"/>
      <c r="AA465" s="670"/>
      <c r="AB465" s="671"/>
      <c r="AC465" s="647" t="s">
        <v>919</v>
      </c>
      <c r="AD465" s="662">
        <v>304</v>
      </c>
      <c r="AE465" s="662">
        <v>20</v>
      </c>
      <c r="AF465" s="662"/>
      <c r="AG465" s="662"/>
      <c r="AH465" s="662"/>
      <c r="AI465" s="663"/>
      <c r="AN465" s="542"/>
      <c r="AO465" s="824" t="str">
        <f t="shared" si="67"/>
        <v>Yes</v>
      </c>
      <c r="AP465" s="259" t="str">
        <f t="shared" si="68"/>
        <v>SEP 20</v>
      </c>
      <c r="AQ465" s="542" t="str">
        <f t="shared" si="69"/>
        <v>有定金+有預留客戶</v>
      </c>
      <c r="AR465" s="259" t="str">
        <f t="shared" si="70"/>
        <v>Shipped_Stock</v>
      </c>
      <c r="AS465" s="259" t="str">
        <f t="shared" si="71"/>
        <v/>
      </c>
      <c r="AT465" s="259" t="str">
        <f t="shared" si="72"/>
        <v>海星</v>
      </c>
      <c r="AU465" s="259" t="str">
        <f t="shared" si="73"/>
        <v>C49SZX20200123DZ</v>
      </c>
      <c r="AV465" s="259" t="str">
        <f t="shared" si="74"/>
        <v>Aug-12</v>
      </c>
    </row>
    <row r="466" spans="1:48" hidden="1">
      <c r="A466" s="559">
        <v>678</v>
      </c>
      <c r="B466" s="560" t="s">
        <v>280</v>
      </c>
      <c r="C466" s="563" t="s">
        <v>15</v>
      </c>
      <c r="D466" s="645">
        <v>109933</v>
      </c>
      <c r="E466" s="563" t="s">
        <v>1058</v>
      </c>
      <c r="F466" s="647" t="s">
        <v>256</v>
      </c>
      <c r="G466" s="647" t="s">
        <v>18</v>
      </c>
      <c r="H466" s="647" t="s">
        <v>26</v>
      </c>
      <c r="I466" s="575" t="s">
        <v>1067</v>
      </c>
      <c r="J466" s="575">
        <v>1</v>
      </c>
      <c r="K466" s="647" t="s">
        <v>437</v>
      </c>
      <c r="L466" s="657">
        <v>44055</v>
      </c>
      <c r="M466" s="576" t="s">
        <v>906</v>
      </c>
      <c r="N466" s="647" t="s">
        <v>930</v>
      </c>
      <c r="O466" s="575">
        <v>2020.07</v>
      </c>
      <c r="P466" s="566" t="str">
        <f>VLOOKUP(A466,'[1]Raw data'!$B:$BB,23,FALSE)</f>
        <v>JPY</v>
      </c>
      <c r="Q466" s="563" t="str">
        <f>VLOOKUP(A466,'[1]Raw data'!$B:$Z,2,FALSE)</f>
        <v>C49SZX20200082DZ</v>
      </c>
      <c r="R466" s="563" t="str">
        <f>VLOOKUP(A466,'[1]Raw data'!$B:$Z,3,FALSE)</f>
        <v>朗特</v>
      </c>
      <c r="S466" s="563" t="str">
        <f>VLOOKUP(A466,'[1]Raw data'!$B:$Z,4,FALSE)</f>
        <v>YSM20R(SV)-2</v>
      </c>
      <c r="T466" s="563" t="str">
        <f>VLOOKUP(A466,'[1]Raw data'!$B:$Z,8,FALSE)</f>
        <v>R-&gt;L</v>
      </c>
      <c r="U466" s="563" t="str">
        <f>VLOOKUP(A466,'[1]Raw data'!$B:$Z,9,FALSE)</f>
        <v>No</v>
      </c>
      <c r="V466" s="567" t="str">
        <f t="shared" si="66"/>
        <v>OK</v>
      </c>
      <c r="W466" s="563" t="str">
        <f>VLOOKUP(A466,'[1]Raw data'!$B:$AG,32,FALSE)</f>
        <v>CIF HK</v>
      </c>
      <c r="X466" s="563">
        <f>VLOOKUP(A466,'[1]Raw data'!$B:$BA,31,FALSE)</f>
        <v>44006</v>
      </c>
      <c r="Y466" s="563" t="str">
        <f>VLOOKUP(A466,'[1]Raw data'!$B:$AS,39,FALSE)</f>
        <v>Yes</v>
      </c>
      <c r="Z466" s="659"/>
      <c r="AA466" s="660"/>
      <c r="AB466" s="661"/>
      <c r="AC466" s="647" t="s">
        <v>933</v>
      </c>
      <c r="AD466" s="662">
        <v>304</v>
      </c>
      <c r="AE466" s="662">
        <v>20</v>
      </c>
      <c r="AF466" s="662"/>
      <c r="AG466" s="662"/>
      <c r="AH466" s="662"/>
      <c r="AI466" s="663"/>
      <c r="AN466" s="542"/>
      <c r="AO466" s="824" t="str">
        <f t="shared" si="67"/>
        <v>Yes</v>
      </c>
      <c r="AP466" s="259" t="str">
        <f t="shared" si="68"/>
        <v>AUG 20</v>
      </c>
      <c r="AQ466" s="542" t="str">
        <f t="shared" si="69"/>
        <v>有定金+有預留客戶</v>
      </c>
      <c r="AR466" s="259" t="str">
        <f t="shared" si="70"/>
        <v>Shipped_Stock</v>
      </c>
      <c r="AS466" s="259" t="str">
        <f t="shared" si="71"/>
        <v/>
      </c>
      <c r="AT466" s="259" t="str">
        <f t="shared" si="72"/>
        <v>朗特</v>
      </c>
      <c r="AU466" s="259" t="str">
        <f t="shared" si="73"/>
        <v>C49SZX20200082DZ</v>
      </c>
      <c r="AV466" s="259" t="str">
        <f t="shared" si="74"/>
        <v>Aug-12</v>
      </c>
    </row>
    <row r="467" spans="1:48" hidden="1">
      <c r="A467" s="559">
        <v>461</v>
      </c>
      <c r="B467" s="560" t="s">
        <v>280</v>
      </c>
      <c r="C467" s="563" t="s">
        <v>15</v>
      </c>
      <c r="D467" s="645">
        <v>109933</v>
      </c>
      <c r="E467" s="563" t="s">
        <v>1058</v>
      </c>
      <c r="F467" s="647" t="s">
        <v>256</v>
      </c>
      <c r="G467" s="647" t="s">
        <v>24</v>
      </c>
      <c r="H467" s="647" t="s">
        <v>26</v>
      </c>
      <c r="I467" s="575" t="s">
        <v>1068</v>
      </c>
      <c r="J467" s="575">
        <v>1</v>
      </c>
      <c r="K467" s="647" t="s">
        <v>437</v>
      </c>
      <c r="L467" s="657">
        <v>44055</v>
      </c>
      <c r="M467" s="576" t="s">
        <v>906</v>
      </c>
      <c r="N467" s="647" t="s">
        <v>930</v>
      </c>
      <c r="O467" s="575">
        <v>2020.07</v>
      </c>
      <c r="P467" s="566" t="str">
        <f>VLOOKUP(A467,'[1]Raw data'!$B:$BB,23,FALSE)</f>
        <v>JPY</v>
      </c>
      <c r="Q467" s="563" t="str">
        <f>VLOOKUP(A467,'[1]Raw data'!$B:$Z,2,FALSE)</f>
        <v>C49SZX20190151MZ</v>
      </c>
      <c r="R467" s="563" t="str">
        <f>VLOOKUP(A467,'[1]Raw data'!$B:$Z,3,FALSE)</f>
        <v>魔乐视/end user:拓普赛特</v>
      </c>
      <c r="S467" s="563" t="str">
        <f>VLOOKUP(A467,'[1]Raw data'!$B:$Z,4,FALSE)</f>
        <v>YSM20R(SV)-2</v>
      </c>
      <c r="T467" s="563" t="str">
        <f>VLOOKUP(A467,'[1]Raw data'!$B:$Z,8,FALSE)</f>
        <v>L-&gt;R</v>
      </c>
      <c r="U467" s="563" t="str">
        <f>VLOOKUP(A467,'[1]Raw data'!$B:$Z,9,FALSE)</f>
        <v>No</v>
      </c>
      <c r="V467" s="567" t="str">
        <f t="shared" si="66"/>
        <v>OK</v>
      </c>
      <c r="W467" s="563" t="str">
        <f>VLOOKUP(A467,'[1]Raw data'!$B:$AG,32,FALSE)</f>
        <v>DAP SZ</v>
      </c>
      <c r="X467" s="563">
        <f>VLOOKUP(A467,'[1]Raw data'!$B:$BA,31,FALSE)</f>
        <v>43762</v>
      </c>
      <c r="Y467" s="563" t="str">
        <f>VLOOKUP(A467,'[1]Raw data'!$B:$AS,39,FALSE)</f>
        <v>Yes</v>
      </c>
      <c r="Z467" s="659"/>
      <c r="AA467" s="660"/>
      <c r="AB467" s="661"/>
      <c r="AC467" s="647" t="s">
        <v>736</v>
      </c>
      <c r="AD467" s="662">
        <v>303</v>
      </c>
      <c r="AE467" s="662">
        <v>20</v>
      </c>
      <c r="AF467" s="662"/>
      <c r="AG467" s="662"/>
      <c r="AH467" s="662"/>
      <c r="AI467" s="663"/>
      <c r="AN467" s="542"/>
      <c r="AO467" s="824" t="str">
        <f t="shared" si="67"/>
        <v>Yes</v>
      </c>
      <c r="AP467" s="259" t="str">
        <f t="shared" si="68"/>
        <v>AUG 20</v>
      </c>
      <c r="AQ467" s="542" t="str">
        <f t="shared" si="69"/>
        <v>有定金+有預留客戶</v>
      </c>
      <c r="AR467" s="259" t="str">
        <f t="shared" si="70"/>
        <v>Shipped_Stock</v>
      </c>
      <c r="AS467" s="259" t="str">
        <f t="shared" si="71"/>
        <v/>
      </c>
      <c r="AT467" s="259" t="str">
        <f t="shared" si="72"/>
        <v>魔乐视/end user:拓普赛特</v>
      </c>
      <c r="AU467" s="259" t="str">
        <f t="shared" si="73"/>
        <v>C49SZX20190151MZ</v>
      </c>
      <c r="AV467" s="259" t="str">
        <f t="shared" si="74"/>
        <v>Aug-12</v>
      </c>
    </row>
    <row r="468" spans="1:48" hidden="1">
      <c r="A468" s="559">
        <v>693</v>
      </c>
      <c r="B468" s="560" t="s">
        <v>280</v>
      </c>
      <c r="C468" s="563" t="s">
        <v>15</v>
      </c>
      <c r="D468" s="645">
        <v>109933</v>
      </c>
      <c r="E468" s="563" t="s">
        <v>1058</v>
      </c>
      <c r="F468" s="647" t="s">
        <v>256</v>
      </c>
      <c r="G468" s="647" t="s">
        <v>24</v>
      </c>
      <c r="H468" s="647" t="s">
        <v>26</v>
      </c>
      <c r="I468" s="575" t="s">
        <v>1069</v>
      </c>
      <c r="J468" s="575">
        <v>1</v>
      </c>
      <c r="K468" s="647" t="s">
        <v>437</v>
      </c>
      <c r="L468" s="657">
        <v>44055</v>
      </c>
      <c r="M468" s="576" t="s">
        <v>1061</v>
      </c>
      <c r="N468" s="647" t="s">
        <v>930</v>
      </c>
      <c r="O468" s="575">
        <v>2020.07</v>
      </c>
      <c r="P468" s="566" t="str">
        <f>VLOOKUP(A468,'[1]Raw data'!$B:$BB,23,FALSE)</f>
        <v>JPY</v>
      </c>
      <c r="Q468" s="563" t="str">
        <f>VLOOKUP(A468,'[1]Raw data'!$B:$Z,2,FALSE)</f>
        <v>C49SZX20200116JL</v>
      </c>
      <c r="R468" s="563" t="str">
        <f>VLOOKUP(A468,'[1]Raw data'!$B:$Z,3,FALSE)</f>
        <v>德劲</v>
      </c>
      <c r="S468" s="563" t="str">
        <f>VLOOKUP(A468,'[1]Raw data'!$B:$Z,4,FALSE)</f>
        <v>YSM20R(SV)-2</v>
      </c>
      <c r="T468" s="563" t="str">
        <f>VLOOKUP(A468,'[1]Raw data'!$B:$Z,8,FALSE)</f>
        <v>L-&gt;R</v>
      </c>
      <c r="U468" s="563" t="str">
        <f>VLOOKUP(A468,'[1]Raw data'!$B:$Z,9,FALSE)</f>
        <v>MVC</v>
      </c>
      <c r="V468" s="567" t="str">
        <f t="shared" si="66"/>
        <v>WRONG</v>
      </c>
      <c r="W468" s="563" t="str">
        <f>VLOOKUP(A468,'[1]Raw data'!$B:$AG,32,FALSE)</f>
        <v>DAP SZ</v>
      </c>
      <c r="X468" s="563">
        <f>VLOOKUP(A468,'[1]Raw data'!$B:$BA,31,FALSE)</f>
        <v>44018</v>
      </c>
      <c r="Y468" s="563" t="str">
        <f>VLOOKUP(A468,'[1]Raw data'!$B:$AS,39,FALSE)</f>
        <v>Yes</v>
      </c>
      <c r="Z468" s="659"/>
      <c r="AA468" s="660"/>
      <c r="AB468" s="661"/>
      <c r="AC468" s="647" t="s">
        <v>398</v>
      </c>
      <c r="AD468" s="662">
        <v>301</v>
      </c>
      <c r="AE468" s="662">
        <v>20</v>
      </c>
      <c r="AF468" s="662"/>
      <c r="AG468" s="662"/>
      <c r="AH468" s="662"/>
      <c r="AI468" s="663"/>
      <c r="AN468" s="542"/>
      <c r="AO468" s="824" t="str">
        <f t="shared" si="67"/>
        <v>Yes</v>
      </c>
      <c r="AP468" s="259" t="str">
        <f t="shared" si="68"/>
        <v>AUG 20</v>
      </c>
      <c r="AQ468" s="542" t="str">
        <f t="shared" si="69"/>
        <v>有定金+有預留客戶</v>
      </c>
      <c r="AR468" s="259" t="str">
        <f t="shared" si="70"/>
        <v>Shipped_Stock</v>
      </c>
      <c r="AS468" s="259" t="str">
        <f t="shared" si="71"/>
        <v/>
      </c>
      <c r="AT468" s="259" t="str">
        <f t="shared" si="72"/>
        <v>德劲</v>
      </c>
      <c r="AU468" s="259" t="str">
        <f t="shared" si="73"/>
        <v>C49SZX20200116JL</v>
      </c>
      <c r="AV468" s="259" t="str">
        <f t="shared" si="74"/>
        <v>Aug-12</v>
      </c>
    </row>
    <row r="469" spans="1:48" hidden="1">
      <c r="A469" s="559">
        <v>694</v>
      </c>
      <c r="B469" s="560" t="s">
        <v>280</v>
      </c>
      <c r="C469" s="563" t="s">
        <v>15</v>
      </c>
      <c r="D469" s="645">
        <v>109933</v>
      </c>
      <c r="E469" s="563" t="s">
        <v>1058</v>
      </c>
      <c r="F469" s="647" t="s">
        <v>256</v>
      </c>
      <c r="G469" s="647" t="s">
        <v>24</v>
      </c>
      <c r="H469" s="647" t="s">
        <v>26</v>
      </c>
      <c r="I469" s="575" t="s">
        <v>1070</v>
      </c>
      <c r="J469" s="575">
        <v>1</v>
      </c>
      <c r="K469" s="647" t="s">
        <v>437</v>
      </c>
      <c r="L469" s="657">
        <v>44055</v>
      </c>
      <c r="M469" s="576" t="s">
        <v>1061</v>
      </c>
      <c r="N469" s="647" t="s">
        <v>930</v>
      </c>
      <c r="O469" s="575">
        <v>2020.07</v>
      </c>
      <c r="P469" s="566" t="str">
        <f>VLOOKUP(A469,'[1]Raw data'!$B:$BB,23,FALSE)</f>
        <v>JPY</v>
      </c>
      <c r="Q469" s="563" t="str">
        <f>VLOOKUP(A469,'[1]Raw data'!$B:$Z,2,FALSE)</f>
        <v>C49SZX20200116JL</v>
      </c>
      <c r="R469" s="563" t="str">
        <f>VLOOKUP(A469,'[1]Raw data'!$B:$Z,3,FALSE)</f>
        <v>德劲</v>
      </c>
      <c r="S469" s="563" t="str">
        <f>VLOOKUP(A469,'[1]Raw data'!$B:$Z,4,FALSE)</f>
        <v>YSM20R(SV)-2</v>
      </c>
      <c r="T469" s="563" t="str">
        <f>VLOOKUP(A469,'[1]Raw data'!$B:$Z,8,FALSE)</f>
        <v>L-&gt;R</v>
      </c>
      <c r="U469" s="563" t="str">
        <f>VLOOKUP(A469,'[1]Raw data'!$B:$Z,9,FALSE)</f>
        <v>MVC</v>
      </c>
      <c r="V469" s="567" t="str">
        <f t="shared" si="66"/>
        <v>WRONG</v>
      </c>
      <c r="W469" s="563" t="str">
        <f>VLOOKUP(A469,'[1]Raw data'!$B:$AG,32,FALSE)</f>
        <v>DAP SZ</v>
      </c>
      <c r="X469" s="563">
        <f>VLOOKUP(A469,'[1]Raw data'!$B:$BA,31,FALSE)</f>
        <v>44018</v>
      </c>
      <c r="Y469" s="563" t="str">
        <f>VLOOKUP(A469,'[1]Raw data'!$B:$AS,39,FALSE)</f>
        <v>Yes</v>
      </c>
      <c r="Z469" s="659"/>
      <c r="AA469" s="660"/>
      <c r="AB469" s="661"/>
      <c r="AC469" s="647" t="s">
        <v>398</v>
      </c>
      <c r="AD469" s="662">
        <v>301</v>
      </c>
      <c r="AE469" s="662">
        <v>10</v>
      </c>
      <c r="AF469" s="662">
        <v>311</v>
      </c>
      <c r="AG469" s="662">
        <v>10</v>
      </c>
      <c r="AH469" s="662"/>
      <c r="AI469" s="663"/>
      <c r="AN469" s="542"/>
      <c r="AO469" s="824" t="str">
        <f t="shared" si="67"/>
        <v>Yes</v>
      </c>
      <c r="AP469" s="259" t="str">
        <f t="shared" si="68"/>
        <v>AUG 20</v>
      </c>
      <c r="AQ469" s="542" t="str">
        <f t="shared" si="69"/>
        <v>有定金+有預留客戶</v>
      </c>
      <c r="AR469" s="259" t="str">
        <f t="shared" si="70"/>
        <v>Shipped_Stock</v>
      </c>
      <c r="AS469" s="259" t="str">
        <f t="shared" si="71"/>
        <v/>
      </c>
      <c r="AT469" s="259" t="str">
        <f t="shared" si="72"/>
        <v>德劲</v>
      </c>
      <c r="AU469" s="259" t="str">
        <f t="shared" si="73"/>
        <v>C49SZX20200116JL</v>
      </c>
      <c r="AV469" s="259" t="str">
        <f t="shared" si="74"/>
        <v>Aug-12</v>
      </c>
    </row>
    <row r="470" spans="1:48" hidden="1">
      <c r="A470" s="559">
        <v>695</v>
      </c>
      <c r="B470" s="560" t="s">
        <v>280</v>
      </c>
      <c r="C470" s="563" t="s">
        <v>15</v>
      </c>
      <c r="D470" s="645">
        <v>109933</v>
      </c>
      <c r="E470" s="563" t="s">
        <v>1058</v>
      </c>
      <c r="F470" s="647" t="s">
        <v>256</v>
      </c>
      <c r="G470" s="647" t="s">
        <v>24</v>
      </c>
      <c r="H470" s="647" t="s">
        <v>26</v>
      </c>
      <c r="I470" s="575" t="s">
        <v>1071</v>
      </c>
      <c r="J470" s="575">
        <v>1</v>
      </c>
      <c r="K470" s="647" t="s">
        <v>437</v>
      </c>
      <c r="L470" s="657">
        <v>44055</v>
      </c>
      <c r="M470" s="576" t="s">
        <v>1061</v>
      </c>
      <c r="N470" s="647" t="s">
        <v>930</v>
      </c>
      <c r="O470" s="575">
        <v>2020.07</v>
      </c>
      <c r="P470" s="566" t="str">
        <f>VLOOKUP(A470,'[1]Raw data'!$B:$BB,23,FALSE)</f>
        <v>JPY</v>
      </c>
      <c r="Q470" s="563" t="str">
        <f>VLOOKUP(A470,'[1]Raw data'!$B:$Z,2,FALSE)</f>
        <v>C49SZX20200116JL</v>
      </c>
      <c r="R470" s="563" t="str">
        <f>VLOOKUP(A470,'[1]Raw data'!$B:$Z,3,FALSE)</f>
        <v>德劲</v>
      </c>
      <c r="S470" s="563" t="str">
        <f>VLOOKUP(A470,'[1]Raw data'!$B:$Z,4,FALSE)</f>
        <v>YSM20R(SV)-2</v>
      </c>
      <c r="T470" s="563" t="str">
        <f>VLOOKUP(A470,'[1]Raw data'!$B:$Z,8,FALSE)</f>
        <v>L-&gt;R</v>
      </c>
      <c r="U470" s="563" t="str">
        <f>VLOOKUP(A470,'[1]Raw data'!$B:$Z,9,FALSE)</f>
        <v>MVC</v>
      </c>
      <c r="V470" s="567" t="str">
        <f t="shared" ref="V470:V533" si="75">IF(G470&amp;H470=T470&amp;U470,"OK","WRONG")</f>
        <v>WRONG</v>
      </c>
      <c r="W470" s="563" t="str">
        <f>VLOOKUP(A470,'[1]Raw data'!$B:$AG,32,FALSE)</f>
        <v>DAP SZ</v>
      </c>
      <c r="X470" s="563">
        <f>VLOOKUP(A470,'[1]Raw data'!$B:$BA,31,FALSE)</f>
        <v>44018</v>
      </c>
      <c r="Y470" s="563" t="str">
        <f>VLOOKUP(A470,'[1]Raw data'!$B:$AS,39,FALSE)</f>
        <v>Yes</v>
      </c>
      <c r="Z470" s="659"/>
      <c r="AA470" s="660"/>
      <c r="AB470" s="661"/>
      <c r="AC470" s="647" t="s">
        <v>398</v>
      </c>
      <c r="AD470" s="662">
        <v>301</v>
      </c>
      <c r="AE470" s="662">
        <v>10</v>
      </c>
      <c r="AF470" s="662">
        <v>311</v>
      </c>
      <c r="AG470" s="662">
        <v>10</v>
      </c>
      <c r="AH470" s="662"/>
      <c r="AI470" s="663"/>
      <c r="AN470" s="542"/>
      <c r="AO470" s="824" t="str">
        <f t="shared" si="67"/>
        <v>Yes</v>
      </c>
      <c r="AP470" s="259" t="str">
        <f t="shared" si="68"/>
        <v>AUG 20</v>
      </c>
      <c r="AQ470" s="542" t="str">
        <f t="shared" si="69"/>
        <v>有定金+有預留客戶</v>
      </c>
      <c r="AR470" s="259" t="str">
        <f t="shared" si="70"/>
        <v>Shipped_Stock</v>
      </c>
      <c r="AS470" s="259" t="str">
        <f t="shared" si="71"/>
        <v/>
      </c>
      <c r="AT470" s="259" t="str">
        <f t="shared" si="72"/>
        <v>德劲</v>
      </c>
      <c r="AU470" s="259" t="str">
        <f t="shared" si="73"/>
        <v>C49SZX20200116JL</v>
      </c>
      <c r="AV470" s="259" t="str">
        <f t="shared" si="74"/>
        <v>Aug-12</v>
      </c>
    </row>
    <row r="471" spans="1:48" hidden="1">
      <c r="A471" s="559">
        <v>670</v>
      </c>
      <c r="B471" s="672" t="s">
        <v>1072</v>
      </c>
      <c r="C471" s="563" t="s">
        <v>15</v>
      </c>
      <c r="D471" s="616" t="s">
        <v>1073</v>
      </c>
      <c r="E471" s="584" t="s">
        <v>1074</v>
      </c>
      <c r="F471" s="673" t="s">
        <v>149</v>
      </c>
      <c r="G471" s="673" t="s">
        <v>24</v>
      </c>
      <c r="H471" s="673" t="s">
        <v>26</v>
      </c>
      <c r="I471" s="674" t="s">
        <v>1075</v>
      </c>
      <c r="J471" s="674">
        <v>1</v>
      </c>
      <c r="K471" s="673" t="s">
        <v>1076</v>
      </c>
      <c r="L471" s="675">
        <v>44024</v>
      </c>
      <c r="M471" s="676" t="s">
        <v>1077</v>
      </c>
      <c r="N471" s="673" t="s">
        <v>300</v>
      </c>
      <c r="O471" s="673"/>
      <c r="P471" s="566" t="str">
        <f>VLOOKUP(A471,'[1]Raw data'!$B:$BB,23,FALSE)</f>
        <v>RMB</v>
      </c>
      <c r="Q471" s="563" t="str">
        <f>VLOOKUP(A471,'[1]Raw data'!$B:$Z,2,FALSE)</f>
        <v>C49SZX20200077JZ</v>
      </c>
      <c r="R471" s="563" t="str">
        <f>VLOOKUP(A471,'[1]Raw data'!$B:$Z,3,FALSE)</f>
        <v>正邦</v>
      </c>
      <c r="S471" s="563" t="str">
        <f>VLOOKUP(A471,'[1]Raw data'!$B:$Z,4,FALSE)</f>
        <v>YSM40R-4</v>
      </c>
      <c r="T471" s="563" t="str">
        <f>VLOOKUP(A471,'[1]Raw data'!$B:$Z,8,FALSE)</f>
        <v>L-&gt;R</v>
      </c>
      <c r="U471" s="563" t="str">
        <f>VLOOKUP(A471,'[1]Raw data'!$B:$Z,9,FALSE)</f>
        <v>No</v>
      </c>
      <c r="V471" s="619" t="str">
        <f t="shared" si="75"/>
        <v>OK</v>
      </c>
      <c r="W471" s="563" t="str">
        <f>VLOOKUP(A471,'[1]Raw data'!$B:$AG,32,FALSE)</f>
        <v>含税到厂</v>
      </c>
      <c r="X471" s="563">
        <f>VLOOKUP(A471,'[1]Raw data'!$B:$BA,31,FALSE)</f>
        <v>44005</v>
      </c>
      <c r="Y471" s="563" t="str">
        <f>VLOOKUP(A471,'[1]Raw data'!$B:$AS,39,FALSE)</f>
        <v>Yes</v>
      </c>
      <c r="Z471" s="667"/>
      <c r="AA471" s="667"/>
      <c r="AB471" s="677"/>
      <c r="AC471" s="563" t="s">
        <v>678</v>
      </c>
      <c r="AD471" s="662"/>
      <c r="AE471" s="662"/>
      <c r="AF471" s="662"/>
      <c r="AG471" s="662"/>
      <c r="AH471" s="662"/>
      <c r="AI471" s="663"/>
      <c r="AN471" s="542"/>
      <c r="AO471" s="824" t="str">
        <f t="shared" si="67"/>
        <v>Yes</v>
      </c>
      <c r="AP471" s="259" t="str">
        <f t="shared" si="68"/>
        <v>JUL 20</v>
      </c>
      <c r="AQ471" s="542" t="str">
        <f t="shared" si="69"/>
        <v>有定金+有預留客戶</v>
      </c>
      <c r="AR471" s="259" t="str">
        <f t="shared" si="70"/>
        <v>Shipped_Stock</v>
      </c>
      <c r="AS471" s="259" t="str">
        <f t="shared" si="71"/>
        <v/>
      </c>
      <c r="AT471" s="259" t="str">
        <f t="shared" si="72"/>
        <v>正邦</v>
      </c>
      <c r="AU471" s="259" t="str">
        <f t="shared" si="73"/>
        <v>C49SZX20200077JZ</v>
      </c>
      <c r="AV471" s="259" t="str">
        <f t="shared" si="74"/>
        <v>Jul-12</v>
      </c>
    </row>
    <row r="472" spans="1:48" hidden="1">
      <c r="A472" s="559">
        <v>706</v>
      </c>
      <c r="B472" s="560" t="s">
        <v>280</v>
      </c>
      <c r="C472" s="563" t="s">
        <v>15</v>
      </c>
      <c r="D472" s="645">
        <v>109957</v>
      </c>
      <c r="E472" s="563" t="s">
        <v>886</v>
      </c>
      <c r="F472" s="647" t="s">
        <v>17</v>
      </c>
      <c r="G472" s="647" t="s">
        <v>18</v>
      </c>
      <c r="H472" s="647" t="s">
        <v>19</v>
      </c>
      <c r="I472" s="575" t="s">
        <v>1078</v>
      </c>
      <c r="J472" s="575">
        <v>1</v>
      </c>
      <c r="K472" s="647" t="s">
        <v>437</v>
      </c>
      <c r="L472" s="657">
        <v>44064</v>
      </c>
      <c r="M472" s="576" t="s">
        <v>1061</v>
      </c>
      <c r="N472" s="647" t="s">
        <v>918</v>
      </c>
      <c r="O472" s="664">
        <v>2020.07</v>
      </c>
      <c r="P472" s="566" t="str">
        <f>VLOOKUP(A472,'[1]Raw data'!$B:$BB,23,FALSE)</f>
        <v>JPY</v>
      </c>
      <c r="Q472" s="563" t="str">
        <f>VLOOKUP(A472,'[1]Raw data'!$B:$Z,2,FALSE)</f>
        <v>C49SZX20200075EC</v>
      </c>
      <c r="R472" s="563" t="str">
        <f>VLOOKUP(A472,'[1]Raw data'!$B:$Z,3,FALSE)</f>
        <v>海红天远</v>
      </c>
      <c r="S472" s="563" t="str">
        <f>VLOOKUP(A472,'[1]Raw data'!$B:$Z,4,FALSE)</f>
        <v>YSM10</v>
      </c>
      <c r="T472" s="563" t="str">
        <f>VLOOKUP(A472,'[1]Raw data'!$B:$Z,8,FALSE)</f>
        <v>R-&gt;L</v>
      </c>
      <c r="U472" s="563" t="str">
        <f>VLOOKUP(A472,'[1]Raw data'!$B:$Z,9,FALSE)</f>
        <v>MVC+ATS15</v>
      </c>
      <c r="V472" s="567" t="str">
        <f t="shared" si="75"/>
        <v>WRONG</v>
      </c>
      <c r="W472" s="563" t="str">
        <f>VLOOKUP(A472,'[1]Raw data'!$B:$AG,32,FALSE)</f>
        <v>CIF HK</v>
      </c>
      <c r="X472" s="563">
        <f>VLOOKUP(A472,'[1]Raw data'!$B:$BA,31,FALSE)</f>
        <v>44025</v>
      </c>
      <c r="Y472" s="563" t="str">
        <f>VLOOKUP(A472,'[1]Raw data'!$B:$AS,39,FALSE)</f>
        <v>Yes</v>
      </c>
      <c r="Z472" s="659"/>
      <c r="AA472" s="660"/>
      <c r="AB472" s="661"/>
      <c r="AC472" s="647" t="s">
        <v>1079</v>
      </c>
      <c r="AD472" s="662">
        <v>302</v>
      </c>
      <c r="AE472" s="662">
        <v>10</v>
      </c>
      <c r="AF472" s="662"/>
      <c r="AG472" s="662"/>
      <c r="AH472" s="662"/>
      <c r="AI472" s="663"/>
      <c r="AN472" s="542"/>
      <c r="AO472" s="824" t="str">
        <f t="shared" si="67"/>
        <v>Yes</v>
      </c>
      <c r="AP472" s="259" t="str">
        <f t="shared" si="68"/>
        <v>SEP 20</v>
      </c>
      <c r="AQ472" s="542" t="str">
        <f t="shared" si="69"/>
        <v>有定金+有預留客戶</v>
      </c>
      <c r="AR472" s="259" t="str">
        <f t="shared" si="70"/>
        <v>Shipped_Stock</v>
      </c>
      <c r="AS472" s="259" t="str">
        <f t="shared" si="71"/>
        <v/>
      </c>
      <c r="AT472" s="259" t="str">
        <f t="shared" si="72"/>
        <v>海红天远</v>
      </c>
      <c r="AU472" s="259" t="str">
        <f t="shared" si="73"/>
        <v>C49SZX20200075EC</v>
      </c>
      <c r="AV472" s="259" t="str">
        <f t="shared" si="74"/>
        <v>Aug-21</v>
      </c>
    </row>
    <row r="473" spans="1:48" hidden="1">
      <c r="A473" s="559">
        <v>768</v>
      </c>
      <c r="B473" s="560" t="s">
        <v>927</v>
      </c>
      <c r="C473" s="563" t="s">
        <v>15</v>
      </c>
      <c r="D473" s="645">
        <v>109957</v>
      </c>
      <c r="E473" s="563" t="s">
        <v>886</v>
      </c>
      <c r="F473" s="647" t="s">
        <v>17</v>
      </c>
      <c r="G473" s="647" t="s">
        <v>18</v>
      </c>
      <c r="H473" s="647" t="s">
        <v>19</v>
      </c>
      <c r="I473" s="575" t="s">
        <v>1080</v>
      </c>
      <c r="J473" s="575">
        <v>1</v>
      </c>
      <c r="K473" s="647" t="s">
        <v>437</v>
      </c>
      <c r="L473" s="657">
        <v>44064</v>
      </c>
      <c r="M473" s="576" t="s">
        <v>1061</v>
      </c>
      <c r="N473" s="647" t="s">
        <v>918</v>
      </c>
      <c r="O473" s="664">
        <v>2020.07</v>
      </c>
      <c r="P473" s="566" t="str">
        <f>VLOOKUP(A473,'[1]Raw data'!$B:$BB,23,FALSE)</f>
        <v>JPY</v>
      </c>
      <c r="Q473" s="563" t="str">
        <f>VLOOKUP(A473,'[1]Raw data'!$B:$Z,2,FALSE)</f>
        <v>C49SZX20200078CY</v>
      </c>
      <c r="R473" s="563" t="str">
        <f>VLOOKUP(A473,'[1]Raw data'!$B:$Z,3,FALSE)</f>
        <v>博德越</v>
      </c>
      <c r="S473" s="563" t="str">
        <f>VLOOKUP(A473,'[1]Raw data'!$B:$Z,4,FALSE)</f>
        <v>YSM10</v>
      </c>
      <c r="T473" s="563" t="str">
        <f>VLOOKUP(A473,'[1]Raw data'!$B:$Z,8,FALSE)</f>
        <v>R-&gt;L</v>
      </c>
      <c r="U473" s="563" t="str">
        <f>VLOOKUP(A473,'[1]Raw data'!$B:$Z,9,FALSE)</f>
        <v>MVC+ATS15</v>
      </c>
      <c r="V473" s="567" t="str">
        <f t="shared" si="75"/>
        <v>WRONG</v>
      </c>
      <c r="W473" s="563" t="str">
        <f>VLOOKUP(A473,'[1]Raw data'!$B:$AG,32,FALSE)</f>
        <v>DAP SZ</v>
      </c>
      <c r="X473" s="563">
        <f>VLOOKUP(A473,'[1]Raw data'!$B:$BA,31,FALSE)</f>
        <v>44053</v>
      </c>
      <c r="Y473" s="563" t="str">
        <f>VLOOKUP(A473,'[1]Raw data'!$B:$AS,39,FALSE)</f>
        <v>Yes</v>
      </c>
      <c r="Z473" s="659"/>
      <c r="AA473" s="660"/>
      <c r="AB473" s="661"/>
      <c r="AC473" s="647" t="s">
        <v>1062</v>
      </c>
      <c r="AD473" s="662">
        <v>302</v>
      </c>
      <c r="AE473" s="662">
        <v>10</v>
      </c>
      <c r="AF473" s="662"/>
      <c r="AG473" s="662"/>
      <c r="AH473" s="662"/>
      <c r="AI473" s="663"/>
      <c r="AN473" s="542"/>
      <c r="AO473" s="824" t="str">
        <f t="shared" si="67"/>
        <v>Yes</v>
      </c>
      <c r="AP473" s="259" t="str">
        <f t="shared" si="68"/>
        <v>SEP 20</v>
      </c>
      <c r="AQ473" s="542" t="str">
        <f t="shared" si="69"/>
        <v>有定金+有預留客戶</v>
      </c>
      <c r="AR473" s="259" t="str">
        <f t="shared" si="70"/>
        <v>Shipped_Stock</v>
      </c>
      <c r="AS473" s="259" t="str">
        <f t="shared" si="71"/>
        <v/>
      </c>
      <c r="AT473" s="259" t="str">
        <f t="shared" si="72"/>
        <v>博德越</v>
      </c>
      <c r="AU473" s="259" t="str">
        <f t="shared" si="73"/>
        <v>C49SZX20200078CY</v>
      </c>
      <c r="AV473" s="259" t="str">
        <f t="shared" si="74"/>
        <v>Aug-21</v>
      </c>
    </row>
    <row r="474" spans="1:48" hidden="1">
      <c r="A474" s="559">
        <v>734</v>
      </c>
      <c r="B474" s="560" t="s">
        <v>280</v>
      </c>
      <c r="C474" s="563" t="s">
        <v>15</v>
      </c>
      <c r="D474" s="645">
        <v>109957</v>
      </c>
      <c r="E474" s="563" t="s">
        <v>886</v>
      </c>
      <c r="F474" s="647" t="s">
        <v>17</v>
      </c>
      <c r="G474" s="647" t="s">
        <v>18</v>
      </c>
      <c r="H474" s="647" t="s">
        <v>26</v>
      </c>
      <c r="I474" s="575" t="s">
        <v>1081</v>
      </c>
      <c r="J474" s="575">
        <v>1</v>
      </c>
      <c r="K474" s="647" t="s">
        <v>437</v>
      </c>
      <c r="L474" s="657">
        <v>44064</v>
      </c>
      <c r="M474" s="665" t="s">
        <v>1061</v>
      </c>
      <c r="N474" s="647" t="s">
        <v>918</v>
      </c>
      <c r="O474" s="647">
        <v>2020.07</v>
      </c>
      <c r="P474" s="566" t="str">
        <f>VLOOKUP(A474,'[1]Raw data'!$B:$BB,23,FALSE)</f>
        <v>JPY</v>
      </c>
      <c r="Q474" s="563" t="str">
        <f>VLOOKUP(A474,'[1]Raw data'!$B:$Z,2,FALSE)</f>
        <v>C49SZX20200125JY</v>
      </c>
      <c r="R474" s="563" t="str">
        <f>VLOOKUP(A474,'[1]Raw data'!$B:$Z,3,FALSE)</f>
        <v>昊亮迪（end user：海纳科）</v>
      </c>
      <c r="S474" s="563" t="str">
        <f>VLOOKUP(A474,'[1]Raw data'!$B:$Z,4,FALSE)</f>
        <v>YSM10</v>
      </c>
      <c r="T474" s="563" t="str">
        <f>VLOOKUP(A474,'[1]Raw data'!$B:$Z,8,FALSE)</f>
        <v>L-&gt;R</v>
      </c>
      <c r="U474" s="563" t="str">
        <f>VLOOKUP(A474,'[1]Raw data'!$B:$Z,9,FALSE)</f>
        <v>MVC</v>
      </c>
      <c r="V474" s="567" t="str">
        <f t="shared" si="75"/>
        <v>WRONG</v>
      </c>
      <c r="W474" s="563" t="str">
        <f>VLOOKUP(A474,'[1]Raw data'!$B:$AG,32,FALSE)</f>
        <v>DAP SZ</v>
      </c>
      <c r="X474" s="563">
        <f>VLOOKUP(A474,'[1]Raw data'!$B:$BA,31,FALSE)</f>
        <v>44032</v>
      </c>
      <c r="Y474" s="563" t="str">
        <f>VLOOKUP(A474,'[1]Raw data'!$B:$AS,39,FALSE)</f>
        <v>Yes</v>
      </c>
      <c r="Z474" s="659"/>
      <c r="AA474" s="660"/>
      <c r="AB474" s="661"/>
      <c r="AC474" s="647" t="s">
        <v>1082</v>
      </c>
      <c r="AD474" s="662">
        <v>301</v>
      </c>
      <c r="AE474" s="662">
        <v>10</v>
      </c>
      <c r="AF474" s="662"/>
      <c r="AG474" s="662"/>
      <c r="AH474" s="662"/>
      <c r="AI474" s="663"/>
      <c r="AN474" s="542"/>
      <c r="AO474" s="824" t="str">
        <f t="shared" si="67"/>
        <v>Yes</v>
      </c>
      <c r="AP474" s="259" t="str">
        <f t="shared" si="68"/>
        <v>SEP 20</v>
      </c>
      <c r="AQ474" s="542" t="str">
        <f t="shared" si="69"/>
        <v>有定金+有預留客戶</v>
      </c>
      <c r="AR474" s="259" t="str">
        <f t="shared" si="70"/>
        <v>Shipped_Stock</v>
      </c>
      <c r="AS474" s="259" t="str">
        <f t="shared" si="71"/>
        <v/>
      </c>
      <c r="AT474" s="259" t="str">
        <f t="shared" si="72"/>
        <v>昊亮迪（end user：海纳科）</v>
      </c>
      <c r="AU474" s="259" t="str">
        <f t="shared" si="73"/>
        <v>C49SZX20200125JY</v>
      </c>
      <c r="AV474" s="259" t="str">
        <f t="shared" si="74"/>
        <v>Aug-21</v>
      </c>
    </row>
    <row r="475" spans="1:48" ht="22.5" hidden="1">
      <c r="A475" s="559">
        <v>775</v>
      </c>
      <c r="B475" s="560" t="s">
        <v>280</v>
      </c>
      <c r="C475" s="563" t="s">
        <v>15</v>
      </c>
      <c r="D475" s="645">
        <v>109957</v>
      </c>
      <c r="E475" s="563" t="s">
        <v>886</v>
      </c>
      <c r="F475" s="647" t="s">
        <v>17</v>
      </c>
      <c r="G475" s="647" t="s">
        <v>18</v>
      </c>
      <c r="H475" s="647" t="s">
        <v>26</v>
      </c>
      <c r="I475" s="575" t="s">
        <v>1083</v>
      </c>
      <c r="J475" s="575">
        <v>1</v>
      </c>
      <c r="K475" s="647" t="s">
        <v>295</v>
      </c>
      <c r="L475" s="657">
        <v>44064</v>
      </c>
      <c r="M475" s="678" t="s">
        <v>1084</v>
      </c>
      <c r="N475" s="647" t="s">
        <v>918</v>
      </c>
      <c r="O475" s="647">
        <v>2020.07</v>
      </c>
      <c r="P475" s="566" t="str">
        <f>VLOOKUP(A475,'[1]Raw data'!$B:$BB,23,FALSE)</f>
        <v>RMB</v>
      </c>
      <c r="Q475" s="563" t="str">
        <f>VLOOKUP(A475,'[1]Raw data'!$B:$Z,2,FALSE)</f>
        <v>C49SZX20200123DZ</v>
      </c>
      <c r="R475" s="563" t="str">
        <f>VLOOKUP(A475,'[1]Raw data'!$B:$Z,3,FALSE)</f>
        <v>海星</v>
      </c>
      <c r="S475" s="563" t="str">
        <f>VLOOKUP(A475,'[1]Raw data'!$B:$Z,4,FALSE)</f>
        <v>YSM10</v>
      </c>
      <c r="T475" s="563" t="str">
        <f>VLOOKUP(A475,'[1]Raw data'!$B:$Z,8,FALSE)</f>
        <v>R-&gt;L</v>
      </c>
      <c r="U475" s="563" t="str">
        <f>VLOOKUP(A475,'[1]Raw data'!$B:$Z,9,FALSE)</f>
        <v>MVC</v>
      </c>
      <c r="V475" s="567" t="str">
        <f t="shared" si="75"/>
        <v>WRONG</v>
      </c>
      <c r="W475" s="563" t="str">
        <f>VLOOKUP(A475,'[1]Raw data'!$B:$AG,32,FALSE)</f>
        <v>含税到厂</v>
      </c>
      <c r="X475" s="563">
        <f>VLOOKUP(A475,'[1]Raw data'!$B:$BA,31,FALSE)</f>
        <v>44056</v>
      </c>
      <c r="Y475" s="563" t="str">
        <f>VLOOKUP(A475,'[1]Raw data'!$B:$AS,39,FALSE)</f>
        <v>Yes</v>
      </c>
      <c r="Z475" s="659"/>
      <c r="AA475" s="660"/>
      <c r="AB475" s="661"/>
      <c r="AC475" s="647" t="s">
        <v>919</v>
      </c>
      <c r="AD475" s="662">
        <v>301</v>
      </c>
      <c r="AE475" s="662">
        <v>10</v>
      </c>
      <c r="AF475" s="662"/>
      <c r="AG475" s="662"/>
      <c r="AH475" s="662"/>
      <c r="AI475" s="663"/>
      <c r="AN475" s="542"/>
      <c r="AO475" s="824" t="str">
        <f t="shared" si="67"/>
        <v>Yes</v>
      </c>
      <c r="AP475" s="259" t="str">
        <f t="shared" si="68"/>
        <v>SEP 20</v>
      </c>
      <c r="AQ475" s="542" t="str">
        <f t="shared" si="69"/>
        <v>有定金+有預留客戶</v>
      </c>
      <c r="AR475" s="259" t="str">
        <f t="shared" si="70"/>
        <v>Shipped_Stock</v>
      </c>
      <c r="AS475" s="259" t="str">
        <f t="shared" si="71"/>
        <v/>
      </c>
      <c r="AT475" s="259" t="str">
        <f t="shared" si="72"/>
        <v>海星</v>
      </c>
      <c r="AU475" s="259" t="str">
        <f t="shared" si="73"/>
        <v>C49SZX20200123DZ</v>
      </c>
      <c r="AV475" s="259" t="str">
        <f t="shared" si="74"/>
        <v>Aug-21</v>
      </c>
    </row>
    <row r="476" spans="1:48" hidden="1">
      <c r="A476" s="559">
        <v>729</v>
      </c>
      <c r="B476" s="664" t="s">
        <v>280</v>
      </c>
      <c r="C476" s="563" t="s">
        <v>15</v>
      </c>
      <c r="D476" s="645">
        <v>109957</v>
      </c>
      <c r="E476" s="563" t="s">
        <v>886</v>
      </c>
      <c r="F476" s="647" t="s">
        <v>17</v>
      </c>
      <c r="G476" s="647" t="s">
        <v>18</v>
      </c>
      <c r="H476" s="647" t="s">
        <v>26</v>
      </c>
      <c r="I476" s="575" t="s">
        <v>1085</v>
      </c>
      <c r="J476" s="575">
        <v>1</v>
      </c>
      <c r="K476" s="647" t="s">
        <v>437</v>
      </c>
      <c r="L476" s="657">
        <v>44064</v>
      </c>
      <c r="M476" s="576" t="s">
        <v>1061</v>
      </c>
      <c r="N476" s="647" t="s">
        <v>930</v>
      </c>
      <c r="O476" s="647">
        <v>2020.08</v>
      </c>
      <c r="P476" s="566" t="str">
        <f>VLOOKUP(A476,'[1]Raw data'!$B:$BB,23,FALSE)</f>
        <v>JPY</v>
      </c>
      <c r="Q476" s="563" t="str">
        <f>VLOOKUP(A476,'[1]Raw data'!$B:$Z,2,FALSE)</f>
        <v>C49SZX20200066SX</v>
      </c>
      <c r="R476" s="563" t="str">
        <f>VLOOKUP(A476,'[1]Raw data'!$B:$Z,3,FALSE)</f>
        <v>锐诚</v>
      </c>
      <c r="S476" s="563" t="str">
        <f>VLOOKUP(A476,'[1]Raw data'!$B:$Z,4,FALSE)</f>
        <v>YSM10</v>
      </c>
      <c r="T476" s="563" t="str">
        <f>VLOOKUP(A476,'[1]Raw data'!$B:$Z,8,FALSE)</f>
        <v>L-&gt;R</v>
      </c>
      <c r="U476" s="563" t="str">
        <f>VLOOKUP(A476,'[1]Raw data'!$B:$Z,9,FALSE)</f>
        <v>MVC</v>
      </c>
      <c r="V476" s="567" t="str">
        <f t="shared" si="75"/>
        <v>WRONG</v>
      </c>
      <c r="W476" s="563" t="str">
        <f>VLOOKUP(A476,'[1]Raw data'!$B:$AG,32,FALSE)</f>
        <v>DAP HZ</v>
      </c>
      <c r="X476" s="563">
        <f>VLOOKUP(A476,'[1]Raw data'!$B:$BA,31,FALSE)</f>
        <v>44032</v>
      </c>
      <c r="Y476" s="563" t="str">
        <f>VLOOKUP(A476,'[1]Raw data'!$B:$AS,39,FALSE)</f>
        <v>Yes</v>
      </c>
      <c r="Z476" s="659"/>
      <c r="AA476" s="660"/>
      <c r="AB476" s="661"/>
      <c r="AC476" s="647" t="s">
        <v>563</v>
      </c>
      <c r="AD476" s="662">
        <v>301</v>
      </c>
      <c r="AE476" s="662">
        <v>10</v>
      </c>
      <c r="AF476" s="662"/>
      <c r="AG476" s="662"/>
      <c r="AH476" s="662"/>
      <c r="AI476" s="663"/>
      <c r="AN476" s="542"/>
      <c r="AO476" s="824" t="str">
        <f t="shared" si="67"/>
        <v>Yes</v>
      </c>
      <c r="AP476" s="259" t="str">
        <f t="shared" si="68"/>
        <v>AUG 20</v>
      </c>
      <c r="AQ476" s="542" t="str">
        <f t="shared" si="69"/>
        <v>有定金+有預留客戶</v>
      </c>
      <c r="AR476" s="259" t="str">
        <f t="shared" si="70"/>
        <v>Shipped_Stock</v>
      </c>
      <c r="AS476" s="259" t="str">
        <f t="shared" si="71"/>
        <v/>
      </c>
      <c r="AT476" s="259" t="str">
        <f t="shared" si="72"/>
        <v>锐诚</v>
      </c>
      <c r="AU476" s="259" t="str">
        <f t="shared" si="73"/>
        <v>C49SZX20200066SX</v>
      </c>
      <c r="AV476" s="259" t="str">
        <f t="shared" si="74"/>
        <v>Aug-21</v>
      </c>
    </row>
    <row r="477" spans="1:48" hidden="1">
      <c r="A477" s="559">
        <v>730</v>
      </c>
      <c r="B477" s="664" t="s">
        <v>280</v>
      </c>
      <c r="C477" s="563" t="s">
        <v>15</v>
      </c>
      <c r="D477" s="645">
        <v>109957</v>
      </c>
      <c r="E477" s="563" t="s">
        <v>886</v>
      </c>
      <c r="F477" s="647" t="s">
        <v>17</v>
      </c>
      <c r="G477" s="647" t="s">
        <v>18</v>
      </c>
      <c r="H477" s="647" t="s">
        <v>26</v>
      </c>
      <c r="I477" s="575" t="s">
        <v>1086</v>
      </c>
      <c r="J477" s="575">
        <v>1</v>
      </c>
      <c r="K477" s="647" t="s">
        <v>437</v>
      </c>
      <c r="L477" s="657">
        <v>44064</v>
      </c>
      <c r="M477" s="576" t="s">
        <v>1061</v>
      </c>
      <c r="N477" s="647" t="s">
        <v>930</v>
      </c>
      <c r="O477" s="647">
        <v>2020.08</v>
      </c>
      <c r="P477" s="566" t="str">
        <f>VLOOKUP(A477,'[1]Raw data'!$B:$BB,23,FALSE)</f>
        <v>JPY</v>
      </c>
      <c r="Q477" s="563" t="str">
        <f>VLOOKUP(A477,'[1]Raw data'!$B:$Z,2,FALSE)</f>
        <v>C49SZX20200066SX</v>
      </c>
      <c r="R477" s="563" t="str">
        <f>VLOOKUP(A477,'[1]Raw data'!$B:$Z,3,FALSE)</f>
        <v>锐诚</v>
      </c>
      <c r="S477" s="563" t="str">
        <f>VLOOKUP(A477,'[1]Raw data'!$B:$Z,4,FALSE)</f>
        <v>YSM10</v>
      </c>
      <c r="T477" s="563" t="str">
        <f>VLOOKUP(A477,'[1]Raw data'!$B:$Z,8,FALSE)</f>
        <v>L-&gt;R</v>
      </c>
      <c r="U477" s="563" t="str">
        <f>VLOOKUP(A477,'[1]Raw data'!$B:$Z,9,FALSE)</f>
        <v>No</v>
      </c>
      <c r="V477" s="567" t="str">
        <f t="shared" si="75"/>
        <v>WRONG</v>
      </c>
      <c r="W477" s="563" t="str">
        <f>VLOOKUP(A477,'[1]Raw data'!$B:$AG,32,FALSE)</f>
        <v>DAP HZ</v>
      </c>
      <c r="X477" s="563">
        <f>VLOOKUP(A477,'[1]Raw data'!$B:$BA,31,FALSE)</f>
        <v>44032</v>
      </c>
      <c r="Y477" s="563" t="str">
        <f>VLOOKUP(A477,'[1]Raw data'!$B:$AS,39,FALSE)</f>
        <v>Yes</v>
      </c>
      <c r="Z477" s="659"/>
      <c r="AA477" s="660"/>
      <c r="AB477" s="661"/>
      <c r="AC477" s="647" t="s">
        <v>563</v>
      </c>
      <c r="AD477" s="662">
        <v>301</v>
      </c>
      <c r="AE477" s="662">
        <v>10</v>
      </c>
      <c r="AF477" s="662"/>
      <c r="AG477" s="662"/>
      <c r="AH477" s="662"/>
      <c r="AI477" s="663"/>
      <c r="AN477" s="542"/>
      <c r="AO477" s="824" t="str">
        <f t="shared" si="67"/>
        <v>Yes</v>
      </c>
      <c r="AP477" s="259" t="str">
        <f t="shared" si="68"/>
        <v>AUG 20</v>
      </c>
      <c r="AQ477" s="542" t="str">
        <f t="shared" si="69"/>
        <v>有定金+有預留客戶</v>
      </c>
      <c r="AR477" s="259" t="str">
        <f t="shared" si="70"/>
        <v>Shipped_Stock</v>
      </c>
      <c r="AS477" s="259" t="str">
        <f t="shared" si="71"/>
        <v/>
      </c>
      <c r="AT477" s="259" t="str">
        <f t="shared" si="72"/>
        <v>锐诚</v>
      </c>
      <c r="AU477" s="259" t="str">
        <f t="shared" si="73"/>
        <v>C49SZX20200066SX</v>
      </c>
      <c r="AV477" s="259" t="str">
        <f t="shared" si="74"/>
        <v>Aug-21</v>
      </c>
    </row>
    <row r="478" spans="1:48" hidden="1">
      <c r="A478" s="559">
        <v>771</v>
      </c>
      <c r="B478" s="560" t="s">
        <v>280</v>
      </c>
      <c r="C478" s="563" t="s">
        <v>15</v>
      </c>
      <c r="D478" s="645">
        <v>109957</v>
      </c>
      <c r="E478" s="563" t="s">
        <v>886</v>
      </c>
      <c r="F478" s="647" t="s">
        <v>17</v>
      </c>
      <c r="G478" s="647" t="s">
        <v>18</v>
      </c>
      <c r="H478" s="647" t="s">
        <v>26</v>
      </c>
      <c r="I478" s="575" t="s">
        <v>1087</v>
      </c>
      <c r="J478" s="575">
        <v>1</v>
      </c>
      <c r="K478" s="647" t="s">
        <v>437</v>
      </c>
      <c r="L478" s="657">
        <v>44064</v>
      </c>
      <c r="M478" s="576" t="s">
        <v>1061</v>
      </c>
      <c r="N478" s="647" t="s">
        <v>918</v>
      </c>
      <c r="O478" s="647">
        <v>2020.08</v>
      </c>
      <c r="P478" s="566" t="str">
        <f>VLOOKUP(A478,'[1]Raw data'!$B:$BB,23,FALSE)</f>
        <v>RMB</v>
      </c>
      <c r="Q478" s="563" t="str">
        <f>VLOOKUP(A478,'[1]Raw data'!$B:$Z,2,FALSE)</f>
        <v>C49SZX20200126JY</v>
      </c>
      <c r="R478" s="563" t="str">
        <f>VLOOKUP(A478,'[1]Raw data'!$B:$Z,3,FALSE)</f>
        <v>芯联鑫</v>
      </c>
      <c r="S478" s="563" t="str">
        <f>VLOOKUP(A478,'[1]Raw data'!$B:$Z,4,FALSE)</f>
        <v>YSM10</v>
      </c>
      <c r="T478" s="563" t="str">
        <f>VLOOKUP(A478,'[1]Raw data'!$B:$Z,8,FALSE)</f>
        <v>L-&gt;R</v>
      </c>
      <c r="U478" s="563" t="str">
        <f>VLOOKUP(A478,'[1]Raw data'!$B:$Z,9,FALSE)</f>
        <v>MVC</v>
      </c>
      <c r="V478" s="567" t="str">
        <f t="shared" si="75"/>
        <v>WRONG</v>
      </c>
      <c r="W478" s="563" t="str">
        <f>VLOOKUP(A478,'[1]Raw data'!$B:$AG,32,FALSE)</f>
        <v>含税到厂</v>
      </c>
      <c r="X478" s="563">
        <f>VLOOKUP(A478,'[1]Raw data'!$B:$BA,31,FALSE)</f>
        <v>44054</v>
      </c>
      <c r="Y478" s="563" t="str">
        <f>VLOOKUP(A478,'[1]Raw data'!$B:$AS,39,FALSE)</f>
        <v>Yes</v>
      </c>
      <c r="Z478" s="659"/>
      <c r="AA478" s="660"/>
      <c r="AB478" s="661"/>
      <c r="AC478" s="647" t="s">
        <v>1088</v>
      </c>
      <c r="AD478" s="662">
        <v>301</v>
      </c>
      <c r="AE478" s="662">
        <v>10</v>
      </c>
      <c r="AF478" s="662"/>
      <c r="AG478" s="662"/>
      <c r="AH478" s="662"/>
      <c r="AI478" s="663"/>
      <c r="AN478" s="542"/>
      <c r="AO478" s="824" t="str">
        <f t="shared" si="67"/>
        <v>Yes</v>
      </c>
      <c r="AP478" s="259" t="str">
        <f t="shared" si="68"/>
        <v>SEP 20</v>
      </c>
      <c r="AQ478" s="542" t="str">
        <f t="shared" si="69"/>
        <v>有定金+有預留客戶</v>
      </c>
      <c r="AR478" s="259" t="str">
        <f t="shared" si="70"/>
        <v>Shipped_Stock</v>
      </c>
      <c r="AS478" s="259" t="str">
        <f t="shared" si="71"/>
        <v/>
      </c>
      <c r="AT478" s="259" t="str">
        <f t="shared" si="72"/>
        <v>芯联鑫</v>
      </c>
      <c r="AU478" s="259" t="str">
        <f t="shared" si="73"/>
        <v>C49SZX20200126JY</v>
      </c>
      <c r="AV478" s="259" t="str">
        <f t="shared" si="74"/>
        <v>Aug-21</v>
      </c>
    </row>
    <row r="479" spans="1:48" hidden="1">
      <c r="A479" s="559">
        <v>696</v>
      </c>
      <c r="B479" s="560" t="s">
        <v>280</v>
      </c>
      <c r="C479" s="563" t="s">
        <v>15</v>
      </c>
      <c r="D479" s="645">
        <v>109981</v>
      </c>
      <c r="E479" s="646" t="s">
        <v>1089</v>
      </c>
      <c r="F479" s="647" t="s">
        <v>149</v>
      </c>
      <c r="G479" s="647" t="s">
        <v>24</v>
      </c>
      <c r="H479" s="647" t="s">
        <v>26</v>
      </c>
      <c r="I479" s="575" t="s">
        <v>1090</v>
      </c>
      <c r="J479" s="575">
        <v>1</v>
      </c>
      <c r="K479" s="647" t="s">
        <v>437</v>
      </c>
      <c r="L479" s="657">
        <v>44069</v>
      </c>
      <c r="M479" s="576" t="s">
        <v>1061</v>
      </c>
      <c r="N479" s="647" t="s">
        <v>930</v>
      </c>
      <c r="O479" s="647">
        <v>2020.04</v>
      </c>
      <c r="P479" s="566" t="str">
        <f>VLOOKUP(A479,'[1]Raw data'!$B:$BB,23,FALSE)</f>
        <v>JPY</v>
      </c>
      <c r="Q479" s="563" t="str">
        <f>VLOOKUP(A479,'[1]Raw data'!$B:$Z,2,FALSE)</f>
        <v>C49SZX20200116JL</v>
      </c>
      <c r="R479" s="563" t="str">
        <f>VLOOKUP(A479,'[1]Raw data'!$B:$Z,3,FALSE)</f>
        <v>德劲</v>
      </c>
      <c r="S479" s="563" t="str">
        <f>VLOOKUP(A479,'[1]Raw data'!$B:$Z,4,FALSE)</f>
        <v>YSM40R-4</v>
      </c>
      <c r="T479" s="563" t="str">
        <f>VLOOKUP(A479,'[1]Raw data'!$B:$Z,8,FALSE)</f>
        <v>L-&gt;R</v>
      </c>
      <c r="U479" s="563" t="str">
        <f>VLOOKUP(A479,'[1]Raw data'!$B:$Z,9,FALSE)</f>
        <v>No</v>
      </c>
      <c r="V479" s="567" t="str">
        <f t="shared" si="75"/>
        <v>OK</v>
      </c>
      <c r="W479" s="563" t="str">
        <f>VLOOKUP(A479,'[1]Raw data'!$B:$AG,32,FALSE)</f>
        <v>DAP SZ</v>
      </c>
      <c r="X479" s="563">
        <f>VLOOKUP(A479,'[1]Raw data'!$B:$BA,31,FALSE)</f>
        <v>44018</v>
      </c>
      <c r="Y479" s="563" t="str">
        <f>VLOOKUP(A479,'[1]Raw data'!$B:$AS,39,FALSE)</f>
        <v>Yes</v>
      </c>
      <c r="Z479" s="659"/>
      <c r="AA479" s="660"/>
      <c r="AB479" s="661"/>
      <c r="AC479" s="563" t="s">
        <v>678</v>
      </c>
      <c r="AD479" s="662"/>
      <c r="AE479" s="662"/>
      <c r="AF479" s="662"/>
      <c r="AG479" s="662"/>
      <c r="AH479" s="662"/>
      <c r="AI479" s="663"/>
      <c r="AN479" s="542"/>
      <c r="AO479" s="824" t="str">
        <f t="shared" si="67"/>
        <v>Yes</v>
      </c>
      <c r="AP479" s="259" t="str">
        <f t="shared" si="68"/>
        <v>AUG 20</v>
      </c>
      <c r="AQ479" s="542" t="str">
        <f t="shared" si="69"/>
        <v>有定金+有預留客戶</v>
      </c>
      <c r="AR479" s="259" t="str">
        <f t="shared" si="70"/>
        <v>Shipped_Stock</v>
      </c>
      <c r="AS479" s="259" t="str">
        <f t="shared" si="71"/>
        <v/>
      </c>
      <c r="AT479" s="259" t="str">
        <f t="shared" si="72"/>
        <v>德劲</v>
      </c>
      <c r="AU479" s="259" t="str">
        <f t="shared" si="73"/>
        <v>C49SZX20200116JL</v>
      </c>
      <c r="AV479" s="259" t="str">
        <f t="shared" si="74"/>
        <v>Aug-26</v>
      </c>
    </row>
    <row r="480" spans="1:48" hidden="1">
      <c r="A480" s="559">
        <v>793</v>
      </c>
      <c r="B480" s="560" t="s">
        <v>280</v>
      </c>
      <c r="C480" s="563" t="s">
        <v>15</v>
      </c>
      <c r="D480" s="645" t="s">
        <v>1091</v>
      </c>
      <c r="E480" s="646" t="s">
        <v>1089</v>
      </c>
      <c r="F480" s="647" t="s">
        <v>149</v>
      </c>
      <c r="G480" s="647" t="s">
        <v>24</v>
      </c>
      <c r="H480" s="647" t="s">
        <v>26</v>
      </c>
      <c r="I480" s="575" t="s">
        <v>1092</v>
      </c>
      <c r="J480" s="575">
        <v>1</v>
      </c>
      <c r="K480" s="647" t="s">
        <v>437</v>
      </c>
      <c r="L480" s="657">
        <v>44069</v>
      </c>
      <c r="M480" s="665">
        <v>6.5500000000000003E-2</v>
      </c>
      <c r="N480" s="647" t="s">
        <v>918</v>
      </c>
      <c r="O480" s="647">
        <v>2020.04</v>
      </c>
      <c r="P480" s="566" t="str">
        <f>VLOOKUP(A480,'[1]Raw data'!$B:$BB,23,FALSE)</f>
        <v>RMB</v>
      </c>
      <c r="Q480" s="563" t="str">
        <f>VLOOKUP(A480,'[1]Raw data'!$B:$Z,2,FALSE)</f>
        <v>C49SZX20200127KW</v>
      </c>
      <c r="R480" s="563" t="str">
        <f>VLOOKUP(A480,'[1]Raw data'!$B:$Z,3,FALSE)</f>
        <v>万恒光电</v>
      </c>
      <c r="S480" s="563" t="str">
        <f>VLOOKUP(A480,'[1]Raw data'!$B:$Z,4,FALSE)</f>
        <v>YSM40R-4</v>
      </c>
      <c r="T480" s="563" t="str">
        <f>VLOOKUP(A480,'[1]Raw data'!$B:$Z,8,FALSE)</f>
        <v>L-&gt;R</v>
      </c>
      <c r="U480" s="563" t="str">
        <f>VLOOKUP(A480,'[1]Raw data'!$B:$Z,9,FALSE)</f>
        <v>No</v>
      </c>
      <c r="V480" s="567" t="str">
        <f t="shared" si="75"/>
        <v>OK</v>
      </c>
      <c r="W480" s="563" t="str">
        <f>VLOOKUP(A480,'[1]Raw data'!$B:$AG,32,FALSE)</f>
        <v>含税到厂</v>
      </c>
      <c r="X480" s="563">
        <f>VLOOKUP(A480,'[1]Raw data'!$B:$BA,31,FALSE)</f>
        <v>44069</v>
      </c>
      <c r="Y480" s="563" t="str">
        <f>VLOOKUP(A480,'[1]Raw data'!$B:$AS,39,FALSE)</f>
        <v>Yes</v>
      </c>
      <c r="Z480" s="659"/>
      <c r="AA480" s="660"/>
      <c r="AB480" s="661"/>
      <c r="AC480" s="647" t="s">
        <v>1093</v>
      </c>
      <c r="AD480" s="662"/>
      <c r="AE480" s="662"/>
      <c r="AF480" s="662"/>
      <c r="AG480" s="662"/>
      <c r="AH480" s="662"/>
      <c r="AI480" s="663"/>
      <c r="AN480" s="542"/>
      <c r="AO480" s="824" t="str">
        <f t="shared" si="67"/>
        <v>Yes</v>
      </c>
      <c r="AP480" s="259" t="str">
        <f t="shared" si="68"/>
        <v>SEP 20</v>
      </c>
      <c r="AQ480" s="542" t="str">
        <f t="shared" si="69"/>
        <v>有定金+有預留客戶</v>
      </c>
      <c r="AR480" s="259" t="str">
        <f t="shared" si="70"/>
        <v>Shipped_Stock</v>
      </c>
      <c r="AS480" s="259" t="str">
        <f t="shared" si="71"/>
        <v/>
      </c>
      <c r="AT480" s="259" t="str">
        <f t="shared" si="72"/>
        <v>万恒光电</v>
      </c>
      <c r="AU480" s="259" t="str">
        <f t="shared" si="73"/>
        <v>C49SZX20200127KW</v>
      </c>
      <c r="AV480" s="259" t="str">
        <f t="shared" si="74"/>
        <v>Aug-26</v>
      </c>
    </row>
    <row r="481" spans="1:48" hidden="1">
      <c r="A481" s="559">
        <v>707</v>
      </c>
      <c r="B481" s="560" t="s">
        <v>280</v>
      </c>
      <c r="C481" s="563" t="s">
        <v>15</v>
      </c>
      <c r="D481" s="645">
        <v>109958</v>
      </c>
      <c r="E481" s="563" t="s">
        <v>886</v>
      </c>
      <c r="F481" s="647" t="s">
        <v>17</v>
      </c>
      <c r="G481" s="647" t="s">
        <v>1012</v>
      </c>
      <c r="H481" s="647" t="s">
        <v>26</v>
      </c>
      <c r="I481" s="575" t="s">
        <v>1094</v>
      </c>
      <c r="J481" s="575">
        <v>1</v>
      </c>
      <c r="K481" s="647" t="s">
        <v>437</v>
      </c>
      <c r="L481" s="657">
        <v>44071</v>
      </c>
      <c r="M481" s="665">
        <v>6.6299999999999998E-2</v>
      </c>
      <c r="N481" s="647" t="s">
        <v>918</v>
      </c>
      <c r="O481" s="664">
        <v>2020.08</v>
      </c>
      <c r="P481" s="566" t="str">
        <f>VLOOKUP(A481,'[1]Raw data'!$B:$BB,23,FALSE)</f>
        <v>JPY</v>
      </c>
      <c r="Q481" s="563" t="str">
        <f>VLOOKUP(A481,'[1]Raw data'!$B:$Z,2,FALSE)</f>
        <v>C49SZX20200075EC</v>
      </c>
      <c r="R481" s="563" t="str">
        <f>VLOOKUP(A481,'[1]Raw data'!$B:$Z,3,FALSE)</f>
        <v>海红天远</v>
      </c>
      <c r="S481" s="563" t="str">
        <f>VLOOKUP(A481,'[1]Raw data'!$B:$Z,4,FALSE)</f>
        <v>YSM10</v>
      </c>
      <c r="T481" s="563" t="str">
        <f>VLOOKUP(A481,'[1]Raw data'!$B:$Z,8,FALSE)</f>
        <v>R-&gt;L</v>
      </c>
      <c r="U481" s="563" t="str">
        <f>VLOOKUP(A481,'[1]Raw data'!$B:$Z,9,FALSE)</f>
        <v>No</v>
      </c>
      <c r="V481" s="567" t="str">
        <f t="shared" si="75"/>
        <v>OK</v>
      </c>
      <c r="W481" s="563" t="str">
        <f>VLOOKUP(A481,'[1]Raw data'!$B:$AG,32,FALSE)</f>
        <v>CIF HK</v>
      </c>
      <c r="X481" s="563">
        <f>VLOOKUP(A481,'[1]Raw data'!$B:$BA,31,FALSE)</f>
        <v>44025</v>
      </c>
      <c r="Y481" s="563" t="str">
        <f>VLOOKUP(A481,'[1]Raw data'!$B:$AS,39,FALSE)</f>
        <v>Yes</v>
      </c>
      <c r="Z481" s="659"/>
      <c r="AA481" s="660"/>
      <c r="AB481" s="661"/>
      <c r="AC481" s="647" t="s">
        <v>1079</v>
      </c>
      <c r="AD481" s="662">
        <v>301</v>
      </c>
      <c r="AE481" s="662">
        <v>10</v>
      </c>
      <c r="AF481" s="662"/>
      <c r="AG481" s="662"/>
      <c r="AH481" s="662"/>
      <c r="AI481" s="663"/>
      <c r="AN481" s="542"/>
      <c r="AO481" s="824" t="str">
        <f t="shared" si="67"/>
        <v>Yes</v>
      </c>
      <c r="AP481" s="259" t="str">
        <f t="shared" si="68"/>
        <v>SEP 20</v>
      </c>
      <c r="AQ481" s="542" t="str">
        <f t="shared" si="69"/>
        <v>有定金+有預留客戶</v>
      </c>
      <c r="AR481" s="259" t="str">
        <f t="shared" si="70"/>
        <v>Shipped_Stock</v>
      </c>
      <c r="AS481" s="259" t="str">
        <f t="shared" si="71"/>
        <v/>
      </c>
      <c r="AT481" s="259" t="str">
        <f t="shared" si="72"/>
        <v>海红天远</v>
      </c>
      <c r="AU481" s="259" t="str">
        <f t="shared" si="73"/>
        <v>C49SZX20200075EC</v>
      </c>
      <c r="AV481" s="259" t="str">
        <f t="shared" si="74"/>
        <v>Aug-28</v>
      </c>
    </row>
    <row r="482" spans="1:48" hidden="1">
      <c r="A482" s="559">
        <v>724</v>
      </c>
      <c r="B482" s="560" t="s">
        <v>280</v>
      </c>
      <c r="C482" s="563" t="s">
        <v>15</v>
      </c>
      <c r="D482" s="645">
        <v>109958</v>
      </c>
      <c r="E482" s="563" t="s">
        <v>886</v>
      </c>
      <c r="F482" s="647" t="s">
        <v>17</v>
      </c>
      <c r="G482" s="647" t="s">
        <v>18</v>
      </c>
      <c r="H482" s="647" t="s">
        <v>26</v>
      </c>
      <c r="I482" s="575" t="s">
        <v>1095</v>
      </c>
      <c r="J482" s="575">
        <v>1</v>
      </c>
      <c r="K482" s="647" t="s">
        <v>437</v>
      </c>
      <c r="L482" s="657">
        <v>44071</v>
      </c>
      <c r="M482" s="665">
        <v>6.6299999999999998E-2</v>
      </c>
      <c r="N482" s="647" t="s">
        <v>918</v>
      </c>
      <c r="O482" s="664">
        <v>2020.08</v>
      </c>
      <c r="P482" s="566" t="str">
        <f>VLOOKUP(A482,'[1]Raw data'!$B:$BB,23,FALSE)</f>
        <v>JPY</v>
      </c>
      <c r="Q482" s="563" t="str">
        <f>VLOOKUP(A482,'[1]Raw data'!$B:$Z,2,FALSE)</f>
        <v>C49SZX20200102MZ</v>
      </c>
      <c r="R482" s="563" t="str">
        <f>VLOOKUP(A482,'[1]Raw data'!$B:$Z,3,FALSE)</f>
        <v>崧盛</v>
      </c>
      <c r="S482" s="563" t="str">
        <f>VLOOKUP(A482,'[1]Raw data'!$B:$Z,4,FALSE)</f>
        <v>YSM10</v>
      </c>
      <c r="T482" s="563" t="str">
        <f>VLOOKUP(A482,'[1]Raw data'!$B:$Z,8,FALSE)</f>
        <v>L-&gt;R</v>
      </c>
      <c r="U482" s="563" t="str">
        <f>VLOOKUP(A482,'[1]Raw data'!$B:$Z,9,FALSE)</f>
        <v>No</v>
      </c>
      <c r="V482" s="567" t="str">
        <f t="shared" si="75"/>
        <v>WRONG</v>
      </c>
      <c r="W482" s="563" t="str">
        <f>VLOOKUP(A482,'[1]Raw data'!$B:$AG,32,FALSE)</f>
        <v>CIF HK</v>
      </c>
      <c r="X482" s="563">
        <f>VLOOKUP(A482,'[1]Raw data'!$B:$BA,31,FALSE)</f>
        <v>44028</v>
      </c>
      <c r="Y482" s="563" t="str">
        <f>VLOOKUP(A482,'[1]Raw data'!$B:$AS,39,FALSE)</f>
        <v>Yes</v>
      </c>
      <c r="Z482" s="659"/>
      <c r="AA482" s="660"/>
      <c r="AB482" s="661"/>
      <c r="AC482" s="647" t="s">
        <v>637</v>
      </c>
      <c r="AD482" s="662">
        <v>301</v>
      </c>
      <c r="AE482" s="662">
        <v>10</v>
      </c>
      <c r="AF482" s="662"/>
      <c r="AG482" s="662"/>
      <c r="AH482" s="662"/>
      <c r="AI482" s="663"/>
      <c r="AN482" s="542"/>
      <c r="AO482" s="824" t="str">
        <f t="shared" si="67"/>
        <v>Yes</v>
      </c>
      <c r="AP482" s="259" t="str">
        <f t="shared" si="68"/>
        <v>SEP 20</v>
      </c>
      <c r="AQ482" s="542" t="str">
        <f t="shared" si="69"/>
        <v>有定金+有預留客戶</v>
      </c>
      <c r="AR482" s="259" t="str">
        <f t="shared" si="70"/>
        <v>Shipped_Stock</v>
      </c>
      <c r="AS482" s="259" t="str">
        <f t="shared" si="71"/>
        <v/>
      </c>
      <c r="AT482" s="259" t="str">
        <f t="shared" si="72"/>
        <v>崧盛</v>
      </c>
      <c r="AU482" s="259" t="str">
        <f t="shared" si="73"/>
        <v>C49SZX20200102MZ</v>
      </c>
      <c r="AV482" s="259" t="str">
        <f t="shared" si="74"/>
        <v>Aug-28</v>
      </c>
    </row>
    <row r="483" spans="1:48" hidden="1">
      <c r="A483" s="559">
        <v>725</v>
      </c>
      <c r="B483" s="560" t="s">
        <v>280</v>
      </c>
      <c r="C483" s="563" t="s">
        <v>15</v>
      </c>
      <c r="D483" s="645">
        <v>109958</v>
      </c>
      <c r="E483" s="563" t="s">
        <v>886</v>
      </c>
      <c r="F483" s="647" t="s">
        <v>17</v>
      </c>
      <c r="G483" s="647" t="s">
        <v>18</v>
      </c>
      <c r="H483" s="647" t="s">
        <v>26</v>
      </c>
      <c r="I483" s="575" t="s">
        <v>1096</v>
      </c>
      <c r="J483" s="575">
        <v>1</v>
      </c>
      <c r="K483" s="647" t="s">
        <v>437</v>
      </c>
      <c r="L483" s="657">
        <v>44071</v>
      </c>
      <c r="M483" s="676">
        <v>6.6299999999999998E-2</v>
      </c>
      <c r="N483" s="647" t="s">
        <v>918</v>
      </c>
      <c r="O483" s="664">
        <v>2020.08</v>
      </c>
      <c r="P483" s="566" t="str">
        <f>VLOOKUP(A483,'[1]Raw data'!$B:$BB,23,FALSE)</f>
        <v>JPY</v>
      </c>
      <c r="Q483" s="563" t="str">
        <f>VLOOKUP(A483,'[1]Raw data'!$B:$Z,2,FALSE)</f>
        <v>C49SZX20200102MZ</v>
      </c>
      <c r="R483" s="563" t="str">
        <f>VLOOKUP(A483,'[1]Raw data'!$B:$Z,3,FALSE)</f>
        <v>崧盛</v>
      </c>
      <c r="S483" s="563" t="str">
        <f>VLOOKUP(A483,'[1]Raw data'!$B:$Z,4,FALSE)</f>
        <v>YSM10</v>
      </c>
      <c r="T483" s="563" t="str">
        <f>VLOOKUP(A483,'[1]Raw data'!$B:$Z,8,FALSE)</f>
        <v>L-&gt;R</v>
      </c>
      <c r="U483" s="563" t="str">
        <f>VLOOKUP(A483,'[1]Raw data'!$B:$Z,9,FALSE)</f>
        <v>No</v>
      </c>
      <c r="V483" s="567" t="str">
        <f t="shared" si="75"/>
        <v>WRONG</v>
      </c>
      <c r="W483" s="563" t="str">
        <f>VLOOKUP(A483,'[1]Raw data'!$B:$AG,32,FALSE)</f>
        <v>CIF HK</v>
      </c>
      <c r="X483" s="563">
        <f>VLOOKUP(A483,'[1]Raw data'!$B:$BA,31,FALSE)</f>
        <v>44028</v>
      </c>
      <c r="Y483" s="563" t="str">
        <f>VLOOKUP(A483,'[1]Raw data'!$B:$AS,39,FALSE)</f>
        <v>Yes</v>
      </c>
      <c r="Z483" s="669"/>
      <c r="AA483" s="670"/>
      <c r="AB483" s="671"/>
      <c r="AC483" s="647" t="s">
        <v>637</v>
      </c>
      <c r="AD483" s="662">
        <v>301</v>
      </c>
      <c r="AE483" s="662">
        <v>10</v>
      </c>
      <c r="AF483" s="662"/>
      <c r="AG483" s="662"/>
      <c r="AH483" s="662"/>
      <c r="AI483" s="663"/>
      <c r="AN483" s="542"/>
      <c r="AO483" s="824" t="str">
        <f t="shared" si="67"/>
        <v>Yes</v>
      </c>
      <c r="AP483" s="259" t="str">
        <f t="shared" si="68"/>
        <v>SEP 20</v>
      </c>
      <c r="AQ483" s="542" t="str">
        <f t="shared" si="69"/>
        <v>有定金+有預留客戶</v>
      </c>
      <c r="AR483" s="259" t="str">
        <f t="shared" si="70"/>
        <v>Shipped_Stock</v>
      </c>
      <c r="AS483" s="259" t="str">
        <f t="shared" si="71"/>
        <v/>
      </c>
      <c r="AT483" s="259" t="str">
        <f t="shared" si="72"/>
        <v>崧盛</v>
      </c>
      <c r="AU483" s="259" t="str">
        <f t="shared" si="73"/>
        <v>C49SZX20200102MZ</v>
      </c>
      <c r="AV483" s="259" t="str">
        <f t="shared" si="74"/>
        <v>Aug-28</v>
      </c>
    </row>
    <row r="484" spans="1:48" hidden="1">
      <c r="A484" s="559">
        <v>719</v>
      </c>
      <c r="B484" s="560" t="s">
        <v>280</v>
      </c>
      <c r="C484" s="563" t="s">
        <v>15</v>
      </c>
      <c r="D484" s="645">
        <v>109958</v>
      </c>
      <c r="E484" s="563" t="s">
        <v>886</v>
      </c>
      <c r="F484" s="647" t="s">
        <v>17</v>
      </c>
      <c r="G484" s="647" t="s">
        <v>18</v>
      </c>
      <c r="H484" s="647" t="s">
        <v>26</v>
      </c>
      <c r="I484" s="575" t="s">
        <v>1097</v>
      </c>
      <c r="J484" s="575">
        <v>1</v>
      </c>
      <c r="K484" s="647" t="s">
        <v>437</v>
      </c>
      <c r="L484" s="657">
        <v>44071</v>
      </c>
      <c r="M484" s="665">
        <v>6.6299999999999998E-2</v>
      </c>
      <c r="N484" s="647" t="s">
        <v>918</v>
      </c>
      <c r="O484" s="647">
        <v>2020.08</v>
      </c>
      <c r="P484" s="566" t="str">
        <f>VLOOKUP(A484,'[1]Raw data'!$B:$BB,23,FALSE)</f>
        <v>JPY</v>
      </c>
      <c r="Q484" s="563" t="str">
        <f>VLOOKUP(A484,'[1]Raw data'!$B:$Z,2,FALSE)</f>
        <v>C49SZX20200103SS</v>
      </c>
      <c r="R484" s="563" t="str">
        <f>VLOOKUP(A484,'[1]Raw data'!$B:$Z,3,FALSE)</f>
        <v>钧溢电子</v>
      </c>
      <c r="S484" s="563" t="str">
        <f>VLOOKUP(A484,'[1]Raw data'!$B:$Z,4,FALSE)</f>
        <v>YSM10</v>
      </c>
      <c r="T484" s="563" t="str">
        <f>VLOOKUP(A484,'[1]Raw data'!$B:$Z,8,FALSE)</f>
        <v>L-&gt;R</v>
      </c>
      <c r="U484" s="563" t="str">
        <f>VLOOKUP(A484,'[1]Raw data'!$B:$Z,9,FALSE)</f>
        <v>MVC</v>
      </c>
      <c r="V484" s="567" t="str">
        <f t="shared" si="75"/>
        <v>WRONG</v>
      </c>
      <c r="W484" s="563" t="str">
        <f>VLOOKUP(A484,'[1]Raw data'!$B:$AG,32,FALSE)</f>
        <v>DAP SZ</v>
      </c>
      <c r="X484" s="563">
        <f>VLOOKUP(A484,'[1]Raw data'!$B:$BA,31,FALSE)</f>
        <v>44027</v>
      </c>
      <c r="Y484" s="563" t="str">
        <f>VLOOKUP(A484,'[1]Raw data'!$B:$AS,39,FALSE)</f>
        <v>Yes</v>
      </c>
      <c r="Z484" s="659"/>
      <c r="AA484" s="660"/>
      <c r="AB484" s="661"/>
      <c r="AC484" s="647" t="s">
        <v>940</v>
      </c>
      <c r="AD484" s="662">
        <v>302</v>
      </c>
      <c r="AE484" s="662">
        <v>10</v>
      </c>
      <c r="AF484" s="662"/>
      <c r="AG484" s="662"/>
      <c r="AH484" s="662"/>
      <c r="AI484" s="663"/>
      <c r="AN484" s="542"/>
      <c r="AO484" s="824" t="str">
        <f t="shared" si="67"/>
        <v>Yes</v>
      </c>
      <c r="AP484" s="259" t="str">
        <f t="shared" si="68"/>
        <v>SEP 20</v>
      </c>
      <c r="AQ484" s="542" t="str">
        <f t="shared" si="69"/>
        <v>有定金+有預留客戶</v>
      </c>
      <c r="AR484" s="259" t="str">
        <f t="shared" si="70"/>
        <v>Shipped_Stock</v>
      </c>
      <c r="AS484" s="259" t="str">
        <f t="shared" si="71"/>
        <v/>
      </c>
      <c r="AT484" s="259" t="str">
        <f t="shared" si="72"/>
        <v>钧溢电子</v>
      </c>
      <c r="AU484" s="259" t="str">
        <f t="shared" si="73"/>
        <v>C49SZX20200103SS</v>
      </c>
      <c r="AV484" s="259" t="str">
        <f t="shared" si="74"/>
        <v>Aug-28</v>
      </c>
    </row>
    <row r="485" spans="1:48" hidden="1">
      <c r="A485" s="559">
        <v>742</v>
      </c>
      <c r="B485" s="560" t="s">
        <v>280</v>
      </c>
      <c r="C485" s="563" t="s">
        <v>15</v>
      </c>
      <c r="D485" s="645">
        <v>109958</v>
      </c>
      <c r="E485" s="563" t="s">
        <v>886</v>
      </c>
      <c r="F485" s="647" t="s">
        <v>17</v>
      </c>
      <c r="G485" s="647" t="s">
        <v>18</v>
      </c>
      <c r="H485" s="647" t="s">
        <v>26</v>
      </c>
      <c r="I485" s="575" t="s">
        <v>1098</v>
      </c>
      <c r="J485" s="575">
        <v>1</v>
      </c>
      <c r="K485" s="647" t="s">
        <v>437</v>
      </c>
      <c r="L485" s="657">
        <v>44071</v>
      </c>
      <c r="M485" s="665">
        <v>6.6299999999999998E-2</v>
      </c>
      <c r="N485" s="647" t="s">
        <v>918</v>
      </c>
      <c r="O485" s="647">
        <v>2020.08</v>
      </c>
      <c r="P485" s="566" t="str">
        <f>VLOOKUP(A485,'[1]Raw data'!$B:$BB,23,FALSE)</f>
        <v>JPY</v>
      </c>
      <c r="Q485" s="563" t="str">
        <f>VLOOKUP(A485,'[1]Raw data'!$B:$Z,2,FALSE)</f>
        <v>C49SZX20200111JY</v>
      </c>
      <c r="R485" s="563" t="str">
        <f>VLOOKUP(A485,'[1]Raw data'!$B:$Z,3,FALSE)</f>
        <v>华创易达</v>
      </c>
      <c r="S485" s="563" t="str">
        <f>VLOOKUP(A485,'[1]Raw data'!$B:$Z,4,FALSE)</f>
        <v>YSM10</v>
      </c>
      <c r="T485" s="563" t="str">
        <f>VLOOKUP(A485,'[1]Raw data'!$B:$Z,8,FALSE)</f>
        <v>L-&gt;R</v>
      </c>
      <c r="U485" s="563" t="str">
        <f>VLOOKUP(A485,'[1]Raw data'!$B:$Z,9,FALSE)</f>
        <v>No</v>
      </c>
      <c r="V485" s="567" t="str">
        <f t="shared" si="75"/>
        <v>WRONG</v>
      </c>
      <c r="W485" s="563" t="str">
        <f>VLOOKUP(A485,'[1]Raw data'!$B:$AG,32,FALSE)</f>
        <v>DAP SZ</v>
      </c>
      <c r="X485" s="563">
        <f>VLOOKUP(A485,'[1]Raw data'!$B:$BA,31,FALSE)</f>
        <v>44035</v>
      </c>
      <c r="Y485" s="563" t="str">
        <f>VLOOKUP(A485,'[1]Raw data'!$B:$AS,39,FALSE)</f>
        <v>Yes</v>
      </c>
      <c r="Z485" s="659"/>
      <c r="AA485" s="660"/>
      <c r="AB485" s="661"/>
      <c r="AC485" s="647" t="s">
        <v>1099</v>
      </c>
      <c r="AD485" s="662">
        <v>302</v>
      </c>
      <c r="AE485" s="662">
        <v>10</v>
      </c>
      <c r="AF485" s="662"/>
      <c r="AG485" s="662"/>
      <c r="AH485" s="662"/>
      <c r="AI485" s="663"/>
      <c r="AN485" s="542"/>
      <c r="AO485" s="824" t="str">
        <f t="shared" si="67"/>
        <v>Yes</v>
      </c>
      <c r="AP485" s="259" t="str">
        <f t="shared" si="68"/>
        <v>SEP 20</v>
      </c>
      <c r="AQ485" s="542" t="str">
        <f t="shared" si="69"/>
        <v>有定金+有預留客戶</v>
      </c>
      <c r="AR485" s="259" t="str">
        <f t="shared" si="70"/>
        <v>Shipped_Stock</v>
      </c>
      <c r="AS485" s="259" t="str">
        <f t="shared" si="71"/>
        <v/>
      </c>
      <c r="AT485" s="259" t="str">
        <f t="shared" si="72"/>
        <v>华创易达</v>
      </c>
      <c r="AU485" s="259" t="str">
        <f t="shared" si="73"/>
        <v>C49SZX20200111JY</v>
      </c>
      <c r="AV485" s="259" t="str">
        <f t="shared" si="74"/>
        <v>Aug-28</v>
      </c>
    </row>
    <row r="486" spans="1:48" hidden="1">
      <c r="A486" s="559">
        <v>728</v>
      </c>
      <c r="B486" s="664" t="s">
        <v>280</v>
      </c>
      <c r="C486" s="563" t="s">
        <v>15</v>
      </c>
      <c r="D486" s="599" t="s">
        <v>1100</v>
      </c>
      <c r="E486" s="563" t="s">
        <v>886</v>
      </c>
      <c r="F486" s="563" t="s">
        <v>256</v>
      </c>
      <c r="G486" s="563" t="s">
        <v>24</v>
      </c>
      <c r="H486" s="647" t="s">
        <v>26</v>
      </c>
      <c r="I486" s="575" t="s">
        <v>1101</v>
      </c>
      <c r="J486" s="575">
        <v>1</v>
      </c>
      <c r="K486" s="647" t="s">
        <v>496</v>
      </c>
      <c r="L486" s="657">
        <v>44090</v>
      </c>
      <c r="M486" s="618">
        <v>6.5500000000000003E-2</v>
      </c>
      <c r="N486" s="647" t="s">
        <v>918</v>
      </c>
      <c r="O486" s="679">
        <v>2020.09</v>
      </c>
      <c r="P486" s="566" t="str">
        <f>VLOOKUP(A486,'[1]Raw data'!$B:$BB,23,FALSE)</f>
        <v>RMB</v>
      </c>
      <c r="Q486" s="563" t="str">
        <f>VLOOKUP(A486,'[1]Raw data'!$B:$Z,2,FALSE)</f>
        <v>C49SZX20200096MZ</v>
      </c>
      <c r="R486" s="563" t="str">
        <f>VLOOKUP(A486,'[1]Raw data'!$B:$Z,3,FALSE)</f>
        <v>东原</v>
      </c>
      <c r="S486" s="563" t="str">
        <f>VLOOKUP(A486,'[1]Raw data'!$B:$Z,4,FALSE)</f>
        <v>YSM20R(SV)-2</v>
      </c>
      <c r="T486" s="563" t="str">
        <f>VLOOKUP(A486,'[1]Raw data'!$B:$Z,8,FALSE)</f>
        <v>L-&gt;R</v>
      </c>
      <c r="U486" s="563" t="str">
        <f>VLOOKUP(A486,'[1]Raw data'!$B:$Z,9,FALSE)</f>
        <v>No</v>
      </c>
      <c r="V486" s="567" t="str">
        <f t="shared" si="75"/>
        <v>OK</v>
      </c>
      <c r="W486" s="563" t="str">
        <f>VLOOKUP(A486,'[1]Raw data'!$B:$AG,32,FALSE)</f>
        <v>含税到厂</v>
      </c>
      <c r="X486" s="563">
        <f>VLOOKUP(A486,'[1]Raw data'!$B:$BA,31,FALSE)</f>
        <v>44030</v>
      </c>
      <c r="Y486" s="563" t="str">
        <f>VLOOKUP(A486,'[1]Raw data'!$B:$AS,39,FALSE)</f>
        <v>Yes</v>
      </c>
      <c r="Z486" s="659"/>
      <c r="AA486" s="660"/>
      <c r="AB486" s="661"/>
      <c r="AC486" s="647" t="s">
        <v>1102</v>
      </c>
      <c r="AD486" s="662">
        <v>312</v>
      </c>
      <c r="AE486" s="662">
        <v>10</v>
      </c>
      <c r="AF486" s="662">
        <v>303</v>
      </c>
      <c r="AG486" s="662">
        <v>10</v>
      </c>
      <c r="AH486" s="662"/>
      <c r="AI486" s="663"/>
      <c r="AN486" s="542"/>
      <c r="AO486" s="824" t="str">
        <f t="shared" si="67"/>
        <v>Yes</v>
      </c>
      <c r="AP486" s="259" t="str">
        <f t="shared" si="68"/>
        <v>SEP 20</v>
      </c>
      <c r="AQ486" s="542" t="str">
        <f t="shared" si="69"/>
        <v>有定金+有預留客戶</v>
      </c>
      <c r="AR486" s="259" t="str">
        <f t="shared" si="70"/>
        <v>Shipped_Stock</v>
      </c>
      <c r="AS486" s="259" t="str">
        <f t="shared" si="71"/>
        <v/>
      </c>
      <c r="AT486" s="259" t="str">
        <f t="shared" si="72"/>
        <v>东原</v>
      </c>
      <c r="AU486" s="259" t="str">
        <f t="shared" si="73"/>
        <v>C49SZX20200096MZ</v>
      </c>
      <c r="AV486" s="259" t="str">
        <f t="shared" si="74"/>
        <v>Sep-16</v>
      </c>
    </row>
    <row r="487" spans="1:48" ht="22.5" hidden="1">
      <c r="A487" s="559">
        <v>758</v>
      </c>
      <c r="B487" s="664" t="s">
        <v>280</v>
      </c>
      <c r="C487" s="563" t="s">
        <v>15</v>
      </c>
      <c r="D487" s="599" t="s">
        <v>1100</v>
      </c>
      <c r="E487" s="563" t="s">
        <v>886</v>
      </c>
      <c r="F487" s="563" t="s">
        <v>256</v>
      </c>
      <c r="G487" s="563" t="s">
        <v>24</v>
      </c>
      <c r="H487" s="647" t="s">
        <v>26</v>
      </c>
      <c r="I487" s="575" t="s">
        <v>1103</v>
      </c>
      <c r="J487" s="575">
        <v>1</v>
      </c>
      <c r="K487" s="647" t="s">
        <v>496</v>
      </c>
      <c r="L487" s="657">
        <v>44090</v>
      </c>
      <c r="M487" s="678" t="s">
        <v>1104</v>
      </c>
      <c r="N487" s="647" t="s">
        <v>918</v>
      </c>
      <c r="O487" s="679">
        <v>2020.09</v>
      </c>
      <c r="P487" s="566" t="str">
        <f>VLOOKUP(A487,'[1]Raw data'!$B:$BB,23,FALSE)</f>
        <v>JPY</v>
      </c>
      <c r="Q487" s="563" t="str">
        <f>VLOOKUP(A487,'[1]Raw data'!$B:$Z,2,FALSE)</f>
        <v>C49SZX20200130JZ</v>
      </c>
      <c r="R487" s="563" t="str">
        <f>VLOOKUP(A487,'[1]Raw data'!$B:$Z,3,FALSE)</f>
        <v>斯迈</v>
      </c>
      <c r="S487" s="563" t="str">
        <f>VLOOKUP(A487,'[1]Raw data'!$B:$Z,4,FALSE)</f>
        <v>YSM20R(SV)-2</v>
      </c>
      <c r="T487" s="563" t="str">
        <f>VLOOKUP(A487,'[1]Raw data'!$B:$Z,8,FALSE)</f>
        <v>L-&gt;R</v>
      </c>
      <c r="U487" s="563" t="str">
        <f>VLOOKUP(A487,'[1]Raw data'!$B:$Z,9,FALSE)</f>
        <v>No</v>
      </c>
      <c r="V487" s="567" t="str">
        <f t="shared" si="75"/>
        <v>OK</v>
      </c>
      <c r="W487" s="563" t="str">
        <f>VLOOKUP(A487,'[1]Raw data'!$B:$AG,32,FALSE)</f>
        <v>DAP GZ</v>
      </c>
      <c r="X487" s="563">
        <f>VLOOKUP(A487,'[1]Raw data'!$B:$BA,31,FALSE)</f>
        <v>44049</v>
      </c>
      <c r="Y487" s="563" t="str">
        <f>VLOOKUP(A487,'[1]Raw data'!$B:$AS,39,FALSE)</f>
        <v>Yes</v>
      </c>
      <c r="Z487" s="669"/>
      <c r="AA487" s="670"/>
      <c r="AB487" s="671"/>
      <c r="AC487" s="647" t="s">
        <v>1105</v>
      </c>
      <c r="AD487" s="662">
        <v>303</v>
      </c>
      <c r="AE487" s="662">
        <v>10</v>
      </c>
      <c r="AF487" s="662">
        <v>312</v>
      </c>
      <c r="AG487" s="662">
        <v>10</v>
      </c>
      <c r="AH487" s="662"/>
      <c r="AI487" s="663"/>
      <c r="AN487" s="542"/>
      <c r="AO487" s="824" t="str">
        <f t="shared" si="67"/>
        <v>Yes</v>
      </c>
      <c r="AP487" s="259" t="str">
        <f t="shared" si="68"/>
        <v>SEP 20</v>
      </c>
      <c r="AQ487" s="542" t="str">
        <f t="shared" si="69"/>
        <v>有定金+有預留客戶</v>
      </c>
      <c r="AR487" s="259" t="str">
        <f t="shared" si="70"/>
        <v>Shipped_Stock</v>
      </c>
      <c r="AS487" s="259" t="str">
        <f t="shared" si="71"/>
        <v/>
      </c>
      <c r="AT487" s="259" t="str">
        <f t="shared" si="72"/>
        <v>斯迈</v>
      </c>
      <c r="AU487" s="259" t="str">
        <f t="shared" si="73"/>
        <v>C49SZX20200130JZ</v>
      </c>
      <c r="AV487" s="259" t="str">
        <f t="shared" si="74"/>
        <v>Sep-16</v>
      </c>
    </row>
    <row r="488" spans="1:48" hidden="1">
      <c r="A488" s="559">
        <v>759</v>
      </c>
      <c r="B488" s="664" t="s">
        <v>280</v>
      </c>
      <c r="C488" s="563" t="s">
        <v>15</v>
      </c>
      <c r="D488" s="599" t="s">
        <v>1100</v>
      </c>
      <c r="E488" s="563" t="s">
        <v>886</v>
      </c>
      <c r="F488" s="563" t="s">
        <v>256</v>
      </c>
      <c r="G488" s="563" t="s">
        <v>24</v>
      </c>
      <c r="H488" s="647" t="s">
        <v>26</v>
      </c>
      <c r="I488" s="575" t="s">
        <v>1106</v>
      </c>
      <c r="J488" s="575">
        <v>1</v>
      </c>
      <c r="K488" s="647" t="s">
        <v>496</v>
      </c>
      <c r="L488" s="657">
        <v>44090</v>
      </c>
      <c r="M488" s="665">
        <v>6.5500000000000003E-2</v>
      </c>
      <c r="N488" s="647" t="s">
        <v>918</v>
      </c>
      <c r="O488" s="679">
        <v>2020.09</v>
      </c>
      <c r="P488" s="566" t="str">
        <f>VLOOKUP(A488,'[1]Raw data'!$B:$BB,23,FALSE)</f>
        <v>JPY</v>
      </c>
      <c r="Q488" s="563" t="str">
        <f>VLOOKUP(A488,'[1]Raw data'!$B:$Z,2,FALSE)</f>
        <v>C49SZX20200130JZ</v>
      </c>
      <c r="R488" s="563" t="str">
        <f>VLOOKUP(A488,'[1]Raw data'!$B:$Z,3,FALSE)</f>
        <v>斯迈</v>
      </c>
      <c r="S488" s="563" t="str">
        <f>VLOOKUP(A488,'[1]Raw data'!$B:$Z,4,FALSE)</f>
        <v>YSM20R(SV)-2</v>
      </c>
      <c r="T488" s="563" t="str">
        <f>VLOOKUP(A488,'[1]Raw data'!$B:$Z,8,FALSE)</f>
        <v>L-&gt;R</v>
      </c>
      <c r="U488" s="563" t="str">
        <f>VLOOKUP(A488,'[1]Raw data'!$B:$Z,9,FALSE)</f>
        <v>No</v>
      </c>
      <c r="V488" s="567" t="str">
        <f t="shared" si="75"/>
        <v>OK</v>
      </c>
      <c r="W488" s="563" t="str">
        <f>VLOOKUP(A488,'[1]Raw data'!$B:$AG,32,FALSE)</f>
        <v>DAP GZ</v>
      </c>
      <c r="X488" s="563">
        <f>VLOOKUP(A488,'[1]Raw data'!$B:$BA,31,FALSE)</f>
        <v>44049</v>
      </c>
      <c r="Y488" s="563" t="str">
        <f>VLOOKUP(A488,'[1]Raw data'!$B:$AS,39,FALSE)</f>
        <v>Yes</v>
      </c>
      <c r="Z488" s="659"/>
      <c r="AA488" s="660"/>
      <c r="AB488" s="661"/>
      <c r="AC488" s="647" t="s">
        <v>1105</v>
      </c>
      <c r="AD488" s="662">
        <v>301</v>
      </c>
      <c r="AE488" s="662">
        <v>20</v>
      </c>
      <c r="AF488" s="662"/>
      <c r="AG488" s="662"/>
      <c r="AH488" s="662"/>
      <c r="AI488" s="663"/>
      <c r="AN488" s="542"/>
      <c r="AO488" s="824" t="str">
        <f t="shared" si="67"/>
        <v>Yes</v>
      </c>
      <c r="AP488" s="259" t="str">
        <f t="shared" si="68"/>
        <v>SEP 20</v>
      </c>
      <c r="AQ488" s="542" t="str">
        <f t="shared" si="69"/>
        <v>有定金+有預留客戶</v>
      </c>
      <c r="AR488" s="259" t="str">
        <f t="shared" si="70"/>
        <v>Shipped_Stock</v>
      </c>
      <c r="AS488" s="259" t="str">
        <f t="shared" si="71"/>
        <v/>
      </c>
      <c r="AT488" s="259" t="str">
        <f t="shared" si="72"/>
        <v>斯迈</v>
      </c>
      <c r="AU488" s="259" t="str">
        <f t="shared" si="73"/>
        <v>C49SZX20200130JZ</v>
      </c>
      <c r="AV488" s="259" t="str">
        <f t="shared" si="74"/>
        <v>Sep-16</v>
      </c>
    </row>
    <row r="489" spans="1:48" hidden="1">
      <c r="A489" s="559">
        <v>736</v>
      </c>
      <c r="B489" s="664" t="s">
        <v>280</v>
      </c>
      <c r="C489" s="563" t="s">
        <v>15</v>
      </c>
      <c r="D489" s="599" t="s">
        <v>1107</v>
      </c>
      <c r="E489" s="563" t="s">
        <v>886</v>
      </c>
      <c r="F489" s="563" t="s">
        <v>256</v>
      </c>
      <c r="G489" s="563" t="s">
        <v>24</v>
      </c>
      <c r="H489" s="647" t="s">
        <v>26</v>
      </c>
      <c r="I489" s="575" t="s">
        <v>1108</v>
      </c>
      <c r="J489" s="575">
        <v>1</v>
      </c>
      <c r="K489" s="647" t="s">
        <v>496</v>
      </c>
      <c r="L489" s="657">
        <v>44090</v>
      </c>
      <c r="M489" s="665">
        <v>6.5600000000000006E-2</v>
      </c>
      <c r="N489" s="647" t="s">
        <v>918</v>
      </c>
      <c r="O489" s="679">
        <v>2020.09</v>
      </c>
      <c r="P489" s="566" t="str">
        <f>VLOOKUP(A489,'[1]Raw data'!$B:$BB,23,FALSE)</f>
        <v>JPY</v>
      </c>
      <c r="Q489" s="563" t="str">
        <f>VLOOKUP(A489,'[1]Raw data'!$B:$Z,2,FALSE)</f>
        <v>C49SZX20200108JL</v>
      </c>
      <c r="R489" s="563" t="str">
        <f>VLOOKUP(A489,'[1]Raw data'!$B:$Z,3,FALSE)</f>
        <v>伯莱科</v>
      </c>
      <c r="S489" s="563" t="str">
        <f>VLOOKUP(A489,'[1]Raw data'!$B:$Z,4,FALSE)</f>
        <v>YSM20R(SV)-2</v>
      </c>
      <c r="T489" s="563" t="str">
        <f>VLOOKUP(A489,'[1]Raw data'!$B:$Z,8,FALSE)</f>
        <v>L-&gt;R</v>
      </c>
      <c r="U489" s="563" t="str">
        <f>VLOOKUP(A489,'[1]Raw data'!$B:$Z,9,FALSE)</f>
        <v>No</v>
      </c>
      <c r="V489" s="567" t="str">
        <f t="shared" si="75"/>
        <v>OK</v>
      </c>
      <c r="W489" s="563" t="str">
        <f>VLOOKUP(A489,'[1]Raw data'!$B:$AG,32,FALSE)</f>
        <v>DAP SZ</v>
      </c>
      <c r="X489" s="563">
        <f>VLOOKUP(A489,'[1]Raw data'!$B:$BA,31,FALSE)</f>
        <v>44033</v>
      </c>
      <c r="Y489" s="563" t="str">
        <f>VLOOKUP(A489,'[1]Raw data'!$B:$AS,39,FALSE)</f>
        <v>Yes</v>
      </c>
      <c r="Z489" s="659"/>
      <c r="AA489" s="660"/>
      <c r="AB489" s="661"/>
      <c r="AC489" s="647" t="s">
        <v>1109</v>
      </c>
      <c r="AD489" s="662">
        <v>301</v>
      </c>
      <c r="AE489" s="662">
        <v>20</v>
      </c>
      <c r="AF489" s="662"/>
      <c r="AG489" s="662"/>
      <c r="AH489" s="662"/>
      <c r="AI489" s="663"/>
      <c r="AN489" s="542"/>
      <c r="AO489" s="824" t="str">
        <f t="shared" si="67"/>
        <v>Yes</v>
      </c>
      <c r="AP489" s="259" t="str">
        <f t="shared" si="68"/>
        <v>SEP 20</v>
      </c>
      <c r="AQ489" s="542" t="str">
        <f t="shared" si="69"/>
        <v>有定金+有預留客戶</v>
      </c>
      <c r="AR489" s="259" t="str">
        <f t="shared" si="70"/>
        <v>Shipped_Stock</v>
      </c>
      <c r="AS489" s="259" t="str">
        <f t="shared" si="71"/>
        <v/>
      </c>
      <c r="AT489" s="259" t="str">
        <f t="shared" si="72"/>
        <v>伯莱科</v>
      </c>
      <c r="AU489" s="259" t="str">
        <f t="shared" si="73"/>
        <v>C49SZX20200108JL</v>
      </c>
      <c r="AV489" s="259" t="str">
        <f t="shared" si="74"/>
        <v>Sep-16</v>
      </c>
    </row>
    <row r="490" spans="1:48" hidden="1">
      <c r="A490" s="559">
        <v>722</v>
      </c>
      <c r="B490" s="664" t="s">
        <v>280</v>
      </c>
      <c r="C490" s="563" t="s">
        <v>15</v>
      </c>
      <c r="D490" s="599" t="s">
        <v>1107</v>
      </c>
      <c r="E490" s="563" t="s">
        <v>886</v>
      </c>
      <c r="F490" s="563" t="s">
        <v>256</v>
      </c>
      <c r="G490" s="563" t="s">
        <v>24</v>
      </c>
      <c r="H490" s="647" t="s">
        <v>26</v>
      </c>
      <c r="I490" s="575" t="s">
        <v>1110</v>
      </c>
      <c r="J490" s="575">
        <v>1</v>
      </c>
      <c r="K490" s="647" t="s">
        <v>437</v>
      </c>
      <c r="L490" s="657">
        <v>44090</v>
      </c>
      <c r="M490" s="665">
        <v>6.5600000000000006E-2</v>
      </c>
      <c r="N490" s="647" t="s">
        <v>918</v>
      </c>
      <c r="O490" s="679">
        <v>2020.09</v>
      </c>
      <c r="P490" s="566" t="str">
        <f>VLOOKUP(A490,'[1]Raw data'!$B:$BB,23,FALSE)</f>
        <v>JPY</v>
      </c>
      <c r="Q490" s="563" t="str">
        <f>VLOOKUP(A490,'[1]Raw data'!$B:$Z,2,FALSE)</f>
        <v>C49SZX20200102MZ</v>
      </c>
      <c r="R490" s="563" t="str">
        <f>VLOOKUP(A490,'[1]Raw data'!$B:$Z,3,FALSE)</f>
        <v>崧盛</v>
      </c>
      <c r="S490" s="563" t="str">
        <f>VLOOKUP(A490,'[1]Raw data'!$B:$Z,4,FALSE)</f>
        <v>YSM20R(SV)-2</v>
      </c>
      <c r="T490" s="563" t="str">
        <f>VLOOKUP(A490,'[1]Raw data'!$B:$Z,8,FALSE)</f>
        <v>L-&gt;R</v>
      </c>
      <c r="U490" s="563" t="str">
        <f>VLOOKUP(A490,'[1]Raw data'!$B:$Z,9,FALSE)</f>
        <v>No</v>
      </c>
      <c r="V490" s="567" t="str">
        <f t="shared" si="75"/>
        <v>OK</v>
      </c>
      <c r="W490" s="563" t="str">
        <f>VLOOKUP(A490,'[1]Raw data'!$B:$AG,32,FALSE)</f>
        <v>CIF HK</v>
      </c>
      <c r="X490" s="563">
        <f>VLOOKUP(A490,'[1]Raw data'!$B:$BA,31,FALSE)</f>
        <v>44028</v>
      </c>
      <c r="Y490" s="563" t="str">
        <f>VLOOKUP(A490,'[1]Raw data'!$B:$AS,39,FALSE)</f>
        <v>Yes</v>
      </c>
      <c r="Z490" s="659"/>
      <c r="AA490" s="660"/>
      <c r="AB490" s="661"/>
      <c r="AC490" s="647" t="s">
        <v>637</v>
      </c>
      <c r="AD490" s="662">
        <v>301</v>
      </c>
      <c r="AE490" s="662">
        <v>20</v>
      </c>
      <c r="AF490" s="662"/>
      <c r="AG490" s="662"/>
      <c r="AH490" s="662"/>
      <c r="AI490" s="663"/>
      <c r="AN490" s="542"/>
      <c r="AO490" s="824" t="str">
        <f t="shared" si="67"/>
        <v>Yes</v>
      </c>
      <c r="AP490" s="259" t="str">
        <f t="shared" si="68"/>
        <v>SEP 20</v>
      </c>
      <c r="AQ490" s="542" t="str">
        <f t="shared" si="69"/>
        <v>有定金+有預留客戶</v>
      </c>
      <c r="AR490" s="259" t="str">
        <f t="shared" si="70"/>
        <v>Shipped_Stock</v>
      </c>
      <c r="AS490" s="259" t="str">
        <f t="shared" si="71"/>
        <v/>
      </c>
      <c r="AT490" s="259" t="str">
        <f t="shared" si="72"/>
        <v>崧盛</v>
      </c>
      <c r="AU490" s="259" t="str">
        <f t="shared" si="73"/>
        <v>C49SZX20200102MZ</v>
      </c>
      <c r="AV490" s="259" t="str">
        <f t="shared" si="74"/>
        <v>Sep-16</v>
      </c>
    </row>
    <row r="491" spans="1:48" hidden="1">
      <c r="A491" s="559">
        <v>723</v>
      </c>
      <c r="B491" s="664" t="s">
        <v>280</v>
      </c>
      <c r="C491" s="563" t="s">
        <v>15</v>
      </c>
      <c r="D491" s="599">
        <v>109954</v>
      </c>
      <c r="E491" s="563" t="s">
        <v>886</v>
      </c>
      <c r="F491" s="647" t="s">
        <v>256</v>
      </c>
      <c r="G491" s="647" t="s">
        <v>24</v>
      </c>
      <c r="H491" s="647" t="s">
        <v>307</v>
      </c>
      <c r="I491" s="575" t="s">
        <v>1111</v>
      </c>
      <c r="J491" s="575">
        <v>1</v>
      </c>
      <c r="K491" s="647" t="s">
        <v>437</v>
      </c>
      <c r="L491" s="657">
        <v>44090</v>
      </c>
      <c r="M491" s="576">
        <v>6.6100000000000006E-2</v>
      </c>
      <c r="N491" s="647" t="s">
        <v>918</v>
      </c>
      <c r="O491" s="679">
        <v>2020.09</v>
      </c>
      <c r="P491" s="566" t="str">
        <f>VLOOKUP(A491,'[1]Raw data'!$B:$BB,23,FALSE)</f>
        <v>JPY</v>
      </c>
      <c r="Q491" s="563" t="str">
        <f>VLOOKUP(A491,'[1]Raw data'!$B:$Z,2,FALSE)</f>
        <v>C49SZX20200102MZ</v>
      </c>
      <c r="R491" s="563" t="str">
        <f>VLOOKUP(A491,'[1]Raw data'!$B:$Z,3,FALSE)</f>
        <v>崧盛</v>
      </c>
      <c r="S491" s="563" t="str">
        <f>VLOOKUP(A491,'[1]Raw data'!$B:$Z,4,FALSE)</f>
        <v>YSM20R(SV)-2</v>
      </c>
      <c r="T491" s="563" t="str">
        <f>VLOOKUP(A491,'[1]Raw data'!$B:$Z,8,FALSE)</f>
        <v>L-&gt;R</v>
      </c>
      <c r="U491" s="563" t="str">
        <f>VLOOKUP(A491,'[1]Raw data'!$B:$Z,9,FALSE)</f>
        <v>No</v>
      </c>
      <c r="V491" s="567" t="str">
        <f t="shared" si="75"/>
        <v>OK</v>
      </c>
      <c r="W491" s="563" t="str">
        <f>VLOOKUP(A491,'[1]Raw data'!$B:$AG,32,FALSE)</f>
        <v>CIF HK</v>
      </c>
      <c r="X491" s="563">
        <f>VLOOKUP(A491,'[1]Raw data'!$B:$BA,31,FALSE)</f>
        <v>44028</v>
      </c>
      <c r="Y491" s="563" t="str">
        <f>VLOOKUP(A491,'[1]Raw data'!$B:$AS,39,FALSE)</f>
        <v>Yes</v>
      </c>
      <c r="Z491" s="659"/>
      <c r="AA491" s="660"/>
      <c r="AB491" s="661"/>
      <c r="AC491" s="647" t="s">
        <v>637</v>
      </c>
      <c r="AD491" s="662">
        <v>302</v>
      </c>
      <c r="AE491" s="662">
        <v>20</v>
      </c>
      <c r="AF491" s="662"/>
      <c r="AG491" s="662"/>
      <c r="AH491" s="662"/>
      <c r="AI491" s="663"/>
      <c r="AN491" s="542"/>
      <c r="AO491" s="824" t="str">
        <f t="shared" si="67"/>
        <v>Yes</v>
      </c>
      <c r="AP491" s="259" t="str">
        <f t="shared" si="68"/>
        <v>SEP 20</v>
      </c>
      <c r="AQ491" s="542" t="str">
        <f t="shared" si="69"/>
        <v>有定金+有預留客戶</v>
      </c>
      <c r="AR491" s="259" t="str">
        <f t="shared" si="70"/>
        <v>Shipped_Stock</v>
      </c>
      <c r="AS491" s="259" t="str">
        <f t="shared" si="71"/>
        <v/>
      </c>
      <c r="AT491" s="259" t="str">
        <f t="shared" si="72"/>
        <v>崧盛</v>
      </c>
      <c r="AU491" s="259" t="str">
        <f t="shared" si="73"/>
        <v>C49SZX20200102MZ</v>
      </c>
      <c r="AV491" s="259" t="str">
        <f t="shared" si="74"/>
        <v>Sep-16</v>
      </c>
    </row>
    <row r="492" spans="1:48" hidden="1">
      <c r="A492" s="559">
        <v>731</v>
      </c>
      <c r="B492" s="664" t="s">
        <v>280</v>
      </c>
      <c r="C492" s="563" t="s">
        <v>15</v>
      </c>
      <c r="D492" s="599">
        <v>109954</v>
      </c>
      <c r="E492" s="563" t="s">
        <v>886</v>
      </c>
      <c r="F492" s="647" t="s">
        <v>256</v>
      </c>
      <c r="G492" s="647" t="s">
        <v>24</v>
      </c>
      <c r="H492" s="647" t="s">
        <v>26</v>
      </c>
      <c r="I492" s="575" t="s">
        <v>1112</v>
      </c>
      <c r="J492" s="575">
        <v>1</v>
      </c>
      <c r="K492" s="647" t="s">
        <v>437</v>
      </c>
      <c r="L492" s="657">
        <v>44090</v>
      </c>
      <c r="M492" s="618">
        <v>6.6100000000000006E-2</v>
      </c>
      <c r="N492" s="647" t="s">
        <v>918</v>
      </c>
      <c r="O492" s="679">
        <v>2020.09</v>
      </c>
      <c r="P492" s="566" t="str">
        <f>VLOOKUP(A492,'[1]Raw data'!$B:$BB,23,FALSE)</f>
        <v>JPY</v>
      </c>
      <c r="Q492" s="563" t="str">
        <f>VLOOKUP(A492,'[1]Raw data'!$B:$Z,2,FALSE)</f>
        <v>C49SZX20200110MZ</v>
      </c>
      <c r="R492" s="563" t="str">
        <f>VLOOKUP(A492,'[1]Raw data'!$B:$Z,3,FALSE)</f>
        <v>融创新合</v>
      </c>
      <c r="S492" s="563" t="str">
        <f>VLOOKUP(A492,'[1]Raw data'!$B:$Z,4,FALSE)</f>
        <v>YSM20R(SV)-2</v>
      </c>
      <c r="T492" s="563" t="str">
        <f>VLOOKUP(A492,'[1]Raw data'!$B:$Z,8,FALSE)</f>
        <v>L-&gt;R</v>
      </c>
      <c r="U492" s="563" t="str">
        <f>VLOOKUP(A492,'[1]Raw data'!$B:$Z,9,FALSE)</f>
        <v>No</v>
      </c>
      <c r="V492" s="567" t="str">
        <f t="shared" si="75"/>
        <v>OK</v>
      </c>
      <c r="W492" s="563" t="str">
        <f>VLOOKUP(A492,'[1]Raw data'!$B:$AG,32,FALSE)</f>
        <v>CIF HK</v>
      </c>
      <c r="X492" s="563">
        <f>VLOOKUP(A492,'[1]Raw data'!$B:$BA,31,FALSE)</f>
        <v>44033</v>
      </c>
      <c r="Y492" s="563" t="str">
        <f>VLOOKUP(A492,'[1]Raw data'!$B:$AS,39,FALSE)</f>
        <v>Yes</v>
      </c>
      <c r="Z492" s="659"/>
      <c r="AA492" s="660"/>
      <c r="AB492" s="661"/>
      <c r="AC492" s="647" t="s">
        <v>1064</v>
      </c>
      <c r="AD492" s="662">
        <v>302</v>
      </c>
      <c r="AE492" s="662">
        <v>20</v>
      </c>
      <c r="AF492" s="662"/>
      <c r="AG492" s="662"/>
      <c r="AH492" s="662"/>
      <c r="AI492" s="663"/>
      <c r="AN492" s="542"/>
      <c r="AO492" s="824" t="str">
        <f t="shared" si="67"/>
        <v>Yes</v>
      </c>
      <c r="AP492" s="259" t="str">
        <f t="shared" si="68"/>
        <v>SEP 20</v>
      </c>
      <c r="AQ492" s="542" t="str">
        <f t="shared" si="69"/>
        <v>有定金+有預留客戶</v>
      </c>
      <c r="AR492" s="259" t="str">
        <f t="shared" si="70"/>
        <v>Shipped_Stock</v>
      </c>
      <c r="AS492" s="259" t="str">
        <f t="shared" si="71"/>
        <v/>
      </c>
      <c r="AT492" s="259" t="str">
        <f t="shared" si="72"/>
        <v>融创新合</v>
      </c>
      <c r="AU492" s="259" t="str">
        <f t="shared" si="73"/>
        <v>C49SZX20200110MZ</v>
      </c>
      <c r="AV492" s="259" t="str">
        <f t="shared" si="74"/>
        <v>Sep-16</v>
      </c>
    </row>
    <row r="493" spans="1:48" hidden="1">
      <c r="A493" s="559">
        <v>708</v>
      </c>
      <c r="B493" s="664" t="s">
        <v>280</v>
      </c>
      <c r="C493" s="563" t="s">
        <v>15</v>
      </c>
      <c r="D493" s="645">
        <v>109954</v>
      </c>
      <c r="E493" s="647" t="s">
        <v>886</v>
      </c>
      <c r="F493" s="647" t="s">
        <v>256</v>
      </c>
      <c r="G493" s="647" t="s">
        <v>18</v>
      </c>
      <c r="H493" s="647" t="s">
        <v>26</v>
      </c>
      <c r="I493" s="575" t="s">
        <v>1113</v>
      </c>
      <c r="J493" s="575">
        <v>1</v>
      </c>
      <c r="K493" s="647" t="s">
        <v>20</v>
      </c>
      <c r="L493" s="657">
        <v>44090</v>
      </c>
      <c r="M493" s="576">
        <v>6.6100000000000006E-2</v>
      </c>
      <c r="N493" s="647" t="s">
        <v>918</v>
      </c>
      <c r="O493" s="679">
        <v>2020.09</v>
      </c>
      <c r="P493" s="566" t="str">
        <f>VLOOKUP(A493,'[1]Raw data'!$B:$BB,23,FALSE)</f>
        <v>JPY</v>
      </c>
      <c r="Q493" s="563" t="str">
        <f>VLOOKUP(A493,'[1]Raw data'!$B:$Z,2,FALSE)</f>
        <v>C49SZX20200075EC</v>
      </c>
      <c r="R493" s="563" t="str">
        <f>VLOOKUP(A493,'[1]Raw data'!$B:$Z,3,FALSE)</f>
        <v>海红天远</v>
      </c>
      <c r="S493" s="563" t="str">
        <f>VLOOKUP(A493,'[1]Raw data'!$B:$Z,4,FALSE)</f>
        <v>YSM20R(SV)-2</v>
      </c>
      <c r="T493" s="563" t="str">
        <f>VLOOKUP(A493,'[1]Raw data'!$B:$Z,8,FALSE)</f>
        <v>R-&gt;L</v>
      </c>
      <c r="U493" s="563" t="str">
        <f>VLOOKUP(A493,'[1]Raw data'!$B:$Z,9,FALSE)</f>
        <v>No</v>
      </c>
      <c r="V493" s="567" t="str">
        <f t="shared" si="75"/>
        <v>OK</v>
      </c>
      <c r="W493" s="563" t="str">
        <f>VLOOKUP(A493,'[1]Raw data'!$B:$AG,32,FALSE)</f>
        <v>CIF HK</v>
      </c>
      <c r="X493" s="563">
        <f>VLOOKUP(A493,'[1]Raw data'!$B:$BA,31,FALSE)</f>
        <v>44025</v>
      </c>
      <c r="Y493" s="563" t="str">
        <f>VLOOKUP(A493,'[1]Raw data'!$B:$AS,39,FALSE)</f>
        <v>Yes</v>
      </c>
      <c r="Z493" s="659"/>
      <c r="AA493" s="660"/>
      <c r="AB493" s="661"/>
      <c r="AC493" s="647" t="s">
        <v>1079</v>
      </c>
      <c r="AD493" s="662">
        <v>312</v>
      </c>
      <c r="AE493" s="662">
        <v>20</v>
      </c>
      <c r="AF493" s="662"/>
      <c r="AG493" s="662"/>
      <c r="AH493" s="662"/>
      <c r="AI493" s="663"/>
      <c r="AN493" s="542"/>
      <c r="AO493" s="824" t="str">
        <f t="shared" si="67"/>
        <v>Yes</v>
      </c>
      <c r="AP493" s="259" t="str">
        <f t="shared" si="68"/>
        <v>SEP 20</v>
      </c>
      <c r="AQ493" s="542" t="str">
        <f t="shared" si="69"/>
        <v>有定金+有預留客戶</v>
      </c>
      <c r="AR493" s="259" t="str">
        <f t="shared" si="70"/>
        <v>Shipped_Stock</v>
      </c>
      <c r="AS493" s="259" t="str">
        <f t="shared" si="71"/>
        <v/>
      </c>
      <c r="AT493" s="259" t="str">
        <f t="shared" si="72"/>
        <v>海红天远</v>
      </c>
      <c r="AU493" s="259" t="str">
        <f t="shared" si="73"/>
        <v>C49SZX20200075EC</v>
      </c>
      <c r="AV493" s="259" t="str">
        <f t="shared" si="74"/>
        <v>Sep-16</v>
      </c>
    </row>
    <row r="494" spans="1:48" hidden="1">
      <c r="A494" s="559">
        <v>715</v>
      </c>
      <c r="B494" s="563" t="s">
        <v>280</v>
      </c>
      <c r="C494" s="560" t="s">
        <v>15</v>
      </c>
      <c r="D494" s="680">
        <v>109976</v>
      </c>
      <c r="E494" s="681" t="s">
        <v>886</v>
      </c>
      <c r="F494" s="682" t="s">
        <v>17</v>
      </c>
      <c r="G494" s="682" t="s">
        <v>18</v>
      </c>
      <c r="H494" s="683" t="s">
        <v>26</v>
      </c>
      <c r="I494" s="684" t="s">
        <v>1114</v>
      </c>
      <c r="J494" s="575">
        <v>1</v>
      </c>
      <c r="K494" s="647" t="s">
        <v>388</v>
      </c>
      <c r="L494" s="657">
        <v>44097</v>
      </c>
      <c r="M494" s="665" t="s">
        <v>906</v>
      </c>
      <c r="N494" s="647" t="s">
        <v>918</v>
      </c>
      <c r="O494" s="664">
        <v>2020.09</v>
      </c>
      <c r="P494" s="566" t="str">
        <f>VLOOKUP(A494,'[1]Raw data'!$B:$BB,23,FALSE)</f>
        <v>JPY</v>
      </c>
      <c r="Q494" s="563" t="str">
        <f>VLOOKUP(A494,'[1]Raw data'!$B:$Z,2,FALSE)</f>
        <v>C49SZX20200089JL-R2</v>
      </c>
      <c r="R494" s="563" t="str">
        <f>VLOOKUP(A494,'[1]Raw data'!$B:$Z,3,FALSE)</f>
        <v>瑞福联</v>
      </c>
      <c r="S494" s="563" t="str">
        <f>VLOOKUP(A494,'[1]Raw data'!$B:$Z,4,FALSE)</f>
        <v>YSM10</v>
      </c>
      <c r="T494" s="563" t="str">
        <f>VLOOKUP(A494,'[1]Raw data'!$B:$Z,8,FALSE)</f>
        <v>L-&gt;R</v>
      </c>
      <c r="U494" s="563" t="str">
        <f>VLOOKUP(A494,'[1]Raw data'!$B:$Z,9,FALSE)</f>
        <v>MVC</v>
      </c>
      <c r="V494" s="567" t="str">
        <f t="shared" si="75"/>
        <v>WRONG</v>
      </c>
      <c r="W494" s="563" t="str">
        <f>VLOOKUP(A494,'[1]Raw data'!$B:$AG,32,FALSE)</f>
        <v>CIF HK</v>
      </c>
      <c r="X494" s="563">
        <f>VLOOKUP(A494,'[1]Raw data'!$B:$BA,31,FALSE)</f>
        <v>44027</v>
      </c>
      <c r="Y494" s="563" t="str">
        <f>VLOOKUP(A494,'[1]Raw data'!$B:$AS,39,FALSE)</f>
        <v>Yes</v>
      </c>
      <c r="Z494" s="659"/>
      <c r="AA494" s="660"/>
      <c r="AB494" s="661"/>
      <c r="AC494" s="647" t="s">
        <v>1115</v>
      </c>
      <c r="AD494" s="662">
        <v>301</v>
      </c>
      <c r="AE494" s="662">
        <v>10</v>
      </c>
      <c r="AF494" s="662"/>
      <c r="AG494" s="662"/>
      <c r="AH494" s="662"/>
      <c r="AI494" s="663"/>
      <c r="AN494" s="542"/>
      <c r="AO494" s="824" t="str">
        <f t="shared" si="67"/>
        <v>Yes</v>
      </c>
      <c r="AP494" s="259" t="str">
        <f t="shared" si="68"/>
        <v>SEP 20</v>
      </c>
      <c r="AQ494" s="542" t="str">
        <f t="shared" si="69"/>
        <v>有定金+有預留客戶</v>
      </c>
      <c r="AR494" s="259" t="str">
        <f t="shared" si="70"/>
        <v>Shipped_Stock</v>
      </c>
      <c r="AS494" s="259" t="str">
        <f t="shared" si="71"/>
        <v/>
      </c>
      <c r="AT494" s="259" t="str">
        <f t="shared" si="72"/>
        <v>瑞福联</v>
      </c>
      <c r="AU494" s="259" t="str">
        <f t="shared" si="73"/>
        <v>C49SZX20200089JL-R2</v>
      </c>
      <c r="AV494" s="259" t="str">
        <f t="shared" si="74"/>
        <v>Sep-23</v>
      </c>
    </row>
    <row r="495" spans="1:48" hidden="1">
      <c r="A495" s="559">
        <v>716</v>
      </c>
      <c r="B495" s="563" t="s">
        <v>280</v>
      </c>
      <c r="C495" s="560" t="s">
        <v>15</v>
      </c>
      <c r="D495" s="685">
        <v>109976</v>
      </c>
      <c r="E495" s="563" t="s">
        <v>886</v>
      </c>
      <c r="F495" s="647" t="s">
        <v>17</v>
      </c>
      <c r="G495" s="647" t="s">
        <v>18</v>
      </c>
      <c r="H495" s="686" t="s">
        <v>26</v>
      </c>
      <c r="I495" s="684" t="s">
        <v>1116</v>
      </c>
      <c r="J495" s="575">
        <v>1</v>
      </c>
      <c r="K495" s="647" t="s">
        <v>388</v>
      </c>
      <c r="L495" s="657">
        <v>44097</v>
      </c>
      <c r="M495" s="665" t="s">
        <v>906</v>
      </c>
      <c r="N495" s="647" t="s">
        <v>918</v>
      </c>
      <c r="O495" s="664">
        <v>2020.09</v>
      </c>
      <c r="P495" s="566" t="str">
        <f>VLOOKUP(A495,'[1]Raw data'!$B:$BB,23,FALSE)</f>
        <v>JPY</v>
      </c>
      <c r="Q495" s="563" t="str">
        <f>VLOOKUP(A495,'[1]Raw data'!$B:$Z,2,FALSE)</f>
        <v>C49SZX20200089JL-R2</v>
      </c>
      <c r="R495" s="563" t="str">
        <f>VLOOKUP(A495,'[1]Raw data'!$B:$Z,3,FALSE)</f>
        <v>瑞福联</v>
      </c>
      <c r="S495" s="563" t="str">
        <f>VLOOKUP(A495,'[1]Raw data'!$B:$Z,4,FALSE)</f>
        <v>YSM10</v>
      </c>
      <c r="T495" s="563" t="str">
        <f>VLOOKUP(A495,'[1]Raw data'!$B:$Z,8,FALSE)</f>
        <v>L-&gt;R</v>
      </c>
      <c r="U495" s="563" t="str">
        <f>VLOOKUP(A495,'[1]Raw data'!$B:$Z,9,FALSE)</f>
        <v>MVC</v>
      </c>
      <c r="V495" s="567" t="str">
        <f t="shared" si="75"/>
        <v>WRONG</v>
      </c>
      <c r="W495" s="563" t="str">
        <f>VLOOKUP(A495,'[1]Raw data'!$B:$AG,32,FALSE)</f>
        <v>CIF HK</v>
      </c>
      <c r="X495" s="563">
        <f>VLOOKUP(A495,'[1]Raw data'!$B:$BA,31,FALSE)</f>
        <v>44027</v>
      </c>
      <c r="Y495" s="563" t="str">
        <f>VLOOKUP(A495,'[1]Raw data'!$B:$AS,39,FALSE)</f>
        <v>Yes</v>
      </c>
      <c r="Z495" s="659"/>
      <c r="AA495" s="660"/>
      <c r="AB495" s="661"/>
      <c r="AC495" s="647" t="s">
        <v>1115</v>
      </c>
      <c r="AD495" s="662">
        <v>301</v>
      </c>
      <c r="AE495" s="662">
        <v>10</v>
      </c>
      <c r="AF495" s="662"/>
      <c r="AG495" s="662"/>
      <c r="AH495" s="662"/>
      <c r="AI495" s="663"/>
      <c r="AN495" s="542"/>
      <c r="AO495" s="824" t="str">
        <f t="shared" si="67"/>
        <v>Yes</v>
      </c>
      <c r="AP495" s="259" t="str">
        <f t="shared" si="68"/>
        <v>SEP 20</v>
      </c>
      <c r="AQ495" s="542" t="str">
        <f t="shared" si="69"/>
        <v>有定金+有預留客戶</v>
      </c>
      <c r="AR495" s="259" t="str">
        <f t="shared" si="70"/>
        <v>Shipped_Stock</v>
      </c>
      <c r="AS495" s="259" t="str">
        <f t="shared" si="71"/>
        <v/>
      </c>
      <c r="AT495" s="259" t="str">
        <f t="shared" si="72"/>
        <v>瑞福联</v>
      </c>
      <c r="AU495" s="259" t="str">
        <f t="shared" si="73"/>
        <v>C49SZX20200089JL-R2</v>
      </c>
      <c r="AV495" s="259" t="str">
        <f t="shared" si="74"/>
        <v>Sep-23</v>
      </c>
    </row>
    <row r="496" spans="1:48" hidden="1">
      <c r="A496" s="559">
        <v>717</v>
      </c>
      <c r="B496" s="563" t="s">
        <v>280</v>
      </c>
      <c r="C496" s="560" t="s">
        <v>15</v>
      </c>
      <c r="D496" s="685">
        <v>109976</v>
      </c>
      <c r="E496" s="563" t="s">
        <v>886</v>
      </c>
      <c r="F496" s="647" t="s">
        <v>17</v>
      </c>
      <c r="G496" s="647" t="s">
        <v>18</v>
      </c>
      <c r="H496" s="686" t="s">
        <v>26</v>
      </c>
      <c r="I496" s="684" t="s">
        <v>1117</v>
      </c>
      <c r="J496" s="575">
        <v>1</v>
      </c>
      <c r="K496" s="647" t="s">
        <v>388</v>
      </c>
      <c r="L496" s="657">
        <v>44097</v>
      </c>
      <c r="M496" s="665" t="s">
        <v>906</v>
      </c>
      <c r="N496" s="647" t="s">
        <v>918</v>
      </c>
      <c r="O496" s="664">
        <v>2020.09</v>
      </c>
      <c r="P496" s="566" t="str">
        <f>VLOOKUP(A496,'[1]Raw data'!$B:$BB,23,FALSE)</f>
        <v>JPY</v>
      </c>
      <c r="Q496" s="563" t="str">
        <f>VLOOKUP(A496,'[1]Raw data'!$B:$Z,2,FALSE)</f>
        <v>C49SZX20200089JL-R3</v>
      </c>
      <c r="R496" s="563" t="str">
        <f>VLOOKUP(A496,'[1]Raw data'!$B:$Z,3,FALSE)</f>
        <v>金睿通</v>
      </c>
      <c r="S496" s="563" t="str">
        <f>VLOOKUP(A496,'[1]Raw data'!$B:$Z,4,FALSE)</f>
        <v>YSM10</v>
      </c>
      <c r="T496" s="563" t="str">
        <f>VLOOKUP(A496,'[1]Raw data'!$B:$Z,8,FALSE)</f>
        <v>L-&gt;R</v>
      </c>
      <c r="U496" s="563" t="str">
        <f>VLOOKUP(A496,'[1]Raw data'!$B:$Z,9,FALSE)</f>
        <v>MVC</v>
      </c>
      <c r="V496" s="567" t="str">
        <f t="shared" si="75"/>
        <v>WRONG</v>
      </c>
      <c r="W496" s="563" t="str">
        <f>VLOOKUP(A496,'[1]Raw data'!$B:$AG,32,FALSE)</f>
        <v>CIF HK</v>
      </c>
      <c r="X496" s="563">
        <f>VLOOKUP(A496,'[1]Raw data'!$B:$BA,31,FALSE)</f>
        <v>44027</v>
      </c>
      <c r="Y496" s="563" t="str">
        <f>VLOOKUP(A496,'[1]Raw data'!$B:$AS,39,FALSE)</f>
        <v>Yes</v>
      </c>
      <c r="Z496" s="659"/>
      <c r="AA496" s="660"/>
      <c r="AB496" s="661"/>
      <c r="AC496" s="647" t="s">
        <v>1115</v>
      </c>
      <c r="AD496" s="662">
        <v>301</v>
      </c>
      <c r="AE496" s="662">
        <v>10</v>
      </c>
      <c r="AF496" s="662"/>
      <c r="AG496" s="662"/>
      <c r="AH496" s="662"/>
      <c r="AI496" s="663"/>
      <c r="AN496" s="542"/>
      <c r="AO496" s="824" t="str">
        <f t="shared" si="67"/>
        <v>Yes</v>
      </c>
      <c r="AP496" s="259" t="str">
        <f t="shared" si="68"/>
        <v>SEP 20</v>
      </c>
      <c r="AQ496" s="542" t="str">
        <f t="shared" si="69"/>
        <v>有定金+有預留客戶</v>
      </c>
      <c r="AR496" s="259" t="str">
        <f t="shared" si="70"/>
        <v>Shipped_Stock</v>
      </c>
      <c r="AS496" s="259" t="str">
        <f t="shared" si="71"/>
        <v/>
      </c>
      <c r="AT496" s="259" t="str">
        <f t="shared" si="72"/>
        <v>金睿通</v>
      </c>
      <c r="AU496" s="259" t="str">
        <f t="shared" si="73"/>
        <v>C49SZX20200089JL-R3</v>
      </c>
      <c r="AV496" s="259" t="str">
        <f t="shared" si="74"/>
        <v>Sep-23</v>
      </c>
    </row>
    <row r="497" spans="1:48" hidden="1">
      <c r="A497" s="559">
        <v>718</v>
      </c>
      <c r="B497" s="563" t="s">
        <v>280</v>
      </c>
      <c r="C497" s="560" t="s">
        <v>15</v>
      </c>
      <c r="D497" s="685">
        <v>109976</v>
      </c>
      <c r="E497" s="563" t="s">
        <v>886</v>
      </c>
      <c r="F497" s="647" t="s">
        <v>17</v>
      </c>
      <c r="G497" s="647" t="s">
        <v>18</v>
      </c>
      <c r="H497" s="686" t="s">
        <v>26</v>
      </c>
      <c r="I497" s="684" t="s">
        <v>1118</v>
      </c>
      <c r="J497" s="575">
        <v>1</v>
      </c>
      <c r="K497" s="647" t="s">
        <v>388</v>
      </c>
      <c r="L497" s="657">
        <v>44097</v>
      </c>
      <c r="M497" s="665" t="s">
        <v>906</v>
      </c>
      <c r="N497" s="647" t="s">
        <v>918</v>
      </c>
      <c r="O497" s="664">
        <v>2020.09</v>
      </c>
      <c r="P497" s="566" t="str">
        <f>VLOOKUP(A497,'[1]Raw data'!$B:$BB,23,FALSE)</f>
        <v>JPY</v>
      </c>
      <c r="Q497" s="563" t="str">
        <f>VLOOKUP(A497,'[1]Raw data'!$B:$Z,2,FALSE)</f>
        <v>C49SZX20200089JL-R3</v>
      </c>
      <c r="R497" s="563" t="str">
        <f>VLOOKUP(A497,'[1]Raw data'!$B:$Z,3,FALSE)</f>
        <v>金睿通</v>
      </c>
      <c r="S497" s="563" t="str">
        <f>VLOOKUP(A497,'[1]Raw data'!$B:$Z,4,FALSE)</f>
        <v>YSM10</v>
      </c>
      <c r="T497" s="563" t="str">
        <f>VLOOKUP(A497,'[1]Raw data'!$B:$Z,8,FALSE)</f>
        <v>L-&gt;R</v>
      </c>
      <c r="U497" s="563" t="str">
        <f>VLOOKUP(A497,'[1]Raw data'!$B:$Z,9,FALSE)</f>
        <v>MVC</v>
      </c>
      <c r="V497" s="567" t="str">
        <f t="shared" si="75"/>
        <v>WRONG</v>
      </c>
      <c r="W497" s="563" t="str">
        <f>VLOOKUP(A497,'[1]Raw data'!$B:$AG,32,FALSE)</f>
        <v>CIF HK</v>
      </c>
      <c r="X497" s="563">
        <f>VLOOKUP(A497,'[1]Raw data'!$B:$BA,31,FALSE)</f>
        <v>44027</v>
      </c>
      <c r="Y497" s="563" t="str">
        <f>VLOOKUP(A497,'[1]Raw data'!$B:$AS,39,FALSE)</f>
        <v>Yes</v>
      </c>
      <c r="Z497" s="659"/>
      <c r="AA497" s="660"/>
      <c r="AB497" s="661"/>
      <c r="AC497" s="647" t="s">
        <v>1115</v>
      </c>
      <c r="AD497" s="662">
        <v>301</v>
      </c>
      <c r="AE497" s="662">
        <v>10</v>
      </c>
      <c r="AF497" s="662"/>
      <c r="AG497" s="662"/>
      <c r="AH497" s="662"/>
      <c r="AI497" s="663"/>
      <c r="AN497" s="542"/>
      <c r="AO497" s="824" t="str">
        <f t="shared" si="67"/>
        <v>Yes</v>
      </c>
      <c r="AP497" s="259" t="str">
        <f t="shared" si="68"/>
        <v>SEP 20</v>
      </c>
      <c r="AQ497" s="542" t="str">
        <f t="shared" si="69"/>
        <v>有定金+有預留客戶</v>
      </c>
      <c r="AR497" s="259" t="str">
        <f t="shared" si="70"/>
        <v>Shipped_Stock</v>
      </c>
      <c r="AS497" s="259" t="str">
        <f t="shared" si="71"/>
        <v/>
      </c>
      <c r="AT497" s="259" t="str">
        <f t="shared" si="72"/>
        <v>金睿通</v>
      </c>
      <c r="AU497" s="259" t="str">
        <f t="shared" si="73"/>
        <v>C49SZX20200089JL-R3</v>
      </c>
      <c r="AV497" s="259" t="str">
        <f t="shared" si="74"/>
        <v>Sep-23</v>
      </c>
    </row>
    <row r="498" spans="1:48" ht="13.5" hidden="1" thickBot="1">
      <c r="A498" s="559">
        <v>701</v>
      </c>
      <c r="B498" s="560" t="s">
        <v>280</v>
      </c>
      <c r="C498" s="560" t="s">
        <v>15</v>
      </c>
      <c r="D498" s="687">
        <v>109976</v>
      </c>
      <c r="E498" s="688" t="s">
        <v>886</v>
      </c>
      <c r="F498" s="688" t="s">
        <v>17</v>
      </c>
      <c r="G498" s="688" t="s">
        <v>18</v>
      </c>
      <c r="H498" s="689" t="s">
        <v>26</v>
      </c>
      <c r="I498" s="684" t="s">
        <v>1119</v>
      </c>
      <c r="J498" s="575">
        <v>1</v>
      </c>
      <c r="K498" s="647" t="s">
        <v>311</v>
      </c>
      <c r="L498" s="657">
        <v>44097</v>
      </c>
      <c r="M498" s="676" t="s">
        <v>906</v>
      </c>
      <c r="N498" s="647" t="s">
        <v>918</v>
      </c>
      <c r="O498" s="664">
        <v>2020.09</v>
      </c>
      <c r="P498" s="566" t="str">
        <f>VLOOKUP(A498,'[1]Raw data'!$B:$BB,23,FALSE)</f>
        <v>JPY</v>
      </c>
      <c r="Q498" s="563" t="str">
        <f>VLOOKUP(A498,'[1]Raw data'!$B:$Z,2,FALSE)</f>
        <v>C49SZX20200095R1SS</v>
      </c>
      <c r="R498" s="563" t="str">
        <f>VLOOKUP(A498,'[1]Raw data'!$B:$Z,3,FALSE)</f>
        <v>前海福源</v>
      </c>
      <c r="S498" s="563" t="str">
        <f>VLOOKUP(A498,'[1]Raw data'!$B:$Z,4,FALSE)</f>
        <v>YSM10</v>
      </c>
      <c r="T498" s="563" t="str">
        <f>VLOOKUP(A498,'[1]Raw data'!$B:$Z,8,FALSE)</f>
        <v>L-&gt;R</v>
      </c>
      <c r="U498" s="563" t="str">
        <f>VLOOKUP(A498,'[1]Raw data'!$B:$Z,9,FALSE)</f>
        <v>No</v>
      </c>
      <c r="V498" s="567" t="str">
        <f t="shared" si="75"/>
        <v>WRONG</v>
      </c>
      <c r="W498" s="563" t="str">
        <f>VLOOKUP(A498,'[1]Raw data'!$B:$AG,32,FALSE)</f>
        <v>DAP SZ</v>
      </c>
      <c r="X498" s="563">
        <f>VLOOKUP(A498,'[1]Raw data'!$B:$BA,31,FALSE)</f>
        <v>44021</v>
      </c>
      <c r="Y498" s="563" t="str">
        <f>VLOOKUP(A498,'[1]Raw data'!$B:$AS,39,FALSE)</f>
        <v>Yes</v>
      </c>
      <c r="Z498" s="659"/>
      <c r="AA498" s="660"/>
      <c r="AB498" s="661"/>
      <c r="AC498" s="647" t="s">
        <v>686</v>
      </c>
      <c r="AD498" s="662">
        <v>301</v>
      </c>
      <c r="AE498" s="662">
        <v>10</v>
      </c>
      <c r="AF498" s="662"/>
      <c r="AG498" s="662"/>
      <c r="AH498" s="662"/>
      <c r="AI498" s="663"/>
      <c r="AN498" s="542"/>
      <c r="AO498" s="824" t="str">
        <f t="shared" si="67"/>
        <v>Yes</v>
      </c>
      <c r="AP498" s="259" t="str">
        <f t="shared" si="68"/>
        <v>SEP 20</v>
      </c>
      <c r="AQ498" s="542" t="str">
        <f t="shared" si="69"/>
        <v>有定金+有預留客戶</v>
      </c>
      <c r="AR498" s="259" t="str">
        <f t="shared" si="70"/>
        <v>Shipped_Stock</v>
      </c>
      <c r="AS498" s="259" t="str">
        <f t="shared" si="71"/>
        <v/>
      </c>
      <c r="AT498" s="259" t="str">
        <f t="shared" si="72"/>
        <v>前海福源</v>
      </c>
      <c r="AU498" s="259" t="str">
        <f t="shared" si="73"/>
        <v>C49SZX20200095R1SS</v>
      </c>
      <c r="AV498" s="259" t="str">
        <f t="shared" si="74"/>
        <v>Sep-23</v>
      </c>
    </row>
    <row r="499" spans="1:48" hidden="1">
      <c r="A499" s="559">
        <v>757</v>
      </c>
      <c r="B499" s="560" t="s">
        <v>927</v>
      </c>
      <c r="C499" s="563" t="s">
        <v>15</v>
      </c>
      <c r="D499" s="690">
        <v>109980</v>
      </c>
      <c r="E499" s="691" t="s">
        <v>1089</v>
      </c>
      <c r="F499" s="692" t="s">
        <v>256</v>
      </c>
      <c r="G499" s="692" t="s">
        <v>24</v>
      </c>
      <c r="H499" s="692" t="s">
        <v>26</v>
      </c>
      <c r="I499" s="575" t="s">
        <v>1120</v>
      </c>
      <c r="J499" s="575">
        <v>1</v>
      </c>
      <c r="K499" s="647" t="s">
        <v>437</v>
      </c>
      <c r="L499" s="657">
        <v>44097</v>
      </c>
      <c r="M499" s="665" t="s">
        <v>906</v>
      </c>
      <c r="N499" s="647" t="s">
        <v>918</v>
      </c>
      <c r="O499" s="679">
        <v>2020.09</v>
      </c>
      <c r="P499" s="566" t="str">
        <f>VLOOKUP(A499,'[1]Raw data'!$B:$BB,23,FALSE)</f>
        <v>JPY</v>
      </c>
      <c r="Q499" s="563" t="str">
        <f>VLOOKUP(A499,'[1]Raw data'!$B:$Z,2,FALSE)</f>
        <v>C49SZX20200122JY</v>
      </c>
      <c r="R499" s="563" t="str">
        <f>VLOOKUP(A499,'[1]Raw data'!$B:$Z,3,FALSE)</f>
        <v>豫龙辉</v>
      </c>
      <c r="S499" s="563" t="str">
        <f>VLOOKUP(A499,'[1]Raw data'!$B:$Z,4,FALSE)</f>
        <v>YSM20R(SV)-2</v>
      </c>
      <c r="T499" s="563" t="str">
        <f>VLOOKUP(A499,'[1]Raw data'!$B:$Z,8,FALSE)</f>
        <v>L-&gt;R</v>
      </c>
      <c r="U499" s="563" t="str">
        <f>VLOOKUP(A499,'[1]Raw data'!$B:$Z,9,FALSE)</f>
        <v>No</v>
      </c>
      <c r="V499" s="567" t="str">
        <f t="shared" si="75"/>
        <v>OK</v>
      </c>
      <c r="W499" s="563" t="str">
        <f>VLOOKUP(A499,'[1]Raw data'!$B:$AG,32,FALSE)</f>
        <v>DAP SZ</v>
      </c>
      <c r="X499" s="563">
        <f>VLOOKUP(A499,'[1]Raw data'!$B:$BA,31,FALSE)</f>
        <v>44047</v>
      </c>
      <c r="Y499" s="563" t="str">
        <f>VLOOKUP(A499,'[1]Raw data'!$B:$AS,39,FALSE)</f>
        <v>Yes</v>
      </c>
      <c r="Z499" s="666"/>
      <c r="AA499" s="667"/>
      <c r="AB499" s="668"/>
      <c r="AC499" s="647" t="s">
        <v>1121</v>
      </c>
      <c r="AD499" s="662">
        <v>311</v>
      </c>
      <c r="AE499" s="662">
        <v>10</v>
      </c>
      <c r="AF499" s="662">
        <v>302</v>
      </c>
      <c r="AG499" s="662">
        <v>10</v>
      </c>
      <c r="AH499" s="662"/>
      <c r="AI499" s="663"/>
      <c r="AN499" s="542"/>
      <c r="AO499" s="824" t="str">
        <f t="shared" si="67"/>
        <v>Yes</v>
      </c>
      <c r="AP499" s="259" t="str">
        <f t="shared" si="68"/>
        <v>SEP 20</v>
      </c>
      <c r="AQ499" s="542" t="str">
        <f t="shared" si="69"/>
        <v>有定金+有預留客戶</v>
      </c>
      <c r="AR499" s="259" t="str">
        <f t="shared" si="70"/>
        <v>Shipped_Stock</v>
      </c>
      <c r="AS499" s="259" t="str">
        <f t="shared" si="71"/>
        <v/>
      </c>
      <c r="AT499" s="259" t="str">
        <f t="shared" si="72"/>
        <v>豫龙辉</v>
      </c>
      <c r="AU499" s="259" t="str">
        <f t="shared" si="73"/>
        <v>C49SZX20200122JY</v>
      </c>
      <c r="AV499" s="259" t="str">
        <f t="shared" si="74"/>
        <v>Sep-23</v>
      </c>
    </row>
    <row r="500" spans="1:48" hidden="1">
      <c r="A500" s="559">
        <v>743</v>
      </c>
      <c r="B500" s="560" t="s">
        <v>280</v>
      </c>
      <c r="C500" s="563" t="s">
        <v>15</v>
      </c>
      <c r="D500" s="645">
        <v>109980</v>
      </c>
      <c r="E500" s="691" t="s">
        <v>1089</v>
      </c>
      <c r="F500" s="692" t="s">
        <v>256</v>
      </c>
      <c r="G500" s="692" t="s">
        <v>24</v>
      </c>
      <c r="H500" s="692" t="s">
        <v>26</v>
      </c>
      <c r="I500" s="693" t="s">
        <v>1122</v>
      </c>
      <c r="J500" s="575">
        <v>1</v>
      </c>
      <c r="K500" s="647" t="s">
        <v>437</v>
      </c>
      <c r="L500" s="657">
        <v>44097</v>
      </c>
      <c r="M500" s="665" t="s">
        <v>906</v>
      </c>
      <c r="N500" s="647" t="s">
        <v>918</v>
      </c>
      <c r="O500" s="679">
        <v>2020.09</v>
      </c>
      <c r="P500" s="566" t="str">
        <f>VLOOKUP(A500,'[1]Raw data'!$B:$BB,23,FALSE)</f>
        <v>JPY</v>
      </c>
      <c r="Q500" s="563" t="str">
        <f>VLOOKUP(A500,'[1]Raw data'!$B:$Z,2,FALSE)</f>
        <v>C49SZX20200112SS</v>
      </c>
      <c r="R500" s="563" t="str">
        <f>VLOOKUP(A500,'[1]Raw data'!$B:$Z,3,FALSE)</f>
        <v>钧溢电子</v>
      </c>
      <c r="S500" s="563" t="str">
        <f>VLOOKUP(A500,'[1]Raw data'!$B:$Z,4,FALSE)</f>
        <v>YSM20R(SV)-2</v>
      </c>
      <c r="T500" s="563" t="str">
        <f>VLOOKUP(A500,'[1]Raw data'!$B:$Z,8,FALSE)</f>
        <v>L-&gt;R</v>
      </c>
      <c r="U500" s="563" t="str">
        <f>VLOOKUP(A500,'[1]Raw data'!$B:$Z,9,FALSE)</f>
        <v>No</v>
      </c>
      <c r="V500" s="567" t="str">
        <f t="shared" si="75"/>
        <v>OK</v>
      </c>
      <c r="W500" s="563" t="str">
        <f>VLOOKUP(A500,'[1]Raw data'!$B:$AG,32,FALSE)</f>
        <v>DAP SZ</v>
      </c>
      <c r="X500" s="563">
        <f>VLOOKUP(A500,'[1]Raw data'!$B:$BA,31,FALSE)</f>
        <v>44036</v>
      </c>
      <c r="Y500" s="563" t="str">
        <f>VLOOKUP(A500,'[1]Raw data'!$B:$AS,39,FALSE)</f>
        <v>Yes</v>
      </c>
      <c r="Z500" s="659"/>
      <c r="AA500" s="660"/>
      <c r="AB500" s="661"/>
      <c r="AC500" s="647" t="s">
        <v>940</v>
      </c>
      <c r="AD500" s="662">
        <v>301</v>
      </c>
      <c r="AE500" s="662">
        <v>10</v>
      </c>
      <c r="AF500" s="662">
        <v>303</v>
      </c>
      <c r="AG500" s="662">
        <v>10</v>
      </c>
      <c r="AH500" s="662"/>
      <c r="AI500" s="663"/>
      <c r="AN500" s="542"/>
      <c r="AO500" s="824" t="str">
        <f t="shared" si="67"/>
        <v>Yes</v>
      </c>
      <c r="AP500" s="259" t="str">
        <f t="shared" si="68"/>
        <v>SEP 20</v>
      </c>
      <c r="AQ500" s="542" t="str">
        <f t="shared" si="69"/>
        <v>有定金+有預留客戶</v>
      </c>
      <c r="AR500" s="259" t="str">
        <f t="shared" si="70"/>
        <v>Shipped_Stock</v>
      </c>
      <c r="AS500" s="259" t="str">
        <f t="shared" si="71"/>
        <v/>
      </c>
      <c r="AT500" s="259" t="str">
        <f t="shared" si="72"/>
        <v>钧溢电子</v>
      </c>
      <c r="AU500" s="259" t="str">
        <f t="shared" si="73"/>
        <v>C49SZX20200112SS</v>
      </c>
      <c r="AV500" s="259" t="str">
        <f t="shared" si="74"/>
        <v>Sep-23</v>
      </c>
    </row>
    <row r="501" spans="1:48" hidden="1">
      <c r="A501" s="559">
        <v>868</v>
      </c>
      <c r="B501" s="560" t="s">
        <v>280</v>
      </c>
      <c r="C501" s="563" t="s">
        <v>15</v>
      </c>
      <c r="D501" s="645">
        <v>109980</v>
      </c>
      <c r="E501" s="646" t="s">
        <v>1089</v>
      </c>
      <c r="F501" s="647" t="s">
        <v>243</v>
      </c>
      <c r="G501" s="647" t="s">
        <v>24</v>
      </c>
      <c r="H501" s="647" t="s">
        <v>176</v>
      </c>
      <c r="I501" s="575" t="s">
        <v>1123</v>
      </c>
      <c r="J501" s="575">
        <v>1</v>
      </c>
      <c r="K501" s="647" t="s">
        <v>437</v>
      </c>
      <c r="L501" s="657">
        <v>44097</v>
      </c>
      <c r="M501" s="665" t="s">
        <v>906</v>
      </c>
      <c r="N501" s="647" t="s">
        <v>1124</v>
      </c>
      <c r="O501" s="679">
        <v>2020.09</v>
      </c>
      <c r="P501" s="566" t="str">
        <f>VLOOKUP(A501,'[1]Raw data'!$B:$BB,23,FALSE)</f>
        <v>JPY</v>
      </c>
      <c r="Q501" s="563" t="str">
        <f>VLOOKUP(A501,'[1]Raw data'!$B:$Z,2,FALSE)</f>
        <v>C49SZX20200170DZ</v>
      </c>
      <c r="R501" s="563" t="str">
        <f>VLOOKUP(A501,'[1]Raw data'!$B:$Z,3,FALSE)</f>
        <v>嘉裕</v>
      </c>
      <c r="S501" s="563" t="str">
        <f>VLOOKUP(A501,'[1]Raw data'!$B:$Z,4,FALSE)</f>
        <v>YSM20R(SV)-2</v>
      </c>
      <c r="T501" s="563" t="str">
        <f>VLOOKUP(A501,'[1]Raw data'!$B:$Z,8,FALSE)</f>
        <v>L-&gt;R</v>
      </c>
      <c r="U501" s="563" t="str">
        <f>VLOOKUP(A501,'[1]Raw data'!$B:$Z,9,FALSE)</f>
        <v>cATS10+MVC</v>
      </c>
      <c r="V501" s="567" t="str">
        <f t="shared" si="75"/>
        <v>WRONG</v>
      </c>
      <c r="W501" s="563" t="str">
        <f>VLOOKUP(A501,'[1]Raw data'!$B:$AG,32,FALSE)</f>
        <v>CIF HK</v>
      </c>
      <c r="X501" s="563">
        <f>VLOOKUP(A501,'[1]Raw data'!$B:$BA,31,FALSE)</f>
        <v>44098</v>
      </c>
      <c r="Y501" s="563" t="str">
        <f>VLOOKUP(A501,'[1]Raw data'!$B:$AS,39,FALSE)</f>
        <v>Yes</v>
      </c>
      <c r="Z501" s="659"/>
      <c r="AA501" s="660"/>
      <c r="AB501" s="661"/>
      <c r="AC501" s="563" t="s">
        <v>555</v>
      </c>
      <c r="AD501" s="662">
        <v>311</v>
      </c>
      <c r="AE501" s="662">
        <v>10</v>
      </c>
      <c r="AF501" s="662">
        <v>302</v>
      </c>
      <c r="AG501" s="662">
        <v>10</v>
      </c>
      <c r="AH501" s="662"/>
      <c r="AI501" s="663"/>
      <c r="AN501" s="542"/>
      <c r="AO501" s="824" t="str">
        <f t="shared" si="67"/>
        <v>Yes</v>
      </c>
      <c r="AP501" s="259" t="str">
        <f t="shared" si="68"/>
        <v>DEC 20</v>
      </c>
      <c r="AQ501" s="542" t="str">
        <f t="shared" si="69"/>
        <v>有定金+有預留客戶</v>
      </c>
      <c r="AR501" s="259" t="str">
        <f t="shared" si="70"/>
        <v>Shipped_Stock</v>
      </c>
      <c r="AS501" s="259" t="str">
        <f t="shared" si="71"/>
        <v/>
      </c>
      <c r="AT501" s="259" t="str">
        <f t="shared" si="72"/>
        <v>嘉裕</v>
      </c>
      <c r="AU501" s="259" t="str">
        <f t="shared" si="73"/>
        <v>C49SZX20200170DZ</v>
      </c>
      <c r="AV501" s="259" t="str">
        <f t="shared" si="74"/>
        <v>Sep-23</v>
      </c>
    </row>
    <row r="502" spans="1:48" hidden="1">
      <c r="A502" s="559">
        <v>921</v>
      </c>
      <c r="B502" s="560" t="s">
        <v>1125</v>
      </c>
      <c r="C502" s="563" t="s">
        <v>15</v>
      </c>
      <c r="D502" s="645">
        <v>109980</v>
      </c>
      <c r="E502" s="646" t="s">
        <v>1089</v>
      </c>
      <c r="F502" s="647" t="s">
        <v>256</v>
      </c>
      <c r="G502" s="647" t="s">
        <v>24</v>
      </c>
      <c r="H502" s="647" t="s">
        <v>176</v>
      </c>
      <c r="I502" s="575" t="s">
        <v>1126</v>
      </c>
      <c r="J502" s="575">
        <v>1</v>
      </c>
      <c r="K502" s="647" t="s">
        <v>437</v>
      </c>
      <c r="L502" s="657">
        <v>44097</v>
      </c>
      <c r="M502" s="665" t="s">
        <v>906</v>
      </c>
      <c r="N502" s="647" t="s">
        <v>1127</v>
      </c>
      <c r="O502" s="679">
        <v>2020.09</v>
      </c>
      <c r="P502" s="566" t="str">
        <f>VLOOKUP(A502,'[1]Raw data'!$B:$BB,23,FALSE)</f>
        <v>JPY</v>
      </c>
      <c r="Q502" s="563" t="str">
        <f>VLOOKUP(A502,'[1]Raw data'!$B:$Z,2,FALSE)</f>
        <v>C49SZX20200145JL</v>
      </c>
      <c r="R502" s="563" t="str">
        <f>VLOOKUP(A502,'[1]Raw data'!$B:$Z,3,FALSE)</f>
        <v>易而达</v>
      </c>
      <c r="S502" s="563" t="str">
        <f>VLOOKUP(A502,'[1]Raw data'!$B:$Z,4,FALSE)</f>
        <v>YSM20R(SV)-2</v>
      </c>
      <c r="T502" s="563" t="str">
        <f>VLOOKUP(A502,'[1]Raw data'!$B:$Z,8,FALSE)</f>
        <v>L-&gt;R</v>
      </c>
      <c r="U502" s="563" t="str">
        <f>VLOOKUP(A502,'[1]Raw data'!$B:$Z,9,FALSE)</f>
        <v>cATS10+MVC</v>
      </c>
      <c r="V502" s="567" t="str">
        <f t="shared" si="75"/>
        <v>WRONG</v>
      </c>
      <c r="W502" s="563" t="str">
        <f>VLOOKUP(A502,'[1]Raw data'!$B:$AG,32,FALSE)</f>
        <v>DAP GZ</v>
      </c>
      <c r="X502" s="563">
        <f>VLOOKUP(A502,'[1]Raw data'!$B:$BA,31,FALSE)</f>
        <v>44145</v>
      </c>
      <c r="Y502" s="563" t="str">
        <f>VLOOKUP(A502,'[1]Raw data'!$B:$AS,39,FALSE)</f>
        <v>Yes</v>
      </c>
      <c r="Z502" s="659"/>
      <c r="AA502" s="660"/>
      <c r="AB502" s="661"/>
      <c r="AC502" s="647" t="s">
        <v>1128</v>
      </c>
      <c r="AD502" s="662">
        <v>301</v>
      </c>
      <c r="AE502" s="662">
        <v>10</v>
      </c>
      <c r="AF502" s="662">
        <v>302</v>
      </c>
      <c r="AG502" s="662">
        <v>10</v>
      </c>
      <c r="AH502" s="662"/>
      <c r="AI502" s="663"/>
      <c r="AN502" s="542"/>
      <c r="AO502" s="824" t="str">
        <f t="shared" si="67"/>
        <v>Yes</v>
      </c>
      <c r="AP502" s="259" t="str">
        <f t="shared" si="68"/>
        <v>JAN 21</v>
      </c>
      <c r="AQ502" s="542" t="str">
        <f t="shared" si="69"/>
        <v>有定金+有預留客戶</v>
      </c>
      <c r="AR502" s="259" t="str">
        <f t="shared" si="70"/>
        <v>Shipped_Stock</v>
      </c>
      <c r="AS502" s="259" t="str">
        <f t="shared" si="71"/>
        <v/>
      </c>
      <c r="AT502" s="259" t="str">
        <f t="shared" si="72"/>
        <v>易而达</v>
      </c>
      <c r="AU502" s="259" t="str">
        <f t="shared" si="73"/>
        <v>C49SZX20200145JL</v>
      </c>
      <c r="AV502" s="259" t="str">
        <f t="shared" si="74"/>
        <v>Sep-23</v>
      </c>
    </row>
    <row r="503" spans="1:48" hidden="1">
      <c r="A503" s="559">
        <v>713</v>
      </c>
      <c r="B503" s="563" t="s">
        <v>280</v>
      </c>
      <c r="C503" s="563" t="s">
        <v>15</v>
      </c>
      <c r="D503" s="694">
        <v>109980</v>
      </c>
      <c r="E503" s="695" t="s">
        <v>1089</v>
      </c>
      <c r="F503" s="682" t="s">
        <v>256</v>
      </c>
      <c r="G503" s="682" t="s">
        <v>24</v>
      </c>
      <c r="H503" s="682" t="s">
        <v>26</v>
      </c>
      <c r="I503" s="696" t="s">
        <v>1129</v>
      </c>
      <c r="J503" s="684">
        <v>1</v>
      </c>
      <c r="K503" s="647" t="s">
        <v>388</v>
      </c>
      <c r="L503" s="657">
        <v>44097</v>
      </c>
      <c r="M503" s="665" t="s">
        <v>906</v>
      </c>
      <c r="N503" s="647" t="s">
        <v>918</v>
      </c>
      <c r="O503" s="679">
        <v>2020.09</v>
      </c>
      <c r="P503" s="566" t="str">
        <f>VLOOKUP(A503,'[1]Raw data'!$B:$BB,23,FALSE)</f>
        <v>JPY</v>
      </c>
      <c r="Q503" s="563" t="str">
        <f>VLOOKUP(A503,'[1]Raw data'!$B:$Z,2,FALSE)</f>
        <v>C49SZX20200089JL-R3</v>
      </c>
      <c r="R503" s="563" t="str">
        <f>VLOOKUP(A503,'[1]Raw data'!$B:$Z,3,FALSE)</f>
        <v>金睿通</v>
      </c>
      <c r="S503" s="563" t="str">
        <f>VLOOKUP(A503,'[1]Raw data'!$B:$Z,4,FALSE)</f>
        <v>YSM20R(SV)-2</v>
      </c>
      <c r="T503" s="563" t="str">
        <f>VLOOKUP(A503,'[1]Raw data'!$B:$Z,8,FALSE)</f>
        <v>L-&gt;R</v>
      </c>
      <c r="U503" s="563" t="str">
        <f>VLOOKUP(A503,'[1]Raw data'!$B:$Z,9,FALSE)</f>
        <v>No</v>
      </c>
      <c r="V503" s="567" t="str">
        <f t="shared" si="75"/>
        <v>OK</v>
      </c>
      <c r="W503" s="563" t="str">
        <f>VLOOKUP(A503,'[1]Raw data'!$B:$AG,32,FALSE)</f>
        <v>CIF HK</v>
      </c>
      <c r="X503" s="563">
        <f>VLOOKUP(A503,'[1]Raw data'!$B:$BA,31,FALSE)</f>
        <v>44027</v>
      </c>
      <c r="Y503" s="563" t="str">
        <f>VLOOKUP(A503,'[1]Raw data'!$B:$AS,39,FALSE)</f>
        <v>Yes</v>
      </c>
      <c r="Z503" s="659"/>
      <c r="AA503" s="660"/>
      <c r="AB503" s="661"/>
      <c r="AC503" s="647" t="s">
        <v>1115</v>
      </c>
      <c r="AD503" s="662">
        <v>301</v>
      </c>
      <c r="AE503" s="662">
        <v>10</v>
      </c>
      <c r="AF503" s="662">
        <v>302</v>
      </c>
      <c r="AG503" s="662">
        <v>10</v>
      </c>
      <c r="AH503" s="662"/>
      <c r="AI503" s="663"/>
      <c r="AN503" s="542"/>
      <c r="AO503" s="824" t="str">
        <f t="shared" si="67"/>
        <v>Yes</v>
      </c>
      <c r="AP503" s="259" t="str">
        <f t="shared" si="68"/>
        <v>SEP 20</v>
      </c>
      <c r="AQ503" s="542" t="str">
        <f t="shared" si="69"/>
        <v>有定金+有預留客戶</v>
      </c>
      <c r="AR503" s="259" t="str">
        <f t="shared" si="70"/>
        <v>Shipped_Stock</v>
      </c>
      <c r="AS503" s="259" t="str">
        <f t="shared" si="71"/>
        <v/>
      </c>
      <c r="AT503" s="259" t="str">
        <f t="shared" si="72"/>
        <v>金睿通</v>
      </c>
      <c r="AU503" s="259" t="str">
        <f t="shared" si="73"/>
        <v>C49SZX20200089JL-R3</v>
      </c>
      <c r="AV503" s="259" t="str">
        <f t="shared" si="74"/>
        <v>Sep-23</v>
      </c>
    </row>
    <row r="504" spans="1:48" hidden="1">
      <c r="A504" s="559">
        <v>714</v>
      </c>
      <c r="B504" s="563" t="s">
        <v>280</v>
      </c>
      <c r="C504" s="563" t="s">
        <v>15</v>
      </c>
      <c r="D504" s="694">
        <v>109980</v>
      </c>
      <c r="E504" s="697" t="s">
        <v>1089</v>
      </c>
      <c r="F504" s="647" t="s">
        <v>256</v>
      </c>
      <c r="G504" s="647" t="s">
        <v>24</v>
      </c>
      <c r="H504" s="647" t="s">
        <v>26</v>
      </c>
      <c r="I504" s="698" t="s">
        <v>1130</v>
      </c>
      <c r="J504" s="684">
        <v>1</v>
      </c>
      <c r="K504" s="647" t="s">
        <v>388</v>
      </c>
      <c r="L504" s="657">
        <v>44097</v>
      </c>
      <c r="M504" s="665" t="s">
        <v>906</v>
      </c>
      <c r="N504" s="647" t="s">
        <v>918</v>
      </c>
      <c r="O504" s="679">
        <v>2020.09</v>
      </c>
      <c r="P504" s="566" t="str">
        <f>VLOOKUP(A504,'[1]Raw data'!$B:$BB,23,FALSE)</f>
        <v>JPY</v>
      </c>
      <c r="Q504" s="563" t="str">
        <f>VLOOKUP(A504,'[1]Raw data'!$B:$Z,2,FALSE)</f>
        <v>C49SZX20200089JL-R3</v>
      </c>
      <c r="R504" s="563" t="str">
        <f>VLOOKUP(A504,'[1]Raw data'!$B:$Z,3,FALSE)</f>
        <v>金睿通</v>
      </c>
      <c r="S504" s="563" t="str">
        <f>VLOOKUP(A504,'[1]Raw data'!$B:$Z,4,FALSE)</f>
        <v>YSM20R(SV)-2</v>
      </c>
      <c r="T504" s="563" t="str">
        <f>VLOOKUP(A504,'[1]Raw data'!$B:$Z,8,FALSE)</f>
        <v>L-&gt;R</v>
      </c>
      <c r="U504" s="563" t="str">
        <f>VLOOKUP(A504,'[1]Raw data'!$B:$Z,9,FALSE)</f>
        <v>No</v>
      </c>
      <c r="V504" s="567" t="str">
        <f t="shared" si="75"/>
        <v>OK</v>
      </c>
      <c r="W504" s="563" t="str">
        <f>VLOOKUP(A504,'[1]Raw data'!$B:$AG,32,FALSE)</f>
        <v>CIF HK</v>
      </c>
      <c r="X504" s="563">
        <f>VLOOKUP(A504,'[1]Raw data'!$B:$BA,31,FALSE)</f>
        <v>44027</v>
      </c>
      <c r="Y504" s="563" t="str">
        <f>VLOOKUP(A504,'[1]Raw data'!$B:$AS,39,FALSE)</f>
        <v>Yes</v>
      </c>
      <c r="Z504" s="659"/>
      <c r="AA504" s="660"/>
      <c r="AB504" s="661"/>
      <c r="AC504" s="647" t="s">
        <v>1115</v>
      </c>
      <c r="AD504" s="662">
        <v>301</v>
      </c>
      <c r="AE504" s="662">
        <v>10</v>
      </c>
      <c r="AF504" s="662">
        <v>303</v>
      </c>
      <c r="AG504" s="662">
        <v>10</v>
      </c>
      <c r="AH504" s="662"/>
      <c r="AI504" s="663"/>
      <c r="AN504" s="542"/>
      <c r="AO504" s="824" t="str">
        <f t="shared" si="67"/>
        <v>Yes</v>
      </c>
      <c r="AP504" s="259" t="str">
        <f t="shared" si="68"/>
        <v>SEP 20</v>
      </c>
      <c r="AQ504" s="542" t="str">
        <f t="shared" si="69"/>
        <v>有定金+有預留客戶</v>
      </c>
      <c r="AR504" s="259" t="str">
        <f t="shared" si="70"/>
        <v>Shipped_Stock</v>
      </c>
      <c r="AS504" s="259" t="str">
        <f t="shared" si="71"/>
        <v/>
      </c>
      <c r="AT504" s="259" t="str">
        <f t="shared" si="72"/>
        <v>金睿通</v>
      </c>
      <c r="AU504" s="259" t="str">
        <f t="shared" si="73"/>
        <v>C49SZX20200089JL-R3</v>
      </c>
      <c r="AV504" s="259" t="str">
        <f t="shared" si="74"/>
        <v>Sep-23</v>
      </c>
    </row>
    <row r="505" spans="1:48" hidden="1">
      <c r="A505" s="559">
        <v>711</v>
      </c>
      <c r="B505" s="563" t="s">
        <v>280</v>
      </c>
      <c r="C505" s="563" t="s">
        <v>15</v>
      </c>
      <c r="D505" s="694">
        <v>109980</v>
      </c>
      <c r="E505" s="697" t="s">
        <v>1089</v>
      </c>
      <c r="F505" s="647" t="s">
        <v>256</v>
      </c>
      <c r="G505" s="647" t="s">
        <v>24</v>
      </c>
      <c r="H505" s="647" t="s">
        <v>26</v>
      </c>
      <c r="I505" s="698" t="s">
        <v>1131</v>
      </c>
      <c r="J505" s="684">
        <v>1</v>
      </c>
      <c r="K505" s="647" t="s">
        <v>388</v>
      </c>
      <c r="L505" s="657">
        <v>44097</v>
      </c>
      <c r="M505" s="665" t="s">
        <v>906</v>
      </c>
      <c r="N505" s="647" t="s">
        <v>918</v>
      </c>
      <c r="O505" s="679">
        <v>2020.09</v>
      </c>
      <c r="P505" s="566" t="str">
        <f>VLOOKUP(A505,'[1]Raw data'!$B:$BB,23,FALSE)</f>
        <v>JPY</v>
      </c>
      <c r="Q505" s="563" t="str">
        <f>VLOOKUP(A505,'[1]Raw data'!$B:$Z,2,FALSE)</f>
        <v>C49SZX20200089JL-R2</v>
      </c>
      <c r="R505" s="563" t="str">
        <f>VLOOKUP(A505,'[1]Raw data'!$B:$Z,3,FALSE)</f>
        <v>瑞福联</v>
      </c>
      <c r="S505" s="563" t="str">
        <f>VLOOKUP(A505,'[1]Raw data'!$B:$Z,4,FALSE)</f>
        <v>YSM20R(SV)-2</v>
      </c>
      <c r="T505" s="563" t="str">
        <f>VLOOKUP(A505,'[1]Raw data'!$B:$Z,8,FALSE)</f>
        <v>L-&gt;R</v>
      </c>
      <c r="U505" s="563" t="str">
        <f>VLOOKUP(A505,'[1]Raw data'!$B:$Z,9,FALSE)</f>
        <v>No</v>
      </c>
      <c r="V505" s="567" t="str">
        <f t="shared" si="75"/>
        <v>OK</v>
      </c>
      <c r="W505" s="563" t="str">
        <f>VLOOKUP(A505,'[1]Raw data'!$B:$AG,32,FALSE)</f>
        <v>CIF HK</v>
      </c>
      <c r="X505" s="563">
        <f>VLOOKUP(A505,'[1]Raw data'!$B:$BA,31,FALSE)</f>
        <v>44027</v>
      </c>
      <c r="Y505" s="563" t="str">
        <f>VLOOKUP(A505,'[1]Raw data'!$B:$AS,39,FALSE)</f>
        <v>Yes</v>
      </c>
      <c r="Z505" s="659"/>
      <c r="AA505" s="660"/>
      <c r="AB505" s="661"/>
      <c r="AC505" s="647" t="s">
        <v>1115</v>
      </c>
      <c r="AD505" s="662">
        <v>301</v>
      </c>
      <c r="AE505" s="662">
        <v>10</v>
      </c>
      <c r="AF505" s="662">
        <v>302</v>
      </c>
      <c r="AG505" s="662">
        <v>10</v>
      </c>
      <c r="AH505" s="662"/>
      <c r="AI505" s="663"/>
      <c r="AN505" s="542"/>
      <c r="AO505" s="824" t="str">
        <f t="shared" si="67"/>
        <v>Yes</v>
      </c>
      <c r="AP505" s="259" t="str">
        <f t="shared" si="68"/>
        <v>SEP 20</v>
      </c>
      <c r="AQ505" s="542" t="str">
        <f t="shared" si="69"/>
        <v>有定金+有預留客戶</v>
      </c>
      <c r="AR505" s="259" t="str">
        <f t="shared" si="70"/>
        <v>Shipped_Stock</v>
      </c>
      <c r="AS505" s="259" t="str">
        <f t="shared" si="71"/>
        <v/>
      </c>
      <c r="AT505" s="259" t="str">
        <f t="shared" si="72"/>
        <v>瑞福联</v>
      </c>
      <c r="AU505" s="259" t="str">
        <f t="shared" si="73"/>
        <v>C49SZX20200089JL-R2</v>
      </c>
      <c r="AV505" s="259" t="str">
        <f t="shared" si="74"/>
        <v>Sep-23</v>
      </c>
    </row>
    <row r="506" spans="1:48" ht="13.5" hidden="1" thickBot="1">
      <c r="A506" s="559">
        <v>712</v>
      </c>
      <c r="B506" s="563" t="s">
        <v>280</v>
      </c>
      <c r="C506" s="563" t="s">
        <v>15</v>
      </c>
      <c r="D506" s="694">
        <v>109980</v>
      </c>
      <c r="E506" s="699" t="s">
        <v>1089</v>
      </c>
      <c r="F506" s="688" t="s">
        <v>256</v>
      </c>
      <c r="G506" s="688" t="s">
        <v>24</v>
      </c>
      <c r="H506" s="688" t="s">
        <v>26</v>
      </c>
      <c r="I506" s="700" t="s">
        <v>1132</v>
      </c>
      <c r="J506" s="684">
        <v>1</v>
      </c>
      <c r="K506" s="647" t="s">
        <v>388</v>
      </c>
      <c r="L506" s="657">
        <v>44097</v>
      </c>
      <c r="M506" s="665" t="s">
        <v>906</v>
      </c>
      <c r="N506" s="647" t="s">
        <v>918</v>
      </c>
      <c r="O506" s="679">
        <v>2020.09</v>
      </c>
      <c r="P506" s="566" t="str">
        <f>VLOOKUP(A506,'[1]Raw data'!$B:$BB,23,FALSE)</f>
        <v>JPY</v>
      </c>
      <c r="Q506" s="563" t="str">
        <f>VLOOKUP(A506,'[1]Raw data'!$B:$Z,2,FALSE)</f>
        <v>C49SZX20200089JL-R2</v>
      </c>
      <c r="R506" s="563" t="str">
        <f>VLOOKUP(A506,'[1]Raw data'!$B:$Z,3,FALSE)</f>
        <v>瑞福联</v>
      </c>
      <c r="S506" s="563" t="str">
        <f>VLOOKUP(A506,'[1]Raw data'!$B:$Z,4,FALSE)</f>
        <v>YSM20R(SV)-2</v>
      </c>
      <c r="T506" s="563" t="str">
        <f>VLOOKUP(A506,'[1]Raw data'!$B:$Z,8,FALSE)</f>
        <v>L-&gt;R</v>
      </c>
      <c r="U506" s="563" t="str">
        <f>VLOOKUP(A506,'[1]Raw data'!$B:$Z,9,FALSE)</f>
        <v>No</v>
      </c>
      <c r="V506" s="567" t="str">
        <f t="shared" si="75"/>
        <v>OK</v>
      </c>
      <c r="W506" s="563" t="str">
        <f>VLOOKUP(A506,'[1]Raw data'!$B:$AG,32,FALSE)</f>
        <v>CIF HK</v>
      </c>
      <c r="X506" s="563">
        <f>VLOOKUP(A506,'[1]Raw data'!$B:$BA,31,FALSE)</f>
        <v>44027</v>
      </c>
      <c r="Y506" s="563" t="str">
        <f>VLOOKUP(A506,'[1]Raw data'!$B:$AS,39,FALSE)</f>
        <v>Yes</v>
      </c>
      <c r="Z506" s="659"/>
      <c r="AA506" s="660"/>
      <c r="AB506" s="661"/>
      <c r="AC506" s="647" t="s">
        <v>1115</v>
      </c>
      <c r="AD506" s="662">
        <v>301</v>
      </c>
      <c r="AE506" s="662">
        <v>10</v>
      </c>
      <c r="AF506" s="662">
        <v>302</v>
      </c>
      <c r="AG506" s="662">
        <v>10</v>
      </c>
      <c r="AH506" s="662"/>
      <c r="AI506" s="663"/>
      <c r="AN506" s="542"/>
      <c r="AO506" s="824" t="str">
        <f t="shared" si="67"/>
        <v>Yes</v>
      </c>
      <c r="AP506" s="259" t="str">
        <f t="shared" si="68"/>
        <v>SEP 20</v>
      </c>
      <c r="AQ506" s="542" t="str">
        <f t="shared" si="69"/>
        <v>有定金+有預留客戶</v>
      </c>
      <c r="AR506" s="259" t="str">
        <f t="shared" si="70"/>
        <v>Shipped_Stock</v>
      </c>
      <c r="AS506" s="259" t="str">
        <f t="shared" si="71"/>
        <v/>
      </c>
      <c r="AT506" s="259" t="str">
        <f t="shared" si="72"/>
        <v>瑞福联</v>
      </c>
      <c r="AU506" s="259" t="str">
        <f t="shared" si="73"/>
        <v>C49SZX20200089JL-R2</v>
      </c>
      <c r="AV506" s="259" t="str">
        <f t="shared" si="74"/>
        <v>Sep-23</v>
      </c>
    </row>
    <row r="507" spans="1:48" hidden="1">
      <c r="A507" s="559">
        <v>799</v>
      </c>
      <c r="B507" s="560" t="s">
        <v>280</v>
      </c>
      <c r="C507" s="563" t="s">
        <v>15</v>
      </c>
      <c r="D507" s="694">
        <v>109977</v>
      </c>
      <c r="E507" s="701" t="s">
        <v>886</v>
      </c>
      <c r="F507" s="682" t="s">
        <v>17</v>
      </c>
      <c r="G507" s="682" t="s">
        <v>18</v>
      </c>
      <c r="H507" s="682" t="s">
        <v>26</v>
      </c>
      <c r="I507" s="696" t="s">
        <v>1133</v>
      </c>
      <c r="J507" s="684">
        <v>1</v>
      </c>
      <c r="K507" s="647" t="s">
        <v>746</v>
      </c>
      <c r="L507" s="657">
        <v>44099</v>
      </c>
      <c r="M507" s="665">
        <v>6.5500000000000003E-2</v>
      </c>
      <c r="N507" s="647" t="s">
        <v>918</v>
      </c>
      <c r="O507" s="664">
        <v>2020.09</v>
      </c>
      <c r="P507" s="566" t="str">
        <f>VLOOKUP(A507,'[1]Raw data'!$B:$BB,23,FALSE)</f>
        <v>RMB</v>
      </c>
      <c r="Q507" s="563" t="str">
        <f>VLOOKUP(A507,'[1]Raw data'!$B:$Z,2,FALSE)</f>
        <v>C49SZX20200141SX</v>
      </c>
      <c r="R507" s="563" t="str">
        <f>VLOOKUP(A507,'[1]Raw data'!$B:$Z,3,FALSE)</f>
        <v>奕东</v>
      </c>
      <c r="S507" s="563" t="str">
        <f>VLOOKUP(A507,'[1]Raw data'!$B:$Z,4,FALSE)</f>
        <v>YSM10</v>
      </c>
      <c r="T507" s="563" t="str">
        <f>VLOOKUP(A507,'[1]Raw data'!$B:$Z,8,FALSE)</f>
        <v>L-&gt;R</v>
      </c>
      <c r="U507" s="563" t="str">
        <f>VLOOKUP(A507,'[1]Raw data'!$B:$Z,9,FALSE)</f>
        <v>MVC</v>
      </c>
      <c r="V507" s="567" t="str">
        <f t="shared" si="75"/>
        <v>WRONG</v>
      </c>
      <c r="W507" s="563" t="str">
        <f>VLOOKUP(A507,'[1]Raw data'!$B:$AG,32,FALSE)</f>
        <v>含税到厂</v>
      </c>
      <c r="X507" s="563">
        <f>VLOOKUP(A507,'[1]Raw data'!$B:$BA,31,FALSE)</f>
        <v>44074</v>
      </c>
      <c r="Y507" s="563" t="str">
        <f>VLOOKUP(A507,'[1]Raw data'!$B:$AS,39,FALSE)</f>
        <v>Yes</v>
      </c>
      <c r="Z507" s="659"/>
      <c r="AA507" s="660"/>
      <c r="AB507" s="661"/>
      <c r="AC507" s="647" t="s">
        <v>895</v>
      </c>
      <c r="AD507" s="662">
        <v>302</v>
      </c>
      <c r="AE507" s="662">
        <v>10</v>
      </c>
      <c r="AF507" s="662"/>
      <c r="AG507" s="662"/>
      <c r="AH507" s="662"/>
      <c r="AI507" s="663"/>
      <c r="AN507" s="542"/>
      <c r="AO507" s="824" t="str">
        <f t="shared" si="67"/>
        <v>Yes</v>
      </c>
      <c r="AP507" s="259" t="str">
        <f t="shared" si="68"/>
        <v>SEP 20</v>
      </c>
      <c r="AQ507" s="542" t="str">
        <f t="shared" si="69"/>
        <v>有定金+有預留客戶</v>
      </c>
      <c r="AR507" s="259" t="str">
        <f t="shared" si="70"/>
        <v>Shipped_Stock</v>
      </c>
      <c r="AS507" s="259" t="str">
        <f t="shared" si="71"/>
        <v/>
      </c>
      <c r="AT507" s="259" t="str">
        <f t="shared" si="72"/>
        <v>奕东</v>
      </c>
      <c r="AU507" s="259" t="str">
        <f t="shared" si="73"/>
        <v>C49SZX20200141SX</v>
      </c>
      <c r="AV507" s="259" t="str">
        <f t="shared" si="74"/>
        <v>Sep-25</v>
      </c>
    </row>
    <row r="508" spans="1:48" hidden="1">
      <c r="A508" s="559">
        <v>798</v>
      </c>
      <c r="B508" s="560" t="s">
        <v>280</v>
      </c>
      <c r="C508" s="563" t="s">
        <v>281</v>
      </c>
      <c r="D508" s="694">
        <v>109977</v>
      </c>
      <c r="E508" s="702" t="s">
        <v>886</v>
      </c>
      <c r="F508" s="647" t="s">
        <v>17</v>
      </c>
      <c r="G508" s="647" t="s">
        <v>18</v>
      </c>
      <c r="H508" s="647" t="s">
        <v>26</v>
      </c>
      <c r="I508" s="698" t="s">
        <v>1134</v>
      </c>
      <c r="J508" s="684">
        <v>1</v>
      </c>
      <c r="K508" s="647" t="s">
        <v>746</v>
      </c>
      <c r="L508" s="657">
        <v>44099</v>
      </c>
      <c r="M508" s="676">
        <v>6.5500000000000003E-2</v>
      </c>
      <c r="N508" s="647" t="s">
        <v>918</v>
      </c>
      <c r="O508" s="664">
        <v>2020.09</v>
      </c>
      <c r="P508" s="566" t="str">
        <f>VLOOKUP(A508,'[1]Raw data'!$B:$BB,23,FALSE)</f>
        <v>RMB</v>
      </c>
      <c r="Q508" s="563" t="str">
        <f>VLOOKUP(A508,'[1]Raw data'!$B:$Z,2,FALSE)</f>
        <v>C49SZX20200141SX</v>
      </c>
      <c r="R508" s="563" t="str">
        <f>VLOOKUP(A508,'[1]Raw data'!$B:$Z,3,FALSE)</f>
        <v>奕东</v>
      </c>
      <c r="S508" s="563" t="str">
        <f>VLOOKUP(A508,'[1]Raw data'!$B:$Z,4,FALSE)</f>
        <v>YSM10</v>
      </c>
      <c r="T508" s="563" t="str">
        <f>VLOOKUP(A508,'[1]Raw data'!$B:$Z,8,FALSE)</f>
        <v>L-&gt;R</v>
      </c>
      <c r="U508" s="563" t="str">
        <f>VLOOKUP(A508,'[1]Raw data'!$B:$Z,9,FALSE)</f>
        <v>MVC</v>
      </c>
      <c r="V508" s="567" t="str">
        <f t="shared" si="75"/>
        <v>WRONG</v>
      </c>
      <c r="W508" s="563" t="str">
        <f>VLOOKUP(A508,'[1]Raw data'!$B:$AG,32,FALSE)</f>
        <v>含税到厂</v>
      </c>
      <c r="X508" s="563">
        <f>VLOOKUP(A508,'[1]Raw data'!$B:$BA,31,FALSE)</f>
        <v>44074</v>
      </c>
      <c r="Y508" s="563" t="str">
        <f>VLOOKUP(A508,'[1]Raw data'!$B:$AS,39,FALSE)</f>
        <v>Yes</v>
      </c>
      <c r="Z508" s="669"/>
      <c r="AA508" s="670"/>
      <c r="AB508" s="671"/>
      <c r="AC508" s="647" t="s">
        <v>895</v>
      </c>
      <c r="AD508" s="662">
        <v>302</v>
      </c>
      <c r="AE508" s="662">
        <v>10</v>
      </c>
      <c r="AF508" s="662"/>
      <c r="AG508" s="662"/>
      <c r="AH508" s="662"/>
      <c r="AI508" s="663"/>
      <c r="AN508" s="542"/>
      <c r="AO508" s="824" t="str">
        <f t="shared" si="67"/>
        <v>Yes</v>
      </c>
      <c r="AP508" s="259" t="str">
        <f t="shared" si="68"/>
        <v>SEP 20</v>
      </c>
      <c r="AQ508" s="542" t="str">
        <f t="shared" si="69"/>
        <v>有定金+有預留客戶</v>
      </c>
      <c r="AR508" s="259" t="str">
        <f t="shared" si="70"/>
        <v>Shipped_Stock</v>
      </c>
      <c r="AS508" s="259" t="str">
        <f t="shared" si="71"/>
        <v/>
      </c>
      <c r="AT508" s="259" t="str">
        <f t="shared" si="72"/>
        <v>奕东</v>
      </c>
      <c r="AU508" s="259" t="str">
        <f t="shared" si="73"/>
        <v>C49SZX20200141SX</v>
      </c>
      <c r="AV508" s="259" t="str">
        <f t="shared" si="74"/>
        <v>Sep-25</v>
      </c>
    </row>
    <row r="509" spans="1:48" hidden="1">
      <c r="A509" s="559">
        <v>801</v>
      </c>
      <c r="B509" s="560" t="s">
        <v>280</v>
      </c>
      <c r="C509" s="563" t="s">
        <v>15</v>
      </c>
      <c r="D509" s="694">
        <v>109977</v>
      </c>
      <c r="E509" s="702" t="s">
        <v>886</v>
      </c>
      <c r="F509" s="647" t="s">
        <v>17</v>
      </c>
      <c r="G509" s="647" t="s">
        <v>18</v>
      </c>
      <c r="H509" s="647" t="s">
        <v>26</v>
      </c>
      <c r="I509" s="698" t="s">
        <v>1135</v>
      </c>
      <c r="J509" s="684">
        <v>1</v>
      </c>
      <c r="K509" s="647" t="s">
        <v>746</v>
      </c>
      <c r="L509" s="657">
        <v>44099</v>
      </c>
      <c r="M509" s="676">
        <v>6.5500000000000003E-2</v>
      </c>
      <c r="N509" s="647" t="s">
        <v>918</v>
      </c>
      <c r="O509" s="664">
        <v>2020.09</v>
      </c>
      <c r="P509" s="566" t="str">
        <f>VLOOKUP(A509,'[1]Raw data'!$B:$BB,23,FALSE)</f>
        <v>RMB</v>
      </c>
      <c r="Q509" s="563" t="str">
        <f>VLOOKUP(A509,'[1]Raw data'!$B:$Z,2,FALSE)</f>
        <v>C49SZX20200141SX</v>
      </c>
      <c r="R509" s="563" t="str">
        <f>VLOOKUP(A509,'[1]Raw data'!$B:$Z,3,FALSE)</f>
        <v>奕东</v>
      </c>
      <c r="S509" s="563" t="str">
        <f>VLOOKUP(A509,'[1]Raw data'!$B:$Z,4,FALSE)</f>
        <v>YSM10</v>
      </c>
      <c r="T509" s="563" t="str">
        <f>VLOOKUP(A509,'[1]Raw data'!$B:$Z,8,FALSE)</f>
        <v>R-&gt;L</v>
      </c>
      <c r="U509" s="563" t="str">
        <f>VLOOKUP(A509,'[1]Raw data'!$B:$Z,9,FALSE)</f>
        <v>MVC</v>
      </c>
      <c r="V509" s="567" t="str">
        <f t="shared" si="75"/>
        <v>WRONG</v>
      </c>
      <c r="W509" s="563" t="str">
        <f>VLOOKUP(A509,'[1]Raw data'!$B:$AG,32,FALSE)</f>
        <v>含税到厂</v>
      </c>
      <c r="X509" s="563">
        <f>VLOOKUP(A509,'[1]Raw data'!$B:$BA,31,FALSE)</f>
        <v>44074</v>
      </c>
      <c r="Y509" s="563" t="str">
        <f>VLOOKUP(A509,'[1]Raw data'!$B:$AS,39,FALSE)</f>
        <v>Yes</v>
      </c>
      <c r="Z509" s="659"/>
      <c r="AA509" s="660"/>
      <c r="AB509" s="661"/>
      <c r="AC509" s="647" t="s">
        <v>895</v>
      </c>
      <c r="AD509" s="662">
        <v>302</v>
      </c>
      <c r="AE509" s="662">
        <v>10</v>
      </c>
      <c r="AF509" s="662"/>
      <c r="AG509" s="662"/>
      <c r="AH509" s="662"/>
      <c r="AI509" s="663"/>
      <c r="AN509" s="542"/>
      <c r="AO509" s="824" t="str">
        <f t="shared" si="67"/>
        <v>Yes</v>
      </c>
      <c r="AP509" s="259" t="str">
        <f t="shared" si="68"/>
        <v>SEP 20</v>
      </c>
      <c r="AQ509" s="542" t="str">
        <f t="shared" si="69"/>
        <v>有定金+有預留客戶</v>
      </c>
      <c r="AR509" s="259" t="str">
        <f t="shared" si="70"/>
        <v>Shipped_Stock</v>
      </c>
      <c r="AS509" s="259" t="str">
        <f t="shared" si="71"/>
        <v/>
      </c>
      <c r="AT509" s="259" t="str">
        <f t="shared" si="72"/>
        <v>奕东</v>
      </c>
      <c r="AU509" s="259" t="str">
        <f t="shared" si="73"/>
        <v>C49SZX20200141SX</v>
      </c>
      <c r="AV509" s="259" t="str">
        <f t="shared" si="74"/>
        <v>Sep-25</v>
      </c>
    </row>
    <row r="510" spans="1:48" hidden="1">
      <c r="A510" s="559">
        <v>772</v>
      </c>
      <c r="B510" s="560" t="s">
        <v>280</v>
      </c>
      <c r="C510" s="563" t="s">
        <v>15</v>
      </c>
      <c r="D510" s="694">
        <v>109977</v>
      </c>
      <c r="E510" s="702" t="s">
        <v>886</v>
      </c>
      <c r="F510" s="647" t="s">
        <v>17</v>
      </c>
      <c r="G510" s="647" t="s">
        <v>18</v>
      </c>
      <c r="H510" s="647" t="s">
        <v>26</v>
      </c>
      <c r="I510" s="698" t="s">
        <v>1136</v>
      </c>
      <c r="J510" s="684">
        <v>1</v>
      </c>
      <c r="K510" s="647" t="s">
        <v>746</v>
      </c>
      <c r="L510" s="657">
        <v>44099</v>
      </c>
      <c r="M510" s="665">
        <v>6.5500000000000003E-2</v>
      </c>
      <c r="N510" s="647" t="s">
        <v>918</v>
      </c>
      <c r="O510" s="664">
        <v>2020.09</v>
      </c>
      <c r="P510" s="566" t="str">
        <f>VLOOKUP(A510,'[1]Raw data'!$B:$BB,23,FALSE)</f>
        <v>RMB</v>
      </c>
      <c r="Q510" s="563" t="str">
        <f>VLOOKUP(A510,'[1]Raw data'!$B:$Z,2,FALSE)</f>
        <v>C49SZX20200126JY</v>
      </c>
      <c r="R510" s="563" t="str">
        <f>VLOOKUP(A510,'[1]Raw data'!$B:$Z,3,FALSE)</f>
        <v>芯联鑫</v>
      </c>
      <c r="S510" s="563" t="str">
        <f>VLOOKUP(A510,'[1]Raw data'!$B:$Z,4,FALSE)</f>
        <v>YSM10</v>
      </c>
      <c r="T510" s="563" t="str">
        <f>VLOOKUP(A510,'[1]Raw data'!$B:$Z,8,FALSE)</f>
        <v>L-&gt;R</v>
      </c>
      <c r="U510" s="563" t="str">
        <f>VLOOKUP(A510,'[1]Raw data'!$B:$Z,9,FALSE)</f>
        <v>MVC</v>
      </c>
      <c r="V510" s="567" t="str">
        <f t="shared" si="75"/>
        <v>WRONG</v>
      </c>
      <c r="W510" s="563" t="str">
        <f>VLOOKUP(A510,'[1]Raw data'!$B:$AG,32,FALSE)</f>
        <v>含税到厂</v>
      </c>
      <c r="X510" s="563">
        <f>VLOOKUP(A510,'[1]Raw data'!$B:$BA,31,FALSE)</f>
        <v>44054</v>
      </c>
      <c r="Y510" s="563" t="str">
        <f>VLOOKUP(A510,'[1]Raw data'!$B:$AS,39,FALSE)</f>
        <v>Yes</v>
      </c>
      <c r="Z510" s="659"/>
      <c r="AA510" s="660"/>
      <c r="AB510" s="661"/>
      <c r="AC510" s="647" t="s">
        <v>1088</v>
      </c>
      <c r="AD510" s="662">
        <v>302</v>
      </c>
      <c r="AE510" s="662">
        <v>10</v>
      </c>
      <c r="AF510" s="662"/>
      <c r="AG510" s="662"/>
      <c r="AH510" s="662"/>
      <c r="AI510" s="663"/>
      <c r="AN510" s="542"/>
      <c r="AO510" s="824" t="str">
        <f t="shared" si="67"/>
        <v>Yes</v>
      </c>
      <c r="AP510" s="259" t="str">
        <f t="shared" si="68"/>
        <v>SEP 20</v>
      </c>
      <c r="AQ510" s="542" t="str">
        <f t="shared" si="69"/>
        <v>有定金+有預留客戶</v>
      </c>
      <c r="AR510" s="259" t="str">
        <f t="shared" si="70"/>
        <v>Shipped_Stock</v>
      </c>
      <c r="AS510" s="259" t="str">
        <f t="shared" si="71"/>
        <v/>
      </c>
      <c r="AT510" s="259" t="str">
        <f t="shared" si="72"/>
        <v>芯联鑫</v>
      </c>
      <c r="AU510" s="259" t="str">
        <f t="shared" si="73"/>
        <v>C49SZX20200126JY</v>
      </c>
      <c r="AV510" s="259" t="str">
        <f t="shared" si="74"/>
        <v>Sep-25</v>
      </c>
    </row>
    <row r="511" spans="1:48" ht="13.5" hidden="1" thickBot="1">
      <c r="A511" s="559">
        <v>800</v>
      </c>
      <c r="B511" s="560" t="s">
        <v>280</v>
      </c>
      <c r="C511" s="563" t="s">
        <v>15</v>
      </c>
      <c r="D511" s="694">
        <v>109977</v>
      </c>
      <c r="E511" s="699" t="s">
        <v>886</v>
      </c>
      <c r="F511" s="688" t="s">
        <v>17</v>
      </c>
      <c r="G511" s="688" t="s">
        <v>18</v>
      </c>
      <c r="H511" s="688" t="s">
        <v>26</v>
      </c>
      <c r="I511" s="700" t="s">
        <v>1137</v>
      </c>
      <c r="J511" s="684">
        <v>1</v>
      </c>
      <c r="K511" s="647" t="s">
        <v>746</v>
      </c>
      <c r="L511" s="657">
        <v>44099</v>
      </c>
      <c r="M511" s="665">
        <v>6.5500000000000003E-2</v>
      </c>
      <c r="N511" s="647" t="s">
        <v>918</v>
      </c>
      <c r="O511" s="664">
        <v>2020.09</v>
      </c>
      <c r="P511" s="566" t="str">
        <f>VLOOKUP(A511,'[1]Raw data'!$B:$BB,23,FALSE)</f>
        <v>RMB</v>
      </c>
      <c r="Q511" s="563" t="str">
        <f>VLOOKUP(A511,'[1]Raw data'!$B:$Z,2,FALSE)</f>
        <v>C49SZX20200141SX</v>
      </c>
      <c r="R511" s="563" t="str">
        <f>VLOOKUP(A511,'[1]Raw data'!$B:$Z,3,FALSE)</f>
        <v>奕东</v>
      </c>
      <c r="S511" s="563" t="str">
        <f>VLOOKUP(A511,'[1]Raw data'!$B:$Z,4,FALSE)</f>
        <v>YSM10</v>
      </c>
      <c r="T511" s="563" t="str">
        <f>VLOOKUP(A511,'[1]Raw data'!$B:$Z,8,FALSE)</f>
        <v>R-&gt;L</v>
      </c>
      <c r="U511" s="563" t="str">
        <f>VLOOKUP(A511,'[1]Raw data'!$B:$Z,9,FALSE)</f>
        <v>MVC</v>
      </c>
      <c r="V511" s="567" t="str">
        <f t="shared" si="75"/>
        <v>WRONG</v>
      </c>
      <c r="W511" s="563" t="str">
        <f>VLOOKUP(A511,'[1]Raw data'!$B:$AG,32,FALSE)</f>
        <v>含税到厂</v>
      </c>
      <c r="X511" s="563">
        <f>VLOOKUP(A511,'[1]Raw data'!$B:$BA,31,FALSE)</f>
        <v>44074</v>
      </c>
      <c r="Y511" s="563" t="str">
        <f>VLOOKUP(A511,'[1]Raw data'!$B:$AS,39,FALSE)</f>
        <v>Yes</v>
      </c>
      <c r="Z511" s="659"/>
      <c r="AA511" s="660"/>
      <c r="AB511" s="661"/>
      <c r="AC511" s="647" t="s">
        <v>895</v>
      </c>
      <c r="AD511" s="662">
        <v>311</v>
      </c>
      <c r="AE511" s="662">
        <v>10</v>
      </c>
      <c r="AF511" s="662"/>
      <c r="AG511" s="662"/>
      <c r="AH511" s="662"/>
      <c r="AI511" s="663"/>
      <c r="AN511" s="542"/>
      <c r="AO511" s="824" t="str">
        <f t="shared" si="67"/>
        <v>Yes</v>
      </c>
      <c r="AP511" s="259" t="str">
        <f t="shared" si="68"/>
        <v>SEP 20</v>
      </c>
      <c r="AQ511" s="542" t="str">
        <f t="shared" si="69"/>
        <v>有定金+有預留客戶</v>
      </c>
      <c r="AR511" s="259" t="str">
        <f t="shared" si="70"/>
        <v>Shipped_Stock</v>
      </c>
      <c r="AS511" s="259" t="str">
        <f t="shared" si="71"/>
        <v/>
      </c>
      <c r="AT511" s="259" t="str">
        <f t="shared" si="72"/>
        <v>奕东</v>
      </c>
      <c r="AU511" s="259" t="str">
        <f t="shared" si="73"/>
        <v>C49SZX20200141SX</v>
      </c>
      <c r="AV511" s="259" t="str">
        <f t="shared" si="74"/>
        <v>Sep-25</v>
      </c>
    </row>
    <row r="512" spans="1:48" hidden="1">
      <c r="A512" s="559">
        <v>769</v>
      </c>
      <c r="B512" s="560" t="s">
        <v>927</v>
      </c>
      <c r="C512" s="563" t="s">
        <v>15</v>
      </c>
      <c r="D512" s="645">
        <v>109977</v>
      </c>
      <c r="E512" s="649" t="s">
        <v>886</v>
      </c>
      <c r="F512" s="692" t="s">
        <v>17</v>
      </c>
      <c r="G512" s="692" t="s">
        <v>18</v>
      </c>
      <c r="H512" s="692" t="s">
        <v>26</v>
      </c>
      <c r="I512" s="693" t="s">
        <v>1138</v>
      </c>
      <c r="J512" s="575">
        <v>1</v>
      </c>
      <c r="K512" s="647" t="s">
        <v>311</v>
      </c>
      <c r="L512" s="657">
        <v>44099</v>
      </c>
      <c r="M512" s="665">
        <v>6.5500000000000003E-2</v>
      </c>
      <c r="N512" s="647" t="s">
        <v>918</v>
      </c>
      <c r="O512" s="664">
        <v>2020.09</v>
      </c>
      <c r="P512" s="566" t="str">
        <f>VLOOKUP(A512,'[1]Raw data'!$B:$BB,23,FALSE)</f>
        <v>JPY</v>
      </c>
      <c r="Q512" s="563" t="str">
        <f>VLOOKUP(A512,'[1]Raw data'!$B:$Z,2,FALSE)</f>
        <v>C49SZX20200078CY</v>
      </c>
      <c r="R512" s="563" t="str">
        <f>VLOOKUP(A512,'[1]Raw data'!$B:$Z,3,FALSE)</f>
        <v>博德越</v>
      </c>
      <c r="S512" s="563" t="str">
        <f>VLOOKUP(A512,'[1]Raw data'!$B:$Z,4,FALSE)</f>
        <v>YSM10</v>
      </c>
      <c r="T512" s="563" t="str">
        <f>VLOOKUP(A512,'[1]Raw data'!$B:$Z,8,FALSE)</f>
        <v>R-&gt;L</v>
      </c>
      <c r="U512" s="563" t="str">
        <f>VLOOKUP(A512,'[1]Raw data'!$B:$Z,9,FALSE)</f>
        <v>MVC</v>
      </c>
      <c r="V512" s="567" t="str">
        <f t="shared" si="75"/>
        <v>WRONG</v>
      </c>
      <c r="W512" s="563" t="str">
        <f>VLOOKUP(A512,'[1]Raw data'!$B:$AG,32,FALSE)</f>
        <v>DAP SZ</v>
      </c>
      <c r="X512" s="563">
        <f>VLOOKUP(A512,'[1]Raw data'!$B:$BA,31,FALSE)</f>
        <v>44053</v>
      </c>
      <c r="Y512" s="563" t="str">
        <f>VLOOKUP(A512,'[1]Raw data'!$B:$AS,39,FALSE)</f>
        <v>Yes</v>
      </c>
      <c r="Z512" s="659"/>
      <c r="AA512" s="660"/>
      <c r="AB512" s="661"/>
      <c r="AC512" s="647" t="s">
        <v>1062</v>
      </c>
      <c r="AD512" s="662">
        <v>302</v>
      </c>
      <c r="AE512" s="662">
        <v>10</v>
      </c>
      <c r="AF512" s="662"/>
      <c r="AG512" s="662"/>
      <c r="AH512" s="662"/>
      <c r="AI512" s="663"/>
      <c r="AN512" s="542"/>
      <c r="AO512" s="824" t="str">
        <f t="shared" si="67"/>
        <v>Yes</v>
      </c>
      <c r="AP512" s="259" t="str">
        <f t="shared" si="68"/>
        <v>SEP 20</v>
      </c>
      <c r="AQ512" s="542" t="str">
        <f t="shared" si="69"/>
        <v>有定金+有預留客戶</v>
      </c>
      <c r="AR512" s="259" t="str">
        <f t="shared" si="70"/>
        <v>Shipped_Stock</v>
      </c>
      <c r="AS512" s="259" t="str">
        <f t="shared" si="71"/>
        <v/>
      </c>
      <c r="AT512" s="259" t="str">
        <f t="shared" si="72"/>
        <v>博德越</v>
      </c>
      <c r="AU512" s="259" t="str">
        <f t="shared" si="73"/>
        <v>C49SZX20200078CY</v>
      </c>
      <c r="AV512" s="259" t="str">
        <f t="shared" si="74"/>
        <v>Sep-25</v>
      </c>
    </row>
    <row r="513" spans="1:48" hidden="1">
      <c r="A513" s="559">
        <v>702</v>
      </c>
      <c r="B513" s="560" t="s">
        <v>280</v>
      </c>
      <c r="C513" s="563" t="s">
        <v>15</v>
      </c>
      <c r="D513" s="645">
        <v>109977</v>
      </c>
      <c r="E513" s="563" t="s">
        <v>886</v>
      </c>
      <c r="F513" s="647" t="s">
        <v>17</v>
      </c>
      <c r="G513" s="647" t="s">
        <v>18</v>
      </c>
      <c r="H513" s="647" t="s">
        <v>26</v>
      </c>
      <c r="I513" s="575" t="s">
        <v>1139</v>
      </c>
      <c r="J513" s="575">
        <v>1</v>
      </c>
      <c r="K513" s="647" t="s">
        <v>311</v>
      </c>
      <c r="L513" s="657">
        <v>44099</v>
      </c>
      <c r="M513" s="665">
        <v>6.5500000000000003E-2</v>
      </c>
      <c r="N513" s="647" t="s">
        <v>918</v>
      </c>
      <c r="O513" s="664">
        <v>2020.09</v>
      </c>
      <c r="P513" s="566" t="str">
        <f>VLOOKUP(A513,'[1]Raw data'!$B:$BB,23,FALSE)</f>
        <v>JPY</v>
      </c>
      <c r="Q513" s="563" t="str">
        <f>VLOOKUP(A513,'[1]Raw data'!$B:$Z,2,FALSE)</f>
        <v>C49SZX20200095R1SS</v>
      </c>
      <c r="R513" s="563" t="str">
        <f>VLOOKUP(A513,'[1]Raw data'!$B:$Z,3,FALSE)</f>
        <v>前海福源</v>
      </c>
      <c r="S513" s="563" t="str">
        <f>VLOOKUP(A513,'[1]Raw data'!$B:$Z,4,FALSE)</f>
        <v>YSM10</v>
      </c>
      <c r="T513" s="563" t="str">
        <f>VLOOKUP(A513,'[1]Raw data'!$B:$Z,8,FALSE)</f>
        <v>L-&gt;R</v>
      </c>
      <c r="U513" s="563" t="str">
        <f>VLOOKUP(A513,'[1]Raw data'!$B:$Z,9,FALSE)</f>
        <v>No</v>
      </c>
      <c r="V513" s="567" t="str">
        <f t="shared" si="75"/>
        <v>WRONG</v>
      </c>
      <c r="W513" s="563" t="str">
        <f>VLOOKUP(A513,'[1]Raw data'!$B:$AG,32,FALSE)</f>
        <v>DAP SZ</v>
      </c>
      <c r="X513" s="563">
        <f>VLOOKUP(A513,'[1]Raw data'!$B:$BA,31,FALSE)</f>
        <v>44021</v>
      </c>
      <c r="Y513" s="563" t="str">
        <f>VLOOKUP(A513,'[1]Raw data'!$B:$AS,39,FALSE)</f>
        <v>Yes</v>
      </c>
      <c r="Z513" s="659"/>
      <c r="AA513" s="660"/>
      <c r="AB513" s="661"/>
      <c r="AC513" s="647" t="s">
        <v>686</v>
      </c>
      <c r="AD513" s="662">
        <v>302</v>
      </c>
      <c r="AE513" s="662">
        <v>10</v>
      </c>
      <c r="AF513" s="662"/>
      <c r="AG513" s="662"/>
      <c r="AH513" s="662"/>
      <c r="AI513" s="663"/>
      <c r="AN513" s="542"/>
      <c r="AO513" s="824" t="str">
        <f t="shared" si="67"/>
        <v>Yes</v>
      </c>
      <c r="AP513" s="259" t="str">
        <f t="shared" si="68"/>
        <v>SEP 20</v>
      </c>
      <c r="AQ513" s="542" t="str">
        <f t="shared" si="69"/>
        <v>有定金+有預留客戶</v>
      </c>
      <c r="AR513" s="259" t="str">
        <f t="shared" si="70"/>
        <v>Shipped_Stock</v>
      </c>
      <c r="AS513" s="259" t="str">
        <f t="shared" si="71"/>
        <v/>
      </c>
      <c r="AT513" s="259" t="str">
        <f t="shared" si="72"/>
        <v>前海福源</v>
      </c>
      <c r="AU513" s="259" t="str">
        <f t="shared" si="73"/>
        <v>C49SZX20200095R1SS</v>
      </c>
      <c r="AV513" s="259" t="str">
        <f t="shared" si="74"/>
        <v>Sep-25</v>
      </c>
    </row>
    <row r="514" spans="1:48" hidden="1">
      <c r="A514" s="559">
        <v>895</v>
      </c>
      <c r="B514" s="560" t="s">
        <v>280</v>
      </c>
      <c r="C514" s="563" t="s">
        <v>15</v>
      </c>
      <c r="D514" s="645">
        <v>110058</v>
      </c>
      <c r="E514" s="646" t="s">
        <v>1140</v>
      </c>
      <c r="F514" s="647" t="s">
        <v>149</v>
      </c>
      <c r="G514" s="647" t="s">
        <v>24</v>
      </c>
      <c r="H514" s="647" t="s">
        <v>26</v>
      </c>
      <c r="I514" s="575" t="s">
        <v>1141</v>
      </c>
      <c r="J514" s="575">
        <v>1</v>
      </c>
      <c r="K514" s="647" t="s">
        <v>437</v>
      </c>
      <c r="L514" s="657">
        <v>44106</v>
      </c>
      <c r="M514" s="676" t="s">
        <v>906</v>
      </c>
      <c r="N514" s="647" t="s">
        <v>1142</v>
      </c>
      <c r="O514" s="679">
        <v>2020.09</v>
      </c>
      <c r="P514" s="566" t="str">
        <f>VLOOKUP(A514,'[1]Raw data'!$B:$BB,23,FALSE)</f>
        <v>RMB</v>
      </c>
      <c r="Q514" s="563" t="str">
        <f>VLOOKUP(A514,'[1]Raw data'!$B:$Z,2,FALSE)</f>
        <v>C49SZX20200166DY</v>
      </c>
      <c r="R514" s="563" t="str">
        <f>VLOOKUP(A514,'[1]Raw data'!$B:$Z,3,FALSE)</f>
        <v>华彩鑫</v>
      </c>
      <c r="S514" s="563" t="str">
        <f>VLOOKUP(A514,'[1]Raw data'!$B:$Z,4,FALSE)</f>
        <v>YSM40R-4</v>
      </c>
      <c r="T514" s="563" t="str">
        <f>VLOOKUP(A514,'[1]Raw data'!$B:$Z,8,FALSE)</f>
        <v>L-&gt;R</v>
      </c>
      <c r="U514" s="563" t="str">
        <f>VLOOKUP(A514,'[1]Raw data'!$B:$Z,9,FALSE)</f>
        <v>No</v>
      </c>
      <c r="V514" s="567" t="str">
        <f t="shared" si="75"/>
        <v>OK</v>
      </c>
      <c r="W514" s="563" t="str">
        <f>VLOOKUP(A514,'[1]Raw data'!$B:$AG,32,FALSE)</f>
        <v>含税到厂</v>
      </c>
      <c r="X514" s="563">
        <f>VLOOKUP(A514,'[1]Raw data'!$B:$BA,31,FALSE)</f>
        <v>44127</v>
      </c>
      <c r="Y514" s="563" t="str">
        <f>VLOOKUP(A514,'[1]Raw data'!$B:$AS,39,FALSE)</f>
        <v>Yes</v>
      </c>
      <c r="Z514" s="659"/>
      <c r="AA514" s="660"/>
      <c r="AB514" s="661"/>
      <c r="AC514" s="647" t="s">
        <v>1143</v>
      </c>
      <c r="AD514" s="662"/>
      <c r="AE514" s="662"/>
      <c r="AF514" s="662"/>
      <c r="AG514" s="662"/>
      <c r="AH514" s="662"/>
      <c r="AI514" s="663"/>
      <c r="AN514" s="542"/>
      <c r="AO514" s="824" t="str">
        <f t="shared" si="67"/>
        <v>Yes</v>
      </c>
      <c r="AP514" s="259" t="str">
        <f t="shared" si="68"/>
        <v>NOV 20</v>
      </c>
      <c r="AQ514" s="542" t="str">
        <f t="shared" si="69"/>
        <v>有定金+有預留客戶</v>
      </c>
      <c r="AR514" s="259" t="str">
        <f t="shared" si="70"/>
        <v>Shipped_Stock</v>
      </c>
      <c r="AS514" s="259" t="str">
        <f t="shared" si="71"/>
        <v/>
      </c>
      <c r="AT514" s="259" t="str">
        <f t="shared" si="72"/>
        <v>华彩鑫</v>
      </c>
      <c r="AU514" s="259" t="str">
        <f t="shared" si="73"/>
        <v>C49SZX20200166DY</v>
      </c>
      <c r="AV514" s="259" t="str">
        <f t="shared" si="74"/>
        <v>Oct-02</v>
      </c>
    </row>
    <row r="515" spans="1:48" hidden="1">
      <c r="A515" s="559">
        <v>765</v>
      </c>
      <c r="B515" s="560" t="s">
        <v>280</v>
      </c>
      <c r="C515" s="560" t="s">
        <v>15</v>
      </c>
      <c r="D515" s="680">
        <v>109984</v>
      </c>
      <c r="E515" s="703" t="s">
        <v>886</v>
      </c>
      <c r="F515" s="646" t="s">
        <v>256</v>
      </c>
      <c r="G515" s="647" t="s">
        <v>18</v>
      </c>
      <c r="H515" s="647" t="s">
        <v>26</v>
      </c>
      <c r="I515" s="575" t="s">
        <v>1144</v>
      </c>
      <c r="J515" s="575">
        <v>1</v>
      </c>
      <c r="K515" s="647" t="s">
        <v>746</v>
      </c>
      <c r="L515" s="657">
        <v>44113</v>
      </c>
      <c r="M515" s="665" t="s">
        <v>906</v>
      </c>
      <c r="N515" s="647" t="s">
        <v>1032</v>
      </c>
      <c r="O515" s="679">
        <v>2020.09</v>
      </c>
      <c r="P515" s="566" t="str">
        <f>VLOOKUP(A515,'[1]Raw data'!$B:$BB,23,FALSE)</f>
        <v>JPY</v>
      </c>
      <c r="Q515" s="563" t="str">
        <f>VLOOKUP(A515,'[1]Raw data'!$B:$Z,2,FALSE)</f>
        <v>C49SZX20200078CY</v>
      </c>
      <c r="R515" s="563" t="str">
        <f>VLOOKUP(A515,'[1]Raw data'!$B:$Z,3,FALSE)</f>
        <v>博德越</v>
      </c>
      <c r="S515" s="563" t="str">
        <f>VLOOKUP(A515,'[1]Raw data'!$B:$Z,4,FALSE)</f>
        <v>YSM20R(SV)-2</v>
      </c>
      <c r="T515" s="563" t="str">
        <f>VLOOKUP(A515,'[1]Raw data'!$B:$Z,8,FALSE)</f>
        <v>R-&gt;L</v>
      </c>
      <c r="U515" s="563" t="str">
        <f>VLOOKUP(A515,'[1]Raw data'!$B:$Z,9,FALSE)</f>
        <v>No</v>
      </c>
      <c r="V515" s="567" t="str">
        <f t="shared" si="75"/>
        <v>OK</v>
      </c>
      <c r="W515" s="563" t="str">
        <f>VLOOKUP(A515,'[1]Raw data'!$B:$AG,32,FALSE)</f>
        <v>DAP SZ</v>
      </c>
      <c r="X515" s="563">
        <f>VLOOKUP(A515,'[1]Raw data'!$B:$BA,31,FALSE)</f>
        <v>44053</v>
      </c>
      <c r="Y515" s="563" t="str">
        <f>VLOOKUP(A515,'[1]Raw data'!$B:$AS,39,FALSE)</f>
        <v>Yes</v>
      </c>
      <c r="Z515" s="659"/>
      <c r="AA515" s="660"/>
      <c r="AB515" s="661"/>
      <c r="AC515" s="647" t="s">
        <v>1062</v>
      </c>
      <c r="AD515" s="575">
        <v>301</v>
      </c>
      <c r="AE515" s="575">
        <v>10</v>
      </c>
      <c r="AF515" s="662">
        <v>302</v>
      </c>
      <c r="AG515" s="662">
        <v>10</v>
      </c>
      <c r="AH515" s="662"/>
      <c r="AI515" s="663"/>
      <c r="AN515" s="542"/>
      <c r="AO515" s="824" t="str">
        <f t="shared" ref="AO515:AO578" si="76">IFERROR(IF(Y515&lt;&gt;"",Y515,"No"),"No")</f>
        <v>Yes</v>
      </c>
      <c r="AP515" s="259" t="str">
        <f t="shared" ref="AP515:AP578" si="77">IFERROR(IF(N515&lt;&gt;"",N515,"blank"),"NA")</f>
        <v>OCT 20</v>
      </c>
      <c r="AQ515" s="542" t="str">
        <f t="shared" ref="AQ515:AQ578" si="78">IFERROR(IF(AND(AO515="Yes", AP515&lt;&gt;"blank"), "有定金+有預留客戶", IF(AND(AO515="Yes", AP515="blank"), "有定金+无客戶送貨期", IF(AND(OR(AO515="No", ISBLANK(AO515), AO515="NA"), AP515&lt;&gt;"blank"), "无定金+有預留客戶", IF(AND(OR(AO515="No", ISBLANK(AO515), AO515="NA"), AP515="blank"), "无定金+无預留客戶", "")))), "")</f>
        <v>有定金+有預留客戶</v>
      </c>
      <c r="AR515" s="259" t="str">
        <f t="shared" ref="AR515:AR578" si="79">IFERROR(IF(B515="已经到货", "Instock", IF(B515="有交期", "Incoming_Stock_With_YAMAHA_Schedule", IF(B515="TBA.", "Incoming_Stock_No_YAMAHA_Schedule", IF(B515="已发货", "Shipped_Stock", "")))), "")</f>
        <v>Shipped_Stock</v>
      </c>
      <c r="AS515" s="259" t="str">
        <f t="shared" ref="AS515:AS578" si="80">IF(AND(B515="有交期", L515&lt;&gt;""), L515, "")</f>
        <v/>
      </c>
      <c r="AT515" s="259" t="str">
        <f t="shared" ref="AT515:AT578" si="81">IFERROR(IF(R515&lt;&gt;"",R515),"-")</f>
        <v>博德越</v>
      </c>
      <c r="AU515" s="259" t="str">
        <f t="shared" ref="AU515:AU578" si="82">IFERROR(IF(Q515&lt;&gt;"",Q515),"-")</f>
        <v>C49SZX20200078CY</v>
      </c>
      <c r="AV515" s="259" t="str">
        <f t="shared" ref="AV515:AV578" si="83">IF(L515="","-",TEXT(L515,"mmm-dd"))</f>
        <v>Oct-09</v>
      </c>
    </row>
    <row r="516" spans="1:48" ht="13.5" hidden="1" thickBot="1">
      <c r="A516" s="559">
        <v>766</v>
      </c>
      <c r="B516" s="560" t="s">
        <v>280</v>
      </c>
      <c r="C516" s="560" t="s">
        <v>15</v>
      </c>
      <c r="D516" s="687">
        <v>109984</v>
      </c>
      <c r="E516" s="689" t="s">
        <v>886</v>
      </c>
      <c r="F516" s="646" t="s">
        <v>256</v>
      </c>
      <c r="G516" s="647" t="s">
        <v>18</v>
      </c>
      <c r="H516" s="647" t="s">
        <v>26</v>
      </c>
      <c r="I516" s="575" t="s">
        <v>1145</v>
      </c>
      <c r="J516" s="575">
        <v>1</v>
      </c>
      <c r="K516" s="647" t="s">
        <v>746</v>
      </c>
      <c r="L516" s="657">
        <v>44113</v>
      </c>
      <c r="M516" s="665" t="s">
        <v>906</v>
      </c>
      <c r="N516" s="647" t="s">
        <v>1032</v>
      </c>
      <c r="O516" s="679">
        <v>2020.09</v>
      </c>
      <c r="P516" s="566" t="str">
        <f>VLOOKUP(A516,'[1]Raw data'!$B:$BB,23,FALSE)</f>
        <v>JPY</v>
      </c>
      <c r="Q516" s="563" t="str">
        <f>VLOOKUP(A516,'[1]Raw data'!$B:$Z,2,FALSE)</f>
        <v>C49SZX20200078CY</v>
      </c>
      <c r="R516" s="563" t="str">
        <f>VLOOKUP(A516,'[1]Raw data'!$B:$Z,3,FALSE)</f>
        <v>博德越</v>
      </c>
      <c r="S516" s="563" t="str">
        <f>VLOOKUP(A516,'[1]Raw data'!$B:$Z,4,FALSE)</f>
        <v>YSM20R(SV)-2</v>
      </c>
      <c r="T516" s="563" t="str">
        <f>VLOOKUP(A516,'[1]Raw data'!$B:$Z,8,FALSE)</f>
        <v>R-&gt;L</v>
      </c>
      <c r="U516" s="563" t="str">
        <f>VLOOKUP(A516,'[1]Raw data'!$B:$Z,9,FALSE)</f>
        <v>No</v>
      </c>
      <c r="V516" s="567" t="str">
        <f t="shared" si="75"/>
        <v>OK</v>
      </c>
      <c r="W516" s="563" t="str">
        <f>VLOOKUP(A516,'[1]Raw data'!$B:$AG,32,FALSE)</f>
        <v>DAP SZ</v>
      </c>
      <c r="X516" s="563">
        <f>VLOOKUP(A516,'[1]Raw data'!$B:$BA,31,FALSE)</f>
        <v>44053</v>
      </c>
      <c r="Y516" s="563" t="str">
        <f>VLOOKUP(A516,'[1]Raw data'!$B:$AS,39,FALSE)</f>
        <v>Yes</v>
      </c>
      <c r="Z516" s="659"/>
      <c r="AA516" s="660"/>
      <c r="AB516" s="661"/>
      <c r="AC516" s="647" t="s">
        <v>1062</v>
      </c>
      <c r="AD516" s="575">
        <v>301</v>
      </c>
      <c r="AE516" s="575">
        <v>10</v>
      </c>
      <c r="AF516" s="662">
        <v>302</v>
      </c>
      <c r="AG516" s="662">
        <v>10</v>
      </c>
      <c r="AH516" s="662"/>
      <c r="AI516" s="663"/>
      <c r="AN516" s="542"/>
      <c r="AO516" s="824" t="str">
        <f t="shared" si="76"/>
        <v>Yes</v>
      </c>
      <c r="AP516" s="259" t="str">
        <f t="shared" si="77"/>
        <v>OCT 20</v>
      </c>
      <c r="AQ516" s="542" t="str">
        <f t="shared" si="78"/>
        <v>有定金+有預留客戶</v>
      </c>
      <c r="AR516" s="259" t="str">
        <f t="shared" si="79"/>
        <v>Shipped_Stock</v>
      </c>
      <c r="AS516" s="259" t="str">
        <f t="shared" si="80"/>
        <v/>
      </c>
      <c r="AT516" s="259" t="str">
        <f t="shared" si="81"/>
        <v>博德越</v>
      </c>
      <c r="AU516" s="259" t="str">
        <f t="shared" si="82"/>
        <v>C49SZX20200078CY</v>
      </c>
      <c r="AV516" s="259" t="str">
        <f t="shared" si="83"/>
        <v>Oct-09</v>
      </c>
    </row>
    <row r="517" spans="1:48" hidden="1">
      <c r="A517" s="559">
        <v>699</v>
      </c>
      <c r="B517" s="560" t="s">
        <v>280</v>
      </c>
      <c r="C517" s="560" t="s">
        <v>15</v>
      </c>
      <c r="D517" s="680">
        <v>109984</v>
      </c>
      <c r="E517" s="703" t="s">
        <v>886</v>
      </c>
      <c r="F517" s="646" t="s">
        <v>256</v>
      </c>
      <c r="G517" s="647" t="s">
        <v>18</v>
      </c>
      <c r="H517" s="647" t="s">
        <v>26</v>
      </c>
      <c r="I517" s="575" t="s">
        <v>1146</v>
      </c>
      <c r="J517" s="575">
        <v>1</v>
      </c>
      <c r="K517" s="647" t="s">
        <v>311</v>
      </c>
      <c r="L517" s="657">
        <v>44113</v>
      </c>
      <c r="M517" s="665" t="s">
        <v>906</v>
      </c>
      <c r="N517" s="647" t="s">
        <v>1032</v>
      </c>
      <c r="O517" s="679">
        <v>2020.09</v>
      </c>
      <c r="P517" s="566" t="str">
        <f>VLOOKUP(A517,'[1]Raw data'!$B:$BB,23,FALSE)</f>
        <v>JPY</v>
      </c>
      <c r="Q517" s="563" t="str">
        <f>VLOOKUP(A517,'[1]Raw data'!$B:$Z,2,FALSE)</f>
        <v>C49SZX20200088SS</v>
      </c>
      <c r="R517" s="563" t="str">
        <f>VLOOKUP(A517,'[1]Raw data'!$B:$Z,3,FALSE)</f>
        <v>乐凡电子</v>
      </c>
      <c r="S517" s="563" t="str">
        <f>VLOOKUP(A517,'[1]Raw data'!$B:$Z,4,FALSE)</f>
        <v>YSM20R(SV)-2</v>
      </c>
      <c r="T517" s="563" t="str">
        <f>VLOOKUP(A517,'[1]Raw data'!$B:$Z,8,FALSE)</f>
        <v>R-&gt;L</v>
      </c>
      <c r="U517" s="563" t="str">
        <f>VLOOKUP(A517,'[1]Raw data'!$B:$Z,9,FALSE)</f>
        <v>No</v>
      </c>
      <c r="V517" s="567" t="str">
        <f t="shared" si="75"/>
        <v>OK</v>
      </c>
      <c r="W517" s="563" t="str">
        <f>VLOOKUP(A517,'[1]Raw data'!$B:$AG,32,FALSE)</f>
        <v>DAP SZ</v>
      </c>
      <c r="X517" s="563">
        <f>VLOOKUP(A517,'[1]Raw data'!$B:$BA,31,FALSE)</f>
        <v>44020</v>
      </c>
      <c r="Y517" s="563" t="str">
        <f>VLOOKUP(A517,'[1]Raw data'!$B:$AS,39,FALSE)</f>
        <v>Yes</v>
      </c>
      <c r="Z517" s="659"/>
      <c r="AA517" s="660"/>
      <c r="AB517" s="661"/>
      <c r="AC517" s="647" t="s">
        <v>970</v>
      </c>
      <c r="AD517" s="662">
        <v>301</v>
      </c>
      <c r="AE517" s="662">
        <v>10</v>
      </c>
      <c r="AF517" s="662">
        <v>302</v>
      </c>
      <c r="AG517" s="662">
        <v>10</v>
      </c>
      <c r="AH517" s="662"/>
      <c r="AI517" s="663"/>
      <c r="AN517" s="542"/>
      <c r="AO517" s="824" t="str">
        <f t="shared" si="76"/>
        <v>Yes</v>
      </c>
      <c r="AP517" s="259" t="str">
        <f t="shared" si="77"/>
        <v>OCT 20</v>
      </c>
      <c r="AQ517" s="542" t="str">
        <f t="shared" si="78"/>
        <v>有定金+有預留客戶</v>
      </c>
      <c r="AR517" s="259" t="str">
        <f t="shared" si="79"/>
        <v>Shipped_Stock</v>
      </c>
      <c r="AS517" s="259" t="str">
        <f t="shared" si="80"/>
        <v/>
      </c>
      <c r="AT517" s="259" t="str">
        <f t="shared" si="81"/>
        <v>乐凡电子</v>
      </c>
      <c r="AU517" s="259" t="str">
        <f t="shared" si="82"/>
        <v>C49SZX20200088SS</v>
      </c>
      <c r="AV517" s="259" t="str">
        <f t="shared" si="83"/>
        <v>Oct-09</v>
      </c>
    </row>
    <row r="518" spans="1:48" hidden="1">
      <c r="A518" s="559">
        <v>760</v>
      </c>
      <c r="B518" s="560" t="s">
        <v>280</v>
      </c>
      <c r="C518" s="560" t="s">
        <v>15</v>
      </c>
      <c r="D518" s="685">
        <v>109984</v>
      </c>
      <c r="E518" s="704" t="s">
        <v>886</v>
      </c>
      <c r="F518" s="646" t="s">
        <v>256</v>
      </c>
      <c r="G518" s="647" t="s">
        <v>24</v>
      </c>
      <c r="H518" s="647" t="s">
        <v>26</v>
      </c>
      <c r="I518" s="575" t="s">
        <v>1147</v>
      </c>
      <c r="J518" s="575">
        <v>1</v>
      </c>
      <c r="K518" s="647" t="s">
        <v>746</v>
      </c>
      <c r="L518" s="657">
        <v>44113</v>
      </c>
      <c r="M518" s="665" t="s">
        <v>906</v>
      </c>
      <c r="N518" s="647" t="s">
        <v>1032</v>
      </c>
      <c r="O518" s="679">
        <v>2020.09</v>
      </c>
      <c r="P518" s="566" t="str">
        <f>VLOOKUP(A518,'[1]Raw data'!$B:$BB,23,FALSE)</f>
        <v>JPY</v>
      </c>
      <c r="Q518" s="563" t="str">
        <f>VLOOKUP(A518,'[1]Raw data'!$B:$Z,2,FALSE)</f>
        <v>C49SZX20200130JZ</v>
      </c>
      <c r="R518" s="563" t="str">
        <f>VLOOKUP(A518,'[1]Raw data'!$B:$Z,3,FALSE)</f>
        <v>斯迈</v>
      </c>
      <c r="S518" s="563" t="str">
        <f>VLOOKUP(A518,'[1]Raw data'!$B:$Z,4,FALSE)</f>
        <v>YSM20R(SV)-2</v>
      </c>
      <c r="T518" s="563" t="str">
        <f>VLOOKUP(A518,'[1]Raw data'!$B:$Z,8,FALSE)</f>
        <v>L-&gt;R</v>
      </c>
      <c r="U518" s="563" t="str">
        <f>VLOOKUP(A518,'[1]Raw data'!$B:$Z,9,FALSE)</f>
        <v>No</v>
      </c>
      <c r="V518" s="567" t="str">
        <f t="shared" si="75"/>
        <v>OK</v>
      </c>
      <c r="W518" s="563" t="str">
        <f>VLOOKUP(A518,'[1]Raw data'!$B:$AG,32,FALSE)</f>
        <v>DAP GZ</v>
      </c>
      <c r="X518" s="563">
        <f>VLOOKUP(A518,'[1]Raw data'!$B:$BA,31,FALSE)</f>
        <v>44049</v>
      </c>
      <c r="Y518" s="563" t="str">
        <f>VLOOKUP(A518,'[1]Raw data'!$B:$AS,39,FALSE)</f>
        <v>Yes</v>
      </c>
      <c r="Z518" s="659"/>
      <c r="AA518" s="660"/>
      <c r="AB518" s="661"/>
      <c r="AC518" s="647" t="s">
        <v>1105</v>
      </c>
      <c r="AD518" s="662">
        <v>301</v>
      </c>
      <c r="AE518" s="662">
        <v>10</v>
      </c>
      <c r="AF518" s="662">
        <v>312</v>
      </c>
      <c r="AG518" s="662">
        <v>10</v>
      </c>
      <c r="AH518" s="662"/>
      <c r="AI518" s="663"/>
      <c r="AN518" s="542"/>
      <c r="AO518" s="824" t="str">
        <f t="shared" si="76"/>
        <v>Yes</v>
      </c>
      <c r="AP518" s="259" t="str">
        <f t="shared" si="77"/>
        <v>OCT 20</v>
      </c>
      <c r="AQ518" s="542" t="str">
        <f t="shared" si="78"/>
        <v>有定金+有預留客戶</v>
      </c>
      <c r="AR518" s="259" t="str">
        <f t="shared" si="79"/>
        <v>Shipped_Stock</v>
      </c>
      <c r="AS518" s="259" t="str">
        <f t="shared" si="80"/>
        <v/>
      </c>
      <c r="AT518" s="259" t="str">
        <f t="shared" si="81"/>
        <v>斯迈</v>
      </c>
      <c r="AU518" s="259" t="str">
        <f t="shared" si="82"/>
        <v>C49SZX20200130JZ</v>
      </c>
      <c r="AV518" s="259" t="str">
        <f t="shared" si="83"/>
        <v>Oct-09</v>
      </c>
    </row>
    <row r="519" spans="1:48" hidden="1">
      <c r="A519" s="559">
        <v>761</v>
      </c>
      <c r="B519" s="560" t="s">
        <v>280</v>
      </c>
      <c r="C519" s="560" t="s">
        <v>15</v>
      </c>
      <c r="D519" s="685">
        <v>109984</v>
      </c>
      <c r="E519" s="704" t="s">
        <v>886</v>
      </c>
      <c r="F519" s="646" t="s">
        <v>256</v>
      </c>
      <c r="G519" s="647" t="s">
        <v>24</v>
      </c>
      <c r="H519" s="647" t="s">
        <v>26</v>
      </c>
      <c r="I519" s="575" t="s">
        <v>1148</v>
      </c>
      <c r="J519" s="575">
        <v>1</v>
      </c>
      <c r="K519" s="647" t="s">
        <v>746</v>
      </c>
      <c r="L519" s="657">
        <v>44113</v>
      </c>
      <c r="M519" s="665" t="s">
        <v>906</v>
      </c>
      <c r="N519" s="647" t="s">
        <v>1032</v>
      </c>
      <c r="O519" s="679">
        <v>2020.09</v>
      </c>
      <c r="P519" s="566" t="str">
        <f>VLOOKUP(A519,'[1]Raw data'!$B:$BB,23,FALSE)</f>
        <v>JPY</v>
      </c>
      <c r="Q519" s="563" t="str">
        <f>VLOOKUP(A519,'[1]Raw data'!$B:$Z,2,FALSE)</f>
        <v>C49SZX20200130JZ</v>
      </c>
      <c r="R519" s="563" t="str">
        <f>VLOOKUP(A519,'[1]Raw data'!$B:$Z,3,FALSE)</f>
        <v>斯迈</v>
      </c>
      <c r="S519" s="563" t="str">
        <f>VLOOKUP(A519,'[1]Raw data'!$B:$Z,4,FALSE)</f>
        <v>YSM20R(SV)-2</v>
      </c>
      <c r="T519" s="563" t="str">
        <f>VLOOKUP(A519,'[1]Raw data'!$B:$Z,8,FALSE)</f>
        <v>L-&gt;R</v>
      </c>
      <c r="U519" s="563" t="str">
        <f>VLOOKUP(A519,'[1]Raw data'!$B:$Z,9,FALSE)</f>
        <v>No</v>
      </c>
      <c r="V519" s="567" t="str">
        <f t="shared" si="75"/>
        <v>OK</v>
      </c>
      <c r="W519" s="563" t="str">
        <f>VLOOKUP(A519,'[1]Raw data'!$B:$AG,32,FALSE)</f>
        <v>DAP GZ</v>
      </c>
      <c r="X519" s="563">
        <f>VLOOKUP(A519,'[1]Raw data'!$B:$BA,31,FALSE)</f>
        <v>44049</v>
      </c>
      <c r="Y519" s="563" t="str">
        <f>VLOOKUP(A519,'[1]Raw data'!$B:$AS,39,FALSE)</f>
        <v>Yes</v>
      </c>
      <c r="Z519" s="659"/>
      <c r="AA519" s="660"/>
      <c r="AB519" s="661"/>
      <c r="AC519" s="647" t="s">
        <v>1105</v>
      </c>
      <c r="AD519" s="662">
        <v>303</v>
      </c>
      <c r="AE519" s="662">
        <v>20</v>
      </c>
      <c r="AF519" s="662"/>
      <c r="AG519" s="662"/>
      <c r="AH519" s="662"/>
      <c r="AI519" s="663"/>
      <c r="AN519" s="542"/>
      <c r="AO519" s="824" t="str">
        <f t="shared" si="76"/>
        <v>Yes</v>
      </c>
      <c r="AP519" s="259" t="str">
        <f t="shared" si="77"/>
        <v>OCT 20</v>
      </c>
      <c r="AQ519" s="542" t="str">
        <f t="shared" si="78"/>
        <v>有定金+有預留客戶</v>
      </c>
      <c r="AR519" s="259" t="str">
        <f t="shared" si="79"/>
        <v>Shipped_Stock</v>
      </c>
      <c r="AS519" s="259" t="str">
        <f t="shared" si="80"/>
        <v/>
      </c>
      <c r="AT519" s="259" t="str">
        <f t="shared" si="81"/>
        <v>斯迈</v>
      </c>
      <c r="AU519" s="259" t="str">
        <f t="shared" si="82"/>
        <v>C49SZX20200130JZ</v>
      </c>
      <c r="AV519" s="259" t="str">
        <f t="shared" si="83"/>
        <v>Oct-09</v>
      </c>
    </row>
    <row r="520" spans="1:48" ht="13.5" hidden="1" thickBot="1">
      <c r="A520" s="559">
        <v>737</v>
      </c>
      <c r="B520" s="560" t="s">
        <v>280</v>
      </c>
      <c r="C520" s="560" t="s">
        <v>15</v>
      </c>
      <c r="D520" s="687">
        <v>109984</v>
      </c>
      <c r="E520" s="689" t="s">
        <v>886</v>
      </c>
      <c r="F520" s="646" t="s">
        <v>256</v>
      </c>
      <c r="G520" s="647" t="s">
        <v>24</v>
      </c>
      <c r="H520" s="647" t="s">
        <v>26</v>
      </c>
      <c r="I520" s="575" t="s">
        <v>1149</v>
      </c>
      <c r="J520" s="575">
        <v>1</v>
      </c>
      <c r="K520" s="647" t="s">
        <v>746</v>
      </c>
      <c r="L520" s="657">
        <v>44113</v>
      </c>
      <c r="M520" s="665" t="s">
        <v>906</v>
      </c>
      <c r="N520" s="647" t="s">
        <v>1032</v>
      </c>
      <c r="O520" s="679">
        <v>2020.09</v>
      </c>
      <c r="P520" s="566" t="str">
        <f>VLOOKUP(A520,'[1]Raw data'!$B:$BB,23,FALSE)</f>
        <v>JPY</v>
      </c>
      <c r="Q520" s="563" t="str">
        <f>VLOOKUP(A520,'[1]Raw data'!$B:$Z,2,FALSE)</f>
        <v>C49SZX20200109JL</v>
      </c>
      <c r="R520" s="563" t="str">
        <f>VLOOKUP(A520,'[1]Raw data'!$B:$Z,3,FALSE)</f>
        <v>捷舜诚</v>
      </c>
      <c r="S520" s="563" t="str">
        <f>VLOOKUP(A520,'[1]Raw data'!$B:$Z,4,FALSE)</f>
        <v>YSM20R(SV)-2</v>
      </c>
      <c r="T520" s="563" t="str">
        <f>VLOOKUP(A520,'[1]Raw data'!$B:$Z,8,FALSE)</f>
        <v>L-&gt;R</v>
      </c>
      <c r="U520" s="563" t="str">
        <f>VLOOKUP(A520,'[1]Raw data'!$B:$Z,9,FALSE)</f>
        <v>No</v>
      </c>
      <c r="V520" s="567" t="str">
        <f t="shared" si="75"/>
        <v>OK</v>
      </c>
      <c r="W520" s="563" t="str">
        <f>VLOOKUP(A520,'[1]Raw data'!$B:$AG,32,FALSE)</f>
        <v>DAP SZ</v>
      </c>
      <c r="X520" s="563">
        <f>VLOOKUP(A520,'[1]Raw data'!$B:$BA,31,FALSE)</f>
        <v>44033</v>
      </c>
      <c r="Y520" s="563" t="str">
        <f>VLOOKUP(A520,'[1]Raw data'!$B:$AS,39,FALSE)</f>
        <v>Yes</v>
      </c>
      <c r="Z520" s="659"/>
      <c r="AA520" s="660"/>
      <c r="AB520" s="661"/>
      <c r="AC520" s="647" t="s">
        <v>1150</v>
      </c>
      <c r="AD520" s="662">
        <v>303</v>
      </c>
      <c r="AE520" s="662">
        <v>10</v>
      </c>
      <c r="AF520" s="662">
        <v>302</v>
      </c>
      <c r="AG520" s="662">
        <v>10</v>
      </c>
      <c r="AH520" s="662"/>
      <c r="AI520" s="663"/>
      <c r="AN520" s="542"/>
      <c r="AO520" s="824" t="str">
        <f t="shared" si="76"/>
        <v>Yes</v>
      </c>
      <c r="AP520" s="259" t="str">
        <f t="shared" si="77"/>
        <v>OCT 20</v>
      </c>
      <c r="AQ520" s="542" t="str">
        <f t="shared" si="78"/>
        <v>有定金+有預留客戶</v>
      </c>
      <c r="AR520" s="259" t="str">
        <f t="shared" si="79"/>
        <v>Shipped_Stock</v>
      </c>
      <c r="AS520" s="259" t="str">
        <f t="shared" si="80"/>
        <v/>
      </c>
      <c r="AT520" s="259" t="str">
        <f t="shared" si="81"/>
        <v>捷舜诚</v>
      </c>
      <c r="AU520" s="259" t="str">
        <f t="shared" si="82"/>
        <v>C49SZX20200109JL</v>
      </c>
      <c r="AV520" s="259" t="str">
        <f t="shared" si="83"/>
        <v>Oct-09</v>
      </c>
    </row>
    <row r="521" spans="1:48" hidden="1">
      <c r="A521" s="559">
        <v>777</v>
      </c>
      <c r="B521" s="664" t="s">
        <v>280</v>
      </c>
      <c r="C521" s="563" t="s">
        <v>4013</v>
      </c>
      <c r="D521" s="690">
        <v>110038</v>
      </c>
      <c r="E521" s="691" t="s">
        <v>995</v>
      </c>
      <c r="F521" s="647" t="s">
        <v>551</v>
      </c>
      <c r="G521" s="647" t="s">
        <v>18</v>
      </c>
      <c r="H521" s="647" t="s">
        <v>26</v>
      </c>
      <c r="I521" s="575" t="s">
        <v>1151</v>
      </c>
      <c r="J521" s="575">
        <v>1</v>
      </c>
      <c r="K521" s="647" t="s">
        <v>746</v>
      </c>
      <c r="L521" s="705">
        <v>44123</v>
      </c>
      <c r="M521" s="665">
        <v>6.5000000000000002E-2</v>
      </c>
      <c r="N521" s="647" t="s">
        <v>1032</v>
      </c>
      <c r="O521" s="647">
        <v>2020.09</v>
      </c>
      <c r="P521" s="566" t="str">
        <f>VLOOKUP(A521,'[1]Raw data'!$B:$BB,23,FALSE)</f>
        <v>RMB</v>
      </c>
      <c r="Q521" s="563" t="str">
        <f>VLOOKUP(A521,'[1]Raw data'!$B:$Z,2,FALSE)</f>
        <v>C28SZX20200055KC</v>
      </c>
      <c r="R521" s="563" t="str">
        <f>VLOOKUP(A521,'[1]Raw data'!$B:$Z,3,FALSE)</f>
        <v>海星</v>
      </c>
      <c r="S521" s="563" t="str">
        <f>VLOOKUP(A521,'[1]Raw data'!$B:$Z,4,FALSE)</f>
        <v>YCP10</v>
      </c>
      <c r="T521" s="563" t="str">
        <f>VLOOKUP(A521,'[1]Raw data'!$B:$Z,8,FALSE)</f>
        <v>R-&gt;L</v>
      </c>
      <c r="U521" s="563" t="str">
        <f>VLOOKUP(A521,'[1]Raw data'!$B:$Z,9,FALSE)</f>
        <v>No</v>
      </c>
      <c r="V521" s="567" t="str">
        <f t="shared" si="75"/>
        <v>OK</v>
      </c>
      <c r="W521" s="563" t="str">
        <f>VLOOKUP(A521,'[1]Raw data'!$B:$AG,32,FALSE)</f>
        <v>含税到厂</v>
      </c>
      <c r="X521" s="563">
        <f>VLOOKUP(A521,'[1]Raw data'!$B:$BA,31,FALSE)</f>
        <v>44056</v>
      </c>
      <c r="Y521" s="563" t="str">
        <f>VLOOKUP(A521,'[1]Raw data'!$B:$AS,39,FALSE)</f>
        <v>Yes</v>
      </c>
      <c r="Z521" s="666"/>
      <c r="AA521" s="667"/>
      <c r="AB521" s="668"/>
      <c r="AC521" s="563" t="s">
        <v>678</v>
      </c>
      <c r="AD521" s="662"/>
      <c r="AE521" s="662"/>
      <c r="AF521" s="662"/>
      <c r="AG521" s="662"/>
      <c r="AH521" s="662"/>
      <c r="AI521" s="663"/>
      <c r="AN521" s="542"/>
      <c r="AO521" s="824" t="str">
        <f t="shared" si="76"/>
        <v>Yes</v>
      </c>
      <c r="AP521" s="259" t="str">
        <f t="shared" si="77"/>
        <v>OCT 20</v>
      </c>
      <c r="AQ521" s="542" t="str">
        <f t="shared" si="78"/>
        <v>有定金+有預留客戶</v>
      </c>
      <c r="AR521" s="259" t="str">
        <f t="shared" si="79"/>
        <v>Shipped_Stock</v>
      </c>
      <c r="AS521" s="259" t="str">
        <f t="shared" si="80"/>
        <v/>
      </c>
      <c r="AT521" s="259" t="str">
        <f t="shared" si="81"/>
        <v>海星</v>
      </c>
      <c r="AU521" s="259" t="str">
        <f t="shared" si="82"/>
        <v>C28SZX20200055KC</v>
      </c>
      <c r="AV521" s="259" t="str">
        <f t="shared" si="83"/>
        <v>Oct-19</v>
      </c>
    </row>
    <row r="522" spans="1:48" hidden="1">
      <c r="A522" s="559">
        <v>795</v>
      </c>
      <c r="B522" s="560" t="s">
        <v>280</v>
      </c>
      <c r="C522" s="560" t="s">
        <v>15</v>
      </c>
      <c r="D522" s="680" t="s">
        <v>1152</v>
      </c>
      <c r="E522" s="706" t="s">
        <v>508</v>
      </c>
      <c r="F522" s="646" t="s">
        <v>241</v>
      </c>
      <c r="G522" s="647" t="s">
        <v>24</v>
      </c>
      <c r="H522" s="647" t="s">
        <v>19</v>
      </c>
      <c r="I522" s="575" t="s">
        <v>1153</v>
      </c>
      <c r="J522" s="575">
        <v>1</v>
      </c>
      <c r="K522" s="647" t="s">
        <v>295</v>
      </c>
      <c r="L522" s="675">
        <v>44126</v>
      </c>
      <c r="M522" s="665">
        <v>6.4199999999999993E-2</v>
      </c>
      <c r="N522" s="647" t="s">
        <v>1127</v>
      </c>
      <c r="O522" s="575" t="s">
        <v>1154</v>
      </c>
      <c r="P522" s="566" t="str">
        <f>VLOOKUP(A522,'[1]Raw data'!$B:$BB,23,FALSE)</f>
        <v>RMB</v>
      </c>
      <c r="Q522" s="563" t="str">
        <f>VLOOKUP(A522,'[1]Raw data'!$B:$Z,2,FALSE)</f>
        <v>C49SZX20200140RSX</v>
      </c>
      <c r="R522" s="563" t="str">
        <f>VLOOKUP(A522,'[1]Raw data'!$B:$Z,3,FALSE)</f>
        <v>嘉普达</v>
      </c>
      <c r="S522" s="563" t="str">
        <f>VLOOKUP(A522,'[1]Raw data'!$B:$Z,4,FALSE)</f>
        <v>YSM10</v>
      </c>
      <c r="T522" s="563" t="str">
        <f>VLOOKUP(A522,'[1]Raw data'!$B:$Z,8,FALSE)</f>
        <v>R-&gt;L</v>
      </c>
      <c r="U522" s="563" t="str">
        <f>VLOOKUP(A522,'[1]Raw data'!$B:$Z,9,FALSE)</f>
        <v>MVC+ATS15</v>
      </c>
      <c r="V522" s="567" t="str">
        <f t="shared" si="75"/>
        <v>WRONG</v>
      </c>
      <c r="W522" s="563" t="str">
        <f>VLOOKUP(A522,'[1]Raw data'!$B:$AG,32,FALSE)</f>
        <v>含税到厂</v>
      </c>
      <c r="X522" s="563">
        <f>VLOOKUP(A522,'[1]Raw data'!$B:$BA,31,FALSE)</f>
        <v>44075</v>
      </c>
      <c r="Y522" s="563" t="str">
        <f>VLOOKUP(A522,'[1]Raw data'!$B:$AS,39,FALSE)</f>
        <v>Yes</v>
      </c>
      <c r="Z522" s="659"/>
      <c r="AA522" s="660"/>
      <c r="AB522" s="661"/>
      <c r="AC522" s="647" t="s">
        <v>1155</v>
      </c>
      <c r="AD522" s="662">
        <v>311</v>
      </c>
      <c r="AE522" s="662">
        <v>10</v>
      </c>
      <c r="AF522" s="662"/>
      <c r="AG522" s="662"/>
      <c r="AH522" s="662"/>
      <c r="AI522" s="663"/>
      <c r="AN522" s="542"/>
      <c r="AO522" s="824" t="str">
        <f t="shared" si="76"/>
        <v>Yes</v>
      </c>
      <c r="AP522" s="259" t="str">
        <f t="shared" si="77"/>
        <v>JAN 21</v>
      </c>
      <c r="AQ522" s="542" t="str">
        <f t="shared" si="78"/>
        <v>有定金+有預留客戶</v>
      </c>
      <c r="AR522" s="259" t="str">
        <f t="shared" si="79"/>
        <v>Shipped_Stock</v>
      </c>
      <c r="AS522" s="259" t="str">
        <f t="shared" si="80"/>
        <v/>
      </c>
      <c r="AT522" s="259" t="str">
        <f t="shared" si="81"/>
        <v>嘉普达</v>
      </c>
      <c r="AU522" s="259" t="str">
        <f t="shared" si="82"/>
        <v>C49SZX20200140RSX</v>
      </c>
      <c r="AV522" s="259" t="str">
        <f t="shared" si="83"/>
        <v>Oct-22</v>
      </c>
    </row>
    <row r="523" spans="1:48" ht="22.5" hidden="1">
      <c r="A523" s="559">
        <v>832</v>
      </c>
      <c r="B523" s="560" t="s">
        <v>280</v>
      </c>
      <c r="C523" s="560" t="s">
        <v>15</v>
      </c>
      <c r="D523" s="685">
        <v>109995</v>
      </c>
      <c r="E523" s="707" t="s">
        <v>508</v>
      </c>
      <c r="F523" s="646" t="s">
        <v>241</v>
      </c>
      <c r="G523" s="647" t="s">
        <v>24</v>
      </c>
      <c r="H523" s="647" t="s">
        <v>19</v>
      </c>
      <c r="I523" s="575" t="s">
        <v>1156</v>
      </c>
      <c r="J523" s="575">
        <v>1</v>
      </c>
      <c r="K523" s="647" t="s">
        <v>295</v>
      </c>
      <c r="L523" s="675">
        <v>44126</v>
      </c>
      <c r="M523" s="678" t="s">
        <v>1157</v>
      </c>
      <c r="N523" s="647" t="s">
        <v>1142</v>
      </c>
      <c r="O523" s="575" t="s">
        <v>1154</v>
      </c>
      <c r="P523" s="566" t="str">
        <f>VLOOKUP(A523,'[1]Raw data'!$B:$BB,23,FALSE)</f>
        <v>RMB</v>
      </c>
      <c r="Q523" s="563" t="str">
        <f>VLOOKUP(A523,'[1]Raw data'!$B:$Z,2,FALSE)</f>
        <v>C49SZX20200155JD</v>
      </c>
      <c r="R523" s="563" t="str">
        <f>VLOOKUP(A523,'[1]Raw data'!$B:$Z,3,FALSE)</f>
        <v>志华鑫</v>
      </c>
      <c r="S523" s="563" t="str">
        <f>VLOOKUP(A523,'[1]Raw data'!$B:$Z,4,FALSE)</f>
        <v>YSM10</v>
      </c>
      <c r="T523" s="563" t="str">
        <f>VLOOKUP(A523,'[1]Raw data'!$B:$Z,8,FALSE)</f>
        <v>L-&gt;R</v>
      </c>
      <c r="U523" s="563" t="str">
        <f>VLOOKUP(A523,'[1]Raw data'!$B:$Z,9,FALSE)</f>
        <v>cATS10+MVC</v>
      </c>
      <c r="V523" s="567" t="str">
        <f t="shared" si="75"/>
        <v>WRONG</v>
      </c>
      <c r="W523" s="563" t="str">
        <f>VLOOKUP(A523,'[1]Raw data'!$B:$AG,32,FALSE)</f>
        <v>含税到厂</v>
      </c>
      <c r="X523" s="563">
        <f>VLOOKUP(A523,'[1]Raw data'!$B:$BA,31,FALSE)</f>
        <v>44090</v>
      </c>
      <c r="Y523" s="563" t="str">
        <f>VLOOKUP(A523,'[1]Raw data'!$B:$AS,39,FALSE)</f>
        <v>Yes</v>
      </c>
      <c r="Z523" s="659"/>
      <c r="AA523" s="660"/>
      <c r="AB523" s="661"/>
      <c r="AC523" s="647" t="s">
        <v>1158</v>
      </c>
      <c r="AD523" s="662">
        <v>312</v>
      </c>
      <c r="AE523" s="662">
        <v>10</v>
      </c>
      <c r="AF523" s="662"/>
      <c r="AG523" s="662"/>
      <c r="AH523" s="662"/>
      <c r="AI523" s="663"/>
      <c r="AN523" s="542"/>
      <c r="AO523" s="824" t="str">
        <f t="shared" si="76"/>
        <v>Yes</v>
      </c>
      <c r="AP523" s="259" t="str">
        <f t="shared" si="77"/>
        <v>NOV 20</v>
      </c>
      <c r="AQ523" s="542" t="str">
        <f t="shared" si="78"/>
        <v>有定金+有預留客戶</v>
      </c>
      <c r="AR523" s="259" t="str">
        <f t="shared" si="79"/>
        <v>Shipped_Stock</v>
      </c>
      <c r="AS523" s="259" t="str">
        <f t="shared" si="80"/>
        <v/>
      </c>
      <c r="AT523" s="259" t="str">
        <f t="shared" si="81"/>
        <v>志华鑫</v>
      </c>
      <c r="AU523" s="259" t="str">
        <f t="shared" si="82"/>
        <v>C49SZX20200155JD</v>
      </c>
      <c r="AV523" s="259" t="str">
        <f t="shared" si="83"/>
        <v>Oct-22</v>
      </c>
    </row>
    <row r="524" spans="1:48" ht="13.5" hidden="1" thickBot="1">
      <c r="A524" s="559">
        <v>770</v>
      </c>
      <c r="B524" s="664" t="s">
        <v>927</v>
      </c>
      <c r="C524" s="560" t="s">
        <v>15</v>
      </c>
      <c r="D524" s="687">
        <v>109995</v>
      </c>
      <c r="E524" s="708" t="s">
        <v>508</v>
      </c>
      <c r="F524" s="646" t="s">
        <v>241</v>
      </c>
      <c r="G524" s="647" t="s">
        <v>24</v>
      </c>
      <c r="H524" s="647" t="s">
        <v>26</v>
      </c>
      <c r="I524" s="575" t="s">
        <v>1159</v>
      </c>
      <c r="J524" s="575">
        <v>1</v>
      </c>
      <c r="K524" s="647" t="s">
        <v>746</v>
      </c>
      <c r="L524" s="705">
        <v>44126</v>
      </c>
      <c r="M524" s="665" t="s">
        <v>906</v>
      </c>
      <c r="N524" s="647" t="s">
        <v>1032</v>
      </c>
      <c r="O524" s="647" t="s">
        <v>1154</v>
      </c>
      <c r="P524" s="566" t="str">
        <f>VLOOKUP(A524,'[1]Raw data'!$B:$BB,23,FALSE)</f>
        <v>JPY</v>
      </c>
      <c r="Q524" s="563" t="str">
        <f>VLOOKUP(A524,'[1]Raw data'!$B:$Z,2,FALSE)</f>
        <v>C49SZX20200078CY</v>
      </c>
      <c r="R524" s="563" t="str">
        <f>VLOOKUP(A524,'[1]Raw data'!$B:$Z,3,FALSE)</f>
        <v>博德越</v>
      </c>
      <c r="S524" s="563" t="str">
        <f>VLOOKUP(A524,'[1]Raw data'!$B:$Z,4,FALSE)</f>
        <v>YSM10</v>
      </c>
      <c r="T524" s="563" t="str">
        <f>VLOOKUP(A524,'[1]Raw data'!$B:$Z,8,FALSE)</f>
        <v>R-&gt;L</v>
      </c>
      <c r="U524" s="563" t="str">
        <f>VLOOKUP(A524,'[1]Raw data'!$B:$Z,9,FALSE)</f>
        <v>MVC</v>
      </c>
      <c r="V524" s="567" t="str">
        <f t="shared" si="75"/>
        <v>WRONG</v>
      </c>
      <c r="W524" s="563" t="str">
        <f>VLOOKUP(A524,'[1]Raw data'!$B:$AG,32,FALSE)</f>
        <v>DAP SZ</v>
      </c>
      <c r="X524" s="563">
        <f>VLOOKUP(A524,'[1]Raw data'!$B:$BA,31,FALSE)</f>
        <v>44053</v>
      </c>
      <c r="Y524" s="563" t="str">
        <f>VLOOKUP(A524,'[1]Raw data'!$B:$AS,39,FALSE)</f>
        <v>Yes</v>
      </c>
      <c r="Z524" s="666"/>
      <c r="AA524" s="667"/>
      <c r="AB524" s="668"/>
      <c r="AC524" s="647" t="s">
        <v>1062</v>
      </c>
      <c r="AD524" s="662">
        <v>301</v>
      </c>
      <c r="AE524" s="662">
        <v>10</v>
      </c>
      <c r="AF524" s="662"/>
      <c r="AG524" s="662"/>
      <c r="AH524" s="662"/>
      <c r="AI524" s="663"/>
      <c r="AN524" s="542"/>
      <c r="AO524" s="824" t="str">
        <f t="shared" si="76"/>
        <v>Yes</v>
      </c>
      <c r="AP524" s="259" t="str">
        <f t="shared" si="77"/>
        <v>OCT 20</v>
      </c>
      <c r="AQ524" s="542" t="str">
        <f t="shared" si="78"/>
        <v>有定金+有預留客戶</v>
      </c>
      <c r="AR524" s="259" t="str">
        <f t="shared" si="79"/>
        <v>Shipped_Stock</v>
      </c>
      <c r="AS524" s="259" t="str">
        <f t="shared" si="80"/>
        <v/>
      </c>
      <c r="AT524" s="259" t="str">
        <f t="shared" si="81"/>
        <v>博德越</v>
      </c>
      <c r="AU524" s="259" t="str">
        <f t="shared" si="82"/>
        <v>C49SZX20200078CY</v>
      </c>
      <c r="AV524" s="259" t="str">
        <f t="shared" si="83"/>
        <v>Oct-22</v>
      </c>
    </row>
    <row r="525" spans="1:48" ht="22.5" hidden="1">
      <c r="A525" s="559">
        <v>809</v>
      </c>
      <c r="B525" s="560" t="s">
        <v>280</v>
      </c>
      <c r="C525" s="560" t="s">
        <v>15</v>
      </c>
      <c r="D525" s="680">
        <v>110047</v>
      </c>
      <c r="E525" s="703" t="s">
        <v>1160</v>
      </c>
      <c r="F525" s="646" t="s">
        <v>58</v>
      </c>
      <c r="G525" s="647" t="s">
        <v>18</v>
      </c>
      <c r="H525" s="647" t="s">
        <v>307</v>
      </c>
      <c r="I525" s="575" t="s">
        <v>1161</v>
      </c>
      <c r="J525" s="575">
        <v>1</v>
      </c>
      <c r="K525" s="647" t="s">
        <v>295</v>
      </c>
      <c r="L525" s="675">
        <v>44126</v>
      </c>
      <c r="M525" s="678" t="s">
        <v>1162</v>
      </c>
      <c r="N525" s="647" t="s">
        <v>1124</v>
      </c>
      <c r="O525" s="575">
        <v>2020.09</v>
      </c>
      <c r="P525" s="566" t="str">
        <f>VLOOKUP(A525,'[1]Raw data'!$B:$BB,23,FALSE)</f>
        <v>JPY</v>
      </c>
      <c r="Q525" s="563" t="str">
        <f>VLOOKUP(A525,'[1]Raw data'!$B:$Z,2,FALSE)</f>
        <v>C49SZX20200153SS</v>
      </c>
      <c r="R525" s="563" t="str">
        <f>VLOOKUP(A525,'[1]Raw data'!$B:$Z,3,FALSE)</f>
        <v>正创</v>
      </c>
      <c r="S525" s="563" t="str">
        <f>VLOOKUP(A525,'[1]Raw data'!$B:$Z,4,FALSE)</f>
        <v>YSM20R-2</v>
      </c>
      <c r="T525" s="563" t="str">
        <f>VLOOKUP(A525,'[1]Raw data'!$B:$Z,8,FALSE)</f>
        <v>R-&gt;L</v>
      </c>
      <c r="U525" s="563" t="str">
        <f>VLOOKUP(A525,'[1]Raw data'!$B:$Z,9,FALSE)</f>
        <v>No</v>
      </c>
      <c r="V525" s="567" t="str">
        <f t="shared" si="75"/>
        <v>OK</v>
      </c>
      <c r="W525" s="563" t="str">
        <f>VLOOKUP(A525,'[1]Raw data'!$B:$AG,32,FALSE)</f>
        <v>DAP SZ</v>
      </c>
      <c r="X525" s="563">
        <f>VLOOKUP(A525,'[1]Raw data'!$B:$BA,31,FALSE)</f>
        <v>44081</v>
      </c>
      <c r="Y525" s="563" t="str">
        <f>VLOOKUP(A525,'[1]Raw data'!$B:$AS,39,FALSE)</f>
        <v>Yes</v>
      </c>
      <c r="Z525" s="659"/>
      <c r="AA525" s="660"/>
      <c r="AB525" s="661"/>
      <c r="AC525" s="563" t="s">
        <v>734</v>
      </c>
      <c r="AD525" s="662">
        <v>301</v>
      </c>
      <c r="AE525" s="662">
        <v>20</v>
      </c>
      <c r="AF525" s="662"/>
      <c r="AG525" s="662"/>
      <c r="AH525" s="662"/>
      <c r="AI525" s="663"/>
      <c r="AN525" s="542"/>
      <c r="AO525" s="824" t="str">
        <f t="shared" si="76"/>
        <v>Yes</v>
      </c>
      <c r="AP525" s="259" t="str">
        <f t="shared" si="77"/>
        <v>DEC 20</v>
      </c>
      <c r="AQ525" s="542" t="str">
        <f t="shared" si="78"/>
        <v>有定金+有預留客戶</v>
      </c>
      <c r="AR525" s="259" t="str">
        <f t="shared" si="79"/>
        <v>Shipped_Stock</v>
      </c>
      <c r="AS525" s="259" t="str">
        <f t="shared" si="80"/>
        <v/>
      </c>
      <c r="AT525" s="259" t="str">
        <f t="shared" si="81"/>
        <v>正创</v>
      </c>
      <c r="AU525" s="259" t="str">
        <f t="shared" si="82"/>
        <v>C49SZX20200153SS</v>
      </c>
      <c r="AV525" s="259" t="str">
        <f t="shared" si="83"/>
        <v>Oct-22</v>
      </c>
    </row>
    <row r="526" spans="1:48" hidden="1">
      <c r="A526" s="559">
        <v>802</v>
      </c>
      <c r="B526" s="664" t="s">
        <v>927</v>
      </c>
      <c r="C526" s="560" t="s">
        <v>15</v>
      </c>
      <c r="D526" s="685">
        <v>110047</v>
      </c>
      <c r="E526" s="704" t="s">
        <v>1160</v>
      </c>
      <c r="F526" s="646" t="s">
        <v>1163</v>
      </c>
      <c r="G526" s="647" t="s">
        <v>18</v>
      </c>
      <c r="H526" s="647" t="s">
        <v>307</v>
      </c>
      <c r="I526" s="575" t="s">
        <v>1164</v>
      </c>
      <c r="J526" s="575">
        <v>1</v>
      </c>
      <c r="K526" s="647" t="s">
        <v>311</v>
      </c>
      <c r="L526" s="705">
        <v>44126</v>
      </c>
      <c r="M526" s="665">
        <v>6.5000000000000002E-2</v>
      </c>
      <c r="N526" s="647" t="s">
        <v>1032</v>
      </c>
      <c r="O526" s="647">
        <v>2020.09</v>
      </c>
      <c r="P526" s="566" t="str">
        <f>VLOOKUP(A526,'[1]Raw data'!$B:$BB,23,FALSE)</f>
        <v>JPY</v>
      </c>
      <c r="Q526" s="563" t="str">
        <f>VLOOKUP(A526,'[1]Raw data'!$B:$Z,2,FALSE)</f>
        <v>C49SZX20200135DZ</v>
      </c>
      <c r="R526" s="563" t="str">
        <f>VLOOKUP(A526,'[1]Raw data'!$B:$Z,3,FALSE)</f>
        <v>方案集</v>
      </c>
      <c r="S526" s="563" t="str">
        <f>VLOOKUP(A526,'[1]Raw data'!$B:$Z,4,FALSE)</f>
        <v>YSM20R-2</v>
      </c>
      <c r="T526" s="563" t="str">
        <f>VLOOKUP(A526,'[1]Raw data'!$B:$Z,8,FALSE)</f>
        <v>R-&gt;L</v>
      </c>
      <c r="U526" s="563" t="str">
        <f>VLOOKUP(A526,'[1]Raw data'!$B:$Z,9,FALSE)</f>
        <v>No</v>
      </c>
      <c r="V526" s="567" t="str">
        <f t="shared" si="75"/>
        <v>OK</v>
      </c>
      <c r="W526" s="563" t="str">
        <f>VLOOKUP(A526,'[1]Raw data'!$B:$AG,32,FALSE)</f>
        <v>CIF HK</v>
      </c>
      <c r="X526" s="563">
        <f>VLOOKUP(A526,'[1]Raw data'!$B:$BA,31,FALSE)</f>
        <v>44075</v>
      </c>
      <c r="Y526" s="563" t="str">
        <f>VLOOKUP(A526,'[1]Raw data'!$B:$AS,39,FALSE)</f>
        <v>Yes</v>
      </c>
      <c r="Z526" s="666"/>
      <c r="AA526" s="667"/>
      <c r="AB526" s="668"/>
      <c r="AC526" s="647" t="s">
        <v>1165</v>
      </c>
      <c r="AD526" s="662">
        <v>301</v>
      </c>
      <c r="AE526" s="662">
        <v>20</v>
      </c>
      <c r="AF526" s="662"/>
      <c r="AG526" s="662"/>
      <c r="AH526" s="662"/>
      <c r="AI526" s="663"/>
      <c r="AN526" s="542"/>
      <c r="AO526" s="824" t="str">
        <f t="shared" si="76"/>
        <v>Yes</v>
      </c>
      <c r="AP526" s="259" t="str">
        <f t="shared" si="77"/>
        <v>OCT 20</v>
      </c>
      <c r="AQ526" s="542" t="str">
        <f t="shared" si="78"/>
        <v>有定金+有預留客戶</v>
      </c>
      <c r="AR526" s="259" t="str">
        <f t="shared" si="79"/>
        <v>Shipped_Stock</v>
      </c>
      <c r="AS526" s="259" t="str">
        <f t="shared" si="80"/>
        <v/>
      </c>
      <c r="AT526" s="259" t="str">
        <f t="shared" si="81"/>
        <v>方案集</v>
      </c>
      <c r="AU526" s="259" t="str">
        <f t="shared" si="82"/>
        <v>C49SZX20200135DZ</v>
      </c>
      <c r="AV526" s="259" t="str">
        <f t="shared" si="83"/>
        <v>Oct-22</v>
      </c>
    </row>
    <row r="527" spans="1:48" hidden="1">
      <c r="A527" s="559">
        <v>852</v>
      </c>
      <c r="B527" s="664" t="s">
        <v>927</v>
      </c>
      <c r="C527" s="560" t="s">
        <v>15</v>
      </c>
      <c r="D527" s="685">
        <v>110047</v>
      </c>
      <c r="E527" s="704" t="s">
        <v>1160</v>
      </c>
      <c r="F527" s="646" t="s">
        <v>58</v>
      </c>
      <c r="G527" s="647" t="s">
        <v>24</v>
      </c>
      <c r="H527" s="647" t="s">
        <v>307</v>
      </c>
      <c r="I527" s="575" t="s">
        <v>1166</v>
      </c>
      <c r="J527" s="575">
        <v>1</v>
      </c>
      <c r="K527" s="647" t="s">
        <v>746</v>
      </c>
      <c r="L527" s="705">
        <v>44126</v>
      </c>
      <c r="M527" s="665">
        <v>6.5000000000000002E-2</v>
      </c>
      <c r="N527" s="647" t="s">
        <v>1032</v>
      </c>
      <c r="O527" s="647">
        <v>2020.09</v>
      </c>
      <c r="P527" s="566" t="str">
        <f>VLOOKUP(A527,'[1]Raw data'!$B:$BB,23,FALSE)</f>
        <v>RMB</v>
      </c>
      <c r="Q527" s="563" t="str">
        <f>VLOOKUP(A527,'[1]Raw data'!$B:$Z,2,FALSE)</f>
        <v>C49SZX20200177DY</v>
      </c>
      <c r="R527" s="563" t="str">
        <f>VLOOKUP(A527,'[1]Raw data'!$B:$Z,3,FALSE)</f>
        <v>擎宇精工</v>
      </c>
      <c r="S527" s="563" t="str">
        <f>VLOOKUP(A527,'[1]Raw data'!$B:$Z,4,FALSE)</f>
        <v>YSM20R-2</v>
      </c>
      <c r="T527" s="563" t="str">
        <f>VLOOKUP(A527,'[1]Raw data'!$B:$Z,8,FALSE)</f>
        <v>L-&gt;R</v>
      </c>
      <c r="U527" s="563" t="str">
        <f>VLOOKUP(A527,'[1]Raw data'!$B:$Z,9,FALSE)</f>
        <v>No</v>
      </c>
      <c r="V527" s="567" t="str">
        <f t="shared" si="75"/>
        <v>OK</v>
      </c>
      <c r="W527" s="563" t="str">
        <f>VLOOKUP(A527,'[1]Raw data'!$B:$AG,32,FALSE)</f>
        <v>含税到厂</v>
      </c>
      <c r="X527" s="563">
        <f>VLOOKUP(A527,'[1]Raw data'!$B:$BA,31,FALSE)</f>
        <v>44098</v>
      </c>
      <c r="Y527" s="563" t="str">
        <f>VLOOKUP(A527,'[1]Raw data'!$B:$AS,39,FALSE)</f>
        <v>Yes</v>
      </c>
      <c r="Z527" s="666"/>
      <c r="AA527" s="667"/>
      <c r="AB527" s="668"/>
      <c r="AC527" s="647" t="s">
        <v>1167</v>
      </c>
      <c r="AD527" s="662">
        <v>301</v>
      </c>
      <c r="AE527" s="662">
        <v>20</v>
      </c>
      <c r="AF527" s="662"/>
      <c r="AG527" s="662"/>
      <c r="AH527" s="662"/>
      <c r="AI527" s="663"/>
      <c r="AN527" s="542"/>
      <c r="AO527" s="824" t="str">
        <f t="shared" si="76"/>
        <v>Yes</v>
      </c>
      <c r="AP527" s="259" t="str">
        <f t="shared" si="77"/>
        <v>OCT 20</v>
      </c>
      <c r="AQ527" s="542" t="str">
        <f t="shared" si="78"/>
        <v>有定金+有預留客戶</v>
      </c>
      <c r="AR527" s="259" t="str">
        <f t="shared" si="79"/>
        <v>Shipped_Stock</v>
      </c>
      <c r="AS527" s="259" t="str">
        <f t="shared" si="80"/>
        <v/>
      </c>
      <c r="AT527" s="259" t="str">
        <f t="shared" si="81"/>
        <v>擎宇精工</v>
      </c>
      <c r="AU527" s="259" t="str">
        <f t="shared" si="82"/>
        <v>C49SZX20200177DY</v>
      </c>
      <c r="AV527" s="259" t="str">
        <f t="shared" si="83"/>
        <v>Oct-22</v>
      </c>
    </row>
    <row r="528" spans="1:48" hidden="1">
      <c r="A528" s="559">
        <v>807</v>
      </c>
      <c r="B528" s="664" t="s">
        <v>927</v>
      </c>
      <c r="C528" s="560" t="s">
        <v>15</v>
      </c>
      <c r="D528" s="685">
        <v>110047</v>
      </c>
      <c r="E528" s="704" t="s">
        <v>1160</v>
      </c>
      <c r="F528" s="646" t="s">
        <v>58</v>
      </c>
      <c r="G528" s="647" t="s">
        <v>24</v>
      </c>
      <c r="H528" s="647" t="s">
        <v>307</v>
      </c>
      <c r="I528" s="575" t="s">
        <v>1168</v>
      </c>
      <c r="J528" s="575">
        <v>1</v>
      </c>
      <c r="K528" s="647" t="s">
        <v>746</v>
      </c>
      <c r="L528" s="705">
        <v>44126</v>
      </c>
      <c r="M528" s="665">
        <v>6.5000000000000002E-2</v>
      </c>
      <c r="N528" s="647" t="s">
        <v>1032</v>
      </c>
      <c r="O528" s="647" t="s">
        <v>1154</v>
      </c>
      <c r="P528" s="566" t="str">
        <f>VLOOKUP(A528,'[1]Raw data'!$B:$BB,23,FALSE)</f>
        <v>JPY</v>
      </c>
      <c r="Q528" s="563" t="str">
        <f>VLOOKUP(A528,'[1]Raw data'!$B:$Z,2,FALSE)</f>
        <v>C49SZX20200153SS</v>
      </c>
      <c r="R528" s="563" t="str">
        <f>VLOOKUP(A528,'[1]Raw data'!$B:$Z,3,FALSE)</f>
        <v>正创</v>
      </c>
      <c r="S528" s="563" t="str">
        <f>VLOOKUP(A528,'[1]Raw data'!$B:$Z,4,FALSE)</f>
        <v>YSM20R-2</v>
      </c>
      <c r="T528" s="563" t="str">
        <f>VLOOKUP(A528,'[1]Raw data'!$B:$Z,8,FALSE)</f>
        <v>L-&gt;R</v>
      </c>
      <c r="U528" s="563" t="str">
        <f>VLOOKUP(A528,'[1]Raw data'!$B:$Z,9,FALSE)</f>
        <v>MVC</v>
      </c>
      <c r="V528" s="567" t="str">
        <f t="shared" si="75"/>
        <v>WRONG</v>
      </c>
      <c r="W528" s="563" t="str">
        <f>VLOOKUP(A528,'[1]Raw data'!$B:$AG,32,FALSE)</f>
        <v>DAP SZ</v>
      </c>
      <c r="X528" s="563">
        <f>VLOOKUP(A528,'[1]Raw data'!$B:$BA,31,FALSE)</f>
        <v>44081</v>
      </c>
      <c r="Y528" s="563" t="str">
        <f>VLOOKUP(A528,'[1]Raw data'!$B:$AS,39,FALSE)</f>
        <v>Yes</v>
      </c>
      <c r="Z528" s="666"/>
      <c r="AA528" s="667"/>
      <c r="AB528" s="668"/>
      <c r="AC528" s="647" t="s">
        <v>734</v>
      </c>
      <c r="AD528" s="662">
        <v>302</v>
      </c>
      <c r="AE528" s="662">
        <v>20</v>
      </c>
      <c r="AF528" s="662"/>
      <c r="AG528" s="662"/>
      <c r="AH528" s="662"/>
      <c r="AI528" s="663"/>
      <c r="AN528" s="542"/>
      <c r="AO528" s="824" t="str">
        <f t="shared" si="76"/>
        <v>Yes</v>
      </c>
      <c r="AP528" s="259" t="str">
        <f t="shared" si="77"/>
        <v>OCT 20</v>
      </c>
      <c r="AQ528" s="542" t="str">
        <f t="shared" si="78"/>
        <v>有定金+有預留客戶</v>
      </c>
      <c r="AR528" s="259" t="str">
        <f t="shared" si="79"/>
        <v>Shipped_Stock</v>
      </c>
      <c r="AS528" s="259" t="str">
        <f t="shared" si="80"/>
        <v/>
      </c>
      <c r="AT528" s="259" t="str">
        <f t="shared" si="81"/>
        <v>正创</v>
      </c>
      <c r="AU528" s="259" t="str">
        <f t="shared" si="82"/>
        <v>C49SZX20200153SS</v>
      </c>
      <c r="AV528" s="259" t="str">
        <f t="shared" si="83"/>
        <v>Oct-22</v>
      </c>
    </row>
    <row r="529" spans="1:48" ht="13.5" hidden="1" thickBot="1">
      <c r="A529" s="559">
        <v>808</v>
      </c>
      <c r="B529" s="664" t="s">
        <v>927</v>
      </c>
      <c r="C529" s="560" t="s">
        <v>15</v>
      </c>
      <c r="D529" s="687">
        <v>110047</v>
      </c>
      <c r="E529" s="689" t="s">
        <v>1160</v>
      </c>
      <c r="F529" s="646" t="s">
        <v>58</v>
      </c>
      <c r="G529" s="647" t="s">
        <v>24</v>
      </c>
      <c r="H529" s="647" t="s">
        <v>307</v>
      </c>
      <c r="I529" s="575" t="s">
        <v>1169</v>
      </c>
      <c r="J529" s="575">
        <v>1</v>
      </c>
      <c r="K529" s="647" t="s">
        <v>746</v>
      </c>
      <c r="L529" s="705">
        <v>44126</v>
      </c>
      <c r="M529" s="665">
        <v>6.5000000000000002E-2</v>
      </c>
      <c r="N529" s="647" t="s">
        <v>1032</v>
      </c>
      <c r="O529" s="647" t="s">
        <v>1154</v>
      </c>
      <c r="P529" s="566" t="str">
        <f>VLOOKUP(A529,'[1]Raw data'!$B:$BB,23,FALSE)</f>
        <v>JPY</v>
      </c>
      <c r="Q529" s="563" t="str">
        <f>VLOOKUP(A529,'[1]Raw data'!$B:$Z,2,FALSE)</f>
        <v>C49SZX20200153SS</v>
      </c>
      <c r="R529" s="563" t="str">
        <f>VLOOKUP(A529,'[1]Raw data'!$B:$Z,3,FALSE)</f>
        <v>正创</v>
      </c>
      <c r="S529" s="563" t="str">
        <f>VLOOKUP(A529,'[1]Raw data'!$B:$Z,4,FALSE)</f>
        <v>YSM20R-2</v>
      </c>
      <c r="T529" s="563" t="str">
        <f>VLOOKUP(A529,'[1]Raw data'!$B:$Z,8,FALSE)</f>
        <v>L-&gt;R</v>
      </c>
      <c r="U529" s="563" t="str">
        <f>VLOOKUP(A529,'[1]Raw data'!$B:$Z,9,FALSE)</f>
        <v>No</v>
      </c>
      <c r="V529" s="567" t="str">
        <f t="shared" si="75"/>
        <v>OK</v>
      </c>
      <c r="W529" s="563" t="str">
        <f>VLOOKUP(A529,'[1]Raw data'!$B:$AG,32,FALSE)</f>
        <v>DAP SZ</v>
      </c>
      <c r="X529" s="563">
        <f>VLOOKUP(A529,'[1]Raw data'!$B:$BA,31,FALSE)</f>
        <v>44081</v>
      </c>
      <c r="Y529" s="563" t="str">
        <f>VLOOKUP(A529,'[1]Raw data'!$B:$AS,39,FALSE)</f>
        <v>Yes</v>
      </c>
      <c r="Z529" s="666"/>
      <c r="AA529" s="667"/>
      <c r="AB529" s="668"/>
      <c r="AC529" s="647" t="s">
        <v>734</v>
      </c>
      <c r="AD529" s="662">
        <v>302</v>
      </c>
      <c r="AE529" s="662">
        <v>20</v>
      </c>
      <c r="AF529" s="662"/>
      <c r="AG529" s="662"/>
      <c r="AH529" s="662"/>
      <c r="AI529" s="663"/>
      <c r="AN529" s="542"/>
      <c r="AO529" s="824" t="str">
        <f t="shared" si="76"/>
        <v>Yes</v>
      </c>
      <c r="AP529" s="259" t="str">
        <f t="shared" si="77"/>
        <v>OCT 20</v>
      </c>
      <c r="AQ529" s="542" t="str">
        <f t="shared" si="78"/>
        <v>有定金+有預留客戶</v>
      </c>
      <c r="AR529" s="259" t="str">
        <f t="shared" si="79"/>
        <v>Shipped_Stock</v>
      </c>
      <c r="AS529" s="259" t="str">
        <f t="shared" si="80"/>
        <v/>
      </c>
      <c r="AT529" s="259" t="str">
        <f t="shared" si="81"/>
        <v>正创</v>
      </c>
      <c r="AU529" s="259" t="str">
        <f t="shared" si="82"/>
        <v>C49SZX20200153SS</v>
      </c>
      <c r="AV529" s="259" t="str">
        <f t="shared" si="83"/>
        <v>Oct-22</v>
      </c>
    </row>
    <row r="530" spans="1:48" hidden="1">
      <c r="A530" s="559">
        <v>805</v>
      </c>
      <c r="B530" s="664" t="s">
        <v>280</v>
      </c>
      <c r="C530" s="560" t="s">
        <v>15</v>
      </c>
      <c r="D530" s="680">
        <v>110048</v>
      </c>
      <c r="E530" s="703" t="s">
        <v>1160</v>
      </c>
      <c r="F530" s="646" t="s">
        <v>58</v>
      </c>
      <c r="G530" s="647" t="s">
        <v>24</v>
      </c>
      <c r="H530" s="647" t="s">
        <v>307</v>
      </c>
      <c r="I530" s="575" t="s">
        <v>1170</v>
      </c>
      <c r="J530" s="575">
        <v>1</v>
      </c>
      <c r="K530" s="647" t="s">
        <v>311</v>
      </c>
      <c r="L530" s="657">
        <v>44126</v>
      </c>
      <c r="M530" s="665">
        <v>6.4100000000000004E-2</v>
      </c>
      <c r="N530" s="647" t="s">
        <v>1032</v>
      </c>
      <c r="O530" s="647" t="s">
        <v>1154</v>
      </c>
      <c r="P530" s="566" t="str">
        <f>VLOOKUP(A530,'[1]Raw data'!$B:$BB,23,FALSE)</f>
        <v>RMB</v>
      </c>
      <c r="Q530" s="563" t="str">
        <f>VLOOKUP(A530,'[1]Raw data'!$B:$Z,2,FALSE)</f>
        <v>C49SZX20200148JYR1</v>
      </c>
      <c r="R530" s="563" t="str">
        <f>VLOOKUP(A530,'[1]Raw data'!$B:$Z,3,FALSE)</f>
        <v>芯联鑫</v>
      </c>
      <c r="S530" s="563" t="str">
        <f>VLOOKUP(A530,'[1]Raw data'!$B:$Z,4,FALSE)</f>
        <v>YSM20R-2</v>
      </c>
      <c r="T530" s="563" t="str">
        <f>VLOOKUP(A530,'[1]Raw data'!$B:$Z,8,FALSE)</f>
        <v>L-&gt;R</v>
      </c>
      <c r="U530" s="563" t="str">
        <f>VLOOKUP(A530,'[1]Raw data'!$B:$Z,9,FALSE)</f>
        <v>No</v>
      </c>
      <c r="V530" s="567" t="str">
        <f t="shared" si="75"/>
        <v>OK</v>
      </c>
      <c r="W530" s="563" t="str">
        <f>VLOOKUP(A530,'[1]Raw data'!$B:$AG,32,FALSE)</f>
        <v>含税到厂</v>
      </c>
      <c r="X530" s="563">
        <f>VLOOKUP(A530,'[1]Raw data'!$B:$BA,31,FALSE)</f>
        <v>44076</v>
      </c>
      <c r="Y530" s="563" t="str">
        <f>VLOOKUP(A530,'[1]Raw data'!$B:$AS,39,FALSE)</f>
        <v>Yes</v>
      </c>
      <c r="Z530" s="659"/>
      <c r="AA530" s="660"/>
      <c r="AB530" s="661"/>
      <c r="AC530" s="647" t="s">
        <v>1088</v>
      </c>
      <c r="AD530" s="662">
        <v>303</v>
      </c>
      <c r="AE530" s="662">
        <v>20</v>
      </c>
      <c r="AF530" s="662"/>
      <c r="AG530" s="662"/>
      <c r="AH530" s="662"/>
      <c r="AI530" s="663"/>
      <c r="AN530" s="542"/>
      <c r="AO530" s="824" t="str">
        <f t="shared" si="76"/>
        <v>Yes</v>
      </c>
      <c r="AP530" s="259" t="str">
        <f t="shared" si="77"/>
        <v>OCT 20</v>
      </c>
      <c r="AQ530" s="542" t="str">
        <f t="shared" si="78"/>
        <v>有定金+有預留客戶</v>
      </c>
      <c r="AR530" s="259" t="str">
        <f t="shared" si="79"/>
        <v>Shipped_Stock</v>
      </c>
      <c r="AS530" s="259" t="str">
        <f t="shared" si="80"/>
        <v/>
      </c>
      <c r="AT530" s="259" t="str">
        <f t="shared" si="81"/>
        <v>芯联鑫</v>
      </c>
      <c r="AU530" s="259" t="str">
        <f t="shared" si="82"/>
        <v>C49SZX20200148JYR1</v>
      </c>
      <c r="AV530" s="259" t="str">
        <f t="shared" si="83"/>
        <v>Oct-22</v>
      </c>
    </row>
    <row r="531" spans="1:48" hidden="1">
      <c r="A531" s="559">
        <v>837</v>
      </c>
      <c r="B531" s="560" t="s">
        <v>280</v>
      </c>
      <c r="C531" s="560" t="s">
        <v>15</v>
      </c>
      <c r="D531" s="685">
        <v>110048</v>
      </c>
      <c r="E531" s="704" t="s">
        <v>1160</v>
      </c>
      <c r="F531" s="646" t="s">
        <v>58</v>
      </c>
      <c r="G531" s="647" t="s">
        <v>24</v>
      </c>
      <c r="H531" s="647" t="s">
        <v>307</v>
      </c>
      <c r="I531" s="575" t="s">
        <v>1171</v>
      </c>
      <c r="J531" s="575">
        <v>1</v>
      </c>
      <c r="K531" s="647" t="s">
        <v>437</v>
      </c>
      <c r="L531" s="675">
        <v>44126</v>
      </c>
      <c r="M531" s="665">
        <v>6.4100000000000004E-2</v>
      </c>
      <c r="N531" s="647" t="s">
        <v>1142</v>
      </c>
      <c r="O531" s="575" t="s">
        <v>1154</v>
      </c>
      <c r="P531" s="566" t="str">
        <f>VLOOKUP(A531,'[1]Raw data'!$B:$BB,23,FALSE)</f>
        <v>JPY</v>
      </c>
      <c r="Q531" s="563" t="str">
        <f>VLOOKUP(A531,'[1]Raw data'!$B:$Z,2,FALSE)</f>
        <v>C49SZX20200165SX</v>
      </c>
      <c r="R531" s="563" t="str">
        <f>VLOOKUP(A531,'[1]Raw data'!$B:$Z,3,FALSE)</f>
        <v>益田科技</v>
      </c>
      <c r="S531" s="563" t="str">
        <f>VLOOKUP(A531,'[1]Raw data'!$B:$Z,4,FALSE)</f>
        <v>YSM20R(SV)-2</v>
      </c>
      <c r="T531" s="563" t="str">
        <f>VLOOKUP(A531,'[1]Raw data'!$B:$Z,8,FALSE)</f>
        <v>L-&gt;R</v>
      </c>
      <c r="U531" s="563" t="str">
        <f>VLOOKUP(A531,'[1]Raw data'!$B:$Z,9,FALSE)</f>
        <v>No</v>
      </c>
      <c r="V531" s="567" t="str">
        <f t="shared" si="75"/>
        <v>OK</v>
      </c>
      <c r="W531" s="563" t="str">
        <f>VLOOKUP(A531,'[1]Raw data'!$B:$AG,32,FALSE)</f>
        <v>DAP SZ</v>
      </c>
      <c r="X531" s="563">
        <f>VLOOKUP(A531,'[1]Raw data'!$B:$BA,31,FALSE)</f>
        <v>44093</v>
      </c>
      <c r="Y531" s="563" t="str">
        <f>VLOOKUP(A531,'[1]Raw data'!$B:$AS,39,FALSE)</f>
        <v>Yes</v>
      </c>
      <c r="Z531" s="659"/>
      <c r="AA531" s="660"/>
      <c r="AB531" s="661"/>
      <c r="AC531" s="647" t="s">
        <v>1172</v>
      </c>
      <c r="AD531" s="662">
        <v>301</v>
      </c>
      <c r="AE531" s="662">
        <v>10</v>
      </c>
      <c r="AF531" s="662">
        <v>302</v>
      </c>
      <c r="AG531" s="662">
        <v>10</v>
      </c>
      <c r="AH531" s="662"/>
      <c r="AI531" s="663"/>
      <c r="AN531" s="542"/>
      <c r="AO531" s="824" t="str">
        <f t="shared" si="76"/>
        <v>Yes</v>
      </c>
      <c r="AP531" s="259" t="str">
        <f t="shared" si="77"/>
        <v>NOV 20</v>
      </c>
      <c r="AQ531" s="542" t="str">
        <f t="shared" si="78"/>
        <v>有定金+有預留客戶</v>
      </c>
      <c r="AR531" s="259" t="str">
        <f t="shared" si="79"/>
        <v>Shipped_Stock</v>
      </c>
      <c r="AS531" s="259" t="str">
        <f t="shared" si="80"/>
        <v/>
      </c>
      <c r="AT531" s="259" t="str">
        <f t="shared" si="81"/>
        <v>益田科技</v>
      </c>
      <c r="AU531" s="259" t="str">
        <f t="shared" si="82"/>
        <v>C49SZX20200165SX</v>
      </c>
      <c r="AV531" s="259" t="str">
        <f t="shared" si="83"/>
        <v>Oct-22</v>
      </c>
    </row>
    <row r="532" spans="1:48" hidden="1">
      <c r="A532" s="559">
        <v>838</v>
      </c>
      <c r="B532" s="560" t="s">
        <v>280</v>
      </c>
      <c r="C532" s="560" t="s">
        <v>15</v>
      </c>
      <c r="D532" s="685">
        <v>110048</v>
      </c>
      <c r="E532" s="704" t="s">
        <v>1160</v>
      </c>
      <c r="F532" s="646" t="s">
        <v>58</v>
      </c>
      <c r="G532" s="647" t="s">
        <v>24</v>
      </c>
      <c r="H532" s="647" t="s">
        <v>307</v>
      </c>
      <c r="I532" s="575" t="s">
        <v>1173</v>
      </c>
      <c r="J532" s="575">
        <v>1</v>
      </c>
      <c r="K532" s="647" t="s">
        <v>437</v>
      </c>
      <c r="L532" s="675">
        <v>44126</v>
      </c>
      <c r="M532" s="665">
        <v>6.4100000000000004E-2</v>
      </c>
      <c r="N532" s="647" t="s">
        <v>1142</v>
      </c>
      <c r="O532" s="575" t="s">
        <v>1154</v>
      </c>
      <c r="P532" s="566" t="str">
        <f>VLOOKUP(A532,'[1]Raw data'!$B:$BB,23,FALSE)</f>
        <v>JPY</v>
      </c>
      <c r="Q532" s="563" t="str">
        <f>VLOOKUP(A532,'[1]Raw data'!$B:$Z,2,FALSE)</f>
        <v>C49SZX20200165SX</v>
      </c>
      <c r="R532" s="563" t="str">
        <f>VLOOKUP(A532,'[1]Raw data'!$B:$Z,3,FALSE)</f>
        <v>益田科技</v>
      </c>
      <c r="S532" s="563" t="str">
        <f>VLOOKUP(A532,'[1]Raw data'!$B:$Z,4,FALSE)</f>
        <v>YSM20R(SV)-2</v>
      </c>
      <c r="T532" s="563" t="str">
        <f>VLOOKUP(A532,'[1]Raw data'!$B:$Z,8,FALSE)</f>
        <v>L-&gt;R</v>
      </c>
      <c r="U532" s="563" t="str">
        <f>VLOOKUP(A532,'[1]Raw data'!$B:$Z,9,FALSE)</f>
        <v>No</v>
      </c>
      <c r="V532" s="567" t="str">
        <f t="shared" si="75"/>
        <v>OK</v>
      </c>
      <c r="W532" s="563" t="str">
        <f>VLOOKUP(A532,'[1]Raw data'!$B:$AG,32,FALSE)</f>
        <v>DAP SZ</v>
      </c>
      <c r="X532" s="563">
        <f>VLOOKUP(A532,'[1]Raw data'!$B:$BA,31,FALSE)</f>
        <v>44093</v>
      </c>
      <c r="Y532" s="563" t="str">
        <f>VLOOKUP(A532,'[1]Raw data'!$B:$AS,39,FALSE)</f>
        <v>Yes</v>
      </c>
      <c r="Z532" s="659"/>
      <c r="AA532" s="660"/>
      <c r="AB532" s="661"/>
      <c r="AC532" s="647" t="s">
        <v>1172</v>
      </c>
      <c r="AD532" s="662">
        <v>301</v>
      </c>
      <c r="AE532" s="662">
        <v>10</v>
      </c>
      <c r="AF532" s="662">
        <v>302</v>
      </c>
      <c r="AG532" s="662">
        <v>10</v>
      </c>
      <c r="AH532" s="662"/>
      <c r="AI532" s="663"/>
      <c r="AN532" s="542"/>
      <c r="AO532" s="824" t="str">
        <f t="shared" si="76"/>
        <v>Yes</v>
      </c>
      <c r="AP532" s="259" t="str">
        <f t="shared" si="77"/>
        <v>NOV 20</v>
      </c>
      <c r="AQ532" s="542" t="str">
        <f t="shared" si="78"/>
        <v>有定金+有預留客戶</v>
      </c>
      <c r="AR532" s="259" t="str">
        <f t="shared" si="79"/>
        <v>Shipped_Stock</v>
      </c>
      <c r="AS532" s="259" t="str">
        <f t="shared" si="80"/>
        <v/>
      </c>
      <c r="AT532" s="259" t="str">
        <f t="shared" si="81"/>
        <v>益田科技</v>
      </c>
      <c r="AU532" s="259" t="str">
        <f t="shared" si="82"/>
        <v>C49SZX20200165SX</v>
      </c>
      <c r="AV532" s="259" t="str">
        <f t="shared" si="83"/>
        <v>Oct-22</v>
      </c>
    </row>
    <row r="533" spans="1:48" hidden="1">
      <c r="A533" s="559">
        <v>839</v>
      </c>
      <c r="B533" s="560" t="s">
        <v>280</v>
      </c>
      <c r="C533" s="560" t="s">
        <v>15</v>
      </c>
      <c r="D533" s="685">
        <v>110048</v>
      </c>
      <c r="E533" s="704" t="s">
        <v>1160</v>
      </c>
      <c r="F533" s="646" t="s">
        <v>58</v>
      </c>
      <c r="G533" s="647" t="s">
        <v>24</v>
      </c>
      <c r="H533" s="647" t="s">
        <v>307</v>
      </c>
      <c r="I533" s="575" t="s">
        <v>1174</v>
      </c>
      <c r="J533" s="575">
        <v>1</v>
      </c>
      <c r="K533" s="647" t="s">
        <v>437</v>
      </c>
      <c r="L533" s="675">
        <v>44126</v>
      </c>
      <c r="M533" s="665">
        <v>6.4100000000000004E-2</v>
      </c>
      <c r="N533" s="647" t="s">
        <v>1142</v>
      </c>
      <c r="O533" s="575" t="s">
        <v>1154</v>
      </c>
      <c r="P533" s="566" t="str">
        <f>VLOOKUP(A533,'[1]Raw data'!$B:$BB,23,FALSE)</f>
        <v>JPY</v>
      </c>
      <c r="Q533" s="563" t="str">
        <f>VLOOKUP(A533,'[1]Raw data'!$B:$Z,2,FALSE)</f>
        <v>C49SZX20200165SX</v>
      </c>
      <c r="R533" s="563" t="str">
        <f>VLOOKUP(A533,'[1]Raw data'!$B:$Z,3,FALSE)</f>
        <v>益田科技</v>
      </c>
      <c r="S533" s="563" t="str">
        <f>VLOOKUP(A533,'[1]Raw data'!$B:$Z,4,FALSE)</f>
        <v>YSM20R(SV)-2</v>
      </c>
      <c r="T533" s="563" t="str">
        <f>VLOOKUP(A533,'[1]Raw data'!$B:$Z,8,FALSE)</f>
        <v>L-&gt;R</v>
      </c>
      <c r="U533" s="563" t="str">
        <f>VLOOKUP(A533,'[1]Raw data'!$B:$Z,9,FALSE)</f>
        <v>No</v>
      </c>
      <c r="V533" s="567" t="str">
        <f t="shared" si="75"/>
        <v>OK</v>
      </c>
      <c r="W533" s="563" t="str">
        <f>VLOOKUP(A533,'[1]Raw data'!$B:$AG,32,FALSE)</f>
        <v>DAP SZ</v>
      </c>
      <c r="X533" s="563">
        <f>VLOOKUP(A533,'[1]Raw data'!$B:$BA,31,FALSE)</f>
        <v>44093</v>
      </c>
      <c r="Y533" s="563" t="str">
        <f>VLOOKUP(A533,'[1]Raw data'!$B:$AS,39,FALSE)</f>
        <v>Yes</v>
      </c>
      <c r="Z533" s="659"/>
      <c r="AA533" s="660"/>
      <c r="AB533" s="661"/>
      <c r="AC533" s="647" t="s">
        <v>1172</v>
      </c>
      <c r="AD533" s="662">
        <v>301</v>
      </c>
      <c r="AE533" s="662">
        <v>10</v>
      </c>
      <c r="AF533" s="662">
        <v>302</v>
      </c>
      <c r="AG533" s="662">
        <v>10</v>
      </c>
      <c r="AH533" s="662"/>
      <c r="AI533" s="663"/>
      <c r="AN533" s="542"/>
      <c r="AO533" s="824" t="str">
        <f t="shared" si="76"/>
        <v>Yes</v>
      </c>
      <c r="AP533" s="259" t="str">
        <f t="shared" si="77"/>
        <v>NOV 20</v>
      </c>
      <c r="AQ533" s="542" t="str">
        <f t="shared" si="78"/>
        <v>有定金+有預留客戶</v>
      </c>
      <c r="AR533" s="259" t="str">
        <f t="shared" si="79"/>
        <v>Shipped_Stock</v>
      </c>
      <c r="AS533" s="259" t="str">
        <f t="shared" si="80"/>
        <v/>
      </c>
      <c r="AT533" s="259" t="str">
        <f t="shared" si="81"/>
        <v>益田科技</v>
      </c>
      <c r="AU533" s="259" t="str">
        <f t="shared" si="82"/>
        <v>C49SZX20200165SX</v>
      </c>
      <c r="AV533" s="259" t="str">
        <f t="shared" si="83"/>
        <v>Oct-22</v>
      </c>
    </row>
    <row r="534" spans="1:48" ht="13.5" hidden="1" thickBot="1">
      <c r="A534" s="559">
        <v>840</v>
      </c>
      <c r="B534" s="560" t="s">
        <v>280</v>
      </c>
      <c r="C534" s="560" t="s">
        <v>15</v>
      </c>
      <c r="D534" s="687">
        <v>110048</v>
      </c>
      <c r="E534" s="689" t="s">
        <v>1160</v>
      </c>
      <c r="F534" s="646" t="s">
        <v>58</v>
      </c>
      <c r="G534" s="647" t="s">
        <v>24</v>
      </c>
      <c r="H534" s="647" t="s">
        <v>307</v>
      </c>
      <c r="I534" s="575" t="s">
        <v>1175</v>
      </c>
      <c r="J534" s="575">
        <v>1</v>
      </c>
      <c r="K534" s="647" t="s">
        <v>437</v>
      </c>
      <c r="L534" s="675">
        <v>44126</v>
      </c>
      <c r="M534" s="665">
        <v>6.4100000000000004E-2</v>
      </c>
      <c r="N534" s="647" t="s">
        <v>1142</v>
      </c>
      <c r="O534" s="575" t="s">
        <v>1154</v>
      </c>
      <c r="P534" s="566" t="str">
        <f>VLOOKUP(A534,'[1]Raw data'!$B:$BB,23,FALSE)</f>
        <v>JPY</v>
      </c>
      <c r="Q534" s="563" t="str">
        <f>VLOOKUP(A534,'[1]Raw data'!$B:$Z,2,FALSE)</f>
        <v>C49SZX20200165SX</v>
      </c>
      <c r="R534" s="563" t="str">
        <f>VLOOKUP(A534,'[1]Raw data'!$B:$Z,3,FALSE)</f>
        <v>益田科技</v>
      </c>
      <c r="S534" s="563" t="str">
        <f>VLOOKUP(A534,'[1]Raw data'!$B:$Z,4,FALSE)</f>
        <v>YSM20R(SV)-2</v>
      </c>
      <c r="T534" s="563" t="str">
        <f>VLOOKUP(A534,'[1]Raw data'!$B:$Z,8,FALSE)</f>
        <v>L-&gt;R</v>
      </c>
      <c r="U534" s="563" t="str">
        <f>VLOOKUP(A534,'[1]Raw data'!$B:$Z,9,FALSE)</f>
        <v>No</v>
      </c>
      <c r="V534" s="567" t="str">
        <f t="shared" ref="V534:V597" si="84">IF(G534&amp;H534=T534&amp;U534,"OK","WRONG")</f>
        <v>OK</v>
      </c>
      <c r="W534" s="563" t="str">
        <f>VLOOKUP(A534,'[1]Raw data'!$B:$AG,32,FALSE)</f>
        <v>DAP SZ</v>
      </c>
      <c r="X534" s="563">
        <f>VLOOKUP(A534,'[1]Raw data'!$B:$BA,31,FALSE)</f>
        <v>44093</v>
      </c>
      <c r="Y534" s="563" t="str">
        <f>VLOOKUP(A534,'[1]Raw data'!$B:$AS,39,FALSE)</f>
        <v>Yes</v>
      </c>
      <c r="Z534" s="659"/>
      <c r="AA534" s="660"/>
      <c r="AB534" s="661"/>
      <c r="AC534" s="647" t="s">
        <v>1172</v>
      </c>
      <c r="AD534" s="662">
        <v>301</v>
      </c>
      <c r="AE534" s="662">
        <v>10</v>
      </c>
      <c r="AF534" s="662">
        <v>302</v>
      </c>
      <c r="AG534" s="662">
        <v>10</v>
      </c>
      <c r="AH534" s="662"/>
      <c r="AI534" s="663"/>
      <c r="AN534" s="542"/>
      <c r="AO534" s="824" t="str">
        <f t="shared" si="76"/>
        <v>Yes</v>
      </c>
      <c r="AP534" s="259" t="str">
        <f t="shared" si="77"/>
        <v>NOV 20</v>
      </c>
      <c r="AQ534" s="542" t="str">
        <f t="shared" si="78"/>
        <v>有定金+有預留客戶</v>
      </c>
      <c r="AR534" s="259" t="str">
        <f t="shared" si="79"/>
        <v>Shipped_Stock</v>
      </c>
      <c r="AS534" s="259" t="str">
        <f t="shared" si="80"/>
        <v/>
      </c>
      <c r="AT534" s="259" t="str">
        <f t="shared" si="81"/>
        <v>益田科技</v>
      </c>
      <c r="AU534" s="259" t="str">
        <f t="shared" si="82"/>
        <v>C49SZX20200165SX</v>
      </c>
      <c r="AV534" s="259" t="str">
        <f t="shared" si="83"/>
        <v>Oct-22</v>
      </c>
    </row>
    <row r="535" spans="1:48" hidden="1">
      <c r="A535" s="559">
        <v>750</v>
      </c>
      <c r="B535" s="664" t="s">
        <v>280</v>
      </c>
      <c r="C535" s="563" t="s">
        <v>15</v>
      </c>
      <c r="D535" s="690">
        <v>109996</v>
      </c>
      <c r="E535" s="691" t="s">
        <v>508</v>
      </c>
      <c r="F535" s="647" t="s">
        <v>256</v>
      </c>
      <c r="G535" s="647" t="s">
        <v>24</v>
      </c>
      <c r="H535" s="647" t="s">
        <v>26</v>
      </c>
      <c r="I535" s="575" t="s">
        <v>1176</v>
      </c>
      <c r="J535" s="575">
        <v>1</v>
      </c>
      <c r="K535" s="647" t="s">
        <v>746</v>
      </c>
      <c r="L535" s="657">
        <v>44128</v>
      </c>
      <c r="M535" s="665">
        <v>6.4799999999999996E-2</v>
      </c>
      <c r="N535" s="647" t="s">
        <v>1032</v>
      </c>
      <c r="O535" s="575" t="s">
        <v>1154</v>
      </c>
      <c r="P535" s="566" t="str">
        <f>VLOOKUP(A535,'[1]Raw data'!$B:$BB,23,FALSE)</f>
        <v>JPY</v>
      </c>
      <c r="Q535" s="563" t="str">
        <f>VLOOKUP(A535,'[1]Raw data'!$B:$Z,2,FALSE)</f>
        <v>C49SZX20200118SS</v>
      </c>
      <c r="R535" s="563" t="str">
        <f>VLOOKUP(A535,'[1]Raw data'!$B:$Z,3,FALSE)</f>
        <v>正创</v>
      </c>
      <c r="S535" s="563" t="str">
        <f>VLOOKUP(A535,'[1]Raw data'!$B:$Z,4,FALSE)</f>
        <v>YSM20R(SV)-2</v>
      </c>
      <c r="T535" s="563" t="str">
        <f>VLOOKUP(A535,'[1]Raw data'!$B:$Z,8,FALSE)</f>
        <v>L-&gt;R</v>
      </c>
      <c r="U535" s="563" t="str">
        <f>VLOOKUP(A535,'[1]Raw data'!$B:$Z,9,FALSE)</f>
        <v>No</v>
      </c>
      <c r="V535" s="567" t="str">
        <f t="shared" si="84"/>
        <v>OK</v>
      </c>
      <c r="W535" s="563" t="str">
        <f>VLOOKUP(A535,'[1]Raw data'!$B:$AG,32,FALSE)</f>
        <v>DAP SZ</v>
      </c>
      <c r="X535" s="563">
        <f>VLOOKUP(A535,'[1]Raw data'!$B:$BA,31,FALSE)</f>
        <v>44040</v>
      </c>
      <c r="Y535" s="563" t="str">
        <f>VLOOKUP(A535,'[1]Raw data'!$B:$AS,39,FALSE)</f>
        <v>Yes</v>
      </c>
      <c r="Z535" s="659"/>
      <c r="AA535" s="660"/>
      <c r="AB535" s="661"/>
      <c r="AC535" s="647" t="s">
        <v>734</v>
      </c>
      <c r="AD535" s="662">
        <v>301</v>
      </c>
      <c r="AE535" s="662">
        <v>20</v>
      </c>
      <c r="AF535" s="662"/>
      <c r="AG535" s="662"/>
      <c r="AH535" s="662"/>
      <c r="AI535" s="663"/>
      <c r="AN535" s="542"/>
      <c r="AO535" s="824" t="str">
        <f t="shared" si="76"/>
        <v>Yes</v>
      </c>
      <c r="AP535" s="259" t="str">
        <f t="shared" si="77"/>
        <v>OCT 20</v>
      </c>
      <c r="AQ535" s="542" t="str">
        <f t="shared" si="78"/>
        <v>有定金+有預留客戶</v>
      </c>
      <c r="AR535" s="259" t="str">
        <f t="shared" si="79"/>
        <v>Shipped_Stock</v>
      </c>
      <c r="AS535" s="259" t="str">
        <f t="shared" si="80"/>
        <v/>
      </c>
      <c r="AT535" s="259" t="str">
        <f t="shared" si="81"/>
        <v>正创</v>
      </c>
      <c r="AU535" s="259" t="str">
        <f t="shared" si="82"/>
        <v>C49SZX20200118SS</v>
      </c>
      <c r="AV535" s="259" t="str">
        <f t="shared" si="83"/>
        <v>Oct-24</v>
      </c>
    </row>
    <row r="536" spans="1:48" hidden="1">
      <c r="A536" s="559">
        <v>553</v>
      </c>
      <c r="B536" s="664" t="s">
        <v>280</v>
      </c>
      <c r="C536" s="563" t="s">
        <v>15</v>
      </c>
      <c r="D536" s="645">
        <v>109996</v>
      </c>
      <c r="E536" s="646" t="s">
        <v>508</v>
      </c>
      <c r="F536" s="647" t="s">
        <v>243</v>
      </c>
      <c r="G536" s="647" t="s">
        <v>24</v>
      </c>
      <c r="H536" s="647" t="s">
        <v>26</v>
      </c>
      <c r="I536" s="575" t="s">
        <v>1177</v>
      </c>
      <c r="J536" s="575">
        <v>1</v>
      </c>
      <c r="K536" s="647" t="s">
        <v>746</v>
      </c>
      <c r="L536" s="657">
        <v>44128</v>
      </c>
      <c r="M536" s="665">
        <v>6.4799999999999996E-2</v>
      </c>
      <c r="N536" s="647" t="s">
        <v>1032</v>
      </c>
      <c r="O536" s="575" t="s">
        <v>1154</v>
      </c>
      <c r="P536" s="566" t="str">
        <f>VLOOKUP(A536,'[1]Raw data'!$B:$BB,23,FALSE)</f>
        <v>JPY</v>
      </c>
      <c r="Q536" s="563" t="str">
        <f>VLOOKUP(A536,'[1]Raw data'!$B:$Z,2,FALSE)</f>
        <v>C49SZX20190187JY</v>
      </c>
      <c r="R536" s="563" t="str">
        <f>VLOOKUP(A536,'[1]Raw data'!$B:$Z,3,FALSE)</f>
        <v>宏润通</v>
      </c>
      <c r="S536" s="563" t="str">
        <f>VLOOKUP(A536,'[1]Raw data'!$B:$Z,4,FALSE)</f>
        <v>YSM20R(SV)-2</v>
      </c>
      <c r="T536" s="563" t="str">
        <f>VLOOKUP(A536,'[1]Raw data'!$B:$Z,8,FALSE)</f>
        <v>L-&gt;R</v>
      </c>
      <c r="U536" s="563" t="str">
        <f>VLOOKUP(A536,'[1]Raw data'!$B:$Z,9,FALSE)</f>
        <v>MVC</v>
      </c>
      <c r="V536" s="709" t="str">
        <f t="shared" si="84"/>
        <v>WRONG</v>
      </c>
      <c r="W536" s="563" t="str">
        <f>VLOOKUP(A536,'[1]Raw data'!$B:$AG,32,FALSE)</f>
        <v>DAP SZ</v>
      </c>
      <c r="X536" s="563">
        <f>VLOOKUP(A536,'[1]Raw data'!$B:$BA,31,FALSE)</f>
        <v>43819</v>
      </c>
      <c r="Y536" s="563" t="str">
        <f>VLOOKUP(A536,'[1]Raw data'!$B:$AS,39,FALSE)</f>
        <v>Yes</v>
      </c>
      <c r="Z536" s="659"/>
      <c r="AA536" s="660"/>
      <c r="AB536" s="661"/>
      <c r="AC536" s="710" t="s">
        <v>1178</v>
      </c>
      <c r="AD536" s="662">
        <v>301</v>
      </c>
      <c r="AE536" s="662">
        <v>10</v>
      </c>
      <c r="AF536" s="662">
        <v>302</v>
      </c>
      <c r="AG536" s="662">
        <v>10</v>
      </c>
      <c r="AH536" s="662"/>
      <c r="AI536" s="663"/>
      <c r="AN536" s="542"/>
      <c r="AO536" s="824" t="str">
        <f t="shared" si="76"/>
        <v>Yes</v>
      </c>
      <c r="AP536" s="259" t="str">
        <f t="shared" si="77"/>
        <v>OCT 20</v>
      </c>
      <c r="AQ536" s="542" t="str">
        <f t="shared" si="78"/>
        <v>有定金+有預留客戶</v>
      </c>
      <c r="AR536" s="259" t="str">
        <f t="shared" si="79"/>
        <v>Shipped_Stock</v>
      </c>
      <c r="AS536" s="259" t="str">
        <f t="shared" si="80"/>
        <v/>
      </c>
      <c r="AT536" s="259" t="str">
        <f t="shared" si="81"/>
        <v>宏润通</v>
      </c>
      <c r="AU536" s="259" t="str">
        <f t="shared" si="82"/>
        <v>C49SZX20190187JY</v>
      </c>
      <c r="AV536" s="259" t="str">
        <f t="shared" si="83"/>
        <v>Oct-24</v>
      </c>
    </row>
    <row r="537" spans="1:48" hidden="1">
      <c r="A537" s="559">
        <v>835</v>
      </c>
      <c r="B537" s="560" t="s">
        <v>280</v>
      </c>
      <c r="C537" s="563" t="s">
        <v>15</v>
      </c>
      <c r="D537" s="645">
        <v>109996</v>
      </c>
      <c r="E537" s="646" t="s">
        <v>508</v>
      </c>
      <c r="F537" s="647" t="s">
        <v>256</v>
      </c>
      <c r="G537" s="647" t="s">
        <v>24</v>
      </c>
      <c r="H537" s="647" t="s">
        <v>26</v>
      </c>
      <c r="I537" s="575" t="s">
        <v>1179</v>
      </c>
      <c r="J537" s="575">
        <v>1</v>
      </c>
      <c r="K537" s="647" t="s">
        <v>311</v>
      </c>
      <c r="L537" s="675">
        <v>44128</v>
      </c>
      <c r="M537" s="665">
        <v>6.4799999999999996E-2</v>
      </c>
      <c r="N537" s="647" t="s">
        <v>1142</v>
      </c>
      <c r="O537" s="575" t="s">
        <v>1154</v>
      </c>
      <c r="P537" s="566" t="str">
        <f>VLOOKUP(A537,'[1]Raw data'!$B:$BB,23,FALSE)</f>
        <v>JPY</v>
      </c>
      <c r="Q537" s="563" t="str">
        <f>VLOOKUP(A537,'[1]Raw data'!$B:$Z,2,FALSE)</f>
        <v>C49SZX20200159EC</v>
      </c>
      <c r="R537" s="563" t="str">
        <f>VLOOKUP(A537,'[1]Raw data'!$B:$Z,3,FALSE)</f>
        <v>伟志半导体</v>
      </c>
      <c r="S537" s="563" t="str">
        <f>VLOOKUP(A537,'[1]Raw data'!$B:$Z,4,FALSE)</f>
        <v>YSM20R(SV)-2</v>
      </c>
      <c r="T537" s="563" t="str">
        <f>VLOOKUP(A537,'[1]Raw data'!$B:$Z,8,FALSE)</f>
        <v>L-&gt;R</v>
      </c>
      <c r="U537" s="563" t="str">
        <f>VLOOKUP(A537,'[1]Raw data'!$B:$Z,9,FALSE)</f>
        <v>No</v>
      </c>
      <c r="V537" s="567" t="str">
        <f t="shared" si="84"/>
        <v>OK</v>
      </c>
      <c r="W537" s="563" t="str">
        <f>VLOOKUP(A537,'[1]Raw data'!$B:$AG,32,FALSE)</f>
        <v>DAP HZ</v>
      </c>
      <c r="X537" s="563">
        <f>VLOOKUP(A537,'[1]Raw data'!$B:$BA,31,FALSE)</f>
        <v>44091</v>
      </c>
      <c r="Y537" s="563" t="str">
        <f>VLOOKUP(A537,'[1]Raw data'!$B:$AS,39,FALSE)</f>
        <v>Yes</v>
      </c>
      <c r="Z537" s="659"/>
      <c r="AA537" s="660"/>
      <c r="AB537" s="661"/>
      <c r="AC537" s="647" t="s">
        <v>1180</v>
      </c>
      <c r="AD537" s="662">
        <v>301</v>
      </c>
      <c r="AE537" s="662">
        <v>10</v>
      </c>
      <c r="AF537" s="662">
        <v>302</v>
      </c>
      <c r="AG537" s="662">
        <v>10</v>
      </c>
      <c r="AH537" s="662"/>
      <c r="AI537" s="663"/>
      <c r="AN537" s="542"/>
      <c r="AO537" s="824" t="str">
        <f t="shared" si="76"/>
        <v>Yes</v>
      </c>
      <c r="AP537" s="259" t="str">
        <f t="shared" si="77"/>
        <v>NOV 20</v>
      </c>
      <c r="AQ537" s="542" t="str">
        <f t="shared" si="78"/>
        <v>有定金+有預留客戶</v>
      </c>
      <c r="AR537" s="259" t="str">
        <f t="shared" si="79"/>
        <v>Shipped_Stock</v>
      </c>
      <c r="AS537" s="259" t="str">
        <f t="shared" si="80"/>
        <v/>
      </c>
      <c r="AT537" s="259" t="str">
        <f t="shared" si="81"/>
        <v>伟志半导体</v>
      </c>
      <c r="AU537" s="259" t="str">
        <f t="shared" si="82"/>
        <v>C49SZX20200159EC</v>
      </c>
      <c r="AV537" s="259" t="str">
        <f t="shared" si="83"/>
        <v>Oct-24</v>
      </c>
    </row>
    <row r="538" spans="1:48" hidden="1">
      <c r="A538" s="559">
        <v>756</v>
      </c>
      <c r="B538" s="560" t="s">
        <v>927</v>
      </c>
      <c r="C538" s="563" t="s">
        <v>15</v>
      </c>
      <c r="D538" s="645">
        <v>109996</v>
      </c>
      <c r="E538" s="646" t="s">
        <v>508</v>
      </c>
      <c r="F538" s="647" t="s">
        <v>256</v>
      </c>
      <c r="G538" s="647" t="s">
        <v>24</v>
      </c>
      <c r="H538" s="647" t="s">
        <v>26</v>
      </c>
      <c r="I538" s="575" t="s">
        <v>1181</v>
      </c>
      <c r="J538" s="575">
        <v>1</v>
      </c>
      <c r="K538" s="647" t="s">
        <v>496</v>
      </c>
      <c r="L538" s="657">
        <v>44128</v>
      </c>
      <c r="M538" s="665">
        <v>6.4799999999999996E-2</v>
      </c>
      <c r="N538" s="647" t="s">
        <v>1142</v>
      </c>
      <c r="O538" s="575" t="s">
        <v>1154</v>
      </c>
      <c r="P538" s="566" t="str">
        <f>VLOOKUP(A538,'[1]Raw data'!$B:$BB,23,FALSE)</f>
        <v>JPY</v>
      </c>
      <c r="Q538" s="563" t="str">
        <f>VLOOKUP(A538,'[1]Raw data'!$B:$Z,2,FALSE)</f>
        <v>C49SZX20200099R1SS</v>
      </c>
      <c r="R538" s="563" t="str">
        <f>VLOOKUP(A538,'[1]Raw data'!$B:$Z,3,FALSE)</f>
        <v>金晟晖</v>
      </c>
      <c r="S538" s="563" t="str">
        <f>VLOOKUP(A538,'[1]Raw data'!$B:$Z,4,FALSE)</f>
        <v>YSM20R(SV)-2</v>
      </c>
      <c r="T538" s="563" t="str">
        <f>VLOOKUP(A538,'[1]Raw data'!$B:$Z,8,FALSE)</f>
        <v>L-&gt;R</v>
      </c>
      <c r="U538" s="563" t="str">
        <f>VLOOKUP(A538,'[1]Raw data'!$B:$Z,9,FALSE)</f>
        <v>MVC</v>
      </c>
      <c r="V538" s="567" t="str">
        <f t="shared" si="84"/>
        <v>WRONG</v>
      </c>
      <c r="W538" s="563" t="str">
        <f>VLOOKUP(A538,'[1]Raw data'!$B:$AG,32,FALSE)</f>
        <v>DAP SZ</v>
      </c>
      <c r="X538" s="563">
        <f>VLOOKUP(A538,'[1]Raw data'!$B:$BA,31,FALSE)</f>
        <v>44043</v>
      </c>
      <c r="Y538" s="563" t="str">
        <f>VLOOKUP(A538,'[1]Raw data'!$B:$AS,39,FALSE)</f>
        <v>Yes</v>
      </c>
      <c r="Z538" s="659"/>
      <c r="AA538" s="660"/>
      <c r="AB538" s="661"/>
      <c r="AC538" s="647" t="s">
        <v>1182</v>
      </c>
      <c r="AD538" s="662">
        <v>301</v>
      </c>
      <c r="AE538" s="662">
        <v>10</v>
      </c>
      <c r="AF538" s="662">
        <v>303</v>
      </c>
      <c r="AG538" s="662">
        <v>10</v>
      </c>
      <c r="AH538" s="662"/>
      <c r="AI538" s="663"/>
      <c r="AN538" s="542"/>
      <c r="AO538" s="824" t="str">
        <f t="shared" si="76"/>
        <v>Yes</v>
      </c>
      <c r="AP538" s="259" t="str">
        <f t="shared" si="77"/>
        <v>NOV 20</v>
      </c>
      <c r="AQ538" s="542" t="str">
        <f t="shared" si="78"/>
        <v>有定金+有預留客戶</v>
      </c>
      <c r="AR538" s="259" t="str">
        <f t="shared" si="79"/>
        <v>Shipped_Stock</v>
      </c>
      <c r="AS538" s="259" t="str">
        <f t="shared" si="80"/>
        <v/>
      </c>
      <c r="AT538" s="259" t="str">
        <f t="shared" si="81"/>
        <v>金晟晖</v>
      </c>
      <c r="AU538" s="259" t="str">
        <f t="shared" si="82"/>
        <v>C49SZX20200099R1SS</v>
      </c>
      <c r="AV538" s="259" t="str">
        <f t="shared" si="83"/>
        <v>Oct-24</v>
      </c>
    </row>
    <row r="539" spans="1:48" hidden="1">
      <c r="A539" s="559">
        <v>762</v>
      </c>
      <c r="B539" s="560" t="s">
        <v>280</v>
      </c>
      <c r="C539" s="563" t="s">
        <v>15</v>
      </c>
      <c r="D539" s="645" t="s">
        <v>1183</v>
      </c>
      <c r="E539" s="646" t="s">
        <v>508</v>
      </c>
      <c r="F539" s="647" t="s">
        <v>256</v>
      </c>
      <c r="G539" s="647" t="s">
        <v>24</v>
      </c>
      <c r="H539" s="647" t="s">
        <v>26</v>
      </c>
      <c r="I539" s="575" t="s">
        <v>1184</v>
      </c>
      <c r="J539" s="575">
        <v>1</v>
      </c>
      <c r="K539" s="647" t="s">
        <v>295</v>
      </c>
      <c r="L539" s="675">
        <v>44128</v>
      </c>
      <c r="M539" s="665">
        <v>6.4899999999999999E-2</v>
      </c>
      <c r="N539" s="647" t="s">
        <v>1142</v>
      </c>
      <c r="O539" s="575" t="s">
        <v>1154</v>
      </c>
      <c r="P539" s="566" t="str">
        <f>VLOOKUP(A539,'[1]Raw data'!$B:$BB,23,FALSE)</f>
        <v>RMB</v>
      </c>
      <c r="Q539" s="563" t="str">
        <f>VLOOKUP(A539,'[1]Raw data'!$B:$Z,2,FALSE)</f>
        <v>C49SZX20200121JL</v>
      </c>
      <c r="R539" s="563" t="str">
        <f>VLOOKUP(A539,'[1]Raw data'!$B:$Z,3,FALSE)</f>
        <v>刻锐</v>
      </c>
      <c r="S539" s="563" t="str">
        <f>VLOOKUP(A539,'[1]Raw data'!$B:$Z,4,FALSE)</f>
        <v>YSM20R(SV)-2</v>
      </c>
      <c r="T539" s="563" t="str">
        <f>VLOOKUP(A539,'[1]Raw data'!$B:$Z,8,FALSE)</f>
        <v>L-&gt;R</v>
      </c>
      <c r="U539" s="563" t="str">
        <f>VLOOKUP(A539,'[1]Raw data'!$B:$Z,9,FALSE)</f>
        <v>MVC</v>
      </c>
      <c r="V539" s="567" t="str">
        <f t="shared" si="84"/>
        <v>WRONG</v>
      </c>
      <c r="W539" s="563" t="str">
        <f>VLOOKUP(A539,'[1]Raw data'!$B:$AG,32,FALSE)</f>
        <v>含税到厂</v>
      </c>
      <c r="X539" s="563">
        <f>VLOOKUP(A539,'[1]Raw data'!$B:$BA,31,FALSE)</f>
        <v>44068</v>
      </c>
      <c r="Y539" s="563" t="str">
        <f>VLOOKUP(A539,'[1]Raw data'!$B:$AS,39,FALSE)</f>
        <v>Yes</v>
      </c>
      <c r="Z539" s="659"/>
      <c r="AA539" s="660"/>
      <c r="AB539" s="661"/>
      <c r="AC539" s="647" t="s">
        <v>1185</v>
      </c>
      <c r="AD539" s="662">
        <v>301</v>
      </c>
      <c r="AE539" s="662">
        <v>10</v>
      </c>
      <c r="AF539" s="662">
        <v>303</v>
      </c>
      <c r="AG539" s="662">
        <v>10</v>
      </c>
      <c r="AH539" s="662"/>
      <c r="AI539" s="663"/>
      <c r="AN539" s="542"/>
      <c r="AO539" s="824" t="str">
        <f t="shared" si="76"/>
        <v>Yes</v>
      </c>
      <c r="AP539" s="259" t="str">
        <f t="shared" si="77"/>
        <v>NOV 20</v>
      </c>
      <c r="AQ539" s="542" t="str">
        <f t="shared" si="78"/>
        <v>有定金+有預留客戶</v>
      </c>
      <c r="AR539" s="259" t="str">
        <f t="shared" si="79"/>
        <v>Shipped_Stock</v>
      </c>
      <c r="AS539" s="259" t="str">
        <f t="shared" si="80"/>
        <v/>
      </c>
      <c r="AT539" s="259" t="str">
        <f t="shared" si="81"/>
        <v>刻锐</v>
      </c>
      <c r="AU539" s="259" t="str">
        <f t="shared" si="82"/>
        <v>C49SZX20200121JL</v>
      </c>
      <c r="AV539" s="259" t="str">
        <f t="shared" si="83"/>
        <v>Oct-24</v>
      </c>
    </row>
    <row r="540" spans="1:48" hidden="1">
      <c r="A540" s="559">
        <v>791</v>
      </c>
      <c r="B540" s="664" t="s">
        <v>280</v>
      </c>
      <c r="C540" s="563" t="s">
        <v>15</v>
      </c>
      <c r="D540" s="645" t="s">
        <v>1183</v>
      </c>
      <c r="E540" s="646" t="s">
        <v>508</v>
      </c>
      <c r="F540" s="647" t="s">
        <v>256</v>
      </c>
      <c r="G540" s="647" t="s">
        <v>24</v>
      </c>
      <c r="H540" s="647" t="s">
        <v>26</v>
      </c>
      <c r="I540" s="575" t="s">
        <v>1186</v>
      </c>
      <c r="J540" s="575">
        <v>1</v>
      </c>
      <c r="K540" s="647" t="s">
        <v>746</v>
      </c>
      <c r="L540" s="657">
        <v>44128</v>
      </c>
      <c r="M540" s="665">
        <v>6.4899999999999999E-2</v>
      </c>
      <c r="N540" s="647" t="s">
        <v>1032</v>
      </c>
      <c r="O540" s="575" t="s">
        <v>1154</v>
      </c>
      <c r="P540" s="566" t="str">
        <f>VLOOKUP(A540,'[1]Raw data'!$B:$BB,23,FALSE)</f>
        <v>RMB</v>
      </c>
      <c r="Q540" s="563" t="str">
        <f>VLOOKUP(A540,'[1]Raw data'!$B:$Z,2,FALSE)</f>
        <v>C49SZX20200143MZ</v>
      </c>
      <c r="R540" s="563" t="str">
        <f>VLOOKUP(A540,'[1]Raw data'!$B:$Z,3,FALSE)</f>
        <v>斯路迅</v>
      </c>
      <c r="S540" s="563" t="str">
        <f>VLOOKUP(A540,'[1]Raw data'!$B:$Z,4,FALSE)</f>
        <v>YSM20R(SV)-2</v>
      </c>
      <c r="T540" s="563" t="str">
        <f>VLOOKUP(A540,'[1]Raw data'!$B:$Z,8,FALSE)</f>
        <v>L-&gt;R</v>
      </c>
      <c r="U540" s="563" t="str">
        <f>VLOOKUP(A540,'[1]Raw data'!$B:$Z,9,FALSE)</f>
        <v>MVC</v>
      </c>
      <c r="V540" s="567" t="str">
        <f t="shared" si="84"/>
        <v>WRONG</v>
      </c>
      <c r="W540" s="563" t="str">
        <f>VLOOKUP(A540,'[1]Raw data'!$B:$AG,32,FALSE)</f>
        <v>含税到厂</v>
      </c>
      <c r="X540" s="563">
        <f>VLOOKUP(A540,'[1]Raw data'!$B:$BA,31,FALSE)</f>
        <v>44065</v>
      </c>
      <c r="Y540" s="563" t="str">
        <f>VLOOKUP(A540,'[1]Raw data'!$B:$AS,39,FALSE)</f>
        <v>Yes</v>
      </c>
      <c r="Z540" s="659"/>
      <c r="AA540" s="660"/>
      <c r="AB540" s="661"/>
      <c r="AC540" s="647" t="s">
        <v>1187</v>
      </c>
      <c r="AD540" s="662">
        <v>301</v>
      </c>
      <c r="AE540" s="662">
        <v>10</v>
      </c>
      <c r="AF540" s="662">
        <v>312</v>
      </c>
      <c r="AG540" s="662">
        <v>10</v>
      </c>
      <c r="AH540" s="662"/>
      <c r="AI540" s="663"/>
      <c r="AN540" s="542"/>
      <c r="AO540" s="824" t="str">
        <f t="shared" si="76"/>
        <v>Yes</v>
      </c>
      <c r="AP540" s="259" t="str">
        <f t="shared" si="77"/>
        <v>OCT 20</v>
      </c>
      <c r="AQ540" s="542" t="str">
        <f t="shared" si="78"/>
        <v>有定金+有預留客戶</v>
      </c>
      <c r="AR540" s="259" t="str">
        <f t="shared" si="79"/>
        <v>Shipped_Stock</v>
      </c>
      <c r="AS540" s="259" t="str">
        <f t="shared" si="80"/>
        <v/>
      </c>
      <c r="AT540" s="259" t="str">
        <f t="shared" si="81"/>
        <v>斯路迅</v>
      </c>
      <c r="AU540" s="259" t="str">
        <f t="shared" si="82"/>
        <v>C49SZX20200143MZ</v>
      </c>
      <c r="AV540" s="259" t="str">
        <f t="shared" si="83"/>
        <v>Oct-24</v>
      </c>
    </row>
    <row r="541" spans="1:48" hidden="1">
      <c r="A541" s="559">
        <v>554</v>
      </c>
      <c r="B541" s="664" t="s">
        <v>280</v>
      </c>
      <c r="C541" s="563" t="s">
        <v>15</v>
      </c>
      <c r="D541" s="645">
        <v>109991</v>
      </c>
      <c r="E541" s="563" t="s">
        <v>886</v>
      </c>
      <c r="F541" s="647" t="s">
        <v>241</v>
      </c>
      <c r="G541" s="647" t="s">
        <v>18</v>
      </c>
      <c r="H541" s="647" t="s">
        <v>19</v>
      </c>
      <c r="I541" s="575" t="s">
        <v>1188</v>
      </c>
      <c r="J541" s="575">
        <v>1</v>
      </c>
      <c r="K541" s="647" t="s">
        <v>311</v>
      </c>
      <c r="L541" s="657">
        <v>44128</v>
      </c>
      <c r="M541" s="665" t="s">
        <v>906</v>
      </c>
      <c r="N541" s="647" t="s">
        <v>1032</v>
      </c>
      <c r="O541" s="647" t="s">
        <v>1154</v>
      </c>
      <c r="P541" s="566" t="str">
        <f>VLOOKUP(A541,'[1]Raw data'!$B:$BB,23,FALSE)</f>
        <v>JPY</v>
      </c>
      <c r="Q541" s="563" t="str">
        <f>VLOOKUP(A541,'[1]Raw data'!$B:$Z,2,FALSE)</f>
        <v>C49SZX20190187JY</v>
      </c>
      <c r="R541" s="563" t="str">
        <f>VLOOKUP(A541,'[1]Raw data'!$B:$Z,3,FALSE)</f>
        <v>宏润通</v>
      </c>
      <c r="S541" s="563" t="str">
        <f>VLOOKUP(A541,'[1]Raw data'!$B:$Z,4,FALSE)</f>
        <v>YSM10</v>
      </c>
      <c r="T541" s="563" t="str">
        <f>VLOOKUP(A541,'[1]Raw data'!$B:$Z,8,FALSE)</f>
        <v>L-&gt;R</v>
      </c>
      <c r="U541" s="563" t="str">
        <f>VLOOKUP(A541,'[1]Raw data'!$B:$Z,9,FALSE)</f>
        <v>MVC+ATS15</v>
      </c>
      <c r="V541" s="709" t="str">
        <f t="shared" si="84"/>
        <v>WRONG</v>
      </c>
      <c r="W541" s="563" t="str">
        <f>VLOOKUP(A541,'[1]Raw data'!$B:$AG,32,FALSE)</f>
        <v>DAP SZ</v>
      </c>
      <c r="X541" s="563">
        <f>VLOOKUP(A541,'[1]Raw data'!$B:$BA,31,FALSE)</f>
        <v>43819</v>
      </c>
      <c r="Y541" s="563" t="str">
        <f>VLOOKUP(A541,'[1]Raw data'!$B:$AS,39,FALSE)</f>
        <v>Yes</v>
      </c>
      <c r="Z541" s="659"/>
      <c r="AA541" s="660"/>
      <c r="AB541" s="661"/>
      <c r="AC541" s="710" t="s">
        <v>1178</v>
      </c>
      <c r="AD541" s="662">
        <v>301</v>
      </c>
      <c r="AE541" s="662">
        <v>10</v>
      </c>
      <c r="AF541" s="662"/>
      <c r="AG541" s="662"/>
      <c r="AH541" s="662"/>
      <c r="AI541" s="663"/>
      <c r="AN541" s="542"/>
      <c r="AO541" s="824" t="str">
        <f t="shared" si="76"/>
        <v>Yes</v>
      </c>
      <c r="AP541" s="259" t="str">
        <f t="shared" si="77"/>
        <v>OCT 20</v>
      </c>
      <c r="AQ541" s="542" t="str">
        <f t="shared" si="78"/>
        <v>有定金+有預留客戶</v>
      </c>
      <c r="AR541" s="259" t="str">
        <f t="shared" si="79"/>
        <v>Shipped_Stock</v>
      </c>
      <c r="AS541" s="259" t="str">
        <f t="shared" si="80"/>
        <v/>
      </c>
      <c r="AT541" s="259" t="str">
        <f t="shared" si="81"/>
        <v>宏润通</v>
      </c>
      <c r="AU541" s="259" t="str">
        <f t="shared" si="82"/>
        <v>C49SZX20190187JY</v>
      </c>
      <c r="AV541" s="259" t="str">
        <f t="shared" si="83"/>
        <v>Oct-24</v>
      </c>
    </row>
    <row r="542" spans="1:48" ht="22.5" hidden="1">
      <c r="A542" s="559">
        <v>986</v>
      </c>
      <c r="B542" s="560" t="s">
        <v>280</v>
      </c>
      <c r="C542" s="563" t="s">
        <v>15</v>
      </c>
      <c r="D542" s="645" t="s">
        <v>1189</v>
      </c>
      <c r="E542" s="563" t="s">
        <v>886</v>
      </c>
      <c r="F542" s="647" t="s">
        <v>241</v>
      </c>
      <c r="G542" s="647" t="s">
        <v>18</v>
      </c>
      <c r="H542" s="647" t="s">
        <v>19</v>
      </c>
      <c r="I542" s="575" t="s">
        <v>1190</v>
      </c>
      <c r="J542" s="575">
        <v>1</v>
      </c>
      <c r="K542" s="647" t="s">
        <v>437</v>
      </c>
      <c r="L542" s="675">
        <v>44128</v>
      </c>
      <c r="M542" s="678" t="s">
        <v>1191</v>
      </c>
      <c r="N542" s="647" t="s">
        <v>1124</v>
      </c>
      <c r="O542" s="575" t="s">
        <v>1154</v>
      </c>
      <c r="P542" s="566" t="str">
        <f>VLOOKUP(A542,'[1]Raw data'!$B:$BB,23,FALSE)</f>
        <v>JPY</v>
      </c>
      <c r="Q542" s="563" t="str">
        <f>VLOOKUP(A542,'[1]Raw data'!$B:$Z,2,FALSE)</f>
        <v>C49SZX20200232SX</v>
      </c>
      <c r="R542" s="563" t="str">
        <f>VLOOKUP(A542,'[1]Raw data'!$B:$Z,3,FALSE)</f>
        <v>永顺创</v>
      </c>
      <c r="S542" s="563" t="str">
        <f>VLOOKUP(A542,'[1]Raw data'!$B:$Z,4,FALSE)</f>
        <v>YSM10</v>
      </c>
      <c r="T542" s="563" t="str">
        <f>VLOOKUP(A542,'[1]Raw data'!$B:$Z,8,FALSE)</f>
        <v>L-&gt;R</v>
      </c>
      <c r="U542" s="563" t="str">
        <f>VLOOKUP(A542,'[1]Raw data'!$B:$Z,9,FALSE)</f>
        <v>MVC+ATS15</v>
      </c>
      <c r="V542" s="567" t="str">
        <f t="shared" si="84"/>
        <v>WRONG</v>
      </c>
      <c r="W542" s="563" t="str">
        <f>VLOOKUP(A542,'[1]Raw data'!$B:$AG,32,FALSE)</f>
        <v>DAP SZ</v>
      </c>
      <c r="X542" s="563">
        <f>VLOOKUP(A542,'[1]Raw data'!$B:$BA,31,FALSE)</f>
        <v>44166</v>
      </c>
      <c r="Y542" s="563" t="str">
        <f>VLOOKUP(A542,'[1]Raw data'!$B:$AS,39,FALSE)</f>
        <v>Yes</v>
      </c>
      <c r="Z542" s="659"/>
      <c r="AA542" s="660"/>
      <c r="AB542" s="661"/>
      <c r="AC542" s="563" t="s">
        <v>561</v>
      </c>
      <c r="AD542" s="662">
        <v>301</v>
      </c>
      <c r="AE542" s="662">
        <v>10</v>
      </c>
      <c r="AF542" s="662"/>
      <c r="AG542" s="662"/>
      <c r="AH542" s="662"/>
      <c r="AI542" s="663"/>
      <c r="AN542" s="542"/>
      <c r="AO542" s="824" t="str">
        <f t="shared" si="76"/>
        <v>Yes</v>
      </c>
      <c r="AP542" s="259" t="str">
        <f t="shared" si="77"/>
        <v>DEC 20</v>
      </c>
      <c r="AQ542" s="542" t="str">
        <f t="shared" si="78"/>
        <v>有定金+有預留客戶</v>
      </c>
      <c r="AR542" s="259" t="str">
        <f t="shared" si="79"/>
        <v>Shipped_Stock</v>
      </c>
      <c r="AS542" s="259" t="str">
        <f t="shared" si="80"/>
        <v/>
      </c>
      <c r="AT542" s="259" t="str">
        <f t="shared" si="81"/>
        <v>永顺创</v>
      </c>
      <c r="AU542" s="259" t="str">
        <f t="shared" si="82"/>
        <v>C49SZX20200232SX</v>
      </c>
      <c r="AV542" s="259" t="str">
        <f t="shared" si="83"/>
        <v>Oct-24</v>
      </c>
    </row>
    <row r="543" spans="1:48" hidden="1">
      <c r="A543" s="559">
        <v>927</v>
      </c>
      <c r="B543" s="560" t="s">
        <v>1125</v>
      </c>
      <c r="C543" s="563" t="s">
        <v>15</v>
      </c>
      <c r="D543" s="645" t="s">
        <v>1192</v>
      </c>
      <c r="E543" s="563" t="s">
        <v>886</v>
      </c>
      <c r="F543" s="647" t="s">
        <v>241</v>
      </c>
      <c r="G543" s="647" t="s">
        <v>18</v>
      </c>
      <c r="H543" s="647" t="s">
        <v>19</v>
      </c>
      <c r="I543" s="575" t="s">
        <v>1193</v>
      </c>
      <c r="J543" s="575">
        <v>1</v>
      </c>
      <c r="K543" s="647" t="s">
        <v>437</v>
      </c>
      <c r="L543" s="675">
        <v>44128</v>
      </c>
      <c r="M543" s="665">
        <v>6.4399999999999999E-2</v>
      </c>
      <c r="N543" s="647" t="s">
        <v>1127</v>
      </c>
      <c r="O543" s="575" t="s">
        <v>1154</v>
      </c>
      <c r="P543" s="566" t="str">
        <f>VLOOKUP(A543,'[1]Raw data'!$B:$BB,23,FALSE)</f>
        <v>JPY</v>
      </c>
      <c r="Q543" s="563" t="str">
        <f>VLOOKUP(A543,'[1]Raw data'!$B:$Z,2,FALSE)</f>
        <v>C49SZX20200210RSX</v>
      </c>
      <c r="R543" s="563" t="str">
        <f>VLOOKUP(A543,'[1]Raw data'!$B:$Z,3,FALSE)</f>
        <v>众鑫科</v>
      </c>
      <c r="S543" s="563" t="str">
        <f>VLOOKUP(A543,'[1]Raw data'!$B:$Z,4,FALSE)</f>
        <v>YSM10</v>
      </c>
      <c r="T543" s="563" t="str">
        <f>VLOOKUP(A543,'[1]Raw data'!$B:$Z,8,FALSE)</f>
        <v>R-&gt;L</v>
      </c>
      <c r="U543" s="563" t="str">
        <f>VLOOKUP(A543,'[1]Raw data'!$B:$Z,9,FALSE)</f>
        <v>MVC+ATS15</v>
      </c>
      <c r="V543" s="567" t="str">
        <f t="shared" si="84"/>
        <v>WRONG</v>
      </c>
      <c r="W543" s="563" t="str">
        <f>VLOOKUP(A543,'[1]Raw data'!$B:$AG,32,FALSE)</f>
        <v>DAP HZ</v>
      </c>
      <c r="X543" s="563">
        <f>VLOOKUP(A543,'[1]Raw data'!$B:$BA,31,FALSE)</f>
        <v>44147</v>
      </c>
      <c r="Y543" s="563" t="str">
        <f>VLOOKUP(A543,'[1]Raw data'!$B:$AS,39,FALSE)</f>
        <v>Yes</v>
      </c>
      <c r="Z543" s="659"/>
      <c r="AA543" s="660"/>
      <c r="AB543" s="661"/>
      <c r="AC543" s="647" t="s">
        <v>1194</v>
      </c>
      <c r="AD543" s="662">
        <v>301</v>
      </c>
      <c r="AE543" s="662">
        <v>10</v>
      </c>
      <c r="AF543" s="662"/>
      <c r="AG543" s="662"/>
      <c r="AH543" s="662"/>
      <c r="AI543" s="663"/>
      <c r="AN543" s="542"/>
      <c r="AO543" s="824" t="str">
        <f t="shared" si="76"/>
        <v>Yes</v>
      </c>
      <c r="AP543" s="259" t="str">
        <f t="shared" si="77"/>
        <v>JAN 21</v>
      </c>
      <c r="AQ543" s="542" t="str">
        <f t="shared" si="78"/>
        <v>有定金+有預留客戶</v>
      </c>
      <c r="AR543" s="259" t="str">
        <f t="shared" si="79"/>
        <v>Shipped_Stock</v>
      </c>
      <c r="AS543" s="259" t="str">
        <f t="shared" si="80"/>
        <v/>
      </c>
      <c r="AT543" s="259" t="str">
        <f t="shared" si="81"/>
        <v>众鑫科</v>
      </c>
      <c r="AU543" s="259" t="str">
        <f t="shared" si="82"/>
        <v>C49SZX20200210RSX</v>
      </c>
      <c r="AV543" s="259" t="str">
        <f t="shared" si="83"/>
        <v>Oct-24</v>
      </c>
    </row>
    <row r="544" spans="1:48" hidden="1">
      <c r="A544" s="559">
        <v>783</v>
      </c>
      <c r="B544" s="664" t="s">
        <v>927</v>
      </c>
      <c r="C544" s="563" t="s">
        <v>15</v>
      </c>
      <c r="D544" s="645">
        <v>109991</v>
      </c>
      <c r="E544" s="563" t="s">
        <v>886</v>
      </c>
      <c r="F544" s="647" t="s">
        <v>241</v>
      </c>
      <c r="G544" s="647" t="s">
        <v>18</v>
      </c>
      <c r="H544" s="647" t="s">
        <v>26</v>
      </c>
      <c r="I544" s="575" t="s">
        <v>1195</v>
      </c>
      <c r="J544" s="575">
        <v>1</v>
      </c>
      <c r="K544" s="647" t="s">
        <v>437</v>
      </c>
      <c r="L544" s="657">
        <v>44128</v>
      </c>
      <c r="M544" s="665" t="s">
        <v>906</v>
      </c>
      <c r="N544" s="647" t="s">
        <v>1032</v>
      </c>
      <c r="O544" s="647" t="s">
        <v>1154</v>
      </c>
      <c r="P544" s="566" t="str">
        <f>VLOOKUP(A544,'[1]Raw data'!$B:$BB,23,FALSE)</f>
        <v>JPY</v>
      </c>
      <c r="Q544" s="563" t="str">
        <f>VLOOKUP(A544,'[1]Raw data'!$B:$Z,2,FALSE)</f>
        <v>C49SZX20200138JZ</v>
      </c>
      <c r="R544" s="563" t="str">
        <f>VLOOKUP(A544,'[1]Raw data'!$B:$Z,3,FALSE)</f>
        <v>斯迈</v>
      </c>
      <c r="S544" s="563" t="str">
        <f>VLOOKUP(A544,'[1]Raw data'!$B:$Z,4,FALSE)</f>
        <v>YSM10</v>
      </c>
      <c r="T544" s="563" t="str">
        <f>VLOOKUP(A544,'[1]Raw data'!$B:$Z,8,FALSE)</f>
        <v>L-&gt;R</v>
      </c>
      <c r="U544" s="563" t="str">
        <f>VLOOKUP(A544,'[1]Raw data'!$B:$Z,9,FALSE)</f>
        <v>MVC</v>
      </c>
      <c r="V544" s="567" t="str">
        <f t="shared" si="84"/>
        <v>WRONG</v>
      </c>
      <c r="W544" s="563" t="str">
        <f>VLOOKUP(A544,'[1]Raw data'!$B:$AG,32,FALSE)</f>
        <v>DAP GZ</v>
      </c>
      <c r="X544" s="563">
        <f>VLOOKUP(A544,'[1]Raw data'!$B:$BA,31,FALSE)</f>
        <v>44061</v>
      </c>
      <c r="Y544" s="563" t="str">
        <f>VLOOKUP(A544,'[1]Raw data'!$B:$AS,39,FALSE)</f>
        <v>Yes</v>
      </c>
      <c r="Z544" s="659"/>
      <c r="AA544" s="660"/>
      <c r="AB544" s="661"/>
      <c r="AC544" s="647" t="s">
        <v>1105</v>
      </c>
      <c r="AD544" s="662">
        <v>301</v>
      </c>
      <c r="AE544" s="662">
        <v>10</v>
      </c>
      <c r="AF544" s="662"/>
      <c r="AG544" s="662"/>
      <c r="AH544" s="662"/>
      <c r="AI544" s="663"/>
      <c r="AN544" s="542"/>
      <c r="AO544" s="824" t="str">
        <f t="shared" si="76"/>
        <v>Yes</v>
      </c>
      <c r="AP544" s="259" t="str">
        <f t="shared" si="77"/>
        <v>OCT 20</v>
      </c>
      <c r="AQ544" s="542" t="str">
        <f t="shared" si="78"/>
        <v>有定金+有預留客戶</v>
      </c>
      <c r="AR544" s="259" t="str">
        <f t="shared" si="79"/>
        <v>Shipped_Stock</v>
      </c>
      <c r="AS544" s="259" t="str">
        <f t="shared" si="80"/>
        <v/>
      </c>
      <c r="AT544" s="259" t="str">
        <f t="shared" si="81"/>
        <v>斯迈</v>
      </c>
      <c r="AU544" s="259" t="str">
        <f t="shared" si="82"/>
        <v>C49SZX20200138JZ</v>
      </c>
      <c r="AV544" s="259" t="str">
        <f t="shared" si="83"/>
        <v>Oct-24</v>
      </c>
    </row>
    <row r="545" spans="1:48" hidden="1">
      <c r="A545" s="559">
        <v>784</v>
      </c>
      <c r="B545" s="664" t="s">
        <v>927</v>
      </c>
      <c r="C545" s="563" t="s">
        <v>15</v>
      </c>
      <c r="D545" s="645">
        <v>109991</v>
      </c>
      <c r="E545" s="563" t="s">
        <v>886</v>
      </c>
      <c r="F545" s="647" t="s">
        <v>241</v>
      </c>
      <c r="G545" s="647" t="s">
        <v>18</v>
      </c>
      <c r="H545" s="647" t="s">
        <v>26</v>
      </c>
      <c r="I545" s="575" t="s">
        <v>1196</v>
      </c>
      <c r="J545" s="575">
        <v>1</v>
      </c>
      <c r="K545" s="647" t="s">
        <v>437</v>
      </c>
      <c r="L545" s="657">
        <v>44128</v>
      </c>
      <c r="M545" s="665" t="s">
        <v>906</v>
      </c>
      <c r="N545" s="647" t="s">
        <v>1032</v>
      </c>
      <c r="O545" s="647" t="s">
        <v>1154</v>
      </c>
      <c r="P545" s="566" t="str">
        <f>VLOOKUP(A545,'[1]Raw data'!$B:$BB,23,FALSE)</f>
        <v>JPY</v>
      </c>
      <c r="Q545" s="563" t="str">
        <f>VLOOKUP(A545,'[1]Raw data'!$B:$Z,2,FALSE)</f>
        <v>C49SZX20200138JZ</v>
      </c>
      <c r="R545" s="563" t="str">
        <f>VLOOKUP(A545,'[1]Raw data'!$B:$Z,3,FALSE)</f>
        <v>斯迈</v>
      </c>
      <c r="S545" s="563" t="str">
        <f>VLOOKUP(A545,'[1]Raw data'!$B:$Z,4,FALSE)</f>
        <v>YSM10</v>
      </c>
      <c r="T545" s="563" t="str">
        <f>VLOOKUP(A545,'[1]Raw data'!$B:$Z,8,FALSE)</f>
        <v>L-&gt;R</v>
      </c>
      <c r="U545" s="563" t="str">
        <f>VLOOKUP(A545,'[1]Raw data'!$B:$Z,9,FALSE)</f>
        <v>MVC</v>
      </c>
      <c r="V545" s="567" t="str">
        <f t="shared" si="84"/>
        <v>WRONG</v>
      </c>
      <c r="W545" s="563" t="str">
        <f>VLOOKUP(A545,'[1]Raw data'!$B:$AG,32,FALSE)</f>
        <v>DAP GZ</v>
      </c>
      <c r="X545" s="563">
        <f>VLOOKUP(A545,'[1]Raw data'!$B:$BA,31,FALSE)</f>
        <v>44061</v>
      </c>
      <c r="Y545" s="563" t="str">
        <f>VLOOKUP(A545,'[1]Raw data'!$B:$AS,39,FALSE)</f>
        <v>Yes</v>
      </c>
      <c r="Z545" s="659"/>
      <c r="AA545" s="660"/>
      <c r="AB545" s="661"/>
      <c r="AC545" s="647" t="s">
        <v>1105</v>
      </c>
      <c r="AD545" s="662">
        <v>301</v>
      </c>
      <c r="AE545" s="662">
        <v>10</v>
      </c>
      <c r="AF545" s="662"/>
      <c r="AG545" s="662"/>
      <c r="AH545" s="662"/>
      <c r="AI545" s="663"/>
      <c r="AN545" s="542"/>
      <c r="AO545" s="824" t="str">
        <f t="shared" si="76"/>
        <v>Yes</v>
      </c>
      <c r="AP545" s="259" t="str">
        <f t="shared" si="77"/>
        <v>OCT 20</v>
      </c>
      <c r="AQ545" s="542" t="str">
        <f t="shared" si="78"/>
        <v>有定金+有預留客戶</v>
      </c>
      <c r="AR545" s="259" t="str">
        <f t="shared" si="79"/>
        <v>Shipped_Stock</v>
      </c>
      <c r="AS545" s="259" t="str">
        <f t="shared" si="80"/>
        <v/>
      </c>
      <c r="AT545" s="259" t="str">
        <f t="shared" si="81"/>
        <v>斯迈</v>
      </c>
      <c r="AU545" s="259" t="str">
        <f t="shared" si="82"/>
        <v>C49SZX20200138JZ</v>
      </c>
      <c r="AV545" s="259" t="str">
        <f t="shared" si="83"/>
        <v>Oct-24</v>
      </c>
    </row>
    <row r="546" spans="1:48" hidden="1">
      <c r="A546" s="559">
        <v>790</v>
      </c>
      <c r="B546" s="664" t="s">
        <v>927</v>
      </c>
      <c r="C546" s="563" t="s">
        <v>15</v>
      </c>
      <c r="D546" s="645">
        <v>110046</v>
      </c>
      <c r="E546" s="646" t="s">
        <v>1197</v>
      </c>
      <c r="F546" s="647" t="s">
        <v>58</v>
      </c>
      <c r="G546" s="647" t="s">
        <v>18</v>
      </c>
      <c r="H546" s="647" t="s">
        <v>307</v>
      </c>
      <c r="I546" s="575" t="s">
        <v>1198</v>
      </c>
      <c r="J546" s="575">
        <v>1</v>
      </c>
      <c r="K546" s="647" t="s">
        <v>746</v>
      </c>
      <c r="L546" s="657">
        <v>44128</v>
      </c>
      <c r="M546" s="665">
        <v>6.5000000000000002E-2</v>
      </c>
      <c r="N546" s="647" t="s">
        <v>1032</v>
      </c>
      <c r="O546" s="647" t="s">
        <v>1154</v>
      </c>
      <c r="P546" s="566" t="str">
        <f>VLOOKUP(A546,'[1]Raw data'!$B:$BB,23,FALSE)</f>
        <v>RMB</v>
      </c>
      <c r="Q546" s="563" t="str">
        <f>VLOOKUP(A546,'[1]Raw data'!$B:$Z,2,FALSE)</f>
        <v>C49SZX20200132SX</v>
      </c>
      <c r="R546" s="563" t="str">
        <f>VLOOKUP(A546,'[1]Raw data'!$B:$Z,3,FALSE)</f>
        <v>鹏鑫达（end user：阿克西姆）</v>
      </c>
      <c r="S546" s="563" t="str">
        <f>VLOOKUP(A546,'[1]Raw data'!$B:$Z,4,FALSE)</f>
        <v>YSM20R-2</v>
      </c>
      <c r="T546" s="563" t="str">
        <f>VLOOKUP(A546,'[1]Raw data'!$B:$Z,8,FALSE)</f>
        <v>R-&gt;L</v>
      </c>
      <c r="U546" s="563" t="str">
        <f>VLOOKUP(A546,'[1]Raw data'!$B:$Z,9,FALSE)</f>
        <v>MVC</v>
      </c>
      <c r="V546" s="567" t="str">
        <f t="shared" si="84"/>
        <v>WRONG</v>
      </c>
      <c r="W546" s="563" t="str">
        <f>VLOOKUP(A546,'[1]Raw data'!$B:$AG,32,FALSE)</f>
        <v>含税到厂</v>
      </c>
      <c r="X546" s="563">
        <f>VLOOKUP(A546,'[1]Raw data'!$B:$BA,31,FALSE)</f>
        <v>44060</v>
      </c>
      <c r="Y546" s="563" t="str">
        <f>VLOOKUP(A546,'[1]Raw data'!$B:$AS,39,FALSE)</f>
        <v>Yes</v>
      </c>
      <c r="Z546" s="666"/>
      <c r="AA546" s="667"/>
      <c r="AB546" s="668"/>
      <c r="AC546" s="563" t="s">
        <v>678</v>
      </c>
      <c r="AD546" s="662">
        <v>301</v>
      </c>
      <c r="AE546" s="662">
        <v>20</v>
      </c>
      <c r="AF546" s="662"/>
      <c r="AG546" s="662"/>
      <c r="AH546" s="662"/>
      <c r="AI546" s="663"/>
      <c r="AN546" s="542"/>
      <c r="AO546" s="824" t="str">
        <f t="shared" si="76"/>
        <v>Yes</v>
      </c>
      <c r="AP546" s="259" t="str">
        <f t="shared" si="77"/>
        <v>OCT 20</v>
      </c>
      <c r="AQ546" s="542" t="str">
        <f t="shared" si="78"/>
        <v>有定金+有預留客戶</v>
      </c>
      <c r="AR546" s="259" t="str">
        <f t="shared" si="79"/>
        <v>Shipped_Stock</v>
      </c>
      <c r="AS546" s="259" t="str">
        <f t="shared" si="80"/>
        <v/>
      </c>
      <c r="AT546" s="259" t="str">
        <f t="shared" si="81"/>
        <v>鹏鑫达（end user：阿克西姆）</v>
      </c>
      <c r="AU546" s="259" t="str">
        <f t="shared" si="82"/>
        <v>C49SZX20200132SX</v>
      </c>
      <c r="AV546" s="259" t="str">
        <f t="shared" si="83"/>
        <v>Oct-24</v>
      </c>
    </row>
    <row r="547" spans="1:48" hidden="1">
      <c r="A547" s="559">
        <v>751</v>
      </c>
      <c r="B547" s="664" t="s">
        <v>927</v>
      </c>
      <c r="C547" s="563" t="s">
        <v>15</v>
      </c>
      <c r="D547" s="645">
        <v>110033</v>
      </c>
      <c r="E547" s="646" t="s">
        <v>1199</v>
      </c>
      <c r="F547" s="647" t="s">
        <v>154</v>
      </c>
      <c r="G547" s="647" t="s">
        <v>24</v>
      </c>
      <c r="H547" s="647" t="s">
        <v>1200</v>
      </c>
      <c r="I547" s="575" t="s">
        <v>1201</v>
      </c>
      <c r="J547" s="575">
        <v>1</v>
      </c>
      <c r="K547" s="647" t="s">
        <v>746</v>
      </c>
      <c r="L547" s="657">
        <v>44128</v>
      </c>
      <c r="M547" s="665">
        <v>6.5000000000000002E-2</v>
      </c>
      <c r="N547" s="647" t="s">
        <v>1032</v>
      </c>
      <c r="O547" s="647" t="s">
        <v>1154</v>
      </c>
      <c r="P547" s="566" t="str">
        <f>VLOOKUP(A547,'[1]Raw data'!$B:$BB,23,FALSE)</f>
        <v>RMB</v>
      </c>
      <c r="Q547" s="563" t="str">
        <f>VLOOKUP(A547,'[1]Raw data'!$B:$Z,2,FALSE)</f>
        <v>BS-SZGZ20071306-ZB</v>
      </c>
      <c r="R547" s="563" t="str">
        <f>VLOOKUP(A547,'[1]Raw data'!$B:$Z,3,FALSE)</f>
        <v>银宝山新</v>
      </c>
      <c r="S547" s="563" t="str">
        <f>VLOOKUP(A547,'[1]Raw data'!$B:$Z,4,FALSE)</f>
        <v>YSM20WR-2</v>
      </c>
      <c r="T547" s="563" t="str">
        <f>VLOOKUP(A547,'[1]Raw data'!$B:$Z,8,FALSE)</f>
        <v>L-&gt;R</v>
      </c>
      <c r="U547" s="563" t="str">
        <f>VLOOKUP(A547,'[1]Raw data'!$B:$Z,9,FALSE)</f>
        <v>cATS10+MVC</v>
      </c>
      <c r="V547" s="567" t="str">
        <f t="shared" si="84"/>
        <v>WRONG</v>
      </c>
      <c r="W547" s="563" t="str">
        <f>VLOOKUP(A547,'[1]Raw data'!$B:$AG,32,FALSE)</f>
        <v>DDP SZ</v>
      </c>
      <c r="X547" s="563">
        <f>VLOOKUP(A547,'[1]Raw data'!$B:$BA,31,FALSE)</f>
        <v>44041</v>
      </c>
      <c r="Y547" s="563" t="str">
        <f>VLOOKUP(A547,'[1]Raw data'!$B:$AS,39,FALSE)</f>
        <v>Yes</v>
      </c>
      <c r="Z547" s="666"/>
      <c r="AA547" s="667"/>
      <c r="AB547" s="668"/>
      <c r="AC547" s="563" t="s">
        <v>678</v>
      </c>
      <c r="AD547" s="662"/>
      <c r="AE547" s="662"/>
      <c r="AF547" s="662"/>
      <c r="AG547" s="662"/>
      <c r="AH547" s="662"/>
      <c r="AI547" s="663"/>
      <c r="AN547" s="542"/>
      <c r="AO547" s="824" t="str">
        <f t="shared" si="76"/>
        <v>Yes</v>
      </c>
      <c r="AP547" s="259" t="str">
        <f t="shared" si="77"/>
        <v>OCT 20</v>
      </c>
      <c r="AQ547" s="542" t="str">
        <f t="shared" si="78"/>
        <v>有定金+有預留客戶</v>
      </c>
      <c r="AR547" s="259" t="str">
        <f t="shared" si="79"/>
        <v>Shipped_Stock</v>
      </c>
      <c r="AS547" s="259" t="str">
        <f t="shared" si="80"/>
        <v/>
      </c>
      <c r="AT547" s="259" t="str">
        <f t="shared" si="81"/>
        <v>银宝山新</v>
      </c>
      <c r="AU547" s="259" t="str">
        <f t="shared" si="82"/>
        <v>BS-SZGZ20071306-ZB</v>
      </c>
      <c r="AV547" s="259" t="str">
        <f t="shared" si="83"/>
        <v>Oct-24</v>
      </c>
    </row>
    <row r="548" spans="1:48" hidden="1">
      <c r="A548" s="559">
        <v>785</v>
      </c>
      <c r="B548" s="664" t="s">
        <v>927</v>
      </c>
      <c r="C548" s="563" t="s">
        <v>15</v>
      </c>
      <c r="D548" s="645">
        <v>109992</v>
      </c>
      <c r="E548" s="563" t="s">
        <v>886</v>
      </c>
      <c r="F548" s="647" t="s">
        <v>241</v>
      </c>
      <c r="G548" s="647" t="s">
        <v>18</v>
      </c>
      <c r="H548" s="647" t="s">
        <v>26</v>
      </c>
      <c r="I548" s="575" t="s">
        <v>1202</v>
      </c>
      <c r="J548" s="575">
        <v>1</v>
      </c>
      <c r="K548" s="647" t="s">
        <v>746</v>
      </c>
      <c r="L548" s="705">
        <v>44137</v>
      </c>
      <c r="M548" s="665">
        <v>6.4799999999999996E-2</v>
      </c>
      <c r="N548" s="647" t="s">
        <v>1142</v>
      </c>
      <c r="O548" s="647" t="s">
        <v>1154</v>
      </c>
      <c r="P548" s="566" t="str">
        <f>VLOOKUP(A548,'[1]Raw data'!$B:$BB,23,FALSE)</f>
        <v>JPY</v>
      </c>
      <c r="Q548" s="563" t="str">
        <f>VLOOKUP(A548,'[1]Raw data'!$B:$Z,2,FALSE)</f>
        <v>C49SZX20200138JZ</v>
      </c>
      <c r="R548" s="563" t="str">
        <f>VLOOKUP(A548,'[1]Raw data'!$B:$Z,3,FALSE)</f>
        <v>斯迈</v>
      </c>
      <c r="S548" s="563" t="str">
        <f>VLOOKUP(A548,'[1]Raw data'!$B:$Z,4,FALSE)</f>
        <v>YSM10</v>
      </c>
      <c r="T548" s="563" t="str">
        <f>VLOOKUP(A548,'[1]Raw data'!$B:$Z,8,FALSE)</f>
        <v>L-&gt;R</v>
      </c>
      <c r="U548" s="563" t="str">
        <f>VLOOKUP(A548,'[1]Raw data'!$B:$Z,9,FALSE)</f>
        <v>MVC</v>
      </c>
      <c r="V548" s="567" t="str">
        <f t="shared" si="84"/>
        <v>WRONG</v>
      </c>
      <c r="W548" s="563" t="str">
        <f>VLOOKUP(A548,'[1]Raw data'!$B:$AG,32,FALSE)</f>
        <v>DAP GZ</v>
      </c>
      <c r="X548" s="563">
        <f>VLOOKUP(A548,'[1]Raw data'!$B:$BA,31,FALSE)</f>
        <v>44061</v>
      </c>
      <c r="Y548" s="563" t="str">
        <f>VLOOKUP(A548,'[1]Raw data'!$B:$AS,39,FALSE)</f>
        <v>Yes</v>
      </c>
      <c r="Z548" s="659"/>
      <c r="AA548" s="660"/>
      <c r="AB548" s="661"/>
      <c r="AC548" s="647" t="s">
        <v>1105</v>
      </c>
      <c r="AD548" s="662">
        <v>301</v>
      </c>
      <c r="AE548" s="662">
        <v>10</v>
      </c>
      <c r="AF548" s="662"/>
      <c r="AG548" s="662"/>
      <c r="AH548" s="662"/>
      <c r="AI548" s="663"/>
      <c r="AN548" s="542"/>
      <c r="AO548" s="824" t="str">
        <f t="shared" si="76"/>
        <v>Yes</v>
      </c>
      <c r="AP548" s="259" t="str">
        <f t="shared" si="77"/>
        <v>NOV 20</v>
      </c>
      <c r="AQ548" s="542" t="str">
        <f t="shared" si="78"/>
        <v>有定金+有預留客戶</v>
      </c>
      <c r="AR548" s="259" t="str">
        <f t="shared" si="79"/>
        <v>Shipped_Stock</v>
      </c>
      <c r="AS548" s="259" t="str">
        <f t="shared" si="80"/>
        <v/>
      </c>
      <c r="AT548" s="259" t="str">
        <f t="shared" si="81"/>
        <v>斯迈</v>
      </c>
      <c r="AU548" s="259" t="str">
        <f t="shared" si="82"/>
        <v>C49SZX20200138JZ</v>
      </c>
      <c r="AV548" s="259" t="str">
        <f t="shared" si="83"/>
        <v>Nov-02</v>
      </c>
    </row>
    <row r="549" spans="1:48" hidden="1">
      <c r="A549" s="559">
        <v>749</v>
      </c>
      <c r="B549" s="664" t="s">
        <v>927</v>
      </c>
      <c r="C549" s="563" t="s">
        <v>15</v>
      </c>
      <c r="D549" s="645">
        <v>109992</v>
      </c>
      <c r="E549" s="563" t="s">
        <v>886</v>
      </c>
      <c r="F549" s="647" t="s">
        <v>241</v>
      </c>
      <c r="G549" s="647" t="s">
        <v>18</v>
      </c>
      <c r="H549" s="647" t="s">
        <v>26</v>
      </c>
      <c r="I549" s="575" t="s">
        <v>1203</v>
      </c>
      <c r="J549" s="575">
        <v>1</v>
      </c>
      <c r="K549" s="647" t="s">
        <v>746</v>
      </c>
      <c r="L549" s="705">
        <v>44137</v>
      </c>
      <c r="M549" s="665">
        <v>6.4799999999999996E-2</v>
      </c>
      <c r="N549" s="647" t="s">
        <v>1142</v>
      </c>
      <c r="O549" s="647" t="s">
        <v>1154</v>
      </c>
      <c r="P549" s="566" t="str">
        <f>VLOOKUP(A549,'[1]Raw data'!$B:$BB,23,FALSE)</f>
        <v>JPY</v>
      </c>
      <c r="Q549" s="563" t="str">
        <f>VLOOKUP(A549,'[1]Raw data'!$B:$Z,2,FALSE)</f>
        <v>C49SZX20200120SX</v>
      </c>
      <c r="R549" s="563" t="str">
        <f>VLOOKUP(A549,'[1]Raw data'!$B:$Z,3,FALSE)</f>
        <v>凌鑫</v>
      </c>
      <c r="S549" s="563" t="str">
        <f>VLOOKUP(A549,'[1]Raw data'!$B:$Z,4,FALSE)</f>
        <v>YSM10</v>
      </c>
      <c r="T549" s="563" t="str">
        <f>VLOOKUP(A549,'[1]Raw data'!$B:$Z,8,FALSE)</f>
        <v>L-&gt;R</v>
      </c>
      <c r="U549" s="563" t="str">
        <f>VLOOKUP(A549,'[1]Raw data'!$B:$Z,9,FALSE)</f>
        <v>MVC</v>
      </c>
      <c r="V549" s="567" t="str">
        <f t="shared" si="84"/>
        <v>WRONG</v>
      </c>
      <c r="W549" s="563" t="str">
        <f>VLOOKUP(A549,'[1]Raw data'!$B:$AG,32,FALSE)</f>
        <v>DAP SZ</v>
      </c>
      <c r="X549" s="563">
        <f>VLOOKUP(A549,'[1]Raw data'!$B:$BA,31,FALSE)</f>
        <v>44041</v>
      </c>
      <c r="Y549" s="563" t="str">
        <f>VLOOKUP(A549,'[1]Raw data'!$B:$AS,39,FALSE)</f>
        <v>Yes</v>
      </c>
      <c r="Z549" s="659"/>
      <c r="AA549" s="660"/>
      <c r="AB549" s="661"/>
      <c r="AC549" s="647" t="s">
        <v>1204</v>
      </c>
      <c r="AD549" s="662">
        <v>301</v>
      </c>
      <c r="AE549" s="662">
        <v>10</v>
      </c>
      <c r="AF549" s="662"/>
      <c r="AG549" s="662"/>
      <c r="AH549" s="662"/>
      <c r="AI549" s="663"/>
      <c r="AN549" s="542"/>
      <c r="AO549" s="824" t="str">
        <f t="shared" si="76"/>
        <v>Yes</v>
      </c>
      <c r="AP549" s="259" t="str">
        <f t="shared" si="77"/>
        <v>NOV 20</v>
      </c>
      <c r="AQ549" s="542" t="str">
        <f t="shared" si="78"/>
        <v>有定金+有預留客戶</v>
      </c>
      <c r="AR549" s="259" t="str">
        <f t="shared" si="79"/>
        <v>Shipped_Stock</v>
      </c>
      <c r="AS549" s="259" t="str">
        <f t="shared" si="80"/>
        <v/>
      </c>
      <c r="AT549" s="259" t="str">
        <f t="shared" si="81"/>
        <v>凌鑫</v>
      </c>
      <c r="AU549" s="259" t="str">
        <f t="shared" si="82"/>
        <v>C49SZX20200120SX</v>
      </c>
      <c r="AV549" s="259" t="str">
        <f t="shared" si="83"/>
        <v>Nov-02</v>
      </c>
    </row>
    <row r="550" spans="1:48" hidden="1">
      <c r="A550" s="559">
        <v>786</v>
      </c>
      <c r="B550" s="664" t="s">
        <v>927</v>
      </c>
      <c r="C550" s="563" t="s">
        <v>15</v>
      </c>
      <c r="D550" s="645">
        <v>109992</v>
      </c>
      <c r="E550" s="563" t="s">
        <v>886</v>
      </c>
      <c r="F550" s="647" t="s">
        <v>241</v>
      </c>
      <c r="G550" s="647" t="s">
        <v>18</v>
      </c>
      <c r="H550" s="647" t="s">
        <v>26</v>
      </c>
      <c r="I550" s="575" t="s">
        <v>1205</v>
      </c>
      <c r="J550" s="575">
        <v>1</v>
      </c>
      <c r="K550" s="647" t="s">
        <v>746</v>
      </c>
      <c r="L550" s="705">
        <v>44137</v>
      </c>
      <c r="M550" s="665">
        <v>6.4799999999999996E-2</v>
      </c>
      <c r="N550" s="647" t="s">
        <v>1142</v>
      </c>
      <c r="O550" s="647" t="s">
        <v>1154</v>
      </c>
      <c r="P550" s="566" t="str">
        <f>VLOOKUP(A550,'[1]Raw data'!$B:$BB,23,FALSE)</f>
        <v>JPY</v>
      </c>
      <c r="Q550" s="563" t="str">
        <f>VLOOKUP(A550,'[1]Raw data'!$B:$Z,2,FALSE)</f>
        <v>C49SZX20200138JZ</v>
      </c>
      <c r="R550" s="563" t="str">
        <f>VLOOKUP(A550,'[1]Raw data'!$B:$Z,3,FALSE)</f>
        <v>斯迈</v>
      </c>
      <c r="S550" s="563" t="str">
        <f>VLOOKUP(A550,'[1]Raw data'!$B:$Z,4,FALSE)</f>
        <v>YSM10</v>
      </c>
      <c r="T550" s="563" t="str">
        <f>VLOOKUP(A550,'[1]Raw data'!$B:$Z,8,FALSE)</f>
        <v>L-&gt;R</v>
      </c>
      <c r="U550" s="563" t="str">
        <f>VLOOKUP(A550,'[1]Raw data'!$B:$Z,9,FALSE)</f>
        <v>MVC</v>
      </c>
      <c r="V550" s="567" t="str">
        <f t="shared" si="84"/>
        <v>WRONG</v>
      </c>
      <c r="W550" s="563" t="str">
        <f>VLOOKUP(A550,'[1]Raw data'!$B:$AG,32,FALSE)</f>
        <v>DAP GZ</v>
      </c>
      <c r="X550" s="563">
        <f>VLOOKUP(A550,'[1]Raw data'!$B:$BA,31,FALSE)</f>
        <v>44061</v>
      </c>
      <c r="Y550" s="563" t="str">
        <f>VLOOKUP(A550,'[1]Raw data'!$B:$AS,39,FALSE)</f>
        <v>Yes</v>
      </c>
      <c r="Z550" s="659"/>
      <c r="AA550" s="660"/>
      <c r="AB550" s="661"/>
      <c r="AC550" s="647" t="s">
        <v>1105</v>
      </c>
      <c r="AD550" s="662">
        <v>301</v>
      </c>
      <c r="AE550" s="662">
        <v>10</v>
      </c>
      <c r="AF550" s="662"/>
      <c r="AG550" s="662"/>
      <c r="AH550" s="662"/>
      <c r="AI550" s="663"/>
      <c r="AN550" s="542"/>
      <c r="AO550" s="824" t="str">
        <f t="shared" si="76"/>
        <v>Yes</v>
      </c>
      <c r="AP550" s="259" t="str">
        <f t="shared" si="77"/>
        <v>NOV 20</v>
      </c>
      <c r="AQ550" s="542" t="str">
        <f t="shared" si="78"/>
        <v>有定金+有預留客戶</v>
      </c>
      <c r="AR550" s="259" t="str">
        <f t="shared" si="79"/>
        <v>Shipped_Stock</v>
      </c>
      <c r="AS550" s="259" t="str">
        <f t="shared" si="80"/>
        <v/>
      </c>
      <c r="AT550" s="259" t="str">
        <f t="shared" si="81"/>
        <v>斯迈</v>
      </c>
      <c r="AU550" s="259" t="str">
        <f t="shared" si="82"/>
        <v>C49SZX20200138JZ</v>
      </c>
      <c r="AV550" s="259" t="str">
        <f t="shared" si="83"/>
        <v>Nov-02</v>
      </c>
    </row>
    <row r="551" spans="1:48" hidden="1">
      <c r="A551" s="559">
        <v>787</v>
      </c>
      <c r="B551" s="664" t="s">
        <v>927</v>
      </c>
      <c r="C551" s="563" t="s">
        <v>15</v>
      </c>
      <c r="D551" s="645">
        <v>109992</v>
      </c>
      <c r="E551" s="563" t="s">
        <v>886</v>
      </c>
      <c r="F551" s="647" t="s">
        <v>241</v>
      </c>
      <c r="G551" s="647" t="s">
        <v>18</v>
      </c>
      <c r="H551" s="647" t="s">
        <v>26</v>
      </c>
      <c r="I551" s="575" t="s">
        <v>1206</v>
      </c>
      <c r="J551" s="575">
        <v>1</v>
      </c>
      <c r="K551" s="647" t="s">
        <v>746</v>
      </c>
      <c r="L551" s="705">
        <v>44137</v>
      </c>
      <c r="M551" s="665">
        <v>6.4799999999999996E-2</v>
      </c>
      <c r="N551" s="647" t="s">
        <v>1142</v>
      </c>
      <c r="O551" s="647" t="s">
        <v>1154</v>
      </c>
      <c r="P551" s="566" t="str">
        <f>VLOOKUP(A551,'[1]Raw data'!$B:$BB,23,FALSE)</f>
        <v>JPY</v>
      </c>
      <c r="Q551" s="563" t="str">
        <f>VLOOKUP(A551,'[1]Raw data'!$B:$Z,2,FALSE)</f>
        <v>C49SZX20200138JZ</v>
      </c>
      <c r="R551" s="563" t="str">
        <f>VLOOKUP(A551,'[1]Raw data'!$B:$Z,3,FALSE)</f>
        <v>斯迈</v>
      </c>
      <c r="S551" s="563" t="str">
        <f>VLOOKUP(A551,'[1]Raw data'!$B:$Z,4,FALSE)</f>
        <v>YSM10</v>
      </c>
      <c r="T551" s="563" t="str">
        <f>VLOOKUP(A551,'[1]Raw data'!$B:$Z,8,FALSE)</f>
        <v>L-&gt;R</v>
      </c>
      <c r="U551" s="563" t="str">
        <f>VLOOKUP(A551,'[1]Raw data'!$B:$Z,9,FALSE)</f>
        <v>MVC</v>
      </c>
      <c r="V551" s="567" t="str">
        <f t="shared" si="84"/>
        <v>WRONG</v>
      </c>
      <c r="W551" s="563" t="str">
        <f>VLOOKUP(A551,'[1]Raw data'!$B:$AG,32,FALSE)</f>
        <v>DAP GZ</v>
      </c>
      <c r="X551" s="563">
        <f>VLOOKUP(A551,'[1]Raw data'!$B:$BA,31,FALSE)</f>
        <v>44061</v>
      </c>
      <c r="Y551" s="563" t="str">
        <f>VLOOKUP(A551,'[1]Raw data'!$B:$AS,39,FALSE)</f>
        <v>Yes</v>
      </c>
      <c r="Z551" s="659"/>
      <c r="AA551" s="660"/>
      <c r="AB551" s="661"/>
      <c r="AC551" s="647" t="s">
        <v>1105</v>
      </c>
      <c r="AD551" s="662">
        <v>301</v>
      </c>
      <c r="AE551" s="662">
        <v>10</v>
      </c>
      <c r="AF551" s="662"/>
      <c r="AG551" s="662"/>
      <c r="AH551" s="662"/>
      <c r="AI551" s="663"/>
      <c r="AN551" s="542"/>
      <c r="AO551" s="824" t="str">
        <f t="shared" si="76"/>
        <v>Yes</v>
      </c>
      <c r="AP551" s="259" t="str">
        <f t="shared" si="77"/>
        <v>NOV 20</v>
      </c>
      <c r="AQ551" s="542" t="str">
        <f t="shared" si="78"/>
        <v>有定金+有預留客戶</v>
      </c>
      <c r="AR551" s="259" t="str">
        <f t="shared" si="79"/>
        <v>Shipped_Stock</v>
      </c>
      <c r="AS551" s="259" t="str">
        <f t="shared" si="80"/>
        <v/>
      </c>
      <c r="AT551" s="259" t="str">
        <f t="shared" si="81"/>
        <v>斯迈</v>
      </c>
      <c r="AU551" s="259" t="str">
        <f t="shared" si="82"/>
        <v>C49SZX20200138JZ</v>
      </c>
      <c r="AV551" s="259" t="str">
        <f t="shared" si="83"/>
        <v>Nov-02</v>
      </c>
    </row>
    <row r="552" spans="1:48" hidden="1">
      <c r="A552" s="559">
        <v>735</v>
      </c>
      <c r="B552" s="664" t="s">
        <v>927</v>
      </c>
      <c r="C552" s="563" t="s">
        <v>15</v>
      </c>
      <c r="D552" s="645" t="s">
        <v>1207</v>
      </c>
      <c r="E552" s="563" t="s">
        <v>1208</v>
      </c>
      <c r="F552" s="647" t="s">
        <v>241</v>
      </c>
      <c r="G552" s="647" t="s">
        <v>18</v>
      </c>
      <c r="H552" s="647" t="s">
        <v>26</v>
      </c>
      <c r="I552" s="575" t="s">
        <v>1209</v>
      </c>
      <c r="J552" s="575">
        <v>1</v>
      </c>
      <c r="K552" s="647" t="s">
        <v>1210</v>
      </c>
      <c r="L552" s="675">
        <v>44137</v>
      </c>
      <c r="M552" s="665">
        <v>6.5000000000000002E-2</v>
      </c>
      <c r="N552" s="647" t="s">
        <v>1142</v>
      </c>
      <c r="O552" s="647" t="s">
        <v>1154</v>
      </c>
      <c r="P552" s="566" t="str">
        <f>VLOOKUP(A552,'[1]Raw data'!$B:$BB,23,FALSE)</f>
        <v>JPY</v>
      </c>
      <c r="Q552" s="563" t="str">
        <f>VLOOKUP(A552,'[1]Raw data'!$B:$Z,2,FALSE)</f>
        <v>C49SZX20200188JY</v>
      </c>
      <c r="R552" s="563" t="str">
        <f>VLOOKUP(A552,'[1]Raw data'!$B:$Z,3,FALSE)</f>
        <v>光瑞新（end user：海纳科）</v>
      </c>
      <c r="S552" s="563" t="str">
        <f>VLOOKUP(A552,'[1]Raw data'!$B:$Z,4,FALSE)</f>
        <v>YSM10</v>
      </c>
      <c r="T552" s="563" t="str">
        <f>VLOOKUP(A552,'[1]Raw data'!$B:$Z,8,FALSE)</f>
        <v>R-&gt;L</v>
      </c>
      <c r="U552" s="563" t="str">
        <f>VLOOKUP(A552,'[1]Raw data'!$B:$Z,9,FALSE)</f>
        <v>MVC</v>
      </c>
      <c r="V552" s="567" t="str">
        <f t="shared" si="84"/>
        <v>WRONG</v>
      </c>
      <c r="W552" s="563" t="str">
        <f>VLOOKUP(A552,'[1]Raw data'!$B:$AG,32,FALSE)</f>
        <v>DAP SZ</v>
      </c>
      <c r="X552" s="563">
        <f>VLOOKUP(A552,'[1]Raw data'!$B:$BA,31,FALSE)</f>
        <v>44032</v>
      </c>
      <c r="Y552" s="563" t="str">
        <f>VLOOKUP(A552,'[1]Raw data'!$B:$AS,39,FALSE)</f>
        <v>Yes</v>
      </c>
      <c r="Z552" s="711"/>
      <c r="AA552" s="712"/>
      <c r="AB552" s="713"/>
      <c r="AC552" s="647" t="s">
        <v>1082</v>
      </c>
      <c r="AD552" s="714">
        <v>301</v>
      </c>
      <c r="AE552" s="714">
        <v>10</v>
      </c>
      <c r="AF552" s="714"/>
      <c r="AG552" s="714"/>
      <c r="AH552" s="714"/>
      <c r="AI552" s="715"/>
      <c r="AJ552" s="606"/>
      <c r="AK552" s="606"/>
      <c r="AL552" s="606"/>
      <c r="AM552" s="606"/>
      <c r="AN552" s="594"/>
      <c r="AO552" s="824" t="str">
        <f t="shared" si="76"/>
        <v>Yes</v>
      </c>
      <c r="AP552" s="259" t="str">
        <f t="shared" si="77"/>
        <v>NOV 20</v>
      </c>
      <c r="AQ552" s="542" t="str">
        <f t="shared" si="78"/>
        <v>有定金+有預留客戶</v>
      </c>
      <c r="AR552" s="259" t="str">
        <f t="shared" si="79"/>
        <v>Shipped_Stock</v>
      </c>
      <c r="AS552" s="259" t="str">
        <f t="shared" si="80"/>
        <v/>
      </c>
      <c r="AT552" s="259" t="str">
        <f t="shared" si="81"/>
        <v>光瑞新（end user：海纳科）</v>
      </c>
      <c r="AU552" s="259" t="str">
        <f t="shared" si="82"/>
        <v>C49SZX20200188JY</v>
      </c>
      <c r="AV552" s="259" t="str">
        <f t="shared" si="83"/>
        <v>Nov-02</v>
      </c>
    </row>
    <row r="553" spans="1:48" hidden="1">
      <c r="A553" s="559">
        <v>763</v>
      </c>
      <c r="B553" s="664" t="s">
        <v>280</v>
      </c>
      <c r="C553" s="563" t="s">
        <v>15</v>
      </c>
      <c r="D553" s="645" t="s">
        <v>1207</v>
      </c>
      <c r="E553" s="563" t="s">
        <v>886</v>
      </c>
      <c r="F553" s="647" t="s">
        <v>241</v>
      </c>
      <c r="G553" s="647" t="s">
        <v>18</v>
      </c>
      <c r="H553" s="647" t="s">
        <v>26</v>
      </c>
      <c r="I553" s="575" t="s">
        <v>1211</v>
      </c>
      <c r="J553" s="575">
        <v>1</v>
      </c>
      <c r="K553" s="647" t="s">
        <v>295</v>
      </c>
      <c r="L553" s="675">
        <v>44137</v>
      </c>
      <c r="M553" s="665">
        <v>6.5000000000000002E-2</v>
      </c>
      <c r="N553" s="647" t="s">
        <v>1142</v>
      </c>
      <c r="O553" s="575" t="s">
        <v>1154</v>
      </c>
      <c r="P553" s="566" t="str">
        <f>VLOOKUP(A553,'[1]Raw data'!$B:$BB,23,FALSE)</f>
        <v>RMB</v>
      </c>
      <c r="Q553" s="563" t="str">
        <f>VLOOKUP(A553,'[1]Raw data'!$B:$Z,2,FALSE)</f>
        <v>C49SZX20200121JL</v>
      </c>
      <c r="R553" s="563" t="str">
        <f>VLOOKUP(A553,'[1]Raw data'!$B:$Z,3,FALSE)</f>
        <v>刻锐</v>
      </c>
      <c r="S553" s="563" t="str">
        <f>VLOOKUP(A553,'[1]Raw data'!$B:$Z,4,FALSE)</f>
        <v>YSM10</v>
      </c>
      <c r="T553" s="563" t="str">
        <f>VLOOKUP(A553,'[1]Raw data'!$B:$Z,8,FALSE)</f>
        <v>L-&gt;R</v>
      </c>
      <c r="U553" s="563" t="str">
        <f>VLOOKUP(A553,'[1]Raw data'!$B:$Z,9,FALSE)</f>
        <v>MVC</v>
      </c>
      <c r="V553" s="567" t="str">
        <f t="shared" si="84"/>
        <v>WRONG</v>
      </c>
      <c r="W553" s="563" t="str">
        <f>VLOOKUP(A553,'[1]Raw data'!$B:$AG,32,FALSE)</f>
        <v>含税到厂</v>
      </c>
      <c r="X553" s="563">
        <f>VLOOKUP(A553,'[1]Raw data'!$B:$BA,31,FALSE)</f>
        <v>44068</v>
      </c>
      <c r="Y553" s="563" t="str">
        <f>VLOOKUP(A553,'[1]Raw data'!$B:$AS,39,FALSE)</f>
        <v>Yes</v>
      </c>
      <c r="Z553" s="659"/>
      <c r="AA553" s="660"/>
      <c r="AB553" s="661"/>
      <c r="AC553" s="647" t="s">
        <v>1185</v>
      </c>
      <c r="AD553" s="662">
        <v>301</v>
      </c>
      <c r="AE553" s="662">
        <v>10</v>
      </c>
      <c r="AF553" s="662"/>
      <c r="AG553" s="662"/>
      <c r="AH553" s="662"/>
      <c r="AI553" s="663"/>
      <c r="AN553" s="542"/>
      <c r="AO553" s="824" t="str">
        <f t="shared" si="76"/>
        <v>Yes</v>
      </c>
      <c r="AP553" s="259" t="str">
        <f t="shared" si="77"/>
        <v>NOV 20</v>
      </c>
      <c r="AQ553" s="542" t="str">
        <f t="shared" si="78"/>
        <v>有定金+有預留客戶</v>
      </c>
      <c r="AR553" s="259" t="str">
        <f t="shared" si="79"/>
        <v>Shipped_Stock</v>
      </c>
      <c r="AS553" s="259" t="str">
        <f t="shared" si="80"/>
        <v/>
      </c>
      <c r="AT553" s="259" t="str">
        <f t="shared" si="81"/>
        <v>刻锐</v>
      </c>
      <c r="AU553" s="259" t="str">
        <f t="shared" si="82"/>
        <v>C49SZX20200121JL</v>
      </c>
      <c r="AV553" s="259" t="str">
        <f t="shared" si="83"/>
        <v>Nov-02</v>
      </c>
    </row>
    <row r="554" spans="1:48" hidden="1">
      <c r="A554" s="559">
        <v>789</v>
      </c>
      <c r="B554" s="664" t="s">
        <v>927</v>
      </c>
      <c r="C554" s="563" t="s">
        <v>15</v>
      </c>
      <c r="D554" s="645" t="s">
        <v>1207</v>
      </c>
      <c r="E554" s="563" t="s">
        <v>886</v>
      </c>
      <c r="F554" s="647" t="s">
        <v>241</v>
      </c>
      <c r="G554" s="647" t="s">
        <v>18</v>
      </c>
      <c r="H554" s="647" t="s">
        <v>26</v>
      </c>
      <c r="I554" s="575" t="s">
        <v>1212</v>
      </c>
      <c r="J554" s="575">
        <v>1</v>
      </c>
      <c r="K554" s="647" t="s">
        <v>746</v>
      </c>
      <c r="L554" s="675">
        <v>44137</v>
      </c>
      <c r="M554" s="665">
        <v>6.5000000000000002E-2</v>
      </c>
      <c r="N554" s="647" t="s">
        <v>1142</v>
      </c>
      <c r="O554" s="575" t="s">
        <v>1154</v>
      </c>
      <c r="P554" s="566" t="str">
        <f>VLOOKUP(A554,'[1]Raw data'!$B:$BB,23,FALSE)</f>
        <v>RMB</v>
      </c>
      <c r="Q554" s="563" t="str">
        <f>VLOOKUP(A554,'[1]Raw data'!$B:$Z,2,FALSE)</f>
        <v>C49SZX20200133JL</v>
      </c>
      <c r="R554" s="563" t="str">
        <f>VLOOKUP(A554,'[1]Raw data'!$B:$Z,3,FALSE)</f>
        <v>通通旺</v>
      </c>
      <c r="S554" s="563" t="str">
        <f>VLOOKUP(A554,'[1]Raw data'!$B:$Z,4,FALSE)</f>
        <v>YSM10</v>
      </c>
      <c r="T554" s="563" t="str">
        <f>VLOOKUP(A554,'[1]Raw data'!$B:$Z,8,FALSE)</f>
        <v>L-&gt;R</v>
      </c>
      <c r="U554" s="563" t="str">
        <f>VLOOKUP(A554,'[1]Raw data'!$B:$Z,9,FALSE)</f>
        <v>MVC</v>
      </c>
      <c r="V554" s="567" t="str">
        <f t="shared" si="84"/>
        <v>WRONG</v>
      </c>
      <c r="W554" s="563" t="str">
        <f>VLOOKUP(A554,'[1]Raw data'!$B:$AG,32,FALSE)</f>
        <v>含税到厂</v>
      </c>
      <c r="X554" s="563">
        <f>VLOOKUP(A554,'[1]Raw data'!$B:$BA,31,FALSE)</f>
        <v>44061</v>
      </c>
      <c r="Y554" s="563" t="str">
        <f>VLOOKUP(A554,'[1]Raw data'!$B:$AS,39,FALSE)</f>
        <v>Yes</v>
      </c>
      <c r="Z554" s="659"/>
      <c r="AA554" s="660"/>
      <c r="AB554" s="661"/>
      <c r="AC554" s="647" t="s">
        <v>1213</v>
      </c>
      <c r="AD554" s="662">
        <v>301</v>
      </c>
      <c r="AE554" s="662">
        <v>10</v>
      </c>
      <c r="AF554" s="662"/>
      <c r="AG554" s="662"/>
      <c r="AH554" s="662"/>
      <c r="AI554" s="663"/>
      <c r="AN554" s="542"/>
      <c r="AO554" s="824" t="str">
        <f t="shared" si="76"/>
        <v>Yes</v>
      </c>
      <c r="AP554" s="259" t="str">
        <f t="shared" si="77"/>
        <v>NOV 20</v>
      </c>
      <c r="AQ554" s="542" t="str">
        <f t="shared" si="78"/>
        <v>有定金+有預留客戶</v>
      </c>
      <c r="AR554" s="259" t="str">
        <f t="shared" si="79"/>
        <v>Shipped_Stock</v>
      </c>
      <c r="AS554" s="259" t="str">
        <f t="shared" si="80"/>
        <v/>
      </c>
      <c r="AT554" s="259" t="str">
        <f t="shared" si="81"/>
        <v>通通旺</v>
      </c>
      <c r="AU554" s="259" t="str">
        <f t="shared" si="82"/>
        <v>C49SZX20200133JL</v>
      </c>
      <c r="AV554" s="259" t="str">
        <f t="shared" si="83"/>
        <v>Nov-02</v>
      </c>
    </row>
    <row r="555" spans="1:48" hidden="1">
      <c r="A555" s="559">
        <v>740</v>
      </c>
      <c r="B555" s="560" t="s">
        <v>1125</v>
      </c>
      <c r="C555" s="563" t="s">
        <v>15</v>
      </c>
      <c r="D555" s="645">
        <v>110034</v>
      </c>
      <c r="E555" s="646" t="s">
        <v>1214</v>
      </c>
      <c r="F555" s="647" t="s">
        <v>154</v>
      </c>
      <c r="G555" s="647" t="s">
        <v>24</v>
      </c>
      <c r="H555" s="647" t="s">
        <v>27</v>
      </c>
      <c r="I555" s="575" t="s">
        <v>1215</v>
      </c>
      <c r="J555" s="575">
        <v>1</v>
      </c>
      <c r="K555" s="647" t="s">
        <v>437</v>
      </c>
      <c r="L555" s="675">
        <v>44137</v>
      </c>
      <c r="M555" s="665" t="s">
        <v>906</v>
      </c>
      <c r="N555" s="647" t="s">
        <v>90</v>
      </c>
      <c r="O555" s="575" t="s">
        <v>1154</v>
      </c>
      <c r="P555" s="665" t="str">
        <f>VLOOKUP(A555,'[1]Raw data'!$B:$BA,23,FALSE)</f>
        <v>JPY</v>
      </c>
      <c r="Q555" s="647" t="str">
        <f>VLOOKUP(A555,'[1]Raw data'!$B:$Z,2,FALSE)</f>
        <v>C49SZX20210028DZ</v>
      </c>
      <c r="R555" s="647" t="str">
        <f>VLOOKUP(A555,'[1]Raw data'!$B:$Z,3,FALSE)</f>
        <v>平方兆赫</v>
      </c>
      <c r="S555" s="647" t="str">
        <f>VLOOKUP(A555,'[1]Raw data'!$B:$Z,4,FALSE)</f>
        <v>YSM20WR-2</v>
      </c>
      <c r="T555" s="647" t="str">
        <f>VLOOKUP(A555,'[1]Raw data'!$B:$Z,8,FALSE)</f>
        <v>L-&gt;R</v>
      </c>
      <c r="U555" s="647" t="str">
        <f>VLOOKUP(A555,'[1]Raw data'!$B:$Z,9,FALSE)</f>
        <v>MVC</v>
      </c>
      <c r="V555" s="567" t="str">
        <f t="shared" si="84"/>
        <v>OK</v>
      </c>
      <c r="W555" s="563" t="str">
        <f>VLOOKUP(A555,'[1]Raw data'!$B:$AG,32,FALSE)</f>
        <v>CIF HK</v>
      </c>
      <c r="X555" s="647">
        <f>VLOOKUP(A555,'[1]Raw data'!$B:$BA,31,FALSE)</f>
        <v>44265</v>
      </c>
      <c r="Y555" s="647" t="str">
        <f>VLOOKUP(A555,'[1]Raw data'!$B:$AS,39,FALSE)</f>
        <v>Yes</v>
      </c>
      <c r="Z555" s="659"/>
      <c r="AA555" s="660"/>
      <c r="AB555" s="661"/>
      <c r="AC555" s="647" t="s">
        <v>1216</v>
      </c>
      <c r="AD555" s="662"/>
      <c r="AE555" s="662"/>
      <c r="AF555" s="662"/>
      <c r="AG555" s="662"/>
      <c r="AH555" s="662"/>
      <c r="AI555" s="663"/>
      <c r="AN555" s="542"/>
      <c r="AO555" s="824" t="str">
        <f t="shared" si="76"/>
        <v>Yes</v>
      </c>
      <c r="AP555" s="259" t="str">
        <f t="shared" si="77"/>
        <v>APR 21</v>
      </c>
      <c r="AQ555" s="542" t="str">
        <f t="shared" si="78"/>
        <v>有定金+有預留客戶</v>
      </c>
      <c r="AR555" s="259" t="str">
        <f t="shared" si="79"/>
        <v>Shipped_Stock</v>
      </c>
      <c r="AS555" s="259" t="str">
        <f t="shared" si="80"/>
        <v/>
      </c>
      <c r="AT555" s="259" t="str">
        <f t="shared" si="81"/>
        <v>平方兆赫</v>
      </c>
      <c r="AU555" s="259" t="str">
        <f t="shared" si="82"/>
        <v>C49SZX20210028DZ</v>
      </c>
      <c r="AV555" s="259" t="str">
        <f t="shared" si="83"/>
        <v>Nov-02</v>
      </c>
    </row>
    <row r="556" spans="1:48" hidden="1">
      <c r="A556" s="559">
        <v>794</v>
      </c>
      <c r="B556" s="560" t="s">
        <v>280</v>
      </c>
      <c r="C556" s="563" t="s">
        <v>15</v>
      </c>
      <c r="D556" s="645">
        <v>110055</v>
      </c>
      <c r="E556" s="563" t="s">
        <v>886</v>
      </c>
      <c r="F556" s="647" t="s">
        <v>241</v>
      </c>
      <c r="G556" s="647" t="s">
        <v>24</v>
      </c>
      <c r="H556" s="647" t="s">
        <v>1217</v>
      </c>
      <c r="I556" s="575" t="s">
        <v>1218</v>
      </c>
      <c r="J556" s="575">
        <v>1</v>
      </c>
      <c r="K556" s="647" t="s">
        <v>311</v>
      </c>
      <c r="L556" s="675">
        <v>44142</v>
      </c>
      <c r="M556" s="665" t="s">
        <v>906</v>
      </c>
      <c r="N556" s="647" t="s">
        <v>1142</v>
      </c>
      <c r="O556" s="575" t="s">
        <v>1154</v>
      </c>
      <c r="P556" s="566" t="str">
        <f>VLOOKUP(A556,'[1]Raw data'!$B:$BB,23,FALSE)</f>
        <v>USD</v>
      </c>
      <c r="Q556" s="563" t="str">
        <f>VLOOKUP(A556,'[1]Raw data'!$B:$Z,2,FALSE)</f>
        <v>C49SZX20200146RW</v>
      </c>
      <c r="R556" s="563" t="str">
        <f>VLOOKUP(A556,'[1]Raw data'!$B:$Z,3,FALSE)</f>
        <v>高伟</v>
      </c>
      <c r="S556" s="563" t="str">
        <f>VLOOKUP(A556,'[1]Raw data'!$B:$Z,4,FALSE)</f>
        <v>YSM10-HM5</v>
      </c>
      <c r="T556" s="563" t="str">
        <f>VLOOKUP(A556,'[1]Raw data'!$B:$Z,8,FALSE)</f>
        <v>L-&gt;R</v>
      </c>
      <c r="U556" s="563" t="str">
        <f>VLOOKUP(A556,'[1]Raw data'!$B:$Z,9,FALSE)</f>
        <v>MVC+ATS15</v>
      </c>
      <c r="V556" s="567" t="str">
        <f t="shared" si="84"/>
        <v>WRONG</v>
      </c>
      <c r="W556" s="563" t="str">
        <f>VLOOKUP(A556,'[1]Raw data'!$B:$AG,32,FALSE)</f>
        <v>CIF HK</v>
      </c>
      <c r="X556" s="563">
        <f>VLOOKUP(A556,'[1]Raw data'!$B:$BA,31,FALSE)</f>
        <v>44070</v>
      </c>
      <c r="Y556" s="563" t="str">
        <f>VLOOKUP(A556,'[1]Raw data'!$B:$AS,39,FALSE)</f>
        <v>Yes</v>
      </c>
      <c r="Z556" s="659"/>
      <c r="AA556" s="660"/>
      <c r="AB556" s="661"/>
      <c r="AC556" s="647" t="s">
        <v>1219</v>
      </c>
      <c r="AD556" s="662">
        <v>302</v>
      </c>
      <c r="AE556" s="662">
        <v>10</v>
      </c>
      <c r="AF556" s="662"/>
      <c r="AG556" s="662"/>
      <c r="AH556" s="662"/>
      <c r="AI556" s="663"/>
      <c r="AN556" s="542"/>
      <c r="AO556" s="824" t="str">
        <f t="shared" si="76"/>
        <v>Yes</v>
      </c>
      <c r="AP556" s="259" t="str">
        <f t="shared" si="77"/>
        <v>NOV 20</v>
      </c>
      <c r="AQ556" s="542" t="str">
        <f t="shared" si="78"/>
        <v>有定金+有預留客戶</v>
      </c>
      <c r="AR556" s="259" t="str">
        <f t="shared" si="79"/>
        <v>Shipped_Stock</v>
      </c>
      <c r="AS556" s="259" t="str">
        <f t="shared" si="80"/>
        <v/>
      </c>
      <c r="AT556" s="259" t="str">
        <f t="shared" si="81"/>
        <v>高伟</v>
      </c>
      <c r="AU556" s="259" t="str">
        <f t="shared" si="82"/>
        <v>C49SZX20200146RW</v>
      </c>
      <c r="AV556" s="259" t="str">
        <f t="shared" si="83"/>
        <v>Nov-07</v>
      </c>
    </row>
    <row r="557" spans="1:48" hidden="1">
      <c r="A557" s="559">
        <v>904</v>
      </c>
      <c r="B557" s="560" t="s">
        <v>280</v>
      </c>
      <c r="C557" s="563" t="s">
        <v>15</v>
      </c>
      <c r="D557" s="645">
        <v>110049</v>
      </c>
      <c r="E557" s="646" t="s">
        <v>878</v>
      </c>
      <c r="F557" s="647" t="s">
        <v>241</v>
      </c>
      <c r="G557" s="647" t="s">
        <v>18</v>
      </c>
      <c r="H557" s="647" t="s">
        <v>34</v>
      </c>
      <c r="I557" s="575" t="s">
        <v>1220</v>
      </c>
      <c r="J557" s="575">
        <v>1</v>
      </c>
      <c r="K557" s="647" t="s">
        <v>437</v>
      </c>
      <c r="L557" s="675">
        <v>44142</v>
      </c>
      <c r="M557" s="665">
        <v>6.4199999999999993E-2</v>
      </c>
      <c r="N557" s="647" t="s">
        <v>1142</v>
      </c>
      <c r="O557" s="575"/>
      <c r="P557" s="566" t="str">
        <f>VLOOKUP(A557,'[1]Raw data'!$B:$BB,23,FALSE)</f>
        <v>JPY</v>
      </c>
      <c r="Q557" s="563" t="str">
        <f>VLOOKUP(A557,'[1]Raw data'!$B:$Z,2,FALSE)</f>
        <v>C49SZX20200200SS</v>
      </c>
      <c r="R557" s="563" t="str">
        <f>VLOOKUP(A557,'[1]Raw data'!$B:$Z,3,FALSE)</f>
        <v>君博信</v>
      </c>
      <c r="S557" s="563" t="str">
        <f>VLOOKUP(A557,'[1]Raw data'!$B:$Z,4,FALSE)</f>
        <v>YSM10</v>
      </c>
      <c r="T557" s="563" t="str">
        <f>VLOOKUP(A557,'[1]Raw data'!$B:$Z,8,FALSE)</f>
        <v>L-&gt;R</v>
      </c>
      <c r="U557" s="563" t="str">
        <f>VLOOKUP(A557,'[1]Raw data'!$B:$Z,9,FALSE)</f>
        <v>MVC+ATS15</v>
      </c>
      <c r="V557" s="567" t="str">
        <f t="shared" si="84"/>
        <v>WRONG</v>
      </c>
      <c r="W557" s="563" t="str">
        <f>VLOOKUP(A557,'[1]Raw data'!$B:$AG,32,FALSE)</f>
        <v>DAP SZ</v>
      </c>
      <c r="X557" s="563">
        <f>VLOOKUP(A557,'[1]Raw data'!$B:$BA,31,FALSE)</f>
        <v>44135</v>
      </c>
      <c r="Y557" s="563" t="str">
        <f>VLOOKUP(A557,'[1]Raw data'!$B:$AS,39,FALSE)</f>
        <v>Yes</v>
      </c>
      <c r="Z557" s="659"/>
      <c r="AA557" s="660"/>
      <c r="AB557" s="661"/>
      <c r="AC557" s="563" t="s">
        <v>766</v>
      </c>
      <c r="AD557" s="662">
        <v>301</v>
      </c>
      <c r="AE557" s="662">
        <v>10</v>
      </c>
      <c r="AF557" s="662"/>
      <c r="AG557" s="662"/>
      <c r="AH557" s="662"/>
      <c r="AI557" s="663"/>
      <c r="AN557" s="542"/>
      <c r="AO557" s="824" t="str">
        <f t="shared" si="76"/>
        <v>Yes</v>
      </c>
      <c r="AP557" s="259" t="str">
        <f t="shared" si="77"/>
        <v>NOV 20</v>
      </c>
      <c r="AQ557" s="542" t="str">
        <f t="shared" si="78"/>
        <v>有定金+有預留客戶</v>
      </c>
      <c r="AR557" s="259" t="str">
        <f t="shared" si="79"/>
        <v>Shipped_Stock</v>
      </c>
      <c r="AS557" s="259" t="str">
        <f t="shared" si="80"/>
        <v/>
      </c>
      <c r="AT557" s="259" t="str">
        <f t="shared" si="81"/>
        <v>君博信</v>
      </c>
      <c r="AU557" s="259" t="str">
        <f t="shared" si="82"/>
        <v>C49SZX20200200SS</v>
      </c>
      <c r="AV557" s="259" t="str">
        <f t="shared" si="83"/>
        <v>Nov-07</v>
      </c>
    </row>
    <row r="558" spans="1:48" hidden="1">
      <c r="A558" s="559">
        <v>1026</v>
      </c>
      <c r="B558" s="560" t="s">
        <v>1125</v>
      </c>
      <c r="C558" s="563" t="s">
        <v>15</v>
      </c>
      <c r="D558" s="645">
        <v>110049</v>
      </c>
      <c r="E558" s="646" t="s">
        <v>878</v>
      </c>
      <c r="F558" s="647" t="s">
        <v>241</v>
      </c>
      <c r="G558" s="647" t="s">
        <v>18</v>
      </c>
      <c r="H558" s="647" t="s">
        <v>34</v>
      </c>
      <c r="I558" s="575" t="s">
        <v>1221</v>
      </c>
      <c r="J558" s="575">
        <v>1</v>
      </c>
      <c r="K558" s="647" t="s">
        <v>437</v>
      </c>
      <c r="L558" s="675">
        <v>44142</v>
      </c>
      <c r="M558" s="665">
        <v>6.4199999999999993E-2</v>
      </c>
      <c r="N558" s="647" t="s">
        <v>1127</v>
      </c>
      <c r="O558" s="575"/>
      <c r="P558" s="566" t="str">
        <f>VLOOKUP(A558,'[1]Raw data'!$B:$BB,23,FALSE)</f>
        <v>JPY</v>
      </c>
      <c r="Q558" s="563" t="str">
        <f>VLOOKUP(A558,'[1]Raw data'!$B:$Z,2,FALSE)</f>
        <v>C49SZX20200242DZ</v>
      </c>
      <c r="R558" s="563" t="str">
        <f>VLOOKUP(A558,'[1]Raw data'!$B:$Z,3,FALSE)</f>
        <v>朗特</v>
      </c>
      <c r="S558" s="563" t="str">
        <f>VLOOKUP(A558,'[1]Raw data'!$B:$Z,4,FALSE)</f>
        <v>YSM10</v>
      </c>
      <c r="T558" s="563" t="str">
        <f>VLOOKUP(A558,'[1]Raw data'!$B:$Z,8,FALSE)</f>
        <v>R-&gt;L</v>
      </c>
      <c r="U558" s="563" t="str">
        <f>VLOOKUP(A558,'[1]Raw data'!$B:$Z,9,FALSE)</f>
        <v>MVC+ATS15</v>
      </c>
      <c r="V558" s="567" t="str">
        <f t="shared" si="84"/>
        <v>OK</v>
      </c>
      <c r="W558" s="563" t="str">
        <f>VLOOKUP(A558,'[1]Raw data'!$B:$AG,32,FALSE)</f>
        <v>CIF HK</v>
      </c>
      <c r="X558" s="563">
        <f>VLOOKUP(A558,'[1]Raw data'!$B:$BA,31,FALSE)</f>
        <v>44182</v>
      </c>
      <c r="Y558" s="563" t="str">
        <f>VLOOKUP(A558,'[1]Raw data'!$B:$AS,39,FALSE)</f>
        <v>Yes</v>
      </c>
      <c r="Z558" s="659"/>
      <c r="AA558" s="660"/>
      <c r="AB558" s="661"/>
      <c r="AC558" s="647" t="s">
        <v>933</v>
      </c>
      <c r="AD558" s="662">
        <v>301</v>
      </c>
      <c r="AE558" s="662">
        <v>10</v>
      </c>
      <c r="AF558" s="662"/>
      <c r="AG558" s="662"/>
      <c r="AH558" s="662"/>
      <c r="AI558" s="663"/>
      <c r="AN558" s="542"/>
      <c r="AO558" s="824" t="str">
        <f t="shared" si="76"/>
        <v>Yes</v>
      </c>
      <c r="AP558" s="259" t="str">
        <f t="shared" si="77"/>
        <v>JAN 21</v>
      </c>
      <c r="AQ558" s="542" t="str">
        <f t="shared" si="78"/>
        <v>有定金+有預留客戶</v>
      </c>
      <c r="AR558" s="259" t="str">
        <f t="shared" si="79"/>
        <v>Shipped_Stock</v>
      </c>
      <c r="AS558" s="259" t="str">
        <f t="shared" si="80"/>
        <v/>
      </c>
      <c r="AT558" s="259" t="str">
        <f t="shared" si="81"/>
        <v>朗特</v>
      </c>
      <c r="AU558" s="259" t="str">
        <f t="shared" si="82"/>
        <v>C49SZX20200242DZ</v>
      </c>
      <c r="AV558" s="259" t="str">
        <f t="shared" si="83"/>
        <v>Nov-07</v>
      </c>
    </row>
    <row r="559" spans="1:48" hidden="1">
      <c r="A559" s="559">
        <v>744</v>
      </c>
      <c r="B559" s="560" t="s">
        <v>927</v>
      </c>
      <c r="C559" s="563" t="s">
        <v>15</v>
      </c>
      <c r="D559" s="645">
        <v>110049</v>
      </c>
      <c r="E559" s="646" t="s">
        <v>878</v>
      </c>
      <c r="F559" s="647" t="s">
        <v>241</v>
      </c>
      <c r="G559" s="647" t="s">
        <v>18</v>
      </c>
      <c r="H559" s="647" t="s">
        <v>26</v>
      </c>
      <c r="I559" s="575" t="s">
        <v>1222</v>
      </c>
      <c r="J559" s="575">
        <v>1</v>
      </c>
      <c r="K559" s="647" t="s">
        <v>437</v>
      </c>
      <c r="L559" s="675">
        <v>44142</v>
      </c>
      <c r="M559" s="665">
        <v>6.4199999999999993E-2</v>
      </c>
      <c r="N559" s="647" t="s">
        <v>1124</v>
      </c>
      <c r="O559" s="575"/>
      <c r="P559" s="566" t="str">
        <f>VLOOKUP(A559,'[1]Raw data'!$B:$BB,23,FALSE)</f>
        <v>JPY</v>
      </c>
      <c r="Q559" s="563" t="str">
        <f>VLOOKUP(A559,'[1]Raw data'!$B:$Z,2,FALSE)</f>
        <v>C49SZX20200115SX</v>
      </c>
      <c r="R559" s="563" t="str">
        <f>VLOOKUP(A559,'[1]Raw data'!$B:$Z,3,FALSE)</f>
        <v>优控电子</v>
      </c>
      <c r="S559" s="563" t="str">
        <f>VLOOKUP(A559,'[1]Raw data'!$B:$Z,4,FALSE)</f>
        <v>YSM10</v>
      </c>
      <c r="T559" s="563" t="str">
        <f>VLOOKUP(A559,'[1]Raw data'!$B:$Z,8,FALSE)</f>
        <v>L-&gt;R</v>
      </c>
      <c r="U559" s="563" t="str">
        <f>VLOOKUP(A559,'[1]Raw data'!$B:$Z,9,FALSE)</f>
        <v>No</v>
      </c>
      <c r="V559" s="567" t="str">
        <f t="shared" si="84"/>
        <v>WRONG</v>
      </c>
      <c r="W559" s="563" t="str">
        <f>VLOOKUP(A559,'[1]Raw data'!$B:$AG,32,FALSE)</f>
        <v>DAP JX</v>
      </c>
      <c r="X559" s="563">
        <f>VLOOKUP(A559,'[1]Raw data'!$B:$BA,31,FALSE)</f>
        <v>44040</v>
      </c>
      <c r="Y559" s="563" t="str">
        <f>VLOOKUP(A559,'[1]Raw data'!$B:$AS,39,FALSE)</f>
        <v>Yes</v>
      </c>
      <c r="Z559" s="659"/>
      <c r="AA559" s="660"/>
      <c r="AB559" s="661"/>
      <c r="AC559" s="647" t="s">
        <v>1223</v>
      </c>
      <c r="AD559" s="662">
        <v>302</v>
      </c>
      <c r="AE559" s="662">
        <v>10</v>
      </c>
      <c r="AF559" s="662"/>
      <c r="AG559" s="662"/>
      <c r="AH559" s="662"/>
      <c r="AI559" s="663"/>
      <c r="AN559" s="542"/>
      <c r="AO559" s="824" t="str">
        <f t="shared" si="76"/>
        <v>Yes</v>
      </c>
      <c r="AP559" s="259" t="str">
        <f t="shared" si="77"/>
        <v>DEC 20</v>
      </c>
      <c r="AQ559" s="542" t="str">
        <f t="shared" si="78"/>
        <v>有定金+有預留客戶</v>
      </c>
      <c r="AR559" s="259" t="str">
        <f t="shared" si="79"/>
        <v>Shipped_Stock</v>
      </c>
      <c r="AS559" s="259" t="str">
        <f t="shared" si="80"/>
        <v/>
      </c>
      <c r="AT559" s="259" t="str">
        <f t="shared" si="81"/>
        <v>优控电子</v>
      </c>
      <c r="AU559" s="259" t="str">
        <f t="shared" si="82"/>
        <v>C49SZX20200115SX</v>
      </c>
      <c r="AV559" s="259" t="str">
        <f t="shared" si="83"/>
        <v>Nov-07</v>
      </c>
    </row>
    <row r="560" spans="1:48" hidden="1">
      <c r="A560" s="559">
        <v>830</v>
      </c>
      <c r="B560" s="560" t="s">
        <v>280</v>
      </c>
      <c r="C560" s="563" t="s">
        <v>15</v>
      </c>
      <c r="D560" s="645">
        <v>110049</v>
      </c>
      <c r="E560" s="646" t="s">
        <v>878</v>
      </c>
      <c r="F560" s="647" t="s">
        <v>58</v>
      </c>
      <c r="G560" s="647" t="s">
        <v>24</v>
      </c>
      <c r="H560" s="647" t="s">
        <v>26</v>
      </c>
      <c r="I560" s="575" t="s">
        <v>1224</v>
      </c>
      <c r="J560" s="575">
        <v>1</v>
      </c>
      <c r="K560" s="647" t="s">
        <v>437</v>
      </c>
      <c r="L560" s="675">
        <v>44142</v>
      </c>
      <c r="M560" s="665">
        <v>6.4199999999999993E-2</v>
      </c>
      <c r="N560" s="647" t="s">
        <v>1142</v>
      </c>
      <c r="O560" s="575"/>
      <c r="P560" s="566" t="str">
        <f>VLOOKUP(A560,'[1]Raw data'!$B:$BB,23,FALSE)</f>
        <v>RMB</v>
      </c>
      <c r="Q560" s="563" t="str">
        <f>VLOOKUP(A560,'[1]Raw data'!$B:$Z,2,FALSE)</f>
        <v>C49SZX20200155JD</v>
      </c>
      <c r="R560" s="563" t="str">
        <f>VLOOKUP(A560,'[1]Raw data'!$B:$Z,3,FALSE)</f>
        <v>志华鑫</v>
      </c>
      <c r="S560" s="563" t="str">
        <f>VLOOKUP(A560,'[1]Raw data'!$B:$Z,4,FALSE)</f>
        <v>YSM20R-2</v>
      </c>
      <c r="T560" s="563" t="str">
        <f>VLOOKUP(A560,'[1]Raw data'!$B:$Z,8,FALSE)</f>
        <v>L-&gt;R</v>
      </c>
      <c r="U560" s="563" t="str">
        <f>VLOOKUP(A560,'[1]Raw data'!$B:$Z,9,FALSE)</f>
        <v>No</v>
      </c>
      <c r="V560" s="567" t="str">
        <f t="shared" si="84"/>
        <v>OK</v>
      </c>
      <c r="W560" s="563" t="str">
        <f>VLOOKUP(A560,'[1]Raw data'!$B:$AG,32,FALSE)</f>
        <v>含税到厂</v>
      </c>
      <c r="X560" s="563">
        <f>VLOOKUP(A560,'[1]Raw data'!$B:$BA,31,FALSE)</f>
        <v>44090</v>
      </c>
      <c r="Y560" s="563" t="str">
        <f>VLOOKUP(A560,'[1]Raw data'!$B:$AS,39,FALSE)</f>
        <v>Yes</v>
      </c>
      <c r="Z560" s="659"/>
      <c r="AA560" s="660"/>
      <c r="AB560" s="661"/>
      <c r="AC560" s="647" t="s">
        <v>1158</v>
      </c>
      <c r="AD560" s="662">
        <v>311</v>
      </c>
      <c r="AE560" s="662">
        <v>20</v>
      </c>
      <c r="AF560" s="662"/>
      <c r="AG560" s="662"/>
      <c r="AH560" s="662"/>
      <c r="AI560" s="663"/>
      <c r="AN560" s="542"/>
      <c r="AO560" s="824" t="str">
        <f t="shared" si="76"/>
        <v>Yes</v>
      </c>
      <c r="AP560" s="259" t="str">
        <f t="shared" si="77"/>
        <v>NOV 20</v>
      </c>
      <c r="AQ560" s="542" t="str">
        <f t="shared" si="78"/>
        <v>有定金+有預留客戶</v>
      </c>
      <c r="AR560" s="259" t="str">
        <f t="shared" si="79"/>
        <v>Shipped_Stock</v>
      </c>
      <c r="AS560" s="259" t="str">
        <f t="shared" si="80"/>
        <v/>
      </c>
      <c r="AT560" s="259" t="str">
        <f t="shared" si="81"/>
        <v>志华鑫</v>
      </c>
      <c r="AU560" s="259" t="str">
        <f t="shared" si="82"/>
        <v>C49SZX20200155JD</v>
      </c>
      <c r="AV560" s="259" t="str">
        <f t="shared" si="83"/>
        <v>Nov-07</v>
      </c>
    </row>
    <row r="561" spans="1:48" hidden="1">
      <c r="A561" s="559">
        <v>831</v>
      </c>
      <c r="B561" s="560" t="s">
        <v>280</v>
      </c>
      <c r="C561" s="563" t="s">
        <v>15</v>
      </c>
      <c r="D561" s="645">
        <v>110049</v>
      </c>
      <c r="E561" s="646" t="s">
        <v>878</v>
      </c>
      <c r="F561" s="647" t="s">
        <v>58</v>
      </c>
      <c r="G561" s="647" t="s">
        <v>24</v>
      </c>
      <c r="H561" s="647" t="s">
        <v>26</v>
      </c>
      <c r="I561" s="575" t="s">
        <v>1225</v>
      </c>
      <c r="J561" s="575">
        <v>1</v>
      </c>
      <c r="K561" s="647" t="s">
        <v>437</v>
      </c>
      <c r="L561" s="675">
        <v>44142</v>
      </c>
      <c r="M561" s="665">
        <v>6.4199999999999993E-2</v>
      </c>
      <c r="N561" s="647" t="s">
        <v>1142</v>
      </c>
      <c r="O561" s="575"/>
      <c r="P561" s="566" t="str">
        <f>VLOOKUP(A561,'[1]Raw data'!$B:$BB,23,FALSE)</f>
        <v>RMB</v>
      </c>
      <c r="Q561" s="563" t="str">
        <f>VLOOKUP(A561,'[1]Raw data'!$B:$Z,2,FALSE)</f>
        <v>C49SZX20200155JD</v>
      </c>
      <c r="R561" s="563" t="str">
        <f>VLOOKUP(A561,'[1]Raw data'!$B:$Z,3,FALSE)</f>
        <v>志华鑫</v>
      </c>
      <c r="S561" s="563" t="str">
        <f>VLOOKUP(A561,'[1]Raw data'!$B:$Z,4,FALSE)</f>
        <v>YSM20R-2</v>
      </c>
      <c r="T561" s="563" t="str">
        <f>VLOOKUP(A561,'[1]Raw data'!$B:$Z,8,FALSE)</f>
        <v>L-&gt;R</v>
      </c>
      <c r="U561" s="563" t="str">
        <f>VLOOKUP(A561,'[1]Raw data'!$B:$Z,9,FALSE)</f>
        <v>No</v>
      </c>
      <c r="V561" s="567" t="str">
        <f t="shared" si="84"/>
        <v>OK</v>
      </c>
      <c r="W561" s="563" t="str">
        <f>VLOOKUP(A561,'[1]Raw data'!$B:$AG,32,FALSE)</f>
        <v>含税到厂</v>
      </c>
      <c r="X561" s="563">
        <f>VLOOKUP(A561,'[1]Raw data'!$B:$BA,31,FALSE)</f>
        <v>44090</v>
      </c>
      <c r="Y561" s="563" t="str">
        <f>VLOOKUP(A561,'[1]Raw data'!$B:$AS,39,FALSE)</f>
        <v>Yes</v>
      </c>
      <c r="Z561" s="659"/>
      <c r="AA561" s="660"/>
      <c r="AB561" s="661"/>
      <c r="AC561" s="647" t="s">
        <v>1158</v>
      </c>
      <c r="AD561" s="662">
        <v>302</v>
      </c>
      <c r="AE561" s="662">
        <v>10</v>
      </c>
      <c r="AF561" s="662">
        <v>313</v>
      </c>
      <c r="AG561" s="662">
        <v>10</v>
      </c>
      <c r="AH561" s="662"/>
      <c r="AI561" s="663"/>
      <c r="AN561" s="542"/>
      <c r="AO561" s="824" t="str">
        <f t="shared" si="76"/>
        <v>Yes</v>
      </c>
      <c r="AP561" s="259" t="str">
        <f t="shared" si="77"/>
        <v>NOV 20</v>
      </c>
      <c r="AQ561" s="542" t="str">
        <f t="shared" si="78"/>
        <v>有定金+有預留客戶</v>
      </c>
      <c r="AR561" s="259" t="str">
        <f t="shared" si="79"/>
        <v>Shipped_Stock</v>
      </c>
      <c r="AS561" s="259" t="str">
        <f t="shared" si="80"/>
        <v/>
      </c>
      <c r="AT561" s="259" t="str">
        <f t="shared" si="81"/>
        <v>志华鑫</v>
      </c>
      <c r="AU561" s="259" t="str">
        <f t="shared" si="82"/>
        <v>C49SZX20200155JD</v>
      </c>
      <c r="AV561" s="259" t="str">
        <f t="shared" si="83"/>
        <v>Nov-07</v>
      </c>
    </row>
    <row r="562" spans="1:48" hidden="1">
      <c r="A562" s="559">
        <v>792</v>
      </c>
      <c r="B562" s="664" t="s">
        <v>927</v>
      </c>
      <c r="C562" s="563" t="s">
        <v>15</v>
      </c>
      <c r="D562" s="645">
        <v>110025</v>
      </c>
      <c r="E562" s="563" t="s">
        <v>886</v>
      </c>
      <c r="F562" s="647" t="s">
        <v>241</v>
      </c>
      <c r="G562" s="647" t="s">
        <v>18</v>
      </c>
      <c r="H562" s="647" t="s">
        <v>26</v>
      </c>
      <c r="I562" s="575" t="s">
        <v>1226</v>
      </c>
      <c r="J562" s="575">
        <v>1</v>
      </c>
      <c r="K562" s="647" t="s">
        <v>437</v>
      </c>
      <c r="L562" s="675">
        <v>44142</v>
      </c>
      <c r="M562" s="665">
        <v>6.4199999999999993E-2</v>
      </c>
      <c r="N562" s="647" t="s">
        <v>1142</v>
      </c>
      <c r="O562" s="575"/>
      <c r="P562" s="566" t="str">
        <f>VLOOKUP(A562,'[1]Raw data'!$B:$BB,23,FALSE)</f>
        <v>JPY</v>
      </c>
      <c r="Q562" s="563" t="str">
        <f>VLOOKUP(A562,'[1]Raw data'!$B:$Z,2,FALSE)</f>
        <v>C49SZX20200137SS</v>
      </c>
      <c r="R562" s="563" t="str">
        <f>VLOOKUP(A562,'[1]Raw data'!$B:$Z,3,FALSE)</f>
        <v>炑炑明</v>
      </c>
      <c r="S562" s="563" t="str">
        <f>VLOOKUP(A562,'[1]Raw data'!$B:$Z,4,FALSE)</f>
        <v>YSM10</v>
      </c>
      <c r="T562" s="563" t="str">
        <f>VLOOKUP(A562,'[1]Raw data'!$B:$Z,8,FALSE)</f>
        <v>L-&gt;R</v>
      </c>
      <c r="U562" s="563" t="str">
        <f>VLOOKUP(A562,'[1]Raw data'!$B:$Z,9,FALSE)</f>
        <v>MVC</v>
      </c>
      <c r="V562" s="567" t="str">
        <f t="shared" si="84"/>
        <v>WRONG</v>
      </c>
      <c r="W562" s="563" t="str">
        <f>VLOOKUP(A562,'[1]Raw data'!$B:$AG,32,FALSE)</f>
        <v>DAP SZ</v>
      </c>
      <c r="X562" s="563">
        <f>VLOOKUP(A562,'[1]Raw data'!$B:$BA,31,FALSE)</f>
        <v>44067</v>
      </c>
      <c r="Y562" s="563" t="str">
        <f>VLOOKUP(A562,'[1]Raw data'!$B:$AS,39,FALSE)</f>
        <v>Yes</v>
      </c>
      <c r="Z562" s="659"/>
      <c r="AA562" s="660"/>
      <c r="AB562" s="661"/>
      <c r="AC562" s="647" t="s">
        <v>1227</v>
      </c>
      <c r="AD562" s="662">
        <v>301</v>
      </c>
      <c r="AE562" s="662">
        <v>10</v>
      </c>
      <c r="AF562" s="662"/>
      <c r="AG562" s="662"/>
      <c r="AH562" s="662"/>
      <c r="AI562" s="663"/>
      <c r="AN562" s="542"/>
      <c r="AO562" s="824" t="str">
        <f t="shared" si="76"/>
        <v>Yes</v>
      </c>
      <c r="AP562" s="259" t="str">
        <f t="shared" si="77"/>
        <v>NOV 20</v>
      </c>
      <c r="AQ562" s="542" t="str">
        <f t="shared" si="78"/>
        <v>有定金+有預留客戶</v>
      </c>
      <c r="AR562" s="259" t="str">
        <f t="shared" si="79"/>
        <v>Shipped_Stock</v>
      </c>
      <c r="AS562" s="259" t="str">
        <f t="shared" si="80"/>
        <v/>
      </c>
      <c r="AT562" s="259" t="str">
        <f t="shared" si="81"/>
        <v>炑炑明</v>
      </c>
      <c r="AU562" s="259" t="str">
        <f t="shared" si="82"/>
        <v>C49SZX20200137SS</v>
      </c>
      <c r="AV562" s="259" t="str">
        <f t="shared" si="83"/>
        <v>Nov-07</v>
      </c>
    </row>
    <row r="563" spans="1:48" hidden="1">
      <c r="A563" s="559">
        <v>803</v>
      </c>
      <c r="B563" s="664" t="s">
        <v>927</v>
      </c>
      <c r="C563" s="563" t="s">
        <v>15</v>
      </c>
      <c r="D563" s="645">
        <v>110025</v>
      </c>
      <c r="E563" s="563" t="s">
        <v>886</v>
      </c>
      <c r="F563" s="647" t="s">
        <v>241</v>
      </c>
      <c r="G563" s="647" t="s">
        <v>18</v>
      </c>
      <c r="H563" s="647" t="s">
        <v>26</v>
      </c>
      <c r="I563" s="575" t="s">
        <v>1228</v>
      </c>
      <c r="J563" s="575">
        <v>1</v>
      </c>
      <c r="K563" s="647"/>
      <c r="L563" s="675">
        <v>44142</v>
      </c>
      <c r="M563" s="665">
        <v>6.4199999999999993E-2</v>
      </c>
      <c r="N563" s="647" t="s">
        <v>1142</v>
      </c>
      <c r="O563" s="575"/>
      <c r="P563" s="566" t="str">
        <f>VLOOKUP(A563,'[1]Raw data'!$B:$BB,23,FALSE)</f>
        <v>JPY</v>
      </c>
      <c r="Q563" s="563" t="str">
        <f>VLOOKUP(A563,'[1]Raw data'!$B:$Z,2,FALSE)</f>
        <v>C49SZX20200150SS</v>
      </c>
      <c r="R563" s="563" t="str">
        <f>VLOOKUP(A563,'[1]Raw data'!$B:$Z,3,FALSE)</f>
        <v>博睿通（end user：锂动力）</v>
      </c>
      <c r="S563" s="563" t="str">
        <f>VLOOKUP(A563,'[1]Raw data'!$B:$Z,4,FALSE)</f>
        <v>YSM10</v>
      </c>
      <c r="T563" s="563" t="str">
        <f>VLOOKUP(A563,'[1]Raw data'!$B:$Z,8,FALSE)</f>
        <v>R-&gt;L</v>
      </c>
      <c r="U563" s="563" t="str">
        <f>VLOOKUP(A563,'[1]Raw data'!$B:$Z,9,FALSE)</f>
        <v>No</v>
      </c>
      <c r="V563" s="567" t="str">
        <f t="shared" si="84"/>
        <v>OK</v>
      </c>
      <c r="W563" s="563" t="str">
        <f>VLOOKUP(A563,'[1]Raw data'!$B:$AG,32,FALSE)</f>
        <v>DAP FS</v>
      </c>
      <c r="X563" s="563">
        <f>VLOOKUP(A563,'[1]Raw data'!$B:$BA,31,FALSE)</f>
        <v>44076</v>
      </c>
      <c r="Y563" s="563" t="str">
        <f>VLOOKUP(A563,'[1]Raw data'!$B:$AS,39,FALSE)</f>
        <v>Yes</v>
      </c>
      <c r="Z563" s="659"/>
      <c r="AA563" s="660"/>
      <c r="AB563" s="661"/>
      <c r="AC563" s="647" t="s">
        <v>1229</v>
      </c>
      <c r="AD563" s="662">
        <v>301</v>
      </c>
      <c r="AE563" s="662">
        <v>10</v>
      </c>
      <c r="AF563" s="662"/>
      <c r="AG563" s="662"/>
      <c r="AH563" s="662"/>
      <c r="AI563" s="663"/>
      <c r="AN563" s="542"/>
      <c r="AO563" s="824" t="str">
        <f t="shared" si="76"/>
        <v>Yes</v>
      </c>
      <c r="AP563" s="259" t="str">
        <f t="shared" si="77"/>
        <v>NOV 20</v>
      </c>
      <c r="AQ563" s="542" t="str">
        <f t="shared" si="78"/>
        <v>有定金+有預留客戶</v>
      </c>
      <c r="AR563" s="259" t="str">
        <f t="shared" si="79"/>
        <v>Shipped_Stock</v>
      </c>
      <c r="AS563" s="259" t="str">
        <f t="shared" si="80"/>
        <v/>
      </c>
      <c r="AT563" s="259" t="str">
        <f t="shared" si="81"/>
        <v>博睿通（end user：锂动力）</v>
      </c>
      <c r="AU563" s="259" t="str">
        <f t="shared" si="82"/>
        <v>C49SZX20200150SS</v>
      </c>
      <c r="AV563" s="259" t="str">
        <f t="shared" si="83"/>
        <v>Nov-07</v>
      </c>
    </row>
    <row r="564" spans="1:48" hidden="1">
      <c r="A564" s="559">
        <v>804</v>
      </c>
      <c r="B564" s="664" t="s">
        <v>927</v>
      </c>
      <c r="C564" s="563" t="s">
        <v>15</v>
      </c>
      <c r="D564" s="645">
        <v>110025</v>
      </c>
      <c r="E564" s="563" t="s">
        <v>886</v>
      </c>
      <c r="F564" s="647" t="s">
        <v>241</v>
      </c>
      <c r="G564" s="647" t="s">
        <v>18</v>
      </c>
      <c r="H564" s="647" t="s">
        <v>26</v>
      </c>
      <c r="I564" s="575" t="s">
        <v>1230</v>
      </c>
      <c r="J564" s="575">
        <v>1</v>
      </c>
      <c r="K564" s="647"/>
      <c r="L564" s="675">
        <v>44142</v>
      </c>
      <c r="M564" s="665">
        <v>6.4199999999999993E-2</v>
      </c>
      <c r="N564" s="647" t="s">
        <v>1142</v>
      </c>
      <c r="O564" s="575"/>
      <c r="P564" s="566" t="str">
        <f>VLOOKUP(A564,'[1]Raw data'!$B:$BB,23,FALSE)</f>
        <v>JPY</v>
      </c>
      <c r="Q564" s="563" t="str">
        <f>VLOOKUP(A564,'[1]Raw data'!$B:$Z,2,FALSE)</f>
        <v>C49SZX20200150SS</v>
      </c>
      <c r="R564" s="563" t="str">
        <f>VLOOKUP(A564,'[1]Raw data'!$B:$Z,3,FALSE)</f>
        <v>博睿通（end user：锂动力）</v>
      </c>
      <c r="S564" s="563" t="str">
        <f>VLOOKUP(A564,'[1]Raw data'!$B:$Z,4,FALSE)</f>
        <v>YSM10</v>
      </c>
      <c r="T564" s="563" t="str">
        <f>VLOOKUP(A564,'[1]Raw data'!$B:$Z,8,FALSE)</f>
        <v>R-&gt;L</v>
      </c>
      <c r="U564" s="563" t="str">
        <f>VLOOKUP(A564,'[1]Raw data'!$B:$Z,9,FALSE)</f>
        <v>No</v>
      </c>
      <c r="V564" s="567" t="str">
        <f t="shared" si="84"/>
        <v>OK</v>
      </c>
      <c r="W564" s="563" t="str">
        <f>VLOOKUP(A564,'[1]Raw data'!$B:$AG,32,FALSE)</f>
        <v>DAP FS</v>
      </c>
      <c r="X564" s="563">
        <f>VLOOKUP(A564,'[1]Raw data'!$B:$BA,31,FALSE)</f>
        <v>44076</v>
      </c>
      <c r="Y564" s="563" t="str">
        <f>VLOOKUP(A564,'[1]Raw data'!$B:$AS,39,FALSE)</f>
        <v>Yes</v>
      </c>
      <c r="Z564" s="659"/>
      <c r="AA564" s="660"/>
      <c r="AB564" s="661"/>
      <c r="AC564" s="647" t="s">
        <v>1229</v>
      </c>
      <c r="AD564" s="662">
        <v>301</v>
      </c>
      <c r="AE564" s="662">
        <v>10</v>
      </c>
      <c r="AF564" s="662"/>
      <c r="AG564" s="662"/>
      <c r="AH564" s="662"/>
      <c r="AI564" s="663"/>
      <c r="AN564" s="542"/>
      <c r="AO564" s="824" t="str">
        <f t="shared" si="76"/>
        <v>Yes</v>
      </c>
      <c r="AP564" s="259" t="str">
        <f t="shared" si="77"/>
        <v>NOV 20</v>
      </c>
      <c r="AQ564" s="542" t="str">
        <f t="shared" si="78"/>
        <v>有定金+有預留客戶</v>
      </c>
      <c r="AR564" s="259" t="str">
        <f t="shared" si="79"/>
        <v>Shipped_Stock</v>
      </c>
      <c r="AS564" s="259" t="str">
        <f t="shared" si="80"/>
        <v/>
      </c>
      <c r="AT564" s="259" t="str">
        <f t="shared" si="81"/>
        <v>博睿通（end user：锂动力）</v>
      </c>
      <c r="AU564" s="259" t="str">
        <f t="shared" si="82"/>
        <v>C49SZX20200150SS</v>
      </c>
      <c r="AV564" s="259" t="str">
        <f t="shared" si="83"/>
        <v>Nov-07</v>
      </c>
    </row>
    <row r="565" spans="1:48" hidden="1">
      <c r="A565" s="559">
        <v>745</v>
      </c>
      <c r="B565" s="560" t="s">
        <v>927</v>
      </c>
      <c r="C565" s="563" t="s">
        <v>15</v>
      </c>
      <c r="D565" s="645" t="s">
        <v>1231</v>
      </c>
      <c r="E565" s="563" t="s">
        <v>886</v>
      </c>
      <c r="F565" s="647" t="s">
        <v>241</v>
      </c>
      <c r="G565" s="647" t="s">
        <v>18</v>
      </c>
      <c r="H565" s="647" t="s">
        <v>26</v>
      </c>
      <c r="I565" s="575" t="s">
        <v>1232</v>
      </c>
      <c r="J565" s="575">
        <v>1</v>
      </c>
      <c r="K565" s="647" t="s">
        <v>437</v>
      </c>
      <c r="L565" s="675">
        <v>44142</v>
      </c>
      <c r="M565" s="678" t="s">
        <v>1233</v>
      </c>
      <c r="N565" s="647" t="s">
        <v>1124</v>
      </c>
      <c r="O565" s="575"/>
      <c r="P565" s="566" t="str">
        <f>VLOOKUP(A565,'[1]Raw data'!$B:$BB,23,FALSE)</f>
        <v>JPY</v>
      </c>
      <c r="Q565" s="563" t="str">
        <f>VLOOKUP(A565,'[1]Raw data'!$B:$Z,2,FALSE)</f>
        <v>C49SZX20200115SX</v>
      </c>
      <c r="R565" s="563" t="str">
        <f>VLOOKUP(A565,'[1]Raw data'!$B:$Z,3,FALSE)</f>
        <v>优控电子</v>
      </c>
      <c r="S565" s="563" t="str">
        <f>VLOOKUP(A565,'[1]Raw data'!$B:$Z,4,FALSE)</f>
        <v>YSM10</v>
      </c>
      <c r="T565" s="563" t="str">
        <f>VLOOKUP(A565,'[1]Raw data'!$B:$Z,8,FALSE)</f>
        <v>L-&gt;R</v>
      </c>
      <c r="U565" s="563" t="str">
        <f>VLOOKUP(A565,'[1]Raw data'!$B:$Z,9,FALSE)</f>
        <v>No</v>
      </c>
      <c r="V565" s="567" t="str">
        <f t="shared" si="84"/>
        <v>WRONG</v>
      </c>
      <c r="W565" s="563" t="str">
        <f>VLOOKUP(A565,'[1]Raw data'!$B:$AG,32,FALSE)</f>
        <v>DAP JX</v>
      </c>
      <c r="X565" s="563">
        <f>VLOOKUP(A565,'[1]Raw data'!$B:$BA,31,FALSE)</f>
        <v>44040</v>
      </c>
      <c r="Y565" s="563" t="str">
        <f>VLOOKUP(A565,'[1]Raw data'!$B:$AS,39,FALSE)</f>
        <v>Yes</v>
      </c>
      <c r="Z565" s="659"/>
      <c r="AA565" s="660"/>
      <c r="AB565" s="661"/>
      <c r="AC565" s="647" t="s">
        <v>1223</v>
      </c>
      <c r="AD565" s="662">
        <v>301</v>
      </c>
      <c r="AE565" s="662">
        <v>10</v>
      </c>
      <c r="AF565" s="662"/>
      <c r="AG565" s="662"/>
      <c r="AH565" s="662"/>
      <c r="AI565" s="663"/>
      <c r="AN565" s="542"/>
      <c r="AO565" s="824" t="str">
        <f t="shared" si="76"/>
        <v>Yes</v>
      </c>
      <c r="AP565" s="259" t="str">
        <f t="shared" si="77"/>
        <v>DEC 20</v>
      </c>
      <c r="AQ565" s="542" t="str">
        <f t="shared" si="78"/>
        <v>有定金+有預留客戶</v>
      </c>
      <c r="AR565" s="259" t="str">
        <f t="shared" si="79"/>
        <v>Shipped_Stock</v>
      </c>
      <c r="AS565" s="259" t="str">
        <f t="shared" si="80"/>
        <v/>
      </c>
      <c r="AT565" s="259" t="str">
        <f t="shared" si="81"/>
        <v>优控电子</v>
      </c>
      <c r="AU565" s="259" t="str">
        <f t="shared" si="82"/>
        <v>C49SZX20200115SX</v>
      </c>
      <c r="AV565" s="259" t="str">
        <f t="shared" si="83"/>
        <v>Nov-07</v>
      </c>
    </row>
    <row r="566" spans="1:48" hidden="1">
      <c r="A566" s="559">
        <v>847</v>
      </c>
      <c r="B566" s="664" t="s">
        <v>927</v>
      </c>
      <c r="C566" s="563" t="s">
        <v>15</v>
      </c>
      <c r="D566" s="645" t="s">
        <v>1231</v>
      </c>
      <c r="E566" s="563" t="s">
        <v>886</v>
      </c>
      <c r="F566" s="647" t="s">
        <v>241</v>
      </c>
      <c r="G566" s="647" t="s">
        <v>18</v>
      </c>
      <c r="H566" s="647" t="s">
        <v>26</v>
      </c>
      <c r="I566" s="575" t="s">
        <v>1234</v>
      </c>
      <c r="J566" s="575">
        <v>1</v>
      </c>
      <c r="K566" s="647"/>
      <c r="L566" s="675">
        <v>44142</v>
      </c>
      <c r="M566" s="676">
        <v>6.3799999999999996E-2</v>
      </c>
      <c r="N566" s="647" t="s">
        <v>1142</v>
      </c>
      <c r="O566" s="575"/>
      <c r="P566" s="566" t="str">
        <f>VLOOKUP(A566,'[1]Raw data'!$B:$BB,23,FALSE)</f>
        <v>RMB</v>
      </c>
      <c r="Q566" s="563" t="str">
        <f>VLOOKUP(A566,'[1]Raw data'!$B:$Z,2,FALSE)</f>
        <v>C49SZX20200168SX</v>
      </c>
      <c r="R566" s="563" t="str">
        <f>VLOOKUP(A566,'[1]Raw data'!$B:$Z,3,FALSE)</f>
        <v>利速达</v>
      </c>
      <c r="S566" s="563" t="str">
        <f>VLOOKUP(A566,'[1]Raw data'!$B:$Z,4,FALSE)</f>
        <v>YSM10</v>
      </c>
      <c r="T566" s="563" t="str">
        <f>VLOOKUP(A566,'[1]Raw data'!$B:$Z,8,FALSE)</f>
        <v>L-&gt;R</v>
      </c>
      <c r="U566" s="563" t="str">
        <f>VLOOKUP(A566,'[1]Raw data'!$B:$Z,9,FALSE)</f>
        <v>MVC</v>
      </c>
      <c r="V566" s="567" t="str">
        <f t="shared" si="84"/>
        <v>WRONG</v>
      </c>
      <c r="W566" s="563" t="str">
        <f>VLOOKUP(A566,'[1]Raw data'!$B:$AG,32,FALSE)</f>
        <v>含税到厂</v>
      </c>
      <c r="X566" s="563">
        <f>VLOOKUP(A566,'[1]Raw data'!$B:$BA,31,FALSE)</f>
        <v>44096</v>
      </c>
      <c r="Y566" s="563" t="str">
        <f>VLOOKUP(A566,'[1]Raw data'!$B:$AS,39,FALSE)</f>
        <v>Yes</v>
      </c>
      <c r="Z566" s="659"/>
      <c r="AA566" s="660"/>
      <c r="AB566" s="661"/>
      <c r="AC566" s="563" t="s">
        <v>720</v>
      </c>
      <c r="AD566" s="662">
        <v>301</v>
      </c>
      <c r="AE566" s="662">
        <v>10</v>
      </c>
      <c r="AF566" s="662"/>
      <c r="AG566" s="662"/>
      <c r="AH566" s="662"/>
      <c r="AI566" s="663"/>
      <c r="AN566" s="542"/>
      <c r="AO566" s="824" t="str">
        <f t="shared" si="76"/>
        <v>Yes</v>
      </c>
      <c r="AP566" s="259" t="str">
        <f t="shared" si="77"/>
        <v>NOV 20</v>
      </c>
      <c r="AQ566" s="542" t="str">
        <f t="shared" si="78"/>
        <v>有定金+有預留客戶</v>
      </c>
      <c r="AR566" s="259" t="str">
        <f t="shared" si="79"/>
        <v>Shipped_Stock</v>
      </c>
      <c r="AS566" s="259" t="str">
        <f t="shared" si="80"/>
        <v/>
      </c>
      <c r="AT566" s="259" t="str">
        <f t="shared" si="81"/>
        <v>利速达</v>
      </c>
      <c r="AU566" s="259" t="str">
        <f t="shared" si="82"/>
        <v>C49SZX20200168SX</v>
      </c>
      <c r="AV566" s="259" t="str">
        <f t="shared" si="83"/>
        <v>Nov-07</v>
      </c>
    </row>
    <row r="567" spans="1:48" hidden="1">
      <c r="A567" s="559">
        <v>866</v>
      </c>
      <c r="B567" s="664" t="s">
        <v>280</v>
      </c>
      <c r="C567" s="664" t="s">
        <v>15</v>
      </c>
      <c r="D567" s="645" t="s">
        <v>1235</v>
      </c>
      <c r="E567" s="646" t="s">
        <v>1236</v>
      </c>
      <c r="F567" s="647" t="s">
        <v>149</v>
      </c>
      <c r="G567" s="647" t="s">
        <v>18</v>
      </c>
      <c r="H567" s="647" t="s">
        <v>26</v>
      </c>
      <c r="I567" s="575" t="s">
        <v>1237</v>
      </c>
      <c r="J567" s="575">
        <v>1</v>
      </c>
      <c r="K567" s="647" t="s">
        <v>1238</v>
      </c>
      <c r="L567" s="657">
        <v>44139</v>
      </c>
      <c r="M567" s="665" t="s">
        <v>906</v>
      </c>
      <c r="N567" s="647" t="s">
        <v>1142</v>
      </c>
      <c r="O567" s="575"/>
      <c r="P567" s="566" t="str">
        <f>VLOOKUP(A567,'[1]Raw data'!$B:$BB,23,FALSE)</f>
        <v>RMB</v>
      </c>
      <c r="Q567" s="563" t="str">
        <f>VLOOKUP(A567,'[1]Raw data'!$B:$Z,2,FALSE)</f>
        <v>C49SZX20200171DZ</v>
      </c>
      <c r="R567" s="563" t="str">
        <f>VLOOKUP(A567,'[1]Raw data'!$B:$Z,3,FALSE)</f>
        <v>皇家显示</v>
      </c>
      <c r="S567" s="563" t="str">
        <f>VLOOKUP(A567,'[1]Raw data'!$B:$Z,4,FALSE)</f>
        <v>YSM40R-4</v>
      </c>
      <c r="T567" s="563" t="str">
        <f>VLOOKUP(A567,'[1]Raw data'!$B:$Z,8,FALSE)</f>
        <v>L-&gt;R</v>
      </c>
      <c r="U567" s="563" t="str">
        <f>VLOOKUP(A567,'[1]Raw data'!$B:$Z,9,FALSE)</f>
        <v>No</v>
      </c>
      <c r="V567" s="567" t="str">
        <f t="shared" si="84"/>
        <v>WRONG</v>
      </c>
      <c r="W567" s="563" t="str">
        <f>VLOOKUP(A567,'[1]Raw data'!$B:$AG,32,FALSE)</f>
        <v>含税到厂</v>
      </c>
      <c r="X567" s="563">
        <f>VLOOKUP(A567,'[1]Raw data'!$B:$BA,31,FALSE)</f>
        <v>44102</v>
      </c>
      <c r="Y567" s="563" t="str">
        <f>VLOOKUP(A567,'[1]Raw data'!$B:$AS,39,FALSE)</f>
        <v>Yes</v>
      </c>
      <c r="Z567" s="659"/>
      <c r="AA567" s="660"/>
      <c r="AB567" s="661"/>
      <c r="AC567" s="647" t="s">
        <v>678</v>
      </c>
      <c r="AD567" s="662"/>
      <c r="AE567" s="662"/>
      <c r="AF567" s="662"/>
      <c r="AG567" s="662"/>
      <c r="AH567" s="662"/>
      <c r="AI567" s="663"/>
      <c r="AN567" s="542"/>
      <c r="AO567" s="824" t="str">
        <f t="shared" si="76"/>
        <v>Yes</v>
      </c>
      <c r="AP567" s="259" t="str">
        <f t="shared" si="77"/>
        <v>NOV 20</v>
      </c>
      <c r="AQ567" s="542" t="str">
        <f t="shared" si="78"/>
        <v>有定金+有預留客戶</v>
      </c>
      <c r="AR567" s="259" t="str">
        <f t="shared" si="79"/>
        <v>Shipped_Stock</v>
      </c>
      <c r="AS567" s="259" t="str">
        <f t="shared" si="80"/>
        <v/>
      </c>
      <c r="AT567" s="259" t="str">
        <f t="shared" si="81"/>
        <v>皇家显示</v>
      </c>
      <c r="AU567" s="259" t="str">
        <f t="shared" si="82"/>
        <v>C49SZX20200171DZ</v>
      </c>
      <c r="AV567" s="259" t="str">
        <f t="shared" si="83"/>
        <v>Nov-04</v>
      </c>
    </row>
    <row r="568" spans="1:48" hidden="1">
      <c r="A568" s="559">
        <v>865</v>
      </c>
      <c r="B568" s="664" t="s">
        <v>280</v>
      </c>
      <c r="C568" s="664" t="s">
        <v>15</v>
      </c>
      <c r="D568" s="645" t="s">
        <v>1235</v>
      </c>
      <c r="E568" s="646" t="s">
        <v>1236</v>
      </c>
      <c r="F568" s="647" t="s">
        <v>149</v>
      </c>
      <c r="G568" s="647" t="s">
        <v>18</v>
      </c>
      <c r="H568" s="647" t="s">
        <v>26</v>
      </c>
      <c r="I568" s="575" t="s">
        <v>1239</v>
      </c>
      <c r="J568" s="575">
        <v>1</v>
      </c>
      <c r="K568" s="647" t="s">
        <v>1238</v>
      </c>
      <c r="L568" s="657">
        <v>44139</v>
      </c>
      <c r="M568" s="665" t="s">
        <v>906</v>
      </c>
      <c r="N568" s="647" t="s">
        <v>1142</v>
      </c>
      <c r="O568" s="647"/>
      <c r="P568" s="566" t="str">
        <f>VLOOKUP(A568,'[1]Raw data'!$B:$BB,23,FALSE)</f>
        <v>RMB</v>
      </c>
      <c r="Q568" s="563" t="str">
        <f>VLOOKUP(A568,'[1]Raw data'!$B:$Z,2,FALSE)</f>
        <v>C49SZX20200171DZ</v>
      </c>
      <c r="R568" s="563" t="str">
        <f>VLOOKUP(A568,'[1]Raw data'!$B:$Z,3,FALSE)</f>
        <v>皇家显示</v>
      </c>
      <c r="S568" s="563" t="str">
        <f>VLOOKUP(A568,'[1]Raw data'!$B:$Z,4,FALSE)</f>
        <v>YSM40R-4</v>
      </c>
      <c r="T568" s="563" t="str">
        <f>VLOOKUP(A568,'[1]Raw data'!$B:$Z,8,FALSE)</f>
        <v>L-&gt;R</v>
      </c>
      <c r="U568" s="563" t="str">
        <f>VLOOKUP(A568,'[1]Raw data'!$B:$Z,9,FALSE)</f>
        <v>No</v>
      </c>
      <c r="V568" s="567" t="str">
        <f t="shared" si="84"/>
        <v>WRONG</v>
      </c>
      <c r="W568" s="563" t="str">
        <f>VLOOKUP(A568,'[1]Raw data'!$B:$AG,32,FALSE)</f>
        <v>含税到厂</v>
      </c>
      <c r="X568" s="563">
        <f>VLOOKUP(A568,'[1]Raw data'!$B:$BA,31,FALSE)</f>
        <v>44102</v>
      </c>
      <c r="Y568" s="563" t="str">
        <f>VLOOKUP(A568,'[1]Raw data'!$B:$AS,39,FALSE)</f>
        <v>Yes</v>
      </c>
      <c r="Z568" s="659"/>
      <c r="AA568" s="660"/>
      <c r="AB568" s="661"/>
      <c r="AC568" s="563" t="s">
        <v>678</v>
      </c>
      <c r="AD568" s="662"/>
      <c r="AE568" s="662"/>
      <c r="AF568" s="662"/>
      <c r="AG568" s="662"/>
      <c r="AH568" s="662"/>
      <c r="AI568" s="663"/>
      <c r="AN568" s="542"/>
      <c r="AO568" s="824" t="str">
        <f t="shared" si="76"/>
        <v>Yes</v>
      </c>
      <c r="AP568" s="259" t="str">
        <f t="shared" si="77"/>
        <v>NOV 20</v>
      </c>
      <c r="AQ568" s="542" t="str">
        <f t="shared" si="78"/>
        <v>有定金+有預留客戶</v>
      </c>
      <c r="AR568" s="259" t="str">
        <f t="shared" si="79"/>
        <v>Shipped_Stock</v>
      </c>
      <c r="AS568" s="259" t="str">
        <f t="shared" si="80"/>
        <v/>
      </c>
      <c r="AT568" s="259" t="str">
        <f t="shared" si="81"/>
        <v>皇家显示</v>
      </c>
      <c r="AU568" s="259" t="str">
        <f t="shared" si="82"/>
        <v>C49SZX20200171DZ</v>
      </c>
      <c r="AV568" s="259" t="str">
        <f t="shared" si="83"/>
        <v>Nov-04</v>
      </c>
    </row>
    <row r="569" spans="1:48" hidden="1">
      <c r="A569" s="559">
        <v>870</v>
      </c>
      <c r="B569" s="560" t="s">
        <v>280</v>
      </c>
      <c r="C569" s="563" t="s">
        <v>4013</v>
      </c>
      <c r="D569" s="645">
        <v>110045</v>
      </c>
      <c r="E569" s="563" t="s">
        <v>886</v>
      </c>
      <c r="F569" s="647" t="s">
        <v>551</v>
      </c>
      <c r="G569" s="647" t="s">
        <v>18</v>
      </c>
      <c r="H569" s="647" t="s">
        <v>26</v>
      </c>
      <c r="I569" s="575" t="s">
        <v>1240</v>
      </c>
      <c r="J569" s="575">
        <v>1</v>
      </c>
      <c r="K569" s="647" t="s">
        <v>437</v>
      </c>
      <c r="L569" s="675">
        <v>44142</v>
      </c>
      <c r="M569" s="665" t="s">
        <v>906</v>
      </c>
      <c r="N569" s="647" t="s">
        <v>1124</v>
      </c>
      <c r="O569" s="575" t="s">
        <v>1154</v>
      </c>
      <c r="P569" s="566" t="str">
        <f>VLOOKUP(A569,'[1]Raw data'!$B:$BB,23,FALSE)</f>
        <v>JPY</v>
      </c>
      <c r="Q569" s="563" t="str">
        <f>VLOOKUP(A569,'[1]Raw data'!$B:$Z,2,FALSE)</f>
        <v>C28SZX20200087KC</v>
      </c>
      <c r="R569" s="563" t="str">
        <f>VLOOKUP(A569,'[1]Raw data'!$B:$Z,3,FALSE)</f>
        <v>嘉裕</v>
      </c>
      <c r="S569" s="563" t="str">
        <f>VLOOKUP(A569,'[1]Raw data'!$B:$Z,4,FALSE)</f>
        <v>YCP10</v>
      </c>
      <c r="T569" s="563" t="str">
        <f>VLOOKUP(A569,'[1]Raw data'!$B:$Z,8,FALSE)</f>
        <v>L-&gt;R</v>
      </c>
      <c r="U569" s="563" t="str">
        <f>VLOOKUP(A569,'[1]Raw data'!$B:$Z,9,FALSE)</f>
        <v>No</v>
      </c>
      <c r="V569" s="567" t="str">
        <f t="shared" si="84"/>
        <v>WRONG</v>
      </c>
      <c r="W569" s="563" t="str">
        <f>VLOOKUP(A569,'[1]Raw data'!$B:$AG,32,FALSE)</f>
        <v>CIF HK</v>
      </c>
      <c r="X569" s="563">
        <f>VLOOKUP(A569,'[1]Raw data'!$B:$BA,31,FALSE)</f>
        <v>44102</v>
      </c>
      <c r="Y569" s="563" t="str">
        <f>VLOOKUP(A569,'[1]Raw data'!$B:$AS,39,FALSE)</f>
        <v>Yes</v>
      </c>
      <c r="Z569" s="659"/>
      <c r="AA569" s="660"/>
      <c r="AB569" s="661"/>
      <c r="AC569" s="563" t="s">
        <v>555</v>
      </c>
      <c r="AD569" s="662"/>
      <c r="AE569" s="662"/>
      <c r="AF569" s="662"/>
      <c r="AG569" s="662"/>
      <c r="AH569" s="662"/>
      <c r="AI569" s="663"/>
      <c r="AN569" s="542"/>
      <c r="AO569" s="824" t="str">
        <f t="shared" si="76"/>
        <v>Yes</v>
      </c>
      <c r="AP569" s="259" t="str">
        <f t="shared" si="77"/>
        <v>DEC 20</v>
      </c>
      <c r="AQ569" s="542" t="str">
        <f t="shared" si="78"/>
        <v>有定金+有預留客戶</v>
      </c>
      <c r="AR569" s="259" t="str">
        <f t="shared" si="79"/>
        <v>Shipped_Stock</v>
      </c>
      <c r="AS569" s="259" t="str">
        <f t="shared" si="80"/>
        <v/>
      </c>
      <c r="AT569" s="259" t="str">
        <f t="shared" si="81"/>
        <v>嘉裕</v>
      </c>
      <c r="AU569" s="259" t="str">
        <f t="shared" si="82"/>
        <v>C28SZX20200087KC</v>
      </c>
      <c r="AV569" s="259" t="str">
        <f t="shared" si="83"/>
        <v>Nov-07</v>
      </c>
    </row>
    <row r="570" spans="1:48" hidden="1">
      <c r="A570" s="559">
        <v>846</v>
      </c>
      <c r="B570" s="560" t="s">
        <v>280</v>
      </c>
      <c r="C570" s="563" t="s">
        <v>4013</v>
      </c>
      <c r="D570" s="645">
        <v>110081</v>
      </c>
      <c r="E570" s="646" t="s">
        <v>886</v>
      </c>
      <c r="F570" s="647" t="s">
        <v>201</v>
      </c>
      <c r="G570" s="647" t="s">
        <v>18</v>
      </c>
      <c r="H570" s="647" t="s">
        <v>26</v>
      </c>
      <c r="I570" s="575" t="s">
        <v>1242</v>
      </c>
      <c r="J570" s="575">
        <v>1</v>
      </c>
      <c r="K570" s="647" t="s">
        <v>437</v>
      </c>
      <c r="L570" s="675">
        <v>44148</v>
      </c>
      <c r="M570" s="665">
        <v>6.4000000000000001E-2</v>
      </c>
      <c r="N570" s="647" t="s">
        <v>1124</v>
      </c>
      <c r="O570" s="575" t="s">
        <v>1154</v>
      </c>
      <c r="P570" s="566" t="str">
        <f>VLOOKUP(A570,'[1]Raw data'!$B:$BB,23,FALSE)</f>
        <v>RMB</v>
      </c>
      <c r="Q570" s="563" t="str">
        <f>VLOOKUP(A570,'[1]Raw data'!$B:$Z,2,FALSE)</f>
        <v>C28SZX20200084KC</v>
      </c>
      <c r="R570" s="563" t="str">
        <f>VLOOKUP(A570,'[1]Raw data'!$B:$Z,3,FALSE)</f>
        <v>鑫联科</v>
      </c>
      <c r="S570" s="563" t="str">
        <f>VLOOKUP(A570,'[1]Raw data'!$B:$Z,4,FALSE)</f>
        <v>YSi-V</v>
      </c>
      <c r="T570" s="563" t="str">
        <f>VLOOKUP(A570,'[1]Raw data'!$B:$Z,8,FALSE)</f>
        <v>R-&gt;L</v>
      </c>
      <c r="U570" s="563" t="str">
        <f>VLOOKUP(A570,'[1]Raw data'!$B:$Z,9,FALSE)</f>
        <v>No</v>
      </c>
      <c r="V570" s="567" t="str">
        <f t="shared" si="84"/>
        <v>OK</v>
      </c>
      <c r="W570" s="563" t="str">
        <f>VLOOKUP(A570,'[1]Raw data'!$B:$AG,32,FALSE)</f>
        <v>含税到厂</v>
      </c>
      <c r="X570" s="563">
        <f>VLOOKUP(A570,'[1]Raw data'!$B:$BA,31,FALSE)</f>
        <v>44091</v>
      </c>
      <c r="Y570" s="563" t="str">
        <f>VLOOKUP(A570,'[1]Raw data'!$B:$AS,39,FALSE)</f>
        <v>No</v>
      </c>
      <c r="Z570" s="659"/>
      <c r="AA570" s="660"/>
      <c r="AB570" s="661"/>
      <c r="AC570" s="647" t="s">
        <v>1243</v>
      </c>
      <c r="AD570" s="662"/>
      <c r="AE570" s="662"/>
      <c r="AF570" s="662"/>
      <c r="AG570" s="662"/>
      <c r="AH570" s="662"/>
      <c r="AI570" s="663"/>
      <c r="AN570" s="542"/>
      <c r="AO570" s="824" t="str">
        <f t="shared" si="76"/>
        <v>No</v>
      </c>
      <c r="AP570" s="259" t="str">
        <f t="shared" si="77"/>
        <v>DEC 20</v>
      </c>
      <c r="AQ570" s="542" t="str">
        <f t="shared" si="78"/>
        <v>无定金+有預留客戶</v>
      </c>
      <c r="AR570" s="259" t="str">
        <f t="shared" si="79"/>
        <v>Shipped_Stock</v>
      </c>
      <c r="AS570" s="259" t="str">
        <f t="shared" si="80"/>
        <v/>
      </c>
      <c r="AT570" s="259" t="str">
        <f t="shared" si="81"/>
        <v>鑫联科</v>
      </c>
      <c r="AU570" s="259" t="str">
        <f t="shared" si="82"/>
        <v>C28SZX20200084KC</v>
      </c>
      <c r="AV570" s="259" t="str">
        <f t="shared" si="83"/>
        <v>Nov-13</v>
      </c>
    </row>
    <row r="571" spans="1:48" hidden="1">
      <c r="A571" s="716" t="s">
        <v>1244</v>
      </c>
      <c r="B571" s="560" t="s">
        <v>1125</v>
      </c>
      <c r="C571" s="563" t="s">
        <v>4013</v>
      </c>
      <c r="D571" s="645">
        <v>110081</v>
      </c>
      <c r="E571" s="646" t="s">
        <v>886</v>
      </c>
      <c r="F571" s="647" t="s">
        <v>201</v>
      </c>
      <c r="G571" s="647" t="s">
        <v>18</v>
      </c>
      <c r="H571" s="647" t="s">
        <v>26</v>
      </c>
      <c r="I571" s="575" t="s">
        <v>1245</v>
      </c>
      <c r="J571" s="575">
        <v>1</v>
      </c>
      <c r="K571" s="647" t="s">
        <v>82</v>
      </c>
      <c r="L571" s="675">
        <v>44148</v>
      </c>
      <c r="M571" s="665">
        <v>6.4000000000000001E-2</v>
      </c>
      <c r="N571" s="647" t="s">
        <v>14</v>
      </c>
      <c r="O571" s="575" t="s">
        <v>1154</v>
      </c>
      <c r="P571" s="717" t="s">
        <v>1246</v>
      </c>
      <c r="Q571" s="710" t="s">
        <v>1247</v>
      </c>
      <c r="R571" s="718" t="s">
        <v>1248</v>
      </c>
      <c r="S571" s="710" t="s">
        <v>201</v>
      </c>
      <c r="T571" s="710" t="s">
        <v>18</v>
      </c>
      <c r="U571" s="710" t="s">
        <v>26</v>
      </c>
      <c r="V571" s="567" t="str">
        <f t="shared" si="84"/>
        <v>OK</v>
      </c>
      <c r="W571" s="563" t="e">
        <f>VLOOKUP(A571,'[1]Raw data'!$B:$AG,32,FALSE)</f>
        <v>#N/A</v>
      </c>
      <c r="X571" s="563" t="e">
        <f>VLOOKUP(A571,'[1]Raw data'!$B:$BA,31,FALSE)</f>
        <v>#N/A</v>
      </c>
      <c r="Y571" s="563" t="e">
        <f>VLOOKUP(A571,'[1]Raw data'!$B:$AS,39,FALSE)</f>
        <v>#N/A</v>
      </c>
      <c r="Z571" s="659"/>
      <c r="AA571" s="660"/>
      <c r="AB571" s="661"/>
      <c r="AC571" s="647" t="s">
        <v>1249</v>
      </c>
      <c r="AD571" s="662"/>
      <c r="AE571" s="662"/>
      <c r="AF571" s="662"/>
      <c r="AG571" s="662"/>
      <c r="AH571" s="662"/>
      <c r="AI571" s="663"/>
      <c r="AN571" s="542"/>
      <c r="AO571" s="824" t="str">
        <f t="shared" si="76"/>
        <v>No</v>
      </c>
      <c r="AP571" s="259" t="str">
        <f t="shared" si="77"/>
        <v>FEB 21</v>
      </c>
      <c r="AQ571" s="542" t="str">
        <f t="shared" si="78"/>
        <v>无定金+有預留客戶</v>
      </c>
      <c r="AR571" s="259" t="str">
        <f t="shared" si="79"/>
        <v>Shipped_Stock</v>
      </c>
      <c r="AS571" s="259" t="str">
        <f t="shared" si="80"/>
        <v/>
      </c>
      <c r="AT571" s="259" t="str">
        <f t="shared" si="81"/>
        <v>中科朗恩</v>
      </c>
      <c r="AU571" s="259" t="str">
        <f t="shared" si="82"/>
        <v>C49SHA20210115/LYJ</v>
      </c>
      <c r="AV571" s="259" t="str">
        <f t="shared" si="83"/>
        <v>Nov-13</v>
      </c>
    </row>
    <row r="572" spans="1:48" hidden="1">
      <c r="A572" s="559">
        <v>828</v>
      </c>
      <c r="B572" s="563" t="s">
        <v>280</v>
      </c>
      <c r="C572" s="560" t="s">
        <v>281</v>
      </c>
      <c r="D572" s="564">
        <v>110050</v>
      </c>
      <c r="E572" s="563" t="s">
        <v>878</v>
      </c>
      <c r="F572" s="563" t="s">
        <v>241</v>
      </c>
      <c r="G572" s="563" t="s">
        <v>18</v>
      </c>
      <c r="H572" s="563" t="s">
        <v>34</v>
      </c>
      <c r="I572" s="564" t="s">
        <v>1250</v>
      </c>
      <c r="J572" s="564">
        <v>1</v>
      </c>
      <c r="K572" s="563" t="s">
        <v>437</v>
      </c>
      <c r="L572" s="565">
        <v>44149</v>
      </c>
      <c r="M572" s="566" t="s">
        <v>906</v>
      </c>
      <c r="N572" s="563" t="s">
        <v>1142</v>
      </c>
      <c r="O572" s="563" t="s">
        <v>1154</v>
      </c>
      <c r="P572" s="566" t="str">
        <f>VLOOKUP(A572,'[1]Raw data'!$B:$BB,23,FALSE)</f>
        <v>JPY</v>
      </c>
      <c r="Q572" s="563" t="str">
        <f>VLOOKUP(A572,'[1]Raw data'!$B:$Z,2,FALSE)</f>
        <v>C49SZX20200160JL</v>
      </c>
      <c r="R572" s="563" t="str">
        <f>VLOOKUP(A572,'[1]Raw data'!$B:$Z,3,FALSE)</f>
        <v>力通威</v>
      </c>
      <c r="S572" s="563" t="str">
        <f>VLOOKUP(A572,'[1]Raw data'!$B:$Z,4,FALSE)</f>
        <v>YSM10</v>
      </c>
      <c r="T572" s="563" t="str">
        <f>VLOOKUP(A572,'[1]Raw data'!$B:$Z,8,FALSE)</f>
        <v>R-&gt;L</v>
      </c>
      <c r="U572" s="563" t="str">
        <f>VLOOKUP(A572,'[1]Raw data'!$B:$Z,9,FALSE)</f>
        <v>MVC+ATS15</v>
      </c>
      <c r="V572" s="567" t="str">
        <f t="shared" si="84"/>
        <v>OK</v>
      </c>
      <c r="W572" s="563" t="str">
        <f>VLOOKUP(A572,'[1]Raw data'!$B:$AG,32,FALSE)</f>
        <v>CIF HK</v>
      </c>
      <c r="X572" s="563">
        <f>VLOOKUP(A572,'[1]Raw data'!$B:$BA,31,FALSE)</f>
        <v>44084</v>
      </c>
      <c r="Y572" s="563" t="str">
        <f>VLOOKUP(A572,'[1]Raw data'!$B:$AS,39,FALSE)</f>
        <v>Yes</v>
      </c>
      <c r="Z572" s="563"/>
      <c r="AA572" s="571"/>
      <c r="AB572" s="571"/>
      <c r="AC572" s="563" t="s">
        <v>565</v>
      </c>
      <c r="AD572" s="571">
        <v>302</v>
      </c>
      <c r="AE572" s="571">
        <v>10</v>
      </c>
      <c r="AG572" s="542"/>
      <c r="AH572" s="542"/>
      <c r="AI572" s="542"/>
      <c r="AJ572" s="581"/>
      <c r="AK572" s="581"/>
      <c r="AL572" s="581"/>
      <c r="AM572" s="581"/>
      <c r="AN572" s="542"/>
      <c r="AO572" s="824" t="str">
        <f t="shared" si="76"/>
        <v>Yes</v>
      </c>
      <c r="AP572" s="259" t="str">
        <f t="shared" si="77"/>
        <v>NOV 20</v>
      </c>
      <c r="AQ572" s="542" t="str">
        <f t="shared" si="78"/>
        <v>有定金+有預留客戶</v>
      </c>
      <c r="AR572" s="259" t="str">
        <f t="shared" si="79"/>
        <v>Shipped_Stock</v>
      </c>
      <c r="AS572" s="259" t="str">
        <f t="shared" si="80"/>
        <v/>
      </c>
      <c r="AT572" s="259" t="str">
        <f t="shared" si="81"/>
        <v>力通威</v>
      </c>
      <c r="AU572" s="259" t="str">
        <f t="shared" si="82"/>
        <v>C49SZX20200160JL</v>
      </c>
      <c r="AV572" s="259" t="str">
        <f t="shared" si="83"/>
        <v>Nov-14</v>
      </c>
    </row>
    <row r="573" spans="1:48" hidden="1">
      <c r="A573" s="559">
        <v>849</v>
      </c>
      <c r="B573" s="560" t="s">
        <v>280</v>
      </c>
      <c r="C573" s="563" t="s">
        <v>15</v>
      </c>
      <c r="D573" s="645">
        <v>110050</v>
      </c>
      <c r="E573" s="646" t="s">
        <v>878</v>
      </c>
      <c r="F573" s="647" t="s">
        <v>241</v>
      </c>
      <c r="G573" s="647" t="s">
        <v>18</v>
      </c>
      <c r="H573" s="647" t="s">
        <v>34</v>
      </c>
      <c r="I573" s="575" t="s">
        <v>1251</v>
      </c>
      <c r="J573" s="575">
        <v>1</v>
      </c>
      <c r="K573" s="647" t="s">
        <v>437</v>
      </c>
      <c r="L573" s="657">
        <v>44149</v>
      </c>
      <c r="M573" s="665" t="s">
        <v>906</v>
      </c>
      <c r="N573" s="647" t="s">
        <v>1124</v>
      </c>
      <c r="O573" s="575" t="s">
        <v>1154</v>
      </c>
      <c r="P573" s="566" t="str">
        <f>VLOOKUP(A573,'[1]Raw data'!$B:$BB,23,FALSE)</f>
        <v>JPY</v>
      </c>
      <c r="Q573" s="563" t="str">
        <f>VLOOKUP(A573,'[1]Raw data'!$B:$Z,2,FALSE)</f>
        <v>C49SZX20200167EC</v>
      </c>
      <c r="R573" s="563" t="str">
        <f>VLOOKUP(A573,'[1]Raw data'!$B:$Z,3,FALSE)</f>
        <v>海红天远</v>
      </c>
      <c r="S573" s="563" t="str">
        <f>VLOOKUP(A573,'[1]Raw data'!$B:$Z,4,FALSE)</f>
        <v>YSM10</v>
      </c>
      <c r="T573" s="563" t="str">
        <f>VLOOKUP(A573,'[1]Raw data'!$B:$Z,8,FALSE)</f>
        <v>L-&gt;R</v>
      </c>
      <c r="U573" s="563" t="str">
        <f>VLOOKUP(A573,'[1]Raw data'!$B:$Z,9,FALSE)</f>
        <v>MVC+ATS15</v>
      </c>
      <c r="V573" s="567" t="str">
        <f t="shared" si="84"/>
        <v>WRONG</v>
      </c>
      <c r="W573" s="563" t="str">
        <f>VLOOKUP(A573,'[1]Raw data'!$B:$AG,32,FALSE)</f>
        <v>CIF HK</v>
      </c>
      <c r="X573" s="563">
        <f>VLOOKUP(A573,'[1]Raw data'!$B:$BA,31,FALSE)</f>
        <v>44092</v>
      </c>
      <c r="Y573" s="563" t="str">
        <f>VLOOKUP(A573,'[1]Raw data'!$B:$AS,39,FALSE)</f>
        <v>Yes</v>
      </c>
      <c r="Z573" s="659"/>
      <c r="AA573" s="660"/>
      <c r="AB573" s="661"/>
      <c r="AC573" s="647" t="s">
        <v>1079</v>
      </c>
      <c r="AD573" s="662">
        <v>302</v>
      </c>
      <c r="AE573" s="662">
        <v>10</v>
      </c>
      <c r="AF573" s="662"/>
      <c r="AG573" s="662"/>
      <c r="AH573" s="662"/>
      <c r="AI573" s="663"/>
      <c r="AN573" s="542"/>
      <c r="AO573" s="824" t="str">
        <f t="shared" si="76"/>
        <v>Yes</v>
      </c>
      <c r="AP573" s="259" t="str">
        <f t="shared" si="77"/>
        <v>DEC 20</v>
      </c>
      <c r="AQ573" s="542" t="str">
        <f t="shared" si="78"/>
        <v>有定金+有預留客戶</v>
      </c>
      <c r="AR573" s="259" t="str">
        <f t="shared" si="79"/>
        <v>Shipped_Stock</v>
      </c>
      <c r="AS573" s="259" t="str">
        <f t="shared" si="80"/>
        <v/>
      </c>
      <c r="AT573" s="259" t="str">
        <f t="shared" si="81"/>
        <v>海红天远</v>
      </c>
      <c r="AU573" s="259" t="str">
        <f t="shared" si="82"/>
        <v>C49SZX20200167EC</v>
      </c>
      <c r="AV573" s="259" t="str">
        <f t="shared" si="83"/>
        <v>Nov-14</v>
      </c>
    </row>
    <row r="574" spans="1:48" hidden="1">
      <c r="A574" s="559">
        <v>833</v>
      </c>
      <c r="B574" s="560" t="s">
        <v>280</v>
      </c>
      <c r="C574" s="563" t="s">
        <v>15</v>
      </c>
      <c r="D574" s="645" t="s">
        <v>1252</v>
      </c>
      <c r="E574" s="646" t="s">
        <v>878</v>
      </c>
      <c r="F574" s="647" t="s">
        <v>241</v>
      </c>
      <c r="G574" s="647" t="s">
        <v>18</v>
      </c>
      <c r="H574" s="647" t="s">
        <v>26</v>
      </c>
      <c r="I574" s="575" t="s">
        <v>1253</v>
      </c>
      <c r="J574" s="575">
        <v>1</v>
      </c>
      <c r="K574" s="647" t="s">
        <v>437</v>
      </c>
      <c r="L574" s="657">
        <v>44149</v>
      </c>
      <c r="M574" s="665">
        <v>6.4000000000000001E-2</v>
      </c>
      <c r="N574" s="647" t="s">
        <v>1142</v>
      </c>
      <c r="O574" s="575" t="s">
        <v>1154</v>
      </c>
      <c r="P574" s="566" t="str">
        <f>VLOOKUP(A574,'[1]Raw data'!$B:$BB,23,FALSE)</f>
        <v>RMB</v>
      </c>
      <c r="Q574" s="563" t="str">
        <f>VLOOKUP(A574,'[1]Raw data'!$B:$Z,2,FALSE)</f>
        <v>C49SZX20200155JD</v>
      </c>
      <c r="R574" s="563" t="str">
        <f>VLOOKUP(A574,'[1]Raw data'!$B:$Z,3,FALSE)</f>
        <v>志华鑫</v>
      </c>
      <c r="S574" s="563" t="str">
        <f>VLOOKUP(A574,'[1]Raw data'!$B:$Z,4,FALSE)</f>
        <v>YSM10</v>
      </c>
      <c r="T574" s="563" t="str">
        <f>VLOOKUP(A574,'[1]Raw data'!$B:$Z,8,FALSE)</f>
        <v>L-&gt;R</v>
      </c>
      <c r="U574" s="563" t="str">
        <f>VLOOKUP(A574,'[1]Raw data'!$B:$Z,9,FALSE)</f>
        <v>MVC</v>
      </c>
      <c r="V574" s="567" t="str">
        <f t="shared" si="84"/>
        <v>WRONG</v>
      </c>
      <c r="W574" s="563" t="str">
        <f>VLOOKUP(A574,'[1]Raw data'!$B:$AG,32,FALSE)</f>
        <v>含税到厂</v>
      </c>
      <c r="X574" s="563">
        <f>VLOOKUP(A574,'[1]Raw data'!$B:$BA,31,FALSE)</f>
        <v>44090</v>
      </c>
      <c r="Y574" s="563" t="str">
        <f>VLOOKUP(A574,'[1]Raw data'!$B:$AS,39,FALSE)</f>
        <v>Yes</v>
      </c>
      <c r="Z574" s="659"/>
      <c r="AA574" s="660"/>
      <c r="AB574" s="661"/>
      <c r="AC574" s="647" t="s">
        <v>1158</v>
      </c>
      <c r="AD574" s="662">
        <v>302</v>
      </c>
      <c r="AE574" s="662">
        <v>10</v>
      </c>
      <c r="AF574" s="662"/>
      <c r="AG574" s="662"/>
      <c r="AH574" s="662"/>
      <c r="AI574" s="663"/>
      <c r="AN574" s="542"/>
      <c r="AO574" s="824" t="str">
        <f t="shared" si="76"/>
        <v>Yes</v>
      </c>
      <c r="AP574" s="259" t="str">
        <f t="shared" si="77"/>
        <v>NOV 20</v>
      </c>
      <c r="AQ574" s="542" t="str">
        <f t="shared" si="78"/>
        <v>有定金+有預留客戶</v>
      </c>
      <c r="AR574" s="259" t="str">
        <f t="shared" si="79"/>
        <v>Shipped_Stock</v>
      </c>
      <c r="AS574" s="259" t="str">
        <f t="shared" si="80"/>
        <v/>
      </c>
      <c r="AT574" s="259" t="str">
        <f t="shared" si="81"/>
        <v>志华鑫</v>
      </c>
      <c r="AU574" s="259" t="str">
        <f t="shared" si="82"/>
        <v>C49SZX20200155JD</v>
      </c>
      <c r="AV574" s="259" t="str">
        <f t="shared" si="83"/>
        <v>Nov-14</v>
      </c>
    </row>
    <row r="575" spans="1:48" hidden="1">
      <c r="A575" s="559">
        <v>845</v>
      </c>
      <c r="B575" s="664" t="s">
        <v>280</v>
      </c>
      <c r="C575" s="563" t="s">
        <v>15</v>
      </c>
      <c r="D575" s="645">
        <v>110043</v>
      </c>
      <c r="E575" s="563" t="s">
        <v>886</v>
      </c>
      <c r="F575" s="647" t="s">
        <v>241</v>
      </c>
      <c r="G575" s="647" t="s">
        <v>18</v>
      </c>
      <c r="H575" s="647" t="s">
        <v>26</v>
      </c>
      <c r="I575" s="575" t="s">
        <v>1254</v>
      </c>
      <c r="J575" s="575">
        <v>1</v>
      </c>
      <c r="K575" s="647" t="s">
        <v>311</v>
      </c>
      <c r="L575" s="675">
        <v>44156</v>
      </c>
      <c r="M575" s="665" t="s">
        <v>906</v>
      </c>
      <c r="N575" s="647" t="s">
        <v>1142</v>
      </c>
      <c r="O575" s="575"/>
      <c r="P575" s="566" t="str">
        <f>VLOOKUP(A575,'[1]Raw data'!$B:$BB,23,FALSE)</f>
        <v>JPY</v>
      </c>
      <c r="Q575" s="563" t="str">
        <f>VLOOKUP(A575,'[1]Raw data'!$B:$Z,2,FALSE)</f>
        <v>C49SZX20200159JY</v>
      </c>
      <c r="R575" s="563" t="str">
        <f>VLOOKUP(A575,'[1]Raw data'!$B:$Z,3,FALSE)</f>
        <v>昊亮迪</v>
      </c>
      <c r="S575" s="563" t="str">
        <f>VLOOKUP(A575,'[1]Raw data'!$B:$Z,4,FALSE)</f>
        <v>YSM10</v>
      </c>
      <c r="T575" s="563" t="str">
        <f>VLOOKUP(A575,'[1]Raw data'!$B:$Z,8,FALSE)</f>
        <v>L-&gt;R</v>
      </c>
      <c r="U575" s="563" t="str">
        <f>VLOOKUP(A575,'[1]Raw data'!$B:$Z,9,FALSE)</f>
        <v>No</v>
      </c>
      <c r="V575" s="567" t="str">
        <f t="shared" si="84"/>
        <v>WRONG</v>
      </c>
      <c r="W575" s="563" t="str">
        <f>VLOOKUP(A575,'[1]Raw data'!$B:$AG,32,FALSE)</f>
        <v>DAP SZ</v>
      </c>
      <c r="X575" s="563">
        <f>VLOOKUP(A575,'[1]Raw data'!$B:$BA,31,FALSE)</f>
        <v>44085</v>
      </c>
      <c r="Y575" s="563" t="str">
        <f>VLOOKUP(A575,'[1]Raw data'!$B:$AS,39,FALSE)</f>
        <v>Yes</v>
      </c>
      <c r="Z575" s="659"/>
      <c r="AA575" s="660"/>
      <c r="AB575" s="661"/>
      <c r="AC575" s="647" t="s">
        <v>1082</v>
      </c>
      <c r="AD575" s="662">
        <v>301</v>
      </c>
      <c r="AE575" s="662">
        <v>10</v>
      </c>
      <c r="AF575" s="662"/>
      <c r="AG575" s="662"/>
      <c r="AH575" s="662"/>
      <c r="AI575" s="663"/>
      <c r="AN575" s="542"/>
      <c r="AO575" s="824" t="str">
        <f t="shared" si="76"/>
        <v>Yes</v>
      </c>
      <c r="AP575" s="259" t="str">
        <f t="shared" si="77"/>
        <v>NOV 20</v>
      </c>
      <c r="AQ575" s="542" t="str">
        <f t="shared" si="78"/>
        <v>有定金+有預留客戶</v>
      </c>
      <c r="AR575" s="259" t="str">
        <f t="shared" si="79"/>
        <v>Shipped_Stock</v>
      </c>
      <c r="AS575" s="259" t="str">
        <f t="shared" si="80"/>
        <v/>
      </c>
      <c r="AT575" s="259" t="str">
        <f t="shared" si="81"/>
        <v>昊亮迪</v>
      </c>
      <c r="AU575" s="259" t="str">
        <f t="shared" si="82"/>
        <v>C49SZX20200159JY</v>
      </c>
      <c r="AV575" s="259" t="str">
        <f t="shared" si="83"/>
        <v>Nov-21</v>
      </c>
    </row>
    <row r="576" spans="1:48" ht="22.5" hidden="1">
      <c r="A576" s="559">
        <v>810</v>
      </c>
      <c r="B576" s="664" t="s">
        <v>280</v>
      </c>
      <c r="C576" s="563" t="s">
        <v>15</v>
      </c>
      <c r="D576" s="645">
        <v>110043</v>
      </c>
      <c r="E576" s="563" t="s">
        <v>886</v>
      </c>
      <c r="F576" s="647" t="s">
        <v>241</v>
      </c>
      <c r="G576" s="647" t="s">
        <v>18</v>
      </c>
      <c r="H576" s="647" t="s">
        <v>26</v>
      </c>
      <c r="I576" s="575" t="s">
        <v>1255</v>
      </c>
      <c r="J576" s="575">
        <v>1</v>
      </c>
      <c r="K576" s="647" t="s">
        <v>311</v>
      </c>
      <c r="L576" s="675">
        <v>44156</v>
      </c>
      <c r="M576" s="678" t="s">
        <v>1256</v>
      </c>
      <c r="N576" s="647" t="s">
        <v>1142</v>
      </c>
      <c r="O576" s="575"/>
      <c r="P576" s="566" t="str">
        <f>VLOOKUP(A576,'[1]Raw data'!$B:$BB,23,FALSE)</f>
        <v>RMB</v>
      </c>
      <c r="Q576" s="563" t="str">
        <f>VLOOKUP(A576,'[1]Raw data'!$B:$Z,2,FALSE)</f>
        <v>C49SZX20200157SX</v>
      </c>
      <c r="R576" s="563" t="str">
        <f>VLOOKUP(A576,'[1]Raw data'!$B:$Z,3,FALSE)</f>
        <v>成景</v>
      </c>
      <c r="S576" s="563" t="str">
        <f>VLOOKUP(A576,'[1]Raw data'!$B:$Z,4,FALSE)</f>
        <v>YSM10</v>
      </c>
      <c r="T576" s="563" t="str">
        <f>VLOOKUP(A576,'[1]Raw data'!$B:$Z,8,FALSE)</f>
        <v>L-&gt;R</v>
      </c>
      <c r="U576" s="563" t="str">
        <f>VLOOKUP(A576,'[1]Raw data'!$B:$Z,9,FALSE)</f>
        <v>MVC</v>
      </c>
      <c r="V576" s="567" t="str">
        <f t="shared" si="84"/>
        <v>WRONG</v>
      </c>
      <c r="W576" s="563" t="str">
        <f>VLOOKUP(A576,'[1]Raw data'!$B:$AG,32,FALSE)</f>
        <v>含税到厂</v>
      </c>
      <c r="X576" s="563">
        <f>VLOOKUP(A576,'[1]Raw data'!$B:$BA,31,FALSE)</f>
        <v>44082</v>
      </c>
      <c r="Y576" s="563" t="str">
        <f>VLOOKUP(A576,'[1]Raw data'!$B:$AS,39,FALSE)</f>
        <v>Yes</v>
      </c>
      <c r="Z576" s="659"/>
      <c r="AA576" s="660"/>
      <c r="AB576" s="661"/>
      <c r="AC576" s="647" t="s">
        <v>1257</v>
      </c>
      <c r="AD576" s="662">
        <v>301</v>
      </c>
      <c r="AE576" s="662">
        <v>10</v>
      </c>
      <c r="AF576" s="662"/>
      <c r="AG576" s="662"/>
      <c r="AH576" s="662"/>
      <c r="AI576" s="663"/>
      <c r="AN576" s="542"/>
      <c r="AO576" s="824" t="str">
        <f t="shared" si="76"/>
        <v>Yes</v>
      </c>
      <c r="AP576" s="259" t="str">
        <f t="shared" si="77"/>
        <v>NOV 20</v>
      </c>
      <c r="AQ576" s="542" t="str">
        <f t="shared" si="78"/>
        <v>有定金+有預留客戶</v>
      </c>
      <c r="AR576" s="259" t="str">
        <f t="shared" si="79"/>
        <v>Shipped_Stock</v>
      </c>
      <c r="AS576" s="259" t="str">
        <f t="shared" si="80"/>
        <v/>
      </c>
      <c r="AT576" s="259" t="str">
        <f t="shared" si="81"/>
        <v>成景</v>
      </c>
      <c r="AU576" s="259" t="str">
        <f t="shared" si="82"/>
        <v>C49SZX20200157SX</v>
      </c>
      <c r="AV576" s="259" t="str">
        <f t="shared" si="83"/>
        <v>Nov-21</v>
      </c>
    </row>
    <row r="577" spans="1:48" hidden="1">
      <c r="A577" s="559">
        <v>811</v>
      </c>
      <c r="B577" s="563" t="s">
        <v>280</v>
      </c>
      <c r="C577" s="560" t="s">
        <v>281</v>
      </c>
      <c r="D577" s="564">
        <v>110043</v>
      </c>
      <c r="E577" s="563" t="s">
        <v>886</v>
      </c>
      <c r="F577" s="563" t="s">
        <v>241</v>
      </c>
      <c r="G577" s="563" t="s">
        <v>18</v>
      </c>
      <c r="H577" s="563" t="s">
        <v>26</v>
      </c>
      <c r="I577" s="564" t="s">
        <v>1258</v>
      </c>
      <c r="J577" s="564">
        <v>1</v>
      </c>
      <c r="K577" s="563" t="s">
        <v>311</v>
      </c>
      <c r="L577" s="565">
        <v>44156</v>
      </c>
      <c r="M577" s="566" t="s">
        <v>906</v>
      </c>
      <c r="N577" s="563" t="s">
        <v>1142</v>
      </c>
      <c r="O577" s="563"/>
      <c r="P577" s="566" t="str">
        <f>VLOOKUP(A577,'[1]Raw data'!$B:$BB,23,FALSE)</f>
        <v>JPY</v>
      </c>
      <c r="Q577" s="563" t="str">
        <f>VLOOKUP(A577,'[1]Raw data'!$B:$Z,2,FALSE)</f>
        <v>C49SZX20200129JL</v>
      </c>
      <c r="R577" s="563" t="str">
        <f>VLOOKUP(A577,'[1]Raw data'!$B:$Z,3,FALSE)</f>
        <v>力通威</v>
      </c>
      <c r="S577" s="563" t="str">
        <f>VLOOKUP(A577,'[1]Raw data'!$B:$Z,4,FALSE)</f>
        <v>YSM10</v>
      </c>
      <c r="T577" s="563" t="str">
        <f>VLOOKUP(A577,'[1]Raw data'!$B:$Z,8,FALSE)</f>
        <v>R-&gt;L</v>
      </c>
      <c r="U577" s="563" t="str">
        <f>VLOOKUP(A577,'[1]Raw data'!$B:$Z,9,FALSE)</f>
        <v>MVC</v>
      </c>
      <c r="V577" s="567" t="str">
        <f t="shared" si="84"/>
        <v>WRONG</v>
      </c>
      <c r="W577" s="563" t="str">
        <f>VLOOKUP(A577,'[1]Raw data'!$B:$AG,32,FALSE)</f>
        <v>CIF HK</v>
      </c>
      <c r="X577" s="563">
        <f>VLOOKUP(A577,'[1]Raw data'!$B:$BA,31,FALSE)</f>
        <v>44081</v>
      </c>
      <c r="Y577" s="563" t="str">
        <f>VLOOKUP(A577,'[1]Raw data'!$B:$AS,39,FALSE)</f>
        <v>Yes</v>
      </c>
      <c r="Z577" s="571"/>
      <c r="AA577" s="571"/>
      <c r="AB577" s="571"/>
      <c r="AC577" s="563" t="s">
        <v>1259</v>
      </c>
      <c r="AD577" s="542">
        <v>301</v>
      </c>
      <c r="AE577" s="542">
        <v>10</v>
      </c>
      <c r="AF577" s="542"/>
      <c r="AG577" s="542"/>
      <c r="AH577" s="542"/>
      <c r="AI577" s="542"/>
      <c r="AJ577" s="581"/>
      <c r="AK577" s="581"/>
      <c r="AL577" s="581"/>
      <c r="AM577" s="581"/>
      <c r="AN577" s="542"/>
      <c r="AO577" s="824" t="str">
        <f t="shared" si="76"/>
        <v>Yes</v>
      </c>
      <c r="AP577" s="259" t="str">
        <f t="shared" si="77"/>
        <v>NOV 20</v>
      </c>
      <c r="AQ577" s="542" t="str">
        <f t="shared" si="78"/>
        <v>有定金+有預留客戶</v>
      </c>
      <c r="AR577" s="259" t="str">
        <f t="shared" si="79"/>
        <v>Shipped_Stock</v>
      </c>
      <c r="AS577" s="259" t="str">
        <f t="shared" si="80"/>
        <v/>
      </c>
      <c r="AT577" s="259" t="str">
        <f t="shared" si="81"/>
        <v>力通威</v>
      </c>
      <c r="AU577" s="259" t="str">
        <f t="shared" si="82"/>
        <v>C49SZX20200129JL</v>
      </c>
      <c r="AV577" s="259" t="str">
        <f t="shared" si="83"/>
        <v>Nov-21</v>
      </c>
    </row>
    <row r="578" spans="1:48" hidden="1">
      <c r="A578" s="559">
        <v>812</v>
      </c>
      <c r="B578" s="563" t="s">
        <v>280</v>
      </c>
      <c r="C578" s="560" t="s">
        <v>281</v>
      </c>
      <c r="D578" s="564" t="s">
        <v>1260</v>
      </c>
      <c r="E578" s="563" t="s">
        <v>886</v>
      </c>
      <c r="F578" s="563" t="s">
        <v>241</v>
      </c>
      <c r="G578" s="563" t="s">
        <v>18</v>
      </c>
      <c r="H578" s="563" t="s">
        <v>26</v>
      </c>
      <c r="I578" s="564" t="s">
        <v>1261</v>
      </c>
      <c r="J578" s="564">
        <v>1</v>
      </c>
      <c r="K578" s="563" t="s">
        <v>311</v>
      </c>
      <c r="L578" s="565">
        <v>44156</v>
      </c>
      <c r="M578" s="566">
        <v>6.4000000000000001E-2</v>
      </c>
      <c r="N578" s="563" t="s">
        <v>1142</v>
      </c>
      <c r="O578" s="563"/>
      <c r="P578" s="566" t="str">
        <f>VLOOKUP(A578,'[1]Raw data'!$B:$BB,23,FALSE)</f>
        <v>JPY</v>
      </c>
      <c r="Q578" s="563" t="str">
        <f>VLOOKUP(A578,'[1]Raw data'!$B:$Z,2,FALSE)</f>
        <v>C49SZX20200129JL</v>
      </c>
      <c r="R578" s="563" t="str">
        <f>VLOOKUP(A578,'[1]Raw data'!$B:$Z,3,FALSE)</f>
        <v>力通威</v>
      </c>
      <c r="S578" s="563" t="str">
        <f>VLOOKUP(A578,'[1]Raw data'!$B:$Z,4,FALSE)</f>
        <v>YSM10</v>
      </c>
      <c r="T578" s="563" t="str">
        <f>VLOOKUP(A578,'[1]Raw data'!$B:$Z,8,FALSE)</f>
        <v>R-&gt;L</v>
      </c>
      <c r="U578" s="563" t="str">
        <f>VLOOKUP(A578,'[1]Raw data'!$B:$Z,9,FALSE)</f>
        <v>MVC</v>
      </c>
      <c r="V578" s="567" t="str">
        <f t="shared" si="84"/>
        <v>WRONG</v>
      </c>
      <c r="W578" s="563" t="str">
        <f>VLOOKUP(A578,'[1]Raw data'!$B:$AG,32,FALSE)</f>
        <v>CIF HK</v>
      </c>
      <c r="X578" s="563">
        <f>VLOOKUP(A578,'[1]Raw data'!$B:$BA,31,FALSE)</f>
        <v>44081</v>
      </c>
      <c r="Y578" s="563" t="str">
        <f>VLOOKUP(A578,'[1]Raw data'!$B:$AS,39,FALSE)</f>
        <v>Yes</v>
      </c>
      <c r="Z578" s="571"/>
      <c r="AA578" s="542"/>
      <c r="AB578" s="542"/>
      <c r="AC578" s="563" t="s">
        <v>1259</v>
      </c>
      <c r="AD578" s="542">
        <v>301</v>
      </c>
      <c r="AE578" s="542">
        <v>10</v>
      </c>
      <c r="AF578" s="542"/>
      <c r="AG578" s="542"/>
      <c r="AH578" s="542"/>
      <c r="AI578" s="542"/>
      <c r="AJ578" s="581"/>
      <c r="AK578" s="581"/>
      <c r="AL578" s="581"/>
      <c r="AM578" s="581"/>
      <c r="AN578" s="542"/>
      <c r="AO578" s="824" t="str">
        <f t="shared" si="76"/>
        <v>Yes</v>
      </c>
      <c r="AP578" s="259" t="str">
        <f t="shared" si="77"/>
        <v>NOV 20</v>
      </c>
      <c r="AQ578" s="542" t="str">
        <f t="shared" si="78"/>
        <v>有定金+有預留客戶</v>
      </c>
      <c r="AR578" s="259" t="str">
        <f t="shared" si="79"/>
        <v>Shipped_Stock</v>
      </c>
      <c r="AS578" s="259" t="str">
        <f t="shared" si="80"/>
        <v/>
      </c>
      <c r="AT578" s="259" t="str">
        <f t="shared" si="81"/>
        <v>力通威</v>
      </c>
      <c r="AU578" s="259" t="str">
        <f t="shared" si="82"/>
        <v>C49SZX20200129JL</v>
      </c>
      <c r="AV578" s="259" t="str">
        <f t="shared" si="83"/>
        <v>Nov-21</v>
      </c>
    </row>
    <row r="579" spans="1:48" hidden="1">
      <c r="A579" s="559">
        <v>813</v>
      </c>
      <c r="B579" s="563" t="s">
        <v>280</v>
      </c>
      <c r="C579" s="560" t="s">
        <v>281</v>
      </c>
      <c r="D579" s="564" t="s">
        <v>1260</v>
      </c>
      <c r="E579" s="563" t="s">
        <v>886</v>
      </c>
      <c r="F579" s="563" t="s">
        <v>241</v>
      </c>
      <c r="G579" s="563" t="s">
        <v>18</v>
      </c>
      <c r="H579" s="563" t="s">
        <v>26</v>
      </c>
      <c r="I579" s="564" t="s">
        <v>1262</v>
      </c>
      <c r="J579" s="564">
        <v>1</v>
      </c>
      <c r="K579" s="563" t="s">
        <v>311</v>
      </c>
      <c r="L579" s="565">
        <v>44156</v>
      </c>
      <c r="M579" s="566">
        <v>6.4000000000000001E-2</v>
      </c>
      <c r="N579" s="563" t="s">
        <v>1142</v>
      </c>
      <c r="O579" s="563"/>
      <c r="P579" s="566" t="str">
        <f>VLOOKUP(A579,'[1]Raw data'!$B:$BB,23,FALSE)</f>
        <v>JPY</v>
      </c>
      <c r="Q579" s="563" t="str">
        <f>VLOOKUP(A579,'[1]Raw data'!$B:$Z,2,FALSE)</f>
        <v>C49SZX20200129JL</v>
      </c>
      <c r="R579" s="563" t="str">
        <f>VLOOKUP(A579,'[1]Raw data'!$B:$Z,3,FALSE)</f>
        <v>力通威</v>
      </c>
      <c r="S579" s="563" t="str">
        <f>VLOOKUP(A579,'[1]Raw data'!$B:$Z,4,FALSE)</f>
        <v>YSM10</v>
      </c>
      <c r="T579" s="563" t="str">
        <f>VLOOKUP(A579,'[1]Raw data'!$B:$Z,8,FALSE)</f>
        <v>R-&gt;L</v>
      </c>
      <c r="U579" s="563" t="str">
        <f>VLOOKUP(A579,'[1]Raw data'!$B:$Z,9,FALSE)</f>
        <v>MVC</v>
      </c>
      <c r="V579" s="567" t="str">
        <f t="shared" si="84"/>
        <v>WRONG</v>
      </c>
      <c r="W579" s="563" t="str">
        <f>VLOOKUP(A579,'[1]Raw data'!$B:$AG,32,FALSE)</f>
        <v>CIF HK</v>
      </c>
      <c r="X579" s="563">
        <f>VLOOKUP(A579,'[1]Raw data'!$B:$BA,31,FALSE)</f>
        <v>44081</v>
      </c>
      <c r="Y579" s="563" t="str">
        <f>VLOOKUP(A579,'[1]Raw data'!$B:$AS,39,FALSE)</f>
        <v>Yes</v>
      </c>
      <c r="Z579" s="542"/>
      <c r="AA579" s="542"/>
      <c r="AB579" s="542"/>
      <c r="AC579" s="563" t="s">
        <v>1259</v>
      </c>
      <c r="AD579" s="542">
        <v>301</v>
      </c>
      <c r="AE579" s="542">
        <v>10</v>
      </c>
      <c r="AF579" s="542"/>
      <c r="AG579" s="542"/>
      <c r="AH579" s="542"/>
      <c r="AI579" s="542"/>
      <c r="AJ579" s="581"/>
      <c r="AK579" s="581"/>
      <c r="AL579" s="581"/>
      <c r="AM579" s="581"/>
      <c r="AN579" s="542"/>
      <c r="AO579" s="824" t="str">
        <f t="shared" ref="AO579:AO642" si="85">IFERROR(IF(Y579&lt;&gt;"",Y579,"No"),"No")</f>
        <v>Yes</v>
      </c>
      <c r="AP579" s="259" t="str">
        <f t="shared" ref="AP579:AP642" si="86">IFERROR(IF(N579&lt;&gt;"",N579,"blank"),"NA")</f>
        <v>NOV 20</v>
      </c>
      <c r="AQ579" s="542" t="str">
        <f t="shared" ref="AQ579:AQ642" si="87">IFERROR(IF(AND(AO579="Yes", AP579&lt;&gt;"blank"), "有定金+有預留客戶", IF(AND(AO579="Yes", AP579="blank"), "有定金+无客戶送貨期", IF(AND(OR(AO579="No", ISBLANK(AO579), AO579="NA"), AP579&lt;&gt;"blank"), "无定金+有預留客戶", IF(AND(OR(AO579="No", ISBLANK(AO579), AO579="NA"), AP579="blank"), "无定金+无預留客戶", "")))), "")</f>
        <v>有定金+有預留客戶</v>
      </c>
      <c r="AR579" s="259" t="str">
        <f t="shared" ref="AR579:AR642" si="88">IFERROR(IF(B579="已经到货", "Instock", IF(B579="有交期", "Incoming_Stock_With_YAMAHA_Schedule", IF(B579="TBA.", "Incoming_Stock_No_YAMAHA_Schedule", IF(B579="已发货", "Shipped_Stock", "")))), "")</f>
        <v>Shipped_Stock</v>
      </c>
      <c r="AS579" s="259" t="str">
        <f t="shared" ref="AS579:AS642" si="89">IF(AND(B579="有交期", L579&lt;&gt;""), L579, "")</f>
        <v/>
      </c>
      <c r="AT579" s="259" t="str">
        <f t="shared" ref="AT579:AT642" si="90">IFERROR(IF(R579&lt;&gt;"",R579),"-")</f>
        <v>力通威</v>
      </c>
      <c r="AU579" s="259" t="str">
        <f t="shared" ref="AU579:AU642" si="91">IFERROR(IF(Q579&lt;&gt;"",Q579),"-")</f>
        <v>C49SZX20200129JL</v>
      </c>
      <c r="AV579" s="259" t="str">
        <f t="shared" ref="AV579:AV642" si="92">IF(L579="","-",TEXT(L579,"mmm-dd"))</f>
        <v>Nov-21</v>
      </c>
    </row>
    <row r="580" spans="1:48" hidden="1">
      <c r="A580" s="559">
        <v>862</v>
      </c>
      <c r="B580" s="664" t="s">
        <v>280</v>
      </c>
      <c r="C580" s="563" t="s">
        <v>15</v>
      </c>
      <c r="D580" s="645">
        <v>110137</v>
      </c>
      <c r="E580" s="563" t="s">
        <v>886</v>
      </c>
      <c r="F580" s="647" t="s">
        <v>58</v>
      </c>
      <c r="G580" s="647" t="s">
        <v>24</v>
      </c>
      <c r="H580" s="647" t="s">
        <v>26</v>
      </c>
      <c r="I580" s="575" t="s">
        <v>1263</v>
      </c>
      <c r="J580" s="575">
        <v>1</v>
      </c>
      <c r="K580" s="647" t="s">
        <v>311</v>
      </c>
      <c r="L580" s="675">
        <v>44156</v>
      </c>
      <c r="M580" s="665">
        <v>6.4000000000000001E-2</v>
      </c>
      <c r="N580" s="647" t="s">
        <v>1142</v>
      </c>
      <c r="O580" s="575">
        <v>2020.11</v>
      </c>
      <c r="P580" s="566" t="str">
        <f>VLOOKUP(A580,'[1]Raw data'!$B:$BB,23,FALSE)</f>
        <v>JPY</v>
      </c>
      <c r="Q580" s="563" t="str">
        <f>VLOOKUP(A580,'[1]Raw data'!$B:$Z,2,FALSE)</f>
        <v>C49SZX20200175JY</v>
      </c>
      <c r="R580" s="563" t="str">
        <f>VLOOKUP(A580,'[1]Raw data'!$B:$Z,3,FALSE)</f>
        <v>百纳海</v>
      </c>
      <c r="S580" s="563" t="str">
        <f>VLOOKUP(A580,'[1]Raw data'!$B:$Z,4,FALSE)</f>
        <v>YSM20R-2</v>
      </c>
      <c r="T580" s="563" t="str">
        <f>VLOOKUP(A580,'[1]Raw data'!$B:$Z,8,FALSE)</f>
        <v>L-&gt;R</v>
      </c>
      <c r="U580" s="563" t="str">
        <f>VLOOKUP(A580,'[1]Raw data'!$B:$Z,9,FALSE)</f>
        <v>No</v>
      </c>
      <c r="V580" s="567" t="str">
        <f t="shared" si="84"/>
        <v>OK</v>
      </c>
      <c r="W580" s="563" t="str">
        <f>VLOOKUP(A580,'[1]Raw data'!$B:$AG,32,FALSE)</f>
        <v>DAP SZ</v>
      </c>
      <c r="X580" s="563">
        <f>VLOOKUP(A580,'[1]Raw data'!$B:$BA,31,FALSE)</f>
        <v>44099</v>
      </c>
      <c r="Y580" s="563" t="str">
        <f>VLOOKUP(A580,'[1]Raw data'!$B:$AS,39,FALSE)</f>
        <v>Yes</v>
      </c>
      <c r="Z580" s="659"/>
      <c r="AA580" s="660"/>
      <c r="AB580" s="661"/>
      <c r="AC580" s="647" t="s">
        <v>1264</v>
      </c>
      <c r="AD580" s="662">
        <v>303</v>
      </c>
      <c r="AE580" s="662">
        <v>20</v>
      </c>
      <c r="AF580" s="662"/>
      <c r="AG580" s="662"/>
      <c r="AH580" s="662"/>
      <c r="AI580" s="663"/>
      <c r="AN580" s="542"/>
      <c r="AO580" s="824" t="str">
        <f t="shared" si="85"/>
        <v>Yes</v>
      </c>
      <c r="AP580" s="259" t="str">
        <f t="shared" si="86"/>
        <v>NOV 20</v>
      </c>
      <c r="AQ580" s="542" t="str">
        <f t="shared" si="87"/>
        <v>有定金+有預留客戶</v>
      </c>
      <c r="AR580" s="259" t="str">
        <f t="shared" si="88"/>
        <v>Shipped_Stock</v>
      </c>
      <c r="AS580" s="259" t="str">
        <f t="shared" si="89"/>
        <v/>
      </c>
      <c r="AT580" s="259" t="str">
        <f t="shared" si="90"/>
        <v>百纳海</v>
      </c>
      <c r="AU580" s="259" t="str">
        <f t="shared" si="91"/>
        <v>C49SZX20200175JY</v>
      </c>
      <c r="AV580" s="259" t="str">
        <f t="shared" si="92"/>
        <v>Nov-21</v>
      </c>
    </row>
    <row r="581" spans="1:48" hidden="1">
      <c r="A581" s="559">
        <v>829</v>
      </c>
      <c r="B581" s="563" t="s">
        <v>280</v>
      </c>
      <c r="C581" s="560" t="s">
        <v>281</v>
      </c>
      <c r="D581" s="564">
        <v>110137</v>
      </c>
      <c r="E581" s="563" t="s">
        <v>886</v>
      </c>
      <c r="F581" s="563" t="s">
        <v>1163</v>
      </c>
      <c r="G581" s="563" t="s">
        <v>24</v>
      </c>
      <c r="H581" s="563" t="s">
        <v>26</v>
      </c>
      <c r="I581" s="564" t="s">
        <v>1265</v>
      </c>
      <c r="J581" s="564">
        <v>1</v>
      </c>
      <c r="K581" s="563" t="s">
        <v>311</v>
      </c>
      <c r="L581" s="565">
        <v>44156</v>
      </c>
      <c r="M581" s="566">
        <v>6.4000000000000001E-2</v>
      </c>
      <c r="N581" s="563" t="s">
        <v>1142</v>
      </c>
      <c r="O581" s="563">
        <v>2020.11</v>
      </c>
      <c r="P581" s="566" t="str">
        <f>VLOOKUP(A581,'[1]Raw data'!$B:$BB,23,FALSE)</f>
        <v>JPY</v>
      </c>
      <c r="Q581" s="563" t="str">
        <f>VLOOKUP(A581,'[1]Raw data'!$B:$Z,2,FALSE)</f>
        <v>C49SZX20200160JL</v>
      </c>
      <c r="R581" s="563" t="str">
        <f>VLOOKUP(A581,'[1]Raw data'!$B:$Z,3,FALSE)</f>
        <v>力通威</v>
      </c>
      <c r="S581" s="563" t="str">
        <f>VLOOKUP(A581,'[1]Raw data'!$B:$Z,4,FALSE)</f>
        <v>YSM20R-2</v>
      </c>
      <c r="T581" s="563" t="str">
        <f>VLOOKUP(A581,'[1]Raw data'!$B:$Z,8,FALSE)</f>
        <v>L-&gt;R</v>
      </c>
      <c r="U581" s="563" t="str">
        <f>VLOOKUP(A581,'[1]Raw data'!$B:$Z,9,FALSE)</f>
        <v>No</v>
      </c>
      <c r="V581" s="567" t="str">
        <f t="shared" si="84"/>
        <v>OK</v>
      </c>
      <c r="W581" s="563" t="str">
        <f>VLOOKUP(A581,'[1]Raw data'!$B:$AG,32,FALSE)</f>
        <v>CIF HK</v>
      </c>
      <c r="X581" s="563">
        <f>VLOOKUP(A581,'[1]Raw data'!$B:$BA,31,FALSE)</f>
        <v>44084</v>
      </c>
      <c r="Y581" s="563" t="str">
        <f>VLOOKUP(A581,'[1]Raw data'!$B:$AS,39,FALSE)</f>
        <v>Yes</v>
      </c>
      <c r="Z581" s="571"/>
      <c r="AA581" s="571"/>
      <c r="AB581" s="571"/>
      <c r="AC581" s="563" t="s">
        <v>565</v>
      </c>
      <c r="AD581" s="542">
        <v>303</v>
      </c>
      <c r="AE581" s="542">
        <v>20</v>
      </c>
      <c r="AF581" s="542"/>
      <c r="AG581" s="542"/>
      <c r="AH581" s="542"/>
      <c r="AI581" s="542"/>
      <c r="AJ581" s="581"/>
      <c r="AK581" s="581"/>
      <c r="AL581" s="581"/>
      <c r="AM581" s="581"/>
      <c r="AN581" s="542"/>
      <c r="AO581" s="824" t="str">
        <f t="shared" si="85"/>
        <v>Yes</v>
      </c>
      <c r="AP581" s="259" t="str">
        <f t="shared" si="86"/>
        <v>NOV 20</v>
      </c>
      <c r="AQ581" s="542" t="str">
        <f t="shared" si="87"/>
        <v>有定金+有預留客戶</v>
      </c>
      <c r="AR581" s="259" t="str">
        <f t="shared" si="88"/>
        <v>Shipped_Stock</v>
      </c>
      <c r="AS581" s="259" t="str">
        <f t="shared" si="89"/>
        <v/>
      </c>
      <c r="AT581" s="259" t="str">
        <f t="shared" si="90"/>
        <v>力通威</v>
      </c>
      <c r="AU581" s="259" t="str">
        <f t="shared" si="91"/>
        <v>C49SZX20200160JL</v>
      </c>
      <c r="AV581" s="259" t="str">
        <f t="shared" si="92"/>
        <v>Nov-21</v>
      </c>
    </row>
    <row r="582" spans="1:48" hidden="1">
      <c r="A582" s="559">
        <v>827</v>
      </c>
      <c r="B582" s="664" t="s">
        <v>280</v>
      </c>
      <c r="C582" s="664" t="s">
        <v>15</v>
      </c>
      <c r="D582" s="645">
        <v>110089</v>
      </c>
      <c r="E582" s="646" t="s">
        <v>1266</v>
      </c>
      <c r="F582" s="647" t="s">
        <v>58</v>
      </c>
      <c r="G582" s="647" t="s">
        <v>24</v>
      </c>
      <c r="H582" s="647" t="s">
        <v>26</v>
      </c>
      <c r="I582" s="575" t="s">
        <v>1267</v>
      </c>
      <c r="J582" s="575">
        <v>1</v>
      </c>
      <c r="K582" s="647" t="s">
        <v>388</v>
      </c>
      <c r="L582" s="657">
        <v>44157</v>
      </c>
      <c r="M582" s="665" t="s">
        <v>906</v>
      </c>
      <c r="N582" s="647" t="s">
        <v>1142</v>
      </c>
      <c r="O582" s="575">
        <v>2020.11</v>
      </c>
      <c r="P582" s="566" t="str">
        <f>VLOOKUP(A582,'[1]Raw data'!$B:$BB,23,FALSE)</f>
        <v>JPY</v>
      </c>
      <c r="Q582" s="563" t="str">
        <f>VLOOKUP(A582,'[1]Raw data'!$B:$Z,2,FALSE)</f>
        <v>C49SZX20200152SX</v>
      </c>
      <c r="R582" s="563" t="str">
        <f>VLOOKUP(A582,'[1]Raw data'!$B:$Z,3,FALSE)</f>
        <v>旭晟</v>
      </c>
      <c r="S582" s="563" t="str">
        <f>VLOOKUP(A582,'[1]Raw data'!$B:$Z,4,FALSE)</f>
        <v>YSM20R-2</v>
      </c>
      <c r="T582" s="563" t="str">
        <f>VLOOKUP(A582,'[1]Raw data'!$B:$Z,8,FALSE)</f>
        <v>L-&gt;R</v>
      </c>
      <c r="U582" s="563" t="str">
        <f>VLOOKUP(A582,'[1]Raw data'!$B:$Z,9,FALSE)</f>
        <v>No</v>
      </c>
      <c r="V582" s="567" t="str">
        <f t="shared" si="84"/>
        <v>OK</v>
      </c>
      <c r="W582" s="563" t="str">
        <f>VLOOKUP(A582,'[1]Raw data'!$B:$AG,32,FALSE)</f>
        <v>DAP SZ</v>
      </c>
      <c r="X582" s="563">
        <f>VLOOKUP(A582,'[1]Raw data'!$B:$BA,31,FALSE)</f>
        <v>44088</v>
      </c>
      <c r="Y582" s="563" t="str">
        <f>VLOOKUP(A582,'[1]Raw data'!$B:$AS,39,FALSE)</f>
        <v>Yes</v>
      </c>
      <c r="Z582" s="666"/>
      <c r="AA582" s="667"/>
      <c r="AB582" s="668"/>
      <c r="AC582" s="645" t="s">
        <v>467</v>
      </c>
      <c r="AD582" s="662"/>
      <c r="AE582" s="662"/>
      <c r="AF582" s="662"/>
      <c r="AG582" s="662"/>
      <c r="AH582" s="662"/>
      <c r="AI582" s="663"/>
      <c r="AN582" s="542"/>
      <c r="AO582" s="824" t="str">
        <f t="shared" si="85"/>
        <v>Yes</v>
      </c>
      <c r="AP582" s="259" t="str">
        <f t="shared" si="86"/>
        <v>NOV 20</v>
      </c>
      <c r="AQ582" s="542" t="str">
        <f t="shared" si="87"/>
        <v>有定金+有預留客戶</v>
      </c>
      <c r="AR582" s="259" t="str">
        <f t="shared" si="88"/>
        <v>Shipped_Stock</v>
      </c>
      <c r="AS582" s="259" t="str">
        <f t="shared" si="89"/>
        <v/>
      </c>
      <c r="AT582" s="259" t="str">
        <f t="shared" si="90"/>
        <v>旭晟</v>
      </c>
      <c r="AU582" s="259" t="str">
        <f t="shared" si="91"/>
        <v>C49SZX20200152SX</v>
      </c>
      <c r="AV582" s="259" t="str">
        <f t="shared" si="92"/>
        <v>Nov-22</v>
      </c>
    </row>
    <row r="583" spans="1:48" hidden="1">
      <c r="A583" s="559">
        <v>935</v>
      </c>
      <c r="B583" s="664" t="s">
        <v>280</v>
      </c>
      <c r="C583" s="563" t="s">
        <v>15</v>
      </c>
      <c r="D583" s="645" t="s">
        <v>1268</v>
      </c>
      <c r="E583" s="563" t="s">
        <v>886</v>
      </c>
      <c r="F583" s="647" t="s">
        <v>241</v>
      </c>
      <c r="G583" s="647" t="s">
        <v>18</v>
      </c>
      <c r="H583" s="647" t="s">
        <v>26</v>
      </c>
      <c r="I583" s="575" t="s">
        <v>1269</v>
      </c>
      <c r="J583" s="575">
        <v>1</v>
      </c>
      <c r="K583" s="647" t="s">
        <v>295</v>
      </c>
      <c r="L583" s="657">
        <v>44161</v>
      </c>
      <c r="M583" s="665">
        <v>6.4000000000000001E-2</v>
      </c>
      <c r="N583" s="647" t="s">
        <v>1124</v>
      </c>
      <c r="O583" s="575"/>
      <c r="P583" s="566" t="str">
        <f>VLOOKUP(A583,'[1]Raw data'!$B:$BB,23,FALSE)</f>
        <v>RMB</v>
      </c>
      <c r="Q583" s="563" t="str">
        <f>VLOOKUP(A583,'[1]Raw data'!$B:$Z,2,FALSE)</f>
        <v>C49SZX20200215JL</v>
      </c>
      <c r="R583" s="563" t="str">
        <f>VLOOKUP(A583,'[1]Raw data'!$B:$Z,3,FALSE)</f>
        <v>江恒</v>
      </c>
      <c r="S583" s="563" t="str">
        <f>VLOOKUP(A583,'[1]Raw data'!$B:$Z,4,FALSE)</f>
        <v>YSM10</v>
      </c>
      <c r="T583" s="563" t="str">
        <f>VLOOKUP(A583,'[1]Raw data'!$B:$Z,8,FALSE)</f>
        <v>R-&gt;L</v>
      </c>
      <c r="U583" s="563" t="str">
        <f>VLOOKUP(A583,'[1]Raw data'!$B:$Z,9,FALSE)</f>
        <v>MVC</v>
      </c>
      <c r="V583" s="567" t="str">
        <f t="shared" si="84"/>
        <v>WRONG</v>
      </c>
      <c r="W583" s="563" t="str">
        <f>VLOOKUP(A583,'[1]Raw data'!$B:$AG,32,FALSE)</f>
        <v>含税到厂</v>
      </c>
      <c r="X583" s="563">
        <f>VLOOKUP(A583,'[1]Raw data'!$B:$BA,31,FALSE)</f>
        <v>44147</v>
      </c>
      <c r="Y583" s="563" t="str">
        <f>VLOOKUP(A583,'[1]Raw data'!$B:$AS,39,FALSE)</f>
        <v>Yes</v>
      </c>
      <c r="Z583" s="659"/>
      <c r="AA583" s="660"/>
      <c r="AB583" s="661"/>
      <c r="AC583" s="647" t="s">
        <v>1053</v>
      </c>
      <c r="AD583" s="662">
        <v>302</v>
      </c>
      <c r="AE583" s="662">
        <v>10</v>
      </c>
      <c r="AF583" s="662"/>
      <c r="AG583" s="662"/>
      <c r="AH583" s="662"/>
      <c r="AI583" s="663"/>
      <c r="AN583" s="542"/>
      <c r="AO583" s="824" t="str">
        <f t="shared" si="85"/>
        <v>Yes</v>
      </c>
      <c r="AP583" s="259" t="str">
        <f t="shared" si="86"/>
        <v>DEC 20</v>
      </c>
      <c r="AQ583" s="542" t="str">
        <f t="shared" si="87"/>
        <v>有定金+有預留客戶</v>
      </c>
      <c r="AR583" s="259" t="str">
        <f t="shared" si="88"/>
        <v>Shipped_Stock</v>
      </c>
      <c r="AS583" s="259" t="str">
        <f t="shared" si="89"/>
        <v/>
      </c>
      <c r="AT583" s="259" t="str">
        <f t="shared" si="90"/>
        <v>江恒</v>
      </c>
      <c r="AU583" s="259" t="str">
        <f t="shared" si="91"/>
        <v>C49SZX20200215JL</v>
      </c>
      <c r="AV583" s="259" t="str">
        <f t="shared" si="92"/>
        <v>Nov-26</v>
      </c>
    </row>
    <row r="584" spans="1:48" hidden="1">
      <c r="A584" s="559">
        <v>806</v>
      </c>
      <c r="B584" s="664" t="s">
        <v>280</v>
      </c>
      <c r="C584" s="563" t="s">
        <v>15</v>
      </c>
      <c r="D584" s="645" t="s">
        <v>1268</v>
      </c>
      <c r="E584" s="563" t="s">
        <v>886</v>
      </c>
      <c r="F584" s="647" t="s">
        <v>241</v>
      </c>
      <c r="G584" s="647" t="s">
        <v>18</v>
      </c>
      <c r="H584" s="647" t="s">
        <v>26</v>
      </c>
      <c r="I584" s="575" t="s">
        <v>1270</v>
      </c>
      <c r="J584" s="575">
        <v>1</v>
      </c>
      <c r="K584" s="647" t="s">
        <v>295</v>
      </c>
      <c r="L584" s="657">
        <v>44161</v>
      </c>
      <c r="M584" s="665">
        <v>6.4000000000000001E-2</v>
      </c>
      <c r="N584" s="647" t="s">
        <v>1124</v>
      </c>
      <c r="O584" s="575"/>
      <c r="P584" s="566" t="str">
        <f>VLOOKUP(A584,'[1]Raw data'!$B:$BB,23,FALSE)</f>
        <v>RMB</v>
      </c>
      <c r="Q584" s="563" t="str">
        <f>VLOOKUP(A584,'[1]Raw data'!$B:$Z,2,FALSE)</f>
        <v>C49SZX20200149JL</v>
      </c>
      <c r="R584" s="563" t="str">
        <f>VLOOKUP(A584,'[1]Raw data'!$B:$Z,3,FALSE)</f>
        <v>博新</v>
      </c>
      <c r="S584" s="563" t="str">
        <f>VLOOKUP(A584,'[1]Raw data'!$B:$Z,4,FALSE)</f>
        <v>YSM10</v>
      </c>
      <c r="T584" s="563" t="str">
        <f>VLOOKUP(A584,'[1]Raw data'!$B:$Z,8,FALSE)</f>
        <v>R-&gt;L</v>
      </c>
      <c r="U584" s="563" t="str">
        <f>VLOOKUP(A584,'[1]Raw data'!$B:$Z,9,FALSE)</f>
        <v>MVC</v>
      </c>
      <c r="V584" s="567" t="str">
        <f t="shared" si="84"/>
        <v>WRONG</v>
      </c>
      <c r="W584" s="563" t="str">
        <f>VLOOKUP(A584,'[1]Raw data'!$B:$AG,32,FALSE)</f>
        <v>含税到厂</v>
      </c>
      <c r="X584" s="563">
        <f>VLOOKUP(A584,'[1]Raw data'!$B:$BA,31,FALSE)</f>
        <v>44077</v>
      </c>
      <c r="Y584" s="563" t="str">
        <f>VLOOKUP(A584,'[1]Raw data'!$B:$AS,39,FALSE)</f>
        <v>Yes</v>
      </c>
      <c r="Z584" s="659"/>
      <c r="AA584" s="660"/>
      <c r="AB584" s="661"/>
      <c r="AC584" s="647" t="s">
        <v>1271</v>
      </c>
      <c r="AD584" s="662">
        <v>302</v>
      </c>
      <c r="AE584" s="662">
        <v>10</v>
      </c>
      <c r="AF584" s="662"/>
      <c r="AG584" s="662"/>
      <c r="AH584" s="662"/>
      <c r="AI584" s="663"/>
      <c r="AN584" s="542"/>
      <c r="AO584" s="824" t="str">
        <f t="shared" si="85"/>
        <v>Yes</v>
      </c>
      <c r="AP584" s="259" t="str">
        <f t="shared" si="86"/>
        <v>DEC 20</v>
      </c>
      <c r="AQ584" s="542" t="str">
        <f t="shared" si="87"/>
        <v>有定金+有預留客戶</v>
      </c>
      <c r="AR584" s="259" t="str">
        <f t="shared" si="88"/>
        <v>Shipped_Stock</v>
      </c>
      <c r="AS584" s="259" t="str">
        <f t="shared" si="89"/>
        <v/>
      </c>
      <c r="AT584" s="259" t="str">
        <f t="shared" si="90"/>
        <v>博新</v>
      </c>
      <c r="AU584" s="259" t="str">
        <f t="shared" si="91"/>
        <v>C49SZX20200149JL</v>
      </c>
      <c r="AV584" s="259" t="str">
        <f t="shared" si="92"/>
        <v>Nov-26</v>
      </c>
    </row>
    <row r="585" spans="1:48" hidden="1">
      <c r="A585" s="559">
        <v>876</v>
      </c>
      <c r="B585" s="664" t="s">
        <v>280</v>
      </c>
      <c r="C585" s="563" t="s">
        <v>15</v>
      </c>
      <c r="D585" s="645" t="s">
        <v>1272</v>
      </c>
      <c r="E585" s="563" t="s">
        <v>886</v>
      </c>
      <c r="F585" s="647" t="s">
        <v>241</v>
      </c>
      <c r="G585" s="647" t="s">
        <v>18</v>
      </c>
      <c r="H585" s="647" t="s">
        <v>26</v>
      </c>
      <c r="I585" s="575" t="s">
        <v>1273</v>
      </c>
      <c r="J585" s="575">
        <v>1</v>
      </c>
      <c r="K585" s="647" t="s">
        <v>295</v>
      </c>
      <c r="L585" s="657">
        <v>44161</v>
      </c>
      <c r="M585" s="665">
        <v>6.3399999999999998E-2</v>
      </c>
      <c r="N585" s="647" t="s">
        <v>1124</v>
      </c>
      <c r="O585" s="575"/>
      <c r="P585" s="566" t="str">
        <f>VLOOKUP(A585,'[1]Raw data'!$B:$BB,23,FALSE)</f>
        <v>RMB</v>
      </c>
      <c r="Q585" s="563" t="str">
        <f>VLOOKUP(A585,'[1]Raw data'!$B:$Z,2,FALSE)</f>
        <v>C49SZX20200173MX</v>
      </c>
      <c r="R585" s="563" t="str">
        <f>VLOOKUP(A585,'[1]Raw data'!$B:$Z,3,FALSE)</f>
        <v>日东（end user：远爱）</v>
      </c>
      <c r="S585" s="563" t="str">
        <f>VLOOKUP(A585,'[1]Raw data'!$B:$Z,4,FALSE)</f>
        <v>YSM10</v>
      </c>
      <c r="T585" s="563" t="str">
        <f>VLOOKUP(A585,'[1]Raw data'!$B:$Z,8,FALSE)</f>
        <v>L-&gt;R</v>
      </c>
      <c r="U585" s="563" t="str">
        <f>VLOOKUP(A585,'[1]Raw data'!$B:$Z,9,FALSE)</f>
        <v>No</v>
      </c>
      <c r="V585" s="567" t="str">
        <f t="shared" si="84"/>
        <v>WRONG</v>
      </c>
      <c r="W585" s="563" t="str">
        <f>VLOOKUP(A585,'[1]Raw data'!$B:$AG,32,FALSE)</f>
        <v>含税到厂</v>
      </c>
      <c r="X585" s="563">
        <f>VLOOKUP(A585,'[1]Raw data'!$B:$BA,31,FALSE)</f>
        <v>44103</v>
      </c>
      <c r="Y585" s="563" t="str">
        <f>VLOOKUP(A585,'[1]Raw data'!$B:$AS,39,FALSE)</f>
        <v>Yes</v>
      </c>
      <c r="Z585" s="659"/>
      <c r="AA585" s="660"/>
      <c r="AB585" s="661"/>
      <c r="AC585" s="647" t="s">
        <v>1274</v>
      </c>
      <c r="AD585" s="662">
        <v>302</v>
      </c>
      <c r="AE585" s="662">
        <v>10</v>
      </c>
      <c r="AF585" s="662"/>
      <c r="AG585" s="662"/>
      <c r="AH585" s="662"/>
      <c r="AI585" s="663"/>
      <c r="AN585" s="542"/>
      <c r="AO585" s="824" t="str">
        <f t="shared" si="85"/>
        <v>Yes</v>
      </c>
      <c r="AP585" s="259" t="str">
        <f t="shared" si="86"/>
        <v>DEC 20</v>
      </c>
      <c r="AQ585" s="542" t="str">
        <f t="shared" si="87"/>
        <v>有定金+有預留客戶</v>
      </c>
      <c r="AR585" s="259" t="str">
        <f t="shared" si="88"/>
        <v>Shipped_Stock</v>
      </c>
      <c r="AS585" s="259" t="str">
        <f t="shared" si="89"/>
        <v/>
      </c>
      <c r="AT585" s="259" t="str">
        <f t="shared" si="90"/>
        <v>日东（end user：远爱）</v>
      </c>
      <c r="AU585" s="259" t="str">
        <f t="shared" si="91"/>
        <v>C49SZX20200173MX</v>
      </c>
      <c r="AV585" s="259" t="str">
        <f t="shared" si="92"/>
        <v>Nov-26</v>
      </c>
    </row>
    <row r="586" spans="1:48" hidden="1">
      <c r="A586" s="559">
        <v>877</v>
      </c>
      <c r="B586" s="664" t="s">
        <v>280</v>
      </c>
      <c r="C586" s="563" t="s">
        <v>15</v>
      </c>
      <c r="D586" s="645" t="s">
        <v>1272</v>
      </c>
      <c r="E586" s="563" t="s">
        <v>886</v>
      </c>
      <c r="F586" s="647" t="s">
        <v>241</v>
      </c>
      <c r="G586" s="647" t="s">
        <v>18</v>
      </c>
      <c r="H586" s="647" t="s">
        <v>26</v>
      </c>
      <c r="I586" s="575" t="s">
        <v>1275</v>
      </c>
      <c r="J586" s="575">
        <v>1</v>
      </c>
      <c r="K586" s="647" t="s">
        <v>295</v>
      </c>
      <c r="L586" s="657">
        <v>44161</v>
      </c>
      <c r="M586" s="665">
        <v>6.3399999999999998E-2</v>
      </c>
      <c r="N586" s="647" t="s">
        <v>1124</v>
      </c>
      <c r="O586" s="575"/>
      <c r="P586" s="566" t="str">
        <f>VLOOKUP(A586,'[1]Raw data'!$B:$BB,23,FALSE)</f>
        <v>RMB</v>
      </c>
      <c r="Q586" s="563" t="str">
        <f>VLOOKUP(A586,'[1]Raw data'!$B:$Z,2,FALSE)</f>
        <v>C49SZX20200173MX</v>
      </c>
      <c r="R586" s="563" t="str">
        <f>VLOOKUP(A586,'[1]Raw data'!$B:$Z,3,FALSE)</f>
        <v>日东（end user：远爱）</v>
      </c>
      <c r="S586" s="563" t="str">
        <f>VLOOKUP(A586,'[1]Raw data'!$B:$Z,4,FALSE)</f>
        <v>YSM10</v>
      </c>
      <c r="T586" s="563" t="str">
        <f>VLOOKUP(A586,'[1]Raw data'!$B:$Z,8,FALSE)</f>
        <v>L-&gt;R</v>
      </c>
      <c r="U586" s="563" t="str">
        <f>VLOOKUP(A586,'[1]Raw data'!$B:$Z,9,FALSE)</f>
        <v>No</v>
      </c>
      <c r="V586" s="567" t="str">
        <f t="shared" si="84"/>
        <v>WRONG</v>
      </c>
      <c r="W586" s="563" t="str">
        <f>VLOOKUP(A586,'[1]Raw data'!$B:$AG,32,FALSE)</f>
        <v>含税到厂</v>
      </c>
      <c r="X586" s="563">
        <f>VLOOKUP(A586,'[1]Raw data'!$B:$BA,31,FALSE)</f>
        <v>44103</v>
      </c>
      <c r="Y586" s="563" t="str">
        <f>VLOOKUP(A586,'[1]Raw data'!$B:$AS,39,FALSE)</f>
        <v>Yes</v>
      </c>
      <c r="Z586" s="659"/>
      <c r="AA586" s="660"/>
      <c r="AB586" s="661"/>
      <c r="AC586" s="647" t="s">
        <v>1274</v>
      </c>
      <c r="AD586" s="662">
        <v>302</v>
      </c>
      <c r="AE586" s="662">
        <v>10</v>
      </c>
      <c r="AF586" s="662"/>
      <c r="AG586" s="662"/>
      <c r="AH586" s="662"/>
      <c r="AI586" s="663"/>
      <c r="AN586" s="542"/>
      <c r="AO586" s="824" t="str">
        <f t="shared" si="85"/>
        <v>Yes</v>
      </c>
      <c r="AP586" s="259" t="str">
        <f t="shared" si="86"/>
        <v>DEC 20</v>
      </c>
      <c r="AQ586" s="542" t="str">
        <f t="shared" si="87"/>
        <v>有定金+有預留客戶</v>
      </c>
      <c r="AR586" s="259" t="str">
        <f t="shared" si="88"/>
        <v>Shipped_Stock</v>
      </c>
      <c r="AS586" s="259" t="str">
        <f t="shared" si="89"/>
        <v/>
      </c>
      <c r="AT586" s="259" t="str">
        <f t="shared" si="90"/>
        <v>日东（end user：远爱）</v>
      </c>
      <c r="AU586" s="259" t="str">
        <f t="shared" si="91"/>
        <v>C49SZX20200173MX</v>
      </c>
      <c r="AV586" s="259" t="str">
        <f t="shared" si="92"/>
        <v>Nov-26</v>
      </c>
    </row>
    <row r="587" spans="1:48" hidden="1">
      <c r="A587" s="559">
        <v>922</v>
      </c>
      <c r="B587" s="664" t="s">
        <v>280</v>
      </c>
      <c r="C587" s="563" t="s">
        <v>15</v>
      </c>
      <c r="D587" s="645" t="s">
        <v>1268</v>
      </c>
      <c r="E587" s="563" t="s">
        <v>886</v>
      </c>
      <c r="F587" s="647" t="s">
        <v>241</v>
      </c>
      <c r="G587" s="647" t="s">
        <v>18</v>
      </c>
      <c r="H587" s="647" t="s">
        <v>26</v>
      </c>
      <c r="I587" s="575" t="s">
        <v>1276</v>
      </c>
      <c r="J587" s="575">
        <v>1</v>
      </c>
      <c r="K587" s="647" t="s">
        <v>295</v>
      </c>
      <c r="L587" s="657">
        <v>44161</v>
      </c>
      <c r="M587" s="665">
        <v>6.4000000000000001E-2</v>
      </c>
      <c r="N587" s="647" t="s">
        <v>1124</v>
      </c>
      <c r="O587" s="575"/>
      <c r="P587" s="566" t="str">
        <f>VLOOKUP(A587,'[1]Raw data'!$B:$BB,23,FALSE)</f>
        <v>RMB</v>
      </c>
      <c r="Q587" s="563" t="str">
        <f>VLOOKUP(A587,'[1]Raw data'!$B:$Z,2,FALSE)</f>
        <v>C49SZX20200209SX</v>
      </c>
      <c r="R587" s="563" t="str">
        <f>VLOOKUP(A587,'[1]Raw data'!$B:$Z,3,FALSE)</f>
        <v>韵律光电</v>
      </c>
      <c r="S587" s="563" t="str">
        <f>VLOOKUP(A587,'[1]Raw data'!$B:$Z,4,FALSE)</f>
        <v>YSM10</v>
      </c>
      <c r="T587" s="563" t="str">
        <f>VLOOKUP(A587,'[1]Raw data'!$B:$Z,8,FALSE)</f>
        <v>R-&gt;L</v>
      </c>
      <c r="U587" s="563" t="str">
        <f>VLOOKUP(A587,'[1]Raw data'!$B:$Z,9,FALSE)</f>
        <v>MVC</v>
      </c>
      <c r="V587" s="567" t="str">
        <f t="shared" si="84"/>
        <v>WRONG</v>
      </c>
      <c r="W587" s="563" t="str">
        <f>VLOOKUP(A587,'[1]Raw data'!$B:$AG,32,FALSE)</f>
        <v>含税到厂</v>
      </c>
      <c r="X587" s="563">
        <f>VLOOKUP(A587,'[1]Raw data'!$B:$BA,31,FALSE)</f>
        <v>44146</v>
      </c>
      <c r="Y587" s="563" t="str">
        <f>VLOOKUP(A587,'[1]Raw data'!$B:$AS,39,FALSE)</f>
        <v>Yes</v>
      </c>
      <c r="Z587" s="659"/>
      <c r="AA587" s="660"/>
      <c r="AB587" s="661"/>
      <c r="AC587" s="647" t="s">
        <v>1277</v>
      </c>
      <c r="AD587" s="662">
        <v>302</v>
      </c>
      <c r="AE587" s="662">
        <v>10</v>
      </c>
      <c r="AF587" s="662"/>
      <c r="AG587" s="662"/>
      <c r="AH587" s="662"/>
      <c r="AI587" s="663"/>
      <c r="AN587" s="542"/>
      <c r="AO587" s="824" t="str">
        <f t="shared" si="85"/>
        <v>Yes</v>
      </c>
      <c r="AP587" s="259" t="str">
        <f t="shared" si="86"/>
        <v>DEC 20</v>
      </c>
      <c r="AQ587" s="542" t="str">
        <f t="shared" si="87"/>
        <v>有定金+有預留客戶</v>
      </c>
      <c r="AR587" s="259" t="str">
        <f t="shared" si="88"/>
        <v>Shipped_Stock</v>
      </c>
      <c r="AS587" s="259" t="str">
        <f t="shared" si="89"/>
        <v/>
      </c>
      <c r="AT587" s="259" t="str">
        <f t="shared" si="90"/>
        <v>韵律光电</v>
      </c>
      <c r="AU587" s="259" t="str">
        <f t="shared" si="91"/>
        <v>C49SZX20200209SX</v>
      </c>
      <c r="AV587" s="259" t="str">
        <f t="shared" si="92"/>
        <v>Nov-26</v>
      </c>
    </row>
    <row r="588" spans="1:48" ht="16.5" hidden="1" customHeight="1">
      <c r="A588" s="559">
        <v>863</v>
      </c>
      <c r="B588" s="664" t="s">
        <v>280</v>
      </c>
      <c r="C588" s="563" t="s">
        <v>15</v>
      </c>
      <c r="D588" s="645">
        <v>110026</v>
      </c>
      <c r="E588" s="563" t="s">
        <v>886</v>
      </c>
      <c r="F588" s="647" t="s">
        <v>241</v>
      </c>
      <c r="G588" s="647" t="s">
        <v>18</v>
      </c>
      <c r="H588" s="647" t="s">
        <v>26</v>
      </c>
      <c r="I588" s="575" t="s">
        <v>1278</v>
      </c>
      <c r="J588" s="575">
        <v>1</v>
      </c>
      <c r="K588" s="647" t="s">
        <v>437</v>
      </c>
      <c r="L588" s="657">
        <v>44161</v>
      </c>
      <c r="M588" s="665" t="s">
        <v>906</v>
      </c>
      <c r="N588" s="647" t="s">
        <v>1124</v>
      </c>
      <c r="O588" s="575"/>
      <c r="P588" s="566" t="str">
        <f>VLOOKUP(A588,'[1]Raw data'!$B:$BB,23,FALSE)</f>
        <v>JPY</v>
      </c>
      <c r="Q588" s="563" t="str">
        <f>VLOOKUP(A588,'[1]Raw data'!$B:$Z,2,FALSE)</f>
        <v>C49SZX20200179MZ</v>
      </c>
      <c r="R588" s="563" t="str">
        <f>VLOOKUP(A588,'[1]Raw data'!$B:$Z,3,FALSE)</f>
        <v>鸿南</v>
      </c>
      <c r="S588" s="563" t="str">
        <f>VLOOKUP(A588,'[1]Raw data'!$B:$Z,4,FALSE)</f>
        <v>YSM10</v>
      </c>
      <c r="T588" s="563" t="str">
        <f>VLOOKUP(A588,'[1]Raw data'!$B:$Z,8,FALSE)</f>
        <v>R-&gt;L</v>
      </c>
      <c r="U588" s="563" t="str">
        <f>VLOOKUP(A588,'[1]Raw data'!$B:$Z,9,FALSE)</f>
        <v>MVC</v>
      </c>
      <c r="V588" s="567" t="str">
        <f t="shared" si="84"/>
        <v>WRONG</v>
      </c>
      <c r="W588" s="563" t="str">
        <f>VLOOKUP(A588,'[1]Raw data'!$B:$AG,32,FALSE)</f>
        <v>CIF HK</v>
      </c>
      <c r="X588" s="563">
        <f>VLOOKUP(A588,'[1]Raw data'!$B:$BA,31,FALSE)</f>
        <v>44102</v>
      </c>
      <c r="Y588" s="563" t="str">
        <f>VLOOKUP(A588,'[1]Raw data'!$B:$AS,39,FALSE)</f>
        <v>Yes</v>
      </c>
      <c r="Z588" s="659"/>
      <c r="AA588" s="660"/>
      <c r="AB588" s="661"/>
      <c r="AC588" s="647" t="s">
        <v>400</v>
      </c>
      <c r="AD588" s="662">
        <v>312</v>
      </c>
      <c r="AE588" s="662">
        <v>10</v>
      </c>
      <c r="AF588" s="662"/>
      <c r="AG588" s="662"/>
      <c r="AH588" s="662"/>
      <c r="AI588" s="663"/>
      <c r="AN588" s="542"/>
      <c r="AO588" s="824" t="str">
        <f t="shared" si="85"/>
        <v>Yes</v>
      </c>
      <c r="AP588" s="259" t="str">
        <f t="shared" si="86"/>
        <v>DEC 20</v>
      </c>
      <c r="AQ588" s="542" t="str">
        <f t="shared" si="87"/>
        <v>有定金+有預留客戶</v>
      </c>
      <c r="AR588" s="259" t="str">
        <f t="shared" si="88"/>
        <v>Shipped_Stock</v>
      </c>
      <c r="AS588" s="259" t="str">
        <f t="shared" si="89"/>
        <v/>
      </c>
      <c r="AT588" s="259" t="str">
        <f t="shared" si="90"/>
        <v>鸿南</v>
      </c>
      <c r="AU588" s="259" t="str">
        <f t="shared" si="91"/>
        <v>C49SZX20200179MZ</v>
      </c>
      <c r="AV588" s="259" t="str">
        <f t="shared" si="92"/>
        <v>Nov-26</v>
      </c>
    </row>
    <row r="589" spans="1:48" hidden="1">
      <c r="A589" s="559">
        <v>850</v>
      </c>
      <c r="B589" s="560" t="s">
        <v>280</v>
      </c>
      <c r="C589" s="563" t="s">
        <v>15</v>
      </c>
      <c r="D589" s="645">
        <v>110026</v>
      </c>
      <c r="E589" s="563" t="s">
        <v>886</v>
      </c>
      <c r="F589" s="647" t="s">
        <v>241</v>
      </c>
      <c r="G589" s="647" t="s">
        <v>18</v>
      </c>
      <c r="H589" s="647" t="s">
        <v>26</v>
      </c>
      <c r="I589" s="575" t="s">
        <v>1279</v>
      </c>
      <c r="J589" s="575">
        <v>1</v>
      </c>
      <c r="K589" s="647" t="s">
        <v>437</v>
      </c>
      <c r="L589" s="657">
        <v>44161</v>
      </c>
      <c r="M589" s="665" t="s">
        <v>906</v>
      </c>
      <c r="N589" s="647" t="s">
        <v>1124</v>
      </c>
      <c r="O589" s="575"/>
      <c r="P589" s="566" t="str">
        <f>VLOOKUP(A589,'[1]Raw data'!$B:$BB,23,FALSE)</f>
        <v>JPY</v>
      </c>
      <c r="Q589" s="563" t="str">
        <f>VLOOKUP(A589,'[1]Raw data'!$B:$Z,2,FALSE)</f>
        <v>C49SZX20200167EC</v>
      </c>
      <c r="R589" s="563" t="str">
        <f>VLOOKUP(A589,'[1]Raw data'!$B:$Z,3,FALSE)</f>
        <v>海红天远</v>
      </c>
      <c r="S589" s="563" t="str">
        <f>VLOOKUP(A589,'[1]Raw data'!$B:$Z,4,FALSE)</f>
        <v>YSM10</v>
      </c>
      <c r="T589" s="563" t="str">
        <f>VLOOKUP(A589,'[1]Raw data'!$B:$Z,8,FALSE)</f>
        <v>L-&gt;R</v>
      </c>
      <c r="U589" s="563" t="str">
        <f>VLOOKUP(A589,'[1]Raw data'!$B:$Z,9,FALSE)</f>
        <v>No</v>
      </c>
      <c r="V589" s="567" t="str">
        <f t="shared" si="84"/>
        <v>WRONG</v>
      </c>
      <c r="W589" s="563" t="str">
        <f>VLOOKUP(A589,'[1]Raw data'!$B:$AG,32,FALSE)</f>
        <v>CIF HK</v>
      </c>
      <c r="X589" s="563">
        <f>VLOOKUP(A589,'[1]Raw data'!$B:$BA,31,FALSE)</f>
        <v>44092</v>
      </c>
      <c r="Y589" s="563" t="str">
        <f>VLOOKUP(A589,'[1]Raw data'!$B:$AS,39,FALSE)</f>
        <v>Yes</v>
      </c>
      <c r="Z589" s="659"/>
      <c r="AA589" s="660"/>
      <c r="AB589" s="661"/>
      <c r="AC589" s="647" t="s">
        <v>1079</v>
      </c>
      <c r="AD589" s="662">
        <v>312</v>
      </c>
      <c r="AE589" s="662">
        <v>10</v>
      </c>
      <c r="AF589" s="662"/>
      <c r="AG589" s="662"/>
      <c r="AH589" s="662"/>
      <c r="AI589" s="663"/>
      <c r="AN589" s="542"/>
      <c r="AO589" s="824" t="str">
        <f t="shared" si="85"/>
        <v>Yes</v>
      </c>
      <c r="AP589" s="259" t="str">
        <f t="shared" si="86"/>
        <v>DEC 20</v>
      </c>
      <c r="AQ589" s="542" t="str">
        <f t="shared" si="87"/>
        <v>有定金+有預留客戶</v>
      </c>
      <c r="AR589" s="259" t="str">
        <f t="shared" si="88"/>
        <v>Shipped_Stock</v>
      </c>
      <c r="AS589" s="259" t="str">
        <f t="shared" si="89"/>
        <v/>
      </c>
      <c r="AT589" s="259" t="str">
        <f t="shared" si="90"/>
        <v>海红天远</v>
      </c>
      <c r="AU589" s="259" t="str">
        <f t="shared" si="91"/>
        <v>C49SZX20200167EC</v>
      </c>
      <c r="AV589" s="259" t="str">
        <f t="shared" si="92"/>
        <v>Nov-26</v>
      </c>
    </row>
    <row r="590" spans="1:48" hidden="1">
      <c r="A590" s="559">
        <v>880</v>
      </c>
      <c r="B590" s="664" t="s">
        <v>280</v>
      </c>
      <c r="C590" s="563" t="s">
        <v>15</v>
      </c>
      <c r="D590" s="645" t="s">
        <v>1280</v>
      </c>
      <c r="E590" s="563" t="s">
        <v>886</v>
      </c>
      <c r="F590" s="647" t="s">
        <v>241</v>
      </c>
      <c r="G590" s="647" t="s">
        <v>18</v>
      </c>
      <c r="H590" s="647" t="s">
        <v>26</v>
      </c>
      <c r="I590" s="575" t="s">
        <v>1281</v>
      </c>
      <c r="J590" s="575">
        <v>1</v>
      </c>
      <c r="K590" s="647" t="s">
        <v>437</v>
      </c>
      <c r="L590" s="657">
        <v>44161</v>
      </c>
      <c r="M590" s="665">
        <v>6.3799999999999996E-2</v>
      </c>
      <c r="N590" s="647" t="s">
        <v>1124</v>
      </c>
      <c r="O590" s="575"/>
      <c r="P590" s="566" t="str">
        <f>VLOOKUP(A590,'[1]Raw data'!$B:$BB,23,FALSE)</f>
        <v>RMB</v>
      </c>
      <c r="Q590" s="563" t="str">
        <f>VLOOKUP(A590,'[1]Raw data'!$B:$Z,2,FALSE)</f>
        <v>C49SZX20200187SX</v>
      </c>
      <c r="R590" s="563" t="str">
        <f>VLOOKUP(A590,'[1]Raw data'!$B:$Z,3,FALSE)</f>
        <v>亿莱</v>
      </c>
      <c r="S590" s="563" t="str">
        <f>VLOOKUP(A590,'[1]Raw data'!$B:$Z,4,FALSE)</f>
        <v>YSM10</v>
      </c>
      <c r="T590" s="563" t="str">
        <f>VLOOKUP(A590,'[1]Raw data'!$B:$Z,8,FALSE)</f>
        <v>L-&gt;R</v>
      </c>
      <c r="U590" s="563" t="str">
        <f>VLOOKUP(A590,'[1]Raw data'!$B:$Z,9,FALSE)</f>
        <v>MVC</v>
      </c>
      <c r="V590" s="567" t="str">
        <f t="shared" si="84"/>
        <v>WRONG</v>
      </c>
      <c r="W590" s="563" t="str">
        <f>VLOOKUP(A590,'[1]Raw data'!$B:$AG,32,FALSE)</f>
        <v>含税到厂</v>
      </c>
      <c r="X590" s="563">
        <f>VLOOKUP(A590,'[1]Raw data'!$B:$BA,31,FALSE)</f>
        <v>44116</v>
      </c>
      <c r="Y590" s="563" t="str">
        <f>VLOOKUP(A590,'[1]Raw data'!$B:$AS,39,FALSE)</f>
        <v>Yes</v>
      </c>
      <c r="Z590" s="659"/>
      <c r="AA590" s="660"/>
      <c r="AB590" s="661"/>
      <c r="AC590" s="719" t="s">
        <v>1282</v>
      </c>
      <c r="AD590" s="662">
        <v>301</v>
      </c>
      <c r="AE590" s="662">
        <v>10</v>
      </c>
      <c r="AF590" s="662"/>
      <c r="AG590" s="662"/>
      <c r="AH590" s="662"/>
      <c r="AI590" s="663"/>
      <c r="AN590" s="542"/>
      <c r="AO590" s="824" t="str">
        <f t="shared" si="85"/>
        <v>Yes</v>
      </c>
      <c r="AP590" s="259" t="str">
        <f t="shared" si="86"/>
        <v>DEC 20</v>
      </c>
      <c r="AQ590" s="542" t="str">
        <f t="shared" si="87"/>
        <v>有定金+有預留客戶</v>
      </c>
      <c r="AR590" s="259" t="str">
        <f t="shared" si="88"/>
        <v>Shipped_Stock</v>
      </c>
      <c r="AS590" s="259" t="str">
        <f t="shared" si="89"/>
        <v/>
      </c>
      <c r="AT590" s="259" t="str">
        <f t="shared" si="90"/>
        <v>亿莱</v>
      </c>
      <c r="AU590" s="259" t="str">
        <f t="shared" si="91"/>
        <v>C49SZX20200187SX</v>
      </c>
      <c r="AV590" s="259" t="str">
        <f t="shared" si="92"/>
        <v>Nov-26</v>
      </c>
    </row>
    <row r="591" spans="1:48" hidden="1">
      <c r="A591" s="559">
        <v>879</v>
      </c>
      <c r="B591" s="664" t="s">
        <v>280</v>
      </c>
      <c r="C591" s="563" t="s">
        <v>15</v>
      </c>
      <c r="D591" s="645" t="s">
        <v>1280</v>
      </c>
      <c r="E591" s="563" t="s">
        <v>886</v>
      </c>
      <c r="F591" s="647" t="s">
        <v>241</v>
      </c>
      <c r="G591" s="647" t="s">
        <v>18</v>
      </c>
      <c r="H591" s="647" t="s">
        <v>26</v>
      </c>
      <c r="I591" s="575" t="s">
        <v>1283</v>
      </c>
      <c r="J591" s="575">
        <v>1</v>
      </c>
      <c r="K591" s="647" t="s">
        <v>437</v>
      </c>
      <c r="L591" s="657">
        <v>44161</v>
      </c>
      <c r="M591" s="665">
        <v>6.3799999999999996E-2</v>
      </c>
      <c r="N591" s="647" t="s">
        <v>1124</v>
      </c>
      <c r="O591" s="575"/>
      <c r="P591" s="566" t="str">
        <f>VLOOKUP(A591,'[1]Raw data'!$B:$BB,23,FALSE)</f>
        <v>RMB</v>
      </c>
      <c r="Q591" s="563" t="str">
        <f>VLOOKUP(A591,'[1]Raw data'!$B:$Z,2,FALSE)</f>
        <v>C49SZX20200187SX</v>
      </c>
      <c r="R591" s="563" t="str">
        <f>VLOOKUP(A591,'[1]Raw data'!$B:$Z,3,FALSE)</f>
        <v>亿莱</v>
      </c>
      <c r="S591" s="563" t="str">
        <f>VLOOKUP(A591,'[1]Raw data'!$B:$Z,4,FALSE)</f>
        <v>YSM10</v>
      </c>
      <c r="T591" s="563" t="str">
        <f>VLOOKUP(A591,'[1]Raw data'!$B:$Z,8,FALSE)</f>
        <v>L-&gt;R</v>
      </c>
      <c r="U591" s="563" t="str">
        <f>VLOOKUP(A591,'[1]Raw data'!$B:$Z,9,FALSE)</f>
        <v>MVC</v>
      </c>
      <c r="V591" s="567" t="str">
        <f t="shared" si="84"/>
        <v>WRONG</v>
      </c>
      <c r="W591" s="563" t="str">
        <f>VLOOKUP(A591,'[1]Raw data'!$B:$AG,32,FALSE)</f>
        <v>含税到厂</v>
      </c>
      <c r="X591" s="563">
        <f>VLOOKUP(A591,'[1]Raw data'!$B:$BA,31,FALSE)</f>
        <v>44116</v>
      </c>
      <c r="Y591" s="563" t="str">
        <f>VLOOKUP(A591,'[1]Raw data'!$B:$AS,39,FALSE)</f>
        <v>Yes</v>
      </c>
      <c r="Z591" s="659"/>
      <c r="AA591" s="660"/>
      <c r="AB591" s="661"/>
      <c r="AC591" s="719" t="s">
        <v>1282</v>
      </c>
      <c r="AD591" s="662">
        <v>301</v>
      </c>
      <c r="AE591" s="662">
        <v>10</v>
      </c>
      <c r="AF591" s="662"/>
      <c r="AG591" s="662"/>
      <c r="AH591" s="662"/>
      <c r="AI591" s="663"/>
      <c r="AN591" s="542"/>
      <c r="AO591" s="824" t="str">
        <f t="shared" si="85"/>
        <v>Yes</v>
      </c>
      <c r="AP591" s="259" t="str">
        <f t="shared" si="86"/>
        <v>DEC 20</v>
      </c>
      <c r="AQ591" s="542" t="str">
        <f t="shared" si="87"/>
        <v>有定金+有預留客戶</v>
      </c>
      <c r="AR591" s="259" t="str">
        <f t="shared" si="88"/>
        <v>Shipped_Stock</v>
      </c>
      <c r="AS591" s="259" t="str">
        <f t="shared" si="89"/>
        <v/>
      </c>
      <c r="AT591" s="259" t="str">
        <f t="shared" si="90"/>
        <v>亿莱</v>
      </c>
      <c r="AU591" s="259" t="str">
        <f t="shared" si="91"/>
        <v>C49SZX20200187SX</v>
      </c>
      <c r="AV591" s="259" t="str">
        <f t="shared" si="92"/>
        <v>Nov-26</v>
      </c>
    </row>
    <row r="592" spans="1:48" hidden="1">
      <c r="A592" s="559">
        <v>861</v>
      </c>
      <c r="B592" s="664" t="s">
        <v>280</v>
      </c>
      <c r="C592" s="563" t="s">
        <v>15</v>
      </c>
      <c r="D592" s="645">
        <v>110044</v>
      </c>
      <c r="E592" s="563" t="s">
        <v>886</v>
      </c>
      <c r="F592" s="647" t="s">
        <v>241</v>
      </c>
      <c r="G592" s="647" t="s">
        <v>18</v>
      </c>
      <c r="H592" s="647" t="s">
        <v>26</v>
      </c>
      <c r="I592" s="575" t="s">
        <v>1284</v>
      </c>
      <c r="J592" s="575">
        <v>1</v>
      </c>
      <c r="K592" s="647" t="s">
        <v>437</v>
      </c>
      <c r="L592" s="657">
        <v>44161</v>
      </c>
      <c r="M592" s="665" t="s">
        <v>258</v>
      </c>
      <c r="N592" s="647" t="s">
        <v>1124</v>
      </c>
      <c r="O592" s="575"/>
      <c r="P592" s="566" t="str">
        <f>VLOOKUP(A592,'[1]Raw data'!$B:$BB,23,FALSE)</f>
        <v>JPY</v>
      </c>
      <c r="Q592" s="563" t="str">
        <f>VLOOKUP(A592,'[1]Raw data'!$B:$Z,2,FALSE)</f>
        <v>C49SZX20200169DZ</v>
      </c>
      <c r="R592" s="563" t="str">
        <f>VLOOKUP(A592,'[1]Raw data'!$B:$Z,3,FALSE)</f>
        <v>兆晖</v>
      </c>
      <c r="S592" s="563" t="str">
        <f>VLOOKUP(A592,'[1]Raw data'!$B:$Z,4,FALSE)</f>
        <v>YSM10</v>
      </c>
      <c r="T592" s="563" t="str">
        <f>VLOOKUP(A592,'[1]Raw data'!$B:$Z,8,FALSE)</f>
        <v>L-&gt;R</v>
      </c>
      <c r="U592" s="563" t="str">
        <f>VLOOKUP(A592,'[1]Raw data'!$B:$Z,9,FALSE)</f>
        <v>MVC</v>
      </c>
      <c r="V592" s="567" t="str">
        <f t="shared" si="84"/>
        <v>WRONG</v>
      </c>
      <c r="W592" s="563" t="str">
        <f>VLOOKUP(A592,'[1]Raw data'!$B:$AG,32,FALSE)</f>
        <v>CIF HK</v>
      </c>
      <c r="X592" s="563">
        <f>VLOOKUP(A592,'[1]Raw data'!$B:$BA,31,FALSE)</f>
        <v>44101</v>
      </c>
      <c r="Y592" s="563" t="str">
        <f>VLOOKUP(A592,'[1]Raw data'!$B:$AS,39,FALSE)</f>
        <v>Yes</v>
      </c>
      <c r="Z592" s="659"/>
      <c r="AA592" s="660"/>
      <c r="AB592" s="661"/>
      <c r="AC592" s="647" t="s">
        <v>1023</v>
      </c>
      <c r="AD592" s="662">
        <v>301</v>
      </c>
      <c r="AE592" s="662">
        <v>10</v>
      </c>
      <c r="AF592" s="662"/>
      <c r="AG592" s="662"/>
      <c r="AH592" s="662"/>
      <c r="AI592" s="663"/>
      <c r="AN592" s="542"/>
      <c r="AO592" s="824" t="str">
        <f t="shared" si="85"/>
        <v>Yes</v>
      </c>
      <c r="AP592" s="259" t="str">
        <f t="shared" si="86"/>
        <v>DEC 20</v>
      </c>
      <c r="AQ592" s="542" t="str">
        <f t="shared" si="87"/>
        <v>有定金+有預留客戶</v>
      </c>
      <c r="AR592" s="259" t="str">
        <f t="shared" si="88"/>
        <v>Shipped_Stock</v>
      </c>
      <c r="AS592" s="259" t="str">
        <f t="shared" si="89"/>
        <v/>
      </c>
      <c r="AT592" s="259" t="str">
        <f t="shared" si="90"/>
        <v>兆晖</v>
      </c>
      <c r="AU592" s="259" t="str">
        <f t="shared" si="91"/>
        <v>C49SZX20200169DZ</v>
      </c>
      <c r="AV592" s="259" t="str">
        <f t="shared" si="92"/>
        <v>Nov-26</v>
      </c>
    </row>
    <row r="593" spans="1:48" hidden="1">
      <c r="A593" s="559">
        <v>860</v>
      </c>
      <c r="B593" s="664" t="s">
        <v>280</v>
      </c>
      <c r="C593" s="563" t="s">
        <v>15</v>
      </c>
      <c r="D593" s="645">
        <v>110044</v>
      </c>
      <c r="E593" s="563" t="s">
        <v>886</v>
      </c>
      <c r="F593" s="647" t="s">
        <v>241</v>
      </c>
      <c r="G593" s="647" t="s">
        <v>18</v>
      </c>
      <c r="H593" s="647" t="s">
        <v>26</v>
      </c>
      <c r="I593" s="575" t="s">
        <v>1285</v>
      </c>
      <c r="J593" s="575">
        <v>1</v>
      </c>
      <c r="K593" s="647" t="s">
        <v>437</v>
      </c>
      <c r="L593" s="657">
        <v>44161</v>
      </c>
      <c r="M593" s="665" t="s">
        <v>258</v>
      </c>
      <c r="N593" s="647" t="s">
        <v>1124</v>
      </c>
      <c r="O593" s="575"/>
      <c r="P593" s="566" t="str">
        <f>VLOOKUP(A593,'[1]Raw data'!$B:$BB,23,FALSE)</f>
        <v>JPY</v>
      </c>
      <c r="Q593" s="563" t="str">
        <f>VLOOKUP(A593,'[1]Raw data'!$B:$Z,2,FALSE)</f>
        <v>C49SZX20200169DZ</v>
      </c>
      <c r="R593" s="563" t="str">
        <f>VLOOKUP(A593,'[1]Raw data'!$B:$Z,3,FALSE)</f>
        <v>兆晖</v>
      </c>
      <c r="S593" s="563" t="str">
        <f>VLOOKUP(A593,'[1]Raw data'!$B:$Z,4,FALSE)</f>
        <v>YSM10</v>
      </c>
      <c r="T593" s="563" t="str">
        <f>VLOOKUP(A593,'[1]Raw data'!$B:$Z,8,FALSE)</f>
        <v>L-&gt;R</v>
      </c>
      <c r="U593" s="563" t="str">
        <f>VLOOKUP(A593,'[1]Raw data'!$B:$Z,9,FALSE)</f>
        <v>MVC</v>
      </c>
      <c r="V593" s="567" t="str">
        <f t="shared" si="84"/>
        <v>WRONG</v>
      </c>
      <c r="W593" s="563" t="str">
        <f>VLOOKUP(A593,'[1]Raw data'!$B:$AG,32,FALSE)</f>
        <v>CIF HK</v>
      </c>
      <c r="X593" s="563">
        <f>VLOOKUP(A593,'[1]Raw data'!$B:$BA,31,FALSE)</f>
        <v>44101</v>
      </c>
      <c r="Y593" s="563" t="str">
        <f>VLOOKUP(A593,'[1]Raw data'!$B:$AS,39,FALSE)</f>
        <v>Yes</v>
      </c>
      <c r="Z593" s="659"/>
      <c r="AA593" s="660"/>
      <c r="AB593" s="661"/>
      <c r="AC593" s="647" t="s">
        <v>1023</v>
      </c>
      <c r="AD593" s="662">
        <v>301</v>
      </c>
      <c r="AE593" s="662">
        <v>10</v>
      </c>
      <c r="AF593" s="662"/>
      <c r="AG593" s="662"/>
      <c r="AH593" s="662"/>
      <c r="AI593" s="663"/>
      <c r="AN593" s="542"/>
      <c r="AO593" s="824" t="str">
        <f t="shared" si="85"/>
        <v>Yes</v>
      </c>
      <c r="AP593" s="259" t="str">
        <f t="shared" si="86"/>
        <v>DEC 20</v>
      </c>
      <c r="AQ593" s="542" t="str">
        <f t="shared" si="87"/>
        <v>有定金+有預留客戶</v>
      </c>
      <c r="AR593" s="259" t="str">
        <f t="shared" si="88"/>
        <v>Shipped_Stock</v>
      </c>
      <c r="AS593" s="259" t="str">
        <f t="shared" si="89"/>
        <v/>
      </c>
      <c r="AT593" s="259" t="str">
        <f t="shared" si="90"/>
        <v>兆晖</v>
      </c>
      <c r="AU593" s="259" t="str">
        <f t="shared" si="91"/>
        <v>C49SZX20200169DZ</v>
      </c>
      <c r="AV593" s="259" t="str">
        <f t="shared" si="92"/>
        <v>Nov-26</v>
      </c>
    </row>
    <row r="594" spans="1:48" hidden="1">
      <c r="A594" s="559">
        <v>858</v>
      </c>
      <c r="B594" s="664" t="s">
        <v>280</v>
      </c>
      <c r="C594" s="563" t="s">
        <v>15</v>
      </c>
      <c r="D594" s="645">
        <v>110044</v>
      </c>
      <c r="E594" s="646" t="s">
        <v>886</v>
      </c>
      <c r="F594" s="647" t="s">
        <v>241</v>
      </c>
      <c r="G594" s="647" t="s">
        <v>18</v>
      </c>
      <c r="H594" s="647" t="s">
        <v>26</v>
      </c>
      <c r="I594" s="575" t="s">
        <v>1286</v>
      </c>
      <c r="J594" s="575">
        <v>1</v>
      </c>
      <c r="K594" s="647" t="s">
        <v>437</v>
      </c>
      <c r="L594" s="657">
        <v>44161</v>
      </c>
      <c r="M594" s="665" t="s">
        <v>258</v>
      </c>
      <c r="N594" s="647" t="s">
        <v>1124</v>
      </c>
      <c r="O594" s="575"/>
      <c r="P594" s="566" t="str">
        <f>VLOOKUP(A594,'[1]Raw data'!$B:$BB,23,FALSE)</f>
        <v>JPY</v>
      </c>
      <c r="Q594" s="563" t="str">
        <f>VLOOKUP(A594,'[1]Raw data'!$B:$Z,2,FALSE)</f>
        <v>C49SZX20200169DZ</v>
      </c>
      <c r="R594" s="563" t="str">
        <f>VLOOKUP(A594,'[1]Raw data'!$B:$Z,3,FALSE)</f>
        <v>兆晖</v>
      </c>
      <c r="S594" s="563" t="str">
        <f>VLOOKUP(A594,'[1]Raw data'!$B:$Z,4,FALSE)</f>
        <v>YSM10</v>
      </c>
      <c r="T594" s="563" t="str">
        <f>VLOOKUP(A594,'[1]Raw data'!$B:$Z,8,FALSE)</f>
        <v>L-&gt;R</v>
      </c>
      <c r="U594" s="563" t="str">
        <f>VLOOKUP(A594,'[1]Raw data'!$B:$Z,9,FALSE)</f>
        <v>MVC</v>
      </c>
      <c r="V594" s="567" t="str">
        <f t="shared" si="84"/>
        <v>WRONG</v>
      </c>
      <c r="W594" s="563" t="str">
        <f>VLOOKUP(A594,'[1]Raw data'!$B:$AG,32,FALSE)</f>
        <v>CIF HK</v>
      </c>
      <c r="X594" s="563">
        <f>VLOOKUP(A594,'[1]Raw data'!$B:$BA,31,FALSE)</f>
        <v>44101</v>
      </c>
      <c r="Y594" s="563" t="str">
        <f>VLOOKUP(A594,'[1]Raw data'!$B:$AS,39,FALSE)</f>
        <v>Yes</v>
      </c>
      <c r="Z594" s="659"/>
      <c r="AA594" s="660"/>
      <c r="AB594" s="661"/>
      <c r="AC594" s="647" t="s">
        <v>1023</v>
      </c>
      <c r="AD594" s="662">
        <v>301</v>
      </c>
      <c r="AE594" s="662">
        <v>10</v>
      </c>
      <c r="AF594" s="662"/>
      <c r="AG594" s="662"/>
      <c r="AH594" s="662"/>
      <c r="AI594" s="663"/>
      <c r="AN594" s="542"/>
      <c r="AO594" s="824" t="str">
        <f t="shared" si="85"/>
        <v>Yes</v>
      </c>
      <c r="AP594" s="259" t="str">
        <f t="shared" si="86"/>
        <v>DEC 20</v>
      </c>
      <c r="AQ594" s="542" t="str">
        <f t="shared" si="87"/>
        <v>有定金+有預留客戶</v>
      </c>
      <c r="AR594" s="259" t="str">
        <f t="shared" si="88"/>
        <v>Shipped_Stock</v>
      </c>
      <c r="AS594" s="259" t="str">
        <f t="shared" si="89"/>
        <v/>
      </c>
      <c r="AT594" s="259" t="str">
        <f t="shared" si="90"/>
        <v>兆晖</v>
      </c>
      <c r="AU594" s="259" t="str">
        <f t="shared" si="91"/>
        <v>C49SZX20200169DZ</v>
      </c>
      <c r="AV594" s="259" t="str">
        <f t="shared" si="92"/>
        <v>Nov-26</v>
      </c>
    </row>
    <row r="595" spans="1:48" hidden="1">
      <c r="A595" s="559">
        <v>859</v>
      </c>
      <c r="B595" s="664" t="s">
        <v>280</v>
      </c>
      <c r="C595" s="563" t="s">
        <v>15</v>
      </c>
      <c r="D595" s="645">
        <v>110044</v>
      </c>
      <c r="E595" s="563" t="s">
        <v>886</v>
      </c>
      <c r="F595" s="647" t="s">
        <v>241</v>
      </c>
      <c r="G595" s="647" t="s">
        <v>18</v>
      </c>
      <c r="H595" s="647" t="s">
        <v>26</v>
      </c>
      <c r="I595" s="575" t="s">
        <v>1287</v>
      </c>
      <c r="J595" s="575">
        <v>1</v>
      </c>
      <c r="K595" s="647" t="s">
        <v>437</v>
      </c>
      <c r="L595" s="657">
        <v>44161</v>
      </c>
      <c r="M595" s="665" t="s">
        <v>258</v>
      </c>
      <c r="N595" s="647" t="s">
        <v>1124</v>
      </c>
      <c r="O595" s="575"/>
      <c r="P595" s="566" t="str">
        <f>VLOOKUP(A595,'[1]Raw data'!$B:$BB,23,FALSE)</f>
        <v>JPY</v>
      </c>
      <c r="Q595" s="563" t="str">
        <f>VLOOKUP(A595,'[1]Raw data'!$B:$Z,2,FALSE)</f>
        <v>C49SZX20200169DZ</v>
      </c>
      <c r="R595" s="563" t="str">
        <f>VLOOKUP(A595,'[1]Raw data'!$B:$Z,3,FALSE)</f>
        <v>兆晖</v>
      </c>
      <c r="S595" s="563" t="str">
        <f>VLOOKUP(A595,'[1]Raw data'!$B:$Z,4,FALSE)</f>
        <v>YSM10</v>
      </c>
      <c r="T595" s="563" t="str">
        <f>VLOOKUP(A595,'[1]Raw data'!$B:$Z,8,FALSE)</f>
        <v>L-&gt;R</v>
      </c>
      <c r="U595" s="563" t="str">
        <f>VLOOKUP(A595,'[1]Raw data'!$B:$Z,9,FALSE)</f>
        <v>MVC</v>
      </c>
      <c r="V595" s="567" t="str">
        <f t="shared" si="84"/>
        <v>WRONG</v>
      </c>
      <c r="W595" s="563" t="str">
        <f>VLOOKUP(A595,'[1]Raw data'!$B:$AG,32,FALSE)</f>
        <v>CIF HK</v>
      </c>
      <c r="X595" s="563">
        <f>VLOOKUP(A595,'[1]Raw data'!$B:$BA,31,FALSE)</f>
        <v>44101</v>
      </c>
      <c r="Y595" s="563" t="str">
        <f>VLOOKUP(A595,'[1]Raw data'!$B:$AS,39,FALSE)</f>
        <v>Yes</v>
      </c>
      <c r="Z595" s="659"/>
      <c r="AA595" s="660"/>
      <c r="AB595" s="661"/>
      <c r="AC595" s="647" t="s">
        <v>1023</v>
      </c>
      <c r="AD595" s="662">
        <v>301</v>
      </c>
      <c r="AE595" s="662">
        <v>10</v>
      </c>
      <c r="AF595" s="662"/>
      <c r="AG595" s="662"/>
      <c r="AH595" s="662"/>
      <c r="AI595" s="663"/>
      <c r="AN595" s="542"/>
      <c r="AO595" s="824" t="str">
        <f t="shared" si="85"/>
        <v>Yes</v>
      </c>
      <c r="AP595" s="259" t="str">
        <f t="shared" si="86"/>
        <v>DEC 20</v>
      </c>
      <c r="AQ595" s="542" t="str">
        <f t="shared" si="87"/>
        <v>有定金+有預留客戶</v>
      </c>
      <c r="AR595" s="259" t="str">
        <f t="shared" si="88"/>
        <v>Shipped_Stock</v>
      </c>
      <c r="AS595" s="259" t="str">
        <f t="shared" si="89"/>
        <v/>
      </c>
      <c r="AT595" s="259" t="str">
        <f t="shared" si="90"/>
        <v>兆晖</v>
      </c>
      <c r="AU595" s="259" t="str">
        <f t="shared" si="91"/>
        <v>C49SZX20200169DZ</v>
      </c>
      <c r="AV595" s="259" t="str">
        <f t="shared" si="92"/>
        <v>Nov-26</v>
      </c>
    </row>
    <row r="596" spans="1:48" hidden="1">
      <c r="A596" s="559">
        <v>851</v>
      </c>
      <c r="B596" s="560" t="s">
        <v>280</v>
      </c>
      <c r="C596" s="563" t="s">
        <v>15</v>
      </c>
      <c r="D596" s="645">
        <v>110069</v>
      </c>
      <c r="E596" s="563" t="s">
        <v>886</v>
      </c>
      <c r="F596" s="647" t="s">
        <v>58</v>
      </c>
      <c r="G596" s="647" t="s">
        <v>24</v>
      </c>
      <c r="H596" s="647" t="s">
        <v>26</v>
      </c>
      <c r="I596" s="575" t="s">
        <v>1288</v>
      </c>
      <c r="J596" s="575">
        <v>1</v>
      </c>
      <c r="K596" s="647" t="s">
        <v>311</v>
      </c>
      <c r="L596" s="675">
        <v>44175</v>
      </c>
      <c r="M596" s="676" t="s">
        <v>906</v>
      </c>
      <c r="N596" s="647" t="s">
        <v>1124</v>
      </c>
      <c r="O596" s="575"/>
      <c r="P596" s="566" t="str">
        <f>VLOOKUP(A596,'[1]Raw data'!$B:$BB,23,FALSE)</f>
        <v>JPY</v>
      </c>
      <c r="Q596" s="563" t="str">
        <f>VLOOKUP(A596,'[1]Raw data'!$B:$Z,2,FALSE)</f>
        <v>C49SZX20200167EC</v>
      </c>
      <c r="R596" s="563" t="str">
        <f>VLOOKUP(A596,'[1]Raw data'!$B:$Z,3,FALSE)</f>
        <v>海红天远</v>
      </c>
      <c r="S596" s="563" t="str">
        <f>VLOOKUP(A596,'[1]Raw data'!$B:$Z,4,FALSE)</f>
        <v>YSM20R(SV)-2</v>
      </c>
      <c r="T596" s="563" t="str">
        <f>VLOOKUP(A596,'[1]Raw data'!$B:$Z,8,FALSE)</f>
        <v>L-&gt;R</v>
      </c>
      <c r="U596" s="563" t="str">
        <f>VLOOKUP(A596,'[1]Raw data'!$B:$Z,9,FALSE)</f>
        <v>No</v>
      </c>
      <c r="V596" s="567" t="str">
        <f t="shared" si="84"/>
        <v>OK</v>
      </c>
      <c r="W596" s="563" t="str">
        <f>VLOOKUP(A596,'[1]Raw data'!$B:$AG,32,FALSE)</f>
        <v>CIF HK</v>
      </c>
      <c r="X596" s="563">
        <f>VLOOKUP(A596,'[1]Raw data'!$B:$BA,31,FALSE)</f>
        <v>44092</v>
      </c>
      <c r="Y596" s="563" t="str">
        <f>VLOOKUP(A596,'[1]Raw data'!$B:$AS,39,FALSE)</f>
        <v>Yes</v>
      </c>
      <c r="Z596" s="659"/>
      <c r="AA596" s="660"/>
      <c r="AB596" s="661"/>
      <c r="AC596" s="647" t="s">
        <v>1079</v>
      </c>
      <c r="AD596" s="662">
        <v>301</v>
      </c>
      <c r="AE596" s="662">
        <v>20</v>
      </c>
      <c r="AF596" s="662"/>
      <c r="AG596" s="662"/>
      <c r="AH596" s="662"/>
      <c r="AI596" s="663"/>
      <c r="AN596" s="542"/>
      <c r="AO596" s="824" t="str">
        <f t="shared" si="85"/>
        <v>Yes</v>
      </c>
      <c r="AP596" s="259" t="str">
        <f t="shared" si="86"/>
        <v>DEC 20</v>
      </c>
      <c r="AQ596" s="542" t="str">
        <f t="shared" si="87"/>
        <v>有定金+有預留客戶</v>
      </c>
      <c r="AR596" s="259" t="str">
        <f t="shared" si="88"/>
        <v>Shipped_Stock</v>
      </c>
      <c r="AS596" s="259" t="str">
        <f t="shared" si="89"/>
        <v/>
      </c>
      <c r="AT596" s="259" t="str">
        <f t="shared" si="90"/>
        <v>海红天远</v>
      </c>
      <c r="AU596" s="259" t="str">
        <f t="shared" si="91"/>
        <v>C49SZX20200167EC</v>
      </c>
      <c r="AV596" s="259" t="str">
        <f t="shared" si="92"/>
        <v>Dec-10</v>
      </c>
    </row>
    <row r="597" spans="1:48" hidden="1">
      <c r="A597" s="559">
        <v>841</v>
      </c>
      <c r="B597" s="664" t="s">
        <v>280</v>
      </c>
      <c r="C597" s="563" t="s">
        <v>15</v>
      </c>
      <c r="D597" s="645">
        <v>110069</v>
      </c>
      <c r="E597" s="563" t="s">
        <v>886</v>
      </c>
      <c r="F597" s="647" t="s">
        <v>58</v>
      </c>
      <c r="G597" s="647" t="s">
        <v>18</v>
      </c>
      <c r="H597" s="647" t="s">
        <v>26</v>
      </c>
      <c r="I597" s="575" t="s">
        <v>1289</v>
      </c>
      <c r="J597" s="575">
        <v>1</v>
      </c>
      <c r="K597" s="647" t="s">
        <v>311</v>
      </c>
      <c r="L597" s="675">
        <v>44175</v>
      </c>
      <c r="M597" s="676" t="s">
        <v>906</v>
      </c>
      <c r="N597" s="647" t="s">
        <v>1124</v>
      </c>
      <c r="O597" s="575"/>
      <c r="P597" s="566" t="str">
        <f>VLOOKUP(A597,'[1]Raw data'!$B:$BB,23,FALSE)</f>
        <v>JPY</v>
      </c>
      <c r="Q597" s="563" t="str">
        <f>VLOOKUP(A597,'[1]Raw data'!$B:$Z,2,FALSE)</f>
        <v>C49SZX20200165SX</v>
      </c>
      <c r="R597" s="563" t="str">
        <f>VLOOKUP(A597,'[1]Raw data'!$B:$Z,3,FALSE)</f>
        <v>益田科技</v>
      </c>
      <c r="S597" s="563" t="str">
        <f>VLOOKUP(A597,'[1]Raw data'!$B:$Z,4,FALSE)</f>
        <v>YSM20R(SV)-2</v>
      </c>
      <c r="T597" s="563" t="str">
        <f>VLOOKUP(A597,'[1]Raw data'!$B:$Z,8,FALSE)</f>
        <v>R-&gt;L</v>
      </c>
      <c r="U597" s="563" t="str">
        <f>VLOOKUP(A597,'[1]Raw data'!$B:$Z,9,FALSE)</f>
        <v>No</v>
      </c>
      <c r="V597" s="567" t="str">
        <f t="shared" si="84"/>
        <v>OK</v>
      </c>
      <c r="W597" s="563" t="str">
        <f>VLOOKUP(A597,'[1]Raw data'!$B:$AG,32,FALSE)</f>
        <v>DAP SZ</v>
      </c>
      <c r="X597" s="563">
        <f>VLOOKUP(A597,'[1]Raw data'!$B:$BA,31,FALSE)</f>
        <v>44093</v>
      </c>
      <c r="Y597" s="563" t="str">
        <f>VLOOKUP(A597,'[1]Raw data'!$B:$AS,39,FALSE)</f>
        <v>Yes</v>
      </c>
      <c r="Z597" s="659"/>
      <c r="AA597" s="660"/>
      <c r="AB597" s="661"/>
      <c r="AC597" s="647" t="s">
        <v>1172</v>
      </c>
      <c r="AD597" s="662">
        <v>301</v>
      </c>
      <c r="AE597" s="662">
        <v>20</v>
      </c>
      <c r="AF597" s="662"/>
      <c r="AG597" s="662"/>
      <c r="AH597" s="662"/>
      <c r="AI597" s="663"/>
      <c r="AN597" s="542"/>
      <c r="AO597" s="824" t="str">
        <f t="shared" si="85"/>
        <v>Yes</v>
      </c>
      <c r="AP597" s="259" t="str">
        <f t="shared" si="86"/>
        <v>DEC 20</v>
      </c>
      <c r="AQ597" s="542" t="str">
        <f t="shared" si="87"/>
        <v>有定金+有預留客戶</v>
      </c>
      <c r="AR597" s="259" t="str">
        <f t="shared" si="88"/>
        <v>Shipped_Stock</v>
      </c>
      <c r="AS597" s="259" t="str">
        <f t="shared" si="89"/>
        <v/>
      </c>
      <c r="AT597" s="259" t="str">
        <f t="shared" si="90"/>
        <v>益田科技</v>
      </c>
      <c r="AU597" s="259" t="str">
        <f t="shared" si="91"/>
        <v>C49SZX20200165SX</v>
      </c>
      <c r="AV597" s="259" t="str">
        <f t="shared" si="92"/>
        <v>Dec-10</v>
      </c>
    </row>
    <row r="598" spans="1:48" hidden="1">
      <c r="A598" s="559">
        <v>842</v>
      </c>
      <c r="B598" s="664" t="s">
        <v>280</v>
      </c>
      <c r="C598" s="563" t="s">
        <v>15</v>
      </c>
      <c r="D598" s="645">
        <v>110069</v>
      </c>
      <c r="E598" s="563" t="s">
        <v>886</v>
      </c>
      <c r="F598" s="647" t="s">
        <v>58</v>
      </c>
      <c r="G598" s="647" t="s">
        <v>18</v>
      </c>
      <c r="H598" s="647" t="s">
        <v>26</v>
      </c>
      <c r="I598" s="575" t="s">
        <v>1290</v>
      </c>
      <c r="J598" s="575">
        <v>1</v>
      </c>
      <c r="K598" s="647" t="s">
        <v>311</v>
      </c>
      <c r="L598" s="675">
        <v>44175</v>
      </c>
      <c r="M598" s="676" t="s">
        <v>906</v>
      </c>
      <c r="N598" s="647" t="s">
        <v>1124</v>
      </c>
      <c r="O598" s="575"/>
      <c r="P598" s="566" t="str">
        <f>VLOOKUP(A598,'[1]Raw data'!$B:$BB,23,FALSE)</f>
        <v>JPY</v>
      </c>
      <c r="Q598" s="563" t="str">
        <f>VLOOKUP(A598,'[1]Raw data'!$B:$Z,2,FALSE)</f>
        <v>C49SZX20200165SX</v>
      </c>
      <c r="R598" s="563" t="str">
        <f>VLOOKUP(A598,'[1]Raw data'!$B:$Z,3,FALSE)</f>
        <v>益田科技</v>
      </c>
      <c r="S598" s="563" t="str">
        <f>VLOOKUP(A598,'[1]Raw data'!$B:$Z,4,FALSE)</f>
        <v>YSM20R(SV)-2</v>
      </c>
      <c r="T598" s="563" t="str">
        <f>VLOOKUP(A598,'[1]Raw data'!$B:$Z,8,FALSE)</f>
        <v>R-&gt;L</v>
      </c>
      <c r="U598" s="563" t="str">
        <f>VLOOKUP(A598,'[1]Raw data'!$B:$Z,9,FALSE)</f>
        <v>No</v>
      </c>
      <c r="V598" s="567" t="str">
        <f t="shared" ref="V598:V661" si="93">IF(G598&amp;H598=T598&amp;U598,"OK","WRONG")</f>
        <v>OK</v>
      </c>
      <c r="W598" s="563" t="str">
        <f>VLOOKUP(A598,'[1]Raw data'!$B:$AG,32,FALSE)</f>
        <v>DAP SZ</v>
      </c>
      <c r="X598" s="563">
        <f>VLOOKUP(A598,'[1]Raw data'!$B:$BA,31,FALSE)</f>
        <v>44093</v>
      </c>
      <c r="Y598" s="563" t="str">
        <f>VLOOKUP(A598,'[1]Raw data'!$B:$AS,39,FALSE)</f>
        <v>Yes</v>
      </c>
      <c r="Z598" s="659"/>
      <c r="AA598" s="660"/>
      <c r="AB598" s="661"/>
      <c r="AC598" s="647" t="s">
        <v>1172</v>
      </c>
      <c r="AD598" s="662">
        <v>301</v>
      </c>
      <c r="AE598" s="662">
        <v>10</v>
      </c>
      <c r="AF598" s="662">
        <v>302</v>
      </c>
      <c r="AG598" s="662">
        <v>10</v>
      </c>
      <c r="AH598" s="662"/>
      <c r="AI598" s="663"/>
      <c r="AN598" s="542"/>
      <c r="AO598" s="824" t="str">
        <f t="shared" si="85"/>
        <v>Yes</v>
      </c>
      <c r="AP598" s="259" t="str">
        <f t="shared" si="86"/>
        <v>DEC 20</v>
      </c>
      <c r="AQ598" s="542" t="str">
        <f t="shared" si="87"/>
        <v>有定金+有預留客戶</v>
      </c>
      <c r="AR598" s="259" t="str">
        <f t="shared" si="88"/>
        <v>Shipped_Stock</v>
      </c>
      <c r="AS598" s="259" t="str">
        <f t="shared" si="89"/>
        <v/>
      </c>
      <c r="AT598" s="259" t="str">
        <f t="shared" si="90"/>
        <v>益田科技</v>
      </c>
      <c r="AU598" s="259" t="str">
        <f t="shared" si="91"/>
        <v>C49SZX20200165SX</v>
      </c>
      <c r="AV598" s="259" t="str">
        <f t="shared" si="92"/>
        <v>Dec-10</v>
      </c>
    </row>
    <row r="599" spans="1:48" hidden="1">
      <c r="A599" s="559">
        <v>843</v>
      </c>
      <c r="B599" s="664" t="s">
        <v>280</v>
      </c>
      <c r="C599" s="563" t="s">
        <v>15</v>
      </c>
      <c r="D599" s="645">
        <v>110069</v>
      </c>
      <c r="E599" s="563" t="s">
        <v>886</v>
      </c>
      <c r="F599" s="647" t="s">
        <v>58</v>
      </c>
      <c r="G599" s="647" t="s">
        <v>18</v>
      </c>
      <c r="H599" s="647" t="s">
        <v>26</v>
      </c>
      <c r="I599" s="575" t="s">
        <v>1291</v>
      </c>
      <c r="J599" s="575">
        <v>1</v>
      </c>
      <c r="K599" s="647" t="s">
        <v>311</v>
      </c>
      <c r="L599" s="675">
        <v>44175</v>
      </c>
      <c r="M599" s="676" t="s">
        <v>906</v>
      </c>
      <c r="N599" s="647" t="s">
        <v>1124</v>
      </c>
      <c r="O599" s="575"/>
      <c r="P599" s="566" t="str">
        <f>VLOOKUP(A599,'[1]Raw data'!$B:$BB,23,FALSE)</f>
        <v>JPY</v>
      </c>
      <c r="Q599" s="563" t="str">
        <f>VLOOKUP(A599,'[1]Raw data'!$B:$Z,2,FALSE)</f>
        <v>C49SZX20200165SX</v>
      </c>
      <c r="R599" s="563" t="str">
        <f>VLOOKUP(A599,'[1]Raw data'!$B:$Z,3,FALSE)</f>
        <v>益田科技</v>
      </c>
      <c r="S599" s="563" t="str">
        <f>VLOOKUP(A599,'[1]Raw data'!$B:$Z,4,FALSE)</f>
        <v>YSM20R(SV)-2</v>
      </c>
      <c r="T599" s="563" t="str">
        <f>VLOOKUP(A599,'[1]Raw data'!$B:$Z,8,FALSE)</f>
        <v>R-&gt;L</v>
      </c>
      <c r="U599" s="563" t="str">
        <f>VLOOKUP(A599,'[1]Raw data'!$B:$Z,9,FALSE)</f>
        <v>No</v>
      </c>
      <c r="V599" s="567" t="str">
        <f t="shared" si="93"/>
        <v>OK</v>
      </c>
      <c r="W599" s="563" t="str">
        <f>VLOOKUP(A599,'[1]Raw data'!$B:$AG,32,FALSE)</f>
        <v>DAP SZ</v>
      </c>
      <c r="X599" s="563">
        <f>VLOOKUP(A599,'[1]Raw data'!$B:$BA,31,FALSE)</f>
        <v>44093</v>
      </c>
      <c r="Y599" s="563" t="str">
        <f>VLOOKUP(A599,'[1]Raw data'!$B:$AS,39,FALSE)</f>
        <v>Yes</v>
      </c>
      <c r="Z599" s="659"/>
      <c r="AA599" s="660"/>
      <c r="AB599" s="661"/>
      <c r="AC599" s="647" t="s">
        <v>1172</v>
      </c>
      <c r="AD599" s="662">
        <v>301</v>
      </c>
      <c r="AE599" s="662">
        <v>10</v>
      </c>
      <c r="AF599" s="662">
        <v>302</v>
      </c>
      <c r="AG599" s="662">
        <v>10</v>
      </c>
      <c r="AH599" s="662"/>
      <c r="AI599" s="663"/>
      <c r="AN599" s="542"/>
      <c r="AO599" s="824" t="str">
        <f t="shared" si="85"/>
        <v>Yes</v>
      </c>
      <c r="AP599" s="259" t="str">
        <f t="shared" si="86"/>
        <v>DEC 20</v>
      </c>
      <c r="AQ599" s="542" t="str">
        <f t="shared" si="87"/>
        <v>有定金+有預留客戶</v>
      </c>
      <c r="AR599" s="259" t="str">
        <f t="shared" si="88"/>
        <v>Shipped_Stock</v>
      </c>
      <c r="AS599" s="259" t="str">
        <f t="shared" si="89"/>
        <v/>
      </c>
      <c r="AT599" s="259" t="str">
        <f t="shared" si="90"/>
        <v>益田科技</v>
      </c>
      <c r="AU599" s="259" t="str">
        <f t="shared" si="91"/>
        <v>C49SZX20200165SX</v>
      </c>
      <c r="AV599" s="259" t="str">
        <f t="shared" si="92"/>
        <v>Dec-10</v>
      </c>
    </row>
    <row r="600" spans="1:48" hidden="1">
      <c r="A600" s="559">
        <v>844</v>
      </c>
      <c r="B600" s="664" t="s">
        <v>280</v>
      </c>
      <c r="C600" s="563" t="s">
        <v>15</v>
      </c>
      <c r="D600" s="645">
        <v>110069</v>
      </c>
      <c r="E600" s="563" t="s">
        <v>886</v>
      </c>
      <c r="F600" s="647" t="s">
        <v>58</v>
      </c>
      <c r="G600" s="647" t="s">
        <v>18</v>
      </c>
      <c r="H600" s="647" t="s">
        <v>26</v>
      </c>
      <c r="I600" s="575" t="s">
        <v>1292</v>
      </c>
      <c r="J600" s="575">
        <v>1</v>
      </c>
      <c r="K600" s="647" t="s">
        <v>311</v>
      </c>
      <c r="L600" s="675">
        <v>44175</v>
      </c>
      <c r="M600" s="676" t="s">
        <v>906</v>
      </c>
      <c r="N600" s="647" t="s">
        <v>1124</v>
      </c>
      <c r="O600" s="575"/>
      <c r="P600" s="566" t="str">
        <f>VLOOKUP(A600,'[1]Raw data'!$B:$BB,23,FALSE)</f>
        <v>JPY</v>
      </c>
      <c r="Q600" s="563" t="str">
        <f>VLOOKUP(A600,'[1]Raw data'!$B:$Z,2,FALSE)</f>
        <v>C49SZX20200165SX</v>
      </c>
      <c r="R600" s="563" t="str">
        <f>VLOOKUP(A600,'[1]Raw data'!$B:$Z,3,FALSE)</f>
        <v>益田科技</v>
      </c>
      <c r="S600" s="563" t="str">
        <f>VLOOKUP(A600,'[1]Raw data'!$B:$Z,4,FALSE)</f>
        <v>YSM20R(SV)-2</v>
      </c>
      <c r="T600" s="563" t="str">
        <f>VLOOKUP(A600,'[1]Raw data'!$B:$Z,8,FALSE)</f>
        <v>R-&gt;L</v>
      </c>
      <c r="U600" s="563" t="str">
        <f>VLOOKUP(A600,'[1]Raw data'!$B:$Z,9,FALSE)</f>
        <v>No</v>
      </c>
      <c r="V600" s="567" t="str">
        <f t="shared" si="93"/>
        <v>OK</v>
      </c>
      <c r="W600" s="563" t="str">
        <f>VLOOKUP(A600,'[1]Raw data'!$B:$AG,32,FALSE)</f>
        <v>DAP SZ</v>
      </c>
      <c r="X600" s="563">
        <f>VLOOKUP(A600,'[1]Raw data'!$B:$BA,31,FALSE)</f>
        <v>44093</v>
      </c>
      <c r="Y600" s="563" t="str">
        <f>VLOOKUP(A600,'[1]Raw data'!$B:$AS,39,FALSE)</f>
        <v>Yes</v>
      </c>
      <c r="Z600" s="659"/>
      <c r="AA600" s="660"/>
      <c r="AB600" s="661"/>
      <c r="AC600" s="647" t="s">
        <v>1172</v>
      </c>
      <c r="AD600" s="662">
        <v>301</v>
      </c>
      <c r="AE600" s="662">
        <v>10</v>
      </c>
      <c r="AF600" s="662">
        <v>302</v>
      </c>
      <c r="AG600" s="662">
        <v>10</v>
      </c>
      <c r="AH600" s="662"/>
      <c r="AI600" s="663"/>
      <c r="AN600" s="542"/>
      <c r="AO600" s="824" t="str">
        <f t="shared" si="85"/>
        <v>Yes</v>
      </c>
      <c r="AP600" s="259" t="str">
        <f t="shared" si="86"/>
        <v>DEC 20</v>
      </c>
      <c r="AQ600" s="542" t="str">
        <f t="shared" si="87"/>
        <v>有定金+有預留客戶</v>
      </c>
      <c r="AR600" s="259" t="str">
        <f t="shared" si="88"/>
        <v>Shipped_Stock</v>
      </c>
      <c r="AS600" s="259" t="str">
        <f t="shared" si="89"/>
        <v/>
      </c>
      <c r="AT600" s="259" t="str">
        <f t="shared" si="90"/>
        <v>益田科技</v>
      </c>
      <c r="AU600" s="259" t="str">
        <f t="shared" si="91"/>
        <v>C49SZX20200165SX</v>
      </c>
      <c r="AV600" s="259" t="str">
        <f t="shared" si="92"/>
        <v>Dec-10</v>
      </c>
    </row>
    <row r="601" spans="1:48" hidden="1">
      <c r="A601" s="559">
        <v>932</v>
      </c>
      <c r="B601" s="664" t="s">
        <v>280</v>
      </c>
      <c r="C601" s="563" t="s">
        <v>15</v>
      </c>
      <c r="D601" s="645">
        <v>110110</v>
      </c>
      <c r="E601" s="646" t="s">
        <v>878</v>
      </c>
      <c r="F601" s="647" t="s">
        <v>58</v>
      </c>
      <c r="G601" s="647" t="s">
        <v>24</v>
      </c>
      <c r="H601" s="647" t="s">
        <v>26</v>
      </c>
      <c r="I601" s="575" t="s">
        <v>1293</v>
      </c>
      <c r="J601" s="575">
        <v>1</v>
      </c>
      <c r="K601" s="647" t="s">
        <v>746</v>
      </c>
      <c r="L601" s="675">
        <v>44180</v>
      </c>
      <c r="M601" s="676" t="s">
        <v>906</v>
      </c>
      <c r="N601" s="647" t="s">
        <v>1124</v>
      </c>
      <c r="O601" s="575"/>
      <c r="P601" s="566" t="str">
        <f>VLOOKUP(A601,'[1]Raw data'!$B:$BB,23,FALSE)</f>
        <v>JPY</v>
      </c>
      <c r="Q601" s="563" t="str">
        <f>VLOOKUP(A601,'[1]Raw data'!$B:$Z,2,FALSE)</f>
        <v>C49SZX20200216JL</v>
      </c>
      <c r="R601" s="563" t="str">
        <f>VLOOKUP(A601,'[1]Raw data'!$B:$Z,3,FALSE)</f>
        <v>捷舜诚</v>
      </c>
      <c r="S601" s="563" t="str">
        <f>VLOOKUP(A601,'[1]Raw data'!$B:$Z,4,FALSE)</f>
        <v>YSM20R-2</v>
      </c>
      <c r="T601" s="563" t="str">
        <f>VLOOKUP(A601,'[1]Raw data'!$B:$Z,8,FALSE)</f>
        <v>L-&gt;R</v>
      </c>
      <c r="U601" s="563" t="str">
        <f>VLOOKUP(A601,'[1]Raw data'!$B:$Z,9,FALSE)</f>
        <v>No</v>
      </c>
      <c r="V601" s="567" t="str">
        <f t="shared" si="93"/>
        <v>OK</v>
      </c>
      <c r="W601" s="563" t="str">
        <f>VLOOKUP(A601,'[1]Raw data'!$B:$AG,32,FALSE)</f>
        <v>DAP SZ</v>
      </c>
      <c r="X601" s="563">
        <f>VLOOKUP(A601,'[1]Raw data'!$B:$BA,31,FALSE)</f>
        <v>44148</v>
      </c>
      <c r="Y601" s="563" t="str">
        <f>VLOOKUP(A601,'[1]Raw data'!$B:$AS,39,FALSE)</f>
        <v>Yes</v>
      </c>
      <c r="Z601" s="659"/>
      <c r="AA601" s="660"/>
      <c r="AB601" s="661"/>
      <c r="AC601" s="647" t="s">
        <v>1150</v>
      </c>
      <c r="AD601" s="662">
        <v>313</v>
      </c>
      <c r="AE601" s="662">
        <v>20</v>
      </c>
      <c r="AF601" s="662"/>
      <c r="AG601" s="662"/>
      <c r="AH601" s="662"/>
      <c r="AI601" s="663"/>
      <c r="AN601" s="542"/>
      <c r="AO601" s="824" t="str">
        <f t="shared" si="85"/>
        <v>Yes</v>
      </c>
      <c r="AP601" s="259" t="str">
        <f t="shared" si="86"/>
        <v>DEC 20</v>
      </c>
      <c r="AQ601" s="542" t="str">
        <f t="shared" si="87"/>
        <v>有定金+有預留客戶</v>
      </c>
      <c r="AR601" s="259" t="str">
        <f t="shared" si="88"/>
        <v>Shipped_Stock</v>
      </c>
      <c r="AS601" s="259" t="str">
        <f t="shared" si="89"/>
        <v/>
      </c>
      <c r="AT601" s="259" t="str">
        <f t="shared" si="90"/>
        <v>捷舜诚</v>
      </c>
      <c r="AU601" s="259" t="str">
        <f t="shared" si="91"/>
        <v>C49SZX20200216JL</v>
      </c>
      <c r="AV601" s="259" t="str">
        <f t="shared" si="92"/>
        <v>Dec-15</v>
      </c>
    </row>
    <row r="602" spans="1:48" hidden="1">
      <c r="A602" s="559">
        <v>881</v>
      </c>
      <c r="B602" s="664" t="s">
        <v>280</v>
      </c>
      <c r="C602" s="563" t="s">
        <v>15</v>
      </c>
      <c r="D602" s="645" t="s">
        <v>1294</v>
      </c>
      <c r="E602" s="646" t="s">
        <v>878</v>
      </c>
      <c r="F602" s="647" t="s">
        <v>58</v>
      </c>
      <c r="G602" s="647" t="s">
        <v>24</v>
      </c>
      <c r="H602" s="647" t="s">
        <v>26</v>
      </c>
      <c r="I602" s="575" t="s">
        <v>1295</v>
      </c>
      <c r="J602" s="575">
        <v>1</v>
      </c>
      <c r="K602" s="647" t="s">
        <v>746</v>
      </c>
      <c r="L602" s="675">
        <v>44180</v>
      </c>
      <c r="M602" s="676">
        <v>6.4000000000000001E-2</v>
      </c>
      <c r="N602" s="647" t="s">
        <v>1124</v>
      </c>
      <c r="O602" s="575"/>
      <c r="P602" s="566" t="str">
        <f>VLOOKUP(A602,'[1]Raw data'!$B:$BB,23,FALSE)</f>
        <v>RMB</v>
      </c>
      <c r="Q602" s="563" t="str">
        <f>VLOOKUP(A602,'[1]Raw data'!$B:$Z,2,FALSE)</f>
        <v>C49SZX20200187SX</v>
      </c>
      <c r="R602" s="563" t="str">
        <f>VLOOKUP(A602,'[1]Raw data'!$B:$Z,3,FALSE)</f>
        <v>亿莱</v>
      </c>
      <c r="S602" s="563" t="str">
        <f>VLOOKUP(A602,'[1]Raw data'!$B:$Z,4,FALSE)</f>
        <v>YSM20R-2</v>
      </c>
      <c r="T602" s="563" t="str">
        <f>VLOOKUP(A602,'[1]Raw data'!$B:$Z,8,FALSE)</f>
        <v>L-&gt;R</v>
      </c>
      <c r="U602" s="563" t="str">
        <f>VLOOKUP(A602,'[1]Raw data'!$B:$Z,9,FALSE)</f>
        <v>No</v>
      </c>
      <c r="V602" s="567" t="str">
        <f t="shared" si="93"/>
        <v>OK</v>
      </c>
      <c r="W602" s="563" t="str">
        <f>VLOOKUP(A602,'[1]Raw data'!$B:$AG,32,FALSE)</f>
        <v>含税到厂</v>
      </c>
      <c r="X602" s="563">
        <f>VLOOKUP(A602,'[1]Raw data'!$B:$BA,31,FALSE)</f>
        <v>44116</v>
      </c>
      <c r="Y602" s="563" t="str">
        <f>VLOOKUP(A602,'[1]Raw data'!$B:$AS,39,FALSE)</f>
        <v>Yes</v>
      </c>
      <c r="Z602" s="659"/>
      <c r="AA602" s="660"/>
      <c r="AB602" s="661"/>
      <c r="AC602" s="719" t="s">
        <v>1282</v>
      </c>
      <c r="AD602" s="662">
        <v>302</v>
      </c>
      <c r="AE602" s="662">
        <v>20</v>
      </c>
      <c r="AF602" s="662"/>
      <c r="AG602" s="662"/>
      <c r="AH602" s="662"/>
      <c r="AI602" s="663"/>
      <c r="AN602" s="542"/>
      <c r="AO602" s="824" t="str">
        <f t="shared" si="85"/>
        <v>Yes</v>
      </c>
      <c r="AP602" s="259" t="str">
        <f t="shared" si="86"/>
        <v>DEC 20</v>
      </c>
      <c r="AQ602" s="542" t="str">
        <f t="shared" si="87"/>
        <v>有定金+有預留客戶</v>
      </c>
      <c r="AR602" s="259" t="str">
        <f t="shared" si="88"/>
        <v>Shipped_Stock</v>
      </c>
      <c r="AS602" s="259" t="str">
        <f t="shared" si="89"/>
        <v/>
      </c>
      <c r="AT602" s="259" t="str">
        <f t="shared" si="90"/>
        <v>亿莱</v>
      </c>
      <c r="AU602" s="259" t="str">
        <f t="shared" si="91"/>
        <v>C49SZX20200187SX</v>
      </c>
      <c r="AV602" s="259" t="str">
        <f t="shared" si="92"/>
        <v>Dec-15</v>
      </c>
    </row>
    <row r="603" spans="1:48" ht="15.75" hidden="1" customHeight="1">
      <c r="A603" s="559">
        <v>883</v>
      </c>
      <c r="B603" s="664" t="s">
        <v>1125</v>
      </c>
      <c r="C603" s="563" t="s">
        <v>15</v>
      </c>
      <c r="D603" s="645">
        <v>110068</v>
      </c>
      <c r="E603" s="563" t="s">
        <v>886</v>
      </c>
      <c r="F603" s="647" t="s">
        <v>58</v>
      </c>
      <c r="G603" s="647" t="s">
        <v>24</v>
      </c>
      <c r="H603" s="647" t="s">
        <v>176</v>
      </c>
      <c r="I603" s="575" t="s">
        <v>1296</v>
      </c>
      <c r="J603" s="662">
        <v>1</v>
      </c>
      <c r="K603" s="647" t="s">
        <v>437</v>
      </c>
      <c r="L603" s="675">
        <v>44178</v>
      </c>
      <c r="M603" s="676" t="s">
        <v>906</v>
      </c>
      <c r="N603" s="647" t="s">
        <v>1127</v>
      </c>
      <c r="O603" s="575">
        <v>2020.11</v>
      </c>
      <c r="P603" s="566" t="str">
        <f>VLOOKUP(A603,'[1]Raw data'!$B:$BB,23,FALSE)</f>
        <v>JPY</v>
      </c>
      <c r="Q603" s="563" t="str">
        <f>VLOOKUP(A603,'[1]Raw data'!$B:$Z,2,FALSE)</f>
        <v>C49SZX20200113SS</v>
      </c>
      <c r="R603" s="563" t="str">
        <f>VLOOKUP(A603,'[1]Raw data'!$B:$Z,3,FALSE)</f>
        <v>派勤</v>
      </c>
      <c r="S603" s="563" t="str">
        <f>VLOOKUP(A603,'[1]Raw data'!$B:$Z,4,FALSE)</f>
        <v>YSM20R-2</v>
      </c>
      <c r="T603" s="563" t="str">
        <f>VLOOKUP(A603,'[1]Raw data'!$B:$Z,8,FALSE)</f>
        <v>L-&gt;R</v>
      </c>
      <c r="U603" s="563" t="str">
        <f>VLOOKUP(A603,'[1]Raw data'!$B:$Z,9,FALSE)</f>
        <v>cATS10+MVC</v>
      </c>
      <c r="V603" s="567" t="str">
        <f t="shared" si="93"/>
        <v>WRONG</v>
      </c>
      <c r="W603" s="563" t="str">
        <f>VLOOKUP(A603,'[1]Raw data'!$B:$AG,32,FALSE)</f>
        <v>DAP SZ</v>
      </c>
      <c r="X603" s="563">
        <f>VLOOKUP(A603,'[1]Raw data'!$B:$BA,31,FALSE)</f>
        <v>44119</v>
      </c>
      <c r="Y603" s="563" t="str">
        <f>VLOOKUP(A603,'[1]Raw data'!$B:$AS,39,FALSE)</f>
        <v>Yes</v>
      </c>
      <c r="Z603" s="669"/>
      <c r="AA603" s="670"/>
      <c r="AB603" s="671"/>
      <c r="AC603" s="647" t="s">
        <v>1297</v>
      </c>
      <c r="AD603" s="662">
        <v>301</v>
      </c>
      <c r="AE603" s="662">
        <v>10</v>
      </c>
      <c r="AF603" s="662">
        <v>302</v>
      </c>
      <c r="AG603" s="662">
        <v>10</v>
      </c>
      <c r="AH603" s="662"/>
      <c r="AI603" s="663"/>
      <c r="AN603" s="542"/>
      <c r="AO603" s="824" t="str">
        <f t="shared" si="85"/>
        <v>Yes</v>
      </c>
      <c r="AP603" s="259" t="str">
        <f t="shared" si="86"/>
        <v>JAN 21</v>
      </c>
      <c r="AQ603" s="542" t="str">
        <f t="shared" si="87"/>
        <v>有定金+有預留客戶</v>
      </c>
      <c r="AR603" s="259" t="str">
        <f t="shared" si="88"/>
        <v>Shipped_Stock</v>
      </c>
      <c r="AS603" s="259" t="str">
        <f t="shared" si="89"/>
        <v/>
      </c>
      <c r="AT603" s="259" t="str">
        <f t="shared" si="90"/>
        <v>派勤</v>
      </c>
      <c r="AU603" s="259" t="str">
        <f t="shared" si="91"/>
        <v>C49SZX20200113SS</v>
      </c>
      <c r="AV603" s="259" t="str">
        <f t="shared" si="92"/>
        <v>Dec-13</v>
      </c>
    </row>
    <row r="604" spans="1:48" hidden="1">
      <c r="A604" s="559">
        <v>867</v>
      </c>
      <c r="B604" s="664" t="s">
        <v>280</v>
      </c>
      <c r="C604" s="563" t="s">
        <v>15</v>
      </c>
      <c r="D604" s="645">
        <v>110068</v>
      </c>
      <c r="E604" s="563" t="s">
        <v>886</v>
      </c>
      <c r="F604" s="647" t="s">
        <v>58</v>
      </c>
      <c r="G604" s="647" t="s">
        <v>24</v>
      </c>
      <c r="H604" s="647" t="s">
        <v>26</v>
      </c>
      <c r="I604" s="575" t="s">
        <v>1298</v>
      </c>
      <c r="J604" s="575">
        <v>1</v>
      </c>
      <c r="K604" s="647" t="s">
        <v>437</v>
      </c>
      <c r="L604" s="675">
        <v>44178</v>
      </c>
      <c r="M604" s="665" t="s">
        <v>906</v>
      </c>
      <c r="N604" s="647" t="s">
        <v>1124</v>
      </c>
      <c r="O604" s="575">
        <v>2020.11</v>
      </c>
      <c r="P604" s="566" t="str">
        <f>VLOOKUP(A604,'[1]Raw data'!$B:$BB,23,FALSE)</f>
        <v>JPY</v>
      </c>
      <c r="Q604" s="563" t="str">
        <f>VLOOKUP(A604,'[1]Raw data'!$B:$Z,2,FALSE)</f>
        <v>C49SZX20200170DZ</v>
      </c>
      <c r="R604" s="563" t="str">
        <f>VLOOKUP(A604,'[1]Raw data'!$B:$Z,3,FALSE)</f>
        <v>嘉裕</v>
      </c>
      <c r="S604" s="563" t="str">
        <f>VLOOKUP(A604,'[1]Raw data'!$B:$Z,4,FALSE)</f>
        <v>YSM20R-2</v>
      </c>
      <c r="T604" s="563" t="str">
        <f>VLOOKUP(A604,'[1]Raw data'!$B:$Z,8,FALSE)</f>
        <v>L-&gt;R</v>
      </c>
      <c r="U604" s="563" t="str">
        <f>VLOOKUP(A604,'[1]Raw data'!$B:$Z,9,FALSE)</f>
        <v>No</v>
      </c>
      <c r="V604" s="567" t="str">
        <f t="shared" si="93"/>
        <v>OK</v>
      </c>
      <c r="W604" s="563" t="str">
        <f>VLOOKUP(A604,'[1]Raw data'!$B:$AG,32,FALSE)</f>
        <v>CIF HK</v>
      </c>
      <c r="X604" s="563">
        <f>VLOOKUP(A604,'[1]Raw data'!$B:$BA,31,FALSE)</f>
        <v>44098</v>
      </c>
      <c r="Y604" s="563" t="str">
        <f>VLOOKUP(A604,'[1]Raw data'!$B:$AS,39,FALSE)</f>
        <v>Yes</v>
      </c>
      <c r="Z604" s="669"/>
      <c r="AA604" s="670"/>
      <c r="AB604" s="671"/>
      <c r="AC604" s="563" t="s">
        <v>555</v>
      </c>
      <c r="AD604" s="662">
        <v>303</v>
      </c>
      <c r="AE604" s="662">
        <v>20</v>
      </c>
      <c r="AF604" s="662"/>
      <c r="AG604" s="662"/>
      <c r="AH604" s="662"/>
      <c r="AI604" s="663"/>
      <c r="AN604" s="542"/>
      <c r="AO604" s="824" t="str">
        <f t="shared" si="85"/>
        <v>Yes</v>
      </c>
      <c r="AP604" s="259" t="str">
        <f t="shared" si="86"/>
        <v>DEC 20</v>
      </c>
      <c r="AQ604" s="542" t="str">
        <f t="shared" si="87"/>
        <v>有定金+有預留客戶</v>
      </c>
      <c r="AR604" s="259" t="str">
        <f t="shared" si="88"/>
        <v>Shipped_Stock</v>
      </c>
      <c r="AS604" s="259" t="str">
        <f t="shared" si="89"/>
        <v/>
      </c>
      <c r="AT604" s="259" t="str">
        <f t="shared" si="90"/>
        <v>嘉裕</v>
      </c>
      <c r="AU604" s="259" t="str">
        <f t="shared" si="91"/>
        <v>C49SZX20200170DZ</v>
      </c>
      <c r="AV604" s="259" t="str">
        <f t="shared" si="92"/>
        <v>Dec-13</v>
      </c>
    </row>
    <row r="605" spans="1:48" hidden="1">
      <c r="A605" s="559">
        <v>928</v>
      </c>
      <c r="B605" s="664" t="s">
        <v>1125</v>
      </c>
      <c r="C605" s="563" t="s">
        <v>15</v>
      </c>
      <c r="D605" s="645" t="s">
        <v>1299</v>
      </c>
      <c r="E605" s="563" t="s">
        <v>1300</v>
      </c>
      <c r="F605" s="647" t="s">
        <v>1163</v>
      </c>
      <c r="G605" s="647" t="s">
        <v>24</v>
      </c>
      <c r="H605" s="647" t="s">
        <v>26</v>
      </c>
      <c r="I605" s="575" t="s">
        <v>1301</v>
      </c>
      <c r="J605" s="575">
        <v>1</v>
      </c>
      <c r="K605" s="647" t="s">
        <v>437</v>
      </c>
      <c r="L605" s="657">
        <v>44186</v>
      </c>
      <c r="M605" s="665">
        <v>6.3399999999999998E-2</v>
      </c>
      <c r="N605" s="647" t="s">
        <v>1127</v>
      </c>
      <c r="O605" s="575"/>
      <c r="P605" s="566" t="str">
        <f>VLOOKUP(A605,'[1]Raw data'!$B:$BB,23,FALSE)</f>
        <v>JPY</v>
      </c>
      <c r="Q605" s="563" t="str">
        <f>VLOOKUP(A605,'[1]Raw data'!$B:$Z,2,FALSE)</f>
        <v>C49SZX20200210RSX</v>
      </c>
      <c r="R605" s="563" t="str">
        <f>VLOOKUP(A605,'[1]Raw data'!$B:$Z,3,FALSE)</f>
        <v>众鑫科</v>
      </c>
      <c r="S605" s="563" t="str">
        <f>VLOOKUP(A605,'[1]Raw data'!$B:$Z,4,FALSE)</f>
        <v>YSM20R-2</v>
      </c>
      <c r="T605" s="563" t="str">
        <f>VLOOKUP(A605,'[1]Raw data'!$B:$Z,8,FALSE)</f>
        <v>L-&gt;R</v>
      </c>
      <c r="U605" s="563" t="str">
        <f>VLOOKUP(A605,'[1]Raw data'!$B:$Z,9,FALSE)</f>
        <v>No</v>
      </c>
      <c r="V605" s="567" t="str">
        <f t="shared" si="93"/>
        <v>OK</v>
      </c>
      <c r="W605" s="563" t="str">
        <f>VLOOKUP(A605,'[1]Raw data'!$B:$AG,32,FALSE)</f>
        <v>DAP HZ</v>
      </c>
      <c r="X605" s="563">
        <f>VLOOKUP(A605,'[1]Raw data'!$B:$BA,31,FALSE)</f>
        <v>44147</v>
      </c>
      <c r="Y605" s="563" t="str">
        <f>VLOOKUP(A605,'[1]Raw data'!$B:$AS,39,FALSE)</f>
        <v>Yes</v>
      </c>
      <c r="Z605" s="662"/>
      <c r="AA605" s="662"/>
      <c r="AB605" s="662"/>
      <c r="AC605" s="575" t="s">
        <v>291</v>
      </c>
      <c r="AD605" s="662">
        <v>301</v>
      </c>
      <c r="AE605" s="662">
        <v>20</v>
      </c>
      <c r="AF605" s="542"/>
      <c r="AG605" s="542"/>
      <c r="AH605" s="542"/>
      <c r="AI605" s="542"/>
      <c r="AJ605" s="581"/>
      <c r="AK605" s="581"/>
      <c r="AL605" s="581"/>
      <c r="AM605" s="581"/>
      <c r="AN605" s="542"/>
      <c r="AO605" s="824" t="str">
        <f t="shared" si="85"/>
        <v>Yes</v>
      </c>
      <c r="AP605" s="259" t="str">
        <f t="shared" si="86"/>
        <v>JAN 21</v>
      </c>
      <c r="AQ605" s="542" t="str">
        <f t="shared" si="87"/>
        <v>有定金+有預留客戶</v>
      </c>
      <c r="AR605" s="259" t="str">
        <f t="shared" si="88"/>
        <v>Shipped_Stock</v>
      </c>
      <c r="AS605" s="259" t="str">
        <f t="shared" si="89"/>
        <v/>
      </c>
      <c r="AT605" s="259" t="str">
        <f t="shared" si="90"/>
        <v>众鑫科</v>
      </c>
      <c r="AU605" s="259" t="str">
        <f t="shared" si="91"/>
        <v>C49SZX20200210RSX</v>
      </c>
      <c r="AV605" s="259" t="str">
        <f t="shared" si="92"/>
        <v>Dec-21</v>
      </c>
    </row>
    <row r="606" spans="1:48" ht="22.5" hidden="1">
      <c r="A606" s="559">
        <v>796</v>
      </c>
      <c r="B606" s="664" t="s">
        <v>280</v>
      </c>
      <c r="C606" s="664" t="s">
        <v>15</v>
      </c>
      <c r="D606" s="645">
        <v>110097</v>
      </c>
      <c r="E606" s="646" t="s">
        <v>1300</v>
      </c>
      <c r="F606" s="647" t="s">
        <v>58</v>
      </c>
      <c r="G606" s="647" t="s">
        <v>18</v>
      </c>
      <c r="H606" s="647" t="s">
        <v>26</v>
      </c>
      <c r="I606" s="575" t="s">
        <v>1302</v>
      </c>
      <c r="J606" s="575">
        <v>1</v>
      </c>
      <c r="K606" s="647" t="s">
        <v>295</v>
      </c>
      <c r="L606" s="675">
        <v>44186</v>
      </c>
      <c r="M606" s="678" t="s">
        <v>1303</v>
      </c>
      <c r="N606" s="647" t="s">
        <v>1127</v>
      </c>
      <c r="O606" s="575"/>
      <c r="P606" s="566" t="str">
        <f>VLOOKUP(A606,'[1]Raw data'!$B:$BB,23,FALSE)</f>
        <v>RMB</v>
      </c>
      <c r="Q606" s="563" t="str">
        <f>VLOOKUP(A606,'[1]Raw data'!$B:$Z,2,FALSE)</f>
        <v>C49SZX20200140RSX</v>
      </c>
      <c r="R606" s="563" t="str">
        <f>VLOOKUP(A606,'[1]Raw data'!$B:$Z,3,FALSE)</f>
        <v>嘉普达</v>
      </c>
      <c r="S606" s="563" t="str">
        <f>VLOOKUP(A606,'[1]Raw data'!$B:$Z,4,FALSE)</f>
        <v>YSM20R-2</v>
      </c>
      <c r="T606" s="563" t="str">
        <f>VLOOKUP(A606,'[1]Raw data'!$B:$Z,8,FALSE)</f>
        <v>R-&gt;L</v>
      </c>
      <c r="U606" s="563" t="str">
        <f>VLOOKUP(A606,'[1]Raw data'!$B:$Z,9,FALSE)</f>
        <v>No</v>
      </c>
      <c r="V606" s="567" t="str">
        <f t="shared" si="93"/>
        <v>OK</v>
      </c>
      <c r="W606" s="563" t="str">
        <f>VLOOKUP(A606,'[1]Raw data'!$B:$AG,32,FALSE)</f>
        <v>含税到厂</v>
      </c>
      <c r="X606" s="563">
        <f>VLOOKUP(A606,'[1]Raw data'!$B:$BA,31,FALSE)</f>
        <v>44075</v>
      </c>
      <c r="Y606" s="563" t="str">
        <f>VLOOKUP(A606,'[1]Raw data'!$B:$AS,39,FALSE)</f>
        <v>Yes</v>
      </c>
      <c r="Z606" s="659"/>
      <c r="AA606" s="660"/>
      <c r="AB606" s="661"/>
      <c r="AC606" s="647" t="s">
        <v>1155</v>
      </c>
      <c r="AD606" s="662">
        <v>302</v>
      </c>
      <c r="AE606" s="662">
        <v>20</v>
      </c>
      <c r="AF606" s="662"/>
      <c r="AG606" s="662"/>
      <c r="AH606" s="662"/>
      <c r="AI606" s="663"/>
      <c r="AN606" s="542"/>
      <c r="AO606" s="824" t="str">
        <f t="shared" si="85"/>
        <v>Yes</v>
      </c>
      <c r="AP606" s="259" t="str">
        <f t="shared" si="86"/>
        <v>JAN 21</v>
      </c>
      <c r="AQ606" s="542" t="str">
        <f t="shared" si="87"/>
        <v>有定金+有預留客戶</v>
      </c>
      <c r="AR606" s="259" t="str">
        <f t="shared" si="88"/>
        <v>Shipped_Stock</v>
      </c>
      <c r="AS606" s="259" t="str">
        <f t="shared" si="89"/>
        <v/>
      </c>
      <c r="AT606" s="259" t="str">
        <f t="shared" si="90"/>
        <v>嘉普达</v>
      </c>
      <c r="AU606" s="259" t="str">
        <f t="shared" si="91"/>
        <v>C49SZX20200140RSX</v>
      </c>
      <c r="AV606" s="259" t="str">
        <f t="shared" si="92"/>
        <v>Dec-21</v>
      </c>
    </row>
    <row r="607" spans="1:48" ht="12" hidden="1" customHeight="1">
      <c r="A607" s="559">
        <v>864</v>
      </c>
      <c r="B607" s="664" t="s">
        <v>280</v>
      </c>
      <c r="C607" s="664" t="s">
        <v>15</v>
      </c>
      <c r="D607" s="645">
        <v>110097</v>
      </c>
      <c r="E607" s="646" t="s">
        <v>1300</v>
      </c>
      <c r="F607" s="647" t="s">
        <v>58</v>
      </c>
      <c r="G607" s="647" t="s">
        <v>18</v>
      </c>
      <c r="H607" s="647" t="s">
        <v>26</v>
      </c>
      <c r="I607" s="575" t="s">
        <v>1304</v>
      </c>
      <c r="J607" s="575">
        <v>1</v>
      </c>
      <c r="K607" s="647" t="s">
        <v>437</v>
      </c>
      <c r="L607" s="675">
        <v>44186</v>
      </c>
      <c r="M607" s="665" t="s">
        <v>906</v>
      </c>
      <c r="N607" s="647" t="s">
        <v>1124</v>
      </c>
      <c r="O607" s="575"/>
      <c r="P607" s="566" t="str">
        <f>VLOOKUP(A607,'[1]Raw data'!$B:$BB,23,FALSE)</f>
        <v>JPY</v>
      </c>
      <c r="Q607" s="563" t="str">
        <f>VLOOKUP(A607,'[1]Raw data'!$B:$Z,2,FALSE)</f>
        <v>C49SZX20200179MZ</v>
      </c>
      <c r="R607" s="563" t="str">
        <f>VLOOKUP(A607,'[1]Raw data'!$B:$Z,3,FALSE)</f>
        <v>鸿南</v>
      </c>
      <c r="S607" s="563" t="str">
        <f>VLOOKUP(A607,'[1]Raw data'!$B:$Z,4,FALSE)</f>
        <v>YSM20R-2</v>
      </c>
      <c r="T607" s="563" t="str">
        <f>VLOOKUP(A607,'[1]Raw data'!$B:$Z,8,FALSE)</f>
        <v>R-&gt;L</v>
      </c>
      <c r="U607" s="563" t="str">
        <f>VLOOKUP(A607,'[1]Raw data'!$B:$Z,9,FALSE)</f>
        <v>No</v>
      </c>
      <c r="V607" s="567" t="str">
        <f t="shared" si="93"/>
        <v>OK</v>
      </c>
      <c r="W607" s="563" t="str">
        <f>VLOOKUP(A607,'[1]Raw data'!$B:$AG,32,FALSE)</f>
        <v>CIF HK</v>
      </c>
      <c r="X607" s="563">
        <f>VLOOKUP(A607,'[1]Raw data'!$B:$BA,31,FALSE)</f>
        <v>44102</v>
      </c>
      <c r="Y607" s="563" t="str">
        <f>VLOOKUP(A607,'[1]Raw data'!$B:$AS,39,FALSE)</f>
        <v>Yes</v>
      </c>
      <c r="Z607" s="659"/>
      <c r="AA607" s="660"/>
      <c r="AB607" s="661"/>
      <c r="AC607" s="647" t="s">
        <v>400</v>
      </c>
      <c r="AD607" s="662">
        <v>301</v>
      </c>
      <c r="AE607" s="662">
        <v>10</v>
      </c>
      <c r="AF607" s="662">
        <v>312</v>
      </c>
      <c r="AG607" s="662">
        <v>10</v>
      </c>
      <c r="AH607" s="662"/>
      <c r="AI607" s="663"/>
      <c r="AN607" s="542"/>
      <c r="AO607" s="824" t="str">
        <f t="shared" si="85"/>
        <v>Yes</v>
      </c>
      <c r="AP607" s="259" t="str">
        <f t="shared" si="86"/>
        <v>DEC 20</v>
      </c>
      <c r="AQ607" s="542" t="str">
        <f t="shared" si="87"/>
        <v>有定金+有預留客戶</v>
      </c>
      <c r="AR607" s="259" t="str">
        <f t="shared" si="88"/>
        <v>Shipped_Stock</v>
      </c>
      <c r="AS607" s="259" t="str">
        <f t="shared" si="89"/>
        <v/>
      </c>
      <c r="AT607" s="259" t="str">
        <f t="shared" si="90"/>
        <v>鸿南</v>
      </c>
      <c r="AU607" s="259" t="str">
        <f t="shared" si="91"/>
        <v>C49SZX20200179MZ</v>
      </c>
      <c r="AV607" s="259" t="str">
        <f t="shared" si="92"/>
        <v>Dec-21</v>
      </c>
    </row>
    <row r="608" spans="1:48" hidden="1">
      <c r="A608" s="559">
        <v>896</v>
      </c>
      <c r="B608" s="664" t="s">
        <v>280</v>
      </c>
      <c r="C608" s="664" t="s">
        <v>15</v>
      </c>
      <c r="D608" s="645" t="s">
        <v>1305</v>
      </c>
      <c r="E608" s="646" t="s">
        <v>1300</v>
      </c>
      <c r="F608" s="647" t="s">
        <v>58</v>
      </c>
      <c r="G608" s="647" t="s">
        <v>24</v>
      </c>
      <c r="H608" s="647" t="s">
        <v>26</v>
      </c>
      <c r="I608" s="575" t="s">
        <v>1306</v>
      </c>
      <c r="J608" s="575">
        <v>1</v>
      </c>
      <c r="K608" s="647" t="s">
        <v>295</v>
      </c>
      <c r="L608" s="675">
        <v>44186</v>
      </c>
      <c r="M608" s="665">
        <v>6.3500000000000001E-2</v>
      </c>
      <c r="N608" s="647" t="s">
        <v>1124</v>
      </c>
      <c r="O608" s="575"/>
      <c r="P608" s="566" t="str">
        <f>VLOOKUP(A608,'[1]Raw data'!$B:$BB,23,FALSE)</f>
        <v>RMB</v>
      </c>
      <c r="Q608" s="563" t="str">
        <f>VLOOKUP(A608,'[1]Raw data'!$B:$Z,2,FALSE)</f>
        <v>C49SZX20200196EC</v>
      </c>
      <c r="R608" s="563" t="str">
        <f>VLOOKUP(A608,'[1]Raw data'!$B:$Z,3,FALSE)</f>
        <v>广泰博</v>
      </c>
      <c r="S608" s="563" t="str">
        <f>VLOOKUP(A608,'[1]Raw data'!$B:$Z,4,FALSE)</f>
        <v>YSM20R-2</v>
      </c>
      <c r="T608" s="563" t="str">
        <f>VLOOKUP(A608,'[1]Raw data'!$B:$Z,8,FALSE)</f>
        <v>L-&gt;R</v>
      </c>
      <c r="U608" s="563" t="str">
        <f>VLOOKUP(A608,'[1]Raw data'!$B:$Z,9,FALSE)</f>
        <v>No</v>
      </c>
      <c r="V608" s="567" t="str">
        <f t="shared" si="93"/>
        <v>OK</v>
      </c>
      <c r="W608" s="563" t="str">
        <f>VLOOKUP(A608,'[1]Raw data'!$B:$AG,32,FALSE)</f>
        <v>含税到厂</v>
      </c>
      <c r="X608" s="563">
        <f>VLOOKUP(A608,'[1]Raw data'!$B:$BA,31,FALSE)</f>
        <v>44127</v>
      </c>
      <c r="Y608" s="563" t="str">
        <f>VLOOKUP(A608,'[1]Raw data'!$B:$AS,39,FALSE)</f>
        <v>Yes</v>
      </c>
      <c r="Z608" s="659"/>
      <c r="AA608" s="660"/>
      <c r="AB608" s="661"/>
      <c r="AC608" s="647" t="s">
        <v>1307</v>
      </c>
      <c r="AD608" s="662">
        <v>301</v>
      </c>
      <c r="AE608" s="662">
        <v>10</v>
      </c>
      <c r="AF608" s="662">
        <v>303</v>
      </c>
      <c r="AG608" s="662">
        <v>10</v>
      </c>
      <c r="AH608" s="662"/>
      <c r="AI608" s="663"/>
      <c r="AN608" s="542"/>
      <c r="AO608" s="824" t="str">
        <f t="shared" si="85"/>
        <v>Yes</v>
      </c>
      <c r="AP608" s="259" t="str">
        <f t="shared" si="86"/>
        <v>DEC 20</v>
      </c>
      <c r="AQ608" s="542" t="str">
        <f t="shared" si="87"/>
        <v>有定金+有預留客戶</v>
      </c>
      <c r="AR608" s="259" t="str">
        <f t="shared" si="88"/>
        <v>Shipped_Stock</v>
      </c>
      <c r="AS608" s="259" t="str">
        <f t="shared" si="89"/>
        <v/>
      </c>
      <c r="AT608" s="259" t="str">
        <f t="shared" si="90"/>
        <v>广泰博</v>
      </c>
      <c r="AU608" s="259" t="str">
        <f t="shared" si="91"/>
        <v>C49SZX20200196EC</v>
      </c>
      <c r="AV608" s="259" t="str">
        <f t="shared" si="92"/>
        <v>Dec-21</v>
      </c>
    </row>
    <row r="609" spans="1:48" ht="22.5" hidden="1">
      <c r="A609" s="559">
        <v>897</v>
      </c>
      <c r="B609" s="664" t="s">
        <v>280</v>
      </c>
      <c r="C609" s="664" t="s">
        <v>15</v>
      </c>
      <c r="D609" s="645">
        <v>110181</v>
      </c>
      <c r="E609" s="646" t="s">
        <v>1300</v>
      </c>
      <c r="F609" s="647" t="s">
        <v>58</v>
      </c>
      <c r="G609" s="647" t="s">
        <v>24</v>
      </c>
      <c r="H609" s="647" t="s">
        <v>26</v>
      </c>
      <c r="I609" s="575" t="s">
        <v>1308</v>
      </c>
      <c r="J609" s="575">
        <v>1</v>
      </c>
      <c r="K609" s="647" t="s">
        <v>295</v>
      </c>
      <c r="L609" s="675">
        <v>44186</v>
      </c>
      <c r="M609" s="678" t="s">
        <v>1309</v>
      </c>
      <c r="N609" s="647" t="s">
        <v>1124</v>
      </c>
      <c r="O609" s="575"/>
      <c r="P609" s="566" t="str">
        <f>VLOOKUP(A609,'[1]Raw data'!$B:$BB,23,FALSE)</f>
        <v>RMB</v>
      </c>
      <c r="Q609" s="563" t="str">
        <f>VLOOKUP(A609,'[1]Raw data'!$B:$Z,2,FALSE)</f>
        <v>C49SZX20200196EC</v>
      </c>
      <c r="R609" s="563" t="str">
        <f>VLOOKUP(A609,'[1]Raw data'!$B:$Z,3,FALSE)</f>
        <v>广泰博</v>
      </c>
      <c r="S609" s="563" t="str">
        <f>VLOOKUP(A609,'[1]Raw data'!$B:$Z,4,FALSE)</f>
        <v>YSM20R-2</v>
      </c>
      <c r="T609" s="563" t="str">
        <f>VLOOKUP(A609,'[1]Raw data'!$B:$Z,8,FALSE)</f>
        <v>L-&gt;R</v>
      </c>
      <c r="U609" s="563" t="str">
        <f>VLOOKUP(A609,'[1]Raw data'!$B:$Z,9,FALSE)</f>
        <v>No</v>
      </c>
      <c r="V609" s="567" t="str">
        <f t="shared" si="93"/>
        <v>OK</v>
      </c>
      <c r="W609" s="563" t="str">
        <f>VLOOKUP(A609,'[1]Raw data'!$B:$AG,32,FALSE)</f>
        <v>含税到厂</v>
      </c>
      <c r="X609" s="563">
        <f>VLOOKUP(A609,'[1]Raw data'!$B:$BA,31,FALSE)</f>
        <v>44127</v>
      </c>
      <c r="Y609" s="563" t="str">
        <f>VLOOKUP(A609,'[1]Raw data'!$B:$AS,39,FALSE)</f>
        <v>Yes</v>
      </c>
      <c r="Z609" s="659"/>
      <c r="AA609" s="660"/>
      <c r="AB609" s="661"/>
      <c r="AC609" s="647" t="s">
        <v>1307</v>
      </c>
      <c r="AD609" s="662">
        <v>301</v>
      </c>
      <c r="AE609" s="662">
        <v>10</v>
      </c>
      <c r="AF609" s="662">
        <v>303</v>
      </c>
      <c r="AG609" s="662">
        <v>10</v>
      </c>
      <c r="AH609" s="662"/>
      <c r="AI609" s="663"/>
      <c r="AN609" s="542"/>
      <c r="AO609" s="824" t="str">
        <f t="shared" si="85"/>
        <v>Yes</v>
      </c>
      <c r="AP609" s="259" t="str">
        <f t="shared" si="86"/>
        <v>DEC 20</v>
      </c>
      <c r="AQ609" s="542" t="str">
        <f t="shared" si="87"/>
        <v>有定金+有預留客戶</v>
      </c>
      <c r="AR609" s="259" t="str">
        <f t="shared" si="88"/>
        <v>Shipped_Stock</v>
      </c>
      <c r="AS609" s="259" t="str">
        <f t="shared" si="89"/>
        <v/>
      </c>
      <c r="AT609" s="259" t="str">
        <f t="shared" si="90"/>
        <v>广泰博</v>
      </c>
      <c r="AU609" s="259" t="str">
        <f t="shared" si="91"/>
        <v>C49SZX20200196EC</v>
      </c>
      <c r="AV609" s="259" t="str">
        <f t="shared" si="92"/>
        <v>Dec-21</v>
      </c>
    </row>
    <row r="610" spans="1:48" hidden="1">
      <c r="A610" s="559">
        <v>919</v>
      </c>
      <c r="B610" s="664" t="s">
        <v>280</v>
      </c>
      <c r="C610" s="664" t="s">
        <v>15</v>
      </c>
      <c r="D610" s="645">
        <v>110158</v>
      </c>
      <c r="E610" s="646" t="s">
        <v>1310</v>
      </c>
      <c r="F610" s="647" t="s">
        <v>58</v>
      </c>
      <c r="G610" s="647" t="s">
        <v>24</v>
      </c>
      <c r="H610" s="647" t="s">
        <v>26</v>
      </c>
      <c r="I610" s="575" t="s">
        <v>1311</v>
      </c>
      <c r="J610" s="575">
        <v>1</v>
      </c>
      <c r="K610" s="647" t="s">
        <v>496</v>
      </c>
      <c r="L610" s="675">
        <v>44186</v>
      </c>
      <c r="M610" s="665" t="s">
        <v>906</v>
      </c>
      <c r="N610" s="647" t="s">
        <v>1124</v>
      </c>
      <c r="O610" s="575"/>
      <c r="P610" s="566" t="str">
        <f>VLOOKUP(A610,'[1]Raw data'!$B:$BB,23,FALSE)</f>
        <v>JPY</v>
      </c>
      <c r="Q610" s="563" t="str">
        <f>VLOOKUP(A610,'[1]Raw data'!$B:$Z,2,FALSE)</f>
        <v>C49SZX20200203SS</v>
      </c>
      <c r="R610" s="563" t="str">
        <f>VLOOKUP(A610,'[1]Raw data'!$B:$Z,3,FALSE)</f>
        <v>存封</v>
      </c>
      <c r="S610" s="563" t="str">
        <f>VLOOKUP(A610,'[1]Raw data'!$B:$Z,4,FALSE)</f>
        <v>YSM20R-2</v>
      </c>
      <c r="T610" s="563" t="str">
        <f>VLOOKUP(A610,'[1]Raw data'!$B:$Z,8,FALSE)</f>
        <v>L-&gt;R</v>
      </c>
      <c r="U610" s="563" t="str">
        <f>VLOOKUP(A610,'[1]Raw data'!$B:$Z,9,FALSE)</f>
        <v>No</v>
      </c>
      <c r="V610" s="567" t="str">
        <f t="shared" si="93"/>
        <v>OK</v>
      </c>
      <c r="W610" s="563" t="str">
        <f>VLOOKUP(A610,'[1]Raw data'!$B:$AG,32,FALSE)</f>
        <v>DAP DG</v>
      </c>
      <c r="X610" s="563">
        <f>VLOOKUP(A610,'[1]Raw data'!$B:$BA,31,FALSE)</f>
        <v>44144</v>
      </c>
      <c r="Y610" s="563" t="str">
        <f>VLOOKUP(A610,'[1]Raw data'!$B:$AS,39,FALSE)</f>
        <v>Yes</v>
      </c>
      <c r="Z610" s="659"/>
      <c r="AA610" s="660"/>
      <c r="AB610" s="661"/>
      <c r="AC610" s="647" t="s">
        <v>373</v>
      </c>
      <c r="AD610" s="662">
        <v>301</v>
      </c>
      <c r="AE610" s="662">
        <v>10</v>
      </c>
      <c r="AF610" s="662">
        <v>311</v>
      </c>
      <c r="AG610" s="662">
        <v>10</v>
      </c>
      <c r="AH610" s="662"/>
      <c r="AI610" s="663"/>
      <c r="AN610" s="542"/>
      <c r="AO610" s="824" t="str">
        <f t="shared" si="85"/>
        <v>Yes</v>
      </c>
      <c r="AP610" s="259" t="str">
        <f t="shared" si="86"/>
        <v>DEC 20</v>
      </c>
      <c r="AQ610" s="542" t="str">
        <f t="shared" si="87"/>
        <v>有定金+有預留客戶</v>
      </c>
      <c r="AR610" s="259" t="str">
        <f t="shared" si="88"/>
        <v>Shipped_Stock</v>
      </c>
      <c r="AS610" s="259" t="str">
        <f t="shared" si="89"/>
        <v/>
      </c>
      <c r="AT610" s="259" t="str">
        <f t="shared" si="90"/>
        <v>存封</v>
      </c>
      <c r="AU610" s="259" t="str">
        <f t="shared" si="91"/>
        <v>C49SZX20200203SS</v>
      </c>
      <c r="AV610" s="259" t="str">
        <f t="shared" si="92"/>
        <v>Dec-21</v>
      </c>
    </row>
    <row r="611" spans="1:48" hidden="1">
      <c r="A611" s="559">
        <v>887</v>
      </c>
      <c r="B611" s="664" t="s">
        <v>280</v>
      </c>
      <c r="C611" s="664" t="s">
        <v>15</v>
      </c>
      <c r="D611" s="645">
        <v>110158</v>
      </c>
      <c r="E611" s="646" t="s">
        <v>1310</v>
      </c>
      <c r="F611" s="647" t="s">
        <v>58</v>
      </c>
      <c r="G611" s="647" t="s">
        <v>24</v>
      </c>
      <c r="H611" s="647" t="s">
        <v>26</v>
      </c>
      <c r="I611" s="575" t="s">
        <v>1312</v>
      </c>
      <c r="J611" s="575">
        <v>1</v>
      </c>
      <c r="K611" s="647" t="s">
        <v>496</v>
      </c>
      <c r="L611" s="675">
        <v>44186</v>
      </c>
      <c r="M611" s="676" t="s">
        <v>906</v>
      </c>
      <c r="N611" s="647" t="s">
        <v>1124</v>
      </c>
      <c r="O611" s="575"/>
      <c r="P611" s="566" t="str">
        <f>VLOOKUP(A611,'[1]Raw data'!$B:$BB,23,FALSE)</f>
        <v>JPY</v>
      </c>
      <c r="Q611" s="563" t="str">
        <f>VLOOKUP(A611,'[1]Raw data'!$B:$Z,2,FALSE)</f>
        <v>C49SZX20200190SS</v>
      </c>
      <c r="R611" s="563" t="str">
        <f>VLOOKUP(A611,'[1]Raw data'!$B:$Z,3,FALSE)</f>
        <v>维益</v>
      </c>
      <c r="S611" s="563" t="str">
        <f>VLOOKUP(A611,'[1]Raw data'!$B:$Z,4,FALSE)</f>
        <v>YSM20R-2</v>
      </c>
      <c r="T611" s="563" t="str">
        <f>VLOOKUP(A611,'[1]Raw data'!$B:$Z,8,FALSE)</f>
        <v>L-&gt;R</v>
      </c>
      <c r="U611" s="563" t="str">
        <f>VLOOKUP(A611,'[1]Raw data'!$B:$Z,9,FALSE)</f>
        <v>No</v>
      </c>
      <c r="V611" s="567" t="str">
        <f t="shared" si="93"/>
        <v>OK</v>
      </c>
      <c r="W611" s="563" t="str">
        <f>VLOOKUP(A611,'[1]Raw data'!$B:$AG,32,FALSE)</f>
        <v>DAP SZ</v>
      </c>
      <c r="X611" s="563">
        <f>VLOOKUP(A611,'[1]Raw data'!$B:$BA,31,FALSE)</f>
        <v>44123</v>
      </c>
      <c r="Y611" s="563" t="str">
        <f>VLOOKUP(A611,'[1]Raw data'!$B:$AS,39,FALSE)</f>
        <v>Yes</v>
      </c>
      <c r="Z611" s="662"/>
      <c r="AA611" s="662"/>
      <c r="AB611" s="662"/>
      <c r="AC611" s="575" t="s">
        <v>1313</v>
      </c>
      <c r="AD611" s="662">
        <v>301</v>
      </c>
      <c r="AE611" s="662">
        <v>10</v>
      </c>
      <c r="AF611" s="542">
        <v>307</v>
      </c>
      <c r="AG611" s="542">
        <v>10</v>
      </c>
      <c r="AH611" s="542"/>
      <c r="AI611" s="542"/>
      <c r="AJ611" s="581"/>
      <c r="AK611" s="581"/>
      <c r="AL611" s="581"/>
      <c r="AM611" s="581"/>
      <c r="AN611" s="542"/>
      <c r="AO611" s="824" t="str">
        <f t="shared" si="85"/>
        <v>Yes</v>
      </c>
      <c r="AP611" s="259" t="str">
        <f t="shared" si="86"/>
        <v>DEC 20</v>
      </c>
      <c r="AQ611" s="542" t="str">
        <f t="shared" si="87"/>
        <v>有定金+有預留客戶</v>
      </c>
      <c r="AR611" s="259" t="str">
        <f t="shared" si="88"/>
        <v>Shipped_Stock</v>
      </c>
      <c r="AS611" s="259" t="str">
        <f t="shared" si="89"/>
        <v/>
      </c>
      <c r="AT611" s="259" t="str">
        <f t="shared" si="90"/>
        <v>维益</v>
      </c>
      <c r="AU611" s="259" t="str">
        <f t="shared" si="91"/>
        <v>C49SZX20200190SS</v>
      </c>
      <c r="AV611" s="259" t="str">
        <f t="shared" si="92"/>
        <v>Dec-21</v>
      </c>
    </row>
    <row r="612" spans="1:48" hidden="1">
      <c r="A612" s="559">
        <v>857</v>
      </c>
      <c r="B612" s="664" t="s">
        <v>280</v>
      </c>
      <c r="C612" s="664" t="s">
        <v>15</v>
      </c>
      <c r="D612" s="645">
        <v>110122</v>
      </c>
      <c r="E612" s="563" t="s">
        <v>886</v>
      </c>
      <c r="F612" s="647" t="s">
        <v>241</v>
      </c>
      <c r="G612" s="647" t="s">
        <v>18</v>
      </c>
      <c r="H612" s="647" t="s">
        <v>26</v>
      </c>
      <c r="I612" s="575" t="s">
        <v>1314</v>
      </c>
      <c r="J612" s="575">
        <v>1</v>
      </c>
      <c r="K612" s="647" t="s">
        <v>311</v>
      </c>
      <c r="L612" s="675">
        <v>44193</v>
      </c>
      <c r="M612" s="665" t="s">
        <v>906</v>
      </c>
      <c r="N612" s="647" t="s">
        <v>1124</v>
      </c>
      <c r="O612" s="575"/>
      <c r="P612" s="566" t="str">
        <f>VLOOKUP(A612,'[1]Raw data'!$B:$BB,23,FALSE)</f>
        <v>JPY</v>
      </c>
      <c r="Q612" s="563" t="str">
        <f>VLOOKUP(A612,'[1]Raw data'!$B:$Z,2,FALSE)</f>
        <v>C49SZX20200178SS</v>
      </c>
      <c r="R612" s="563" t="str">
        <f>VLOOKUP(A612,'[1]Raw data'!$B:$Z,3,FALSE)</f>
        <v>顺鸿达</v>
      </c>
      <c r="S612" s="563" t="str">
        <f>VLOOKUP(A612,'[1]Raw data'!$B:$Z,4,FALSE)</f>
        <v>YSM10</v>
      </c>
      <c r="T612" s="563" t="str">
        <f>VLOOKUP(A612,'[1]Raw data'!$B:$Z,8,FALSE)</f>
        <v>R-&gt;L</v>
      </c>
      <c r="U612" s="563" t="str">
        <f>VLOOKUP(A612,'[1]Raw data'!$B:$Z,9,FALSE)</f>
        <v>MVC</v>
      </c>
      <c r="V612" s="567" t="str">
        <f t="shared" si="93"/>
        <v>WRONG</v>
      </c>
      <c r="W612" s="563" t="str">
        <f>VLOOKUP(A612,'[1]Raw data'!$B:$AG,32,FALSE)</f>
        <v>DAP DG</v>
      </c>
      <c r="X612" s="563">
        <f>VLOOKUP(A612,'[1]Raw data'!$B:$BA,31,FALSE)</f>
        <v>44100</v>
      </c>
      <c r="Y612" s="563" t="str">
        <f>VLOOKUP(A612,'[1]Raw data'!$B:$AS,39,FALSE)</f>
        <v>Yes</v>
      </c>
      <c r="Z612" s="659"/>
      <c r="AA612" s="660"/>
      <c r="AB612" s="661"/>
      <c r="AC612" s="647" t="s">
        <v>1315</v>
      </c>
      <c r="AD612" s="662">
        <v>301</v>
      </c>
      <c r="AE612" s="662">
        <v>10</v>
      </c>
      <c r="AF612" s="662"/>
      <c r="AG612" s="662"/>
      <c r="AH612" s="662"/>
      <c r="AI612" s="663"/>
      <c r="AN612" s="542"/>
      <c r="AO612" s="824" t="str">
        <f t="shared" si="85"/>
        <v>Yes</v>
      </c>
      <c r="AP612" s="259" t="str">
        <f t="shared" si="86"/>
        <v>DEC 20</v>
      </c>
      <c r="AQ612" s="542" t="str">
        <f t="shared" si="87"/>
        <v>有定金+有預留客戶</v>
      </c>
      <c r="AR612" s="259" t="str">
        <f t="shared" si="88"/>
        <v>Shipped_Stock</v>
      </c>
      <c r="AS612" s="259" t="str">
        <f t="shared" si="89"/>
        <v/>
      </c>
      <c r="AT612" s="259" t="str">
        <f t="shared" si="90"/>
        <v>顺鸿达</v>
      </c>
      <c r="AU612" s="259" t="str">
        <f t="shared" si="91"/>
        <v>C49SZX20200178SS</v>
      </c>
      <c r="AV612" s="259" t="str">
        <f t="shared" si="92"/>
        <v>Dec-28</v>
      </c>
    </row>
    <row r="613" spans="1:48" hidden="1">
      <c r="A613" s="559">
        <v>907</v>
      </c>
      <c r="B613" s="664" t="s">
        <v>1125</v>
      </c>
      <c r="C613" s="664" t="s">
        <v>15</v>
      </c>
      <c r="D613" s="645">
        <v>110159</v>
      </c>
      <c r="E613" s="646" t="s">
        <v>1310</v>
      </c>
      <c r="F613" s="647" t="s">
        <v>58</v>
      </c>
      <c r="G613" s="647" t="s">
        <v>24</v>
      </c>
      <c r="H613" s="647" t="s">
        <v>26</v>
      </c>
      <c r="I613" s="575" t="s">
        <v>1316</v>
      </c>
      <c r="J613" s="575">
        <v>1</v>
      </c>
      <c r="K613" s="647" t="s">
        <v>311</v>
      </c>
      <c r="L613" s="675">
        <v>44193</v>
      </c>
      <c r="M613" s="665" t="s">
        <v>906</v>
      </c>
      <c r="N613" s="647" t="s">
        <v>1127</v>
      </c>
      <c r="O613" s="575"/>
      <c r="P613" s="566" t="str">
        <f>VLOOKUP(A613,'[1]Raw data'!$B:$BB,23,FALSE)</f>
        <v>JPY</v>
      </c>
      <c r="Q613" s="563" t="str">
        <f>VLOOKUP(A613,'[1]Raw data'!$B:$Z,2,FALSE)</f>
        <v>C49SZX20200142SX</v>
      </c>
      <c r="R613" s="563" t="str">
        <f>VLOOKUP(A613,'[1]Raw data'!$B:$Z,3,FALSE)</f>
        <v>鑫亿特</v>
      </c>
      <c r="S613" s="563" t="str">
        <f>VLOOKUP(A613,'[1]Raw data'!$B:$Z,4,FALSE)</f>
        <v>YSM20R-2</v>
      </c>
      <c r="T613" s="563" t="str">
        <f>VLOOKUP(A613,'[1]Raw data'!$B:$Z,8,FALSE)</f>
        <v>L-&gt;R</v>
      </c>
      <c r="U613" s="563" t="str">
        <f>VLOOKUP(A613,'[1]Raw data'!$B:$Z,9,FALSE)</f>
        <v>No</v>
      </c>
      <c r="V613" s="567" t="str">
        <f t="shared" si="93"/>
        <v>OK</v>
      </c>
      <c r="W613" s="563" t="str">
        <f>VLOOKUP(A613,'[1]Raw data'!$B:$AG,32,FALSE)</f>
        <v>DAP SZ</v>
      </c>
      <c r="X613" s="563">
        <f>VLOOKUP(A613,'[1]Raw data'!$B:$BA,31,FALSE)</f>
        <v>44138</v>
      </c>
      <c r="Y613" s="563" t="str">
        <f>VLOOKUP(A613,'[1]Raw data'!$B:$AS,39,FALSE)</f>
        <v>Yes</v>
      </c>
      <c r="Z613" s="659"/>
      <c r="AA613" s="660"/>
      <c r="AB613" s="661"/>
      <c r="AC613" s="647" t="s">
        <v>1317</v>
      </c>
      <c r="AD613" s="662">
        <v>301</v>
      </c>
      <c r="AE613" s="662">
        <v>20</v>
      </c>
      <c r="AF613" s="662"/>
      <c r="AG613" s="662"/>
      <c r="AH613" s="662"/>
      <c r="AI613" s="663"/>
      <c r="AN613" s="542"/>
      <c r="AO613" s="824" t="str">
        <f t="shared" si="85"/>
        <v>Yes</v>
      </c>
      <c r="AP613" s="259" t="str">
        <f t="shared" si="86"/>
        <v>JAN 21</v>
      </c>
      <c r="AQ613" s="542" t="str">
        <f t="shared" si="87"/>
        <v>有定金+有預留客戶</v>
      </c>
      <c r="AR613" s="259" t="str">
        <f t="shared" si="88"/>
        <v>Shipped_Stock</v>
      </c>
      <c r="AS613" s="259" t="str">
        <f t="shared" si="89"/>
        <v/>
      </c>
      <c r="AT613" s="259" t="str">
        <f t="shared" si="90"/>
        <v>鑫亿特</v>
      </c>
      <c r="AU613" s="259" t="str">
        <f t="shared" si="91"/>
        <v>C49SZX20200142SX</v>
      </c>
      <c r="AV613" s="259" t="str">
        <f t="shared" si="92"/>
        <v>Dec-28</v>
      </c>
    </row>
    <row r="614" spans="1:48" hidden="1">
      <c r="A614" s="559">
        <v>913</v>
      </c>
      <c r="B614" s="664" t="s">
        <v>280</v>
      </c>
      <c r="C614" s="664" t="s">
        <v>15</v>
      </c>
      <c r="D614" s="645">
        <v>110159</v>
      </c>
      <c r="E614" s="646" t="s">
        <v>1310</v>
      </c>
      <c r="F614" s="647" t="s">
        <v>58</v>
      </c>
      <c r="G614" s="647" t="s">
        <v>24</v>
      </c>
      <c r="H614" s="647" t="s">
        <v>26</v>
      </c>
      <c r="I614" s="575" t="s">
        <v>1318</v>
      </c>
      <c r="J614" s="575">
        <v>1</v>
      </c>
      <c r="K614" s="647" t="s">
        <v>311</v>
      </c>
      <c r="L614" s="675">
        <v>44193</v>
      </c>
      <c r="M614" s="678" t="s">
        <v>1319</v>
      </c>
      <c r="N614" s="647" t="s">
        <v>1127</v>
      </c>
      <c r="O614" s="575"/>
      <c r="P614" s="566" t="str">
        <f>VLOOKUP(A614,'[1]Raw data'!$B:$BB,23,FALSE)</f>
        <v>JPY</v>
      </c>
      <c r="Q614" s="563" t="str">
        <f>VLOOKUP(A614,'[1]Raw data'!$B:$Z,2,FALSE)</f>
        <v>C49SZX20200206MZ</v>
      </c>
      <c r="R614" s="563" t="str">
        <f>VLOOKUP(A614,'[1]Raw data'!$B:$Z,3,FALSE)</f>
        <v>崧盛</v>
      </c>
      <c r="S614" s="563" t="str">
        <f>VLOOKUP(A614,'[1]Raw data'!$B:$Z,4,FALSE)</f>
        <v>YSM20R-2</v>
      </c>
      <c r="T614" s="563" t="str">
        <f>VLOOKUP(A614,'[1]Raw data'!$B:$Z,8,FALSE)</f>
        <v>L-&gt;R</v>
      </c>
      <c r="U614" s="563" t="str">
        <f>VLOOKUP(A614,'[1]Raw data'!$B:$Z,9,FALSE)</f>
        <v>No</v>
      </c>
      <c r="V614" s="567" t="str">
        <f t="shared" si="93"/>
        <v>OK</v>
      </c>
      <c r="W614" s="563" t="str">
        <f>VLOOKUP(A614,'[1]Raw data'!$B:$AG,32,FALSE)</f>
        <v>CIF HK</v>
      </c>
      <c r="X614" s="563">
        <f>VLOOKUP(A614,'[1]Raw data'!$B:$BA,31,FALSE)</f>
        <v>44139</v>
      </c>
      <c r="Y614" s="563" t="str">
        <f>VLOOKUP(A614,'[1]Raw data'!$B:$AS,39,FALSE)</f>
        <v>Yes</v>
      </c>
      <c r="Z614" s="659"/>
      <c r="AA614" s="660"/>
      <c r="AB614" s="661"/>
      <c r="AC614" s="647" t="s">
        <v>637</v>
      </c>
      <c r="AD614" s="662">
        <v>301</v>
      </c>
      <c r="AE614" s="662">
        <v>10</v>
      </c>
      <c r="AF614" s="662">
        <v>312</v>
      </c>
      <c r="AG614" s="662">
        <v>10</v>
      </c>
      <c r="AH614" s="662"/>
      <c r="AI614" s="663"/>
      <c r="AN614" s="542"/>
      <c r="AO614" s="824" t="str">
        <f t="shared" si="85"/>
        <v>Yes</v>
      </c>
      <c r="AP614" s="259" t="str">
        <f t="shared" si="86"/>
        <v>JAN 21</v>
      </c>
      <c r="AQ614" s="542" t="str">
        <f t="shared" si="87"/>
        <v>有定金+有預留客戶</v>
      </c>
      <c r="AR614" s="259" t="str">
        <f t="shared" si="88"/>
        <v>Shipped_Stock</v>
      </c>
      <c r="AS614" s="259" t="str">
        <f t="shared" si="89"/>
        <v/>
      </c>
      <c r="AT614" s="259" t="str">
        <f t="shared" si="90"/>
        <v>崧盛</v>
      </c>
      <c r="AU614" s="259" t="str">
        <f t="shared" si="91"/>
        <v>C49SZX20200206MZ</v>
      </c>
      <c r="AV614" s="259" t="str">
        <f t="shared" si="92"/>
        <v>Dec-28</v>
      </c>
    </row>
    <row r="615" spans="1:48" hidden="1">
      <c r="A615" s="559">
        <v>915</v>
      </c>
      <c r="B615" s="664" t="s">
        <v>280</v>
      </c>
      <c r="C615" s="563" t="s">
        <v>15</v>
      </c>
      <c r="D615" s="645">
        <v>110161</v>
      </c>
      <c r="E615" s="563" t="s">
        <v>886</v>
      </c>
      <c r="F615" s="647" t="s">
        <v>241</v>
      </c>
      <c r="G615" s="647" t="s">
        <v>18</v>
      </c>
      <c r="H615" s="647" t="s">
        <v>26</v>
      </c>
      <c r="I615" s="575" t="s">
        <v>1320</v>
      </c>
      <c r="J615" s="575">
        <v>1</v>
      </c>
      <c r="K615" s="647" t="s">
        <v>311</v>
      </c>
      <c r="L615" s="675">
        <v>44197</v>
      </c>
      <c r="M615" s="665" t="s">
        <v>906</v>
      </c>
      <c r="N615" s="647" t="s">
        <v>1127</v>
      </c>
      <c r="O615" s="575"/>
      <c r="P615" s="566" t="str">
        <f>VLOOKUP(A615,'[1]Raw data'!$B:$BB,23,FALSE)</f>
        <v>JPY</v>
      </c>
      <c r="Q615" s="563" t="str">
        <f>VLOOKUP(A615,'[1]Raw data'!$B:$Z,2,FALSE)</f>
        <v>C49SZX20200206MZ</v>
      </c>
      <c r="R615" s="563" t="str">
        <f>VLOOKUP(A615,'[1]Raw data'!$B:$Z,3,FALSE)</f>
        <v>崧盛</v>
      </c>
      <c r="S615" s="563" t="str">
        <f>VLOOKUP(A615,'[1]Raw data'!$B:$Z,4,FALSE)</f>
        <v>YSM10</v>
      </c>
      <c r="T615" s="563" t="str">
        <f>VLOOKUP(A615,'[1]Raw data'!$B:$Z,8,FALSE)</f>
        <v>L-&gt;R</v>
      </c>
      <c r="U615" s="563" t="str">
        <f>VLOOKUP(A615,'[1]Raw data'!$B:$Z,9,FALSE)</f>
        <v>No</v>
      </c>
      <c r="V615" s="567" t="str">
        <f t="shared" si="93"/>
        <v>WRONG</v>
      </c>
      <c r="W615" s="563" t="str">
        <f>VLOOKUP(A615,'[1]Raw data'!$B:$AG,32,FALSE)</f>
        <v>CIF HK</v>
      </c>
      <c r="X615" s="563">
        <f>VLOOKUP(A615,'[1]Raw data'!$B:$BA,31,FALSE)</f>
        <v>44139</v>
      </c>
      <c r="Y615" s="563" t="str">
        <f>VLOOKUP(A615,'[1]Raw data'!$B:$AS,39,FALSE)</f>
        <v>Yes</v>
      </c>
      <c r="Z615" s="659"/>
      <c r="AA615" s="660"/>
      <c r="AB615" s="661"/>
      <c r="AC615" s="647" t="s">
        <v>637</v>
      </c>
      <c r="AD615" s="662">
        <v>301</v>
      </c>
      <c r="AE615" s="662">
        <v>10</v>
      </c>
      <c r="AF615" s="662"/>
      <c r="AG615" s="662"/>
      <c r="AH615" s="662"/>
      <c r="AI615" s="663"/>
      <c r="AN615" s="542"/>
      <c r="AO615" s="824" t="str">
        <f t="shared" si="85"/>
        <v>Yes</v>
      </c>
      <c r="AP615" s="259" t="str">
        <f t="shared" si="86"/>
        <v>JAN 21</v>
      </c>
      <c r="AQ615" s="542" t="str">
        <f t="shared" si="87"/>
        <v>有定金+有預留客戶</v>
      </c>
      <c r="AR615" s="259" t="str">
        <f t="shared" si="88"/>
        <v>Shipped_Stock</v>
      </c>
      <c r="AS615" s="259" t="str">
        <f t="shared" si="89"/>
        <v/>
      </c>
      <c r="AT615" s="259" t="str">
        <f t="shared" si="90"/>
        <v>崧盛</v>
      </c>
      <c r="AU615" s="259" t="str">
        <f t="shared" si="91"/>
        <v>C49SZX20200206MZ</v>
      </c>
      <c r="AV615" s="259" t="str">
        <f t="shared" si="92"/>
        <v>Jan-01</v>
      </c>
    </row>
    <row r="616" spans="1:48" ht="15.75" hidden="1" customHeight="1">
      <c r="A616" s="559">
        <v>912</v>
      </c>
      <c r="B616" s="664" t="s">
        <v>280</v>
      </c>
      <c r="C616" s="664" t="s">
        <v>15</v>
      </c>
      <c r="D616" s="645">
        <v>110108</v>
      </c>
      <c r="E616" s="646" t="s">
        <v>1321</v>
      </c>
      <c r="F616" s="647" t="s">
        <v>58</v>
      </c>
      <c r="G616" s="647" t="s">
        <v>24</v>
      </c>
      <c r="H616" s="647" t="s">
        <v>26</v>
      </c>
      <c r="I616" s="575" t="s">
        <v>1322</v>
      </c>
      <c r="J616" s="575">
        <v>1</v>
      </c>
      <c r="K616" s="647" t="s">
        <v>311</v>
      </c>
      <c r="L616" s="675">
        <v>44197</v>
      </c>
      <c r="M616" s="665" t="s">
        <v>906</v>
      </c>
      <c r="N616" s="647" t="s">
        <v>1127</v>
      </c>
      <c r="O616" s="575"/>
      <c r="P616" s="566" t="str">
        <f>VLOOKUP(A616,'[1]Raw data'!$B:$BB,23,FALSE)</f>
        <v>JPY</v>
      </c>
      <c r="Q616" s="563" t="str">
        <f>VLOOKUP(A616,'[1]Raw data'!$B:$Z,2,FALSE)</f>
        <v>C49SZX20200206MZ</v>
      </c>
      <c r="R616" s="563" t="str">
        <f>VLOOKUP(A616,'[1]Raw data'!$B:$Z,3,FALSE)</f>
        <v>崧盛</v>
      </c>
      <c r="S616" s="563" t="str">
        <f>VLOOKUP(A616,'[1]Raw data'!$B:$Z,4,FALSE)</f>
        <v>YSM20R-2</v>
      </c>
      <c r="T616" s="563" t="str">
        <f>VLOOKUP(A616,'[1]Raw data'!$B:$Z,8,FALSE)</f>
        <v>L-&gt;R</v>
      </c>
      <c r="U616" s="563" t="str">
        <f>VLOOKUP(A616,'[1]Raw data'!$B:$Z,9,FALSE)</f>
        <v>No</v>
      </c>
      <c r="V616" s="567" t="str">
        <f t="shared" si="93"/>
        <v>OK</v>
      </c>
      <c r="W616" s="563" t="str">
        <f>VLOOKUP(A616,'[1]Raw data'!$B:$AG,32,FALSE)</f>
        <v>CIF HK</v>
      </c>
      <c r="X616" s="563">
        <f>VLOOKUP(A616,'[1]Raw data'!$B:$BA,31,FALSE)</f>
        <v>44139</v>
      </c>
      <c r="Y616" s="563" t="str">
        <f>VLOOKUP(A616,'[1]Raw data'!$B:$AS,39,FALSE)</f>
        <v>Yes</v>
      </c>
      <c r="Z616" s="659"/>
      <c r="AA616" s="660"/>
      <c r="AB616" s="661"/>
      <c r="AC616" s="647" t="s">
        <v>637</v>
      </c>
      <c r="AD616" s="662">
        <v>301</v>
      </c>
      <c r="AE616" s="662">
        <v>10</v>
      </c>
      <c r="AF616" s="662">
        <v>303</v>
      </c>
      <c r="AG616" s="662">
        <v>10</v>
      </c>
      <c r="AH616" s="662"/>
      <c r="AI616" s="663"/>
      <c r="AN616" s="542"/>
      <c r="AO616" s="824" t="str">
        <f t="shared" si="85"/>
        <v>Yes</v>
      </c>
      <c r="AP616" s="259" t="str">
        <f t="shared" si="86"/>
        <v>JAN 21</v>
      </c>
      <c r="AQ616" s="542" t="str">
        <f t="shared" si="87"/>
        <v>有定金+有預留客戶</v>
      </c>
      <c r="AR616" s="259" t="str">
        <f t="shared" si="88"/>
        <v>Shipped_Stock</v>
      </c>
      <c r="AS616" s="259" t="str">
        <f t="shared" si="89"/>
        <v/>
      </c>
      <c r="AT616" s="259" t="str">
        <f t="shared" si="90"/>
        <v>崧盛</v>
      </c>
      <c r="AU616" s="259" t="str">
        <f t="shared" si="91"/>
        <v>C49SZX20200206MZ</v>
      </c>
      <c r="AV616" s="259" t="str">
        <f t="shared" si="92"/>
        <v>Jan-01</v>
      </c>
    </row>
    <row r="617" spans="1:48" ht="15.75" hidden="1" customHeight="1">
      <c r="A617" s="559">
        <v>914</v>
      </c>
      <c r="B617" s="664" t="s">
        <v>280</v>
      </c>
      <c r="C617" s="664" t="s">
        <v>15</v>
      </c>
      <c r="D617" s="645">
        <v>110108</v>
      </c>
      <c r="E617" s="646" t="s">
        <v>1321</v>
      </c>
      <c r="F617" s="647" t="s">
        <v>241</v>
      </c>
      <c r="G617" s="647" t="s">
        <v>18</v>
      </c>
      <c r="H617" s="647" t="s">
        <v>26</v>
      </c>
      <c r="I617" s="575" t="s">
        <v>1323</v>
      </c>
      <c r="J617" s="575">
        <v>1</v>
      </c>
      <c r="K617" s="647" t="s">
        <v>311</v>
      </c>
      <c r="L617" s="675">
        <v>44197</v>
      </c>
      <c r="M617" s="665" t="s">
        <v>906</v>
      </c>
      <c r="N617" s="647" t="s">
        <v>1127</v>
      </c>
      <c r="O617" s="575"/>
      <c r="P617" s="566" t="str">
        <f>VLOOKUP(A617,'[1]Raw data'!$B:$BB,23,FALSE)</f>
        <v>JPY</v>
      </c>
      <c r="Q617" s="563" t="str">
        <f>VLOOKUP(A617,'[1]Raw data'!$B:$Z,2,FALSE)</f>
        <v>C49SZX20200206MZ</v>
      </c>
      <c r="R617" s="563" t="str">
        <f>VLOOKUP(A617,'[1]Raw data'!$B:$Z,3,FALSE)</f>
        <v>崧盛</v>
      </c>
      <c r="S617" s="563" t="str">
        <f>VLOOKUP(A617,'[1]Raw data'!$B:$Z,4,FALSE)</f>
        <v>YSM10</v>
      </c>
      <c r="T617" s="563" t="str">
        <f>VLOOKUP(A617,'[1]Raw data'!$B:$Z,8,FALSE)</f>
        <v>L-&gt;R</v>
      </c>
      <c r="U617" s="563" t="str">
        <f>VLOOKUP(A617,'[1]Raw data'!$B:$Z,9,FALSE)</f>
        <v>No</v>
      </c>
      <c r="V617" s="567" t="str">
        <f t="shared" si="93"/>
        <v>WRONG</v>
      </c>
      <c r="W617" s="563" t="str">
        <f>VLOOKUP(A617,'[1]Raw data'!$B:$AG,32,FALSE)</f>
        <v>CIF HK</v>
      </c>
      <c r="X617" s="563">
        <f>VLOOKUP(A617,'[1]Raw data'!$B:$BA,31,FALSE)</f>
        <v>44139</v>
      </c>
      <c r="Y617" s="563" t="str">
        <f>VLOOKUP(A617,'[1]Raw data'!$B:$AS,39,FALSE)</f>
        <v>Yes</v>
      </c>
      <c r="Z617" s="659"/>
      <c r="AA617" s="660"/>
      <c r="AB617" s="661"/>
      <c r="AC617" s="647" t="s">
        <v>637</v>
      </c>
      <c r="AD617" s="662">
        <v>301</v>
      </c>
      <c r="AE617" s="662">
        <v>10</v>
      </c>
      <c r="AF617" s="662"/>
      <c r="AG617" s="662"/>
      <c r="AH617" s="662"/>
      <c r="AI617" s="663"/>
      <c r="AN617" s="542"/>
      <c r="AO617" s="824" t="str">
        <f t="shared" si="85"/>
        <v>Yes</v>
      </c>
      <c r="AP617" s="259" t="str">
        <f t="shared" si="86"/>
        <v>JAN 21</v>
      </c>
      <c r="AQ617" s="542" t="str">
        <f t="shared" si="87"/>
        <v>有定金+有預留客戶</v>
      </c>
      <c r="AR617" s="259" t="str">
        <f t="shared" si="88"/>
        <v>Shipped_Stock</v>
      </c>
      <c r="AS617" s="259" t="str">
        <f t="shared" si="89"/>
        <v/>
      </c>
      <c r="AT617" s="259" t="str">
        <f t="shared" si="90"/>
        <v>崧盛</v>
      </c>
      <c r="AU617" s="259" t="str">
        <f t="shared" si="91"/>
        <v>C49SZX20200206MZ</v>
      </c>
      <c r="AV617" s="259" t="str">
        <f t="shared" si="92"/>
        <v>Jan-01</v>
      </c>
    </row>
    <row r="618" spans="1:48" ht="15.75" hidden="1" customHeight="1">
      <c r="A618" s="559">
        <v>908</v>
      </c>
      <c r="B618" s="664" t="s">
        <v>1125</v>
      </c>
      <c r="C618" s="664" t="s">
        <v>15</v>
      </c>
      <c r="D618" s="645">
        <v>110108</v>
      </c>
      <c r="E618" s="646" t="s">
        <v>1321</v>
      </c>
      <c r="F618" s="647" t="s">
        <v>241</v>
      </c>
      <c r="G618" s="647" t="s">
        <v>18</v>
      </c>
      <c r="H618" s="647" t="s">
        <v>26</v>
      </c>
      <c r="I618" s="575" t="s">
        <v>1324</v>
      </c>
      <c r="J618" s="575">
        <v>1</v>
      </c>
      <c r="K618" s="647" t="s">
        <v>311</v>
      </c>
      <c r="L618" s="675">
        <v>44197</v>
      </c>
      <c r="M618" s="665" t="s">
        <v>906</v>
      </c>
      <c r="N618" s="647" t="s">
        <v>1127</v>
      </c>
      <c r="O618" s="575"/>
      <c r="P618" s="566" t="str">
        <f>VLOOKUP(A618,'[1]Raw data'!$B:$BB,23,FALSE)</f>
        <v>JPY</v>
      </c>
      <c r="Q618" s="563" t="str">
        <f>VLOOKUP(A618,'[1]Raw data'!$B:$Z,2,FALSE)</f>
        <v>C49SZX20200142SX</v>
      </c>
      <c r="R618" s="563" t="str">
        <f>VLOOKUP(A618,'[1]Raw data'!$B:$Z,3,FALSE)</f>
        <v>鑫亿特</v>
      </c>
      <c r="S618" s="563" t="str">
        <f>VLOOKUP(A618,'[1]Raw data'!$B:$Z,4,FALSE)</f>
        <v>YSM10</v>
      </c>
      <c r="T618" s="563" t="str">
        <f>VLOOKUP(A618,'[1]Raw data'!$B:$Z,8,FALSE)</f>
        <v>L-&gt;R</v>
      </c>
      <c r="U618" s="563" t="str">
        <f>VLOOKUP(A618,'[1]Raw data'!$B:$Z,9,FALSE)</f>
        <v>MVC</v>
      </c>
      <c r="V618" s="567" t="str">
        <f t="shared" si="93"/>
        <v>WRONG</v>
      </c>
      <c r="W618" s="563" t="str">
        <f>VLOOKUP(A618,'[1]Raw data'!$B:$AG,32,FALSE)</f>
        <v>DAP SZ</v>
      </c>
      <c r="X618" s="563">
        <f>VLOOKUP(A618,'[1]Raw data'!$B:$BA,31,FALSE)</f>
        <v>44138</v>
      </c>
      <c r="Y618" s="563" t="str">
        <f>VLOOKUP(A618,'[1]Raw data'!$B:$AS,39,FALSE)</f>
        <v>Yes</v>
      </c>
      <c r="Z618" s="659"/>
      <c r="AA618" s="660"/>
      <c r="AB618" s="661"/>
      <c r="AC618" s="647" t="s">
        <v>1317</v>
      </c>
      <c r="AD618" s="662">
        <v>301</v>
      </c>
      <c r="AE618" s="662">
        <v>10</v>
      </c>
      <c r="AF618" s="662"/>
      <c r="AG618" s="662"/>
      <c r="AH618" s="662"/>
      <c r="AI618" s="663"/>
      <c r="AN618" s="542"/>
      <c r="AO618" s="824" t="str">
        <f t="shared" si="85"/>
        <v>Yes</v>
      </c>
      <c r="AP618" s="259" t="str">
        <f t="shared" si="86"/>
        <v>JAN 21</v>
      </c>
      <c r="AQ618" s="542" t="str">
        <f t="shared" si="87"/>
        <v>有定金+有預留客戶</v>
      </c>
      <c r="AR618" s="259" t="str">
        <f t="shared" si="88"/>
        <v>Shipped_Stock</v>
      </c>
      <c r="AS618" s="259" t="str">
        <f t="shared" si="89"/>
        <v/>
      </c>
      <c r="AT618" s="259" t="str">
        <f t="shared" si="90"/>
        <v>鑫亿特</v>
      </c>
      <c r="AU618" s="259" t="str">
        <f t="shared" si="91"/>
        <v>C49SZX20200142SX</v>
      </c>
      <c r="AV618" s="259" t="str">
        <f t="shared" si="92"/>
        <v>Jan-01</v>
      </c>
    </row>
    <row r="619" spans="1:48" hidden="1">
      <c r="A619" s="559">
        <v>906</v>
      </c>
      <c r="B619" s="664" t="s">
        <v>280</v>
      </c>
      <c r="C619" s="563" t="s">
        <v>15</v>
      </c>
      <c r="D619" s="645">
        <v>110066</v>
      </c>
      <c r="E619" s="563" t="s">
        <v>886</v>
      </c>
      <c r="F619" s="647" t="s">
        <v>241</v>
      </c>
      <c r="G619" s="647" t="s">
        <v>18</v>
      </c>
      <c r="H619" s="647" t="s">
        <v>26</v>
      </c>
      <c r="I619" s="575" t="s">
        <v>1325</v>
      </c>
      <c r="J619" s="575">
        <v>1</v>
      </c>
      <c r="K619" s="647" t="s">
        <v>746</v>
      </c>
      <c r="L619" s="675">
        <v>44200</v>
      </c>
      <c r="M619" s="665" t="s">
        <v>906</v>
      </c>
      <c r="N619" s="647" t="s">
        <v>1127</v>
      </c>
      <c r="O619" s="575"/>
      <c r="P619" s="566" t="str">
        <f>VLOOKUP(A619,'[1]Raw data'!$B:$BB,23,FALSE)</f>
        <v>JPY</v>
      </c>
      <c r="Q619" s="563" t="str">
        <f>VLOOKUP(A619,'[1]Raw data'!$B:$Z,2,FALSE)</f>
        <v>C49SZX20200205JZ</v>
      </c>
      <c r="R619" s="563" t="str">
        <f>VLOOKUP(A619,'[1]Raw data'!$B:$Z,3,FALSE)</f>
        <v>新明海</v>
      </c>
      <c r="S619" s="563" t="str">
        <f>VLOOKUP(A619,'[1]Raw data'!$B:$Z,4,FALSE)</f>
        <v>YSM10</v>
      </c>
      <c r="T619" s="563" t="str">
        <f>VLOOKUP(A619,'[1]Raw data'!$B:$Z,8,FALSE)</f>
        <v>L-&gt;R</v>
      </c>
      <c r="U619" s="563" t="str">
        <f>VLOOKUP(A619,'[1]Raw data'!$B:$Z,9,FALSE)</f>
        <v>MVC</v>
      </c>
      <c r="V619" s="567" t="str">
        <f t="shared" si="93"/>
        <v>WRONG</v>
      </c>
      <c r="W619" s="563" t="str">
        <f>VLOOKUP(A619,'[1]Raw data'!$B:$AG,32,FALSE)</f>
        <v>DAP HZ</v>
      </c>
      <c r="X619" s="563">
        <f>VLOOKUP(A619,'[1]Raw data'!$B:$BA,31,FALSE)</f>
        <v>44138</v>
      </c>
      <c r="Y619" s="563" t="str">
        <f>VLOOKUP(A619,'[1]Raw data'!$B:$AS,39,FALSE)</f>
        <v>Yes</v>
      </c>
      <c r="Z619" s="659"/>
      <c r="AA619" s="660"/>
      <c r="AB619" s="661"/>
      <c r="AC619" s="563" t="s">
        <v>834</v>
      </c>
      <c r="AD619" s="662">
        <v>301</v>
      </c>
      <c r="AE619" s="662">
        <v>10</v>
      </c>
      <c r="AF619" s="662"/>
      <c r="AG619" s="662"/>
      <c r="AH619" s="662"/>
      <c r="AI619" s="663"/>
      <c r="AN619" s="542"/>
      <c r="AO619" s="824" t="str">
        <f t="shared" si="85"/>
        <v>Yes</v>
      </c>
      <c r="AP619" s="259" t="str">
        <f t="shared" si="86"/>
        <v>JAN 21</v>
      </c>
      <c r="AQ619" s="542" t="str">
        <f t="shared" si="87"/>
        <v>有定金+有預留客戶</v>
      </c>
      <c r="AR619" s="259" t="str">
        <f t="shared" si="88"/>
        <v>Shipped_Stock</v>
      </c>
      <c r="AS619" s="259" t="str">
        <f t="shared" si="89"/>
        <v/>
      </c>
      <c r="AT619" s="259" t="str">
        <f t="shared" si="90"/>
        <v>新明海</v>
      </c>
      <c r="AU619" s="259" t="str">
        <f t="shared" si="91"/>
        <v>C49SZX20200205JZ</v>
      </c>
      <c r="AV619" s="259" t="str">
        <f t="shared" si="92"/>
        <v>Jan-04</v>
      </c>
    </row>
    <row r="620" spans="1:48" hidden="1">
      <c r="A620" s="559">
        <v>936</v>
      </c>
      <c r="B620" s="664" t="s">
        <v>280</v>
      </c>
      <c r="C620" s="563" t="s">
        <v>15</v>
      </c>
      <c r="D620" s="645">
        <v>110066</v>
      </c>
      <c r="E620" s="563" t="s">
        <v>886</v>
      </c>
      <c r="F620" s="647" t="s">
        <v>241</v>
      </c>
      <c r="G620" s="647" t="s">
        <v>18</v>
      </c>
      <c r="H620" s="647" t="s">
        <v>26</v>
      </c>
      <c r="I620" s="575" t="s">
        <v>1326</v>
      </c>
      <c r="J620" s="575">
        <v>1</v>
      </c>
      <c r="K620" s="647" t="s">
        <v>746</v>
      </c>
      <c r="L620" s="675">
        <v>44200</v>
      </c>
      <c r="M620" s="665" t="s">
        <v>906</v>
      </c>
      <c r="N620" s="647" t="s">
        <v>1127</v>
      </c>
      <c r="O620" s="575"/>
      <c r="P620" s="566" t="str">
        <f>VLOOKUP(A620,'[1]Raw data'!$B:$BB,23,FALSE)</f>
        <v>JPY</v>
      </c>
      <c r="Q620" s="563" t="str">
        <f>VLOOKUP(A620,'[1]Raw data'!$B:$Z,2,FALSE)</f>
        <v>C49SZX20200219SS</v>
      </c>
      <c r="R620" s="563" t="str">
        <f>VLOOKUP(A620,'[1]Raw data'!$B:$Z,3,FALSE)</f>
        <v>钧溢电子</v>
      </c>
      <c r="S620" s="563" t="str">
        <f>VLOOKUP(A620,'[1]Raw data'!$B:$Z,4,FALSE)</f>
        <v>YSM10</v>
      </c>
      <c r="T620" s="563" t="str">
        <f>VLOOKUP(A620,'[1]Raw data'!$B:$Z,8,FALSE)</f>
        <v>L-&gt;R</v>
      </c>
      <c r="U620" s="563" t="str">
        <f>VLOOKUP(A620,'[1]Raw data'!$B:$Z,9,FALSE)</f>
        <v>MVC</v>
      </c>
      <c r="V620" s="567" t="str">
        <f t="shared" si="93"/>
        <v>WRONG</v>
      </c>
      <c r="W620" s="563" t="str">
        <f>VLOOKUP(A620,'[1]Raw data'!$B:$AG,32,FALSE)</f>
        <v>DAP SZ</v>
      </c>
      <c r="X620" s="563">
        <f>VLOOKUP(A620,'[1]Raw data'!$B:$BA,31,FALSE)</f>
        <v>44152</v>
      </c>
      <c r="Y620" s="563" t="str">
        <f>VLOOKUP(A620,'[1]Raw data'!$B:$AS,39,FALSE)</f>
        <v>Yes</v>
      </c>
      <c r="Z620" s="659"/>
      <c r="AA620" s="660"/>
      <c r="AB620" s="661"/>
      <c r="AC620" s="647" t="s">
        <v>940</v>
      </c>
      <c r="AD620" s="662">
        <v>301</v>
      </c>
      <c r="AE620" s="662">
        <v>10</v>
      </c>
      <c r="AF620" s="662"/>
      <c r="AG620" s="662"/>
      <c r="AH620" s="662"/>
      <c r="AI620" s="663"/>
      <c r="AN620" s="542"/>
      <c r="AO620" s="824" t="str">
        <f t="shared" si="85"/>
        <v>Yes</v>
      </c>
      <c r="AP620" s="259" t="str">
        <f t="shared" si="86"/>
        <v>JAN 21</v>
      </c>
      <c r="AQ620" s="542" t="str">
        <f t="shared" si="87"/>
        <v>有定金+有預留客戶</v>
      </c>
      <c r="AR620" s="259" t="str">
        <f t="shared" si="88"/>
        <v>Shipped_Stock</v>
      </c>
      <c r="AS620" s="259" t="str">
        <f t="shared" si="89"/>
        <v/>
      </c>
      <c r="AT620" s="259" t="str">
        <f t="shared" si="90"/>
        <v>钧溢电子</v>
      </c>
      <c r="AU620" s="259" t="str">
        <f t="shared" si="91"/>
        <v>C49SZX20200219SS</v>
      </c>
      <c r="AV620" s="259" t="str">
        <f t="shared" si="92"/>
        <v>Jan-04</v>
      </c>
    </row>
    <row r="621" spans="1:48" hidden="1">
      <c r="A621" s="559">
        <v>885</v>
      </c>
      <c r="B621" s="664" t="s">
        <v>1125</v>
      </c>
      <c r="C621" s="563" t="s">
        <v>15</v>
      </c>
      <c r="D621" s="645">
        <v>110066</v>
      </c>
      <c r="E621" s="563" t="s">
        <v>886</v>
      </c>
      <c r="F621" s="647" t="s">
        <v>241</v>
      </c>
      <c r="G621" s="647" t="s">
        <v>18</v>
      </c>
      <c r="H621" s="647" t="s">
        <v>26</v>
      </c>
      <c r="I621" s="575" t="s">
        <v>1327</v>
      </c>
      <c r="J621" s="575">
        <v>1</v>
      </c>
      <c r="K621" s="647" t="s">
        <v>437</v>
      </c>
      <c r="L621" s="675">
        <v>44200</v>
      </c>
      <c r="M621" s="665" t="s">
        <v>906</v>
      </c>
      <c r="N621" s="647" t="s">
        <v>1127</v>
      </c>
      <c r="O621" s="575"/>
      <c r="P621" s="566" t="str">
        <f>VLOOKUP(A621,'[1]Raw data'!$B:$BB,23,FALSE)</f>
        <v>JPY</v>
      </c>
      <c r="Q621" s="563" t="str">
        <f>VLOOKUP(A621,'[1]Raw data'!$B:$Z,2,FALSE)</f>
        <v>C49SZX20210003JY</v>
      </c>
      <c r="R621" s="563" t="str">
        <f>VLOOKUP(A621,'[1]Raw data'!$B:$Z,3,FALSE)</f>
        <v>光瑞新（end user：海纳科）</v>
      </c>
      <c r="S621" s="563" t="str">
        <f>VLOOKUP(A621,'[1]Raw data'!$B:$Z,4,FALSE)</f>
        <v>YSM10</v>
      </c>
      <c r="T621" s="563" t="str">
        <f>VLOOKUP(A621,'[1]Raw data'!$B:$Z,8,FALSE)</f>
        <v>R-&gt;L</v>
      </c>
      <c r="U621" s="563" t="str">
        <f>VLOOKUP(A621,'[1]Raw data'!$B:$Z,9,FALSE)</f>
        <v>MVC</v>
      </c>
      <c r="V621" s="567" t="str">
        <f t="shared" si="93"/>
        <v>WRONG</v>
      </c>
      <c r="W621" s="563" t="str">
        <f>VLOOKUP(A621,'[1]Raw data'!$B:$AG,32,FALSE)</f>
        <v>DAP SZ</v>
      </c>
      <c r="X621" s="563">
        <f>VLOOKUP(A621,'[1]Raw data'!$B:$BA,31,FALSE)</f>
        <v>44119</v>
      </c>
      <c r="Y621" s="563" t="str">
        <f>VLOOKUP(A621,'[1]Raw data'!$B:$AS,39,FALSE)</f>
        <v>Yes</v>
      </c>
      <c r="Z621" s="659"/>
      <c r="AA621" s="660"/>
      <c r="AB621" s="661"/>
      <c r="AC621" s="647" t="s">
        <v>1082</v>
      </c>
      <c r="AD621" s="662">
        <v>301</v>
      </c>
      <c r="AE621" s="662">
        <v>10</v>
      </c>
      <c r="AF621" s="662"/>
      <c r="AG621" s="662"/>
      <c r="AH621" s="662"/>
      <c r="AI621" s="663"/>
      <c r="AN621" s="542"/>
      <c r="AO621" s="824" t="str">
        <f t="shared" si="85"/>
        <v>Yes</v>
      </c>
      <c r="AP621" s="259" t="str">
        <f t="shared" si="86"/>
        <v>JAN 21</v>
      </c>
      <c r="AQ621" s="542" t="str">
        <f t="shared" si="87"/>
        <v>有定金+有預留客戶</v>
      </c>
      <c r="AR621" s="259" t="str">
        <f t="shared" si="88"/>
        <v>Shipped_Stock</v>
      </c>
      <c r="AS621" s="259" t="str">
        <f t="shared" si="89"/>
        <v/>
      </c>
      <c r="AT621" s="259" t="str">
        <f t="shared" si="90"/>
        <v>光瑞新（end user：海纳科）</v>
      </c>
      <c r="AU621" s="259" t="str">
        <f t="shared" si="91"/>
        <v>C49SZX20210003JY</v>
      </c>
      <c r="AV621" s="259" t="str">
        <f t="shared" si="92"/>
        <v>Jan-04</v>
      </c>
    </row>
    <row r="622" spans="1:48" hidden="1">
      <c r="A622" s="559">
        <v>884</v>
      </c>
      <c r="B622" s="664" t="s">
        <v>1125</v>
      </c>
      <c r="C622" s="563" t="s">
        <v>15</v>
      </c>
      <c r="D622" s="645">
        <v>110066</v>
      </c>
      <c r="E622" s="563" t="s">
        <v>886</v>
      </c>
      <c r="F622" s="647" t="s">
        <v>241</v>
      </c>
      <c r="G622" s="647" t="s">
        <v>18</v>
      </c>
      <c r="H622" s="647" t="s">
        <v>26</v>
      </c>
      <c r="I622" s="575" t="s">
        <v>1328</v>
      </c>
      <c r="J622" s="575">
        <v>1</v>
      </c>
      <c r="K622" s="647" t="s">
        <v>437</v>
      </c>
      <c r="L622" s="675">
        <v>44200</v>
      </c>
      <c r="M622" s="665" t="s">
        <v>906</v>
      </c>
      <c r="N622" s="647" t="s">
        <v>1127</v>
      </c>
      <c r="O622" s="575"/>
      <c r="P622" s="566" t="str">
        <f>VLOOKUP(A622,'[1]Raw data'!$B:$BB,23,FALSE)</f>
        <v>JPY</v>
      </c>
      <c r="Q622" s="563" t="str">
        <f>VLOOKUP(A622,'[1]Raw data'!$B:$Z,2,FALSE)</f>
        <v>C49SZX20210003JY</v>
      </c>
      <c r="R622" s="563" t="str">
        <f>VLOOKUP(A622,'[1]Raw data'!$B:$Z,3,FALSE)</f>
        <v>光瑞新（end user：海纳科）</v>
      </c>
      <c r="S622" s="563" t="str">
        <f>VLOOKUP(A622,'[1]Raw data'!$B:$Z,4,FALSE)</f>
        <v>YSM10</v>
      </c>
      <c r="T622" s="563" t="str">
        <f>VLOOKUP(A622,'[1]Raw data'!$B:$Z,8,FALSE)</f>
        <v>R-&gt;L</v>
      </c>
      <c r="U622" s="563" t="str">
        <f>VLOOKUP(A622,'[1]Raw data'!$B:$Z,9,FALSE)</f>
        <v>MVC</v>
      </c>
      <c r="V622" s="567" t="str">
        <f t="shared" si="93"/>
        <v>WRONG</v>
      </c>
      <c r="W622" s="563" t="str">
        <f>VLOOKUP(A622,'[1]Raw data'!$B:$AG,32,FALSE)</f>
        <v>DAP SZ</v>
      </c>
      <c r="X622" s="563">
        <f>VLOOKUP(A622,'[1]Raw data'!$B:$BA,31,FALSE)</f>
        <v>44119</v>
      </c>
      <c r="Y622" s="563" t="str">
        <f>VLOOKUP(A622,'[1]Raw data'!$B:$AS,39,FALSE)</f>
        <v>Yes</v>
      </c>
      <c r="Z622" s="659"/>
      <c r="AA622" s="660"/>
      <c r="AB622" s="661"/>
      <c r="AC622" s="647" t="s">
        <v>1082</v>
      </c>
      <c r="AD622" s="662">
        <v>301</v>
      </c>
      <c r="AE622" s="662">
        <v>10</v>
      </c>
      <c r="AF622" s="662"/>
      <c r="AG622" s="662"/>
      <c r="AH622" s="662"/>
      <c r="AI622" s="663"/>
      <c r="AN622" s="542"/>
      <c r="AO622" s="824" t="str">
        <f t="shared" si="85"/>
        <v>Yes</v>
      </c>
      <c r="AP622" s="259" t="str">
        <f t="shared" si="86"/>
        <v>JAN 21</v>
      </c>
      <c r="AQ622" s="542" t="str">
        <f t="shared" si="87"/>
        <v>有定金+有預留客戶</v>
      </c>
      <c r="AR622" s="259" t="str">
        <f t="shared" si="88"/>
        <v>Shipped_Stock</v>
      </c>
      <c r="AS622" s="259" t="str">
        <f t="shared" si="89"/>
        <v/>
      </c>
      <c r="AT622" s="259" t="str">
        <f t="shared" si="90"/>
        <v>光瑞新（end user：海纳科）</v>
      </c>
      <c r="AU622" s="259" t="str">
        <f t="shared" si="91"/>
        <v>C49SZX20210003JY</v>
      </c>
      <c r="AV622" s="259" t="str">
        <f t="shared" si="92"/>
        <v>Jan-04</v>
      </c>
    </row>
    <row r="623" spans="1:48" hidden="1">
      <c r="A623" s="559">
        <v>894</v>
      </c>
      <c r="B623" s="664" t="s">
        <v>1125</v>
      </c>
      <c r="C623" s="563" t="s">
        <v>15</v>
      </c>
      <c r="D623" s="645">
        <v>110066</v>
      </c>
      <c r="E623" s="563" t="s">
        <v>886</v>
      </c>
      <c r="F623" s="647" t="s">
        <v>241</v>
      </c>
      <c r="G623" s="647" t="s">
        <v>18</v>
      </c>
      <c r="H623" s="647" t="s">
        <v>26</v>
      </c>
      <c r="I623" s="575" t="s">
        <v>1329</v>
      </c>
      <c r="J623" s="575">
        <v>1</v>
      </c>
      <c r="K623" s="647" t="s">
        <v>437</v>
      </c>
      <c r="L623" s="675">
        <v>44200</v>
      </c>
      <c r="M623" s="665" t="s">
        <v>906</v>
      </c>
      <c r="N623" s="647" t="s">
        <v>1127</v>
      </c>
      <c r="O623" s="575"/>
      <c r="P623" s="566" t="str">
        <f>VLOOKUP(A623,'[1]Raw data'!$B:$BB,23,FALSE)</f>
        <v>JPY</v>
      </c>
      <c r="Q623" s="563" t="str">
        <f>VLOOKUP(A623,'[1]Raw data'!$B:$Z,2,FALSE)</f>
        <v>C49SZX20200191SS</v>
      </c>
      <c r="R623" s="563" t="str">
        <f>VLOOKUP(A623,'[1]Raw data'!$B:$Z,3,FALSE)</f>
        <v>博睿通</v>
      </c>
      <c r="S623" s="563" t="str">
        <f>VLOOKUP(A623,'[1]Raw data'!$B:$Z,4,FALSE)</f>
        <v>YSM10</v>
      </c>
      <c r="T623" s="563" t="str">
        <f>VLOOKUP(A623,'[1]Raw data'!$B:$Z,8,FALSE)</f>
        <v>L-&gt;R</v>
      </c>
      <c r="U623" s="563" t="str">
        <f>VLOOKUP(A623,'[1]Raw data'!$B:$Z,9,FALSE)</f>
        <v>MVC</v>
      </c>
      <c r="V623" s="567" t="str">
        <f t="shared" si="93"/>
        <v>WRONG</v>
      </c>
      <c r="W623" s="563" t="str">
        <f>VLOOKUP(A623,'[1]Raw data'!$B:$AG,32,FALSE)</f>
        <v>CIF HK</v>
      </c>
      <c r="X623" s="563">
        <f>VLOOKUP(A623,'[1]Raw data'!$B:$BA,31,FALSE)</f>
        <v>44124</v>
      </c>
      <c r="Y623" s="563" t="str">
        <f>VLOOKUP(A623,'[1]Raw data'!$B:$AS,39,FALSE)</f>
        <v>Yes</v>
      </c>
      <c r="Z623" s="659"/>
      <c r="AA623" s="660"/>
      <c r="AB623" s="661"/>
      <c r="AC623" s="563" t="s">
        <v>831</v>
      </c>
      <c r="AD623" s="662">
        <v>301</v>
      </c>
      <c r="AE623" s="662">
        <v>10</v>
      </c>
      <c r="AF623" s="662"/>
      <c r="AG623" s="662"/>
      <c r="AH623" s="662"/>
      <c r="AI623" s="663"/>
      <c r="AN623" s="542"/>
      <c r="AO623" s="824" t="str">
        <f t="shared" si="85"/>
        <v>Yes</v>
      </c>
      <c r="AP623" s="259" t="str">
        <f t="shared" si="86"/>
        <v>JAN 21</v>
      </c>
      <c r="AQ623" s="542" t="str">
        <f t="shared" si="87"/>
        <v>有定金+有預留客戶</v>
      </c>
      <c r="AR623" s="259" t="str">
        <f t="shared" si="88"/>
        <v>Shipped_Stock</v>
      </c>
      <c r="AS623" s="259" t="str">
        <f t="shared" si="89"/>
        <v/>
      </c>
      <c r="AT623" s="259" t="str">
        <f t="shared" si="90"/>
        <v>博睿通</v>
      </c>
      <c r="AU623" s="259" t="str">
        <f t="shared" si="91"/>
        <v>C49SZX20200191SS</v>
      </c>
      <c r="AV623" s="259" t="str">
        <f t="shared" si="92"/>
        <v>Jan-04</v>
      </c>
    </row>
    <row r="624" spans="1:48" hidden="1">
      <c r="A624" s="559">
        <v>1027</v>
      </c>
      <c r="B624" s="664" t="s">
        <v>1125</v>
      </c>
      <c r="C624" s="563" t="s">
        <v>15</v>
      </c>
      <c r="D624" s="645">
        <v>110066</v>
      </c>
      <c r="E624" s="563" t="s">
        <v>886</v>
      </c>
      <c r="F624" s="647" t="s">
        <v>241</v>
      </c>
      <c r="G624" s="647" t="s">
        <v>18</v>
      </c>
      <c r="H624" s="647" t="s">
        <v>26</v>
      </c>
      <c r="I624" s="575" t="s">
        <v>1330</v>
      </c>
      <c r="J624" s="575">
        <v>1</v>
      </c>
      <c r="K624" s="647" t="s">
        <v>437</v>
      </c>
      <c r="L624" s="675">
        <v>44200</v>
      </c>
      <c r="M624" s="665" t="s">
        <v>258</v>
      </c>
      <c r="N624" s="647" t="s">
        <v>1127</v>
      </c>
      <c r="O624" s="575"/>
      <c r="P624" s="566" t="str">
        <f>VLOOKUP(A624,'[1]Raw data'!$B:$BB,23,FALSE)</f>
        <v>JPY</v>
      </c>
      <c r="Q624" s="563" t="str">
        <f>VLOOKUP(A624,'[1]Raw data'!$B:$Z,2,FALSE)</f>
        <v>C49SZX20200242DZ</v>
      </c>
      <c r="R624" s="563" t="str">
        <f>VLOOKUP(A624,'[1]Raw data'!$B:$Z,3,FALSE)</f>
        <v>朗特</v>
      </c>
      <c r="S624" s="563" t="str">
        <f>VLOOKUP(A624,'[1]Raw data'!$B:$Z,4,FALSE)</f>
        <v>YSM10</v>
      </c>
      <c r="T624" s="563" t="str">
        <f>VLOOKUP(A624,'[1]Raw data'!$B:$Z,8,FALSE)</f>
        <v>R-&gt;L</v>
      </c>
      <c r="U624" s="563" t="str">
        <f>VLOOKUP(A624,'[1]Raw data'!$B:$Z,9,FALSE)</f>
        <v>MVC</v>
      </c>
      <c r="V624" s="567" t="str">
        <f t="shared" si="93"/>
        <v>WRONG</v>
      </c>
      <c r="W624" s="563" t="str">
        <f>VLOOKUP(A624,'[1]Raw data'!$B:$AG,32,FALSE)</f>
        <v>CIF HK</v>
      </c>
      <c r="X624" s="563">
        <f>VLOOKUP(A624,'[1]Raw data'!$B:$BA,31,FALSE)</f>
        <v>44182</v>
      </c>
      <c r="Y624" s="563" t="str">
        <f>VLOOKUP(A624,'[1]Raw data'!$B:$AS,39,FALSE)</f>
        <v>Yes</v>
      </c>
      <c r="Z624" s="659"/>
      <c r="AA624" s="660"/>
      <c r="AB624" s="661"/>
      <c r="AC624" s="647" t="s">
        <v>933</v>
      </c>
      <c r="AD624" s="662">
        <v>301</v>
      </c>
      <c r="AE624" s="662">
        <v>10</v>
      </c>
      <c r="AF624" s="662"/>
      <c r="AG624" s="662"/>
      <c r="AH624" s="662"/>
      <c r="AI624" s="663"/>
      <c r="AN624" s="542"/>
      <c r="AO624" s="824" t="str">
        <f t="shared" si="85"/>
        <v>Yes</v>
      </c>
      <c r="AP624" s="259" t="str">
        <f t="shared" si="86"/>
        <v>JAN 21</v>
      </c>
      <c r="AQ624" s="542" t="str">
        <f t="shared" si="87"/>
        <v>有定金+有預留客戶</v>
      </c>
      <c r="AR624" s="259" t="str">
        <f t="shared" si="88"/>
        <v>Shipped_Stock</v>
      </c>
      <c r="AS624" s="259" t="str">
        <f t="shared" si="89"/>
        <v/>
      </c>
      <c r="AT624" s="259" t="str">
        <f t="shared" si="90"/>
        <v>朗特</v>
      </c>
      <c r="AU624" s="259" t="str">
        <f t="shared" si="91"/>
        <v>C49SZX20200242DZ</v>
      </c>
      <c r="AV624" s="259" t="str">
        <f t="shared" si="92"/>
        <v>Jan-04</v>
      </c>
    </row>
    <row r="625" spans="1:48" hidden="1">
      <c r="A625" s="559">
        <v>893</v>
      </c>
      <c r="B625" s="664" t="s">
        <v>1125</v>
      </c>
      <c r="C625" s="563" t="s">
        <v>15</v>
      </c>
      <c r="D625" s="645">
        <v>110066</v>
      </c>
      <c r="E625" s="563" t="s">
        <v>886</v>
      </c>
      <c r="F625" s="647" t="s">
        <v>241</v>
      </c>
      <c r="G625" s="647" t="s">
        <v>18</v>
      </c>
      <c r="H625" s="647" t="s">
        <v>26</v>
      </c>
      <c r="I625" s="575" t="s">
        <v>1331</v>
      </c>
      <c r="J625" s="575">
        <v>1</v>
      </c>
      <c r="K625" s="647" t="s">
        <v>437</v>
      </c>
      <c r="L625" s="675">
        <v>44200</v>
      </c>
      <c r="M625" s="665" t="s">
        <v>906</v>
      </c>
      <c r="N625" s="647" t="s">
        <v>1127</v>
      </c>
      <c r="O625" s="575"/>
      <c r="P625" s="566" t="str">
        <f>VLOOKUP(A625,'[1]Raw data'!$B:$BB,23,FALSE)</f>
        <v>JPY</v>
      </c>
      <c r="Q625" s="563" t="str">
        <f>VLOOKUP(A625,'[1]Raw data'!$B:$Z,2,FALSE)</f>
        <v>C49SZX20200191SS</v>
      </c>
      <c r="R625" s="563" t="str">
        <f>VLOOKUP(A625,'[1]Raw data'!$B:$Z,3,FALSE)</f>
        <v>博睿通</v>
      </c>
      <c r="S625" s="563" t="str">
        <f>VLOOKUP(A625,'[1]Raw data'!$B:$Z,4,FALSE)</f>
        <v>YSM10</v>
      </c>
      <c r="T625" s="563" t="str">
        <f>VLOOKUP(A625,'[1]Raw data'!$B:$Z,8,FALSE)</f>
        <v>L-&gt;R</v>
      </c>
      <c r="U625" s="563" t="str">
        <f>VLOOKUP(A625,'[1]Raw data'!$B:$Z,9,FALSE)</f>
        <v>MVC</v>
      </c>
      <c r="V625" s="567" t="str">
        <f t="shared" si="93"/>
        <v>WRONG</v>
      </c>
      <c r="W625" s="563" t="str">
        <f>VLOOKUP(A625,'[1]Raw data'!$B:$AG,32,FALSE)</f>
        <v>CIF HK</v>
      </c>
      <c r="X625" s="563">
        <f>VLOOKUP(A625,'[1]Raw data'!$B:$BA,31,FALSE)</f>
        <v>44124</v>
      </c>
      <c r="Y625" s="563" t="str">
        <f>VLOOKUP(A625,'[1]Raw data'!$B:$AS,39,FALSE)</f>
        <v>Yes</v>
      </c>
      <c r="Z625" s="659"/>
      <c r="AA625" s="660"/>
      <c r="AB625" s="661"/>
      <c r="AC625" s="563" t="s">
        <v>831</v>
      </c>
      <c r="AD625" s="662">
        <v>301</v>
      </c>
      <c r="AE625" s="662">
        <v>10</v>
      </c>
      <c r="AF625" s="662"/>
      <c r="AG625" s="662"/>
      <c r="AH625" s="662"/>
      <c r="AI625" s="663"/>
      <c r="AN625" s="542"/>
      <c r="AO625" s="824" t="str">
        <f t="shared" si="85"/>
        <v>Yes</v>
      </c>
      <c r="AP625" s="259" t="str">
        <f t="shared" si="86"/>
        <v>JAN 21</v>
      </c>
      <c r="AQ625" s="542" t="str">
        <f t="shared" si="87"/>
        <v>有定金+有預留客戶</v>
      </c>
      <c r="AR625" s="259" t="str">
        <f t="shared" si="88"/>
        <v>Shipped_Stock</v>
      </c>
      <c r="AS625" s="259" t="str">
        <f t="shared" si="89"/>
        <v/>
      </c>
      <c r="AT625" s="259" t="str">
        <f t="shared" si="90"/>
        <v>博睿通</v>
      </c>
      <c r="AU625" s="259" t="str">
        <f t="shared" si="91"/>
        <v>C49SZX20200191SS</v>
      </c>
      <c r="AV625" s="259" t="str">
        <f t="shared" si="92"/>
        <v>Jan-04</v>
      </c>
    </row>
    <row r="626" spans="1:48" hidden="1">
      <c r="A626" s="559">
        <v>959</v>
      </c>
      <c r="B626" s="664" t="s">
        <v>1125</v>
      </c>
      <c r="C626" s="563" t="s">
        <v>15</v>
      </c>
      <c r="D626" s="645">
        <v>110067</v>
      </c>
      <c r="E626" s="563" t="s">
        <v>886</v>
      </c>
      <c r="F626" s="647" t="s">
        <v>241</v>
      </c>
      <c r="G626" s="647" t="s">
        <v>18</v>
      </c>
      <c r="H626" s="647" t="s">
        <v>26</v>
      </c>
      <c r="I626" s="575" t="s">
        <v>1332</v>
      </c>
      <c r="J626" s="662">
        <v>1</v>
      </c>
      <c r="K626" s="647" t="s">
        <v>437</v>
      </c>
      <c r="L626" s="675">
        <v>44207</v>
      </c>
      <c r="M626" s="676" t="s">
        <v>906</v>
      </c>
      <c r="N626" s="647" t="s">
        <v>14</v>
      </c>
      <c r="O626" s="575"/>
      <c r="P626" s="566" t="str">
        <f>VLOOKUP(A626,'[1]Raw data'!$B:$BB,23,FALSE)</f>
        <v>JPY</v>
      </c>
      <c r="Q626" s="563" t="str">
        <f>VLOOKUP(A626,'[1]Raw data'!$B:$Z,2,FALSE)</f>
        <v>C49SZX20200213MX</v>
      </c>
      <c r="R626" s="563" t="str">
        <f>VLOOKUP(A626,'[1]Raw data'!$B:$Z,3,FALSE)</f>
        <v>音品（End user:厚朴）</v>
      </c>
      <c r="S626" s="563" t="str">
        <f>VLOOKUP(A626,'[1]Raw data'!$B:$Z,4,FALSE)</f>
        <v>YSM10</v>
      </c>
      <c r="T626" s="563" t="str">
        <f>VLOOKUP(A626,'[1]Raw data'!$B:$Z,8,FALSE)</f>
        <v>L-&gt;R</v>
      </c>
      <c r="U626" s="563" t="str">
        <f>VLOOKUP(A626,'[1]Raw data'!$B:$Z,9,FALSE)</f>
        <v>No</v>
      </c>
      <c r="V626" s="567" t="str">
        <f t="shared" si="93"/>
        <v>WRONG</v>
      </c>
      <c r="W626" s="563" t="str">
        <f>VLOOKUP(A626,'[1]Raw data'!$B:$AG,32,FALSE)</f>
        <v>DAP SZ</v>
      </c>
      <c r="X626" s="563">
        <f>VLOOKUP(A626,'[1]Raw data'!$B:$BA,31,FALSE)</f>
        <v>44153</v>
      </c>
      <c r="Y626" s="563" t="str">
        <f>VLOOKUP(A626,'[1]Raw data'!$B:$AS,39,FALSE)</f>
        <v>Yes</v>
      </c>
      <c r="Z626" s="659"/>
      <c r="AA626" s="660"/>
      <c r="AB626" s="661"/>
      <c r="AC626" s="647" t="s">
        <v>1333</v>
      </c>
      <c r="AD626" s="662">
        <v>301</v>
      </c>
      <c r="AE626" s="662">
        <v>10</v>
      </c>
      <c r="AF626" s="662"/>
      <c r="AG626" s="662"/>
      <c r="AH626" s="662"/>
      <c r="AI626" s="663"/>
      <c r="AN626" s="542"/>
      <c r="AO626" s="824" t="str">
        <f t="shared" si="85"/>
        <v>Yes</v>
      </c>
      <c r="AP626" s="259" t="str">
        <f t="shared" si="86"/>
        <v>FEB 21</v>
      </c>
      <c r="AQ626" s="542" t="str">
        <f t="shared" si="87"/>
        <v>有定金+有預留客戶</v>
      </c>
      <c r="AR626" s="259" t="str">
        <f t="shared" si="88"/>
        <v>Shipped_Stock</v>
      </c>
      <c r="AS626" s="259" t="str">
        <f t="shared" si="89"/>
        <v/>
      </c>
      <c r="AT626" s="259" t="str">
        <f t="shared" si="90"/>
        <v>音品（End user:厚朴）</v>
      </c>
      <c r="AU626" s="259" t="str">
        <f t="shared" si="91"/>
        <v>C49SZX20200213MX</v>
      </c>
      <c r="AV626" s="259" t="str">
        <f t="shared" si="92"/>
        <v>Jan-11</v>
      </c>
    </row>
    <row r="627" spans="1:48" hidden="1">
      <c r="A627" s="559">
        <v>903</v>
      </c>
      <c r="B627" s="664" t="s">
        <v>1125</v>
      </c>
      <c r="C627" s="563" t="s">
        <v>15</v>
      </c>
      <c r="D627" s="645">
        <v>110067</v>
      </c>
      <c r="E627" s="563" t="s">
        <v>886</v>
      </c>
      <c r="F627" s="647" t="s">
        <v>241</v>
      </c>
      <c r="G627" s="647" t="s">
        <v>18</v>
      </c>
      <c r="H627" s="647" t="s">
        <v>26</v>
      </c>
      <c r="I627" s="575" t="s">
        <v>1334</v>
      </c>
      <c r="J627" s="575">
        <v>1</v>
      </c>
      <c r="K627" s="647" t="s">
        <v>437</v>
      </c>
      <c r="L627" s="675">
        <v>44207</v>
      </c>
      <c r="M627" s="676" t="s">
        <v>906</v>
      </c>
      <c r="N627" s="647" t="s">
        <v>1127</v>
      </c>
      <c r="O627" s="575"/>
      <c r="P627" s="566" t="str">
        <f>VLOOKUP(A627,'[1]Raw data'!$B:$BB,23,FALSE)</f>
        <v>JPY</v>
      </c>
      <c r="Q627" s="563" t="str">
        <f>VLOOKUP(A627,'[1]Raw data'!$B:$Z,2,FALSE)</f>
        <v>C49SZX20200199MZ</v>
      </c>
      <c r="R627" s="563" t="str">
        <f>VLOOKUP(A627,'[1]Raw data'!$B:$Z,3,FALSE)</f>
        <v>鸿南</v>
      </c>
      <c r="S627" s="563" t="str">
        <f>VLOOKUP(A627,'[1]Raw data'!$B:$Z,4,FALSE)</f>
        <v>YSM10</v>
      </c>
      <c r="T627" s="563" t="str">
        <f>VLOOKUP(A627,'[1]Raw data'!$B:$Z,8,FALSE)</f>
        <v>R-&gt;L</v>
      </c>
      <c r="U627" s="563" t="str">
        <f>VLOOKUP(A627,'[1]Raw data'!$B:$Z,9,FALSE)</f>
        <v>MVC</v>
      </c>
      <c r="V627" s="567" t="str">
        <f t="shared" si="93"/>
        <v>WRONG</v>
      </c>
      <c r="W627" s="563" t="str">
        <f>VLOOKUP(A627,'[1]Raw data'!$B:$AG,32,FALSE)</f>
        <v>CIF HK</v>
      </c>
      <c r="X627" s="563">
        <f>VLOOKUP(A627,'[1]Raw data'!$B:$BA,31,FALSE)</f>
        <v>44134</v>
      </c>
      <c r="Y627" s="563" t="str">
        <f>VLOOKUP(A627,'[1]Raw data'!$B:$AS,39,FALSE)</f>
        <v>Yes</v>
      </c>
      <c r="Z627" s="659"/>
      <c r="AA627" s="660"/>
      <c r="AB627" s="661"/>
      <c r="AC627" s="647" t="s">
        <v>400</v>
      </c>
      <c r="AD627" s="662">
        <v>302</v>
      </c>
      <c r="AE627" s="662">
        <v>10</v>
      </c>
      <c r="AF627" s="662"/>
      <c r="AG627" s="662"/>
      <c r="AH627" s="662"/>
      <c r="AI627" s="663"/>
      <c r="AN627" s="542"/>
      <c r="AO627" s="824" t="str">
        <f t="shared" si="85"/>
        <v>Yes</v>
      </c>
      <c r="AP627" s="259" t="str">
        <f t="shared" si="86"/>
        <v>JAN 21</v>
      </c>
      <c r="AQ627" s="542" t="str">
        <f t="shared" si="87"/>
        <v>有定金+有預留客戶</v>
      </c>
      <c r="AR627" s="259" t="str">
        <f t="shared" si="88"/>
        <v>Shipped_Stock</v>
      </c>
      <c r="AS627" s="259" t="str">
        <f t="shared" si="89"/>
        <v/>
      </c>
      <c r="AT627" s="259" t="str">
        <f t="shared" si="90"/>
        <v>鸿南</v>
      </c>
      <c r="AU627" s="259" t="str">
        <f t="shared" si="91"/>
        <v>C49SZX20200199MZ</v>
      </c>
      <c r="AV627" s="259" t="str">
        <f t="shared" si="92"/>
        <v>Jan-11</v>
      </c>
    </row>
    <row r="628" spans="1:48" hidden="1">
      <c r="A628" s="559">
        <v>1043</v>
      </c>
      <c r="B628" s="664" t="s">
        <v>1125</v>
      </c>
      <c r="C628" s="563" t="s">
        <v>15</v>
      </c>
      <c r="D628" s="645">
        <v>110067</v>
      </c>
      <c r="E628" s="563" t="s">
        <v>886</v>
      </c>
      <c r="F628" s="647" t="s">
        <v>241</v>
      </c>
      <c r="G628" s="647" t="s">
        <v>18</v>
      </c>
      <c r="H628" s="647" t="s">
        <v>26</v>
      </c>
      <c r="I628" s="575" t="s">
        <v>1335</v>
      </c>
      <c r="J628" s="575">
        <v>1</v>
      </c>
      <c r="K628" s="647" t="s">
        <v>437</v>
      </c>
      <c r="L628" s="675">
        <v>44207</v>
      </c>
      <c r="M628" s="676" t="s">
        <v>906</v>
      </c>
      <c r="N628" s="647" t="s">
        <v>1127</v>
      </c>
      <c r="O628" s="575"/>
      <c r="P628" s="566" t="str">
        <f>VLOOKUP(A628,'[1]Raw data'!$B:$BB,23,FALSE)</f>
        <v>JPY</v>
      </c>
      <c r="Q628" s="563" t="str">
        <f>VLOOKUP(A628,'[1]Raw data'!$B:$Z,2,FALSE)</f>
        <v>C49SZX20200255JY</v>
      </c>
      <c r="R628" s="563" t="str">
        <f>VLOOKUP(A628,'[1]Raw data'!$B:$Z,3,FALSE)</f>
        <v>昊亮迪</v>
      </c>
      <c r="S628" s="563" t="str">
        <f>VLOOKUP(A628,'[1]Raw data'!$B:$Z,4,FALSE)</f>
        <v>YSM10</v>
      </c>
      <c r="T628" s="563" t="str">
        <f>VLOOKUP(A628,'[1]Raw data'!$B:$Z,8,FALSE)</f>
        <v>L-&gt;R</v>
      </c>
      <c r="U628" s="563" t="str">
        <f>VLOOKUP(A628,'[1]Raw data'!$B:$Z,9,FALSE)</f>
        <v>No</v>
      </c>
      <c r="V628" s="567" t="str">
        <f t="shared" si="93"/>
        <v>WRONG</v>
      </c>
      <c r="W628" s="563" t="str">
        <f>VLOOKUP(A628,'[1]Raw data'!$B:$AG,32,FALSE)</f>
        <v>DAP SZ</v>
      </c>
      <c r="X628" s="563">
        <f>VLOOKUP(A628,'[1]Raw data'!$B:$BA,31,FALSE)</f>
        <v>44189</v>
      </c>
      <c r="Y628" s="563" t="str">
        <f>VLOOKUP(A628,'[1]Raw data'!$B:$AS,39,FALSE)</f>
        <v>Yes</v>
      </c>
      <c r="Z628" s="659"/>
      <c r="AA628" s="660"/>
      <c r="AB628" s="661"/>
      <c r="AC628" s="647" t="s">
        <v>1178</v>
      </c>
      <c r="AD628" s="662">
        <v>302</v>
      </c>
      <c r="AE628" s="662">
        <v>10</v>
      </c>
      <c r="AF628" s="662"/>
      <c r="AG628" s="662"/>
      <c r="AH628" s="662"/>
      <c r="AI628" s="663"/>
      <c r="AN628" s="542"/>
      <c r="AO628" s="824" t="str">
        <f t="shared" si="85"/>
        <v>Yes</v>
      </c>
      <c r="AP628" s="259" t="str">
        <f t="shared" si="86"/>
        <v>JAN 21</v>
      </c>
      <c r="AQ628" s="542" t="str">
        <f t="shared" si="87"/>
        <v>有定金+有預留客戶</v>
      </c>
      <c r="AR628" s="259" t="str">
        <f t="shared" si="88"/>
        <v>Shipped_Stock</v>
      </c>
      <c r="AS628" s="259" t="str">
        <f t="shared" si="89"/>
        <v/>
      </c>
      <c r="AT628" s="259" t="str">
        <f t="shared" si="90"/>
        <v>昊亮迪</v>
      </c>
      <c r="AU628" s="259" t="str">
        <f t="shared" si="91"/>
        <v>C49SZX20200255JY</v>
      </c>
      <c r="AV628" s="259" t="str">
        <f t="shared" si="92"/>
        <v>Jan-11</v>
      </c>
    </row>
    <row r="629" spans="1:48" hidden="1">
      <c r="A629" s="559">
        <v>955</v>
      </c>
      <c r="B629" s="720" t="s">
        <v>1125</v>
      </c>
      <c r="C629" s="604" t="s">
        <v>15</v>
      </c>
      <c r="D629" s="645">
        <v>110067</v>
      </c>
      <c r="E629" s="604" t="s">
        <v>886</v>
      </c>
      <c r="F629" s="721" t="s">
        <v>241</v>
      </c>
      <c r="G629" s="721" t="s">
        <v>18</v>
      </c>
      <c r="H629" s="721" t="s">
        <v>26</v>
      </c>
      <c r="I629" s="714" t="s">
        <v>1336</v>
      </c>
      <c r="J629" s="714">
        <v>1</v>
      </c>
      <c r="K629" s="721" t="s">
        <v>85</v>
      </c>
      <c r="L629" s="722">
        <v>44207</v>
      </c>
      <c r="M629" s="676" t="s">
        <v>906</v>
      </c>
      <c r="N629" s="647" t="s">
        <v>1337</v>
      </c>
      <c r="O629" s="575"/>
      <c r="P629" s="566" t="str">
        <f>VLOOKUP(A629,'[1]Raw data'!$B:$BB,23,FALSE)</f>
        <v>JPY</v>
      </c>
      <c r="Q629" s="563" t="str">
        <f>VLOOKUP(A629,'[1]Raw data'!$B:$Z,2,FALSE)</f>
        <v>C49SZX20200213MX</v>
      </c>
      <c r="R629" s="563" t="str">
        <f>VLOOKUP(A629,'[1]Raw data'!$B:$Z,3,FALSE)</f>
        <v>音品（End user:艾艺科技)</v>
      </c>
      <c r="S629" s="563" t="str">
        <f>VLOOKUP(A629,'[1]Raw data'!$B:$Z,4,FALSE)</f>
        <v>YSM10</v>
      </c>
      <c r="T629" s="563" t="str">
        <f>VLOOKUP(A629,'[1]Raw data'!$B:$Z,8,FALSE)</f>
        <v>L-&gt;R</v>
      </c>
      <c r="U629" s="563" t="str">
        <f>VLOOKUP(A629,'[1]Raw data'!$B:$Z,9,FALSE)</f>
        <v>No</v>
      </c>
      <c r="V629" s="567" t="str">
        <f t="shared" si="93"/>
        <v>WRONG</v>
      </c>
      <c r="W629" s="563" t="str">
        <f>VLOOKUP(A629,'[1]Raw data'!$B:$AG,32,FALSE)</f>
        <v>DAP SZ</v>
      </c>
      <c r="X629" s="563">
        <f>VLOOKUP(A629,'[1]Raw data'!$B:$BA,31,FALSE)</f>
        <v>44153</v>
      </c>
      <c r="Y629" s="563" t="str">
        <f>VLOOKUP(A629,'[1]Raw data'!$B:$AS,39,FALSE)</f>
        <v>Yes</v>
      </c>
      <c r="Z629" s="659"/>
      <c r="AA629" s="660"/>
      <c r="AB629" s="661"/>
      <c r="AC629" s="647" t="s">
        <v>1338</v>
      </c>
      <c r="AD629" s="662">
        <v>311</v>
      </c>
      <c r="AE629" s="662">
        <v>10</v>
      </c>
      <c r="AF629" s="662"/>
      <c r="AG629" s="662"/>
      <c r="AH629" s="662"/>
      <c r="AI629" s="663"/>
      <c r="AN629" s="542"/>
      <c r="AO629" s="824" t="str">
        <f t="shared" si="85"/>
        <v>Yes</v>
      </c>
      <c r="AP629" s="259" t="str">
        <f t="shared" si="86"/>
        <v>AUG 21</v>
      </c>
      <c r="AQ629" s="542" t="str">
        <f t="shared" si="87"/>
        <v>有定金+有預留客戶</v>
      </c>
      <c r="AR629" s="259" t="str">
        <f t="shared" si="88"/>
        <v>Shipped_Stock</v>
      </c>
      <c r="AS629" s="259" t="str">
        <f t="shared" si="89"/>
        <v/>
      </c>
      <c r="AT629" s="259" t="str">
        <f t="shared" si="90"/>
        <v>音品（End user:艾艺科技)</v>
      </c>
      <c r="AU629" s="259" t="str">
        <f t="shared" si="91"/>
        <v>C49SZX20200213MX</v>
      </c>
      <c r="AV629" s="259" t="str">
        <f t="shared" si="92"/>
        <v>Jan-11</v>
      </c>
    </row>
    <row r="630" spans="1:48" hidden="1">
      <c r="A630" s="559">
        <v>923</v>
      </c>
      <c r="B630" s="664" t="s">
        <v>1125</v>
      </c>
      <c r="C630" s="563" t="s">
        <v>4013</v>
      </c>
      <c r="D630" s="645">
        <v>110195</v>
      </c>
      <c r="E630" s="646" t="s">
        <v>1339</v>
      </c>
      <c r="F630" s="647" t="s">
        <v>201</v>
      </c>
      <c r="G630" s="647" t="s">
        <v>24</v>
      </c>
      <c r="H630" s="647" t="s">
        <v>307</v>
      </c>
      <c r="I630" s="575"/>
      <c r="J630" s="575">
        <v>1</v>
      </c>
      <c r="K630" s="647"/>
      <c r="L630" s="675">
        <v>44211</v>
      </c>
      <c r="M630" s="665">
        <v>6.3100000000000003E-2</v>
      </c>
      <c r="N630" s="647" t="s">
        <v>1127</v>
      </c>
      <c r="O630" s="575"/>
      <c r="P630" s="566" t="str">
        <f>VLOOKUP(A630,'[1]Raw data'!$B:$BB,23,FALSE)</f>
        <v>RMB</v>
      </c>
      <c r="Q630" s="563" t="str">
        <f>VLOOKUP(A630,'[1]Raw data'!$B:$Z,2,FALSE)</f>
        <v>C28SZX20200081KC</v>
      </c>
      <c r="R630" s="563" t="str">
        <f>VLOOKUP(A630,'[1]Raw data'!$B:$Z,3,FALSE)</f>
        <v>鸿通宇</v>
      </c>
      <c r="S630" s="563" t="str">
        <f>VLOOKUP(A630,'[1]Raw data'!$B:$Z,4,FALSE)</f>
        <v>YSi-V</v>
      </c>
      <c r="T630" s="563" t="str">
        <f>VLOOKUP(A630,'[1]Raw data'!$B:$Z,8,FALSE)</f>
        <v>L-&gt;R</v>
      </c>
      <c r="U630" s="563" t="str">
        <f>VLOOKUP(A630,'[1]Raw data'!$B:$Z,9,FALSE)</f>
        <v>No</v>
      </c>
      <c r="V630" s="567" t="str">
        <f t="shared" ref="V630:V639" si="94">IF(G630&amp;H630=T630&amp;U630,"OK","WRONG")</f>
        <v>OK</v>
      </c>
      <c r="W630" s="563" t="str">
        <f>VLOOKUP(A630,'[1]Raw data'!$B:$AG,32,FALSE)</f>
        <v>含税到厂</v>
      </c>
      <c r="X630" s="563">
        <f>VLOOKUP(A630,'[1]Raw data'!$B:$BA,31,FALSE)</f>
        <v>44140</v>
      </c>
      <c r="Y630" s="563" t="str">
        <f>VLOOKUP(A630,'[1]Raw data'!$B:$AS,39,FALSE)</f>
        <v>Yes</v>
      </c>
      <c r="Z630" s="659"/>
      <c r="AA630" s="660"/>
      <c r="AB630" s="661"/>
      <c r="AC630" s="647" t="s">
        <v>467</v>
      </c>
      <c r="AD630" s="662"/>
      <c r="AE630" s="662"/>
      <c r="AF630" s="662"/>
      <c r="AG630" s="662"/>
      <c r="AH630" s="662"/>
      <c r="AI630" s="663"/>
      <c r="AN630" s="542"/>
      <c r="AO630" s="824" t="str">
        <f t="shared" si="85"/>
        <v>Yes</v>
      </c>
      <c r="AP630" s="259" t="str">
        <f t="shared" si="86"/>
        <v>JAN 21</v>
      </c>
      <c r="AQ630" s="542" t="str">
        <f t="shared" si="87"/>
        <v>有定金+有預留客戶</v>
      </c>
      <c r="AR630" s="259" t="str">
        <f t="shared" si="88"/>
        <v>Shipped_Stock</v>
      </c>
      <c r="AS630" s="259" t="str">
        <f t="shared" si="89"/>
        <v/>
      </c>
      <c r="AT630" s="259" t="str">
        <f t="shared" si="90"/>
        <v>鸿通宇</v>
      </c>
      <c r="AU630" s="259" t="str">
        <f t="shared" si="91"/>
        <v>C28SZX20200081KC</v>
      </c>
      <c r="AV630" s="259" t="str">
        <f t="shared" si="92"/>
        <v>Jan-15</v>
      </c>
    </row>
    <row r="631" spans="1:48" hidden="1">
      <c r="A631" s="559">
        <v>920</v>
      </c>
      <c r="B631" s="664" t="s">
        <v>1125</v>
      </c>
      <c r="C631" s="664" t="s">
        <v>15</v>
      </c>
      <c r="D631" s="645">
        <v>110105</v>
      </c>
      <c r="E631" s="646" t="s">
        <v>1340</v>
      </c>
      <c r="F631" s="647" t="s">
        <v>58</v>
      </c>
      <c r="G631" s="647" t="s">
        <v>24</v>
      </c>
      <c r="H631" s="647" t="s">
        <v>26</v>
      </c>
      <c r="I631" s="575" t="s">
        <v>1341</v>
      </c>
      <c r="J631" s="575">
        <v>1</v>
      </c>
      <c r="K631" s="647" t="s">
        <v>437</v>
      </c>
      <c r="L631" s="675">
        <v>44212</v>
      </c>
      <c r="M631" s="665" t="s">
        <v>906</v>
      </c>
      <c r="N631" s="647" t="s">
        <v>1127</v>
      </c>
      <c r="O631" s="575"/>
      <c r="P631" s="566" t="str">
        <f>VLOOKUP(A631,'[1]Raw data'!$B:$BB,23,FALSE)</f>
        <v>JPY</v>
      </c>
      <c r="Q631" s="563" t="str">
        <f>VLOOKUP(A631,'[1]Raw data'!$B:$Z,2,FALSE)</f>
        <v>C49SZX20200145JL</v>
      </c>
      <c r="R631" s="563" t="str">
        <f>VLOOKUP(A631,'[1]Raw data'!$B:$Z,3,FALSE)</f>
        <v>易而达</v>
      </c>
      <c r="S631" s="563" t="str">
        <f>VLOOKUP(A631,'[1]Raw data'!$B:$Z,4,FALSE)</f>
        <v>YSM20R-2</v>
      </c>
      <c r="T631" s="563" t="str">
        <f>VLOOKUP(A631,'[1]Raw data'!$B:$Z,8,FALSE)</f>
        <v>L-&gt;R</v>
      </c>
      <c r="U631" s="563" t="str">
        <f>VLOOKUP(A631,'[1]Raw data'!$B:$Z,9,FALSE)</f>
        <v>No</v>
      </c>
      <c r="V631" s="567" t="str">
        <f t="shared" si="94"/>
        <v>OK</v>
      </c>
      <c r="W631" s="563" t="str">
        <f>VLOOKUP(A631,'[1]Raw data'!$B:$AG,32,FALSE)</f>
        <v>DAP GZ</v>
      </c>
      <c r="X631" s="563">
        <f>VLOOKUP(A631,'[1]Raw data'!$B:$BA,31,FALSE)</f>
        <v>44145</v>
      </c>
      <c r="Y631" s="563" t="str">
        <f>VLOOKUP(A631,'[1]Raw data'!$B:$AS,39,FALSE)</f>
        <v>Yes</v>
      </c>
      <c r="Z631" s="659"/>
      <c r="AA631" s="660"/>
      <c r="AB631" s="661"/>
      <c r="AC631" s="647" t="s">
        <v>1128</v>
      </c>
      <c r="AD631" s="662">
        <v>301</v>
      </c>
      <c r="AE631" s="662">
        <v>20</v>
      </c>
      <c r="AF631" s="662"/>
      <c r="AG631" s="662"/>
      <c r="AH631" s="662"/>
      <c r="AI631" s="663"/>
      <c r="AN631" s="542"/>
      <c r="AO631" s="824" t="str">
        <f t="shared" si="85"/>
        <v>Yes</v>
      </c>
      <c r="AP631" s="259" t="str">
        <f t="shared" si="86"/>
        <v>JAN 21</v>
      </c>
      <c r="AQ631" s="542" t="str">
        <f t="shared" si="87"/>
        <v>有定金+有預留客戶</v>
      </c>
      <c r="AR631" s="259" t="str">
        <f t="shared" si="88"/>
        <v>Shipped_Stock</v>
      </c>
      <c r="AS631" s="259" t="str">
        <f t="shared" si="89"/>
        <v/>
      </c>
      <c r="AT631" s="259" t="str">
        <f t="shared" si="90"/>
        <v>易而达</v>
      </c>
      <c r="AU631" s="259" t="str">
        <f t="shared" si="91"/>
        <v>C49SZX20200145JL</v>
      </c>
      <c r="AV631" s="259" t="str">
        <f t="shared" si="92"/>
        <v>Jan-16</v>
      </c>
    </row>
    <row r="632" spans="1:48" hidden="1">
      <c r="A632" s="559">
        <v>889</v>
      </c>
      <c r="B632" s="664" t="s">
        <v>1125</v>
      </c>
      <c r="C632" s="664" t="s">
        <v>15</v>
      </c>
      <c r="D632" s="645">
        <v>110105</v>
      </c>
      <c r="E632" s="646" t="s">
        <v>1340</v>
      </c>
      <c r="F632" s="647" t="s">
        <v>58</v>
      </c>
      <c r="G632" s="647" t="s">
        <v>24</v>
      </c>
      <c r="H632" s="647" t="s">
        <v>26</v>
      </c>
      <c r="I632" s="575" t="s">
        <v>1342</v>
      </c>
      <c r="J632" s="575">
        <v>1</v>
      </c>
      <c r="K632" s="647" t="s">
        <v>437</v>
      </c>
      <c r="L632" s="675">
        <v>44212</v>
      </c>
      <c r="M632" s="665" t="s">
        <v>906</v>
      </c>
      <c r="N632" s="647" t="s">
        <v>1127</v>
      </c>
      <c r="O632" s="575"/>
      <c r="P632" s="566" t="str">
        <f>VLOOKUP(A632,'[1]Raw data'!$B:$BB,23,FALSE)</f>
        <v>JPY</v>
      </c>
      <c r="Q632" s="563" t="str">
        <f>VLOOKUP(A632,'[1]Raw data'!$B:$Z,2,FALSE)</f>
        <v>C49SZX20200195SS</v>
      </c>
      <c r="R632" s="563" t="str">
        <f>VLOOKUP(A632,'[1]Raw data'!$B:$Z,3,FALSE)</f>
        <v>泰鑫荣</v>
      </c>
      <c r="S632" s="563" t="str">
        <f>VLOOKUP(A632,'[1]Raw data'!$B:$Z,4,FALSE)</f>
        <v>YSM20R-2</v>
      </c>
      <c r="T632" s="563" t="str">
        <f>VLOOKUP(A632,'[1]Raw data'!$B:$Z,8,FALSE)</f>
        <v>L-&gt;R</v>
      </c>
      <c r="U632" s="563" t="str">
        <f>VLOOKUP(A632,'[1]Raw data'!$B:$Z,9,FALSE)</f>
        <v>No</v>
      </c>
      <c r="V632" s="567" t="str">
        <f t="shared" si="94"/>
        <v>OK</v>
      </c>
      <c r="W632" s="563" t="str">
        <f>VLOOKUP(A632,'[1]Raw data'!$B:$AG,32,FALSE)</f>
        <v>DAP SZ</v>
      </c>
      <c r="X632" s="563">
        <f>VLOOKUP(A632,'[1]Raw data'!$B:$BA,31,FALSE)</f>
        <v>44125</v>
      </c>
      <c r="Y632" s="563" t="str">
        <f>VLOOKUP(A632,'[1]Raw data'!$B:$AS,39,FALSE)</f>
        <v>Yes</v>
      </c>
      <c r="Z632" s="659"/>
      <c r="AA632" s="660"/>
      <c r="AB632" s="661"/>
      <c r="AC632" s="647" t="s">
        <v>1343</v>
      </c>
      <c r="AD632" s="662">
        <v>301</v>
      </c>
      <c r="AE632" s="662">
        <v>20</v>
      </c>
      <c r="AF632" s="662"/>
      <c r="AG632" s="662"/>
      <c r="AH632" s="662"/>
      <c r="AI632" s="663"/>
      <c r="AN632" s="542"/>
      <c r="AO632" s="824" t="str">
        <f t="shared" si="85"/>
        <v>Yes</v>
      </c>
      <c r="AP632" s="259" t="str">
        <f t="shared" si="86"/>
        <v>JAN 21</v>
      </c>
      <c r="AQ632" s="542" t="str">
        <f t="shared" si="87"/>
        <v>有定金+有預留客戶</v>
      </c>
      <c r="AR632" s="259" t="str">
        <f t="shared" si="88"/>
        <v>Shipped_Stock</v>
      </c>
      <c r="AS632" s="259" t="str">
        <f t="shared" si="89"/>
        <v/>
      </c>
      <c r="AT632" s="259" t="str">
        <f t="shared" si="90"/>
        <v>泰鑫荣</v>
      </c>
      <c r="AU632" s="259" t="str">
        <f t="shared" si="91"/>
        <v>C49SZX20200195SS</v>
      </c>
      <c r="AV632" s="259" t="str">
        <f t="shared" si="92"/>
        <v>Jan-16</v>
      </c>
    </row>
    <row r="633" spans="1:48" hidden="1">
      <c r="A633" s="559">
        <v>878</v>
      </c>
      <c r="B633" s="664" t="s">
        <v>1125</v>
      </c>
      <c r="C633" s="664" t="s">
        <v>15</v>
      </c>
      <c r="D633" s="645">
        <v>110105</v>
      </c>
      <c r="E633" s="646" t="s">
        <v>1340</v>
      </c>
      <c r="F633" s="647" t="s">
        <v>58</v>
      </c>
      <c r="G633" s="647" t="s">
        <v>18</v>
      </c>
      <c r="H633" s="647" t="s">
        <v>26</v>
      </c>
      <c r="I633" s="575" t="s">
        <v>1344</v>
      </c>
      <c r="J633" s="575">
        <v>1</v>
      </c>
      <c r="K633" s="647" t="s">
        <v>437</v>
      </c>
      <c r="L633" s="675">
        <v>44212</v>
      </c>
      <c r="M633" s="665" t="s">
        <v>906</v>
      </c>
      <c r="N633" s="647" t="s">
        <v>1127</v>
      </c>
      <c r="O633" s="575"/>
      <c r="P633" s="566" t="str">
        <f>VLOOKUP(A633,'[1]Raw data'!$B:$BB,23,FALSE)</f>
        <v>JPY</v>
      </c>
      <c r="Q633" s="563" t="str">
        <f>VLOOKUP(A633,'[1]Raw data'!$B:$Z,2,FALSE)</f>
        <v>C49SZX20200182JY</v>
      </c>
      <c r="R633" s="563" t="str">
        <f>VLOOKUP(A633,'[1]Raw data'!$B:$Z,3,FALSE)</f>
        <v>百纳海</v>
      </c>
      <c r="S633" s="563" t="str">
        <f>VLOOKUP(A633,'[1]Raw data'!$B:$Z,4,FALSE)</f>
        <v>YSM20R-2</v>
      </c>
      <c r="T633" s="563" t="str">
        <f>VLOOKUP(A633,'[1]Raw data'!$B:$Z,8,FALSE)</f>
        <v>R-&gt;L</v>
      </c>
      <c r="U633" s="563" t="str">
        <f>VLOOKUP(A633,'[1]Raw data'!$B:$Z,9,FALSE)</f>
        <v>No</v>
      </c>
      <c r="V633" s="567" t="str">
        <f t="shared" si="94"/>
        <v>OK</v>
      </c>
      <c r="W633" s="563" t="str">
        <f>VLOOKUP(A633,'[1]Raw data'!$B:$AG,32,FALSE)</f>
        <v>DAP SZ</v>
      </c>
      <c r="X633" s="563">
        <f>VLOOKUP(A633,'[1]Raw data'!$B:$BA,31,FALSE)</f>
        <v>44117</v>
      </c>
      <c r="Y633" s="563" t="str">
        <f>VLOOKUP(A633,'[1]Raw data'!$B:$AS,39,FALSE)</f>
        <v>Yes</v>
      </c>
      <c r="Z633" s="659"/>
      <c r="AA633" s="660"/>
      <c r="AB633" s="661"/>
      <c r="AC633" s="647" t="s">
        <v>1264</v>
      </c>
      <c r="AD633" s="662">
        <v>301</v>
      </c>
      <c r="AE633" s="662">
        <v>10</v>
      </c>
      <c r="AF633" s="662">
        <v>302</v>
      </c>
      <c r="AG633" s="662">
        <v>10</v>
      </c>
      <c r="AH633" s="662"/>
      <c r="AI633" s="663"/>
      <c r="AN633" s="542"/>
      <c r="AO633" s="824" t="str">
        <f t="shared" si="85"/>
        <v>Yes</v>
      </c>
      <c r="AP633" s="259" t="str">
        <f t="shared" si="86"/>
        <v>JAN 21</v>
      </c>
      <c r="AQ633" s="542" t="str">
        <f t="shared" si="87"/>
        <v>有定金+有預留客戶</v>
      </c>
      <c r="AR633" s="259" t="str">
        <f t="shared" si="88"/>
        <v>Shipped_Stock</v>
      </c>
      <c r="AS633" s="259" t="str">
        <f t="shared" si="89"/>
        <v/>
      </c>
      <c r="AT633" s="259" t="str">
        <f t="shared" si="90"/>
        <v>百纳海</v>
      </c>
      <c r="AU633" s="259" t="str">
        <f t="shared" si="91"/>
        <v>C49SZX20200182JY</v>
      </c>
      <c r="AV633" s="259" t="str">
        <f t="shared" si="92"/>
        <v>Jan-16</v>
      </c>
    </row>
    <row r="634" spans="1:48" hidden="1">
      <c r="A634" s="559">
        <v>901</v>
      </c>
      <c r="B634" s="664" t="s">
        <v>1125</v>
      </c>
      <c r="C634" s="664" t="s">
        <v>15</v>
      </c>
      <c r="D634" s="645">
        <v>110105</v>
      </c>
      <c r="E634" s="646" t="s">
        <v>1340</v>
      </c>
      <c r="F634" s="647" t="s">
        <v>58</v>
      </c>
      <c r="G634" s="647" t="s">
        <v>18</v>
      </c>
      <c r="H634" s="647" t="s">
        <v>26</v>
      </c>
      <c r="I634" s="575" t="s">
        <v>1345</v>
      </c>
      <c r="J634" s="575">
        <v>1</v>
      </c>
      <c r="K634" s="647" t="s">
        <v>437</v>
      </c>
      <c r="L634" s="675">
        <v>44212</v>
      </c>
      <c r="M634" s="665" t="s">
        <v>906</v>
      </c>
      <c r="N634" s="647" t="s">
        <v>1127</v>
      </c>
      <c r="O634" s="575"/>
      <c r="P634" s="566" t="str">
        <f>VLOOKUP(A634,'[1]Raw data'!$B:$BB,23,FALSE)</f>
        <v>JPY</v>
      </c>
      <c r="Q634" s="563" t="str">
        <f>VLOOKUP(A634,'[1]Raw data'!$B:$Z,2,FALSE)</f>
        <v>C49SZX20200199MZ</v>
      </c>
      <c r="R634" s="563" t="str">
        <f>VLOOKUP(A634,'[1]Raw data'!$B:$Z,3,FALSE)</f>
        <v>鸿南</v>
      </c>
      <c r="S634" s="563" t="str">
        <f>VLOOKUP(A634,'[1]Raw data'!$B:$Z,4,FALSE)</f>
        <v>YSM20R-2</v>
      </c>
      <c r="T634" s="563" t="str">
        <f>VLOOKUP(A634,'[1]Raw data'!$B:$Z,8,FALSE)</f>
        <v>R-&gt;L</v>
      </c>
      <c r="U634" s="563" t="str">
        <f>VLOOKUP(A634,'[1]Raw data'!$B:$Z,9,FALSE)</f>
        <v>No</v>
      </c>
      <c r="V634" s="567" t="str">
        <f t="shared" si="94"/>
        <v>OK</v>
      </c>
      <c r="W634" s="563" t="str">
        <f>VLOOKUP(A634,'[1]Raw data'!$B:$AG,32,FALSE)</f>
        <v>CIF HK</v>
      </c>
      <c r="X634" s="563">
        <f>VLOOKUP(A634,'[1]Raw data'!$B:$BA,31,FALSE)</f>
        <v>44134</v>
      </c>
      <c r="Y634" s="563" t="str">
        <f>VLOOKUP(A634,'[1]Raw data'!$B:$AS,39,FALSE)</f>
        <v>Yes</v>
      </c>
      <c r="Z634" s="659"/>
      <c r="AA634" s="660"/>
      <c r="AB634" s="661"/>
      <c r="AC634" s="647" t="s">
        <v>400</v>
      </c>
      <c r="AD634" s="662">
        <v>301</v>
      </c>
      <c r="AE634" s="662">
        <v>10</v>
      </c>
      <c r="AF634" s="662">
        <v>302</v>
      </c>
      <c r="AG634" s="662">
        <v>10</v>
      </c>
      <c r="AH634" s="662"/>
      <c r="AI634" s="663"/>
      <c r="AN634" s="542"/>
      <c r="AO634" s="824" t="str">
        <f t="shared" si="85"/>
        <v>Yes</v>
      </c>
      <c r="AP634" s="259" t="str">
        <f t="shared" si="86"/>
        <v>JAN 21</v>
      </c>
      <c r="AQ634" s="542" t="str">
        <f t="shared" si="87"/>
        <v>有定金+有預留客戶</v>
      </c>
      <c r="AR634" s="259" t="str">
        <f t="shared" si="88"/>
        <v>Shipped_Stock</v>
      </c>
      <c r="AS634" s="259" t="str">
        <f t="shared" si="89"/>
        <v/>
      </c>
      <c r="AT634" s="259" t="str">
        <f t="shared" si="90"/>
        <v>鸿南</v>
      </c>
      <c r="AU634" s="259" t="str">
        <f t="shared" si="91"/>
        <v>C49SZX20200199MZ</v>
      </c>
      <c r="AV634" s="259" t="str">
        <f t="shared" si="92"/>
        <v>Jan-16</v>
      </c>
    </row>
    <row r="635" spans="1:48" hidden="1">
      <c r="A635" s="559">
        <v>902</v>
      </c>
      <c r="B635" s="664" t="s">
        <v>1125</v>
      </c>
      <c r="C635" s="664" t="s">
        <v>15</v>
      </c>
      <c r="D635" s="645" t="s">
        <v>1346</v>
      </c>
      <c r="E635" s="646" t="s">
        <v>1340</v>
      </c>
      <c r="F635" s="647" t="s">
        <v>58</v>
      </c>
      <c r="G635" s="647" t="s">
        <v>18</v>
      </c>
      <c r="H635" s="647" t="s">
        <v>26</v>
      </c>
      <c r="I635" s="575" t="s">
        <v>1347</v>
      </c>
      <c r="J635" s="575">
        <v>1</v>
      </c>
      <c r="K635" s="647" t="s">
        <v>437</v>
      </c>
      <c r="L635" s="675">
        <v>44213</v>
      </c>
      <c r="M635" s="665">
        <v>6.3500000000000001E-2</v>
      </c>
      <c r="N635" s="647" t="s">
        <v>1127</v>
      </c>
      <c r="O635" s="575"/>
      <c r="P635" s="566" t="str">
        <f>VLOOKUP(A635,'[1]Raw data'!$B:$BB,23,FALSE)</f>
        <v>JPY</v>
      </c>
      <c r="Q635" s="563" t="str">
        <f>VLOOKUP(A635,'[1]Raw data'!$B:$Z,2,FALSE)</f>
        <v>C49SZX20200199MZ</v>
      </c>
      <c r="R635" s="563" t="str">
        <f>VLOOKUP(A635,'[1]Raw data'!$B:$Z,3,FALSE)</f>
        <v>鸿南</v>
      </c>
      <c r="S635" s="563" t="str">
        <f>VLOOKUP(A635,'[1]Raw data'!$B:$Z,4,FALSE)</f>
        <v>YSM20R-2</v>
      </c>
      <c r="T635" s="563" t="str">
        <f>VLOOKUP(A635,'[1]Raw data'!$B:$Z,8,FALSE)</f>
        <v>R-&gt;L</v>
      </c>
      <c r="U635" s="563" t="str">
        <f>VLOOKUP(A635,'[1]Raw data'!$B:$Z,9,FALSE)</f>
        <v>No</v>
      </c>
      <c r="V635" s="567" t="str">
        <f t="shared" si="94"/>
        <v>OK</v>
      </c>
      <c r="W635" s="563" t="str">
        <f>VLOOKUP(A635,'[1]Raw data'!$B:$AG,32,FALSE)</f>
        <v>CIF HK</v>
      </c>
      <c r="X635" s="563">
        <f>VLOOKUP(A635,'[1]Raw data'!$B:$BA,31,FALSE)</f>
        <v>44134</v>
      </c>
      <c r="Y635" s="563" t="str">
        <f>VLOOKUP(A635,'[1]Raw data'!$B:$AS,39,FALSE)</f>
        <v>Yes</v>
      </c>
      <c r="Z635" s="659"/>
      <c r="AA635" s="660"/>
      <c r="AB635" s="661"/>
      <c r="AC635" s="647" t="s">
        <v>400</v>
      </c>
      <c r="AD635" s="662">
        <v>301</v>
      </c>
      <c r="AE635" s="662">
        <v>10</v>
      </c>
      <c r="AF635" s="662">
        <v>312</v>
      </c>
      <c r="AG635" s="662">
        <v>10</v>
      </c>
      <c r="AH635" s="662"/>
      <c r="AI635" s="663"/>
      <c r="AN635" s="542"/>
      <c r="AO635" s="824" t="str">
        <f t="shared" si="85"/>
        <v>Yes</v>
      </c>
      <c r="AP635" s="259" t="str">
        <f t="shared" si="86"/>
        <v>JAN 21</v>
      </c>
      <c r="AQ635" s="542" t="str">
        <f t="shared" si="87"/>
        <v>有定金+有預留客戶</v>
      </c>
      <c r="AR635" s="259" t="str">
        <f t="shared" si="88"/>
        <v>Shipped_Stock</v>
      </c>
      <c r="AS635" s="259" t="str">
        <f t="shared" si="89"/>
        <v/>
      </c>
      <c r="AT635" s="259" t="str">
        <f t="shared" si="90"/>
        <v>鸿南</v>
      </c>
      <c r="AU635" s="259" t="str">
        <f t="shared" si="91"/>
        <v>C49SZX20200199MZ</v>
      </c>
      <c r="AV635" s="259" t="str">
        <f t="shared" si="92"/>
        <v>Jan-17</v>
      </c>
    </row>
    <row r="636" spans="1:48" hidden="1">
      <c r="A636" s="559">
        <v>882</v>
      </c>
      <c r="B636" s="664" t="s">
        <v>1125</v>
      </c>
      <c r="C636" s="664" t="s">
        <v>15</v>
      </c>
      <c r="D636" s="645" t="s">
        <v>1348</v>
      </c>
      <c r="E636" s="646" t="s">
        <v>1340</v>
      </c>
      <c r="F636" s="647" t="s">
        <v>58</v>
      </c>
      <c r="G636" s="647" t="s">
        <v>24</v>
      </c>
      <c r="H636" s="647" t="s">
        <v>26</v>
      </c>
      <c r="I636" s="575" t="s">
        <v>1349</v>
      </c>
      <c r="J636" s="662">
        <v>1</v>
      </c>
      <c r="K636" s="647" t="s">
        <v>437</v>
      </c>
      <c r="L636" s="675">
        <v>44213</v>
      </c>
      <c r="M636" s="678" t="s">
        <v>1350</v>
      </c>
      <c r="N636" s="647" t="s">
        <v>1127</v>
      </c>
      <c r="O636" s="575"/>
      <c r="P636" s="566" t="str">
        <f>VLOOKUP(A636,'[1]Raw data'!$B:$BB,23,FALSE)</f>
        <v>JPY</v>
      </c>
      <c r="Q636" s="563" t="str">
        <f>VLOOKUP(A636,'[1]Raw data'!$B:$Z,2,FALSE)</f>
        <v>C49SZX20200113SS</v>
      </c>
      <c r="R636" s="563" t="str">
        <f>VLOOKUP(A636,'[1]Raw data'!$B:$Z,3,FALSE)</f>
        <v>派勤</v>
      </c>
      <c r="S636" s="563" t="str">
        <f>VLOOKUP(A636,'[1]Raw data'!$B:$Z,4,FALSE)</f>
        <v>YSM20R-2</v>
      </c>
      <c r="T636" s="563" t="str">
        <f>VLOOKUP(A636,'[1]Raw data'!$B:$Z,8,FALSE)</f>
        <v>L-&gt;R</v>
      </c>
      <c r="U636" s="563" t="str">
        <f>VLOOKUP(A636,'[1]Raw data'!$B:$Z,9,FALSE)</f>
        <v>No</v>
      </c>
      <c r="V636" s="567" t="str">
        <f t="shared" si="94"/>
        <v>OK</v>
      </c>
      <c r="W636" s="563" t="str">
        <f>VLOOKUP(A636,'[1]Raw data'!$B:$AG,32,FALSE)</f>
        <v>DAP SZ</v>
      </c>
      <c r="X636" s="563">
        <f>VLOOKUP(A636,'[1]Raw data'!$B:$BA,31,FALSE)</f>
        <v>44119</v>
      </c>
      <c r="Y636" s="563" t="str">
        <f>VLOOKUP(A636,'[1]Raw data'!$B:$AS,39,FALSE)</f>
        <v>Yes</v>
      </c>
      <c r="Z636" s="659"/>
      <c r="AA636" s="660"/>
      <c r="AB636" s="661"/>
      <c r="AC636" s="647" t="s">
        <v>1297</v>
      </c>
      <c r="AD636" s="662">
        <v>301</v>
      </c>
      <c r="AE636" s="662">
        <v>10</v>
      </c>
      <c r="AF636" s="662">
        <v>312</v>
      </c>
      <c r="AG636" s="662">
        <v>10</v>
      </c>
      <c r="AH636" s="662"/>
      <c r="AI636" s="663"/>
      <c r="AN636" s="542"/>
      <c r="AO636" s="824" t="str">
        <f t="shared" si="85"/>
        <v>Yes</v>
      </c>
      <c r="AP636" s="259" t="str">
        <f t="shared" si="86"/>
        <v>JAN 21</v>
      </c>
      <c r="AQ636" s="542" t="str">
        <f t="shared" si="87"/>
        <v>有定金+有預留客戶</v>
      </c>
      <c r="AR636" s="259" t="str">
        <f t="shared" si="88"/>
        <v>Shipped_Stock</v>
      </c>
      <c r="AS636" s="259" t="str">
        <f t="shared" si="89"/>
        <v/>
      </c>
      <c r="AT636" s="259" t="str">
        <f t="shared" si="90"/>
        <v>派勤</v>
      </c>
      <c r="AU636" s="259" t="str">
        <f t="shared" si="91"/>
        <v>C49SZX20200113SS</v>
      </c>
      <c r="AV636" s="259" t="str">
        <f t="shared" si="92"/>
        <v>Jan-17</v>
      </c>
    </row>
    <row r="637" spans="1:48" hidden="1">
      <c r="A637" s="559">
        <v>1045</v>
      </c>
      <c r="B637" s="664" t="s">
        <v>1125</v>
      </c>
      <c r="C637" s="664" t="s">
        <v>15</v>
      </c>
      <c r="D637" s="645">
        <v>110106</v>
      </c>
      <c r="E637" s="646" t="s">
        <v>1340</v>
      </c>
      <c r="F637" s="647" t="s">
        <v>58</v>
      </c>
      <c r="G637" s="647" t="s">
        <v>24</v>
      </c>
      <c r="H637" s="647" t="s">
        <v>26</v>
      </c>
      <c r="I637" s="575" t="s">
        <v>1351</v>
      </c>
      <c r="J637" s="575">
        <v>1</v>
      </c>
      <c r="K637" s="647" t="s">
        <v>437</v>
      </c>
      <c r="L637" s="675">
        <v>44213</v>
      </c>
      <c r="M637" s="665" t="s">
        <v>906</v>
      </c>
      <c r="N637" s="647" t="s">
        <v>1127</v>
      </c>
      <c r="O637" s="575"/>
      <c r="P637" s="566" t="str">
        <f>VLOOKUP(A637,'[1]Raw data'!$B:$BB,23,FALSE)</f>
        <v>JPY</v>
      </c>
      <c r="Q637" s="563" t="str">
        <f>VLOOKUP(A637,'[1]Raw data'!$B:$Z,2,FALSE)</f>
        <v>C49SZX20200246MX</v>
      </c>
      <c r="R637" s="563" t="str">
        <f>VLOOKUP(A637,'[1]Raw data'!$B:$Z,3,FALSE)</f>
        <v>华耘</v>
      </c>
      <c r="S637" s="563" t="str">
        <f>VLOOKUP(A637,'[1]Raw data'!$B:$Z,4,FALSE)</f>
        <v>YSM20R-2</v>
      </c>
      <c r="T637" s="563" t="str">
        <f>VLOOKUP(A637,'[1]Raw data'!$B:$Z,8,FALSE)</f>
        <v>L-&gt;R</v>
      </c>
      <c r="U637" s="563" t="str">
        <f>VLOOKUP(A637,'[1]Raw data'!$B:$Z,9,FALSE)</f>
        <v>No</v>
      </c>
      <c r="V637" s="567" t="str">
        <f t="shared" si="94"/>
        <v>OK</v>
      </c>
      <c r="W637" s="563" t="str">
        <f>VLOOKUP(A637,'[1]Raw data'!$B:$AG,32,FALSE)</f>
        <v>DAP DG</v>
      </c>
      <c r="X637" s="563">
        <f>VLOOKUP(A637,'[1]Raw data'!$B:$BA,31,FALSE)</f>
        <v>44193</v>
      </c>
      <c r="Y637" s="563" t="str">
        <f>VLOOKUP(A637,'[1]Raw data'!$B:$AS,39,FALSE)</f>
        <v>Yes</v>
      </c>
      <c r="Z637" s="659"/>
      <c r="AA637" s="660"/>
      <c r="AB637" s="661"/>
      <c r="AC637" s="723" t="s">
        <v>1352</v>
      </c>
      <c r="AD637" s="662">
        <v>301</v>
      </c>
      <c r="AE637" s="662">
        <v>10</v>
      </c>
      <c r="AF637" s="662">
        <v>303</v>
      </c>
      <c r="AG637" s="662">
        <v>10</v>
      </c>
      <c r="AH637" s="662"/>
      <c r="AI637" s="663"/>
      <c r="AN637" s="542"/>
      <c r="AO637" s="824" t="str">
        <f t="shared" si="85"/>
        <v>Yes</v>
      </c>
      <c r="AP637" s="259" t="str">
        <f t="shared" si="86"/>
        <v>JAN 21</v>
      </c>
      <c r="AQ637" s="542" t="str">
        <f t="shared" si="87"/>
        <v>有定金+有預留客戶</v>
      </c>
      <c r="AR637" s="259" t="str">
        <f t="shared" si="88"/>
        <v>Shipped_Stock</v>
      </c>
      <c r="AS637" s="259" t="str">
        <f t="shared" si="89"/>
        <v/>
      </c>
      <c r="AT637" s="259" t="str">
        <f t="shared" si="90"/>
        <v>华耘</v>
      </c>
      <c r="AU637" s="259" t="str">
        <f t="shared" si="91"/>
        <v>C49SZX20200246MX</v>
      </c>
      <c r="AV637" s="259" t="str">
        <f t="shared" si="92"/>
        <v>Jan-17</v>
      </c>
    </row>
    <row r="638" spans="1:48" hidden="1">
      <c r="A638" s="559">
        <v>873</v>
      </c>
      <c r="B638" s="664" t="s">
        <v>1125</v>
      </c>
      <c r="C638" s="664" t="s">
        <v>15</v>
      </c>
      <c r="D638" s="645">
        <v>110106</v>
      </c>
      <c r="E638" s="646" t="s">
        <v>1340</v>
      </c>
      <c r="F638" s="647" t="s">
        <v>58</v>
      </c>
      <c r="G638" s="647" t="s">
        <v>24</v>
      </c>
      <c r="H638" s="647" t="s">
        <v>26</v>
      </c>
      <c r="I638" s="575" t="s">
        <v>1353</v>
      </c>
      <c r="J638" s="575">
        <v>1</v>
      </c>
      <c r="K638" s="647" t="s">
        <v>437</v>
      </c>
      <c r="L638" s="675">
        <v>44213</v>
      </c>
      <c r="M638" s="665" t="s">
        <v>906</v>
      </c>
      <c r="N638" s="647" t="s">
        <v>1127</v>
      </c>
      <c r="O638" s="575"/>
      <c r="P638" s="566" t="str">
        <f>VLOOKUP(A638,'[1]Raw data'!$B:$BB,23,FALSE)</f>
        <v>JPY</v>
      </c>
      <c r="Q638" s="563" t="str">
        <f>VLOOKUP(A638,'[1]Raw data'!$B:$Z,2,FALSE)</f>
        <v>C49SZX20200180SX</v>
      </c>
      <c r="R638" s="563" t="str">
        <f>VLOOKUP(A638,'[1]Raw data'!$B:$Z,3,FALSE)</f>
        <v>东陆</v>
      </c>
      <c r="S638" s="563" t="str">
        <f>VLOOKUP(A638,'[1]Raw data'!$B:$Z,4,FALSE)</f>
        <v>YSM20R-2</v>
      </c>
      <c r="T638" s="563" t="str">
        <f>VLOOKUP(A638,'[1]Raw data'!$B:$Z,8,FALSE)</f>
        <v>L-&gt;R</v>
      </c>
      <c r="U638" s="563" t="str">
        <f>VLOOKUP(A638,'[1]Raw data'!$B:$Z,9,FALSE)</f>
        <v>No</v>
      </c>
      <c r="V638" s="567" t="str">
        <f t="shared" si="94"/>
        <v>OK</v>
      </c>
      <c r="W638" s="563" t="str">
        <f>VLOOKUP(A638,'[1]Raw data'!$B:$AG,32,FALSE)</f>
        <v>DAP SZ</v>
      </c>
      <c r="X638" s="563">
        <f>VLOOKUP(A638,'[1]Raw data'!$B:$BA,31,FALSE)</f>
        <v>44104</v>
      </c>
      <c r="Y638" s="563" t="str">
        <f>VLOOKUP(A638,'[1]Raw data'!$B:$AS,39,FALSE)</f>
        <v>Yes</v>
      </c>
      <c r="Z638" s="659"/>
      <c r="AA638" s="660"/>
      <c r="AB638" s="661"/>
      <c r="AC638" s="647" t="s">
        <v>1354</v>
      </c>
      <c r="AD638" s="662">
        <v>301</v>
      </c>
      <c r="AE638" s="662">
        <v>10</v>
      </c>
      <c r="AF638" s="662">
        <v>303</v>
      </c>
      <c r="AG638" s="662">
        <v>10</v>
      </c>
      <c r="AH638" s="662"/>
      <c r="AI638" s="663"/>
      <c r="AN638" s="542"/>
      <c r="AO638" s="824" t="str">
        <f t="shared" si="85"/>
        <v>Yes</v>
      </c>
      <c r="AP638" s="259" t="str">
        <f t="shared" si="86"/>
        <v>JAN 21</v>
      </c>
      <c r="AQ638" s="542" t="str">
        <f t="shared" si="87"/>
        <v>有定金+有預留客戶</v>
      </c>
      <c r="AR638" s="259" t="str">
        <f t="shared" si="88"/>
        <v>Shipped_Stock</v>
      </c>
      <c r="AS638" s="259" t="str">
        <f t="shared" si="89"/>
        <v/>
      </c>
      <c r="AT638" s="259" t="str">
        <f t="shared" si="90"/>
        <v>东陆</v>
      </c>
      <c r="AU638" s="259" t="str">
        <f t="shared" si="91"/>
        <v>C49SZX20200180SX</v>
      </c>
      <c r="AV638" s="259" t="str">
        <f t="shared" si="92"/>
        <v>Jan-17</v>
      </c>
    </row>
    <row r="639" spans="1:48" ht="11.25" hidden="1" customHeight="1">
      <c r="A639" s="559">
        <v>905</v>
      </c>
      <c r="B639" s="664" t="s">
        <v>1125</v>
      </c>
      <c r="C639" s="664" t="s">
        <v>15</v>
      </c>
      <c r="D639" s="645">
        <v>110198</v>
      </c>
      <c r="E639" s="646" t="s">
        <v>1321</v>
      </c>
      <c r="F639" s="647" t="s">
        <v>58</v>
      </c>
      <c r="G639" s="647" t="s">
        <v>24</v>
      </c>
      <c r="H639" s="647" t="s">
        <v>26</v>
      </c>
      <c r="I639" s="575" t="s">
        <v>1355</v>
      </c>
      <c r="J639" s="575">
        <v>1</v>
      </c>
      <c r="K639" s="647" t="s">
        <v>437</v>
      </c>
      <c r="L639" s="675">
        <v>44213</v>
      </c>
      <c r="M639" s="665" t="s">
        <v>906</v>
      </c>
      <c r="N639" s="647" t="s">
        <v>1127</v>
      </c>
      <c r="O639" s="575"/>
      <c r="P639" s="566" t="str">
        <f>VLOOKUP(A639,'[1]Raw data'!$B:$BB,23,FALSE)</f>
        <v>JPY</v>
      </c>
      <c r="Q639" s="563" t="str">
        <f>VLOOKUP(A639,'[1]Raw data'!$B:$Z,2,FALSE)</f>
        <v>C49SZX20200205JZ</v>
      </c>
      <c r="R639" s="563" t="str">
        <f>VLOOKUP(A639,'[1]Raw data'!$B:$Z,3,FALSE)</f>
        <v>新明海</v>
      </c>
      <c r="S639" s="563" t="str">
        <f>VLOOKUP(A639,'[1]Raw data'!$B:$Z,4,FALSE)</f>
        <v>YSM20R-2</v>
      </c>
      <c r="T639" s="563" t="str">
        <f>VLOOKUP(A639,'[1]Raw data'!$B:$Z,8,FALSE)</f>
        <v>L-&gt;R</v>
      </c>
      <c r="U639" s="563" t="str">
        <f>VLOOKUP(A639,'[1]Raw data'!$B:$Z,9,FALSE)</f>
        <v>No</v>
      </c>
      <c r="V639" s="567" t="str">
        <f t="shared" si="94"/>
        <v>OK</v>
      </c>
      <c r="W639" s="563" t="str">
        <f>VLOOKUP(A639,'[1]Raw data'!$B:$AG,32,FALSE)</f>
        <v>DAP HZ</v>
      </c>
      <c r="X639" s="563">
        <f>VLOOKUP(A639,'[1]Raw data'!$B:$BA,31,FALSE)</f>
        <v>44138</v>
      </c>
      <c r="Y639" s="563" t="str">
        <f>VLOOKUP(A639,'[1]Raw data'!$B:$AS,39,FALSE)</f>
        <v>Yes</v>
      </c>
      <c r="Z639" s="659"/>
      <c r="AA639" s="660"/>
      <c r="AB639" s="661"/>
      <c r="AC639" s="563" t="s">
        <v>834</v>
      </c>
      <c r="AD639" s="662">
        <v>301</v>
      </c>
      <c r="AE639" s="662">
        <v>10</v>
      </c>
      <c r="AF639" s="662">
        <v>311</v>
      </c>
      <c r="AG639" s="662">
        <v>10</v>
      </c>
      <c r="AH639" s="662"/>
      <c r="AI639" s="663"/>
      <c r="AN639" s="542"/>
      <c r="AO639" s="824" t="str">
        <f t="shared" si="85"/>
        <v>Yes</v>
      </c>
      <c r="AP639" s="259" t="str">
        <f t="shared" si="86"/>
        <v>JAN 21</v>
      </c>
      <c r="AQ639" s="542" t="str">
        <f t="shared" si="87"/>
        <v>有定金+有預留客戶</v>
      </c>
      <c r="AR639" s="259" t="str">
        <f t="shared" si="88"/>
        <v>Shipped_Stock</v>
      </c>
      <c r="AS639" s="259" t="str">
        <f t="shared" si="89"/>
        <v/>
      </c>
      <c r="AT639" s="259" t="str">
        <f t="shared" si="90"/>
        <v>新明海</v>
      </c>
      <c r="AU639" s="259" t="str">
        <f t="shared" si="91"/>
        <v>C49SZX20200205JZ</v>
      </c>
      <c r="AV639" s="259" t="str">
        <f t="shared" si="92"/>
        <v>Jan-17</v>
      </c>
    </row>
    <row r="640" spans="1:48" hidden="1">
      <c r="A640" s="559">
        <v>1038</v>
      </c>
      <c r="B640" s="664" t="s">
        <v>1125</v>
      </c>
      <c r="C640" s="664" t="s">
        <v>15</v>
      </c>
      <c r="D640" s="645">
        <v>110168</v>
      </c>
      <c r="E640" s="646" t="s">
        <v>1356</v>
      </c>
      <c r="F640" s="647" t="s">
        <v>149</v>
      </c>
      <c r="G640" s="647" t="s">
        <v>24</v>
      </c>
      <c r="H640" s="647" t="s">
        <v>26</v>
      </c>
      <c r="I640" s="575" t="s">
        <v>1357</v>
      </c>
      <c r="J640" s="662">
        <v>1</v>
      </c>
      <c r="K640" s="647" t="s">
        <v>1358</v>
      </c>
      <c r="L640" s="675">
        <v>44222</v>
      </c>
      <c r="M640" s="676">
        <v>6.4000000000000001E-2</v>
      </c>
      <c r="N640" s="647" t="s">
        <v>1127</v>
      </c>
      <c r="O640" s="575"/>
      <c r="P640" s="566" t="str">
        <f>VLOOKUP(A640,'[1]Raw data'!$B:$BB,23,FALSE)</f>
        <v>RMB</v>
      </c>
      <c r="Q640" s="563" t="str">
        <f>VLOOKUP(A640,'[1]Raw data'!$B:$Z,2,FALSE)</f>
        <v>C49SZX20200220SX</v>
      </c>
      <c r="R640" s="563" t="str">
        <f>VLOOKUP(A640,'[1]Raw data'!$B:$Z,3,FALSE)</f>
        <v>拓新伟业</v>
      </c>
      <c r="S640" s="563" t="str">
        <f>VLOOKUP(A640,'[1]Raw data'!$B:$Z,4,FALSE)</f>
        <v>YSM40R-4</v>
      </c>
      <c r="T640" s="563" t="str">
        <f>VLOOKUP(A640,'[1]Raw data'!$B:$Z,8,FALSE)</f>
        <v>L-&gt;R</v>
      </c>
      <c r="U640" s="563" t="str">
        <f>VLOOKUP(A640,'[1]Raw data'!$B:$Z,9,FALSE)</f>
        <v>No</v>
      </c>
      <c r="V640" s="567" t="str">
        <f t="shared" si="93"/>
        <v>OK</v>
      </c>
      <c r="W640" s="563" t="str">
        <f>VLOOKUP(A640,'[1]Raw data'!$B:$AG,32,FALSE)</f>
        <v>含税到厂</v>
      </c>
      <c r="X640" s="563">
        <f>VLOOKUP(A640,'[1]Raw data'!$B:$BA,31,FALSE)</f>
        <v>44181</v>
      </c>
      <c r="Y640" s="563" t="str">
        <f>VLOOKUP(A640,'[1]Raw data'!$B:$AS,39,FALSE)</f>
        <v>Yes</v>
      </c>
      <c r="Z640" s="659"/>
      <c r="AA640" s="660"/>
      <c r="AB640" s="661"/>
      <c r="AC640" s="647" t="s">
        <v>1359</v>
      </c>
      <c r="AD640" s="662"/>
      <c r="AE640" s="662"/>
      <c r="AF640" s="662"/>
      <c r="AG640" s="662"/>
      <c r="AH640" s="662"/>
      <c r="AI640" s="663"/>
      <c r="AN640" s="542"/>
      <c r="AO640" s="824" t="str">
        <f t="shared" si="85"/>
        <v>Yes</v>
      </c>
      <c r="AP640" s="259" t="str">
        <f t="shared" si="86"/>
        <v>JAN 21</v>
      </c>
      <c r="AQ640" s="542" t="str">
        <f t="shared" si="87"/>
        <v>有定金+有預留客戶</v>
      </c>
      <c r="AR640" s="259" t="str">
        <f t="shared" si="88"/>
        <v>Shipped_Stock</v>
      </c>
      <c r="AS640" s="259" t="str">
        <f t="shared" si="89"/>
        <v/>
      </c>
      <c r="AT640" s="259" t="str">
        <f t="shared" si="90"/>
        <v>拓新伟业</v>
      </c>
      <c r="AU640" s="259" t="str">
        <f t="shared" si="91"/>
        <v>C49SZX20200220SX</v>
      </c>
      <c r="AV640" s="259" t="str">
        <f t="shared" si="92"/>
        <v>Jan-26</v>
      </c>
    </row>
    <row r="641" spans="1:48" hidden="1">
      <c r="A641" s="559">
        <v>1039</v>
      </c>
      <c r="B641" s="664" t="s">
        <v>1125</v>
      </c>
      <c r="C641" s="664" t="s">
        <v>15</v>
      </c>
      <c r="D641" s="645">
        <v>110170</v>
      </c>
      <c r="E641" s="646" t="s">
        <v>1356</v>
      </c>
      <c r="F641" s="647" t="s">
        <v>149</v>
      </c>
      <c r="G641" s="647" t="s">
        <v>24</v>
      </c>
      <c r="H641" s="647" t="s">
        <v>26</v>
      </c>
      <c r="I641" s="575" t="s">
        <v>1360</v>
      </c>
      <c r="J641" s="662">
        <v>1</v>
      </c>
      <c r="K641" s="647" t="s">
        <v>1358</v>
      </c>
      <c r="L641" s="675">
        <v>44222</v>
      </c>
      <c r="M641" s="665">
        <v>6.3600000000000004E-2</v>
      </c>
      <c r="N641" s="647" t="s">
        <v>1127</v>
      </c>
      <c r="O641" s="575"/>
      <c r="P641" s="566" t="str">
        <f>VLOOKUP(A641,'[1]Raw data'!$B:$BB,23,FALSE)</f>
        <v>RMB</v>
      </c>
      <c r="Q641" s="563" t="str">
        <f>VLOOKUP(A641,'[1]Raw data'!$B:$Z,2,FALSE)</f>
        <v>C49SZX20200220SX</v>
      </c>
      <c r="R641" s="563" t="str">
        <f>VLOOKUP(A641,'[1]Raw data'!$B:$Z,3,FALSE)</f>
        <v>拓新伟业</v>
      </c>
      <c r="S641" s="563" t="str">
        <f>VLOOKUP(A641,'[1]Raw data'!$B:$Z,4,FALSE)</f>
        <v>YSM40R-4</v>
      </c>
      <c r="T641" s="563" t="str">
        <f>VLOOKUP(A641,'[1]Raw data'!$B:$Z,8,FALSE)</f>
        <v>L-&gt;R</v>
      </c>
      <c r="U641" s="563" t="str">
        <f>VLOOKUP(A641,'[1]Raw data'!$B:$Z,9,FALSE)</f>
        <v>No</v>
      </c>
      <c r="V641" s="567" t="str">
        <f t="shared" si="93"/>
        <v>OK</v>
      </c>
      <c r="W641" s="563" t="str">
        <f>VLOOKUP(A641,'[1]Raw data'!$B:$AG,32,FALSE)</f>
        <v>含税到厂</v>
      </c>
      <c r="X641" s="563">
        <f>VLOOKUP(A641,'[1]Raw data'!$B:$BA,31,FALSE)</f>
        <v>44181</v>
      </c>
      <c r="Y641" s="563" t="str">
        <f>VLOOKUP(A641,'[1]Raw data'!$B:$AS,39,FALSE)</f>
        <v>Yes</v>
      </c>
      <c r="Z641" s="659"/>
      <c r="AA641" s="660"/>
      <c r="AB641" s="661"/>
      <c r="AC641" s="647" t="s">
        <v>1359</v>
      </c>
      <c r="AD641" s="662"/>
      <c r="AE641" s="662"/>
      <c r="AF641" s="662"/>
      <c r="AG641" s="662"/>
      <c r="AH641" s="662"/>
      <c r="AI641" s="663"/>
      <c r="AN641" s="542"/>
      <c r="AO641" s="824" t="str">
        <f t="shared" si="85"/>
        <v>Yes</v>
      </c>
      <c r="AP641" s="259" t="str">
        <f t="shared" si="86"/>
        <v>JAN 21</v>
      </c>
      <c r="AQ641" s="542" t="str">
        <f t="shared" si="87"/>
        <v>有定金+有預留客戶</v>
      </c>
      <c r="AR641" s="259" t="str">
        <f t="shared" si="88"/>
        <v>Shipped_Stock</v>
      </c>
      <c r="AS641" s="259" t="str">
        <f t="shared" si="89"/>
        <v/>
      </c>
      <c r="AT641" s="259" t="str">
        <f t="shared" si="90"/>
        <v>拓新伟业</v>
      </c>
      <c r="AU641" s="259" t="str">
        <f t="shared" si="91"/>
        <v>C49SZX20200220SX</v>
      </c>
      <c r="AV641" s="259" t="str">
        <f t="shared" si="92"/>
        <v>Jan-26</v>
      </c>
    </row>
    <row r="642" spans="1:48" hidden="1">
      <c r="A642" s="559">
        <v>872</v>
      </c>
      <c r="B642" s="664" t="s">
        <v>1125</v>
      </c>
      <c r="C642" s="664" t="s">
        <v>15</v>
      </c>
      <c r="D642" s="645">
        <v>110107</v>
      </c>
      <c r="E642" s="646" t="s">
        <v>1321</v>
      </c>
      <c r="F642" s="647" t="s">
        <v>58</v>
      </c>
      <c r="G642" s="647" t="s">
        <v>18</v>
      </c>
      <c r="H642" s="647" t="s">
        <v>26</v>
      </c>
      <c r="I642" s="575" t="s">
        <v>1361</v>
      </c>
      <c r="J642" s="575">
        <v>1</v>
      </c>
      <c r="K642" s="647" t="s">
        <v>437</v>
      </c>
      <c r="L642" s="675">
        <v>44227</v>
      </c>
      <c r="M642" s="665" t="s">
        <v>906</v>
      </c>
      <c r="N642" s="647" t="s">
        <v>1127</v>
      </c>
      <c r="O642" s="575"/>
      <c r="P642" s="566" t="str">
        <f>VLOOKUP(A642,'[1]Raw data'!$B:$BB,23,FALSE)</f>
        <v>JPY</v>
      </c>
      <c r="Q642" s="563" t="str">
        <f>VLOOKUP(A642,'[1]Raw data'!$B:$Z,2,FALSE)</f>
        <v>C49SZX20200180SX</v>
      </c>
      <c r="R642" s="563" t="str">
        <f>VLOOKUP(A642,'[1]Raw data'!$B:$Z,3,FALSE)</f>
        <v>东陆</v>
      </c>
      <c r="S642" s="563" t="str">
        <f>VLOOKUP(A642,'[1]Raw data'!$B:$Z,4,FALSE)</f>
        <v>YSM20R-2</v>
      </c>
      <c r="T642" s="563" t="str">
        <f>VLOOKUP(A642,'[1]Raw data'!$B:$Z,8,FALSE)</f>
        <v>R-&gt;L</v>
      </c>
      <c r="U642" s="563" t="str">
        <f>VLOOKUP(A642,'[1]Raw data'!$B:$Z,9,FALSE)</f>
        <v>MVC</v>
      </c>
      <c r="V642" s="567" t="str">
        <f t="shared" si="93"/>
        <v>WRONG</v>
      </c>
      <c r="W642" s="563" t="str">
        <f>VLOOKUP(A642,'[1]Raw data'!$B:$AG,32,FALSE)</f>
        <v>DAP SZ</v>
      </c>
      <c r="X642" s="563">
        <f>VLOOKUP(A642,'[1]Raw data'!$B:$BA,31,FALSE)</f>
        <v>44104</v>
      </c>
      <c r="Y642" s="563" t="str">
        <f>VLOOKUP(A642,'[1]Raw data'!$B:$AS,39,FALSE)</f>
        <v>Yes</v>
      </c>
      <c r="Z642" s="659"/>
      <c r="AA642" s="660"/>
      <c r="AB642" s="661"/>
      <c r="AC642" s="647" t="s">
        <v>1354</v>
      </c>
      <c r="AD642" s="662">
        <v>301</v>
      </c>
      <c r="AE642" s="662">
        <v>10</v>
      </c>
      <c r="AF642" s="662">
        <v>311</v>
      </c>
      <c r="AG642" s="662">
        <v>10</v>
      </c>
      <c r="AH642" s="662"/>
      <c r="AI642" s="663"/>
      <c r="AN642" s="542"/>
      <c r="AO642" s="824" t="str">
        <f t="shared" si="85"/>
        <v>Yes</v>
      </c>
      <c r="AP642" s="259" t="str">
        <f t="shared" si="86"/>
        <v>JAN 21</v>
      </c>
      <c r="AQ642" s="542" t="str">
        <f t="shared" si="87"/>
        <v>有定金+有預留客戶</v>
      </c>
      <c r="AR642" s="259" t="str">
        <f t="shared" si="88"/>
        <v>Shipped_Stock</v>
      </c>
      <c r="AS642" s="259" t="str">
        <f t="shared" si="89"/>
        <v/>
      </c>
      <c r="AT642" s="259" t="str">
        <f t="shared" si="90"/>
        <v>东陆</v>
      </c>
      <c r="AU642" s="259" t="str">
        <f t="shared" si="91"/>
        <v>C49SZX20200180SX</v>
      </c>
      <c r="AV642" s="259" t="str">
        <f t="shared" si="92"/>
        <v>Jan-31</v>
      </c>
    </row>
    <row r="643" spans="1:48" hidden="1">
      <c r="A643" s="559">
        <v>978</v>
      </c>
      <c r="B643" s="664" t="s">
        <v>1125</v>
      </c>
      <c r="C643" s="664" t="s">
        <v>15</v>
      </c>
      <c r="D643" s="645">
        <v>110107</v>
      </c>
      <c r="E643" s="646" t="s">
        <v>1321</v>
      </c>
      <c r="F643" s="647" t="s">
        <v>58</v>
      </c>
      <c r="G643" s="647" t="s">
        <v>18</v>
      </c>
      <c r="H643" s="647" t="s">
        <v>26</v>
      </c>
      <c r="I643" s="575" t="s">
        <v>1362</v>
      </c>
      <c r="J643" s="575">
        <v>1</v>
      </c>
      <c r="K643" s="647" t="s">
        <v>85</v>
      </c>
      <c r="L643" s="675">
        <v>44227</v>
      </c>
      <c r="M643" s="665" t="s">
        <v>906</v>
      </c>
      <c r="N643" s="647" t="s">
        <v>14</v>
      </c>
      <c r="O643" s="575"/>
      <c r="P643" s="566" t="str">
        <f>VLOOKUP(A643,'[1]Raw data'!$B:$BB,23,FALSE)</f>
        <v>JPY</v>
      </c>
      <c r="Q643" s="563" t="str">
        <f>VLOOKUP(A643,'[1]Raw data'!$B:$Z,2,FALSE)</f>
        <v>C49SZX20200229JY</v>
      </c>
      <c r="R643" s="563" t="str">
        <f>VLOOKUP(A643,'[1]Raw data'!$B:$Z,3,FALSE)</f>
        <v>豫龙辉</v>
      </c>
      <c r="S643" s="563" t="str">
        <f>VLOOKUP(A643,'[1]Raw data'!$B:$Z,4,FALSE)</f>
        <v>YSM20R-2</v>
      </c>
      <c r="T643" s="563" t="str">
        <f>VLOOKUP(A643,'[1]Raw data'!$B:$Z,8,FALSE)</f>
        <v>R-&gt;L</v>
      </c>
      <c r="U643" s="563" t="str">
        <f>VLOOKUP(A643,'[1]Raw data'!$B:$Z,9,FALSE)</f>
        <v>No</v>
      </c>
      <c r="V643" s="567" t="str">
        <f t="shared" si="93"/>
        <v>OK</v>
      </c>
      <c r="W643" s="563" t="str">
        <f>VLOOKUP(A643,'[1]Raw data'!$B:$AG,32,FALSE)</f>
        <v>DAP SZ</v>
      </c>
      <c r="X643" s="563">
        <f>VLOOKUP(A643,'[1]Raw data'!$B:$BA,31,FALSE)</f>
        <v>44161</v>
      </c>
      <c r="Y643" s="563" t="str">
        <f>VLOOKUP(A643,'[1]Raw data'!$B:$AS,39,FALSE)</f>
        <v>Yes</v>
      </c>
      <c r="Z643" s="659"/>
      <c r="AA643" s="660"/>
      <c r="AB643" s="661"/>
      <c r="AC643" s="647" t="s">
        <v>1363</v>
      </c>
      <c r="AD643" s="662">
        <v>301</v>
      </c>
      <c r="AE643" s="662">
        <v>10</v>
      </c>
      <c r="AF643" s="662">
        <v>312</v>
      </c>
      <c r="AG643" s="662">
        <v>10</v>
      </c>
      <c r="AH643" s="662"/>
      <c r="AI643" s="663"/>
      <c r="AN643" s="542"/>
      <c r="AO643" s="824" t="str">
        <f t="shared" ref="AO643:AO706" si="95">IFERROR(IF(Y643&lt;&gt;"",Y643,"No"),"No")</f>
        <v>Yes</v>
      </c>
      <c r="AP643" s="259" t="str">
        <f t="shared" ref="AP643:AP706" si="96">IFERROR(IF(N643&lt;&gt;"",N643,"blank"),"NA")</f>
        <v>FEB 21</v>
      </c>
      <c r="AQ643" s="542" t="str">
        <f t="shared" ref="AQ643:AQ706" si="97">IFERROR(IF(AND(AO643="Yes", AP643&lt;&gt;"blank"), "有定金+有預留客戶", IF(AND(AO643="Yes", AP643="blank"), "有定金+无客戶送貨期", IF(AND(OR(AO643="No", ISBLANK(AO643), AO643="NA"), AP643&lt;&gt;"blank"), "无定金+有預留客戶", IF(AND(OR(AO643="No", ISBLANK(AO643), AO643="NA"), AP643="blank"), "无定金+无預留客戶", "")))), "")</f>
        <v>有定金+有預留客戶</v>
      </c>
      <c r="AR643" s="259" t="str">
        <f t="shared" ref="AR643:AR706" si="98">IFERROR(IF(B643="已经到货", "Instock", IF(B643="有交期", "Incoming_Stock_With_YAMAHA_Schedule", IF(B643="TBA.", "Incoming_Stock_No_YAMAHA_Schedule", IF(B643="已发货", "Shipped_Stock", "")))), "")</f>
        <v>Shipped_Stock</v>
      </c>
      <c r="AS643" s="259" t="str">
        <f t="shared" ref="AS643:AS706" si="99">IF(AND(B643="有交期", L643&lt;&gt;""), L643, "")</f>
        <v/>
      </c>
      <c r="AT643" s="259" t="str">
        <f t="shared" ref="AT643:AT706" si="100">IFERROR(IF(R643&lt;&gt;"",R643),"-")</f>
        <v>豫龙辉</v>
      </c>
      <c r="AU643" s="259" t="str">
        <f t="shared" ref="AU643:AU706" si="101">IFERROR(IF(Q643&lt;&gt;"",Q643),"-")</f>
        <v>C49SZX20200229JY</v>
      </c>
      <c r="AV643" s="259" t="str">
        <f t="shared" ref="AV643:AV706" si="102">IF(L643="","-",TEXT(L643,"mmm-dd"))</f>
        <v>Jan-31</v>
      </c>
    </row>
    <row r="644" spans="1:48" hidden="1">
      <c r="A644" s="559">
        <v>947</v>
      </c>
      <c r="B644" s="664" t="s">
        <v>1125</v>
      </c>
      <c r="C644" s="664" t="s">
        <v>15</v>
      </c>
      <c r="D644" s="645" t="s">
        <v>1364</v>
      </c>
      <c r="E644" s="646" t="s">
        <v>1321</v>
      </c>
      <c r="F644" s="647" t="s">
        <v>58</v>
      </c>
      <c r="G644" s="647" t="s">
        <v>24</v>
      </c>
      <c r="H644" s="647" t="s">
        <v>26</v>
      </c>
      <c r="I644" s="575" t="s">
        <v>1365</v>
      </c>
      <c r="J644" s="662">
        <v>1</v>
      </c>
      <c r="K644" s="647" t="s">
        <v>437</v>
      </c>
      <c r="L644" s="675">
        <v>44227</v>
      </c>
      <c r="M644" s="665">
        <v>6.3799999999999996E-2</v>
      </c>
      <c r="N644" s="647" t="s">
        <v>1127</v>
      </c>
      <c r="O644" s="575"/>
      <c r="P644" s="566" t="str">
        <f>VLOOKUP(A644,'[1]Raw data'!$B:$BB,23,FALSE)</f>
        <v>JPY</v>
      </c>
      <c r="Q644" s="563" t="str">
        <f>VLOOKUP(A644,'[1]Raw data'!$B:$Z,2,FALSE)</f>
        <v>C49SZX20200213MX</v>
      </c>
      <c r="R644" s="563" t="str">
        <f>VLOOKUP(A644,'[1]Raw data'!$B:$Z,3,FALSE)</f>
        <v>音品（End user:厚朴）</v>
      </c>
      <c r="S644" s="563" t="str">
        <f>VLOOKUP(A644,'[1]Raw data'!$B:$Z,4,FALSE)</f>
        <v>YSM20R-2</v>
      </c>
      <c r="T644" s="563" t="str">
        <f>VLOOKUP(A644,'[1]Raw data'!$B:$Z,8,FALSE)</f>
        <v>L-&gt;R</v>
      </c>
      <c r="U644" s="563" t="str">
        <f>VLOOKUP(A644,'[1]Raw data'!$B:$Z,9,FALSE)</f>
        <v>No</v>
      </c>
      <c r="V644" s="567" t="str">
        <f t="shared" si="93"/>
        <v>OK</v>
      </c>
      <c r="W644" s="563" t="str">
        <f>VLOOKUP(A644,'[1]Raw data'!$B:$AG,32,FALSE)</f>
        <v>DAP SZ</v>
      </c>
      <c r="X644" s="563">
        <f>VLOOKUP(A644,'[1]Raw data'!$B:$BA,31,FALSE)</f>
        <v>44153</v>
      </c>
      <c r="Y644" s="563" t="str">
        <f>VLOOKUP(A644,'[1]Raw data'!$B:$AS,39,FALSE)</f>
        <v>Yes</v>
      </c>
      <c r="Z644" s="659"/>
      <c r="AA644" s="660"/>
      <c r="AB644" s="661"/>
      <c r="AC644" s="647" t="s">
        <v>1333</v>
      </c>
      <c r="AD644" s="662">
        <v>301</v>
      </c>
      <c r="AE644" s="662">
        <v>10</v>
      </c>
      <c r="AF644" s="662">
        <v>311</v>
      </c>
      <c r="AG644" s="662">
        <v>10</v>
      </c>
      <c r="AH644" s="662"/>
      <c r="AI644" s="663"/>
      <c r="AN644" s="542"/>
      <c r="AO644" s="824" t="str">
        <f t="shared" si="95"/>
        <v>Yes</v>
      </c>
      <c r="AP644" s="259" t="str">
        <f t="shared" si="96"/>
        <v>JAN 21</v>
      </c>
      <c r="AQ644" s="542" t="str">
        <f t="shared" si="97"/>
        <v>有定金+有預留客戶</v>
      </c>
      <c r="AR644" s="259" t="str">
        <f t="shared" si="98"/>
        <v>Shipped_Stock</v>
      </c>
      <c r="AS644" s="259" t="str">
        <f t="shared" si="99"/>
        <v/>
      </c>
      <c r="AT644" s="259" t="str">
        <f t="shared" si="100"/>
        <v>音品（End user:厚朴）</v>
      </c>
      <c r="AU644" s="259" t="str">
        <f t="shared" si="101"/>
        <v>C49SZX20200213MX</v>
      </c>
      <c r="AV644" s="259" t="str">
        <f t="shared" si="102"/>
        <v>Jan-31</v>
      </c>
    </row>
    <row r="645" spans="1:48" hidden="1">
      <c r="A645" s="559">
        <v>1109</v>
      </c>
      <c r="B645" s="664" t="s">
        <v>1125</v>
      </c>
      <c r="C645" s="664" t="s">
        <v>15</v>
      </c>
      <c r="D645" s="645" t="s">
        <v>1364</v>
      </c>
      <c r="E645" s="646" t="s">
        <v>1321</v>
      </c>
      <c r="F645" s="647" t="s">
        <v>58</v>
      </c>
      <c r="G645" s="647" t="s">
        <v>24</v>
      </c>
      <c r="H645" s="647" t="s">
        <v>26</v>
      </c>
      <c r="I645" s="575" t="s">
        <v>1366</v>
      </c>
      <c r="J645" s="575">
        <v>1</v>
      </c>
      <c r="K645" s="647" t="s">
        <v>437</v>
      </c>
      <c r="L645" s="675">
        <v>44227</v>
      </c>
      <c r="M645" s="665">
        <v>6.3799999999999996E-2</v>
      </c>
      <c r="N645" s="647" t="s">
        <v>28</v>
      </c>
      <c r="O645" s="575"/>
      <c r="P645" s="665" t="str">
        <f>VLOOKUP(A645,'[1]Raw data'!$B:$BA,23,FALSE)</f>
        <v>JPY</v>
      </c>
      <c r="Q645" s="647" t="str">
        <f>VLOOKUP(A645,'[1]Raw data'!$B:$Z,2,FALSE)</f>
        <v>C49SZX20210037SX</v>
      </c>
      <c r="R645" s="647" t="str">
        <f>VLOOKUP(A645,'[1]Raw data'!$B:$Z,3,FALSE)</f>
        <v>模鑫</v>
      </c>
      <c r="S645" s="647" t="str">
        <f>VLOOKUP(A645,'[1]Raw data'!$B:$Z,4,FALSE)</f>
        <v>YSM20R-2</v>
      </c>
      <c r="T645" s="647" t="str">
        <f>VLOOKUP(A645,'[1]Raw data'!$B:$Z,8,FALSE)</f>
        <v>L-&gt;R</v>
      </c>
      <c r="U645" s="647" t="str">
        <f>VLOOKUP(A645,'[1]Raw data'!$B:$Z,9,FALSE)</f>
        <v>No</v>
      </c>
      <c r="V645" s="567" t="str">
        <f t="shared" si="93"/>
        <v>OK</v>
      </c>
      <c r="W645" s="563" t="str">
        <f>VLOOKUP(A645,'[1]Raw data'!$B:$AG,32,FALSE)</f>
        <v>DAP SZ</v>
      </c>
      <c r="X645" s="647">
        <f>VLOOKUP(A645,'[1]Raw data'!$B:$BA,31,FALSE)</f>
        <v>44228</v>
      </c>
      <c r="Y645" s="647" t="str">
        <f>VLOOKUP(A645,'[1]Raw data'!$B:$AS,39,FALSE)</f>
        <v>Yes</v>
      </c>
      <c r="Z645" s="666"/>
      <c r="AA645" s="667"/>
      <c r="AB645" s="668"/>
      <c r="AC645" s="647" t="s">
        <v>1367</v>
      </c>
      <c r="AD645" s="662">
        <v>301</v>
      </c>
      <c r="AE645" s="662">
        <v>10</v>
      </c>
      <c r="AF645" s="662">
        <v>311</v>
      </c>
      <c r="AG645" s="662">
        <v>10</v>
      </c>
      <c r="AH645" s="662"/>
      <c r="AI645" s="663"/>
      <c r="AN645" s="542"/>
      <c r="AO645" s="824" t="str">
        <f t="shared" si="95"/>
        <v>Yes</v>
      </c>
      <c r="AP645" s="259" t="str">
        <f t="shared" si="96"/>
        <v>MAR 21</v>
      </c>
      <c r="AQ645" s="542" t="str">
        <f t="shared" si="97"/>
        <v>有定金+有預留客戶</v>
      </c>
      <c r="AR645" s="259" t="str">
        <f t="shared" si="98"/>
        <v>Shipped_Stock</v>
      </c>
      <c r="AS645" s="259" t="str">
        <f t="shared" si="99"/>
        <v/>
      </c>
      <c r="AT645" s="259" t="str">
        <f t="shared" si="100"/>
        <v>模鑫</v>
      </c>
      <c r="AU645" s="259" t="str">
        <f t="shared" si="101"/>
        <v>C49SZX20210037SX</v>
      </c>
      <c r="AV645" s="259" t="str">
        <f t="shared" si="102"/>
        <v>Jan-31</v>
      </c>
    </row>
    <row r="646" spans="1:48" hidden="1">
      <c r="A646" s="599">
        <v>911</v>
      </c>
      <c r="B646" s="664" t="s">
        <v>1125</v>
      </c>
      <c r="C646" s="664" t="s">
        <v>15</v>
      </c>
      <c r="D646" s="645">
        <v>110199</v>
      </c>
      <c r="E646" s="563" t="s">
        <v>886</v>
      </c>
      <c r="F646" s="647" t="s">
        <v>241</v>
      </c>
      <c r="G646" s="647" t="s">
        <v>18</v>
      </c>
      <c r="H646" s="647" t="s">
        <v>26</v>
      </c>
      <c r="I646" s="575" t="s">
        <v>1368</v>
      </c>
      <c r="J646" s="575">
        <v>1</v>
      </c>
      <c r="K646" s="647" t="s">
        <v>437</v>
      </c>
      <c r="L646" s="675">
        <v>44221</v>
      </c>
      <c r="M646" s="665" t="s">
        <v>906</v>
      </c>
      <c r="N646" s="647" t="s">
        <v>1127</v>
      </c>
      <c r="O646" s="575"/>
      <c r="P646" s="566" t="str">
        <f>VLOOKUP(A646,'[1]Raw data'!$B:$BB,23,FALSE)</f>
        <v>JPY</v>
      </c>
      <c r="Q646" s="563" t="str">
        <f>VLOOKUP(A646,'[1]Raw data'!$B:$Z,2,FALSE)</f>
        <v>C49SZX20200207MZ</v>
      </c>
      <c r="R646" s="563" t="str">
        <f>VLOOKUP(A646,'[1]Raw data'!$B:$Z,3,FALSE)</f>
        <v>崧盛</v>
      </c>
      <c r="S646" s="563" t="str">
        <f>VLOOKUP(A646,'[1]Raw data'!$B:$Z,4,FALSE)</f>
        <v>YSM10</v>
      </c>
      <c r="T646" s="563" t="str">
        <f>VLOOKUP(A646,'[1]Raw data'!$B:$Z,8,FALSE)</f>
        <v>L-&gt;R</v>
      </c>
      <c r="U646" s="563" t="str">
        <f>VLOOKUP(A646,'[1]Raw data'!$B:$Z,9,FALSE)</f>
        <v>No</v>
      </c>
      <c r="V646" s="567" t="str">
        <f t="shared" si="93"/>
        <v>WRONG</v>
      </c>
      <c r="W646" s="563" t="str">
        <f>VLOOKUP(A646,'[1]Raw data'!$B:$AG,32,FALSE)</f>
        <v>CIF HK</v>
      </c>
      <c r="X646" s="563">
        <f>VLOOKUP(A646,'[1]Raw data'!$B:$BA,31,FALSE)</f>
        <v>44139</v>
      </c>
      <c r="Y646" s="563" t="str">
        <f>VLOOKUP(A646,'[1]Raw data'!$B:$AS,39,FALSE)</f>
        <v>Yes</v>
      </c>
      <c r="Z646" s="659"/>
      <c r="AA646" s="660"/>
      <c r="AB646" s="661"/>
      <c r="AC646" s="647" t="s">
        <v>1369</v>
      </c>
      <c r="AD646" s="575">
        <v>302</v>
      </c>
      <c r="AE646" s="575">
        <v>10</v>
      </c>
      <c r="AF646" s="575"/>
      <c r="AG646" s="575"/>
      <c r="AH646" s="575"/>
      <c r="AI646" s="679"/>
      <c r="AJ646" s="564"/>
      <c r="AK646" s="564"/>
      <c r="AL646" s="564"/>
      <c r="AM646" s="564"/>
      <c r="AN646" s="614"/>
      <c r="AO646" s="824" t="str">
        <f t="shared" si="95"/>
        <v>Yes</v>
      </c>
      <c r="AP646" s="259" t="str">
        <f t="shared" si="96"/>
        <v>JAN 21</v>
      </c>
      <c r="AQ646" s="542" t="str">
        <f t="shared" si="97"/>
        <v>有定金+有預留客戶</v>
      </c>
      <c r="AR646" s="259" t="str">
        <f t="shared" si="98"/>
        <v>Shipped_Stock</v>
      </c>
      <c r="AS646" s="259" t="str">
        <f t="shared" si="99"/>
        <v/>
      </c>
      <c r="AT646" s="259" t="str">
        <f t="shared" si="100"/>
        <v>崧盛</v>
      </c>
      <c r="AU646" s="259" t="str">
        <f t="shared" si="101"/>
        <v>C49SZX20200207MZ</v>
      </c>
      <c r="AV646" s="259" t="str">
        <f t="shared" si="102"/>
        <v>Jan-25</v>
      </c>
    </row>
    <row r="647" spans="1:48" hidden="1">
      <c r="A647" s="599">
        <v>910</v>
      </c>
      <c r="B647" s="664" t="s">
        <v>1125</v>
      </c>
      <c r="C647" s="664" t="s">
        <v>15</v>
      </c>
      <c r="D647" s="645">
        <v>110199</v>
      </c>
      <c r="E647" s="563" t="s">
        <v>886</v>
      </c>
      <c r="F647" s="647" t="s">
        <v>241</v>
      </c>
      <c r="G647" s="647" t="s">
        <v>18</v>
      </c>
      <c r="H647" s="647" t="s">
        <v>26</v>
      </c>
      <c r="I647" s="575" t="s">
        <v>1370</v>
      </c>
      <c r="J647" s="575">
        <v>1</v>
      </c>
      <c r="K647" s="647" t="s">
        <v>437</v>
      </c>
      <c r="L647" s="675">
        <v>44221</v>
      </c>
      <c r="M647" s="665" t="s">
        <v>906</v>
      </c>
      <c r="N647" s="647" t="s">
        <v>1127</v>
      </c>
      <c r="O647" s="575"/>
      <c r="P647" s="566" t="str">
        <f>VLOOKUP(A647,'[1]Raw data'!$B:$BB,23,FALSE)</f>
        <v>JPY</v>
      </c>
      <c r="Q647" s="563" t="str">
        <f>VLOOKUP(A647,'[1]Raw data'!$B:$Z,2,FALSE)</f>
        <v>C49SZX20200207MZ</v>
      </c>
      <c r="R647" s="563" t="str">
        <f>VLOOKUP(A647,'[1]Raw data'!$B:$Z,3,FALSE)</f>
        <v>崧盛</v>
      </c>
      <c r="S647" s="563" t="str">
        <f>VLOOKUP(A647,'[1]Raw data'!$B:$Z,4,FALSE)</f>
        <v>YSM10</v>
      </c>
      <c r="T647" s="563" t="str">
        <f>VLOOKUP(A647,'[1]Raw data'!$B:$Z,8,FALSE)</f>
        <v>L-&gt;R</v>
      </c>
      <c r="U647" s="563" t="str">
        <f>VLOOKUP(A647,'[1]Raw data'!$B:$Z,9,FALSE)</f>
        <v>No</v>
      </c>
      <c r="V647" s="567" t="str">
        <f t="shared" si="93"/>
        <v>WRONG</v>
      </c>
      <c r="W647" s="563" t="str">
        <f>VLOOKUP(A647,'[1]Raw data'!$B:$AG,32,FALSE)</f>
        <v>CIF HK</v>
      </c>
      <c r="X647" s="563">
        <f>VLOOKUP(A647,'[1]Raw data'!$B:$BA,31,FALSE)</f>
        <v>44139</v>
      </c>
      <c r="Y647" s="563" t="str">
        <f>VLOOKUP(A647,'[1]Raw data'!$B:$AS,39,FALSE)</f>
        <v>Yes</v>
      </c>
      <c r="Z647" s="659"/>
      <c r="AA647" s="660"/>
      <c r="AB647" s="661"/>
      <c r="AC647" s="647" t="s">
        <v>1369</v>
      </c>
      <c r="AD647" s="575">
        <v>302</v>
      </c>
      <c r="AE647" s="575">
        <v>10</v>
      </c>
      <c r="AF647" s="575"/>
      <c r="AG647" s="575"/>
      <c r="AH647" s="575"/>
      <c r="AI647" s="679"/>
      <c r="AJ647" s="564"/>
      <c r="AK647" s="564"/>
      <c r="AL647" s="564"/>
      <c r="AM647" s="564"/>
      <c r="AN647" s="614"/>
      <c r="AO647" s="824" t="str">
        <f t="shared" si="95"/>
        <v>Yes</v>
      </c>
      <c r="AP647" s="259" t="str">
        <f t="shared" si="96"/>
        <v>JAN 21</v>
      </c>
      <c r="AQ647" s="542" t="str">
        <f t="shared" si="97"/>
        <v>有定金+有預留客戶</v>
      </c>
      <c r="AR647" s="259" t="str">
        <f t="shared" si="98"/>
        <v>Shipped_Stock</v>
      </c>
      <c r="AS647" s="259" t="str">
        <f t="shared" si="99"/>
        <v/>
      </c>
      <c r="AT647" s="259" t="str">
        <f t="shared" si="100"/>
        <v>崧盛</v>
      </c>
      <c r="AU647" s="259" t="str">
        <f t="shared" si="101"/>
        <v>C49SZX20200207MZ</v>
      </c>
      <c r="AV647" s="259" t="str">
        <f t="shared" si="102"/>
        <v>Jan-25</v>
      </c>
    </row>
    <row r="648" spans="1:48" hidden="1">
      <c r="A648" s="559">
        <v>1065</v>
      </c>
      <c r="B648" s="664" t="s">
        <v>1125</v>
      </c>
      <c r="C648" s="664" t="s">
        <v>15</v>
      </c>
      <c r="D648" s="645">
        <v>110199</v>
      </c>
      <c r="E648" s="563" t="s">
        <v>886</v>
      </c>
      <c r="F648" s="647" t="s">
        <v>241</v>
      </c>
      <c r="G648" s="647" t="s">
        <v>18</v>
      </c>
      <c r="H648" s="647" t="s">
        <v>26</v>
      </c>
      <c r="I648" s="575" t="s">
        <v>1371</v>
      </c>
      <c r="J648" s="662">
        <v>1</v>
      </c>
      <c r="K648" s="647" t="s">
        <v>437</v>
      </c>
      <c r="L648" s="675">
        <v>44221</v>
      </c>
      <c r="M648" s="665" t="s">
        <v>906</v>
      </c>
      <c r="N648" s="647" t="s">
        <v>1127</v>
      </c>
      <c r="O648" s="575"/>
      <c r="P648" s="566" t="str">
        <f>VLOOKUP(A648,'[1]Raw data'!$B:$BB,23,FALSE)</f>
        <v>JPY</v>
      </c>
      <c r="Q648" s="563" t="str">
        <f>VLOOKUP(A648,'[1]Raw data'!$B:$Z,2,FALSE)</f>
        <v>C49SZX20210012SX</v>
      </c>
      <c r="R648" s="563" t="str">
        <f>VLOOKUP(A648,'[1]Raw data'!$B:$Z,3,FALSE)</f>
        <v>赛朗斯</v>
      </c>
      <c r="S648" s="563" t="str">
        <f>VLOOKUP(A648,'[1]Raw data'!$B:$Z,4,FALSE)</f>
        <v>YSM10</v>
      </c>
      <c r="T648" s="563" t="str">
        <f>VLOOKUP(A648,'[1]Raw data'!$B:$Z,8,FALSE)</f>
        <v>L-&gt;R</v>
      </c>
      <c r="U648" s="563" t="str">
        <f>VLOOKUP(A648,'[1]Raw data'!$B:$Z,9,FALSE)</f>
        <v>MVC</v>
      </c>
      <c r="V648" s="567" t="str">
        <f t="shared" si="93"/>
        <v>WRONG</v>
      </c>
      <c r="W648" s="563" t="str">
        <f>VLOOKUP(A648,'[1]Raw data'!$B:$AG,32,FALSE)</f>
        <v>DAP FS</v>
      </c>
      <c r="X648" s="563">
        <f>VLOOKUP(A648,'[1]Raw data'!$B:$BA,31,FALSE)</f>
        <v>44207</v>
      </c>
      <c r="Y648" s="563" t="str">
        <f>VLOOKUP(A648,'[1]Raw data'!$B:$AS,39,FALSE)</f>
        <v>Yes</v>
      </c>
      <c r="Z648" s="659"/>
      <c r="AA648" s="660"/>
      <c r="AB648" s="661"/>
      <c r="AC648" s="647" t="s">
        <v>1372</v>
      </c>
      <c r="AD648" s="662">
        <v>302</v>
      </c>
      <c r="AE648" s="662">
        <v>10</v>
      </c>
      <c r="AF648" s="662"/>
      <c r="AG648" s="662"/>
      <c r="AH648" s="662"/>
      <c r="AI648" s="663"/>
      <c r="AN648" s="542"/>
      <c r="AO648" s="824" t="str">
        <f t="shared" si="95"/>
        <v>Yes</v>
      </c>
      <c r="AP648" s="259" t="str">
        <f t="shared" si="96"/>
        <v>JAN 21</v>
      </c>
      <c r="AQ648" s="542" t="str">
        <f t="shared" si="97"/>
        <v>有定金+有預留客戶</v>
      </c>
      <c r="AR648" s="259" t="str">
        <f t="shared" si="98"/>
        <v>Shipped_Stock</v>
      </c>
      <c r="AS648" s="259" t="str">
        <f t="shared" si="99"/>
        <v/>
      </c>
      <c r="AT648" s="259" t="str">
        <f t="shared" si="100"/>
        <v>赛朗斯</v>
      </c>
      <c r="AU648" s="259" t="str">
        <f t="shared" si="101"/>
        <v>C49SZX20210012SX</v>
      </c>
      <c r="AV648" s="259" t="str">
        <f t="shared" si="102"/>
        <v>Jan-25</v>
      </c>
    </row>
    <row r="649" spans="1:48" hidden="1">
      <c r="A649" s="559">
        <v>917</v>
      </c>
      <c r="B649" s="664" t="s">
        <v>1125</v>
      </c>
      <c r="C649" s="664" t="s">
        <v>15</v>
      </c>
      <c r="D649" s="645">
        <v>110199</v>
      </c>
      <c r="E649" s="563" t="s">
        <v>886</v>
      </c>
      <c r="F649" s="647" t="s">
        <v>241</v>
      </c>
      <c r="G649" s="647" t="s">
        <v>18</v>
      </c>
      <c r="H649" s="647" t="s">
        <v>26</v>
      </c>
      <c r="I649" s="575" t="s">
        <v>1373</v>
      </c>
      <c r="J649" s="662">
        <v>1</v>
      </c>
      <c r="K649" s="647" t="s">
        <v>437</v>
      </c>
      <c r="L649" s="675">
        <v>44221</v>
      </c>
      <c r="M649" s="665" t="s">
        <v>906</v>
      </c>
      <c r="N649" s="647" t="s">
        <v>1127</v>
      </c>
      <c r="O649" s="575"/>
      <c r="P649" s="566" t="str">
        <f>VLOOKUP(A649,'[1]Raw data'!$B:$BB,23,FALSE)</f>
        <v>JPY</v>
      </c>
      <c r="Q649" s="563" t="str">
        <f>VLOOKUP(A649,'[1]Raw data'!$B:$Z,2,FALSE)</f>
        <v>C49SZX20200192SS</v>
      </c>
      <c r="R649" s="563" t="str">
        <f>VLOOKUP(A649,'[1]Raw data'!$B:$Z,3,FALSE)</f>
        <v>合进高</v>
      </c>
      <c r="S649" s="563" t="str">
        <f>VLOOKUP(A649,'[1]Raw data'!$B:$Z,4,FALSE)</f>
        <v>YSM10</v>
      </c>
      <c r="T649" s="563" t="str">
        <f>VLOOKUP(A649,'[1]Raw data'!$B:$Z,8,FALSE)</f>
        <v>L-&gt;R</v>
      </c>
      <c r="U649" s="563" t="str">
        <f>VLOOKUP(A649,'[1]Raw data'!$B:$Z,9,FALSE)</f>
        <v>MVC</v>
      </c>
      <c r="V649" s="567" t="str">
        <f t="shared" si="93"/>
        <v>WRONG</v>
      </c>
      <c r="W649" s="563" t="str">
        <f>VLOOKUP(A649,'[1]Raw data'!$B:$AG,32,FALSE)</f>
        <v>CIF HK</v>
      </c>
      <c r="X649" s="563">
        <f>VLOOKUP(A649,'[1]Raw data'!$B:$BA,31,FALSE)</f>
        <v>44124</v>
      </c>
      <c r="Y649" s="563" t="str">
        <f>VLOOKUP(A649,'[1]Raw data'!$B:$AS,39,FALSE)</f>
        <v>Yes</v>
      </c>
      <c r="Z649" s="659"/>
      <c r="AA649" s="660"/>
      <c r="AB649" s="661"/>
      <c r="AC649" s="647" t="s">
        <v>1374</v>
      </c>
      <c r="AD649" s="662">
        <v>301</v>
      </c>
      <c r="AE649" s="662">
        <v>10</v>
      </c>
      <c r="AF649" s="662"/>
      <c r="AG649" s="662"/>
      <c r="AH649" s="662"/>
      <c r="AI649" s="663"/>
      <c r="AN649" s="542"/>
      <c r="AO649" s="824" t="str">
        <f t="shared" si="95"/>
        <v>Yes</v>
      </c>
      <c r="AP649" s="259" t="str">
        <f t="shared" si="96"/>
        <v>JAN 21</v>
      </c>
      <c r="AQ649" s="542" t="str">
        <f t="shared" si="97"/>
        <v>有定金+有預留客戶</v>
      </c>
      <c r="AR649" s="259" t="str">
        <f t="shared" si="98"/>
        <v>Shipped_Stock</v>
      </c>
      <c r="AS649" s="259" t="str">
        <f t="shared" si="99"/>
        <v/>
      </c>
      <c r="AT649" s="259" t="str">
        <f t="shared" si="100"/>
        <v>合进高</v>
      </c>
      <c r="AU649" s="259" t="str">
        <f t="shared" si="101"/>
        <v>C49SZX20200192SS</v>
      </c>
      <c r="AV649" s="259" t="str">
        <f t="shared" si="102"/>
        <v>Jan-25</v>
      </c>
    </row>
    <row r="650" spans="1:48" hidden="1">
      <c r="A650" s="559">
        <v>918</v>
      </c>
      <c r="B650" s="664" t="s">
        <v>1125</v>
      </c>
      <c r="C650" s="664" t="s">
        <v>15</v>
      </c>
      <c r="D650" s="645">
        <v>110199</v>
      </c>
      <c r="E650" s="563" t="s">
        <v>886</v>
      </c>
      <c r="F650" s="647" t="s">
        <v>241</v>
      </c>
      <c r="G650" s="647" t="s">
        <v>18</v>
      </c>
      <c r="H650" s="647" t="s">
        <v>26</v>
      </c>
      <c r="I650" s="575" t="s">
        <v>1375</v>
      </c>
      <c r="J650" s="662">
        <v>1</v>
      </c>
      <c r="K650" s="647" t="s">
        <v>437</v>
      </c>
      <c r="L650" s="675">
        <v>44221</v>
      </c>
      <c r="M650" s="665" t="s">
        <v>906</v>
      </c>
      <c r="N650" s="647" t="s">
        <v>1127</v>
      </c>
      <c r="O650" s="575"/>
      <c r="P650" s="566" t="str">
        <f>VLOOKUP(A650,'[1]Raw data'!$B:$BB,23,FALSE)</f>
        <v>JPY</v>
      </c>
      <c r="Q650" s="563" t="str">
        <f>VLOOKUP(A650,'[1]Raw data'!$B:$Z,2,FALSE)</f>
        <v>C49SZX20200192SS</v>
      </c>
      <c r="R650" s="563" t="str">
        <f>VLOOKUP(A650,'[1]Raw data'!$B:$Z,3,FALSE)</f>
        <v>合进高</v>
      </c>
      <c r="S650" s="563" t="str">
        <f>VLOOKUP(A650,'[1]Raw data'!$B:$Z,4,FALSE)</f>
        <v>YSM10</v>
      </c>
      <c r="T650" s="563" t="str">
        <f>VLOOKUP(A650,'[1]Raw data'!$B:$Z,8,FALSE)</f>
        <v>L-&gt;R</v>
      </c>
      <c r="U650" s="563" t="str">
        <f>VLOOKUP(A650,'[1]Raw data'!$B:$Z,9,FALSE)</f>
        <v>MVC</v>
      </c>
      <c r="V650" s="567" t="str">
        <f t="shared" si="93"/>
        <v>WRONG</v>
      </c>
      <c r="W650" s="563" t="str">
        <f>VLOOKUP(A650,'[1]Raw data'!$B:$AG,32,FALSE)</f>
        <v>CIF HK</v>
      </c>
      <c r="X650" s="563">
        <f>VLOOKUP(A650,'[1]Raw data'!$B:$BA,31,FALSE)</f>
        <v>44124</v>
      </c>
      <c r="Y650" s="563" t="str">
        <f>VLOOKUP(A650,'[1]Raw data'!$B:$AS,39,FALSE)</f>
        <v>Yes</v>
      </c>
      <c r="Z650" s="659"/>
      <c r="AA650" s="660"/>
      <c r="AB650" s="661"/>
      <c r="AC650" s="647" t="s">
        <v>1374</v>
      </c>
      <c r="AD650" s="662">
        <v>301</v>
      </c>
      <c r="AE650" s="662">
        <v>10</v>
      </c>
      <c r="AF650" s="662"/>
      <c r="AG650" s="662"/>
      <c r="AH650" s="662"/>
      <c r="AI650" s="663"/>
      <c r="AN650" s="542"/>
      <c r="AO650" s="824" t="str">
        <f t="shared" si="95"/>
        <v>Yes</v>
      </c>
      <c r="AP650" s="259" t="str">
        <f t="shared" si="96"/>
        <v>JAN 21</v>
      </c>
      <c r="AQ650" s="542" t="str">
        <f t="shared" si="97"/>
        <v>有定金+有預留客戶</v>
      </c>
      <c r="AR650" s="259" t="str">
        <f t="shared" si="98"/>
        <v>Shipped_Stock</v>
      </c>
      <c r="AS650" s="259" t="str">
        <f t="shared" si="99"/>
        <v/>
      </c>
      <c r="AT650" s="259" t="str">
        <f t="shared" si="100"/>
        <v>合进高</v>
      </c>
      <c r="AU650" s="259" t="str">
        <f t="shared" si="101"/>
        <v>C49SZX20200192SS</v>
      </c>
      <c r="AV650" s="259" t="str">
        <f t="shared" si="102"/>
        <v>Jan-25</v>
      </c>
    </row>
    <row r="651" spans="1:48" hidden="1">
      <c r="A651" s="559">
        <v>940</v>
      </c>
      <c r="B651" s="664" t="s">
        <v>1125</v>
      </c>
      <c r="C651" s="563" t="s">
        <v>15</v>
      </c>
      <c r="D651" s="645">
        <v>110201</v>
      </c>
      <c r="E651" s="563" t="s">
        <v>886</v>
      </c>
      <c r="F651" s="647" t="s">
        <v>241</v>
      </c>
      <c r="G651" s="647" t="s">
        <v>18</v>
      </c>
      <c r="H651" s="647" t="s">
        <v>26</v>
      </c>
      <c r="I651" s="575" t="s">
        <v>1376</v>
      </c>
      <c r="J651" s="662">
        <v>1</v>
      </c>
      <c r="K651" s="647" t="s">
        <v>81</v>
      </c>
      <c r="L651" s="675">
        <v>44221</v>
      </c>
      <c r="M651" s="665" t="s">
        <v>906</v>
      </c>
      <c r="N651" s="647" t="s">
        <v>1127</v>
      </c>
      <c r="O651" s="575"/>
      <c r="P651" s="566" t="str">
        <f>VLOOKUP(A651,'[1]Raw data'!$B:$BB,23,FALSE)</f>
        <v>JPY</v>
      </c>
      <c r="Q651" s="563" t="str">
        <f>VLOOKUP(A651,'[1]Raw data'!$B:$Z,2,FALSE)</f>
        <v>C49SZX20200222SS</v>
      </c>
      <c r="R651" s="563" t="str">
        <f>VLOOKUP(A651,'[1]Raw data'!$B:$Z,3,FALSE)</f>
        <v>盈通恒翼</v>
      </c>
      <c r="S651" s="563" t="str">
        <f>VLOOKUP(A651,'[1]Raw data'!$B:$Z,4,FALSE)</f>
        <v>YSM10</v>
      </c>
      <c r="T651" s="563" t="str">
        <f>VLOOKUP(A651,'[1]Raw data'!$B:$Z,8,FALSE)</f>
        <v>L-&gt;R</v>
      </c>
      <c r="U651" s="563" t="str">
        <f>VLOOKUP(A651,'[1]Raw data'!$B:$Z,9,FALSE)</f>
        <v>MVC</v>
      </c>
      <c r="V651" s="567" t="str">
        <f t="shared" si="93"/>
        <v>WRONG</v>
      </c>
      <c r="W651" s="563" t="str">
        <f>VLOOKUP(A651,'[1]Raw data'!$B:$AG,32,FALSE)</f>
        <v>DAP SZ</v>
      </c>
      <c r="X651" s="563">
        <f>VLOOKUP(A651,'[1]Raw data'!$B:$BA,31,FALSE)</f>
        <v>44153</v>
      </c>
      <c r="Y651" s="563" t="str">
        <f>VLOOKUP(A651,'[1]Raw data'!$B:$AS,39,FALSE)</f>
        <v>Yes</v>
      </c>
      <c r="Z651" s="659"/>
      <c r="AA651" s="660"/>
      <c r="AB651" s="661"/>
      <c r="AC651" s="647" t="s">
        <v>1377</v>
      </c>
      <c r="AD651" s="662">
        <v>312</v>
      </c>
      <c r="AE651" s="662">
        <v>10</v>
      </c>
      <c r="AF651" s="662"/>
      <c r="AG651" s="662"/>
      <c r="AH651" s="662"/>
      <c r="AI651" s="663"/>
      <c r="AN651" s="542"/>
      <c r="AO651" s="824" t="str">
        <f t="shared" si="95"/>
        <v>Yes</v>
      </c>
      <c r="AP651" s="259" t="str">
        <f t="shared" si="96"/>
        <v>JAN 21</v>
      </c>
      <c r="AQ651" s="542" t="str">
        <f t="shared" si="97"/>
        <v>有定金+有預留客戶</v>
      </c>
      <c r="AR651" s="259" t="str">
        <f t="shared" si="98"/>
        <v>Shipped_Stock</v>
      </c>
      <c r="AS651" s="259" t="str">
        <f t="shared" si="99"/>
        <v/>
      </c>
      <c r="AT651" s="259" t="str">
        <f t="shared" si="100"/>
        <v>盈通恒翼</v>
      </c>
      <c r="AU651" s="259" t="str">
        <f t="shared" si="101"/>
        <v>C49SZX20200222SS</v>
      </c>
      <c r="AV651" s="259" t="str">
        <f t="shared" si="102"/>
        <v>Jan-25</v>
      </c>
    </row>
    <row r="652" spans="1:48" hidden="1">
      <c r="A652" s="559">
        <v>797</v>
      </c>
      <c r="B652" s="664" t="s">
        <v>280</v>
      </c>
      <c r="C652" s="563" t="s">
        <v>4013</v>
      </c>
      <c r="D652" s="645">
        <v>110064</v>
      </c>
      <c r="E652" s="563" t="s">
        <v>886</v>
      </c>
      <c r="F652" s="647" t="s">
        <v>1378</v>
      </c>
      <c r="G652" s="647" t="s">
        <v>283</v>
      </c>
      <c r="H652" s="647" t="s">
        <v>26</v>
      </c>
      <c r="I652" s="575">
        <v>6818</v>
      </c>
      <c r="J652" s="575">
        <v>1</v>
      </c>
      <c r="K652" s="647"/>
      <c r="L652" s="657">
        <v>44079</v>
      </c>
      <c r="M652" s="665">
        <v>7.8</v>
      </c>
      <c r="N652" s="647" t="s">
        <v>918</v>
      </c>
      <c r="O652" s="647"/>
      <c r="P652" s="566" t="str">
        <f>VLOOKUP(A652,'[1]Raw data'!$B:$BB,23,FALSE)</f>
        <v>RMB</v>
      </c>
      <c r="Q652" s="563" t="str">
        <f>VLOOKUP(A652,'[1]Raw data'!$B:$Z,2,FALSE)</f>
        <v>SOLMT2061001</v>
      </c>
      <c r="R652" s="563" t="str">
        <f>VLOOKUP(A652,'[1]Raw data'!$B:$Z,3,FALSE)</f>
        <v>力拔</v>
      </c>
      <c r="S652" s="563" t="str">
        <f>VLOOKUP(A652,'[1]Raw data'!$B:$Z,4,FALSE)</f>
        <v>SolderStar-Lite 6</v>
      </c>
      <c r="T652" s="563" t="str">
        <f>VLOOKUP(A652,'[1]Raw data'!$B:$Z,8,FALSE)</f>
        <v>No</v>
      </c>
      <c r="U652" s="563" t="str">
        <f>VLOOKUP(A652,'[1]Raw data'!$B:$Z,9,FALSE)</f>
        <v>No</v>
      </c>
      <c r="V652" s="567" t="str">
        <f t="shared" si="93"/>
        <v>OK</v>
      </c>
      <c r="W652" s="563" t="str">
        <f>VLOOKUP(A652,'[1]Raw data'!$B:$AG,32,FALSE)</f>
        <v>含税到厂</v>
      </c>
      <c r="X652" s="563">
        <f>VLOOKUP(A652,'[1]Raw data'!$B:$BA,31,FALSE)</f>
        <v>44069</v>
      </c>
      <c r="Y652" s="563" t="str">
        <f>VLOOKUP(A652,'[1]Raw data'!$B:$AS,39,FALSE)</f>
        <v>No</v>
      </c>
      <c r="Z652" s="659"/>
      <c r="AA652" s="660"/>
      <c r="AB652" s="661"/>
      <c r="AC652" s="647" t="s">
        <v>1241</v>
      </c>
      <c r="AD652" s="662"/>
      <c r="AE652" s="662"/>
      <c r="AF652" s="662"/>
      <c r="AG652" s="662"/>
      <c r="AH652" s="662"/>
      <c r="AI652" s="663"/>
      <c r="AN652" s="542"/>
      <c r="AO652" s="824" t="str">
        <f t="shared" si="95"/>
        <v>No</v>
      </c>
      <c r="AP652" s="259" t="str">
        <f t="shared" si="96"/>
        <v>SEP 20</v>
      </c>
      <c r="AQ652" s="542" t="str">
        <f t="shared" si="97"/>
        <v>无定金+有預留客戶</v>
      </c>
      <c r="AR652" s="259" t="str">
        <f t="shared" si="98"/>
        <v>Shipped_Stock</v>
      </c>
      <c r="AS652" s="259" t="str">
        <f t="shared" si="99"/>
        <v/>
      </c>
      <c r="AT652" s="259" t="str">
        <f t="shared" si="100"/>
        <v>力拔</v>
      </c>
      <c r="AU652" s="259" t="str">
        <f t="shared" si="101"/>
        <v>SOLMT2061001</v>
      </c>
      <c r="AV652" s="259" t="str">
        <f t="shared" si="102"/>
        <v>Sep-05</v>
      </c>
    </row>
    <row r="653" spans="1:48" hidden="1">
      <c r="B653" s="664" t="s">
        <v>280</v>
      </c>
      <c r="C653" s="563" t="s">
        <v>4013</v>
      </c>
      <c r="D653" s="645">
        <v>110064</v>
      </c>
      <c r="E653" s="563" t="s">
        <v>886</v>
      </c>
      <c r="F653" s="647" t="s">
        <v>1378</v>
      </c>
      <c r="G653" s="647" t="s">
        <v>283</v>
      </c>
      <c r="H653" s="647" t="s">
        <v>26</v>
      </c>
      <c r="I653" s="575">
        <v>6819</v>
      </c>
      <c r="J653" s="575">
        <v>1</v>
      </c>
      <c r="K653" s="647"/>
      <c r="L653" s="657">
        <v>44079</v>
      </c>
      <c r="M653" s="665">
        <v>7.8</v>
      </c>
      <c r="N653" s="647"/>
      <c r="O653" s="647"/>
      <c r="P653" s="566" t="e">
        <f>VLOOKUP(A653,'[1]Raw data'!$B:$BB,23,FALSE)</f>
        <v>#N/A</v>
      </c>
      <c r="Q653" s="563" t="e">
        <f>VLOOKUP(A653,'[1]Raw data'!$B:$Z,2,FALSE)</f>
        <v>#N/A</v>
      </c>
      <c r="R653" s="563" t="e">
        <f>VLOOKUP(A653,'[1]Raw data'!$B:$Z,3,FALSE)</f>
        <v>#N/A</v>
      </c>
      <c r="S653" s="563" t="e">
        <f>VLOOKUP(A653,'[1]Raw data'!$B:$Z,4,FALSE)</f>
        <v>#N/A</v>
      </c>
      <c r="T653" s="563" t="e">
        <f>VLOOKUP(A653,'[1]Raw data'!$B:$Z,8,FALSE)</f>
        <v>#N/A</v>
      </c>
      <c r="U653" s="563" t="e">
        <f>VLOOKUP(A653,'[1]Raw data'!$B:$Z,9,FALSE)</f>
        <v>#N/A</v>
      </c>
      <c r="V653" s="567" t="e">
        <f t="shared" si="93"/>
        <v>#N/A</v>
      </c>
      <c r="W653" s="563" t="e">
        <f>VLOOKUP(A653,'[1]Raw data'!$B:$AG,32,FALSE)</f>
        <v>#N/A</v>
      </c>
      <c r="X653" s="563" t="e">
        <f>VLOOKUP(A653,'[1]Raw data'!$B:$BA,31,FALSE)</f>
        <v>#N/A</v>
      </c>
      <c r="Y653" s="563" t="e">
        <f>VLOOKUP(A653,'[1]Raw data'!$B:$AS,39,FALSE)</f>
        <v>#N/A</v>
      </c>
      <c r="Z653" s="659"/>
      <c r="AA653" s="660"/>
      <c r="AB653" s="661"/>
      <c r="AC653" s="647" t="s">
        <v>1241</v>
      </c>
      <c r="AD653" s="662"/>
      <c r="AE653" s="662"/>
      <c r="AF653" s="662"/>
      <c r="AG653" s="662"/>
      <c r="AH653" s="662"/>
      <c r="AI653" s="663"/>
      <c r="AN653" s="542"/>
      <c r="AO653" s="824" t="str">
        <f t="shared" si="95"/>
        <v>No</v>
      </c>
      <c r="AP653" s="259" t="str">
        <f t="shared" si="96"/>
        <v>blank</v>
      </c>
      <c r="AQ653" s="542" t="str">
        <f t="shared" si="97"/>
        <v>无定金+无預留客戶</v>
      </c>
      <c r="AR653" s="259" t="str">
        <f t="shared" si="98"/>
        <v>Shipped_Stock</v>
      </c>
      <c r="AS653" s="259" t="str">
        <f t="shared" si="99"/>
        <v/>
      </c>
      <c r="AT653" s="259" t="str">
        <f t="shared" si="100"/>
        <v>-</v>
      </c>
      <c r="AU653" s="259" t="str">
        <f t="shared" si="101"/>
        <v>-</v>
      </c>
      <c r="AV653" s="259" t="str">
        <f t="shared" si="102"/>
        <v>Sep-05</v>
      </c>
    </row>
    <row r="654" spans="1:48" hidden="1">
      <c r="B654" s="664" t="s">
        <v>280</v>
      </c>
      <c r="C654" s="563" t="s">
        <v>4013</v>
      </c>
      <c r="D654" s="645">
        <v>110064</v>
      </c>
      <c r="E654" s="563" t="s">
        <v>886</v>
      </c>
      <c r="F654" s="647" t="s">
        <v>1378</v>
      </c>
      <c r="G654" s="647" t="s">
        <v>283</v>
      </c>
      <c r="H654" s="647" t="s">
        <v>26</v>
      </c>
      <c r="I654" s="575">
        <v>6820</v>
      </c>
      <c r="J654" s="575">
        <v>1</v>
      </c>
      <c r="K654" s="647" t="s">
        <v>496</v>
      </c>
      <c r="L654" s="657">
        <v>44079</v>
      </c>
      <c r="M654" s="665">
        <v>7.8</v>
      </c>
      <c r="N654" s="647" t="s">
        <v>918</v>
      </c>
      <c r="O654" s="647"/>
      <c r="P654" s="566" t="e">
        <f>VLOOKUP(A654,'[1]Raw data'!$B:$BB,23,FALSE)</f>
        <v>#N/A</v>
      </c>
      <c r="Q654" s="563" t="e">
        <f>VLOOKUP(A654,'[1]Raw data'!$B:$Z,2,FALSE)</f>
        <v>#N/A</v>
      </c>
      <c r="R654" s="563" t="e">
        <f>VLOOKUP(A654,'[1]Raw data'!$B:$Z,3,FALSE)</f>
        <v>#N/A</v>
      </c>
      <c r="S654" s="563" t="e">
        <f>VLOOKUP(A654,'[1]Raw data'!$B:$Z,4,FALSE)</f>
        <v>#N/A</v>
      </c>
      <c r="T654" s="563" t="e">
        <f>VLOOKUP(A654,'[1]Raw data'!$B:$Z,8,FALSE)</f>
        <v>#N/A</v>
      </c>
      <c r="U654" s="563" t="e">
        <f>VLOOKUP(A654,'[1]Raw data'!$B:$Z,9,FALSE)</f>
        <v>#N/A</v>
      </c>
      <c r="V654" s="567" t="e">
        <f t="shared" si="93"/>
        <v>#N/A</v>
      </c>
      <c r="W654" s="563" t="e">
        <f>VLOOKUP(A654,'[1]Raw data'!$B:$AG,32,FALSE)</f>
        <v>#N/A</v>
      </c>
      <c r="X654" s="563" t="e">
        <f>VLOOKUP(A654,'[1]Raw data'!$B:$BA,31,FALSE)</f>
        <v>#N/A</v>
      </c>
      <c r="Y654" s="563" t="e">
        <f>VLOOKUP(A654,'[1]Raw data'!$B:$AS,39,FALSE)</f>
        <v>#N/A</v>
      </c>
      <c r="Z654" s="659"/>
      <c r="AA654" s="660"/>
      <c r="AB654" s="661"/>
      <c r="AC654" s="647" t="s">
        <v>1241</v>
      </c>
      <c r="AD654" s="662"/>
      <c r="AE654" s="662"/>
      <c r="AF654" s="662"/>
      <c r="AG654" s="662"/>
      <c r="AH654" s="662"/>
      <c r="AI654" s="663"/>
      <c r="AN654" s="542"/>
      <c r="AO654" s="824" t="str">
        <f t="shared" si="95"/>
        <v>No</v>
      </c>
      <c r="AP654" s="259" t="str">
        <f t="shared" si="96"/>
        <v>SEP 20</v>
      </c>
      <c r="AQ654" s="542" t="str">
        <f t="shared" si="97"/>
        <v>无定金+有預留客戶</v>
      </c>
      <c r="AR654" s="259" t="str">
        <f t="shared" si="98"/>
        <v>Shipped_Stock</v>
      </c>
      <c r="AS654" s="259" t="str">
        <f t="shared" si="99"/>
        <v/>
      </c>
      <c r="AT654" s="259" t="str">
        <f t="shared" si="100"/>
        <v>-</v>
      </c>
      <c r="AU654" s="259" t="str">
        <f t="shared" si="101"/>
        <v>-</v>
      </c>
      <c r="AV654" s="259" t="str">
        <f t="shared" si="102"/>
        <v>Sep-05</v>
      </c>
    </row>
    <row r="655" spans="1:48" hidden="1">
      <c r="A655" s="599" t="s">
        <v>1379</v>
      </c>
      <c r="B655" s="664" t="s">
        <v>280</v>
      </c>
      <c r="C655" s="563" t="s">
        <v>4013</v>
      </c>
      <c r="D655" s="645">
        <v>110064</v>
      </c>
      <c r="E655" s="563" t="s">
        <v>886</v>
      </c>
      <c r="F655" s="647" t="s">
        <v>1378</v>
      </c>
      <c r="G655" s="647" t="s">
        <v>283</v>
      </c>
      <c r="H655" s="647" t="s">
        <v>26</v>
      </c>
      <c r="I655" s="575">
        <v>6821</v>
      </c>
      <c r="J655" s="662">
        <v>1</v>
      </c>
      <c r="K655" s="647"/>
      <c r="L655" s="657">
        <v>44079</v>
      </c>
      <c r="M655" s="665">
        <v>7.8</v>
      </c>
      <c r="N655" s="647"/>
      <c r="O655" s="575"/>
      <c r="P655" s="566" t="s">
        <v>1246</v>
      </c>
      <c r="Q655" s="724" t="s">
        <v>1380</v>
      </c>
      <c r="R655" s="563" t="e">
        <f>VLOOKUP(A655,'[1]Raw data'!$B:$Z,3,FALSE)</f>
        <v>#N/A</v>
      </c>
      <c r="S655" s="563" t="e">
        <f>VLOOKUP(A655,'[1]Raw data'!$B:$Z,4,FALSE)</f>
        <v>#N/A</v>
      </c>
      <c r="T655" s="563" t="e">
        <f>VLOOKUP(A655,'[1]Raw data'!$B:$Z,8,FALSE)</f>
        <v>#N/A</v>
      </c>
      <c r="U655" s="563" t="e">
        <f>VLOOKUP(A655,'[1]Raw data'!$B:$Z,9,FALSE)</f>
        <v>#N/A</v>
      </c>
      <c r="V655" s="567" t="e">
        <f t="shared" si="93"/>
        <v>#N/A</v>
      </c>
      <c r="W655" s="563" t="e">
        <f>VLOOKUP(A655,'[1]Raw data'!$B:$AG,32,FALSE)</f>
        <v>#N/A</v>
      </c>
      <c r="X655" s="563" t="e">
        <f>VLOOKUP(A655,'[1]Raw data'!$B:$BA,31,FALSE)</f>
        <v>#N/A</v>
      </c>
      <c r="Y655" s="563" t="e">
        <f>VLOOKUP(A655,'[1]Raw data'!$B:$AS,39,FALSE)</f>
        <v>#N/A</v>
      </c>
      <c r="Z655" s="659"/>
      <c r="AA655" s="660"/>
      <c r="AB655" s="661"/>
      <c r="AC655" s="647" t="s">
        <v>1241</v>
      </c>
      <c r="AD655" s="575"/>
      <c r="AE655" s="575"/>
      <c r="AF655" s="575"/>
      <c r="AG655" s="575"/>
      <c r="AH655" s="575"/>
      <c r="AI655" s="679"/>
      <c r="AJ655" s="564"/>
      <c r="AK655" s="564"/>
      <c r="AL655" s="564"/>
      <c r="AM655" s="564"/>
      <c r="AN655" s="614"/>
      <c r="AO655" s="824" t="str">
        <f t="shared" si="95"/>
        <v>No</v>
      </c>
      <c r="AP655" s="259" t="str">
        <f t="shared" si="96"/>
        <v>blank</v>
      </c>
      <c r="AQ655" s="542" t="str">
        <f t="shared" si="97"/>
        <v>无定金+无預留客戶</v>
      </c>
      <c r="AR655" s="259" t="str">
        <f t="shared" si="98"/>
        <v>Shipped_Stock</v>
      </c>
      <c r="AS655" s="259" t="str">
        <f t="shared" si="99"/>
        <v/>
      </c>
      <c r="AT655" s="259" t="str">
        <f t="shared" si="100"/>
        <v>-</v>
      </c>
      <c r="AU655" s="259" t="str">
        <f t="shared" si="101"/>
        <v>力丰</v>
      </c>
      <c r="AV655" s="259" t="str">
        <f t="shared" si="102"/>
        <v>Sep-05</v>
      </c>
    </row>
    <row r="656" spans="1:48" hidden="1">
      <c r="B656" s="664" t="s">
        <v>1125</v>
      </c>
      <c r="C656" s="563" t="s">
        <v>4013</v>
      </c>
      <c r="D656" s="645">
        <v>110064</v>
      </c>
      <c r="E656" s="563" t="s">
        <v>886</v>
      </c>
      <c r="F656" s="647" t="s">
        <v>1378</v>
      </c>
      <c r="G656" s="647" t="s">
        <v>283</v>
      </c>
      <c r="H656" s="647" t="s">
        <v>26</v>
      </c>
      <c r="I656" s="575">
        <v>6822</v>
      </c>
      <c r="J656" s="575">
        <v>1</v>
      </c>
      <c r="K656" s="647" t="s">
        <v>1381</v>
      </c>
      <c r="L656" s="675">
        <v>44079</v>
      </c>
      <c r="M656" s="665">
        <v>7.8</v>
      </c>
      <c r="N656" s="647"/>
      <c r="O656" s="575"/>
      <c r="P656" s="665" t="s">
        <v>1246</v>
      </c>
      <c r="Q656" s="725" t="s">
        <v>1382</v>
      </c>
      <c r="R656" s="647" t="e">
        <f>VLOOKUP(A656,'[1]Raw data'!$B:$Z,3,FALSE)</f>
        <v>#N/A</v>
      </c>
      <c r="S656" s="647" t="e">
        <f>VLOOKUP(A656,'[1]Raw data'!$B:$Z,4,FALSE)</f>
        <v>#N/A</v>
      </c>
      <c r="T656" s="647" t="e">
        <f>VLOOKUP(A656,'[1]Raw data'!$B:$Z,8,FALSE)</f>
        <v>#N/A</v>
      </c>
      <c r="U656" s="647" t="e">
        <f>VLOOKUP(A656,'[1]Raw data'!$B:$Z,9,FALSE)</f>
        <v>#N/A</v>
      </c>
      <c r="V656" s="567" t="e">
        <f t="shared" si="93"/>
        <v>#N/A</v>
      </c>
      <c r="W656" s="563" t="e">
        <f>VLOOKUP(A656,'[1]Raw data'!$B:$AG,32,FALSE)</f>
        <v>#N/A</v>
      </c>
      <c r="X656" s="647" t="e">
        <f>VLOOKUP(A656,'[1]Raw data'!$B:$BA,31,FALSE)</f>
        <v>#N/A</v>
      </c>
      <c r="Y656" s="647" t="e">
        <f>VLOOKUP(A656,'[1]Raw data'!$B:$AS,39,FALSE)</f>
        <v>#N/A</v>
      </c>
      <c r="Z656" s="659"/>
      <c r="AA656" s="660"/>
      <c r="AB656" s="661"/>
      <c r="AC656" s="647" t="s">
        <v>1241</v>
      </c>
      <c r="AD656" s="662"/>
      <c r="AE656" s="662"/>
      <c r="AF656" s="662"/>
      <c r="AG656" s="662"/>
      <c r="AH656" s="662"/>
      <c r="AI656" s="663"/>
      <c r="AN656" s="542"/>
      <c r="AO656" s="824" t="str">
        <f t="shared" si="95"/>
        <v>No</v>
      </c>
      <c r="AP656" s="259" t="str">
        <f t="shared" si="96"/>
        <v>blank</v>
      </c>
      <c r="AQ656" s="542" t="str">
        <f t="shared" si="97"/>
        <v>无定金+无預留客戶</v>
      </c>
      <c r="AR656" s="259" t="str">
        <f t="shared" si="98"/>
        <v>Shipped_Stock</v>
      </c>
      <c r="AS656" s="259" t="str">
        <f t="shared" si="99"/>
        <v/>
      </c>
      <c r="AT656" s="259" t="str">
        <f t="shared" si="100"/>
        <v>-</v>
      </c>
      <c r="AU656" s="259" t="str">
        <f t="shared" si="101"/>
        <v>上海客户</v>
      </c>
      <c r="AV656" s="259" t="str">
        <f t="shared" si="102"/>
        <v>Sep-05</v>
      </c>
    </row>
    <row r="657" spans="1:48" hidden="1">
      <c r="A657" s="559">
        <v>942</v>
      </c>
      <c r="B657" s="664" t="s">
        <v>1125</v>
      </c>
      <c r="C657" s="664" t="s">
        <v>15</v>
      </c>
      <c r="D657" s="645">
        <v>110096</v>
      </c>
      <c r="E657" s="646" t="s">
        <v>1300</v>
      </c>
      <c r="F657" s="647" t="s">
        <v>241</v>
      </c>
      <c r="G657" s="647" t="s">
        <v>18</v>
      </c>
      <c r="H657" s="647" t="s">
        <v>26</v>
      </c>
      <c r="I657" s="575" t="s">
        <v>1383</v>
      </c>
      <c r="J657" s="662">
        <v>1</v>
      </c>
      <c r="K657" s="647" t="s">
        <v>81</v>
      </c>
      <c r="L657" s="675">
        <v>44221</v>
      </c>
      <c r="M657" s="665" t="s">
        <v>906</v>
      </c>
      <c r="N657" s="647" t="s">
        <v>1127</v>
      </c>
      <c r="O657" s="575"/>
      <c r="P657" s="566" t="str">
        <f>VLOOKUP(A657,'[1]Raw data'!$B:$BB,23,FALSE)</f>
        <v>JPY</v>
      </c>
      <c r="Q657" s="563" t="str">
        <f>VLOOKUP(A657,'[1]Raw data'!$B:$Z,2,FALSE)</f>
        <v>C49SZX20200222SS</v>
      </c>
      <c r="R657" s="563" t="str">
        <f>VLOOKUP(A657,'[1]Raw data'!$B:$Z,3,FALSE)</f>
        <v>盈通恒翼</v>
      </c>
      <c r="S657" s="563" t="str">
        <f>VLOOKUP(A657,'[1]Raw data'!$B:$Z,4,FALSE)</f>
        <v>YSM10</v>
      </c>
      <c r="T657" s="563" t="str">
        <f>VLOOKUP(A657,'[1]Raw data'!$B:$Z,8,FALSE)</f>
        <v>R-&gt;L</v>
      </c>
      <c r="U657" s="563" t="str">
        <f>VLOOKUP(A657,'[1]Raw data'!$B:$Z,9,FALSE)</f>
        <v>No</v>
      </c>
      <c r="V657" s="567" t="str">
        <f t="shared" si="93"/>
        <v>OK</v>
      </c>
      <c r="W657" s="563" t="str">
        <f>VLOOKUP(A657,'[1]Raw data'!$B:$AG,32,FALSE)</f>
        <v>DAP SZ</v>
      </c>
      <c r="X657" s="563">
        <f>VLOOKUP(A657,'[1]Raw data'!$B:$BA,31,FALSE)</f>
        <v>44153</v>
      </c>
      <c r="Y657" s="563" t="str">
        <f>VLOOKUP(A657,'[1]Raw data'!$B:$AS,39,FALSE)</f>
        <v>Yes</v>
      </c>
      <c r="Z657" s="659"/>
      <c r="AA657" s="660"/>
      <c r="AB657" s="661"/>
      <c r="AC657" s="647" t="s">
        <v>1377</v>
      </c>
      <c r="AD657" s="662">
        <v>302</v>
      </c>
      <c r="AE657" s="662">
        <v>10</v>
      </c>
      <c r="AF657" s="662"/>
      <c r="AG657" s="662"/>
      <c r="AH657" s="662"/>
      <c r="AI657" s="663"/>
      <c r="AN657" s="542"/>
      <c r="AO657" s="824" t="str">
        <f t="shared" si="95"/>
        <v>Yes</v>
      </c>
      <c r="AP657" s="259" t="str">
        <f t="shared" si="96"/>
        <v>JAN 21</v>
      </c>
      <c r="AQ657" s="542" t="str">
        <f t="shared" si="97"/>
        <v>有定金+有預留客戶</v>
      </c>
      <c r="AR657" s="259" t="str">
        <f t="shared" si="98"/>
        <v>Shipped_Stock</v>
      </c>
      <c r="AS657" s="259" t="str">
        <f t="shared" si="99"/>
        <v/>
      </c>
      <c r="AT657" s="259" t="str">
        <f t="shared" si="100"/>
        <v>盈通恒翼</v>
      </c>
      <c r="AU657" s="259" t="str">
        <f t="shared" si="101"/>
        <v>C49SZX20200222SS</v>
      </c>
      <c r="AV657" s="259" t="str">
        <f t="shared" si="102"/>
        <v>Jan-25</v>
      </c>
    </row>
    <row r="658" spans="1:48" hidden="1">
      <c r="A658" s="559">
        <v>1114</v>
      </c>
      <c r="B658" s="664" t="s">
        <v>1125</v>
      </c>
      <c r="C658" s="664" t="s">
        <v>15</v>
      </c>
      <c r="D658" s="645" t="s">
        <v>1384</v>
      </c>
      <c r="E658" s="646" t="s">
        <v>1300</v>
      </c>
      <c r="F658" s="647" t="s">
        <v>241</v>
      </c>
      <c r="G658" s="647" t="s">
        <v>18</v>
      </c>
      <c r="H658" s="647" t="s">
        <v>26</v>
      </c>
      <c r="I658" s="575" t="s">
        <v>1385</v>
      </c>
      <c r="J658" s="575">
        <v>1</v>
      </c>
      <c r="K658" s="647" t="s">
        <v>85</v>
      </c>
      <c r="L658" s="675">
        <v>44221</v>
      </c>
      <c r="M658" s="665">
        <v>6.3100000000000003E-2</v>
      </c>
      <c r="N658" s="647" t="s">
        <v>14</v>
      </c>
      <c r="O658" s="575"/>
      <c r="P658" s="566" t="str">
        <f>VLOOKUP(A658,'[1]Raw data'!$B:$BB,23,FALSE)</f>
        <v>JPY</v>
      </c>
      <c r="Q658" s="563" t="str">
        <f>VLOOKUP(A658,'[1]Raw data'!$B:$Z,2,FALSE)</f>
        <v>C49SZX20210032JL</v>
      </c>
      <c r="R658" s="563" t="str">
        <f>VLOOKUP(A658,'[1]Raw data'!$B:$Z,3,FALSE)</f>
        <v>捷舜诚</v>
      </c>
      <c r="S658" s="563" t="str">
        <f>VLOOKUP(A658,'[1]Raw data'!$B:$Z,4,FALSE)</f>
        <v>YSM10</v>
      </c>
      <c r="T658" s="563" t="str">
        <f>VLOOKUP(A658,'[1]Raw data'!$B:$Z,8,FALSE)</f>
        <v>L-&gt;R</v>
      </c>
      <c r="U658" s="563" t="str">
        <f>VLOOKUP(A658,'[1]Raw data'!$B:$Z,9,FALSE)</f>
        <v>MVC</v>
      </c>
      <c r="V658" s="567" t="str">
        <f t="shared" si="93"/>
        <v>WRONG</v>
      </c>
      <c r="W658" s="563" t="str">
        <f>VLOOKUP(A658,'[1]Raw data'!$B:$AG,32,FALSE)</f>
        <v>DAP SZ</v>
      </c>
      <c r="X658" s="563">
        <f>VLOOKUP(A658,'[1]Raw data'!$B:$BA,31,FALSE)</f>
        <v>44225</v>
      </c>
      <c r="Y658" s="563" t="str">
        <f>VLOOKUP(A658,'[1]Raw data'!$B:$AS,39,FALSE)</f>
        <v>Yes</v>
      </c>
      <c r="Z658" s="659"/>
      <c r="AA658" s="660"/>
      <c r="AB658" s="661"/>
      <c r="AC658" s="647" t="s">
        <v>1150</v>
      </c>
      <c r="AD658" s="662">
        <v>311</v>
      </c>
      <c r="AE658" s="662">
        <v>10</v>
      </c>
      <c r="AF658" s="662"/>
      <c r="AG658" s="662"/>
      <c r="AH658" s="662"/>
      <c r="AI658" s="663"/>
      <c r="AN658" s="542"/>
      <c r="AO658" s="824" t="str">
        <f t="shared" si="95"/>
        <v>Yes</v>
      </c>
      <c r="AP658" s="259" t="str">
        <f t="shared" si="96"/>
        <v>FEB 21</v>
      </c>
      <c r="AQ658" s="542" t="str">
        <f t="shared" si="97"/>
        <v>有定金+有預留客戶</v>
      </c>
      <c r="AR658" s="259" t="str">
        <f t="shared" si="98"/>
        <v>Shipped_Stock</v>
      </c>
      <c r="AS658" s="259" t="str">
        <f t="shared" si="99"/>
        <v/>
      </c>
      <c r="AT658" s="259" t="str">
        <f t="shared" si="100"/>
        <v>捷舜诚</v>
      </c>
      <c r="AU658" s="259" t="str">
        <f t="shared" si="101"/>
        <v>C49SZX20210032JL</v>
      </c>
      <c r="AV658" s="259" t="str">
        <f t="shared" si="102"/>
        <v>Jan-25</v>
      </c>
    </row>
    <row r="659" spans="1:48" hidden="1">
      <c r="A659" s="559">
        <v>916</v>
      </c>
      <c r="B659" s="664" t="s">
        <v>1125</v>
      </c>
      <c r="C659" s="664" t="s">
        <v>15</v>
      </c>
      <c r="D659" s="645">
        <v>110096</v>
      </c>
      <c r="E659" s="646" t="s">
        <v>1300</v>
      </c>
      <c r="F659" s="647" t="s">
        <v>241</v>
      </c>
      <c r="G659" s="647" t="s">
        <v>18</v>
      </c>
      <c r="H659" s="647" t="s">
        <v>34</v>
      </c>
      <c r="I659" s="575" t="s">
        <v>1386</v>
      </c>
      <c r="J659" s="662">
        <v>1</v>
      </c>
      <c r="K659" s="647" t="s">
        <v>81</v>
      </c>
      <c r="L659" s="675">
        <v>44221</v>
      </c>
      <c r="M659" s="665" t="s">
        <v>906</v>
      </c>
      <c r="N659" s="647" t="s">
        <v>1127</v>
      </c>
      <c r="O659" s="575"/>
      <c r="P659" s="566" t="str">
        <f>VLOOKUP(A659,'[1]Raw data'!$B:$BB,23,FALSE)</f>
        <v>JPY</v>
      </c>
      <c r="Q659" s="563" t="str">
        <f>VLOOKUP(A659,'[1]Raw data'!$B:$Z,2,FALSE)</f>
        <v>C49SZX20200192SS</v>
      </c>
      <c r="R659" s="563" t="str">
        <f>VLOOKUP(A659,'[1]Raw data'!$B:$Z,3,FALSE)</f>
        <v>合进高</v>
      </c>
      <c r="S659" s="563" t="str">
        <f>VLOOKUP(A659,'[1]Raw data'!$B:$Z,4,FALSE)</f>
        <v>YSM10</v>
      </c>
      <c r="T659" s="563" t="str">
        <f>VLOOKUP(A659,'[1]Raw data'!$B:$Z,8,FALSE)</f>
        <v>L-&gt;R</v>
      </c>
      <c r="U659" s="563" t="str">
        <f>VLOOKUP(A659,'[1]Raw data'!$B:$Z,9,FALSE)</f>
        <v>MVC+ATS15</v>
      </c>
      <c r="V659" s="567" t="str">
        <f t="shared" si="93"/>
        <v>WRONG</v>
      </c>
      <c r="W659" s="563" t="str">
        <f>VLOOKUP(A659,'[1]Raw data'!$B:$AG,32,FALSE)</f>
        <v>CIF HK</v>
      </c>
      <c r="X659" s="563">
        <f>VLOOKUP(A659,'[1]Raw data'!$B:$BA,31,FALSE)</f>
        <v>44124</v>
      </c>
      <c r="Y659" s="563" t="str">
        <f>VLOOKUP(A659,'[1]Raw data'!$B:$AS,39,FALSE)</f>
        <v>Yes</v>
      </c>
      <c r="Z659" s="659"/>
      <c r="AA659" s="660"/>
      <c r="AB659" s="661"/>
      <c r="AC659" s="647" t="s">
        <v>1387</v>
      </c>
      <c r="AD659" s="662">
        <v>312</v>
      </c>
      <c r="AE659" s="662">
        <v>10</v>
      </c>
      <c r="AF659" s="662"/>
      <c r="AG659" s="662"/>
      <c r="AH659" s="662"/>
      <c r="AI659" s="663"/>
      <c r="AN659" s="542"/>
      <c r="AO659" s="824" t="str">
        <f t="shared" si="95"/>
        <v>Yes</v>
      </c>
      <c r="AP659" s="259" t="str">
        <f t="shared" si="96"/>
        <v>JAN 21</v>
      </c>
      <c r="AQ659" s="542" t="str">
        <f t="shared" si="97"/>
        <v>有定金+有預留客戶</v>
      </c>
      <c r="AR659" s="259" t="str">
        <f t="shared" si="98"/>
        <v>Shipped_Stock</v>
      </c>
      <c r="AS659" s="259" t="str">
        <f t="shared" si="99"/>
        <v/>
      </c>
      <c r="AT659" s="259" t="str">
        <f t="shared" si="100"/>
        <v>合进高</v>
      </c>
      <c r="AU659" s="259" t="str">
        <f t="shared" si="101"/>
        <v>C49SZX20200192SS</v>
      </c>
      <c r="AV659" s="259" t="str">
        <f t="shared" si="102"/>
        <v>Jan-25</v>
      </c>
    </row>
    <row r="660" spans="1:48" hidden="1">
      <c r="A660" s="559">
        <v>1049</v>
      </c>
      <c r="B660" s="664" t="s">
        <v>1125</v>
      </c>
      <c r="C660" s="664" t="s">
        <v>15</v>
      </c>
      <c r="D660" s="645">
        <v>110096</v>
      </c>
      <c r="E660" s="646" t="s">
        <v>1300</v>
      </c>
      <c r="F660" s="647" t="s">
        <v>241</v>
      </c>
      <c r="G660" s="647" t="s">
        <v>18</v>
      </c>
      <c r="H660" s="647" t="s">
        <v>34</v>
      </c>
      <c r="I660" s="575" t="s">
        <v>1388</v>
      </c>
      <c r="J660" s="575">
        <v>1</v>
      </c>
      <c r="K660" s="647" t="s">
        <v>81</v>
      </c>
      <c r="L660" s="675">
        <v>44221</v>
      </c>
      <c r="M660" s="665" t="s">
        <v>906</v>
      </c>
      <c r="N660" s="647" t="s">
        <v>90</v>
      </c>
      <c r="O660" s="575"/>
      <c r="P660" s="665" t="str">
        <f>VLOOKUP(A660,'[1]Raw data'!$B:$BA,23,FALSE)</f>
        <v>JPY</v>
      </c>
      <c r="Q660" s="647" t="str">
        <f>VLOOKUP(A660,'[1]Raw data'!$B:$Z,2,FALSE)</f>
        <v>C49SZX20200257JY</v>
      </c>
      <c r="R660" s="647" t="str">
        <f>VLOOKUP(A660,'[1]Raw data'!$B:$Z,3,FALSE)</f>
        <v>精德鸿</v>
      </c>
      <c r="S660" s="647" t="str">
        <f>VLOOKUP(A660,'[1]Raw data'!$B:$Z,4,FALSE)</f>
        <v>YSM10</v>
      </c>
      <c r="T660" s="647" t="str">
        <f>VLOOKUP(A660,'[1]Raw data'!$B:$Z,8,FALSE)</f>
        <v>L-&gt;R</v>
      </c>
      <c r="U660" s="647" t="str">
        <f>VLOOKUP(A660,'[1]Raw data'!$B:$Z,9,FALSE)</f>
        <v>MVC+ATS15</v>
      </c>
      <c r="V660" s="567" t="str">
        <f t="shared" si="93"/>
        <v>WRONG</v>
      </c>
      <c r="W660" s="563" t="str">
        <f>VLOOKUP(A660,'[1]Raw data'!$B:$AG,32,FALSE)</f>
        <v>DAP SZ</v>
      </c>
      <c r="X660" s="647">
        <f>VLOOKUP(A660,'[1]Raw data'!$B:$BA,31,FALSE)</f>
        <v>44193</v>
      </c>
      <c r="Y660" s="647" t="str">
        <f>VLOOKUP(A660,'[1]Raw data'!$B:$AS,39,FALSE)</f>
        <v>Yes</v>
      </c>
      <c r="Z660" s="659"/>
      <c r="AA660" s="660"/>
      <c r="AB660" s="661"/>
      <c r="AC660" s="647" t="s">
        <v>1389</v>
      </c>
      <c r="AD660" s="662">
        <v>301</v>
      </c>
      <c r="AE660" s="662">
        <v>10</v>
      </c>
      <c r="AF660" s="662"/>
      <c r="AG660" s="662"/>
      <c r="AH660" s="662"/>
      <c r="AI660" s="663"/>
      <c r="AN660" s="542"/>
      <c r="AO660" s="824" t="str">
        <f t="shared" si="95"/>
        <v>Yes</v>
      </c>
      <c r="AP660" s="259" t="str">
        <f t="shared" si="96"/>
        <v>APR 21</v>
      </c>
      <c r="AQ660" s="542" t="str">
        <f t="shared" si="97"/>
        <v>有定金+有預留客戶</v>
      </c>
      <c r="AR660" s="259" t="str">
        <f t="shared" si="98"/>
        <v>Shipped_Stock</v>
      </c>
      <c r="AS660" s="259" t="str">
        <f t="shared" si="99"/>
        <v/>
      </c>
      <c r="AT660" s="259" t="str">
        <f t="shared" si="100"/>
        <v>精德鸿</v>
      </c>
      <c r="AU660" s="259" t="str">
        <f t="shared" si="101"/>
        <v>C49SZX20200257JY</v>
      </c>
      <c r="AV660" s="259" t="str">
        <f t="shared" si="102"/>
        <v>Jan-25</v>
      </c>
    </row>
    <row r="661" spans="1:48" hidden="1">
      <c r="A661" s="559">
        <v>1157</v>
      </c>
      <c r="B661" s="664" t="s">
        <v>1125</v>
      </c>
      <c r="C661" s="664" t="s">
        <v>15</v>
      </c>
      <c r="D661" s="645">
        <v>110096</v>
      </c>
      <c r="E661" s="646" t="s">
        <v>1300</v>
      </c>
      <c r="F661" s="647" t="s">
        <v>241</v>
      </c>
      <c r="G661" s="647" t="s">
        <v>18</v>
      </c>
      <c r="H661" s="647" t="s">
        <v>34</v>
      </c>
      <c r="I661" s="575" t="s">
        <v>93</v>
      </c>
      <c r="J661" s="575">
        <v>1</v>
      </c>
      <c r="K661" s="647" t="s">
        <v>81</v>
      </c>
      <c r="L661" s="675">
        <v>44221</v>
      </c>
      <c r="M661" s="665" t="s">
        <v>258</v>
      </c>
      <c r="N661" s="647" t="s">
        <v>90</v>
      </c>
      <c r="O661" s="575"/>
      <c r="P661" s="665" t="str">
        <f>VLOOKUP(A661,'[1]Raw data'!$B:$BA,23,FALSE)</f>
        <v>JPY</v>
      </c>
      <c r="Q661" s="647" t="str">
        <f>VLOOKUP(A661,'[1]Raw data'!$B:$Z,2,FALSE)</f>
        <v>C49SZX20210051JY</v>
      </c>
      <c r="R661" s="647" t="str">
        <f>VLOOKUP(A661,'[1]Raw data'!$B:$Z,3,FALSE)</f>
        <v>络鑫（end user:东莞络鑫）</v>
      </c>
      <c r="S661" s="647" t="str">
        <f>VLOOKUP(A661,'[1]Raw data'!$B:$Z,4,FALSE)</f>
        <v>YSM10</v>
      </c>
      <c r="T661" s="647" t="str">
        <f>VLOOKUP(A661,'[1]Raw data'!$B:$Z,8,FALSE)</f>
        <v>L-&gt;R</v>
      </c>
      <c r="U661" s="647" t="str">
        <f>VLOOKUP(A661,'[1]Raw data'!$B:$Z,9,FALSE)</f>
        <v>MVC+ATS15</v>
      </c>
      <c r="V661" s="567" t="str">
        <f t="shared" si="93"/>
        <v>WRONG</v>
      </c>
      <c r="W661" s="563" t="str">
        <f>VLOOKUP(A661,'[1]Raw data'!$B:$AG,32,FALSE)</f>
        <v>CIF HK</v>
      </c>
      <c r="X661" s="647">
        <f>VLOOKUP(A661,'[1]Raw data'!$B:$BA,31,FALSE)</f>
        <v>44259</v>
      </c>
      <c r="Y661" s="647" t="str">
        <f>VLOOKUP(A661,'[1]Raw data'!$B:$AS,39,FALSE)</f>
        <v>Yes</v>
      </c>
      <c r="Z661" s="659"/>
      <c r="AA661" s="660"/>
      <c r="AB661" s="661"/>
      <c r="AC661" s="647" t="s">
        <v>1390</v>
      </c>
      <c r="AD661" s="662">
        <v>301</v>
      </c>
      <c r="AE661" s="662">
        <v>10</v>
      </c>
      <c r="AF661" s="662"/>
      <c r="AG661" s="662"/>
      <c r="AH661" s="662"/>
      <c r="AI661" s="663"/>
      <c r="AN661" s="542"/>
      <c r="AO661" s="824" t="str">
        <f t="shared" si="95"/>
        <v>Yes</v>
      </c>
      <c r="AP661" s="259" t="str">
        <f t="shared" si="96"/>
        <v>APR 21</v>
      </c>
      <c r="AQ661" s="542" t="str">
        <f t="shared" si="97"/>
        <v>有定金+有預留客戶</v>
      </c>
      <c r="AR661" s="259" t="str">
        <f t="shared" si="98"/>
        <v>Shipped_Stock</v>
      </c>
      <c r="AS661" s="259" t="str">
        <f t="shared" si="99"/>
        <v/>
      </c>
      <c r="AT661" s="259" t="str">
        <f t="shared" si="100"/>
        <v>络鑫（end user:东莞络鑫）</v>
      </c>
      <c r="AU661" s="259" t="str">
        <f t="shared" si="101"/>
        <v>C49SZX20210051JY</v>
      </c>
      <c r="AV661" s="259" t="str">
        <f t="shared" si="102"/>
        <v>Jan-25</v>
      </c>
    </row>
    <row r="662" spans="1:48" ht="12" hidden="1" customHeight="1">
      <c r="A662" s="599">
        <v>909</v>
      </c>
      <c r="B662" s="664" t="s">
        <v>1125</v>
      </c>
      <c r="C662" s="664" t="s">
        <v>15</v>
      </c>
      <c r="D662" s="645">
        <v>110123</v>
      </c>
      <c r="E662" s="563" t="s">
        <v>886</v>
      </c>
      <c r="F662" s="647" t="s">
        <v>58</v>
      </c>
      <c r="G662" s="647" t="s">
        <v>24</v>
      </c>
      <c r="H662" s="647" t="s">
        <v>26</v>
      </c>
      <c r="I662" s="575" t="s">
        <v>1391</v>
      </c>
      <c r="J662" s="575">
        <v>1</v>
      </c>
      <c r="K662" s="647" t="s">
        <v>81</v>
      </c>
      <c r="L662" s="675">
        <v>44221</v>
      </c>
      <c r="M662" s="665" t="s">
        <v>906</v>
      </c>
      <c r="N662" s="647" t="s">
        <v>1127</v>
      </c>
      <c r="O662" s="575"/>
      <c r="P662" s="566" t="str">
        <f>VLOOKUP(A662,'[1]Raw data'!$B:$BB,23,FALSE)</f>
        <v>JPY</v>
      </c>
      <c r="Q662" s="563" t="str">
        <f>VLOOKUP(A662,'[1]Raw data'!$B:$Z,2,FALSE)</f>
        <v>C49SZX20200207MZ</v>
      </c>
      <c r="R662" s="563" t="str">
        <f>VLOOKUP(A662,'[1]Raw data'!$B:$Z,3,FALSE)</f>
        <v>崧盛</v>
      </c>
      <c r="S662" s="563" t="str">
        <f>VLOOKUP(A662,'[1]Raw data'!$B:$Z,4,FALSE)</f>
        <v>YSM20R-2</v>
      </c>
      <c r="T662" s="563" t="str">
        <f>VLOOKUP(A662,'[1]Raw data'!$B:$Z,8,FALSE)</f>
        <v>L-&gt;R</v>
      </c>
      <c r="U662" s="563" t="str">
        <f>VLOOKUP(A662,'[1]Raw data'!$B:$Z,9,FALSE)</f>
        <v>No</v>
      </c>
      <c r="V662" s="567" t="str">
        <f t="shared" ref="V662:V726" si="103">IF(G662&amp;H662=T662&amp;U662,"OK","WRONG")</f>
        <v>OK</v>
      </c>
      <c r="W662" s="563" t="str">
        <f>VLOOKUP(A662,'[1]Raw data'!$B:$AG,32,FALSE)</f>
        <v>CIF HK</v>
      </c>
      <c r="X662" s="563">
        <f>VLOOKUP(A662,'[1]Raw data'!$B:$BA,31,FALSE)</f>
        <v>44139</v>
      </c>
      <c r="Y662" s="563" t="str">
        <f>VLOOKUP(A662,'[1]Raw data'!$B:$AS,39,FALSE)</f>
        <v>Yes</v>
      </c>
      <c r="Z662" s="659"/>
      <c r="AA662" s="660"/>
      <c r="AB662" s="661"/>
      <c r="AC662" s="647" t="s">
        <v>1369</v>
      </c>
      <c r="AD662" s="575">
        <v>301</v>
      </c>
      <c r="AE662" s="575">
        <v>10</v>
      </c>
      <c r="AF662" s="575">
        <v>303</v>
      </c>
      <c r="AG662" s="575">
        <v>10</v>
      </c>
      <c r="AH662" s="575"/>
      <c r="AI662" s="679"/>
      <c r="AJ662" s="564"/>
      <c r="AK662" s="564"/>
      <c r="AL662" s="564"/>
      <c r="AM662" s="564"/>
      <c r="AN662" s="614"/>
      <c r="AO662" s="824" t="str">
        <f t="shared" si="95"/>
        <v>Yes</v>
      </c>
      <c r="AP662" s="259" t="str">
        <f t="shared" si="96"/>
        <v>JAN 21</v>
      </c>
      <c r="AQ662" s="542" t="str">
        <f t="shared" si="97"/>
        <v>有定金+有預留客戶</v>
      </c>
      <c r="AR662" s="259" t="str">
        <f t="shared" si="98"/>
        <v>Shipped_Stock</v>
      </c>
      <c r="AS662" s="259" t="str">
        <f t="shared" si="99"/>
        <v/>
      </c>
      <c r="AT662" s="259" t="str">
        <f t="shared" si="100"/>
        <v>崧盛</v>
      </c>
      <c r="AU662" s="259" t="str">
        <f t="shared" si="101"/>
        <v>C49SZX20200207MZ</v>
      </c>
      <c r="AV662" s="259" t="str">
        <f t="shared" si="102"/>
        <v>Jan-25</v>
      </c>
    </row>
    <row r="663" spans="1:48" hidden="1">
      <c r="A663" s="559">
        <v>1080</v>
      </c>
      <c r="B663" s="563" t="s">
        <v>1125</v>
      </c>
      <c r="C663" s="560" t="s">
        <v>281</v>
      </c>
      <c r="D663" s="564" t="s">
        <v>1392</v>
      </c>
      <c r="E663" s="563" t="s">
        <v>886</v>
      </c>
      <c r="F663" s="563" t="s">
        <v>58</v>
      </c>
      <c r="G663" s="563" t="s">
        <v>24</v>
      </c>
      <c r="H663" s="563" t="s">
        <v>26</v>
      </c>
      <c r="I663" s="564" t="s">
        <v>1393</v>
      </c>
      <c r="J663" s="564">
        <v>1</v>
      </c>
      <c r="K663" s="563" t="s">
        <v>82</v>
      </c>
      <c r="L663" s="565">
        <v>44234</v>
      </c>
      <c r="M663" s="566" t="s">
        <v>906</v>
      </c>
      <c r="N663" s="563" t="s">
        <v>28</v>
      </c>
      <c r="O663" s="563"/>
      <c r="P663" s="566" t="str">
        <f>VLOOKUP(A663,'[1]Raw data'!$B:$BA,23,FALSE)</f>
        <v>JPY</v>
      </c>
      <c r="Q663" s="563" t="str">
        <f>VLOOKUP(A663,'[1]Raw data'!$B:$Z,2,FALSE)</f>
        <v>C49SZX20210026DZ</v>
      </c>
      <c r="R663" s="563" t="str">
        <f>VLOOKUP(A663,'[1]Raw data'!$B:$Z,3,FALSE)</f>
        <v>航特</v>
      </c>
      <c r="S663" s="563" t="str">
        <f>VLOOKUP(A663,'[1]Raw data'!$B:$Z,4,FALSE)</f>
        <v>YSM20R-2</v>
      </c>
      <c r="T663" s="563" t="str">
        <f>VLOOKUP(A663,'[1]Raw data'!$B:$Z,8,FALSE)</f>
        <v>L-&gt;R</v>
      </c>
      <c r="U663" s="563" t="str">
        <f>VLOOKUP(A663,'[1]Raw data'!$B:$Z,9,FALSE)</f>
        <v>No</v>
      </c>
      <c r="V663" s="567" t="str">
        <f t="shared" si="103"/>
        <v>OK</v>
      </c>
      <c r="W663" s="563" t="str">
        <f>VLOOKUP(A663,'[1]Raw data'!$B:$AG,32,FALSE)</f>
        <v>DAP CS</v>
      </c>
      <c r="X663" s="563">
        <f>VLOOKUP(A663,'[1]Raw data'!$B:$BA,31,FALSE)</f>
        <v>44218</v>
      </c>
      <c r="Y663" s="563" t="str">
        <f>VLOOKUP(A663,'[1]Raw data'!$B:$AS,39,FALSE)</f>
        <v>Yes</v>
      </c>
      <c r="Z663" s="571"/>
      <c r="AA663" s="571"/>
      <c r="AB663" s="571"/>
      <c r="AC663" s="563" t="s">
        <v>1394</v>
      </c>
      <c r="AD663" s="571">
        <v>301</v>
      </c>
      <c r="AE663" s="572">
        <v>10</v>
      </c>
      <c r="AF663" s="571">
        <v>311</v>
      </c>
      <c r="AG663" s="571">
        <v>10</v>
      </c>
      <c r="AI663" s="571"/>
      <c r="AJ663" s="542"/>
      <c r="AK663" s="542"/>
      <c r="AL663" s="542"/>
      <c r="AM663" s="542"/>
      <c r="AN663" s="542"/>
      <c r="AO663" s="824" t="str">
        <f t="shared" si="95"/>
        <v>Yes</v>
      </c>
      <c r="AP663" s="259" t="str">
        <f t="shared" si="96"/>
        <v>MAR 21</v>
      </c>
      <c r="AQ663" s="542" t="str">
        <f t="shared" si="97"/>
        <v>有定金+有預留客戶</v>
      </c>
      <c r="AR663" s="259" t="str">
        <f t="shared" si="98"/>
        <v>Shipped_Stock</v>
      </c>
      <c r="AS663" s="259" t="str">
        <f t="shared" si="99"/>
        <v/>
      </c>
      <c r="AT663" s="259" t="str">
        <f t="shared" si="100"/>
        <v>航特</v>
      </c>
      <c r="AU663" s="259" t="str">
        <f t="shared" si="101"/>
        <v>C49SZX20210026DZ</v>
      </c>
      <c r="AV663" s="259" t="str">
        <f t="shared" si="102"/>
        <v>Feb-07</v>
      </c>
    </row>
    <row r="664" spans="1:48" hidden="1">
      <c r="A664" s="559">
        <v>1121</v>
      </c>
      <c r="B664" s="664" t="s">
        <v>1125</v>
      </c>
      <c r="C664" s="664" t="s">
        <v>15</v>
      </c>
      <c r="D664" s="645">
        <v>110235</v>
      </c>
      <c r="E664" s="563" t="s">
        <v>886</v>
      </c>
      <c r="F664" s="647" t="s">
        <v>58</v>
      </c>
      <c r="G664" s="647" t="s">
        <v>24</v>
      </c>
      <c r="H664" s="647" t="s">
        <v>26</v>
      </c>
      <c r="I664" s="575" t="s">
        <v>1395</v>
      </c>
      <c r="J664" s="575">
        <v>1</v>
      </c>
      <c r="K664" s="647" t="s">
        <v>81</v>
      </c>
      <c r="L664" s="657">
        <v>44234</v>
      </c>
      <c r="M664" s="665">
        <v>6.3100000000000003E-2</v>
      </c>
      <c r="N664" s="647" t="s">
        <v>28</v>
      </c>
      <c r="O664" s="575"/>
      <c r="P664" s="665" t="str">
        <f>VLOOKUP(A664,'[1]Raw data'!$B:$BA,23,FALSE)</f>
        <v>JPY</v>
      </c>
      <c r="Q664" s="647" t="str">
        <f>VLOOKUP(A664,'[1]Raw data'!$B:$Z,2,FALSE)</f>
        <v>C49SZX20210011JY</v>
      </c>
      <c r="R664" s="647" t="str">
        <f>VLOOKUP(A664,'[1]Raw data'!$B:$Z,3,FALSE)</f>
        <v>英拓邦</v>
      </c>
      <c r="S664" s="647" t="str">
        <f>VLOOKUP(A664,'[1]Raw data'!$B:$Z,4,FALSE)</f>
        <v>YSM20R-2</v>
      </c>
      <c r="T664" s="647" t="str">
        <f>VLOOKUP(A664,'[1]Raw data'!$B:$Z,8,FALSE)</f>
        <v>L-&gt;R</v>
      </c>
      <c r="U664" s="647" t="str">
        <f>VLOOKUP(A664,'[1]Raw data'!$B:$Z,9,FALSE)</f>
        <v>MVC</v>
      </c>
      <c r="V664" s="567" t="str">
        <f t="shared" si="103"/>
        <v>WRONG</v>
      </c>
      <c r="W664" s="563" t="str">
        <f>VLOOKUP(A664,'[1]Raw data'!$B:$AG,32,FALSE)</f>
        <v>CIF HK</v>
      </c>
      <c r="X664" s="647">
        <f>VLOOKUP(A664,'[1]Raw data'!$B:$BA,31,FALSE)</f>
        <v>44222</v>
      </c>
      <c r="Y664" s="647" t="str">
        <f>VLOOKUP(A664,'[1]Raw data'!$B:$AS,39,FALSE)</f>
        <v>Yes</v>
      </c>
      <c r="Z664" s="666"/>
      <c r="AA664" s="667"/>
      <c r="AB664" s="668"/>
      <c r="AC664" s="563" t="s">
        <v>965</v>
      </c>
      <c r="AD664" s="662">
        <v>301</v>
      </c>
      <c r="AE664" s="662">
        <v>10</v>
      </c>
      <c r="AF664" s="662">
        <v>311</v>
      </c>
      <c r="AG664" s="662">
        <v>10</v>
      </c>
      <c r="AH664" s="662"/>
      <c r="AI664" s="663"/>
      <c r="AN664" s="542"/>
      <c r="AO664" s="824" t="str">
        <f t="shared" si="95"/>
        <v>Yes</v>
      </c>
      <c r="AP664" s="259" t="str">
        <f t="shared" si="96"/>
        <v>MAR 21</v>
      </c>
      <c r="AQ664" s="542" t="str">
        <f t="shared" si="97"/>
        <v>有定金+有預留客戶</v>
      </c>
      <c r="AR664" s="259" t="str">
        <f t="shared" si="98"/>
        <v>Shipped_Stock</v>
      </c>
      <c r="AS664" s="259" t="str">
        <f t="shared" si="99"/>
        <v/>
      </c>
      <c r="AT664" s="259" t="str">
        <f t="shared" si="100"/>
        <v>英拓邦</v>
      </c>
      <c r="AU664" s="259" t="str">
        <f t="shared" si="101"/>
        <v>C49SZX20210011JY</v>
      </c>
      <c r="AV664" s="259" t="str">
        <f t="shared" si="102"/>
        <v>Feb-07</v>
      </c>
    </row>
    <row r="665" spans="1:48" hidden="1">
      <c r="A665" s="559">
        <v>943</v>
      </c>
      <c r="B665" s="664" t="s">
        <v>1125</v>
      </c>
      <c r="C665" s="664" t="s">
        <v>15</v>
      </c>
      <c r="D665" s="645">
        <v>110235</v>
      </c>
      <c r="E665" s="563" t="s">
        <v>886</v>
      </c>
      <c r="F665" s="647" t="s">
        <v>58</v>
      </c>
      <c r="G665" s="647" t="s">
        <v>24</v>
      </c>
      <c r="H665" s="647" t="s">
        <v>26</v>
      </c>
      <c r="I665" s="575" t="s">
        <v>1396</v>
      </c>
      <c r="J665" s="662">
        <v>1</v>
      </c>
      <c r="K665" s="647" t="s">
        <v>82</v>
      </c>
      <c r="L665" s="657">
        <v>44234</v>
      </c>
      <c r="M665" s="665">
        <v>6.3100000000000003E-2</v>
      </c>
      <c r="N665" s="647" t="s">
        <v>14</v>
      </c>
      <c r="O665" s="575"/>
      <c r="P665" s="566" t="str">
        <f>VLOOKUP(A665,'[1]Raw data'!$B:$BB,23,FALSE)</f>
        <v>RMB</v>
      </c>
      <c r="Q665" s="563" t="str">
        <f>VLOOKUP(A665,'[1]Raw data'!$B:$Z,2,FALSE)</f>
        <v>C49SZX20200221MZ</v>
      </c>
      <c r="R665" s="563" t="str">
        <f>VLOOKUP(A665,'[1]Raw data'!$B:$Z,3,FALSE)</f>
        <v>腾拓</v>
      </c>
      <c r="S665" s="563" t="str">
        <f>VLOOKUP(A665,'[1]Raw data'!$B:$Z,4,FALSE)</f>
        <v>YSM20R-2</v>
      </c>
      <c r="T665" s="563" t="str">
        <f>VLOOKUP(A665,'[1]Raw data'!$B:$Z,8,FALSE)</f>
        <v>L-&gt;R</v>
      </c>
      <c r="U665" s="563" t="str">
        <f>VLOOKUP(A665,'[1]Raw data'!$B:$Z,9,FALSE)</f>
        <v>No</v>
      </c>
      <c r="V665" s="567" t="str">
        <f t="shared" si="103"/>
        <v>OK</v>
      </c>
      <c r="W665" s="563" t="str">
        <f>VLOOKUP(A665,'[1]Raw data'!$B:$AG,32,FALSE)</f>
        <v>含税到厂</v>
      </c>
      <c r="X665" s="563">
        <f>VLOOKUP(A665,'[1]Raw data'!$B:$BA,31,FALSE)</f>
        <v>44154</v>
      </c>
      <c r="Y665" s="563" t="str">
        <f>VLOOKUP(A665,'[1]Raw data'!$B:$AS,39,FALSE)</f>
        <v>Yes</v>
      </c>
      <c r="Z665" s="659"/>
      <c r="AA665" s="660"/>
      <c r="AB665" s="661"/>
      <c r="AC665" s="563" t="s">
        <v>1397</v>
      </c>
      <c r="AD665" s="662">
        <v>301</v>
      </c>
      <c r="AE665" s="662">
        <v>10</v>
      </c>
      <c r="AF665" s="662">
        <v>302</v>
      </c>
      <c r="AG665" s="662">
        <v>10</v>
      </c>
      <c r="AH665" s="662"/>
      <c r="AI665" s="663"/>
      <c r="AN665" s="542"/>
      <c r="AO665" s="824" t="str">
        <f t="shared" si="95"/>
        <v>Yes</v>
      </c>
      <c r="AP665" s="259" t="str">
        <f t="shared" si="96"/>
        <v>FEB 21</v>
      </c>
      <c r="AQ665" s="542" t="str">
        <f t="shared" si="97"/>
        <v>有定金+有預留客戶</v>
      </c>
      <c r="AR665" s="259" t="str">
        <f t="shared" si="98"/>
        <v>Shipped_Stock</v>
      </c>
      <c r="AS665" s="259" t="str">
        <f t="shared" si="99"/>
        <v/>
      </c>
      <c r="AT665" s="259" t="str">
        <f t="shared" si="100"/>
        <v>腾拓</v>
      </c>
      <c r="AU665" s="259" t="str">
        <f t="shared" si="101"/>
        <v>C49SZX20200221MZ</v>
      </c>
      <c r="AV665" s="259" t="str">
        <f t="shared" si="102"/>
        <v>Feb-07</v>
      </c>
    </row>
    <row r="666" spans="1:48" hidden="1">
      <c r="A666" s="559">
        <v>944</v>
      </c>
      <c r="B666" s="664" t="s">
        <v>1125</v>
      </c>
      <c r="C666" s="664" t="s">
        <v>15</v>
      </c>
      <c r="D666" s="645">
        <v>110235</v>
      </c>
      <c r="E666" s="563" t="s">
        <v>886</v>
      </c>
      <c r="F666" s="647" t="s">
        <v>58</v>
      </c>
      <c r="G666" s="647" t="s">
        <v>24</v>
      </c>
      <c r="H666" s="647" t="s">
        <v>26</v>
      </c>
      <c r="I666" s="575" t="s">
        <v>1398</v>
      </c>
      <c r="J666" s="662">
        <v>1</v>
      </c>
      <c r="K666" s="647" t="s">
        <v>82</v>
      </c>
      <c r="L666" s="657">
        <v>44234</v>
      </c>
      <c r="M666" s="665">
        <v>6.3100000000000003E-2</v>
      </c>
      <c r="N666" s="647" t="s">
        <v>14</v>
      </c>
      <c r="O666" s="575"/>
      <c r="P666" s="566" t="str">
        <f>VLOOKUP(A666,'[1]Raw data'!$B:$BB,23,FALSE)</f>
        <v>RMB</v>
      </c>
      <c r="Q666" s="563" t="str">
        <f>VLOOKUP(A666,'[1]Raw data'!$B:$Z,2,FALSE)</f>
        <v>C49SZX20200221MZ</v>
      </c>
      <c r="R666" s="563" t="str">
        <f>VLOOKUP(A666,'[1]Raw data'!$B:$Z,3,FALSE)</f>
        <v>腾拓</v>
      </c>
      <c r="S666" s="563" t="str">
        <f>VLOOKUP(A666,'[1]Raw data'!$B:$Z,4,FALSE)</f>
        <v>YSM20R-2</v>
      </c>
      <c r="T666" s="563" t="str">
        <f>VLOOKUP(A666,'[1]Raw data'!$B:$Z,8,FALSE)</f>
        <v>L-&gt;R</v>
      </c>
      <c r="U666" s="563" t="str">
        <f>VLOOKUP(A666,'[1]Raw data'!$B:$Z,9,FALSE)</f>
        <v>MVC</v>
      </c>
      <c r="V666" s="567" t="str">
        <f t="shared" si="103"/>
        <v>WRONG</v>
      </c>
      <c r="W666" s="563" t="str">
        <f>VLOOKUP(A666,'[1]Raw data'!$B:$AG,32,FALSE)</f>
        <v>含税到厂</v>
      </c>
      <c r="X666" s="563">
        <f>VLOOKUP(A666,'[1]Raw data'!$B:$BA,31,FALSE)</f>
        <v>44154</v>
      </c>
      <c r="Y666" s="563" t="str">
        <f>VLOOKUP(A666,'[1]Raw data'!$B:$AS,39,FALSE)</f>
        <v>Yes</v>
      </c>
      <c r="Z666" s="659"/>
      <c r="AA666" s="660"/>
      <c r="AB666" s="661"/>
      <c r="AC666" s="563" t="s">
        <v>1397</v>
      </c>
      <c r="AD666" s="662">
        <v>302</v>
      </c>
      <c r="AE666" s="662">
        <v>20</v>
      </c>
      <c r="AF666" s="662"/>
      <c r="AG666" s="662"/>
      <c r="AH666" s="662"/>
      <c r="AI666" s="663"/>
      <c r="AN666" s="542"/>
      <c r="AO666" s="824" t="str">
        <f t="shared" si="95"/>
        <v>Yes</v>
      </c>
      <c r="AP666" s="259" t="str">
        <f t="shared" si="96"/>
        <v>FEB 21</v>
      </c>
      <c r="AQ666" s="542" t="str">
        <f t="shared" si="97"/>
        <v>有定金+有預留客戶</v>
      </c>
      <c r="AR666" s="259" t="str">
        <f t="shared" si="98"/>
        <v>Shipped_Stock</v>
      </c>
      <c r="AS666" s="259" t="str">
        <f t="shared" si="99"/>
        <v/>
      </c>
      <c r="AT666" s="259" t="str">
        <f t="shared" si="100"/>
        <v>腾拓</v>
      </c>
      <c r="AU666" s="259" t="str">
        <f t="shared" si="101"/>
        <v>C49SZX20200221MZ</v>
      </c>
      <c r="AV666" s="259" t="str">
        <f t="shared" si="102"/>
        <v>Feb-07</v>
      </c>
    </row>
    <row r="667" spans="1:48" hidden="1">
      <c r="A667" s="559">
        <v>899</v>
      </c>
      <c r="B667" s="664" t="s">
        <v>1125</v>
      </c>
      <c r="C667" s="664" t="s">
        <v>15</v>
      </c>
      <c r="D667" s="645">
        <v>110132</v>
      </c>
      <c r="E667" s="563" t="s">
        <v>886</v>
      </c>
      <c r="F667" s="647" t="s">
        <v>58</v>
      </c>
      <c r="G667" s="647" t="s">
        <v>24</v>
      </c>
      <c r="H667" s="647" t="s">
        <v>26</v>
      </c>
      <c r="I667" s="575" t="s">
        <v>1399</v>
      </c>
      <c r="J667" s="575">
        <v>1</v>
      </c>
      <c r="K667" s="647" t="s">
        <v>81</v>
      </c>
      <c r="L667" s="657">
        <v>44234</v>
      </c>
      <c r="M667" s="665" t="s">
        <v>906</v>
      </c>
      <c r="N667" s="647" t="s">
        <v>14</v>
      </c>
      <c r="O667" s="575"/>
      <c r="P667" s="566" t="str">
        <f>VLOOKUP(A667,'[1]Raw data'!$B:$BB,23,FALSE)</f>
        <v>JPY</v>
      </c>
      <c r="Q667" s="563" t="str">
        <f>VLOOKUP(A667,'[1]Raw data'!$B:$Z,2,FALSE)</f>
        <v>C49SZX20200198JZ</v>
      </c>
      <c r="R667" s="563" t="str">
        <f>VLOOKUP(A667,'[1]Raw data'!$B:$Z,3,FALSE)</f>
        <v>阿里兄妹</v>
      </c>
      <c r="S667" s="563" t="str">
        <f>VLOOKUP(A667,'[1]Raw data'!$B:$Z,4,FALSE)</f>
        <v>YSM20R-2</v>
      </c>
      <c r="T667" s="563" t="str">
        <f>VLOOKUP(A667,'[1]Raw data'!$B:$Z,8,FALSE)</f>
        <v>L-&gt;R</v>
      </c>
      <c r="U667" s="563" t="str">
        <f>VLOOKUP(A667,'[1]Raw data'!$B:$Z,9,FALSE)</f>
        <v>MVC</v>
      </c>
      <c r="V667" s="567" t="str">
        <f t="shared" si="103"/>
        <v>WRONG</v>
      </c>
      <c r="W667" s="563" t="str">
        <f>VLOOKUP(A667,'[1]Raw data'!$B:$AG,32,FALSE)</f>
        <v>DAP SZ</v>
      </c>
      <c r="X667" s="563">
        <f>VLOOKUP(A667,'[1]Raw data'!$B:$BA,31,FALSE)</f>
        <v>44130</v>
      </c>
      <c r="Y667" s="563" t="str">
        <f>VLOOKUP(A667,'[1]Raw data'!$B:$AS,39,FALSE)</f>
        <v>Yes</v>
      </c>
      <c r="Z667" s="659"/>
      <c r="AA667" s="660"/>
      <c r="AB667" s="661"/>
      <c r="AC667" s="563" t="s">
        <v>1400</v>
      </c>
      <c r="AD667" s="662">
        <v>301</v>
      </c>
      <c r="AE667" s="662">
        <v>10</v>
      </c>
      <c r="AF667" s="662">
        <v>311</v>
      </c>
      <c r="AG667" s="662">
        <v>10</v>
      </c>
      <c r="AH667" s="662"/>
      <c r="AI667" s="663"/>
      <c r="AN667" s="542"/>
      <c r="AO667" s="824" t="str">
        <f t="shared" si="95"/>
        <v>Yes</v>
      </c>
      <c r="AP667" s="259" t="str">
        <f t="shared" si="96"/>
        <v>FEB 21</v>
      </c>
      <c r="AQ667" s="542" t="str">
        <f t="shared" si="97"/>
        <v>有定金+有預留客戶</v>
      </c>
      <c r="AR667" s="259" t="str">
        <f t="shared" si="98"/>
        <v>Shipped_Stock</v>
      </c>
      <c r="AS667" s="259" t="str">
        <f t="shared" si="99"/>
        <v/>
      </c>
      <c r="AT667" s="259" t="str">
        <f t="shared" si="100"/>
        <v>阿里兄妹</v>
      </c>
      <c r="AU667" s="259" t="str">
        <f t="shared" si="101"/>
        <v>C49SZX20200198JZ</v>
      </c>
      <c r="AV667" s="259" t="str">
        <f t="shared" si="102"/>
        <v>Feb-07</v>
      </c>
    </row>
    <row r="668" spans="1:48" hidden="1">
      <c r="A668" s="559">
        <v>900</v>
      </c>
      <c r="B668" s="664" t="s">
        <v>1125</v>
      </c>
      <c r="C668" s="664" t="s">
        <v>15</v>
      </c>
      <c r="D668" s="645">
        <v>110132</v>
      </c>
      <c r="E668" s="563" t="s">
        <v>886</v>
      </c>
      <c r="F668" s="647" t="s">
        <v>58</v>
      </c>
      <c r="G668" s="647" t="s">
        <v>24</v>
      </c>
      <c r="H668" s="647" t="s">
        <v>26</v>
      </c>
      <c r="I668" s="575" t="s">
        <v>1401</v>
      </c>
      <c r="J668" s="575">
        <v>1</v>
      </c>
      <c r="K668" s="647" t="s">
        <v>81</v>
      </c>
      <c r="L668" s="657">
        <v>44234</v>
      </c>
      <c r="M668" s="665" t="s">
        <v>906</v>
      </c>
      <c r="N668" s="647" t="s">
        <v>14</v>
      </c>
      <c r="O668" s="575"/>
      <c r="P668" s="566" t="str">
        <f>VLOOKUP(A668,'[1]Raw data'!$B:$BB,23,FALSE)</f>
        <v>JPY</v>
      </c>
      <c r="Q668" s="563" t="str">
        <f>VLOOKUP(A668,'[1]Raw data'!$B:$Z,2,FALSE)</f>
        <v>C49SZX20200198JZ</v>
      </c>
      <c r="R668" s="563" t="str">
        <f>VLOOKUP(A668,'[1]Raw data'!$B:$Z,3,FALSE)</f>
        <v>阿里兄妹</v>
      </c>
      <c r="S668" s="563" t="str">
        <f>VLOOKUP(A668,'[1]Raw data'!$B:$Z,4,FALSE)</f>
        <v>YSM20R-2</v>
      </c>
      <c r="T668" s="563" t="str">
        <f>VLOOKUP(A668,'[1]Raw data'!$B:$Z,8,FALSE)</f>
        <v>L-&gt;R</v>
      </c>
      <c r="U668" s="563" t="str">
        <f>VLOOKUP(A668,'[1]Raw data'!$B:$Z,9,FALSE)</f>
        <v>MVC</v>
      </c>
      <c r="V668" s="567" t="str">
        <f t="shared" si="103"/>
        <v>WRONG</v>
      </c>
      <c r="W668" s="563" t="str">
        <f>VLOOKUP(A668,'[1]Raw data'!$B:$AG,32,FALSE)</f>
        <v>DAP SZ</v>
      </c>
      <c r="X668" s="563">
        <f>VLOOKUP(A668,'[1]Raw data'!$B:$BA,31,FALSE)</f>
        <v>44130</v>
      </c>
      <c r="Y668" s="563" t="str">
        <f>VLOOKUP(A668,'[1]Raw data'!$B:$AS,39,FALSE)</f>
        <v>Yes</v>
      </c>
      <c r="Z668" s="659"/>
      <c r="AA668" s="660"/>
      <c r="AB668" s="661"/>
      <c r="AC668" s="563" t="s">
        <v>1400</v>
      </c>
      <c r="AD668" s="662">
        <v>301</v>
      </c>
      <c r="AE668" s="662">
        <v>10</v>
      </c>
      <c r="AF668" s="662">
        <v>311</v>
      </c>
      <c r="AG668" s="662">
        <v>10</v>
      </c>
      <c r="AH668" s="662"/>
      <c r="AI668" s="663"/>
      <c r="AN668" s="542"/>
      <c r="AO668" s="824" t="str">
        <f t="shared" si="95"/>
        <v>Yes</v>
      </c>
      <c r="AP668" s="259" t="str">
        <f t="shared" si="96"/>
        <v>FEB 21</v>
      </c>
      <c r="AQ668" s="542" t="str">
        <f t="shared" si="97"/>
        <v>有定金+有預留客戶</v>
      </c>
      <c r="AR668" s="259" t="str">
        <f t="shared" si="98"/>
        <v>Shipped_Stock</v>
      </c>
      <c r="AS668" s="259" t="str">
        <f t="shared" si="99"/>
        <v/>
      </c>
      <c r="AT668" s="259" t="str">
        <f t="shared" si="100"/>
        <v>阿里兄妹</v>
      </c>
      <c r="AU668" s="259" t="str">
        <f t="shared" si="101"/>
        <v>C49SZX20200198JZ</v>
      </c>
      <c r="AV668" s="259" t="str">
        <f t="shared" si="102"/>
        <v>Feb-07</v>
      </c>
    </row>
    <row r="669" spans="1:48" hidden="1">
      <c r="A669" s="559">
        <v>1111</v>
      </c>
      <c r="B669" s="664" t="s">
        <v>1125</v>
      </c>
      <c r="C669" s="664" t="s">
        <v>15</v>
      </c>
      <c r="D669" s="645">
        <v>110132</v>
      </c>
      <c r="E669" s="563" t="s">
        <v>886</v>
      </c>
      <c r="F669" s="647" t="s">
        <v>58</v>
      </c>
      <c r="G669" s="647" t="s">
        <v>24</v>
      </c>
      <c r="H669" s="647" t="s">
        <v>26</v>
      </c>
      <c r="I669" s="575" t="s">
        <v>1402</v>
      </c>
      <c r="J669" s="575">
        <v>1</v>
      </c>
      <c r="K669" s="647" t="s">
        <v>85</v>
      </c>
      <c r="L669" s="657">
        <v>44234</v>
      </c>
      <c r="M669" s="665" t="s">
        <v>906</v>
      </c>
      <c r="N669" s="647" t="s">
        <v>14</v>
      </c>
      <c r="O669" s="575"/>
      <c r="P669" s="566" t="str">
        <f>VLOOKUP(A669,'[1]Raw data'!$B:$BB,23,FALSE)</f>
        <v>JPY</v>
      </c>
      <c r="Q669" s="563" t="str">
        <f>VLOOKUP(A669,'[1]Raw data'!$B:$Z,2,FALSE)</f>
        <v>C49SZX20210032JL</v>
      </c>
      <c r="R669" s="563" t="str">
        <f>VLOOKUP(A669,'[1]Raw data'!$B:$Z,3,FALSE)</f>
        <v>捷舜诚</v>
      </c>
      <c r="S669" s="563" t="str">
        <f>VLOOKUP(A669,'[1]Raw data'!$B:$Z,4,FALSE)</f>
        <v>YSM20R-2</v>
      </c>
      <c r="T669" s="563" t="str">
        <f>VLOOKUP(A669,'[1]Raw data'!$B:$Z,8,FALSE)</f>
        <v>L-&gt;R</v>
      </c>
      <c r="U669" s="563" t="str">
        <f>VLOOKUP(A669,'[1]Raw data'!$B:$Z,9,FALSE)</f>
        <v>MVC</v>
      </c>
      <c r="V669" s="567" t="str">
        <f t="shared" si="103"/>
        <v>WRONG</v>
      </c>
      <c r="W669" s="563" t="str">
        <f>VLOOKUP(A669,'[1]Raw data'!$B:$AG,32,FALSE)</f>
        <v>DAP SZ</v>
      </c>
      <c r="X669" s="563">
        <f>VLOOKUP(A669,'[1]Raw data'!$B:$BA,31,FALSE)</f>
        <v>44225</v>
      </c>
      <c r="Y669" s="563" t="str">
        <f>VLOOKUP(A669,'[1]Raw data'!$B:$AS,39,FALSE)</f>
        <v>Yes</v>
      </c>
      <c r="Z669" s="659"/>
      <c r="AA669" s="660"/>
      <c r="AB669" s="661"/>
      <c r="AC669" s="563" t="s">
        <v>1150</v>
      </c>
      <c r="AD669" s="662">
        <v>301</v>
      </c>
      <c r="AE669" s="662">
        <v>10</v>
      </c>
      <c r="AF669" s="662">
        <v>303</v>
      </c>
      <c r="AG669" s="662">
        <v>10</v>
      </c>
      <c r="AH669" s="662"/>
      <c r="AI669" s="663"/>
      <c r="AN669" s="542"/>
      <c r="AO669" s="824" t="str">
        <f t="shared" si="95"/>
        <v>Yes</v>
      </c>
      <c r="AP669" s="259" t="str">
        <f t="shared" si="96"/>
        <v>FEB 21</v>
      </c>
      <c r="AQ669" s="542" t="str">
        <f t="shared" si="97"/>
        <v>有定金+有預留客戶</v>
      </c>
      <c r="AR669" s="259" t="str">
        <f t="shared" si="98"/>
        <v>Shipped_Stock</v>
      </c>
      <c r="AS669" s="259" t="str">
        <f t="shared" si="99"/>
        <v/>
      </c>
      <c r="AT669" s="259" t="str">
        <f t="shared" si="100"/>
        <v>捷舜诚</v>
      </c>
      <c r="AU669" s="259" t="str">
        <f t="shared" si="101"/>
        <v>C49SZX20210032JL</v>
      </c>
      <c r="AV669" s="259" t="str">
        <f t="shared" si="102"/>
        <v>Feb-07</v>
      </c>
    </row>
    <row r="670" spans="1:48" hidden="1">
      <c r="A670" s="559">
        <v>1078</v>
      </c>
      <c r="B670" s="664" t="s">
        <v>1125</v>
      </c>
      <c r="C670" s="664" t="s">
        <v>15</v>
      </c>
      <c r="D670" s="645">
        <v>110132</v>
      </c>
      <c r="E670" s="563" t="s">
        <v>886</v>
      </c>
      <c r="F670" s="647" t="s">
        <v>58</v>
      </c>
      <c r="G670" s="647" t="s">
        <v>18</v>
      </c>
      <c r="H670" s="647" t="s">
        <v>26</v>
      </c>
      <c r="I670" s="575" t="s">
        <v>1403</v>
      </c>
      <c r="J670" s="575">
        <v>1</v>
      </c>
      <c r="K670" s="647" t="s">
        <v>81</v>
      </c>
      <c r="L670" s="657">
        <v>44234</v>
      </c>
      <c r="M670" s="665" t="s">
        <v>906</v>
      </c>
      <c r="N670" s="647" t="s">
        <v>14</v>
      </c>
      <c r="O670" s="575"/>
      <c r="P670" s="566" t="str">
        <f>VLOOKUP(A670,'[1]Raw data'!$B:$BB,23,FALSE)</f>
        <v>JPY</v>
      </c>
      <c r="Q670" s="563" t="str">
        <f>VLOOKUP(A670,'[1]Raw data'!$B:$Z,2,FALSE)</f>
        <v>C49SZX20210025DZ</v>
      </c>
      <c r="R670" s="563" t="str">
        <f>VLOOKUP(A670,'[1]Raw data'!$B:$Z,3,FALSE)</f>
        <v>巨鑫电子</v>
      </c>
      <c r="S670" s="563" t="str">
        <f>VLOOKUP(A670,'[1]Raw data'!$B:$Z,4,FALSE)</f>
        <v>YSM20R-2</v>
      </c>
      <c r="T670" s="563" t="str">
        <f>VLOOKUP(A670,'[1]Raw data'!$B:$Z,8,FALSE)</f>
        <v>R-&gt;L</v>
      </c>
      <c r="U670" s="563" t="str">
        <f>VLOOKUP(A670,'[1]Raw data'!$B:$Z,9,FALSE)</f>
        <v>No</v>
      </c>
      <c r="V670" s="567" t="str">
        <f t="shared" si="103"/>
        <v>OK</v>
      </c>
      <c r="W670" s="563" t="str">
        <f>VLOOKUP(A670,'[1]Raw data'!$B:$AG,32,FALSE)</f>
        <v>DAP SZ</v>
      </c>
      <c r="X670" s="563">
        <f>VLOOKUP(A670,'[1]Raw data'!$B:$BA,31,FALSE)</f>
        <v>44216</v>
      </c>
      <c r="Y670" s="563" t="str">
        <f>VLOOKUP(A670,'[1]Raw data'!$B:$AS,39,FALSE)</f>
        <v>Yes</v>
      </c>
      <c r="Z670" s="659"/>
      <c r="AA670" s="660"/>
      <c r="AB670" s="661"/>
      <c r="AC670" s="563" t="s">
        <v>1404</v>
      </c>
      <c r="AD670" s="662">
        <v>301</v>
      </c>
      <c r="AE670" s="662">
        <v>10</v>
      </c>
      <c r="AF670" s="662">
        <v>311</v>
      </c>
      <c r="AG670" s="662">
        <v>10</v>
      </c>
      <c r="AH670" s="662"/>
      <c r="AI670" s="663"/>
      <c r="AN670" s="542"/>
      <c r="AO670" s="824" t="str">
        <f t="shared" si="95"/>
        <v>Yes</v>
      </c>
      <c r="AP670" s="259" t="str">
        <f t="shared" si="96"/>
        <v>FEB 21</v>
      </c>
      <c r="AQ670" s="542" t="str">
        <f t="shared" si="97"/>
        <v>有定金+有預留客戶</v>
      </c>
      <c r="AR670" s="259" t="str">
        <f t="shared" si="98"/>
        <v>Shipped_Stock</v>
      </c>
      <c r="AS670" s="259" t="str">
        <f t="shared" si="99"/>
        <v/>
      </c>
      <c r="AT670" s="259" t="str">
        <f t="shared" si="100"/>
        <v>巨鑫电子</v>
      </c>
      <c r="AU670" s="259" t="str">
        <f t="shared" si="101"/>
        <v>C49SZX20210025DZ</v>
      </c>
      <c r="AV670" s="259" t="str">
        <f t="shared" si="102"/>
        <v>Feb-07</v>
      </c>
    </row>
    <row r="671" spans="1:48" hidden="1">
      <c r="A671" s="559">
        <v>1070</v>
      </c>
      <c r="B671" s="664" t="s">
        <v>1125</v>
      </c>
      <c r="C671" s="664" t="s">
        <v>15</v>
      </c>
      <c r="D671" s="645">
        <v>110130</v>
      </c>
      <c r="E671" s="563" t="s">
        <v>886</v>
      </c>
      <c r="F671" s="647" t="s">
        <v>241</v>
      </c>
      <c r="G671" s="647" t="s">
        <v>18</v>
      </c>
      <c r="H671" s="647" t="s">
        <v>26</v>
      </c>
      <c r="I671" s="575" t="s">
        <v>1405</v>
      </c>
      <c r="J671" s="575">
        <v>1</v>
      </c>
      <c r="K671" s="647" t="s">
        <v>82</v>
      </c>
      <c r="L671" s="657">
        <v>44234</v>
      </c>
      <c r="M671" s="665" t="s">
        <v>906</v>
      </c>
      <c r="N671" s="647" t="s">
        <v>14</v>
      </c>
      <c r="O671" s="575"/>
      <c r="P671" s="566" t="str">
        <f>VLOOKUP(A671,'[1]Raw data'!$B:$BB,23,FALSE)</f>
        <v>JPY</v>
      </c>
      <c r="Q671" s="563" t="str">
        <f>VLOOKUP(A671,'[1]Raw data'!$B:$Z,2,FALSE)</f>
        <v>C49SZX20210018SX</v>
      </c>
      <c r="R671" s="563" t="str">
        <f>VLOOKUP(A671,'[1]Raw data'!$B:$Z,3,FALSE)</f>
        <v>恒泰</v>
      </c>
      <c r="S671" s="563" t="str">
        <f>VLOOKUP(A671,'[1]Raw data'!$B:$Z,4,FALSE)</f>
        <v>YSM10</v>
      </c>
      <c r="T671" s="563" t="str">
        <f>VLOOKUP(A671,'[1]Raw data'!$B:$Z,8,FALSE)</f>
        <v>R-&gt;L</v>
      </c>
      <c r="U671" s="563" t="str">
        <f>VLOOKUP(A671,'[1]Raw data'!$B:$Z,9,FALSE)</f>
        <v>No</v>
      </c>
      <c r="V671" s="567" t="str">
        <f t="shared" si="103"/>
        <v>OK</v>
      </c>
      <c r="W671" s="563" t="str">
        <f>VLOOKUP(A671,'[1]Raw data'!$B:$AG,32,FALSE)</f>
        <v>DAP JA</v>
      </c>
      <c r="X671" s="563">
        <f>VLOOKUP(A671,'[1]Raw data'!$B:$BA,31,FALSE)</f>
        <v>44214</v>
      </c>
      <c r="Y671" s="563" t="str">
        <f>VLOOKUP(A671,'[1]Raw data'!$B:$AS,39,FALSE)</f>
        <v>Yes</v>
      </c>
      <c r="Z671" s="659"/>
      <c r="AA671" s="660"/>
      <c r="AB671" s="661"/>
      <c r="AC671" s="563" t="s">
        <v>1406</v>
      </c>
      <c r="AD671" s="662">
        <v>301</v>
      </c>
      <c r="AE671" s="662">
        <v>10</v>
      </c>
      <c r="AF671" s="662"/>
      <c r="AG671" s="662"/>
      <c r="AH671" s="662"/>
      <c r="AI671" s="663"/>
      <c r="AN671" s="542"/>
      <c r="AO671" s="824" t="str">
        <f t="shared" si="95"/>
        <v>Yes</v>
      </c>
      <c r="AP671" s="259" t="str">
        <f t="shared" si="96"/>
        <v>FEB 21</v>
      </c>
      <c r="AQ671" s="542" t="str">
        <f t="shared" si="97"/>
        <v>有定金+有預留客戶</v>
      </c>
      <c r="AR671" s="259" t="str">
        <f t="shared" si="98"/>
        <v>Shipped_Stock</v>
      </c>
      <c r="AS671" s="259" t="str">
        <f t="shared" si="99"/>
        <v/>
      </c>
      <c r="AT671" s="259" t="str">
        <f t="shared" si="100"/>
        <v>恒泰</v>
      </c>
      <c r="AU671" s="259" t="str">
        <f t="shared" si="101"/>
        <v>C49SZX20210018SX</v>
      </c>
      <c r="AV671" s="259" t="str">
        <f t="shared" si="102"/>
        <v>Feb-07</v>
      </c>
    </row>
    <row r="672" spans="1:48" hidden="1">
      <c r="A672" s="559">
        <v>931</v>
      </c>
      <c r="B672" s="664" t="s">
        <v>1125</v>
      </c>
      <c r="C672" s="664" t="s">
        <v>15</v>
      </c>
      <c r="D672" s="645">
        <v>110130</v>
      </c>
      <c r="E672" s="563" t="s">
        <v>886</v>
      </c>
      <c r="F672" s="647" t="s">
        <v>241</v>
      </c>
      <c r="G672" s="647" t="s">
        <v>18</v>
      </c>
      <c r="H672" s="647" t="s">
        <v>26</v>
      </c>
      <c r="I672" s="575" t="s">
        <v>1407</v>
      </c>
      <c r="J672" s="575">
        <v>1</v>
      </c>
      <c r="K672" s="647" t="s">
        <v>82</v>
      </c>
      <c r="L672" s="657">
        <v>44234</v>
      </c>
      <c r="M672" s="665" t="s">
        <v>906</v>
      </c>
      <c r="N672" s="647" t="s">
        <v>14</v>
      </c>
      <c r="O672" s="575"/>
      <c r="P672" s="566" t="str">
        <f>VLOOKUP(A672,'[1]Raw data'!$B:$BB,23,FALSE)</f>
        <v>JPY</v>
      </c>
      <c r="Q672" s="563" t="str">
        <f>VLOOKUP(A672,'[1]Raw data'!$B:$Z,2,FALSE)</f>
        <v>C49SZX20200211SX</v>
      </c>
      <c r="R672" s="563" t="str">
        <f>VLOOKUP(A672,'[1]Raw data'!$B:$Z,3,FALSE)</f>
        <v>同创</v>
      </c>
      <c r="S672" s="563" t="str">
        <f>VLOOKUP(A672,'[1]Raw data'!$B:$Z,4,FALSE)</f>
        <v>YSM10</v>
      </c>
      <c r="T672" s="563" t="str">
        <f>VLOOKUP(A672,'[1]Raw data'!$B:$Z,8,FALSE)</f>
        <v>L-&gt;R</v>
      </c>
      <c r="U672" s="563" t="str">
        <f>VLOOKUP(A672,'[1]Raw data'!$B:$Z,9,FALSE)</f>
        <v>MVC+ANC</v>
      </c>
      <c r="V672" s="567" t="str">
        <f t="shared" si="103"/>
        <v>WRONG</v>
      </c>
      <c r="W672" s="563" t="str">
        <f>VLOOKUP(A672,'[1]Raw data'!$B:$AG,32,FALSE)</f>
        <v>DAP SZ</v>
      </c>
      <c r="X672" s="563">
        <f>VLOOKUP(A672,'[1]Raw data'!$B:$BA,31,FALSE)</f>
        <v>44148</v>
      </c>
      <c r="Y672" s="563" t="str">
        <f>VLOOKUP(A672,'[1]Raw data'!$B:$AS,39,FALSE)</f>
        <v>Yes</v>
      </c>
      <c r="Z672" s="659"/>
      <c r="AA672" s="660"/>
      <c r="AB672" s="661"/>
      <c r="AC672" s="563" t="s">
        <v>1408</v>
      </c>
      <c r="AD672" s="662">
        <v>301</v>
      </c>
      <c r="AE672" s="662">
        <v>10</v>
      </c>
      <c r="AF672" s="662"/>
      <c r="AG672" s="662"/>
      <c r="AH672" s="662"/>
      <c r="AI672" s="663"/>
      <c r="AN672" s="542"/>
      <c r="AO672" s="824" t="str">
        <f t="shared" si="95"/>
        <v>Yes</v>
      </c>
      <c r="AP672" s="259" t="str">
        <f t="shared" si="96"/>
        <v>FEB 21</v>
      </c>
      <c r="AQ672" s="542" t="str">
        <f t="shared" si="97"/>
        <v>有定金+有預留客戶</v>
      </c>
      <c r="AR672" s="259" t="str">
        <f t="shared" si="98"/>
        <v>Shipped_Stock</v>
      </c>
      <c r="AS672" s="259" t="str">
        <f t="shared" si="99"/>
        <v/>
      </c>
      <c r="AT672" s="259" t="str">
        <f t="shared" si="100"/>
        <v>同创</v>
      </c>
      <c r="AU672" s="259" t="str">
        <f t="shared" si="101"/>
        <v>C49SZX20200211SX</v>
      </c>
      <c r="AV672" s="259" t="str">
        <f t="shared" si="102"/>
        <v>Feb-07</v>
      </c>
    </row>
    <row r="673" spans="1:48" hidden="1">
      <c r="A673" s="559">
        <v>983</v>
      </c>
      <c r="B673" s="664" t="s">
        <v>1125</v>
      </c>
      <c r="C673" s="664" t="s">
        <v>15</v>
      </c>
      <c r="D673" s="645">
        <v>110130</v>
      </c>
      <c r="E673" s="563" t="s">
        <v>886</v>
      </c>
      <c r="F673" s="647" t="s">
        <v>241</v>
      </c>
      <c r="G673" s="647" t="s">
        <v>18</v>
      </c>
      <c r="H673" s="647" t="s">
        <v>26</v>
      </c>
      <c r="I673" s="575" t="s">
        <v>1409</v>
      </c>
      <c r="J673" s="575">
        <v>1</v>
      </c>
      <c r="K673" s="647" t="s">
        <v>85</v>
      </c>
      <c r="L673" s="657">
        <v>44234</v>
      </c>
      <c r="M673" s="665" t="s">
        <v>906</v>
      </c>
      <c r="N673" s="647" t="s">
        <v>14</v>
      </c>
      <c r="O673" s="575"/>
      <c r="P673" s="566" t="str">
        <f>VLOOKUP(A673,'[1]Raw data'!$B:$BB,23,FALSE)</f>
        <v>JPY</v>
      </c>
      <c r="Q673" s="563" t="str">
        <f>VLOOKUP(A673,'[1]Raw data'!$B:$Z,2,FALSE)</f>
        <v>C49SZX20200230SS</v>
      </c>
      <c r="R673" s="563" t="str">
        <f>VLOOKUP(A673,'[1]Raw data'!$B:$Z,3,FALSE)</f>
        <v>盈通恒翼</v>
      </c>
      <c r="S673" s="563" t="str">
        <f>VLOOKUP(A673,'[1]Raw data'!$B:$Z,4,FALSE)</f>
        <v>YSM10</v>
      </c>
      <c r="T673" s="563" t="str">
        <f>VLOOKUP(A673,'[1]Raw data'!$B:$Z,8,FALSE)</f>
        <v>R-&gt;L</v>
      </c>
      <c r="U673" s="563" t="str">
        <f>VLOOKUP(A673,'[1]Raw data'!$B:$Z,9,FALSE)</f>
        <v>No</v>
      </c>
      <c r="V673" s="567" t="str">
        <f t="shared" si="103"/>
        <v>OK</v>
      </c>
      <c r="W673" s="563" t="str">
        <f>VLOOKUP(A673,'[1]Raw data'!$B:$AG,32,FALSE)</f>
        <v>DAP SZ</v>
      </c>
      <c r="X673" s="563">
        <f>VLOOKUP(A673,'[1]Raw data'!$B:$BA,31,FALSE)</f>
        <v>44163</v>
      </c>
      <c r="Y673" s="563" t="str">
        <f>VLOOKUP(A673,'[1]Raw data'!$B:$AS,39,FALSE)</f>
        <v>Yes</v>
      </c>
      <c r="Z673" s="659"/>
      <c r="AA673" s="660"/>
      <c r="AB673" s="661"/>
      <c r="AC673" s="563" t="s">
        <v>1377</v>
      </c>
      <c r="AD673" s="662">
        <v>301</v>
      </c>
      <c r="AE673" s="662">
        <v>10</v>
      </c>
      <c r="AF673" s="662"/>
      <c r="AG673" s="662"/>
      <c r="AH673" s="662"/>
      <c r="AI673" s="663"/>
      <c r="AN673" s="542"/>
      <c r="AO673" s="824" t="str">
        <f t="shared" si="95"/>
        <v>Yes</v>
      </c>
      <c r="AP673" s="259" t="str">
        <f t="shared" si="96"/>
        <v>FEB 21</v>
      </c>
      <c r="AQ673" s="542" t="str">
        <f t="shared" si="97"/>
        <v>有定金+有預留客戶</v>
      </c>
      <c r="AR673" s="259" t="str">
        <f t="shared" si="98"/>
        <v>Shipped_Stock</v>
      </c>
      <c r="AS673" s="259" t="str">
        <f t="shared" si="99"/>
        <v/>
      </c>
      <c r="AT673" s="259" t="str">
        <f t="shared" si="100"/>
        <v>盈通恒翼</v>
      </c>
      <c r="AU673" s="259" t="str">
        <f t="shared" si="101"/>
        <v>C49SZX20200230SS</v>
      </c>
      <c r="AV673" s="259" t="str">
        <f t="shared" si="102"/>
        <v>Feb-07</v>
      </c>
    </row>
    <row r="674" spans="1:48" hidden="1">
      <c r="A674" s="559">
        <v>1077</v>
      </c>
      <c r="B674" s="664" t="s">
        <v>1125</v>
      </c>
      <c r="C674" s="664" t="s">
        <v>15</v>
      </c>
      <c r="D674" s="645">
        <v>110130</v>
      </c>
      <c r="E674" s="563" t="s">
        <v>886</v>
      </c>
      <c r="F674" s="647" t="s">
        <v>241</v>
      </c>
      <c r="G674" s="647" t="s">
        <v>18</v>
      </c>
      <c r="H674" s="647" t="s">
        <v>26</v>
      </c>
      <c r="I674" s="575" t="s">
        <v>1410</v>
      </c>
      <c r="J674" s="575">
        <v>1</v>
      </c>
      <c r="K674" s="647" t="s">
        <v>82</v>
      </c>
      <c r="L674" s="657">
        <v>44234</v>
      </c>
      <c r="M674" s="665" t="s">
        <v>906</v>
      </c>
      <c r="N674" s="647" t="s">
        <v>14</v>
      </c>
      <c r="O674" s="575"/>
      <c r="P674" s="566" t="str">
        <f>VLOOKUP(A674,'[1]Raw data'!$B:$BB,23,FALSE)</f>
        <v>JPY</v>
      </c>
      <c r="Q674" s="563" t="str">
        <f>VLOOKUP(A674,'[1]Raw data'!$B:$Z,2,FALSE)</f>
        <v>C49SZX20210020SX</v>
      </c>
      <c r="R674" s="563" t="str">
        <f>VLOOKUP(A674,'[1]Raw data'!$B:$Z,3,FALSE)</f>
        <v>锐诚</v>
      </c>
      <c r="S674" s="563" t="str">
        <f>VLOOKUP(A674,'[1]Raw data'!$B:$Z,4,FALSE)</f>
        <v>YSM10</v>
      </c>
      <c r="T674" s="563" t="str">
        <f>VLOOKUP(A674,'[1]Raw data'!$B:$Z,8,FALSE)</f>
        <v>L-&gt;R</v>
      </c>
      <c r="U674" s="563" t="str">
        <f>VLOOKUP(A674,'[1]Raw data'!$B:$Z,9,FALSE)</f>
        <v>MVC</v>
      </c>
      <c r="V674" s="567" t="str">
        <f t="shared" si="103"/>
        <v>WRONG</v>
      </c>
      <c r="W674" s="563" t="str">
        <f>VLOOKUP(A674,'[1]Raw data'!$B:$AG,32,FALSE)</f>
        <v>DAP HZ</v>
      </c>
      <c r="X674" s="563">
        <f>VLOOKUP(A674,'[1]Raw data'!$B:$BA,31,FALSE)</f>
        <v>44216</v>
      </c>
      <c r="Y674" s="563" t="str">
        <f>VLOOKUP(A674,'[1]Raw data'!$B:$AS,39,FALSE)</f>
        <v>Yes</v>
      </c>
      <c r="Z674" s="659"/>
      <c r="AA674" s="660"/>
      <c r="AB674" s="661"/>
      <c r="AC674" s="563" t="s">
        <v>563</v>
      </c>
      <c r="AD674" s="662">
        <v>301</v>
      </c>
      <c r="AE674" s="662">
        <v>10</v>
      </c>
      <c r="AF674" s="662"/>
      <c r="AG674" s="662"/>
      <c r="AH674" s="662"/>
      <c r="AI674" s="663"/>
      <c r="AN674" s="542"/>
      <c r="AO674" s="824" t="str">
        <f t="shared" si="95"/>
        <v>Yes</v>
      </c>
      <c r="AP674" s="259" t="str">
        <f t="shared" si="96"/>
        <v>FEB 21</v>
      </c>
      <c r="AQ674" s="542" t="str">
        <f t="shared" si="97"/>
        <v>有定金+有預留客戶</v>
      </c>
      <c r="AR674" s="259" t="str">
        <f t="shared" si="98"/>
        <v>Shipped_Stock</v>
      </c>
      <c r="AS674" s="259" t="str">
        <f t="shared" si="99"/>
        <v/>
      </c>
      <c r="AT674" s="259" t="str">
        <f t="shared" si="100"/>
        <v>锐诚</v>
      </c>
      <c r="AU674" s="259" t="str">
        <f t="shared" si="101"/>
        <v>C49SZX20210020SX</v>
      </c>
      <c r="AV674" s="259" t="str">
        <f t="shared" si="102"/>
        <v>Feb-07</v>
      </c>
    </row>
    <row r="675" spans="1:48" hidden="1">
      <c r="A675" s="559">
        <v>941</v>
      </c>
      <c r="B675" s="664" t="s">
        <v>1125</v>
      </c>
      <c r="C675" s="664" t="s">
        <v>15</v>
      </c>
      <c r="D675" s="645">
        <v>110130</v>
      </c>
      <c r="E675" s="563" t="s">
        <v>886</v>
      </c>
      <c r="F675" s="647" t="s">
        <v>241</v>
      </c>
      <c r="G675" s="647" t="s">
        <v>18</v>
      </c>
      <c r="H675" s="647" t="s">
        <v>26</v>
      </c>
      <c r="I675" s="575" t="s">
        <v>1411</v>
      </c>
      <c r="J675" s="575">
        <v>1</v>
      </c>
      <c r="K675" s="647" t="s">
        <v>85</v>
      </c>
      <c r="L675" s="657">
        <v>44234</v>
      </c>
      <c r="M675" s="665" t="s">
        <v>906</v>
      </c>
      <c r="N675" s="647" t="s">
        <v>14</v>
      </c>
      <c r="O675" s="575"/>
      <c r="P675" s="566" t="str">
        <f>VLOOKUP(A675,'[1]Raw data'!$B:$BB,23,FALSE)</f>
        <v>JPY</v>
      </c>
      <c r="Q675" s="563" t="str">
        <f>VLOOKUP(A675,'[1]Raw data'!$B:$Z,2,FALSE)</f>
        <v>C49SZX20200222SS</v>
      </c>
      <c r="R675" s="563" t="str">
        <f>VLOOKUP(A675,'[1]Raw data'!$B:$Z,3,FALSE)</f>
        <v>盈通恒翼</v>
      </c>
      <c r="S675" s="563" t="str">
        <f>VLOOKUP(A675,'[1]Raw data'!$B:$Z,4,FALSE)</f>
        <v>YSM10</v>
      </c>
      <c r="T675" s="563" t="str">
        <f>VLOOKUP(A675,'[1]Raw data'!$B:$Z,8,FALSE)</f>
        <v>L-&gt;R</v>
      </c>
      <c r="U675" s="563" t="str">
        <f>VLOOKUP(A675,'[1]Raw data'!$B:$Z,9,FALSE)</f>
        <v>MVC</v>
      </c>
      <c r="V675" s="567" t="str">
        <f t="shared" si="103"/>
        <v>WRONG</v>
      </c>
      <c r="W675" s="563" t="str">
        <f>VLOOKUP(A675,'[1]Raw data'!$B:$AG,32,FALSE)</f>
        <v>DAP SZ</v>
      </c>
      <c r="X675" s="563">
        <f>VLOOKUP(A675,'[1]Raw data'!$B:$BA,31,FALSE)</f>
        <v>44153</v>
      </c>
      <c r="Y675" s="563" t="str">
        <f>VLOOKUP(A675,'[1]Raw data'!$B:$AS,39,FALSE)</f>
        <v>Yes</v>
      </c>
      <c r="Z675" s="659"/>
      <c r="AA675" s="660"/>
      <c r="AB675" s="661"/>
      <c r="AC675" s="563" t="s">
        <v>1377</v>
      </c>
      <c r="AD675" s="662">
        <v>301</v>
      </c>
      <c r="AE675" s="662">
        <v>10</v>
      </c>
      <c r="AF675" s="662"/>
      <c r="AG675" s="662"/>
      <c r="AH675" s="662"/>
      <c r="AI675" s="663"/>
      <c r="AN675" s="542"/>
      <c r="AO675" s="824" t="str">
        <f t="shared" si="95"/>
        <v>Yes</v>
      </c>
      <c r="AP675" s="259" t="str">
        <f t="shared" si="96"/>
        <v>FEB 21</v>
      </c>
      <c r="AQ675" s="542" t="str">
        <f t="shared" si="97"/>
        <v>有定金+有預留客戶</v>
      </c>
      <c r="AR675" s="259" t="str">
        <f t="shared" si="98"/>
        <v>Shipped_Stock</v>
      </c>
      <c r="AS675" s="259" t="str">
        <f t="shared" si="99"/>
        <v/>
      </c>
      <c r="AT675" s="259" t="str">
        <f t="shared" si="100"/>
        <v>盈通恒翼</v>
      </c>
      <c r="AU675" s="259" t="str">
        <f t="shared" si="101"/>
        <v>C49SZX20200222SS</v>
      </c>
      <c r="AV675" s="259" t="str">
        <f t="shared" si="102"/>
        <v>Feb-07</v>
      </c>
    </row>
    <row r="676" spans="1:48" hidden="1">
      <c r="A676" s="559">
        <v>930</v>
      </c>
      <c r="B676" s="664" t="s">
        <v>1125</v>
      </c>
      <c r="C676" s="664" t="s">
        <v>15</v>
      </c>
      <c r="D676" s="645">
        <v>110133</v>
      </c>
      <c r="E676" s="563" t="s">
        <v>886</v>
      </c>
      <c r="F676" s="647" t="s">
        <v>58</v>
      </c>
      <c r="G676" s="647" t="s">
        <v>24</v>
      </c>
      <c r="H676" s="647" t="s">
        <v>26</v>
      </c>
      <c r="I676" s="575" t="s">
        <v>1412</v>
      </c>
      <c r="J676" s="575">
        <v>1</v>
      </c>
      <c r="K676" s="647" t="s">
        <v>82</v>
      </c>
      <c r="L676" s="657">
        <v>44234</v>
      </c>
      <c r="M676" s="665" t="s">
        <v>906</v>
      </c>
      <c r="N676" s="647" t="s">
        <v>14</v>
      </c>
      <c r="O676" s="575"/>
      <c r="P676" s="566" t="str">
        <f>VLOOKUP(A676,'[1]Raw data'!$B:$BB,23,FALSE)</f>
        <v>JPY</v>
      </c>
      <c r="Q676" s="563" t="str">
        <f>VLOOKUP(A676,'[1]Raw data'!$B:$Z,2,FALSE)</f>
        <v>C49SZX20200211SX</v>
      </c>
      <c r="R676" s="563" t="str">
        <f>VLOOKUP(A676,'[1]Raw data'!$B:$Z,3,FALSE)</f>
        <v>同创</v>
      </c>
      <c r="S676" s="563" t="str">
        <f>VLOOKUP(A676,'[1]Raw data'!$B:$Z,4,FALSE)</f>
        <v>YSM20R-2</v>
      </c>
      <c r="T676" s="563" t="str">
        <f>VLOOKUP(A676,'[1]Raw data'!$B:$Z,8,FALSE)</f>
        <v>L-&gt;R</v>
      </c>
      <c r="U676" s="563" t="str">
        <f>VLOOKUP(A676,'[1]Raw data'!$B:$Z,9,FALSE)</f>
        <v>No</v>
      </c>
      <c r="V676" s="567" t="str">
        <f t="shared" si="103"/>
        <v>OK</v>
      </c>
      <c r="W676" s="563" t="str">
        <f>VLOOKUP(A676,'[1]Raw data'!$B:$AG,32,FALSE)</f>
        <v>DAP SZ</v>
      </c>
      <c r="X676" s="563">
        <f>VLOOKUP(A676,'[1]Raw data'!$B:$BA,31,FALSE)</f>
        <v>44148</v>
      </c>
      <c r="Y676" s="563" t="str">
        <f>VLOOKUP(A676,'[1]Raw data'!$B:$AS,39,FALSE)</f>
        <v>Yes</v>
      </c>
      <c r="Z676" s="659"/>
      <c r="AA676" s="660"/>
      <c r="AB676" s="661"/>
      <c r="AC676" s="563" t="s">
        <v>1408</v>
      </c>
      <c r="AD676" s="662">
        <v>302</v>
      </c>
      <c r="AE676" s="662">
        <v>10</v>
      </c>
      <c r="AF676" s="662">
        <v>311</v>
      </c>
      <c r="AG676" s="662">
        <v>10</v>
      </c>
      <c r="AH676" s="662"/>
      <c r="AI676" s="663"/>
      <c r="AN676" s="542"/>
      <c r="AO676" s="824" t="str">
        <f t="shared" si="95"/>
        <v>Yes</v>
      </c>
      <c r="AP676" s="259" t="str">
        <f t="shared" si="96"/>
        <v>FEB 21</v>
      </c>
      <c r="AQ676" s="542" t="str">
        <f t="shared" si="97"/>
        <v>有定金+有預留客戶</v>
      </c>
      <c r="AR676" s="259" t="str">
        <f t="shared" si="98"/>
        <v>Shipped_Stock</v>
      </c>
      <c r="AS676" s="259" t="str">
        <f t="shared" si="99"/>
        <v/>
      </c>
      <c r="AT676" s="259" t="str">
        <f t="shared" si="100"/>
        <v>同创</v>
      </c>
      <c r="AU676" s="259" t="str">
        <f t="shared" si="101"/>
        <v>C49SZX20200211SX</v>
      </c>
      <c r="AV676" s="259" t="str">
        <f t="shared" si="102"/>
        <v>Feb-07</v>
      </c>
    </row>
    <row r="677" spans="1:48" hidden="1">
      <c r="A677" s="559">
        <v>1079</v>
      </c>
      <c r="B677" s="563" t="s">
        <v>1125</v>
      </c>
      <c r="C677" s="560" t="s">
        <v>281</v>
      </c>
      <c r="D677" s="564">
        <v>110133</v>
      </c>
      <c r="E677" s="563" t="s">
        <v>886</v>
      </c>
      <c r="F677" s="563" t="s">
        <v>58</v>
      </c>
      <c r="G677" s="563" t="s">
        <v>24</v>
      </c>
      <c r="H677" s="563" t="s">
        <v>26</v>
      </c>
      <c r="I677" s="564" t="s">
        <v>1413</v>
      </c>
      <c r="J677" s="564">
        <v>1</v>
      </c>
      <c r="K677" s="563" t="s">
        <v>81</v>
      </c>
      <c r="L677" s="565">
        <v>44234</v>
      </c>
      <c r="M677" s="566" t="s">
        <v>906</v>
      </c>
      <c r="N677" s="563" t="s">
        <v>28</v>
      </c>
      <c r="O677" s="563"/>
      <c r="P677" s="566" t="str">
        <f>VLOOKUP(A677,'[1]Raw data'!$B:$BA,23,FALSE)</f>
        <v>JPY</v>
      </c>
      <c r="Q677" s="563" t="str">
        <f>VLOOKUP(A677,'[1]Raw data'!$B:$Z,2,FALSE)</f>
        <v>C49SZX20210026DZ</v>
      </c>
      <c r="R677" s="563" t="str">
        <f>VLOOKUP(A677,'[1]Raw data'!$B:$Z,3,FALSE)</f>
        <v>航特</v>
      </c>
      <c r="S677" s="563" t="str">
        <f>VLOOKUP(A677,'[1]Raw data'!$B:$Z,4,FALSE)</f>
        <v>YSM20R-2</v>
      </c>
      <c r="T677" s="563" t="str">
        <f>VLOOKUP(A677,'[1]Raw data'!$B:$Z,8,FALSE)</f>
        <v>L-&gt;R</v>
      </c>
      <c r="U677" s="563" t="str">
        <f>VLOOKUP(A677,'[1]Raw data'!$B:$Z,9,FALSE)</f>
        <v>No</v>
      </c>
      <c r="V677" s="567" t="str">
        <f t="shared" si="103"/>
        <v>OK</v>
      </c>
      <c r="W677" s="563" t="str">
        <f>VLOOKUP(A677,'[1]Raw data'!$B:$AG,32,FALSE)</f>
        <v>DAP CS</v>
      </c>
      <c r="X677" s="563">
        <f>VLOOKUP(A677,'[1]Raw data'!$B:$BA,31,FALSE)</f>
        <v>44218</v>
      </c>
      <c r="Y677" s="571" t="str">
        <f>VLOOKUP(A677,'[1]Raw data'!$B:$AS,39,FALSE)</f>
        <v>Yes</v>
      </c>
      <c r="Z677" s="571"/>
      <c r="AA677" s="572"/>
      <c r="AB677" s="571"/>
      <c r="AC677" s="563" t="s">
        <v>1394</v>
      </c>
      <c r="AD677" s="571">
        <v>302</v>
      </c>
      <c r="AE677" s="571">
        <v>20</v>
      </c>
      <c r="AF677" s="542"/>
      <c r="AG677" s="542"/>
      <c r="AH677" s="542"/>
      <c r="AI677" s="542"/>
      <c r="AJ677" s="542"/>
      <c r="AK677" s="542"/>
      <c r="AL677" s="542"/>
      <c r="AM677" s="542"/>
      <c r="AN677" s="542"/>
      <c r="AO677" s="824" t="str">
        <f t="shared" si="95"/>
        <v>Yes</v>
      </c>
      <c r="AP677" s="259" t="str">
        <f t="shared" si="96"/>
        <v>MAR 21</v>
      </c>
      <c r="AQ677" s="542" t="str">
        <f t="shared" si="97"/>
        <v>有定金+有預留客戶</v>
      </c>
      <c r="AR677" s="259" t="str">
        <f t="shared" si="98"/>
        <v>Shipped_Stock</v>
      </c>
      <c r="AS677" s="259" t="str">
        <f t="shared" si="99"/>
        <v/>
      </c>
      <c r="AT677" s="259" t="str">
        <f t="shared" si="100"/>
        <v>航特</v>
      </c>
      <c r="AU677" s="259" t="str">
        <f t="shared" si="101"/>
        <v>C49SZX20210026DZ</v>
      </c>
      <c r="AV677" s="259" t="str">
        <f t="shared" si="102"/>
        <v>Feb-07</v>
      </c>
    </row>
    <row r="678" spans="1:48" hidden="1">
      <c r="A678" s="559">
        <v>988</v>
      </c>
      <c r="B678" s="664" t="s">
        <v>1125</v>
      </c>
      <c r="C678" s="664" t="s">
        <v>15</v>
      </c>
      <c r="D678" s="645">
        <v>110133</v>
      </c>
      <c r="E678" s="563" t="s">
        <v>886</v>
      </c>
      <c r="F678" s="647" t="s">
        <v>58</v>
      </c>
      <c r="G678" s="647" t="s">
        <v>24</v>
      </c>
      <c r="H678" s="647" t="s">
        <v>26</v>
      </c>
      <c r="I678" s="575" t="s">
        <v>1414</v>
      </c>
      <c r="J678" s="575">
        <v>1</v>
      </c>
      <c r="K678" s="647" t="s">
        <v>81</v>
      </c>
      <c r="L678" s="657">
        <v>44234</v>
      </c>
      <c r="M678" s="665" t="s">
        <v>906</v>
      </c>
      <c r="N678" s="647" t="s">
        <v>28</v>
      </c>
      <c r="O678" s="575"/>
      <c r="P678" s="665" t="str">
        <f>VLOOKUP(A678,'[1]Raw data'!$B:$BA,23,FALSE)</f>
        <v>JPY</v>
      </c>
      <c r="Q678" s="647" t="str">
        <f>VLOOKUP(A678,'[1]Raw data'!$B:$Z,2,FALSE)</f>
        <v>C49SZX20200232SX</v>
      </c>
      <c r="R678" s="647" t="str">
        <f>VLOOKUP(A678,'[1]Raw data'!$B:$Z,3,FALSE)</f>
        <v>永顺创</v>
      </c>
      <c r="S678" s="647" t="str">
        <f>VLOOKUP(A678,'[1]Raw data'!$B:$Z,4,FALSE)</f>
        <v>YSM20R-2</v>
      </c>
      <c r="T678" s="647" t="str">
        <f>VLOOKUP(A678,'[1]Raw data'!$B:$Z,8,FALSE)</f>
        <v>L-&gt;R</v>
      </c>
      <c r="U678" s="647" t="str">
        <f>VLOOKUP(A678,'[1]Raw data'!$B:$Z,9,FALSE)</f>
        <v>No</v>
      </c>
      <c r="V678" s="567" t="str">
        <f t="shared" si="103"/>
        <v>OK</v>
      </c>
      <c r="W678" s="563" t="str">
        <f>VLOOKUP(A678,'[1]Raw data'!$B:$AG,32,FALSE)</f>
        <v>DAP SZ</v>
      </c>
      <c r="X678" s="647">
        <f>VLOOKUP(A678,'[1]Raw data'!$B:$BA,31,FALSE)</f>
        <v>44166</v>
      </c>
      <c r="Y678" s="647" t="str">
        <f>VLOOKUP(A678,'[1]Raw data'!$B:$AS,39,FALSE)</f>
        <v>Yes</v>
      </c>
      <c r="Z678" s="659"/>
      <c r="AA678" s="660"/>
      <c r="AB678" s="661"/>
      <c r="AC678" s="647" t="s">
        <v>1415</v>
      </c>
      <c r="AD678" s="662">
        <v>302</v>
      </c>
      <c r="AE678" s="662">
        <v>20</v>
      </c>
      <c r="AF678" s="662"/>
      <c r="AG678" s="662"/>
      <c r="AH678" s="662"/>
      <c r="AI678" s="663"/>
      <c r="AN678" s="542"/>
      <c r="AO678" s="824" t="str">
        <f t="shared" si="95"/>
        <v>Yes</v>
      </c>
      <c r="AP678" s="259" t="str">
        <f t="shared" si="96"/>
        <v>MAR 21</v>
      </c>
      <c r="AQ678" s="542" t="str">
        <f t="shared" si="97"/>
        <v>有定金+有預留客戶</v>
      </c>
      <c r="AR678" s="259" t="str">
        <f t="shared" si="98"/>
        <v>Shipped_Stock</v>
      </c>
      <c r="AS678" s="259" t="str">
        <f t="shared" si="99"/>
        <v/>
      </c>
      <c r="AT678" s="259" t="str">
        <f t="shared" si="100"/>
        <v>永顺创</v>
      </c>
      <c r="AU678" s="259" t="str">
        <f t="shared" si="101"/>
        <v>C49SZX20200232SX</v>
      </c>
      <c r="AV678" s="259" t="str">
        <f t="shared" si="102"/>
        <v>Feb-07</v>
      </c>
    </row>
    <row r="679" spans="1:48" hidden="1">
      <c r="A679" s="559">
        <v>1106</v>
      </c>
      <c r="B679" s="664" t="s">
        <v>1125</v>
      </c>
      <c r="C679" s="664" t="s">
        <v>15</v>
      </c>
      <c r="D679" s="645">
        <v>110133</v>
      </c>
      <c r="E679" s="563" t="s">
        <v>886</v>
      </c>
      <c r="F679" s="647" t="s">
        <v>58</v>
      </c>
      <c r="G679" s="647" t="s">
        <v>24</v>
      </c>
      <c r="H679" s="647" t="s">
        <v>26</v>
      </c>
      <c r="I679" s="575" t="s">
        <v>1416</v>
      </c>
      <c r="J679" s="575">
        <v>1</v>
      </c>
      <c r="K679" s="647" t="s">
        <v>81</v>
      </c>
      <c r="L679" s="657">
        <v>44234</v>
      </c>
      <c r="M679" s="665" t="s">
        <v>906</v>
      </c>
      <c r="N679" s="647" t="s">
        <v>90</v>
      </c>
      <c r="O679" s="575"/>
      <c r="P679" s="665" t="str">
        <f>VLOOKUP(A679,'[1]Raw data'!$B:$BA,23,FALSE)</f>
        <v>JPY</v>
      </c>
      <c r="Q679" s="647" t="str">
        <f>VLOOKUP(A679,'[1]Raw data'!$B:$Z,2,FALSE)</f>
        <v>C49SZX20210038SX</v>
      </c>
      <c r="R679" s="647" t="str">
        <f>VLOOKUP(A679,'[1]Raw data'!$B:$Z,3,FALSE)</f>
        <v>赛美达</v>
      </c>
      <c r="S679" s="647" t="str">
        <f>VLOOKUP(A679,'[1]Raw data'!$B:$Z,4,FALSE)</f>
        <v>YSM20R-2</v>
      </c>
      <c r="T679" s="647" t="str">
        <f>VLOOKUP(A679,'[1]Raw data'!$B:$Z,8,FALSE)</f>
        <v>L-&gt;R</v>
      </c>
      <c r="U679" s="647" t="str">
        <f>VLOOKUP(A679,'[1]Raw data'!$B:$Z,9,FALSE)</f>
        <v>No</v>
      </c>
      <c r="V679" s="567" t="str">
        <f t="shared" si="103"/>
        <v>OK</v>
      </c>
      <c r="W679" s="563" t="str">
        <f>VLOOKUP(A679,'[1]Raw data'!$B:$AG,32,FALSE)</f>
        <v>DAP SZ</v>
      </c>
      <c r="X679" s="647">
        <f>VLOOKUP(A679,'[1]Raw data'!$B:$BA,31,FALSE)</f>
        <v>44225</v>
      </c>
      <c r="Y679" s="647" t="str">
        <f>VLOOKUP(A679,'[1]Raw data'!$B:$AS,39,FALSE)</f>
        <v>Yes</v>
      </c>
      <c r="Z679" s="659"/>
      <c r="AA679" s="660"/>
      <c r="AB679" s="661"/>
      <c r="AC679" s="647" t="s">
        <v>1417</v>
      </c>
      <c r="AD679" s="662">
        <v>302</v>
      </c>
      <c r="AE679" s="662">
        <v>20</v>
      </c>
      <c r="AF679" s="662"/>
      <c r="AG679" s="662"/>
      <c r="AH679" s="662"/>
      <c r="AI679" s="663"/>
      <c r="AN679" s="542"/>
      <c r="AO679" s="824" t="str">
        <f t="shared" si="95"/>
        <v>Yes</v>
      </c>
      <c r="AP679" s="259" t="str">
        <f t="shared" si="96"/>
        <v>APR 21</v>
      </c>
      <c r="AQ679" s="542" t="str">
        <f t="shared" si="97"/>
        <v>有定金+有預留客戶</v>
      </c>
      <c r="AR679" s="259" t="str">
        <f t="shared" si="98"/>
        <v>Shipped_Stock</v>
      </c>
      <c r="AS679" s="259" t="str">
        <f t="shared" si="99"/>
        <v/>
      </c>
      <c r="AT679" s="259" t="str">
        <f t="shared" si="100"/>
        <v>赛美达</v>
      </c>
      <c r="AU679" s="259" t="str">
        <f t="shared" si="101"/>
        <v>C49SZX20210038SX</v>
      </c>
      <c r="AV679" s="259" t="str">
        <f t="shared" si="102"/>
        <v>Feb-07</v>
      </c>
    </row>
    <row r="680" spans="1:48" ht="21.75" hidden="1">
      <c r="A680" s="559">
        <v>990</v>
      </c>
      <c r="B680" s="664" t="s">
        <v>1125</v>
      </c>
      <c r="C680" s="664" t="s">
        <v>15</v>
      </c>
      <c r="D680" s="645">
        <v>110133</v>
      </c>
      <c r="E680" s="563" t="s">
        <v>886</v>
      </c>
      <c r="F680" s="647" t="s">
        <v>58</v>
      </c>
      <c r="G680" s="647" t="s">
        <v>24</v>
      </c>
      <c r="H680" s="647" t="s">
        <v>26</v>
      </c>
      <c r="I680" s="575" t="s">
        <v>1418</v>
      </c>
      <c r="J680" s="575">
        <v>1</v>
      </c>
      <c r="K680" s="647" t="s">
        <v>1419</v>
      </c>
      <c r="L680" s="657">
        <v>44234</v>
      </c>
      <c r="M680" s="678" t="s">
        <v>1420</v>
      </c>
      <c r="N680" s="647" t="s">
        <v>90</v>
      </c>
      <c r="O680" s="575"/>
      <c r="P680" s="665" t="str">
        <f>VLOOKUP(A680,'[1]Raw data'!$B:$BA,23,FALSE)</f>
        <v>RMB</v>
      </c>
      <c r="Q680" s="647" t="str">
        <f>VLOOKUP(A680,'[1]Raw data'!$B:$Z,2,FALSE)</f>
        <v>C49SZX20200080DY</v>
      </c>
      <c r="R680" s="647" t="str">
        <f>VLOOKUP(A680,'[1]Raw data'!$B:$Z,3,FALSE)</f>
        <v>富源晟</v>
      </c>
      <c r="S680" s="647" t="str">
        <f>VLOOKUP(A680,'[1]Raw data'!$B:$Z,4,FALSE)</f>
        <v>YSM20R-2</v>
      </c>
      <c r="T680" s="647" t="str">
        <f>VLOOKUP(A680,'[1]Raw data'!$B:$Z,8,FALSE)</f>
        <v>L-&gt;R</v>
      </c>
      <c r="U680" s="647" t="str">
        <f>VLOOKUP(A680,'[1]Raw data'!$B:$Z,9,FALSE)</f>
        <v>No</v>
      </c>
      <c r="V680" s="567" t="str">
        <f t="shared" si="103"/>
        <v>OK</v>
      </c>
      <c r="W680" s="563" t="str">
        <f>VLOOKUP(A680,'[1]Raw data'!$B:$AG,32,FALSE)</f>
        <v>含税到厂</v>
      </c>
      <c r="X680" s="647">
        <f>VLOOKUP(A680,'[1]Raw data'!$B:$BA,31,FALSE)</f>
        <v>44173</v>
      </c>
      <c r="Y680" s="647" t="str">
        <f>VLOOKUP(A680,'[1]Raw data'!$B:$AS,39,FALSE)</f>
        <v>Yes</v>
      </c>
      <c r="Z680" s="659"/>
      <c r="AA680" s="660"/>
      <c r="AB680" s="661"/>
      <c r="AC680" s="647" t="s">
        <v>1421</v>
      </c>
      <c r="AD680" s="662">
        <v>302</v>
      </c>
      <c r="AE680" s="662">
        <v>20</v>
      </c>
      <c r="AF680" s="662"/>
      <c r="AG680" s="662"/>
      <c r="AH680" s="662"/>
      <c r="AI680" s="663"/>
      <c r="AN680" s="542"/>
      <c r="AO680" s="824" t="str">
        <f t="shared" si="95"/>
        <v>Yes</v>
      </c>
      <c r="AP680" s="259" t="str">
        <f t="shared" si="96"/>
        <v>APR 21</v>
      </c>
      <c r="AQ680" s="542" t="str">
        <f t="shared" si="97"/>
        <v>有定金+有預留客戶</v>
      </c>
      <c r="AR680" s="259" t="str">
        <f t="shared" si="98"/>
        <v>Shipped_Stock</v>
      </c>
      <c r="AS680" s="259" t="str">
        <f t="shared" si="99"/>
        <v/>
      </c>
      <c r="AT680" s="259" t="str">
        <f t="shared" si="100"/>
        <v>富源晟</v>
      </c>
      <c r="AU680" s="259" t="str">
        <f t="shared" si="101"/>
        <v>C49SZX20200080DY</v>
      </c>
      <c r="AV680" s="259" t="str">
        <f t="shared" si="102"/>
        <v>Feb-07</v>
      </c>
    </row>
    <row r="681" spans="1:48" hidden="1">
      <c r="A681" s="559">
        <v>1017</v>
      </c>
      <c r="B681" s="664" t="s">
        <v>1125</v>
      </c>
      <c r="C681" s="664" t="s">
        <v>281</v>
      </c>
      <c r="D681" s="645">
        <v>110210</v>
      </c>
      <c r="E681" s="646" t="s">
        <v>1422</v>
      </c>
      <c r="F681" s="647" t="s">
        <v>241</v>
      </c>
      <c r="G681" s="647" t="s">
        <v>18</v>
      </c>
      <c r="H681" s="647" t="s">
        <v>48</v>
      </c>
      <c r="I681" s="575" t="s">
        <v>1423</v>
      </c>
      <c r="J681" s="575">
        <v>1</v>
      </c>
      <c r="K681" s="647" t="s">
        <v>81</v>
      </c>
      <c r="L681" s="726">
        <v>44247</v>
      </c>
      <c r="M681" s="665" t="s">
        <v>906</v>
      </c>
      <c r="N681" s="647" t="s">
        <v>14</v>
      </c>
      <c r="O681" s="575"/>
      <c r="P681" s="566" t="str">
        <f>VLOOKUP(A681,'[1]Raw data'!$B:$BB,23,FALSE)</f>
        <v>JPY</v>
      </c>
      <c r="Q681" s="563" t="str">
        <f>VLOOKUP(A681,'[1]Raw data'!$B:$Z,2,FALSE)</f>
        <v>C49SZX20200239JL</v>
      </c>
      <c r="R681" s="563" t="str">
        <f>VLOOKUP(A681,'[1]Raw data'!$B:$Z,3,FALSE)</f>
        <v>博实结</v>
      </c>
      <c r="S681" s="563" t="str">
        <f>VLOOKUP(A681,'[1]Raw data'!$B:$Z,4,FALSE)</f>
        <v>YSM10</v>
      </c>
      <c r="T681" s="563" t="str">
        <f>VLOOKUP(A681,'[1]Raw data'!$B:$Z,8,FALSE)</f>
        <v>L-&gt;R</v>
      </c>
      <c r="U681" s="563" t="str">
        <f>VLOOKUP(A681,'[1]Raw data'!$B:$Z,9,FALSE)</f>
        <v>MVC+ATS15</v>
      </c>
      <c r="V681" s="567" t="str">
        <f t="shared" ref="V681:V690" si="104">IF(G681&amp;H681=T681&amp;U681,"OK","WRONG")</f>
        <v>WRONG</v>
      </c>
      <c r="W681" s="563" t="str">
        <f>VLOOKUP(A681,'[1]Raw data'!$B:$AG,32,FALSE)</f>
        <v>CIF HK</v>
      </c>
      <c r="X681" s="563">
        <f>VLOOKUP(A681,'[1]Raw data'!$B:$BA,31,FALSE)</f>
        <v>44174</v>
      </c>
      <c r="Y681" s="563" t="str">
        <f>VLOOKUP(A681,'[1]Raw data'!$B:$AS,39,FALSE)</f>
        <v>Yes</v>
      </c>
      <c r="Z681" s="659"/>
      <c r="AA681" s="660"/>
      <c r="AB681" s="661"/>
      <c r="AC681" s="647" t="s">
        <v>1424</v>
      </c>
      <c r="AD681" s="662">
        <v>301</v>
      </c>
      <c r="AE681" s="662">
        <v>10</v>
      </c>
      <c r="AF681" s="662"/>
      <c r="AG681" s="662"/>
      <c r="AH681" s="662"/>
      <c r="AI681" s="663"/>
      <c r="AN681" s="542"/>
      <c r="AO681" s="824" t="str">
        <f t="shared" si="95"/>
        <v>Yes</v>
      </c>
      <c r="AP681" s="259" t="str">
        <f t="shared" si="96"/>
        <v>FEB 21</v>
      </c>
      <c r="AQ681" s="542" t="str">
        <f t="shared" si="97"/>
        <v>有定金+有預留客戶</v>
      </c>
      <c r="AR681" s="259" t="str">
        <f t="shared" si="98"/>
        <v>Shipped_Stock</v>
      </c>
      <c r="AS681" s="259" t="str">
        <f t="shared" si="99"/>
        <v/>
      </c>
      <c r="AT681" s="259" t="str">
        <f t="shared" si="100"/>
        <v>博实结</v>
      </c>
      <c r="AU681" s="259" t="str">
        <f t="shared" si="101"/>
        <v>C49SZX20200239JL</v>
      </c>
      <c r="AV681" s="259" t="str">
        <f t="shared" si="102"/>
        <v>Feb-20</v>
      </c>
    </row>
    <row r="682" spans="1:48" hidden="1">
      <c r="A682" s="559">
        <v>1074</v>
      </c>
      <c r="B682" s="664" t="s">
        <v>1125</v>
      </c>
      <c r="C682" s="664" t="s">
        <v>281</v>
      </c>
      <c r="D682" s="645">
        <v>110210</v>
      </c>
      <c r="E682" s="646" t="s">
        <v>1422</v>
      </c>
      <c r="F682" s="647" t="s">
        <v>241</v>
      </c>
      <c r="G682" s="647" t="s">
        <v>18</v>
      </c>
      <c r="H682" s="647" t="s">
        <v>48</v>
      </c>
      <c r="I682" s="575" t="s">
        <v>1425</v>
      </c>
      <c r="J682" s="575">
        <v>1</v>
      </c>
      <c r="K682" s="647" t="s">
        <v>81</v>
      </c>
      <c r="L682" s="726">
        <v>44247</v>
      </c>
      <c r="M682" s="665" t="s">
        <v>906</v>
      </c>
      <c r="N682" s="647" t="s">
        <v>110</v>
      </c>
      <c r="O682" s="575"/>
      <c r="P682" s="665" t="str">
        <f>VLOOKUP(A682,'[1]Raw data'!$B:$BA,23,FALSE)</f>
        <v>JPY</v>
      </c>
      <c r="Q682" s="647" t="str">
        <f>VLOOKUP(A682,'[1]Raw data'!$B:$Z,2,FALSE)</f>
        <v>C49SZX20210009MZ</v>
      </c>
      <c r="R682" s="647" t="str">
        <f>VLOOKUP(A682,'[1]Raw data'!$B:$Z,3,FALSE)</f>
        <v>奥视通</v>
      </c>
      <c r="S682" s="647" t="str">
        <f>VLOOKUP(A682,'[1]Raw data'!$B:$Z,4,FALSE)</f>
        <v>YSM10</v>
      </c>
      <c r="T682" s="647" t="str">
        <f>VLOOKUP(A682,'[1]Raw data'!$B:$Z,8,FALSE)</f>
        <v>L-&gt;R</v>
      </c>
      <c r="U682" s="647" t="str">
        <f>VLOOKUP(A682,'[1]Raw data'!$B:$Z,9,FALSE)</f>
        <v>MVC+ATS15</v>
      </c>
      <c r="V682" s="567" t="str">
        <f t="shared" si="104"/>
        <v>WRONG</v>
      </c>
      <c r="W682" s="563" t="str">
        <f>VLOOKUP(A682,'[1]Raw data'!$B:$AG,32,FALSE)</f>
        <v>DAP HZ</v>
      </c>
      <c r="X682" s="647">
        <f>VLOOKUP(A682,'[1]Raw data'!$B:$BA,31,FALSE)</f>
        <v>44215</v>
      </c>
      <c r="Y682" s="647" t="str">
        <f>VLOOKUP(A682,'[1]Raw data'!$B:$AS,39,FALSE)</f>
        <v>Yes</v>
      </c>
      <c r="Z682" s="659"/>
      <c r="AA682" s="660"/>
      <c r="AB682" s="661"/>
      <c r="AC682" s="647" t="s">
        <v>1426</v>
      </c>
      <c r="AD682" s="662">
        <v>301</v>
      </c>
      <c r="AE682" s="662">
        <v>10</v>
      </c>
      <c r="AF682" s="662"/>
      <c r="AG682" s="662"/>
      <c r="AH682" s="662"/>
      <c r="AI682" s="663"/>
      <c r="AN682" s="542"/>
      <c r="AO682" s="824" t="str">
        <f t="shared" si="95"/>
        <v>Yes</v>
      </c>
      <c r="AP682" s="259" t="str">
        <f t="shared" si="96"/>
        <v>MAY 21</v>
      </c>
      <c r="AQ682" s="542" t="str">
        <f t="shared" si="97"/>
        <v>有定金+有預留客戶</v>
      </c>
      <c r="AR682" s="259" t="str">
        <f t="shared" si="98"/>
        <v>Shipped_Stock</v>
      </c>
      <c r="AS682" s="259" t="str">
        <f t="shared" si="99"/>
        <v/>
      </c>
      <c r="AT682" s="259" t="str">
        <f t="shared" si="100"/>
        <v>奥视通</v>
      </c>
      <c r="AU682" s="259" t="str">
        <f t="shared" si="101"/>
        <v>C49SZX20210009MZ</v>
      </c>
      <c r="AV682" s="259" t="str">
        <f t="shared" si="102"/>
        <v>Feb-20</v>
      </c>
    </row>
    <row r="683" spans="1:48" hidden="1">
      <c r="A683" s="559">
        <v>1300</v>
      </c>
      <c r="B683" s="664" t="s">
        <v>1125</v>
      </c>
      <c r="C683" s="664" t="s">
        <v>281</v>
      </c>
      <c r="D683" s="645">
        <v>110210</v>
      </c>
      <c r="E683" s="646" t="s">
        <v>1422</v>
      </c>
      <c r="F683" s="647" t="s">
        <v>241</v>
      </c>
      <c r="G683" s="647" t="s">
        <v>18</v>
      </c>
      <c r="H683" s="647" t="s">
        <v>48</v>
      </c>
      <c r="I683" s="575" t="s">
        <v>1427</v>
      </c>
      <c r="J683" s="575">
        <v>1</v>
      </c>
      <c r="K683" s="647" t="s">
        <v>85</v>
      </c>
      <c r="L683" s="726">
        <v>44247</v>
      </c>
      <c r="M683" s="665" t="s">
        <v>906</v>
      </c>
      <c r="N683" s="647" t="s">
        <v>90</v>
      </c>
      <c r="O683" s="575"/>
      <c r="P683" s="665" t="str">
        <f>VLOOKUP(A683,'[1]Raw data'!$B:$BA,23,FALSE)</f>
        <v>RMB</v>
      </c>
      <c r="Q683" s="647" t="str">
        <f>VLOOKUP(A683,'[1]Raw data'!$B:$Z,2,FALSE)</f>
        <v>C49SZX20210105JY</v>
      </c>
      <c r="R683" s="647" t="str">
        <f>VLOOKUP(A683,'[1]Raw data'!$B:$Z,3,FALSE)</f>
        <v>辉拓</v>
      </c>
      <c r="S683" s="647" t="str">
        <f>VLOOKUP(A683,'[1]Raw data'!$B:$Z,4,FALSE)</f>
        <v>YSM10</v>
      </c>
      <c r="T683" s="647" t="str">
        <f>VLOOKUP(A683,'[1]Raw data'!$B:$Z,8,FALSE)</f>
        <v>L-&gt;R</v>
      </c>
      <c r="U683" s="647" t="str">
        <f>VLOOKUP(A683,'[1]Raw data'!$B:$Z,9,FALSE)</f>
        <v>MVC F&amp;R+ATS15</v>
      </c>
      <c r="V683" s="567" t="str">
        <f t="shared" si="104"/>
        <v>WRONG</v>
      </c>
      <c r="W683" s="563" t="str">
        <f>VLOOKUP(A683,'[1]Raw data'!$B:$AG,32,FALSE)</f>
        <v>DDP SZ</v>
      </c>
      <c r="X683" s="647">
        <f>VLOOKUP(A683,'[1]Raw data'!$B:$BA,31,FALSE)</f>
        <v>44292</v>
      </c>
      <c r="Y683" s="647" t="str">
        <f>VLOOKUP(A683,'[1]Raw data'!$B:$AS,39,FALSE)</f>
        <v>Yes</v>
      </c>
      <c r="Z683" s="659"/>
      <c r="AA683" s="660"/>
      <c r="AB683" s="661"/>
      <c r="AC683" s="647" t="s">
        <v>1428</v>
      </c>
      <c r="AD683" s="662">
        <v>302</v>
      </c>
      <c r="AE683" s="662">
        <v>10</v>
      </c>
      <c r="AF683" s="662"/>
      <c r="AG683" s="662"/>
      <c r="AH683" s="662"/>
      <c r="AI683" s="663"/>
      <c r="AN683" s="542"/>
      <c r="AO683" s="824" t="str">
        <f t="shared" si="95"/>
        <v>Yes</v>
      </c>
      <c r="AP683" s="259" t="str">
        <f t="shared" si="96"/>
        <v>APR 21</v>
      </c>
      <c r="AQ683" s="542" t="str">
        <f t="shared" si="97"/>
        <v>有定金+有預留客戶</v>
      </c>
      <c r="AR683" s="259" t="str">
        <f t="shared" si="98"/>
        <v>Shipped_Stock</v>
      </c>
      <c r="AS683" s="259" t="str">
        <f t="shared" si="99"/>
        <v/>
      </c>
      <c r="AT683" s="259" t="str">
        <f t="shared" si="100"/>
        <v>辉拓</v>
      </c>
      <c r="AU683" s="259" t="str">
        <f t="shared" si="101"/>
        <v>C49SZX20210105JY</v>
      </c>
      <c r="AV683" s="259" t="str">
        <f t="shared" si="102"/>
        <v>Feb-20</v>
      </c>
    </row>
    <row r="684" spans="1:48" hidden="1">
      <c r="A684" s="559">
        <v>1299</v>
      </c>
      <c r="B684" s="563" t="s">
        <v>1125</v>
      </c>
      <c r="C684" s="563"/>
      <c r="D684" s="727" t="s">
        <v>1429</v>
      </c>
      <c r="E684" s="724" t="s">
        <v>1429</v>
      </c>
      <c r="F684" s="563" t="s">
        <v>1163</v>
      </c>
      <c r="G684" s="563" t="s">
        <v>24</v>
      </c>
      <c r="H684" s="563" t="s">
        <v>26</v>
      </c>
      <c r="I684" s="564" t="s">
        <v>1430</v>
      </c>
      <c r="J684" s="564">
        <v>0</v>
      </c>
      <c r="K684" s="563"/>
      <c r="L684" s="565"/>
      <c r="M684" s="576"/>
      <c r="N684" s="563" t="s">
        <v>90</v>
      </c>
      <c r="P684" s="665" t="str">
        <f>VLOOKUP(A684,'[1]Raw data'!$B:$BA,23,FALSE)</f>
        <v>RMB</v>
      </c>
      <c r="Q684" s="647" t="str">
        <f>VLOOKUP(A684,'[1]Raw data'!$B:$Z,2,FALSE)</f>
        <v>C49SZX20210105JY</v>
      </c>
      <c r="R684" s="647" t="str">
        <f>VLOOKUP(A684,'[1]Raw data'!$B:$Z,3,FALSE)</f>
        <v>辉拓</v>
      </c>
      <c r="S684" s="647" t="str">
        <f>VLOOKUP(A684,'[1]Raw data'!$B:$Z,4,FALSE)</f>
        <v>YSM20R-2</v>
      </c>
      <c r="T684" s="647" t="str">
        <f>VLOOKUP(A684,'[1]Raw data'!$B:$Z,8,FALSE)</f>
        <v>L-&gt;R</v>
      </c>
      <c r="U684" s="647" t="str">
        <f>VLOOKUP(A684,'[1]Raw data'!$B:$Z,9,FALSE)</f>
        <v>MVC</v>
      </c>
      <c r="V684" s="567" t="str">
        <f>IF(G684&amp;H684=T684&amp;U684,"OK","WRONG")</f>
        <v>WRONG</v>
      </c>
      <c r="W684" s="563" t="str">
        <f>VLOOKUP(A684,'[1]Raw data'!$B:$AG,32,FALSE)</f>
        <v>DDP SZ</v>
      </c>
      <c r="X684" s="647">
        <f>VLOOKUP(A684,'[1]Raw data'!$B:$BA,31,FALSE)</f>
        <v>44292</v>
      </c>
      <c r="Y684" s="647" t="str">
        <f>VLOOKUP(A684,'[1]Raw data'!$B:$AS,39,FALSE)</f>
        <v>Yes</v>
      </c>
      <c r="AC684" s="647" t="s">
        <v>1428</v>
      </c>
      <c r="AO684" s="824" t="str">
        <f t="shared" si="95"/>
        <v>Yes</v>
      </c>
      <c r="AP684" s="259" t="str">
        <f t="shared" si="96"/>
        <v>APR 21</v>
      </c>
      <c r="AQ684" s="542" t="str">
        <f t="shared" si="97"/>
        <v>有定金+有預留客戶</v>
      </c>
      <c r="AR684" s="259" t="str">
        <f t="shared" si="98"/>
        <v>Shipped_Stock</v>
      </c>
      <c r="AS684" s="259" t="str">
        <f t="shared" si="99"/>
        <v/>
      </c>
      <c r="AT684" s="259" t="str">
        <f t="shared" si="100"/>
        <v>辉拓</v>
      </c>
      <c r="AU684" s="259" t="str">
        <f t="shared" si="101"/>
        <v>C49SZX20210105JY</v>
      </c>
      <c r="AV684" s="259" t="str">
        <f t="shared" si="102"/>
        <v>-</v>
      </c>
    </row>
    <row r="685" spans="1:48" hidden="1">
      <c r="A685" s="559">
        <v>1321</v>
      </c>
      <c r="B685" s="664" t="s">
        <v>1125</v>
      </c>
      <c r="C685" s="664" t="s">
        <v>281</v>
      </c>
      <c r="D685" s="645">
        <v>110210</v>
      </c>
      <c r="E685" s="646" t="s">
        <v>1422</v>
      </c>
      <c r="F685" s="647" t="s">
        <v>241</v>
      </c>
      <c r="G685" s="647" t="s">
        <v>18</v>
      </c>
      <c r="H685" s="647" t="s">
        <v>48</v>
      </c>
      <c r="I685" s="575" t="s">
        <v>1431</v>
      </c>
      <c r="J685" s="575">
        <v>1</v>
      </c>
      <c r="K685" s="647" t="s">
        <v>81</v>
      </c>
      <c r="L685" s="726">
        <v>44247</v>
      </c>
      <c r="M685" s="665" t="s">
        <v>906</v>
      </c>
      <c r="N685" s="647" t="s">
        <v>110</v>
      </c>
      <c r="O685" s="575"/>
      <c r="P685" s="665" t="str">
        <f>VLOOKUP(A685,'[1]Raw data'!$B:$BA,23,FALSE)</f>
        <v>JPY</v>
      </c>
      <c r="Q685" s="647" t="str">
        <f>VLOOKUP(A685,'[1]Raw data'!$B:$Z,2,FALSE)</f>
        <v>C49SZX20210109SX</v>
      </c>
      <c r="R685" s="647" t="str">
        <f>VLOOKUP(A685,'[1]Raw data'!$B:$Z,3,FALSE)</f>
        <v>华汛</v>
      </c>
      <c r="S685" s="647" t="str">
        <f>VLOOKUP(A685,'[1]Raw data'!$B:$Z,4,FALSE)</f>
        <v>YSM10</v>
      </c>
      <c r="T685" s="647" t="str">
        <f>VLOOKUP(A685,'[1]Raw data'!$B:$Z,8,FALSE)</f>
        <v>R-&gt;L</v>
      </c>
      <c r="U685" s="647" t="str">
        <f>VLOOKUP(A685,'[1]Raw data'!$B:$Z,9,FALSE)</f>
        <v>MVC+ATS15</v>
      </c>
      <c r="V685" s="567" t="str">
        <f t="shared" si="104"/>
        <v>WRONG</v>
      </c>
      <c r="W685" s="563" t="str">
        <f>VLOOKUP(A685,'[1]Raw data'!$B:$AG,32,FALSE)</f>
        <v>DAP SZ</v>
      </c>
      <c r="X685" s="647">
        <f>VLOOKUP(A685,'[1]Raw data'!$B:$BA,31,FALSE)</f>
        <v>44295</v>
      </c>
      <c r="Y685" s="647" t="str">
        <f>VLOOKUP(A685,'[1]Raw data'!$B:$AS,39,FALSE)</f>
        <v>Yes</v>
      </c>
      <c r="Z685" s="659"/>
      <c r="AA685" s="660"/>
      <c r="AB685" s="661"/>
      <c r="AC685" s="563" t="s">
        <v>807</v>
      </c>
      <c r="AD685" s="662">
        <v>311</v>
      </c>
      <c r="AE685" s="662">
        <v>10</v>
      </c>
      <c r="AF685" s="662"/>
      <c r="AG685" s="662"/>
      <c r="AH685" s="662"/>
      <c r="AI685" s="663"/>
      <c r="AN685" s="542"/>
      <c r="AO685" s="824" t="str">
        <f t="shared" si="95"/>
        <v>Yes</v>
      </c>
      <c r="AP685" s="259" t="str">
        <f t="shared" si="96"/>
        <v>MAY 21</v>
      </c>
      <c r="AQ685" s="542" t="str">
        <f t="shared" si="97"/>
        <v>有定金+有預留客戶</v>
      </c>
      <c r="AR685" s="259" t="str">
        <f t="shared" si="98"/>
        <v>Shipped_Stock</v>
      </c>
      <c r="AS685" s="259" t="str">
        <f t="shared" si="99"/>
        <v/>
      </c>
      <c r="AT685" s="259" t="str">
        <f t="shared" si="100"/>
        <v>华汛</v>
      </c>
      <c r="AU685" s="259" t="str">
        <f t="shared" si="101"/>
        <v>C49SZX20210109SX</v>
      </c>
      <c r="AV685" s="259" t="str">
        <f t="shared" si="102"/>
        <v>Feb-20</v>
      </c>
    </row>
    <row r="686" spans="1:48" hidden="1">
      <c r="A686" s="559">
        <v>1128</v>
      </c>
      <c r="B686" s="664" t="s">
        <v>1125</v>
      </c>
      <c r="C686" s="664" t="s">
        <v>15</v>
      </c>
      <c r="D686" s="645">
        <v>110175</v>
      </c>
      <c r="E686" s="563" t="s">
        <v>1432</v>
      </c>
      <c r="F686" s="647" t="s">
        <v>58</v>
      </c>
      <c r="G686" s="647" t="s">
        <v>24</v>
      </c>
      <c r="H686" s="647" t="s">
        <v>26</v>
      </c>
      <c r="I686" s="575" t="s">
        <v>1433</v>
      </c>
      <c r="J686" s="575">
        <v>1</v>
      </c>
      <c r="K686" s="647" t="s">
        <v>85</v>
      </c>
      <c r="L686" s="728" t="s">
        <v>1434</v>
      </c>
      <c r="M686" s="665" t="s">
        <v>906</v>
      </c>
      <c r="N686" s="647" t="s">
        <v>90</v>
      </c>
      <c r="O686" s="575"/>
      <c r="P686" s="665" t="str">
        <f>VLOOKUP(A686,'[1]Raw data'!$B:$BA,23,FALSE)</f>
        <v>JPY</v>
      </c>
      <c r="Q686" s="647" t="str">
        <f>VLOOKUP(A686,'[1]Raw data'!$B:$Z,2,FALSE)</f>
        <v>C49SZX20210036JZ</v>
      </c>
      <c r="R686" s="647" t="str">
        <f>VLOOKUP(A686,'[1]Raw data'!$B:$Z,3,FALSE)</f>
        <v>恒泰创新</v>
      </c>
      <c r="S686" s="647" t="str">
        <f>VLOOKUP(A686,'[1]Raw data'!$B:$Z,4,FALSE)</f>
        <v>YSM20R-2</v>
      </c>
      <c r="T686" s="647" t="str">
        <f>VLOOKUP(A686,'[1]Raw data'!$B:$Z,8,FALSE)</f>
        <v>L-&gt;R</v>
      </c>
      <c r="U686" s="647" t="str">
        <f>VLOOKUP(A686,'[1]Raw data'!$B:$Z,9,FALSE)</f>
        <v>MVC</v>
      </c>
      <c r="V686" s="567" t="str">
        <f t="shared" si="104"/>
        <v>WRONG</v>
      </c>
      <c r="W686" s="563" t="str">
        <f>VLOOKUP(A686,'[1]Raw data'!$B:$AG,32,FALSE)</f>
        <v>DAP SZ</v>
      </c>
      <c r="X686" s="647">
        <f>VLOOKUP(A686,'[1]Raw data'!$B:$BA,31,FALSE)</f>
        <v>44229</v>
      </c>
      <c r="Y686" s="647" t="str">
        <f>VLOOKUP(A686,'[1]Raw data'!$B:$AS,39,FALSE)</f>
        <v>Yes</v>
      </c>
      <c r="Z686" s="659"/>
      <c r="AA686" s="660"/>
      <c r="AB686" s="661"/>
      <c r="AC686" s="647" t="s">
        <v>1435</v>
      </c>
      <c r="AD686" s="662">
        <v>301</v>
      </c>
      <c r="AE686" s="662">
        <v>10</v>
      </c>
      <c r="AF686" s="662">
        <v>312</v>
      </c>
      <c r="AG686" s="662">
        <v>10</v>
      </c>
      <c r="AH686" s="662"/>
      <c r="AI686" s="663"/>
      <c r="AN686" s="542"/>
      <c r="AO686" s="824" t="str">
        <f t="shared" si="95"/>
        <v>Yes</v>
      </c>
      <c r="AP686" s="259" t="str">
        <f t="shared" si="96"/>
        <v>APR 21</v>
      </c>
      <c r="AQ686" s="542" t="str">
        <f t="shared" si="97"/>
        <v>有定金+有預留客戶</v>
      </c>
      <c r="AR686" s="259" t="str">
        <f t="shared" si="98"/>
        <v>Shipped_Stock</v>
      </c>
      <c r="AS686" s="259" t="str">
        <f t="shared" si="99"/>
        <v/>
      </c>
      <c r="AT686" s="259" t="str">
        <f t="shared" si="100"/>
        <v>恒泰创新</v>
      </c>
      <c r="AU686" s="259" t="str">
        <f t="shared" si="101"/>
        <v>C49SZX20210036JZ</v>
      </c>
      <c r="AV686" s="259" t="str">
        <f t="shared" si="102"/>
        <v>Feb-20</v>
      </c>
    </row>
    <row r="687" spans="1:48" hidden="1">
      <c r="A687" s="559">
        <v>1217</v>
      </c>
      <c r="B687" s="664" t="s">
        <v>1125</v>
      </c>
      <c r="C687" s="664" t="s">
        <v>15</v>
      </c>
      <c r="D687" s="645">
        <v>110175</v>
      </c>
      <c r="E687" s="563" t="s">
        <v>1432</v>
      </c>
      <c r="F687" s="647" t="s">
        <v>58</v>
      </c>
      <c r="G687" s="647" t="s">
        <v>24</v>
      </c>
      <c r="H687" s="647" t="s">
        <v>26</v>
      </c>
      <c r="I687" s="575" t="s">
        <v>1436</v>
      </c>
      <c r="J687" s="575">
        <v>1</v>
      </c>
      <c r="K687" s="647" t="s">
        <v>81</v>
      </c>
      <c r="L687" s="728" t="s">
        <v>1434</v>
      </c>
      <c r="M687" s="665" t="s">
        <v>906</v>
      </c>
      <c r="N687" s="647" t="s">
        <v>28</v>
      </c>
      <c r="O687" s="575"/>
      <c r="P687" s="566" t="str">
        <f>VLOOKUP(A687,'[1]Raw data'!$B:$BB,23,FALSE)</f>
        <v>JPY</v>
      </c>
      <c r="Q687" s="563" t="str">
        <f>VLOOKUP(A687,'[1]Raw data'!$B:$Z,2,FALSE)</f>
        <v>C49SZX20210068JL</v>
      </c>
      <c r="R687" s="563" t="str">
        <f>VLOOKUP(A687,'[1]Raw data'!$B:$Z,3,FALSE)</f>
        <v>芯睿视</v>
      </c>
      <c r="S687" s="563" t="str">
        <f>VLOOKUP(A687,'[1]Raw data'!$B:$Z,4,FALSE)</f>
        <v>YSM20R-2</v>
      </c>
      <c r="T687" s="563" t="str">
        <f>VLOOKUP(A687,'[1]Raw data'!$B:$Z,8,FALSE)</f>
        <v>L-&gt;R</v>
      </c>
      <c r="U687" s="563" t="str">
        <f>VLOOKUP(A687,'[1]Raw data'!$B:$Z,9,FALSE)</f>
        <v>No</v>
      </c>
      <c r="V687" s="567" t="str">
        <f t="shared" si="104"/>
        <v>OK</v>
      </c>
      <c r="W687" s="563" t="str">
        <f>VLOOKUP(A687,'[1]Raw data'!$B:$AG,32,FALSE)</f>
        <v>CIF HK</v>
      </c>
      <c r="X687" s="563">
        <f>VLOOKUP(A687,'[1]Raw data'!$B:$BA,31,FALSE)</f>
        <v>44263</v>
      </c>
      <c r="Y687" s="563" t="str">
        <f>VLOOKUP(A687,'[1]Raw data'!$B:$AS,39,FALSE)</f>
        <v>Yes</v>
      </c>
      <c r="Z687" s="666"/>
      <c r="AA687" s="667"/>
      <c r="AB687" s="668"/>
      <c r="AC687" s="647" t="s">
        <v>1437</v>
      </c>
      <c r="AD687" s="662">
        <v>301</v>
      </c>
      <c r="AE687" s="662">
        <v>10</v>
      </c>
      <c r="AF687" s="662">
        <v>312</v>
      </c>
      <c r="AG687" s="662">
        <v>10</v>
      </c>
      <c r="AH687" s="662"/>
      <c r="AI687" s="663"/>
      <c r="AN687" s="542"/>
      <c r="AO687" s="824" t="str">
        <f t="shared" si="95"/>
        <v>Yes</v>
      </c>
      <c r="AP687" s="259" t="str">
        <f t="shared" si="96"/>
        <v>MAR 21</v>
      </c>
      <c r="AQ687" s="542" t="str">
        <f t="shared" si="97"/>
        <v>有定金+有預留客戶</v>
      </c>
      <c r="AR687" s="259" t="str">
        <f t="shared" si="98"/>
        <v>Shipped_Stock</v>
      </c>
      <c r="AS687" s="259" t="str">
        <f t="shared" si="99"/>
        <v/>
      </c>
      <c r="AT687" s="259" t="str">
        <f t="shared" si="100"/>
        <v>芯睿视</v>
      </c>
      <c r="AU687" s="259" t="str">
        <f t="shared" si="101"/>
        <v>C49SZX20210068JL</v>
      </c>
      <c r="AV687" s="259" t="str">
        <f t="shared" si="102"/>
        <v>Feb-20</v>
      </c>
    </row>
    <row r="688" spans="1:48" hidden="1">
      <c r="A688" s="559">
        <v>1218</v>
      </c>
      <c r="B688" s="664" t="s">
        <v>1125</v>
      </c>
      <c r="C688" s="664" t="s">
        <v>15</v>
      </c>
      <c r="D688" s="645">
        <v>110175</v>
      </c>
      <c r="E688" s="563" t="s">
        <v>1432</v>
      </c>
      <c r="F688" s="647" t="s">
        <v>58</v>
      </c>
      <c r="G688" s="647" t="s">
        <v>24</v>
      </c>
      <c r="H688" s="647" t="s">
        <v>26</v>
      </c>
      <c r="I688" s="575" t="s">
        <v>1438</v>
      </c>
      <c r="J688" s="575">
        <v>1</v>
      </c>
      <c r="K688" s="647" t="s">
        <v>81</v>
      </c>
      <c r="L688" s="728" t="s">
        <v>1434</v>
      </c>
      <c r="M688" s="665" t="s">
        <v>906</v>
      </c>
      <c r="N688" s="647" t="s">
        <v>28</v>
      </c>
      <c r="O688" s="575"/>
      <c r="P688" s="566" t="str">
        <f>VLOOKUP(A688,'[1]Raw data'!$B:$BB,23,FALSE)</f>
        <v>JPY</v>
      </c>
      <c r="Q688" s="563" t="str">
        <f>VLOOKUP(A688,'[1]Raw data'!$B:$Z,2,FALSE)</f>
        <v>C49SZX20210068JL</v>
      </c>
      <c r="R688" s="563" t="str">
        <f>VLOOKUP(A688,'[1]Raw data'!$B:$Z,3,FALSE)</f>
        <v>芯睿视</v>
      </c>
      <c r="S688" s="563" t="str">
        <f>VLOOKUP(A688,'[1]Raw data'!$B:$Z,4,FALSE)</f>
        <v>YSM20R-2</v>
      </c>
      <c r="T688" s="563" t="str">
        <f>VLOOKUP(A688,'[1]Raw data'!$B:$Z,8,FALSE)</f>
        <v>L-&gt;R</v>
      </c>
      <c r="U688" s="563" t="str">
        <f>VLOOKUP(A688,'[1]Raw data'!$B:$Z,9,FALSE)</f>
        <v>No</v>
      </c>
      <c r="V688" s="567" t="str">
        <f t="shared" si="104"/>
        <v>OK</v>
      </c>
      <c r="W688" s="563" t="str">
        <f>VLOOKUP(A688,'[1]Raw data'!$B:$AG,32,FALSE)</f>
        <v>CIF HK</v>
      </c>
      <c r="X688" s="563">
        <f>VLOOKUP(A688,'[1]Raw data'!$B:$BA,31,FALSE)</f>
        <v>44263</v>
      </c>
      <c r="Y688" s="563" t="str">
        <f>VLOOKUP(A688,'[1]Raw data'!$B:$AS,39,FALSE)</f>
        <v>Yes</v>
      </c>
      <c r="Z688" s="666"/>
      <c r="AA688" s="667"/>
      <c r="AB688" s="668"/>
      <c r="AC688" s="647" t="s">
        <v>1437</v>
      </c>
      <c r="AD688" s="662">
        <v>301</v>
      </c>
      <c r="AE688" s="662">
        <v>10</v>
      </c>
      <c r="AF688" s="662">
        <v>312</v>
      </c>
      <c r="AG688" s="662">
        <v>10</v>
      </c>
      <c r="AH688" s="662"/>
      <c r="AI688" s="663"/>
      <c r="AN688" s="542"/>
      <c r="AO688" s="824" t="str">
        <f t="shared" si="95"/>
        <v>Yes</v>
      </c>
      <c r="AP688" s="259" t="str">
        <f t="shared" si="96"/>
        <v>MAR 21</v>
      </c>
      <c r="AQ688" s="542" t="str">
        <f t="shared" si="97"/>
        <v>有定金+有預留客戶</v>
      </c>
      <c r="AR688" s="259" t="str">
        <f t="shared" si="98"/>
        <v>Shipped_Stock</v>
      </c>
      <c r="AS688" s="259" t="str">
        <f t="shared" si="99"/>
        <v/>
      </c>
      <c r="AT688" s="259" t="str">
        <f t="shared" si="100"/>
        <v>芯睿视</v>
      </c>
      <c r="AU688" s="259" t="str">
        <f t="shared" si="101"/>
        <v>C49SZX20210068JL</v>
      </c>
      <c r="AV688" s="259" t="str">
        <f t="shared" si="102"/>
        <v>Feb-20</v>
      </c>
    </row>
    <row r="689" spans="1:48" hidden="1">
      <c r="A689" s="559">
        <v>1221</v>
      </c>
      <c r="B689" s="664" t="s">
        <v>1125</v>
      </c>
      <c r="C689" s="664" t="s">
        <v>15</v>
      </c>
      <c r="D689" s="645">
        <v>110175</v>
      </c>
      <c r="E689" s="563" t="s">
        <v>1432</v>
      </c>
      <c r="F689" s="647" t="s">
        <v>58</v>
      </c>
      <c r="G689" s="647" t="s">
        <v>24</v>
      </c>
      <c r="H689" s="647" t="s">
        <v>26</v>
      </c>
      <c r="I689" s="575" t="s">
        <v>1439</v>
      </c>
      <c r="J689" s="575">
        <v>1</v>
      </c>
      <c r="K689" s="647" t="s">
        <v>81</v>
      </c>
      <c r="L689" s="728" t="s">
        <v>1434</v>
      </c>
      <c r="M689" s="665" t="s">
        <v>906</v>
      </c>
      <c r="N689" s="647" t="s">
        <v>28</v>
      </c>
      <c r="O689" s="575"/>
      <c r="P689" s="566" t="str">
        <f>VLOOKUP(A689,'[1]Raw data'!$B:$BB,23,FALSE)</f>
        <v>JPY</v>
      </c>
      <c r="Q689" s="563" t="str">
        <f>VLOOKUP(A689,'[1]Raw data'!$B:$Z,2,FALSE)</f>
        <v>C49SZX20210068JL</v>
      </c>
      <c r="R689" s="563" t="str">
        <f>VLOOKUP(A689,'[1]Raw data'!$B:$Z,3,FALSE)</f>
        <v>芯睿视</v>
      </c>
      <c r="S689" s="563" t="str">
        <f>VLOOKUP(A689,'[1]Raw data'!$B:$Z,4,FALSE)</f>
        <v>YSM20R-2</v>
      </c>
      <c r="T689" s="563" t="str">
        <f>VLOOKUP(A689,'[1]Raw data'!$B:$Z,8,FALSE)</f>
        <v>L-&gt;R</v>
      </c>
      <c r="U689" s="563" t="str">
        <f>VLOOKUP(A689,'[1]Raw data'!$B:$Z,9,FALSE)</f>
        <v>No</v>
      </c>
      <c r="V689" s="567" t="str">
        <f t="shared" si="104"/>
        <v>OK</v>
      </c>
      <c r="W689" s="563" t="str">
        <f>VLOOKUP(A689,'[1]Raw data'!$B:$AG,32,FALSE)</f>
        <v>CIF HK</v>
      </c>
      <c r="X689" s="563">
        <f>VLOOKUP(A689,'[1]Raw data'!$B:$BA,31,FALSE)</f>
        <v>44263</v>
      </c>
      <c r="Y689" s="563" t="str">
        <f>VLOOKUP(A689,'[1]Raw data'!$B:$AS,39,FALSE)</f>
        <v>Yes</v>
      </c>
      <c r="Z689" s="666"/>
      <c r="AA689" s="667"/>
      <c r="AB689" s="668"/>
      <c r="AC689" s="647" t="s">
        <v>1437</v>
      </c>
      <c r="AD689" s="662">
        <v>301</v>
      </c>
      <c r="AE689" s="662">
        <v>10</v>
      </c>
      <c r="AF689" s="662">
        <v>312</v>
      </c>
      <c r="AG689" s="662">
        <v>10</v>
      </c>
      <c r="AH689" s="662"/>
      <c r="AI689" s="663"/>
      <c r="AN689" s="542"/>
      <c r="AO689" s="824" t="str">
        <f t="shared" si="95"/>
        <v>Yes</v>
      </c>
      <c r="AP689" s="259" t="str">
        <f t="shared" si="96"/>
        <v>MAR 21</v>
      </c>
      <c r="AQ689" s="542" t="str">
        <f t="shared" si="97"/>
        <v>有定金+有預留客戶</v>
      </c>
      <c r="AR689" s="259" t="str">
        <f t="shared" si="98"/>
        <v>Shipped_Stock</v>
      </c>
      <c r="AS689" s="259" t="str">
        <f t="shared" si="99"/>
        <v/>
      </c>
      <c r="AT689" s="259" t="str">
        <f t="shared" si="100"/>
        <v>芯睿视</v>
      </c>
      <c r="AU689" s="259" t="str">
        <f t="shared" si="101"/>
        <v>C49SZX20210068JL</v>
      </c>
      <c r="AV689" s="259" t="str">
        <f t="shared" si="102"/>
        <v>Feb-20</v>
      </c>
    </row>
    <row r="690" spans="1:48" hidden="1">
      <c r="A690" s="559">
        <v>1222</v>
      </c>
      <c r="B690" s="664" t="s">
        <v>1125</v>
      </c>
      <c r="C690" s="664" t="s">
        <v>15</v>
      </c>
      <c r="D690" s="645">
        <v>110175</v>
      </c>
      <c r="E690" s="563" t="s">
        <v>1432</v>
      </c>
      <c r="F690" s="647" t="s">
        <v>58</v>
      </c>
      <c r="G690" s="647" t="s">
        <v>24</v>
      </c>
      <c r="H690" s="647" t="s">
        <v>26</v>
      </c>
      <c r="I690" s="575" t="s">
        <v>1440</v>
      </c>
      <c r="J690" s="575">
        <v>1</v>
      </c>
      <c r="K690" s="647" t="s">
        <v>81</v>
      </c>
      <c r="L690" s="728" t="s">
        <v>1434</v>
      </c>
      <c r="M690" s="665" t="s">
        <v>906</v>
      </c>
      <c r="N690" s="647" t="s">
        <v>28</v>
      </c>
      <c r="O690" s="575"/>
      <c r="P690" s="566" t="str">
        <f>VLOOKUP(A690,'[1]Raw data'!$B:$BB,23,FALSE)</f>
        <v>JPY</v>
      </c>
      <c r="Q690" s="563" t="str">
        <f>VLOOKUP(A690,'[1]Raw data'!$B:$Z,2,FALSE)</f>
        <v>C49SZX20210068JL</v>
      </c>
      <c r="R690" s="563" t="str">
        <f>VLOOKUP(A690,'[1]Raw data'!$B:$Z,3,FALSE)</f>
        <v>芯睿视</v>
      </c>
      <c r="S690" s="563" t="str">
        <f>VLOOKUP(A690,'[1]Raw data'!$B:$Z,4,FALSE)</f>
        <v>YSM20R-2</v>
      </c>
      <c r="T690" s="563" t="str">
        <f>VLOOKUP(A690,'[1]Raw data'!$B:$Z,8,FALSE)</f>
        <v>L-&gt;R</v>
      </c>
      <c r="U690" s="563" t="str">
        <f>VLOOKUP(A690,'[1]Raw data'!$B:$Z,9,FALSE)</f>
        <v>No</v>
      </c>
      <c r="V690" s="567" t="str">
        <f t="shared" si="104"/>
        <v>OK</v>
      </c>
      <c r="W690" s="563" t="str">
        <f>VLOOKUP(A690,'[1]Raw data'!$B:$AG,32,FALSE)</f>
        <v>CIF HK</v>
      </c>
      <c r="X690" s="563">
        <f>VLOOKUP(A690,'[1]Raw data'!$B:$BA,31,FALSE)</f>
        <v>44263</v>
      </c>
      <c r="Y690" s="563" t="str">
        <f>VLOOKUP(A690,'[1]Raw data'!$B:$AS,39,FALSE)</f>
        <v>Yes</v>
      </c>
      <c r="Z690" s="666"/>
      <c r="AA690" s="667"/>
      <c r="AB690" s="668"/>
      <c r="AC690" s="647" t="s">
        <v>1437</v>
      </c>
      <c r="AD690" s="662">
        <v>301</v>
      </c>
      <c r="AE690" s="662">
        <v>10</v>
      </c>
      <c r="AF690" s="662">
        <v>312</v>
      </c>
      <c r="AG690" s="662">
        <v>10</v>
      </c>
      <c r="AH690" s="662"/>
      <c r="AI690" s="663"/>
      <c r="AN690" s="542"/>
      <c r="AO690" s="824" t="str">
        <f t="shared" si="95"/>
        <v>Yes</v>
      </c>
      <c r="AP690" s="259" t="str">
        <f t="shared" si="96"/>
        <v>MAR 21</v>
      </c>
      <c r="AQ690" s="542" t="str">
        <f t="shared" si="97"/>
        <v>有定金+有預留客戶</v>
      </c>
      <c r="AR690" s="259" t="str">
        <f t="shared" si="98"/>
        <v>Shipped_Stock</v>
      </c>
      <c r="AS690" s="259" t="str">
        <f t="shared" si="99"/>
        <v/>
      </c>
      <c r="AT690" s="259" t="str">
        <f t="shared" si="100"/>
        <v>芯睿视</v>
      </c>
      <c r="AU690" s="259" t="str">
        <f t="shared" si="101"/>
        <v>C49SZX20210068JL</v>
      </c>
      <c r="AV690" s="259" t="str">
        <f t="shared" si="102"/>
        <v>Feb-20</v>
      </c>
    </row>
    <row r="691" spans="1:48" hidden="1">
      <c r="A691" s="559">
        <v>1098</v>
      </c>
      <c r="B691" s="664" t="s">
        <v>1125</v>
      </c>
      <c r="C691" s="664" t="s">
        <v>15</v>
      </c>
      <c r="D691" s="645">
        <v>110174</v>
      </c>
      <c r="E691" s="563" t="s">
        <v>1432</v>
      </c>
      <c r="F691" s="647" t="s">
        <v>58</v>
      </c>
      <c r="G691" s="647" t="s">
        <v>24</v>
      </c>
      <c r="H691" s="647" t="s">
        <v>26</v>
      </c>
      <c r="I691" s="575" t="s">
        <v>1441</v>
      </c>
      <c r="J691" s="575">
        <v>1</v>
      </c>
      <c r="K691" s="647" t="s">
        <v>85</v>
      </c>
      <c r="L691" s="729">
        <v>44252</v>
      </c>
      <c r="M691" s="665" t="s">
        <v>906</v>
      </c>
      <c r="N691" s="647" t="s">
        <v>110</v>
      </c>
      <c r="O691" s="575"/>
      <c r="P691" s="665" t="str">
        <f>VLOOKUP(A691,'[1]Raw data'!$B:$BA,23,FALSE)</f>
        <v>JPY</v>
      </c>
      <c r="Q691" s="647" t="str">
        <f>VLOOKUP(A691,'[1]Raw data'!$B:$Z,2,FALSE)</f>
        <v>C49SZX20210022VG</v>
      </c>
      <c r="R691" s="647" t="str">
        <f>VLOOKUP(A691,'[1]Raw data'!$B:$Z,3,FALSE)</f>
        <v>吉鑫凯</v>
      </c>
      <c r="S691" s="647" t="str">
        <f>VLOOKUP(A691,'[1]Raw data'!$B:$Z,4,FALSE)</f>
        <v>YSM20R-2</v>
      </c>
      <c r="T691" s="647" t="str">
        <f>VLOOKUP(A691,'[1]Raw data'!$B:$Z,8,FALSE)</f>
        <v>L-&gt;R</v>
      </c>
      <c r="U691" s="647" t="str">
        <f>VLOOKUP(A691,'[1]Raw data'!$B:$Z,9,FALSE)</f>
        <v>MVC</v>
      </c>
      <c r="V691" s="567" t="str">
        <f t="shared" ref="V691:V695" si="105">IF(G691&amp;H691=T691&amp;U691,"OK","WRONG")</f>
        <v>WRONG</v>
      </c>
      <c r="W691" s="563" t="str">
        <f>VLOOKUP(A691,'[1]Raw data'!$B:$AG,32,FALSE)</f>
        <v>DAP SZ</v>
      </c>
      <c r="X691" s="647">
        <f>VLOOKUP(A691,'[1]Raw data'!$B:$BA,31,FALSE)</f>
        <v>44222</v>
      </c>
      <c r="Y691" s="647" t="str">
        <f>VLOOKUP(A691,'[1]Raw data'!$B:$AS,39,FALSE)</f>
        <v>Yes</v>
      </c>
      <c r="Z691" s="659"/>
      <c r="AA691" s="660"/>
      <c r="AB691" s="661"/>
      <c r="AC691" s="647" t="s">
        <v>1442</v>
      </c>
      <c r="AD691" s="662">
        <v>301</v>
      </c>
      <c r="AE691" s="662">
        <v>10</v>
      </c>
      <c r="AF691" s="662">
        <v>311</v>
      </c>
      <c r="AG691" s="662">
        <v>10</v>
      </c>
      <c r="AH691" s="662"/>
      <c r="AI691" s="663"/>
      <c r="AN691" s="542"/>
      <c r="AO691" s="824" t="str">
        <f t="shared" si="95"/>
        <v>Yes</v>
      </c>
      <c r="AP691" s="259" t="str">
        <f t="shared" si="96"/>
        <v>MAY 21</v>
      </c>
      <c r="AQ691" s="542" t="str">
        <f t="shared" si="97"/>
        <v>有定金+有預留客戶</v>
      </c>
      <c r="AR691" s="259" t="str">
        <f t="shared" si="98"/>
        <v>Shipped_Stock</v>
      </c>
      <c r="AS691" s="259" t="str">
        <f t="shared" si="99"/>
        <v/>
      </c>
      <c r="AT691" s="259" t="str">
        <f t="shared" si="100"/>
        <v>吉鑫凯</v>
      </c>
      <c r="AU691" s="259" t="str">
        <f t="shared" si="101"/>
        <v>C49SZX20210022VG</v>
      </c>
      <c r="AV691" s="259" t="str">
        <f t="shared" si="102"/>
        <v>Feb-25</v>
      </c>
    </row>
    <row r="692" spans="1:48" hidden="1">
      <c r="A692" s="559">
        <v>949</v>
      </c>
      <c r="B692" s="664" t="s">
        <v>1125</v>
      </c>
      <c r="C692" s="664" t="s">
        <v>15</v>
      </c>
      <c r="D692" s="645">
        <v>110174</v>
      </c>
      <c r="E692" s="563" t="s">
        <v>1432</v>
      </c>
      <c r="F692" s="647" t="s">
        <v>58</v>
      </c>
      <c r="G692" s="647" t="s">
        <v>24</v>
      </c>
      <c r="H692" s="647" t="s">
        <v>26</v>
      </c>
      <c r="I692" s="575" t="s">
        <v>1443</v>
      </c>
      <c r="J692" s="575">
        <v>1</v>
      </c>
      <c r="K692" s="647" t="s">
        <v>81</v>
      </c>
      <c r="L692" s="729">
        <v>44252</v>
      </c>
      <c r="M692" s="665" t="s">
        <v>906</v>
      </c>
      <c r="N692" s="647" t="s">
        <v>28</v>
      </c>
      <c r="O692" s="575"/>
      <c r="P692" s="665" t="str">
        <f>VLOOKUP(A692,'[1]Raw data'!$B:$BA,23,FALSE)</f>
        <v>JPY</v>
      </c>
      <c r="Q692" s="647" t="str">
        <f>VLOOKUP(A692,'[1]Raw data'!$B:$Z,2,FALSE)</f>
        <v>C49SZX20200213MX</v>
      </c>
      <c r="R692" s="647" t="str">
        <f>VLOOKUP(A692,'[1]Raw data'!$B:$Z,3,FALSE)</f>
        <v>音品（End user:艾艺科技)</v>
      </c>
      <c r="S692" s="647" t="str">
        <f>VLOOKUP(A692,'[1]Raw data'!$B:$Z,4,FALSE)</f>
        <v>YSM20R-2</v>
      </c>
      <c r="T692" s="647" t="str">
        <f>VLOOKUP(A692,'[1]Raw data'!$B:$Z,8,FALSE)</f>
        <v>L-&gt;R</v>
      </c>
      <c r="U692" s="647" t="str">
        <f>VLOOKUP(A692,'[1]Raw data'!$B:$Z,9,FALSE)</f>
        <v>No</v>
      </c>
      <c r="V692" s="567" t="str">
        <f t="shared" si="105"/>
        <v>OK</v>
      </c>
      <c r="W692" s="563" t="str">
        <f>VLOOKUP(A692,'[1]Raw data'!$B:$AG,32,FALSE)</f>
        <v>DAP SZ</v>
      </c>
      <c r="X692" s="647">
        <f>VLOOKUP(A692,'[1]Raw data'!$B:$BA,31,FALSE)</f>
        <v>44153</v>
      </c>
      <c r="Y692" s="647" t="str">
        <f>VLOOKUP(A692,'[1]Raw data'!$B:$AS,39,FALSE)</f>
        <v>Yes</v>
      </c>
      <c r="Z692" s="659"/>
      <c r="AA692" s="660"/>
      <c r="AB692" s="661"/>
      <c r="AC692" s="647" t="s">
        <v>1333</v>
      </c>
      <c r="AD692" s="662">
        <v>301</v>
      </c>
      <c r="AE692" s="662">
        <v>10</v>
      </c>
      <c r="AF692" s="662">
        <v>311</v>
      </c>
      <c r="AG692" s="662">
        <v>10</v>
      </c>
      <c r="AH692" s="662"/>
      <c r="AI692" s="663"/>
      <c r="AN692" s="542"/>
      <c r="AO692" s="824" t="str">
        <f t="shared" si="95"/>
        <v>Yes</v>
      </c>
      <c r="AP692" s="259" t="str">
        <f t="shared" si="96"/>
        <v>MAR 21</v>
      </c>
      <c r="AQ692" s="542" t="str">
        <f t="shared" si="97"/>
        <v>有定金+有預留客戶</v>
      </c>
      <c r="AR692" s="259" t="str">
        <f t="shared" si="98"/>
        <v>Shipped_Stock</v>
      </c>
      <c r="AS692" s="259" t="str">
        <f t="shared" si="99"/>
        <v/>
      </c>
      <c r="AT692" s="259" t="str">
        <f t="shared" si="100"/>
        <v>音品（End user:艾艺科技)</v>
      </c>
      <c r="AU692" s="259" t="str">
        <f t="shared" si="101"/>
        <v>C49SZX20200213MX</v>
      </c>
      <c r="AV692" s="259" t="str">
        <f t="shared" si="102"/>
        <v>Feb-25</v>
      </c>
    </row>
    <row r="693" spans="1:48" hidden="1">
      <c r="A693" s="559">
        <v>1122</v>
      </c>
      <c r="B693" s="664" t="s">
        <v>1125</v>
      </c>
      <c r="C693" s="664" t="s">
        <v>15</v>
      </c>
      <c r="D693" s="645">
        <v>110174</v>
      </c>
      <c r="E693" s="563" t="s">
        <v>1432</v>
      </c>
      <c r="F693" s="647" t="s">
        <v>58</v>
      </c>
      <c r="G693" s="647" t="s">
        <v>24</v>
      </c>
      <c r="H693" s="647" t="s">
        <v>26</v>
      </c>
      <c r="I693" s="575" t="s">
        <v>1444</v>
      </c>
      <c r="J693" s="575">
        <v>1</v>
      </c>
      <c r="K693" s="647" t="s">
        <v>81</v>
      </c>
      <c r="L693" s="729">
        <v>44252</v>
      </c>
      <c r="M693" s="665" t="s">
        <v>906</v>
      </c>
      <c r="N693" s="647" t="s">
        <v>28</v>
      </c>
      <c r="O693" s="575"/>
      <c r="P693" s="665" t="str">
        <f>VLOOKUP(A693,'[1]Raw data'!$B:$BA,23,FALSE)</f>
        <v>JPY</v>
      </c>
      <c r="Q693" s="647" t="str">
        <f>VLOOKUP(A693,'[1]Raw data'!$B:$Z,2,FALSE)</f>
        <v>C49SZX20210011JY</v>
      </c>
      <c r="R693" s="647" t="str">
        <f>VLOOKUP(A693,'[1]Raw data'!$B:$Z,3,FALSE)</f>
        <v>英拓邦</v>
      </c>
      <c r="S693" s="647" t="str">
        <f>VLOOKUP(A693,'[1]Raw data'!$B:$Z,4,FALSE)</f>
        <v>YSM20R-2</v>
      </c>
      <c r="T693" s="647" t="str">
        <f>VLOOKUP(A693,'[1]Raw data'!$B:$Z,8,FALSE)</f>
        <v>L-&gt;R</v>
      </c>
      <c r="U693" s="647" t="str">
        <f>VLOOKUP(A693,'[1]Raw data'!$B:$Z,9,FALSE)</f>
        <v>No</v>
      </c>
      <c r="V693" s="567" t="str">
        <f t="shared" si="105"/>
        <v>OK</v>
      </c>
      <c r="W693" s="563" t="str">
        <f>VLOOKUP(A693,'[1]Raw data'!$B:$AG,32,FALSE)</f>
        <v>CIF HK</v>
      </c>
      <c r="X693" s="647">
        <f>VLOOKUP(A693,'[1]Raw data'!$B:$BA,31,FALSE)</f>
        <v>44222</v>
      </c>
      <c r="Y693" s="647" t="str">
        <f>VLOOKUP(A693,'[1]Raw data'!$B:$AS,39,FALSE)</f>
        <v>Yes</v>
      </c>
      <c r="Z693" s="666"/>
      <c r="AA693" s="667"/>
      <c r="AB693" s="668"/>
      <c r="AC693" s="647" t="s">
        <v>1445</v>
      </c>
      <c r="AD693" s="662">
        <v>301</v>
      </c>
      <c r="AE693" s="662">
        <v>10</v>
      </c>
      <c r="AF693" s="662">
        <v>311</v>
      </c>
      <c r="AG693" s="662">
        <v>10</v>
      </c>
      <c r="AH693" s="662"/>
      <c r="AI693" s="663"/>
      <c r="AN693" s="542"/>
      <c r="AO693" s="824" t="str">
        <f t="shared" si="95"/>
        <v>Yes</v>
      </c>
      <c r="AP693" s="259" t="str">
        <f t="shared" si="96"/>
        <v>MAR 21</v>
      </c>
      <c r="AQ693" s="542" t="str">
        <f t="shared" si="97"/>
        <v>有定金+有預留客戶</v>
      </c>
      <c r="AR693" s="259" t="str">
        <f t="shared" si="98"/>
        <v>Shipped_Stock</v>
      </c>
      <c r="AS693" s="259" t="str">
        <f t="shared" si="99"/>
        <v/>
      </c>
      <c r="AT693" s="259" t="str">
        <f t="shared" si="100"/>
        <v>英拓邦</v>
      </c>
      <c r="AU693" s="259" t="str">
        <f t="shared" si="101"/>
        <v>C49SZX20210011JY</v>
      </c>
      <c r="AV693" s="259" t="str">
        <f t="shared" si="102"/>
        <v>Feb-25</v>
      </c>
    </row>
    <row r="694" spans="1:48" hidden="1">
      <c r="A694" s="559">
        <v>1015</v>
      </c>
      <c r="B694" s="664" t="s">
        <v>1125</v>
      </c>
      <c r="C694" s="664" t="s">
        <v>15</v>
      </c>
      <c r="D694" s="645">
        <v>110174</v>
      </c>
      <c r="E694" s="563" t="s">
        <v>1432</v>
      </c>
      <c r="F694" s="647" t="s">
        <v>58</v>
      </c>
      <c r="G694" s="647" t="s">
        <v>24</v>
      </c>
      <c r="H694" s="647" t="s">
        <v>26</v>
      </c>
      <c r="I694" s="575" t="s">
        <v>1446</v>
      </c>
      <c r="J694" s="575">
        <v>1</v>
      </c>
      <c r="K694" s="647" t="s">
        <v>81</v>
      </c>
      <c r="L694" s="729">
        <v>44252</v>
      </c>
      <c r="M694" s="665" t="s">
        <v>906</v>
      </c>
      <c r="N694" s="647" t="s">
        <v>14</v>
      </c>
      <c r="O694" s="575"/>
      <c r="P694" s="566" t="str">
        <f>VLOOKUP(A694,'[1]Raw data'!$B:$BB,23,FALSE)</f>
        <v>JPY</v>
      </c>
      <c r="Q694" s="563" t="str">
        <f>VLOOKUP(A694,'[1]Raw data'!$B:$Z,2,FALSE)</f>
        <v>C49SZX20200239JL</v>
      </c>
      <c r="R694" s="563" t="str">
        <f>VLOOKUP(A694,'[1]Raw data'!$B:$Z,3,FALSE)</f>
        <v>博实结</v>
      </c>
      <c r="S694" s="563" t="str">
        <f>VLOOKUP(A694,'[1]Raw data'!$B:$Z,4,FALSE)</f>
        <v>YSM20R-2</v>
      </c>
      <c r="T694" s="563" t="str">
        <f>VLOOKUP(A694,'[1]Raw data'!$B:$Z,8,FALSE)</f>
        <v>L-&gt;R</v>
      </c>
      <c r="U694" s="563" t="str">
        <f>VLOOKUP(A694,'[1]Raw data'!$B:$Z,9,FALSE)</f>
        <v>No</v>
      </c>
      <c r="V694" s="567" t="str">
        <f t="shared" si="105"/>
        <v>OK</v>
      </c>
      <c r="W694" s="563" t="str">
        <f>VLOOKUP(A694,'[1]Raw data'!$B:$AG,32,FALSE)</f>
        <v>CIF HK</v>
      </c>
      <c r="X694" s="563">
        <f>VLOOKUP(A694,'[1]Raw data'!$B:$BA,31,FALSE)</f>
        <v>44174</v>
      </c>
      <c r="Y694" s="563" t="str">
        <f>VLOOKUP(A694,'[1]Raw data'!$B:$AS,39,FALSE)</f>
        <v>Yes</v>
      </c>
      <c r="Z694" s="659"/>
      <c r="AA694" s="660"/>
      <c r="AB694" s="661"/>
      <c r="AC694" s="647" t="s">
        <v>1424</v>
      </c>
      <c r="AD694" s="662">
        <v>301</v>
      </c>
      <c r="AE694" s="662">
        <v>10</v>
      </c>
      <c r="AF694" s="662">
        <v>311</v>
      </c>
      <c r="AG694" s="662">
        <v>10</v>
      </c>
      <c r="AH694" s="662"/>
      <c r="AI694" s="663"/>
      <c r="AN694" s="542"/>
      <c r="AO694" s="824" t="str">
        <f t="shared" si="95"/>
        <v>Yes</v>
      </c>
      <c r="AP694" s="259" t="str">
        <f t="shared" si="96"/>
        <v>FEB 21</v>
      </c>
      <c r="AQ694" s="542" t="str">
        <f t="shared" si="97"/>
        <v>有定金+有預留客戶</v>
      </c>
      <c r="AR694" s="259" t="str">
        <f t="shared" si="98"/>
        <v>Shipped_Stock</v>
      </c>
      <c r="AS694" s="259" t="str">
        <f t="shared" si="99"/>
        <v/>
      </c>
      <c r="AT694" s="259" t="str">
        <f t="shared" si="100"/>
        <v>博实结</v>
      </c>
      <c r="AU694" s="259" t="str">
        <f t="shared" si="101"/>
        <v>C49SZX20200239JL</v>
      </c>
      <c r="AV694" s="259" t="str">
        <f t="shared" si="102"/>
        <v>Feb-25</v>
      </c>
    </row>
    <row r="695" spans="1:48" hidden="1">
      <c r="A695" s="559">
        <v>1014</v>
      </c>
      <c r="B695" s="664" t="s">
        <v>1125</v>
      </c>
      <c r="C695" s="664" t="s">
        <v>15</v>
      </c>
      <c r="D695" s="645">
        <v>110174</v>
      </c>
      <c r="E695" s="563" t="s">
        <v>1432</v>
      </c>
      <c r="F695" s="647" t="s">
        <v>58</v>
      </c>
      <c r="G695" s="647" t="s">
        <v>24</v>
      </c>
      <c r="H695" s="647" t="s">
        <v>26</v>
      </c>
      <c r="I695" s="575" t="s">
        <v>1447</v>
      </c>
      <c r="J695" s="575">
        <v>1</v>
      </c>
      <c r="K695" s="647" t="s">
        <v>81</v>
      </c>
      <c r="L695" s="729">
        <v>44252</v>
      </c>
      <c r="M695" s="665" t="s">
        <v>906</v>
      </c>
      <c r="N695" s="647" t="s">
        <v>28</v>
      </c>
      <c r="O695" s="575"/>
      <c r="P695" s="566" t="str">
        <f>VLOOKUP(A695,'[1]Raw data'!$B:$BB,23,FALSE)</f>
        <v>JPY</v>
      </c>
      <c r="Q695" s="563" t="str">
        <f>VLOOKUP(A695,'[1]Raw data'!$B:$Z,2,FALSE)</f>
        <v>C49SZX20200239JL</v>
      </c>
      <c r="R695" s="563" t="str">
        <f>VLOOKUP(A695,'[1]Raw data'!$B:$Z,3,FALSE)</f>
        <v>博实结</v>
      </c>
      <c r="S695" s="563" t="str">
        <f>VLOOKUP(A695,'[1]Raw data'!$B:$Z,4,FALSE)</f>
        <v>YSM20R-2</v>
      </c>
      <c r="T695" s="563" t="str">
        <f>VLOOKUP(A695,'[1]Raw data'!$B:$Z,8,FALSE)</f>
        <v>L-&gt;R</v>
      </c>
      <c r="U695" s="563" t="str">
        <f>VLOOKUP(A695,'[1]Raw data'!$B:$Z,9,FALSE)</f>
        <v>No</v>
      </c>
      <c r="V695" s="567" t="str">
        <f t="shared" si="105"/>
        <v>OK</v>
      </c>
      <c r="W695" s="563" t="str">
        <f>VLOOKUP(A695,'[1]Raw data'!$B:$AG,32,FALSE)</f>
        <v>CIF HK</v>
      </c>
      <c r="X695" s="563">
        <f>VLOOKUP(A695,'[1]Raw data'!$B:$BA,31,FALSE)</f>
        <v>44174</v>
      </c>
      <c r="Y695" s="563" t="str">
        <f>VLOOKUP(A695,'[1]Raw data'!$B:$AS,39,FALSE)</f>
        <v>Yes</v>
      </c>
      <c r="Z695" s="659"/>
      <c r="AA695" s="660"/>
      <c r="AB695" s="661"/>
      <c r="AC695" s="647" t="s">
        <v>1424</v>
      </c>
      <c r="AD695" s="662">
        <v>301</v>
      </c>
      <c r="AE695" s="662">
        <v>10</v>
      </c>
      <c r="AF695" s="662">
        <v>311</v>
      </c>
      <c r="AG695" s="662">
        <v>10</v>
      </c>
      <c r="AH695" s="662"/>
      <c r="AI695" s="663"/>
      <c r="AN695" s="542"/>
      <c r="AO695" s="824" t="str">
        <f t="shared" si="95"/>
        <v>Yes</v>
      </c>
      <c r="AP695" s="259" t="str">
        <f t="shared" si="96"/>
        <v>MAR 21</v>
      </c>
      <c r="AQ695" s="542" t="str">
        <f t="shared" si="97"/>
        <v>有定金+有預留客戶</v>
      </c>
      <c r="AR695" s="259" t="str">
        <f t="shared" si="98"/>
        <v>Shipped_Stock</v>
      </c>
      <c r="AS695" s="259" t="str">
        <f t="shared" si="99"/>
        <v/>
      </c>
      <c r="AT695" s="259" t="str">
        <f t="shared" si="100"/>
        <v>博实结</v>
      </c>
      <c r="AU695" s="259" t="str">
        <f t="shared" si="101"/>
        <v>C49SZX20200239JL</v>
      </c>
      <c r="AV695" s="259" t="str">
        <f t="shared" si="102"/>
        <v>Feb-25</v>
      </c>
    </row>
    <row r="696" spans="1:48" hidden="1">
      <c r="A696" s="559">
        <v>1110</v>
      </c>
      <c r="B696" s="664" t="s">
        <v>1125</v>
      </c>
      <c r="C696" s="664" t="s">
        <v>15</v>
      </c>
      <c r="D696" s="645">
        <v>110131</v>
      </c>
      <c r="E696" s="563" t="s">
        <v>886</v>
      </c>
      <c r="F696" s="647" t="s">
        <v>241</v>
      </c>
      <c r="G696" s="647" t="s">
        <v>18</v>
      </c>
      <c r="H696" s="647" t="s">
        <v>26</v>
      </c>
      <c r="I696" s="575" t="s">
        <v>88</v>
      </c>
      <c r="J696" s="575">
        <v>1</v>
      </c>
      <c r="K696" s="647" t="s">
        <v>81</v>
      </c>
      <c r="L696" s="729">
        <v>44252</v>
      </c>
      <c r="M696" s="665" t="s">
        <v>906</v>
      </c>
      <c r="N696" s="647" t="s">
        <v>28</v>
      </c>
      <c r="O696" s="575"/>
      <c r="P696" s="665" t="str">
        <f>VLOOKUP(A696,'[1]Raw data'!$B:$BA,23,FALSE)</f>
        <v>JPY</v>
      </c>
      <c r="Q696" s="647" t="str">
        <f>VLOOKUP(A696,'[1]Raw data'!$B:$Z,2,FALSE)</f>
        <v>C49SZX20210037SX</v>
      </c>
      <c r="R696" s="647" t="str">
        <f>VLOOKUP(A696,'[1]Raw data'!$B:$Z,3,FALSE)</f>
        <v>模鑫</v>
      </c>
      <c r="S696" s="647" t="str">
        <f>VLOOKUP(A696,'[1]Raw data'!$B:$Z,4,FALSE)</f>
        <v>YSM10</v>
      </c>
      <c r="T696" s="647" t="str">
        <f>VLOOKUP(A696,'[1]Raw data'!$B:$Z,8,FALSE)</f>
        <v>L-&gt;R</v>
      </c>
      <c r="U696" s="647" t="str">
        <f>VLOOKUP(A696,'[1]Raw data'!$B:$Z,9,FALSE)</f>
        <v>MVC</v>
      </c>
      <c r="V696" s="567" t="str">
        <f>IF(G696&amp;H696=T696&amp;U696,"OK","WRONG")</f>
        <v>WRONG</v>
      </c>
      <c r="W696" s="563" t="str">
        <f>VLOOKUP(A696,'[1]Raw data'!$B:$AG,32,FALSE)</f>
        <v>DAP SZ</v>
      </c>
      <c r="X696" s="647">
        <f>VLOOKUP(A696,'[1]Raw data'!$B:$BA,31,FALSE)</f>
        <v>44228</v>
      </c>
      <c r="Y696" s="647" t="str">
        <f>VLOOKUP(A696,'[1]Raw data'!$B:$AS,39,FALSE)</f>
        <v>Yes</v>
      </c>
      <c r="Z696" s="666"/>
      <c r="AA696" s="667"/>
      <c r="AB696" s="668"/>
      <c r="AC696" s="647" t="s">
        <v>1367</v>
      </c>
      <c r="AD696" s="662">
        <v>301</v>
      </c>
      <c r="AE696" s="662">
        <v>10</v>
      </c>
      <c r="AF696" s="662"/>
      <c r="AG696" s="662"/>
      <c r="AH696" s="662"/>
      <c r="AI696" s="663"/>
      <c r="AN696" s="542"/>
      <c r="AO696" s="824" t="str">
        <f t="shared" si="95"/>
        <v>Yes</v>
      </c>
      <c r="AP696" s="259" t="str">
        <f t="shared" si="96"/>
        <v>MAR 21</v>
      </c>
      <c r="AQ696" s="542" t="str">
        <f t="shared" si="97"/>
        <v>有定金+有預留客戶</v>
      </c>
      <c r="AR696" s="259" t="str">
        <f t="shared" si="98"/>
        <v>Shipped_Stock</v>
      </c>
      <c r="AS696" s="259" t="str">
        <f t="shared" si="99"/>
        <v/>
      </c>
      <c r="AT696" s="259" t="str">
        <f t="shared" si="100"/>
        <v>模鑫</v>
      </c>
      <c r="AU696" s="259" t="str">
        <f t="shared" si="101"/>
        <v>C49SZX20210037SX</v>
      </c>
      <c r="AV696" s="259" t="str">
        <f t="shared" si="102"/>
        <v>Feb-25</v>
      </c>
    </row>
    <row r="697" spans="1:48" hidden="1">
      <c r="A697" s="559">
        <v>1056</v>
      </c>
      <c r="B697" s="664" t="s">
        <v>1125</v>
      </c>
      <c r="C697" s="664" t="s">
        <v>15</v>
      </c>
      <c r="D697" s="645">
        <v>110131</v>
      </c>
      <c r="E697" s="563" t="s">
        <v>886</v>
      </c>
      <c r="F697" s="647" t="s">
        <v>241</v>
      </c>
      <c r="G697" s="647" t="s">
        <v>18</v>
      </c>
      <c r="H697" s="647" t="s">
        <v>26</v>
      </c>
      <c r="I697" s="575" t="s">
        <v>1448</v>
      </c>
      <c r="J697" s="575">
        <v>1</v>
      </c>
      <c r="K697" s="647" t="s">
        <v>81</v>
      </c>
      <c r="L697" s="729">
        <v>44252</v>
      </c>
      <c r="M697" s="665" t="s">
        <v>906</v>
      </c>
      <c r="N697" s="647" t="s">
        <v>14</v>
      </c>
      <c r="O697" s="575"/>
      <c r="P697" s="566" t="str">
        <f>VLOOKUP(A697,'[1]Raw data'!$B:$BB,23,FALSE)</f>
        <v>JPY</v>
      </c>
      <c r="Q697" s="563" t="str">
        <f>VLOOKUP(A697,'[1]Raw data'!$B:$Z,2,FALSE)</f>
        <v>C49SZX20200260LC</v>
      </c>
      <c r="R697" s="563" t="str">
        <f>VLOOKUP(A697,'[1]Raw data'!$B:$Z,3,FALSE)</f>
        <v>永诺精密</v>
      </c>
      <c r="S697" s="563" t="str">
        <f>VLOOKUP(A697,'[1]Raw data'!$B:$Z,4,FALSE)</f>
        <v>YSM10</v>
      </c>
      <c r="T697" s="563" t="str">
        <f>VLOOKUP(A697,'[1]Raw data'!$B:$Z,8,FALSE)</f>
        <v>L-&gt;R</v>
      </c>
      <c r="U697" s="563" t="str">
        <f>VLOOKUP(A697,'[1]Raw data'!$B:$Z,9,FALSE)</f>
        <v>No</v>
      </c>
      <c r="V697" s="567" t="str">
        <f>IF(G697&amp;H697=T697&amp;U697,"OK","WRONG")</f>
        <v>WRONG</v>
      </c>
      <c r="W697" s="563" t="str">
        <f>VLOOKUP(A697,'[1]Raw data'!$B:$AG,32,FALSE)</f>
        <v>DAP DG</v>
      </c>
      <c r="X697" s="563">
        <f>VLOOKUP(A697,'[1]Raw data'!$B:$BA,31,FALSE)</f>
        <v>44193</v>
      </c>
      <c r="Y697" s="563" t="str">
        <f>VLOOKUP(A697,'[1]Raw data'!$B:$AS,39,FALSE)</f>
        <v>Yes</v>
      </c>
      <c r="Z697" s="666"/>
      <c r="AA697" s="667"/>
      <c r="AB697" s="668"/>
      <c r="AC697" s="563" t="s">
        <v>1449</v>
      </c>
      <c r="AD697" s="662">
        <v>301</v>
      </c>
      <c r="AE697" s="662">
        <v>10</v>
      </c>
      <c r="AF697" s="662"/>
      <c r="AG697" s="662"/>
      <c r="AH697" s="662"/>
      <c r="AI697" s="663"/>
      <c r="AN697" s="542"/>
      <c r="AO697" s="824" t="str">
        <f t="shared" si="95"/>
        <v>Yes</v>
      </c>
      <c r="AP697" s="259" t="str">
        <f t="shared" si="96"/>
        <v>FEB 21</v>
      </c>
      <c r="AQ697" s="542" t="str">
        <f t="shared" si="97"/>
        <v>有定金+有預留客戶</v>
      </c>
      <c r="AR697" s="259" t="str">
        <f t="shared" si="98"/>
        <v>Shipped_Stock</v>
      </c>
      <c r="AS697" s="259" t="str">
        <f t="shared" si="99"/>
        <v/>
      </c>
      <c r="AT697" s="259" t="str">
        <f t="shared" si="100"/>
        <v>永诺精密</v>
      </c>
      <c r="AU697" s="259" t="str">
        <f t="shared" si="101"/>
        <v>C49SZX20200260LC</v>
      </c>
      <c r="AV697" s="259" t="str">
        <f t="shared" si="102"/>
        <v>Feb-25</v>
      </c>
    </row>
    <row r="698" spans="1:48" hidden="1">
      <c r="A698" s="559">
        <v>977</v>
      </c>
      <c r="B698" s="664" t="s">
        <v>1125</v>
      </c>
      <c r="C698" s="664" t="s">
        <v>15</v>
      </c>
      <c r="D698" s="645">
        <v>110131</v>
      </c>
      <c r="E698" s="563" t="s">
        <v>886</v>
      </c>
      <c r="F698" s="647" t="s">
        <v>241</v>
      </c>
      <c r="G698" s="647" t="s">
        <v>18</v>
      </c>
      <c r="H698" s="647" t="s">
        <v>26</v>
      </c>
      <c r="I698" s="575" t="s">
        <v>84</v>
      </c>
      <c r="J698" s="575">
        <v>1</v>
      </c>
      <c r="K698" s="647" t="s">
        <v>85</v>
      </c>
      <c r="L698" s="729">
        <v>44252</v>
      </c>
      <c r="M698" s="665" t="s">
        <v>906</v>
      </c>
      <c r="N698" s="647" t="s">
        <v>90</v>
      </c>
      <c r="O698" s="575"/>
      <c r="P698" s="665" t="str">
        <f>VLOOKUP(A698,'[1]Raw data'!$B:$BA,23,FALSE)</f>
        <v>JPY</v>
      </c>
      <c r="Q698" s="647" t="str">
        <f>VLOOKUP(A698,'[1]Raw data'!$B:$Z,2,FALSE)</f>
        <v>C49SZX20200227MZ</v>
      </c>
      <c r="R698" s="647" t="str">
        <f>VLOOKUP(A698,'[1]Raw data'!$B:$Z,3,FALSE)</f>
        <v>程氏松哥</v>
      </c>
      <c r="S698" s="647" t="str">
        <f>VLOOKUP(A698,'[1]Raw data'!$B:$Z,4,FALSE)</f>
        <v>YSM10</v>
      </c>
      <c r="T698" s="647" t="str">
        <f>VLOOKUP(A698,'[1]Raw data'!$B:$Z,8,FALSE)</f>
        <v>L-&gt;R</v>
      </c>
      <c r="U698" s="647" t="str">
        <f>VLOOKUP(A698,'[1]Raw data'!$B:$Z,9,FALSE)</f>
        <v>No</v>
      </c>
      <c r="V698" s="567" t="str">
        <f>IF(G698&amp;H698=T698&amp;U698,"OK","WRONG")</f>
        <v>WRONG</v>
      </c>
      <c r="W698" s="563" t="str">
        <f>VLOOKUP(A698,'[1]Raw data'!$B:$AG,32,FALSE)</f>
        <v>DAP SZ</v>
      </c>
      <c r="X698" s="647">
        <f>VLOOKUP(A698,'[1]Raw data'!$B:$BA,31,FALSE)</f>
        <v>44158</v>
      </c>
      <c r="Y698" s="647" t="str">
        <f>VLOOKUP(A698,'[1]Raw data'!$B:$AS,39,FALSE)</f>
        <v>Yes</v>
      </c>
      <c r="Z698" s="659"/>
      <c r="AA698" s="660"/>
      <c r="AB698" s="661"/>
      <c r="AC698" s="647" t="s">
        <v>1450</v>
      </c>
      <c r="AD698" s="662">
        <v>301</v>
      </c>
      <c r="AE698" s="662">
        <v>10</v>
      </c>
      <c r="AF698" s="662"/>
      <c r="AG698" s="662"/>
      <c r="AH698" s="662"/>
      <c r="AI698" s="663"/>
      <c r="AN698" s="542"/>
      <c r="AO698" s="824" t="str">
        <f t="shared" si="95"/>
        <v>Yes</v>
      </c>
      <c r="AP698" s="259" t="str">
        <f t="shared" si="96"/>
        <v>APR 21</v>
      </c>
      <c r="AQ698" s="542" t="str">
        <f t="shared" si="97"/>
        <v>有定金+有預留客戶</v>
      </c>
      <c r="AR698" s="259" t="str">
        <f t="shared" si="98"/>
        <v>Shipped_Stock</v>
      </c>
      <c r="AS698" s="259" t="str">
        <f t="shared" si="99"/>
        <v/>
      </c>
      <c r="AT698" s="259" t="str">
        <f t="shared" si="100"/>
        <v>程氏松哥</v>
      </c>
      <c r="AU698" s="259" t="str">
        <f t="shared" si="101"/>
        <v>C49SZX20200227MZ</v>
      </c>
      <c r="AV698" s="259" t="str">
        <f t="shared" si="102"/>
        <v>Feb-25</v>
      </c>
    </row>
    <row r="699" spans="1:48" hidden="1">
      <c r="A699" s="559">
        <v>989</v>
      </c>
      <c r="B699" s="664" t="s">
        <v>1125</v>
      </c>
      <c r="C699" s="664" t="s">
        <v>15</v>
      </c>
      <c r="D699" s="645">
        <v>110131</v>
      </c>
      <c r="E699" s="563" t="s">
        <v>886</v>
      </c>
      <c r="F699" s="647" t="s">
        <v>241</v>
      </c>
      <c r="G699" s="647" t="s">
        <v>18</v>
      </c>
      <c r="H699" s="647" t="s">
        <v>26</v>
      </c>
      <c r="I699" s="575" t="s">
        <v>1451</v>
      </c>
      <c r="J699" s="575">
        <v>1</v>
      </c>
      <c r="K699" s="647" t="s">
        <v>81</v>
      </c>
      <c r="L699" s="729">
        <v>44252</v>
      </c>
      <c r="M699" s="665" t="s">
        <v>906</v>
      </c>
      <c r="N699" s="647" t="s">
        <v>14</v>
      </c>
      <c r="O699" s="575"/>
      <c r="P699" s="566" t="str">
        <f>VLOOKUP(A699,'[1]Raw data'!$B:$BB,23,FALSE)</f>
        <v>JPY</v>
      </c>
      <c r="Q699" s="563" t="str">
        <f>VLOOKUP(A699,'[1]Raw data'!$B:$Z,2,FALSE)</f>
        <v>C49SZX20200162CY</v>
      </c>
      <c r="R699" s="563" t="str">
        <f>VLOOKUP(A699,'[1]Raw data'!$B:$Z,3,FALSE)</f>
        <v>景硕电子</v>
      </c>
      <c r="S699" s="563" t="str">
        <f>VLOOKUP(A699,'[1]Raw data'!$B:$Z,4,FALSE)</f>
        <v>YSM10</v>
      </c>
      <c r="T699" s="563" t="str">
        <f>VLOOKUP(A699,'[1]Raw data'!$B:$Z,8,FALSE)</f>
        <v>L-&gt;R</v>
      </c>
      <c r="U699" s="563" t="str">
        <f>VLOOKUP(A699,'[1]Raw data'!$B:$Z,9,FALSE)</f>
        <v>MVC</v>
      </c>
      <c r="V699" s="567" t="str">
        <f>IF(G699&amp;H699=T699&amp;U699,"OK","WRONG")</f>
        <v>WRONG</v>
      </c>
      <c r="W699" s="563" t="str">
        <f>VLOOKUP(A699,'[1]Raw data'!$B:$AG,32,FALSE)</f>
        <v>DAP SZ</v>
      </c>
      <c r="X699" s="563">
        <f>VLOOKUP(A699,'[1]Raw data'!$B:$BA,31,FALSE)</f>
        <v>44167</v>
      </c>
      <c r="Y699" s="563" t="str">
        <f>VLOOKUP(A699,'[1]Raw data'!$B:$AS,39,FALSE)</f>
        <v>Yes</v>
      </c>
      <c r="Z699" s="666"/>
      <c r="AA699" s="660"/>
      <c r="AB699" s="661"/>
      <c r="AC699" s="710" t="s">
        <v>1452</v>
      </c>
      <c r="AD699" s="662">
        <v>301</v>
      </c>
      <c r="AE699" s="662">
        <v>10</v>
      </c>
      <c r="AF699" s="662"/>
      <c r="AG699" s="662"/>
      <c r="AH699" s="662"/>
      <c r="AI699" s="663"/>
      <c r="AN699" s="542"/>
      <c r="AO699" s="824" t="str">
        <f t="shared" si="95"/>
        <v>Yes</v>
      </c>
      <c r="AP699" s="259" t="str">
        <f t="shared" si="96"/>
        <v>FEB 21</v>
      </c>
      <c r="AQ699" s="542" t="str">
        <f t="shared" si="97"/>
        <v>有定金+有預留客戶</v>
      </c>
      <c r="AR699" s="259" t="str">
        <f t="shared" si="98"/>
        <v>Shipped_Stock</v>
      </c>
      <c r="AS699" s="259" t="str">
        <f t="shared" si="99"/>
        <v/>
      </c>
      <c r="AT699" s="259" t="str">
        <f t="shared" si="100"/>
        <v>景硕电子</v>
      </c>
      <c r="AU699" s="259" t="str">
        <f t="shared" si="101"/>
        <v>C49SZX20200162CY</v>
      </c>
      <c r="AV699" s="259" t="str">
        <f t="shared" si="102"/>
        <v>Feb-25</v>
      </c>
    </row>
    <row r="700" spans="1:48" hidden="1">
      <c r="A700" s="559">
        <v>1123</v>
      </c>
      <c r="B700" s="664" t="s">
        <v>1125</v>
      </c>
      <c r="C700" s="664" t="s">
        <v>15</v>
      </c>
      <c r="D700" s="645">
        <v>110131</v>
      </c>
      <c r="E700" s="563" t="s">
        <v>886</v>
      </c>
      <c r="F700" s="647" t="s">
        <v>241</v>
      </c>
      <c r="G700" s="647" t="s">
        <v>18</v>
      </c>
      <c r="H700" s="647" t="s">
        <v>26</v>
      </c>
      <c r="I700" s="575" t="s">
        <v>83</v>
      </c>
      <c r="J700" s="575">
        <v>1</v>
      </c>
      <c r="K700" s="647" t="s">
        <v>81</v>
      </c>
      <c r="L700" s="729">
        <v>44252</v>
      </c>
      <c r="M700" s="665" t="s">
        <v>906</v>
      </c>
      <c r="N700" s="647" t="s">
        <v>28</v>
      </c>
      <c r="O700" s="575"/>
      <c r="P700" s="665" t="str">
        <f>VLOOKUP(A700,'[1]Raw data'!$B:$BA,23,FALSE)</f>
        <v>JPY</v>
      </c>
      <c r="Q700" s="647" t="str">
        <f>VLOOKUP(A700,'[1]Raw data'!$B:$Z,2,FALSE)</f>
        <v>C49SZX20210011JY</v>
      </c>
      <c r="R700" s="647" t="str">
        <f>VLOOKUP(A700,'[1]Raw data'!$B:$Z,3,FALSE)</f>
        <v>英拓邦</v>
      </c>
      <c r="S700" s="647" t="str">
        <f>VLOOKUP(A700,'[1]Raw data'!$B:$Z,4,FALSE)</f>
        <v>YSM10</v>
      </c>
      <c r="T700" s="647" t="str">
        <f>VLOOKUP(A700,'[1]Raw data'!$B:$Z,8,FALSE)</f>
        <v>L-&gt;R</v>
      </c>
      <c r="U700" s="647" t="str">
        <f>VLOOKUP(A700,'[1]Raw data'!$B:$Z,9,FALSE)</f>
        <v>MVC</v>
      </c>
      <c r="V700" s="567" t="str">
        <f>IF(G700&amp;H700=T700&amp;U700,"OK","WRONG")</f>
        <v>WRONG</v>
      </c>
      <c r="W700" s="563" t="str">
        <f>VLOOKUP(A700,'[1]Raw data'!$B:$AG,32,FALSE)</f>
        <v>CIF HK</v>
      </c>
      <c r="X700" s="647">
        <f>VLOOKUP(A700,'[1]Raw data'!$B:$BA,31,FALSE)</f>
        <v>44222</v>
      </c>
      <c r="Y700" s="647" t="str">
        <f>VLOOKUP(A700,'[1]Raw data'!$B:$AS,39,FALSE)</f>
        <v>Yes</v>
      </c>
      <c r="Z700" s="666"/>
      <c r="AA700" s="667"/>
      <c r="AB700" s="668"/>
      <c r="AC700" s="647" t="s">
        <v>1445</v>
      </c>
      <c r="AD700" s="662">
        <v>301</v>
      </c>
      <c r="AE700" s="662">
        <v>10</v>
      </c>
      <c r="AF700" s="662"/>
      <c r="AG700" s="662"/>
      <c r="AH700" s="662"/>
      <c r="AI700" s="663"/>
      <c r="AN700" s="542"/>
      <c r="AO700" s="824" t="str">
        <f t="shared" si="95"/>
        <v>Yes</v>
      </c>
      <c r="AP700" s="259" t="str">
        <f t="shared" si="96"/>
        <v>MAR 21</v>
      </c>
      <c r="AQ700" s="542" t="str">
        <f t="shared" si="97"/>
        <v>有定金+有預留客戶</v>
      </c>
      <c r="AR700" s="259" t="str">
        <f t="shared" si="98"/>
        <v>Shipped_Stock</v>
      </c>
      <c r="AS700" s="259" t="str">
        <f t="shared" si="99"/>
        <v/>
      </c>
      <c r="AT700" s="259" t="str">
        <f t="shared" si="100"/>
        <v>英拓邦</v>
      </c>
      <c r="AU700" s="259" t="str">
        <f t="shared" si="101"/>
        <v>C49SZX20210011JY</v>
      </c>
      <c r="AV700" s="259" t="str">
        <f t="shared" si="102"/>
        <v>Feb-25</v>
      </c>
    </row>
    <row r="701" spans="1:48" ht="16.5" hidden="1">
      <c r="A701" s="599" t="s">
        <v>1453</v>
      </c>
      <c r="B701" s="664" t="s">
        <v>1125</v>
      </c>
      <c r="C701" s="664" t="s">
        <v>15</v>
      </c>
      <c r="D701" s="645">
        <v>110230</v>
      </c>
      <c r="E701" s="646" t="s">
        <v>1300</v>
      </c>
      <c r="F701" s="647" t="s">
        <v>241</v>
      </c>
      <c r="G701" s="647" t="s">
        <v>18</v>
      </c>
      <c r="H701" s="647" t="s">
        <v>34</v>
      </c>
      <c r="I701" s="575" t="s">
        <v>37</v>
      </c>
      <c r="J701" s="575">
        <v>1</v>
      </c>
      <c r="K701" s="647" t="s">
        <v>82</v>
      </c>
      <c r="L701" s="657">
        <v>44255</v>
      </c>
      <c r="M701" s="665">
        <v>6.1600000000000002E-2</v>
      </c>
      <c r="N701" s="647"/>
      <c r="O701" s="575"/>
      <c r="P701" s="730" t="s">
        <v>1246</v>
      </c>
      <c r="Q701" s="731" t="s">
        <v>1454</v>
      </c>
      <c r="R701" s="732" t="s">
        <v>1455</v>
      </c>
      <c r="S701" s="731" t="s">
        <v>241</v>
      </c>
      <c r="T701" s="731" t="s">
        <v>18</v>
      </c>
      <c r="U701" s="731" t="s">
        <v>34</v>
      </c>
      <c r="V701" s="567" t="str">
        <f t="shared" ref="V701:V707" si="106">IF(G701&amp;H701=T701&amp;U701,"OK","WRONG")</f>
        <v>OK</v>
      </c>
      <c r="W701" s="563" t="e">
        <f>VLOOKUP(A701,'[1]Raw data'!$B:$AG,32,FALSE)</f>
        <v>#N/A</v>
      </c>
      <c r="X701" s="563" t="e">
        <f>VLOOKUP(A701,'[1]Raw data'!$B:$BA,31,FALSE)</f>
        <v>#N/A</v>
      </c>
      <c r="Y701" s="563" t="e">
        <f>VLOOKUP(A701,'[1]Raw data'!$B:$AS,39,FALSE)</f>
        <v>#N/A</v>
      </c>
      <c r="Z701" s="659"/>
      <c r="AA701" s="660"/>
      <c r="AB701" s="661"/>
      <c r="AC701" s="647" t="s">
        <v>1216</v>
      </c>
      <c r="AD701" s="575">
        <v>301</v>
      </c>
      <c r="AE701" s="575">
        <v>10</v>
      </c>
      <c r="AF701" s="575"/>
      <c r="AG701" s="575"/>
      <c r="AH701" s="575"/>
      <c r="AI701" s="679"/>
      <c r="AJ701" s="564"/>
      <c r="AK701" s="564"/>
      <c r="AL701" s="564"/>
      <c r="AM701" s="564"/>
      <c r="AN701" s="614"/>
      <c r="AO701" s="824" t="str">
        <f t="shared" si="95"/>
        <v>No</v>
      </c>
      <c r="AP701" s="259" t="str">
        <f t="shared" si="96"/>
        <v>blank</v>
      </c>
      <c r="AQ701" s="542" t="str">
        <f t="shared" si="97"/>
        <v>无定金+无預留客戶</v>
      </c>
      <c r="AR701" s="259" t="str">
        <f t="shared" si="98"/>
        <v>Shipped_Stock</v>
      </c>
      <c r="AS701" s="259" t="str">
        <f t="shared" si="99"/>
        <v/>
      </c>
      <c r="AT701" s="259" t="str">
        <f t="shared" si="100"/>
        <v>怡德发（固安）电子</v>
      </c>
      <c r="AU701" s="259" t="str">
        <f t="shared" si="101"/>
        <v>C49BJS20201218ZX</v>
      </c>
      <c r="AV701" s="259" t="str">
        <f t="shared" si="102"/>
        <v>Feb-28</v>
      </c>
    </row>
    <row r="702" spans="1:48" hidden="1">
      <c r="A702" s="599" t="s">
        <v>1456</v>
      </c>
      <c r="B702" s="664" t="s">
        <v>1125</v>
      </c>
      <c r="C702" s="664" t="s">
        <v>15</v>
      </c>
      <c r="D702" s="645">
        <v>110230</v>
      </c>
      <c r="E702" s="646" t="s">
        <v>1300</v>
      </c>
      <c r="F702" s="647" t="s">
        <v>241</v>
      </c>
      <c r="G702" s="647" t="s">
        <v>18</v>
      </c>
      <c r="H702" s="647" t="s">
        <v>34</v>
      </c>
      <c r="I702" s="575" t="s">
        <v>35</v>
      </c>
      <c r="J702" s="575">
        <v>1</v>
      </c>
      <c r="K702" s="647" t="s">
        <v>82</v>
      </c>
      <c r="L702" s="657">
        <v>44255</v>
      </c>
      <c r="M702" s="665">
        <v>6.1600000000000002E-2</v>
      </c>
      <c r="N702" s="647"/>
      <c r="O702" s="575"/>
      <c r="P702" s="730" t="s">
        <v>1246</v>
      </c>
      <c r="Q702" s="731" t="s">
        <v>1454</v>
      </c>
      <c r="R702" s="731" t="s">
        <v>1455</v>
      </c>
      <c r="S702" s="731" t="s">
        <v>241</v>
      </c>
      <c r="T702" s="731" t="s">
        <v>18</v>
      </c>
      <c r="U702" s="731" t="s">
        <v>34</v>
      </c>
      <c r="V702" s="567" t="str">
        <f t="shared" si="106"/>
        <v>OK</v>
      </c>
      <c r="W702" s="563" t="e">
        <f>VLOOKUP(A702,'[1]Raw data'!$B:$AG,32,FALSE)</f>
        <v>#N/A</v>
      </c>
      <c r="X702" s="563" t="e">
        <f>VLOOKUP(A702,'[1]Raw data'!$B:$BA,31,FALSE)</f>
        <v>#N/A</v>
      </c>
      <c r="Y702" s="563" t="e">
        <f>VLOOKUP(A702,'[1]Raw data'!$B:$AS,39,FALSE)</f>
        <v>#N/A</v>
      </c>
      <c r="Z702" s="659"/>
      <c r="AA702" s="660"/>
      <c r="AB702" s="661"/>
      <c r="AC702" s="647" t="s">
        <v>1216</v>
      </c>
      <c r="AD702" s="575">
        <v>301</v>
      </c>
      <c r="AE702" s="575">
        <v>10</v>
      </c>
      <c r="AF702" s="575"/>
      <c r="AG702" s="575"/>
      <c r="AH702" s="575"/>
      <c r="AI702" s="679"/>
      <c r="AJ702" s="564"/>
      <c r="AK702" s="564"/>
      <c r="AL702" s="564"/>
      <c r="AM702" s="564"/>
      <c r="AN702" s="614"/>
      <c r="AO702" s="824" t="str">
        <f t="shared" si="95"/>
        <v>No</v>
      </c>
      <c r="AP702" s="259" t="str">
        <f t="shared" si="96"/>
        <v>blank</v>
      </c>
      <c r="AQ702" s="542" t="str">
        <f t="shared" si="97"/>
        <v>无定金+无預留客戶</v>
      </c>
      <c r="AR702" s="259" t="str">
        <f t="shared" si="98"/>
        <v>Shipped_Stock</v>
      </c>
      <c r="AS702" s="259" t="str">
        <f t="shared" si="99"/>
        <v/>
      </c>
      <c r="AT702" s="259" t="str">
        <f t="shared" si="100"/>
        <v>怡德发（固安）电子</v>
      </c>
      <c r="AU702" s="259" t="str">
        <f t="shared" si="101"/>
        <v>C49BJS20201218ZX</v>
      </c>
      <c r="AV702" s="259" t="str">
        <f t="shared" si="102"/>
        <v>Feb-28</v>
      </c>
    </row>
    <row r="703" spans="1:48" hidden="1">
      <c r="A703" s="559">
        <v>1124</v>
      </c>
      <c r="B703" s="664" t="s">
        <v>1125</v>
      </c>
      <c r="C703" s="664" t="s">
        <v>15</v>
      </c>
      <c r="D703" s="645">
        <v>110150</v>
      </c>
      <c r="E703" s="563" t="s">
        <v>886</v>
      </c>
      <c r="F703" s="647" t="s">
        <v>241</v>
      </c>
      <c r="G703" s="647" t="s">
        <v>18</v>
      </c>
      <c r="H703" s="647" t="s">
        <v>26</v>
      </c>
      <c r="I703" s="575" t="s">
        <v>1457</v>
      </c>
      <c r="J703" s="575">
        <v>1</v>
      </c>
      <c r="K703" s="647" t="s">
        <v>81</v>
      </c>
      <c r="L703" s="728">
        <v>44255</v>
      </c>
      <c r="M703" s="665" t="s">
        <v>906</v>
      </c>
      <c r="N703" s="647" t="s">
        <v>28</v>
      </c>
      <c r="O703" s="575"/>
      <c r="P703" s="665" t="str">
        <f>VLOOKUP(A703,'[1]Raw data'!$B:$BA,23,FALSE)</f>
        <v>JPY</v>
      </c>
      <c r="Q703" s="647" t="str">
        <f>VLOOKUP(A703,'[1]Raw data'!$B:$Z,2,FALSE)</f>
        <v>C49SZX20210011JY</v>
      </c>
      <c r="R703" s="647" t="str">
        <f>VLOOKUP(A703,'[1]Raw data'!$B:$Z,3,FALSE)</f>
        <v>英拓邦</v>
      </c>
      <c r="S703" s="647" t="str">
        <f>VLOOKUP(A703,'[1]Raw data'!$B:$Z,4,FALSE)</f>
        <v>YSM10</v>
      </c>
      <c r="T703" s="647" t="str">
        <f>VLOOKUP(A703,'[1]Raw data'!$B:$Z,8,FALSE)</f>
        <v>R-&gt;L</v>
      </c>
      <c r="U703" s="647" t="str">
        <f>VLOOKUP(A703,'[1]Raw data'!$B:$Z,9,FALSE)</f>
        <v>MVC</v>
      </c>
      <c r="V703" s="567" t="str">
        <f t="shared" si="106"/>
        <v>WRONG</v>
      </c>
      <c r="W703" s="563" t="str">
        <f>VLOOKUP(A703,'[1]Raw data'!$B:$AG,32,FALSE)</f>
        <v>CIF HK</v>
      </c>
      <c r="X703" s="647">
        <f>VLOOKUP(A703,'[1]Raw data'!$B:$BA,31,FALSE)</f>
        <v>44222</v>
      </c>
      <c r="Y703" s="647" t="str">
        <f>VLOOKUP(A703,'[1]Raw data'!$B:$AS,39,FALSE)</f>
        <v>Yes</v>
      </c>
      <c r="Z703" s="666"/>
      <c r="AA703" s="667"/>
      <c r="AB703" s="668"/>
      <c r="AC703" s="647" t="s">
        <v>1445</v>
      </c>
      <c r="AD703" s="662">
        <v>301</v>
      </c>
      <c r="AE703" s="662">
        <v>10</v>
      </c>
      <c r="AF703" s="662"/>
      <c r="AG703" s="662"/>
      <c r="AH703" s="662"/>
      <c r="AI703" s="663"/>
      <c r="AN703" s="542"/>
      <c r="AO703" s="824" t="str">
        <f t="shared" si="95"/>
        <v>Yes</v>
      </c>
      <c r="AP703" s="259" t="str">
        <f t="shared" si="96"/>
        <v>MAR 21</v>
      </c>
      <c r="AQ703" s="542" t="str">
        <f t="shared" si="97"/>
        <v>有定金+有預留客戶</v>
      </c>
      <c r="AR703" s="259" t="str">
        <f t="shared" si="98"/>
        <v>Shipped_Stock</v>
      </c>
      <c r="AS703" s="259" t="str">
        <f t="shared" si="99"/>
        <v/>
      </c>
      <c r="AT703" s="259" t="str">
        <f t="shared" si="100"/>
        <v>英拓邦</v>
      </c>
      <c r="AU703" s="259" t="str">
        <f t="shared" si="101"/>
        <v>C49SZX20210011JY</v>
      </c>
      <c r="AV703" s="259" t="str">
        <f t="shared" si="102"/>
        <v>Feb-28</v>
      </c>
    </row>
    <row r="704" spans="1:48" hidden="1">
      <c r="A704" s="559">
        <v>1125</v>
      </c>
      <c r="B704" s="664" t="s">
        <v>1125</v>
      </c>
      <c r="C704" s="664" t="s">
        <v>15</v>
      </c>
      <c r="D704" s="645">
        <v>110150</v>
      </c>
      <c r="E704" s="563" t="s">
        <v>886</v>
      </c>
      <c r="F704" s="647" t="s">
        <v>241</v>
      </c>
      <c r="G704" s="647" t="s">
        <v>18</v>
      </c>
      <c r="H704" s="647" t="s">
        <v>26</v>
      </c>
      <c r="I704" s="575" t="s">
        <v>1458</v>
      </c>
      <c r="J704" s="575">
        <v>1</v>
      </c>
      <c r="K704" s="647" t="s">
        <v>81</v>
      </c>
      <c r="L704" s="728">
        <v>44255</v>
      </c>
      <c r="M704" s="665" t="s">
        <v>906</v>
      </c>
      <c r="N704" s="647" t="s">
        <v>28</v>
      </c>
      <c r="O704" s="575"/>
      <c r="P704" s="665" t="str">
        <f>VLOOKUP(A704,'[1]Raw data'!$B:$BA,23,FALSE)</f>
        <v>JPY</v>
      </c>
      <c r="Q704" s="647" t="str">
        <f>VLOOKUP(A704,'[1]Raw data'!$B:$Z,2,FALSE)</f>
        <v>C49SZX20210011JY</v>
      </c>
      <c r="R704" s="647" t="str">
        <f>VLOOKUP(A704,'[1]Raw data'!$B:$Z,3,FALSE)</f>
        <v>英拓邦</v>
      </c>
      <c r="S704" s="647" t="str">
        <f>VLOOKUP(A704,'[1]Raw data'!$B:$Z,4,FALSE)</f>
        <v>YSM10</v>
      </c>
      <c r="T704" s="647" t="str">
        <f>VLOOKUP(A704,'[1]Raw data'!$B:$Z,8,FALSE)</f>
        <v>R-&gt;L</v>
      </c>
      <c r="U704" s="647" t="str">
        <f>VLOOKUP(A704,'[1]Raw data'!$B:$Z,9,FALSE)</f>
        <v>MVC</v>
      </c>
      <c r="V704" s="567" t="str">
        <f t="shared" si="106"/>
        <v>WRONG</v>
      </c>
      <c r="W704" s="563" t="str">
        <f>VLOOKUP(A704,'[1]Raw data'!$B:$AG,32,FALSE)</f>
        <v>CIF HK</v>
      </c>
      <c r="X704" s="647">
        <f>VLOOKUP(A704,'[1]Raw data'!$B:$BA,31,FALSE)</f>
        <v>44222</v>
      </c>
      <c r="Y704" s="647" t="str">
        <f>VLOOKUP(A704,'[1]Raw data'!$B:$AS,39,FALSE)</f>
        <v>Yes</v>
      </c>
      <c r="Z704" s="666"/>
      <c r="AA704" s="667"/>
      <c r="AB704" s="668"/>
      <c r="AC704" s="647" t="s">
        <v>1445</v>
      </c>
      <c r="AD704" s="662">
        <v>301</v>
      </c>
      <c r="AE704" s="662">
        <v>10</v>
      </c>
      <c r="AF704" s="662"/>
      <c r="AG704" s="662"/>
      <c r="AH704" s="662"/>
      <c r="AI704" s="663"/>
      <c r="AN704" s="542"/>
      <c r="AO704" s="824" t="str">
        <f t="shared" si="95"/>
        <v>Yes</v>
      </c>
      <c r="AP704" s="259" t="str">
        <f t="shared" si="96"/>
        <v>MAR 21</v>
      </c>
      <c r="AQ704" s="542" t="str">
        <f t="shared" si="97"/>
        <v>有定金+有預留客戶</v>
      </c>
      <c r="AR704" s="259" t="str">
        <f t="shared" si="98"/>
        <v>Shipped_Stock</v>
      </c>
      <c r="AS704" s="259" t="str">
        <f t="shared" si="99"/>
        <v/>
      </c>
      <c r="AT704" s="259" t="str">
        <f t="shared" si="100"/>
        <v>英拓邦</v>
      </c>
      <c r="AU704" s="259" t="str">
        <f t="shared" si="101"/>
        <v>C49SZX20210011JY</v>
      </c>
      <c r="AV704" s="259" t="str">
        <f t="shared" si="102"/>
        <v>Feb-28</v>
      </c>
    </row>
    <row r="705" spans="1:48" hidden="1">
      <c r="A705" s="559">
        <v>993</v>
      </c>
      <c r="B705" s="664" t="s">
        <v>1125</v>
      </c>
      <c r="C705" s="664" t="s">
        <v>15</v>
      </c>
      <c r="D705" s="645">
        <v>110150</v>
      </c>
      <c r="E705" s="563" t="s">
        <v>886</v>
      </c>
      <c r="F705" s="647" t="s">
        <v>241</v>
      </c>
      <c r="G705" s="647" t="s">
        <v>18</v>
      </c>
      <c r="H705" s="647" t="s">
        <v>26</v>
      </c>
      <c r="I705" s="575" t="s">
        <v>1459</v>
      </c>
      <c r="J705" s="575">
        <v>1</v>
      </c>
      <c r="K705" s="647" t="s">
        <v>81</v>
      </c>
      <c r="L705" s="728">
        <v>44255</v>
      </c>
      <c r="M705" s="665" t="s">
        <v>906</v>
      </c>
      <c r="N705" s="647" t="s">
        <v>28</v>
      </c>
      <c r="O705" s="575"/>
      <c r="P705" s="566" t="str">
        <f>VLOOKUP(A705,'[1]Raw data'!$B:$BB,23,FALSE)</f>
        <v>JPY</v>
      </c>
      <c r="Q705" s="563" t="str">
        <f>VLOOKUP(A705,'[1]Raw data'!$B:$Z,2,FALSE)</f>
        <v>C49SZX20200237SX</v>
      </c>
      <c r="R705" s="563" t="str">
        <f>VLOOKUP(A705,'[1]Raw data'!$B:$Z,3,FALSE)</f>
        <v>岚新</v>
      </c>
      <c r="S705" s="563" t="str">
        <f>VLOOKUP(A705,'[1]Raw data'!$B:$Z,4,FALSE)</f>
        <v>YSM10</v>
      </c>
      <c r="T705" s="563" t="str">
        <f>VLOOKUP(A705,'[1]Raw data'!$B:$Z,8,FALSE)</f>
        <v>L-&gt;R</v>
      </c>
      <c r="U705" s="563" t="str">
        <f>VLOOKUP(A705,'[1]Raw data'!$B:$Z,9,FALSE)</f>
        <v>No</v>
      </c>
      <c r="V705" s="567" t="str">
        <f t="shared" si="106"/>
        <v>WRONG</v>
      </c>
      <c r="W705" s="563" t="str">
        <f>VLOOKUP(A705,'[1]Raw data'!$B:$AG,32,FALSE)</f>
        <v>DAP SZ</v>
      </c>
      <c r="X705" s="563">
        <f>VLOOKUP(A705,'[1]Raw data'!$B:$BA,31,FALSE)</f>
        <v>44173</v>
      </c>
      <c r="Y705" s="563" t="str">
        <f>VLOOKUP(A705,'[1]Raw data'!$B:$AS,39,FALSE)</f>
        <v>Yes</v>
      </c>
      <c r="Z705" s="659"/>
      <c r="AA705" s="660"/>
      <c r="AB705" s="661"/>
      <c r="AC705" s="647" t="s">
        <v>1460</v>
      </c>
      <c r="AD705" s="662">
        <v>301</v>
      </c>
      <c r="AE705" s="662">
        <v>10</v>
      </c>
      <c r="AF705" s="662"/>
      <c r="AG705" s="662"/>
      <c r="AH705" s="662"/>
      <c r="AI705" s="663"/>
      <c r="AN705" s="542"/>
      <c r="AO705" s="824" t="str">
        <f t="shared" si="95"/>
        <v>Yes</v>
      </c>
      <c r="AP705" s="259" t="str">
        <f t="shared" si="96"/>
        <v>MAR 21</v>
      </c>
      <c r="AQ705" s="542" t="str">
        <f t="shared" si="97"/>
        <v>有定金+有預留客戶</v>
      </c>
      <c r="AR705" s="259" t="str">
        <f t="shared" si="98"/>
        <v>Shipped_Stock</v>
      </c>
      <c r="AS705" s="259" t="str">
        <f t="shared" si="99"/>
        <v/>
      </c>
      <c r="AT705" s="259" t="str">
        <f t="shared" si="100"/>
        <v>岚新</v>
      </c>
      <c r="AU705" s="259" t="str">
        <f t="shared" si="101"/>
        <v>C49SZX20200237SX</v>
      </c>
      <c r="AV705" s="259" t="str">
        <f t="shared" si="102"/>
        <v>Feb-28</v>
      </c>
    </row>
    <row r="706" spans="1:48" hidden="1">
      <c r="A706" s="559">
        <v>1126</v>
      </c>
      <c r="B706" s="664" t="s">
        <v>1125</v>
      </c>
      <c r="C706" s="664" t="s">
        <v>15</v>
      </c>
      <c r="D706" s="645">
        <v>110150</v>
      </c>
      <c r="E706" s="563" t="s">
        <v>886</v>
      </c>
      <c r="F706" s="647" t="s">
        <v>241</v>
      </c>
      <c r="G706" s="647" t="s">
        <v>18</v>
      </c>
      <c r="H706" s="647" t="s">
        <v>26</v>
      </c>
      <c r="I706" s="575" t="s">
        <v>1461</v>
      </c>
      <c r="J706" s="575">
        <v>1</v>
      </c>
      <c r="K706" s="647" t="s">
        <v>81</v>
      </c>
      <c r="L706" s="728">
        <v>44255</v>
      </c>
      <c r="M706" s="665" t="s">
        <v>906</v>
      </c>
      <c r="N706" s="647" t="s">
        <v>28</v>
      </c>
      <c r="O706" s="575"/>
      <c r="P706" s="665" t="str">
        <f>VLOOKUP(A706,'[1]Raw data'!$B:$BA,23,FALSE)</f>
        <v>JPY</v>
      </c>
      <c r="Q706" s="647" t="str">
        <f>VLOOKUP(A706,'[1]Raw data'!$B:$Z,2,FALSE)</f>
        <v>C49SZX20210011JY</v>
      </c>
      <c r="R706" s="647" t="str">
        <f>VLOOKUP(A706,'[1]Raw data'!$B:$Z,3,FALSE)</f>
        <v>英拓邦</v>
      </c>
      <c r="S706" s="647" t="str">
        <f>VLOOKUP(A706,'[1]Raw data'!$B:$Z,4,FALSE)</f>
        <v>YSM10</v>
      </c>
      <c r="T706" s="647" t="str">
        <f>VLOOKUP(A706,'[1]Raw data'!$B:$Z,8,FALSE)</f>
        <v>R-&gt;L</v>
      </c>
      <c r="U706" s="647" t="str">
        <f>VLOOKUP(A706,'[1]Raw data'!$B:$Z,9,FALSE)</f>
        <v>MVC</v>
      </c>
      <c r="V706" s="567" t="str">
        <f t="shared" si="106"/>
        <v>WRONG</v>
      </c>
      <c r="W706" s="563" t="str">
        <f>VLOOKUP(A706,'[1]Raw data'!$B:$AG,32,FALSE)</f>
        <v>CIF HK</v>
      </c>
      <c r="X706" s="647">
        <f>VLOOKUP(A706,'[1]Raw data'!$B:$BA,31,FALSE)</f>
        <v>44222</v>
      </c>
      <c r="Y706" s="647" t="str">
        <f>VLOOKUP(A706,'[1]Raw data'!$B:$AS,39,FALSE)</f>
        <v>Yes</v>
      </c>
      <c r="Z706" s="666"/>
      <c r="AA706" s="667"/>
      <c r="AB706" s="668"/>
      <c r="AC706" s="647" t="s">
        <v>1445</v>
      </c>
      <c r="AD706" s="662">
        <v>301</v>
      </c>
      <c r="AE706" s="662">
        <v>10</v>
      </c>
      <c r="AF706" s="662"/>
      <c r="AG706" s="662"/>
      <c r="AH706" s="662"/>
      <c r="AI706" s="663"/>
      <c r="AN706" s="542"/>
      <c r="AO706" s="824" t="str">
        <f t="shared" si="95"/>
        <v>Yes</v>
      </c>
      <c r="AP706" s="259" t="str">
        <f t="shared" si="96"/>
        <v>MAR 21</v>
      </c>
      <c r="AQ706" s="542" t="str">
        <f t="shared" si="97"/>
        <v>有定金+有預留客戶</v>
      </c>
      <c r="AR706" s="259" t="str">
        <f t="shared" si="98"/>
        <v>Shipped_Stock</v>
      </c>
      <c r="AS706" s="259" t="str">
        <f t="shared" si="99"/>
        <v/>
      </c>
      <c r="AT706" s="259" t="str">
        <f t="shared" si="100"/>
        <v>英拓邦</v>
      </c>
      <c r="AU706" s="259" t="str">
        <f t="shared" si="101"/>
        <v>C49SZX20210011JY</v>
      </c>
      <c r="AV706" s="259" t="str">
        <f t="shared" si="102"/>
        <v>Feb-28</v>
      </c>
    </row>
    <row r="707" spans="1:48" hidden="1">
      <c r="A707" s="559">
        <v>1037</v>
      </c>
      <c r="B707" s="664" t="s">
        <v>1125</v>
      </c>
      <c r="C707" s="664" t="s">
        <v>15</v>
      </c>
      <c r="D707" s="645">
        <v>110150</v>
      </c>
      <c r="E707" s="563" t="s">
        <v>886</v>
      </c>
      <c r="F707" s="647" t="s">
        <v>241</v>
      </c>
      <c r="G707" s="647" t="s">
        <v>18</v>
      </c>
      <c r="H707" s="647" t="s">
        <v>26</v>
      </c>
      <c r="I707" s="575" t="s">
        <v>1462</v>
      </c>
      <c r="J707" s="575">
        <v>1</v>
      </c>
      <c r="K707" s="647" t="s">
        <v>78</v>
      </c>
      <c r="L707" s="728">
        <v>44255</v>
      </c>
      <c r="M707" s="665" t="s">
        <v>906</v>
      </c>
      <c r="N707" s="647" t="s">
        <v>28</v>
      </c>
      <c r="O707" s="575"/>
      <c r="P707" s="665" t="str">
        <f>VLOOKUP(A707,'[1]Raw data'!$B:$BA,23,FALSE)</f>
        <v>JPY</v>
      </c>
      <c r="Q707" s="647" t="str">
        <f>VLOOKUP(A707,'[1]Raw data'!$B:$Z,2,FALSE)</f>
        <v>C49SZX20200243DZ</v>
      </c>
      <c r="R707" s="647" t="str">
        <f>VLOOKUP(A707,'[1]Raw data'!$B:$Z,3,FALSE)</f>
        <v>朗特</v>
      </c>
      <c r="S707" s="647" t="str">
        <f>VLOOKUP(A707,'[1]Raw data'!$B:$Z,4,FALSE)</f>
        <v>YSM10</v>
      </c>
      <c r="T707" s="647" t="str">
        <f>VLOOKUP(A707,'[1]Raw data'!$B:$Z,8,FALSE)</f>
        <v>R-&gt;L</v>
      </c>
      <c r="U707" s="647" t="str">
        <f>VLOOKUP(A707,'[1]Raw data'!$B:$Z,9,FALSE)</f>
        <v>No</v>
      </c>
      <c r="V707" s="567" t="str">
        <f t="shared" si="106"/>
        <v>OK</v>
      </c>
      <c r="W707" s="563" t="str">
        <f>VLOOKUP(A707,'[1]Raw data'!$B:$AG,32,FALSE)</f>
        <v>CIF HK</v>
      </c>
      <c r="X707" s="647">
        <f>VLOOKUP(A707,'[1]Raw data'!$B:$BA,31,FALSE)</f>
        <v>44182</v>
      </c>
      <c r="Y707" s="647" t="str">
        <f>VLOOKUP(A707,'[1]Raw data'!$B:$AS,39,FALSE)</f>
        <v>Yes</v>
      </c>
      <c r="Z707" s="659"/>
      <c r="AA707" s="660"/>
      <c r="AB707" s="661"/>
      <c r="AC707" s="563" t="s">
        <v>1463</v>
      </c>
      <c r="AD707" s="662">
        <v>301</v>
      </c>
      <c r="AE707" s="662">
        <v>10</v>
      </c>
      <c r="AF707" s="662"/>
      <c r="AG707" s="662"/>
      <c r="AH707" s="662"/>
      <c r="AI707" s="663"/>
      <c r="AN707" s="542"/>
      <c r="AO707" s="824" t="str">
        <f t="shared" ref="AO707:AO770" si="107">IFERROR(IF(Y707&lt;&gt;"",Y707,"No"),"No")</f>
        <v>Yes</v>
      </c>
      <c r="AP707" s="259" t="str">
        <f t="shared" ref="AP707:AP770" si="108">IFERROR(IF(N707&lt;&gt;"",N707,"blank"),"NA")</f>
        <v>MAR 21</v>
      </c>
      <c r="AQ707" s="542" t="str">
        <f t="shared" ref="AQ707:AQ770" si="109">IFERROR(IF(AND(AO707="Yes", AP707&lt;&gt;"blank"), "有定金+有預留客戶", IF(AND(AO707="Yes", AP707="blank"), "有定金+无客戶送貨期", IF(AND(OR(AO707="No", ISBLANK(AO707), AO707="NA"), AP707&lt;&gt;"blank"), "无定金+有預留客戶", IF(AND(OR(AO707="No", ISBLANK(AO707), AO707="NA"), AP707="blank"), "无定金+无預留客戶", "")))), "")</f>
        <v>有定金+有預留客戶</v>
      </c>
      <c r="AR707" s="259" t="str">
        <f t="shared" ref="AR707:AR770" si="110">IFERROR(IF(B707="已经到货", "Instock", IF(B707="有交期", "Incoming_Stock_With_YAMAHA_Schedule", IF(B707="TBA.", "Incoming_Stock_No_YAMAHA_Schedule", IF(B707="已发货", "Shipped_Stock", "")))), "")</f>
        <v>Shipped_Stock</v>
      </c>
      <c r="AS707" s="259" t="str">
        <f t="shared" ref="AS707:AS770" si="111">IF(AND(B707="有交期", L707&lt;&gt;""), L707, "")</f>
        <v/>
      </c>
      <c r="AT707" s="259" t="str">
        <f t="shared" ref="AT707:AT770" si="112">IFERROR(IF(R707&lt;&gt;"",R707),"-")</f>
        <v>朗特</v>
      </c>
      <c r="AU707" s="259" t="str">
        <f t="shared" ref="AU707:AU770" si="113">IFERROR(IF(Q707&lt;&gt;"",Q707),"-")</f>
        <v>C49SZX20200243DZ</v>
      </c>
      <c r="AV707" s="259" t="str">
        <f t="shared" ref="AV707:AV770" si="114">IF(L707="","-",TEXT(L707,"mmm-dd"))</f>
        <v>Feb-28</v>
      </c>
    </row>
    <row r="708" spans="1:48" hidden="1">
      <c r="A708" s="559">
        <v>1119</v>
      </c>
      <c r="B708" s="664" t="s">
        <v>1125</v>
      </c>
      <c r="C708" s="664" t="s">
        <v>281</v>
      </c>
      <c r="D708" s="645" t="s">
        <v>1464</v>
      </c>
      <c r="E708" s="646" t="s">
        <v>1422</v>
      </c>
      <c r="F708" s="647" t="s">
        <v>58</v>
      </c>
      <c r="G708" s="647" t="s">
        <v>18</v>
      </c>
      <c r="H708" s="647" t="s">
        <v>27</v>
      </c>
      <c r="I708" s="575" t="s">
        <v>1465</v>
      </c>
      <c r="J708" s="575">
        <v>1</v>
      </c>
      <c r="K708" s="647" t="s">
        <v>81</v>
      </c>
      <c r="L708" s="729">
        <v>44256</v>
      </c>
      <c r="M708" s="665">
        <v>6.3E-2</v>
      </c>
      <c r="N708" s="647" t="s">
        <v>28</v>
      </c>
      <c r="O708" s="575"/>
      <c r="P708" s="665" t="str">
        <f>VLOOKUP(A708,'[1]Raw data'!$B:$BA,23,FALSE)</f>
        <v>JPY</v>
      </c>
      <c r="Q708" s="647" t="str">
        <f>VLOOKUP(A708,'[1]Raw data'!$B:$Z,2,FALSE)</f>
        <v>C49SZX20210011JY</v>
      </c>
      <c r="R708" s="647" t="str">
        <f>VLOOKUP(A708,'[1]Raw data'!$B:$Z,3,FALSE)</f>
        <v>英拓邦</v>
      </c>
      <c r="S708" s="647" t="str">
        <f>VLOOKUP(A708,'[1]Raw data'!$B:$Z,4,FALSE)</f>
        <v>YSM20R-2</v>
      </c>
      <c r="T708" s="647" t="str">
        <f>VLOOKUP(A708,'[1]Raw data'!$B:$Z,8,FALSE)</f>
        <v>R-&gt;L</v>
      </c>
      <c r="U708" s="647" t="str">
        <f>VLOOKUP(A708,'[1]Raw data'!$B:$Z,9,FALSE)</f>
        <v>No</v>
      </c>
      <c r="V708" s="567" t="str">
        <f>IF(G708&amp;H708=T708&amp;U708,"OK","WRONG")</f>
        <v>WRONG</v>
      </c>
      <c r="W708" s="563" t="str">
        <f>VLOOKUP(A708,'[1]Raw data'!$B:$AG,32,FALSE)</f>
        <v>CIF HK</v>
      </c>
      <c r="X708" s="647">
        <f>VLOOKUP(A708,'[1]Raw data'!$B:$BA,31,FALSE)</f>
        <v>44222</v>
      </c>
      <c r="Y708" s="647" t="str">
        <f>VLOOKUP(A708,'[1]Raw data'!$B:$AS,39,FALSE)</f>
        <v>Yes</v>
      </c>
      <c r="Z708" s="666"/>
      <c r="AA708" s="667"/>
      <c r="AB708" s="668"/>
      <c r="AC708" s="647" t="s">
        <v>1445</v>
      </c>
      <c r="AD708" s="662">
        <v>301</v>
      </c>
      <c r="AE708" s="662">
        <v>10</v>
      </c>
      <c r="AF708" s="662">
        <v>311</v>
      </c>
      <c r="AG708" s="662">
        <v>10</v>
      </c>
      <c r="AH708" s="662"/>
      <c r="AI708" s="663"/>
      <c r="AN708" s="542"/>
      <c r="AO708" s="824" t="str">
        <f t="shared" si="107"/>
        <v>Yes</v>
      </c>
      <c r="AP708" s="259" t="str">
        <f t="shared" si="108"/>
        <v>MAR 21</v>
      </c>
      <c r="AQ708" s="542" t="str">
        <f t="shared" si="109"/>
        <v>有定金+有預留客戶</v>
      </c>
      <c r="AR708" s="259" t="str">
        <f t="shared" si="110"/>
        <v>Shipped_Stock</v>
      </c>
      <c r="AS708" s="259" t="str">
        <f t="shared" si="111"/>
        <v/>
      </c>
      <c r="AT708" s="259" t="str">
        <f t="shared" si="112"/>
        <v>英拓邦</v>
      </c>
      <c r="AU708" s="259" t="str">
        <f t="shared" si="113"/>
        <v>C49SZX20210011JY</v>
      </c>
      <c r="AV708" s="259" t="str">
        <f t="shared" si="114"/>
        <v>Mar-01</v>
      </c>
    </row>
    <row r="709" spans="1:48" hidden="1">
      <c r="A709" s="559">
        <v>1028</v>
      </c>
      <c r="B709" s="664" t="s">
        <v>1125</v>
      </c>
      <c r="C709" s="664" t="s">
        <v>281</v>
      </c>
      <c r="D709" s="645" t="s">
        <v>1464</v>
      </c>
      <c r="E709" s="646" t="s">
        <v>1422</v>
      </c>
      <c r="F709" s="647" t="s">
        <v>58</v>
      </c>
      <c r="G709" s="647" t="s">
        <v>18</v>
      </c>
      <c r="H709" s="647" t="s">
        <v>27</v>
      </c>
      <c r="I709" s="575" t="s">
        <v>1466</v>
      </c>
      <c r="J709" s="575">
        <v>1</v>
      </c>
      <c r="K709" s="647" t="s">
        <v>78</v>
      </c>
      <c r="L709" s="729">
        <v>44256</v>
      </c>
      <c r="M709" s="665">
        <v>6.3E-2</v>
      </c>
      <c r="N709" s="647" t="s">
        <v>28</v>
      </c>
      <c r="O709" s="575"/>
      <c r="P709" s="566" t="str">
        <f>VLOOKUP(A709,'[1]Raw data'!$B:$BB,23,FALSE)</f>
        <v>JPY</v>
      </c>
      <c r="Q709" s="563" t="str">
        <f>VLOOKUP(A709,'[1]Raw data'!$B:$Z,2,FALSE)</f>
        <v>C49SZX20200243DZ</v>
      </c>
      <c r="R709" s="563" t="str">
        <f>VLOOKUP(A709,'[1]Raw data'!$B:$Z,3,FALSE)</f>
        <v>朗特</v>
      </c>
      <c r="S709" s="563" t="str">
        <f>VLOOKUP(A709,'[1]Raw data'!$B:$Z,4,FALSE)</f>
        <v>YSM20R-2</v>
      </c>
      <c r="T709" s="563" t="str">
        <f>VLOOKUP(A709,'[1]Raw data'!$B:$Z,8,FALSE)</f>
        <v>R-&gt;L</v>
      </c>
      <c r="U709" s="563" t="str">
        <f>VLOOKUP(A709,'[1]Raw data'!$B:$Z,9,FALSE)</f>
        <v>No</v>
      </c>
      <c r="V709" s="567" t="str">
        <f>IF(G709&amp;H709=T709&amp;U709,"OK","WRONG")</f>
        <v>WRONG</v>
      </c>
      <c r="W709" s="563" t="str">
        <f>VLOOKUP(A709,'[1]Raw data'!$B:$AG,32,FALSE)</f>
        <v>CIF HK</v>
      </c>
      <c r="X709" s="563">
        <f>VLOOKUP(A709,'[1]Raw data'!$B:$BA,31,FALSE)</f>
        <v>44182</v>
      </c>
      <c r="Y709" s="563" t="str">
        <f>VLOOKUP(A709,'[1]Raw data'!$B:$AS,39,FALSE)</f>
        <v>Yes</v>
      </c>
      <c r="Z709" s="659"/>
      <c r="AA709" s="660"/>
      <c r="AB709" s="661"/>
      <c r="AC709" s="647" t="s">
        <v>1463</v>
      </c>
      <c r="AD709" s="662">
        <v>301</v>
      </c>
      <c r="AE709" s="662">
        <v>10</v>
      </c>
      <c r="AF709" s="662">
        <v>311</v>
      </c>
      <c r="AG709" s="662">
        <v>10</v>
      </c>
      <c r="AH709" s="662"/>
      <c r="AI709" s="663"/>
      <c r="AN709" s="542"/>
      <c r="AO709" s="824" t="str">
        <f t="shared" si="107"/>
        <v>Yes</v>
      </c>
      <c r="AP709" s="259" t="str">
        <f t="shared" si="108"/>
        <v>MAR 21</v>
      </c>
      <c r="AQ709" s="542" t="str">
        <f t="shared" si="109"/>
        <v>有定金+有預留客戶</v>
      </c>
      <c r="AR709" s="259" t="str">
        <f t="shared" si="110"/>
        <v>Shipped_Stock</v>
      </c>
      <c r="AS709" s="259" t="str">
        <f t="shared" si="111"/>
        <v/>
      </c>
      <c r="AT709" s="259" t="str">
        <f t="shared" si="112"/>
        <v>朗特</v>
      </c>
      <c r="AU709" s="259" t="str">
        <f t="shared" si="113"/>
        <v>C49SZX20200243DZ</v>
      </c>
      <c r="AV709" s="259" t="str">
        <f t="shared" si="114"/>
        <v>Mar-01</v>
      </c>
    </row>
    <row r="710" spans="1:48" hidden="1">
      <c r="A710" s="559">
        <v>1029</v>
      </c>
      <c r="B710" s="664" t="s">
        <v>1125</v>
      </c>
      <c r="C710" s="664" t="s">
        <v>281</v>
      </c>
      <c r="D710" s="645">
        <v>110287</v>
      </c>
      <c r="E710" s="646" t="s">
        <v>1422</v>
      </c>
      <c r="F710" s="647" t="s">
        <v>58</v>
      </c>
      <c r="G710" s="647" t="s">
        <v>18</v>
      </c>
      <c r="H710" s="647" t="s">
        <v>27</v>
      </c>
      <c r="I710" s="575" t="s">
        <v>1467</v>
      </c>
      <c r="J710" s="575">
        <v>1</v>
      </c>
      <c r="K710" s="647" t="s">
        <v>78</v>
      </c>
      <c r="L710" s="729">
        <v>44256</v>
      </c>
      <c r="M710" s="665" t="s">
        <v>258</v>
      </c>
      <c r="N710" s="647" t="s">
        <v>28</v>
      </c>
      <c r="O710" s="575"/>
      <c r="P710" s="566" t="str">
        <f>VLOOKUP(A710,'[1]Raw data'!$B:$BB,23,FALSE)</f>
        <v>JPY</v>
      </c>
      <c r="Q710" s="563" t="str">
        <f>VLOOKUP(A710,'[1]Raw data'!$B:$Z,2,FALSE)</f>
        <v>C49SZX20200243DZ</v>
      </c>
      <c r="R710" s="563" t="str">
        <f>VLOOKUP(A710,'[1]Raw data'!$B:$Z,3,FALSE)</f>
        <v>朗特</v>
      </c>
      <c r="S710" s="563" t="str">
        <f>VLOOKUP(A710,'[1]Raw data'!$B:$Z,4,FALSE)</f>
        <v>YSM20R-2</v>
      </c>
      <c r="T710" s="563" t="str">
        <f>VLOOKUP(A710,'[1]Raw data'!$B:$Z,8,FALSE)</f>
        <v>R-&gt;L</v>
      </c>
      <c r="U710" s="563" t="str">
        <f>VLOOKUP(A710,'[1]Raw data'!$B:$Z,9,FALSE)</f>
        <v>No</v>
      </c>
      <c r="V710" s="567" t="str">
        <f>IF(G710&amp;H710=T710&amp;U710,"OK","WRONG")</f>
        <v>WRONG</v>
      </c>
      <c r="W710" s="563" t="str">
        <f>VLOOKUP(A710,'[1]Raw data'!$B:$AG,32,FALSE)</f>
        <v>CIF HK</v>
      </c>
      <c r="X710" s="563">
        <f>VLOOKUP(A710,'[1]Raw data'!$B:$BA,31,FALSE)</f>
        <v>44182</v>
      </c>
      <c r="Y710" s="563" t="str">
        <f>VLOOKUP(A710,'[1]Raw data'!$B:$AS,39,FALSE)</f>
        <v>Yes</v>
      </c>
      <c r="Z710" s="659"/>
      <c r="AA710" s="660"/>
      <c r="AB710" s="661"/>
      <c r="AC710" s="647" t="s">
        <v>1463</v>
      </c>
      <c r="AD710" s="662">
        <v>311</v>
      </c>
      <c r="AE710" s="662">
        <v>10</v>
      </c>
      <c r="AF710" s="662">
        <v>303</v>
      </c>
      <c r="AG710" s="662">
        <v>10</v>
      </c>
      <c r="AH710" s="662"/>
      <c r="AI710" s="663"/>
      <c r="AN710" s="542"/>
      <c r="AO710" s="824" t="str">
        <f t="shared" si="107"/>
        <v>Yes</v>
      </c>
      <c r="AP710" s="259" t="str">
        <f t="shared" si="108"/>
        <v>MAR 21</v>
      </c>
      <c r="AQ710" s="542" t="str">
        <f t="shared" si="109"/>
        <v>有定金+有預留客戶</v>
      </c>
      <c r="AR710" s="259" t="str">
        <f t="shared" si="110"/>
        <v>Shipped_Stock</v>
      </c>
      <c r="AS710" s="259" t="str">
        <f t="shared" si="111"/>
        <v/>
      </c>
      <c r="AT710" s="259" t="str">
        <f t="shared" si="112"/>
        <v>朗特</v>
      </c>
      <c r="AU710" s="259" t="str">
        <f t="shared" si="113"/>
        <v>C49SZX20200243DZ</v>
      </c>
      <c r="AV710" s="259" t="str">
        <f t="shared" si="114"/>
        <v>Mar-01</v>
      </c>
    </row>
    <row r="711" spans="1:48" hidden="1">
      <c r="A711" s="559">
        <v>1030</v>
      </c>
      <c r="B711" s="664" t="s">
        <v>1125</v>
      </c>
      <c r="C711" s="664" t="s">
        <v>281</v>
      </c>
      <c r="D711" s="645">
        <v>110287</v>
      </c>
      <c r="E711" s="646" t="s">
        <v>1422</v>
      </c>
      <c r="F711" s="647" t="s">
        <v>58</v>
      </c>
      <c r="G711" s="647" t="s">
        <v>18</v>
      </c>
      <c r="H711" s="647" t="s">
        <v>27</v>
      </c>
      <c r="I711" s="575" t="s">
        <v>1468</v>
      </c>
      <c r="J711" s="575">
        <v>1</v>
      </c>
      <c r="K711" s="647" t="s">
        <v>78</v>
      </c>
      <c r="L711" s="729">
        <v>44256</v>
      </c>
      <c r="M711" s="665" t="s">
        <v>258</v>
      </c>
      <c r="N711" s="647" t="s">
        <v>28</v>
      </c>
      <c r="O711" s="575"/>
      <c r="P711" s="566" t="str">
        <f>VLOOKUP(A711,'[1]Raw data'!$B:$BB,23,FALSE)</f>
        <v>JPY</v>
      </c>
      <c r="Q711" s="563" t="str">
        <f>VLOOKUP(A711,'[1]Raw data'!$B:$Z,2,FALSE)</f>
        <v>C49SZX20200243DZ</v>
      </c>
      <c r="R711" s="563" t="str">
        <f>VLOOKUP(A711,'[1]Raw data'!$B:$Z,3,FALSE)</f>
        <v>朗特</v>
      </c>
      <c r="S711" s="563" t="str">
        <f>VLOOKUP(A711,'[1]Raw data'!$B:$Z,4,FALSE)</f>
        <v>YSM20R-2</v>
      </c>
      <c r="T711" s="563" t="str">
        <f>VLOOKUP(A711,'[1]Raw data'!$B:$Z,8,FALSE)</f>
        <v>R-&gt;L</v>
      </c>
      <c r="U711" s="563" t="str">
        <f>VLOOKUP(A711,'[1]Raw data'!$B:$Z,9,FALSE)</f>
        <v>No</v>
      </c>
      <c r="V711" s="567" t="str">
        <f>IF(G711&amp;H711=T711&amp;U711,"OK","WRONG")</f>
        <v>WRONG</v>
      </c>
      <c r="W711" s="563" t="str">
        <f>VLOOKUP(A711,'[1]Raw data'!$B:$AG,32,FALSE)</f>
        <v>CIF HK</v>
      </c>
      <c r="X711" s="563">
        <f>VLOOKUP(A711,'[1]Raw data'!$B:$BA,31,FALSE)</f>
        <v>44182</v>
      </c>
      <c r="Y711" s="563" t="str">
        <f>VLOOKUP(A711,'[1]Raw data'!$B:$AS,39,FALSE)</f>
        <v>Yes</v>
      </c>
      <c r="Z711" s="659"/>
      <c r="AA711" s="660"/>
      <c r="AB711" s="661"/>
      <c r="AC711" s="647" t="s">
        <v>1463</v>
      </c>
      <c r="AD711" s="662">
        <v>302</v>
      </c>
      <c r="AE711" s="662">
        <v>10</v>
      </c>
      <c r="AF711" s="662">
        <v>311</v>
      </c>
      <c r="AG711" s="662">
        <v>10</v>
      </c>
      <c r="AH711" s="662"/>
      <c r="AI711" s="663"/>
      <c r="AN711" s="542"/>
      <c r="AO711" s="824" t="str">
        <f t="shared" si="107"/>
        <v>Yes</v>
      </c>
      <c r="AP711" s="259" t="str">
        <f t="shared" si="108"/>
        <v>MAR 21</v>
      </c>
      <c r="AQ711" s="542" t="str">
        <f t="shared" si="109"/>
        <v>有定金+有預留客戶</v>
      </c>
      <c r="AR711" s="259" t="str">
        <f t="shared" si="110"/>
        <v>Shipped_Stock</v>
      </c>
      <c r="AS711" s="259" t="str">
        <f t="shared" si="111"/>
        <v/>
      </c>
      <c r="AT711" s="259" t="str">
        <f t="shared" si="112"/>
        <v>朗特</v>
      </c>
      <c r="AU711" s="259" t="str">
        <f t="shared" si="113"/>
        <v>C49SZX20200243DZ</v>
      </c>
      <c r="AV711" s="259" t="str">
        <f t="shared" si="114"/>
        <v>Mar-01</v>
      </c>
    </row>
    <row r="712" spans="1:48" hidden="1">
      <c r="A712" s="559">
        <v>1025</v>
      </c>
      <c r="B712" s="664" t="s">
        <v>1125</v>
      </c>
      <c r="C712" s="664" t="s">
        <v>15</v>
      </c>
      <c r="D712" s="645" t="s">
        <v>1469</v>
      </c>
      <c r="E712" s="563" t="s">
        <v>1432</v>
      </c>
      <c r="F712" s="647" t="s">
        <v>241</v>
      </c>
      <c r="G712" s="647" t="s">
        <v>18</v>
      </c>
      <c r="H712" s="647" t="s">
        <v>26</v>
      </c>
      <c r="I712" s="575" t="s">
        <v>1470</v>
      </c>
      <c r="J712" s="575">
        <v>1</v>
      </c>
      <c r="K712" s="647" t="s">
        <v>81</v>
      </c>
      <c r="L712" s="733">
        <v>44256</v>
      </c>
      <c r="M712" s="665">
        <v>6.3E-2</v>
      </c>
      <c r="N712" s="647" t="s">
        <v>28</v>
      </c>
      <c r="O712" s="575"/>
      <c r="P712" s="566" t="str">
        <f>VLOOKUP(A712,'[1]Raw data'!$B:$BB,23,FALSE)</f>
        <v>JPY</v>
      </c>
      <c r="Q712" s="563" t="str">
        <f>VLOOKUP(A712,'[1]Raw data'!$B:$Z,2,FALSE)</f>
        <v>C49SZX20200230JY</v>
      </c>
      <c r="R712" s="563" t="str">
        <f>VLOOKUP(A712,'[1]Raw data'!$B:$Z,3,FALSE)</f>
        <v>海凌科达</v>
      </c>
      <c r="S712" s="563" t="str">
        <f>VLOOKUP(A712,'[1]Raw data'!$B:$Z,4,FALSE)</f>
        <v>YSM10</v>
      </c>
      <c r="T712" s="563" t="str">
        <f>VLOOKUP(A712,'[1]Raw data'!$B:$Z,8,FALSE)</f>
        <v>R-&gt;L</v>
      </c>
      <c r="U712" s="563" t="str">
        <f>VLOOKUP(A712,'[1]Raw data'!$B:$Z,9,FALSE)</f>
        <v>No</v>
      </c>
      <c r="V712" s="567" t="str">
        <f t="shared" ref="V712:V716" si="115">IF(G712&amp;H712=T712&amp;U712,"OK","WRONG")</f>
        <v>OK</v>
      </c>
      <c r="W712" s="563" t="str">
        <f>VLOOKUP(A712,'[1]Raw data'!$B:$AG,32,FALSE)</f>
        <v>CIF HK</v>
      </c>
      <c r="X712" s="563">
        <f>VLOOKUP(A712,'[1]Raw data'!$B:$BA,31,FALSE)</f>
        <v>44180</v>
      </c>
      <c r="Y712" s="563" t="str">
        <f>VLOOKUP(A712,'[1]Raw data'!$B:$AS,39,FALSE)</f>
        <v>Yes</v>
      </c>
      <c r="Z712" s="666"/>
      <c r="AA712" s="667"/>
      <c r="AB712" s="668"/>
      <c r="AC712" s="647" t="s">
        <v>695</v>
      </c>
      <c r="AD712" s="662">
        <v>301</v>
      </c>
      <c r="AE712" s="662">
        <v>10</v>
      </c>
      <c r="AF712" s="662"/>
      <c r="AG712" s="662"/>
      <c r="AH712" s="662"/>
      <c r="AI712" s="663"/>
      <c r="AN712" s="542"/>
      <c r="AO712" s="824" t="str">
        <f t="shared" si="107"/>
        <v>Yes</v>
      </c>
      <c r="AP712" s="259" t="str">
        <f t="shared" si="108"/>
        <v>MAR 21</v>
      </c>
      <c r="AQ712" s="542" t="str">
        <f t="shared" si="109"/>
        <v>有定金+有預留客戶</v>
      </c>
      <c r="AR712" s="259" t="str">
        <f t="shared" si="110"/>
        <v>Shipped_Stock</v>
      </c>
      <c r="AS712" s="259" t="str">
        <f t="shared" si="111"/>
        <v/>
      </c>
      <c r="AT712" s="259" t="str">
        <f t="shared" si="112"/>
        <v>海凌科达</v>
      </c>
      <c r="AU712" s="259" t="str">
        <f t="shared" si="113"/>
        <v>C49SZX20200230JY</v>
      </c>
      <c r="AV712" s="259" t="str">
        <f t="shared" si="114"/>
        <v>Mar-01</v>
      </c>
    </row>
    <row r="713" spans="1:48" hidden="1">
      <c r="A713" s="559">
        <v>1024</v>
      </c>
      <c r="B713" s="664" t="s">
        <v>1125</v>
      </c>
      <c r="C713" s="664" t="s">
        <v>15</v>
      </c>
      <c r="D713" s="645" t="s">
        <v>1469</v>
      </c>
      <c r="E713" s="563" t="s">
        <v>1432</v>
      </c>
      <c r="F713" s="647" t="s">
        <v>241</v>
      </c>
      <c r="G713" s="647" t="s">
        <v>18</v>
      </c>
      <c r="H713" s="647" t="s">
        <v>26</v>
      </c>
      <c r="I713" s="575" t="s">
        <v>1471</v>
      </c>
      <c r="J713" s="575">
        <v>1</v>
      </c>
      <c r="K713" s="647" t="s">
        <v>81</v>
      </c>
      <c r="L713" s="733">
        <v>44256</v>
      </c>
      <c r="M713" s="665">
        <v>6.3E-2</v>
      </c>
      <c r="N713" s="647" t="s">
        <v>28</v>
      </c>
      <c r="O713" s="575"/>
      <c r="P713" s="566" t="str">
        <f>VLOOKUP(A713,'[1]Raw data'!$B:$BB,23,FALSE)</f>
        <v>JPY</v>
      </c>
      <c r="Q713" s="563" t="str">
        <f>VLOOKUP(A713,'[1]Raw data'!$B:$Z,2,FALSE)</f>
        <v>C49SZX20200230JY</v>
      </c>
      <c r="R713" s="563" t="str">
        <f>VLOOKUP(A713,'[1]Raw data'!$B:$Z,3,FALSE)</f>
        <v>海凌科达</v>
      </c>
      <c r="S713" s="563" t="str">
        <f>VLOOKUP(A713,'[1]Raw data'!$B:$Z,4,FALSE)</f>
        <v>YSM10</v>
      </c>
      <c r="T713" s="563" t="str">
        <f>VLOOKUP(A713,'[1]Raw data'!$B:$Z,8,FALSE)</f>
        <v>R-&gt;L</v>
      </c>
      <c r="U713" s="563" t="str">
        <f>VLOOKUP(A713,'[1]Raw data'!$B:$Z,9,FALSE)</f>
        <v>No</v>
      </c>
      <c r="V713" s="567" t="str">
        <f t="shared" si="115"/>
        <v>OK</v>
      </c>
      <c r="W713" s="563" t="str">
        <f>VLOOKUP(A713,'[1]Raw data'!$B:$AG,32,FALSE)</f>
        <v>CIF HK</v>
      </c>
      <c r="X713" s="563">
        <f>VLOOKUP(A713,'[1]Raw data'!$B:$BA,31,FALSE)</f>
        <v>44180</v>
      </c>
      <c r="Y713" s="563" t="str">
        <f>VLOOKUP(A713,'[1]Raw data'!$B:$AS,39,FALSE)</f>
        <v>Yes</v>
      </c>
      <c r="Z713" s="666"/>
      <c r="AA713" s="667"/>
      <c r="AB713" s="668"/>
      <c r="AC713" s="647" t="s">
        <v>695</v>
      </c>
      <c r="AD713" s="662">
        <v>301</v>
      </c>
      <c r="AE713" s="662">
        <v>10</v>
      </c>
      <c r="AF713" s="662"/>
      <c r="AG713" s="662"/>
      <c r="AH713" s="662"/>
      <c r="AI713" s="663"/>
      <c r="AN713" s="542"/>
      <c r="AO713" s="824" t="str">
        <f t="shared" si="107"/>
        <v>Yes</v>
      </c>
      <c r="AP713" s="259" t="str">
        <f t="shared" si="108"/>
        <v>MAR 21</v>
      </c>
      <c r="AQ713" s="542" t="str">
        <f t="shared" si="109"/>
        <v>有定金+有預留客戶</v>
      </c>
      <c r="AR713" s="259" t="str">
        <f t="shared" si="110"/>
        <v>Shipped_Stock</v>
      </c>
      <c r="AS713" s="259" t="str">
        <f t="shared" si="111"/>
        <v/>
      </c>
      <c r="AT713" s="259" t="str">
        <f t="shared" si="112"/>
        <v>海凌科达</v>
      </c>
      <c r="AU713" s="259" t="str">
        <f t="shared" si="113"/>
        <v>C49SZX20200230JY</v>
      </c>
      <c r="AV713" s="259" t="str">
        <f t="shared" si="114"/>
        <v>Mar-01</v>
      </c>
    </row>
    <row r="714" spans="1:48" hidden="1">
      <c r="A714" s="559">
        <v>1022</v>
      </c>
      <c r="B714" s="664" t="s">
        <v>1125</v>
      </c>
      <c r="C714" s="664" t="s">
        <v>15</v>
      </c>
      <c r="D714" s="645">
        <v>110172</v>
      </c>
      <c r="E714" s="563" t="s">
        <v>1432</v>
      </c>
      <c r="F714" s="647" t="s">
        <v>241</v>
      </c>
      <c r="G714" s="647" t="s">
        <v>18</v>
      </c>
      <c r="H714" s="647" t="s">
        <v>26</v>
      </c>
      <c r="I714" s="575" t="s">
        <v>1472</v>
      </c>
      <c r="J714" s="575">
        <v>1</v>
      </c>
      <c r="K714" s="647" t="s">
        <v>81</v>
      </c>
      <c r="L714" s="733">
        <v>44256</v>
      </c>
      <c r="M714" s="665" t="s">
        <v>906</v>
      </c>
      <c r="N714" s="647" t="s">
        <v>28</v>
      </c>
      <c r="O714" s="575"/>
      <c r="P714" s="566" t="str">
        <f>VLOOKUP(A714,'[1]Raw data'!$B:$BB,23,FALSE)</f>
        <v>JPY</v>
      </c>
      <c r="Q714" s="563" t="str">
        <f>VLOOKUP(A714,'[1]Raw data'!$B:$Z,2,FALSE)</f>
        <v>C49SZX20200230JY</v>
      </c>
      <c r="R714" s="563" t="str">
        <f>VLOOKUP(A714,'[1]Raw data'!$B:$Z,3,FALSE)</f>
        <v>海凌科达</v>
      </c>
      <c r="S714" s="563" t="str">
        <f>VLOOKUP(A714,'[1]Raw data'!$B:$Z,4,FALSE)</f>
        <v>YSM10</v>
      </c>
      <c r="T714" s="563" t="str">
        <f>VLOOKUP(A714,'[1]Raw data'!$B:$Z,8,FALSE)</f>
        <v>L-&gt;R</v>
      </c>
      <c r="U714" s="563" t="str">
        <f>VLOOKUP(A714,'[1]Raw data'!$B:$Z,9,FALSE)</f>
        <v>No</v>
      </c>
      <c r="V714" s="567" t="str">
        <f t="shared" si="115"/>
        <v>WRONG</v>
      </c>
      <c r="W714" s="563" t="str">
        <f>VLOOKUP(A714,'[1]Raw data'!$B:$AG,32,FALSE)</f>
        <v>CIF HK</v>
      </c>
      <c r="X714" s="563">
        <f>VLOOKUP(A714,'[1]Raw data'!$B:$BA,31,FALSE)</f>
        <v>44180</v>
      </c>
      <c r="Y714" s="563" t="str">
        <f>VLOOKUP(A714,'[1]Raw data'!$B:$AS,39,FALSE)</f>
        <v>Yes</v>
      </c>
      <c r="Z714" s="666"/>
      <c r="AA714" s="667"/>
      <c r="AB714" s="668"/>
      <c r="AC714" s="647" t="s">
        <v>695</v>
      </c>
      <c r="AD714" s="662">
        <v>301</v>
      </c>
      <c r="AE714" s="662">
        <v>10</v>
      </c>
      <c r="AF714" s="662"/>
      <c r="AG714" s="662"/>
      <c r="AH714" s="662"/>
      <c r="AI714" s="663"/>
      <c r="AN714" s="542"/>
      <c r="AO714" s="824" t="str">
        <f t="shared" si="107"/>
        <v>Yes</v>
      </c>
      <c r="AP714" s="259" t="str">
        <f t="shared" si="108"/>
        <v>MAR 21</v>
      </c>
      <c r="AQ714" s="542" t="str">
        <f t="shared" si="109"/>
        <v>有定金+有預留客戶</v>
      </c>
      <c r="AR714" s="259" t="str">
        <f t="shared" si="110"/>
        <v>Shipped_Stock</v>
      </c>
      <c r="AS714" s="259" t="str">
        <f t="shared" si="111"/>
        <v/>
      </c>
      <c r="AT714" s="259" t="str">
        <f t="shared" si="112"/>
        <v>海凌科达</v>
      </c>
      <c r="AU714" s="259" t="str">
        <f t="shared" si="113"/>
        <v>C49SZX20200230JY</v>
      </c>
      <c r="AV714" s="259" t="str">
        <f t="shared" si="114"/>
        <v>Mar-01</v>
      </c>
    </row>
    <row r="715" spans="1:48" hidden="1">
      <c r="A715" s="559">
        <v>1023</v>
      </c>
      <c r="B715" s="664" t="s">
        <v>1125</v>
      </c>
      <c r="C715" s="664" t="s">
        <v>15</v>
      </c>
      <c r="D715" s="645">
        <v>110172</v>
      </c>
      <c r="E715" s="563" t="s">
        <v>1432</v>
      </c>
      <c r="F715" s="647" t="s">
        <v>241</v>
      </c>
      <c r="G715" s="647" t="s">
        <v>18</v>
      </c>
      <c r="H715" s="647" t="s">
        <v>26</v>
      </c>
      <c r="I715" s="575" t="s">
        <v>1473</v>
      </c>
      <c r="J715" s="575">
        <v>1</v>
      </c>
      <c r="K715" s="647" t="s">
        <v>81</v>
      </c>
      <c r="L715" s="733">
        <v>44256</v>
      </c>
      <c r="M715" s="665" t="s">
        <v>906</v>
      </c>
      <c r="N715" s="647" t="s">
        <v>28</v>
      </c>
      <c r="O715" s="575"/>
      <c r="P715" s="566" t="str">
        <f>VLOOKUP(A715,'[1]Raw data'!$B:$BB,23,FALSE)</f>
        <v>JPY</v>
      </c>
      <c r="Q715" s="563" t="str">
        <f>VLOOKUP(A715,'[1]Raw data'!$B:$Z,2,FALSE)</f>
        <v>C49SZX20200230JY</v>
      </c>
      <c r="R715" s="563" t="str">
        <f>VLOOKUP(A715,'[1]Raw data'!$B:$Z,3,FALSE)</f>
        <v>海凌科达</v>
      </c>
      <c r="S715" s="563" t="str">
        <f>VLOOKUP(A715,'[1]Raw data'!$B:$Z,4,FALSE)</f>
        <v>YSM10</v>
      </c>
      <c r="T715" s="563" t="str">
        <f>VLOOKUP(A715,'[1]Raw data'!$B:$Z,8,FALSE)</f>
        <v>L-&gt;R</v>
      </c>
      <c r="U715" s="563" t="str">
        <f>VLOOKUP(A715,'[1]Raw data'!$B:$Z,9,FALSE)</f>
        <v>No</v>
      </c>
      <c r="V715" s="567" t="str">
        <f t="shared" si="115"/>
        <v>WRONG</v>
      </c>
      <c r="W715" s="563" t="str">
        <f>VLOOKUP(A715,'[1]Raw data'!$B:$AG,32,FALSE)</f>
        <v>CIF HK</v>
      </c>
      <c r="X715" s="563">
        <f>VLOOKUP(A715,'[1]Raw data'!$B:$BA,31,FALSE)</f>
        <v>44180</v>
      </c>
      <c r="Y715" s="563" t="str">
        <f>VLOOKUP(A715,'[1]Raw data'!$B:$AS,39,FALSE)</f>
        <v>Yes</v>
      </c>
      <c r="Z715" s="666"/>
      <c r="AA715" s="667"/>
      <c r="AB715" s="668"/>
      <c r="AC715" s="647" t="s">
        <v>1474</v>
      </c>
      <c r="AD715" s="662">
        <v>301</v>
      </c>
      <c r="AE715" s="662">
        <v>10</v>
      </c>
      <c r="AF715" s="662"/>
      <c r="AG715" s="662"/>
      <c r="AH715" s="662"/>
      <c r="AI715" s="663"/>
      <c r="AN715" s="542"/>
      <c r="AO715" s="824" t="str">
        <f t="shared" si="107"/>
        <v>Yes</v>
      </c>
      <c r="AP715" s="259" t="str">
        <f t="shared" si="108"/>
        <v>MAR 21</v>
      </c>
      <c r="AQ715" s="542" t="str">
        <f t="shared" si="109"/>
        <v>有定金+有預留客戶</v>
      </c>
      <c r="AR715" s="259" t="str">
        <f t="shared" si="110"/>
        <v>Shipped_Stock</v>
      </c>
      <c r="AS715" s="259" t="str">
        <f t="shared" si="111"/>
        <v/>
      </c>
      <c r="AT715" s="259" t="str">
        <f t="shared" si="112"/>
        <v>海凌科达</v>
      </c>
      <c r="AU715" s="259" t="str">
        <f t="shared" si="113"/>
        <v>C49SZX20200230JY</v>
      </c>
      <c r="AV715" s="259" t="str">
        <f t="shared" si="114"/>
        <v>Mar-01</v>
      </c>
    </row>
    <row r="716" spans="1:48" hidden="1">
      <c r="A716" s="559">
        <v>1254</v>
      </c>
      <c r="B716" s="664" t="s">
        <v>1125</v>
      </c>
      <c r="C716" s="664" t="s">
        <v>15</v>
      </c>
      <c r="D716" s="645">
        <v>110172</v>
      </c>
      <c r="E716" s="563" t="s">
        <v>1432</v>
      </c>
      <c r="F716" s="647" t="s">
        <v>241</v>
      </c>
      <c r="G716" s="647" t="s">
        <v>18</v>
      </c>
      <c r="H716" s="647" t="s">
        <v>26</v>
      </c>
      <c r="I716" s="575" t="s">
        <v>1475</v>
      </c>
      <c r="J716" s="575">
        <v>1</v>
      </c>
      <c r="K716" s="647" t="s">
        <v>82</v>
      </c>
      <c r="L716" s="733">
        <v>44256</v>
      </c>
      <c r="M716" s="665" t="s">
        <v>906</v>
      </c>
      <c r="N716" s="647" t="s">
        <v>28</v>
      </c>
      <c r="O716" s="575"/>
      <c r="P716" s="665" t="str">
        <f>VLOOKUP(A716,'[1]Raw data'!$B:$BA,23,FALSE)</f>
        <v>JPY</v>
      </c>
      <c r="Q716" s="647" t="str">
        <f>VLOOKUP(A716,'[1]Raw data'!$B:$Z,2,FALSE)</f>
        <v>C49SZX20210090EC</v>
      </c>
      <c r="R716" s="647" t="str">
        <f>VLOOKUP(A716,'[1]Raw data'!$B:$Z,3,FALSE)</f>
        <v>景思</v>
      </c>
      <c r="S716" s="647" t="str">
        <f>VLOOKUP(A716,'[1]Raw data'!$B:$Z,4,FALSE)</f>
        <v>YSM10</v>
      </c>
      <c r="T716" s="647" t="str">
        <f>VLOOKUP(A716,'[1]Raw data'!$B:$Z,8,FALSE)</f>
        <v>L-&gt;R</v>
      </c>
      <c r="U716" s="647" t="str">
        <f>VLOOKUP(A716,'[1]Raw data'!$B:$Z,9,FALSE)</f>
        <v>MVC</v>
      </c>
      <c r="V716" s="567" t="str">
        <f t="shared" si="115"/>
        <v>WRONG</v>
      </c>
      <c r="W716" s="563" t="str">
        <f>VLOOKUP(A716,'[1]Raw data'!$B:$AG,32,FALSE)</f>
        <v>DAP SZ</v>
      </c>
      <c r="X716" s="647">
        <f>VLOOKUP(A716,'[1]Raw data'!$B:$BA,31,FALSE)</f>
        <v>44270</v>
      </c>
      <c r="Y716" s="647" t="str">
        <f>VLOOKUP(A716,'[1]Raw data'!$B:$AS,39,FALSE)</f>
        <v>Yes</v>
      </c>
      <c r="Z716" s="659"/>
      <c r="AA716" s="660"/>
      <c r="AB716" s="661"/>
      <c r="AC716" s="647" t="s">
        <v>1476</v>
      </c>
      <c r="AD716" s="662">
        <v>301</v>
      </c>
      <c r="AE716" s="662">
        <v>10</v>
      </c>
      <c r="AF716" s="662"/>
      <c r="AG716" s="662"/>
      <c r="AH716" s="662"/>
      <c r="AI716" s="663"/>
      <c r="AN716" s="542"/>
      <c r="AO716" s="824" t="str">
        <f t="shared" si="107"/>
        <v>Yes</v>
      </c>
      <c r="AP716" s="259" t="str">
        <f t="shared" si="108"/>
        <v>MAR 21</v>
      </c>
      <c r="AQ716" s="542" t="str">
        <f t="shared" si="109"/>
        <v>有定金+有預留客戶</v>
      </c>
      <c r="AR716" s="259" t="str">
        <f t="shared" si="110"/>
        <v>Shipped_Stock</v>
      </c>
      <c r="AS716" s="259" t="str">
        <f t="shared" si="111"/>
        <v/>
      </c>
      <c r="AT716" s="259" t="str">
        <f t="shared" si="112"/>
        <v>景思</v>
      </c>
      <c r="AU716" s="259" t="str">
        <f t="shared" si="113"/>
        <v>C49SZX20210090EC</v>
      </c>
      <c r="AV716" s="259" t="str">
        <f t="shared" si="114"/>
        <v>Mar-01</v>
      </c>
    </row>
    <row r="717" spans="1:48" hidden="1">
      <c r="A717" s="559">
        <v>1219</v>
      </c>
      <c r="B717" s="664" t="s">
        <v>1125</v>
      </c>
      <c r="C717" s="664" t="s">
        <v>15</v>
      </c>
      <c r="D717" s="645">
        <v>110173</v>
      </c>
      <c r="E717" s="563" t="s">
        <v>1432</v>
      </c>
      <c r="F717" s="647" t="s">
        <v>241</v>
      </c>
      <c r="G717" s="647" t="s">
        <v>18</v>
      </c>
      <c r="H717" s="647" t="s">
        <v>26</v>
      </c>
      <c r="I717" s="575" t="s">
        <v>1477</v>
      </c>
      <c r="J717" s="575">
        <v>1</v>
      </c>
      <c r="K717" s="647" t="s">
        <v>81</v>
      </c>
      <c r="L717" s="733">
        <v>44256</v>
      </c>
      <c r="M717" s="665" t="s">
        <v>906</v>
      </c>
      <c r="N717" s="647" t="s">
        <v>28</v>
      </c>
      <c r="O717" s="575"/>
      <c r="P717" s="566" t="str">
        <f>VLOOKUP(A717,'[1]Raw data'!$B:$BB,23,FALSE)</f>
        <v>JPY</v>
      </c>
      <c r="Q717" s="563" t="str">
        <f>VLOOKUP(A717,'[1]Raw data'!$B:$Z,2,FALSE)</f>
        <v>C49SZX20210068JL</v>
      </c>
      <c r="R717" s="563" t="str">
        <f>VLOOKUP(A717,'[1]Raw data'!$B:$Z,3,FALSE)</f>
        <v>芯睿视</v>
      </c>
      <c r="S717" s="563" t="str">
        <f>VLOOKUP(A717,'[1]Raw data'!$B:$Z,4,FALSE)</f>
        <v>YSM10</v>
      </c>
      <c r="T717" s="563" t="str">
        <f>VLOOKUP(A717,'[1]Raw data'!$B:$Z,8,FALSE)</f>
        <v>L-&gt;R</v>
      </c>
      <c r="U717" s="563" t="str">
        <f>VLOOKUP(A717,'[1]Raw data'!$B:$Z,9,FALSE)</f>
        <v>MVC</v>
      </c>
      <c r="V717" s="567" t="str">
        <f t="shared" ref="V717:V721" si="116">IF(G717&amp;H717=T717&amp;U717,"OK","WRONG")</f>
        <v>WRONG</v>
      </c>
      <c r="W717" s="563" t="str">
        <f>VLOOKUP(A717,'[1]Raw data'!$B:$AG,32,FALSE)</f>
        <v>CIF HK</v>
      </c>
      <c r="X717" s="563">
        <f>VLOOKUP(A717,'[1]Raw data'!$B:$BA,31,FALSE)</f>
        <v>44263</v>
      </c>
      <c r="Y717" s="563" t="str">
        <f>VLOOKUP(A717,'[1]Raw data'!$B:$AS,39,FALSE)</f>
        <v>Yes</v>
      </c>
      <c r="Z717" s="666"/>
      <c r="AA717" s="667"/>
      <c r="AB717" s="668"/>
      <c r="AC717" s="647" t="s">
        <v>1478</v>
      </c>
      <c r="AD717" s="662">
        <v>301</v>
      </c>
      <c r="AE717" s="662">
        <v>10</v>
      </c>
      <c r="AF717" s="662"/>
      <c r="AG717" s="662"/>
      <c r="AH717" s="662"/>
      <c r="AI717" s="663"/>
      <c r="AN717" s="542"/>
      <c r="AO717" s="824" t="str">
        <f t="shared" si="107"/>
        <v>Yes</v>
      </c>
      <c r="AP717" s="259" t="str">
        <f t="shared" si="108"/>
        <v>MAR 21</v>
      </c>
      <c r="AQ717" s="542" t="str">
        <f t="shared" si="109"/>
        <v>有定金+有預留客戶</v>
      </c>
      <c r="AR717" s="259" t="str">
        <f t="shared" si="110"/>
        <v>Shipped_Stock</v>
      </c>
      <c r="AS717" s="259" t="str">
        <f t="shared" si="111"/>
        <v/>
      </c>
      <c r="AT717" s="259" t="str">
        <f t="shared" si="112"/>
        <v>芯睿视</v>
      </c>
      <c r="AU717" s="259" t="str">
        <f t="shared" si="113"/>
        <v>C49SZX20210068JL</v>
      </c>
      <c r="AV717" s="259" t="str">
        <f t="shared" si="114"/>
        <v>Mar-01</v>
      </c>
    </row>
    <row r="718" spans="1:48" hidden="1">
      <c r="A718" s="559">
        <v>1220</v>
      </c>
      <c r="B718" s="664" t="s">
        <v>1125</v>
      </c>
      <c r="C718" s="664" t="s">
        <v>15</v>
      </c>
      <c r="D718" s="645">
        <v>110173</v>
      </c>
      <c r="E718" s="563" t="s">
        <v>1432</v>
      </c>
      <c r="F718" s="647" t="s">
        <v>241</v>
      </c>
      <c r="G718" s="647" t="s">
        <v>18</v>
      </c>
      <c r="H718" s="647" t="s">
        <v>26</v>
      </c>
      <c r="I718" s="575" t="s">
        <v>1479</v>
      </c>
      <c r="J718" s="575">
        <v>1</v>
      </c>
      <c r="K718" s="647" t="s">
        <v>81</v>
      </c>
      <c r="L718" s="733">
        <v>44256</v>
      </c>
      <c r="M718" s="665" t="s">
        <v>906</v>
      </c>
      <c r="N718" s="647" t="s">
        <v>28</v>
      </c>
      <c r="O718" s="575"/>
      <c r="P718" s="566" t="str">
        <f>VLOOKUP(A718,'[1]Raw data'!$B:$BB,23,FALSE)</f>
        <v>JPY</v>
      </c>
      <c r="Q718" s="563" t="str">
        <f>VLOOKUP(A718,'[1]Raw data'!$B:$Z,2,FALSE)</f>
        <v>C49SZX20210068JL</v>
      </c>
      <c r="R718" s="563" t="str">
        <f>VLOOKUP(A718,'[1]Raw data'!$B:$Z,3,FALSE)</f>
        <v>芯睿视</v>
      </c>
      <c r="S718" s="563" t="str">
        <f>VLOOKUP(A718,'[1]Raw data'!$B:$Z,4,FALSE)</f>
        <v>YSM10</v>
      </c>
      <c r="T718" s="563" t="str">
        <f>VLOOKUP(A718,'[1]Raw data'!$B:$Z,8,FALSE)</f>
        <v>L-&gt;R</v>
      </c>
      <c r="U718" s="563" t="str">
        <f>VLOOKUP(A718,'[1]Raw data'!$B:$Z,9,FALSE)</f>
        <v>MVC</v>
      </c>
      <c r="V718" s="567" t="str">
        <f t="shared" si="116"/>
        <v>WRONG</v>
      </c>
      <c r="W718" s="563" t="str">
        <f>VLOOKUP(A718,'[1]Raw data'!$B:$AG,32,FALSE)</f>
        <v>CIF HK</v>
      </c>
      <c r="X718" s="563">
        <f>VLOOKUP(A718,'[1]Raw data'!$B:$BA,31,FALSE)</f>
        <v>44263</v>
      </c>
      <c r="Y718" s="563" t="str">
        <f>VLOOKUP(A718,'[1]Raw data'!$B:$AS,39,FALSE)</f>
        <v>Yes</v>
      </c>
      <c r="Z718" s="666"/>
      <c r="AA718" s="667"/>
      <c r="AB718" s="668"/>
      <c r="AC718" s="647" t="s">
        <v>1478</v>
      </c>
      <c r="AD718" s="662">
        <v>301</v>
      </c>
      <c r="AE718" s="662">
        <v>10</v>
      </c>
      <c r="AF718" s="662"/>
      <c r="AG718" s="662"/>
      <c r="AH718" s="662"/>
      <c r="AI718" s="663"/>
      <c r="AN718" s="542"/>
      <c r="AO718" s="824" t="str">
        <f t="shared" si="107"/>
        <v>Yes</v>
      </c>
      <c r="AP718" s="259" t="str">
        <f t="shared" si="108"/>
        <v>MAR 21</v>
      </c>
      <c r="AQ718" s="542" t="str">
        <f t="shared" si="109"/>
        <v>有定金+有預留客戶</v>
      </c>
      <c r="AR718" s="259" t="str">
        <f t="shared" si="110"/>
        <v>Shipped_Stock</v>
      </c>
      <c r="AS718" s="259" t="str">
        <f t="shared" si="111"/>
        <v/>
      </c>
      <c r="AT718" s="259" t="str">
        <f t="shared" si="112"/>
        <v>芯睿视</v>
      </c>
      <c r="AU718" s="259" t="str">
        <f t="shared" si="113"/>
        <v>C49SZX20210068JL</v>
      </c>
      <c r="AV718" s="259" t="str">
        <f t="shared" si="114"/>
        <v>Mar-01</v>
      </c>
    </row>
    <row r="719" spans="1:48" hidden="1">
      <c r="A719" s="559">
        <v>1223</v>
      </c>
      <c r="B719" s="664" t="s">
        <v>1125</v>
      </c>
      <c r="C719" s="664" t="s">
        <v>15</v>
      </c>
      <c r="D719" s="645">
        <v>110173</v>
      </c>
      <c r="E719" s="563" t="s">
        <v>1432</v>
      </c>
      <c r="F719" s="647" t="s">
        <v>241</v>
      </c>
      <c r="G719" s="647" t="s">
        <v>18</v>
      </c>
      <c r="H719" s="647" t="s">
        <v>26</v>
      </c>
      <c r="I719" s="575" t="s">
        <v>1480</v>
      </c>
      <c r="J719" s="575">
        <v>1</v>
      </c>
      <c r="K719" s="647" t="s">
        <v>81</v>
      </c>
      <c r="L719" s="733">
        <v>44256</v>
      </c>
      <c r="M719" s="665" t="s">
        <v>906</v>
      </c>
      <c r="N719" s="647" t="s">
        <v>28</v>
      </c>
      <c r="O719" s="575"/>
      <c r="P719" s="566" t="str">
        <f>VLOOKUP(A719,'[1]Raw data'!$B:$BB,23,FALSE)</f>
        <v>JPY</v>
      </c>
      <c r="Q719" s="563" t="str">
        <f>VLOOKUP(A719,'[1]Raw data'!$B:$Z,2,FALSE)</f>
        <v>C49SZX20210068JL</v>
      </c>
      <c r="R719" s="563" t="str">
        <f>VLOOKUP(A719,'[1]Raw data'!$B:$Z,3,FALSE)</f>
        <v>芯睿视</v>
      </c>
      <c r="S719" s="563" t="str">
        <f>VLOOKUP(A719,'[1]Raw data'!$B:$Z,4,FALSE)</f>
        <v>YSM10</v>
      </c>
      <c r="T719" s="563" t="str">
        <f>VLOOKUP(A719,'[1]Raw data'!$B:$Z,8,FALSE)</f>
        <v>L-&gt;R</v>
      </c>
      <c r="U719" s="563" t="str">
        <f>VLOOKUP(A719,'[1]Raw data'!$B:$Z,9,FALSE)</f>
        <v>MVC</v>
      </c>
      <c r="V719" s="567" t="str">
        <f t="shared" si="116"/>
        <v>WRONG</v>
      </c>
      <c r="W719" s="563" t="str">
        <f>VLOOKUP(A719,'[1]Raw data'!$B:$AG,32,FALSE)</f>
        <v>CIF HK</v>
      </c>
      <c r="X719" s="563">
        <f>VLOOKUP(A719,'[1]Raw data'!$B:$BA,31,FALSE)</f>
        <v>44263</v>
      </c>
      <c r="Y719" s="563" t="str">
        <f>VLOOKUP(A719,'[1]Raw data'!$B:$AS,39,FALSE)</f>
        <v>Yes</v>
      </c>
      <c r="Z719" s="666"/>
      <c r="AA719" s="667"/>
      <c r="AB719" s="668"/>
      <c r="AC719" s="647" t="s">
        <v>1478</v>
      </c>
      <c r="AD719" s="662">
        <v>301</v>
      </c>
      <c r="AE719" s="662">
        <v>10</v>
      </c>
      <c r="AF719" s="662"/>
      <c r="AG719" s="662"/>
      <c r="AH719" s="662"/>
      <c r="AI719" s="663"/>
      <c r="AN719" s="542"/>
      <c r="AO719" s="824" t="str">
        <f t="shared" si="107"/>
        <v>Yes</v>
      </c>
      <c r="AP719" s="259" t="str">
        <f t="shared" si="108"/>
        <v>MAR 21</v>
      </c>
      <c r="AQ719" s="542" t="str">
        <f t="shared" si="109"/>
        <v>有定金+有預留客戶</v>
      </c>
      <c r="AR719" s="259" t="str">
        <f t="shared" si="110"/>
        <v>Shipped_Stock</v>
      </c>
      <c r="AS719" s="259" t="str">
        <f t="shared" si="111"/>
        <v/>
      </c>
      <c r="AT719" s="259" t="str">
        <f t="shared" si="112"/>
        <v>芯睿视</v>
      </c>
      <c r="AU719" s="259" t="str">
        <f t="shared" si="113"/>
        <v>C49SZX20210068JL</v>
      </c>
      <c r="AV719" s="259" t="str">
        <f t="shared" si="114"/>
        <v>Mar-01</v>
      </c>
    </row>
    <row r="720" spans="1:48" hidden="1">
      <c r="A720" s="559">
        <v>1224</v>
      </c>
      <c r="B720" s="664" t="s">
        <v>1125</v>
      </c>
      <c r="C720" s="664" t="s">
        <v>15</v>
      </c>
      <c r="D720" s="645">
        <v>110173</v>
      </c>
      <c r="E720" s="563" t="s">
        <v>1432</v>
      </c>
      <c r="F720" s="647" t="s">
        <v>241</v>
      </c>
      <c r="G720" s="647" t="s">
        <v>18</v>
      </c>
      <c r="H720" s="647" t="s">
        <v>26</v>
      </c>
      <c r="I720" s="575" t="s">
        <v>1481</v>
      </c>
      <c r="J720" s="575">
        <v>1</v>
      </c>
      <c r="K720" s="647" t="s">
        <v>81</v>
      </c>
      <c r="L720" s="733">
        <v>44256</v>
      </c>
      <c r="M720" s="665" t="s">
        <v>906</v>
      </c>
      <c r="N720" s="647" t="s">
        <v>28</v>
      </c>
      <c r="O720" s="575"/>
      <c r="P720" s="566" t="str">
        <f>VLOOKUP(A720,'[1]Raw data'!$B:$BB,23,FALSE)</f>
        <v>JPY</v>
      </c>
      <c r="Q720" s="563" t="str">
        <f>VLOOKUP(A720,'[1]Raw data'!$B:$Z,2,FALSE)</f>
        <v>C49SZX20210068JL</v>
      </c>
      <c r="R720" s="563" t="str">
        <f>VLOOKUP(A720,'[1]Raw data'!$B:$Z,3,FALSE)</f>
        <v>芯睿视</v>
      </c>
      <c r="S720" s="563" t="str">
        <f>VLOOKUP(A720,'[1]Raw data'!$B:$Z,4,FALSE)</f>
        <v>YSM10</v>
      </c>
      <c r="T720" s="563" t="str">
        <f>VLOOKUP(A720,'[1]Raw data'!$B:$Z,8,FALSE)</f>
        <v>L-&gt;R</v>
      </c>
      <c r="U720" s="563" t="str">
        <f>VLOOKUP(A720,'[1]Raw data'!$B:$Z,9,FALSE)</f>
        <v>MVC</v>
      </c>
      <c r="V720" s="567" t="str">
        <f t="shared" si="116"/>
        <v>WRONG</v>
      </c>
      <c r="W720" s="563" t="str">
        <f>VLOOKUP(A720,'[1]Raw data'!$B:$AG,32,FALSE)</f>
        <v>CIF HK</v>
      </c>
      <c r="X720" s="563">
        <f>VLOOKUP(A720,'[1]Raw data'!$B:$BA,31,FALSE)</f>
        <v>44263</v>
      </c>
      <c r="Y720" s="563" t="str">
        <f>VLOOKUP(A720,'[1]Raw data'!$B:$AS,39,FALSE)</f>
        <v>Yes</v>
      </c>
      <c r="Z720" s="666"/>
      <c r="AA720" s="667"/>
      <c r="AB720" s="668"/>
      <c r="AC720" s="647" t="s">
        <v>1478</v>
      </c>
      <c r="AD720" s="662">
        <v>301</v>
      </c>
      <c r="AE720" s="662">
        <v>10</v>
      </c>
      <c r="AF720" s="662"/>
      <c r="AG720" s="662"/>
      <c r="AH720" s="662"/>
      <c r="AI720" s="663"/>
      <c r="AN720" s="542"/>
      <c r="AO720" s="824" t="str">
        <f t="shared" si="107"/>
        <v>Yes</v>
      </c>
      <c r="AP720" s="259" t="str">
        <f t="shared" si="108"/>
        <v>MAR 21</v>
      </c>
      <c r="AQ720" s="542" t="str">
        <f t="shared" si="109"/>
        <v>有定金+有預留客戶</v>
      </c>
      <c r="AR720" s="259" t="str">
        <f t="shared" si="110"/>
        <v>Shipped_Stock</v>
      </c>
      <c r="AS720" s="259" t="str">
        <f t="shared" si="111"/>
        <v/>
      </c>
      <c r="AT720" s="259" t="str">
        <f t="shared" si="112"/>
        <v>芯睿视</v>
      </c>
      <c r="AU720" s="259" t="str">
        <f t="shared" si="113"/>
        <v>C49SZX20210068JL</v>
      </c>
      <c r="AV720" s="259" t="str">
        <f t="shared" si="114"/>
        <v>Mar-01</v>
      </c>
    </row>
    <row r="721" spans="1:48" hidden="1">
      <c r="A721" s="559">
        <v>1107</v>
      </c>
      <c r="B721" s="664" t="s">
        <v>1125</v>
      </c>
      <c r="C721" s="664" t="s">
        <v>15</v>
      </c>
      <c r="D721" s="645">
        <v>110173</v>
      </c>
      <c r="E721" s="563" t="s">
        <v>1432</v>
      </c>
      <c r="F721" s="647" t="s">
        <v>241</v>
      </c>
      <c r="G721" s="647" t="s">
        <v>18</v>
      </c>
      <c r="H721" s="647" t="s">
        <v>26</v>
      </c>
      <c r="I721" s="575" t="s">
        <v>1482</v>
      </c>
      <c r="J721" s="575">
        <v>1</v>
      </c>
      <c r="K721" s="647" t="s">
        <v>82</v>
      </c>
      <c r="L721" s="733">
        <v>44256</v>
      </c>
      <c r="M721" s="665" t="s">
        <v>906</v>
      </c>
      <c r="N721" s="647" t="s">
        <v>90</v>
      </c>
      <c r="O721" s="575"/>
      <c r="P721" s="665" t="str">
        <f>VLOOKUP(A721,'[1]Raw data'!$B:$BA,23,FALSE)</f>
        <v>JPY</v>
      </c>
      <c r="Q721" s="647" t="str">
        <f>VLOOKUP(A721,'[1]Raw data'!$B:$Z,2,FALSE)</f>
        <v>C49SZX20210038SX</v>
      </c>
      <c r="R721" s="647" t="str">
        <f>VLOOKUP(A721,'[1]Raw data'!$B:$Z,3,FALSE)</f>
        <v>赛美达</v>
      </c>
      <c r="S721" s="647" t="str">
        <f>VLOOKUP(A721,'[1]Raw data'!$B:$Z,4,FALSE)</f>
        <v>YSM10</v>
      </c>
      <c r="T721" s="647" t="str">
        <f>VLOOKUP(A721,'[1]Raw data'!$B:$Z,8,FALSE)</f>
        <v>R-&gt;L</v>
      </c>
      <c r="U721" s="647" t="str">
        <f>VLOOKUP(A721,'[1]Raw data'!$B:$Z,9,FALSE)</f>
        <v>MVC</v>
      </c>
      <c r="V721" s="567" t="str">
        <f t="shared" si="116"/>
        <v>WRONG</v>
      </c>
      <c r="W721" s="563" t="str">
        <f>VLOOKUP(A721,'[1]Raw data'!$B:$AG,32,FALSE)</f>
        <v>DAP SZ</v>
      </c>
      <c r="X721" s="647">
        <f>VLOOKUP(A721,'[1]Raw data'!$B:$BA,31,FALSE)</f>
        <v>44225</v>
      </c>
      <c r="Y721" s="647" t="str">
        <f>VLOOKUP(A721,'[1]Raw data'!$B:$AS,39,FALSE)</f>
        <v>Yes</v>
      </c>
      <c r="Z721" s="659"/>
      <c r="AA721" s="660"/>
      <c r="AB721" s="661"/>
      <c r="AC721" s="647" t="s">
        <v>1417</v>
      </c>
      <c r="AD721" s="662">
        <v>301</v>
      </c>
      <c r="AE721" s="662">
        <v>10</v>
      </c>
      <c r="AF721" s="662"/>
      <c r="AG721" s="662"/>
      <c r="AH721" s="662"/>
      <c r="AI721" s="663"/>
      <c r="AN721" s="542"/>
      <c r="AO721" s="824" t="str">
        <f t="shared" si="107"/>
        <v>Yes</v>
      </c>
      <c r="AP721" s="259" t="str">
        <f t="shared" si="108"/>
        <v>APR 21</v>
      </c>
      <c r="AQ721" s="542" t="str">
        <f t="shared" si="109"/>
        <v>有定金+有預留客戶</v>
      </c>
      <c r="AR721" s="259" t="str">
        <f t="shared" si="110"/>
        <v>Shipped_Stock</v>
      </c>
      <c r="AS721" s="259" t="str">
        <f t="shared" si="111"/>
        <v/>
      </c>
      <c r="AT721" s="259" t="str">
        <f t="shared" si="112"/>
        <v>赛美达</v>
      </c>
      <c r="AU721" s="259" t="str">
        <f t="shared" si="113"/>
        <v>C49SZX20210038SX</v>
      </c>
      <c r="AV721" s="259" t="str">
        <f t="shared" si="114"/>
        <v>Mar-01</v>
      </c>
    </row>
    <row r="722" spans="1:48" hidden="1">
      <c r="A722" s="559">
        <v>874</v>
      </c>
      <c r="B722" s="664" t="s">
        <v>1125</v>
      </c>
      <c r="C722" s="664" t="s">
        <v>15</v>
      </c>
      <c r="D722" s="645" t="s">
        <v>1483</v>
      </c>
      <c r="E722" s="563" t="s">
        <v>886</v>
      </c>
      <c r="F722" s="647" t="s">
        <v>241</v>
      </c>
      <c r="G722" s="647" t="s">
        <v>18</v>
      </c>
      <c r="H722" s="647" t="s">
        <v>26</v>
      </c>
      <c r="I722" s="575" t="s">
        <v>1484</v>
      </c>
      <c r="J722" s="575">
        <v>1</v>
      </c>
      <c r="K722" s="647" t="s">
        <v>78</v>
      </c>
      <c r="L722" s="734">
        <v>44259</v>
      </c>
      <c r="M722" s="665">
        <v>6.3200000000000006E-2</v>
      </c>
      <c r="N722" s="647" t="s">
        <v>28</v>
      </c>
      <c r="O722" s="575"/>
      <c r="P722" s="566" t="str">
        <f>VLOOKUP(A722,'[1]Raw data'!$B:$BB,23,FALSE)</f>
        <v>JPY</v>
      </c>
      <c r="Q722" s="563" t="str">
        <f>VLOOKUP(A722,'[1]Raw data'!$B:$Z,2,FALSE)</f>
        <v>C49SZX20200181SX</v>
      </c>
      <c r="R722" s="563" t="str">
        <f>VLOOKUP(A722,'[1]Raw data'!$B:$Z,3,FALSE)</f>
        <v>东陆</v>
      </c>
      <c r="S722" s="563" t="str">
        <f>VLOOKUP(A722,'[1]Raw data'!$B:$Z,4,FALSE)</f>
        <v>YSM10</v>
      </c>
      <c r="T722" s="563" t="str">
        <f>VLOOKUP(A722,'[1]Raw data'!$B:$Z,8,FALSE)</f>
        <v>L-&gt;R</v>
      </c>
      <c r="U722" s="563" t="str">
        <f>VLOOKUP(A722,'[1]Raw data'!$B:$Z,9,FALSE)</f>
        <v>No</v>
      </c>
      <c r="V722" s="567" t="str">
        <f t="shared" si="103"/>
        <v>WRONG</v>
      </c>
      <c r="W722" s="563" t="str">
        <f>VLOOKUP(A722,'[1]Raw data'!$B:$AG,32,FALSE)</f>
        <v>DAP SZ</v>
      </c>
      <c r="X722" s="563">
        <f>VLOOKUP(A722,'[1]Raw data'!$B:$BA,31,FALSE)</f>
        <v>44104</v>
      </c>
      <c r="Y722" s="563" t="str">
        <f>VLOOKUP(A722,'[1]Raw data'!$B:$AS,39,FALSE)</f>
        <v>Yes</v>
      </c>
      <c r="Z722" s="666"/>
      <c r="AA722" s="667"/>
      <c r="AB722" s="668"/>
      <c r="AC722" s="647" t="s">
        <v>575</v>
      </c>
      <c r="AD722" s="662">
        <v>301</v>
      </c>
      <c r="AE722" s="662">
        <v>10</v>
      </c>
      <c r="AF722" s="662"/>
      <c r="AG722" s="662"/>
      <c r="AH722" s="662"/>
      <c r="AI722" s="663"/>
      <c r="AN722" s="542"/>
      <c r="AO722" s="824" t="str">
        <f t="shared" si="107"/>
        <v>Yes</v>
      </c>
      <c r="AP722" s="259" t="str">
        <f t="shared" si="108"/>
        <v>MAR 21</v>
      </c>
      <c r="AQ722" s="542" t="str">
        <f t="shared" si="109"/>
        <v>有定金+有預留客戶</v>
      </c>
      <c r="AR722" s="259" t="str">
        <f t="shared" si="110"/>
        <v>Shipped_Stock</v>
      </c>
      <c r="AS722" s="259" t="str">
        <f t="shared" si="111"/>
        <v/>
      </c>
      <c r="AT722" s="259" t="str">
        <f t="shared" si="112"/>
        <v>东陆</v>
      </c>
      <c r="AU722" s="259" t="str">
        <f t="shared" si="113"/>
        <v>C49SZX20200181SX</v>
      </c>
      <c r="AV722" s="259" t="str">
        <f t="shared" si="114"/>
        <v>Mar-04</v>
      </c>
    </row>
    <row r="723" spans="1:48" hidden="1">
      <c r="A723" s="559">
        <v>875</v>
      </c>
      <c r="B723" s="664" t="s">
        <v>1125</v>
      </c>
      <c r="C723" s="664" t="s">
        <v>15</v>
      </c>
      <c r="D723" s="645" t="s">
        <v>1483</v>
      </c>
      <c r="E723" s="563" t="s">
        <v>886</v>
      </c>
      <c r="F723" s="647" t="s">
        <v>241</v>
      </c>
      <c r="G723" s="647" t="s">
        <v>18</v>
      </c>
      <c r="H723" s="647" t="s">
        <v>26</v>
      </c>
      <c r="I723" s="575" t="s">
        <v>1485</v>
      </c>
      <c r="J723" s="575">
        <v>1</v>
      </c>
      <c r="K723" s="647" t="s">
        <v>78</v>
      </c>
      <c r="L723" s="734">
        <v>44259</v>
      </c>
      <c r="M723" s="665">
        <v>6.3200000000000006E-2</v>
      </c>
      <c r="N723" s="647" t="s">
        <v>28</v>
      </c>
      <c r="O723" s="575"/>
      <c r="P723" s="566" t="str">
        <f>VLOOKUP(A723,'[1]Raw data'!$B:$BB,23,FALSE)</f>
        <v>JPY</v>
      </c>
      <c r="Q723" s="563" t="str">
        <f>VLOOKUP(A723,'[1]Raw data'!$B:$Z,2,FALSE)</f>
        <v>C49SZX20200181SX</v>
      </c>
      <c r="R723" s="563" t="str">
        <f>VLOOKUP(A723,'[1]Raw data'!$B:$Z,3,FALSE)</f>
        <v>东陆</v>
      </c>
      <c r="S723" s="563" t="str">
        <f>VLOOKUP(A723,'[1]Raw data'!$B:$Z,4,FALSE)</f>
        <v>YSM10</v>
      </c>
      <c r="T723" s="563" t="str">
        <f>VLOOKUP(A723,'[1]Raw data'!$B:$Z,8,FALSE)</f>
        <v>L-&gt;R</v>
      </c>
      <c r="U723" s="563" t="str">
        <f>VLOOKUP(A723,'[1]Raw data'!$B:$Z,9,FALSE)</f>
        <v>No</v>
      </c>
      <c r="V723" s="567" t="str">
        <f t="shared" si="103"/>
        <v>WRONG</v>
      </c>
      <c r="W723" s="563" t="str">
        <f>VLOOKUP(A723,'[1]Raw data'!$B:$AG,32,FALSE)</f>
        <v>DAP SZ</v>
      </c>
      <c r="X723" s="563">
        <f>VLOOKUP(A723,'[1]Raw data'!$B:$BA,31,FALSE)</f>
        <v>44104</v>
      </c>
      <c r="Y723" s="563" t="str">
        <f>VLOOKUP(A723,'[1]Raw data'!$B:$AS,39,FALSE)</f>
        <v>Yes</v>
      </c>
      <c r="Z723" s="666"/>
      <c r="AA723" s="667"/>
      <c r="AB723" s="668"/>
      <c r="AC723" s="647" t="s">
        <v>575</v>
      </c>
      <c r="AD723" s="662">
        <v>301</v>
      </c>
      <c r="AE723" s="662">
        <v>10</v>
      </c>
      <c r="AF723" s="662"/>
      <c r="AG723" s="662"/>
      <c r="AH723" s="662"/>
      <c r="AI723" s="663"/>
      <c r="AN723" s="542"/>
      <c r="AO723" s="824" t="str">
        <f t="shared" si="107"/>
        <v>Yes</v>
      </c>
      <c r="AP723" s="259" t="str">
        <f t="shared" si="108"/>
        <v>MAR 21</v>
      </c>
      <c r="AQ723" s="542" t="str">
        <f t="shared" si="109"/>
        <v>有定金+有預留客戶</v>
      </c>
      <c r="AR723" s="259" t="str">
        <f t="shared" si="110"/>
        <v>Shipped_Stock</v>
      </c>
      <c r="AS723" s="259" t="str">
        <f t="shared" si="111"/>
        <v/>
      </c>
      <c r="AT723" s="259" t="str">
        <f t="shared" si="112"/>
        <v>东陆</v>
      </c>
      <c r="AU723" s="259" t="str">
        <f t="shared" si="113"/>
        <v>C49SZX20200181SX</v>
      </c>
      <c r="AV723" s="259" t="str">
        <f t="shared" si="114"/>
        <v>Mar-04</v>
      </c>
    </row>
    <row r="724" spans="1:48" hidden="1">
      <c r="A724" s="559">
        <v>981</v>
      </c>
      <c r="B724" s="664" t="s">
        <v>1125</v>
      </c>
      <c r="C724" s="664" t="s">
        <v>15</v>
      </c>
      <c r="D724" s="645">
        <v>110151</v>
      </c>
      <c r="E724" s="563" t="s">
        <v>886</v>
      </c>
      <c r="F724" s="647" t="s">
        <v>241</v>
      </c>
      <c r="G724" s="647" t="s">
        <v>18</v>
      </c>
      <c r="H724" s="647" t="s">
        <v>26</v>
      </c>
      <c r="I724" s="575" t="s">
        <v>1486</v>
      </c>
      <c r="J724" s="575">
        <v>1</v>
      </c>
      <c r="K724" s="647" t="s">
        <v>78</v>
      </c>
      <c r="L724" s="734">
        <v>44259</v>
      </c>
      <c r="M724" s="665" t="s">
        <v>906</v>
      </c>
      <c r="N724" s="647" t="s">
        <v>28</v>
      </c>
      <c r="O724" s="575"/>
      <c r="P724" s="566" t="str">
        <f>VLOOKUP(A724,'[1]Raw data'!$B:$BB,23,FALSE)</f>
        <v>JPY</v>
      </c>
      <c r="Q724" s="563" t="str">
        <f>VLOOKUP(A724,'[1]Raw data'!$B:$Z,2,FALSE)</f>
        <v>C49SZX20200228JZ</v>
      </c>
      <c r="R724" s="563" t="str">
        <f>VLOOKUP(A724,'[1]Raw data'!$B:$Z,3,FALSE)</f>
        <v>新明海</v>
      </c>
      <c r="S724" s="563" t="str">
        <f>VLOOKUP(A724,'[1]Raw data'!$B:$Z,4,FALSE)</f>
        <v>YSM10</v>
      </c>
      <c r="T724" s="563" t="str">
        <f>VLOOKUP(A724,'[1]Raw data'!$B:$Z,8,FALSE)</f>
        <v>R-&gt;L</v>
      </c>
      <c r="U724" s="563" t="str">
        <f>VLOOKUP(A724,'[1]Raw data'!$B:$Z,9,FALSE)</f>
        <v>MVC</v>
      </c>
      <c r="V724" s="567" t="str">
        <f t="shared" si="103"/>
        <v>WRONG</v>
      </c>
      <c r="W724" s="563" t="str">
        <f>VLOOKUP(A724,'[1]Raw data'!$B:$AG,32,FALSE)</f>
        <v>DAP HZ</v>
      </c>
      <c r="X724" s="563">
        <f>VLOOKUP(A724,'[1]Raw data'!$B:$BA,31,FALSE)</f>
        <v>44161</v>
      </c>
      <c r="Y724" s="563" t="str">
        <f>VLOOKUP(A724,'[1]Raw data'!$B:$AS,39,FALSE)</f>
        <v>Yes</v>
      </c>
      <c r="Z724" s="666"/>
      <c r="AA724" s="667"/>
      <c r="AB724" s="668"/>
      <c r="AC724" s="563" t="s">
        <v>834</v>
      </c>
      <c r="AD724" s="662">
        <v>301</v>
      </c>
      <c r="AE724" s="662">
        <v>10</v>
      </c>
      <c r="AF724" s="662"/>
      <c r="AG724" s="662"/>
      <c r="AH724" s="662"/>
      <c r="AI724" s="663"/>
      <c r="AN724" s="542"/>
      <c r="AO724" s="824" t="str">
        <f t="shared" si="107"/>
        <v>Yes</v>
      </c>
      <c r="AP724" s="259" t="str">
        <f t="shared" si="108"/>
        <v>MAR 21</v>
      </c>
      <c r="AQ724" s="542" t="str">
        <f t="shared" si="109"/>
        <v>有定金+有預留客戶</v>
      </c>
      <c r="AR724" s="259" t="str">
        <f t="shared" si="110"/>
        <v>Shipped_Stock</v>
      </c>
      <c r="AS724" s="259" t="str">
        <f t="shared" si="111"/>
        <v/>
      </c>
      <c r="AT724" s="259" t="str">
        <f t="shared" si="112"/>
        <v>新明海</v>
      </c>
      <c r="AU724" s="259" t="str">
        <f t="shared" si="113"/>
        <v>C49SZX20200228JZ</v>
      </c>
      <c r="AV724" s="259" t="str">
        <f t="shared" si="114"/>
        <v>Mar-04</v>
      </c>
    </row>
    <row r="725" spans="1:48" hidden="1">
      <c r="A725" s="559">
        <v>937</v>
      </c>
      <c r="B725" s="664" t="s">
        <v>1125</v>
      </c>
      <c r="C725" s="664" t="s">
        <v>15</v>
      </c>
      <c r="D725" s="645">
        <v>110151</v>
      </c>
      <c r="E725" s="563" t="s">
        <v>886</v>
      </c>
      <c r="F725" s="647" t="s">
        <v>241</v>
      </c>
      <c r="G725" s="647" t="s">
        <v>18</v>
      </c>
      <c r="H725" s="647" t="s">
        <v>26</v>
      </c>
      <c r="I725" s="575" t="s">
        <v>1487</v>
      </c>
      <c r="J725" s="575">
        <v>1</v>
      </c>
      <c r="K725" s="647" t="s">
        <v>78</v>
      </c>
      <c r="L725" s="734">
        <v>44259</v>
      </c>
      <c r="M725" s="665" t="s">
        <v>906</v>
      </c>
      <c r="N725" s="647" t="s">
        <v>28</v>
      </c>
      <c r="O725" s="575"/>
      <c r="P725" s="566" t="str">
        <f>VLOOKUP(A725,'[1]Raw data'!$B:$BB,23,FALSE)</f>
        <v>JPY</v>
      </c>
      <c r="Q725" s="563" t="str">
        <f>VLOOKUP(A725,'[1]Raw data'!$B:$Z,2,FALSE)</f>
        <v>C49SZX20200212SX</v>
      </c>
      <c r="R725" s="563" t="str">
        <f>VLOOKUP(A725,'[1]Raw data'!$B:$Z,3,FALSE)</f>
        <v>博科通</v>
      </c>
      <c r="S725" s="563" t="str">
        <f>VLOOKUP(A725,'[1]Raw data'!$B:$Z,4,FALSE)</f>
        <v>YSM10</v>
      </c>
      <c r="T725" s="563" t="str">
        <f>VLOOKUP(A725,'[1]Raw data'!$B:$Z,8,FALSE)</f>
        <v>L-&gt;R</v>
      </c>
      <c r="U725" s="563" t="str">
        <f>VLOOKUP(A725,'[1]Raw data'!$B:$Z,9,FALSE)</f>
        <v>MVC+ANC</v>
      </c>
      <c r="V725" s="567" t="str">
        <f t="shared" si="103"/>
        <v>WRONG</v>
      </c>
      <c r="W725" s="563" t="str">
        <f>VLOOKUP(A725,'[1]Raw data'!$B:$AG,32,FALSE)</f>
        <v>DAP BJ</v>
      </c>
      <c r="X725" s="563">
        <f>VLOOKUP(A725,'[1]Raw data'!$B:$BA,31,FALSE)</f>
        <v>44149</v>
      </c>
      <c r="Y725" s="563" t="str">
        <f>VLOOKUP(A725,'[1]Raw data'!$B:$AS,39,FALSE)</f>
        <v>Yes</v>
      </c>
      <c r="Z725" s="666"/>
      <c r="AA725" s="667"/>
      <c r="AB725" s="668"/>
      <c r="AC725" s="563" t="s">
        <v>1488</v>
      </c>
      <c r="AD725" s="662">
        <v>301</v>
      </c>
      <c r="AE725" s="662">
        <v>10</v>
      </c>
      <c r="AF725" s="662"/>
      <c r="AG725" s="662"/>
      <c r="AH725" s="662"/>
      <c r="AI725" s="663"/>
      <c r="AN725" s="542"/>
      <c r="AO725" s="824" t="str">
        <f t="shared" si="107"/>
        <v>Yes</v>
      </c>
      <c r="AP725" s="259" t="str">
        <f t="shared" si="108"/>
        <v>MAR 21</v>
      </c>
      <c r="AQ725" s="542" t="str">
        <f t="shared" si="109"/>
        <v>有定金+有預留客戶</v>
      </c>
      <c r="AR725" s="259" t="str">
        <f t="shared" si="110"/>
        <v>Shipped_Stock</v>
      </c>
      <c r="AS725" s="259" t="str">
        <f t="shared" si="111"/>
        <v/>
      </c>
      <c r="AT725" s="259" t="str">
        <f t="shared" si="112"/>
        <v>博科通</v>
      </c>
      <c r="AU725" s="259" t="str">
        <f t="shared" si="113"/>
        <v>C49SZX20200212SX</v>
      </c>
      <c r="AV725" s="259" t="str">
        <f t="shared" si="114"/>
        <v>Mar-04</v>
      </c>
    </row>
    <row r="726" spans="1:48" hidden="1">
      <c r="A726" s="559">
        <v>1016</v>
      </c>
      <c r="B726" s="664" t="s">
        <v>1125</v>
      </c>
      <c r="C726" s="664" t="s">
        <v>15</v>
      </c>
      <c r="D726" s="645">
        <v>110151</v>
      </c>
      <c r="E726" s="563" t="s">
        <v>886</v>
      </c>
      <c r="F726" s="647" t="s">
        <v>241</v>
      </c>
      <c r="G726" s="647" t="s">
        <v>18</v>
      </c>
      <c r="H726" s="647" t="s">
        <v>19</v>
      </c>
      <c r="I726" s="575" t="s">
        <v>1489</v>
      </c>
      <c r="J726" s="575">
        <v>1</v>
      </c>
      <c r="K726" s="647" t="s">
        <v>78</v>
      </c>
      <c r="L726" s="734">
        <v>44259</v>
      </c>
      <c r="M726" s="665" t="s">
        <v>906</v>
      </c>
      <c r="N726" s="647" t="s">
        <v>28</v>
      </c>
      <c r="O726" s="575"/>
      <c r="P726" s="566" t="str">
        <f>VLOOKUP(A726,'[1]Raw data'!$B:$BB,23,FALSE)</f>
        <v>JPY</v>
      </c>
      <c r="Q726" s="563" t="str">
        <f>VLOOKUP(A726,'[1]Raw data'!$B:$Z,2,FALSE)</f>
        <v>C49SZX20200239JL</v>
      </c>
      <c r="R726" s="563" t="str">
        <f>VLOOKUP(A726,'[1]Raw data'!$B:$Z,3,FALSE)</f>
        <v>博实结</v>
      </c>
      <c r="S726" s="563" t="str">
        <f>VLOOKUP(A726,'[1]Raw data'!$B:$Z,4,FALSE)</f>
        <v>YSM10</v>
      </c>
      <c r="T726" s="563" t="str">
        <f>VLOOKUP(A726,'[1]Raw data'!$B:$Z,8,FALSE)</f>
        <v>L-&gt;R</v>
      </c>
      <c r="U726" s="563" t="str">
        <f>VLOOKUP(A726,'[1]Raw data'!$B:$Z,9,FALSE)</f>
        <v>MVC+ATS15</v>
      </c>
      <c r="V726" s="567" t="str">
        <f t="shared" si="103"/>
        <v>WRONG</v>
      </c>
      <c r="W726" s="563" t="str">
        <f>VLOOKUP(A726,'[1]Raw data'!$B:$AG,32,FALSE)</f>
        <v>CIF HK</v>
      </c>
      <c r="X726" s="563">
        <f>VLOOKUP(A726,'[1]Raw data'!$B:$BA,31,FALSE)</f>
        <v>44174</v>
      </c>
      <c r="Y726" s="563" t="str">
        <f>VLOOKUP(A726,'[1]Raw data'!$B:$AS,39,FALSE)</f>
        <v>Yes</v>
      </c>
      <c r="Z726" s="659"/>
      <c r="AA726" s="660"/>
      <c r="AB726" s="661"/>
      <c r="AC726" s="563" t="s">
        <v>1424</v>
      </c>
      <c r="AD726" s="662">
        <v>301</v>
      </c>
      <c r="AE726" s="662">
        <v>10</v>
      </c>
      <c r="AF726" s="662"/>
      <c r="AG726" s="662"/>
      <c r="AH726" s="662"/>
      <c r="AI726" s="663"/>
      <c r="AN726" s="542"/>
      <c r="AO726" s="824" t="str">
        <f t="shared" si="107"/>
        <v>Yes</v>
      </c>
      <c r="AP726" s="259" t="str">
        <f t="shared" si="108"/>
        <v>MAR 21</v>
      </c>
      <c r="AQ726" s="542" t="str">
        <f t="shared" si="109"/>
        <v>有定金+有預留客戶</v>
      </c>
      <c r="AR726" s="259" t="str">
        <f t="shared" si="110"/>
        <v>Shipped_Stock</v>
      </c>
      <c r="AS726" s="259" t="str">
        <f t="shared" si="111"/>
        <v/>
      </c>
      <c r="AT726" s="259" t="str">
        <f t="shared" si="112"/>
        <v>博实结</v>
      </c>
      <c r="AU726" s="259" t="str">
        <f t="shared" si="113"/>
        <v>C49SZX20200239JL</v>
      </c>
      <c r="AV726" s="259" t="str">
        <f t="shared" si="114"/>
        <v>Mar-04</v>
      </c>
    </row>
    <row r="727" spans="1:48" hidden="1">
      <c r="A727" s="559">
        <v>984</v>
      </c>
      <c r="B727" s="664" t="s">
        <v>1125</v>
      </c>
      <c r="C727" s="664" t="s">
        <v>281</v>
      </c>
      <c r="D727" s="645">
        <v>110237</v>
      </c>
      <c r="E727" s="563" t="s">
        <v>1490</v>
      </c>
      <c r="F727" s="647" t="s">
        <v>17</v>
      </c>
      <c r="G727" s="647" t="s">
        <v>18</v>
      </c>
      <c r="H727" s="647" t="s">
        <v>27</v>
      </c>
      <c r="I727" s="575" t="s">
        <v>1491</v>
      </c>
      <c r="J727" s="575">
        <v>1</v>
      </c>
      <c r="K727" s="647" t="s">
        <v>78</v>
      </c>
      <c r="L727" s="734">
        <v>44259</v>
      </c>
      <c r="M727" s="665" t="s">
        <v>906</v>
      </c>
      <c r="N727" s="647" t="s">
        <v>28</v>
      </c>
      <c r="O727" s="575"/>
      <c r="P727" s="566" t="str">
        <f>VLOOKUP(A727,'[1]Raw data'!$B:$BB,23,FALSE)</f>
        <v>JPY</v>
      </c>
      <c r="Q727" s="563" t="str">
        <f>VLOOKUP(A727,'[1]Raw data'!$B:$Z,2,FALSE)</f>
        <v>C49SZX20200231SX</v>
      </c>
      <c r="R727" s="563" t="str">
        <f>VLOOKUP(A727,'[1]Raw data'!$B:$Z,3,FALSE)</f>
        <v>可祁</v>
      </c>
      <c r="S727" s="563" t="str">
        <f>VLOOKUP(A727,'[1]Raw data'!$B:$Z,4,FALSE)</f>
        <v>YSM10</v>
      </c>
      <c r="T727" s="563" t="str">
        <f>VLOOKUP(A727,'[1]Raw data'!$B:$Z,8,FALSE)</f>
        <v>L-&gt;R</v>
      </c>
      <c r="U727" s="563" t="str">
        <f>VLOOKUP(A727,'[1]Raw data'!$B:$Z,9,FALSE)</f>
        <v>MVC</v>
      </c>
      <c r="V727" s="567" t="str">
        <f t="shared" ref="V727:V739" si="117">IF(G727&amp;H727=T727&amp;U727,"OK","WRONG")</f>
        <v>WRONG</v>
      </c>
      <c r="W727" s="563" t="str">
        <f>VLOOKUP(A727,'[1]Raw data'!$B:$AG,32,FALSE)</f>
        <v>DAP SZ</v>
      </c>
      <c r="X727" s="563">
        <f>VLOOKUP(A727,'[1]Raw data'!$B:$BA,31,FALSE)</f>
        <v>44165</v>
      </c>
      <c r="Y727" s="563" t="str">
        <f>VLOOKUP(A727,'[1]Raw data'!$B:$AS,39,FALSE)</f>
        <v>Yes</v>
      </c>
      <c r="Z727" s="666"/>
      <c r="AA727" s="667"/>
      <c r="AB727" s="668"/>
      <c r="AC727" s="563" t="s">
        <v>1492</v>
      </c>
      <c r="AD727" s="662">
        <v>301</v>
      </c>
      <c r="AE727" s="662">
        <v>10</v>
      </c>
      <c r="AF727" s="662"/>
      <c r="AG727" s="662"/>
      <c r="AH727" s="662"/>
      <c r="AI727" s="663"/>
      <c r="AN727" s="542"/>
      <c r="AO727" s="824" t="str">
        <f t="shared" si="107"/>
        <v>Yes</v>
      </c>
      <c r="AP727" s="259" t="str">
        <f t="shared" si="108"/>
        <v>MAR 21</v>
      </c>
      <c r="AQ727" s="542" t="str">
        <f t="shared" si="109"/>
        <v>有定金+有預留客戶</v>
      </c>
      <c r="AR727" s="259" t="str">
        <f t="shared" si="110"/>
        <v>Shipped_Stock</v>
      </c>
      <c r="AS727" s="259" t="str">
        <f t="shared" si="111"/>
        <v/>
      </c>
      <c r="AT727" s="259" t="str">
        <f t="shared" si="112"/>
        <v>可祁</v>
      </c>
      <c r="AU727" s="259" t="str">
        <f t="shared" si="113"/>
        <v>C49SZX20200231SX</v>
      </c>
      <c r="AV727" s="259" t="str">
        <f t="shared" si="114"/>
        <v>Mar-04</v>
      </c>
    </row>
    <row r="728" spans="1:48" hidden="1">
      <c r="A728" s="559">
        <v>985</v>
      </c>
      <c r="B728" s="664" t="s">
        <v>1125</v>
      </c>
      <c r="C728" s="664" t="s">
        <v>281</v>
      </c>
      <c r="D728" s="645">
        <v>110237</v>
      </c>
      <c r="E728" s="563" t="s">
        <v>1490</v>
      </c>
      <c r="F728" s="647" t="s">
        <v>17</v>
      </c>
      <c r="G728" s="647" t="s">
        <v>18</v>
      </c>
      <c r="H728" s="647" t="s">
        <v>27</v>
      </c>
      <c r="I728" s="575" t="s">
        <v>1493</v>
      </c>
      <c r="J728" s="575">
        <v>1</v>
      </c>
      <c r="K728" s="647" t="s">
        <v>78</v>
      </c>
      <c r="L728" s="734">
        <v>44259</v>
      </c>
      <c r="M728" s="665" t="s">
        <v>906</v>
      </c>
      <c r="N728" s="647" t="s">
        <v>28</v>
      </c>
      <c r="O728" s="575"/>
      <c r="P728" s="566" t="str">
        <f>VLOOKUP(A728,'[1]Raw data'!$B:$BB,23,FALSE)</f>
        <v>JPY</v>
      </c>
      <c r="Q728" s="563" t="str">
        <f>VLOOKUP(A728,'[1]Raw data'!$B:$Z,2,FALSE)</f>
        <v>C49SZX20200231SX</v>
      </c>
      <c r="R728" s="563" t="str">
        <f>VLOOKUP(A728,'[1]Raw data'!$B:$Z,3,FALSE)</f>
        <v>可祁</v>
      </c>
      <c r="S728" s="563" t="str">
        <f>VLOOKUP(A728,'[1]Raw data'!$B:$Z,4,FALSE)</f>
        <v>YSM10</v>
      </c>
      <c r="T728" s="563" t="str">
        <f>VLOOKUP(A728,'[1]Raw data'!$B:$Z,8,FALSE)</f>
        <v>L-&gt;R</v>
      </c>
      <c r="U728" s="563" t="str">
        <f>VLOOKUP(A728,'[1]Raw data'!$B:$Z,9,FALSE)</f>
        <v>MVC</v>
      </c>
      <c r="V728" s="567" t="str">
        <f t="shared" si="117"/>
        <v>WRONG</v>
      </c>
      <c r="W728" s="563" t="str">
        <f>VLOOKUP(A728,'[1]Raw data'!$B:$AG,32,FALSE)</f>
        <v>DAP SZ</v>
      </c>
      <c r="X728" s="563">
        <f>VLOOKUP(A728,'[1]Raw data'!$B:$BA,31,FALSE)</f>
        <v>44165</v>
      </c>
      <c r="Y728" s="563" t="str">
        <f>VLOOKUP(A728,'[1]Raw data'!$B:$AS,39,FALSE)</f>
        <v>Yes</v>
      </c>
      <c r="Z728" s="666"/>
      <c r="AA728" s="667"/>
      <c r="AB728" s="668"/>
      <c r="AC728" s="563" t="s">
        <v>1492</v>
      </c>
      <c r="AD728" s="662">
        <v>301</v>
      </c>
      <c r="AE728" s="662">
        <v>10</v>
      </c>
      <c r="AF728" s="662"/>
      <c r="AG728" s="662"/>
      <c r="AH728" s="662"/>
      <c r="AI728" s="663"/>
      <c r="AN728" s="542"/>
      <c r="AO728" s="824" t="str">
        <f t="shared" si="107"/>
        <v>Yes</v>
      </c>
      <c r="AP728" s="259" t="str">
        <f t="shared" si="108"/>
        <v>MAR 21</v>
      </c>
      <c r="AQ728" s="542" t="str">
        <f t="shared" si="109"/>
        <v>有定金+有預留客戶</v>
      </c>
      <c r="AR728" s="259" t="str">
        <f t="shared" si="110"/>
        <v>Shipped_Stock</v>
      </c>
      <c r="AS728" s="259" t="str">
        <f t="shared" si="111"/>
        <v/>
      </c>
      <c r="AT728" s="259" t="str">
        <f t="shared" si="112"/>
        <v>可祁</v>
      </c>
      <c r="AU728" s="259" t="str">
        <f t="shared" si="113"/>
        <v>C49SZX20200231SX</v>
      </c>
      <c r="AV728" s="259" t="str">
        <f t="shared" si="114"/>
        <v>Mar-04</v>
      </c>
    </row>
    <row r="729" spans="1:48" hidden="1">
      <c r="A729" s="559">
        <v>1031</v>
      </c>
      <c r="B729" s="664" t="s">
        <v>1125</v>
      </c>
      <c r="C729" s="664" t="s">
        <v>281</v>
      </c>
      <c r="D729" s="645">
        <v>110237</v>
      </c>
      <c r="E729" s="563" t="s">
        <v>1490</v>
      </c>
      <c r="F729" s="647" t="s">
        <v>17</v>
      </c>
      <c r="G729" s="647" t="s">
        <v>18</v>
      </c>
      <c r="H729" s="647" t="s">
        <v>34</v>
      </c>
      <c r="I729" s="575" t="s">
        <v>1494</v>
      </c>
      <c r="J729" s="575">
        <v>1</v>
      </c>
      <c r="K729" s="647" t="s">
        <v>78</v>
      </c>
      <c r="L729" s="734">
        <v>44259</v>
      </c>
      <c r="M729" s="665" t="s">
        <v>906</v>
      </c>
      <c r="N729" s="647" t="s">
        <v>28</v>
      </c>
      <c r="O729" s="575"/>
      <c r="P729" s="566" t="str">
        <f>VLOOKUP(A729,'[1]Raw data'!$B:$BB,23,FALSE)</f>
        <v>JPY</v>
      </c>
      <c r="Q729" s="563" t="str">
        <f>VLOOKUP(A729,'[1]Raw data'!$B:$Z,2,FALSE)</f>
        <v>C49SZX20200243DZ</v>
      </c>
      <c r="R729" s="563" t="str">
        <f>VLOOKUP(A729,'[1]Raw data'!$B:$Z,3,FALSE)</f>
        <v>朗特</v>
      </c>
      <c r="S729" s="563" t="str">
        <f>VLOOKUP(A729,'[1]Raw data'!$B:$Z,4,FALSE)</f>
        <v>YSM10</v>
      </c>
      <c r="T729" s="563" t="str">
        <f>VLOOKUP(A729,'[1]Raw data'!$B:$Z,8,FALSE)</f>
        <v>R-&gt;L</v>
      </c>
      <c r="U729" s="563" t="str">
        <f>VLOOKUP(A729,'[1]Raw data'!$B:$Z,9,FALSE)</f>
        <v>MVC+ATS15</v>
      </c>
      <c r="V729" s="567" t="str">
        <f t="shared" si="117"/>
        <v>OK</v>
      </c>
      <c r="W729" s="563" t="str">
        <f>VLOOKUP(A729,'[1]Raw data'!$B:$AG,32,FALSE)</f>
        <v>CIF HK</v>
      </c>
      <c r="X729" s="563">
        <f>VLOOKUP(A729,'[1]Raw data'!$B:$BA,31,FALSE)</f>
        <v>44182</v>
      </c>
      <c r="Y729" s="563" t="str">
        <f>VLOOKUP(A729,'[1]Raw data'!$B:$AS,39,FALSE)</f>
        <v>Yes</v>
      </c>
      <c r="Z729" s="659"/>
      <c r="AA729" s="660"/>
      <c r="AB729" s="661"/>
      <c r="AC729" s="563" t="s">
        <v>1463</v>
      </c>
      <c r="AD729" s="662">
        <v>311</v>
      </c>
      <c r="AE729" s="662">
        <v>10</v>
      </c>
      <c r="AF729" s="662"/>
      <c r="AG729" s="662"/>
      <c r="AH729" s="662"/>
      <c r="AI729" s="663"/>
      <c r="AN729" s="542"/>
      <c r="AO729" s="824" t="str">
        <f t="shared" si="107"/>
        <v>Yes</v>
      </c>
      <c r="AP729" s="259" t="str">
        <f t="shared" si="108"/>
        <v>MAR 21</v>
      </c>
      <c r="AQ729" s="542" t="str">
        <f t="shared" si="109"/>
        <v>有定金+有預留客戶</v>
      </c>
      <c r="AR729" s="259" t="str">
        <f t="shared" si="110"/>
        <v>Shipped_Stock</v>
      </c>
      <c r="AS729" s="259" t="str">
        <f t="shared" si="111"/>
        <v/>
      </c>
      <c r="AT729" s="259" t="str">
        <f t="shared" si="112"/>
        <v>朗特</v>
      </c>
      <c r="AU729" s="259" t="str">
        <f t="shared" si="113"/>
        <v>C49SZX20200243DZ</v>
      </c>
      <c r="AV729" s="259" t="str">
        <f t="shared" si="114"/>
        <v>Mar-04</v>
      </c>
    </row>
    <row r="730" spans="1:48" hidden="1">
      <c r="A730" s="559">
        <v>1032</v>
      </c>
      <c r="B730" s="664" t="s">
        <v>1125</v>
      </c>
      <c r="C730" s="664" t="s">
        <v>281</v>
      </c>
      <c r="D730" s="645">
        <v>110237</v>
      </c>
      <c r="E730" s="563" t="s">
        <v>1490</v>
      </c>
      <c r="F730" s="647" t="s">
        <v>17</v>
      </c>
      <c r="G730" s="647" t="s">
        <v>18</v>
      </c>
      <c r="H730" s="647" t="s">
        <v>34</v>
      </c>
      <c r="I730" s="575" t="s">
        <v>1495</v>
      </c>
      <c r="J730" s="575">
        <v>1</v>
      </c>
      <c r="K730" s="647" t="s">
        <v>78</v>
      </c>
      <c r="L730" s="734">
        <v>44259</v>
      </c>
      <c r="M730" s="665" t="s">
        <v>906</v>
      </c>
      <c r="N730" s="647" t="s">
        <v>28</v>
      </c>
      <c r="O730" s="575"/>
      <c r="P730" s="566" t="str">
        <f>VLOOKUP(A730,'[1]Raw data'!$B:$BB,23,FALSE)</f>
        <v>JPY</v>
      </c>
      <c r="Q730" s="563" t="str">
        <f>VLOOKUP(A730,'[1]Raw data'!$B:$Z,2,FALSE)</f>
        <v>C49SZX20200243DZ</v>
      </c>
      <c r="R730" s="563" t="str">
        <f>VLOOKUP(A730,'[1]Raw data'!$B:$Z,3,FALSE)</f>
        <v>朗特</v>
      </c>
      <c r="S730" s="563" t="str">
        <f>VLOOKUP(A730,'[1]Raw data'!$B:$Z,4,FALSE)</f>
        <v>YSM10</v>
      </c>
      <c r="T730" s="563" t="str">
        <f>VLOOKUP(A730,'[1]Raw data'!$B:$Z,8,FALSE)</f>
        <v>R-&gt;L</v>
      </c>
      <c r="U730" s="563" t="str">
        <f>VLOOKUP(A730,'[1]Raw data'!$B:$Z,9,FALSE)</f>
        <v>MVC+ATS15</v>
      </c>
      <c r="V730" s="567" t="str">
        <f t="shared" si="117"/>
        <v>OK</v>
      </c>
      <c r="W730" s="563" t="str">
        <f>VLOOKUP(A730,'[1]Raw data'!$B:$AG,32,FALSE)</f>
        <v>CIF HK</v>
      </c>
      <c r="X730" s="563">
        <f>VLOOKUP(A730,'[1]Raw data'!$B:$BA,31,FALSE)</f>
        <v>44182</v>
      </c>
      <c r="Y730" s="563" t="str">
        <f>VLOOKUP(A730,'[1]Raw data'!$B:$AS,39,FALSE)</f>
        <v>Yes</v>
      </c>
      <c r="Z730" s="659"/>
      <c r="AA730" s="660"/>
      <c r="AB730" s="661"/>
      <c r="AC730" s="563" t="s">
        <v>1463</v>
      </c>
      <c r="AD730" s="662">
        <v>301</v>
      </c>
      <c r="AE730" s="662">
        <v>10</v>
      </c>
      <c r="AF730" s="662"/>
      <c r="AG730" s="662"/>
      <c r="AH730" s="662"/>
      <c r="AI730" s="663"/>
      <c r="AN730" s="542"/>
      <c r="AO730" s="824" t="str">
        <f t="shared" si="107"/>
        <v>Yes</v>
      </c>
      <c r="AP730" s="259" t="str">
        <f t="shared" si="108"/>
        <v>MAR 21</v>
      </c>
      <c r="AQ730" s="542" t="str">
        <f t="shared" si="109"/>
        <v>有定金+有預留客戶</v>
      </c>
      <c r="AR730" s="259" t="str">
        <f t="shared" si="110"/>
        <v>Shipped_Stock</v>
      </c>
      <c r="AS730" s="259" t="str">
        <f t="shared" si="111"/>
        <v/>
      </c>
      <c r="AT730" s="259" t="str">
        <f t="shared" si="112"/>
        <v>朗特</v>
      </c>
      <c r="AU730" s="259" t="str">
        <f t="shared" si="113"/>
        <v>C49SZX20200243DZ</v>
      </c>
      <c r="AV730" s="259" t="str">
        <f t="shared" si="114"/>
        <v>Mar-04</v>
      </c>
    </row>
    <row r="731" spans="1:48" hidden="1">
      <c r="A731" s="559">
        <v>1033</v>
      </c>
      <c r="B731" s="664" t="s">
        <v>1125</v>
      </c>
      <c r="C731" s="664" t="s">
        <v>281</v>
      </c>
      <c r="D731" s="645">
        <v>110237</v>
      </c>
      <c r="E731" s="563" t="s">
        <v>1490</v>
      </c>
      <c r="F731" s="647" t="s">
        <v>17</v>
      </c>
      <c r="G731" s="647" t="s">
        <v>18</v>
      </c>
      <c r="H731" s="647" t="s">
        <v>34</v>
      </c>
      <c r="I731" s="575" t="s">
        <v>1496</v>
      </c>
      <c r="J731" s="575">
        <v>1</v>
      </c>
      <c r="K731" s="647" t="s">
        <v>78</v>
      </c>
      <c r="L731" s="734">
        <v>44259</v>
      </c>
      <c r="M731" s="665" t="s">
        <v>906</v>
      </c>
      <c r="N731" s="647" t="s">
        <v>90</v>
      </c>
      <c r="O731" s="575"/>
      <c r="P731" s="566" t="str">
        <f>VLOOKUP(A731,'[1]Raw data'!$B:$BB,23,FALSE)</f>
        <v>JPY</v>
      </c>
      <c r="Q731" s="563" t="str">
        <f>VLOOKUP(A731,'[1]Raw data'!$B:$Z,2,FALSE)</f>
        <v>C49SZX20200243DZ</v>
      </c>
      <c r="R731" s="563" t="str">
        <f>VLOOKUP(A731,'[1]Raw data'!$B:$Z,3,FALSE)</f>
        <v>朗特</v>
      </c>
      <c r="S731" s="563" t="str">
        <f>VLOOKUP(A731,'[1]Raw data'!$B:$Z,4,FALSE)</f>
        <v>YSM10</v>
      </c>
      <c r="T731" s="563" t="str">
        <f>VLOOKUP(A731,'[1]Raw data'!$B:$Z,8,FALSE)</f>
        <v>R-&gt;L</v>
      </c>
      <c r="U731" s="563" t="str">
        <f>VLOOKUP(A731,'[1]Raw data'!$B:$Z,9,FALSE)</f>
        <v>MVC+ATS15</v>
      </c>
      <c r="V731" s="567" t="str">
        <f t="shared" si="117"/>
        <v>OK</v>
      </c>
      <c r="W731" s="563" t="str">
        <f>VLOOKUP(A731,'[1]Raw data'!$B:$AG,32,FALSE)</f>
        <v>CIF HK</v>
      </c>
      <c r="X731" s="563">
        <f>VLOOKUP(A731,'[1]Raw data'!$B:$BA,31,FALSE)</f>
        <v>44182</v>
      </c>
      <c r="Y731" s="563" t="str">
        <f>VLOOKUP(A731,'[1]Raw data'!$B:$AS,39,FALSE)</f>
        <v>Yes</v>
      </c>
      <c r="Z731" s="659"/>
      <c r="AA731" s="660"/>
      <c r="AB731" s="661"/>
      <c r="AC731" s="563" t="s">
        <v>1463</v>
      </c>
      <c r="AD731" s="662">
        <v>312</v>
      </c>
      <c r="AE731" s="662">
        <v>10</v>
      </c>
      <c r="AF731" s="662"/>
      <c r="AG731" s="662"/>
      <c r="AH731" s="662"/>
      <c r="AI731" s="663"/>
      <c r="AN731" s="542"/>
      <c r="AO731" s="824" t="str">
        <f t="shared" si="107"/>
        <v>Yes</v>
      </c>
      <c r="AP731" s="259" t="str">
        <f t="shared" si="108"/>
        <v>APR 21</v>
      </c>
      <c r="AQ731" s="542" t="str">
        <f t="shared" si="109"/>
        <v>有定金+有預留客戶</v>
      </c>
      <c r="AR731" s="259" t="str">
        <f t="shared" si="110"/>
        <v>Shipped_Stock</v>
      </c>
      <c r="AS731" s="259" t="str">
        <f t="shared" si="111"/>
        <v/>
      </c>
      <c r="AT731" s="259" t="str">
        <f t="shared" si="112"/>
        <v>朗特</v>
      </c>
      <c r="AU731" s="259" t="str">
        <f t="shared" si="113"/>
        <v>C49SZX20200243DZ</v>
      </c>
      <c r="AV731" s="259" t="str">
        <f t="shared" si="114"/>
        <v>Mar-04</v>
      </c>
    </row>
    <row r="732" spans="1:48" hidden="1">
      <c r="A732" s="559">
        <v>1019</v>
      </c>
      <c r="B732" s="664" t="s">
        <v>1125</v>
      </c>
      <c r="C732" s="664" t="s">
        <v>281</v>
      </c>
      <c r="D732" s="645">
        <v>110251</v>
      </c>
      <c r="E732" s="563" t="s">
        <v>886</v>
      </c>
      <c r="F732" s="647" t="s">
        <v>17</v>
      </c>
      <c r="G732" s="647" t="s">
        <v>18</v>
      </c>
      <c r="H732" s="647" t="s">
        <v>1217</v>
      </c>
      <c r="I732" s="575" t="s">
        <v>1497</v>
      </c>
      <c r="J732" s="575">
        <v>1</v>
      </c>
      <c r="K732" s="647" t="s">
        <v>78</v>
      </c>
      <c r="L732" s="675">
        <v>44259</v>
      </c>
      <c r="M732" s="665" t="s">
        <v>906</v>
      </c>
      <c r="N732" s="647" t="s">
        <v>28</v>
      </c>
      <c r="O732" s="575"/>
      <c r="P732" s="566" t="str">
        <f>VLOOKUP(A732,'[1]Raw data'!$B:$BB,23,FALSE)</f>
        <v>USD</v>
      </c>
      <c r="Q732" s="563" t="str">
        <f>VLOOKUP(A732,'[1]Raw data'!$B:$Z,2,FALSE)</f>
        <v>ZS202012031533</v>
      </c>
      <c r="R732" s="563" t="str">
        <f>VLOOKUP(A732,'[1]Raw data'!$B:$Z,3,FALSE)</f>
        <v>高伟</v>
      </c>
      <c r="S732" s="563" t="str">
        <f>VLOOKUP(A732,'[1]Raw data'!$B:$Z,4,FALSE)</f>
        <v>YSM10-HM5</v>
      </c>
      <c r="T732" s="563" t="str">
        <f>VLOOKUP(A732,'[1]Raw data'!$B:$Z,8,FALSE)</f>
        <v>L-&gt;R</v>
      </c>
      <c r="U732" s="563" t="str">
        <f>VLOOKUP(A732,'[1]Raw data'!$B:$Z,9,FALSE)</f>
        <v>MVC+ATS15</v>
      </c>
      <c r="V732" s="567" t="str">
        <f t="shared" si="117"/>
        <v>WRONG</v>
      </c>
      <c r="W732" s="563" t="str">
        <f>VLOOKUP(A732,'[1]Raw data'!$B:$AG,32,FALSE)</f>
        <v>CIF HK</v>
      </c>
      <c r="X732" s="563">
        <f>VLOOKUP(A732,'[1]Raw data'!$B:$BA,31,FALSE)</f>
        <v>44168</v>
      </c>
      <c r="Y732" s="563" t="str">
        <f>VLOOKUP(A732,'[1]Raw data'!$B:$AS,39,FALSE)</f>
        <v>Yes</v>
      </c>
      <c r="Z732" s="659"/>
      <c r="AA732" s="660"/>
      <c r="AB732" s="661"/>
      <c r="AC732" s="563" t="s">
        <v>1219</v>
      </c>
      <c r="AD732" s="662">
        <v>301</v>
      </c>
      <c r="AE732" s="662">
        <v>10</v>
      </c>
      <c r="AF732" s="662"/>
      <c r="AG732" s="662"/>
      <c r="AH732" s="662"/>
      <c r="AI732" s="663"/>
      <c r="AN732" s="542"/>
      <c r="AO732" s="824" t="str">
        <f t="shared" si="107"/>
        <v>Yes</v>
      </c>
      <c r="AP732" s="259" t="str">
        <f t="shared" si="108"/>
        <v>MAR 21</v>
      </c>
      <c r="AQ732" s="542" t="str">
        <f t="shared" si="109"/>
        <v>有定金+有預留客戶</v>
      </c>
      <c r="AR732" s="259" t="str">
        <f t="shared" si="110"/>
        <v>Shipped_Stock</v>
      </c>
      <c r="AS732" s="259" t="str">
        <f t="shared" si="111"/>
        <v/>
      </c>
      <c r="AT732" s="259" t="str">
        <f t="shared" si="112"/>
        <v>高伟</v>
      </c>
      <c r="AU732" s="259" t="str">
        <f t="shared" si="113"/>
        <v>ZS202012031533</v>
      </c>
      <c r="AV732" s="259" t="str">
        <f t="shared" si="114"/>
        <v>Mar-04</v>
      </c>
    </row>
    <row r="733" spans="1:48" hidden="1">
      <c r="A733" s="559">
        <v>980</v>
      </c>
      <c r="B733" s="664" t="s">
        <v>1125</v>
      </c>
      <c r="C733" s="664" t="s">
        <v>15</v>
      </c>
      <c r="D733" s="645">
        <v>110328</v>
      </c>
      <c r="E733" s="563" t="s">
        <v>886</v>
      </c>
      <c r="F733" s="647" t="s">
        <v>58</v>
      </c>
      <c r="G733" s="647" t="s">
        <v>18</v>
      </c>
      <c r="H733" s="647" t="s">
        <v>27</v>
      </c>
      <c r="I733" s="575" t="s">
        <v>1498</v>
      </c>
      <c r="J733" s="575">
        <v>1</v>
      </c>
      <c r="K733" s="647" t="s">
        <v>78</v>
      </c>
      <c r="L733" s="657">
        <v>44259</v>
      </c>
      <c r="M733" s="665" t="s">
        <v>906</v>
      </c>
      <c r="N733" s="647" t="s">
        <v>28</v>
      </c>
      <c r="O733" s="575"/>
      <c r="P733" s="566" t="str">
        <f>VLOOKUP(A733,'[1]Raw data'!$B:$BB,23,FALSE)</f>
        <v>JPY</v>
      </c>
      <c r="Q733" s="563" t="str">
        <f>VLOOKUP(A733,'[1]Raw data'!$B:$Z,2,FALSE)</f>
        <v>C49SZX20200228JZ</v>
      </c>
      <c r="R733" s="563" t="str">
        <f>VLOOKUP(A733,'[1]Raw data'!$B:$Z,3,FALSE)</f>
        <v>新明海</v>
      </c>
      <c r="S733" s="563" t="str">
        <f>VLOOKUP(A733,'[1]Raw data'!$B:$Z,4,FALSE)</f>
        <v>YSM20R-2</v>
      </c>
      <c r="T733" s="563" t="str">
        <f>VLOOKUP(A733,'[1]Raw data'!$B:$Z,8,FALSE)</f>
        <v>R-&gt;L</v>
      </c>
      <c r="U733" s="563" t="str">
        <f>VLOOKUP(A733,'[1]Raw data'!$B:$Z,9,FALSE)</f>
        <v>MVC</v>
      </c>
      <c r="V733" s="567" t="str">
        <f>IF(G733&amp;H733=T733&amp;U733,"OK","WRONG")</f>
        <v>OK</v>
      </c>
      <c r="W733" s="563" t="str">
        <f>VLOOKUP(A733,'[1]Raw data'!$B:$AG,32,FALSE)</f>
        <v>DAP HZ</v>
      </c>
      <c r="X733" s="563">
        <f>VLOOKUP(A733,'[1]Raw data'!$B:$BA,31,FALSE)</f>
        <v>44161</v>
      </c>
      <c r="Y733" s="563" t="str">
        <f>VLOOKUP(A733,'[1]Raw data'!$B:$AS,39,FALSE)</f>
        <v>Yes</v>
      </c>
      <c r="Z733" s="666"/>
      <c r="AA733" s="667"/>
      <c r="AB733" s="668"/>
      <c r="AC733" s="563" t="s">
        <v>834</v>
      </c>
      <c r="AD733" s="662">
        <v>301</v>
      </c>
      <c r="AE733" s="662">
        <v>10</v>
      </c>
      <c r="AF733" s="662">
        <v>311</v>
      </c>
      <c r="AG733" s="662">
        <v>10</v>
      </c>
      <c r="AH733" s="662"/>
      <c r="AI733" s="663"/>
      <c r="AN733" s="542"/>
      <c r="AO733" s="824" t="str">
        <f t="shared" si="107"/>
        <v>Yes</v>
      </c>
      <c r="AP733" s="259" t="str">
        <f t="shared" si="108"/>
        <v>MAR 21</v>
      </c>
      <c r="AQ733" s="542" t="str">
        <f t="shared" si="109"/>
        <v>有定金+有預留客戶</v>
      </c>
      <c r="AR733" s="259" t="str">
        <f t="shared" si="110"/>
        <v>Shipped_Stock</v>
      </c>
      <c r="AS733" s="259" t="str">
        <f t="shared" si="111"/>
        <v/>
      </c>
      <c r="AT733" s="259" t="str">
        <f t="shared" si="112"/>
        <v>新明海</v>
      </c>
      <c r="AU733" s="259" t="str">
        <f t="shared" si="113"/>
        <v>C49SZX20200228JZ</v>
      </c>
      <c r="AV733" s="259" t="str">
        <f t="shared" si="114"/>
        <v>Mar-04</v>
      </c>
    </row>
    <row r="734" spans="1:48" hidden="1">
      <c r="A734" s="559">
        <v>1020</v>
      </c>
      <c r="B734" s="664" t="s">
        <v>1125</v>
      </c>
      <c r="C734" s="664" t="s">
        <v>15</v>
      </c>
      <c r="D734" s="645">
        <v>110176</v>
      </c>
      <c r="E734" s="563" t="s">
        <v>1432</v>
      </c>
      <c r="F734" s="647" t="s">
        <v>58</v>
      </c>
      <c r="G734" s="647" t="s">
        <v>24</v>
      </c>
      <c r="H734" s="647" t="s">
        <v>26</v>
      </c>
      <c r="I734" s="575" t="s">
        <v>1499</v>
      </c>
      <c r="J734" s="575">
        <v>1</v>
      </c>
      <c r="K734" s="647" t="s">
        <v>78</v>
      </c>
      <c r="L734" s="675">
        <v>44259</v>
      </c>
      <c r="M734" s="665" t="s">
        <v>906</v>
      </c>
      <c r="N734" s="647" t="s">
        <v>28</v>
      </c>
      <c r="O734" s="575"/>
      <c r="P734" s="566" t="str">
        <f>VLOOKUP(A734,'[1]Raw data'!$B:$BB,23,FALSE)</f>
        <v>JPY</v>
      </c>
      <c r="Q734" s="563" t="str">
        <f>VLOOKUP(A734,'[1]Raw data'!$B:$Z,2,FALSE)</f>
        <v>C49SZX20200245MZ</v>
      </c>
      <c r="R734" s="563" t="str">
        <f>VLOOKUP(A734,'[1]Raw data'!$B:$Z,3,FALSE)</f>
        <v>新智杰光电</v>
      </c>
      <c r="S734" s="563" t="str">
        <f>VLOOKUP(A734,'[1]Raw data'!$B:$Z,4,FALSE)</f>
        <v>YSM20R-2</v>
      </c>
      <c r="T734" s="563" t="str">
        <f>VLOOKUP(A734,'[1]Raw data'!$B:$Z,8,FALSE)</f>
        <v>L-&gt;R</v>
      </c>
      <c r="U734" s="563" t="str">
        <f>VLOOKUP(A734,'[1]Raw data'!$B:$Z,9,FALSE)</f>
        <v>MVC</v>
      </c>
      <c r="V734" s="567" t="str">
        <f t="shared" si="117"/>
        <v>WRONG</v>
      </c>
      <c r="W734" s="563" t="str">
        <f>VLOOKUP(A734,'[1]Raw data'!$B:$AG,32,FALSE)</f>
        <v>DAP FS</v>
      </c>
      <c r="X734" s="563">
        <f>VLOOKUP(A734,'[1]Raw data'!$B:$BA,31,FALSE)</f>
        <v>44179</v>
      </c>
      <c r="Y734" s="563" t="str">
        <f>VLOOKUP(A734,'[1]Raw data'!$B:$AS,39,FALSE)</f>
        <v>Yes</v>
      </c>
      <c r="Z734" s="659"/>
      <c r="AA734" s="660"/>
      <c r="AB734" s="661"/>
      <c r="AC734" s="563" t="s">
        <v>1500</v>
      </c>
      <c r="AD734" s="662">
        <v>302</v>
      </c>
      <c r="AE734" s="662">
        <v>20</v>
      </c>
      <c r="AF734" s="662"/>
      <c r="AG734" s="662"/>
      <c r="AH734" s="662"/>
      <c r="AI734" s="663"/>
      <c r="AN734" s="542"/>
      <c r="AO734" s="824" t="str">
        <f t="shared" si="107"/>
        <v>Yes</v>
      </c>
      <c r="AP734" s="259" t="str">
        <f t="shared" si="108"/>
        <v>MAR 21</v>
      </c>
      <c r="AQ734" s="542" t="str">
        <f t="shared" si="109"/>
        <v>有定金+有預留客戶</v>
      </c>
      <c r="AR734" s="259" t="str">
        <f t="shared" si="110"/>
        <v>Shipped_Stock</v>
      </c>
      <c r="AS734" s="259" t="str">
        <f t="shared" si="111"/>
        <v/>
      </c>
      <c r="AT734" s="259" t="str">
        <f t="shared" si="112"/>
        <v>新智杰光电</v>
      </c>
      <c r="AU734" s="259" t="str">
        <f t="shared" si="113"/>
        <v>C49SZX20200245MZ</v>
      </c>
      <c r="AV734" s="259" t="str">
        <f t="shared" si="114"/>
        <v>Mar-04</v>
      </c>
    </row>
    <row r="735" spans="1:48" hidden="1">
      <c r="A735" s="559">
        <v>982</v>
      </c>
      <c r="B735" s="664" t="s">
        <v>1125</v>
      </c>
      <c r="C735" s="664" t="s">
        <v>15</v>
      </c>
      <c r="D735" s="645">
        <v>110176</v>
      </c>
      <c r="E735" s="563" t="s">
        <v>1432</v>
      </c>
      <c r="F735" s="647" t="s">
        <v>58</v>
      </c>
      <c r="G735" s="647" t="s">
        <v>18</v>
      </c>
      <c r="H735" s="647" t="s">
        <v>26</v>
      </c>
      <c r="I735" s="575" t="s">
        <v>1501</v>
      </c>
      <c r="J735" s="575">
        <v>1</v>
      </c>
      <c r="K735" s="647" t="s">
        <v>78</v>
      </c>
      <c r="L735" s="675">
        <v>44259</v>
      </c>
      <c r="M735" s="665" t="s">
        <v>906</v>
      </c>
      <c r="N735" s="647" t="s">
        <v>28</v>
      </c>
      <c r="O735" s="575"/>
      <c r="P735" s="566" t="str">
        <f>VLOOKUP(A735,'[1]Raw data'!$B:$BB,23,FALSE)</f>
        <v>JPY</v>
      </c>
      <c r="Q735" s="563" t="str">
        <f>VLOOKUP(A735,'[1]Raw data'!$B:$Z,2,FALSE)</f>
        <v>C49SZX20200218JZ</v>
      </c>
      <c r="R735" s="563" t="str">
        <f>VLOOKUP(A735,'[1]Raw data'!$B:$Z,3,FALSE)</f>
        <v>深圳健科</v>
      </c>
      <c r="S735" s="563" t="str">
        <f>VLOOKUP(A735,'[1]Raw data'!$B:$Z,4,FALSE)</f>
        <v>YSM20R-2</v>
      </c>
      <c r="T735" s="563" t="str">
        <f>VLOOKUP(A735,'[1]Raw data'!$B:$Z,8,FALSE)</f>
        <v>R-&gt;L</v>
      </c>
      <c r="U735" s="563" t="str">
        <f>VLOOKUP(A735,'[1]Raw data'!$B:$Z,9,FALSE)</f>
        <v>No</v>
      </c>
      <c r="V735" s="567" t="str">
        <f t="shared" si="117"/>
        <v>OK</v>
      </c>
      <c r="W735" s="563" t="str">
        <f>VLOOKUP(A735,'[1]Raw data'!$B:$AG,32,FALSE)</f>
        <v>DAP SZ</v>
      </c>
      <c r="X735" s="563">
        <f>VLOOKUP(A735,'[1]Raw data'!$B:$BA,31,FALSE)</f>
        <v>44162</v>
      </c>
      <c r="Y735" s="563" t="str">
        <f>VLOOKUP(A735,'[1]Raw data'!$B:$AS,39,FALSE)</f>
        <v>Yes</v>
      </c>
      <c r="Z735" s="659"/>
      <c r="AA735" s="660"/>
      <c r="AB735" s="661"/>
      <c r="AC735" s="563" t="s">
        <v>654</v>
      </c>
      <c r="AD735" s="662">
        <v>302</v>
      </c>
      <c r="AE735" s="662">
        <v>20</v>
      </c>
      <c r="AF735" s="662"/>
      <c r="AG735" s="662"/>
      <c r="AH735" s="662"/>
      <c r="AI735" s="663"/>
      <c r="AN735" s="542"/>
      <c r="AO735" s="824" t="str">
        <f t="shared" si="107"/>
        <v>Yes</v>
      </c>
      <c r="AP735" s="259" t="str">
        <f t="shared" si="108"/>
        <v>MAR 21</v>
      </c>
      <c r="AQ735" s="542" t="str">
        <f t="shared" si="109"/>
        <v>有定金+有預留客戶</v>
      </c>
      <c r="AR735" s="259" t="str">
        <f t="shared" si="110"/>
        <v>Shipped_Stock</v>
      </c>
      <c r="AS735" s="259" t="str">
        <f t="shared" si="111"/>
        <v/>
      </c>
      <c r="AT735" s="259" t="str">
        <f t="shared" si="112"/>
        <v>深圳健科</v>
      </c>
      <c r="AU735" s="259" t="str">
        <f t="shared" si="113"/>
        <v>C49SZX20200218JZ</v>
      </c>
      <c r="AV735" s="259" t="str">
        <f t="shared" si="114"/>
        <v>Mar-04</v>
      </c>
    </row>
    <row r="736" spans="1:48" hidden="1">
      <c r="A736" s="559">
        <v>1120</v>
      </c>
      <c r="B736" s="664" t="s">
        <v>1125</v>
      </c>
      <c r="C736" s="664" t="s">
        <v>15</v>
      </c>
      <c r="D736" s="645">
        <v>110176</v>
      </c>
      <c r="E736" s="563" t="s">
        <v>1432</v>
      </c>
      <c r="F736" s="647" t="s">
        <v>58</v>
      </c>
      <c r="G736" s="647" t="s">
        <v>18</v>
      </c>
      <c r="H736" s="647" t="s">
        <v>26</v>
      </c>
      <c r="I736" s="575" t="s">
        <v>1502</v>
      </c>
      <c r="J736" s="575">
        <v>1</v>
      </c>
      <c r="K736" s="647" t="s">
        <v>78</v>
      </c>
      <c r="L736" s="675">
        <v>44259</v>
      </c>
      <c r="M736" s="665" t="s">
        <v>906</v>
      </c>
      <c r="N736" s="647" t="s">
        <v>28</v>
      </c>
      <c r="O736" s="575"/>
      <c r="P736" s="665" t="str">
        <f>VLOOKUP(A736,'[1]Raw data'!$B:$BA,23,FALSE)</f>
        <v>JPY</v>
      </c>
      <c r="Q736" s="647" t="str">
        <f>VLOOKUP(A736,'[1]Raw data'!$B:$Z,2,FALSE)</f>
        <v>C49SZX20210011JY</v>
      </c>
      <c r="R736" s="647" t="str">
        <f>VLOOKUP(A736,'[1]Raw data'!$B:$Z,3,FALSE)</f>
        <v>英拓邦</v>
      </c>
      <c r="S736" s="647" t="str">
        <f>VLOOKUP(A736,'[1]Raw data'!$B:$Z,4,FALSE)</f>
        <v>YSM20R-2</v>
      </c>
      <c r="T736" s="647" t="str">
        <f>VLOOKUP(A736,'[1]Raw data'!$B:$Z,8,FALSE)</f>
        <v>R-&gt;L</v>
      </c>
      <c r="U736" s="647" t="str">
        <f>VLOOKUP(A736,'[1]Raw data'!$B:$Z,9,FALSE)</f>
        <v>No</v>
      </c>
      <c r="V736" s="567" t="str">
        <f t="shared" si="117"/>
        <v>OK</v>
      </c>
      <c r="W736" s="563" t="str">
        <f>VLOOKUP(A736,'[1]Raw data'!$B:$AG,32,FALSE)</f>
        <v>CIF HK</v>
      </c>
      <c r="X736" s="647">
        <f>VLOOKUP(A736,'[1]Raw data'!$B:$BA,31,FALSE)</f>
        <v>44222</v>
      </c>
      <c r="Y736" s="647" t="str">
        <f>VLOOKUP(A736,'[1]Raw data'!$B:$AS,39,FALSE)</f>
        <v>Yes</v>
      </c>
      <c r="Z736" s="666"/>
      <c r="AA736" s="667"/>
      <c r="AB736" s="668"/>
      <c r="AC736" s="563" t="s">
        <v>1445</v>
      </c>
      <c r="AD736" s="662">
        <v>302</v>
      </c>
      <c r="AE736" s="662">
        <v>10</v>
      </c>
      <c r="AF736" s="662">
        <v>312</v>
      </c>
      <c r="AG736" s="662">
        <v>10</v>
      </c>
      <c r="AH736" s="662"/>
      <c r="AI736" s="663"/>
      <c r="AN736" s="542"/>
      <c r="AO736" s="824" t="str">
        <f t="shared" si="107"/>
        <v>Yes</v>
      </c>
      <c r="AP736" s="259" t="str">
        <f t="shared" si="108"/>
        <v>MAR 21</v>
      </c>
      <c r="AQ736" s="542" t="str">
        <f t="shared" si="109"/>
        <v>有定金+有預留客戶</v>
      </c>
      <c r="AR736" s="259" t="str">
        <f t="shared" si="110"/>
        <v>Shipped_Stock</v>
      </c>
      <c r="AS736" s="259" t="str">
        <f t="shared" si="111"/>
        <v/>
      </c>
      <c r="AT736" s="259" t="str">
        <f t="shared" si="112"/>
        <v>英拓邦</v>
      </c>
      <c r="AU736" s="259" t="str">
        <f t="shared" si="113"/>
        <v>C49SZX20210011JY</v>
      </c>
      <c r="AV736" s="259" t="str">
        <f t="shared" si="114"/>
        <v>Mar-04</v>
      </c>
    </row>
    <row r="737" spans="1:48" hidden="1">
      <c r="A737" s="559">
        <v>979</v>
      </c>
      <c r="B737" s="664" t="s">
        <v>1125</v>
      </c>
      <c r="C737" s="664" t="s">
        <v>15</v>
      </c>
      <c r="D737" s="645">
        <v>110176</v>
      </c>
      <c r="E737" s="563" t="s">
        <v>1432</v>
      </c>
      <c r="F737" s="647" t="s">
        <v>58</v>
      </c>
      <c r="G737" s="647" t="s">
        <v>24</v>
      </c>
      <c r="H737" s="647" t="s">
        <v>26</v>
      </c>
      <c r="I737" s="575" t="s">
        <v>1503</v>
      </c>
      <c r="J737" s="575">
        <v>1</v>
      </c>
      <c r="K737" s="647" t="s">
        <v>78</v>
      </c>
      <c r="L737" s="675">
        <v>44259</v>
      </c>
      <c r="M737" s="665" t="s">
        <v>906</v>
      </c>
      <c r="N737" s="647" t="s">
        <v>28</v>
      </c>
      <c r="O737" s="575"/>
      <c r="P737" s="566" t="str">
        <f>VLOOKUP(A737,'[1]Raw data'!$B:$BB,23,FALSE)</f>
        <v>JPY</v>
      </c>
      <c r="Q737" s="563" t="str">
        <f>VLOOKUP(A737,'[1]Raw data'!$B:$Z,2,FALSE)</f>
        <v>C49SZX20200228JZ</v>
      </c>
      <c r="R737" s="563" t="str">
        <f>VLOOKUP(A737,'[1]Raw data'!$B:$Z,3,FALSE)</f>
        <v>新明海</v>
      </c>
      <c r="S737" s="563" t="str">
        <f>VLOOKUP(A737,'[1]Raw data'!$B:$Z,4,FALSE)</f>
        <v>YSM20R-2</v>
      </c>
      <c r="T737" s="563" t="str">
        <f>VLOOKUP(A737,'[1]Raw data'!$B:$Z,8,FALSE)</f>
        <v>L-&gt;R</v>
      </c>
      <c r="U737" s="563" t="str">
        <f>VLOOKUP(A737,'[1]Raw data'!$B:$Z,9,FALSE)</f>
        <v>No</v>
      </c>
      <c r="V737" s="567" t="str">
        <f t="shared" si="117"/>
        <v>OK</v>
      </c>
      <c r="W737" s="563" t="str">
        <f>VLOOKUP(A737,'[1]Raw data'!$B:$AG,32,FALSE)</f>
        <v>DAP HZ</v>
      </c>
      <c r="X737" s="563">
        <f>VLOOKUP(A737,'[1]Raw data'!$B:$BA,31,FALSE)</f>
        <v>44161</v>
      </c>
      <c r="Y737" s="563" t="str">
        <f>VLOOKUP(A737,'[1]Raw data'!$B:$AS,39,FALSE)</f>
        <v>Yes</v>
      </c>
      <c r="Z737" s="666"/>
      <c r="AA737" s="667"/>
      <c r="AB737" s="668"/>
      <c r="AC737" s="563" t="s">
        <v>834</v>
      </c>
      <c r="AD737" s="662">
        <v>302</v>
      </c>
      <c r="AE737" s="662">
        <v>10</v>
      </c>
      <c r="AF737" s="662">
        <v>312</v>
      </c>
      <c r="AG737" s="662">
        <v>10</v>
      </c>
      <c r="AH737" s="662"/>
      <c r="AI737" s="663"/>
      <c r="AN737" s="542"/>
      <c r="AO737" s="824" t="str">
        <f t="shared" si="107"/>
        <v>Yes</v>
      </c>
      <c r="AP737" s="259" t="str">
        <f t="shared" si="108"/>
        <v>MAR 21</v>
      </c>
      <c r="AQ737" s="542" t="str">
        <f t="shared" si="109"/>
        <v>有定金+有預留客戶</v>
      </c>
      <c r="AR737" s="259" t="str">
        <f t="shared" si="110"/>
        <v>Shipped_Stock</v>
      </c>
      <c r="AS737" s="259" t="str">
        <f t="shared" si="111"/>
        <v/>
      </c>
      <c r="AT737" s="259" t="str">
        <f t="shared" si="112"/>
        <v>新明海</v>
      </c>
      <c r="AU737" s="259" t="str">
        <f t="shared" si="113"/>
        <v>C49SZX20200228JZ</v>
      </c>
      <c r="AV737" s="259" t="str">
        <f t="shared" si="114"/>
        <v>Mar-04</v>
      </c>
    </row>
    <row r="738" spans="1:48" hidden="1">
      <c r="A738" s="559">
        <v>1042</v>
      </c>
      <c r="B738" s="664" t="s">
        <v>1125</v>
      </c>
      <c r="C738" s="664" t="s">
        <v>15</v>
      </c>
      <c r="D738" s="645">
        <v>110176</v>
      </c>
      <c r="E738" s="563" t="s">
        <v>1432</v>
      </c>
      <c r="F738" s="647" t="s">
        <v>58</v>
      </c>
      <c r="G738" s="647" t="s">
        <v>24</v>
      </c>
      <c r="H738" s="647" t="s">
        <v>26</v>
      </c>
      <c r="I738" s="575" t="s">
        <v>1504</v>
      </c>
      <c r="J738" s="575">
        <v>1</v>
      </c>
      <c r="K738" s="647" t="s">
        <v>78</v>
      </c>
      <c r="L738" s="675">
        <v>44259</v>
      </c>
      <c r="M738" s="665" t="s">
        <v>906</v>
      </c>
      <c r="N738" s="647" t="s">
        <v>28</v>
      </c>
      <c r="O738" s="575"/>
      <c r="P738" s="566" t="str">
        <f>VLOOKUP(A738,'[1]Raw data'!$B:$BB,23,FALSE)</f>
        <v>JPY</v>
      </c>
      <c r="Q738" s="563" t="str">
        <f>VLOOKUP(A738,'[1]Raw data'!$B:$Z,2,FALSE)</f>
        <v>C49SZX20200247MZ</v>
      </c>
      <c r="R738" s="563" t="str">
        <f>VLOOKUP(A738,'[1]Raw data'!$B:$Z,3,FALSE)</f>
        <v>崧盛</v>
      </c>
      <c r="S738" s="563" t="str">
        <f>VLOOKUP(A738,'[1]Raw data'!$B:$Z,4,FALSE)</f>
        <v>YSM20R-2</v>
      </c>
      <c r="T738" s="563" t="str">
        <f>VLOOKUP(A738,'[1]Raw data'!$B:$Z,8,FALSE)</f>
        <v>L-&gt;R</v>
      </c>
      <c r="U738" s="563" t="str">
        <f>VLOOKUP(A738,'[1]Raw data'!$B:$Z,9,FALSE)</f>
        <v>MVC</v>
      </c>
      <c r="V738" s="567" t="str">
        <f t="shared" si="117"/>
        <v>WRONG</v>
      </c>
      <c r="W738" s="563" t="str">
        <f>VLOOKUP(A738,'[1]Raw data'!$B:$AG,32,FALSE)</f>
        <v>CIF HK</v>
      </c>
      <c r="X738" s="563">
        <f>VLOOKUP(A738,'[1]Raw data'!$B:$BA,31,FALSE)</f>
        <v>44183</v>
      </c>
      <c r="Y738" s="563" t="str">
        <f>VLOOKUP(A738,'[1]Raw data'!$B:$AS,39,FALSE)</f>
        <v>Yes</v>
      </c>
      <c r="Z738" s="659"/>
      <c r="AA738" s="660"/>
      <c r="AB738" s="661"/>
      <c r="AC738" s="647" t="s">
        <v>1505</v>
      </c>
      <c r="AD738" s="662">
        <v>302</v>
      </c>
      <c r="AE738" s="662">
        <v>10</v>
      </c>
      <c r="AF738" s="662">
        <v>312</v>
      </c>
      <c r="AG738" s="662">
        <v>10</v>
      </c>
      <c r="AH738" s="662"/>
      <c r="AI738" s="663"/>
      <c r="AN738" s="542"/>
      <c r="AO738" s="824" t="str">
        <f t="shared" si="107"/>
        <v>Yes</v>
      </c>
      <c r="AP738" s="259" t="str">
        <f t="shared" si="108"/>
        <v>MAR 21</v>
      </c>
      <c r="AQ738" s="542" t="str">
        <f t="shared" si="109"/>
        <v>有定金+有預留客戶</v>
      </c>
      <c r="AR738" s="259" t="str">
        <f t="shared" si="110"/>
        <v>Shipped_Stock</v>
      </c>
      <c r="AS738" s="259" t="str">
        <f t="shared" si="111"/>
        <v/>
      </c>
      <c r="AT738" s="259" t="str">
        <f t="shared" si="112"/>
        <v>崧盛</v>
      </c>
      <c r="AU738" s="259" t="str">
        <f t="shared" si="113"/>
        <v>C49SZX20200247MZ</v>
      </c>
      <c r="AV738" s="259" t="str">
        <f t="shared" si="114"/>
        <v>Mar-04</v>
      </c>
    </row>
    <row r="739" spans="1:48" hidden="1">
      <c r="A739" s="559">
        <v>992</v>
      </c>
      <c r="B739" s="664" t="s">
        <v>1125</v>
      </c>
      <c r="C739" s="664" t="s">
        <v>15</v>
      </c>
      <c r="D739" s="645">
        <v>110297</v>
      </c>
      <c r="E739" s="646" t="s">
        <v>236</v>
      </c>
      <c r="F739" s="647" t="s">
        <v>241</v>
      </c>
      <c r="G739" s="647" t="s">
        <v>18</v>
      </c>
      <c r="H739" s="647" t="s">
        <v>77</v>
      </c>
      <c r="I739" s="575" t="s">
        <v>1506</v>
      </c>
      <c r="J739" s="575">
        <v>1</v>
      </c>
      <c r="K739" s="647" t="s">
        <v>78</v>
      </c>
      <c r="L739" s="734">
        <v>44268</v>
      </c>
      <c r="M739" s="665" t="s">
        <v>258</v>
      </c>
      <c r="N739" s="647" t="s">
        <v>28</v>
      </c>
      <c r="O739" s="575"/>
      <c r="P739" s="566" t="str">
        <f>VLOOKUP(A739,'[1]Raw data'!$B:$BB,23,FALSE)</f>
        <v>JPY</v>
      </c>
      <c r="Q739" s="563" t="str">
        <f>VLOOKUP(A739,'[1]Raw data'!$B:$Z,2,FALSE)</f>
        <v>C49SZX20200237SX</v>
      </c>
      <c r="R739" s="563" t="str">
        <f>VLOOKUP(A739,'[1]Raw data'!$B:$Z,3,FALSE)</f>
        <v>岚新</v>
      </c>
      <c r="S739" s="563" t="str">
        <f>VLOOKUP(A739,'[1]Raw data'!$B:$Z,4,FALSE)</f>
        <v>YSM10</v>
      </c>
      <c r="T739" s="563" t="str">
        <f>VLOOKUP(A739,'[1]Raw data'!$B:$Z,8,FALSE)</f>
        <v>L-&gt;R</v>
      </c>
      <c r="U739" s="563" t="str">
        <f>VLOOKUP(A739,'[1]Raw data'!$B:$Z,9,FALSE)</f>
        <v>Rear站位</v>
      </c>
      <c r="V739" s="567" t="str">
        <f t="shared" si="117"/>
        <v>WRONG</v>
      </c>
      <c r="W739" s="563" t="str">
        <f>VLOOKUP(A739,'[1]Raw data'!$B:$AG,32,FALSE)</f>
        <v>DAP SZ</v>
      </c>
      <c r="X739" s="563">
        <f>VLOOKUP(A739,'[1]Raw data'!$B:$BA,31,FALSE)</f>
        <v>44173</v>
      </c>
      <c r="Y739" s="563" t="str">
        <f>VLOOKUP(A739,'[1]Raw data'!$B:$AS,39,FALSE)</f>
        <v>Yes</v>
      </c>
      <c r="Z739" s="659"/>
      <c r="AA739" s="660"/>
      <c r="AB739" s="661"/>
      <c r="AC739" s="647" t="s">
        <v>1460</v>
      </c>
      <c r="AD739" s="662"/>
      <c r="AE739" s="662"/>
      <c r="AF739" s="662"/>
      <c r="AG739" s="662"/>
      <c r="AH739" s="662"/>
      <c r="AI739" s="663"/>
      <c r="AN739" s="542"/>
      <c r="AO739" s="824" t="str">
        <f t="shared" si="107"/>
        <v>Yes</v>
      </c>
      <c r="AP739" s="259" t="str">
        <f t="shared" si="108"/>
        <v>MAR 21</v>
      </c>
      <c r="AQ739" s="542" t="str">
        <f t="shared" si="109"/>
        <v>有定金+有預留客戶</v>
      </c>
      <c r="AR739" s="259" t="str">
        <f t="shared" si="110"/>
        <v>Shipped_Stock</v>
      </c>
      <c r="AS739" s="259" t="str">
        <f t="shared" si="111"/>
        <v/>
      </c>
      <c r="AT739" s="259" t="str">
        <f t="shared" si="112"/>
        <v>岚新</v>
      </c>
      <c r="AU739" s="259" t="str">
        <f t="shared" si="113"/>
        <v>C49SZX20200237SX</v>
      </c>
      <c r="AV739" s="259" t="str">
        <f t="shared" si="114"/>
        <v>Mar-13</v>
      </c>
    </row>
    <row r="740" spans="1:48" hidden="1">
      <c r="A740" s="559">
        <v>1277</v>
      </c>
      <c r="B740" s="664" t="s">
        <v>1125</v>
      </c>
      <c r="C740" s="664" t="s">
        <v>15</v>
      </c>
      <c r="D740" s="645">
        <v>110152</v>
      </c>
      <c r="E740" s="563" t="s">
        <v>886</v>
      </c>
      <c r="F740" s="647" t="s">
        <v>58</v>
      </c>
      <c r="G740" s="647" t="s">
        <v>18</v>
      </c>
      <c r="H740" s="647" t="s">
        <v>27</v>
      </c>
      <c r="I740" s="575" t="s">
        <v>188</v>
      </c>
      <c r="J740" s="575">
        <v>1</v>
      </c>
      <c r="K740" s="647" t="s">
        <v>81</v>
      </c>
      <c r="L740" s="657">
        <v>44281</v>
      </c>
      <c r="M740" s="665" t="s">
        <v>906</v>
      </c>
      <c r="N740" s="647" t="s">
        <v>110</v>
      </c>
      <c r="O740" s="575"/>
      <c r="P740" s="665" t="str">
        <f>VLOOKUP(A740,'[1]Raw data'!$B:$BA,23,FALSE)</f>
        <v>JPY</v>
      </c>
      <c r="Q740" s="647" t="str">
        <f>VLOOKUP(A740,'[1]Raw data'!$B:$Z,2,FALSE)</f>
        <v>C49SZX20210039JZ</v>
      </c>
      <c r="R740" s="647" t="str">
        <f>VLOOKUP(A740,'[1]Raw data'!$B:$Z,3,FALSE)</f>
        <v>世达威</v>
      </c>
      <c r="S740" s="647" t="str">
        <f>VLOOKUP(A740,'[1]Raw data'!$B:$Z,4,FALSE)</f>
        <v>YSM20R-2</v>
      </c>
      <c r="T740" s="647" t="str">
        <f>VLOOKUP(A740,'[1]Raw data'!$B:$Z,8,FALSE)</f>
        <v>R-&gt;L</v>
      </c>
      <c r="U740" s="647" t="str">
        <f>VLOOKUP(A740,'[1]Raw data'!$B:$Z,9,FALSE)</f>
        <v>No</v>
      </c>
      <c r="V740" s="567" t="str">
        <f t="shared" ref="V740:V755" si="118">IF(G740&amp;H740=T740&amp;U740,"OK","WRONG")</f>
        <v>WRONG</v>
      </c>
      <c r="W740" s="563" t="str">
        <f>VLOOKUP(A740,'[1]Raw data'!$B:$AG,32,FALSE)</f>
        <v>DAP SZ</v>
      </c>
      <c r="X740" s="647">
        <f>VLOOKUP(A740,'[1]Raw data'!$B:$BA,31,FALSE)</f>
        <v>44278</v>
      </c>
      <c r="Y740" s="647" t="str">
        <f>VLOOKUP(A740,'[1]Raw data'!$B:$AS,39,FALSE)</f>
        <v>Yes</v>
      </c>
      <c r="Z740" s="659"/>
      <c r="AA740" s="660"/>
      <c r="AB740" s="661"/>
      <c r="AC740" s="647" t="s">
        <v>1507</v>
      </c>
      <c r="AD740" s="662">
        <v>301</v>
      </c>
      <c r="AE740" s="662">
        <v>10</v>
      </c>
      <c r="AF740" s="662">
        <v>311</v>
      </c>
      <c r="AG740" s="662">
        <v>10</v>
      </c>
      <c r="AH740" s="662"/>
      <c r="AI740" s="663"/>
      <c r="AN740" s="542"/>
      <c r="AO740" s="824" t="str">
        <f t="shared" si="107"/>
        <v>Yes</v>
      </c>
      <c r="AP740" s="259" t="str">
        <f t="shared" si="108"/>
        <v>MAY 21</v>
      </c>
      <c r="AQ740" s="542" t="str">
        <f t="shared" si="109"/>
        <v>有定金+有預留客戶</v>
      </c>
      <c r="AR740" s="259" t="str">
        <f t="shared" si="110"/>
        <v>Shipped_Stock</v>
      </c>
      <c r="AS740" s="259" t="str">
        <f t="shared" si="111"/>
        <v/>
      </c>
      <c r="AT740" s="259" t="str">
        <f t="shared" si="112"/>
        <v>世达威</v>
      </c>
      <c r="AU740" s="259" t="str">
        <f t="shared" si="113"/>
        <v>C49SZX20210039JZ</v>
      </c>
      <c r="AV740" s="259" t="str">
        <f t="shared" si="114"/>
        <v>Mar-26</v>
      </c>
    </row>
    <row r="741" spans="1:48" hidden="1">
      <c r="A741" s="599">
        <v>1112</v>
      </c>
      <c r="B741" s="664" t="s">
        <v>1125</v>
      </c>
      <c r="C741" s="664" t="s">
        <v>15</v>
      </c>
      <c r="D741" s="645">
        <v>110152</v>
      </c>
      <c r="E741" s="563" t="s">
        <v>886</v>
      </c>
      <c r="F741" s="647" t="s">
        <v>58</v>
      </c>
      <c r="G741" s="647" t="s">
        <v>24</v>
      </c>
      <c r="H741" s="647" t="s">
        <v>27</v>
      </c>
      <c r="I741" s="575" t="s">
        <v>187</v>
      </c>
      <c r="J741" s="575">
        <v>1</v>
      </c>
      <c r="K741" s="647" t="s">
        <v>81</v>
      </c>
      <c r="L741" s="657">
        <v>44281</v>
      </c>
      <c r="M741" s="665" t="s">
        <v>906</v>
      </c>
      <c r="N741" s="647" t="s">
        <v>28</v>
      </c>
      <c r="O741" s="575"/>
      <c r="P741" s="665" t="str">
        <f>VLOOKUP(A741,'[1]Raw data'!$B:$BA,23,FALSE)</f>
        <v>JPY</v>
      </c>
      <c r="Q741" s="647" t="str">
        <f>VLOOKUP(A741,'[1]Raw data'!$B:$Z,2,FALSE)</f>
        <v>C49SZX20210032JL</v>
      </c>
      <c r="R741" s="647" t="str">
        <f>VLOOKUP(A741,'[1]Raw data'!$B:$Z,3,FALSE)</f>
        <v>捷舜诚</v>
      </c>
      <c r="S741" s="647" t="str">
        <f>VLOOKUP(A741,'[1]Raw data'!$B:$Z,4,FALSE)</f>
        <v>YSM20R-2</v>
      </c>
      <c r="T741" s="647" t="str">
        <f>VLOOKUP(A741,'[1]Raw data'!$B:$Z,8,FALSE)</f>
        <v>L-&gt;R</v>
      </c>
      <c r="U741" s="647" t="str">
        <f>VLOOKUP(A741,'[1]Raw data'!$B:$Z,9,FALSE)</f>
        <v>MVC</v>
      </c>
      <c r="V741" s="567" t="str">
        <f t="shared" si="118"/>
        <v>OK</v>
      </c>
      <c r="W741" s="563" t="str">
        <f>VLOOKUP(A741,'[1]Raw data'!$B:$AG,32,FALSE)</f>
        <v>DAP SZ</v>
      </c>
      <c r="X741" s="647">
        <f>VLOOKUP(A741,'[1]Raw data'!$B:$BA,31,FALSE)</f>
        <v>44225</v>
      </c>
      <c r="Y741" s="647" t="str">
        <f>VLOOKUP(A741,'[1]Raw data'!$B:$AS,39,FALSE)</f>
        <v>Yes</v>
      </c>
      <c r="Z741" s="659"/>
      <c r="AA741" s="660"/>
      <c r="AB741" s="661"/>
      <c r="AC741" s="563" t="s">
        <v>1150</v>
      </c>
      <c r="AD741" s="575">
        <v>301</v>
      </c>
      <c r="AE741" s="575">
        <v>10</v>
      </c>
      <c r="AF741" s="575">
        <v>311</v>
      </c>
      <c r="AG741" s="575">
        <v>10</v>
      </c>
      <c r="AH741" s="575"/>
      <c r="AI741" s="679"/>
      <c r="AJ741" s="564"/>
      <c r="AK741" s="564"/>
      <c r="AL741" s="564"/>
      <c r="AM741" s="564"/>
      <c r="AN741" s="614"/>
      <c r="AO741" s="824" t="str">
        <f t="shared" si="107"/>
        <v>Yes</v>
      </c>
      <c r="AP741" s="259" t="str">
        <f t="shared" si="108"/>
        <v>MAR 21</v>
      </c>
      <c r="AQ741" s="542" t="str">
        <f t="shared" si="109"/>
        <v>有定金+有預留客戶</v>
      </c>
      <c r="AR741" s="259" t="str">
        <f t="shared" si="110"/>
        <v>Shipped_Stock</v>
      </c>
      <c r="AS741" s="259" t="str">
        <f t="shared" si="111"/>
        <v/>
      </c>
      <c r="AT741" s="259" t="str">
        <f t="shared" si="112"/>
        <v>捷舜诚</v>
      </c>
      <c r="AU741" s="259" t="str">
        <f t="shared" si="113"/>
        <v>C49SZX20210032JL</v>
      </c>
      <c r="AV741" s="259" t="str">
        <f t="shared" si="114"/>
        <v>Mar-26</v>
      </c>
    </row>
    <row r="742" spans="1:48" hidden="1">
      <c r="A742" s="599">
        <v>1113</v>
      </c>
      <c r="B742" s="664" t="s">
        <v>1125</v>
      </c>
      <c r="C742" s="664" t="s">
        <v>15</v>
      </c>
      <c r="D742" s="645">
        <v>110152</v>
      </c>
      <c r="E742" s="563" t="s">
        <v>886</v>
      </c>
      <c r="F742" s="647" t="s">
        <v>58</v>
      </c>
      <c r="G742" s="647" t="s">
        <v>24</v>
      </c>
      <c r="H742" s="647" t="s">
        <v>26</v>
      </c>
      <c r="I742" s="575" t="s">
        <v>186</v>
      </c>
      <c r="J742" s="575">
        <v>1</v>
      </c>
      <c r="K742" s="647" t="s">
        <v>81</v>
      </c>
      <c r="L742" s="657">
        <v>44281</v>
      </c>
      <c r="M742" s="665" t="s">
        <v>906</v>
      </c>
      <c r="N742" s="647" t="s">
        <v>28</v>
      </c>
      <c r="O742" s="575"/>
      <c r="P742" s="665" t="str">
        <f>VLOOKUP(A742,'[1]Raw data'!$B:$BA,23,FALSE)</f>
        <v>JPY</v>
      </c>
      <c r="Q742" s="647" t="str">
        <f>VLOOKUP(A742,'[1]Raw data'!$B:$Z,2,FALSE)</f>
        <v>C49SZX20210032JL</v>
      </c>
      <c r="R742" s="647" t="str">
        <f>VLOOKUP(A742,'[1]Raw data'!$B:$Z,3,FALSE)</f>
        <v>捷舜诚</v>
      </c>
      <c r="S742" s="647" t="str">
        <f>VLOOKUP(A742,'[1]Raw data'!$B:$Z,4,FALSE)</f>
        <v>YSM20R-2</v>
      </c>
      <c r="T742" s="647" t="str">
        <f>VLOOKUP(A742,'[1]Raw data'!$B:$Z,8,FALSE)</f>
        <v>L-&gt;R</v>
      </c>
      <c r="U742" s="647" t="str">
        <f>VLOOKUP(A742,'[1]Raw data'!$B:$Z,9,FALSE)</f>
        <v>MVC</v>
      </c>
      <c r="V742" s="567" t="str">
        <f t="shared" ref="V742:V753" si="119">IF(G742&amp;H742=T742&amp;U742,"OK","WRONG")</f>
        <v>WRONG</v>
      </c>
      <c r="W742" s="563" t="str">
        <f>VLOOKUP(A742,'[1]Raw data'!$B:$AG,32,FALSE)</f>
        <v>DAP SZ</v>
      </c>
      <c r="X742" s="647">
        <f>VLOOKUP(A742,'[1]Raw data'!$B:$BA,31,FALSE)</f>
        <v>44225</v>
      </c>
      <c r="Y742" s="647" t="str">
        <f>VLOOKUP(A742,'[1]Raw data'!$B:$AS,39,FALSE)</f>
        <v>Yes</v>
      </c>
      <c r="Z742" s="659"/>
      <c r="AA742" s="660"/>
      <c r="AB742" s="661"/>
      <c r="AC742" s="563" t="s">
        <v>1150</v>
      </c>
      <c r="AD742" s="575">
        <v>301</v>
      </c>
      <c r="AE742" s="575">
        <v>10</v>
      </c>
      <c r="AF742" s="575">
        <v>311</v>
      </c>
      <c r="AG742" s="575">
        <v>10</v>
      </c>
      <c r="AH742" s="575"/>
      <c r="AI742" s="679"/>
      <c r="AJ742" s="564"/>
      <c r="AK742" s="564"/>
      <c r="AL742" s="564"/>
      <c r="AM742" s="564"/>
      <c r="AN742" s="614"/>
      <c r="AO742" s="824" t="str">
        <f t="shared" si="107"/>
        <v>Yes</v>
      </c>
      <c r="AP742" s="259" t="str">
        <f t="shared" si="108"/>
        <v>MAR 21</v>
      </c>
      <c r="AQ742" s="542" t="str">
        <f t="shared" si="109"/>
        <v>有定金+有預留客戶</v>
      </c>
      <c r="AR742" s="259" t="str">
        <f t="shared" si="110"/>
        <v>Shipped_Stock</v>
      </c>
      <c r="AS742" s="259" t="str">
        <f t="shared" si="111"/>
        <v/>
      </c>
      <c r="AT742" s="259" t="str">
        <f t="shared" si="112"/>
        <v>捷舜诚</v>
      </c>
      <c r="AU742" s="259" t="str">
        <f t="shared" si="113"/>
        <v>C49SZX20210032JL</v>
      </c>
      <c r="AV742" s="259" t="str">
        <f t="shared" si="114"/>
        <v>Mar-26</v>
      </c>
    </row>
    <row r="743" spans="1:48" hidden="1">
      <c r="A743" s="559">
        <v>987</v>
      </c>
      <c r="B743" s="664" t="s">
        <v>1125</v>
      </c>
      <c r="C743" s="664" t="s">
        <v>15</v>
      </c>
      <c r="D743" s="645">
        <v>110152</v>
      </c>
      <c r="E743" s="563" t="s">
        <v>886</v>
      </c>
      <c r="F743" s="647" t="s">
        <v>58</v>
      </c>
      <c r="G743" s="647" t="s">
        <v>24</v>
      </c>
      <c r="H743" s="647" t="s">
        <v>159</v>
      </c>
      <c r="I743" s="575" t="s">
        <v>185</v>
      </c>
      <c r="J743" s="575">
        <v>1</v>
      </c>
      <c r="K743" s="647" t="s">
        <v>81</v>
      </c>
      <c r="L743" s="657">
        <v>44281</v>
      </c>
      <c r="M743" s="665" t="s">
        <v>906</v>
      </c>
      <c r="N743" s="647" t="s">
        <v>28</v>
      </c>
      <c r="O743" s="575"/>
      <c r="P743" s="665" t="str">
        <f>VLOOKUP(A743,'[1]Raw data'!$B:$BA,23,FALSE)</f>
        <v>JPY</v>
      </c>
      <c r="Q743" s="647" t="str">
        <f>VLOOKUP(A743,'[1]Raw data'!$B:$Z,2,FALSE)</f>
        <v>C49SZX20200232SX</v>
      </c>
      <c r="R743" s="647" t="str">
        <f>VLOOKUP(A743,'[1]Raw data'!$B:$Z,3,FALSE)</f>
        <v>永顺创</v>
      </c>
      <c r="S743" s="647" t="str">
        <f>VLOOKUP(A743,'[1]Raw data'!$B:$Z,4,FALSE)</f>
        <v>YSM20R-2</v>
      </c>
      <c r="T743" s="647" t="str">
        <f>VLOOKUP(A743,'[1]Raw data'!$B:$Z,8,FALSE)</f>
        <v>L-&gt;R</v>
      </c>
      <c r="U743" s="647" t="str">
        <f>VLOOKUP(A743,'[1]Raw data'!$B:$Z,9,FALSE)</f>
        <v>cATS10+MVC</v>
      </c>
      <c r="V743" s="567" t="str">
        <f t="shared" si="119"/>
        <v>WRONG</v>
      </c>
      <c r="W743" s="563" t="str">
        <f>VLOOKUP(A743,'[1]Raw data'!$B:$AG,32,FALSE)</f>
        <v>DAP SZ</v>
      </c>
      <c r="X743" s="647">
        <f>VLOOKUP(A743,'[1]Raw data'!$B:$BA,31,FALSE)</f>
        <v>44166</v>
      </c>
      <c r="Y743" s="647" t="str">
        <f>VLOOKUP(A743,'[1]Raw data'!$B:$AS,39,FALSE)</f>
        <v>Yes</v>
      </c>
      <c r="Z743" s="659"/>
      <c r="AA743" s="660"/>
      <c r="AB743" s="661"/>
      <c r="AC743" s="647" t="s">
        <v>1415</v>
      </c>
      <c r="AD743" s="662">
        <v>301</v>
      </c>
      <c r="AE743" s="662">
        <v>10</v>
      </c>
      <c r="AF743" s="662">
        <v>303</v>
      </c>
      <c r="AG743" s="662">
        <v>10</v>
      </c>
      <c r="AH743" s="662"/>
      <c r="AI743" s="663"/>
      <c r="AN743" s="542"/>
      <c r="AO743" s="824" t="str">
        <f t="shared" si="107"/>
        <v>Yes</v>
      </c>
      <c r="AP743" s="259" t="str">
        <f t="shared" si="108"/>
        <v>MAR 21</v>
      </c>
      <c r="AQ743" s="542" t="str">
        <f t="shared" si="109"/>
        <v>有定金+有預留客戶</v>
      </c>
      <c r="AR743" s="259" t="str">
        <f t="shared" si="110"/>
        <v>Shipped_Stock</v>
      </c>
      <c r="AS743" s="259" t="str">
        <f t="shared" si="111"/>
        <v/>
      </c>
      <c r="AT743" s="259" t="str">
        <f t="shared" si="112"/>
        <v>永顺创</v>
      </c>
      <c r="AU743" s="259" t="str">
        <f t="shared" si="113"/>
        <v>C49SZX20200232SX</v>
      </c>
      <c r="AV743" s="259" t="str">
        <f t="shared" si="114"/>
        <v>Mar-26</v>
      </c>
    </row>
    <row r="744" spans="1:48" hidden="1">
      <c r="A744" s="559">
        <v>1048</v>
      </c>
      <c r="B744" s="664" t="s">
        <v>1125</v>
      </c>
      <c r="C744" s="664" t="s">
        <v>281</v>
      </c>
      <c r="D744" s="645">
        <v>110238</v>
      </c>
      <c r="E744" s="563" t="s">
        <v>886</v>
      </c>
      <c r="F744" s="647" t="s">
        <v>17</v>
      </c>
      <c r="G744" s="647" t="s">
        <v>18</v>
      </c>
      <c r="H744" s="647" t="s">
        <v>27</v>
      </c>
      <c r="I744" s="575" t="s">
        <v>137</v>
      </c>
      <c r="J744" s="575">
        <v>1</v>
      </c>
      <c r="K744" s="647" t="s">
        <v>78</v>
      </c>
      <c r="L744" s="657">
        <v>44281</v>
      </c>
      <c r="M744" s="665" t="s">
        <v>906</v>
      </c>
      <c r="N744" s="647" t="s">
        <v>90</v>
      </c>
      <c r="O744" s="575"/>
      <c r="P744" s="665" t="str">
        <f>VLOOKUP(A744,'[1]Raw data'!$B:$BA,23,FALSE)</f>
        <v>JPY</v>
      </c>
      <c r="Q744" s="647" t="str">
        <f>VLOOKUP(A744,'[1]Raw data'!$B:$Z,2,FALSE)</f>
        <v>C49SZX20200257JY</v>
      </c>
      <c r="R744" s="647" t="str">
        <f>VLOOKUP(A744,'[1]Raw data'!$B:$Z,3,FALSE)</f>
        <v>精德鸿</v>
      </c>
      <c r="S744" s="647" t="str">
        <f>VLOOKUP(A744,'[1]Raw data'!$B:$Z,4,FALSE)</f>
        <v>YSM10</v>
      </c>
      <c r="T744" s="647" t="str">
        <f>VLOOKUP(A744,'[1]Raw data'!$B:$Z,8,FALSE)</f>
        <v>L-&gt;R</v>
      </c>
      <c r="U744" s="647" t="str">
        <f>VLOOKUP(A744,'[1]Raw data'!$B:$Z,9,FALSE)</f>
        <v>MVC</v>
      </c>
      <c r="V744" s="567" t="str">
        <f t="shared" si="119"/>
        <v>WRONG</v>
      </c>
      <c r="W744" s="563" t="str">
        <f>VLOOKUP(A744,'[1]Raw data'!$B:$AG,32,FALSE)</f>
        <v>DAP SZ</v>
      </c>
      <c r="X744" s="647">
        <f>VLOOKUP(A744,'[1]Raw data'!$B:$BA,31,FALSE)</f>
        <v>44193</v>
      </c>
      <c r="Y744" s="647" t="str">
        <f>VLOOKUP(A744,'[1]Raw data'!$B:$AS,39,FALSE)</f>
        <v>Yes</v>
      </c>
      <c r="Z744" s="659"/>
      <c r="AA744" s="660"/>
      <c r="AB744" s="661"/>
      <c r="AC744" s="647" t="s">
        <v>1389</v>
      </c>
      <c r="AD744" s="662">
        <v>311</v>
      </c>
      <c r="AE744" s="662">
        <v>10</v>
      </c>
      <c r="AF744" s="662"/>
      <c r="AG744" s="662"/>
      <c r="AH744" s="662"/>
      <c r="AI744" s="663"/>
      <c r="AN744" s="542"/>
      <c r="AO744" s="824" t="str">
        <f t="shared" si="107"/>
        <v>Yes</v>
      </c>
      <c r="AP744" s="259" t="str">
        <f t="shared" si="108"/>
        <v>APR 21</v>
      </c>
      <c r="AQ744" s="542" t="str">
        <f t="shared" si="109"/>
        <v>有定金+有預留客戶</v>
      </c>
      <c r="AR744" s="259" t="str">
        <f t="shared" si="110"/>
        <v>Shipped_Stock</v>
      </c>
      <c r="AS744" s="259" t="str">
        <f t="shared" si="111"/>
        <v/>
      </c>
      <c r="AT744" s="259" t="str">
        <f t="shared" si="112"/>
        <v>精德鸿</v>
      </c>
      <c r="AU744" s="259" t="str">
        <f t="shared" si="113"/>
        <v>C49SZX20200257JY</v>
      </c>
      <c r="AV744" s="259" t="str">
        <f t="shared" si="114"/>
        <v>Mar-26</v>
      </c>
    </row>
    <row r="745" spans="1:48" hidden="1">
      <c r="A745" s="559">
        <v>1059</v>
      </c>
      <c r="B745" s="664" t="s">
        <v>1125</v>
      </c>
      <c r="C745" s="664" t="s">
        <v>281</v>
      </c>
      <c r="D745" s="645">
        <v>110238</v>
      </c>
      <c r="E745" s="563" t="s">
        <v>886</v>
      </c>
      <c r="F745" s="647" t="s">
        <v>17</v>
      </c>
      <c r="G745" s="647" t="s">
        <v>18</v>
      </c>
      <c r="H745" s="647" t="s">
        <v>27</v>
      </c>
      <c r="I745" s="575" t="s">
        <v>1508</v>
      </c>
      <c r="J745" s="575">
        <v>1</v>
      </c>
      <c r="K745" s="647" t="s">
        <v>78</v>
      </c>
      <c r="L745" s="657">
        <v>44281</v>
      </c>
      <c r="M745" s="665" t="s">
        <v>906</v>
      </c>
      <c r="N745" s="647" t="s">
        <v>90</v>
      </c>
      <c r="O745" s="575"/>
      <c r="P745" s="665" t="str">
        <f>VLOOKUP(A745,'[1]Raw data'!$B:$BA,23,FALSE)</f>
        <v>JPY</v>
      </c>
      <c r="Q745" s="647" t="str">
        <f>VLOOKUP(A745,'[1]Raw data'!$B:$Z,2,FALSE)</f>
        <v>C49SZX20210005SX</v>
      </c>
      <c r="R745" s="647" t="str">
        <f>VLOOKUP(A745,'[1]Raw data'!$B:$Z,3,FALSE)</f>
        <v>品诚伟创</v>
      </c>
      <c r="S745" s="647" t="str">
        <f>VLOOKUP(A745,'[1]Raw data'!$B:$Z,4,FALSE)</f>
        <v>YSM10</v>
      </c>
      <c r="T745" s="647" t="str">
        <f>VLOOKUP(A745,'[1]Raw data'!$B:$Z,8,FALSE)</f>
        <v>L-&gt;R</v>
      </c>
      <c r="U745" s="647" t="str">
        <f>VLOOKUP(A745,'[1]Raw data'!$B:$Z,9,FALSE)</f>
        <v>MVC</v>
      </c>
      <c r="V745" s="567" t="str">
        <f t="shared" si="119"/>
        <v>WRONG</v>
      </c>
      <c r="W745" s="563" t="str">
        <f>VLOOKUP(A745,'[1]Raw data'!$B:$AG,32,FALSE)</f>
        <v>DAP SZ</v>
      </c>
      <c r="X745" s="647">
        <f>VLOOKUP(A745,'[1]Raw data'!$B:$BA,31,FALSE)</f>
        <v>44202</v>
      </c>
      <c r="Y745" s="647" t="str">
        <f>VLOOKUP(A745,'[1]Raw data'!$B:$AS,39,FALSE)</f>
        <v>Yes</v>
      </c>
      <c r="Z745" s="659"/>
      <c r="AA745" s="660"/>
      <c r="AB745" s="661"/>
      <c r="AC745" s="647" t="s">
        <v>1509</v>
      </c>
      <c r="AD745" s="662">
        <v>311</v>
      </c>
      <c r="AE745" s="662">
        <v>10</v>
      </c>
      <c r="AF745" s="662"/>
      <c r="AG745" s="662"/>
      <c r="AH745" s="662"/>
      <c r="AI745" s="663"/>
      <c r="AN745" s="542"/>
      <c r="AO745" s="824" t="str">
        <f t="shared" si="107"/>
        <v>Yes</v>
      </c>
      <c r="AP745" s="259" t="str">
        <f t="shared" si="108"/>
        <v>APR 21</v>
      </c>
      <c r="AQ745" s="542" t="str">
        <f t="shared" si="109"/>
        <v>有定金+有預留客戶</v>
      </c>
      <c r="AR745" s="259" t="str">
        <f t="shared" si="110"/>
        <v>Shipped_Stock</v>
      </c>
      <c r="AS745" s="259" t="str">
        <f t="shared" si="111"/>
        <v/>
      </c>
      <c r="AT745" s="259" t="str">
        <f t="shared" si="112"/>
        <v>品诚伟创</v>
      </c>
      <c r="AU745" s="259" t="str">
        <f t="shared" si="113"/>
        <v>C49SZX20210005SX</v>
      </c>
      <c r="AV745" s="259" t="str">
        <f t="shared" si="114"/>
        <v>Mar-26</v>
      </c>
    </row>
    <row r="746" spans="1:48" hidden="1">
      <c r="A746" s="559">
        <v>1034</v>
      </c>
      <c r="B746" s="664" t="s">
        <v>1125</v>
      </c>
      <c r="C746" s="664" t="s">
        <v>281</v>
      </c>
      <c r="D746" s="645">
        <v>110238</v>
      </c>
      <c r="E746" s="563" t="s">
        <v>886</v>
      </c>
      <c r="F746" s="647" t="s">
        <v>17</v>
      </c>
      <c r="G746" s="647" t="s">
        <v>18</v>
      </c>
      <c r="H746" s="647" t="s">
        <v>26</v>
      </c>
      <c r="I746" s="575" t="s">
        <v>135</v>
      </c>
      <c r="J746" s="575">
        <v>1</v>
      </c>
      <c r="K746" s="647" t="s">
        <v>78</v>
      </c>
      <c r="L746" s="657">
        <v>44281</v>
      </c>
      <c r="M746" s="665" t="s">
        <v>906</v>
      </c>
      <c r="N746" s="647" t="s">
        <v>90</v>
      </c>
      <c r="O746" s="575"/>
      <c r="P746" s="665" t="str">
        <f>VLOOKUP(A746,'[1]Raw data'!$B:$BA,23,FALSE)</f>
        <v>JPY</v>
      </c>
      <c r="Q746" s="647" t="str">
        <f>VLOOKUP(A746,'[1]Raw data'!$B:$Z,2,FALSE)</f>
        <v>C49SZX20200243DZ</v>
      </c>
      <c r="R746" s="647" t="str">
        <f>VLOOKUP(A746,'[1]Raw data'!$B:$Z,3,FALSE)</f>
        <v>朗特</v>
      </c>
      <c r="S746" s="647" t="str">
        <f>VLOOKUP(A746,'[1]Raw data'!$B:$Z,4,FALSE)</f>
        <v>YSM10</v>
      </c>
      <c r="T746" s="647" t="str">
        <f>VLOOKUP(A746,'[1]Raw data'!$B:$Z,8,FALSE)</f>
        <v>R-&gt;L</v>
      </c>
      <c r="U746" s="647" t="str">
        <f>VLOOKUP(A746,'[1]Raw data'!$B:$Z,9,FALSE)</f>
        <v>No</v>
      </c>
      <c r="V746" s="567" t="str">
        <f t="shared" si="119"/>
        <v>OK</v>
      </c>
      <c r="W746" s="563" t="str">
        <f>VLOOKUP(A746,'[1]Raw data'!$B:$AG,32,FALSE)</f>
        <v>CIF HK</v>
      </c>
      <c r="X746" s="647">
        <f>VLOOKUP(A746,'[1]Raw data'!$B:$BA,31,FALSE)</f>
        <v>44182</v>
      </c>
      <c r="Y746" s="647" t="str">
        <f>VLOOKUP(A746,'[1]Raw data'!$B:$AS,39,FALSE)</f>
        <v>Yes</v>
      </c>
      <c r="Z746" s="659"/>
      <c r="AA746" s="660"/>
      <c r="AB746" s="661"/>
      <c r="AC746" s="563" t="s">
        <v>1463</v>
      </c>
      <c r="AD746" s="662">
        <v>301</v>
      </c>
      <c r="AE746" s="662">
        <v>10</v>
      </c>
      <c r="AF746" s="662"/>
      <c r="AG746" s="662"/>
      <c r="AH746" s="662"/>
      <c r="AI746" s="663"/>
      <c r="AN746" s="542"/>
      <c r="AO746" s="824" t="str">
        <f t="shared" si="107"/>
        <v>Yes</v>
      </c>
      <c r="AP746" s="259" t="str">
        <f t="shared" si="108"/>
        <v>APR 21</v>
      </c>
      <c r="AQ746" s="542" t="str">
        <f t="shared" si="109"/>
        <v>有定金+有預留客戶</v>
      </c>
      <c r="AR746" s="259" t="str">
        <f t="shared" si="110"/>
        <v>Shipped_Stock</v>
      </c>
      <c r="AS746" s="259" t="str">
        <f t="shared" si="111"/>
        <v/>
      </c>
      <c r="AT746" s="259" t="str">
        <f t="shared" si="112"/>
        <v>朗特</v>
      </c>
      <c r="AU746" s="259" t="str">
        <f t="shared" si="113"/>
        <v>C49SZX20200243DZ</v>
      </c>
      <c r="AV746" s="259" t="str">
        <f t="shared" si="114"/>
        <v>Mar-26</v>
      </c>
    </row>
    <row r="747" spans="1:48" hidden="1">
      <c r="A747" s="559">
        <v>1035</v>
      </c>
      <c r="B747" s="664" t="s">
        <v>1125</v>
      </c>
      <c r="C747" s="664" t="s">
        <v>281</v>
      </c>
      <c r="D747" s="645">
        <v>110238</v>
      </c>
      <c r="E747" s="563" t="s">
        <v>886</v>
      </c>
      <c r="F747" s="647" t="s">
        <v>17</v>
      </c>
      <c r="G747" s="647" t="s">
        <v>18</v>
      </c>
      <c r="H747" s="647" t="s">
        <v>26</v>
      </c>
      <c r="I747" s="575" t="s">
        <v>134</v>
      </c>
      <c r="J747" s="575">
        <v>1</v>
      </c>
      <c r="K747" s="647" t="s">
        <v>78</v>
      </c>
      <c r="L747" s="657">
        <v>44281</v>
      </c>
      <c r="M747" s="665" t="s">
        <v>906</v>
      </c>
      <c r="N747" s="647" t="s">
        <v>90</v>
      </c>
      <c r="O747" s="575"/>
      <c r="P747" s="665" t="str">
        <f>VLOOKUP(A747,'[1]Raw data'!$B:$BA,23,FALSE)</f>
        <v>JPY</v>
      </c>
      <c r="Q747" s="647" t="str">
        <f>VLOOKUP(A747,'[1]Raw data'!$B:$Z,2,FALSE)</f>
        <v>C49SZX20200243DZ</v>
      </c>
      <c r="R747" s="647" t="str">
        <f>VLOOKUP(A747,'[1]Raw data'!$B:$Z,3,FALSE)</f>
        <v>朗特</v>
      </c>
      <c r="S747" s="647" t="str">
        <f>VLOOKUP(A747,'[1]Raw data'!$B:$Z,4,FALSE)</f>
        <v>YSM10</v>
      </c>
      <c r="T747" s="647" t="str">
        <f>VLOOKUP(A747,'[1]Raw data'!$B:$Z,8,FALSE)</f>
        <v>R-&gt;L</v>
      </c>
      <c r="U747" s="647" t="str">
        <f>VLOOKUP(A747,'[1]Raw data'!$B:$Z,9,FALSE)</f>
        <v>No</v>
      </c>
      <c r="V747" s="567" t="str">
        <f t="shared" si="119"/>
        <v>OK</v>
      </c>
      <c r="W747" s="563" t="str">
        <f>VLOOKUP(A747,'[1]Raw data'!$B:$AG,32,FALSE)</f>
        <v>CIF HK</v>
      </c>
      <c r="X747" s="647">
        <f>VLOOKUP(A747,'[1]Raw data'!$B:$BA,31,FALSE)</f>
        <v>44182</v>
      </c>
      <c r="Y747" s="647" t="str">
        <f>VLOOKUP(A747,'[1]Raw data'!$B:$AS,39,FALSE)</f>
        <v>Yes</v>
      </c>
      <c r="Z747" s="659"/>
      <c r="AA747" s="660"/>
      <c r="AB747" s="661"/>
      <c r="AC747" s="563" t="s">
        <v>1463</v>
      </c>
      <c r="AD747" s="662">
        <v>301</v>
      </c>
      <c r="AE747" s="662">
        <v>10</v>
      </c>
      <c r="AF747" s="662"/>
      <c r="AG747" s="662"/>
      <c r="AH747" s="662"/>
      <c r="AI747" s="663"/>
      <c r="AN747" s="542"/>
      <c r="AO747" s="824" t="str">
        <f t="shared" si="107"/>
        <v>Yes</v>
      </c>
      <c r="AP747" s="259" t="str">
        <f t="shared" si="108"/>
        <v>APR 21</v>
      </c>
      <c r="AQ747" s="542" t="str">
        <f t="shared" si="109"/>
        <v>有定金+有預留客戶</v>
      </c>
      <c r="AR747" s="259" t="str">
        <f t="shared" si="110"/>
        <v>Shipped_Stock</v>
      </c>
      <c r="AS747" s="259" t="str">
        <f t="shared" si="111"/>
        <v/>
      </c>
      <c r="AT747" s="259" t="str">
        <f t="shared" si="112"/>
        <v>朗特</v>
      </c>
      <c r="AU747" s="259" t="str">
        <f t="shared" si="113"/>
        <v>C49SZX20200243DZ</v>
      </c>
      <c r="AV747" s="259" t="str">
        <f t="shared" si="114"/>
        <v>Mar-26</v>
      </c>
    </row>
    <row r="748" spans="1:48" hidden="1">
      <c r="A748" s="559">
        <v>1036</v>
      </c>
      <c r="B748" s="664" t="s">
        <v>1125</v>
      </c>
      <c r="C748" s="664" t="s">
        <v>281</v>
      </c>
      <c r="D748" s="645">
        <v>110238</v>
      </c>
      <c r="E748" s="563" t="s">
        <v>886</v>
      </c>
      <c r="F748" s="647" t="s">
        <v>17</v>
      </c>
      <c r="G748" s="647" t="s">
        <v>18</v>
      </c>
      <c r="H748" s="647" t="s">
        <v>26</v>
      </c>
      <c r="I748" s="575" t="s">
        <v>133</v>
      </c>
      <c r="J748" s="575">
        <v>1</v>
      </c>
      <c r="K748" s="647" t="s">
        <v>78</v>
      </c>
      <c r="L748" s="657">
        <v>44281</v>
      </c>
      <c r="M748" s="665" t="s">
        <v>906</v>
      </c>
      <c r="N748" s="647" t="s">
        <v>90</v>
      </c>
      <c r="O748" s="575"/>
      <c r="P748" s="665" t="str">
        <f>VLOOKUP(A748,'[1]Raw data'!$B:$BA,23,FALSE)</f>
        <v>JPY</v>
      </c>
      <c r="Q748" s="647" t="str">
        <f>VLOOKUP(A748,'[1]Raw data'!$B:$Z,2,FALSE)</f>
        <v>C49SZX20200243DZ</v>
      </c>
      <c r="R748" s="647" t="str">
        <f>VLOOKUP(A748,'[1]Raw data'!$B:$Z,3,FALSE)</f>
        <v>朗特</v>
      </c>
      <c r="S748" s="647" t="str">
        <f>VLOOKUP(A748,'[1]Raw data'!$B:$Z,4,FALSE)</f>
        <v>YSM10</v>
      </c>
      <c r="T748" s="647" t="str">
        <f>VLOOKUP(A748,'[1]Raw data'!$B:$Z,8,FALSE)</f>
        <v>R-&gt;L</v>
      </c>
      <c r="U748" s="647" t="str">
        <f>VLOOKUP(A748,'[1]Raw data'!$B:$Z,9,FALSE)</f>
        <v>No</v>
      </c>
      <c r="V748" s="567" t="str">
        <f t="shared" si="119"/>
        <v>OK</v>
      </c>
      <c r="W748" s="563" t="str">
        <f>VLOOKUP(A748,'[1]Raw data'!$B:$AG,32,FALSE)</f>
        <v>CIF HK</v>
      </c>
      <c r="X748" s="647">
        <f>VLOOKUP(A748,'[1]Raw data'!$B:$BA,31,FALSE)</f>
        <v>44182</v>
      </c>
      <c r="Y748" s="647" t="str">
        <f>VLOOKUP(A748,'[1]Raw data'!$B:$AS,39,FALSE)</f>
        <v>Yes</v>
      </c>
      <c r="Z748" s="659"/>
      <c r="AA748" s="660"/>
      <c r="AB748" s="661"/>
      <c r="AC748" s="563" t="s">
        <v>1463</v>
      </c>
      <c r="AD748" s="662">
        <v>301</v>
      </c>
      <c r="AE748" s="662">
        <v>10</v>
      </c>
      <c r="AF748" s="662"/>
      <c r="AG748" s="662"/>
      <c r="AH748" s="662"/>
      <c r="AI748" s="663"/>
      <c r="AN748" s="542"/>
      <c r="AO748" s="824" t="str">
        <f t="shared" si="107"/>
        <v>Yes</v>
      </c>
      <c r="AP748" s="259" t="str">
        <f t="shared" si="108"/>
        <v>APR 21</v>
      </c>
      <c r="AQ748" s="542" t="str">
        <f t="shared" si="109"/>
        <v>有定金+有預留客戶</v>
      </c>
      <c r="AR748" s="259" t="str">
        <f t="shared" si="110"/>
        <v>Shipped_Stock</v>
      </c>
      <c r="AS748" s="259" t="str">
        <f t="shared" si="111"/>
        <v/>
      </c>
      <c r="AT748" s="259" t="str">
        <f t="shared" si="112"/>
        <v>朗特</v>
      </c>
      <c r="AU748" s="259" t="str">
        <f t="shared" si="113"/>
        <v>C49SZX20200243DZ</v>
      </c>
      <c r="AV748" s="259" t="str">
        <f t="shared" si="114"/>
        <v>Mar-26</v>
      </c>
    </row>
    <row r="749" spans="1:48" hidden="1">
      <c r="A749" s="559">
        <v>1142</v>
      </c>
      <c r="B749" s="664" t="s">
        <v>1125</v>
      </c>
      <c r="C749" s="664" t="s">
        <v>281</v>
      </c>
      <c r="D749" s="645">
        <v>110238</v>
      </c>
      <c r="E749" s="563" t="s">
        <v>886</v>
      </c>
      <c r="F749" s="647" t="s">
        <v>17</v>
      </c>
      <c r="G749" s="647" t="s">
        <v>18</v>
      </c>
      <c r="H749" s="647" t="s">
        <v>26</v>
      </c>
      <c r="I749" s="575" t="s">
        <v>132</v>
      </c>
      <c r="J749" s="575">
        <v>1</v>
      </c>
      <c r="K749" s="647" t="s">
        <v>81</v>
      </c>
      <c r="L749" s="657">
        <v>44281</v>
      </c>
      <c r="M749" s="665" t="s">
        <v>906</v>
      </c>
      <c r="N749" s="647" t="s">
        <v>90</v>
      </c>
      <c r="O749" s="575"/>
      <c r="P749" s="665" t="str">
        <f>VLOOKUP(A749,'[1]Raw data'!$B:$BA,23,FALSE)</f>
        <v>JPY</v>
      </c>
      <c r="Q749" s="647" t="str">
        <f>VLOOKUP(A749,'[1]Raw data'!$B:$Z,2,FALSE)</f>
        <v>C49SZX20210050SX</v>
      </c>
      <c r="R749" s="647" t="str">
        <f>VLOOKUP(A749,'[1]Raw data'!$B:$Z,3,FALSE)</f>
        <v>模鑫</v>
      </c>
      <c r="S749" s="647" t="str">
        <f>VLOOKUP(A749,'[1]Raw data'!$B:$Z,4,FALSE)</f>
        <v>YSM10</v>
      </c>
      <c r="T749" s="647" t="str">
        <f>VLOOKUP(A749,'[1]Raw data'!$B:$Z,8,FALSE)</f>
        <v>R-&gt;L</v>
      </c>
      <c r="U749" s="647" t="str">
        <f>VLOOKUP(A749,'[1]Raw data'!$B:$Z,9,FALSE)</f>
        <v>MVC</v>
      </c>
      <c r="V749" s="567" t="str">
        <f t="shared" si="119"/>
        <v>WRONG</v>
      </c>
      <c r="W749" s="563" t="str">
        <f>VLOOKUP(A749,'[1]Raw data'!$B:$AG,32,FALSE)</f>
        <v>DAP SZ</v>
      </c>
      <c r="X749" s="647">
        <f>VLOOKUP(A749,'[1]Raw data'!$B:$BA,31,FALSE)</f>
        <v>44234</v>
      </c>
      <c r="Y749" s="647" t="str">
        <f>VLOOKUP(A749,'[1]Raw data'!$B:$AS,39,FALSE)</f>
        <v>Yes</v>
      </c>
      <c r="Z749" s="659"/>
      <c r="AA749" s="660"/>
      <c r="AB749" s="661"/>
      <c r="AC749" s="647" t="s">
        <v>1367</v>
      </c>
      <c r="AD749" s="662">
        <v>301</v>
      </c>
      <c r="AE749" s="662">
        <v>10</v>
      </c>
      <c r="AF749" s="662"/>
      <c r="AG749" s="662"/>
      <c r="AH749" s="662"/>
      <c r="AI749" s="663"/>
      <c r="AN749" s="542"/>
      <c r="AO749" s="824" t="str">
        <f t="shared" si="107"/>
        <v>Yes</v>
      </c>
      <c r="AP749" s="259" t="str">
        <f t="shared" si="108"/>
        <v>APR 21</v>
      </c>
      <c r="AQ749" s="542" t="str">
        <f t="shared" si="109"/>
        <v>有定金+有預留客戶</v>
      </c>
      <c r="AR749" s="259" t="str">
        <f t="shared" si="110"/>
        <v>Shipped_Stock</v>
      </c>
      <c r="AS749" s="259" t="str">
        <f t="shared" si="111"/>
        <v/>
      </c>
      <c r="AT749" s="259" t="str">
        <f t="shared" si="112"/>
        <v>模鑫</v>
      </c>
      <c r="AU749" s="259" t="str">
        <f t="shared" si="113"/>
        <v>C49SZX20210050SX</v>
      </c>
      <c r="AV749" s="259" t="str">
        <f t="shared" si="114"/>
        <v>Mar-26</v>
      </c>
    </row>
    <row r="750" spans="1:48" hidden="1">
      <c r="A750" s="599">
        <v>738</v>
      </c>
      <c r="B750" s="664" t="s">
        <v>1125</v>
      </c>
      <c r="C750" s="664" t="s">
        <v>281</v>
      </c>
      <c r="D750" s="645">
        <v>110238</v>
      </c>
      <c r="E750" s="563" t="s">
        <v>886</v>
      </c>
      <c r="F750" s="647" t="s">
        <v>17</v>
      </c>
      <c r="G750" s="647" t="s">
        <v>18</v>
      </c>
      <c r="H750" s="647" t="s">
        <v>26</v>
      </c>
      <c r="I750" s="575" t="s">
        <v>130</v>
      </c>
      <c r="J750" s="575">
        <v>1</v>
      </c>
      <c r="K750" s="647" t="s">
        <v>81</v>
      </c>
      <c r="L750" s="657">
        <v>44281</v>
      </c>
      <c r="M750" s="665" t="s">
        <v>906</v>
      </c>
      <c r="N750" s="647" t="s">
        <v>28</v>
      </c>
      <c r="O750" s="575"/>
      <c r="P750" s="665" t="str">
        <f>VLOOKUP(A750,'[1]Raw data'!$B:$BA,23,FALSE)</f>
        <v>JPY</v>
      </c>
      <c r="Q750" s="647" t="str">
        <f>VLOOKUP(A750,'[1]Raw data'!$B:$Z,2,FALSE)</f>
        <v>C49SZX20200093R1SS</v>
      </c>
      <c r="R750" s="647" t="str">
        <f>VLOOKUP(A750,'[1]Raw data'!$B:$Z,3,FALSE)</f>
        <v>弛瑞</v>
      </c>
      <c r="S750" s="647" t="str">
        <f>VLOOKUP(A750,'[1]Raw data'!$B:$Z,4,FALSE)</f>
        <v>YSM10</v>
      </c>
      <c r="T750" s="647" t="str">
        <f>VLOOKUP(A750,'[1]Raw data'!$B:$Z,8,FALSE)</f>
        <v>L-&gt;R</v>
      </c>
      <c r="U750" s="647" t="str">
        <f>VLOOKUP(A750,'[1]Raw data'!$B:$Z,9,FALSE)</f>
        <v>No</v>
      </c>
      <c r="V750" s="567" t="str">
        <f t="shared" si="119"/>
        <v>WRONG</v>
      </c>
      <c r="W750" s="563" t="str">
        <f>VLOOKUP(A750,'[1]Raw data'!$B:$AG,32,FALSE)</f>
        <v>DAP SZ</v>
      </c>
      <c r="X750" s="647">
        <f>VLOOKUP(A750,'[1]Raw data'!$B:$BA,31,FALSE)</f>
        <v>44229</v>
      </c>
      <c r="Y750" s="647" t="str">
        <f>VLOOKUP(A750,'[1]Raw data'!$B:$AS,39,FALSE)</f>
        <v>Yes</v>
      </c>
      <c r="Z750" s="659"/>
      <c r="AA750" s="660"/>
      <c r="AB750" s="661"/>
      <c r="AC750" s="647" t="s">
        <v>1510</v>
      </c>
      <c r="AD750" s="575">
        <v>301</v>
      </c>
      <c r="AE750" s="575">
        <v>10</v>
      </c>
      <c r="AF750" s="575"/>
      <c r="AG750" s="575"/>
      <c r="AH750" s="575"/>
      <c r="AI750" s="679"/>
      <c r="AJ750" s="564"/>
      <c r="AK750" s="564"/>
      <c r="AL750" s="564"/>
      <c r="AM750" s="564"/>
      <c r="AN750" s="614"/>
      <c r="AO750" s="824" t="str">
        <f t="shared" si="107"/>
        <v>Yes</v>
      </c>
      <c r="AP750" s="259" t="str">
        <f t="shared" si="108"/>
        <v>MAR 21</v>
      </c>
      <c r="AQ750" s="542" t="str">
        <f t="shared" si="109"/>
        <v>有定金+有預留客戶</v>
      </c>
      <c r="AR750" s="259" t="str">
        <f t="shared" si="110"/>
        <v>Shipped_Stock</v>
      </c>
      <c r="AS750" s="259" t="str">
        <f t="shared" si="111"/>
        <v/>
      </c>
      <c r="AT750" s="259" t="str">
        <f t="shared" si="112"/>
        <v>弛瑞</v>
      </c>
      <c r="AU750" s="259" t="str">
        <f t="shared" si="113"/>
        <v>C49SZX20200093R1SS</v>
      </c>
      <c r="AV750" s="259" t="str">
        <f t="shared" si="114"/>
        <v>Mar-26</v>
      </c>
    </row>
    <row r="751" spans="1:48" hidden="1">
      <c r="A751" s="559">
        <v>1367</v>
      </c>
      <c r="B751" s="664" t="s">
        <v>1125</v>
      </c>
      <c r="C751" s="664" t="s">
        <v>281</v>
      </c>
      <c r="D751" s="645">
        <v>110238</v>
      </c>
      <c r="E751" s="563" t="s">
        <v>886</v>
      </c>
      <c r="F751" s="647" t="s">
        <v>17</v>
      </c>
      <c r="G751" s="647" t="s">
        <v>18</v>
      </c>
      <c r="H751" s="647" t="s">
        <v>26</v>
      </c>
      <c r="I751" s="575" t="s">
        <v>127</v>
      </c>
      <c r="J751" s="575">
        <v>1</v>
      </c>
      <c r="K751" s="647" t="s">
        <v>81</v>
      </c>
      <c r="L751" s="657">
        <v>44281</v>
      </c>
      <c r="M751" s="665" t="s">
        <v>906</v>
      </c>
      <c r="N751" s="647" t="s">
        <v>110</v>
      </c>
      <c r="O751" s="575"/>
      <c r="P751" s="665" t="str">
        <f>VLOOKUP(A751,'[1]Raw data'!$B:$BA,23,FALSE)</f>
        <v>JPY</v>
      </c>
      <c r="Q751" s="647" t="str">
        <f>VLOOKUP(A751,'[1]Raw data'!$B:$Z,2,FALSE)</f>
        <v>C49SZX20210140DZ</v>
      </c>
      <c r="R751" s="647" t="str">
        <f>VLOOKUP(A751,'[1]Raw data'!$B:$Z,3,FALSE)</f>
        <v>锘铧</v>
      </c>
      <c r="S751" s="647" t="str">
        <f>VLOOKUP(A751,'[1]Raw data'!$B:$Z,4,FALSE)</f>
        <v>YSM10</v>
      </c>
      <c r="T751" s="647" t="str">
        <f>VLOOKUP(A751,'[1]Raw data'!$B:$Z,8,FALSE)</f>
        <v>L-&gt;R</v>
      </c>
      <c r="U751" s="647" t="str">
        <f>VLOOKUP(A751,'[1]Raw data'!$B:$Z,9,FALSE)</f>
        <v>MVC</v>
      </c>
      <c r="V751" s="567" t="str">
        <f t="shared" si="119"/>
        <v>WRONG</v>
      </c>
      <c r="W751" s="563" t="str">
        <f>VLOOKUP(A751,'[1]Raw data'!$B:$AG,32,FALSE)</f>
        <v>DAP GZ</v>
      </c>
      <c r="X751" s="647">
        <f>VLOOKUP(A751,'[1]Raw data'!$B:$BA,31,FALSE)</f>
        <v>44327</v>
      </c>
      <c r="Y751" s="647" t="str">
        <f>VLOOKUP(A751,'[1]Raw data'!$B:$AS,39,FALSE)</f>
        <v>Yes</v>
      </c>
      <c r="Z751" s="659"/>
      <c r="AA751" s="660"/>
      <c r="AB751" s="661"/>
      <c r="AC751" s="563" t="s">
        <v>621</v>
      </c>
      <c r="AD751" s="662">
        <v>301</v>
      </c>
      <c r="AE751" s="662">
        <v>10</v>
      </c>
      <c r="AF751" s="662"/>
      <c r="AG751" s="662"/>
      <c r="AH751" s="662"/>
      <c r="AI751" s="663"/>
      <c r="AN751" s="542"/>
      <c r="AO751" s="824" t="str">
        <f t="shared" si="107"/>
        <v>Yes</v>
      </c>
      <c r="AP751" s="259" t="str">
        <f t="shared" si="108"/>
        <v>MAY 21</v>
      </c>
      <c r="AQ751" s="542" t="str">
        <f t="shared" si="109"/>
        <v>有定金+有預留客戶</v>
      </c>
      <c r="AR751" s="259" t="str">
        <f t="shared" si="110"/>
        <v>Shipped_Stock</v>
      </c>
      <c r="AS751" s="259" t="str">
        <f t="shared" si="111"/>
        <v/>
      </c>
      <c r="AT751" s="259" t="str">
        <f t="shared" si="112"/>
        <v>锘铧</v>
      </c>
      <c r="AU751" s="259" t="str">
        <f t="shared" si="113"/>
        <v>C49SZX20210140DZ</v>
      </c>
      <c r="AV751" s="259" t="str">
        <f t="shared" si="114"/>
        <v>Mar-26</v>
      </c>
    </row>
    <row r="752" spans="1:48" hidden="1">
      <c r="A752" s="716" t="s">
        <v>1511</v>
      </c>
      <c r="B752" s="664" t="s">
        <v>1125</v>
      </c>
      <c r="C752" s="664" t="s">
        <v>281</v>
      </c>
      <c r="D752" s="645">
        <v>110238</v>
      </c>
      <c r="E752" s="563" t="s">
        <v>886</v>
      </c>
      <c r="F752" s="647" t="s">
        <v>17</v>
      </c>
      <c r="G752" s="647" t="s">
        <v>18</v>
      </c>
      <c r="H752" s="647" t="s">
        <v>34</v>
      </c>
      <c r="I752" s="575" t="s">
        <v>1512</v>
      </c>
      <c r="J752" s="575">
        <v>1</v>
      </c>
      <c r="K752" s="647" t="s">
        <v>82</v>
      </c>
      <c r="L752" s="657">
        <v>44281</v>
      </c>
      <c r="M752" s="665" t="s">
        <v>1513</v>
      </c>
      <c r="N752" s="647"/>
      <c r="O752" s="575"/>
      <c r="P752" s="665" t="s">
        <v>1246</v>
      </c>
      <c r="Q752" s="647" t="s">
        <v>1514</v>
      </c>
      <c r="R752" s="725" t="s">
        <v>1515</v>
      </c>
      <c r="S752" s="647" t="s">
        <v>241</v>
      </c>
      <c r="T752" s="647" t="s">
        <v>1516</v>
      </c>
      <c r="U752" s="647" t="s">
        <v>292</v>
      </c>
      <c r="V752" s="567" t="str">
        <f t="shared" si="119"/>
        <v>WRONG</v>
      </c>
      <c r="W752" s="563" t="e">
        <f>VLOOKUP(A752,'[1]Raw data'!$B:$AG,32,FALSE)</f>
        <v>#N/A</v>
      </c>
      <c r="X752" s="647" t="e">
        <f>VLOOKUP(A752,'[1]Raw data'!$B:$BA,31,FALSE)</f>
        <v>#N/A</v>
      </c>
      <c r="Y752" s="647" t="s">
        <v>291</v>
      </c>
      <c r="Z752" s="659"/>
      <c r="AA752" s="660"/>
      <c r="AB752" s="661"/>
      <c r="AC752" s="647" t="s">
        <v>291</v>
      </c>
      <c r="AD752" s="662">
        <v>301</v>
      </c>
      <c r="AE752" s="662">
        <v>10</v>
      </c>
      <c r="AF752" s="662"/>
      <c r="AG752" s="662"/>
      <c r="AH752" s="662"/>
      <c r="AI752" s="663"/>
      <c r="AN752" s="542"/>
      <c r="AO752" s="824" t="str">
        <f t="shared" si="107"/>
        <v>Yes</v>
      </c>
      <c r="AP752" s="259" t="str">
        <f t="shared" si="108"/>
        <v>blank</v>
      </c>
      <c r="AQ752" s="542" t="str">
        <f t="shared" si="109"/>
        <v>有定金+无客戶送貨期</v>
      </c>
      <c r="AR752" s="259" t="str">
        <f t="shared" si="110"/>
        <v>Shipped_Stock</v>
      </c>
      <c r="AS752" s="259" t="str">
        <f t="shared" si="111"/>
        <v/>
      </c>
      <c r="AT752" s="259" t="str">
        <f t="shared" si="112"/>
        <v>上海多越</v>
      </c>
      <c r="AU752" s="259" t="str">
        <f t="shared" si="113"/>
        <v>C49SHA20210326</v>
      </c>
      <c r="AV752" s="259" t="str">
        <f t="shared" si="114"/>
        <v>Mar-26</v>
      </c>
    </row>
    <row r="753" spans="1:48" ht="21.75" hidden="1">
      <c r="A753" s="559">
        <v>1399</v>
      </c>
      <c r="B753" s="664" t="s">
        <v>1125</v>
      </c>
      <c r="C753" s="664" t="s">
        <v>281</v>
      </c>
      <c r="D753" s="645">
        <v>110238</v>
      </c>
      <c r="E753" s="563" t="s">
        <v>886</v>
      </c>
      <c r="F753" s="647" t="s">
        <v>17</v>
      </c>
      <c r="G753" s="647" t="s">
        <v>18</v>
      </c>
      <c r="H753" s="647" t="s">
        <v>34</v>
      </c>
      <c r="I753" s="575" t="s">
        <v>126</v>
      </c>
      <c r="J753" s="575">
        <v>1</v>
      </c>
      <c r="K753" s="647" t="s">
        <v>1419</v>
      </c>
      <c r="L753" s="657">
        <v>44281</v>
      </c>
      <c r="M753" s="678" t="s">
        <v>1517</v>
      </c>
      <c r="N753" s="647" t="s">
        <v>97</v>
      </c>
      <c r="O753" s="575"/>
      <c r="P753" s="665" t="str">
        <f>VLOOKUP(A753,'[1]Raw data'!$B:$BA,23,FALSE)</f>
        <v>JPY</v>
      </c>
      <c r="Q753" s="647" t="str">
        <f>VLOOKUP(A753,'[1]Raw data'!$B:$Z,2,FALSE)</f>
        <v>C49SZX20210144VG</v>
      </c>
      <c r="R753" s="647" t="str">
        <f>VLOOKUP(A753,'[1]Raw data'!$B:$Z,3,FALSE)</f>
        <v>鑫华锋</v>
      </c>
      <c r="S753" s="647" t="str">
        <f>VLOOKUP(A753,'[1]Raw data'!$B:$Z,4,FALSE)</f>
        <v>YSM10</v>
      </c>
      <c r="T753" s="647" t="str">
        <f>VLOOKUP(A753,'[1]Raw data'!$B:$Z,8,FALSE)</f>
        <v>L-&gt;R</v>
      </c>
      <c r="U753" s="647" t="str">
        <f>VLOOKUP(A753,'[1]Raw data'!$B:$Z,9,FALSE)</f>
        <v>MVC+ATS15</v>
      </c>
      <c r="V753" s="567" t="str">
        <f t="shared" si="119"/>
        <v>WRONG</v>
      </c>
      <c r="W753" s="563" t="str">
        <f>VLOOKUP(A753,'[1]Raw data'!$B:$AG,32,FALSE)</f>
        <v>DAP SZ</v>
      </c>
      <c r="X753" s="647">
        <f>VLOOKUP(A753,'[1]Raw data'!$B:$BA,31,FALSE)</f>
        <v>44344</v>
      </c>
      <c r="Y753" s="647" t="str">
        <f>VLOOKUP(A753,'[1]Raw data'!$B:$AS,39,FALSE)</f>
        <v>Yes</v>
      </c>
      <c r="Z753" s="659"/>
      <c r="AA753" s="660"/>
      <c r="AB753" s="661"/>
      <c r="AC753" s="647" t="s">
        <v>1518</v>
      </c>
      <c r="AD753" s="662">
        <v>301</v>
      </c>
      <c r="AE753" s="662">
        <v>10</v>
      </c>
      <c r="AF753" s="662"/>
      <c r="AG753" s="662"/>
      <c r="AH753" s="662"/>
      <c r="AI753" s="663"/>
      <c r="AN753" s="542"/>
      <c r="AO753" s="824" t="str">
        <f t="shared" si="107"/>
        <v>Yes</v>
      </c>
      <c r="AP753" s="259" t="str">
        <f t="shared" si="108"/>
        <v>JUL 21</v>
      </c>
      <c r="AQ753" s="542" t="str">
        <f t="shared" si="109"/>
        <v>有定金+有預留客戶</v>
      </c>
      <c r="AR753" s="259" t="str">
        <f t="shared" si="110"/>
        <v>Shipped_Stock</v>
      </c>
      <c r="AS753" s="259" t="str">
        <f t="shared" si="111"/>
        <v/>
      </c>
      <c r="AT753" s="259" t="str">
        <f t="shared" si="112"/>
        <v>鑫华锋</v>
      </c>
      <c r="AU753" s="259" t="str">
        <f t="shared" si="113"/>
        <v>C49SZX20210144VG</v>
      </c>
      <c r="AV753" s="259" t="str">
        <f t="shared" si="114"/>
        <v>Mar-26</v>
      </c>
    </row>
    <row r="754" spans="1:48" hidden="1">
      <c r="A754" s="559">
        <v>1047</v>
      </c>
      <c r="B754" s="664" t="s">
        <v>1125</v>
      </c>
      <c r="C754" s="664" t="s">
        <v>15</v>
      </c>
      <c r="D754" s="645">
        <v>110153</v>
      </c>
      <c r="E754" s="563" t="s">
        <v>886</v>
      </c>
      <c r="F754" s="647" t="s">
        <v>58</v>
      </c>
      <c r="G754" s="647" t="s">
        <v>24</v>
      </c>
      <c r="H754" s="647" t="s">
        <v>26</v>
      </c>
      <c r="I754" s="575" t="s">
        <v>183</v>
      </c>
      <c r="J754" s="575">
        <v>1</v>
      </c>
      <c r="K754" s="647" t="s">
        <v>81</v>
      </c>
      <c r="L754" s="657">
        <v>44284</v>
      </c>
      <c r="M754" s="665" t="s">
        <v>906</v>
      </c>
      <c r="N754" s="647" t="s">
        <v>90</v>
      </c>
      <c r="O754" s="575"/>
      <c r="P754" s="665" t="str">
        <f>VLOOKUP(A754,'[1]Raw data'!$B:$BA,23,FALSE)</f>
        <v>JPY</v>
      </c>
      <c r="Q754" s="647" t="str">
        <f>VLOOKUP(A754,'[1]Raw data'!$B:$Z,2,FALSE)</f>
        <v>C49SZX20200257JY</v>
      </c>
      <c r="R754" s="647" t="str">
        <f>VLOOKUP(A754,'[1]Raw data'!$B:$Z,3,FALSE)</f>
        <v>精德鸿</v>
      </c>
      <c r="S754" s="647" t="str">
        <f>VLOOKUP(A754,'[1]Raw data'!$B:$Z,4,FALSE)</f>
        <v>YSM20R-2</v>
      </c>
      <c r="T754" s="647" t="str">
        <f>VLOOKUP(A754,'[1]Raw data'!$B:$Z,8,FALSE)</f>
        <v>L-&gt;R</v>
      </c>
      <c r="U754" s="647" t="str">
        <f>VLOOKUP(A754,'[1]Raw data'!$B:$Z,9,FALSE)</f>
        <v>No</v>
      </c>
      <c r="V754" s="567" t="str">
        <f t="shared" si="118"/>
        <v>OK</v>
      </c>
      <c r="W754" s="563" t="str">
        <f>VLOOKUP(A754,'[1]Raw data'!$B:$AG,32,FALSE)</f>
        <v>DAP SZ</v>
      </c>
      <c r="X754" s="647">
        <f>VLOOKUP(A754,'[1]Raw data'!$B:$BA,31,FALSE)</f>
        <v>44193</v>
      </c>
      <c r="Y754" s="647" t="str">
        <f>VLOOKUP(A754,'[1]Raw data'!$B:$AS,39,FALSE)</f>
        <v>Yes</v>
      </c>
      <c r="Z754" s="659"/>
      <c r="AA754" s="660"/>
      <c r="AB754" s="661"/>
      <c r="AC754" s="647" t="s">
        <v>1389</v>
      </c>
      <c r="AD754" s="662">
        <v>301</v>
      </c>
      <c r="AE754" s="662">
        <v>20</v>
      </c>
      <c r="AF754" s="662"/>
      <c r="AG754" s="662"/>
      <c r="AH754" s="662"/>
      <c r="AI754" s="663"/>
      <c r="AN754" s="542"/>
      <c r="AO754" s="824" t="str">
        <f t="shared" si="107"/>
        <v>Yes</v>
      </c>
      <c r="AP754" s="259" t="str">
        <f t="shared" si="108"/>
        <v>APR 21</v>
      </c>
      <c r="AQ754" s="542" t="str">
        <f t="shared" si="109"/>
        <v>有定金+有預留客戶</v>
      </c>
      <c r="AR754" s="259" t="str">
        <f t="shared" si="110"/>
        <v>Shipped_Stock</v>
      </c>
      <c r="AS754" s="259" t="str">
        <f t="shared" si="111"/>
        <v/>
      </c>
      <c r="AT754" s="259" t="str">
        <f t="shared" si="112"/>
        <v>精德鸿</v>
      </c>
      <c r="AU754" s="259" t="str">
        <f t="shared" si="113"/>
        <v>C49SZX20200257JY</v>
      </c>
      <c r="AV754" s="259" t="str">
        <f t="shared" si="114"/>
        <v>Mar-29</v>
      </c>
    </row>
    <row r="755" spans="1:48" hidden="1">
      <c r="A755" s="559">
        <v>1057</v>
      </c>
      <c r="B755" s="664" t="s">
        <v>1125</v>
      </c>
      <c r="C755" s="664" t="s">
        <v>15</v>
      </c>
      <c r="D755" s="645">
        <v>110153</v>
      </c>
      <c r="E755" s="563" t="s">
        <v>886</v>
      </c>
      <c r="F755" s="647" t="s">
        <v>58</v>
      </c>
      <c r="G755" s="647" t="s">
        <v>24</v>
      </c>
      <c r="H755" s="647" t="s">
        <v>26</v>
      </c>
      <c r="I755" s="575" t="s">
        <v>1519</v>
      </c>
      <c r="J755" s="575">
        <v>1</v>
      </c>
      <c r="K755" s="647" t="s">
        <v>81</v>
      </c>
      <c r="L755" s="657">
        <v>44284</v>
      </c>
      <c r="M755" s="665" t="s">
        <v>906</v>
      </c>
      <c r="N755" s="647" t="s">
        <v>90</v>
      </c>
      <c r="O755" s="575"/>
      <c r="P755" s="665" t="str">
        <f>VLOOKUP(A755,'[1]Raw data'!$B:$BA,23,FALSE)</f>
        <v>JPY</v>
      </c>
      <c r="Q755" s="647" t="str">
        <f>VLOOKUP(A755,'[1]Raw data'!$B:$Z,2,FALSE)</f>
        <v>C49SZX20210001SS</v>
      </c>
      <c r="R755" s="647" t="str">
        <f>VLOOKUP(A755,'[1]Raw data'!$B:$Z,3,FALSE)</f>
        <v>乐凡电子</v>
      </c>
      <c r="S755" s="647" t="str">
        <f>VLOOKUP(A755,'[1]Raw data'!$B:$Z,4,FALSE)</f>
        <v>YSM20R-2</v>
      </c>
      <c r="T755" s="647" t="str">
        <f>VLOOKUP(A755,'[1]Raw data'!$B:$Z,8,FALSE)</f>
        <v>L-&gt;R</v>
      </c>
      <c r="U755" s="647" t="str">
        <f>VLOOKUP(A755,'[1]Raw data'!$B:$Z,9,FALSE)</f>
        <v>No</v>
      </c>
      <c r="V755" s="567" t="str">
        <f t="shared" si="118"/>
        <v>OK</v>
      </c>
      <c r="W755" s="563" t="str">
        <f>VLOOKUP(A755,'[1]Raw data'!$B:$AG,32,FALSE)</f>
        <v>DAP SZ</v>
      </c>
      <c r="X755" s="647">
        <f>VLOOKUP(A755,'[1]Raw data'!$B:$BA,31,FALSE)</f>
        <v>44196</v>
      </c>
      <c r="Y755" s="647" t="str">
        <f>VLOOKUP(A755,'[1]Raw data'!$B:$AS,39,FALSE)</f>
        <v>Yes</v>
      </c>
      <c r="Z755" s="659"/>
      <c r="AA755" s="660"/>
      <c r="AB755" s="661"/>
      <c r="AC755" s="647" t="s">
        <v>970</v>
      </c>
      <c r="AD755" s="662">
        <v>301</v>
      </c>
      <c r="AE755" s="662">
        <v>10</v>
      </c>
      <c r="AF755" s="662">
        <v>312</v>
      </c>
      <c r="AG755" s="662">
        <v>10</v>
      </c>
      <c r="AH755" s="662"/>
      <c r="AI755" s="663"/>
      <c r="AN755" s="542"/>
      <c r="AO755" s="824" t="str">
        <f t="shared" si="107"/>
        <v>Yes</v>
      </c>
      <c r="AP755" s="259" t="str">
        <f t="shared" si="108"/>
        <v>APR 21</v>
      </c>
      <c r="AQ755" s="542" t="str">
        <f t="shared" si="109"/>
        <v>有定金+有預留客戶</v>
      </c>
      <c r="AR755" s="259" t="str">
        <f t="shared" si="110"/>
        <v>Shipped_Stock</v>
      </c>
      <c r="AS755" s="259" t="str">
        <f t="shared" si="111"/>
        <v/>
      </c>
      <c r="AT755" s="259" t="str">
        <f t="shared" si="112"/>
        <v>乐凡电子</v>
      </c>
      <c r="AU755" s="259" t="str">
        <f t="shared" si="113"/>
        <v>C49SZX20210001SS</v>
      </c>
      <c r="AV755" s="259" t="str">
        <f t="shared" si="114"/>
        <v>Mar-29</v>
      </c>
    </row>
    <row r="756" spans="1:48" hidden="1">
      <c r="A756" s="559">
        <v>1046</v>
      </c>
      <c r="B756" s="664" t="s">
        <v>1125</v>
      </c>
      <c r="C756" s="664" t="s">
        <v>15</v>
      </c>
      <c r="D756" s="645">
        <v>110153</v>
      </c>
      <c r="E756" s="563" t="s">
        <v>886</v>
      </c>
      <c r="F756" s="647" t="s">
        <v>58</v>
      </c>
      <c r="G756" s="647" t="s">
        <v>24</v>
      </c>
      <c r="H756" s="647" t="s">
        <v>26</v>
      </c>
      <c r="I756" s="575" t="s">
        <v>182</v>
      </c>
      <c r="J756" s="575">
        <v>1</v>
      </c>
      <c r="K756" s="647" t="s">
        <v>81</v>
      </c>
      <c r="L756" s="657">
        <v>44284</v>
      </c>
      <c r="M756" s="665" t="s">
        <v>906</v>
      </c>
      <c r="N756" s="647" t="s">
        <v>90</v>
      </c>
      <c r="O756" s="575"/>
      <c r="P756" s="665" t="str">
        <f>VLOOKUP(A756,'[1]Raw data'!$B:$BA,23,FALSE)</f>
        <v>JPY</v>
      </c>
      <c r="Q756" s="647" t="str">
        <f>VLOOKUP(A756,'[1]Raw data'!$B:$Z,2,FALSE)</f>
        <v>C49SZX20200257JY</v>
      </c>
      <c r="R756" s="647" t="str">
        <f>VLOOKUP(A756,'[1]Raw data'!$B:$Z,3,FALSE)</f>
        <v>精德鸿</v>
      </c>
      <c r="S756" s="647" t="str">
        <f>VLOOKUP(A756,'[1]Raw data'!$B:$Z,4,FALSE)</f>
        <v>YSM20R-2</v>
      </c>
      <c r="T756" s="647" t="str">
        <f>VLOOKUP(A756,'[1]Raw data'!$B:$Z,8,FALSE)</f>
        <v>L-&gt;R</v>
      </c>
      <c r="U756" s="647" t="str">
        <f>VLOOKUP(A756,'[1]Raw data'!$B:$Z,9,FALSE)</f>
        <v>No</v>
      </c>
      <c r="V756" s="567" t="str">
        <f t="shared" ref="V756:V764" si="120">IF(G756&amp;H756=T756&amp;U756,"OK","WRONG")</f>
        <v>OK</v>
      </c>
      <c r="W756" s="563" t="str">
        <f>VLOOKUP(A756,'[1]Raw data'!$B:$AG,32,FALSE)</f>
        <v>DAP SZ</v>
      </c>
      <c r="X756" s="647">
        <f>VLOOKUP(A756,'[1]Raw data'!$B:$BA,31,FALSE)</f>
        <v>44193</v>
      </c>
      <c r="Y756" s="647" t="str">
        <f>VLOOKUP(A756,'[1]Raw data'!$B:$AS,39,FALSE)</f>
        <v>Yes</v>
      </c>
      <c r="Z756" s="659"/>
      <c r="AA756" s="660"/>
      <c r="AB756" s="661"/>
      <c r="AC756" s="647" t="s">
        <v>1389</v>
      </c>
      <c r="AD756" s="662">
        <v>301</v>
      </c>
      <c r="AE756" s="662">
        <v>10</v>
      </c>
      <c r="AF756" s="662">
        <v>312</v>
      </c>
      <c r="AG756" s="662">
        <v>10</v>
      </c>
      <c r="AH756" s="662"/>
      <c r="AI756" s="663"/>
      <c r="AN756" s="542"/>
      <c r="AO756" s="824" t="str">
        <f t="shared" si="107"/>
        <v>Yes</v>
      </c>
      <c r="AP756" s="259" t="str">
        <f t="shared" si="108"/>
        <v>APR 21</v>
      </c>
      <c r="AQ756" s="542" t="str">
        <f t="shared" si="109"/>
        <v>有定金+有預留客戶</v>
      </c>
      <c r="AR756" s="259" t="str">
        <f t="shared" si="110"/>
        <v>Shipped_Stock</v>
      </c>
      <c r="AS756" s="259" t="str">
        <f t="shared" si="111"/>
        <v/>
      </c>
      <c r="AT756" s="259" t="str">
        <f t="shared" si="112"/>
        <v>精德鸿</v>
      </c>
      <c r="AU756" s="259" t="str">
        <f t="shared" si="113"/>
        <v>C49SZX20200257JY</v>
      </c>
      <c r="AV756" s="259" t="str">
        <f t="shared" si="114"/>
        <v>Mar-29</v>
      </c>
    </row>
    <row r="757" spans="1:48" hidden="1">
      <c r="A757" s="559">
        <v>1168</v>
      </c>
      <c r="B757" s="664" t="s">
        <v>1125</v>
      </c>
      <c r="C757" s="664" t="s">
        <v>15</v>
      </c>
      <c r="D757" s="645">
        <v>110153</v>
      </c>
      <c r="E757" s="563" t="s">
        <v>886</v>
      </c>
      <c r="F757" s="647" t="s">
        <v>58</v>
      </c>
      <c r="G757" s="647" t="s">
        <v>24</v>
      </c>
      <c r="H757" s="647" t="s">
        <v>26</v>
      </c>
      <c r="I757" s="575" t="s">
        <v>1520</v>
      </c>
      <c r="J757" s="575">
        <v>1</v>
      </c>
      <c r="K757" s="647" t="s">
        <v>81</v>
      </c>
      <c r="L757" s="657">
        <v>44284</v>
      </c>
      <c r="M757" s="665" t="s">
        <v>906</v>
      </c>
      <c r="N757" s="647" t="s">
        <v>90</v>
      </c>
      <c r="O757" s="575"/>
      <c r="P757" s="665" t="str">
        <f>VLOOKUP(A757,'[1]Raw data'!$B:$BA,23,FALSE)</f>
        <v>JPY</v>
      </c>
      <c r="Q757" s="647" t="str">
        <f>VLOOKUP(A757,'[1]Raw data'!$B:$Z,2,FALSE)</f>
        <v>C49SZX20210049MX</v>
      </c>
      <c r="R757" s="647" t="str">
        <f>VLOOKUP(A757,'[1]Raw data'!$B:$Z,3,FALSE)</f>
        <v>智序</v>
      </c>
      <c r="S757" s="647" t="str">
        <f>VLOOKUP(A757,'[1]Raw data'!$B:$Z,4,FALSE)</f>
        <v>YSM20R-2</v>
      </c>
      <c r="T757" s="647" t="str">
        <f>VLOOKUP(A757,'[1]Raw data'!$B:$Z,8,FALSE)</f>
        <v>L-&gt;R</v>
      </c>
      <c r="U757" s="647" t="str">
        <f>VLOOKUP(A757,'[1]Raw data'!$B:$Z,9,FALSE)</f>
        <v>No</v>
      </c>
      <c r="V757" s="567" t="str">
        <f t="shared" si="120"/>
        <v>OK</v>
      </c>
      <c r="W757" s="563" t="str">
        <f>VLOOKUP(A757,'[1]Raw data'!$B:$AG,32,FALSE)</f>
        <v>DAP SZ</v>
      </c>
      <c r="X757" s="647">
        <f>VLOOKUP(A757,'[1]Raw data'!$B:$BA,31,FALSE)</f>
        <v>44256</v>
      </c>
      <c r="Y757" s="647" t="str">
        <f>VLOOKUP(A757,'[1]Raw data'!$B:$AS,39,FALSE)</f>
        <v>Yes</v>
      </c>
      <c r="Z757" s="659"/>
      <c r="AA757" s="660"/>
      <c r="AB757" s="661"/>
      <c r="AC757" s="647" t="s">
        <v>1521</v>
      </c>
      <c r="AD757" s="662">
        <v>301</v>
      </c>
      <c r="AE757" s="662">
        <v>10</v>
      </c>
      <c r="AF757" s="662">
        <v>312</v>
      </c>
      <c r="AG757" s="662">
        <v>10</v>
      </c>
      <c r="AH757" s="662"/>
      <c r="AI757" s="663"/>
      <c r="AN757" s="542"/>
      <c r="AO757" s="824" t="str">
        <f t="shared" si="107"/>
        <v>Yes</v>
      </c>
      <c r="AP757" s="259" t="str">
        <f t="shared" si="108"/>
        <v>APR 21</v>
      </c>
      <c r="AQ757" s="542" t="str">
        <f t="shared" si="109"/>
        <v>有定金+有預留客戶</v>
      </c>
      <c r="AR757" s="259" t="str">
        <f t="shared" si="110"/>
        <v>Shipped_Stock</v>
      </c>
      <c r="AS757" s="259" t="str">
        <f t="shared" si="111"/>
        <v/>
      </c>
      <c r="AT757" s="259" t="str">
        <f t="shared" si="112"/>
        <v>智序</v>
      </c>
      <c r="AU757" s="259" t="str">
        <f t="shared" si="113"/>
        <v>C49SZX20210049MX</v>
      </c>
      <c r="AV757" s="259" t="str">
        <f t="shared" si="114"/>
        <v>Mar-29</v>
      </c>
    </row>
    <row r="758" spans="1:48" hidden="1">
      <c r="A758" s="559">
        <v>1018</v>
      </c>
      <c r="B758" s="664" t="s">
        <v>1125</v>
      </c>
      <c r="C758" s="664" t="s">
        <v>15</v>
      </c>
      <c r="D758" s="645">
        <v>110153</v>
      </c>
      <c r="E758" s="563" t="s">
        <v>886</v>
      </c>
      <c r="F758" s="647" t="s">
        <v>58</v>
      </c>
      <c r="G758" s="647" t="s">
        <v>24</v>
      </c>
      <c r="H758" s="647" t="s">
        <v>26</v>
      </c>
      <c r="I758" s="575" t="s">
        <v>179</v>
      </c>
      <c r="J758" s="575">
        <v>1</v>
      </c>
      <c r="K758" s="647" t="s">
        <v>81</v>
      </c>
      <c r="L758" s="657">
        <v>44284</v>
      </c>
      <c r="M758" s="665" t="s">
        <v>906</v>
      </c>
      <c r="N758" s="647" t="s">
        <v>90</v>
      </c>
      <c r="O758" s="575"/>
      <c r="P758" s="665" t="str">
        <f>VLOOKUP(A758,'[1]Raw data'!$B:$BA,23,FALSE)</f>
        <v>JPY</v>
      </c>
      <c r="Q758" s="647" t="str">
        <f>VLOOKUP(A758,'[1]Raw data'!$B:$Z,2,FALSE)</f>
        <v>C49SZX20200240MZ</v>
      </c>
      <c r="R758" s="647" t="str">
        <f>VLOOKUP(A758,'[1]Raw data'!$B:$Z,3,FALSE)</f>
        <v>鑫金鸿</v>
      </c>
      <c r="S758" s="647" t="str">
        <f>VLOOKUP(A758,'[1]Raw data'!$B:$Z,4,FALSE)</f>
        <v>YSM20R-2</v>
      </c>
      <c r="T758" s="647" t="str">
        <f>VLOOKUP(A758,'[1]Raw data'!$B:$Z,8,FALSE)</f>
        <v>L-&gt;R</v>
      </c>
      <c r="U758" s="647" t="str">
        <f>VLOOKUP(A758,'[1]Raw data'!$B:$Z,9,FALSE)</f>
        <v>No</v>
      </c>
      <c r="V758" s="567" t="str">
        <f t="shared" si="120"/>
        <v>OK</v>
      </c>
      <c r="W758" s="563" t="str">
        <f>VLOOKUP(A758,'[1]Raw data'!$B:$AG,32,FALSE)</f>
        <v>DAP SZ</v>
      </c>
      <c r="X758" s="647">
        <f>VLOOKUP(A758,'[1]Raw data'!$B:$BA,31,FALSE)</f>
        <v>44174</v>
      </c>
      <c r="Y758" s="647" t="str">
        <f>VLOOKUP(A758,'[1]Raw data'!$B:$AS,39,FALSE)</f>
        <v>Yes</v>
      </c>
      <c r="Z758" s="659"/>
      <c r="AA758" s="660"/>
      <c r="AB758" s="661"/>
      <c r="AC758" s="647" t="s">
        <v>1522</v>
      </c>
      <c r="AD758" s="662">
        <v>301</v>
      </c>
      <c r="AE758" s="662">
        <v>10</v>
      </c>
      <c r="AF758" s="662">
        <v>312</v>
      </c>
      <c r="AG758" s="662">
        <v>10</v>
      </c>
      <c r="AH758" s="662"/>
      <c r="AI758" s="663"/>
      <c r="AN758" s="542"/>
      <c r="AO758" s="824" t="str">
        <f t="shared" si="107"/>
        <v>Yes</v>
      </c>
      <c r="AP758" s="259" t="str">
        <f t="shared" si="108"/>
        <v>APR 21</v>
      </c>
      <c r="AQ758" s="542" t="str">
        <f t="shared" si="109"/>
        <v>有定金+有預留客戶</v>
      </c>
      <c r="AR758" s="259" t="str">
        <f t="shared" si="110"/>
        <v>Shipped_Stock</v>
      </c>
      <c r="AS758" s="259" t="str">
        <f t="shared" si="111"/>
        <v/>
      </c>
      <c r="AT758" s="259" t="str">
        <f t="shared" si="112"/>
        <v>鑫金鸿</v>
      </c>
      <c r="AU758" s="259" t="str">
        <f t="shared" si="113"/>
        <v>C49SZX20200240MZ</v>
      </c>
      <c r="AV758" s="259" t="str">
        <f t="shared" si="114"/>
        <v>Mar-29</v>
      </c>
    </row>
    <row r="759" spans="1:48" hidden="1">
      <c r="A759" s="559">
        <v>1141</v>
      </c>
      <c r="B759" s="664" t="s">
        <v>1125</v>
      </c>
      <c r="C759" s="664" t="s">
        <v>281</v>
      </c>
      <c r="D759" s="645">
        <v>110212</v>
      </c>
      <c r="E759" s="563" t="s">
        <v>886</v>
      </c>
      <c r="F759" s="647" t="s">
        <v>58</v>
      </c>
      <c r="G759" s="647" t="s">
        <v>18</v>
      </c>
      <c r="H759" s="647" t="s">
        <v>307</v>
      </c>
      <c r="I759" s="575" t="s">
        <v>178</v>
      </c>
      <c r="J759" s="575">
        <v>1</v>
      </c>
      <c r="K759" s="647" t="s">
        <v>81</v>
      </c>
      <c r="L759" s="657">
        <v>44284</v>
      </c>
      <c r="M759" s="665" t="s">
        <v>906</v>
      </c>
      <c r="N759" s="647" t="s">
        <v>90</v>
      </c>
      <c r="O759" s="575"/>
      <c r="P759" s="665" t="str">
        <f>VLOOKUP(A759,'[1]Raw data'!$B:$BA,23,FALSE)</f>
        <v>JPY</v>
      </c>
      <c r="Q759" s="647" t="str">
        <f>VLOOKUP(A759,'[1]Raw data'!$B:$Z,2,FALSE)</f>
        <v>C49SZX20210050SX</v>
      </c>
      <c r="R759" s="647" t="str">
        <f>VLOOKUP(A759,'[1]Raw data'!$B:$Z,3,FALSE)</f>
        <v>模鑫</v>
      </c>
      <c r="S759" s="647" t="str">
        <f>VLOOKUP(A759,'[1]Raw data'!$B:$Z,4,FALSE)</f>
        <v>YSM20R-2</v>
      </c>
      <c r="T759" s="647" t="str">
        <f>VLOOKUP(A759,'[1]Raw data'!$B:$Z,8,FALSE)</f>
        <v>R-&gt;L</v>
      </c>
      <c r="U759" s="647" t="str">
        <f>VLOOKUP(A759,'[1]Raw data'!$B:$Z,9,FALSE)</f>
        <v>No</v>
      </c>
      <c r="V759" s="567" t="str">
        <f t="shared" si="120"/>
        <v>OK</v>
      </c>
      <c r="W759" s="563" t="str">
        <f>VLOOKUP(A759,'[1]Raw data'!$B:$AG,32,FALSE)</f>
        <v>DAP SZ</v>
      </c>
      <c r="X759" s="647">
        <f>VLOOKUP(A759,'[1]Raw data'!$B:$BA,31,FALSE)</f>
        <v>44234</v>
      </c>
      <c r="Y759" s="647" t="str">
        <f>VLOOKUP(A759,'[1]Raw data'!$B:$AS,39,FALSE)</f>
        <v>Yes</v>
      </c>
      <c r="Z759" s="659"/>
      <c r="AA759" s="660"/>
      <c r="AB759" s="661"/>
      <c r="AC759" s="647" t="s">
        <v>1367</v>
      </c>
      <c r="AD759" s="662">
        <v>301</v>
      </c>
      <c r="AE759" s="662">
        <v>10</v>
      </c>
      <c r="AF759" s="662">
        <v>311</v>
      </c>
      <c r="AG759" s="662">
        <v>10</v>
      </c>
      <c r="AH759" s="662"/>
      <c r="AI759" s="663"/>
      <c r="AN759" s="542"/>
      <c r="AO759" s="824" t="str">
        <f t="shared" si="107"/>
        <v>Yes</v>
      </c>
      <c r="AP759" s="259" t="str">
        <f t="shared" si="108"/>
        <v>APR 21</v>
      </c>
      <c r="AQ759" s="542" t="str">
        <f t="shared" si="109"/>
        <v>有定金+有預留客戶</v>
      </c>
      <c r="AR759" s="259" t="str">
        <f t="shared" si="110"/>
        <v>Shipped_Stock</v>
      </c>
      <c r="AS759" s="259" t="str">
        <f t="shared" si="111"/>
        <v/>
      </c>
      <c r="AT759" s="259" t="str">
        <f t="shared" si="112"/>
        <v>模鑫</v>
      </c>
      <c r="AU759" s="259" t="str">
        <f t="shared" si="113"/>
        <v>C49SZX20210050SX</v>
      </c>
      <c r="AV759" s="259" t="str">
        <f t="shared" si="114"/>
        <v>Mar-29</v>
      </c>
    </row>
    <row r="760" spans="1:48" hidden="1">
      <c r="A760" s="559">
        <v>1044</v>
      </c>
      <c r="B760" s="664" t="s">
        <v>1125</v>
      </c>
      <c r="C760" s="664" t="s">
        <v>281</v>
      </c>
      <c r="D760" s="645">
        <v>110212</v>
      </c>
      <c r="E760" s="563" t="s">
        <v>886</v>
      </c>
      <c r="F760" s="647" t="s">
        <v>58</v>
      </c>
      <c r="G760" s="647" t="s">
        <v>18</v>
      </c>
      <c r="H760" s="647" t="s">
        <v>307</v>
      </c>
      <c r="I760" s="575" t="s">
        <v>1523</v>
      </c>
      <c r="J760" s="575">
        <v>1</v>
      </c>
      <c r="K760" s="647" t="s">
        <v>82</v>
      </c>
      <c r="L760" s="657">
        <v>44284</v>
      </c>
      <c r="M760" s="665" t="s">
        <v>906</v>
      </c>
      <c r="N760" s="647" t="s">
        <v>90</v>
      </c>
      <c r="O760" s="575"/>
      <c r="P760" s="665" t="str">
        <f>VLOOKUP(A760,'[1]Raw data'!$B:$BA,23,FALSE)</f>
        <v>JPY</v>
      </c>
      <c r="Q760" s="647" t="str">
        <f>VLOOKUP(A760,'[1]Raw data'!$B:$Z,2,FALSE)</f>
        <v>C49SZX20200249SX</v>
      </c>
      <c r="R760" s="647" t="str">
        <f>VLOOKUP(A760,'[1]Raw data'!$B:$Z,3,FALSE)</f>
        <v>凌鑫</v>
      </c>
      <c r="S760" s="647" t="str">
        <f>VLOOKUP(A760,'[1]Raw data'!$B:$Z,4,FALSE)</f>
        <v>YSM20R-2</v>
      </c>
      <c r="T760" s="647" t="str">
        <f>VLOOKUP(A760,'[1]Raw data'!$B:$Z,8,FALSE)</f>
        <v>R-&gt;L</v>
      </c>
      <c r="U760" s="647" t="str">
        <f>VLOOKUP(A760,'[1]Raw data'!$B:$Z,9,FALSE)</f>
        <v>No</v>
      </c>
      <c r="V760" s="567" t="str">
        <f t="shared" si="120"/>
        <v>OK</v>
      </c>
      <c r="W760" s="563" t="str">
        <f>VLOOKUP(A760,'[1]Raw data'!$B:$AG,32,FALSE)</f>
        <v>DAP SZ</v>
      </c>
      <c r="X760" s="647">
        <f>VLOOKUP(A760,'[1]Raw data'!$B:$BA,31,FALSE)</f>
        <v>44190</v>
      </c>
      <c r="Y760" s="647" t="str">
        <f>VLOOKUP(A760,'[1]Raw data'!$B:$AS,39,FALSE)</f>
        <v>Yes</v>
      </c>
      <c r="Z760" s="659"/>
      <c r="AA760" s="660"/>
      <c r="AB760" s="661"/>
      <c r="AC760" s="647" t="s">
        <v>1204</v>
      </c>
      <c r="AD760" s="662">
        <v>301</v>
      </c>
      <c r="AE760" s="662">
        <v>10</v>
      </c>
      <c r="AF760" s="662">
        <v>311</v>
      </c>
      <c r="AG760" s="662">
        <v>10</v>
      </c>
      <c r="AH760" s="662"/>
      <c r="AI760" s="663"/>
      <c r="AN760" s="542"/>
      <c r="AO760" s="824" t="str">
        <f t="shared" si="107"/>
        <v>Yes</v>
      </c>
      <c r="AP760" s="259" t="str">
        <f t="shared" si="108"/>
        <v>APR 21</v>
      </c>
      <c r="AQ760" s="542" t="str">
        <f t="shared" si="109"/>
        <v>有定金+有預留客戶</v>
      </c>
      <c r="AR760" s="259" t="str">
        <f t="shared" si="110"/>
        <v>Shipped_Stock</v>
      </c>
      <c r="AS760" s="259" t="str">
        <f t="shared" si="111"/>
        <v/>
      </c>
      <c r="AT760" s="259" t="str">
        <f t="shared" si="112"/>
        <v>凌鑫</v>
      </c>
      <c r="AU760" s="259" t="str">
        <f t="shared" si="113"/>
        <v>C49SZX20200249SX</v>
      </c>
      <c r="AV760" s="259" t="str">
        <f t="shared" si="114"/>
        <v>Mar-29</v>
      </c>
    </row>
    <row r="761" spans="1:48" hidden="1">
      <c r="A761" s="559">
        <v>1140</v>
      </c>
      <c r="B761" s="664" t="s">
        <v>1125</v>
      </c>
      <c r="C761" s="664" t="s">
        <v>281</v>
      </c>
      <c r="D761" s="645">
        <v>110212</v>
      </c>
      <c r="E761" s="563" t="s">
        <v>886</v>
      </c>
      <c r="F761" s="647" t="s">
        <v>58</v>
      </c>
      <c r="G761" s="647" t="s">
        <v>24</v>
      </c>
      <c r="H761" s="647" t="s">
        <v>176</v>
      </c>
      <c r="I761" s="575" t="s">
        <v>1524</v>
      </c>
      <c r="J761" s="575">
        <v>1</v>
      </c>
      <c r="K761" s="647" t="s">
        <v>81</v>
      </c>
      <c r="L761" s="657">
        <v>44284</v>
      </c>
      <c r="M761" s="665" t="s">
        <v>906</v>
      </c>
      <c r="N761" s="647" t="s">
        <v>90</v>
      </c>
      <c r="O761" s="575"/>
      <c r="P761" s="665" t="str">
        <f>VLOOKUP(A761,'[1]Raw data'!$B:$BA,23,FALSE)</f>
        <v>JPY</v>
      </c>
      <c r="Q761" s="647" t="str">
        <f>VLOOKUP(A761,'[1]Raw data'!$B:$Z,2,FALSE)</f>
        <v>C49SZX20210126DZ</v>
      </c>
      <c r="R761" s="647" t="str">
        <f>VLOOKUP(A761,'[1]Raw data'!$B:$Z,3,FALSE)</f>
        <v>名商</v>
      </c>
      <c r="S761" s="647" t="str">
        <f>VLOOKUP(A761,'[1]Raw data'!$B:$Z,4,FALSE)</f>
        <v>YSM20R-2</v>
      </c>
      <c r="T761" s="647" t="str">
        <f>VLOOKUP(A761,'[1]Raw data'!$B:$Z,8,FALSE)</f>
        <v>L-&gt;R</v>
      </c>
      <c r="U761" s="647" t="str">
        <f>VLOOKUP(A761,'[1]Raw data'!$B:$Z,9,FALSE)</f>
        <v>cATS10+MVC+special layout</v>
      </c>
      <c r="V761" s="567" t="str">
        <f t="shared" si="120"/>
        <v>WRONG</v>
      </c>
      <c r="W761" s="563" t="str">
        <f>VLOOKUP(A761,'[1]Raw data'!$B:$AG,32,FALSE)</f>
        <v>CIF HK</v>
      </c>
      <c r="X761" s="647">
        <f>VLOOKUP(A761,'[1]Raw data'!$B:$BA,31,FALSE)</f>
        <v>44233</v>
      </c>
      <c r="Y761" s="647" t="str">
        <f>VLOOKUP(A761,'[1]Raw data'!$B:$AS,39,FALSE)</f>
        <v>Yes</v>
      </c>
      <c r="Z761" s="659"/>
      <c r="AA761" s="660"/>
      <c r="AB761" s="661"/>
      <c r="AC761" s="647" t="s">
        <v>1525</v>
      </c>
      <c r="AD761" s="662">
        <v>301</v>
      </c>
      <c r="AE761" s="662">
        <v>10</v>
      </c>
      <c r="AF761" s="662">
        <v>303</v>
      </c>
      <c r="AG761" s="662">
        <v>10</v>
      </c>
      <c r="AH761" s="662"/>
      <c r="AI761" s="663"/>
      <c r="AN761" s="542"/>
      <c r="AO761" s="824" t="str">
        <f t="shared" si="107"/>
        <v>Yes</v>
      </c>
      <c r="AP761" s="259" t="str">
        <f t="shared" si="108"/>
        <v>APR 21</v>
      </c>
      <c r="AQ761" s="542" t="str">
        <f t="shared" si="109"/>
        <v>有定金+有預留客戶</v>
      </c>
      <c r="AR761" s="259" t="str">
        <f t="shared" si="110"/>
        <v>Shipped_Stock</v>
      </c>
      <c r="AS761" s="259" t="str">
        <f t="shared" si="111"/>
        <v/>
      </c>
      <c r="AT761" s="259" t="str">
        <f t="shared" si="112"/>
        <v>名商</v>
      </c>
      <c r="AU761" s="259" t="str">
        <f t="shared" si="113"/>
        <v>C49SZX20210126DZ</v>
      </c>
      <c r="AV761" s="259" t="str">
        <f t="shared" si="114"/>
        <v>Mar-29</v>
      </c>
    </row>
    <row r="762" spans="1:48" ht="13.5" hidden="1" customHeight="1">
      <c r="A762" s="559">
        <v>1167</v>
      </c>
      <c r="B762" s="664" t="s">
        <v>1125</v>
      </c>
      <c r="C762" s="664" t="s">
        <v>281</v>
      </c>
      <c r="D762" s="645">
        <v>110212</v>
      </c>
      <c r="E762" s="563" t="s">
        <v>886</v>
      </c>
      <c r="F762" s="647" t="s">
        <v>58</v>
      </c>
      <c r="G762" s="647" t="s">
        <v>24</v>
      </c>
      <c r="H762" s="647" t="s">
        <v>307</v>
      </c>
      <c r="I762" s="575" t="s">
        <v>1526</v>
      </c>
      <c r="J762" s="575">
        <v>1</v>
      </c>
      <c r="K762" s="647" t="s">
        <v>81</v>
      </c>
      <c r="L762" s="657">
        <v>44284</v>
      </c>
      <c r="M762" s="665" t="s">
        <v>906</v>
      </c>
      <c r="N762" s="647" t="s">
        <v>90</v>
      </c>
      <c r="O762" s="575"/>
      <c r="P762" s="665" t="str">
        <f>VLOOKUP(A762,'[1]Raw data'!$B:$BA,23,FALSE)</f>
        <v>JPY</v>
      </c>
      <c r="Q762" s="647" t="str">
        <f>VLOOKUP(A762,'[1]Raw data'!$B:$Z,2,FALSE)</f>
        <v>C49SZX20210049MX</v>
      </c>
      <c r="R762" s="647" t="str">
        <f>VLOOKUP(A762,'[1]Raw data'!$B:$Z,3,FALSE)</f>
        <v>智序</v>
      </c>
      <c r="S762" s="647" t="str">
        <f>VLOOKUP(A762,'[1]Raw data'!$B:$Z,4,FALSE)</f>
        <v>YSM20R-2</v>
      </c>
      <c r="T762" s="647" t="str">
        <f>VLOOKUP(A762,'[1]Raw data'!$B:$Z,8,FALSE)</f>
        <v>L-&gt;R</v>
      </c>
      <c r="U762" s="647" t="str">
        <f>VLOOKUP(A762,'[1]Raw data'!$B:$Z,9,FALSE)</f>
        <v>No</v>
      </c>
      <c r="V762" s="567" t="str">
        <f t="shared" si="120"/>
        <v>OK</v>
      </c>
      <c r="W762" s="563" t="str">
        <f>VLOOKUP(A762,'[1]Raw data'!$B:$AG,32,FALSE)</f>
        <v>DAP SZ</v>
      </c>
      <c r="X762" s="647">
        <f>VLOOKUP(A762,'[1]Raw data'!$B:$BA,31,FALSE)</f>
        <v>44256</v>
      </c>
      <c r="Y762" s="647" t="str">
        <f>VLOOKUP(A762,'[1]Raw data'!$B:$AS,39,FALSE)</f>
        <v>Yes</v>
      </c>
      <c r="Z762" s="659"/>
      <c r="AA762" s="660"/>
      <c r="AB762" s="661"/>
      <c r="AC762" s="647" t="s">
        <v>1521</v>
      </c>
      <c r="AD762" s="662">
        <v>301</v>
      </c>
      <c r="AE762" s="662">
        <v>10</v>
      </c>
      <c r="AF762" s="662">
        <v>311</v>
      </c>
      <c r="AG762" s="662">
        <v>10</v>
      </c>
      <c r="AH762" s="662"/>
      <c r="AI762" s="663"/>
      <c r="AN762" s="542"/>
      <c r="AO762" s="824" t="str">
        <f t="shared" si="107"/>
        <v>Yes</v>
      </c>
      <c r="AP762" s="259" t="str">
        <f t="shared" si="108"/>
        <v>APR 21</v>
      </c>
      <c r="AQ762" s="542" t="str">
        <f t="shared" si="109"/>
        <v>有定金+有預留客戶</v>
      </c>
      <c r="AR762" s="259" t="str">
        <f t="shared" si="110"/>
        <v>Shipped_Stock</v>
      </c>
      <c r="AS762" s="259" t="str">
        <f t="shared" si="111"/>
        <v/>
      </c>
      <c r="AT762" s="259" t="str">
        <f t="shared" si="112"/>
        <v>智序</v>
      </c>
      <c r="AU762" s="259" t="str">
        <f t="shared" si="113"/>
        <v>C49SZX20210049MX</v>
      </c>
      <c r="AV762" s="259" t="str">
        <f t="shared" si="114"/>
        <v>Mar-29</v>
      </c>
    </row>
    <row r="763" spans="1:48" hidden="1">
      <c r="A763" s="559">
        <v>1173</v>
      </c>
      <c r="B763" s="664" t="s">
        <v>1125</v>
      </c>
      <c r="C763" s="664" t="s">
        <v>281</v>
      </c>
      <c r="D763" s="645">
        <v>110212</v>
      </c>
      <c r="E763" s="563" t="s">
        <v>886</v>
      </c>
      <c r="F763" s="647" t="s">
        <v>58</v>
      </c>
      <c r="G763" s="647" t="s">
        <v>24</v>
      </c>
      <c r="H763" s="647" t="s">
        <v>307</v>
      </c>
      <c r="I763" s="575" t="s">
        <v>174</v>
      </c>
      <c r="J763" s="575">
        <v>1</v>
      </c>
      <c r="K763" s="647" t="s">
        <v>81</v>
      </c>
      <c r="L763" s="657">
        <v>44284</v>
      </c>
      <c r="M763" s="665" t="s">
        <v>906</v>
      </c>
      <c r="N763" s="647" t="s">
        <v>90</v>
      </c>
      <c r="O763" s="575"/>
      <c r="P763" s="665" t="str">
        <f>VLOOKUP(A763,'[1]Raw data'!$B:$BA,23,FALSE)</f>
        <v>JPY</v>
      </c>
      <c r="Q763" s="647" t="str">
        <f>VLOOKUP(A763,'[1]Raw data'!$B:$Z,2,FALSE)</f>
        <v>C49SZX20210049MX</v>
      </c>
      <c r="R763" s="647" t="str">
        <f>VLOOKUP(A763,'[1]Raw data'!$B:$Z,3,FALSE)</f>
        <v>智序</v>
      </c>
      <c r="S763" s="647" t="str">
        <f>VLOOKUP(A763,'[1]Raw data'!$B:$Z,4,FALSE)</f>
        <v>YSM20R-2</v>
      </c>
      <c r="T763" s="647" t="str">
        <f>VLOOKUP(A763,'[1]Raw data'!$B:$Z,8,FALSE)</f>
        <v>L-&gt;R</v>
      </c>
      <c r="U763" s="647" t="str">
        <f>VLOOKUP(A763,'[1]Raw data'!$B:$Z,9,FALSE)</f>
        <v>No</v>
      </c>
      <c r="V763" s="567" t="str">
        <f t="shared" si="120"/>
        <v>OK</v>
      </c>
      <c r="W763" s="563" t="str">
        <f>VLOOKUP(A763,'[1]Raw data'!$B:$AG,32,FALSE)</f>
        <v>DAP SZ</v>
      </c>
      <c r="X763" s="647">
        <f>VLOOKUP(A763,'[1]Raw data'!$B:$BA,31,FALSE)</f>
        <v>44256</v>
      </c>
      <c r="Y763" s="647" t="str">
        <f>VLOOKUP(A763,'[1]Raw data'!$B:$AS,39,FALSE)</f>
        <v>Yes</v>
      </c>
      <c r="Z763" s="659"/>
      <c r="AA763" s="660"/>
      <c r="AB763" s="661"/>
      <c r="AC763" s="647" t="s">
        <v>1521</v>
      </c>
      <c r="AD763" s="662">
        <v>301</v>
      </c>
      <c r="AE763" s="662">
        <v>10</v>
      </c>
      <c r="AF763" s="662">
        <v>311</v>
      </c>
      <c r="AG763" s="662">
        <v>10</v>
      </c>
      <c r="AH763" s="662"/>
      <c r="AI763" s="663"/>
      <c r="AN763" s="542"/>
      <c r="AO763" s="824" t="str">
        <f t="shared" si="107"/>
        <v>Yes</v>
      </c>
      <c r="AP763" s="259" t="str">
        <f t="shared" si="108"/>
        <v>APR 21</v>
      </c>
      <c r="AQ763" s="542" t="str">
        <f t="shared" si="109"/>
        <v>有定金+有預留客戶</v>
      </c>
      <c r="AR763" s="259" t="str">
        <f t="shared" si="110"/>
        <v>Shipped_Stock</v>
      </c>
      <c r="AS763" s="259" t="str">
        <f t="shared" si="111"/>
        <v/>
      </c>
      <c r="AT763" s="259" t="str">
        <f t="shared" si="112"/>
        <v>智序</v>
      </c>
      <c r="AU763" s="259" t="str">
        <f t="shared" si="113"/>
        <v>C49SZX20210049MX</v>
      </c>
      <c r="AV763" s="259" t="str">
        <f t="shared" si="114"/>
        <v>Mar-29</v>
      </c>
    </row>
    <row r="764" spans="1:48" hidden="1">
      <c r="A764" s="559">
        <v>1279</v>
      </c>
      <c r="B764" s="664" t="s">
        <v>1125</v>
      </c>
      <c r="C764" s="664" t="s">
        <v>281</v>
      </c>
      <c r="D764" s="645">
        <v>110212</v>
      </c>
      <c r="E764" s="563" t="s">
        <v>886</v>
      </c>
      <c r="F764" s="647" t="s">
        <v>58</v>
      </c>
      <c r="G764" s="647" t="s">
        <v>24</v>
      </c>
      <c r="H764" s="647" t="s">
        <v>307</v>
      </c>
      <c r="I764" s="575" t="s">
        <v>1527</v>
      </c>
      <c r="J764" s="575">
        <v>1</v>
      </c>
      <c r="K764" s="647" t="s">
        <v>82</v>
      </c>
      <c r="L764" s="657">
        <v>44284</v>
      </c>
      <c r="M764" s="665" t="s">
        <v>906</v>
      </c>
      <c r="N764" s="647" t="s">
        <v>90</v>
      </c>
      <c r="O764" s="575"/>
      <c r="P764" s="665" t="str">
        <f>VLOOKUP(A764,'[1]Raw data'!$B:$BA,23,FALSE)</f>
        <v>JPY</v>
      </c>
      <c r="Q764" s="647" t="str">
        <f>VLOOKUP(A764,'[1]Raw data'!$B:$Z,2,FALSE)</f>
        <v>C49SZX20210077JY</v>
      </c>
      <c r="R764" s="647" t="str">
        <f>VLOOKUP(A764,'[1]Raw data'!$B:$Z,3,FALSE)</f>
        <v>创荣发</v>
      </c>
      <c r="S764" s="647" t="str">
        <f>VLOOKUP(A764,'[1]Raw data'!$B:$Z,4,FALSE)</f>
        <v>YSM20R-2</v>
      </c>
      <c r="T764" s="647" t="str">
        <f>VLOOKUP(A764,'[1]Raw data'!$B:$Z,8,FALSE)</f>
        <v>L-&gt;R</v>
      </c>
      <c r="U764" s="647" t="str">
        <f>VLOOKUP(A764,'[1]Raw data'!$B:$Z,9,FALSE)</f>
        <v>No</v>
      </c>
      <c r="V764" s="567" t="str">
        <f t="shared" si="120"/>
        <v>OK</v>
      </c>
      <c r="W764" s="563" t="str">
        <f>VLOOKUP(A764,'[1]Raw data'!$B:$AG,32,FALSE)</f>
        <v>DAP HZ</v>
      </c>
      <c r="X764" s="647">
        <f>VLOOKUP(A764,'[1]Raw data'!$B:$BA,31,FALSE)</f>
        <v>44272</v>
      </c>
      <c r="Y764" s="647" t="str">
        <f>VLOOKUP(A764,'[1]Raw data'!$B:$AS,39,FALSE)</f>
        <v>Yes</v>
      </c>
      <c r="Z764" s="659"/>
      <c r="AA764" s="660"/>
      <c r="AB764" s="661"/>
      <c r="AC764" s="647" t="s">
        <v>1528</v>
      </c>
      <c r="AD764" s="662">
        <v>301</v>
      </c>
      <c r="AE764" s="662">
        <v>10</v>
      </c>
      <c r="AF764" s="662">
        <v>304</v>
      </c>
      <c r="AG764" s="662">
        <v>10</v>
      </c>
      <c r="AH764" s="662"/>
      <c r="AI764" s="663"/>
      <c r="AN764" s="542"/>
      <c r="AO764" s="824" t="str">
        <f t="shared" si="107"/>
        <v>Yes</v>
      </c>
      <c r="AP764" s="259" t="str">
        <f t="shared" si="108"/>
        <v>APR 21</v>
      </c>
      <c r="AQ764" s="542" t="str">
        <f t="shared" si="109"/>
        <v>有定金+有預留客戶</v>
      </c>
      <c r="AR764" s="259" t="str">
        <f t="shared" si="110"/>
        <v>Shipped_Stock</v>
      </c>
      <c r="AS764" s="259" t="str">
        <f t="shared" si="111"/>
        <v/>
      </c>
      <c r="AT764" s="259" t="str">
        <f t="shared" si="112"/>
        <v>创荣发</v>
      </c>
      <c r="AU764" s="259" t="str">
        <f t="shared" si="113"/>
        <v>C49SZX20210077JY</v>
      </c>
      <c r="AV764" s="259" t="str">
        <f t="shared" si="114"/>
        <v>Mar-29</v>
      </c>
    </row>
    <row r="765" spans="1:48" hidden="1">
      <c r="A765" s="559">
        <v>1137</v>
      </c>
      <c r="B765" s="664" t="s">
        <v>1125</v>
      </c>
      <c r="C765" s="664" t="s">
        <v>281</v>
      </c>
      <c r="D765" s="645">
        <v>110348</v>
      </c>
      <c r="E765" s="563" t="s">
        <v>886</v>
      </c>
      <c r="F765" s="647" t="s">
        <v>17</v>
      </c>
      <c r="G765" s="647" t="s">
        <v>18</v>
      </c>
      <c r="H765" s="647" t="s">
        <v>26</v>
      </c>
      <c r="I765" s="575" t="s">
        <v>1529</v>
      </c>
      <c r="J765" s="575">
        <v>1</v>
      </c>
      <c r="K765" s="647" t="s">
        <v>81</v>
      </c>
      <c r="L765" s="657">
        <v>44287</v>
      </c>
      <c r="M765" s="676" t="s">
        <v>906</v>
      </c>
      <c r="N765" s="647" t="s">
        <v>110</v>
      </c>
      <c r="O765" s="575"/>
      <c r="P765" s="665" t="str">
        <f>VLOOKUP(A765,'[1]Raw data'!$B:$BA,23,FALSE)</f>
        <v>JPY</v>
      </c>
      <c r="Q765" s="647" t="str">
        <f>VLOOKUP(A765,'[1]Raw data'!$B:$Z,2,FALSE)</f>
        <v>C49SZX20210045SX</v>
      </c>
      <c r="R765" s="647" t="str">
        <f>VLOOKUP(A765,'[1]Raw data'!$B:$Z,3,FALSE)</f>
        <v>百益晟</v>
      </c>
      <c r="S765" s="647" t="str">
        <f>VLOOKUP(A765,'[1]Raw data'!$B:$Z,4,FALSE)</f>
        <v>YSM10</v>
      </c>
      <c r="T765" s="647" t="str">
        <f>VLOOKUP(A765,'[1]Raw data'!$B:$Z,8,FALSE)</f>
        <v>L-&gt;R</v>
      </c>
      <c r="U765" s="647" t="str">
        <f>VLOOKUP(A765,'[1]Raw data'!$B:$Z,9,FALSE)</f>
        <v>MVC</v>
      </c>
      <c r="V765" s="567" t="str">
        <f t="shared" ref="V765:V774" si="121">IF(G765&amp;H765=T765&amp;U765,"OK","WRONG")</f>
        <v>WRONG</v>
      </c>
      <c r="W765" s="563" t="str">
        <f>VLOOKUP(A765,'[1]Raw data'!$B:$AG,32,FALSE)</f>
        <v>DAP SZ</v>
      </c>
      <c r="X765" s="647">
        <f>VLOOKUP(A765,'[1]Raw data'!$B:$BA,31,FALSE)</f>
        <v>44231</v>
      </c>
      <c r="Y765" s="647" t="str">
        <f>VLOOKUP(A765,'[1]Raw data'!$B:$AS,39,FALSE)</f>
        <v>Yes</v>
      </c>
      <c r="Z765" s="659"/>
      <c r="AA765" s="660"/>
      <c r="AB765" s="661"/>
      <c r="AC765" s="647" t="s">
        <v>1530</v>
      </c>
      <c r="AD765" s="662">
        <v>301</v>
      </c>
      <c r="AE765" s="662">
        <v>10</v>
      </c>
      <c r="AF765" s="662"/>
      <c r="AG765" s="662"/>
      <c r="AH765" s="662"/>
      <c r="AI765" s="663"/>
      <c r="AN765" s="542"/>
      <c r="AO765" s="824" t="str">
        <f t="shared" si="107"/>
        <v>Yes</v>
      </c>
      <c r="AP765" s="259" t="str">
        <f t="shared" si="108"/>
        <v>MAY 21</v>
      </c>
      <c r="AQ765" s="542" t="str">
        <f t="shared" si="109"/>
        <v>有定金+有預留客戶</v>
      </c>
      <c r="AR765" s="259" t="str">
        <f t="shared" si="110"/>
        <v>Shipped_Stock</v>
      </c>
      <c r="AS765" s="259" t="str">
        <f t="shared" si="111"/>
        <v/>
      </c>
      <c r="AT765" s="259" t="str">
        <f t="shared" si="112"/>
        <v>百益晟</v>
      </c>
      <c r="AU765" s="259" t="str">
        <f t="shared" si="113"/>
        <v>C49SZX20210045SX</v>
      </c>
      <c r="AV765" s="259" t="str">
        <f t="shared" si="114"/>
        <v>Apr-01</v>
      </c>
    </row>
    <row r="766" spans="1:48" hidden="1">
      <c r="A766" s="716" t="s">
        <v>1531</v>
      </c>
      <c r="B766" s="664" t="s">
        <v>1125</v>
      </c>
      <c r="C766" s="664" t="s">
        <v>281</v>
      </c>
      <c r="D766" s="645">
        <v>110348</v>
      </c>
      <c r="E766" s="563" t="s">
        <v>886</v>
      </c>
      <c r="F766" s="647" t="s">
        <v>17</v>
      </c>
      <c r="G766" s="647" t="s">
        <v>18</v>
      </c>
      <c r="H766" s="647" t="s">
        <v>34</v>
      </c>
      <c r="I766" s="575" t="s">
        <v>147</v>
      </c>
      <c r="J766" s="575">
        <v>1</v>
      </c>
      <c r="K766" s="647" t="s">
        <v>1419</v>
      </c>
      <c r="L766" s="657">
        <v>44287</v>
      </c>
      <c r="M766" s="665" t="s">
        <v>906</v>
      </c>
      <c r="N766" s="647" t="s">
        <v>110</v>
      </c>
      <c r="O766" s="575"/>
      <c r="P766" s="665" t="s">
        <v>1246</v>
      </c>
      <c r="Q766" s="725" t="s">
        <v>1532</v>
      </c>
      <c r="R766" s="725" t="s">
        <v>1533</v>
      </c>
      <c r="S766" s="647" t="s">
        <v>241</v>
      </c>
      <c r="T766" s="647" t="s">
        <v>1516</v>
      </c>
      <c r="U766" s="647" t="s">
        <v>292</v>
      </c>
      <c r="V766" s="567" t="str">
        <f t="shared" si="121"/>
        <v>WRONG</v>
      </c>
      <c r="W766" s="563" t="e">
        <f>VLOOKUP(A766,'[1]Raw data'!$B:$AG,32,FALSE)</f>
        <v>#N/A</v>
      </c>
      <c r="X766" s="647" t="e">
        <f>VLOOKUP(A766,'[1]Raw data'!$B:$BA,31,FALSE)</f>
        <v>#N/A</v>
      </c>
      <c r="Y766" s="647" t="e">
        <f>VLOOKUP(A766,'[1]Raw data'!$B:$AS,39,FALSE)</f>
        <v>#N/A</v>
      </c>
      <c r="Z766" s="659"/>
      <c r="AA766" s="660"/>
      <c r="AB766" s="661"/>
      <c r="AC766" s="647" t="s">
        <v>1216</v>
      </c>
      <c r="AD766" s="662">
        <v>301</v>
      </c>
      <c r="AE766" s="662">
        <v>10</v>
      </c>
      <c r="AF766" s="662"/>
      <c r="AG766" s="662"/>
      <c r="AH766" s="662"/>
      <c r="AI766" s="663"/>
      <c r="AN766" s="542"/>
      <c r="AO766" s="824" t="str">
        <f t="shared" si="107"/>
        <v>No</v>
      </c>
      <c r="AP766" s="259" t="str">
        <f t="shared" si="108"/>
        <v>MAY 21</v>
      </c>
      <c r="AQ766" s="542" t="str">
        <f t="shared" si="109"/>
        <v>无定金+有預留客戶</v>
      </c>
      <c r="AR766" s="259" t="str">
        <f t="shared" si="110"/>
        <v>Shipped_Stock</v>
      </c>
      <c r="AS766" s="259" t="str">
        <f t="shared" si="111"/>
        <v/>
      </c>
      <c r="AT766" s="259" t="str">
        <f t="shared" si="112"/>
        <v>上海项如电子科技有限公司</v>
      </c>
      <c r="AU766" s="259" t="str">
        <f t="shared" si="113"/>
        <v>C49SHA20210422/ZQR</v>
      </c>
      <c r="AV766" s="259" t="str">
        <f t="shared" si="114"/>
        <v>Apr-01</v>
      </c>
    </row>
    <row r="767" spans="1:48" ht="14.25" hidden="1">
      <c r="A767" s="559">
        <v>1136</v>
      </c>
      <c r="B767" s="664" t="s">
        <v>1125</v>
      </c>
      <c r="C767" s="664" t="s">
        <v>281</v>
      </c>
      <c r="D767" s="645" t="s">
        <v>1534</v>
      </c>
      <c r="E767" s="563" t="s">
        <v>886</v>
      </c>
      <c r="F767" s="647" t="s">
        <v>17</v>
      </c>
      <c r="G767" s="647" t="s">
        <v>18</v>
      </c>
      <c r="H767" s="647" t="s">
        <v>26</v>
      </c>
      <c r="I767" s="575" t="s">
        <v>1535</v>
      </c>
      <c r="J767" s="575">
        <v>1</v>
      </c>
      <c r="K767" s="647" t="s">
        <v>81</v>
      </c>
      <c r="L767" s="657">
        <v>44287</v>
      </c>
      <c r="M767" s="678" t="s">
        <v>1536</v>
      </c>
      <c r="N767" s="647" t="s">
        <v>110</v>
      </c>
      <c r="O767" s="575"/>
      <c r="P767" s="665" t="str">
        <f>VLOOKUP(A767,'[1]Raw data'!$B:$BA,23,FALSE)</f>
        <v>JPY</v>
      </c>
      <c r="Q767" s="647" t="str">
        <f>VLOOKUP(A767,'[1]Raw data'!$B:$Z,2,FALSE)</f>
        <v>C49SZX20210045SX</v>
      </c>
      <c r="R767" s="647" t="str">
        <f>VLOOKUP(A767,'[1]Raw data'!$B:$Z,3,FALSE)</f>
        <v>百益晟</v>
      </c>
      <c r="S767" s="647" t="str">
        <f>VLOOKUP(A767,'[1]Raw data'!$B:$Z,4,FALSE)</f>
        <v>YSM10</v>
      </c>
      <c r="T767" s="647" t="str">
        <f>VLOOKUP(A767,'[1]Raw data'!$B:$Z,8,FALSE)</f>
        <v>L-&gt;R</v>
      </c>
      <c r="U767" s="647" t="str">
        <f>VLOOKUP(A767,'[1]Raw data'!$B:$Z,9,FALSE)</f>
        <v>MVC</v>
      </c>
      <c r="V767" s="567" t="str">
        <f t="shared" si="121"/>
        <v>WRONG</v>
      </c>
      <c r="W767" s="563" t="str">
        <f>VLOOKUP(A767,'[1]Raw data'!$B:$AG,32,FALSE)</f>
        <v>DAP SZ</v>
      </c>
      <c r="X767" s="647">
        <f>VLOOKUP(A767,'[1]Raw data'!$B:$BA,31,FALSE)</f>
        <v>44231</v>
      </c>
      <c r="Y767" s="647" t="str">
        <f>VLOOKUP(A767,'[1]Raw data'!$B:$AS,39,FALSE)</f>
        <v>Yes</v>
      </c>
      <c r="Z767" s="659"/>
      <c r="AA767" s="660"/>
      <c r="AB767" s="661"/>
      <c r="AC767" s="647" t="s">
        <v>1530</v>
      </c>
      <c r="AD767" s="662">
        <v>301</v>
      </c>
      <c r="AE767" s="662">
        <v>10</v>
      </c>
      <c r="AF767" s="662"/>
      <c r="AG767" s="662"/>
      <c r="AH767" s="662"/>
      <c r="AI767" s="663"/>
      <c r="AN767" s="542"/>
      <c r="AO767" s="824" t="str">
        <f t="shared" si="107"/>
        <v>Yes</v>
      </c>
      <c r="AP767" s="259" t="str">
        <f t="shared" si="108"/>
        <v>MAY 21</v>
      </c>
      <c r="AQ767" s="542" t="str">
        <f t="shared" si="109"/>
        <v>有定金+有預留客戶</v>
      </c>
      <c r="AR767" s="259" t="str">
        <f t="shared" si="110"/>
        <v>Shipped_Stock</v>
      </c>
      <c r="AS767" s="259" t="str">
        <f t="shared" si="111"/>
        <v/>
      </c>
      <c r="AT767" s="259" t="str">
        <f t="shared" si="112"/>
        <v>百益晟</v>
      </c>
      <c r="AU767" s="259" t="str">
        <f t="shared" si="113"/>
        <v>C49SZX20210045SX</v>
      </c>
      <c r="AV767" s="259" t="str">
        <f t="shared" si="114"/>
        <v>Apr-01</v>
      </c>
    </row>
    <row r="768" spans="1:48" hidden="1">
      <c r="A768" s="559">
        <v>1258</v>
      </c>
      <c r="B768" s="664" t="s">
        <v>1125</v>
      </c>
      <c r="C768" s="664" t="s">
        <v>281</v>
      </c>
      <c r="D768" s="645">
        <v>110348</v>
      </c>
      <c r="E768" s="563" t="s">
        <v>886</v>
      </c>
      <c r="F768" s="647" t="s">
        <v>17</v>
      </c>
      <c r="G768" s="647" t="s">
        <v>18</v>
      </c>
      <c r="H768" s="647" t="s">
        <v>26</v>
      </c>
      <c r="I768" s="575" t="s">
        <v>146</v>
      </c>
      <c r="J768" s="575">
        <v>1</v>
      </c>
      <c r="K768" s="647" t="s">
        <v>81</v>
      </c>
      <c r="L768" s="657">
        <v>44287</v>
      </c>
      <c r="M768" s="665" t="s">
        <v>906</v>
      </c>
      <c r="N768" s="647" t="s">
        <v>96</v>
      </c>
      <c r="O768" s="575"/>
      <c r="P768" s="665" t="str">
        <f>VLOOKUP(A768,'[1]Raw data'!$B:$BA,23,FALSE)</f>
        <v>JPY</v>
      </c>
      <c r="Q768" s="647" t="str">
        <f>VLOOKUP(A768,'[1]Raw data'!$B:$Z,2,FALSE)</f>
        <v>C49SZX20210081MZ</v>
      </c>
      <c r="R768" s="647" t="str">
        <f>VLOOKUP(A768,'[1]Raw data'!$B:$Z,3,FALSE)</f>
        <v>崧盛</v>
      </c>
      <c r="S768" s="647" t="str">
        <f>VLOOKUP(A768,'[1]Raw data'!$B:$Z,4,FALSE)</f>
        <v>YSM10</v>
      </c>
      <c r="T768" s="647" t="str">
        <f>VLOOKUP(A768,'[1]Raw data'!$B:$Z,8,FALSE)</f>
        <v>L-&gt;R</v>
      </c>
      <c r="U768" s="647" t="str">
        <f>VLOOKUP(A768,'[1]Raw data'!$B:$Z,9,FALSE)</f>
        <v>No</v>
      </c>
      <c r="V768" s="567" t="str">
        <f t="shared" si="121"/>
        <v>WRONG</v>
      </c>
      <c r="W768" s="563" t="str">
        <f>VLOOKUP(A768,'[1]Raw data'!$B:$AG,32,FALSE)</f>
        <v>CIF HK</v>
      </c>
      <c r="X768" s="647">
        <f>VLOOKUP(A768,'[1]Raw data'!$B:$BA,31,FALSE)</f>
        <v>44268</v>
      </c>
      <c r="Y768" s="647" t="str">
        <f>VLOOKUP(A768,'[1]Raw data'!$B:$AS,39,FALSE)</f>
        <v>Yes</v>
      </c>
      <c r="Z768" s="659"/>
      <c r="AA768" s="660"/>
      <c r="AB768" s="661"/>
      <c r="AC768" s="647" t="s">
        <v>1537</v>
      </c>
      <c r="AD768" s="662">
        <v>301</v>
      </c>
      <c r="AE768" s="662">
        <v>10</v>
      </c>
      <c r="AF768" s="662"/>
      <c r="AG768" s="662"/>
      <c r="AH768" s="662"/>
      <c r="AI768" s="663"/>
      <c r="AN768" s="542"/>
      <c r="AO768" s="824" t="str">
        <f t="shared" si="107"/>
        <v>Yes</v>
      </c>
      <c r="AP768" s="259" t="str">
        <f t="shared" si="108"/>
        <v>JUN 21</v>
      </c>
      <c r="AQ768" s="542" t="str">
        <f t="shared" si="109"/>
        <v>有定金+有預留客戶</v>
      </c>
      <c r="AR768" s="259" t="str">
        <f t="shared" si="110"/>
        <v>Shipped_Stock</v>
      </c>
      <c r="AS768" s="259" t="str">
        <f t="shared" si="111"/>
        <v/>
      </c>
      <c r="AT768" s="259" t="str">
        <f t="shared" si="112"/>
        <v>崧盛</v>
      </c>
      <c r="AU768" s="259" t="str">
        <f t="shared" si="113"/>
        <v>C49SZX20210081MZ</v>
      </c>
      <c r="AV768" s="259" t="str">
        <f t="shared" si="114"/>
        <v>Apr-01</v>
      </c>
    </row>
    <row r="769" spans="1:48" hidden="1">
      <c r="A769" s="559">
        <v>1280</v>
      </c>
      <c r="B769" s="664" t="s">
        <v>1125</v>
      </c>
      <c r="C769" s="664" t="s">
        <v>281</v>
      </c>
      <c r="D769" s="645">
        <v>110348</v>
      </c>
      <c r="E769" s="563" t="s">
        <v>886</v>
      </c>
      <c r="F769" s="647" t="s">
        <v>17</v>
      </c>
      <c r="G769" s="647" t="s">
        <v>18</v>
      </c>
      <c r="H769" s="647" t="s">
        <v>26</v>
      </c>
      <c r="I769" s="575" t="s">
        <v>1538</v>
      </c>
      <c r="J769" s="575">
        <v>1</v>
      </c>
      <c r="K769" s="647" t="s">
        <v>82</v>
      </c>
      <c r="L769" s="657">
        <v>44287</v>
      </c>
      <c r="M769" s="665" t="s">
        <v>906</v>
      </c>
      <c r="N769" s="647" t="s">
        <v>90</v>
      </c>
      <c r="O769" s="575"/>
      <c r="P769" s="665" t="str">
        <f>VLOOKUP(A769,'[1]Raw data'!$B:$BA,23,FALSE)</f>
        <v>JPY</v>
      </c>
      <c r="Q769" s="647" t="str">
        <f>VLOOKUP(A769,'[1]Raw data'!$B:$Z,2,FALSE)</f>
        <v>C49SZX20210077JY</v>
      </c>
      <c r="R769" s="647" t="str">
        <f>VLOOKUP(A769,'[1]Raw data'!$B:$Z,3,FALSE)</f>
        <v>创荣发</v>
      </c>
      <c r="S769" s="647" t="str">
        <f>VLOOKUP(A769,'[1]Raw data'!$B:$Z,4,FALSE)</f>
        <v>YSM10</v>
      </c>
      <c r="T769" s="647" t="str">
        <f>VLOOKUP(A769,'[1]Raw data'!$B:$Z,8,FALSE)</f>
        <v>L-&gt;R</v>
      </c>
      <c r="U769" s="647" t="str">
        <f>VLOOKUP(A769,'[1]Raw data'!$B:$Z,9,FALSE)</f>
        <v>MVC</v>
      </c>
      <c r="V769" s="567" t="str">
        <f t="shared" si="121"/>
        <v>WRONG</v>
      </c>
      <c r="W769" s="563" t="str">
        <f>VLOOKUP(A769,'[1]Raw data'!$B:$AG,32,FALSE)</f>
        <v>DAP HZ</v>
      </c>
      <c r="X769" s="647">
        <f>VLOOKUP(A769,'[1]Raw data'!$B:$BA,31,FALSE)</f>
        <v>44272</v>
      </c>
      <c r="Y769" s="647" t="str">
        <f>VLOOKUP(A769,'[1]Raw data'!$B:$AS,39,FALSE)</f>
        <v>Yes</v>
      </c>
      <c r="Z769" s="659"/>
      <c r="AA769" s="660"/>
      <c r="AB769" s="661"/>
      <c r="AC769" s="647" t="s">
        <v>1528</v>
      </c>
      <c r="AD769" s="662">
        <v>301</v>
      </c>
      <c r="AE769" s="662">
        <v>10</v>
      </c>
      <c r="AF769" s="662"/>
      <c r="AG769" s="662"/>
      <c r="AH769" s="662"/>
      <c r="AI769" s="663"/>
      <c r="AN769" s="542"/>
      <c r="AO769" s="824" t="str">
        <f t="shared" si="107"/>
        <v>Yes</v>
      </c>
      <c r="AP769" s="259" t="str">
        <f t="shared" si="108"/>
        <v>APR 21</v>
      </c>
      <c r="AQ769" s="542" t="str">
        <f t="shared" si="109"/>
        <v>有定金+有預留客戶</v>
      </c>
      <c r="AR769" s="259" t="str">
        <f t="shared" si="110"/>
        <v>Shipped_Stock</v>
      </c>
      <c r="AS769" s="259" t="str">
        <f t="shared" si="111"/>
        <v/>
      </c>
      <c r="AT769" s="259" t="str">
        <f t="shared" si="112"/>
        <v>创荣发</v>
      </c>
      <c r="AU769" s="259" t="str">
        <f t="shared" si="113"/>
        <v>C49SZX20210077JY</v>
      </c>
      <c r="AV769" s="259" t="str">
        <f t="shared" si="114"/>
        <v>Apr-01</v>
      </c>
    </row>
    <row r="770" spans="1:48" hidden="1">
      <c r="A770" s="559">
        <v>1255</v>
      </c>
      <c r="B770" s="664" t="s">
        <v>1125</v>
      </c>
      <c r="C770" s="664" t="s">
        <v>281</v>
      </c>
      <c r="D770" s="645" t="s">
        <v>1539</v>
      </c>
      <c r="E770" s="563" t="s">
        <v>886</v>
      </c>
      <c r="F770" s="647" t="s">
        <v>241</v>
      </c>
      <c r="G770" s="647" t="s">
        <v>18</v>
      </c>
      <c r="H770" s="647" t="s">
        <v>307</v>
      </c>
      <c r="I770" s="575" t="s">
        <v>1540</v>
      </c>
      <c r="J770" s="575">
        <v>1</v>
      </c>
      <c r="K770" s="647" t="s">
        <v>85</v>
      </c>
      <c r="L770" s="657">
        <v>44287</v>
      </c>
      <c r="M770" s="678" t="s">
        <v>1541</v>
      </c>
      <c r="N770" s="647" t="s">
        <v>90</v>
      </c>
      <c r="O770" s="575"/>
      <c r="P770" s="665" t="str">
        <f>VLOOKUP(A770,'[1]Raw data'!$B:$BA,23,FALSE)</f>
        <v>JPY</v>
      </c>
      <c r="Q770" s="647" t="str">
        <f>VLOOKUP(A770,'[1]Raw data'!$B:$Z,2,FALSE)</f>
        <v>C49SZX20210079EC</v>
      </c>
      <c r="R770" s="647" t="str">
        <f>VLOOKUP(A770,'[1]Raw data'!$B:$Z,3,FALSE)</f>
        <v>福瑞康</v>
      </c>
      <c r="S770" s="647" t="str">
        <f>VLOOKUP(A770,'[1]Raw data'!$B:$Z,4,FALSE)</f>
        <v>YSM10</v>
      </c>
      <c r="T770" s="647" t="str">
        <f>VLOOKUP(A770,'[1]Raw data'!$B:$Z,8,FALSE)</f>
        <v>L-&gt;R</v>
      </c>
      <c r="U770" s="647" t="str">
        <f>VLOOKUP(A770,'[1]Raw data'!$B:$Z,9,FALSE)</f>
        <v>MVC</v>
      </c>
      <c r="V770" s="567" t="str">
        <f t="shared" si="121"/>
        <v>WRONG</v>
      </c>
      <c r="W770" s="563" t="str">
        <f>VLOOKUP(A770,'[1]Raw data'!$B:$AG,32,FALSE)</f>
        <v>DAP DG</v>
      </c>
      <c r="X770" s="647">
        <f>VLOOKUP(A770,'[1]Raw data'!$B:$BA,31,FALSE)</f>
        <v>44267</v>
      </c>
      <c r="Y770" s="647" t="str">
        <f>VLOOKUP(A770,'[1]Raw data'!$B:$AS,39,FALSE)</f>
        <v>Yes</v>
      </c>
      <c r="Z770" s="659"/>
      <c r="AA770" s="660"/>
      <c r="AB770" s="661"/>
      <c r="AC770" s="647" t="s">
        <v>1542</v>
      </c>
      <c r="AD770" s="662">
        <v>301</v>
      </c>
      <c r="AE770" s="662">
        <v>10</v>
      </c>
      <c r="AF770" s="662"/>
      <c r="AG770" s="662"/>
      <c r="AH770" s="662"/>
      <c r="AI770" s="663"/>
      <c r="AN770" s="542"/>
      <c r="AO770" s="824" t="str">
        <f t="shared" si="107"/>
        <v>Yes</v>
      </c>
      <c r="AP770" s="259" t="str">
        <f t="shared" si="108"/>
        <v>APR 21</v>
      </c>
      <c r="AQ770" s="542" t="str">
        <f t="shared" si="109"/>
        <v>有定金+有預留客戶</v>
      </c>
      <c r="AR770" s="259" t="str">
        <f t="shared" si="110"/>
        <v>Shipped_Stock</v>
      </c>
      <c r="AS770" s="259" t="str">
        <f t="shared" si="111"/>
        <v/>
      </c>
      <c r="AT770" s="259" t="str">
        <f t="shared" si="112"/>
        <v>福瑞康</v>
      </c>
      <c r="AU770" s="259" t="str">
        <f t="shared" si="113"/>
        <v>C49SZX20210079EC</v>
      </c>
      <c r="AV770" s="259" t="str">
        <f t="shared" si="114"/>
        <v>Apr-01</v>
      </c>
    </row>
    <row r="771" spans="1:48" ht="21.75" hidden="1">
      <c r="A771" s="559">
        <v>1162</v>
      </c>
      <c r="B771" s="664" t="s">
        <v>1125</v>
      </c>
      <c r="C771" s="664" t="s">
        <v>281</v>
      </c>
      <c r="D771" s="645">
        <v>110347</v>
      </c>
      <c r="E771" s="563" t="s">
        <v>886</v>
      </c>
      <c r="F771" s="647" t="s">
        <v>241</v>
      </c>
      <c r="G771" s="647" t="s">
        <v>18</v>
      </c>
      <c r="H771" s="647" t="s">
        <v>307</v>
      </c>
      <c r="I771" s="575" t="s">
        <v>1543</v>
      </c>
      <c r="J771" s="575">
        <v>1</v>
      </c>
      <c r="K771" s="647" t="s">
        <v>1419</v>
      </c>
      <c r="L771" s="657">
        <v>44287</v>
      </c>
      <c r="M771" s="678" t="s">
        <v>1544</v>
      </c>
      <c r="N771" s="647" t="s">
        <v>90</v>
      </c>
      <c r="O771" s="575"/>
      <c r="P771" s="665" t="str">
        <f>VLOOKUP(A771,'[1]Raw data'!$B:$BA,23,FALSE)</f>
        <v>RMB</v>
      </c>
      <c r="Q771" s="647" t="str">
        <f>VLOOKUP(A771,'[1]Raw data'!$B:$Z,2,FALSE)</f>
        <v>C49SZX20210047JL</v>
      </c>
      <c r="R771" s="647" t="str">
        <f>VLOOKUP(A771,'[1]Raw data'!$B:$Z,3,FALSE)</f>
        <v>铭翔</v>
      </c>
      <c r="S771" s="647" t="str">
        <f>VLOOKUP(A771,'[1]Raw data'!$B:$Z,4,FALSE)</f>
        <v>YSM10</v>
      </c>
      <c r="T771" s="647" t="str">
        <f>VLOOKUP(A771,'[1]Raw data'!$B:$Z,8,FALSE)</f>
        <v>L-&gt;R</v>
      </c>
      <c r="U771" s="647" t="str">
        <f>VLOOKUP(A771,'[1]Raw data'!$B:$Z,9,FALSE)</f>
        <v>MVC</v>
      </c>
      <c r="V771" s="567" t="str">
        <f t="shared" si="121"/>
        <v>WRONG</v>
      </c>
      <c r="W771" s="563" t="str">
        <f>VLOOKUP(A771,'[1]Raw data'!$B:$AG,32,FALSE)</f>
        <v>含税到厂</v>
      </c>
      <c r="X771" s="647">
        <f>VLOOKUP(A771,'[1]Raw data'!$B:$BA,31,FALSE)</f>
        <v>44249</v>
      </c>
      <c r="Y771" s="647" t="str">
        <f>VLOOKUP(A771,'[1]Raw data'!$B:$AS,39,FALSE)</f>
        <v>Yes</v>
      </c>
      <c r="Z771" s="659"/>
      <c r="AA771" s="660"/>
      <c r="AB771" s="661"/>
      <c r="AC771" s="563" t="s">
        <v>772</v>
      </c>
      <c r="AD771" s="662">
        <v>301</v>
      </c>
      <c r="AE771" s="662">
        <v>10</v>
      </c>
      <c r="AF771" s="662"/>
      <c r="AG771" s="662"/>
      <c r="AH771" s="662"/>
      <c r="AI771" s="663"/>
      <c r="AN771" s="542"/>
      <c r="AO771" s="824" t="str">
        <f t="shared" ref="AO771:AO834" si="122">IFERROR(IF(Y771&lt;&gt;"",Y771,"No"),"No")</f>
        <v>Yes</v>
      </c>
      <c r="AP771" s="259" t="str">
        <f t="shared" ref="AP771:AP834" si="123">IFERROR(IF(N771&lt;&gt;"",N771,"blank"),"NA")</f>
        <v>APR 21</v>
      </c>
      <c r="AQ771" s="542" t="str">
        <f t="shared" ref="AQ771:AQ834" si="124">IFERROR(IF(AND(AO771="Yes", AP771&lt;&gt;"blank"), "有定金+有預留客戶", IF(AND(AO771="Yes", AP771="blank"), "有定金+无客戶送貨期", IF(AND(OR(AO771="No", ISBLANK(AO771), AO771="NA"), AP771&lt;&gt;"blank"), "无定金+有預留客戶", IF(AND(OR(AO771="No", ISBLANK(AO771), AO771="NA"), AP771="blank"), "无定金+无預留客戶", "")))), "")</f>
        <v>有定金+有預留客戶</v>
      </c>
      <c r="AR771" s="259" t="str">
        <f t="shared" ref="AR771:AR834" si="125">IFERROR(IF(B771="已经到货", "Instock", IF(B771="有交期", "Incoming_Stock_With_YAMAHA_Schedule", IF(B771="TBA.", "Incoming_Stock_No_YAMAHA_Schedule", IF(B771="已发货", "Shipped_Stock", "")))), "")</f>
        <v>Shipped_Stock</v>
      </c>
      <c r="AS771" s="259" t="str">
        <f t="shared" ref="AS771:AS834" si="126">IF(AND(B771="有交期", L771&lt;&gt;""), L771, "")</f>
        <v/>
      </c>
      <c r="AT771" s="259" t="str">
        <f t="shared" ref="AT771:AT834" si="127">IFERROR(IF(R771&lt;&gt;"",R771),"-")</f>
        <v>铭翔</v>
      </c>
      <c r="AU771" s="259" t="str">
        <f t="shared" ref="AU771:AU834" si="128">IFERROR(IF(Q771&lt;&gt;"",Q771),"-")</f>
        <v>C49SZX20210047JL</v>
      </c>
      <c r="AV771" s="259" t="str">
        <f t="shared" ref="AV771:AV834" si="129">IF(L771="","-",TEXT(L771,"mmm-dd"))</f>
        <v>Apr-01</v>
      </c>
    </row>
    <row r="772" spans="1:48" hidden="1">
      <c r="A772" s="559">
        <v>991</v>
      </c>
      <c r="B772" s="664" t="s">
        <v>1125</v>
      </c>
      <c r="C772" s="664" t="s">
        <v>281</v>
      </c>
      <c r="D772" s="645" t="s">
        <v>1545</v>
      </c>
      <c r="E772" s="563" t="s">
        <v>886</v>
      </c>
      <c r="F772" s="647" t="s">
        <v>241</v>
      </c>
      <c r="G772" s="647" t="s">
        <v>18</v>
      </c>
      <c r="H772" s="647" t="s">
        <v>307</v>
      </c>
      <c r="I772" s="575" t="s">
        <v>1546</v>
      </c>
      <c r="J772" s="575">
        <v>1</v>
      </c>
      <c r="K772" s="647" t="s">
        <v>1419</v>
      </c>
      <c r="L772" s="657">
        <v>44287</v>
      </c>
      <c r="M772" s="665">
        <v>6.2300000000000001E-2</v>
      </c>
      <c r="N772" s="647" t="s">
        <v>110</v>
      </c>
      <c r="O772" s="575"/>
      <c r="P772" s="665" t="str">
        <f>VLOOKUP(A772,'[1]Raw data'!$B:$BA,23,FALSE)</f>
        <v>RMB</v>
      </c>
      <c r="Q772" s="647" t="str">
        <f>VLOOKUP(A772,'[1]Raw data'!$B:$Z,2,FALSE)</f>
        <v>C49SZX20200080DY</v>
      </c>
      <c r="R772" s="647" t="str">
        <f>VLOOKUP(A772,'[1]Raw data'!$B:$Z,3,FALSE)</f>
        <v>富源晟</v>
      </c>
      <c r="S772" s="647" t="str">
        <f>VLOOKUP(A772,'[1]Raw data'!$B:$Z,4,FALSE)</f>
        <v>YSM10</v>
      </c>
      <c r="T772" s="647" t="str">
        <f>VLOOKUP(A772,'[1]Raw data'!$B:$Z,8,FALSE)</f>
        <v>L-&gt;R</v>
      </c>
      <c r="U772" s="647" t="str">
        <f>VLOOKUP(A772,'[1]Raw data'!$B:$Z,9,FALSE)</f>
        <v>MVC</v>
      </c>
      <c r="V772" s="567" t="str">
        <f t="shared" si="121"/>
        <v>WRONG</v>
      </c>
      <c r="W772" s="563" t="str">
        <f>VLOOKUP(A772,'[1]Raw data'!$B:$AG,32,FALSE)</f>
        <v>含税到厂</v>
      </c>
      <c r="X772" s="647">
        <f>VLOOKUP(A772,'[1]Raw data'!$B:$BA,31,FALSE)</f>
        <v>44173</v>
      </c>
      <c r="Y772" s="647" t="str">
        <f>VLOOKUP(A772,'[1]Raw data'!$B:$AS,39,FALSE)</f>
        <v>Yes</v>
      </c>
      <c r="Z772" s="659"/>
      <c r="AA772" s="660"/>
      <c r="AB772" s="661"/>
      <c r="AC772" s="647" t="s">
        <v>1421</v>
      </c>
      <c r="AD772" s="662">
        <v>301</v>
      </c>
      <c r="AE772" s="662">
        <v>10</v>
      </c>
      <c r="AF772" s="662"/>
      <c r="AG772" s="662"/>
      <c r="AH772" s="662"/>
      <c r="AI772" s="663"/>
      <c r="AN772" s="542"/>
      <c r="AO772" s="824" t="str">
        <f t="shared" si="122"/>
        <v>Yes</v>
      </c>
      <c r="AP772" s="259" t="str">
        <f t="shared" si="123"/>
        <v>MAY 21</v>
      </c>
      <c r="AQ772" s="542" t="str">
        <f t="shared" si="124"/>
        <v>有定金+有預留客戶</v>
      </c>
      <c r="AR772" s="259" t="str">
        <f t="shared" si="125"/>
        <v>Shipped_Stock</v>
      </c>
      <c r="AS772" s="259" t="str">
        <f t="shared" si="126"/>
        <v/>
      </c>
      <c r="AT772" s="259" t="str">
        <f t="shared" si="127"/>
        <v>富源晟</v>
      </c>
      <c r="AU772" s="259" t="str">
        <f t="shared" si="128"/>
        <v>C49SZX20200080DY</v>
      </c>
      <c r="AV772" s="259" t="str">
        <f t="shared" si="129"/>
        <v>Apr-01</v>
      </c>
    </row>
    <row r="773" spans="1:48" hidden="1">
      <c r="A773" s="559">
        <v>1040</v>
      </c>
      <c r="B773" s="664" t="s">
        <v>1125</v>
      </c>
      <c r="C773" s="664" t="s">
        <v>281</v>
      </c>
      <c r="D773" s="645" t="s">
        <v>1545</v>
      </c>
      <c r="E773" s="563" t="s">
        <v>886</v>
      </c>
      <c r="F773" s="647" t="s">
        <v>241</v>
      </c>
      <c r="G773" s="647" t="s">
        <v>18</v>
      </c>
      <c r="H773" s="647" t="s">
        <v>307</v>
      </c>
      <c r="I773" s="575" t="s">
        <v>1547</v>
      </c>
      <c r="J773" s="575">
        <v>1</v>
      </c>
      <c r="K773" s="647" t="s">
        <v>1419</v>
      </c>
      <c r="L773" s="657">
        <v>44287</v>
      </c>
      <c r="M773" s="665">
        <v>6.2300000000000001E-2</v>
      </c>
      <c r="N773" s="647" t="s">
        <v>90</v>
      </c>
      <c r="O773" s="575"/>
      <c r="P773" s="665" t="str">
        <f>VLOOKUP(A773,'[1]Raw data'!$B:$BA,23,FALSE)</f>
        <v>RMB</v>
      </c>
      <c r="Q773" s="647" t="str">
        <f>VLOOKUP(A773,'[1]Raw data'!$B:$Z,2,FALSE)</f>
        <v>C49SZX20200248SX</v>
      </c>
      <c r="R773" s="647" t="str">
        <f>VLOOKUP(A773,'[1]Raw data'!$B:$Z,3,FALSE)</f>
        <v>悦之彩</v>
      </c>
      <c r="S773" s="647" t="str">
        <f>VLOOKUP(A773,'[1]Raw data'!$B:$Z,4,FALSE)</f>
        <v>YSM10</v>
      </c>
      <c r="T773" s="647" t="str">
        <f>VLOOKUP(A773,'[1]Raw data'!$B:$Z,8,FALSE)</f>
        <v>L-&gt;R</v>
      </c>
      <c r="U773" s="647" t="str">
        <f>VLOOKUP(A773,'[1]Raw data'!$B:$Z,9,FALSE)</f>
        <v>MVC</v>
      </c>
      <c r="V773" s="567" t="str">
        <f t="shared" si="121"/>
        <v>WRONG</v>
      </c>
      <c r="W773" s="563" t="str">
        <f>VLOOKUP(A773,'[1]Raw data'!$B:$AG,32,FALSE)</f>
        <v>含税到厂</v>
      </c>
      <c r="X773" s="647">
        <f>VLOOKUP(A773,'[1]Raw data'!$B:$BA,31,FALSE)</f>
        <v>44183</v>
      </c>
      <c r="Y773" s="647" t="str">
        <f>VLOOKUP(A773,'[1]Raw data'!$B:$AS,39,FALSE)</f>
        <v>Yes</v>
      </c>
      <c r="Z773" s="659"/>
      <c r="AA773" s="660"/>
      <c r="AB773" s="661"/>
      <c r="AC773" s="647" t="s">
        <v>1548</v>
      </c>
      <c r="AD773" s="662">
        <v>301</v>
      </c>
      <c r="AE773" s="662">
        <v>10</v>
      </c>
      <c r="AF773" s="662"/>
      <c r="AG773" s="662"/>
      <c r="AH773" s="662"/>
      <c r="AI773" s="663"/>
      <c r="AN773" s="542"/>
      <c r="AO773" s="824" t="str">
        <f t="shared" si="122"/>
        <v>Yes</v>
      </c>
      <c r="AP773" s="259" t="str">
        <f t="shared" si="123"/>
        <v>APR 21</v>
      </c>
      <c r="AQ773" s="542" t="str">
        <f t="shared" si="124"/>
        <v>有定金+有預留客戶</v>
      </c>
      <c r="AR773" s="259" t="str">
        <f t="shared" si="125"/>
        <v>Shipped_Stock</v>
      </c>
      <c r="AS773" s="259" t="str">
        <f t="shared" si="126"/>
        <v/>
      </c>
      <c r="AT773" s="259" t="str">
        <f t="shared" si="127"/>
        <v>悦之彩</v>
      </c>
      <c r="AU773" s="259" t="str">
        <f t="shared" si="128"/>
        <v>C49SZX20200248SX</v>
      </c>
      <c r="AV773" s="259" t="str">
        <f t="shared" si="129"/>
        <v>Apr-01</v>
      </c>
    </row>
    <row r="774" spans="1:48" ht="14.25" hidden="1">
      <c r="A774" s="559">
        <v>1041</v>
      </c>
      <c r="B774" s="664" t="s">
        <v>1125</v>
      </c>
      <c r="C774" s="664" t="s">
        <v>281</v>
      </c>
      <c r="D774" s="645" t="s">
        <v>1549</v>
      </c>
      <c r="E774" s="563" t="s">
        <v>886</v>
      </c>
      <c r="F774" s="647" t="s">
        <v>241</v>
      </c>
      <c r="G774" s="647" t="s">
        <v>18</v>
      </c>
      <c r="H774" s="647" t="s">
        <v>307</v>
      </c>
      <c r="I774" s="575" t="s">
        <v>1550</v>
      </c>
      <c r="J774" s="575">
        <v>1</v>
      </c>
      <c r="K774" s="647" t="s">
        <v>1419</v>
      </c>
      <c r="L774" s="657">
        <v>44287</v>
      </c>
      <c r="M774" s="665">
        <v>6.2300000000000001E-2</v>
      </c>
      <c r="N774" s="647" t="s">
        <v>90</v>
      </c>
      <c r="O774" s="575"/>
      <c r="P774" s="665" t="str">
        <f>VLOOKUP(A774,'[1]Raw data'!$B:$BA,23,FALSE)</f>
        <v>RMB</v>
      </c>
      <c r="Q774" s="647" t="str">
        <f>VLOOKUP(A774,'[1]Raw data'!$B:$Z,2,FALSE)</f>
        <v>C49SZX20200248SX</v>
      </c>
      <c r="R774" s="647" t="str">
        <f>VLOOKUP(A774,'[1]Raw data'!$B:$Z,3,FALSE)</f>
        <v>悦之彩</v>
      </c>
      <c r="S774" s="647" t="str">
        <f>VLOOKUP(A774,'[1]Raw data'!$B:$Z,4,FALSE)</f>
        <v>YSM10</v>
      </c>
      <c r="T774" s="647" t="str">
        <f>VLOOKUP(A774,'[1]Raw data'!$B:$Z,8,FALSE)</f>
        <v>L-&gt;R</v>
      </c>
      <c r="U774" s="647" t="str">
        <f>VLOOKUP(A774,'[1]Raw data'!$B:$Z,9,FALSE)</f>
        <v>MVC</v>
      </c>
      <c r="V774" s="567" t="str">
        <f t="shared" si="121"/>
        <v>WRONG</v>
      </c>
      <c r="W774" s="563" t="str">
        <f>VLOOKUP(A774,'[1]Raw data'!$B:$AG,32,FALSE)</f>
        <v>含税到厂</v>
      </c>
      <c r="X774" s="647">
        <f>VLOOKUP(A774,'[1]Raw data'!$B:$BA,31,FALSE)</f>
        <v>44183</v>
      </c>
      <c r="Y774" s="647" t="str">
        <f>VLOOKUP(A774,'[1]Raw data'!$B:$AS,39,FALSE)</f>
        <v>Yes</v>
      </c>
      <c r="Z774" s="659"/>
      <c r="AA774" s="660"/>
      <c r="AB774" s="661"/>
      <c r="AC774" s="647" t="s">
        <v>1548</v>
      </c>
      <c r="AD774" s="662">
        <v>301</v>
      </c>
      <c r="AE774" s="662">
        <v>10</v>
      </c>
      <c r="AF774" s="662"/>
      <c r="AG774" s="662"/>
      <c r="AH774" s="662"/>
      <c r="AI774" s="663"/>
      <c r="AN774" s="542"/>
      <c r="AO774" s="824" t="str">
        <f t="shared" si="122"/>
        <v>Yes</v>
      </c>
      <c r="AP774" s="259" t="str">
        <f t="shared" si="123"/>
        <v>APR 21</v>
      </c>
      <c r="AQ774" s="542" t="str">
        <f t="shared" si="124"/>
        <v>有定金+有預留客戶</v>
      </c>
      <c r="AR774" s="259" t="str">
        <f t="shared" si="125"/>
        <v>Shipped_Stock</v>
      </c>
      <c r="AS774" s="259" t="str">
        <f t="shared" si="126"/>
        <v/>
      </c>
      <c r="AT774" s="259" t="str">
        <f t="shared" si="127"/>
        <v>悦之彩</v>
      </c>
      <c r="AU774" s="259" t="str">
        <f t="shared" si="128"/>
        <v>C49SZX20200248SX</v>
      </c>
      <c r="AV774" s="259" t="str">
        <f t="shared" si="129"/>
        <v>Apr-01</v>
      </c>
    </row>
    <row r="775" spans="1:48" hidden="1">
      <c r="A775" s="559">
        <v>739</v>
      </c>
      <c r="B775" s="664" t="s">
        <v>1125</v>
      </c>
      <c r="C775" s="664" t="s">
        <v>281</v>
      </c>
      <c r="D775" s="645">
        <v>110274</v>
      </c>
      <c r="E775" s="646" t="s">
        <v>1214</v>
      </c>
      <c r="F775" s="647" t="s">
        <v>149</v>
      </c>
      <c r="G775" s="647" t="s">
        <v>24</v>
      </c>
      <c r="H775" s="647" t="s">
        <v>26</v>
      </c>
      <c r="I775" s="575" t="s">
        <v>1551</v>
      </c>
      <c r="J775" s="575">
        <v>1</v>
      </c>
      <c r="K775" s="647" t="s">
        <v>78</v>
      </c>
      <c r="L775" s="657">
        <v>44300</v>
      </c>
      <c r="M775" s="665" t="s">
        <v>906</v>
      </c>
      <c r="N775" s="647" t="s">
        <v>90</v>
      </c>
      <c r="O775" s="575"/>
      <c r="P775" s="665" t="str">
        <f>VLOOKUP(A775,'[1]Raw data'!$B:$BA,23,FALSE)</f>
        <v>JPY</v>
      </c>
      <c r="Q775" s="647" t="str">
        <f>VLOOKUP(A775,'[1]Raw data'!$B:$Z,2,FALSE)</f>
        <v>C49SZX20210028DZ</v>
      </c>
      <c r="R775" s="647" t="str">
        <f>VLOOKUP(A775,'[1]Raw data'!$B:$Z,3,FALSE)</f>
        <v>平方兆赫</v>
      </c>
      <c r="S775" s="647" t="str">
        <f>VLOOKUP(A775,'[1]Raw data'!$B:$Z,4,FALSE)</f>
        <v>YSM40R-4</v>
      </c>
      <c r="T775" s="647" t="str">
        <f>VLOOKUP(A775,'[1]Raw data'!$B:$Z,8,FALSE)</f>
        <v>L-&gt;R</v>
      </c>
      <c r="U775" s="647" t="str">
        <f>VLOOKUP(A775,'[1]Raw data'!$B:$Z,9,FALSE)</f>
        <v>No</v>
      </c>
      <c r="V775" s="567" t="str">
        <f t="shared" ref="V775:V785" si="130">IF(G775&amp;H775=T775&amp;U775,"OK","WRONG")</f>
        <v>OK</v>
      </c>
      <c r="W775" s="563" t="str">
        <f>VLOOKUP(A775,'[1]Raw data'!$B:$AG,32,FALSE)</f>
        <v>CIF HK</v>
      </c>
      <c r="X775" s="647">
        <f>VLOOKUP(A775,'[1]Raw data'!$B:$BA,31,FALSE)</f>
        <v>44265</v>
      </c>
      <c r="Y775" s="647" t="str">
        <f>VLOOKUP(A775,'[1]Raw data'!$B:$AS,39,FALSE)</f>
        <v>Yes</v>
      </c>
      <c r="Z775" s="659"/>
      <c r="AA775" s="660"/>
      <c r="AB775" s="661"/>
      <c r="AC775" s="647" t="s">
        <v>1216</v>
      </c>
      <c r="AD775" s="662"/>
      <c r="AE775" s="662"/>
      <c r="AF775" s="662"/>
      <c r="AG775" s="662"/>
      <c r="AH775" s="662"/>
      <c r="AI775" s="663"/>
      <c r="AN775" s="542"/>
      <c r="AO775" s="824" t="str">
        <f t="shared" si="122"/>
        <v>Yes</v>
      </c>
      <c r="AP775" s="259" t="str">
        <f t="shared" si="123"/>
        <v>APR 21</v>
      </c>
      <c r="AQ775" s="542" t="str">
        <f t="shared" si="124"/>
        <v>有定金+有預留客戶</v>
      </c>
      <c r="AR775" s="259" t="str">
        <f t="shared" si="125"/>
        <v>Shipped_Stock</v>
      </c>
      <c r="AS775" s="259" t="str">
        <f t="shared" si="126"/>
        <v/>
      </c>
      <c r="AT775" s="259" t="str">
        <f t="shared" si="127"/>
        <v>平方兆赫</v>
      </c>
      <c r="AU775" s="259" t="str">
        <f t="shared" si="128"/>
        <v>C49SZX20210028DZ</v>
      </c>
      <c r="AV775" s="259" t="str">
        <f t="shared" si="129"/>
        <v>Apr-14</v>
      </c>
    </row>
    <row r="776" spans="1:48" ht="15.6" hidden="1" customHeight="1">
      <c r="A776" s="559">
        <v>1058</v>
      </c>
      <c r="B776" s="664" t="s">
        <v>1125</v>
      </c>
      <c r="C776" s="664" t="s">
        <v>281</v>
      </c>
      <c r="D776" s="645">
        <v>110272</v>
      </c>
      <c r="E776" s="646" t="s">
        <v>1552</v>
      </c>
      <c r="F776" s="647" t="s">
        <v>58</v>
      </c>
      <c r="G776" s="647" t="s">
        <v>24</v>
      </c>
      <c r="H776" s="647" t="s">
        <v>26</v>
      </c>
      <c r="I776" s="575" t="s">
        <v>1553</v>
      </c>
      <c r="J776" s="575">
        <v>1</v>
      </c>
      <c r="K776" s="647" t="s">
        <v>81</v>
      </c>
      <c r="L776" s="657">
        <v>44305</v>
      </c>
      <c r="M776" s="665" t="s">
        <v>906</v>
      </c>
      <c r="N776" s="647" t="s">
        <v>90</v>
      </c>
      <c r="O776" s="575"/>
      <c r="P776" s="665" t="str">
        <f>VLOOKUP(A776,'[1]Raw data'!$B:$BA,23,FALSE)</f>
        <v>JPY</v>
      </c>
      <c r="Q776" s="647" t="str">
        <f>VLOOKUP(A776,'[1]Raw data'!$B:$Z,2,FALSE)</f>
        <v>C49SZX20210002SX</v>
      </c>
      <c r="R776" s="647" t="str">
        <f>VLOOKUP(A776,'[1]Raw data'!$B:$Z,3,FALSE)</f>
        <v>利速达</v>
      </c>
      <c r="S776" s="647" t="str">
        <f>VLOOKUP(A776,'[1]Raw data'!$B:$Z,4,FALSE)</f>
        <v>YSM20R-2</v>
      </c>
      <c r="T776" s="647" t="str">
        <f>VLOOKUP(A776,'[1]Raw data'!$B:$Z,8,FALSE)</f>
        <v>L-&gt;R</v>
      </c>
      <c r="U776" s="647" t="str">
        <f>VLOOKUP(A776,'[1]Raw data'!$B:$Z,9,FALSE)</f>
        <v>No</v>
      </c>
      <c r="V776" s="567" t="str">
        <f t="shared" ref="V776:V781" si="131">IF(G776&amp;H776=T776&amp;U776,"OK","WRONG")</f>
        <v>OK</v>
      </c>
      <c r="W776" s="563" t="str">
        <f>VLOOKUP(A776,'[1]Raw data'!$B:$AG,32,FALSE)</f>
        <v>DAP SZ</v>
      </c>
      <c r="X776" s="647">
        <f>VLOOKUP(A776,'[1]Raw data'!$B:$BA,31,FALSE)</f>
        <v>44200</v>
      </c>
      <c r="Y776" s="647" t="str">
        <f>VLOOKUP(A776,'[1]Raw data'!$B:$AS,39,FALSE)</f>
        <v>Yes</v>
      </c>
      <c r="Z776" s="659"/>
      <c r="AA776" s="660"/>
      <c r="AB776" s="661"/>
      <c r="AC776" s="647" t="s">
        <v>1554</v>
      </c>
      <c r="AD776" s="662">
        <v>301</v>
      </c>
      <c r="AE776" s="662">
        <v>20</v>
      </c>
      <c r="AF776" s="662"/>
      <c r="AG776" s="662"/>
      <c r="AH776" s="662"/>
      <c r="AI776" s="663"/>
      <c r="AN776" s="542"/>
      <c r="AO776" s="824" t="str">
        <f t="shared" si="122"/>
        <v>Yes</v>
      </c>
      <c r="AP776" s="259" t="str">
        <f t="shared" si="123"/>
        <v>APR 21</v>
      </c>
      <c r="AQ776" s="542" t="str">
        <f t="shared" si="124"/>
        <v>有定金+有預留客戶</v>
      </c>
      <c r="AR776" s="259" t="str">
        <f t="shared" si="125"/>
        <v>Shipped_Stock</v>
      </c>
      <c r="AS776" s="259" t="str">
        <f t="shared" si="126"/>
        <v/>
      </c>
      <c r="AT776" s="259" t="str">
        <f t="shared" si="127"/>
        <v>利速达</v>
      </c>
      <c r="AU776" s="259" t="str">
        <f t="shared" si="128"/>
        <v>C49SZX20210002SX</v>
      </c>
      <c r="AV776" s="259" t="str">
        <f t="shared" si="129"/>
        <v>Apr-19</v>
      </c>
    </row>
    <row r="777" spans="1:48" ht="15.6" hidden="1" customHeight="1">
      <c r="A777" s="559">
        <v>1139</v>
      </c>
      <c r="B777" s="664" t="s">
        <v>1125</v>
      </c>
      <c r="C777" s="664" t="s">
        <v>281</v>
      </c>
      <c r="D777" s="645">
        <v>110272</v>
      </c>
      <c r="E777" s="646" t="s">
        <v>1552</v>
      </c>
      <c r="F777" s="647" t="s">
        <v>58</v>
      </c>
      <c r="G777" s="647" t="s">
        <v>24</v>
      </c>
      <c r="H777" s="647" t="s">
        <v>26</v>
      </c>
      <c r="I777" s="575" t="s">
        <v>1555</v>
      </c>
      <c r="J777" s="575">
        <v>1</v>
      </c>
      <c r="K777" s="647" t="s">
        <v>81</v>
      </c>
      <c r="L777" s="657">
        <v>44305</v>
      </c>
      <c r="M777" s="665" t="s">
        <v>906</v>
      </c>
      <c r="N777" s="647" t="s">
        <v>90</v>
      </c>
      <c r="O777" s="575"/>
      <c r="P777" s="665" t="str">
        <f>VLOOKUP(A777,'[1]Raw data'!$B:$BA,23,FALSE)</f>
        <v>JPY</v>
      </c>
      <c r="Q777" s="647" t="str">
        <f>VLOOKUP(A777,'[1]Raw data'!$B:$Z,2,FALSE)</f>
        <v>C49SZX20210126DZ</v>
      </c>
      <c r="R777" s="647" t="str">
        <f>VLOOKUP(A777,'[1]Raw data'!$B:$Z,3,FALSE)</f>
        <v>名商</v>
      </c>
      <c r="S777" s="647" t="str">
        <f>VLOOKUP(A777,'[1]Raw data'!$B:$Z,4,FALSE)</f>
        <v>YSM20R-2</v>
      </c>
      <c r="T777" s="647" t="str">
        <f>VLOOKUP(A777,'[1]Raw data'!$B:$Z,8,FALSE)</f>
        <v>L-&gt;R</v>
      </c>
      <c r="U777" s="647" t="str">
        <f>VLOOKUP(A777,'[1]Raw data'!$B:$Z,9,FALSE)</f>
        <v>No</v>
      </c>
      <c r="V777" s="567" t="str">
        <f t="shared" si="131"/>
        <v>OK</v>
      </c>
      <c r="W777" s="563" t="str">
        <f>VLOOKUP(A777,'[1]Raw data'!$B:$AG,32,FALSE)</f>
        <v>CIF HK</v>
      </c>
      <c r="X777" s="647">
        <f>VLOOKUP(A777,'[1]Raw data'!$B:$BA,31,FALSE)</f>
        <v>44233</v>
      </c>
      <c r="Y777" s="647" t="str">
        <f>VLOOKUP(A777,'[1]Raw data'!$B:$AS,39,FALSE)</f>
        <v>Yes</v>
      </c>
      <c r="Z777" s="659"/>
      <c r="AA777" s="660"/>
      <c r="AB777" s="661"/>
      <c r="AC777" s="647" t="s">
        <v>1525</v>
      </c>
      <c r="AD777" s="662">
        <v>301</v>
      </c>
      <c r="AE777" s="662">
        <v>20</v>
      </c>
      <c r="AF777" s="662"/>
      <c r="AG777" s="662"/>
      <c r="AH777" s="662"/>
      <c r="AI777" s="663"/>
      <c r="AN777" s="542"/>
      <c r="AO777" s="824" t="str">
        <f t="shared" si="122"/>
        <v>Yes</v>
      </c>
      <c r="AP777" s="259" t="str">
        <f t="shared" si="123"/>
        <v>APR 21</v>
      </c>
      <c r="AQ777" s="542" t="str">
        <f t="shared" si="124"/>
        <v>有定金+有預留客戶</v>
      </c>
      <c r="AR777" s="259" t="str">
        <f t="shared" si="125"/>
        <v>Shipped_Stock</v>
      </c>
      <c r="AS777" s="259" t="str">
        <f t="shared" si="126"/>
        <v/>
      </c>
      <c r="AT777" s="259" t="str">
        <f t="shared" si="127"/>
        <v>名商</v>
      </c>
      <c r="AU777" s="259" t="str">
        <f t="shared" si="128"/>
        <v>C49SZX20210126DZ</v>
      </c>
      <c r="AV777" s="259" t="str">
        <f t="shared" si="129"/>
        <v>Apr-19</v>
      </c>
    </row>
    <row r="778" spans="1:48" ht="15.6" hidden="1" customHeight="1">
      <c r="A778" s="559">
        <v>1188</v>
      </c>
      <c r="B778" s="664" t="s">
        <v>1125</v>
      </c>
      <c r="C778" s="664" t="s">
        <v>281</v>
      </c>
      <c r="D778" s="645">
        <v>110272</v>
      </c>
      <c r="E778" s="646" t="s">
        <v>1552</v>
      </c>
      <c r="F778" s="647" t="s">
        <v>58</v>
      </c>
      <c r="G778" s="647" t="s">
        <v>24</v>
      </c>
      <c r="H778" s="647" t="s">
        <v>26</v>
      </c>
      <c r="I778" s="575" t="s">
        <v>173</v>
      </c>
      <c r="J778" s="575">
        <v>1</v>
      </c>
      <c r="K778" s="647" t="s">
        <v>1419</v>
      </c>
      <c r="L778" s="657">
        <v>44305</v>
      </c>
      <c r="M778" s="665" t="s">
        <v>1556</v>
      </c>
      <c r="N778" s="647" t="s">
        <v>96</v>
      </c>
      <c r="O778" s="575"/>
      <c r="P778" s="665" t="str">
        <f>VLOOKUP(A778,'[1]Raw data'!$B:$BA,23,FALSE)</f>
        <v>RMB</v>
      </c>
      <c r="Q778" s="647" t="str">
        <f>VLOOKUP(A778,'[1]Raw data'!$B:$Z,2,FALSE)</f>
        <v>C49SZX20210156DZ</v>
      </c>
      <c r="R778" s="647" t="str">
        <f>VLOOKUP(A778,'[1]Raw data'!$B:$Z,3,FALSE)</f>
        <v>海星</v>
      </c>
      <c r="S778" s="647" t="str">
        <f>VLOOKUP(A778,'[1]Raw data'!$B:$Z,4,FALSE)</f>
        <v>YSM20R-2</v>
      </c>
      <c r="T778" s="647" t="str">
        <f>VLOOKUP(A778,'[1]Raw data'!$B:$Z,8,FALSE)</f>
        <v>L-&gt;R</v>
      </c>
      <c r="U778" s="647" t="str">
        <f>VLOOKUP(A778,'[1]Raw data'!$B:$Z,9,FALSE)</f>
        <v>No</v>
      </c>
      <c r="V778" s="567" t="str">
        <f t="shared" si="131"/>
        <v>OK</v>
      </c>
      <c r="W778" s="563" t="str">
        <f>VLOOKUP(A778,'[1]Raw data'!$B:$AG,32,FALSE)</f>
        <v>DDP SZ</v>
      </c>
      <c r="X778" s="647">
        <f>VLOOKUP(A778,'[1]Raw data'!$B:$BA,31,FALSE)</f>
        <v>44260</v>
      </c>
      <c r="Y778" s="647" t="str">
        <f>VLOOKUP(A778,'[1]Raw data'!$B:$AS,39,FALSE)</f>
        <v>Yes</v>
      </c>
      <c r="Z778" s="659"/>
      <c r="AA778" s="660"/>
      <c r="AB778" s="661"/>
      <c r="AC778" s="647" t="s">
        <v>1557</v>
      </c>
      <c r="AD778" s="662">
        <v>301</v>
      </c>
      <c r="AE778" s="662">
        <v>20</v>
      </c>
      <c r="AF778" s="662"/>
      <c r="AG778" s="662"/>
      <c r="AH778" s="662"/>
      <c r="AI778" s="663"/>
      <c r="AN778" s="542"/>
      <c r="AO778" s="824" t="str">
        <f t="shared" si="122"/>
        <v>Yes</v>
      </c>
      <c r="AP778" s="259" t="str">
        <f t="shared" si="123"/>
        <v>JUN 21</v>
      </c>
      <c r="AQ778" s="542" t="str">
        <f t="shared" si="124"/>
        <v>有定金+有預留客戶</v>
      </c>
      <c r="AR778" s="259" t="str">
        <f t="shared" si="125"/>
        <v>Shipped_Stock</v>
      </c>
      <c r="AS778" s="259" t="str">
        <f t="shared" si="126"/>
        <v/>
      </c>
      <c r="AT778" s="259" t="str">
        <f t="shared" si="127"/>
        <v>海星</v>
      </c>
      <c r="AU778" s="259" t="str">
        <f t="shared" si="128"/>
        <v>C49SZX20210156DZ</v>
      </c>
      <c r="AV778" s="259" t="str">
        <f t="shared" si="129"/>
        <v>Apr-19</v>
      </c>
    </row>
    <row r="779" spans="1:48" ht="15.6" hidden="1" customHeight="1">
      <c r="A779" s="559">
        <v>1134</v>
      </c>
      <c r="B779" s="664" t="s">
        <v>1125</v>
      </c>
      <c r="C779" s="664" t="s">
        <v>281</v>
      </c>
      <c r="D779" s="645">
        <v>110272</v>
      </c>
      <c r="E779" s="646" t="s">
        <v>1552</v>
      </c>
      <c r="F779" s="647" t="s">
        <v>58</v>
      </c>
      <c r="G779" s="647" t="s">
        <v>24</v>
      </c>
      <c r="H779" s="647" t="s">
        <v>26</v>
      </c>
      <c r="I779" s="735" t="s">
        <v>172</v>
      </c>
      <c r="J779" s="575">
        <v>1</v>
      </c>
      <c r="K779" s="647" t="s">
        <v>81</v>
      </c>
      <c r="L779" s="657">
        <v>44305</v>
      </c>
      <c r="M779" s="665" t="s">
        <v>906</v>
      </c>
      <c r="N779" s="647" t="s">
        <v>110</v>
      </c>
      <c r="O779" s="575"/>
      <c r="P779" s="665" t="str">
        <f>VLOOKUP(A779,'[1]Raw data'!$B:$BA,23,FALSE)</f>
        <v>JPY</v>
      </c>
      <c r="Q779" s="647" t="str">
        <f>VLOOKUP(A779,'[1]Raw data'!$B:$Z,2,FALSE)</f>
        <v>C49SZX20210042VG</v>
      </c>
      <c r="R779" s="647" t="str">
        <f>VLOOKUP(A779,'[1]Raw data'!$B:$Z,3,FALSE)</f>
        <v>狂热者</v>
      </c>
      <c r="S779" s="647" t="str">
        <f>VLOOKUP(A779,'[1]Raw data'!$B:$Z,4,FALSE)</f>
        <v>YSM20R-2</v>
      </c>
      <c r="T779" s="647" t="str">
        <f>VLOOKUP(A779,'[1]Raw data'!$B:$Z,8,FALSE)</f>
        <v>L-&gt;R</v>
      </c>
      <c r="U779" s="647" t="str">
        <f>VLOOKUP(A779,'[1]Raw data'!$B:$Z,9,FALSE)</f>
        <v>No</v>
      </c>
      <c r="V779" s="567" t="str">
        <f t="shared" si="131"/>
        <v>OK</v>
      </c>
      <c r="W779" s="563" t="str">
        <f>VLOOKUP(A779,'[1]Raw data'!$B:$AG,32,FALSE)</f>
        <v>DAP SZ</v>
      </c>
      <c r="X779" s="647">
        <f>VLOOKUP(A779,'[1]Raw data'!$B:$BA,31,FALSE)</f>
        <v>44231</v>
      </c>
      <c r="Y779" s="647" t="str">
        <f>VLOOKUP(A779,'[1]Raw data'!$B:$AS,39,FALSE)</f>
        <v>Yes</v>
      </c>
      <c r="Z779" s="659"/>
      <c r="AA779" s="660"/>
      <c r="AB779" s="661"/>
      <c r="AC779" s="647" t="s">
        <v>1558</v>
      </c>
      <c r="AD779" s="662">
        <v>301</v>
      </c>
      <c r="AE779" s="662">
        <v>20</v>
      </c>
      <c r="AF779" s="662"/>
      <c r="AG779" s="662"/>
      <c r="AH779" s="662"/>
      <c r="AI779" s="663"/>
      <c r="AN779" s="542"/>
      <c r="AO779" s="824" t="str">
        <f t="shared" si="122"/>
        <v>Yes</v>
      </c>
      <c r="AP779" s="259" t="str">
        <f t="shared" si="123"/>
        <v>MAY 21</v>
      </c>
      <c r="AQ779" s="542" t="str">
        <f t="shared" si="124"/>
        <v>有定金+有預留客戶</v>
      </c>
      <c r="AR779" s="259" t="str">
        <f t="shared" si="125"/>
        <v>Shipped_Stock</v>
      </c>
      <c r="AS779" s="259" t="str">
        <f t="shared" si="126"/>
        <v/>
      </c>
      <c r="AT779" s="259" t="str">
        <f t="shared" si="127"/>
        <v>狂热者</v>
      </c>
      <c r="AU779" s="259" t="str">
        <f t="shared" si="128"/>
        <v>C49SZX20210042VG</v>
      </c>
      <c r="AV779" s="259" t="str">
        <f t="shared" si="129"/>
        <v>Apr-19</v>
      </c>
    </row>
    <row r="780" spans="1:48" ht="15.6" hidden="1" customHeight="1">
      <c r="A780" s="559">
        <v>1347</v>
      </c>
      <c r="B780" s="664" t="s">
        <v>1125</v>
      </c>
      <c r="C780" s="664" t="s">
        <v>281</v>
      </c>
      <c r="D780" s="645" t="s">
        <v>1559</v>
      </c>
      <c r="E780" s="646" t="s">
        <v>1552</v>
      </c>
      <c r="F780" s="647" t="s">
        <v>58</v>
      </c>
      <c r="G780" s="647" t="s">
        <v>24</v>
      </c>
      <c r="H780" s="647" t="s">
        <v>26</v>
      </c>
      <c r="I780" s="575" t="s">
        <v>1560</v>
      </c>
      <c r="J780" s="575">
        <v>1</v>
      </c>
      <c r="K780" s="647" t="s">
        <v>82</v>
      </c>
      <c r="L780" s="657">
        <v>44305</v>
      </c>
      <c r="M780" s="665">
        <v>6.0600000000000001E-2</v>
      </c>
      <c r="N780" s="647" t="s">
        <v>110</v>
      </c>
      <c r="O780" s="575"/>
      <c r="P780" s="665" t="str">
        <f>VLOOKUP(A780,'[1]Raw data'!$B:$BA,23,FALSE)</f>
        <v>RMB</v>
      </c>
      <c r="Q780" s="647" t="str">
        <f>VLOOKUP(A780,'[1]Raw data'!$B:$Z,2,FALSE)</f>
        <v>C49SZX20210127JL</v>
      </c>
      <c r="R780" s="647" t="str">
        <f>VLOOKUP(A780,'[1]Raw data'!$B:$Z,3,FALSE)</f>
        <v>同基</v>
      </c>
      <c r="S780" s="647" t="str">
        <f>VLOOKUP(A780,'[1]Raw data'!$B:$Z,4,FALSE)</f>
        <v>YSM20R-2</v>
      </c>
      <c r="T780" s="647" t="str">
        <f>VLOOKUP(A780,'[1]Raw data'!$B:$Z,8,FALSE)</f>
        <v>L-&gt;R</v>
      </c>
      <c r="U780" s="647" t="str">
        <f>VLOOKUP(A780,'[1]Raw data'!$B:$Z,9,FALSE)</f>
        <v>No</v>
      </c>
      <c r="V780" s="567" t="str">
        <f t="shared" si="131"/>
        <v>OK</v>
      </c>
      <c r="W780" s="563" t="str">
        <f>VLOOKUP(A780,'[1]Raw data'!$B:$AG,32,FALSE)</f>
        <v>DDP SZ</v>
      </c>
      <c r="X780" s="647">
        <f>VLOOKUP(A780,'[1]Raw data'!$B:$BA,31,FALSE)</f>
        <v>44308</v>
      </c>
      <c r="Y780" s="647" t="str">
        <f>VLOOKUP(A780,'[1]Raw data'!$B:$AS,39,FALSE)</f>
        <v>Yes</v>
      </c>
      <c r="Z780" s="659"/>
      <c r="AA780" s="660"/>
      <c r="AB780" s="661"/>
      <c r="AC780" s="563" t="s">
        <v>540</v>
      </c>
      <c r="AD780" s="662">
        <v>301</v>
      </c>
      <c r="AE780" s="662">
        <v>20</v>
      </c>
      <c r="AF780" s="662"/>
      <c r="AG780" s="662"/>
      <c r="AH780" s="662"/>
      <c r="AI780" s="663"/>
      <c r="AN780" s="542"/>
      <c r="AO780" s="824" t="str">
        <f t="shared" si="122"/>
        <v>Yes</v>
      </c>
      <c r="AP780" s="259" t="str">
        <f t="shared" si="123"/>
        <v>MAY 21</v>
      </c>
      <c r="AQ780" s="542" t="str">
        <f t="shared" si="124"/>
        <v>有定金+有預留客戶</v>
      </c>
      <c r="AR780" s="259" t="str">
        <f t="shared" si="125"/>
        <v>Shipped_Stock</v>
      </c>
      <c r="AS780" s="259" t="str">
        <f t="shared" si="126"/>
        <v/>
      </c>
      <c r="AT780" s="259" t="str">
        <f t="shared" si="127"/>
        <v>同基</v>
      </c>
      <c r="AU780" s="259" t="str">
        <f t="shared" si="128"/>
        <v>C49SZX20210127JL</v>
      </c>
      <c r="AV780" s="259" t="str">
        <f t="shared" si="129"/>
        <v>Apr-19</v>
      </c>
    </row>
    <row r="781" spans="1:48" ht="19.5" hidden="1" customHeight="1">
      <c r="A781" s="559">
        <v>1270</v>
      </c>
      <c r="B781" s="664" t="s">
        <v>1125</v>
      </c>
      <c r="C781" s="664" t="s">
        <v>281</v>
      </c>
      <c r="D781" s="645" t="s">
        <v>1561</v>
      </c>
      <c r="E781" s="646" t="s">
        <v>1552</v>
      </c>
      <c r="F781" s="647" t="s">
        <v>58</v>
      </c>
      <c r="G781" s="647" t="s">
        <v>24</v>
      </c>
      <c r="H781" s="647" t="s">
        <v>26</v>
      </c>
      <c r="I781" s="575" t="s">
        <v>1562</v>
      </c>
      <c r="J781" s="575">
        <v>1</v>
      </c>
      <c r="K781" s="647" t="s">
        <v>85</v>
      </c>
      <c r="L781" s="657">
        <v>44305</v>
      </c>
      <c r="M781" s="678" t="s">
        <v>1563</v>
      </c>
      <c r="N781" s="647" t="s">
        <v>96</v>
      </c>
      <c r="O781" s="575"/>
      <c r="P781" s="665" t="str">
        <f>VLOOKUP(A781,'[1]Raw data'!$B:$BA,23,FALSE)</f>
        <v>JPY</v>
      </c>
      <c r="Q781" s="647" t="str">
        <f>VLOOKUP(A781,'[1]Raw data'!$B:$Z,2,FALSE)</f>
        <v>C49SZX20210089SX</v>
      </c>
      <c r="R781" s="647" t="str">
        <f>VLOOKUP(A781,'[1]Raw data'!$B:$Z,3,FALSE)</f>
        <v>顺弘</v>
      </c>
      <c r="S781" s="647" t="str">
        <f>VLOOKUP(A781,'[1]Raw data'!$B:$Z,4,FALSE)</f>
        <v>YSM20R-2</v>
      </c>
      <c r="T781" s="647" t="str">
        <f>VLOOKUP(A781,'[1]Raw data'!$B:$Z,8,FALSE)</f>
        <v>L-&gt;R</v>
      </c>
      <c r="U781" s="647" t="str">
        <f>VLOOKUP(A781,'[1]Raw data'!$B:$Z,9,FALSE)</f>
        <v>No</v>
      </c>
      <c r="V781" s="567" t="str">
        <f t="shared" si="131"/>
        <v>OK</v>
      </c>
      <c r="W781" s="563" t="str">
        <f>VLOOKUP(A781,'[1]Raw data'!$B:$AG,32,FALSE)</f>
        <v>DAP DG</v>
      </c>
      <c r="X781" s="647">
        <f>VLOOKUP(A781,'[1]Raw data'!$B:$BA,31,FALSE)</f>
        <v>44273</v>
      </c>
      <c r="Y781" s="647" t="str">
        <f>VLOOKUP(A781,'[1]Raw data'!$B:$AS,39,FALSE)</f>
        <v>No</v>
      </c>
      <c r="Z781" s="659"/>
      <c r="AA781" s="660"/>
      <c r="AB781" s="661"/>
      <c r="AC781" s="563" t="s">
        <v>877</v>
      </c>
      <c r="AD781" s="662">
        <v>301</v>
      </c>
      <c r="AE781" s="662">
        <v>20</v>
      </c>
      <c r="AF781" s="662"/>
      <c r="AG781" s="662"/>
      <c r="AH781" s="662"/>
      <c r="AI781" s="663"/>
      <c r="AN781" s="542"/>
      <c r="AO781" s="824" t="str">
        <f t="shared" si="122"/>
        <v>No</v>
      </c>
      <c r="AP781" s="259" t="str">
        <f t="shared" si="123"/>
        <v>JUN 21</v>
      </c>
      <c r="AQ781" s="542" t="str">
        <f t="shared" si="124"/>
        <v>无定金+有預留客戶</v>
      </c>
      <c r="AR781" s="259" t="str">
        <f t="shared" si="125"/>
        <v>Shipped_Stock</v>
      </c>
      <c r="AS781" s="259" t="str">
        <f t="shared" si="126"/>
        <v/>
      </c>
      <c r="AT781" s="259" t="str">
        <f t="shared" si="127"/>
        <v>顺弘</v>
      </c>
      <c r="AU781" s="259" t="str">
        <f t="shared" si="128"/>
        <v>C49SZX20210089SX</v>
      </c>
      <c r="AV781" s="259" t="str">
        <f t="shared" si="129"/>
        <v>Apr-19</v>
      </c>
    </row>
    <row r="782" spans="1:48" ht="15.6" hidden="1" customHeight="1">
      <c r="A782" s="559">
        <v>1094</v>
      </c>
      <c r="B782" s="664" t="s">
        <v>1125</v>
      </c>
      <c r="C782" s="664" t="s">
        <v>15</v>
      </c>
      <c r="D782" s="645">
        <v>110333</v>
      </c>
      <c r="E782" s="736" t="s">
        <v>1564</v>
      </c>
      <c r="F782" s="647" t="s">
        <v>149</v>
      </c>
      <c r="G782" s="647" t="s">
        <v>24</v>
      </c>
      <c r="H782" s="647" t="s">
        <v>307</v>
      </c>
      <c r="I782" s="575" t="s">
        <v>1565</v>
      </c>
      <c r="J782" s="575">
        <v>1</v>
      </c>
      <c r="K782" s="647" t="s">
        <v>82</v>
      </c>
      <c r="L782" s="657">
        <v>44309</v>
      </c>
      <c r="M782" s="665">
        <v>6.2199999999999998E-2</v>
      </c>
      <c r="N782" s="647" t="s">
        <v>110</v>
      </c>
      <c r="O782" s="575"/>
      <c r="P782" s="665" t="str">
        <f>VLOOKUP(A782,'[1]Raw data'!$B:$BA,23,FALSE)</f>
        <v>RMB</v>
      </c>
      <c r="Q782" s="647" t="str">
        <f>VLOOKUP(A782,'[1]Raw data'!$B:$Z,2,FALSE)</f>
        <v>C49SZX20210021SS</v>
      </c>
      <c r="R782" s="647" t="str">
        <f>VLOOKUP(A782,'[1]Raw data'!$B:$Z,3,FALSE)</f>
        <v>龙大光电</v>
      </c>
      <c r="S782" s="647" t="str">
        <f>VLOOKUP(A782,'[1]Raw data'!$B:$Z,4,FALSE)</f>
        <v>YSM40R-4</v>
      </c>
      <c r="T782" s="647" t="str">
        <f>VLOOKUP(A782,'[1]Raw data'!$B:$Z,8,FALSE)</f>
        <v>L-&gt;R</v>
      </c>
      <c r="U782" s="647" t="str">
        <f>VLOOKUP(A782,'[1]Raw data'!$B:$Z,9,FALSE)</f>
        <v>No</v>
      </c>
      <c r="V782" s="567" t="str">
        <f t="shared" si="130"/>
        <v>OK</v>
      </c>
      <c r="W782" s="563" t="str">
        <f>VLOOKUP(A782,'[1]Raw data'!$B:$AG,32,FALSE)</f>
        <v>含税到厂</v>
      </c>
      <c r="X782" s="647">
        <f>VLOOKUP(A782,'[1]Raw data'!$B:$BA,31,FALSE)</f>
        <v>44222</v>
      </c>
      <c r="Y782" s="647" t="str">
        <f>VLOOKUP(A782,'[1]Raw data'!$B:$AS,39,FALSE)</f>
        <v>Yes</v>
      </c>
      <c r="Z782" s="737"/>
      <c r="AA782" s="738"/>
      <c r="AB782" s="739"/>
      <c r="AC782" s="647" t="s">
        <v>1216</v>
      </c>
      <c r="AD782" s="740">
        <v>7203</v>
      </c>
      <c r="AE782" s="740">
        <v>18</v>
      </c>
      <c r="AF782" s="740">
        <v>7205</v>
      </c>
      <c r="AG782" s="740">
        <v>16</v>
      </c>
      <c r="AH782" s="740">
        <v>7207</v>
      </c>
      <c r="AI782" s="741">
        <v>10</v>
      </c>
      <c r="AJ782" s="742">
        <v>7208</v>
      </c>
      <c r="AK782" s="742">
        <v>10</v>
      </c>
      <c r="AL782" s="742" t="s">
        <v>1566</v>
      </c>
      <c r="AM782" s="742">
        <v>18</v>
      </c>
      <c r="AN782" s="743"/>
      <c r="AO782" s="824" t="str">
        <f t="shared" si="122"/>
        <v>Yes</v>
      </c>
      <c r="AP782" s="259" t="str">
        <f t="shared" si="123"/>
        <v>MAY 21</v>
      </c>
      <c r="AQ782" s="542" t="str">
        <f t="shared" si="124"/>
        <v>有定金+有預留客戶</v>
      </c>
      <c r="AR782" s="259" t="str">
        <f t="shared" si="125"/>
        <v>Shipped_Stock</v>
      </c>
      <c r="AS782" s="259" t="str">
        <f t="shared" si="126"/>
        <v/>
      </c>
      <c r="AT782" s="259" t="str">
        <f t="shared" si="127"/>
        <v>龙大光电</v>
      </c>
      <c r="AU782" s="259" t="str">
        <f t="shared" si="128"/>
        <v>C49SZX20210021SS</v>
      </c>
      <c r="AV782" s="259" t="str">
        <f t="shared" si="129"/>
        <v>Apr-23</v>
      </c>
    </row>
    <row r="783" spans="1:48" hidden="1">
      <c r="A783" s="559">
        <v>1095</v>
      </c>
      <c r="B783" s="664" t="s">
        <v>1125</v>
      </c>
      <c r="C783" s="664" t="s">
        <v>15</v>
      </c>
      <c r="D783" s="645">
        <v>110333</v>
      </c>
      <c r="E783" s="736" t="s">
        <v>1564</v>
      </c>
      <c r="F783" s="647" t="s">
        <v>149</v>
      </c>
      <c r="G783" s="647" t="s">
        <v>24</v>
      </c>
      <c r="H783" s="647" t="s">
        <v>307</v>
      </c>
      <c r="I783" s="575" t="s">
        <v>1567</v>
      </c>
      <c r="J783" s="575">
        <v>1</v>
      </c>
      <c r="K783" s="647" t="s">
        <v>82</v>
      </c>
      <c r="L783" s="657">
        <v>44309</v>
      </c>
      <c r="M783" s="665">
        <v>6.2199999999999998E-2</v>
      </c>
      <c r="N783" s="647" t="s">
        <v>110</v>
      </c>
      <c r="O783" s="575"/>
      <c r="P783" s="665" t="str">
        <f>VLOOKUP(A783,'[1]Raw data'!$B:$BA,23,FALSE)</f>
        <v>RMB</v>
      </c>
      <c r="Q783" s="647" t="str">
        <f>VLOOKUP(A783,'[1]Raw data'!$B:$Z,2,FALSE)</f>
        <v>C49SZX20210021SS</v>
      </c>
      <c r="R783" s="647" t="str">
        <f>VLOOKUP(A783,'[1]Raw data'!$B:$Z,3,FALSE)</f>
        <v>龙大光电</v>
      </c>
      <c r="S783" s="647" t="str">
        <f>VLOOKUP(A783,'[1]Raw data'!$B:$Z,4,FALSE)</f>
        <v>YSM40R-4</v>
      </c>
      <c r="T783" s="647" t="str">
        <f>VLOOKUP(A783,'[1]Raw data'!$B:$Z,8,FALSE)</f>
        <v>L-&gt;R</v>
      </c>
      <c r="U783" s="647" t="str">
        <f>VLOOKUP(A783,'[1]Raw data'!$B:$Z,9,FALSE)</f>
        <v>No</v>
      </c>
      <c r="V783" s="567" t="str">
        <f t="shared" si="130"/>
        <v>OK</v>
      </c>
      <c r="W783" s="563" t="str">
        <f>VLOOKUP(A783,'[1]Raw data'!$B:$AG,32,FALSE)</f>
        <v>含税到厂</v>
      </c>
      <c r="X783" s="647">
        <f>VLOOKUP(A783,'[1]Raw data'!$B:$BA,31,FALSE)</f>
        <v>44222</v>
      </c>
      <c r="Y783" s="647" t="str">
        <f>VLOOKUP(A783,'[1]Raw data'!$B:$AS,39,FALSE)</f>
        <v>Yes</v>
      </c>
      <c r="Z783" s="737"/>
      <c r="AA783" s="738"/>
      <c r="AB783" s="739"/>
      <c r="AC783" s="647" t="s">
        <v>1216</v>
      </c>
      <c r="AD783" s="740">
        <v>7204</v>
      </c>
      <c r="AE783" s="740">
        <v>72</v>
      </c>
      <c r="AF783" s="740"/>
      <c r="AG783" s="740"/>
      <c r="AH783" s="740"/>
      <c r="AI783" s="741"/>
      <c r="AJ783" s="742"/>
      <c r="AK783" s="742"/>
      <c r="AL783" s="742"/>
      <c r="AM783" s="742"/>
      <c r="AN783" s="743"/>
      <c r="AO783" s="824" t="str">
        <f t="shared" si="122"/>
        <v>Yes</v>
      </c>
      <c r="AP783" s="259" t="str">
        <f t="shared" si="123"/>
        <v>MAY 21</v>
      </c>
      <c r="AQ783" s="542" t="str">
        <f t="shared" si="124"/>
        <v>有定金+有預留客戶</v>
      </c>
      <c r="AR783" s="259" t="str">
        <f t="shared" si="125"/>
        <v>Shipped_Stock</v>
      </c>
      <c r="AS783" s="259" t="str">
        <f t="shared" si="126"/>
        <v/>
      </c>
      <c r="AT783" s="259" t="str">
        <f t="shared" si="127"/>
        <v>龙大光电</v>
      </c>
      <c r="AU783" s="259" t="str">
        <f t="shared" si="128"/>
        <v>C49SZX20210021SS</v>
      </c>
      <c r="AV783" s="259" t="str">
        <f t="shared" si="129"/>
        <v>Apr-23</v>
      </c>
    </row>
    <row r="784" spans="1:48" hidden="1">
      <c r="A784" s="559">
        <v>1096</v>
      </c>
      <c r="B784" s="664" t="s">
        <v>1125</v>
      </c>
      <c r="C784" s="664" t="s">
        <v>15</v>
      </c>
      <c r="D784" s="645">
        <v>110333</v>
      </c>
      <c r="E784" s="736" t="s">
        <v>1564</v>
      </c>
      <c r="F784" s="647" t="s">
        <v>149</v>
      </c>
      <c r="G784" s="647" t="s">
        <v>24</v>
      </c>
      <c r="H784" s="647" t="s">
        <v>307</v>
      </c>
      <c r="I784" s="575" t="s">
        <v>1568</v>
      </c>
      <c r="J784" s="575">
        <v>1</v>
      </c>
      <c r="K784" s="647" t="s">
        <v>82</v>
      </c>
      <c r="L784" s="657">
        <v>44309</v>
      </c>
      <c r="M784" s="665">
        <v>6.2199999999999998E-2</v>
      </c>
      <c r="N784" s="647" t="s">
        <v>110</v>
      </c>
      <c r="O784" s="575"/>
      <c r="P784" s="665" t="str">
        <f>VLOOKUP(A784,'[1]Raw data'!$B:$BA,23,FALSE)</f>
        <v>RMB</v>
      </c>
      <c r="Q784" s="647" t="str">
        <f>VLOOKUP(A784,'[1]Raw data'!$B:$Z,2,FALSE)</f>
        <v>C49SZX20210021SS</v>
      </c>
      <c r="R784" s="647" t="str">
        <f>VLOOKUP(A784,'[1]Raw data'!$B:$Z,3,FALSE)</f>
        <v>龙大光电</v>
      </c>
      <c r="S784" s="647" t="str">
        <f>VLOOKUP(A784,'[1]Raw data'!$B:$Z,4,FALSE)</f>
        <v>YSM40R-4</v>
      </c>
      <c r="T784" s="647" t="str">
        <f>VLOOKUP(A784,'[1]Raw data'!$B:$Z,8,FALSE)</f>
        <v>L-&gt;R</v>
      </c>
      <c r="U784" s="647" t="str">
        <f>VLOOKUP(A784,'[1]Raw data'!$B:$Z,9,FALSE)</f>
        <v>No</v>
      </c>
      <c r="V784" s="567" t="str">
        <f t="shared" si="130"/>
        <v>OK</v>
      </c>
      <c r="W784" s="563" t="str">
        <f>VLOOKUP(A784,'[1]Raw data'!$B:$AG,32,FALSE)</f>
        <v>含税到厂</v>
      </c>
      <c r="X784" s="647">
        <f>VLOOKUP(A784,'[1]Raw data'!$B:$BA,31,FALSE)</f>
        <v>44222</v>
      </c>
      <c r="Y784" s="647" t="str">
        <f>VLOOKUP(A784,'[1]Raw data'!$B:$AS,39,FALSE)</f>
        <v>Yes</v>
      </c>
      <c r="Z784" s="737"/>
      <c r="AA784" s="738"/>
      <c r="AB784" s="739"/>
      <c r="AC784" s="647" t="s">
        <v>1216</v>
      </c>
      <c r="AD784" s="740" t="s">
        <v>1566</v>
      </c>
      <c r="AE784" s="740">
        <v>72</v>
      </c>
      <c r="AF784" s="740"/>
      <c r="AG784" s="740"/>
      <c r="AH784" s="740"/>
      <c r="AI784" s="741"/>
      <c r="AJ784" s="742"/>
      <c r="AK784" s="742"/>
      <c r="AL784" s="742"/>
      <c r="AM784" s="742"/>
      <c r="AN784" s="743"/>
      <c r="AO784" s="824" t="str">
        <f t="shared" si="122"/>
        <v>Yes</v>
      </c>
      <c r="AP784" s="259" t="str">
        <f t="shared" si="123"/>
        <v>MAY 21</v>
      </c>
      <c r="AQ784" s="542" t="str">
        <f t="shared" si="124"/>
        <v>有定金+有預留客戶</v>
      </c>
      <c r="AR784" s="259" t="str">
        <f t="shared" si="125"/>
        <v>Shipped_Stock</v>
      </c>
      <c r="AS784" s="259" t="str">
        <f t="shared" si="126"/>
        <v/>
      </c>
      <c r="AT784" s="259" t="str">
        <f t="shared" si="127"/>
        <v>龙大光电</v>
      </c>
      <c r="AU784" s="259" t="str">
        <f t="shared" si="128"/>
        <v>C49SZX20210021SS</v>
      </c>
      <c r="AV784" s="259" t="str">
        <f t="shared" si="129"/>
        <v>Apr-23</v>
      </c>
    </row>
    <row r="785" spans="1:48" ht="12" hidden="1" customHeight="1">
      <c r="A785" s="559">
        <v>1097</v>
      </c>
      <c r="B785" s="664" t="s">
        <v>1125</v>
      </c>
      <c r="C785" s="664" t="s">
        <v>15</v>
      </c>
      <c r="D785" s="645">
        <v>110333</v>
      </c>
      <c r="E785" s="736" t="s">
        <v>1564</v>
      </c>
      <c r="F785" s="647" t="s">
        <v>149</v>
      </c>
      <c r="G785" s="647" t="s">
        <v>24</v>
      </c>
      <c r="H785" s="647" t="s">
        <v>307</v>
      </c>
      <c r="I785" s="575" t="s">
        <v>1569</v>
      </c>
      <c r="J785" s="575">
        <v>1</v>
      </c>
      <c r="K785" s="647" t="s">
        <v>82</v>
      </c>
      <c r="L785" s="657">
        <v>44309</v>
      </c>
      <c r="M785" s="665">
        <v>6.2199999999999998E-2</v>
      </c>
      <c r="N785" s="647" t="s">
        <v>110</v>
      </c>
      <c r="O785" s="575"/>
      <c r="P785" s="665" t="str">
        <f>VLOOKUP(A785,'[1]Raw data'!$B:$BA,23,FALSE)</f>
        <v>RMB</v>
      </c>
      <c r="Q785" s="647" t="str">
        <f>VLOOKUP(A785,'[1]Raw data'!$B:$Z,2,FALSE)</f>
        <v>C49SZX20210021SS</v>
      </c>
      <c r="R785" s="647" t="str">
        <f>VLOOKUP(A785,'[1]Raw data'!$B:$Z,3,FALSE)</f>
        <v>龙大光电</v>
      </c>
      <c r="S785" s="647" t="str">
        <f>VLOOKUP(A785,'[1]Raw data'!$B:$Z,4,FALSE)</f>
        <v>YSM40R-4</v>
      </c>
      <c r="T785" s="647" t="str">
        <f>VLOOKUP(A785,'[1]Raw data'!$B:$Z,8,FALSE)</f>
        <v>L-&gt;R</v>
      </c>
      <c r="U785" s="647" t="str">
        <f>VLOOKUP(A785,'[1]Raw data'!$B:$Z,9,FALSE)</f>
        <v>No</v>
      </c>
      <c r="V785" s="567" t="str">
        <f t="shared" si="130"/>
        <v>OK</v>
      </c>
      <c r="W785" s="563" t="str">
        <f>VLOOKUP(A785,'[1]Raw data'!$B:$AG,32,FALSE)</f>
        <v>含税到厂</v>
      </c>
      <c r="X785" s="647">
        <f>VLOOKUP(A785,'[1]Raw data'!$B:$BA,31,FALSE)</f>
        <v>44222</v>
      </c>
      <c r="Y785" s="647" t="str">
        <f>VLOOKUP(A785,'[1]Raw data'!$B:$AS,39,FALSE)</f>
        <v>Yes</v>
      </c>
      <c r="Z785" s="737"/>
      <c r="AA785" s="738"/>
      <c r="AB785" s="739"/>
      <c r="AC785" s="647" t="s">
        <v>1216</v>
      </c>
      <c r="AD785" s="740" t="s">
        <v>1566</v>
      </c>
      <c r="AE785" s="740">
        <v>72</v>
      </c>
      <c r="AF785" s="740"/>
      <c r="AG785" s="740"/>
      <c r="AH785" s="740"/>
      <c r="AI785" s="741"/>
      <c r="AJ785" s="742"/>
      <c r="AK785" s="742"/>
      <c r="AL785" s="742"/>
      <c r="AM785" s="742"/>
      <c r="AN785" s="743"/>
      <c r="AO785" s="824" t="str">
        <f t="shared" si="122"/>
        <v>Yes</v>
      </c>
      <c r="AP785" s="259" t="str">
        <f t="shared" si="123"/>
        <v>MAY 21</v>
      </c>
      <c r="AQ785" s="542" t="str">
        <f t="shared" si="124"/>
        <v>有定金+有預留客戶</v>
      </c>
      <c r="AR785" s="259" t="str">
        <f t="shared" si="125"/>
        <v>Shipped_Stock</v>
      </c>
      <c r="AS785" s="259" t="str">
        <f t="shared" si="126"/>
        <v/>
      </c>
      <c r="AT785" s="259" t="str">
        <f t="shared" si="127"/>
        <v>龙大光电</v>
      </c>
      <c r="AU785" s="259" t="str">
        <f t="shared" si="128"/>
        <v>C49SZX20210021SS</v>
      </c>
      <c r="AV785" s="259" t="str">
        <f t="shared" si="129"/>
        <v>Apr-23</v>
      </c>
    </row>
    <row r="786" spans="1:48" ht="16.5" hidden="1">
      <c r="A786" s="559">
        <v>1127</v>
      </c>
      <c r="B786" s="664" t="s">
        <v>1125</v>
      </c>
      <c r="C786" s="563" t="s">
        <v>4013</v>
      </c>
      <c r="D786" s="645">
        <v>110327</v>
      </c>
      <c r="E786" s="744" t="s">
        <v>1570</v>
      </c>
      <c r="F786" s="647" t="s">
        <v>201</v>
      </c>
      <c r="G786" s="647" t="s">
        <v>24</v>
      </c>
      <c r="H786" s="647" t="s">
        <v>307</v>
      </c>
      <c r="I786" s="575" t="s">
        <v>1571</v>
      </c>
      <c r="J786" s="575">
        <v>1</v>
      </c>
      <c r="K786" s="647" t="s">
        <v>1572</v>
      </c>
      <c r="L786" s="657">
        <v>44309</v>
      </c>
      <c r="M786" s="665" t="s">
        <v>906</v>
      </c>
      <c r="N786" s="647" t="s">
        <v>90</v>
      </c>
      <c r="O786" s="575"/>
      <c r="P786" s="665" t="str">
        <f>VLOOKUP(A786,'[1]Raw data'!$B:$BA,23,FALSE)</f>
        <v>JPY</v>
      </c>
      <c r="Q786" s="647" t="str">
        <f>VLOOKUP(A786,'[1]Raw data'!$B:$Z,2,FALSE)</f>
        <v>C28HKG2021013KC</v>
      </c>
      <c r="R786" s="647" t="str">
        <f>VLOOKUP(A786,'[1]Raw data'!$B:$Z,3,FALSE)</f>
        <v>嘉裕</v>
      </c>
      <c r="S786" s="647" t="str">
        <f>VLOOKUP(A786,'[1]Raw data'!$B:$Z,4,FALSE)</f>
        <v>YSi-V</v>
      </c>
      <c r="T786" s="647" t="str">
        <f>VLOOKUP(A786,'[1]Raw data'!$B:$Z,8,FALSE)</f>
        <v>L-&gt;R</v>
      </c>
      <c r="U786" s="647" t="str">
        <f>VLOOKUP(A786,'[1]Raw data'!$B:$Z,9,FALSE)</f>
        <v>No</v>
      </c>
      <c r="V786" s="567" t="str">
        <f>IF(G786&amp;H786=T786&amp;U786,"OK","WRONG")</f>
        <v>OK</v>
      </c>
      <c r="W786" s="563" t="str">
        <f>VLOOKUP(A786,'[1]Raw data'!$B:$AG,32,FALSE)</f>
        <v>CIF HK</v>
      </c>
      <c r="X786" s="647">
        <f>VLOOKUP(A786,'[1]Raw data'!$B:$BA,31,FALSE)</f>
        <v>44224</v>
      </c>
      <c r="Y786" s="647" t="str">
        <f>VLOOKUP(A786,'[1]Raw data'!$B:$AS,39,FALSE)</f>
        <v>Yes</v>
      </c>
      <c r="Z786" s="662"/>
      <c r="AA786" s="662"/>
      <c r="AB786" s="662"/>
      <c r="AC786" s="575" t="s">
        <v>1216</v>
      </c>
      <c r="AD786" s="662"/>
      <c r="AE786" s="662"/>
      <c r="AF786" s="662"/>
      <c r="AG786" s="662"/>
      <c r="AH786" s="662"/>
      <c r="AI786" s="663"/>
      <c r="AN786" s="542"/>
      <c r="AO786" s="824" t="str">
        <f t="shared" si="122"/>
        <v>Yes</v>
      </c>
      <c r="AP786" s="259" t="str">
        <f t="shared" si="123"/>
        <v>APR 21</v>
      </c>
      <c r="AQ786" s="542" t="str">
        <f t="shared" si="124"/>
        <v>有定金+有預留客戶</v>
      </c>
      <c r="AR786" s="259" t="str">
        <f t="shared" si="125"/>
        <v>Shipped_Stock</v>
      </c>
      <c r="AS786" s="259" t="str">
        <f t="shared" si="126"/>
        <v/>
      </c>
      <c r="AT786" s="259" t="str">
        <f t="shared" si="127"/>
        <v>嘉裕</v>
      </c>
      <c r="AU786" s="259" t="str">
        <f t="shared" si="128"/>
        <v>C28HKG2021013KC</v>
      </c>
      <c r="AV786" s="259" t="str">
        <f t="shared" si="129"/>
        <v>Apr-23</v>
      </c>
    </row>
    <row r="787" spans="1:48" hidden="1">
      <c r="A787" s="559">
        <v>1064</v>
      </c>
      <c r="B787" s="664" t="s">
        <v>1125</v>
      </c>
      <c r="C787" s="664" t="s">
        <v>281</v>
      </c>
      <c r="D787" s="645" t="s">
        <v>1573</v>
      </c>
      <c r="E787" s="563" t="s">
        <v>886</v>
      </c>
      <c r="F787" s="647" t="s">
        <v>58</v>
      </c>
      <c r="G787" s="647" t="s">
        <v>18</v>
      </c>
      <c r="H787" s="647" t="s">
        <v>26</v>
      </c>
      <c r="I787" s="575" t="s">
        <v>199</v>
      </c>
      <c r="J787" s="575">
        <v>1</v>
      </c>
      <c r="K787" s="647" t="s">
        <v>85</v>
      </c>
      <c r="L787" s="657">
        <v>44309</v>
      </c>
      <c r="M787" s="665">
        <v>6.0499999999999998E-2</v>
      </c>
      <c r="N787" s="647" t="s">
        <v>90</v>
      </c>
      <c r="O787" s="575"/>
      <c r="P787" s="665" t="str">
        <f>VLOOKUP(A787,'[1]Raw data'!$B:$BA,23,FALSE)</f>
        <v>RMB</v>
      </c>
      <c r="Q787" s="647" t="str">
        <f>VLOOKUP(A787,'[1]Raw data'!$B:$Z,2,FALSE)</f>
        <v>C49SZX20210007DZ</v>
      </c>
      <c r="R787" s="647" t="str">
        <f>VLOOKUP(A787,'[1]Raw data'!$B:$Z,3,FALSE)</f>
        <v>赛维显示</v>
      </c>
      <c r="S787" s="647" t="str">
        <f>VLOOKUP(A787,'[1]Raw data'!$B:$Z,4,FALSE)</f>
        <v>YSM20R-2</v>
      </c>
      <c r="T787" s="647" t="str">
        <f>VLOOKUP(A787,'[1]Raw data'!$B:$Z,8,FALSE)</f>
        <v>R-&gt;L</v>
      </c>
      <c r="U787" s="647" t="str">
        <f>VLOOKUP(A787,'[1]Raw data'!$B:$Z,9,FALSE)</f>
        <v>No</v>
      </c>
      <c r="V787" s="567" t="str">
        <f t="shared" ref="V787:V792" si="132">IF(G787&amp;H787=T787&amp;U787,"OK","WRONG")</f>
        <v>OK</v>
      </c>
      <c r="W787" s="563" t="str">
        <f>VLOOKUP(A787,'[1]Raw data'!$B:$AG,32,FALSE)</f>
        <v>含税到厂</v>
      </c>
      <c r="X787" s="647">
        <f>VLOOKUP(A787,'[1]Raw data'!$B:$BA,31,FALSE)</f>
        <v>44205</v>
      </c>
      <c r="Y787" s="647" t="str">
        <f>VLOOKUP(A787,'[1]Raw data'!$B:$AS,39,FALSE)</f>
        <v>Yes</v>
      </c>
      <c r="Z787" s="659"/>
      <c r="AA787" s="660"/>
      <c r="AB787" s="661"/>
      <c r="AC787" s="647" t="s">
        <v>1574</v>
      </c>
      <c r="AD787" s="662">
        <v>301</v>
      </c>
      <c r="AE787" s="662">
        <v>10</v>
      </c>
      <c r="AF787" s="662">
        <v>311</v>
      </c>
      <c r="AG787" s="662">
        <v>10</v>
      </c>
      <c r="AH787" s="662"/>
      <c r="AI787" s="663"/>
      <c r="AN787" s="542"/>
      <c r="AO787" s="824" t="str">
        <f t="shared" si="122"/>
        <v>Yes</v>
      </c>
      <c r="AP787" s="259" t="str">
        <f t="shared" si="123"/>
        <v>APR 21</v>
      </c>
      <c r="AQ787" s="542" t="str">
        <f t="shared" si="124"/>
        <v>有定金+有預留客戶</v>
      </c>
      <c r="AR787" s="259" t="str">
        <f t="shared" si="125"/>
        <v>Shipped_Stock</v>
      </c>
      <c r="AS787" s="259" t="str">
        <f t="shared" si="126"/>
        <v/>
      </c>
      <c r="AT787" s="259" t="str">
        <f t="shared" si="127"/>
        <v>赛维显示</v>
      </c>
      <c r="AU787" s="259" t="str">
        <f t="shared" si="128"/>
        <v>C49SZX20210007DZ</v>
      </c>
      <c r="AV787" s="259" t="str">
        <f t="shared" si="129"/>
        <v>Apr-23</v>
      </c>
    </row>
    <row r="788" spans="1:48" hidden="1">
      <c r="A788" s="559">
        <v>1063</v>
      </c>
      <c r="B788" s="664" t="s">
        <v>1125</v>
      </c>
      <c r="C788" s="664" t="s">
        <v>281</v>
      </c>
      <c r="D788" s="645" t="s">
        <v>1573</v>
      </c>
      <c r="E788" s="563" t="s">
        <v>886</v>
      </c>
      <c r="F788" s="647" t="s">
        <v>58</v>
      </c>
      <c r="G788" s="647" t="s">
        <v>18</v>
      </c>
      <c r="H788" s="647" t="s">
        <v>26</v>
      </c>
      <c r="I788" s="575" t="s">
        <v>196</v>
      </c>
      <c r="J788" s="575">
        <v>1</v>
      </c>
      <c r="K788" s="647" t="s">
        <v>85</v>
      </c>
      <c r="L788" s="657">
        <v>44309</v>
      </c>
      <c r="M788" s="665">
        <v>6.0499999999999998E-2</v>
      </c>
      <c r="N788" s="647" t="s">
        <v>90</v>
      </c>
      <c r="O788" s="575"/>
      <c r="P788" s="665" t="str">
        <f>VLOOKUP(A788,'[1]Raw data'!$B:$BA,23,FALSE)</f>
        <v>RMB</v>
      </c>
      <c r="Q788" s="647" t="str">
        <f>VLOOKUP(A788,'[1]Raw data'!$B:$Z,2,FALSE)</f>
        <v>C49SZX20210007DZ</v>
      </c>
      <c r="R788" s="647" t="str">
        <f>VLOOKUP(A788,'[1]Raw data'!$B:$Z,3,FALSE)</f>
        <v>赛维显示</v>
      </c>
      <c r="S788" s="647" t="str">
        <f>VLOOKUP(A788,'[1]Raw data'!$B:$Z,4,FALSE)</f>
        <v>YSM20R-2</v>
      </c>
      <c r="T788" s="647" t="str">
        <f>VLOOKUP(A788,'[1]Raw data'!$B:$Z,8,FALSE)</f>
        <v>R-&gt;L</v>
      </c>
      <c r="U788" s="647" t="str">
        <f>VLOOKUP(A788,'[1]Raw data'!$B:$Z,9,FALSE)</f>
        <v>No</v>
      </c>
      <c r="V788" s="567" t="str">
        <f t="shared" si="132"/>
        <v>OK</v>
      </c>
      <c r="W788" s="563" t="str">
        <f>VLOOKUP(A788,'[1]Raw data'!$B:$AG,32,FALSE)</f>
        <v>含税到厂</v>
      </c>
      <c r="X788" s="647">
        <f>VLOOKUP(A788,'[1]Raw data'!$B:$BA,31,FALSE)</f>
        <v>44205</v>
      </c>
      <c r="Y788" s="647" t="str">
        <f>VLOOKUP(A788,'[1]Raw data'!$B:$AS,39,FALSE)</f>
        <v>Yes</v>
      </c>
      <c r="Z788" s="659"/>
      <c r="AA788" s="660"/>
      <c r="AB788" s="661"/>
      <c r="AC788" s="647" t="s">
        <v>1574</v>
      </c>
      <c r="AD788" s="662">
        <v>301</v>
      </c>
      <c r="AE788" s="662">
        <v>10</v>
      </c>
      <c r="AF788" s="662">
        <v>311</v>
      </c>
      <c r="AG788" s="662">
        <v>10</v>
      </c>
      <c r="AH788" s="662"/>
      <c r="AI788" s="663"/>
      <c r="AN788" s="542"/>
      <c r="AO788" s="824" t="str">
        <f t="shared" si="122"/>
        <v>Yes</v>
      </c>
      <c r="AP788" s="259" t="str">
        <f t="shared" si="123"/>
        <v>APR 21</v>
      </c>
      <c r="AQ788" s="542" t="str">
        <f t="shared" si="124"/>
        <v>有定金+有預留客戶</v>
      </c>
      <c r="AR788" s="259" t="str">
        <f t="shared" si="125"/>
        <v>Shipped_Stock</v>
      </c>
      <c r="AS788" s="259" t="str">
        <f t="shared" si="126"/>
        <v/>
      </c>
      <c r="AT788" s="259" t="str">
        <f t="shared" si="127"/>
        <v>赛维显示</v>
      </c>
      <c r="AU788" s="259" t="str">
        <f t="shared" si="128"/>
        <v>C49SZX20210007DZ</v>
      </c>
      <c r="AV788" s="259" t="str">
        <f t="shared" si="129"/>
        <v>Apr-23</v>
      </c>
    </row>
    <row r="789" spans="1:48" hidden="1">
      <c r="A789" s="559">
        <v>1061</v>
      </c>
      <c r="B789" s="664" t="s">
        <v>1125</v>
      </c>
      <c r="C789" s="664" t="s">
        <v>281</v>
      </c>
      <c r="D789" s="645" t="s">
        <v>1573</v>
      </c>
      <c r="E789" s="563" t="s">
        <v>886</v>
      </c>
      <c r="F789" s="647" t="s">
        <v>58</v>
      </c>
      <c r="G789" s="647" t="s">
        <v>24</v>
      </c>
      <c r="H789" s="647" t="s">
        <v>26</v>
      </c>
      <c r="I789" s="575" t="s">
        <v>195</v>
      </c>
      <c r="J789" s="575">
        <v>1</v>
      </c>
      <c r="K789" s="647" t="s">
        <v>85</v>
      </c>
      <c r="L789" s="657">
        <v>44309</v>
      </c>
      <c r="M789" s="665">
        <v>6.0499999999999998E-2</v>
      </c>
      <c r="N789" s="647" t="s">
        <v>90</v>
      </c>
      <c r="O789" s="575"/>
      <c r="P789" s="665" t="str">
        <f>VLOOKUP(A789,'[1]Raw data'!$B:$BA,23,FALSE)</f>
        <v>RMB</v>
      </c>
      <c r="Q789" s="647" t="str">
        <f>VLOOKUP(A789,'[1]Raw data'!$B:$Z,2,FALSE)</f>
        <v>C49SZX20210007DZ</v>
      </c>
      <c r="R789" s="647" t="str">
        <f>VLOOKUP(A789,'[1]Raw data'!$B:$Z,3,FALSE)</f>
        <v>赛维显示</v>
      </c>
      <c r="S789" s="647" t="str">
        <f>VLOOKUP(A789,'[1]Raw data'!$B:$Z,4,FALSE)</f>
        <v>YSM20R-2</v>
      </c>
      <c r="T789" s="647" t="str">
        <f>VLOOKUP(A789,'[1]Raw data'!$B:$Z,8,FALSE)</f>
        <v>L-&gt;R</v>
      </c>
      <c r="U789" s="647" t="str">
        <f>VLOOKUP(A789,'[1]Raw data'!$B:$Z,9,FALSE)</f>
        <v>No</v>
      </c>
      <c r="V789" s="567" t="str">
        <f t="shared" si="132"/>
        <v>OK</v>
      </c>
      <c r="W789" s="563" t="str">
        <f>VLOOKUP(A789,'[1]Raw data'!$B:$AG,32,FALSE)</f>
        <v>含税到厂</v>
      </c>
      <c r="X789" s="647">
        <f>VLOOKUP(A789,'[1]Raw data'!$B:$BA,31,FALSE)</f>
        <v>44205</v>
      </c>
      <c r="Y789" s="647" t="str">
        <f>VLOOKUP(A789,'[1]Raw data'!$B:$AS,39,FALSE)</f>
        <v>Yes</v>
      </c>
      <c r="Z789" s="659"/>
      <c r="AA789" s="660"/>
      <c r="AB789" s="661"/>
      <c r="AC789" s="647" t="s">
        <v>1574</v>
      </c>
      <c r="AD789" s="662">
        <v>301</v>
      </c>
      <c r="AE789" s="662">
        <v>10</v>
      </c>
      <c r="AF789" s="662">
        <v>303</v>
      </c>
      <c r="AG789" s="662">
        <v>10</v>
      </c>
      <c r="AH789" s="662"/>
      <c r="AI789" s="663"/>
      <c r="AN789" s="542"/>
      <c r="AO789" s="824" t="str">
        <f t="shared" si="122"/>
        <v>Yes</v>
      </c>
      <c r="AP789" s="259" t="str">
        <f t="shared" si="123"/>
        <v>APR 21</v>
      </c>
      <c r="AQ789" s="542" t="str">
        <f t="shared" si="124"/>
        <v>有定金+有預留客戶</v>
      </c>
      <c r="AR789" s="259" t="str">
        <f t="shared" si="125"/>
        <v>Shipped_Stock</v>
      </c>
      <c r="AS789" s="259" t="str">
        <f t="shared" si="126"/>
        <v/>
      </c>
      <c r="AT789" s="259" t="str">
        <f t="shared" si="127"/>
        <v>赛维显示</v>
      </c>
      <c r="AU789" s="259" t="str">
        <f t="shared" si="128"/>
        <v>C49SZX20210007DZ</v>
      </c>
      <c r="AV789" s="259" t="str">
        <f t="shared" si="129"/>
        <v>Apr-23</v>
      </c>
    </row>
    <row r="790" spans="1:48" hidden="1">
      <c r="A790" s="559">
        <v>1062</v>
      </c>
      <c r="B790" s="664" t="s">
        <v>1125</v>
      </c>
      <c r="C790" s="664" t="s">
        <v>281</v>
      </c>
      <c r="D790" s="645" t="s">
        <v>1573</v>
      </c>
      <c r="E790" s="563" t="s">
        <v>886</v>
      </c>
      <c r="F790" s="647" t="s">
        <v>58</v>
      </c>
      <c r="G790" s="647" t="s">
        <v>24</v>
      </c>
      <c r="H790" s="647" t="s">
        <v>26</v>
      </c>
      <c r="I790" s="575" t="s">
        <v>193</v>
      </c>
      <c r="J790" s="575">
        <v>1</v>
      </c>
      <c r="K790" s="647" t="s">
        <v>85</v>
      </c>
      <c r="L790" s="657">
        <v>44309</v>
      </c>
      <c r="M790" s="665">
        <v>6.0499999999999998E-2</v>
      </c>
      <c r="N790" s="647" t="s">
        <v>90</v>
      </c>
      <c r="O790" s="575"/>
      <c r="P790" s="665" t="str">
        <f>VLOOKUP(A790,'[1]Raw data'!$B:$BA,23,FALSE)</f>
        <v>RMB</v>
      </c>
      <c r="Q790" s="647" t="str">
        <f>VLOOKUP(A790,'[1]Raw data'!$B:$Z,2,FALSE)</f>
        <v>C49SZX20210007DZ</v>
      </c>
      <c r="R790" s="647" t="str">
        <f>VLOOKUP(A790,'[1]Raw data'!$B:$Z,3,FALSE)</f>
        <v>赛维显示</v>
      </c>
      <c r="S790" s="647" t="str">
        <f>VLOOKUP(A790,'[1]Raw data'!$B:$Z,4,FALSE)</f>
        <v>YSM20R-2</v>
      </c>
      <c r="T790" s="647" t="str">
        <f>VLOOKUP(A790,'[1]Raw data'!$B:$Z,8,FALSE)</f>
        <v>L-&gt;R</v>
      </c>
      <c r="U790" s="647" t="str">
        <f>VLOOKUP(A790,'[1]Raw data'!$B:$Z,9,FALSE)</f>
        <v>No</v>
      </c>
      <c r="V790" s="567" t="str">
        <f t="shared" si="132"/>
        <v>OK</v>
      </c>
      <c r="W790" s="563" t="str">
        <f>VLOOKUP(A790,'[1]Raw data'!$B:$AG,32,FALSE)</f>
        <v>含税到厂</v>
      </c>
      <c r="X790" s="647">
        <f>VLOOKUP(A790,'[1]Raw data'!$B:$BA,31,FALSE)</f>
        <v>44205</v>
      </c>
      <c r="Y790" s="647" t="str">
        <f>VLOOKUP(A790,'[1]Raw data'!$B:$AS,39,FALSE)</f>
        <v>Yes</v>
      </c>
      <c r="Z790" s="659"/>
      <c r="AA790" s="660"/>
      <c r="AB790" s="661"/>
      <c r="AC790" s="647" t="s">
        <v>1574</v>
      </c>
      <c r="AD790" s="662">
        <v>301</v>
      </c>
      <c r="AE790" s="662">
        <v>10</v>
      </c>
      <c r="AF790" s="662">
        <v>304</v>
      </c>
      <c r="AG790" s="662">
        <v>10</v>
      </c>
      <c r="AH790" s="662"/>
      <c r="AI790" s="663"/>
      <c r="AN790" s="542"/>
      <c r="AO790" s="824" t="str">
        <f t="shared" si="122"/>
        <v>Yes</v>
      </c>
      <c r="AP790" s="259" t="str">
        <f t="shared" si="123"/>
        <v>APR 21</v>
      </c>
      <c r="AQ790" s="542" t="str">
        <f t="shared" si="124"/>
        <v>有定金+有預留客戶</v>
      </c>
      <c r="AR790" s="259" t="str">
        <f t="shared" si="125"/>
        <v>Shipped_Stock</v>
      </c>
      <c r="AS790" s="259" t="str">
        <f t="shared" si="126"/>
        <v/>
      </c>
      <c r="AT790" s="259" t="str">
        <f t="shared" si="127"/>
        <v>赛维显示</v>
      </c>
      <c r="AU790" s="259" t="str">
        <f t="shared" si="128"/>
        <v>C49SZX20210007DZ</v>
      </c>
      <c r="AV790" s="259" t="str">
        <f t="shared" si="129"/>
        <v>Apr-23</v>
      </c>
    </row>
    <row r="791" spans="1:48" hidden="1">
      <c r="A791" s="559">
        <v>1105</v>
      </c>
      <c r="B791" s="664" t="s">
        <v>1125</v>
      </c>
      <c r="C791" s="664" t="s">
        <v>281</v>
      </c>
      <c r="D791" s="645">
        <v>110245</v>
      </c>
      <c r="E791" s="563" t="s">
        <v>886</v>
      </c>
      <c r="F791" s="647" t="s">
        <v>58</v>
      </c>
      <c r="G791" s="647" t="s">
        <v>24</v>
      </c>
      <c r="H791" s="647" t="s">
        <v>26</v>
      </c>
      <c r="I791" s="575" t="s">
        <v>1575</v>
      </c>
      <c r="J791" s="575">
        <v>1</v>
      </c>
      <c r="K791" s="647" t="s">
        <v>78</v>
      </c>
      <c r="L791" s="657">
        <v>44309</v>
      </c>
      <c r="M791" s="665" t="s">
        <v>906</v>
      </c>
      <c r="N791" s="647" t="s">
        <v>90</v>
      </c>
      <c r="O791" s="575"/>
      <c r="P791" s="665" t="str">
        <f>VLOOKUP(A791,'[1]Raw data'!$B:$BA,23,FALSE)</f>
        <v>JPY</v>
      </c>
      <c r="Q791" s="647" t="str">
        <f>VLOOKUP(A791,'[1]Raw data'!$B:$Z,2,FALSE)</f>
        <v>C49SZX20210029DZ</v>
      </c>
      <c r="R791" s="647" t="str">
        <f>VLOOKUP(A791,'[1]Raw data'!$B:$Z,3,FALSE)</f>
        <v>嘉裕</v>
      </c>
      <c r="S791" s="647" t="str">
        <f>VLOOKUP(A791,'[1]Raw data'!$B:$Z,4,FALSE)</f>
        <v>YSM20R-2</v>
      </c>
      <c r="T791" s="647" t="str">
        <f>VLOOKUP(A791,'[1]Raw data'!$B:$Z,8,FALSE)</f>
        <v>L-&gt;R</v>
      </c>
      <c r="U791" s="647" t="str">
        <f>VLOOKUP(A791,'[1]Raw data'!$B:$Z,9,FALSE)</f>
        <v>No</v>
      </c>
      <c r="V791" s="567" t="str">
        <f t="shared" si="132"/>
        <v>OK</v>
      </c>
      <c r="W791" s="563" t="str">
        <f>VLOOKUP(A791,'[1]Raw data'!$B:$AG,32,FALSE)</f>
        <v>CIF HK</v>
      </c>
      <c r="X791" s="647">
        <f>VLOOKUP(A791,'[1]Raw data'!$B:$BA,31,FALSE)</f>
        <v>44224</v>
      </c>
      <c r="Y791" s="647" t="str">
        <f>VLOOKUP(A791,'[1]Raw data'!$B:$AS,39,FALSE)</f>
        <v>Yes</v>
      </c>
      <c r="Z791" s="659"/>
      <c r="AA791" s="660"/>
      <c r="AB791" s="661"/>
      <c r="AC791" s="563" t="s">
        <v>555</v>
      </c>
      <c r="AD791" s="662">
        <v>301</v>
      </c>
      <c r="AE791" s="662">
        <v>10</v>
      </c>
      <c r="AF791" s="662">
        <v>304</v>
      </c>
      <c r="AG791" s="662">
        <v>10</v>
      </c>
      <c r="AH791" s="662"/>
      <c r="AI791" s="663"/>
      <c r="AN791" s="542"/>
      <c r="AO791" s="824" t="str">
        <f t="shared" si="122"/>
        <v>Yes</v>
      </c>
      <c r="AP791" s="259" t="str">
        <f t="shared" si="123"/>
        <v>APR 21</v>
      </c>
      <c r="AQ791" s="542" t="str">
        <f t="shared" si="124"/>
        <v>有定金+有預留客戶</v>
      </c>
      <c r="AR791" s="259" t="str">
        <f t="shared" si="125"/>
        <v>Shipped_Stock</v>
      </c>
      <c r="AS791" s="259" t="str">
        <f t="shared" si="126"/>
        <v/>
      </c>
      <c r="AT791" s="259" t="str">
        <f t="shared" si="127"/>
        <v>嘉裕</v>
      </c>
      <c r="AU791" s="259" t="str">
        <f t="shared" si="128"/>
        <v>C49SZX20210029DZ</v>
      </c>
      <c r="AV791" s="259" t="str">
        <f t="shared" si="129"/>
        <v>Apr-23</v>
      </c>
    </row>
    <row r="792" spans="1:48" hidden="1">
      <c r="A792" s="559">
        <v>1135</v>
      </c>
      <c r="B792" s="664" t="s">
        <v>1125</v>
      </c>
      <c r="C792" s="664" t="s">
        <v>281</v>
      </c>
      <c r="D792" s="645">
        <v>110245</v>
      </c>
      <c r="E792" s="563" t="s">
        <v>886</v>
      </c>
      <c r="F792" s="647" t="s">
        <v>58</v>
      </c>
      <c r="G792" s="647" t="s">
        <v>24</v>
      </c>
      <c r="H792" s="647" t="s">
        <v>26</v>
      </c>
      <c r="I792" s="575" t="s">
        <v>192</v>
      </c>
      <c r="J792" s="575">
        <v>1</v>
      </c>
      <c r="K792" s="647" t="s">
        <v>81</v>
      </c>
      <c r="L792" s="657">
        <v>44309</v>
      </c>
      <c r="M792" s="665" t="s">
        <v>906</v>
      </c>
      <c r="N792" s="647" t="s">
        <v>110</v>
      </c>
      <c r="O792" s="575"/>
      <c r="P792" s="665" t="str">
        <f>VLOOKUP(A792,'[1]Raw data'!$B:$BA,23,FALSE)</f>
        <v>JPY</v>
      </c>
      <c r="Q792" s="647" t="str">
        <f>VLOOKUP(A792,'[1]Raw data'!$B:$Z,2,FALSE)</f>
        <v>C49SZX20210046SS</v>
      </c>
      <c r="R792" s="647" t="str">
        <f>VLOOKUP(A792,'[1]Raw data'!$B:$Z,3,FALSE)</f>
        <v>恒业信</v>
      </c>
      <c r="S792" s="647" t="str">
        <f>VLOOKUP(A792,'[1]Raw data'!$B:$Z,4,FALSE)</f>
        <v>YSM20R-2</v>
      </c>
      <c r="T792" s="647" t="str">
        <f>VLOOKUP(A792,'[1]Raw data'!$B:$Z,8,FALSE)</f>
        <v>L-&gt;R</v>
      </c>
      <c r="U792" s="647" t="str">
        <f>VLOOKUP(A792,'[1]Raw data'!$B:$Z,9,FALSE)</f>
        <v>No</v>
      </c>
      <c r="V792" s="567" t="str">
        <f t="shared" si="132"/>
        <v>OK</v>
      </c>
      <c r="W792" s="563" t="str">
        <f>VLOOKUP(A792,'[1]Raw data'!$B:$AG,32,FALSE)</f>
        <v>DAP SZ</v>
      </c>
      <c r="X792" s="647">
        <f>VLOOKUP(A792,'[1]Raw data'!$B:$BA,31,FALSE)</f>
        <v>44231</v>
      </c>
      <c r="Y792" s="647" t="str">
        <f>VLOOKUP(A792,'[1]Raw data'!$B:$AS,39,FALSE)</f>
        <v>Yes</v>
      </c>
      <c r="Z792" s="659"/>
      <c r="AA792" s="660"/>
      <c r="AB792" s="661"/>
      <c r="AC792" s="647" t="s">
        <v>1576</v>
      </c>
      <c r="AD792" s="662">
        <v>301</v>
      </c>
      <c r="AE792" s="662">
        <v>10</v>
      </c>
      <c r="AF792" s="662">
        <v>302</v>
      </c>
      <c r="AG792" s="662">
        <v>10</v>
      </c>
      <c r="AH792" s="662"/>
      <c r="AI792" s="663"/>
      <c r="AN792" s="542"/>
      <c r="AO792" s="824" t="str">
        <f t="shared" si="122"/>
        <v>Yes</v>
      </c>
      <c r="AP792" s="259" t="str">
        <f t="shared" si="123"/>
        <v>MAY 21</v>
      </c>
      <c r="AQ792" s="542" t="str">
        <f t="shared" si="124"/>
        <v>有定金+有預留客戶</v>
      </c>
      <c r="AR792" s="259" t="str">
        <f t="shared" si="125"/>
        <v>Shipped_Stock</v>
      </c>
      <c r="AS792" s="259" t="str">
        <f t="shared" si="126"/>
        <v/>
      </c>
      <c r="AT792" s="259" t="str">
        <f t="shared" si="127"/>
        <v>恒业信</v>
      </c>
      <c r="AU792" s="259" t="str">
        <f t="shared" si="128"/>
        <v>C49SZX20210046SS</v>
      </c>
      <c r="AV792" s="259" t="str">
        <f t="shared" si="129"/>
        <v>Apr-23</v>
      </c>
    </row>
    <row r="793" spans="1:48" hidden="1">
      <c r="A793" s="559">
        <v>1340</v>
      </c>
      <c r="B793" s="664" t="s">
        <v>1125</v>
      </c>
      <c r="C793" s="664" t="s">
        <v>281</v>
      </c>
      <c r="D793" s="645">
        <v>110245</v>
      </c>
      <c r="E793" s="563" t="s">
        <v>886</v>
      </c>
      <c r="F793" s="647" t="s">
        <v>58</v>
      </c>
      <c r="G793" s="647" t="s">
        <v>24</v>
      </c>
      <c r="H793" s="647" t="s">
        <v>26</v>
      </c>
      <c r="I793" s="575" t="s">
        <v>191</v>
      </c>
      <c r="J793" s="575">
        <v>1</v>
      </c>
      <c r="K793" s="647" t="s">
        <v>81</v>
      </c>
      <c r="L793" s="657">
        <v>44309</v>
      </c>
      <c r="M793" s="665" t="s">
        <v>906</v>
      </c>
      <c r="N793" s="647" t="s">
        <v>110</v>
      </c>
      <c r="O793" s="575"/>
      <c r="P793" s="665" t="str">
        <f>VLOOKUP(A793,'[1]Raw data'!$B:$BA,23,FALSE)</f>
        <v>JPY</v>
      </c>
      <c r="Q793" s="647" t="str">
        <f>VLOOKUP(A793,'[1]Raw data'!$B:$Z,2,FALSE)</f>
        <v>C49SZX20210117JY</v>
      </c>
      <c r="R793" s="647" t="str">
        <f>VLOOKUP(A793,'[1]Raw data'!$B:$Z,3,FALSE)</f>
        <v>精德鸿</v>
      </c>
      <c r="S793" s="647" t="str">
        <f>VLOOKUP(A793,'[1]Raw data'!$B:$Z,4,FALSE)</f>
        <v>YSM20R-2</v>
      </c>
      <c r="T793" s="647" t="str">
        <f>VLOOKUP(A793,'[1]Raw data'!$B:$Z,8,FALSE)</f>
        <v>L-&gt;R</v>
      </c>
      <c r="U793" s="647" t="str">
        <f>VLOOKUP(A793,'[1]Raw data'!$B:$Z,9,FALSE)</f>
        <v>MVC</v>
      </c>
      <c r="V793" s="567" t="str">
        <f t="shared" ref="V793:V796" si="133">IF(G793&amp;H793=T793&amp;U793,"OK","WRONG")</f>
        <v>WRONG</v>
      </c>
      <c r="W793" s="563" t="str">
        <f>VLOOKUP(A793,'[1]Raw data'!$B:$AG,32,FALSE)</f>
        <v>DAP SZ</v>
      </c>
      <c r="X793" s="647">
        <f>VLOOKUP(A793,'[1]Raw data'!$B:$BA,31,FALSE)</f>
        <v>44306</v>
      </c>
      <c r="Y793" s="647" t="str">
        <f>VLOOKUP(A793,'[1]Raw data'!$B:$AS,39,FALSE)</f>
        <v>Yes</v>
      </c>
      <c r="Z793" s="659"/>
      <c r="AA793" s="660"/>
      <c r="AB793" s="661"/>
      <c r="AC793" s="647" t="s">
        <v>1389</v>
      </c>
      <c r="AD793" s="662">
        <v>301</v>
      </c>
      <c r="AE793" s="662">
        <v>10</v>
      </c>
      <c r="AF793" s="662">
        <v>302</v>
      </c>
      <c r="AG793" s="662">
        <v>10</v>
      </c>
      <c r="AH793" s="662"/>
      <c r="AI793" s="663"/>
      <c r="AN793" s="542"/>
      <c r="AO793" s="824" t="str">
        <f t="shared" si="122"/>
        <v>Yes</v>
      </c>
      <c r="AP793" s="259" t="str">
        <f t="shared" si="123"/>
        <v>MAY 21</v>
      </c>
      <c r="AQ793" s="542" t="str">
        <f t="shared" si="124"/>
        <v>有定金+有預留客戶</v>
      </c>
      <c r="AR793" s="259" t="str">
        <f t="shared" si="125"/>
        <v>Shipped_Stock</v>
      </c>
      <c r="AS793" s="259" t="str">
        <f t="shared" si="126"/>
        <v/>
      </c>
      <c r="AT793" s="259" t="str">
        <f t="shared" si="127"/>
        <v>精德鸿</v>
      </c>
      <c r="AU793" s="259" t="str">
        <f t="shared" si="128"/>
        <v>C49SZX20210117JY</v>
      </c>
      <c r="AV793" s="259" t="str">
        <f t="shared" si="129"/>
        <v>Apr-23</v>
      </c>
    </row>
    <row r="794" spans="1:48" hidden="1">
      <c r="A794" s="559">
        <v>1341</v>
      </c>
      <c r="B794" s="664" t="s">
        <v>1125</v>
      </c>
      <c r="C794" s="664" t="s">
        <v>281</v>
      </c>
      <c r="D794" s="645">
        <v>110245</v>
      </c>
      <c r="E794" s="563" t="s">
        <v>886</v>
      </c>
      <c r="F794" s="647" t="s">
        <v>58</v>
      </c>
      <c r="G794" s="647" t="s">
        <v>24</v>
      </c>
      <c r="H794" s="647" t="s">
        <v>26</v>
      </c>
      <c r="I794" s="575" t="s">
        <v>190</v>
      </c>
      <c r="J794" s="575">
        <v>1</v>
      </c>
      <c r="K794" s="647" t="s">
        <v>81</v>
      </c>
      <c r="L794" s="657">
        <v>44309</v>
      </c>
      <c r="M794" s="665" t="s">
        <v>906</v>
      </c>
      <c r="N794" s="647" t="s">
        <v>110</v>
      </c>
      <c r="O794" s="575"/>
      <c r="P794" s="665" t="str">
        <f>VLOOKUP(A794,'[1]Raw data'!$B:$BA,23,FALSE)</f>
        <v>JPY</v>
      </c>
      <c r="Q794" s="647" t="str">
        <f>VLOOKUP(A794,'[1]Raw data'!$B:$Z,2,FALSE)</f>
        <v>C49SZX20210117JY</v>
      </c>
      <c r="R794" s="647" t="str">
        <f>VLOOKUP(A794,'[1]Raw data'!$B:$Z,3,FALSE)</f>
        <v>精德鸿</v>
      </c>
      <c r="S794" s="647" t="str">
        <f>VLOOKUP(A794,'[1]Raw data'!$B:$Z,4,FALSE)</f>
        <v>YSM20R-2</v>
      </c>
      <c r="T794" s="647" t="str">
        <f>VLOOKUP(A794,'[1]Raw data'!$B:$Z,8,FALSE)</f>
        <v>L-&gt;R</v>
      </c>
      <c r="U794" s="647" t="str">
        <f>VLOOKUP(A794,'[1]Raw data'!$B:$Z,9,FALSE)</f>
        <v>No</v>
      </c>
      <c r="V794" s="567" t="str">
        <f t="shared" si="133"/>
        <v>OK</v>
      </c>
      <c r="W794" s="563" t="str">
        <f>VLOOKUP(A794,'[1]Raw data'!$B:$AG,32,FALSE)</f>
        <v>DAP SZ</v>
      </c>
      <c r="X794" s="647">
        <f>VLOOKUP(A794,'[1]Raw data'!$B:$BA,31,FALSE)</f>
        <v>44306</v>
      </c>
      <c r="Y794" s="647" t="str">
        <f>VLOOKUP(A794,'[1]Raw data'!$B:$AS,39,FALSE)</f>
        <v>Yes</v>
      </c>
      <c r="Z794" s="659"/>
      <c r="AA794" s="660"/>
      <c r="AB794" s="661"/>
      <c r="AC794" s="647" t="s">
        <v>1389</v>
      </c>
      <c r="AD794" s="662">
        <v>301</v>
      </c>
      <c r="AE794" s="662">
        <v>10</v>
      </c>
      <c r="AF794" s="662">
        <v>302</v>
      </c>
      <c r="AG794" s="662">
        <v>10</v>
      </c>
      <c r="AH794" s="662"/>
      <c r="AI794" s="663"/>
      <c r="AN794" s="542"/>
      <c r="AO794" s="824" t="str">
        <f t="shared" si="122"/>
        <v>Yes</v>
      </c>
      <c r="AP794" s="259" t="str">
        <f t="shared" si="123"/>
        <v>MAY 21</v>
      </c>
      <c r="AQ794" s="542" t="str">
        <f t="shared" si="124"/>
        <v>有定金+有預留客戶</v>
      </c>
      <c r="AR794" s="259" t="str">
        <f t="shared" si="125"/>
        <v>Shipped_Stock</v>
      </c>
      <c r="AS794" s="259" t="str">
        <f t="shared" si="126"/>
        <v/>
      </c>
      <c r="AT794" s="259" t="str">
        <f t="shared" si="127"/>
        <v>精德鸿</v>
      </c>
      <c r="AU794" s="259" t="str">
        <f t="shared" si="128"/>
        <v>C49SZX20210117JY</v>
      </c>
      <c r="AV794" s="259" t="str">
        <f t="shared" si="129"/>
        <v>Apr-23</v>
      </c>
    </row>
    <row r="795" spans="1:48" ht="12" hidden="1" customHeight="1">
      <c r="A795" s="559">
        <v>1252</v>
      </c>
      <c r="B795" s="664" t="s">
        <v>1125</v>
      </c>
      <c r="C795" s="664" t="s">
        <v>281</v>
      </c>
      <c r="D795" s="645">
        <v>110245</v>
      </c>
      <c r="E795" s="563" t="s">
        <v>886</v>
      </c>
      <c r="F795" s="647" t="s">
        <v>58</v>
      </c>
      <c r="G795" s="647" t="s">
        <v>24</v>
      </c>
      <c r="H795" s="647" t="s">
        <v>26</v>
      </c>
      <c r="I795" s="575" t="s">
        <v>1577</v>
      </c>
      <c r="J795" s="575">
        <v>1</v>
      </c>
      <c r="K795" s="647" t="s">
        <v>81</v>
      </c>
      <c r="L795" s="657">
        <v>44309</v>
      </c>
      <c r="M795" s="665" t="s">
        <v>906</v>
      </c>
      <c r="N795" s="647" t="s">
        <v>110</v>
      </c>
      <c r="O795" s="575"/>
      <c r="P795" s="665" t="str">
        <f>VLOOKUP(A795,'[1]Raw data'!$B:$BA,23,FALSE)</f>
        <v>JPY</v>
      </c>
      <c r="Q795" s="647" t="str">
        <f>VLOOKUP(A795,'[1]Raw data'!$B:$Z,2,FALSE)</f>
        <v>C49SZX20210076JZ</v>
      </c>
      <c r="R795" s="647" t="str">
        <f>VLOOKUP(A795,'[1]Raw data'!$B:$Z,3,FALSE)</f>
        <v>圣亨</v>
      </c>
      <c r="S795" s="647" t="str">
        <f>VLOOKUP(A795,'[1]Raw data'!$B:$Z,4,FALSE)</f>
        <v>YSM20R-2</v>
      </c>
      <c r="T795" s="647" t="str">
        <f>VLOOKUP(A795,'[1]Raw data'!$B:$Z,8,FALSE)</f>
        <v>L-&gt;R</v>
      </c>
      <c r="U795" s="647" t="str">
        <f>VLOOKUP(A795,'[1]Raw data'!$B:$Z,9,FALSE)</f>
        <v>No</v>
      </c>
      <c r="V795" s="567" t="str">
        <f t="shared" si="133"/>
        <v>OK</v>
      </c>
      <c r="W795" s="563" t="str">
        <f>VLOOKUP(A795,'[1]Raw data'!$B:$AG,32,FALSE)</f>
        <v>DAP DG</v>
      </c>
      <c r="X795" s="647">
        <f>VLOOKUP(A795,'[1]Raw data'!$B:$BA,31,FALSE)</f>
        <v>44266</v>
      </c>
      <c r="Y795" s="647" t="str">
        <f>VLOOKUP(A795,'[1]Raw data'!$B:$AS,39,FALSE)</f>
        <v>Yes</v>
      </c>
      <c r="Z795" s="659"/>
      <c r="AA795" s="660"/>
      <c r="AB795" s="661"/>
      <c r="AC795" s="647" t="s">
        <v>1578</v>
      </c>
      <c r="AD795" s="662">
        <v>301</v>
      </c>
      <c r="AE795" s="662">
        <v>10</v>
      </c>
      <c r="AF795" s="662">
        <v>302</v>
      </c>
      <c r="AG795" s="662">
        <v>10</v>
      </c>
      <c r="AH795" s="662"/>
      <c r="AI795" s="663"/>
      <c r="AN795" s="542"/>
      <c r="AO795" s="824" t="str">
        <f t="shared" si="122"/>
        <v>Yes</v>
      </c>
      <c r="AP795" s="259" t="str">
        <f t="shared" si="123"/>
        <v>MAY 21</v>
      </c>
      <c r="AQ795" s="542" t="str">
        <f t="shared" si="124"/>
        <v>有定金+有預留客戶</v>
      </c>
      <c r="AR795" s="259" t="str">
        <f t="shared" si="125"/>
        <v>Shipped_Stock</v>
      </c>
      <c r="AS795" s="259" t="str">
        <f t="shared" si="126"/>
        <v/>
      </c>
      <c r="AT795" s="259" t="str">
        <f t="shared" si="127"/>
        <v>圣亨</v>
      </c>
      <c r="AU795" s="259" t="str">
        <f t="shared" si="128"/>
        <v>C49SZX20210076JZ</v>
      </c>
      <c r="AV795" s="259" t="str">
        <f t="shared" si="129"/>
        <v>Apr-23</v>
      </c>
    </row>
    <row r="796" spans="1:48" ht="11.85" hidden="1" customHeight="1">
      <c r="A796" s="559">
        <v>1152</v>
      </c>
      <c r="B796" s="664" t="s">
        <v>1125</v>
      </c>
      <c r="C796" s="664" t="s">
        <v>281</v>
      </c>
      <c r="D796" s="645">
        <v>110245</v>
      </c>
      <c r="E796" s="563" t="s">
        <v>886</v>
      </c>
      <c r="F796" s="647" t="s">
        <v>58</v>
      </c>
      <c r="G796" s="647" t="s">
        <v>24</v>
      </c>
      <c r="H796" s="647" t="s">
        <v>26</v>
      </c>
      <c r="I796" s="575" t="s">
        <v>189</v>
      </c>
      <c r="J796" s="575">
        <v>1</v>
      </c>
      <c r="K796" s="647"/>
      <c r="L796" s="657">
        <v>44309</v>
      </c>
      <c r="M796" s="665" t="s">
        <v>906</v>
      </c>
      <c r="N796" s="647" t="s">
        <v>90</v>
      </c>
      <c r="O796" s="575"/>
      <c r="P796" s="665" t="str">
        <f>VLOOKUP(A796,'[1]Raw data'!$B:$BA,23,FALSE)</f>
        <v>JPY</v>
      </c>
      <c r="Q796" s="647" t="str">
        <f>VLOOKUP(A796,'[1]Raw data'!$B:$Z,2,FALSE)</f>
        <v>C49SZX20210051JY</v>
      </c>
      <c r="R796" s="647" t="str">
        <f>VLOOKUP(A796,'[1]Raw data'!$B:$Z,3,FALSE)</f>
        <v>络鑫（end user:东莞络鑫）</v>
      </c>
      <c r="S796" s="647" t="str">
        <f>VLOOKUP(A796,'[1]Raw data'!$B:$Z,4,FALSE)</f>
        <v>YSM20R-2</v>
      </c>
      <c r="T796" s="647" t="str">
        <f>VLOOKUP(A796,'[1]Raw data'!$B:$Z,8,FALSE)</f>
        <v>L-&gt;R</v>
      </c>
      <c r="U796" s="647" t="str">
        <f>VLOOKUP(A796,'[1]Raw data'!$B:$Z,9,FALSE)</f>
        <v>No</v>
      </c>
      <c r="V796" s="567" t="str">
        <f t="shared" si="133"/>
        <v>OK</v>
      </c>
      <c r="W796" s="563" t="str">
        <f>VLOOKUP(A796,'[1]Raw data'!$B:$AG,32,FALSE)</f>
        <v>CIF HK</v>
      </c>
      <c r="X796" s="647">
        <f>VLOOKUP(A796,'[1]Raw data'!$B:$BA,31,FALSE)</f>
        <v>44259</v>
      </c>
      <c r="Y796" s="647" t="str">
        <f>VLOOKUP(A796,'[1]Raw data'!$B:$AS,39,FALSE)</f>
        <v>Yes</v>
      </c>
      <c r="Z796" s="659"/>
      <c r="AA796" s="660"/>
      <c r="AB796" s="661"/>
      <c r="AC796" s="647" t="s">
        <v>1390</v>
      </c>
      <c r="AD796" s="662">
        <v>301</v>
      </c>
      <c r="AE796" s="662">
        <v>10</v>
      </c>
      <c r="AF796" s="662">
        <v>302</v>
      </c>
      <c r="AG796" s="662">
        <v>10</v>
      </c>
      <c r="AH796" s="662"/>
      <c r="AI796" s="663"/>
      <c r="AN796" s="542"/>
      <c r="AO796" s="824" t="str">
        <f t="shared" si="122"/>
        <v>Yes</v>
      </c>
      <c r="AP796" s="259" t="str">
        <f t="shared" si="123"/>
        <v>APR 21</v>
      </c>
      <c r="AQ796" s="542" t="str">
        <f t="shared" si="124"/>
        <v>有定金+有預留客戶</v>
      </c>
      <c r="AR796" s="259" t="str">
        <f t="shared" si="125"/>
        <v>Shipped_Stock</v>
      </c>
      <c r="AS796" s="259" t="str">
        <f t="shared" si="126"/>
        <v/>
      </c>
      <c r="AT796" s="259" t="str">
        <f t="shared" si="127"/>
        <v>络鑫（end user:东莞络鑫）</v>
      </c>
      <c r="AU796" s="259" t="str">
        <f t="shared" si="128"/>
        <v>C49SZX20210051JY</v>
      </c>
      <c r="AV796" s="259" t="str">
        <f t="shared" si="129"/>
        <v>Apr-23</v>
      </c>
    </row>
    <row r="797" spans="1:48" hidden="1">
      <c r="A797" s="559">
        <v>1163</v>
      </c>
      <c r="B797" s="664" t="s">
        <v>1125</v>
      </c>
      <c r="C797" s="664" t="s">
        <v>281</v>
      </c>
      <c r="D797" s="645">
        <v>110271</v>
      </c>
      <c r="E797" s="646" t="s">
        <v>1552</v>
      </c>
      <c r="F797" s="647" t="s">
        <v>17</v>
      </c>
      <c r="G797" s="647" t="s">
        <v>18</v>
      </c>
      <c r="H797" s="647" t="s">
        <v>27</v>
      </c>
      <c r="I797" s="575" t="s">
        <v>142</v>
      </c>
      <c r="J797" s="575">
        <v>1</v>
      </c>
      <c r="K797" s="647" t="s">
        <v>78</v>
      </c>
      <c r="L797" s="657">
        <v>44316</v>
      </c>
      <c r="M797" s="665" t="s">
        <v>906</v>
      </c>
      <c r="N797" s="647" t="s">
        <v>110</v>
      </c>
      <c r="O797" s="575"/>
      <c r="P797" s="665" t="str">
        <f>VLOOKUP(A797,'[1]Raw data'!$B:$BA,23,FALSE)</f>
        <v>JPY</v>
      </c>
      <c r="Q797" s="647" t="str">
        <f>VLOOKUP(A797,'[1]Raw data'!$B:$Z,2,FALSE)</f>
        <v>C49SZX20210059EC</v>
      </c>
      <c r="R797" s="647" t="str">
        <f>VLOOKUP(A797,'[1]Raw data'!$B:$Z,3,FALSE)</f>
        <v>骏孚</v>
      </c>
      <c r="S797" s="647" t="str">
        <f>VLOOKUP(A797,'[1]Raw data'!$B:$Z,4,FALSE)</f>
        <v>YSM10</v>
      </c>
      <c r="T797" s="647" t="str">
        <f>VLOOKUP(A797,'[1]Raw data'!$B:$Z,8,FALSE)</f>
        <v>R-&gt;L</v>
      </c>
      <c r="U797" s="647" t="str">
        <f>VLOOKUP(A797,'[1]Raw data'!$B:$Z,9,FALSE)</f>
        <v>MVC</v>
      </c>
      <c r="V797" s="567" t="str">
        <f t="shared" ref="V797:V801" si="134">IF(G797&amp;H797=T797&amp;U797,"OK","WRONG")</f>
        <v>OK</v>
      </c>
      <c r="W797" s="563" t="str">
        <f>VLOOKUP(A797,'[1]Raw data'!$B:$AG,32,FALSE)</f>
        <v>DAP GZ</v>
      </c>
      <c r="X797" s="647">
        <f>VLOOKUP(A797,'[1]Raw data'!$B:$BA,31,FALSE)</f>
        <v>44256</v>
      </c>
      <c r="Y797" s="647" t="str">
        <f>VLOOKUP(A797,'[1]Raw data'!$B:$AS,39,FALSE)</f>
        <v>Yes</v>
      </c>
      <c r="Z797" s="659"/>
      <c r="AA797" s="660"/>
      <c r="AB797" s="661"/>
      <c r="AC797" s="647" t="s">
        <v>1579</v>
      </c>
      <c r="AD797" s="662">
        <v>301</v>
      </c>
      <c r="AE797" s="662">
        <v>10</v>
      </c>
      <c r="AF797" s="662"/>
      <c r="AG797" s="662"/>
      <c r="AH797" s="662"/>
      <c r="AI797" s="663"/>
      <c r="AN797" s="542"/>
      <c r="AO797" s="824" t="str">
        <f t="shared" si="122"/>
        <v>Yes</v>
      </c>
      <c r="AP797" s="259" t="str">
        <f t="shared" si="123"/>
        <v>MAY 21</v>
      </c>
      <c r="AQ797" s="542" t="str">
        <f t="shared" si="124"/>
        <v>有定金+有預留客戶</v>
      </c>
      <c r="AR797" s="259" t="str">
        <f t="shared" si="125"/>
        <v>Shipped_Stock</v>
      </c>
      <c r="AS797" s="259" t="str">
        <f t="shared" si="126"/>
        <v/>
      </c>
      <c r="AT797" s="259" t="str">
        <f t="shared" si="127"/>
        <v>骏孚</v>
      </c>
      <c r="AU797" s="259" t="str">
        <f t="shared" si="128"/>
        <v>C49SZX20210059EC</v>
      </c>
      <c r="AV797" s="259" t="str">
        <f t="shared" si="129"/>
        <v>Apr-30</v>
      </c>
    </row>
    <row r="798" spans="1:48" hidden="1">
      <c r="A798" s="559">
        <v>1076</v>
      </c>
      <c r="B798" s="664" t="s">
        <v>1125</v>
      </c>
      <c r="C798" s="664" t="s">
        <v>281</v>
      </c>
      <c r="D798" s="645">
        <v>110271</v>
      </c>
      <c r="E798" s="646" t="s">
        <v>1552</v>
      </c>
      <c r="F798" s="647" t="s">
        <v>17</v>
      </c>
      <c r="G798" s="647" t="s">
        <v>18</v>
      </c>
      <c r="H798" s="647" t="s">
        <v>27</v>
      </c>
      <c r="I798" s="575" t="s">
        <v>141</v>
      </c>
      <c r="J798" s="575">
        <v>1</v>
      </c>
      <c r="K798" s="647" t="s">
        <v>78</v>
      </c>
      <c r="L798" s="657">
        <v>44316</v>
      </c>
      <c r="M798" s="665" t="s">
        <v>906</v>
      </c>
      <c r="N798" s="647" t="s">
        <v>110</v>
      </c>
      <c r="O798" s="575"/>
      <c r="P798" s="665" t="str">
        <f>VLOOKUP(A798,'[1]Raw data'!$B:$BA,23,FALSE)</f>
        <v>JPY</v>
      </c>
      <c r="Q798" s="647" t="str">
        <f>VLOOKUP(A798,'[1]Raw data'!$B:$Z,2,FALSE)</f>
        <v>C49SZX20210009MZ</v>
      </c>
      <c r="R798" s="647" t="str">
        <f>VLOOKUP(A798,'[1]Raw data'!$B:$Z,3,FALSE)</f>
        <v>奥视通</v>
      </c>
      <c r="S798" s="647" t="str">
        <f>VLOOKUP(A798,'[1]Raw data'!$B:$Z,4,FALSE)</f>
        <v>YSM10</v>
      </c>
      <c r="T798" s="647" t="str">
        <f>VLOOKUP(A798,'[1]Raw data'!$B:$Z,8,FALSE)</f>
        <v>L-&gt;R</v>
      </c>
      <c r="U798" s="647" t="str">
        <f>VLOOKUP(A798,'[1]Raw data'!$B:$Z,9,FALSE)</f>
        <v>MVC</v>
      </c>
      <c r="V798" s="567" t="str">
        <f t="shared" si="134"/>
        <v>WRONG</v>
      </c>
      <c r="W798" s="563" t="str">
        <f>VLOOKUP(A798,'[1]Raw data'!$B:$AG,32,FALSE)</f>
        <v>DAP HZ</v>
      </c>
      <c r="X798" s="647">
        <f>VLOOKUP(A798,'[1]Raw data'!$B:$BA,31,FALSE)</f>
        <v>44215</v>
      </c>
      <c r="Y798" s="647" t="str">
        <f>VLOOKUP(A798,'[1]Raw data'!$B:$AS,39,FALSE)</f>
        <v>Yes</v>
      </c>
      <c r="Z798" s="659"/>
      <c r="AA798" s="660"/>
      <c r="AB798" s="661"/>
      <c r="AC798" s="647" t="s">
        <v>1426</v>
      </c>
      <c r="AD798" s="662">
        <v>301</v>
      </c>
      <c r="AE798" s="662">
        <v>10</v>
      </c>
      <c r="AF798" s="662"/>
      <c r="AG798" s="662"/>
      <c r="AH798" s="662"/>
      <c r="AI798" s="663"/>
      <c r="AN798" s="542"/>
      <c r="AO798" s="824" t="str">
        <f t="shared" si="122"/>
        <v>Yes</v>
      </c>
      <c r="AP798" s="259" t="str">
        <f t="shared" si="123"/>
        <v>MAY 21</v>
      </c>
      <c r="AQ798" s="542" t="str">
        <f t="shared" si="124"/>
        <v>有定金+有預留客戶</v>
      </c>
      <c r="AR798" s="259" t="str">
        <f t="shared" si="125"/>
        <v>Shipped_Stock</v>
      </c>
      <c r="AS798" s="259" t="str">
        <f t="shared" si="126"/>
        <v/>
      </c>
      <c r="AT798" s="259" t="str">
        <f t="shared" si="127"/>
        <v>奥视通</v>
      </c>
      <c r="AU798" s="259" t="str">
        <f t="shared" si="128"/>
        <v>C49SZX20210009MZ</v>
      </c>
      <c r="AV798" s="259" t="str">
        <f t="shared" si="129"/>
        <v>Apr-30</v>
      </c>
    </row>
    <row r="799" spans="1:48" hidden="1">
      <c r="A799" s="559">
        <v>1166</v>
      </c>
      <c r="B799" s="664" t="s">
        <v>1125</v>
      </c>
      <c r="C799" s="664" t="s">
        <v>281</v>
      </c>
      <c r="D799" s="645">
        <v>110271</v>
      </c>
      <c r="E799" s="646" t="s">
        <v>1552</v>
      </c>
      <c r="F799" s="647" t="s">
        <v>17</v>
      </c>
      <c r="G799" s="647" t="s">
        <v>18</v>
      </c>
      <c r="H799" s="647" t="s">
        <v>27</v>
      </c>
      <c r="I799" s="575" t="s">
        <v>140</v>
      </c>
      <c r="J799" s="575">
        <v>1</v>
      </c>
      <c r="K799" s="647" t="s">
        <v>78</v>
      </c>
      <c r="L799" s="657">
        <v>44316</v>
      </c>
      <c r="M799" s="665" t="s">
        <v>906</v>
      </c>
      <c r="N799" s="647" t="s">
        <v>110</v>
      </c>
      <c r="O799" s="575"/>
      <c r="P799" s="665" t="str">
        <f>VLOOKUP(A799,'[1]Raw data'!$B:$BA,23,FALSE)</f>
        <v>JPY</v>
      </c>
      <c r="Q799" s="647" t="str">
        <f>VLOOKUP(A799,'[1]Raw data'!$B:$Z,2,FALSE)</f>
        <v>C49SZX20210060SX</v>
      </c>
      <c r="R799" s="647" t="str">
        <f>VLOOKUP(A799,'[1]Raw data'!$B:$Z,3,FALSE)</f>
        <v>岚新</v>
      </c>
      <c r="S799" s="647" t="str">
        <f>VLOOKUP(A799,'[1]Raw data'!$B:$Z,4,FALSE)</f>
        <v>YSM10</v>
      </c>
      <c r="T799" s="647" t="str">
        <f>VLOOKUP(A799,'[1]Raw data'!$B:$Z,8,FALSE)</f>
        <v>L-&gt;R</v>
      </c>
      <c r="U799" s="647" t="str">
        <f>VLOOKUP(A799,'[1]Raw data'!$B:$Z,9,FALSE)</f>
        <v>MVC</v>
      </c>
      <c r="V799" s="567" t="str">
        <f t="shared" si="134"/>
        <v>WRONG</v>
      </c>
      <c r="W799" s="563" t="str">
        <f>VLOOKUP(A799,'[1]Raw data'!$B:$AG,32,FALSE)</f>
        <v>DAP DG</v>
      </c>
      <c r="X799" s="647">
        <f>VLOOKUP(A799,'[1]Raw data'!$B:$BA,31,FALSE)</f>
        <v>44256</v>
      </c>
      <c r="Y799" s="647" t="str">
        <f>VLOOKUP(A799,'[1]Raw data'!$B:$AS,39,FALSE)</f>
        <v>Yes</v>
      </c>
      <c r="Z799" s="659"/>
      <c r="AA799" s="660"/>
      <c r="AB799" s="661"/>
      <c r="AC799" s="647" t="s">
        <v>1460</v>
      </c>
      <c r="AD799" s="662">
        <v>301</v>
      </c>
      <c r="AE799" s="662">
        <v>10</v>
      </c>
      <c r="AF799" s="662"/>
      <c r="AG799" s="662"/>
      <c r="AH799" s="662"/>
      <c r="AI799" s="663"/>
      <c r="AN799" s="542"/>
      <c r="AO799" s="824" t="str">
        <f t="shared" si="122"/>
        <v>Yes</v>
      </c>
      <c r="AP799" s="259" t="str">
        <f t="shared" si="123"/>
        <v>MAY 21</v>
      </c>
      <c r="AQ799" s="542" t="str">
        <f t="shared" si="124"/>
        <v>有定金+有預留客戶</v>
      </c>
      <c r="AR799" s="259" t="str">
        <f t="shared" si="125"/>
        <v>Shipped_Stock</v>
      </c>
      <c r="AS799" s="259" t="str">
        <f t="shared" si="126"/>
        <v/>
      </c>
      <c r="AT799" s="259" t="str">
        <f t="shared" si="127"/>
        <v>岚新</v>
      </c>
      <c r="AU799" s="259" t="str">
        <f t="shared" si="128"/>
        <v>C49SZX20210060SX</v>
      </c>
      <c r="AV799" s="259" t="str">
        <f t="shared" si="129"/>
        <v>Apr-30</v>
      </c>
    </row>
    <row r="800" spans="1:48" hidden="1">
      <c r="A800" s="559">
        <v>1075</v>
      </c>
      <c r="B800" s="664" t="s">
        <v>1125</v>
      </c>
      <c r="C800" s="664" t="s">
        <v>281</v>
      </c>
      <c r="D800" s="645">
        <v>110271</v>
      </c>
      <c r="E800" s="646" t="s">
        <v>1552</v>
      </c>
      <c r="F800" s="647" t="s">
        <v>17</v>
      </c>
      <c r="G800" s="647" t="s">
        <v>18</v>
      </c>
      <c r="H800" s="647" t="s">
        <v>34</v>
      </c>
      <c r="I800" s="575" t="s">
        <v>139</v>
      </c>
      <c r="J800" s="575">
        <v>1</v>
      </c>
      <c r="K800" s="647" t="s">
        <v>78</v>
      </c>
      <c r="L800" s="657">
        <v>44316</v>
      </c>
      <c r="M800" s="665" t="s">
        <v>906</v>
      </c>
      <c r="N800" s="647" t="s">
        <v>110</v>
      </c>
      <c r="O800" s="575"/>
      <c r="P800" s="665" t="str">
        <f>VLOOKUP(A800,'[1]Raw data'!$B:$BA,23,FALSE)</f>
        <v>JPY</v>
      </c>
      <c r="Q800" s="647" t="str">
        <f>VLOOKUP(A800,'[1]Raw data'!$B:$Z,2,FALSE)</f>
        <v>C49SZX20210009MZ</v>
      </c>
      <c r="R800" s="647" t="str">
        <f>VLOOKUP(A800,'[1]Raw data'!$B:$Z,3,FALSE)</f>
        <v>奥视通</v>
      </c>
      <c r="S800" s="647" t="str">
        <f>VLOOKUP(A800,'[1]Raw data'!$B:$Z,4,FALSE)</f>
        <v>YSM10</v>
      </c>
      <c r="T800" s="647" t="str">
        <f>VLOOKUP(A800,'[1]Raw data'!$B:$Z,8,FALSE)</f>
        <v>L-&gt;R</v>
      </c>
      <c r="U800" s="647" t="str">
        <f>VLOOKUP(A800,'[1]Raw data'!$B:$Z,9,FALSE)</f>
        <v>MVC+ATS15</v>
      </c>
      <c r="V800" s="567" t="str">
        <f t="shared" si="134"/>
        <v>WRONG</v>
      </c>
      <c r="W800" s="563" t="str">
        <f>VLOOKUP(A800,'[1]Raw data'!$B:$AG,32,FALSE)</f>
        <v>DAP HZ</v>
      </c>
      <c r="X800" s="647">
        <f>VLOOKUP(A800,'[1]Raw data'!$B:$BA,31,FALSE)</f>
        <v>44215</v>
      </c>
      <c r="Y800" s="647" t="str">
        <f>VLOOKUP(A800,'[1]Raw data'!$B:$AS,39,FALSE)</f>
        <v>Yes</v>
      </c>
      <c r="Z800" s="659"/>
      <c r="AA800" s="660"/>
      <c r="AB800" s="661"/>
      <c r="AC800" s="647" t="s">
        <v>1426</v>
      </c>
      <c r="AD800" s="662">
        <v>301</v>
      </c>
      <c r="AE800" s="662">
        <v>10</v>
      </c>
      <c r="AF800" s="662"/>
      <c r="AG800" s="662"/>
      <c r="AH800" s="662"/>
      <c r="AI800" s="663"/>
      <c r="AN800" s="542"/>
      <c r="AO800" s="824" t="str">
        <f t="shared" si="122"/>
        <v>Yes</v>
      </c>
      <c r="AP800" s="259" t="str">
        <f t="shared" si="123"/>
        <v>MAY 21</v>
      </c>
      <c r="AQ800" s="542" t="str">
        <f t="shared" si="124"/>
        <v>有定金+有預留客戶</v>
      </c>
      <c r="AR800" s="259" t="str">
        <f t="shared" si="125"/>
        <v>Shipped_Stock</v>
      </c>
      <c r="AS800" s="259" t="str">
        <f t="shared" si="126"/>
        <v/>
      </c>
      <c r="AT800" s="259" t="str">
        <f t="shared" si="127"/>
        <v>奥视通</v>
      </c>
      <c r="AU800" s="259" t="str">
        <f t="shared" si="128"/>
        <v>C49SZX20210009MZ</v>
      </c>
      <c r="AV800" s="259" t="str">
        <f t="shared" si="129"/>
        <v>Apr-30</v>
      </c>
    </row>
    <row r="801" spans="1:48" hidden="1">
      <c r="A801" s="559">
        <v>1069</v>
      </c>
      <c r="B801" s="664" t="s">
        <v>1125</v>
      </c>
      <c r="C801" s="563" t="s">
        <v>4013</v>
      </c>
      <c r="D801" s="645">
        <v>110301</v>
      </c>
      <c r="E801" s="744" t="s">
        <v>1580</v>
      </c>
      <c r="F801" s="647" t="s">
        <v>201</v>
      </c>
      <c r="G801" s="647" t="s">
        <v>24</v>
      </c>
      <c r="H801" s="647" t="s">
        <v>307</v>
      </c>
      <c r="I801" s="575" t="s">
        <v>1581</v>
      </c>
      <c r="J801" s="575">
        <v>1</v>
      </c>
      <c r="K801" s="647" t="s">
        <v>78</v>
      </c>
      <c r="L801" s="657">
        <v>44316</v>
      </c>
      <c r="M801" s="665" t="s">
        <v>906</v>
      </c>
      <c r="N801" s="647" t="s">
        <v>110</v>
      </c>
      <c r="O801" s="575"/>
      <c r="P801" s="665" t="str">
        <f>VLOOKUP(A801,'[1]Raw data'!$B:$BA,23,FALSE)</f>
        <v>JPY</v>
      </c>
      <c r="Q801" s="647" t="str">
        <f>VLOOKUP(A801,'[1]Raw data'!$B:$Z,2,FALSE)</f>
        <v>C28SZX20200127RW</v>
      </c>
      <c r="R801" s="647" t="str">
        <f>VLOOKUP(A801,'[1]Raw data'!$B:$Z,3,FALSE)</f>
        <v>奕东</v>
      </c>
      <c r="S801" s="647" t="str">
        <f>VLOOKUP(A801,'[1]Raw data'!$B:$Z,4,FALSE)</f>
        <v>YSi-V</v>
      </c>
      <c r="T801" s="647" t="str">
        <f>VLOOKUP(A801,'[1]Raw data'!$B:$Z,8,FALSE)</f>
        <v>L-&gt;R</v>
      </c>
      <c r="U801" s="647" t="str">
        <f>VLOOKUP(A801,'[1]Raw data'!$B:$Z,9,FALSE)</f>
        <v>No</v>
      </c>
      <c r="V801" s="567" t="str">
        <f t="shared" si="134"/>
        <v>OK</v>
      </c>
      <c r="W801" s="563" t="str">
        <f>VLOOKUP(A801,'[1]Raw data'!$B:$AG,32,FALSE)</f>
        <v>DAP DG</v>
      </c>
      <c r="X801" s="647">
        <f>VLOOKUP(A801,'[1]Raw data'!$B:$BA,31,FALSE)</f>
        <v>44204</v>
      </c>
      <c r="Y801" s="647" t="str">
        <f>VLOOKUP(A801,'[1]Raw data'!$B:$AS,39,FALSE)</f>
        <v>Yes</v>
      </c>
      <c r="Z801" s="659"/>
      <c r="AA801" s="660"/>
      <c r="AB801" s="661"/>
      <c r="AC801" s="647" t="s">
        <v>1216</v>
      </c>
      <c r="AD801" s="662"/>
      <c r="AE801" s="662"/>
      <c r="AF801" s="662"/>
      <c r="AG801" s="662"/>
      <c r="AH801" s="662"/>
      <c r="AI801" s="663"/>
      <c r="AN801" s="542"/>
      <c r="AO801" s="824" t="str">
        <f t="shared" si="122"/>
        <v>Yes</v>
      </c>
      <c r="AP801" s="259" t="str">
        <f t="shared" si="123"/>
        <v>MAY 21</v>
      </c>
      <c r="AQ801" s="542" t="str">
        <f t="shared" si="124"/>
        <v>有定金+有預留客戶</v>
      </c>
      <c r="AR801" s="259" t="str">
        <f t="shared" si="125"/>
        <v>Shipped_Stock</v>
      </c>
      <c r="AS801" s="259" t="str">
        <f t="shared" si="126"/>
        <v/>
      </c>
      <c r="AT801" s="259" t="str">
        <f t="shared" si="127"/>
        <v>奕东</v>
      </c>
      <c r="AU801" s="259" t="str">
        <f t="shared" si="128"/>
        <v>C28SZX20200127RW</v>
      </c>
      <c r="AV801" s="259" t="str">
        <f t="shared" si="129"/>
        <v>Apr-30</v>
      </c>
    </row>
    <row r="802" spans="1:48" hidden="1">
      <c r="A802" s="559">
        <v>1228</v>
      </c>
      <c r="B802" s="664" t="s">
        <v>1125</v>
      </c>
      <c r="C802" s="664" t="s">
        <v>281</v>
      </c>
      <c r="D802" s="645">
        <v>110346</v>
      </c>
      <c r="E802" s="563" t="s">
        <v>886</v>
      </c>
      <c r="F802" s="647" t="s">
        <v>58</v>
      </c>
      <c r="G802" s="647" t="s">
        <v>24</v>
      </c>
      <c r="H802" s="647" t="s">
        <v>307</v>
      </c>
      <c r="I802" s="575" t="s">
        <v>171</v>
      </c>
      <c r="J802" s="575">
        <v>1</v>
      </c>
      <c r="K802" s="647" t="s">
        <v>81</v>
      </c>
      <c r="L802" s="657">
        <v>44318</v>
      </c>
      <c r="M802" s="665" t="s">
        <v>906</v>
      </c>
      <c r="N802" s="647" t="s">
        <v>96</v>
      </c>
      <c r="O802" s="575"/>
      <c r="P802" s="665" t="str">
        <f>VLOOKUP(A802,'[1]Raw data'!$B:$BA,23,FALSE)</f>
        <v>JPY</v>
      </c>
      <c r="Q802" s="647" t="str">
        <f>VLOOKUP(A802,'[1]Raw data'!$B:$Z,2,FALSE)</f>
        <v>C49SZX20210035SX</v>
      </c>
      <c r="R802" s="647" t="str">
        <f>VLOOKUP(A802,'[1]Raw data'!$B:$Z,3,FALSE)</f>
        <v>巴科</v>
      </c>
      <c r="S802" s="647" t="str">
        <f>VLOOKUP(A802,'[1]Raw data'!$B:$Z,4,FALSE)</f>
        <v>YSM20R-2</v>
      </c>
      <c r="T802" s="647" t="str">
        <f>VLOOKUP(A802,'[1]Raw data'!$B:$Z,8,FALSE)</f>
        <v>L-&gt;R</v>
      </c>
      <c r="U802" s="647" t="str">
        <f>VLOOKUP(A802,'[1]Raw data'!$B:$Z,9,FALSE)</f>
        <v>No</v>
      </c>
      <c r="V802" s="567" t="str">
        <f t="shared" ref="V802:V805" si="135">IF(G802&amp;H802=T802&amp;U802,"OK","WRONG")</f>
        <v>OK</v>
      </c>
      <c r="W802" s="563" t="str">
        <f>VLOOKUP(A802,'[1]Raw data'!$B:$AG,32,FALSE)</f>
        <v>CIF HK</v>
      </c>
      <c r="X802" s="647">
        <f>VLOOKUP(A802,'[1]Raw data'!$B:$BA,31,FALSE)</f>
        <v>44264</v>
      </c>
      <c r="Y802" s="647" t="str">
        <f>VLOOKUP(A802,'[1]Raw data'!$B:$AS,39,FALSE)</f>
        <v>Yes</v>
      </c>
      <c r="Z802" s="659"/>
      <c r="AA802" s="660"/>
      <c r="AB802" s="661"/>
      <c r="AC802" s="647" t="s">
        <v>1582</v>
      </c>
      <c r="AD802" s="662">
        <v>301</v>
      </c>
      <c r="AE802" s="662">
        <v>10</v>
      </c>
      <c r="AF802" s="662">
        <v>304</v>
      </c>
      <c r="AG802" s="662">
        <v>10</v>
      </c>
      <c r="AH802" s="662"/>
      <c r="AI802" s="663"/>
      <c r="AN802" s="542"/>
      <c r="AO802" s="824" t="str">
        <f t="shared" si="122"/>
        <v>Yes</v>
      </c>
      <c r="AP802" s="259" t="str">
        <f t="shared" si="123"/>
        <v>JUN 21</v>
      </c>
      <c r="AQ802" s="542" t="str">
        <f t="shared" si="124"/>
        <v>有定金+有預留客戶</v>
      </c>
      <c r="AR802" s="259" t="str">
        <f t="shared" si="125"/>
        <v>Shipped_Stock</v>
      </c>
      <c r="AS802" s="259" t="str">
        <f t="shared" si="126"/>
        <v/>
      </c>
      <c r="AT802" s="259" t="str">
        <f t="shared" si="127"/>
        <v>巴科</v>
      </c>
      <c r="AU802" s="259" t="str">
        <f t="shared" si="128"/>
        <v>C49SZX20210035SX</v>
      </c>
      <c r="AV802" s="259" t="str">
        <f t="shared" si="129"/>
        <v>May-02</v>
      </c>
    </row>
    <row r="803" spans="1:48" hidden="1">
      <c r="A803" s="559">
        <v>1133</v>
      </c>
      <c r="B803" s="664" t="s">
        <v>1125</v>
      </c>
      <c r="C803" s="664" t="s">
        <v>281</v>
      </c>
      <c r="D803" s="645" t="s">
        <v>1583</v>
      </c>
      <c r="E803" s="563" t="s">
        <v>886</v>
      </c>
      <c r="F803" s="647" t="s">
        <v>58</v>
      </c>
      <c r="G803" s="647" t="s">
        <v>24</v>
      </c>
      <c r="H803" s="647" t="s">
        <v>307</v>
      </c>
      <c r="I803" s="575" t="s">
        <v>170</v>
      </c>
      <c r="J803" s="575">
        <v>1</v>
      </c>
      <c r="K803" s="647" t="s">
        <v>81</v>
      </c>
      <c r="L803" s="657">
        <v>44318</v>
      </c>
      <c r="M803" s="665">
        <v>6.2300000000000001E-2</v>
      </c>
      <c r="N803" s="647" t="s">
        <v>110</v>
      </c>
      <c r="O803" s="575"/>
      <c r="P803" s="665" t="str">
        <f>VLOOKUP(A803,'[1]Raw data'!$B:$BA,23,FALSE)</f>
        <v>JPY</v>
      </c>
      <c r="Q803" s="647" t="str">
        <f>VLOOKUP(A803,'[1]Raw data'!$B:$Z,2,FALSE)</f>
        <v>C49SZX20210042VG</v>
      </c>
      <c r="R803" s="647" t="str">
        <f>VLOOKUP(A803,'[1]Raw data'!$B:$Z,3,FALSE)</f>
        <v>狂热者</v>
      </c>
      <c r="S803" s="647" t="str">
        <f>VLOOKUP(A803,'[1]Raw data'!$B:$Z,4,FALSE)</f>
        <v>YSM20R-2</v>
      </c>
      <c r="T803" s="647" t="str">
        <f>VLOOKUP(A803,'[1]Raw data'!$B:$Z,8,FALSE)</f>
        <v>L-&gt;R</v>
      </c>
      <c r="U803" s="647" t="str">
        <f>VLOOKUP(A803,'[1]Raw data'!$B:$Z,9,FALSE)</f>
        <v>No</v>
      </c>
      <c r="V803" s="567" t="str">
        <f t="shared" si="135"/>
        <v>OK</v>
      </c>
      <c r="W803" s="563" t="str">
        <f>VLOOKUP(A803,'[1]Raw data'!$B:$AG,32,FALSE)</f>
        <v>DAP SZ</v>
      </c>
      <c r="X803" s="647">
        <f>VLOOKUP(A803,'[1]Raw data'!$B:$BA,31,FALSE)</f>
        <v>44231</v>
      </c>
      <c r="Y803" s="647" t="str">
        <f>VLOOKUP(A803,'[1]Raw data'!$B:$AS,39,FALSE)</f>
        <v>Yes</v>
      </c>
      <c r="Z803" s="659"/>
      <c r="AA803" s="660"/>
      <c r="AB803" s="661"/>
      <c r="AC803" s="647" t="s">
        <v>1558</v>
      </c>
      <c r="AD803" s="662">
        <v>302</v>
      </c>
      <c r="AE803" s="662">
        <v>20</v>
      </c>
      <c r="AF803" s="662"/>
      <c r="AG803" s="662"/>
      <c r="AH803" s="662"/>
      <c r="AI803" s="663"/>
      <c r="AN803" s="542"/>
      <c r="AO803" s="824" t="str">
        <f t="shared" si="122"/>
        <v>Yes</v>
      </c>
      <c r="AP803" s="259" t="str">
        <f t="shared" si="123"/>
        <v>MAY 21</v>
      </c>
      <c r="AQ803" s="542" t="str">
        <f t="shared" si="124"/>
        <v>有定金+有預留客戶</v>
      </c>
      <c r="AR803" s="259" t="str">
        <f t="shared" si="125"/>
        <v>Shipped_Stock</v>
      </c>
      <c r="AS803" s="259" t="str">
        <f t="shared" si="126"/>
        <v/>
      </c>
      <c r="AT803" s="259" t="str">
        <f t="shared" si="127"/>
        <v>狂热者</v>
      </c>
      <c r="AU803" s="259" t="str">
        <f t="shared" si="128"/>
        <v>C49SZX20210042VG</v>
      </c>
      <c r="AV803" s="259" t="str">
        <f t="shared" si="129"/>
        <v>May-02</v>
      </c>
    </row>
    <row r="804" spans="1:48" hidden="1">
      <c r="A804" s="559">
        <v>1253</v>
      </c>
      <c r="B804" s="664" t="s">
        <v>1125</v>
      </c>
      <c r="C804" s="664" t="s">
        <v>281</v>
      </c>
      <c r="D804" s="645">
        <v>110346</v>
      </c>
      <c r="E804" s="563" t="s">
        <v>886</v>
      </c>
      <c r="F804" s="647" t="s">
        <v>58</v>
      </c>
      <c r="G804" s="647" t="s">
        <v>24</v>
      </c>
      <c r="H804" s="647" t="s">
        <v>307</v>
      </c>
      <c r="I804" s="575" t="s">
        <v>169</v>
      </c>
      <c r="J804" s="575">
        <v>1</v>
      </c>
      <c r="K804" s="647" t="s">
        <v>81</v>
      </c>
      <c r="L804" s="657">
        <v>44318</v>
      </c>
      <c r="M804" s="665" t="s">
        <v>906</v>
      </c>
      <c r="N804" s="647" t="s">
        <v>110</v>
      </c>
      <c r="O804" s="575"/>
      <c r="P804" s="665" t="str">
        <f>VLOOKUP(A804,'[1]Raw data'!$B:$BA,23,FALSE)</f>
        <v>JPY</v>
      </c>
      <c r="Q804" s="647" t="str">
        <f>VLOOKUP(A804,'[1]Raw data'!$B:$Z,2,FALSE)</f>
        <v>C49SZX20210076JZ</v>
      </c>
      <c r="R804" s="647" t="str">
        <f>VLOOKUP(A804,'[1]Raw data'!$B:$Z,3,FALSE)</f>
        <v>圣亨</v>
      </c>
      <c r="S804" s="647" t="str">
        <f>VLOOKUP(A804,'[1]Raw data'!$B:$Z,4,FALSE)</f>
        <v>YSM20R-2</v>
      </c>
      <c r="T804" s="647" t="str">
        <f>VLOOKUP(A804,'[1]Raw data'!$B:$Z,8,FALSE)</f>
        <v>L-&gt;R</v>
      </c>
      <c r="U804" s="647" t="str">
        <f>VLOOKUP(A804,'[1]Raw data'!$B:$Z,9,FALSE)</f>
        <v>No</v>
      </c>
      <c r="V804" s="567" t="str">
        <f t="shared" si="135"/>
        <v>OK</v>
      </c>
      <c r="W804" s="563" t="str">
        <f>VLOOKUP(A804,'[1]Raw data'!$B:$AG,32,FALSE)</f>
        <v>DAP DG</v>
      </c>
      <c r="X804" s="647">
        <f>VLOOKUP(A804,'[1]Raw data'!$B:$BA,31,FALSE)</f>
        <v>44266</v>
      </c>
      <c r="Y804" s="647" t="str">
        <f>VLOOKUP(A804,'[1]Raw data'!$B:$AS,39,FALSE)</f>
        <v>Yes</v>
      </c>
      <c r="Z804" s="659"/>
      <c r="AA804" s="660"/>
      <c r="AB804" s="661"/>
      <c r="AC804" s="647" t="s">
        <v>1578</v>
      </c>
      <c r="AD804" s="662">
        <v>302</v>
      </c>
      <c r="AE804" s="662">
        <v>20</v>
      </c>
      <c r="AF804" s="662"/>
      <c r="AG804" s="662"/>
      <c r="AH804" s="662"/>
      <c r="AI804" s="663"/>
      <c r="AN804" s="542"/>
      <c r="AO804" s="824" t="str">
        <f t="shared" si="122"/>
        <v>Yes</v>
      </c>
      <c r="AP804" s="259" t="str">
        <f t="shared" si="123"/>
        <v>MAY 21</v>
      </c>
      <c r="AQ804" s="542" t="str">
        <f t="shared" si="124"/>
        <v>有定金+有預留客戶</v>
      </c>
      <c r="AR804" s="259" t="str">
        <f t="shared" si="125"/>
        <v>Shipped_Stock</v>
      </c>
      <c r="AS804" s="259" t="str">
        <f t="shared" si="126"/>
        <v/>
      </c>
      <c r="AT804" s="259" t="str">
        <f t="shared" si="127"/>
        <v>圣亨</v>
      </c>
      <c r="AU804" s="259" t="str">
        <f t="shared" si="128"/>
        <v>C49SZX20210076JZ</v>
      </c>
      <c r="AV804" s="259" t="str">
        <f t="shared" si="129"/>
        <v>May-02</v>
      </c>
    </row>
    <row r="805" spans="1:48" hidden="1">
      <c r="A805" s="559">
        <v>1149</v>
      </c>
      <c r="B805" s="664" t="s">
        <v>1125</v>
      </c>
      <c r="C805" s="664" t="s">
        <v>281</v>
      </c>
      <c r="D805" s="645" t="s">
        <v>1584</v>
      </c>
      <c r="E805" s="563" t="s">
        <v>886</v>
      </c>
      <c r="F805" s="647" t="s">
        <v>58</v>
      </c>
      <c r="G805" s="647" t="s">
        <v>24</v>
      </c>
      <c r="H805" s="647" t="s">
        <v>307</v>
      </c>
      <c r="I805" s="575" t="s">
        <v>168</v>
      </c>
      <c r="J805" s="575">
        <v>1</v>
      </c>
      <c r="K805" s="647" t="s">
        <v>81</v>
      </c>
      <c r="L805" s="657">
        <v>44318</v>
      </c>
      <c r="M805" s="665">
        <v>5.9900000000000002E-2</v>
      </c>
      <c r="N805" s="647" t="s">
        <v>110</v>
      </c>
      <c r="O805" s="575"/>
      <c r="P805" s="665" t="str">
        <f>VLOOKUP(A805,'[1]Raw data'!$B:$BA,23,FALSE)</f>
        <v>RMB</v>
      </c>
      <c r="Q805" s="647" t="str">
        <f>VLOOKUP(A805,'[1]Raw data'!$B:$Z,2,FALSE)</f>
        <v>C49SZX20210055SS</v>
      </c>
      <c r="R805" s="647" t="str">
        <f>VLOOKUP(A805,'[1]Raw data'!$B:$Z,3,FALSE)</f>
        <v>中润互联</v>
      </c>
      <c r="S805" s="647" t="str">
        <f>VLOOKUP(A805,'[1]Raw data'!$B:$Z,4,FALSE)</f>
        <v>YSM20R-2</v>
      </c>
      <c r="T805" s="647" t="str">
        <f>VLOOKUP(A805,'[1]Raw data'!$B:$Z,8,FALSE)</f>
        <v>L-&gt;R</v>
      </c>
      <c r="U805" s="647" t="str">
        <f>VLOOKUP(A805,'[1]Raw data'!$B:$Z,9,FALSE)</f>
        <v>No</v>
      </c>
      <c r="V805" s="567" t="str">
        <f t="shared" si="135"/>
        <v>OK</v>
      </c>
      <c r="W805" s="563" t="str">
        <f>VLOOKUP(A805,'[1]Raw data'!$B:$AG,32,FALSE)</f>
        <v>含税到厂</v>
      </c>
      <c r="X805" s="647">
        <f>VLOOKUP(A805,'[1]Raw data'!$B:$BA,31,FALSE)</f>
        <v>44249</v>
      </c>
      <c r="Y805" s="647" t="str">
        <f>VLOOKUP(A805,'[1]Raw data'!$B:$AS,39,FALSE)</f>
        <v>Yes</v>
      </c>
      <c r="Z805" s="659"/>
      <c r="AA805" s="660"/>
      <c r="AB805" s="661"/>
      <c r="AC805" s="563" t="s">
        <v>936</v>
      </c>
      <c r="AD805" s="662">
        <v>302</v>
      </c>
      <c r="AE805" s="662">
        <v>20</v>
      </c>
      <c r="AF805" s="662"/>
      <c r="AG805" s="662"/>
      <c r="AH805" s="662"/>
      <c r="AI805" s="663"/>
      <c r="AN805" s="542"/>
      <c r="AO805" s="824" t="str">
        <f t="shared" si="122"/>
        <v>Yes</v>
      </c>
      <c r="AP805" s="259" t="str">
        <f t="shared" si="123"/>
        <v>MAY 21</v>
      </c>
      <c r="AQ805" s="542" t="str">
        <f t="shared" si="124"/>
        <v>有定金+有預留客戶</v>
      </c>
      <c r="AR805" s="259" t="str">
        <f t="shared" si="125"/>
        <v>Shipped_Stock</v>
      </c>
      <c r="AS805" s="259" t="str">
        <f t="shared" si="126"/>
        <v/>
      </c>
      <c r="AT805" s="259" t="str">
        <f t="shared" si="127"/>
        <v>中润互联</v>
      </c>
      <c r="AU805" s="259" t="str">
        <f t="shared" si="128"/>
        <v>C49SZX20210055SS</v>
      </c>
      <c r="AV805" s="259" t="str">
        <f t="shared" si="129"/>
        <v>May-02</v>
      </c>
    </row>
    <row r="806" spans="1:48" hidden="1">
      <c r="A806" s="559">
        <v>1324</v>
      </c>
      <c r="B806" s="664" t="s">
        <v>1125</v>
      </c>
      <c r="C806" s="664" t="s">
        <v>281</v>
      </c>
      <c r="D806" s="645">
        <v>110211</v>
      </c>
      <c r="E806" s="563" t="s">
        <v>886</v>
      </c>
      <c r="F806" s="647" t="s">
        <v>241</v>
      </c>
      <c r="G806" s="647" t="s">
        <v>18</v>
      </c>
      <c r="H806" s="647" t="s">
        <v>307</v>
      </c>
      <c r="I806" s="575" t="s">
        <v>125</v>
      </c>
      <c r="J806" s="575">
        <v>1</v>
      </c>
      <c r="K806" s="647" t="s">
        <v>81</v>
      </c>
      <c r="L806" s="657">
        <v>44318</v>
      </c>
      <c r="M806" s="665" t="s">
        <v>906</v>
      </c>
      <c r="N806" s="647" t="s">
        <v>110</v>
      </c>
      <c r="O806" s="575"/>
      <c r="P806" s="665" t="str">
        <f>VLOOKUP(A806,'[1]Raw data'!$B:$BA,23,FALSE)</f>
        <v>JPY</v>
      </c>
      <c r="Q806" s="647" t="str">
        <f>VLOOKUP(A806,'[1]Raw data'!$B:$Z,2,FALSE)</f>
        <v>C49SZX20210066JYR1</v>
      </c>
      <c r="R806" s="647" t="str">
        <f>VLOOKUP(A806,'[1]Raw data'!$B:$Z,3,FALSE)</f>
        <v>旭日伟光</v>
      </c>
      <c r="S806" s="647" t="str">
        <f>VLOOKUP(A806,'[1]Raw data'!$B:$Z,4,FALSE)</f>
        <v>YSM10</v>
      </c>
      <c r="T806" s="647" t="str">
        <f>VLOOKUP(A806,'[1]Raw data'!$B:$Z,8,FALSE)</f>
        <v>L-&gt;R</v>
      </c>
      <c r="U806" s="647" t="str">
        <f>VLOOKUP(A806,'[1]Raw data'!$B:$Z,9,FALSE)</f>
        <v>MVC</v>
      </c>
      <c r="V806" s="567" t="str">
        <f>IF(G806&amp;H806=T806&amp;U806,"OK","WRONG")</f>
        <v>WRONG</v>
      </c>
      <c r="W806" s="563" t="str">
        <f>VLOOKUP(A806,'[1]Raw data'!$B:$AG,32,FALSE)</f>
        <v>DAP SZ</v>
      </c>
      <c r="X806" s="647">
        <f>VLOOKUP(A806,'[1]Raw data'!$B:$BA,31,FALSE)</f>
        <v>44298</v>
      </c>
      <c r="Y806" s="647" t="str">
        <f>VLOOKUP(A806,'[1]Raw data'!$B:$AS,39,FALSE)</f>
        <v>Yes</v>
      </c>
      <c r="Z806" s="659"/>
      <c r="AA806" s="660"/>
      <c r="AB806" s="661"/>
      <c r="AC806" s="563" t="s">
        <v>601</v>
      </c>
      <c r="AD806" s="662">
        <v>301</v>
      </c>
      <c r="AE806" s="662">
        <v>10</v>
      </c>
      <c r="AF806" s="662"/>
      <c r="AG806" s="662"/>
      <c r="AH806" s="662"/>
      <c r="AI806" s="663"/>
      <c r="AN806" s="542"/>
      <c r="AO806" s="824" t="str">
        <f t="shared" si="122"/>
        <v>Yes</v>
      </c>
      <c r="AP806" s="259" t="str">
        <f t="shared" si="123"/>
        <v>MAY 21</v>
      </c>
      <c r="AQ806" s="542" t="str">
        <f t="shared" si="124"/>
        <v>有定金+有預留客戶</v>
      </c>
      <c r="AR806" s="259" t="str">
        <f t="shared" si="125"/>
        <v>Shipped_Stock</v>
      </c>
      <c r="AS806" s="259" t="str">
        <f t="shared" si="126"/>
        <v/>
      </c>
      <c r="AT806" s="259" t="str">
        <f t="shared" si="127"/>
        <v>旭日伟光</v>
      </c>
      <c r="AU806" s="259" t="str">
        <f t="shared" si="128"/>
        <v>C49SZX20210066JYR1</v>
      </c>
      <c r="AV806" s="259" t="str">
        <f t="shared" si="129"/>
        <v>May-02</v>
      </c>
    </row>
    <row r="807" spans="1:48" hidden="1">
      <c r="A807" s="559">
        <v>1132</v>
      </c>
      <c r="B807" s="664" t="s">
        <v>1125</v>
      </c>
      <c r="C807" s="664" t="s">
        <v>281</v>
      </c>
      <c r="D807" s="645">
        <v>110211</v>
      </c>
      <c r="E807" s="563" t="s">
        <v>886</v>
      </c>
      <c r="F807" s="647" t="s">
        <v>241</v>
      </c>
      <c r="G807" s="647" t="s">
        <v>18</v>
      </c>
      <c r="H807" s="647" t="s">
        <v>307</v>
      </c>
      <c r="I807" s="735" t="s">
        <v>123</v>
      </c>
      <c r="J807" s="575">
        <v>1</v>
      </c>
      <c r="K807" s="647" t="s">
        <v>81</v>
      </c>
      <c r="L807" s="657">
        <v>44318</v>
      </c>
      <c r="M807" s="665" t="s">
        <v>906</v>
      </c>
      <c r="N807" s="647" t="s">
        <v>110</v>
      </c>
      <c r="O807" s="575"/>
      <c r="P807" s="665" t="str">
        <f>VLOOKUP(A807,'[1]Raw data'!$B:$BA,23,FALSE)</f>
        <v>JPY</v>
      </c>
      <c r="Q807" s="647" t="str">
        <f>VLOOKUP(A807,'[1]Raw data'!$B:$Z,2,FALSE)</f>
        <v>C49SZX20210042VG</v>
      </c>
      <c r="R807" s="647" t="str">
        <f>VLOOKUP(A807,'[1]Raw data'!$B:$Z,3,FALSE)</f>
        <v>狂热者</v>
      </c>
      <c r="S807" s="647" t="str">
        <f>VLOOKUP(A807,'[1]Raw data'!$B:$Z,4,FALSE)</f>
        <v>YSM10</v>
      </c>
      <c r="T807" s="647" t="str">
        <f>VLOOKUP(A807,'[1]Raw data'!$B:$Z,8,FALSE)</f>
        <v>L-&gt;R</v>
      </c>
      <c r="U807" s="647" t="str">
        <f>VLOOKUP(A807,'[1]Raw data'!$B:$Z,9,FALSE)</f>
        <v>No</v>
      </c>
      <c r="V807" s="567" t="str">
        <f t="shared" ref="V807:V810" si="136">IF(G807&amp;H807=T807&amp;U807,"OK","WRONG")</f>
        <v>WRONG</v>
      </c>
      <c r="W807" s="563" t="str">
        <f>VLOOKUP(A807,'[1]Raw data'!$B:$AG,32,FALSE)</f>
        <v>DAP SZ</v>
      </c>
      <c r="X807" s="647">
        <f>VLOOKUP(A807,'[1]Raw data'!$B:$BA,31,FALSE)</f>
        <v>44231</v>
      </c>
      <c r="Y807" s="647" t="str">
        <f>VLOOKUP(A807,'[1]Raw data'!$B:$AS,39,FALSE)</f>
        <v>Yes</v>
      </c>
      <c r="Z807" s="659"/>
      <c r="AA807" s="660"/>
      <c r="AB807" s="661"/>
      <c r="AC807" s="647" t="s">
        <v>1558</v>
      </c>
      <c r="AD807" s="662">
        <v>302</v>
      </c>
      <c r="AE807" s="662">
        <v>10</v>
      </c>
      <c r="AF807" s="662"/>
      <c r="AG807" s="662"/>
      <c r="AH807" s="662"/>
      <c r="AI807" s="663"/>
      <c r="AN807" s="542"/>
      <c r="AO807" s="824" t="str">
        <f t="shared" si="122"/>
        <v>Yes</v>
      </c>
      <c r="AP807" s="259" t="str">
        <f t="shared" si="123"/>
        <v>MAY 21</v>
      </c>
      <c r="AQ807" s="542" t="str">
        <f t="shared" si="124"/>
        <v>有定金+有預留客戶</v>
      </c>
      <c r="AR807" s="259" t="str">
        <f t="shared" si="125"/>
        <v>Shipped_Stock</v>
      </c>
      <c r="AS807" s="259" t="str">
        <f t="shared" si="126"/>
        <v/>
      </c>
      <c r="AT807" s="259" t="str">
        <f t="shared" si="127"/>
        <v>狂热者</v>
      </c>
      <c r="AU807" s="259" t="str">
        <f t="shared" si="128"/>
        <v>C49SZX20210042VG</v>
      </c>
      <c r="AV807" s="259" t="str">
        <f t="shared" si="129"/>
        <v>May-02</v>
      </c>
    </row>
    <row r="808" spans="1:48" hidden="1">
      <c r="A808" s="559">
        <v>1366</v>
      </c>
      <c r="B808" s="664" t="s">
        <v>1125</v>
      </c>
      <c r="C808" s="664" t="s">
        <v>281</v>
      </c>
      <c r="D808" s="645">
        <v>110211</v>
      </c>
      <c r="E808" s="563" t="s">
        <v>886</v>
      </c>
      <c r="F808" s="647" t="s">
        <v>241</v>
      </c>
      <c r="G808" s="647" t="s">
        <v>18</v>
      </c>
      <c r="H808" s="647" t="s">
        <v>307</v>
      </c>
      <c r="I808" s="575" t="s">
        <v>122</v>
      </c>
      <c r="J808" s="575">
        <v>1</v>
      </c>
      <c r="K808" s="647" t="s">
        <v>81</v>
      </c>
      <c r="L808" s="657">
        <v>44318</v>
      </c>
      <c r="M808" s="665" t="s">
        <v>906</v>
      </c>
      <c r="N808" s="647" t="s">
        <v>110</v>
      </c>
      <c r="O808" s="575"/>
      <c r="P808" s="665" t="str">
        <f>VLOOKUP(A808,'[1]Raw data'!$B:$BA,23,FALSE)</f>
        <v>JPY</v>
      </c>
      <c r="Q808" s="647" t="str">
        <f>VLOOKUP(A808,'[1]Raw data'!$B:$Z,2,FALSE)</f>
        <v>C49SZX20210140DZ</v>
      </c>
      <c r="R808" s="647" t="str">
        <f>VLOOKUP(A808,'[1]Raw data'!$B:$Z,3,FALSE)</f>
        <v>锘铧</v>
      </c>
      <c r="S808" s="647" t="str">
        <f>VLOOKUP(A808,'[1]Raw data'!$B:$Z,4,FALSE)</f>
        <v>YSM10</v>
      </c>
      <c r="T808" s="647" t="str">
        <f>VLOOKUP(A808,'[1]Raw data'!$B:$Z,8,FALSE)</f>
        <v>L-&gt;R</v>
      </c>
      <c r="U808" s="647" t="str">
        <f>VLOOKUP(A808,'[1]Raw data'!$B:$Z,9,FALSE)</f>
        <v>MVC</v>
      </c>
      <c r="V808" s="567" t="str">
        <f t="shared" si="136"/>
        <v>WRONG</v>
      </c>
      <c r="W808" s="563" t="str">
        <f>VLOOKUP(A808,'[1]Raw data'!$B:$AG,32,FALSE)</f>
        <v>DAP GZ</v>
      </c>
      <c r="X808" s="647">
        <f>VLOOKUP(A808,'[1]Raw data'!$B:$BA,31,FALSE)</f>
        <v>44327</v>
      </c>
      <c r="Y808" s="647" t="str">
        <f>VLOOKUP(A808,'[1]Raw data'!$B:$AS,39,FALSE)</f>
        <v>Yes</v>
      </c>
      <c r="Z808" s="659"/>
      <c r="AA808" s="660"/>
      <c r="AB808" s="661"/>
      <c r="AC808" s="563" t="s">
        <v>621</v>
      </c>
      <c r="AD808" s="662">
        <v>312</v>
      </c>
      <c r="AE808" s="662">
        <v>10</v>
      </c>
      <c r="AF808" s="662"/>
      <c r="AG808" s="662"/>
      <c r="AH808" s="662"/>
      <c r="AI808" s="663"/>
      <c r="AN808" s="542"/>
      <c r="AO808" s="824" t="str">
        <f t="shared" si="122"/>
        <v>Yes</v>
      </c>
      <c r="AP808" s="259" t="str">
        <f t="shared" si="123"/>
        <v>MAY 21</v>
      </c>
      <c r="AQ808" s="542" t="str">
        <f t="shared" si="124"/>
        <v>有定金+有預留客戶</v>
      </c>
      <c r="AR808" s="259" t="str">
        <f t="shared" si="125"/>
        <v>Shipped_Stock</v>
      </c>
      <c r="AS808" s="259" t="str">
        <f t="shared" si="126"/>
        <v/>
      </c>
      <c r="AT808" s="259" t="str">
        <f t="shared" si="127"/>
        <v>锘铧</v>
      </c>
      <c r="AU808" s="259" t="str">
        <f t="shared" si="128"/>
        <v>C49SZX20210140DZ</v>
      </c>
      <c r="AV808" s="259" t="str">
        <f t="shared" si="129"/>
        <v>May-02</v>
      </c>
    </row>
    <row r="809" spans="1:48" hidden="1">
      <c r="A809" s="559">
        <v>1088</v>
      </c>
      <c r="B809" s="664" t="s">
        <v>1125</v>
      </c>
      <c r="C809" s="664" t="s">
        <v>281</v>
      </c>
      <c r="D809" s="645">
        <v>110211</v>
      </c>
      <c r="E809" s="563" t="s">
        <v>886</v>
      </c>
      <c r="F809" s="647" t="s">
        <v>241</v>
      </c>
      <c r="G809" s="647" t="s">
        <v>18</v>
      </c>
      <c r="H809" s="647" t="s">
        <v>307</v>
      </c>
      <c r="I809" s="575" t="s">
        <v>1585</v>
      </c>
      <c r="J809" s="575">
        <v>1</v>
      </c>
      <c r="K809" s="647" t="s">
        <v>81</v>
      </c>
      <c r="L809" s="657">
        <v>44318</v>
      </c>
      <c r="M809" s="665" t="s">
        <v>906</v>
      </c>
      <c r="N809" s="647" t="s">
        <v>110</v>
      </c>
      <c r="O809" s="575"/>
      <c r="P809" s="665" t="str">
        <f>VLOOKUP(A809,'[1]Raw data'!$B:$BA,23,FALSE)</f>
        <v>JPY</v>
      </c>
      <c r="Q809" s="647" t="str">
        <f>VLOOKUP(A809,'[1]Raw data'!$B:$Z,2,FALSE)</f>
        <v>C49SZX20210029SS</v>
      </c>
      <c r="R809" s="647" t="str">
        <f>VLOOKUP(A809,'[1]Raw data'!$B:$Z,3,FALSE)</f>
        <v>锂动力</v>
      </c>
      <c r="S809" s="647" t="str">
        <f>VLOOKUP(A809,'[1]Raw data'!$B:$Z,4,FALSE)</f>
        <v>YSM10</v>
      </c>
      <c r="T809" s="647" t="str">
        <f>VLOOKUP(A809,'[1]Raw data'!$B:$Z,8,FALSE)</f>
        <v>R-&gt;L</v>
      </c>
      <c r="U809" s="647" t="str">
        <f>VLOOKUP(A809,'[1]Raw data'!$B:$Z,9,FALSE)</f>
        <v>No</v>
      </c>
      <c r="V809" s="567" t="str">
        <f t="shared" si="136"/>
        <v>OK</v>
      </c>
      <c r="W809" s="563" t="str">
        <f>VLOOKUP(A809,'[1]Raw data'!$B:$AG,32,FALSE)</f>
        <v>DAP FS</v>
      </c>
      <c r="X809" s="647">
        <f>VLOOKUP(A809,'[1]Raw data'!$B:$BA,31,FALSE)</f>
        <v>44222</v>
      </c>
      <c r="Y809" s="647" t="str">
        <f>VLOOKUP(A809,'[1]Raw data'!$B:$AS,39,FALSE)</f>
        <v>Yes</v>
      </c>
      <c r="Z809" s="659"/>
      <c r="AA809" s="660"/>
      <c r="AB809" s="661"/>
      <c r="AC809" s="647" t="s">
        <v>1229</v>
      </c>
      <c r="AD809" s="662">
        <v>312</v>
      </c>
      <c r="AE809" s="662">
        <v>10</v>
      </c>
      <c r="AF809" s="662"/>
      <c r="AG809" s="662"/>
      <c r="AH809" s="662"/>
      <c r="AI809" s="663"/>
      <c r="AN809" s="542"/>
      <c r="AO809" s="824" t="str">
        <f t="shared" si="122"/>
        <v>Yes</v>
      </c>
      <c r="AP809" s="259" t="str">
        <f t="shared" si="123"/>
        <v>MAY 21</v>
      </c>
      <c r="AQ809" s="542" t="str">
        <f t="shared" si="124"/>
        <v>有定金+有預留客戶</v>
      </c>
      <c r="AR809" s="259" t="str">
        <f t="shared" si="125"/>
        <v>Shipped_Stock</v>
      </c>
      <c r="AS809" s="259" t="str">
        <f t="shared" si="126"/>
        <v/>
      </c>
      <c r="AT809" s="259" t="str">
        <f t="shared" si="127"/>
        <v>锂动力</v>
      </c>
      <c r="AU809" s="259" t="str">
        <f t="shared" si="128"/>
        <v>C49SZX20210029SS</v>
      </c>
      <c r="AV809" s="259" t="str">
        <f t="shared" si="129"/>
        <v>May-02</v>
      </c>
    </row>
    <row r="810" spans="1:48" hidden="1">
      <c r="A810" s="559">
        <v>1287</v>
      </c>
      <c r="B810" s="664" t="s">
        <v>1125</v>
      </c>
      <c r="C810" s="664" t="s">
        <v>281</v>
      </c>
      <c r="D810" s="645">
        <v>110211</v>
      </c>
      <c r="E810" s="563" t="s">
        <v>886</v>
      </c>
      <c r="F810" s="647" t="s">
        <v>241</v>
      </c>
      <c r="G810" s="647" t="s">
        <v>18</v>
      </c>
      <c r="H810" s="647" t="s">
        <v>307</v>
      </c>
      <c r="I810" s="575" t="s">
        <v>121</v>
      </c>
      <c r="J810" s="575">
        <v>1</v>
      </c>
      <c r="K810" s="647" t="s">
        <v>81</v>
      </c>
      <c r="L810" s="657">
        <v>44318</v>
      </c>
      <c r="M810" s="665" t="s">
        <v>906</v>
      </c>
      <c r="N810" s="647" t="s">
        <v>110</v>
      </c>
      <c r="O810" s="575"/>
      <c r="P810" s="665" t="str">
        <f>VLOOKUP(A810,'[1]Raw data'!$B:$BA,23,FALSE)</f>
        <v>JPY</v>
      </c>
      <c r="Q810" s="647" t="str">
        <f>VLOOKUP(A810,'[1]Raw data'!$B:$Z,2,FALSE)</f>
        <v>C49SZX20210099VG</v>
      </c>
      <c r="R810" s="647" t="str">
        <f>VLOOKUP(A810,'[1]Raw data'!$B:$Z,3,FALSE)</f>
        <v>鸿翔</v>
      </c>
      <c r="S810" s="647" t="str">
        <f>VLOOKUP(A810,'[1]Raw data'!$B:$Z,4,FALSE)</f>
        <v>YSM10</v>
      </c>
      <c r="T810" s="647" t="str">
        <f>VLOOKUP(A810,'[1]Raw data'!$B:$Z,8,FALSE)</f>
        <v>L-&gt;R</v>
      </c>
      <c r="U810" s="647" t="str">
        <f>VLOOKUP(A810,'[1]Raw data'!$B:$Z,9,FALSE)</f>
        <v>MVC</v>
      </c>
      <c r="V810" s="567" t="str">
        <f t="shared" si="136"/>
        <v>WRONG</v>
      </c>
      <c r="W810" s="563" t="str">
        <f>VLOOKUP(A810,'[1]Raw data'!$B:$AG,32,FALSE)</f>
        <v>DAP SZ</v>
      </c>
      <c r="X810" s="647">
        <f>VLOOKUP(A810,'[1]Raw data'!$B:$BA,31,FALSE)</f>
        <v>44282</v>
      </c>
      <c r="Y810" s="647" t="str">
        <f>VLOOKUP(A810,'[1]Raw data'!$B:$AS,39,FALSE)</f>
        <v>Yes</v>
      </c>
      <c r="Z810" s="659"/>
      <c r="AA810" s="660"/>
      <c r="AB810" s="661"/>
      <c r="AC810" s="647" t="s">
        <v>1586</v>
      </c>
      <c r="AD810" s="662">
        <v>312</v>
      </c>
      <c r="AE810" s="662">
        <v>10</v>
      </c>
      <c r="AF810" s="662"/>
      <c r="AG810" s="662"/>
      <c r="AH810" s="662"/>
      <c r="AI810" s="663"/>
      <c r="AN810" s="542"/>
      <c r="AO810" s="824" t="str">
        <f t="shared" si="122"/>
        <v>Yes</v>
      </c>
      <c r="AP810" s="259" t="str">
        <f t="shared" si="123"/>
        <v>MAY 21</v>
      </c>
      <c r="AQ810" s="542" t="str">
        <f t="shared" si="124"/>
        <v>有定金+有預留客戶</v>
      </c>
      <c r="AR810" s="259" t="str">
        <f t="shared" si="125"/>
        <v>Shipped_Stock</v>
      </c>
      <c r="AS810" s="259" t="str">
        <f t="shared" si="126"/>
        <v/>
      </c>
      <c r="AT810" s="259" t="str">
        <f t="shared" si="127"/>
        <v>鸿翔</v>
      </c>
      <c r="AU810" s="259" t="str">
        <f t="shared" si="128"/>
        <v>C49SZX20210099VG</v>
      </c>
      <c r="AV810" s="259" t="str">
        <f t="shared" si="129"/>
        <v>May-02</v>
      </c>
    </row>
    <row r="811" spans="1:48" hidden="1">
      <c r="A811" s="559">
        <v>1147</v>
      </c>
      <c r="B811" s="664" t="s">
        <v>1125</v>
      </c>
      <c r="C811" s="664" t="s">
        <v>281</v>
      </c>
      <c r="D811" s="645" t="s">
        <v>1587</v>
      </c>
      <c r="E811" s="563" t="s">
        <v>802</v>
      </c>
      <c r="F811" s="647" t="s">
        <v>241</v>
      </c>
      <c r="G811" s="647" t="s">
        <v>18</v>
      </c>
      <c r="H811" s="647" t="s">
        <v>48</v>
      </c>
      <c r="I811" s="575" t="s">
        <v>1588</v>
      </c>
      <c r="J811" s="575">
        <v>1</v>
      </c>
      <c r="K811" s="647" t="s">
        <v>1419</v>
      </c>
      <c r="L811" s="657">
        <v>44318</v>
      </c>
      <c r="M811" s="678" t="s">
        <v>1589</v>
      </c>
      <c r="N811" s="647" t="s">
        <v>110</v>
      </c>
      <c r="O811" s="575"/>
      <c r="P811" s="665" t="str">
        <f>VLOOKUP(A811,'[1]Raw data'!$B:$BA,23,FALSE)</f>
        <v>RMB</v>
      </c>
      <c r="Q811" s="647" t="str">
        <f>VLOOKUP(A811,'[1]Raw data'!$B:$Z,2,FALSE)</f>
        <v>C49SZX20210055SS</v>
      </c>
      <c r="R811" s="647" t="str">
        <f>VLOOKUP(A811,'[1]Raw data'!$B:$Z,3,FALSE)</f>
        <v>中润互联</v>
      </c>
      <c r="S811" s="647" t="str">
        <f>VLOOKUP(A811,'[1]Raw data'!$B:$Z,4,FALSE)</f>
        <v>YSM10</v>
      </c>
      <c r="T811" s="647" t="str">
        <f>VLOOKUP(A811,'[1]Raw data'!$B:$Z,8,FALSE)</f>
        <v>L-&gt;R</v>
      </c>
      <c r="U811" s="647" t="str">
        <f>VLOOKUP(A811,'[1]Raw data'!$B:$Z,9,FALSE)</f>
        <v>MVC+ATS15</v>
      </c>
      <c r="V811" s="567" t="str">
        <f t="shared" ref="V811:V816" si="137">IF(G811&amp;H811=T811&amp;U811,"OK","WRONG")</f>
        <v>WRONG</v>
      </c>
      <c r="W811" s="563" t="str">
        <f>VLOOKUP(A811,'[1]Raw data'!$B:$AG,32,FALSE)</f>
        <v>含税到厂</v>
      </c>
      <c r="X811" s="647">
        <f>VLOOKUP(A811,'[1]Raw data'!$B:$BA,31,FALSE)</f>
        <v>44249</v>
      </c>
      <c r="Y811" s="647" t="str">
        <f>VLOOKUP(A811,'[1]Raw data'!$B:$AS,39,FALSE)</f>
        <v>Yes</v>
      </c>
      <c r="Z811" s="659"/>
      <c r="AA811" s="660"/>
      <c r="AB811" s="661"/>
      <c r="AC811" s="563" t="s">
        <v>936</v>
      </c>
      <c r="AD811" s="662">
        <v>301</v>
      </c>
      <c r="AE811" s="662">
        <v>10</v>
      </c>
      <c r="AF811" s="662"/>
      <c r="AG811" s="662"/>
      <c r="AH811" s="662"/>
      <c r="AI811" s="663"/>
      <c r="AN811" s="542"/>
      <c r="AO811" s="824" t="str">
        <f t="shared" si="122"/>
        <v>Yes</v>
      </c>
      <c r="AP811" s="259" t="str">
        <f t="shared" si="123"/>
        <v>MAY 21</v>
      </c>
      <c r="AQ811" s="542" t="str">
        <f t="shared" si="124"/>
        <v>有定金+有預留客戶</v>
      </c>
      <c r="AR811" s="259" t="str">
        <f t="shared" si="125"/>
        <v>Shipped_Stock</v>
      </c>
      <c r="AS811" s="259" t="str">
        <f t="shared" si="126"/>
        <v/>
      </c>
      <c r="AT811" s="259" t="str">
        <f t="shared" si="127"/>
        <v>中润互联</v>
      </c>
      <c r="AU811" s="259" t="str">
        <f t="shared" si="128"/>
        <v>C49SZX20210055SS</v>
      </c>
      <c r="AV811" s="259" t="str">
        <f t="shared" si="129"/>
        <v>May-02</v>
      </c>
    </row>
    <row r="812" spans="1:48" hidden="1">
      <c r="A812" s="559">
        <v>1148</v>
      </c>
      <c r="B812" s="664" t="s">
        <v>1125</v>
      </c>
      <c r="C812" s="664" t="s">
        <v>281</v>
      </c>
      <c r="D812" s="645" t="s">
        <v>1587</v>
      </c>
      <c r="E812" s="563" t="s">
        <v>802</v>
      </c>
      <c r="F812" s="647" t="s">
        <v>241</v>
      </c>
      <c r="G812" s="647" t="s">
        <v>18</v>
      </c>
      <c r="H812" s="647" t="s">
        <v>48</v>
      </c>
      <c r="I812" s="575" t="s">
        <v>1590</v>
      </c>
      <c r="J812" s="575">
        <v>1</v>
      </c>
      <c r="K812" s="647" t="s">
        <v>1419</v>
      </c>
      <c r="L812" s="657">
        <v>44318</v>
      </c>
      <c r="M812" s="678" t="s">
        <v>1589</v>
      </c>
      <c r="N812" s="647" t="s">
        <v>110</v>
      </c>
      <c r="O812" s="575"/>
      <c r="P812" s="665" t="str">
        <f>VLOOKUP(A812,'[1]Raw data'!$B:$BA,23,FALSE)</f>
        <v>RMB</v>
      </c>
      <c r="Q812" s="647" t="str">
        <f>VLOOKUP(A812,'[1]Raw data'!$B:$Z,2,FALSE)</f>
        <v>C49SZX20210055SS</v>
      </c>
      <c r="R812" s="647" t="str">
        <f>VLOOKUP(A812,'[1]Raw data'!$B:$Z,3,FALSE)</f>
        <v>中润互联</v>
      </c>
      <c r="S812" s="647" t="str">
        <f>VLOOKUP(A812,'[1]Raw data'!$B:$Z,4,FALSE)</f>
        <v>YSM10</v>
      </c>
      <c r="T812" s="647" t="str">
        <f>VLOOKUP(A812,'[1]Raw data'!$B:$Z,8,FALSE)</f>
        <v>R-&gt;L</v>
      </c>
      <c r="U812" s="647" t="str">
        <f>VLOOKUP(A812,'[1]Raw data'!$B:$Z,9,FALSE)</f>
        <v>MVC+ATS15</v>
      </c>
      <c r="V812" s="567" t="str">
        <f t="shared" si="137"/>
        <v>WRONG</v>
      </c>
      <c r="W812" s="563" t="str">
        <f>VLOOKUP(A812,'[1]Raw data'!$B:$AG,32,FALSE)</f>
        <v>含税到厂</v>
      </c>
      <c r="X812" s="647">
        <f>VLOOKUP(A812,'[1]Raw data'!$B:$BA,31,FALSE)</f>
        <v>44249</v>
      </c>
      <c r="Y812" s="647" t="str">
        <f>VLOOKUP(A812,'[1]Raw data'!$B:$AS,39,FALSE)</f>
        <v>Yes</v>
      </c>
      <c r="Z812" s="659"/>
      <c r="AA812" s="660"/>
      <c r="AB812" s="661"/>
      <c r="AC812" s="563" t="s">
        <v>936</v>
      </c>
      <c r="AD812" s="662">
        <v>301</v>
      </c>
      <c r="AE812" s="662">
        <v>10</v>
      </c>
      <c r="AF812" s="662"/>
      <c r="AG812" s="662"/>
      <c r="AH812" s="662"/>
      <c r="AI812" s="663"/>
      <c r="AN812" s="542"/>
      <c r="AO812" s="824" t="str">
        <f t="shared" si="122"/>
        <v>Yes</v>
      </c>
      <c r="AP812" s="259" t="str">
        <f t="shared" si="123"/>
        <v>MAY 21</v>
      </c>
      <c r="AQ812" s="542" t="str">
        <f t="shared" si="124"/>
        <v>有定金+有預留客戶</v>
      </c>
      <c r="AR812" s="259" t="str">
        <f t="shared" si="125"/>
        <v>Shipped_Stock</v>
      </c>
      <c r="AS812" s="259" t="str">
        <f t="shared" si="126"/>
        <v/>
      </c>
      <c r="AT812" s="259" t="str">
        <f t="shared" si="127"/>
        <v>中润互联</v>
      </c>
      <c r="AU812" s="259" t="str">
        <f t="shared" si="128"/>
        <v>C49SZX20210055SS</v>
      </c>
      <c r="AV812" s="259" t="str">
        <f t="shared" si="129"/>
        <v>May-02</v>
      </c>
    </row>
    <row r="813" spans="1:48" ht="18" hidden="1" customHeight="1">
      <c r="A813" s="559">
        <v>1342</v>
      </c>
      <c r="B813" s="664" t="s">
        <v>1125</v>
      </c>
      <c r="C813" s="664" t="s">
        <v>281</v>
      </c>
      <c r="D813" s="645">
        <v>110227</v>
      </c>
      <c r="E813" s="563" t="s">
        <v>802</v>
      </c>
      <c r="F813" s="647" t="s">
        <v>241</v>
      </c>
      <c r="G813" s="647" t="s">
        <v>18</v>
      </c>
      <c r="H813" s="647" t="s">
        <v>48</v>
      </c>
      <c r="I813" s="575" t="s">
        <v>1591</v>
      </c>
      <c r="J813" s="575">
        <v>1</v>
      </c>
      <c r="K813" s="647" t="s">
        <v>1419</v>
      </c>
      <c r="L813" s="657">
        <v>44318</v>
      </c>
      <c r="M813" s="678" t="s">
        <v>1592</v>
      </c>
      <c r="N813" s="647" t="s">
        <v>110</v>
      </c>
      <c r="O813" s="575"/>
      <c r="P813" s="665" t="str">
        <f>VLOOKUP(A813,'[1]Raw data'!$B:$BA,23,FALSE)</f>
        <v>JPY</v>
      </c>
      <c r="Q813" s="647" t="str">
        <f>VLOOKUP(A813,'[1]Raw data'!$B:$Z,2,FALSE)</f>
        <v>C49SZX20210117JY</v>
      </c>
      <c r="R813" s="647" t="str">
        <f>VLOOKUP(A813,'[1]Raw data'!$B:$Z,3,FALSE)</f>
        <v>精德鸿</v>
      </c>
      <c r="S813" s="647" t="str">
        <f>VLOOKUP(A813,'[1]Raw data'!$B:$Z,4,FALSE)</f>
        <v>YSM10</v>
      </c>
      <c r="T813" s="647" t="str">
        <f>VLOOKUP(A813,'[1]Raw data'!$B:$Z,8,FALSE)</f>
        <v>L-&gt;R</v>
      </c>
      <c r="U813" s="647" t="str">
        <f>VLOOKUP(A813,'[1]Raw data'!$B:$Z,9,FALSE)</f>
        <v>MVC+ATS15</v>
      </c>
      <c r="V813" s="567" t="str">
        <f t="shared" si="137"/>
        <v>WRONG</v>
      </c>
      <c r="W813" s="563" t="str">
        <f>VLOOKUP(A813,'[1]Raw data'!$B:$AG,32,FALSE)</f>
        <v>DAP SZ</v>
      </c>
      <c r="X813" s="647">
        <f>VLOOKUP(A813,'[1]Raw data'!$B:$BA,31,FALSE)</f>
        <v>44306</v>
      </c>
      <c r="Y813" s="647" t="str">
        <f>VLOOKUP(A813,'[1]Raw data'!$B:$AS,39,FALSE)</f>
        <v>Yes</v>
      </c>
      <c r="Z813" s="659"/>
      <c r="AA813" s="660"/>
      <c r="AB813" s="661"/>
      <c r="AC813" s="647" t="s">
        <v>1389</v>
      </c>
      <c r="AD813" s="662">
        <v>301</v>
      </c>
      <c r="AE813" s="662">
        <v>10</v>
      </c>
      <c r="AF813" s="662"/>
      <c r="AG813" s="662"/>
      <c r="AH813" s="662"/>
      <c r="AI813" s="663"/>
      <c r="AN813" s="542"/>
      <c r="AO813" s="824" t="str">
        <f t="shared" si="122"/>
        <v>Yes</v>
      </c>
      <c r="AP813" s="259" t="str">
        <f t="shared" si="123"/>
        <v>MAY 21</v>
      </c>
      <c r="AQ813" s="542" t="str">
        <f t="shared" si="124"/>
        <v>有定金+有預留客戶</v>
      </c>
      <c r="AR813" s="259" t="str">
        <f t="shared" si="125"/>
        <v>Shipped_Stock</v>
      </c>
      <c r="AS813" s="259" t="str">
        <f t="shared" si="126"/>
        <v/>
      </c>
      <c r="AT813" s="259" t="str">
        <f t="shared" si="127"/>
        <v>精德鸿</v>
      </c>
      <c r="AU813" s="259" t="str">
        <f t="shared" si="128"/>
        <v>C49SZX20210117JY</v>
      </c>
      <c r="AV813" s="259" t="str">
        <f t="shared" si="129"/>
        <v>May-02</v>
      </c>
    </row>
    <row r="814" spans="1:48" hidden="1">
      <c r="A814" s="559">
        <v>1102</v>
      </c>
      <c r="B814" s="664" t="s">
        <v>1125</v>
      </c>
      <c r="C814" s="664" t="s">
        <v>281</v>
      </c>
      <c r="D814" s="645">
        <v>110403</v>
      </c>
      <c r="E814" s="563" t="s">
        <v>886</v>
      </c>
      <c r="F814" s="647" t="s">
        <v>17</v>
      </c>
      <c r="G814" s="647" t="s">
        <v>18</v>
      </c>
      <c r="H814" s="647" t="s">
        <v>26</v>
      </c>
      <c r="I814" s="575" t="s">
        <v>1593</v>
      </c>
      <c r="J814" s="575">
        <v>1</v>
      </c>
      <c r="K814" s="647" t="s">
        <v>81</v>
      </c>
      <c r="L814" s="657">
        <v>44322</v>
      </c>
      <c r="M814" s="665" t="s">
        <v>906</v>
      </c>
      <c r="N814" s="647" t="s">
        <v>110</v>
      </c>
      <c r="O814" s="575"/>
      <c r="P814" s="665" t="str">
        <f>VLOOKUP(A814,'[1]Raw data'!$B:$BA,23,FALSE)</f>
        <v>JPY</v>
      </c>
      <c r="Q814" s="647" t="str">
        <f>VLOOKUP(A814,'[1]Raw data'!$B:$Z,2,FALSE)</f>
        <v>C49SZX20210019JY</v>
      </c>
      <c r="R814" s="647" t="str">
        <f>VLOOKUP(A814,'[1]Raw data'!$B:$Z,3,FALSE)</f>
        <v>晟锦威</v>
      </c>
      <c r="S814" s="647" t="str">
        <f>VLOOKUP(A814,'[1]Raw data'!$B:$Z,4,FALSE)</f>
        <v>YSM10</v>
      </c>
      <c r="T814" s="647" t="str">
        <f>VLOOKUP(A814,'[1]Raw data'!$B:$Z,8,FALSE)</f>
        <v>R-&gt;L</v>
      </c>
      <c r="U814" s="647" t="str">
        <f>VLOOKUP(A814,'[1]Raw data'!$B:$Z,9,FALSE)</f>
        <v>MVC</v>
      </c>
      <c r="V814" s="567" t="str">
        <f t="shared" si="137"/>
        <v>WRONG</v>
      </c>
      <c r="W814" s="563" t="str">
        <f>VLOOKUP(A814,'[1]Raw data'!$B:$AG,32,FALSE)</f>
        <v>DAP SZ</v>
      </c>
      <c r="X814" s="647">
        <f>VLOOKUP(A814,'[1]Raw data'!$B:$BA,31,FALSE)</f>
        <v>44223</v>
      </c>
      <c r="Y814" s="647" t="str">
        <f>VLOOKUP(A814,'[1]Raw data'!$B:$AS,39,FALSE)</f>
        <v>Yes</v>
      </c>
      <c r="Z814" s="659"/>
      <c r="AA814" s="660"/>
      <c r="AB814" s="661"/>
      <c r="AC814" s="647" t="s">
        <v>1594</v>
      </c>
      <c r="AD814" s="662">
        <v>301</v>
      </c>
      <c r="AE814" s="662">
        <v>10</v>
      </c>
      <c r="AF814" s="662"/>
      <c r="AG814" s="662"/>
      <c r="AH814" s="662"/>
      <c r="AI814" s="663"/>
      <c r="AN814" s="542"/>
      <c r="AO814" s="824" t="str">
        <f t="shared" si="122"/>
        <v>Yes</v>
      </c>
      <c r="AP814" s="259" t="str">
        <f t="shared" si="123"/>
        <v>MAY 21</v>
      </c>
      <c r="AQ814" s="542" t="str">
        <f t="shared" si="124"/>
        <v>有定金+有預留客戶</v>
      </c>
      <c r="AR814" s="259" t="str">
        <f t="shared" si="125"/>
        <v>Shipped_Stock</v>
      </c>
      <c r="AS814" s="259" t="str">
        <f t="shared" si="126"/>
        <v/>
      </c>
      <c r="AT814" s="259" t="str">
        <f t="shared" si="127"/>
        <v>晟锦威</v>
      </c>
      <c r="AU814" s="259" t="str">
        <f t="shared" si="128"/>
        <v>C49SZX20210019JY</v>
      </c>
      <c r="AV814" s="259" t="str">
        <f t="shared" si="129"/>
        <v>May-06</v>
      </c>
    </row>
    <row r="815" spans="1:48" hidden="1">
      <c r="A815" s="559">
        <v>1103</v>
      </c>
      <c r="B815" s="664" t="s">
        <v>1125</v>
      </c>
      <c r="C815" s="664" t="s">
        <v>281</v>
      </c>
      <c r="D815" s="645">
        <v>110403</v>
      </c>
      <c r="E815" s="563" t="s">
        <v>886</v>
      </c>
      <c r="F815" s="647" t="s">
        <v>17</v>
      </c>
      <c r="G815" s="647" t="s">
        <v>18</v>
      </c>
      <c r="H815" s="647" t="s">
        <v>26</v>
      </c>
      <c r="I815" s="575" t="s">
        <v>1595</v>
      </c>
      <c r="J815" s="575">
        <v>1</v>
      </c>
      <c r="K815" s="647" t="s">
        <v>81</v>
      </c>
      <c r="L815" s="657">
        <v>44322</v>
      </c>
      <c r="M815" s="665" t="s">
        <v>906</v>
      </c>
      <c r="N815" s="647" t="s">
        <v>110</v>
      </c>
      <c r="O815" s="575"/>
      <c r="P815" s="665" t="str">
        <f>VLOOKUP(A815,'[1]Raw data'!$B:$BA,23,FALSE)</f>
        <v>JPY</v>
      </c>
      <c r="Q815" s="647" t="str">
        <f>VLOOKUP(A815,'[1]Raw data'!$B:$Z,2,FALSE)</f>
        <v>C49SZX20210019JY</v>
      </c>
      <c r="R815" s="647" t="str">
        <f>VLOOKUP(A815,'[1]Raw data'!$B:$Z,3,FALSE)</f>
        <v>晟锦威</v>
      </c>
      <c r="S815" s="647" t="str">
        <f>VLOOKUP(A815,'[1]Raw data'!$B:$Z,4,FALSE)</f>
        <v>YSM10</v>
      </c>
      <c r="T815" s="647" t="str">
        <f>VLOOKUP(A815,'[1]Raw data'!$B:$Z,8,FALSE)</f>
        <v>R-&gt;L</v>
      </c>
      <c r="U815" s="647" t="str">
        <f>VLOOKUP(A815,'[1]Raw data'!$B:$Z,9,FALSE)</f>
        <v>MVC</v>
      </c>
      <c r="V815" s="567" t="str">
        <f t="shared" si="137"/>
        <v>WRONG</v>
      </c>
      <c r="W815" s="563" t="str">
        <f>VLOOKUP(A815,'[1]Raw data'!$B:$AG,32,FALSE)</f>
        <v>DAP SZ</v>
      </c>
      <c r="X815" s="647">
        <f>VLOOKUP(A815,'[1]Raw data'!$B:$BA,31,FALSE)</f>
        <v>44223</v>
      </c>
      <c r="Y815" s="647" t="str">
        <f>VLOOKUP(A815,'[1]Raw data'!$B:$AS,39,FALSE)</f>
        <v>Yes</v>
      </c>
      <c r="Z815" s="659"/>
      <c r="AA815" s="660"/>
      <c r="AB815" s="661"/>
      <c r="AC815" s="647" t="s">
        <v>1594</v>
      </c>
      <c r="AD815" s="662">
        <v>301</v>
      </c>
      <c r="AE815" s="662">
        <v>10</v>
      </c>
      <c r="AF815" s="662"/>
      <c r="AG815" s="662"/>
      <c r="AH815" s="662"/>
      <c r="AI815" s="663"/>
      <c r="AN815" s="542"/>
      <c r="AO815" s="824" t="str">
        <f t="shared" si="122"/>
        <v>Yes</v>
      </c>
      <c r="AP815" s="259" t="str">
        <f t="shared" si="123"/>
        <v>MAY 21</v>
      </c>
      <c r="AQ815" s="542" t="str">
        <f t="shared" si="124"/>
        <v>有定金+有預留客戶</v>
      </c>
      <c r="AR815" s="259" t="str">
        <f t="shared" si="125"/>
        <v>Shipped_Stock</v>
      </c>
      <c r="AS815" s="259" t="str">
        <f t="shared" si="126"/>
        <v/>
      </c>
      <c r="AT815" s="259" t="str">
        <f t="shared" si="127"/>
        <v>晟锦威</v>
      </c>
      <c r="AU815" s="259" t="str">
        <f t="shared" si="128"/>
        <v>C49SZX20210019JY</v>
      </c>
      <c r="AV815" s="259" t="str">
        <f t="shared" si="129"/>
        <v>May-06</v>
      </c>
    </row>
    <row r="816" spans="1:48" hidden="1">
      <c r="A816" s="559">
        <v>1104</v>
      </c>
      <c r="B816" s="664" t="s">
        <v>1125</v>
      </c>
      <c r="C816" s="664" t="s">
        <v>281</v>
      </c>
      <c r="D816" s="645">
        <v>110403</v>
      </c>
      <c r="E816" s="563" t="s">
        <v>886</v>
      </c>
      <c r="F816" s="647" t="s">
        <v>17</v>
      </c>
      <c r="G816" s="647" t="s">
        <v>18</v>
      </c>
      <c r="H816" s="647" t="s">
        <v>26</v>
      </c>
      <c r="I816" s="575" t="s">
        <v>1596</v>
      </c>
      <c r="J816" s="575">
        <v>1</v>
      </c>
      <c r="K816" s="647" t="s">
        <v>81</v>
      </c>
      <c r="L816" s="657">
        <v>44322</v>
      </c>
      <c r="M816" s="665" t="s">
        <v>906</v>
      </c>
      <c r="N816" s="647" t="s">
        <v>110</v>
      </c>
      <c r="O816" s="575"/>
      <c r="P816" s="665" t="str">
        <f>VLOOKUP(A816,'[1]Raw data'!$B:$BA,23,FALSE)</f>
        <v>JPY</v>
      </c>
      <c r="Q816" s="647" t="str">
        <f>VLOOKUP(A816,'[1]Raw data'!$B:$Z,2,FALSE)</f>
        <v>C49SZX20210019JY</v>
      </c>
      <c r="R816" s="647" t="str">
        <f>VLOOKUP(A816,'[1]Raw data'!$B:$Z,3,FALSE)</f>
        <v>晟锦威</v>
      </c>
      <c r="S816" s="647" t="str">
        <f>VLOOKUP(A816,'[1]Raw data'!$B:$Z,4,FALSE)</f>
        <v>YSM10</v>
      </c>
      <c r="T816" s="647" t="str">
        <f>VLOOKUP(A816,'[1]Raw data'!$B:$Z,8,FALSE)</f>
        <v>R-&gt;L</v>
      </c>
      <c r="U816" s="647" t="str">
        <f>VLOOKUP(A816,'[1]Raw data'!$B:$Z,9,FALSE)</f>
        <v>MVC</v>
      </c>
      <c r="V816" s="567" t="str">
        <f t="shared" si="137"/>
        <v>WRONG</v>
      </c>
      <c r="W816" s="563" t="str">
        <f>VLOOKUP(A816,'[1]Raw data'!$B:$AG,32,FALSE)</f>
        <v>DAP SZ</v>
      </c>
      <c r="X816" s="647">
        <f>VLOOKUP(A816,'[1]Raw data'!$B:$BA,31,FALSE)</f>
        <v>44223</v>
      </c>
      <c r="Y816" s="647" t="str">
        <f>VLOOKUP(A816,'[1]Raw data'!$B:$AS,39,FALSE)</f>
        <v>Yes</v>
      </c>
      <c r="Z816" s="659"/>
      <c r="AA816" s="660"/>
      <c r="AB816" s="661"/>
      <c r="AC816" s="647" t="s">
        <v>1594</v>
      </c>
      <c r="AD816" s="662">
        <v>301</v>
      </c>
      <c r="AE816" s="662">
        <v>10</v>
      </c>
      <c r="AF816" s="662"/>
      <c r="AG816" s="662"/>
      <c r="AH816" s="662"/>
      <c r="AI816" s="663"/>
      <c r="AN816" s="542"/>
      <c r="AO816" s="824" t="str">
        <f t="shared" si="122"/>
        <v>Yes</v>
      </c>
      <c r="AP816" s="259" t="str">
        <f t="shared" si="123"/>
        <v>MAY 21</v>
      </c>
      <c r="AQ816" s="542" t="str">
        <f t="shared" si="124"/>
        <v>有定金+有預留客戶</v>
      </c>
      <c r="AR816" s="259" t="str">
        <f t="shared" si="125"/>
        <v>Shipped_Stock</v>
      </c>
      <c r="AS816" s="259" t="str">
        <f t="shared" si="126"/>
        <v/>
      </c>
      <c r="AT816" s="259" t="str">
        <f t="shared" si="127"/>
        <v>晟锦威</v>
      </c>
      <c r="AU816" s="259" t="str">
        <f t="shared" si="128"/>
        <v>C49SZX20210019JY</v>
      </c>
      <c r="AV816" s="259" t="str">
        <f t="shared" si="129"/>
        <v>May-06</v>
      </c>
    </row>
    <row r="817" spans="1:48" hidden="1">
      <c r="A817" s="559">
        <v>1067</v>
      </c>
      <c r="B817" s="664" t="s">
        <v>1125</v>
      </c>
      <c r="C817" s="664" t="s">
        <v>281</v>
      </c>
      <c r="D817" s="645">
        <v>110244</v>
      </c>
      <c r="E817" s="563" t="s">
        <v>886</v>
      </c>
      <c r="F817" s="647" t="s">
        <v>17</v>
      </c>
      <c r="G817" s="647" t="s">
        <v>18</v>
      </c>
      <c r="H817" s="647" t="s">
        <v>27</v>
      </c>
      <c r="I817" s="575" t="s">
        <v>1597</v>
      </c>
      <c r="J817" s="575">
        <v>1</v>
      </c>
      <c r="K817" s="647" t="s">
        <v>81</v>
      </c>
      <c r="L817" s="657">
        <v>44322</v>
      </c>
      <c r="M817" s="665" t="s">
        <v>906</v>
      </c>
      <c r="N817" s="647" t="s">
        <v>110</v>
      </c>
      <c r="O817" s="575"/>
      <c r="P817" s="665" t="str">
        <f>VLOOKUP(A817,'[1]Raw data'!$B:$BA,23,FALSE)</f>
        <v>JPY</v>
      </c>
      <c r="Q817" s="647" t="str">
        <f>VLOOKUP(A817,'[1]Raw data'!$B:$Z,2,FALSE)</f>
        <v>C49SZX20210013SS</v>
      </c>
      <c r="R817" s="647" t="str">
        <f>VLOOKUP(A817,'[1]Raw data'!$B:$Z,3,FALSE)</f>
        <v>泰润</v>
      </c>
      <c r="S817" s="647" t="str">
        <f>VLOOKUP(A817,'[1]Raw data'!$B:$Z,4,FALSE)</f>
        <v>YSM10</v>
      </c>
      <c r="T817" s="647" t="str">
        <f>VLOOKUP(A817,'[1]Raw data'!$B:$Z,8,FALSE)</f>
        <v>L-&gt;R</v>
      </c>
      <c r="U817" s="647" t="str">
        <f>VLOOKUP(A817,'[1]Raw data'!$B:$Z,9,FALSE)</f>
        <v>MVC</v>
      </c>
      <c r="V817" s="567" t="str">
        <f t="shared" ref="V817:V821" si="138">IF(G817&amp;H817=T817&amp;U817,"OK","WRONG")</f>
        <v>WRONG</v>
      </c>
      <c r="W817" s="563" t="str">
        <f>VLOOKUP(A817,'[1]Raw data'!$B:$AG,32,FALSE)</f>
        <v>DAP SZ</v>
      </c>
      <c r="X817" s="647">
        <f>VLOOKUP(A817,'[1]Raw data'!$B:$BA,31,FALSE)</f>
        <v>44208</v>
      </c>
      <c r="Y817" s="647" t="str">
        <f>VLOOKUP(A817,'[1]Raw data'!$B:$AS,39,FALSE)</f>
        <v>Yes</v>
      </c>
      <c r="Z817" s="659"/>
      <c r="AA817" s="660"/>
      <c r="AB817" s="661"/>
      <c r="AC817" s="647" t="s">
        <v>1598</v>
      </c>
      <c r="AD817" s="662">
        <v>311</v>
      </c>
      <c r="AE817" s="662">
        <v>10</v>
      </c>
      <c r="AF817" s="662"/>
      <c r="AG817" s="662"/>
      <c r="AH817" s="662"/>
      <c r="AI817" s="663"/>
      <c r="AN817" s="542"/>
      <c r="AO817" s="824" t="str">
        <f t="shared" si="122"/>
        <v>Yes</v>
      </c>
      <c r="AP817" s="259" t="str">
        <f t="shared" si="123"/>
        <v>MAY 21</v>
      </c>
      <c r="AQ817" s="542" t="str">
        <f t="shared" si="124"/>
        <v>有定金+有預留客戶</v>
      </c>
      <c r="AR817" s="259" t="str">
        <f t="shared" si="125"/>
        <v>Shipped_Stock</v>
      </c>
      <c r="AS817" s="259" t="str">
        <f t="shared" si="126"/>
        <v/>
      </c>
      <c r="AT817" s="259" t="str">
        <f t="shared" si="127"/>
        <v>泰润</v>
      </c>
      <c r="AU817" s="259" t="str">
        <f t="shared" si="128"/>
        <v>C49SZX20210013SS</v>
      </c>
      <c r="AV817" s="259" t="str">
        <f t="shared" si="129"/>
        <v>May-06</v>
      </c>
    </row>
    <row r="818" spans="1:48" hidden="1">
      <c r="A818" s="559">
        <v>1108</v>
      </c>
      <c r="B818" s="664" t="s">
        <v>1125</v>
      </c>
      <c r="C818" s="664" t="s">
        <v>281</v>
      </c>
      <c r="D818" s="645">
        <v>110244</v>
      </c>
      <c r="E818" s="563" t="s">
        <v>886</v>
      </c>
      <c r="F818" s="647" t="s">
        <v>17</v>
      </c>
      <c r="G818" s="647" t="s">
        <v>18</v>
      </c>
      <c r="H818" s="647" t="s">
        <v>27</v>
      </c>
      <c r="I818" s="575" t="s">
        <v>1599</v>
      </c>
      <c r="J818" s="575">
        <v>1</v>
      </c>
      <c r="K818" s="647" t="s">
        <v>85</v>
      </c>
      <c r="L818" s="657">
        <v>44322</v>
      </c>
      <c r="M818" s="665" t="s">
        <v>906</v>
      </c>
      <c r="N818" s="647" t="s">
        <v>110</v>
      </c>
      <c r="O818" s="575"/>
      <c r="P818" s="665" t="str">
        <f>VLOOKUP(A818,'[1]Raw data'!$B:$BA,23,FALSE)</f>
        <v>JPY</v>
      </c>
      <c r="Q818" s="647" t="str">
        <f>VLOOKUP(A818,'[1]Raw data'!$B:$Z,2,FALSE)</f>
        <v>C49SZX20210030SX</v>
      </c>
      <c r="R818" s="647" t="str">
        <f>VLOOKUP(A818,'[1]Raw data'!$B:$Z,3,FALSE)</f>
        <v>华汛</v>
      </c>
      <c r="S818" s="647" t="str">
        <f>VLOOKUP(A818,'[1]Raw data'!$B:$Z,4,FALSE)</f>
        <v>YSM10</v>
      </c>
      <c r="T818" s="647" t="str">
        <f>VLOOKUP(A818,'[1]Raw data'!$B:$Z,8,FALSE)</f>
        <v>L-&gt;R</v>
      </c>
      <c r="U818" s="647" t="str">
        <f>VLOOKUP(A818,'[1]Raw data'!$B:$Z,9,FALSE)</f>
        <v>MVC</v>
      </c>
      <c r="V818" s="567" t="str">
        <f t="shared" si="138"/>
        <v>WRONG</v>
      </c>
      <c r="W818" s="563" t="str">
        <f>VLOOKUP(A818,'[1]Raw data'!$B:$AG,32,FALSE)</f>
        <v>DAP SZ</v>
      </c>
      <c r="X818" s="647">
        <f>VLOOKUP(A818,'[1]Raw data'!$B:$BA,31,FALSE)</f>
        <v>44222</v>
      </c>
      <c r="Y818" s="647" t="str">
        <f>VLOOKUP(A818,'[1]Raw data'!$B:$AS,39,FALSE)</f>
        <v>Yes</v>
      </c>
      <c r="Z818" s="659"/>
      <c r="AA818" s="660"/>
      <c r="AB818" s="661"/>
      <c r="AC818" s="563" t="s">
        <v>807</v>
      </c>
      <c r="AD818" s="662">
        <v>311</v>
      </c>
      <c r="AE818" s="662">
        <v>10</v>
      </c>
      <c r="AF818" s="662"/>
      <c r="AG818" s="662"/>
      <c r="AH818" s="662"/>
      <c r="AI818" s="663"/>
      <c r="AN818" s="542"/>
      <c r="AO818" s="824" t="str">
        <f t="shared" si="122"/>
        <v>Yes</v>
      </c>
      <c r="AP818" s="259" t="str">
        <f t="shared" si="123"/>
        <v>MAY 21</v>
      </c>
      <c r="AQ818" s="542" t="str">
        <f t="shared" si="124"/>
        <v>有定金+有預留客戶</v>
      </c>
      <c r="AR818" s="259" t="str">
        <f t="shared" si="125"/>
        <v>Shipped_Stock</v>
      </c>
      <c r="AS818" s="259" t="str">
        <f t="shared" si="126"/>
        <v/>
      </c>
      <c r="AT818" s="259" t="str">
        <f t="shared" si="127"/>
        <v>华汛</v>
      </c>
      <c r="AU818" s="259" t="str">
        <f t="shared" si="128"/>
        <v>C49SZX20210030SX</v>
      </c>
      <c r="AV818" s="259" t="str">
        <f t="shared" si="129"/>
        <v>May-06</v>
      </c>
    </row>
    <row r="819" spans="1:48" hidden="1">
      <c r="A819" s="559">
        <v>1361</v>
      </c>
      <c r="B819" s="664" t="s">
        <v>1125</v>
      </c>
      <c r="C819" s="664" t="s">
        <v>281</v>
      </c>
      <c r="D819" s="645">
        <v>110244</v>
      </c>
      <c r="E819" s="563" t="s">
        <v>886</v>
      </c>
      <c r="F819" s="647" t="s">
        <v>17</v>
      </c>
      <c r="G819" s="647" t="s">
        <v>18</v>
      </c>
      <c r="H819" s="647" t="s">
        <v>26</v>
      </c>
      <c r="I819" s="575" t="s">
        <v>1600</v>
      </c>
      <c r="J819" s="575">
        <v>1</v>
      </c>
      <c r="K819" s="647" t="s">
        <v>81</v>
      </c>
      <c r="L819" s="657">
        <v>44322</v>
      </c>
      <c r="M819" s="665" t="s">
        <v>906</v>
      </c>
      <c r="N819" s="647" t="s">
        <v>110</v>
      </c>
      <c r="O819" s="575"/>
      <c r="P819" s="665" t="str">
        <f>VLOOKUP(A819,'[1]Raw data'!$B:$BA,23,FALSE)</f>
        <v>JPY</v>
      </c>
      <c r="Q819" s="647" t="str">
        <f>VLOOKUP(A819,'[1]Raw data'!$B:$Z,2,FALSE)</f>
        <v>C49SZX20210136DZ</v>
      </c>
      <c r="R819" s="647" t="str">
        <f>VLOOKUP(A819,'[1]Raw data'!$B:$Z,3,FALSE)</f>
        <v>兆晖</v>
      </c>
      <c r="S819" s="647" t="str">
        <f>VLOOKUP(A819,'[1]Raw data'!$B:$Z,4,FALSE)</f>
        <v>YSM10</v>
      </c>
      <c r="T819" s="647" t="str">
        <f>VLOOKUP(A819,'[1]Raw data'!$B:$Z,8,FALSE)</f>
        <v>L-&gt;R</v>
      </c>
      <c r="U819" s="647" t="str">
        <f>VLOOKUP(A819,'[1]Raw data'!$B:$Z,9,FALSE)</f>
        <v>MVC</v>
      </c>
      <c r="V819" s="567" t="str">
        <f t="shared" si="138"/>
        <v>WRONG</v>
      </c>
      <c r="W819" s="563" t="str">
        <f>VLOOKUP(A819,'[1]Raw data'!$B:$AG,32,FALSE)</f>
        <v>DAP SZ</v>
      </c>
      <c r="X819" s="647">
        <f>VLOOKUP(A819,'[1]Raw data'!$B:$BA,31,FALSE)</f>
        <v>44316</v>
      </c>
      <c r="Y819" s="647" t="str">
        <f>VLOOKUP(A819,'[1]Raw data'!$B:$AS,39,FALSE)</f>
        <v>Yes</v>
      </c>
      <c r="Z819" s="659"/>
      <c r="AA819" s="660"/>
      <c r="AB819" s="661"/>
      <c r="AC819" s="647" t="s">
        <v>1023</v>
      </c>
      <c r="AD819" s="662">
        <v>301</v>
      </c>
      <c r="AE819" s="662">
        <v>10</v>
      </c>
      <c r="AF819" s="662"/>
      <c r="AG819" s="662"/>
      <c r="AH819" s="662"/>
      <c r="AI819" s="663"/>
      <c r="AN819" s="542"/>
      <c r="AO819" s="824" t="str">
        <f t="shared" si="122"/>
        <v>Yes</v>
      </c>
      <c r="AP819" s="259" t="str">
        <f t="shared" si="123"/>
        <v>MAY 21</v>
      </c>
      <c r="AQ819" s="542" t="str">
        <f t="shared" si="124"/>
        <v>有定金+有預留客戶</v>
      </c>
      <c r="AR819" s="259" t="str">
        <f t="shared" si="125"/>
        <v>Shipped_Stock</v>
      </c>
      <c r="AS819" s="259" t="str">
        <f t="shared" si="126"/>
        <v/>
      </c>
      <c r="AT819" s="259" t="str">
        <f t="shared" si="127"/>
        <v>兆晖</v>
      </c>
      <c r="AU819" s="259" t="str">
        <f t="shared" si="128"/>
        <v>C49SZX20210136DZ</v>
      </c>
      <c r="AV819" s="259" t="str">
        <f t="shared" si="129"/>
        <v>May-06</v>
      </c>
    </row>
    <row r="820" spans="1:48" hidden="1">
      <c r="A820" s="559">
        <v>1362</v>
      </c>
      <c r="B820" s="664" t="s">
        <v>1125</v>
      </c>
      <c r="C820" s="664" t="s">
        <v>281</v>
      </c>
      <c r="D820" s="645">
        <v>110244</v>
      </c>
      <c r="E820" s="563" t="s">
        <v>886</v>
      </c>
      <c r="F820" s="647" t="s">
        <v>17</v>
      </c>
      <c r="G820" s="647" t="s">
        <v>18</v>
      </c>
      <c r="H820" s="647" t="s">
        <v>26</v>
      </c>
      <c r="I820" s="575" t="s">
        <v>1601</v>
      </c>
      <c r="J820" s="575">
        <v>1</v>
      </c>
      <c r="K820" s="647" t="s">
        <v>81</v>
      </c>
      <c r="L820" s="657">
        <v>44322</v>
      </c>
      <c r="M820" s="665" t="s">
        <v>906</v>
      </c>
      <c r="N820" s="647" t="s">
        <v>110</v>
      </c>
      <c r="O820" s="575"/>
      <c r="P820" s="665" t="str">
        <f>VLOOKUP(A820,'[1]Raw data'!$B:$BA,23,FALSE)</f>
        <v>JPY</v>
      </c>
      <c r="Q820" s="647" t="str">
        <f>VLOOKUP(A820,'[1]Raw data'!$B:$Z,2,FALSE)</f>
        <v>C49SZX20210136DZ</v>
      </c>
      <c r="R820" s="647" t="str">
        <f>VLOOKUP(A820,'[1]Raw data'!$B:$Z,3,FALSE)</f>
        <v>兆晖</v>
      </c>
      <c r="S820" s="647" t="str">
        <f>VLOOKUP(A820,'[1]Raw data'!$B:$Z,4,FALSE)</f>
        <v>YSM10</v>
      </c>
      <c r="T820" s="647" t="str">
        <f>VLOOKUP(A820,'[1]Raw data'!$B:$Z,8,FALSE)</f>
        <v>L-&gt;R</v>
      </c>
      <c r="U820" s="647" t="str">
        <f>VLOOKUP(A820,'[1]Raw data'!$B:$Z,9,FALSE)</f>
        <v>MVC</v>
      </c>
      <c r="V820" s="567" t="str">
        <f t="shared" si="138"/>
        <v>WRONG</v>
      </c>
      <c r="W820" s="563" t="str">
        <f>VLOOKUP(A820,'[1]Raw data'!$B:$AG,32,FALSE)</f>
        <v>DAP SZ</v>
      </c>
      <c r="X820" s="647">
        <f>VLOOKUP(A820,'[1]Raw data'!$B:$BA,31,FALSE)</f>
        <v>44316</v>
      </c>
      <c r="Y820" s="647" t="str">
        <f>VLOOKUP(A820,'[1]Raw data'!$B:$AS,39,FALSE)</f>
        <v>Yes</v>
      </c>
      <c r="Z820" s="659"/>
      <c r="AA820" s="660"/>
      <c r="AB820" s="661"/>
      <c r="AC820" s="647" t="s">
        <v>1023</v>
      </c>
      <c r="AD820" s="662">
        <v>301</v>
      </c>
      <c r="AE820" s="662">
        <v>10</v>
      </c>
      <c r="AF820" s="662"/>
      <c r="AG820" s="662"/>
      <c r="AH820" s="662"/>
      <c r="AI820" s="663"/>
      <c r="AN820" s="542"/>
      <c r="AO820" s="824" t="str">
        <f t="shared" si="122"/>
        <v>Yes</v>
      </c>
      <c r="AP820" s="259" t="str">
        <f t="shared" si="123"/>
        <v>MAY 21</v>
      </c>
      <c r="AQ820" s="542" t="str">
        <f t="shared" si="124"/>
        <v>有定金+有預留客戶</v>
      </c>
      <c r="AR820" s="259" t="str">
        <f t="shared" si="125"/>
        <v>Shipped_Stock</v>
      </c>
      <c r="AS820" s="259" t="str">
        <f t="shared" si="126"/>
        <v/>
      </c>
      <c r="AT820" s="259" t="str">
        <f t="shared" si="127"/>
        <v>兆晖</v>
      </c>
      <c r="AU820" s="259" t="str">
        <f t="shared" si="128"/>
        <v>C49SZX20210136DZ</v>
      </c>
      <c r="AV820" s="259" t="str">
        <f t="shared" si="129"/>
        <v>May-06</v>
      </c>
    </row>
    <row r="821" spans="1:48" hidden="1">
      <c r="A821" s="559">
        <v>1352</v>
      </c>
      <c r="B821" s="664" t="s">
        <v>1125</v>
      </c>
      <c r="C821" s="664" t="s">
        <v>281</v>
      </c>
      <c r="D821" s="645">
        <v>110244</v>
      </c>
      <c r="E821" s="563" t="s">
        <v>886</v>
      </c>
      <c r="F821" s="647" t="s">
        <v>17</v>
      </c>
      <c r="G821" s="647" t="s">
        <v>18</v>
      </c>
      <c r="H821" s="647" t="s">
        <v>26</v>
      </c>
      <c r="I821" s="575" t="s">
        <v>1602</v>
      </c>
      <c r="J821" s="575">
        <v>1</v>
      </c>
      <c r="K821" s="647" t="s">
        <v>85</v>
      </c>
      <c r="L821" s="657">
        <v>44322</v>
      </c>
      <c r="M821" s="665" t="s">
        <v>906</v>
      </c>
      <c r="N821" s="647" t="s">
        <v>96</v>
      </c>
      <c r="O821" s="575"/>
      <c r="P821" s="665" t="str">
        <f>VLOOKUP(A821,'[1]Raw data'!$B:$BA,23,FALSE)</f>
        <v>JPY</v>
      </c>
      <c r="Q821" s="647" t="str">
        <f>VLOOKUP(A821,'[1]Raw data'!$B:$Z,2,FALSE)</f>
        <v>C49SZX20210123JY</v>
      </c>
      <c r="R821" s="647" t="str">
        <f>VLOOKUP(A821,'[1]Raw data'!$B:$Z,3,FALSE)</f>
        <v>四方信达</v>
      </c>
      <c r="S821" s="647" t="str">
        <f>VLOOKUP(A821,'[1]Raw data'!$B:$Z,4,FALSE)</f>
        <v>YSM10</v>
      </c>
      <c r="T821" s="647" t="str">
        <f>VLOOKUP(A821,'[1]Raw data'!$B:$Z,8,FALSE)</f>
        <v>L-&gt;R</v>
      </c>
      <c r="U821" s="647" t="str">
        <f>VLOOKUP(A821,'[1]Raw data'!$B:$Z,9,FALSE)</f>
        <v>MVC</v>
      </c>
      <c r="V821" s="567" t="str">
        <f t="shared" si="138"/>
        <v>WRONG</v>
      </c>
      <c r="W821" s="563" t="str">
        <f>VLOOKUP(A821,'[1]Raw data'!$B:$AG,32,FALSE)</f>
        <v>DAP SZ</v>
      </c>
      <c r="X821" s="647">
        <f>VLOOKUP(A821,'[1]Raw data'!$B:$BA,31,FALSE)</f>
        <v>44313</v>
      </c>
      <c r="Y821" s="647" t="str">
        <f>VLOOKUP(A821,'[1]Raw data'!$B:$AS,39,FALSE)</f>
        <v>Yes</v>
      </c>
      <c r="Z821" s="659"/>
      <c r="AA821" s="660"/>
      <c r="AB821" s="661"/>
      <c r="AC821" s="647" t="s">
        <v>1603</v>
      </c>
      <c r="AD821" s="662">
        <v>301</v>
      </c>
      <c r="AE821" s="662">
        <v>10</v>
      </c>
      <c r="AF821" s="662"/>
      <c r="AG821" s="662"/>
      <c r="AH821" s="662"/>
      <c r="AI821" s="663"/>
      <c r="AN821" s="542"/>
      <c r="AO821" s="824" t="str">
        <f t="shared" si="122"/>
        <v>Yes</v>
      </c>
      <c r="AP821" s="259" t="str">
        <f t="shared" si="123"/>
        <v>JUN 21</v>
      </c>
      <c r="AQ821" s="542" t="str">
        <f t="shared" si="124"/>
        <v>有定金+有預留客戶</v>
      </c>
      <c r="AR821" s="259" t="str">
        <f t="shared" si="125"/>
        <v>Shipped_Stock</v>
      </c>
      <c r="AS821" s="259" t="str">
        <f t="shared" si="126"/>
        <v/>
      </c>
      <c r="AT821" s="259" t="str">
        <f t="shared" si="127"/>
        <v>四方信达</v>
      </c>
      <c r="AU821" s="259" t="str">
        <f t="shared" si="128"/>
        <v>C49SZX20210123JY</v>
      </c>
      <c r="AV821" s="259" t="str">
        <f t="shared" si="129"/>
        <v>May-06</v>
      </c>
    </row>
    <row r="822" spans="1:48" hidden="1">
      <c r="A822" s="559">
        <v>1138</v>
      </c>
      <c r="B822" s="664" t="s">
        <v>1125</v>
      </c>
      <c r="C822" s="664" t="s">
        <v>281</v>
      </c>
      <c r="D822" s="645" t="s">
        <v>1604</v>
      </c>
      <c r="E822" s="563" t="s">
        <v>802</v>
      </c>
      <c r="F822" s="647" t="s">
        <v>58</v>
      </c>
      <c r="G822" s="647" t="s">
        <v>18</v>
      </c>
      <c r="H822" s="647" t="s">
        <v>27</v>
      </c>
      <c r="I822" s="575" t="s">
        <v>1605</v>
      </c>
      <c r="J822" s="575">
        <v>1</v>
      </c>
      <c r="K822" s="647" t="s">
        <v>81</v>
      </c>
      <c r="L822" s="657">
        <v>44322</v>
      </c>
      <c r="M822" s="665">
        <v>6.2300000000000001E-2</v>
      </c>
      <c r="N822" s="647" t="s">
        <v>110</v>
      </c>
      <c r="O822" s="575"/>
      <c r="P822" s="665" t="str">
        <f>VLOOKUP(A822,'[1]Raw data'!$B:$BA,23,FALSE)</f>
        <v>JPY</v>
      </c>
      <c r="Q822" s="647" t="str">
        <f>VLOOKUP(A822,'[1]Raw data'!$B:$Z,2,FALSE)</f>
        <v>C49SZX20210016JY</v>
      </c>
      <c r="R822" s="647" t="str">
        <f>VLOOKUP(A822,'[1]Raw data'!$B:$Z,3,FALSE)</f>
        <v>芯联鑫</v>
      </c>
      <c r="S822" s="647" t="str">
        <f>VLOOKUP(A822,'[1]Raw data'!$B:$Z,4,FALSE)</f>
        <v>YSM20R-2</v>
      </c>
      <c r="T822" s="647" t="str">
        <f>VLOOKUP(A822,'[1]Raw data'!$B:$Z,8,FALSE)</f>
        <v>R-&gt;L</v>
      </c>
      <c r="U822" s="647" t="str">
        <f>VLOOKUP(A822,'[1]Raw data'!$B:$Z,9,FALSE)</f>
        <v>MVC</v>
      </c>
      <c r="V822" s="567" t="str">
        <f t="shared" ref="V822:V836" si="139">IF(G822&amp;H822=T822&amp;U822,"OK","WRONG")</f>
        <v>OK</v>
      </c>
      <c r="W822" s="563" t="str">
        <f>VLOOKUP(A822,'[1]Raw data'!$B:$AG,32,FALSE)</f>
        <v>DAP GZ</v>
      </c>
      <c r="X822" s="647">
        <f>VLOOKUP(A822,'[1]Raw data'!$B:$BA,31,FALSE)</f>
        <v>44232</v>
      </c>
      <c r="Y822" s="647" t="str">
        <f>VLOOKUP(A822,'[1]Raw data'!$B:$AS,39,FALSE)</f>
        <v>Yes</v>
      </c>
      <c r="Z822" s="659"/>
      <c r="AA822" s="660"/>
      <c r="AB822" s="661"/>
      <c r="AC822" s="647" t="s">
        <v>1088</v>
      </c>
      <c r="AD822" s="662">
        <v>301</v>
      </c>
      <c r="AE822" s="662">
        <v>20</v>
      </c>
      <c r="AF822" s="662"/>
      <c r="AG822" s="662"/>
      <c r="AH822" s="662"/>
      <c r="AI822" s="663"/>
      <c r="AN822" s="542"/>
      <c r="AO822" s="824" t="str">
        <f t="shared" si="122"/>
        <v>Yes</v>
      </c>
      <c r="AP822" s="259" t="str">
        <f t="shared" si="123"/>
        <v>MAY 21</v>
      </c>
      <c r="AQ822" s="542" t="str">
        <f t="shared" si="124"/>
        <v>有定金+有預留客戶</v>
      </c>
      <c r="AR822" s="259" t="str">
        <f t="shared" si="125"/>
        <v>Shipped_Stock</v>
      </c>
      <c r="AS822" s="259" t="str">
        <f t="shared" si="126"/>
        <v/>
      </c>
      <c r="AT822" s="259" t="str">
        <f t="shared" si="127"/>
        <v>芯联鑫</v>
      </c>
      <c r="AU822" s="259" t="str">
        <f t="shared" si="128"/>
        <v>C49SZX20210016JY</v>
      </c>
      <c r="AV822" s="259" t="str">
        <f t="shared" si="129"/>
        <v>May-06</v>
      </c>
    </row>
    <row r="823" spans="1:48" hidden="1">
      <c r="A823" s="559">
        <v>1150</v>
      </c>
      <c r="B823" s="664" t="s">
        <v>1125</v>
      </c>
      <c r="C823" s="664" t="s">
        <v>281</v>
      </c>
      <c r="D823" s="645" t="s">
        <v>1604</v>
      </c>
      <c r="E823" s="563" t="s">
        <v>802</v>
      </c>
      <c r="F823" s="647" t="s">
        <v>58</v>
      </c>
      <c r="G823" s="647" t="s">
        <v>18</v>
      </c>
      <c r="H823" s="647" t="s">
        <v>27</v>
      </c>
      <c r="I823" s="575" t="s">
        <v>1606</v>
      </c>
      <c r="J823" s="575">
        <v>1</v>
      </c>
      <c r="K823" s="647" t="s">
        <v>81</v>
      </c>
      <c r="L823" s="657">
        <v>44322</v>
      </c>
      <c r="M823" s="665">
        <v>6.2300000000000001E-2</v>
      </c>
      <c r="N823" s="647" t="s">
        <v>110</v>
      </c>
      <c r="O823" s="575"/>
      <c r="P823" s="665" t="str">
        <f>VLOOKUP(A823,'[1]Raw data'!$B:$BA,23,FALSE)</f>
        <v>RMB</v>
      </c>
      <c r="Q823" s="647" t="str">
        <f>VLOOKUP(A823,'[1]Raw data'!$B:$Z,2,FALSE)</f>
        <v>C49SZX20210055SS</v>
      </c>
      <c r="R823" s="647" t="str">
        <f>VLOOKUP(A823,'[1]Raw data'!$B:$Z,3,FALSE)</f>
        <v>中润互联</v>
      </c>
      <c r="S823" s="647" t="str">
        <f>VLOOKUP(A823,'[1]Raw data'!$B:$Z,4,FALSE)</f>
        <v>YSM20R-2</v>
      </c>
      <c r="T823" s="647" t="str">
        <f>VLOOKUP(A823,'[1]Raw data'!$B:$Z,8,FALSE)</f>
        <v>R-&gt;L</v>
      </c>
      <c r="U823" s="647" t="str">
        <f>VLOOKUP(A823,'[1]Raw data'!$B:$Z,9,FALSE)</f>
        <v>No</v>
      </c>
      <c r="V823" s="567" t="str">
        <f t="shared" si="139"/>
        <v>WRONG</v>
      </c>
      <c r="W823" s="563" t="str">
        <f>VLOOKUP(A823,'[1]Raw data'!$B:$AG,32,FALSE)</f>
        <v>含税到厂</v>
      </c>
      <c r="X823" s="647">
        <f>VLOOKUP(A823,'[1]Raw data'!$B:$BA,31,FALSE)</f>
        <v>44249</v>
      </c>
      <c r="Y823" s="647" t="str">
        <f>VLOOKUP(A823,'[1]Raw data'!$B:$AS,39,FALSE)</f>
        <v>Yes</v>
      </c>
      <c r="Z823" s="659"/>
      <c r="AA823" s="660"/>
      <c r="AB823" s="661"/>
      <c r="AC823" s="563" t="s">
        <v>936</v>
      </c>
      <c r="AD823" s="662">
        <v>301</v>
      </c>
      <c r="AE823" s="662">
        <v>20</v>
      </c>
      <c r="AF823" s="662"/>
      <c r="AG823" s="662"/>
      <c r="AH823" s="662"/>
      <c r="AI823" s="663"/>
      <c r="AN823" s="542"/>
      <c r="AO823" s="824" t="str">
        <f t="shared" si="122"/>
        <v>Yes</v>
      </c>
      <c r="AP823" s="259" t="str">
        <f t="shared" si="123"/>
        <v>MAY 21</v>
      </c>
      <c r="AQ823" s="542" t="str">
        <f t="shared" si="124"/>
        <v>有定金+有預留客戶</v>
      </c>
      <c r="AR823" s="259" t="str">
        <f t="shared" si="125"/>
        <v>Shipped_Stock</v>
      </c>
      <c r="AS823" s="259" t="str">
        <f t="shared" si="126"/>
        <v/>
      </c>
      <c r="AT823" s="259" t="str">
        <f t="shared" si="127"/>
        <v>中润互联</v>
      </c>
      <c r="AU823" s="259" t="str">
        <f t="shared" si="128"/>
        <v>C49SZX20210055SS</v>
      </c>
      <c r="AV823" s="259" t="str">
        <f t="shared" si="129"/>
        <v>May-06</v>
      </c>
    </row>
    <row r="824" spans="1:48" hidden="1">
      <c r="A824" s="559">
        <v>1068</v>
      </c>
      <c r="B824" s="664" t="s">
        <v>1125</v>
      </c>
      <c r="C824" s="664" t="s">
        <v>281</v>
      </c>
      <c r="D824" s="645" t="s">
        <v>1604</v>
      </c>
      <c r="E824" s="563" t="s">
        <v>802</v>
      </c>
      <c r="F824" s="647" t="s">
        <v>58</v>
      </c>
      <c r="G824" s="647" t="s">
        <v>24</v>
      </c>
      <c r="H824" s="647" t="s">
        <v>307</v>
      </c>
      <c r="I824" s="575" t="s">
        <v>1607</v>
      </c>
      <c r="J824" s="575">
        <v>1</v>
      </c>
      <c r="K824" s="647" t="s">
        <v>81</v>
      </c>
      <c r="L824" s="657">
        <v>44322</v>
      </c>
      <c r="M824" s="665">
        <v>6.2300000000000001E-2</v>
      </c>
      <c r="N824" s="647" t="s">
        <v>110</v>
      </c>
      <c r="O824" s="575"/>
      <c r="P824" s="665" t="str">
        <f>VLOOKUP(A824,'[1]Raw data'!$B:$BA,23,FALSE)</f>
        <v>JPY</v>
      </c>
      <c r="Q824" s="647" t="str">
        <f>VLOOKUP(A824,'[1]Raw data'!$B:$Z,2,FALSE)</f>
        <v>C49SZX20210013SS</v>
      </c>
      <c r="R824" s="647" t="str">
        <f>VLOOKUP(A824,'[1]Raw data'!$B:$Z,3,FALSE)</f>
        <v>泰润</v>
      </c>
      <c r="S824" s="647" t="str">
        <f>VLOOKUP(A824,'[1]Raw data'!$B:$Z,4,FALSE)</f>
        <v>YSM20R-2</v>
      </c>
      <c r="T824" s="647" t="str">
        <f>VLOOKUP(A824,'[1]Raw data'!$B:$Z,8,FALSE)</f>
        <v>L-&gt;R</v>
      </c>
      <c r="U824" s="647" t="str">
        <f>VLOOKUP(A824,'[1]Raw data'!$B:$Z,9,FALSE)</f>
        <v>MVC</v>
      </c>
      <c r="V824" s="567" t="str">
        <f t="shared" si="139"/>
        <v>WRONG</v>
      </c>
      <c r="W824" s="563" t="str">
        <f>VLOOKUP(A824,'[1]Raw data'!$B:$AG,32,FALSE)</f>
        <v>DAP SZ</v>
      </c>
      <c r="X824" s="647">
        <f>VLOOKUP(A824,'[1]Raw data'!$B:$BA,31,FALSE)</f>
        <v>44208</v>
      </c>
      <c r="Y824" s="647" t="str">
        <f>VLOOKUP(A824,'[1]Raw data'!$B:$AS,39,FALSE)</f>
        <v>Yes</v>
      </c>
      <c r="Z824" s="659"/>
      <c r="AA824" s="660"/>
      <c r="AB824" s="661"/>
      <c r="AC824" s="647" t="s">
        <v>1598</v>
      </c>
      <c r="AD824" s="662">
        <v>301</v>
      </c>
      <c r="AE824" s="662">
        <v>20</v>
      </c>
      <c r="AF824" s="662"/>
      <c r="AG824" s="662"/>
      <c r="AH824" s="662"/>
      <c r="AI824" s="663"/>
      <c r="AN824" s="542"/>
      <c r="AO824" s="824" t="str">
        <f t="shared" si="122"/>
        <v>Yes</v>
      </c>
      <c r="AP824" s="259" t="str">
        <f t="shared" si="123"/>
        <v>MAY 21</v>
      </c>
      <c r="AQ824" s="542" t="str">
        <f t="shared" si="124"/>
        <v>有定金+有預留客戶</v>
      </c>
      <c r="AR824" s="259" t="str">
        <f t="shared" si="125"/>
        <v>Shipped_Stock</v>
      </c>
      <c r="AS824" s="259" t="str">
        <f t="shared" si="126"/>
        <v/>
      </c>
      <c r="AT824" s="259" t="str">
        <f t="shared" si="127"/>
        <v>泰润</v>
      </c>
      <c r="AU824" s="259" t="str">
        <f t="shared" si="128"/>
        <v>C49SZX20210013SS</v>
      </c>
      <c r="AV824" s="259" t="str">
        <f t="shared" si="129"/>
        <v>May-06</v>
      </c>
    </row>
    <row r="825" spans="1:48" hidden="1">
      <c r="A825" s="559">
        <v>1238</v>
      </c>
      <c r="B825" s="664" t="s">
        <v>1125</v>
      </c>
      <c r="C825" s="664" t="s">
        <v>281</v>
      </c>
      <c r="D825" s="645" t="s">
        <v>1604</v>
      </c>
      <c r="E825" s="563" t="s">
        <v>802</v>
      </c>
      <c r="F825" s="647" t="s">
        <v>58</v>
      </c>
      <c r="G825" s="647" t="s">
        <v>24</v>
      </c>
      <c r="H825" s="647" t="s">
        <v>307</v>
      </c>
      <c r="I825" s="745" t="s">
        <v>1608</v>
      </c>
      <c r="J825" s="575">
        <v>1</v>
      </c>
      <c r="K825" s="647" t="s">
        <v>81</v>
      </c>
      <c r="L825" s="657">
        <v>44322</v>
      </c>
      <c r="M825" s="665">
        <v>6.2300000000000001E-2</v>
      </c>
      <c r="N825" s="647" t="s">
        <v>96</v>
      </c>
      <c r="O825" s="575"/>
      <c r="P825" s="665" t="str">
        <f>VLOOKUP(A825,'[1]Raw data'!$B:$BA,23,FALSE)</f>
        <v>JPY</v>
      </c>
      <c r="Q825" s="647" t="str">
        <f>VLOOKUP(A825,'[1]Raw data'!$B:$Z,2,FALSE)</f>
        <v>C49SZX20210035SX</v>
      </c>
      <c r="R825" s="647" t="str">
        <f>VLOOKUP(A825,'[1]Raw data'!$B:$Z,3,FALSE)</f>
        <v>巴科</v>
      </c>
      <c r="S825" s="647" t="str">
        <f>VLOOKUP(A825,'[1]Raw data'!$B:$Z,4,FALSE)</f>
        <v>YSM20R-2</v>
      </c>
      <c r="T825" s="647" t="str">
        <f>VLOOKUP(A825,'[1]Raw data'!$B:$Z,8,FALSE)</f>
        <v>L-&gt;R</v>
      </c>
      <c r="U825" s="647" t="str">
        <f>VLOOKUP(A825,'[1]Raw data'!$B:$Z,9,FALSE)</f>
        <v>No</v>
      </c>
      <c r="V825" s="567" t="str">
        <f t="shared" si="139"/>
        <v>OK</v>
      </c>
      <c r="W825" s="563" t="str">
        <f>VLOOKUP(A825,'[1]Raw data'!$B:$AG,32,FALSE)</f>
        <v>CIF HK</v>
      </c>
      <c r="X825" s="647">
        <f>VLOOKUP(A825,'[1]Raw data'!$B:$BA,31,FALSE)</f>
        <v>44264</v>
      </c>
      <c r="Y825" s="647" t="str">
        <f>VLOOKUP(A825,'[1]Raw data'!$B:$AS,39,FALSE)</f>
        <v>Yes</v>
      </c>
      <c r="Z825" s="659"/>
      <c r="AA825" s="660"/>
      <c r="AB825" s="661"/>
      <c r="AC825" s="647" t="s">
        <v>1609</v>
      </c>
      <c r="AD825" s="662">
        <v>301</v>
      </c>
      <c r="AE825" s="662">
        <v>20</v>
      </c>
      <c r="AF825" s="662"/>
      <c r="AG825" s="662"/>
      <c r="AH825" s="662"/>
      <c r="AI825" s="663"/>
      <c r="AN825" s="542"/>
      <c r="AO825" s="824" t="str">
        <f t="shared" si="122"/>
        <v>Yes</v>
      </c>
      <c r="AP825" s="259" t="str">
        <f t="shared" si="123"/>
        <v>JUN 21</v>
      </c>
      <c r="AQ825" s="542" t="str">
        <f t="shared" si="124"/>
        <v>有定金+有預留客戶</v>
      </c>
      <c r="AR825" s="259" t="str">
        <f t="shared" si="125"/>
        <v>Shipped_Stock</v>
      </c>
      <c r="AS825" s="259" t="str">
        <f t="shared" si="126"/>
        <v/>
      </c>
      <c r="AT825" s="259" t="str">
        <f t="shared" si="127"/>
        <v>巴科</v>
      </c>
      <c r="AU825" s="259" t="str">
        <f t="shared" si="128"/>
        <v>C49SZX20210035SX</v>
      </c>
      <c r="AV825" s="259" t="str">
        <f t="shared" si="129"/>
        <v>May-06</v>
      </c>
    </row>
    <row r="826" spans="1:48" hidden="1">
      <c r="A826" s="559">
        <v>1239</v>
      </c>
      <c r="B826" s="664" t="s">
        <v>1125</v>
      </c>
      <c r="C826" s="664" t="s">
        <v>281</v>
      </c>
      <c r="D826" s="645">
        <v>110228</v>
      </c>
      <c r="E826" s="563" t="s">
        <v>802</v>
      </c>
      <c r="F826" s="647" t="s">
        <v>58</v>
      </c>
      <c r="G826" s="647" t="s">
        <v>24</v>
      </c>
      <c r="H826" s="647" t="s">
        <v>307</v>
      </c>
      <c r="I826" s="745" t="s">
        <v>1610</v>
      </c>
      <c r="J826" s="575">
        <v>1</v>
      </c>
      <c r="K826" s="647" t="s">
        <v>81</v>
      </c>
      <c r="L826" s="657">
        <v>44322</v>
      </c>
      <c r="M826" s="665" t="s">
        <v>906</v>
      </c>
      <c r="N826" s="647" t="s">
        <v>96</v>
      </c>
      <c r="O826" s="575"/>
      <c r="P826" s="665" t="str">
        <f>VLOOKUP(A826,'[1]Raw data'!$B:$BA,23,FALSE)</f>
        <v>JPY</v>
      </c>
      <c r="Q826" s="647" t="str">
        <f>VLOOKUP(A826,'[1]Raw data'!$B:$Z,2,FALSE)</f>
        <v>C49SZX20210035SX</v>
      </c>
      <c r="R826" s="647" t="str">
        <f>VLOOKUP(A826,'[1]Raw data'!$B:$Z,3,FALSE)</f>
        <v>巴科</v>
      </c>
      <c r="S826" s="647" t="str">
        <f>VLOOKUP(A826,'[1]Raw data'!$B:$Z,4,FALSE)</f>
        <v>YSM20R-2</v>
      </c>
      <c r="T826" s="647" t="str">
        <f>VLOOKUP(A826,'[1]Raw data'!$B:$Z,8,FALSE)</f>
        <v>L-&gt;R</v>
      </c>
      <c r="U826" s="647" t="str">
        <f>VLOOKUP(A826,'[1]Raw data'!$B:$Z,9,FALSE)</f>
        <v>No</v>
      </c>
      <c r="V826" s="567" t="str">
        <f t="shared" si="139"/>
        <v>OK</v>
      </c>
      <c r="W826" s="563" t="str">
        <f>VLOOKUP(A826,'[1]Raw data'!$B:$AG,32,FALSE)</f>
        <v>CIF HK</v>
      </c>
      <c r="X826" s="647">
        <f>VLOOKUP(A826,'[1]Raw data'!$B:$BA,31,FALSE)</f>
        <v>44264</v>
      </c>
      <c r="Y826" s="647" t="str">
        <f>VLOOKUP(A826,'[1]Raw data'!$B:$AS,39,FALSE)</f>
        <v>Yes</v>
      </c>
      <c r="Z826" s="659"/>
      <c r="AA826" s="660"/>
      <c r="AB826" s="661"/>
      <c r="AC826" s="647" t="s">
        <v>1609</v>
      </c>
      <c r="AD826" s="662">
        <v>301</v>
      </c>
      <c r="AE826" s="662">
        <v>20</v>
      </c>
      <c r="AF826" s="662"/>
      <c r="AG826" s="662"/>
      <c r="AH826" s="662"/>
      <c r="AI826" s="663"/>
      <c r="AN826" s="542"/>
      <c r="AO826" s="824" t="str">
        <f t="shared" si="122"/>
        <v>Yes</v>
      </c>
      <c r="AP826" s="259" t="str">
        <f t="shared" si="123"/>
        <v>JUN 21</v>
      </c>
      <c r="AQ826" s="542" t="str">
        <f t="shared" si="124"/>
        <v>有定金+有預留客戶</v>
      </c>
      <c r="AR826" s="259" t="str">
        <f t="shared" si="125"/>
        <v>Shipped_Stock</v>
      </c>
      <c r="AS826" s="259" t="str">
        <f t="shared" si="126"/>
        <v/>
      </c>
      <c r="AT826" s="259" t="str">
        <f t="shared" si="127"/>
        <v>巴科</v>
      </c>
      <c r="AU826" s="259" t="str">
        <f t="shared" si="128"/>
        <v>C49SZX20210035SX</v>
      </c>
      <c r="AV826" s="259" t="str">
        <f t="shared" si="129"/>
        <v>May-06</v>
      </c>
    </row>
    <row r="827" spans="1:48" hidden="1">
      <c r="A827" s="559">
        <v>1236</v>
      </c>
      <c r="B827" s="664" t="s">
        <v>1125</v>
      </c>
      <c r="C827" s="664" t="s">
        <v>281</v>
      </c>
      <c r="D827" s="645">
        <v>110228</v>
      </c>
      <c r="E827" s="563" t="s">
        <v>802</v>
      </c>
      <c r="F827" s="647" t="s">
        <v>58</v>
      </c>
      <c r="G827" s="647" t="s">
        <v>24</v>
      </c>
      <c r="H827" s="647" t="s">
        <v>307</v>
      </c>
      <c r="I827" s="745" t="s">
        <v>1611</v>
      </c>
      <c r="J827" s="575">
        <v>1</v>
      </c>
      <c r="K827" s="647" t="s">
        <v>81</v>
      </c>
      <c r="L827" s="657">
        <v>44322</v>
      </c>
      <c r="M827" s="665" t="s">
        <v>906</v>
      </c>
      <c r="N827" s="647" t="s">
        <v>96</v>
      </c>
      <c r="O827" s="575"/>
      <c r="P827" s="665" t="str">
        <f>VLOOKUP(A827,'[1]Raw data'!$B:$BA,23,FALSE)</f>
        <v>JPY</v>
      </c>
      <c r="Q827" s="647" t="str">
        <f>VLOOKUP(A827,'[1]Raw data'!$B:$Z,2,FALSE)</f>
        <v>C49SZX20210035SX</v>
      </c>
      <c r="R827" s="647" t="str">
        <f>VLOOKUP(A827,'[1]Raw data'!$B:$Z,3,FALSE)</f>
        <v>巴科</v>
      </c>
      <c r="S827" s="647" t="str">
        <f>VLOOKUP(A827,'[1]Raw data'!$B:$Z,4,FALSE)</f>
        <v>YSM20R-2</v>
      </c>
      <c r="T827" s="647" t="str">
        <f>VLOOKUP(A827,'[1]Raw data'!$B:$Z,8,FALSE)</f>
        <v>L-&gt;R</v>
      </c>
      <c r="U827" s="647" t="str">
        <f>VLOOKUP(A827,'[1]Raw data'!$B:$Z,9,FALSE)</f>
        <v>No</v>
      </c>
      <c r="V827" s="567" t="str">
        <f t="shared" si="139"/>
        <v>OK</v>
      </c>
      <c r="W827" s="563" t="str">
        <f>VLOOKUP(A827,'[1]Raw data'!$B:$AG,32,FALSE)</f>
        <v>CIF HK</v>
      </c>
      <c r="X827" s="647">
        <f>VLOOKUP(A827,'[1]Raw data'!$B:$BA,31,FALSE)</f>
        <v>44264</v>
      </c>
      <c r="Y827" s="647" t="str">
        <f>VLOOKUP(A827,'[1]Raw data'!$B:$AS,39,FALSE)</f>
        <v>Yes</v>
      </c>
      <c r="Z827" s="659"/>
      <c r="AA827" s="660"/>
      <c r="AB827" s="661"/>
      <c r="AC827" s="647" t="s">
        <v>1609</v>
      </c>
      <c r="AD827" s="662">
        <v>304</v>
      </c>
      <c r="AE827" s="662">
        <v>20</v>
      </c>
      <c r="AF827" s="662"/>
      <c r="AG827" s="662"/>
      <c r="AH827" s="662"/>
      <c r="AI827" s="663"/>
      <c r="AN827" s="542"/>
      <c r="AO827" s="824" t="str">
        <f t="shared" si="122"/>
        <v>Yes</v>
      </c>
      <c r="AP827" s="259" t="str">
        <f t="shared" si="123"/>
        <v>JUN 21</v>
      </c>
      <c r="AQ827" s="542" t="str">
        <f t="shared" si="124"/>
        <v>有定金+有預留客戶</v>
      </c>
      <c r="AR827" s="259" t="str">
        <f t="shared" si="125"/>
        <v>Shipped_Stock</v>
      </c>
      <c r="AS827" s="259" t="str">
        <f t="shared" si="126"/>
        <v/>
      </c>
      <c r="AT827" s="259" t="str">
        <f t="shared" si="127"/>
        <v>巴科</v>
      </c>
      <c r="AU827" s="259" t="str">
        <f t="shared" si="128"/>
        <v>C49SZX20210035SX</v>
      </c>
      <c r="AV827" s="259" t="str">
        <f t="shared" si="129"/>
        <v>May-06</v>
      </c>
    </row>
    <row r="828" spans="1:48" hidden="1">
      <c r="A828" s="559">
        <v>1234</v>
      </c>
      <c r="B828" s="664" t="s">
        <v>1125</v>
      </c>
      <c r="C828" s="664" t="s">
        <v>281</v>
      </c>
      <c r="D828" s="645">
        <v>110228</v>
      </c>
      <c r="E828" s="563" t="s">
        <v>802</v>
      </c>
      <c r="F828" s="647" t="s">
        <v>58</v>
      </c>
      <c r="G828" s="647" t="s">
        <v>24</v>
      </c>
      <c r="H828" s="647" t="s">
        <v>307</v>
      </c>
      <c r="I828" s="745" t="s">
        <v>1612</v>
      </c>
      <c r="J828" s="575">
        <v>1</v>
      </c>
      <c r="K828" s="647" t="s">
        <v>81</v>
      </c>
      <c r="L828" s="657">
        <v>44322</v>
      </c>
      <c r="M828" s="665" t="s">
        <v>1613</v>
      </c>
      <c r="N828" s="647" t="s">
        <v>96</v>
      </c>
      <c r="O828" s="575"/>
      <c r="P828" s="665" t="str">
        <f>VLOOKUP(A828,'[1]Raw data'!$B:$BA,23,FALSE)</f>
        <v>JPY</v>
      </c>
      <c r="Q828" s="647" t="str">
        <f>VLOOKUP(A828,'[1]Raw data'!$B:$Z,2,FALSE)</f>
        <v>C49SZX20210035SX</v>
      </c>
      <c r="R828" s="647" t="str">
        <f>VLOOKUP(A828,'[1]Raw data'!$B:$Z,3,FALSE)</f>
        <v>巴科</v>
      </c>
      <c r="S828" s="647" t="str">
        <f>VLOOKUP(A828,'[1]Raw data'!$B:$Z,4,FALSE)</f>
        <v>YSM20R-2</v>
      </c>
      <c r="T828" s="647" t="str">
        <f>VLOOKUP(A828,'[1]Raw data'!$B:$Z,8,FALSE)</f>
        <v>L-&gt;R</v>
      </c>
      <c r="U828" s="647" t="str">
        <f>VLOOKUP(A828,'[1]Raw data'!$B:$Z,9,FALSE)</f>
        <v>No</v>
      </c>
      <c r="V828" s="567" t="str">
        <f t="shared" si="139"/>
        <v>OK</v>
      </c>
      <c r="W828" s="563" t="str">
        <f>VLOOKUP(A828,'[1]Raw data'!$B:$AG,32,FALSE)</f>
        <v>CIF HK</v>
      </c>
      <c r="X828" s="647">
        <f>VLOOKUP(A828,'[1]Raw data'!$B:$BA,31,FALSE)</f>
        <v>44264</v>
      </c>
      <c r="Y828" s="647" t="str">
        <f>VLOOKUP(A828,'[1]Raw data'!$B:$AS,39,FALSE)</f>
        <v>Yes</v>
      </c>
      <c r="Z828" s="659"/>
      <c r="AA828" s="660"/>
      <c r="AB828" s="661"/>
      <c r="AC828" s="647" t="s">
        <v>1609</v>
      </c>
      <c r="AD828" s="662">
        <v>304</v>
      </c>
      <c r="AE828" s="662">
        <v>20</v>
      </c>
      <c r="AF828" s="662"/>
      <c r="AG828" s="662"/>
      <c r="AH828" s="662"/>
      <c r="AI828" s="663"/>
      <c r="AN828" s="542"/>
      <c r="AO828" s="824" t="str">
        <f t="shared" si="122"/>
        <v>Yes</v>
      </c>
      <c r="AP828" s="259" t="str">
        <f t="shared" si="123"/>
        <v>JUN 21</v>
      </c>
      <c r="AQ828" s="542" t="str">
        <f t="shared" si="124"/>
        <v>有定金+有預留客戶</v>
      </c>
      <c r="AR828" s="259" t="str">
        <f t="shared" si="125"/>
        <v>Shipped_Stock</v>
      </c>
      <c r="AS828" s="259" t="str">
        <f t="shared" si="126"/>
        <v/>
      </c>
      <c r="AT828" s="259" t="str">
        <f t="shared" si="127"/>
        <v>巴科</v>
      </c>
      <c r="AU828" s="259" t="str">
        <f t="shared" si="128"/>
        <v>C49SZX20210035SX</v>
      </c>
      <c r="AV828" s="259" t="str">
        <f t="shared" si="129"/>
        <v>May-06</v>
      </c>
    </row>
    <row r="829" spans="1:48" hidden="1">
      <c r="A829" s="559">
        <v>1227</v>
      </c>
      <c r="B829" s="664" t="s">
        <v>1125</v>
      </c>
      <c r="C829" s="664" t="s">
        <v>281</v>
      </c>
      <c r="D829" s="645" t="s">
        <v>1604</v>
      </c>
      <c r="E829" s="563" t="s">
        <v>802</v>
      </c>
      <c r="F829" s="647" t="s">
        <v>58</v>
      </c>
      <c r="G829" s="647" t="s">
        <v>24</v>
      </c>
      <c r="H829" s="647" t="s">
        <v>307</v>
      </c>
      <c r="I829" s="745" t="s">
        <v>1614</v>
      </c>
      <c r="J829" s="575">
        <v>1</v>
      </c>
      <c r="K829" s="647" t="s">
        <v>81</v>
      </c>
      <c r="L829" s="657">
        <v>44322</v>
      </c>
      <c r="M829" s="665">
        <v>6.2300000000000001E-2</v>
      </c>
      <c r="N829" s="647" t="s">
        <v>96</v>
      </c>
      <c r="O829" s="575"/>
      <c r="P829" s="665" t="str">
        <f>VLOOKUP(A829,'[1]Raw data'!$B:$BA,23,FALSE)</f>
        <v>JPY</v>
      </c>
      <c r="Q829" s="647" t="str">
        <f>VLOOKUP(A829,'[1]Raw data'!$B:$Z,2,FALSE)</f>
        <v>C49SZX20210035SX</v>
      </c>
      <c r="R829" s="647" t="str">
        <f>VLOOKUP(A829,'[1]Raw data'!$B:$Z,3,FALSE)</f>
        <v>巴科</v>
      </c>
      <c r="S829" s="647" t="str">
        <f>VLOOKUP(A829,'[1]Raw data'!$B:$Z,4,FALSE)</f>
        <v>YSM20R-2</v>
      </c>
      <c r="T829" s="647" t="str">
        <f>VLOOKUP(A829,'[1]Raw data'!$B:$Z,8,FALSE)</f>
        <v>L-&gt;R</v>
      </c>
      <c r="U829" s="647" t="str">
        <f>VLOOKUP(A829,'[1]Raw data'!$B:$Z,9,FALSE)</f>
        <v>No</v>
      </c>
      <c r="V829" s="567" t="str">
        <f t="shared" si="139"/>
        <v>OK</v>
      </c>
      <c r="W829" s="563" t="str">
        <f>VLOOKUP(A829,'[1]Raw data'!$B:$AG,32,FALSE)</f>
        <v>CIF HK</v>
      </c>
      <c r="X829" s="647">
        <f>VLOOKUP(A829,'[1]Raw data'!$B:$BA,31,FALSE)</f>
        <v>44264</v>
      </c>
      <c r="Y829" s="647" t="str">
        <f>VLOOKUP(A829,'[1]Raw data'!$B:$AS,39,FALSE)</f>
        <v>Yes</v>
      </c>
      <c r="Z829" s="659"/>
      <c r="AA829" s="660"/>
      <c r="AB829" s="661"/>
      <c r="AC829" s="647" t="s">
        <v>1609</v>
      </c>
      <c r="AD829" s="662">
        <v>312</v>
      </c>
      <c r="AE829" s="662">
        <v>20</v>
      </c>
      <c r="AF829" s="662"/>
      <c r="AG829" s="662"/>
      <c r="AH829" s="662"/>
      <c r="AI829" s="663"/>
      <c r="AN829" s="542"/>
      <c r="AO829" s="824" t="str">
        <f t="shared" si="122"/>
        <v>Yes</v>
      </c>
      <c r="AP829" s="259" t="str">
        <f t="shared" si="123"/>
        <v>JUN 21</v>
      </c>
      <c r="AQ829" s="542" t="str">
        <f t="shared" si="124"/>
        <v>有定金+有預留客戶</v>
      </c>
      <c r="AR829" s="259" t="str">
        <f t="shared" si="125"/>
        <v>Shipped_Stock</v>
      </c>
      <c r="AS829" s="259" t="str">
        <f t="shared" si="126"/>
        <v/>
      </c>
      <c r="AT829" s="259" t="str">
        <f t="shared" si="127"/>
        <v>巴科</v>
      </c>
      <c r="AU829" s="259" t="str">
        <f t="shared" si="128"/>
        <v>C49SZX20210035SX</v>
      </c>
      <c r="AV829" s="259" t="str">
        <f t="shared" si="129"/>
        <v>May-06</v>
      </c>
    </row>
    <row r="830" spans="1:48" hidden="1">
      <c r="A830" s="559">
        <v>1229</v>
      </c>
      <c r="B830" s="664" t="s">
        <v>1125</v>
      </c>
      <c r="C830" s="664" t="s">
        <v>281</v>
      </c>
      <c r="D830" s="645">
        <v>110228</v>
      </c>
      <c r="E830" s="563" t="s">
        <v>802</v>
      </c>
      <c r="F830" s="647" t="s">
        <v>58</v>
      </c>
      <c r="G830" s="647" t="s">
        <v>24</v>
      </c>
      <c r="H830" s="647" t="s">
        <v>307</v>
      </c>
      <c r="I830" s="575" t="s">
        <v>1615</v>
      </c>
      <c r="J830" s="575">
        <v>1</v>
      </c>
      <c r="K830" s="647" t="s">
        <v>81</v>
      </c>
      <c r="L830" s="657">
        <v>44322</v>
      </c>
      <c r="M830" s="665" t="s">
        <v>906</v>
      </c>
      <c r="N830" s="647" t="s">
        <v>96</v>
      </c>
      <c r="O830" s="575"/>
      <c r="P830" s="665" t="str">
        <f>VLOOKUP(A830,'[1]Raw data'!$B:$BA,23,FALSE)</f>
        <v>JPY</v>
      </c>
      <c r="Q830" s="647" t="str">
        <f>VLOOKUP(A830,'[1]Raw data'!$B:$Z,2,FALSE)</f>
        <v>C49SZX20210035SX</v>
      </c>
      <c r="R830" s="647" t="str">
        <f>VLOOKUP(A830,'[1]Raw data'!$B:$Z,3,FALSE)</f>
        <v>巴科</v>
      </c>
      <c r="S830" s="647" t="str">
        <f>VLOOKUP(A830,'[1]Raw data'!$B:$Z,4,FALSE)</f>
        <v>YSM20R-2</v>
      </c>
      <c r="T830" s="647" t="str">
        <f>VLOOKUP(A830,'[1]Raw data'!$B:$Z,8,FALSE)</f>
        <v>L-&gt;R</v>
      </c>
      <c r="U830" s="647" t="str">
        <f>VLOOKUP(A830,'[1]Raw data'!$B:$Z,9,FALSE)</f>
        <v>No</v>
      </c>
      <c r="V830" s="567" t="str">
        <f t="shared" si="139"/>
        <v>OK</v>
      </c>
      <c r="W830" s="563" t="str">
        <f>VLOOKUP(A830,'[1]Raw data'!$B:$AG,32,FALSE)</f>
        <v>CIF HK</v>
      </c>
      <c r="X830" s="647">
        <f>VLOOKUP(A830,'[1]Raw data'!$B:$BA,31,FALSE)</f>
        <v>44264</v>
      </c>
      <c r="Y830" s="647" t="str">
        <f>VLOOKUP(A830,'[1]Raw data'!$B:$AS,39,FALSE)</f>
        <v>Yes</v>
      </c>
      <c r="Z830" s="659"/>
      <c r="AA830" s="660"/>
      <c r="AB830" s="661"/>
      <c r="AC830" s="647" t="s">
        <v>1582</v>
      </c>
      <c r="AD830" s="662">
        <v>313</v>
      </c>
      <c r="AE830" s="662">
        <v>20</v>
      </c>
      <c r="AF830" s="662"/>
      <c r="AG830" s="662"/>
      <c r="AH830" s="662"/>
      <c r="AI830" s="663"/>
      <c r="AN830" s="542"/>
      <c r="AO830" s="824" t="str">
        <f t="shared" si="122"/>
        <v>Yes</v>
      </c>
      <c r="AP830" s="259" t="str">
        <f t="shared" si="123"/>
        <v>JUN 21</v>
      </c>
      <c r="AQ830" s="542" t="str">
        <f t="shared" si="124"/>
        <v>有定金+有預留客戶</v>
      </c>
      <c r="AR830" s="259" t="str">
        <f t="shared" si="125"/>
        <v>Shipped_Stock</v>
      </c>
      <c r="AS830" s="259" t="str">
        <f t="shared" si="126"/>
        <v/>
      </c>
      <c r="AT830" s="259" t="str">
        <f t="shared" si="127"/>
        <v>巴科</v>
      </c>
      <c r="AU830" s="259" t="str">
        <f t="shared" si="128"/>
        <v>C49SZX20210035SX</v>
      </c>
      <c r="AV830" s="259" t="str">
        <f t="shared" si="129"/>
        <v>May-06</v>
      </c>
    </row>
    <row r="831" spans="1:48" ht="14.85" hidden="1" customHeight="1">
      <c r="A831" s="559">
        <v>1240</v>
      </c>
      <c r="B831" s="664" t="s">
        <v>1125</v>
      </c>
      <c r="C831" s="664" t="s">
        <v>281</v>
      </c>
      <c r="D831" s="645">
        <v>110228</v>
      </c>
      <c r="E831" s="563" t="s">
        <v>802</v>
      </c>
      <c r="F831" s="647" t="s">
        <v>58</v>
      </c>
      <c r="G831" s="647" t="s">
        <v>24</v>
      </c>
      <c r="H831" s="647" t="s">
        <v>307</v>
      </c>
      <c r="I831" s="575" t="s">
        <v>1616</v>
      </c>
      <c r="J831" s="575">
        <v>1</v>
      </c>
      <c r="K831" s="647" t="s">
        <v>81</v>
      </c>
      <c r="L831" s="657">
        <v>44322</v>
      </c>
      <c r="M831" s="665" t="s">
        <v>906</v>
      </c>
      <c r="N831" s="647" t="s">
        <v>96</v>
      </c>
      <c r="O831" s="575"/>
      <c r="P831" s="665" t="str">
        <f>VLOOKUP(A831,'[1]Raw data'!$B:$BA,23,FALSE)</f>
        <v>JPY</v>
      </c>
      <c r="Q831" s="647" t="str">
        <f>VLOOKUP(A831,'[1]Raw data'!$B:$Z,2,FALSE)</f>
        <v>C49SZX20210035SX</v>
      </c>
      <c r="R831" s="647" t="str">
        <f>VLOOKUP(A831,'[1]Raw data'!$B:$Z,3,FALSE)</f>
        <v>巴科</v>
      </c>
      <c r="S831" s="647" t="str">
        <f>VLOOKUP(A831,'[1]Raw data'!$B:$Z,4,FALSE)</f>
        <v>YSM20R-2</v>
      </c>
      <c r="T831" s="647" t="str">
        <f>VLOOKUP(A831,'[1]Raw data'!$B:$Z,8,FALSE)</f>
        <v>L-&gt;R</v>
      </c>
      <c r="U831" s="647" t="str">
        <f>VLOOKUP(A831,'[1]Raw data'!$B:$Z,9,FALSE)</f>
        <v>No</v>
      </c>
      <c r="V831" s="567" t="str">
        <f t="shared" si="139"/>
        <v>OK</v>
      </c>
      <c r="W831" s="563" t="str">
        <f>VLOOKUP(A831,'[1]Raw data'!$B:$AG,32,FALSE)</f>
        <v>CIF HK</v>
      </c>
      <c r="X831" s="647">
        <f>VLOOKUP(A831,'[1]Raw data'!$B:$BA,31,FALSE)</f>
        <v>44264</v>
      </c>
      <c r="Y831" s="647" t="str">
        <f>VLOOKUP(A831,'[1]Raw data'!$B:$AS,39,FALSE)</f>
        <v>Yes</v>
      </c>
      <c r="Z831" s="659"/>
      <c r="AA831" s="660"/>
      <c r="AB831" s="661"/>
      <c r="AC831" s="647" t="s">
        <v>1582</v>
      </c>
      <c r="AD831" s="662">
        <v>302</v>
      </c>
      <c r="AE831" s="662">
        <v>10</v>
      </c>
      <c r="AF831" s="662">
        <v>313</v>
      </c>
      <c r="AG831" s="662">
        <v>10</v>
      </c>
      <c r="AH831" s="662"/>
      <c r="AI831" s="663"/>
      <c r="AN831" s="542"/>
      <c r="AO831" s="824" t="str">
        <f t="shared" si="122"/>
        <v>Yes</v>
      </c>
      <c r="AP831" s="259" t="str">
        <f t="shared" si="123"/>
        <v>JUN 21</v>
      </c>
      <c r="AQ831" s="542" t="str">
        <f t="shared" si="124"/>
        <v>有定金+有預留客戶</v>
      </c>
      <c r="AR831" s="259" t="str">
        <f t="shared" si="125"/>
        <v>Shipped_Stock</v>
      </c>
      <c r="AS831" s="259" t="str">
        <f t="shared" si="126"/>
        <v/>
      </c>
      <c r="AT831" s="259" t="str">
        <f t="shared" si="127"/>
        <v>巴科</v>
      </c>
      <c r="AU831" s="259" t="str">
        <f t="shared" si="128"/>
        <v>C49SZX20210035SX</v>
      </c>
      <c r="AV831" s="259" t="str">
        <f t="shared" si="129"/>
        <v>May-06</v>
      </c>
    </row>
    <row r="832" spans="1:48" hidden="1">
      <c r="A832" s="559">
        <v>1241</v>
      </c>
      <c r="B832" s="664" t="s">
        <v>1125</v>
      </c>
      <c r="C832" s="664" t="s">
        <v>281</v>
      </c>
      <c r="D832" s="645">
        <v>110228</v>
      </c>
      <c r="E832" s="563" t="s">
        <v>802</v>
      </c>
      <c r="F832" s="647" t="s">
        <v>58</v>
      </c>
      <c r="G832" s="647" t="s">
        <v>24</v>
      </c>
      <c r="H832" s="647" t="s">
        <v>307</v>
      </c>
      <c r="I832" s="575" t="s">
        <v>1617</v>
      </c>
      <c r="J832" s="575">
        <v>1</v>
      </c>
      <c r="K832" s="647" t="s">
        <v>81</v>
      </c>
      <c r="L832" s="657">
        <v>44322</v>
      </c>
      <c r="M832" s="665" t="s">
        <v>906</v>
      </c>
      <c r="N832" s="647" t="s">
        <v>96</v>
      </c>
      <c r="O832" s="575"/>
      <c r="P832" s="665" t="str">
        <f>VLOOKUP(A832,'[1]Raw data'!$B:$BA,23,FALSE)</f>
        <v>JPY</v>
      </c>
      <c r="Q832" s="647" t="str">
        <f>VLOOKUP(A832,'[1]Raw data'!$B:$Z,2,FALSE)</f>
        <v>C49SZX20210035SX</v>
      </c>
      <c r="R832" s="647" t="str">
        <f>VLOOKUP(A832,'[1]Raw data'!$B:$Z,3,FALSE)</f>
        <v>巴科</v>
      </c>
      <c r="S832" s="647" t="str">
        <f>VLOOKUP(A832,'[1]Raw data'!$B:$Z,4,FALSE)</f>
        <v>YSM20R-2</v>
      </c>
      <c r="T832" s="647" t="str">
        <f>VLOOKUP(A832,'[1]Raw data'!$B:$Z,8,FALSE)</f>
        <v>L-&gt;R</v>
      </c>
      <c r="U832" s="647" t="str">
        <f>VLOOKUP(A832,'[1]Raw data'!$B:$Z,9,FALSE)</f>
        <v>No</v>
      </c>
      <c r="V832" s="567" t="str">
        <f t="shared" si="139"/>
        <v>OK</v>
      </c>
      <c r="W832" s="563" t="str">
        <f>VLOOKUP(A832,'[1]Raw data'!$B:$AG,32,FALSE)</f>
        <v>CIF HK</v>
      </c>
      <c r="X832" s="647">
        <f>VLOOKUP(A832,'[1]Raw data'!$B:$BA,31,FALSE)</f>
        <v>44264</v>
      </c>
      <c r="Y832" s="647" t="str">
        <f>VLOOKUP(A832,'[1]Raw data'!$B:$AS,39,FALSE)</f>
        <v>Yes</v>
      </c>
      <c r="Z832" s="659"/>
      <c r="AA832" s="660"/>
      <c r="AB832" s="661"/>
      <c r="AC832" s="647" t="s">
        <v>1582</v>
      </c>
      <c r="AD832" s="662">
        <v>302</v>
      </c>
      <c r="AE832" s="662">
        <v>10</v>
      </c>
      <c r="AF832" s="662">
        <v>311</v>
      </c>
      <c r="AG832" s="662">
        <v>10</v>
      </c>
      <c r="AH832" s="662"/>
      <c r="AI832" s="663"/>
      <c r="AN832" s="542"/>
      <c r="AO832" s="824" t="str">
        <f t="shared" si="122"/>
        <v>Yes</v>
      </c>
      <c r="AP832" s="259" t="str">
        <f t="shared" si="123"/>
        <v>JUN 21</v>
      </c>
      <c r="AQ832" s="542" t="str">
        <f t="shared" si="124"/>
        <v>有定金+有預留客戶</v>
      </c>
      <c r="AR832" s="259" t="str">
        <f t="shared" si="125"/>
        <v>Shipped_Stock</v>
      </c>
      <c r="AS832" s="259" t="str">
        <f t="shared" si="126"/>
        <v/>
      </c>
      <c r="AT832" s="259" t="str">
        <f t="shared" si="127"/>
        <v>巴科</v>
      </c>
      <c r="AU832" s="259" t="str">
        <f t="shared" si="128"/>
        <v>C49SZX20210035SX</v>
      </c>
      <c r="AV832" s="259" t="str">
        <f t="shared" si="129"/>
        <v>May-06</v>
      </c>
    </row>
    <row r="833" spans="1:48" hidden="1">
      <c r="A833" s="559">
        <v>1242</v>
      </c>
      <c r="B833" s="664" t="s">
        <v>1125</v>
      </c>
      <c r="C833" s="664" t="s">
        <v>281</v>
      </c>
      <c r="D833" s="645">
        <v>110228</v>
      </c>
      <c r="E833" s="563" t="s">
        <v>802</v>
      </c>
      <c r="F833" s="647" t="s">
        <v>58</v>
      </c>
      <c r="G833" s="647" t="s">
        <v>24</v>
      </c>
      <c r="H833" s="647" t="s">
        <v>307</v>
      </c>
      <c r="I833" s="575" t="s">
        <v>1618</v>
      </c>
      <c r="J833" s="575">
        <v>1</v>
      </c>
      <c r="K833" s="647" t="s">
        <v>81</v>
      </c>
      <c r="L833" s="657">
        <v>44322</v>
      </c>
      <c r="M833" s="665" t="s">
        <v>906</v>
      </c>
      <c r="N833" s="647" t="s">
        <v>96</v>
      </c>
      <c r="O833" s="575"/>
      <c r="P833" s="665" t="str">
        <f>VLOOKUP(A833,'[1]Raw data'!$B:$BA,23,FALSE)</f>
        <v>JPY</v>
      </c>
      <c r="Q833" s="647" t="str">
        <f>VLOOKUP(A833,'[1]Raw data'!$B:$Z,2,FALSE)</f>
        <v>C49SZX20210035SX</v>
      </c>
      <c r="R833" s="647" t="str">
        <f>VLOOKUP(A833,'[1]Raw data'!$B:$Z,3,FALSE)</f>
        <v>巴科</v>
      </c>
      <c r="S833" s="647" t="str">
        <f>VLOOKUP(A833,'[1]Raw data'!$B:$Z,4,FALSE)</f>
        <v>YSM20R-2</v>
      </c>
      <c r="T833" s="647" t="str">
        <f>VLOOKUP(A833,'[1]Raw data'!$B:$Z,8,FALSE)</f>
        <v>L-&gt;R</v>
      </c>
      <c r="U833" s="647" t="str">
        <f>VLOOKUP(A833,'[1]Raw data'!$B:$Z,9,FALSE)</f>
        <v>No</v>
      </c>
      <c r="V833" s="567" t="str">
        <f t="shared" si="139"/>
        <v>OK</v>
      </c>
      <c r="W833" s="563" t="str">
        <f>VLOOKUP(A833,'[1]Raw data'!$B:$AG,32,FALSE)</f>
        <v>CIF HK</v>
      </c>
      <c r="X833" s="647">
        <f>VLOOKUP(A833,'[1]Raw data'!$B:$BA,31,FALSE)</f>
        <v>44264</v>
      </c>
      <c r="Y833" s="647" t="str">
        <f>VLOOKUP(A833,'[1]Raw data'!$B:$AS,39,FALSE)</f>
        <v>Yes</v>
      </c>
      <c r="Z833" s="659"/>
      <c r="AA833" s="660"/>
      <c r="AB833" s="661"/>
      <c r="AC833" s="647" t="s">
        <v>1582</v>
      </c>
      <c r="AD833" s="662">
        <v>302</v>
      </c>
      <c r="AE833" s="662">
        <v>10</v>
      </c>
      <c r="AF833" s="662">
        <v>311</v>
      </c>
      <c r="AG833" s="662">
        <v>10</v>
      </c>
      <c r="AH833" s="662"/>
      <c r="AI833" s="663"/>
      <c r="AN833" s="542"/>
      <c r="AO833" s="824" t="str">
        <f t="shared" si="122"/>
        <v>Yes</v>
      </c>
      <c r="AP833" s="259" t="str">
        <f t="shared" si="123"/>
        <v>JUN 21</v>
      </c>
      <c r="AQ833" s="542" t="str">
        <f t="shared" si="124"/>
        <v>有定金+有預留客戶</v>
      </c>
      <c r="AR833" s="259" t="str">
        <f t="shared" si="125"/>
        <v>Shipped_Stock</v>
      </c>
      <c r="AS833" s="259" t="str">
        <f t="shared" si="126"/>
        <v/>
      </c>
      <c r="AT833" s="259" t="str">
        <f t="shared" si="127"/>
        <v>巴科</v>
      </c>
      <c r="AU833" s="259" t="str">
        <f t="shared" si="128"/>
        <v>C49SZX20210035SX</v>
      </c>
      <c r="AV833" s="259" t="str">
        <f t="shared" si="129"/>
        <v>May-06</v>
      </c>
    </row>
    <row r="834" spans="1:48" hidden="1">
      <c r="A834" s="559">
        <v>1230</v>
      </c>
      <c r="B834" s="664" t="s">
        <v>1125</v>
      </c>
      <c r="C834" s="664" t="s">
        <v>281</v>
      </c>
      <c r="D834" s="645">
        <v>110228</v>
      </c>
      <c r="E834" s="563" t="s">
        <v>802</v>
      </c>
      <c r="F834" s="647" t="s">
        <v>58</v>
      </c>
      <c r="G834" s="647" t="s">
        <v>24</v>
      </c>
      <c r="H834" s="647" t="s">
        <v>307</v>
      </c>
      <c r="I834" s="575" t="s">
        <v>1619</v>
      </c>
      <c r="J834" s="575">
        <v>1</v>
      </c>
      <c r="K834" s="647" t="s">
        <v>81</v>
      </c>
      <c r="L834" s="657">
        <v>44322</v>
      </c>
      <c r="M834" s="665" t="s">
        <v>906</v>
      </c>
      <c r="N834" s="647" t="s">
        <v>96</v>
      </c>
      <c r="O834" s="575"/>
      <c r="P834" s="665" t="str">
        <f>VLOOKUP(A834,'[1]Raw data'!$B:$BA,23,FALSE)</f>
        <v>JPY</v>
      </c>
      <c r="Q834" s="647" t="str">
        <f>VLOOKUP(A834,'[1]Raw data'!$B:$Z,2,FALSE)</f>
        <v>C49SZX20210035SX</v>
      </c>
      <c r="R834" s="647" t="str">
        <f>VLOOKUP(A834,'[1]Raw data'!$B:$Z,3,FALSE)</f>
        <v>巴科</v>
      </c>
      <c r="S834" s="647" t="str">
        <f>VLOOKUP(A834,'[1]Raw data'!$B:$Z,4,FALSE)</f>
        <v>YSM20R-2</v>
      </c>
      <c r="T834" s="647" t="str">
        <f>VLOOKUP(A834,'[1]Raw data'!$B:$Z,8,FALSE)</f>
        <v>L-&gt;R</v>
      </c>
      <c r="U834" s="647" t="str">
        <f>VLOOKUP(A834,'[1]Raw data'!$B:$Z,9,FALSE)</f>
        <v>No</v>
      </c>
      <c r="V834" s="567" t="str">
        <f t="shared" si="139"/>
        <v>OK</v>
      </c>
      <c r="W834" s="563" t="str">
        <f>VLOOKUP(A834,'[1]Raw data'!$B:$AG,32,FALSE)</f>
        <v>CIF HK</v>
      </c>
      <c r="X834" s="647">
        <f>VLOOKUP(A834,'[1]Raw data'!$B:$BA,31,FALSE)</f>
        <v>44264</v>
      </c>
      <c r="Y834" s="647" t="str">
        <f>VLOOKUP(A834,'[1]Raw data'!$B:$AS,39,FALSE)</f>
        <v>Yes</v>
      </c>
      <c r="Z834" s="659"/>
      <c r="AA834" s="660"/>
      <c r="AB834" s="661"/>
      <c r="AC834" s="647" t="s">
        <v>1582</v>
      </c>
      <c r="AD834" s="662">
        <v>302</v>
      </c>
      <c r="AE834" s="662">
        <v>10</v>
      </c>
      <c r="AF834" s="662">
        <v>311</v>
      </c>
      <c r="AG834" s="662">
        <v>10</v>
      </c>
      <c r="AH834" s="662"/>
      <c r="AI834" s="663"/>
      <c r="AN834" s="542"/>
      <c r="AO834" s="824" t="str">
        <f t="shared" si="122"/>
        <v>Yes</v>
      </c>
      <c r="AP834" s="259" t="str">
        <f t="shared" si="123"/>
        <v>JUN 21</v>
      </c>
      <c r="AQ834" s="542" t="str">
        <f t="shared" si="124"/>
        <v>有定金+有預留客戶</v>
      </c>
      <c r="AR834" s="259" t="str">
        <f t="shared" si="125"/>
        <v>Shipped_Stock</v>
      </c>
      <c r="AS834" s="259" t="str">
        <f t="shared" si="126"/>
        <v/>
      </c>
      <c r="AT834" s="259" t="str">
        <f t="shared" si="127"/>
        <v>巴科</v>
      </c>
      <c r="AU834" s="259" t="str">
        <f t="shared" si="128"/>
        <v>C49SZX20210035SX</v>
      </c>
      <c r="AV834" s="259" t="str">
        <f t="shared" si="129"/>
        <v>May-06</v>
      </c>
    </row>
    <row r="835" spans="1:48" hidden="1">
      <c r="A835" s="559">
        <v>1231</v>
      </c>
      <c r="B835" s="664" t="s">
        <v>1125</v>
      </c>
      <c r="C835" s="664" t="s">
        <v>281</v>
      </c>
      <c r="D835" s="645">
        <v>110228</v>
      </c>
      <c r="E835" s="563" t="s">
        <v>802</v>
      </c>
      <c r="F835" s="647" t="s">
        <v>58</v>
      </c>
      <c r="G835" s="647" t="s">
        <v>24</v>
      </c>
      <c r="H835" s="647" t="s">
        <v>307</v>
      </c>
      <c r="I835" s="745" t="s">
        <v>1620</v>
      </c>
      <c r="J835" s="575">
        <v>1</v>
      </c>
      <c r="K835" s="647" t="s">
        <v>81</v>
      </c>
      <c r="L835" s="657">
        <v>44322</v>
      </c>
      <c r="M835" s="665" t="s">
        <v>906</v>
      </c>
      <c r="N835" s="647" t="s">
        <v>96</v>
      </c>
      <c r="O835" s="575"/>
      <c r="P835" s="665" t="str">
        <f>VLOOKUP(A835,'[1]Raw data'!$B:$BA,23,FALSE)</f>
        <v>JPY</v>
      </c>
      <c r="Q835" s="647" t="str">
        <f>VLOOKUP(A835,'[1]Raw data'!$B:$Z,2,FALSE)</f>
        <v>C49SZX20210035SX</v>
      </c>
      <c r="R835" s="647" t="str">
        <f>VLOOKUP(A835,'[1]Raw data'!$B:$Z,3,FALSE)</f>
        <v>巴科</v>
      </c>
      <c r="S835" s="647" t="str">
        <f>VLOOKUP(A835,'[1]Raw data'!$B:$Z,4,FALSE)</f>
        <v>YSM20R-2</v>
      </c>
      <c r="T835" s="647" t="str">
        <f>VLOOKUP(A835,'[1]Raw data'!$B:$Z,8,FALSE)</f>
        <v>L-&gt;R</v>
      </c>
      <c r="U835" s="647" t="str">
        <f>VLOOKUP(A835,'[1]Raw data'!$B:$Z,9,FALSE)</f>
        <v>No</v>
      </c>
      <c r="V835" s="567" t="str">
        <f t="shared" si="139"/>
        <v>OK</v>
      </c>
      <c r="W835" s="563" t="str">
        <f>VLOOKUP(A835,'[1]Raw data'!$B:$AG,32,FALSE)</f>
        <v>CIF HK</v>
      </c>
      <c r="X835" s="647">
        <f>VLOOKUP(A835,'[1]Raw data'!$B:$BA,31,FALSE)</f>
        <v>44264</v>
      </c>
      <c r="Y835" s="647" t="str">
        <f>VLOOKUP(A835,'[1]Raw data'!$B:$AS,39,FALSE)</f>
        <v>Yes</v>
      </c>
      <c r="Z835" s="659"/>
      <c r="AA835" s="660"/>
      <c r="AB835" s="661"/>
      <c r="AC835" s="647" t="s">
        <v>1609</v>
      </c>
      <c r="AD835" s="662">
        <v>302</v>
      </c>
      <c r="AE835" s="662">
        <v>10</v>
      </c>
      <c r="AF835" s="662">
        <v>311</v>
      </c>
      <c r="AG835" s="662">
        <v>10</v>
      </c>
      <c r="AH835" s="662"/>
      <c r="AI835" s="663"/>
      <c r="AN835" s="542"/>
      <c r="AO835" s="824" t="str">
        <f t="shared" ref="AO835:AO898" si="140">IFERROR(IF(Y835&lt;&gt;"",Y835,"No"),"No")</f>
        <v>Yes</v>
      </c>
      <c r="AP835" s="259" t="str">
        <f t="shared" ref="AP835:AP898" si="141">IFERROR(IF(N835&lt;&gt;"",N835,"blank"),"NA")</f>
        <v>JUN 21</v>
      </c>
      <c r="AQ835" s="542" t="str">
        <f t="shared" ref="AQ835:AQ898" si="142">IFERROR(IF(AND(AO835="Yes", AP835&lt;&gt;"blank"), "有定金+有預留客戶", IF(AND(AO835="Yes", AP835="blank"), "有定金+无客戶送貨期", IF(AND(OR(AO835="No", ISBLANK(AO835), AO835="NA"), AP835&lt;&gt;"blank"), "无定金+有預留客戶", IF(AND(OR(AO835="No", ISBLANK(AO835), AO835="NA"), AP835="blank"), "无定金+无預留客戶", "")))), "")</f>
        <v>有定金+有預留客戶</v>
      </c>
      <c r="AR835" s="259" t="str">
        <f t="shared" ref="AR835:AR898" si="143">IFERROR(IF(B835="已经到货", "Instock", IF(B835="有交期", "Incoming_Stock_With_YAMAHA_Schedule", IF(B835="TBA.", "Incoming_Stock_No_YAMAHA_Schedule", IF(B835="已发货", "Shipped_Stock", "")))), "")</f>
        <v>Shipped_Stock</v>
      </c>
      <c r="AS835" s="259" t="str">
        <f t="shared" ref="AS835:AS898" si="144">IF(AND(B835="有交期", L835&lt;&gt;""), L835, "")</f>
        <v/>
      </c>
      <c r="AT835" s="259" t="str">
        <f t="shared" ref="AT835:AT898" si="145">IFERROR(IF(R835&lt;&gt;"",R835),"-")</f>
        <v>巴科</v>
      </c>
      <c r="AU835" s="259" t="str">
        <f t="shared" ref="AU835:AU898" si="146">IFERROR(IF(Q835&lt;&gt;"",Q835),"-")</f>
        <v>C49SZX20210035SX</v>
      </c>
      <c r="AV835" s="259" t="str">
        <f t="shared" ref="AV835:AV898" si="147">IF(L835="","-",TEXT(L835,"mmm-dd"))</f>
        <v>May-06</v>
      </c>
    </row>
    <row r="836" spans="1:48" hidden="1">
      <c r="A836" s="559">
        <v>1232</v>
      </c>
      <c r="B836" s="664" t="s">
        <v>1125</v>
      </c>
      <c r="C836" s="664" t="s">
        <v>281</v>
      </c>
      <c r="D836" s="645">
        <v>110228</v>
      </c>
      <c r="E836" s="563" t="s">
        <v>802</v>
      </c>
      <c r="F836" s="647" t="s">
        <v>58</v>
      </c>
      <c r="G836" s="647" t="s">
        <v>24</v>
      </c>
      <c r="H836" s="647" t="s">
        <v>307</v>
      </c>
      <c r="I836" s="745" t="s">
        <v>1621</v>
      </c>
      <c r="J836" s="575">
        <v>1</v>
      </c>
      <c r="K836" s="647" t="s">
        <v>81</v>
      </c>
      <c r="L836" s="657">
        <v>44322</v>
      </c>
      <c r="M836" s="665" t="s">
        <v>906</v>
      </c>
      <c r="N836" s="647" t="s">
        <v>96</v>
      </c>
      <c r="O836" s="575"/>
      <c r="P836" s="665" t="str">
        <f>VLOOKUP(A836,'[1]Raw data'!$B:$BA,23,FALSE)</f>
        <v>JPY</v>
      </c>
      <c r="Q836" s="647" t="str">
        <f>VLOOKUP(A836,'[1]Raw data'!$B:$Z,2,FALSE)</f>
        <v>C49SZX20210035SX</v>
      </c>
      <c r="R836" s="647" t="str">
        <f>VLOOKUP(A836,'[1]Raw data'!$B:$Z,3,FALSE)</f>
        <v>巴科</v>
      </c>
      <c r="S836" s="647" t="str">
        <f>VLOOKUP(A836,'[1]Raw data'!$B:$Z,4,FALSE)</f>
        <v>YSM20R-2</v>
      </c>
      <c r="T836" s="647" t="str">
        <f>VLOOKUP(A836,'[1]Raw data'!$B:$Z,8,FALSE)</f>
        <v>L-&gt;R</v>
      </c>
      <c r="U836" s="647" t="str">
        <f>VLOOKUP(A836,'[1]Raw data'!$B:$Z,9,FALSE)</f>
        <v>No</v>
      </c>
      <c r="V836" s="567" t="str">
        <f t="shared" si="139"/>
        <v>OK</v>
      </c>
      <c r="W836" s="563" t="str">
        <f>VLOOKUP(A836,'[1]Raw data'!$B:$AG,32,FALSE)</f>
        <v>CIF HK</v>
      </c>
      <c r="X836" s="647">
        <f>VLOOKUP(A836,'[1]Raw data'!$B:$BA,31,FALSE)</f>
        <v>44264</v>
      </c>
      <c r="Y836" s="647" t="str">
        <f>VLOOKUP(A836,'[1]Raw data'!$B:$AS,39,FALSE)</f>
        <v>Yes</v>
      </c>
      <c r="Z836" s="659"/>
      <c r="AA836" s="660"/>
      <c r="AB836" s="661"/>
      <c r="AC836" s="647" t="s">
        <v>1609</v>
      </c>
      <c r="AD836" s="662">
        <v>302</v>
      </c>
      <c r="AE836" s="662">
        <v>10</v>
      </c>
      <c r="AF836" s="662">
        <v>311</v>
      </c>
      <c r="AG836" s="662">
        <v>10</v>
      </c>
      <c r="AH836" s="662"/>
      <c r="AI836" s="663"/>
      <c r="AN836" s="542"/>
      <c r="AO836" s="824" t="str">
        <f t="shared" si="140"/>
        <v>Yes</v>
      </c>
      <c r="AP836" s="259" t="str">
        <f t="shared" si="141"/>
        <v>JUN 21</v>
      </c>
      <c r="AQ836" s="542" t="str">
        <f t="shared" si="142"/>
        <v>有定金+有預留客戶</v>
      </c>
      <c r="AR836" s="259" t="str">
        <f t="shared" si="143"/>
        <v>Shipped_Stock</v>
      </c>
      <c r="AS836" s="259" t="str">
        <f t="shared" si="144"/>
        <v/>
      </c>
      <c r="AT836" s="259" t="str">
        <f t="shared" si="145"/>
        <v>巴科</v>
      </c>
      <c r="AU836" s="259" t="str">
        <f t="shared" si="146"/>
        <v>C49SZX20210035SX</v>
      </c>
      <c r="AV836" s="259" t="str">
        <f t="shared" si="147"/>
        <v>May-06</v>
      </c>
    </row>
    <row r="837" spans="1:48" hidden="1">
      <c r="A837" s="559">
        <v>1185</v>
      </c>
      <c r="B837" s="664" t="s">
        <v>1125</v>
      </c>
      <c r="C837" s="664" t="s">
        <v>281</v>
      </c>
      <c r="D837" s="645">
        <v>110416</v>
      </c>
      <c r="E837" s="563" t="s">
        <v>886</v>
      </c>
      <c r="F837" s="647" t="s">
        <v>58</v>
      </c>
      <c r="G837" s="647" t="s">
        <v>18</v>
      </c>
      <c r="H837" s="647" t="s">
        <v>26</v>
      </c>
      <c r="I837" s="575" t="s">
        <v>1622</v>
      </c>
      <c r="J837" s="575">
        <v>1</v>
      </c>
      <c r="K837" s="647" t="s">
        <v>81</v>
      </c>
      <c r="L837" s="657">
        <v>44322</v>
      </c>
      <c r="M837" s="665" t="s">
        <v>906</v>
      </c>
      <c r="N837" s="647" t="s">
        <v>110</v>
      </c>
      <c r="O837" s="575"/>
      <c r="P837" s="665" t="str">
        <f>VLOOKUP(A837,'[1]Raw data'!$B:$BA,23,FALSE)</f>
        <v>JPY</v>
      </c>
      <c r="Q837" s="647" t="str">
        <f>VLOOKUP(A837,'[1]Raw data'!$B:$Z,2,FALSE)</f>
        <v>C49SZX20210063LC</v>
      </c>
      <c r="R837" s="647" t="str">
        <f>VLOOKUP(A837,'[1]Raw data'!$B:$Z,3,FALSE)</f>
        <v>星辰宇</v>
      </c>
      <c r="S837" s="647" t="str">
        <f>VLOOKUP(A837,'[1]Raw data'!$B:$Z,4,FALSE)</f>
        <v>YSM20R-2</v>
      </c>
      <c r="T837" s="647" t="str">
        <f>VLOOKUP(A837,'[1]Raw data'!$B:$Z,8,FALSE)</f>
        <v>R-&gt;L</v>
      </c>
      <c r="U837" s="647" t="str">
        <f>VLOOKUP(A837,'[1]Raw data'!$B:$Z,9,FALSE)</f>
        <v>No</v>
      </c>
      <c r="V837" s="567" t="str">
        <f t="shared" ref="V837" si="148">IF(G837&amp;H837=T837&amp;U837,"OK","WRONG")</f>
        <v>OK</v>
      </c>
      <c r="W837" s="563" t="str">
        <f>VLOOKUP(A837,'[1]Raw data'!$B:$AG,32,FALSE)</f>
        <v>DAP SZ</v>
      </c>
      <c r="X837" s="647">
        <f>VLOOKUP(A837,'[1]Raw data'!$B:$BA,31,FALSE)</f>
        <v>44259</v>
      </c>
      <c r="Y837" s="647" t="str">
        <f>VLOOKUP(A837,'[1]Raw data'!$B:$AS,39,FALSE)</f>
        <v>Yes</v>
      </c>
      <c r="Z837" s="659"/>
      <c r="AA837" s="660"/>
      <c r="AB837" s="661"/>
      <c r="AC837" s="647" t="s">
        <v>1623</v>
      </c>
      <c r="AD837" s="662">
        <v>301</v>
      </c>
      <c r="AE837" s="662">
        <v>10</v>
      </c>
      <c r="AF837" s="662">
        <v>311</v>
      </c>
      <c r="AG837" s="662">
        <v>10</v>
      </c>
      <c r="AH837" s="662"/>
      <c r="AI837" s="663"/>
      <c r="AN837" s="542"/>
      <c r="AO837" s="824" t="str">
        <f t="shared" si="140"/>
        <v>Yes</v>
      </c>
      <c r="AP837" s="259" t="str">
        <f t="shared" si="141"/>
        <v>MAY 21</v>
      </c>
      <c r="AQ837" s="542" t="str">
        <f t="shared" si="142"/>
        <v>有定金+有預留客戶</v>
      </c>
      <c r="AR837" s="259" t="str">
        <f t="shared" si="143"/>
        <v>Shipped_Stock</v>
      </c>
      <c r="AS837" s="259" t="str">
        <f t="shared" si="144"/>
        <v/>
      </c>
      <c r="AT837" s="259" t="str">
        <f t="shared" si="145"/>
        <v>星辰宇</v>
      </c>
      <c r="AU837" s="259" t="str">
        <f t="shared" si="146"/>
        <v>C49SZX20210063LC</v>
      </c>
      <c r="AV837" s="259" t="str">
        <f t="shared" si="147"/>
        <v>May-06</v>
      </c>
    </row>
    <row r="838" spans="1:48" hidden="1">
      <c r="A838" s="559">
        <v>1100</v>
      </c>
      <c r="B838" s="664" t="s">
        <v>1125</v>
      </c>
      <c r="C838" s="664" t="s">
        <v>281</v>
      </c>
      <c r="D838" s="645">
        <v>110416</v>
      </c>
      <c r="E838" s="563" t="s">
        <v>886</v>
      </c>
      <c r="F838" s="647" t="s">
        <v>58</v>
      </c>
      <c r="G838" s="647" t="s">
        <v>18</v>
      </c>
      <c r="H838" s="647" t="s">
        <v>26</v>
      </c>
      <c r="I838" s="575" t="s">
        <v>1624</v>
      </c>
      <c r="J838" s="575">
        <v>1</v>
      </c>
      <c r="K838" s="647" t="s">
        <v>81</v>
      </c>
      <c r="L838" s="657">
        <v>44322</v>
      </c>
      <c r="M838" s="665" t="s">
        <v>906</v>
      </c>
      <c r="N838" s="647" t="s">
        <v>110</v>
      </c>
      <c r="O838" s="575"/>
      <c r="P838" s="665" t="str">
        <f>VLOOKUP(A838,'[1]Raw data'!$B:$BA,23,FALSE)</f>
        <v>JPY</v>
      </c>
      <c r="Q838" s="647" t="str">
        <f>VLOOKUP(A838,'[1]Raw data'!$B:$Z,2,FALSE)</f>
        <v>C49SZX20210019JY</v>
      </c>
      <c r="R838" s="647" t="str">
        <f>VLOOKUP(A838,'[1]Raw data'!$B:$Z,3,FALSE)</f>
        <v>晟锦威</v>
      </c>
      <c r="S838" s="647" t="str">
        <f>VLOOKUP(A838,'[1]Raw data'!$B:$Z,4,FALSE)</f>
        <v>YSM20R-2</v>
      </c>
      <c r="T838" s="647" t="str">
        <f>VLOOKUP(A838,'[1]Raw data'!$B:$Z,8,FALSE)</f>
        <v>R-&gt;L</v>
      </c>
      <c r="U838" s="647" t="str">
        <f>VLOOKUP(A838,'[1]Raw data'!$B:$Z,9,FALSE)</f>
        <v>No</v>
      </c>
      <c r="V838" s="567" t="str">
        <f t="shared" ref="V838:V844" si="149">IF(G838&amp;H838=T838&amp;U838,"OK","WRONG")</f>
        <v>OK</v>
      </c>
      <c r="W838" s="563" t="str">
        <f>VLOOKUP(A838,'[1]Raw data'!$B:$AG,32,FALSE)</f>
        <v>DAP SZ</v>
      </c>
      <c r="X838" s="647">
        <f>VLOOKUP(A838,'[1]Raw data'!$B:$BA,31,FALSE)</f>
        <v>44223</v>
      </c>
      <c r="Y838" s="647" t="str">
        <f>VLOOKUP(A838,'[1]Raw data'!$B:$AS,39,FALSE)</f>
        <v>Yes</v>
      </c>
      <c r="Z838" s="659"/>
      <c r="AA838" s="660"/>
      <c r="AB838" s="661"/>
      <c r="AC838" s="647" t="s">
        <v>1594</v>
      </c>
      <c r="AD838" s="662">
        <v>301</v>
      </c>
      <c r="AE838" s="662">
        <v>10</v>
      </c>
      <c r="AF838" s="662">
        <v>311</v>
      </c>
      <c r="AG838" s="662">
        <v>10</v>
      </c>
      <c r="AH838" s="662"/>
      <c r="AI838" s="663"/>
      <c r="AN838" s="542"/>
      <c r="AO838" s="824" t="str">
        <f t="shared" si="140"/>
        <v>Yes</v>
      </c>
      <c r="AP838" s="259" t="str">
        <f t="shared" si="141"/>
        <v>MAY 21</v>
      </c>
      <c r="AQ838" s="542" t="str">
        <f t="shared" si="142"/>
        <v>有定金+有預留客戶</v>
      </c>
      <c r="AR838" s="259" t="str">
        <f t="shared" si="143"/>
        <v>Shipped_Stock</v>
      </c>
      <c r="AS838" s="259" t="str">
        <f t="shared" si="144"/>
        <v/>
      </c>
      <c r="AT838" s="259" t="str">
        <f t="shared" si="145"/>
        <v>晟锦威</v>
      </c>
      <c r="AU838" s="259" t="str">
        <f t="shared" si="146"/>
        <v>C49SZX20210019JY</v>
      </c>
      <c r="AV838" s="259" t="str">
        <f t="shared" si="147"/>
        <v>May-06</v>
      </c>
    </row>
    <row r="839" spans="1:48" hidden="1">
      <c r="A839" s="559">
        <v>1101</v>
      </c>
      <c r="B839" s="664" t="s">
        <v>1125</v>
      </c>
      <c r="C839" s="664" t="s">
        <v>281</v>
      </c>
      <c r="D839" s="645">
        <v>110416</v>
      </c>
      <c r="E839" s="563" t="s">
        <v>886</v>
      </c>
      <c r="F839" s="647" t="s">
        <v>58</v>
      </c>
      <c r="G839" s="647" t="s">
        <v>18</v>
      </c>
      <c r="H839" s="647" t="s">
        <v>26</v>
      </c>
      <c r="I839" s="575" t="s">
        <v>1625</v>
      </c>
      <c r="J839" s="575">
        <v>1</v>
      </c>
      <c r="K839" s="647" t="s">
        <v>81</v>
      </c>
      <c r="L839" s="657">
        <v>44322</v>
      </c>
      <c r="M839" s="665" t="s">
        <v>906</v>
      </c>
      <c r="N839" s="647" t="s">
        <v>110</v>
      </c>
      <c r="O839" s="575"/>
      <c r="P839" s="665" t="str">
        <f>VLOOKUP(A839,'[1]Raw data'!$B:$BA,23,FALSE)</f>
        <v>JPY</v>
      </c>
      <c r="Q839" s="647" t="str">
        <f>VLOOKUP(A839,'[1]Raw data'!$B:$Z,2,FALSE)</f>
        <v>C49SZX20210019JY</v>
      </c>
      <c r="R839" s="647" t="str">
        <f>VLOOKUP(A839,'[1]Raw data'!$B:$Z,3,FALSE)</f>
        <v>晟锦威</v>
      </c>
      <c r="S839" s="647" t="str">
        <f>VLOOKUP(A839,'[1]Raw data'!$B:$Z,4,FALSE)</f>
        <v>YSM20R-2</v>
      </c>
      <c r="T839" s="647" t="str">
        <f>VLOOKUP(A839,'[1]Raw data'!$B:$Z,8,FALSE)</f>
        <v>R-&gt;L</v>
      </c>
      <c r="U839" s="647" t="str">
        <f>VLOOKUP(A839,'[1]Raw data'!$B:$Z,9,FALSE)</f>
        <v>No</v>
      </c>
      <c r="V839" s="567" t="str">
        <f t="shared" si="149"/>
        <v>OK</v>
      </c>
      <c r="W839" s="563" t="str">
        <f>VLOOKUP(A839,'[1]Raw data'!$B:$AG,32,FALSE)</f>
        <v>DAP SZ</v>
      </c>
      <c r="X839" s="647">
        <f>VLOOKUP(A839,'[1]Raw data'!$B:$BA,31,FALSE)</f>
        <v>44223</v>
      </c>
      <c r="Y839" s="647" t="str">
        <f>VLOOKUP(A839,'[1]Raw data'!$B:$AS,39,FALSE)</f>
        <v>Yes</v>
      </c>
      <c r="Z839" s="659"/>
      <c r="AA839" s="660"/>
      <c r="AB839" s="661"/>
      <c r="AC839" s="647" t="s">
        <v>1594</v>
      </c>
      <c r="AD839" s="662">
        <v>301</v>
      </c>
      <c r="AE839" s="662">
        <v>10</v>
      </c>
      <c r="AF839" s="662">
        <v>303</v>
      </c>
      <c r="AG839" s="662">
        <v>10</v>
      </c>
      <c r="AH839" s="662"/>
      <c r="AI839" s="663"/>
      <c r="AN839" s="542"/>
      <c r="AO839" s="824" t="str">
        <f t="shared" si="140"/>
        <v>Yes</v>
      </c>
      <c r="AP839" s="259" t="str">
        <f t="shared" si="141"/>
        <v>MAY 21</v>
      </c>
      <c r="AQ839" s="542" t="str">
        <f t="shared" si="142"/>
        <v>有定金+有預留客戶</v>
      </c>
      <c r="AR839" s="259" t="str">
        <f t="shared" si="143"/>
        <v>Shipped_Stock</v>
      </c>
      <c r="AS839" s="259" t="str">
        <f t="shared" si="144"/>
        <v/>
      </c>
      <c r="AT839" s="259" t="str">
        <f t="shared" si="145"/>
        <v>晟锦威</v>
      </c>
      <c r="AU839" s="259" t="str">
        <f t="shared" si="146"/>
        <v>C49SZX20210019JY</v>
      </c>
      <c r="AV839" s="259" t="str">
        <f t="shared" si="147"/>
        <v>May-06</v>
      </c>
    </row>
    <row r="840" spans="1:48" hidden="1">
      <c r="A840" s="559">
        <v>1071</v>
      </c>
      <c r="B840" s="664" t="s">
        <v>1125</v>
      </c>
      <c r="C840" s="664" t="s">
        <v>281</v>
      </c>
      <c r="D840" s="645">
        <v>110416</v>
      </c>
      <c r="E840" s="563" t="s">
        <v>886</v>
      </c>
      <c r="F840" s="647" t="s">
        <v>58</v>
      </c>
      <c r="G840" s="647" t="s">
        <v>24</v>
      </c>
      <c r="H840" s="647" t="s">
        <v>26</v>
      </c>
      <c r="I840" s="575" t="s">
        <v>1626</v>
      </c>
      <c r="J840" s="575">
        <v>1</v>
      </c>
      <c r="K840" s="647" t="s">
        <v>81</v>
      </c>
      <c r="L840" s="657">
        <v>44322</v>
      </c>
      <c r="M840" s="665" t="s">
        <v>906</v>
      </c>
      <c r="N840" s="647" t="s">
        <v>110</v>
      </c>
      <c r="O840" s="575"/>
      <c r="P840" s="665" t="str">
        <f>VLOOKUP(A840,'[1]Raw data'!$B:$BA,23,FALSE)</f>
        <v>JPY</v>
      </c>
      <c r="Q840" s="647" t="str">
        <f>VLOOKUP(A840,'[1]Raw data'!$B:$Z,2,FALSE)</f>
        <v>C49SZX20210009MZ</v>
      </c>
      <c r="R840" s="647" t="str">
        <f>VLOOKUP(A840,'[1]Raw data'!$B:$Z,3,FALSE)</f>
        <v>奥视通</v>
      </c>
      <c r="S840" s="647" t="str">
        <f>VLOOKUP(A840,'[1]Raw data'!$B:$Z,4,FALSE)</f>
        <v>YSM20R-2</v>
      </c>
      <c r="T840" s="647" t="str">
        <f>VLOOKUP(A840,'[1]Raw data'!$B:$Z,8,FALSE)</f>
        <v>L-&gt;R</v>
      </c>
      <c r="U840" s="647" t="str">
        <f>VLOOKUP(A840,'[1]Raw data'!$B:$Z,9,FALSE)</f>
        <v>No</v>
      </c>
      <c r="V840" s="567" t="str">
        <f t="shared" si="149"/>
        <v>OK</v>
      </c>
      <c r="W840" s="563" t="str">
        <f>VLOOKUP(A840,'[1]Raw data'!$B:$AG,32,FALSE)</f>
        <v>DAP HZ</v>
      </c>
      <c r="X840" s="647">
        <f>VLOOKUP(A840,'[1]Raw data'!$B:$BA,31,FALSE)</f>
        <v>44215</v>
      </c>
      <c r="Y840" s="647" t="str">
        <f>VLOOKUP(A840,'[1]Raw data'!$B:$AS,39,FALSE)</f>
        <v>Yes</v>
      </c>
      <c r="Z840" s="659"/>
      <c r="AA840" s="660"/>
      <c r="AB840" s="661"/>
      <c r="AC840" s="647" t="s">
        <v>1426</v>
      </c>
      <c r="AD840" s="662">
        <v>303</v>
      </c>
      <c r="AE840" s="662">
        <v>10</v>
      </c>
      <c r="AF840" s="662">
        <v>311</v>
      </c>
      <c r="AG840" s="662">
        <v>10</v>
      </c>
      <c r="AH840" s="662"/>
      <c r="AI840" s="663"/>
      <c r="AN840" s="542"/>
      <c r="AO840" s="824" t="str">
        <f t="shared" si="140"/>
        <v>Yes</v>
      </c>
      <c r="AP840" s="259" t="str">
        <f t="shared" si="141"/>
        <v>MAY 21</v>
      </c>
      <c r="AQ840" s="542" t="str">
        <f t="shared" si="142"/>
        <v>有定金+有預留客戶</v>
      </c>
      <c r="AR840" s="259" t="str">
        <f t="shared" si="143"/>
        <v>Shipped_Stock</v>
      </c>
      <c r="AS840" s="259" t="str">
        <f t="shared" si="144"/>
        <v/>
      </c>
      <c r="AT840" s="259" t="str">
        <f t="shared" si="145"/>
        <v>奥视通</v>
      </c>
      <c r="AU840" s="259" t="str">
        <f t="shared" si="146"/>
        <v>C49SZX20210009MZ</v>
      </c>
      <c r="AV840" s="259" t="str">
        <f t="shared" si="147"/>
        <v>May-06</v>
      </c>
    </row>
    <row r="841" spans="1:48" hidden="1">
      <c r="A841" s="559">
        <v>1072</v>
      </c>
      <c r="B841" s="664" t="s">
        <v>1125</v>
      </c>
      <c r="C841" s="664" t="s">
        <v>281</v>
      </c>
      <c r="D841" s="645">
        <v>110416</v>
      </c>
      <c r="E841" s="563" t="s">
        <v>886</v>
      </c>
      <c r="F841" s="647" t="s">
        <v>58</v>
      </c>
      <c r="G841" s="647" t="s">
        <v>24</v>
      </c>
      <c r="H841" s="647" t="s">
        <v>26</v>
      </c>
      <c r="I841" s="575" t="s">
        <v>1627</v>
      </c>
      <c r="J841" s="575">
        <v>1</v>
      </c>
      <c r="K841" s="647" t="s">
        <v>81</v>
      </c>
      <c r="L841" s="657">
        <v>44322</v>
      </c>
      <c r="M841" s="665" t="s">
        <v>906</v>
      </c>
      <c r="N841" s="647" t="s">
        <v>110</v>
      </c>
      <c r="O841" s="575"/>
      <c r="P841" s="665" t="str">
        <f>VLOOKUP(A841,'[1]Raw data'!$B:$BA,23,FALSE)</f>
        <v>JPY</v>
      </c>
      <c r="Q841" s="647" t="str">
        <f>VLOOKUP(A841,'[1]Raw data'!$B:$Z,2,FALSE)</f>
        <v>C49SZX20210009MZ</v>
      </c>
      <c r="R841" s="647" t="str">
        <f>VLOOKUP(A841,'[1]Raw data'!$B:$Z,3,FALSE)</f>
        <v>奥视通</v>
      </c>
      <c r="S841" s="647" t="str">
        <f>VLOOKUP(A841,'[1]Raw data'!$B:$Z,4,FALSE)</f>
        <v>YSM20R-2</v>
      </c>
      <c r="T841" s="647" t="str">
        <f>VLOOKUP(A841,'[1]Raw data'!$B:$Z,8,FALSE)</f>
        <v>L-&gt;R</v>
      </c>
      <c r="U841" s="647" t="str">
        <f>VLOOKUP(A841,'[1]Raw data'!$B:$Z,9,FALSE)</f>
        <v>No</v>
      </c>
      <c r="V841" s="567" t="str">
        <f t="shared" si="149"/>
        <v>OK</v>
      </c>
      <c r="W841" s="563" t="str">
        <f>VLOOKUP(A841,'[1]Raw data'!$B:$AG,32,FALSE)</f>
        <v>DAP HZ</v>
      </c>
      <c r="X841" s="647">
        <f>VLOOKUP(A841,'[1]Raw data'!$B:$BA,31,FALSE)</f>
        <v>44215</v>
      </c>
      <c r="Y841" s="647" t="str">
        <f>VLOOKUP(A841,'[1]Raw data'!$B:$AS,39,FALSE)</f>
        <v>Yes</v>
      </c>
      <c r="Z841" s="659"/>
      <c r="AA841" s="660"/>
      <c r="AB841" s="661"/>
      <c r="AC841" s="647" t="s">
        <v>1426</v>
      </c>
      <c r="AD841" s="662">
        <v>303</v>
      </c>
      <c r="AE841" s="662">
        <v>10</v>
      </c>
      <c r="AF841" s="662">
        <v>301</v>
      </c>
      <c r="AG841" s="662">
        <v>10</v>
      </c>
      <c r="AH841" s="662"/>
      <c r="AI841" s="663"/>
      <c r="AN841" s="542"/>
      <c r="AO841" s="824" t="str">
        <f t="shared" si="140"/>
        <v>Yes</v>
      </c>
      <c r="AP841" s="259" t="str">
        <f t="shared" si="141"/>
        <v>MAY 21</v>
      </c>
      <c r="AQ841" s="542" t="str">
        <f t="shared" si="142"/>
        <v>有定金+有預留客戶</v>
      </c>
      <c r="AR841" s="259" t="str">
        <f t="shared" si="143"/>
        <v>Shipped_Stock</v>
      </c>
      <c r="AS841" s="259" t="str">
        <f t="shared" si="144"/>
        <v/>
      </c>
      <c r="AT841" s="259" t="str">
        <f t="shared" si="145"/>
        <v>奥视通</v>
      </c>
      <c r="AU841" s="259" t="str">
        <f t="shared" si="146"/>
        <v>C49SZX20210009MZ</v>
      </c>
      <c r="AV841" s="259" t="str">
        <f t="shared" si="147"/>
        <v>May-06</v>
      </c>
    </row>
    <row r="842" spans="1:48" hidden="1">
      <c r="A842" s="559">
        <v>1073</v>
      </c>
      <c r="B842" s="664" t="s">
        <v>1125</v>
      </c>
      <c r="C842" s="664" t="s">
        <v>281</v>
      </c>
      <c r="D842" s="645">
        <v>110416</v>
      </c>
      <c r="E842" s="563" t="s">
        <v>886</v>
      </c>
      <c r="F842" s="647" t="s">
        <v>58</v>
      </c>
      <c r="G842" s="647" t="s">
        <v>24</v>
      </c>
      <c r="H842" s="647" t="s">
        <v>26</v>
      </c>
      <c r="I842" s="575" t="s">
        <v>1628</v>
      </c>
      <c r="J842" s="575">
        <v>1</v>
      </c>
      <c r="K842" s="647" t="s">
        <v>81</v>
      </c>
      <c r="L842" s="657">
        <v>44322</v>
      </c>
      <c r="M842" s="665" t="s">
        <v>906</v>
      </c>
      <c r="N842" s="647" t="s">
        <v>110</v>
      </c>
      <c r="O842" s="575"/>
      <c r="P842" s="665" t="str">
        <f>VLOOKUP(A842,'[1]Raw data'!$B:$BA,23,FALSE)</f>
        <v>JPY</v>
      </c>
      <c r="Q842" s="647" t="str">
        <f>VLOOKUP(A842,'[1]Raw data'!$B:$Z,2,FALSE)</f>
        <v>C49SZX20210009MZ</v>
      </c>
      <c r="R842" s="647" t="str">
        <f>VLOOKUP(A842,'[1]Raw data'!$B:$Z,3,FALSE)</f>
        <v>奥视通</v>
      </c>
      <c r="S842" s="647" t="str">
        <f>VLOOKUP(A842,'[1]Raw data'!$B:$Z,4,FALSE)</f>
        <v>YSM20R-2</v>
      </c>
      <c r="T842" s="647" t="str">
        <f>VLOOKUP(A842,'[1]Raw data'!$B:$Z,8,FALSE)</f>
        <v>L-&gt;R</v>
      </c>
      <c r="U842" s="647" t="str">
        <f>VLOOKUP(A842,'[1]Raw data'!$B:$Z,9,FALSE)</f>
        <v>No</v>
      </c>
      <c r="V842" s="567" t="str">
        <f t="shared" si="149"/>
        <v>OK</v>
      </c>
      <c r="W842" s="563" t="str">
        <f>VLOOKUP(A842,'[1]Raw data'!$B:$AG,32,FALSE)</f>
        <v>DAP HZ</v>
      </c>
      <c r="X842" s="647">
        <f>VLOOKUP(A842,'[1]Raw data'!$B:$BA,31,FALSE)</f>
        <v>44215</v>
      </c>
      <c r="Y842" s="647" t="str">
        <f>VLOOKUP(A842,'[1]Raw data'!$B:$AS,39,FALSE)</f>
        <v>Yes</v>
      </c>
      <c r="Z842" s="659"/>
      <c r="AA842" s="660"/>
      <c r="AB842" s="661"/>
      <c r="AC842" s="647" t="s">
        <v>1426</v>
      </c>
      <c r="AD842" s="662">
        <v>302</v>
      </c>
      <c r="AE842" s="662">
        <v>10</v>
      </c>
      <c r="AF842" s="662">
        <v>301</v>
      </c>
      <c r="AG842" s="662">
        <v>10</v>
      </c>
      <c r="AH842" s="662"/>
      <c r="AI842" s="663"/>
      <c r="AN842" s="542"/>
      <c r="AO842" s="824" t="str">
        <f t="shared" si="140"/>
        <v>Yes</v>
      </c>
      <c r="AP842" s="259" t="str">
        <f t="shared" si="141"/>
        <v>MAY 21</v>
      </c>
      <c r="AQ842" s="542" t="str">
        <f t="shared" si="142"/>
        <v>有定金+有預留客戶</v>
      </c>
      <c r="AR842" s="259" t="str">
        <f t="shared" si="143"/>
        <v>Shipped_Stock</v>
      </c>
      <c r="AS842" s="259" t="str">
        <f t="shared" si="144"/>
        <v/>
      </c>
      <c r="AT842" s="259" t="str">
        <f t="shared" si="145"/>
        <v>奥视通</v>
      </c>
      <c r="AU842" s="259" t="str">
        <f t="shared" si="146"/>
        <v>C49SZX20210009MZ</v>
      </c>
      <c r="AV842" s="259" t="str">
        <f t="shared" si="147"/>
        <v>May-06</v>
      </c>
    </row>
    <row r="843" spans="1:48" hidden="1">
      <c r="A843" s="559">
        <v>1235</v>
      </c>
      <c r="B843" s="664" t="s">
        <v>1125</v>
      </c>
      <c r="C843" s="664" t="s">
        <v>281</v>
      </c>
      <c r="D843" s="645">
        <v>110416</v>
      </c>
      <c r="E843" s="563" t="s">
        <v>886</v>
      </c>
      <c r="F843" s="647" t="s">
        <v>58</v>
      </c>
      <c r="G843" s="647" t="s">
        <v>24</v>
      </c>
      <c r="H843" s="647" t="s">
        <v>26</v>
      </c>
      <c r="I843" s="575" t="s">
        <v>1629</v>
      </c>
      <c r="J843" s="575">
        <v>1</v>
      </c>
      <c r="K843" s="647" t="s">
        <v>81</v>
      </c>
      <c r="L843" s="657">
        <v>44322</v>
      </c>
      <c r="M843" s="665" t="s">
        <v>906</v>
      </c>
      <c r="N843" s="647" t="s">
        <v>96</v>
      </c>
      <c r="O843" s="575"/>
      <c r="P843" s="665" t="str">
        <f>VLOOKUP(A843,'[1]Raw data'!$B:$BA,23,FALSE)</f>
        <v>JPY</v>
      </c>
      <c r="Q843" s="647" t="str">
        <f>VLOOKUP(A843,'[1]Raw data'!$B:$Z,2,FALSE)</f>
        <v>C49SZX20210035SX</v>
      </c>
      <c r="R843" s="647" t="str">
        <f>VLOOKUP(A843,'[1]Raw data'!$B:$Z,3,FALSE)</f>
        <v>巴科</v>
      </c>
      <c r="S843" s="647" t="str">
        <f>VLOOKUP(A843,'[1]Raw data'!$B:$Z,4,FALSE)</f>
        <v>YSM20R-2</v>
      </c>
      <c r="T843" s="647" t="str">
        <f>VLOOKUP(A843,'[1]Raw data'!$B:$Z,8,FALSE)</f>
        <v>L-&gt;R</v>
      </c>
      <c r="U843" s="647" t="str">
        <f>VLOOKUP(A843,'[1]Raw data'!$B:$Z,9,FALSE)</f>
        <v>No</v>
      </c>
      <c r="V843" s="567" t="str">
        <f t="shared" si="149"/>
        <v>OK</v>
      </c>
      <c r="W843" s="563" t="str">
        <f>VLOOKUP(A843,'[1]Raw data'!$B:$AG,32,FALSE)</f>
        <v>CIF HK</v>
      </c>
      <c r="X843" s="647">
        <f>VLOOKUP(A843,'[1]Raw data'!$B:$BA,31,FALSE)</f>
        <v>44264</v>
      </c>
      <c r="Y843" s="647" t="str">
        <f>VLOOKUP(A843,'[1]Raw data'!$B:$AS,39,FALSE)</f>
        <v>Yes</v>
      </c>
      <c r="Z843" s="659"/>
      <c r="AA843" s="660"/>
      <c r="AB843" s="661"/>
      <c r="AC843" s="647" t="s">
        <v>1582</v>
      </c>
      <c r="AD843" s="662">
        <v>302</v>
      </c>
      <c r="AE843" s="662">
        <v>10</v>
      </c>
      <c r="AF843" s="662">
        <v>301</v>
      </c>
      <c r="AG843" s="662">
        <v>10</v>
      </c>
      <c r="AH843" s="662"/>
      <c r="AI843" s="663"/>
      <c r="AN843" s="542"/>
      <c r="AO843" s="824" t="str">
        <f t="shared" si="140"/>
        <v>Yes</v>
      </c>
      <c r="AP843" s="259" t="str">
        <f t="shared" si="141"/>
        <v>JUN 21</v>
      </c>
      <c r="AQ843" s="542" t="str">
        <f t="shared" si="142"/>
        <v>有定金+有預留客戶</v>
      </c>
      <c r="AR843" s="259" t="str">
        <f t="shared" si="143"/>
        <v>Shipped_Stock</v>
      </c>
      <c r="AS843" s="259" t="str">
        <f t="shared" si="144"/>
        <v/>
      </c>
      <c r="AT843" s="259" t="str">
        <f t="shared" si="145"/>
        <v>巴科</v>
      </c>
      <c r="AU843" s="259" t="str">
        <f t="shared" si="146"/>
        <v>C49SZX20210035SX</v>
      </c>
      <c r="AV843" s="259" t="str">
        <f t="shared" si="147"/>
        <v>May-06</v>
      </c>
    </row>
    <row r="844" spans="1:48" hidden="1">
      <c r="A844" s="559">
        <v>1233</v>
      </c>
      <c r="B844" s="664" t="s">
        <v>1125</v>
      </c>
      <c r="C844" s="664" t="s">
        <v>281</v>
      </c>
      <c r="D844" s="645">
        <v>110416</v>
      </c>
      <c r="E844" s="563" t="s">
        <v>886</v>
      </c>
      <c r="F844" s="647" t="s">
        <v>58</v>
      </c>
      <c r="G844" s="647" t="s">
        <v>24</v>
      </c>
      <c r="H844" s="647" t="s">
        <v>26</v>
      </c>
      <c r="I844" s="745" t="s">
        <v>1630</v>
      </c>
      <c r="J844" s="575">
        <v>1</v>
      </c>
      <c r="K844" s="647" t="s">
        <v>81</v>
      </c>
      <c r="L844" s="657">
        <v>44322</v>
      </c>
      <c r="M844" s="665" t="s">
        <v>906</v>
      </c>
      <c r="N844" s="647" t="s">
        <v>96</v>
      </c>
      <c r="O844" s="575"/>
      <c r="P844" s="665" t="str">
        <f>VLOOKUP(A844,'[1]Raw data'!$B:$BA,23,FALSE)</f>
        <v>JPY</v>
      </c>
      <c r="Q844" s="647" t="str">
        <f>VLOOKUP(A844,'[1]Raw data'!$B:$Z,2,FALSE)</f>
        <v>C49SZX20210035SX</v>
      </c>
      <c r="R844" s="647" t="str">
        <f>VLOOKUP(A844,'[1]Raw data'!$B:$Z,3,FALSE)</f>
        <v>巴科</v>
      </c>
      <c r="S844" s="647" t="str">
        <f>VLOOKUP(A844,'[1]Raw data'!$B:$Z,4,FALSE)</f>
        <v>YSM20R-2</v>
      </c>
      <c r="T844" s="647" t="str">
        <f>VLOOKUP(A844,'[1]Raw data'!$B:$Z,8,FALSE)</f>
        <v>L-&gt;R</v>
      </c>
      <c r="U844" s="647" t="str">
        <f>VLOOKUP(A844,'[1]Raw data'!$B:$Z,9,FALSE)</f>
        <v>No</v>
      </c>
      <c r="V844" s="567" t="str">
        <f t="shared" si="149"/>
        <v>OK</v>
      </c>
      <c r="W844" s="563" t="str">
        <f>VLOOKUP(A844,'[1]Raw data'!$B:$AG,32,FALSE)</f>
        <v>CIF HK</v>
      </c>
      <c r="X844" s="647">
        <f>VLOOKUP(A844,'[1]Raw data'!$B:$BA,31,FALSE)</f>
        <v>44264</v>
      </c>
      <c r="Y844" s="647" t="str">
        <f>VLOOKUP(A844,'[1]Raw data'!$B:$AS,39,FALSE)</f>
        <v>Yes</v>
      </c>
      <c r="Z844" s="659"/>
      <c r="AA844" s="660"/>
      <c r="AB844" s="661"/>
      <c r="AC844" s="647" t="s">
        <v>1609</v>
      </c>
      <c r="AD844" s="662">
        <v>302</v>
      </c>
      <c r="AE844" s="662">
        <v>10</v>
      </c>
      <c r="AF844" s="662">
        <v>302</v>
      </c>
      <c r="AG844" s="662">
        <v>10</v>
      </c>
      <c r="AH844" s="662"/>
      <c r="AI844" s="663"/>
      <c r="AN844" s="542"/>
      <c r="AO844" s="824" t="str">
        <f t="shared" si="140"/>
        <v>Yes</v>
      </c>
      <c r="AP844" s="259" t="str">
        <f t="shared" si="141"/>
        <v>JUN 21</v>
      </c>
      <c r="AQ844" s="542" t="str">
        <f t="shared" si="142"/>
        <v>有定金+有預留客戶</v>
      </c>
      <c r="AR844" s="259" t="str">
        <f t="shared" si="143"/>
        <v>Shipped_Stock</v>
      </c>
      <c r="AS844" s="259" t="str">
        <f t="shared" si="144"/>
        <v/>
      </c>
      <c r="AT844" s="259" t="str">
        <f t="shared" si="145"/>
        <v>巴科</v>
      </c>
      <c r="AU844" s="259" t="str">
        <f t="shared" si="146"/>
        <v>C49SZX20210035SX</v>
      </c>
      <c r="AV844" s="259" t="str">
        <f t="shared" si="147"/>
        <v>May-06</v>
      </c>
    </row>
    <row r="845" spans="1:48" hidden="1">
      <c r="A845" s="559">
        <v>1237</v>
      </c>
      <c r="B845" s="664" t="s">
        <v>1125</v>
      </c>
      <c r="C845" s="664" t="s">
        <v>281</v>
      </c>
      <c r="D845" s="645">
        <v>110416</v>
      </c>
      <c r="E845" s="563" t="s">
        <v>886</v>
      </c>
      <c r="F845" s="647" t="s">
        <v>58</v>
      </c>
      <c r="G845" s="647" t="s">
        <v>24</v>
      </c>
      <c r="H845" s="647" t="s">
        <v>26</v>
      </c>
      <c r="I845" s="575" t="s">
        <v>1631</v>
      </c>
      <c r="J845" s="575">
        <v>1</v>
      </c>
      <c r="K845" s="647" t="s">
        <v>81</v>
      </c>
      <c r="L845" s="657">
        <v>44322</v>
      </c>
      <c r="M845" s="665" t="s">
        <v>906</v>
      </c>
      <c r="N845" s="647" t="s">
        <v>96</v>
      </c>
      <c r="O845" s="575"/>
      <c r="P845" s="665" t="str">
        <f>VLOOKUP(A845,'[1]Raw data'!$B:$BA,23,FALSE)</f>
        <v>JPY</v>
      </c>
      <c r="Q845" s="647" t="str">
        <f>VLOOKUP(A845,'[1]Raw data'!$B:$Z,2,FALSE)</f>
        <v>C49SZX20210035SX</v>
      </c>
      <c r="R845" s="647" t="str">
        <f>VLOOKUP(A845,'[1]Raw data'!$B:$Z,3,FALSE)</f>
        <v>巴科</v>
      </c>
      <c r="S845" s="647" t="str">
        <f>VLOOKUP(A845,'[1]Raw data'!$B:$Z,4,FALSE)</f>
        <v>YSM20R-2</v>
      </c>
      <c r="T845" s="647" t="str">
        <f>VLOOKUP(A845,'[1]Raw data'!$B:$Z,8,FALSE)</f>
        <v>L-&gt;R</v>
      </c>
      <c r="U845" s="647" t="str">
        <f>VLOOKUP(A845,'[1]Raw data'!$B:$Z,9,FALSE)</f>
        <v>No</v>
      </c>
      <c r="V845" s="567" t="str">
        <f t="shared" ref="V845" si="150">IF(G845&amp;H845=T845&amp;U845,"OK","WRONG")</f>
        <v>OK</v>
      </c>
      <c r="W845" s="563" t="str">
        <f>VLOOKUP(A845,'[1]Raw data'!$B:$AG,32,FALSE)</f>
        <v>CIF HK</v>
      </c>
      <c r="X845" s="647">
        <f>VLOOKUP(A845,'[1]Raw data'!$B:$BA,31,FALSE)</f>
        <v>44264</v>
      </c>
      <c r="Y845" s="647" t="str">
        <f>VLOOKUP(A845,'[1]Raw data'!$B:$AS,39,FALSE)</f>
        <v>Yes</v>
      </c>
      <c r="Z845" s="659"/>
      <c r="AA845" s="660"/>
      <c r="AB845" s="661"/>
      <c r="AC845" s="647" t="s">
        <v>1582</v>
      </c>
      <c r="AD845" s="662">
        <v>302</v>
      </c>
      <c r="AE845" s="662">
        <v>10</v>
      </c>
      <c r="AF845" s="662">
        <v>301</v>
      </c>
      <c r="AG845" s="662">
        <v>10</v>
      </c>
      <c r="AH845" s="662"/>
      <c r="AI845" s="663"/>
      <c r="AN845" s="542"/>
      <c r="AO845" s="824" t="str">
        <f t="shared" si="140"/>
        <v>Yes</v>
      </c>
      <c r="AP845" s="259" t="str">
        <f t="shared" si="141"/>
        <v>JUN 21</v>
      </c>
      <c r="AQ845" s="542" t="str">
        <f t="shared" si="142"/>
        <v>有定金+有預留客戶</v>
      </c>
      <c r="AR845" s="259" t="str">
        <f t="shared" si="143"/>
        <v>Shipped_Stock</v>
      </c>
      <c r="AS845" s="259" t="str">
        <f t="shared" si="144"/>
        <v/>
      </c>
      <c r="AT845" s="259" t="str">
        <f t="shared" si="145"/>
        <v>巴科</v>
      </c>
      <c r="AU845" s="259" t="str">
        <f t="shared" si="146"/>
        <v>C49SZX20210035SX</v>
      </c>
      <c r="AV845" s="259" t="str">
        <f t="shared" si="147"/>
        <v>May-06</v>
      </c>
    </row>
    <row r="846" spans="1:48" ht="23.25" hidden="1" customHeight="1">
      <c r="A846" s="559">
        <v>1143</v>
      </c>
      <c r="B846" s="664" t="s">
        <v>1125</v>
      </c>
      <c r="C846" s="664" t="s">
        <v>281</v>
      </c>
      <c r="D846" s="645" t="s">
        <v>1632</v>
      </c>
      <c r="E846" s="563" t="s">
        <v>886</v>
      </c>
      <c r="F846" s="647" t="s">
        <v>241</v>
      </c>
      <c r="G846" s="647" t="s">
        <v>18</v>
      </c>
      <c r="H846" s="647" t="s">
        <v>34</v>
      </c>
      <c r="I846" s="575" t="s">
        <v>1633</v>
      </c>
      <c r="J846" s="575">
        <v>1</v>
      </c>
      <c r="K846" s="647" t="s">
        <v>1419</v>
      </c>
      <c r="L846" s="657">
        <v>44331</v>
      </c>
      <c r="M846" s="678" t="s">
        <v>1634</v>
      </c>
      <c r="N846" s="647" t="s">
        <v>96</v>
      </c>
      <c r="O846" s="575"/>
      <c r="P846" s="665" t="str">
        <f>VLOOKUP(A846,'[1]Raw data'!$B:$BA,23,FALSE)</f>
        <v>RMB</v>
      </c>
      <c r="Q846" s="647" t="str">
        <f>VLOOKUP(A846,'[1]Raw data'!$B:$Z,2,FALSE)</f>
        <v>C49SZX20210048SS</v>
      </c>
      <c r="R846" s="647" t="str">
        <f>VLOOKUP(A846,'[1]Raw data'!$B:$Z,3,FALSE)</f>
        <v>美田</v>
      </c>
      <c r="S846" s="647" t="str">
        <f>VLOOKUP(A846,'[1]Raw data'!$B:$Z,4,FALSE)</f>
        <v>YSM10</v>
      </c>
      <c r="T846" s="647" t="str">
        <f>VLOOKUP(A846,'[1]Raw data'!$B:$Z,8,FALSE)</f>
        <v>L-&gt;R</v>
      </c>
      <c r="U846" s="647" t="str">
        <f>VLOOKUP(A846,'[1]Raw data'!$B:$Z,9,FALSE)</f>
        <v>MVC F&amp;R+ATS15</v>
      </c>
      <c r="V846" s="567" t="str">
        <f t="shared" ref="V846:V857" si="151">IF(G846&amp;H846=T846&amp;U846,"OK","WRONG")</f>
        <v>WRONG</v>
      </c>
      <c r="W846" s="563" t="str">
        <f>VLOOKUP(A846,'[1]Raw data'!$B:$AG,32,FALSE)</f>
        <v>含税到厂</v>
      </c>
      <c r="X846" s="647">
        <f>VLOOKUP(A846,'[1]Raw data'!$B:$BA,31,FALSE)</f>
        <v>44236</v>
      </c>
      <c r="Y846" s="647" t="str">
        <f>VLOOKUP(A846,'[1]Raw data'!$B:$AS,39,FALSE)</f>
        <v>Yes</v>
      </c>
      <c r="Z846" s="659"/>
      <c r="AA846" s="660"/>
      <c r="AB846" s="661"/>
      <c r="AC846" s="647" t="s">
        <v>1635</v>
      </c>
      <c r="AD846" s="662">
        <v>302</v>
      </c>
      <c r="AE846" s="662">
        <v>10</v>
      </c>
      <c r="AF846" s="662"/>
      <c r="AG846" s="662"/>
      <c r="AH846" s="662"/>
      <c r="AI846" s="663"/>
      <c r="AN846" s="542"/>
      <c r="AO846" s="824" t="str">
        <f t="shared" si="140"/>
        <v>Yes</v>
      </c>
      <c r="AP846" s="259" t="str">
        <f t="shared" si="141"/>
        <v>JUN 21</v>
      </c>
      <c r="AQ846" s="542" t="str">
        <f t="shared" si="142"/>
        <v>有定金+有預留客戶</v>
      </c>
      <c r="AR846" s="259" t="str">
        <f t="shared" si="143"/>
        <v>Shipped_Stock</v>
      </c>
      <c r="AS846" s="259" t="str">
        <f t="shared" si="144"/>
        <v/>
      </c>
      <c r="AT846" s="259" t="str">
        <f t="shared" si="145"/>
        <v>美田</v>
      </c>
      <c r="AU846" s="259" t="str">
        <f t="shared" si="146"/>
        <v>C49SZX20210048SS</v>
      </c>
      <c r="AV846" s="259" t="str">
        <f t="shared" si="147"/>
        <v>May-15</v>
      </c>
    </row>
    <row r="847" spans="1:48" ht="21" hidden="1" customHeight="1">
      <c r="A847" s="559">
        <v>1144</v>
      </c>
      <c r="B847" s="664" t="s">
        <v>1125</v>
      </c>
      <c r="C847" s="664" t="s">
        <v>281</v>
      </c>
      <c r="D847" s="645" t="s">
        <v>1632</v>
      </c>
      <c r="E847" s="563" t="s">
        <v>886</v>
      </c>
      <c r="F847" s="647" t="s">
        <v>17</v>
      </c>
      <c r="G847" s="647" t="s">
        <v>18</v>
      </c>
      <c r="H847" s="647" t="s">
        <v>34</v>
      </c>
      <c r="I847" s="575" t="s">
        <v>1636</v>
      </c>
      <c r="J847" s="575">
        <v>1</v>
      </c>
      <c r="K847" s="647" t="s">
        <v>1419</v>
      </c>
      <c r="L847" s="657">
        <v>44331</v>
      </c>
      <c r="M847" s="678" t="s">
        <v>1634</v>
      </c>
      <c r="N847" s="647" t="s">
        <v>96</v>
      </c>
      <c r="O847" s="575"/>
      <c r="P847" s="665" t="str">
        <f>VLOOKUP(A847,'[1]Raw data'!$B:$BA,23,FALSE)</f>
        <v>RMB</v>
      </c>
      <c r="Q847" s="647" t="str">
        <f>VLOOKUP(A847,'[1]Raw data'!$B:$Z,2,FALSE)</f>
        <v>C49SZX20210048SS</v>
      </c>
      <c r="R847" s="647" t="str">
        <f>VLOOKUP(A847,'[1]Raw data'!$B:$Z,3,FALSE)</f>
        <v>美田</v>
      </c>
      <c r="S847" s="647" t="str">
        <f>VLOOKUP(A847,'[1]Raw data'!$B:$Z,4,FALSE)</f>
        <v>YSM10</v>
      </c>
      <c r="T847" s="647" t="str">
        <f>VLOOKUP(A847,'[1]Raw data'!$B:$Z,8,FALSE)</f>
        <v>L-&gt;R</v>
      </c>
      <c r="U847" s="647" t="str">
        <f>VLOOKUP(A847,'[1]Raw data'!$B:$Z,9,FALSE)</f>
        <v>MVC F&amp;R+ATS15</v>
      </c>
      <c r="V847" s="567" t="str">
        <f t="shared" si="151"/>
        <v>WRONG</v>
      </c>
      <c r="W847" s="563" t="str">
        <f>VLOOKUP(A847,'[1]Raw data'!$B:$AG,32,FALSE)</f>
        <v>含税到厂</v>
      </c>
      <c r="X847" s="647">
        <f>VLOOKUP(A847,'[1]Raw data'!$B:$BA,31,FALSE)</f>
        <v>44236</v>
      </c>
      <c r="Y847" s="647" t="str">
        <f>VLOOKUP(A847,'[1]Raw data'!$B:$AS,39,FALSE)</f>
        <v>Yes</v>
      </c>
      <c r="Z847" s="659"/>
      <c r="AA847" s="660"/>
      <c r="AB847" s="661"/>
      <c r="AC847" s="647" t="s">
        <v>1635</v>
      </c>
      <c r="AD847" s="662">
        <v>302</v>
      </c>
      <c r="AE847" s="662">
        <v>10</v>
      </c>
      <c r="AF847" s="662"/>
      <c r="AG847" s="662"/>
      <c r="AH847" s="662"/>
      <c r="AI847" s="663"/>
      <c r="AN847" s="542"/>
      <c r="AO847" s="824" t="str">
        <f t="shared" si="140"/>
        <v>Yes</v>
      </c>
      <c r="AP847" s="259" t="str">
        <f t="shared" si="141"/>
        <v>JUN 21</v>
      </c>
      <c r="AQ847" s="542" t="str">
        <f t="shared" si="142"/>
        <v>有定金+有預留客戶</v>
      </c>
      <c r="AR847" s="259" t="str">
        <f t="shared" si="143"/>
        <v>Shipped_Stock</v>
      </c>
      <c r="AS847" s="259" t="str">
        <f t="shared" si="144"/>
        <v/>
      </c>
      <c r="AT847" s="259" t="str">
        <f t="shared" si="145"/>
        <v>美田</v>
      </c>
      <c r="AU847" s="259" t="str">
        <f t="shared" si="146"/>
        <v>C49SZX20210048SS</v>
      </c>
      <c r="AV847" s="259" t="str">
        <f t="shared" si="147"/>
        <v>May-15</v>
      </c>
    </row>
    <row r="848" spans="1:48" hidden="1">
      <c r="A848" s="559">
        <v>1335</v>
      </c>
      <c r="B848" s="664" t="s">
        <v>1125</v>
      </c>
      <c r="C848" s="664" t="s">
        <v>281</v>
      </c>
      <c r="D848" s="645">
        <v>110248</v>
      </c>
      <c r="E848" s="563" t="s">
        <v>886</v>
      </c>
      <c r="F848" s="647" t="s">
        <v>17</v>
      </c>
      <c r="G848" s="647" t="s">
        <v>18</v>
      </c>
      <c r="H848" s="647" t="s">
        <v>34</v>
      </c>
      <c r="I848" s="575" t="s">
        <v>1637</v>
      </c>
      <c r="J848" s="575">
        <v>1</v>
      </c>
      <c r="K848" s="647" t="s">
        <v>85</v>
      </c>
      <c r="L848" s="657">
        <v>44331</v>
      </c>
      <c r="M848" s="665" t="s">
        <v>906</v>
      </c>
      <c r="N848" s="647" t="s">
        <v>96</v>
      </c>
      <c r="O848" s="575"/>
      <c r="P848" s="665" t="str">
        <f>VLOOKUP(A848,'[1]Raw data'!$B:$BA,23,FALSE)</f>
        <v>JPY</v>
      </c>
      <c r="Q848" s="647" t="str">
        <f>VLOOKUP(A848,'[1]Raw data'!$B:$Z,2,FALSE)</f>
        <v>C49SZX20210112JD</v>
      </c>
      <c r="R848" s="647" t="str">
        <f>VLOOKUP(A848,'[1]Raw data'!$B:$Z,3,FALSE)</f>
        <v>贝爱婴童</v>
      </c>
      <c r="S848" s="647" t="str">
        <f>VLOOKUP(A848,'[1]Raw data'!$B:$Z,4,FALSE)</f>
        <v>YSM10</v>
      </c>
      <c r="T848" s="647" t="str">
        <f>VLOOKUP(A848,'[1]Raw data'!$B:$Z,8,FALSE)</f>
        <v>L-&gt;R</v>
      </c>
      <c r="U848" s="647" t="str">
        <f>VLOOKUP(A848,'[1]Raw data'!$B:$Z,9,FALSE)</f>
        <v>MVC+ATS15</v>
      </c>
      <c r="V848" s="567" t="str">
        <f t="shared" si="151"/>
        <v>WRONG</v>
      </c>
      <c r="W848" s="563" t="str">
        <f>VLOOKUP(A848,'[1]Raw data'!$B:$AG,32,FALSE)</f>
        <v>DAP ZS</v>
      </c>
      <c r="X848" s="647">
        <f>VLOOKUP(A848,'[1]Raw data'!$B:$BA,31,FALSE)</f>
        <v>44300</v>
      </c>
      <c r="Y848" s="647" t="str">
        <f>VLOOKUP(A848,'[1]Raw data'!$B:$AS,39,FALSE)</f>
        <v>Yes</v>
      </c>
      <c r="Z848" s="659"/>
      <c r="AA848" s="660"/>
      <c r="AB848" s="661"/>
      <c r="AC848" s="647" t="s">
        <v>1638</v>
      </c>
      <c r="AD848" s="662">
        <v>302</v>
      </c>
      <c r="AE848" s="662">
        <v>10</v>
      </c>
      <c r="AF848" s="662"/>
      <c r="AG848" s="662"/>
      <c r="AH848" s="662"/>
      <c r="AI848" s="663"/>
      <c r="AN848" s="542"/>
      <c r="AO848" s="824" t="str">
        <f t="shared" si="140"/>
        <v>Yes</v>
      </c>
      <c r="AP848" s="259" t="str">
        <f t="shared" si="141"/>
        <v>JUN 21</v>
      </c>
      <c r="AQ848" s="542" t="str">
        <f t="shared" si="142"/>
        <v>有定金+有預留客戶</v>
      </c>
      <c r="AR848" s="259" t="str">
        <f t="shared" si="143"/>
        <v>Shipped_Stock</v>
      </c>
      <c r="AS848" s="259" t="str">
        <f t="shared" si="144"/>
        <v/>
      </c>
      <c r="AT848" s="259" t="str">
        <f t="shared" si="145"/>
        <v>贝爱婴童</v>
      </c>
      <c r="AU848" s="259" t="str">
        <f t="shared" si="146"/>
        <v>C49SZX20210112JD</v>
      </c>
      <c r="AV848" s="259" t="str">
        <f t="shared" si="147"/>
        <v>May-15</v>
      </c>
    </row>
    <row r="849" spans="1:48" hidden="1">
      <c r="A849" s="559">
        <v>1278</v>
      </c>
      <c r="B849" s="664" t="s">
        <v>1125</v>
      </c>
      <c r="C849" s="664" t="s">
        <v>281</v>
      </c>
      <c r="D849" s="645">
        <v>110248</v>
      </c>
      <c r="E849" s="563" t="s">
        <v>886</v>
      </c>
      <c r="F849" s="647" t="s">
        <v>17</v>
      </c>
      <c r="G849" s="647" t="s">
        <v>18</v>
      </c>
      <c r="H849" s="647" t="s">
        <v>27</v>
      </c>
      <c r="I849" s="575" t="s">
        <v>1639</v>
      </c>
      <c r="J849" s="575">
        <v>1</v>
      </c>
      <c r="K849" s="647" t="s">
        <v>85</v>
      </c>
      <c r="L849" s="657">
        <v>44331</v>
      </c>
      <c r="M849" s="665" t="s">
        <v>906</v>
      </c>
      <c r="N849" s="647" t="s">
        <v>96</v>
      </c>
      <c r="O849" s="575"/>
      <c r="P849" s="665" t="str">
        <f>VLOOKUP(A849,'[1]Raw data'!$B:$BA,23,FALSE)</f>
        <v>RMB</v>
      </c>
      <c r="Q849" s="647" t="str">
        <f>VLOOKUP(A849,'[1]Raw data'!$B:$Z,2,FALSE)</f>
        <v>C49SZX20210085JL</v>
      </c>
      <c r="R849" s="647" t="str">
        <f>VLOOKUP(A849,'[1]Raw data'!$B:$Z,3,FALSE)</f>
        <v>欧科讯</v>
      </c>
      <c r="S849" s="647" t="str">
        <f>VLOOKUP(A849,'[1]Raw data'!$B:$Z,4,FALSE)</f>
        <v>YSM10</v>
      </c>
      <c r="T849" s="647" t="str">
        <f>VLOOKUP(A849,'[1]Raw data'!$B:$Z,8,FALSE)</f>
        <v>R-&gt;L</v>
      </c>
      <c r="U849" s="647" t="str">
        <f>VLOOKUP(A849,'[1]Raw data'!$B:$Z,9,FALSE)</f>
        <v>MVC</v>
      </c>
      <c r="V849" s="567" t="str">
        <f t="shared" si="151"/>
        <v>OK</v>
      </c>
      <c r="W849" s="563" t="str">
        <f>VLOOKUP(A849,'[1]Raw data'!$B:$AG,32,FALSE)</f>
        <v>DDP SZ</v>
      </c>
      <c r="X849" s="647">
        <f>VLOOKUP(A849,'[1]Raw data'!$B:$BA,31,FALSE)</f>
        <v>44271</v>
      </c>
      <c r="Y849" s="647" t="str">
        <f>VLOOKUP(A849,'[1]Raw data'!$B:$AS,39,FALSE)</f>
        <v>Yes</v>
      </c>
      <c r="Z849" s="659"/>
      <c r="AA849" s="660"/>
      <c r="AB849" s="661"/>
      <c r="AC849" s="563" t="s">
        <v>805</v>
      </c>
      <c r="AD849" s="662">
        <v>301</v>
      </c>
      <c r="AE849" s="662">
        <v>10</v>
      </c>
      <c r="AF849" s="662"/>
      <c r="AG849" s="662"/>
      <c r="AH849" s="662"/>
      <c r="AI849" s="663"/>
      <c r="AN849" s="542"/>
      <c r="AO849" s="824" t="str">
        <f t="shared" si="140"/>
        <v>Yes</v>
      </c>
      <c r="AP849" s="259" t="str">
        <f t="shared" si="141"/>
        <v>JUN 21</v>
      </c>
      <c r="AQ849" s="542" t="str">
        <f t="shared" si="142"/>
        <v>有定金+有預留客戶</v>
      </c>
      <c r="AR849" s="259" t="str">
        <f t="shared" si="143"/>
        <v>Shipped_Stock</v>
      </c>
      <c r="AS849" s="259" t="str">
        <f t="shared" si="144"/>
        <v/>
      </c>
      <c r="AT849" s="259" t="str">
        <f t="shared" si="145"/>
        <v>欧科讯</v>
      </c>
      <c r="AU849" s="259" t="str">
        <f t="shared" si="146"/>
        <v>C49SZX20210085JL</v>
      </c>
      <c r="AV849" s="259" t="str">
        <f t="shared" si="147"/>
        <v>May-15</v>
      </c>
    </row>
    <row r="850" spans="1:48" hidden="1">
      <c r="A850" s="559">
        <v>1336</v>
      </c>
      <c r="B850" s="664" t="s">
        <v>1125</v>
      </c>
      <c r="C850" s="664" t="s">
        <v>281</v>
      </c>
      <c r="D850" s="645" t="s">
        <v>1640</v>
      </c>
      <c r="E850" s="563" t="s">
        <v>886</v>
      </c>
      <c r="F850" s="647" t="s">
        <v>17</v>
      </c>
      <c r="G850" s="647" t="s">
        <v>18</v>
      </c>
      <c r="H850" s="647" t="s">
        <v>27</v>
      </c>
      <c r="I850" s="575" t="s">
        <v>1641</v>
      </c>
      <c r="J850" s="575">
        <v>1</v>
      </c>
      <c r="K850" s="647" t="s">
        <v>1419</v>
      </c>
      <c r="L850" s="657">
        <v>44331</v>
      </c>
      <c r="M850" s="665">
        <v>5.9499999999999997E-2</v>
      </c>
      <c r="N850" s="647" t="s">
        <v>96</v>
      </c>
      <c r="O850" s="575"/>
      <c r="P850" s="665" t="str">
        <f>VLOOKUP(A850,'[1]Raw data'!$B:$BA,23,FALSE)</f>
        <v>RMB</v>
      </c>
      <c r="Q850" s="647" t="str">
        <f>VLOOKUP(A850,'[1]Raw data'!$B:$Z,2,FALSE)</f>
        <v>C49SZX20210115DY</v>
      </c>
      <c r="R850" s="647" t="str">
        <f>VLOOKUP(A850,'[1]Raw data'!$B:$Z,3,FALSE)</f>
        <v>亮瑞</v>
      </c>
      <c r="S850" s="647" t="str">
        <f>VLOOKUP(A850,'[1]Raw data'!$B:$Z,4,FALSE)</f>
        <v>YSM10</v>
      </c>
      <c r="T850" s="647" t="str">
        <f>VLOOKUP(A850,'[1]Raw data'!$B:$Z,8,FALSE)</f>
        <v>L-&gt;R</v>
      </c>
      <c r="U850" s="647" t="str">
        <f>VLOOKUP(A850,'[1]Raw data'!$B:$Z,9,FALSE)</f>
        <v>MVC</v>
      </c>
      <c r="V850" s="567" t="str">
        <f t="shared" si="151"/>
        <v>WRONG</v>
      </c>
      <c r="W850" s="563" t="str">
        <f>VLOOKUP(A850,'[1]Raw data'!$B:$AG,32,FALSE)</f>
        <v>DDP SZ</v>
      </c>
      <c r="X850" s="647">
        <f>VLOOKUP(A850,'[1]Raw data'!$B:$BA,31,FALSE)</f>
        <v>44300</v>
      </c>
      <c r="Y850" s="647" t="str">
        <f>VLOOKUP(A850,'[1]Raw data'!$B:$AS,39,FALSE)</f>
        <v>Yes</v>
      </c>
      <c r="Z850" s="659"/>
      <c r="AA850" s="660"/>
      <c r="AB850" s="661"/>
      <c r="AC850" s="647" t="s">
        <v>1642</v>
      </c>
      <c r="AD850" s="662">
        <v>301</v>
      </c>
      <c r="AE850" s="662">
        <v>10</v>
      </c>
      <c r="AF850" s="662"/>
      <c r="AG850" s="662"/>
      <c r="AH850" s="662"/>
      <c r="AI850" s="663"/>
      <c r="AN850" s="542"/>
      <c r="AO850" s="824" t="str">
        <f t="shared" si="140"/>
        <v>Yes</v>
      </c>
      <c r="AP850" s="259" t="str">
        <f t="shared" si="141"/>
        <v>JUN 21</v>
      </c>
      <c r="AQ850" s="542" t="str">
        <f t="shared" si="142"/>
        <v>有定金+有預留客戶</v>
      </c>
      <c r="AR850" s="259" t="str">
        <f t="shared" si="143"/>
        <v>Shipped_Stock</v>
      </c>
      <c r="AS850" s="259" t="str">
        <f t="shared" si="144"/>
        <v/>
      </c>
      <c r="AT850" s="259" t="str">
        <f t="shared" si="145"/>
        <v>亮瑞</v>
      </c>
      <c r="AU850" s="259" t="str">
        <f t="shared" si="146"/>
        <v>C49SZX20210115DY</v>
      </c>
      <c r="AV850" s="259" t="str">
        <f t="shared" si="147"/>
        <v>May-15</v>
      </c>
    </row>
    <row r="851" spans="1:48" hidden="1">
      <c r="A851" s="559">
        <v>1370</v>
      </c>
      <c r="B851" s="664" t="s">
        <v>1125</v>
      </c>
      <c r="C851" s="664" t="s">
        <v>281</v>
      </c>
      <c r="D851" s="645">
        <v>110248</v>
      </c>
      <c r="E851" s="563" t="s">
        <v>886</v>
      </c>
      <c r="F851" s="647" t="s">
        <v>17</v>
      </c>
      <c r="G851" s="647" t="s">
        <v>18</v>
      </c>
      <c r="H851" s="647" t="s">
        <v>26</v>
      </c>
      <c r="I851" s="575" t="s">
        <v>1643</v>
      </c>
      <c r="J851" s="575">
        <v>1</v>
      </c>
      <c r="K851" s="647" t="s">
        <v>81</v>
      </c>
      <c r="L851" s="657">
        <v>44331</v>
      </c>
      <c r="M851" s="676" t="s">
        <v>258</v>
      </c>
      <c r="N851" s="647" t="s">
        <v>96</v>
      </c>
      <c r="O851" s="575"/>
      <c r="P851" s="665" t="str">
        <f>VLOOKUP(A851,'[1]Raw data'!$B:$BA,23,FALSE)</f>
        <v>JPY</v>
      </c>
      <c r="Q851" s="647" t="str">
        <f>VLOOKUP(A851,'[1]Raw data'!$B:$Z,2,FALSE)</f>
        <v>C49SZX20210149DY</v>
      </c>
      <c r="R851" s="647" t="str">
        <f>VLOOKUP(A851,'[1]Raw data'!$B:$Z,3,FALSE)</f>
        <v>格隆</v>
      </c>
      <c r="S851" s="647" t="str">
        <f>VLOOKUP(A851,'[1]Raw data'!$B:$Z,4,FALSE)</f>
        <v>YSM10</v>
      </c>
      <c r="T851" s="647" t="str">
        <f>VLOOKUP(A851,'[1]Raw data'!$B:$Z,8,FALSE)</f>
        <v>L-&gt;R</v>
      </c>
      <c r="U851" s="647" t="str">
        <f>VLOOKUP(A851,'[1]Raw data'!$B:$Z,9,FALSE)</f>
        <v>MVC</v>
      </c>
      <c r="V851" s="567" t="str">
        <f t="shared" si="151"/>
        <v>WRONG</v>
      </c>
      <c r="W851" s="563" t="str">
        <f>VLOOKUP(A851,'[1]Raw data'!$B:$AG,32,FALSE)</f>
        <v>CIF HK</v>
      </c>
      <c r="X851" s="647">
        <f>VLOOKUP(A851,'[1]Raw data'!$B:$BA,31,FALSE)</f>
        <v>44330</v>
      </c>
      <c r="Y851" s="647" t="str">
        <f>VLOOKUP(A851,'[1]Raw data'!$B:$AS,39,FALSE)</f>
        <v>Yes</v>
      </c>
      <c r="Z851" s="659"/>
      <c r="AA851" s="660"/>
      <c r="AB851" s="661"/>
      <c r="AC851" s="647" t="s">
        <v>1644</v>
      </c>
      <c r="AD851" s="662">
        <v>312</v>
      </c>
      <c r="AE851" s="662">
        <v>10</v>
      </c>
      <c r="AF851" s="662"/>
      <c r="AG851" s="662"/>
      <c r="AH851" s="662"/>
      <c r="AI851" s="663"/>
      <c r="AN851" s="542"/>
      <c r="AO851" s="824" t="str">
        <f t="shared" si="140"/>
        <v>Yes</v>
      </c>
      <c r="AP851" s="259" t="str">
        <f t="shared" si="141"/>
        <v>JUN 21</v>
      </c>
      <c r="AQ851" s="542" t="str">
        <f t="shared" si="142"/>
        <v>有定金+有預留客戶</v>
      </c>
      <c r="AR851" s="259" t="str">
        <f t="shared" si="143"/>
        <v>Shipped_Stock</v>
      </c>
      <c r="AS851" s="259" t="str">
        <f t="shared" si="144"/>
        <v/>
      </c>
      <c r="AT851" s="259" t="str">
        <f t="shared" si="145"/>
        <v>格隆</v>
      </c>
      <c r="AU851" s="259" t="str">
        <f t="shared" si="146"/>
        <v>C49SZX20210149DY</v>
      </c>
      <c r="AV851" s="259" t="str">
        <f t="shared" si="147"/>
        <v>May-15</v>
      </c>
    </row>
    <row r="852" spans="1:48" hidden="1">
      <c r="A852" s="559">
        <v>1243</v>
      </c>
      <c r="B852" s="664" t="s">
        <v>1125</v>
      </c>
      <c r="C852" s="664" t="s">
        <v>281</v>
      </c>
      <c r="D852" s="645">
        <v>110248</v>
      </c>
      <c r="E852" s="563" t="s">
        <v>886</v>
      </c>
      <c r="F852" s="647" t="s">
        <v>17</v>
      </c>
      <c r="G852" s="647" t="s">
        <v>18</v>
      </c>
      <c r="H852" s="647" t="s">
        <v>26</v>
      </c>
      <c r="I852" s="745" t="s">
        <v>1645</v>
      </c>
      <c r="J852" s="575">
        <v>1</v>
      </c>
      <c r="K852" s="647" t="s">
        <v>81</v>
      </c>
      <c r="L852" s="657">
        <v>44331</v>
      </c>
      <c r="M852" s="665" t="s">
        <v>906</v>
      </c>
      <c r="N852" s="647" t="s">
        <v>96</v>
      </c>
      <c r="O852" s="575"/>
      <c r="P852" s="665" t="str">
        <f>VLOOKUP(A852,'[1]Raw data'!$B:$BA,23,FALSE)</f>
        <v>JPY</v>
      </c>
      <c r="Q852" s="647" t="str">
        <f>VLOOKUP(A852,'[1]Raw data'!$B:$Z,2,FALSE)</f>
        <v>C49SZX20210035SX</v>
      </c>
      <c r="R852" s="647" t="str">
        <f>VLOOKUP(A852,'[1]Raw data'!$B:$Z,3,FALSE)</f>
        <v>巴科</v>
      </c>
      <c r="S852" s="647" t="str">
        <f>VLOOKUP(A852,'[1]Raw data'!$B:$Z,4,FALSE)</f>
        <v>YSM10</v>
      </c>
      <c r="T852" s="647" t="str">
        <f>VLOOKUP(A852,'[1]Raw data'!$B:$Z,8,FALSE)</f>
        <v>L-&gt;R</v>
      </c>
      <c r="U852" s="647" t="str">
        <f>VLOOKUP(A852,'[1]Raw data'!$B:$Z,9,FALSE)</f>
        <v>No</v>
      </c>
      <c r="V852" s="567" t="str">
        <f t="shared" si="151"/>
        <v>WRONG</v>
      </c>
      <c r="W852" s="563" t="str">
        <f>VLOOKUP(A852,'[1]Raw data'!$B:$AG,32,FALSE)</f>
        <v>CIF HK</v>
      </c>
      <c r="X852" s="647">
        <f>VLOOKUP(A852,'[1]Raw data'!$B:$BA,31,FALSE)</f>
        <v>44264</v>
      </c>
      <c r="Y852" s="647" t="str">
        <f>VLOOKUP(A852,'[1]Raw data'!$B:$AS,39,FALSE)</f>
        <v>Yes</v>
      </c>
      <c r="Z852" s="659"/>
      <c r="AA852" s="660"/>
      <c r="AB852" s="661"/>
      <c r="AC852" s="647" t="s">
        <v>1609</v>
      </c>
      <c r="AD852" s="662">
        <v>312</v>
      </c>
      <c r="AE852" s="662">
        <v>10</v>
      </c>
      <c r="AF852" s="662"/>
      <c r="AG852" s="662"/>
      <c r="AH852" s="662"/>
      <c r="AI852" s="663"/>
      <c r="AN852" s="542"/>
      <c r="AO852" s="824" t="str">
        <f t="shared" si="140"/>
        <v>Yes</v>
      </c>
      <c r="AP852" s="259" t="str">
        <f t="shared" si="141"/>
        <v>JUN 21</v>
      </c>
      <c r="AQ852" s="542" t="str">
        <f t="shared" si="142"/>
        <v>有定金+有預留客戶</v>
      </c>
      <c r="AR852" s="259" t="str">
        <f t="shared" si="143"/>
        <v>Shipped_Stock</v>
      </c>
      <c r="AS852" s="259" t="str">
        <f t="shared" si="144"/>
        <v/>
      </c>
      <c r="AT852" s="259" t="str">
        <f t="shared" si="145"/>
        <v>巴科</v>
      </c>
      <c r="AU852" s="259" t="str">
        <f t="shared" si="146"/>
        <v>C49SZX20210035SX</v>
      </c>
      <c r="AV852" s="259" t="str">
        <f t="shared" si="147"/>
        <v>May-15</v>
      </c>
    </row>
    <row r="853" spans="1:48" hidden="1">
      <c r="A853" s="559">
        <v>1378</v>
      </c>
      <c r="B853" s="664" t="s">
        <v>1125</v>
      </c>
      <c r="C853" s="664" t="s">
        <v>281</v>
      </c>
      <c r="D853" s="645">
        <v>110248</v>
      </c>
      <c r="E853" s="563" t="s">
        <v>886</v>
      </c>
      <c r="F853" s="647" t="s">
        <v>17</v>
      </c>
      <c r="G853" s="647" t="s">
        <v>18</v>
      </c>
      <c r="H853" s="647" t="s">
        <v>27</v>
      </c>
      <c r="I853" s="575" t="s">
        <v>1646</v>
      </c>
      <c r="J853" s="575">
        <v>1</v>
      </c>
      <c r="K853" s="647" t="s">
        <v>81</v>
      </c>
      <c r="L853" s="657">
        <v>44331</v>
      </c>
      <c r="M853" s="665" t="s">
        <v>906</v>
      </c>
      <c r="N853" s="647" t="s">
        <v>96</v>
      </c>
      <c r="O853" s="575"/>
      <c r="P853" s="665" t="str">
        <f>VLOOKUP(A853,'[1]Raw data'!$B:$BA,23,FALSE)</f>
        <v>JPY</v>
      </c>
      <c r="Q853" s="647" t="str">
        <f>VLOOKUP(A853,'[1]Raw data'!$B:$Z,2,FALSE)</f>
        <v>C49SZX20210153MZ</v>
      </c>
      <c r="R853" s="647" t="str">
        <f>VLOOKUP(A853,'[1]Raw data'!$B:$Z,3,FALSE)</f>
        <v>巨能</v>
      </c>
      <c r="S853" s="647" t="str">
        <f>VLOOKUP(A853,'[1]Raw data'!$B:$Z,4,FALSE)</f>
        <v>YSM10</v>
      </c>
      <c r="T853" s="647" t="str">
        <f>VLOOKUP(A853,'[1]Raw data'!$B:$Z,8,FALSE)</f>
        <v>L-&gt;R</v>
      </c>
      <c r="U853" s="647" t="str">
        <f>VLOOKUP(A853,'[1]Raw data'!$B:$Z,9,FALSE)</f>
        <v>MVC</v>
      </c>
      <c r="V853" s="567" t="str">
        <f t="shared" si="151"/>
        <v>WRONG</v>
      </c>
      <c r="W853" s="563" t="str">
        <f>VLOOKUP(A853,'[1]Raw data'!$B:$AG,32,FALSE)</f>
        <v>DAP SZ</v>
      </c>
      <c r="X853" s="647">
        <f>VLOOKUP(A853,'[1]Raw data'!$B:$BA,31,FALSE)</f>
        <v>44337</v>
      </c>
      <c r="Y853" s="647" t="str">
        <f>VLOOKUP(A853,'[1]Raw data'!$B:$AS,39,FALSE)</f>
        <v>Yes</v>
      </c>
      <c r="Z853" s="659"/>
      <c r="AA853" s="660"/>
      <c r="AB853" s="661"/>
      <c r="AC853" s="647" t="s">
        <v>1647</v>
      </c>
      <c r="AD853" s="662">
        <v>301</v>
      </c>
      <c r="AE853" s="662">
        <v>10</v>
      </c>
      <c r="AF853" s="662"/>
      <c r="AG853" s="662"/>
      <c r="AH853" s="662"/>
      <c r="AI853" s="663"/>
      <c r="AN853" s="542"/>
      <c r="AO853" s="824" t="str">
        <f t="shared" si="140"/>
        <v>Yes</v>
      </c>
      <c r="AP853" s="259" t="str">
        <f t="shared" si="141"/>
        <v>JUN 21</v>
      </c>
      <c r="AQ853" s="542" t="str">
        <f t="shared" si="142"/>
        <v>有定金+有預留客戶</v>
      </c>
      <c r="AR853" s="259" t="str">
        <f t="shared" si="143"/>
        <v>Shipped_Stock</v>
      </c>
      <c r="AS853" s="259" t="str">
        <f t="shared" si="144"/>
        <v/>
      </c>
      <c r="AT853" s="259" t="str">
        <f t="shared" si="145"/>
        <v>巨能</v>
      </c>
      <c r="AU853" s="259" t="str">
        <f t="shared" si="146"/>
        <v>C49SZX20210153MZ</v>
      </c>
      <c r="AV853" s="259" t="str">
        <f t="shared" si="147"/>
        <v>May-15</v>
      </c>
    </row>
    <row r="854" spans="1:48" hidden="1">
      <c r="A854" s="559">
        <v>1298</v>
      </c>
      <c r="B854" s="664" t="s">
        <v>1125</v>
      </c>
      <c r="C854" s="664" t="s">
        <v>281</v>
      </c>
      <c r="D854" s="645">
        <v>110248</v>
      </c>
      <c r="E854" s="563" t="s">
        <v>886</v>
      </c>
      <c r="F854" s="647" t="s">
        <v>17</v>
      </c>
      <c r="G854" s="647" t="s">
        <v>18</v>
      </c>
      <c r="H854" s="647" t="s">
        <v>27</v>
      </c>
      <c r="I854" s="575" t="s">
        <v>1648</v>
      </c>
      <c r="J854" s="575">
        <v>1</v>
      </c>
      <c r="K854" s="647" t="s">
        <v>81</v>
      </c>
      <c r="L854" s="657">
        <v>44331</v>
      </c>
      <c r="M854" s="665" t="s">
        <v>906</v>
      </c>
      <c r="N854" s="647" t="s">
        <v>110</v>
      </c>
      <c r="O854" s="575"/>
      <c r="P854" s="665" t="str">
        <f>VLOOKUP(A854,'[1]Raw data'!$B:$BA,23,FALSE)</f>
        <v>JPY</v>
      </c>
      <c r="Q854" s="647" t="str">
        <f>VLOOKUP(A854,'[1]Raw data'!$B:$Z,2,FALSE)</f>
        <v>C49SZX20210107SX</v>
      </c>
      <c r="R854" s="647" t="str">
        <f>VLOOKUP(A854,'[1]Raw data'!$B:$Z,3,FALSE)</f>
        <v>君泽</v>
      </c>
      <c r="S854" s="647" t="str">
        <f>VLOOKUP(A854,'[1]Raw data'!$B:$Z,4,FALSE)</f>
        <v>YSM10</v>
      </c>
      <c r="T854" s="647" t="str">
        <f>VLOOKUP(A854,'[1]Raw data'!$B:$Z,8,FALSE)</f>
        <v>R-&gt;L</v>
      </c>
      <c r="U854" s="647" t="str">
        <f>VLOOKUP(A854,'[1]Raw data'!$B:$Z,9,FALSE)</f>
        <v>MVC</v>
      </c>
      <c r="V854" s="567" t="str">
        <f t="shared" si="151"/>
        <v>OK</v>
      </c>
      <c r="W854" s="563" t="str">
        <f>VLOOKUP(A854,'[1]Raw data'!$B:$AG,32,FALSE)</f>
        <v>DAP DG</v>
      </c>
      <c r="X854" s="647">
        <f>VLOOKUP(A854,'[1]Raw data'!$B:$BA,31,FALSE)</f>
        <v>44293</v>
      </c>
      <c r="Y854" s="647" t="str">
        <f>VLOOKUP(A854,'[1]Raw data'!$B:$AS,39,FALSE)</f>
        <v>Yes</v>
      </c>
      <c r="Z854" s="659"/>
      <c r="AA854" s="660"/>
      <c r="AB854" s="661"/>
      <c r="AC854" s="647" t="s">
        <v>1649</v>
      </c>
      <c r="AD854" s="662">
        <v>301</v>
      </c>
      <c r="AE854" s="662">
        <v>10</v>
      </c>
      <c r="AF854" s="662"/>
      <c r="AG854" s="662"/>
      <c r="AH854" s="662"/>
      <c r="AI854" s="663"/>
      <c r="AN854" s="542"/>
      <c r="AO854" s="824" t="str">
        <f t="shared" si="140"/>
        <v>Yes</v>
      </c>
      <c r="AP854" s="259" t="str">
        <f t="shared" si="141"/>
        <v>MAY 21</v>
      </c>
      <c r="AQ854" s="542" t="str">
        <f t="shared" si="142"/>
        <v>有定金+有預留客戶</v>
      </c>
      <c r="AR854" s="259" t="str">
        <f t="shared" si="143"/>
        <v>Shipped_Stock</v>
      </c>
      <c r="AS854" s="259" t="str">
        <f t="shared" si="144"/>
        <v/>
      </c>
      <c r="AT854" s="259" t="str">
        <f t="shared" si="145"/>
        <v>君泽</v>
      </c>
      <c r="AU854" s="259" t="str">
        <f t="shared" si="146"/>
        <v>C49SZX20210107SX</v>
      </c>
      <c r="AV854" s="259" t="str">
        <f t="shared" si="147"/>
        <v>May-15</v>
      </c>
    </row>
    <row r="855" spans="1:48" hidden="1">
      <c r="A855" s="559">
        <v>1297</v>
      </c>
      <c r="B855" s="664" t="s">
        <v>1125</v>
      </c>
      <c r="C855" s="664" t="s">
        <v>281</v>
      </c>
      <c r="D855" s="645">
        <v>110248</v>
      </c>
      <c r="E855" s="563" t="s">
        <v>886</v>
      </c>
      <c r="F855" s="647" t="s">
        <v>17</v>
      </c>
      <c r="G855" s="647" t="s">
        <v>18</v>
      </c>
      <c r="H855" s="647" t="s">
        <v>27</v>
      </c>
      <c r="I855" s="575" t="s">
        <v>1650</v>
      </c>
      <c r="J855" s="575">
        <v>1</v>
      </c>
      <c r="K855" s="647" t="s">
        <v>81</v>
      </c>
      <c r="L855" s="657">
        <v>44331</v>
      </c>
      <c r="M855" s="665" t="s">
        <v>1613</v>
      </c>
      <c r="N855" s="647" t="s">
        <v>110</v>
      </c>
      <c r="O855" s="575"/>
      <c r="P855" s="665" t="str">
        <f>VLOOKUP(A855,'[1]Raw data'!$B:$BA,23,FALSE)</f>
        <v>JPY</v>
      </c>
      <c r="Q855" s="647" t="str">
        <f>VLOOKUP(A855,'[1]Raw data'!$B:$Z,2,FALSE)</f>
        <v>C49SZX20210107SX</v>
      </c>
      <c r="R855" s="647" t="str">
        <f>VLOOKUP(A855,'[1]Raw data'!$B:$Z,3,FALSE)</f>
        <v>君泽</v>
      </c>
      <c r="S855" s="647" t="str">
        <f>VLOOKUP(A855,'[1]Raw data'!$B:$Z,4,FALSE)</f>
        <v>YSM10</v>
      </c>
      <c r="T855" s="647" t="str">
        <f>VLOOKUP(A855,'[1]Raw data'!$B:$Z,8,FALSE)</f>
        <v>L-&gt;R</v>
      </c>
      <c r="U855" s="647" t="str">
        <f>VLOOKUP(A855,'[1]Raw data'!$B:$Z,9,FALSE)</f>
        <v>MVC</v>
      </c>
      <c r="V855" s="567" t="str">
        <f t="shared" si="151"/>
        <v>WRONG</v>
      </c>
      <c r="W855" s="563" t="str">
        <f>VLOOKUP(A855,'[1]Raw data'!$B:$AG,32,FALSE)</f>
        <v>DAP DG</v>
      </c>
      <c r="X855" s="647">
        <f>VLOOKUP(A855,'[1]Raw data'!$B:$BA,31,FALSE)</f>
        <v>44293</v>
      </c>
      <c r="Y855" s="647" t="str">
        <f>VLOOKUP(A855,'[1]Raw data'!$B:$AS,39,FALSE)</f>
        <v>Yes</v>
      </c>
      <c r="Z855" s="659"/>
      <c r="AA855" s="660"/>
      <c r="AB855" s="661"/>
      <c r="AC855" s="647" t="s">
        <v>1649</v>
      </c>
      <c r="AD855" s="662">
        <v>301</v>
      </c>
      <c r="AE855" s="662">
        <v>10</v>
      </c>
      <c r="AF855" s="662"/>
      <c r="AG855" s="662"/>
      <c r="AH855" s="662"/>
      <c r="AI855" s="663"/>
      <c r="AN855" s="542"/>
      <c r="AO855" s="824" t="str">
        <f t="shared" si="140"/>
        <v>Yes</v>
      </c>
      <c r="AP855" s="259" t="str">
        <f t="shared" si="141"/>
        <v>MAY 21</v>
      </c>
      <c r="AQ855" s="542" t="str">
        <f t="shared" si="142"/>
        <v>有定金+有預留客戶</v>
      </c>
      <c r="AR855" s="259" t="str">
        <f t="shared" si="143"/>
        <v>Shipped_Stock</v>
      </c>
      <c r="AS855" s="259" t="str">
        <f t="shared" si="144"/>
        <v/>
      </c>
      <c r="AT855" s="259" t="str">
        <f t="shared" si="145"/>
        <v>君泽</v>
      </c>
      <c r="AU855" s="259" t="str">
        <f t="shared" si="146"/>
        <v>C49SZX20210107SX</v>
      </c>
      <c r="AV855" s="259" t="str">
        <f t="shared" si="147"/>
        <v>May-15</v>
      </c>
    </row>
    <row r="856" spans="1:48" hidden="1">
      <c r="A856" s="559">
        <v>1244</v>
      </c>
      <c r="B856" s="664" t="s">
        <v>1125</v>
      </c>
      <c r="C856" s="664" t="s">
        <v>281</v>
      </c>
      <c r="D856" s="645">
        <v>110248</v>
      </c>
      <c r="E856" s="563" t="s">
        <v>886</v>
      </c>
      <c r="F856" s="647" t="s">
        <v>17</v>
      </c>
      <c r="G856" s="647" t="s">
        <v>18</v>
      </c>
      <c r="H856" s="647" t="s">
        <v>26</v>
      </c>
      <c r="I856" s="575" t="s">
        <v>1651</v>
      </c>
      <c r="J856" s="575">
        <v>1</v>
      </c>
      <c r="K856" s="647" t="s">
        <v>81</v>
      </c>
      <c r="L856" s="657">
        <v>44331</v>
      </c>
      <c r="M856" s="665" t="s">
        <v>906</v>
      </c>
      <c r="N856" s="647" t="s">
        <v>96</v>
      </c>
      <c r="O856" s="575"/>
      <c r="P856" s="665" t="str">
        <f>VLOOKUP(A856,'[1]Raw data'!$B:$BA,23,FALSE)</f>
        <v>JPY</v>
      </c>
      <c r="Q856" s="647" t="str">
        <f>VLOOKUP(A856,'[1]Raw data'!$B:$Z,2,FALSE)</f>
        <v>C49SZX20210035SX</v>
      </c>
      <c r="R856" s="647" t="str">
        <f>VLOOKUP(A856,'[1]Raw data'!$B:$Z,3,FALSE)</f>
        <v>巴科</v>
      </c>
      <c r="S856" s="647" t="str">
        <f>VLOOKUP(A856,'[1]Raw data'!$B:$Z,4,FALSE)</f>
        <v>YSM10</v>
      </c>
      <c r="T856" s="647" t="str">
        <f>VLOOKUP(A856,'[1]Raw data'!$B:$Z,8,FALSE)</f>
        <v>L-&gt;R</v>
      </c>
      <c r="U856" s="647" t="str">
        <f>VLOOKUP(A856,'[1]Raw data'!$B:$Z,9,FALSE)</f>
        <v>No</v>
      </c>
      <c r="V856" s="567" t="str">
        <f t="shared" si="151"/>
        <v>WRONG</v>
      </c>
      <c r="W856" s="563" t="str">
        <f>VLOOKUP(A856,'[1]Raw data'!$B:$AG,32,FALSE)</f>
        <v>CIF HK</v>
      </c>
      <c r="X856" s="647">
        <f>VLOOKUP(A856,'[1]Raw data'!$B:$BA,31,FALSE)</f>
        <v>44264</v>
      </c>
      <c r="Y856" s="647" t="str">
        <f>VLOOKUP(A856,'[1]Raw data'!$B:$AS,39,FALSE)</f>
        <v>Yes</v>
      </c>
      <c r="Z856" s="659"/>
      <c r="AA856" s="660"/>
      <c r="AB856" s="661"/>
      <c r="AC856" s="647" t="s">
        <v>1582</v>
      </c>
      <c r="AD856" s="662">
        <v>301</v>
      </c>
      <c r="AE856" s="662">
        <v>10</v>
      </c>
      <c r="AF856" s="662"/>
      <c r="AG856" s="662"/>
      <c r="AH856" s="662"/>
      <c r="AI856" s="663"/>
      <c r="AN856" s="542"/>
      <c r="AO856" s="824" t="str">
        <f t="shared" si="140"/>
        <v>Yes</v>
      </c>
      <c r="AP856" s="259" t="str">
        <f t="shared" si="141"/>
        <v>JUN 21</v>
      </c>
      <c r="AQ856" s="542" t="str">
        <f t="shared" si="142"/>
        <v>有定金+有預留客戶</v>
      </c>
      <c r="AR856" s="259" t="str">
        <f t="shared" si="143"/>
        <v>Shipped_Stock</v>
      </c>
      <c r="AS856" s="259" t="str">
        <f t="shared" si="144"/>
        <v/>
      </c>
      <c r="AT856" s="259" t="str">
        <f t="shared" si="145"/>
        <v>巴科</v>
      </c>
      <c r="AU856" s="259" t="str">
        <f t="shared" si="146"/>
        <v>C49SZX20210035SX</v>
      </c>
      <c r="AV856" s="259" t="str">
        <f t="shared" si="147"/>
        <v>May-15</v>
      </c>
    </row>
    <row r="857" spans="1:48" hidden="1">
      <c r="A857" s="559">
        <v>1245</v>
      </c>
      <c r="B857" s="664" t="s">
        <v>1125</v>
      </c>
      <c r="C857" s="664" t="s">
        <v>281</v>
      </c>
      <c r="D857" s="645">
        <v>110248</v>
      </c>
      <c r="E857" s="563" t="s">
        <v>886</v>
      </c>
      <c r="F857" s="647" t="s">
        <v>17</v>
      </c>
      <c r="G857" s="647" t="s">
        <v>18</v>
      </c>
      <c r="H857" s="647" t="s">
        <v>26</v>
      </c>
      <c r="I857" s="745" t="s">
        <v>1652</v>
      </c>
      <c r="J857" s="575">
        <v>1</v>
      </c>
      <c r="K857" s="647" t="s">
        <v>81</v>
      </c>
      <c r="L857" s="657">
        <v>44331</v>
      </c>
      <c r="M857" s="665" t="s">
        <v>906</v>
      </c>
      <c r="N857" s="647" t="s">
        <v>96</v>
      </c>
      <c r="O857" s="575"/>
      <c r="P857" s="665" t="str">
        <f>VLOOKUP(A857,'[1]Raw data'!$B:$BA,23,FALSE)</f>
        <v>JPY</v>
      </c>
      <c r="Q857" s="647" t="str">
        <f>VLOOKUP(A857,'[1]Raw data'!$B:$Z,2,FALSE)</f>
        <v>C49SZX20210035SX</v>
      </c>
      <c r="R857" s="647" t="str">
        <f>VLOOKUP(A857,'[1]Raw data'!$B:$Z,3,FALSE)</f>
        <v>巴科</v>
      </c>
      <c r="S857" s="647" t="str">
        <f>VLOOKUP(A857,'[1]Raw data'!$B:$Z,4,FALSE)</f>
        <v>YSM10</v>
      </c>
      <c r="T857" s="647" t="str">
        <f>VLOOKUP(A857,'[1]Raw data'!$B:$Z,8,FALSE)</f>
        <v>L-&gt;R</v>
      </c>
      <c r="U857" s="647" t="str">
        <f>VLOOKUP(A857,'[1]Raw data'!$B:$Z,9,FALSE)</f>
        <v>No</v>
      </c>
      <c r="V857" s="567" t="str">
        <f t="shared" si="151"/>
        <v>WRONG</v>
      </c>
      <c r="W857" s="563" t="str">
        <f>VLOOKUP(A857,'[1]Raw data'!$B:$AG,32,FALSE)</f>
        <v>CIF HK</v>
      </c>
      <c r="X857" s="647">
        <f>VLOOKUP(A857,'[1]Raw data'!$B:$BA,31,FALSE)</f>
        <v>44264</v>
      </c>
      <c r="Y857" s="647" t="str">
        <f>VLOOKUP(A857,'[1]Raw data'!$B:$AS,39,FALSE)</f>
        <v>Yes</v>
      </c>
      <c r="Z857" s="659"/>
      <c r="AA857" s="660"/>
      <c r="AB857" s="661"/>
      <c r="AC857" s="647" t="s">
        <v>1609</v>
      </c>
      <c r="AD857" s="662">
        <v>301</v>
      </c>
      <c r="AE857" s="662">
        <v>10</v>
      </c>
      <c r="AF857" s="662"/>
      <c r="AG857" s="662"/>
      <c r="AH857" s="662"/>
      <c r="AI857" s="663"/>
      <c r="AN857" s="542"/>
      <c r="AO857" s="824" t="str">
        <f t="shared" si="140"/>
        <v>Yes</v>
      </c>
      <c r="AP857" s="259" t="str">
        <f t="shared" si="141"/>
        <v>JUN 21</v>
      </c>
      <c r="AQ857" s="542" t="str">
        <f t="shared" si="142"/>
        <v>有定金+有預留客戶</v>
      </c>
      <c r="AR857" s="259" t="str">
        <f t="shared" si="143"/>
        <v>Shipped_Stock</v>
      </c>
      <c r="AS857" s="259" t="str">
        <f t="shared" si="144"/>
        <v/>
      </c>
      <c r="AT857" s="259" t="str">
        <f t="shared" si="145"/>
        <v>巴科</v>
      </c>
      <c r="AU857" s="259" t="str">
        <f t="shared" si="146"/>
        <v>C49SZX20210035SX</v>
      </c>
      <c r="AV857" s="259" t="str">
        <f t="shared" si="147"/>
        <v>May-15</v>
      </c>
    </row>
    <row r="858" spans="1:48" hidden="1">
      <c r="A858" s="559">
        <v>924</v>
      </c>
      <c r="B858" s="664" t="s">
        <v>1125</v>
      </c>
      <c r="C858" s="563" t="s">
        <v>4013</v>
      </c>
      <c r="D858" s="645">
        <v>110331</v>
      </c>
      <c r="E858" s="744" t="s">
        <v>1653</v>
      </c>
      <c r="F858" s="647" t="s">
        <v>201</v>
      </c>
      <c r="G858" s="647" t="s">
        <v>24</v>
      </c>
      <c r="H858" s="647" t="s">
        <v>307</v>
      </c>
      <c r="I858" s="575" t="s">
        <v>1654</v>
      </c>
      <c r="J858" s="575">
        <v>1</v>
      </c>
      <c r="K858" s="647" t="s">
        <v>1358</v>
      </c>
      <c r="L858" s="657">
        <v>44338</v>
      </c>
      <c r="M858" s="665" t="s">
        <v>258</v>
      </c>
      <c r="N858" s="647" t="s">
        <v>110</v>
      </c>
      <c r="O858" s="575"/>
      <c r="P858" s="665" t="str">
        <f>VLOOKUP(A858,'[1]Raw data'!$B:$BA,23,FALSE)</f>
        <v>RMB</v>
      </c>
      <c r="Q858" s="647" t="str">
        <f>VLOOKUP(A858,'[1]Raw data'!$B:$Z,2,FALSE)</f>
        <v>C28SZX20200081KC</v>
      </c>
      <c r="R858" s="647" t="str">
        <f>VLOOKUP(A858,'[1]Raw data'!$B:$Z,3,FALSE)</f>
        <v>鸿通宇</v>
      </c>
      <c r="S858" s="647" t="str">
        <f>VLOOKUP(A858,'[1]Raw data'!$B:$Z,4,FALSE)</f>
        <v>YSi-V</v>
      </c>
      <c r="T858" s="647" t="str">
        <f>VLOOKUP(A858,'[1]Raw data'!$B:$Z,8,FALSE)</f>
        <v>L-&gt;R</v>
      </c>
      <c r="U858" s="647" t="str">
        <f>VLOOKUP(A858,'[1]Raw data'!$B:$Z,9,FALSE)</f>
        <v>No</v>
      </c>
      <c r="V858" s="567" t="str">
        <f t="shared" ref="V858:V859" si="152">IF(G858&amp;H858=T858&amp;U858,"OK","WRONG")</f>
        <v>OK</v>
      </c>
      <c r="W858" s="563" t="str">
        <f>VLOOKUP(A858,'[1]Raw data'!$B:$AG,32,FALSE)</f>
        <v>含税到厂</v>
      </c>
      <c r="X858" s="647">
        <f>VLOOKUP(A858,'[1]Raw data'!$B:$BA,31,FALSE)</f>
        <v>44140</v>
      </c>
      <c r="Y858" s="647" t="str">
        <f>VLOOKUP(A858,'[1]Raw data'!$B:$AS,39,FALSE)</f>
        <v>Yes</v>
      </c>
      <c r="Z858" s="662"/>
      <c r="AA858" s="662"/>
      <c r="AB858" s="662"/>
      <c r="AC858" s="575" t="s">
        <v>1216</v>
      </c>
      <c r="AD858" s="662"/>
      <c r="AE858" s="662"/>
      <c r="AF858" s="662"/>
      <c r="AG858" s="662"/>
      <c r="AH858" s="662"/>
      <c r="AI858" s="663"/>
      <c r="AN858" s="542"/>
      <c r="AO858" s="824" t="str">
        <f t="shared" si="140"/>
        <v>Yes</v>
      </c>
      <c r="AP858" s="259" t="str">
        <f t="shared" si="141"/>
        <v>MAY 21</v>
      </c>
      <c r="AQ858" s="542" t="str">
        <f t="shared" si="142"/>
        <v>有定金+有預留客戶</v>
      </c>
      <c r="AR858" s="259" t="str">
        <f t="shared" si="143"/>
        <v>Shipped_Stock</v>
      </c>
      <c r="AS858" s="259" t="str">
        <f t="shared" si="144"/>
        <v/>
      </c>
      <c r="AT858" s="259" t="str">
        <f t="shared" si="145"/>
        <v>鸿通宇</v>
      </c>
      <c r="AU858" s="259" t="str">
        <f t="shared" si="146"/>
        <v>C28SZX20200081KC</v>
      </c>
      <c r="AV858" s="259" t="str">
        <f t="shared" si="147"/>
        <v>May-22</v>
      </c>
    </row>
    <row r="859" spans="1:48" hidden="1">
      <c r="A859" s="559">
        <v>925</v>
      </c>
      <c r="B859" s="664" t="s">
        <v>1125</v>
      </c>
      <c r="C859" s="563" t="s">
        <v>4013</v>
      </c>
      <c r="D859" s="645">
        <v>110331</v>
      </c>
      <c r="E859" s="744" t="s">
        <v>1653</v>
      </c>
      <c r="F859" s="647" t="s">
        <v>201</v>
      </c>
      <c r="G859" s="647" t="s">
        <v>24</v>
      </c>
      <c r="H859" s="647" t="s">
        <v>307</v>
      </c>
      <c r="I859" s="575" t="s">
        <v>1655</v>
      </c>
      <c r="J859" s="575">
        <v>1</v>
      </c>
      <c r="K859" s="647" t="s">
        <v>1358</v>
      </c>
      <c r="L859" s="657">
        <v>44338</v>
      </c>
      <c r="M859" s="665" t="s">
        <v>258</v>
      </c>
      <c r="N859" s="647" t="s">
        <v>110</v>
      </c>
      <c r="O859" s="575"/>
      <c r="P859" s="665" t="str">
        <f>VLOOKUP(A859,'[1]Raw data'!$B:$BA,23,FALSE)</f>
        <v>RMB</v>
      </c>
      <c r="Q859" s="647" t="str">
        <f>VLOOKUP(A859,'[1]Raw data'!$B:$Z,2,FALSE)</f>
        <v>C28SZX20200081KC</v>
      </c>
      <c r="R859" s="647" t="str">
        <f>VLOOKUP(A859,'[1]Raw data'!$B:$Z,3,FALSE)</f>
        <v>鸿通宇</v>
      </c>
      <c r="S859" s="647" t="str">
        <f>VLOOKUP(A859,'[1]Raw data'!$B:$Z,4,FALSE)</f>
        <v>YSi-V</v>
      </c>
      <c r="T859" s="647" t="str">
        <f>VLOOKUP(A859,'[1]Raw data'!$B:$Z,8,FALSE)</f>
        <v>L-&gt;R</v>
      </c>
      <c r="U859" s="647" t="str">
        <f>VLOOKUP(A859,'[1]Raw data'!$B:$Z,9,FALSE)</f>
        <v>No</v>
      </c>
      <c r="V859" s="567" t="str">
        <f t="shared" si="152"/>
        <v>OK</v>
      </c>
      <c r="W859" s="563" t="str">
        <f>VLOOKUP(A859,'[1]Raw data'!$B:$AG,32,FALSE)</f>
        <v>含税到厂</v>
      </c>
      <c r="X859" s="647">
        <f>VLOOKUP(A859,'[1]Raw data'!$B:$BA,31,FALSE)</f>
        <v>44140</v>
      </c>
      <c r="Y859" s="647" t="str">
        <f>VLOOKUP(A859,'[1]Raw data'!$B:$AS,39,FALSE)</f>
        <v>Yes</v>
      </c>
      <c r="Z859" s="662"/>
      <c r="AA859" s="662"/>
      <c r="AB859" s="662"/>
      <c r="AC859" s="575" t="s">
        <v>1216</v>
      </c>
      <c r="AD859" s="662"/>
      <c r="AE859" s="662"/>
      <c r="AF859" s="662"/>
      <c r="AG859" s="662"/>
      <c r="AH859" s="662"/>
      <c r="AI859" s="663"/>
      <c r="AN859" s="542"/>
      <c r="AO859" s="824" t="str">
        <f t="shared" si="140"/>
        <v>Yes</v>
      </c>
      <c r="AP859" s="259" t="str">
        <f t="shared" si="141"/>
        <v>MAY 21</v>
      </c>
      <c r="AQ859" s="542" t="str">
        <f t="shared" si="142"/>
        <v>有定金+有預留客戶</v>
      </c>
      <c r="AR859" s="259" t="str">
        <f t="shared" si="143"/>
        <v>Shipped_Stock</v>
      </c>
      <c r="AS859" s="259" t="str">
        <f t="shared" si="144"/>
        <v/>
      </c>
      <c r="AT859" s="259" t="str">
        <f t="shared" si="145"/>
        <v>鸿通宇</v>
      </c>
      <c r="AU859" s="259" t="str">
        <f t="shared" si="146"/>
        <v>C28SZX20200081KC</v>
      </c>
      <c r="AV859" s="259" t="str">
        <f t="shared" si="147"/>
        <v>May-22</v>
      </c>
    </row>
    <row r="860" spans="1:48" hidden="1">
      <c r="A860" s="559">
        <v>1418</v>
      </c>
      <c r="B860" s="664" t="s">
        <v>1125</v>
      </c>
      <c r="C860" s="664" t="s">
        <v>281</v>
      </c>
      <c r="D860" s="645">
        <v>110246</v>
      </c>
      <c r="E860" s="563" t="s">
        <v>886</v>
      </c>
      <c r="F860" s="647" t="s">
        <v>17</v>
      </c>
      <c r="G860" s="647" t="s">
        <v>18</v>
      </c>
      <c r="H860" s="647" t="s">
        <v>34</v>
      </c>
      <c r="I860" s="575" t="s">
        <v>1656</v>
      </c>
      <c r="J860" s="575">
        <v>1</v>
      </c>
      <c r="K860" s="647" t="s">
        <v>78</v>
      </c>
      <c r="L860" s="657">
        <v>44338</v>
      </c>
      <c r="M860" s="676" t="s">
        <v>906</v>
      </c>
      <c r="N860" s="647" t="s">
        <v>96</v>
      </c>
      <c r="O860" s="575"/>
      <c r="P860" s="665" t="str">
        <f>VLOOKUP(A860,'[1]Raw data'!$B:$BA,23,FALSE)</f>
        <v>JPY</v>
      </c>
      <c r="Q860" s="647" t="str">
        <f>VLOOKUP(A860,'[1]Raw data'!$B:$Z,2,FALSE)</f>
        <v>C49SZX20210141VG</v>
      </c>
      <c r="R860" s="647" t="str">
        <f>VLOOKUP(A860,'[1]Raw data'!$B:$Z,3,FALSE)</f>
        <v>狂热者</v>
      </c>
      <c r="S860" s="647" t="str">
        <f>VLOOKUP(A860,'[1]Raw data'!$B:$Z,4,FALSE)</f>
        <v>YSM10</v>
      </c>
      <c r="T860" s="647" t="str">
        <f>VLOOKUP(A860,'[1]Raw data'!$B:$Z,8,FALSE)</f>
        <v>L-&gt;R</v>
      </c>
      <c r="U860" s="647" t="str">
        <f>VLOOKUP(A860,'[1]Raw data'!$B:$Z,9,FALSE)</f>
        <v>MVC+ATS15</v>
      </c>
      <c r="V860" s="567" t="str">
        <f t="shared" ref="V860" si="153">IF(G860&amp;H860=T860&amp;U860,"OK","WRONG")</f>
        <v>WRONG</v>
      </c>
      <c r="W860" s="563" t="str">
        <f>VLOOKUP(A860,'[1]Raw data'!$B:$AG,32,FALSE)</f>
        <v>DAP SZ</v>
      </c>
      <c r="X860" s="647">
        <f>VLOOKUP(A860,'[1]Raw data'!$B:$BA,31,FALSE)</f>
        <v>44358</v>
      </c>
      <c r="Y860" s="647" t="str">
        <f>VLOOKUP(A860,'[1]Raw data'!$B:$AS,39,FALSE)</f>
        <v>Yes</v>
      </c>
      <c r="Z860" s="659"/>
      <c r="AA860" s="660"/>
      <c r="AB860" s="661"/>
      <c r="AC860" s="647" t="s">
        <v>1558</v>
      </c>
      <c r="AD860" s="662">
        <v>311</v>
      </c>
      <c r="AE860" s="662">
        <v>10</v>
      </c>
      <c r="AF860" s="662"/>
      <c r="AG860" s="662"/>
      <c r="AH860" s="662"/>
      <c r="AI860" s="663"/>
      <c r="AN860" s="542"/>
      <c r="AO860" s="824" t="str">
        <f t="shared" si="140"/>
        <v>Yes</v>
      </c>
      <c r="AP860" s="259" t="str">
        <f t="shared" si="141"/>
        <v>JUN 21</v>
      </c>
      <c r="AQ860" s="542" t="str">
        <f t="shared" si="142"/>
        <v>有定金+有預留客戶</v>
      </c>
      <c r="AR860" s="259" t="str">
        <f t="shared" si="143"/>
        <v>Shipped_Stock</v>
      </c>
      <c r="AS860" s="259" t="str">
        <f t="shared" si="144"/>
        <v/>
      </c>
      <c r="AT860" s="259" t="str">
        <f t="shared" si="145"/>
        <v>狂热者</v>
      </c>
      <c r="AU860" s="259" t="str">
        <f t="shared" si="146"/>
        <v>C49SZX20210141VG</v>
      </c>
      <c r="AV860" s="259" t="str">
        <f t="shared" si="147"/>
        <v>May-22</v>
      </c>
    </row>
    <row r="861" spans="1:48" hidden="1">
      <c r="A861" s="559">
        <v>1165</v>
      </c>
      <c r="B861" s="664" t="s">
        <v>1125</v>
      </c>
      <c r="C861" s="664" t="s">
        <v>281</v>
      </c>
      <c r="D861" s="645">
        <v>110246</v>
      </c>
      <c r="E861" s="563" t="s">
        <v>886</v>
      </c>
      <c r="F861" s="647" t="s">
        <v>17</v>
      </c>
      <c r="G861" s="647" t="s">
        <v>18</v>
      </c>
      <c r="H861" s="647" t="s">
        <v>27</v>
      </c>
      <c r="I861" s="575" t="s">
        <v>1657</v>
      </c>
      <c r="J861" s="575">
        <v>1</v>
      </c>
      <c r="K861" s="647" t="s">
        <v>78</v>
      </c>
      <c r="L861" s="657">
        <v>44338</v>
      </c>
      <c r="M861" s="665" t="s">
        <v>906</v>
      </c>
      <c r="N861" s="647" t="s">
        <v>110</v>
      </c>
      <c r="O861" s="575"/>
      <c r="P861" s="665" t="str">
        <f>VLOOKUP(A861,'[1]Raw data'!$B:$BA,23,FALSE)</f>
        <v>JPY</v>
      </c>
      <c r="Q861" s="647" t="str">
        <f>VLOOKUP(A861,'[1]Raw data'!$B:$Z,2,FALSE)</f>
        <v>C49SZX20210056JL</v>
      </c>
      <c r="R861" s="647" t="str">
        <f>VLOOKUP(A861,'[1]Raw data'!$B:$Z,3,FALSE)</f>
        <v>瑞福联</v>
      </c>
      <c r="S861" s="647" t="str">
        <f>VLOOKUP(A861,'[1]Raw data'!$B:$Z,4,FALSE)</f>
        <v>YSM10</v>
      </c>
      <c r="T861" s="647" t="str">
        <f>VLOOKUP(A861,'[1]Raw data'!$B:$Z,8,FALSE)</f>
        <v>L-&gt;R</v>
      </c>
      <c r="U861" s="647" t="str">
        <f>VLOOKUP(A861,'[1]Raw data'!$B:$Z,9,FALSE)</f>
        <v>MVC</v>
      </c>
      <c r="V861" s="567" t="str">
        <f t="shared" ref="V861:V863" si="154">IF(G861&amp;H861=T861&amp;U861,"OK","WRONG")</f>
        <v>WRONG</v>
      </c>
      <c r="W861" s="563" t="str">
        <f>VLOOKUP(A861,'[1]Raw data'!$B:$AG,32,FALSE)</f>
        <v>CIF HK</v>
      </c>
      <c r="X861" s="647">
        <f>VLOOKUP(A861,'[1]Raw data'!$B:$BA,31,FALSE)</f>
        <v>44251</v>
      </c>
      <c r="Y861" s="647" t="str">
        <f>VLOOKUP(A861,'[1]Raw data'!$B:$AS,39,FALSE)</f>
        <v>Yes</v>
      </c>
      <c r="Z861" s="659"/>
      <c r="AA861" s="660"/>
      <c r="AB861" s="661"/>
      <c r="AC861" s="647" t="s">
        <v>1115</v>
      </c>
      <c r="AD861" s="662">
        <v>301</v>
      </c>
      <c r="AE861" s="662">
        <v>10</v>
      </c>
      <c r="AF861" s="662"/>
      <c r="AG861" s="662"/>
      <c r="AH861" s="662"/>
      <c r="AI861" s="663"/>
      <c r="AN861" s="542"/>
      <c r="AO861" s="824" t="str">
        <f t="shared" si="140"/>
        <v>Yes</v>
      </c>
      <c r="AP861" s="259" t="str">
        <f t="shared" si="141"/>
        <v>MAY 21</v>
      </c>
      <c r="AQ861" s="542" t="str">
        <f t="shared" si="142"/>
        <v>有定金+有預留客戶</v>
      </c>
      <c r="AR861" s="259" t="str">
        <f t="shared" si="143"/>
        <v>Shipped_Stock</v>
      </c>
      <c r="AS861" s="259" t="str">
        <f t="shared" si="144"/>
        <v/>
      </c>
      <c r="AT861" s="259" t="str">
        <f t="shared" si="145"/>
        <v>瑞福联</v>
      </c>
      <c r="AU861" s="259" t="str">
        <f t="shared" si="146"/>
        <v>C49SZX20210056JL</v>
      </c>
      <c r="AV861" s="259" t="str">
        <f t="shared" si="147"/>
        <v>May-22</v>
      </c>
    </row>
    <row r="862" spans="1:48" hidden="1">
      <c r="A862" s="559">
        <v>1384</v>
      </c>
      <c r="B862" s="664" t="s">
        <v>1125</v>
      </c>
      <c r="C862" s="664" t="s">
        <v>281</v>
      </c>
      <c r="D862" s="645">
        <v>110246</v>
      </c>
      <c r="E862" s="563" t="s">
        <v>886</v>
      </c>
      <c r="F862" s="647" t="s">
        <v>17</v>
      </c>
      <c r="G862" s="647" t="s">
        <v>18</v>
      </c>
      <c r="H862" s="647" t="s">
        <v>27</v>
      </c>
      <c r="I862" s="575" t="s">
        <v>1658</v>
      </c>
      <c r="J862" s="575">
        <v>1</v>
      </c>
      <c r="K862" s="647" t="s">
        <v>78</v>
      </c>
      <c r="L862" s="657">
        <v>44338</v>
      </c>
      <c r="M862" s="665" t="s">
        <v>906</v>
      </c>
      <c r="N862" s="647" t="s">
        <v>97</v>
      </c>
      <c r="O862" s="575"/>
      <c r="P862" s="665" t="str">
        <f>VLOOKUP(A862,'[1]Raw data'!$B:$BA,23,FALSE)</f>
        <v>JPY</v>
      </c>
      <c r="Q862" s="647" t="str">
        <f>VLOOKUP(A862,'[1]Raw data'!$B:$Z,2,FALSE)</f>
        <v>C49SZX20220057DZ</v>
      </c>
      <c r="R862" s="647" t="str">
        <f>VLOOKUP(A862,'[1]Raw data'!$B:$Z,3,FALSE)</f>
        <v>广恒创新（enduser:深圳比尔乔）</v>
      </c>
      <c r="S862" s="647" t="str">
        <f>VLOOKUP(A862,'[1]Raw data'!$B:$Z,4,FALSE)</f>
        <v>YSM10</v>
      </c>
      <c r="T862" s="647" t="str">
        <f>VLOOKUP(A862,'[1]Raw data'!$B:$Z,8,FALSE)</f>
        <v>R-&gt;L</v>
      </c>
      <c r="U862" s="647" t="str">
        <f>VLOOKUP(A862,'[1]Raw data'!$B:$Z,9,FALSE)</f>
        <v>MVC</v>
      </c>
      <c r="V862" s="567" t="str">
        <f t="shared" si="154"/>
        <v>OK</v>
      </c>
      <c r="W862" s="563" t="str">
        <f>VLOOKUP(A862,'[1]Raw data'!$B:$AG,32,FALSE)</f>
        <v>CIF HK</v>
      </c>
      <c r="X862" s="647">
        <f>VLOOKUP(A862,'[1]Raw data'!$B:$BA,31,FALSE)</f>
        <v>44340</v>
      </c>
      <c r="Y862" s="647" t="str">
        <f>VLOOKUP(A862,'[1]Raw data'!$B:$AS,39,FALSE)</f>
        <v>Yes</v>
      </c>
      <c r="Z862" s="659"/>
      <c r="AA862" s="660"/>
      <c r="AB862" s="661"/>
      <c r="AC862" s="647" t="s">
        <v>1659</v>
      </c>
      <c r="AD862" s="662">
        <v>301</v>
      </c>
      <c r="AE862" s="662">
        <v>10</v>
      </c>
      <c r="AF862" s="662"/>
      <c r="AG862" s="662"/>
      <c r="AH862" s="662"/>
      <c r="AI862" s="663"/>
      <c r="AN862" s="542"/>
      <c r="AO862" s="824" t="str">
        <f t="shared" si="140"/>
        <v>Yes</v>
      </c>
      <c r="AP862" s="259" t="str">
        <f t="shared" si="141"/>
        <v>JUL 21</v>
      </c>
      <c r="AQ862" s="542" t="str">
        <f t="shared" si="142"/>
        <v>有定金+有預留客戶</v>
      </c>
      <c r="AR862" s="259" t="str">
        <f t="shared" si="143"/>
        <v>Shipped_Stock</v>
      </c>
      <c r="AS862" s="259" t="str">
        <f t="shared" si="144"/>
        <v/>
      </c>
      <c r="AT862" s="259" t="str">
        <f t="shared" si="145"/>
        <v>广恒创新（enduser:深圳比尔乔）</v>
      </c>
      <c r="AU862" s="259" t="str">
        <f t="shared" si="146"/>
        <v>C49SZX20220057DZ</v>
      </c>
      <c r="AV862" s="259" t="str">
        <f t="shared" si="147"/>
        <v>May-22</v>
      </c>
    </row>
    <row r="863" spans="1:48" hidden="1">
      <c r="A863" s="559">
        <v>1365</v>
      </c>
      <c r="B863" s="664" t="s">
        <v>1125</v>
      </c>
      <c r="C863" s="664" t="s">
        <v>281</v>
      </c>
      <c r="D863" s="645">
        <v>110246</v>
      </c>
      <c r="E863" s="563" t="s">
        <v>886</v>
      </c>
      <c r="F863" s="647" t="s">
        <v>17</v>
      </c>
      <c r="G863" s="647" t="s">
        <v>18</v>
      </c>
      <c r="H863" s="647" t="s">
        <v>27</v>
      </c>
      <c r="I863" s="575" t="s">
        <v>1660</v>
      </c>
      <c r="J863" s="575">
        <v>1</v>
      </c>
      <c r="K863" s="647" t="s">
        <v>1419</v>
      </c>
      <c r="L863" s="657">
        <v>44338</v>
      </c>
      <c r="M863" s="676" t="s">
        <v>906</v>
      </c>
      <c r="N863" s="647" t="s">
        <v>110</v>
      </c>
      <c r="O863" s="575"/>
      <c r="P863" s="665" t="str">
        <f>VLOOKUP(A863,'[1]Raw data'!$B:$BA,23,FALSE)</f>
        <v>RMB</v>
      </c>
      <c r="Q863" s="647" t="str">
        <f>VLOOKUP(A863,'[1]Raw data'!$B:$Z,2,FALSE)</f>
        <v>C49SZX20210145SX</v>
      </c>
      <c r="R863" s="647" t="str">
        <f>VLOOKUP(A863,'[1]Raw data'!$B:$Z,3,FALSE)</f>
        <v>东陆</v>
      </c>
      <c r="S863" s="647" t="str">
        <f>VLOOKUP(A863,'[1]Raw data'!$B:$Z,4,FALSE)</f>
        <v>YSM10</v>
      </c>
      <c r="T863" s="647" t="str">
        <f>VLOOKUP(A863,'[1]Raw data'!$B:$Z,8,FALSE)</f>
        <v>L-&gt;R</v>
      </c>
      <c r="U863" s="647" t="str">
        <f>VLOOKUP(A863,'[1]Raw data'!$B:$Z,9,FALSE)</f>
        <v>MVC</v>
      </c>
      <c r="V863" s="567" t="str">
        <f t="shared" si="154"/>
        <v>WRONG</v>
      </c>
      <c r="W863" s="563" t="str">
        <f>VLOOKUP(A863,'[1]Raw data'!$B:$AG,32,FALSE)</f>
        <v>DDP SZ</v>
      </c>
      <c r="X863" s="647">
        <f>VLOOKUP(A863,'[1]Raw data'!$B:$BA,31,FALSE)</f>
        <v>44327</v>
      </c>
      <c r="Y863" s="647" t="str">
        <f>VLOOKUP(A863,'[1]Raw data'!$B:$AS,39,FALSE)</f>
        <v>Yes</v>
      </c>
      <c r="Z863" s="659"/>
      <c r="AA863" s="660"/>
      <c r="AB863" s="661"/>
      <c r="AC863" s="647" t="s">
        <v>575</v>
      </c>
      <c r="AD863" s="662">
        <v>301</v>
      </c>
      <c r="AE863" s="662">
        <v>10</v>
      </c>
      <c r="AF863" s="662"/>
      <c r="AG863" s="662"/>
      <c r="AH863" s="662"/>
      <c r="AI863" s="663"/>
      <c r="AN863" s="542"/>
      <c r="AO863" s="824" t="str">
        <f t="shared" si="140"/>
        <v>Yes</v>
      </c>
      <c r="AP863" s="259" t="str">
        <f t="shared" si="141"/>
        <v>MAY 21</v>
      </c>
      <c r="AQ863" s="542" t="str">
        <f t="shared" si="142"/>
        <v>有定金+有預留客戶</v>
      </c>
      <c r="AR863" s="259" t="str">
        <f t="shared" si="143"/>
        <v>Shipped_Stock</v>
      </c>
      <c r="AS863" s="259" t="str">
        <f t="shared" si="144"/>
        <v/>
      </c>
      <c r="AT863" s="259" t="str">
        <f t="shared" si="145"/>
        <v>东陆</v>
      </c>
      <c r="AU863" s="259" t="str">
        <f t="shared" si="146"/>
        <v>C49SZX20210145SX</v>
      </c>
      <c r="AV863" s="259" t="str">
        <f t="shared" si="147"/>
        <v>May-22</v>
      </c>
    </row>
    <row r="864" spans="1:48" hidden="1">
      <c r="A864" s="559">
        <v>1177</v>
      </c>
      <c r="B864" s="664" t="s">
        <v>1125</v>
      </c>
      <c r="C864" s="664" t="s">
        <v>281</v>
      </c>
      <c r="D864" s="645">
        <v>110236</v>
      </c>
      <c r="E864" s="563" t="s">
        <v>1490</v>
      </c>
      <c r="F864" s="647" t="s">
        <v>58</v>
      </c>
      <c r="G864" s="647" t="s">
        <v>18</v>
      </c>
      <c r="H864" s="647" t="s">
        <v>307</v>
      </c>
      <c r="I864" s="575" t="s">
        <v>1661</v>
      </c>
      <c r="J864" s="575">
        <v>1</v>
      </c>
      <c r="K864" s="647" t="s">
        <v>78</v>
      </c>
      <c r="L864" s="657">
        <v>44338</v>
      </c>
      <c r="M864" s="665" t="s">
        <v>906</v>
      </c>
      <c r="N864" s="647" t="s">
        <v>97</v>
      </c>
      <c r="O864" s="575"/>
      <c r="P864" s="665" t="str">
        <f>VLOOKUP(A864,'[1]Raw data'!$B:$BA,23,FALSE)</f>
        <v>JPY</v>
      </c>
      <c r="Q864" s="647" t="str">
        <f>VLOOKUP(A864,'[1]Raw data'!$B:$Z,2,FALSE)</f>
        <v>C49SZX20210057DZ</v>
      </c>
      <c r="R864" s="647" t="str">
        <f>VLOOKUP(A864,'[1]Raw data'!$B:$Z,3,FALSE)</f>
        <v>优品</v>
      </c>
      <c r="S864" s="647" t="str">
        <f>VLOOKUP(A864,'[1]Raw data'!$B:$Z,4,FALSE)</f>
        <v>YSM20R-2</v>
      </c>
      <c r="T864" s="647" t="str">
        <f>VLOOKUP(A864,'[1]Raw data'!$B:$Z,8,FALSE)</f>
        <v>R-&gt;L</v>
      </c>
      <c r="U864" s="647" t="str">
        <f>VLOOKUP(A864,'[1]Raw data'!$B:$Z,9,FALSE)</f>
        <v>MVC</v>
      </c>
      <c r="V864" s="567" t="str">
        <f t="shared" ref="V864:V873" si="155">IF(G864&amp;H864=T864&amp;U864,"OK","WRONG")</f>
        <v>WRONG</v>
      </c>
      <c r="W864" s="563" t="str">
        <f>VLOOKUP(A864,'[1]Raw data'!$B:$AG,32,FALSE)</f>
        <v>CIF HK</v>
      </c>
      <c r="X864" s="647">
        <f>VLOOKUP(A864,'[1]Raw data'!$B:$BA,31,FALSE)</f>
        <v>44257</v>
      </c>
      <c r="Y864" s="647" t="str">
        <f>VLOOKUP(A864,'[1]Raw data'!$B:$AS,39,FALSE)</f>
        <v>Yes</v>
      </c>
      <c r="Z864" s="659"/>
      <c r="AA864" s="660"/>
      <c r="AB864" s="661"/>
      <c r="AC864" s="647" t="s">
        <v>1662</v>
      </c>
      <c r="AD864" s="662">
        <v>301</v>
      </c>
      <c r="AE864" s="662">
        <v>20</v>
      </c>
      <c r="AF864" s="662"/>
      <c r="AG864" s="662"/>
      <c r="AH864" s="662"/>
      <c r="AI864" s="663"/>
      <c r="AN864" s="542"/>
      <c r="AO864" s="824" t="str">
        <f t="shared" si="140"/>
        <v>Yes</v>
      </c>
      <c r="AP864" s="259" t="str">
        <f t="shared" si="141"/>
        <v>JUL 21</v>
      </c>
      <c r="AQ864" s="542" t="str">
        <f t="shared" si="142"/>
        <v>有定金+有預留客戶</v>
      </c>
      <c r="AR864" s="259" t="str">
        <f t="shared" si="143"/>
        <v>Shipped_Stock</v>
      </c>
      <c r="AS864" s="259" t="str">
        <f t="shared" si="144"/>
        <v/>
      </c>
      <c r="AT864" s="259" t="str">
        <f t="shared" si="145"/>
        <v>优品</v>
      </c>
      <c r="AU864" s="259" t="str">
        <f t="shared" si="146"/>
        <v>C49SZX20210057DZ</v>
      </c>
      <c r="AV864" s="259" t="str">
        <f t="shared" si="147"/>
        <v>May-22</v>
      </c>
    </row>
    <row r="865" spans="1:48" hidden="1">
      <c r="A865" s="559">
        <v>1296</v>
      </c>
      <c r="B865" s="664" t="s">
        <v>1125</v>
      </c>
      <c r="C865" s="664" t="s">
        <v>281</v>
      </c>
      <c r="D865" s="645">
        <v>110236</v>
      </c>
      <c r="E865" s="563" t="s">
        <v>1490</v>
      </c>
      <c r="F865" s="647" t="s">
        <v>58</v>
      </c>
      <c r="G865" s="647" t="s">
        <v>18</v>
      </c>
      <c r="H865" s="647" t="s">
        <v>307</v>
      </c>
      <c r="I865" s="575" t="s">
        <v>1663</v>
      </c>
      <c r="J865" s="575">
        <v>1</v>
      </c>
      <c r="K865" s="647" t="s">
        <v>78</v>
      </c>
      <c r="L865" s="657">
        <v>44338</v>
      </c>
      <c r="M865" s="665" t="s">
        <v>258</v>
      </c>
      <c r="N865" s="647" t="s">
        <v>110</v>
      </c>
      <c r="O865" s="575"/>
      <c r="P865" s="665" t="str">
        <f>VLOOKUP(A865,'[1]Raw data'!$B:$BA,23,FALSE)</f>
        <v>JPY</v>
      </c>
      <c r="Q865" s="647" t="str">
        <f>VLOOKUP(A865,'[1]Raw data'!$B:$Z,2,FALSE)</f>
        <v>C49SZX20210107SX</v>
      </c>
      <c r="R865" s="647" t="str">
        <f>VLOOKUP(A865,'[1]Raw data'!$B:$Z,3,FALSE)</f>
        <v>君泽</v>
      </c>
      <c r="S865" s="647" t="str">
        <f>VLOOKUP(A865,'[1]Raw data'!$B:$Z,4,FALSE)</f>
        <v>YSM20R-2</v>
      </c>
      <c r="T865" s="647" t="str">
        <f>VLOOKUP(A865,'[1]Raw data'!$B:$Z,8,FALSE)</f>
        <v>R-&gt;L</v>
      </c>
      <c r="U865" s="647" t="str">
        <f>VLOOKUP(A865,'[1]Raw data'!$B:$Z,9,FALSE)</f>
        <v>No</v>
      </c>
      <c r="V865" s="567" t="str">
        <f t="shared" si="155"/>
        <v>OK</v>
      </c>
      <c r="W865" s="563" t="str">
        <f>VLOOKUP(A865,'[1]Raw data'!$B:$AG,32,FALSE)</f>
        <v>DAP DG</v>
      </c>
      <c r="X865" s="647">
        <f>VLOOKUP(A865,'[1]Raw data'!$B:$BA,31,FALSE)</f>
        <v>44293</v>
      </c>
      <c r="Y865" s="647" t="str">
        <f>VLOOKUP(A865,'[1]Raw data'!$B:$AS,39,FALSE)</f>
        <v>Yes</v>
      </c>
      <c r="Z865" s="659"/>
      <c r="AA865" s="660"/>
      <c r="AB865" s="661"/>
      <c r="AC865" s="647" t="s">
        <v>1649</v>
      </c>
      <c r="AD865" s="662">
        <v>301</v>
      </c>
      <c r="AE865" s="662">
        <v>20</v>
      </c>
      <c r="AF865" s="662"/>
      <c r="AG865" s="662"/>
      <c r="AH865" s="662"/>
      <c r="AI865" s="663"/>
      <c r="AN865" s="542"/>
      <c r="AO865" s="824" t="str">
        <f t="shared" si="140"/>
        <v>Yes</v>
      </c>
      <c r="AP865" s="259" t="str">
        <f t="shared" si="141"/>
        <v>MAY 21</v>
      </c>
      <c r="AQ865" s="542" t="str">
        <f t="shared" si="142"/>
        <v>有定金+有預留客戶</v>
      </c>
      <c r="AR865" s="259" t="str">
        <f t="shared" si="143"/>
        <v>Shipped_Stock</v>
      </c>
      <c r="AS865" s="259" t="str">
        <f t="shared" si="144"/>
        <v/>
      </c>
      <c r="AT865" s="259" t="str">
        <f t="shared" si="145"/>
        <v>君泽</v>
      </c>
      <c r="AU865" s="259" t="str">
        <f t="shared" si="146"/>
        <v>C49SZX20210107SX</v>
      </c>
      <c r="AV865" s="259" t="str">
        <f t="shared" si="147"/>
        <v>May-22</v>
      </c>
    </row>
    <row r="866" spans="1:48" hidden="1">
      <c r="A866" s="559">
        <v>1175</v>
      </c>
      <c r="B866" s="664" t="s">
        <v>1125</v>
      </c>
      <c r="C866" s="664" t="s">
        <v>281</v>
      </c>
      <c r="D866" s="645">
        <v>110236</v>
      </c>
      <c r="E866" s="563" t="s">
        <v>1490</v>
      </c>
      <c r="F866" s="647" t="s">
        <v>58</v>
      </c>
      <c r="G866" s="647" t="s">
        <v>24</v>
      </c>
      <c r="H866" s="647" t="s">
        <v>307</v>
      </c>
      <c r="I866" s="575" t="s">
        <v>1664</v>
      </c>
      <c r="J866" s="575">
        <v>1</v>
      </c>
      <c r="K866" s="647" t="s">
        <v>78</v>
      </c>
      <c r="L866" s="657">
        <v>44338</v>
      </c>
      <c r="M866" s="665" t="s">
        <v>906</v>
      </c>
      <c r="N866" s="647" t="s">
        <v>110</v>
      </c>
      <c r="O866" s="575"/>
      <c r="P866" s="665" t="str">
        <f>VLOOKUP(A866,'[1]Raw data'!$B:$BA,23,FALSE)</f>
        <v>JPY</v>
      </c>
      <c r="Q866" s="647" t="str">
        <f>VLOOKUP(A866,'[1]Raw data'!$B:$Z,2,FALSE)</f>
        <v>C49SZX20210049MX</v>
      </c>
      <c r="R866" s="647" t="str">
        <f>VLOOKUP(A866,'[1]Raw data'!$B:$Z,3,FALSE)</f>
        <v>智序</v>
      </c>
      <c r="S866" s="647" t="str">
        <f>VLOOKUP(A866,'[1]Raw data'!$B:$Z,4,FALSE)</f>
        <v>YSM20R-2</v>
      </c>
      <c r="T866" s="647" t="str">
        <f>VLOOKUP(A866,'[1]Raw data'!$B:$Z,8,FALSE)</f>
        <v>L-&gt;R</v>
      </c>
      <c r="U866" s="647" t="str">
        <f>VLOOKUP(A866,'[1]Raw data'!$B:$Z,9,FALSE)</f>
        <v>No</v>
      </c>
      <c r="V866" s="567" t="str">
        <f t="shared" si="155"/>
        <v>OK</v>
      </c>
      <c r="W866" s="563" t="str">
        <f>VLOOKUP(A866,'[1]Raw data'!$B:$AG,32,FALSE)</f>
        <v>DAP SZ</v>
      </c>
      <c r="X866" s="647">
        <f>VLOOKUP(A866,'[1]Raw data'!$B:$BA,31,FALSE)</f>
        <v>44256</v>
      </c>
      <c r="Y866" s="647" t="str">
        <f>VLOOKUP(A866,'[1]Raw data'!$B:$AS,39,FALSE)</f>
        <v>Yes</v>
      </c>
      <c r="Z866" s="659"/>
      <c r="AA866" s="660"/>
      <c r="AB866" s="661"/>
      <c r="AC866" s="647" t="s">
        <v>1521</v>
      </c>
      <c r="AD866" s="662">
        <v>301</v>
      </c>
      <c r="AE866" s="662">
        <v>20</v>
      </c>
      <c r="AF866" s="662"/>
      <c r="AG866" s="662"/>
      <c r="AH866" s="662"/>
      <c r="AI866" s="663"/>
      <c r="AN866" s="542"/>
      <c r="AO866" s="824" t="str">
        <f t="shared" si="140"/>
        <v>Yes</v>
      </c>
      <c r="AP866" s="259" t="str">
        <f t="shared" si="141"/>
        <v>MAY 21</v>
      </c>
      <c r="AQ866" s="542" t="str">
        <f t="shared" si="142"/>
        <v>有定金+有預留客戶</v>
      </c>
      <c r="AR866" s="259" t="str">
        <f t="shared" si="143"/>
        <v>Shipped_Stock</v>
      </c>
      <c r="AS866" s="259" t="str">
        <f t="shared" si="144"/>
        <v/>
      </c>
      <c r="AT866" s="259" t="str">
        <f t="shared" si="145"/>
        <v>智序</v>
      </c>
      <c r="AU866" s="259" t="str">
        <f t="shared" si="146"/>
        <v>C49SZX20210049MX</v>
      </c>
      <c r="AV866" s="259" t="str">
        <f t="shared" si="147"/>
        <v>May-22</v>
      </c>
    </row>
    <row r="867" spans="1:48" hidden="1">
      <c r="A867" s="559">
        <v>1176</v>
      </c>
      <c r="B867" s="664" t="s">
        <v>1125</v>
      </c>
      <c r="C867" s="664" t="s">
        <v>281</v>
      </c>
      <c r="D867" s="645">
        <v>110236</v>
      </c>
      <c r="E867" s="563" t="s">
        <v>1490</v>
      </c>
      <c r="F867" s="647" t="s">
        <v>58</v>
      </c>
      <c r="G867" s="647" t="s">
        <v>24</v>
      </c>
      <c r="H867" s="647" t="s">
        <v>307</v>
      </c>
      <c r="I867" s="575" t="s">
        <v>1665</v>
      </c>
      <c r="J867" s="575">
        <v>1</v>
      </c>
      <c r="K867" s="647" t="s">
        <v>78</v>
      </c>
      <c r="L867" s="657">
        <v>44338</v>
      </c>
      <c r="M867" s="665" t="s">
        <v>906</v>
      </c>
      <c r="N867" s="647" t="s">
        <v>110</v>
      </c>
      <c r="O867" s="575"/>
      <c r="P867" s="665" t="str">
        <f>VLOOKUP(A867,'[1]Raw data'!$B:$BA,23,FALSE)</f>
        <v>JPY</v>
      </c>
      <c r="Q867" s="647" t="str">
        <f>VLOOKUP(A867,'[1]Raw data'!$B:$Z,2,FALSE)</f>
        <v>C49SZX20210049MX</v>
      </c>
      <c r="R867" s="647" t="str">
        <f>VLOOKUP(A867,'[1]Raw data'!$B:$Z,3,FALSE)</f>
        <v>智序</v>
      </c>
      <c r="S867" s="647" t="str">
        <f>VLOOKUP(A867,'[1]Raw data'!$B:$Z,4,FALSE)</f>
        <v>YSM20R-2</v>
      </c>
      <c r="T867" s="647" t="str">
        <f>VLOOKUP(A867,'[1]Raw data'!$B:$Z,8,FALSE)</f>
        <v>L-&gt;R</v>
      </c>
      <c r="U867" s="647" t="str">
        <f>VLOOKUP(A867,'[1]Raw data'!$B:$Z,9,FALSE)</f>
        <v>No</v>
      </c>
      <c r="V867" s="567" t="str">
        <f t="shared" si="155"/>
        <v>OK</v>
      </c>
      <c r="W867" s="563" t="str">
        <f>VLOOKUP(A867,'[1]Raw data'!$B:$AG,32,FALSE)</f>
        <v>DAP SZ</v>
      </c>
      <c r="X867" s="647">
        <f>VLOOKUP(A867,'[1]Raw data'!$B:$BA,31,FALSE)</f>
        <v>44256</v>
      </c>
      <c r="Y867" s="647" t="str">
        <f>VLOOKUP(A867,'[1]Raw data'!$B:$AS,39,FALSE)</f>
        <v>Yes</v>
      </c>
      <c r="Z867" s="659"/>
      <c r="AA867" s="660"/>
      <c r="AB867" s="661"/>
      <c r="AC867" s="647" t="s">
        <v>1521</v>
      </c>
      <c r="AD867" s="662">
        <v>301</v>
      </c>
      <c r="AE867" s="662">
        <v>20</v>
      </c>
      <c r="AF867" s="662"/>
      <c r="AG867" s="662"/>
      <c r="AH867" s="662"/>
      <c r="AI867" s="663"/>
      <c r="AN867" s="542"/>
      <c r="AO867" s="824" t="str">
        <f t="shared" si="140"/>
        <v>Yes</v>
      </c>
      <c r="AP867" s="259" t="str">
        <f t="shared" si="141"/>
        <v>MAY 21</v>
      </c>
      <c r="AQ867" s="542" t="str">
        <f t="shared" si="142"/>
        <v>有定金+有預留客戶</v>
      </c>
      <c r="AR867" s="259" t="str">
        <f t="shared" si="143"/>
        <v>Shipped_Stock</v>
      </c>
      <c r="AS867" s="259" t="str">
        <f t="shared" si="144"/>
        <v/>
      </c>
      <c r="AT867" s="259" t="str">
        <f t="shared" si="145"/>
        <v>智序</v>
      </c>
      <c r="AU867" s="259" t="str">
        <f t="shared" si="146"/>
        <v>C49SZX20210049MX</v>
      </c>
      <c r="AV867" s="259" t="str">
        <f t="shared" si="147"/>
        <v>May-22</v>
      </c>
    </row>
    <row r="868" spans="1:48" hidden="1">
      <c r="A868" s="559">
        <v>1306</v>
      </c>
      <c r="B868" s="664" t="s">
        <v>1125</v>
      </c>
      <c r="C868" s="664" t="s">
        <v>281</v>
      </c>
      <c r="D868" s="645">
        <v>110236</v>
      </c>
      <c r="E868" s="563" t="s">
        <v>1490</v>
      </c>
      <c r="F868" s="647" t="s">
        <v>58</v>
      </c>
      <c r="G868" s="647" t="s">
        <v>24</v>
      </c>
      <c r="H868" s="647" t="s">
        <v>307</v>
      </c>
      <c r="I868" s="575" t="s">
        <v>1666</v>
      </c>
      <c r="J868" s="575">
        <v>1</v>
      </c>
      <c r="K868" s="647" t="s">
        <v>78</v>
      </c>
      <c r="L868" s="657">
        <v>44338</v>
      </c>
      <c r="M868" s="665" t="s">
        <v>258</v>
      </c>
      <c r="N868" s="647" t="s">
        <v>96</v>
      </c>
      <c r="O868" s="575"/>
      <c r="P868" s="665" t="str">
        <f>VLOOKUP(A868,'[1]Raw data'!$B:$BA,23,FALSE)</f>
        <v>JPY</v>
      </c>
      <c r="Q868" s="647" t="str">
        <f>VLOOKUP(A868,'[1]Raw data'!$B:$Z,2,FALSE)</f>
        <v>C49SZX20210096JL</v>
      </c>
      <c r="R868" s="647" t="str">
        <f>VLOOKUP(A868,'[1]Raw data'!$B:$Z,3,FALSE)</f>
        <v>杉川</v>
      </c>
      <c r="S868" s="647" t="str">
        <f>VLOOKUP(A868,'[1]Raw data'!$B:$Z,4,FALSE)</f>
        <v>YSM20R-2</v>
      </c>
      <c r="T868" s="647" t="str">
        <f>VLOOKUP(A868,'[1]Raw data'!$B:$Z,8,FALSE)</f>
        <v>L-&gt;R</v>
      </c>
      <c r="U868" s="647" t="str">
        <f>VLOOKUP(A868,'[1]Raw data'!$B:$Z,9,FALSE)</f>
        <v>No</v>
      </c>
      <c r="V868" s="567" t="str">
        <f t="shared" si="155"/>
        <v>OK</v>
      </c>
      <c r="W868" s="563" t="str">
        <f>VLOOKUP(A868,'[1]Raw data'!$B:$AG,32,FALSE)</f>
        <v>DAP SZ</v>
      </c>
      <c r="X868" s="647">
        <f>VLOOKUP(A868,'[1]Raw data'!$B:$BA,31,FALSE)</f>
        <v>44288</v>
      </c>
      <c r="Y868" s="647" t="str">
        <f>VLOOKUP(A868,'[1]Raw data'!$B:$AS,39,FALSE)</f>
        <v>Yes</v>
      </c>
      <c r="Z868" s="659"/>
      <c r="AA868" s="660"/>
      <c r="AB868" s="661"/>
      <c r="AC868" s="647" t="s">
        <v>1667</v>
      </c>
      <c r="AD868" s="662">
        <v>301</v>
      </c>
      <c r="AE868" s="662">
        <v>20</v>
      </c>
      <c r="AF868" s="662"/>
      <c r="AG868" s="662"/>
      <c r="AH868" s="662"/>
      <c r="AI868" s="663"/>
      <c r="AN868" s="542"/>
      <c r="AO868" s="824" t="str">
        <f t="shared" si="140"/>
        <v>Yes</v>
      </c>
      <c r="AP868" s="259" t="str">
        <f t="shared" si="141"/>
        <v>JUN 21</v>
      </c>
      <c r="AQ868" s="542" t="str">
        <f t="shared" si="142"/>
        <v>有定金+有預留客戶</v>
      </c>
      <c r="AR868" s="259" t="str">
        <f t="shared" si="143"/>
        <v>Shipped_Stock</v>
      </c>
      <c r="AS868" s="259" t="str">
        <f t="shared" si="144"/>
        <v/>
      </c>
      <c r="AT868" s="259" t="str">
        <f t="shared" si="145"/>
        <v>杉川</v>
      </c>
      <c r="AU868" s="259" t="str">
        <f t="shared" si="146"/>
        <v>C49SZX20210096JL</v>
      </c>
      <c r="AV868" s="259" t="str">
        <f t="shared" si="147"/>
        <v>May-22</v>
      </c>
    </row>
    <row r="869" spans="1:48" hidden="1">
      <c r="A869" s="559">
        <v>1452</v>
      </c>
      <c r="B869" s="664" t="s">
        <v>1125</v>
      </c>
      <c r="C869" s="664" t="s">
        <v>281</v>
      </c>
      <c r="D869" s="645" t="s">
        <v>1668</v>
      </c>
      <c r="E869" s="563" t="s">
        <v>1490</v>
      </c>
      <c r="F869" s="647" t="s">
        <v>58</v>
      </c>
      <c r="G869" s="647" t="s">
        <v>24</v>
      </c>
      <c r="H869" s="664" t="s">
        <v>27</v>
      </c>
      <c r="I869" s="746" t="s">
        <v>1669</v>
      </c>
      <c r="J869" s="684">
        <v>1</v>
      </c>
      <c r="K869" s="647" t="s">
        <v>78</v>
      </c>
      <c r="L869" s="657">
        <v>44338</v>
      </c>
      <c r="M869" s="665">
        <v>6.0499999999999998E-2</v>
      </c>
      <c r="N869" s="647" t="s">
        <v>97</v>
      </c>
      <c r="O869" s="575"/>
      <c r="P869" s="665" t="str">
        <f>VLOOKUP(A869,'[1]Raw data'!$B:$BA,23,FALSE)</f>
        <v>JPY</v>
      </c>
      <c r="Q869" s="647" t="str">
        <f>VLOOKUP(A869,'[1]Raw data'!$B:$Z,2,FALSE)</f>
        <v>HKFR-ESE-2021071301</v>
      </c>
      <c r="R869" s="647" t="str">
        <f>VLOOKUP(A869,'[1]Raw data'!$B:$Z,3,FALSE)</f>
        <v>富洛</v>
      </c>
      <c r="S869" s="647" t="str">
        <f>VLOOKUP(A869,'[1]Raw data'!$B:$Z,4,FALSE)</f>
        <v>YSM20R-2</v>
      </c>
      <c r="T869" s="647" t="str">
        <f>VLOOKUP(A869,'[1]Raw data'!$B:$Z,8,FALSE)</f>
        <v>L-&gt;R</v>
      </c>
      <c r="U869" s="647" t="str">
        <f>VLOOKUP(A869,'[1]Raw data'!$B:$Z,9,FALSE)</f>
        <v>MVC</v>
      </c>
      <c r="V869" s="567" t="str">
        <f t="shared" si="155"/>
        <v>OK</v>
      </c>
      <c r="W869" s="563" t="str">
        <f>VLOOKUP(A869,'[1]Raw data'!$B:$AG,32,FALSE)</f>
        <v>CIF HK</v>
      </c>
      <c r="X869" s="647">
        <f>VLOOKUP(A869,'[1]Raw data'!$B:$BA,31,FALSE)</f>
        <v>44391</v>
      </c>
      <c r="Y869" s="647" t="str">
        <f>VLOOKUP(A869,'[1]Raw data'!$B:$AS,39,FALSE)</f>
        <v>Yes</v>
      </c>
      <c r="Z869" s="659"/>
      <c r="AA869" s="660"/>
      <c r="AB869" s="661"/>
      <c r="AC869" s="647" t="s">
        <v>1670</v>
      </c>
      <c r="AD869" s="662">
        <v>301</v>
      </c>
      <c r="AE869" s="662">
        <v>10</v>
      </c>
      <c r="AF869" s="662">
        <v>303</v>
      </c>
      <c r="AG869" s="662">
        <v>10</v>
      </c>
      <c r="AH869" s="662"/>
      <c r="AI869" s="663"/>
      <c r="AN869" s="542"/>
      <c r="AO869" s="824" t="str">
        <f t="shared" si="140"/>
        <v>Yes</v>
      </c>
      <c r="AP869" s="259" t="str">
        <f t="shared" si="141"/>
        <v>JUL 21</v>
      </c>
      <c r="AQ869" s="542" t="str">
        <f t="shared" si="142"/>
        <v>有定金+有預留客戶</v>
      </c>
      <c r="AR869" s="259" t="str">
        <f t="shared" si="143"/>
        <v>Shipped_Stock</v>
      </c>
      <c r="AS869" s="259" t="str">
        <f t="shared" si="144"/>
        <v/>
      </c>
      <c r="AT869" s="259" t="str">
        <f t="shared" si="145"/>
        <v>富洛</v>
      </c>
      <c r="AU869" s="259" t="str">
        <f t="shared" si="146"/>
        <v>HKFR-ESE-2021071301</v>
      </c>
      <c r="AV869" s="259" t="str">
        <f t="shared" si="147"/>
        <v>May-22</v>
      </c>
    </row>
    <row r="870" spans="1:48" hidden="1">
      <c r="A870" s="559">
        <v>1146</v>
      </c>
      <c r="B870" s="664" t="s">
        <v>1125</v>
      </c>
      <c r="C870" s="664" t="s">
        <v>281</v>
      </c>
      <c r="D870" s="645" t="s">
        <v>1668</v>
      </c>
      <c r="E870" s="563" t="s">
        <v>1490</v>
      </c>
      <c r="F870" s="647" t="s">
        <v>58</v>
      </c>
      <c r="G870" s="647" t="s">
        <v>24</v>
      </c>
      <c r="H870" s="664" t="s">
        <v>27</v>
      </c>
      <c r="I870" s="747" t="s">
        <v>1671</v>
      </c>
      <c r="J870" s="684">
        <v>1</v>
      </c>
      <c r="K870" s="647" t="s">
        <v>85</v>
      </c>
      <c r="L870" s="657">
        <v>44338</v>
      </c>
      <c r="M870" s="665">
        <v>6.0499999999999998E-2</v>
      </c>
      <c r="N870" s="647" t="s">
        <v>96</v>
      </c>
      <c r="O870" s="575"/>
      <c r="P870" s="665" t="str">
        <f>VLOOKUP(A870,'[1]Raw data'!$B:$BA,23,FALSE)</f>
        <v>RMB</v>
      </c>
      <c r="Q870" s="647" t="str">
        <f>VLOOKUP(A870,'[1]Raw data'!$B:$Z,2,FALSE)</f>
        <v>C49SZX20210048SS</v>
      </c>
      <c r="R870" s="647" t="str">
        <f>VLOOKUP(A870,'[1]Raw data'!$B:$Z,3,FALSE)</f>
        <v>美田</v>
      </c>
      <c r="S870" s="647" t="str">
        <f>VLOOKUP(A870,'[1]Raw data'!$B:$Z,4,FALSE)</f>
        <v>YSM20R-2</v>
      </c>
      <c r="T870" s="647" t="str">
        <f>VLOOKUP(A870,'[1]Raw data'!$B:$Z,8,FALSE)</f>
        <v>L-&gt;R</v>
      </c>
      <c r="U870" s="647" t="str">
        <f>VLOOKUP(A870,'[1]Raw data'!$B:$Z,9,FALSE)</f>
        <v>MVC</v>
      </c>
      <c r="V870" s="567" t="str">
        <f t="shared" si="155"/>
        <v>OK</v>
      </c>
      <c r="W870" s="563" t="str">
        <f>VLOOKUP(A870,'[1]Raw data'!$B:$AG,32,FALSE)</f>
        <v>含税到厂</v>
      </c>
      <c r="X870" s="647">
        <f>VLOOKUP(A870,'[1]Raw data'!$B:$BA,31,FALSE)</f>
        <v>44236</v>
      </c>
      <c r="Y870" s="647" t="str">
        <f>VLOOKUP(A870,'[1]Raw data'!$B:$AS,39,FALSE)</f>
        <v>Yes</v>
      </c>
      <c r="Z870" s="659"/>
      <c r="AA870" s="660"/>
      <c r="AB870" s="661"/>
      <c r="AC870" s="647" t="s">
        <v>1635</v>
      </c>
      <c r="AD870" s="662">
        <v>301</v>
      </c>
      <c r="AE870" s="662">
        <v>10</v>
      </c>
      <c r="AF870" s="662">
        <v>303</v>
      </c>
      <c r="AG870" s="662">
        <v>10</v>
      </c>
      <c r="AH870" s="662"/>
      <c r="AI870" s="663"/>
      <c r="AN870" s="542"/>
      <c r="AO870" s="824" t="str">
        <f t="shared" si="140"/>
        <v>Yes</v>
      </c>
      <c r="AP870" s="259" t="str">
        <f t="shared" si="141"/>
        <v>JUN 21</v>
      </c>
      <c r="AQ870" s="542" t="str">
        <f t="shared" si="142"/>
        <v>有定金+有預留客戶</v>
      </c>
      <c r="AR870" s="259" t="str">
        <f t="shared" si="143"/>
        <v>Shipped_Stock</v>
      </c>
      <c r="AS870" s="259" t="str">
        <f t="shared" si="144"/>
        <v/>
      </c>
      <c r="AT870" s="259" t="str">
        <f t="shared" si="145"/>
        <v>美田</v>
      </c>
      <c r="AU870" s="259" t="str">
        <f t="shared" si="146"/>
        <v>C49SZX20210048SS</v>
      </c>
      <c r="AV870" s="259" t="str">
        <f t="shared" si="147"/>
        <v>May-22</v>
      </c>
    </row>
    <row r="871" spans="1:48" hidden="1">
      <c r="A871" s="559">
        <v>1256</v>
      </c>
      <c r="B871" s="664" t="s">
        <v>1125</v>
      </c>
      <c r="C871" s="664" t="s">
        <v>281</v>
      </c>
      <c r="D871" s="645">
        <v>110236</v>
      </c>
      <c r="E871" s="563" t="s">
        <v>1490</v>
      </c>
      <c r="F871" s="647" t="s">
        <v>58</v>
      </c>
      <c r="G871" s="647" t="s">
        <v>24</v>
      </c>
      <c r="H871" s="664" t="s">
        <v>27</v>
      </c>
      <c r="I871" s="747" t="s">
        <v>1672</v>
      </c>
      <c r="J871" s="684">
        <v>1</v>
      </c>
      <c r="K871" s="647" t="s">
        <v>81</v>
      </c>
      <c r="L871" s="657">
        <v>44338</v>
      </c>
      <c r="M871" s="665" t="s">
        <v>906</v>
      </c>
      <c r="N871" s="647" t="s">
        <v>96</v>
      </c>
      <c r="O871" s="575"/>
      <c r="P871" s="665" t="str">
        <f>VLOOKUP(A871,'[1]Raw data'!$B:$BA,23,FALSE)</f>
        <v>JPY</v>
      </c>
      <c r="Q871" s="647" t="str">
        <f>VLOOKUP(A871,'[1]Raw data'!$B:$Z,2,FALSE)</f>
        <v>C49SZX20210081MZ</v>
      </c>
      <c r="R871" s="647" t="str">
        <f>VLOOKUP(A871,'[1]Raw data'!$B:$Z,3,FALSE)</f>
        <v>崧盛</v>
      </c>
      <c r="S871" s="647" t="str">
        <f>VLOOKUP(A871,'[1]Raw data'!$B:$Z,4,FALSE)</f>
        <v>YSM20R-2</v>
      </c>
      <c r="T871" s="647" t="str">
        <f>VLOOKUP(A871,'[1]Raw data'!$B:$Z,8,FALSE)</f>
        <v>L-&gt;R</v>
      </c>
      <c r="U871" s="647" t="str">
        <f>VLOOKUP(A871,'[1]Raw data'!$B:$Z,9,FALSE)</f>
        <v>No</v>
      </c>
      <c r="V871" s="567" t="str">
        <f t="shared" si="155"/>
        <v>WRONG</v>
      </c>
      <c r="W871" s="563" t="str">
        <f>VLOOKUP(A871,'[1]Raw data'!$B:$AG,32,FALSE)</f>
        <v>CIF HK</v>
      </c>
      <c r="X871" s="647">
        <f>VLOOKUP(A871,'[1]Raw data'!$B:$BA,31,FALSE)</f>
        <v>44268</v>
      </c>
      <c r="Y871" s="647" t="str">
        <f>VLOOKUP(A871,'[1]Raw data'!$B:$AS,39,FALSE)</f>
        <v>Yes</v>
      </c>
      <c r="Z871" s="659"/>
      <c r="AA871" s="660"/>
      <c r="AB871" s="661"/>
      <c r="AC871" s="647" t="s">
        <v>1537</v>
      </c>
      <c r="AD871" s="662">
        <v>312</v>
      </c>
      <c r="AE871" s="662">
        <v>10</v>
      </c>
      <c r="AF871" s="662">
        <v>311</v>
      </c>
      <c r="AG871" s="662">
        <v>10</v>
      </c>
      <c r="AH871" s="662"/>
      <c r="AI871" s="663"/>
      <c r="AN871" s="542"/>
      <c r="AO871" s="824" t="str">
        <f t="shared" si="140"/>
        <v>Yes</v>
      </c>
      <c r="AP871" s="259" t="str">
        <f t="shared" si="141"/>
        <v>JUN 21</v>
      </c>
      <c r="AQ871" s="542" t="str">
        <f t="shared" si="142"/>
        <v>有定金+有預留客戶</v>
      </c>
      <c r="AR871" s="259" t="str">
        <f t="shared" si="143"/>
        <v>Shipped_Stock</v>
      </c>
      <c r="AS871" s="259" t="str">
        <f t="shared" si="144"/>
        <v/>
      </c>
      <c r="AT871" s="259" t="str">
        <f t="shared" si="145"/>
        <v>崧盛</v>
      </c>
      <c r="AU871" s="259" t="str">
        <f t="shared" si="146"/>
        <v>C49SZX20210081MZ</v>
      </c>
      <c r="AV871" s="259" t="str">
        <f t="shared" si="147"/>
        <v>May-22</v>
      </c>
    </row>
    <row r="872" spans="1:48" hidden="1">
      <c r="A872" s="559">
        <v>1257</v>
      </c>
      <c r="B872" s="664" t="s">
        <v>1125</v>
      </c>
      <c r="C872" s="664" t="s">
        <v>281</v>
      </c>
      <c r="D872" s="645">
        <v>110236</v>
      </c>
      <c r="E872" s="563" t="s">
        <v>1490</v>
      </c>
      <c r="F872" s="647" t="s">
        <v>58</v>
      </c>
      <c r="G872" s="647" t="s">
        <v>24</v>
      </c>
      <c r="H872" s="664" t="s">
        <v>27</v>
      </c>
      <c r="I872" s="747" t="s">
        <v>1673</v>
      </c>
      <c r="J872" s="684">
        <v>1</v>
      </c>
      <c r="K872" s="647" t="s">
        <v>81</v>
      </c>
      <c r="L872" s="657">
        <v>44338</v>
      </c>
      <c r="M872" s="665" t="s">
        <v>906</v>
      </c>
      <c r="N872" s="647" t="s">
        <v>96</v>
      </c>
      <c r="O872" s="575"/>
      <c r="P872" s="665" t="str">
        <f>VLOOKUP(A872,'[1]Raw data'!$B:$BA,23,FALSE)</f>
        <v>JPY</v>
      </c>
      <c r="Q872" s="647" t="str">
        <f>VLOOKUP(A872,'[1]Raw data'!$B:$Z,2,FALSE)</f>
        <v>C49SZX20210081MZ</v>
      </c>
      <c r="R872" s="647" t="str">
        <f>VLOOKUP(A872,'[1]Raw data'!$B:$Z,3,FALSE)</f>
        <v>崧盛</v>
      </c>
      <c r="S872" s="647" t="str">
        <f>VLOOKUP(A872,'[1]Raw data'!$B:$Z,4,FALSE)</f>
        <v>YSM20R-2</v>
      </c>
      <c r="T872" s="647" t="str">
        <f>VLOOKUP(A872,'[1]Raw data'!$B:$Z,8,FALSE)</f>
        <v>L-&gt;R</v>
      </c>
      <c r="U872" s="647" t="str">
        <f>VLOOKUP(A872,'[1]Raw data'!$B:$Z,9,FALSE)</f>
        <v>No</v>
      </c>
      <c r="V872" s="567" t="str">
        <f t="shared" si="155"/>
        <v>WRONG</v>
      </c>
      <c r="W872" s="563" t="str">
        <f>VLOOKUP(A872,'[1]Raw data'!$B:$AG,32,FALSE)</f>
        <v>CIF HK</v>
      </c>
      <c r="X872" s="647">
        <f>VLOOKUP(A872,'[1]Raw data'!$B:$BA,31,FALSE)</f>
        <v>44268</v>
      </c>
      <c r="Y872" s="647" t="str">
        <f>VLOOKUP(A872,'[1]Raw data'!$B:$AS,39,FALSE)</f>
        <v>Yes</v>
      </c>
      <c r="Z872" s="659"/>
      <c r="AA872" s="660"/>
      <c r="AB872" s="661"/>
      <c r="AC872" s="647" t="s">
        <v>1537</v>
      </c>
      <c r="AD872" s="662">
        <v>312</v>
      </c>
      <c r="AE872" s="662">
        <v>10</v>
      </c>
      <c r="AF872" s="662">
        <v>311</v>
      </c>
      <c r="AG872" s="662">
        <v>10</v>
      </c>
      <c r="AH872" s="662"/>
      <c r="AI872" s="663"/>
      <c r="AN872" s="542"/>
      <c r="AO872" s="824" t="str">
        <f t="shared" si="140"/>
        <v>Yes</v>
      </c>
      <c r="AP872" s="259" t="str">
        <f t="shared" si="141"/>
        <v>JUN 21</v>
      </c>
      <c r="AQ872" s="542" t="str">
        <f t="shared" si="142"/>
        <v>有定金+有預留客戶</v>
      </c>
      <c r="AR872" s="259" t="str">
        <f t="shared" si="143"/>
        <v>Shipped_Stock</v>
      </c>
      <c r="AS872" s="259" t="str">
        <f t="shared" si="144"/>
        <v/>
      </c>
      <c r="AT872" s="259" t="str">
        <f t="shared" si="145"/>
        <v>崧盛</v>
      </c>
      <c r="AU872" s="259" t="str">
        <f t="shared" si="146"/>
        <v>C49SZX20210081MZ</v>
      </c>
      <c r="AV872" s="259" t="str">
        <f t="shared" si="147"/>
        <v>May-22</v>
      </c>
    </row>
    <row r="873" spans="1:48" ht="13.5" hidden="1" thickBot="1">
      <c r="A873" s="559">
        <v>1145</v>
      </c>
      <c r="B873" s="664" t="s">
        <v>1125</v>
      </c>
      <c r="C873" s="664" t="s">
        <v>281</v>
      </c>
      <c r="D873" s="645" t="s">
        <v>1674</v>
      </c>
      <c r="E873" s="563" t="s">
        <v>1490</v>
      </c>
      <c r="F873" s="647" t="s">
        <v>58</v>
      </c>
      <c r="G873" s="647" t="s">
        <v>24</v>
      </c>
      <c r="H873" s="664" t="s">
        <v>27</v>
      </c>
      <c r="I873" s="573" t="s">
        <v>1675</v>
      </c>
      <c r="J873" s="684">
        <v>1</v>
      </c>
      <c r="K873" s="647" t="s">
        <v>81</v>
      </c>
      <c r="L873" s="657">
        <v>44338</v>
      </c>
      <c r="M873" s="665">
        <v>5.9299999999999999E-2</v>
      </c>
      <c r="N873" s="647" t="s">
        <v>96</v>
      </c>
      <c r="O873" s="575"/>
      <c r="P873" s="665" t="str">
        <f>VLOOKUP(A873,'[1]Raw data'!$B:$BA,23,FALSE)</f>
        <v>RMB</v>
      </c>
      <c r="Q873" s="647" t="str">
        <f>VLOOKUP(A873,'[1]Raw data'!$B:$Z,2,FALSE)</f>
        <v>C49SZX20210048SS</v>
      </c>
      <c r="R873" s="647" t="str">
        <f>VLOOKUP(A873,'[1]Raw data'!$B:$Z,3,FALSE)</f>
        <v>美田</v>
      </c>
      <c r="S873" s="647" t="str">
        <f>VLOOKUP(A873,'[1]Raw data'!$B:$Z,4,FALSE)</f>
        <v>YSM20R-2</v>
      </c>
      <c r="T873" s="647" t="str">
        <f>VLOOKUP(A873,'[1]Raw data'!$B:$Z,8,FALSE)</f>
        <v>L-&gt;R</v>
      </c>
      <c r="U873" s="647" t="str">
        <f>VLOOKUP(A873,'[1]Raw data'!$B:$Z,9,FALSE)</f>
        <v>MVC</v>
      </c>
      <c r="V873" s="567" t="str">
        <f t="shared" si="155"/>
        <v>OK</v>
      </c>
      <c r="W873" s="563" t="str">
        <f>VLOOKUP(A873,'[1]Raw data'!$B:$AG,32,FALSE)</f>
        <v>含税到厂</v>
      </c>
      <c r="X873" s="647">
        <f>VLOOKUP(A873,'[1]Raw data'!$B:$BA,31,FALSE)</f>
        <v>44236</v>
      </c>
      <c r="Y873" s="647" t="str">
        <f>VLOOKUP(A873,'[1]Raw data'!$B:$AS,39,FALSE)</f>
        <v>Yes</v>
      </c>
      <c r="Z873" s="659"/>
      <c r="AA873" s="660"/>
      <c r="AB873" s="661"/>
      <c r="AC873" s="647" t="s">
        <v>1676</v>
      </c>
      <c r="AD873" s="662">
        <v>312</v>
      </c>
      <c r="AE873" s="662">
        <v>10</v>
      </c>
      <c r="AF873" s="662">
        <v>311</v>
      </c>
      <c r="AG873" s="662">
        <v>10</v>
      </c>
      <c r="AH873" s="662"/>
      <c r="AI873" s="663"/>
      <c r="AN873" s="542"/>
      <c r="AO873" s="824" t="str">
        <f t="shared" si="140"/>
        <v>Yes</v>
      </c>
      <c r="AP873" s="259" t="str">
        <f t="shared" si="141"/>
        <v>JUN 21</v>
      </c>
      <c r="AQ873" s="542" t="str">
        <f t="shared" si="142"/>
        <v>有定金+有預留客戶</v>
      </c>
      <c r="AR873" s="259" t="str">
        <f t="shared" si="143"/>
        <v>Shipped_Stock</v>
      </c>
      <c r="AS873" s="259" t="str">
        <f t="shared" si="144"/>
        <v/>
      </c>
      <c r="AT873" s="259" t="str">
        <f t="shared" si="145"/>
        <v>美田</v>
      </c>
      <c r="AU873" s="259" t="str">
        <f t="shared" si="146"/>
        <v>C49SZX20210048SS</v>
      </c>
      <c r="AV873" s="259" t="str">
        <f t="shared" si="147"/>
        <v>May-22</v>
      </c>
    </row>
    <row r="874" spans="1:48" hidden="1">
      <c r="A874" s="559">
        <v>1189</v>
      </c>
      <c r="B874" s="664" t="s">
        <v>1125</v>
      </c>
      <c r="C874" s="664" t="s">
        <v>281</v>
      </c>
      <c r="D874" s="645">
        <v>110437</v>
      </c>
      <c r="E874" s="563" t="s">
        <v>886</v>
      </c>
      <c r="F874" s="647" t="s">
        <v>58</v>
      </c>
      <c r="G874" s="647" t="s">
        <v>24</v>
      </c>
      <c r="H874" s="647" t="s">
        <v>26</v>
      </c>
      <c r="I874" s="693" t="s">
        <v>1677</v>
      </c>
      <c r="J874" s="575">
        <v>1</v>
      </c>
      <c r="K874" s="647" t="s">
        <v>1419</v>
      </c>
      <c r="L874" s="657">
        <v>44338</v>
      </c>
      <c r="M874" s="665">
        <v>5.9299999999999999E-2</v>
      </c>
      <c r="N874" s="647" t="s">
        <v>96</v>
      </c>
      <c r="O874" s="575"/>
      <c r="P874" s="665" t="str">
        <f>VLOOKUP(A874,'[1]Raw data'!$B:$BA,23,FALSE)</f>
        <v>RMB</v>
      </c>
      <c r="Q874" s="647" t="str">
        <f>VLOOKUP(A874,'[1]Raw data'!$B:$Z,2,FALSE)</f>
        <v>C49SZX20210156DZ</v>
      </c>
      <c r="R874" s="647" t="str">
        <f>VLOOKUP(A874,'[1]Raw data'!$B:$Z,3,FALSE)</f>
        <v>海星</v>
      </c>
      <c r="S874" s="647" t="str">
        <f>VLOOKUP(A874,'[1]Raw data'!$B:$Z,4,FALSE)</f>
        <v>YSM20R-2</v>
      </c>
      <c r="T874" s="647" t="str">
        <f>VLOOKUP(A874,'[1]Raw data'!$B:$Z,8,FALSE)</f>
        <v>L-&gt;R</v>
      </c>
      <c r="U874" s="647" t="str">
        <f>VLOOKUP(A874,'[1]Raw data'!$B:$Z,9,FALSE)</f>
        <v>No</v>
      </c>
      <c r="V874" s="567" t="str">
        <f t="shared" ref="V874:V880" si="156">IF(G874&amp;H874=T874&amp;U874,"OK","WRONG")</f>
        <v>OK</v>
      </c>
      <c r="W874" s="563" t="str">
        <f>VLOOKUP(A874,'[1]Raw data'!$B:$AG,32,FALSE)</f>
        <v>DDP SZ</v>
      </c>
      <c r="X874" s="647">
        <f>VLOOKUP(A874,'[1]Raw data'!$B:$BA,31,FALSE)</f>
        <v>44260</v>
      </c>
      <c r="Y874" s="647" t="str">
        <f>VLOOKUP(A874,'[1]Raw data'!$B:$AS,39,FALSE)</f>
        <v>Yes</v>
      </c>
      <c r="Z874" s="659"/>
      <c r="AA874" s="660"/>
      <c r="AB874" s="661"/>
      <c r="AC874" s="647" t="s">
        <v>1557</v>
      </c>
      <c r="AD874" s="662">
        <v>302</v>
      </c>
      <c r="AE874" s="662">
        <v>10</v>
      </c>
      <c r="AF874" s="662">
        <v>301</v>
      </c>
      <c r="AG874" s="662">
        <v>10</v>
      </c>
      <c r="AH874" s="662"/>
      <c r="AI874" s="663"/>
      <c r="AN874" s="542"/>
      <c r="AO874" s="824" t="str">
        <f t="shared" si="140"/>
        <v>Yes</v>
      </c>
      <c r="AP874" s="259" t="str">
        <f t="shared" si="141"/>
        <v>JUN 21</v>
      </c>
      <c r="AQ874" s="542" t="str">
        <f t="shared" si="142"/>
        <v>有定金+有預留客戶</v>
      </c>
      <c r="AR874" s="259" t="str">
        <f t="shared" si="143"/>
        <v>Shipped_Stock</v>
      </c>
      <c r="AS874" s="259" t="str">
        <f t="shared" si="144"/>
        <v/>
      </c>
      <c r="AT874" s="259" t="str">
        <f t="shared" si="145"/>
        <v>海星</v>
      </c>
      <c r="AU874" s="259" t="str">
        <f t="shared" si="146"/>
        <v>C49SZX20210156DZ</v>
      </c>
      <c r="AV874" s="259" t="str">
        <f t="shared" si="147"/>
        <v>May-22</v>
      </c>
    </row>
    <row r="875" spans="1:48" hidden="1">
      <c r="A875" s="559">
        <v>1131</v>
      </c>
      <c r="B875" s="664" t="s">
        <v>1125</v>
      </c>
      <c r="C875" s="664" t="s">
        <v>281</v>
      </c>
      <c r="D875" s="645" t="s">
        <v>1678</v>
      </c>
      <c r="E875" s="563" t="s">
        <v>886</v>
      </c>
      <c r="F875" s="647" t="s">
        <v>58</v>
      </c>
      <c r="G875" s="647" t="s">
        <v>24</v>
      </c>
      <c r="H875" s="647" t="s">
        <v>26</v>
      </c>
      <c r="I875" s="575" t="s">
        <v>1679</v>
      </c>
      <c r="J875" s="575">
        <v>1</v>
      </c>
      <c r="K875" s="647" t="s">
        <v>1419</v>
      </c>
      <c r="L875" s="657">
        <v>44338</v>
      </c>
      <c r="M875" s="665">
        <v>5.9900000000000002E-2</v>
      </c>
      <c r="N875" s="647" t="s">
        <v>96</v>
      </c>
      <c r="O875" s="575"/>
      <c r="P875" s="665" t="str">
        <f>VLOOKUP(A875,'[1]Raw data'!$B:$BA,23,FALSE)</f>
        <v>RMB</v>
      </c>
      <c r="Q875" s="647" t="str">
        <f>VLOOKUP(A875,'[1]Raw data'!$B:$Z,2,FALSE)</f>
        <v>C49SZX20210040DY</v>
      </c>
      <c r="R875" s="647" t="str">
        <f>VLOOKUP(A875,'[1]Raw data'!$B:$Z,3,FALSE)</f>
        <v>惠宇</v>
      </c>
      <c r="S875" s="647" t="str">
        <f>VLOOKUP(A875,'[1]Raw data'!$B:$Z,4,FALSE)</f>
        <v>YSM20R-2</v>
      </c>
      <c r="T875" s="647" t="str">
        <f>VLOOKUP(A875,'[1]Raw data'!$B:$Z,8,FALSE)</f>
        <v>L-&gt;R</v>
      </c>
      <c r="U875" s="647" t="str">
        <f>VLOOKUP(A875,'[1]Raw data'!$B:$Z,9,FALSE)</f>
        <v>No</v>
      </c>
      <c r="V875" s="567" t="str">
        <f t="shared" si="156"/>
        <v>OK</v>
      </c>
      <c r="W875" s="563" t="str">
        <f>VLOOKUP(A875,'[1]Raw data'!$B:$AG,32,FALSE)</f>
        <v>含税到厂</v>
      </c>
      <c r="X875" s="647">
        <f>VLOOKUP(A875,'[1]Raw data'!$B:$BA,31,FALSE)</f>
        <v>44230</v>
      </c>
      <c r="Y875" s="647" t="str">
        <f>VLOOKUP(A875,'[1]Raw data'!$B:$AS,39,FALSE)</f>
        <v>Yes</v>
      </c>
      <c r="Z875" s="659"/>
      <c r="AA875" s="660"/>
      <c r="AB875" s="661"/>
      <c r="AC875" s="647" t="s">
        <v>1680</v>
      </c>
      <c r="AD875" s="662">
        <v>302</v>
      </c>
      <c r="AE875" s="662">
        <v>10</v>
      </c>
      <c r="AF875" s="662">
        <v>302</v>
      </c>
      <c r="AG875" s="662">
        <v>10</v>
      </c>
      <c r="AH875" s="662"/>
      <c r="AI875" s="663"/>
      <c r="AN875" s="542"/>
      <c r="AO875" s="824" t="str">
        <f t="shared" si="140"/>
        <v>Yes</v>
      </c>
      <c r="AP875" s="259" t="str">
        <f t="shared" si="141"/>
        <v>JUN 21</v>
      </c>
      <c r="AQ875" s="542" t="str">
        <f t="shared" si="142"/>
        <v>有定金+有預留客戶</v>
      </c>
      <c r="AR875" s="259" t="str">
        <f t="shared" si="143"/>
        <v>Shipped_Stock</v>
      </c>
      <c r="AS875" s="259" t="str">
        <f t="shared" si="144"/>
        <v/>
      </c>
      <c r="AT875" s="259" t="str">
        <f t="shared" si="145"/>
        <v>惠宇</v>
      </c>
      <c r="AU875" s="259" t="str">
        <f t="shared" si="146"/>
        <v>C49SZX20210040DY</v>
      </c>
      <c r="AV875" s="259" t="str">
        <f t="shared" si="147"/>
        <v>May-22</v>
      </c>
    </row>
    <row r="876" spans="1:48" hidden="1">
      <c r="A876" s="559">
        <v>1169</v>
      </c>
      <c r="B876" s="664" t="s">
        <v>1125</v>
      </c>
      <c r="C876" s="664" t="s">
        <v>281</v>
      </c>
      <c r="D876" s="645" t="s">
        <v>1681</v>
      </c>
      <c r="E876" s="563" t="s">
        <v>886</v>
      </c>
      <c r="F876" s="647" t="s">
        <v>58</v>
      </c>
      <c r="G876" s="647" t="s">
        <v>24</v>
      </c>
      <c r="H876" s="647" t="s">
        <v>26</v>
      </c>
      <c r="I876" s="575" t="s">
        <v>1682</v>
      </c>
      <c r="J876" s="575">
        <v>1</v>
      </c>
      <c r="K876" s="647" t="s">
        <v>1419</v>
      </c>
      <c r="L876" s="657">
        <v>44338</v>
      </c>
      <c r="M876" s="665" t="s">
        <v>1683</v>
      </c>
      <c r="N876" s="647" t="s">
        <v>110</v>
      </c>
      <c r="O876" s="575"/>
      <c r="P876" s="665" t="str">
        <f>VLOOKUP(A876,'[1]Raw data'!$B:$BA,23,FALSE)</f>
        <v>JPY</v>
      </c>
      <c r="Q876" s="647" t="str">
        <f>VLOOKUP(A876,'[1]Raw data'!$B:$Z,2,FALSE)</f>
        <v>C49SZX20210049MX</v>
      </c>
      <c r="R876" s="647" t="str">
        <f>VLOOKUP(A876,'[1]Raw data'!$B:$Z,3,FALSE)</f>
        <v>智序</v>
      </c>
      <c r="S876" s="647" t="str">
        <f>VLOOKUP(A876,'[1]Raw data'!$B:$Z,4,FALSE)</f>
        <v>YSM20R-2</v>
      </c>
      <c r="T876" s="647" t="str">
        <f>VLOOKUP(A876,'[1]Raw data'!$B:$Z,8,FALSE)</f>
        <v>L-&gt;R</v>
      </c>
      <c r="U876" s="647" t="str">
        <f>VLOOKUP(A876,'[1]Raw data'!$B:$Z,9,FALSE)</f>
        <v>No</v>
      </c>
      <c r="V876" s="567" t="str">
        <f t="shared" si="156"/>
        <v>OK</v>
      </c>
      <c r="W876" s="563" t="str">
        <f>VLOOKUP(A876,'[1]Raw data'!$B:$AG,32,FALSE)</f>
        <v>DAP SZ</v>
      </c>
      <c r="X876" s="647">
        <f>VLOOKUP(A876,'[1]Raw data'!$B:$BA,31,FALSE)</f>
        <v>44256</v>
      </c>
      <c r="Y876" s="647" t="str">
        <f>VLOOKUP(A876,'[1]Raw data'!$B:$AS,39,FALSE)</f>
        <v>Yes</v>
      </c>
      <c r="Z876" s="659"/>
      <c r="AA876" s="660"/>
      <c r="AB876" s="661"/>
      <c r="AC876" s="647" t="s">
        <v>1521</v>
      </c>
      <c r="AD876" s="662">
        <v>302</v>
      </c>
      <c r="AE876" s="662">
        <v>10</v>
      </c>
      <c r="AF876" s="662">
        <v>302</v>
      </c>
      <c r="AG876" s="662">
        <v>10</v>
      </c>
      <c r="AH876" s="662"/>
      <c r="AI876" s="663"/>
      <c r="AN876" s="542"/>
      <c r="AO876" s="824" t="str">
        <f t="shared" si="140"/>
        <v>Yes</v>
      </c>
      <c r="AP876" s="259" t="str">
        <f t="shared" si="141"/>
        <v>MAY 21</v>
      </c>
      <c r="AQ876" s="542" t="str">
        <f t="shared" si="142"/>
        <v>有定金+有預留客戶</v>
      </c>
      <c r="AR876" s="259" t="str">
        <f t="shared" si="143"/>
        <v>Shipped_Stock</v>
      </c>
      <c r="AS876" s="259" t="str">
        <f t="shared" si="144"/>
        <v/>
      </c>
      <c r="AT876" s="259" t="str">
        <f t="shared" si="145"/>
        <v>智序</v>
      </c>
      <c r="AU876" s="259" t="str">
        <f t="shared" si="146"/>
        <v>C49SZX20210049MX</v>
      </c>
      <c r="AV876" s="259" t="str">
        <f t="shared" si="147"/>
        <v>May-22</v>
      </c>
    </row>
    <row r="877" spans="1:48" hidden="1">
      <c r="A877" s="559">
        <v>1180</v>
      </c>
      <c r="B877" s="664" t="s">
        <v>1125</v>
      </c>
      <c r="C877" s="664" t="s">
        <v>281</v>
      </c>
      <c r="D877" s="645" t="s">
        <v>1684</v>
      </c>
      <c r="E877" s="563" t="s">
        <v>886</v>
      </c>
      <c r="F877" s="647" t="s">
        <v>58</v>
      </c>
      <c r="G877" s="647" t="s">
        <v>24</v>
      </c>
      <c r="H877" s="647" t="s">
        <v>26</v>
      </c>
      <c r="I877" s="575" t="s">
        <v>1685</v>
      </c>
      <c r="J877" s="575">
        <v>1</v>
      </c>
      <c r="K877" s="647" t="s">
        <v>1419</v>
      </c>
      <c r="L877" s="657">
        <v>44338</v>
      </c>
      <c r="M877" s="665">
        <v>6.0499999999999998E-2</v>
      </c>
      <c r="N877" s="647" t="s">
        <v>96</v>
      </c>
      <c r="O877" s="575"/>
      <c r="P877" s="665" t="str">
        <f>VLOOKUP(A877,'[1]Raw data'!$B:$BA,23,FALSE)</f>
        <v>JPY</v>
      </c>
      <c r="Q877" s="647" t="str">
        <f>VLOOKUP(A877,'[1]Raw data'!$B:$Z,2,FALSE)</f>
        <v>C49SZX20210065JD</v>
      </c>
      <c r="R877" s="647" t="str">
        <f>VLOOKUP(A877,'[1]Raw data'!$B:$Z,3,FALSE)</f>
        <v>贝爱婴童</v>
      </c>
      <c r="S877" s="647" t="str">
        <f>VLOOKUP(A877,'[1]Raw data'!$B:$Z,4,FALSE)</f>
        <v>YSM20R-2</v>
      </c>
      <c r="T877" s="647" t="str">
        <f>VLOOKUP(A877,'[1]Raw data'!$B:$Z,8,FALSE)</f>
        <v>L-&gt;R</v>
      </c>
      <c r="U877" s="647" t="str">
        <f>VLOOKUP(A877,'[1]Raw data'!$B:$Z,9,FALSE)</f>
        <v>No</v>
      </c>
      <c r="V877" s="567" t="str">
        <f t="shared" si="156"/>
        <v>OK</v>
      </c>
      <c r="W877" s="563" t="str">
        <f>VLOOKUP(A877,'[1]Raw data'!$B:$AG,32,FALSE)</f>
        <v>DAP ZS</v>
      </c>
      <c r="X877" s="647">
        <f>VLOOKUP(A877,'[1]Raw data'!$B:$BA,31,FALSE)</f>
        <v>44258</v>
      </c>
      <c r="Y877" s="647" t="str">
        <f>VLOOKUP(A877,'[1]Raw data'!$B:$AS,39,FALSE)</f>
        <v>Yes</v>
      </c>
      <c r="Z877" s="659"/>
      <c r="AA877" s="660"/>
      <c r="AB877" s="661"/>
      <c r="AC877" s="647" t="s">
        <v>1638</v>
      </c>
      <c r="AD877" s="662">
        <v>302</v>
      </c>
      <c r="AE877" s="662">
        <v>10</v>
      </c>
      <c r="AF877" s="662">
        <v>302</v>
      </c>
      <c r="AG877" s="662">
        <v>10</v>
      </c>
      <c r="AH877" s="662"/>
      <c r="AI877" s="663"/>
      <c r="AN877" s="542"/>
      <c r="AO877" s="824" t="str">
        <f t="shared" si="140"/>
        <v>Yes</v>
      </c>
      <c r="AP877" s="259" t="str">
        <f t="shared" si="141"/>
        <v>JUN 21</v>
      </c>
      <c r="AQ877" s="542" t="str">
        <f t="shared" si="142"/>
        <v>有定金+有預留客戶</v>
      </c>
      <c r="AR877" s="259" t="str">
        <f t="shared" si="143"/>
        <v>Shipped_Stock</v>
      </c>
      <c r="AS877" s="259" t="str">
        <f t="shared" si="144"/>
        <v/>
      </c>
      <c r="AT877" s="259" t="str">
        <f t="shared" si="145"/>
        <v>贝爱婴童</v>
      </c>
      <c r="AU877" s="259" t="str">
        <f t="shared" si="146"/>
        <v>C49SZX20210065JD</v>
      </c>
      <c r="AV877" s="259" t="str">
        <f t="shared" si="147"/>
        <v>May-22</v>
      </c>
    </row>
    <row r="878" spans="1:48" hidden="1">
      <c r="A878" s="559">
        <v>1307</v>
      </c>
      <c r="B878" s="664" t="s">
        <v>1125</v>
      </c>
      <c r="C878" s="664" t="s">
        <v>281</v>
      </c>
      <c r="D878" s="645">
        <v>110397</v>
      </c>
      <c r="E878" s="736" t="s">
        <v>1686</v>
      </c>
      <c r="F878" s="647" t="s">
        <v>154</v>
      </c>
      <c r="G878" s="647" t="s">
        <v>24</v>
      </c>
      <c r="H878" s="647" t="s">
        <v>1687</v>
      </c>
      <c r="I878" s="575" t="s">
        <v>1688</v>
      </c>
      <c r="J878" s="575">
        <v>1</v>
      </c>
      <c r="K878" s="647" t="s">
        <v>78</v>
      </c>
      <c r="L878" s="657">
        <v>44340</v>
      </c>
      <c r="M878" s="665"/>
      <c r="N878" s="647" t="s">
        <v>96</v>
      </c>
      <c r="O878" s="575"/>
      <c r="P878" s="665" t="str">
        <f>VLOOKUP(A878,'[1]Raw data'!$B:$BA,23,FALSE)</f>
        <v>JPY</v>
      </c>
      <c r="Q878" s="647" t="str">
        <f>VLOOKUP(A878,'[1]Raw data'!$B:$Z,2,FALSE)</f>
        <v>C49SZX20210096JL</v>
      </c>
      <c r="R878" s="647" t="str">
        <f>VLOOKUP(A878,'[1]Raw data'!$B:$Z,3,FALSE)</f>
        <v>杉川</v>
      </c>
      <c r="S878" s="647" t="str">
        <f>VLOOKUP(A878,'[1]Raw data'!$B:$Z,4,FALSE)</f>
        <v>YSM20WR-2</v>
      </c>
      <c r="T878" s="647" t="str">
        <f>VLOOKUP(A878,'[1]Raw data'!$B:$Z,8,FALSE)</f>
        <v>L-&gt;R</v>
      </c>
      <c r="U878" s="647" t="str">
        <f>VLOOKUP(A878,'[1]Raw data'!$B:$Z,9,FALSE)</f>
        <v>cATS10+MVC+Feeder Carriage</v>
      </c>
      <c r="V878" s="567" t="str">
        <f t="shared" si="156"/>
        <v>WRONG</v>
      </c>
      <c r="W878" s="563" t="str">
        <f>VLOOKUP(A878,'[1]Raw data'!$B:$AG,32,FALSE)</f>
        <v>DAP SZ</v>
      </c>
      <c r="X878" s="647">
        <f>VLOOKUP(A878,'[1]Raw data'!$B:$BA,31,FALSE)</f>
        <v>44288</v>
      </c>
      <c r="Y878" s="647" t="str">
        <f>VLOOKUP(A878,'[1]Raw data'!$B:$AS,39,FALSE)</f>
        <v>Yes</v>
      </c>
      <c r="Z878" s="659"/>
      <c r="AA878" s="660"/>
      <c r="AB878" s="661"/>
      <c r="AC878" s="647" t="s">
        <v>1216</v>
      </c>
      <c r="AD878" s="662"/>
      <c r="AE878" s="662"/>
      <c r="AF878" s="662"/>
      <c r="AG878" s="662"/>
      <c r="AH878" s="662"/>
      <c r="AI878" s="663"/>
      <c r="AN878" s="542"/>
      <c r="AO878" s="824" t="str">
        <f t="shared" si="140"/>
        <v>Yes</v>
      </c>
      <c r="AP878" s="259" t="str">
        <f t="shared" si="141"/>
        <v>JUN 21</v>
      </c>
      <c r="AQ878" s="542" t="str">
        <f t="shared" si="142"/>
        <v>有定金+有預留客戶</v>
      </c>
      <c r="AR878" s="259" t="str">
        <f t="shared" si="143"/>
        <v>Shipped_Stock</v>
      </c>
      <c r="AS878" s="259" t="str">
        <f t="shared" si="144"/>
        <v/>
      </c>
      <c r="AT878" s="259" t="str">
        <f t="shared" si="145"/>
        <v>杉川</v>
      </c>
      <c r="AU878" s="259" t="str">
        <f t="shared" si="146"/>
        <v>C49SZX20210096JL</v>
      </c>
      <c r="AV878" s="259" t="str">
        <f t="shared" si="147"/>
        <v>May-24</v>
      </c>
    </row>
    <row r="879" spans="1:48" hidden="1">
      <c r="A879" s="559">
        <v>1318</v>
      </c>
      <c r="B879" s="664" t="s">
        <v>1125</v>
      </c>
      <c r="C879" s="664" t="s">
        <v>281</v>
      </c>
      <c r="D879" s="645">
        <v>110397</v>
      </c>
      <c r="E879" s="736" t="s">
        <v>1686</v>
      </c>
      <c r="F879" s="647" t="s">
        <v>154</v>
      </c>
      <c r="G879" s="647" t="s">
        <v>24</v>
      </c>
      <c r="H879" s="647" t="s">
        <v>26</v>
      </c>
      <c r="I879" s="575" t="s">
        <v>1689</v>
      </c>
      <c r="J879" s="575">
        <v>1</v>
      </c>
      <c r="K879" s="647" t="s">
        <v>78</v>
      </c>
      <c r="L879" s="657">
        <v>44340</v>
      </c>
      <c r="M879" s="665"/>
      <c r="N879" s="647" t="s">
        <v>96</v>
      </c>
      <c r="O879" s="575"/>
      <c r="P879" s="665" t="str">
        <f>VLOOKUP(A879,'[1]Raw data'!$B:$BA,23,FALSE)</f>
        <v>JPY</v>
      </c>
      <c r="Q879" s="647" t="str">
        <f>VLOOKUP(A879,'[1]Raw data'!$B:$Z,2,FALSE)</f>
        <v>C49SZX20210096JL</v>
      </c>
      <c r="R879" s="647" t="str">
        <f>VLOOKUP(A879,'[1]Raw data'!$B:$Z,3,FALSE)</f>
        <v>杉川</v>
      </c>
      <c r="S879" s="647" t="str">
        <f>VLOOKUP(A879,'[1]Raw data'!$B:$Z,4,FALSE)</f>
        <v>YSM20WR-2</v>
      </c>
      <c r="T879" s="647" t="str">
        <f>VLOOKUP(A879,'[1]Raw data'!$B:$Z,8,FALSE)</f>
        <v>L-&gt;R</v>
      </c>
      <c r="U879" s="647" t="str">
        <f>VLOOKUP(A879,'[1]Raw data'!$B:$Z,9,FALSE)</f>
        <v>No</v>
      </c>
      <c r="V879" s="567" t="str">
        <f t="shared" si="156"/>
        <v>OK</v>
      </c>
      <c r="W879" s="563" t="str">
        <f>VLOOKUP(A879,'[1]Raw data'!$B:$AG,32,FALSE)</f>
        <v>DAP SZ</v>
      </c>
      <c r="X879" s="647">
        <f>VLOOKUP(A879,'[1]Raw data'!$B:$BA,31,FALSE)</f>
        <v>44288</v>
      </c>
      <c r="Y879" s="647" t="str">
        <f>VLOOKUP(A879,'[1]Raw data'!$B:$AS,39,FALSE)</f>
        <v>Yes</v>
      </c>
      <c r="Z879" s="659"/>
      <c r="AA879" s="660"/>
      <c r="AB879" s="661"/>
      <c r="AC879" s="647" t="s">
        <v>1216</v>
      </c>
      <c r="AD879" s="662"/>
      <c r="AE879" s="662"/>
      <c r="AF879" s="662"/>
      <c r="AG879" s="662"/>
      <c r="AH879" s="662"/>
      <c r="AI879" s="663"/>
      <c r="AN879" s="542"/>
      <c r="AO879" s="824" t="str">
        <f t="shared" si="140"/>
        <v>Yes</v>
      </c>
      <c r="AP879" s="259" t="str">
        <f t="shared" si="141"/>
        <v>JUN 21</v>
      </c>
      <c r="AQ879" s="542" t="str">
        <f t="shared" si="142"/>
        <v>有定金+有預留客戶</v>
      </c>
      <c r="AR879" s="259" t="str">
        <f t="shared" si="143"/>
        <v>Shipped_Stock</v>
      </c>
      <c r="AS879" s="259" t="str">
        <f t="shared" si="144"/>
        <v/>
      </c>
      <c r="AT879" s="259" t="str">
        <f t="shared" si="145"/>
        <v>杉川</v>
      </c>
      <c r="AU879" s="259" t="str">
        <f t="shared" si="146"/>
        <v>C49SZX20210096JL</v>
      </c>
      <c r="AV879" s="259" t="str">
        <f t="shared" si="147"/>
        <v>May-24</v>
      </c>
    </row>
    <row r="880" spans="1:48" hidden="1">
      <c r="A880" s="559">
        <v>1311</v>
      </c>
      <c r="B880" s="664" t="s">
        <v>1125</v>
      </c>
      <c r="C880" s="664" t="s">
        <v>281</v>
      </c>
      <c r="D880" s="645">
        <v>110397</v>
      </c>
      <c r="E880" s="736" t="s">
        <v>1686</v>
      </c>
      <c r="F880" s="647" t="s">
        <v>154</v>
      </c>
      <c r="G880" s="647" t="s">
        <v>24</v>
      </c>
      <c r="H880" s="647" t="s">
        <v>26</v>
      </c>
      <c r="I880" s="575" t="s">
        <v>1690</v>
      </c>
      <c r="J880" s="575">
        <v>1</v>
      </c>
      <c r="K880" s="647" t="s">
        <v>78</v>
      </c>
      <c r="L880" s="657">
        <v>44340</v>
      </c>
      <c r="M880" s="665"/>
      <c r="N880" s="647" t="s">
        <v>96</v>
      </c>
      <c r="O880" s="575"/>
      <c r="P880" s="665" t="str">
        <f>VLOOKUP(A880,'[1]Raw data'!$B:$BA,23,FALSE)</f>
        <v>JPY</v>
      </c>
      <c r="Q880" s="647" t="str">
        <f>VLOOKUP(A880,'[1]Raw data'!$B:$Z,2,FALSE)</f>
        <v>C49SZX20210096JL</v>
      </c>
      <c r="R880" s="647" t="str">
        <f>VLOOKUP(A880,'[1]Raw data'!$B:$Z,3,FALSE)</f>
        <v>杉川</v>
      </c>
      <c r="S880" s="647" t="str">
        <f>VLOOKUP(A880,'[1]Raw data'!$B:$Z,4,FALSE)</f>
        <v>YSM20WR-2</v>
      </c>
      <c r="T880" s="647" t="str">
        <f>VLOOKUP(A880,'[1]Raw data'!$B:$Z,8,FALSE)</f>
        <v>L-&gt;R</v>
      </c>
      <c r="U880" s="647" t="str">
        <f>VLOOKUP(A880,'[1]Raw data'!$B:$Z,9,FALSE)</f>
        <v>MVC</v>
      </c>
      <c r="V880" s="564" t="str">
        <f t="shared" si="156"/>
        <v>WRONG</v>
      </c>
      <c r="W880" s="563" t="str">
        <f>VLOOKUP(A880,'[1]Raw data'!$B:$AG,32,FALSE)</f>
        <v>DAP SZ</v>
      </c>
      <c r="X880" s="647">
        <f>VLOOKUP(A880,'[1]Raw data'!$B:$BA,31,FALSE)</f>
        <v>44288</v>
      </c>
      <c r="Y880" s="647" t="str">
        <f>VLOOKUP(A880,'[1]Raw data'!$B:$AS,39,FALSE)</f>
        <v>Yes</v>
      </c>
      <c r="Z880" s="542"/>
      <c r="AA880" s="542"/>
      <c r="AB880" s="542"/>
      <c r="AC880" s="647" t="s">
        <v>1216</v>
      </c>
      <c r="AD880" s="542"/>
      <c r="AE880" s="542"/>
      <c r="AF880" s="542"/>
      <c r="AG880" s="542"/>
      <c r="AH880" s="542"/>
      <c r="AI880" s="542"/>
      <c r="AJ880" s="542"/>
      <c r="AK880" s="542"/>
      <c r="AL880" s="542"/>
      <c r="AM880" s="542"/>
      <c r="AN880" s="542"/>
      <c r="AO880" s="824" t="str">
        <f t="shared" si="140"/>
        <v>Yes</v>
      </c>
      <c r="AP880" s="259" t="str">
        <f t="shared" si="141"/>
        <v>JUN 21</v>
      </c>
      <c r="AQ880" s="542" t="str">
        <f t="shared" si="142"/>
        <v>有定金+有預留客戶</v>
      </c>
      <c r="AR880" s="259" t="str">
        <f t="shared" si="143"/>
        <v>Shipped_Stock</v>
      </c>
      <c r="AS880" s="259" t="str">
        <f t="shared" si="144"/>
        <v/>
      </c>
      <c r="AT880" s="259" t="str">
        <f t="shared" si="145"/>
        <v>杉川</v>
      </c>
      <c r="AU880" s="259" t="str">
        <f t="shared" si="146"/>
        <v>C49SZX20210096JL</v>
      </c>
      <c r="AV880" s="259" t="str">
        <f t="shared" si="147"/>
        <v>May-24</v>
      </c>
    </row>
    <row r="881" spans="1:48" hidden="1">
      <c r="A881" s="559">
        <v>945</v>
      </c>
      <c r="B881" s="664" t="s">
        <v>1125</v>
      </c>
      <c r="C881" s="664" t="s">
        <v>281</v>
      </c>
      <c r="D881" s="645">
        <v>110384</v>
      </c>
      <c r="E881" s="736" t="s">
        <v>1691</v>
      </c>
      <c r="F881" s="647" t="s">
        <v>58</v>
      </c>
      <c r="G881" s="647" t="s">
        <v>24</v>
      </c>
      <c r="H881" s="647" t="s">
        <v>26</v>
      </c>
      <c r="I881" s="575" t="s">
        <v>1692</v>
      </c>
      <c r="J881" s="575">
        <v>1</v>
      </c>
      <c r="K881" s="647" t="s">
        <v>78</v>
      </c>
      <c r="L881" s="657">
        <v>44346</v>
      </c>
      <c r="M881" s="665" t="s">
        <v>906</v>
      </c>
      <c r="N881" s="647" t="s">
        <v>96</v>
      </c>
      <c r="O881" s="575"/>
      <c r="P881" s="665" t="str">
        <f>VLOOKUP(A881,'[1]Raw data'!$B:$BA,23,FALSE)</f>
        <v>JPY</v>
      </c>
      <c r="Q881" s="647" t="str">
        <f>VLOOKUP(A881,'[1]Raw data'!$B:$Z,2,FALSE)</f>
        <v>C49SZX20200213MX</v>
      </c>
      <c r="R881" s="647" t="str">
        <f>VLOOKUP(A881,'[1]Raw data'!$B:$Z,3,FALSE)</f>
        <v>音品（End user:鸿翔）</v>
      </c>
      <c r="S881" s="647" t="str">
        <f>VLOOKUP(A881,'[1]Raw data'!$B:$Z,4,FALSE)</f>
        <v>YSM20R-2</v>
      </c>
      <c r="T881" s="647" t="str">
        <f>VLOOKUP(A881,'[1]Raw data'!$B:$Z,8,FALSE)</f>
        <v>L-&gt;R</v>
      </c>
      <c r="U881" s="647" t="str">
        <f>VLOOKUP(A881,'[1]Raw data'!$B:$Z,9,FALSE)</f>
        <v>No</v>
      </c>
      <c r="V881" s="567" t="str">
        <f t="shared" ref="V881:V887" si="157">IF(G881&amp;H881=T881&amp;U881,"OK","WRONG")</f>
        <v>OK</v>
      </c>
      <c r="W881" s="563" t="str">
        <f>VLOOKUP(A881,'[1]Raw data'!$B:$AG,32,FALSE)</f>
        <v>DAP SZ</v>
      </c>
      <c r="X881" s="647">
        <f>VLOOKUP(A881,'[1]Raw data'!$B:$BA,31,FALSE)</f>
        <v>44153</v>
      </c>
      <c r="Y881" s="647" t="str">
        <f>VLOOKUP(A881,'[1]Raw data'!$B:$AS,39,FALSE)</f>
        <v>Yes</v>
      </c>
      <c r="Z881" s="659"/>
      <c r="AA881" s="660"/>
      <c r="AB881" s="661"/>
      <c r="AC881" s="647" t="s">
        <v>1693</v>
      </c>
      <c r="AD881" s="662">
        <v>301</v>
      </c>
      <c r="AE881" s="662">
        <v>10</v>
      </c>
      <c r="AF881" s="662">
        <v>311</v>
      </c>
      <c r="AG881" s="662">
        <v>10</v>
      </c>
      <c r="AH881" s="662"/>
      <c r="AI881" s="663"/>
      <c r="AN881" s="542"/>
      <c r="AO881" s="824" t="str">
        <f t="shared" si="140"/>
        <v>Yes</v>
      </c>
      <c r="AP881" s="259" t="str">
        <f t="shared" si="141"/>
        <v>JUN 21</v>
      </c>
      <c r="AQ881" s="542" t="str">
        <f t="shared" si="142"/>
        <v>有定金+有預留客戶</v>
      </c>
      <c r="AR881" s="259" t="str">
        <f t="shared" si="143"/>
        <v>Shipped_Stock</v>
      </c>
      <c r="AS881" s="259" t="str">
        <f t="shared" si="144"/>
        <v/>
      </c>
      <c r="AT881" s="259" t="str">
        <f t="shared" si="145"/>
        <v>音品（End user:鸿翔）</v>
      </c>
      <c r="AU881" s="259" t="str">
        <f t="shared" si="146"/>
        <v>C49SZX20200213MX</v>
      </c>
      <c r="AV881" s="259" t="str">
        <f t="shared" si="147"/>
        <v>May-30</v>
      </c>
    </row>
    <row r="882" spans="1:48" hidden="1">
      <c r="A882" s="559">
        <v>853</v>
      </c>
      <c r="B882" s="664" t="s">
        <v>1125</v>
      </c>
      <c r="C882" s="664" t="s">
        <v>281</v>
      </c>
      <c r="D882" s="645">
        <v>110384</v>
      </c>
      <c r="E882" s="736" t="s">
        <v>1691</v>
      </c>
      <c r="F882" s="647" t="s">
        <v>58</v>
      </c>
      <c r="G882" s="647" t="s">
        <v>24</v>
      </c>
      <c r="H882" s="647" t="s">
        <v>26</v>
      </c>
      <c r="I882" s="575" t="s">
        <v>1694</v>
      </c>
      <c r="J882" s="575">
        <v>1</v>
      </c>
      <c r="K882" s="647" t="s">
        <v>78</v>
      </c>
      <c r="L882" s="657">
        <v>44346</v>
      </c>
      <c r="M882" s="665" t="s">
        <v>906</v>
      </c>
      <c r="N882" s="647" t="s">
        <v>97</v>
      </c>
      <c r="O882" s="575"/>
      <c r="P882" s="665" t="str">
        <f>VLOOKUP(A882,'[1]Raw data'!$B:$BA,23,FALSE)</f>
        <v>JPY</v>
      </c>
      <c r="Q882" s="647" t="str">
        <f>VLOOKUP(A882,'[1]Raw data'!$B:$Z,2,FALSE)</f>
        <v>C49SZX20200176SX</v>
      </c>
      <c r="R882" s="647" t="str">
        <f>VLOOKUP(A882,'[1]Raw data'!$B:$Z,3,FALSE)</f>
        <v>兴开泰</v>
      </c>
      <c r="S882" s="647" t="str">
        <f>VLOOKUP(A882,'[1]Raw data'!$B:$Z,4,FALSE)</f>
        <v>YSM20R-2</v>
      </c>
      <c r="T882" s="647" t="str">
        <f>VLOOKUP(A882,'[1]Raw data'!$B:$Z,8,FALSE)</f>
        <v>L-&gt;R</v>
      </c>
      <c r="U882" s="647" t="str">
        <f>VLOOKUP(A882,'[1]Raw data'!$B:$Z,9,FALSE)</f>
        <v>No</v>
      </c>
      <c r="V882" s="567" t="str">
        <f t="shared" si="157"/>
        <v>OK</v>
      </c>
      <c r="W882" s="563" t="str">
        <f>VLOOKUP(A882,'[1]Raw data'!$B:$AG,32,FALSE)</f>
        <v>DAP DG</v>
      </c>
      <c r="X882" s="647">
        <f>VLOOKUP(A882,'[1]Raw data'!$B:$BA,31,FALSE)</f>
        <v>44098</v>
      </c>
      <c r="Y882" s="647" t="str">
        <f>VLOOKUP(A882,'[1]Raw data'!$B:$AS,39,FALSE)</f>
        <v>Yes</v>
      </c>
      <c r="Z882" s="659"/>
      <c r="AA882" s="660"/>
      <c r="AB882" s="661"/>
      <c r="AC882" s="647" t="s">
        <v>1695</v>
      </c>
      <c r="AD882" s="662">
        <v>301</v>
      </c>
      <c r="AE882" s="662">
        <v>10</v>
      </c>
      <c r="AF882" s="662">
        <v>311</v>
      </c>
      <c r="AG882" s="662">
        <v>10</v>
      </c>
      <c r="AH882" s="662"/>
      <c r="AI882" s="663"/>
      <c r="AN882" s="542"/>
      <c r="AO882" s="824" t="str">
        <f t="shared" si="140"/>
        <v>Yes</v>
      </c>
      <c r="AP882" s="259" t="str">
        <f t="shared" si="141"/>
        <v>JUL 21</v>
      </c>
      <c r="AQ882" s="542" t="str">
        <f t="shared" si="142"/>
        <v>有定金+有預留客戶</v>
      </c>
      <c r="AR882" s="259" t="str">
        <f t="shared" si="143"/>
        <v>Shipped_Stock</v>
      </c>
      <c r="AS882" s="259" t="str">
        <f t="shared" si="144"/>
        <v/>
      </c>
      <c r="AT882" s="259" t="str">
        <f t="shared" si="145"/>
        <v>兴开泰</v>
      </c>
      <c r="AU882" s="259" t="str">
        <f t="shared" si="146"/>
        <v>C49SZX20200176SX</v>
      </c>
      <c r="AV882" s="259" t="str">
        <f t="shared" si="147"/>
        <v>May-30</v>
      </c>
    </row>
    <row r="883" spans="1:48" hidden="1">
      <c r="A883" s="559">
        <v>1179</v>
      </c>
      <c r="B883" s="664" t="s">
        <v>1125</v>
      </c>
      <c r="C883" s="664" t="s">
        <v>281</v>
      </c>
      <c r="D883" s="645">
        <v>110384</v>
      </c>
      <c r="E883" s="736" t="s">
        <v>1691</v>
      </c>
      <c r="F883" s="647" t="s">
        <v>58</v>
      </c>
      <c r="G883" s="647" t="s">
        <v>24</v>
      </c>
      <c r="H883" s="647" t="s">
        <v>26</v>
      </c>
      <c r="I883" s="575" t="s">
        <v>1696</v>
      </c>
      <c r="J883" s="575">
        <v>1</v>
      </c>
      <c r="K883" s="647" t="s">
        <v>78</v>
      </c>
      <c r="L883" s="657">
        <v>44346</v>
      </c>
      <c r="M883" s="665" t="s">
        <v>906</v>
      </c>
      <c r="N883" s="647" t="s">
        <v>96</v>
      </c>
      <c r="O883" s="575"/>
      <c r="P883" s="665" t="str">
        <f>VLOOKUP(A883,'[1]Raw data'!$B:$BA,23,FALSE)</f>
        <v>JPY</v>
      </c>
      <c r="Q883" s="647" t="str">
        <f>VLOOKUP(A883,'[1]Raw data'!$B:$Z,2,FALSE)</f>
        <v>C49SZX20210062JY</v>
      </c>
      <c r="R883" s="647" t="str">
        <f>VLOOKUP(A883,'[1]Raw data'!$B:$Z,3,FALSE)</f>
        <v>海松微</v>
      </c>
      <c r="S883" s="647" t="str">
        <f>VLOOKUP(A883,'[1]Raw data'!$B:$Z,4,FALSE)</f>
        <v>YSM20R-2</v>
      </c>
      <c r="T883" s="647" t="str">
        <f>VLOOKUP(A883,'[1]Raw data'!$B:$Z,8,FALSE)</f>
        <v>L-&gt;R</v>
      </c>
      <c r="U883" s="647" t="str">
        <f>VLOOKUP(A883,'[1]Raw data'!$B:$Z,9,FALSE)</f>
        <v>No</v>
      </c>
      <c r="V883" s="567" t="str">
        <f t="shared" si="157"/>
        <v>OK</v>
      </c>
      <c r="W883" s="563" t="str">
        <f>VLOOKUP(A883,'[1]Raw data'!$B:$AG,32,FALSE)</f>
        <v>DAP SZ</v>
      </c>
      <c r="X883" s="647">
        <f>VLOOKUP(A883,'[1]Raw data'!$B:$BA,31,FALSE)</f>
        <v>44257</v>
      </c>
      <c r="Y883" s="647" t="str">
        <f>VLOOKUP(A883,'[1]Raw data'!$B:$AS,39,FALSE)</f>
        <v>Yes</v>
      </c>
      <c r="Z883" s="659"/>
      <c r="AA883" s="660"/>
      <c r="AB883" s="661"/>
      <c r="AC883" s="563" t="s">
        <v>662</v>
      </c>
      <c r="AD883" s="662">
        <v>301</v>
      </c>
      <c r="AE883" s="662">
        <v>10</v>
      </c>
      <c r="AF883" s="662">
        <v>303</v>
      </c>
      <c r="AG883" s="662">
        <v>10</v>
      </c>
      <c r="AH883" s="662"/>
      <c r="AI883" s="663"/>
      <c r="AN883" s="542"/>
      <c r="AO883" s="824" t="str">
        <f t="shared" si="140"/>
        <v>Yes</v>
      </c>
      <c r="AP883" s="259" t="str">
        <f t="shared" si="141"/>
        <v>JUN 21</v>
      </c>
      <c r="AQ883" s="542" t="str">
        <f t="shared" si="142"/>
        <v>有定金+有預留客戶</v>
      </c>
      <c r="AR883" s="259" t="str">
        <f t="shared" si="143"/>
        <v>Shipped_Stock</v>
      </c>
      <c r="AS883" s="259" t="str">
        <f t="shared" si="144"/>
        <v/>
      </c>
      <c r="AT883" s="259" t="str">
        <f t="shared" si="145"/>
        <v>海松微</v>
      </c>
      <c r="AU883" s="259" t="str">
        <f t="shared" si="146"/>
        <v>C49SZX20210062JY</v>
      </c>
      <c r="AV883" s="259" t="str">
        <f t="shared" si="147"/>
        <v>May-30</v>
      </c>
    </row>
    <row r="884" spans="1:48" hidden="1">
      <c r="A884" s="559">
        <v>1412</v>
      </c>
      <c r="B884" s="664" t="s">
        <v>1125</v>
      </c>
      <c r="C884" s="664" t="s">
        <v>281</v>
      </c>
      <c r="D884" s="645">
        <v>110384</v>
      </c>
      <c r="E884" s="736" t="s">
        <v>1691</v>
      </c>
      <c r="F884" s="647" t="s">
        <v>58</v>
      </c>
      <c r="G884" s="647" t="s">
        <v>24</v>
      </c>
      <c r="H884" s="647" t="s">
        <v>26</v>
      </c>
      <c r="I884" s="575" t="s">
        <v>1697</v>
      </c>
      <c r="J884" s="575">
        <v>1</v>
      </c>
      <c r="K884" s="647" t="s">
        <v>78</v>
      </c>
      <c r="L884" s="657">
        <v>44346</v>
      </c>
      <c r="M884" s="665" t="s">
        <v>906</v>
      </c>
      <c r="N884" s="647" t="s">
        <v>97</v>
      </c>
      <c r="O884" s="575"/>
      <c r="P884" s="665" t="str">
        <f>VLOOKUP(A884,'[1]Raw data'!$B:$BA,23,FALSE)</f>
        <v>JPY</v>
      </c>
      <c r="Q884" s="647" t="str">
        <f>VLOOKUP(A884,'[1]Raw data'!$B:$Z,2,FALSE)</f>
        <v>C49SZX20210095JL</v>
      </c>
      <c r="R884" s="647" t="str">
        <f>VLOOKUP(A884,'[1]Raw data'!$B:$Z,3,FALSE)</f>
        <v>伟盛贸易(富洛）/晶科</v>
      </c>
      <c r="S884" s="647" t="str">
        <f>VLOOKUP(A884,'[1]Raw data'!$B:$Z,4,FALSE)</f>
        <v>YSM20R-2</v>
      </c>
      <c r="T884" s="647" t="str">
        <f>VLOOKUP(A884,'[1]Raw data'!$B:$Z,8,FALSE)</f>
        <v>L-&gt;R</v>
      </c>
      <c r="U884" s="647" t="str">
        <f>VLOOKUP(A884,'[1]Raw data'!$B:$Z,9,FALSE)</f>
        <v>No</v>
      </c>
      <c r="V884" s="567" t="str">
        <f t="shared" si="157"/>
        <v>OK</v>
      </c>
      <c r="W884" s="563" t="str">
        <f>VLOOKUP(A884,'[1]Raw data'!$B:$AG,32,FALSE)</f>
        <v>CIF HK</v>
      </c>
      <c r="X884" s="647">
        <f>VLOOKUP(A884,'[1]Raw data'!$B:$BA,31,FALSE)</f>
        <v>44355</v>
      </c>
      <c r="Y884" s="647" t="str">
        <f>VLOOKUP(A884,'[1]Raw data'!$B:$AS,39,FALSE)</f>
        <v>Yes</v>
      </c>
      <c r="Z884" s="659"/>
      <c r="AA884" s="660"/>
      <c r="AB884" s="661"/>
      <c r="AC884" s="647" t="s">
        <v>1698</v>
      </c>
      <c r="AD884" s="662">
        <v>301</v>
      </c>
      <c r="AE884" s="662">
        <v>10</v>
      </c>
      <c r="AF884" s="662">
        <v>303</v>
      </c>
      <c r="AG884" s="662">
        <v>10</v>
      </c>
      <c r="AH884" s="662"/>
      <c r="AI884" s="663"/>
      <c r="AN884" s="542"/>
      <c r="AO884" s="824" t="str">
        <f t="shared" si="140"/>
        <v>Yes</v>
      </c>
      <c r="AP884" s="259" t="str">
        <f t="shared" si="141"/>
        <v>JUL 21</v>
      </c>
      <c r="AQ884" s="542" t="str">
        <f t="shared" si="142"/>
        <v>有定金+有預留客戶</v>
      </c>
      <c r="AR884" s="259" t="str">
        <f t="shared" si="143"/>
        <v>Shipped_Stock</v>
      </c>
      <c r="AS884" s="259" t="str">
        <f t="shared" si="144"/>
        <v/>
      </c>
      <c r="AT884" s="259" t="str">
        <f t="shared" si="145"/>
        <v>伟盛贸易(富洛）/晶科</v>
      </c>
      <c r="AU884" s="259" t="str">
        <f t="shared" si="146"/>
        <v>C49SZX20210095JL</v>
      </c>
      <c r="AV884" s="259" t="str">
        <f t="shared" si="147"/>
        <v>May-30</v>
      </c>
    </row>
    <row r="885" spans="1:48" hidden="1">
      <c r="A885" s="559">
        <v>1413</v>
      </c>
      <c r="B885" s="664" t="s">
        <v>1125</v>
      </c>
      <c r="C885" s="664" t="s">
        <v>281</v>
      </c>
      <c r="D885" s="645">
        <v>110384</v>
      </c>
      <c r="E885" s="736" t="s">
        <v>1691</v>
      </c>
      <c r="F885" s="647" t="s">
        <v>58</v>
      </c>
      <c r="G885" s="647" t="s">
        <v>24</v>
      </c>
      <c r="H885" s="647" t="s">
        <v>26</v>
      </c>
      <c r="I885" s="575" t="s">
        <v>1699</v>
      </c>
      <c r="J885" s="575">
        <v>1</v>
      </c>
      <c r="K885" s="647" t="s">
        <v>78</v>
      </c>
      <c r="L885" s="657">
        <v>44346</v>
      </c>
      <c r="M885" s="665" t="s">
        <v>906</v>
      </c>
      <c r="N885" s="647" t="s">
        <v>97</v>
      </c>
      <c r="O885" s="575"/>
      <c r="P885" s="665" t="str">
        <f>VLOOKUP(A885,'[1]Raw data'!$B:$BA,23,FALSE)</f>
        <v>JPY</v>
      </c>
      <c r="Q885" s="647" t="str">
        <f>VLOOKUP(A885,'[1]Raw data'!$B:$Z,2,FALSE)</f>
        <v>C49SZX20210095JL</v>
      </c>
      <c r="R885" s="647" t="str">
        <f>VLOOKUP(A885,'[1]Raw data'!$B:$Z,3,FALSE)</f>
        <v>伟盛贸易(富洛）/晶科</v>
      </c>
      <c r="S885" s="647" t="str">
        <f>VLOOKUP(A885,'[1]Raw data'!$B:$Z,4,FALSE)</f>
        <v>YSM20R-2</v>
      </c>
      <c r="T885" s="647" t="str">
        <f>VLOOKUP(A885,'[1]Raw data'!$B:$Z,8,FALSE)</f>
        <v>L-&gt;R</v>
      </c>
      <c r="U885" s="647" t="str">
        <f>VLOOKUP(A885,'[1]Raw data'!$B:$Z,9,FALSE)</f>
        <v>No</v>
      </c>
      <c r="V885" s="567" t="str">
        <f t="shared" si="157"/>
        <v>OK</v>
      </c>
      <c r="W885" s="563" t="str">
        <f>VLOOKUP(A885,'[1]Raw data'!$B:$AG,32,FALSE)</f>
        <v>CIF HK</v>
      </c>
      <c r="X885" s="647">
        <f>VLOOKUP(A885,'[1]Raw data'!$B:$BA,31,FALSE)</f>
        <v>44355</v>
      </c>
      <c r="Y885" s="647" t="str">
        <f>VLOOKUP(A885,'[1]Raw data'!$B:$AS,39,FALSE)</f>
        <v>Yes</v>
      </c>
      <c r="Z885" s="659"/>
      <c r="AA885" s="660"/>
      <c r="AB885" s="661"/>
      <c r="AC885" s="647" t="s">
        <v>1698</v>
      </c>
      <c r="AD885" s="662">
        <v>301</v>
      </c>
      <c r="AE885" s="662">
        <v>10</v>
      </c>
      <c r="AF885" s="662">
        <v>303</v>
      </c>
      <c r="AG885" s="662">
        <v>10</v>
      </c>
      <c r="AH885" s="662"/>
      <c r="AI885" s="663"/>
      <c r="AN885" s="542"/>
      <c r="AO885" s="824" t="str">
        <f t="shared" si="140"/>
        <v>Yes</v>
      </c>
      <c r="AP885" s="259" t="str">
        <f t="shared" si="141"/>
        <v>JUL 21</v>
      </c>
      <c r="AQ885" s="542" t="str">
        <f t="shared" si="142"/>
        <v>有定金+有預留客戶</v>
      </c>
      <c r="AR885" s="259" t="str">
        <f t="shared" si="143"/>
        <v>Shipped_Stock</v>
      </c>
      <c r="AS885" s="259" t="str">
        <f t="shared" si="144"/>
        <v/>
      </c>
      <c r="AT885" s="259" t="str">
        <f t="shared" si="145"/>
        <v>伟盛贸易(富洛）/晶科</v>
      </c>
      <c r="AU885" s="259" t="str">
        <f t="shared" si="146"/>
        <v>C49SZX20210095JL</v>
      </c>
      <c r="AV885" s="259" t="str">
        <f t="shared" si="147"/>
        <v>May-30</v>
      </c>
    </row>
    <row r="886" spans="1:48" hidden="1">
      <c r="A886" s="559">
        <v>1264</v>
      </c>
      <c r="B886" s="664" t="s">
        <v>1125</v>
      </c>
      <c r="C886" s="664" t="s">
        <v>281</v>
      </c>
      <c r="D886" s="645">
        <v>110384</v>
      </c>
      <c r="E886" s="736" t="s">
        <v>1691</v>
      </c>
      <c r="F886" s="647" t="s">
        <v>58</v>
      </c>
      <c r="G886" s="647" t="s">
        <v>24</v>
      </c>
      <c r="H886" s="647" t="s">
        <v>26</v>
      </c>
      <c r="I886" s="575" t="s">
        <v>1700</v>
      </c>
      <c r="J886" s="575">
        <v>1</v>
      </c>
      <c r="K886" s="647" t="s">
        <v>78</v>
      </c>
      <c r="L886" s="657">
        <v>44346</v>
      </c>
      <c r="M886" s="665" t="s">
        <v>906</v>
      </c>
      <c r="N886" s="647" t="s">
        <v>97</v>
      </c>
      <c r="O886" s="575"/>
      <c r="P886" s="665" t="str">
        <f>VLOOKUP(A886,'[1]Raw data'!$B:$BA,23,FALSE)</f>
        <v>JPY</v>
      </c>
      <c r="Q886" s="647" t="str">
        <f>VLOOKUP(A886,'[1]Raw data'!$B:$Z,2,FALSE)</f>
        <v>C49SZX20210087SX</v>
      </c>
      <c r="R886" s="647" t="str">
        <f>VLOOKUP(A886,'[1]Raw data'!$B:$Z,3,FALSE)</f>
        <v>特斯浦</v>
      </c>
      <c r="S886" s="647" t="str">
        <f>VLOOKUP(A886,'[1]Raw data'!$B:$Z,4,FALSE)</f>
        <v>YSM20R-2</v>
      </c>
      <c r="T886" s="647" t="str">
        <f>VLOOKUP(A886,'[1]Raw data'!$B:$Z,8,FALSE)</f>
        <v>L-&gt;R</v>
      </c>
      <c r="U886" s="647" t="str">
        <f>VLOOKUP(A886,'[1]Raw data'!$B:$Z,9,FALSE)</f>
        <v>No</v>
      </c>
      <c r="V886" s="567" t="str">
        <f t="shared" si="157"/>
        <v>OK</v>
      </c>
      <c r="W886" s="563" t="str">
        <f>VLOOKUP(A886,'[1]Raw data'!$B:$AG,32,FALSE)</f>
        <v>DAP DG</v>
      </c>
      <c r="X886" s="647">
        <f>VLOOKUP(A886,'[1]Raw data'!$B:$BA,31,FALSE)</f>
        <v>44271</v>
      </c>
      <c r="Y886" s="647" t="str">
        <f>VLOOKUP(A886,'[1]Raw data'!$B:$AS,39,FALSE)</f>
        <v>Yes</v>
      </c>
      <c r="Z886" s="659"/>
      <c r="AA886" s="660"/>
      <c r="AB886" s="661"/>
      <c r="AC886" s="647" t="s">
        <v>1701</v>
      </c>
      <c r="AD886" s="662">
        <v>301</v>
      </c>
      <c r="AE886" s="662">
        <v>10</v>
      </c>
      <c r="AF886" s="662">
        <v>303</v>
      </c>
      <c r="AG886" s="662">
        <v>10</v>
      </c>
      <c r="AH886" s="662"/>
      <c r="AI886" s="663"/>
      <c r="AN886" s="542"/>
      <c r="AO886" s="824" t="str">
        <f t="shared" si="140"/>
        <v>Yes</v>
      </c>
      <c r="AP886" s="259" t="str">
        <f t="shared" si="141"/>
        <v>JUL 21</v>
      </c>
      <c r="AQ886" s="542" t="str">
        <f t="shared" si="142"/>
        <v>有定金+有預留客戶</v>
      </c>
      <c r="AR886" s="259" t="str">
        <f t="shared" si="143"/>
        <v>Shipped_Stock</v>
      </c>
      <c r="AS886" s="259" t="str">
        <f t="shared" si="144"/>
        <v/>
      </c>
      <c r="AT886" s="259" t="str">
        <f t="shared" si="145"/>
        <v>特斯浦</v>
      </c>
      <c r="AU886" s="259" t="str">
        <f t="shared" si="146"/>
        <v>C49SZX20210087SX</v>
      </c>
      <c r="AV886" s="259" t="str">
        <f t="shared" si="147"/>
        <v>May-30</v>
      </c>
    </row>
    <row r="887" spans="1:48" hidden="1">
      <c r="A887" s="559">
        <v>854</v>
      </c>
      <c r="B887" s="664" t="s">
        <v>1125</v>
      </c>
      <c r="C887" s="664" t="s">
        <v>281</v>
      </c>
      <c r="D887" s="645">
        <v>110384</v>
      </c>
      <c r="E887" s="736" t="s">
        <v>1691</v>
      </c>
      <c r="F887" s="647" t="s">
        <v>58</v>
      </c>
      <c r="G887" s="647" t="s">
        <v>18</v>
      </c>
      <c r="H887" s="647" t="s">
        <v>26</v>
      </c>
      <c r="I887" s="575" t="s">
        <v>1702</v>
      </c>
      <c r="J887" s="575">
        <v>1</v>
      </c>
      <c r="K887" s="647" t="s">
        <v>78</v>
      </c>
      <c r="L887" s="657">
        <v>44346</v>
      </c>
      <c r="M887" s="665" t="s">
        <v>906</v>
      </c>
      <c r="N887" s="647" t="s">
        <v>97</v>
      </c>
      <c r="O887" s="575"/>
      <c r="P887" s="665" t="str">
        <f>VLOOKUP(A887,'[1]Raw data'!$B:$BA,23,FALSE)</f>
        <v>JPY</v>
      </c>
      <c r="Q887" s="647" t="str">
        <f>VLOOKUP(A887,'[1]Raw data'!$B:$Z,2,FALSE)</f>
        <v>C49SZX20200176SX</v>
      </c>
      <c r="R887" s="647" t="str">
        <f>VLOOKUP(A887,'[1]Raw data'!$B:$Z,3,FALSE)</f>
        <v>兴开泰</v>
      </c>
      <c r="S887" s="647" t="str">
        <f>VLOOKUP(A887,'[1]Raw data'!$B:$Z,4,FALSE)</f>
        <v>YSM20R-2</v>
      </c>
      <c r="T887" s="647" t="str">
        <f>VLOOKUP(A887,'[1]Raw data'!$B:$Z,8,FALSE)</f>
        <v>R-&gt;L</v>
      </c>
      <c r="U887" s="647" t="str">
        <f>VLOOKUP(A887,'[1]Raw data'!$B:$Z,9,FALSE)</f>
        <v>No</v>
      </c>
      <c r="V887" s="567" t="str">
        <f t="shared" si="157"/>
        <v>OK</v>
      </c>
      <c r="W887" s="563" t="str">
        <f>VLOOKUP(A887,'[1]Raw data'!$B:$AG,32,FALSE)</f>
        <v>DAP DG</v>
      </c>
      <c r="X887" s="647">
        <f>VLOOKUP(A887,'[1]Raw data'!$B:$BA,31,FALSE)</f>
        <v>44098</v>
      </c>
      <c r="Y887" s="647" t="str">
        <f>VLOOKUP(A887,'[1]Raw data'!$B:$AS,39,FALSE)</f>
        <v>Yes</v>
      </c>
      <c r="Z887" s="659"/>
      <c r="AA887" s="660"/>
      <c r="AB887" s="661"/>
      <c r="AC887" s="647" t="s">
        <v>1695</v>
      </c>
      <c r="AD887" s="662">
        <v>301</v>
      </c>
      <c r="AE887" s="662">
        <v>10</v>
      </c>
      <c r="AF887" s="662">
        <v>303</v>
      </c>
      <c r="AG887" s="662">
        <v>10</v>
      </c>
      <c r="AH887" s="662"/>
      <c r="AI887" s="663"/>
      <c r="AN887" s="542"/>
      <c r="AO887" s="824" t="str">
        <f t="shared" si="140"/>
        <v>Yes</v>
      </c>
      <c r="AP887" s="259" t="str">
        <f t="shared" si="141"/>
        <v>JUL 21</v>
      </c>
      <c r="AQ887" s="542" t="str">
        <f t="shared" si="142"/>
        <v>有定金+有預留客戶</v>
      </c>
      <c r="AR887" s="259" t="str">
        <f t="shared" si="143"/>
        <v>Shipped_Stock</v>
      </c>
      <c r="AS887" s="259" t="str">
        <f t="shared" si="144"/>
        <v/>
      </c>
      <c r="AT887" s="259" t="str">
        <f t="shared" si="145"/>
        <v>兴开泰</v>
      </c>
      <c r="AU887" s="259" t="str">
        <f t="shared" si="146"/>
        <v>C49SZX20200176SX</v>
      </c>
      <c r="AV887" s="259" t="str">
        <f t="shared" si="147"/>
        <v>May-30</v>
      </c>
    </row>
    <row r="888" spans="1:48" hidden="1">
      <c r="A888" s="559">
        <v>1268</v>
      </c>
      <c r="B888" s="664" t="s">
        <v>1125</v>
      </c>
      <c r="C888" s="664" t="s">
        <v>15</v>
      </c>
      <c r="D888" s="645">
        <v>110450</v>
      </c>
      <c r="E888" s="563" t="s">
        <v>886</v>
      </c>
      <c r="F888" s="647" t="s">
        <v>17</v>
      </c>
      <c r="G888" s="647" t="s">
        <v>18</v>
      </c>
      <c r="H888" s="647" t="s">
        <v>27</v>
      </c>
      <c r="I888" s="575" t="s">
        <v>1703</v>
      </c>
      <c r="J888" s="575">
        <v>1</v>
      </c>
      <c r="K888" s="647" t="s">
        <v>78</v>
      </c>
      <c r="L888" s="657">
        <v>44346</v>
      </c>
      <c r="M888" s="665" t="s">
        <v>906</v>
      </c>
      <c r="N888" s="647" t="s">
        <v>96</v>
      </c>
      <c r="O888" s="575"/>
      <c r="P888" s="665" t="str">
        <f>VLOOKUP(A888,'[1]Raw data'!$B:$BA,23,FALSE)</f>
        <v>JPY</v>
      </c>
      <c r="Q888" s="647" t="str">
        <f>VLOOKUP(A888,'[1]Raw data'!$B:$Z,2,FALSE)</f>
        <v>C49SZX20210075JL</v>
      </c>
      <c r="R888" s="647" t="str">
        <f>VLOOKUP(A888,'[1]Raw data'!$B:$Z,3,FALSE)</f>
        <v>伯莱科</v>
      </c>
      <c r="S888" s="647" t="str">
        <f>VLOOKUP(A888,'[1]Raw data'!$B:$Z,4,FALSE)</f>
        <v>YSM10</v>
      </c>
      <c r="T888" s="647" t="str">
        <f>VLOOKUP(A888,'[1]Raw data'!$B:$Z,8,FALSE)</f>
        <v>L-&gt;R</v>
      </c>
      <c r="U888" s="647" t="str">
        <f>VLOOKUP(A888,'[1]Raw data'!$B:$Z,9,FALSE)</f>
        <v>MVC</v>
      </c>
      <c r="V888" s="567" t="str">
        <f t="shared" ref="V888:V896" si="158">IF(G888&amp;H888=T888&amp;U888,"OK","WRONG")</f>
        <v>WRONG</v>
      </c>
      <c r="W888" s="563" t="str">
        <f>VLOOKUP(A888,'[1]Raw data'!$B:$AG,32,FALSE)</f>
        <v>DAP SZ</v>
      </c>
      <c r="X888" s="647">
        <f>VLOOKUP(A888,'[1]Raw data'!$B:$BA,31,FALSE)</f>
        <v>44266</v>
      </c>
      <c r="Y888" s="647" t="str">
        <f>VLOOKUP(A888,'[1]Raw data'!$B:$AS,39,FALSE)</f>
        <v>Yes</v>
      </c>
      <c r="Z888" s="662"/>
      <c r="AA888" s="662"/>
      <c r="AB888" s="662"/>
      <c r="AC888" s="575" t="s">
        <v>1109</v>
      </c>
      <c r="AD888" s="662">
        <v>311</v>
      </c>
      <c r="AE888" s="662">
        <v>10</v>
      </c>
      <c r="AF888" s="662"/>
      <c r="AG888" s="662"/>
      <c r="AH888" s="662"/>
      <c r="AI888" s="663"/>
      <c r="AN888" s="542"/>
      <c r="AO888" s="824" t="str">
        <f t="shared" si="140"/>
        <v>Yes</v>
      </c>
      <c r="AP888" s="259" t="str">
        <f t="shared" si="141"/>
        <v>JUN 21</v>
      </c>
      <c r="AQ888" s="542" t="str">
        <f t="shared" si="142"/>
        <v>有定金+有預留客戶</v>
      </c>
      <c r="AR888" s="259" t="str">
        <f t="shared" si="143"/>
        <v>Shipped_Stock</v>
      </c>
      <c r="AS888" s="259" t="str">
        <f t="shared" si="144"/>
        <v/>
      </c>
      <c r="AT888" s="259" t="str">
        <f t="shared" si="145"/>
        <v>伯莱科</v>
      </c>
      <c r="AU888" s="259" t="str">
        <f t="shared" si="146"/>
        <v>C49SZX20210075JL</v>
      </c>
      <c r="AV888" s="259" t="str">
        <f t="shared" si="147"/>
        <v>May-30</v>
      </c>
    </row>
    <row r="889" spans="1:48" hidden="1">
      <c r="A889" s="559">
        <v>1269</v>
      </c>
      <c r="B889" s="664" t="s">
        <v>1125</v>
      </c>
      <c r="C889" s="664" t="s">
        <v>15</v>
      </c>
      <c r="D889" s="645">
        <v>110450</v>
      </c>
      <c r="E889" s="563" t="s">
        <v>886</v>
      </c>
      <c r="F889" s="647" t="s">
        <v>17</v>
      </c>
      <c r="G889" s="647" t="s">
        <v>18</v>
      </c>
      <c r="H889" s="647" t="s">
        <v>27</v>
      </c>
      <c r="I889" s="575" t="s">
        <v>1704</v>
      </c>
      <c r="J889" s="575">
        <v>1</v>
      </c>
      <c r="K889" s="647" t="s">
        <v>78</v>
      </c>
      <c r="L889" s="657">
        <v>44346</v>
      </c>
      <c r="M889" s="665" t="s">
        <v>906</v>
      </c>
      <c r="N889" s="647" t="s">
        <v>96</v>
      </c>
      <c r="O889" s="575"/>
      <c r="P889" s="665" t="str">
        <f>VLOOKUP(A889,'[1]Raw data'!$B:$BA,23,FALSE)</f>
        <v>JPY</v>
      </c>
      <c r="Q889" s="647" t="str">
        <f>VLOOKUP(A889,'[1]Raw data'!$B:$Z,2,FALSE)</f>
        <v>C49SZX20210075JL</v>
      </c>
      <c r="R889" s="647" t="str">
        <f>VLOOKUP(A889,'[1]Raw data'!$B:$Z,3,FALSE)</f>
        <v>伯莱科</v>
      </c>
      <c r="S889" s="647" t="str">
        <f>VLOOKUP(A889,'[1]Raw data'!$B:$Z,4,FALSE)</f>
        <v>YSM10</v>
      </c>
      <c r="T889" s="647" t="str">
        <f>VLOOKUP(A889,'[1]Raw data'!$B:$Z,8,FALSE)</f>
        <v>L-&gt;R</v>
      </c>
      <c r="U889" s="647" t="str">
        <f>VLOOKUP(A889,'[1]Raw data'!$B:$Z,9,FALSE)</f>
        <v>MVC</v>
      </c>
      <c r="V889" s="567" t="str">
        <f t="shared" si="158"/>
        <v>WRONG</v>
      </c>
      <c r="W889" s="563" t="str">
        <f>VLOOKUP(A889,'[1]Raw data'!$B:$AG,32,FALSE)</f>
        <v>DAP SZ</v>
      </c>
      <c r="X889" s="647">
        <f>VLOOKUP(A889,'[1]Raw data'!$B:$BA,31,FALSE)</f>
        <v>44266</v>
      </c>
      <c r="Y889" s="647" t="str">
        <f>VLOOKUP(A889,'[1]Raw data'!$B:$AS,39,FALSE)</f>
        <v>Yes</v>
      </c>
      <c r="Z889" s="662"/>
      <c r="AA889" s="662"/>
      <c r="AB889" s="662"/>
      <c r="AC889" s="575" t="s">
        <v>1109</v>
      </c>
      <c r="AD889" s="662">
        <v>311</v>
      </c>
      <c r="AE889" s="662">
        <v>10</v>
      </c>
      <c r="AF889" s="662"/>
      <c r="AG889" s="662"/>
      <c r="AH889" s="662"/>
      <c r="AI889" s="663"/>
      <c r="AN889" s="542"/>
      <c r="AO889" s="824" t="str">
        <f t="shared" si="140"/>
        <v>Yes</v>
      </c>
      <c r="AP889" s="259" t="str">
        <f t="shared" si="141"/>
        <v>JUN 21</v>
      </c>
      <c r="AQ889" s="542" t="str">
        <f t="shared" si="142"/>
        <v>有定金+有預留客戶</v>
      </c>
      <c r="AR889" s="259" t="str">
        <f t="shared" si="143"/>
        <v>Shipped_Stock</v>
      </c>
      <c r="AS889" s="259" t="str">
        <f t="shared" si="144"/>
        <v/>
      </c>
      <c r="AT889" s="259" t="str">
        <f t="shared" si="145"/>
        <v>伯莱科</v>
      </c>
      <c r="AU889" s="259" t="str">
        <f t="shared" si="146"/>
        <v>C49SZX20210075JL</v>
      </c>
      <c r="AV889" s="259" t="str">
        <f t="shared" si="147"/>
        <v>May-30</v>
      </c>
    </row>
    <row r="890" spans="1:48" hidden="1">
      <c r="A890" s="559">
        <v>1350</v>
      </c>
      <c r="B890" s="664" t="s">
        <v>1125</v>
      </c>
      <c r="C890" s="664" t="s">
        <v>15</v>
      </c>
      <c r="D890" s="645">
        <v>110450</v>
      </c>
      <c r="E890" s="563" t="s">
        <v>886</v>
      </c>
      <c r="F890" s="647" t="s">
        <v>17</v>
      </c>
      <c r="G890" s="647" t="s">
        <v>18</v>
      </c>
      <c r="H890" s="647" t="s">
        <v>27</v>
      </c>
      <c r="I890" s="575" t="s">
        <v>1705</v>
      </c>
      <c r="J890" s="575">
        <v>1</v>
      </c>
      <c r="K890" s="647" t="s">
        <v>78</v>
      </c>
      <c r="L890" s="657">
        <v>44346</v>
      </c>
      <c r="M890" s="665" t="s">
        <v>906</v>
      </c>
      <c r="N890" s="647" t="s">
        <v>96</v>
      </c>
      <c r="O890" s="575"/>
      <c r="P890" s="665" t="str">
        <f>VLOOKUP(A890,'[1]Raw data'!$B:$BA,23,FALSE)</f>
        <v>JPY</v>
      </c>
      <c r="Q890" s="647" t="str">
        <f>VLOOKUP(A890,'[1]Raw data'!$B:$Z,2,FALSE)</f>
        <v>C49SZX20210124JL</v>
      </c>
      <c r="R890" s="647" t="str">
        <f>VLOOKUP(A890,'[1]Raw data'!$B:$Z,3,FALSE)</f>
        <v>小婉牛</v>
      </c>
      <c r="S890" s="647" t="str">
        <f>VLOOKUP(A890,'[1]Raw data'!$B:$Z,4,FALSE)</f>
        <v>YSM10</v>
      </c>
      <c r="T890" s="647" t="str">
        <f>VLOOKUP(A890,'[1]Raw data'!$B:$Z,8,FALSE)</f>
        <v>L-&gt;R</v>
      </c>
      <c r="U890" s="647" t="str">
        <f>VLOOKUP(A890,'[1]Raw data'!$B:$Z,9,FALSE)</f>
        <v>MVC</v>
      </c>
      <c r="V890" s="567" t="str">
        <f t="shared" si="158"/>
        <v>WRONG</v>
      </c>
      <c r="W890" s="563" t="str">
        <f>VLOOKUP(A890,'[1]Raw data'!$B:$AG,32,FALSE)</f>
        <v>DAP SZ</v>
      </c>
      <c r="X890" s="647">
        <f>VLOOKUP(A890,'[1]Raw data'!$B:$BA,31,FALSE)</f>
        <v>44308</v>
      </c>
      <c r="Y890" s="647" t="str">
        <f>VLOOKUP(A890,'[1]Raw data'!$B:$AS,39,FALSE)</f>
        <v>Yes</v>
      </c>
      <c r="Z890" s="662"/>
      <c r="AA890" s="662"/>
      <c r="AB890" s="662"/>
      <c r="AC890" s="575" t="s">
        <v>1706</v>
      </c>
      <c r="AD890" s="662">
        <v>311</v>
      </c>
      <c r="AE890" s="662">
        <v>10</v>
      </c>
      <c r="AF890" s="662"/>
      <c r="AG890" s="662"/>
      <c r="AH890" s="662"/>
      <c r="AI890" s="663"/>
      <c r="AN890" s="542"/>
      <c r="AO890" s="824" t="str">
        <f t="shared" si="140"/>
        <v>Yes</v>
      </c>
      <c r="AP890" s="259" t="str">
        <f t="shared" si="141"/>
        <v>JUN 21</v>
      </c>
      <c r="AQ890" s="542" t="str">
        <f t="shared" si="142"/>
        <v>有定金+有預留客戶</v>
      </c>
      <c r="AR890" s="259" t="str">
        <f t="shared" si="143"/>
        <v>Shipped_Stock</v>
      </c>
      <c r="AS890" s="259" t="str">
        <f t="shared" si="144"/>
        <v/>
      </c>
      <c r="AT890" s="259" t="str">
        <f t="shared" si="145"/>
        <v>小婉牛</v>
      </c>
      <c r="AU890" s="259" t="str">
        <f t="shared" si="146"/>
        <v>C49SZX20210124JL</v>
      </c>
      <c r="AV890" s="259" t="str">
        <f t="shared" si="147"/>
        <v>May-30</v>
      </c>
    </row>
    <row r="891" spans="1:48" hidden="1">
      <c r="A891" s="559">
        <v>1385</v>
      </c>
      <c r="B891" s="664" t="s">
        <v>1125</v>
      </c>
      <c r="C891" s="664" t="s">
        <v>15</v>
      </c>
      <c r="D891" s="645" t="s">
        <v>1707</v>
      </c>
      <c r="E891" s="563" t="s">
        <v>886</v>
      </c>
      <c r="F891" s="647" t="s">
        <v>17</v>
      </c>
      <c r="G891" s="647" t="s">
        <v>18</v>
      </c>
      <c r="H891" s="647" t="s">
        <v>27</v>
      </c>
      <c r="I891" s="575" t="s">
        <v>1708</v>
      </c>
      <c r="J891" s="575">
        <v>1</v>
      </c>
      <c r="K891" s="647" t="s">
        <v>78</v>
      </c>
      <c r="L891" s="657">
        <v>44346</v>
      </c>
      <c r="M891" s="678" t="s">
        <v>1709</v>
      </c>
      <c r="N891" s="647" t="s">
        <v>97</v>
      </c>
      <c r="O891" s="575"/>
      <c r="P891" s="665" t="str">
        <f>VLOOKUP(A891,'[1]Raw data'!$B:$BA,23,FALSE)</f>
        <v>JPY</v>
      </c>
      <c r="Q891" s="647" t="str">
        <f>VLOOKUP(A891,'[1]Raw data'!$B:$Z,2,FALSE)</f>
        <v>C49SZX20220057DZ</v>
      </c>
      <c r="R891" s="647" t="str">
        <f>VLOOKUP(A891,'[1]Raw data'!$B:$Z,3,FALSE)</f>
        <v>广恒创新（enduser:深圳比尔乔）</v>
      </c>
      <c r="S891" s="647" t="str">
        <f>VLOOKUP(A891,'[1]Raw data'!$B:$Z,4,FALSE)</f>
        <v>YSM10</v>
      </c>
      <c r="T891" s="647" t="str">
        <f>VLOOKUP(A891,'[1]Raw data'!$B:$Z,8,FALSE)</f>
        <v>R-&gt;L</v>
      </c>
      <c r="U891" s="647" t="str">
        <f>VLOOKUP(A891,'[1]Raw data'!$B:$Z,9,FALSE)</f>
        <v>MVC</v>
      </c>
      <c r="V891" s="567" t="str">
        <f t="shared" si="158"/>
        <v>OK</v>
      </c>
      <c r="W891" s="563" t="str">
        <f>VLOOKUP(A891,'[1]Raw data'!$B:$AG,32,FALSE)</f>
        <v>CIF HK</v>
      </c>
      <c r="X891" s="647">
        <f>VLOOKUP(A891,'[1]Raw data'!$B:$BA,31,FALSE)</f>
        <v>44340</v>
      </c>
      <c r="Y891" s="647" t="str">
        <f>VLOOKUP(A891,'[1]Raw data'!$B:$AS,39,FALSE)</f>
        <v>Yes</v>
      </c>
      <c r="Z891" s="662"/>
      <c r="AA891" s="662"/>
      <c r="AB891" s="662"/>
      <c r="AC891" s="575" t="s">
        <v>1659</v>
      </c>
      <c r="AD891" s="662">
        <v>301</v>
      </c>
      <c r="AE891" s="662">
        <v>10</v>
      </c>
      <c r="AF891" s="662"/>
      <c r="AG891" s="662"/>
      <c r="AH891" s="662"/>
      <c r="AI891" s="663"/>
      <c r="AN891" s="542"/>
      <c r="AO891" s="824" t="str">
        <f t="shared" si="140"/>
        <v>Yes</v>
      </c>
      <c r="AP891" s="259" t="str">
        <f t="shared" si="141"/>
        <v>JUL 21</v>
      </c>
      <c r="AQ891" s="542" t="str">
        <f t="shared" si="142"/>
        <v>有定金+有預留客戶</v>
      </c>
      <c r="AR891" s="259" t="str">
        <f t="shared" si="143"/>
        <v>Shipped_Stock</v>
      </c>
      <c r="AS891" s="259" t="str">
        <f t="shared" si="144"/>
        <v/>
      </c>
      <c r="AT891" s="259" t="str">
        <f t="shared" si="145"/>
        <v>广恒创新（enduser:深圳比尔乔）</v>
      </c>
      <c r="AU891" s="259" t="str">
        <f t="shared" si="146"/>
        <v>C49SZX20220057DZ</v>
      </c>
      <c r="AV891" s="259" t="str">
        <f t="shared" si="147"/>
        <v>May-30</v>
      </c>
    </row>
    <row r="892" spans="1:48" hidden="1">
      <c r="A892" s="559">
        <v>1386</v>
      </c>
      <c r="B892" s="664" t="s">
        <v>1125</v>
      </c>
      <c r="C892" s="664" t="s">
        <v>15</v>
      </c>
      <c r="D892" s="645" t="s">
        <v>1710</v>
      </c>
      <c r="E892" s="563" t="s">
        <v>886</v>
      </c>
      <c r="F892" s="647" t="s">
        <v>17</v>
      </c>
      <c r="G892" s="647" t="s">
        <v>18</v>
      </c>
      <c r="H892" s="647" t="s">
        <v>27</v>
      </c>
      <c r="I892" s="575" t="s">
        <v>1711</v>
      </c>
      <c r="J892" s="575">
        <v>1</v>
      </c>
      <c r="K892" s="647" t="s">
        <v>78</v>
      </c>
      <c r="L892" s="657">
        <v>44346</v>
      </c>
      <c r="M892" s="665">
        <v>6.0600000000000001E-2</v>
      </c>
      <c r="N892" s="647" t="s">
        <v>97</v>
      </c>
      <c r="O892" s="575"/>
      <c r="P892" s="665" t="str">
        <f>VLOOKUP(A892,'[1]Raw data'!$B:$BA,23,FALSE)</f>
        <v>JPY</v>
      </c>
      <c r="Q892" s="647" t="str">
        <f>VLOOKUP(A892,'[1]Raw data'!$B:$Z,2,FALSE)</f>
        <v>C49SZX20220057DZ</v>
      </c>
      <c r="R892" s="647" t="str">
        <f>VLOOKUP(A892,'[1]Raw data'!$B:$Z,3,FALSE)</f>
        <v>广恒创新（enduser:深圳比尔乔）</v>
      </c>
      <c r="S892" s="647" t="str">
        <f>VLOOKUP(A892,'[1]Raw data'!$B:$Z,4,FALSE)</f>
        <v>YSM10</v>
      </c>
      <c r="T892" s="647" t="str">
        <f>VLOOKUP(A892,'[1]Raw data'!$B:$Z,8,FALSE)</f>
        <v>R-&gt;L</v>
      </c>
      <c r="U892" s="647" t="str">
        <f>VLOOKUP(A892,'[1]Raw data'!$B:$Z,9,FALSE)</f>
        <v>MVC</v>
      </c>
      <c r="V892" s="567" t="str">
        <f t="shared" si="158"/>
        <v>OK</v>
      </c>
      <c r="W892" s="563" t="str">
        <f>VLOOKUP(A892,'[1]Raw data'!$B:$AG,32,FALSE)</f>
        <v>CIF HK</v>
      </c>
      <c r="X892" s="647">
        <f>VLOOKUP(A892,'[1]Raw data'!$B:$BA,31,FALSE)</f>
        <v>44340</v>
      </c>
      <c r="Y892" s="647" t="str">
        <f>VLOOKUP(A892,'[1]Raw data'!$B:$AS,39,FALSE)</f>
        <v>Yes</v>
      </c>
      <c r="Z892" s="662"/>
      <c r="AA892" s="662"/>
      <c r="AB892" s="662"/>
      <c r="AC892" s="575" t="s">
        <v>1659</v>
      </c>
      <c r="AD892" s="662">
        <v>301</v>
      </c>
      <c r="AE892" s="662">
        <v>10</v>
      </c>
      <c r="AF892" s="662"/>
      <c r="AG892" s="662"/>
      <c r="AH892" s="662"/>
      <c r="AI892" s="663"/>
      <c r="AN892" s="542"/>
      <c r="AO892" s="824" t="str">
        <f t="shared" si="140"/>
        <v>Yes</v>
      </c>
      <c r="AP892" s="259" t="str">
        <f t="shared" si="141"/>
        <v>JUL 21</v>
      </c>
      <c r="AQ892" s="542" t="str">
        <f t="shared" si="142"/>
        <v>有定金+有預留客戶</v>
      </c>
      <c r="AR892" s="259" t="str">
        <f t="shared" si="143"/>
        <v>Shipped_Stock</v>
      </c>
      <c r="AS892" s="259" t="str">
        <f t="shared" si="144"/>
        <v/>
      </c>
      <c r="AT892" s="259" t="str">
        <f t="shared" si="145"/>
        <v>广恒创新（enduser:深圳比尔乔）</v>
      </c>
      <c r="AU892" s="259" t="str">
        <f t="shared" si="146"/>
        <v>C49SZX20220057DZ</v>
      </c>
      <c r="AV892" s="259" t="str">
        <f t="shared" si="147"/>
        <v>May-30</v>
      </c>
    </row>
    <row r="893" spans="1:48" hidden="1">
      <c r="A893" s="559">
        <v>1271</v>
      </c>
      <c r="B893" s="664" t="s">
        <v>1125</v>
      </c>
      <c r="C893" s="664" t="s">
        <v>281</v>
      </c>
      <c r="D893" s="645">
        <v>110449</v>
      </c>
      <c r="E893" s="563" t="s">
        <v>886</v>
      </c>
      <c r="F893" s="647" t="s">
        <v>17</v>
      </c>
      <c r="G893" s="647" t="s">
        <v>18</v>
      </c>
      <c r="H893" s="647" t="s">
        <v>26</v>
      </c>
      <c r="I893" s="575" t="s">
        <v>1712</v>
      </c>
      <c r="J893" s="575">
        <v>1</v>
      </c>
      <c r="K893" s="647" t="s">
        <v>78</v>
      </c>
      <c r="L893" s="657">
        <v>44346</v>
      </c>
      <c r="M893" s="665" t="s">
        <v>906</v>
      </c>
      <c r="N893" s="647" t="s">
        <v>96</v>
      </c>
      <c r="O893" s="575"/>
      <c r="P893" s="665" t="str">
        <f>VLOOKUP(A893,'[1]Raw data'!$B:$BA,23,FALSE)</f>
        <v>JPY</v>
      </c>
      <c r="Q893" s="647" t="str">
        <f>VLOOKUP(A893,'[1]Raw data'!$B:$Z,2,FALSE)</f>
        <v>C49SZX20210086JL</v>
      </c>
      <c r="R893" s="647" t="str">
        <f>VLOOKUP(A893,'[1]Raw data'!$B:$Z,3,FALSE)</f>
        <v>鹏鑫达（end user：晶昌鸿业）</v>
      </c>
      <c r="S893" s="647" t="str">
        <f>VLOOKUP(A893,'[1]Raw data'!$B:$Z,4,FALSE)</f>
        <v>YSM10</v>
      </c>
      <c r="T893" s="647" t="str">
        <f>VLOOKUP(A893,'[1]Raw data'!$B:$Z,8,FALSE)</f>
        <v>L-&gt;R</v>
      </c>
      <c r="U893" s="647" t="str">
        <f>VLOOKUP(A893,'[1]Raw data'!$B:$Z,9,FALSE)</f>
        <v>MVC</v>
      </c>
      <c r="V893" s="567" t="str">
        <f t="shared" si="158"/>
        <v>WRONG</v>
      </c>
      <c r="W893" s="563" t="str">
        <f>VLOOKUP(A893,'[1]Raw data'!$B:$AG,32,FALSE)</f>
        <v>DAP SZ</v>
      </c>
      <c r="X893" s="647">
        <f>VLOOKUP(A893,'[1]Raw data'!$B:$BA,31,FALSE)</f>
        <v>44274</v>
      </c>
      <c r="Y893" s="647" t="str">
        <f>VLOOKUP(A893,'[1]Raw data'!$B:$AS,39,FALSE)</f>
        <v>Yes</v>
      </c>
      <c r="Z893" s="659"/>
      <c r="AA893" s="660"/>
      <c r="AB893" s="661"/>
      <c r="AC893" s="647" t="s">
        <v>1713</v>
      </c>
      <c r="AD893" s="662">
        <v>301</v>
      </c>
      <c r="AE893" s="662">
        <v>10</v>
      </c>
      <c r="AF893" s="662"/>
      <c r="AG893" s="662"/>
      <c r="AH893" s="662"/>
      <c r="AI893" s="663"/>
      <c r="AN893" s="542"/>
      <c r="AO893" s="824" t="str">
        <f t="shared" si="140"/>
        <v>Yes</v>
      </c>
      <c r="AP893" s="259" t="str">
        <f t="shared" si="141"/>
        <v>JUN 21</v>
      </c>
      <c r="AQ893" s="542" t="str">
        <f t="shared" si="142"/>
        <v>有定金+有預留客戶</v>
      </c>
      <c r="AR893" s="259" t="str">
        <f t="shared" si="143"/>
        <v>Shipped_Stock</v>
      </c>
      <c r="AS893" s="259" t="str">
        <f t="shared" si="144"/>
        <v/>
      </c>
      <c r="AT893" s="259" t="str">
        <f t="shared" si="145"/>
        <v>鹏鑫达（end user：晶昌鸿业）</v>
      </c>
      <c r="AU893" s="259" t="str">
        <f t="shared" si="146"/>
        <v>C49SZX20210086JL</v>
      </c>
      <c r="AV893" s="259" t="str">
        <f t="shared" si="147"/>
        <v>May-30</v>
      </c>
    </row>
    <row r="894" spans="1:48" hidden="1">
      <c r="A894" s="559">
        <v>1272</v>
      </c>
      <c r="B894" s="664" t="s">
        <v>1125</v>
      </c>
      <c r="C894" s="664" t="s">
        <v>281</v>
      </c>
      <c r="D894" s="645">
        <v>110449</v>
      </c>
      <c r="E894" s="563" t="s">
        <v>886</v>
      </c>
      <c r="F894" s="647" t="s">
        <v>17</v>
      </c>
      <c r="G894" s="647" t="s">
        <v>18</v>
      </c>
      <c r="H894" s="647" t="s">
        <v>26</v>
      </c>
      <c r="I894" s="575" t="s">
        <v>1714</v>
      </c>
      <c r="J894" s="575">
        <v>1</v>
      </c>
      <c r="K894" s="647" t="s">
        <v>78</v>
      </c>
      <c r="L894" s="657">
        <v>44346</v>
      </c>
      <c r="M894" s="665" t="s">
        <v>906</v>
      </c>
      <c r="N894" s="647" t="s">
        <v>96</v>
      </c>
      <c r="O894" s="575"/>
      <c r="P894" s="665" t="str">
        <f>VLOOKUP(A894,'[1]Raw data'!$B:$BA,23,FALSE)</f>
        <v>JPY</v>
      </c>
      <c r="Q894" s="647" t="str">
        <f>VLOOKUP(A894,'[1]Raw data'!$B:$Z,2,FALSE)</f>
        <v>C49SZX20210086JL</v>
      </c>
      <c r="R894" s="647" t="str">
        <f>VLOOKUP(A894,'[1]Raw data'!$B:$Z,3,FALSE)</f>
        <v>鹏鑫达（end user：晶昌鸿业）</v>
      </c>
      <c r="S894" s="647" t="str">
        <f>VLOOKUP(A894,'[1]Raw data'!$B:$Z,4,FALSE)</f>
        <v>YSM10</v>
      </c>
      <c r="T894" s="647" t="str">
        <f>VLOOKUP(A894,'[1]Raw data'!$B:$Z,8,FALSE)</f>
        <v>L-&gt;R</v>
      </c>
      <c r="U894" s="647" t="str">
        <f>VLOOKUP(A894,'[1]Raw data'!$B:$Z,9,FALSE)</f>
        <v>MVC</v>
      </c>
      <c r="V894" s="567" t="str">
        <f t="shared" si="158"/>
        <v>WRONG</v>
      </c>
      <c r="W894" s="563" t="str">
        <f>VLOOKUP(A894,'[1]Raw data'!$B:$AG,32,FALSE)</f>
        <v>DAP SZ</v>
      </c>
      <c r="X894" s="647">
        <f>VLOOKUP(A894,'[1]Raw data'!$B:$BA,31,FALSE)</f>
        <v>44274</v>
      </c>
      <c r="Y894" s="647" t="str">
        <f>VLOOKUP(A894,'[1]Raw data'!$B:$AS,39,FALSE)</f>
        <v>Yes</v>
      </c>
      <c r="Z894" s="659"/>
      <c r="AA894" s="660"/>
      <c r="AB894" s="661"/>
      <c r="AC894" s="647" t="s">
        <v>1713</v>
      </c>
      <c r="AD894" s="662">
        <v>301</v>
      </c>
      <c r="AE894" s="662">
        <v>10</v>
      </c>
      <c r="AF894" s="662"/>
      <c r="AG894" s="662"/>
      <c r="AH894" s="662"/>
      <c r="AI894" s="663"/>
      <c r="AN894" s="542"/>
      <c r="AO894" s="824" t="str">
        <f t="shared" si="140"/>
        <v>Yes</v>
      </c>
      <c r="AP894" s="259" t="str">
        <f t="shared" si="141"/>
        <v>JUN 21</v>
      </c>
      <c r="AQ894" s="542" t="str">
        <f t="shared" si="142"/>
        <v>有定金+有預留客戶</v>
      </c>
      <c r="AR894" s="259" t="str">
        <f t="shared" si="143"/>
        <v>Shipped_Stock</v>
      </c>
      <c r="AS894" s="259" t="str">
        <f t="shared" si="144"/>
        <v/>
      </c>
      <c r="AT894" s="259" t="str">
        <f t="shared" si="145"/>
        <v>鹏鑫达（end user：晶昌鸿业）</v>
      </c>
      <c r="AU894" s="259" t="str">
        <f t="shared" si="146"/>
        <v>C49SZX20210086JL</v>
      </c>
      <c r="AV894" s="259" t="str">
        <f t="shared" si="147"/>
        <v>May-30</v>
      </c>
    </row>
    <row r="895" spans="1:48" hidden="1">
      <c r="A895" s="559">
        <v>1375</v>
      </c>
      <c r="B895" s="664" t="s">
        <v>1125</v>
      </c>
      <c r="C895" s="664" t="s">
        <v>281</v>
      </c>
      <c r="D895" s="645">
        <v>110449</v>
      </c>
      <c r="E895" s="563" t="s">
        <v>886</v>
      </c>
      <c r="F895" s="647" t="s">
        <v>17</v>
      </c>
      <c r="G895" s="647" t="s">
        <v>18</v>
      </c>
      <c r="H895" s="647" t="s">
        <v>104</v>
      </c>
      <c r="I895" s="575" t="s">
        <v>1715</v>
      </c>
      <c r="J895" s="575">
        <v>1</v>
      </c>
      <c r="K895" s="647" t="s">
        <v>78</v>
      </c>
      <c r="L895" s="657">
        <v>44346</v>
      </c>
      <c r="M895" s="665" t="s">
        <v>906</v>
      </c>
      <c r="N895" s="647" t="s">
        <v>96</v>
      </c>
      <c r="O895" s="575"/>
      <c r="P895" s="665" t="str">
        <f>VLOOKUP(A895,'[1]Raw data'!$B:$BA,23,FALSE)</f>
        <v>JPY</v>
      </c>
      <c r="Q895" s="647" t="str">
        <f>VLOOKUP(A895,'[1]Raw data'!$B:$Z,2,FALSE)</f>
        <v>C49SZX20210138JL</v>
      </c>
      <c r="R895" s="647" t="str">
        <f>VLOOKUP(A895,'[1]Raw data'!$B:$Z,3,FALSE)</f>
        <v>力通威</v>
      </c>
      <c r="S895" s="647" t="str">
        <f>VLOOKUP(A895,'[1]Raw data'!$B:$Z,4,FALSE)</f>
        <v>YSM10</v>
      </c>
      <c r="T895" s="647" t="str">
        <f>VLOOKUP(A895,'[1]Raw data'!$B:$Z,8,FALSE)</f>
        <v>L-&gt;R</v>
      </c>
      <c r="U895" s="647" t="str">
        <f>VLOOKUP(A895,'[1]Raw data'!$B:$Z,9,FALSE)</f>
        <v xml:space="preserve">MVC+96 FEEDER PLATE (YSM10) </v>
      </c>
      <c r="V895" s="567" t="str">
        <f t="shared" si="158"/>
        <v>WRONG</v>
      </c>
      <c r="W895" s="563" t="str">
        <f>VLOOKUP(A895,'[1]Raw data'!$B:$AG,32,FALSE)</f>
        <v>CIF HK</v>
      </c>
      <c r="X895" s="647">
        <f>VLOOKUP(A895,'[1]Raw data'!$B:$BA,31,FALSE)</f>
        <v>44333</v>
      </c>
      <c r="Y895" s="647" t="str">
        <f>VLOOKUP(A895,'[1]Raw data'!$B:$AS,39,FALSE)</f>
        <v>Yes</v>
      </c>
      <c r="Z895" s="659"/>
      <c r="AA895" s="660"/>
      <c r="AB895" s="661"/>
      <c r="AC895" s="647" t="s">
        <v>1716</v>
      </c>
      <c r="AD895" s="662">
        <v>301</v>
      </c>
      <c r="AE895" s="662">
        <v>10</v>
      </c>
      <c r="AF895" s="662"/>
      <c r="AG895" s="662"/>
      <c r="AH895" s="662"/>
      <c r="AI895" s="663"/>
      <c r="AN895" s="542"/>
      <c r="AO895" s="824" t="str">
        <f t="shared" si="140"/>
        <v>Yes</v>
      </c>
      <c r="AP895" s="259" t="str">
        <f t="shared" si="141"/>
        <v>JUN 21</v>
      </c>
      <c r="AQ895" s="542" t="str">
        <f t="shared" si="142"/>
        <v>有定金+有預留客戶</v>
      </c>
      <c r="AR895" s="259" t="str">
        <f t="shared" si="143"/>
        <v>Shipped_Stock</v>
      </c>
      <c r="AS895" s="259" t="str">
        <f t="shared" si="144"/>
        <v/>
      </c>
      <c r="AT895" s="259" t="str">
        <f t="shared" si="145"/>
        <v>力通威</v>
      </c>
      <c r="AU895" s="259" t="str">
        <f t="shared" si="146"/>
        <v>C49SZX20210138JL</v>
      </c>
      <c r="AV895" s="259" t="str">
        <f t="shared" si="147"/>
        <v>May-30</v>
      </c>
    </row>
    <row r="896" spans="1:48" hidden="1">
      <c r="A896" s="559">
        <v>1351</v>
      </c>
      <c r="B896" s="664" t="s">
        <v>1125</v>
      </c>
      <c r="C896" s="664" t="s">
        <v>281</v>
      </c>
      <c r="D896" s="645">
        <v>110449</v>
      </c>
      <c r="E896" s="563" t="s">
        <v>886</v>
      </c>
      <c r="F896" s="647" t="s">
        <v>17</v>
      </c>
      <c r="G896" s="647" t="s">
        <v>18</v>
      </c>
      <c r="H896" s="647" t="s">
        <v>27</v>
      </c>
      <c r="I896" s="575" t="s">
        <v>1717</v>
      </c>
      <c r="J896" s="575">
        <v>1</v>
      </c>
      <c r="K896" s="647" t="s">
        <v>78</v>
      </c>
      <c r="L896" s="657">
        <v>44346</v>
      </c>
      <c r="M896" s="665" t="s">
        <v>258</v>
      </c>
      <c r="N896" s="647" t="s">
        <v>96</v>
      </c>
      <c r="O896" s="575"/>
      <c r="P896" s="665" t="str">
        <f>VLOOKUP(A896,'[1]Raw data'!$B:$BA,23,FALSE)</f>
        <v>JPY</v>
      </c>
      <c r="Q896" s="647" t="str">
        <f>VLOOKUP(A896,'[1]Raw data'!$B:$Z,2,FALSE)</f>
        <v>C49SZX20210123JY</v>
      </c>
      <c r="R896" s="647" t="str">
        <f>VLOOKUP(A896,'[1]Raw data'!$B:$Z,3,FALSE)</f>
        <v>四方信达</v>
      </c>
      <c r="S896" s="647" t="str">
        <f>VLOOKUP(A896,'[1]Raw data'!$B:$Z,4,FALSE)</f>
        <v>YSM10</v>
      </c>
      <c r="T896" s="647" t="str">
        <f>VLOOKUP(A896,'[1]Raw data'!$B:$Z,8,FALSE)</f>
        <v>L-&gt;R</v>
      </c>
      <c r="U896" s="647" t="str">
        <f>VLOOKUP(A896,'[1]Raw data'!$B:$Z,9,FALSE)</f>
        <v>MVC</v>
      </c>
      <c r="V896" s="567" t="str">
        <f t="shared" si="158"/>
        <v>WRONG</v>
      </c>
      <c r="W896" s="563" t="str">
        <f>VLOOKUP(A896,'[1]Raw data'!$B:$AG,32,FALSE)</f>
        <v>DAP SZ</v>
      </c>
      <c r="X896" s="647">
        <f>VLOOKUP(A896,'[1]Raw data'!$B:$BA,31,FALSE)</f>
        <v>44313</v>
      </c>
      <c r="Y896" s="647" t="str">
        <f>VLOOKUP(A896,'[1]Raw data'!$B:$AS,39,FALSE)</f>
        <v>Yes</v>
      </c>
      <c r="Z896" s="659"/>
      <c r="AA896" s="660"/>
      <c r="AB896" s="661"/>
      <c r="AC896" s="647" t="s">
        <v>1603</v>
      </c>
      <c r="AD896" s="662">
        <v>301</v>
      </c>
      <c r="AE896" s="662">
        <v>10</v>
      </c>
      <c r="AF896" s="662"/>
      <c r="AG896" s="662"/>
      <c r="AH896" s="662"/>
      <c r="AI896" s="663"/>
      <c r="AN896" s="542"/>
      <c r="AO896" s="824" t="str">
        <f t="shared" si="140"/>
        <v>Yes</v>
      </c>
      <c r="AP896" s="259" t="str">
        <f t="shared" si="141"/>
        <v>JUN 21</v>
      </c>
      <c r="AQ896" s="542" t="str">
        <f t="shared" si="142"/>
        <v>有定金+有預留客戶</v>
      </c>
      <c r="AR896" s="259" t="str">
        <f t="shared" si="143"/>
        <v>Shipped_Stock</v>
      </c>
      <c r="AS896" s="259" t="str">
        <f t="shared" si="144"/>
        <v/>
      </c>
      <c r="AT896" s="259" t="str">
        <f t="shared" si="145"/>
        <v>四方信达</v>
      </c>
      <c r="AU896" s="259" t="str">
        <f t="shared" si="146"/>
        <v>C49SZX20210123JY</v>
      </c>
      <c r="AV896" s="259" t="str">
        <f t="shared" si="147"/>
        <v>May-30</v>
      </c>
    </row>
    <row r="897" spans="1:48" hidden="1">
      <c r="A897" s="559">
        <v>1151</v>
      </c>
      <c r="B897" s="664" t="s">
        <v>1125</v>
      </c>
      <c r="C897" s="664" t="s">
        <v>281</v>
      </c>
      <c r="D897" s="645">
        <v>110352</v>
      </c>
      <c r="E897" s="744" t="s">
        <v>1718</v>
      </c>
      <c r="F897" s="647" t="s">
        <v>339</v>
      </c>
      <c r="G897" s="647" t="s">
        <v>24</v>
      </c>
      <c r="H897" s="647" t="s">
        <v>26</v>
      </c>
      <c r="I897" s="575" t="s">
        <v>1719</v>
      </c>
      <c r="J897" s="575">
        <v>1</v>
      </c>
      <c r="K897" s="647" t="s">
        <v>78</v>
      </c>
      <c r="L897" s="657">
        <v>44353</v>
      </c>
      <c r="M897" s="665" t="s">
        <v>906</v>
      </c>
      <c r="N897" s="647" t="s">
        <v>96</v>
      </c>
      <c r="O897" s="575"/>
      <c r="P897" s="665" t="str">
        <f>VLOOKUP(A897,'[1]Raw data'!$B:$BA,23,FALSE)</f>
        <v>JPY</v>
      </c>
      <c r="Q897" s="647" t="str">
        <f>VLOOKUP(A897,'[1]Raw data'!$B:$Z,2,FALSE)</f>
        <v>C49SZX20210219KW</v>
      </c>
      <c r="R897" s="647" t="str">
        <f>VLOOKUP(A897,'[1]Raw data'!$B:$Z,3,FALSE)</f>
        <v>伟盛贸易(富洛）/晶科</v>
      </c>
      <c r="S897" s="647" t="str">
        <f>VLOOKUP(A897,'[1]Raw data'!$B:$Z,4,FALSE)</f>
        <v>SIGMA G5S2</v>
      </c>
      <c r="T897" s="647" t="str">
        <f>VLOOKUP(A897,'[1]Raw data'!$B:$Z,8,FALSE)</f>
        <v>No</v>
      </c>
      <c r="U897" s="647" t="str">
        <f>VLOOKUP(A897,'[1]Raw data'!$B:$Z,9,FALSE)</f>
        <v>No</v>
      </c>
      <c r="V897" s="567" t="str">
        <f>IF(G897&amp;H897=T897&amp;U897,"OK","WRONG")</f>
        <v>WRONG</v>
      </c>
      <c r="W897" s="563" t="str">
        <f>VLOOKUP(A897,'[1]Raw data'!$B:$AG,32,FALSE)</f>
        <v>CIF HK</v>
      </c>
      <c r="X897" s="647">
        <f>VLOOKUP(A897,'[1]Raw data'!$B:$BA,31,FALSE)</f>
        <v>44252</v>
      </c>
      <c r="Y897" s="647" t="str">
        <f>VLOOKUP(A897,'[1]Raw data'!$B:$AS,39,FALSE)</f>
        <v>Yes</v>
      </c>
      <c r="Z897" s="659"/>
      <c r="AA897" s="660"/>
      <c r="AB897" s="661"/>
      <c r="AC897" s="563" t="s">
        <v>678</v>
      </c>
      <c r="AD897" s="662"/>
      <c r="AE897" s="662"/>
      <c r="AF897" s="662"/>
      <c r="AG897" s="662"/>
      <c r="AH897" s="662"/>
      <c r="AI897" s="663"/>
      <c r="AN897" s="542"/>
      <c r="AO897" s="824" t="str">
        <f t="shared" si="140"/>
        <v>Yes</v>
      </c>
      <c r="AP897" s="259" t="str">
        <f t="shared" si="141"/>
        <v>JUN 21</v>
      </c>
      <c r="AQ897" s="542" t="str">
        <f t="shared" si="142"/>
        <v>有定金+有預留客戶</v>
      </c>
      <c r="AR897" s="259" t="str">
        <f t="shared" si="143"/>
        <v>Shipped_Stock</v>
      </c>
      <c r="AS897" s="259" t="str">
        <f t="shared" si="144"/>
        <v/>
      </c>
      <c r="AT897" s="259" t="str">
        <f t="shared" si="145"/>
        <v>伟盛贸易(富洛）/晶科</v>
      </c>
      <c r="AU897" s="259" t="str">
        <f t="shared" si="146"/>
        <v>C49SZX20210219KW</v>
      </c>
      <c r="AV897" s="259" t="str">
        <f t="shared" si="147"/>
        <v>Jun-06</v>
      </c>
    </row>
    <row r="898" spans="1:48" hidden="1">
      <c r="A898" s="559">
        <v>1186</v>
      </c>
      <c r="B898" s="664" t="s">
        <v>1125</v>
      </c>
      <c r="C898" s="664" t="s">
        <v>281</v>
      </c>
      <c r="D898" s="645">
        <v>110380</v>
      </c>
      <c r="E898" s="744" t="s">
        <v>1570</v>
      </c>
      <c r="F898" s="647" t="s">
        <v>58</v>
      </c>
      <c r="G898" s="647" t="s">
        <v>24</v>
      </c>
      <c r="H898" s="647" t="s">
        <v>163</v>
      </c>
      <c r="I898" s="575" t="s">
        <v>1720</v>
      </c>
      <c r="J898" s="575">
        <v>1</v>
      </c>
      <c r="K898" s="647" t="s">
        <v>78</v>
      </c>
      <c r="L898" s="657">
        <v>44353</v>
      </c>
      <c r="M898" s="665" t="s">
        <v>906</v>
      </c>
      <c r="N898" s="647" t="s">
        <v>96</v>
      </c>
      <c r="O898" s="575"/>
      <c r="P898" s="665" t="str">
        <f>VLOOKUP(A898,'[1]Raw data'!$B:$BA,23,FALSE)</f>
        <v>JPY</v>
      </c>
      <c r="Q898" s="647" t="str">
        <f>VLOOKUP(A898,'[1]Raw data'!$B:$Z,2,FALSE)</f>
        <v>C49SZX20210161DZ</v>
      </c>
      <c r="R898" s="647" t="str">
        <f>VLOOKUP(A898,'[1]Raw data'!$B:$Z,3,FALSE)</f>
        <v>嘉裕</v>
      </c>
      <c r="S898" s="647" t="str">
        <f>VLOOKUP(A898,'[1]Raw data'!$B:$Z,4,FALSE)</f>
        <v>YSM20R-2</v>
      </c>
      <c r="T898" s="647" t="str">
        <f>VLOOKUP(A898,'[1]Raw data'!$B:$Z,8,FALSE)</f>
        <v>L-&gt;R</v>
      </c>
      <c r="U898" s="647" t="str">
        <f>VLOOKUP(A898,'[1]Raw data'!$B:$Z,9,FALSE)</f>
        <v>cATS30+MVC(F&amp;R)+10pallet for cATS30+交换台车</v>
      </c>
      <c r="V898" s="567" t="str">
        <f>IF(G898&amp;H898=T898&amp;U898,"OK","WRONG")</f>
        <v>OK</v>
      </c>
      <c r="W898" s="563" t="str">
        <f>VLOOKUP(A898,'[1]Raw data'!$B:$AG,32,FALSE)</f>
        <v>CIF HK</v>
      </c>
      <c r="X898" s="647">
        <f>VLOOKUP(A898,'[1]Raw data'!$B:$BA,31,FALSE)</f>
        <v>44260</v>
      </c>
      <c r="Y898" s="647" t="str">
        <f>VLOOKUP(A898,'[1]Raw data'!$B:$AS,39,FALSE)</f>
        <v>Yes</v>
      </c>
      <c r="Z898" s="659"/>
      <c r="AA898" s="660"/>
      <c r="AB898" s="661"/>
      <c r="AC898" s="575" t="s">
        <v>1216</v>
      </c>
      <c r="AD898" s="662"/>
      <c r="AE898" s="662"/>
      <c r="AF898" s="662"/>
      <c r="AG898" s="662"/>
      <c r="AH898" s="662"/>
      <c r="AI898" s="663"/>
      <c r="AN898" s="542"/>
      <c r="AO898" s="824" t="str">
        <f t="shared" si="140"/>
        <v>Yes</v>
      </c>
      <c r="AP898" s="259" t="str">
        <f t="shared" si="141"/>
        <v>JUN 21</v>
      </c>
      <c r="AQ898" s="542" t="str">
        <f t="shared" si="142"/>
        <v>有定金+有預留客戶</v>
      </c>
      <c r="AR898" s="259" t="str">
        <f t="shared" si="143"/>
        <v>Shipped_Stock</v>
      </c>
      <c r="AS898" s="259" t="str">
        <f t="shared" si="144"/>
        <v/>
      </c>
      <c r="AT898" s="259" t="str">
        <f t="shared" si="145"/>
        <v>嘉裕</v>
      </c>
      <c r="AU898" s="259" t="str">
        <f t="shared" si="146"/>
        <v>C49SZX20210161DZ</v>
      </c>
      <c r="AV898" s="259" t="str">
        <f t="shared" si="147"/>
        <v>Jun-06</v>
      </c>
    </row>
    <row r="899" spans="1:48" hidden="1">
      <c r="A899" s="559">
        <v>1187</v>
      </c>
      <c r="B899" s="664" t="s">
        <v>1125</v>
      </c>
      <c r="C899" s="664" t="s">
        <v>281</v>
      </c>
      <c r="D899" s="645">
        <v>110380</v>
      </c>
      <c r="E899" s="744" t="s">
        <v>1570</v>
      </c>
      <c r="F899" s="647" t="s">
        <v>58</v>
      </c>
      <c r="G899" s="647" t="s">
        <v>24</v>
      </c>
      <c r="H899" s="647" t="s">
        <v>161</v>
      </c>
      <c r="I899" s="575" t="s">
        <v>1721</v>
      </c>
      <c r="J899" s="575">
        <v>1</v>
      </c>
      <c r="K899" s="647" t="s">
        <v>78</v>
      </c>
      <c r="L899" s="657">
        <v>44353</v>
      </c>
      <c r="M899" s="665" t="s">
        <v>906</v>
      </c>
      <c r="N899" s="647" t="s">
        <v>96</v>
      </c>
      <c r="O899" s="575"/>
      <c r="P899" s="665" t="str">
        <f>VLOOKUP(A899,'[1]Raw data'!$B:$BA,23,FALSE)</f>
        <v>JPY</v>
      </c>
      <c r="Q899" s="647" t="str">
        <f>VLOOKUP(A899,'[1]Raw data'!$B:$Z,2,FALSE)</f>
        <v>C49SZX20210161DZ</v>
      </c>
      <c r="R899" s="647" t="str">
        <f>VLOOKUP(A899,'[1]Raw data'!$B:$Z,3,FALSE)</f>
        <v>嘉裕</v>
      </c>
      <c r="S899" s="647" t="str">
        <f>VLOOKUP(A899,'[1]Raw data'!$B:$Z,4,FALSE)</f>
        <v>YSM20R-2</v>
      </c>
      <c r="T899" s="647" t="str">
        <f>VLOOKUP(A899,'[1]Raw data'!$B:$Z,8,FALSE)</f>
        <v>L-&gt;R</v>
      </c>
      <c r="U899" s="647" t="str">
        <f>VLOOKUP(A899,'[1]Raw data'!$B:$Z,9,FALSE)</f>
        <v>MVC(F&amp;R)+10pallet for cATS10+交换台车</v>
      </c>
      <c r="V899" s="567" t="str">
        <f>IF(G899&amp;H899=T899&amp;U899,"OK","WRONG")</f>
        <v>OK</v>
      </c>
      <c r="W899" s="563" t="str">
        <f>VLOOKUP(A899,'[1]Raw data'!$B:$AG,32,FALSE)</f>
        <v>CIF HK</v>
      </c>
      <c r="X899" s="647">
        <f>VLOOKUP(A899,'[1]Raw data'!$B:$BA,31,FALSE)</f>
        <v>44260</v>
      </c>
      <c r="Y899" s="647" t="str">
        <f>VLOOKUP(A899,'[1]Raw data'!$B:$AS,39,FALSE)</f>
        <v>Yes</v>
      </c>
      <c r="Z899" s="659"/>
      <c r="AA899" s="660"/>
      <c r="AB899" s="661"/>
      <c r="AC899" s="575" t="s">
        <v>1216</v>
      </c>
      <c r="AD899" s="662"/>
      <c r="AE899" s="662"/>
      <c r="AF899" s="662"/>
      <c r="AG899" s="662"/>
      <c r="AH899" s="662"/>
      <c r="AI899" s="663"/>
      <c r="AN899" s="542"/>
      <c r="AO899" s="824" t="str">
        <f t="shared" ref="AO899:AO962" si="159">IFERROR(IF(Y899&lt;&gt;"",Y899,"No"),"No")</f>
        <v>Yes</v>
      </c>
      <c r="AP899" s="259" t="str">
        <f t="shared" ref="AP899:AP962" si="160">IFERROR(IF(N899&lt;&gt;"",N899,"blank"),"NA")</f>
        <v>JUN 21</v>
      </c>
      <c r="AQ899" s="542" t="str">
        <f t="shared" ref="AQ899:AQ962" si="161">IFERROR(IF(AND(AO899="Yes", AP899&lt;&gt;"blank"), "有定金+有預留客戶", IF(AND(AO899="Yes", AP899="blank"), "有定金+无客戶送貨期", IF(AND(OR(AO899="No", ISBLANK(AO899), AO899="NA"), AP899&lt;&gt;"blank"), "无定金+有預留客戶", IF(AND(OR(AO899="No", ISBLANK(AO899), AO899="NA"), AP899="blank"), "无定金+无預留客戶", "")))), "")</f>
        <v>有定金+有預留客戶</v>
      </c>
      <c r="AR899" s="259" t="str">
        <f t="shared" ref="AR899:AR962" si="162">IFERROR(IF(B899="已经到货", "Instock", IF(B899="有交期", "Incoming_Stock_With_YAMAHA_Schedule", IF(B899="TBA.", "Incoming_Stock_No_YAMAHA_Schedule", IF(B899="已发货", "Shipped_Stock", "")))), "")</f>
        <v>Shipped_Stock</v>
      </c>
      <c r="AS899" s="259" t="str">
        <f t="shared" ref="AS899:AS962" si="163">IF(AND(B899="有交期", L899&lt;&gt;""), L899, "")</f>
        <v/>
      </c>
      <c r="AT899" s="259" t="str">
        <f t="shared" ref="AT899:AT962" si="164">IFERROR(IF(R899&lt;&gt;"",R899),"-")</f>
        <v>嘉裕</v>
      </c>
      <c r="AU899" s="259" t="str">
        <f t="shared" ref="AU899:AU962" si="165">IFERROR(IF(Q899&lt;&gt;"",Q899),"-")</f>
        <v>C49SZX20210161DZ</v>
      </c>
      <c r="AV899" s="259" t="str">
        <f t="shared" ref="AV899:AV962" si="166">IF(L899="","-",TEXT(L899,"mmm-dd"))</f>
        <v>Jun-06</v>
      </c>
    </row>
    <row r="900" spans="1:48" hidden="1">
      <c r="A900" s="559">
        <v>1266</v>
      </c>
      <c r="B900" s="664" t="s">
        <v>1125</v>
      </c>
      <c r="C900" s="664" t="s">
        <v>281</v>
      </c>
      <c r="D900" s="645">
        <v>110481</v>
      </c>
      <c r="E900" s="563" t="s">
        <v>886</v>
      </c>
      <c r="F900" s="647" t="s">
        <v>17</v>
      </c>
      <c r="G900" s="647" t="s">
        <v>18</v>
      </c>
      <c r="H900" s="647" t="s">
        <v>34</v>
      </c>
      <c r="I900" s="575" t="s">
        <v>1722</v>
      </c>
      <c r="J900" s="575">
        <v>1</v>
      </c>
      <c r="K900" s="647" t="s">
        <v>82</v>
      </c>
      <c r="L900" s="675">
        <v>44366</v>
      </c>
      <c r="M900" s="665" t="s">
        <v>258</v>
      </c>
      <c r="N900" s="647" t="s">
        <v>97</v>
      </c>
      <c r="O900" s="575"/>
      <c r="P900" s="665" t="str">
        <f>VLOOKUP(A900,'[1]Raw data'!$B:$BA,23,FALSE)</f>
        <v>JPY</v>
      </c>
      <c r="Q900" s="647" t="str">
        <f>VLOOKUP(A900,'[1]Raw data'!$B:$Z,2,FALSE)</f>
        <v>C49SZX20210088SX</v>
      </c>
      <c r="R900" s="647" t="str">
        <f>VLOOKUP(A900,'[1]Raw data'!$B:$Z,3,FALSE)</f>
        <v>恒越通</v>
      </c>
      <c r="S900" s="647" t="str">
        <f>VLOOKUP(A900,'[1]Raw data'!$B:$Z,4,FALSE)</f>
        <v>YSM10</v>
      </c>
      <c r="T900" s="647" t="str">
        <f>VLOOKUP(A900,'[1]Raw data'!$B:$Z,8,FALSE)</f>
        <v>L-&gt;R</v>
      </c>
      <c r="U900" s="647" t="str">
        <f>VLOOKUP(A900,'[1]Raw data'!$B:$Z,9,FALSE)</f>
        <v>MVC+ATS15</v>
      </c>
      <c r="V900" s="567" t="str">
        <f>IF(G900&amp;H900=T900&amp;U900,"OK","WRONG")</f>
        <v>WRONG</v>
      </c>
      <c r="W900" s="563" t="str">
        <f>VLOOKUP(A900,'[1]Raw data'!$B:$AG,32,FALSE)</f>
        <v>DAP SZ</v>
      </c>
      <c r="X900" s="647">
        <f>VLOOKUP(A900,'[1]Raw data'!$B:$BA,31,FALSE)</f>
        <v>44272</v>
      </c>
      <c r="Y900" s="647" t="str">
        <f>VLOOKUP(A900,'[1]Raw data'!$B:$AS,39,FALSE)</f>
        <v>Yes</v>
      </c>
      <c r="Z900" s="659"/>
      <c r="AA900" s="660"/>
      <c r="AB900" s="661"/>
      <c r="AC900" s="647" t="s">
        <v>1723</v>
      </c>
      <c r="AD900" s="662">
        <v>311</v>
      </c>
      <c r="AE900" s="662">
        <v>10</v>
      </c>
      <c r="AF900" s="662"/>
      <c r="AG900" s="662"/>
      <c r="AH900" s="662"/>
      <c r="AI900" s="663"/>
      <c r="AN900" s="542"/>
      <c r="AO900" s="824" t="str">
        <f t="shared" si="159"/>
        <v>Yes</v>
      </c>
      <c r="AP900" s="259" t="str">
        <f t="shared" si="160"/>
        <v>JUL 21</v>
      </c>
      <c r="AQ900" s="542" t="str">
        <f t="shared" si="161"/>
        <v>有定金+有預留客戶</v>
      </c>
      <c r="AR900" s="259" t="str">
        <f t="shared" si="162"/>
        <v>Shipped_Stock</v>
      </c>
      <c r="AS900" s="259" t="str">
        <f t="shared" si="163"/>
        <v/>
      </c>
      <c r="AT900" s="259" t="str">
        <f t="shared" si="164"/>
        <v>恒越通</v>
      </c>
      <c r="AU900" s="259" t="str">
        <f t="shared" si="165"/>
        <v>C49SZX20210088SX</v>
      </c>
      <c r="AV900" s="259" t="str">
        <f t="shared" si="166"/>
        <v>Jun-19</v>
      </c>
    </row>
    <row r="901" spans="1:48" ht="12" hidden="1" customHeight="1">
      <c r="A901" s="559">
        <v>1247</v>
      </c>
      <c r="B901" s="664" t="s">
        <v>1125</v>
      </c>
      <c r="C901" s="664" t="s">
        <v>281</v>
      </c>
      <c r="D901" s="645">
        <v>110479</v>
      </c>
      <c r="E901" s="563" t="s">
        <v>886</v>
      </c>
      <c r="F901" s="647" t="s">
        <v>58</v>
      </c>
      <c r="G901" s="647" t="s">
        <v>24</v>
      </c>
      <c r="H901" s="647" t="s">
        <v>159</v>
      </c>
      <c r="I901" s="575" t="s">
        <v>1724</v>
      </c>
      <c r="J901" s="575">
        <v>1</v>
      </c>
      <c r="K901" s="647" t="s">
        <v>78</v>
      </c>
      <c r="L901" s="675">
        <v>44366</v>
      </c>
      <c r="M901" s="665" t="s">
        <v>906</v>
      </c>
      <c r="N901" s="647" t="s">
        <v>97</v>
      </c>
      <c r="O901" s="575"/>
      <c r="P901" s="665" t="str">
        <f>VLOOKUP(A901,'[1]Raw data'!$B:$BA,23,FALSE)</f>
        <v>JPY</v>
      </c>
      <c r="Q901" s="647" t="str">
        <f>VLOOKUP(A901,'[1]Raw data'!$B:$Z,2,FALSE)</f>
        <v>C49SZX20210061SX</v>
      </c>
      <c r="R901" s="647" t="str">
        <f>VLOOKUP(A901,'[1]Raw data'!$B:$Z,3,FALSE)</f>
        <v>嘉普达</v>
      </c>
      <c r="S901" s="647" t="str">
        <f>VLOOKUP(A901,'[1]Raw data'!$B:$Z,4,FALSE)</f>
        <v>YSM20R-2</v>
      </c>
      <c r="T901" s="647" t="str">
        <f>VLOOKUP(A901,'[1]Raw data'!$B:$Z,8,FALSE)</f>
        <v>L-&gt;R</v>
      </c>
      <c r="U901" s="647" t="str">
        <f>VLOOKUP(A901,'[1]Raw data'!$B:$Z,9,FALSE)</f>
        <v>cATS10+MVC+special layout</v>
      </c>
      <c r="V901" s="567" t="str">
        <f>IF(G901&amp;H901=T901&amp;U901,"OK","WRONG")</f>
        <v>OK</v>
      </c>
      <c r="W901" s="563" t="str">
        <f>VLOOKUP(A901,'[1]Raw data'!$B:$AG,32,FALSE)</f>
        <v>DAP SZ</v>
      </c>
      <c r="X901" s="647">
        <f>VLOOKUP(A901,'[1]Raw data'!$B:$BA,31,FALSE)</f>
        <v>44265</v>
      </c>
      <c r="Y901" s="647" t="str">
        <f>VLOOKUP(A901,'[1]Raw data'!$B:$AS,39,FALSE)</f>
        <v>Yes</v>
      </c>
      <c r="Z901" s="659"/>
      <c r="AA901" s="660"/>
      <c r="AB901" s="661"/>
      <c r="AC901" s="647" t="s">
        <v>1155</v>
      </c>
      <c r="AD901" s="662">
        <v>303</v>
      </c>
      <c r="AE901" s="662">
        <v>10</v>
      </c>
      <c r="AF901" s="662">
        <v>311</v>
      </c>
      <c r="AG901" s="662">
        <v>10</v>
      </c>
      <c r="AH901" s="662"/>
      <c r="AI901" s="663"/>
      <c r="AN901" s="542"/>
      <c r="AO901" s="824" t="str">
        <f t="shared" si="159"/>
        <v>Yes</v>
      </c>
      <c r="AP901" s="259" t="str">
        <f t="shared" si="160"/>
        <v>JUL 21</v>
      </c>
      <c r="AQ901" s="542" t="str">
        <f t="shared" si="161"/>
        <v>有定金+有預留客戶</v>
      </c>
      <c r="AR901" s="259" t="str">
        <f t="shared" si="162"/>
        <v>Shipped_Stock</v>
      </c>
      <c r="AS901" s="259" t="str">
        <f t="shared" si="163"/>
        <v/>
      </c>
      <c r="AT901" s="259" t="str">
        <f t="shared" si="164"/>
        <v>嘉普达</v>
      </c>
      <c r="AU901" s="259" t="str">
        <f t="shared" si="165"/>
        <v>C49SZX20210061SX</v>
      </c>
      <c r="AV901" s="259" t="str">
        <f t="shared" si="166"/>
        <v>Jun-19</v>
      </c>
    </row>
    <row r="902" spans="1:48" hidden="1">
      <c r="A902" s="559">
        <v>1249</v>
      </c>
      <c r="B902" s="664" t="s">
        <v>1125</v>
      </c>
      <c r="C902" s="664" t="s">
        <v>281</v>
      </c>
      <c r="D902" s="645">
        <v>110452</v>
      </c>
      <c r="E902" s="563" t="s">
        <v>886</v>
      </c>
      <c r="F902" s="647" t="s">
        <v>58</v>
      </c>
      <c r="G902" s="647" t="s">
        <v>24</v>
      </c>
      <c r="H902" s="647" t="s">
        <v>26</v>
      </c>
      <c r="I902" s="575" t="s">
        <v>1725</v>
      </c>
      <c r="J902" s="575">
        <v>1</v>
      </c>
      <c r="K902" s="647" t="s">
        <v>78</v>
      </c>
      <c r="L902" s="657">
        <v>44366</v>
      </c>
      <c r="M902" s="665" t="s">
        <v>906</v>
      </c>
      <c r="N902" s="647" t="s">
        <v>97</v>
      </c>
      <c r="O902" s="575"/>
      <c r="P902" s="665" t="str">
        <f>VLOOKUP(A902,'[1]Raw data'!$B:$BA,23,FALSE)</f>
        <v>JPY</v>
      </c>
      <c r="Q902" s="647" t="str">
        <f>VLOOKUP(A902,'[1]Raw data'!$B:$Z,2,FALSE)</f>
        <v>C49SZX20210071SS</v>
      </c>
      <c r="R902" s="647" t="str">
        <f>VLOOKUP(A902,'[1]Raw data'!$B:$Z,3,FALSE)</f>
        <v>泓凯</v>
      </c>
      <c r="S902" s="647" t="str">
        <f>VLOOKUP(A902,'[1]Raw data'!$B:$Z,4,FALSE)</f>
        <v>YSM20R-2</v>
      </c>
      <c r="T902" s="647" t="str">
        <f>VLOOKUP(A902,'[1]Raw data'!$B:$Z,8,FALSE)</f>
        <v>L-&gt;R</v>
      </c>
      <c r="U902" s="647" t="str">
        <f>VLOOKUP(A902,'[1]Raw data'!$B:$Z,9,FALSE)</f>
        <v>No</v>
      </c>
      <c r="V902" s="567" t="str">
        <f t="shared" ref="V902:V905" si="167">IF(G902&amp;H902=T902&amp;U902,"OK","WRONG")</f>
        <v>OK</v>
      </c>
      <c r="W902" s="563" t="str">
        <f>VLOOKUP(A902,'[1]Raw data'!$B:$AG,32,FALSE)</f>
        <v>DAP SZ</v>
      </c>
      <c r="X902" s="647">
        <f>VLOOKUP(A902,'[1]Raw data'!$B:$BA,31,FALSE)</f>
        <v>44261</v>
      </c>
      <c r="Y902" s="647" t="str">
        <f>VLOOKUP(A902,'[1]Raw data'!$B:$AS,39,FALSE)</f>
        <v>Yes</v>
      </c>
      <c r="Z902" s="659"/>
      <c r="AA902" s="660"/>
      <c r="AB902" s="661"/>
      <c r="AC902" s="647" t="s">
        <v>1726</v>
      </c>
      <c r="AD902" s="662">
        <v>301</v>
      </c>
      <c r="AE902" s="662">
        <v>10</v>
      </c>
      <c r="AF902" s="662">
        <v>311</v>
      </c>
      <c r="AG902" s="662">
        <v>10</v>
      </c>
      <c r="AH902" s="662"/>
      <c r="AI902" s="663"/>
      <c r="AN902" s="542"/>
      <c r="AO902" s="824" t="str">
        <f t="shared" si="159"/>
        <v>Yes</v>
      </c>
      <c r="AP902" s="259" t="str">
        <f t="shared" si="160"/>
        <v>JUL 21</v>
      </c>
      <c r="AQ902" s="542" t="str">
        <f t="shared" si="161"/>
        <v>有定金+有預留客戶</v>
      </c>
      <c r="AR902" s="259" t="str">
        <f t="shared" si="162"/>
        <v>Shipped_Stock</v>
      </c>
      <c r="AS902" s="259" t="str">
        <f t="shared" si="163"/>
        <v/>
      </c>
      <c r="AT902" s="259" t="str">
        <f t="shared" si="164"/>
        <v>泓凯</v>
      </c>
      <c r="AU902" s="259" t="str">
        <f t="shared" si="165"/>
        <v>C49SZX20210071SS</v>
      </c>
      <c r="AV902" s="259" t="str">
        <f t="shared" si="166"/>
        <v>Jun-19</v>
      </c>
    </row>
    <row r="903" spans="1:48" hidden="1">
      <c r="A903" s="559">
        <v>1453</v>
      </c>
      <c r="B903" s="664" t="s">
        <v>1125</v>
      </c>
      <c r="C903" s="664" t="s">
        <v>281</v>
      </c>
      <c r="D903" s="645">
        <v>110452</v>
      </c>
      <c r="E903" s="563" t="s">
        <v>886</v>
      </c>
      <c r="F903" s="647" t="s">
        <v>58</v>
      </c>
      <c r="G903" s="647" t="s">
        <v>24</v>
      </c>
      <c r="H903" s="647" t="s">
        <v>27</v>
      </c>
      <c r="I903" s="575" t="s">
        <v>1727</v>
      </c>
      <c r="J903" s="575">
        <v>1</v>
      </c>
      <c r="K903" s="647" t="s">
        <v>78</v>
      </c>
      <c r="L903" s="657">
        <v>44366</v>
      </c>
      <c r="M903" s="665" t="s">
        <v>906</v>
      </c>
      <c r="N903" s="647" t="s">
        <v>97</v>
      </c>
      <c r="O903" s="575"/>
      <c r="P903" s="665" t="str">
        <f>VLOOKUP(A903,'[1]Raw data'!$B:$BA,23,FALSE)</f>
        <v>JPY</v>
      </c>
      <c r="Q903" s="647" t="str">
        <f>VLOOKUP(A903,'[1]Raw data'!$B:$Z,2,FALSE)</f>
        <v>HKFR-ESE-2021071301</v>
      </c>
      <c r="R903" s="647" t="str">
        <f>VLOOKUP(A903,'[1]Raw data'!$B:$Z,3,FALSE)</f>
        <v>富洛</v>
      </c>
      <c r="S903" s="647" t="str">
        <f>VLOOKUP(A903,'[1]Raw data'!$B:$Z,4,FALSE)</f>
        <v>YSM20R-2</v>
      </c>
      <c r="T903" s="647" t="str">
        <f>VLOOKUP(A903,'[1]Raw data'!$B:$Z,8,FALSE)</f>
        <v>L-&gt;R</v>
      </c>
      <c r="U903" s="647" t="str">
        <f>VLOOKUP(A903,'[1]Raw data'!$B:$Z,9,FALSE)</f>
        <v>MVC</v>
      </c>
      <c r="V903" s="567" t="str">
        <f t="shared" si="167"/>
        <v>OK</v>
      </c>
      <c r="W903" s="563" t="str">
        <f>VLOOKUP(A903,'[1]Raw data'!$B:$AG,32,FALSE)</f>
        <v>CIF HK</v>
      </c>
      <c r="X903" s="647">
        <f>VLOOKUP(A903,'[1]Raw data'!$B:$BA,31,FALSE)</f>
        <v>44391</v>
      </c>
      <c r="Y903" s="647" t="str">
        <f>VLOOKUP(A903,'[1]Raw data'!$B:$AS,39,FALSE)</f>
        <v>Yes</v>
      </c>
      <c r="Z903" s="659"/>
      <c r="AA903" s="660"/>
      <c r="AB903" s="661"/>
      <c r="AC903" s="647" t="s">
        <v>1670</v>
      </c>
      <c r="AD903" s="662">
        <v>301</v>
      </c>
      <c r="AE903" s="662">
        <v>10</v>
      </c>
      <c r="AF903" s="662">
        <v>311</v>
      </c>
      <c r="AG903" s="662">
        <v>10</v>
      </c>
      <c r="AH903" s="662"/>
      <c r="AI903" s="663"/>
      <c r="AN903" s="542"/>
      <c r="AO903" s="824" t="str">
        <f t="shared" si="159"/>
        <v>Yes</v>
      </c>
      <c r="AP903" s="259" t="str">
        <f t="shared" si="160"/>
        <v>JUL 21</v>
      </c>
      <c r="AQ903" s="542" t="str">
        <f t="shared" si="161"/>
        <v>有定金+有預留客戶</v>
      </c>
      <c r="AR903" s="259" t="str">
        <f t="shared" si="162"/>
        <v>Shipped_Stock</v>
      </c>
      <c r="AS903" s="259" t="str">
        <f t="shared" si="163"/>
        <v/>
      </c>
      <c r="AT903" s="259" t="str">
        <f t="shared" si="164"/>
        <v>富洛</v>
      </c>
      <c r="AU903" s="259" t="str">
        <f t="shared" si="165"/>
        <v>HKFR-ESE-2021071301</v>
      </c>
      <c r="AV903" s="259" t="str">
        <f t="shared" si="166"/>
        <v>Jun-19</v>
      </c>
    </row>
    <row r="904" spans="1:48" hidden="1">
      <c r="A904" s="559">
        <v>1329</v>
      </c>
      <c r="B904" s="664" t="s">
        <v>1125</v>
      </c>
      <c r="C904" s="664" t="s">
        <v>281</v>
      </c>
      <c r="D904" s="645">
        <v>110452</v>
      </c>
      <c r="E904" s="563" t="s">
        <v>886</v>
      </c>
      <c r="F904" s="647" t="s">
        <v>58</v>
      </c>
      <c r="G904" s="647" t="s">
        <v>24</v>
      </c>
      <c r="H904" s="647" t="s">
        <v>26</v>
      </c>
      <c r="I904" s="575" t="s">
        <v>1728</v>
      </c>
      <c r="J904" s="575">
        <v>1</v>
      </c>
      <c r="K904" s="647" t="s">
        <v>78</v>
      </c>
      <c r="L904" s="657">
        <v>44366</v>
      </c>
      <c r="M904" s="665" t="s">
        <v>906</v>
      </c>
      <c r="N904" s="647" t="s">
        <v>1337</v>
      </c>
      <c r="O904" s="575"/>
      <c r="P904" s="665" t="str">
        <f>VLOOKUP(A904,'[1]Raw data'!$B:$BA,23,FALSE)</f>
        <v>JPY</v>
      </c>
      <c r="Q904" s="647" t="str">
        <f>VLOOKUP(A904,'[1]Raw data'!$B:$Z,2,FALSE)</f>
        <v>C49SZX20210178JY</v>
      </c>
      <c r="R904" s="647" t="str">
        <f>VLOOKUP(A904,'[1]Raw data'!$B:$Z,3,FALSE)</f>
        <v>毅诚科达</v>
      </c>
      <c r="S904" s="647" t="str">
        <f>VLOOKUP(A904,'[1]Raw data'!$B:$Z,4,FALSE)</f>
        <v>YSM20R-2</v>
      </c>
      <c r="T904" s="647" t="str">
        <f>VLOOKUP(A904,'[1]Raw data'!$B:$Z,8,FALSE)</f>
        <v>L-&gt;R</v>
      </c>
      <c r="U904" s="647" t="str">
        <f>VLOOKUP(A904,'[1]Raw data'!$B:$Z,9,FALSE)</f>
        <v>No</v>
      </c>
      <c r="V904" s="567" t="str">
        <f t="shared" si="167"/>
        <v>OK</v>
      </c>
      <c r="W904" s="563" t="str">
        <f>VLOOKUP(A904,'[1]Raw data'!$B:$AG,32,FALSE)</f>
        <v>DAP SZ</v>
      </c>
      <c r="X904" s="647">
        <f>VLOOKUP(A904,'[1]Raw data'!$B:$BA,31,FALSE)</f>
        <v>44300</v>
      </c>
      <c r="Y904" s="647" t="str">
        <f>VLOOKUP(A904,'[1]Raw data'!$B:$AS,39,FALSE)</f>
        <v>Yes</v>
      </c>
      <c r="Z904" s="659"/>
      <c r="AA904" s="660"/>
      <c r="AB904" s="661"/>
      <c r="AC904" s="647" t="s">
        <v>1729</v>
      </c>
      <c r="AD904" s="662">
        <v>301</v>
      </c>
      <c r="AE904" s="662">
        <v>10</v>
      </c>
      <c r="AF904" s="662">
        <v>311</v>
      </c>
      <c r="AG904" s="662">
        <v>10</v>
      </c>
      <c r="AH904" s="662"/>
      <c r="AI904" s="663"/>
      <c r="AN904" s="542"/>
      <c r="AO904" s="824" t="str">
        <f t="shared" si="159"/>
        <v>Yes</v>
      </c>
      <c r="AP904" s="259" t="str">
        <f t="shared" si="160"/>
        <v>AUG 21</v>
      </c>
      <c r="AQ904" s="542" t="str">
        <f t="shared" si="161"/>
        <v>有定金+有預留客戶</v>
      </c>
      <c r="AR904" s="259" t="str">
        <f t="shared" si="162"/>
        <v>Shipped_Stock</v>
      </c>
      <c r="AS904" s="259" t="str">
        <f t="shared" si="163"/>
        <v/>
      </c>
      <c r="AT904" s="259" t="str">
        <f t="shared" si="164"/>
        <v>毅诚科达</v>
      </c>
      <c r="AU904" s="259" t="str">
        <f t="shared" si="165"/>
        <v>C49SZX20210178JY</v>
      </c>
      <c r="AV904" s="259" t="str">
        <f t="shared" si="166"/>
        <v>Jun-19</v>
      </c>
    </row>
    <row r="905" spans="1:48" hidden="1">
      <c r="A905" s="559">
        <v>1265</v>
      </c>
      <c r="B905" s="664" t="s">
        <v>1125</v>
      </c>
      <c r="C905" s="664" t="s">
        <v>281</v>
      </c>
      <c r="D905" s="645">
        <v>110452</v>
      </c>
      <c r="E905" s="563" t="s">
        <v>886</v>
      </c>
      <c r="F905" s="647" t="s">
        <v>58</v>
      </c>
      <c r="G905" s="647" t="s">
        <v>24</v>
      </c>
      <c r="H905" s="647" t="s">
        <v>26</v>
      </c>
      <c r="I905" s="575" t="s">
        <v>1730</v>
      </c>
      <c r="J905" s="575">
        <v>1</v>
      </c>
      <c r="K905" s="647" t="s">
        <v>82</v>
      </c>
      <c r="L905" s="657">
        <v>44366</v>
      </c>
      <c r="M905" s="665" t="s">
        <v>906</v>
      </c>
      <c r="N905" s="647" t="s">
        <v>97</v>
      </c>
      <c r="O905" s="575"/>
      <c r="P905" s="665" t="str">
        <f>VLOOKUP(A905,'[1]Raw data'!$B:$BA,23,FALSE)</f>
        <v>JPY</v>
      </c>
      <c r="Q905" s="647" t="str">
        <f>VLOOKUP(A905,'[1]Raw data'!$B:$Z,2,FALSE)</f>
        <v>C49SZX20210088SX</v>
      </c>
      <c r="R905" s="647" t="str">
        <f>VLOOKUP(A905,'[1]Raw data'!$B:$Z,3,FALSE)</f>
        <v>恒越通</v>
      </c>
      <c r="S905" s="647" t="str">
        <f>VLOOKUP(A905,'[1]Raw data'!$B:$Z,4,FALSE)</f>
        <v>YSM20R-2</v>
      </c>
      <c r="T905" s="647" t="str">
        <f>VLOOKUP(A905,'[1]Raw data'!$B:$Z,8,FALSE)</f>
        <v>L-&gt;R</v>
      </c>
      <c r="U905" s="647" t="str">
        <f>VLOOKUP(A905,'[1]Raw data'!$B:$Z,9,FALSE)</f>
        <v>No</v>
      </c>
      <c r="V905" s="567" t="str">
        <f t="shared" si="167"/>
        <v>OK</v>
      </c>
      <c r="W905" s="563" t="str">
        <f>VLOOKUP(A905,'[1]Raw data'!$B:$AG,32,FALSE)</f>
        <v>DAP SZ</v>
      </c>
      <c r="X905" s="647">
        <f>VLOOKUP(A905,'[1]Raw data'!$B:$BA,31,FALSE)</f>
        <v>44272</v>
      </c>
      <c r="Y905" s="647" t="str">
        <f>VLOOKUP(A905,'[1]Raw data'!$B:$AS,39,FALSE)</f>
        <v>Yes</v>
      </c>
      <c r="Z905" s="659"/>
      <c r="AA905" s="660"/>
      <c r="AB905" s="661"/>
      <c r="AC905" s="647" t="s">
        <v>1723</v>
      </c>
      <c r="AD905" s="662">
        <v>301</v>
      </c>
      <c r="AE905" s="662">
        <v>10</v>
      </c>
      <c r="AF905" s="662">
        <v>311</v>
      </c>
      <c r="AG905" s="662">
        <v>10</v>
      </c>
      <c r="AH905" s="662"/>
      <c r="AI905" s="663"/>
      <c r="AN905" s="542"/>
      <c r="AO905" s="824" t="str">
        <f t="shared" si="159"/>
        <v>Yes</v>
      </c>
      <c r="AP905" s="259" t="str">
        <f t="shared" si="160"/>
        <v>JUL 21</v>
      </c>
      <c r="AQ905" s="542" t="str">
        <f t="shared" si="161"/>
        <v>有定金+有預留客戶</v>
      </c>
      <c r="AR905" s="259" t="str">
        <f t="shared" si="162"/>
        <v>Shipped_Stock</v>
      </c>
      <c r="AS905" s="259" t="str">
        <f t="shared" si="163"/>
        <v/>
      </c>
      <c r="AT905" s="259" t="str">
        <f t="shared" si="164"/>
        <v>恒越通</v>
      </c>
      <c r="AU905" s="259" t="str">
        <f t="shared" si="165"/>
        <v>C49SZX20210088SX</v>
      </c>
      <c r="AV905" s="259" t="str">
        <f t="shared" si="166"/>
        <v>Jun-19</v>
      </c>
    </row>
    <row r="906" spans="1:48" hidden="1">
      <c r="A906" s="559">
        <v>1303</v>
      </c>
      <c r="B906" s="664" t="s">
        <v>1125</v>
      </c>
      <c r="C906" s="664" t="s">
        <v>281</v>
      </c>
      <c r="D906" s="645">
        <v>110402</v>
      </c>
      <c r="E906" s="736" t="s">
        <v>1686</v>
      </c>
      <c r="F906" s="647" t="s">
        <v>149</v>
      </c>
      <c r="G906" s="647" t="s">
        <v>24</v>
      </c>
      <c r="H906" s="647" t="s">
        <v>26</v>
      </c>
      <c r="I906" s="575" t="s">
        <v>1731</v>
      </c>
      <c r="J906" s="575">
        <v>1</v>
      </c>
      <c r="K906" s="647" t="s">
        <v>1732</v>
      </c>
      <c r="L906" s="657">
        <v>44375</v>
      </c>
      <c r="M906" s="665" t="s">
        <v>906</v>
      </c>
      <c r="N906" s="647" t="s">
        <v>97</v>
      </c>
      <c r="O906" s="575"/>
      <c r="P906" s="665" t="str">
        <f>VLOOKUP(A906,'[1]Raw data'!$B:$BA,23,FALSE)</f>
        <v>JPY</v>
      </c>
      <c r="Q906" s="647" t="str">
        <f>VLOOKUP(A906,'[1]Raw data'!$B:$Z,2,FALSE)</f>
        <v>C49SZX20210096JL</v>
      </c>
      <c r="R906" s="647" t="str">
        <f>VLOOKUP(A906,'[1]Raw data'!$B:$Z,3,FALSE)</f>
        <v>杉川</v>
      </c>
      <c r="S906" s="647" t="str">
        <f>VLOOKUP(A906,'[1]Raw data'!$B:$Z,4,FALSE)</f>
        <v>YSM40R-4</v>
      </c>
      <c r="T906" s="647" t="str">
        <f>VLOOKUP(A906,'[1]Raw data'!$B:$Z,8,FALSE)</f>
        <v>L-&gt;R</v>
      </c>
      <c r="U906" s="647" t="str">
        <f>VLOOKUP(A906,'[1]Raw data'!$B:$Z,9,FALSE)</f>
        <v>No</v>
      </c>
      <c r="V906" s="567" t="str">
        <f>IF(G906&amp;H906=T906&amp;U906,"OK","WRONG")</f>
        <v>OK</v>
      </c>
      <c r="W906" s="563" t="str">
        <f>VLOOKUP(A906,'[1]Raw data'!$B:$AG,32,FALSE)</f>
        <v>DAP SZ</v>
      </c>
      <c r="X906" s="647">
        <f>VLOOKUP(A906,'[1]Raw data'!$B:$BA,31,FALSE)</f>
        <v>44288</v>
      </c>
      <c r="Y906" s="647" t="str">
        <f>VLOOKUP(A906,'[1]Raw data'!$B:$AS,39,FALSE)</f>
        <v>Yes</v>
      </c>
      <c r="Z906" s="659"/>
      <c r="AA906" s="660"/>
      <c r="AB906" s="661"/>
      <c r="AC906" s="647" t="s">
        <v>678</v>
      </c>
      <c r="AD906" s="662"/>
      <c r="AE906" s="662"/>
      <c r="AF906" s="662"/>
      <c r="AG906" s="662"/>
      <c r="AH906" s="662"/>
      <c r="AI906" s="663"/>
      <c r="AN906" s="542"/>
      <c r="AO906" s="824" t="str">
        <f t="shared" si="159"/>
        <v>Yes</v>
      </c>
      <c r="AP906" s="259" t="str">
        <f t="shared" si="160"/>
        <v>JUL 21</v>
      </c>
      <c r="AQ906" s="542" t="str">
        <f t="shared" si="161"/>
        <v>有定金+有預留客戶</v>
      </c>
      <c r="AR906" s="259" t="str">
        <f t="shared" si="162"/>
        <v>Shipped_Stock</v>
      </c>
      <c r="AS906" s="259" t="str">
        <f t="shared" si="163"/>
        <v/>
      </c>
      <c r="AT906" s="259" t="str">
        <f t="shared" si="164"/>
        <v>杉川</v>
      </c>
      <c r="AU906" s="259" t="str">
        <f t="shared" si="165"/>
        <v>C49SZX20210096JL</v>
      </c>
      <c r="AV906" s="259" t="str">
        <f t="shared" si="166"/>
        <v>Jun-28</v>
      </c>
    </row>
    <row r="907" spans="1:48" hidden="1">
      <c r="A907" s="559">
        <v>1304</v>
      </c>
      <c r="B907" s="664" t="s">
        <v>1125</v>
      </c>
      <c r="C907" s="664" t="s">
        <v>281</v>
      </c>
      <c r="D907" s="645">
        <v>110402</v>
      </c>
      <c r="E907" s="736" t="s">
        <v>1686</v>
      </c>
      <c r="F907" s="647" t="s">
        <v>149</v>
      </c>
      <c r="G907" s="647" t="s">
        <v>24</v>
      </c>
      <c r="H907" s="647" t="s">
        <v>26</v>
      </c>
      <c r="I907" s="575" t="s">
        <v>1733</v>
      </c>
      <c r="J907" s="575">
        <v>1</v>
      </c>
      <c r="K907" s="647" t="s">
        <v>1732</v>
      </c>
      <c r="L907" s="657">
        <v>44375</v>
      </c>
      <c r="M907" s="665" t="s">
        <v>906</v>
      </c>
      <c r="N907" s="647" t="s">
        <v>1337</v>
      </c>
      <c r="O907" s="575"/>
      <c r="P907" s="665" t="str">
        <f>VLOOKUP(A907,'[1]Raw data'!$B:$BA,23,FALSE)</f>
        <v>JPY</v>
      </c>
      <c r="Q907" s="647" t="str">
        <f>VLOOKUP(A907,'[1]Raw data'!$B:$Z,2,FALSE)</f>
        <v>C49SZX20210096JL</v>
      </c>
      <c r="R907" s="647" t="str">
        <f>VLOOKUP(A907,'[1]Raw data'!$B:$Z,3,FALSE)</f>
        <v>杉川</v>
      </c>
      <c r="S907" s="647" t="str">
        <f>VLOOKUP(A907,'[1]Raw data'!$B:$Z,4,FALSE)</f>
        <v>YSM40R-4</v>
      </c>
      <c r="T907" s="647" t="str">
        <f>VLOOKUP(A907,'[1]Raw data'!$B:$Z,8,FALSE)</f>
        <v>L-&gt;R</v>
      </c>
      <c r="U907" s="647" t="str">
        <f>VLOOKUP(A907,'[1]Raw data'!$B:$Z,9,FALSE)</f>
        <v>No</v>
      </c>
      <c r="V907" s="567" t="str">
        <f>IF(G907&amp;H907=T907&amp;U907,"OK","WRONG")</f>
        <v>OK</v>
      </c>
      <c r="W907" s="563" t="str">
        <f>VLOOKUP(A907,'[1]Raw data'!$B:$AG,32,FALSE)</f>
        <v>DAP SZ</v>
      </c>
      <c r="X907" s="647">
        <f>VLOOKUP(A907,'[1]Raw data'!$B:$BA,31,FALSE)</f>
        <v>44288</v>
      </c>
      <c r="Y907" s="647" t="str">
        <f>VLOOKUP(A907,'[1]Raw data'!$B:$AS,39,FALSE)</f>
        <v>Yes</v>
      </c>
      <c r="Z907" s="659"/>
      <c r="AA907" s="660"/>
      <c r="AB907" s="661"/>
      <c r="AC907" s="647" t="s">
        <v>678</v>
      </c>
      <c r="AD907" s="662"/>
      <c r="AE907" s="662"/>
      <c r="AF907" s="662"/>
      <c r="AG907" s="662"/>
      <c r="AH907" s="662"/>
      <c r="AI907" s="663"/>
      <c r="AN907" s="542"/>
      <c r="AO907" s="824" t="str">
        <f t="shared" si="159"/>
        <v>Yes</v>
      </c>
      <c r="AP907" s="259" t="str">
        <f t="shared" si="160"/>
        <v>AUG 21</v>
      </c>
      <c r="AQ907" s="542" t="str">
        <f t="shared" si="161"/>
        <v>有定金+有預留客戶</v>
      </c>
      <c r="AR907" s="259" t="str">
        <f t="shared" si="162"/>
        <v>Shipped_Stock</v>
      </c>
      <c r="AS907" s="259" t="str">
        <f t="shared" si="163"/>
        <v/>
      </c>
      <c r="AT907" s="259" t="str">
        <f t="shared" si="164"/>
        <v>杉川</v>
      </c>
      <c r="AU907" s="259" t="str">
        <f t="shared" si="165"/>
        <v>C49SZX20210096JL</v>
      </c>
      <c r="AV907" s="259" t="str">
        <f t="shared" si="166"/>
        <v>Jun-28</v>
      </c>
    </row>
    <row r="908" spans="1:48" hidden="1">
      <c r="A908" s="559">
        <v>1305</v>
      </c>
      <c r="B908" s="664" t="s">
        <v>1125</v>
      </c>
      <c r="C908" s="664" t="s">
        <v>281</v>
      </c>
      <c r="D908" s="645">
        <v>110402</v>
      </c>
      <c r="E908" s="736" t="s">
        <v>1686</v>
      </c>
      <c r="F908" s="647" t="s">
        <v>149</v>
      </c>
      <c r="G908" s="647" t="s">
        <v>24</v>
      </c>
      <c r="H908" s="647" t="s">
        <v>26</v>
      </c>
      <c r="I908" s="575" t="s">
        <v>1734</v>
      </c>
      <c r="J908" s="575">
        <v>1</v>
      </c>
      <c r="K908" s="647" t="s">
        <v>1732</v>
      </c>
      <c r="L908" s="657">
        <v>44375</v>
      </c>
      <c r="M908" s="665" t="s">
        <v>906</v>
      </c>
      <c r="N908" s="647" t="s">
        <v>1337</v>
      </c>
      <c r="O908" s="575"/>
      <c r="P908" s="665" t="str">
        <f>VLOOKUP(A908,'[1]Raw data'!$B:$BA,23,FALSE)</f>
        <v>JPY</v>
      </c>
      <c r="Q908" s="647" t="str">
        <f>VLOOKUP(A908,'[1]Raw data'!$B:$Z,2,FALSE)</f>
        <v>C49SZX20210096JL</v>
      </c>
      <c r="R908" s="647" t="str">
        <f>VLOOKUP(A908,'[1]Raw data'!$B:$Z,3,FALSE)</f>
        <v>杉川</v>
      </c>
      <c r="S908" s="647" t="str">
        <f>VLOOKUP(A908,'[1]Raw data'!$B:$Z,4,FALSE)</f>
        <v>YSM40R-4</v>
      </c>
      <c r="T908" s="647" t="str">
        <f>VLOOKUP(A908,'[1]Raw data'!$B:$Z,8,FALSE)</f>
        <v>L-&gt;R</v>
      </c>
      <c r="U908" s="647" t="str">
        <f>VLOOKUP(A908,'[1]Raw data'!$B:$Z,9,FALSE)</f>
        <v>No</v>
      </c>
      <c r="V908" s="567" t="str">
        <f>IF(G908&amp;H908=T908&amp;U908,"OK","WRONG")</f>
        <v>OK</v>
      </c>
      <c r="W908" s="563" t="str">
        <f>VLOOKUP(A908,'[1]Raw data'!$B:$AG,32,FALSE)</f>
        <v>DAP SZ</v>
      </c>
      <c r="X908" s="647">
        <f>VLOOKUP(A908,'[1]Raw data'!$B:$BA,31,FALSE)</f>
        <v>44288</v>
      </c>
      <c r="Y908" s="647" t="str">
        <f>VLOOKUP(A908,'[1]Raw data'!$B:$AS,39,FALSE)</f>
        <v>Yes</v>
      </c>
      <c r="Z908" s="659"/>
      <c r="AA908" s="660"/>
      <c r="AB908" s="661"/>
      <c r="AC908" s="647" t="s">
        <v>678</v>
      </c>
      <c r="AD908" s="662"/>
      <c r="AE908" s="662"/>
      <c r="AF908" s="662"/>
      <c r="AG908" s="662"/>
      <c r="AH908" s="662"/>
      <c r="AI908" s="663"/>
      <c r="AN908" s="542"/>
      <c r="AO908" s="824" t="str">
        <f t="shared" si="159"/>
        <v>Yes</v>
      </c>
      <c r="AP908" s="259" t="str">
        <f t="shared" si="160"/>
        <v>AUG 21</v>
      </c>
      <c r="AQ908" s="542" t="str">
        <f t="shared" si="161"/>
        <v>有定金+有預留客戶</v>
      </c>
      <c r="AR908" s="259" t="str">
        <f t="shared" si="162"/>
        <v>Shipped_Stock</v>
      </c>
      <c r="AS908" s="259" t="str">
        <f t="shared" si="163"/>
        <v/>
      </c>
      <c r="AT908" s="259" t="str">
        <f t="shared" si="164"/>
        <v>杉川</v>
      </c>
      <c r="AU908" s="259" t="str">
        <f t="shared" si="165"/>
        <v>C49SZX20210096JL</v>
      </c>
      <c r="AV908" s="259" t="str">
        <f t="shared" si="166"/>
        <v>Jun-28</v>
      </c>
    </row>
    <row r="909" spans="1:48" hidden="1">
      <c r="A909" s="559">
        <v>1479</v>
      </c>
      <c r="B909" s="664" t="s">
        <v>1125</v>
      </c>
      <c r="C909" s="664" t="s">
        <v>281</v>
      </c>
      <c r="D909" s="645">
        <v>110402</v>
      </c>
      <c r="E909" s="736" t="s">
        <v>1686</v>
      </c>
      <c r="F909" s="647" t="s">
        <v>149</v>
      </c>
      <c r="G909" s="647" t="s">
        <v>24</v>
      </c>
      <c r="H909" s="647" t="s">
        <v>26</v>
      </c>
      <c r="I909" s="575" t="s">
        <v>1735</v>
      </c>
      <c r="J909" s="575">
        <v>1</v>
      </c>
      <c r="K909" s="647" t="s">
        <v>1732</v>
      </c>
      <c r="L909" s="657">
        <v>44375</v>
      </c>
      <c r="M909" s="665" t="s">
        <v>906</v>
      </c>
      <c r="N909" s="647" t="s">
        <v>1736</v>
      </c>
      <c r="O909" s="575"/>
      <c r="P909" s="665" t="str">
        <f>VLOOKUP(A909,'[1]Raw data'!$B:$BA,23,FALSE)</f>
        <v>JPY</v>
      </c>
      <c r="Q909" s="647" t="str">
        <f>VLOOKUP(A909,'[1]Raw data'!$B:$Z,2,FALSE)</f>
        <v>C49SZX20210193SX</v>
      </c>
      <c r="R909" s="647" t="str">
        <f>VLOOKUP(A909,'[1]Raw data'!$B:$Z,3,FALSE)</f>
        <v>锐诚</v>
      </c>
      <c r="S909" s="647" t="str">
        <f>VLOOKUP(A909,'[1]Raw data'!$B:$Z,4,FALSE)</f>
        <v>YSM40R-4</v>
      </c>
      <c r="T909" s="647" t="str">
        <f>VLOOKUP(A909,'[1]Raw data'!$B:$Z,8,FALSE)</f>
        <v>L-&gt;R</v>
      </c>
      <c r="U909" s="647" t="str">
        <f>VLOOKUP(A909,'[1]Raw data'!$B:$Z,9,FALSE)</f>
        <v>No</v>
      </c>
      <c r="V909" s="567" t="str">
        <f>IF(G909&amp;H909=T909&amp;U909,"OK","WRONG")</f>
        <v>OK</v>
      </c>
      <c r="W909" s="563" t="str">
        <f>VLOOKUP(A909,'[1]Raw data'!$B:$AG,32,FALSE)</f>
        <v>DAP HZ</v>
      </c>
      <c r="X909" s="647">
        <f>VLOOKUP(A909,'[1]Raw data'!$B:$BA,31,FALSE)</f>
        <v>44457</v>
      </c>
      <c r="Y909" s="647" t="str">
        <f>VLOOKUP(A909,'[1]Raw data'!$B:$AS,39,FALSE)</f>
        <v>Yes</v>
      </c>
      <c r="Z909" s="659"/>
      <c r="AA909" s="660"/>
      <c r="AB909" s="661"/>
      <c r="AC909" s="647" t="s">
        <v>563</v>
      </c>
      <c r="AD909" s="662"/>
      <c r="AE909" s="662"/>
      <c r="AF909" s="662"/>
      <c r="AG909" s="662"/>
      <c r="AH909" s="662"/>
      <c r="AI909" s="663"/>
      <c r="AN909" s="542"/>
      <c r="AO909" s="824" t="str">
        <f t="shared" si="159"/>
        <v>Yes</v>
      </c>
      <c r="AP909" s="259" t="str">
        <f t="shared" si="160"/>
        <v>OCT 21</v>
      </c>
      <c r="AQ909" s="542" t="str">
        <f t="shared" si="161"/>
        <v>有定金+有預留客戶</v>
      </c>
      <c r="AR909" s="259" t="str">
        <f t="shared" si="162"/>
        <v>Shipped_Stock</v>
      </c>
      <c r="AS909" s="259" t="str">
        <f t="shared" si="163"/>
        <v/>
      </c>
      <c r="AT909" s="259" t="str">
        <f t="shared" si="164"/>
        <v>锐诚</v>
      </c>
      <c r="AU909" s="259" t="str">
        <f t="shared" si="165"/>
        <v>C49SZX20210193SX</v>
      </c>
      <c r="AV909" s="259" t="str">
        <f t="shared" si="166"/>
        <v>Jun-28</v>
      </c>
    </row>
    <row r="910" spans="1:48" hidden="1">
      <c r="A910" s="599">
        <v>1136</v>
      </c>
      <c r="B910" s="664" t="s">
        <v>1125</v>
      </c>
      <c r="C910" s="563" t="s">
        <v>4013</v>
      </c>
      <c r="D910" s="645">
        <v>110342</v>
      </c>
      <c r="E910" s="646" t="s">
        <v>236</v>
      </c>
      <c r="F910" s="647" t="s">
        <v>1737</v>
      </c>
      <c r="G910" s="647" t="s">
        <v>283</v>
      </c>
      <c r="H910" s="647" t="s">
        <v>26</v>
      </c>
      <c r="I910" s="575">
        <v>6825</v>
      </c>
      <c r="J910" s="575">
        <v>1</v>
      </c>
      <c r="K910" s="647" t="s">
        <v>1381</v>
      </c>
      <c r="L910" s="657">
        <v>44166</v>
      </c>
      <c r="M910" s="665">
        <v>7.8</v>
      </c>
      <c r="N910" s="647" t="s">
        <v>110</v>
      </c>
      <c r="O910" s="575"/>
      <c r="P910" s="665" t="str">
        <f>VLOOKUP(A910,'[1]Raw data'!$B:$BA,23,FALSE)</f>
        <v>JPY</v>
      </c>
      <c r="Q910" s="647" t="str">
        <f>VLOOKUP(A910,'[1]Raw data'!$B:$Z,2,FALSE)</f>
        <v>C49SZX20210045SX</v>
      </c>
      <c r="R910" s="647" t="str">
        <f>VLOOKUP(A910,'[1]Raw data'!$B:$Z,3,FALSE)</f>
        <v>百益晟</v>
      </c>
      <c r="S910" s="647" t="str">
        <f>VLOOKUP(A910,'[1]Raw data'!$B:$Z,4,FALSE)</f>
        <v>YSM10</v>
      </c>
      <c r="T910" s="647" t="str">
        <f>VLOOKUP(A910,'[1]Raw data'!$B:$Z,8,FALSE)</f>
        <v>L-&gt;R</v>
      </c>
      <c r="U910" s="647" t="str">
        <f>VLOOKUP(A910,'[1]Raw data'!$B:$Z,9,FALSE)</f>
        <v>MVC</v>
      </c>
      <c r="V910" s="567" t="str">
        <f t="shared" ref="V910" si="168">IF(G910&amp;H910=T910&amp;U910,"OK","WRONG")</f>
        <v>WRONG</v>
      </c>
      <c r="W910" s="563" t="str">
        <f>VLOOKUP(A910,'[1]Raw data'!$B:$AG,32,FALSE)</f>
        <v>DAP SZ</v>
      </c>
      <c r="X910" s="647">
        <f>VLOOKUP(A910,'[1]Raw data'!$B:$BA,31,FALSE)</f>
        <v>44231</v>
      </c>
      <c r="Y910" s="647" t="str">
        <f>VLOOKUP(A910,'[1]Raw data'!$B:$AS,39,FALSE)</f>
        <v>Yes</v>
      </c>
      <c r="Z910" s="659"/>
      <c r="AA910" s="660"/>
      <c r="AB910" s="661"/>
      <c r="AC910" s="647" t="s">
        <v>1216</v>
      </c>
      <c r="AD910" s="575"/>
      <c r="AE910" s="575"/>
      <c r="AF910" s="575"/>
      <c r="AG910" s="575"/>
      <c r="AH910" s="575"/>
      <c r="AI910" s="679"/>
      <c r="AJ910" s="564"/>
      <c r="AK910" s="564"/>
      <c r="AL910" s="564"/>
      <c r="AM910" s="564"/>
      <c r="AN910" s="614"/>
      <c r="AO910" s="824" t="str">
        <f t="shared" si="159"/>
        <v>Yes</v>
      </c>
      <c r="AP910" s="259" t="str">
        <f t="shared" si="160"/>
        <v>MAY 21</v>
      </c>
      <c r="AQ910" s="542" t="str">
        <f t="shared" si="161"/>
        <v>有定金+有預留客戶</v>
      </c>
      <c r="AR910" s="259" t="str">
        <f t="shared" si="162"/>
        <v>Shipped_Stock</v>
      </c>
      <c r="AS910" s="259" t="str">
        <f t="shared" si="163"/>
        <v/>
      </c>
      <c r="AT910" s="259" t="str">
        <f t="shared" si="164"/>
        <v>百益晟</v>
      </c>
      <c r="AU910" s="259" t="str">
        <f t="shared" si="165"/>
        <v>C49SZX20210045SX</v>
      </c>
      <c r="AV910" s="259" t="str">
        <f t="shared" si="166"/>
        <v>Dec-01</v>
      </c>
    </row>
    <row r="911" spans="1:48" hidden="1">
      <c r="A911" s="559">
        <v>1472</v>
      </c>
      <c r="B911" s="664" t="s">
        <v>1125</v>
      </c>
      <c r="C911" s="563" t="s">
        <v>4013</v>
      </c>
      <c r="D911" s="645">
        <v>110342</v>
      </c>
      <c r="E911" s="646" t="s">
        <v>236</v>
      </c>
      <c r="F911" s="647" t="s">
        <v>1738</v>
      </c>
      <c r="G911" s="647" t="s">
        <v>283</v>
      </c>
      <c r="H911" s="647" t="s">
        <v>26</v>
      </c>
      <c r="I911" s="575">
        <v>6826</v>
      </c>
      <c r="J911" s="575">
        <v>1</v>
      </c>
      <c r="K911" s="647" t="s">
        <v>1381</v>
      </c>
      <c r="L911" s="657">
        <v>44166</v>
      </c>
      <c r="M911" s="665">
        <v>7.8</v>
      </c>
      <c r="N911" s="647"/>
      <c r="O911" s="575"/>
      <c r="P911" s="665" t="str">
        <f>VLOOKUP(A911,'[1]Raw data'!$B:$BA,23,FALSE)</f>
        <v>RMB</v>
      </c>
      <c r="Q911" s="647" t="str">
        <f>VLOOKUP(A911,'[1]Raw data'!$B:$Z,2,FALSE)</f>
        <v>C28SZX2021044KC</v>
      </c>
      <c r="R911" s="647" t="str">
        <f>VLOOKUP(A911,'[1]Raw data'!$B:$Z,3,FALSE)</f>
        <v>小婉牛</v>
      </c>
      <c r="S911" s="647" t="str">
        <f>VLOOKUP(A911,'[1]Raw data'!$B:$Z,4,FALSE)</f>
        <v>SolderStar R-0625L</v>
      </c>
      <c r="T911" s="647" t="str">
        <f>VLOOKUP(A911,'[1]Raw data'!$B:$Z,8,FALSE)</f>
        <v>No</v>
      </c>
      <c r="U911" s="647" t="str">
        <f>VLOOKUP(A911,'[1]Raw data'!$B:$Z,9,FALSE)</f>
        <v>No</v>
      </c>
      <c r="V911" s="567" t="str">
        <f t="shared" ref="V911" si="169">IF(G911&amp;H911=T911&amp;U911,"OK","WRONG")</f>
        <v>OK</v>
      </c>
      <c r="W911" s="563" t="str">
        <f>VLOOKUP(A911,'[1]Raw data'!$B:$AG,32,FALSE)</f>
        <v>含税到厂</v>
      </c>
      <c r="X911" s="647">
        <f>VLOOKUP(A911,'[1]Raw data'!$B:$BA,31,FALSE)</f>
        <v>44434</v>
      </c>
      <c r="Y911" s="647" t="str">
        <f>VLOOKUP(A911,'[1]Raw data'!$B:$AS,39,FALSE)</f>
        <v>Yes</v>
      </c>
      <c r="Z911" s="659"/>
      <c r="AA911" s="660"/>
      <c r="AB911" s="661"/>
      <c r="AC911" s="647" t="s">
        <v>1739</v>
      </c>
      <c r="AD911" s="662"/>
      <c r="AE911" s="662"/>
      <c r="AF911" s="662"/>
      <c r="AG911" s="662"/>
      <c r="AH911" s="662"/>
      <c r="AI911" s="663"/>
      <c r="AN911" s="542"/>
      <c r="AO911" s="824" t="str">
        <f t="shared" si="159"/>
        <v>Yes</v>
      </c>
      <c r="AP911" s="259" t="str">
        <f t="shared" si="160"/>
        <v>blank</v>
      </c>
      <c r="AQ911" s="542" t="str">
        <f t="shared" si="161"/>
        <v>有定金+无客戶送貨期</v>
      </c>
      <c r="AR911" s="259" t="str">
        <f t="shared" si="162"/>
        <v>Shipped_Stock</v>
      </c>
      <c r="AS911" s="259" t="str">
        <f t="shared" si="163"/>
        <v/>
      </c>
      <c r="AT911" s="259" t="str">
        <f t="shared" si="164"/>
        <v>小婉牛</v>
      </c>
      <c r="AU911" s="259" t="str">
        <f t="shared" si="165"/>
        <v>C28SZX2021044KC</v>
      </c>
      <c r="AV911" s="259" t="str">
        <f t="shared" si="166"/>
        <v>Dec-01</v>
      </c>
    </row>
    <row r="912" spans="1:48" hidden="1">
      <c r="A912" s="559">
        <v>1308</v>
      </c>
      <c r="B912" s="664" t="s">
        <v>1125</v>
      </c>
      <c r="C912" s="664" t="s">
        <v>281</v>
      </c>
      <c r="D912" s="645">
        <v>110402</v>
      </c>
      <c r="E912" s="736" t="s">
        <v>1686</v>
      </c>
      <c r="F912" s="647" t="s">
        <v>154</v>
      </c>
      <c r="G912" s="647" t="s">
        <v>24</v>
      </c>
      <c r="H912" s="647" t="s">
        <v>1740</v>
      </c>
      <c r="I912" s="575" t="s">
        <v>1741</v>
      </c>
      <c r="J912" s="575">
        <v>1</v>
      </c>
      <c r="K912" s="647" t="s">
        <v>1732</v>
      </c>
      <c r="L912" s="657">
        <v>44375</v>
      </c>
      <c r="M912" s="665" t="s">
        <v>906</v>
      </c>
      <c r="N912" s="647" t="s">
        <v>97</v>
      </c>
      <c r="O912" s="575"/>
      <c r="P912" s="665" t="str">
        <f>VLOOKUP(A912,'[1]Raw data'!$B:$BA,23,FALSE)</f>
        <v>JPY</v>
      </c>
      <c r="Q912" s="647" t="str">
        <f>VLOOKUP(A912,'[1]Raw data'!$B:$Z,2,FALSE)</f>
        <v>C49SZX20210096JL</v>
      </c>
      <c r="R912" s="647" t="str">
        <f>VLOOKUP(A912,'[1]Raw data'!$B:$Z,3,FALSE)</f>
        <v>杉川</v>
      </c>
      <c r="S912" s="647" t="str">
        <f>VLOOKUP(A912,'[1]Raw data'!$B:$Z,4,FALSE)</f>
        <v>YSM20WR-2</v>
      </c>
      <c r="T912" s="647" t="str">
        <f>VLOOKUP(A912,'[1]Raw data'!$B:$Z,8,FALSE)</f>
        <v>L-&gt;R</v>
      </c>
      <c r="U912" s="647" t="str">
        <f>VLOOKUP(A912,'[1]Raw data'!$B:$Z,9,FALSE)</f>
        <v>cATS10+MVC+Feeder Carriage</v>
      </c>
      <c r="V912" s="567" t="str">
        <f t="shared" ref="V912:V914" si="170">IF(G912&amp;H912=T912&amp;U912,"OK","WRONG")</f>
        <v>WRONG</v>
      </c>
      <c r="W912" s="563" t="str">
        <f>VLOOKUP(A912,'[1]Raw data'!$B:$AG,32,FALSE)</f>
        <v>DAP SZ</v>
      </c>
      <c r="X912" s="647">
        <f>VLOOKUP(A912,'[1]Raw data'!$B:$BA,31,FALSE)</f>
        <v>44288</v>
      </c>
      <c r="Y912" s="647" t="str">
        <f>VLOOKUP(A912,'[1]Raw data'!$B:$AS,39,FALSE)</f>
        <v>Yes</v>
      </c>
      <c r="Z912" s="659"/>
      <c r="AA912" s="660"/>
      <c r="AB912" s="661"/>
      <c r="AC912" s="647" t="s">
        <v>678</v>
      </c>
      <c r="AD912" s="662"/>
      <c r="AE912" s="662"/>
      <c r="AF912" s="662"/>
      <c r="AG912" s="662"/>
      <c r="AH912" s="662"/>
      <c r="AI912" s="663"/>
      <c r="AN912" s="542"/>
      <c r="AO912" s="824" t="str">
        <f t="shared" si="159"/>
        <v>Yes</v>
      </c>
      <c r="AP912" s="259" t="str">
        <f t="shared" si="160"/>
        <v>JUL 21</v>
      </c>
      <c r="AQ912" s="542" t="str">
        <f t="shared" si="161"/>
        <v>有定金+有預留客戶</v>
      </c>
      <c r="AR912" s="259" t="str">
        <f t="shared" si="162"/>
        <v>Shipped_Stock</v>
      </c>
      <c r="AS912" s="259" t="str">
        <f t="shared" si="163"/>
        <v/>
      </c>
      <c r="AT912" s="259" t="str">
        <f t="shared" si="164"/>
        <v>杉川</v>
      </c>
      <c r="AU912" s="259" t="str">
        <f t="shared" si="165"/>
        <v>C49SZX20210096JL</v>
      </c>
      <c r="AV912" s="259" t="str">
        <f t="shared" si="166"/>
        <v>Jun-28</v>
      </c>
    </row>
    <row r="913" spans="1:48" hidden="1">
      <c r="A913" s="559">
        <v>1312</v>
      </c>
      <c r="B913" s="664" t="s">
        <v>1125</v>
      </c>
      <c r="C913" s="664" t="s">
        <v>281</v>
      </c>
      <c r="D913" s="645">
        <v>110402</v>
      </c>
      <c r="E913" s="736" t="s">
        <v>1686</v>
      </c>
      <c r="F913" s="647" t="s">
        <v>154</v>
      </c>
      <c r="G913" s="647" t="s">
        <v>24</v>
      </c>
      <c r="H913" s="647" t="s">
        <v>26</v>
      </c>
      <c r="I913" s="575" t="s">
        <v>1742</v>
      </c>
      <c r="J913" s="575">
        <v>1</v>
      </c>
      <c r="K913" s="647" t="s">
        <v>1732</v>
      </c>
      <c r="L913" s="657">
        <v>44375</v>
      </c>
      <c r="M913" s="665" t="s">
        <v>906</v>
      </c>
      <c r="N913" s="647" t="s">
        <v>97</v>
      </c>
      <c r="O913" s="575"/>
      <c r="P913" s="665" t="str">
        <f>VLOOKUP(A913,'[1]Raw data'!$B:$BA,23,FALSE)</f>
        <v>JPY</v>
      </c>
      <c r="Q913" s="647" t="str">
        <f>VLOOKUP(A913,'[1]Raw data'!$B:$Z,2,FALSE)</f>
        <v>C49SZX20210096JL</v>
      </c>
      <c r="R913" s="647" t="str">
        <f>VLOOKUP(A913,'[1]Raw data'!$B:$Z,3,FALSE)</f>
        <v>杉川</v>
      </c>
      <c r="S913" s="647" t="str">
        <f>VLOOKUP(A913,'[1]Raw data'!$B:$Z,4,FALSE)</f>
        <v>YSM20WR-2</v>
      </c>
      <c r="T913" s="647" t="str">
        <f>VLOOKUP(A913,'[1]Raw data'!$B:$Z,8,FALSE)</f>
        <v>L-&gt;R</v>
      </c>
      <c r="U913" s="647" t="str">
        <f>VLOOKUP(A913,'[1]Raw data'!$B:$Z,9,FALSE)</f>
        <v>MVC</v>
      </c>
      <c r="V913" s="567" t="str">
        <f t="shared" si="170"/>
        <v>WRONG</v>
      </c>
      <c r="W913" s="563" t="str">
        <f>VLOOKUP(A913,'[1]Raw data'!$B:$AG,32,FALSE)</f>
        <v>DAP SZ</v>
      </c>
      <c r="X913" s="647">
        <f>VLOOKUP(A913,'[1]Raw data'!$B:$BA,31,FALSE)</f>
        <v>44288</v>
      </c>
      <c r="Y913" s="647" t="str">
        <f>VLOOKUP(A913,'[1]Raw data'!$B:$AS,39,FALSE)</f>
        <v>Yes</v>
      </c>
      <c r="Z913" s="659"/>
      <c r="AA913" s="660"/>
      <c r="AB913" s="661"/>
      <c r="AC913" s="647" t="s">
        <v>678</v>
      </c>
      <c r="AD913" s="662"/>
      <c r="AE913" s="662"/>
      <c r="AF913" s="662"/>
      <c r="AG913" s="662"/>
      <c r="AH913" s="662"/>
      <c r="AI913" s="663"/>
      <c r="AN913" s="542"/>
      <c r="AO913" s="824" t="str">
        <f t="shared" si="159"/>
        <v>Yes</v>
      </c>
      <c r="AP913" s="259" t="str">
        <f t="shared" si="160"/>
        <v>JUL 21</v>
      </c>
      <c r="AQ913" s="542" t="str">
        <f t="shared" si="161"/>
        <v>有定金+有預留客戶</v>
      </c>
      <c r="AR913" s="259" t="str">
        <f t="shared" si="162"/>
        <v>Shipped_Stock</v>
      </c>
      <c r="AS913" s="259" t="str">
        <f t="shared" si="163"/>
        <v/>
      </c>
      <c r="AT913" s="259" t="str">
        <f t="shared" si="164"/>
        <v>杉川</v>
      </c>
      <c r="AU913" s="259" t="str">
        <f t="shared" si="165"/>
        <v>C49SZX20210096JL</v>
      </c>
      <c r="AV913" s="259" t="str">
        <f t="shared" si="166"/>
        <v>Jun-28</v>
      </c>
    </row>
    <row r="914" spans="1:48" hidden="1">
      <c r="A914" s="559">
        <v>1313</v>
      </c>
      <c r="B914" s="664" t="s">
        <v>1125</v>
      </c>
      <c r="C914" s="664" t="s">
        <v>281</v>
      </c>
      <c r="D914" s="645">
        <v>110402</v>
      </c>
      <c r="E914" s="736" t="s">
        <v>1686</v>
      </c>
      <c r="F914" s="647" t="s">
        <v>154</v>
      </c>
      <c r="G914" s="647" t="s">
        <v>24</v>
      </c>
      <c r="H914" s="647" t="s">
        <v>26</v>
      </c>
      <c r="I914" s="575" t="s">
        <v>1743</v>
      </c>
      <c r="J914" s="575">
        <v>1</v>
      </c>
      <c r="K914" s="647" t="s">
        <v>1732</v>
      </c>
      <c r="L914" s="657">
        <v>44375</v>
      </c>
      <c r="M914" s="665" t="s">
        <v>906</v>
      </c>
      <c r="N914" s="647" t="s">
        <v>97</v>
      </c>
      <c r="O914" s="575"/>
      <c r="P914" s="665" t="str">
        <f>VLOOKUP(A914,'[1]Raw data'!$B:$BA,23,FALSE)</f>
        <v>JPY</v>
      </c>
      <c r="Q914" s="647" t="str">
        <f>VLOOKUP(A914,'[1]Raw data'!$B:$Z,2,FALSE)</f>
        <v>C49SZX20210096JL</v>
      </c>
      <c r="R914" s="647" t="str">
        <f>VLOOKUP(A914,'[1]Raw data'!$B:$Z,3,FALSE)</f>
        <v>杉川</v>
      </c>
      <c r="S914" s="647" t="str">
        <f>VLOOKUP(A914,'[1]Raw data'!$B:$Z,4,FALSE)</f>
        <v>YSM20WR-2</v>
      </c>
      <c r="T914" s="647" t="str">
        <f>VLOOKUP(A914,'[1]Raw data'!$B:$Z,8,FALSE)</f>
        <v>L-&gt;R</v>
      </c>
      <c r="U914" s="647" t="str">
        <f>VLOOKUP(A914,'[1]Raw data'!$B:$Z,9,FALSE)</f>
        <v>MVC</v>
      </c>
      <c r="V914" s="567" t="str">
        <f t="shared" si="170"/>
        <v>WRONG</v>
      </c>
      <c r="W914" s="563" t="str">
        <f>VLOOKUP(A914,'[1]Raw data'!$B:$AG,32,FALSE)</f>
        <v>DAP SZ</v>
      </c>
      <c r="X914" s="647">
        <f>VLOOKUP(A914,'[1]Raw data'!$B:$BA,31,FALSE)</f>
        <v>44288</v>
      </c>
      <c r="Y914" s="647" t="str">
        <f>VLOOKUP(A914,'[1]Raw data'!$B:$AS,39,FALSE)</f>
        <v>Yes</v>
      </c>
      <c r="Z914" s="659"/>
      <c r="AA914" s="660"/>
      <c r="AB914" s="661"/>
      <c r="AC914" s="647" t="s">
        <v>678</v>
      </c>
      <c r="AD914" s="662"/>
      <c r="AE914" s="662"/>
      <c r="AF914" s="662"/>
      <c r="AG914" s="662"/>
      <c r="AH914" s="662"/>
      <c r="AI914" s="663"/>
      <c r="AN914" s="542"/>
      <c r="AO914" s="824" t="str">
        <f t="shared" si="159"/>
        <v>Yes</v>
      </c>
      <c r="AP914" s="259" t="str">
        <f t="shared" si="160"/>
        <v>JUL 21</v>
      </c>
      <c r="AQ914" s="542" t="str">
        <f t="shared" si="161"/>
        <v>有定金+有預留客戶</v>
      </c>
      <c r="AR914" s="259" t="str">
        <f t="shared" si="162"/>
        <v>Shipped_Stock</v>
      </c>
      <c r="AS914" s="259" t="str">
        <f t="shared" si="163"/>
        <v/>
      </c>
      <c r="AT914" s="259" t="str">
        <f t="shared" si="164"/>
        <v>杉川</v>
      </c>
      <c r="AU914" s="259" t="str">
        <f t="shared" si="165"/>
        <v>C49SZX20210096JL</v>
      </c>
      <c r="AV914" s="259" t="str">
        <f t="shared" si="166"/>
        <v>Jun-28</v>
      </c>
    </row>
    <row r="915" spans="1:48" hidden="1">
      <c r="A915" s="559">
        <v>1436</v>
      </c>
      <c r="B915" s="664" t="s">
        <v>1125</v>
      </c>
      <c r="C915" s="664" t="s">
        <v>15</v>
      </c>
      <c r="D915" s="645" t="s">
        <v>1744</v>
      </c>
      <c r="E915" s="744" t="s">
        <v>1745</v>
      </c>
      <c r="F915" s="647" t="s">
        <v>1746</v>
      </c>
      <c r="G915" s="647" t="s">
        <v>24</v>
      </c>
      <c r="H915" s="647" t="s">
        <v>26</v>
      </c>
      <c r="I915" s="575" t="s">
        <v>1747</v>
      </c>
      <c r="J915" s="575">
        <v>1</v>
      </c>
      <c r="K915" s="657" t="s">
        <v>1748</v>
      </c>
      <c r="L915" s="565">
        <v>44387</v>
      </c>
      <c r="M915" s="665" t="s">
        <v>906</v>
      </c>
      <c r="N915" s="647" t="s">
        <v>1337</v>
      </c>
      <c r="O915" s="575"/>
      <c r="P915" s="665" t="str">
        <f>VLOOKUP(A915,'[1]Raw data'!$B:$BA,23,FALSE)</f>
        <v>RMB</v>
      </c>
      <c r="Q915" s="647" t="str">
        <f>VLOOKUP(A915,'[1]Raw data'!$B:$Z,2,FALSE)</f>
        <v>C49SZX20210175SX</v>
      </c>
      <c r="R915" s="647" t="str">
        <f>VLOOKUP(A915,'[1]Raw data'!$B:$Z,3,FALSE)</f>
        <v>拓新伟业</v>
      </c>
      <c r="S915" s="647" t="str">
        <f>VLOOKUP(A915,'[1]Raw data'!$B:$Z,4,FALSE)</f>
        <v>YSM40R-4</v>
      </c>
      <c r="T915" s="647" t="str">
        <f>VLOOKUP(A915,'[1]Raw data'!$B:$Z,8,FALSE)</f>
        <v>L-&gt;R</v>
      </c>
      <c r="U915" s="647" t="str">
        <f>VLOOKUP(A915,'[1]Raw data'!$B:$Z,9,FALSE)</f>
        <v>No</v>
      </c>
      <c r="V915" s="567" t="str">
        <f>IF(G915&amp;H915=T915&amp;U915,"OK","WRONG")</f>
        <v>OK</v>
      </c>
      <c r="W915" s="563" t="str">
        <f>VLOOKUP(A915,'[1]Raw data'!$B:$AG,32,FALSE)</f>
        <v>DDP SZ</v>
      </c>
      <c r="X915" s="647">
        <f>VLOOKUP(A915,'[1]Raw data'!$B:$BA,31,FALSE)</f>
        <v>44370</v>
      </c>
      <c r="Y915" s="647" t="str">
        <f>VLOOKUP(A915,'[1]Raw data'!$B:$AS,39,FALSE)</f>
        <v>Yes</v>
      </c>
      <c r="Z915" s="659"/>
      <c r="AA915" s="660"/>
      <c r="AB915" s="661"/>
      <c r="AC915" s="647" t="s">
        <v>678</v>
      </c>
      <c r="AD915" s="662"/>
      <c r="AE915" s="662"/>
      <c r="AF915" s="662"/>
      <c r="AG915" s="662"/>
      <c r="AH915" s="662"/>
      <c r="AI915" s="663"/>
      <c r="AN915" s="542"/>
      <c r="AO915" s="824" t="str">
        <f t="shared" si="159"/>
        <v>Yes</v>
      </c>
      <c r="AP915" s="259" t="str">
        <f t="shared" si="160"/>
        <v>AUG 21</v>
      </c>
      <c r="AQ915" s="542" t="str">
        <f t="shared" si="161"/>
        <v>有定金+有預留客戶</v>
      </c>
      <c r="AR915" s="259" t="str">
        <f t="shared" si="162"/>
        <v>Shipped_Stock</v>
      </c>
      <c r="AS915" s="259" t="str">
        <f t="shared" si="163"/>
        <v/>
      </c>
      <c r="AT915" s="259" t="str">
        <f t="shared" si="164"/>
        <v>拓新伟业</v>
      </c>
      <c r="AU915" s="259" t="str">
        <f t="shared" si="165"/>
        <v>C49SZX20210175SX</v>
      </c>
      <c r="AV915" s="259" t="str">
        <f t="shared" si="166"/>
        <v>Jul-10</v>
      </c>
    </row>
    <row r="916" spans="1:48" hidden="1">
      <c r="A916" s="559">
        <v>1437</v>
      </c>
      <c r="B916" s="664" t="s">
        <v>1125</v>
      </c>
      <c r="C916" s="664" t="s">
        <v>15</v>
      </c>
      <c r="D916" s="645" t="s">
        <v>1744</v>
      </c>
      <c r="E916" s="744" t="s">
        <v>1745</v>
      </c>
      <c r="F916" s="647" t="s">
        <v>1746</v>
      </c>
      <c r="G916" s="647" t="s">
        <v>24</v>
      </c>
      <c r="H916" s="647" t="s">
        <v>26</v>
      </c>
      <c r="I916" s="575" t="s">
        <v>1749</v>
      </c>
      <c r="J916" s="575">
        <v>1</v>
      </c>
      <c r="K916" s="657" t="s">
        <v>1748</v>
      </c>
      <c r="L916" s="565">
        <v>44387</v>
      </c>
      <c r="M916" s="665" t="s">
        <v>906</v>
      </c>
      <c r="N916" s="647" t="s">
        <v>1337</v>
      </c>
      <c r="O916" s="575"/>
      <c r="P916" s="665" t="str">
        <f>VLOOKUP(A916,'[1]Raw data'!$B:$BA,23,FALSE)</f>
        <v>RMB</v>
      </c>
      <c r="Q916" s="647" t="str">
        <f>VLOOKUP(A916,'[1]Raw data'!$B:$Z,2,FALSE)</f>
        <v>C49SZX20210175SX</v>
      </c>
      <c r="R916" s="647" t="str">
        <f>VLOOKUP(A916,'[1]Raw data'!$B:$Z,3,FALSE)</f>
        <v>拓新伟业</v>
      </c>
      <c r="S916" s="647" t="str">
        <f>VLOOKUP(A916,'[1]Raw data'!$B:$Z,4,FALSE)</f>
        <v>YSM40R-4</v>
      </c>
      <c r="T916" s="647" t="str">
        <f>VLOOKUP(A916,'[1]Raw data'!$B:$Z,8,FALSE)</f>
        <v>L-&gt;R</v>
      </c>
      <c r="U916" s="647" t="str">
        <f>VLOOKUP(A916,'[1]Raw data'!$B:$Z,9,FALSE)</f>
        <v>No</v>
      </c>
      <c r="V916" s="567" t="str">
        <f>IF(G916&amp;H916=T916&amp;U916,"OK","WRONG")</f>
        <v>OK</v>
      </c>
      <c r="W916" s="563" t="str">
        <f>VLOOKUP(A916,'[1]Raw data'!$B:$AG,32,FALSE)</f>
        <v>DDP SZ</v>
      </c>
      <c r="X916" s="647">
        <f>VLOOKUP(A916,'[1]Raw data'!$B:$BA,31,FALSE)</f>
        <v>44370</v>
      </c>
      <c r="Y916" s="647" t="str">
        <f>VLOOKUP(A916,'[1]Raw data'!$B:$AS,39,FALSE)</f>
        <v>Yes</v>
      </c>
      <c r="Z916" s="659"/>
      <c r="AA916" s="660"/>
      <c r="AB916" s="661"/>
      <c r="AC916" s="647" t="s">
        <v>678</v>
      </c>
      <c r="AD916" s="662"/>
      <c r="AE916" s="662"/>
      <c r="AF916" s="662"/>
      <c r="AG916" s="662"/>
      <c r="AH916" s="662"/>
      <c r="AI916" s="663"/>
      <c r="AN916" s="542"/>
      <c r="AO916" s="824" t="str">
        <f t="shared" si="159"/>
        <v>Yes</v>
      </c>
      <c r="AP916" s="259" t="str">
        <f t="shared" si="160"/>
        <v>AUG 21</v>
      </c>
      <c r="AQ916" s="542" t="str">
        <f t="shared" si="161"/>
        <v>有定金+有預留客戶</v>
      </c>
      <c r="AR916" s="259" t="str">
        <f t="shared" si="162"/>
        <v>Shipped_Stock</v>
      </c>
      <c r="AS916" s="259" t="str">
        <f t="shared" si="163"/>
        <v/>
      </c>
      <c r="AT916" s="259" t="str">
        <f t="shared" si="164"/>
        <v>拓新伟业</v>
      </c>
      <c r="AU916" s="259" t="str">
        <f t="shared" si="165"/>
        <v>C49SZX20210175SX</v>
      </c>
      <c r="AV916" s="259" t="str">
        <f t="shared" si="166"/>
        <v>Jul-10</v>
      </c>
    </row>
    <row r="917" spans="1:48" hidden="1">
      <c r="A917" s="559">
        <v>1438</v>
      </c>
      <c r="B917" s="664" t="s">
        <v>1125</v>
      </c>
      <c r="C917" s="664" t="s">
        <v>15</v>
      </c>
      <c r="D917" s="645" t="s">
        <v>1744</v>
      </c>
      <c r="E917" s="744" t="s">
        <v>1745</v>
      </c>
      <c r="F917" s="647" t="s">
        <v>1746</v>
      </c>
      <c r="G917" s="647" t="s">
        <v>24</v>
      </c>
      <c r="H917" s="647" t="s">
        <v>26</v>
      </c>
      <c r="I917" s="575" t="s">
        <v>1750</v>
      </c>
      <c r="J917" s="575">
        <v>1</v>
      </c>
      <c r="K917" s="657" t="s">
        <v>1748</v>
      </c>
      <c r="L917" s="565">
        <v>44387</v>
      </c>
      <c r="M917" s="665" t="s">
        <v>906</v>
      </c>
      <c r="N917" s="647" t="s">
        <v>1337</v>
      </c>
      <c r="O917" s="575"/>
      <c r="P917" s="665" t="str">
        <f>VLOOKUP(A917,'[1]Raw data'!$B:$BA,23,FALSE)</f>
        <v>RMB</v>
      </c>
      <c r="Q917" s="647" t="str">
        <f>VLOOKUP(A917,'[1]Raw data'!$B:$Z,2,FALSE)</f>
        <v>C49SZX20210175SX</v>
      </c>
      <c r="R917" s="647" t="str">
        <f>VLOOKUP(A917,'[1]Raw data'!$B:$Z,3,FALSE)</f>
        <v>拓新伟业</v>
      </c>
      <c r="S917" s="647" t="str">
        <f>VLOOKUP(A917,'[1]Raw data'!$B:$Z,4,FALSE)</f>
        <v>YSM40R-4</v>
      </c>
      <c r="T917" s="647" t="str">
        <f>VLOOKUP(A917,'[1]Raw data'!$B:$Z,8,FALSE)</f>
        <v>L-&gt;R</v>
      </c>
      <c r="U917" s="647" t="str">
        <f>VLOOKUP(A917,'[1]Raw data'!$B:$Z,9,FALSE)</f>
        <v>No</v>
      </c>
      <c r="V917" s="567" t="str">
        <f>IF(G917&amp;H917=T917&amp;U917,"OK","WRONG")</f>
        <v>OK</v>
      </c>
      <c r="W917" s="563" t="str">
        <f>VLOOKUP(A917,'[1]Raw data'!$B:$AG,32,FALSE)</f>
        <v>DDP SZ</v>
      </c>
      <c r="X917" s="647">
        <f>VLOOKUP(A917,'[1]Raw data'!$B:$BA,31,FALSE)</f>
        <v>44370</v>
      </c>
      <c r="Y917" s="647" t="str">
        <f>VLOOKUP(A917,'[1]Raw data'!$B:$AS,39,FALSE)</f>
        <v>Yes</v>
      </c>
      <c r="Z917" s="659"/>
      <c r="AA917" s="660"/>
      <c r="AB917" s="661"/>
      <c r="AC917" s="647" t="s">
        <v>678</v>
      </c>
      <c r="AD917" s="662"/>
      <c r="AE917" s="662"/>
      <c r="AF917" s="662"/>
      <c r="AG917" s="662"/>
      <c r="AH917" s="662"/>
      <c r="AI917" s="663"/>
      <c r="AN917" s="542"/>
      <c r="AO917" s="824" t="str">
        <f t="shared" si="159"/>
        <v>Yes</v>
      </c>
      <c r="AP917" s="259" t="str">
        <f t="shared" si="160"/>
        <v>AUG 21</v>
      </c>
      <c r="AQ917" s="542" t="str">
        <f t="shared" si="161"/>
        <v>有定金+有預留客戶</v>
      </c>
      <c r="AR917" s="259" t="str">
        <f t="shared" si="162"/>
        <v>Shipped_Stock</v>
      </c>
      <c r="AS917" s="259" t="str">
        <f t="shared" si="163"/>
        <v/>
      </c>
      <c r="AT917" s="259" t="str">
        <f t="shared" si="164"/>
        <v>拓新伟业</v>
      </c>
      <c r="AU917" s="259" t="str">
        <f t="shared" si="165"/>
        <v>C49SZX20210175SX</v>
      </c>
      <c r="AV917" s="259" t="str">
        <f t="shared" si="166"/>
        <v>Jul-10</v>
      </c>
    </row>
    <row r="918" spans="1:48" hidden="1">
      <c r="A918" s="559">
        <v>1259</v>
      </c>
      <c r="B918" s="664" t="s">
        <v>1125</v>
      </c>
      <c r="C918" s="664" t="s">
        <v>281</v>
      </c>
      <c r="D918" s="645">
        <v>110550</v>
      </c>
      <c r="E918" s="748" t="s">
        <v>1751</v>
      </c>
      <c r="F918" s="647" t="s">
        <v>17</v>
      </c>
      <c r="G918" s="647" t="s">
        <v>18</v>
      </c>
      <c r="H918" s="647" t="s">
        <v>27</v>
      </c>
      <c r="I918" s="575" t="s">
        <v>1752</v>
      </c>
      <c r="J918" s="575">
        <v>1</v>
      </c>
      <c r="K918" s="647" t="s">
        <v>78</v>
      </c>
      <c r="L918" s="749" t="s">
        <v>3964</v>
      </c>
      <c r="M918" s="665" t="s">
        <v>906</v>
      </c>
      <c r="N918" s="647" t="s">
        <v>97</v>
      </c>
      <c r="O918" s="575"/>
      <c r="P918" s="665" t="str">
        <f>VLOOKUP(A918,'[1]Raw data'!$B:$BA,23,FALSE)</f>
        <v>JPY</v>
      </c>
      <c r="Q918" s="647" t="str">
        <f>VLOOKUP(A918,'[1]Raw data'!$B:$Z,2,FALSE)</f>
        <v>C49SZX20210081MZ</v>
      </c>
      <c r="R918" s="647" t="str">
        <f>VLOOKUP(A918,'[1]Raw data'!$B:$Z,3,FALSE)</f>
        <v>崧盛</v>
      </c>
      <c r="S918" s="647" t="str">
        <f>VLOOKUP(A918,'[1]Raw data'!$B:$Z,4,FALSE)</f>
        <v>YSM10</v>
      </c>
      <c r="T918" s="647" t="str">
        <f>VLOOKUP(A918,'[1]Raw data'!$B:$Z,8,FALSE)</f>
        <v>L-&gt;R</v>
      </c>
      <c r="U918" s="647" t="str">
        <f>VLOOKUP(A918,'[1]Raw data'!$B:$Z,9,FALSE)</f>
        <v>MVC</v>
      </c>
      <c r="V918" s="567" t="str">
        <f>IF(G918&amp;H918=T918&amp;U918,"OK","WRONG")</f>
        <v>WRONG</v>
      </c>
      <c r="W918" s="563" t="str">
        <f>VLOOKUP(A918,'[1]Raw data'!$B:$AG,32,FALSE)</f>
        <v>CIF HK</v>
      </c>
      <c r="X918" s="647">
        <f>VLOOKUP(A918,'[1]Raw data'!$B:$BA,31,FALSE)</f>
        <v>44268</v>
      </c>
      <c r="Y918" s="647" t="str">
        <f>VLOOKUP(A918,'[1]Raw data'!$B:$AS,39,FALSE)</f>
        <v>Yes</v>
      </c>
      <c r="Z918" s="659"/>
      <c r="AA918" s="660"/>
      <c r="AB918" s="661"/>
      <c r="AC918" s="647" t="s">
        <v>1753</v>
      </c>
      <c r="AD918" s="662"/>
      <c r="AE918" s="662"/>
      <c r="AF918" s="662"/>
      <c r="AG918" s="662"/>
      <c r="AH918" s="662"/>
      <c r="AI918" s="663"/>
      <c r="AN918" s="542"/>
      <c r="AO918" s="824" t="str">
        <f t="shared" si="159"/>
        <v>Yes</v>
      </c>
      <c r="AP918" s="259" t="str">
        <f t="shared" si="160"/>
        <v>JUL 21</v>
      </c>
      <c r="AQ918" s="542" t="str">
        <f t="shared" si="161"/>
        <v>有定金+有預留客戶</v>
      </c>
      <c r="AR918" s="259" t="str">
        <f t="shared" si="162"/>
        <v>Shipped_Stock</v>
      </c>
      <c r="AS918" s="259" t="str">
        <f t="shared" si="163"/>
        <v/>
      </c>
      <c r="AT918" s="259" t="str">
        <f t="shared" si="164"/>
        <v>崧盛</v>
      </c>
      <c r="AU918" s="259" t="str">
        <f t="shared" si="165"/>
        <v>C49SZX20210081MZ</v>
      </c>
      <c r="AV918" s="259" t="str">
        <f t="shared" si="166"/>
        <v>2021-7-21富洛HK仓库</v>
      </c>
    </row>
    <row r="919" spans="1:48" hidden="1">
      <c r="A919" s="559">
        <v>1250</v>
      </c>
      <c r="B919" s="664" t="s">
        <v>1125</v>
      </c>
      <c r="C919" s="664" t="s">
        <v>281</v>
      </c>
      <c r="D919" s="645">
        <v>110550</v>
      </c>
      <c r="E919" s="748" t="s">
        <v>1751</v>
      </c>
      <c r="F919" s="647" t="s">
        <v>17</v>
      </c>
      <c r="G919" s="647" t="s">
        <v>18</v>
      </c>
      <c r="H919" s="647" t="s">
        <v>27</v>
      </c>
      <c r="I919" s="575" t="s">
        <v>1754</v>
      </c>
      <c r="J919" s="575">
        <v>1</v>
      </c>
      <c r="K919" s="647" t="s">
        <v>78</v>
      </c>
      <c r="L919" s="749" t="s">
        <v>3964</v>
      </c>
      <c r="M919" s="665" t="s">
        <v>906</v>
      </c>
      <c r="N919" s="647" t="s">
        <v>97</v>
      </c>
      <c r="O919" s="575"/>
      <c r="P919" s="665" t="str">
        <f>VLOOKUP(A919,'[1]Raw data'!$B:$BA,23,FALSE)</f>
        <v>JPY</v>
      </c>
      <c r="Q919" s="647" t="str">
        <f>VLOOKUP(A919,'[1]Raw data'!$B:$Z,2,FALSE)</f>
        <v>C49SZX20210071SS</v>
      </c>
      <c r="R919" s="647" t="str">
        <f>VLOOKUP(A919,'[1]Raw data'!$B:$Z,3,FALSE)</f>
        <v>泓凯</v>
      </c>
      <c r="S919" s="647" t="str">
        <f>VLOOKUP(A919,'[1]Raw data'!$B:$Z,4,FALSE)</f>
        <v>YSM10</v>
      </c>
      <c r="T919" s="647" t="str">
        <f>VLOOKUP(A919,'[1]Raw data'!$B:$Z,8,FALSE)</f>
        <v>L-&gt;R</v>
      </c>
      <c r="U919" s="647" t="str">
        <f>VLOOKUP(A919,'[1]Raw data'!$B:$Z,9,FALSE)</f>
        <v>MVC</v>
      </c>
      <c r="V919" s="567" t="str">
        <f t="shared" ref="V919" si="171">IF(G919&amp;H919=T919&amp;U919,"OK","WRONG")</f>
        <v>WRONG</v>
      </c>
      <c r="W919" s="563" t="str">
        <f>VLOOKUP(A919,'[1]Raw data'!$B:$AG,32,FALSE)</f>
        <v>DAP SZ</v>
      </c>
      <c r="X919" s="647">
        <f>VLOOKUP(A919,'[1]Raw data'!$B:$BA,31,FALSE)</f>
        <v>44261</v>
      </c>
      <c r="Y919" s="647" t="str">
        <f>VLOOKUP(A919,'[1]Raw data'!$B:$AS,39,FALSE)</f>
        <v>Yes</v>
      </c>
      <c r="Z919" s="659"/>
      <c r="AA919" s="660"/>
      <c r="AB919" s="661"/>
      <c r="AC919" s="647" t="s">
        <v>1726</v>
      </c>
      <c r="AD919" s="662"/>
      <c r="AE919" s="662"/>
      <c r="AF919" s="662"/>
      <c r="AG919" s="662"/>
      <c r="AH919" s="662"/>
      <c r="AI919" s="663"/>
      <c r="AN919" s="542"/>
      <c r="AO919" s="824" t="str">
        <f t="shared" si="159"/>
        <v>Yes</v>
      </c>
      <c r="AP919" s="259" t="str">
        <f t="shared" si="160"/>
        <v>JUL 21</v>
      </c>
      <c r="AQ919" s="542" t="str">
        <f t="shared" si="161"/>
        <v>有定金+有預留客戶</v>
      </c>
      <c r="AR919" s="259" t="str">
        <f t="shared" si="162"/>
        <v>Shipped_Stock</v>
      </c>
      <c r="AS919" s="259" t="str">
        <f t="shared" si="163"/>
        <v/>
      </c>
      <c r="AT919" s="259" t="str">
        <f t="shared" si="164"/>
        <v>泓凯</v>
      </c>
      <c r="AU919" s="259" t="str">
        <f t="shared" si="165"/>
        <v>C49SZX20210071SS</v>
      </c>
      <c r="AV919" s="259" t="str">
        <f t="shared" si="166"/>
        <v>2021-7-21富洛HK仓库</v>
      </c>
    </row>
    <row r="920" spans="1:48" hidden="1">
      <c r="A920" s="559">
        <v>929</v>
      </c>
      <c r="B920" s="664" t="s">
        <v>1125</v>
      </c>
      <c r="C920" s="664" t="s">
        <v>281</v>
      </c>
      <c r="D920" s="645">
        <v>110441</v>
      </c>
      <c r="E920" s="736" t="s">
        <v>1691</v>
      </c>
      <c r="F920" s="647" t="s">
        <v>58</v>
      </c>
      <c r="G920" s="647" t="s">
        <v>18</v>
      </c>
      <c r="H920" s="647" t="s">
        <v>26</v>
      </c>
      <c r="I920" s="575" t="s">
        <v>1755</v>
      </c>
      <c r="J920" s="575">
        <v>1</v>
      </c>
      <c r="K920" s="647" t="s">
        <v>85</v>
      </c>
      <c r="L920" s="657">
        <v>44397</v>
      </c>
      <c r="M920" s="665" t="s">
        <v>906</v>
      </c>
      <c r="N920" s="647" t="s">
        <v>1337</v>
      </c>
      <c r="O920" s="575"/>
      <c r="P920" s="665" t="str">
        <f>VLOOKUP(A920,'[1]Raw data'!$B:$BA,23,FALSE)</f>
        <v>JPY</v>
      </c>
      <c r="Q920" s="647" t="str">
        <f>VLOOKUP(A920,'[1]Raw data'!$B:$Z,2,FALSE)</f>
        <v>C49SZX20200210RSX</v>
      </c>
      <c r="R920" s="647" t="str">
        <f>VLOOKUP(A920,'[1]Raw data'!$B:$Z,3,FALSE)</f>
        <v>众鑫科</v>
      </c>
      <c r="S920" s="647" t="str">
        <f>VLOOKUP(A920,'[1]Raw data'!$B:$Z,4,FALSE)</f>
        <v>YSM20R-2</v>
      </c>
      <c r="T920" s="647" t="str">
        <f>VLOOKUP(A920,'[1]Raw data'!$B:$Z,8,FALSE)</f>
        <v>R-&gt;L</v>
      </c>
      <c r="U920" s="647" t="str">
        <f>VLOOKUP(A920,'[1]Raw data'!$B:$Z,9,FALSE)</f>
        <v>No</v>
      </c>
      <c r="V920" s="567" t="str">
        <f t="shared" ref="V920:V926" si="172">IF(G920&amp;H920=T920&amp;U920,"OK","WRONG")</f>
        <v>OK</v>
      </c>
      <c r="W920" s="563" t="str">
        <f>VLOOKUP(A920,'[1]Raw data'!$B:$AG,32,FALSE)</f>
        <v>DAP HZ</v>
      </c>
      <c r="X920" s="647">
        <f>VLOOKUP(A920,'[1]Raw data'!$B:$BA,31,FALSE)</f>
        <v>44147</v>
      </c>
      <c r="Y920" s="647" t="str">
        <f>VLOOKUP(A920,'[1]Raw data'!$B:$AS,39,FALSE)</f>
        <v>Yes</v>
      </c>
      <c r="Z920" s="659"/>
      <c r="AA920" s="660"/>
      <c r="AB920" s="661"/>
      <c r="AC920" s="647" t="s">
        <v>1756</v>
      </c>
      <c r="AD920" s="662">
        <v>301</v>
      </c>
      <c r="AE920" s="662">
        <v>10</v>
      </c>
      <c r="AF920" s="662">
        <v>303</v>
      </c>
      <c r="AG920" s="662">
        <v>10</v>
      </c>
      <c r="AH920" s="662"/>
      <c r="AI920" s="663"/>
      <c r="AN920" s="542"/>
      <c r="AO920" s="824" t="str">
        <f t="shared" si="159"/>
        <v>Yes</v>
      </c>
      <c r="AP920" s="259" t="str">
        <f t="shared" si="160"/>
        <v>AUG 21</v>
      </c>
      <c r="AQ920" s="542" t="str">
        <f t="shared" si="161"/>
        <v>有定金+有預留客戶</v>
      </c>
      <c r="AR920" s="259" t="str">
        <f t="shared" si="162"/>
        <v>Shipped_Stock</v>
      </c>
      <c r="AS920" s="259" t="str">
        <f t="shared" si="163"/>
        <v/>
      </c>
      <c r="AT920" s="259" t="str">
        <f t="shared" si="164"/>
        <v>众鑫科</v>
      </c>
      <c r="AU920" s="259" t="str">
        <f t="shared" si="165"/>
        <v>C49SZX20200210RSX</v>
      </c>
      <c r="AV920" s="259" t="str">
        <f t="shared" si="166"/>
        <v>Jul-20</v>
      </c>
    </row>
    <row r="921" spans="1:48" hidden="1">
      <c r="A921" s="559">
        <v>1398</v>
      </c>
      <c r="B921" s="664" t="s">
        <v>1125</v>
      </c>
      <c r="C921" s="664" t="s">
        <v>281</v>
      </c>
      <c r="D921" s="645">
        <v>110441</v>
      </c>
      <c r="E921" s="736" t="s">
        <v>1691</v>
      </c>
      <c r="F921" s="647" t="s">
        <v>58</v>
      </c>
      <c r="G921" s="647" t="s">
        <v>24</v>
      </c>
      <c r="H921" s="647" t="s">
        <v>307</v>
      </c>
      <c r="I921" s="575" t="s">
        <v>1757</v>
      </c>
      <c r="J921" s="575">
        <v>1</v>
      </c>
      <c r="K921" s="647" t="s">
        <v>1732</v>
      </c>
      <c r="L921" s="657">
        <v>44397</v>
      </c>
      <c r="M921" s="665" t="s">
        <v>906</v>
      </c>
      <c r="N921" s="647" t="s">
        <v>97</v>
      </c>
      <c r="O921" s="575"/>
      <c r="P921" s="665" t="str">
        <f>VLOOKUP(A921,'[1]Raw data'!$B:$BA,23,FALSE)</f>
        <v>JPY</v>
      </c>
      <c r="Q921" s="647" t="str">
        <f>VLOOKUP(A921,'[1]Raw data'!$B:$Z,2,FALSE)</f>
        <v>C49SZX20210144VG</v>
      </c>
      <c r="R921" s="647" t="str">
        <f>VLOOKUP(A921,'[1]Raw data'!$B:$Z,3,FALSE)</f>
        <v>鑫华锋</v>
      </c>
      <c r="S921" s="647" t="str">
        <f>VLOOKUP(A921,'[1]Raw data'!$B:$Z,4,FALSE)</f>
        <v>YSM20R-2</v>
      </c>
      <c r="T921" s="647" t="str">
        <f>VLOOKUP(A921,'[1]Raw data'!$B:$Z,8,FALSE)</f>
        <v>L-&gt;R</v>
      </c>
      <c r="U921" s="647" t="str">
        <f>VLOOKUP(A921,'[1]Raw data'!$B:$Z,9,FALSE)</f>
        <v>No</v>
      </c>
      <c r="V921" s="567" t="str">
        <f t="shared" si="172"/>
        <v>OK</v>
      </c>
      <c r="W921" s="563" t="str">
        <f>VLOOKUP(A921,'[1]Raw data'!$B:$AG,32,FALSE)</f>
        <v>DAP SZ</v>
      </c>
      <c r="X921" s="647">
        <f>VLOOKUP(A921,'[1]Raw data'!$B:$BA,31,FALSE)</f>
        <v>44344</v>
      </c>
      <c r="Y921" s="647" t="str">
        <f>VLOOKUP(A921,'[1]Raw data'!$B:$AS,39,FALSE)</f>
        <v>Yes</v>
      </c>
      <c r="Z921" s="659"/>
      <c r="AA921" s="660"/>
      <c r="AB921" s="661"/>
      <c r="AC921" s="647" t="s">
        <v>1518</v>
      </c>
      <c r="AD921" s="662">
        <v>312</v>
      </c>
      <c r="AE921" s="662">
        <v>10</v>
      </c>
      <c r="AF921" s="662">
        <v>301</v>
      </c>
      <c r="AG921" s="662">
        <v>10</v>
      </c>
      <c r="AH921" s="662"/>
      <c r="AI921" s="663"/>
      <c r="AN921" s="542"/>
      <c r="AO921" s="824" t="str">
        <f t="shared" si="159"/>
        <v>Yes</v>
      </c>
      <c r="AP921" s="259" t="str">
        <f t="shared" si="160"/>
        <v>JUL 21</v>
      </c>
      <c r="AQ921" s="542" t="str">
        <f t="shared" si="161"/>
        <v>有定金+有預留客戶</v>
      </c>
      <c r="AR921" s="259" t="str">
        <f t="shared" si="162"/>
        <v>Shipped_Stock</v>
      </c>
      <c r="AS921" s="259" t="str">
        <f t="shared" si="163"/>
        <v/>
      </c>
      <c r="AT921" s="259" t="str">
        <f t="shared" si="164"/>
        <v>鑫华锋</v>
      </c>
      <c r="AU921" s="259" t="str">
        <f t="shared" si="165"/>
        <v>C49SZX20210144VG</v>
      </c>
      <c r="AV921" s="259" t="str">
        <f t="shared" si="166"/>
        <v>Jul-20</v>
      </c>
    </row>
    <row r="922" spans="1:48" hidden="1">
      <c r="A922" s="559">
        <v>1379</v>
      </c>
      <c r="B922" s="664" t="s">
        <v>1125</v>
      </c>
      <c r="C922" s="664" t="s">
        <v>281</v>
      </c>
      <c r="D922" s="645">
        <v>110441</v>
      </c>
      <c r="E922" s="736" t="s">
        <v>1691</v>
      </c>
      <c r="F922" s="647" t="s">
        <v>58</v>
      </c>
      <c r="G922" s="647" t="s">
        <v>24</v>
      </c>
      <c r="H922" s="647" t="s">
        <v>26</v>
      </c>
      <c r="I922" s="575" t="s">
        <v>1758</v>
      </c>
      <c r="J922" s="575">
        <v>1</v>
      </c>
      <c r="K922" s="647" t="s">
        <v>1732</v>
      </c>
      <c r="L922" s="657">
        <v>44397</v>
      </c>
      <c r="M922" s="665" t="s">
        <v>906</v>
      </c>
      <c r="N922" s="647" t="s">
        <v>1337</v>
      </c>
      <c r="O922" s="575"/>
      <c r="P922" s="665" t="str">
        <f>VLOOKUP(A922,'[1]Raw data'!$B:$BA,23,FALSE)</f>
        <v>JPY</v>
      </c>
      <c r="Q922" s="647" t="str">
        <f>VLOOKUP(A922,'[1]Raw data'!$B:$Z,2,FALSE)</f>
        <v>C49SZX20210154MZ</v>
      </c>
      <c r="R922" s="647" t="str">
        <f>VLOOKUP(A922,'[1]Raw data'!$B:$Z,3,FALSE)</f>
        <v>巨能</v>
      </c>
      <c r="S922" s="647" t="str">
        <f>VLOOKUP(A922,'[1]Raw data'!$B:$Z,4,FALSE)</f>
        <v>YSM20R-2</v>
      </c>
      <c r="T922" s="647" t="str">
        <f>VLOOKUP(A922,'[1]Raw data'!$B:$Z,8,FALSE)</f>
        <v>L-&gt;R</v>
      </c>
      <c r="U922" s="647" t="str">
        <f>VLOOKUP(A922,'[1]Raw data'!$B:$Z,9,FALSE)</f>
        <v>No</v>
      </c>
      <c r="V922" s="567" t="str">
        <f t="shared" si="172"/>
        <v>OK</v>
      </c>
      <c r="W922" s="563" t="str">
        <f>VLOOKUP(A922,'[1]Raw data'!$B:$AG,32,FALSE)</f>
        <v>DAP SZ</v>
      </c>
      <c r="X922" s="647">
        <f>VLOOKUP(A922,'[1]Raw data'!$B:$BA,31,FALSE)</f>
        <v>44337</v>
      </c>
      <c r="Y922" s="647" t="str">
        <f>VLOOKUP(A922,'[1]Raw data'!$B:$AS,39,FALSE)</f>
        <v>Yes</v>
      </c>
      <c r="Z922" s="659"/>
      <c r="AA922" s="660"/>
      <c r="AB922" s="661"/>
      <c r="AC922" s="647" t="s">
        <v>1647</v>
      </c>
      <c r="AD922" s="662">
        <v>312</v>
      </c>
      <c r="AE922" s="662">
        <v>10</v>
      </c>
      <c r="AF922" s="662">
        <v>301</v>
      </c>
      <c r="AG922" s="662">
        <v>10</v>
      </c>
      <c r="AH922" s="662"/>
      <c r="AI922" s="663"/>
      <c r="AN922" s="542"/>
      <c r="AO922" s="824" t="str">
        <f t="shared" si="159"/>
        <v>Yes</v>
      </c>
      <c r="AP922" s="259" t="str">
        <f t="shared" si="160"/>
        <v>AUG 21</v>
      </c>
      <c r="AQ922" s="542" t="str">
        <f t="shared" si="161"/>
        <v>有定金+有預留客戶</v>
      </c>
      <c r="AR922" s="259" t="str">
        <f t="shared" si="162"/>
        <v>Shipped_Stock</v>
      </c>
      <c r="AS922" s="259" t="str">
        <f t="shared" si="163"/>
        <v/>
      </c>
      <c r="AT922" s="259" t="str">
        <f t="shared" si="164"/>
        <v>巨能</v>
      </c>
      <c r="AU922" s="259" t="str">
        <f t="shared" si="165"/>
        <v>C49SZX20210154MZ</v>
      </c>
      <c r="AV922" s="259" t="str">
        <f t="shared" si="166"/>
        <v>Jul-20</v>
      </c>
    </row>
    <row r="923" spans="1:48" hidden="1">
      <c r="A923" s="559">
        <v>1260</v>
      </c>
      <c r="B923" s="664" t="s">
        <v>1125</v>
      </c>
      <c r="C923" s="664" t="s">
        <v>281</v>
      </c>
      <c r="D923" s="645">
        <v>110441</v>
      </c>
      <c r="E923" s="736" t="s">
        <v>1691</v>
      </c>
      <c r="F923" s="647" t="s">
        <v>58</v>
      </c>
      <c r="G923" s="647" t="s">
        <v>24</v>
      </c>
      <c r="H923" s="647" t="s">
        <v>26</v>
      </c>
      <c r="I923" s="575" t="s">
        <v>1759</v>
      </c>
      <c r="J923" s="575">
        <v>1</v>
      </c>
      <c r="K923" s="647" t="s">
        <v>1732</v>
      </c>
      <c r="L923" s="657">
        <v>44397</v>
      </c>
      <c r="M923" s="665" t="s">
        <v>906</v>
      </c>
      <c r="N923" s="647" t="s">
        <v>97</v>
      </c>
      <c r="O923" s="575"/>
      <c r="P923" s="665" t="str">
        <f>VLOOKUP(A923,'[1]Raw data'!$B:$BA,23,FALSE)</f>
        <v>JPY</v>
      </c>
      <c r="Q923" s="647" t="str">
        <f>VLOOKUP(A923,'[1]Raw data'!$B:$Z,2,FALSE)</f>
        <v>C49SZX20210082MZ</v>
      </c>
      <c r="R923" s="647" t="str">
        <f>VLOOKUP(A923,'[1]Raw data'!$B:$Z,3,FALSE)</f>
        <v>崧盛</v>
      </c>
      <c r="S923" s="647" t="str">
        <f>VLOOKUP(A923,'[1]Raw data'!$B:$Z,4,FALSE)</f>
        <v>YSM20R-2</v>
      </c>
      <c r="T923" s="647" t="str">
        <f>VLOOKUP(A923,'[1]Raw data'!$B:$Z,8,FALSE)</f>
        <v>L-&gt;R</v>
      </c>
      <c r="U923" s="647" t="str">
        <f>VLOOKUP(A923,'[1]Raw data'!$B:$Z,9,FALSE)</f>
        <v>No</v>
      </c>
      <c r="V923" s="567" t="str">
        <f t="shared" si="172"/>
        <v>OK</v>
      </c>
      <c r="W923" s="563" t="str">
        <f>VLOOKUP(A923,'[1]Raw data'!$B:$AG,32,FALSE)</f>
        <v>CIF HK</v>
      </c>
      <c r="X923" s="647">
        <f>VLOOKUP(A923,'[1]Raw data'!$B:$BA,31,FALSE)</f>
        <v>44268</v>
      </c>
      <c r="Y923" s="647" t="str">
        <f>VLOOKUP(A923,'[1]Raw data'!$B:$AS,39,FALSE)</f>
        <v>Yes</v>
      </c>
      <c r="Z923" s="659"/>
      <c r="AA923" s="660"/>
      <c r="AB923" s="661"/>
      <c r="AC923" s="647" t="s">
        <v>1753</v>
      </c>
      <c r="AD923" s="662">
        <v>311</v>
      </c>
      <c r="AE923" s="662">
        <v>10</v>
      </c>
      <c r="AF923" s="662">
        <v>301</v>
      </c>
      <c r="AG923" s="662">
        <v>10</v>
      </c>
      <c r="AH923" s="662"/>
      <c r="AI923" s="663"/>
      <c r="AN923" s="542"/>
      <c r="AO923" s="824" t="str">
        <f t="shared" si="159"/>
        <v>Yes</v>
      </c>
      <c r="AP923" s="259" t="str">
        <f t="shared" si="160"/>
        <v>JUL 21</v>
      </c>
      <c r="AQ923" s="542" t="str">
        <f t="shared" si="161"/>
        <v>有定金+有預留客戶</v>
      </c>
      <c r="AR923" s="259" t="str">
        <f t="shared" si="162"/>
        <v>Shipped_Stock</v>
      </c>
      <c r="AS923" s="259" t="str">
        <f t="shared" si="163"/>
        <v/>
      </c>
      <c r="AT923" s="259" t="str">
        <f t="shared" si="164"/>
        <v>崧盛</v>
      </c>
      <c r="AU923" s="259" t="str">
        <f t="shared" si="165"/>
        <v>C49SZX20210082MZ</v>
      </c>
      <c r="AV923" s="259" t="str">
        <f t="shared" si="166"/>
        <v>Jul-20</v>
      </c>
    </row>
    <row r="924" spans="1:48" hidden="1">
      <c r="A924" s="559">
        <v>1261</v>
      </c>
      <c r="B924" s="664" t="s">
        <v>1125</v>
      </c>
      <c r="C924" s="664" t="s">
        <v>281</v>
      </c>
      <c r="D924" s="645">
        <v>110441</v>
      </c>
      <c r="E924" s="736" t="s">
        <v>1691</v>
      </c>
      <c r="F924" s="647" t="s">
        <v>58</v>
      </c>
      <c r="G924" s="647" t="s">
        <v>24</v>
      </c>
      <c r="H924" s="647" t="s">
        <v>26</v>
      </c>
      <c r="I924" s="575" t="s">
        <v>1760</v>
      </c>
      <c r="J924" s="575">
        <v>1</v>
      </c>
      <c r="K924" s="647" t="s">
        <v>1732</v>
      </c>
      <c r="L924" s="657">
        <v>44397</v>
      </c>
      <c r="M924" s="665" t="s">
        <v>906</v>
      </c>
      <c r="N924" s="647" t="s">
        <v>97</v>
      </c>
      <c r="O924" s="575"/>
      <c r="P924" s="665" t="str">
        <f>VLOOKUP(A924,'[1]Raw data'!$B:$BA,23,FALSE)</f>
        <v>JPY</v>
      </c>
      <c r="Q924" s="647" t="str">
        <f>VLOOKUP(A924,'[1]Raw data'!$B:$Z,2,FALSE)</f>
        <v>C49SZX20210082MZ</v>
      </c>
      <c r="R924" s="647" t="str">
        <f>VLOOKUP(A924,'[1]Raw data'!$B:$Z,3,FALSE)</f>
        <v>崧盛</v>
      </c>
      <c r="S924" s="647" t="str">
        <f>VLOOKUP(A924,'[1]Raw data'!$B:$Z,4,FALSE)</f>
        <v>YSM20R-2</v>
      </c>
      <c r="T924" s="647" t="str">
        <f>VLOOKUP(A924,'[1]Raw data'!$B:$Z,8,FALSE)</f>
        <v>L-&gt;R</v>
      </c>
      <c r="U924" s="647" t="str">
        <f>VLOOKUP(A924,'[1]Raw data'!$B:$Z,9,FALSE)</f>
        <v>No</v>
      </c>
      <c r="V924" s="567" t="str">
        <f t="shared" si="172"/>
        <v>OK</v>
      </c>
      <c r="W924" s="563" t="str">
        <f>VLOOKUP(A924,'[1]Raw data'!$B:$AG,32,FALSE)</f>
        <v>CIF HK</v>
      </c>
      <c r="X924" s="647">
        <f>VLOOKUP(A924,'[1]Raw data'!$B:$BA,31,FALSE)</f>
        <v>44268</v>
      </c>
      <c r="Y924" s="647" t="str">
        <f>VLOOKUP(A924,'[1]Raw data'!$B:$AS,39,FALSE)</f>
        <v>Yes</v>
      </c>
      <c r="Z924" s="659"/>
      <c r="AA924" s="660"/>
      <c r="AB924" s="661"/>
      <c r="AC924" s="647" t="s">
        <v>1753</v>
      </c>
      <c r="AD924" s="662">
        <v>311</v>
      </c>
      <c r="AE924" s="662">
        <v>10</v>
      </c>
      <c r="AF924" s="662">
        <v>301</v>
      </c>
      <c r="AG924" s="662">
        <v>10</v>
      </c>
      <c r="AH924" s="662"/>
      <c r="AI924" s="663"/>
      <c r="AN924" s="542"/>
      <c r="AO924" s="824" t="str">
        <f t="shared" si="159"/>
        <v>Yes</v>
      </c>
      <c r="AP924" s="259" t="str">
        <f t="shared" si="160"/>
        <v>JUL 21</v>
      </c>
      <c r="AQ924" s="542" t="str">
        <f t="shared" si="161"/>
        <v>有定金+有預留客戶</v>
      </c>
      <c r="AR924" s="259" t="str">
        <f t="shared" si="162"/>
        <v>Shipped_Stock</v>
      </c>
      <c r="AS924" s="259" t="str">
        <f t="shared" si="163"/>
        <v/>
      </c>
      <c r="AT924" s="259" t="str">
        <f t="shared" si="164"/>
        <v>崧盛</v>
      </c>
      <c r="AU924" s="259" t="str">
        <f t="shared" si="165"/>
        <v>C49SZX20210082MZ</v>
      </c>
      <c r="AV924" s="259" t="str">
        <f t="shared" si="166"/>
        <v>Jul-20</v>
      </c>
    </row>
    <row r="925" spans="1:48" hidden="1">
      <c r="A925" s="559">
        <v>1263</v>
      </c>
      <c r="B925" s="664" t="s">
        <v>1125</v>
      </c>
      <c r="C925" s="664" t="s">
        <v>281</v>
      </c>
      <c r="D925" s="645">
        <v>110441</v>
      </c>
      <c r="E925" s="736" t="s">
        <v>1691</v>
      </c>
      <c r="F925" s="647" t="s">
        <v>58</v>
      </c>
      <c r="G925" s="647" t="s">
        <v>24</v>
      </c>
      <c r="H925" s="647" t="s">
        <v>26</v>
      </c>
      <c r="I925" s="575" t="s">
        <v>1761</v>
      </c>
      <c r="J925" s="575">
        <v>1</v>
      </c>
      <c r="K925" s="647" t="s">
        <v>1732</v>
      </c>
      <c r="L925" s="657">
        <v>44397</v>
      </c>
      <c r="M925" s="665" t="s">
        <v>906</v>
      </c>
      <c r="N925" s="647" t="s">
        <v>97</v>
      </c>
      <c r="O925" s="575"/>
      <c r="P925" s="665" t="str">
        <f>VLOOKUP(A925,'[1]Raw data'!$B:$BA,23,FALSE)</f>
        <v>JPY</v>
      </c>
      <c r="Q925" s="647" t="str">
        <f>VLOOKUP(A925,'[1]Raw data'!$B:$Z,2,FALSE)</f>
        <v>C49SZX20210082MZ</v>
      </c>
      <c r="R925" s="647" t="str">
        <f>VLOOKUP(A925,'[1]Raw data'!$B:$Z,3,FALSE)</f>
        <v>崧盛</v>
      </c>
      <c r="S925" s="647" t="str">
        <f>VLOOKUP(A925,'[1]Raw data'!$B:$Z,4,FALSE)</f>
        <v>YSM20R-2</v>
      </c>
      <c r="T925" s="647" t="str">
        <f>VLOOKUP(A925,'[1]Raw data'!$B:$Z,8,FALSE)</f>
        <v>L-&gt;R</v>
      </c>
      <c r="U925" s="647" t="str">
        <f>VLOOKUP(A925,'[1]Raw data'!$B:$Z,9,FALSE)</f>
        <v>No</v>
      </c>
      <c r="V925" s="567" t="str">
        <f t="shared" si="172"/>
        <v>OK</v>
      </c>
      <c r="W925" s="563" t="str">
        <f>VLOOKUP(A925,'[1]Raw data'!$B:$AG,32,FALSE)</f>
        <v>CIF HK</v>
      </c>
      <c r="X925" s="647">
        <f>VLOOKUP(A925,'[1]Raw data'!$B:$BA,31,FALSE)</f>
        <v>44268</v>
      </c>
      <c r="Y925" s="647" t="str">
        <f>VLOOKUP(A925,'[1]Raw data'!$B:$AS,39,FALSE)</f>
        <v>Yes</v>
      </c>
      <c r="Z925" s="659"/>
      <c r="AA925" s="660"/>
      <c r="AB925" s="661"/>
      <c r="AC925" s="647" t="s">
        <v>1753</v>
      </c>
      <c r="AD925" s="662">
        <v>311</v>
      </c>
      <c r="AE925" s="662">
        <v>10</v>
      </c>
      <c r="AF925" s="662">
        <v>301</v>
      </c>
      <c r="AG925" s="662">
        <v>10</v>
      </c>
      <c r="AH925" s="662"/>
      <c r="AI925" s="663"/>
      <c r="AN925" s="542"/>
      <c r="AO925" s="824" t="str">
        <f t="shared" si="159"/>
        <v>Yes</v>
      </c>
      <c r="AP925" s="259" t="str">
        <f t="shared" si="160"/>
        <v>JUL 21</v>
      </c>
      <c r="AQ925" s="542" t="str">
        <f t="shared" si="161"/>
        <v>有定金+有預留客戶</v>
      </c>
      <c r="AR925" s="259" t="str">
        <f t="shared" si="162"/>
        <v>Shipped_Stock</v>
      </c>
      <c r="AS925" s="259" t="str">
        <f t="shared" si="163"/>
        <v/>
      </c>
      <c r="AT925" s="259" t="str">
        <f t="shared" si="164"/>
        <v>崧盛</v>
      </c>
      <c r="AU925" s="259" t="str">
        <f t="shared" si="165"/>
        <v>C49SZX20210082MZ</v>
      </c>
      <c r="AV925" s="259" t="str">
        <f t="shared" si="166"/>
        <v>Jul-20</v>
      </c>
    </row>
    <row r="926" spans="1:48" hidden="1">
      <c r="A926" s="559">
        <v>1262</v>
      </c>
      <c r="B926" s="664" t="s">
        <v>1125</v>
      </c>
      <c r="C926" s="664" t="s">
        <v>281</v>
      </c>
      <c r="D926" s="645">
        <v>110441</v>
      </c>
      <c r="E926" s="736" t="s">
        <v>1691</v>
      </c>
      <c r="F926" s="647" t="s">
        <v>58</v>
      </c>
      <c r="G926" s="647" t="s">
        <v>24</v>
      </c>
      <c r="H926" s="647" t="s">
        <v>26</v>
      </c>
      <c r="I926" s="575" t="s">
        <v>1762</v>
      </c>
      <c r="J926" s="575">
        <v>1</v>
      </c>
      <c r="K926" s="647" t="s">
        <v>1732</v>
      </c>
      <c r="L926" s="657">
        <v>44397</v>
      </c>
      <c r="M926" s="665" t="s">
        <v>906</v>
      </c>
      <c r="N926" s="647" t="s">
        <v>97</v>
      </c>
      <c r="O926" s="575"/>
      <c r="P926" s="665" t="str">
        <f>VLOOKUP(A926,'[1]Raw data'!$B:$BA,23,FALSE)</f>
        <v>JPY</v>
      </c>
      <c r="Q926" s="647" t="str">
        <f>VLOOKUP(A926,'[1]Raw data'!$B:$Z,2,FALSE)</f>
        <v>C49SZX20210082MZ</v>
      </c>
      <c r="R926" s="647" t="str">
        <f>VLOOKUP(A926,'[1]Raw data'!$B:$Z,3,FALSE)</f>
        <v>崧盛</v>
      </c>
      <c r="S926" s="647" t="str">
        <f>VLOOKUP(A926,'[1]Raw data'!$B:$Z,4,FALSE)</f>
        <v>YSM20R-2</v>
      </c>
      <c r="T926" s="647" t="str">
        <f>VLOOKUP(A926,'[1]Raw data'!$B:$Z,8,FALSE)</f>
        <v>L-&gt;R</v>
      </c>
      <c r="U926" s="647" t="str">
        <f>VLOOKUP(A926,'[1]Raw data'!$B:$Z,9,FALSE)</f>
        <v>No</v>
      </c>
      <c r="V926" s="567" t="str">
        <f t="shared" si="172"/>
        <v>OK</v>
      </c>
      <c r="W926" s="563" t="str">
        <f>VLOOKUP(A926,'[1]Raw data'!$B:$AG,32,FALSE)</f>
        <v>CIF HK</v>
      </c>
      <c r="X926" s="647">
        <f>VLOOKUP(A926,'[1]Raw data'!$B:$BA,31,FALSE)</f>
        <v>44268</v>
      </c>
      <c r="Y926" s="647" t="str">
        <f>VLOOKUP(A926,'[1]Raw data'!$B:$AS,39,FALSE)</f>
        <v>Yes</v>
      </c>
      <c r="Z926" s="659"/>
      <c r="AA926" s="660"/>
      <c r="AB926" s="661"/>
      <c r="AC926" s="647" t="s">
        <v>1753</v>
      </c>
      <c r="AD926" s="662">
        <v>311</v>
      </c>
      <c r="AE926" s="662">
        <v>10</v>
      </c>
      <c r="AF926" s="662">
        <v>301</v>
      </c>
      <c r="AG926" s="662">
        <v>10</v>
      </c>
      <c r="AH926" s="662"/>
      <c r="AI926" s="663"/>
      <c r="AN926" s="542"/>
      <c r="AO926" s="824" t="str">
        <f t="shared" si="159"/>
        <v>Yes</v>
      </c>
      <c r="AP926" s="259" t="str">
        <f t="shared" si="160"/>
        <v>JUL 21</v>
      </c>
      <c r="AQ926" s="542" t="str">
        <f t="shared" si="161"/>
        <v>有定金+有預留客戶</v>
      </c>
      <c r="AR926" s="259" t="str">
        <f t="shared" si="162"/>
        <v>Shipped_Stock</v>
      </c>
      <c r="AS926" s="259" t="str">
        <f t="shared" si="163"/>
        <v/>
      </c>
      <c r="AT926" s="259" t="str">
        <f t="shared" si="164"/>
        <v>崧盛</v>
      </c>
      <c r="AU926" s="259" t="str">
        <f t="shared" si="165"/>
        <v>C49SZX20210082MZ</v>
      </c>
      <c r="AV926" s="259" t="str">
        <f t="shared" si="166"/>
        <v>Jul-20</v>
      </c>
    </row>
    <row r="927" spans="1:48" hidden="1">
      <c r="A927" s="559">
        <v>1323</v>
      </c>
      <c r="B927" s="664" t="s">
        <v>1125</v>
      </c>
      <c r="C927" s="664" t="s">
        <v>281</v>
      </c>
      <c r="D927" s="645">
        <v>110247</v>
      </c>
      <c r="E927" s="563" t="s">
        <v>886</v>
      </c>
      <c r="F927" s="647" t="s">
        <v>58</v>
      </c>
      <c r="G927" s="647" t="s">
        <v>24</v>
      </c>
      <c r="H927" s="647" t="s">
        <v>26</v>
      </c>
      <c r="I927" s="575" t="s">
        <v>1763</v>
      </c>
      <c r="J927" s="575">
        <v>1</v>
      </c>
      <c r="K927" s="647" t="s">
        <v>1732</v>
      </c>
      <c r="L927" s="657">
        <v>44397</v>
      </c>
      <c r="M927" s="665" t="s">
        <v>906</v>
      </c>
      <c r="N927" s="647" t="s">
        <v>1337</v>
      </c>
      <c r="O927" s="575"/>
      <c r="P927" s="665" t="str">
        <f>VLOOKUP(A927,'[1]Raw data'!$B:$BA,23,FALSE)</f>
        <v>JPY</v>
      </c>
      <c r="Q927" s="647" t="str">
        <f>VLOOKUP(A927,'[1]Raw data'!$B:$Z,2,FALSE)</f>
        <v>C49SZX20210108MZ</v>
      </c>
      <c r="R927" s="647" t="str">
        <f>VLOOKUP(A927,'[1]Raw data'!$B:$Z,3,FALSE)</f>
        <v>捷盛达</v>
      </c>
      <c r="S927" s="647" t="str">
        <f>VLOOKUP(A927,'[1]Raw data'!$B:$Z,4,FALSE)</f>
        <v>YSM20R-2</v>
      </c>
      <c r="T927" s="647" t="str">
        <f>VLOOKUP(A927,'[1]Raw data'!$B:$Z,8,FALSE)</f>
        <v>L-&gt;R</v>
      </c>
      <c r="U927" s="647" t="str">
        <f>VLOOKUP(A927,'[1]Raw data'!$B:$Z,9,FALSE)</f>
        <v>No</v>
      </c>
      <c r="V927" s="567" t="str">
        <f t="shared" ref="V927" si="173">IF(G927&amp;H927=T927&amp;U927,"OK","WRONG")</f>
        <v>OK</v>
      </c>
      <c r="W927" s="563" t="str">
        <f>VLOOKUP(A927,'[1]Raw data'!$B:$AG,32,FALSE)</f>
        <v>DAP SZ</v>
      </c>
      <c r="X927" s="647">
        <f>VLOOKUP(A927,'[1]Raw data'!$B:$BA,31,FALSE)</f>
        <v>44294</v>
      </c>
      <c r="Y927" s="647" t="str">
        <f>VLOOKUP(A927,'[1]Raw data'!$B:$AS,39,FALSE)</f>
        <v>Yes</v>
      </c>
      <c r="Z927" s="659"/>
      <c r="AA927" s="660"/>
      <c r="AB927" s="661"/>
      <c r="AC927" s="647" t="s">
        <v>1764</v>
      </c>
      <c r="AD927" s="662">
        <v>302</v>
      </c>
      <c r="AE927" s="662">
        <v>10</v>
      </c>
      <c r="AF927" s="662">
        <v>302</v>
      </c>
      <c r="AG927" s="662">
        <v>10</v>
      </c>
      <c r="AH927" s="662"/>
      <c r="AI927" s="663"/>
      <c r="AN927" s="542"/>
      <c r="AO927" s="824" t="str">
        <f t="shared" si="159"/>
        <v>Yes</v>
      </c>
      <c r="AP927" s="259" t="str">
        <f t="shared" si="160"/>
        <v>AUG 21</v>
      </c>
      <c r="AQ927" s="542" t="str">
        <f t="shared" si="161"/>
        <v>有定金+有預留客戶</v>
      </c>
      <c r="AR927" s="259" t="str">
        <f t="shared" si="162"/>
        <v>Shipped_Stock</v>
      </c>
      <c r="AS927" s="259" t="str">
        <f t="shared" si="163"/>
        <v/>
      </c>
      <c r="AT927" s="259" t="str">
        <f t="shared" si="164"/>
        <v>捷盛达</v>
      </c>
      <c r="AU927" s="259" t="str">
        <f t="shared" si="165"/>
        <v>C49SZX20210108MZ</v>
      </c>
      <c r="AV927" s="259" t="str">
        <f t="shared" si="166"/>
        <v>Jul-20</v>
      </c>
    </row>
    <row r="928" spans="1:48" hidden="1">
      <c r="A928" s="559">
        <v>1309</v>
      </c>
      <c r="B928" s="664" t="s">
        <v>1125</v>
      </c>
      <c r="C928" s="664" t="s">
        <v>281</v>
      </c>
      <c r="D928" s="645">
        <v>110413</v>
      </c>
      <c r="E928" s="736" t="s">
        <v>1686</v>
      </c>
      <c r="F928" s="647" t="s">
        <v>154</v>
      </c>
      <c r="G928" s="647" t="s">
        <v>24</v>
      </c>
      <c r="H928" s="647" t="s">
        <v>1740</v>
      </c>
      <c r="I928" s="575" t="s">
        <v>1765</v>
      </c>
      <c r="J928" s="575">
        <v>1</v>
      </c>
      <c r="K928" s="647" t="s">
        <v>1732</v>
      </c>
      <c r="L928" s="657">
        <v>44399</v>
      </c>
      <c r="M928" s="665" t="s">
        <v>906</v>
      </c>
      <c r="N928" s="647" t="s">
        <v>1337</v>
      </c>
      <c r="O928" s="575"/>
      <c r="P928" s="665" t="str">
        <f>VLOOKUP(A928,'[1]Raw data'!$B:$BA,23,FALSE)</f>
        <v>JPY</v>
      </c>
      <c r="Q928" s="647" t="str">
        <f>VLOOKUP(A928,'[1]Raw data'!$B:$Z,2,FALSE)</f>
        <v>C49SZX20210096JL</v>
      </c>
      <c r="R928" s="647" t="str">
        <f>VLOOKUP(A928,'[1]Raw data'!$B:$Z,3,FALSE)</f>
        <v>杉川</v>
      </c>
      <c r="S928" s="647" t="str">
        <f>VLOOKUP(A928,'[1]Raw data'!$B:$Z,4,FALSE)</f>
        <v>YSM20WR-2</v>
      </c>
      <c r="T928" s="647" t="str">
        <f>VLOOKUP(A928,'[1]Raw data'!$B:$Z,8,FALSE)</f>
        <v>L-&gt;R</v>
      </c>
      <c r="U928" s="647" t="str">
        <f>VLOOKUP(A928,'[1]Raw data'!$B:$Z,9,FALSE)</f>
        <v>cATS10+MVC+Feeder Carriage</v>
      </c>
      <c r="V928" s="567" t="str">
        <f t="shared" ref="V928:V933" si="174">IF(G928&amp;H928=T928&amp;U928,"OK","WRONG")</f>
        <v>WRONG</v>
      </c>
      <c r="W928" s="563" t="str">
        <f>VLOOKUP(A928,'[1]Raw data'!$B:$AG,32,FALSE)</f>
        <v>DAP SZ</v>
      </c>
      <c r="X928" s="647">
        <f>VLOOKUP(A928,'[1]Raw data'!$B:$BA,31,FALSE)</f>
        <v>44288</v>
      </c>
      <c r="Y928" s="647" t="str">
        <f>VLOOKUP(A928,'[1]Raw data'!$B:$AS,39,FALSE)</f>
        <v>Yes</v>
      </c>
      <c r="Z928" s="659"/>
      <c r="AA928" s="660"/>
      <c r="AB928" s="661"/>
      <c r="AC928" s="647" t="s">
        <v>678</v>
      </c>
      <c r="AD928" s="662"/>
      <c r="AE928" s="662"/>
      <c r="AF928" s="662"/>
      <c r="AG928" s="662"/>
      <c r="AH928" s="662"/>
      <c r="AI928" s="663"/>
      <c r="AN928" s="542"/>
      <c r="AO928" s="824" t="str">
        <f t="shared" si="159"/>
        <v>Yes</v>
      </c>
      <c r="AP928" s="259" t="str">
        <f t="shared" si="160"/>
        <v>AUG 21</v>
      </c>
      <c r="AQ928" s="542" t="str">
        <f t="shared" si="161"/>
        <v>有定金+有預留客戶</v>
      </c>
      <c r="AR928" s="259" t="str">
        <f t="shared" si="162"/>
        <v>Shipped_Stock</v>
      </c>
      <c r="AS928" s="259" t="str">
        <f t="shared" si="163"/>
        <v/>
      </c>
      <c r="AT928" s="259" t="str">
        <f t="shared" si="164"/>
        <v>杉川</v>
      </c>
      <c r="AU928" s="259" t="str">
        <f t="shared" si="165"/>
        <v>C49SZX20210096JL</v>
      </c>
      <c r="AV928" s="259" t="str">
        <f t="shared" si="166"/>
        <v>Jul-22</v>
      </c>
    </row>
    <row r="929" spans="1:48" hidden="1">
      <c r="A929" s="559">
        <v>1310</v>
      </c>
      <c r="B929" s="664" t="s">
        <v>1125</v>
      </c>
      <c r="C929" s="664" t="s">
        <v>281</v>
      </c>
      <c r="D929" s="645">
        <v>110413</v>
      </c>
      <c r="E929" s="736" t="s">
        <v>1686</v>
      </c>
      <c r="F929" s="647" t="s">
        <v>154</v>
      </c>
      <c r="G929" s="647" t="s">
        <v>24</v>
      </c>
      <c r="H929" s="647" t="s">
        <v>1740</v>
      </c>
      <c r="I929" s="575" t="s">
        <v>1766</v>
      </c>
      <c r="J929" s="575">
        <v>1</v>
      </c>
      <c r="K929" s="647" t="s">
        <v>1732</v>
      </c>
      <c r="L929" s="657">
        <v>44399</v>
      </c>
      <c r="M929" s="665" t="s">
        <v>906</v>
      </c>
      <c r="N929" s="647" t="s">
        <v>1337</v>
      </c>
      <c r="O929" s="575"/>
      <c r="P929" s="665" t="str">
        <f>VLOOKUP(A929,'[1]Raw data'!$B:$BA,23,FALSE)</f>
        <v>JPY</v>
      </c>
      <c r="Q929" s="647" t="str">
        <f>VLOOKUP(A929,'[1]Raw data'!$B:$Z,2,FALSE)</f>
        <v>C49SZX20210096JL</v>
      </c>
      <c r="R929" s="647" t="str">
        <f>VLOOKUP(A929,'[1]Raw data'!$B:$Z,3,FALSE)</f>
        <v>杉川</v>
      </c>
      <c r="S929" s="647" t="str">
        <f>VLOOKUP(A929,'[1]Raw data'!$B:$Z,4,FALSE)</f>
        <v>YSM20WR-2</v>
      </c>
      <c r="T929" s="647" t="str">
        <f>VLOOKUP(A929,'[1]Raw data'!$B:$Z,8,FALSE)</f>
        <v>L-&gt;R</v>
      </c>
      <c r="U929" s="647" t="str">
        <f>VLOOKUP(A929,'[1]Raw data'!$B:$Z,9,FALSE)</f>
        <v>cATS10+MVC+Feeder Carriage</v>
      </c>
      <c r="V929" s="567" t="str">
        <f t="shared" si="174"/>
        <v>WRONG</v>
      </c>
      <c r="W929" s="563" t="str">
        <f>VLOOKUP(A929,'[1]Raw data'!$B:$AG,32,FALSE)</f>
        <v>DAP SZ</v>
      </c>
      <c r="X929" s="647">
        <f>VLOOKUP(A929,'[1]Raw data'!$B:$BA,31,FALSE)</f>
        <v>44288</v>
      </c>
      <c r="Y929" s="647" t="str">
        <f>VLOOKUP(A929,'[1]Raw data'!$B:$AS,39,FALSE)</f>
        <v>Yes</v>
      </c>
      <c r="Z929" s="659"/>
      <c r="AA929" s="660"/>
      <c r="AB929" s="661"/>
      <c r="AC929" s="647" t="s">
        <v>678</v>
      </c>
      <c r="AD929" s="662"/>
      <c r="AE929" s="662"/>
      <c r="AF929" s="662"/>
      <c r="AG929" s="662"/>
      <c r="AH929" s="662"/>
      <c r="AI929" s="663"/>
      <c r="AN929" s="542"/>
      <c r="AO929" s="824" t="str">
        <f t="shared" si="159"/>
        <v>Yes</v>
      </c>
      <c r="AP929" s="259" t="str">
        <f t="shared" si="160"/>
        <v>AUG 21</v>
      </c>
      <c r="AQ929" s="542" t="str">
        <f t="shared" si="161"/>
        <v>有定金+有預留客戶</v>
      </c>
      <c r="AR929" s="259" t="str">
        <f t="shared" si="162"/>
        <v>Shipped_Stock</v>
      </c>
      <c r="AS929" s="259" t="str">
        <f t="shared" si="163"/>
        <v/>
      </c>
      <c r="AT929" s="259" t="str">
        <f t="shared" si="164"/>
        <v>杉川</v>
      </c>
      <c r="AU929" s="259" t="str">
        <f t="shared" si="165"/>
        <v>C49SZX20210096JL</v>
      </c>
      <c r="AV929" s="259" t="str">
        <f t="shared" si="166"/>
        <v>Jul-22</v>
      </c>
    </row>
    <row r="930" spans="1:48" hidden="1">
      <c r="A930" s="559">
        <v>1314</v>
      </c>
      <c r="B930" s="664" t="s">
        <v>1125</v>
      </c>
      <c r="C930" s="664" t="s">
        <v>281</v>
      </c>
      <c r="D930" s="645">
        <v>110413</v>
      </c>
      <c r="E930" s="736" t="s">
        <v>1686</v>
      </c>
      <c r="F930" s="647" t="s">
        <v>154</v>
      </c>
      <c r="G930" s="647" t="s">
        <v>24</v>
      </c>
      <c r="H930" s="647" t="s">
        <v>26</v>
      </c>
      <c r="I930" s="575" t="s">
        <v>1767</v>
      </c>
      <c r="J930" s="575">
        <v>1</v>
      </c>
      <c r="K930" s="647" t="s">
        <v>1732</v>
      </c>
      <c r="L930" s="657">
        <v>44399</v>
      </c>
      <c r="M930" s="665" t="s">
        <v>906</v>
      </c>
      <c r="N930" s="647" t="s">
        <v>1337</v>
      </c>
      <c r="O930" s="575"/>
      <c r="P930" s="665" t="str">
        <f>VLOOKUP(A930,'[1]Raw data'!$B:$BA,23,FALSE)</f>
        <v>JPY</v>
      </c>
      <c r="Q930" s="647" t="str">
        <f>VLOOKUP(A930,'[1]Raw data'!$B:$Z,2,FALSE)</f>
        <v>C49SZX20210096JL</v>
      </c>
      <c r="R930" s="647" t="str">
        <f>VLOOKUP(A930,'[1]Raw data'!$B:$Z,3,FALSE)</f>
        <v>杉川</v>
      </c>
      <c r="S930" s="647" t="str">
        <f>VLOOKUP(A930,'[1]Raw data'!$B:$Z,4,FALSE)</f>
        <v>YSM20WR-2</v>
      </c>
      <c r="T930" s="647" t="str">
        <f>VLOOKUP(A930,'[1]Raw data'!$B:$Z,8,FALSE)</f>
        <v>L-&gt;R</v>
      </c>
      <c r="U930" s="647" t="str">
        <f>VLOOKUP(A930,'[1]Raw data'!$B:$Z,9,FALSE)</f>
        <v>MVC</v>
      </c>
      <c r="V930" s="567" t="str">
        <f t="shared" si="174"/>
        <v>WRONG</v>
      </c>
      <c r="W930" s="563" t="str">
        <f>VLOOKUP(A930,'[1]Raw data'!$B:$AG,32,FALSE)</f>
        <v>DAP SZ</v>
      </c>
      <c r="X930" s="647">
        <f>VLOOKUP(A930,'[1]Raw data'!$B:$BA,31,FALSE)</f>
        <v>44288</v>
      </c>
      <c r="Y930" s="647" t="str">
        <f>VLOOKUP(A930,'[1]Raw data'!$B:$AS,39,FALSE)</f>
        <v>Yes</v>
      </c>
      <c r="Z930" s="659"/>
      <c r="AA930" s="660"/>
      <c r="AB930" s="661"/>
      <c r="AC930" s="647" t="s">
        <v>678</v>
      </c>
      <c r="AD930" s="662"/>
      <c r="AE930" s="662"/>
      <c r="AF930" s="662"/>
      <c r="AG930" s="662"/>
      <c r="AH930" s="662"/>
      <c r="AI930" s="663"/>
      <c r="AN930" s="542"/>
      <c r="AO930" s="824" t="str">
        <f t="shared" si="159"/>
        <v>Yes</v>
      </c>
      <c r="AP930" s="259" t="str">
        <f t="shared" si="160"/>
        <v>AUG 21</v>
      </c>
      <c r="AQ930" s="542" t="str">
        <f t="shared" si="161"/>
        <v>有定金+有預留客戶</v>
      </c>
      <c r="AR930" s="259" t="str">
        <f t="shared" si="162"/>
        <v>Shipped_Stock</v>
      </c>
      <c r="AS930" s="259" t="str">
        <f t="shared" si="163"/>
        <v/>
      </c>
      <c r="AT930" s="259" t="str">
        <f t="shared" si="164"/>
        <v>杉川</v>
      </c>
      <c r="AU930" s="259" t="str">
        <f t="shared" si="165"/>
        <v>C49SZX20210096JL</v>
      </c>
      <c r="AV930" s="259" t="str">
        <f t="shared" si="166"/>
        <v>Jul-22</v>
      </c>
    </row>
    <row r="931" spans="1:48" hidden="1">
      <c r="A931" s="559">
        <v>1315</v>
      </c>
      <c r="B931" s="664" t="s">
        <v>1125</v>
      </c>
      <c r="C931" s="664" t="s">
        <v>281</v>
      </c>
      <c r="D931" s="645">
        <v>110413</v>
      </c>
      <c r="E931" s="736" t="s">
        <v>1686</v>
      </c>
      <c r="F931" s="647" t="s">
        <v>154</v>
      </c>
      <c r="G931" s="647" t="s">
        <v>24</v>
      </c>
      <c r="H931" s="647" t="s">
        <v>26</v>
      </c>
      <c r="I931" s="575" t="s">
        <v>1768</v>
      </c>
      <c r="J931" s="575">
        <v>1</v>
      </c>
      <c r="K931" s="647" t="s">
        <v>1732</v>
      </c>
      <c r="L931" s="657">
        <v>44399</v>
      </c>
      <c r="M931" s="665" t="s">
        <v>906</v>
      </c>
      <c r="N931" s="647" t="s">
        <v>1337</v>
      </c>
      <c r="O931" s="575"/>
      <c r="P931" s="665" t="str">
        <f>VLOOKUP(A931,'[1]Raw data'!$B:$BA,23,FALSE)</f>
        <v>JPY</v>
      </c>
      <c r="Q931" s="647" t="str">
        <f>VLOOKUP(A931,'[1]Raw data'!$B:$Z,2,FALSE)</f>
        <v>C49SZX20210096JL</v>
      </c>
      <c r="R931" s="647" t="str">
        <f>VLOOKUP(A931,'[1]Raw data'!$B:$Z,3,FALSE)</f>
        <v>杉川</v>
      </c>
      <c r="S931" s="647" t="str">
        <f>VLOOKUP(A931,'[1]Raw data'!$B:$Z,4,FALSE)</f>
        <v>YSM20WR-2</v>
      </c>
      <c r="T931" s="647" t="str">
        <f>VLOOKUP(A931,'[1]Raw data'!$B:$Z,8,FALSE)</f>
        <v>L-&gt;R</v>
      </c>
      <c r="U931" s="647" t="str">
        <f>VLOOKUP(A931,'[1]Raw data'!$B:$Z,9,FALSE)</f>
        <v>MVC</v>
      </c>
      <c r="V931" s="564" t="str">
        <f t="shared" si="174"/>
        <v>WRONG</v>
      </c>
      <c r="W931" s="563" t="str">
        <f>VLOOKUP(A931,'[1]Raw data'!$B:$AG,32,FALSE)</f>
        <v>DAP SZ</v>
      </c>
      <c r="X931" s="647">
        <f>VLOOKUP(A931,'[1]Raw data'!$B:$BA,31,FALSE)</f>
        <v>44288</v>
      </c>
      <c r="Y931" s="647" t="str">
        <f>VLOOKUP(A931,'[1]Raw data'!$B:$AS,39,FALSE)</f>
        <v>Yes</v>
      </c>
      <c r="Z931" s="542"/>
      <c r="AA931" s="542"/>
      <c r="AB931" s="542"/>
      <c r="AC931" s="647" t="s">
        <v>678</v>
      </c>
      <c r="AD931" s="542"/>
      <c r="AE931" s="542"/>
      <c r="AF931" s="542"/>
      <c r="AG931" s="542"/>
      <c r="AH931" s="542"/>
      <c r="AI931" s="542"/>
      <c r="AJ931" s="542"/>
      <c r="AK931" s="542"/>
      <c r="AL931" s="542"/>
      <c r="AM931" s="542"/>
      <c r="AN931" s="542"/>
      <c r="AO931" s="824" t="str">
        <f t="shared" si="159"/>
        <v>Yes</v>
      </c>
      <c r="AP931" s="259" t="str">
        <f t="shared" si="160"/>
        <v>AUG 21</v>
      </c>
      <c r="AQ931" s="542" t="str">
        <f t="shared" si="161"/>
        <v>有定金+有預留客戶</v>
      </c>
      <c r="AR931" s="259" t="str">
        <f t="shared" si="162"/>
        <v>Shipped_Stock</v>
      </c>
      <c r="AS931" s="259" t="str">
        <f t="shared" si="163"/>
        <v/>
      </c>
      <c r="AT931" s="259" t="str">
        <f t="shared" si="164"/>
        <v>杉川</v>
      </c>
      <c r="AU931" s="259" t="str">
        <f t="shared" si="165"/>
        <v>C49SZX20210096JL</v>
      </c>
      <c r="AV931" s="259" t="str">
        <f t="shared" si="166"/>
        <v>Jul-22</v>
      </c>
    </row>
    <row r="932" spans="1:48" hidden="1">
      <c r="A932" s="559">
        <v>1316</v>
      </c>
      <c r="B932" s="664" t="s">
        <v>1125</v>
      </c>
      <c r="C932" s="664" t="s">
        <v>281</v>
      </c>
      <c r="D932" s="645">
        <v>110413</v>
      </c>
      <c r="E932" s="736" t="s">
        <v>1686</v>
      </c>
      <c r="F932" s="647" t="s">
        <v>154</v>
      </c>
      <c r="G932" s="647" t="s">
        <v>24</v>
      </c>
      <c r="H932" s="647" t="s">
        <v>26</v>
      </c>
      <c r="I932" s="575" t="s">
        <v>1769</v>
      </c>
      <c r="J932" s="575">
        <v>1</v>
      </c>
      <c r="K932" s="647" t="s">
        <v>1732</v>
      </c>
      <c r="L932" s="657">
        <v>44399</v>
      </c>
      <c r="M932" s="665" t="s">
        <v>906</v>
      </c>
      <c r="N932" s="647" t="s">
        <v>1337</v>
      </c>
      <c r="O932" s="575"/>
      <c r="P932" s="665" t="str">
        <f>VLOOKUP(A932,'[1]Raw data'!$B:$BA,23,FALSE)</f>
        <v>JPY</v>
      </c>
      <c r="Q932" s="647" t="str">
        <f>VLOOKUP(A932,'[1]Raw data'!$B:$Z,2,FALSE)</f>
        <v>C49SZX20210096JL</v>
      </c>
      <c r="R932" s="647" t="str">
        <f>VLOOKUP(A932,'[1]Raw data'!$B:$Z,3,FALSE)</f>
        <v>杉川</v>
      </c>
      <c r="S932" s="647" t="str">
        <f>VLOOKUP(A932,'[1]Raw data'!$B:$Z,4,FALSE)</f>
        <v>YSM20WR-2</v>
      </c>
      <c r="T932" s="647" t="str">
        <f>VLOOKUP(A932,'[1]Raw data'!$B:$Z,8,FALSE)</f>
        <v>L-&gt;R</v>
      </c>
      <c r="U932" s="647" t="str">
        <f>VLOOKUP(A932,'[1]Raw data'!$B:$Z,9,FALSE)</f>
        <v>MVC</v>
      </c>
      <c r="V932" s="567" t="str">
        <f t="shared" si="174"/>
        <v>WRONG</v>
      </c>
      <c r="W932" s="563" t="str">
        <f>VLOOKUP(A932,'[1]Raw data'!$B:$AG,32,FALSE)</f>
        <v>DAP SZ</v>
      </c>
      <c r="X932" s="647">
        <f>VLOOKUP(A932,'[1]Raw data'!$B:$BA,31,FALSE)</f>
        <v>44288</v>
      </c>
      <c r="Y932" s="647" t="str">
        <f>VLOOKUP(A932,'[1]Raw data'!$B:$AS,39,FALSE)</f>
        <v>Yes</v>
      </c>
      <c r="Z932" s="659"/>
      <c r="AA932" s="660"/>
      <c r="AB932" s="661"/>
      <c r="AC932" s="647" t="s">
        <v>678</v>
      </c>
      <c r="AD932" s="662"/>
      <c r="AE932" s="662"/>
      <c r="AF932" s="662"/>
      <c r="AG932" s="662"/>
      <c r="AH932" s="662"/>
      <c r="AI932" s="663"/>
      <c r="AN932" s="542"/>
      <c r="AO932" s="824" t="str">
        <f t="shared" si="159"/>
        <v>Yes</v>
      </c>
      <c r="AP932" s="259" t="str">
        <f t="shared" si="160"/>
        <v>AUG 21</v>
      </c>
      <c r="AQ932" s="542" t="str">
        <f t="shared" si="161"/>
        <v>有定金+有預留客戶</v>
      </c>
      <c r="AR932" s="259" t="str">
        <f t="shared" si="162"/>
        <v>Shipped_Stock</v>
      </c>
      <c r="AS932" s="259" t="str">
        <f t="shared" si="163"/>
        <v/>
      </c>
      <c r="AT932" s="259" t="str">
        <f t="shared" si="164"/>
        <v>杉川</v>
      </c>
      <c r="AU932" s="259" t="str">
        <f t="shared" si="165"/>
        <v>C49SZX20210096JL</v>
      </c>
      <c r="AV932" s="259" t="str">
        <f t="shared" si="166"/>
        <v>Jul-22</v>
      </c>
    </row>
    <row r="933" spans="1:48" hidden="1">
      <c r="A933" s="559">
        <v>1317</v>
      </c>
      <c r="B933" s="664" t="s">
        <v>1125</v>
      </c>
      <c r="C933" s="664" t="s">
        <v>281</v>
      </c>
      <c r="D933" s="645">
        <v>110413</v>
      </c>
      <c r="E933" s="736" t="s">
        <v>1686</v>
      </c>
      <c r="F933" s="647" t="s">
        <v>154</v>
      </c>
      <c r="G933" s="647" t="s">
        <v>24</v>
      </c>
      <c r="H933" s="647" t="s">
        <v>26</v>
      </c>
      <c r="I933" s="575" t="s">
        <v>1770</v>
      </c>
      <c r="J933" s="575">
        <v>1</v>
      </c>
      <c r="K933" s="647" t="s">
        <v>1732</v>
      </c>
      <c r="L933" s="657">
        <v>44399</v>
      </c>
      <c r="M933" s="665" t="s">
        <v>906</v>
      </c>
      <c r="N933" s="647" t="s">
        <v>1337</v>
      </c>
      <c r="O933" s="575"/>
      <c r="P933" s="665" t="str">
        <f>VLOOKUP(A933,'[1]Raw data'!$B:$BA,23,FALSE)</f>
        <v>JPY</v>
      </c>
      <c r="Q933" s="647" t="str">
        <f>VLOOKUP(A933,'[1]Raw data'!$B:$Z,2,FALSE)</f>
        <v>C49SZX20210096JL</v>
      </c>
      <c r="R933" s="647" t="str">
        <f>VLOOKUP(A933,'[1]Raw data'!$B:$Z,3,FALSE)</f>
        <v>杉川</v>
      </c>
      <c r="S933" s="647" t="str">
        <f>VLOOKUP(A933,'[1]Raw data'!$B:$Z,4,FALSE)</f>
        <v>YSM20WR-2</v>
      </c>
      <c r="T933" s="647" t="str">
        <f>VLOOKUP(A933,'[1]Raw data'!$B:$Z,8,FALSE)</f>
        <v>L-&gt;R</v>
      </c>
      <c r="U933" s="647" t="str">
        <f>VLOOKUP(A933,'[1]Raw data'!$B:$Z,9,FALSE)</f>
        <v>No</v>
      </c>
      <c r="V933" s="567" t="str">
        <f t="shared" si="174"/>
        <v>OK</v>
      </c>
      <c r="W933" s="563" t="str">
        <f>VLOOKUP(A933,'[1]Raw data'!$B:$AG,32,FALSE)</f>
        <v>DAP SZ</v>
      </c>
      <c r="X933" s="647">
        <f>VLOOKUP(A933,'[1]Raw data'!$B:$BA,31,FALSE)</f>
        <v>44288</v>
      </c>
      <c r="Y933" s="647" t="str">
        <f>VLOOKUP(A933,'[1]Raw data'!$B:$AS,39,FALSE)</f>
        <v>Yes</v>
      </c>
      <c r="Z933" s="659"/>
      <c r="AA933" s="660"/>
      <c r="AB933" s="661"/>
      <c r="AC933" s="647" t="s">
        <v>678</v>
      </c>
      <c r="AD933" s="662"/>
      <c r="AE933" s="662"/>
      <c r="AF933" s="662"/>
      <c r="AG933" s="662"/>
      <c r="AH933" s="662"/>
      <c r="AI933" s="663"/>
      <c r="AN933" s="542"/>
      <c r="AO933" s="824" t="str">
        <f t="shared" si="159"/>
        <v>Yes</v>
      </c>
      <c r="AP933" s="259" t="str">
        <f t="shared" si="160"/>
        <v>AUG 21</v>
      </c>
      <c r="AQ933" s="542" t="str">
        <f t="shared" si="161"/>
        <v>有定金+有預留客戶</v>
      </c>
      <c r="AR933" s="259" t="str">
        <f t="shared" si="162"/>
        <v>Shipped_Stock</v>
      </c>
      <c r="AS933" s="259" t="str">
        <f t="shared" si="163"/>
        <v/>
      </c>
      <c r="AT933" s="259" t="str">
        <f t="shared" si="164"/>
        <v>杉川</v>
      </c>
      <c r="AU933" s="259" t="str">
        <f t="shared" si="165"/>
        <v>C49SZX20210096JL</v>
      </c>
      <c r="AV933" s="259" t="str">
        <f t="shared" si="166"/>
        <v>Jul-22</v>
      </c>
    </row>
    <row r="934" spans="1:48" hidden="1">
      <c r="A934" s="559">
        <v>926</v>
      </c>
      <c r="B934" s="664" t="s">
        <v>1125</v>
      </c>
      <c r="C934" s="664" t="s">
        <v>281</v>
      </c>
      <c r="D934" s="645">
        <v>110383</v>
      </c>
      <c r="E934" s="736" t="s">
        <v>1691</v>
      </c>
      <c r="F934" s="647" t="s">
        <v>17</v>
      </c>
      <c r="G934" s="647" t="s">
        <v>18</v>
      </c>
      <c r="H934" s="647" t="s">
        <v>34</v>
      </c>
      <c r="I934" s="575" t="s">
        <v>1771</v>
      </c>
      <c r="J934" s="575">
        <v>1</v>
      </c>
      <c r="K934" s="647" t="s">
        <v>85</v>
      </c>
      <c r="L934" s="657">
        <v>44400</v>
      </c>
      <c r="M934" s="665" t="s">
        <v>906</v>
      </c>
      <c r="N934" s="647" t="s">
        <v>1337</v>
      </c>
      <c r="O934" s="575"/>
      <c r="P934" s="665" t="str">
        <f>VLOOKUP(A934,'[1]Raw data'!$B:$BA,23,FALSE)</f>
        <v>JPY</v>
      </c>
      <c r="Q934" s="647" t="str">
        <f>VLOOKUP(A934,'[1]Raw data'!$B:$Z,2,FALSE)</f>
        <v>C49SZX20200210RSX</v>
      </c>
      <c r="R934" s="647" t="str">
        <f>VLOOKUP(A934,'[1]Raw data'!$B:$Z,3,FALSE)</f>
        <v>众鑫科</v>
      </c>
      <c r="S934" s="647" t="str">
        <f>VLOOKUP(A934,'[1]Raw data'!$B:$Z,4,FALSE)</f>
        <v>YSM10</v>
      </c>
      <c r="T934" s="647" t="str">
        <f>VLOOKUP(A934,'[1]Raw data'!$B:$Z,8,FALSE)</f>
        <v>L-&gt;R</v>
      </c>
      <c r="U934" s="647" t="str">
        <f>VLOOKUP(A934,'[1]Raw data'!$B:$Z,9,FALSE)</f>
        <v>MVC+ATS15</v>
      </c>
      <c r="V934" s="567" t="str">
        <f t="shared" ref="V934:V939" si="175">IF(G934&amp;H934=T934&amp;U934,"OK","WRONG")</f>
        <v>WRONG</v>
      </c>
      <c r="W934" s="563" t="str">
        <f>VLOOKUP(A934,'[1]Raw data'!$B:$AG,32,FALSE)</f>
        <v>DAP HZ</v>
      </c>
      <c r="X934" s="647">
        <f>VLOOKUP(A934,'[1]Raw data'!$B:$BA,31,FALSE)</f>
        <v>44147</v>
      </c>
      <c r="Y934" s="647" t="str">
        <f>VLOOKUP(A934,'[1]Raw data'!$B:$AS,39,FALSE)</f>
        <v>Yes</v>
      </c>
      <c r="Z934" s="659"/>
      <c r="AA934" s="660"/>
      <c r="AB934" s="661"/>
      <c r="AC934" s="647" t="s">
        <v>1756</v>
      </c>
      <c r="AD934" s="662">
        <v>302</v>
      </c>
      <c r="AE934" s="662">
        <v>10</v>
      </c>
      <c r="AF934" s="662"/>
      <c r="AG934" s="662"/>
      <c r="AH934" s="662"/>
      <c r="AI934" s="663"/>
      <c r="AN934" s="542"/>
      <c r="AO934" s="824" t="str">
        <f t="shared" si="159"/>
        <v>Yes</v>
      </c>
      <c r="AP934" s="259" t="str">
        <f t="shared" si="160"/>
        <v>AUG 21</v>
      </c>
      <c r="AQ934" s="542" t="str">
        <f t="shared" si="161"/>
        <v>有定金+有預留客戶</v>
      </c>
      <c r="AR934" s="259" t="str">
        <f t="shared" si="162"/>
        <v>Shipped_Stock</v>
      </c>
      <c r="AS934" s="259" t="str">
        <f t="shared" si="163"/>
        <v/>
      </c>
      <c r="AT934" s="259" t="str">
        <f t="shared" si="164"/>
        <v>众鑫科</v>
      </c>
      <c r="AU934" s="259" t="str">
        <f t="shared" si="165"/>
        <v>C49SZX20200210RSX</v>
      </c>
      <c r="AV934" s="259" t="str">
        <f t="shared" si="166"/>
        <v>Jul-23</v>
      </c>
    </row>
    <row r="935" spans="1:48" hidden="1">
      <c r="A935" s="559">
        <v>1160</v>
      </c>
      <c r="B935" s="664" t="s">
        <v>1125</v>
      </c>
      <c r="C935" s="664" t="s">
        <v>281</v>
      </c>
      <c r="D935" s="645">
        <v>110383</v>
      </c>
      <c r="E935" s="736" t="s">
        <v>1691</v>
      </c>
      <c r="F935" s="647" t="s">
        <v>17</v>
      </c>
      <c r="G935" s="647" t="s">
        <v>18</v>
      </c>
      <c r="H935" s="647" t="s">
        <v>34</v>
      </c>
      <c r="I935" s="575" t="s">
        <v>1772</v>
      </c>
      <c r="J935" s="575">
        <v>1</v>
      </c>
      <c r="K935" s="647" t="s">
        <v>1732</v>
      </c>
      <c r="L935" s="657">
        <v>44400</v>
      </c>
      <c r="M935" s="665" t="s">
        <v>906</v>
      </c>
      <c r="N935" s="647" t="s">
        <v>1736</v>
      </c>
      <c r="O935" s="575"/>
      <c r="P935" s="665" t="str">
        <f>VLOOKUP(A935,'[1]Raw data'!$B:$BA,23,FALSE)</f>
        <v>JPY</v>
      </c>
      <c r="Q935" s="647" t="str">
        <f>VLOOKUP(A935,'[1]Raw data'!$B:$Z,2,FALSE)</f>
        <v>C49SZX20210052JY</v>
      </c>
      <c r="R935" s="647" t="str">
        <f>VLOOKUP(A935,'[1]Raw data'!$B:$Z,3,FALSE)</f>
        <v>江西络鑫</v>
      </c>
      <c r="S935" s="647" t="str">
        <f>VLOOKUP(A935,'[1]Raw data'!$B:$Z,4,FALSE)</f>
        <v>YSM10</v>
      </c>
      <c r="T935" s="647" t="str">
        <f>VLOOKUP(A935,'[1]Raw data'!$B:$Z,8,FALSE)</f>
        <v>L-&gt;R</v>
      </c>
      <c r="U935" s="647" t="str">
        <f>VLOOKUP(A935,'[1]Raw data'!$B:$Z,9,FALSE)</f>
        <v>MVC+ATS15</v>
      </c>
      <c r="V935" s="564" t="str">
        <f t="shared" si="175"/>
        <v>WRONG</v>
      </c>
      <c r="W935" s="563" t="str">
        <f>VLOOKUP(A935,'[1]Raw data'!$B:$AG,32,FALSE)</f>
        <v>CIF HK</v>
      </c>
      <c r="X935" s="647">
        <f>VLOOKUP(A935,'[1]Raw data'!$B:$BA,31,FALSE)</f>
        <v>44259</v>
      </c>
      <c r="Y935" s="647" t="str">
        <f>VLOOKUP(A935,'[1]Raw data'!$B:$AS,39,FALSE)</f>
        <v>Yes</v>
      </c>
      <c r="Z935" s="542"/>
      <c r="AA935" s="542"/>
      <c r="AB935" s="542"/>
      <c r="AC935" s="614" t="s">
        <v>1773</v>
      </c>
      <c r="AD935" s="575">
        <v>301</v>
      </c>
      <c r="AE935" s="575">
        <v>10</v>
      </c>
      <c r="AF935" s="614"/>
      <c r="AG935" s="614"/>
      <c r="AH935" s="614"/>
      <c r="AI935" s="614"/>
      <c r="AJ935" s="614"/>
      <c r="AK935" s="614"/>
      <c r="AL935" s="614"/>
      <c r="AM935" s="614"/>
      <c r="AN935" s="614"/>
      <c r="AO935" s="824" t="str">
        <f t="shared" si="159"/>
        <v>Yes</v>
      </c>
      <c r="AP935" s="259" t="str">
        <f t="shared" si="160"/>
        <v>OCT 21</v>
      </c>
      <c r="AQ935" s="542" t="str">
        <f t="shared" si="161"/>
        <v>有定金+有預留客戶</v>
      </c>
      <c r="AR935" s="259" t="str">
        <f t="shared" si="162"/>
        <v>Shipped_Stock</v>
      </c>
      <c r="AS935" s="259" t="str">
        <f t="shared" si="163"/>
        <v/>
      </c>
      <c r="AT935" s="259" t="str">
        <f t="shared" si="164"/>
        <v>江西络鑫</v>
      </c>
      <c r="AU935" s="259" t="str">
        <f t="shared" si="165"/>
        <v>C49SZX20210052JY</v>
      </c>
      <c r="AV935" s="259" t="str">
        <f t="shared" si="166"/>
        <v>Jul-23</v>
      </c>
    </row>
    <row r="936" spans="1:48" hidden="1">
      <c r="A936" s="559">
        <v>1426</v>
      </c>
      <c r="B936" s="664" t="s">
        <v>1125</v>
      </c>
      <c r="C936" s="664" t="s">
        <v>281</v>
      </c>
      <c r="D936" s="645">
        <v>110383</v>
      </c>
      <c r="E936" s="736" t="s">
        <v>1691</v>
      </c>
      <c r="F936" s="647" t="s">
        <v>17</v>
      </c>
      <c r="G936" s="647" t="s">
        <v>18</v>
      </c>
      <c r="H936" s="647" t="s">
        <v>34</v>
      </c>
      <c r="I936" s="575" t="s">
        <v>1774</v>
      </c>
      <c r="J936" s="575">
        <v>1</v>
      </c>
      <c r="K936" s="647" t="s">
        <v>1732</v>
      </c>
      <c r="L936" s="657">
        <v>44400</v>
      </c>
      <c r="M936" s="665" t="s">
        <v>906</v>
      </c>
      <c r="N936" s="647" t="s">
        <v>1337</v>
      </c>
      <c r="O936" s="575"/>
      <c r="P936" s="665" t="str">
        <f>VLOOKUP(A936,'[1]Raw data'!$B:$BA,23,FALSE)</f>
        <v>JPY</v>
      </c>
      <c r="Q936" s="647" t="str">
        <f>VLOOKUP(A936,'[1]Raw data'!$B:$Z,2,FALSE)</f>
        <v>C49SZX20210152SX</v>
      </c>
      <c r="R936" s="647" t="str">
        <f>VLOOKUP(A936,'[1]Raw data'!$B:$Z,3,FALSE)</f>
        <v>太美亚</v>
      </c>
      <c r="S936" s="647" t="str">
        <f>VLOOKUP(A936,'[1]Raw data'!$B:$Z,4,FALSE)</f>
        <v>YSM10</v>
      </c>
      <c r="T936" s="647" t="str">
        <f>VLOOKUP(A936,'[1]Raw data'!$B:$Z,8,FALSE)</f>
        <v>L-&gt;R</v>
      </c>
      <c r="U936" s="647" t="str">
        <f>VLOOKUP(A936,'[1]Raw data'!$B:$Z,9,FALSE)</f>
        <v>MVC+ATS15</v>
      </c>
      <c r="V936" s="567" t="str">
        <f t="shared" si="175"/>
        <v>WRONG</v>
      </c>
      <c r="W936" s="563" t="str">
        <f>VLOOKUP(A936,'[1]Raw data'!$B:$AG,32,FALSE)</f>
        <v>DAP SZ</v>
      </c>
      <c r="X936" s="647">
        <f>VLOOKUP(A936,'[1]Raw data'!$B:$BA,31,FALSE)</f>
        <v>44351</v>
      </c>
      <c r="Y936" s="647" t="str">
        <f>VLOOKUP(A936,'[1]Raw data'!$B:$AS,39,FALSE)</f>
        <v>Yes</v>
      </c>
      <c r="Z936" s="659"/>
      <c r="AA936" s="660"/>
      <c r="AB936" s="661"/>
      <c r="AC936" s="647" t="s">
        <v>476</v>
      </c>
      <c r="AD936" s="662">
        <v>302</v>
      </c>
      <c r="AE936" s="662">
        <v>10</v>
      </c>
      <c r="AF936" s="662"/>
      <c r="AG936" s="662"/>
      <c r="AH936" s="662"/>
      <c r="AI936" s="663"/>
      <c r="AN936" s="542"/>
      <c r="AO936" s="824" t="str">
        <f t="shared" si="159"/>
        <v>Yes</v>
      </c>
      <c r="AP936" s="259" t="str">
        <f t="shared" si="160"/>
        <v>AUG 21</v>
      </c>
      <c r="AQ936" s="542" t="str">
        <f t="shared" si="161"/>
        <v>有定金+有預留客戶</v>
      </c>
      <c r="AR936" s="259" t="str">
        <f t="shared" si="162"/>
        <v>Shipped_Stock</v>
      </c>
      <c r="AS936" s="259" t="str">
        <f t="shared" si="163"/>
        <v/>
      </c>
      <c r="AT936" s="259" t="str">
        <f t="shared" si="164"/>
        <v>太美亚</v>
      </c>
      <c r="AU936" s="259" t="str">
        <f t="shared" si="165"/>
        <v>C49SZX20210152SX</v>
      </c>
      <c r="AV936" s="259" t="str">
        <f t="shared" si="166"/>
        <v>Jul-23</v>
      </c>
    </row>
    <row r="937" spans="1:48" hidden="1">
      <c r="A937" s="559">
        <v>855</v>
      </c>
      <c r="B937" s="664" t="s">
        <v>1125</v>
      </c>
      <c r="C937" s="664" t="s">
        <v>281</v>
      </c>
      <c r="D937" s="645">
        <v>110383</v>
      </c>
      <c r="E937" s="736" t="s">
        <v>1691</v>
      </c>
      <c r="F937" s="647" t="s">
        <v>17</v>
      </c>
      <c r="G937" s="647" t="s">
        <v>18</v>
      </c>
      <c r="H937" s="647" t="s">
        <v>26</v>
      </c>
      <c r="I937" s="575" t="s">
        <v>1775</v>
      </c>
      <c r="J937" s="575">
        <v>1</v>
      </c>
      <c r="K937" s="647" t="s">
        <v>1732</v>
      </c>
      <c r="L937" s="657">
        <v>44400</v>
      </c>
      <c r="M937" s="665" t="s">
        <v>906</v>
      </c>
      <c r="N937" s="647" t="s">
        <v>97</v>
      </c>
      <c r="O937" s="575"/>
      <c r="P937" s="665" t="str">
        <f>VLOOKUP(A937,'[1]Raw data'!$B:$BA,23,FALSE)</f>
        <v>JPY</v>
      </c>
      <c r="Q937" s="647" t="str">
        <f>VLOOKUP(A937,'[1]Raw data'!$B:$Z,2,FALSE)</f>
        <v>C49SZX20200176SX</v>
      </c>
      <c r="R937" s="647" t="str">
        <f>VLOOKUP(A937,'[1]Raw data'!$B:$Z,3,FALSE)</f>
        <v>兴开泰（合同吸嘴已发）</v>
      </c>
      <c r="S937" s="647" t="str">
        <f>VLOOKUP(A937,'[1]Raw data'!$B:$Z,4,FALSE)</f>
        <v>YSM10</v>
      </c>
      <c r="T937" s="647" t="str">
        <f>VLOOKUP(A937,'[1]Raw data'!$B:$Z,8,FALSE)</f>
        <v>L-&gt;R</v>
      </c>
      <c r="U937" s="647" t="str">
        <f>VLOOKUP(A937,'[1]Raw data'!$B:$Z,9,FALSE)</f>
        <v>MVC</v>
      </c>
      <c r="V937" s="567" t="str">
        <f t="shared" si="175"/>
        <v>WRONG</v>
      </c>
      <c r="W937" s="563" t="str">
        <f>VLOOKUP(A937,'[1]Raw data'!$B:$AG,32,FALSE)</f>
        <v>DAP DG</v>
      </c>
      <c r="X937" s="647">
        <f>VLOOKUP(A937,'[1]Raw data'!$B:$BA,31,FALSE)</f>
        <v>44098</v>
      </c>
      <c r="Y937" s="647" t="str">
        <f>VLOOKUP(A937,'[1]Raw data'!$B:$AS,39,FALSE)</f>
        <v>Yes</v>
      </c>
      <c r="Z937" s="659"/>
      <c r="AA937" s="660"/>
      <c r="AB937" s="661"/>
      <c r="AC937" s="647" t="s">
        <v>1776</v>
      </c>
      <c r="AD937" s="662">
        <v>302</v>
      </c>
      <c r="AE937" s="662">
        <v>10</v>
      </c>
      <c r="AF937" s="662"/>
      <c r="AG937" s="662"/>
      <c r="AH937" s="662"/>
      <c r="AI937" s="663"/>
      <c r="AN937" s="542"/>
      <c r="AO937" s="824" t="str">
        <f t="shared" si="159"/>
        <v>Yes</v>
      </c>
      <c r="AP937" s="259" t="str">
        <f t="shared" si="160"/>
        <v>JUL 21</v>
      </c>
      <c r="AQ937" s="542" t="str">
        <f t="shared" si="161"/>
        <v>有定金+有預留客戶</v>
      </c>
      <c r="AR937" s="259" t="str">
        <f t="shared" si="162"/>
        <v>Shipped_Stock</v>
      </c>
      <c r="AS937" s="259" t="str">
        <f t="shared" si="163"/>
        <v/>
      </c>
      <c r="AT937" s="259" t="str">
        <f t="shared" si="164"/>
        <v>兴开泰（合同吸嘴已发）</v>
      </c>
      <c r="AU937" s="259" t="str">
        <f t="shared" si="165"/>
        <v>C49SZX20200176SX</v>
      </c>
      <c r="AV937" s="259" t="str">
        <f t="shared" si="166"/>
        <v>Jul-23</v>
      </c>
    </row>
    <row r="938" spans="1:48" hidden="1">
      <c r="A938" s="559">
        <v>1089</v>
      </c>
      <c r="B938" s="664" t="s">
        <v>1125</v>
      </c>
      <c r="C938" s="664" t="s">
        <v>281</v>
      </c>
      <c r="D938" s="645" t="s">
        <v>1777</v>
      </c>
      <c r="E938" s="736" t="s">
        <v>1691</v>
      </c>
      <c r="F938" s="647" t="s">
        <v>17</v>
      </c>
      <c r="G938" s="647" t="s">
        <v>18</v>
      </c>
      <c r="H938" s="647" t="s">
        <v>26</v>
      </c>
      <c r="I938" s="575" t="s">
        <v>1778</v>
      </c>
      <c r="J938" s="575">
        <v>1</v>
      </c>
      <c r="K938" s="647" t="s">
        <v>1732</v>
      </c>
      <c r="L938" s="657">
        <v>44400</v>
      </c>
      <c r="M938" s="665">
        <v>5.9900000000000002E-2</v>
      </c>
      <c r="N938" s="647" t="s">
        <v>97</v>
      </c>
      <c r="O938" s="575"/>
      <c r="P938" s="665" t="str">
        <f>VLOOKUP(A938,'[1]Raw data'!$B:$BA,23,FALSE)</f>
        <v>RMB</v>
      </c>
      <c r="Q938" s="647" t="str">
        <f>VLOOKUP(A938,'[1]Raw data'!$B:$Z,2,FALSE)</f>
        <v>C49SZX20210015SS</v>
      </c>
      <c r="R938" s="647" t="str">
        <f>VLOOKUP(A938,'[1]Raw data'!$B:$Z,3,FALSE)</f>
        <v>保凌</v>
      </c>
      <c r="S938" s="647" t="str">
        <f>VLOOKUP(A938,'[1]Raw data'!$B:$Z,4,FALSE)</f>
        <v>YSM10</v>
      </c>
      <c r="T938" s="647" t="str">
        <f>VLOOKUP(A938,'[1]Raw data'!$B:$Z,8,FALSE)</f>
        <v>R-&gt;L</v>
      </c>
      <c r="U938" s="647" t="str">
        <f>VLOOKUP(A938,'[1]Raw data'!$B:$Z,9,FALSE)</f>
        <v>No</v>
      </c>
      <c r="V938" s="567" t="str">
        <f t="shared" si="175"/>
        <v>OK</v>
      </c>
      <c r="W938" s="563" t="str">
        <f>VLOOKUP(A938,'[1]Raw data'!$B:$AG,32,FALSE)</f>
        <v>含税到厂</v>
      </c>
      <c r="X938" s="647">
        <f>VLOOKUP(A938,'[1]Raw data'!$B:$BA,31,FALSE)</f>
        <v>44221</v>
      </c>
      <c r="Y938" s="647" t="str">
        <f>VLOOKUP(A938,'[1]Raw data'!$B:$AS,39,FALSE)</f>
        <v>Yes</v>
      </c>
      <c r="Z938" s="659"/>
      <c r="AA938" s="660"/>
      <c r="AB938" s="661"/>
      <c r="AC938" s="647" t="s">
        <v>1779</v>
      </c>
      <c r="AD938" s="662">
        <v>302</v>
      </c>
      <c r="AE938" s="662">
        <v>10</v>
      </c>
      <c r="AF938" s="662"/>
      <c r="AG938" s="662"/>
      <c r="AH938" s="662"/>
      <c r="AI938" s="663"/>
      <c r="AN938" s="542"/>
      <c r="AO938" s="824" t="str">
        <f t="shared" si="159"/>
        <v>Yes</v>
      </c>
      <c r="AP938" s="259" t="str">
        <f t="shared" si="160"/>
        <v>JUL 21</v>
      </c>
      <c r="AQ938" s="542" t="str">
        <f t="shared" si="161"/>
        <v>有定金+有預留客戶</v>
      </c>
      <c r="AR938" s="259" t="str">
        <f t="shared" si="162"/>
        <v>Shipped_Stock</v>
      </c>
      <c r="AS938" s="259" t="str">
        <f t="shared" si="163"/>
        <v/>
      </c>
      <c r="AT938" s="259" t="str">
        <f t="shared" si="164"/>
        <v>保凌</v>
      </c>
      <c r="AU938" s="259" t="str">
        <f t="shared" si="165"/>
        <v>C49SZX20210015SS</v>
      </c>
      <c r="AV938" s="259" t="str">
        <f t="shared" si="166"/>
        <v>Jul-23</v>
      </c>
    </row>
    <row r="939" spans="1:48" hidden="1">
      <c r="A939" s="559">
        <v>1322</v>
      </c>
      <c r="B939" s="664" t="s">
        <v>1125</v>
      </c>
      <c r="C939" s="664" t="s">
        <v>281</v>
      </c>
      <c r="D939" s="645">
        <v>110431</v>
      </c>
      <c r="E939" s="563" t="s">
        <v>886</v>
      </c>
      <c r="F939" s="647" t="s">
        <v>58</v>
      </c>
      <c r="G939" s="647" t="s">
        <v>24</v>
      </c>
      <c r="H939" s="647" t="s">
        <v>26</v>
      </c>
      <c r="I939" s="575" t="s">
        <v>1780</v>
      </c>
      <c r="J939" s="575">
        <v>1</v>
      </c>
      <c r="K939" s="647" t="s">
        <v>78</v>
      </c>
      <c r="L939" s="657">
        <v>44400</v>
      </c>
      <c r="M939" s="665">
        <v>6.0600000000000001E-2</v>
      </c>
      <c r="N939" s="647" t="s">
        <v>1337</v>
      </c>
      <c r="O939" s="575"/>
      <c r="P939" s="665" t="str">
        <f>VLOOKUP(A939,'[1]Raw data'!$B:$BA,23,FALSE)</f>
        <v>RMB</v>
      </c>
      <c r="Q939" s="647" t="str">
        <f>VLOOKUP(A939,'[1]Raw data'!$B:$Z,2,FALSE)</f>
        <v>C49SZX20210110SS</v>
      </c>
      <c r="R939" s="647" t="str">
        <f>VLOOKUP(A939,'[1]Raw data'!$B:$Z,3,FALSE)</f>
        <v>蓝泰翔</v>
      </c>
      <c r="S939" s="647" t="str">
        <f>VLOOKUP(A939,'[1]Raw data'!$B:$Z,4,FALSE)</f>
        <v>YSM20R-2</v>
      </c>
      <c r="T939" s="647" t="str">
        <f>VLOOKUP(A939,'[1]Raw data'!$B:$Z,8,FALSE)</f>
        <v>L-&gt;R</v>
      </c>
      <c r="U939" s="647" t="str">
        <f>VLOOKUP(A939,'[1]Raw data'!$B:$Z,9,FALSE)</f>
        <v>No</v>
      </c>
      <c r="V939" s="567" t="str">
        <f t="shared" si="175"/>
        <v>OK</v>
      </c>
      <c r="W939" s="563" t="str">
        <f>VLOOKUP(A939,'[1]Raw data'!$B:$AG,32,FALSE)</f>
        <v>DDP SZ</v>
      </c>
      <c r="X939" s="647">
        <f>VLOOKUP(A939,'[1]Raw data'!$B:$BA,31,FALSE)</f>
        <v>44296</v>
      </c>
      <c r="Y939" s="647" t="str">
        <f>VLOOKUP(A939,'[1]Raw data'!$B:$AS,39,FALSE)</f>
        <v>Yes</v>
      </c>
      <c r="Z939" s="659"/>
      <c r="AA939" s="660"/>
      <c r="AB939" s="661"/>
      <c r="AC939" s="647" t="s">
        <v>1781</v>
      </c>
      <c r="AD939" s="662">
        <v>301</v>
      </c>
      <c r="AE939" s="662">
        <v>10</v>
      </c>
      <c r="AF939" s="662">
        <v>311</v>
      </c>
      <c r="AG939" s="662">
        <v>10</v>
      </c>
      <c r="AH939" s="662"/>
      <c r="AI939" s="663"/>
      <c r="AN939" s="542"/>
      <c r="AO939" s="824" t="str">
        <f t="shared" si="159"/>
        <v>Yes</v>
      </c>
      <c r="AP939" s="259" t="str">
        <f t="shared" si="160"/>
        <v>AUG 21</v>
      </c>
      <c r="AQ939" s="542" t="str">
        <f t="shared" si="161"/>
        <v>有定金+有預留客戶</v>
      </c>
      <c r="AR939" s="259" t="str">
        <f t="shared" si="162"/>
        <v>Shipped_Stock</v>
      </c>
      <c r="AS939" s="259" t="str">
        <f t="shared" si="163"/>
        <v/>
      </c>
      <c r="AT939" s="259" t="str">
        <f t="shared" si="164"/>
        <v>蓝泰翔</v>
      </c>
      <c r="AU939" s="259" t="str">
        <f t="shared" si="165"/>
        <v>C49SZX20210110SS</v>
      </c>
      <c r="AV939" s="259" t="str">
        <f t="shared" si="166"/>
        <v>Jul-23</v>
      </c>
    </row>
    <row r="940" spans="1:48" hidden="1">
      <c r="A940" s="559">
        <v>1210</v>
      </c>
      <c r="B940" s="664" t="s">
        <v>1125</v>
      </c>
      <c r="C940" s="664" t="s">
        <v>15</v>
      </c>
      <c r="D940" s="645">
        <v>110314</v>
      </c>
      <c r="E940" s="750" t="s">
        <v>101</v>
      </c>
      <c r="F940" s="647" t="s">
        <v>58</v>
      </c>
      <c r="G940" s="647" t="s">
        <v>24</v>
      </c>
      <c r="H940" s="647" t="s">
        <v>307</v>
      </c>
      <c r="I940" s="575" t="s">
        <v>1782</v>
      </c>
      <c r="J940" s="575">
        <v>1</v>
      </c>
      <c r="K940" s="647" t="s">
        <v>1732</v>
      </c>
      <c r="L940" s="657">
        <v>44421</v>
      </c>
      <c r="M940" s="665" t="s">
        <v>906</v>
      </c>
      <c r="N940" s="647" t="s">
        <v>1337</v>
      </c>
      <c r="O940" s="575"/>
      <c r="P940" s="665" t="str">
        <f>VLOOKUP(A940,'[1]Raw data'!$B:$BA,23,FALSE)</f>
        <v>JPY</v>
      </c>
      <c r="Q940" s="647" t="str">
        <f>VLOOKUP(A940,'[1]Raw data'!$B:$Z,2,FALSE)</f>
        <v>C49SZX20210125DZ</v>
      </c>
      <c r="R940" s="647" t="str">
        <f>VLOOKUP(A940,'[1]Raw data'!$B:$Z,3,FALSE)</f>
        <v>斯迈电子</v>
      </c>
      <c r="S940" s="647" t="str">
        <f>VLOOKUP(A940,'[1]Raw data'!$B:$Z,4,FALSE)</f>
        <v>YSM20R-2</v>
      </c>
      <c r="T940" s="647" t="str">
        <f>VLOOKUP(A940,'[1]Raw data'!$B:$Z,8,FALSE)</f>
        <v>L-&gt;R</v>
      </c>
      <c r="U940" s="647" t="str">
        <f>VLOOKUP(A940,'[1]Raw data'!$B:$Z,9,FALSE)</f>
        <v>MVC</v>
      </c>
      <c r="V940" s="567" t="str">
        <f t="shared" ref="V940" si="176">IF(G940&amp;H940=T940&amp;U940,"OK","WRONG")</f>
        <v>WRONG</v>
      </c>
      <c r="W940" s="563" t="str">
        <f>VLOOKUP(A940,'[1]Raw data'!$B:$AG,32,FALSE)</f>
        <v>DAP GZ</v>
      </c>
      <c r="X940" s="647">
        <f>VLOOKUP(A940,'[1]Raw data'!$B:$BA,31,FALSE)</f>
        <v>44260</v>
      </c>
      <c r="Y940" s="647" t="str">
        <f>VLOOKUP(A940,'[1]Raw data'!$B:$AS,39,FALSE)</f>
        <v>Yes</v>
      </c>
      <c r="Z940" s="662"/>
      <c r="AA940" s="662"/>
      <c r="AB940" s="662"/>
      <c r="AC940" s="575" t="s">
        <v>1783</v>
      </c>
      <c r="AD940" s="662">
        <v>301</v>
      </c>
      <c r="AE940" s="662">
        <v>20</v>
      </c>
      <c r="AF940" s="662"/>
      <c r="AG940" s="662"/>
      <c r="AH940" s="662"/>
      <c r="AI940" s="663"/>
      <c r="AN940" s="542"/>
      <c r="AO940" s="824" t="str">
        <f t="shared" si="159"/>
        <v>Yes</v>
      </c>
      <c r="AP940" s="259" t="str">
        <f t="shared" si="160"/>
        <v>AUG 21</v>
      </c>
      <c r="AQ940" s="542" t="str">
        <f t="shared" si="161"/>
        <v>有定金+有預留客戶</v>
      </c>
      <c r="AR940" s="259" t="str">
        <f t="shared" si="162"/>
        <v>Shipped_Stock</v>
      </c>
      <c r="AS940" s="259" t="str">
        <f t="shared" si="163"/>
        <v/>
      </c>
      <c r="AT940" s="259" t="str">
        <f t="shared" si="164"/>
        <v>斯迈电子</v>
      </c>
      <c r="AU940" s="259" t="str">
        <f t="shared" si="165"/>
        <v>C49SZX20210125DZ</v>
      </c>
      <c r="AV940" s="259" t="str">
        <f t="shared" si="166"/>
        <v>Aug-13</v>
      </c>
    </row>
    <row r="941" spans="1:48" hidden="1">
      <c r="A941" s="559">
        <v>1212</v>
      </c>
      <c r="B941" s="664" t="s">
        <v>1125</v>
      </c>
      <c r="C941" s="664" t="s">
        <v>15</v>
      </c>
      <c r="D941" s="645">
        <v>110314</v>
      </c>
      <c r="E941" s="750" t="s">
        <v>101</v>
      </c>
      <c r="F941" s="647" t="s">
        <v>58</v>
      </c>
      <c r="G941" s="647" t="s">
        <v>24</v>
      </c>
      <c r="H941" s="647" t="s">
        <v>307</v>
      </c>
      <c r="I941" s="575" t="s">
        <v>1784</v>
      </c>
      <c r="J941" s="575">
        <v>1</v>
      </c>
      <c r="K941" s="647" t="s">
        <v>1732</v>
      </c>
      <c r="L941" s="657">
        <v>44421</v>
      </c>
      <c r="M941" s="665" t="s">
        <v>906</v>
      </c>
      <c r="N941" s="647" t="s">
        <v>1337</v>
      </c>
      <c r="O941" s="575"/>
      <c r="P941" s="665" t="str">
        <f>VLOOKUP(A941,'[1]Raw data'!$B:$BA,23,FALSE)</f>
        <v>JPY</v>
      </c>
      <c r="Q941" s="647" t="str">
        <f>VLOOKUP(A941,'[1]Raw data'!$B:$Z,2,FALSE)</f>
        <v>C49SZX20210125DZ</v>
      </c>
      <c r="R941" s="647" t="str">
        <f>VLOOKUP(A941,'[1]Raw data'!$B:$Z,3,FALSE)</f>
        <v>斯迈电子</v>
      </c>
      <c r="S941" s="647" t="str">
        <f>VLOOKUP(A941,'[1]Raw data'!$B:$Z,4,FALSE)</f>
        <v>YSM20R-2</v>
      </c>
      <c r="T941" s="647" t="str">
        <f>VLOOKUP(A941,'[1]Raw data'!$B:$Z,8,FALSE)</f>
        <v>L-&gt;R</v>
      </c>
      <c r="U941" s="647" t="str">
        <f>VLOOKUP(A941,'[1]Raw data'!$B:$Z,9,FALSE)</f>
        <v>No</v>
      </c>
      <c r="V941" s="567" t="str">
        <f t="shared" ref="V941:V946" si="177">IF(G941&amp;H941=T941&amp;U941,"OK","WRONG")</f>
        <v>OK</v>
      </c>
      <c r="W941" s="563" t="str">
        <f>VLOOKUP(A941,'[1]Raw data'!$B:$AG,32,FALSE)</f>
        <v>DAP GZ</v>
      </c>
      <c r="X941" s="647">
        <f>VLOOKUP(A941,'[1]Raw data'!$B:$BA,31,FALSE)</f>
        <v>44260</v>
      </c>
      <c r="Y941" s="647" t="str">
        <f>VLOOKUP(A941,'[1]Raw data'!$B:$AS,39,FALSE)</f>
        <v>Yes</v>
      </c>
      <c r="Z941" s="662"/>
      <c r="AA941" s="662"/>
      <c r="AB941" s="662"/>
      <c r="AC941" s="575" t="s">
        <v>1783</v>
      </c>
      <c r="AD941" s="662">
        <v>301</v>
      </c>
      <c r="AE941" s="662">
        <v>10</v>
      </c>
      <c r="AF941" s="662">
        <v>311</v>
      </c>
      <c r="AG941" s="662">
        <v>10</v>
      </c>
      <c r="AH941" s="662"/>
      <c r="AI941" s="663"/>
      <c r="AN941" s="542"/>
      <c r="AO941" s="824" t="str">
        <f t="shared" si="159"/>
        <v>Yes</v>
      </c>
      <c r="AP941" s="259" t="str">
        <f t="shared" si="160"/>
        <v>AUG 21</v>
      </c>
      <c r="AQ941" s="542" t="str">
        <f t="shared" si="161"/>
        <v>有定金+有預留客戶</v>
      </c>
      <c r="AR941" s="259" t="str">
        <f t="shared" si="162"/>
        <v>Shipped_Stock</v>
      </c>
      <c r="AS941" s="259" t="str">
        <f t="shared" si="163"/>
        <v/>
      </c>
      <c r="AT941" s="259" t="str">
        <f t="shared" si="164"/>
        <v>斯迈电子</v>
      </c>
      <c r="AU941" s="259" t="str">
        <f t="shared" si="165"/>
        <v>C49SZX20210125DZ</v>
      </c>
      <c r="AV941" s="259" t="str">
        <f t="shared" si="166"/>
        <v>Aug-13</v>
      </c>
    </row>
    <row r="942" spans="1:48" hidden="1">
      <c r="A942" s="559">
        <v>1214</v>
      </c>
      <c r="B942" s="664" t="s">
        <v>1125</v>
      </c>
      <c r="C942" s="664" t="s">
        <v>15</v>
      </c>
      <c r="D942" s="645">
        <v>110314</v>
      </c>
      <c r="E942" s="750" t="s">
        <v>101</v>
      </c>
      <c r="F942" s="647" t="s">
        <v>58</v>
      </c>
      <c r="G942" s="647" t="s">
        <v>24</v>
      </c>
      <c r="H942" s="647" t="s">
        <v>307</v>
      </c>
      <c r="I942" s="575" t="s">
        <v>1785</v>
      </c>
      <c r="J942" s="575">
        <v>1</v>
      </c>
      <c r="K942" s="647" t="s">
        <v>1732</v>
      </c>
      <c r="L942" s="657">
        <v>44421</v>
      </c>
      <c r="M942" s="665" t="s">
        <v>906</v>
      </c>
      <c r="N942" s="647" t="s">
        <v>1337</v>
      </c>
      <c r="O942" s="575"/>
      <c r="P942" s="665" t="str">
        <f>VLOOKUP(A942,'[1]Raw data'!$B:$BA,23,FALSE)</f>
        <v>JPY</v>
      </c>
      <c r="Q942" s="647" t="str">
        <f>VLOOKUP(A942,'[1]Raw data'!$B:$Z,2,FALSE)</f>
        <v>C49SZX20210125DZ</v>
      </c>
      <c r="R942" s="647" t="str">
        <f>VLOOKUP(A942,'[1]Raw data'!$B:$Z,3,FALSE)</f>
        <v>斯迈电子</v>
      </c>
      <c r="S942" s="647" t="str">
        <f>VLOOKUP(A942,'[1]Raw data'!$B:$Z,4,FALSE)</f>
        <v>YSM20R-2</v>
      </c>
      <c r="T942" s="647" t="str">
        <f>VLOOKUP(A942,'[1]Raw data'!$B:$Z,8,FALSE)</f>
        <v>L-&gt;R</v>
      </c>
      <c r="U942" s="647" t="str">
        <f>VLOOKUP(A942,'[1]Raw data'!$B:$Z,9,FALSE)</f>
        <v>No</v>
      </c>
      <c r="V942" s="567" t="str">
        <f t="shared" si="177"/>
        <v>OK</v>
      </c>
      <c r="W942" s="563" t="str">
        <f>VLOOKUP(A942,'[1]Raw data'!$B:$AG,32,FALSE)</f>
        <v>DAP GZ</v>
      </c>
      <c r="X942" s="647">
        <f>VLOOKUP(A942,'[1]Raw data'!$B:$BA,31,FALSE)</f>
        <v>44260</v>
      </c>
      <c r="Y942" s="647" t="str">
        <f>VLOOKUP(A942,'[1]Raw data'!$B:$AS,39,FALSE)</f>
        <v>Yes</v>
      </c>
      <c r="Z942" s="662"/>
      <c r="AA942" s="662"/>
      <c r="AB942" s="662"/>
      <c r="AC942" s="575" t="s">
        <v>1783</v>
      </c>
      <c r="AD942" s="662">
        <v>301</v>
      </c>
      <c r="AE942" s="662">
        <v>10</v>
      </c>
      <c r="AF942" s="662">
        <v>312</v>
      </c>
      <c r="AG942" s="662">
        <v>10</v>
      </c>
      <c r="AH942" s="662"/>
      <c r="AI942" s="663"/>
      <c r="AN942" s="542"/>
      <c r="AO942" s="824" t="str">
        <f t="shared" si="159"/>
        <v>Yes</v>
      </c>
      <c r="AP942" s="259" t="str">
        <f t="shared" si="160"/>
        <v>AUG 21</v>
      </c>
      <c r="AQ942" s="542" t="str">
        <f t="shared" si="161"/>
        <v>有定金+有預留客戶</v>
      </c>
      <c r="AR942" s="259" t="str">
        <f t="shared" si="162"/>
        <v>Shipped_Stock</v>
      </c>
      <c r="AS942" s="259" t="str">
        <f t="shared" si="163"/>
        <v/>
      </c>
      <c r="AT942" s="259" t="str">
        <f t="shared" si="164"/>
        <v>斯迈电子</v>
      </c>
      <c r="AU942" s="259" t="str">
        <f t="shared" si="165"/>
        <v>C49SZX20210125DZ</v>
      </c>
      <c r="AV942" s="259" t="str">
        <f t="shared" si="166"/>
        <v>Aug-13</v>
      </c>
    </row>
    <row r="943" spans="1:48" hidden="1">
      <c r="A943" s="559">
        <v>1346</v>
      </c>
      <c r="B943" s="664" t="s">
        <v>1125</v>
      </c>
      <c r="C943" s="664" t="s">
        <v>15</v>
      </c>
      <c r="D943" s="645">
        <v>110314</v>
      </c>
      <c r="E943" s="750" t="s">
        <v>101</v>
      </c>
      <c r="F943" s="647" t="s">
        <v>58</v>
      </c>
      <c r="G943" s="647" t="s">
        <v>24</v>
      </c>
      <c r="H943" s="647" t="s">
        <v>307</v>
      </c>
      <c r="I943" s="575" t="s">
        <v>1786</v>
      </c>
      <c r="J943" s="575">
        <v>1</v>
      </c>
      <c r="K943" s="647" t="s">
        <v>1732</v>
      </c>
      <c r="L943" s="657">
        <v>44421</v>
      </c>
      <c r="M943" s="665" t="s">
        <v>906</v>
      </c>
      <c r="N943" s="647" t="s">
        <v>1337</v>
      </c>
      <c r="O943" s="575"/>
      <c r="P943" s="665" t="str">
        <f>VLOOKUP(A943,'[1]Raw data'!$B:$BA,23,FALSE)</f>
        <v>JPY</v>
      </c>
      <c r="Q943" s="647" t="str">
        <f>VLOOKUP(A943,'[1]Raw data'!$B:$Z,2,FALSE)</f>
        <v>C49SZX20210120R1JY</v>
      </c>
      <c r="R943" s="647" t="str">
        <f>VLOOKUP(A943,'[1]Raw data'!$B:$Z,3,FALSE)</f>
        <v>海松微(此相机是C49SZX20210062JY相机）</v>
      </c>
      <c r="S943" s="647" t="str">
        <f>VLOOKUP(A943,'[1]Raw data'!$B:$Z,4,FALSE)</f>
        <v>YSM20R-2</v>
      </c>
      <c r="T943" s="647" t="str">
        <f>VLOOKUP(A943,'[1]Raw data'!$B:$Z,8,FALSE)</f>
        <v>L-&gt;R</v>
      </c>
      <c r="U943" s="647" t="str">
        <f>VLOOKUP(A943,'[1]Raw data'!$B:$Z,9,FALSE)</f>
        <v>No</v>
      </c>
      <c r="V943" s="567" t="str">
        <f t="shared" si="177"/>
        <v>OK</v>
      </c>
      <c r="W943" s="563" t="str">
        <f>VLOOKUP(A943,'[1]Raw data'!$B:$AG,32,FALSE)</f>
        <v>DAP SZ</v>
      </c>
      <c r="X943" s="647">
        <f>VLOOKUP(A943,'[1]Raw data'!$B:$BA,31,FALSE)</f>
        <v>44306</v>
      </c>
      <c r="Y943" s="647" t="str">
        <f>VLOOKUP(A943,'[1]Raw data'!$B:$AS,39,FALSE)</f>
        <v>Yes</v>
      </c>
      <c r="Z943" s="662"/>
      <c r="AA943" s="662"/>
      <c r="AB943" s="662"/>
      <c r="AC943" s="563" t="s">
        <v>662</v>
      </c>
      <c r="AD943" s="662">
        <v>301</v>
      </c>
      <c r="AE943" s="662">
        <v>10</v>
      </c>
      <c r="AF943" s="662">
        <v>311</v>
      </c>
      <c r="AG943" s="662">
        <v>10</v>
      </c>
      <c r="AH943" s="662"/>
      <c r="AI943" s="663"/>
      <c r="AN943" s="542"/>
      <c r="AO943" s="824" t="str">
        <f t="shared" si="159"/>
        <v>Yes</v>
      </c>
      <c r="AP943" s="259" t="str">
        <f t="shared" si="160"/>
        <v>AUG 21</v>
      </c>
      <c r="AQ943" s="542" t="str">
        <f t="shared" si="161"/>
        <v>有定金+有預留客戶</v>
      </c>
      <c r="AR943" s="259" t="str">
        <f t="shared" si="162"/>
        <v>Shipped_Stock</v>
      </c>
      <c r="AS943" s="259" t="str">
        <f t="shared" si="163"/>
        <v/>
      </c>
      <c r="AT943" s="259" t="str">
        <f t="shared" si="164"/>
        <v>海松微(此相机是C49SZX20210062JY相机）</v>
      </c>
      <c r="AU943" s="259" t="str">
        <f t="shared" si="165"/>
        <v>C49SZX20210120R1JY</v>
      </c>
      <c r="AV943" s="259" t="str">
        <f t="shared" si="166"/>
        <v>Aug-13</v>
      </c>
    </row>
    <row r="944" spans="1:48" hidden="1">
      <c r="A944" s="559">
        <v>1419</v>
      </c>
      <c r="B944" s="664" t="s">
        <v>1125</v>
      </c>
      <c r="C944" s="664" t="s">
        <v>15</v>
      </c>
      <c r="D944" s="645">
        <v>110314</v>
      </c>
      <c r="E944" s="750" t="s">
        <v>101</v>
      </c>
      <c r="F944" s="647" t="s">
        <v>58</v>
      </c>
      <c r="G944" s="647" t="s">
        <v>24</v>
      </c>
      <c r="H944" s="647" t="s">
        <v>307</v>
      </c>
      <c r="I944" s="575" t="s">
        <v>1787</v>
      </c>
      <c r="J944" s="575">
        <v>1</v>
      </c>
      <c r="K944" s="647" t="s">
        <v>1732</v>
      </c>
      <c r="L944" s="657">
        <v>44421</v>
      </c>
      <c r="M944" s="665" t="s">
        <v>906</v>
      </c>
      <c r="N944" s="647" t="s">
        <v>1337</v>
      </c>
      <c r="O944" s="575"/>
      <c r="P944" s="665" t="str">
        <f>VLOOKUP(A944,'[1]Raw data'!$B:$BA,23,FALSE)</f>
        <v>JPY</v>
      </c>
      <c r="Q944" s="647" t="str">
        <f>VLOOKUP(A944,'[1]Raw data'!$B:$Z,2,FALSE)</f>
        <v>C49SZX20210152SX</v>
      </c>
      <c r="R944" s="647" t="str">
        <f>VLOOKUP(A944,'[1]Raw data'!$B:$Z,3,FALSE)</f>
        <v>太美亚</v>
      </c>
      <c r="S944" s="647" t="str">
        <f>VLOOKUP(A944,'[1]Raw data'!$B:$Z,4,FALSE)</f>
        <v>YSM20R-2</v>
      </c>
      <c r="T944" s="647" t="str">
        <f>VLOOKUP(A944,'[1]Raw data'!$B:$Z,8,FALSE)</f>
        <v>L-&gt;R</v>
      </c>
      <c r="U944" s="647" t="str">
        <f>VLOOKUP(A944,'[1]Raw data'!$B:$Z,9,FALSE)</f>
        <v>No</v>
      </c>
      <c r="V944" s="567" t="str">
        <f t="shared" si="177"/>
        <v>OK</v>
      </c>
      <c r="W944" s="563" t="str">
        <f>VLOOKUP(A944,'[1]Raw data'!$B:$AG,32,FALSE)</f>
        <v>DAP SZ</v>
      </c>
      <c r="X944" s="647">
        <f>VLOOKUP(A944,'[1]Raw data'!$B:$BA,31,FALSE)</f>
        <v>44351</v>
      </c>
      <c r="Y944" s="647" t="str">
        <f>VLOOKUP(A944,'[1]Raw data'!$B:$AS,39,FALSE)</f>
        <v>Yes</v>
      </c>
      <c r="Z944" s="662"/>
      <c r="AA944" s="662"/>
      <c r="AB944" s="662"/>
      <c r="AC944" s="575" t="s">
        <v>476</v>
      </c>
      <c r="AD944" s="662">
        <v>301</v>
      </c>
      <c r="AE944" s="662">
        <v>10</v>
      </c>
      <c r="AF944" s="662">
        <v>311</v>
      </c>
      <c r="AG944" s="662">
        <v>10</v>
      </c>
      <c r="AH944" s="662"/>
      <c r="AI944" s="663"/>
      <c r="AN944" s="542"/>
      <c r="AO944" s="824" t="str">
        <f t="shared" si="159"/>
        <v>Yes</v>
      </c>
      <c r="AP944" s="259" t="str">
        <f t="shared" si="160"/>
        <v>AUG 21</v>
      </c>
      <c r="AQ944" s="542" t="str">
        <f t="shared" si="161"/>
        <v>有定金+有預留客戶</v>
      </c>
      <c r="AR944" s="259" t="str">
        <f t="shared" si="162"/>
        <v>Shipped_Stock</v>
      </c>
      <c r="AS944" s="259" t="str">
        <f t="shared" si="163"/>
        <v/>
      </c>
      <c r="AT944" s="259" t="str">
        <f t="shared" si="164"/>
        <v>太美亚</v>
      </c>
      <c r="AU944" s="259" t="str">
        <f t="shared" si="165"/>
        <v>C49SZX20210152SX</v>
      </c>
      <c r="AV944" s="259" t="str">
        <f t="shared" si="166"/>
        <v>Aug-13</v>
      </c>
    </row>
    <row r="945" spans="1:48" hidden="1">
      <c r="A945" s="559">
        <v>1420</v>
      </c>
      <c r="B945" s="664" t="s">
        <v>1125</v>
      </c>
      <c r="C945" s="664" t="s">
        <v>281</v>
      </c>
      <c r="D945" s="645">
        <v>110500</v>
      </c>
      <c r="E945" s="736" t="s">
        <v>1691</v>
      </c>
      <c r="F945" s="647" t="s">
        <v>58</v>
      </c>
      <c r="G945" s="647" t="s">
        <v>24</v>
      </c>
      <c r="H945" s="647" t="s">
        <v>26</v>
      </c>
      <c r="I945" s="575" t="s">
        <v>1788</v>
      </c>
      <c r="J945" s="575">
        <v>1</v>
      </c>
      <c r="K945" s="647" t="s">
        <v>1358</v>
      </c>
      <c r="L945" s="657">
        <v>44434</v>
      </c>
      <c r="M945" s="665" t="s">
        <v>906</v>
      </c>
      <c r="N945" s="647" t="s">
        <v>1337</v>
      </c>
      <c r="O945" s="575"/>
      <c r="P945" s="665" t="str">
        <f>VLOOKUP(A945,'[1]Raw data'!$B:$BA,23,FALSE)</f>
        <v>JPY</v>
      </c>
      <c r="Q945" s="647" t="str">
        <f>VLOOKUP(A945,'[1]Raw data'!$B:$Z,2,FALSE)</f>
        <v>C49SZX20210152SX</v>
      </c>
      <c r="R945" s="647" t="str">
        <f>VLOOKUP(A945,'[1]Raw data'!$B:$Z,3,FALSE)</f>
        <v>太美亚</v>
      </c>
      <c r="S945" s="647" t="str">
        <f>VLOOKUP(A945,'[1]Raw data'!$B:$Z,4,FALSE)</f>
        <v>YSM20R-2</v>
      </c>
      <c r="T945" s="647" t="str">
        <f>VLOOKUP(A945,'[1]Raw data'!$B:$Z,8,FALSE)</f>
        <v>L-&gt;R</v>
      </c>
      <c r="U945" s="647" t="str">
        <f>VLOOKUP(A945,'[1]Raw data'!$B:$Z,9,FALSE)</f>
        <v>MVC</v>
      </c>
      <c r="V945" s="567" t="str">
        <f t="shared" si="177"/>
        <v>WRONG</v>
      </c>
      <c r="W945" s="563" t="str">
        <f>VLOOKUP(A945,'[1]Raw data'!$B:$AG,32,FALSE)</f>
        <v>DAP SZ</v>
      </c>
      <c r="X945" s="647">
        <f>VLOOKUP(A945,'[1]Raw data'!$B:$BA,31,FALSE)</f>
        <v>44351</v>
      </c>
      <c r="Y945" s="647" t="str">
        <f>VLOOKUP(A945,'[1]Raw data'!$B:$AS,39,FALSE)</f>
        <v>Yes</v>
      </c>
      <c r="Z945" s="659"/>
      <c r="AA945" s="660"/>
      <c r="AB945" s="661"/>
      <c r="AC945" s="647" t="s">
        <v>476</v>
      </c>
      <c r="AD945" s="662">
        <v>311</v>
      </c>
      <c r="AE945" s="662">
        <v>10</v>
      </c>
      <c r="AF945" s="662">
        <v>301</v>
      </c>
      <c r="AG945" s="662">
        <v>10</v>
      </c>
      <c r="AH945" s="662"/>
      <c r="AI945" s="663"/>
      <c r="AN945" s="542"/>
      <c r="AO945" s="824" t="str">
        <f t="shared" si="159"/>
        <v>Yes</v>
      </c>
      <c r="AP945" s="259" t="str">
        <f t="shared" si="160"/>
        <v>AUG 21</v>
      </c>
      <c r="AQ945" s="542" t="str">
        <f t="shared" si="161"/>
        <v>有定金+有預留客戶</v>
      </c>
      <c r="AR945" s="259" t="str">
        <f t="shared" si="162"/>
        <v>Shipped_Stock</v>
      </c>
      <c r="AS945" s="259" t="str">
        <f t="shared" si="163"/>
        <v/>
      </c>
      <c r="AT945" s="259" t="str">
        <f t="shared" si="164"/>
        <v>太美亚</v>
      </c>
      <c r="AU945" s="259" t="str">
        <f t="shared" si="165"/>
        <v>C49SZX20210152SX</v>
      </c>
      <c r="AV945" s="259" t="str">
        <f t="shared" si="166"/>
        <v>Aug-26</v>
      </c>
    </row>
    <row r="946" spans="1:48" hidden="1">
      <c r="A946" s="559">
        <v>1421</v>
      </c>
      <c r="B946" s="664" t="s">
        <v>1125</v>
      </c>
      <c r="C946" s="664" t="s">
        <v>281</v>
      </c>
      <c r="D946" s="645">
        <v>110500</v>
      </c>
      <c r="E946" s="736" t="s">
        <v>1691</v>
      </c>
      <c r="F946" s="647" t="s">
        <v>58</v>
      </c>
      <c r="G946" s="647" t="s">
        <v>24</v>
      </c>
      <c r="H946" s="647" t="s">
        <v>26</v>
      </c>
      <c r="I946" s="575" t="s">
        <v>1789</v>
      </c>
      <c r="J946" s="575">
        <v>1</v>
      </c>
      <c r="K946" s="647" t="s">
        <v>1358</v>
      </c>
      <c r="L946" s="657">
        <v>44434</v>
      </c>
      <c r="M946" s="665" t="s">
        <v>906</v>
      </c>
      <c r="N946" s="647" t="s">
        <v>1337</v>
      </c>
      <c r="O946" s="575"/>
      <c r="P946" s="665" t="str">
        <f>VLOOKUP(A946,'[1]Raw data'!$B:$BA,23,FALSE)</f>
        <v>JPY</v>
      </c>
      <c r="Q946" s="647" t="str">
        <f>VLOOKUP(A946,'[1]Raw data'!$B:$Z,2,FALSE)</f>
        <v>C49SZX20210152SX</v>
      </c>
      <c r="R946" s="647" t="str">
        <f>VLOOKUP(A946,'[1]Raw data'!$B:$Z,3,FALSE)</f>
        <v>太美亚</v>
      </c>
      <c r="S946" s="647" t="str">
        <f>VLOOKUP(A946,'[1]Raw data'!$B:$Z,4,FALSE)</f>
        <v>YSM20R-2</v>
      </c>
      <c r="T946" s="647" t="str">
        <f>VLOOKUP(A946,'[1]Raw data'!$B:$Z,8,FALSE)</f>
        <v>L-&gt;R</v>
      </c>
      <c r="U946" s="647" t="str">
        <f>VLOOKUP(A946,'[1]Raw data'!$B:$Z,9,FALSE)</f>
        <v>MVC</v>
      </c>
      <c r="V946" s="567" t="str">
        <f t="shared" si="177"/>
        <v>WRONG</v>
      </c>
      <c r="W946" s="563" t="str">
        <f>VLOOKUP(A946,'[1]Raw data'!$B:$AG,32,FALSE)</f>
        <v>DAP SZ</v>
      </c>
      <c r="X946" s="647">
        <f>VLOOKUP(A946,'[1]Raw data'!$B:$BA,31,FALSE)</f>
        <v>44351</v>
      </c>
      <c r="Y946" s="647" t="str">
        <f>VLOOKUP(A946,'[1]Raw data'!$B:$AS,39,FALSE)</f>
        <v>Yes</v>
      </c>
      <c r="Z946" s="659"/>
      <c r="AA946" s="660"/>
      <c r="AB946" s="661"/>
      <c r="AC946" s="647" t="s">
        <v>476</v>
      </c>
      <c r="AD946" s="662">
        <v>302</v>
      </c>
      <c r="AE946" s="662">
        <v>10</v>
      </c>
      <c r="AF946" s="662">
        <v>302</v>
      </c>
      <c r="AG946" s="662">
        <v>10</v>
      </c>
      <c r="AH946" s="662"/>
      <c r="AI946" s="663"/>
      <c r="AN946" s="542"/>
      <c r="AO946" s="824" t="str">
        <f t="shared" si="159"/>
        <v>Yes</v>
      </c>
      <c r="AP946" s="259" t="str">
        <f t="shared" si="160"/>
        <v>AUG 21</v>
      </c>
      <c r="AQ946" s="542" t="str">
        <f t="shared" si="161"/>
        <v>有定金+有預留客戶</v>
      </c>
      <c r="AR946" s="259" t="str">
        <f t="shared" si="162"/>
        <v>Shipped_Stock</v>
      </c>
      <c r="AS946" s="259" t="str">
        <f t="shared" si="163"/>
        <v/>
      </c>
      <c r="AT946" s="259" t="str">
        <f t="shared" si="164"/>
        <v>太美亚</v>
      </c>
      <c r="AU946" s="259" t="str">
        <f t="shared" si="165"/>
        <v>C49SZX20210152SX</v>
      </c>
      <c r="AV946" s="259" t="str">
        <f t="shared" si="166"/>
        <v>Aug-26</v>
      </c>
    </row>
    <row r="947" spans="1:48" ht="49.5" hidden="1">
      <c r="A947" s="559">
        <v>1338</v>
      </c>
      <c r="B947" s="664" t="s">
        <v>1125</v>
      </c>
      <c r="C947" s="664" t="s">
        <v>281</v>
      </c>
      <c r="D947" s="645">
        <v>110557</v>
      </c>
      <c r="E947" s="563" t="s">
        <v>886</v>
      </c>
      <c r="F947" s="647" t="s">
        <v>58</v>
      </c>
      <c r="G947" s="647" t="s">
        <v>24</v>
      </c>
      <c r="H947" s="647" t="s">
        <v>26</v>
      </c>
      <c r="I947" s="751" t="s">
        <v>1790</v>
      </c>
      <c r="J947" s="575">
        <v>1</v>
      </c>
      <c r="K947" s="647" t="s">
        <v>1419</v>
      </c>
      <c r="L947" s="657">
        <v>44445</v>
      </c>
      <c r="M947" s="665" t="s">
        <v>906</v>
      </c>
      <c r="N947" s="647" t="s">
        <v>1736</v>
      </c>
      <c r="O947" s="575"/>
      <c r="P947" s="665" t="str">
        <f>VLOOKUP(A947,'[1]Raw data'!$B:$BA,23,FALSE)</f>
        <v>JPY</v>
      </c>
      <c r="Q947" s="647" t="str">
        <f>VLOOKUP(A947,'[1]Raw data'!$B:$Z,2,FALSE)</f>
        <v>C49SZX20210119JY</v>
      </c>
      <c r="R947" s="647" t="str">
        <f>VLOOKUP(A947,'[1]Raw data'!$B:$Z,3,FALSE)</f>
        <v>百纳海</v>
      </c>
      <c r="S947" s="647" t="str">
        <f>VLOOKUP(A947,'[1]Raw data'!$B:$Z,4,FALSE)</f>
        <v>YSM20R-2</v>
      </c>
      <c r="T947" s="647" t="str">
        <f>VLOOKUP(A947,'[1]Raw data'!$B:$Z,8,FALSE)</f>
        <v>L-&gt;R</v>
      </c>
      <c r="U947" s="647" t="str">
        <f>VLOOKUP(A947,'[1]Raw data'!$B:$Z,9,FALSE)</f>
        <v>No</v>
      </c>
      <c r="V947" s="567" t="str">
        <f t="shared" ref="V947:V951" si="178">IF(G947&amp;H947=T947&amp;U947,"OK","WRONG")</f>
        <v>OK</v>
      </c>
      <c r="W947" s="563" t="str">
        <f>VLOOKUP(A947,'[1]Raw data'!$B:$AG,32,FALSE)</f>
        <v>DAP SZ</v>
      </c>
      <c r="X947" s="647">
        <f>VLOOKUP(A947,'[1]Raw data'!$B:$BA,31,FALSE)</f>
        <v>44306</v>
      </c>
      <c r="Y947" s="647" t="str">
        <f>VLOOKUP(A947,'[1]Raw data'!$B:$AS,39,FALSE)</f>
        <v>Yes</v>
      </c>
      <c r="Z947" s="659"/>
      <c r="AA947" s="660"/>
      <c r="AB947" s="661"/>
      <c r="AC947" s="647" t="s">
        <v>1015</v>
      </c>
      <c r="AD947" s="662">
        <v>301</v>
      </c>
      <c r="AE947" s="662">
        <v>10</v>
      </c>
      <c r="AF947" s="662">
        <v>311</v>
      </c>
      <c r="AG947" s="662">
        <v>10</v>
      </c>
      <c r="AH947" s="662"/>
      <c r="AI947" s="663"/>
      <c r="AN947" s="542"/>
      <c r="AO947" s="824" t="str">
        <f t="shared" si="159"/>
        <v>Yes</v>
      </c>
      <c r="AP947" s="259" t="str">
        <f t="shared" si="160"/>
        <v>OCT 21</v>
      </c>
      <c r="AQ947" s="542" t="str">
        <f t="shared" si="161"/>
        <v>有定金+有預留客戶</v>
      </c>
      <c r="AR947" s="259" t="str">
        <f t="shared" si="162"/>
        <v>Shipped_Stock</v>
      </c>
      <c r="AS947" s="259" t="str">
        <f t="shared" si="163"/>
        <v/>
      </c>
      <c r="AT947" s="259" t="str">
        <f t="shared" si="164"/>
        <v>百纳海</v>
      </c>
      <c r="AU947" s="259" t="str">
        <f t="shared" si="165"/>
        <v>C49SZX20210119JY</v>
      </c>
      <c r="AV947" s="259" t="str">
        <f t="shared" si="166"/>
        <v>Sep-06</v>
      </c>
    </row>
    <row r="948" spans="1:48" hidden="1">
      <c r="A948" s="559">
        <v>1267</v>
      </c>
      <c r="B948" s="664" t="s">
        <v>1125</v>
      </c>
      <c r="C948" s="664" t="s">
        <v>281</v>
      </c>
      <c r="D948" s="645">
        <v>110557</v>
      </c>
      <c r="E948" s="563" t="s">
        <v>886</v>
      </c>
      <c r="F948" s="647" t="s">
        <v>58</v>
      </c>
      <c r="G948" s="647" t="s">
        <v>24</v>
      </c>
      <c r="H948" s="647" t="s">
        <v>27</v>
      </c>
      <c r="I948" s="575" t="s">
        <v>1791</v>
      </c>
      <c r="J948" s="575">
        <v>1</v>
      </c>
      <c r="K948" s="647" t="s">
        <v>1732</v>
      </c>
      <c r="L948" s="657">
        <v>44445</v>
      </c>
      <c r="M948" s="665" t="s">
        <v>906</v>
      </c>
      <c r="N948" s="647" t="s">
        <v>1736</v>
      </c>
      <c r="O948" s="575"/>
      <c r="P948" s="665" t="str">
        <f>VLOOKUP(A948,'[1]Raw data'!$B:$BA,23,FALSE)</f>
        <v>JPY</v>
      </c>
      <c r="Q948" s="647" t="str">
        <f>VLOOKUP(A948,'[1]Raw data'!$B:$Z,2,FALSE)</f>
        <v>C49SZX20210017R1JY</v>
      </c>
      <c r="R948" s="647" t="str">
        <f>VLOOKUP(A948,'[1]Raw data'!$B:$Z,3,FALSE)</f>
        <v>拓步</v>
      </c>
      <c r="S948" s="647" t="str">
        <f>VLOOKUP(A948,'[1]Raw data'!$B:$Z,4,FALSE)</f>
        <v>YSM20R-2</v>
      </c>
      <c r="T948" s="647" t="str">
        <f>VLOOKUP(A948,'[1]Raw data'!$B:$Z,8,FALSE)</f>
        <v>L-&gt;R</v>
      </c>
      <c r="U948" s="647" t="str">
        <f>VLOOKUP(A948,'[1]Raw data'!$B:$Z,9,FALSE)</f>
        <v>MVC</v>
      </c>
      <c r="V948" s="567" t="str">
        <f t="shared" si="178"/>
        <v>OK</v>
      </c>
      <c r="W948" s="563" t="str">
        <f>VLOOKUP(A948,'[1]Raw data'!$B:$AG,32,FALSE)</f>
        <v>DAP GZ</v>
      </c>
      <c r="X948" s="647">
        <f>VLOOKUP(A948,'[1]Raw data'!$B:$BA,31,FALSE)</f>
        <v>44272</v>
      </c>
      <c r="Y948" s="647" t="str">
        <f>VLOOKUP(A948,'[1]Raw data'!$B:$AS,39,FALSE)</f>
        <v>Yes</v>
      </c>
      <c r="Z948" s="659"/>
      <c r="AA948" s="660"/>
      <c r="AB948" s="661"/>
      <c r="AC948" s="647" t="s">
        <v>1792</v>
      </c>
      <c r="AD948" s="662">
        <v>301</v>
      </c>
      <c r="AE948" s="662">
        <v>10</v>
      </c>
      <c r="AF948" s="662">
        <v>311</v>
      </c>
      <c r="AG948" s="662">
        <v>10</v>
      </c>
      <c r="AH948" s="662"/>
      <c r="AI948" s="663"/>
      <c r="AN948" s="542"/>
      <c r="AO948" s="824" t="str">
        <f t="shared" si="159"/>
        <v>Yes</v>
      </c>
      <c r="AP948" s="259" t="str">
        <f t="shared" si="160"/>
        <v>OCT 21</v>
      </c>
      <c r="AQ948" s="542" t="str">
        <f t="shared" si="161"/>
        <v>有定金+有預留客戶</v>
      </c>
      <c r="AR948" s="259" t="str">
        <f t="shared" si="162"/>
        <v>Shipped_Stock</v>
      </c>
      <c r="AS948" s="259" t="str">
        <f t="shared" si="163"/>
        <v/>
      </c>
      <c r="AT948" s="259" t="str">
        <f t="shared" si="164"/>
        <v>拓步</v>
      </c>
      <c r="AU948" s="259" t="str">
        <f t="shared" si="165"/>
        <v>C49SZX20210017R1JY</v>
      </c>
      <c r="AV948" s="259" t="str">
        <f t="shared" si="166"/>
        <v>Sep-06</v>
      </c>
    </row>
    <row r="949" spans="1:48" hidden="1">
      <c r="A949" s="559">
        <v>1155</v>
      </c>
      <c r="B949" s="664" t="s">
        <v>1125</v>
      </c>
      <c r="C949" s="664" t="s">
        <v>281</v>
      </c>
      <c r="D949" s="645">
        <v>110558</v>
      </c>
      <c r="E949" s="563" t="s">
        <v>886</v>
      </c>
      <c r="F949" s="647" t="s">
        <v>58</v>
      </c>
      <c r="G949" s="647" t="s">
        <v>24</v>
      </c>
      <c r="H949" s="647" t="s">
        <v>26</v>
      </c>
      <c r="I949" s="575" t="s">
        <v>1793</v>
      </c>
      <c r="J949" s="575">
        <v>1</v>
      </c>
      <c r="K949" s="647" t="s">
        <v>1732</v>
      </c>
      <c r="L949" s="705">
        <v>44448</v>
      </c>
      <c r="M949" s="665" t="s">
        <v>906</v>
      </c>
      <c r="N949" s="647" t="s">
        <v>1736</v>
      </c>
      <c r="O949" s="575"/>
      <c r="P949" s="665" t="str">
        <f>VLOOKUP(A949,'[1]Raw data'!$B:$BA,23,FALSE)</f>
        <v>JPY</v>
      </c>
      <c r="Q949" s="647" t="str">
        <f>VLOOKUP(A949,'[1]Raw data'!$B:$Z,2,FALSE)</f>
        <v>C49SZX20210052JY</v>
      </c>
      <c r="R949" s="647" t="str">
        <f>VLOOKUP(A949,'[1]Raw data'!$B:$Z,3,FALSE)</f>
        <v>江西络鑫</v>
      </c>
      <c r="S949" s="647" t="str">
        <f>VLOOKUP(A949,'[1]Raw data'!$B:$Z,4,FALSE)</f>
        <v>YSM20R-2</v>
      </c>
      <c r="T949" s="647" t="str">
        <f>VLOOKUP(A949,'[1]Raw data'!$B:$Z,8,FALSE)</f>
        <v>L-&gt;R</v>
      </c>
      <c r="U949" s="647" t="str">
        <f>VLOOKUP(A949,'[1]Raw data'!$B:$Z,9,FALSE)</f>
        <v>No</v>
      </c>
      <c r="V949" s="567" t="str">
        <f t="shared" si="178"/>
        <v>OK</v>
      </c>
      <c r="W949" s="563" t="str">
        <f>VLOOKUP(A949,'[1]Raw data'!$B:$AG,32,FALSE)</f>
        <v>CIF HK</v>
      </c>
      <c r="X949" s="647">
        <f>VLOOKUP(A949,'[1]Raw data'!$B:$BA,31,FALSE)</f>
        <v>44259</v>
      </c>
      <c r="Y949" s="647" t="str">
        <f>VLOOKUP(A949,'[1]Raw data'!$B:$AS,39,FALSE)</f>
        <v>Yes</v>
      </c>
      <c r="Z949" s="659"/>
      <c r="AA949" s="660"/>
      <c r="AB949" s="661"/>
      <c r="AC949" s="647" t="s">
        <v>1773</v>
      </c>
      <c r="AD949" s="575">
        <v>302</v>
      </c>
      <c r="AE949" s="575">
        <v>10</v>
      </c>
      <c r="AF949" s="575">
        <v>303</v>
      </c>
      <c r="AG949" s="575">
        <v>10</v>
      </c>
      <c r="AH949" s="575"/>
      <c r="AI949" s="679"/>
      <c r="AJ949" s="564"/>
      <c r="AK949" s="564"/>
      <c r="AL949" s="564"/>
      <c r="AM949" s="564"/>
      <c r="AN949" s="614"/>
      <c r="AO949" s="824" t="str">
        <f t="shared" si="159"/>
        <v>Yes</v>
      </c>
      <c r="AP949" s="259" t="str">
        <f t="shared" si="160"/>
        <v>OCT 21</v>
      </c>
      <c r="AQ949" s="542" t="str">
        <f t="shared" si="161"/>
        <v>有定金+有預留客戶</v>
      </c>
      <c r="AR949" s="259" t="str">
        <f t="shared" si="162"/>
        <v>Shipped_Stock</v>
      </c>
      <c r="AS949" s="259" t="str">
        <f t="shared" si="163"/>
        <v/>
      </c>
      <c r="AT949" s="259" t="str">
        <f t="shared" si="164"/>
        <v>江西络鑫</v>
      </c>
      <c r="AU949" s="259" t="str">
        <f t="shared" si="165"/>
        <v>C49SZX20210052JY</v>
      </c>
      <c r="AV949" s="259" t="str">
        <f t="shared" si="166"/>
        <v>Sep-09</v>
      </c>
    </row>
    <row r="950" spans="1:48" hidden="1">
      <c r="A950" s="559">
        <v>1156</v>
      </c>
      <c r="B950" s="664" t="s">
        <v>1125</v>
      </c>
      <c r="C950" s="664" t="s">
        <v>281</v>
      </c>
      <c r="D950" s="645">
        <v>110558</v>
      </c>
      <c r="E950" s="563" t="s">
        <v>886</v>
      </c>
      <c r="F950" s="647" t="s">
        <v>58</v>
      </c>
      <c r="G950" s="647" t="s">
        <v>24</v>
      </c>
      <c r="H950" s="647" t="s">
        <v>26</v>
      </c>
      <c r="I950" s="575" t="s">
        <v>1794</v>
      </c>
      <c r="J950" s="575">
        <v>1</v>
      </c>
      <c r="K950" s="647" t="s">
        <v>1732</v>
      </c>
      <c r="L950" s="705">
        <v>44448</v>
      </c>
      <c r="M950" s="665" t="s">
        <v>906</v>
      </c>
      <c r="N950" s="647" t="s">
        <v>1736</v>
      </c>
      <c r="O950" s="575"/>
      <c r="P950" s="665" t="str">
        <f>VLOOKUP(A950,'[1]Raw data'!$B:$BA,23,FALSE)</f>
        <v>JPY</v>
      </c>
      <c r="Q950" s="647" t="str">
        <f>VLOOKUP(A950,'[1]Raw data'!$B:$Z,2,FALSE)</f>
        <v>C49SZX20210052JY</v>
      </c>
      <c r="R950" s="647" t="str">
        <f>VLOOKUP(A950,'[1]Raw data'!$B:$Z,3,FALSE)</f>
        <v>江西络鑫</v>
      </c>
      <c r="S950" s="647" t="str">
        <f>VLOOKUP(A950,'[1]Raw data'!$B:$Z,4,FALSE)</f>
        <v>YSM20R-2</v>
      </c>
      <c r="T950" s="647" t="str">
        <f>VLOOKUP(A950,'[1]Raw data'!$B:$Z,8,FALSE)</f>
        <v>L-&gt;R</v>
      </c>
      <c r="U950" s="647" t="str">
        <f>VLOOKUP(A950,'[1]Raw data'!$B:$Z,9,FALSE)</f>
        <v>No</v>
      </c>
      <c r="V950" s="567" t="str">
        <f t="shared" si="178"/>
        <v>OK</v>
      </c>
      <c r="W950" s="563" t="str">
        <f>VLOOKUP(A950,'[1]Raw data'!$B:$AG,32,FALSE)</f>
        <v>CIF HK</v>
      </c>
      <c r="X950" s="647">
        <f>VLOOKUP(A950,'[1]Raw data'!$B:$BA,31,FALSE)</f>
        <v>44259</v>
      </c>
      <c r="Y950" s="647" t="str">
        <f>VLOOKUP(A950,'[1]Raw data'!$B:$AS,39,FALSE)</f>
        <v>Yes</v>
      </c>
      <c r="Z950" s="659"/>
      <c r="AA950" s="660"/>
      <c r="AB950" s="661"/>
      <c r="AC950" s="647" t="s">
        <v>1773</v>
      </c>
      <c r="AD950" s="575">
        <v>302</v>
      </c>
      <c r="AE950" s="575">
        <v>10</v>
      </c>
      <c r="AF950" s="575">
        <v>303</v>
      </c>
      <c r="AG950" s="575">
        <v>10</v>
      </c>
      <c r="AH950" s="575"/>
      <c r="AI950" s="679"/>
      <c r="AJ950" s="564"/>
      <c r="AK950" s="564"/>
      <c r="AL950" s="564"/>
      <c r="AM950" s="564"/>
      <c r="AN950" s="614"/>
      <c r="AO950" s="824" t="str">
        <f t="shared" si="159"/>
        <v>Yes</v>
      </c>
      <c r="AP950" s="259" t="str">
        <f t="shared" si="160"/>
        <v>OCT 21</v>
      </c>
      <c r="AQ950" s="542" t="str">
        <f t="shared" si="161"/>
        <v>有定金+有預留客戶</v>
      </c>
      <c r="AR950" s="259" t="str">
        <f t="shared" si="162"/>
        <v>Shipped_Stock</v>
      </c>
      <c r="AS950" s="259" t="str">
        <f t="shared" si="163"/>
        <v/>
      </c>
      <c r="AT950" s="259" t="str">
        <f t="shared" si="164"/>
        <v>江西络鑫</v>
      </c>
      <c r="AU950" s="259" t="str">
        <f t="shared" si="165"/>
        <v>C49SZX20210052JY</v>
      </c>
      <c r="AV950" s="259" t="str">
        <f t="shared" si="166"/>
        <v>Sep-09</v>
      </c>
    </row>
    <row r="951" spans="1:48" hidden="1">
      <c r="A951" s="559">
        <v>1319</v>
      </c>
      <c r="B951" s="664" t="s">
        <v>1125</v>
      </c>
      <c r="C951" s="664" t="s">
        <v>281</v>
      </c>
      <c r="D951" s="645">
        <v>110558</v>
      </c>
      <c r="E951" s="563" t="s">
        <v>886</v>
      </c>
      <c r="F951" s="647" t="s">
        <v>58</v>
      </c>
      <c r="G951" s="647" t="s">
        <v>24</v>
      </c>
      <c r="H951" s="647" t="s">
        <v>26</v>
      </c>
      <c r="I951" s="575" t="s">
        <v>1795</v>
      </c>
      <c r="J951" s="575">
        <v>1</v>
      </c>
      <c r="K951" s="647" t="s">
        <v>1732</v>
      </c>
      <c r="L951" s="705">
        <v>44448</v>
      </c>
      <c r="M951" s="665" t="s">
        <v>906</v>
      </c>
      <c r="N951" s="647" t="s">
        <v>1736</v>
      </c>
      <c r="O951" s="575"/>
      <c r="P951" s="665" t="str">
        <f>VLOOKUP(A951,'[1]Raw data'!$B:$BA,23,FALSE)</f>
        <v>JPY</v>
      </c>
      <c r="Q951" s="647" t="str">
        <f>VLOOKUP(A951,'[1]Raw data'!$B:$Z,2,FALSE)</f>
        <v>C49SZX20210111DZ</v>
      </c>
      <c r="R951" s="647" t="str">
        <f>VLOOKUP(A951,'[1]Raw data'!$B:$Z,3,FALSE)</f>
        <v>恒创兴</v>
      </c>
      <c r="S951" s="647" t="str">
        <f>VLOOKUP(A951,'[1]Raw data'!$B:$Z,4,FALSE)</f>
        <v>YSM20R-2</v>
      </c>
      <c r="T951" s="647" t="str">
        <f>VLOOKUP(A951,'[1]Raw data'!$B:$Z,8,FALSE)</f>
        <v>L-&gt;R</v>
      </c>
      <c r="U951" s="647" t="str">
        <f>VLOOKUP(A951,'[1]Raw data'!$B:$Z,9,FALSE)</f>
        <v>No</v>
      </c>
      <c r="V951" s="567" t="str">
        <f t="shared" si="178"/>
        <v>OK</v>
      </c>
      <c r="W951" s="563" t="str">
        <f>VLOOKUP(A951,'[1]Raw data'!$B:$AG,32,FALSE)</f>
        <v>CIF HK</v>
      </c>
      <c r="X951" s="647">
        <f>VLOOKUP(A951,'[1]Raw data'!$B:$BA,31,FALSE)</f>
        <v>44295</v>
      </c>
      <c r="Y951" s="647" t="str">
        <f>VLOOKUP(A951,'[1]Raw data'!$B:$AS,39,FALSE)</f>
        <v>Yes</v>
      </c>
      <c r="Z951" s="659"/>
      <c r="AA951" s="660"/>
      <c r="AB951" s="661"/>
      <c r="AC951" s="647" t="s">
        <v>1796</v>
      </c>
      <c r="AD951" s="662">
        <v>302</v>
      </c>
      <c r="AE951" s="662">
        <v>10</v>
      </c>
      <c r="AF951" s="662">
        <v>303</v>
      </c>
      <c r="AG951" s="662">
        <v>10</v>
      </c>
      <c r="AH951" s="662"/>
      <c r="AI951" s="663"/>
      <c r="AN951" s="542"/>
      <c r="AO951" s="824" t="str">
        <f t="shared" si="159"/>
        <v>Yes</v>
      </c>
      <c r="AP951" s="259" t="str">
        <f t="shared" si="160"/>
        <v>OCT 21</v>
      </c>
      <c r="AQ951" s="542" t="str">
        <f t="shared" si="161"/>
        <v>有定金+有預留客戶</v>
      </c>
      <c r="AR951" s="259" t="str">
        <f t="shared" si="162"/>
        <v>Shipped_Stock</v>
      </c>
      <c r="AS951" s="259" t="str">
        <f t="shared" si="163"/>
        <v/>
      </c>
      <c r="AT951" s="259" t="str">
        <f t="shared" si="164"/>
        <v>恒创兴</v>
      </c>
      <c r="AU951" s="259" t="str">
        <f t="shared" si="165"/>
        <v>C49SZX20210111DZ</v>
      </c>
      <c r="AV951" s="259" t="str">
        <f t="shared" si="166"/>
        <v>Sep-09</v>
      </c>
    </row>
    <row r="952" spans="1:48" hidden="1">
      <c r="A952" s="559">
        <v>1178</v>
      </c>
      <c r="B952" s="664" t="s">
        <v>1125</v>
      </c>
      <c r="C952" s="664" t="s">
        <v>281</v>
      </c>
      <c r="D952" s="645">
        <v>110562</v>
      </c>
      <c r="E952" s="563" t="s">
        <v>886</v>
      </c>
      <c r="F952" s="647" t="s">
        <v>58</v>
      </c>
      <c r="G952" s="647" t="s">
        <v>18</v>
      </c>
      <c r="H952" s="647" t="s">
        <v>26</v>
      </c>
      <c r="I952" s="575" t="s">
        <v>1797</v>
      </c>
      <c r="J952" s="575">
        <v>1</v>
      </c>
      <c r="K952" s="647" t="s">
        <v>78</v>
      </c>
      <c r="L952" s="705">
        <v>44448</v>
      </c>
      <c r="M952" s="665" t="s">
        <v>906</v>
      </c>
      <c r="N952" s="647" t="s">
        <v>1798</v>
      </c>
      <c r="O952" s="575"/>
      <c r="P952" s="665" t="str">
        <f>VLOOKUP(A952,'[1]Raw data'!$B:$BA,23,FALSE)</f>
        <v>JPY</v>
      </c>
      <c r="Q952" s="647" t="str">
        <f>VLOOKUP(A952,'[1]Raw data'!$B:$Z,2,FALSE)</f>
        <v>C49SZX20210057DZ</v>
      </c>
      <c r="R952" s="647" t="str">
        <f>VLOOKUP(A952,'[1]Raw data'!$B:$Z,3,FALSE)</f>
        <v>优品</v>
      </c>
      <c r="S952" s="647" t="str">
        <f>VLOOKUP(A952,'[1]Raw data'!$B:$Z,4,FALSE)</f>
        <v>YSM20R-2</v>
      </c>
      <c r="T952" s="647" t="str">
        <f>VLOOKUP(A952,'[1]Raw data'!$B:$Z,8,FALSE)</f>
        <v>R-&gt;L</v>
      </c>
      <c r="U952" s="647" t="str">
        <f>VLOOKUP(A952,'[1]Raw data'!$B:$Z,9,FALSE)</f>
        <v>MVC</v>
      </c>
      <c r="V952" s="567" t="str">
        <f t="shared" ref="V952:V958" si="179">IF(G952&amp;H952=T952&amp;U952,"OK","WRONG")</f>
        <v>WRONG</v>
      </c>
      <c r="W952" s="563" t="str">
        <f>VLOOKUP(A952,'[1]Raw data'!$B:$AG,32,FALSE)</f>
        <v>CIF HK</v>
      </c>
      <c r="X952" s="647">
        <f>VLOOKUP(A952,'[1]Raw data'!$B:$BA,31,FALSE)</f>
        <v>44257</v>
      </c>
      <c r="Y952" s="647" t="str">
        <f>VLOOKUP(A952,'[1]Raw data'!$B:$AS,39,FALSE)</f>
        <v>Yes</v>
      </c>
      <c r="Z952" s="659"/>
      <c r="AA952" s="660"/>
      <c r="AB952" s="661"/>
      <c r="AC952" s="647" t="s">
        <v>1662</v>
      </c>
      <c r="AD952" s="662">
        <v>301</v>
      </c>
      <c r="AE952" s="662">
        <v>10</v>
      </c>
      <c r="AF952" s="662">
        <v>311</v>
      </c>
      <c r="AG952" s="662">
        <v>10</v>
      </c>
      <c r="AH952" s="662"/>
      <c r="AI952" s="663"/>
      <c r="AN952" s="542"/>
      <c r="AO952" s="824" t="str">
        <f t="shared" si="159"/>
        <v>Yes</v>
      </c>
      <c r="AP952" s="259" t="str">
        <f t="shared" si="160"/>
        <v>SEP 21</v>
      </c>
      <c r="AQ952" s="542" t="str">
        <f t="shared" si="161"/>
        <v>有定金+有預留客戶</v>
      </c>
      <c r="AR952" s="259" t="str">
        <f t="shared" si="162"/>
        <v>Shipped_Stock</v>
      </c>
      <c r="AS952" s="259" t="str">
        <f t="shared" si="163"/>
        <v/>
      </c>
      <c r="AT952" s="259" t="str">
        <f t="shared" si="164"/>
        <v>优品</v>
      </c>
      <c r="AU952" s="259" t="str">
        <f t="shared" si="165"/>
        <v>C49SZX20210057DZ</v>
      </c>
      <c r="AV952" s="259" t="str">
        <f t="shared" si="166"/>
        <v>Sep-09</v>
      </c>
    </row>
    <row r="953" spans="1:48" hidden="1">
      <c r="A953" s="559">
        <v>1330</v>
      </c>
      <c r="B953" s="664" t="s">
        <v>1125</v>
      </c>
      <c r="C953" s="664" t="s">
        <v>281</v>
      </c>
      <c r="D953" s="645">
        <v>110562</v>
      </c>
      <c r="E953" s="563" t="s">
        <v>886</v>
      </c>
      <c r="F953" s="647" t="s">
        <v>58</v>
      </c>
      <c r="G953" s="647" t="s">
        <v>18</v>
      </c>
      <c r="H953" s="647" t="s">
        <v>26</v>
      </c>
      <c r="I953" s="575" t="s">
        <v>1799</v>
      </c>
      <c r="J953" s="575">
        <v>1</v>
      </c>
      <c r="K953" s="647" t="s">
        <v>1732</v>
      </c>
      <c r="L953" s="705">
        <v>44448</v>
      </c>
      <c r="M953" s="665" t="s">
        <v>906</v>
      </c>
      <c r="N953" s="647" t="s">
        <v>1798</v>
      </c>
      <c r="O953" s="575"/>
      <c r="P953" s="665" t="str">
        <f>VLOOKUP(A953,'[1]Raw data'!$B:$BA,23,FALSE)</f>
        <v>JPY</v>
      </c>
      <c r="Q953" s="647" t="str">
        <f>VLOOKUP(A953,'[1]Raw data'!$B:$Z,2,FALSE)</f>
        <v>C49SZX20210178JY</v>
      </c>
      <c r="R953" s="647" t="str">
        <f>VLOOKUP(A953,'[1]Raw data'!$B:$Z,3,FALSE)</f>
        <v>毅诚科达</v>
      </c>
      <c r="S953" s="647" t="str">
        <f>VLOOKUP(A953,'[1]Raw data'!$B:$Z,4,FALSE)</f>
        <v>YSM20R-2</v>
      </c>
      <c r="T953" s="647" t="str">
        <f>VLOOKUP(A953,'[1]Raw data'!$B:$Z,8,FALSE)</f>
        <v>R-&gt;L</v>
      </c>
      <c r="U953" s="647" t="str">
        <f>VLOOKUP(A953,'[1]Raw data'!$B:$Z,9,FALSE)</f>
        <v>No</v>
      </c>
      <c r="V953" s="567" t="str">
        <f t="shared" si="179"/>
        <v>OK</v>
      </c>
      <c r="W953" s="563" t="str">
        <f>VLOOKUP(A953,'[1]Raw data'!$B:$AG,32,FALSE)</f>
        <v>DAP SZ</v>
      </c>
      <c r="X953" s="647">
        <f>VLOOKUP(A953,'[1]Raw data'!$B:$BA,31,FALSE)</f>
        <v>44300</v>
      </c>
      <c r="Y953" s="647" t="str">
        <f>VLOOKUP(A953,'[1]Raw data'!$B:$AS,39,FALSE)</f>
        <v>Yes</v>
      </c>
      <c r="Z953" s="659"/>
      <c r="AA953" s="660"/>
      <c r="AB953" s="661"/>
      <c r="AC953" s="647" t="s">
        <v>1800</v>
      </c>
      <c r="AD953" s="662">
        <v>301</v>
      </c>
      <c r="AE953" s="662">
        <v>10</v>
      </c>
      <c r="AF953" s="662">
        <v>311</v>
      </c>
      <c r="AG953" s="662">
        <v>10</v>
      </c>
      <c r="AH953" s="662"/>
      <c r="AI953" s="663"/>
      <c r="AN953" s="542"/>
      <c r="AO953" s="824" t="str">
        <f t="shared" si="159"/>
        <v>Yes</v>
      </c>
      <c r="AP953" s="259" t="str">
        <f t="shared" si="160"/>
        <v>SEP 21</v>
      </c>
      <c r="AQ953" s="542" t="str">
        <f t="shared" si="161"/>
        <v>有定金+有預留客戶</v>
      </c>
      <c r="AR953" s="259" t="str">
        <f t="shared" si="162"/>
        <v>Shipped_Stock</v>
      </c>
      <c r="AS953" s="259" t="str">
        <f t="shared" si="163"/>
        <v/>
      </c>
      <c r="AT953" s="259" t="str">
        <f t="shared" si="164"/>
        <v>毅诚科达</v>
      </c>
      <c r="AU953" s="259" t="str">
        <f t="shared" si="165"/>
        <v>C49SZX20210178JY</v>
      </c>
      <c r="AV953" s="259" t="str">
        <f t="shared" si="166"/>
        <v>Sep-09</v>
      </c>
    </row>
    <row r="954" spans="1:48" hidden="1">
      <c r="A954" s="559">
        <v>1161</v>
      </c>
      <c r="B954" s="664" t="s">
        <v>1125</v>
      </c>
      <c r="C954" s="664" t="s">
        <v>281</v>
      </c>
      <c r="D954" s="645">
        <v>110593</v>
      </c>
      <c r="E954" s="646" t="s">
        <v>1801</v>
      </c>
      <c r="F954" s="647" t="s">
        <v>17</v>
      </c>
      <c r="G954" s="647" t="s">
        <v>24</v>
      </c>
      <c r="H954" s="647" t="s">
        <v>48</v>
      </c>
      <c r="I954" s="575" t="s">
        <v>1802</v>
      </c>
      <c r="J954" s="575">
        <v>1</v>
      </c>
      <c r="K954" s="647" t="s">
        <v>1732</v>
      </c>
      <c r="L954" s="657">
        <v>44458</v>
      </c>
      <c r="M954" s="665" t="s">
        <v>906</v>
      </c>
      <c r="N954" s="647" t="s">
        <v>1736</v>
      </c>
      <c r="O954" s="575"/>
      <c r="P954" s="665" t="str">
        <f>VLOOKUP(A954,'[1]Raw data'!$B:$BA,23,FALSE)</f>
        <v>JPY</v>
      </c>
      <c r="Q954" s="647" t="str">
        <f>VLOOKUP(A954,'[1]Raw data'!$B:$Z,2,FALSE)</f>
        <v>C49SZX20210052JY</v>
      </c>
      <c r="R954" s="647" t="str">
        <f>VLOOKUP(A954,'[1]Raw data'!$B:$Z,3,FALSE)</f>
        <v>江西络鑫</v>
      </c>
      <c r="S954" s="647" t="str">
        <f>VLOOKUP(A954,'[1]Raw data'!$B:$Z,4,FALSE)</f>
        <v>YSM10</v>
      </c>
      <c r="T954" s="647" t="str">
        <f>VLOOKUP(A954,'[1]Raw data'!$B:$Z,8,FALSE)</f>
        <v>L-&gt;R</v>
      </c>
      <c r="U954" s="647" t="str">
        <f>VLOOKUP(A954,'[1]Raw data'!$B:$Z,9,FALSE)</f>
        <v>MVC+ATS15</v>
      </c>
      <c r="V954" s="567" t="str">
        <f>IF(G954&amp;H954=T954&amp;U954,"OK","WRONG")</f>
        <v>WRONG</v>
      </c>
      <c r="W954" s="563" t="str">
        <f>VLOOKUP(A954,'[1]Raw data'!$B:$AG,32,FALSE)</f>
        <v>CIF HK</v>
      </c>
      <c r="X954" s="647">
        <f>VLOOKUP(A954,'[1]Raw data'!$B:$BA,31,FALSE)</f>
        <v>44259</v>
      </c>
      <c r="Y954" s="647" t="str">
        <f>VLOOKUP(A954,'[1]Raw data'!$B:$AS,39,FALSE)</f>
        <v>Yes</v>
      </c>
      <c r="Z954" s="659"/>
      <c r="AA954" s="660"/>
      <c r="AB954" s="661"/>
      <c r="AC954" s="647" t="s">
        <v>1803</v>
      </c>
      <c r="AD954" s="575">
        <v>302</v>
      </c>
      <c r="AE954" s="575">
        <v>10</v>
      </c>
      <c r="AF954" s="575"/>
      <c r="AG954" s="575"/>
      <c r="AH954" s="575"/>
      <c r="AI954" s="679"/>
      <c r="AJ954" s="564"/>
      <c r="AK954" s="564"/>
      <c r="AL954" s="564"/>
      <c r="AM954" s="564"/>
      <c r="AN954" s="614"/>
      <c r="AO954" s="824" t="str">
        <f t="shared" si="159"/>
        <v>Yes</v>
      </c>
      <c r="AP954" s="259" t="str">
        <f t="shared" si="160"/>
        <v>OCT 21</v>
      </c>
      <c r="AQ954" s="542" t="str">
        <f t="shared" si="161"/>
        <v>有定金+有預留客戶</v>
      </c>
      <c r="AR954" s="259" t="str">
        <f t="shared" si="162"/>
        <v>Shipped_Stock</v>
      </c>
      <c r="AS954" s="259" t="str">
        <f t="shared" si="163"/>
        <v/>
      </c>
      <c r="AT954" s="259" t="str">
        <f t="shared" si="164"/>
        <v>江西络鑫</v>
      </c>
      <c r="AU954" s="259" t="str">
        <f t="shared" si="165"/>
        <v>C49SZX20210052JY</v>
      </c>
      <c r="AV954" s="259" t="str">
        <f t="shared" si="166"/>
        <v>Sep-19</v>
      </c>
    </row>
    <row r="955" spans="1:48" hidden="1">
      <c r="A955" s="559">
        <v>1461</v>
      </c>
      <c r="B955" s="664" t="s">
        <v>1125</v>
      </c>
      <c r="C955" s="664" t="s">
        <v>281</v>
      </c>
      <c r="D955" s="645" t="s">
        <v>1804</v>
      </c>
      <c r="E955" s="744" t="s">
        <v>1580</v>
      </c>
      <c r="F955" s="647" t="s">
        <v>17</v>
      </c>
      <c r="G955" s="647" t="s">
        <v>18</v>
      </c>
      <c r="H955" s="647" t="s">
        <v>26</v>
      </c>
      <c r="I955" s="575" t="s">
        <v>1805</v>
      </c>
      <c r="J955" s="575">
        <v>1</v>
      </c>
      <c r="K955" s="647" t="s">
        <v>1806</v>
      </c>
      <c r="L955" s="749" t="s">
        <v>3960</v>
      </c>
      <c r="M955" s="665" t="s">
        <v>1807</v>
      </c>
      <c r="N955" s="647" t="s">
        <v>1798</v>
      </c>
      <c r="O955" s="575"/>
      <c r="P955" s="665" t="str">
        <f>VLOOKUP(A955,'[1]Raw data'!$B:$BA,23,FALSE)</f>
        <v>RMB</v>
      </c>
      <c r="Q955" s="647" t="str">
        <f>VLOOKUP(A955,'[1]Raw data'!$B:$Z,2,FALSE)</f>
        <v>C49SZX20210183SX</v>
      </c>
      <c r="R955" s="647" t="str">
        <f>VLOOKUP(A955,'[1]Raw data'!$B:$Z,3,FALSE)</f>
        <v>奕东</v>
      </c>
      <c r="S955" s="647" t="str">
        <f>VLOOKUP(A955,'[1]Raw data'!$B:$Z,4,FALSE)</f>
        <v>YSM10</v>
      </c>
      <c r="T955" s="647" t="str">
        <f>VLOOKUP(A955,'[1]Raw data'!$B:$Z,8,FALSE)</f>
        <v>L-&gt;R</v>
      </c>
      <c r="U955" s="647" t="str">
        <f>VLOOKUP(A955,'[1]Raw data'!$B:$Z,9,FALSE)</f>
        <v>MVC</v>
      </c>
      <c r="V955" s="567" t="str">
        <f t="shared" si="179"/>
        <v>WRONG</v>
      </c>
      <c r="W955" s="563" t="str">
        <f>VLOOKUP(A955,'[1]Raw data'!$B:$AG,32,FALSE)</f>
        <v>DDP DG</v>
      </c>
      <c r="X955" s="647">
        <f>VLOOKUP(A955,'[1]Raw data'!$B:$BA,31,FALSE)</f>
        <v>44403</v>
      </c>
      <c r="Y955" s="647" t="str">
        <f>VLOOKUP(A955,'[1]Raw data'!$B:$AS,39,FALSE)</f>
        <v>Yes</v>
      </c>
      <c r="Z955" s="659"/>
      <c r="AA955" s="660"/>
      <c r="AB955" s="661"/>
      <c r="AC955" s="647" t="s">
        <v>678</v>
      </c>
      <c r="AD955" s="662"/>
      <c r="AE955" s="662"/>
      <c r="AF955" s="662"/>
      <c r="AG955" s="662"/>
      <c r="AH955" s="662"/>
      <c r="AI955" s="663"/>
      <c r="AN955" s="542"/>
      <c r="AO955" s="824" t="str">
        <f t="shared" si="159"/>
        <v>Yes</v>
      </c>
      <c r="AP955" s="259" t="str">
        <f t="shared" si="160"/>
        <v>SEP 21</v>
      </c>
      <c r="AQ955" s="542" t="str">
        <f t="shared" si="161"/>
        <v>有定金+有預留客戶</v>
      </c>
      <c r="AR955" s="259" t="str">
        <f t="shared" si="162"/>
        <v>Shipped_Stock</v>
      </c>
      <c r="AS955" s="259" t="str">
        <f t="shared" si="163"/>
        <v/>
      </c>
      <c r="AT955" s="259" t="str">
        <f t="shared" si="164"/>
        <v>奕东</v>
      </c>
      <c r="AU955" s="259" t="str">
        <f t="shared" si="165"/>
        <v>C49SZX20210183SX</v>
      </c>
      <c r="AV955" s="259" t="str">
        <f t="shared" si="166"/>
        <v>2021- 9月中下旬苏州仓库</v>
      </c>
    </row>
    <row r="956" spans="1:48" hidden="1">
      <c r="A956" s="559">
        <v>1462</v>
      </c>
      <c r="B956" s="664" t="s">
        <v>1125</v>
      </c>
      <c r="C956" s="664" t="s">
        <v>281</v>
      </c>
      <c r="D956" s="645" t="s">
        <v>1804</v>
      </c>
      <c r="E956" s="744" t="s">
        <v>1580</v>
      </c>
      <c r="F956" s="647" t="s">
        <v>17</v>
      </c>
      <c r="G956" s="647" t="s">
        <v>18</v>
      </c>
      <c r="H956" s="647" t="s">
        <v>26</v>
      </c>
      <c r="I956" s="575" t="s">
        <v>1808</v>
      </c>
      <c r="J956" s="575">
        <v>1</v>
      </c>
      <c r="K956" s="647" t="s">
        <v>1806</v>
      </c>
      <c r="L956" s="749" t="s">
        <v>3960</v>
      </c>
      <c r="M956" s="665" t="s">
        <v>1807</v>
      </c>
      <c r="N956" s="647" t="s">
        <v>1798</v>
      </c>
      <c r="O956" s="575"/>
      <c r="P956" s="665" t="str">
        <f>VLOOKUP(A956,'[1]Raw data'!$B:$BA,23,FALSE)</f>
        <v>RMB</v>
      </c>
      <c r="Q956" s="647" t="str">
        <f>VLOOKUP(A956,'[1]Raw data'!$B:$Z,2,FALSE)</f>
        <v>C49SZX20210183SX</v>
      </c>
      <c r="R956" s="647" t="str">
        <f>VLOOKUP(A956,'[1]Raw data'!$B:$Z,3,FALSE)</f>
        <v>奕东</v>
      </c>
      <c r="S956" s="647" t="str">
        <f>VLOOKUP(A956,'[1]Raw data'!$B:$Z,4,FALSE)</f>
        <v>YSM10</v>
      </c>
      <c r="T956" s="647" t="str">
        <f>VLOOKUP(A956,'[1]Raw data'!$B:$Z,8,FALSE)</f>
        <v>L-&gt;R</v>
      </c>
      <c r="U956" s="647" t="str">
        <f>VLOOKUP(A956,'[1]Raw data'!$B:$Z,9,FALSE)</f>
        <v>MVC</v>
      </c>
      <c r="V956" s="567" t="str">
        <f t="shared" si="179"/>
        <v>WRONG</v>
      </c>
      <c r="W956" s="563" t="str">
        <f>VLOOKUP(A956,'[1]Raw data'!$B:$AG,32,FALSE)</f>
        <v>DDP DG</v>
      </c>
      <c r="X956" s="647">
        <f>VLOOKUP(A956,'[1]Raw data'!$B:$BA,31,FALSE)</f>
        <v>44403</v>
      </c>
      <c r="Y956" s="647" t="str">
        <f>VLOOKUP(A956,'[1]Raw data'!$B:$AS,39,FALSE)</f>
        <v>Yes</v>
      </c>
      <c r="Z956" s="659"/>
      <c r="AA956" s="660"/>
      <c r="AB956" s="661"/>
      <c r="AC956" s="647" t="s">
        <v>678</v>
      </c>
      <c r="AD956" s="662"/>
      <c r="AE956" s="662"/>
      <c r="AF956" s="662"/>
      <c r="AG956" s="662"/>
      <c r="AH956" s="662"/>
      <c r="AI956" s="663"/>
      <c r="AN956" s="542"/>
      <c r="AO956" s="824" t="str">
        <f t="shared" si="159"/>
        <v>Yes</v>
      </c>
      <c r="AP956" s="259" t="str">
        <f t="shared" si="160"/>
        <v>SEP 21</v>
      </c>
      <c r="AQ956" s="542" t="str">
        <f t="shared" si="161"/>
        <v>有定金+有預留客戶</v>
      </c>
      <c r="AR956" s="259" t="str">
        <f t="shared" si="162"/>
        <v>Shipped_Stock</v>
      </c>
      <c r="AS956" s="259" t="str">
        <f t="shared" si="163"/>
        <v/>
      </c>
      <c r="AT956" s="259" t="str">
        <f t="shared" si="164"/>
        <v>奕东</v>
      </c>
      <c r="AU956" s="259" t="str">
        <f t="shared" si="165"/>
        <v>C49SZX20210183SX</v>
      </c>
      <c r="AV956" s="259" t="str">
        <f t="shared" si="166"/>
        <v>2021- 9月中下旬苏州仓库</v>
      </c>
    </row>
    <row r="957" spans="1:48" hidden="1">
      <c r="A957" s="559">
        <v>1463</v>
      </c>
      <c r="B957" s="664" t="s">
        <v>1125</v>
      </c>
      <c r="C957" s="664" t="s">
        <v>281</v>
      </c>
      <c r="D957" s="645" t="s">
        <v>1804</v>
      </c>
      <c r="E957" s="744" t="s">
        <v>1580</v>
      </c>
      <c r="F957" s="647" t="s">
        <v>17</v>
      </c>
      <c r="G957" s="647" t="s">
        <v>18</v>
      </c>
      <c r="H957" s="647" t="s">
        <v>26</v>
      </c>
      <c r="I957" s="575" t="s">
        <v>1809</v>
      </c>
      <c r="J957" s="575">
        <v>1</v>
      </c>
      <c r="K957" s="647" t="s">
        <v>1806</v>
      </c>
      <c r="L957" s="749" t="s">
        <v>3960</v>
      </c>
      <c r="M957" s="665" t="s">
        <v>1807</v>
      </c>
      <c r="N957" s="647" t="s">
        <v>1798</v>
      </c>
      <c r="O957" s="575"/>
      <c r="P957" s="665" t="str">
        <f>VLOOKUP(A957,'[1]Raw data'!$B:$BA,23,FALSE)</f>
        <v>RMB</v>
      </c>
      <c r="Q957" s="647" t="str">
        <f>VLOOKUP(A957,'[1]Raw data'!$B:$Z,2,FALSE)</f>
        <v>C49SZX20210183SX</v>
      </c>
      <c r="R957" s="647" t="str">
        <f>VLOOKUP(A957,'[1]Raw data'!$B:$Z,3,FALSE)</f>
        <v>奕东</v>
      </c>
      <c r="S957" s="647" t="str">
        <f>VLOOKUP(A957,'[1]Raw data'!$B:$Z,4,FALSE)</f>
        <v>YSM10</v>
      </c>
      <c r="T957" s="647" t="str">
        <f>VLOOKUP(A957,'[1]Raw data'!$B:$Z,8,FALSE)</f>
        <v>L-&gt;R</v>
      </c>
      <c r="U957" s="647" t="str">
        <f>VLOOKUP(A957,'[1]Raw data'!$B:$Z,9,FALSE)</f>
        <v>MVC</v>
      </c>
      <c r="V957" s="567" t="str">
        <f t="shared" si="179"/>
        <v>WRONG</v>
      </c>
      <c r="W957" s="563" t="str">
        <f>VLOOKUP(A957,'[1]Raw data'!$B:$AG,32,FALSE)</f>
        <v>DDP DG</v>
      </c>
      <c r="X957" s="647">
        <f>VLOOKUP(A957,'[1]Raw data'!$B:$BA,31,FALSE)</f>
        <v>44403</v>
      </c>
      <c r="Y957" s="647" t="str">
        <f>VLOOKUP(A957,'[1]Raw data'!$B:$AS,39,FALSE)</f>
        <v>Yes</v>
      </c>
      <c r="Z957" s="659"/>
      <c r="AA957" s="660"/>
      <c r="AB957" s="661"/>
      <c r="AC957" s="647" t="s">
        <v>678</v>
      </c>
      <c r="AD957" s="662"/>
      <c r="AE957" s="662"/>
      <c r="AF957" s="662"/>
      <c r="AG957" s="662"/>
      <c r="AH957" s="662"/>
      <c r="AI957" s="663"/>
      <c r="AN957" s="542"/>
      <c r="AO957" s="824" t="str">
        <f t="shared" si="159"/>
        <v>Yes</v>
      </c>
      <c r="AP957" s="259" t="str">
        <f t="shared" si="160"/>
        <v>SEP 21</v>
      </c>
      <c r="AQ957" s="542" t="str">
        <f t="shared" si="161"/>
        <v>有定金+有預留客戶</v>
      </c>
      <c r="AR957" s="259" t="str">
        <f t="shared" si="162"/>
        <v>Shipped_Stock</v>
      </c>
      <c r="AS957" s="259" t="str">
        <f t="shared" si="163"/>
        <v/>
      </c>
      <c r="AT957" s="259" t="str">
        <f t="shared" si="164"/>
        <v>奕东</v>
      </c>
      <c r="AU957" s="259" t="str">
        <f t="shared" si="165"/>
        <v>C49SZX20210183SX</v>
      </c>
      <c r="AV957" s="259" t="str">
        <f t="shared" si="166"/>
        <v>2021- 9月中下旬苏州仓库</v>
      </c>
    </row>
    <row r="958" spans="1:48" hidden="1">
      <c r="A958" s="559">
        <v>1464</v>
      </c>
      <c r="B958" s="664" t="s">
        <v>1125</v>
      </c>
      <c r="C958" s="664" t="s">
        <v>281</v>
      </c>
      <c r="D958" s="645" t="s">
        <v>1804</v>
      </c>
      <c r="E958" s="744" t="s">
        <v>1580</v>
      </c>
      <c r="F958" s="647" t="s">
        <v>17</v>
      </c>
      <c r="G958" s="647" t="s">
        <v>18</v>
      </c>
      <c r="H958" s="647" t="s">
        <v>26</v>
      </c>
      <c r="I958" s="575" t="s">
        <v>1810</v>
      </c>
      <c r="J958" s="575">
        <v>1</v>
      </c>
      <c r="K958" s="647" t="s">
        <v>1806</v>
      </c>
      <c r="L958" s="749" t="s">
        <v>3960</v>
      </c>
      <c r="M958" s="665" t="s">
        <v>1807</v>
      </c>
      <c r="N958" s="647" t="s">
        <v>1798</v>
      </c>
      <c r="O958" s="575"/>
      <c r="P958" s="665" t="str">
        <f>VLOOKUP(A958,'[1]Raw data'!$B:$BA,23,FALSE)</f>
        <v>RMB</v>
      </c>
      <c r="Q958" s="647" t="str">
        <f>VLOOKUP(A958,'[1]Raw data'!$B:$Z,2,FALSE)</f>
        <v>C49SZX20210183SX</v>
      </c>
      <c r="R958" s="647" t="str">
        <f>VLOOKUP(A958,'[1]Raw data'!$B:$Z,3,FALSE)</f>
        <v>奕东</v>
      </c>
      <c r="S958" s="647" t="str">
        <f>VLOOKUP(A958,'[1]Raw data'!$B:$Z,4,FALSE)</f>
        <v>YSM10</v>
      </c>
      <c r="T958" s="647" t="str">
        <f>VLOOKUP(A958,'[1]Raw data'!$B:$Z,8,FALSE)</f>
        <v>L-&gt;R</v>
      </c>
      <c r="U958" s="647" t="str">
        <f>VLOOKUP(A958,'[1]Raw data'!$B:$Z,9,FALSE)</f>
        <v>MVC</v>
      </c>
      <c r="V958" s="567" t="str">
        <f t="shared" si="179"/>
        <v>WRONG</v>
      </c>
      <c r="W958" s="563" t="str">
        <f>VLOOKUP(A958,'[1]Raw data'!$B:$AG,32,FALSE)</f>
        <v>DDP DG</v>
      </c>
      <c r="X958" s="647">
        <f>VLOOKUP(A958,'[1]Raw data'!$B:$BA,31,FALSE)</f>
        <v>44403</v>
      </c>
      <c r="Y958" s="647" t="str">
        <f>VLOOKUP(A958,'[1]Raw data'!$B:$AS,39,FALSE)</f>
        <v>Yes</v>
      </c>
      <c r="Z958" s="659"/>
      <c r="AA958" s="660"/>
      <c r="AB958" s="661"/>
      <c r="AC958" s="647" t="s">
        <v>678</v>
      </c>
      <c r="AD958" s="662"/>
      <c r="AE958" s="662"/>
      <c r="AF958" s="662"/>
      <c r="AG958" s="662"/>
      <c r="AH958" s="662"/>
      <c r="AI958" s="663"/>
      <c r="AN958" s="542"/>
      <c r="AO958" s="824" t="str">
        <f t="shared" si="159"/>
        <v>Yes</v>
      </c>
      <c r="AP958" s="259" t="str">
        <f t="shared" si="160"/>
        <v>SEP 21</v>
      </c>
      <c r="AQ958" s="542" t="str">
        <f t="shared" si="161"/>
        <v>有定金+有預留客戶</v>
      </c>
      <c r="AR958" s="259" t="str">
        <f t="shared" si="162"/>
        <v>Shipped_Stock</v>
      </c>
      <c r="AS958" s="259" t="str">
        <f t="shared" si="163"/>
        <v/>
      </c>
      <c r="AT958" s="259" t="str">
        <f t="shared" si="164"/>
        <v>奕东</v>
      </c>
      <c r="AU958" s="259" t="str">
        <f t="shared" si="165"/>
        <v>C49SZX20210183SX</v>
      </c>
      <c r="AV958" s="259" t="str">
        <f t="shared" si="166"/>
        <v>2021- 9月中下旬苏州仓库</v>
      </c>
    </row>
    <row r="959" spans="1:48" hidden="1">
      <c r="A959" s="559">
        <v>1358</v>
      </c>
      <c r="B959" s="664" t="s">
        <v>1125</v>
      </c>
      <c r="C959" s="664" t="s">
        <v>281</v>
      </c>
      <c r="D959" s="645">
        <v>110556</v>
      </c>
      <c r="E959" s="744" t="s">
        <v>1811</v>
      </c>
      <c r="F959" s="647" t="s">
        <v>58</v>
      </c>
      <c r="G959" s="647" t="s">
        <v>18</v>
      </c>
      <c r="H959" s="647" t="s">
        <v>26</v>
      </c>
      <c r="I959" s="575" t="s">
        <v>1812</v>
      </c>
      <c r="J959" s="575">
        <v>1</v>
      </c>
      <c r="K959" s="647" t="s">
        <v>85</v>
      </c>
      <c r="L959" s="657">
        <v>44486</v>
      </c>
      <c r="M959" s="665"/>
      <c r="N959" s="647" t="s">
        <v>1736</v>
      </c>
      <c r="O959" s="575"/>
      <c r="P959" s="665" t="str">
        <f>VLOOKUP(A959,'[1]Raw data'!$B:$BA,23,FALSE)</f>
        <v>JPY</v>
      </c>
      <c r="Q959" s="647" t="str">
        <f>VLOOKUP(A959,'[1]Raw data'!$B:$Z,2,FALSE)</f>
        <v>C49SZX20210122DZ</v>
      </c>
      <c r="R959" s="647" t="str">
        <f>VLOOKUP(A959,'[1]Raw data'!$B:$Z,3,FALSE)</f>
        <v>深圳健科</v>
      </c>
      <c r="S959" s="647" t="str">
        <f>VLOOKUP(A959,'[1]Raw data'!$B:$Z,4,FALSE)</f>
        <v>YSM20R-2</v>
      </c>
      <c r="T959" s="647" t="str">
        <f>VLOOKUP(A959,'[1]Raw data'!$B:$Z,8,FALSE)</f>
        <v>R-&gt;L</v>
      </c>
      <c r="U959" s="647" t="str">
        <f>VLOOKUP(A959,'[1]Raw data'!$B:$Z,9,FALSE)</f>
        <v>No</v>
      </c>
      <c r="V959" s="567" t="str">
        <f t="shared" ref="V959:V960" si="180">IF(G959&amp;H959=T959&amp;U959,"OK","WRONG")</f>
        <v>OK</v>
      </c>
      <c r="W959" s="563" t="str">
        <f>VLOOKUP(A959,'[1]Raw data'!$B:$AG,32,FALSE)</f>
        <v>DAP SZ</v>
      </c>
      <c r="X959" s="647">
        <f>VLOOKUP(A959,'[1]Raw data'!$B:$BA,31,FALSE)</f>
        <v>44314</v>
      </c>
      <c r="Y959" s="647" t="str">
        <f>VLOOKUP(A959,'[1]Raw data'!$B:$AS,39,FALSE)</f>
        <v>Yes</v>
      </c>
      <c r="Z959" s="659"/>
      <c r="AA959" s="660"/>
      <c r="AB959" s="661"/>
      <c r="AC959" s="563" t="s">
        <v>678</v>
      </c>
      <c r="AD959" s="662">
        <v>301</v>
      </c>
      <c r="AE959" s="662">
        <v>10</v>
      </c>
      <c r="AF959" s="662">
        <v>311</v>
      </c>
      <c r="AG959" s="662">
        <v>10</v>
      </c>
      <c r="AH959" s="662"/>
      <c r="AI959" s="663"/>
      <c r="AN959" s="542"/>
      <c r="AO959" s="824" t="str">
        <f t="shared" si="159"/>
        <v>Yes</v>
      </c>
      <c r="AP959" s="259" t="str">
        <f t="shared" si="160"/>
        <v>OCT 21</v>
      </c>
      <c r="AQ959" s="542" t="str">
        <f t="shared" si="161"/>
        <v>有定金+有預留客戶</v>
      </c>
      <c r="AR959" s="259" t="str">
        <f t="shared" si="162"/>
        <v>Shipped_Stock</v>
      </c>
      <c r="AS959" s="259" t="str">
        <f t="shared" si="163"/>
        <v/>
      </c>
      <c r="AT959" s="259" t="str">
        <f t="shared" si="164"/>
        <v>深圳健科</v>
      </c>
      <c r="AU959" s="259" t="str">
        <f t="shared" si="165"/>
        <v>C49SZX20210122DZ</v>
      </c>
      <c r="AV959" s="259" t="str">
        <f t="shared" si="166"/>
        <v>Oct-17</v>
      </c>
    </row>
    <row r="960" spans="1:48" hidden="1">
      <c r="A960" s="559">
        <v>1359</v>
      </c>
      <c r="B960" s="664" t="s">
        <v>1125</v>
      </c>
      <c r="C960" s="664" t="s">
        <v>281</v>
      </c>
      <c r="D960" s="645">
        <v>110556</v>
      </c>
      <c r="E960" s="744" t="s">
        <v>1811</v>
      </c>
      <c r="F960" s="647" t="s">
        <v>58</v>
      </c>
      <c r="G960" s="647" t="s">
        <v>18</v>
      </c>
      <c r="H960" s="647" t="s">
        <v>26</v>
      </c>
      <c r="I960" s="575" t="s">
        <v>1813</v>
      </c>
      <c r="J960" s="575">
        <v>1</v>
      </c>
      <c r="K960" s="647" t="s">
        <v>85</v>
      </c>
      <c r="L960" s="657">
        <v>44486</v>
      </c>
      <c r="M960" s="665"/>
      <c r="N960" s="647" t="s">
        <v>1736</v>
      </c>
      <c r="O960" s="575"/>
      <c r="P960" s="665" t="str">
        <f>VLOOKUP(A960,'[1]Raw data'!$B:$BA,23,FALSE)</f>
        <v>JPY</v>
      </c>
      <c r="Q960" s="647" t="str">
        <f>VLOOKUP(A960,'[1]Raw data'!$B:$Z,2,FALSE)</f>
        <v>C49SZX20210122DZ</v>
      </c>
      <c r="R960" s="647" t="str">
        <f>VLOOKUP(A960,'[1]Raw data'!$B:$Z,3,FALSE)</f>
        <v>深圳健科</v>
      </c>
      <c r="S960" s="647" t="str">
        <f>VLOOKUP(A960,'[1]Raw data'!$B:$Z,4,FALSE)</f>
        <v>YSM20R-2</v>
      </c>
      <c r="T960" s="647" t="str">
        <f>VLOOKUP(A960,'[1]Raw data'!$B:$Z,8,FALSE)</f>
        <v>R-&gt;L</v>
      </c>
      <c r="U960" s="647" t="str">
        <f>VLOOKUP(A960,'[1]Raw data'!$B:$Z,9,FALSE)</f>
        <v>MVC</v>
      </c>
      <c r="V960" s="567" t="str">
        <f t="shared" si="180"/>
        <v>WRONG</v>
      </c>
      <c r="W960" s="563" t="str">
        <f>VLOOKUP(A960,'[1]Raw data'!$B:$AG,32,FALSE)</f>
        <v>DAP SZ</v>
      </c>
      <c r="X960" s="647">
        <f>VLOOKUP(A960,'[1]Raw data'!$B:$BA,31,FALSE)</f>
        <v>44314</v>
      </c>
      <c r="Y960" s="647" t="str">
        <f>VLOOKUP(A960,'[1]Raw data'!$B:$AS,39,FALSE)</f>
        <v>Yes</v>
      </c>
      <c r="Z960" s="659"/>
      <c r="AA960" s="660"/>
      <c r="AB960" s="661"/>
      <c r="AC960" s="563" t="s">
        <v>678</v>
      </c>
      <c r="AD960" s="662">
        <v>301</v>
      </c>
      <c r="AE960" s="662">
        <v>10</v>
      </c>
      <c r="AF960" s="662">
        <v>311</v>
      </c>
      <c r="AG960" s="662">
        <v>10</v>
      </c>
      <c r="AH960" s="662"/>
      <c r="AI960" s="663"/>
      <c r="AN960" s="542"/>
      <c r="AO960" s="824" t="str">
        <f t="shared" si="159"/>
        <v>Yes</v>
      </c>
      <c r="AP960" s="259" t="str">
        <f t="shared" si="160"/>
        <v>OCT 21</v>
      </c>
      <c r="AQ960" s="542" t="str">
        <f t="shared" si="161"/>
        <v>有定金+有預留客戶</v>
      </c>
      <c r="AR960" s="259" t="str">
        <f t="shared" si="162"/>
        <v>Shipped_Stock</v>
      </c>
      <c r="AS960" s="259" t="str">
        <f t="shared" si="163"/>
        <v/>
      </c>
      <c r="AT960" s="259" t="str">
        <f t="shared" si="164"/>
        <v>深圳健科</v>
      </c>
      <c r="AU960" s="259" t="str">
        <f t="shared" si="165"/>
        <v>C49SZX20210122DZ</v>
      </c>
      <c r="AV960" s="259" t="str">
        <f t="shared" si="166"/>
        <v>Oct-17</v>
      </c>
    </row>
    <row r="961" spans="1:48" hidden="1">
      <c r="A961" s="559">
        <v>1397</v>
      </c>
      <c r="B961" s="664" t="s">
        <v>1125</v>
      </c>
      <c r="C961" s="664" t="s">
        <v>281</v>
      </c>
      <c r="D961" s="645">
        <v>110578</v>
      </c>
      <c r="E961" s="744" t="s">
        <v>1814</v>
      </c>
      <c r="F961" s="647" t="s">
        <v>58</v>
      </c>
      <c r="G961" s="647" t="s">
        <v>1516</v>
      </c>
      <c r="H961" s="647" t="s">
        <v>307</v>
      </c>
      <c r="I961" s="665" t="s">
        <v>1815</v>
      </c>
      <c r="J961" s="575">
        <v>1</v>
      </c>
      <c r="K961" s="647" t="s">
        <v>1732</v>
      </c>
      <c r="L961" s="657">
        <v>44486</v>
      </c>
      <c r="M961" s="665" t="s">
        <v>906</v>
      </c>
      <c r="N961" s="647" t="s">
        <v>1816</v>
      </c>
      <c r="O961" s="575"/>
      <c r="P961" s="665" t="str">
        <f>VLOOKUP(A961,'[1]Raw data'!$B:$BA,23,FALSE)</f>
        <v>JPY</v>
      </c>
      <c r="Q961" s="647" t="str">
        <f>VLOOKUP(A961,'[1]Raw data'!$B:$Z,2,FALSE)</f>
        <v>C49SZX20210158SS</v>
      </c>
      <c r="R961" s="647" t="str">
        <f>VLOOKUP(A961,'[1]Raw data'!$B:$Z,3,FALSE)</f>
        <v>弛瑞</v>
      </c>
      <c r="S961" s="647" t="str">
        <f>VLOOKUP(A961,'[1]Raw data'!$B:$Z,4,FALSE)</f>
        <v>YSM20R-2</v>
      </c>
      <c r="T961" s="647" t="str">
        <f>VLOOKUP(A961,'[1]Raw data'!$B:$Z,8,FALSE)</f>
        <v>L-&gt;R</v>
      </c>
      <c r="U961" s="647" t="str">
        <f>VLOOKUP(A961,'[1]Raw data'!$B:$Z,9,FALSE)</f>
        <v>MVC</v>
      </c>
      <c r="V961" s="567" t="str">
        <f>IF(G961&amp;H961=T961&amp;U961,"OK","WRONG")</f>
        <v>WRONG</v>
      </c>
      <c r="W961" s="563" t="str">
        <f>VLOOKUP(A961,'[1]Raw data'!$B:$AG,32,FALSE)</f>
        <v>DAP SZ</v>
      </c>
      <c r="X961" s="647">
        <f>VLOOKUP(A961,'[1]Raw data'!$B:$BA,31,FALSE)</f>
        <v>44344</v>
      </c>
      <c r="Y961" s="647" t="str">
        <f>VLOOKUP(A961,'[1]Raw data'!$B:$AS,39,FALSE)</f>
        <v>Yes</v>
      </c>
      <c r="Z961" s="659"/>
      <c r="AA961" s="660"/>
      <c r="AB961" s="661"/>
      <c r="AC961" s="647" t="s">
        <v>1817</v>
      </c>
      <c r="AD961" s="662">
        <v>301</v>
      </c>
      <c r="AE961" s="662">
        <v>10</v>
      </c>
      <c r="AF961" s="662">
        <v>304</v>
      </c>
      <c r="AG961" s="662">
        <v>10</v>
      </c>
      <c r="AH961" s="662"/>
      <c r="AI961" s="663"/>
      <c r="AN961" s="542"/>
      <c r="AO961" s="824" t="str">
        <f t="shared" si="159"/>
        <v>Yes</v>
      </c>
      <c r="AP961" s="259" t="str">
        <f t="shared" si="160"/>
        <v>NOV 21</v>
      </c>
      <c r="AQ961" s="542" t="str">
        <f t="shared" si="161"/>
        <v>有定金+有預留客戶</v>
      </c>
      <c r="AR961" s="259" t="str">
        <f t="shared" si="162"/>
        <v>Shipped_Stock</v>
      </c>
      <c r="AS961" s="259" t="str">
        <f t="shared" si="163"/>
        <v/>
      </c>
      <c r="AT961" s="259" t="str">
        <f t="shared" si="164"/>
        <v>弛瑞</v>
      </c>
      <c r="AU961" s="259" t="str">
        <f t="shared" si="165"/>
        <v>C49SZX20210158SS</v>
      </c>
      <c r="AV961" s="259" t="str">
        <f t="shared" si="166"/>
        <v>Oct-17</v>
      </c>
    </row>
    <row r="962" spans="1:48" hidden="1">
      <c r="A962" s="559">
        <v>1467</v>
      </c>
      <c r="B962" s="664" t="s">
        <v>1125</v>
      </c>
      <c r="C962" s="664" t="s">
        <v>281</v>
      </c>
      <c r="D962" s="645">
        <v>110578</v>
      </c>
      <c r="E962" s="744" t="s">
        <v>1814</v>
      </c>
      <c r="F962" s="647" t="s">
        <v>58</v>
      </c>
      <c r="G962" s="647" t="s">
        <v>18</v>
      </c>
      <c r="H962" s="647" t="s">
        <v>307</v>
      </c>
      <c r="I962" s="575" t="s">
        <v>1818</v>
      </c>
      <c r="J962" s="575">
        <v>1</v>
      </c>
      <c r="K962" s="647" t="s">
        <v>85</v>
      </c>
      <c r="L962" s="657">
        <v>44486</v>
      </c>
      <c r="M962" s="665" t="s">
        <v>906</v>
      </c>
      <c r="N962" s="647" t="s">
        <v>1819</v>
      </c>
      <c r="O962" s="575"/>
      <c r="P962" s="665" t="str">
        <f>VLOOKUP(A962,'[1]Raw data'!$B:$BA,23,FALSE)</f>
        <v>JPY</v>
      </c>
      <c r="Q962" s="647" t="str">
        <f>VLOOKUP(A962,'[1]Raw data'!$B:$Z,2,FALSE)</f>
        <v>C49SZX20210186SS</v>
      </c>
      <c r="R962" s="647" t="str">
        <f>VLOOKUP(A962,'[1]Raw data'!$B:$Z,3,FALSE)</f>
        <v>恒业信</v>
      </c>
      <c r="S962" s="647" t="str">
        <f>VLOOKUP(A962,'[1]Raw data'!$B:$Z,4,FALSE)</f>
        <v>YSM20R-2</v>
      </c>
      <c r="T962" s="647" t="str">
        <f>VLOOKUP(A962,'[1]Raw data'!$B:$Z,8,FALSE)</f>
        <v>R-&gt;L</v>
      </c>
      <c r="U962" s="647" t="str">
        <f>VLOOKUP(A962,'[1]Raw data'!$B:$Z,9,FALSE)</f>
        <v>No</v>
      </c>
      <c r="V962" s="567" t="str">
        <f>IF(G962&amp;H962=T962&amp;U962,"OK","WRONG")</f>
        <v>OK</v>
      </c>
      <c r="W962" s="563" t="str">
        <f>VLOOKUP(A962,'[1]Raw data'!$B:$AG,32,FALSE)</f>
        <v>DAP SZ</v>
      </c>
      <c r="X962" s="647">
        <f>VLOOKUP(A962,'[1]Raw data'!$B:$BA,31,FALSE)</f>
        <v>44411</v>
      </c>
      <c r="Y962" s="647" t="str">
        <f>VLOOKUP(A962,'[1]Raw data'!$B:$AS,39,FALSE)</f>
        <v>Yes</v>
      </c>
      <c r="Z962" s="659"/>
      <c r="AA962" s="660"/>
      <c r="AB962" s="661"/>
      <c r="AC962" s="647" t="s">
        <v>1820</v>
      </c>
      <c r="AD962" s="662">
        <v>301</v>
      </c>
      <c r="AE962" s="662">
        <v>10</v>
      </c>
      <c r="AF962" s="662">
        <v>304</v>
      </c>
      <c r="AG962" s="662">
        <v>10</v>
      </c>
      <c r="AH962" s="662"/>
      <c r="AI962" s="663"/>
      <c r="AN962" s="542"/>
      <c r="AO962" s="824" t="str">
        <f t="shared" si="159"/>
        <v>Yes</v>
      </c>
      <c r="AP962" s="259" t="str">
        <f t="shared" si="160"/>
        <v>DEC 21</v>
      </c>
      <c r="AQ962" s="542" t="str">
        <f t="shared" si="161"/>
        <v>有定金+有預留客戶</v>
      </c>
      <c r="AR962" s="259" t="str">
        <f t="shared" si="162"/>
        <v>Shipped_Stock</v>
      </c>
      <c r="AS962" s="259" t="str">
        <f t="shared" si="163"/>
        <v/>
      </c>
      <c r="AT962" s="259" t="str">
        <f t="shared" si="164"/>
        <v>恒业信</v>
      </c>
      <c r="AU962" s="259" t="str">
        <f t="shared" si="165"/>
        <v>C49SZX20210186SS</v>
      </c>
      <c r="AV962" s="259" t="str">
        <f t="shared" si="166"/>
        <v>Oct-17</v>
      </c>
    </row>
    <row r="963" spans="1:48" hidden="1">
      <c r="A963" s="559">
        <v>1465</v>
      </c>
      <c r="B963" s="664" t="s">
        <v>1125</v>
      </c>
      <c r="C963" s="664" t="s">
        <v>281</v>
      </c>
      <c r="D963" s="599">
        <v>110576</v>
      </c>
      <c r="E963" s="744" t="s">
        <v>1811</v>
      </c>
      <c r="F963" s="647" t="s">
        <v>1163</v>
      </c>
      <c r="G963" s="647" t="s">
        <v>24</v>
      </c>
      <c r="H963" s="647" t="s">
        <v>1821</v>
      </c>
      <c r="I963" s="575" t="s">
        <v>1822</v>
      </c>
      <c r="J963" s="575">
        <v>1</v>
      </c>
      <c r="K963" s="647" t="s">
        <v>1732</v>
      </c>
      <c r="L963" s="657">
        <v>44486</v>
      </c>
      <c r="M963" s="665" t="s">
        <v>906</v>
      </c>
      <c r="N963" s="647" t="s">
        <v>1816</v>
      </c>
      <c r="O963" s="575"/>
      <c r="P963" s="665" t="str">
        <f>VLOOKUP(A963,'[1]Raw data'!$B:$BA,23,FALSE)</f>
        <v>JPY</v>
      </c>
      <c r="Q963" s="647" t="str">
        <f>VLOOKUP(A963,'[1]Raw data'!$B:$Z,2,FALSE)</f>
        <v>C49SZX20210184DZ</v>
      </c>
      <c r="R963" s="647" t="str">
        <f>VLOOKUP(A963,'[1]Raw data'!$B:$Z,3,FALSE)</f>
        <v>长沙健科</v>
      </c>
      <c r="S963" s="647" t="str">
        <f>VLOOKUP(A963,'[1]Raw data'!$B:$Z,4,FALSE)</f>
        <v>YSM20R-2</v>
      </c>
      <c r="T963" s="647" t="str">
        <f>VLOOKUP(A963,'[1]Raw data'!$B:$Z,8,FALSE)</f>
        <v>L-&gt;R</v>
      </c>
      <c r="U963" s="647" t="str">
        <f>VLOOKUP(A963,'[1]Raw data'!$B:$Z,9,FALSE)</f>
        <v>MVC+Feeder Carriage</v>
      </c>
      <c r="V963" s="567" t="str">
        <f t="shared" ref="V963:V967" si="181">IF(G963&amp;H963=T963&amp;U963,"OK","WRONG")</f>
        <v>WRONG</v>
      </c>
      <c r="W963" s="563" t="str">
        <f>VLOOKUP(A963,'[1]Raw data'!$B:$AG,32,FALSE)</f>
        <v>DAP CS</v>
      </c>
      <c r="X963" s="647">
        <f>VLOOKUP(A963,'[1]Raw data'!$B:$BA,31,FALSE)</f>
        <v>44408</v>
      </c>
      <c r="Y963" s="647" t="str">
        <f>VLOOKUP(A963,'[1]Raw data'!$B:$AS,39,FALSE)</f>
        <v>Yes</v>
      </c>
      <c r="Z963" s="666"/>
      <c r="AA963" s="667"/>
      <c r="AB963" s="668"/>
      <c r="AC963" s="563" t="s">
        <v>678</v>
      </c>
      <c r="AD963" s="662">
        <v>302</v>
      </c>
      <c r="AE963" s="662">
        <v>20</v>
      </c>
      <c r="AF963" s="662"/>
      <c r="AG963" s="662"/>
      <c r="AH963" s="662"/>
      <c r="AI963" s="663"/>
      <c r="AN963" s="542"/>
      <c r="AO963" s="824" t="str">
        <f t="shared" ref="AO963:AO1026" si="182">IFERROR(IF(Y963&lt;&gt;"",Y963,"No"),"No")</f>
        <v>Yes</v>
      </c>
      <c r="AP963" s="259" t="str">
        <f t="shared" ref="AP963:AP1026" si="183">IFERROR(IF(N963&lt;&gt;"",N963,"blank"),"NA")</f>
        <v>NOV 21</v>
      </c>
      <c r="AQ963" s="542" t="str">
        <f t="shared" ref="AQ963:AQ1026" si="184">IFERROR(IF(AND(AO963="Yes", AP963&lt;&gt;"blank"), "有定金+有預留客戶", IF(AND(AO963="Yes", AP963="blank"), "有定金+无客戶送貨期", IF(AND(OR(AO963="No", ISBLANK(AO963), AO963="NA"), AP963&lt;&gt;"blank"), "无定金+有預留客戶", IF(AND(OR(AO963="No", ISBLANK(AO963), AO963="NA"), AP963="blank"), "无定金+无預留客戶", "")))), "")</f>
        <v>有定金+有預留客戶</v>
      </c>
      <c r="AR963" s="259" t="str">
        <f t="shared" ref="AR963:AR1026" si="185">IFERROR(IF(B963="已经到货", "Instock", IF(B963="有交期", "Incoming_Stock_With_YAMAHA_Schedule", IF(B963="TBA.", "Incoming_Stock_No_YAMAHA_Schedule", IF(B963="已发货", "Shipped_Stock", "")))), "")</f>
        <v>Shipped_Stock</v>
      </c>
      <c r="AS963" s="259" t="str">
        <f t="shared" ref="AS963:AS1026" si="186">IF(AND(B963="有交期", L963&lt;&gt;""), L963, "")</f>
        <v/>
      </c>
      <c r="AT963" s="259" t="str">
        <f t="shared" ref="AT963:AT1026" si="187">IFERROR(IF(R963&lt;&gt;"",R963),"-")</f>
        <v>长沙健科</v>
      </c>
      <c r="AU963" s="259" t="str">
        <f t="shared" ref="AU963:AU1026" si="188">IFERROR(IF(Q963&lt;&gt;"",Q963),"-")</f>
        <v>C49SZX20210184DZ</v>
      </c>
      <c r="AV963" s="259" t="str">
        <f t="shared" ref="AV963:AV1026" si="189">IF(L963="","-",TEXT(L963,"mmm-dd"))</f>
        <v>Oct-17</v>
      </c>
    </row>
    <row r="964" spans="1:48" hidden="1">
      <c r="A964" s="559">
        <v>1466</v>
      </c>
      <c r="B964" s="664" t="s">
        <v>1125</v>
      </c>
      <c r="C964" s="664" t="s">
        <v>281</v>
      </c>
      <c r="D964" s="599">
        <v>110576</v>
      </c>
      <c r="E964" s="744" t="s">
        <v>1811</v>
      </c>
      <c r="F964" s="647" t="s">
        <v>1163</v>
      </c>
      <c r="G964" s="647" t="s">
        <v>24</v>
      </c>
      <c r="H964" s="647" t="s">
        <v>1823</v>
      </c>
      <c r="I964" s="575" t="s">
        <v>1824</v>
      </c>
      <c r="J964" s="575">
        <v>1</v>
      </c>
      <c r="K964" s="647" t="s">
        <v>1732</v>
      </c>
      <c r="L964" s="657">
        <v>44486</v>
      </c>
      <c r="M964" s="665" t="s">
        <v>906</v>
      </c>
      <c r="N964" s="647" t="s">
        <v>1816</v>
      </c>
      <c r="O964" s="575"/>
      <c r="P964" s="665" t="str">
        <f>VLOOKUP(A964,'[1]Raw data'!$B:$BA,23,FALSE)</f>
        <v>JPY</v>
      </c>
      <c r="Q964" s="647" t="str">
        <f>VLOOKUP(A964,'[1]Raw data'!$B:$Z,2,FALSE)</f>
        <v>C49SZX20210184DZ</v>
      </c>
      <c r="R964" s="647" t="str">
        <f>VLOOKUP(A964,'[1]Raw data'!$B:$Z,3,FALSE)</f>
        <v>长沙健科</v>
      </c>
      <c r="S964" s="647" t="str">
        <f>VLOOKUP(A964,'[1]Raw data'!$B:$Z,4,FALSE)</f>
        <v>YSM20R-2</v>
      </c>
      <c r="T964" s="647" t="str">
        <f>VLOOKUP(A964,'[1]Raw data'!$B:$Z,8,FALSE)</f>
        <v>L-&gt;R</v>
      </c>
      <c r="U964" s="647" t="str">
        <f>VLOOKUP(A964,'[1]Raw data'!$B:$Z,9,FALSE)</f>
        <v>Feeder Carriage</v>
      </c>
      <c r="V964" s="567" t="str">
        <f t="shared" si="181"/>
        <v>OK</v>
      </c>
      <c r="W964" s="563" t="str">
        <f>VLOOKUP(A964,'[1]Raw data'!$B:$AG,32,FALSE)</f>
        <v>DAP CS</v>
      </c>
      <c r="X964" s="647">
        <f>VLOOKUP(A964,'[1]Raw data'!$B:$BA,31,FALSE)</f>
        <v>44408</v>
      </c>
      <c r="Y964" s="647" t="str">
        <f>VLOOKUP(A964,'[1]Raw data'!$B:$AS,39,FALSE)</f>
        <v>Yes</v>
      </c>
      <c r="Z964" s="666"/>
      <c r="AA964" s="667"/>
      <c r="AB964" s="668"/>
      <c r="AC964" s="563" t="s">
        <v>678</v>
      </c>
      <c r="AD964" s="662">
        <v>302</v>
      </c>
      <c r="AE964" s="662">
        <v>20</v>
      </c>
      <c r="AF964" s="662"/>
      <c r="AG964" s="662"/>
      <c r="AH964" s="662"/>
      <c r="AI964" s="663"/>
      <c r="AN964" s="542"/>
      <c r="AO964" s="824" t="str">
        <f t="shared" si="182"/>
        <v>Yes</v>
      </c>
      <c r="AP964" s="259" t="str">
        <f t="shared" si="183"/>
        <v>NOV 21</v>
      </c>
      <c r="AQ964" s="542" t="str">
        <f t="shared" si="184"/>
        <v>有定金+有預留客戶</v>
      </c>
      <c r="AR964" s="259" t="str">
        <f t="shared" si="185"/>
        <v>Shipped_Stock</v>
      </c>
      <c r="AS964" s="259" t="str">
        <f t="shared" si="186"/>
        <v/>
      </c>
      <c r="AT964" s="259" t="str">
        <f t="shared" si="187"/>
        <v>长沙健科</v>
      </c>
      <c r="AU964" s="259" t="str">
        <f t="shared" si="188"/>
        <v>C49SZX20210184DZ</v>
      </c>
      <c r="AV964" s="259" t="str">
        <f t="shared" si="189"/>
        <v>Oct-17</v>
      </c>
    </row>
    <row r="965" spans="1:48" hidden="1">
      <c r="A965" s="559">
        <v>1403</v>
      </c>
      <c r="B965" s="664" t="s">
        <v>1125</v>
      </c>
      <c r="C965" s="664" t="s">
        <v>281</v>
      </c>
      <c r="D965" s="599">
        <v>110580</v>
      </c>
      <c r="E965" s="744" t="s">
        <v>1825</v>
      </c>
      <c r="F965" s="647" t="s">
        <v>58</v>
      </c>
      <c r="G965" s="647" t="s">
        <v>24</v>
      </c>
      <c r="H965" s="647" t="s">
        <v>307</v>
      </c>
      <c r="I965" s="575" t="s">
        <v>1826</v>
      </c>
      <c r="J965" s="575">
        <v>1</v>
      </c>
      <c r="K965" s="647" t="s">
        <v>85</v>
      </c>
      <c r="L965" s="657">
        <v>44486</v>
      </c>
      <c r="M965" s="665" t="s">
        <v>906</v>
      </c>
      <c r="N965" s="647" t="s">
        <v>1816</v>
      </c>
      <c r="O965" s="575"/>
      <c r="P965" s="665" t="str">
        <f>VLOOKUP(A965,'[1]Raw data'!$B:$BA,23,FALSE)</f>
        <v>JPY</v>
      </c>
      <c r="Q965" s="647" t="str">
        <f>VLOOKUP(A965,'[1]Raw data'!$B:$Z,2,FALSE)</f>
        <v>C49SZX20210164SS</v>
      </c>
      <c r="R965" s="647" t="str">
        <f>VLOOKUP(A965,'[1]Raw data'!$B:$Z,3,FALSE)</f>
        <v>派勤</v>
      </c>
      <c r="S965" s="647" t="str">
        <f>VLOOKUP(A965,'[1]Raw data'!$B:$Z,4,FALSE)</f>
        <v>YSM20R-2</v>
      </c>
      <c r="T965" s="647" t="str">
        <f>VLOOKUP(A965,'[1]Raw data'!$B:$Z,8,FALSE)</f>
        <v>L-&gt;R</v>
      </c>
      <c r="U965" s="647" t="str">
        <f>VLOOKUP(A965,'[1]Raw data'!$B:$Z,9,FALSE)</f>
        <v>No</v>
      </c>
      <c r="V965" s="567" t="str">
        <f t="shared" si="181"/>
        <v>OK</v>
      </c>
      <c r="W965" s="563" t="str">
        <f>VLOOKUP(A965,'[1]Raw data'!$B:$AG,32,FALSE)</f>
        <v>DAP SZ</v>
      </c>
      <c r="X965" s="647">
        <f>VLOOKUP(A965,'[1]Raw data'!$B:$BA,31,FALSE)</f>
        <v>44350</v>
      </c>
      <c r="Y965" s="647" t="str">
        <f>VLOOKUP(A965,'[1]Raw data'!$B:$AS,39,FALSE)</f>
        <v>Yes</v>
      </c>
      <c r="Z965" s="659"/>
      <c r="AA965" s="660"/>
      <c r="AB965" s="661"/>
      <c r="AC965" s="647" t="s">
        <v>1297</v>
      </c>
      <c r="AD965" s="662">
        <v>302</v>
      </c>
      <c r="AE965" s="662">
        <v>10</v>
      </c>
      <c r="AF965" s="662">
        <v>302</v>
      </c>
      <c r="AG965" s="662">
        <v>10</v>
      </c>
      <c r="AH965" s="662"/>
      <c r="AI965" s="663"/>
      <c r="AN965" s="542"/>
      <c r="AO965" s="824" t="str">
        <f t="shared" si="182"/>
        <v>Yes</v>
      </c>
      <c r="AP965" s="259" t="str">
        <f t="shared" si="183"/>
        <v>NOV 21</v>
      </c>
      <c r="AQ965" s="542" t="str">
        <f t="shared" si="184"/>
        <v>有定金+有預留客戶</v>
      </c>
      <c r="AR965" s="259" t="str">
        <f t="shared" si="185"/>
        <v>Shipped_Stock</v>
      </c>
      <c r="AS965" s="259" t="str">
        <f t="shared" si="186"/>
        <v/>
      </c>
      <c r="AT965" s="259" t="str">
        <f t="shared" si="187"/>
        <v>派勤</v>
      </c>
      <c r="AU965" s="259" t="str">
        <f t="shared" si="188"/>
        <v>C49SZX20210164SS</v>
      </c>
      <c r="AV965" s="259" t="str">
        <f t="shared" si="189"/>
        <v>Oct-17</v>
      </c>
    </row>
    <row r="966" spans="1:48" hidden="1">
      <c r="A966" s="559">
        <v>1505</v>
      </c>
      <c r="B966" s="664" t="s">
        <v>1125</v>
      </c>
      <c r="C966" s="664" t="s">
        <v>281</v>
      </c>
      <c r="D966" s="599">
        <v>110580</v>
      </c>
      <c r="E966" s="744" t="s">
        <v>1825</v>
      </c>
      <c r="F966" s="647" t="s">
        <v>1163</v>
      </c>
      <c r="G966" s="647" t="s">
        <v>24</v>
      </c>
      <c r="H966" s="647" t="s">
        <v>307</v>
      </c>
      <c r="I966" s="751" t="s">
        <v>1827</v>
      </c>
      <c r="J966" s="575">
        <v>1</v>
      </c>
      <c r="K966" s="647" t="s">
        <v>1732</v>
      </c>
      <c r="L966" s="657">
        <v>44486</v>
      </c>
      <c r="M966" s="665" t="s">
        <v>906</v>
      </c>
      <c r="N966" s="647" t="s">
        <v>1828</v>
      </c>
      <c r="O966" s="575"/>
      <c r="P966" s="665" t="str">
        <f>VLOOKUP(A966,'[1]Raw data'!$B:$BA,23,FALSE)</f>
        <v>JPY</v>
      </c>
      <c r="Q966" s="647" t="str">
        <f>VLOOKUP(A966,'[1]Raw data'!$B:$Z,2,FALSE)</f>
        <v>C49SZX20210103MZ</v>
      </c>
      <c r="R966" s="647" t="str">
        <f>VLOOKUP(A966,'[1]Raw data'!$B:$Z,3,FALSE)</f>
        <v>河南融创</v>
      </c>
      <c r="S966" s="647" t="str">
        <f>VLOOKUP(A966,'[1]Raw data'!$B:$Z,4,FALSE)</f>
        <v>YSM20R-2</v>
      </c>
      <c r="T966" s="647" t="str">
        <f>VLOOKUP(A966,'[1]Raw data'!$B:$Z,8,FALSE)</f>
        <v>L-&gt;R</v>
      </c>
      <c r="U966" s="647" t="str">
        <f>VLOOKUP(A966,'[1]Raw data'!$B:$Z,9,FALSE)</f>
        <v>No</v>
      </c>
      <c r="V966" s="567" t="str">
        <f t="shared" si="181"/>
        <v>OK</v>
      </c>
      <c r="W966" s="563" t="str">
        <f>VLOOKUP(A966,'[1]Raw data'!$B:$AG,32,FALSE)</f>
        <v>CIF HK</v>
      </c>
      <c r="X966" s="647">
        <f>VLOOKUP(A966,'[1]Raw data'!$B:$BA,31,FALSE)</f>
        <v>44524</v>
      </c>
      <c r="Y966" s="647" t="str">
        <f>VLOOKUP(A966,'[1]Raw data'!$B:$AS,39,FALSE)</f>
        <v>Yes</v>
      </c>
      <c r="Z966" s="659"/>
      <c r="AA966" s="660"/>
      <c r="AB966" s="661"/>
      <c r="AC966" s="647" t="s">
        <v>1829</v>
      </c>
      <c r="AD966" s="662">
        <v>302</v>
      </c>
      <c r="AE966" s="662">
        <v>10</v>
      </c>
      <c r="AF966" s="662">
        <v>302</v>
      </c>
      <c r="AG966" s="662">
        <v>10</v>
      </c>
      <c r="AH966" s="662"/>
      <c r="AI966" s="663"/>
      <c r="AN966" s="542"/>
      <c r="AO966" s="824" t="str">
        <f t="shared" si="182"/>
        <v>Yes</v>
      </c>
      <c r="AP966" s="259" t="str">
        <f t="shared" si="183"/>
        <v>MAR 22</v>
      </c>
      <c r="AQ966" s="542" t="str">
        <f t="shared" si="184"/>
        <v>有定金+有預留客戶</v>
      </c>
      <c r="AR966" s="259" t="str">
        <f t="shared" si="185"/>
        <v>Shipped_Stock</v>
      </c>
      <c r="AS966" s="259" t="str">
        <f t="shared" si="186"/>
        <v/>
      </c>
      <c r="AT966" s="259" t="str">
        <f t="shared" si="187"/>
        <v>河南融创</v>
      </c>
      <c r="AU966" s="259" t="str">
        <f t="shared" si="188"/>
        <v>C49SZX20210103MZ</v>
      </c>
      <c r="AV966" s="259" t="str">
        <f t="shared" si="189"/>
        <v>Oct-17</v>
      </c>
    </row>
    <row r="967" spans="1:48" hidden="1">
      <c r="A967" s="559">
        <v>1372</v>
      </c>
      <c r="B967" s="664" t="s">
        <v>1125</v>
      </c>
      <c r="C967" s="664" t="s">
        <v>281</v>
      </c>
      <c r="D967" s="690">
        <v>110579</v>
      </c>
      <c r="E967" s="744" t="s">
        <v>1830</v>
      </c>
      <c r="F967" s="647" t="s">
        <v>58</v>
      </c>
      <c r="G967" s="647" t="s">
        <v>24</v>
      </c>
      <c r="H967" s="647" t="s">
        <v>307</v>
      </c>
      <c r="I967" s="575" t="s">
        <v>1831</v>
      </c>
      <c r="J967" s="575">
        <v>1</v>
      </c>
      <c r="K967" s="647" t="s">
        <v>1732</v>
      </c>
      <c r="L967" s="657">
        <v>44486</v>
      </c>
      <c r="M967" s="665" t="s">
        <v>906</v>
      </c>
      <c r="N967" s="647" t="s">
        <v>1816</v>
      </c>
      <c r="O967" s="575"/>
      <c r="P967" s="665" t="str">
        <f>VLOOKUP(A967,'[1]Raw data'!$B:$BA,23,FALSE)</f>
        <v>JPY</v>
      </c>
      <c r="Q967" s="647" t="str">
        <f>VLOOKUP(A967,'[1]Raw data'!$B:$Z,2,FALSE)</f>
        <v>C49SZX20210147DY</v>
      </c>
      <c r="R967" s="647" t="str">
        <f>VLOOKUP(A967,'[1]Raw data'!$B:$Z,3,FALSE)</f>
        <v>朗迅</v>
      </c>
      <c r="S967" s="647" t="str">
        <f>VLOOKUP(A967,'[1]Raw data'!$B:$Z,4,FALSE)</f>
        <v>YSM20R-2</v>
      </c>
      <c r="T967" s="647" t="str">
        <f>VLOOKUP(A967,'[1]Raw data'!$B:$Z,8,FALSE)</f>
        <v>L-&gt;R</v>
      </c>
      <c r="U967" s="647" t="str">
        <f>VLOOKUP(A967,'[1]Raw data'!$B:$Z,9,FALSE)</f>
        <v>No</v>
      </c>
      <c r="V967" s="567" t="str">
        <f t="shared" si="181"/>
        <v>OK</v>
      </c>
      <c r="W967" s="563" t="str">
        <f>VLOOKUP(A967,'[1]Raw data'!$B:$AG,32,FALSE)</f>
        <v>DAP HZ</v>
      </c>
      <c r="X967" s="647">
        <f>VLOOKUP(A967,'[1]Raw data'!$B:$BA,31,FALSE)</f>
        <v>44333</v>
      </c>
      <c r="Y967" s="647" t="str">
        <f>VLOOKUP(A967,'[1]Raw data'!$B:$AS,39,FALSE)</f>
        <v>Yes</v>
      </c>
      <c r="Z967" s="659"/>
      <c r="AA967" s="660"/>
      <c r="AB967" s="661"/>
      <c r="AC967" s="647" t="s">
        <v>1832</v>
      </c>
      <c r="AD967" s="662">
        <v>302</v>
      </c>
      <c r="AE967" s="662">
        <v>10</v>
      </c>
      <c r="AF967" s="662">
        <v>302</v>
      </c>
      <c r="AG967" s="662">
        <v>10</v>
      </c>
      <c r="AH967" s="662"/>
      <c r="AI967" s="663"/>
      <c r="AN967" s="542"/>
      <c r="AO967" s="824" t="str">
        <f t="shared" si="182"/>
        <v>Yes</v>
      </c>
      <c r="AP967" s="259" t="str">
        <f t="shared" si="183"/>
        <v>NOV 21</v>
      </c>
      <c r="AQ967" s="542" t="str">
        <f t="shared" si="184"/>
        <v>有定金+有預留客戶</v>
      </c>
      <c r="AR967" s="259" t="str">
        <f t="shared" si="185"/>
        <v>Shipped_Stock</v>
      </c>
      <c r="AS967" s="259" t="str">
        <f t="shared" si="186"/>
        <v/>
      </c>
      <c r="AT967" s="259" t="str">
        <f t="shared" si="187"/>
        <v>朗迅</v>
      </c>
      <c r="AU967" s="259" t="str">
        <f t="shared" si="188"/>
        <v>C49SZX20210147DY</v>
      </c>
      <c r="AV967" s="259" t="str">
        <f t="shared" si="189"/>
        <v>Oct-17</v>
      </c>
    </row>
    <row r="968" spans="1:48" hidden="1">
      <c r="A968" s="559">
        <v>1404</v>
      </c>
      <c r="B968" s="664" t="s">
        <v>1125</v>
      </c>
      <c r="C968" s="664" t="s">
        <v>281</v>
      </c>
      <c r="D968" s="645">
        <v>110598</v>
      </c>
      <c r="E968" s="646" t="s">
        <v>1801</v>
      </c>
      <c r="F968" s="647" t="s">
        <v>17</v>
      </c>
      <c r="G968" s="647" t="s">
        <v>24</v>
      </c>
      <c r="H968" s="647" t="s">
        <v>1833</v>
      </c>
      <c r="I968" s="575" t="s">
        <v>1834</v>
      </c>
      <c r="J968" s="575">
        <v>1</v>
      </c>
      <c r="K968" s="647" t="s">
        <v>85</v>
      </c>
      <c r="L968" s="657">
        <v>44486</v>
      </c>
      <c r="M968" s="665" t="s">
        <v>906</v>
      </c>
      <c r="N968" s="647" t="s">
        <v>1816</v>
      </c>
      <c r="O968" s="575"/>
      <c r="P968" s="665" t="str">
        <f>VLOOKUP(A968,'[1]Raw data'!$B:$BA,23,FALSE)</f>
        <v>JPY</v>
      </c>
      <c r="Q968" s="647" t="str">
        <f>VLOOKUP(A968,'[1]Raw data'!$B:$Z,2,FALSE)</f>
        <v>C49SZX20210164SS</v>
      </c>
      <c r="R968" s="647" t="str">
        <f>VLOOKUP(A968,'[1]Raw data'!$B:$Z,3,FALSE)</f>
        <v>派勤</v>
      </c>
      <c r="S968" s="647" t="str">
        <f>VLOOKUP(A968,'[1]Raw data'!$B:$Z,4,FALSE)</f>
        <v>YSM10</v>
      </c>
      <c r="T968" s="647" t="str">
        <f>VLOOKUP(A968,'[1]Raw data'!$B:$Z,8,FALSE)</f>
        <v>L-&gt;R</v>
      </c>
      <c r="U968" s="647" t="str">
        <f>VLOOKUP(A968,'[1]Raw data'!$B:$Z,9,FALSE)</f>
        <v>MVC+ATS15</v>
      </c>
      <c r="V968" s="567" t="str">
        <f>IF(G968&amp;H968=T968&amp;U968,"OK","WRONG")</f>
        <v>WRONG</v>
      </c>
      <c r="W968" s="563" t="str">
        <f>VLOOKUP(A968,'[1]Raw data'!$B:$AG,32,FALSE)</f>
        <v>DAP SZ</v>
      </c>
      <c r="X968" s="647">
        <f>VLOOKUP(A968,'[1]Raw data'!$B:$BA,31,FALSE)</f>
        <v>44350</v>
      </c>
      <c r="Y968" s="647" t="str">
        <f>VLOOKUP(A968,'[1]Raw data'!$B:$AS,39,FALSE)</f>
        <v>Yes</v>
      </c>
      <c r="Z968" s="659"/>
      <c r="AA968" s="660"/>
      <c r="AB968" s="661"/>
      <c r="AC968" s="647" t="s">
        <v>1297</v>
      </c>
      <c r="AD968" s="662">
        <v>302</v>
      </c>
      <c r="AE968" s="662">
        <v>10</v>
      </c>
      <c r="AF968" s="662"/>
      <c r="AG968" s="662"/>
      <c r="AH968" s="662"/>
      <c r="AI968" s="663"/>
      <c r="AN968" s="542"/>
      <c r="AO968" s="824" t="str">
        <f t="shared" si="182"/>
        <v>Yes</v>
      </c>
      <c r="AP968" s="259" t="str">
        <f t="shared" si="183"/>
        <v>NOV 21</v>
      </c>
      <c r="AQ968" s="542" t="str">
        <f t="shared" si="184"/>
        <v>有定金+有預留客戶</v>
      </c>
      <c r="AR968" s="259" t="str">
        <f t="shared" si="185"/>
        <v>Shipped_Stock</v>
      </c>
      <c r="AS968" s="259" t="str">
        <f t="shared" si="186"/>
        <v/>
      </c>
      <c r="AT968" s="259" t="str">
        <f t="shared" si="187"/>
        <v>派勤</v>
      </c>
      <c r="AU968" s="259" t="str">
        <f t="shared" si="188"/>
        <v>C49SZX20210164SS</v>
      </c>
      <c r="AV968" s="259" t="str">
        <f t="shared" si="189"/>
        <v>Oct-17</v>
      </c>
    </row>
    <row r="969" spans="1:48" hidden="1">
      <c r="A969" s="559">
        <v>1455</v>
      </c>
      <c r="B969" s="664" t="s">
        <v>1125</v>
      </c>
      <c r="C969" s="664" t="s">
        <v>281</v>
      </c>
      <c r="D969" s="645">
        <v>110582</v>
      </c>
      <c r="E969" s="744" t="s">
        <v>1835</v>
      </c>
      <c r="F969" s="647" t="s">
        <v>17</v>
      </c>
      <c r="G969" s="647" t="s">
        <v>18</v>
      </c>
      <c r="H969" s="647" t="s">
        <v>77</v>
      </c>
      <c r="I969" s="575" t="s">
        <v>1836</v>
      </c>
      <c r="J969" s="575">
        <v>1</v>
      </c>
      <c r="K969" s="647" t="s">
        <v>1732</v>
      </c>
      <c r="L969" s="657">
        <v>44494</v>
      </c>
      <c r="M969" s="665" t="s">
        <v>906</v>
      </c>
      <c r="N969" s="647" t="s">
        <v>1736</v>
      </c>
      <c r="O969" s="575"/>
      <c r="P969" s="665" t="str">
        <f>VLOOKUP(A969,'[1]Raw data'!$B:$BA,23,FALSE)</f>
        <v>JPY</v>
      </c>
      <c r="Q969" s="647" t="str">
        <f>VLOOKUP(A969,'[1]Raw data'!$B:$Z,2,FALSE)</f>
        <v>C49SZX20210160EC</v>
      </c>
      <c r="R969" s="647" t="str">
        <f>VLOOKUP(A969,'[1]Raw data'!$B:$Z,3,FALSE)</f>
        <v>新明海</v>
      </c>
      <c r="S969" s="647" t="str">
        <f>VLOOKUP(A969,'[1]Raw data'!$B:$Z,4,FALSE)</f>
        <v>YSM10</v>
      </c>
      <c r="T969" s="647" t="str">
        <f>VLOOKUP(A969,'[1]Raw data'!$B:$Z,8,FALSE)</f>
        <v>R-&gt;L</v>
      </c>
      <c r="U969" s="647" t="str">
        <f>VLOOKUP(A969,'[1]Raw data'!$B:$Z,9,FALSE)</f>
        <v>MVC+Rear 站位</v>
      </c>
      <c r="V969" s="567" t="str">
        <f>IF(G969&amp;H969=T969&amp;U969,"OK","WRONG")</f>
        <v>WRONG</v>
      </c>
      <c r="W969" s="563" t="str">
        <f>VLOOKUP(A969,'[1]Raw data'!$B:$AG,32,FALSE)</f>
        <v>DAP HZ</v>
      </c>
      <c r="X969" s="647">
        <f>VLOOKUP(A969,'[1]Raw data'!$B:$BA,31,FALSE)</f>
        <v>44382</v>
      </c>
      <c r="Y969" s="647" t="str">
        <f>VLOOKUP(A969,'[1]Raw data'!$B:$AS,39,FALSE)</f>
        <v>Yes</v>
      </c>
      <c r="Z969" s="659"/>
      <c r="AA969" s="660"/>
      <c r="AB969" s="661"/>
      <c r="AC969" s="647" t="s">
        <v>678</v>
      </c>
      <c r="AD969" s="662">
        <v>302</v>
      </c>
      <c r="AE969" s="662">
        <v>10</v>
      </c>
      <c r="AF969" s="662"/>
      <c r="AG969" s="662"/>
      <c r="AH969" s="662"/>
      <c r="AI969" s="663"/>
      <c r="AN969" s="542"/>
      <c r="AO969" s="824" t="str">
        <f t="shared" si="182"/>
        <v>Yes</v>
      </c>
      <c r="AP969" s="259" t="str">
        <f t="shared" si="183"/>
        <v>OCT 21</v>
      </c>
      <c r="AQ969" s="542" t="str">
        <f t="shared" si="184"/>
        <v>有定金+有預留客戶</v>
      </c>
      <c r="AR969" s="259" t="str">
        <f t="shared" si="185"/>
        <v>Shipped_Stock</v>
      </c>
      <c r="AS969" s="259" t="str">
        <f t="shared" si="186"/>
        <v/>
      </c>
      <c r="AT969" s="259" t="str">
        <f t="shared" si="187"/>
        <v>新明海</v>
      </c>
      <c r="AU969" s="259" t="str">
        <f t="shared" si="188"/>
        <v>C49SZX20210160EC</v>
      </c>
      <c r="AV969" s="259" t="str">
        <f t="shared" si="189"/>
        <v>Oct-25</v>
      </c>
    </row>
    <row r="970" spans="1:48" hidden="1">
      <c r="A970" s="559">
        <v>1485</v>
      </c>
      <c r="B970" s="664" t="s">
        <v>1125</v>
      </c>
      <c r="C970" s="664" t="s">
        <v>281</v>
      </c>
      <c r="D970" s="645">
        <v>110582</v>
      </c>
      <c r="E970" s="744" t="s">
        <v>1835</v>
      </c>
      <c r="F970" s="647" t="s">
        <v>17</v>
      </c>
      <c r="G970" s="647" t="s">
        <v>18</v>
      </c>
      <c r="H970" s="647" t="s">
        <v>77</v>
      </c>
      <c r="I970" s="575" t="s">
        <v>1837</v>
      </c>
      <c r="J970" s="575">
        <v>1</v>
      </c>
      <c r="K970" s="647" t="s">
        <v>1732</v>
      </c>
      <c r="L970" s="657">
        <v>44494</v>
      </c>
      <c r="M970" s="665" t="s">
        <v>906</v>
      </c>
      <c r="N970" s="647" t="s">
        <v>1816</v>
      </c>
      <c r="O970" s="575"/>
      <c r="P970" s="665" t="str">
        <f>VLOOKUP(A970,'[1]Raw data'!$B:$BA,23,FALSE)</f>
        <v>JPY</v>
      </c>
      <c r="Q970" s="647" t="str">
        <f>VLOOKUP(A970,'[1]Raw data'!$B:$Z,2,FALSE)</f>
        <v>C49SZX20210195JL</v>
      </c>
      <c r="R970" s="647" t="str">
        <f>VLOOKUP(A970,'[1]Raw data'!$B:$Z,3,FALSE)</f>
        <v>力通威</v>
      </c>
      <c r="S970" s="647" t="str">
        <f>VLOOKUP(A970,'[1]Raw data'!$B:$Z,4,FALSE)</f>
        <v>YSM10</v>
      </c>
      <c r="T970" s="647" t="str">
        <f>VLOOKUP(A970,'[1]Raw data'!$B:$Z,8,FALSE)</f>
        <v>L-&gt;R</v>
      </c>
      <c r="U970" s="647" t="str">
        <f>VLOOKUP(A970,'[1]Raw data'!$B:$Z,9,FALSE)</f>
        <v xml:space="preserve">MVC+96 FEEDER PLATE (YSM10) </v>
      </c>
      <c r="V970" s="567" t="str">
        <f>IF(G970&amp;H970=T970&amp;U970,"OK","WRONG")</f>
        <v>WRONG</v>
      </c>
      <c r="W970" s="563" t="str">
        <f>VLOOKUP(A970,'[1]Raw data'!$B:$AG,32,FALSE)</f>
        <v>DAP DG</v>
      </c>
      <c r="X970" s="647">
        <f>VLOOKUP(A970,'[1]Raw data'!$B:$BA,31,FALSE)</f>
        <v>44491</v>
      </c>
      <c r="Y970" s="647" t="str">
        <f>VLOOKUP(A970,'[1]Raw data'!$B:$AS,39,FALSE)</f>
        <v>Yes</v>
      </c>
      <c r="Z970" s="659"/>
      <c r="AA970" s="660"/>
      <c r="AB970" s="661"/>
      <c r="AC970" s="647" t="s">
        <v>1838</v>
      </c>
      <c r="AD970" s="662">
        <v>302</v>
      </c>
      <c r="AE970" s="662">
        <v>10</v>
      </c>
      <c r="AF970" s="662"/>
      <c r="AG970" s="662"/>
      <c r="AH970" s="662"/>
      <c r="AI970" s="663"/>
      <c r="AN970" s="542"/>
      <c r="AO970" s="824" t="str">
        <f t="shared" si="182"/>
        <v>Yes</v>
      </c>
      <c r="AP970" s="259" t="str">
        <f t="shared" si="183"/>
        <v>NOV 21</v>
      </c>
      <c r="AQ970" s="542" t="str">
        <f t="shared" si="184"/>
        <v>有定金+有預留客戶</v>
      </c>
      <c r="AR970" s="259" t="str">
        <f t="shared" si="185"/>
        <v>Shipped_Stock</v>
      </c>
      <c r="AS970" s="259" t="str">
        <f t="shared" si="186"/>
        <v/>
      </c>
      <c r="AT970" s="259" t="str">
        <f t="shared" si="187"/>
        <v>力通威</v>
      </c>
      <c r="AU970" s="259" t="str">
        <f t="shared" si="188"/>
        <v>C49SZX20210195JL</v>
      </c>
      <c r="AV970" s="259" t="str">
        <f t="shared" si="189"/>
        <v>Oct-25</v>
      </c>
    </row>
    <row r="971" spans="1:48" hidden="1">
      <c r="A971" s="559">
        <v>1422</v>
      </c>
      <c r="B971" s="664" t="s">
        <v>1125</v>
      </c>
      <c r="C971" s="664" t="s">
        <v>15</v>
      </c>
      <c r="D971" s="645" t="s">
        <v>1839</v>
      </c>
      <c r="E971" s="744" t="s">
        <v>1840</v>
      </c>
      <c r="F971" s="647" t="s">
        <v>58</v>
      </c>
      <c r="G971" s="647" t="s">
        <v>18</v>
      </c>
      <c r="H971" s="647" t="s">
        <v>26</v>
      </c>
      <c r="I971" s="575" t="s">
        <v>1841</v>
      </c>
      <c r="J971" s="575">
        <v>1</v>
      </c>
      <c r="K971" s="647" t="s">
        <v>1806</v>
      </c>
      <c r="L971" s="657" t="s">
        <v>1842</v>
      </c>
      <c r="M971" s="665" t="s">
        <v>1807</v>
      </c>
      <c r="N971" s="647" t="s">
        <v>1816</v>
      </c>
      <c r="O971" s="575"/>
      <c r="P971" s="665" t="str">
        <f>VLOOKUP(A971,'[1]Raw data'!$B:$BA,23,FALSE)</f>
        <v>JPY</v>
      </c>
      <c r="Q971" s="647" t="str">
        <f>VLOOKUP(A971,'[1]Raw data'!$B:$Z,2,FALSE)</f>
        <v>C49SZX20210152SX</v>
      </c>
      <c r="R971" s="647" t="str">
        <f>VLOOKUP(A971,'[1]Raw data'!$B:$Z,3,FALSE)</f>
        <v>太美亚</v>
      </c>
      <c r="S971" s="647" t="str">
        <f>VLOOKUP(A971,'[1]Raw data'!$B:$Z,4,FALSE)</f>
        <v>YSM20R-2</v>
      </c>
      <c r="T971" s="647" t="str">
        <f>VLOOKUP(A971,'[1]Raw data'!$B:$Z,8,FALSE)</f>
        <v>R-&gt;L</v>
      </c>
      <c r="U971" s="647" t="str">
        <f>VLOOKUP(A971,'[1]Raw data'!$B:$Z,9,FALSE)</f>
        <v>No</v>
      </c>
      <c r="V971" s="567" t="str">
        <f>IF(G971&amp;H971=T971&amp;U971,"OK","WRONG")</f>
        <v>OK</v>
      </c>
      <c r="W971" s="563" t="str">
        <f>VLOOKUP(A971,'[1]Raw data'!$B:$AG,32,FALSE)</f>
        <v>DAP SZ</v>
      </c>
      <c r="X971" s="647">
        <f>VLOOKUP(A971,'[1]Raw data'!$B:$BA,31,FALSE)</f>
        <v>44351</v>
      </c>
      <c r="Y971" s="647" t="str">
        <f>VLOOKUP(A971,'[1]Raw data'!$B:$AS,39,FALSE)</f>
        <v>Yes</v>
      </c>
      <c r="Z971" s="659"/>
      <c r="AA971" s="660"/>
      <c r="AB971" s="661"/>
      <c r="AC971" s="647" t="s">
        <v>678</v>
      </c>
      <c r="AD971" s="662"/>
      <c r="AE971" s="662"/>
      <c r="AF971" s="662"/>
      <c r="AG971" s="662"/>
      <c r="AH971" s="662"/>
      <c r="AI971" s="663"/>
      <c r="AN971" s="542"/>
      <c r="AO971" s="824" t="str">
        <f t="shared" si="182"/>
        <v>Yes</v>
      </c>
      <c r="AP971" s="259" t="str">
        <f t="shared" si="183"/>
        <v>NOV 21</v>
      </c>
      <c r="AQ971" s="542" t="str">
        <f t="shared" si="184"/>
        <v>有定金+有預留客戶</v>
      </c>
      <c r="AR971" s="259" t="str">
        <f t="shared" si="185"/>
        <v>Shipped_Stock</v>
      </c>
      <c r="AS971" s="259" t="str">
        <f t="shared" si="186"/>
        <v/>
      </c>
      <c r="AT971" s="259" t="str">
        <f t="shared" si="187"/>
        <v>太美亚</v>
      </c>
      <c r="AU971" s="259" t="str">
        <f t="shared" si="188"/>
        <v>C49SZX20210152SX</v>
      </c>
      <c r="AV971" s="259" t="str">
        <f t="shared" si="189"/>
        <v>2021/10/30,Yamaha清关</v>
      </c>
    </row>
    <row r="972" spans="1:48" hidden="1">
      <c r="A972" s="559">
        <v>1423</v>
      </c>
      <c r="B972" s="664" t="s">
        <v>1125</v>
      </c>
      <c r="C972" s="664" t="s">
        <v>15</v>
      </c>
      <c r="D972" s="645" t="s">
        <v>1839</v>
      </c>
      <c r="E972" s="744" t="s">
        <v>1840</v>
      </c>
      <c r="F972" s="647" t="s">
        <v>58</v>
      </c>
      <c r="G972" s="647" t="s">
        <v>18</v>
      </c>
      <c r="H972" s="647" t="s">
        <v>26</v>
      </c>
      <c r="I972" s="575" t="s">
        <v>1843</v>
      </c>
      <c r="J972" s="575">
        <v>1</v>
      </c>
      <c r="K972" s="647" t="s">
        <v>1806</v>
      </c>
      <c r="L972" s="657" t="s">
        <v>1842</v>
      </c>
      <c r="M972" s="665" t="s">
        <v>1807</v>
      </c>
      <c r="N972" s="647" t="s">
        <v>1816</v>
      </c>
      <c r="O972" s="575"/>
      <c r="P972" s="665" t="str">
        <f>VLOOKUP(A972,'[1]Raw data'!$B:$BA,23,FALSE)</f>
        <v>JPY</v>
      </c>
      <c r="Q972" s="647" t="str">
        <f>VLOOKUP(A972,'[1]Raw data'!$B:$Z,2,FALSE)</f>
        <v>C49SZX20210152SX</v>
      </c>
      <c r="R972" s="647" t="str">
        <f>VLOOKUP(A972,'[1]Raw data'!$B:$Z,3,FALSE)</f>
        <v>太美亚</v>
      </c>
      <c r="S972" s="647" t="str">
        <f>VLOOKUP(A972,'[1]Raw data'!$B:$Z,4,FALSE)</f>
        <v>YSM20R-2</v>
      </c>
      <c r="T972" s="647" t="str">
        <f>VLOOKUP(A972,'[1]Raw data'!$B:$Z,8,FALSE)</f>
        <v>R-&gt;L</v>
      </c>
      <c r="U972" s="647" t="str">
        <f>VLOOKUP(A972,'[1]Raw data'!$B:$Z,9,FALSE)</f>
        <v>No</v>
      </c>
      <c r="V972" s="567" t="str">
        <f>IF(G972&amp;H972=T972&amp;U972,"OK","WRONG")</f>
        <v>OK</v>
      </c>
      <c r="W972" s="563" t="str">
        <f>VLOOKUP(A972,'[1]Raw data'!$B:$AG,32,FALSE)</f>
        <v>DAP SZ</v>
      </c>
      <c r="X972" s="647">
        <f>VLOOKUP(A972,'[1]Raw data'!$B:$BA,31,FALSE)</f>
        <v>44351</v>
      </c>
      <c r="Y972" s="647" t="str">
        <f>VLOOKUP(A972,'[1]Raw data'!$B:$AS,39,FALSE)</f>
        <v>Yes</v>
      </c>
      <c r="Z972" s="659"/>
      <c r="AA972" s="660"/>
      <c r="AB972" s="661"/>
      <c r="AC972" s="647" t="s">
        <v>678</v>
      </c>
      <c r="AD972" s="662"/>
      <c r="AE972" s="662"/>
      <c r="AF972" s="662"/>
      <c r="AG972" s="662"/>
      <c r="AH972" s="662"/>
      <c r="AI972" s="663"/>
      <c r="AN972" s="542"/>
      <c r="AO972" s="824" t="str">
        <f t="shared" si="182"/>
        <v>Yes</v>
      </c>
      <c r="AP972" s="259" t="str">
        <f t="shared" si="183"/>
        <v>NOV 21</v>
      </c>
      <c r="AQ972" s="542" t="str">
        <f t="shared" si="184"/>
        <v>有定金+有預留客戶</v>
      </c>
      <c r="AR972" s="259" t="str">
        <f t="shared" si="185"/>
        <v>Shipped_Stock</v>
      </c>
      <c r="AS972" s="259" t="str">
        <f t="shared" si="186"/>
        <v/>
      </c>
      <c r="AT972" s="259" t="str">
        <f t="shared" si="187"/>
        <v>太美亚</v>
      </c>
      <c r="AU972" s="259" t="str">
        <f t="shared" si="188"/>
        <v>C49SZX20210152SX</v>
      </c>
      <c r="AV972" s="259" t="str">
        <f t="shared" si="189"/>
        <v>2021/10/30,Yamaha清关</v>
      </c>
    </row>
    <row r="973" spans="1:48" ht="12" hidden="1" customHeight="1">
      <c r="A973" s="559">
        <v>1355</v>
      </c>
      <c r="B973" s="664" t="s">
        <v>1125</v>
      </c>
      <c r="C973" s="664" t="s">
        <v>281</v>
      </c>
      <c r="D973" s="645">
        <v>110581</v>
      </c>
      <c r="E973" s="744" t="s">
        <v>1844</v>
      </c>
      <c r="F973" s="647" t="s">
        <v>154</v>
      </c>
      <c r="G973" s="647" t="s">
        <v>24</v>
      </c>
      <c r="H973" s="647" t="s">
        <v>307</v>
      </c>
      <c r="I973" s="575" t="s">
        <v>1845</v>
      </c>
      <c r="J973" s="575">
        <v>1</v>
      </c>
      <c r="K973" s="647" t="s">
        <v>1732</v>
      </c>
      <c r="L973" s="657">
        <v>44504</v>
      </c>
      <c r="M973" s="665" t="s">
        <v>906</v>
      </c>
      <c r="N973" s="647" t="s">
        <v>1816</v>
      </c>
      <c r="O973" s="575"/>
      <c r="P973" s="665" t="str">
        <f>VLOOKUP(A973,'[1]Raw data'!$B:$BA,23,FALSE)</f>
        <v>JPY</v>
      </c>
      <c r="Q973" s="647" t="str">
        <f>VLOOKUP(A973,'[1]Raw data'!$B:$Z,2,FALSE)</f>
        <v>C49SZX20210133EC</v>
      </c>
      <c r="R973" s="647" t="str">
        <f>VLOOKUP(A973,'[1]Raw data'!$B:$Z,3,FALSE)</f>
        <v>海红天远</v>
      </c>
      <c r="S973" s="647" t="str">
        <f>VLOOKUP(A973,'[1]Raw data'!$B:$Z,4,FALSE)</f>
        <v>YSM20WR-2</v>
      </c>
      <c r="T973" s="647" t="str">
        <f>VLOOKUP(A973,'[1]Raw data'!$B:$Z,8,FALSE)</f>
        <v>L-&gt;R</v>
      </c>
      <c r="U973" s="647" t="str">
        <f>VLOOKUP(A973,'[1]Raw data'!$B:$Z,9,FALSE)</f>
        <v>No</v>
      </c>
      <c r="V973" s="567" t="str">
        <f t="shared" ref="V973" si="190">IF(G973&amp;H973=T973&amp;U973,"OK","WRONG")</f>
        <v>OK</v>
      </c>
      <c r="W973" s="563" t="str">
        <f>VLOOKUP(A973,'[1]Raw data'!$B:$AG,32,FALSE)</f>
        <v>CIF HK</v>
      </c>
      <c r="X973" s="647">
        <f>VLOOKUP(A973,'[1]Raw data'!$B:$BA,31,FALSE)</f>
        <v>44314</v>
      </c>
      <c r="Y973" s="647" t="str">
        <f>VLOOKUP(A973,'[1]Raw data'!$B:$AS,39,FALSE)</f>
        <v>Yes</v>
      </c>
      <c r="Z973" s="659"/>
      <c r="AA973" s="660"/>
      <c r="AB973" s="661"/>
      <c r="AC973" s="647" t="s">
        <v>1079</v>
      </c>
      <c r="AD973" s="662">
        <v>303</v>
      </c>
      <c r="AE973" s="662">
        <v>16</v>
      </c>
      <c r="AF973" s="662">
        <v>302</v>
      </c>
      <c r="AG973" s="662">
        <v>4</v>
      </c>
      <c r="AH973" s="662"/>
      <c r="AI973" s="663"/>
      <c r="AN973" s="542"/>
      <c r="AO973" s="824" t="str">
        <f t="shared" si="182"/>
        <v>Yes</v>
      </c>
      <c r="AP973" s="259" t="str">
        <f t="shared" si="183"/>
        <v>NOV 21</v>
      </c>
      <c r="AQ973" s="542" t="str">
        <f t="shared" si="184"/>
        <v>有定金+有預留客戶</v>
      </c>
      <c r="AR973" s="259" t="str">
        <f t="shared" si="185"/>
        <v>Shipped_Stock</v>
      </c>
      <c r="AS973" s="259" t="str">
        <f t="shared" si="186"/>
        <v/>
      </c>
      <c r="AT973" s="259" t="str">
        <f t="shared" si="187"/>
        <v>海红天远</v>
      </c>
      <c r="AU973" s="259" t="str">
        <f t="shared" si="188"/>
        <v>C49SZX20210133EC</v>
      </c>
      <c r="AV973" s="259" t="str">
        <f t="shared" si="189"/>
        <v>Nov-04</v>
      </c>
    </row>
    <row r="974" spans="1:48" hidden="1">
      <c r="A974" s="559">
        <v>1356</v>
      </c>
      <c r="B974" s="664" t="s">
        <v>1125</v>
      </c>
      <c r="C974" s="664" t="s">
        <v>281</v>
      </c>
      <c r="D974" s="645">
        <v>110581</v>
      </c>
      <c r="E974" s="744" t="s">
        <v>1844</v>
      </c>
      <c r="F974" s="647" t="s">
        <v>154</v>
      </c>
      <c r="G974" s="647" t="s">
        <v>24</v>
      </c>
      <c r="H974" s="647" t="s">
        <v>307</v>
      </c>
      <c r="I974" s="575" t="s">
        <v>1846</v>
      </c>
      <c r="J974" s="575">
        <v>1</v>
      </c>
      <c r="K974" s="647" t="s">
        <v>1732</v>
      </c>
      <c r="L974" s="657">
        <v>44504</v>
      </c>
      <c r="M974" s="665" t="s">
        <v>906</v>
      </c>
      <c r="N974" s="647" t="s">
        <v>1816</v>
      </c>
      <c r="O974" s="575"/>
      <c r="P974" s="665" t="str">
        <f>VLOOKUP(A974,'[1]Raw data'!$B:$BA,23,FALSE)</f>
        <v>JPY</v>
      </c>
      <c r="Q974" s="647" t="str">
        <f>VLOOKUP(A974,'[1]Raw data'!$B:$Z,2,FALSE)</f>
        <v>C49SZX20210133EC</v>
      </c>
      <c r="R974" s="647" t="str">
        <f>VLOOKUP(A974,'[1]Raw data'!$B:$Z,3,FALSE)</f>
        <v>海红天远</v>
      </c>
      <c r="S974" s="647" t="str">
        <f>VLOOKUP(A974,'[1]Raw data'!$B:$Z,4,FALSE)</f>
        <v>YSM20WR-2</v>
      </c>
      <c r="T974" s="647" t="str">
        <f>VLOOKUP(A974,'[1]Raw data'!$B:$Z,8,FALSE)</f>
        <v>L-&gt;R</v>
      </c>
      <c r="U974" s="647" t="str">
        <f>VLOOKUP(A974,'[1]Raw data'!$B:$Z,9,FALSE)</f>
        <v>No</v>
      </c>
      <c r="V974" s="567" t="str">
        <f t="shared" ref="V974:V976" si="191">IF(G974&amp;H974=T974&amp;U974,"OK","WRONG")</f>
        <v>OK</v>
      </c>
      <c r="W974" s="563" t="str">
        <f>VLOOKUP(A974,'[1]Raw data'!$B:$AG,32,FALSE)</f>
        <v>CIF HK</v>
      </c>
      <c r="X974" s="647">
        <f>VLOOKUP(A974,'[1]Raw data'!$B:$BA,31,FALSE)</f>
        <v>44314</v>
      </c>
      <c r="Y974" s="647" t="str">
        <f>VLOOKUP(A974,'[1]Raw data'!$B:$AS,39,FALSE)</f>
        <v>Yes</v>
      </c>
      <c r="Z974" s="659"/>
      <c r="AA974" s="660"/>
      <c r="AB974" s="661"/>
      <c r="AC974" s="647" t="s">
        <v>1079</v>
      </c>
      <c r="AD974" s="662">
        <v>303</v>
      </c>
      <c r="AE974" s="662">
        <v>16</v>
      </c>
      <c r="AF974" s="662">
        <v>302</v>
      </c>
      <c r="AG974" s="662">
        <v>4</v>
      </c>
      <c r="AH974" s="662"/>
      <c r="AI974" s="663"/>
      <c r="AN974" s="542"/>
      <c r="AO974" s="824" t="str">
        <f t="shared" si="182"/>
        <v>Yes</v>
      </c>
      <c r="AP974" s="259" t="str">
        <f t="shared" si="183"/>
        <v>NOV 21</v>
      </c>
      <c r="AQ974" s="542" t="str">
        <f t="shared" si="184"/>
        <v>有定金+有預留客戶</v>
      </c>
      <c r="AR974" s="259" t="str">
        <f t="shared" si="185"/>
        <v>Shipped_Stock</v>
      </c>
      <c r="AS974" s="259" t="str">
        <f t="shared" si="186"/>
        <v/>
      </c>
      <c r="AT974" s="259" t="str">
        <f t="shared" si="187"/>
        <v>海红天远</v>
      </c>
      <c r="AU974" s="259" t="str">
        <f t="shared" si="188"/>
        <v>C49SZX20210133EC</v>
      </c>
      <c r="AV974" s="259" t="str">
        <f t="shared" si="189"/>
        <v>Nov-04</v>
      </c>
    </row>
    <row r="975" spans="1:48" hidden="1">
      <c r="A975" s="559">
        <v>1246</v>
      </c>
      <c r="B975" s="664" t="s">
        <v>1125</v>
      </c>
      <c r="C975" s="664" t="s">
        <v>281</v>
      </c>
      <c r="D975" s="645">
        <v>110581</v>
      </c>
      <c r="E975" s="744" t="s">
        <v>1844</v>
      </c>
      <c r="F975" s="647" t="s">
        <v>17</v>
      </c>
      <c r="G975" s="647" t="s">
        <v>18</v>
      </c>
      <c r="H975" s="647" t="s">
        <v>307</v>
      </c>
      <c r="I975" s="575" t="s">
        <v>1847</v>
      </c>
      <c r="J975" s="575">
        <v>1</v>
      </c>
      <c r="K975" s="647" t="s">
        <v>1419</v>
      </c>
      <c r="L975" s="657">
        <v>44504</v>
      </c>
      <c r="M975" s="665" t="s">
        <v>906</v>
      </c>
      <c r="N975" s="647" t="s">
        <v>1816</v>
      </c>
      <c r="O975" s="575"/>
      <c r="P975" s="665" t="str">
        <f>VLOOKUP(A975,'[1]Raw data'!$B:$BA,23,FALSE)</f>
        <v>JPY</v>
      </c>
      <c r="Q975" s="647" t="str">
        <f>VLOOKUP(A975,'[1]Raw data'!$B:$Z,2,FALSE)</f>
        <v>C49SZX20210073AY</v>
      </c>
      <c r="R975" s="647" t="str">
        <f>VLOOKUP(A975,'[1]Raw data'!$B:$Z,3,FALSE)</f>
        <v>铣米</v>
      </c>
      <c r="S975" s="647" t="str">
        <f>VLOOKUP(A975,'[1]Raw data'!$B:$Z,4,FALSE)</f>
        <v>YSM10</v>
      </c>
      <c r="T975" s="647" t="str">
        <f>VLOOKUP(A975,'[1]Raw data'!$B:$Z,8,FALSE)</f>
        <v>L-&gt;R</v>
      </c>
      <c r="U975" s="647" t="str">
        <f>VLOOKUP(A975,'[1]Raw data'!$B:$Z,9,FALSE)</f>
        <v>MVC</v>
      </c>
      <c r="V975" s="567" t="str">
        <f t="shared" si="191"/>
        <v>WRONG</v>
      </c>
      <c r="W975" s="563" t="str">
        <f>VLOOKUP(A975,'[1]Raw data'!$B:$AG,32,FALSE)</f>
        <v>DAP SZ</v>
      </c>
      <c r="X975" s="647">
        <f>VLOOKUP(A975,'[1]Raw data'!$B:$BA,31,FALSE)</f>
        <v>44265</v>
      </c>
      <c r="Y975" s="647" t="str">
        <f>VLOOKUP(A975,'[1]Raw data'!$B:$AS,39,FALSE)</f>
        <v>Yes</v>
      </c>
      <c r="Z975" s="666"/>
      <c r="AA975" s="667"/>
      <c r="AB975" s="668"/>
      <c r="AC975" s="647" t="s">
        <v>1848</v>
      </c>
      <c r="AD975" s="662">
        <v>301</v>
      </c>
      <c r="AE975" s="662">
        <v>10</v>
      </c>
      <c r="AF975" s="662"/>
      <c r="AG975" s="662"/>
      <c r="AH975" s="662"/>
      <c r="AI975" s="663"/>
      <c r="AN975" s="542"/>
      <c r="AO975" s="824" t="str">
        <f t="shared" si="182"/>
        <v>Yes</v>
      </c>
      <c r="AP975" s="259" t="str">
        <f t="shared" si="183"/>
        <v>NOV 21</v>
      </c>
      <c r="AQ975" s="542" t="str">
        <f t="shared" si="184"/>
        <v>有定金+有預留客戶</v>
      </c>
      <c r="AR975" s="259" t="str">
        <f t="shared" si="185"/>
        <v>Shipped_Stock</v>
      </c>
      <c r="AS975" s="259" t="str">
        <f t="shared" si="186"/>
        <v/>
      </c>
      <c r="AT975" s="259" t="str">
        <f t="shared" si="187"/>
        <v>铣米</v>
      </c>
      <c r="AU975" s="259" t="str">
        <f t="shared" si="188"/>
        <v>C49SZX20210073AY</v>
      </c>
      <c r="AV975" s="259" t="str">
        <f t="shared" si="189"/>
        <v>Nov-04</v>
      </c>
    </row>
    <row r="976" spans="1:48" hidden="1">
      <c r="A976" s="559">
        <v>1434</v>
      </c>
      <c r="B976" s="664" t="s">
        <v>1125</v>
      </c>
      <c r="C976" s="664" t="s">
        <v>281</v>
      </c>
      <c r="D976" s="645" t="s">
        <v>1849</v>
      </c>
      <c r="E976" s="744" t="s">
        <v>1844</v>
      </c>
      <c r="F976" s="647" t="s">
        <v>17</v>
      </c>
      <c r="G976" s="647" t="s">
        <v>18</v>
      </c>
      <c r="H976" s="647" t="s">
        <v>307</v>
      </c>
      <c r="I976" s="575" t="s">
        <v>1850</v>
      </c>
      <c r="J976" s="575">
        <v>1</v>
      </c>
      <c r="K976" s="647" t="s">
        <v>1419</v>
      </c>
      <c r="L976" s="657">
        <v>44504</v>
      </c>
      <c r="M976" s="665">
        <v>5.6800000000000003E-2</v>
      </c>
      <c r="N976" s="647" t="s">
        <v>1816</v>
      </c>
      <c r="O976" s="575"/>
      <c r="P976" s="665" t="str">
        <f>VLOOKUP(A976,'[1]Raw data'!$B:$BA,23,FALSE)</f>
        <v>RMB</v>
      </c>
      <c r="Q976" s="647" t="str">
        <f>VLOOKUP(A976,'[1]Raw data'!$B:$Z,2,FALSE)</f>
        <v>C49SZX20210172EC</v>
      </c>
      <c r="R976" s="647" t="str">
        <f>VLOOKUP(A976,'[1]Raw data'!$B:$Z,3,FALSE)</f>
        <v>科华/End user 美斯特</v>
      </c>
      <c r="S976" s="647" t="str">
        <f>VLOOKUP(A976,'[1]Raw data'!$B:$Z,4,FALSE)</f>
        <v>YSM10</v>
      </c>
      <c r="T976" s="647" t="str">
        <f>VLOOKUP(A976,'[1]Raw data'!$B:$Z,8,FALSE)</f>
        <v>L-&gt;R</v>
      </c>
      <c r="U976" s="647" t="str">
        <f>VLOOKUP(A976,'[1]Raw data'!$B:$Z,9,FALSE)</f>
        <v>MVC</v>
      </c>
      <c r="V976" s="709" t="str">
        <f t="shared" si="191"/>
        <v>WRONG</v>
      </c>
      <c r="W976" s="563" t="str">
        <f>VLOOKUP(A976,'[1]Raw data'!$B:$AG,32,FALSE)</f>
        <v>DDP SZ</v>
      </c>
      <c r="X976" s="710">
        <f>VLOOKUP(A976,'[1]Raw data'!$B:$BA,31,FALSE)</f>
        <v>44365</v>
      </c>
      <c r="Y976" s="710" t="str">
        <f>VLOOKUP(A976,'[1]Raw data'!$B:$AS,39,FALSE)</f>
        <v>Yes</v>
      </c>
      <c r="Z976" s="659"/>
      <c r="AA976" s="660"/>
      <c r="AB976" s="661"/>
      <c r="AC976" s="647" t="s">
        <v>984</v>
      </c>
      <c r="AD976" s="662">
        <v>301</v>
      </c>
      <c r="AE976" s="662">
        <v>10</v>
      </c>
      <c r="AF976" s="662"/>
      <c r="AG976" s="662"/>
      <c r="AH976" s="662"/>
      <c r="AI976" s="663"/>
      <c r="AN976" s="542"/>
      <c r="AO976" s="824" t="str">
        <f t="shared" si="182"/>
        <v>Yes</v>
      </c>
      <c r="AP976" s="259" t="str">
        <f t="shared" si="183"/>
        <v>NOV 21</v>
      </c>
      <c r="AQ976" s="542" t="str">
        <f t="shared" si="184"/>
        <v>有定金+有預留客戶</v>
      </c>
      <c r="AR976" s="259" t="str">
        <f t="shared" si="185"/>
        <v>Shipped_Stock</v>
      </c>
      <c r="AS976" s="259" t="str">
        <f t="shared" si="186"/>
        <v/>
      </c>
      <c r="AT976" s="259" t="str">
        <f t="shared" si="187"/>
        <v>科华/End user 美斯特</v>
      </c>
      <c r="AU976" s="259" t="str">
        <f t="shared" si="188"/>
        <v>C49SZX20210172EC</v>
      </c>
      <c r="AV976" s="259" t="str">
        <f t="shared" si="189"/>
        <v>Nov-04</v>
      </c>
    </row>
    <row r="977" spans="1:48" hidden="1">
      <c r="A977" s="559">
        <v>1371</v>
      </c>
      <c r="B977" s="664" t="s">
        <v>1125</v>
      </c>
      <c r="C977" s="664" t="s">
        <v>281</v>
      </c>
      <c r="D977" s="645">
        <v>110594</v>
      </c>
      <c r="E977" s="646" t="s">
        <v>1801</v>
      </c>
      <c r="F977" s="647" t="s">
        <v>58</v>
      </c>
      <c r="G977" s="647" t="s">
        <v>24</v>
      </c>
      <c r="H977" s="647" t="s">
        <v>26</v>
      </c>
      <c r="I977" s="575" t="s">
        <v>1851</v>
      </c>
      <c r="J977" s="575">
        <v>1</v>
      </c>
      <c r="K977" s="647" t="s">
        <v>1732</v>
      </c>
      <c r="L977" s="657">
        <v>44504</v>
      </c>
      <c r="M977" s="665">
        <v>5.6300000000000003E-2</v>
      </c>
      <c r="N977" s="647" t="s">
        <v>1816</v>
      </c>
      <c r="O977" s="575"/>
      <c r="P977" s="665" t="str">
        <f>VLOOKUP(A977,'[1]Raw data'!$B:$BA,23,FALSE)</f>
        <v>JPY</v>
      </c>
      <c r="Q977" s="647" t="str">
        <f>VLOOKUP(A977,'[1]Raw data'!$B:$Z,2,FALSE)</f>
        <v>C49SZX20210147DY</v>
      </c>
      <c r="R977" s="647" t="str">
        <f>VLOOKUP(A977,'[1]Raw data'!$B:$Z,3,FALSE)</f>
        <v>朗迅</v>
      </c>
      <c r="S977" s="647" t="str">
        <f>VLOOKUP(A977,'[1]Raw data'!$B:$Z,4,FALSE)</f>
        <v>YSM20R-2</v>
      </c>
      <c r="T977" s="647" t="str">
        <f>VLOOKUP(A977,'[1]Raw data'!$B:$Z,8,FALSE)</f>
        <v>L-&gt;R</v>
      </c>
      <c r="U977" s="647" t="str">
        <f>VLOOKUP(A977,'[1]Raw data'!$B:$Z,9,FALSE)</f>
        <v>No</v>
      </c>
      <c r="V977" s="709" t="str">
        <f t="shared" ref="V977:V978" si="192">IF(G977&amp;H977=T977&amp;U977,"OK","WRONG")</f>
        <v>OK</v>
      </c>
      <c r="W977" s="563" t="str">
        <f>VLOOKUP(A977,'[1]Raw data'!$B:$AG,32,FALSE)</f>
        <v>DAP HZ</v>
      </c>
      <c r="X977" s="710">
        <f>VLOOKUP(A977,'[1]Raw data'!$B:$BA,31,FALSE)</f>
        <v>44333</v>
      </c>
      <c r="Y977" s="710" t="str">
        <f>VLOOKUP(A977,'[1]Raw data'!$B:$AS,39,FALSE)</f>
        <v>Yes</v>
      </c>
      <c r="Z977" s="659"/>
      <c r="AA977" s="660"/>
      <c r="AB977" s="661"/>
      <c r="AC977" s="647" t="s">
        <v>1832</v>
      </c>
      <c r="AD977" s="662">
        <v>303</v>
      </c>
      <c r="AE977" s="662">
        <v>20</v>
      </c>
      <c r="AF977" s="662"/>
      <c r="AG977" s="662"/>
      <c r="AH977" s="662"/>
      <c r="AI977" s="663"/>
      <c r="AN977" s="542"/>
      <c r="AO977" s="824" t="str">
        <f t="shared" si="182"/>
        <v>Yes</v>
      </c>
      <c r="AP977" s="259" t="str">
        <f t="shared" si="183"/>
        <v>NOV 21</v>
      </c>
      <c r="AQ977" s="542" t="str">
        <f t="shared" si="184"/>
        <v>有定金+有預留客戶</v>
      </c>
      <c r="AR977" s="259" t="str">
        <f t="shared" si="185"/>
        <v>Shipped_Stock</v>
      </c>
      <c r="AS977" s="259" t="str">
        <f t="shared" si="186"/>
        <v/>
      </c>
      <c r="AT977" s="259" t="str">
        <f t="shared" si="187"/>
        <v>朗迅</v>
      </c>
      <c r="AU977" s="259" t="str">
        <f t="shared" si="188"/>
        <v>C49SZX20210147DY</v>
      </c>
      <c r="AV977" s="259" t="str">
        <f t="shared" si="189"/>
        <v>Nov-04</v>
      </c>
    </row>
    <row r="978" spans="1:48" ht="33" hidden="1">
      <c r="A978" s="559">
        <v>1511</v>
      </c>
      <c r="B978" s="664" t="s">
        <v>1125</v>
      </c>
      <c r="C978" s="664" t="s">
        <v>281</v>
      </c>
      <c r="D978" s="645">
        <v>110594</v>
      </c>
      <c r="E978" s="646" t="s">
        <v>1801</v>
      </c>
      <c r="F978" s="647" t="s">
        <v>58</v>
      </c>
      <c r="G978" s="647" t="s">
        <v>24</v>
      </c>
      <c r="H978" s="647" t="s">
        <v>26</v>
      </c>
      <c r="I978" s="751" t="s">
        <v>1852</v>
      </c>
      <c r="J978" s="575">
        <v>1</v>
      </c>
      <c r="K978" s="647" t="s">
        <v>1419</v>
      </c>
      <c r="L978" s="657">
        <v>44504</v>
      </c>
      <c r="M978" s="665" t="s">
        <v>1853</v>
      </c>
      <c r="N978" s="647" t="s">
        <v>1819</v>
      </c>
      <c r="O978" s="575"/>
      <c r="P978" s="665" t="str">
        <f>VLOOKUP(A978,'[1]Raw data'!$B:$BA,23,FALSE)</f>
        <v>RMB</v>
      </c>
      <c r="Q978" s="647" t="str">
        <f>VLOOKUP(A978,'[1]Raw data'!$B:$Z,2,FALSE)</f>
        <v>C49SZX20210214EC</v>
      </c>
      <c r="R978" s="647" t="str">
        <f>VLOOKUP(A978,'[1]Raw data'!$B:$Z,3,FALSE)</f>
        <v>骏孚</v>
      </c>
      <c r="S978" s="647" t="str">
        <f>VLOOKUP(A978,'[1]Raw data'!$B:$Z,4,FALSE)</f>
        <v>YSM20R-2</v>
      </c>
      <c r="T978" s="647" t="str">
        <f>VLOOKUP(A978,'[1]Raw data'!$B:$Z,8,FALSE)</f>
        <v>L-&gt;R</v>
      </c>
      <c r="U978" s="647" t="str">
        <f>VLOOKUP(A978,'[1]Raw data'!$B:$Z,9,FALSE)</f>
        <v>No</v>
      </c>
      <c r="V978" s="567" t="str">
        <f t="shared" si="192"/>
        <v>OK</v>
      </c>
      <c r="W978" s="563" t="str">
        <f>VLOOKUP(A978,'[1]Raw data'!$B:$AG,32,FALSE)</f>
        <v>DDP GZ</v>
      </c>
      <c r="X978" s="647">
        <f>VLOOKUP(A978,'[1]Raw data'!$B:$BA,31,FALSE)</f>
        <v>44532</v>
      </c>
      <c r="Y978" s="647" t="str">
        <f>VLOOKUP(A978,'[1]Raw data'!$B:$AS,39,FALSE)</f>
        <v>Yes</v>
      </c>
      <c r="Z978" s="666"/>
      <c r="AA978" s="667"/>
      <c r="AB978" s="668"/>
      <c r="AC978" s="647" t="s">
        <v>1854</v>
      </c>
      <c r="AD978" s="662">
        <v>303</v>
      </c>
      <c r="AE978" s="662">
        <v>10</v>
      </c>
      <c r="AF978" s="662">
        <v>302</v>
      </c>
      <c r="AG978" s="662">
        <v>10</v>
      </c>
      <c r="AH978" s="662"/>
      <c r="AI978" s="663"/>
      <c r="AN978" s="542"/>
      <c r="AO978" s="824" t="str">
        <f t="shared" si="182"/>
        <v>Yes</v>
      </c>
      <c r="AP978" s="259" t="str">
        <f t="shared" si="183"/>
        <v>DEC 21</v>
      </c>
      <c r="AQ978" s="542" t="str">
        <f t="shared" si="184"/>
        <v>有定金+有預留客戶</v>
      </c>
      <c r="AR978" s="259" t="str">
        <f t="shared" si="185"/>
        <v>Shipped_Stock</v>
      </c>
      <c r="AS978" s="259" t="str">
        <f t="shared" si="186"/>
        <v/>
      </c>
      <c r="AT978" s="259" t="str">
        <f t="shared" si="187"/>
        <v>骏孚</v>
      </c>
      <c r="AU978" s="259" t="str">
        <f t="shared" si="188"/>
        <v>C49SZX20210214EC</v>
      </c>
      <c r="AV978" s="259" t="str">
        <f t="shared" si="189"/>
        <v>Nov-04</v>
      </c>
    </row>
    <row r="979" spans="1:48" ht="13.5" hidden="1">
      <c r="A979" s="559">
        <v>1501</v>
      </c>
      <c r="B979" s="664" t="s">
        <v>1125</v>
      </c>
      <c r="C979" s="664" t="s">
        <v>281</v>
      </c>
      <c r="D979" s="645" t="s">
        <v>1855</v>
      </c>
      <c r="E979" s="736" t="s">
        <v>1856</v>
      </c>
      <c r="F979" s="647" t="s">
        <v>58</v>
      </c>
      <c r="G979" s="647" t="s">
        <v>24</v>
      </c>
      <c r="H979" s="647" t="s">
        <v>26</v>
      </c>
      <c r="I979" s="752" t="s">
        <v>1857</v>
      </c>
      <c r="J979" s="575">
        <v>1</v>
      </c>
      <c r="K979" s="647" t="s">
        <v>1419</v>
      </c>
      <c r="L979" s="657">
        <v>44527</v>
      </c>
      <c r="M979" s="665" t="s">
        <v>1858</v>
      </c>
      <c r="N979" s="647" t="s">
        <v>1819</v>
      </c>
      <c r="O979" s="575"/>
      <c r="P979" s="665" t="str">
        <f>VLOOKUP(A979,'[1]Raw data'!$B:$BA,23,FALSE)</f>
        <v>RMB</v>
      </c>
      <c r="Q979" s="647" t="str">
        <f>VLOOKUP(A979,'[1]Raw data'!$B:$Z,2,FALSE)</f>
        <v>C49SZX20210204SS</v>
      </c>
      <c r="R979" s="647" t="str">
        <f>VLOOKUP(A979,'[1]Raw data'!$B:$Z,3,FALSE)</f>
        <v>嘉力达</v>
      </c>
      <c r="S979" s="647" t="str">
        <f>VLOOKUP(A979,'[1]Raw data'!$B:$Z,4,FALSE)</f>
        <v>YSM20R-2</v>
      </c>
      <c r="T979" s="647" t="str">
        <f>VLOOKUP(A979,'[1]Raw data'!$B:$Z,8,FALSE)</f>
        <v>L-&gt;R</v>
      </c>
      <c r="U979" s="647" t="str">
        <f>VLOOKUP(A979,'[1]Raw data'!$B:$Z,9,FALSE)</f>
        <v>No</v>
      </c>
      <c r="V979" s="567" t="str">
        <f t="shared" ref="V979:V982" si="193">IF(G979&amp;H979=T979&amp;U979,"OK","WRONG")</f>
        <v>OK</v>
      </c>
      <c r="W979" s="563" t="str">
        <f>VLOOKUP(A979,'[1]Raw data'!$B:$AG,32,FALSE)</f>
        <v>DDP HZ</v>
      </c>
      <c r="X979" s="647">
        <f>VLOOKUP(A979,'[1]Raw data'!$B:$BA,31,FALSE)</f>
        <v>44513</v>
      </c>
      <c r="Y979" s="647" t="str">
        <f>VLOOKUP(A979,'[1]Raw data'!$B:$AS,39,FALSE)</f>
        <v>Yes</v>
      </c>
      <c r="Z979" s="666"/>
      <c r="AA979" s="667"/>
      <c r="AB979" s="668"/>
      <c r="AC979" s="647" t="s">
        <v>1859</v>
      </c>
      <c r="AD979" s="662">
        <v>301</v>
      </c>
      <c r="AE979" s="662">
        <v>20</v>
      </c>
      <c r="AF979" s="662"/>
      <c r="AG979" s="662"/>
      <c r="AH979" s="662"/>
      <c r="AI979" s="663"/>
      <c r="AN979" s="542"/>
      <c r="AO979" s="824" t="str">
        <f t="shared" si="182"/>
        <v>Yes</v>
      </c>
      <c r="AP979" s="259" t="str">
        <f t="shared" si="183"/>
        <v>DEC 21</v>
      </c>
      <c r="AQ979" s="542" t="str">
        <f t="shared" si="184"/>
        <v>有定金+有預留客戶</v>
      </c>
      <c r="AR979" s="259" t="str">
        <f t="shared" si="185"/>
        <v>Shipped_Stock</v>
      </c>
      <c r="AS979" s="259" t="str">
        <f t="shared" si="186"/>
        <v/>
      </c>
      <c r="AT979" s="259" t="str">
        <f t="shared" si="187"/>
        <v>嘉力达</v>
      </c>
      <c r="AU979" s="259" t="str">
        <f t="shared" si="188"/>
        <v>C49SZX20210204SS</v>
      </c>
      <c r="AV979" s="259" t="str">
        <f t="shared" si="189"/>
        <v>Nov-27</v>
      </c>
    </row>
    <row r="980" spans="1:48" ht="13.5" hidden="1">
      <c r="A980" s="559">
        <v>1459</v>
      </c>
      <c r="B980" s="664" t="s">
        <v>1125</v>
      </c>
      <c r="C980" s="664" t="s">
        <v>281</v>
      </c>
      <c r="D980" s="645">
        <v>110635</v>
      </c>
      <c r="E980" s="736" t="s">
        <v>1856</v>
      </c>
      <c r="F980" s="647" t="s">
        <v>58</v>
      </c>
      <c r="G980" s="647" t="s">
        <v>24</v>
      </c>
      <c r="H980" s="647" t="s">
        <v>26</v>
      </c>
      <c r="I980" s="575" t="s">
        <v>1860</v>
      </c>
      <c r="J980" s="575">
        <v>1</v>
      </c>
      <c r="K980" s="647" t="s">
        <v>1419</v>
      </c>
      <c r="L980" s="657">
        <v>44527</v>
      </c>
      <c r="M980" s="753" t="s">
        <v>1861</v>
      </c>
      <c r="N980" s="647" t="s">
        <v>1828</v>
      </c>
      <c r="O980" s="575"/>
      <c r="P980" s="665" t="str">
        <f>VLOOKUP(A980,'[1]Raw data'!$B:$BA,23,FALSE)</f>
        <v>RMB</v>
      </c>
      <c r="Q980" s="647" t="str">
        <f>VLOOKUP(A980,'[1]Raw data'!$B:$Z,2,FALSE)</f>
        <v>C49SZX20210139DZ</v>
      </c>
      <c r="R980" s="647" t="str">
        <f>VLOOKUP(A980,'[1]Raw data'!$B:$Z,3,FALSE)</f>
        <v>力侬</v>
      </c>
      <c r="S980" s="647" t="str">
        <f>VLOOKUP(A980,'[1]Raw data'!$B:$Z,4,FALSE)</f>
        <v>YSM20R-2</v>
      </c>
      <c r="T980" s="647" t="str">
        <f>VLOOKUP(A980,'[1]Raw data'!$B:$Z,8,FALSE)</f>
        <v>L-&gt;R</v>
      </c>
      <c r="U980" s="647" t="str">
        <f>VLOOKUP(A980,'[1]Raw data'!$B:$Z,9,FALSE)</f>
        <v>No</v>
      </c>
      <c r="V980" s="567" t="str">
        <f t="shared" si="193"/>
        <v>OK</v>
      </c>
      <c r="W980" s="563" t="str">
        <f>VLOOKUP(A980,'[1]Raw data'!$B:$AG,32,FALSE)</f>
        <v>DDP QY</v>
      </c>
      <c r="X980" s="647">
        <f>VLOOKUP(A980,'[1]Raw data'!$B:$BA,31,FALSE)</f>
        <v>44392</v>
      </c>
      <c r="Y980" s="647" t="str">
        <f>VLOOKUP(A980,'[1]Raw data'!$B:$AS,39,FALSE)</f>
        <v>Yes</v>
      </c>
      <c r="Z980" s="659"/>
      <c r="AA980" s="660"/>
      <c r="AB980" s="661"/>
      <c r="AC980" s="647" t="s">
        <v>1862</v>
      </c>
      <c r="AD980" s="662">
        <v>301</v>
      </c>
      <c r="AE980" s="662">
        <v>20</v>
      </c>
      <c r="AF980" s="662"/>
      <c r="AG980" s="662"/>
      <c r="AH980" s="662"/>
      <c r="AI980" s="663"/>
      <c r="AN980" s="542"/>
      <c r="AO980" s="824" t="str">
        <f t="shared" si="182"/>
        <v>Yes</v>
      </c>
      <c r="AP980" s="259" t="str">
        <f t="shared" si="183"/>
        <v>MAR 22</v>
      </c>
      <c r="AQ980" s="542" t="str">
        <f t="shared" si="184"/>
        <v>有定金+有預留客戶</v>
      </c>
      <c r="AR980" s="259" t="str">
        <f t="shared" si="185"/>
        <v>Shipped_Stock</v>
      </c>
      <c r="AS980" s="259" t="str">
        <f t="shared" si="186"/>
        <v/>
      </c>
      <c r="AT980" s="259" t="str">
        <f t="shared" si="187"/>
        <v>力侬</v>
      </c>
      <c r="AU980" s="259" t="str">
        <f t="shared" si="188"/>
        <v>C49SZX20210139DZ</v>
      </c>
      <c r="AV980" s="259" t="str">
        <f t="shared" si="189"/>
        <v>Nov-27</v>
      </c>
    </row>
    <row r="981" spans="1:48" hidden="1">
      <c r="A981" s="559">
        <v>1153</v>
      </c>
      <c r="B981" s="664" t="s">
        <v>1125</v>
      </c>
      <c r="C981" s="664" t="s">
        <v>281</v>
      </c>
      <c r="D981" s="645">
        <v>110635</v>
      </c>
      <c r="E981" s="736" t="s">
        <v>1856</v>
      </c>
      <c r="F981" s="647" t="s">
        <v>58</v>
      </c>
      <c r="G981" s="647" t="s">
        <v>24</v>
      </c>
      <c r="H981" s="647" t="s">
        <v>26</v>
      </c>
      <c r="I981" s="575" t="s">
        <v>1863</v>
      </c>
      <c r="J981" s="575">
        <v>1</v>
      </c>
      <c r="K981" s="647" t="s">
        <v>85</v>
      </c>
      <c r="L981" s="657">
        <v>44527</v>
      </c>
      <c r="M981" s="576" t="s">
        <v>906</v>
      </c>
      <c r="N981" s="647" t="s">
        <v>1819</v>
      </c>
      <c r="O981" s="575"/>
      <c r="P981" s="665" t="str">
        <f>VLOOKUP(A981,'[1]Raw data'!$B:$BA,23,FALSE)</f>
        <v>JPY</v>
      </c>
      <c r="Q981" s="647" t="str">
        <f>VLOOKUP(A981,'[1]Raw data'!$B:$Z,2,FALSE)</f>
        <v>C49SZX20210052JY</v>
      </c>
      <c r="R981" s="647" t="str">
        <f>VLOOKUP(A981,'[1]Raw data'!$B:$Z,3,FALSE)</f>
        <v>江西络鑫</v>
      </c>
      <c r="S981" s="647" t="str">
        <f>VLOOKUP(A981,'[1]Raw data'!$B:$Z,4,FALSE)</f>
        <v>YSM20R-2</v>
      </c>
      <c r="T981" s="647" t="str">
        <f>VLOOKUP(A981,'[1]Raw data'!$B:$Z,8,FALSE)</f>
        <v>L-&gt;R</v>
      </c>
      <c r="U981" s="647" t="str">
        <f>VLOOKUP(A981,'[1]Raw data'!$B:$Z,9,FALSE)</f>
        <v>No</v>
      </c>
      <c r="V981" s="567" t="str">
        <f t="shared" si="193"/>
        <v>OK</v>
      </c>
      <c r="W981" s="563" t="str">
        <f>VLOOKUP(A981,'[1]Raw data'!$B:$AG,32,FALSE)</f>
        <v>CIF HK</v>
      </c>
      <c r="X981" s="647">
        <f>VLOOKUP(A981,'[1]Raw data'!$B:$BA,31,FALSE)</f>
        <v>44259</v>
      </c>
      <c r="Y981" s="647" t="str">
        <f>VLOOKUP(A981,'[1]Raw data'!$B:$AS,39,FALSE)</f>
        <v>Yes</v>
      </c>
      <c r="Z981" s="659"/>
      <c r="AA981" s="660"/>
      <c r="AB981" s="661"/>
      <c r="AC981" s="647" t="s">
        <v>1773</v>
      </c>
      <c r="AD981" s="662">
        <v>301</v>
      </c>
      <c r="AE981" s="662">
        <v>10</v>
      </c>
      <c r="AF981" s="662">
        <v>313</v>
      </c>
      <c r="AG981" s="662">
        <v>10</v>
      </c>
      <c r="AH981" s="662"/>
      <c r="AI981" s="663"/>
      <c r="AN981" s="542"/>
      <c r="AO981" s="824" t="str">
        <f t="shared" si="182"/>
        <v>Yes</v>
      </c>
      <c r="AP981" s="259" t="str">
        <f t="shared" si="183"/>
        <v>DEC 21</v>
      </c>
      <c r="AQ981" s="542" t="str">
        <f t="shared" si="184"/>
        <v>有定金+有預留客戶</v>
      </c>
      <c r="AR981" s="259" t="str">
        <f t="shared" si="185"/>
        <v>Shipped_Stock</v>
      </c>
      <c r="AS981" s="259" t="str">
        <f t="shared" si="186"/>
        <v/>
      </c>
      <c r="AT981" s="259" t="str">
        <f t="shared" si="187"/>
        <v>江西络鑫</v>
      </c>
      <c r="AU981" s="259" t="str">
        <f t="shared" si="188"/>
        <v>C49SZX20210052JY</v>
      </c>
      <c r="AV981" s="259" t="str">
        <f t="shared" si="189"/>
        <v>Nov-27</v>
      </c>
    </row>
    <row r="982" spans="1:48" hidden="1">
      <c r="A982" s="559">
        <v>1154</v>
      </c>
      <c r="B982" s="664" t="s">
        <v>1125</v>
      </c>
      <c r="C982" s="664" t="s">
        <v>281</v>
      </c>
      <c r="D982" s="645">
        <v>110635</v>
      </c>
      <c r="E982" s="736" t="s">
        <v>1856</v>
      </c>
      <c r="F982" s="647" t="s">
        <v>58</v>
      </c>
      <c r="G982" s="647" t="s">
        <v>24</v>
      </c>
      <c r="H982" s="647" t="s">
        <v>26</v>
      </c>
      <c r="I982" s="575" t="s">
        <v>1864</v>
      </c>
      <c r="J982" s="575">
        <v>1</v>
      </c>
      <c r="K982" s="647" t="s">
        <v>85</v>
      </c>
      <c r="L982" s="657">
        <v>44527</v>
      </c>
      <c r="M982" s="576" t="s">
        <v>906</v>
      </c>
      <c r="N982" s="647" t="s">
        <v>1819</v>
      </c>
      <c r="O982" s="575"/>
      <c r="P982" s="665" t="str">
        <f>VLOOKUP(A982,'[1]Raw data'!$B:$BA,23,FALSE)</f>
        <v>JPY</v>
      </c>
      <c r="Q982" s="647" t="str">
        <f>VLOOKUP(A982,'[1]Raw data'!$B:$Z,2,FALSE)</f>
        <v>C49SZX20210052JY</v>
      </c>
      <c r="R982" s="647" t="str">
        <f>VLOOKUP(A982,'[1]Raw data'!$B:$Z,3,FALSE)</f>
        <v>江西络鑫</v>
      </c>
      <c r="S982" s="647" t="str">
        <f>VLOOKUP(A982,'[1]Raw data'!$B:$Z,4,FALSE)</f>
        <v>YSM20R-2</v>
      </c>
      <c r="T982" s="647" t="str">
        <f>VLOOKUP(A982,'[1]Raw data'!$B:$Z,8,FALSE)</f>
        <v>L-&gt;R</v>
      </c>
      <c r="U982" s="647" t="str">
        <f>VLOOKUP(A982,'[1]Raw data'!$B:$Z,9,FALSE)</f>
        <v>No</v>
      </c>
      <c r="V982" s="567" t="str">
        <f t="shared" si="193"/>
        <v>OK</v>
      </c>
      <c r="W982" s="563" t="str">
        <f>VLOOKUP(A982,'[1]Raw data'!$B:$AG,32,FALSE)</f>
        <v>CIF HK</v>
      </c>
      <c r="X982" s="647">
        <f>VLOOKUP(A982,'[1]Raw data'!$B:$BA,31,FALSE)</f>
        <v>44259</v>
      </c>
      <c r="Y982" s="647" t="str">
        <f>VLOOKUP(A982,'[1]Raw data'!$B:$AS,39,FALSE)</f>
        <v>Yes</v>
      </c>
      <c r="Z982" s="659"/>
      <c r="AA982" s="660"/>
      <c r="AB982" s="661"/>
      <c r="AC982" s="647" t="s">
        <v>1773</v>
      </c>
      <c r="AD982" s="662">
        <v>301</v>
      </c>
      <c r="AE982" s="662">
        <v>10</v>
      </c>
      <c r="AF982" s="662">
        <v>313</v>
      </c>
      <c r="AG982" s="662">
        <v>10</v>
      </c>
      <c r="AH982" s="662"/>
      <c r="AI982" s="663"/>
      <c r="AN982" s="542"/>
      <c r="AO982" s="824" t="str">
        <f t="shared" si="182"/>
        <v>Yes</v>
      </c>
      <c r="AP982" s="259" t="str">
        <f t="shared" si="183"/>
        <v>DEC 21</v>
      </c>
      <c r="AQ982" s="542" t="str">
        <f t="shared" si="184"/>
        <v>有定金+有預留客戶</v>
      </c>
      <c r="AR982" s="259" t="str">
        <f t="shared" si="185"/>
        <v>Shipped_Stock</v>
      </c>
      <c r="AS982" s="259" t="str">
        <f t="shared" si="186"/>
        <v/>
      </c>
      <c r="AT982" s="259" t="str">
        <f t="shared" si="187"/>
        <v>江西络鑫</v>
      </c>
      <c r="AU982" s="259" t="str">
        <f t="shared" si="188"/>
        <v>C49SZX20210052JY</v>
      </c>
      <c r="AV982" s="259" t="str">
        <f t="shared" si="189"/>
        <v>Nov-27</v>
      </c>
    </row>
    <row r="983" spans="1:48" hidden="1">
      <c r="A983" s="559">
        <v>1495</v>
      </c>
      <c r="B983" s="664" t="s">
        <v>1125</v>
      </c>
      <c r="C983" s="664" t="s">
        <v>281</v>
      </c>
      <c r="D983" s="645" t="s">
        <v>1865</v>
      </c>
      <c r="E983" s="736" t="s">
        <v>1856</v>
      </c>
      <c r="F983" s="647" t="s">
        <v>17</v>
      </c>
      <c r="G983" s="647" t="s">
        <v>18</v>
      </c>
      <c r="H983" s="647" t="s">
        <v>48</v>
      </c>
      <c r="I983" s="575" t="s">
        <v>1866</v>
      </c>
      <c r="J983" s="575">
        <v>1</v>
      </c>
      <c r="K983" s="647" t="s">
        <v>1358</v>
      </c>
      <c r="L983" s="657">
        <v>44527</v>
      </c>
      <c r="M983" s="665">
        <v>5.6599999999999998E-2</v>
      </c>
      <c r="N983" s="647" t="s">
        <v>1819</v>
      </c>
      <c r="O983" s="575"/>
      <c r="P983" s="665" t="str">
        <f>VLOOKUP(A983,'[1]Raw data'!$B:$BA,23,FALSE)</f>
        <v>RMB</v>
      </c>
      <c r="Q983" s="647" t="str">
        <f>VLOOKUP(A983,'[1]Raw data'!$B:$Z,2,FALSE)</f>
        <v>C49SZX20210199R1SX</v>
      </c>
      <c r="R983" s="647" t="str">
        <f>VLOOKUP(A983,'[1]Raw data'!$B:$Z,3,FALSE)</f>
        <v>湖北奕宏</v>
      </c>
      <c r="S983" s="647" t="str">
        <f>VLOOKUP(A983,'[1]Raw data'!$B:$Z,4,FALSE)</f>
        <v>YSM10</v>
      </c>
      <c r="T983" s="647" t="str">
        <f>VLOOKUP(A983,'[1]Raw data'!$B:$Z,8,FALSE)</f>
        <v>L-&gt;R</v>
      </c>
      <c r="U983" s="647" t="str">
        <f>VLOOKUP(A983,'[1]Raw data'!$B:$Z,9,FALSE)</f>
        <v>MVC+ATS15</v>
      </c>
      <c r="V983" s="567" t="str">
        <f t="shared" ref="V983:V986" si="194">IF(G983&amp;H983=T983&amp;U983,"OK","WRONG")</f>
        <v>WRONG</v>
      </c>
      <c r="W983" s="563" t="str">
        <f>VLOOKUP(A983,'[1]Raw data'!$B:$AG,32,FALSE)</f>
        <v>DDP HB</v>
      </c>
      <c r="X983" s="647">
        <f>VLOOKUP(A983,'[1]Raw data'!$B:$BA,31,FALSE)</f>
        <v>44497</v>
      </c>
      <c r="Y983" s="647" t="str">
        <f>VLOOKUP(A983,'[1]Raw data'!$B:$AS,39,FALSE)</f>
        <v>Yes</v>
      </c>
      <c r="Z983" s="659"/>
      <c r="AA983" s="660"/>
      <c r="AB983" s="661"/>
      <c r="AC983" s="647" t="s">
        <v>1867</v>
      </c>
      <c r="AD983" s="662">
        <v>301</v>
      </c>
      <c r="AE983" s="662">
        <v>10</v>
      </c>
      <c r="AF983" s="662"/>
      <c r="AG983" s="662"/>
      <c r="AH983" s="662"/>
      <c r="AI983" s="663"/>
      <c r="AN983" s="542"/>
      <c r="AO983" s="824" t="str">
        <f t="shared" si="182"/>
        <v>Yes</v>
      </c>
      <c r="AP983" s="259" t="str">
        <f t="shared" si="183"/>
        <v>DEC 21</v>
      </c>
      <c r="AQ983" s="542" t="str">
        <f t="shared" si="184"/>
        <v>有定金+有預留客戶</v>
      </c>
      <c r="AR983" s="259" t="str">
        <f t="shared" si="185"/>
        <v>Shipped_Stock</v>
      </c>
      <c r="AS983" s="259" t="str">
        <f t="shared" si="186"/>
        <v/>
      </c>
      <c r="AT983" s="259" t="str">
        <f t="shared" si="187"/>
        <v>湖北奕宏</v>
      </c>
      <c r="AU983" s="259" t="str">
        <f t="shared" si="188"/>
        <v>C49SZX20210199R1SX</v>
      </c>
      <c r="AV983" s="259" t="str">
        <f t="shared" si="189"/>
        <v>Nov-27</v>
      </c>
    </row>
    <row r="984" spans="1:48" hidden="1">
      <c r="A984" s="559">
        <v>1496</v>
      </c>
      <c r="B984" s="664" t="s">
        <v>1125</v>
      </c>
      <c r="C984" s="664" t="s">
        <v>281</v>
      </c>
      <c r="D984" s="645" t="s">
        <v>1868</v>
      </c>
      <c r="E984" s="736" t="s">
        <v>1856</v>
      </c>
      <c r="F984" s="647" t="s">
        <v>17</v>
      </c>
      <c r="G984" s="647" t="s">
        <v>18</v>
      </c>
      <c r="H984" s="647" t="s">
        <v>48</v>
      </c>
      <c r="I984" s="575" t="s">
        <v>1869</v>
      </c>
      <c r="J984" s="575">
        <v>1</v>
      </c>
      <c r="K984" s="647" t="s">
        <v>1358</v>
      </c>
      <c r="L984" s="657">
        <v>44527</v>
      </c>
      <c r="M984" s="665">
        <v>5.6599999999999998E-2</v>
      </c>
      <c r="N984" s="647" t="s">
        <v>1819</v>
      </c>
      <c r="O984" s="575"/>
      <c r="P984" s="665" t="str">
        <f>VLOOKUP(A984,'[1]Raw data'!$B:$BA,23,FALSE)</f>
        <v>RMB</v>
      </c>
      <c r="Q984" s="647" t="str">
        <f>VLOOKUP(A984,'[1]Raw data'!$B:$Z,2,FALSE)</f>
        <v>C49SZX20210199R1SX</v>
      </c>
      <c r="R984" s="647" t="str">
        <f>VLOOKUP(A984,'[1]Raw data'!$B:$Z,3,FALSE)</f>
        <v>湖北奕宏</v>
      </c>
      <c r="S984" s="647" t="str">
        <f>VLOOKUP(A984,'[1]Raw data'!$B:$Z,4,FALSE)</f>
        <v>YSM10</v>
      </c>
      <c r="T984" s="647" t="str">
        <f>VLOOKUP(A984,'[1]Raw data'!$B:$Z,8,FALSE)</f>
        <v>L-&gt;R</v>
      </c>
      <c r="U984" s="647" t="str">
        <f>VLOOKUP(A984,'[1]Raw data'!$B:$Z,9,FALSE)</f>
        <v>MVC+ATS15</v>
      </c>
      <c r="V984" s="567" t="str">
        <f t="shared" si="194"/>
        <v>WRONG</v>
      </c>
      <c r="W984" s="563" t="str">
        <f>VLOOKUP(A984,'[1]Raw data'!$B:$AG,32,FALSE)</f>
        <v>DDP HB</v>
      </c>
      <c r="X984" s="647">
        <f>VLOOKUP(A984,'[1]Raw data'!$B:$BA,31,FALSE)</f>
        <v>44497</v>
      </c>
      <c r="Y984" s="647" t="str">
        <f>VLOOKUP(A984,'[1]Raw data'!$B:$AS,39,FALSE)</f>
        <v>Yes</v>
      </c>
      <c r="Z984" s="659"/>
      <c r="AA984" s="660"/>
      <c r="AB984" s="661"/>
      <c r="AC984" s="647" t="s">
        <v>1867</v>
      </c>
      <c r="AD984" s="662">
        <v>301</v>
      </c>
      <c r="AE984" s="662">
        <v>10</v>
      </c>
      <c r="AF984" s="662"/>
      <c r="AG984" s="662"/>
      <c r="AH984" s="662"/>
      <c r="AI984" s="663"/>
      <c r="AN984" s="542"/>
      <c r="AO984" s="824" t="str">
        <f t="shared" si="182"/>
        <v>Yes</v>
      </c>
      <c r="AP984" s="259" t="str">
        <f t="shared" si="183"/>
        <v>DEC 21</v>
      </c>
      <c r="AQ984" s="542" t="str">
        <f t="shared" si="184"/>
        <v>有定金+有預留客戶</v>
      </c>
      <c r="AR984" s="259" t="str">
        <f t="shared" si="185"/>
        <v>Shipped_Stock</v>
      </c>
      <c r="AS984" s="259" t="str">
        <f t="shared" si="186"/>
        <v/>
      </c>
      <c r="AT984" s="259" t="str">
        <f t="shared" si="187"/>
        <v>湖北奕宏</v>
      </c>
      <c r="AU984" s="259" t="str">
        <f t="shared" si="188"/>
        <v>C49SZX20210199R1SX</v>
      </c>
      <c r="AV984" s="259" t="str">
        <f t="shared" si="189"/>
        <v>Nov-27</v>
      </c>
    </row>
    <row r="985" spans="1:48" hidden="1">
      <c r="A985" s="559">
        <v>1158</v>
      </c>
      <c r="B985" s="664" t="s">
        <v>1125</v>
      </c>
      <c r="C985" s="664" t="s">
        <v>281</v>
      </c>
      <c r="D985" s="645">
        <v>110634</v>
      </c>
      <c r="E985" s="736" t="s">
        <v>1856</v>
      </c>
      <c r="F985" s="647" t="s">
        <v>17</v>
      </c>
      <c r="G985" s="647" t="s">
        <v>18</v>
      </c>
      <c r="H985" s="647" t="s">
        <v>48</v>
      </c>
      <c r="I985" s="575" t="s">
        <v>1870</v>
      </c>
      <c r="J985" s="575">
        <v>1</v>
      </c>
      <c r="K985" s="647" t="s">
        <v>85</v>
      </c>
      <c r="L985" s="657">
        <v>44527</v>
      </c>
      <c r="M985" s="665" t="s">
        <v>906</v>
      </c>
      <c r="N985" s="647" t="s">
        <v>1819</v>
      </c>
      <c r="O985" s="575"/>
      <c r="P985" s="665" t="str">
        <f>VLOOKUP(A985,'[1]Raw data'!$B:$BA,23,FALSE)</f>
        <v>JPY</v>
      </c>
      <c r="Q985" s="647" t="str">
        <f>VLOOKUP(A985,'[1]Raw data'!$B:$Z,2,FALSE)</f>
        <v>C49SZX20210052JY</v>
      </c>
      <c r="R985" s="647" t="str">
        <f>VLOOKUP(A985,'[1]Raw data'!$B:$Z,3,FALSE)</f>
        <v>江西络鑫</v>
      </c>
      <c r="S985" s="647" t="str">
        <f>VLOOKUP(A985,'[1]Raw data'!$B:$Z,4,FALSE)</f>
        <v>YSM10</v>
      </c>
      <c r="T985" s="647" t="str">
        <f>VLOOKUP(A985,'[1]Raw data'!$B:$Z,8,FALSE)</f>
        <v>L-&gt;R</v>
      </c>
      <c r="U985" s="647" t="str">
        <f>VLOOKUP(A985,'[1]Raw data'!$B:$Z,9,FALSE)</f>
        <v>MVC+ATS15</v>
      </c>
      <c r="V985" s="567" t="str">
        <f t="shared" si="194"/>
        <v>WRONG</v>
      </c>
      <c r="W985" s="563" t="str">
        <f>VLOOKUP(A985,'[1]Raw data'!$B:$AG,32,FALSE)</f>
        <v>CIF HK</v>
      </c>
      <c r="X985" s="647">
        <f>VLOOKUP(A985,'[1]Raw data'!$B:$BA,31,FALSE)</f>
        <v>44259</v>
      </c>
      <c r="Y985" s="647" t="str">
        <f>VLOOKUP(A985,'[1]Raw data'!$B:$AS,39,FALSE)</f>
        <v>Yes</v>
      </c>
      <c r="Z985" s="659"/>
      <c r="AA985" s="660"/>
      <c r="AB985" s="661"/>
      <c r="AC985" s="647" t="s">
        <v>1773</v>
      </c>
      <c r="AD985" s="662">
        <v>302</v>
      </c>
      <c r="AE985" s="662">
        <v>10</v>
      </c>
      <c r="AF985" s="662"/>
      <c r="AG985" s="662"/>
      <c r="AH985" s="662"/>
      <c r="AI985" s="663"/>
      <c r="AN985" s="542"/>
      <c r="AO985" s="824" t="str">
        <f t="shared" si="182"/>
        <v>Yes</v>
      </c>
      <c r="AP985" s="259" t="str">
        <f t="shared" si="183"/>
        <v>DEC 21</v>
      </c>
      <c r="AQ985" s="542" t="str">
        <f t="shared" si="184"/>
        <v>有定金+有預留客戶</v>
      </c>
      <c r="AR985" s="259" t="str">
        <f t="shared" si="185"/>
        <v>Shipped_Stock</v>
      </c>
      <c r="AS985" s="259" t="str">
        <f t="shared" si="186"/>
        <v/>
      </c>
      <c r="AT985" s="259" t="str">
        <f t="shared" si="187"/>
        <v>江西络鑫</v>
      </c>
      <c r="AU985" s="259" t="str">
        <f t="shared" si="188"/>
        <v>C49SZX20210052JY</v>
      </c>
      <c r="AV985" s="259" t="str">
        <f t="shared" si="189"/>
        <v>Nov-27</v>
      </c>
    </row>
    <row r="986" spans="1:48" hidden="1">
      <c r="A986" s="559">
        <v>1159</v>
      </c>
      <c r="B986" s="664" t="s">
        <v>1125</v>
      </c>
      <c r="C986" s="664" t="s">
        <v>281</v>
      </c>
      <c r="D986" s="645">
        <v>110634</v>
      </c>
      <c r="E986" s="736" t="s">
        <v>1856</v>
      </c>
      <c r="F986" s="647" t="s">
        <v>17</v>
      </c>
      <c r="G986" s="647" t="s">
        <v>18</v>
      </c>
      <c r="H986" s="647" t="s">
        <v>48</v>
      </c>
      <c r="I986" s="575" t="s">
        <v>1871</v>
      </c>
      <c r="J986" s="575">
        <v>1</v>
      </c>
      <c r="K986" s="647" t="s">
        <v>85</v>
      </c>
      <c r="L986" s="657">
        <v>44527</v>
      </c>
      <c r="M986" s="665" t="s">
        <v>906</v>
      </c>
      <c r="N986" s="647" t="s">
        <v>1819</v>
      </c>
      <c r="O986" s="575"/>
      <c r="P986" s="665" t="str">
        <f>VLOOKUP(A986,'[1]Raw data'!$B:$BA,23,FALSE)</f>
        <v>JPY</v>
      </c>
      <c r="Q986" s="647" t="str">
        <f>VLOOKUP(A986,'[1]Raw data'!$B:$Z,2,FALSE)</f>
        <v>C49SZX20210052JY</v>
      </c>
      <c r="R986" s="647" t="str">
        <f>VLOOKUP(A986,'[1]Raw data'!$B:$Z,3,FALSE)</f>
        <v>江西络鑫</v>
      </c>
      <c r="S986" s="647" t="str">
        <f>VLOOKUP(A986,'[1]Raw data'!$B:$Z,4,FALSE)</f>
        <v>YSM10</v>
      </c>
      <c r="T986" s="647" t="str">
        <f>VLOOKUP(A986,'[1]Raw data'!$B:$Z,8,FALSE)</f>
        <v>L-&gt;R</v>
      </c>
      <c r="U986" s="647" t="str">
        <f>VLOOKUP(A986,'[1]Raw data'!$B:$Z,9,FALSE)</f>
        <v>MVC+ATS15</v>
      </c>
      <c r="V986" s="567" t="str">
        <f t="shared" si="194"/>
        <v>WRONG</v>
      </c>
      <c r="W986" s="563" t="str">
        <f>VLOOKUP(A986,'[1]Raw data'!$B:$AG,32,FALSE)</f>
        <v>CIF HK</v>
      </c>
      <c r="X986" s="647">
        <f>VLOOKUP(A986,'[1]Raw data'!$B:$BA,31,FALSE)</f>
        <v>44259</v>
      </c>
      <c r="Y986" s="647" t="str">
        <f>VLOOKUP(A986,'[1]Raw data'!$B:$AS,39,FALSE)</f>
        <v>Yes</v>
      </c>
      <c r="Z986" s="659"/>
      <c r="AA986" s="660"/>
      <c r="AB986" s="661"/>
      <c r="AC986" s="647" t="s">
        <v>1773</v>
      </c>
      <c r="AD986" s="662">
        <v>301</v>
      </c>
      <c r="AE986" s="662">
        <v>10</v>
      </c>
      <c r="AF986" s="662"/>
      <c r="AG986" s="662"/>
      <c r="AH986" s="662"/>
      <c r="AI986" s="663"/>
      <c r="AN986" s="542"/>
      <c r="AO986" s="824" t="str">
        <f t="shared" si="182"/>
        <v>Yes</v>
      </c>
      <c r="AP986" s="259" t="str">
        <f t="shared" si="183"/>
        <v>DEC 21</v>
      </c>
      <c r="AQ986" s="542" t="str">
        <f t="shared" si="184"/>
        <v>有定金+有預留客戶</v>
      </c>
      <c r="AR986" s="259" t="str">
        <f t="shared" si="185"/>
        <v>Shipped_Stock</v>
      </c>
      <c r="AS986" s="259" t="str">
        <f t="shared" si="186"/>
        <v/>
      </c>
      <c r="AT986" s="259" t="str">
        <f t="shared" si="187"/>
        <v>江西络鑫</v>
      </c>
      <c r="AU986" s="259" t="str">
        <f t="shared" si="188"/>
        <v>C49SZX20210052JY</v>
      </c>
      <c r="AV986" s="259" t="str">
        <f t="shared" si="189"/>
        <v>Nov-27</v>
      </c>
    </row>
    <row r="987" spans="1:48" hidden="1">
      <c r="A987" s="559">
        <v>1401</v>
      </c>
      <c r="B987" s="664" t="s">
        <v>1125</v>
      </c>
      <c r="C987" s="664" t="s">
        <v>281</v>
      </c>
      <c r="D987" s="645">
        <v>110620</v>
      </c>
      <c r="E987" s="736" t="s">
        <v>1872</v>
      </c>
      <c r="F987" s="647" t="s">
        <v>58</v>
      </c>
      <c r="G987" s="647" t="s">
        <v>24</v>
      </c>
      <c r="H987" s="647" t="s">
        <v>307</v>
      </c>
      <c r="I987" s="575" t="s">
        <v>1873</v>
      </c>
      <c r="J987" s="575">
        <v>1</v>
      </c>
      <c r="K987" s="647" t="s">
        <v>1732</v>
      </c>
      <c r="L987" s="657">
        <v>44523</v>
      </c>
      <c r="M987" s="665" t="s">
        <v>906</v>
      </c>
      <c r="N987" s="647" t="s">
        <v>1816</v>
      </c>
      <c r="O987" s="575"/>
      <c r="P987" s="665" t="str">
        <f>VLOOKUP(A987,'[1]Raw data'!$B:$BA,23,FALSE)</f>
        <v>JPY</v>
      </c>
      <c r="Q987" s="647" t="str">
        <f>VLOOKUP(A987,'[1]Raw data'!$B:$Z,2,FALSE)</f>
        <v>C49SZX20210157SS</v>
      </c>
      <c r="R987" s="647" t="str">
        <f>VLOOKUP(A987,'[1]Raw data'!$B:$Z,3,FALSE)</f>
        <v>艺通能</v>
      </c>
      <c r="S987" s="647" t="str">
        <f>VLOOKUP(A987,'[1]Raw data'!$B:$Z,4,FALSE)</f>
        <v>YSM20R-2</v>
      </c>
      <c r="T987" s="647" t="str">
        <f>VLOOKUP(A987,'[1]Raw data'!$B:$Z,8,FALSE)</f>
        <v>L-&gt;R</v>
      </c>
      <c r="U987" s="647" t="str">
        <f>VLOOKUP(A987,'[1]Raw data'!$B:$Z,9,FALSE)</f>
        <v>No</v>
      </c>
      <c r="V987" s="567" t="str">
        <f>IF(G987&amp;H987=T987&amp;U987,"OK","WRONG")</f>
        <v>OK</v>
      </c>
      <c r="W987" s="563" t="str">
        <f>VLOOKUP(A987,'[1]Raw data'!$B:$AG,32,FALSE)</f>
        <v>DAP SZ</v>
      </c>
      <c r="X987" s="647">
        <f>VLOOKUP(A987,'[1]Raw data'!$B:$BA,31,FALSE)</f>
        <v>44343</v>
      </c>
      <c r="Y987" s="647" t="str">
        <f>VLOOKUP(A987,'[1]Raw data'!$B:$AS,39,FALSE)</f>
        <v>Yes</v>
      </c>
      <c r="Z987" s="662"/>
      <c r="AA987" s="662"/>
      <c r="AB987" s="662"/>
      <c r="AC987" s="575" t="s">
        <v>1874</v>
      </c>
      <c r="AD987" s="662">
        <v>313</v>
      </c>
      <c r="AE987" s="663">
        <v>10</v>
      </c>
      <c r="AF987" s="571">
        <v>304</v>
      </c>
      <c r="AG987" s="571">
        <v>10</v>
      </c>
      <c r="AI987" s="571"/>
      <c r="AJ987" s="542"/>
      <c r="AK987" s="542"/>
      <c r="AL987" s="542"/>
      <c r="AM987" s="542"/>
      <c r="AN987" s="542"/>
      <c r="AO987" s="824" t="str">
        <f t="shared" si="182"/>
        <v>Yes</v>
      </c>
      <c r="AP987" s="259" t="str">
        <f t="shared" si="183"/>
        <v>NOV 21</v>
      </c>
      <c r="AQ987" s="542" t="str">
        <f t="shared" si="184"/>
        <v>有定金+有預留客戶</v>
      </c>
      <c r="AR987" s="259" t="str">
        <f t="shared" si="185"/>
        <v>Shipped_Stock</v>
      </c>
      <c r="AS987" s="259" t="str">
        <f t="shared" si="186"/>
        <v/>
      </c>
      <c r="AT987" s="259" t="str">
        <f t="shared" si="187"/>
        <v>艺通能</v>
      </c>
      <c r="AU987" s="259" t="str">
        <f t="shared" si="188"/>
        <v>C49SZX20210157SS</v>
      </c>
      <c r="AV987" s="259" t="str">
        <f t="shared" si="189"/>
        <v>Nov-23</v>
      </c>
    </row>
    <row r="988" spans="1:48" hidden="1">
      <c r="A988" s="559">
        <v>1377</v>
      </c>
      <c r="B988" s="664" t="s">
        <v>1125</v>
      </c>
      <c r="C988" s="664" t="s">
        <v>281</v>
      </c>
      <c r="D988" s="645">
        <v>110620</v>
      </c>
      <c r="E988" s="744" t="s">
        <v>1872</v>
      </c>
      <c r="F988" s="647" t="s">
        <v>58</v>
      </c>
      <c r="G988" s="647" t="s">
        <v>24</v>
      </c>
      <c r="H988" s="647" t="s">
        <v>307</v>
      </c>
      <c r="I988" s="575" t="s">
        <v>1875</v>
      </c>
      <c r="J988" s="575">
        <v>1</v>
      </c>
      <c r="K988" s="647" t="s">
        <v>1732</v>
      </c>
      <c r="L988" s="657">
        <v>44523</v>
      </c>
      <c r="M988" s="665" t="s">
        <v>1077</v>
      </c>
      <c r="N988" s="647" t="s">
        <v>1816</v>
      </c>
      <c r="O988" s="575"/>
      <c r="P988" s="665" t="str">
        <f>VLOOKUP(A988,'[1]Raw data'!$B:$BA,23,FALSE)</f>
        <v>JPY</v>
      </c>
      <c r="Q988" s="647" t="str">
        <f>VLOOKUP(A988,'[1]Raw data'!$B:$Z,2,FALSE)</f>
        <v>C49SZX20210151SX</v>
      </c>
      <c r="R988" s="647" t="str">
        <f>VLOOKUP(A988,'[1]Raw data'!$B:$Z,3,FALSE)</f>
        <v>龙腾共创</v>
      </c>
      <c r="S988" s="647" t="str">
        <f>VLOOKUP(A988,'[1]Raw data'!$B:$Z,4,FALSE)</f>
        <v>YSM20R-2</v>
      </c>
      <c r="T988" s="647" t="str">
        <f>VLOOKUP(A988,'[1]Raw data'!$B:$Z,8,FALSE)</f>
        <v>L-&gt;R</v>
      </c>
      <c r="U988" s="647" t="str">
        <f>VLOOKUP(A988,'[1]Raw data'!$B:$Z,9,FALSE)</f>
        <v>MVC</v>
      </c>
      <c r="V988" s="567" t="str">
        <f>IF(G988&amp;H988=T988&amp;U988,"OK","WRONG")</f>
        <v>WRONG</v>
      </c>
      <c r="W988" s="563" t="str">
        <f>VLOOKUP(A988,'[1]Raw data'!$B:$AG,32,FALSE)</f>
        <v>DAP SZ</v>
      </c>
      <c r="X988" s="647">
        <f>VLOOKUP(A988,'[1]Raw data'!$B:$BA,31,FALSE)</f>
        <v>44336</v>
      </c>
      <c r="Y988" s="647" t="str">
        <f>VLOOKUP(A988,'[1]Raw data'!$B:$AS,39,FALSE)</f>
        <v>Yes</v>
      </c>
      <c r="Z988" s="659"/>
      <c r="AA988" s="660"/>
      <c r="AB988" s="661"/>
      <c r="AC988" s="647" t="s">
        <v>1876</v>
      </c>
      <c r="AD988" s="662">
        <v>303</v>
      </c>
      <c r="AE988" s="662">
        <v>10</v>
      </c>
      <c r="AF988" s="662">
        <v>304</v>
      </c>
      <c r="AG988" s="662">
        <v>10</v>
      </c>
      <c r="AH988" s="662"/>
      <c r="AI988" s="663"/>
      <c r="AN988" s="542"/>
      <c r="AO988" s="824" t="str">
        <f t="shared" si="182"/>
        <v>Yes</v>
      </c>
      <c r="AP988" s="259" t="str">
        <f t="shared" si="183"/>
        <v>NOV 21</v>
      </c>
      <c r="AQ988" s="542" t="str">
        <f t="shared" si="184"/>
        <v>有定金+有預留客戶</v>
      </c>
      <c r="AR988" s="259" t="str">
        <f t="shared" si="185"/>
        <v>Shipped_Stock</v>
      </c>
      <c r="AS988" s="259" t="str">
        <f t="shared" si="186"/>
        <v/>
      </c>
      <c r="AT988" s="259" t="str">
        <f t="shared" si="187"/>
        <v>龙腾共创</v>
      </c>
      <c r="AU988" s="259" t="str">
        <f t="shared" si="188"/>
        <v>C49SZX20210151SX</v>
      </c>
      <c r="AV988" s="259" t="str">
        <f t="shared" si="189"/>
        <v>Nov-23</v>
      </c>
    </row>
    <row r="989" spans="1:48" hidden="1">
      <c r="A989" s="559">
        <v>1407</v>
      </c>
      <c r="B989" s="664" t="s">
        <v>1125</v>
      </c>
      <c r="C989" s="664" t="s">
        <v>281</v>
      </c>
      <c r="D989" s="645">
        <v>110617</v>
      </c>
      <c r="E989" s="744" t="s">
        <v>1877</v>
      </c>
      <c r="F989" s="647" t="s">
        <v>58</v>
      </c>
      <c r="G989" s="647" t="s">
        <v>24</v>
      </c>
      <c r="H989" s="647" t="s">
        <v>102</v>
      </c>
      <c r="I989" s="575" t="s">
        <v>1878</v>
      </c>
      <c r="J989" s="575">
        <v>1</v>
      </c>
      <c r="K989" s="647" t="s">
        <v>1732</v>
      </c>
      <c r="L989" s="657">
        <v>44523</v>
      </c>
      <c r="M989" s="665" t="s">
        <v>906</v>
      </c>
      <c r="N989" s="647" t="s">
        <v>1816</v>
      </c>
      <c r="O989" s="575"/>
      <c r="P989" s="665" t="str">
        <f>VLOOKUP(A989,'[1]Raw data'!$B:$BA,23,FALSE)</f>
        <v>JPY</v>
      </c>
      <c r="Q989" s="647" t="str">
        <f>VLOOKUP(A989,'[1]Raw data'!$B:$Z,2,FALSE)</f>
        <v>C49SZX20210141DZ</v>
      </c>
      <c r="R989" s="647" t="str">
        <f>VLOOKUP(A989,'[1]Raw data'!$B:$Z,3,FALSE)</f>
        <v>比泰利</v>
      </c>
      <c r="S989" s="647" t="str">
        <f>VLOOKUP(A989,'[1]Raw data'!$B:$Z,4,FALSE)</f>
        <v>YSM20R-2</v>
      </c>
      <c r="T989" s="647" t="str">
        <f>VLOOKUP(A989,'[1]Raw data'!$B:$Z,8,FALSE)</f>
        <v>L-&gt;R</v>
      </c>
      <c r="U989" s="647" t="str">
        <f>VLOOKUP(A989,'[1]Raw data'!$B:$Z,9,FALSE)</f>
        <v>MVC F&amp;R</v>
      </c>
      <c r="V989" s="567" t="str">
        <f>IF(G989&amp;H989=T989&amp;U989,"OK","WRONG")</f>
        <v>OK</v>
      </c>
      <c r="W989" s="563" t="str">
        <f>VLOOKUP(A989,'[1]Raw data'!$B:$AG,32,FALSE)</f>
        <v>DAP SZ</v>
      </c>
      <c r="X989" s="647">
        <f>VLOOKUP(A989,'[1]Raw data'!$B:$BA,31,FALSE)</f>
        <v>44355</v>
      </c>
      <c r="Y989" s="647" t="str">
        <f>VLOOKUP(A989,'[1]Raw data'!$B:$AS,39,FALSE)</f>
        <v>Yes</v>
      </c>
      <c r="Z989" s="659"/>
      <c r="AA989" s="660"/>
      <c r="AB989" s="661"/>
      <c r="AC989" s="647" t="s">
        <v>678</v>
      </c>
      <c r="AD989" s="662">
        <v>302</v>
      </c>
      <c r="AE989" s="662">
        <v>10</v>
      </c>
      <c r="AF989" s="662">
        <v>301</v>
      </c>
      <c r="AG989" s="662">
        <v>10</v>
      </c>
      <c r="AH989" s="662"/>
      <c r="AI989" s="663"/>
      <c r="AN989" s="542"/>
      <c r="AO989" s="824" t="str">
        <f t="shared" si="182"/>
        <v>Yes</v>
      </c>
      <c r="AP989" s="259" t="str">
        <f t="shared" si="183"/>
        <v>NOV 21</v>
      </c>
      <c r="AQ989" s="542" t="str">
        <f t="shared" si="184"/>
        <v>有定金+有預留客戶</v>
      </c>
      <c r="AR989" s="259" t="str">
        <f t="shared" si="185"/>
        <v>Shipped_Stock</v>
      </c>
      <c r="AS989" s="259" t="str">
        <f t="shared" si="186"/>
        <v/>
      </c>
      <c r="AT989" s="259" t="str">
        <f t="shared" si="187"/>
        <v>比泰利</v>
      </c>
      <c r="AU989" s="259" t="str">
        <f t="shared" si="188"/>
        <v>C49SZX20210141DZ</v>
      </c>
      <c r="AV989" s="259" t="str">
        <f t="shared" si="189"/>
        <v>Nov-23</v>
      </c>
    </row>
    <row r="990" spans="1:48" hidden="1">
      <c r="A990" s="559">
        <v>1406</v>
      </c>
      <c r="B990" s="664" t="s">
        <v>1125</v>
      </c>
      <c r="C990" s="664" t="s">
        <v>281</v>
      </c>
      <c r="D990" s="645">
        <v>110617</v>
      </c>
      <c r="E990" s="744" t="s">
        <v>1877</v>
      </c>
      <c r="F990" s="647" t="s">
        <v>58</v>
      </c>
      <c r="G990" s="647" t="s">
        <v>24</v>
      </c>
      <c r="H990" s="647" t="s">
        <v>1879</v>
      </c>
      <c r="I990" s="575" t="s">
        <v>1880</v>
      </c>
      <c r="J990" s="575">
        <v>1</v>
      </c>
      <c r="K990" s="647" t="s">
        <v>1732</v>
      </c>
      <c r="L990" s="657">
        <v>44523</v>
      </c>
      <c r="M990" s="665" t="s">
        <v>906</v>
      </c>
      <c r="N990" s="647" t="s">
        <v>1816</v>
      </c>
      <c r="O990" s="575"/>
      <c r="P990" s="665" t="str">
        <f>VLOOKUP(A990,'[1]Raw data'!$B:$BA,23,FALSE)</f>
        <v>JPY</v>
      </c>
      <c r="Q990" s="647" t="str">
        <f>VLOOKUP(A990,'[1]Raw data'!$B:$Z,2,FALSE)</f>
        <v>C49SZX20210141DZ</v>
      </c>
      <c r="R990" s="647" t="str">
        <f>VLOOKUP(A990,'[1]Raw data'!$B:$Z,3,FALSE)</f>
        <v>比泰利</v>
      </c>
      <c r="S990" s="647" t="str">
        <f>VLOOKUP(A990,'[1]Raw data'!$B:$Z,4,FALSE)</f>
        <v>YSM20R-2</v>
      </c>
      <c r="T990" s="647" t="str">
        <f>VLOOKUP(A990,'[1]Raw data'!$B:$Z,8,FALSE)</f>
        <v>L-&gt;R</v>
      </c>
      <c r="U990" s="647" t="str">
        <f>VLOOKUP(A990,'[1]Raw data'!$B:$Z,9,FALSE)</f>
        <v>cATS30+MVC(F&amp;R)+15pallet for cATS30+交换台车</v>
      </c>
      <c r="V990" s="567" t="str">
        <f>IF(G990&amp;H990=T990&amp;U990,"OK","WRONG")</f>
        <v>OK</v>
      </c>
      <c r="W990" s="563" t="str">
        <f>VLOOKUP(A990,'[1]Raw data'!$B:$AG,32,FALSE)</f>
        <v>DAP SZ</v>
      </c>
      <c r="X990" s="647">
        <f>VLOOKUP(A990,'[1]Raw data'!$B:$BA,31,FALSE)</f>
        <v>44355</v>
      </c>
      <c r="Y990" s="647" t="str">
        <f>VLOOKUP(A990,'[1]Raw data'!$B:$AS,39,FALSE)</f>
        <v>Yes</v>
      </c>
      <c r="Z990" s="659"/>
      <c r="AA990" s="660"/>
      <c r="AB990" s="661"/>
      <c r="AC990" s="647" t="s">
        <v>678</v>
      </c>
      <c r="AD990" s="662">
        <v>302</v>
      </c>
      <c r="AE990" s="662">
        <v>10</v>
      </c>
      <c r="AF990" s="662">
        <v>301</v>
      </c>
      <c r="AG990" s="662">
        <v>10</v>
      </c>
      <c r="AH990" s="662"/>
      <c r="AI990" s="663"/>
      <c r="AN990" s="542"/>
      <c r="AO990" s="824" t="str">
        <f t="shared" si="182"/>
        <v>Yes</v>
      </c>
      <c r="AP990" s="259" t="str">
        <f t="shared" si="183"/>
        <v>NOV 21</v>
      </c>
      <c r="AQ990" s="542" t="str">
        <f t="shared" si="184"/>
        <v>有定金+有預留客戶</v>
      </c>
      <c r="AR990" s="259" t="str">
        <f t="shared" si="185"/>
        <v>Shipped_Stock</v>
      </c>
      <c r="AS990" s="259" t="str">
        <f t="shared" si="186"/>
        <v/>
      </c>
      <c r="AT990" s="259" t="str">
        <f t="shared" si="187"/>
        <v>比泰利</v>
      </c>
      <c r="AU990" s="259" t="str">
        <f t="shared" si="188"/>
        <v>C49SZX20210141DZ</v>
      </c>
      <c r="AV990" s="259" t="str">
        <f t="shared" si="189"/>
        <v>Nov-23</v>
      </c>
    </row>
    <row r="991" spans="1:48" hidden="1">
      <c r="A991" s="559">
        <v>1354</v>
      </c>
      <c r="B991" s="664" t="s">
        <v>1125</v>
      </c>
      <c r="C991" s="664" t="s">
        <v>281</v>
      </c>
      <c r="D991" s="645">
        <v>110619</v>
      </c>
      <c r="E991" s="744" t="s">
        <v>1881</v>
      </c>
      <c r="F991" s="647" t="s">
        <v>154</v>
      </c>
      <c r="G991" s="647" t="s">
        <v>24</v>
      </c>
      <c r="H991" s="647" t="s">
        <v>1740</v>
      </c>
      <c r="I991" s="575" t="s">
        <v>1882</v>
      </c>
      <c r="J991" s="575">
        <v>1</v>
      </c>
      <c r="K991" s="647" t="s">
        <v>1732</v>
      </c>
      <c r="L991" s="657">
        <v>44523</v>
      </c>
      <c r="M991" s="665" t="s">
        <v>906</v>
      </c>
      <c r="N991" s="647" t="s">
        <v>1816</v>
      </c>
      <c r="O991" s="575"/>
      <c r="P991" s="665" t="str">
        <f>VLOOKUP(A991,'[1]Raw data'!$B:$BA,23,FALSE)</f>
        <v>JPY</v>
      </c>
      <c r="Q991" s="647" t="str">
        <f>VLOOKUP(A991,'[1]Raw data'!$B:$Z,2,FALSE)</f>
        <v>C49SZX20210133EC</v>
      </c>
      <c r="R991" s="647" t="str">
        <f>VLOOKUP(A991,'[1]Raw data'!$B:$Z,3,FALSE)</f>
        <v>海红天远</v>
      </c>
      <c r="S991" s="647" t="str">
        <f>VLOOKUP(A991,'[1]Raw data'!$B:$Z,4,FALSE)</f>
        <v>YSM20WR-2</v>
      </c>
      <c r="T991" s="647" t="str">
        <f>VLOOKUP(A991,'[1]Raw data'!$B:$Z,8,FALSE)</f>
        <v>L-&gt;R</v>
      </c>
      <c r="U991" s="647" t="str">
        <f>VLOOKUP(A991,'[1]Raw data'!$B:$Z,9,FALSE)</f>
        <v>cATS10+MVC(F&amp;R)+Feeder Carriage</v>
      </c>
      <c r="V991" s="567" t="str">
        <f>IF(G991&amp;H991=T991&amp;U991,"OK","WRONG")</f>
        <v>OK</v>
      </c>
      <c r="W991" s="563" t="str">
        <f>VLOOKUP(A991,'[1]Raw data'!$B:$AG,32,FALSE)</f>
        <v>CIF HK</v>
      </c>
      <c r="X991" s="647">
        <f>VLOOKUP(A991,'[1]Raw data'!$B:$BA,31,FALSE)</f>
        <v>44314</v>
      </c>
      <c r="Y991" s="647" t="str">
        <f>VLOOKUP(A991,'[1]Raw data'!$B:$AS,39,FALSE)</f>
        <v>Yes</v>
      </c>
      <c r="Z991" s="659"/>
      <c r="AA991" s="660"/>
      <c r="AB991" s="661"/>
      <c r="AC991" s="647" t="s">
        <v>1079</v>
      </c>
      <c r="AD991" s="662">
        <v>301</v>
      </c>
      <c r="AE991" s="662">
        <v>12</v>
      </c>
      <c r="AF991" s="662">
        <v>303</v>
      </c>
      <c r="AG991" s="662">
        <v>6</v>
      </c>
      <c r="AH991" s="662">
        <v>304</v>
      </c>
      <c r="AI991" s="663">
        <v>4</v>
      </c>
      <c r="AN991" s="542"/>
      <c r="AO991" s="824" t="str">
        <f t="shared" si="182"/>
        <v>Yes</v>
      </c>
      <c r="AP991" s="259" t="str">
        <f t="shared" si="183"/>
        <v>NOV 21</v>
      </c>
      <c r="AQ991" s="542" t="str">
        <f t="shared" si="184"/>
        <v>有定金+有預留客戶</v>
      </c>
      <c r="AR991" s="259" t="str">
        <f t="shared" si="185"/>
        <v>Shipped_Stock</v>
      </c>
      <c r="AS991" s="259" t="str">
        <f t="shared" si="186"/>
        <v/>
      </c>
      <c r="AT991" s="259" t="str">
        <f t="shared" si="187"/>
        <v>海红天远</v>
      </c>
      <c r="AU991" s="259" t="str">
        <f t="shared" si="188"/>
        <v>C49SZX20210133EC</v>
      </c>
      <c r="AV991" s="259" t="str">
        <f t="shared" si="189"/>
        <v>Nov-23</v>
      </c>
    </row>
    <row r="992" spans="1:48" hidden="1">
      <c r="A992" s="559">
        <v>1456</v>
      </c>
      <c r="B992" s="664" t="s">
        <v>1125</v>
      </c>
      <c r="C992" s="664" t="s">
        <v>281</v>
      </c>
      <c r="D992" s="645">
        <v>110618</v>
      </c>
      <c r="E992" s="744" t="s">
        <v>1883</v>
      </c>
      <c r="F992" s="647" t="s">
        <v>17</v>
      </c>
      <c r="G992" s="647" t="s">
        <v>24</v>
      </c>
      <c r="H992" s="647" t="s">
        <v>1884</v>
      </c>
      <c r="I992" s="575" t="s">
        <v>1885</v>
      </c>
      <c r="J992" s="575">
        <v>1</v>
      </c>
      <c r="K992" s="647" t="s">
        <v>1358</v>
      </c>
      <c r="L992" s="657">
        <v>44526</v>
      </c>
      <c r="M992" s="665" t="s">
        <v>906</v>
      </c>
      <c r="N992" s="647" t="s">
        <v>1819</v>
      </c>
      <c r="O992" s="575"/>
      <c r="P992" s="665" t="str">
        <f>VLOOKUP(A992,'[1]Raw data'!$B:$BA,23,FALSE)</f>
        <v>JPY</v>
      </c>
      <c r="Q992" s="647" t="str">
        <f>VLOOKUP(A992,'[1]Raw data'!$B:$Z,2,FALSE)</f>
        <v>C49SZX20210160EC</v>
      </c>
      <c r="R992" s="647" t="str">
        <f>VLOOKUP(A992,'[1]Raw data'!$B:$Z,3,FALSE)</f>
        <v>新明海</v>
      </c>
      <c r="S992" s="647" t="str">
        <f>VLOOKUP(A992,'[1]Raw data'!$B:$Z,4,FALSE)</f>
        <v>YSM10</v>
      </c>
      <c r="T992" s="647" t="str">
        <f>VLOOKUP(A992,'[1]Raw data'!$B:$Z,8,FALSE)</f>
        <v>R-&gt;L</v>
      </c>
      <c r="U992" s="647" t="str">
        <f>VLOOKUP(A992,'[1]Raw data'!$B:$Z,9,FALSE)</f>
        <v>MVC+Rear 站位</v>
      </c>
      <c r="V992" s="567" t="str">
        <f t="shared" ref="V992:V993" si="195">IF(G992&amp;H992=T992&amp;U992,"OK","WRONG")</f>
        <v>WRONG</v>
      </c>
      <c r="W992" s="563" t="str">
        <f>VLOOKUP(A992,'[1]Raw data'!$B:$AG,32,FALSE)</f>
        <v>DAP HZ</v>
      </c>
      <c r="X992" s="647">
        <f>VLOOKUP(A992,'[1]Raw data'!$B:$BA,31,FALSE)</f>
        <v>44382</v>
      </c>
      <c r="Y992" s="647" t="str">
        <f>VLOOKUP(A992,'[1]Raw data'!$B:$AS,39,FALSE)</f>
        <v>Yes</v>
      </c>
      <c r="Z992" s="659"/>
      <c r="AA992" s="660"/>
      <c r="AB992" s="661"/>
      <c r="AC992" s="647" t="s">
        <v>834</v>
      </c>
      <c r="AD992" s="662">
        <v>302</v>
      </c>
      <c r="AE992" s="662">
        <v>10</v>
      </c>
      <c r="AF992" s="662"/>
      <c r="AG992" s="662"/>
      <c r="AH992" s="662"/>
      <c r="AI992" s="663"/>
      <c r="AN992" s="542"/>
      <c r="AO992" s="824" t="str">
        <f t="shared" si="182"/>
        <v>Yes</v>
      </c>
      <c r="AP992" s="259" t="str">
        <f t="shared" si="183"/>
        <v>DEC 21</v>
      </c>
      <c r="AQ992" s="542" t="str">
        <f t="shared" si="184"/>
        <v>有定金+有預留客戶</v>
      </c>
      <c r="AR992" s="259" t="str">
        <f t="shared" si="185"/>
        <v>Shipped_Stock</v>
      </c>
      <c r="AS992" s="259" t="str">
        <f t="shared" si="186"/>
        <v/>
      </c>
      <c r="AT992" s="259" t="str">
        <f t="shared" si="187"/>
        <v>新明海</v>
      </c>
      <c r="AU992" s="259" t="str">
        <f t="shared" si="188"/>
        <v>C49SZX20210160EC</v>
      </c>
      <c r="AV992" s="259" t="str">
        <f t="shared" si="189"/>
        <v>Nov-26</v>
      </c>
    </row>
    <row r="993" spans="1:48" hidden="1">
      <c r="A993" s="559">
        <v>1454</v>
      </c>
      <c r="B993" s="664" t="s">
        <v>1125</v>
      </c>
      <c r="C993" s="664" t="s">
        <v>281</v>
      </c>
      <c r="D993" s="645">
        <v>110618</v>
      </c>
      <c r="E993" s="744" t="s">
        <v>1883</v>
      </c>
      <c r="F993" s="647" t="s">
        <v>17</v>
      </c>
      <c r="G993" s="647" t="s">
        <v>24</v>
      </c>
      <c r="H993" s="647" t="s">
        <v>1884</v>
      </c>
      <c r="I993" s="575" t="s">
        <v>1886</v>
      </c>
      <c r="J993" s="575">
        <v>1</v>
      </c>
      <c r="K993" s="647" t="s">
        <v>1358</v>
      </c>
      <c r="L993" s="657">
        <v>44526</v>
      </c>
      <c r="M993" s="665" t="s">
        <v>906</v>
      </c>
      <c r="N993" s="647" t="s">
        <v>1819</v>
      </c>
      <c r="O993" s="575"/>
      <c r="P993" s="665" t="str">
        <f>VLOOKUP(A993,'[1]Raw data'!$B:$BA,23,FALSE)</f>
        <v>JPY</v>
      </c>
      <c r="Q993" s="647" t="str">
        <f>VLOOKUP(A993,'[1]Raw data'!$B:$Z,2,FALSE)</f>
        <v>C49SZX20210160EC</v>
      </c>
      <c r="R993" s="647" t="str">
        <f>VLOOKUP(A993,'[1]Raw data'!$B:$Z,3,FALSE)</f>
        <v>新明海</v>
      </c>
      <c r="S993" s="647" t="str">
        <f>VLOOKUP(A993,'[1]Raw data'!$B:$Z,4,FALSE)</f>
        <v>YSM10</v>
      </c>
      <c r="T993" s="647" t="str">
        <f>VLOOKUP(A993,'[1]Raw data'!$B:$Z,8,FALSE)</f>
        <v>L-&gt;R</v>
      </c>
      <c r="U993" s="647" t="str">
        <f>VLOOKUP(A993,'[1]Raw data'!$B:$Z,9,FALSE)</f>
        <v>MVC+Rear 站位</v>
      </c>
      <c r="V993" s="567" t="str">
        <f t="shared" si="195"/>
        <v>WRONG</v>
      </c>
      <c r="W993" s="563" t="str">
        <f>VLOOKUP(A993,'[1]Raw data'!$B:$AG,32,FALSE)</f>
        <v>DAP HZ</v>
      </c>
      <c r="X993" s="647">
        <f>VLOOKUP(A993,'[1]Raw data'!$B:$BA,31,FALSE)</f>
        <v>44382</v>
      </c>
      <c r="Y993" s="647" t="str">
        <f>VLOOKUP(A993,'[1]Raw data'!$B:$AS,39,FALSE)</f>
        <v>Yes</v>
      </c>
      <c r="Z993" s="659"/>
      <c r="AA993" s="660"/>
      <c r="AB993" s="661"/>
      <c r="AC993" s="647" t="s">
        <v>834</v>
      </c>
      <c r="AD993" s="662">
        <v>302</v>
      </c>
      <c r="AE993" s="662">
        <v>10</v>
      </c>
      <c r="AF993" s="662"/>
      <c r="AG993" s="662"/>
      <c r="AH993" s="662"/>
      <c r="AI993" s="663"/>
      <c r="AN993" s="542"/>
      <c r="AO993" s="824" t="str">
        <f t="shared" si="182"/>
        <v>Yes</v>
      </c>
      <c r="AP993" s="259" t="str">
        <f t="shared" si="183"/>
        <v>DEC 21</v>
      </c>
      <c r="AQ993" s="542" t="str">
        <f t="shared" si="184"/>
        <v>有定金+有預留客戶</v>
      </c>
      <c r="AR993" s="259" t="str">
        <f t="shared" si="185"/>
        <v>Shipped_Stock</v>
      </c>
      <c r="AS993" s="259" t="str">
        <f t="shared" si="186"/>
        <v/>
      </c>
      <c r="AT993" s="259" t="str">
        <f t="shared" si="187"/>
        <v>新明海</v>
      </c>
      <c r="AU993" s="259" t="str">
        <f t="shared" si="188"/>
        <v>C49SZX20210160EC</v>
      </c>
      <c r="AV993" s="259" t="str">
        <f t="shared" si="189"/>
        <v>Nov-26</v>
      </c>
    </row>
    <row r="994" spans="1:48" hidden="1">
      <c r="A994" s="559">
        <v>1513</v>
      </c>
      <c r="B994" s="664" t="s">
        <v>1125</v>
      </c>
      <c r="C994" s="664" t="s">
        <v>15</v>
      </c>
      <c r="D994" s="645" t="s">
        <v>1887</v>
      </c>
      <c r="E994" s="736" t="s">
        <v>1888</v>
      </c>
      <c r="F994" s="647" t="s">
        <v>58</v>
      </c>
      <c r="G994" s="647" t="s">
        <v>24</v>
      </c>
      <c r="H994" s="647" t="s">
        <v>26</v>
      </c>
      <c r="I994" s="575" t="s">
        <v>1889</v>
      </c>
      <c r="J994" s="575">
        <v>1</v>
      </c>
      <c r="K994" s="647" t="s">
        <v>1419</v>
      </c>
      <c r="L994" s="657" t="s">
        <v>3959</v>
      </c>
      <c r="M994" s="665" t="s">
        <v>1807</v>
      </c>
      <c r="N994" s="647" t="s">
        <v>1890</v>
      </c>
      <c r="O994" s="575"/>
      <c r="P994" s="665" t="str">
        <f>VLOOKUP(A994,'[1]Raw data'!$B:$BA,23,FALSE)</f>
        <v>RMB</v>
      </c>
      <c r="Q994" s="647" t="str">
        <f>VLOOKUP(A994,'[1]Raw data'!$B:$Z,2,FALSE)</f>
        <v>C49SZX20210216AY</v>
      </c>
      <c r="R994" s="647" t="str">
        <f>VLOOKUP(A994,'[1]Raw data'!$B:$Z,3,FALSE)</f>
        <v>勃旭</v>
      </c>
      <c r="S994" s="647" t="str">
        <f>VLOOKUP(A994,'[1]Raw data'!$B:$Z,4,FALSE)</f>
        <v>YSM20R-2</v>
      </c>
      <c r="T994" s="647" t="str">
        <f>VLOOKUP(A994,'[1]Raw data'!$B:$Z,8,FALSE)</f>
        <v>L-&gt;R</v>
      </c>
      <c r="U994" s="647" t="str">
        <f>VLOOKUP(A994,'[1]Raw data'!$B:$Z,9,FALSE)</f>
        <v>No</v>
      </c>
      <c r="V994" s="567" t="str">
        <f>IF(G994&amp;H994=T994&amp;U994,"OK","WRONG")</f>
        <v>OK</v>
      </c>
      <c r="W994" s="563" t="str">
        <f>VLOOKUP(A994,'[1]Raw data'!$B:$AG,32,FALSE)</f>
        <v>DDP SZ</v>
      </c>
      <c r="X994" s="647">
        <f>VLOOKUP(A994,'[1]Raw data'!$B:$BA,31,FALSE)</f>
        <v>44537</v>
      </c>
      <c r="Y994" s="647" t="str">
        <f>VLOOKUP(A994,'[1]Raw data'!$B:$AS,39,FALSE)</f>
        <v>Yes</v>
      </c>
      <c r="Z994" s="666"/>
      <c r="AA994" s="660"/>
      <c r="AB994" s="661"/>
      <c r="AC994" s="647" t="s">
        <v>1891</v>
      </c>
      <c r="AD994" s="662">
        <v>302</v>
      </c>
      <c r="AE994" s="662">
        <v>20</v>
      </c>
      <c r="AF994" s="662"/>
      <c r="AG994" s="662"/>
      <c r="AH994" s="662"/>
      <c r="AI994" s="663"/>
      <c r="AN994" s="542"/>
      <c r="AO994" s="824" t="str">
        <f t="shared" si="182"/>
        <v>Yes</v>
      </c>
      <c r="AP994" s="259" t="str">
        <f t="shared" si="183"/>
        <v>FEB 22</v>
      </c>
      <c r="AQ994" s="542" t="str">
        <f t="shared" si="184"/>
        <v>有定金+有預留客戶</v>
      </c>
      <c r="AR994" s="259" t="str">
        <f t="shared" si="185"/>
        <v>Shipped_Stock</v>
      </c>
      <c r="AS994" s="259" t="str">
        <f t="shared" si="186"/>
        <v/>
      </c>
      <c r="AT994" s="259" t="str">
        <f t="shared" si="187"/>
        <v>勃旭</v>
      </c>
      <c r="AU994" s="259" t="str">
        <f t="shared" si="188"/>
        <v>C49SZX20210216AY</v>
      </c>
      <c r="AV994" s="259" t="str">
        <f t="shared" si="189"/>
        <v>2021-12-7Yamaha 仓库</v>
      </c>
    </row>
    <row r="995" spans="1:48" hidden="1">
      <c r="A995" s="559">
        <v>1092</v>
      </c>
      <c r="B995" s="664" t="s">
        <v>1125</v>
      </c>
      <c r="C995" s="664" t="s">
        <v>15</v>
      </c>
      <c r="D995" s="645" t="s">
        <v>1892</v>
      </c>
      <c r="E995" s="736" t="s">
        <v>1893</v>
      </c>
      <c r="F995" s="647" t="s">
        <v>58</v>
      </c>
      <c r="G995" s="647" t="s">
        <v>24</v>
      </c>
      <c r="H995" s="647" t="s">
        <v>26</v>
      </c>
      <c r="I995" s="575" t="s">
        <v>1894</v>
      </c>
      <c r="J995" s="575">
        <v>1</v>
      </c>
      <c r="K995" s="647" t="s">
        <v>1419</v>
      </c>
      <c r="L995" s="657" t="s">
        <v>3958</v>
      </c>
      <c r="M995" s="665" t="s">
        <v>1807</v>
      </c>
      <c r="N995" s="647" t="s">
        <v>1895</v>
      </c>
      <c r="O995" s="575"/>
      <c r="P995" s="665" t="str">
        <f>VLOOKUP(A995,'[1]Raw data'!$B:$BA,23,FALSE)</f>
        <v>JPY</v>
      </c>
      <c r="Q995" s="647" t="str">
        <f>VLOOKUP(A995,'[1]Raw data'!$B:$Z,2,FALSE)</f>
        <v>C49SZX20210031SX</v>
      </c>
      <c r="R995" s="647" t="str">
        <f>VLOOKUP(A995,'[1]Raw data'!$B:$Z,3,FALSE)</f>
        <v>益田科技</v>
      </c>
      <c r="S995" s="647" t="str">
        <f>VLOOKUP(A995,'[1]Raw data'!$B:$Z,4,FALSE)</f>
        <v>YSM20R-2</v>
      </c>
      <c r="T995" s="647" t="str">
        <f>VLOOKUP(A995,'[1]Raw data'!$B:$Z,8,FALSE)</f>
        <v>L-&gt;R</v>
      </c>
      <c r="U995" s="647" t="str">
        <f>VLOOKUP(A995,'[1]Raw data'!$B:$Z,9,FALSE)</f>
        <v>No</v>
      </c>
      <c r="V995" s="567" t="str">
        <f>IF(G995&amp;H995=T995&amp;U995,"OK","WRONG")</f>
        <v>OK</v>
      </c>
      <c r="W995" s="563" t="str">
        <f>VLOOKUP(A995,'[1]Raw data'!$B:$AG,32,FALSE)</f>
        <v>DAP SZ</v>
      </c>
      <c r="X995" s="647">
        <f>VLOOKUP(A995,'[1]Raw data'!$B:$BA,31,FALSE)</f>
        <v>44222</v>
      </c>
      <c r="Y995" s="647" t="str">
        <f>VLOOKUP(A995,'[1]Raw data'!$B:$AS,39,FALSE)</f>
        <v>Yes</v>
      </c>
      <c r="Z995" s="666"/>
      <c r="AA995" s="667"/>
      <c r="AB995" s="668"/>
      <c r="AC995" s="647" t="s">
        <v>1172</v>
      </c>
      <c r="AD995" s="662">
        <v>301</v>
      </c>
      <c r="AE995" s="662">
        <v>20</v>
      </c>
      <c r="AH995" s="662"/>
      <c r="AI995" s="663"/>
      <c r="AN995" s="542"/>
      <c r="AO995" s="824" t="str">
        <f t="shared" si="182"/>
        <v>Yes</v>
      </c>
      <c r="AP995" s="259" t="str">
        <f t="shared" si="183"/>
        <v>JAN 22</v>
      </c>
      <c r="AQ995" s="542" t="str">
        <f t="shared" si="184"/>
        <v>有定金+有預留客戶</v>
      </c>
      <c r="AR995" s="259" t="str">
        <f t="shared" si="185"/>
        <v>Shipped_Stock</v>
      </c>
      <c r="AS995" s="259" t="str">
        <f t="shared" si="186"/>
        <v/>
      </c>
      <c r="AT995" s="259" t="str">
        <f t="shared" si="187"/>
        <v>益田科技</v>
      </c>
      <c r="AU995" s="259" t="str">
        <f t="shared" si="188"/>
        <v>C49SZX20210031SX</v>
      </c>
      <c r="AV995" s="259" t="str">
        <f t="shared" si="189"/>
        <v>2021-12-7 Yamaha 仓库</v>
      </c>
    </row>
    <row r="996" spans="1:48" hidden="1">
      <c r="A996" s="559">
        <v>1556</v>
      </c>
      <c r="B996" s="664" t="s">
        <v>1125</v>
      </c>
      <c r="C996" s="664" t="s">
        <v>15</v>
      </c>
      <c r="D996" s="645" t="s">
        <v>1892</v>
      </c>
      <c r="E996" s="736" t="s">
        <v>1893</v>
      </c>
      <c r="F996" s="647" t="s">
        <v>58</v>
      </c>
      <c r="G996" s="647" t="s">
        <v>18</v>
      </c>
      <c r="H996" s="647" t="s">
        <v>26</v>
      </c>
      <c r="I996" s="575" t="s">
        <v>1896</v>
      </c>
      <c r="J996" s="575">
        <v>1</v>
      </c>
      <c r="K996" s="647" t="s">
        <v>1419</v>
      </c>
      <c r="L996" s="657" t="s">
        <v>3958</v>
      </c>
      <c r="M996" s="665" t="s">
        <v>1807</v>
      </c>
      <c r="N996" s="647" t="s">
        <v>1890</v>
      </c>
      <c r="O996" s="575"/>
      <c r="P996" s="665" t="str">
        <f>VLOOKUP(A996,'[1]Raw data'!$B:$BA,23,FALSE)</f>
        <v>JPY</v>
      </c>
      <c r="Q996" s="647" t="str">
        <f>VLOOKUP(A996,'[1]Raw data'!$B:$Z,2,FALSE)</f>
        <v>C49SZX20220002BX</v>
      </c>
      <c r="R996" s="647" t="str">
        <f>VLOOKUP(A996,'[1]Raw data'!$B:$Z,3,FALSE)</f>
        <v>渝溢三甲</v>
      </c>
      <c r="S996" s="647" t="str">
        <f>VLOOKUP(A996,'[1]Raw data'!$B:$Z,4,FALSE)</f>
        <v>YSM20R-2</v>
      </c>
      <c r="T996" s="647" t="str">
        <f>VLOOKUP(A996,'[1]Raw data'!$B:$Z,8,FALSE)</f>
        <v>R-&gt;L</v>
      </c>
      <c r="U996" s="647" t="str">
        <f>VLOOKUP(A996,'[1]Raw data'!$B:$Z,9,FALSE)</f>
        <v>No</v>
      </c>
      <c r="V996" s="567" t="str">
        <f>IF(G996&amp;H996=T996&amp;U996,"OK","WRONG")</f>
        <v>OK</v>
      </c>
      <c r="W996" s="563" t="str">
        <f>VLOOKUP(A996,'[1]Raw data'!$B:$AG,32,FALSE)</f>
        <v>DAP HZ</v>
      </c>
      <c r="X996" s="647">
        <f>VLOOKUP(A996,'[1]Raw data'!$B:$BA,31,FALSE)</f>
        <v>44567</v>
      </c>
      <c r="Y996" s="647" t="str">
        <f>VLOOKUP(A996,'[1]Raw data'!$B:$AS,39,FALSE)</f>
        <v>Yes</v>
      </c>
      <c r="Z996" s="666"/>
      <c r="AA996" s="660"/>
      <c r="AB996" s="661"/>
      <c r="AC996" s="647" t="s">
        <v>1897</v>
      </c>
      <c r="AD996" s="662">
        <v>302</v>
      </c>
      <c r="AE996" s="662">
        <v>20</v>
      </c>
      <c r="AF996" s="662"/>
      <c r="AG996" s="662"/>
      <c r="AH996" s="662"/>
      <c r="AI996" s="663"/>
      <c r="AN996" s="542"/>
      <c r="AO996" s="824" t="str">
        <f t="shared" si="182"/>
        <v>Yes</v>
      </c>
      <c r="AP996" s="259" t="str">
        <f t="shared" si="183"/>
        <v>FEB 22</v>
      </c>
      <c r="AQ996" s="542" t="str">
        <f t="shared" si="184"/>
        <v>有定金+有預留客戶</v>
      </c>
      <c r="AR996" s="259" t="str">
        <f t="shared" si="185"/>
        <v>Shipped_Stock</v>
      </c>
      <c r="AS996" s="259" t="str">
        <f t="shared" si="186"/>
        <v/>
      </c>
      <c r="AT996" s="259" t="str">
        <f t="shared" si="187"/>
        <v>渝溢三甲</v>
      </c>
      <c r="AU996" s="259" t="str">
        <f t="shared" si="188"/>
        <v>C49SZX20220002BX</v>
      </c>
      <c r="AV996" s="259" t="str">
        <f t="shared" si="189"/>
        <v>2021-12-7 Yamaha 仓库</v>
      </c>
    </row>
    <row r="997" spans="1:48" hidden="1">
      <c r="A997" s="559">
        <v>1091</v>
      </c>
      <c r="B997" s="664" t="s">
        <v>1125</v>
      </c>
      <c r="C997" s="664" t="s">
        <v>15</v>
      </c>
      <c r="D997" s="645" t="s">
        <v>1898</v>
      </c>
      <c r="E997" s="736" t="s">
        <v>1899</v>
      </c>
      <c r="F997" s="647" t="s">
        <v>58</v>
      </c>
      <c r="G997" s="647" t="s">
        <v>24</v>
      </c>
      <c r="H997" s="647" t="s">
        <v>26</v>
      </c>
      <c r="I997" s="575" t="s">
        <v>1900</v>
      </c>
      <c r="J997" s="575">
        <v>1</v>
      </c>
      <c r="K997" s="647" t="s">
        <v>1419</v>
      </c>
      <c r="L997" s="657" t="s">
        <v>3958</v>
      </c>
      <c r="M997" s="665" t="s">
        <v>1807</v>
      </c>
      <c r="N997" s="647" t="s">
        <v>1895</v>
      </c>
      <c r="O997" s="575"/>
      <c r="P997" s="665" t="str">
        <f>VLOOKUP(A997,'[1]Raw data'!$B:$BA,23,FALSE)</f>
        <v>JPY</v>
      </c>
      <c r="Q997" s="647" t="str">
        <f>VLOOKUP(A997,'[1]Raw data'!$B:$Z,2,FALSE)</f>
        <v>C49SZX20210031SX</v>
      </c>
      <c r="R997" s="647" t="str">
        <f>VLOOKUP(A997,'[1]Raw data'!$B:$Z,3,FALSE)</f>
        <v>益田科技</v>
      </c>
      <c r="S997" s="647" t="str">
        <f>VLOOKUP(A997,'[1]Raw data'!$B:$Z,4,FALSE)</f>
        <v>YSM20R-2</v>
      </c>
      <c r="T997" s="647" t="str">
        <f>VLOOKUP(A997,'[1]Raw data'!$B:$Z,8,FALSE)</f>
        <v>L-&gt;R</v>
      </c>
      <c r="U997" s="647" t="str">
        <f>VLOOKUP(A997,'[1]Raw data'!$B:$Z,9,FALSE)</f>
        <v>No</v>
      </c>
      <c r="V997" s="567" t="str">
        <f>IF(G997&amp;H997=T997&amp;U997,"OK","WRONG")</f>
        <v>OK</v>
      </c>
      <c r="W997" s="563" t="str">
        <f>VLOOKUP(A997,'[1]Raw data'!$B:$AG,32,FALSE)</f>
        <v>DAP SZ</v>
      </c>
      <c r="X997" s="647">
        <f>VLOOKUP(A997,'[1]Raw data'!$B:$BA,31,FALSE)</f>
        <v>44222</v>
      </c>
      <c r="Y997" s="647" t="str">
        <f>VLOOKUP(A997,'[1]Raw data'!$B:$AS,39,FALSE)</f>
        <v>Yes</v>
      </c>
      <c r="Z997" s="666"/>
      <c r="AA997" s="667"/>
      <c r="AB997" s="668"/>
      <c r="AC997" s="647" t="s">
        <v>1172</v>
      </c>
      <c r="AD997" s="662">
        <v>302</v>
      </c>
      <c r="AE997" s="662">
        <v>10</v>
      </c>
      <c r="AF997" s="662">
        <v>303</v>
      </c>
      <c r="AG997" s="662">
        <v>10</v>
      </c>
      <c r="AH997" s="662"/>
      <c r="AI997" s="663"/>
      <c r="AN997" s="542"/>
      <c r="AO997" s="824" t="str">
        <f t="shared" si="182"/>
        <v>Yes</v>
      </c>
      <c r="AP997" s="259" t="str">
        <f t="shared" si="183"/>
        <v>JAN 22</v>
      </c>
      <c r="AQ997" s="542" t="str">
        <f t="shared" si="184"/>
        <v>有定金+有預留客戶</v>
      </c>
      <c r="AR997" s="259" t="str">
        <f t="shared" si="185"/>
        <v>Shipped_Stock</v>
      </c>
      <c r="AS997" s="259" t="str">
        <f t="shared" si="186"/>
        <v/>
      </c>
      <c r="AT997" s="259" t="str">
        <f t="shared" si="187"/>
        <v>益田科技</v>
      </c>
      <c r="AU997" s="259" t="str">
        <f t="shared" si="188"/>
        <v>C49SZX20210031SX</v>
      </c>
      <c r="AV997" s="259" t="str">
        <f t="shared" si="189"/>
        <v>2021-12-7 Yamaha 仓库</v>
      </c>
    </row>
    <row r="998" spans="1:48" hidden="1">
      <c r="A998" s="559">
        <v>1586</v>
      </c>
      <c r="B998" s="664" t="s">
        <v>1125</v>
      </c>
      <c r="C998" s="664" t="s">
        <v>281</v>
      </c>
      <c r="D998" s="645">
        <v>110459</v>
      </c>
      <c r="E998" s="744" t="s">
        <v>1901</v>
      </c>
      <c r="F998" s="647" t="s">
        <v>154</v>
      </c>
      <c r="G998" s="647" t="s">
        <v>24</v>
      </c>
      <c r="H998" s="647" t="s">
        <v>1740</v>
      </c>
      <c r="I998" s="575" t="s">
        <v>1902</v>
      </c>
      <c r="J998" s="575">
        <v>1</v>
      </c>
      <c r="K998" s="647" t="s">
        <v>78</v>
      </c>
      <c r="L998" s="657">
        <v>44537</v>
      </c>
      <c r="M998" s="665" t="s">
        <v>906</v>
      </c>
      <c r="N998" s="647" t="s">
        <v>1903</v>
      </c>
      <c r="O998" s="575">
        <v>2021.11</v>
      </c>
      <c r="P998" s="665" t="str">
        <f>VLOOKUP(A998,'[1]Raw data'!$B:$BA,23,FALSE)</f>
        <v>JPY</v>
      </c>
      <c r="Q998" s="647" t="str">
        <f>VLOOKUP(A998,'[1]Raw data'!$B:$Z,2,FALSE)</f>
        <v>C49SZX20220013DZ</v>
      </c>
      <c r="R998" s="647" t="str">
        <f>VLOOKUP(A998,'[1]Raw data'!$B:$Z,3,FALSE)</f>
        <v>朗特</v>
      </c>
      <c r="S998" s="647" t="str">
        <f>VLOOKUP(A998,'[1]Raw data'!$B:$Z,4,FALSE)</f>
        <v>YSM20WR-2</v>
      </c>
      <c r="T998" s="647" t="str">
        <f>VLOOKUP(A998,'[1]Raw data'!$B:$Z,8,FALSE)</f>
        <v>L-&gt;R</v>
      </c>
      <c r="U998" s="647" t="str">
        <f>VLOOKUP(A998,'[1]Raw data'!$B:$Z,9,FALSE)</f>
        <v>cATS10+MVC(F&amp;R)+Feeder Carriage</v>
      </c>
      <c r="V998" s="567" t="str">
        <f t="shared" ref="V998:V1005" si="196">IF(G998&amp;H998=T998&amp;U998,"OK","WRONG")</f>
        <v>OK</v>
      </c>
      <c r="W998" s="563" t="str">
        <f>VLOOKUP(A998,'[1]Raw data'!$B:$AG,32,FALSE)</f>
        <v>CIF HK</v>
      </c>
      <c r="X998" s="647">
        <f>VLOOKUP(A998,'[1]Raw data'!$B:$BA,31,FALSE)</f>
        <v>44614</v>
      </c>
      <c r="Y998" s="647" t="str">
        <f>VLOOKUP(A998,'[1]Raw data'!$B:$AS,39,FALSE)</f>
        <v>Yes</v>
      </c>
      <c r="Z998" s="659"/>
      <c r="AA998" s="660"/>
      <c r="AB998" s="661"/>
      <c r="AC998" s="647" t="s">
        <v>1463</v>
      </c>
      <c r="AD998" s="662">
        <v>301</v>
      </c>
      <c r="AE998" s="662">
        <v>10</v>
      </c>
      <c r="AF998" s="662">
        <v>303</v>
      </c>
      <c r="AG998" s="662">
        <v>6</v>
      </c>
      <c r="AH998" s="662">
        <v>304</v>
      </c>
      <c r="AI998" s="663">
        <v>4</v>
      </c>
      <c r="AN998" s="542"/>
      <c r="AO998" s="824" t="str">
        <f t="shared" si="182"/>
        <v>Yes</v>
      </c>
      <c r="AP998" s="259" t="str">
        <f t="shared" si="183"/>
        <v>MAY 22</v>
      </c>
      <c r="AQ998" s="542" t="str">
        <f t="shared" si="184"/>
        <v>有定金+有預留客戶</v>
      </c>
      <c r="AR998" s="259" t="str">
        <f t="shared" si="185"/>
        <v>Shipped_Stock</v>
      </c>
      <c r="AS998" s="259" t="str">
        <f t="shared" si="186"/>
        <v/>
      </c>
      <c r="AT998" s="259" t="str">
        <f t="shared" si="187"/>
        <v>朗特</v>
      </c>
      <c r="AU998" s="259" t="str">
        <f t="shared" si="188"/>
        <v>C49SZX20220013DZ</v>
      </c>
      <c r="AV998" s="259" t="str">
        <f t="shared" si="189"/>
        <v>Dec-07</v>
      </c>
    </row>
    <row r="999" spans="1:48" hidden="1">
      <c r="A999" s="559">
        <v>1585</v>
      </c>
      <c r="B999" s="664" t="s">
        <v>1125</v>
      </c>
      <c r="C999" s="664" t="s">
        <v>281</v>
      </c>
      <c r="D999" s="645">
        <v>110459</v>
      </c>
      <c r="E999" s="744" t="s">
        <v>1901</v>
      </c>
      <c r="F999" s="647" t="s">
        <v>154</v>
      </c>
      <c r="G999" s="647" t="s">
        <v>24</v>
      </c>
      <c r="H999" s="647" t="s">
        <v>26</v>
      </c>
      <c r="I999" s="575" t="s">
        <v>1904</v>
      </c>
      <c r="J999" s="575">
        <v>1</v>
      </c>
      <c r="K999" s="647" t="s">
        <v>78</v>
      </c>
      <c r="L999" s="657">
        <v>44537</v>
      </c>
      <c r="M999" s="665" t="s">
        <v>906</v>
      </c>
      <c r="N999" s="647" t="s">
        <v>1903</v>
      </c>
      <c r="O999" s="575">
        <v>2021.11</v>
      </c>
      <c r="P999" s="665" t="str">
        <f>VLOOKUP(A999,'[1]Raw data'!$B:$BA,23,FALSE)</f>
        <v>JPY</v>
      </c>
      <c r="Q999" s="647" t="str">
        <f>VLOOKUP(A999,'[1]Raw data'!$B:$Z,2,FALSE)</f>
        <v>C49SZX20220013DZ</v>
      </c>
      <c r="R999" s="647" t="str">
        <f>VLOOKUP(A999,'[1]Raw data'!$B:$Z,3,FALSE)</f>
        <v>朗特</v>
      </c>
      <c r="S999" s="647" t="str">
        <f>VLOOKUP(A999,'[1]Raw data'!$B:$Z,4,FALSE)</f>
        <v>YSM20WR-2</v>
      </c>
      <c r="T999" s="647" t="str">
        <f>VLOOKUP(A999,'[1]Raw data'!$B:$Z,8,FALSE)</f>
        <v>L-&gt;R</v>
      </c>
      <c r="U999" s="647" t="str">
        <f>VLOOKUP(A999,'[1]Raw data'!$B:$Z,9,FALSE)</f>
        <v>MVC F&amp;R</v>
      </c>
      <c r="V999" s="567" t="str">
        <f t="shared" si="196"/>
        <v>WRONG</v>
      </c>
      <c r="W999" s="563" t="str">
        <f>VLOOKUP(A999,'[1]Raw data'!$B:$AG,32,FALSE)</f>
        <v>CIF HK</v>
      </c>
      <c r="X999" s="647">
        <f>VLOOKUP(A999,'[1]Raw data'!$B:$BA,31,FALSE)</f>
        <v>44614</v>
      </c>
      <c r="Y999" s="647" t="str">
        <f>VLOOKUP(A999,'[1]Raw data'!$B:$AS,39,FALSE)</f>
        <v>Yes</v>
      </c>
      <c r="Z999" s="659"/>
      <c r="AA999" s="660"/>
      <c r="AB999" s="661"/>
      <c r="AC999" s="647" t="s">
        <v>1463</v>
      </c>
      <c r="AD999" s="662">
        <v>301</v>
      </c>
      <c r="AE999" s="662">
        <v>16</v>
      </c>
      <c r="AF999" s="662">
        <v>302</v>
      </c>
      <c r="AG999" s="662">
        <v>4</v>
      </c>
      <c r="AH999" s="662"/>
      <c r="AI999" s="663"/>
      <c r="AN999" s="542"/>
      <c r="AO999" s="824" t="str">
        <f t="shared" si="182"/>
        <v>Yes</v>
      </c>
      <c r="AP999" s="259" t="str">
        <f t="shared" si="183"/>
        <v>MAY 22</v>
      </c>
      <c r="AQ999" s="542" t="str">
        <f t="shared" si="184"/>
        <v>有定金+有預留客戶</v>
      </c>
      <c r="AR999" s="259" t="str">
        <f t="shared" si="185"/>
        <v>Shipped_Stock</v>
      </c>
      <c r="AS999" s="259" t="str">
        <f t="shared" si="186"/>
        <v/>
      </c>
      <c r="AT999" s="259" t="str">
        <f t="shared" si="187"/>
        <v>朗特</v>
      </c>
      <c r="AU999" s="259" t="str">
        <f t="shared" si="188"/>
        <v>C49SZX20220013DZ</v>
      </c>
      <c r="AV999" s="259" t="str">
        <f t="shared" si="189"/>
        <v>Dec-07</v>
      </c>
    </row>
    <row r="1000" spans="1:48" hidden="1">
      <c r="A1000" s="559">
        <v>1587</v>
      </c>
      <c r="B1000" s="664" t="s">
        <v>1125</v>
      </c>
      <c r="C1000" s="664" t="s">
        <v>281</v>
      </c>
      <c r="D1000" s="599">
        <v>110459</v>
      </c>
      <c r="E1000" s="754" t="s">
        <v>1901</v>
      </c>
      <c r="F1000" s="563" t="s">
        <v>154</v>
      </c>
      <c r="G1000" s="647" t="s">
        <v>24</v>
      </c>
      <c r="H1000" s="647" t="s">
        <v>26</v>
      </c>
      <c r="I1000" s="575" t="s">
        <v>1905</v>
      </c>
      <c r="J1000" s="575">
        <v>1</v>
      </c>
      <c r="K1000" s="647" t="s">
        <v>78</v>
      </c>
      <c r="L1000" s="657">
        <v>44537</v>
      </c>
      <c r="M1000" s="665" t="s">
        <v>906</v>
      </c>
      <c r="N1000" s="647" t="s">
        <v>1903</v>
      </c>
      <c r="O1000" s="575">
        <v>2021.11</v>
      </c>
      <c r="P1000" s="665" t="str">
        <f>VLOOKUP(A1000,'[1]Raw data'!$B:$BA,23,FALSE)</f>
        <v>JPY</v>
      </c>
      <c r="Q1000" s="647" t="str">
        <f>VLOOKUP(A1000,'[1]Raw data'!$B:$Z,2,FALSE)</f>
        <v>C49SZX20220013DZ</v>
      </c>
      <c r="R1000" s="647" t="str">
        <f>VLOOKUP(A1000,'[1]Raw data'!$B:$Z,3,FALSE)</f>
        <v>朗特</v>
      </c>
      <c r="S1000" s="647" t="str">
        <f>VLOOKUP(A1000,'[1]Raw data'!$B:$Z,4,FALSE)</f>
        <v>YSM20WR-2</v>
      </c>
      <c r="T1000" s="647" t="str">
        <f>VLOOKUP(A1000,'[1]Raw data'!$B:$Z,8,FALSE)</f>
        <v>L-&gt;R</v>
      </c>
      <c r="U1000" s="647" t="str">
        <f>VLOOKUP(A1000,'[1]Raw data'!$B:$Z,9,FALSE)</f>
        <v>No</v>
      </c>
      <c r="V1000" s="567" t="str">
        <f t="shared" si="196"/>
        <v>OK</v>
      </c>
      <c r="W1000" s="563" t="str">
        <f>VLOOKUP(A1000,'[1]Raw data'!$B:$AG,32,FALSE)</f>
        <v>CIF HK</v>
      </c>
      <c r="X1000" s="647">
        <f>VLOOKUP(A1000,'[1]Raw data'!$B:$BA,31,FALSE)</f>
        <v>44614</v>
      </c>
      <c r="Y1000" s="647" t="str">
        <f>VLOOKUP(A1000,'[1]Raw data'!$B:$AS,39,FALSE)</f>
        <v>Yes</v>
      </c>
      <c r="Z1000" s="659"/>
      <c r="AA1000" s="660"/>
      <c r="AB1000" s="661"/>
      <c r="AC1000" s="647" t="s">
        <v>1463</v>
      </c>
      <c r="AD1000" s="662">
        <v>301</v>
      </c>
      <c r="AE1000" s="662">
        <v>16</v>
      </c>
      <c r="AF1000" s="662">
        <v>302</v>
      </c>
      <c r="AG1000" s="662">
        <v>4</v>
      </c>
      <c r="AH1000" s="662"/>
      <c r="AI1000" s="663"/>
      <c r="AN1000" s="542"/>
      <c r="AO1000" s="824" t="str">
        <f t="shared" si="182"/>
        <v>Yes</v>
      </c>
      <c r="AP1000" s="259" t="str">
        <f t="shared" si="183"/>
        <v>MAY 22</v>
      </c>
      <c r="AQ1000" s="542" t="str">
        <f t="shared" si="184"/>
        <v>有定金+有預留客戶</v>
      </c>
      <c r="AR1000" s="259" t="str">
        <f t="shared" si="185"/>
        <v>Shipped_Stock</v>
      </c>
      <c r="AS1000" s="259" t="str">
        <f t="shared" si="186"/>
        <v/>
      </c>
      <c r="AT1000" s="259" t="str">
        <f t="shared" si="187"/>
        <v>朗特</v>
      </c>
      <c r="AU1000" s="259" t="str">
        <f t="shared" si="188"/>
        <v>C49SZX20220013DZ</v>
      </c>
      <c r="AV1000" s="259" t="str">
        <f t="shared" si="189"/>
        <v>Dec-07</v>
      </c>
    </row>
    <row r="1001" spans="1:48" hidden="1">
      <c r="A1001" s="559">
        <v>1424</v>
      </c>
      <c r="B1001" s="664" t="s">
        <v>1125</v>
      </c>
      <c r="C1001" s="664" t="s">
        <v>281</v>
      </c>
      <c r="D1001" s="645" t="s">
        <v>1906</v>
      </c>
      <c r="E1001" s="563" t="s">
        <v>886</v>
      </c>
      <c r="F1001" s="647" t="s">
        <v>58</v>
      </c>
      <c r="G1001" s="647" t="s">
        <v>18</v>
      </c>
      <c r="H1001" s="647" t="s">
        <v>26</v>
      </c>
      <c r="I1001" s="751" t="s">
        <v>1907</v>
      </c>
      <c r="J1001" s="575">
        <v>1</v>
      </c>
      <c r="K1001" s="647" t="s">
        <v>1358</v>
      </c>
      <c r="L1001" s="657">
        <v>44553</v>
      </c>
      <c r="M1001" s="665">
        <v>6.0499999999999998E-2</v>
      </c>
      <c r="N1001" s="647" t="s">
        <v>1819</v>
      </c>
      <c r="O1001" s="575"/>
      <c r="P1001" s="665" t="str">
        <f>VLOOKUP(A1001,'[1]Raw data'!$B:$BA,23,FALSE)</f>
        <v>JPY</v>
      </c>
      <c r="Q1001" s="647" t="str">
        <f>VLOOKUP(A1001,'[1]Raw data'!$B:$Z,2,FALSE)</f>
        <v>C49SZX20210152SX</v>
      </c>
      <c r="R1001" s="647" t="str">
        <f>VLOOKUP(A1001,'[1]Raw data'!$B:$Z,3,FALSE)</f>
        <v>太美亚</v>
      </c>
      <c r="S1001" s="647" t="str">
        <f>VLOOKUP(A1001,'[1]Raw data'!$B:$Z,4,FALSE)</f>
        <v>YSM20R-2</v>
      </c>
      <c r="T1001" s="647" t="str">
        <f>VLOOKUP(A1001,'[1]Raw data'!$B:$Z,8,FALSE)</f>
        <v>R-&gt;L</v>
      </c>
      <c r="U1001" s="647" t="str">
        <f>VLOOKUP(A1001,'[1]Raw data'!$B:$Z,9,FALSE)</f>
        <v>No</v>
      </c>
      <c r="V1001" s="567" t="str">
        <f t="shared" si="196"/>
        <v>OK</v>
      </c>
      <c r="W1001" s="563" t="str">
        <f>VLOOKUP(A1001,'[1]Raw data'!$B:$AG,32,FALSE)</f>
        <v>DAP SZ</v>
      </c>
      <c r="X1001" s="647">
        <f>VLOOKUP(A1001,'[1]Raw data'!$B:$BA,31,FALSE)</f>
        <v>44351</v>
      </c>
      <c r="Y1001" s="647" t="str">
        <f>VLOOKUP(A1001,'[1]Raw data'!$B:$AS,39,FALSE)</f>
        <v>Yes</v>
      </c>
      <c r="Z1001" s="666"/>
      <c r="AA1001" s="667"/>
      <c r="AB1001" s="668"/>
      <c r="AC1001" s="647" t="s">
        <v>476</v>
      </c>
      <c r="AD1001" s="662">
        <v>301</v>
      </c>
      <c r="AE1001" s="662">
        <v>10</v>
      </c>
      <c r="AF1001" s="662">
        <v>311</v>
      </c>
      <c r="AG1001" s="662">
        <v>10</v>
      </c>
      <c r="AH1001" s="662"/>
      <c r="AI1001" s="663"/>
      <c r="AN1001" s="542"/>
      <c r="AO1001" s="824" t="str">
        <f t="shared" si="182"/>
        <v>Yes</v>
      </c>
      <c r="AP1001" s="259" t="str">
        <f t="shared" si="183"/>
        <v>DEC 21</v>
      </c>
      <c r="AQ1001" s="542" t="str">
        <f t="shared" si="184"/>
        <v>有定金+有預留客戶</v>
      </c>
      <c r="AR1001" s="259" t="str">
        <f t="shared" si="185"/>
        <v>Shipped_Stock</v>
      </c>
      <c r="AS1001" s="259" t="str">
        <f t="shared" si="186"/>
        <v/>
      </c>
      <c r="AT1001" s="259" t="str">
        <f t="shared" si="187"/>
        <v>太美亚</v>
      </c>
      <c r="AU1001" s="259" t="str">
        <f t="shared" si="188"/>
        <v>C49SZX20210152SX</v>
      </c>
      <c r="AV1001" s="259" t="str">
        <f t="shared" si="189"/>
        <v>Dec-23</v>
      </c>
    </row>
    <row r="1002" spans="1:48" hidden="1">
      <c r="A1002" s="559">
        <v>1425</v>
      </c>
      <c r="B1002" s="664" t="s">
        <v>1125</v>
      </c>
      <c r="C1002" s="664" t="s">
        <v>281</v>
      </c>
      <c r="D1002" s="645">
        <v>110669</v>
      </c>
      <c r="E1002" s="563" t="s">
        <v>886</v>
      </c>
      <c r="F1002" s="647" t="s">
        <v>58</v>
      </c>
      <c r="G1002" s="647" t="s">
        <v>18</v>
      </c>
      <c r="H1002" s="647" t="s">
        <v>26</v>
      </c>
      <c r="I1002" s="751" t="s">
        <v>1908</v>
      </c>
      <c r="J1002" s="575">
        <v>1</v>
      </c>
      <c r="K1002" s="647" t="s">
        <v>1358</v>
      </c>
      <c r="L1002" s="657">
        <v>44553</v>
      </c>
      <c r="M1002" s="665" t="s">
        <v>258</v>
      </c>
      <c r="N1002" s="647" t="s">
        <v>1819</v>
      </c>
      <c r="O1002" s="575"/>
      <c r="P1002" s="665" t="str">
        <f>VLOOKUP(A1002,'[1]Raw data'!$B:$BA,23,FALSE)</f>
        <v>JPY</v>
      </c>
      <c r="Q1002" s="647" t="str">
        <f>VLOOKUP(A1002,'[1]Raw data'!$B:$Z,2,FALSE)</f>
        <v>C49SZX20210152SX</v>
      </c>
      <c r="R1002" s="647" t="str">
        <f>VLOOKUP(A1002,'[1]Raw data'!$B:$Z,3,FALSE)</f>
        <v>太美亚</v>
      </c>
      <c r="S1002" s="647" t="str">
        <f>VLOOKUP(A1002,'[1]Raw data'!$B:$Z,4,FALSE)</f>
        <v>YSM20R-2</v>
      </c>
      <c r="T1002" s="647" t="str">
        <f>VLOOKUP(A1002,'[1]Raw data'!$B:$Z,8,FALSE)</f>
        <v>R-&gt;L</v>
      </c>
      <c r="U1002" s="647" t="str">
        <f>VLOOKUP(A1002,'[1]Raw data'!$B:$Z,9,FALSE)</f>
        <v>No</v>
      </c>
      <c r="V1002" s="567" t="str">
        <f t="shared" si="196"/>
        <v>OK</v>
      </c>
      <c r="W1002" s="563" t="str">
        <f>VLOOKUP(A1002,'[1]Raw data'!$B:$AG,32,FALSE)</f>
        <v>DAP SZ</v>
      </c>
      <c r="X1002" s="647">
        <f>VLOOKUP(A1002,'[1]Raw data'!$B:$BA,31,FALSE)</f>
        <v>44351</v>
      </c>
      <c r="Y1002" s="647" t="str">
        <f>VLOOKUP(A1002,'[1]Raw data'!$B:$AS,39,FALSE)</f>
        <v>Yes</v>
      </c>
      <c r="Z1002" s="666"/>
      <c r="AA1002" s="667"/>
      <c r="AB1002" s="668"/>
      <c r="AC1002" s="647" t="s">
        <v>476</v>
      </c>
      <c r="AD1002" s="662">
        <v>301</v>
      </c>
      <c r="AE1002" s="662">
        <v>10</v>
      </c>
      <c r="AF1002" s="662">
        <v>311</v>
      </c>
      <c r="AG1002" s="662">
        <v>10</v>
      </c>
      <c r="AH1002" s="662"/>
      <c r="AI1002" s="663"/>
      <c r="AN1002" s="542"/>
      <c r="AO1002" s="824" t="str">
        <f t="shared" si="182"/>
        <v>Yes</v>
      </c>
      <c r="AP1002" s="259" t="str">
        <f t="shared" si="183"/>
        <v>DEC 21</v>
      </c>
      <c r="AQ1002" s="542" t="str">
        <f t="shared" si="184"/>
        <v>有定金+有預留客戶</v>
      </c>
      <c r="AR1002" s="259" t="str">
        <f t="shared" si="185"/>
        <v>Shipped_Stock</v>
      </c>
      <c r="AS1002" s="259" t="str">
        <f t="shared" si="186"/>
        <v/>
      </c>
      <c r="AT1002" s="259" t="str">
        <f t="shared" si="187"/>
        <v>太美亚</v>
      </c>
      <c r="AU1002" s="259" t="str">
        <f t="shared" si="188"/>
        <v>C49SZX20210152SX</v>
      </c>
      <c r="AV1002" s="259" t="str">
        <f t="shared" si="189"/>
        <v>Dec-23</v>
      </c>
    </row>
    <row r="1003" spans="1:48" hidden="1">
      <c r="A1003" s="559">
        <v>1447</v>
      </c>
      <c r="B1003" s="664" t="s">
        <v>1125</v>
      </c>
      <c r="C1003" s="563" t="s">
        <v>4013</v>
      </c>
      <c r="D1003" s="645">
        <v>110530</v>
      </c>
      <c r="E1003" s="646" t="s">
        <v>1909</v>
      </c>
      <c r="F1003" s="647" t="s">
        <v>700</v>
      </c>
      <c r="G1003" s="647" t="s">
        <v>24</v>
      </c>
      <c r="H1003" s="647" t="s">
        <v>26</v>
      </c>
      <c r="I1003" s="575" t="s">
        <v>1910</v>
      </c>
      <c r="J1003" s="575">
        <v>1</v>
      </c>
      <c r="K1003" s="647" t="s">
        <v>1358</v>
      </c>
      <c r="L1003" s="657">
        <v>44553</v>
      </c>
      <c r="M1003" s="665">
        <v>5.6899999999999999E-2</v>
      </c>
      <c r="N1003" s="647" t="s">
        <v>1819</v>
      </c>
      <c r="O1003" s="575"/>
      <c r="P1003" s="665" t="str">
        <f>VLOOKUP(A1003,'[1]Raw data'!$B:$BA,23,FALSE)</f>
        <v>RMB</v>
      </c>
      <c r="Q1003" s="647" t="str">
        <f>VLOOKUP(A1003,'[1]Raw data'!$B:$Z,2,FALSE)</f>
        <v>C28SZX2021024KC</v>
      </c>
      <c r="R1003" s="647" t="str">
        <f>VLOOKUP(A1003,'[1]Raw data'!$B:$Z,3,FALSE)</f>
        <v>广东科士达</v>
      </c>
      <c r="S1003" s="647" t="str">
        <f>VLOOKUP(A1003,'[1]Raw data'!$B:$Z,4,FALSE)</f>
        <v>YSD</v>
      </c>
      <c r="T1003" s="647" t="str">
        <f>VLOOKUP(A1003,'[1]Raw data'!$B:$Z,8,FALSE)</f>
        <v>R-&gt;L</v>
      </c>
      <c r="U1003" s="647" t="str">
        <f>VLOOKUP(A1003,'[1]Raw data'!$B:$Z,9,FALSE)</f>
        <v>No</v>
      </c>
      <c r="V1003" s="567" t="str">
        <f t="shared" si="196"/>
        <v>WRONG</v>
      </c>
      <c r="W1003" s="563" t="str">
        <f>VLOOKUP(A1003,'[1]Raw data'!$B:$AG,32,FALSE)</f>
        <v>DDP SZ</v>
      </c>
      <c r="X1003" s="647">
        <f>VLOOKUP(A1003,'[1]Raw data'!$B:$BA,31,FALSE)</f>
        <v>44364</v>
      </c>
      <c r="Y1003" s="647" t="str">
        <f>VLOOKUP(A1003,'[1]Raw data'!$B:$AS,39,FALSE)</f>
        <v>Yes</v>
      </c>
      <c r="Z1003" s="666"/>
      <c r="AA1003" s="660"/>
      <c r="AB1003" s="668"/>
      <c r="AC1003" s="647" t="s">
        <v>678</v>
      </c>
      <c r="AD1003" s="662"/>
      <c r="AE1003" s="662"/>
      <c r="AF1003" s="662"/>
      <c r="AG1003" s="662"/>
      <c r="AH1003" s="662"/>
      <c r="AI1003" s="663"/>
      <c r="AN1003" s="542"/>
      <c r="AO1003" s="824" t="str">
        <f t="shared" si="182"/>
        <v>Yes</v>
      </c>
      <c r="AP1003" s="259" t="str">
        <f t="shared" si="183"/>
        <v>DEC 21</v>
      </c>
      <c r="AQ1003" s="542" t="str">
        <f t="shared" si="184"/>
        <v>有定金+有預留客戶</v>
      </c>
      <c r="AR1003" s="259" t="str">
        <f t="shared" si="185"/>
        <v>Shipped_Stock</v>
      </c>
      <c r="AS1003" s="259" t="str">
        <f t="shared" si="186"/>
        <v/>
      </c>
      <c r="AT1003" s="259" t="str">
        <f t="shared" si="187"/>
        <v>广东科士达</v>
      </c>
      <c r="AU1003" s="259" t="str">
        <f t="shared" si="188"/>
        <v>C28SZX2021024KC</v>
      </c>
      <c r="AV1003" s="259" t="str">
        <f t="shared" si="189"/>
        <v>Dec-23</v>
      </c>
    </row>
    <row r="1004" spans="1:48" hidden="1">
      <c r="A1004" s="559">
        <v>1448</v>
      </c>
      <c r="B1004" s="664" t="s">
        <v>1125</v>
      </c>
      <c r="C1004" s="563" t="s">
        <v>4013</v>
      </c>
      <c r="D1004" s="645">
        <v>110530</v>
      </c>
      <c r="E1004" s="646" t="s">
        <v>1911</v>
      </c>
      <c r="F1004" s="647" t="s">
        <v>700</v>
      </c>
      <c r="G1004" s="647" t="s">
        <v>24</v>
      </c>
      <c r="H1004" s="647" t="s">
        <v>26</v>
      </c>
      <c r="I1004" s="575" t="s">
        <v>1912</v>
      </c>
      <c r="J1004" s="575">
        <v>1</v>
      </c>
      <c r="K1004" s="647" t="s">
        <v>1358</v>
      </c>
      <c r="L1004" s="657">
        <v>44553</v>
      </c>
      <c r="M1004" s="665">
        <v>5.6899999999999999E-2</v>
      </c>
      <c r="N1004" s="647" t="s">
        <v>1819</v>
      </c>
      <c r="O1004" s="575"/>
      <c r="P1004" s="665" t="str">
        <f>VLOOKUP(A1004,'[1]Raw data'!$B:$BA,23,FALSE)</f>
        <v>RMB</v>
      </c>
      <c r="Q1004" s="647" t="str">
        <f>VLOOKUP(A1004,'[1]Raw data'!$B:$Z,2,FALSE)</f>
        <v>C28SZX2021024KC</v>
      </c>
      <c r="R1004" s="647" t="str">
        <f>VLOOKUP(A1004,'[1]Raw data'!$B:$Z,3,FALSE)</f>
        <v>广东科士达</v>
      </c>
      <c r="S1004" s="647" t="str">
        <f>VLOOKUP(A1004,'[1]Raw data'!$B:$Z,4,FALSE)</f>
        <v>YSD</v>
      </c>
      <c r="T1004" s="647" t="str">
        <f>VLOOKUP(A1004,'[1]Raw data'!$B:$Z,8,FALSE)</f>
        <v>R-&gt;L</v>
      </c>
      <c r="U1004" s="647" t="str">
        <f>VLOOKUP(A1004,'[1]Raw data'!$B:$Z,9,FALSE)</f>
        <v>No</v>
      </c>
      <c r="V1004" s="567" t="str">
        <f t="shared" si="196"/>
        <v>WRONG</v>
      </c>
      <c r="W1004" s="563" t="str">
        <f>VLOOKUP(A1004,'[1]Raw data'!$B:$AG,32,FALSE)</f>
        <v>DDP SZ</v>
      </c>
      <c r="X1004" s="647">
        <f>VLOOKUP(A1004,'[1]Raw data'!$B:$BA,31,FALSE)</f>
        <v>44364</v>
      </c>
      <c r="Y1004" s="647" t="str">
        <f>VLOOKUP(A1004,'[1]Raw data'!$B:$AS,39,FALSE)</f>
        <v>Yes</v>
      </c>
      <c r="Z1004" s="666"/>
      <c r="AA1004" s="660"/>
      <c r="AB1004" s="668"/>
      <c r="AC1004" s="647" t="s">
        <v>678</v>
      </c>
      <c r="AD1004" s="662"/>
      <c r="AE1004" s="662"/>
      <c r="AF1004" s="662"/>
      <c r="AG1004" s="662"/>
      <c r="AH1004" s="662"/>
      <c r="AI1004" s="663"/>
      <c r="AN1004" s="542"/>
      <c r="AO1004" s="824" t="str">
        <f t="shared" si="182"/>
        <v>Yes</v>
      </c>
      <c r="AP1004" s="259" t="str">
        <f t="shared" si="183"/>
        <v>DEC 21</v>
      </c>
      <c r="AQ1004" s="542" t="str">
        <f t="shared" si="184"/>
        <v>有定金+有預留客戶</v>
      </c>
      <c r="AR1004" s="259" t="str">
        <f t="shared" si="185"/>
        <v>Shipped_Stock</v>
      </c>
      <c r="AS1004" s="259" t="str">
        <f t="shared" si="186"/>
        <v/>
      </c>
      <c r="AT1004" s="259" t="str">
        <f t="shared" si="187"/>
        <v>广东科士达</v>
      </c>
      <c r="AU1004" s="259" t="str">
        <f t="shared" si="188"/>
        <v>C28SZX2021024KC</v>
      </c>
      <c r="AV1004" s="259" t="str">
        <f t="shared" si="189"/>
        <v>Dec-23</v>
      </c>
    </row>
    <row r="1005" spans="1:48" hidden="1">
      <c r="A1005" s="559">
        <v>1339</v>
      </c>
      <c r="B1005" s="664" t="s">
        <v>1125</v>
      </c>
      <c r="C1005" s="664" t="s">
        <v>281</v>
      </c>
      <c r="D1005" s="645">
        <v>110671</v>
      </c>
      <c r="E1005" s="563" t="s">
        <v>886</v>
      </c>
      <c r="F1005" s="647" t="s">
        <v>58</v>
      </c>
      <c r="G1005" s="647" t="s">
        <v>24</v>
      </c>
      <c r="H1005" s="647" t="s">
        <v>26</v>
      </c>
      <c r="I1005" s="575" t="s">
        <v>1913</v>
      </c>
      <c r="J1005" s="575">
        <v>1</v>
      </c>
      <c r="K1005" s="647" t="s">
        <v>1732</v>
      </c>
      <c r="L1005" s="657">
        <v>44556</v>
      </c>
      <c r="M1005" s="665" t="s">
        <v>906</v>
      </c>
      <c r="N1005" s="647" t="s">
        <v>1895</v>
      </c>
      <c r="O1005" s="575"/>
      <c r="P1005" s="665" t="str">
        <f>VLOOKUP(A1005,'[1]Raw data'!$B:$BA,23,FALSE)</f>
        <v>JPY</v>
      </c>
      <c r="Q1005" s="647" t="str">
        <f>VLOOKUP(A1005,'[1]Raw data'!$B:$Z,2,FALSE)</f>
        <v>C49SZX20210119JY</v>
      </c>
      <c r="R1005" s="647" t="str">
        <f>VLOOKUP(A1005,'[1]Raw data'!$B:$Z,3,FALSE)</f>
        <v>百纳海</v>
      </c>
      <c r="S1005" s="647" t="str">
        <f>VLOOKUP(A1005,'[1]Raw data'!$B:$Z,4,FALSE)</f>
        <v>YSM20R-2</v>
      </c>
      <c r="T1005" s="647" t="str">
        <f>VLOOKUP(A1005,'[1]Raw data'!$B:$Z,8,FALSE)</f>
        <v>L-&gt;R</v>
      </c>
      <c r="U1005" s="647" t="str">
        <f>VLOOKUP(A1005,'[1]Raw data'!$B:$Z,9,FALSE)</f>
        <v>No</v>
      </c>
      <c r="V1005" s="567" t="str">
        <f t="shared" si="196"/>
        <v>OK</v>
      </c>
      <c r="W1005" s="563" t="str">
        <f>VLOOKUP(A1005,'[1]Raw data'!$B:$AG,32,FALSE)</f>
        <v>DAP SZ</v>
      </c>
      <c r="X1005" s="647">
        <f>VLOOKUP(A1005,'[1]Raw data'!$B:$BA,31,FALSE)</f>
        <v>44306</v>
      </c>
      <c r="Y1005" s="647" t="str">
        <f>VLOOKUP(A1005,'[1]Raw data'!$B:$AS,39,FALSE)</f>
        <v>Yes</v>
      </c>
      <c r="Z1005" s="666"/>
      <c r="AA1005" s="660"/>
      <c r="AB1005" s="668"/>
      <c r="AC1005" s="647" t="s">
        <v>1015</v>
      </c>
      <c r="AD1005" s="662">
        <v>301</v>
      </c>
      <c r="AE1005" s="662">
        <v>10</v>
      </c>
      <c r="AF1005" s="662">
        <v>311</v>
      </c>
      <c r="AG1005" s="662">
        <v>10</v>
      </c>
      <c r="AH1005" s="662"/>
      <c r="AI1005" s="663"/>
      <c r="AN1005" s="542"/>
      <c r="AO1005" s="824" t="str">
        <f t="shared" si="182"/>
        <v>Yes</v>
      </c>
      <c r="AP1005" s="259" t="str">
        <f t="shared" si="183"/>
        <v>JAN 22</v>
      </c>
      <c r="AQ1005" s="542" t="str">
        <f t="shared" si="184"/>
        <v>有定金+有預留客戶</v>
      </c>
      <c r="AR1005" s="259" t="str">
        <f t="shared" si="185"/>
        <v>Shipped_Stock</v>
      </c>
      <c r="AS1005" s="259" t="str">
        <f t="shared" si="186"/>
        <v/>
      </c>
      <c r="AT1005" s="259" t="str">
        <f t="shared" si="187"/>
        <v>百纳海</v>
      </c>
      <c r="AU1005" s="259" t="str">
        <f t="shared" si="188"/>
        <v>C49SZX20210119JY</v>
      </c>
      <c r="AV1005" s="259" t="str">
        <f t="shared" si="189"/>
        <v>Dec-26</v>
      </c>
    </row>
    <row r="1006" spans="1:48" hidden="1">
      <c r="A1006" s="559">
        <v>1353</v>
      </c>
      <c r="B1006" s="664" t="s">
        <v>1125</v>
      </c>
      <c r="C1006" s="664" t="s">
        <v>281</v>
      </c>
      <c r="D1006" s="645">
        <v>110664</v>
      </c>
      <c r="E1006" s="646" t="s">
        <v>1914</v>
      </c>
      <c r="F1006" s="647" t="s">
        <v>17</v>
      </c>
      <c r="G1006" s="647" t="s">
        <v>18</v>
      </c>
      <c r="H1006" s="647" t="s">
        <v>102</v>
      </c>
      <c r="I1006" s="575" t="s">
        <v>1915</v>
      </c>
      <c r="J1006" s="575">
        <v>1</v>
      </c>
      <c r="K1006" s="647" t="s">
        <v>1732</v>
      </c>
      <c r="L1006" s="657">
        <v>44562</v>
      </c>
      <c r="M1006" s="665" t="s">
        <v>906</v>
      </c>
      <c r="N1006" s="647" t="s">
        <v>1895</v>
      </c>
      <c r="O1006" s="575"/>
      <c r="P1006" s="665" t="str">
        <f>VLOOKUP(A1006,'[1]Raw data'!$B:$BA,23,FALSE)</f>
        <v>JPY</v>
      </c>
      <c r="Q1006" s="647" t="str">
        <f>VLOOKUP(A1006,'[1]Raw data'!$B:$Z,2,FALSE)</f>
        <v>C49SZX20210132VG</v>
      </c>
      <c r="R1006" s="647" t="str">
        <f>VLOOKUP(A1006,'[1]Raw data'!$B:$Z,3,FALSE)</f>
        <v>睿昌</v>
      </c>
      <c r="S1006" s="647" t="str">
        <f>VLOOKUP(A1006,'[1]Raw data'!$B:$Z,4,FALSE)</f>
        <v>YSM10</v>
      </c>
      <c r="T1006" s="647" t="str">
        <f>VLOOKUP(A1006,'[1]Raw data'!$B:$Z,8,FALSE)</f>
        <v>L-&gt;R</v>
      </c>
      <c r="U1006" s="647" t="str">
        <f>VLOOKUP(A1006,'[1]Raw data'!$B:$Z,9,FALSE)</f>
        <v>MVC</v>
      </c>
      <c r="V1006" s="567" t="str">
        <f t="shared" ref="V1006:V1008" si="197">IF(G1006&amp;H1006=T1006&amp;U1006,"OK","WRONG")</f>
        <v>WRONG</v>
      </c>
      <c r="W1006" s="563" t="str">
        <f>VLOOKUP(A1006,'[1]Raw data'!$B:$AG,32,FALSE)</f>
        <v>DAP SZ</v>
      </c>
      <c r="X1006" s="647">
        <f>VLOOKUP(A1006,'[1]Raw data'!$B:$BA,31,FALSE)</f>
        <v>44313</v>
      </c>
      <c r="Y1006" s="647" t="str">
        <f>VLOOKUP(A1006,'[1]Raw data'!$B:$AS,39,FALSE)</f>
        <v>Yes</v>
      </c>
      <c r="Z1006" s="666"/>
      <c r="AA1006" s="660"/>
      <c r="AB1006" s="668"/>
      <c r="AC1006" s="647" t="s">
        <v>1916</v>
      </c>
      <c r="AD1006" s="662">
        <v>301</v>
      </c>
      <c r="AE1006" s="662">
        <v>10</v>
      </c>
      <c r="AF1006" s="662"/>
      <c r="AG1006" s="662"/>
      <c r="AH1006" s="662"/>
      <c r="AI1006" s="663"/>
      <c r="AN1006" s="542"/>
      <c r="AO1006" s="824" t="str">
        <f t="shared" si="182"/>
        <v>Yes</v>
      </c>
      <c r="AP1006" s="259" t="str">
        <f t="shared" si="183"/>
        <v>JAN 22</v>
      </c>
      <c r="AQ1006" s="542" t="str">
        <f t="shared" si="184"/>
        <v>有定金+有預留客戶</v>
      </c>
      <c r="AR1006" s="259" t="str">
        <f t="shared" si="185"/>
        <v>Shipped_Stock</v>
      </c>
      <c r="AS1006" s="259" t="str">
        <f t="shared" si="186"/>
        <v/>
      </c>
      <c r="AT1006" s="259" t="str">
        <f t="shared" si="187"/>
        <v>睿昌</v>
      </c>
      <c r="AU1006" s="259" t="str">
        <f t="shared" si="188"/>
        <v>C49SZX20210132VG</v>
      </c>
      <c r="AV1006" s="259" t="str">
        <f t="shared" si="189"/>
        <v>Jan-01</v>
      </c>
    </row>
    <row r="1007" spans="1:48" hidden="1">
      <c r="A1007" s="559">
        <v>1394</v>
      </c>
      <c r="B1007" s="664" t="s">
        <v>1125</v>
      </c>
      <c r="C1007" s="664" t="s">
        <v>15</v>
      </c>
      <c r="D1007" s="645">
        <v>110664</v>
      </c>
      <c r="E1007" s="646" t="s">
        <v>1914</v>
      </c>
      <c r="F1007" s="647" t="s">
        <v>17</v>
      </c>
      <c r="G1007" s="647" t="s">
        <v>18</v>
      </c>
      <c r="H1007" s="647" t="s">
        <v>1917</v>
      </c>
      <c r="I1007" s="575" t="s">
        <v>1918</v>
      </c>
      <c r="J1007" s="575">
        <v>1</v>
      </c>
      <c r="K1007" s="647" t="s">
        <v>1732</v>
      </c>
      <c r="L1007" s="657">
        <v>44562</v>
      </c>
      <c r="M1007" s="665" t="s">
        <v>906</v>
      </c>
      <c r="N1007" s="647" t="s">
        <v>1895</v>
      </c>
      <c r="O1007" s="575"/>
      <c r="P1007" s="665" t="str">
        <f>VLOOKUP(A1007,'[1]Raw data'!$B:$BA,23,FALSE)</f>
        <v>JPY</v>
      </c>
      <c r="Q1007" s="647" t="str">
        <f>VLOOKUP(A1007,'[1]Raw data'!$B:$Z,2,FALSE)</f>
        <v>C49SZX20210143DZ</v>
      </c>
      <c r="R1007" s="647" t="str">
        <f>VLOOKUP(A1007,'[1]Raw data'!$B:$Z,3,FALSE)</f>
        <v>方案集</v>
      </c>
      <c r="S1007" s="647" t="str">
        <f>VLOOKUP(A1007,'[1]Raw data'!$B:$Z,4,FALSE)</f>
        <v>YSM10</v>
      </c>
      <c r="T1007" s="647" t="str">
        <f>VLOOKUP(A1007,'[1]Raw data'!$B:$Z,8,FALSE)</f>
        <v>R-&gt;L</v>
      </c>
      <c r="U1007" s="647" t="str">
        <f>VLOOKUP(A1007,'[1]Raw data'!$B:$Z,9,FALSE)</f>
        <v>MVC+ATS15</v>
      </c>
      <c r="V1007" s="567" t="str">
        <f t="shared" si="197"/>
        <v>WRONG</v>
      </c>
      <c r="W1007" s="563" t="str">
        <f>VLOOKUP(A1007,'[1]Raw data'!$B:$AG,32,FALSE)</f>
        <v>CIF HK</v>
      </c>
      <c r="X1007" s="647">
        <f>VLOOKUP(A1007,'[1]Raw data'!$B:$BA,31,FALSE)</f>
        <v>44341</v>
      </c>
      <c r="Y1007" s="647" t="str">
        <f>VLOOKUP(A1007,'[1]Raw data'!$B:$AS,39,FALSE)</f>
        <v>Yes</v>
      </c>
      <c r="Z1007" s="666"/>
      <c r="AA1007" s="660"/>
      <c r="AB1007" s="668"/>
      <c r="AC1007" s="647" t="s">
        <v>1165</v>
      </c>
      <c r="AD1007" s="662">
        <v>302</v>
      </c>
      <c r="AE1007" s="662">
        <v>10</v>
      </c>
      <c r="AF1007" s="662"/>
      <c r="AG1007" s="662"/>
      <c r="AH1007" s="662"/>
      <c r="AI1007" s="663"/>
      <c r="AN1007" s="542"/>
      <c r="AO1007" s="824" t="str">
        <f t="shared" si="182"/>
        <v>Yes</v>
      </c>
      <c r="AP1007" s="259" t="str">
        <f t="shared" si="183"/>
        <v>JAN 22</v>
      </c>
      <c r="AQ1007" s="542" t="str">
        <f t="shared" si="184"/>
        <v>有定金+有預留客戶</v>
      </c>
      <c r="AR1007" s="259" t="str">
        <f t="shared" si="185"/>
        <v>Shipped_Stock</v>
      </c>
      <c r="AS1007" s="259" t="str">
        <f t="shared" si="186"/>
        <v/>
      </c>
      <c r="AT1007" s="259" t="str">
        <f t="shared" si="187"/>
        <v>方案集</v>
      </c>
      <c r="AU1007" s="259" t="str">
        <f t="shared" si="188"/>
        <v>C49SZX20210143DZ</v>
      </c>
      <c r="AV1007" s="259" t="str">
        <f t="shared" si="189"/>
        <v>Jan-01</v>
      </c>
    </row>
    <row r="1008" spans="1:48" hidden="1">
      <c r="A1008" s="559">
        <v>1400</v>
      </c>
      <c r="B1008" s="664" t="s">
        <v>1125</v>
      </c>
      <c r="C1008" s="664" t="s">
        <v>15</v>
      </c>
      <c r="D1008" s="645">
        <v>110664</v>
      </c>
      <c r="E1008" s="646" t="s">
        <v>1914</v>
      </c>
      <c r="F1008" s="647" t="s">
        <v>17</v>
      </c>
      <c r="G1008" s="647" t="s">
        <v>18</v>
      </c>
      <c r="H1008" s="647" t="s">
        <v>1919</v>
      </c>
      <c r="I1008" s="575" t="s">
        <v>1920</v>
      </c>
      <c r="J1008" s="575">
        <v>1</v>
      </c>
      <c r="K1008" s="647" t="s">
        <v>1732</v>
      </c>
      <c r="L1008" s="657">
        <v>44562</v>
      </c>
      <c r="M1008" s="665" t="s">
        <v>906</v>
      </c>
      <c r="N1008" s="647" t="s">
        <v>1895</v>
      </c>
      <c r="O1008" s="575"/>
      <c r="P1008" s="665" t="str">
        <f>VLOOKUP(A1008,'[1]Raw data'!$B:$BA,23,FALSE)</f>
        <v>JPY</v>
      </c>
      <c r="Q1008" s="647" t="str">
        <f>VLOOKUP(A1008,'[1]Raw data'!$B:$Z,2,FALSE)</f>
        <v>C49SZX20210144VG</v>
      </c>
      <c r="R1008" s="647" t="str">
        <f>VLOOKUP(A1008,'[1]Raw data'!$B:$Z,3,FALSE)</f>
        <v>鑫华锋</v>
      </c>
      <c r="S1008" s="647" t="str">
        <f>VLOOKUP(A1008,'[1]Raw data'!$B:$Z,4,FALSE)</f>
        <v>YSM10</v>
      </c>
      <c r="T1008" s="647" t="str">
        <f>VLOOKUP(A1008,'[1]Raw data'!$B:$Z,8,FALSE)</f>
        <v>L-&gt;R</v>
      </c>
      <c r="U1008" s="647" t="str">
        <f>VLOOKUP(A1008,'[1]Raw data'!$B:$Z,9,FALSE)</f>
        <v>MVC</v>
      </c>
      <c r="V1008" s="567" t="str">
        <f t="shared" si="197"/>
        <v>WRONG</v>
      </c>
      <c r="W1008" s="563" t="str">
        <f>VLOOKUP(A1008,'[1]Raw data'!$B:$AG,32,FALSE)</f>
        <v>DAP SZ</v>
      </c>
      <c r="X1008" s="647">
        <f>VLOOKUP(A1008,'[1]Raw data'!$B:$BA,31,FALSE)</f>
        <v>44344</v>
      </c>
      <c r="Y1008" s="647" t="str">
        <f>VLOOKUP(A1008,'[1]Raw data'!$B:$AS,39,FALSE)</f>
        <v>Yes</v>
      </c>
      <c r="Z1008" s="666"/>
      <c r="AA1008" s="660"/>
      <c r="AB1008" s="661"/>
      <c r="AC1008" s="647" t="s">
        <v>1518</v>
      </c>
      <c r="AD1008" s="662">
        <v>302</v>
      </c>
      <c r="AE1008" s="662">
        <v>10</v>
      </c>
      <c r="AF1008" s="662"/>
      <c r="AG1008" s="662"/>
      <c r="AH1008" s="662"/>
      <c r="AI1008" s="663"/>
      <c r="AN1008" s="542"/>
      <c r="AO1008" s="824" t="str">
        <f t="shared" si="182"/>
        <v>Yes</v>
      </c>
      <c r="AP1008" s="259" t="str">
        <f t="shared" si="183"/>
        <v>JAN 22</v>
      </c>
      <c r="AQ1008" s="542" t="str">
        <f t="shared" si="184"/>
        <v>有定金+有預留客戶</v>
      </c>
      <c r="AR1008" s="259" t="str">
        <f t="shared" si="185"/>
        <v>Shipped_Stock</v>
      </c>
      <c r="AS1008" s="259" t="str">
        <f t="shared" si="186"/>
        <v/>
      </c>
      <c r="AT1008" s="259" t="str">
        <f t="shared" si="187"/>
        <v>鑫华锋</v>
      </c>
      <c r="AU1008" s="259" t="str">
        <f t="shared" si="188"/>
        <v>C49SZX20210144VG</v>
      </c>
      <c r="AV1008" s="259" t="str">
        <f t="shared" si="189"/>
        <v>Jan-01</v>
      </c>
    </row>
    <row r="1009" spans="1:48" hidden="1">
      <c r="A1009" s="559">
        <v>1360</v>
      </c>
      <c r="B1009" s="664" t="s">
        <v>1125</v>
      </c>
      <c r="C1009" s="664" t="s">
        <v>281</v>
      </c>
      <c r="D1009" s="645">
        <v>110664</v>
      </c>
      <c r="E1009" s="646" t="s">
        <v>1914</v>
      </c>
      <c r="F1009" s="647" t="s">
        <v>17</v>
      </c>
      <c r="G1009" s="647" t="s">
        <v>18</v>
      </c>
      <c r="H1009" s="647" t="s">
        <v>1919</v>
      </c>
      <c r="I1009" s="575" t="s">
        <v>1921</v>
      </c>
      <c r="J1009" s="575">
        <v>1</v>
      </c>
      <c r="K1009" s="647" t="s">
        <v>1732</v>
      </c>
      <c r="L1009" s="657">
        <v>44562</v>
      </c>
      <c r="M1009" s="665" t="s">
        <v>906</v>
      </c>
      <c r="N1009" s="647" t="s">
        <v>1895</v>
      </c>
      <c r="O1009" s="575"/>
      <c r="P1009" s="665" t="str">
        <f>VLOOKUP(A1009,'[1]Raw data'!$B:$BA,23,FALSE)</f>
        <v>JPY</v>
      </c>
      <c r="Q1009" s="647" t="str">
        <f>VLOOKUP(A1009,'[1]Raw data'!$B:$Z,2,FALSE)</f>
        <v>C49SZX20210131SX</v>
      </c>
      <c r="R1009" s="647" t="str">
        <f>VLOOKUP(A1009,'[1]Raw data'!$B:$Z,3,FALSE)</f>
        <v>利速达</v>
      </c>
      <c r="S1009" s="647" t="str">
        <f>VLOOKUP(A1009,'[1]Raw data'!$B:$Z,4,FALSE)</f>
        <v>YSM10</v>
      </c>
      <c r="T1009" s="647" t="str">
        <f>VLOOKUP(A1009,'[1]Raw data'!$B:$Z,8,FALSE)</f>
        <v>L-&gt;R</v>
      </c>
      <c r="U1009" s="647" t="str">
        <f>VLOOKUP(A1009,'[1]Raw data'!$B:$Z,9,FALSE)</f>
        <v>MVC</v>
      </c>
      <c r="V1009" s="567" t="str">
        <f>IF(G1009&amp;H1009=T1009&amp;U1009,"OK","WRONG")</f>
        <v>WRONG</v>
      </c>
      <c r="W1009" s="563" t="str">
        <f>VLOOKUP(A1009,'[1]Raw data'!$B:$AG,32,FALSE)</f>
        <v>DAP SZ</v>
      </c>
      <c r="X1009" s="647">
        <f>VLOOKUP(A1009,'[1]Raw data'!$B:$BA,31,FALSE)</f>
        <v>44314</v>
      </c>
      <c r="Y1009" s="647" t="str">
        <f>VLOOKUP(A1009,'[1]Raw data'!$B:$AS,39,FALSE)</f>
        <v>Yes</v>
      </c>
      <c r="Z1009" s="666"/>
      <c r="AA1009" s="660"/>
      <c r="AB1009" s="668"/>
      <c r="AC1009" s="647" t="s">
        <v>720</v>
      </c>
      <c r="AD1009" s="662">
        <v>301</v>
      </c>
      <c r="AE1009" s="662">
        <v>10</v>
      </c>
      <c r="AF1009" s="662"/>
      <c r="AG1009" s="662"/>
      <c r="AH1009" s="662"/>
      <c r="AI1009" s="663"/>
      <c r="AN1009" s="542"/>
      <c r="AO1009" s="824" t="str">
        <f t="shared" si="182"/>
        <v>Yes</v>
      </c>
      <c r="AP1009" s="259" t="str">
        <f t="shared" si="183"/>
        <v>JAN 22</v>
      </c>
      <c r="AQ1009" s="542" t="str">
        <f t="shared" si="184"/>
        <v>有定金+有預留客戶</v>
      </c>
      <c r="AR1009" s="259" t="str">
        <f t="shared" si="185"/>
        <v>Shipped_Stock</v>
      </c>
      <c r="AS1009" s="259" t="str">
        <f t="shared" si="186"/>
        <v/>
      </c>
      <c r="AT1009" s="259" t="str">
        <f t="shared" si="187"/>
        <v>利速达</v>
      </c>
      <c r="AU1009" s="259" t="str">
        <f t="shared" si="188"/>
        <v>C49SZX20210131SX</v>
      </c>
      <c r="AV1009" s="259" t="str">
        <f t="shared" si="189"/>
        <v>Jan-01</v>
      </c>
    </row>
    <row r="1010" spans="1:48" hidden="1">
      <c r="A1010" s="559">
        <v>1376</v>
      </c>
      <c r="B1010" s="664" t="s">
        <v>1125</v>
      </c>
      <c r="C1010" s="664" t="s">
        <v>15</v>
      </c>
      <c r="D1010" s="645">
        <v>110664</v>
      </c>
      <c r="E1010" s="646" t="s">
        <v>1914</v>
      </c>
      <c r="F1010" s="647" t="s">
        <v>17</v>
      </c>
      <c r="G1010" s="647" t="s">
        <v>18</v>
      </c>
      <c r="H1010" s="647" t="s">
        <v>1919</v>
      </c>
      <c r="I1010" s="575" t="s">
        <v>1922</v>
      </c>
      <c r="J1010" s="575">
        <v>1</v>
      </c>
      <c r="K1010" s="647" t="s">
        <v>1732</v>
      </c>
      <c r="L1010" s="657">
        <v>44562</v>
      </c>
      <c r="M1010" s="665" t="s">
        <v>906</v>
      </c>
      <c r="N1010" s="647" t="s">
        <v>1895</v>
      </c>
      <c r="O1010" s="575"/>
      <c r="P1010" s="665" t="str">
        <f>VLOOKUP(A1010,'[1]Raw data'!$B:$BA,23,FALSE)</f>
        <v>JPY</v>
      </c>
      <c r="Q1010" s="647" t="str">
        <f>VLOOKUP(A1010,'[1]Raw data'!$B:$Z,2,FALSE)</f>
        <v>C49SZX20210150SX</v>
      </c>
      <c r="R1010" s="647" t="str">
        <f>VLOOKUP(A1010,'[1]Raw data'!$B:$Z,3,FALSE)</f>
        <v>莫思特</v>
      </c>
      <c r="S1010" s="647" t="str">
        <f>VLOOKUP(A1010,'[1]Raw data'!$B:$Z,4,FALSE)</f>
        <v>YSM10</v>
      </c>
      <c r="T1010" s="647" t="str">
        <f>VLOOKUP(A1010,'[1]Raw data'!$B:$Z,8,FALSE)</f>
        <v>L-&gt;R</v>
      </c>
      <c r="U1010" s="647" t="str">
        <f>VLOOKUP(A1010,'[1]Raw data'!$B:$Z,9,FALSE)</f>
        <v>No</v>
      </c>
      <c r="V1010" s="567" t="str">
        <f>IF(G1010&amp;H1010=T1010&amp;U1010,"OK","WRONG")</f>
        <v>WRONG</v>
      </c>
      <c r="W1010" s="563" t="str">
        <f>VLOOKUP(A1010,'[1]Raw data'!$B:$AG,32,FALSE)</f>
        <v>DAP HZ</v>
      </c>
      <c r="X1010" s="647">
        <f>VLOOKUP(A1010,'[1]Raw data'!$B:$BA,31,FALSE)</f>
        <v>44334</v>
      </c>
      <c r="Y1010" s="647" t="str">
        <f>VLOOKUP(A1010,'[1]Raw data'!$B:$AS,39,FALSE)</f>
        <v>Yes</v>
      </c>
      <c r="Z1010" s="666"/>
      <c r="AA1010" s="660"/>
      <c r="AB1010" s="668"/>
      <c r="AC1010" s="647" t="s">
        <v>1923</v>
      </c>
      <c r="AD1010" s="662">
        <v>302</v>
      </c>
      <c r="AE1010" s="662">
        <v>10</v>
      </c>
      <c r="AF1010" s="662"/>
      <c r="AG1010" s="662"/>
      <c r="AH1010" s="662"/>
      <c r="AI1010" s="663"/>
      <c r="AN1010" s="542"/>
      <c r="AO1010" s="824" t="str">
        <f t="shared" si="182"/>
        <v>Yes</v>
      </c>
      <c r="AP1010" s="259" t="str">
        <f t="shared" si="183"/>
        <v>JAN 22</v>
      </c>
      <c r="AQ1010" s="542" t="str">
        <f t="shared" si="184"/>
        <v>有定金+有預留客戶</v>
      </c>
      <c r="AR1010" s="259" t="str">
        <f t="shared" si="185"/>
        <v>Shipped_Stock</v>
      </c>
      <c r="AS1010" s="259" t="str">
        <f t="shared" si="186"/>
        <v/>
      </c>
      <c r="AT1010" s="259" t="str">
        <f t="shared" si="187"/>
        <v>莫思特</v>
      </c>
      <c r="AU1010" s="259" t="str">
        <f t="shared" si="188"/>
        <v>C49SZX20210150SX</v>
      </c>
      <c r="AV1010" s="259" t="str">
        <f t="shared" si="189"/>
        <v>Jan-01</v>
      </c>
    </row>
    <row r="1011" spans="1:48" hidden="1">
      <c r="A1011" s="559">
        <v>1411</v>
      </c>
      <c r="B1011" s="664" t="s">
        <v>1125</v>
      </c>
      <c r="C1011" s="664" t="s">
        <v>15</v>
      </c>
      <c r="D1011" s="645">
        <v>110664</v>
      </c>
      <c r="E1011" s="646" t="s">
        <v>1914</v>
      </c>
      <c r="F1011" s="647" t="s">
        <v>17</v>
      </c>
      <c r="G1011" s="647" t="s">
        <v>18</v>
      </c>
      <c r="H1011" s="647" t="s">
        <v>102</v>
      </c>
      <c r="I1011" s="575" t="s">
        <v>1924</v>
      </c>
      <c r="J1011" s="575">
        <v>1</v>
      </c>
      <c r="K1011" s="647" t="s">
        <v>1732</v>
      </c>
      <c r="L1011" s="657">
        <v>44562</v>
      </c>
      <c r="M1011" s="665" t="s">
        <v>906</v>
      </c>
      <c r="N1011" s="647" t="s">
        <v>1895</v>
      </c>
      <c r="O1011" s="575"/>
      <c r="P1011" s="665" t="str">
        <f>VLOOKUP(A1011,'[1]Raw data'!$B:$BA,23,FALSE)</f>
        <v>JPY</v>
      </c>
      <c r="Q1011" s="647" t="str">
        <f>VLOOKUP(A1011,'[1]Raw data'!$B:$Z,2,FALSE)</f>
        <v>C49SZX20210167MW</v>
      </c>
      <c r="R1011" s="647" t="str">
        <f>VLOOKUP(A1011,'[1]Raw data'!$B:$Z,3,FALSE)</f>
        <v>众华</v>
      </c>
      <c r="S1011" s="647" t="str">
        <f>VLOOKUP(A1011,'[1]Raw data'!$B:$Z,4,FALSE)</f>
        <v>YSM10</v>
      </c>
      <c r="T1011" s="647" t="str">
        <f>VLOOKUP(A1011,'[1]Raw data'!$B:$Z,8,FALSE)</f>
        <v>L-&gt;R</v>
      </c>
      <c r="U1011" s="647" t="str">
        <f>VLOOKUP(A1011,'[1]Raw data'!$B:$Z,9,FALSE)</f>
        <v>MVC</v>
      </c>
      <c r="V1011" s="567" t="str">
        <f>IF(G1011&amp;H1011=T1011&amp;U1011,"OK","WRONG")</f>
        <v>WRONG</v>
      </c>
      <c r="W1011" s="563" t="str">
        <f>VLOOKUP(A1011,'[1]Raw data'!$B:$AG,32,FALSE)</f>
        <v>DAP HN</v>
      </c>
      <c r="X1011" s="647">
        <f>VLOOKUP(A1011,'[1]Raw data'!$B:$BA,31,FALSE)</f>
        <v>44357</v>
      </c>
      <c r="Y1011" s="647" t="str">
        <f>VLOOKUP(A1011,'[1]Raw data'!$B:$AS,39,FALSE)</f>
        <v>Yes</v>
      </c>
      <c r="Z1011" s="666"/>
      <c r="AA1011" s="660"/>
      <c r="AB1011" s="668"/>
      <c r="AC1011" s="647" t="s">
        <v>1925</v>
      </c>
      <c r="AD1011" s="662">
        <v>302</v>
      </c>
      <c r="AE1011" s="662">
        <v>10</v>
      </c>
      <c r="AF1011" s="662"/>
      <c r="AG1011" s="662"/>
      <c r="AH1011" s="662"/>
      <c r="AI1011" s="663"/>
      <c r="AN1011" s="542"/>
      <c r="AO1011" s="824" t="str">
        <f t="shared" si="182"/>
        <v>Yes</v>
      </c>
      <c r="AP1011" s="259" t="str">
        <f t="shared" si="183"/>
        <v>JAN 22</v>
      </c>
      <c r="AQ1011" s="542" t="str">
        <f t="shared" si="184"/>
        <v>有定金+有預留客戶</v>
      </c>
      <c r="AR1011" s="259" t="str">
        <f t="shared" si="185"/>
        <v>Shipped_Stock</v>
      </c>
      <c r="AS1011" s="259" t="str">
        <f t="shared" si="186"/>
        <v/>
      </c>
      <c r="AT1011" s="259" t="str">
        <f t="shared" si="187"/>
        <v>众华</v>
      </c>
      <c r="AU1011" s="259" t="str">
        <f t="shared" si="188"/>
        <v>C49SZX20210167MW</v>
      </c>
      <c r="AV1011" s="259" t="str">
        <f t="shared" si="189"/>
        <v>Jan-01</v>
      </c>
    </row>
    <row r="1012" spans="1:48" hidden="1">
      <c r="A1012" s="559">
        <v>1416</v>
      </c>
      <c r="B1012" s="664" t="s">
        <v>1125</v>
      </c>
      <c r="C1012" s="664" t="s">
        <v>15</v>
      </c>
      <c r="D1012" s="645">
        <v>110664</v>
      </c>
      <c r="E1012" s="646" t="s">
        <v>1914</v>
      </c>
      <c r="F1012" s="647" t="s">
        <v>17</v>
      </c>
      <c r="G1012" s="647" t="s">
        <v>18</v>
      </c>
      <c r="H1012" s="647" t="s">
        <v>48</v>
      </c>
      <c r="I1012" s="575" t="s">
        <v>1926</v>
      </c>
      <c r="J1012" s="575">
        <v>1</v>
      </c>
      <c r="K1012" s="647" t="s">
        <v>1732</v>
      </c>
      <c r="L1012" s="657">
        <v>44562</v>
      </c>
      <c r="M1012" s="665" t="s">
        <v>906</v>
      </c>
      <c r="N1012" s="647" t="s">
        <v>1895</v>
      </c>
      <c r="O1012" s="575"/>
      <c r="P1012" s="665" t="str">
        <f>VLOOKUP(A1012,'[1]Raw data'!$B:$BA,23,FALSE)</f>
        <v>JPY</v>
      </c>
      <c r="Q1012" s="647" t="str">
        <f>VLOOKUP(A1012,'[1]Raw data'!$B:$Z,2,FALSE)</f>
        <v>C49SZX20210170DZ</v>
      </c>
      <c r="R1012" s="647" t="str">
        <f>VLOOKUP(A1012,'[1]Raw data'!$B:$Z,3,FALSE)</f>
        <v>鸿通宇</v>
      </c>
      <c r="S1012" s="647" t="str">
        <f>VLOOKUP(A1012,'[1]Raw data'!$B:$Z,4,FALSE)</f>
        <v>YSM10</v>
      </c>
      <c r="T1012" s="647" t="str">
        <f>VLOOKUP(A1012,'[1]Raw data'!$B:$Z,8,FALSE)</f>
        <v>L-&gt;R</v>
      </c>
      <c r="U1012" s="647" t="str">
        <f>VLOOKUP(A1012,'[1]Raw data'!$B:$Z,9,FALSE)</f>
        <v>MVC+ATS15</v>
      </c>
      <c r="V1012" s="567" t="str">
        <f>IF(G1012&amp;H1012=T1012&amp;U1012,"OK","WRONG")</f>
        <v>WRONG</v>
      </c>
      <c r="W1012" s="563" t="str">
        <f>VLOOKUP(A1012,'[1]Raw data'!$B:$AG,32,FALSE)</f>
        <v>DAP SZ</v>
      </c>
      <c r="X1012" s="647">
        <f>VLOOKUP(A1012,'[1]Raw data'!$B:$BA,31,FALSE)</f>
        <v>44358</v>
      </c>
      <c r="Y1012" s="647" t="str">
        <f>VLOOKUP(A1012,'[1]Raw data'!$B:$AS,39,FALSE)</f>
        <v>Yes</v>
      </c>
      <c r="Z1012" s="666"/>
      <c r="AA1012" s="667"/>
      <c r="AB1012" s="668"/>
      <c r="AC1012" s="647" t="s">
        <v>1927</v>
      </c>
      <c r="AD1012" s="662">
        <v>302</v>
      </c>
      <c r="AE1012" s="662">
        <v>10</v>
      </c>
      <c r="AF1012" s="662"/>
      <c r="AG1012" s="662"/>
      <c r="AH1012" s="662"/>
      <c r="AI1012" s="663"/>
      <c r="AN1012" s="542"/>
      <c r="AO1012" s="824" t="str">
        <f t="shared" si="182"/>
        <v>Yes</v>
      </c>
      <c r="AP1012" s="259" t="str">
        <f t="shared" si="183"/>
        <v>JAN 22</v>
      </c>
      <c r="AQ1012" s="542" t="str">
        <f t="shared" si="184"/>
        <v>有定金+有預留客戶</v>
      </c>
      <c r="AR1012" s="259" t="str">
        <f t="shared" si="185"/>
        <v>Shipped_Stock</v>
      </c>
      <c r="AS1012" s="259" t="str">
        <f t="shared" si="186"/>
        <v/>
      </c>
      <c r="AT1012" s="259" t="str">
        <f t="shared" si="187"/>
        <v>鸿通宇</v>
      </c>
      <c r="AU1012" s="259" t="str">
        <f t="shared" si="188"/>
        <v>C49SZX20210170DZ</v>
      </c>
      <c r="AV1012" s="259" t="str">
        <f t="shared" si="189"/>
        <v>Jan-01</v>
      </c>
    </row>
    <row r="1013" spans="1:48" hidden="1">
      <c r="A1013" s="559">
        <v>1417</v>
      </c>
      <c r="B1013" s="664" t="s">
        <v>1125</v>
      </c>
      <c r="C1013" s="664" t="s">
        <v>281</v>
      </c>
      <c r="D1013" s="645">
        <v>110664</v>
      </c>
      <c r="E1013" s="646" t="s">
        <v>1914</v>
      </c>
      <c r="F1013" s="647" t="s">
        <v>17</v>
      </c>
      <c r="G1013" s="647" t="s">
        <v>18</v>
      </c>
      <c r="H1013" s="647" t="s">
        <v>1833</v>
      </c>
      <c r="I1013" s="575" t="s">
        <v>1928</v>
      </c>
      <c r="J1013" s="575">
        <v>1</v>
      </c>
      <c r="K1013" s="647" t="s">
        <v>1732</v>
      </c>
      <c r="L1013" s="657">
        <v>44562</v>
      </c>
      <c r="M1013" s="665" t="s">
        <v>906</v>
      </c>
      <c r="N1013" s="647" t="s">
        <v>1895</v>
      </c>
      <c r="O1013" s="575"/>
      <c r="P1013" s="665" t="str">
        <f>VLOOKUP(A1013,'[1]Raw data'!$B:$BA,23,FALSE)</f>
        <v>JPY</v>
      </c>
      <c r="Q1013" s="647" t="str">
        <f>VLOOKUP(A1013,'[1]Raw data'!$B:$Z,2,FALSE)</f>
        <v>C49SZX20210170DZ</v>
      </c>
      <c r="R1013" s="647" t="str">
        <f>VLOOKUP(A1013,'[1]Raw data'!$B:$Z,3,FALSE)</f>
        <v>鸿通宇</v>
      </c>
      <c r="S1013" s="647" t="str">
        <f>VLOOKUP(A1013,'[1]Raw data'!$B:$Z,4,FALSE)</f>
        <v>YSM10</v>
      </c>
      <c r="T1013" s="647" t="str">
        <f>VLOOKUP(A1013,'[1]Raw data'!$B:$Z,8,FALSE)</f>
        <v>L-&gt;R</v>
      </c>
      <c r="U1013" s="647" t="str">
        <f>VLOOKUP(A1013,'[1]Raw data'!$B:$Z,9,FALSE)</f>
        <v>MVC+ATS15</v>
      </c>
      <c r="V1013" s="567" t="str">
        <f t="shared" ref="V1013" si="198">IF(G1013&amp;H1013=T1013&amp;U1013,"OK","WRONG")</f>
        <v>WRONG</v>
      </c>
      <c r="W1013" s="563" t="str">
        <f>VLOOKUP(A1013,'[1]Raw data'!$B:$AG,32,FALSE)</f>
        <v>DAP SZ</v>
      </c>
      <c r="X1013" s="647">
        <f>VLOOKUP(A1013,'[1]Raw data'!$B:$BA,31,FALSE)</f>
        <v>44358</v>
      </c>
      <c r="Y1013" s="647" t="str">
        <f>VLOOKUP(A1013,'[1]Raw data'!$B:$AS,39,FALSE)</f>
        <v>Yes</v>
      </c>
      <c r="Z1013" s="666"/>
      <c r="AA1013" s="667"/>
      <c r="AB1013" s="668"/>
      <c r="AC1013" s="647" t="s">
        <v>1927</v>
      </c>
      <c r="AD1013" s="662">
        <v>301</v>
      </c>
      <c r="AE1013" s="662">
        <v>10</v>
      </c>
      <c r="AF1013" s="662"/>
      <c r="AG1013" s="662"/>
      <c r="AH1013" s="662"/>
      <c r="AI1013" s="663"/>
      <c r="AN1013" s="542"/>
      <c r="AO1013" s="824" t="str">
        <f t="shared" si="182"/>
        <v>Yes</v>
      </c>
      <c r="AP1013" s="259" t="str">
        <f t="shared" si="183"/>
        <v>JAN 22</v>
      </c>
      <c r="AQ1013" s="542" t="str">
        <f t="shared" si="184"/>
        <v>有定金+有預留客戶</v>
      </c>
      <c r="AR1013" s="259" t="str">
        <f t="shared" si="185"/>
        <v>Shipped_Stock</v>
      </c>
      <c r="AS1013" s="259" t="str">
        <f t="shared" si="186"/>
        <v/>
      </c>
      <c r="AT1013" s="259" t="str">
        <f t="shared" si="187"/>
        <v>鸿通宇</v>
      </c>
      <c r="AU1013" s="259" t="str">
        <f t="shared" si="188"/>
        <v>C49SZX20210170DZ</v>
      </c>
      <c r="AV1013" s="259" t="str">
        <f t="shared" si="189"/>
        <v>Jan-01</v>
      </c>
    </row>
    <row r="1014" spans="1:48" hidden="1">
      <c r="A1014" s="599">
        <v>1488</v>
      </c>
      <c r="B1014" s="664" t="s">
        <v>1125</v>
      </c>
      <c r="C1014" s="664" t="s">
        <v>15</v>
      </c>
      <c r="D1014" s="645">
        <v>110670</v>
      </c>
      <c r="E1014" s="563" t="s">
        <v>1914</v>
      </c>
      <c r="F1014" s="647" t="s">
        <v>58</v>
      </c>
      <c r="G1014" s="647" t="s">
        <v>18</v>
      </c>
      <c r="H1014" s="647" t="s">
        <v>26</v>
      </c>
      <c r="I1014" s="752" t="s">
        <v>1929</v>
      </c>
      <c r="J1014" s="575">
        <v>1</v>
      </c>
      <c r="K1014" s="647" t="s">
        <v>1419</v>
      </c>
      <c r="L1014" s="657">
        <v>44562</v>
      </c>
      <c r="M1014" s="665" t="s">
        <v>906</v>
      </c>
      <c r="N1014" s="647" t="s">
        <v>1930</v>
      </c>
      <c r="O1014" s="575">
        <v>2021.12</v>
      </c>
      <c r="P1014" s="665" t="str">
        <f>VLOOKUP(A1014,'[1]Raw data'!$B:$BA,23,FALSE)</f>
        <v>JPY</v>
      </c>
      <c r="Q1014" s="647" t="str">
        <f>VLOOKUP(A1014,'[1]Raw data'!$B:$Z,2,FALSE)</f>
        <v>C49SZX20210200JY</v>
      </c>
      <c r="R1014" s="647" t="str">
        <f>VLOOKUP(A1014,'[1]Raw data'!$B:$Z,3,FALSE)</f>
        <v>英拓邦（End user:深圳傲尔）</v>
      </c>
      <c r="S1014" s="647" t="str">
        <f>VLOOKUP(A1014,'[1]Raw data'!$B:$Z,4,FALSE)</f>
        <v>YSM20R-2</v>
      </c>
      <c r="T1014" s="647" t="str">
        <f>VLOOKUP(A1014,'[1]Raw data'!$B:$Z,8,FALSE)</f>
        <v>R-&gt;L</v>
      </c>
      <c r="U1014" s="647" t="str">
        <f>VLOOKUP(A1014,'[1]Raw data'!$B:$Z,9,FALSE)</f>
        <v>No</v>
      </c>
      <c r="V1014" s="567" t="str">
        <f t="shared" ref="V1014:V1019" si="199">IF(G1014&amp;H1014=T1014&amp;U1014,"OK","WRONG")</f>
        <v>OK</v>
      </c>
      <c r="W1014" s="563" t="str">
        <f>VLOOKUP(A1014,'[1]Raw data'!$B:$AG,32,FALSE)</f>
        <v>CIF HK</v>
      </c>
      <c r="X1014" s="647">
        <f>VLOOKUP(A1014,'[1]Raw data'!$B:$BA,31,FALSE)</f>
        <v>44496</v>
      </c>
      <c r="Y1014" s="647" t="str">
        <f>VLOOKUP(A1014,'[1]Raw data'!$B:$AS,39,FALSE)</f>
        <v>Yes</v>
      </c>
      <c r="Z1014" s="575"/>
      <c r="AA1014" s="662"/>
      <c r="AB1014" s="662"/>
      <c r="AC1014" s="575" t="s">
        <v>1931</v>
      </c>
      <c r="AD1014" s="575">
        <v>301</v>
      </c>
      <c r="AE1014" s="575">
        <v>10</v>
      </c>
      <c r="AF1014" s="575">
        <v>311</v>
      </c>
      <c r="AG1014" s="575">
        <v>10</v>
      </c>
      <c r="AH1014" s="575"/>
      <c r="AI1014" s="679"/>
      <c r="AJ1014" s="564"/>
      <c r="AK1014" s="564"/>
      <c r="AL1014" s="564"/>
      <c r="AM1014" s="564"/>
      <c r="AN1014" s="614"/>
      <c r="AO1014" s="824" t="str">
        <f t="shared" si="182"/>
        <v>Yes</v>
      </c>
      <c r="AP1014" s="259" t="str">
        <f t="shared" si="183"/>
        <v>APR 22</v>
      </c>
      <c r="AQ1014" s="542" t="str">
        <f t="shared" si="184"/>
        <v>有定金+有預留客戶</v>
      </c>
      <c r="AR1014" s="259" t="str">
        <f t="shared" si="185"/>
        <v>Shipped_Stock</v>
      </c>
      <c r="AS1014" s="259" t="str">
        <f t="shared" si="186"/>
        <v/>
      </c>
      <c r="AT1014" s="259" t="str">
        <f t="shared" si="187"/>
        <v>英拓邦（End user:深圳傲尔）</v>
      </c>
      <c r="AU1014" s="259" t="str">
        <f t="shared" si="188"/>
        <v>C49SZX20210200JY</v>
      </c>
      <c r="AV1014" s="259" t="str">
        <f t="shared" si="189"/>
        <v>Jan-01</v>
      </c>
    </row>
    <row r="1015" spans="1:48" hidden="1">
      <c r="A1015" s="559">
        <v>1293</v>
      </c>
      <c r="B1015" s="664" t="s">
        <v>1125</v>
      </c>
      <c r="C1015" s="664" t="s">
        <v>15</v>
      </c>
      <c r="D1015" s="645">
        <v>110670</v>
      </c>
      <c r="E1015" s="563" t="s">
        <v>1914</v>
      </c>
      <c r="F1015" s="647" t="s">
        <v>58</v>
      </c>
      <c r="G1015" s="647" t="s">
        <v>18</v>
      </c>
      <c r="H1015" s="647" t="s">
        <v>26</v>
      </c>
      <c r="I1015" s="752" t="s">
        <v>1932</v>
      </c>
      <c r="J1015" s="575">
        <v>1</v>
      </c>
      <c r="K1015" s="647" t="s">
        <v>1732</v>
      </c>
      <c r="L1015" s="657">
        <v>44562</v>
      </c>
      <c r="M1015" s="665" t="s">
        <v>906</v>
      </c>
      <c r="N1015" s="647" t="s">
        <v>1895</v>
      </c>
      <c r="O1015" s="575"/>
      <c r="P1015" s="665" t="str">
        <f>VLOOKUP(A1015,'[1]Raw data'!$B:$BA,23,FALSE)</f>
        <v>JPY</v>
      </c>
      <c r="Q1015" s="647" t="str">
        <f>VLOOKUP(A1015,'[1]Raw data'!$B:$Z,2,FALSE)</f>
        <v>C49SZX20210091SS</v>
      </c>
      <c r="R1015" s="647" t="str">
        <f>VLOOKUP(A1015,'[1]Raw data'!$B:$Z,3,FALSE)</f>
        <v>乘扬</v>
      </c>
      <c r="S1015" s="647" t="str">
        <f>VLOOKUP(A1015,'[1]Raw data'!$B:$Z,4,FALSE)</f>
        <v>YSM20R-2</v>
      </c>
      <c r="T1015" s="647" t="str">
        <f>VLOOKUP(A1015,'[1]Raw data'!$B:$Z,8,FALSE)</f>
        <v>R-&gt;L</v>
      </c>
      <c r="U1015" s="647" t="str">
        <f>VLOOKUP(A1015,'[1]Raw data'!$B:$Z,9,FALSE)</f>
        <v>No</v>
      </c>
      <c r="V1015" s="567" t="str">
        <f t="shared" si="199"/>
        <v>OK</v>
      </c>
      <c r="W1015" s="563" t="str">
        <f>VLOOKUP(A1015,'[1]Raw data'!$B:$AG,32,FALSE)</f>
        <v>CIF HK</v>
      </c>
      <c r="X1015" s="647">
        <f>VLOOKUP(A1015,'[1]Raw data'!$B:$BA,31,FALSE)</f>
        <v>44285</v>
      </c>
      <c r="Y1015" s="647" t="str">
        <f>VLOOKUP(A1015,'[1]Raw data'!$B:$AS,39,FALSE)</f>
        <v>Yes</v>
      </c>
      <c r="Z1015" s="575"/>
      <c r="AA1015" s="662"/>
      <c r="AB1015" s="575"/>
      <c r="AC1015" s="575" t="s">
        <v>1933</v>
      </c>
      <c r="AD1015" s="662">
        <v>301</v>
      </c>
      <c r="AE1015" s="662">
        <v>10</v>
      </c>
      <c r="AF1015" s="662">
        <v>311</v>
      </c>
      <c r="AG1015" s="662">
        <v>10</v>
      </c>
      <c r="AH1015" s="662"/>
      <c r="AI1015" s="663"/>
      <c r="AN1015" s="542"/>
      <c r="AO1015" s="824" t="str">
        <f t="shared" si="182"/>
        <v>Yes</v>
      </c>
      <c r="AP1015" s="259" t="str">
        <f t="shared" si="183"/>
        <v>JAN 22</v>
      </c>
      <c r="AQ1015" s="542" t="str">
        <f t="shared" si="184"/>
        <v>有定金+有預留客戶</v>
      </c>
      <c r="AR1015" s="259" t="str">
        <f t="shared" si="185"/>
        <v>Shipped_Stock</v>
      </c>
      <c r="AS1015" s="259" t="str">
        <f t="shared" si="186"/>
        <v/>
      </c>
      <c r="AT1015" s="259" t="str">
        <f t="shared" si="187"/>
        <v>乘扬</v>
      </c>
      <c r="AU1015" s="259" t="str">
        <f t="shared" si="188"/>
        <v>C49SZX20210091SS</v>
      </c>
      <c r="AV1015" s="259" t="str">
        <f t="shared" si="189"/>
        <v>Jan-01</v>
      </c>
    </row>
    <row r="1016" spans="1:48" ht="16.5" hidden="1">
      <c r="A1016" s="599">
        <v>1439</v>
      </c>
      <c r="B1016" s="664" t="s">
        <v>1125</v>
      </c>
      <c r="C1016" s="664" t="s">
        <v>15</v>
      </c>
      <c r="D1016" s="755">
        <v>110708</v>
      </c>
      <c r="E1016" s="756" t="s">
        <v>1934</v>
      </c>
      <c r="F1016" s="647" t="s">
        <v>58</v>
      </c>
      <c r="G1016" s="647" t="s">
        <v>24</v>
      </c>
      <c r="H1016" s="647" t="s">
        <v>26</v>
      </c>
      <c r="I1016" s="575" t="s">
        <v>1935</v>
      </c>
      <c r="J1016" s="575">
        <v>1</v>
      </c>
      <c r="K1016" s="757" t="s">
        <v>1936</v>
      </c>
      <c r="L1016" s="657">
        <v>44573</v>
      </c>
      <c r="M1016" s="665" t="s">
        <v>906</v>
      </c>
      <c r="N1016" s="647" t="s">
        <v>1930</v>
      </c>
      <c r="O1016" s="575"/>
      <c r="P1016" s="665" t="str">
        <f>VLOOKUP(A1016,'[1]Raw data'!$B:$BA,23,FALSE)</f>
        <v>JPY</v>
      </c>
      <c r="Q1016" s="647" t="str">
        <f>VLOOKUP(A1016,'[1]Raw data'!$B:$Z,2,FALSE)</f>
        <v>C49SZX20210130R1JY</v>
      </c>
      <c r="R1016" s="647" t="str">
        <f>VLOOKUP(A1016,'[1]Raw data'!$B:$Z,3,FALSE)</f>
        <v>海松微</v>
      </c>
      <c r="S1016" s="647" t="str">
        <f>VLOOKUP(A1016,'[1]Raw data'!$B:$Z,4,FALSE)</f>
        <v>YSM20R-2</v>
      </c>
      <c r="T1016" s="647" t="str">
        <f>VLOOKUP(A1016,'[1]Raw data'!$B:$Z,8,FALSE)</f>
        <v>L-&gt;R</v>
      </c>
      <c r="U1016" s="647" t="str">
        <f>VLOOKUP(A1016,'[1]Raw data'!$B:$Z,9,FALSE)</f>
        <v>No</v>
      </c>
      <c r="V1016" s="567" t="str">
        <f t="shared" si="199"/>
        <v>OK</v>
      </c>
      <c r="W1016" s="563" t="str">
        <f>VLOOKUP(A1016,'[1]Raw data'!$B:$AG,32,FALSE)</f>
        <v>DAP SZ</v>
      </c>
      <c r="X1016" s="647">
        <f>VLOOKUP(A1016,'[1]Raw data'!$B:$BA,31,FALSE)</f>
        <v>44372</v>
      </c>
      <c r="Y1016" s="647" t="str">
        <f>VLOOKUP(A1016,'[1]Raw data'!$B:$AS,39,FALSE)</f>
        <v>Yes</v>
      </c>
      <c r="Z1016" s="666"/>
      <c r="AA1016" s="710"/>
      <c r="AB1016" s="662"/>
      <c r="AC1016" s="575" t="s">
        <v>1927</v>
      </c>
      <c r="AD1016" s="575">
        <v>313</v>
      </c>
      <c r="AE1016" s="575">
        <v>10</v>
      </c>
      <c r="AF1016" s="575">
        <v>301</v>
      </c>
      <c r="AG1016" s="679">
        <v>10</v>
      </c>
      <c r="AH1016" s="564"/>
      <c r="AI1016" s="564"/>
      <c r="AJ1016" s="564"/>
      <c r="AK1016" s="564"/>
      <c r="AL1016" s="614"/>
      <c r="AM1016" s="614"/>
      <c r="AN1016" s="614"/>
      <c r="AO1016" s="824" t="str">
        <f t="shared" si="182"/>
        <v>Yes</v>
      </c>
      <c r="AP1016" s="259" t="str">
        <f t="shared" si="183"/>
        <v>APR 22</v>
      </c>
      <c r="AQ1016" s="542" t="str">
        <f t="shared" si="184"/>
        <v>有定金+有預留客戶</v>
      </c>
      <c r="AR1016" s="259" t="str">
        <f t="shared" si="185"/>
        <v>Shipped_Stock</v>
      </c>
      <c r="AS1016" s="259" t="str">
        <f t="shared" si="186"/>
        <v/>
      </c>
      <c r="AT1016" s="259" t="str">
        <f t="shared" si="187"/>
        <v>海松微</v>
      </c>
      <c r="AU1016" s="259" t="str">
        <f t="shared" si="188"/>
        <v>C49SZX20210130R1JY</v>
      </c>
      <c r="AV1016" s="259" t="str">
        <f t="shared" si="189"/>
        <v>Jan-12</v>
      </c>
    </row>
    <row r="1017" spans="1:48" hidden="1">
      <c r="A1017" s="559">
        <v>1442</v>
      </c>
      <c r="B1017" s="664" t="s">
        <v>1125</v>
      </c>
      <c r="C1017" s="664" t="s">
        <v>15</v>
      </c>
      <c r="D1017" s="645">
        <v>110708</v>
      </c>
      <c r="E1017" s="646" t="s">
        <v>1934</v>
      </c>
      <c r="F1017" s="647" t="s">
        <v>58</v>
      </c>
      <c r="G1017" s="647" t="s">
        <v>24</v>
      </c>
      <c r="H1017" s="647" t="s">
        <v>102</v>
      </c>
      <c r="I1017" s="575" t="s">
        <v>1937</v>
      </c>
      <c r="J1017" s="575">
        <v>1</v>
      </c>
      <c r="K1017" s="647" t="s">
        <v>1732</v>
      </c>
      <c r="L1017" s="657">
        <v>44573</v>
      </c>
      <c r="M1017" s="665" t="s">
        <v>906</v>
      </c>
      <c r="N1017" s="647" t="s">
        <v>1895</v>
      </c>
      <c r="O1017" s="575"/>
      <c r="P1017" s="665" t="str">
        <f>VLOOKUP(A1017,'[1]Raw data'!$B:$BA,23,FALSE)</f>
        <v>JPY</v>
      </c>
      <c r="Q1017" s="647" t="str">
        <f>VLOOKUP(A1017,'[1]Raw data'!$B:$Z,2,FALSE)</f>
        <v>C49SZX20210176R1JY</v>
      </c>
      <c r="R1017" s="647" t="str">
        <f>VLOOKUP(A1017,'[1]Raw data'!$B:$Z,3,FALSE)</f>
        <v>建航</v>
      </c>
      <c r="S1017" s="647" t="str">
        <f>VLOOKUP(A1017,'[1]Raw data'!$B:$Z,4,FALSE)</f>
        <v>YSM20R-2</v>
      </c>
      <c r="T1017" s="647" t="str">
        <f>VLOOKUP(A1017,'[1]Raw data'!$B:$Z,8,FALSE)</f>
        <v>L-&gt;R</v>
      </c>
      <c r="U1017" s="647" t="str">
        <f>VLOOKUP(A1017,'[1]Raw data'!$B:$Z,9,FALSE)</f>
        <v>MVC</v>
      </c>
      <c r="V1017" s="709" t="str">
        <f t="shared" si="199"/>
        <v>WRONG</v>
      </c>
      <c r="W1017" s="563" t="str">
        <f>VLOOKUP(A1017,'[1]Raw data'!$B:$AG,32,FALSE)</f>
        <v>DAP SZ</v>
      </c>
      <c r="X1017" s="710">
        <f>VLOOKUP(A1017,'[1]Raw data'!$B:$BA,31,FALSE)</f>
        <v>44372</v>
      </c>
      <c r="Y1017" s="710" t="str">
        <f>VLOOKUP(A1017,'[1]Raw data'!$B:$AS,39,FALSE)</f>
        <v>Yes</v>
      </c>
      <c r="Z1017" s="659"/>
      <c r="AA1017" s="660"/>
      <c r="AB1017" s="661"/>
      <c r="AC1017" s="563" t="s">
        <v>321</v>
      </c>
      <c r="AD1017" s="662">
        <v>313</v>
      </c>
      <c r="AE1017" s="662">
        <v>10</v>
      </c>
      <c r="AF1017" s="662">
        <v>301</v>
      </c>
      <c r="AG1017" s="662">
        <v>10</v>
      </c>
      <c r="AH1017" s="662"/>
      <c r="AI1017" s="663"/>
      <c r="AN1017" s="542"/>
      <c r="AO1017" s="824" t="str">
        <f t="shared" si="182"/>
        <v>Yes</v>
      </c>
      <c r="AP1017" s="259" t="str">
        <f t="shared" si="183"/>
        <v>JAN 22</v>
      </c>
      <c r="AQ1017" s="542" t="str">
        <f t="shared" si="184"/>
        <v>有定金+有預留客戶</v>
      </c>
      <c r="AR1017" s="259" t="str">
        <f t="shared" si="185"/>
        <v>Shipped_Stock</v>
      </c>
      <c r="AS1017" s="259" t="str">
        <f t="shared" si="186"/>
        <v/>
      </c>
      <c r="AT1017" s="259" t="str">
        <f t="shared" si="187"/>
        <v>建航</v>
      </c>
      <c r="AU1017" s="259" t="str">
        <f t="shared" si="188"/>
        <v>C49SZX20210176R1JY</v>
      </c>
      <c r="AV1017" s="259" t="str">
        <f t="shared" si="189"/>
        <v>Jan-12</v>
      </c>
    </row>
    <row r="1018" spans="1:48" hidden="1">
      <c r="A1018" s="559">
        <v>1414</v>
      </c>
      <c r="B1018" s="664" t="s">
        <v>1125</v>
      </c>
      <c r="C1018" s="664" t="s">
        <v>15</v>
      </c>
      <c r="D1018" s="645">
        <v>110708</v>
      </c>
      <c r="E1018" s="646" t="s">
        <v>1934</v>
      </c>
      <c r="F1018" s="647" t="s">
        <v>58</v>
      </c>
      <c r="G1018" s="647" t="s">
        <v>24</v>
      </c>
      <c r="H1018" s="647" t="s">
        <v>26</v>
      </c>
      <c r="I1018" s="575" t="s">
        <v>1938</v>
      </c>
      <c r="J1018" s="575">
        <v>1</v>
      </c>
      <c r="K1018" s="647" t="s">
        <v>1732</v>
      </c>
      <c r="L1018" s="657">
        <v>44573</v>
      </c>
      <c r="M1018" s="665" t="s">
        <v>906</v>
      </c>
      <c r="N1018" s="647" t="s">
        <v>1895</v>
      </c>
      <c r="O1018" s="575"/>
      <c r="P1018" s="665" t="str">
        <f>VLOOKUP(A1018,'[1]Raw data'!$B:$BA,23,FALSE)</f>
        <v>JPY</v>
      </c>
      <c r="Q1018" s="647" t="str">
        <f>VLOOKUP(A1018,'[1]Raw data'!$B:$Z,2,FALSE)</f>
        <v>C49SZX20210170DZ</v>
      </c>
      <c r="R1018" s="647" t="str">
        <f>VLOOKUP(A1018,'[1]Raw data'!$B:$Z,3,FALSE)</f>
        <v>鸿通宇</v>
      </c>
      <c r="S1018" s="647" t="str">
        <f>VLOOKUP(A1018,'[1]Raw data'!$B:$Z,4,FALSE)</f>
        <v>YSM20R-2</v>
      </c>
      <c r="T1018" s="647" t="str">
        <f>VLOOKUP(A1018,'[1]Raw data'!$B:$Z,8,FALSE)</f>
        <v>L-&gt;R</v>
      </c>
      <c r="U1018" s="647" t="str">
        <f>VLOOKUP(A1018,'[1]Raw data'!$B:$Z,9,FALSE)</f>
        <v>No</v>
      </c>
      <c r="V1018" s="567" t="str">
        <f t="shared" si="199"/>
        <v>OK</v>
      </c>
      <c r="W1018" s="563" t="str">
        <f>VLOOKUP(A1018,'[1]Raw data'!$B:$AG,32,FALSE)</f>
        <v>DAP SZ</v>
      </c>
      <c r="X1018" s="647">
        <f>VLOOKUP(A1018,'[1]Raw data'!$B:$BA,31,FALSE)</f>
        <v>44358</v>
      </c>
      <c r="Y1018" s="647" t="str">
        <f>VLOOKUP(A1018,'[1]Raw data'!$B:$AS,39,FALSE)</f>
        <v>Yes</v>
      </c>
      <c r="Z1018" s="666"/>
      <c r="AA1018" s="667"/>
      <c r="AB1018" s="668"/>
      <c r="AC1018" s="647" t="s">
        <v>1927</v>
      </c>
      <c r="AD1018" s="662">
        <v>313</v>
      </c>
      <c r="AE1018" s="662">
        <v>10</v>
      </c>
      <c r="AF1018" s="662">
        <v>301</v>
      </c>
      <c r="AG1018" s="662">
        <v>10</v>
      </c>
      <c r="AH1018" s="662"/>
      <c r="AI1018" s="663"/>
      <c r="AN1018" s="542"/>
      <c r="AO1018" s="824" t="str">
        <f t="shared" si="182"/>
        <v>Yes</v>
      </c>
      <c r="AP1018" s="259" t="str">
        <f t="shared" si="183"/>
        <v>JAN 22</v>
      </c>
      <c r="AQ1018" s="542" t="str">
        <f t="shared" si="184"/>
        <v>有定金+有預留客戶</v>
      </c>
      <c r="AR1018" s="259" t="str">
        <f t="shared" si="185"/>
        <v>Shipped_Stock</v>
      </c>
      <c r="AS1018" s="259" t="str">
        <f t="shared" si="186"/>
        <v/>
      </c>
      <c r="AT1018" s="259" t="str">
        <f t="shared" si="187"/>
        <v>鸿通宇</v>
      </c>
      <c r="AU1018" s="259" t="str">
        <f t="shared" si="188"/>
        <v>C49SZX20210170DZ</v>
      </c>
      <c r="AV1018" s="259" t="str">
        <f t="shared" si="189"/>
        <v>Jan-12</v>
      </c>
    </row>
    <row r="1019" spans="1:48" hidden="1">
      <c r="A1019" s="559">
        <v>1475</v>
      </c>
      <c r="B1019" s="664" t="s">
        <v>1125</v>
      </c>
      <c r="C1019" s="664" t="s">
        <v>281</v>
      </c>
      <c r="D1019" s="645">
        <v>110708</v>
      </c>
      <c r="E1019" s="646" t="s">
        <v>1934</v>
      </c>
      <c r="F1019" s="647" t="s">
        <v>58</v>
      </c>
      <c r="G1019" s="647" t="s">
        <v>24</v>
      </c>
      <c r="H1019" s="647" t="s">
        <v>26</v>
      </c>
      <c r="I1019" s="575" t="s">
        <v>1939</v>
      </c>
      <c r="J1019" s="575">
        <v>1</v>
      </c>
      <c r="K1019" s="647" t="s">
        <v>1732</v>
      </c>
      <c r="L1019" s="657">
        <v>44573</v>
      </c>
      <c r="M1019" s="665" t="s">
        <v>906</v>
      </c>
      <c r="N1019" s="647" t="s">
        <v>1895</v>
      </c>
      <c r="O1019" s="575"/>
      <c r="P1019" s="665" t="str">
        <f>VLOOKUP(A1019,'[1]Raw data'!$B:$BA,23,FALSE)</f>
        <v>JPY</v>
      </c>
      <c r="Q1019" s="647" t="str">
        <f>VLOOKUP(A1019,'[1]Raw data'!$B:$Z,2,FALSE)</f>
        <v>C49SZX20210191DY</v>
      </c>
      <c r="R1019" s="647" t="str">
        <f>VLOOKUP(A1019,'[1]Raw data'!$B:$Z,3,FALSE)</f>
        <v>穗晖</v>
      </c>
      <c r="S1019" s="647" t="str">
        <f>VLOOKUP(A1019,'[1]Raw data'!$B:$Z,4,FALSE)</f>
        <v>YSM20R-2</v>
      </c>
      <c r="T1019" s="647" t="str">
        <f>VLOOKUP(A1019,'[1]Raw data'!$B:$Z,8,FALSE)</f>
        <v>L-&gt;R</v>
      </c>
      <c r="U1019" s="647" t="str">
        <f>VLOOKUP(A1019,'[1]Raw data'!$B:$Z,9,FALSE)</f>
        <v>No</v>
      </c>
      <c r="V1019" s="567" t="str">
        <f t="shared" si="199"/>
        <v>OK</v>
      </c>
      <c r="W1019" s="563" t="str">
        <f>VLOOKUP(A1019,'[1]Raw data'!$B:$AG,32,FALSE)</f>
        <v>CIF HK</v>
      </c>
      <c r="X1019" s="647">
        <f>VLOOKUP(A1019,'[1]Raw data'!$B:$BA,31,FALSE)</f>
        <v>44452</v>
      </c>
      <c r="Y1019" s="647" t="str">
        <f>VLOOKUP(A1019,'[1]Raw data'!$B:$AS,39,FALSE)</f>
        <v>Yes</v>
      </c>
      <c r="Z1019" s="666"/>
      <c r="AA1019" s="660"/>
      <c r="AB1019" s="668"/>
      <c r="AC1019" s="647" t="s">
        <v>1940</v>
      </c>
      <c r="AD1019" s="662">
        <v>303</v>
      </c>
      <c r="AE1019" s="662">
        <v>20</v>
      </c>
      <c r="AF1019" s="662"/>
      <c r="AG1019" s="662"/>
      <c r="AH1019" s="662"/>
      <c r="AI1019" s="663"/>
      <c r="AN1019" s="542"/>
      <c r="AO1019" s="824" t="str">
        <f t="shared" si="182"/>
        <v>Yes</v>
      </c>
      <c r="AP1019" s="259" t="str">
        <f t="shared" si="183"/>
        <v>JAN 22</v>
      </c>
      <c r="AQ1019" s="542" t="str">
        <f t="shared" si="184"/>
        <v>有定金+有預留客戶</v>
      </c>
      <c r="AR1019" s="259" t="str">
        <f t="shared" si="185"/>
        <v>Shipped_Stock</v>
      </c>
      <c r="AS1019" s="259" t="str">
        <f t="shared" si="186"/>
        <v/>
      </c>
      <c r="AT1019" s="259" t="str">
        <f t="shared" si="187"/>
        <v>穗晖</v>
      </c>
      <c r="AU1019" s="259" t="str">
        <f t="shared" si="188"/>
        <v>C49SZX20210191DY</v>
      </c>
      <c r="AV1019" s="259" t="str">
        <f t="shared" si="189"/>
        <v>Jan-12</v>
      </c>
    </row>
    <row r="1020" spans="1:48" ht="16.5" hidden="1">
      <c r="A1020" s="599">
        <v>1707</v>
      </c>
      <c r="B1020" s="664" t="s">
        <v>1125</v>
      </c>
      <c r="C1020" s="664" t="s">
        <v>15</v>
      </c>
      <c r="D1020" s="644" t="s">
        <v>1941</v>
      </c>
      <c r="E1020" s="758" t="s">
        <v>1942</v>
      </c>
      <c r="F1020" s="563" t="s">
        <v>149</v>
      </c>
      <c r="G1020" s="647" t="s">
        <v>24</v>
      </c>
      <c r="H1020" s="647" t="s">
        <v>26</v>
      </c>
      <c r="I1020" s="575" t="s">
        <v>1943</v>
      </c>
      <c r="J1020" s="575">
        <v>1</v>
      </c>
      <c r="K1020" s="647" t="s">
        <v>1419</v>
      </c>
      <c r="L1020" s="759" t="s">
        <v>3962</v>
      </c>
      <c r="M1020" s="665" t="s">
        <v>1807</v>
      </c>
      <c r="N1020" s="647" t="s">
        <v>221</v>
      </c>
      <c r="O1020" s="575">
        <v>2021.6</v>
      </c>
      <c r="P1020" s="665" t="str">
        <f>VLOOKUP(A1020,'[1]Raw data'!$B:$BA,23,FALSE)</f>
        <v>RMB</v>
      </c>
      <c r="Q1020" s="647" t="str">
        <f>VLOOKUP(A1020,'[1]Raw data'!$B:$Z,2,FALSE)</f>
        <v>C49SZX20220083DZ</v>
      </c>
      <c r="R1020" s="647" t="str">
        <f>VLOOKUP(A1020,'[1]Raw data'!$B:$Z,3,FALSE)</f>
        <v>惠州耕创</v>
      </c>
      <c r="S1020" s="647" t="str">
        <f>VLOOKUP(A1020,'[1]Raw data'!$B:$Z,4,FALSE)</f>
        <v>YSM40R-4</v>
      </c>
      <c r="T1020" s="647" t="str">
        <f>VLOOKUP(A1020,'[1]Raw data'!$B:$Z,8,FALSE)</f>
        <v>L-&gt;R</v>
      </c>
      <c r="U1020" s="647" t="str">
        <f>VLOOKUP(A1020,'[1]Raw data'!$B:$Z,9,FALSE)</f>
        <v>No</v>
      </c>
      <c r="V1020" s="567" t="str">
        <f t="shared" ref="V1020:V1023" si="200">IF(G1020&amp;H1020=T1020&amp;U1020,"OK","WRONG")</f>
        <v>OK</v>
      </c>
      <c r="W1020" s="563" t="str">
        <f>VLOOKUP(A1020,'[1]Raw data'!$B:$AG,32,FALSE)</f>
        <v>DDP HZ</v>
      </c>
      <c r="X1020" s="647">
        <f>VLOOKUP(A1020,'[1]Raw data'!$B:$BA,31,FALSE)</f>
        <v>44762</v>
      </c>
      <c r="Y1020" s="647" t="str">
        <f>VLOOKUP(A1020,'[1]Raw data'!$B:$AS,39,FALSE)</f>
        <v>Yes</v>
      </c>
      <c r="Z1020" s="659"/>
      <c r="AA1020" s="660"/>
      <c r="AB1020" s="661"/>
      <c r="AC1020" s="647" t="s">
        <v>1944</v>
      </c>
      <c r="AD1020" s="575"/>
      <c r="AE1020" s="575"/>
      <c r="AF1020" s="575"/>
      <c r="AG1020" s="575"/>
      <c r="AH1020" s="575"/>
      <c r="AI1020" s="679"/>
      <c r="AJ1020" s="564"/>
      <c r="AK1020" s="564"/>
      <c r="AL1020" s="564"/>
      <c r="AM1020" s="564"/>
      <c r="AN1020" s="614"/>
      <c r="AO1020" s="824" t="str">
        <f t="shared" si="182"/>
        <v>Yes</v>
      </c>
      <c r="AP1020" s="259" t="str">
        <f t="shared" si="183"/>
        <v>AUG 22</v>
      </c>
      <c r="AQ1020" s="542" t="str">
        <f t="shared" si="184"/>
        <v>有定金+有預留客戶</v>
      </c>
      <c r="AR1020" s="259" t="str">
        <f t="shared" si="185"/>
        <v>Shipped_Stock</v>
      </c>
      <c r="AS1020" s="259" t="str">
        <f t="shared" si="186"/>
        <v/>
      </c>
      <c r="AT1020" s="259" t="str">
        <f t="shared" si="187"/>
        <v>惠州耕创</v>
      </c>
      <c r="AU1020" s="259" t="str">
        <f t="shared" si="188"/>
        <v>C49SZX20220083DZ</v>
      </c>
      <c r="AV1020" s="259" t="str">
        <f t="shared" si="189"/>
        <v>2022-1-17Yamaha 仓库</v>
      </c>
    </row>
    <row r="1021" spans="1:48" ht="16.5" hidden="1">
      <c r="A1021" s="599">
        <v>1708</v>
      </c>
      <c r="B1021" s="664" t="s">
        <v>1125</v>
      </c>
      <c r="C1021" s="664" t="s">
        <v>15</v>
      </c>
      <c r="D1021" s="645" t="s">
        <v>1945</v>
      </c>
      <c r="E1021" s="760" t="s">
        <v>1942</v>
      </c>
      <c r="F1021" s="647" t="s">
        <v>149</v>
      </c>
      <c r="G1021" s="647" t="s">
        <v>24</v>
      </c>
      <c r="H1021" s="647" t="s">
        <v>26</v>
      </c>
      <c r="I1021" s="575" t="s">
        <v>1946</v>
      </c>
      <c r="J1021" s="575">
        <v>1</v>
      </c>
      <c r="K1021" s="647" t="s">
        <v>1419</v>
      </c>
      <c r="L1021" s="759" t="s">
        <v>3962</v>
      </c>
      <c r="M1021" s="665" t="s">
        <v>1807</v>
      </c>
      <c r="N1021" s="647" t="s">
        <v>221</v>
      </c>
      <c r="O1021" s="575">
        <v>2021.6</v>
      </c>
      <c r="P1021" s="665" t="str">
        <f>VLOOKUP(A1021,'[1]Raw data'!$B:$BA,23,FALSE)</f>
        <v>RMB</v>
      </c>
      <c r="Q1021" s="647" t="str">
        <f>VLOOKUP(A1021,'[1]Raw data'!$B:$Z,2,FALSE)</f>
        <v>C49SZX20220083DZ</v>
      </c>
      <c r="R1021" s="647" t="str">
        <f>VLOOKUP(A1021,'[1]Raw data'!$B:$Z,3,FALSE)</f>
        <v>惠州耕创</v>
      </c>
      <c r="S1021" s="647" t="str">
        <f>VLOOKUP(A1021,'[1]Raw data'!$B:$Z,4,FALSE)</f>
        <v>YSM40R-4</v>
      </c>
      <c r="T1021" s="647" t="str">
        <f>VLOOKUP(A1021,'[1]Raw data'!$B:$Z,8,FALSE)</f>
        <v>L-&gt;R</v>
      </c>
      <c r="U1021" s="647" t="str">
        <f>VLOOKUP(A1021,'[1]Raw data'!$B:$Z,9,FALSE)</f>
        <v>No</v>
      </c>
      <c r="V1021" s="567" t="str">
        <f t="shared" si="200"/>
        <v>OK</v>
      </c>
      <c r="W1021" s="563" t="str">
        <f>VLOOKUP(A1021,'[1]Raw data'!$B:$AG,32,FALSE)</f>
        <v>DDP HZ</v>
      </c>
      <c r="X1021" s="647">
        <f>VLOOKUP(A1021,'[1]Raw data'!$B:$BA,31,FALSE)</f>
        <v>44762</v>
      </c>
      <c r="Y1021" s="647" t="str">
        <f>VLOOKUP(A1021,'[1]Raw data'!$B:$AS,39,FALSE)</f>
        <v>Yes</v>
      </c>
      <c r="Z1021" s="659"/>
      <c r="AA1021" s="660"/>
      <c r="AB1021" s="661"/>
      <c r="AC1021" s="647" t="s">
        <v>1944</v>
      </c>
      <c r="AD1021" s="575" t="s">
        <v>1566</v>
      </c>
      <c r="AE1021" s="575">
        <v>72</v>
      </c>
      <c r="AF1021" s="575"/>
      <c r="AG1021" s="575"/>
      <c r="AH1021" s="575"/>
      <c r="AI1021" s="679"/>
      <c r="AJ1021" s="564"/>
      <c r="AK1021" s="564"/>
      <c r="AL1021" s="564"/>
      <c r="AM1021" s="564"/>
      <c r="AN1021" s="614"/>
      <c r="AO1021" s="824" t="str">
        <f t="shared" si="182"/>
        <v>Yes</v>
      </c>
      <c r="AP1021" s="259" t="str">
        <f t="shared" si="183"/>
        <v>AUG 22</v>
      </c>
      <c r="AQ1021" s="542" t="str">
        <f t="shared" si="184"/>
        <v>有定金+有預留客戶</v>
      </c>
      <c r="AR1021" s="259" t="str">
        <f t="shared" si="185"/>
        <v>Shipped_Stock</v>
      </c>
      <c r="AS1021" s="259" t="str">
        <f t="shared" si="186"/>
        <v/>
      </c>
      <c r="AT1021" s="259" t="str">
        <f t="shared" si="187"/>
        <v>惠州耕创</v>
      </c>
      <c r="AU1021" s="259" t="str">
        <f t="shared" si="188"/>
        <v>C49SZX20220083DZ</v>
      </c>
      <c r="AV1021" s="259" t="str">
        <f t="shared" si="189"/>
        <v>2022-1-17Yamaha 仓库</v>
      </c>
    </row>
    <row r="1022" spans="1:48" hidden="1">
      <c r="A1022" s="559">
        <v>1540</v>
      </c>
      <c r="B1022" s="664" t="s">
        <v>1125</v>
      </c>
      <c r="C1022" s="664" t="s">
        <v>15</v>
      </c>
      <c r="D1022" s="645" t="s">
        <v>1947</v>
      </c>
      <c r="E1022" s="756" t="s">
        <v>1948</v>
      </c>
      <c r="F1022" s="647" t="s">
        <v>149</v>
      </c>
      <c r="G1022" s="647" t="s">
        <v>24</v>
      </c>
      <c r="H1022" s="647" t="s">
        <v>26</v>
      </c>
      <c r="I1022" s="575" t="s">
        <v>1949</v>
      </c>
      <c r="J1022" s="575">
        <v>1</v>
      </c>
      <c r="K1022" s="647" t="s">
        <v>1950</v>
      </c>
      <c r="L1022" s="759" t="s">
        <v>3962</v>
      </c>
      <c r="M1022" s="665" t="s">
        <v>1807</v>
      </c>
      <c r="N1022" s="647" t="s">
        <v>1895</v>
      </c>
      <c r="O1022" s="575"/>
      <c r="P1022" s="665" t="str">
        <f>VLOOKUP(A1022,'[1]Raw data'!$B:$BA,23,FALSE)</f>
        <v>RMB</v>
      </c>
      <c r="Q1022" s="647" t="str">
        <f>VLOOKUP(A1022,'[1]Raw data'!$B:$Z,2,FALSE)</f>
        <v>C49SZX20210222JL</v>
      </c>
      <c r="R1022" s="647" t="str">
        <f>VLOOKUP(A1022,'[1]Raw data'!$B:$Z,3,FALSE)</f>
        <v>深圳快宇</v>
      </c>
      <c r="S1022" s="647" t="str">
        <f>VLOOKUP(A1022,'[1]Raw data'!$B:$Z,4,FALSE)</f>
        <v>YSM40R-4</v>
      </c>
      <c r="T1022" s="647" t="str">
        <f>VLOOKUP(A1022,'[1]Raw data'!$B:$Z,8,FALSE)</f>
        <v>L-&gt;R</v>
      </c>
      <c r="U1022" s="647" t="str">
        <f>VLOOKUP(A1022,'[1]Raw data'!$B:$Z,9,FALSE)</f>
        <v>No</v>
      </c>
      <c r="V1022" s="567" t="str">
        <f t="shared" si="200"/>
        <v>OK</v>
      </c>
      <c r="W1022" s="563" t="str">
        <f>VLOOKUP(A1022,'[1]Raw data'!$B:$AG,32,FALSE)</f>
        <v>DDP SZ</v>
      </c>
      <c r="X1022" s="647">
        <f>VLOOKUP(A1022,'[1]Raw data'!$B:$BA,31,FALSE)</f>
        <v>44557</v>
      </c>
      <c r="Y1022" s="647" t="str">
        <f>VLOOKUP(A1022,'[1]Raw data'!$B:$AS,39,FALSE)</f>
        <v>Yes</v>
      </c>
      <c r="Z1022" s="666"/>
      <c r="AA1022" s="660"/>
      <c r="AB1022" s="668"/>
      <c r="AC1022" s="647" t="s">
        <v>1951</v>
      </c>
      <c r="AD1022" s="662"/>
      <c r="AE1022" s="662"/>
      <c r="AF1022" s="662"/>
      <c r="AG1022" s="662"/>
      <c r="AH1022" s="662"/>
      <c r="AI1022" s="663"/>
      <c r="AN1022" s="542"/>
      <c r="AO1022" s="824" t="str">
        <f t="shared" si="182"/>
        <v>Yes</v>
      </c>
      <c r="AP1022" s="259" t="str">
        <f t="shared" si="183"/>
        <v>JAN 22</v>
      </c>
      <c r="AQ1022" s="542" t="str">
        <f t="shared" si="184"/>
        <v>有定金+有預留客戶</v>
      </c>
      <c r="AR1022" s="259" t="str">
        <f t="shared" si="185"/>
        <v>Shipped_Stock</v>
      </c>
      <c r="AS1022" s="259" t="str">
        <f t="shared" si="186"/>
        <v/>
      </c>
      <c r="AT1022" s="259" t="str">
        <f t="shared" si="187"/>
        <v>深圳快宇</v>
      </c>
      <c r="AU1022" s="259" t="str">
        <f t="shared" si="188"/>
        <v>C49SZX20210222JL</v>
      </c>
      <c r="AV1022" s="259" t="str">
        <f t="shared" si="189"/>
        <v>2022-1-17Yamaha 仓库</v>
      </c>
    </row>
    <row r="1023" spans="1:48" hidden="1">
      <c r="A1023" s="559">
        <v>1541</v>
      </c>
      <c r="B1023" s="664" t="s">
        <v>1125</v>
      </c>
      <c r="C1023" s="664" t="s">
        <v>15</v>
      </c>
      <c r="D1023" s="645" t="s">
        <v>1952</v>
      </c>
      <c r="E1023" s="756" t="s">
        <v>1953</v>
      </c>
      <c r="F1023" s="647" t="s">
        <v>149</v>
      </c>
      <c r="G1023" s="647" t="s">
        <v>24</v>
      </c>
      <c r="H1023" s="647" t="s">
        <v>307</v>
      </c>
      <c r="I1023" s="575" t="s">
        <v>1954</v>
      </c>
      <c r="J1023" s="575">
        <v>1</v>
      </c>
      <c r="K1023" s="647" t="s">
        <v>1950</v>
      </c>
      <c r="L1023" s="759" t="s">
        <v>3962</v>
      </c>
      <c r="M1023" s="665" t="s">
        <v>1807</v>
      </c>
      <c r="N1023" s="647"/>
      <c r="O1023" s="575"/>
      <c r="P1023" s="665" t="str">
        <f>VLOOKUP(A1023,'[1]Raw data'!$B:$BA,23,FALSE)</f>
        <v>RMB</v>
      </c>
      <c r="Q1023" s="647" t="str">
        <f>VLOOKUP(A1023,'[1]Raw data'!$B:$Z,2,FALSE)</f>
        <v>C49SZX20220001SS</v>
      </c>
      <c r="R1023" s="647" t="str">
        <f>VLOOKUP(A1023,'[1]Raw data'!$B:$Z,3,FALSE)</f>
        <v>深圳世达威</v>
      </c>
      <c r="S1023" s="647" t="str">
        <f>VLOOKUP(A1023,'[1]Raw data'!$B:$Z,4,FALSE)</f>
        <v>YSM40R-4</v>
      </c>
      <c r="T1023" s="647" t="str">
        <f>VLOOKUP(A1023,'[1]Raw data'!$B:$Z,8,FALSE)</f>
        <v>L-&gt;R</v>
      </c>
      <c r="U1023" s="647" t="str">
        <f>VLOOKUP(A1023,'[1]Raw data'!$B:$Z,9,FALSE)</f>
        <v>No</v>
      </c>
      <c r="V1023" s="567" t="str">
        <f t="shared" si="200"/>
        <v>OK</v>
      </c>
      <c r="W1023" s="563" t="str">
        <f>VLOOKUP(A1023,'[1]Raw data'!$B:$AG,32,FALSE)</f>
        <v>DDP SZ</v>
      </c>
      <c r="X1023" s="710">
        <f>VLOOKUP(A1023,'[1]Raw data'!$B:$BA,31,FALSE)</f>
        <v>44565</v>
      </c>
      <c r="Y1023" s="710" t="str">
        <f>VLOOKUP(A1023,'[1]Raw data'!$B:$AS,39,FALSE)</f>
        <v>Yes</v>
      </c>
      <c r="Z1023" s="659"/>
      <c r="AA1023" s="660"/>
      <c r="AB1023" s="661"/>
      <c r="AC1023" s="647" t="s">
        <v>1951</v>
      </c>
      <c r="AD1023" s="662"/>
      <c r="AE1023" s="662"/>
      <c r="AF1023" s="662"/>
      <c r="AG1023" s="662"/>
      <c r="AH1023" s="662"/>
      <c r="AI1023" s="663"/>
      <c r="AN1023" s="542"/>
      <c r="AO1023" s="824" t="str">
        <f t="shared" si="182"/>
        <v>Yes</v>
      </c>
      <c r="AP1023" s="259" t="str">
        <f t="shared" si="183"/>
        <v>blank</v>
      </c>
      <c r="AQ1023" s="542" t="str">
        <f t="shared" si="184"/>
        <v>有定金+无客戶送貨期</v>
      </c>
      <c r="AR1023" s="259" t="str">
        <f t="shared" si="185"/>
        <v>Shipped_Stock</v>
      </c>
      <c r="AS1023" s="259" t="str">
        <f t="shared" si="186"/>
        <v/>
      </c>
      <c r="AT1023" s="259" t="str">
        <f t="shared" si="187"/>
        <v>深圳世达威</v>
      </c>
      <c r="AU1023" s="259" t="str">
        <f t="shared" si="188"/>
        <v>C49SZX20220001SS</v>
      </c>
      <c r="AV1023" s="259" t="str">
        <f t="shared" si="189"/>
        <v>2022-1-17Yamaha 仓库</v>
      </c>
    </row>
    <row r="1024" spans="1:48" hidden="1">
      <c r="A1024" s="559">
        <v>1543</v>
      </c>
      <c r="B1024" s="664" t="s">
        <v>1125</v>
      </c>
      <c r="C1024" s="664" t="s">
        <v>15</v>
      </c>
      <c r="D1024" s="645" t="s">
        <v>1955</v>
      </c>
      <c r="E1024" s="756" t="s">
        <v>1564</v>
      </c>
      <c r="F1024" s="647" t="s">
        <v>149</v>
      </c>
      <c r="G1024" s="647" t="s">
        <v>24</v>
      </c>
      <c r="H1024" s="647" t="s">
        <v>26</v>
      </c>
      <c r="I1024" s="575" t="s">
        <v>1956</v>
      </c>
      <c r="J1024" s="575">
        <v>1</v>
      </c>
      <c r="K1024" s="647" t="s">
        <v>1806</v>
      </c>
      <c r="L1024" s="759" t="s">
        <v>3962</v>
      </c>
      <c r="M1024" s="665" t="s">
        <v>1807</v>
      </c>
      <c r="N1024" s="647" t="s">
        <v>1890</v>
      </c>
      <c r="O1024" s="575"/>
      <c r="P1024" s="665" t="str">
        <f>VLOOKUP(A1024,'[1]Raw data'!$B:$BA,23,FALSE)</f>
        <v>RMB</v>
      </c>
      <c r="Q1024" s="647" t="str">
        <f>VLOOKUP(A1024,'[1]Raw data'!$B:$Z,2,FALSE)</f>
        <v>C49SZX20220005SS</v>
      </c>
      <c r="R1024" s="647" t="str">
        <f>VLOOKUP(A1024,'[1]Raw data'!$B:$Z,3,FALSE)</f>
        <v>龙大光电</v>
      </c>
      <c r="S1024" s="647" t="str">
        <f>VLOOKUP(A1024,'[1]Raw data'!$B:$Z,4,FALSE)</f>
        <v>YSM40R-4</v>
      </c>
      <c r="T1024" s="647" t="str">
        <f>VLOOKUP(A1024,'[1]Raw data'!$B:$Z,8,FALSE)</f>
        <v>L-&gt;R</v>
      </c>
      <c r="U1024" s="647" t="str">
        <f>VLOOKUP(A1024,'[1]Raw data'!$B:$Z,9,FALSE)</f>
        <v>No</v>
      </c>
      <c r="V1024" s="567" t="str">
        <f>IF(G1024&amp;H1024=T1024&amp;U1024,"OK","WRONG")</f>
        <v>OK</v>
      </c>
      <c r="W1024" s="563" t="str">
        <f>VLOOKUP(A1024,'[1]Raw data'!$B:$AG,32,FALSE)</f>
        <v>DDP SZ</v>
      </c>
      <c r="X1024" s="647">
        <f>VLOOKUP(A1024,'[1]Raw data'!$B:$BA,31,FALSE)</f>
        <v>44572</v>
      </c>
      <c r="Y1024" s="647" t="str">
        <f>VLOOKUP(A1024,'[1]Raw data'!$B:$AS,39,FALSE)</f>
        <v>Yes</v>
      </c>
      <c r="Z1024" s="659"/>
      <c r="AA1024" s="660"/>
      <c r="AB1024" s="661"/>
      <c r="AC1024" s="647" t="s">
        <v>1951</v>
      </c>
      <c r="AD1024" s="662"/>
      <c r="AE1024" s="662"/>
      <c r="AF1024" s="662"/>
      <c r="AG1024" s="662"/>
      <c r="AH1024" s="662"/>
      <c r="AI1024" s="663"/>
      <c r="AN1024" s="542"/>
      <c r="AO1024" s="824" t="str">
        <f t="shared" si="182"/>
        <v>Yes</v>
      </c>
      <c r="AP1024" s="259" t="str">
        <f t="shared" si="183"/>
        <v>FEB 22</v>
      </c>
      <c r="AQ1024" s="542" t="str">
        <f t="shared" si="184"/>
        <v>有定金+有預留客戶</v>
      </c>
      <c r="AR1024" s="259" t="str">
        <f t="shared" si="185"/>
        <v>Shipped_Stock</v>
      </c>
      <c r="AS1024" s="259" t="str">
        <f t="shared" si="186"/>
        <v/>
      </c>
      <c r="AT1024" s="259" t="str">
        <f t="shared" si="187"/>
        <v>龙大光电</v>
      </c>
      <c r="AU1024" s="259" t="str">
        <f t="shared" si="188"/>
        <v>C49SZX20220005SS</v>
      </c>
      <c r="AV1024" s="259" t="str">
        <f t="shared" si="189"/>
        <v>2022-1-17Yamaha 仓库</v>
      </c>
    </row>
    <row r="1025" spans="1:48" hidden="1">
      <c r="A1025" s="559">
        <v>1544</v>
      </c>
      <c r="B1025" s="664" t="s">
        <v>1125</v>
      </c>
      <c r="C1025" s="664" t="s">
        <v>15</v>
      </c>
      <c r="D1025" s="645" t="s">
        <v>1955</v>
      </c>
      <c r="E1025" s="756" t="s">
        <v>1564</v>
      </c>
      <c r="F1025" s="647" t="s">
        <v>149</v>
      </c>
      <c r="G1025" s="647" t="s">
        <v>24</v>
      </c>
      <c r="H1025" s="647" t="s">
        <v>26</v>
      </c>
      <c r="I1025" s="575" t="s">
        <v>1957</v>
      </c>
      <c r="J1025" s="575">
        <v>1</v>
      </c>
      <c r="K1025" s="647" t="s">
        <v>1806</v>
      </c>
      <c r="L1025" s="759" t="s">
        <v>3962</v>
      </c>
      <c r="M1025" s="665" t="s">
        <v>1807</v>
      </c>
      <c r="N1025" s="647" t="s">
        <v>1890</v>
      </c>
      <c r="O1025" s="575"/>
      <c r="P1025" s="665" t="str">
        <f>VLOOKUP(A1025,'[1]Raw data'!$B:$BA,23,FALSE)</f>
        <v>RMB</v>
      </c>
      <c r="Q1025" s="647" t="str">
        <f>VLOOKUP(A1025,'[1]Raw data'!$B:$Z,2,FALSE)</f>
        <v>C49SZX20220005SS</v>
      </c>
      <c r="R1025" s="647" t="str">
        <f>VLOOKUP(A1025,'[1]Raw data'!$B:$Z,3,FALSE)</f>
        <v>龙大光电</v>
      </c>
      <c r="S1025" s="647" t="str">
        <f>VLOOKUP(A1025,'[1]Raw data'!$B:$Z,4,FALSE)</f>
        <v>YSM40R-4</v>
      </c>
      <c r="T1025" s="647" t="str">
        <f>VLOOKUP(A1025,'[1]Raw data'!$B:$Z,8,FALSE)</f>
        <v>L-&gt;R</v>
      </c>
      <c r="U1025" s="647" t="str">
        <f>VLOOKUP(A1025,'[1]Raw data'!$B:$Z,9,FALSE)</f>
        <v>No</v>
      </c>
      <c r="V1025" s="567" t="str">
        <f>IF(G1025&amp;H1025=T1025&amp;U1025,"OK","WRONG")</f>
        <v>OK</v>
      </c>
      <c r="W1025" s="563" t="str">
        <f>VLOOKUP(A1025,'[1]Raw data'!$B:$AG,32,FALSE)</f>
        <v>DDP SZ</v>
      </c>
      <c r="X1025" s="647">
        <f>VLOOKUP(A1025,'[1]Raw data'!$B:$BA,31,FALSE)</f>
        <v>44572</v>
      </c>
      <c r="Y1025" s="647" t="str">
        <f>VLOOKUP(A1025,'[1]Raw data'!$B:$AS,39,FALSE)</f>
        <v>Yes</v>
      </c>
      <c r="Z1025" s="659"/>
      <c r="AA1025" s="660"/>
      <c r="AB1025" s="661"/>
      <c r="AC1025" s="647" t="s">
        <v>1951</v>
      </c>
      <c r="AD1025" s="662"/>
      <c r="AE1025" s="662"/>
      <c r="AF1025" s="662"/>
      <c r="AG1025" s="662"/>
      <c r="AH1025" s="662"/>
      <c r="AI1025" s="663"/>
      <c r="AN1025" s="542"/>
      <c r="AO1025" s="824" t="str">
        <f t="shared" si="182"/>
        <v>Yes</v>
      </c>
      <c r="AP1025" s="259" t="str">
        <f t="shared" si="183"/>
        <v>FEB 22</v>
      </c>
      <c r="AQ1025" s="542" t="str">
        <f t="shared" si="184"/>
        <v>有定金+有預留客戶</v>
      </c>
      <c r="AR1025" s="259" t="str">
        <f t="shared" si="185"/>
        <v>Shipped_Stock</v>
      </c>
      <c r="AS1025" s="259" t="str">
        <f t="shared" si="186"/>
        <v/>
      </c>
      <c r="AT1025" s="259" t="str">
        <f t="shared" si="187"/>
        <v>龙大光电</v>
      </c>
      <c r="AU1025" s="259" t="str">
        <f t="shared" si="188"/>
        <v>C49SZX20220005SS</v>
      </c>
      <c r="AV1025" s="259" t="str">
        <f t="shared" si="189"/>
        <v>2022-1-17Yamaha 仓库</v>
      </c>
    </row>
    <row r="1026" spans="1:48" hidden="1">
      <c r="A1026" s="559">
        <v>1545</v>
      </c>
      <c r="B1026" s="664" t="s">
        <v>1125</v>
      </c>
      <c r="C1026" s="664" t="s">
        <v>15</v>
      </c>
      <c r="D1026" s="645" t="s">
        <v>1955</v>
      </c>
      <c r="E1026" s="756" t="s">
        <v>1564</v>
      </c>
      <c r="F1026" s="647" t="s">
        <v>149</v>
      </c>
      <c r="G1026" s="647" t="s">
        <v>24</v>
      </c>
      <c r="H1026" s="647" t="s">
        <v>26</v>
      </c>
      <c r="I1026" s="575" t="s">
        <v>1958</v>
      </c>
      <c r="J1026" s="575">
        <v>1</v>
      </c>
      <c r="K1026" s="647" t="s">
        <v>1806</v>
      </c>
      <c r="L1026" s="759" t="s">
        <v>3962</v>
      </c>
      <c r="M1026" s="665" t="s">
        <v>1807</v>
      </c>
      <c r="N1026" s="647" t="s">
        <v>1890</v>
      </c>
      <c r="O1026" s="575"/>
      <c r="P1026" s="665" t="str">
        <f>VLOOKUP(A1026,'[1]Raw data'!$B:$BA,23,FALSE)</f>
        <v>RMB</v>
      </c>
      <c r="Q1026" s="647" t="str">
        <f>VLOOKUP(A1026,'[1]Raw data'!$B:$Z,2,FALSE)</f>
        <v>C49SZX20220005SS</v>
      </c>
      <c r="R1026" s="647" t="str">
        <f>VLOOKUP(A1026,'[1]Raw data'!$B:$Z,3,FALSE)</f>
        <v>龙大光电</v>
      </c>
      <c r="S1026" s="647" t="str">
        <f>VLOOKUP(A1026,'[1]Raw data'!$B:$Z,4,FALSE)</f>
        <v>YSM40R-4</v>
      </c>
      <c r="T1026" s="647" t="str">
        <f>VLOOKUP(A1026,'[1]Raw data'!$B:$Z,8,FALSE)</f>
        <v>L-&gt;R</v>
      </c>
      <c r="U1026" s="647" t="str">
        <f>VLOOKUP(A1026,'[1]Raw data'!$B:$Z,9,FALSE)</f>
        <v>No</v>
      </c>
      <c r="V1026" s="567" t="str">
        <f>IF(G1026&amp;H1026=T1026&amp;U1026,"OK","WRONG")</f>
        <v>OK</v>
      </c>
      <c r="W1026" s="563" t="str">
        <f>VLOOKUP(A1026,'[1]Raw data'!$B:$AG,32,FALSE)</f>
        <v>DDP SZ</v>
      </c>
      <c r="X1026" s="647">
        <f>VLOOKUP(A1026,'[1]Raw data'!$B:$BA,31,FALSE)</f>
        <v>44572</v>
      </c>
      <c r="Y1026" s="647" t="str">
        <f>VLOOKUP(A1026,'[1]Raw data'!$B:$AS,39,FALSE)</f>
        <v>Yes</v>
      </c>
      <c r="Z1026" s="659"/>
      <c r="AA1026" s="660"/>
      <c r="AB1026" s="661"/>
      <c r="AC1026" s="647" t="s">
        <v>1951</v>
      </c>
      <c r="AD1026" s="662"/>
      <c r="AE1026" s="662"/>
      <c r="AF1026" s="662"/>
      <c r="AG1026" s="662"/>
      <c r="AH1026" s="662"/>
      <c r="AI1026" s="663"/>
      <c r="AN1026" s="542"/>
      <c r="AO1026" s="824" t="str">
        <f t="shared" si="182"/>
        <v>Yes</v>
      </c>
      <c r="AP1026" s="259" t="str">
        <f t="shared" si="183"/>
        <v>FEB 22</v>
      </c>
      <c r="AQ1026" s="542" t="str">
        <f t="shared" si="184"/>
        <v>有定金+有預留客戶</v>
      </c>
      <c r="AR1026" s="259" t="str">
        <f t="shared" si="185"/>
        <v>Shipped_Stock</v>
      </c>
      <c r="AS1026" s="259" t="str">
        <f t="shared" si="186"/>
        <v/>
      </c>
      <c r="AT1026" s="259" t="str">
        <f t="shared" si="187"/>
        <v>龙大光电</v>
      </c>
      <c r="AU1026" s="259" t="str">
        <f t="shared" si="188"/>
        <v>C49SZX20220005SS</v>
      </c>
      <c r="AV1026" s="259" t="str">
        <f t="shared" si="189"/>
        <v>2022-1-17Yamaha 仓库</v>
      </c>
    </row>
    <row r="1027" spans="1:48" hidden="1">
      <c r="A1027" s="559">
        <v>1546</v>
      </c>
      <c r="B1027" s="664" t="s">
        <v>1125</v>
      </c>
      <c r="C1027" s="664" t="s">
        <v>15</v>
      </c>
      <c r="D1027" s="645" t="s">
        <v>1955</v>
      </c>
      <c r="E1027" s="756" t="s">
        <v>1564</v>
      </c>
      <c r="F1027" s="647" t="s">
        <v>149</v>
      </c>
      <c r="G1027" s="647" t="s">
        <v>24</v>
      </c>
      <c r="H1027" s="647" t="s">
        <v>307</v>
      </c>
      <c r="I1027" s="575" t="s">
        <v>1959</v>
      </c>
      <c r="J1027" s="575">
        <v>1</v>
      </c>
      <c r="K1027" s="647" t="s">
        <v>1806</v>
      </c>
      <c r="L1027" s="759" t="s">
        <v>3962</v>
      </c>
      <c r="M1027" s="665" t="s">
        <v>1807</v>
      </c>
      <c r="N1027" s="647" t="s">
        <v>1890</v>
      </c>
      <c r="O1027" s="575"/>
      <c r="P1027" s="665" t="str">
        <f>VLOOKUP(A1027,'[1]Raw data'!$B:$BA,23,FALSE)</f>
        <v>RMB</v>
      </c>
      <c r="Q1027" s="647" t="str">
        <f>VLOOKUP(A1027,'[1]Raw data'!$B:$Z,2,FALSE)</f>
        <v>C49SZX20220005SS</v>
      </c>
      <c r="R1027" s="647" t="str">
        <f>VLOOKUP(A1027,'[1]Raw data'!$B:$Z,3,FALSE)</f>
        <v>龙大光电</v>
      </c>
      <c r="S1027" s="647" t="str">
        <f>VLOOKUP(A1027,'[1]Raw data'!$B:$Z,4,FALSE)</f>
        <v>YSM40R-4</v>
      </c>
      <c r="T1027" s="647" t="str">
        <f>VLOOKUP(A1027,'[1]Raw data'!$B:$Z,8,FALSE)</f>
        <v>L-&gt;R</v>
      </c>
      <c r="U1027" s="647" t="str">
        <f>VLOOKUP(A1027,'[1]Raw data'!$B:$Z,9,FALSE)</f>
        <v>No</v>
      </c>
      <c r="V1027" s="567" t="str">
        <f t="shared" ref="V1027" si="201">IF(G1027&amp;H1027=T1027&amp;U1027,"OK","WRONG")</f>
        <v>OK</v>
      </c>
      <c r="W1027" s="563" t="str">
        <f>VLOOKUP(A1027,'[1]Raw data'!$B:$AG,32,FALSE)</f>
        <v>DDP SZ</v>
      </c>
      <c r="X1027" s="647">
        <f>VLOOKUP(A1027,'[1]Raw data'!$B:$BA,31,FALSE)</f>
        <v>44572</v>
      </c>
      <c r="Y1027" s="647" t="str">
        <f>VLOOKUP(A1027,'[1]Raw data'!$B:$AS,39,FALSE)</f>
        <v>Yes</v>
      </c>
      <c r="Z1027" s="659"/>
      <c r="AA1027" s="660"/>
      <c r="AB1027" s="661"/>
      <c r="AC1027" s="647" t="s">
        <v>1951</v>
      </c>
      <c r="AD1027" s="662"/>
      <c r="AE1027" s="662"/>
      <c r="AF1027" s="662"/>
      <c r="AG1027" s="662"/>
      <c r="AH1027" s="662"/>
      <c r="AI1027" s="663"/>
      <c r="AN1027" s="542"/>
      <c r="AO1027" s="824" t="str">
        <f t="shared" ref="AO1027:AO1090" si="202">IFERROR(IF(Y1027&lt;&gt;"",Y1027,"No"),"No")</f>
        <v>Yes</v>
      </c>
      <c r="AP1027" s="259" t="str">
        <f t="shared" ref="AP1027:AP1090" si="203">IFERROR(IF(N1027&lt;&gt;"",N1027,"blank"),"NA")</f>
        <v>FEB 22</v>
      </c>
      <c r="AQ1027" s="542" t="str">
        <f t="shared" ref="AQ1027:AQ1090" si="204">IFERROR(IF(AND(AO1027="Yes", AP1027&lt;&gt;"blank"), "有定金+有預留客戶", IF(AND(AO1027="Yes", AP1027="blank"), "有定金+无客戶送貨期", IF(AND(OR(AO1027="No", ISBLANK(AO1027), AO1027="NA"), AP1027&lt;&gt;"blank"), "无定金+有預留客戶", IF(AND(OR(AO1027="No", ISBLANK(AO1027), AO1027="NA"), AP1027="blank"), "无定金+无預留客戶", "")))), "")</f>
        <v>有定金+有預留客戶</v>
      </c>
      <c r="AR1027" s="259" t="str">
        <f t="shared" ref="AR1027:AR1090" si="205">IFERROR(IF(B1027="已经到货", "Instock", IF(B1027="有交期", "Incoming_Stock_With_YAMAHA_Schedule", IF(B1027="TBA.", "Incoming_Stock_No_YAMAHA_Schedule", IF(B1027="已发货", "Shipped_Stock", "")))), "")</f>
        <v>Shipped_Stock</v>
      </c>
      <c r="AS1027" s="259" t="str">
        <f t="shared" ref="AS1027:AS1090" si="206">IF(AND(B1027="有交期", L1027&lt;&gt;""), L1027, "")</f>
        <v/>
      </c>
      <c r="AT1027" s="259" t="str">
        <f t="shared" ref="AT1027:AT1090" si="207">IFERROR(IF(R1027&lt;&gt;"",R1027),"-")</f>
        <v>龙大光电</v>
      </c>
      <c r="AU1027" s="259" t="str">
        <f t="shared" ref="AU1027:AU1090" si="208">IFERROR(IF(Q1027&lt;&gt;"",Q1027),"-")</f>
        <v>C49SZX20220005SS</v>
      </c>
      <c r="AV1027" s="259" t="str">
        <f t="shared" ref="AV1027:AV1090" si="209">IF(L1027="","-",TEXT(L1027,"mmm-dd"))</f>
        <v>2022-1-17Yamaha 仓库</v>
      </c>
    </row>
    <row r="1028" spans="1:48" hidden="1">
      <c r="A1028" s="559">
        <v>1547</v>
      </c>
      <c r="B1028" s="664" t="s">
        <v>1125</v>
      </c>
      <c r="C1028" s="664" t="s">
        <v>15</v>
      </c>
      <c r="D1028" s="645" t="s">
        <v>1955</v>
      </c>
      <c r="E1028" s="756" t="s">
        <v>1564</v>
      </c>
      <c r="F1028" s="647" t="s">
        <v>149</v>
      </c>
      <c r="G1028" s="647" t="s">
        <v>24</v>
      </c>
      <c r="H1028" s="647" t="s">
        <v>26</v>
      </c>
      <c r="I1028" s="575" t="s">
        <v>1960</v>
      </c>
      <c r="J1028" s="575">
        <v>1</v>
      </c>
      <c r="K1028" s="647" t="s">
        <v>1806</v>
      </c>
      <c r="L1028" s="657" t="s">
        <v>3961</v>
      </c>
      <c r="M1028" s="665" t="s">
        <v>1807</v>
      </c>
      <c r="N1028" s="647" t="s">
        <v>1890</v>
      </c>
      <c r="O1028" s="575"/>
      <c r="P1028" s="665" t="str">
        <f>VLOOKUP(A1028,'[1]Raw data'!$B:$BA,23,FALSE)</f>
        <v>RMB</v>
      </c>
      <c r="Q1028" s="647" t="str">
        <f>VLOOKUP(A1028,'[1]Raw data'!$B:$Z,2,FALSE)</f>
        <v>C49SZX20220005SS</v>
      </c>
      <c r="R1028" s="647" t="str">
        <f>VLOOKUP(A1028,'[1]Raw data'!$B:$Z,3,FALSE)</f>
        <v>龙大光电</v>
      </c>
      <c r="S1028" s="647" t="str">
        <f>VLOOKUP(A1028,'[1]Raw data'!$B:$Z,4,FALSE)</f>
        <v>YSM40R-4</v>
      </c>
      <c r="T1028" s="647" t="str">
        <f>VLOOKUP(A1028,'[1]Raw data'!$B:$Z,8,FALSE)</f>
        <v>L-&gt;R</v>
      </c>
      <c r="U1028" s="647" t="str">
        <f>VLOOKUP(A1028,'[1]Raw data'!$B:$Z,9,FALSE)</f>
        <v>No</v>
      </c>
      <c r="V1028" s="567" t="str">
        <f>IF(G1028&amp;H1028=T1028&amp;U1028,"OK","WRONG")</f>
        <v>OK</v>
      </c>
      <c r="W1028" s="563" t="str">
        <f>VLOOKUP(A1028,'[1]Raw data'!$B:$AG,32,FALSE)</f>
        <v>DDP SZ</v>
      </c>
      <c r="X1028" s="647">
        <f>VLOOKUP(A1028,'[1]Raw data'!$B:$BA,31,FALSE)</f>
        <v>44572</v>
      </c>
      <c r="Y1028" s="647" t="str">
        <f>VLOOKUP(A1028,'[1]Raw data'!$B:$AS,39,FALSE)</f>
        <v>Yes</v>
      </c>
      <c r="Z1028" s="659"/>
      <c r="AA1028" s="660"/>
      <c r="AB1028" s="661"/>
      <c r="AC1028" s="647" t="s">
        <v>1951</v>
      </c>
      <c r="AD1028" s="662"/>
      <c r="AE1028" s="662"/>
      <c r="AF1028" s="662"/>
      <c r="AG1028" s="662"/>
      <c r="AH1028" s="662"/>
      <c r="AI1028" s="663"/>
      <c r="AN1028" s="542"/>
      <c r="AO1028" s="824" t="str">
        <f t="shared" si="202"/>
        <v>Yes</v>
      </c>
      <c r="AP1028" s="259" t="str">
        <f t="shared" si="203"/>
        <v>FEB 22</v>
      </c>
      <c r="AQ1028" s="542" t="str">
        <f t="shared" si="204"/>
        <v>有定金+有預留客戶</v>
      </c>
      <c r="AR1028" s="259" t="str">
        <f t="shared" si="205"/>
        <v>Shipped_Stock</v>
      </c>
      <c r="AS1028" s="259" t="str">
        <f t="shared" si="206"/>
        <v/>
      </c>
      <c r="AT1028" s="259" t="str">
        <f t="shared" si="207"/>
        <v>龙大光电</v>
      </c>
      <c r="AU1028" s="259" t="str">
        <f t="shared" si="208"/>
        <v>C49SZX20220005SS</v>
      </c>
      <c r="AV1028" s="259" t="str">
        <f t="shared" si="209"/>
        <v>2022-1-17Yamaha 仓库</v>
      </c>
    </row>
    <row r="1029" spans="1:48" hidden="1">
      <c r="A1029" s="559">
        <v>1529</v>
      </c>
      <c r="B1029" s="664" t="s">
        <v>1125</v>
      </c>
      <c r="C1029" s="664" t="s">
        <v>15</v>
      </c>
      <c r="D1029" s="645" t="s">
        <v>1961</v>
      </c>
      <c r="E1029" s="646" t="s">
        <v>1962</v>
      </c>
      <c r="F1029" s="647" t="s">
        <v>149</v>
      </c>
      <c r="G1029" s="647" t="s">
        <v>24</v>
      </c>
      <c r="H1029" s="647" t="s">
        <v>26</v>
      </c>
      <c r="I1029" s="575" t="s">
        <v>1963</v>
      </c>
      <c r="J1029" s="575">
        <v>1</v>
      </c>
      <c r="K1029" s="647" t="s">
        <v>1964</v>
      </c>
      <c r="L1029" s="759" t="s">
        <v>3962</v>
      </c>
      <c r="M1029" s="665" t="s">
        <v>1807</v>
      </c>
      <c r="N1029" s="647" t="s">
        <v>1828</v>
      </c>
      <c r="O1029" s="575"/>
      <c r="P1029" s="665" t="str">
        <f>VLOOKUP(A1029,'[1]Raw data'!$B:$BA,23,FALSE)</f>
        <v>RMB</v>
      </c>
      <c r="Q1029" s="647" t="str">
        <f>VLOOKUP(A1029,'[1]Raw data'!$B:$Z,2,FALSE)</f>
        <v>C49SZX20210210DZ</v>
      </c>
      <c r="R1029" s="647" t="str">
        <f>VLOOKUP(A1029,'[1]Raw data'!$B:$Z,3,FALSE)</f>
        <v>湖南新亚胜</v>
      </c>
      <c r="S1029" s="647" t="str">
        <f>VLOOKUP(A1029,'[1]Raw data'!$B:$Z,4,FALSE)</f>
        <v>YSM40R-4</v>
      </c>
      <c r="T1029" s="647" t="str">
        <f>VLOOKUP(A1029,'[1]Raw data'!$B:$Z,8,FALSE)</f>
        <v>L-&gt;R</v>
      </c>
      <c r="U1029" s="647" t="str">
        <f>VLOOKUP(A1029,'[1]Raw data'!$B:$Z,9,FALSE)</f>
        <v>No</v>
      </c>
      <c r="V1029" s="567" t="str">
        <f>IF(G1029&amp;H1029=T1029&amp;U1029,"OK","WRONG")</f>
        <v>OK</v>
      </c>
      <c r="W1029" s="563" t="str">
        <f>VLOOKUP(A1029,'[1]Raw data'!$B:$AG,32,FALSE)</f>
        <v>DDP CS</v>
      </c>
      <c r="X1029" s="647">
        <f>VLOOKUP(A1029,'[1]Raw data'!$B:$BA,31,FALSE)</f>
        <v>44546</v>
      </c>
      <c r="Y1029" s="647" t="str">
        <f>VLOOKUP(A1029,'[1]Raw data'!$B:$AS,39,FALSE)</f>
        <v>Yes</v>
      </c>
      <c r="Z1029" s="659"/>
      <c r="AA1029" s="660"/>
      <c r="AB1029" s="661"/>
      <c r="AC1029" s="647" t="s">
        <v>1951</v>
      </c>
      <c r="AD1029" s="662"/>
      <c r="AE1029" s="662"/>
      <c r="AF1029" s="662"/>
      <c r="AG1029" s="662"/>
      <c r="AH1029" s="662"/>
      <c r="AI1029" s="663"/>
      <c r="AN1029" s="542"/>
      <c r="AO1029" s="824" t="str">
        <f t="shared" si="202"/>
        <v>Yes</v>
      </c>
      <c r="AP1029" s="259" t="str">
        <f t="shared" si="203"/>
        <v>MAR 22</v>
      </c>
      <c r="AQ1029" s="542" t="str">
        <f t="shared" si="204"/>
        <v>有定金+有預留客戶</v>
      </c>
      <c r="AR1029" s="259" t="str">
        <f t="shared" si="205"/>
        <v>Shipped_Stock</v>
      </c>
      <c r="AS1029" s="259" t="str">
        <f t="shared" si="206"/>
        <v/>
      </c>
      <c r="AT1029" s="259" t="str">
        <f t="shared" si="207"/>
        <v>湖南新亚胜</v>
      </c>
      <c r="AU1029" s="259" t="str">
        <f t="shared" si="208"/>
        <v>C49SZX20210210DZ</v>
      </c>
      <c r="AV1029" s="259" t="str">
        <f t="shared" si="209"/>
        <v>2022-1-17Yamaha 仓库</v>
      </c>
    </row>
    <row r="1030" spans="1:48" hidden="1">
      <c r="A1030" s="559">
        <v>1530</v>
      </c>
      <c r="B1030" s="664" t="s">
        <v>1125</v>
      </c>
      <c r="C1030" s="664" t="s">
        <v>15</v>
      </c>
      <c r="D1030" s="645" t="s">
        <v>1961</v>
      </c>
      <c r="E1030" s="646" t="s">
        <v>1962</v>
      </c>
      <c r="F1030" s="647" t="s">
        <v>149</v>
      </c>
      <c r="G1030" s="647" t="s">
        <v>24</v>
      </c>
      <c r="H1030" s="647" t="s">
        <v>26</v>
      </c>
      <c r="I1030" s="575" t="s">
        <v>1965</v>
      </c>
      <c r="J1030" s="575">
        <v>1</v>
      </c>
      <c r="K1030" s="647" t="s">
        <v>1964</v>
      </c>
      <c r="L1030" s="759" t="s">
        <v>3962</v>
      </c>
      <c r="M1030" s="665" t="s">
        <v>1807</v>
      </c>
      <c r="N1030" s="647" t="s">
        <v>1828</v>
      </c>
      <c r="O1030" s="575"/>
      <c r="P1030" s="665" t="str">
        <f>VLOOKUP(A1030,'[1]Raw data'!$B:$BA,23,FALSE)</f>
        <v>RMB</v>
      </c>
      <c r="Q1030" s="647" t="str">
        <f>VLOOKUP(A1030,'[1]Raw data'!$B:$Z,2,FALSE)</f>
        <v>C49SZX20210210DZ</v>
      </c>
      <c r="R1030" s="647" t="str">
        <f>VLOOKUP(A1030,'[1]Raw data'!$B:$Z,3,FALSE)</f>
        <v>湖南新亚胜</v>
      </c>
      <c r="S1030" s="647" t="str">
        <f>VLOOKUP(A1030,'[1]Raw data'!$B:$Z,4,FALSE)</f>
        <v>YSM40R-4</v>
      </c>
      <c r="T1030" s="647" t="str">
        <f>VLOOKUP(A1030,'[1]Raw data'!$B:$Z,8,FALSE)</f>
        <v>L-&gt;R</v>
      </c>
      <c r="U1030" s="647" t="str">
        <f>VLOOKUP(A1030,'[1]Raw data'!$B:$Z,9,FALSE)</f>
        <v>No</v>
      </c>
      <c r="V1030" s="567" t="str">
        <f t="shared" ref="V1030" si="210">IF(G1030&amp;H1030=T1030&amp;U1030,"OK","WRONG")</f>
        <v>OK</v>
      </c>
      <c r="W1030" s="563" t="str">
        <f>VLOOKUP(A1030,'[1]Raw data'!$B:$AG,32,FALSE)</f>
        <v>DDP CS</v>
      </c>
      <c r="X1030" s="647">
        <f>VLOOKUP(A1030,'[1]Raw data'!$B:$BA,31,FALSE)</f>
        <v>44546</v>
      </c>
      <c r="Y1030" s="647" t="str">
        <f>VLOOKUP(A1030,'[1]Raw data'!$B:$AS,39,FALSE)</f>
        <v>Yes</v>
      </c>
      <c r="Z1030" s="659"/>
      <c r="AA1030" s="660"/>
      <c r="AB1030" s="661"/>
      <c r="AC1030" s="647" t="s">
        <v>1951</v>
      </c>
      <c r="AD1030" s="662"/>
      <c r="AE1030" s="662"/>
      <c r="AF1030" s="662"/>
      <c r="AG1030" s="662"/>
      <c r="AH1030" s="662"/>
      <c r="AI1030" s="663"/>
      <c r="AN1030" s="542"/>
      <c r="AO1030" s="824" t="str">
        <f t="shared" si="202"/>
        <v>Yes</v>
      </c>
      <c r="AP1030" s="259" t="str">
        <f t="shared" si="203"/>
        <v>MAR 22</v>
      </c>
      <c r="AQ1030" s="542" t="str">
        <f t="shared" si="204"/>
        <v>有定金+有預留客戶</v>
      </c>
      <c r="AR1030" s="259" t="str">
        <f t="shared" si="205"/>
        <v>Shipped_Stock</v>
      </c>
      <c r="AS1030" s="259" t="str">
        <f t="shared" si="206"/>
        <v/>
      </c>
      <c r="AT1030" s="259" t="str">
        <f t="shared" si="207"/>
        <v>湖南新亚胜</v>
      </c>
      <c r="AU1030" s="259" t="str">
        <f t="shared" si="208"/>
        <v>C49SZX20210210DZ</v>
      </c>
      <c r="AV1030" s="259" t="str">
        <f t="shared" si="209"/>
        <v>2022-1-17Yamaha 仓库</v>
      </c>
    </row>
    <row r="1031" spans="1:48" hidden="1">
      <c r="A1031" s="559">
        <v>1512</v>
      </c>
      <c r="B1031" s="664" t="s">
        <v>1125</v>
      </c>
      <c r="C1031" s="664" t="s">
        <v>15</v>
      </c>
      <c r="D1031" s="645" t="s">
        <v>1966</v>
      </c>
      <c r="E1031" s="646" t="s">
        <v>1967</v>
      </c>
      <c r="F1031" s="647" t="s">
        <v>17</v>
      </c>
      <c r="G1031" s="647" t="s">
        <v>18</v>
      </c>
      <c r="H1031" s="647" t="s">
        <v>26</v>
      </c>
      <c r="I1031" s="575" t="s">
        <v>1968</v>
      </c>
      <c r="J1031" s="575">
        <v>1</v>
      </c>
      <c r="K1031" s="647" t="s">
        <v>1964</v>
      </c>
      <c r="L1031" s="759" t="s">
        <v>3962</v>
      </c>
      <c r="M1031" s="665" t="s">
        <v>1807</v>
      </c>
      <c r="N1031" s="647" t="s">
        <v>1890</v>
      </c>
      <c r="O1031" s="575"/>
      <c r="P1031" s="665" t="str">
        <f>VLOOKUP(A1031,'[1]Raw data'!$B:$BA,23,FALSE)</f>
        <v>RMB</v>
      </c>
      <c r="Q1031" s="647" t="str">
        <f>VLOOKUP(A1031,'[1]Raw data'!$B:$Z,2,FALSE)</f>
        <v>C49SZX20210216AY</v>
      </c>
      <c r="R1031" s="647" t="str">
        <f>VLOOKUP(A1031,'[1]Raw data'!$B:$Z,3,FALSE)</f>
        <v>勃旭</v>
      </c>
      <c r="S1031" s="647" t="str">
        <f>VLOOKUP(A1031,'[1]Raw data'!$B:$Z,4,FALSE)</f>
        <v>YSM10</v>
      </c>
      <c r="T1031" s="647" t="str">
        <f>VLOOKUP(A1031,'[1]Raw data'!$B:$Z,8,FALSE)</f>
        <v>L-&gt;R</v>
      </c>
      <c r="U1031" s="647" t="str">
        <f>VLOOKUP(A1031,'[1]Raw data'!$B:$Z,9,FALSE)</f>
        <v>MVC</v>
      </c>
      <c r="V1031" s="567" t="str">
        <f>IF(G1031&amp;H1031=T1031&amp;U1031,"OK","WRONG")</f>
        <v>WRONG</v>
      </c>
      <c r="W1031" s="563" t="str">
        <f>VLOOKUP(A1031,'[1]Raw data'!$B:$AG,32,FALSE)</f>
        <v>DDP SZ</v>
      </c>
      <c r="X1031" s="647">
        <f>VLOOKUP(A1031,'[1]Raw data'!$B:$BA,31,FALSE)</f>
        <v>44537</v>
      </c>
      <c r="Y1031" s="647" t="str">
        <f>VLOOKUP(A1031,'[1]Raw data'!$B:$AS,39,FALSE)</f>
        <v>Yes</v>
      </c>
      <c r="Z1031" s="659"/>
      <c r="AA1031" s="660"/>
      <c r="AB1031" s="661"/>
      <c r="AC1031" s="647" t="s">
        <v>1891</v>
      </c>
      <c r="AD1031" s="662">
        <v>302</v>
      </c>
      <c r="AE1031" s="662">
        <v>10</v>
      </c>
      <c r="AF1031" s="662"/>
      <c r="AG1031" s="662"/>
      <c r="AH1031" s="662"/>
      <c r="AI1031" s="663"/>
      <c r="AN1031" s="542"/>
      <c r="AO1031" s="824" t="str">
        <f t="shared" si="202"/>
        <v>Yes</v>
      </c>
      <c r="AP1031" s="259" t="str">
        <f t="shared" si="203"/>
        <v>FEB 22</v>
      </c>
      <c r="AQ1031" s="542" t="str">
        <f t="shared" si="204"/>
        <v>有定金+有預留客戶</v>
      </c>
      <c r="AR1031" s="259" t="str">
        <f t="shared" si="205"/>
        <v>Shipped_Stock</v>
      </c>
      <c r="AS1031" s="259" t="str">
        <f t="shared" si="206"/>
        <v/>
      </c>
      <c r="AT1031" s="259" t="str">
        <f t="shared" si="207"/>
        <v>勃旭</v>
      </c>
      <c r="AU1031" s="259" t="str">
        <f t="shared" si="208"/>
        <v>C49SZX20210216AY</v>
      </c>
      <c r="AV1031" s="259" t="str">
        <f t="shared" si="209"/>
        <v>2022-1-17Yamaha 仓库</v>
      </c>
    </row>
    <row r="1032" spans="1:48" hidden="1">
      <c r="A1032" s="559">
        <v>1484</v>
      </c>
      <c r="B1032" s="664" t="s">
        <v>1125</v>
      </c>
      <c r="C1032" s="664" t="s">
        <v>15</v>
      </c>
      <c r="D1032" s="645" t="s">
        <v>1969</v>
      </c>
      <c r="E1032" s="646" t="s">
        <v>1970</v>
      </c>
      <c r="F1032" s="647" t="s">
        <v>17</v>
      </c>
      <c r="G1032" s="647" t="s">
        <v>18</v>
      </c>
      <c r="H1032" s="647" t="s">
        <v>26</v>
      </c>
      <c r="I1032" s="575" t="s">
        <v>1971</v>
      </c>
      <c r="J1032" s="575">
        <v>1</v>
      </c>
      <c r="K1032" s="647" t="s">
        <v>1419</v>
      </c>
      <c r="L1032" s="759" t="s">
        <v>3962</v>
      </c>
      <c r="M1032" s="665" t="s">
        <v>1807</v>
      </c>
      <c r="N1032" s="647" t="s">
        <v>1828</v>
      </c>
      <c r="O1032" s="575"/>
      <c r="P1032" s="665" t="str">
        <f>VLOOKUP(A1032,'[1]Raw data'!$B:$BA,23,FALSE)</f>
        <v>RMB</v>
      </c>
      <c r="Q1032" s="647" t="str">
        <f>VLOOKUP(A1032,'[1]Raw data'!$B:$Z,2,FALSE)</f>
        <v>C49SZX20210197JY</v>
      </c>
      <c r="R1032" s="647" t="str">
        <f>VLOOKUP(A1032,'[1]Raw data'!$B:$Z,3,FALSE)</f>
        <v>高华（End user:龙高）</v>
      </c>
      <c r="S1032" s="647" t="str">
        <f>VLOOKUP(A1032,'[1]Raw data'!$B:$Z,4,FALSE)</f>
        <v>YSM10</v>
      </c>
      <c r="T1032" s="647" t="str">
        <f>VLOOKUP(A1032,'[1]Raw data'!$B:$Z,8,FALSE)</f>
        <v>L-&gt;R</v>
      </c>
      <c r="U1032" s="647" t="str">
        <f>VLOOKUP(A1032,'[1]Raw data'!$B:$Z,9,FALSE)</f>
        <v>MVC</v>
      </c>
      <c r="V1032" s="567" t="str">
        <f>IF(G1032&amp;H1032=T1032&amp;U1032,"OK","WRONG")</f>
        <v>WRONG</v>
      </c>
      <c r="W1032" s="563" t="str">
        <f>VLOOKUP(A1032,'[1]Raw data'!$B:$AG,32,FALSE)</f>
        <v>DDP FS</v>
      </c>
      <c r="X1032" s="647">
        <f>VLOOKUP(A1032,'[1]Raw data'!$B:$BA,31,FALSE)</f>
        <v>44490</v>
      </c>
      <c r="Y1032" s="647" t="str">
        <f>VLOOKUP(A1032,'[1]Raw data'!$B:$AS,39,FALSE)</f>
        <v>Yes</v>
      </c>
      <c r="Z1032" s="659"/>
      <c r="AA1032" s="660"/>
      <c r="AB1032" s="661"/>
      <c r="AC1032" s="647" t="s">
        <v>1972</v>
      </c>
      <c r="AD1032" s="662">
        <v>301</v>
      </c>
      <c r="AE1032" s="662">
        <v>10</v>
      </c>
      <c r="AF1032" s="662"/>
      <c r="AG1032" s="662"/>
      <c r="AH1032" s="662"/>
      <c r="AI1032" s="663"/>
      <c r="AN1032" s="542"/>
      <c r="AO1032" s="824" t="str">
        <f t="shared" si="202"/>
        <v>Yes</v>
      </c>
      <c r="AP1032" s="259" t="str">
        <f t="shared" si="203"/>
        <v>MAR 22</v>
      </c>
      <c r="AQ1032" s="542" t="str">
        <f t="shared" si="204"/>
        <v>有定金+有預留客戶</v>
      </c>
      <c r="AR1032" s="259" t="str">
        <f t="shared" si="205"/>
        <v>Shipped_Stock</v>
      </c>
      <c r="AS1032" s="259" t="str">
        <f t="shared" si="206"/>
        <v/>
      </c>
      <c r="AT1032" s="259" t="str">
        <f t="shared" si="207"/>
        <v>高华（End user:龙高）</v>
      </c>
      <c r="AU1032" s="259" t="str">
        <f t="shared" si="208"/>
        <v>C49SZX20210197JY</v>
      </c>
      <c r="AV1032" s="259" t="str">
        <f t="shared" si="209"/>
        <v>2022-1-17Yamaha 仓库</v>
      </c>
    </row>
    <row r="1033" spans="1:48" hidden="1">
      <c r="A1033" s="559">
        <v>1599</v>
      </c>
      <c r="B1033" s="664" t="s">
        <v>1125</v>
      </c>
      <c r="C1033" s="664" t="s">
        <v>15</v>
      </c>
      <c r="D1033" s="690" t="s">
        <v>1973</v>
      </c>
      <c r="E1033" s="646" t="s">
        <v>1974</v>
      </c>
      <c r="F1033" s="647" t="s">
        <v>58</v>
      </c>
      <c r="G1033" s="647" t="s">
        <v>24</v>
      </c>
      <c r="H1033" s="647" t="s">
        <v>26</v>
      </c>
      <c r="I1033" s="575" t="s">
        <v>1975</v>
      </c>
      <c r="J1033" s="575">
        <v>1</v>
      </c>
      <c r="K1033" s="647" t="s">
        <v>1419</v>
      </c>
      <c r="L1033" s="759" t="s">
        <v>3962</v>
      </c>
      <c r="M1033" s="665" t="s">
        <v>1807</v>
      </c>
      <c r="N1033" s="647" t="s">
        <v>1828</v>
      </c>
      <c r="O1033" s="575"/>
      <c r="P1033" s="665" t="str">
        <f>VLOOKUP(A1033,'[1]Raw data'!$B:$BA,23,FALSE)</f>
        <v>JPY</v>
      </c>
      <c r="Q1033" s="647" t="str">
        <f>VLOOKUP(A1033,'[1]Raw data'!$B:$Z,2,FALSE)</f>
        <v>C49SZX20220017JL</v>
      </c>
      <c r="R1033" s="647" t="str">
        <f>VLOOKUP(A1033,'[1]Raw data'!$B:$Z,3,FALSE)</f>
        <v>英特莱</v>
      </c>
      <c r="S1033" s="647" t="str">
        <f>VLOOKUP(A1033,'[1]Raw data'!$B:$Z,4,FALSE)</f>
        <v>YSM20R-2</v>
      </c>
      <c r="T1033" s="647" t="str">
        <f>VLOOKUP(A1033,'[1]Raw data'!$B:$Z,8,FALSE)</f>
        <v>L-&gt;R</v>
      </c>
      <c r="U1033" s="647" t="str">
        <f>VLOOKUP(A1033,'[1]Raw data'!$B:$Z,9,FALSE)</f>
        <v>No</v>
      </c>
      <c r="V1033" s="567" t="str">
        <f>IF(G1033&amp;H1033=T1033&amp;U1033,"OK","WRONG")</f>
        <v>OK</v>
      </c>
      <c r="W1033" s="563" t="str">
        <f>VLOOKUP(A1033,'[1]Raw data'!$B:$AG,32,FALSE)</f>
        <v>DAP SZ</v>
      </c>
      <c r="X1033" s="647">
        <f>VLOOKUP(A1033,'[1]Raw data'!$B:$BA,31,FALSE)</f>
        <v>44616</v>
      </c>
      <c r="Y1033" s="647" t="str">
        <f>VLOOKUP(A1033,'[1]Raw data'!$B:$AS,39,FALSE)</f>
        <v>Yes</v>
      </c>
      <c r="Z1033" s="659"/>
      <c r="AA1033" s="660"/>
      <c r="AB1033" s="661"/>
      <c r="AC1033" s="647" t="s">
        <v>1976</v>
      </c>
      <c r="AD1033" s="662">
        <v>302</v>
      </c>
      <c r="AE1033" s="662">
        <v>10</v>
      </c>
      <c r="AF1033" s="662">
        <v>301</v>
      </c>
      <c r="AG1033" s="662">
        <v>10</v>
      </c>
      <c r="AH1033" s="662"/>
      <c r="AI1033" s="663"/>
      <c r="AN1033" s="542"/>
      <c r="AO1033" s="824" t="str">
        <f t="shared" si="202"/>
        <v>Yes</v>
      </c>
      <c r="AP1033" s="259" t="str">
        <f t="shared" si="203"/>
        <v>MAR 22</v>
      </c>
      <c r="AQ1033" s="542" t="str">
        <f t="shared" si="204"/>
        <v>有定金+有預留客戶</v>
      </c>
      <c r="AR1033" s="259" t="str">
        <f t="shared" si="205"/>
        <v>Shipped_Stock</v>
      </c>
      <c r="AS1033" s="259" t="str">
        <f t="shared" si="206"/>
        <v/>
      </c>
      <c r="AT1033" s="259" t="str">
        <f t="shared" si="207"/>
        <v>英特莱</v>
      </c>
      <c r="AU1033" s="259" t="str">
        <f t="shared" si="208"/>
        <v>C49SZX20220017JL</v>
      </c>
      <c r="AV1033" s="259" t="str">
        <f t="shared" si="209"/>
        <v>2022-1-17Yamaha 仓库</v>
      </c>
    </row>
    <row r="1034" spans="1:48" hidden="1">
      <c r="A1034" s="599">
        <v>1382</v>
      </c>
      <c r="B1034" s="664" t="s">
        <v>1125</v>
      </c>
      <c r="C1034" s="664" t="s">
        <v>15</v>
      </c>
      <c r="D1034" s="645" t="s">
        <v>1973</v>
      </c>
      <c r="E1034" s="646" t="s">
        <v>1974</v>
      </c>
      <c r="F1034" s="647" t="s">
        <v>17</v>
      </c>
      <c r="G1034" s="647" t="s">
        <v>18</v>
      </c>
      <c r="H1034" s="647" t="s">
        <v>26</v>
      </c>
      <c r="I1034" s="575" t="s">
        <v>1977</v>
      </c>
      <c r="J1034" s="575">
        <v>1</v>
      </c>
      <c r="K1034" s="647" t="s">
        <v>1419</v>
      </c>
      <c r="L1034" s="759" t="s">
        <v>3962</v>
      </c>
      <c r="M1034" s="665" t="s">
        <v>1807</v>
      </c>
      <c r="N1034" s="647" t="s">
        <v>1828</v>
      </c>
      <c r="O1034" s="575">
        <v>2022.1</v>
      </c>
      <c r="P1034" s="665" t="str">
        <f>VLOOKUP(A1034,'[1]Raw data'!$B:$BA,23,FALSE)</f>
        <v>JPY</v>
      </c>
      <c r="Q1034" s="647" t="str">
        <f>VLOOKUP(A1034,'[1]Raw data'!$B:$Z,2,FALSE)</f>
        <v>C49SZX20210155MZR1</v>
      </c>
      <c r="R1034" s="647" t="str">
        <f>VLOOKUP(A1034,'[1]Raw data'!$B:$Z,3,FALSE)</f>
        <v>巨能</v>
      </c>
      <c r="S1034" s="647" t="str">
        <f>VLOOKUP(A1034,'[1]Raw data'!$B:$Z,4,FALSE)</f>
        <v>YSM10</v>
      </c>
      <c r="T1034" s="647" t="str">
        <f>VLOOKUP(A1034,'[1]Raw data'!$B:$Z,8,FALSE)</f>
        <v>L-&gt;R</v>
      </c>
      <c r="U1034" s="647" t="str">
        <f>VLOOKUP(A1034,'[1]Raw data'!$B:$Z,9,FALSE)</f>
        <v>MVC</v>
      </c>
      <c r="V1034" s="567" t="str">
        <f t="shared" ref="V1034" si="211">IF(G1034&amp;H1034=T1034&amp;U1034,"OK","WRONG")</f>
        <v>WRONG</v>
      </c>
      <c r="W1034" s="563" t="str">
        <f>VLOOKUP(A1034,'[1]Raw data'!$B:$AG,32,FALSE)</f>
        <v>DAP SZ</v>
      </c>
      <c r="X1034" s="647">
        <f>VLOOKUP(A1034,'[1]Raw data'!$B:$BA,31,FALSE)</f>
        <v>44337</v>
      </c>
      <c r="Y1034" s="647" t="str">
        <f>VLOOKUP(A1034,'[1]Raw data'!$B:$AS,39,FALSE)</f>
        <v>Yes</v>
      </c>
      <c r="Z1034" s="666"/>
      <c r="AA1034" s="660"/>
      <c r="AB1034" s="661"/>
      <c r="AC1034" s="647" t="s">
        <v>1647</v>
      </c>
      <c r="AD1034" s="575">
        <v>302</v>
      </c>
      <c r="AE1034" s="575">
        <v>10</v>
      </c>
      <c r="AF1034" s="575"/>
      <c r="AG1034" s="575"/>
      <c r="AH1034" s="575"/>
      <c r="AI1034" s="679"/>
      <c r="AJ1034" s="564"/>
      <c r="AK1034" s="564"/>
      <c r="AL1034" s="564"/>
      <c r="AM1034" s="564"/>
      <c r="AN1034" s="614"/>
      <c r="AO1034" s="824" t="str">
        <f t="shared" si="202"/>
        <v>Yes</v>
      </c>
      <c r="AP1034" s="259" t="str">
        <f t="shared" si="203"/>
        <v>MAR 22</v>
      </c>
      <c r="AQ1034" s="542" t="str">
        <f t="shared" si="204"/>
        <v>有定金+有預留客戶</v>
      </c>
      <c r="AR1034" s="259" t="str">
        <f t="shared" si="205"/>
        <v>Shipped_Stock</v>
      </c>
      <c r="AS1034" s="259" t="str">
        <f t="shared" si="206"/>
        <v/>
      </c>
      <c r="AT1034" s="259" t="str">
        <f t="shared" si="207"/>
        <v>巨能</v>
      </c>
      <c r="AU1034" s="259" t="str">
        <f t="shared" si="208"/>
        <v>C49SZX20210155MZR1</v>
      </c>
      <c r="AV1034" s="259" t="str">
        <f t="shared" si="209"/>
        <v>2022-1-17Yamaha 仓库</v>
      </c>
    </row>
    <row r="1035" spans="1:48" hidden="1">
      <c r="A1035" s="599">
        <v>1383</v>
      </c>
      <c r="B1035" s="664" t="s">
        <v>1125</v>
      </c>
      <c r="C1035" s="664" t="s">
        <v>15</v>
      </c>
      <c r="D1035" s="645" t="s">
        <v>1969</v>
      </c>
      <c r="E1035" s="646" t="s">
        <v>1970</v>
      </c>
      <c r="F1035" s="647" t="s">
        <v>17</v>
      </c>
      <c r="G1035" s="647" t="s">
        <v>18</v>
      </c>
      <c r="H1035" s="647" t="s">
        <v>26</v>
      </c>
      <c r="I1035" s="575" t="s">
        <v>1978</v>
      </c>
      <c r="J1035" s="575">
        <v>1</v>
      </c>
      <c r="K1035" s="647" t="s">
        <v>1419</v>
      </c>
      <c r="L1035" s="759" t="s">
        <v>3962</v>
      </c>
      <c r="M1035" s="665" t="s">
        <v>1807</v>
      </c>
      <c r="N1035" s="647" t="s">
        <v>1828</v>
      </c>
      <c r="O1035" s="575">
        <v>2022.1</v>
      </c>
      <c r="P1035" s="665" t="str">
        <f>VLOOKUP(A1035,'[1]Raw data'!$B:$BA,23,FALSE)</f>
        <v>JPY</v>
      </c>
      <c r="Q1035" s="647" t="str">
        <f>VLOOKUP(A1035,'[1]Raw data'!$B:$Z,2,FALSE)</f>
        <v>C49SZX20210182MZ</v>
      </c>
      <c r="R1035" s="647" t="str">
        <f>VLOOKUP(A1035,'[1]Raw data'!$B:$Z,3,FALSE)</f>
        <v>巨能</v>
      </c>
      <c r="S1035" s="647" t="str">
        <f>VLOOKUP(A1035,'[1]Raw data'!$B:$Z,4,FALSE)</f>
        <v>YSM10</v>
      </c>
      <c r="T1035" s="647" t="str">
        <f>VLOOKUP(A1035,'[1]Raw data'!$B:$Z,8,FALSE)</f>
        <v>L-&gt;R</v>
      </c>
      <c r="U1035" s="647" t="str">
        <f>VLOOKUP(A1035,'[1]Raw data'!$B:$Z,9,FALSE)</f>
        <v>MVC</v>
      </c>
      <c r="V1035" s="567" t="str">
        <f t="shared" ref="V1035" si="212">IF(G1035&amp;H1035=T1035&amp;U1035,"OK","WRONG")</f>
        <v>WRONG</v>
      </c>
      <c r="W1035" s="563" t="str">
        <f>VLOOKUP(A1035,'[1]Raw data'!$B:$AG,32,FALSE)</f>
        <v>DAP SZ</v>
      </c>
      <c r="X1035" s="647">
        <f>VLOOKUP(A1035,'[1]Raw data'!$B:$BA,31,FALSE)</f>
        <v>44337</v>
      </c>
      <c r="Y1035" s="647" t="str">
        <f>VLOOKUP(A1035,'[1]Raw data'!$B:$AS,39,FALSE)</f>
        <v>Yes</v>
      </c>
      <c r="Z1035" s="666"/>
      <c r="AA1035" s="660"/>
      <c r="AB1035" s="661"/>
      <c r="AC1035" s="647" t="s">
        <v>1647</v>
      </c>
      <c r="AD1035" s="575">
        <v>302</v>
      </c>
      <c r="AE1035" s="575">
        <v>10</v>
      </c>
      <c r="AF1035" s="575"/>
      <c r="AG1035" s="575"/>
      <c r="AH1035" s="575"/>
      <c r="AI1035" s="679"/>
      <c r="AJ1035" s="564"/>
      <c r="AK1035" s="564"/>
      <c r="AL1035" s="564"/>
      <c r="AM1035" s="564"/>
      <c r="AN1035" s="614"/>
      <c r="AO1035" s="824" t="str">
        <f t="shared" si="202"/>
        <v>Yes</v>
      </c>
      <c r="AP1035" s="259" t="str">
        <f t="shared" si="203"/>
        <v>MAR 22</v>
      </c>
      <c r="AQ1035" s="542" t="str">
        <f t="shared" si="204"/>
        <v>有定金+有預留客戶</v>
      </c>
      <c r="AR1035" s="259" t="str">
        <f t="shared" si="205"/>
        <v>Shipped_Stock</v>
      </c>
      <c r="AS1035" s="259" t="str">
        <f t="shared" si="206"/>
        <v/>
      </c>
      <c r="AT1035" s="259" t="str">
        <f t="shared" si="207"/>
        <v>巨能</v>
      </c>
      <c r="AU1035" s="259" t="str">
        <f t="shared" si="208"/>
        <v>C49SZX20210182MZ</v>
      </c>
      <c r="AV1035" s="259" t="str">
        <f t="shared" si="209"/>
        <v>2022-1-17Yamaha 仓库</v>
      </c>
    </row>
    <row r="1036" spans="1:48" hidden="1">
      <c r="A1036" s="559">
        <v>1606</v>
      </c>
      <c r="B1036" s="664" t="s">
        <v>1125</v>
      </c>
      <c r="C1036" s="563" t="s">
        <v>4013</v>
      </c>
      <c r="D1036" s="761">
        <v>110666</v>
      </c>
      <c r="E1036" s="736" t="s">
        <v>1979</v>
      </c>
      <c r="F1036" s="647" t="s">
        <v>201</v>
      </c>
      <c r="G1036" s="647" t="s">
        <v>18</v>
      </c>
      <c r="H1036" s="647" t="s">
        <v>1980</v>
      </c>
      <c r="I1036" s="575" t="s">
        <v>1981</v>
      </c>
      <c r="J1036" s="575">
        <v>1</v>
      </c>
      <c r="K1036" s="647" t="s">
        <v>1732</v>
      </c>
      <c r="L1036" s="749">
        <v>44587</v>
      </c>
      <c r="M1036" s="665" t="s">
        <v>906</v>
      </c>
      <c r="N1036" s="647" t="s">
        <v>1982</v>
      </c>
      <c r="O1036" s="575">
        <v>2021.12</v>
      </c>
      <c r="P1036" s="665" t="str">
        <f>VLOOKUP(A1036,'[1]Raw data'!$B:$BA,23,FALSE)</f>
        <v>JPY</v>
      </c>
      <c r="Q1036" s="647" t="str">
        <f>VLOOKUP(A1036,'[1]Raw data'!$B:$Z,2,FALSE)</f>
        <v>C49SZX20220028R1SX</v>
      </c>
      <c r="R1036" s="647" t="str">
        <f>VLOOKUP(A1036,'[1]Raw data'!$B:$Z,3,FALSE)</f>
        <v>通达科信</v>
      </c>
      <c r="S1036" s="647" t="str">
        <f>VLOOKUP(A1036,'[1]Raw data'!$B:$Z,4,FALSE)</f>
        <v>YSi-V</v>
      </c>
      <c r="T1036" s="647" t="str">
        <f>VLOOKUP(A1036,'[1]Raw data'!$B:$Z,8,FALSE)</f>
        <v>L-&gt;R</v>
      </c>
      <c r="U1036" s="647" t="str">
        <f>VLOOKUP(A1036,'[1]Raw data'!$B:$Z,9,FALSE)</f>
        <v>No</v>
      </c>
      <c r="V1036" s="567" t="str">
        <f t="shared" ref="V1036" si="213">IF(G1036&amp;H1036=T1036&amp;U1036,"OK","WRONG")</f>
        <v>WRONG</v>
      </c>
      <c r="W1036" s="563" t="str">
        <f>VLOOKUP(A1036,'[1]Raw data'!$B:$AG,32,FALSE)</f>
        <v>CIF HK</v>
      </c>
      <c r="X1036" s="647">
        <f>VLOOKUP(A1036,'[1]Raw data'!$B:$BA,31,FALSE)</f>
        <v>44627</v>
      </c>
      <c r="Y1036" s="647" t="str">
        <f>VLOOKUP(A1036,'[1]Raw data'!$B:$AS,39,FALSE)</f>
        <v>Yes</v>
      </c>
      <c r="Z1036" s="659"/>
      <c r="AA1036" s="660"/>
      <c r="AB1036" s="661"/>
      <c r="AC1036" s="647" t="s">
        <v>1983</v>
      </c>
      <c r="AD1036" s="662"/>
      <c r="AE1036" s="662"/>
      <c r="AF1036" s="662"/>
      <c r="AG1036" s="662"/>
      <c r="AH1036" s="662"/>
      <c r="AI1036" s="663"/>
      <c r="AN1036" s="542"/>
      <c r="AO1036" s="824" t="str">
        <f t="shared" si="202"/>
        <v>Yes</v>
      </c>
      <c r="AP1036" s="259" t="str">
        <f t="shared" si="203"/>
        <v>JUN 22</v>
      </c>
      <c r="AQ1036" s="542" t="str">
        <f t="shared" si="204"/>
        <v>有定金+有預留客戶</v>
      </c>
      <c r="AR1036" s="259" t="str">
        <f t="shared" si="205"/>
        <v>Shipped_Stock</v>
      </c>
      <c r="AS1036" s="259" t="str">
        <f t="shared" si="206"/>
        <v/>
      </c>
      <c r="AT1036" s="259" t="str">
        <f t="shared" si="207"/>
        <v>通达科信</v>
      </c>
      <c r="AU1036" s="259" t="str">
        <f t="shared" si="208"/>
        <v>C49SZX20220028R1SX</v>
      </c>
      <c r="AV1036" s="259" t="str">
        <f t="shared" si="209"/>
        <v>Jan-26</v>
      </c>
    </row>
    <row r="1037" spans="1:48" ht="13.5" hidden="1" thickBot="1">
      <c r="A1037" s="762" t="s">
        <v>1984</v>
      </c>
      <c r="B1037" s="664" t="s">
        <v>1125</v>
      </c>
      <c r="C1037" s="563" t="s">
        <v>4013</v>
      </c>
      <c r="D1037" s="763">
        <v>110666</v>
      </c>
      <c r="E1037" s="736" t="s">
        <v>1979</v>
      </c>
      <c r="F1037" s="647" t="s">
        <v>201</v>
      </c>
      <c r="G1037" s="647" t="s">
        <v>24</v>
      </c>
      <c r="H1037" s="647" t="s">
        <v>1980</v>
      </c>
      <c r="I1037" s="575" t="s">
        <v>1985</v>
      </c>
      <c r="J1037" s="575">
        <v>1</v>
      </c>
      <c r="K1037" s="647" t="s">
        <v>1732</v>
      </c>
      <c r="L1037" s="749">
        <v>44587</v>
      </c>
      <c r="M1037" s="665" t="s">
        <v>906</v>
      </c>
      <c r="N1037" s="647"/>
      <c r="O1037" s="575">
        <v>2021.12</v>
      </c>
      <c r="P1037" s="665" t="s">
        <v>1246</v>
      </c>
      <c r="Q1037" s="647" t="s">
        <v>1986</v>
      </c>
      <c r="R1037" s="764" t="s">
        <v>1987</v>
      </c>
      <c r="S1037" s="647" t="s">
        <v>201</v>
      </c>
      <c r="T1037" s="647" t="s">
        <v>24</v>
      </c>
      <c r="U1037" s="647" t="s">
        <v>1980</v>
      </c>
      <c r="V1037" s="567" t="str">
        <f t="shared" ref="V1037:V1046" si="214">IF(G1037&amp;H1037=T1037&amp;U1037,"OK","WRONG")</f>
        <v>OK</v>
      </c>
      <c r="W1037" s="563" t="s">
        <v>1988</v>
      </c>
      <c r="X1037" s="647">
        <v>44646</v>
      </c>
      <c r="Y1037" s="647" t="e">
        <f>VLOOKUP(A1037,'[1]Raw data'!$B:$AS,39,FALSE)</f>
        <v>#N/A</v>
      </c>
      <c r="Z1037" s="666"/>
      <c r="AA1037" s="660"/>
      <c r="AB1037" s="661"/>
      <c r="AC1037" s="647" t="s">
        <v>1989</v>
      </c>
      <c r="AD1037" s="575"/>
      <c r="AE1037" s="575"/>
      <c r="AF1037" s="575"/>
      <c r="AG1037" s="575"/>
      <c r="AH1037" s="575"/>
      <c r="AI1037" s="679"/>
      <c r="AJ1037" s="564"/>
      <c r="AK1037" s="564"/>
      <c r="AL1037" s="564"/>
      <c r="AM1037" s="564"/>
      <c r="AN1037" s="614"/>
      <c r="AO1037" s="824" t="str">
        <f t="shared" si="202"/>
        <v>No</v>
      </c>
      <c r="AP1037" s="259" t="str">
        <f t="shared" si="203"/>
        <v>blank</v>
      </c>
      <c r="AQ1037" s="542" t="str">
        <f t="shared" si="204"/>
        <v>无定金+无預留客戶</v>
      </c>
      <c r="AR1037" s="259" t="str">
        <f t="shared" si="205"/>
        <v>Shipped_Stock</v>
      </c>
      <c r="AS1037" s="259" t="str">
        <f t="shared" si="206"/>
        <v/>
      </c>
      <c r="AT1037" s="259" t="str">
        <f t="shared" si="207"/>
        <v>浙江禾川</v>
      </c>
      <c r="AU1037" s="259" t="str">
        <f t="shared" si="208"/>
        <v>C49SHA20220306/LQM</v>
      </c>
      <c r="AV1037" s="259" t="str">
        <f t="shared" si="209"/>
        <v>Jan-26</v>
      </c>
    </row>
    <row r="1038" spans="1:48" hidden="1">
      <c r="A1038" s="559">
        <v>1482</v>
      </c>
      <c r="B1038" s="664" t="s">
        <v>1125</v>
      </c>
      <c r="C1038" s="664" t="s">
        <v>15</v>
      </c>
      <c r="D1038" s="761" t="s">
        <v>1990</v>
      </c>
      <c r="E1038" s="646" t="s">
        <v>1934</v>
      </c>
      <c r="F1038" s="647" t="s">
        <v>58</v>
      </c>
      <c r="G1038" s="647" t="s">
        <v>24</v>
      </c>
      <c r="H1038" s="647" t="s">
        <v>159</v>
      </c>
      <c r="I1038" s="575" t="s">
        <v>1991</v>
      </c>
      <c r="J1038" s="575">
        <v>1</v>
      </c>
      <c r="K1038" s="647" t="s">
        <v>1732</v>
      </c>
      <c r="L1038" s="657">
        <v>44596</v>
      </c>
      <c r="M1038" s="665">
        <v>5.6099999999999997E-2</v>
      </c>
      <c r="N1038" s="647" t="s">
        <v>1890</v>
      </c>
      <c r="O1038" s="575"/>
      <c r="P1038" s="665" t="str">
        <f>VLOOKUP(A1038,'[1]Raw data'!$B:$BA,23,FALSE)</f>
        <v>RMB</v>
      </c>
      <c r="Q1038" s="647" t="str">
        <f>VLOOKUP(A1038,'[1]Raw data'!$B:$Z,2,FALSE)</f>
        <v>C49SZX20210196MZ</v>
      </c>
      <c r="R1038" s="647" t="str">
        <f>VLOOKUP(A1038,'[1]Raw data'!$B:$Z,3,FALSE)</f>
        <v>派诺</v>
      </c>
      <c r="S1038" s="647" t="str">
        <f>VLOOKUP(A1038,'[1]Raw data'!$B:$Z,4,FALSE)</f>
        <v>YSM20R-2</v>
      </c>
      <c r="T1038" s="647" t="str">
        <f>VLOOKUP(A1038,'[1]Raw data'!$B:$Z,8,FALSE)</f>
        <v>L-&gt;R</v>
      </c>
      <c r="U1038" s="647" t="str">
        <f>VLOOKUP(A1038,'[1]Raw data'!$B:$Z,9,FALSE)</f>
        <v>cATS10+MVC+Feeder Carriage</v>
      </c>
      <c r="V1038" s="567" t="str">
        <f t="shared" ref="V1038:V1039" si="215">IF(G1038&amp;H1038=T1038&amp;U1038,"OK","WRONG")</f>
        <v>WRONG</v>
      </c>
      <c r="W1038" s="563" t="str">
        <f>VLOOKUP(A1038,'[1]Raw data'!$B:$AG,32,FALSE)</f>
        <v>DDP ZH</v>
      </c>
      <c r="X1038" s="647">
        <f>VLOOKUP(A1038,'[1]Raw data'!$B:$BA,31,FALSE)</f>
        <v>44465</v>
      </c>
      <c r="Y1038" s="647" t="str">
        <f>VLOOKUP(A1038,'[1]Raw data'!$B:$AS,39,FALSE)</f>
        <v>Yes</v>
      </c>
      <c r="Z1038" s="659"/>
      <c r="AA1038" s="660"/>
      <c r="AB1038" s="661"/>
      <c r="AC1038" s="647" t="s">
        <v>435</v>
      </c>
      <c r="AD1038" s="662">
        <v>302</v>
      </c>
      <c r="AE1038" s="662">
        <v>10</v>
      </c>
      <c r="AF1038" s="662">
        <v>301</v>
      </c>
      <c r="AG1038" s="662">
        <v>10</v>
      </c>
      <c r="AH1038" s="662"/>
      <c r="AI1038" s="663"/>
      <c r="AN1038" s="542"/>
      <c r="AO1038" s="824" t="str">
        <f t="shared" si="202"/>
        <v>Yes</v>
      </c>
      <c r="AP1038" s="259" t="str">
        <f t="shared" si="203"/>
        <v>FEB 22</v>
      </c>
      <c r="AQ1038" s="542" t="str">
        <f t="shared" si="204"/>
        <v>有定金+有預留客戶</v>
      </c>
      <c r="AR1038" s="259" t="str">
        <f t="shared" si="205"/>
        <v>Shipped_Stock</v>
      </c>
      <c r="AS1038" s="259" t="str">
        <f t="shared" si="206"/>
        <v/>
      </c>
      <c r="AT1038" s="259" t="str">
        <f t="shared" si="207"/>
        <v>派诺</v>
      </c>
      <c r="AU1038" s="259" t="str">
        <f t="shared" si="208"/>
        <v>C49SZX20210196MZ</v>
      </c>
      <c r="AV1038" s="259" t="str">
        <f t="shared" si="209"/>
        <v>Feb-04</v>
      </c>
    </row>
    <row r="1039" spans="1:48" hidden="1">
      <c r="A1039" s="599">
        <v>1751</v>
      </c>
      <c r="B1039" s="664" t="s">
        <v>1125</v>
      </c>
      <c r="C1039" s="664" t="s">
        <v>281</v>
      </c>
      <c r="D1039" s="755">
        <v>110665</v>
      </c>
      <c r="E1039" s="646" t="s">
        <v>1934</v>
      </c>
      <c r="F1039" s="647" t="s">
        <v>58</v>
      </c>
      <c r="G1039" s="647" t="s">
        <v>24</v>
      </c>
      <c r="H1039" s="647" t="s">
        <v>159</v>
      </c>
      <c r="I1039" s="575" t="s">
        <v>1992</v>
      </c>
      <c r="J1039" s="575">
        <v>1</v>
      </c>
      <c r="K1039" s="647" t="s">
        <v>1419</v>
      </c>
      <c r="L1039" s="657">
        <v>44596</v>
      </c>
      <c r="M1039" s="576">
        <v>5.3449999999999998E-2</v>
      </c>
      <c r="N1039" s="647" t="s">
        <v>208</v>
      </c>
      <c r="O1039" s="575">
        <v>2021.12</v>
      </c>
      <c r="P1039" s="665" t="str">
        <f>VLOOKUP(A1039,'[1]Raw data'!$B:$BA,23,FALSE)</f>
        <v>RMB</v>
      </c>
      <c r="Q1039" s="647" t="str">
        <f>VLOOKUP(A1039,'[1]Raw data'!$B:$Z,2,FALSE)</f>
        <v>C49SZX20220113DZ</v>
      </c>
      <c r="R1039" s="647" t="str">
        <f>VLOOKUP(A1039,'[1]Raw data'!$B:$Z,3,FALSE)</f>
        <v>比泰利</v>
      </c>
      <c r="S1039" s="647" t="str">
        <f>VLOOKUP(A1039,'[1]Raw data'!$B:$Z,4,FALSE)</f>
        <v>YSM20R-2</v>
      </c>
      <c r="T1039" s="647" t="str">
        <f>VLOOKUP(A1039,'[1]Raw data'!$B:$Z,8,FALSE)</f>
        <v>L-&gt;R</v>
      </c>
      <c r="U1039" s="647" t="str">
        <f>VLOOKUP(A1039,'[1]Raw data'!$B:$Z,9,FALSE)</f>
        <v>cATS10+MVC(F&amp;R)+special layout</v>
      </c>
      <c r="V1039" s="567" t="str">
        <f t="shared" si="215"/>
        <v>WRONG</v>
      </c>
      <c r="W1039" s="563" t="str">
        <f>VLOOKUP(A1039,'[1]Raw data'!$B:$AG,32,FALSE)</f>
        <v>DDP SZ</v>
      </c>
      <c r="X1039" s="647">
        <f>VLOOKUP(A1039,'[1]Raw data'!$B:$BA,31,FALSE)</f>
        <v>44867</v>
      </c>
      <c r="Y1039" s="647" t="str">
        <f>VLOOKUP(A1039,'[1]Raw data'!$B:$AS,39,FALSE)</f>
        <v>Yes</v>
      </c>
      <c r="Z1039" s="666"/>
      <c r="AA1039" s="660"/>
      <c r="AB1039" s="661"/>
      <c r="AC1039" s="647" t="s">
        <v>1993</v>
      </c>
      <c r="AD1039" s="575">
        <v>302</v>
      </c>
      <c r="AE1039" s="575">
        <v>10</v>
      </c>
      <c r="AF1039" s="575">
        <v>301</v>
      </c>
      <c r="AG1039" s="575">
        <v>10</v>
      </c>
      <c r="AH1039" s="575"/>
      <c r="AI1039" s="679"/>
      <c r="AJ1039" s="564"/>
      <c r="AK1039" s="564"/>
      <c r="AL1039" s="564"/>
      <c r="AM1039" s="564"/>
      <c r="AN1039" s="614"/>
      <c r="AO1039" s="824" t="str">
        <f t="shared" si="202"/>
        <v>Yes</v>
      </c>
      <c r="AP1039" s="259" t="str">
        <f t="shared" si="203"/>
        <v>NOV 22</v>
      </c>
      <c r="AQ1039" s="542" t="str">
        <f t="shared" si="204"/>
        <v>有定金+有預留客戶</v>
      </c>
      <c r="AR1039" s="259" t="str">
        <f t="shared" si="205"/>
        <v>Shipped_Stock</v>
      </c>
      <c r="AS1039" s="259" t="str">
        <f t="shared" si="206"/>
        <v/>
      </c>
      <c r="AT1039" s="259" t="str">
        <f t="shared" si="207"/>
        <v>比泰利</v>
      </c>
      <c r="AU1039" s="259" t="str">
        <f t="shared" si="208"/>
        <v>C49SZX20220113DZ</v>
      </c>
      <c r="AV1039" s="259" t="str">
        <f t="shared" si="209"/>
        <v>Feb-04</v>
      </c>
    </row>
    <row r="1040" spans="1:48" ht="40.5" hidden="1">
      <c r="A1040" s="559">
        <v>1636</v>
      </c>
      <c r="B1040" s="664" t="s">
        <v>1125</v>
      </c>
      <c r="C1040" s="664" t="s">
        <v>15</v>
      </c>
      <c r="D1040" s="755">
        <v>110693</v>
      </c>
      <c r="E1040" s="736" t="s">
        <v>1994</v>
      </c>
      <c r="F1040" s="647" t="s">
        <v>58</v>
      </c>
      <c r="G1040" s="647" t="s">
        <v>24</v>
      </c>
      <c r="H1040" s="647" t="s">
        <v>26</v>
      </c>
      <c r="I1040" s="575" t="s">
        <v>1995</v>
      </c>
      <c r="J1040" s="575">
        <v>1</v>
      </c>
      <c r="K1040" s="647" t="s">
        <v>1732</v>
      </c>
      <c r="L1040" s="657">
        <v>44596</v>
      </c>
      <c r="M1040" s="665" t="s">
        <v>1996</v>
      </c>
      <c r="N1040" s="647" t="s">
        <v>1930</v>
      </c>
      <c r="O1040" s="575">
        <v>2021.12</v>
      </c>
      <c r="P1040" s="665" t="str">
        <f>VLOOKUP(A1040,'[1]Raw data'!$B:$BA,23,FALSE)</f>
        <v>RMB</v>
      </c>
      <c r="Q1040" s="647" t="str">
        <f>VLOOKUP(A1040,'[1]Raw data'!$B:$Z,2,FALSE)</f>
        <v>C49SZX20220043SQ</v>
      </c>
      <c r="R1040" s="647" t="str">
        <f>VLOOKUP(A1040,'[1]Raw data'!$B:$Z,3,FALSE)</f>
        <v>有泽</v>
      </c>
      <c r="S1040" s="647" t="str">
        <f>VLOOKUP(A1040,'[1]Raw data'!$B:$Z,4,FALSE)</f>
        <v>YSM20R-2</v>
      </c>
      <c r="T1040" s="647" t="str">
        <f>VLOOKUP(A1040,'[1]Raw data'!$B:$Z,8,FALSE)</f>
        <v>L-&gt;R</v>
      </c>
      <c r="U1040" s="647" t="str">
        <f>VLOOKUP(A1040,'[1]Raw data'!$B:$Z,9,FALSE)</f>
        <v>No</v>
      </c>
      <c r="V1040" s="567" t="str">
        <f>IF(G1040&amp;H1040=T1040&amp;U1040,"OK","WRONG")</f>
        <v>OK</v>
      </c>
      <c r="W1040" s="563" t="str">
        <f>VLOOKUP(A1040,'[1]Raw data'!$B:$AG,32,FALSE)</f>
        <v>DDP SZ</v>
      </c>
      <c r="X1040" s="647">
        <f>VLOOKUP(A1040,'[1]Raw data'!$B:$BA,31,FALSE)</f>
        <v>44659</v>
      </c>
      <c r="Y1040" s="647" t="str">
        <f>VLOOKUP(A1040,'[1]Raw data'!$B:$AS,39,FALSE)</f>
        <v>Yes</v>
      </c>
      <c r="Z1040" s="659"/>
      <c r="AA1040" s="660"/>
      <c r="AB1040" s="661"/>
      <c r="AC1040" s="647" t="s">
        <v>1997</v>
      </c>
      <c r="AD1040" s="662">
        <v>302</v>
      </c>
      <c r="AE1040" s="662">
        <v>10</v>
      </c>
      <c r="AF1040" s="662">
        <v>301</v>
      </c>
      <c r="AG1040" s="662">
        <v>10</v>
      </c>
      <c r="AH1040" s="662"/>
      <c r="AI1040" s="663"/>
      <c r="AN1040" s="542"/>
      <c r="AO1040" s="824" t="str">
        <f t="shared" si="202"/>
        <v>Yes</v>
      </c>
      <c r="AP1040" s="259" t="str">
        <f t="shared" si="203"/>
        <v>APR 22</v>
      </c>
      <c r="AQ1040" s="542" t="str">
        <f t="shared" si="204"/>
        <v>有定金+有預留客戶</v>
      </c>
      <c r="AR1040" s="259" t="str">
        <f t="shared" si="205"/>
        <v>Shipped_Stock</v>
      </c>
      <c r="AS1040" s="259" t="str">
        <f t="shared" si="206"/>
        <v/>
      </c>
      <c r="AT1040" s="259" t="str">
        <f t="shared" si="207"/>
        <v>有泽</v>
      </c>
      <c r="AU1040" s="259" t="str">
        <f t="shared" si="208"/>
        <v>C49SZX20220043SQ</v>
      </c>
      <c r="AV1040" s="259" t="str">
        <f t="shared" si="209"/>
        <v>Feb-04</v>
      </c>
    </row>
    <row r="1041" spans="1:48" ht="13.5" hidden="1" thickBot="1">
      <c r="A1041" s="559">
        <v>1634</v>
      </c>
      <c r="B1041" s="664" t="s">
        <v>1125</v>
      </c>
      <c r="C1041" s="664" t="s">
        <v>15</v>
      </c>
      <c r="D1041" s="624">
        <v>110693</v>
      </c>
      <c r="E1041" s="736" t="s">
        <v>1994</v>
      </c>
      <c r="F1041" s="647" t="s">
        <v>58</v>
      </c>
      <c r="G1041" s="647" t="s">
        <v>24</v>
      </c>
      <c r="H1041" s="647" t="s">
        <v>26</v>
      </c>
      <c r="I1041" s="575" t="s">
        <v>1998</v>
      </c>
      <c r="J1041" s="575">
        <v>1</v>
      </c>
      <c r="K1041" s="647" t="s">
        <v>1419</v>
      </c>
      <c r="L1041" s="657">
        <v>44596</v>
      </c>
      <c r="M1041" s="665" t="s">
        <v>1999</v>
      </c>
      <c r="N1041" s="647" t="s">
        <v>1930</v>
      </c>
      <c r="O1041" s="575">
        <v>2021.12</v>
      </c>
      <c r="P1041" s="665" t="str">
        <f>VLOOKUP(A1041,'[1]Raw data'!$B:$BA,23,FALSE)</f>
        <v>RMB</v>
      </c>
      <c r="Q1041" s="647" t="str">
        <f>VLOOKUP(A1041,'[1]Raw data'!$B:$Z,2,FALSE)</f>
        <v>C49SZX20220039JY</v>
      </c>
      <c r="R1041" s="647" t="str">
        <f>VLOOKUP(A1041,'[1]Raw data'!$B:$Z,3,FALSE)</f>
        <v>顺禾</v>
      </c>
      <c r="S1041" s="647" t="str">
        <f>VLOOKUP(A1041,'[1]Raw data'!$B:$Z,4,FALSE)</f>
        <v>YSM20R-2</v>
      </c>
      <c r="T1041" s="647" t="str">
        <f>VLOOKUP(A1041,'[1]Raw data'!$B:$Z,8,FALSE)</f>
        <v>L-&gt;R</v>
      </c>
      <c r="U1041" s="647" t="str">
        <f>VLOOKUP(A1041,'[1]Raw data'!$B:$Z,9,FALSE)</f>
        <v>MVC</v>
      </c>
      <c r="V1041" s="567" t="str">
        <f>IF(G1041&amp;H1041=T1041&amp;U1041,"OK","WRONG")</f>
        <v>WRONG</v>
      </c>
      <c r="W1041" s="563" t="str">
        <f>VLOOKUP(A1041,'[1]Raw data'!$B:$AG,32,FALSE)</f>
        <v>DDP SZ</v>
      </c>
      <c r="X1041" s="647">
        <f>VLOOKUP(A1041,'[1]Raw data'!$B:$BA,31,FALSE)</f>
        <v>44644</v>
      </c>
      <c r="Y1041" s="647" t="str">
        <f>VLOOKUP(A1041,'[1]Raw data'!$B:$AS,39,FALSE)</f>
        <v>Yes</v>
      </c>
      <c r="Z1041" s="666"/>
      <c r="AA1041" s="667"/>
      <c r="AB1041" s="661"/>
      <c r="AC1041" s="647" t="s">
        <v>2000</v>
      </c>
      <c r="AD1041" s="662">
        <v>302</v>
      </c>
      <c r="AE1041" s="662">
        <v>10</v>
      </c>
      <c r="AF1041" s="662">
        <v>301</v>
      </c>
      <c r="AG1041" s="662">
        <v>10</v>
      </c>
      <c r="AH1041" s="662"/>
      <c r="AI1041" s="663"/>
      <c r="AN1041" s="542"/>
      <c r="AO1041" s="824" t="str">
        <f t="shared" si="202"/>
        <v>Yes</v>
      </c>
      <c r="AP1041" s="259" t="str">
        <f t="shared" si="203"/>
        <v>APR 22</v>
      </c>
      <c r="AQ1041" s="542" t="str">
        <f t="shared" si="204"/>
        <v>有定金+有預留客戶</v>
      </c>
      <c r="AR1041" s="259" t="str">
        <f t="shared" si="205"/>
        <v>Shipped_Stock</v>
      </c>
      <c r="AS1041" s="259" t="str">
        <f t="shared" si="206"/>
        <v/>
      </c>
      <c r="AT1041" s="259" t="str">
        <f t="shared" si="207"/>
        <v>顺禾</v>
      </c>
      <c r="AU1041" s="259" t="str">
        <f t="shared" si="208"/>
        <v>C49SZX20220039JY</v>
      </c>
      <c r="AV1041" s="259" t="str">
        <f t="shared" si="209"/>
        <v>Feb-04</v>
      </c>
    </row>
    <row r="1042" spans="1:48" hidden="1">
      <c r="A1042" s="559">
        <v>1598</v>
      </c>
      <c r="B1042" s="664" t="s">
        <v>1125</v>
      </c>
      <c r="C1042" s="664" t="s">
        <v>15</v>
      </c>
      <c r="D1042" s="761">
        <v>110694</v>
      </c>
      <c r="E1042" s="646" t="s">
        <v>2001</v>
      </c>
      <c r="F1042" s="647" t="s">
        <v>58</v>
      </c>
      <c r="G1042" s="647" t="s">
        <v>24</v>
      </c>
      <c r="H1042" s="647" t="s">
        <v>26</v>
      </c>
      <c r="I1042" s="575" t="s">
        <v>2002</v>
      </c>
      <c r="J1042" s="575">
        <v>1</v>
      </c>
      <c r="K1042" s="647" t="s">
        <v>1419</v>
      </c>
      <c r="L1042" s="657">
        <v>44598</v>
      </c>
      <c r="M1042" s="665" t="s">
        <v>2003</v>
      </c>
      <c r="N1042" s="647" t="s">
        <v>1828</v>
      </c>
      <c r="O1042" s="575"/>
      <c r="P1042" s="665" t="str">
        <f>VLOOKUP(A1042,'[1]Raw data'!$B:$BA,23,FALSE)</f>
        <v>RMB</v>
      </c>
      <c r="Q1042" s="647" t="str">
        <f>VLOOKUP(A1042,'[1]Raw data'!$B:$Z,2,FALSE)</f>
        <v>C49SZX20220023SX</v>
      </c>
      <c r="R1042" s="647" t="str">
        <f>VLOOKUP(A1042,'[1]Raw data'!$B:$Z,3,FALSE)</f>
        <v>拓新伟业</v>
      </c>
      <c r="S1042" s="647" t="str">
        <f>VLOOKUP(A1042,'[1]Raw data'!$B:$Z,4,FALSE)</f>
        <v>YSM20R-2</v>
      </c>
      <c r="T1042" s="647" t="str">
        <f>VLOOKUP(A1042,'[1]Raw data'!$B:$Z,8,FALSE)</f>
        <v>L-&gt;R</v>
      </c>
      <c r="U1042" s="647" t="str">
        <f>VLOOKUP(A1042,'[1]Raw data'!$B:$Z,9,FALSE)</f>
        <v>MVC</v>
      </c>
      <c r="V1042" s="567" t="str">
        <f t="shared" si="214"/>
        <v>WRONG</v>
      </c>
      <c r="W1042" s="563" t="str">
        <f>VLOOKUP(A1042,'[1]Raw data'!$B:$AG,32,FALSE)</f>
        <v>DDP SZ</v>
      </c>
      <c r="X1042" s="647">
        <f>VLOOKUP(A1042,'[1]Raw data'!$B:$BA,31,FALSE)</f>
        <v>44615</v>
      </c>
      <c r="Y1042" s="647" t="str">
        <f>VLOOKUP(A1042,'[1]Raw data'!$B:$AS,39,FALSE)</f>
        <v>Yes</v>
      </c>
      <c r="Z1042" s="659"/>
      <c r="AA1042" s="660"/>
      <c r="AB1042" s="661"/>
      <c r="AC1042" s="647" t="s">
        <v>2004</v>
      </c>
      <c r="AD1042" s="662">
        <v>313</v>
      </c>
      <c r="AE1042" s="662">
        <v>20</v>
      </c>
      <c r="AF1042" s="662"/>
      <c r="AG1042" s="662"/>
      <c r="AH1042" s="662"/>
      <c r="AI1042" s="663"/>
      <c r="AN1042" s="542"/>
      <c r="AO1042" s="824" t="str">
        <f t="shared" si="202"/>
        <v>Yes</v>
      </c>
      <c r="AP1042" s="259" t="str">
        <f t="shared" si="203"/>
        <v>MAR 22</v>
      </c>
      <c r="AQ1042" s="542" t="str">
        <f t="shared" si="204"/>
        <v>有定金+有預留客戶</v>
      </c>
      <c r="AR1042" s="259" t="str">
        <f t="shared" si="205"/>
        <v>Shipped_Stock</v>
      </c>
      <c r="AS1042" s="259" t="str">
        <f t="shared" si="206"/>
        <v/>
      </c>
      <c r="AT1042" s="259" t="str">
        <f t="shared" si="207"/>
        <v>拓新伟业</v>
      </c>
      <c r="AU1042" s="259" t="str">
        <f t="shared" si="208"/>
        <v>C49SZX20220023SX</v>
      </c>
      <c r="AV1042" s="259" t="str">
        <f t="shared" si="209"/>
        <v>Feb-06</v>
      </c>
    </row>
    <row r="1043" spans="1:48" hidden="1">
      <c r="A1043" s="559">
        <v>1567</v>
      </c>
      <c r="B1043" s="664" t="s">
        <v>1125</v>
      </c>
      <c r="C1043" s="664" t="s">
        <v>15</v>
      </c>
      <c r="D1043" s="755">
        <v>110695</v>
      </c>
      <c r="E1043" s="646" t="s">
        <v>2005</v>
      </c>
      <c r="F1043" s="647" t="s">
        <v>58</v>
      </c>
      <c r="G1043" s="647" t="s">
        <v>24</v>
      </c>
      <c r="H1043" s="647" t="s">
        <v>26</v>
      </c>
      <c r="I1043" s="575" t="s">
        <v>2006</v>
      </c>
      <c r="J1043" s="575">
        <v>1</v>
      </c>
      <c r="K1043" s="647" t="s">
        <v>85</v>
      </c>
      <c r="L1043" s="657">
        <v>44598</v>
      </c>
      <c r="M1043" s="665" t="s">
        <v>906</v>
      </c>
      <c r="N1043" s="647" t="s">
        <v>1890</v>
      </c>
      <c r="O1043" s="575"/>
      <c r="P1043" s="665" t="str">
        <f>VLOOKUP(A1043,'[1]Raw data'!$B:$BA,23,FALSE)</f>
        <v>JPY</v>
      </c>
      <c r="Q1043" s="647" t="str">
        <f>VLOOKUP(A1043,'[1]Raw data'!$B:$Z,2,FALSE)</f>
        <v>C49SZX20220014JL</v>
      </c>
      <c r="R1043" s="647" t="str">
        <f>VLOOKUP(A1043,'[1]Raw data'!$B:$Z,3,FALSE)</f>
        <v>捷舜诚</v>
      </c>
      <c r="S1043" s="647" t="str">
        <f>VLOOKUP(A1043,'[1]Raw data'!$B:$Z,4,FALSE)</f>
        <v>YSM20R-2</v>
      </c>
      <c r="T1043" s="647" t="str">
        <f>VLOOKUP(A1043,'[1]Raw data'!$B:$Z,8,FALSE)</f>
        <v>L-&gt;R</v>
      </c>
      <c r="U1043" s="647" t="str">
        <f>VLOOKUP(A1043,'[1]Raw data'!$B:$Z,9,FALSE)</f>
        <v>MVC</v>
      </c>
      <c r="V1043" s="567" t="str">
        <f t="shared" si="214"/>
        <v>WRONG</v>
      </c>
      <c r="W1043" s="563" t="str">
        <f>VLOOKUP(A1043,'[1]Raw data'!$B:$AG,32,FALSE)</f>
        <v>DAP SZ</v>
      </c>
      <c r="X1043" s="647">
        <f>VLOOKUP(A1043,'[1]Raw data'!$B:$BA,31,FALSE)</f>
        <v>44586</v>
      </c>
      <c r="Y1043" s="647" t="str">
        <f>VLOOKUP(A1043,'[1]Raw data'!$B:$AS,39,FALSE)</f>
        <v>Yes</v>
      </c>
      <c r="Z1043" s="659"/>
      <c r="AA1043" s="660"/>
      <c r="AB1043" s="661"/>
      <c r="AC1043" s="563" t="s">
        <v>1150</v>
      </c>
      <c r="AD1043" s="662">
        <v>303</v>
      </c>
      <c r="AE1043" s="662">
        <v>20</v>
      </c>
      <c r="AF1043" s="662"/>
      <c r="AG1043" s="662"/>
      <c r="AH1043" s="662"/>
      <c r="AI1043" s="663"/>
      <c r="AN1043" s="542"/>
      <c r="AO1043" s="824" t="str">
        <f t="shared" si="202"/>
        <v>Yes</v>
      </c>
      <c r="AP1043" s="259" t="str">
        <f t="shared" si="203"/>
        <v>FEB 22</v>
      </c>
      <c r="AQ1043" s="542" t="str">
        <f t="shared" si="204"/>
        <v>有定金+有預留客戶</v>
      </c>
      <c r="AR1043" s="259" t="str">
        <f t="shared" si="205"/>
        <v>Shipped_Stock</v>
      </c>
      <c r="AS1043" s="259" t="str">
        <f t="shared" si="206"/>
        <v/>
      </c>
      <c r="AT1043" s="259" t="str">
        <f t="shared" si="207"/>
        <v>捷舜诚</v>
      </c>
      <c r="AU1043" s="259" t="str">
        <f t="shared" si="208"/>
        <v>C49SZX20220014JL</v>
      </c>
      <c r="AV1043" s="259" t="str">
        <f t="shared" si="209"/>
        <v>Feb-06</v>
      </c>
    </row>
    <row r="1044" spans="1:48" hidden="1">
      <c r="A1044" s="599">
        <v>1504</v>
      </c>
      <c r="B1044" s="664" t="s">
        <v>1125</v>
      </c>
      <c r="C1044" s="664" t="s">
        <v>15</v>
      </c>
      <c r="D1044" s="755">
        <v>110697</v>
      </c>
      <c r="E1044" s="646" t="s">
        <v>2007</v>
      </c>
      <c r="F1044" s="647" t="s">
        <v>58</v>
      </c>
      <c r="G1044" s="647" t="s">
        <v>24</v>
      </c>
      <c r="H1044" s="647" t="s">
        <v>26</v>
      </c>
      <c r="I1044" s="575" t="s">
        <v>2008</v>
      </c>
      <c r="J1044" s="575">
        <v>1</v>
      </c>
      <c r="K1044" s="647" t="s">
        <v>1732</v>
      </c>
      <c r="L1044" s="657">
        <v>44598</v>
      </c>
      <c r="M1044" s="665" t="s">
        <v>906</v>
      </c>
      <c r="N1044" s="647" t="s">
        <v>1903</v>
      </c>
      <c r="O1044" s="575">
        <v>2022.1</v>
      </c>
      <c r="P1044" s="665" t="str">
        <f>VLOOKUP(A1044,'[1]Raw data'!$B:$BA,23,FALSE)</f>
        <v>JPY</v>
      </c>
      <c r="Q1044" s="647" t="str">
        <f>VLOOKUP(A1044,'[1]Raw data'!$B:$Z,2,FALSE)</f>
        <v>C49SZX20210103MZ</v>
      </c>
      <c r="R1044" s="647" t="str">
        <f>VLOOKUP(A1044,'[1]Raw data'!$B:$Z,3,FALSE)</f>
        <v>河南融创</v>
      </c>
      <c r="S1044" s="647" t="str">
        <f>VLOOKUP(A1044,'[1]Raw data'!$B:$Z,4,FALSE)</f>
        <v>YSM20R-2</v>
      </c>
      <c r="T1044" s="647" t="str">
        <f>VLOOKUP(A1044,'[1]Raw data'!$B:$Z,8,FALSE)</f>
        <v>L-&gt;R</v>
      </c>
      <c r="U1044" s="647" t="str">
        <f>VLOOKUP(A1044,'[1]Raw data'!$B:$Z,9,FALSE)</f>
        <v>No</v>
      </c>
      <c r="V1044" s="567" t="str">
        <f t="shared" si="214"/>
        <v>OK</v>
      </c>
      <c r="W1044" s="563" t="str">
        <f>VLOOKUP(A1044,'[1]Raw data'!$B:$AG,32,FALSE)</f>
        <v>CIF HK</v>
      </c>
      <c r="X1044" s="647">
        <f>VLOOKUP(A1044,'[1]Raw data'!$B:$BA,31,FALSE)</f>
        <v>44524</v>
      </c>
      <c r="Y1044" s="647" t="str">
        <f>VLOOKUP(A1044,'[1]Raw data'!$B:$AS,39,FALSE)</f>
        <v>Yes</v>
      </c>
      <c r="Z1044" s="659"/>
      <c r="AA1044" s="710"/>
      <c r="AB1044" s="662"/>
      <c r="AC1044" s="575" t="s">
        <v>1829</v>
      </c>
      <c r="AD1044" s="575">
        <v>304</v>
      </c>
      <c r="AE1044" s="575">
        <v>20</v>
      </c>
      <c r="AF1044" s="575"/>
      <c r="AG1044" s="679"/>
      <c r="AH1044" s="564"/>
      <c r="AI1044" s="564"/>
      <c r="AJ1044" s="564"/>
      <c r="AK1044" s="564"/>
      <c r="AL1044" s="614"/>
      <c r="AM1044" s="614"/>
      <c r="AN1044" s="614"/>
      <c r="AO1044" s="824" t="str">
        <f t="shared" si="202"/>
        <v>Yes</v>
      </c>
      <c r="AP1044" s="259" t="str">
        <f t="shared" si="203"/>
        <v>MAY 22</v>
      </c>
      <c r="AQ1044" s="542" t="str">
        <f t="shared" si="204"/>
        <v>有定金+有預留客戶</v>
      </c>
      <c r="AR1044" s="259" t="str">
        <f t="shared" si="205"/>
        <v>Shipped_Stock</v>
      </c>
      <c r="AS1044" s="259" t="str">
        <f t="shared" si="206"/>
        <v/>
      </c>
      <c r="AT1044" s="259" t="str">
        <f t="shared" si="207"/>
        <v>河南融创</v>
      </c>
      <c r="AU1044" s="259" t="str">
        <f t="shared" si="208"/>
        <v>C49SZX20210103MZ</v>
      </c>
      <c r="AV1044" s="259" t="str">
        <f t="shared" si="209"/>
        <v>Feb-06</v>
      </c>
    </row>
    <row r="1045" spans="1:48" hidden="1">
      <c r="A1045" s="599">
        <v>1514</v>
      </c>
      <c r="B1045" s="664" t="s">
        <v>1125</v>
      </c>
      <c r="C1045" s="664" t="s">
        <v>15</v>
      </c>
      <c r="D1045" s="761">
        <v>110696</v>
      </c>
      <c r="E1045" s="646" t="s">
        <v>2009</v>
      </c>
      <c r="F1045" s="647" t="s">
        <v>58</v>
      </c>
      <c r="G1045" s="647" t="s">
        <v>24</v>
      </c>
      <c r="H1045" s="647" t="s">
        <v>307</v>
      </c>
      <c r="I1045" s="575" t="s">
        <v>2010</v>
      </c>
      <c r="J1045" s="575">
        <v>1</v>
      </c>
      <c r="K1045" s="647" t="s">
        <v>85</v>
      </c>
      <c r="L1045" s="657">
        <v>44597</v>
      </c>
      <c r="M1045" s="665" t="s">
        <v>906</v>
      </c>
      <c r="N1045" s="647" t="s">
        <v>1930</v>
      </c>
      <c r="O1045" s="575">
        <v>2021.12</v>
      </c>
      <c r="P1045" s="665" t="str">
        <f>VLOOKUP(A1045,'[1]Raw data'!$B:$BA,23,FALSE)</f>
        <v>JPY</v>
      </c>
      <c r="Q1045" s="647" t="str">
        <f>VLOOKUP(A1045,'[1]Raw data'!$B:$Z,2,FALSE)</f>
        <v>C49SZX20210206MZ</v>
      </c>
      <c r="R1045" s="647" t="str">
        <f>VLOOKUP(A1045,'[1]Raw data'!$B:$Z,3,FALSE)</f>
        <v>魔乐视</v>
      </c>
      <c r="S1045" s="647" t="str">
        <f>VLOOKUP(A1045,'[1]Raw data'!$B:$Z,4,FALSE)</f>
        <v>YSM20R-2</v>
      </c>
      <c r="T1045" s="647" t="str">
        <f>VLOOKUP(A1045,'[1]Raw data'!$B:$Z,8,FALSE)</f>
        <v>L-&gt;R</v>
      </c>
      <c r="U1045" s="647" t="str">
        <f>VLOOKUP(A1045,'[1]Raw data'!$B:$Z,9,FALSE)</f>
        <v>No</v>
      </c>
      <c r="V1045" s="567" t="str">
        <f t="shared" si="214"/>
        <v>OK</v>
      </c>
      <c r="W1045" s="563" t="str">
        <f>VLOOKUP(A1045,'[1]Raw data'!$B:$AG,32,FALSE)</f>
        <v>DAP SZ</v>
      </c>
      <c r="X1045" s="647">
        <f>VLOOKUP(A1045,'[1]Raw data'!$B:$BA,31,FALSE)</f>
        <v>44540</v>
      </c>
      <c r="Y1045" s="647" t="str">
        <f>VLOOKUP(A1045,'[1]Raw data'!$B:$AS,39,FALSE)</f>
        <v>Yes</v>
      </c>
      <c r="Z1045" s="666"/>
      <c r="AA1045" s="660"/>
      <c r="AB1045" s="661"/>
      <c r="AC1045" s="647" t="s">
        <v>2011</v>
      </c>
      <c r="AD1045" s="575">
        <v>301</v>
      </c>
      <c r="AE1045" s="575">
        <v>10</v>
      </c>
      <c r="AF1045" s="575">
        <v>313</v>
      </c>
      <c r="AG1045" s="575">
        <v>10</v>
      </c>
      <c r="AH1045" s="575"/>
      <c r="AI1045" s="679"/>
      <c r="AJ1045" s="564"/>
      <c r="AK1045" s="564"/>
      <c r="AL1045" s="564"/>
      <c r="AM1045" s="564"/>
      <c r="AN1045" s="614"/>
      <c r="AO1045" s="824" t="str">
        <f t="shared" si="202"/>
        <v>Yes</v>
      </c>
      <c r="AP1045" s="259" t="str">
        <f t="shared" si="203"/>
        <v>APR 22</v>
      </c>
      <c r="AQ1045" s="542" t="str">
        <f t="shared" si="204"/>
        <v>有定金+有預留客戶</v>
      </c>
      <c r="AR1045" s="259" t="str">
        <f t="shared" si="205"/>
        <v>Shipped_Stock</v>
      </c>
      <c r="AS1045" s="259" t="str">
        <f t="shared" si="206"/>
        <v/>
      </c>
      <c r="AT1045" s="259" t="str">
        <f t="shared" si="207"/>
        <v>魔乐视</v>
      </c>
      <c r="AU1045" s="259" t="str">
        <f t="shared" si="208"/>
        <v>C49SZX20210206MZ</v>
      </c>
      <c r="AV1045" s="259" t="str">
        <f t="shared" si="209"/>
        <v>Feb-05</v>
      </c>
    </row>
    <row r="1046" spans="1:48" hidden="1">
      <c r="A1046" s="599">
        <v>1515</v>
      </c>
      <c r="B1046" s="664" t="s">
        <v>1125</v>
      </c>
      <c r="C1046" s="664" t="s">
        <v>15</v>
      </c>
      <c r="D1046" s="755">
        <v>110696</v>
      </c>
      <c r="E1046" s="646" t="s">
        <v>2009</v>
      </c>
      <c r="F1046" s="647" t="s">
        <v>58</v>
      </c>
      <c r="G1046" s="647" t="s">
        <v>24</v>
      </c>
      <c r="H1046" s="647" t="s">
        <v>26</v>
      </c>
      <c r="I1046" s="575" t="s">
        <v>2012</v>
      </c>
      <c r="J1046" s="575">
        <v>1</v>
      </c>
      <c r="K1046" s="647" t="s">
        <v>85</v>
      </c>
      <c r="L1046" s="657">
        <v>44597</v>
      </c>
      <c r="M1046" s="665" t="s">
        <v>906</v>
      </c>
      <c r="N1046" s="647" t="s">
        <v>1930</v>
      </c>
      <c r="O1046" s="575">
        <v>2022.1</v>
      </c>
      <c r="P1046" s="665" t="str">
        <f>VLOOKUP(A1046,'[1]Raw data'!$B:$BA,23,FALSE)</f>
        <v>JPY</v>
      </c>
      <c r="Q1046" s="647" t="str">
        <f>VLOOKUP(A1046,'[1]Raw data'!$B:$Z,2,FALSE)</f>
        <v>C49SZX20210206MZ</v>
      </c>
      <c r="R1046" s="647" t="str">
        <f>VLOOKUP(A1046,'[1]Raw data'!$B:$Z,3,FALSE)</f>
        <v>魔乐视</v>
      </c>
      <c r="S1046" s="647" t="str">
        <f>VLOOKUP(A1046,'[1]Raw data'!$B:$Z,4,FALSE)</f>
        <v>YSM20R-2</v>
      </c>
      <c r="T1046" s="647" t="str">
        <f>VLOOKUP(A1046,'[1]Raw data'!$B:$Z,8,FALSE)</f>
        <v>L-&gt;R</v>
      </c>
      <c r="U1046" s="647" t="str">
        <f>VLOOKUP(A1046,'[1]Raw data'!$B:$Z,9,FALSE)</f>
        <v>No</v>
      </c>
      <c r="V1046" s="567" t="str">
        <f t="shared" si="214"/>
        <v>OK</v>
      </c>
      <c r="W1046" s="563" t="str">
        <f>VLOOKUP(A1046,'[1]Raw data'!$B:$AG,32,FALSE)</f>
        <v>DAP SZ</v>
      </c>
      <c r="X1046" s="647">
        <f>VLOOKUP(A1046,'[1]Raw data'!$B:$BA,31,FALSE)</f>
        <v>44540</v>
      </c>
      <c r="Y1046" s="647" t="str">
        <f>VLOOKUP(A1046,'[1]Raw data'!$B:$AS,39,FALSE)</f>
        <v>Yes</v>
      </c>
      <c r="Z1046" s="666"/>
      <c r="AA1046" s="660"/>
      <c r="AB1046" s="661"/>
      <c r="AC1046" s="647" t="s">
        <v>2011</v>
      </c>
      <c r="AD1046" s="575">
        <v>301</v>
      </c>
      <c r="AE1046" s="575">
        <v>10</v>
      </c>
      <c r="AF1046" s="575">
        <v>313</v>
      </c>
      <c r="AG1046" s="575">
        <v>10</v>
      </c>
      <c r="AH1046" s="575"/>
      <c r="AI1046" s="679"/>
      <c r="AJ1046" s="564"/>
      <c r="AK1046" s="564"/>
      <c r="AL1046" s="564"/>
      <c r="AM1046" s="564"/>
      <c r="AN1046" s="614"/>
      <c r="AO1046" s="824" t="str">
        <f t="shared" si="202"/>
        <v>Yes</v>
      </c>
      <c r="AP1046" s="259" t="str">
        <f t="shared" si="203"/>
        <v>APR 22</v>
      </c>
      <c r="AQ1046" s="542" t="str">
        <f t="shared" si="204"/>
        <v>有定金+有預留客戶</v>
      </c>
      <c r="AR1046" s="259" t="str">
        <f t="shared" si="205"/>
        <v>Shipped_Stock</v>
      </c>
      <c r="AS1046" s="259" t="str">
        <f t="shared" si="206"/>
        <v/>
      </c>
      <c r="AT1046" s="259" t="str">
        <f t="shared" si="207"/>
        <v>魔乐视</v>
      </c>
      <c r="AU1046" s="259" t="str">
        <f t="shared" si="208"/>
        <v>C49SZX20210206MZ</v>
      </c>
      <c r="AV1046" s="259" t="str">
        <f t="shared" si="209"/>
        <v>Feb-05</v>
      </c>
    </row>
    <row r="1047" spans="1:48" hidden="1">
      <c r="A1047" s="559">
        <v>1497</v>
      </c>
      <c r="B1047" s="664" t="s">
        <v>1125</v>
      </c>
      <c r="C1047" s="664" t="s">
        <v>15</v>
      </c>
      <c r="D1047" s="755">
        <v>110698</v>
      </c>
      <c r="E1047" s="646" t="s">
        <v>2013</v>
      </c>
      <c r="F1047" s="647" t="s">
        <v>58</v>
      </c>
      <c r="G1047" s="647" t="s">
        <v>24</v>
      </c>
      <c r="H1047" s="647" t="s">
        <v>26</v>
      </c>
      <c r="I1047" s="575" t="s">
        <v>2014</v>
      </c>
      <c r="J1047" s="575">
        <v>1</v>
      </c>
      <c r="K1047" s="647" t="s">
        <v>85</v>
      </c>
      <c r="L1047" s="657">
        <v>44597</v>
      </c>
      <c r="M1047" s="665" t="s">
        <v>906</v>
      </c>
      <c r="N1047" s="647" t="s">
        <v>1890</v>
      </c>
      <c r="O1047" s="575"/>
      <c r="P1047" s="665" t="str">
        <f>VLOOKUP(A1047,'[1]Raw data'!$B:$BA,23,FALSE)</f>
        <v>JPY</v>
      </c>
      <c r="Q1047" s="647" t="str">
        <f>VLOOKUP(A1047,'[1]Raw data'!$B:$Z,2,FALSE)</f>
        <v>C49SZX20210203EC</v>
      </c>
      <c r="R1047" s="647" t="str">
        <f>VLOOKUP(A1047,'[1]Raw data'!$B:$Z,3,FALSE)</f>
        <v>领德创</v>
      </c>
      <c r="S1047" s="647" t="str">
        <f>VLOOKUP(A1047,'[1]Raw data'!$B:$Z,4,FALSE)</f>
        <v>YSM20R-2</v>
      </c>
      <c r="T1047" s="647" t="str">
        <f>VLOOKUP(A1047,'[1]Raw data'!$B:$Z,8,FALSE)</f>
        <v>L-&gt;R</v>
      </c>
      <c r="U1047" s="647" t="str">
        <f>VLOOKUP(A1047,'[1]Raw data'!$B:$Z,9,FALSE)</f>
        <v>No</v>
      </c>
      <c r="V1047" s="567" t="str">
        <f t="shared" ref="V1047:V1048" si="216">IF(G1047&amp;H1047=T1047&amp;U1047,"OK","WRONG")</f>
        <v>OK</v>
      </c>
      <c r="W1047" s="563" t="str">
        <f>VLOOKUP(A1047,'[1]Raw data'!$B:$AG,32,FALSE)</f>
        <v>DAP SZ</v>
      </c>
      <c r="X1047" s="647">
        <f>VLOOKUP(A1047,'[1]Raw data'!$B:$BA,31,FALSE)</f>
        <v>44511</v>
      </c>
      <c r="Y1047" s="647" t="str">
        <f>VLOOKUP(A1047,'[1]Raw data'!$B:$AS,39,FALSE)</f>
        <v>Yes</v>
      </c>
      <c r="Z1047" s="659"/>
      <c r="AA1047" s="660"/>
      <c r="AB1047" s="661"/>
      <c r="AC1047" s="647" t="s">
        <v>2015</v>
      </c>
      <c r="AD1047" s="662">
        <v>302</v>
      </c>
      <c r="AE1047" s="662">
        <v>10</v>
      </c>
      <c r="AF1047" s="662">
        <v>301</v>
      </c>
      <c r="AG1047" s="662">
        <v>10</v>
      </c>
      <c r="AH1047" s="662"/>
      <c r="AI1047" s="663"/>
      <c r="AN1047" s="542"/>
      <c r="AO1047" s="824" t="str">
        <f t="shared" si="202"/>
        <v>Yes</v>
      </c>
      <c r="AP1047" s="259" t="str">
        <f t="shared" si="203"/>
        <v>FEB 22</v>
      </c>
      <c r="AQ1047" s="542" t="str">
        <f t="shared" si="204"/>
        <v>有定金+有預留客戶</v>
      </c>
      <c r="AR1047" s="259" t="str">
        <f t="shared" si="205"/>
        <v>Shipped_Stock</v>
      </c>
      <c r="AS1047" s="259" t="str">
        <f t="shared" si="206"/>
        <v/>
      </c>
      <c r="AT1047" s="259" t="str">
        <f t="shared" si="207"/>
        <v>领德创</v>
      </c>
      <c r="AU1047" s="259" t="str">
        <f t="shared" si="208"/>
        <v>C49SZX20210203EC</v>
      </c>
      <c r="AV1047" s="259" t="str">
        <f t="shared" si="209"/>
        <v>Feb-05</v>
      </c>
    </row>
    <row r="1048" spans="1:48" ht="13.5" hidden="1" thickBot="1">
      <c r="A1048" s="559">
        <v>1498</v>
      </c>
      <c r="B1048" s="664" t="s">
        <v>1125</v>
      </c>
      <c r="C1048" s="664" t="s">
        <v>15</v>
      </c>
      <c r="D1048" s="624">
        <v>110698</v>
      </c>
      <c r="E1048" s="646" t="s">
        <v>2013</v>
      </c>
      <c r="F1048" s="647" t="s">
        <v>58</v>
      </c>
      <c r="G1048" s="647" t="s">
        <v>24</v>
      </c>
      <c r="H1048" s="647" t="s">
        <v>26</v>
      </c>
      <c r="I1048" s="575" t="s">
        <v>2016</v>
      </c>
      <c r="J1048" s="575">
        <v>1</v>
      </c>
      <c r="K1048" s="647" t="s">
        <v>85</v>
      </c>
      <c r="L1048" s="657">
        <v>44597</v>
      </c>
      <c r="M1048" s="665" t="s">
        <v>906</v>
      </c>
      <c r="N1048" s="647" t="s">
        <v>1890</v>
      </c>
      <c r="O1048" s="575"/>
      <c r="P1048" s="665" t="str">
        <f>VLOOKUP(A1048,'[1]Raw data'!$B:$BA,23,FALSE)</f>
        <v>JPY</v>
      </c>
      <c r="Q1048" s="647" t="str">
        <f>VLOOKUP(A1048,'[1]Raw data'!$B:$Z,2,FALSE)</f>
        <v>C49SZX20210203EC</v>
      </c>
      <c r="R1048" s="647" t="str">
        <f>VLOOKUP(A1048,'[1]Raw data'!$B:$Z,3,FALSE)</f>
        <v>领德创</v>
      </c>
      <c r="S1048" s="647" t="str">
        <f>VLOOKUP(A1048,'[1]Raw data'!$B:$Z,4,FALSE)</f>
        <v>YSM20R-2</v>
      </c>
      <c r="T1048" s="647" t="str">
        <f>VLOOKUP(A1048,'[1]Raw data'!$B:$Z,8,FALSE)</f>
        <v>L-&gt;R</v>
      </c>
      <c r="U1048" s="647" t="str">
        <f>VLOOKUP(A1048,'[1]Raw data'!$B:$Z,9,FALSE)</f>
        <v>No</v>
      </c>
      <c r="V1048" s="567" t="str">
        <f t="shared" si="216"/>
        <v>OK</v>
      </c>
      <c r="W1048" s="563" t="str">
        <f>VLOOKUP(A1048,'[1]Raw data'!$B:$AG,32,FALSE)</f>
        <v>DAP SZ</v>
      </c>
      <c r="X1048" s="647">
        <f>VLOOKUP(A1048,'[1]Raw data'!$B:$BA,31,FALSE)</f>
        <v>44511</v>
      </c>
      <c r="Y1048" s="647" t="str">
        <f>VLOOKUP(A1048,'[1]Raw data'!$B:$AS,39,FALSE)</f>
        <v>Yes</v>
      </c>
      <c r="Z1048" s="659"/>
      <c r="AA1048" s="660"/>
      <c r="AB1048" s="661"/>
      <c r="AC1048" s="647" t="s">
        <v>2015</v>
      </c>
      <c r="AD1048" s="662">
        <v>302</v>
      </c>
      <c r="AE1048" s="662">
        <v>10</v>
      </c>
      <c r="AF1048" s="662">
        <v>301</v>
      </c>
      <c r="AG1048" s="662">
        <v>10</v>
      </c>
      <c r="AH1048" s="662"/>
      <c r="AI1048" s="663"/>
      <c r="AN1048" s="542"/>
      <c r="AO1048" s="824" t="str">
        <f t="shared" si="202"/>
        <v>Yes</v>
      </c>
      <c r="AP1048" s="259" t="str">
        <f t="shared" si="203"/>
        <v>FEB 22</v>
      </c>
      <c r="AQ1048" s="542" t="str">
        <f t="shared" si="204"/>
        <v>有定金+有預留客戶</v>
      </c>
      <c r="AR1048" s="259" t="str">
        <f t="shared" si="205"/>
        <v>Shipped_Stock</v>
      </c>
      <c r="AS1048" s="259" t="str">
        <f t="shared" si="206"/>
        <v/>
      </c>
      <c r="AT1048" s="259" t="str">
        <f t="shared" si="207"/>
        <v>领德创</v>
      </c>
      <c r="AU1048" s="259" t="str">
        <f t="shared" si="208"/>
        <v>C49SZX20210203EC</v>
      </c>
      <c r="AV1048" s="259" t="str">
        <f t="shared" si="209"/>
        <v>Feb-05</v>
      </c>
    </row>
    <row r="1049" spans="1:48" ht="27" hidden="1" customHeight="1">
      <c r="A1049" s="559">
        <v>1579</v>
      </c>
      <c r="B1049" s="664" t="s">
        <v>1125</v>
      </c>
      <c r="C1049" s="664" t="s">
        <v>15</v>
      </c>
      <c r="D1049" s="761">
        <v>110734</v>
      </c>
      <c r="E1049" s="646" t="s">
        <v>2017</v>
      </c>
      <c r="F1049" s="647" t="s">
        <v>58</v>
      </c>
      <c r="G1049" s="647" t="s">
        <v>24</v>
      </c>
      <c r="H1049" s="647" t="s">
        <v>102</v>
      </c>
      <c r="I1049" s="575" t="s">
        <v>2018</v>
      </c>
      <c r="J1049" s="575">
        <v>1</v>
      </c>
      <c r="K1049" s="647" t="s">
        <v>85</v>
      </c>
      <c r="L1049" s="657">
        <v>44600</v>
      </c>
      <c r="M1049" s="576" t="s">
        <v>2019</v>
      </c>
      <c r="N1049" s="563" t="s">
        <v>1982</v>
      </c>
      <c r="O1049" s="575">
        <v>2022.1</v>
      </c>
      <c r="P1049" s="665" t="str">
        <f>VLOOKUP(A1049,'[1]Raw data'!$B:$BA,23,FALSE)</f>
        <v>JPY</v>
      </c>
      <c r="Q1049" s="647" t="str">
        <f>VLOOKUP(A1049,'[1]Raw data'!$B:$Z,2,FALSE)</f>
        <v>C49SZX20220016JL</v>
      </c>
      <c r="R1049" s="647" t="str">
        <f>VLOOKUP(A1049,'[1]Raw data'!$B:$Z,3,FALSE)</f>
        <v>伯莱科</v>
      </c>
      <c r="S1049" s="647" t="str">
        <f>VLOOKUP(A1049,'[1]Raw data'!$B:$Z,4,FALSE)</f>
        <v>YSM20R-2</v>
      </c>
      <c r="T1049" s="647" t="str">
        <f>VLOOKUP(A1049,'[1]Raw data'!$B:$Z,8,FALSE)</f>
        <v>L-&gt;R</v>
      </c>
      <c r="U1049" s="647" t="str">
        <f>VLOOKUP(A1049,'[1]Raw data'!$B:$Z,9,FALSE)</f>
        <v>No</v>
      </c>
      <c r="V1049" s="567" t="str">
        <f t="shared" ref="V1049:V1053" si="217">IF(G1049&amp;H1049=T1049&amp;U1049,"OK","WRONG")</f>
        <v>WRONG</v>
      </c>
      <c r="W1049" s="563" t="str">
        <f>VLOOKUP(A1049,'[1]Raw data'!$B:$AG,32,FALSE)</f>
        <v>DAP SZ</v>
      </c>
      <c r="X1049" s="647">
        <f>VLOOKUP(A1049,'[1]Raw data'!$B:$BA,31,FALSE)</f>
        <v>44607</v>
      </c>
      <c r="Y1049" s="647" t="str">
        <f>VLOOKUP(A1049,'[1]Raw data'!$B:$AS,39,FALSE)</f>
        <v>Yes</v>
      </c>
      <c r="Z1049" s="659"/>
      <c r="AA1049" s="660"/>
      <c r="AB1049" s="661"/>
      <c r="AC1049" s="647" t="s">
        <v>1109</v>
      </c>
      <c r="AD1049" s="662">
        <v>301</v>
      </c>
      <c r="AE1049" s="662">
        <v>10</v>
      </c>
      <c r="AF1049" s="662">
        <v>303</v>
      </c>
      <c r="AG1049" s="662">
        <v>10</v>
      </c>
      <c r="AH1049" s="662"/>
      <c r="AI1049" s="663"/>
      <c r="AN1049" s="542"/>
      <c r="AO1049" s="824" t="str">
        <f t="shared" si="202"/>
        <v>Yes</v>
      </c>
      <c r="AP1049" s="259" t="str">
        <f t="shared" si="203"/>
        <v>JUN 22</v>
      </c>
      <c r="AQ1049" s="542" t="str">
        <f t="shared" si="204"/>
        <v>有定金+有預留客戶</v>
      </c>
      <c r="AR1049" s="259" t="str">
        <f t="shared" si="205"/>
        <v>Shipped_Stock</v>
      </c>
      <c r="AS1049" s="259" t="str">
        <f t="shared" si="206"/>
        <v/>
      </c>
      <c r="AT1049" s="259" t="str">
        <f t="shared" si="207"/>
        <v>伯莱科</v>
      </c>
      <c r="AU1049" s="259" t="str">
        <f t="shared" si="208"/>
        <v>C49SZX20220016JL</v>
      </c>
      <c r="AV1049" s="259" t="str">
        <f t="shared" si="209"/>
        <v>Feb-08</v>
      </c>
    </row>
    <row r="1050" spans="1:48" hidden="1">
      <c r="A1050" s="559">
        <v>1531</v>
      </c>
      <c r="B1050" s="664" t="s">
        <v>1125</v>
      </c>
      <c r="C1050" s="664" t="s">
        <v>15</v>
      </c>
      <c r="D1050" s="755">
        <v>110731</v>
      </c>
      <c r="E1050" s="646" t="s">
        <v>2020</v>
      </c>
      <c r="F1050" s="647" t="s">
        <v>58</v>
      </c>
      <c r="G1050" s="647" t="s">
        <v>18</v>
      </c>
      <c r="H1050" s="647" t="s">
        <v>26</v>
      </c>
      <c r="I1050" s="575" t="s">
        <v>2021</v>
      </c>
      <c r="J1050" s="575">
        <v>1</v>
      </c>
      <c r="K1050" s="647" t="s">
        <v>1732</v>
      </c>
      <c r="L1050" s="657">
        <v>44600</v>
      </c>
      <c r="M1050" s="665" t="s">
        <v>906</v>
      </c>
      <c r="N1050" s="647" t="s">
        <v>1890</v>
      </c>
      <c r="O1050" s="575"/>
      <c r="P1050" s="665" t="str">
        <f>VLOOKUP(A1050,'[1]Raw data'!$B:$BA,23,FALSE)</f>
        <v>JPY</v>
      </c>
      <c r="Q1050" s="647" t="str">
        <f>VLOOKUP(A1050,'[1]Raw data'!$B:$Z,2,FALSE)</f>
        <v>C49SZX20210223MZR1</v>
      </c>
      <c r="R1050" s="647" t="str">
        <f>VLOOKUP(A1050,'[1]Raw data'!$B:$Z,3,FALSE)</f>
        <v>东莞鸿楠</v>
      </c>
      <c r="S1050" s="647" t="str">
        <f>VLOOKUP(A1050,'[1]Raw data'!$B:$Z,4,FALSE)</f>
        <v>YSM20R-2</v>
      </c>
      <c r="T1050" s="647" t="str">
        <f>VLOOKUP(A1050,'[1]Raw data'!$B:$Z,8,FALSE)</f>
        <v>R-&gt;L</v>
      </c>
      <c r="U1050" s="647" t="str">
        <f>VLOOKUP(A1050,'[1]Raw data'!$B:$Z,9,FALSE)</f>
        <v>No</v>
      </c>
      <c r="V1050" s="567" t="str">
        <f t="shared" si="217"/>
        <v>OK</v>
      </c>
      <c r="W1050" s="563" t="str">
        <f>VLOOKUP(A1050,'[1]Raw data'!$B:$AG,32,FALSE)</f>
        <v>CIF  HK</v>
      </c>
      <c r="X1050" s="647">
        <f>VLOOKUP(A1050,'[1]Raw data'!$B:$BA,31,FALSE)</f>
        <v>45120</v>
      </c>
      <c r="Y1050" s="647" t="str">
        <f>VLOOKUP(A1050,'[1]Raw data'!$B:$AS,39,FALSE)</f>
        <v>Yes</v>
      </c>
      <c r="Z1050" s="659"/>
      <c r="AA1050" s="660"/>
      <c r="AB1050" s="661"/>
      <c r="AC1050" s="647" t="s">
        <v>2022</v>
      </c>
      <c r="AD1050" s="662">
        <v>301</v>
      </c>
      <c r="AE1050" s="662">
        <v>10</v>
      </c>
      <c r="AF1050" s="662">
        <v>302</v>
      </c>
      <c r="AG1050" s="662">
        <v>10</v>
      </c>
      <c r="AH1050" s="662"/>
      <c r="AI1050" s="663"/>
      <c r="AN1050" s="542"/>
      <c r="AO1050" s="824" t="str">
        <f t="shared" si="202"/>
        <v>Yes</v>
      </c>
      <c r="AP1050" s="259" t="str">
        <f t="shared" si="203"/>
        <v>FEB 22</v>
      </c>
      <c r="AQ1050" s="542" t="str">
        <f t="shared" si="204"/>
        <v>有定金+有預留客戶</v>
      </c>
      <c r="AR1050" s="259" t="str">
        <f t="shared" si="205"/>
        <v>Shipped_Stock</v>
      </c>
      <c r="AS1050" s="259" t="str">
        <f t="shared" si="206"/>
        <v/>
      </c>
      <c r="AT1050" s="259" t="str">
        <f t="shared" si="207"/>
        <v>东莞鸿楠</v>
      </c>
      <c r="AU1050" s="259" t="str">
        <f t="shared" si="208"/>
        <v>C49SZX20210223MZR1</v>
      </c>
      <c r="AV1050" s="259" t="str">
        <f t="shared" si="209"/>
        <v>Feb-08</v>
      </c>
    </row>
    <row r="1051" spans="1:48" hidden="1">
      <c r="A1051" s="559">
        <v>1499</v>
      </c>
      <c r="B1051" s="664" t="s">
        <v>1125</v>
      </c>
      <c r="C1051" s="664" t="s">
        <v>15</v>
      </c>
      <c r="D1051" s="755">
        <v>110689</v>
      </c>
      <c r="E1051" s="736" t="s">
        <v>1994</v>
      </c>
      <c r="F1051" s="647" t="s">
        <v>17</v>
      </c>
      <c r="G1051" s="647" t="s">
        <v>18</v>
      </c>
      <c r="H1051" s="647" t="s">
        <v>48</v>
      </c>
      <c r="I1051" s="575" t="s">
        <v>2023</v>
      </c>
      <c r="J1051" s="575">
        <v>1</v>
      </c>
      <c r="K1051" s="647" t="s">
        <v>85</v>
      </c>
      <c r="L1051" s="657">
        <v>44600</v>
      </c>
      <c r="M1051" s="665" t="s">
        <v>906</v>
      </c>
      <c r="N1051" s="647" t="s">
        <v>1890</v>
      </c>
      <c r="O1051" s="575"/>
      <c r="P1051" s="665" t="str">
        <f>VLOOKUP(A1051,'[1]Raw data'!$B:$BA,23,FALSE)</f>
        <v>JPY</v>
      </c>
      <c r="Q1051" s="647" t="str">
        <f>VLOOKUP(A1051,'[1]Raw data'!$B:$Z,2,FALSE)</f>
        <v>C49SZX20210203EC</v>
      </c>
      <c r="R1051" s="647" t="str">
        <f>VLOOKUP(A1051,'[1]Raw data'!$B:$Z,3,FALSE)</f>
        <v>领德创</v>
      </c>
      <c r="S1051" s="647" t="str">
        <f>VLOOKUP(A1051,'[1]Raw data'!$B:$Z,4,FALSE)</f>
        <v>YSM10</v>
      </c>
      <c r="T1051" s="647" t="str">
        <f>VLOOKUP(A1051,'[1]Raw data'!$B:$Z,8,FALSE)</f>
        <v>L-&gt;R</v>
      </c>
      <c r="U1051" s="647" t="str">
        <f>VLOOKUP(A1051,'[1]Raw data'!$B:$Z,9,FALSE)</f>
        <v>MVC+ATS15</v>
      </c>
      <c r="V1051" s="567" t="str">
        <f t="shared" si="217"/>
        <v>WRONG</v>
      </c>
      <c r="W1051" s="563" t="str">
        <f>VLOOKUP(A1051,'[1]Raw data'!$B:$AG,32,FALSE)</f>
        <v>DAP SZ</v>
      </c>
      <c r="X1051" s="647">
        <f>VLOOKUP(A1051,'[1]Raw data'!$B:$BA,31,FALSE)</f>
        <v>44511</v>
      </c>
      <c r="Y1051" s="647" t="str">
        <f>VLOOKUP(A1051,'[1]Raw data'!$B:$AS,39,FALSE)</f>
        <v>Yes</v>
      </c>
      <c r="Z1051" s="659"/>
      <c r="AA1051" s="660"/>
      <c r="AB1051" s="661"/>
      <c r="AC1051" s="647" t="s">
        <v>1951</v>
      </c>
      <c r="AD1051" s="662">
        <v>302</v>
      </c>
      <c r="AE1051" s="662">
        <v>10</v>
      </c>
      <c r="AF1051" s="662"/>
      <c r="AG1051" s="662"/>
      <c r="AH1051" s="662"/>
      <c r="AI1051" s="663"/>
      <c r="AN1051" s="542"/>
      <c r="AO1051" s="824" t="str">
        <f t="shared" si="202"/>
        <v>Yes</v>
      </c>
      <c r="AP1051" s="259" t="str">
        <f t="shared" si="203"/>
        <v>FEB 22</v>
      </c>
      <c r="AQ1051" s="542" t="str">
        <f t="shared" si="204"/>
        <v>有定金+有預留客戶</v>
      </c>
      <c r="AR1051" s="259" t="str">
        <f t="shared" si="205"/>
        <v>Shipped_Stock</v>
      </c>
      <c r="AS1051" s="259" t="str">
        <f t="shared" si="206"/>
        <v/>
      </c>
      <c r="AT1051" s="259" t="str">
        <f t="shared" si="207"/>
        <v>领德创</v>
      </c>
      <c r="AU1051" s="259" t="str">
        <f t="shared" si="208"/>
        <v>C49SZX20210203EC</v>
      </c>
      <c r="AV1051" s="259" t="str">
        <f t="shared" si="209"/>
        <v>Feb-08</v>
      </c>
    </row>
    <row r="1052" spans="1:48" ht="13.5" hidden="1" thickBot="1">
      <c r="A1052" s="599">
        <v>1564</v>
      </c>
      <c r="B1052" s="664" t="s">
        <v>1125</v>
      </c>
      <c r="C1052" s="664" t="s">
        <v>15</v>
      </c>
      <c r="D1052" s="624">
        <v>110690</v>
      </c>
      <c r="E1052" s="736" t="s">
        <v>2024</v>
      </c>
      <c r="F1052" s="647" t="s">
        <v>17</v>
      </c>
      <c r="G1052" s="647" t="s">
        <v>18</v>
      </c>
      <c r="H1052" s="647" t="s">
        <v>48</v>
      </c>
      <c r="I1052" s="575" t="s">
        <v>2025</v>
      </c>
      <c r="J1052" s="575">
        <v>1</v>
      </c>
      <c r="K1052" s="647" t="s">
        <v>1732</v>
      </c>
      <c r="L1052" s="657">
        <v>44600</v>
      </c>
      <c r="M1052" s="665" t="s">
        <v>906</v>
      </c>
      <c r="N1052" s="647" t="s">
        <v>1903</v>
      </c>
      <c r="O1052" s="575">
        <v>2022.1</v>
      </c>
      <c r="P1052" s="665" t="str">
        <f>VLOOKUP(A1052,'[1]Raw data'!$B:$BA,23,FALSE)</f>
        <v>JPY</v>
      </c>
      <c r="Q1052" s="647" t="str">
        <f>VLOOKUP(A1052,'[1]Raw data'!$B:$Z,2,FALSE)</f>
        <v>C49SZX20220003EC</v>
      </c>
      <c r="R1052" s="647" t="str">
        <f>VLOOKUP(A1052,'[1]Raw data'!$B:$Z,3,FALSE)</f>
        <v>海红天远</v>
      </c>
      <c r="S1052" s="647" t="str">
        <f>VLOOKUP(A1052,'[1]Raw data'!$B:$Z,4,FALSE)</f>
        <v>YSM10</v>
      </c>
      <c r="T1052" s="647" t="str">
        <f>VLOOKUP(A1052,'[1]Raw data'!$B:$Z,8,FALSE)</f>
        <v>L-&gt;R</v>
      </c>
      <c r="U1052" s="647" t="str">
        <f>VLOOKUP(A1052,'[1]Raw data'!$B:$Z,9,FALSE)</f>
        <v>MVC+ATS15</v>
      </c>
      <c r="V1052" s="567" t="str">
        <f t="shared" si="217"/>
        <v>WRONG</v>
      </c>
      <c r="W1052" s="563" t="str">
        <f>VLOOKUP(A1052,'[1]Raw data'!$B:$AG,32,FALSE)</f>
        <v>CIF HK</v>
      </c>
      <c r="X1052" s="647">
        <f>VLOOKUP(A1052,'[1]Raw data'!$B:$BA,31,FALSE)</f>
        <v>44585</v>
      </c>
      <c r="Y1052" s="647" t="str">
        <f>VLOOKUP(A1052,'[1]Raw data'!$B:$AS,39,FALSE)</f>
        <v>Yes</v>
      </c>
      <c r="Z1052" s="659"/>
      <c r="AA1052" s="660"/>
      <c r="AB1052" s="661"/>
      <c r="AC1052" s="647" t="s">
        <v>1079</v>
      </c>
      <c r="AD1052" s="575">
        <v>302</v>
      </c>
      <c r="AE1052" s="575">
        <v>10</v>
      </c>
      <c r="AF1052" s="575"/>
      <c r="AG1052" s="575"/>
      <c r="AH1052" s="575"/>
      <c r="AI1052" s="679"/>
      <c r="AJ1052" s="564"/>
      <c r="AK1052" s="564"/>
      <c r="AL1052" s="564"/>
      <c r="AM1052" s="564"/>
      <c r="AN1052" s="614"/>
      <c r="AO1052" s="824" t="str">
        <f t="shared" si="202"/>
        <v>Yes</v>
      </c>
      <c r="AP1052" s="259" t="str">
        <f t="shared" si="203"/>
        <v>MAY 22</v>
      </c>
      <c r="AQ1052" s="542" t="str">
        <f t="shared" si="204"/>
        <v>有定金+有預留客戶</v>
      </c>
      <c r="AR1052" s="259" t="str">
        <f t="shared" si="205"/>
        <v>Shipped_Stock</v>
      </c>
      <c r="AS1052" s="259" t="str">
        <f t="shared" si="206"/>
        <v/>
      </c>
      <c r="AT1052" s="259" t="str">
        <f t="shared" si="207"/>
        <v>海红天远</v>
      </c>
      <c r="AU1052" s="259" t="str">
        <f t="shared" si="208"/>
        <v>C49SZX20220003EC</v>
      </c>
      <c r="AV1052" s="259" t="str">
        <f t="shared" si="209"/>
        <v>Feb-08</v>
      </c>
    </row>
    <row r="1053" spans="1:48" hidden="1">
      <c r="A1053" s="559">
        <v>1474</v>
      </c>
      <c r="B1053" s="664" t="s">
        <v>1125</v>
      </c>
      <c r="C1053" s="664" t="s">
        <v>281</v>
      </c>
      <c r="D1053" s="761">
        <v>110630</v>
      </c>
      <c r="E1053" s="736" t="s">
        <v>1811</v>
      </c>
      <c r="F1053" s="647" t="s">
        <v>2026</v>
      </c>
      <c r="G1053" s="647" t="s">
        <v>24</v>
      </c>
      <c r="H1053" s="647" t="s">
        <v>26</v>
      </c>
      <c r="I1053" s="575" t="s">
        <v>2027</v>
      </c>
      <c r="J1053" s="575">
        <v>1</v>
      </c>
      <c r="K1053" s="647" t="s">
        <v>1419</v>
      </c>
      <c r="L1053" s="657">
        <v>44600</v>
      </c>
      <c r="M1053" s="665" t="s">
        <v>906</v>
      </c>
      <c r="N1053" s="647" t="s">
        <v>1890</v>
      </c>
      <c r="O1053" s="575"/>
      <c r="P1053" s="665" t="str">
        <f>VLOOKUP(A1053,'[1]Raw data'!$B:$BA,23,FALSE)</f>
        <v>JPY</v>
      </c>
      <c r="Q1053" s="647" t="str">
        <f>VLOOKUP(A1053,'[1]Raw data'!$B:$Z,2,FALSE)</f>
        <v>C49SZX20210189DZ</v>
      </c>
      <c r="R1053" s="647" t="str">
        <f>VLOOKUP(A1053,'[1]Raw data'!$B:$Z,3,FALSE)</f>
        <v>长沙健科</v>
      </c>
      <c r="S1053" s="647" t="str">
        <f>VLOOKUP(A1053,'[1]Raw data'!$B:$Z,4,FALSE)</f>
        <v>YRH10</v>
      </c>
      <c r="T1053" s="647" t="str">
        <f>VLOOKUP(A1053,'[1]Raw data'!$B:$Z,8,FALSE)</f>
        <v>L-&gt;R</v>
      </c>
      <c r="U1053" s="647" t="str">
        <f>VLOOKUP(A1053,'[1]Raw data'!$B:$Z,9,FALSE)</f>
        <v>No</v>
      </c>
      <c r="V1053" s="567" t="str">
        <f t="shared" si="217"/>
        <v>OK</v>
      </c>
      <c r="W1053" s="563" t="str">
        <f>VLOOKUP(A1053,'[1]Raw data'!$B:$AG,32,FALSE)</f>
        <v>DAP CS</v>
      </c>
      <c r="X1053" s="647">
        <f>VLOOKUP(A1053,'[1]Raw data'!$B:$BA,31,FALSE)</f>
        <v>44447</v>
      </c>
      <c r="Y1053" s="647" t="str">
        <f>VLOOKUP(A1053,'[1]Raw data'!$B:$AS,39,FALSE)</f>
        <v>Yes</v>
      </c>
      <c r="Z1053" s="659"/>
      <c r="AA1053" s="660"/>
      <c r="AB1053" s="661"/>
      <c r="AC1053" s="647" t="s">
        <v>1951</v>
      </c>
      <c r="AD1053" s="662">
        <v>8106</v>
      </c>
      <c r="AE1053" s="662">
        <v>2</v>
      </c>
      <c r="AF1053" s="662">
        <v>8107</v>
      </c>
      <c r="AG1053" s="662">
        <v>2</v>
      </c>
      <c r="AH1053" s="662">
        <v>8108</v>
      </c>
      <c r="AI1053" s="663">
        <v>5</v>
      </c>
      <c r="AJ1053" s="571">
        <v>8151</v>
      </c>
      <c r="AK1053" s="571">
        <v>1</v>
      </c>
      <c r="AN1053" s="542"/>
      <c r="AO1053" s="824" t="str">
        <f t="shared" si="202"/>
        <v>Yes</v>
      </c>
      <c r="AP1053" s="259" t="str">
        <f t="shared" si="203"/>
        <v>FEB 22</v>
      </c>
      <c r="AQ1053" s="542" t="str">
        <f t="shared" si="204"/>
        <v>有定金+有預留客戶</v>
      </c>
      <c r="AR1053" s="259" t="str">
        <f t="shared" si="205"/>
        <v>Shipped_Stock</v>
      </c>
      <c r="AS1053" s="259" t="str">
        <f t="shared" si="206"/>
        <v/>
      </c>
      <c r="AT1053" s="259" t="str">
        <f t="shared" si="207"/>
        <v>长沙健科</v>
      </c>
      <c r="AU1053" s="259" t="str">
        <f t="shared" si="208"/>
        <v>C49SZX20210189DZ</v>
      </c>
      <c r="AV1053" s="259" t="str">
        <f t="shared" si="209"/>
        <v>Feb-08</v>
      </c>
    </row>
    <row r="1054" spans="1:48" hidden="1">
      <c r="A1054" s="559">
        <v>1591</v>
      </c>
      <c r="B1054" s="664" t="s">
        <v>1125</v>
      </c>
      <c r="C1054" s="664" t="s">
        <v>15</v>
      </c>
      <c r="D1054" s="755">
        <v>110691</v>
      </c>
      <c r="E1054" s="736" t="s">
        <v>2028</v>
      </c>
      <c r="F1054" s="647" t="s">
        <v>17</v>
      </c>
      <c r="G1054" s="647" t="s">
        <v>18</v>
      </c>
      <c r="H1054" s="647" t="s">
        <v>48</v>
      </c>
      <c r="I1054" s="575" t="s">
        <v>2029</v>
      </c>
      <c r="J1054" s="575">
        <v>1</v>
      </c>
      <c r="K1054" s="647" t="s">
        <v>78</v>
      </c>
      <c r="L1054" s="657">
        <v>44600</v>
      </c>
      <c r="M1054" s="665" t="s">
        <v>906</v>
      </c>
      <c r="N1054" s="647" t="s">
        <v>1903</v>
      </c>
      <c r="O1054" s="575">
        <v>2022.1</v>
      </c>
      <c r="P1054" s="665" t="str">
        <f>VLOOKUP(A1054,'[1]Raw data'!$B:$BA,23,FALSE)</f>
        <v>JPY</v>
      </c>
      <c r="Q1054" s="647" t="str">
        <f>VLOOKUP(A1054,'[1]Raw data'!$B:$Z,2,FALSE)</f>
        <v>C49SZX20220013DZ</v>
      </c>
      <c r="R1054" s="647" t="str">
        <f>VLOOKUP(A1054,'[1]Raw data'!$B:$Z,3,FALSE)</f>
        <v>朗特</v>
      </c>
      <c r="S1054" s="647" t="str">
        <f>VLOOKUP(A1054,'[1]Raw data'!$B:$Z,4,FALSE)</f>
        <v>YSM10</v>
      </c>
      <c r="T1054" s="647" t="str">
        <f>VLOOKUP(A1054,'[1]Raw data'!$B:$Z,8,FALSE)</f>
        <v>R-&gt;L</v>
      </c>
      <c r="U1054" s="647" t="str">
        <f>VLOOKUP(A1054,'[1]Raw data'!$B:$Z,9,FALSE)</f>
        <v>MVC+ATS15</v>
      </c>
      <c r="V1054" s="567" t="str">
        <f t="shared" ref="V1054:V1055" si="218">IF(G1054&amp;H1054=T1054&amp;U1054,"OK","WRONG")</f>
        <v>WRONG</v>
      </c>
      <c r="W1054" s="563" t="str">
        <f>VLOOKUP(A1054,'[1]Raw data'!$B:$AG,32,FALSE)</f>
        <v>CIF HK</v>
      </c>
      <c r="X1054" s="647">
        <f>VLOOKUP(A1054,'[1]Raw data'!$B:$BA,31,FALSE)</f>
        <v>44614</v>
      </c>
      <c r="Y1054" s="647" t="str">
        <f>VLOOKUP(A1054,'[1]Raw data'!$B:$AS,39,FALSE)</f>
        <v>Yes</v>
      </c>
      <c r="Z1054" s="659"/>
      <c r="AA1054" s="660"/>
      <c r="AB1054" s="661"/>
      <c r="AC1054" s="647" t="s">
        <v>1005</v>
      </c>
      <c r="AD1054" s="662">
        <v>302</v>
      </c>
      <c r="AE1054" s="662">
        <v>10</v>
      </c>
      <c r="AF1054" s="662"/>
      <c r="AG1054" s="662"/>
      <c r="AH1054" s="662"/>
      <c r="AI1054" s="663"/>
      <c r="AN1054" s="542"/>
      <c r="AO1054" s="824" t="str">
        <f t="shared" si="202"/>
        <v>Yes</v>
      </c>
      <c r="AP1054" s="259" t="str">
        <f t="shared" si="203"/>
        <v>MAY 22</v>
      </c>
      <c r="AQ1054" s="542" t="str">
        <f t="shared" si="204"/>
        <v>有定金+有預留客戶</v>
      </c>
      <c r="AR1054" s="259" t="str">
        <f t="shared" si="205"/>
        <v>Shipped_Stock</v>
      </c>
      <c r="AS1054" s="259" t="str">
        <f t="shared" si="206"/>
        <v/>
      </c>
      <c r="AT1054" s="259" t="str">
        <f t="shared" si="207"/>
        <v>朗特</v>
      </c>
      <c r="AU1054" s="259" t="str">
        <f t="shared" si="208"/>
        <v>C49SZX20220013DZ</v>
      </c>
      <c r="AV1054" s="259" t="str">
        <f t="shared" si="209"/>
        <v>Feb-08</v>
      </c>
    </row>
    <row r="1055" spans="1:48" ht="17.25" hidden="1" thickBot="1">
      <c r="A1055" s="559">
        <v>1248</v>
      </c>
      <c r="B1055" s="765" t="s">
        <v>2030</v>
      </c>
      <c r="C1055" s="664" t="s">
        <v>15</v>
      </c>
      <c r="D1055" s="624">
        <v>110692</v>
      </c>
      <c r="E1055" s="736" t="s">
        <v>2031</v>
      </c>
      <c r="F1055" s="647" t="s">
        <v>17</v>
      </c>
      <c r="G1055" s="647" t="s">
        <v>18</v>
      </c>
      <c r="H1055" s="647" t="s">
        <v>1919</v>
      </c>
      <c r="I1055" s="575" t="s">
        <v>2032</v>
      </c>
      <c r="J1055" s="575">
        <v>1</v>
      </c>
      <c r="K1055" s="647" t="s">
        <v>1732</v>
      </c>
      <c r="L1055" s="657">
        <v>44600</v>
      </c>
      <c r="M1055" s="665" t="s">
        <v>906</v>
      </c>
      <c r="N1055" s="647" t="s">
        <v>1890</v>
      </c>
      <c r="O1055" s="575"/>
      <c r="P1055" s="665" t="str">
        <f>VLOOKUP(A1055,'[1]Raw data'!$B:$BA,23,FALSE)</f>
        <v>JPY</v>
      </c>
      <c r="Q1055" s="647" t="str">
        <f>VLOOKUP(A1055,'[1]Raw data'!$B:$Z,2,FALSE)</f>
        <v>C49SZX20210072SS</v>
      </c>
      <c r="R1055" s="647" t="str">
        <f>VLOOKUP(A1055,'[1]Raw data'!$B:$Z,3,FALSE)</f>
        <v>祥弘瑞</v>
      </c>
      <c r="S1055" s="647" t="str">
        <f>VLOOKUP(A1055,'[1]Raw data'!$B:$Z,4,FALSE)</f>
        <v>YSM10</v>
      </c>
      <c r="T1055" s="647" t="str">
        <f>VLOOKUP(A1055,'[1]Raw data'!$B:$Z,8,FALSE)</f>
        <v>L-&gt;R</v>
      </c>
      <c r="U1055" s="647" t="str">
        <f>VLOOKUP(A1055,'[1]Raw data'!$B:$Z,9,FALSE)</f>
        <v>MVC</v>
      </c>
      <c r="V1055" s="567" t="str">
        <f t="shared" si="218"/>
        <v>WRONG</v>
      </c>
      <c r="W1055" s="563" t="str">
        <f>VLOOKUP(A1055,'[1]Raw data'!$B:$AG,32,FALSE)</f>
        <v>DAP SZ</v>
      </c>
      <c r="X1055" s="647">
        <f>VLOOKUP(A1055,'[1]Raw data'!$B:$BA,31,FALSE)</f>
        <v>44266</v>
      </c>
      <c r="Y1055" s="647" t="str">
        <f>VLOOKUP(A1055,'[1]Raw data'!$B:$AS,39,FALSE)</f>
        <v>Yes</v>
      </c>
      <c r="Z1055" s="659"/>
      <c r="AA1055" s="660"/>
      <c r="AB1055" s="661"/>
      <c r="AC1055" s="647" t="s">
        <v>1951</v>
      </c>
      <c r="AD1055" s="662">
        <v>301</v>
      </c>
      <c r="AE1055" s="662">
        <v>10</v>
      </c>
      <c r="AF1055" s="662"/>
      <c r="AG1055" s="662"/>
      <c r="AH1055" s="662"/>
      <c r="AI1055" s="663"/>
      <c r="AN1055" s="542"/>
      <c r="AO1055" s="824" t="str">
        <f t="shared" si="202"/>
        <v>Yes</v>
      </c>
      <c r="AP1055" s="259" t="str">
        <f t="shared" si="203"/>
        <v>FEB 22</v>
      </c>
      <c r="AQ1055" s="542" t="str">
        <f t="shared" si="204"/>
        <v>有定金+有預留客戶</v>
      </c>
      <c r="AR1055" s="259" t="str">
        <f t="shared" si="205"/>
        <v>Shipped_Stock</v>
      </c>
      <c r="AS1055" s="259" t="str">
        <f t="shared" si="206"/>
        <v/>
      </c>
      <c r="AT1055" s="259" t="str">
        <f t="shared" si="207"/>
        <v>祥弘瑞</v>
      </c>
      <c r="AU1055" s="259" t="str">
        <f t="shared" si="208"/>
        <v>C49SZX20210072SS</v>
      </c>
      <c r="AV1055" s="259" t="str">
        <f t="shared" si="209"/>
        <v>Feb-08</v>
      </c>
    </row>
    <row r="1056" spans="1:48" hidden="1">
      <c r="A1056" s="599">
        <v>1506</v>
      </c>
      <c r="B1056" s="664" t="s">
        <v>1125</v>
      </c>
      <c r="C1056" s="664" t="s">
        <v>15</v>
      </c>
      <c r="D1056" s="761">
        <v>110726</v>
      </c>
      <c r="E1056" s="646" t="s">
        <v>2033</v>
      </c>
      <c r="F1056" s="647" t="s">
        <v>17</v>
      </c>
      <c r="G1056" s="647" t="s">
        <v>18</v>
      </c>
      <c r="H1056" s="647" t="s">
        <v>48</v>
      </c>
      <c r="I1056" s="575" t="s">
        <v>2034</v>
      </c>
      <c r="J1056" s="575">
        <v>1</v>
      </c>
      <c r="K1056" s="647" t="s">
        <v>1732</v>
      </c>
      <c r="L1056" s="657">
        <v>44613</v>
      </c>
      <c r="M1056" s="665" t="s">
        <v>906</v>
      </c>
      <c r="N1056" s="647" t="s">
        <v>1828</v>
      </c>
      <c r="O1056" s="575">
        <v>2022.1</v>
      </c>
      <c r="P1056" s="665" t="str">
        <f>VLOOKUP(A1056,'[1]Raw data'!$B:$BA,23,FALSE)</f>
        <v>JPY</v>
      </c>
      <c r="Q1056" s="647" t="str">
        <f>VLOOKUP(A1056,'[1]Raw data'!$B:$Z,2,FALSE)</f>
        <v>C49SZX20210103MZ</v>
      </c>
      <c r="R1056" s="647" t="str">
        <f>VLOOKUP(A1056,'[1]Raw data'!$B:$Z,3,FALSE)</f>
        <v>河南融创</v>
      </c>
      <c r="S1056" s="647" t="str">
        <f>VLOOKUP(A1056,'[1]Raw data'!$B:$Z,4,FALSE)</f>
        <v>YSM10</v>
      </c>
      <c r="T1056" s="647" t="str">
        <f>VLOOKUP(A1056,'[1]Raw data'!$B:$Z,8,FALSE)</f>
        <v>L-&gt;R</v>
      </c>
      <c r="U1056" s="647" t="str">
        <f>VLOOKUP(A1056,'[1]Raw data'!$B:$Z,9,FALSE)</f>
        <v>MVC+ATS15</v>
      </c>
      <c r="V1056" s="567" t="str">
        <f t="shared" ref="V1056:V1063" si="219">IF(G1056&amp;H1056=T1056&amp;U1056,"OK","WRONG")</f>
        <v>WRONG</v>
      </c>
      <c r="W1056" s="563" t="str">
        <f>VLOOKUP(A1056,'[1]Raw data'!$B:$AG,32,FALSE)</f>
        <v>CIF HK</v>
      </c>
      <c r="X1056" s="647">
        <f>VLOOKUP(A1056,'[1]Raw data'!$B:$BA,31,FALSE)</f>
        <v>44524</v>
      </c>
      <c r="Y1056" s="647" t="str">
        <f>VLOOKUP(A1056,'[1]Raw data'!$B:$AS,39,FALSE)</f>
        <v>Yes</v>
      </c>
      <c r="Z1056" s="666"/>
      <c r="AA1056" s="660"/>
      <c r="AB1056" s="661"/>
      <c r="AC1056" s="647" t="s">
        <v>1829</v>
      </c>
      <c r="AD1056" s="575">
        <v>302</v>
      </c>
      <c r="AE1056" s="575">
        <v>10</v>
      </c>
      <c r="AF1056" s="575"/>
      <c r="AG1056" s="575"/>
      <c r="AH1056" s="575"/>
      <c r="AI1056" s="679"/>
      <c r="AJ1056" s="564"/>
      <c r="AK1056" s="564"/>
      <c r="AL1056" s="564"/>
      <c r="AM1056" s="564"/>
      <c r="AN1056" s="614"/>
      <c r="AO1056" s="824" t="str">
        <f t="shared" si="202"/>
        <v>Yes</v>
      </c>
      <c r="AP1056" s="259" t="str">
        <f t="shared" si="203"/>
        <v>MAR 22</v>
      </c>
      <c r="AQ1056" s="542" t="str">
        <f t="shared" si="204"/>
        <v>有定金+有預留客戶</v>
      </c>
      <c r="AR1056" s="259" t="str">
        <f t="shared" si="205"/>
        <v>Shipped_Stock</v>
      </c>
      <c r="AS1056" s="259" t="str">
        <f t="shared" si="206"/>
        <v/>
      </c>
      <c r="AT1056" s="259" t="str">
        <f t="shared" si="207"/>
        <v>河南融创</v>
      </c>
      <c r="AU1056" s="259" t="str">
        <f t="shared" si="208"/>
        <v>C49SZX20210103MZ</v>
      </c>
      <c r="AV1056" s="259" t="str">
        <f t="shared" si="209"/>
        <v>Feb-21</v>
      </c>
    </row>
    <row r="1057" spans="1:48" hidden="1">
      <c r="A1057" s="599">
        <v>1507</v>
      </c>
      <c r="B1057" s="664" t="s">
        <v>1125</v>
      </c>
      <c r="C1057" s="664" t="s">
        <v>15</v>
      </c>
      <c r="D1057" s="755">
        <v>110726</v>
      </c>
      <c r="E1057" s="646" t="s">
        <v>2033</v>
      </c>
      <c r="F1057" s="647" t="s">
        <v>17</v>
      </c>
      <c r="G1057" s="647" t="s">
        <v>18</v>
      </c>
      <c r="H1057" s="647" t="s">
        <v>48</v>
      </c>
      <c r="I1057" s="575" t="s">
        <v>2035</v>
      </c>
      <c r="J1057" s="575">
        <v>1</v>
      </c>
      <c r="K1057" s="647" t="s">
        <v>1732</v>
      </c>
      <c r="L1057" s="657">
        <v>44613</v>
      </c>
      <c r="M1057" s="665" t="s">
        <v>906</v>
      </c>
      <c r="N1057" s="647" t="s">
        <v>1903</v>
      </c>
      <c r="O1057" s="575">
        <v>2022.1</v>
      </c>
      <c r="P1057" s="665" t="str">
        <f>VLOOKUP(A1057,'[1]Raw data'!$B:$BA,23,FALSE)</f>
        <v>JPY</v>
      </c>
      <c r="Q1057" s="647" t="str">
        <f>VLOOKUP(A1057,'[1]Raw data'!$B:$Z,2,FALSE)</f>
        <v>C49SZX20210103MZ</v>
      </c>
      <c r="R1057" s="647" t="str">
        <f>VLOOKUP(A1057,'[1]Raw data'!$B:$Z,3,FALSE)</f>
        <v>河南融创</v>
      </c>
      <c r="S1057" s="647" t="str">
        <f>VLOOKUP(A1057,'[1]Raw data'!$B:$Z,4,FALSE)</f>
        <v>YSM10</v>
      </c>
      <c r="T1057" s="647" t="str">
        <f>VLOOKUP(A1057,'[1]Raw data'!$B:$Z,8,FALSE)</f>
        <v>L-&gt;R</v>
      </c>
      <c r="U1057" s="647" t="str">
        <f>VLOOKUP(A1057,'[1]Raw data'!$B:$Z,9,FALSE)</f>
        <v>MVC+ATS15</v>
      </c>
      <c r="V1057" s="567" t="str">
        <f t="shared" si="219"/>
        <v>WRONG</v>
      </c>
      <c r="W1057" s="563" t="str">
        <f>VLOOKUP(A1057,'[1]Raw data'!$B:$AG,32,FALSE)</f>
        <v>CIF HK</v>
      </c>
      <c r="X1057" s="647">
        <f>VLOOKUP(A1057,'[1]Raw data'!$B:$BA,31,FALSE)</f>
        <v>44524</v>
      </c>
      <c r="Y1057" s="647" t="str">
        <f>VLOOKUP(A1057,'[1]Raw data'!$B:$AS,39,FALSE)</f>
        <v>Yes</v>
      </c>
      <c r="Z1057" s="659"/>
      <c r="AA1057" s="660"/>
      <c r="AB1057" s="661"/>
      <c r="AC1057" s="647" t="s">
        <v>1829</v>
      </c>
      <c r="AD1057" s="575">
        <v>302</v>
      </c>
      <c r="AE1057" s="575">
        <v>10</v>
      </c>
      <c r="AF1057" s="575"/>
      <c r="AG1057" s="575"/>
      <c r="AH1057" s="575"/>
      <c r="AI1057" s="679"/>
      <c r="AJ1057" s="564"/>
      <c r="AK1057" s="564"/>
      <c r="AL1057" s="564"/>
      <c r="AM1057" s="564"/>
      <c r="AN1057" s="614"/>
      <c r="AO1057" s="824" t="str">
        <f t="shared" si="202"/>
        <v>Yes</v>
      </c>
      <c r="AP1057" s="259" t="str">
        <f t="shared" si="203"/>
        <v>MAY 22</v>
      </c>
      <c r="AQ1057" s="542" t="str">
        <f t="shared" si="204"/>
        <v>有定金+有預留客戶</v>
      </c>
      <c r="AR1057" s="259" t="str">
        <f t="shared" si="205"/>
        <v>Shipped_Stock</v>
      </c>
      <c r="AS1057" s="259" t="str">
        <f t="shared" si="206"/>
        <v/>
      </c>
      <c r="AT1057" s="259" t="str">
        <f t="shared" si="207"/>
        <v>河南融创</v>
      </c>
      <c r="AU1057" s="259" t="str">
        <f t="shared" si="208"/>
        <v>C49SZX20210103MZ</v>
      </c>
      <c r="AV1057" s="259" t="str">
        <f t="shared" si="209"/>
        <v>Feb-21</v>
      </c>
    </row>
    <row r="1058" spans="1:48" hidden="1">
      <c r="A1058" s="559">
        <v>1225</v>
      </c>
      <c r="B1058" s="664" t="s">
        <v>1125</v>
      </c>
      <c r="C1058" s="664" t="s">
        <v>15</v>
      </c>
      <c r="D1058" s="755">
        <v>110727</v>
      </c>
      <c r="E1058" s="646" t="s">
        <v>2036</v>
      </c>
      <c r="F1058" s="647" t="s">
        <v>17</v>
      </c>
      <c r="G1058" s="647" t="s">
        <v>18</v>
      </c>
      <c r="H1058" s="647" t="s">
        <v>102</v>
      </c>
      <c r="I1058" s="575" t="s">
        <v>2037</v>
      </c>
      <c r="J1058" s="575">
        <v>1</v>
      </c>
      <c r="K1058" s="647" t="s">
        <v>1732</v>
      </c>
      <c r="L1058" s="657">
        <v>44613</v>
      </c>
      <c r="M1058" s="665" t="s">
        <v>906</v>
      </c>
      <c r="N1058" s="647" t="s">
        <v>1828</v>
      </c>
      <c r="O1058" s="575"/>
      <c r="P1058" s="665" t="str">
        <f>VLOOKUP(A1058,'[1]Raw data'!$B:$BA,23,FALSE)</f>
        <v>JPY</v>
      </c>
      <c r="Q1058" s="647" t="str">
        <f>VLOOKUP(A1058,'[1]Raw data'!$B:$Z,2,FALSE)</f>
        <v>C49SZX20210083SS</v>
      </c>
      <c r="R1058" s="647" t="str">
        <f>VLOOKUP(A1058,'[1]Raw data'!$B:$Z,3,FALSE)</f>
        <v>世启纳</v>
      </c>
      <c r="S1058" s="647" t="str">
        <f>VLOOKUP(A1058,'[1]Raw data'!$B:$Z,4,FALSE)</f>
        <v>YSM10</v>
      </c>
      <c r="T1058" s="647" t="str">
        <f>VLOOKUP(A1058,'[1]Raw data'!$B:$Z,8,FALSE)</f>
        <v>R-&gt;L</v>
      </c>
      <c r="U1058" s="647" t="str">
        <f>VLOOKUP(A1058,'[1]Raw data'!$B:$Z,9,FALSE)</f>
        <v>MVC</v>
      </c>
      <c r="V1058" s="567" t="str">
        <f t="shared" si="219"/>
        <v>WRONG</v>
      </c>
      <c r="W1058" s="563" t="str">
        <f>VLOOKUP(A1058,'[1]Raw data'!$B:$AG,32,FALSE)</f>
        <v>DAP SZ</v>
      </c>
      <c r="X1058" s="647">
        <f>VLOOKUP(A1058,'[1]Raw data'!$B:$BA,31,FALSE)</f>
        <v>44264</v>
      </c>
      <c r="Y1058" s="647" t="str">
        <f>VLOOKUP(A1058,'[1]Raw data'!$B:$AS,39,FALSE)</f>
        <v>Yes</v>
      </c>
      <c r="Z1058" s="659"/>
      <c r="AA1058" s="660"/>
      <c r="AB1058" s="661"/>
      <c r="AC1058" s="647" t="s">
        <v>2038</v>
      </c>
      <c r="AD1058" s="662">
        <v>301</v>
      </c>
      <c r="AE1058" s="662">
        <v>10</v>
      </c>
      <c r="AF1058" s="662"/>
      <c r="AG1058" s="662"/>
      <c r="AH1058" s="662"/>
      <c r="AI1058" s="663"/>
      <c r="AN1058" s="542"/>
      <c r="AO1058" s="824" t="str">
        <f t="shared" si="202"/>
        <v>Yes</v>
      </c>
      <c r="AP1058" s="259" t="str">
        <f t="shared" si="203"/>
        <v>MAR 22</v>
      </c>
      <c r="AQ1058" s="542" t="str">
        <f t="shared" si="204"/>
        <v>有定金+有預留客戶</v>
      </c>
      <c r="AR1058" s="259" t="str">
        <f t="shared" si="205"/>
        <v>Shipped_Stock</v>
      </c>
      <c r="AS1058" s="259" t="str">
        <f t="shared" si="206"/>
        <v/>
      </c>
      <c r="AT1058" s="259" t="str">
        <f t="shared" si="207"/>
        <v>世启纳</v>
      </c>
      <c r="AU1058" s="259" t="str">
        <f t="shared" si="208"/>
        <v>C49SZX20210083SS</v>
      </c>
      <c r="AV1058" s="259" t="str">
        <f t="shared" si="209"/>
        <v>Feb-21</v>
      </c>
    </row>
    <row r="1059" spans="1:48" ht="13.5" hidden="1" thickBot="1">
      <c r="A1059" s="559">
        <v>1226</v>
      </c>
      <c r="B1059" s="664" t="s">
        <v>1125</v>
      </c>
      <c r="C1059" s="664" t="s">
        <v>15</v>
      </c>
      <c r="D1059" s="624">
        <v>110727</v>
      </c>
      <c r="E1059" s="646" t="s">
        <v>2036</v>
      </c>
      <c r="F1059" s="647" t="s">
        <v>17</v>
      </c>
      <c r="G1059" s="647" t="s">
        <v>18</v>
      </c>
      <c r="H1059" s="647" t="s">
        <v>102</v>
      </c>
      <c r="I1059" s="575" t="s">
        <v>2039</v>
      </c>
      <c r="J1059" s="575">
        <v>1</v>
      </c>
      <c r="K1059" s="647" t="s">
        <v>1732</v>
      </c>
      <c r="L1059" s="657">
        <v>44613</v>
      </c>
      <c r="M1059" s="665" t="s">
        <v>906</v>
      </c>
      <c r="N1059" s="647" t="s">
        <v>1828</v>
      </c>
      <c r="O1059" s="575"/>
      <c r="P1059" s="665" t="str">
        <f>VLOOKUP(A1059,'[1]Raw data'!$B:$BA,23,FALSE)</f>
        <v>JPY</v>
      </c>
      <c r="Q1059" s="647" t="str">
        <f>VLOOKUP(A1059,'[1]Raw data'!$B:$Z,2,FALSE)</f>
        <v>C49SZX20210083SS</v>
      </c>
      <c r="R1059" s="647" t="str">
        <f>VLOOKUP(A1059,'[1]Raw data'!$B:$Z,3,FALSE)</f>
        <v>世启纳</v>
      </c>
      <c r="S1059" s="647" t="str">
        <f>VLOOKUP(A1059,'[1]Raw data'!$B:$Z,4,FALSE)</f>
        <v>YSM10</v>
      </c>
      <c r="T1059" s="647" t="str">
        <f>VLOOKUP(A1059,'[1]Raw data'!$B:$Z,8,FALSE)</f>
        <v>L-&gt;R</v>
      </c>
      <c r="U1059" s="647" t="str">
        <f>VLOOKUP(A1059,'[1]Raw data'!$B:$Z,9,FALSE)</f>
        <v>MVC</v>
      </c>
      <c r="V1059" s="567" t="str">
        <f t="shared" si="219"/>
        <v>WRONG</v>
      </c>
      <c r="W1059" s="563" t="str">
        <f>VLOOKUP(A1059,'[1]Raw data'!$B:$AG,32,FALSE)</f>
        <v>DAP SZ</v>
      </c>
      <c r="X1059" s="647">
        <f>VLOOKUP(A1059,'[1]Raw data'!$B:$BA,31,FALSE)</f>
        <v>44264</v>
      </c>
      <c r="Y1059" s="647" t="str">
        <f>VLOOKUP(A1059,'[1]Raw data'!$B:$AS,39,FALSE)</f>
        <v>Yes</v>
      </c>
      <c r="Z1059" s="659"/>
      <c r="AA1059" s="660"/>
      <c r="AB1059" s="661"/>
      <c r="AC1059" s="647" t="s">
        <v>2038</v>
      </c>
      <c r="AD1059" s="662">
        <v>301</v>
      </c>
      <c r="AE1059" s="662">
        <v>10</v>
      </c>
      <c r="AF1059" s="662"/>
      <c r="AG1059" s="662"/>
      <c r="AH1059" s="662"/>
      <c r="AI1059" s="663"/>
      <c r="AN1059" s="542"/>
      <c r="AO1059" s="824" t="str">
        <f t="shared" si="202"/>
        <v>Yes</v>
      </c>
      <c r="AP1059" s="259" t="str">
        <f t="shared" si="203"/>
        <v>MAR 22</v>
      </c>
      <c r="AQ1059" s="542" t="str">
        <f t="shared" si="204"/>
        <v>有定金+有預留客戶</v>
      </c>
      <c r="AR1059" s="259" t="str">
        <f t="shared" si="205"/>
        <v>Shipped_Stock</v>
      </c>
      <c r="AS1059" s="259" t="str">
        <f t="shared" si="206"/>
        <v/>
      </c>
      <c r="AT1059" s="259" t="str">
        <f t="shared" si="207"/>
        <v>世启纳</v>
      </c>
      <c r="AU1059" s="259" t="str">
        <f t="shared" si="208"/>
        <v>C49SZX20210083SS</v>
      </c>
      <c r="AV1059" s="259" t="str">
        <f t="shared" si="209"/>
        <v>Feb-21</v>
      </c>
    </row>
    <row r="1060" spans="1:48" hidden="1">
      <c r="A1060" s="599">
        <v>1369</v>
      </c>
      <c r="B1060" s="664" t="s">
        <v>1125</v>
      </c>
      <c r="C1060" s="664" t="s">
        <v>15</v>
      </c>
      <c r="D1060" s="690">
        <v>110729</v>
      </c>
      <c r="E1060" s="646" t="s">
        <v>2040</v>
      </c>
      <c r="F1060" s="647" t="s">
        <v>58</v>
      </c>
      <c r="G1060" s="647" t="s">
        <v>24</v>
      </c>
      <c r="H1060" s="647" t="s">
        <v>26</v>
      </c>
      <c r="I1060" s="575" t="s">
        <v>2041</v>
      </c>
      <c r="J1060" s="575">
        <v>1</v>
      </c>
      <c r="K1060" s="647" t="s">
        <v>1732</v>
      </c>
      <c r="L1060" s="657">
        <v>44613</v>
      </c>
      <c r="M1060" s="665" t="s">
        <v>906</v>
      </c>
      <c r="N1060" s="647" t="s">
        <v>1828</v>
      </c>
      <c r="O1060" s="575">
        <v>2022.1</v>
      </c>
      <c r="P1060" s="665" t="str">
        <f>VLOOKUP(A1060,'[1]Raw data'!$B:$BA,23,FALSE)</f>
        <v>JPY</v>
      </c>
      <c r="Q1060" s="647" t="str">
        <f>VLOOKUP(A1060,'[1]Raw data'!$B:$Z,2,FALSE)</f>
        <v>C49SZX20210149DY</v>
      </c>
      <c r="R1060" s="647" t="str">
        <f>VLOOKUP(A1060,'[1]Raw data'!$B:$Z,3,FALSE)</f>
        <v>格隆</v>
      </c>
      <c r="S1060" s="647" t="str">
        <f>VLOOKUP(A1060,'[1]Raw data'!$B:$Z,4,FALSE)</f>
        <v>YSM20R-2</v>
      </c>
      <c r="T1060" s="647" t="str">
        <f>VLOOKUP(A1060,'[1]Raw data'!$B:$Z,8,FALSE)</f>
        <v>L-&gt;R</v>
      </c>
      <c r="U1060" s="647" t="str">
        <f>VLOOKUP(A1060,'[1]Raw data'!$B:$Z,9,FALSE)</f>
        <v>No</v>
      </c>
      <c r="V1060" s="567" t="str">
        <f t="shared" si="219"/>
        <v>OK</v>
      </c>
      <c r="W1060" s="563" t="str">
        <f>VLOOKUP(A1060,'[1]Raw data'!$B:$AG,32,FALSE)</f>
        <v>CIF HK</v>
      </c>
      <c r="X1060" s="647">
        <f>VLOOKUP(A1060,'[1]Raw data'!$B:$BA,31,FALSE)</f>
        <v>44330</v>
      </c>
      <c r="Y1060" s="647" t="str">
        <f>VLOOKUP(A1060,'[1]Raw data'!$B:$AS,39,FALSE)</f>
        <v>Yes</v>
      </c>
      <c r="Z1060" s="666"/>
      <c r="AA1060" s="660"/>
      <c r="AB1060" s="661"/>
      <c r="AC1060" s="647" t="s">
        <v>2042</v>
      </c>
      <c r="AD1060" s="575">
        <v>301</v>
      </c>
      <c r="AE1060" s="575">
        <v>10</v>
      </c>
      <c r="AF1060" s="575">
        <v>302</v>
      </c>
      <c r="AG1060" s="575">
        <v>10</v>
      </c>
      <c r="AH1060" s="575"/>
      <c r="AI1060" s="679"/>
      <c r="AJ1060" s="564"/>
      <c r="AK1060" s="564"/>
      <c r="AL1060" s="564"/>
      <c r="AM1060" s="564"/>
      <c r="AN1060" s="614"/>
      <c r="AO1060" s="824" t="str">
        <f t="shared" si="202"/>
        <v>Yes</v>
      </c>
      <c r="AP1060" s="259" t="str">
        <f t="shared" si="203"/>
        <v>MAR 22</v>
      </c>
      <c r="AQ1060" s="542" t="str">
        <f t="shared" si="204"/>
        <v>有定金+有預留客戶</v>
      </c>
      <c r="AR1060" s="259" t="str">
        <f t="shared" si="205"/>
        <v>Shipped_Stock</v>
      </c>
      <c r="AS1060" s="259" t="str">
        <f t="shared" si="206"/>
        <v/>
      </c>
      <c r="AT1060" s="259" t="str">
        <f t="shared" si="207"/>
        <v>格隆</v>
      </c>
      <c r="AU1060" s="259" t="str">
        <f t="shared" si="208"/>
        <v>C49SZX20210149DY</v>
      </c>
      <c r="AV1060" s="259" t="str">
        <f t="shared" si="209"/>
        <v>Feb-21</v>
      </c>
    </row>
    <row r="1061" spans="1:48" hidden="1">
      <c r="A1061" s="559">
        <v>1487</v>
      </c>
      <c r="B1061" s="664" t="s">
        <v>1125</v>
      </c>
      <c r="C1061" s="664" t="s">
        <v>15</v>
      </c>
      <c r="D1061" s="645">
        <v>110729</v>
      </c>
      <c r="E1061" s="646" t="s">
        <v>2040</v>
      </c>
      <c r="F1061" s="647" t="s">
        <v>58</v>
      </c>
      <c r="G1061" s="647" t="s">
        <v>24</v>
      </c>
      <c r="H1061" s="647" t="s">
        <v>26</v>
      </c>
      <c r="I1061" s="575" t="s">
        <v>2043</v>
      </c>
      <c r="J1061" s="575">
        <v>1</v>
      </c>
      <c r="K1061" s="647" t="s">
        <v>1732</v>
      </c>
      <c r="L1061" s="657">
        <v>44613</v>
      </c>
      <c r="M1061" s="665" t="s">
        <v>906</v>
      </c>
      <c r="N1061" s="647" t="s">
        <v>1828</v>
      </c>
      <c r="O1061" s="575"/>
      <c r="P1061" s="665" t="str">
        <f>VLOOKUP(A1061,'[1]Raw data'!$B:$BA,23,FALSE)</f>
        <v>JPY</v>
      </c>
      <c r="Q1061" s="647" t="str">
        <f>VLOOKUP(A1061,'[1]Raw data'!$B:$Z,2,FALSE)</f>
        <v>C49SZX20210200JY</v>
      </c>
      <c r="R1061" s="647" t="str">
        <f>VLOOKUP(A1061,'[1]Raw data'!$B:$Z,3,FALSE)</f>
        <v>英拓邦（End user:深圳傲尔）</v>
      </c>
      <c r="S1061" s="647" t="str">
        <f>VLOOKUP(A1061,'[1]Raw data'!$B:$Z,4,FALSE)</f>
        <v>YSM20R-2</v>
      </c>
      <c r="T1061" s="647" t="str">
        <f>VLOOKUP(A1061,'[1]Raw data'!$B:$Z,8,FALSE)</f>
        <v>L-&gt;R</v>
      </c>
      <c r="U1061" s="647" t="str">
        <f>VLOOKUP(A1061,'[1]Raw data'!$B:$Z,9,FALSE)</f>
        <v>No</v>
      </c>
      <c r="V1061" s="567" t="str">
        <f t="shared" si="219"/>
        <v>OK</v>
      </c>
      <c r="W1061" s="563" t="str">
        <f>VLOOKUP(A1061,'[1]Raw data'!$B:$AG,32,FALSE)</f>
        <v>CIF HK</v>
      </c>
      <c r="X1061" s="647">
        <f>VLOOKUP(A1061,'[1]Raw data'!$B:$BA,31,FALSE)</f>
        <v>44496</v>
      </c>
      <c r="Y1061" s="647" t="str">
        <f>VLOOKUP(A1061,'[1]Raw data'!$B:$AS,39,FALSE)</f>
        <v>Yes</v>
      </c>
      <c r="Z1061" s="659"/>
      <c r="AA1061" s="660"/>
      <c r="AB1061" s="661"/>
      <c r="AC1061" s="647" t="s">
        <v>1931</v>
      </c>
      <c r="AD1061" s="662">
        <v>313</v>
      </c>
      <c r="AE1061" s="662">
        <v>20</v>
      </c>
      <c r="AF1061" s="662"/>
      <c r="AG1061" s="662"/>
      <c r="AH1061" s="662"/>
      <c r="AI1061" s="663"/>
      <c r="AN1061" s="542"/>
      <c r="AO1061" s="824" t="str">
        <f t="shared" si="202"/>
        <v>Yes</v>
      </c>
      <c r="AP1061" s="259" t="str">
        <f t="shared" si="203"/>
        <v>MAR 22</v>
      </c>
      <c r="AQ1061" s="542" t="str">
        <f t="shared" si="204"/>
        <v>有定金+有預留客戶</v>
      </c>
      <c r="AR1061" s="259" t="str">
        <f t="shared" si="205"/>
        <v>Shipped_Stock</v>
      </c>
      <c r="AS1061" s="259" t="str">
        <f t="shared" si="206"/>
        <v/>
      </c>
      <c r="AT1061" s="259" t="str">
        <f t="shared" si="207"/>
        <v>英拓邦（End user:深圳傲尔）</v>
      </c>
      <c r="AU1061" s="259" t="str">
        <f t="shared" si="208"/>
        <v>C49SZX20210200JY</v>
      </c>
      <c r="AV1061" s="259" t="str">
        <f t="shared" si="209"/>
        <v>Feb-21</v>
      </c>
    </row>
    <row r="1062" spans="1:48" hidden="1">
      <c r="A1062" s="559">
        <v>1273</v>
      </c>
      <c r="B1062" s="664" t="s">
        <v>1125</v>
      </c>
      <c r="C1062" s="664" t="s">
        <v>15</v>
      </c>
      <c r="D1062" s="645">
        <v>110729</v>
      </c>
      <c r="E1062" s="646" t="s">
        <v>2040</v>
      </c>
      <c r="F1062" s="647" t="s">
        <v>17</v>
      </c>
      <c r="G1062" s="647" t="s">
        <v>18</v>
      </c>
      <c r="H1062" s="647" t="s">
        <v>102</v>
      </c>
      <c r="I1062" s="575" t="s">
        <v>2044</v>
      </c>
      <c r="J1062" s="575">
        <v>1</v>
      </c>
      <c r="K1062" s="647" t="s">
        <v>1732</v>
      </c>
      <c r="L1062" s="657">
        <v>44613</v>
      </c>
      <c r="M1062" s="665" t="s">
        <v>906</v>
      </c>
      <c r="N1062" s="647" t="s">
        <v>1828</v>
      </c>
      <c r="O1062" s="575"/>
      <c r="P1062" s="665" t="str">
        <f>VLOOKUP(A1062,'[1]Raw data'!$B:$BA,23,FALSE)</f>
        <v>JPY</v>
      </c>
      <c r="Q1062" s="647" t="str">
        <f>VLOOKUP(A1062,'[1]Raw data'!$B:$Z,2,FALSE)</f>
        <v>C49SZX20210086JL</v>
      </c>
      <c r="R1062" s="647" t="str">
        <f>VLOOKUP(A1062,'[1]Raw data'!$B:$Z,3,FALSE)</f>
        <v>鹏鑫达（end user：晶昌鸿业）</v>
      </c>
      <c r="S1062" s="647" t="str">
        <f>VLOOKUP(A1062,'[1]Raw data'!$B:$Z,4,FALSE)</f>
        <v>YSM10</v>
      </c>
      <c r="T1062" s="647" t="str">
        <f>VLOOKUP(A1062,'[1]Raw data'!$B:$Z,8,FALSE)</f>
        <v>L-&gt;R</v>
      </c>
      <c r="U1062" s="647" t="str">
        <f>VLOOKUP(A1062,'[1]Raw data'!$B:$Z,9,FALSE)</f>
        <v>MVC</v>
      </c>
      <c r="V1062" s="567" t="str">
        <f t="shared" si="219"/>
        <v>WRONG</v>
      </c>
      <c r="W1062" s="563" t="str">
        <f>VLOOKUP(A1062,'[1]Raw data'!$B:$AG,32,FALSE)</f>
        <v>DAP SZ</v>
      </c>
      <c r="X1062" s="647">
        <f>VLOOKUP(A1062,'[1]Raw data'!$B:$BA,31,FALSE)</f>
        <v>44274</v>
      </c>
      <c r="Y1062" s="647" t="str">
        <f>VLOOKUP(A1062,'[1]Raw data'!$B:$AS,39,FALSE)</f>
        <v>Yes</v>
      </c>
      <c r="Z1062" s="659"/>
      <c r="AA1062" s="660"/>
      <c r="AB1062" s="661"/>
      <c r="AC1062" s="647" t="s">
        <v>448</v>
      </c>
      <c r="AD1062" s="662">
        <v>301</v>
      </c>
      <c r="AE1062" s="662">
        <v>10</v>
      </c>
      <c r="AF1062" s="662"/>
      <c r="AG1062" s="662"/>
      <c r="AH1062" s="662"/>
      <c r="AI1062" s="663"/>
      <c r="AN1062" s="542"/>
      <c r="AO1062" s="824" t="str">
        <f t="shared" si="202"/>
        <v>Yes</v>
      </c>
      <c r="AP1062" s="259" t="str">
        <f t="shared" si="203"/>
        <v>MAR 22</v>
      </c>
      <c r="AQ1062" s="542" t="str">
        <f t="shared" si="204"/>
        <v>有定金+有預留客戶</v>
      </c>
      <c r="AR1062" s="259" t="str">
        <f t="shared" si="205"/>
        <v>Shipped_Stock</v>
      </c>
      <c r="AS1062" s="259" t="str">
        <f t="shared" si="206"/>
        <v/>
      </c>
      <c r="AT1062" s="259" t="str">
        <f t="shared" si="207"/>
        <v>鹏鑫达（end user：晶昌鸿业）</v>
      </c>
      <c r="AU1062" s="259" t="str">
        <f t="shared" si="208"/>
        <v>C49SZX20210086JL</v>
      </c>
      <c r="AV1062" s="259" t="str">
        <f t="shared" si="209"/>
        <v>Feb-21</v>
      </c>
    </row>
    <row r="1063" spans="1:48" hidden="1">
      <c r="A1063" s="559">
        <v>1274</v>
      </c>
      <c r="B1063" s="664" t="s">
        <v>1125</v>
      </c>
      <c r="C1063" s="664" t="s">
        <v>15</v>
      </c>
      <c r="D1063" s="645">
        <v>110729</v>
      </c>
      <c r="E1063" s="646" t="s">
        <v>2040</v>
      </c>
      <c r="F1063" s="647" t="s">
        <v>17</v>
      </c>
      <c r="G1063" s="647" t="s">
        <v>18</v>
      </c>
      <c r="H1063" s="647" t="s">
        <v>102</v>
      </c>
      <c r="I1063" s="575" t="s">
        <v>2045</v>
      </c>
      <c r="J1063" s="575">
        <v>1</v>
      </c>
      <c r="K1063" s="647" t="s">
        <v>1732</v>
      </c>
      <c r="L1063" s="657">
        <v>44613</v>
      </c>
      <c r="M1063" s="665" t="s">
        <v>906</v>
      </c>
      <c r="N1063" s="647" t="s">
        <v>1828</v>
      </c>
      <c r="O1063" s="575"/>
      <c r="P1063" s="665" t="str">
        <f>VLOOKUP(A1063,'[1]Raw data'!$B:$BA,23,FALSE)</f>
        <v>JPY</v>
      </c>
      <c r="Q1063" s="647" t="str">
        <f>VLOOKUP(A1063,'[1]Raw data'!$B:$Z,2,FALSE)</f>
        <v>C49SZX20210086JL</v>
      </c>
      <c r="R1063" s="647" t="str">
        <f>VLOOKUP(A1063,'[1]Raw data'!$B:$Z,3,FALSE)</f>
        <v>鹏鑫达（end user：晶昌鸿业）</v>
      </c>
      <c r="S1063" s="647" t="str">
        <f>VLOOKUP(A1063,'[1]Raw data'!$B:$Z,4,FALSE)</f>
        <v>YSM10</v>
      </c>
      <c r="T1063" s="647" t="str">
        <f>VLOOKUP(A1063,'[1]Raw data'!$B:$Z,8,FALSE)</f>
        <v>L-&gt;R</v>
      </c>
      <c r="U1063" s="647" t="str">
        <f>VLOOKUP(A1063,'[1]Raw data'!$B:$Z,9,FALSE)</f>
        <v>MVC</v>
      </c>
      <c r="V1063" s="567" t="str">
        <f t="shared" si="219"/>
        <v>WRONG</v>
      </c>
      <c r="W1063" s="563" t="str">
        <f>VLOOKUP(A1063,'[1]Raw data'!$B:$AG,32,FALSE)</f>
        <v>DAP SZ</v>
      </c>
      <c r="X1063" s="647">
        <f>VLOOKUP(A1063,'[1]Raw data'!$B:$BA,31,FALSE)</f>
        <v>44274</v>
      </c>
      <c r="Y1063" s="647" t="str">
        <f>VLOOKUP(A1063,'[1]Raw data'!$B:$AS,39,FALSE)</f>
        <v>Yes</v>
      </c>
      <c r="Z1063" s="659"/>
      <c r="AA1063" s="660"/>
      <c r="AB1063" s="661"/>
      <c r="AC1063" s="647" t="s">
        <v>448</v>
      </c>
      <c r="AD1063" s="662">
        <v>301</v>
      </c>
      <c r="AE1063" s="662">
        <v>10</v>
      </c>
      <c r="AF1063" s="662"/>
      <c r="AG1063" s="662"/>
      <c r="AH1063" s="662"/>
      <c r="AI1063" s="663"/>
      <c r="AN1063" s="542"/>
      <c r="AO1063" s="824" t="str">
        <f t="shared" si="202"/>
        <v>Yes</v>
      </c>
      <c r="AP1063" s="259" t="str">
        <f t="shared" si="203"/>
        <v>MAR 22</v>
      </c>
      <c r="AQ1063" s="542" t="str">
        <f t="shared" si="204"/>
        <v>有定金+有預留客戶</v>
      </c>
      <c r="AR1063" s="259" t="str">
        <f t="shared" si="205"/>
        <v>Shipped_Stock</v>
      </c>
      <c r="AS1063" s="259" t="str">
        <f t="shared" si="206"/>
        <v/>
      </c>
      <c r="AT1063" s="259" t="str">
        <f t="shared" si="207"/>
        <v>鹏鑫达（end user：晶昌鸿业）</v>
      </c>
      <c r="AU1063" s="259" t="str">
        <f t="shared" si="208"/>
        <v>C49SZX20210086JL</v>
      </c>
      <c r="AV1063" s="259" t="str">
        <f t="shared" si="209"/>
        <v>Feb-21</v>
      </c>
    </row>
    <row r="1064" spans="1:48" hidden="1">
      <c r="A1064" s="599">
        <v>1468</v>
      </c>
      <c r="B1064" s="664" t="s">
        <v>1125</v>
      </c>
      <c r="C1064" s="664" t="s">
        <v>15</v>
      </c>
      <c r="D1064" s="623">
        <v>110733</v>
      </c>
      <c r="E1064" s="766" t="s">
        <v>2046</v>
      </c>
      <c r="F1064" s="647" t="s">
        <v>58</v>
      </c>
      <c r="G1064" s="647" t="s">
        <v>24</v>
      </c>
      <c r="H1064" s="647" t="s">
        <v>159</v>
      </c>
      <c r="I1064" s="575" t="s">
        <v>2047</v>
      </c>
      <c r="J1064" s="575">
        <v>1</v>
      </c>
      <c r="K1064" s="647" t="s">
        <v>85</v>
      </c>
      <c r="L1064" s="657">
        <v>44622</v>
      </c>
      <c r="M1064" s="665" t="s">
        <v>906</v>
      </c>
      <c r="N1064" s="647" t="s">
        <v>1828</v>
      </c>
      <c r="O1064" s="575">
        <v>2022.2</v>
      </c>
      <c r="P1064" s="665" t="str">
        <f>VLOOKUP(A1064,'[1]Raw data'!$B:$BA,23,FALSE)</f>
        <v>JPY</v>
      </c>
      <c r="Q1064" s="647" t="str">
        <f>VLOOKUP(A1064,'[1]Raw data'!$B:$Z,2,FALSE)</f>
        <v>C49SZX20210185DZ</v>
      </c>
      <c r="R1064" s="647" t="str">
        <f>VLOOKUP(A1064,'[1]Raw data'!$B:$Z,3,FALSE)</f>
        <v>宝捷信</v>
      </c>
      <c r="S1064" s="647" t="str">
        <f>VLOOKUP(A1064,'[1]Raw data'!$B:$Z,4,FALSE)</f>
        <v>YSM20R-2</v>
      </c>
      <c r="T1064" s="647" t="str">
        <f>VLOOKUP(A1064,'[1]Raw data'!$B:$Z,8,FALSE)</f>
        <v>L-&gt;R</v>
      </c>
      <c r="U1064" s="647" t="str">
        <f>VLOOKUP(A1064,'[1]Raw data'!$B:$Z,9,FALSE)</f>
        <v>cATS10+MVC+Feeder Carriage</v>
      </c>
      <c r="V1064" s="567" t="str">
        <f t="shared" ref="V1064:V1066" si="220">IF(G1064&amp;H1064=T1064&amp;U1064,"OK","WRONG")</f>
        <v>WRONG</v>
      </c>
      <c r="W1064" s="563" t="str">
        <f>VLOOKUP(A1064,'[1]Raw data'!$B:$AG,32,FALSE)</f>
        <v>DAP HZ</v>
      </c>
      <c r="X1064" s="647">
        <f>VLOOKUP(A1064,'[1]Raw data'!$B:$BA,31,FALSE)</f>
        <v>44410</v>
      </c>
      <c r="Y1064" s="647" t="str">
        <f>VLOOKUP(A1064,'[1]Raw data'!$B:$AS,39,FALSE)</f>
        <v>Yes</v>
      </c>
      <c r="Z1064" s="666"/>
      <c r="AA1064" s="660"/>
      <c r="AB1064" s="661"/>
      <c r="AC1064" s="647" t="s">
        <v>2048</v>
      </c>
      <c r="AD1064" s="575">
        <v>301</v>
      </c>
      <c r="AE1064" s="575">
        <v>10</v>
      </c>
      <c r="AF1064" s="575">
        <v>302</v>
      </c>
      <c r="AG1064" s="575">
        <v>10</v>
      </c>
      <c r="AH1064" s="575"/>
      <c r="AI1064" s="679"/>
      <c r="AJ1064" s="564"/>
      <c r="AK1064" s="564"/>
      <c r="AL1064" s="564"/>
      <c r="AM1064" s="564"/>
      <c r="AN1064" s="614"/>
      <c r="AO1064" s="824" t="str">
        <f t="shared" si="202"/>
        <v>Yes</v>
      </c>
      <c r="AP1064" s="259" t="str">
        <f t="shared" si="203"/>
        <v>MAR 22</v>
      </c>
      <c r="AQ1064" s="542" t="str">
        <f t="shared" si="204"/>
        <v>有定金+有預留客戶</v>
      </c>
      <c r="AR1064" s="259" t="str">
        <f t="shared" si="205"/>
        <v>Shipped_Stock</v>
      </c>
      <c r="AS1064" s="259" t="str">
        <f t="shared" si="206"/>
        <v/>
      </c>
      <c r="AT1064" s="259" t="str">
        <f t="shared" si="207"/>
        <v>宝捷信</v>
      </c>
      <c r="AU1064" s="259" t="str">
        <f t="shared" si="208"/>
        <v>C49SZX20210185DZ</v>
      </c>
      <c r="AV1064" s="259" t="str">
        <f t="shared" si="209"/>
        <v>Mar-02</v>
      </c>
    </row>
    <row r="1065" spans="1:48" hidden="1">
      <c r="A1065" s="599">
        <v>1093</v>
      </c>
      <c r="B1065" s="664" t="s">
        <v>1125</v>
      </c>
      <c r="C1065" s="664" t="s">
        <v>281</v>
      </c>
      <c r="D1065" s="625">
        <v>110800</v>
      </c>
      <c r="E1065" s="562" t="s">
        <v>886</v>
      </c>
      <c r="F1065" s="647" t="s">
        <v>17</v>
      </c>
      <c r="G1065" s="647" t="s">
        <v>18</v>
      </c>
      <c r="H1065" s="647" t="s">
        <v>26</v>
      </c>
      <c r="I1065" s="575" t="s">
        <v>2049</v>
      </c>
      <c r="J1065" s="575">
        <v>1</v>
      </c>
      <c r="K1065" s="647" t="s">
        <v>1419</v>
      </c>
      <c r="L1065" s="657">
        <v>44622</v>
      </c>
      <c r="M1065" s="665" t="s">
        <v>906</v>
      </c>
      <c r="N1065" s="647" t="s">
        <v>1930</v>
      </c>
      <c r="O1065" s="575">
        <v>2022.2</v>
      </c>
      <c r="P1065" s="665" t="str">
        <f>VLOOKUP(A1065,'[1]Raw data'!$B:$BA,23,FALSE)</f>
        <v>JPY</v>
      </c>
      <c r="Q1065" s="647" t="str">
        <f>VLOOKUP(A1065,'[1]Raw data'!$B:$Z,2,FALSE)</f>
        <v>C49SZX20210031SX</v>
      </c>
      <c r="R1065" s="647" t="str">
        <f>VLOOKUP(A1065,'[1]Raw data'!$B:$Z,3,FALSE)</f>
        <v>益田科技</v>
      </c>
      <c r="S1065" s="647" t="str">
        <f>VLOOKUP(A1065,'[1]Raw data'!$B:$Z,4,FALSE)</f>
        <v>YSM10</v>
      </c>
      <c r="T1065" s="647" t="str">
        <f>VLOOKUP(A1065,'[1]Raw data'!$B:$Z,8,FALSE)</f>
        <v>R-&gt;L</v>
      </c>
      <c r="U1065" s="647" t="str">
        <f>VLOOKUP(A1065,'[1]Raw data'!$B:$Z,9,FALSE)</f>
        <v>No</v>
      </c>
      <c r="V1065" s="567" t="str">
        <f t="shared" si="220"/>
        <v>OK</v>
      </c>
      <c r="W1065" s="563" t="str">
        <f>VLOOKUP(A1065,'[1]Raw data'!$B:$AG,32,FALSE)</f>
        <v>DAP SZ</v>
      </c>
      <c r="X1065" s="647">
        <f>VLOOKUP(A1065,'[1]Raw data'!$B:$BA,31,FALSE)</f>
        <v>44222</v>
      </c>
      <c r="Y1065" s="647" t="str">
        <f>VLOOKUP(A1065,'[1]Raw data'!$B:$AS,39,FALSE)</f>
        <v>Yes</v>
      </c>
      <c r="Z1065" s="575"/>
      <c r="AA1065" s="662"/>
      <c r="AB1065" s="662"/>
      <c r="AC1065" s="647" t="s">
        <v>1172</v>
      </c>
      <c r="AD1065" s="564">
        <v>301</v>
      </c>
      <c r="AE1065" s="564">
        <v>10</v>
      </c>
      <c r="AF1065" s="564"/>
      <c r="AG1065" s="564"/>
      <c r="AH1065" s="614"/>
      <c r="AI1065" s="614"/>
      <c r="AJ1065" s="614"/>
      <c r="AK1065" s="614"/>
      <c r="AL1065" s="614"/>
      <c r="AM1065" s="614"/>
      <c r="AN1065" s="614"/>
      <c r="AO1065" s="824" t="str">
        <f t="shared" si="202"/>
        <v>Yes</v>
      </c>
      <c r="AP1065" s="259" t="str">
        <f t="shared" si="203"/>
        <v>APR 22</v>
      </c>
      <c r="AQ1065" s="542" t="str">
        <f t="shared" si="204"/>
        <v>有定金+有預留客戶</v>
      </c>
      <c r="AR1065" s="259" t="str">
        <f t="shared" si="205"/>
        <v>Shipped_Stock</v>
      </c>
      <c r="AS1065" s="259" t="str">
        <f t="shared" si="206"/>
        <v/>
      </c>
      <c r="AT1065" s="259" t="str">
        <f t="shared" si="207"/>
        <v>益田科技</v>
      </c>
      <c r="AU1065" s="259" t="str">
        <f t="shared" si="208"/>
        <v>C49SZX20210031SX</v>
      </c>
      <c r="AV1065" s="259" t="str">
        <f t="shared" si="209"/>
        <v>Mar-02</v>
      </c>
    </row>
    <row r="1066" spans="1:48" ht="13.5" hidden="1" thickBot="1">
      <c r="A1066" s="599">
        <v>1502</v>
      </c>
      <c r="B1066" s="664" t="s">
        <v>1125</v>
      </c>
      <c r="C1066" s="664" t="s">
        <v>281</v>
      </c>
      <c r="D1066" s="624">
        <v>110800</v>
      </c>
      <c r="E1066" s="562" t="s">
        <v>886</v>
      </c>
      <c r="F1066" s="647" t="s">
        <v>17</v>
      </c>
      <c r="G1066" s="647" t="s">
        <v>18</v>
      </c>
      <c r="H1066" s="647" t="s">
        <v>26</v>
      </c>
      <c r="I1066" s="575" t="s">
        <v>2050</v>
      </c>
      <c r="J1066" s="575">
        <v>1</v>
      </c>
      <c r="K1066" s="647" t="s">
        <v>85</v>
      </c>
      <c r="L1066" s="657">
        <v>44622</v>
      </c>
      <c r="M1066" s="665" t="s">
        <v>906</v>
      </c>
      <c r="N1066" s="647" t="s">
        <v>1828</v>
      </c>
      <c r="O1066" s="575"/>
      <c r="P1066" s="665" t="str">
        <f>VLOOKUP(A1066,'[1]Raw data'!$B:$BA,23,FALSE)</f>
        <v>JPY</v>
      </c>
      <c r="Q1066" s="647" t="str">
        <f>VLOOKUP(A1066,'[1]Raw data'!$B:$Z,2,FALSE)</f>
        <v>C49SZX20210205SS</v>
      </c>
      <c r="R1066" s="647" t="str">
        <f>VLOOKUP(A1066,'[1]Raw data'!$B:$Z,3,FALSE)</f>
        <v>嘉力达</v>
      </c>
      <c r="S1066" s="647" t="str">
        <f>VLOOKUP(A1066,'[1]Raw data'!$B:$Z,4,FALSE)</f>
        <v>YSM10</v>
      </c>
      <c r="T1066" s="647" t="str">
        <f>VLOOKUP(A1066,'[1]Raw data'!$B:$Z,8,FALSE)</f>
        <v>L-&gt;R</v>
      </c>
      <c r="U1066" s="647" t="str">
        <f>VLOOKUP(A1066,'[1]Raw data'!$B:$Z,9,FALSE)</f>
        <v>MVC</v>
      </c>
      <c r="V1066" s="567" t="str">
        <f t="shared" si="220"/>
        <v>WRONG</v>
      </c>
      <c r="W1066" s="563" t="str">
        <f>VLOOKUP(A1066,'[1]Raw data'!$B:$AG,32,FALSE)</f>
        <v>DAP HZ</v>
      </c>
      <c r="X1066" s="647">
        <f>VLOOKUP(A1066,'[1]Raw data'!$B:$BA,31,FALSE)</f>
        <v>44513</v>
      </c>
      <c r="Y1066" s="647" t="str">
        <f>VLOOKUP(A1066,'[1]Raw data'!$B:$AS,39,FALSE)</f>
        <v>Yes</v>
      </c>
      <c r="Z1066" s="679"/>
      <c r="AA1066" s="564"/>
      <c r="AB1066" s="564"/>
      <c r="AC1066" s="647" t="s">
        <v>1859</v>
      </c>
      <c r="AD1066" s="564">
        <v>301</v>
      </c>
      <c r="AE1066" s="614">
        <v>10</v>
      </c>
      <c r="AF1066" s="614"/>
      <c r="AG1066" s="614"/>
      <c r="AH1066" s="614"/>
      <c r="AI1066" s="614"/>
      <c r="AJ1066" s="614"/>
      <c r="AK1066" s="614"/>
      <c r="AL1066" s="614"/>
      <c r="AM1066" s="614"/>
      <c r="AN1066" s="614"/>
      <c r="AO1066" s="824" t="str">
        <f t="shared" si="202"/>
        <v>Yes</v>
      </c>
      <c r="AP1066" s="259" t="str">
        <f t="shared" si="203"/>
        <v>MAR 22</v>
      </c>
      <c r="AQ1066" s="542" t="str">
        <f t="shared" si="204"/>
        <v>有定金+有預留客戶</v>
      </c>
      <c r="AR1066" s="259" t="str">
        <f t="shared" si="205"/>
        <v>Shipped_Stock</v>
      </c>
      <c r="AS1066" s="259" t="str">
        <f t="shared" si="206"/>
        <v/>
      </c>
      <c r="AT1066" s="259" t="str">
        <f t="shared" si="207"/>
        <v>嘉力达</v>
      </c>
      <c r="AU1066" s="259" t="str">
        <f t="shared" si="208"/>
        <v>C49SZX20210205SS</v>
      </c>
      <c r="AV1066" s="259" t="str">
        <f t="shared" si="209"/>
        <v>Mar-02</v>
      </c>
    </row>
    <row r="1067" spans="1:48" hidden="1">
      <c r="A1067" s="599">
        <v>1517</v>
      </c>
      <c r="B1067" s="664" t="s">
        <v>1125</v>
      </c>
      <c r="C1067" s="664" t="s">
        <v>281</v>
      </c>
      <c r="D1067" s="623">
        <v>110771</v>
      </c>
      <c r="E1067" s="562" t="s">
        <v>886</v>
      </c>
      <c r="F1067" s="647" t="s">
        <v>17</v>
      </c>
      <c r="G1067" s="647" t="s">
        <v>18</v>
      </c>
      <c r="H1067" s="647" t="s">
        <v>34</v>
      </c>
      <c r="I1067" s="575" t="s">
        <v>2051</v>
      </c>
      <c r="J1067" s="575">
        <v>1</v>
      </c>
      <c r="K1067" s="647" t="s">
        <v>85</v>
      </c>
      <c r="L1067" s="657">
        <v>44622</v>
      </c>
      <c r="M1067" s="665" t="s">
        <v>906</v>
      </c>
      <c r="N1067" s="647" t="s">
        <v>1930</v>
      </c>
      <c r="O1067" s="575">
        <v>2022.2</v>
      </c>
      <c r="P1067" s="665" t="str">
        <f>VLOOKUP(A1067,'[1]Raw data'!$B:$BA,23,FALSE)</f>
        <v>JPY</v>
      </c>
      <c r="Q1067" s="647" t="str">
        <f>VLOOKUP(A1067,'[1]Raw data'!$B:$Z,2,FALSE)</f>
        <v>C49SZX20210206MZ</v>
      </c>
      <c r="R1067" s="647" t="str">
        <f>VLOOKUP(A1067,'[1]Raw data'!$B:$Z,3,FALSE)</f>
        <v>魔乐视</v>
      </c>
      <c r="S1067" s="647" t="str">
        <f>VLOOKUP(A1067,'[1]Raw data'!$B:$Z,4,FALSE)</f>
        <v>YSM10</v>
      </c>
      <c r="T1067" s="647" t="str">
        <f>VLOOKUP(A1067,'[1]Raw data'!$B:$Z,8,FALSE)</f>
        <v>L-&gt;R</v>
      </c>
      <c r="U1067" s="647" t="str">
        <f>VLOOKUP(A1067,'[1]Raw data'!$B:$Z,9,FALSE)</f>
        <v>MVC+ATS15</v>
      </c>
      <c r="V1067" s="567" t="str">
        <f>IF(G1067&amp;H1067=T1067&amp;U1067,"OK","WRONG")</f>
        <v>WRONG</v>
      </c>
      <c r="W1067" s="563" t="str">
        <f>VLOOKUP(A1067,'[1]Raw data'!$B:$AG,32,FALSE)</f>
        <v>DAP SZ</v>
      </c>
      <c r="X1067" s="647">
        <f>VLOOKUP(A1067,'[1]Raw data'!$B:$BA,31,FALSE)</f>
        <v>44540</v>
      </c>
      <c r="Y1067" s="647" t="str">
        <f>VLOOKUP(A1067,'[1]Raw data'!$B:$AS,39,FALSE)</f>
        <v>Yes</v>
      </c>
      <c r="Z1067" s="666"/>
      <c r="AA1067" s="660"/>
      <c r="AB1067" s="661"/>
      <c r="AC1067" s="647" t="s">
        <v>2011</v>
      </c>
      <c r="AD1067" s="575">
        <v>301</v>
      </c>
      <c r="AE1067" s="575">
        <v>10</v>
      </c>
      <c r="AF1067" s="575"/>
      <c r="AG1067" s="575"/>
      <c r="AH1067" s="575"/>
      <c r="AI1067" s="679"/>
      <c r="AJ1067" s="564"/>
      <c r="AK1067" s="564"/>
      <c r="AL1067" s="564"/>
      <c r="AM1067" s="564"/>
      <c r="AN1067" s="614"/>
      <c r="AO1067" s="824" t="str">
        <f t="shared" si="202"/>
        <v>Yes</v>
      </c>
      <c r="AP1067" s="259" t="str">
        <f t="shared" si="203"/>
        <v>APR 22</v>
      </c>
      <c r="AQ1067" s="542" t="str">
        <f t="shared" si="204"/>
        <v>有定金+有預留客戶</v>
      </c>
      <c r="AR1067" s="259" t="str">
        <f t="shared" si="205"/>
        <v>Shipped_Stock</v>
      </c>
      <c r="AS1067" s="259" t="str">
        <f t="shared" si="206"/>
        <v/>
      </c>
      <c r="AT1067" s="259" t="str">
        <f t="shared" si="207"/>
        <v>魔乐视</v>
      </c>
      <c r="AU1067" s="259" t="str">
        <f t="shared" si="208"/>
        <v>C49SZX20210206MZ</v>
      </c>
      <c r="AV1067" s="259" t="str">
        <f t="shared" si="209"/>
        <v>Mar-02</v>
      </c>
    </row>
    <row r="1068" spans="1:48" hidden="1">
      <c r="A1068" s="559">
        <v>1492</v>
      </c>
      <c r="B1068" s="664" t="s">
        <v>1125</v>
      </c>
      <c r="C1068" s="664" t="s">
        <v>281</v>
      </c>
      <c r="D1068" s="625">
        <v>110771</v>
      </c>
      <c r="E1068" s="562" t="s">
        <v>886</v>
      </c>
      <c r="F1068" s="647" t="s">
        <v>17</v>
      </c>
      <c r="G1068" s="647" t="s">
        <v>18</v>
      </c>
      <c r="H1068" s="647" t="s">
        <v>26</v>
      </c>
      <c r="I1068" s="575" t="s">
        <v>2052</v>
      </c>
      <c r="J1068" s="575">
        <v>1</v>
      </c>
      <c r="K1068" s="647" t="s">
        <v>1419</v>
      </c>
      <c r="L1068" s="657">
        <v>44622</v>
      </c>
      <c r="M1068" s="665">
        <v>5.5100000000000003E-2</v>
      </c>
      <c r="N1068" s="647" t="s">
        <v>1930</v>
      </c>
      <c r="O1068" s="575">
        <v>2022.2</v>
      </c>
      <c r="P1068" s="665" t="str">
        <f>VLOOKUP(A1068,'[1]Raw data'!$B:$BA,23,FALSE)</f>
        <v>JPY</v>
      </c>
      <c r="Q1068" s="647" t="str">
        <f>VLOOKUP(A1068,'[1]Raw data'!$B:$Z,2,FALSE)</f>
        <v>C49SZX20210194SQ</v>
      </c>
      <c r="R1068" s="647" t="str">
        <f>VLOOKUP(A1068,'[1]Raw data'!$B:$Z,3,FALSE)</f>
        <v>旭协（End user 驰电）</v>
      </c>
      <c r="S1068" s="647" t="str">
        <f>VLOOKUP(A1068,'[1]Raw data'!$B:$Z,4,FALSE)</f>
        <v>YSM10</v>
      </c>
      <c r="T1068" s="647" t="str">
        <f>VLOOKUP(A1068,'[1]Raw data'!$B:$Z,8,FALSE)</f>
        <v>R-&gt;L</v>
      </c>
      <c r="U1068" s="647" t="str">
        <f>VLOOKUP(A1068,'[1]Raw data'!$B:$Z,9,FALSE)</f>
        <v>MVC</v>
      </c>
      <c r="V1068" s="567" t="str">
        <f>IF(G1068&amp;H1068=T1068&amp;U1068,"OK","WRONG")</f>
        <v>WRONG</v>
      </c>
      <c r="W1068" s="563" t="str">
        <f>VLOOKUP(A1068,'[1]Raw data'!$B:$AG,32,FALSE)</f>
        <v>DAPSZ</v>
      </c>
      <c r="X1068" s="647">
        <f>VLOOKUP(A1068,'[1]Raw data'!$B:$BA,31,FALSE)</f>
        <v>44499</v>
      </c>
      <c r="Y1068" s="647" t="str">
        <f>VLOOKUP(A1068,'[1]Raw data'!$B:$AS,39,FALSE)</f>
        <v>Yes</v>
      </c>
      <c r="Z1068" s="647"/>
      <c r="AA1068" s="662"/>
      <c r="AB1068" s="662"/>
      <c r="AC1068" s="575" t="s">
        <v>2053</v>
      </c>
      <c r="AD1068" s="662">
        <v>301</v>
      </c>
      <c r="AE1068" s="662">
        <v>10</v>
      </c>
      <c r="AF1068" s="663"/>
      <c r="AI1068" s="571"/>
      <c r="AK1068" s="542"/>
      <c r="AL1068" s="542"/>
      <c r="AM1068" s="542"/>
      <c r="AN1068" s="542"/>
      <c r="AO1068" s="824" t="str">
        <f t="shared" si="202"/>
        <v>Yes</v>
      </c>
      <c r="AP1068" s="259" t="str">
        <f t="shared" si="203"/>
        <v>APR 22</v>
      </c>
      <c r="AQ1068" s="542" t="str">
        <f t="shared" si="204"/>
        <v>有定金+有預留客戶</v>
      </c>
      <c r="AR1068" s="259" t="str">
        <f t="shared" si="205"/>
        <v>Shipped_Stock</v>
      </c>
      <c r="AS1068" s="259" t="str">
        <f t="shared" si="206"/>
        <v/>
      </c>
      <c r="AT1068" s="259" t="str">
        <f t="shared" si="207"/>
        <v>旭协（End user 驰电）</v>
      </c>
      <c r="AU1068" s="259" t="str">
        <f t="shared" si="208"/>
        <v>C49SZX20210194SQ</v>
      </c>
      <c r="AV1068" s="259" t="str">
        <f t="shared" si="209"/>
        <v>Mar-02</v>
      </c>
    </row>
    <row r="1069" spans="1:48" ht="27" hidden="1">
      <c r="A1069" s="599">
        <v>1469</v>
      </c>
      <c r="B1069" s="664" t="s">
        <v>1125</v>
      </c>
      <c r="C1069" s="664" t="s">
        <v>15</v>
      </c>
      <c r="D1069" s="625">
        <v>110728</v>
      </c>
      <c r="E1069" s="646" t="s">
        <v>2054</v>
      </c>
      <c r="F1069" s="647" t="s">
        <v>58</v>
      </c>
      <c r="G1069" s="647" t="s">
        <v>24</v>
      </c>
      <c r="H1069" s="647" t="s">
        <v>26</v>
      </c>
      <c r="I1069" s="575" t="s">
        <v>2055</v>
      </c>
      <c r="J1069" s="575">
        <v>1</v>
      </c>
      <c r="K1069" s="647" t="s">
        <v>85</v>
      </c>
      <c r="L1069" s="657">
        <v>44622</v>
      </c>
      <c r="M1069" s="665" t="s">
        <v>2056</v>
      </c>
      <c r="N1069" s="647" t="s">
        <v>1828</v>
      </c>
      <c r="O1069" s="575">
        <v>2022.1</v>
      </c>
      <c r="P1069" s="665" t="str">
        <f>VLOOKUP(A1069,'[1]Raw data'!$B:$BA,23,FALSE)</f>
        <v>JPY</v>
      </c>
      <c r="Q1069" s="647" t="str">
        <f>VLOOKUP(A1069,'[1]Raw data'!$B:$Z,2,FALSE)</f>
        <v>C49SZX20210185DZ</v>
      </c>
      <c r="R1069" s="647" t="str">
        <f>VLOOKUP(A1069,'[1]Raw data'!$B:$Z,3,FALSE)</f>
        <v>宝捷信</v>
      </c>
      <c r="S1069" s="647" t="str">
        <f>VLOOKUP(A1069,'[1]Raw data'!$B:$Z,4,FALSE)</f>
        <v>YSM20R-2</v>
      </c>
      <c r="T1069" s="647" t="str">
        <f>VLOOKUP(A1069,'[1]Raw data'!$B:$Z,8,FALSE)</f>
        <v>L-&gt;R</v>
      </c>
      <c r="U1069" s="647" t="str">
        <f>VLOOKUP(A1069,'[1]Raw data'!$B:$Z,9,FALSE)</f>
        <v>No</v>
      </c>
      <c r="V1069" s="567" t="str">
        <f t="shared" ref="V1069:V1070" si="221">IF(G1069&amp;H1069=T1069&amp;U1069,"OK","WRONG")</f>
        <v>OK</v>
      </c>
      <c r="W1069" s="563" t="str">
        <f>VLOOKUP(A1069,'[1]Raw data'!$B:$AG,32,FALSE)</f>
        <v>DAP HZ</v>
      </c>
      <c r="X1069" s="647">
        <f>VLOOKUP(A1069,'[1]Raw data'!$B:$BA,31,FALSE)</f>
        <v>44410</v>
      </c>
      <c r="Y1069" s="647" t="str">
        <f>VLOOKUP(A1069,'[1]Raw data'!$B:$AS,39,FALSE)</f>
        <v>Yes</v>
      </c>
      <c r="Z1069" s="666"/>
      <c r="AA1069" s="660"/>
      <c r="AB1069" s="661"/>
      <c r="AC1069" s="647" t="s">
        <v>2048</v>
      </c>
      <c r="AD1069" s="575">
        <v>312</v>
      </c>
      <c r="AE1069" s="575">
        <v>20</v>
      </c>
      <c r="AF1069" s="575"/>
      <c r="AG1069" s="575"/>
      <c r="AH1069" s="575"/>
      <c r="AI1069" s="679"/>
      <c r="AJ1069" s="564"/>
      <c r="AK1069" s="564"/>
      <c r="AL1069" s="564"/>
      <c r="AM1069" s="564"/>
      <c r="AN1069" s="614"/>
      <c r="AO1069" s="824" t="str">
        <f t="shared" si="202"/>
        <v>Yes</v>
      </c>
      <c r="AP1069" s="259" t="str">
        <f t="shared" si="203"/>
        <v>MAR 22</v>
      </c>
      <c r="AQ1069" s="542" t="str">
        <f t="shared" si="204"/>
        <v>有定金+有預留客戶</v>
      </c>
      <c r="AR1069" s="259" t="str">
        <f t="shared" si="205"/>
        <v>Shipped_Stock</v>
      </c>
      <c r="AS1069" s="259" t="str">
        <f t="shared" si="206"/>
        <v/>
      </c>
      <c r="AT1069" s="259" t="str">
        <f t="shared" si="207"/>
        <v>宝捷信</v>
      </c>
      <c r="AU1069" s="259" t="str">
        <f t="shared" si="208"/>
        <v>C49SZX20210185DZ</v>
      </c>
      <c r="AV1069" s="259" t="str">
        <f t="shared" si="209"/>
        <v>Mar-02</v>
      </c>
    </row>
    <row r="1070" spans="1:48" ht="13.5" hidden="1" thickBot="1">
      <c r="A1070" s="559">
        <v>1489</v>
      </c>
      <c r="B1070" s="664" t="s">
        <v>1125</v>
      </c>
      <c r="C1070" s="664" t="s">
        <v>15</v>
      </c>
      <c r="D1070" s="624">
        <v>110728</v>
      </c>
      <c r="E1070" s="646" t="s">
        <v>2054</v>
      </c>
      <c r="F1070" s="647" t="s">
        <v>17</v>
      </c>
      <c r="G1070" s="647" t="s">
        <v>18</v>
      </c>
      <c r="H1070" s="647" t="s">
        <v>102</v>
      </c>
      <c r="I1070" s="575" t="s">
        <v>2057</v>
      </c>
      <c r="J1070" s="575">
        <v>1</v>
      </c>
      <c r="K1070" s="647" t="s">
        <v>85</v>
      </c>
      <c r="L1070" s="657">
        <v>44622</v>
      </c>
      <c r="M1070" s="665" t="s">
        <v>906</v>
      </c>
      <c r="N1070" s="647" t="s">
        <v>1828</v>
      </c>
      <c r="O1070" s="575"/>
      <c r="P1070" s="665" t="str">
        <f>VLOOKUP(A1070,'[1]Raw data'!$B:$BA,23,FALSE)</f>
        <v>JPY</v>
      </c>
      <c r="Q1070" s="647" t="str">
        <f>VLOOKUP(A1070,'[1]Raw data'!$B:$Z,2,FALSE)</f>
        <v>C49SZX20210200JY</v>
      </c>
      <c r="R1070" s="647" t="str">
        <f>VLOOKUP(A1070,'[1]Raw data'!$B:$Z,3,FALSE)</f>
        <v>英拓邦（End user:深圳傲尔）</v>
      </c>
      <c r="S1070" s="647" t="str">
        <f>VLOOKUP(A1070,'[1]Raw data'!$B:$Z,4,FALSE)</f>
        <v>YSM10</v>
      </c>
      <c r="T1070" s="647" t="str">
        <f>VLOOKUP(A1070,'[1]Raw data'!$B:$Z,8,FALSE)</f>
        <v>L-&gt;R</v>
      </c>
      <c r="U1070" s="647" t="str">
        <f>VLOOKUP(A1070,'[1]Raw data'!$B:$Z,9,FALSE)</f>
        <v>MVC</v>
      </c>
      <c r="V1070" s="567" t="str">
        <f t="shared" si="221"/>
        <v>WRONG</v>
      </c>
      <c r="W1070" s="563" t="str">
        <f>VLOOKUP(A1070,'[1]Raw data'!$B:$AG,32,FALSE)</f>
        <v>CIF HK</v>
      </c>
      <c r="X1070" s="647">
        <f>VLOOKUP(A1070,'[1]Raw data'!$B:$BA,31,FALSE)</f>
        <v>44496</v>
      </c>
      <c r="Y1070" s="647" t="str">
        <f>VLOOKUP(A1070,'[1]Raw data'!$B:$AS,39,FALSE)</f>
        <v>Yes</v>
      </c>
      <c r="Z1070" s="659"/>
      <c r="AA1070" s="660"/>
      <c r="AB1070" s="661"/>
      <c r="AC1070" s="647" t="s">
        <v>2058</v>
      </c>
      <c r="AD1070" s="662">
        <v>312</v>
      </c>
      <c r="AE1070" s="662">
        <v>10</v>
      </c>
      <c r="AF1070" s="662"/>
      <c r="AG1070" s="662"/>
      <c r="AH1070" s="662"/>
      <c r="AI1070" s="663"/>
      <c r="AN1070" s="542"/>
      <c r="AO1070" s="824" t="str">
        <f t="shared" si="202"/>
        <v>Yes</v>
      </c>
      <c r="AP1070" s="259" t="str">
        <f t="shared" si="203"/>
        <v>MAR 22</v>
      </c>
      <c r="AQ1070" s="542" t="str">
        <f t="shared" si="204"/>
        <v>有定金+有預留客戶</v>
      </c>
      <c r="AR1070" s="259" t="str">
        <f t="shared" si="205"/>
        <v>Shipped_Stock</v>
      </c>
      <c r="AS1070" s="259" t="str">
        <f t="shared" si="206"/>
        <v/>
      </c>
      <c r="AT1070" s="259" t="str">
        <f t="shared" si="207"/>
        <v>英拓邦（End user:深圳傲尔）</v>
      </c>
      <c r="AU1070" s="259" t="str">
        <f t="shared" si="208"/>
        <v>C49SZX20210200JY</v>
      </c>
      <c r="AV1070" s="259" t="str">
        <f t="shared" si="209"/>
        <v>Mar-02</v>
      </c>
    </row>
    <row r="1071" spans="1:48" hidden="1">
      <c r="A1071" s="559">
        <v>1320</v>
      </c>
      <c r="B1071" s="664" t="s">
        <v>1125</v>
      </c>
      <c r="C1071" s="664" t="s">
        <v>281</v>
      </c>
      <c r="D1071" s="645">
        <v>110472</v>
      </c>
      <c r="E1071" s="646" t="s">
        <v>886</v>
      </c>
      <c r="F1071" s="647" t="s">
        <v>17</v>
      </c>
      <c r="G1071" s="647" t="s">
        <v>18</v>
      </c>
      <c r="H1071" s="647" t="s">
        <v>27</v>
      </c>
      <c r="I1071" s="575" t="s">
        <v>2059</v>
      </c>
      <c r="J1071" s="575">
        <v>1</v>
      </c>
      <c r="K1071" s="647" t="s">
        <v>85</v>
      </c>
      <c r="L1071" s="657">
        <v>44623</v>
      </c>
      <c r="M1071" s="665">
        <v>5.9499999999999997E-2</v>
      </c>
      <c r="N1071" s="647" t="s">
        <v>1828</v>
      </c>
      <c r="O1071" s="575"/>
      <c r="P1071" s="665" t="str">
        <f>VLOOKUP(A1071,'[1]Raw data'!$B:$BA,23,FALSE)</f>
        <v>JPY</v>
      </c>
      <c r="Q1071" s="647" t="str">
        <f>VLOOKUP(A1071,'[1]Raw data'!$B:$Z,2,FALSE)</f>
        <v>C49SZX20210111DZ</v>
      </c>
      <c r="R1071" s="647" t="str">
        <f>VLOOKUP(A1071,'[1]Raw data'!$B:$Z,3,FALSE)</f>
        <v>恒创兴</v>
      </c>
      <c r="S1071" s="647" t="str">
        <f>VLOOKUP(A1071,'[1]Raw data'!$B:$Z,4,FALSE)</f>
        <v>YSM10</v>
      </c>
      <c r="T1071" s="647" t="str">
        <f>VLOOKUP(A1071,'[1]Raw data'!$B:$Z,8,FALSE)</f>
        <v>L-&gt;R</v>
      </c>
      <c r="U1071" s="647" t="str">
        <f>VLOOKUP(A1071,'[1]Raw data'!$B:$Z,9,FALSE)</f>
        <v>MVC</v>
      </c>
      <c r="V1071" s="567" t="str">
        <f>IF(G1071&amp;H1071=T1071&amp;U1071,"OK","WRONG")</f>
        <v>WRONG</v>
      </c>
      <c r="W1071" s="563" t="str">
        <f>VLOOKUP(A1071,'[1]Raw data'!$B:$AG,32,FALSE)</f>
        <v>CIF HK</v>
      </c>
      <c r="X1071" s="647">
        <f>VLOOKUP(A1071,'[1]Raw data'!$B:$BA,31,FALSE)</f>
        <v>44295</v>
      </c>
      <c r="Y1071" s="647" t="str">
        <f>VLOOKUP(A1071,'[1]Raw data'!$B:$AS,39,FALSE)</f>
        <v>Yes</v>
      </c>
      <c r="Z1071" s="662"/>
      <c r="AA1071" s="662"/>
      <c r="AB1071" s="662"/>
      <c r="AC1071" s="647" t="s">
        <v>1796</v>
      </c>
      <c r="AD1071" s="571">
        <v>301</v>
      </c>
      <c r="AE1071" s="571">
        <v>10</v>
      </c>
      <c r="AH1071" s="542"/>
      <c r="AI1071" s="542"/>
      <c r="AJ1071" s="542"/>
      <c r="AK1071" s="542"/>
      <c r="AL1071" s="542"/>
      <c r="AM1071" s="542"/>
      <c r="AN1071" s="542"/>
      <c r="AO1071" s="824" t="str">
        <f t="shared" si="202"/>
        <v>Yes</v>
      </c>
      <c r="AP1071" s="259" t="str">
        <f t="shared" si="203"/>
        <v>MAR 22</v>
      </c>
      <c r="AQ1071" s="542" t="str">
        <f t="shared" si="204"/>
        <v>有定金+有預留客戶</v>
      </c>
      <c r="AR1071" s="259" t="str">
        <f t="shared" si="205"/>
        <v>Shipped_Stock</v>
      </c>
      <c r="AS1071" s="259" t="str">
        <f t="shared" si="206"/>
        <v/>
      </c>
      <c r="AT1071" s="259" t="str">
        <f t="shared" si="207"/>
        <v>恒创兴</v>
      </c>
      <c r="AU1071" s="259" t="str">
        <f t="shared" si="208"/>
        <v>C49SZX20210111DZ</v>
      </c>
      <c r="AV1071" s="259" t="str">
        <f t="shared" si="209"/>
        <v>Mar-03</v>
      </c>
    </row>
    <row r="1072" spans="1:48" hidden="1">
      <c r="A1072" s="599">
        <v>1373</v>
      </c>
      <c r="B1072" s="664" t="s">
        <v>1125</v>
      </c>
      <c r="C1072" s="664" t="s">
        <v>281</v>
      </c>
      <c r="D1072" s="645">
        <v>110472</v>
      </c>
      <c r="E1072" s="646" t="s">
        <v>886</v>
      </c>
      <c r="F1072" s="647" t="s">
        <v>17</v>
      </c>
      <c r="G1072" s="647" t="s">
        <v>18</v>
      </c>
      <c r="H1072" s="647" t="s">
        <v>27</v>
      </c>
      <c r="I1072" s="575" t="s">
        <v>2060</v>
      </c>
      <c r="J1072" s="575">
        <v>1</v>
      </c>
      <c r="K1072" s="647" t="s">
        <v>85</v>
      </c>
      <c r="L1072" s="657">
        <v>44623</v>
      </c>
      <c r="M1072" s="665">
        <v>5.9499999999999997E-2</v>
      </c>
      <c r="N1072" s="647" t="s">
        <v>1828</v>
      </c>
      <c r="O1072" s="575"/>
      <c r="P1072" s="665" t="str">
        <f>VLOOKUP(A1072,'[1]Raw data'!$B:$BA,23,FALSE)</f>
        <v>JPY</v>
      </c>
      <c r="Q1072" s="647" t="str">
        <f>VLOOKUP(A1072,'[1]Raw data'!$B:$Z,2,FALSE)</f>
        <v>C49SZX20210147DY</v>
      </c>
      <c r="R1072" s="647" t="str">
        <f>VLOOKUP(A1072,'[1]Raw data'!$B:$Z,3,FALSE)</f>
        <v>朗迅</v>
      </c>
      <c r="S1072" s="647" t="str">
        <f>VLOOKUP(A1072,'[1]Raw data'!$B:$Z,4,FALSE)</f>
        <v>YSM10</v>
      </c>
      <c r="T1072" s="647" t="str">
        <f>VLOOKUP(A1072,'[1]Raw data'!$B:$Z,8,FALSE)</f>
        <v>L-&gt;R</v>
      </c>
      <c r="U1072" s="647" t="str">
        <f>VLOOKUP(A1072,'[1]Raw data'!$B:$Z,9,FALSE)</f>
        <v>MVC</v>
      </c>
      <c r="V1072" s="567" t="str">
        <f>IF(G1072&amp;H1072=T1072&amp;U1072,"OK","WRONG")</f>
        <v>WRONG</v>
      </c>
      <c r="W1072" s="563" t="str">
        <f>VLOOKUP(A1072,'[1]Raw data'!$B:$AG,32,FALSE)</f>
        <v>DAP HZ</v>
      </c>
      <c r="X1072" s="647">
        <f>VLOOKUP(A1072,'[1]Raw data'!$B:$BA,31,FALSE)</f>
        <v>44333</v>
      </c>
      <c r="Y1072" s="647" t="str">
        <f>VLOOKUP(A1072,'[1]Raw data'!$B:$AS,39,FALSE)</f>
        <v>Yes</v>
      </c>
      <c r="Z1072" s="647"/>
      <c r="AA1072" s="575"/>
      <c r="AB1072" s="575"/>
      <c r="AC1072" s="647" t="s">
        <v>1832</v>
      </c>
      <c r="AD1072" s="575">
        <v>301</v>
      </c>
      <c r="AE1072" s="575">
        <v>10</v>
      </c>
      <c r="AF1072" s="679"/>
      <c r="AG1072" s="564"/>
      <c r="AH1072" s="564"/>
      <c r="AI1072" s="564"/>
      <c r="AJ1072" s="564"/>
      <c r="AK1072" s="614"/>
      <c r="AL1072" s="614"/>
      <c r="AM1072" s="614"/>
      <c r="AN1072" s="614"/>
      <c r="AO1072" s="824" t="str">
        <f t="shared" si="202"/>
        <v>Yes</v>
      </c>
      <c r="AP1072" s="259" t="str">
        <f t="shared" si="203"/>
        <v>MAR 22</v>
      </c>
      <c r="AQ1072" s="542" t="str">
        <f t="shared" si="204"/>
        <v>有定金+有預留客戶</v>
      </c>
      <c r="AR1072" s="259" t="str">
        <f t="shared" si="205"/>
        <v>Shipped_Stock</v>
      </c>
      <c r="AS1072" s="259" t="str">
        <f t="shared" si="206"/>
        <v/>
      </c>
      <c r="AT1072" s="259" t="str">
        <f t="shared" si="207"/>
        <v>朗迅</v>
      </c>
      <c r="AU1072" s="259" t="str">
        <f t="shared" si="208"/>
        <v>C49SZX20210147DY</v>
      </c>
      <c r="AV1072" s="259" t="str">
        <f t="shared" si="209"/>
        <v>Mar-03</v>
      </c>
    </row>
    <row r="1073" spans="1:48" hidden="1">
      <c r="A1073" s="599">
        <v>1374</v>
      </c>
      <c r="B1073" s="664" t="s">
        <v>1125</v>
      </c>
      <c r="C1073" s="664" t="s">
        <v>281</v>
      </c>
      <c r="D1073" s="645">
        <v>110472</v>
      </c>
      <c r="E1073" s="646" t="s">
        <v>886</v>
      </c>
      <c r="F1073" s="647" t="s">
        <v>17</v>
      </c>
      <c r="G1073" s="647" t="s">
        <v>18</v>
      </c>
      <c r="H1073" s="647" t="s">
        <v>26</v>
      </c>
      <c r="I1073" s="575" t="s">
        <v>2061</v>
      </c>
      <c r="J1073" s="575">
        <v>1</v>
      </c>
      <c r="K1073" s="647" t="s">
        <v>85</v>
      </c>
      <c r="L1073" s="657">
        <v>44623</v>
      </c>
      <c r="M1073" s="665">
        <v>5.9499999999999997E-2</v>
      </c>
      <c r="N1073" s="647" t="s">
        <v>1828</v>
      </c>
      <c r="O1073" s="575"/>
      <c r="P1073" s="665" t="str">
        <f>VLOOKUP(A1073,'[1]Raw data'!$B:$BA,23,FALSE)</f>
        <v>JPY</v>
      </c>
      <c r="Q1073" s="647" t="str">
        <f>VLOOKUP(A1073,'[1]Raw data'!$B:$Z,2,FALSE)</f>
        <v>C49SZX20210147DY</v>
      </c>
      <c r="R1073" s="647" t="str">
        <f>VLOOKUP(A1073,'[1]Raw data'!$B:$Z,3,FALSE)</f>
        <v>朗迅</v>
      </c>
      <c r="S1073" s="647" t="str">
        <f>VLOOKUP(A1073,'[1]Raw data'!$B:$Z,4,FALSE)</f>
        <v>YSM10</v>
      </c>
      <c r="T1073" s="647" t="str">
        <f>VLOOKUP(A1073,'[1]Raw data'!$B:$Z,8,FALSE)</f>
        <v>L-&gt;R</v>
      </c>
      <c r="U1073" s="647" t="str">
        <f>VLOOKUP(A1073,'[1]Raw data'!$B:$Z,9,FALSE)</f>
        <v>MVC</v>
      </c>
      <c r="V1073" s="567" t="str">
        <f>IF(G1073&amp;H1073=T1073&amp;U1073,"OK","WRONG")</f>
        <v>WRONG</v>
      </c>
      <c r="W1073" s="563" t="str">
        <f>VLOOKUP(A1073,'[1]Raw data'!$B:$AG,32,FALSE)</f>
        <v>DAP HZ</v>
      </c>
      <c r="X1073" s="647">
        <f>VLOOKUP(A1073,'[1]Raw data'!$B:$BA,31,FALSE)</f>
        <v>44333</v>
      </c>
      <c r="Y1073" s="647" t="str">
        <f>VLOOKUP(A1073,'[1]Raw data'!$B:$AS,39,FALSE)</f>
        <v>Yes</v>
      </c>
      <c r="Z1073" s="647"/>
      <c r="AA1073" s="575"/>
      <c r="AB1073" s="575"/>
      <c r="AC1073" s="647" t="s">
        <v>1832</v>
      </c>
      <c r="AD1073" s="575">
        <v>301</v>
      </c>
      <c r="AE1073" s="575">
        <v>10</v>
      </c>
      <c r="AF1073" s="679"/>
      <c r="AG1073" s="564"/>
      <c r="AH1073" s="564"/>
      <c r="AI1073" s="564"/>
      <c r="AJ1073" s="564"/>
      <c r="AK1073" s="614"/>
      <c r="AL1073" s="614"/>
      <c r="AM1073" s="614"/>
      <c r="AN1073" s="614"/>
      <c r="AO1073" s="824" t="str">
        <f t="shared" si="202"/>
        <v>Yes</v>
      </c>
      <c r="AP1073" s="259" t="str">
        <f t="shared" si="203"/>
        <v>MAR 22</v>
      </c>
      <c r="AQ1073" s="542" t="str">
        <f t="shared" si="204"/>
        <v>有定金+有預留客戶</v>
      </c>
      <c r="AR1073" s="259" t="str">
        <f t="shared" si="205"/>
        <v>Shipped_Stock</v>
      </c>
      <c r="AS1073" s="259" t="str">
        <f t="shared" si="206"/>
        <v/>
      </c>
      <c r="AT1073" s="259" t="str">
        <f t="shared" si="207"/>
        <v>朗迅</v>
      </c>
      <c r="AU1073" s="259" t="str">
        <f t="shared" si="208"/>
        <v>C49SZX20210147DY</v>
      </c>
      <c r="AV1073" s="259" t="str">
        <f t="shared" si="209"/>
        <v>Mar-03</v>
      </c>
    </row>
    <row r="1074" spans="1:48" hidden="1">
      <c r="A1074" s="599">
        <v>1408</v>
      </c>
      <c r="B1074" s="664" t="s">
        <v>1125</v>
      </c>
      <c r="C1074" s="664" t="s">
        <v>15</v>
      </c>
      <c r="D1074" s="645">
        <v>110730</v>
      </c>
      <c r="E1074" s="646" t="s">
        <v>2062</v>
      </c>
      <c r="F1074" s="647" t="s">
        <v>58</v>
      </c>
      <c r="G1074" s="647" t="s">
        <v>24</v>
      </c>
      <c r="H1074" s="647" t="s">
        <v>26</v>
      </c>
      <c r="I1074" s="575" t="s">
        <v>2063</v>
      </c>
      <c r="J1074" s="575">
        <v>1</v>
      </c>
      <c r="K1074" s="647" t="s">
        <v>85</v>
      </c>
      <c r="L1074" s="657">
        <v>44623</v>
      </c>
      <c r="M1074" s="665" t="s">
        <v>906</v>
      </c>
      <c r="N1074" s="647" t="s">
        <v>1828</v>
      </c>
      <c r="O1074" s="575"/>
      <c r="P1074" s="665" t="str">
        <f>VLOOKUP(A1074,'[1]Raw data'!$B:$BA,23,FALSE)</f>
        <v>JPY</v>
      </c>
      <c r="Q1074" s="647" t="str">
        <f>VLOOKUP(A1074,'[1]Raw data'!$B:$Z,2,FALSE)</f>
        <v>C49SZX20210166SX</v>
      </c>
      <c r="R1074" s="647" t="str">
        <f>VLOOKUP(A1074,'[1]Raw data'!$B:$Z,3,FALSE)</f>
        <v>晨鑫达</v>
      </c>
      <c r="S1074" s="647" t="str">
        <f>VLOOKUP(A1074,'[1]Raw data'!$B:$Z,4,FALSE)</f>
        <v>YSM20R-2</v>
      </c>
      <c r="T1074" s="647" t="str">
        <f>VLOOKUP(A1074,'[1]Raw data'!$B:$Z,8,FALSE)</f>
        <v>L-&gt;R</v>
      </c>
      <c r="U1074" s="647" t="str">
        <f>VLOOKUP(A1074,'[1]Raw data'!$B:$Z,9,FALSE)</f>
        <v>No</v>
      </c>
      <c r="V1074" s="567" t="str">
        <f t="shared" ref="V1074" si="222">IF(G1074&amp;H1074=T1074&amp;U1074,"OK","WRONG")</f>
        <v>OK</v>
      </c>
      <c r="W1074" s="563" t="str">
        <f>VLOOKUP(A1074,'[1]Raw data'!$B:$AG,32,FALSE)</f>
        <v>DAP SZ</v>
      </c>
      <c r="X1074" s="647">
        <f>VLOOKUP(A1074,'[1]Raw data'!$B:$BA,31,FALSE)</f>
        <v>44356</v>
      </c>
      <c r="Y1074" s="647" t="str">
        <f>VLOOKUP(A1074,'[1]Raw data'!$B:$AS,39,FALSE)</f>
        <v>Yes</v>
      </c>
      <c r="Z1074" s="666"/>
      <c r="AA1074" s="667"/>
      <c r="AB1074" s="668"/>
      <c r="AC1074" s="647" t="s">
        <v>1033</v>
      </c>
      <c r="AD1074" s="575">
        <v>301</v>
      </c>
      <c r="AE1074" s="575">
        <v>10</v>
      </c>
      <c r="AF1074" s="575">
        <v>304</v>
      </c>
      <c r="AG1074" s="575">
        <v>10</v>
      </c>
      <c r="AH1074" s="575"/>
      <c r="AI1074" s="679"/>
      <c r="AJ1074" s="564"/>
      <c r="AK1074" s="564"/>
      <c r="AL1074" s="564"/>
      <c r="AM1074" s="564"/>
      <c r="AN1074" s="614"/>
      <c r="AO1074" s="824" t="str">
        <f t="shared" si="202"/>
        <v>Yes</v>
      </c>
      <c r="AP1074" s="259" t="str">
        <f t="shared" si="203"/>
        <v>MAR 22</v>
      </c>
      <c r="AQ1074" s="542" t="str">
        <f t="shared" si="204"/>
        <v>有定金+有預留客戶</v>
      </c>
      <c r="AR1074" s="259" t="str">
        <f t="shared" si="205"/>
        <v>Shipped_Stock</v>
      </c>
      <c r="AS1074" s="259" t="str">
        <f t="shared" si="206"/>
        <v/>
      </c>
      <c r="AT1074" s="259" t="str">
        <f t="shared" si="207"/>
        <v>晨鑫达</v>
      </c>
      <c r="AU1074" s="259" t="str">
        <f t="shared" si="208"/>
        <v>C49SZX20210166SX</v>
      </c>
      <c r="AV1074" s="259" t="str">
        <f t="shared" si="209"/>
        <v>Mar-03</v>
      </c>
    </row>
    <row r="1075" spans="1:48" hidden="1">
      <c r="A1075" s="599">
        <v>1409</v>
      </c>
      <c r="B1075" s="664" t="s">
        <v>1125</v>
      </c>
      <c r="C1075" s="664" t="s">
        <v>15</v>
      </c>
      <c r="D1075" s="645">
        <v>110730</v>
      </c>
      <c r="E1075" s="646" t="s">
        <v>2062</v>
      </c>
      <c r="F1075" s="647" t="s">
        <v>58</v>
      </c>
      <c r="G1075" s="647" t="s">
        <v>24</v>
      </c>
      <c r="H1075" s="647" t="s">
        <v>26</v>
      </c>
      <c r="I1075" s="575" t="s">
        <v>2064</v>
      </c>
      <c r="J1075" s="575">
        <v>1</v>
      </c>
      <c r="K1075" s="647" t="s">
        <v>85</v>
      </c>
      <c r="L1075" s="657">
        <v>44623</v>
      </c>
      <c r="M1075" s="665" t="s">
        <v>906</v>
      </c>
      <c r="N1075" s="647" t="s">
        <v>1828</v>
      </c>
      <c r="O1075" s="575"/>
      <c r="P1075" s="665" t="str">
        <f>VLOOKUP(A1075,'[1]Raw data'!$B:$BA,23,FALSE)</f>
        <v>JPY</v>
      </c>
      <c r="Q1075" s="647" t="str">
        <f>VLOOKUP(A1075,'[1]Raw data'!$B:$Z,2,FALSE)</f>
        <v>C49SZX20210166SX</v>
      </c>
      <c r="R1075" s="647" t="str">
        <f>VLOOKUP(A1075,'[1]Raw data'!$B:$Z,3,FALSE)</f>
        <v>晨鑫达</v>
      </c>
      <c r="S1075" s="647" t="str">
        <f>VLOOKUP(A1075,'[1]Raw data'!$B:$Z,4,FALSE)</f>
        <v>YSM20R-2</v>
      </c>
      <c r="T1075" s="647" t="str">
        <f>VLOOKUP(A1075,'[1]Raw data'!$B:$Z,8,FALSE)</f>
        <v>L-&gt;R</v>
      </c>
      <c r="U1075" s="647" t="str">
        <f>VLOOKUP(A1075,'[1]Raw data'!$B:$Z,9,FALSE)</f>
        <v>No</v>
      </c>
      <c r="V1075" s="567" t="str">
        <f t="shared" ref="V1075:V1080" si="223">IF(G1075&amp;H1075=T1075&amp;U1075,"OK","WRONG")</f>
        <v>OK</v>
      </c>
      <c r="W1075" s="563" t="str">
        <f>VLOOKUP(A1075,'[1]Raw data'!$B:$AG,32,FALSE)</f>
        <v>DAP SZ</v>
      </c>
      <c r="X1075" s="647">
        <f>VLOOKUP(A1075,'[1]Raw data'!$B:$BA,31,FALSE)</f>
        <v>44356</v>
      </c>
      <c r="Y1075" s="647" t="str">
        <f>VLOOKUP(A1075,'[1]Raw data'!$B:$AS,39,FALSE)</f>
        <v>Yes</v>
      </c>
      <c r="Z1075" s="666"/>
      <c r="AA1075" s="667"/>
      <c r="AB1075" s="668"/>
      <c r="AC1075" s="647" t="s">
        <v>1033</v>
      </c>
      <c r="AD1075" s="575">
        <v>302</v>
      </c>
      <c r="AE1075" s="575">
        <v>5</v>
      </c>
      <c r="AF1075" s="575">
        <v>304</v>
      </c>
      <c r="AG1075" s="575">
        <v>15</v>
      </c>
      <c r="AH1075" s="575"/>
      <c r="AI1075" s="679"/>
      <c r="AJ1075" s="564"/>
      <c r="AK1075" s="564"/>
      <c r="AL1075" s="564"/>
      <c r="AM1075" s="564"/>
      <c r="AN1075" s="614"/>
      <c r="AO1075" s="824" t="str">
        <f t="shared" si="202"/>
        <v>Yes</v>
      </c>
      <c r="AP1075" s="259" t="str">
        <f t="shared" si="203"/>
        <v>MAR 22</v>
      </c>
      <c r="AQ1075" s="542" t="str">
        <f t="shared" si="204"/>
        <v>有定金+有預留客戶</v>
      </c>
      <c r="AR1075" s="259" t="str">
        <f t="shared" si="205"/>
        <v>Shipped_Stock</v>
      </c>
      <c r="AS1075" s="259" t="str">
        <f t="shared" si="206"/>
        <v/>
      </c>
      <c r="AT1075" s="259" t="str">
        <f t="shared" si="207"/>
        <v>晨鑫达</v>
      </c>
      <c r="AU1075" s="259" t="str">
        <f t="shared" si="208"/>
        <v>C49SZX20210166SX</v>
      </c>
      <c r="AV1075" s="259" t="str">
        <f t="shared" si="209"/>
        <v>Mar-03</v>
      </c>
    </row>
    <row r="1076" spans="1:48" hidden="1">
      <c r="A1076" s="599">
        <v>1410</v>
      </c>
      <c r="B1076" s="664" t="s">
        <v>1125</v>
      </c>
      <c r="C1076" s="664" t="s">
        <v>15</v>
      </c>
      <c r="D1076" s="645">
        <v>110730</v>
      </c>
      <c r="E1076" s="646" t="s">
        <v>2062</v>
      </c>
      <c r="F1076" s="647" t="s">
        <v>17</v>
      </c>
      <c r="G1076" s="647" t="s">
        <v>18</v>
      </c>
      <c r="H1076" s="647" t="s">
        <v>48</v>
      </c>
      <c r="I1076" s="575" t="s">
        <v>2065</v>
      </c>
      <c r="J1076" s="575">
        <v>1</v>
      </c>
      <c r="K1076" s="647" t="s">
        <v>85</v>
      </c>
      <c r="L1076" s="657">
        <v>44623</v>
      </c>
      <c r="M1076" s="665" t="s">
        <v>906</v>
      </c>
      <c r="N1076" s="647" t="s">
        <v>1828</v>
      </c>
      <c r="O1076" s="575"/>
      <c r="P1076" s="665" t="str">
        <f>VLOOKUP(A1076,'[1]Raw data'!$B:$BA,23,FALSE)</f>
        <v>JPY</v>
      </c>
      <c r="Q1076" s="647" t="str">
        <f>VLOOKUP(A1076,'[1]Raw data'!$B:$Z,2,FALSE)</f>
        <v>C49SZX20210166SX</v>
      </c>
      <c r="R1076" s="647" t="str">
        <f>VLOOKUP(A1076,'[1]Raw data'!$B:$Z,3,FALSE)</f>
        <v>晨鑫达</v>
      </c>
      <c r="S1076" s="647" t="str">
        <f>VLOOKUP(A1076,'[1]Raw data'!$B:$Z,4,FALSE)</f>
        <v>YSM10</v>
      </c>
      <c r="T1076" s="647" t="str">
        <f>VLOOKUP(A1076,'[1]Raw data'!$B:$Z,8,FALSE)</f>
        <v>L-&gt;R</v>
      </c>
      <c r="U1076" s="647" t="str">
        <f>VLOOKUP(A1076,'[1]Raw data'!$B:$Z,9,FALSE)</f>
        <v>MVC F&amp;R+ATS15</v>
      </c>
      <c r="V1076" s="567" t="str">
        <f t="shared" si="223"/>
        <v>WRONG</v>
      </c>
      <c r="W1076" s="563" t="str">
        <f>VLOOKUP(A1076,'[1]Raw data'!$B:$AG,32,FALSE)</f>
        <v>DAP SZ</v>
      </c>
      <c r="X1076" s="647">
        <f>VLOOKUP(A1076,'[1]Raw data'!$B:$BA,31,FALSE)</f>
        <v>44356</v>
      </c>
      <c r="Y1076" s="647" t="str">
        <f>VLOOKUP(A1076,'[1]Raw data'!$B:$AS,39,FALSE)</f>
        <v>Yes</v>
      </c>
      <c r="Z1076" s="666"/>
      <c r="AA1076" s="667"/>
      <c r="AB1076" s="668"/>
      <c r="AC1076" s="647" t="s">
        <v>1033</v>
      </c>
      <c r="AD1076" s="575">
        <v>312</v>
      </c>
      <c r="AE1076" s="575">
        <v>10</v>
      </c>
      <c r="AF1076" s="575"/>
      <c r="AG1076" s="575"/>
      <c r="AH1076" s="575"/>
      <c r="AI1076" s="679"/>
      <c r="AJ1076" s="564"/>
      <c r="AK1076" s="564"/>
      <c r="AL1076" s="564"/>
      <c r="AM1076" s="564"/>
      <c r="AN1076" s="614"/>
      <c r="AO1076" s="824" t="str">
        <f t="shared" si="202"/>
        <v>Yes</v>
      </c>
      <c r="AP1076" s="259" t="str">
        <f t="shared" si="203"/>
        <v>MAR 22</v>
      </c>
      <c r="AQ1076" s="542" t="str">
        <f t="shared" si="204"/>
        <v>有定金+有預留客戶</v>
      </c>
      <c r="AR1076" s="259" t="str">
        <f t="shared" si="205"/>
        <v>Shipped_Stock</v>
      </c>
      <c r="AS1076" s="259" t="str">
        <f t="shared" si="206"/>
        <v/>
      </c>
      <c r="AT1076" s="259" t="str">
        <f t="shared" si="207"/>
        <v>晨鑫达</v>
      </c>
      <c r="AU1076" s="259" t="str">
        <f t="shared" si="208"/>
        <v>C49SZX20210166SX</v>
      </c>
      <c r="AV1076" s="259" t="str">
        <f t="shared" si="209"/>
        <v>Mar-03</v>
      </c>
    </row>
    <row r="1077" spans="1:48" ht="22.5" hidden="1">
      <c r="A1077" s="599">
        <v>1559</v>
      </c>
      <c r="B1077" s="664" t="s">
        <v>1125</v>
      </c>
      <c r="C1077" s="664" t="s">
        <v>15</v>
      </c>
      <c r="D1077" s="645">
        <v>110730</v>
      </c>
      <c r="E1077" s="646" t="s">
        <v>2062</v>
      </c>
      <c r="F1077" s="647" t="s">
        <v>17</v>
      </c>
      <c r="G1077" s="647" t="s">
        <v>18</v>
      </c>
      <c r="H1077" s="647" t="s">
        <v>48</v>
      </c>
      <c r="I1077" s="575" t="s">
        <v>2066</v>
      </c>
      <c r="J1077" s="575">
        <v>1</v>
      </c>
      <c r="K1077" s="757" t="s">
        <v>85</v>
      </c>
      <c r="L1077" s="657">
        <v>44623</v>
      </c>
      <c r="M1077" s="665" t="s">
        <v>2067</v>
      </c>
      <c r="N1077" s="647" t="s">
        <v>1930</v>
      </c>
      <c r="O1077" s="575">
        <v>2022.1</v>
      </c>
      <c r="P1077" s="665" t="str">
        <f>VLOOKUP(A1077,'[1]Raw data'!$B:$BA,23,FALSE)</f>
        <v>JPY</v>
      </c>
      <c r="Q1077" s="647" t="str">
        <f>VLOOKUP(A1077,'[1]Raw data'!$B:$Z,2,FALSE)</f>
        <v>C49SZX20220010SQ</v>
      </c>
      <c r="R1077" s="647" t="str">
        <f>VLOOKUP(A1077,'[1]Raw data'!$B:$Z,3,FALSE)</f>
        <v>达锂</v>
      </c>
      <c r="S1077" s="647" t="str">
        <f>VLOOKUP(A1077,'[1]Raw data'!$B:$Z,4,FALSE)</f>
        <v>YSM10</v>
      </c>
      <c r="T1077" s="647" t="str">
        <f>VLOOKUP(A1077,'[1]Raw data'!$B:$Z,8,FALSE)</f>
        <v>L-&gt;R</v>
      </c>
      <c r="U1077" s="647" t="str">
        <f>VLOOKUP(A1077,'[1]Raw data'!$B:$Z,9,FALSE)</f>
        <v>MVC+ATS15</v>
      </c>
      <c r="V1077" s="567" t="str">
        <f t="shared" si="223"/>
        <v>WRONG</v>
      </c>
      <c r="W1077" s="563" t="str">
        <f>VLOOKUP(A1077,'[1]Raw data'!$B:$AG,32,FALSE)</f>
        <v>DAP DG</v>
      </c>
      <c r="X1077" s="647">
        <f>VLOOKUP(A1077,'[1]Raw data'!$B:$BA,31,FALSE)</f>
        <v>44581</v>
      </c>
      <c r="Y1077" s="647" t="str">
        <f>VLOOKUP(A1077,'[1]Raw data'!$B:$AS,39,FALSE)</f>
        <v>Yes</v>
      </c>
      <c r="Z1077" s="666"/>
      <c r="AA1077" s="660"/>
      <c r="AB1077" s="661"/>
      <c r="AC1077" s="647" t="s">
        <v>2068</v>
      </c>
      <c r="AD1077" s="575">
        <v>312</v>
      </c>
      <c r="AE1077" s="575">
        <v>10</v>
      </c>
      <c r="AF1077" s="575"/>
      <c r="AG1077" s="575"/>
      <c r="AH1077" s="575"/>
      <c r="AI1077" s="679"/>
      <c r="AJ1077" s="564"/>
      <c r="AK1077" s="564"/>
      <c r="AL1077" s="564"/>
      <c r="AM1077" s="564"/>
      <c r="AN1077" s="614"/>
      <c r="AO1077" s="824" t="str">
        <f t="shared" si="202"/>
        <v>Yes</v>
      </c>
      <c r="AP1077" s="259" t="str">
        <f t="shared" si="203"/>
        <v>APR 22</v>
      </c>
      <c r="AQ1077" s="542" t="str">
        <f t="shared" si="204"/>
        <v>有定金+有預留客戶</v>
      </c>
      <c r="AR1077" s="259" t="str">
        <f t="shared" si="205"/>
        <v>Shipped_Stock</v>
      </c>
      <c r="AS1077" s="259" t="str">
        <f t="shared" si="206"/>
        <v/>
      </c>
      <c r="AT1077" s="259" t="str">
        <f t="shared" si="207"/>
        <v>达锂</v>
      </c>
      <c r="AU1077" s="259" t="str">
        <f t="shared" si="208"/>
        <v>C49SZX20220010SQ</v>
      </c>
      <c r="AV1077" s="259" t="str">
        <f t="shared" si="209"/>
        <v>Mar-03</v>
      </c>
    </row>
    <row r="1078" spans="1:48" hidden="1">
      <c r="A1078" s="599">
        <v>1288</v>
      </c>
      <c r="B1078" s="664" t="s">
        <v>1125</v>
      </c>
      <c r="C1078" s="664" t="s">
        <v>15</v>
      </c>
      <c r="D1078" s="761">
        <v>110732</v>
      </c>
      <c r="E1078" s="646" t="s">
        <v>2069</v>
      </c>
      <c r="F1078" s="647" t="s">
        <v>58</v>
      </c>
      <c r="G1078" s="647" t="s">
        <v>24</v>
      </c>
      <c r="H1078" s="647" t="s">
        <v>159</v>
      </c>
      <c r="I1078" s="575" t="s">
        <v>2070</v>
      </c>
      <c r="J1078" s="575">
        <v>1</v>
      </c>
      <c r="K1078" s="725" t="s">
        <v>2071</v>
      </c>
      <c r="L1078" s="657">
        <v>44627</v>
      </c>
      <c r="M1078" s="665" t="s">
        <v>906</v>
      </c>
      <c r="N1078" s="647" t="s">
        <v>1930</v>
      </c>
      <c r="O1078" s="575">
        <v>2022.2</v>
      </c>
      <c r="P1078" s="665" t="str">
        <f>VLOOKUP(A1078,'[1]Raw data'!$B:$BA,23,FALSE)</f>
        <v>JPY</v>
      </c>
      <c r="Q1078" s="647" t="str">
        <f>VLOOKUP(A1078,'[1]Raw data'!$B:$Z,2,FALSE)</f>
        <v>C49SZX20210092MZ</v>
      </c>
      <c r="R1078" s="647" t="str">
        <f>VLOOKUP(A1078,'[1]Raw data'!$B:$Z,3,FALSE)</f>
        <v>懿美莱</v>
      </c>
      <c r="S1078" s="647" t="str">
        <f>VLOOKUP(A1078,'[1]Raw data'!$B:$Z,4,FALSE)</f>
        <v>YSM20R-2</v>
      </c>
      <c r="T1078" s="647" t="str">
        <f>VLOOKUP(A1078,'[1]Raw data'!$B:$Z,8,FALSE)</f>
        <v>L-&gt;R</v>
      </c>
      <c r="U1078" s="647" t="str">
        <f>VLOOKUP(A1078,'[1]Raw data'!$B:$Z,9,FALSE)</f>
        <v>cATS10+MVC+special layout</v>
      </c>
      <c r="V1078" s="567" t="str">
        <f t="shared" si="223"/>
        <v>OK</v>
      </c>
      <c r="W1078" s="563" t="str">
        <f>VLOOKUP(A1078,'[1]Raw data'!$B:$AG,32,FALSE)</f>
        <v>DAP SZ</v>
      </c>
      <c r="X1078" s="647">
        <f>VLOOKUP(A1078,'[1]Raw data'!$B:$BA,31,FALSE)</f>
        <v>44285</v>
      </c>
      <c r="Y1078" s="647" t="str">
        <f>VLOOKUP(A1078,'[1]Raw data'!$B:$AS,39,FALSE)</f>
        <v>Yes</v>
      </c>
      <c r="Z1078" s="666"/>
      <c r="AA1078" s="667"/>
      <c r="AB1078" s="668"/>
      <c r="AC1078" s="647" t="s">
        <v>2072</v>
      </c>
      <c r="AD1078" s="575">
        <v>303</v>
      </c>
      <c r="AE1078" s="575">
        <v>5</v>
      </c>
      <c r="AF1078" s="575">
        <v>304</v>
      </c>
      <c r="AG1078" s="575">
        <v>5</v>
      </c>
      <c r="AH1078" s="575">
        <v>312</v>
      </c>
      <c r="AI1078" s="679">
        <v>10</v>
      </c>
      <c r="AJ1078" s="564"/>
      <c r="AK1078" s="564"/>
      <c r="AL1078" s="564"/>
      <c r="AM1078" s="564"/>
      <c r="AN1078" s="614"/>
      <c r="AO1078" s="824" t="str">
        <f t="shared" si="202"/>
        <v>Yes</v>
      </c>
      <c r="AP1078" s="259" t="str">
        <f t="shared" si="203"/>
        <v>APR 22</v>
      </c>
      <c r="AQ1078" s="542" t="str">
        <f t="shared" si="204"/>
        <v>有定金+有預留客戶</v>
      </c>
      <c r="AR1078" s="259" t="str">
        <f t="shared" si="205"/>
        <v>Shipped_Stock</v>
      </c>
      <c r="AS1078" s="259" t="str">
        <f t="shared" si="206"/>
        <v/>
      </c>
      <c r="AT1078" s="259" t="str">
        <f t="shared" si="207"/>
        <v>懿美莱</v>
      </c>
      <c r="AU1078" s="259" t="str">
        <f t="shared" si="208"/>
        <v>C49SZX20210092MZ</v>
      </c>
      <c r="AV1078" s="259" t="str">
        <f t="shared" si="209"/>
        <v>Mar-07</v>
      </c>
    </row>
    <row r="1079" spans="1:48" ht="16.5" hidden="1">
      <c r="A1079" s="599">
        <v>1291</v>
      </c>
      <c r="B1079" s="664" t="s">
        <v>1125</v>
      </c>
      <c r="C1079" s="664" t="s">
        <v>281</v>
      </c>
      <c r="D1079" s="645">
        <v>110773</v>
      </c>
      <c r="E1079" s="563" t="s">
        <v>886</v>
      </c>
      <c r="F1079" s="647" t="s">
        <v>58</v>
      </c>
      <c r="G1079" s="647" t="s">
        <v>24</v>
      </c>
      <c r="H1079" s="647" t="s">
        <v>27</v>
      </c>
      <c r="I1079" s="575" t="s">
        <v>2073</v>
      </c>
      <c r="J1079" s="575">
        <v>1</v>
      </c>
      <c r="K1079" s="757" t="s">
        <v>2071</v>
      </c>
      <c r="L1079" s="657">
        <v>44627</v>
      </c>
      <c r="M1079" s="665" t="s">
        <v>906</v>
      </c>
      <c r="N1079" s="647" t="s">
        <v>1930</v>
      </c>
      <c r="O1079" s="575">
        <v>2022.2</v>
      </c>
      <c r="P1079" s="665" t="str">
        <f>VLOOKUP(A1079,'[1]Raw data'!$B:$BA,23,FALSE)</f>
        <v>JPY</v>
      </c>
      <c r="Q1079" s="647" t="str">
        <f>VLOOKUP(A1079,'[1]Raw data'!$B:$Z,2,FALSE)</f>
        <v>C49SZX20210092MZ</v>
      </c>
      <c r="R1079" s="647" t="str">
        <f>VLOOKUP(A1079,'[1]Raw data'!$B:$Z,3,FALSE)</f>
        <v>懿美莱</v>
      </c>
      <c r="S1079" s="647" t="str">
        <f>VLOOKUP(A1079,'[1]Raw data'!$B:$Z,4,FALSE)</f>
        <v>YSM20R-2</v>
      </c>
      <c r="T1079" s="647" t="str">
        <f>VLOOKUP(A1079,'[1]Raw data'!$B:$Z,8,FALSE)</f>
        <v>L-&gt;R</v>
      </c>
      <c r="U1079" s="647" t="str">
        <f>VLOOKUP(A1079,'[1]Raw data'!$B:$Z,9,FALSE)</f>
        <v>No</v>
      </c>
      <c r="V1079" s="567" t="str">
        <f t="shared" si="223"/>
        <v>WRONG</v>
      </c>
      <c r="W1079" s="563" t="str">
        <f>VLOOKUP(A1079,'[1]Raw data'!$B:$AG,32,FALSE)</f>
        <v>DAP SZ</v>
      </c>
      <c r="X1079" s="647">
        <f>VLOOKUP(A1079,'[1]Raw data'!$B:$BA,31,FALSE)</f>
        <v>44285</v>
      </c>
      <c r="Y1079" s="647" t="str">
        <f>VLOOKUP(A1079,'[1]Raw data'!$B:$AS,39,FALSE)</f>
        <v>Yes</v>
      </c>
      <c r="Z1079" s="666"/>
      <c r="AA1079" s="667"/>
      <c r="AB1079" s="668"/>
      <c r="AC1079" s="647" t="s">
        <v>2072</v>
      </c>
      <c r="AD1079" s="575">
        <v>302</v>
      </c>
      <c r="AE1079" s="575">
        <v>10</v>
      </c>
      <c r="AF1079" s="575">
        <v>302</v>
      </c>
      <c r="AG1079" s="575">
        <v>10</v>
      </c>
      <c r="AH1079" s="575"/>
      <c r="AI1079" s="679"/>
      <c r="AJ1079" s="564"/>
      <c r="AK1079" s="564"/>
      <c r="AL1079" s="564"/>
      <c r="AM1079" s="564"/>
      <c r="AN1079" s="614"/>
      <c r="AO1079" s="824" t="str">
        <f t="shared" si="202"/>
        <v>Yes</v>
      </c>
      <c r="AP1079" s="259" t="str">
        <f t="shared" si="203"/>
        <v>APR 22</v>
      </c>
      <c r="AQ1079" s="542" t="str">
        <f t="shared" si="204"/>
        <v>有定金+有預留客戶</v>
      </c>
      <c r="AR1079" s="259" t="str">
        <f t="shared" si="205"/>
        <v>Shipped_Stock</v>
      </c>
      <c r="AS1079" s="259" t="str">
        <f t="shared" si="206"/>
        <v/>
      </c>
      <c r="AT1079" s="259" t="str">
        <f t="shared" si="207"/>
        <v>懿美莱</v>
      </c>
      <c r="AU1079" s="259" t="str">
        <f t="shared" si="208"/>
        <v>C49SZX20210092MZ</v>
      </c>
      <c r="AV1079" s="259" t="str">
        <f t="shared" si="209"/>
        <v>Mar-07</v>
      </c>
    </row>
    <row r="1080" spans="1:48" ht="17.25" hidden="1" thickBot="1">
      <c r="A1080" s="599">
        <v>1558</v>
      </c>
      <c r="B1080" s="664" t="s">
        <v>1125</v>
      </c>
      <c r="C1080" s="664" t="s">
        <v>15</v>
      </c>
      <c r="D1080" s="624">
        <v>110737</v>
      </c>
      <c r="E1080" s="646" t="s">
        <v>2074</v>
      </c>
      <c r="F1080" s="647" t="s">
        <v>58</v>
      </c>
      <c r="G1080" s="647" t="s">
        <v>24</v>
      </c>
      <c r="H1080" s="647" t="s">
        <v>26</v>
      </c>
      <c r="I1080" s="575" t="s">
        <v>2075</v>
      </c>
      <c r="J1080" s="575">
        <v>1</v>
      </c>
      <c r="K1080" s="757" t="s">
        <v>2071</v>
      </c>
      <c r="L1080" s="657">
        <v>44627</v>
      </c>
      <c r="M1080" s="665" t="s">
        <v>906</v>
      </c>
      <c r="N1080" s="647" t="s">
        <v>1930</v>
      </c>
      <c r="O1080" s="575">
        <v>2022.2</v>
      </c>
      <c r="P1080" s="665" t="str">
        <f>VLOOKUP(A1080,'[1]Raw data'!$B:$BA,23,FALSE)</f>
        <v>JPY</v>
      </c>
      <c r="Q1080" s="647" t="str">
        <f>VLOOKUP(A1080,'[1]Raw data'!$B:$Z,2,FALSE)</f>
        <v>C49SZX20220010SQ</v>
      </c>
      <c r="R1080" s="647" t="str">
        <f>VLOOKUP(A1080,'[1]Raw data'!$B:$Z,3,FALSE)</f>
        <v>达锂</v>
      </c>
      <c r="S1080" s="647" t="str">
        <f>VLOOKUP(A1080,'[1]Raw data'!$B:$Z,4,FALSE)</f>
        <v>YSM20R-2</v>
      </c>
      <c r="T1080" s="647" t="str">
        <f>VLOOKUP(A1080,'[1]Raw data'!$B:$Z,8,FALSE)</f>
        <v>L-&gt;R</v>
      </c>
      <c r="U1080" s="647" t="str">
        <f>VLOOKUP(A1080,'[1]Raw data'!$B:$Z,9,FALSE)</f>
        <v>No</v>
      </c>
      <c r="V1080" s="567" t="str">
        <f t="shared" si="223"/>
        <v>OK</v>
      </c>
      <c r="W1080" s="563" t="str">
        <f>VLOOKUP(A1080,'[1]Raw data'!$B:$AG,32,FALSE)</f>
        <v>DAP DG</v>
      </c>
      <c r="X1080" s="647">
        <f>VLOOKUP(A1080,'[1]Raw data'!$B:$BA,31,FALSE)</f>
        <v>44581</v>
      </c>
      <c r="Y1080" s="647" t="str">
        <f>VLOOKUP(A1080,'[1]Raw data'!$B:$AS,39,FALSE)</f>
        <v>Yes</v>
      </c>
      <c r="Z1080" s="666"/>
      <c r="AA1080" s="660"/>
      <c r="AB1080" s="661"/>
      <c r="AC1080" s="647" t="s">
        <v>2068</v>
      </c>
      <c r="AD1080" s="575">
        <v>301</v>
      </c>
      <c r="AE1080" s="575">
        <v>10</v>
      </c>
      <c r="AF1080" s="575">
        <v>302</v>
      </c>
      <c r="AG1080" s="575">
        <v>10</v>
      </c>
      <c r="AH1080" s="575"/>
      <c r="AI1080" s="679"/>
      <c r="AJ1080" s="564"/>
      <c r="AK1080" s="564"/>
      <c r="AL1080" s="564"/>
      <c r="AM1080" s="564"/>
      <c r="AN1080" s="614"/>
      <c r="AO1080" s="824" t="str">
        <f t="shared" si="202"/>
        <v>Yes</v>
      </c>
      <c r="AP1080" s="259" t="str">
        <f t="shared" si="203"/>
        <v>APR 22</v>
      </c>
      <c r="AQ1080" s="542" t="str">
        <f t="shared" si="204"/>
        <v>有定金+有預留客戶</v>
      </c>
      <c r="AR1080" s="259" t="str">
        <f t="shared" si="205"/>
        <v>Shipped_Stock</v>
      </c>
      <c r="AS1080" s="259" t="str">
        <f t="shared" si="206"/>
        <v/>
      </c>
      <c r="AT1080" s="259" t="str">
        <f t="shared" si="207"/>
        <v>达锂</v>
      </c>
      <c r="AU1080" s="259" t="str">
        <f t="shared" si="208"/>
        <v>C49SZX20220010SQ</v>
      </c>
      <c r="AV1080" s="259" t="str">
        <f t="shared" si="209"/>
        <v>Mar-07</v>
      </c>
    </row>
    <row r="1081" spans="1:48" ht="16.5" hidden="1">
      <c r="A1081" s="599">
        <v>1289</v>
      </c>
      <c r="B1081" s="664" t="s">
        <v>1125</v>
      </c>
      <c r="C1081" s="664" t="s">
        <v>281</v>
      </c>
      <c r="D1081" s="761">
        <v>110774</v>
      </c>
      <c r="E1081" s="562" t="s">
        <v>886</v>
      </c>
      <c r="F1081" s="647" t="s">
        <v>58</v>
      </c>
      <c r="G1081" s="647" t="s">
        <v>24</v>
      </c>
      <c r="H1081" s="647" t="s">
        <v>159</v>
      </c>
      <c r="I1081" s="575" t="s">
        <v>2076</v>
      </c>
      <c r="J1081" s="575">
        <v>1</v>
      </c>
      <c r="K1081" s="757" t="s">
        <v>2071</v>
      </c>
      <c r="L1081" s="657">
        <v>44640</v>
      </c>
      <c r="M1081" s="665" t="s">
        <v>906</v>
      </c>
      <c r="N1081" s="647" t="s">
        <v>1930</v>
      </c>
      <c r="O1081" s="575">
        <v>2022.2</v>
      </c>
      <c r="P1081" s="665" t="str">
        <f>VLOOKUP(A1081,'[1]Raw data'!$B:$BA,23,FALSE)</f>
        <v>JPY</v>
      </c>
      <c r="Q1081" s="647" t="str">
        <f>VLOOKUP(A1081,'[1]Raw data'!$B:$Z,2,FALSE)</f>
        <v>C49SZX20210092MZ</v>
      </c>
      <c r="R1081" s="647" t="str">
        <f>VLOOKUP(A1081,'[1]Raw data'!$B:$Z,3,FALSE)</f>
        <v>懿美莱</v>
      </c>
      <c r="S1081" s="647" t="str">
        <f>VLOOKUP(A1081,'[1]Raw data'!$B:$Z,4,FALSE)</f>
        <v>YSM20R-2</v>
      </c>
      <c r="T1081" s="647" t="str">
        <f>VLOOKUP(A1081,'[1]Raw data'!$B:$Z,8,FALSE)</f>
        <v>L-&gt;R</v>
      </c>
      <c r="U1081" s="647" t="str">
        <f>VLOOKUP(A1081,'[1]Raw data'!$B:$Z,9,FALSE)</f>
        <v>cATS10+MVC+special layout</v>
      </c>
      <c r="V1081" s="567" t="str">
        <f t="shared" ref="V1081:V1084" si="224">IF(G1081&amp;H1081=T1081&amp;U1081,"OK","WRONG")</f>
        <v>OK</v>
      </c>
      <c r="W1081" s="563" t="str">
        <f>VLOOKUP(A1081,'[1]Raw data'!$B:$AG,32,FALSE)</f>
        <v>DAP SZ</v>
      </c>
      <c r="X1081" s="647">
        <f>VLOOKUP(A1081,'[1]Raw data'!$B:$BA,31,FALSE)</f>
        <v>44285</v>
      </c>
      <c r="Y1081" s="647" t="str">
        <f>VLOOKUP(A1081,'[1]Raw data'!$B:$AS,39,FALSE)</f>
        <v>Yes</v>
      </c>
      <c r="Z1081" s="666"/>
      <c r="AA1081" s="667"/>
      <c r="AB1081" s="668"/>
      <c r="AC1081" s="647" t="s">
        <v>2072</v>
      </c>
      <c r="AD1081" s="575">
        <v>301</v>
      </c>
      <c r="AE1081" s="575">
        <v>10</v>
      </c>
      <c r="AF1081" s="575">
        <v>311</v>
      </c>
      <c r="AG1081" s="575">
        <v>10</v>
      </c>
      <c r="AH1081" s="575"/>
      <c r="AI1081" s="679"/>
      <c r="AJ1081" s="564"/>
      <c r="AK1081" s="564"/>
      <c r="AL1081" s="564"/>
      <c r="AM1081" s="564"/>
      <c r="AN1081" s="614"/>
      <c r="AO1081" s="824" t="str">
        <f t="shared" si="202"/>
        <v>Yes</v>
      </c>
      <c r="AP1081" s="259" t="str">
        <f t="shared" si="203"/>
        <v>APR 22</v>
      </c>
      <c r="AQ1081" s="542" t="str">
        <f t="shared" si="204"/>
        <v>有定金+有預留客戶</v>
      </c>
      <c r="AR1081" s="259" t="str">
        <f t="shared" si="205"/>
        <v>Shipped_Stock</v>
      </c>
      <c r="AS1081" s="259" t="str">
        <f t="shared" si="206"/>
        <v/>
      </c>
      <c r="AT1081" s="259" t="str">
        <f t="shared" si="207"/>
        <v>懿美莱</v>
      </c>
      <c r="AU1081" s="259" t="str">
        <f t="shared" si="208"/>
        <v>C49SZX20210092MZ</v>
      </c>
      <c r="AV1081" s="259" t="str">
        <f t="shared" si="209"/>
        <v>Mar-20</v>
      </c>
    </row>
    <row r="1082" spans="1:48" ht="16.5" hidden="1">
      <c r="A1082" s="599">
        <v>1445</v>
      </c>
      <c r="B1082" s="664" t="s">
        <v>1125</v>
      </c>
      <c r="C1082" s="664" t="s">
        <v>281</v>
      </c>
      <c r="D1082" s="755">
        <v>110775</v>
      </c>
      <c r="E1082" s="562" t="s">
        <v>886</v>
      </c>
      <c r="F1082" s="647" t="s">
        <v>58</v>
      </c>
      <c r="G1082" s="647" t="s">
        <v>18</v>
      </c>
      <c r="H1082" s="647" t="s">
        <v>26</v>
      </c>
      <c r="I1082" s="575" t="s">
        <v>2077</v>
      </c>
      <c r="J1082" s="575">
        <v>1</v>
      </c>
      <c r="K1082" s="757" t="s">
        <v>2071</v>
      </c>
      <c r="L1082" s="657">
        <v>44640</v>
      </c>
      <c r="M1082" s="665" t="s">
        <v>906</v>
      </c>
      <c r="N1082" s="647" t="s">
        <v>1930</v>
      </c>
      <c r="O1082" s="575">
        <v>2022.2</v>
      </c>
      <c r="P1082" s="665" t="str">
        <f>VLOOKUP(A1082,'[1]Raw data'!$B:$BA,23,FALSE)</f>
        <v>JPY</v>
      </c>
      <c r="Q1082" s="647" t="str">
        <f>VLOOKUP(A1082,'[1]Raw data'!$B:$Z,2,FALSE)</f>
        <v>C49SZX20210177SS</v>
      </c>
      <c r="R1082" s="647" t="str">
        <f>VLOOKUP(A1082,'[1]Raw data'!$B:$Z,3,FALSE)</f>
        <v>乐凡电子</v>
      </c>
      <c r="S1082" s="647" t="str">
        <f>VLOOKUP(A1082,'[1]Raw data'!$B:$Z,4,FALSE)</f>
        <v>YSM20R-2</v>
      </c>
      <c r="T1082" s="647" t="str">
        <f>VLOOKUP(A1082,'[1]Raw data'!$B:$Z,8,FALSE)</f>
        <v>R-&gt;L</v>
      </c>
      <c r="U1082" s="647" t="str">
        <f>VLOOKUP(A1082,'[1]Raw data'!$B:$Z,9,FALSE)</f>
        <v>No</v>
      </c>
      <c r="V1082" s="567" t="str">
        <f>IF(G1082&amp;H1082=T1082&amp;U1082,"OK","WRONG")</f>
        <v>OK</v>
      </c>
      <c r="W1082" s="563" t="str">
        <f>VLOOKUP(A1082,'[1]Raw data'!$B:$AG,32,FALSE)</f>
        <v>DAP SZ</v>
      </c>
      <c r="X1082" s="647">
        <f>VLOOKUP(A1082,'[1]Raw data'!$B:$BA,31,FALSE)</f>
        <v>44372</v>
      </c>
      <c r="Y1082" s="647" t="str">
        <f>VLOOKUP(A1082,'[1]Raw data'!$B:$AS,39,FALSE)</f>
        <v>Yes</v>
      </c>
      <c r="Z1082" s="666"/>
      <c r="AA1082" s="660"/>
      <c r="AB1082" s="661"/>
      <c r="AC1082" s="647" t="s">
        <v>970</v>
      </c>
      <c r="AD1082" s="575">
        <v>301</v>
      </c>
      <c r="AE1082" s="575">
        <v>10</v>
      </c>
      <c r="AF1082" s="575">
        <v>311</v>
      </c>
      <c r="AG1082" s="575">
        <v>10</v>
      </c>
      <c r="AH1082" s="575"/>
      <c r="AI1082" s="679"/>
      <c r="AJ1082" s="564"/>
      <c r="AK1082" s="564"/>
      <c r="AL1082" s="564"/>
      <c r="AM1082" s="564"/>
      <c r="AN1082" s="614"/>
      <c r="AO1082" s="824" t="str">
        <f t="shared" si="202"/>
        <v>Yes</v>
      </c>
      <c r="AP1082" s="259" t="str">
        <f t="shared" si="203"/>
        <v>APR 22</v>
      </c>
      <c r="AQ1082" s="542" t="str">
        <f t="shared" si="204"/>
        <v>有定金+有預留客戶</v>
      </c>
      <c r="AR1082" s="259" t="str">
        <f t="shared" si="205"/>
        <v>Shipped_Stock</v>
      </c>
      <c r="AS1082" s="259" t="str">
        <f t="shared" si="206"/>
        <v/>
      </c>
      <c r="AT1082" s="259" t="str">
        <f t="shared" si="207"/>
        <v>乐凡电子</v>
      </c>
      <c r="AU1082" s="259" t="str">
        <f t="shared" si="208"/>
        <v>C49SZX20210177SS</v>
      </c>
      <c r="AV1082" s="259" t="str">
        <f t="shared" si="209"/>
        <v>Mar-20</v>
      </c>
    </row>
    <row r="1083" spans="1:48" ht="16.5" hidden="1">
      <c r="A1083" s="599">
        <v>1002</v>
      </c>
      <c r="B1083" s="664" t="s">
        <v>1125</v>
      </c>
      <c r="C1083" s="664" t="s">
        <v>281</v>
      </c>
      <c r="D1083" s="755">
        <v>110775</v>
      </c>
      <c r="E1083" s="562" t="s">
        <v>886</v>
      </c>
      <c r="F1083" s="647" t="s">
        <v>58</v>
      </c>
      <c r="G1083" s="647" t="s">
        <v>24</v>
      </c>
      <c r="H1083" s="647" t="s">
        <v>27</v>
      </c>
      <c r="I1083" s="575" t="s">
        <v>2078</v>
      </c>
      <c r="J1083" s="575">
        <v>1</v>
      </c>
      <c r="K1083" s="757" t="s">
        <v>2071</v>
      </c>
      <c r="L1083" s="657">
        <v>44640</v>
      </c>
      <c r="M1083" s="665" t="s">
        <v>906</v>
      </c>
      <c r="N1083" s="647" t="s">
        <v>1930</v>
      </c>
      <c r="O1083" s="575">
        <v>2022.2</v>
      </c>
      <c r="P1083" s="665" t="str">
        <f>VLOOKUP(A1083,'[1]Raw data'!$B:$BA,23,FALSE)</f>
        <v>JPY</v>
      </c>
      <c r="Q1083" s="647" t="str">
        <f>VLOOKUP(A1083,'[1]Raw data'!$B:$Z,2,FALSE)</f>
        <v>C49SZX20200233JL</v>
      </c>
      <c r="R1083" s="647" t="str">
        <f>VLOOKUP(A1083,'[1]Raw data'!$B:$Z,3,FALSE)</f>
        <v>瑞福联</v>
      </c>
      <c r="S1083" s="647" t="str">
        <f>VLOOKUP(A1083,'[1]Raw data'!$B:$Z,4,FALSE)</f>
        <v>YSM20R-2</v>
      </c>
      <c r="T1083" s="647" t="str">
        <f>VLOOKUP(A1083,'[1]Raw data'!$B:$Z,8,FALSE)</f>
        <v>L-&gt;R</v>
      </c>
      <c r="U1083" s="647" t="str">
        <f>VLOOKUP(A1083,'[1]Raw data'!$B:$Z,9,FALSE)</f>
        <v>No</v>
      </c>
      <c r="V1083" s="567" t="str">
        <f t="shared" si="224"/>
        <v>WRONG</v>
      </c>
      <c r="W1083" s="563" t="str">
        <f>VLOOKUP(A1083,'[1]Raw data'!$B:$AG,32,FALSE)</f>
        <v>CIF HK</v>
      </c>
      <c r="X1083" s="647">
        <f>VLOOKUP(A1083,'[1]Raw data'!$B:$BA,31,FALSE)</f>
        <v>44175</v>
      </c>
      <c r="Y1083" s="647" t="str">
        <f>VLOOKUP(A1083,'[1]Raw data'!$B:$AS,39,FALSE)</f>
        <v>Yes</v>
      </c>
      <c r="Z1083" s="666"/>
      <c r="AA1083" s="660"/>
      <c r="AB1083" s="661"/>
      <c r="AC1083" s="647" t="s">
        <v>2079</v>
      </c>
      <c r="AD1083" s="575">
        <v>301</v>
      </c>
      <c r="AE1083" s="575">
        <v>10</v>
      </c>
      <c r="AF1083" s="575">
        <v>311</v>
      </c>
      <c r="AG1083" s="575">
        <v>10</v>
      </c>
      <c r="AH1083" s="575"/>
      <c r="AI1083" s="679"/>
      <c r="AJ1083" s="564"/>
      <c r="AK1083" s="564"/>
      <c r="AL1083" s="564"/>
      <c r="AM1083" s="564"/>
      <c r="AN1083" s="614"/>
      <c r="AO1083" s="824" t="str">
        <f t="shared" si="202"/>
        <v>Yes</v>
      </c>
      <c r="AP1083" s="259" t="str">
        <f t="shared" si="203"/>
        <v>APR 22</v>
      </c>
      <c r="AQ1083" s="542" t="str">
        <f t="shared" si="204"/>
        <v>有定金+有預留客戶</v>
      </c>
      <c r="AR1083" s="259" t="str">
        <f t="shared" si="205"/>
        <v>Shipped_Stock</v>
      </c>
      <c r="AS1083" s="259" t="str">
        <f t="shared" si="206"/>
        <v/>
      </c>
      <c r="AT1083" s="259" t="str">
        <f t="shared" si="207"/>
        <v>瑞福联</v>
      </c>
      <c r="AU1083" s="259" t="str">
        <f t="shared" si="208"/>
        <v>C49SZX20200233JL</v>
      </c>
      <c r="AV1083" s="259" t="str">
        <f t="shared" si="209"/>
        <v>Mar-20</v>
      </c>
    </row>
    <row r="1084" spans="1:48" ht="16.5" hidden="1">
      <c r="A1084" s="599">
        <v>1381</v>
      </c>
      <c r="B1084" s="664" t="s">
        <v>1125</v>
      </c>
      <c r="C1084" s="664" t="s">
        <v>281</v>
      </c>
      <c r="D1084" s="755">
        <v>110775</v>
      </c>
      <c r="E1084" s="562" t="s">
        <v>886</v>
      </c>
      <c r="F1084" s="647" t="s">
        <v>58</v>
      </c>
      <c r="G1084" s="647" t="s">
        <v>24</v>
      </c>
      <c r="H1084" s="647" t="s">
        <v>26</v>
      </c>
      <c r="I1084" s="575" t="s">
        <v>2080</v>
      </c>
      <c r="J1084" s="575">
        <v>1</v>
      </c>
      <c r="K1084" s="757" t="s">
        <v>2071</v>
      </c>
      <c r="L1084" s="657">
        <v>44640</v>
      </c>
      <c r="M1084" s="665" t="s">
        <v>906</v>
      </c>
      <c r="N1084" s="647" t="s">
        <v>1930</v>
      </c>
      <c r="O1084" s="575">
        <v>2022.2</v>
      </c>
      <c r="P1084" s="665" t="str">
        <f>VLOOKUP(A1084,'[1]Raw data'!$B:$BA,23,FALSE)</f>
        <v>JPY</v>
      </c>
      <c r="Q1084" s="647" t="str">
        <f>VLOOKUP(A1084,'[1]Raw data'!$B:$Z,2,FALSE)</f>
        <v>C49SZX20210182MZ</v>
      </c>
      <c r="R1084" s="647" t="str">
        <f>VLOOKUP(A1084,'[1]Raw data'!$B:$Z,3,FALSE)</f>
        <v>巨能</v>
      </c>
      <c r="S1084" s="647" t="str">
        <f>VLOOKUP(A1084,'[1]Raw data'!$B:$Z,4,FALSE)</f>
        <v>YSM20R-2</v>
      </c>
      <c r="T1084" s="647" t="str">
        <f>VLOOKUP(A1084,'[1]Raw data'!$B:$Z,8,FALSE)</f>
        <v>L-&gt;R</v>
      </c>
      <c r="U1084" s="647" t="str">
        <f>VLOOKUP(A1084,'[1]Raw data'!$B:$Z,9,FALSE)</f>
        <v>No</v>
      </c>
      <c r="V1084" s="567" t="str">
        <f t="shared" si="224"/>
        <v>OK</v>
      </c>
      <c r="W1084" s="563" t="str">
        <f>VLOOKUP(A1084,'[1]Raw data'!$B:$AG,32,FALSE)</f>
        <v>DAP SZ</v>
      </c>
      <c r="X1084" s="647">
        <f>VLOOKUP(A1084,'[1]Raw data'!$B:$BA,31,FALSE)</f>
        <v>44337</v>
      </c>
      <c r="Y1084" s="647" t="str">
        <f>VLOOKUP(A1084,'[1]Raw data'!$B:$AS,39,FALSE)</f>
        <v>Yes</v>
      </c>
      <c r="Z1084" s="666"/>
      <c r="AA1084" s="660"/>
      <c r="AB1084" s="661"/>
      <c r="AC1084" s="647" t="s">
        <v>1647</v>
      </c>
      <c r="AD1084" s="575">
        <v>301</v>
      </c>
      <c r="AE1084" s="575">
        <v>10</v>
      </c>
      <c r="AF1084" s="575">
        <v>311</v>
      </c>
      <c r="AG1084" s="575">
        <v>10</v>
      </c>
      <c r="AH1084" s="575"/>
      <c r="AI1084" s="679"/>
      <c r="AJ1084" s="564"/>
      <c r="AK1084" s="564"/>
      <c r="AL1084" s="564"/>
      <c r="AM1084" s="564"/>
      <c r="AN1084" s="614"/>
      <c r="AO1084" s="824" t="str">
        <f t="shared" si="202"/>
        <v>Yes</v>
      </c>
      <c r="AP1084" s="259" t="str">
        <f t="shared" si="203"/>
        <v>APR 22</v>
      </c>
      <c r="AQ1084" s="542" t="str">
        <f t="shared" si="204"/>
        <v>有定金+有預留客戶</v>
      </c>
      <c r="AR1084" s="259" t="str">
        <f t="shared" si="205"/>
        <v>Shipped_Stock</v>
      </c>
      <c r="AS1084" s="259" t="str">
        <f t="shared" si="206"/>
        <v/>
      </c>
      <c r="AT1084" s="259" t="str">
        <f t="shared" si="207"/>
        <v>巨能</v>
      </c>
      <c r="AU1084" s="259" t="str">
        <f t="shared" si="208"/>
        <v>C49SZX20210182MZ</v>
      </c>
      <c r="AV1084" s="259" t="str">
        <f t="shared" si="209"/>
        <v>Mar-20</v>
      </c>
    </row>
    <row r="1085" spans="1:48" ht="16.5" hidden="1">
      <c r="A1085" s="599">
        <v>1090</v>
      </c>
      <c r="B1085" s="664" t="s">
        <v>1125</v>
      </c>
      <c r="C1085" s="664" t="s">
        <v>281</v>
      </c>
      <c r="D1085" s="755">
        <v>110249</v>
      </c>
      <c r="E1085" s="562" t="s">
        <v>886</v>
      </c>
      <c r="F1085" s="647" t="s">
        <v>58</v>
      </c>
      <c r="G1085" s="647" t="s">
        <v>24</v>
      </c>
      <c r="H1085" s="647" t="s">
        <v>26</v>
      </c>
      <c r="I1085" s="575" t="s">
        <v>2081</v>
      </c>
      <c r="J1085" s="575">
        <v>1</v>
      </c>
      <c r="K1085" s="757" t="s">
        <v>2071</v>
      </c>
      <c r="L1085" s="657">
        <v>44640</v>
      </c>
      <c r="M1085" s="665" t="s">
        <v>2082</v>
      </c>
      <c r="N1085" s="647" t="s">
        <v>1930</v>
      </c>
      <c r="O1085" s="575">
        <v>2022.2</v>
      </c>
      <c r="P1085" s="665" t="str">
        <f>VLOOKUP(A1085,'[1]Raw data'!$B:$BA,23,FALSE)</f>
        <v>JPY</v>
      </c>
      <c r="Q1085" s="647" t="str">
        <f>VLOOKUP(A1085,'[1]Raw data'!$B:$Z,2,FALSE)</f>
        <v>C49SZX20210031SX</v>
      </c>
      <c r="R1085" s="647" t="str">
        <f>VLOOKUP(A1085,'[1]Raw data'!$B:$Z,3,FALSE)</f>
        <v>益田科技</v>
      </c>
      <c r="S1085" s="647" t="str">
        <f>VLOOKUP(A1085,'[1]Raw data'!$B:$Z,4,FALSE)</f>
        <v>YSM20R-2</v>
      </c>
      <c r="T1085" s="647" t="str">
        <f>VLOOKUP(A1085,'[1]Raw data'!$B:$Z,8,FALSE)</f>
        <v>L-&gt;R</v>
      </c>
      <c r="U1085" s="647" t="str">
        <f>VLOOKUP(A1085,'[1]Raw data'!$B:$Z,9,FALSE)</f>
        <v>No</v>
      </c>
      <c r="V1085" s="567" t="str">
        <f t="shared" ref="V1085:V1090" si="225">IF(G1085&amp;H1085=T1085&amp;U1085,"OK","WRONG")</f>
        <v>OK</v>
      </c>
      <c r="W1085" s="563" t="str">
        <f>VLOOKUP(A1085,'[1]Raw data'!$B:$AG,32,FALSE)</f>
        <v>DAP SZ</v>
      </c>
      <c r="X1085" s="647">
        <f>VLOOKUP(A1085,'[1]Raw data'!$B:$BA,31,FALSE)</f>
        <v>44222</v>
      </c>
      <c r="Y1085" s="647" t="str">
        <f>VLOOKUP(A1085,'[1]Raw data'!$B:$AS,39,FALSE)</f>
        <v>Yes</v>
      </c>
      <c r="Z1085" s="666"/>
      <c r="AA1085" s="660"/>
      <c r="AB1085" s="661"/>
      <c r="AC1085" s="647" t="s">
        <v>1172</v>
      </c>
      <c r="AD1085" s="575">
        <v>302</v>
      </c>
      <c r="AE1085" s="575">
        <v>10</v>
      </c>
      <c r="AF1085" s="575">
        <v>302</v>
      </c>
      <c r="AG1085" s="575">
        <v>10</v>
      </c>
      <c r="AH1085" s="575"/>
      <c r="AI1085" s="679"/>
      <c r="AJ1085" s="564"/>
      <c r="AK1085" s="564"/>
      <c r="AL1085" s="564"/>
      <c r="AM1085" s="564"/>
      <c r="AN1085" s="614"/>
      <c r="AO1085" s="824" t="str">
        <f t="shared" si="202"/>
        <v>Yes</v>
      </c>
      <c r="AP1085" s="259" t="str">
        <f t="shared" si="203"/>
        <v>APR 22</v>
      </c>
      <c r="AQ1085" s="542" t="str">
        <f t="shared" si="204"/>
        <v>有定金+有預留客戶</v>
      </c>
      <c r="AR1085" s="259" t="str">
        <f t="shared" si="205"/>
        <v>Shipped_Stock</v>
      </c>
      <c r="AS1085" s="259" t="str">
        <f t="shared" si="206"/>
        <v/>
      </c>
      <c r="AT1085" s="259" t="str">
        <f t="shared" si="207"/>
        <v>益田科技</v>
      </c>
      <c r="AU1085" s="259" t="str">
        <f t="shared" si="208"/>
        <v>C49SZX20210031SX</v>
      </c>
      <c r="AV1085" s="259" t="str">
        <f t="shared" si="209"/>
        <v>Mar-20</v>
      </c>
    </row>
    <row r="1086" spans="1:48" ht="16.5" hidden="1">
      <c r="A1086" s="599">
        <v>1557</v>
      </c>
      <c r="B1086" s="664" t="s">
        <v>1125</v>
      </c>
      <c r="C1086" s="664" t="s">
        <v>15</v>
      </c>
      <c r="D1086" s="623">
        <v>110755</v>
      </c>
      <c r="E1086" s="646" t="s">
        <v>2083</v>
      </c>
      <c r="F1086" s="647" t="s">
        <v>17</v>
      </c>
      <c r="G1086" s="647" t="s">
        <v>18</v>
      </c>
      <c r="H1086" s="647" t="s">
        <v>27</v>
      </c>
      <c r="I1086" s="575" t="s">
        <v>2084</v>
      </c>
      <c r="J1086" s="575">
        <v>1</v>
      </c>
      <c r="K1086" s="757" t="s">
        <v>2071</v>
      </c>
      <c r="L1086" s="657">
        <v>44642</v>
      </c>
      <c r="M1086" s="665" t="s">
        <v>906</v>
      </c>
      <c r="N1086" s="647" t="s">
        <v>1828</v>
      </c>
      <c r="O1086" s="575">
        <v>2022.2</v>
      </c>
      <c r="P1086" s="665" t="str">
        <f>VLOOKUP(A1086,'[1]Raw data'!$B:$BA,23,FALSE)</f>
        <v>JPY</v>
      </c>
      <c r="Q1086" s="647" t="str">
        <f>VLOOKUP(A1086,'[1]Raw data'!$B:$Z,2,FALSE)</f>
        <v>C49SZX20220002BX</v>
      </c>
      <c r="R1086" s="647" t="str">
        <f>VLOOKUP(A1086,'[1]Raw data'!$B:$Z,3,FALSE)</f>
        <v>渝溢三甲</v>
      </c>
      <c r="S1086" s="647" t="str">
        <f>VLOOKUP(A1086,'[1]Raw data'!$B:$Z,4,FALSE)</f>
        <v>YSM10</v>
      </c>
      <c r="T1086" s="647" t="str">
        <f>VLOOKUP(A1086,'[1]Raw data'!$B:$Z,8,FALSE)</f>
        <v>R-&gt;L</v>
      </c>
      <c r="U1086" s="647" t="str">
        <f>VLOOKUP(A1086,'[1]Raw data'!$B:$Z,9,FALSE)</f>
        <v>No</v>
      </c>
      <c r="V1086" s="567" t="str">
        <f t="shared" si="225"/>
        <v>WRONG</v>
      </c>
      <c r="W1086" s="563" t="str">
        <f>VLOOKUP(A1086,'[1]Raw data'!$B:$AG,32,FALSE)</f>
        <v>DAP HZ</v>
      </c>
      <c r="X1086" s="647">
        <f>VLOOKUP(A1086,'[1]Raw data'!$B:$BA,31,FALSE)</f>
        <v>44567</v>
      </c>
      <c r="Y1086" s="647" t="str">
        <f>VLOOKUP(A1086,'[1]Raw data'!$B:$AS,39,FALSE)</f>
        <v>Yes</v>
      </c>
      <c r="Z1086" s="666"/>
      <c r="AA1086" s="660"/>
      <c r="AB1086" s="661"/>
      <c r="AC1086" s="647" t="s">
        <v>1897</v>
      </c>
      <c r="AD1086" s="575">
        <v>301</v>
      </c>
      <c r="AE1086" s="575">
        <v>10</v>
      </c>
      <c r="AF1086" s="575"/>
      <c r="AG1086" s="575"/>
      <c r="AH1086" s="575"/>
      <c r="AI1086" s="679"/>
      <c r="AJ1086" s="564"/>
      <c r="AK1086" s="564"/>
      <c r="AL1086" s="564"/>
      <c r="AM1086" s="564"/>
      <c r="AN1086" s="614"/>
      <c r="AO1086" s="824" t="str">
        <f t="shared" si="202"/>
        <v>Yes</v>
      </c>
      <c r="AP1086" s="259" t="str">
        <f t="shared" si="203"/>
        <v>MAR 22</v>
      </c>
      <c r="AQ1086" s="542" t="str">
        <f t="shared" si="204"/>
        <v>有定金+有預留客戶</v>
      </c>
      <c r="AR1086" s="259" t="str">
        <f t="shared" si="205"/>
        <v>Shipped_Stock</v>
      </c>
      <c r="AS1086" s="259" t="str">
        <f t="shared" si="206"/>
        <v/>
      </c>
      <c r="AT1086" s="259" t="str">
        <f t="shared" si="207"/>
        <v>渝溢三甲</v>
      </c>
      <c r="AU1086" s="259" t="str">
        <f t="shared" si="208"/>
        <v>C49SZX20220002BX</v>
      </c>
      <c r="AV1086" s="259" t="str">
        <f t="shared" si="209"/>
        <v>Mar-22</v>
      </c>
    </row>
    <row r="1087" spans="1:48" ht="16.5" hidden="1">
      <c r="A1087" s="599">
        <v>1292</v>
      </c>
      <c r="B1087" s="664" t="s">
        <v>1125</v>
      </c>
      <c r="C1087" s="664" t="s">
        <v>15</v>
      </c>
      <c r="D1087" s="625">
        <v>110756</v>
      </c>
      <c r="E1087" s="646" t="s">
        <v>2085</v>
      </c>
      <c r="F1087" s="647" t="s">
        <v>17</v>
      </c>
      <c r="G1087" s="647" t="s">
        <v>18</v>
      </c>
      <c r="H1087" s="647" t="s">
        <v>27</v>
      </c>
      <c r="I1087" s="575" t="s">
        <v>2086</v>
      </c>
      <c r="J1087" s="575">
        <v>1</v>
      </c>
      <c r="K1087" s="757" t="s">
        <v>2071</v>
      </c>
      <c r="L1087" s="657">
        <v>44642</v>
      </c>
      <c r="M1087" s="665" t="s">
        <v>906</v>
      </c>
      <c r="N1087" s="647" t="s">
        <v>1930</v>
      </c>
      <c r="O1087" s="575">
        <v>2022.3</v>
      </c>
      <c r="P1087" s="665" t="str">
        <f>VLOOKUP(A1087,'[1]Raw data'!$B:$BA,23,FALSE)</f>
        <v>JPY</v>
      </c>
      <c r="Q1087" s="647" t="str">
        <f>VLOOKUP(A1087,'[1]Raw data'!$B:$Z,2,FALSE)</f>
        <v>C49SZX20210091SS</v>
      </c>
      <c r="R1087" s="647" t="str">
        <f>VLOOKUP(A1087,'[1]Raw data'!$B:$Z,3,FALSE)</f>
        <v>乘扬</v>
      </c>
      <c r="S1087" s="647" t="str">
        <f>VLOOKUP(A1087,'[1]Raw data'!$B:$Z,4,FALSE)</f>
        <v>YSM10</v>
      </c>
      <c r="T1087" s="647" t="str">
        <f>VLOOKUP(A1087,'[1]Raw data'!$B:$Z,8,FALSE)</f>
        <v>L-&gt;R</v>
      </c>
      <c r="U1087" s="647" t="str">
        <f>VLOOKUP(A1087,'[1]Raw data'!$B:$Z,9,FALSE)</f>
        <v>MVC</v>
      </c>
      <c r="V1087" s="567" t="str">
        <f t="shared" si="225"/>
        <v>WRONG</v>
      </c>
      <c r="W1087" s="563" t="str">
        <f>VLOOKUP(A1087,'[1]Raw data'!$B:$AG,32,FALSE)</f>
        <v>CIF HK</v>
      </c>
      <c r="X1087" s="647">
        <f>VLOOKUP(A1087,'[1]Raw data'!$B:$BA,31,FALSE)</f>
        <v>44285</v>
      </c>
      <c r="Y1087" s="647" t="str">
        <f>VLOOKUP(A1087,'[1]Raw data'!$B:$AS,39,FALSE)</f>
        <v>Yes</v>
      </c>
      <c r="Z1087" s="666"/>
      <c r="AA1087" s="660"/>
      <c r="AB1087" s="661"/>
      <c r="AC1087" s="575" t="s">
        <v>1933</v>
      </c>
      <c r="AD1087" s="575">
        <v>301</v>
      </c>
      <c r="AE1087" s="575">
        <v>10</v>
      </c>
      <c r="AF1087" s="575"/>
      <c r="AG1087" s="575"/>
      <c r="AH1087" s="575"/>
      <c r="AI1087" s="679"/>
      <c r="AJ1087" s="564"/>
      <c r="AK1087" s="564"/>
      <c r="AL1087" s="564"/>
      <c r="AM1087" s="564"/>
      <c r="AN1087" s="614"/>
      <c r="AO1087" s="824" t="str">
        <f t="shared" si="202"/>
        <v>Yes</v>
      </c>
      <c r="AP1087" s="259" t="str">
        <f t="shared" si="203"/>
        <v>APR 22</v>
      </c>
      <c r="AQ1087" s="542" t="str">
        <f t="shared" si="204"/>
        <v>有定金+有預留客戶</v>
      </c>
      <c r="AR1087" s="259" t="str">
        <f t="shared" si="205"/>
        <v>Shipped_Stock</v>
      </c>
      <c r="AS1087" s="259" t="str">
        <f t="shared" si="206"/>
        <v/>
      </c>
      <c r="AT1087" s="259" t="str">
        <f t="shared" si="207"/>
        <v>乘扬</v>
      </c>
      <c r="AU1087" s="259" t="str">
        <f t="shared" si="208"/>
        <v>C49SZX20210091SS</v>
      </c>
      <c r="AV1087" s="259" t="str">
        <f t="shared" si="209"/>
        <v>Mar-22</v>
      </c>
    </row>
    <row r="1088" spans="1:48" ht="16.5" hidden="1">
      <c r="A1088" s="599">
        <v>1004</v>
      </c>
      <c r="B1088" s="664" t="s">
        <v>1125</v>
      </c>
      <c r="C1088" s="664" t="s">
        <v>15</v>
      </c>
      <c r="D1088" s="625">
        <v>110756</v>
      </c>
      <c r="E1088" s="646" t="s">
        <v>2085</v>
      </c>
      <c r="F1088" s="647" t="s">
        <v>17</v>
      </c>
      <c r="G1088" s="647" t="s">
        <v>18</v>
      </c>
      <c r="H1088" s="647" t="s">
        <v>27</v>
      </c>
      <c r="I1088" s="575" t="s">
        <v>2087</v>
      </c>
      <c r="J1088" s="575">
        <v>1</v>
      </c>
      <c r="K1088" s="757" t="s">
        <v>2071</v>
      </c>
      <c r="L1088" s="657">
        <v>44642</v>
      </c>
      <c r="M1088" s="665" t="s">
        <v>906</v>
      </c>
      <c r="N1088" s="647" t="s">
        <v>1930</v>
      </c>
      <c r="O1088" s="575">
        <v>2022.3</v>
      </c>
      <c r="P1088" s="665" t="str">
        <f>VLOOKUP(A1088,'[1]Raw data'!$B:$BA,23,FALSE)</f>
        <v>JPY</v>
      </c>
      <c r="Q1088" s="647" t="str">
        <f>VLOOKUP(A1088,'[1]Raw data'!$B:$Z,2,FALSE)</f>
        <v>C49SZX20200233JL</v>
      </c>
      <c r="R1088" s="647" t="str">
        <f>VLOOKUP(A1088,'[1]Raw data'!$B:$Z,3,FALSE)</f>
        <v>瑞福联</v>
      </c>
      <c r="S1088" s="647" t="str">
        <f>VLOOKUP(A1088,'[1]Raw data'!$B:$Z,4,FALSE)</f>
        <v>YSM10</v>
      </c>
      <c r="T1088" s="647" t="str">
        <f>VLOOKUP(A1088,'[1]Raw data'!$B:$Z,8,FALSE)</f>
        <v>L-&gt;R</v>
      </c>
      <c r="U1088" s="647" t="str">
        <f>VLOOKUP(A1088,'[1]Raw data'!$B:$Z,9,FALSE)</f>
        <v>MVC</v>
      </c>
      <c r="V1088" s="567" t="str">
        <f t="shared" si="225"/>
        <v>WRONG</v>
      </c>
      <c r="W1088" s="563" t="str">
        <f>VLOOKUP(A1088,'[1]Raw data'!$B:$AG,32,FALSE)</f>
        <v>CIF HK</v>
      </c>
      <c r="X1088" s="647">
        <f>VLOOKUP(A1088,'[1]Raw data'!$B:$BA,31,FALSE)</f>
        <v>44175</v>
      </c>
      <c r="Y1088" s="647" t="str">
        <f>VLOOKUP(A1088,'[1]Raw data'!$B:$AS,39,FALSE)</f>
        <v>Yes</v>
      </c>
      <c r="Z1088" s="666"/>
      <c r="AA1088" s="660"/>
      <c r="AB1088" s="661"/>
      <c r="AC1088" s="647" t="s">
        <v>2079</v>
      </c>
      <c r="AD1088" s="575">
        <v>302</v>
      </c>
      <c r="AE1088" s="575">
        <v>10</v>
      </c>
      <c r="AF1088" s="575"/>
      <c r="AG1088" s="575"/>
      <c r="AH1088" s="575"/>
      <c r="AI1088" s="679"/>
      <c r="AJ1088" s="564"/>
      <c r="AK1088" s="564"/>
      <c r="AL1088" s="564"/>
      <c r="AM1088" s="564"/>
      <c r="AN1088" s="614"/>
      <c r="AO1088" s="824" t="str">
        <f t="shared" si="202"/>
        <v>Yes</v>
      </c>
      <c r="AP1088" s="259" t="str">
        <f t="shared" si="203"/>
        <v>APR 22</v>
      </c>
      <c r="AQ1088" s="542" t="str">
        <f t="shared" si="204"/>
        <v>有定金+有預留客戶</v>
      </c>
      <c r="AR1088" s="259" t="str">
        <f t="shared" si="205"/>
        <v>Shipped_Stock</v>
      </c>
      <c r="AS1088" s="259" t="str">
        <f t="shared" si="206"/>
        <v/>
      </c>
      <c r="AT1088" s="259" t="str">
        <f t="shared" si="207"/>
        <v>瑞福联</v>
      </c>
      <c r="AU1088" s="259" t="str">
        <f t="shared" si="208"/>
        <v>C49SZX20200233JL</v>
      </c>
      <c r="AV1088" s="259" t="str">
        <f t="shared" si="209"/>
        <v>Mar-22</v>
      </c>
    </row>
    <row r="1089" spans="1:48" ht="32.25" hidden="1">
      <c r="A1089" s="559">
        <v>1415</v>
      </c>
      <c r="B1089" s="664" t="s">
        <v>1125</v>
      </c>
      <c r="C1089" s="664" t="s">
        <v>15</v>
      </c>
      <c r="D1089" s="645">
        <v>110770</v>
      </c>
      <c r="E1089" s="646" t="s">
        <v>2088</v>
      </c>
      <c r="F1089" s="647" t="s">
        <v>58</v>
      </c>
      <c r="G1089" s="647" t="s">
        <v>24</v>
      </c>
      <c r="H1089" s="647" t="s">
        <v>26</v>
      </c>
      <c r="I1089" s="575" t="s">
        <v>2089</v>
      </c>
      <c r="J1089" s="575">
        <v>1</v>
      </c>
      <c r="K1089" s="647" t="s">
        <v>2071</v>
      </c>
      <c r="L1089" s="657">
        <v>44642</v>
      </c>
      <c r="M1089" s="665" t="s">
        <v>2090</v>
      </c>
      <c r="N1089" s="647" t="s">
        <v>1930</v>
      </c>
      <c r="O1089" s="575">
        <v>2022.3</v>
      </c>
      <c r="P1089" s="665" t="str">
        <f>VLOOKUP(A1089,'[1]Raw data'!$B:$BA,23,FALSE)</f>
        <v>JPY</v>
      </c>
      <c r="Q1089" s="647" t="str">
        <f>VLOOKUP(A1089,'[1]Raw data'!$B:$Z,2,FALSE)</f>
        <v>C49SZX20210170DZ</v>
      </c>
      <c r="R1089" s="647" t="str">
        <f>VLOOKUP(A1089,'[1]Raw data'!$B:$Z,3,FALSE)</f>
        <v>鸿通宇</v>
      </c>
      <c r="S1089" s="647" t="str">
        <f>VLOOKUP(A1089,'[1]Raw data'!$B:$Z,4,FALSE)</f>
        <v>YSM20R-2</v>
      </c>
      <c r="T1089" s="647" t="str">
        <f>VLOOKUP(A1089,'[1]Raw data'!$B:$Z,8,FALSE)</f>
        <v>L-&gt;R</v>
      </c>
      <c r="U1089" s="647" t="str">
        <f>VLOOKUP(A1089,'[1]Raw data'!$B:$Z,9,FALSE)</f>
        <v>No</v>
      </c>
      <c r="V1089" s="567" t="str">
        <f t="shared" si="225"/>
        <v>OK</v>
      </c>
      <c r="W1089" s="563" t="str">
        <f>VLOOKUP(A1089,'[1]Raw data'!$B:$AG,32,FALSE)</f>
        <v>DAP SZ</v>
      </c>
      <c r="X1089" s="647">
        <f>VLOOKUP(A1089,'[1]Raw data'!$B:$BA,31,FALSE)</f>
        <v>44358</v>
      </c>
      <c r="Y1089" s="647" t="str">
        <f>VLOOKUP(A1089,'[1]Raw data'!$B:$AS,39,FALSE)</f>
        <v>Yes</v>
      </c>
      <c r="Z1089" s="666"/>
      <c r="AA1089" s="647"/>
      <c r="AB1089" s="662"/>
      <c r="AC1089" s="575" t="s">
        <v>1951</v>
      </c>
      <c r="AD1089" s="662">
        <v>301</v>
      </c>
      <c r="AE1089" s="662">
        <v>10</v>
      </c>
      <c r="AF1089" s="662">
        <v>304</v>
      </c>
      <c r="AG1089" s="663">
        <v>10</v>
      </c>
      <c r="AI1089" s="571"/>
      <c r="AL1089" s="542"/>
      <c r="AM1089" s="542"/>
      <c r="AN1089" s="542"/>
      <c r="AO1089" s="824" t="str">
        <f t="shared" si="202"/>
        <v>Yes</v>
      </c>
      <c r="AP1089" s="259" t="str">
        <f t="shared" si="203"/>
        <v>APR 22</v>
      </c>
      <c r="AQ1089" s="542" t="str">
        <f t="shared" si="204"/>
        <v>有定金+有預留客戶</v>
      </c>
      <c r="AR1089" s="259" t="str">
        <f t="shared" si="205"/>
        <v>Shipped_Stock</v>
      </c>
      <c r="AS1089" s="259" t="str">
        <f t="shared" si="206"/>
        <v/>
      </c>
      <c r="AT1089" s="259" t="str">
        <f t="shared" si="207"/>
        <v>鸿通宇</v>
      </c>
      <c r="AU1089" s="259" t="str">
        <f t="shared" si="208"/>
        <v>C49SZX20210170DZ</v>
      </c>
      <c r="AV1089" s="259" t="str">
        <f t="shared" si="209"/>
        <v>Mar-22</v>
      </c>
    </row>
    <row r="1090" spans="1:48" ht="17.25" hidden="1" thickBot="1">
      <c r="A1090" s="599">
        <v>1380</v>
      </c>
      <c r="B1090" s="664" t="s">
        <v>1125</v>
      </c>
      <c r="C1090" s="664" t="s">
        <v>15</v>
      </c>
      <c r="D1090" s="624">
        <v>110769</v>
      </c>
      <c r="E1090" s="756" t="s">
        <v>2091</v>
      </c>
      <c r="F1090" s="647" t="s">
        <v>58</v>
      </c>
      <c r="G1090" s="647" t="s">
        <v>24</v>
      </c>
      <c r="H1090" s="647" t="s">
        <v>26</v>
      </c>
      <c r="I1090" s="575" t="s">
        <v>2092</v>
      </c>
      <c r="J1090" s="575">
        <v>1</v>
      </c>
      <c r="K1090" s="757" t="s">
        <v>2071</v>
      </c>
      <c r="L1090" s="657">
        <v>44642</v>
      </c>
      <c r="M1090" s="665">
        <v>5.3600000000000002E-2</v>
      </c>
      <c r="N1090" s="647" t="s">
        <v>1930</v>
      </c>
      <c r="O1090" s="575">
        <v>2022.3</v>
      </c>
      <c r="P1090" s="665" t="str">
        <f>VLOOKUP(A1090,'[1]Raw data'!$B:$BA,23,FALSE)</f>
        <v>JPY</v>
      </c>
      <c r="Q1090" s="647" t="str">
        <f>VLOOKUP(A1090,'[1]Raw data'!$B:$Z,2,FALSE)</f>
        <v>C49SZX20210155MZR1</v>
      </c>
      <c r="R1090" s="647" t="str">
        <f>VLOOKUP(A1090,'[1]Raw data'!$B:$Z,3,FALSE)</f>
        <v>巨能</v>
      </c>
      <c r="S1090" s="647" t="str">
        <f>VLOOKUP(A1090,'[1]Raw data'!$B:$Z,4,FALSE)</f>
        <v>YSM20R-2</v>
      </c>
      <c r="T1090" s="647" t="str">
        <f>VLOOKUP(A1090,'[1]Raw data'!$B:$Z,8,FALSE)</f>
        <v>L-&gt;R</v>
      </c>
      <c r="U1090" s="647" t="str">
        <f>VLOOKUP(A1090,'[1]Raw data'!$B:$Z,9,FALSE)</f>
        <v>No</v>
      </c>
      <c r="V1090" s="567" t="str">
        <f t="shared" si="225"/>
        <v>OK</v>
      </c>
      <c r="W1090" s="563" t="str">
        <f>VLOOKUP(A1090,'[1]Raw data'!$B:$AG,32,FALSE)</f>
        <v>DAP SZ</v>
      </c>
      <c r="X1090" s="647">
        <f>VLOOKUP(A1090,'[1]Raw data'!$B:$BA,31,FALSE)</f>
        <v>44337</v>
      </c>
      <c r="Y1090" s="647" t="str">
        <f>VLOOKUP(A1090,'[1]Raw data'!$B:$AS,39,FALSE)</f>
        <v>Yes</v>
      </c>
      <c r="Z1090" s="666"/>
      <c r="AA1090" s="660"/>
      <c r="AB1090" s="661"/>
      <c r="AC1090" s="647" t="s">
        <v>1647</v>
      </c>
      <c r="AD1090" s="575">
        <v>303</v>
      </c>
      <c r="AE1090" s="575">
        <v>20</v>
      </c>
      <c r="AF1090" s="575"/>
      <c r="AG1090" s="575"/>
      <c r="AH1090" s="575"/>
      <c r="AI1090" s="679"/>
      <c r="AJ1090" s="564"/>
      <c r="AK1090" s="564"/>
      <c r="AL1090" s="564"/>
      <c r="AM1090" s="564"/>
      <c r="AN1090" s="614"/>
      <c r="AO1090" s="824" t="str">
        <f t="shared" si="202"/>
        <v>Yes</v>
      </c>
      <c r="AP1090" s="259" t="str">
        <f t="shared" si="203"/>
        <v>APR 22</v>
      </c>
      <c r="AQ1090" s="542" t="str">
        <f t="shared" si="204"/>
        <v>有定金+有預留客戶</v>
      </c>
      <c r="AR1090" s="259" t="str">
        <f t="shared" si="205"/>
        <v>Shipped_Stock</v>
      </c>
      <c r="AS1090" s="259" t="str">
        <f t="shared" si="206"/>
        <v/>
      </c>
      <c r="AT1090" s="259" t="str">
        <f t="shared" si="207"/>
        <v>巨能</v>
      </c>
      <c r="AU1090" s="259" t="str">
        <f t="shared" si="208"/>
        <v>C49SZX20210155MZR1</v>
      </c>
      <c r="AV1090" s="259" t="str">
        <f t="shared" si="209"/>
        <v>Mar-22</v>
      </c>
    </row>
    <row r="1091" spans="1:48" ht="16.5" hidden="1">
      <c r="A1091" s="599">
        <v>1405</v>
      </c>
      <c r="B1091" s="664" t="s">
        <v>1125</v>
      </c>
      <c r="C1091" s="664" t="s">
        <v>15</v>
      </c>
      <c r="D1091" s="761">
        <v>110813</v>
      </c>
      <c r="E1091" s="767" t="s">
        <v>2093</v>
      </c>
      <c r="F1091" s="647" t="s">
        <v>17</v>
      </c>
      <c r="G1091" s="647" t="s">
        <v>18</v>
      </c>
      <c r="H1091" s="647" t="s">
        <v>27</v>
      </c>
      <c r="I1091" s="575" t="s">
        <v>2094</v>
      </c>
      <c r="J1091" s="575">
        <v>1</v>
      </c>
      <c r="K1091" s="757" t="s">
        <v>2071</v>
      </c>
      <c r="L1091" s="657">
        <v>44646</v>
      </c>
      <c r="M1091" s="665" t="s">
        <v>906</v>
      </c>
      <c r="N1091" s="647" t="s">
        <v>1930</v>
      </c>
      <c r="O1091" s="575">
        <v>2022.3</v>
      </c>
      <c r="P1091" s="665" t="str">
        <f>VLOOKUP(A1091,'[1]Raw data'!$B:$BA,23,FALSE)</f>
        <v>JPY</v>
      </c>
      <c r="Q1091" s="647" t="str">
        <f>VLOOKUP(A1091,'[1]Raw data'!$B:$Z,2,FALSE)</f>
        <v>C49SZX20210165R1SS</v>
      </c>
      <c r="R1091" s="647" t="str">
        <f>VLOOKUP(A1091,'[1]Raw data'!$B:$Z,3,FALSE)</f>
        <v>三步/End user新佰浚</v>
      </c>
      <c r="S1091" s="647" t="str">
        <f>VLOOKUP(A1091,'[1]Raw data'!$B:$Z,4,FALSE)</f>
        <v>YSM10</v>
      </c>
      <c r="T1091" s="647" t="str">
        <f>VLOOKUP(A1091,'[1]Raw data'!$B:$Z,8,FALSE)</f>
        <v>L-&gt;R</v>
      </c>
      <c r="U1091" s="647" t="str">
        <f>VLOOKUP(A1091,'[1]Raw data'!$B:$Z,9,FALSE)</f>
        <v>MVC</v>
      </c>
      <c r="V1091" s="567" t="str">
        <f t="shared" ref="V1091:V1102" si="226">IF(G1091&amp;H1091=T1091&amp;U1091,"OK","WRONG")</f>
        <v>WRONG</v>
      </c>
      <c r="W1091" s="563" t="str">
        <f>VLOOKUP(A1091,'[1]Raw data'!$B:$AG,32,FALSE)</f>
        <v>DAP SZ</v>
      </c>
      <c r="X1091" s="647">
        <f>VLOOKUP(A1091,'[1]Raw data'!$B:$BA,31,FALSE)</f>
        <v>44364</v>
      </c>
      <c r="Y1091" s="647" t="str">
        <f>VLOOKUP(A1091,'[1]Raw data'!$B:$AS,39,FALSE)</f>
        <v>Yes</v>
      </c>
      <c r="Z1091" s="666"/>
      <c r="AA1091" s="660"/>
      <c r="AB1091" s="661"/>
      <c r="AC1091" s="647" t="s">
        <v>2095</v>
      </c>
      <c r="AD1091" s="575">
        <v>301</v>
      </c>
      <c r="AE1091" s="575">
        <v>10</v>
      </c>
      <c r="AF1091" s="575"/>
      <c r="AG1091" s="575"/>
      <c r="AH1091" s="575"/>
      <c r="AI1091" s="679"/>
      <c r="AJ1091" s="564"/>
      <c r="AK1091" s="564"/>
      <c r="AL1091" s="564"/>
      <c r="AM1091" s="564"/>
      <c r="AN1091" s="614"/>
      <c r="AO1091" s="824" t="str">
        <f t="shared" ref="AO1091:AO1154" si="227">IFERROR(IF(Y1091&lt;&gt;"",Y1091,"No"),"No")</f>
        <v>Yes</v>
      </c>
      <c r="AP1091" s="259" t="str">
        <f t="shared" ref="AP1091:AP1154" si="228">IFERROR(IF(N1091&lt;&gt;"",N1091,"blank"),"NA")</f>
        <v>APR 22</v>
      </c>
      <c r="AQ1091" s="542" t="str">
        <f t="shared" ref="AQ1091:AQ1154" si="229">IFERROR(IF(AND(AO1091="Yes", AP1091&lt;&gt;"blank"), "有定金+有預留客戶", IF(AND(AO1091="Yes", AP1091="blank"), "有定金+无客戶送貨期", IF(AND(OR(AO1091="No", ISBLANK(AO1091), AO1091="NA"), AP1091&lt;&gt;"blank"), "无定金+有預留客戶", IF(AND(OR(AO1091="No", ISBLANK(AO1091), AO1091="NA"), AP1091="blank"), "无定金+无預留客戶", "")))), "")</f>
        <v>有定金+有預留客戶</v>
      </c>
      <c r="AR1091" s="259" t="str">
        <f t="shared" ref="AR1091:AR1154" si="230">IFERROR(IF(B1091="已经到货", "Instock", IF(B1091="有交期", "Incoming_Stock_With_YAMAHA_Schedule", IF(B1091="TBA.", "Incoming_Stock_No_YAMAHA_Schedule", IF(B1091="已发货", "Shipped_Stock", "")))), "")</f>
        <v>Shipped_Stock</v>
      </c>
      <c r="AS1091" s="259" t="str">
        <f t="shared" ref="AS1091:AS1154" si="231">IF(AND(B1091="有交期", L1091&lt;&gt;""), L1091, "")</f>
        <v/>
      </c>
      <c r="AT1091" s="259" t="str">
        <f t="shared" ref="AT1091:AT1154" si="232">IFERROR(IF(R1091&lt;&gt;"",R1091),"-")</f>
        <v>三步/End user新佰浚</v>
      </c>
      <c r="AU1091" s="259" t="str">
        <f t="shared" ref="AU1091:AU1154" si="233">IFERROR(IF(Q1091&lt;&gt;"",Q1091),"-")</f>
        <v>C49SZX20210165R1SS</v>
      </c>
      <c r="AV1091" s="259" t="str">
        <f t="shared" ref="AV1091:AV1154" si="234">IF(L1091="","-",TEXT(L1091,"mmm-dd"))</f>
        <v>Mar-26</v>
      </c>
    </row>
    <row r="1092" spans="1:48" ht="16.5" hidden="1">
      <c r="A1092" s="599">
        <v>1490</v>
      </c>
      <c r="B1092" s="664" t="s">
        <v>1125</v>
      </c>
      <c r="C1092" s="664" t="s">
        <v>15</v>
      </c>
      <c r="D1092" s="755">
        <v>110813</v>
      </c>
      <c r="E1092" s="767" t="s">
        <v>2093</v>
      </c>
      <c r="F1092" s="647" t="s">
        <v>17</v>
      </c>
      <c r="G1092" s="647" t="s">
        <v>18</v>
      </c>
      <c r="H1092" s="647" t="s">
        <v>27</v>
      </c>
      <c r="I1092" s="575" t="s">
        <v>2096</v>
      </c>
      <c r="J1092" s="575">
        <v>1</v>
      </c>
      <c r="K1092" s="757" t="s">
        <v>2071</v>
      </c>
      <c r="L1092" s="657">
        <v>44646</v>
      </c>
      <c r="M1092" s="665" t="s">
        <v>80</v>
      </c>
      <c r="N1092" s="647" t="s">
        <v>1930</v>
      </c>
      <c r="O1092" s="575">
        <v>2022.3</v>
      </c>
      <c r="P1092" s="665" t="str">
        <f>VLOOKUP(A1092,'[1]Raw data'!$B:$BA,23,FALSE)</f>
        <v>JPY</v>
      </c>
      <c r="Q1092" s="647" t="str">
        <f>VLOOKUP(A1092,'[1]Raw data'!$B:$Z,2,FALSE)</f>
        <v>C49SZX20210200JY</v>
      </c>
      <c r="R1092" s="647" t="str">
        <f>VLOOKUP(A1092,'[1]Raw data'!$B:$Z,3,FALSE)</f>
        <v>英拓邦（End user:深圳傲尔）</v>
      </c>
      <c r="S1092" s="647" t="str">
        <f>VLOOKUP(A1092,'[1]Raw data'!$B:$Z,4,FALSE)</f>
        <v>YSM10</v>
      </c>
      <c r="T1092" s="647" t="str">
        <f>VLOOKUP(A1092,'[1]Raw data'!$B:$Z,8,FALSE)</f>
        <v>L-&gt;R</v>
      </c>
      <c r="U1092" s="647" t="str">
        <f>VLOOKUP(A1092,'[1]Raw data'!$B:$Z,9,FALSE)</f>
        <v>MVC</v>
      </c>
      <c r="V1092" s="567" t="str">
        <f t="shared" si="226"/>
        <v>WRONG</v>
      </c>
      <c r="W1092" s="563" t="str">
        <f>VLOOKUP(A1092,'[1]Raw data'!$B:$AG,32,FALSE)</f>
        <v>CIF HK</v>
      </c>
      <c r="X1092" s="647">
        <f>VLOOKUP(A1092,'[1]Raw data'!$B:$BA,31,FALSE)</f>
        <v>44496</v>
      </c>
      <c r="Y1092" s="647" t="str">
        <f>VLOOKUP(A1092,'[1]Raw data'!$B:$AS,39,FALSE)</f>
        <v>Yes</v>
      </c>
      <c r="Z1092" s="666"/>
      <c r="AA1092" s="660"/>
      <c r="AB1092" s="661"/>
      <c r="AC1092" s="647" t="s">
        <v>2058</v>
      </c>
      <c r="AD1092" s="575">
        <v>302</v>
      </c>
      <c r="AE1092" s="575">
        <v>10</v>
      </c>
      <c r="AF1092" s="575"/>
      <c r="AG1092" s="575"/>
      <c r="AH1092" s="575"/>
      <c r="AI1092" s="679"/>
      <c r="AJ1092" s="564"/>
      <c r="AK1092" s="564"/>
      <c r="AL1092" s="564"/>
      <c r="AM1092" s="564"/>
      <c r="AN1092" s="614"/>
      <c r="AO1092" s="824" t="str">
        <f t="shared" si="227"/>
        <v>Yes</v>
      </c>
      <c r="AP1092" s="259" t="str">
        <f t="shared" si="228"/>
        <v>APR 22</v>
      </c>
      <c r="AQ1092" s="542" t="str">
        <f t="shared" si="229"/>
        <v>有定金+有預留客戶</v>
      </c>
      <c r="AR1092" s="259" t="str">
        <f t="shared" si="230"/>
        <v>Shipped_Stock</v>
      </c>
      <c r="AS1092" s="259" t="str">
        <f t="shared" si="231"/>
        <v/>
      </c>
      <c r="AT1092" s="259" t="str">
        <f t="shared" si="232"/>
        <v>英拓邦（End user:深圳傲尔）</v>
      </c>
      <c r="AU1092" s="259" t="str">
        <f t="shared" si="233"/>
        <v>C49SZX20210200JY</v>
      </c>
      <c r="AV1092" s="259" t="str">
        <f t="shared" si="234"/>
        <v>Mar-26</v>
      </c>
    </row>
    <row r="1093" spans="1:48" ht="16.5" hidden="1">
      <c r="A1093" s="599">
        <v>1478</v>
      </c>
      <c r="B1093" s="664" t="s">
        <v>1125</v>
      </c>
      <c r="C1093" s="664" t="s">
        <v>15</v>
      </c>
      <c r="D1093" s="755">
        <v>110758</v>
      </c>
      <c r="E1093" s="756" t="s">
        <v>2097</v>
      </c>
      <c r="F1093" s="647" t="s">
        <v>17</v>
      </c>
      <c r="G1093" s="647" t="s">
        <v>18</v>
      </c>
      <c r="H1093" s="647" t="s">
        <v>27</v>
      </c>
      <c r="I1093" s="575" t="s">
        <v>2098</v>
      </c>
      <c r="J1093" s="575">
        <v>1</v>
      </c>
      <c r="K1093" s="757" t="s">
        <v>2071</v>
      </c>
      <c r="L1093" s="657">
        <v>44646</v>
      </c>
      <c r="M1093" s="665" t="s">
        <v>80</v>
      </c>
      <c r="N1093" s="647" t="s">
        <v>1930</v>
      </c>
      <c r="O1093" s="575">
        <v>2022.3</v>
      </c>
      <c r="P1093" s="665" t="str">
        <f>VLOOKUP(A1093,'[1]Raw data'!$B:$BA,23,FALSE)</f>
        <v>JPY</v>
      </c>
      <c r="Q1093" s="647" t="str">
        <f>VLOOKUP(A1093,'[1]Raw data'!$B:$Z,2,FALSE)</f>
        <v>C49SZX20210192SX</v>
      </c>
      <c r="R1093" s="647" t="str">
        <f>VLOOKUP(A1093,'[1]Raw data'!$B:$Z,3,FALSE)</f>
        <v>正讯</v>
      </c>
      <c r="S1093" s="647" t="str">
        <f>VLOOKUP(A1093,'[1]Raw data'!$B:$Z,4,FALSE)</f>
        <v>YSM10</v>
      </c>
      <c r="T1093" s="647" t="str">
        <f>VLOOKUP(A1093,'[1]Raw data'!$B:$Z,8,FALSE)</f>
        <v>L-&gt;R</v>
      </c>
      <c r="U1093" s="647" t="str">
        <f>VLOOKUP(A1093,'[1]Raw data'!$B:$Z,9,FALSE)</f>
        <v>MVC</v>
      </c>
      <c r="V1093" s="567" t="str">
        <f t="shared" si="226"/>
        <v>WRONG</v>
      </c>
      <c r="W1093" s="563" t="str">
        <f>VLOOKUP(A1093,'[1]Raw data'!$B:$AG,32,FALSE)</f>
        <v>DAP DG</v>
      </c>
      <c r="X1093" s="647">
        <f>VLOOKUP(A1093,'[1]Raw data'!$B:$BA,31,FALSE)</f>
        <v>44456</v>
      </c>
      <c r="Y1093" s="647" t="str">
        <f>VLOOKUP(A1093,'[1]Raw data'!$B:$AS,39,FALSE)</f>
        <v>Yes</v>
      </c>
      <c r="Z1093" s="666"/>
      <c r="AA1093" s="660"/>
      <c r="AB1093" s="661"/>
      <c r="AC1093" s="647" t="s">
        <v>1951</v>
      </c>
      <c r="AD1093" s="575">
        <v>302</v>
      </c>
      <c r="AE1093" s="575">
        <v>10</v>
      </c>
      <c r="AF1093" s="575"/>
      <c r="AG1093" s="575"/>
      <c r="AH1093" s="575"/>
      <c r="AI1093" s="679"/>
      <c r="AJ1093" s="564"/>
      <c r="AK1093" s="564"/>
      <c r="AL1093" s="564"/>
      <c r="AM1093" s="564"/>
      <c r="AN1093" s="614"/>
      <c r="AO1093" s="824" t="str">
        <f t="shared" si="227"/>
        <v>Yes</v>
      </c>
      <c r="AP1093" s="259" t="str">
        <f t="shared" si="228"/>
        <v>APR 22</v>
      </c>
      <c r="AQ1093" s="542" t="str">
        <f t="shared" si="229"/>
        <v>有定金+有預留客戶</v>
      </c>
      <c r="AR1093" s="259" t="str">
        <f t="shared" si="230"/>
        <v>Shipped_Stock</v>
      </c>
      <c r="AS1093" s="259" t="str">
        <f t="shared" si="231"/>
        <v/>
      </c>
      <c r="AT1093" s="259" t="str">
        <f t="shared" si="232"/>
        <v>正讯</v>
      </c>
      <c r="AU1093" s="259" t="str">
        <f t="shared" si="233"/>
        <v>C49SZX20210192SX</v>
      </c>
      <c r="AV1093" s="259" t="str">
        <f t="shared" si="234"/>
        <v>Mar-26</v>
      </c>
    </row>
    <row r="1094" spans="1:48" ht="16.5" hidden="1">
      <c r="A1094" s="599">
        <v>1491</v>
      </c>
      <c r="B1094" s="664" t="s">
        <v>1125</v>
      </c>
      <c r="C1094" s="664" t="s">
        <v>15</v>
      </c>
      <c r="D1094" s="755">
        <v>110760</v>
      </c>
      <c r="E1094" s="756" t="s">
        <v>2099</v>
      </c>
      <c r="F1094" s="647" t="s">
        <v>17</v>
      </c>
      <c r="G1094" s="647" t="s">
        <v>18</v>
      </c>
      <c r="H1094" s="647" t="s">
        <v>27</v>
      </c>
      <c r="I1094" s="575" t="s">
        <v>2100</v>
      </c>
      <c r="J1094" s="575">
        <v>1</v>
      </c>
      <c r="K1094" s="757" t="s">
        <v>2071</v>
      </c>
      <c r="L1094" s="657">
        <v>44646</v>
      </c>
      <c r="M1094" s="665" t="s">
        <v>80</v>
      </c>
      <c r="N1094" s="647" t="s">
        <v>1930</v>
      </c>
      <c r="O1094" s="575">
        <v>2022.3</v>
      </c>
      <c r="P1094" s="665" t="str">
        <f>VLOOKUP(A1094,'[1]Raw data'!$B:$BA,23,FALSE)</f>
        <v>JPY</v>
      </c>
      <c r="Q1094" s="647" t="str">
        <f>VLOOKUP(A1094,'[1]Raw data'!$B:$Z,2,FALSE)</f>
        <v>C49SZX20210200JY</v>
      </c>
      <c r="R1094" s="647" t="str">
        <f>VLOOKUP(A1094,'[1]Raw data'!$B:$Z,3,FALSE)</f>
        <v>英拓邦（End user:深圳傲尔）</v>
      </c>
      <c r="S1094" s="647" t="str">
        <f>VLOOKUP(A1094,'[1]Raw data'!$B:$Z,4,FALSE)</f>
        <v>YSM10</v>
      </c>
      <c r="T1094" s="647" t="str">
        <f>VLOOKUP(A1094,'[1]Raw data'!$B:$Z,8,FALSE)</f>
        <v>R-&gt;L</v>
      </c>
      <c r="U1094" s="647" t="str">
        <f>VLOOKUP(A1094,'[1]Raw data'!$B:$Z,9,FALSE)</f>
        <v>MVC</v>
      </c>
      <c r="V1094" s="567" t="str">
        <f t="shared" si="226"/>
        <v>OK</v>
      </c>
      <c r="W1094" s="563" t="str">
        <f>VLOOKUP(A1094,'[1]Raw data'!$B:$AG,32,FALSE)</f>
        <v>CIF HK</v>
      </c>
      <c r="X1094" s="647">
        <f>VLOOKUP(A1094,'[1]Raw data'!$B:$BA,31,FALSE)</f>
        <v>44496</v>
      </c>
      <c r="Y1094" s="647" t="str">
        <f>VLOOKUP(A1094,'[1]Raw data'!$B:$AS,39,FALSE)</f>
        <v>Yes</v>
      </c>
      <c r="Z1094" s="666"/>
      <c r="AA1094" s="660"/>
      <c r="AB1094" s="661"/>
      <c r="AC1094" s="647" t="s">
        <v>965</v>
      </c>
      <c r="AD1094" s="575">
        <v>301</v>
      </c>
      <c r="AE1094" s="575">
        <v>10</v>
      </c>
      <c r="AF1094" s="575"/>
      <c r="AG1094" s="575"/>
      <c r="AH1094" s="575"/>
      <c r="AI1094" s="679"/>
      <c r="AJ1094" s="564"/>
      <c r="AK1094" s="564"/>
      <c r="AL1094" s="564"/>
      <c r="AM1094" s="564"/>
      <c r="AN1094" s="614"/>
      <c r="AO1094" s="824" t="str">
        <f t="shared" si="227"/>
        <v>Yes</v>
      </c>
      <c r="AP1094" s="259" t="str">
        <f t="shared" si="228"/>
        <v>APR 22</v>
      </c>
      <c r="AQ1094" s="542" t="str">
        <f t="shared" si="229"/>
        <v>有定金+有預留客戶</v>
      </c>
      <c r="AR1094" s="259" t="str">
        <f t="shared" si="230"/>
        <v>Shipped_Stock</v>
      </c>
      <c r="AS1094" s="259" t="str">
        <f t="shared" si="231"/>
        <v/>
      </c>
      <c r="AT1094" s="259" t="str">
        <f t="shared" si="232"/>
        <v>英拓邦（End user:深圳傲尔）</v>
      </c>
      <c r="AU1094" s="259" t="str">
        <f t="shared" si="233"/>
        <v>C49SZX20210200JY</v>
      </c>
      <c r="AV1094" s="259" t="str">
        <f t="shared" si="234"/>
        <v>Mar-26</v>
      </c>
    </row>
    <row r="1095" spans="1:48" ht="17.25" hidden="1" thickBot="1">
      <c r="A1095" s="559">
        <v>1510</v>
      </c>
      <c r="B1095" s="664" t="s">
        <v>1125</v>
      </c>
      <c r="C1095" s="664" t="s">
        <v>15</v>
      </c>
      <c r="D1095" s="624">
        <v>110762</v>
      </c>
      <c r="E1095" s="756" t="s">
        <v>2101</v>
      </c>
      <c r="F1095" s="647" t="s">
        <v>17</v>
      </c>
      <c r="G1095" s="647" t="s">
        <v>18</v>
      </c>
      <c r="H1095" s="647" t="s">
        <v>27</v>
      </c>
      <c r="I1095" s="575" t="s">
        <v>2102</v>
      </c>
      <c r="J1095" s="575">
        <v>1</v>
      </c>
      <c r="K1095" s="757" t="s">
        <v>2071</v>
      </c>
      <c r="L1095" s="657">
        <v>44646</v>
      </c>
      <c r="M1095" s="665" t="s">
        <v>80</v>
      </c>
      <c r="N1095" s="647" t="s">
        <v>1930</v>
      </c>
      <c r="O1095" s="575">
        <v>2022.3</v>
      </c>
      <c r="P1095" s="665" t="str">
        <f>VLOOKUP(A1095,'[1]Raw data'!$B:$BA,23,FALSE)</f>
        <v>JPY</v>
      </c>
      <c r="Q1095" s="647" t="str">
        <f>VLOOKUP(A1095,'[1]Raw data'!$B:$Z,2,FALSE)</f>
        <v>C49SZX20210213SS</v>
      </c>
      <c r="R1095" s="647" t="str">
        <f>VLOOKUP(A1095,'[1]Raw data'!$B:$Z,3,FALSE)</f>
        <v>维益</v>
      </c>
      <c r="S1095" s="647" t="str">
        <f>VLOOKUP(A1095,'[1]Raw data'!$B:$Z,4,FALSE)</f>
        <v>YSM10</v>
      </c>
      <c r="T1095" s="647" t="str">
        <f>VLOOKUP(A1095,'[1]Raw data'!$B:$Z,8,FALSE)</f>
        <v>R-&gt;L</v>
      </c>
      <c r="U1095" s="647" t="str">
        <f>VLOOKUP(A1095,'[1]Raw data'!$B:$Z,9,FALSE)</f>
        <v>MVC</v>
      </c>
      <c r="V1095" s="567" t="str">
        <f t="shared" si="226"/>
        <v>OK</v>
      </c>
      <c r="W1095" s="563" t="str">
        <f>VLOOKUP(A1095,'[1]Raw data'!$B:$AG,32,FALSE)</f>
        <v>DAP DG</v>
      </c>
      <c r="X1095" s="647">
        <f>VLOOKUP(A1095,'[1]Raw data'!$B:$BA,31,FALSE)</f>
        <v>44532</v>
      </c>
      <c r="Y1095" s="647" t="str">
        <f>VLOOKUP(A1095,'[1]Raw data'!$B:$AS,39,FALSE)</f>
        <v>Yes</v>
      </c>
      <c r="Z1095" s="666"/>
      <c r="AA1095" s="660"/>
      <c r="AB1095" s="661"/>
      <c r="AC1095" s="647" t="s">
        <v>2103</v>
      </c>
      <c r="AD1095" s="662">
        <v>301</v>
      </c>
      <c r="AE1095" s="662">
        <v>10</v>
      </c>
      <c r="AF1095" s="662"/>
      <c r="AG1095" s="662"/>
      <c r="AH1095" s="662"/>
      <c r="AI1095" s="663"/>
      <c r="AN1095" s="542"/>
      <c r="AO1095" s="824" t="str">
        <f t="shared" si="227"/>
        <v>Yes</v>
      </c>
      <c r="AP1095" s="259" t="str">
        <f t="shared" si="228"/>
        <v>APR 22</v>
      </c>
      <c r="AQ1095" s="542" t="str">
        <f t="shared" si="229"/>
        <v>有定金+有預留客戶</v>
      </c>
      <c r="AR1095" s="259" t="str">
        <f t="shared" si="230"/>
        <v>Shipped_Stock</v>
      </c>
      <c r="AS1095" s="259" t="str">
        <f t="shared" si="231"/>
        <v/>
      </c>
      <c r="AT1095" s="259" t="str">
        <f t="shared" si="232"/>
        <v>维益</v>
      </c>
      <c r="AU1095" s="259" t="str">
        <f t="shared" si="233"/>
        <v>C49SZX20210213SS</v>
      </c>
      <c r="AV1095" s="259" t="str">
        <f t="shared" si="234"/>
        <v>Mar-26</v>
      </c>
    </row>
    <row r="1096" spans="1:48" ht="16.5" hidden="1">
      <c r="A1096" s="559">
        <v>1275</v>
      </c>
      <c r="B1096" s="664" t="s">
        <v>1125</v>
      </c>
      <c r="C1096" s="664" t="s">
        <v>15</v>
      </c>
      <c r="D1096" s="761">
        <v>110757</v>
      </c>
      <c r="E1096" s="756" t="s">
        <v>2104</v>
      </c>
      <c r="F1096" s="647" t="s">
        <v>17</v>
      </c>
      <c r="G1096" s="647" t="s">
        <v>18</v>
      </c>
      <c r="H1096" s="647" t="s">
        <v>27</v>
      </c>
      <c r="I1096" s="575" t="s">
        <v>2105</v>
      </c>
      <c r="J1096" s="575">
        <v>1</v>
      </c>
      <c r="K1096" s="757" t="s">
        <v>2071</v>
      </c>
      <c r="L1096" s="657">
        <v>44646</v>
      </c>
      <c r="M1096" s="665">
        <v>5.3600000000000002E-2</v>
      </c>
      <c r="N1096" s="647" t="s">
        <v>1930</v>
      </c>
      <c r="O1096" s="575">
        <v>2022.3</v>
      </c>
      <c r="P1096" s="665" t="str">
        <f>VLOOKUP(A1096,'[1]Raw data'!$B:$BA,23,FALSE)</f>
        <v>JPY</v>
      </c>
      <c r="Q1096" s="647" t="str">
        <f>VLOOKUP(A1096,'[1]Raw data'!$B:$Z,2,FALSE)</f>
        <v>C49SZX20210086JL</v>
      </c>
      <c r="R1096" s="647" t="str">
        <f>VLOOKUP(A1096,'[1]Raw data'!$B:$Z,3,FALSE)</f>
        <v>鹏鑫达（end user：晶昌鸿业）</v>
      </c>
      <c r="S1096" s="647" t="str">
        <f>VLOOKUP(A1096,'[1]Raw data'!$B:$Z,4,FALSE)</f>
        <v>YSM10</v>
      </c>
      <c r="T1096" s="647" t="str">
        <f>VLOOKUP(A1096,'[1]Raw data'!$B:$Z,8,FALSE)</f>
        <v>L-&gt;R</v>
      </c>
      <c r="U1096" s="647" t="str">
        <f>VLOOKUP(A1096,'[1]Raw data'!$B:$Z,9,FALSE)</f>
        <v>MVC</v>
      </c>
      <c r="V1096" s="567" t="str">
        <f t="shared" si="226"/>
        <v>WRONG</v>
      </c>
      <c r="W1096" s="563" t="str">
        <f>VLOOKUP(A1096,'[1]Raw data'!$B:$AG,32,FALSE)</f>
        <v>DAP SZ</v>
      </c>
      <c r="X1096" s="647">
        <f>VLOOKUP(A1096,'[1]Raw data'!$B:$BA,31,FALSE)</f>
        <v>44274</v>
      </c>
      <c r="Y1096" s="647" t="str">
        <f>VLOOKUP(A1096,'[1]Raw data'!$B:$AS,39,FALSE)</f>
        <v>Yes</v>
      </c>
      <c r="Z1096" s="666"/>
      <c r="AA1096" s="660"/>
      <c r="AB1096" s="661"/>
      <c r="AC1096" s="575" t="s">
        <v>1951</v>
      </c>
      <c r="AD1096" s="662">
        <v>301</v>
      </c>
      <c r="AE1096" s="662">
        <v>10</v>
      </c>
      <c r="AF1096" s="662"/>
      <c r="AG1096" s="662"/>
      <c r="AH1096" s="662"/>
      <c r="AI1096" s="663"/>
      <c r="AN1096" s="542"/>
      <c r="AO1096" s="824" t="str">
        <f t="shared" si="227"/>
        <v>Yes</v>
      </c>
      <c r="AP1096" s="259" t="str">
        <f t="shared" si="228"/>
        <v>APR 22</v>
      </c>
      <c r="AQ1096" s="542" t="str">
        <f t="shared" si="229"/>
        <v>有定金+有預留客戶</v>
      </c>
      <c r="AR1096" s="259" t="str">
        <f t="shared" si="230"/>
        <v>Shipped_Stock</v>
      </c>
      <c r="AS1096" s="259" t="str">
        <f t="shared" si="231"/>
        <v/>
      </c>
      <c r="AT1096" s="259" t="str">
        <f t="shared" si="232"/>
        <v>鹏鑫达（end user：晶昌鸿业）</v>
      </c>
      <c r="AU1096" s="259" t="str">
        <f t="shared" si="233"/>
        <v>C49SZX20210086JL</v>
      </c>
      <c r="AV1096" s="259" t="str">
        <f t="shared" si="234"/>
        <v>Mar-26</v>
      </c>
    </row>
    <row r="1097" spans="1:48" ht="17.25" hidden="1" thickBot="1">
      <c r="A1097" s="559">
        <v>1276</v>
      </c>
      <c r="B1097" s="664" t="s">
        <v>1125</v>
      </c>
      <c r="C1097" s="664" t="s">
        <v>15</v>
      </c>
      <c r="D1097" s="624">
        <v>110757</v>
      </c>
      <c r="E1097" s="756" t="s">
        <v>2104</v>
      </c>
      <c r="F1097" s="647" t="s">
        <v>17</v>
      </c>
      <c r="G1097" s="647" t="s">
        <v>18</v>
      </c>
      <c r="H1097" s="647" t="s">
        <v>27</v>
      </c>
      <c r="I1097" s="575" t="s">
        <v>2106</v>
      </c>
      <c r="J1097" s="575">
        <v>1</v>
      </c>
      <c r="K1097" s="757" t="s">
        <v>2071</v>
      </c>
      <c r="L1097" s="657">
        <v>44646</v>
      </c>
      <c r="M1097" s="665">
        <v>5.3600000000000002E-2</v>
      </c>
      <c r="N1097" s="647" t="s">
        <v>1930</v>
      </c>
      <c r="O1097" s="575">
        <v>2022.3</v>
      </c>
      <c r="P1097" s="665" t="str">
        <f>VLOOKUP(A1097,'[1]Raw data'!$B:$BA,23,FALSE)</f>
        <v>JPY</v>
      </c>
      <c r="Q1097" s="647" t="str">
        <f>VLOOKUP(A1097,'[1]Raw data'!$B:$Z,2,FALSE)</f>
        <v>C49SZX20210086JL</v>
      </c>
      <c r="R1097" s="647" t="str">
        <f>VLOOKUP(A1097,'[1]Raw data'!$B:$Z,3,FALSE)</f>
        <v>鹏鑫达（end user：晶昌鸿业）</v>
      </c>
      <c r="S1097" s="647" t="str">
        <f>VLOOKUP(A1097,'[1]Raw data'!$B:$Z,4,FALSE)</f>
        <v>YSM10</v>
      </c>
      <c r="T1097" s="647" t="str">
        <f>VLOOKUP(A1097,'[1]Raw data'!$B:$Z,8,FALSE)</f>
        <v>L-&gt;R</v>
      </c>
      <c r="U1097" s="647" t="str">
        <f>VLOOKUP(A1097,'[1]Raw data'!$B:$Z,9,FALSE)</f>
        <v>MVC</v>
      </c>
      <c r="V1097" s="567" t="str">
        <f t="shared" si="226"/>
        <v>WRONG</v>
      </c>
      <c r="W1097" s="563" t="str">
        <f>VLOOKUP(A1097,'[1]Raw data'!$B:$AG,32,FALSE)</f>
        <v>DAP SZ</v>
      </c>
      <c r="X1097" s="647">
        <f>VLOOKUP(A1097,'[1]Raw data'!$B:$BA,31,FALSE)</f>
        <v>44274</v>
      </c>
      <c r="Y1097" s="647" t="str">
        <f>VLOOKUP(A1097,'[1]Raw data'!$B:$AS,39,FALSE)</f>
        <v>Yes</v>
      </c>
      <c r="Z1097" s="666"/>
      <c r="AA1097" s="660"/>
      <c r="AB1097" s="661"/>
      <c r="AC1097" s="575" t="s">
        <v>1951</v>
      </c>
      <c r="AD1097" s="662">
        <v>302</v>
      </c>
      <c r="AE1097" s="662">
        <v>10</v>
      </c>
      <c r="AF1097" s="662"/>
      <c r="AG1097" s="662"/>
      <c r="AH1097" s="662"/>
      <c r="AI1097" s="663"/>
      <c r="AN1097" s="542"/>
      <c r="AO1097" s="824" t="str">
        <f t="shared" si="227"/>
        <v>Yes</v>
      </c>
      <c r="AP1097" s="259" t="str">
        <f t="shared" si="228"/>
        <v>APR 22</v>
      </c>
      <c r="AQ1097" s="542" t="str">
        <f t="shared" si="229"/>
        <v>有定金+有預留客戶</v>
      </c>
      <c r="AR1097" s="259" t="str">
        <f t="shared" si="230"/>
        <v>Shipped_Stock</v>
      </c>
      <c r="AS1097" s="259" t="str">
        <f t="shared" si="231"/>
        <v/>
      </c>
      <c r="AT1097" s="259" t="str">
        <f t="shared" si="232"/>
        <v>鹏鑫达（end user：晶昌鸿业）</v>
      </c>
      <c r="AU1097" s="259" t="str">
        <f t="shared" si="233"/>
        <v>C49SZX20210086JL</v>
      </c>
      <c r="AV1097" s="259" t="str">
        <f t="shared" si="234"/>
        <v>Mar-26</v>
      </c>
    </row>
    <row r="1098" spans="1:48" hidden="1">
      <c r="A1098" s="599">
        <v>1446</v>
      </c>
      <c r="B1098" s="664" t="s">
        <v>1125</v>
      </c>
      <c r="C1098" s="664" t="s">
        <v>15</v>
      </c>
      <c r="D1098" s="761">
        <v>110759</v>
      </c>
      <c r="E1098" s="646" t="s">
        <v>2107</v>
      </c>
      <c r="F1098" s="647" t="s">
        <v>17</v>
      </c>
      <c r="G1098" s="647" t="s">
        <v>18</v>
      </c>
      <c r="H1098" s="647" t="s">
        <v>27</v>
      </c>
      <c r="I1098" s="575" t="s">
        <v>2108</v>
      </c>
      <c r="J1098" s="575">
        <v>1</v>
      </c>
      <c r="K1098" s="647" t="s">
        <v>1419</v>
      </c>
      <c r="L1098" s="657">
        <v>44645</v>
      </c>
      <c r="M1098" s="665" t="s">
        <v>906</v>
      </c>
      <c r="N1098" s="647" t="s">
        <v>1930</v>
      </c>
      <c r="O1098" s="575">
        <v>2022.3</v>
      </c>
      <c r="P1098" s="665" t="str">
        <f>VLOOKUP(A1098,'[1]Raw data'!$B:$BA,23,FALSE)</f>
        <v>JPY</v>
      </c>
      <c r="Q1098" s="647" t="str">
        <f>VLOOKUP(A1098,'[1]Raw data'!$B:$Z,2,FALSE)</f>
        <v>C49SZX20210177SS</v>
      </c>
      <c r="R1098" s="647" t="str">
        <f>VLOOKUP(A1098,'[1]Raw data'!$B:$Z,3,FALSE)</f>
        <v>乐凡电子</v>
      </c>
      <c r="S1098" s="647" t="str">
        <f>VLOOKUP(A1098,'[1]Raw data'!$B:$Z,4,FALSE)</f>
        <v>YSM10</v>
      </c>
      <c r="T1098" s="647" t="str">
        <f>VLOOKUP(A1098,'[1]Raw data'!$B:$Z,8,FALSE)</f>
        <v>R-&gt;L</v>
      </c>
      <c r="U1098" s="647" t="str">
        <f>VLOOKUP(A1098,'[1]Raw data'!$B:$Z,9,FALSE)</f>
        <v>MVC</v>
      </c>
      <c r="V1098" s="567" t="str">
        <f t="shared" si="226"/>
        <v>OK</v>
      </c>
      <c r="W1098" s="563" t="str">
        <f>VLOOKUP(A1098,'[1]Raw data'!$B:$AG,32,FALSE)</f>
        <v>DAP SZ</v>
      </c>
      <c r="X1098" s="647">
        <f>VLOOKUP(A1098,'[1]Raw data'!$B:$BA,31,FALSE)</f>
        <v>44372</v>
      </c>
      <c r="Y1098" s="647" t="str">
        <f>VLOOKUP(A1098,'[1]Raw data'!$B:$AS,39,FALSE)</f>
        <v>Yes</v>
      </c>
      <c r="Z1098" s="666"/>
      <c r="AA1098" s="660"/>
      <c r="AB1098" s="661"/>
      <c r="AC1098" s="647" t="s">
        <v>970</v>
      </c>
      <c r="AD1098" s="575">
        <v>302</v>
      </c>
      <c r="AE1098" s="575">
        <v>10</v>
      </c>
      <c r="AF1098" s="575"/>
      <c r="AG1098" s="575"/>
      <c r="AH1098" s="575"/>
      <c r="AI1098" s="679"/>
      <c r="AJ1098" s="564"/>
      <c r="AK1098" s="564"/>
      <c r="AL1098" s="564"/>
      <c r="AM1098" s="564"/>
      <c r="AN1098" s="614"/>
      <c r="AO1098" s="824" t="str">
        <f t="shared" si="227"/>
        <v>Yes</v>
      </c>
      <c r="AP1098" s="259" t="str">
        <f t="shared" si="228"/>
        <v>APR 22</v>
      </c>
      <c r="AQ1098" s="542" t="str">
        <f t="shared" si="229"/>
        <v>有定金+有預留客戶</v>
      </c>
      <c r="AR1098" s="259" t="str">
        <f t="shared" si="230"/>
        <v>Shipped_Stock</v>
      </c>
      <c r="AS1098" s="259" t="str">
        <f t="shared" si="231"/>
        <v/>
      </c>
      <c r="AT1098" s="259" t="str">
        <f t="shared" si="232"/>
        <v>乐凡电子</v>
      </c>
      <c r="AU1098" s="259" t="str">
        <f t="shared" si="233"/>
        <v>C49SZX20210177SS</v>
      </c>
      <c r="AV1098" s="259" t="str">
        <f t="shared" si="234"/>
        <v>Mar-25</v>
      </c>
    </row>
    <row r="1099" spans="1:48" ht="16.5" hidden="1">
      <c r="A1099" s="599">
        <v>1441</v>
      </c>
      <c r="B1099" s="664" t="s">
        <v>1125</v>
      </c>
      <c r="C1099" s="664" t="s">
        <v>15</v>
      </c>
      <c r="D1099" s="755">
        <v>110761</v>
      </c>
      <c r="E1099" s="756" t="s">
        <v>2109</v>
      </c>
      <c r="F1099" s="647" t="s">
        <v>17</v>
      </c>
      <c r="G1099" s="647" t="s">
        <v>18</v>
      </c>
      <c r="H1099" s="647" t="s">
        <v>27</v>
      </c>
      <c r="I1099" s="575" t="s">
        <v>2110</v>
      </c>
      <c r="J1099" s="575">
        <v>1</v>
      </c>
      <c r="K1099" s="757" t="s">
        <v>2071</v>
      </c>
      <c r="L1099" s="657">
        <v>44645</v>
      </c>
      <c r="M1099" s="665">
        <v>5.3600000000000002E-2</v>
      </c>
      <c r="N1099" s="647" t="s">
        <v>1930</v>
      </c>
      <c r="O1099" s="575">
        <v>2022.3</v>
      </c>
      <c r="P1099" s="665" t="str">
        <f>VLOOKUP(A1099,'[1]Raw data'!$B:$BA,23,FALSE)</f>
        <v>JPY</v>
      </c>
      <c r="Q1099" s="647" t="str">
        <f>VLOOKUP(A1099,'[1]Raw data'!$B:$Z,2,FALSE)</f>
        <v>C49SZX20210130R1JY</v>
      </c>
      <c r="R1099" s="647" t="str">
        <f>VLOOKUP(A1099,'[1]Raw data'!$B:$Z,3,FALSE)</f>
        <v>海松微</v>
      </c>
      <c r="S1099" s="647" t="str">
        <f>VLOOKUP(A1099,'[1]Raw data'!$B:$Z,4,FALSE)</f>
        <v>YSM10</v>
      </c>
      <c r="T1099" s="647" t="str">
        <f>VLOOKUP(A1099,'[1]Raw data'!$B:$Z,8,FALSE)</f>
        <v>L-&gt;R</v>
      </c>
      <c r="U1099" s="647" t="str">
        <f>VLOOKUP(A1099,'[1]Raw data'!$B:$Z,9,FALSE)</f>
        <v>MVC</v>
      </c>
      <c r="V1099" s="567" t="str">
        <f t="shared" si="226"/>
        <v>WRONG</v>
      </c>
      <c r="W1099" s="563" t="str">
        <f>VLOOKUP(A1099,'[1]Raw data'!$B:$AG,32,FALSE)</f>
        <v>DAP SZ</v>
      </c>
      <c r="X1099" s="647">
        <f>VLOOKUP(A1099,'[1]Raw data'!$B:$BA,31,FALSE)</f>
        <v>44372</v>
      </c>
      <c r="Y1099" s="647" t="str">
        <f>VLOOKUP(A1099,'[1]Raw data'!$B:$AS,39,FALSE)</f>
        <v>Yes</v>
      </c>
      <c r="Z1099" s="666"/>
      <c r="AA1099" s="660"/>
      <c r="AB1099" s="661"/>
      <c r="AC1099" s="647" t="s">
        <v>1951</v>
      </c>
      <c r="AD1099" s="575">
        <v>302</v>
      </c>
      <c r="AE1099" s="575">
        <v>10</v>
      </c>
      <c r="AF1099" s="575"/>
      <c r="AG1099" s="575"/>
      <c r="AH1099" s="575"/>
      <c r="AI1099" s="679"/>
      <c r="AJ1099" s="564"/>
      <c r="AK1099" s="564"/>
      <c r="AL1099" s="564"/>
      <c r="AM1099" s="564"/>
      <c r="AN1099" s="614"/>
      <c r="AO1099" s="824" t="str">
        <f t="shared" si="227"/>
        <v>Yes</v>
      </c>
      <c r="AP1099" s="259" t="str">
        <f t="shared" si="228"/>
        <v>APR 22</v>
      </c>
      <c r="AQ1099" s="542" t="str">
        <f t="shared" si="229"/>
        <v>有定金+有預留客戶</v>
      </c>
      <c r="AR1099" s="259" t="str">
        <f t="shared" si="230"/>
        <v>Shipped_Stock</v>
      </c>
      <c r="AS1099" s="259" t="str">
        <f t="shared" si="231"/>
        <v/>
      </c>
      <c r="AT1099" s="259" t="str">
        <f t="shared" si="232"/>
        <v>海松微</v>
      </c>
      <c r="AU1099" s="259" t="str">
        <f t="shared" si="233"/>
        <v>C49SZX20210130R1JY</v>
      </c>
      <c r="AV1099" s="259" t="str">
        <f t="shared" si="234"/>
        <v>Mar-25</v>
      </c>
    </row>
    <row r="1100" spans="1:48" ht="16.5" hidden="1">
      <c r="A1100" s="599">
        <v>1440</v>
      </c>
      <c r="B1100" s="664" t="s">
        <v>1125</v>
      </c>
      <c r="C1100" s="664" t="s">
        <v>15</v>
      </c>
      <c r="D1100" s="755">
        <v>110763</v>
      </c>
      <c r="E1100" s="756" t="s">
        <v>2020</v>
      </c>
      <c r="F1100" s="647" t="s">
        <v>17</v>
      </c>
      <c r="G1100" s="647" t="s">
        <v>1012</v>
      </c>
      <c r="H1100" s="647" t="s">
        <v>27</v>
      </c>
      <c r="I1100" s="575" t="s">
        <v>2111</v>
      </c>
      <c r="J1100" s="575">
        <v>1</v>
      </c>
      <c r="K1100" s="757" t="s">
        <v>2071</v>
      </c>
      <c r="L1100" s="657">
        <v>44645</v>
      </c>
      <c r="M1100" s="665">
        <v>5.3600000000000002E-2</v>
      </c>
      <c r="N1100" s="647" t="s">
        <v>1930</v>
      </c>
      <c r="O1100" s="575">
        <v>2022.3</v>
      </c>
      <c r="P1100" s="665" t="str">
        <f>VLOOKUP(A1100,'[1]Raw data'!$B:$BA,23,FALSE)</f>
        <v>JPY</v>
      </c>
      <c r="Q1100" s="647" t="str">
        <f>VLOOKUP(A1100,'[1]Raw data'!$B:$Z,2,FALSE)</f>
        <v>C49SZX20210130R1JY</v>
      </c>
      <c r="R1100" s="647" t="str">
        <f>VLOOKUP(A1100,'[1]Raw data'!$B:$Z,3,FALSE)</f>
        <v>海松微（最终需要从C49SZX20210120R1JY中拆除YSM20R相机改为YSM10相机）</v>
      </c>
      <c r="S1100" s="647" t="str">
        <f>VLOOKUP(A1100,'[1]Raw data'!$B:$Z,4,FALSE)</f>
        <v>YSM10</v>
      </c>
      <c r="T1100" s="647" t="str">
        <f>VLOOKUP(A1100,'[1]Raw data'!$B:$Z,8,FALSE)</f>
        <v>L-&gt;R</v>
      </c>
      <c r="U1100" s="647" t="str">
        <f>VLOOKUP(A1100,'[1]Raw data'!$B:$Z,9,FALSE)</f>
        <v>No</v>
      </c>
      <c r="V1100" s="567" t="str">
        <f t="shared" si="226"/>
        <v>WRONG</v>
      </c>
      <c r="W1100" s="563" t="str">
        <f>VLOOKUP(A1100,'[1]Raw data'!$B:$AG,32,FALSE)</f>
        <v>DAP SZ</v>
      </c>
      <c r="X1100" s="647">
        <f>VLOOKUP(A1100,'[1]Raw data'!$B:$BA,31,FALSE)</f>
        <v>44372</v>
      </c>
      <c r="Y1100" s="647" t="str">
        <f>VLOOKUP(A1100,'[1]Raw data'!$B:$AS,39,FALSE)</f>
        <v>Yes</v>
      </c>
      <c r="Z1100" s="666"/>
      <c r="AA1100" s="660"/>
      <c r="AB1100" s="661"/>
      <c r="AC1100" s="647" t="s">
        <v>2112</v>
      </c>
      <c r="AD1100" s="575">
        <v>301</v>
      </c>
      <c r="AE1100" s="575">
        <v>10</v>
      </c>
      <c r="AF1100" s="575"/>
      <c r="AG1100" s="575"/>
      <c r="AH1100" s="575"/>
      <c r="AI1100" s="679"/>
      <c r="AJ1100" s="564"/>
      <c r="AK1100" s="564"/>
      <c r="AL1100" s="564"/>
      <c r="AM1100" s="564"/>
      <c r="AN1100" s="614"/>
      <c r="AO1100" s="824" t="str">
        <f t="shared" si="227"/>
        <v>Yes</v>
      </c>
      <c r="AP1100" s="259" t="str">
        <f t="shared" si="228"/>
        <v>APR 22</v>
      </c>
      <c r="AQ1100" s="542" t="str">
        <f t="shared" si="229"/>
        <v>有定金+有預留客戶</v>
      </c>
      <c r="AR1100" s="259" t="str">
        <f t="shared" si="230"/>
        <v>Shipped_Stock</v>
      </c>
      <c r="AS1100" s="259" t="str">
        <f t="shared" si="231"/>
        <v/>
      </c>
      <c r="AT1100" s="259" t="str">
        <f t="shared" si="232"/>
        <v>海松微（最终需要从C49SZX20210120R1JY中拆除YSM20R相机改为YSM10相机）</v>
      </c>
      <c r="AU1100" s="259" t="str">
        <f t="shared" si="233"/>
        <v>C49SZX20210130R1JY</v>
      </c>
      <c r="AV1100" s="259" t="str">
        <f t="shared" si="234"/>
        <v>Mar-25</v>
      </c>
    </row>
    <row r="1101" spans="1:48" ht="16.5" hidden="1">
      <c r="A1101" s="599">
        <v>1470</v>
      </c>
      <c r="B1101" s="664" t="s">
        <v>1125</v>
      </c>
      <c r="C1101" s="664" t="s">
        <v>15</v>
      </c>
      <c r="D1101" s="755">
        <v>110763</v>
      </c>
      <c r="E1101" s="756" t="s">
        <v>2020</v>
      </c>
      <c r="F1101" s="647" t="s">
        <v>17</v>
      </c>
      <c r="G1101" s="647" t="s">
        <v>18</v>
      </c>
      <c r="H1101" s="647" t="s">
        <v>27</v>
      </c>
      <c r="I1101" s="575" t="s">
        <v>2113</v>
      </c>
      <c r="J1101" s="575">
        <v>1</v>
      </c>
      <c r="K1101" s="757" t="s">
        <v>2071</v>
      </c>
      <c r="L1101" s="657">
        <v>44645</v>
      </c>
      <c r="M1101" s="665">
        <v>5.3600000000000002E-2</v>
      </c>
      <c r="N1101" s="647" t="s">
        <v>1930</v>
      </c>
      <c r="O1101" s="575">
        <v>2022.3</v>
      </c>
      <c r="P1101" s="665" t="str">
        <f>VLOOKUP(A1101,'[1]Raw data'!$B:$BA,23,FALSE)</f>
        <v>JPY</v>
      </c>
      <c r="Q1101" s="647" t="str">
        <f>VLOOKUP(A1101,'[1]Raw data'!$B:$Z,2,FALSE)</f>
        <v>C49SZX20210187SS</v>
      </c>
      <c r="R1101" s="647" t="str">
        <f>VLOOKUP(A1101,'[1]Raw data'!$B:$Z,3,FALSE)</f>
        <v>盈通恒翼</v>
      </c>
      <c r="S1101" s="647" t="str">
        <f>VLOOKUP(A1101,'[1]Raw data'!$B:$Z,4,FALSE)</f>
        <v>YSM10</v>
      </c>
      <c r="T1101" s="647" t="str">
        <f>VLOOKUP(A1101,'[1]Raw data'!$B:$Z,8,FALSE)</f>
        <v>L-&gt;R</v>
      </c>
      <c r="U1101" s="647" t="str">
        <f>VLOOKUP(A1101,'[1]Raw data'!$B:$Z,9,FALSE)</f>
        <v>No</v>
      </c>
      <c r="V1101" s="567" t="str">
        <f t="shared" si="226"/>
        <v>WRONG</v>
      </c>
      <c r="W1101" s="563" t="str">
        <f>VLOOKUP(A1101,'[1]Raw data'!$B:$AG,32,FALSE)</f>
        <v>DAP SZ</v>
      </c>
      <c r="X1101" s="647">
        <f>VLOOKUP(A1101,'[1]Raw data'!$B:$BA,31,FALSE)</f>
        <v>44439</v>
      </c>
      <c r="Y1101" s="647" t="str">
        <f>VLOOKUP(A1101,'[1]Raw data'!$B:$AS,39,FALSE)</f>
        <v>Yes</v>
      </c>
      <c r="Z1101" s="666"/>
      <c r="AA1101" s="660"/>
      <c r="AB1101" s="661"/>
      <c r="AC1101" s="647" t="s">
        <v>1377</v>
      </c>
      <c r="AD1101" s="575">
        <v>301</v>
      </c>
      <c r="AE1101" s="575">
        <v>10</v>
      </c>
      <c r="AF1101" s="575"/>
      <c r="AG1101" s="575"/>
      <c r="AH1101" s="575"/>
      <c r="AI1101" s="679"/>
      <c r="AJ1101" s="564"/>
      <c r="AK1101" s="564"/>
      <c r="AL1101" s="564"/>
      <c r="AM1101" s="564"/>
      <c r="AN1101" s="614"/>
      <c r="AO1101" s="824" t="str">
        <f t="shared" si="227"/>
        <v>Yes</v>
      </c>
      <c r="AP1101" s="259" t="str">
        <f t="shared" si="228"/>
        <v>APR 22</v>
      </c>
      <c r="AQ1101" s="542" t="str">
        <f t="shared" si="229"/>
        <v>有定金+有預留客戶</v>
      </c>
      <c r="AR1101" s="259" t="str">
        <f t="shared" si="230"/>
        <v>Shipped_Stock</v>
      </c>
      <c r="AS1101" s="259" t="str">
        <f t="shared" si="231"/>
        <v/>
      </c>
      <c r="AT1101" s="259" t="str">
        <f t="shared" si="232"/>
        <v>盈通恒翼</v>
      </c>
      <c r="AU1101" s="259" t="str">
        <f t="shared" si="233"/>
        <v>C49SZX20210187SS</v>
      </c>
      <c r="AV1101" s="259" t="str">
        <f t="shared" si="234"/>
        <v>Mar-25</v>
      </c>
    </row>
    <row r="1102" spans="1:48" ht="33.75" hidden="1" thickBot="1">
      <c r="A1102" s="599">
        <v>1402</v>
      </c>
      <c r="B1102" s="664" t="s">
        <v>1125</v>
      </c>
      <c r="C1102" s="664" t="s">
        <v>15</v>
      </c>
      <c r="D1102" s="624">
        <v>110763</v>
      </c>
      <c r="E1102" s="756" t="s">
        <v>2020</v>
      </c>
      <c r="F1102" s="647" t="s">
        <v>17</v>
      </c>
      <c r="G1102" s="647" t="s">
        <v>18</v>
      </c>
      <c r="H1102" s="647" t="s">
        <v>27</v>
      </c>
      <c r="I1102" s="575" t="s">
        <v>2114</v>
      </c>
      <c r="J1102" s="575">
        <v>1</v>
      </c>
      <c r="K1102" s="757" t="s">
        <v>2071</v>
      </c>
      <c r="L1102" s="657">
        <v>44645</v>
      </c>
      <c r="M1102" s="665" t="s">
        <v>2115</v>
      </c>
      <c r="N1102" s="647" t="s">
        <v>1930</v>
      </c>
      <c r="O1102" s="575">
        <v>2022.3</v>
      </c>
      <c r="P1102" s="665" t="str">
        <f>VLOOKUP(A1102,'[1]Raw data'!$B:$BA,23,FALSE)</f>
        <v>RMB</v>
      </c>
      <c r="Q1102" s="647" t="str">
        <f>VLOOKUP(A1102,'[1]Raw data'!$B:$Z,2,FALSE)</f>
        <v>C49SZX20220034AY</v>
      </c>
      <c r="R1102" s="647" t="str">
        <f>VLOOKUP(A1102,'[1]Raw data'!$B:$Z,3,FALSE)</f>
        <v>清禾</v>
      </c>
      <c r="S1102" s="647" t="str">
        <f>VLOOKUP(A1102,'[1]Raw data'!$B:$Z,4,FALSE)</f>
        <v>YSM10</v>
      </c>
      <c r="T1102" s="647" t="str">
        <f>VLOOKUP(A1102,'[1]Raw data'!$B:$Z,8,FALSE)</f>
        <v>L-&gt;R</v>
      </c>
      <c r="U1102" s="647" t="str">
        <f>VLOOKUP(A1102,'[1]Raw data'!$B:$Z,9,FALSE)</f>
        <v>MVC</v>
      </c>
      <c r="V1102" s="567" t="str">
        <f t="shared" si="226"/>
        <v>WRONG</v>
      </c>
      <c r="W1102" s="563" t="str">
        <f>VLOOKUP(A1102,'[1]Raw data'!$B:$AG,32,FALSE)</f>
        <v>DDP SZ</v>
      </c>
      <c r="X1102" s="647">
        <f>VLOOKUP(A1102,'[1]Raw data'!$B:$BA,31,FALSE)</f>
        <v>44642</v>
      </c>
      <c r="Y1102" s="647" t="str">
        <f>VLOOKUP(A1102,'[1]Raw data'!$B:$AS,39,FALSE)</f>
        <v>Yes</v>
      </c>
      <c r="Z1102" s="666"/>
      <c r="AA1102" s="660"/>
      <c r="AB1102" s="661"/>
      <c r="AC1102" s="647" t="s">
        <v>2116</v>
      </c>
      <c r="AD1102" s="575">
        <v>302</v>
      </c>
      <c r="AE1102" s="575">
        <v>10</v>
      </c>
      <c r="AF1102" s="575"/>
      <c r="AG1102" s="575"/>
      <c r="AH1102" s="575"/>
      <c r="AI1102" s="679"/>
      <c r="AJ1102" s="564"/>
      <c r="AK1102" s="564"/>
      <c r="AL1102" s="564"/>
      <c r="AM1102" s="564"/>
      <c r="AN1102" s="614"/>
      <c r="AO1102" s="824" t="str">
        <f t="shared" si="227"/>
        <v>Yes</v>
      </c>
      <c r="AP1102" s="259" t="str">
        <f t="shared" si="228"/>
        <v>APR 22</v>
      </c>
      <c r="AQ1102" s="542" t="str">
        <f t="shared" si="229"/>
        <v>有定金+有預留客戶</v>
      </c>
      <c r="AR1102" s="259" t="str">
        <f t="shared" si="230"/>
        <v>Shipped_Stock</v>
      </c>
      <c r="AS1102" s="259" t="str">
        <f t="shared" si="231"/>
        <v/>
      </c>
      <c r="AT1102" s="259" t="str">
        <f t="shared" si="232"/>
        <v>清禾</v>
      </c>
      <c r="AU1102" s="259" t="str">
        <f t="shared" si="233"/>
        <v>C49SZX20220034AY</v>
      </c>
      <c r="AV1102" s="259" t="str">
        <f t="shared" si="234"/>
        <v>Mar-25</v>
      </c>
    </row>
    <row r="1103" spans="1:48" ht="21.75" hidden="1">
      <c r="A1103" s="599">
        <v>1568</v>
      </c>
      <c r="B1103" s="664" t="s">
        <v>1125</v>
      </c>
      <c r="C1103" s="664" t="s">
        <v>15</v>
      </c>
      <c r="D1103" s="761">
        <v>110766</v>
      </c>
      <c r="E1103" s="646" t="s">
        <v>2117</v>
      </c>
      <c r="F1103" s="647" t="s">
        <v>58</v>
      </c>
      <c r="G1103" s="647" t="s">
        <v>24</v>
      </c>
      <c r="H1103" s="647" t="s">
        <v>26</v>
      </c>
      <c r="I1103" s="575" t="s">
        <v>2118</v>
      </c>
      <c r="J1103" s="575">
        <v>1</v>
      </c>
      <c r="K1103" s="757" t="s">
        <v>2071</v>
      </c>
      <c r="L1103" s="657">
        <v>44648</v>
      </c>
      <c r="M1103" s="665" t="s">
        <v>2119</v>
      </c>
      <c r="N1103" s="647" t="s">
        <v>1930</v>
      </c>
      <c r="O1103" s="575">
        <v>2022.3</v>
      </c>
      <c r="P1103" s="665" t="str">
        <f>VLOOKUP(A1103,'[1]Raw data'!$B:$BA,23,FALSE)</f>
        <v>JPY</v>
      </c>
      <c r="Q1103" s="647" t="str">
        <f>VLOOKUP(A1103,'[1]Raw data'!$B:$Z,2,FALSE)</f>
        <v>C49SZX20220014JL</v>
      </c>
      <c r="R1103" s="647" t="str">
        <f>VLOOKUP(A1103,'[1]Raw data'!$B:$Z,3,FALSE)</f>
        <v>捷舜诚</v>
      </c>
      <c r="S1103" s="647" t="str">
        <f>VLOOKUP(A1103,'[1]Raw data'!$B:$Z,4,FALSE)</f>
        <v>YSM20R-2</v>
      </c>
      <c r="T1103" s="647" t="str">
        <f>VLOOKUP(A1103,'[1]Raw data'!$B:$Z,8,FALSE)</f>
        <v>L-&gt;R</v>
      </c>
      <c r="U1103" s="647" t="str">
        <f>VLOOKUP(A1103,'[1]Raw data'!$B:$Z,9,FALSE)</f>
        <v>MVC</v>
      </c>
      <c r="V1103" s="567" t="str">
        <f>IF(G1103&amp;H1103=T1103&amp;U1103,"OK","WRONG")</f>
        <v>WRONG</v>
      </c>
      <c r="W1103" s="563" t="str">
        <f>VLOOKUP(A1103,'[1]Raw data'!$B:$AG,32,FALSE)</f>
        <v>DAP SZ</v>
      </c>
      <c r="X1103" s="647">
        <f>VLOOKUP(A1103,'[1]Raw data'!$B:$BA,31,FALSE)</f>
        <v>44586</v>
      </c>
      <c r="Y1103" s="647" t="str">
        <f>VLOOKUP(A1103,'[1]Raw data'!$B:$AS,39,FALSE)</f>
        <v>Yes</v>
      </c>
      <c r="Z1103" s="666"/>
      <c r="AA1103" s="660"/>
      <c r="AB1103" s="661"/>
      <c r="AC1103" s="563" t="s">
        <v>1150</v>
      </c>
      <c r="AD1103" s="575">
        <v>301</v>
      </c>
      <c r="AE1103" s="575">
        <v>20</v>
      </c>
      <c r="AF1103" s="575"/>
      <c r="AG1103" s="575"/>
      <c r="AH1103" s="575"/>
      <c r="AI1103" s="679"/>
      <c r="AJ1103" s="564"/>
      <c r="AK1103" s="564"/>
      <c r="AL1103" s="564"/>
      <c r="AM1103" s="564"/>
      <c r="AN1103" s="614"/>
      <c r="AO1103" s="824" t="str">
        <f t="shared" si="227"/>
        <v>Yes</v>
      </c>
      <c r="AP1103" s="259" t="str">
        <f t="shared" si="228"/>
        <v>APR 22</v>
      </c>
      <c r="AQ1103" s="542" t="str">
        <f t="shared" si="229"/>
        <v>有定金+有預留客戶</v>
      </c>
      <c r="AR1103" s="259" t="str">
        <f t="shared" si="230"/>
        <v>Shipped_Stock</v>
      </c>
      <c r="AS1103" s="259" t="str">
        <f t="shared" si="231"/>
        <v/>
      </c>
      <c r="AT1103" s="259" t="str">
        <f t="shared" si="232"/>
        <v>捷舜诚</v>
      </c>
      <c r="AU1103" s="259" t="str">
        <f t="shared" si="233"/>
        <v>C49SZX20220014JL</v>
      </c>
      <c r="AV1103" s="259" t="str">
        <f t="shared" si="234"/>
        <v>Mar-28</v>
      </c>
    </row>
    <row r="1104" spans="1:48" ht="32.25" hidden="1">
      <c r="A1104" s="559">
        <v>1477</v>
      </c>
      <c r="B1104" s="664" t="s">
        <v>1125</v>
      </c>
      <c r="C1104" s="664" t="s">
        <v>15</v>
      </c>
      <c r="D1104" s="755">
        <v>110766</v>
      </c>
      <c r="E1104" s="756" t="s">
        <v>2120</v>
      </c>
      <c r="F1104" s="647" t="s">
        <v>58</v>
      </c>
      <c r="G1104" s="647" t="s">
        <v>24</v>
      </c>
      <c r="H1104" s="647" t="s">
        <v>26</v>
      </c>
      <c r="I1104" s="575" t="s">
        <v>2121</v>
      </c>
      <c r="J1104" s="575">
        <v>1</v>
      </c>
      <c r="K1104" s="757" t="s">
        <v>2071</v>
      </c>
      <c r="L1104" s="657">
        <v>44648</v>
      </c>
      <c r="M1104" s="665" t="s">
        <v>2122</v>
      </c>
      <c r="N1104" s="647" t="s">
        <v>1930</v>
      </c>
      <c r="O1104" s="575">
        <v>2022.3</v>
      </c>
      <c r="P1104" s="665" t="str">
        <f>VLOOKUP(A1104,'[1]Raw data'!$B:$BA,23,FALSE)</f>
        <v>JPY</v>
      </c>
      <c r="Q1104" s="647" t="str">
        <f>VLOOKUP(A1104,'[1]Raw data'!$B:$Z,2,FALSE)</f>
        <v>C49SZX20210192SX</v>
      </c>
      <c r="R1104" s="647" t="str">
        <f>VLOOKUP(A1104,'[1]Raw data'!$B:$Z,3,FALSE)</f>
        <v>正讯</v>
      </c>
      <c r="S1104" s="647" t="str">
        <f>VLOOKUP(A1104,'[1]Raw data'!$B:$Z,4,FALSE)</f>
        <v>YSM20R-2</v>
      </c>
      <c r="T1104" s="647" t="str">
        <f>VLOOKUP(A1104,'[1]Raw data'!$B:$Z,8,FALSE)</f>
        <v>L-&gt;R</v>
      </c>
      <c r="U1104" s="647" t="str">
        <f>VLOOKUP(A1104,'[1]Raw data'!$B:$Z,9,FALSE)</f>
        <v>No</v>
      </c>
      <c r="V1104" s="567" t="str">
        <f>IF(G1104&amp;H1104=T1104&amp;U1104,"OK","WRONG")</f>
        <v>OK</v>
      </c>
      <c r="W1104" s="563" t="str">
        <f>VLOOKUP(A1104,'[1]Raw data'!$B:$AG,32,FALSE)</f>
        <v>DAP DG</v>
      </c>
      <c r="X1104" s="647">
        <f>VLOOKUP(A1104,'[1]Raw data'!$B:$BA,31,FALSE)</f>
        <v>44456</v>
      </c>
      <c r="Y1104" s="647" t="str">
        <f>VLOOKUP(A1104,'[1]Raw data'!$B:$AS,39,FALSE)</f>
        <v>Yes</v>
      </c>
      <c r="Z1104" s="666"/>
      <c r="AA1104" s="660"/>
      <c r="AB1104" s="661"/>
      <c r="AC1104" s="647" t="s">
        <v>2123</v>
      </c>
      <c r="AD1104" s="662">
        <v>304</v>
      </c>
      <c r="AE1104" s="662">
        <v>20</v>
      </c>
      <c r="AF1104" s="662"/>
      <c r="AG1104" s="662"/>
      <c r="AH1104" s="662"/>
      <c r="AI1104" s="663"/>
      <c r="AN1104" s="542"/>
      <c r="AO1104" s="824" t="str">
        <f t="shared" si="227"/>
        <v>Yes</v>
      </c>
      <c r="AP1104" s="259" t="str">
        <f t="shared" si="228"/>
        <v>APR 22</v>
      </c>
      <c r="AQ1104" s="542" t="str">
        <f t="shared" si="229"/>
        <v>有定金+有預留客戶</v>
      </c>
      <c r="AR1104" s="259" t="str">
        <f t="shared" si="230"/>
        <v>Shipped_Stock</v>
      </c>
      <c r="AS1104" s="259" t="str">
        <f t="shared" si="231"/>
        <v/>
      </c>
      <c r="AT1104" s="259" t="str">
        <f t="shared" si="232"/>
        <v>正讯</v>
      </c>
      <c r="AU1104" s="259" t="str">
        <f t="shared" si="233"/>
        <v>C49SZX20210192SX</v>
      </c>
      <c r="AV1104" s="259" t="str">
        <f t="shared" si="234"/>
        <v>Mar-28</v>
      </c>
    </row>
    <row r="1105" spans="1:48" ht="16.5" hidden="1">
      <c r="A1105" s="599">
        <v>1290</v>
      </c>
      <c r="B1105" s="664" t="s">
        <v>1125</v>
      </c>
      <c r="C1105" s="664" t="s">
        <v>15</v>
      </c>
      <c r="D1105" s="755">
        <v>110767</v>
      </c>
      <c r="E1105" s="756" t="s">
        <v>2124</v>
      </c>
      <c r="F1105" s="647" t="s">
        <v>58</v>
      </c>
      <c r="G1105" s="647" t="s">
        <v>24</v>
      </c>
      <c r="H1105" s="647" t="s">
        <v>26</v>
      </c>
      <c r="I1105" s="575" t="s">
        <v>2125</v>
      </c>
      <c r="J1105" s="575">
        <v>1</v>
      </c>
      <c r="K1105" s="757" t="s">
        <v>2071</v>
      </c>
      <c r="L1105" s="657">
        <v>44648</v>
      </c>
      <c r="M1105" s="665">
        <v>5.3600000000000002E-2</v>
      </c>
      <c r="N1105" s="647" t="s">
        <v>1930</v>
      </c>
      <c r="O1105" s="575">
        <v>2022.3</v>
      </c>
      <c r="P1105" s="665" t="str">
        <f>VLOOKUP(A1105,'[1]Raw data'!$B:$BA,23,FALSE)</f>
        <v>JPY</v>
      </c>
      <c r="Q1105" s="647" t="str">
        <f>VLOOKUP(A1105,'[1]Raw data'!$B:$Z,2,FALSE)</f>
        <v>C49SZX20210092MZ</v>
      </c>
      <c r="R1105" s="647" t="str">
        <f>VLOOKUP(A1105,'[1]Raw data'!$B:$Z,3,FALSE)</f>
        <v>懿美莱</v>
      </c>
      <c r="S1105" s="647" t="str">
        <f>VLOOKUP(A1105,'[1]Raw data'!$B:$Z,4,FALSE)</f>
        <v>YSM20R-2</v>
      </c>
      <c r="T1105" s="647" t="str">
        <f>VLOOKUP(A1105,'[1]Raw data'!$B:$Z,8,FALSE)</f>
        <v>L-&gt;R</v>
      </c>
      <c r="U1105" s="647" t="str">
        <f>VLOOKUP(A1105,'[1]Raw data'!$B:$Z,9,FALSE)</f>
        <v>No</v>
      </c>
      <c r="V1105" s="567" t="str">
        <f>IF(G1105&amp;H1105=T1105&amp;U1105,"OK","WRONG")</f>
        <v>OK</v>
      </c>
      <c r="W1105" s="563" t="str">
        <f>VLOOKUP(A1105,'[1]Raw data'!$B:$AG,32,FALSE)</f>
        <v>DAP SZ</v>
      </c>
      <c r="X1105" s="647">
        <f>VLOOKUP(A1105,'[1]Raw data'!$B:$BA,31,FALSE)</f>
        <v>44285</v>
      </c>
      <c r="Y1105" s="647" t="str">
        <f>VLOOKUP(A1105,'[1]Raw data'!$B:$AS,39,FALSE)</f>
        <v>Yes</v>
      </c>
      <c r="Z1105" s="666"/>
      <c r="AA1105" s="667"/>
      <c r="AB1105" s="668"/>
      <c r="AC1105" s="647" t="s">
        <v>2072</v>
      </c>
      <c r="AD1105" s="575">
        <v>304</v>
      </c>
      <c r="AE1105" s="575">
        <v>20</v>
      </c>
      <c r="AF1105" s="575"/>
      <c r="AG1105" s="575"/>
      <c r="AH1105" s="575"/>
      <c r="AI1105" s="679"/>
      <c r="AJ1105" s="564"/>
      <c r="AK1105" s="564"/>
      <c r="AL1105" s="564"/>
      <c r="AM1105" s="564"/>
      <c r="AN1105" s="614"/>
      <c r="AO1105" s="824" t="str">
        <f t="shared" si="227"/>
        <v>Yes</v>
      </c>
      <c r="AP1105" s="259" t="str">
        <f t="shared" si="228"/>
        <v>APR 22</v>
      </c>
      <c r="AQ1105" s="542" t="str">
        <f t="shared" si="229"/>
        <v>有定金+有預留客戶</v>
      </c>
      <c r="AR1105" s="259" t="str">
        <f t="shared" si="230"/>
        <v>Shipped_Stock</v>
      </c>
      <c r="AS1105" s="259" t="str">
        <f t="shared" si="231"/>
        <v/>
      </c>
      <c r="AT1105" s="259" t="str">
        <f t="shared" si="232"/>
        <v>懿美莱</v>
      </c>
      <c r="AU1105" s="259" t="str">
        <f t="shared" si="233"/>
        <v>C49SZX20210092MZ</v>
      </c>
      <c r="AV1105" s="259" t="str">
        <f t="shared" si="234"/>
        <v>Mar-28</v>
      </c>
    </row>
    <row r="1106" spans="1:48" ht="16.5" hidden="1">
      <c r="A1106" s="599">
        <v>1471</v>
      </c>
      <c r="B1106" s="664" t="s">
        <v>1125</v>
      </c>
      <c r="C1106" s="664" t="s">
        <v>15</v>
      </c>
      <c r="D1106" s="755">
        <v>110767</v>
      </c>
      <c r="E1106" s="756" t="s">
        <v>2124</v>
      </c>
      <c r="F1106" s="647" t="s">
        <v>58</v>
      </c>
      <c r="G1106" s="647" t="s">
        <v>24</v>
      </c>
      <c r="H1106" s="647" t="s">
        <v>26</v>
      </c>
      <c r="I1106" s="575" t="s">
        <v>2126</v>
      </c>
      <c r="J1106" s="575">
        <v>1</v>
      </c>
      <c r="K1106" s="757" t="s">
        <v>2071</v>
      </c>
      <c r="L1106" s="657">
        <v>44648</v>
      </c>
      <c r="M1106" s="665">
        <v>5.3600000000000002E-2</v>
      </c>
      <c r="N1106" s="647" t="s">
        <v>1930</v>
      </c>
      <c r="O1106" s="575">
        <v>2022.3</v>
      </c>
      <c r="P1106" s="665" t="str">
        <f>VLOOKUP(A1106,'[1]Raw data'!$B:$BA,23,FALSE)</f>
        <v>JPY</v>
      </c>
      <c r="Q1106" s="647" t="str">
        <f>VLOOKUP(A1106,'[1]Raw data'!$B:$Z,2,FALSE)</f>
        <v>C49SZX20210187SS</v>
      </c>
      <c r="R1106" s="647" t="str">
        <f>VLOOKUP(A1106,'[1]Raw data'!$B:$Z,3,FALSE)</f>
        <v>盈通恒翼</v>
      </c>
      <c r="S1106" s="647" t="str">
        <f>VLOOKUP(A1106,'[1]Raw data'!$B:$Z,4,FALSE)</f>
        <v>YSM20R-2</v>
      </c>
      <c r="T1106" s="647" t="str">
        <f>VLOOKUP(A1106,'[1]Raw data'!$B:$Z,8,FALSE)</f>
        <v>L-&gt;R</v>
      </c>
      <c r="U1106" s="647" t="str">
        <f>VLOOKUP(A1106,'[1]Raw data'!$B:$Z,9,FALSE)</f>
        <v>No</v>
      </c>
      <c r="V1106" s="567" t="str">
        <f>IF(G1106&amp;H1106=T1106&amp;U1106,"OK","WRONG")</f>
        <v>OK</v>
      </c>
      <c r="W1106" s="563" t="str">
        <f>VLOOKUP(A1106,'[1]Raw data'!$B:$AG,32,FALSE)</f>
        <v>DAP SZ</v>
      </c>
      <c r="X1106" s="647">
        <f>VLOOKUP(A1106,'[1]Raw data'!$B:$BA,31,FALSE)</f>
        <v>44439</v>
      </c>
      <c r="Y1106" s="647" t="str">
        <f>VLOOKUP(A1106,'[1]Raw data'!$B:$AS,39,FALSE)</f>
        <v>Yes</v>
      </c>
      <c r="Z1106" s="666"/>
      <c r="AA1106" s="660"/>
      <c r="AB1106" s="661"/>
      <c r="AC1106" s="647" t="s">
        <v>1377</v>
      </c>
      <c r="AD1106" s="575">
        <v>303</v>
      </c>
      <c r="AE1106" s="575">
        <v>20</v>
      </c>
      <c r="AF1106" s="575"/>
      <c r="AG1106" s="575"/>
      <c r="AH1106" s="575"/>
      <c r="AI1106" s="679"/>
      <c r="AJ1106" s="564"/>
      <c r="AK1106" s="564"/>
      <c r="AL1106" s="564"/>
      <c r="AM1106" s="564"/>
      <c r="AN1106" s="614"/>
      <c r="AO1106" s="824" t="str">
        <f t="shared" si="227"/>
        <v>Yes</v>
      </c>
      <c r="AP1106" s="259" t="str">
        <f t="shared" si="228"/>
        <v>APR 22</v>
      </c>
      <c r="AQ1106" s="542" t="str">
        <f t="shared" si="229"/>
        <v>有定金+有預留客戶</v>
      </c>
      <c r="AR1106" s="259" t="str">
        <f t="shared" si="230"/>
        <v>Shipped_Stock</v>
      </c>
      <c r="AS1106" s="259" t="str">
        <f t="shared" si="231"/>
        <v/>
      </c>
      <c r="AT1106" s="259" t="str">
        <f t="shared" si="232"/>
        <v>盈通恒翼</v>
      </c>
      <c r="AU1106" s="259" t="str">
        <f t="shared" si="233"/>
        <v>C49SZX20210187SS</v>
      </c>
      <c r="AV1106" s="259" t="str">
        <f t="shared" si="234"/>
        <v>Mar-28</v>
      </c>
    </row>
    <row r="1107" spans="1:48" ht="17.25" hidden="1" thickBot="1">
      <c r="A1107" s="599">
        <v>1486</v>
      </c>
      <c r="B1107" s="664" t="s">
        <v>1125</v>
      </c>
      <c r="C1107" s="664" t="s">
        <v>15</v>
      </c>
      <c r="D1107" s="624">
        <v>110768</v>
      </c>
      <c r="E1107" s="756" t="s">
        <v>2127</v>
      </c>
      <c r="F1107" s="647" t="s">
        <v>58</v>
      </c>
      <c r="G1107" s="647" t="s">
        <v>24</v>
      </c>
      <c r="H1107" s="647" t="s">
        <v>26</v>
      </c>
      <c r="I1107" s="575" t="s">
        <v>2128</v>
      </c>
      <c r="J1107" s="575">
        <v>1</v>
      </c>
      <c r="K1107" s="757" t="s">
        <v>2071</v>
      </c>
      <c r="L1107" s="657">
        <v>44648</v>
      </c>
      <c r="M1107" s="665">
        <v>5.3600000000000002E-2</v>
      </c>
      <c r="N1107" s="647" t="s">
        <v>1930</v>
      </c>
      <c r="O1107" s="575">
        <v>2022.3</v>
      </c>
      <c r="P1107" s="665" t="str">
        <f>VLOOKUP(A1107,'[1]Raw data'!$B:$BA,23,FALSE)</f>
        <v>JPY</v>
      </c>
      <c r="Q1107" s="647" t="str">
        <f>VLOOKUP(A1107,'[1]Raw data'!$B:$Z,2,FALSE)</f>
        <v>C49SZX20210180SX</v>
      </c>
      <c r="R1107" s="647" t="str">
        <f>VLOOKUP(A1107,'[1]Raw data'!$B:$Z,3,FALSE)</f>
        <v>恒磊</v>
      </c>
      <c r="S1107" s="647" t="str">
        <f>VLOOKUP(A1107,'[1]Raw data'!$B:$Z,4,FALSE)</f>
        <v>YSM20R-2</v>
      </c>
      <c r="T1107" s="647" t="str">
        <f>VLOOKUP(A1107,'[1]Raw data'!$B:$Z,8,FALSE)</f>
        <v>L-&gt;R</v>
      </c>
      <c r="U1107" s="647" t="str">
        <f>VLOOKUP(A1107,'[1]Raw data'!$B:$Z,9,FALSE)</f>
        <v>No</v>
      </c>
      <c r="V1107" s="567" t="str">
        <f>IF(G1107&amp;H1107=T1107&amp;U1107,"OK","WRONG")</f>
        <v>OK</v>
      </c>
      <c r="W1107" s="563" t="str">
        <f>VLOOKUP(A1107,'[1]Raw data'!$B:$AG,32,FALSE)</f>
        <v>DAP SZ</v>
      </c>
      <c r="X1107" s="647">
        <f>VLOOKUP(A1107,'[1]Raw data'!$B:$BA,31,FALSE)</f>
        <v>44496</v>
      </c>
      <c r="Y1107" s="647" t="str">
        <f>VLOOKUP(A1107,'[1]Raw data'!$B:$AS,39,FALSE)</f>
        <v>Yes</v>
      </c>
      <c r="Z1107" s="666"/>
      <c r="AA1107" s="660"/>
      <c r="AB1107" s="661"/>
      <c r="AC1107" s="647" t="s">
        <v>2129</v>
      </c>
      <c r="AD1107" s="575">
        <v>303</v>
      </c>
      <c r="AE1107" s="575">
        <v>20</v>
      </c>
      <c r="AF1107" s="575"/>
      <c r="AG1107" s="575"/>
      <c r="AH1107" s="575"/>
      <c r="AI1107" s="679"/>
      <c r="AJ1107" s="564"/>
      <c r="AK1107" s="564"/>
      <c r="AL1107" s="564"/>
      <c r="AM1107" s="564"/>
      <c r="AN1107" s="614"/>
      <c r="AO1107" s="824" t="str">
        <f t="shared" si="227"/>
        <v>Yes</v>
      </c>
      <c r="AP1107" s="259" t="str">
        <f t="shared" si="228"/>
        <v>APR 22</v>
      </c>
      <c r="AQ1107" s="542" t="str">
        <f t="shared" si="229"/>
        <v>有定金+有預留客戶</v>
      </c>
      <c r="AR1107" s="259" t="str">
        <f t="shared" si="230"/>
        <v>Shipped_Stock</v>
      </c>
      <c r="AS1107" s="259" t="str">
        <f t="shared" si="231"/>
        <v/>
      </c>
      <c r="AT1107" s="259" t="str">
        <f t="shared" si="232"/>
        <v>恒磊</v>
      </c>
      <c r="AU1107" s="259" t="str">
        <f t="shared" si="233"/>
        <v>C49SZX20210180SX</v>
      </c>
      <c r="AV1107" s="259" t="str">
        <f t="shared" si="234"/>
        <v>Mar-28</v>
      </c>
    </row>
    <row r="1108" spans="1:48" hidden="1">
      <c r="A1108" s="599">
        <v>1569</v>
      </c>
      <c r="B1108" s="664" t="s">
        <v>1125</v>
      </c>
      <c r="C1108" s="664" t="s">
        <v>15</v>
      </c>
      <c r="D1108" s="644" t="s">
        <v>2130</v>
      </c>
      <c r="E1108" s="563" t="s">
        <v>2131</v>
      </c>
      <c r="F1108" s="563" t="s">
        <v>17</v>
      </c>
      <c r="G1108" s="563" t="s">
        <v>18</v>
      </c>
      <c r="H1108" s="563" t="s">
        <v>1919</v>
      </c>
      <c r="I1108" s="564" t="s">
        <v>2132</v>
      </c>
      <c r="J1108" s="564">
        <v>1</v>
      </c>
      <c r="K1108" s="563" t="s">
        <v>1419</v>
      </c>
      <c r="L1108" s="565" t="s">
        <v>2133</v>
      </c>
      <c r="M1108" s="768">
        <v>5.5500000000000001E-2</v>
      </c>
      <c r="N1108" s="647" t="s">
        <v>1930</v>
      </c>
      <c r="O1108" s="575">
        <v>2022.3</v>
      </c>
      <c r="P1108" s="665" t="str">
        <f>VLOOKUP(A1108,'[1]Raw data'!$B:$BA,23,FALSE)</f>
        <v>RMB</v>
      </c>
      <c r="Q1108" s="647" t="str">
        <f>VLOOKUP(A1108,'[1]Raw data'!$B:$Z,2,FALSE)</f>
        <v>C49SZX20220012SX</v>
      </c>
      <c r="R1108" s="647" t="str">
        <f>VLOOKUP(A1108,'[1]Raw data'!$B:$Z,3,FALSE)</f>
        <v>奕东(End user:湖北奕宏)</v>
      </c>
      <c r="S1108" s="647" t="str">
        <f>VLOOKUP(A1108,'[1]Raw data'!$B:$Z,4,FALSE)</f>
        <v>YSM10</v>
      </c>
      <c r="T1108" s="647" t="str">
        <f>VLOOKUP(A1108,'[1]Raw data'!$B:$Z,8,FALSE)</f>
        <v>L-&gt;R</v>
      </c>
      <c r="U1108" s="647" t="str">
        <f>VLOOKUP(A1108,'[1]Raw data'!$B:$Z,9,FALSE)</f>
        <v>MVC（F&amp;R）+大板相机</v>
      </c>
      <c r="V1108" s="567" t="str">
        <f t="shared" ref="V1108" si="235">IF(G1108&amp;H1108=T1108&amp;U1108,"OK","WRONG")</f>
        <v>WRONG</v>
      </c>
      <c r="W1108" s="563" t="str">
        <f>VLOOKUP(A1108,'[1]Raw data'!$B:$AG,32,FALSE)</f>
        <v>DDP HB</v>
      </c>
      <c r="X1108" s="647">
        <f>VLOOKUP(A1108,'[1]Raw data'!$B:$BA,31,FALSE)</f>
        <v>44588</v>
      </c>
      <c r="Y1108" s="647" t="str">
        <f>VLOOKUP(A1108,'[1]Raw data'!$B:$AS,39,FALSE)</f>
        <v>Yes</v>
      </c>
      <c r="Z1108" s="666"/>
      <c r="AA1108" s="660"/>
      <c r="AB1108" s="661"/>
      <c r="AC1108" s="647" t="s">
        <v>2134</v>
      </c>
      <c r="AD1108" s="575">
        <v>302</v>
      </c>
      <c r="AE1108" s="575">
        <v>10</v>
      </c>
      <c r="AF1108" s="575"/>
      <c r="AG1108" s="575"/>
      <c r="AH1108" s="575"/>
      <c r="AI1108" s="679"/>
      <c r="AJ1108" s="564"/>
      <c r="AK1108" s="564"/>
      <c r="AL1108" s="564"/>
      <c r="AM1108" s="564"/>
      <c r="AN1108" s="614"/>
      <c r="AO1108" s="824" t="str">
        <f t="shared" si="227"/>
        <v>Yes</v>
      </c>
      <c r="AP1108" s="259" t="str">
        <f t="shared" si="228"/>
        <v>APR 22</v>
      </c>
      <c r="AQ1108" s="542" t="str">
        <f t="shared" si="229"/>
        <v>有定金+有預留客戶</v>
      </c>
      <c r="AR1108" s="259" t="str">
        <f t="shared" si="230"/>
        <v>Shipped_Stock</v>
      </c>
      <c r="AS1108" s="259" t="str">
        <f t="shared" si="231"/>
        <v/>
      </c>
      <c r="AT1108" s="259" t="str">
        <f t="shared" si="232"/>
        <v>奕东(End user:湖北奕宏)</v>
      </c>
      <c r="AU1108" s="259" t="str">
        <f t="shared" si="233"/>
        <v>C49SZX20220012SX</v>
      </c>
      <c r="AV1108" s="259" t="str">
        <f t="shared" si="234"/>
        <v>2022/4/3深圳盐田港</v>
      </c>
    </row>
    <row r="1109" spans="1:48" hidden="1">
      <c r="A1109" s="599">
        <v>1570</v>
      </c>
      <c r="B1109" s="664" t="s">
        <v>1125</v>
      </c>
      <c r="C1109" s="664" t="s">
        <v>15</v>
      </c>
      <c r="D1109" s="644" t="s">
        <v>2130</v>
      </c>
      <c r="E1109" s="563" t="s">
        <v>2135</v>
      </c>
      <c r="F1109" s="563" t="s">
        <v>17</v>
      </c>
      <c r="G1109" s="563" t="s">
        <v>18</v>
      </c>
      <c r="H1109" s="563" t="s">
        <v>1919</v>
      </c>
      <c r="I1109" s="564" t="s">
        <v>2136</v>
      </c>
      <c r="J1109" s="564">
        <v>1</v>
      </c>
      <c r="K1109" s="563" t="s">
        <v>1419</v>
      </c>
      <c r="L1109" s="565" t="s">
        <v>2133</v>
      </c>
      <c r="M1109" s="768">
        <v>5.5500000000000001E-2</v>
      </c>
      <c r="N1109" s="647" t="s">
        <v>1930</v>
      </c>
      <c r="O1109" s="575">
        <v>2022.3</v>
      </c>
      <c r="P1109" s="665" t="str">
        <f>VLOOKUP(A1109,'[1]Raw data'!$B:$BA,23,FALSE)</f>
        <v>RMB</v>
      </c>
      <c r="Q1109" s="647" t="str">
        <f>VLOOKUP(A1109,'[1]Raw data'!$B:$Z,2,FALSE)</f>
        <v>C49SZX20220012SX</v>
      </c>
      <c r="R1109" s="647" t="str">
        <f>VLOOKUP(A1109,'[1]Raw data'!$B:$Z,3,FALSE)</f>
        <v>奕东(End user:湖北奕宏)</v>
      </c>
      <c r="S1109" s="647" t="str">
        <f>VLOOKUP(A1109,'[1]Raw data'!$B:$Z,4,FALSE)</f>
        <v>YSM10</v>
      </c>
      <c r="T1109" s="647" t="str">
        <f>VLOOKUP(A1109,'[1]Raw data'!$B:$Z,8,FALSE)</f>
        <v>L-&gt;R</v>
      </c>
      <c r="U1109" s="647" t="str">
        <f>VLOOKUP(A1109,'[1]Raw data'!$B:$Z,9,FALSE)</f>
        <v>MVC（F&amp;R）+大板相机</v>
      </c>
      <c r="V1109" s="567" t="str">
        <f t="shared" ref="V1109:V1126" si="236">IF(G1109&amp;H1109=T1109&amp;U1109,"OK","WRONG")</f>
        <v>WRONG</v>
      </c>
      <c r="W1109" s="563" t="str">
        <f>VLOOKUP(A1109,'[1]Raw data'!$B:$AG,32,FALSE)</f>
        <v>DDP HB</v>
      </c>
      <c r="X1109" s="647">
        <f>VLOOKUP(A1109,'[1]Raw data'!$B:$BA,31,FALSE)</f>
        <v>44588</v>
      </c>
      <c r="Y1109" s="647" t="str">
        <f>VLOOKUP(A1109,'[1]Raw data'!$B:$AS,39,FALSE)</f>
        <v>Yes</v>
      </c>
      <c r="Z1109" s="666"/>
      <c r="AA1109" s="660"/>
      <c r="AB1109" s="661"/>
      <c r="AC1109" s="647" t="s">
        <v>2134</v>
      </c>
      <c r="AD1109" s="575">
        <v>302</v>
      </c>
      <c r="AE1109" s="575">
        <v>10</v>
      </c>
      <c r="AF1109" s="575"/>
      <c r="AG1109" s="575"/>
      <c r="AH1109" s="575"/>
      <c r="AI1109" s="679"/>
      <c r="AJ1109" s="564"/>
      <c r="AK1109" s="564"/>
      <c r="AL1109" s="564"/>
      <c r="AM1109" s="564"/>
      <c r="AN1109" s="614"/>
      <c r="AO1109" s="824" t="str">
        <f t="shared" si="227"/>
        <v>Yes</v>
      </c>
      <c r="AP1109" s="259" t="str">
        <f t="shared" si="228"/>
        <v>APR 22</v>
      </c>
      <c r="AQ1109" s="542" t="str">
        <f t="shared" si="229"/>
        <v>有定金+有預留客戶</v>
      </c>
      <c r="AR1109" s="259" t="str">
        <f t="shared" si="230"/>
        <v>Shipped_Stock</v>
      </c>
      <c r="AS1109" s="259" t="str">
        <f t="shared" si="231"/>
        <v/>
      </c>
      <c r="AT1109" s="259" t="str">
        <f t="shared" si="232"/>
        <v>奕东(End user:湖北奕宏)</v>
      </c>
      <c r="AU1109" s="259" t="str">
        <f t="shared" si="233"/>
        <v>C49SZX20220012SX</v>
      </c>
      <c r="AV1109" s="259" t="str">
        <f t="shared" si="234"/>
        <v>2022/4/3深圳盐田港</v>
      </c>
    </row>
    <row r="1110" spans="1:48" hidden="1">
      <c r="A1110" s="599">
        <v>1571</v>
      </c>
      <c r="B1110" s="664" t="s">
        <v>1125</v>
      </c>
      <c r="C1110" s="664" t="s">
        <v>15</v>
      </c>
      <c r="D1110" s="644" t="s">
        <v>2130</v>
      </c>
      <c r="E1110" s="563" t="s">
        <v>2135</v>
      </c>
      <c r="F1110" s="563" t="s">
        <v>17</v>
      </c>
      <c r="G1110" s="563" t="s">
        <v>18</v>
      </c>
      <c r="H1110" s="563" t="s">
        <v>1919</v>
      </c>
      <c r="I1110" s="564" t="s">
        <v>2137</v>
      </c>
      <c r="J1110" s="564">
        <v>1</v>
      </c>
      <c r="K1110" s="563" t="s">
        <v>1419</v>
      </c>
      <c r="L1110" s="565" t="s">
        <v>2133</v>
      </c>
      <c r="M1110" s="768">
        <v>5.5500000000000001E-2</v>
      </c>
      <c r="N1110" s="647" t="s">
        <v>1930</v>
      </c>
      <c r="O1110" s="575">
        <v>2022.3</v>
      </c>
      <c r="P1110" s="665" t="str">
        <f>VLOOKUP(A1110,'[1]Raw data'!$B:$BA,23,FALSE)</f>
        <v>RMB</v>
      </c>
      <c r="Q1110" s="647" t="str">
        <f>VLOOKUP(A1110,'[1]Raw data'!$B:$Z,2,FALSE)</f>
        <v>C49SZX20220012SX</v>
      </c>
      <c r="R1110" s="647" t="str">
        <f>VLOOKUP(A1110,'[1]Raw data'!$B:$Z,3,FALSE)</f>
        <v>奕东(End user:湖北奕宏)</v>
      </c>
      <c r="S1110" s="647" t="str">
        <f>VLOOKUP(A1110,'[1]Raw data'!$B:$Z,4,FALSE)</f>
        <v>YSM10</v>
      </c>
      <c r="T1110" s="647" t="str">
        <f>VLOOKUP(A1110,'[1]Raw data'!$B:$Z,8,FALSE)</f>
        <v>L-&gt;R</v>
      </c>
      <c r="U1110" s="647" t="str">
        <f>VLOOKUP(A1110,'[1]Raw data'!$B:$Z,9,FALSE)</f>
        <v>MVC（F&amp;R）+大板相机</v>
      </c>
      <c r="V1110" s="567" t="str">
        <f t="shared" si="236"/>
        <v>WRONG</v>
      </c>
      <c r="W1110" s="563" t="str">
        <f>VLOOKUP(A1110,'[1]Raw data'!$B:$AG,32,FALSE)</f>
        <v>DDP HB</v>
      </c>
      <c r="X1110" s="647">
        <f>VLOOKUP(A1110,'[1]Raw data'!$B:$BA,31,FALSE)</f>
        <v>44588</v>
      </c>
      <c r="Y1110" s="647" t="str">
        <f>VLOOKUP(A1110,'[1]Raw data'!$B:$AS,39,FALSE)</f>
        <v>Yes</v>
      </c>
      <c r="Z1110" s="666"/>
      <c r="AA1110" s="660"/>
      <c r="AB1110" s="661"/>
      <c r="AC1110" s="647" t="s">
        <v>2134</v>
      </c>
      <c r="AD1110" s="575">
        <v>301</v>
      </c>
      <c r="AE1110" s="575">
        <v>10</v>
      </c>
      <c r="AF1110" s="575"/>
      <c r="AG1110" s="575"/>
      <c r="AH1110" s="575"/>
      <c r="AI1110" s="679"/>
      <c r="AJ1110" s="564"/>
      <c r="AK1110" s="564"/>
      <c r="AL1110" s="564"/>
      <c r="AM1110" s="564"/>
      <c r="AN1110" s="614"/>
      <c r="AO1110" s="824" t="str">
        <f t="shared" si="227"/>
        <v>Yes</v>
      </c>
      <c r="AP1110" s="259" t="str">
        <f t="shared" si="228"/>
        <v>APR 22</v>
      </c>
      <c r="AQ1110" s="542" t="str">
        <f t="shared" si="229"/>
        <v>有定金+有預留客戶</v>
      </c>
      <c r="AR1110" s="259" t="str">
        <f t="shared" si="230"/>
        <v>Shipped_Stock</v>
      </c>
      <c r="AS1110" s="259" t="str">
        <f t="shared" si="231"/>
        <v/>
      </c>
      <c r="AT1110" s="259" t="str">
        <f t="shared" si="232"/>
        <v>奕东(End user:湖北奕宏)</v>
      </c>
      <c r="AU1110" s="259" t="str">
        <f t="shared" si="233"/>
        <v>C49SZX20220012SX</v>
      </c>
      <c r="AV1110" s="259" t="str">
        <f t="shared" si="234"/>
        <v>2022/4/3深圳盐田港</v>
      </c>
    </row>
    <row r="1111" spans="1:48" hidden="1">
      <c r="A1111" s="599">
        <v>1572</v>
      </c>
      <c r="B1111" s="664" t="s">
        <v>1125</v>
      </c>
      <c r="C1111" s="664" t="s">
        <v>15</v>
      </c>
      <c r="D1111" s="644" t="s">
        <v>2130</v>
      </c>
      <c r="E1111" s="563" t="s">
        <v>2135</v>
      </c>
      <c r="F1111" s="563" t="s">
        <v>17</v>
      </c>
      <c r="G1111" s="563" t="s">
        <v>18</v>
      </c>
      <c r="H1111" s="563" t="s">
        <v>1919</v>
      </c>
      <c r="I1111" s="564" t="s">
        <v>2138</v>
      </c>
      <c r="J1111" s="564">
        <v>1</v>
      </c>
      <c r="K1111" s="563" t="s">
        <v>1419</v>
      </c>
      <c r="L1111" s="565" t="s">
        <v>2133</v>
      </c>
      <c r="M1111" s="768">
        <v>5.5500000000000001E-2</v>
      </c>
      <c r="N1111" s="647" t="s">
        <v>1930</v>
      </c>
      <c r="O1111" s="575">
        <v>2022.3</v>
      </c>
      <c r="P1111" s="665" t="str">
        <f>VLOOKUP(A1111,'[1]Raw data'!$B:$BA,23,FALSE)</f>
        <v>RMB</v>
      </c>
      <c r="Q1111" s="647" t="str">
        <f>VLOOKUP(A1111,'[1]Raw data'!$B:$Z,2,FALSE)</f>
        <v>C49SZX20220012SX</v>
      </c>
      <c r="R1111" s="647" t="str">
        <f>VLOOKUP(A1111,'[1]Raw data'!$B:$Z,3,FALSE)</f>
        <v>奕东(End user:湖北奕宏)</v>
      </c>
      <c r="S1111" s="647" t="str">
        <f>VLOOKUP(A1111,'[1]Raw data'!$B:$Z,4,FALSE)</f>
        <v>YSM10</v>
      </c>
      <c r="T1111" s="647" t="str">
        <f>VLOOKUP(A1111,'[1]Raw data'!$B:$Z,8,FALSE)</f>
        <v>R-&gt;L</v>
      </c>
      <c r="U1111" s="647" t="str">
        <f>VLOOKUP(A1111,'[1]Raw data'!$B:$Z,9,FALSE)</f>
        <v>MVC（F&amp;R）+大板相机</v>
      </c>
      <c r="V1111" s="567" t="str">
        <f t="shared" si="236"/>
        <v>WRONG</v>
      </c>
      <c r="W1111" s="563" t="str">
        <f>VLOOKUP(A1111,'[1]Raw data'!$B:$AG,32,FALSE)</f>
        <v>DDP HB</v>
      </c>
      <c r="X1111" s="647">
        <f>VLOOKUP(A1111,'[1]Raw data'!$B:$BA,31,FALSE)</f>
        <v>44588</v>
      </c>
      <c r="Y1111" s="647" t="str">
        <f>VLOOKUP(A1111,'[1]Raw data'!$B:$AS,39,FALSE)</f>
        <v>Yes</v>
      </c>
      <c r="Z1111" s="666"/>
      <c r="AA1111" s="660"/>
      <c r="AB1111" s="661"/>
      <c r="AC1111" s="647" t="s">
        <v>2134</v>
      </c>
      <c r="AD1111" s="575">
        <v>301</v>
      </c>
      <c r="AE1111" s="575">
        <v>10</v>
      </c>
      <c r="AF1111" s="575"/>
      <c r="AG1111" s="575"/>
      <c r="AH1111" s="575"/>
      <c r="AI1111" s="679"/>
      <c r="AJ1111" s="564"/>
      <c r="AK1111" s="564"/>
      <c r="AL1111" s="564"/>
      <c r="AM1111" s="564"/>
      <c r="AN1111" s="614"/>
      <c r="AO1111" s="824" t="str">
        <f t="shared" si="227"/>
        <v>Yes</v>
      </c>
      <c r="AP1111" s="259" t="str">
        <f t="shared" si="228"/>
        <v>APR 22</v>
      </c>
      <c r="AQ1111" s="542" t="str">
        <f t="shared" si="229"/>
        <v>有定金+有預留客戶</v>
      </c>
      <c r="AR1111" s="259" t="str">
        <f t="shared" si="230"/>
        <v>Shipped_Stock</v>
      </c>
      <c r="AS1111" s="259" t="str">
        <f t="shared" si="231"/>
        <v/>
      </c>
      <c r="AT1111" s="259" t="str">
        <f t="shared" si="232"/>
        <v>奕东(End user:湖北奕宏)</v>
      </c>
      <c r="AU1111" s="259" t="str">
        <f t="shared" si="233"/>
        <v>C49SZX20220012SX</v>
      </c>
      <c r="AV1111" s="259" t="str">
        <f t="shared" si="234"/>
        <v>2022/4/3深圳盐田港</v>
      </c>
    </row>
    <row r="1112" spans="1:48" hidden="1">
      <c r="A1112" s="599">
        <v>1573</v>
      </c>
      <c r="B1112" s="664" t="s">
        <v>1125</v>
      </c>
      <c r="C1112" s="664" t="s">
        <v>15</v>
      </c>
      <c r="D1112" s="644" t="s">
        <v>2130</v>
      </c>
      <c r="E1112" s="563" t="s">
        <v>2135</v>
      </c>
      <c r="F1112" s="563" t="s">
        <v>17</v>
      </c>
      <c r="G1112" s="563" t="s">
        <v>18</v>
      </c>
      <c r="H1112" s="563" t="s">
        <v>1919</v>
      </c>
      <c r="I1112" s="564" t="s">
        <v>2139</v>
      </c>
      <c r="J1112" s="564">
        <v>1</v>
      </c>
      <c r="K1112" s="563" t="s">
        <v>1419</v>
      </c>
      <c r="L1112" s="565" t="s">
        <v>2133</v>
      </c>
      <c r="M1112" s="768">
        <v>5.5500000000000001E-2</v>
      </c>
      <c r="N1112" s="647" t="s">
        <v>1930</v>
      </c>
      <c r="O1112" s="575">
        <v>2022.3</v>
      </c>
      <c r="P1112" s="665" t="str">
        <f>VLOOKUP(A1112,'[1]Raw data'!$B:$BA,23,FALSE)</f>
        <v>RMB</v>
      </c>
      <c r="Q1112" s="647" t="str">
        <f>VLOOKUP(A1112,'[1]Raw data'!$B:$Z,2,FALSE)</f>
        <v>C49SZX20220012SX</v>
      </c>
      <c r="R1112" s="647" t="str">
        <f>VLOOKUP(A1112,'[1]Raw data'!$B:$Z,3,FALSE)</f>
        <v>奕东(End user:湖北奕宏)</v>
      </c>
      <c r="S1112" s="647" t="str">
        <f>VLOOKUP(A1112,'[1]Raw data'!$B:$Z,4,FALSE)</f>
        <v>YSM10</v>
      </c>
      <c r="T1112" s="647" t="str">
        <f>VLOOKUP(A1112,'[1]Raw data'!$B:$Z,8,FALSE)</f>
        <v>R-&gt;L</v>
      </c>
      <c r="U1112" s="647" t="str">
        <f>VLOOKUP(A1112,'[1]Raw data'!$B:$Z,9,FALSE)</f>
        <v>MVC（F&amp;R）+大板相机</v>
      </c>
      <c r="V1112" s="567" t="str">
        <f t="shared" si="236"/>
        <v>WRONG</v>
      </c>
      <c r="W1112" s="563" t="str">
        <f>VLOOKUP(A1112,'[1]Raw data'!$B:$AG,32,FALSE)</f>
        <v>DDP HB</v>
      </c>
      <c r="X1112" s="647">
        <f>VLOOKUP(A1112,'[1]Raw data'!$B:$BA,31,FALSE)</f>
        <v>44588</v>
      </c>
      <c r="Y1112" s="647" t="str">
        <f>VLOOKUP(A1112,'[1]Raw data'!$B:$AS,39,FALSE)</f>
        <v>Yes</v>
      </c>
      <c r="Z1112" s="666"/>
      <c r="AA1112" s="660"/>
      <c r="AB1112" s="661"/>
      <c r="AC1112" s="647" t="s">
        <v>2134</v>
      </c>
      <c r="AD1112" s="575">
        <v>311</v>
      </c>
      <c r="AE1112" s="575">
        <v>10</v>
      </c>
      <c r="AF1112" s="575"/>
      <c r="AG1112" s="575"/>
      <c r="AH1112" s="575"/>
      <c r="AI1112" s="679"/>
      <c r="AJ1112" s="564"/>
      <c r="AK1112" s="564"/>
      <c r="AL1112" s="564"/>
      <c r="AM1112" s="564"/>
      <c r="AN1112" s="614"/>
      <c r="AO1112" s="824" t="str">
        <f t="shared" si="227"/>
        <v>Yes</v>
      </c>
      <c r="AP1112" s="259" t="str">
        <f t="shared" si="228"/>
        <v>APR 22</v>
      </c>
      <c r="AQ1112" s="542" t="str">
        <f t="shared" si="229"/>
        <v>有定金+有預留客戶</v>
      </c>
      <c r="AR1112" s="259" t="str">
        <f t="shared" si="230"/>
        <v>Shipped_Stock</v>
      </c>
      <c r="AS1112" s="259" t="str">
        <f t="shared" si="231"/>
        <v/>
      </c>
      <c r="AT1112" s="259" t="str">
        <f t="shared" si="232"/>
        <v>奕东(End user:湖北奕宏)</v>
      </c>
      <c r="AU1112" s="259" t="str">
        <f t="shared" si="233"/>
        <v>C49SZX20220012SX</v>
      </c>
      <c r="AV1112" s="259" t="str">
        <f t="shared" si="234"/>
        <v>2022/4/3深圳盐田港</v>
      </c>
    </row>
    <row r="1113" spans="1:48" hidden="1">
      <c r="A1113" s="599">
        <v>1516</v>
      </c>
      <c r="B1113" s="664" t="s">
        <v>1125</v>
      </c>
      <c r="C1113" s="664" t="s">
        <v>15</v>
      </c>
      <c r="D1113" s="761">
        <v>110764</v>
      </c>
      <c r="E1113" s="756" t="s">
        <v>2140</v>
      </c>
      <c r="F1113" s="647" t="s">
        <v>17</v>
      </c>
      <c r="G1113" s="647" t="s">
        <v>18</v>
      </c>
      <c r="H1113" s="647" t="s">
        <v>34</v>
      </c>
      <c r="I1113" s="575" t="s">
        <v>2141</v>
      </c>
      <c r="J1113" s="575">
        <v>1</v>
      </c>
      <c r="K1113" s="647" t="s">
        <v>85</v>
      </c>
      <c r="L1113" s="657">
        <v>43928</v>
      </c>
      <c r="M1113" s="665" t="s">
        <v>906</v>
      </c>
      <c r="N1113" s="647" t="s">
        <v>1930</v>
      </c>
      <c r="O1113" s="575">
        <v>2022.3</v>
      </c>
      <c r="P1113" s="665" t="str">
        <f>VLOOKUP(A1113,'[1]Raw data'!$B:$BA,23,FALSE)</f>
        <v>JPY</v>
      </c>
      <c r="Q1113" s="647" t="str">
        <f>VLOOKUP(A1113,'[1]Raw data'!$B:$Z,2,FALSE)</f>
        <v>C49SZX20210206MZ</v>
      </c>
      <c r="R1113" s="647" t="str">
        <f>VLOOKUP(A1113,'[1]Raw data'!$B:$Z,3,FALSE)</f>
        <v>魔乐视</v>
      </c>
      <c r="S1113" s="647" t="str">
        <f>VLOOKUP(A1113,'[1]Raw data'!$B:$Z,4,FALSE)</f>
        <v>YSM10</v>
      </c>
      <c r="T1113" s="647" t="str">
        <f>VLOOKUP(A1113,'[1]Raw data'!$B:$Z,8,FALSE)</f>
        <v>L-&gt;R</v>
      </c>
      <c r="U1113" s="647" t="str">
        <f>VLOOKUP(A1113,'[1]Raw data'!$B:$Z,9,FALSE)</f>
        <v>MVC+ATS15</v>
      </c>
      <c r="V1113" s="567" t="str">
        <f>IF(G1113&amp;H1113=T1113&amp;U1113,"OK","WRONG")</f>
        <v>WRONG</v>
      </c>
      <c r="W1113" s="563" t="str">
        <f>VLOOKUP(A1113,'[1]Raw data'!$B:$AG,32,FALSE)</f>
        <v>DAP SZ</v>
      </c>
      <c r="X1113" s="647">
        <f>VLOOKUP(A1113,'[1]Raw data'!$B:$BA,31,FALSE)</f>
        <v>44540</v>
      </c>
      <c r="Y1113" s="647" t="str">
        <f>VLOOKUP(A1113,'[1]Raw data'!$B:$AS,39,FALSE)</f>
        <v>Yes</v>
      </c>
      <c r="Z1113" s="666"/>
      <c r="AA1113" s="660"/>
      <c r="AB1113" s="661"/>
      <c r="AC1113" s="575" t="s">
        <v>1951</v>
      </c>
      <c r="AD1113" s="575">
        <v>302</v>
      </c>
      <c r="AE1113" s="575">
        <v>10</v>
      </c>
      <c r="AF1113" s="575"/>
      <c r="AG1113" s="575"/>
      <c r="AH1113" s="575"/>
      <c r="AI1113" s="679"/>
      <c r="AJ1113" s="564"/>
      <c r="AK1113" s="564"/>
      <c r="AL1113" s="564"/>
      <c r="AM1113" s="564"/>
      <c r="AN1113" s="614"/>
      <c r="AO1113" s="824" t="str">
        <f t="shared" si="227"/>
        <v>Yes</v>
      </c>
      <c r="AP1113" s="259" t="str">
        <f t="shared" si="228"/>
        <v>APR 22</v>
      </c>
      <c r="AQ1113" s="542" t="str">
        <f t="shared" si="229"/>
        <v>有定金+有預留客戶</v>
      </c>
      <c r="AR1113" s="259" t="str">
        <f t="shared" si="230"/>
        <v>Shipped_Stock</v>
      </c>
      <c r="AS1113" s="259" t="str">
        <f t="shared" si="231"/>
        <v/>
      </c>
      <c r="AT1113" s="259" t="str">
        <f t="shared" si="232"/>
        <v>魔乐视</v>
      </c>
      <c r="AU1113" s="259" t="str">
        <f t="shared" si="233"/>
        <v>C49SZX20210206MZ</v>
      </c>
      <c r="AV1113" s="259" t="str">
        <f t="shared" si="234"/>
        <v>Apr-07</v>
      </c>
    </row>
    <row r="1114" spans="1:48" hidden="1">
      <c r="A1114" s="599">
        <v>1576</v>
      </c>
      <c r="B1114" s="664" t="s">
        <v>1125</v>
      </c>
      <c r="C1114" s="664" t="s">
        <v>15</v>
      </c>
      <c r="D1114" s="755">
        <v>110765</v>
      </c>
      <c r="E1114" s="756" t="s">
        <v>2142</v>
      </c>
      <c r="F1114" s="647" t="s">
        <v>17</v>
      </c>
      <c r="G1114" s="647" t="s">
        <v>18</v>
      </c>
      <c r="H1114" s="647" t="s">
        <v>27</v>
      </c>
      <c r="I1114" s="575" t="s">
        <v>2143</v>
      </c>
      <c r="J1114" s="575">
        <v>1</v>
      </c>
      <c r="K1114" s="647" t="s">
        <v>85</v>
      </c>
      <c r="L1114" s="657">
        <v>43928</v>
      </c>
      <c r="M1114" s="665" t="s">
        <v>906</v>
      </c>
      <c r="N1114" s="647" t="s">
        <v>1903</v>
      </c>
      <c r="O1114" s="575">
        <v>2022.3</v>
      </c>
      <c r="P1114" s="665" t="str">
        <f>VLOOKUP(A1114,'[1]Raw data'!$B:$BA,23,FALSE)</f>
        <v>JPY</v>
      </c>
      <c r="Q1114" s="647" t="str">
        <f>VLOOKUP(A1114,'[1]Raw data'!$B:$Z,2,FALSE)</f>
        <v>C49SZX20220015SX</v>
      </c>
      <c r="R1114" s="647" t="str">
        <f>VLOOKUP(A1114,'[1]Raw data'!$B:$Z,3,FALSE)</f>
        <v>普德新星</v>
      </c>
      <c r="S1114" s="647" t="str">
        <f>VLOOKUP(A1114,'[1]Raw data'!$B:$Z,4,FALSE)</f>
        <v>YSM10</v>
      </c>
      <c r="T1114" s="647" t="str">
        <f>VLOOKUP(A1114,'[1]Raw data'!$B:$Z,8,FALSE)</f>
        <v>L-&gt;R</v>
      </c>
      <c r="U1114" s="647" t="str">
        <f>VLOOKUP(A1114,'[1]Raw data'!$B:$Z,9,FALSE)</f>
        <v>MVC</v>
      </c>
      <c r="V1114" s="567" t="str">
        <f>IF(G1114&amp;H1114=T1114&amp;U1114,"OK","WRONG")</f>
        <v>WRONG</v>
      </c>
      <c r="W1114" s="563" t="str">
        <f>VLOOKUP(A1114,'[1]Raw data'!$B:$AG,32,FALSE)</f>
        <v>DAP GX</v>
      </c>
      <c r="X1114" s="647">
        <f>VLOOKUP(A1114,'[1]Raw data'!$B:$BA,31,FALSE)</f>
        <v>44585</v>
      </c>
      <c r="Y1114" s="647" t="str">
        <f>VLOOKUP(A1114,'[1]Raw data'!$B:$AS,39,FALSE)</f>
        <v>Yes</v>
      </c>
      <c r="Z1114" s="659"/>
      <c r="AA1114" s="660"/>
      <c r="AB1114" s="661"/>
      <c r="AC1114" s="647" t="s">
        <v>2144</v>
      </c>
      <c r="AD1114" s="575">
        <v>301</v>
      </c>
      <c r="AE1114" s="575">
        <v>10</v>
      </c>
      <c r="AF1114" s="575"/>
      <c r="AG1114" s="575"/>
      <c r="AH1114" s="575"/>
      <c r="AI1114" s="679"/>
      <c r="AJ1114" s="564"/>
      <c r="AK1114" s="564"/>
      <c r="AL1114" s="564"/>
      <c r="AM1114" s="564"/>
      <c r="AN1114" s="614"/>
      <c r="AO1114" s="824" t="str">
        <f t="shared" si="227"/>
        <v>Yes</v>
      </c>
      <c r="AP1114" s="259" t="str">
        <f t="shared" si="228"/>
        <v>MAY 22</v>
      </c>
      <c r="AQ1114" s="542" t="str">
        <f t="shared" si="229"/>
        <v>有定金+有預留客戶</v>
      </c>
      <c r="AR1114" s="259" t="str">
        <f t="shared" si="230"/>
        <v>Shipped_Stock</v>
      </c>
      <c r="AS1114" s="259" t="str">
        <f t="shared" si="231"/>
        <v/>
      </c>
      <c r="AT1114" s="259" t="str">
        <f t="shared" si="232"/>
        <v>普德新星</v>
      </c>
      <c r="AU1114" s="259" t="str">
        <f t="shared" si="233"/>
        <v>C49SZX20220015SX</v>
      </c>
      <c r="AV1114" s="259" t="str">
        <f t="shared" si="234"/>
        <v>Apr-07</v>
      </c>
    </row>
    <row r="1115" spans="1:48" ht="24.75" hidden="1">
      <c r="A1115" s="559">
        <v>1578</v>
      </c>
      <c r="B1115" s="664" t="s">
        <v>1125</v>
      </c>
      <c r="C1115" s="664" t="s">
        <v>281</v>
      </c>
      <c r="D1115" s="755">
        <v>110812</v>
      </c>
      <c r="E1115" s="562" t="s">
        <v>886</v>
      </c>
      <c r="F1115" s="647" t="s">
        <v>17</v>
      </c>
      <c r="G1115" s="647" t="s">
        <v>18</v>
      </c>
      <c r="H1115" s="647" t="s">
        <v>26</v>
      </c>
      <c r="I1115" s="575" t="s">
        <v>2145</v>
      </c>
      <c r="J1115" s="575">
        <v>1</v>
      </c>
      <c r="K1115" s="647" t="s">
        <v>1419</v>
      </c>
      <c r="L1115" s="657">
        <v>43928</v>
      </c>
      <c r="M1115" s="665" t="s">
        <v>2146</v>
      </c>
      <c r="N1115" s="647" t="s">
        <v>1930</v>
      </c>
      <c r="O1115" s="575">
        <v>2022.3</v>
      </c>
      <c r="P1115" s="665" t="str">
        <f>VLOOKUP(A1115,'[1]Raw data'!$B:$BA,23,FALSE)</f>
        <v>RMB</v>
      </c>
      <c r="Q1115" s="647" t="str">
        <f>VLOOKUP(A1115,'[1]Raw data'!$B:$Z,2,FALSE)</f>
        <v>C49SZX20220011DZ</v>
      </c>
      <c r="R1115" s="647" t="str">
        <f>VLOOKUP(A1115,'[1]Raw data'!$B:$Z,3,FALSE)</f>
        <v>昌大</v>
      </c>
      <c r="S1115" s="647" t="str">
        <f>VLOOKUP(A1115,'[1]Raw data'!$B:$Z,4,FALSE)</f>
        <v>YSM10</v>
      </c>
      <c r="T1115" s="647" t="str">
        <f>VLOOKUP(A1115,'[1]Raw data'!$B:$Z,8,FALSE)</f>
        <v>L-&gt;R</v>
      </c>
      <c r="U1115" s="647" t="str">
        <f>VLOOKUP(A1115,'[1]Raw data'!$B:$Z,9,FALSE)</f>
        <v>No</v>
      </c>
      <c r="V1115" s="567" t="str">
        <f>IF(G1115&amp;H1115=T1115&amp;U1115,"OK","WRONG")</f>
        <v>WRONG</v>
      </c>
      <c r="W1115" s="563" t="str">
        <f>VLOOKUP(A1115,'[1]Raw data'!$B:$AG,32,FALSE)</f>
        <v>DDP JX</v>
      </c>
      <c r="X1115" s="647">
        <f>VLOOKUP(A1115,'[1]Raw data'!$B:$BA,31,FALSE)</f>
        <v>44585</v>
      </c>
      <c r="Y1115" s="647" t="str">
        <f>VLOOKUP(A1115,'[1]Raw data'!$B:$AS,39,FALSE)</f>
        <v>Yes</v>
      </c>
      <c r="Z1115" s="666"/>
      <c r="AA1115" s="667"/>
      <c r="AB1115" s="668"/>
      <c r="AC1115" s="647" t="s">
        <v>2147</v>
      </c>
      <c r="AD1115" s="662">
        <v>301</v>
      </c>
      <c r="AE1115" s="662">
        <v>10</v>
      </c>
      <c r="AF1115" s="662"/>
      <c r="AG1115" s="662"/>
      <c r="AH1115" s="662"/>
      <c r="AI1115" s="663"/>
      <c r="AN1115" s="542"/>
      <c r="AO1115" s="824" t="str">
        <f t="shared" si="227"/>
        <v>Yes</v>
      </c>
      <c r="AP1115" s="259" t="str">
        <f t="shared" si="228"/>
        <v>APR 22</v>
      </c>
      <c r="AQ1115" s="542" t="str">
        <f t="shared" si="229"/>
        <v>有定金+有預留客戶</v>
      </c>
      <c r="AR1115" s="259" t="str">
        <f t="shared" si="230"/>
        <v>Shipped_Stock</v>
      </c>
      <c r="AS1115" s="259" t="str">
        <f t="shared" si="231"/>
        <v/>
      </c>
      <c r="AT1115" s="259" t="str">
        <f t="shared" si="232"/>
        <v>昌大</v>
      </c>
      <c r="AU1115" s="259" t="str">
        <f t="shared" si="233"/>
        <v>C49SZX20220011DZ</v>
      </c>
      <c r="AV1115" s="259" t="str">
        <f t="shared" si="234"/>
        <v>Apr-07</v>
      </c>
    </row>
    <row r="1116" spans="1:48" hidden="1">
      <c r="A1116" s="599">
        <v>1509</v>
      </c>
      <c r="B1116" s="664" t="s">
        <v>1125</v>
      </c>
      <c r="C1116" s="664" t="s">
        <v>281</v>
      </c>
      <c r="D1116" s="755">
        <v>110812</v>
      </c>
      <c r="E1116" s="562" t="s">
        <v>886</v>
      </c>
      <c r="F1116" s="647" t="s">
        <v>17</v>
      </c>
      <c r="G1116" s="647" t="s">
        <v>18</v>
      </c>
      <c r="H1116" s="647" t="s">
        <v>27</v>
      </c>
      <c r="I1116" s="575" t="s">
        <v>2148</v>
      </c>
      <c r="J1116" s="575">
        <v>1</v>
      </c>
      <c r="K1116" s="647" t="s">
        <v>85</v>
      </c>
      <c r="L1116" s="657">
        <v>43928</v>
      </c>
      <c r="M1116" s="665" t="s">
        <v>906</v>
      </c>
      <c r="N1116" s="647" t="s">
        <v>1903</v>
      </c>
      <c r="O1116" s="575">
        <v>2022.3</v>
      </c>
      <c r="P1116" s="665" t="str">
        <f>VLOOKUP(A1116,'[1]Raw data'!$B:$BA,23,FALSE)</f>
        <v>JPY</v>
      </c>
      <c r="Q1116" s="647" t="str">
        <f>VLOOKUP(A1116,'[1]Raw data'!$B:$Z,2,FALSE)</f>
        <v>C49SZX20210207JY</v>
      </c>
      <c r="R1116" s="647" t="str">
        <f>VLOOKUP(A1116,'[1]Raw data'!$B:$Z,3,FALSE)</f>
        <v>海凌科达</v>
      </c>
      <c r="S1116" s="647" t="str">
        <f>VLOOKUP(A1116,'[1]Raw data'!$B:$Z,4,FALSE)</f>
        <v>YSM10</v>
      </c>
      <c r="T1116" s="647" t="str">
        <f>VLOOKUP(A1116,'[1]Raw data'!$B:$Z,8,FALSE)</f>
        <v>R-&gt;L</v>
      </c>
      <c r="U1116" s="647" t="str">
        <f>VLOOKUP(A1116,'[1]Raw data'!$B:$Z,9,FALSE)</f>
        <v>No</v>
      </c>
      <c r="V1116" s="567" t="str">
        <f>IF(G1116&amp;H1116=T1116&amp;U1116,"OK","WRONG")</f>
        <v>WRONG</v>
      </c>
      <c r="W1116" s="563" t="str">
        <f>VLOOKUP(A1116,'[1]Raw data'!$B:$AG,32,FALSE)</f>
        <v>CIF HK</v>
      </c>
      <c r="X1116" s="647">
        <f>VLOOKUP(A1116,'[1]Raw data'!$B:$BA,31,FALSE)</f>
        <v>44530</v>
      </c>
      <c r="Y1116" s="647" t="str">
        <f>VLOOKUP(A1116,'[1]Raw data'!$B:$AS,39,FALSE)</f>
        <v>Yes</v>
      </c>
      <c r="Z1116" s="659"/>
      <c r="AA1116" s="660"/>
      <c r="AB1116" s="661"/>
      <c r="AC1116" s="647" t="s">
        <v>695</v>
      </c>
      <c r="AD1116" s="575">
        <v>301</v>
      </c>
      <c r="AE1116" s="575">
        <v>10</v>
      </c>
      <c r="AF1116" s="575"/>
      <c r="AG1116" s="575"/>
      <c r="AH1116" s="575"/>
      <c r="AI1116" s="679"/>
      <c r="AJ1116" s="564"/>
      <c r="AK1116" s="564"/>
      <c r="AL1116" s="564"/>
      <c r="AM1116" s="564"/>
      <c r="AN1116" s="614"/>
      <c r="AO1116" s="824" t="str">
        <f t="shared" si="227"/>
        <v>Yes</v>
      </c>
      <c r="AP1116" s="259" t="str">
        <f t="shared" si="228"/>
        <v>MAY 22</v>
      </c>
      <c r="AQ1116" s="542" t="str">
        <f t="shared" si="229"/>
        <v>有定金+有預留客戶</v>
      </c>
      <c r="AR1116" s="259" t="str">
        <f t="shared" si="230"/>
        <v>Shipped_Stock</v>
      </c>
      <c r="AS1116" s="259" t="str">
        <f t="shared" si="231"/>
        <v/>
      </c>
      <c r="AT1116" s="259" t="str">
        <f t="shared" si="232"/>
        <v>海凌科达</v>
      </c>
      <c r="AU1116" s="259" t="str">
        <f t="shared" si="233"/>
        <v>C49SZX20210207JY</v>
      </c>
      <c r="AV1116" s="259" t="str">
        <f t="shared" si="234"/>
        <v>Apr-07</v>
      </c>
    </row>
    <row r="1117" spans="1:48" ht="12.75" hidden="1" customHeight="1" thickBot="1">
      <c r="A1117" s="559">
        <v>1596</v>
      </c>
      <c r="B1117" s="664" t="s">
        <v>1125</v>
      </c>
      <c r="C1117" s="664" t="s">
        <v>281</v>
      </c>
      <c r="D1117" s="624">
        <v>110812</v>
      </c>
      <c r="E1117" s="562" t="s">
        <v>886</v>
      </c>
      <c r="F1117" s="647" t="s">
        <v>17</v>
      </c>
      <c r="G1117" s="647" t="s">
        <v>18</v>
      </c>
      <c r="H1117" s="647" t="s">
        <v>26</v>
      </c>
      <c r="I1117" s="575" t="s">
        <v>2149</v>
      </c>
      <c r="J1117" s="575">
        <v>1</v>
      </c>
      <c r="K1117" s="647" t="s">
        <v>78</v>
      </c>
      <c r="L1117" s="657">
        <v>43928</v>
      </c>
      <c r="M1117" s="665" t="s">
        <v>906</v>
      </c>
      <c r="N1117" s="647" t="s">
        <v>1903</v>
      </c>
      <c r="O1117" s="575">
        <v>2022.3</v>
      </c>
      <c r="P1117" s="665" t="str">
        <f>VLOOKUP(A1117,'[1]Raw data'!$B:$BA,23,FALSE)</f>
        <v>JPY</v>
      </c>
      <c r="Q1117" s="647" t="str">
        <f>VLOOKUP(A1117,'[1]Raw data'!$B:$Z,2,FALSE)</f>
        <v>C49SZX20220013DZ</v>
      </c>
      <c r="R1117" s="647" t="str">
        <f>VLOOKUP(A1117,'[1]Raw data'!$B:$Z,3,FALSE)</f>
        <v>朗特</v>
      </c>
      <c r="S1117" s="647" t="str">
        <f>VLOOKUP(A1117,'[1]Raw data'!$B:$Z,4,FALSE)</f>
        <v>YSM10</v>
      </c>
      <c r="T1117" s="647" t="str">
        <f>VLOOKUP(A1117,'[1]Raw data'!$B:$Z,8,FALSE)</f>
        <v>R-&gt;L</v>
      </c>
      <c r="U1117" s="647" t="str">
        <f>VLOOKUP(A1117,'[1]Raw data'!$B:$Z,9,FALSE)</f>
        <v>MVC</v>
      </c>
      <c r="V1117" s="567" t="str">
        <f>IF(G1117&amp;H1117=T1117&amp;U1117,"OK","WRONG")</f>
        <v>WRONG</v>
      </c>
      <c r="W1117" s="563" t="str">
        <f>VLOOKUP(A1117,'[1]Raw data'!$B:$AG,32,FALSE)</f>
        <v>CIF HK</v>
      </c>
      <c r="X1117" s="647">
        <f>VLOOKUP(A1117,'[1]Raw data'!$B:$BA,31,FALSE)</f>
        <v>44614</v>
      </c>
      <c r="Y1117" s="647" t="str">
        <f>VLOOKUP(A1117,'[1]Raw data'!$B:$AS,39,FALSE)</f>
        <v>Yes</v>
      </c>
      <c r="Z1117" s="659"/>
      <c r="AA1117" s="660"/>
      <c r="AB1117" s="661"/>
      <c r="AC1117" s="647" t="s">
        <v>1005</v>
      </c>
      <c r="AD1117" s="662">
        <v>301</v>
      </c>
      <c r="AE1117" s="662">
        <v>10</v>
      </c>
      <c r="AF1117" s="662"/>
      <c r="AG1117" s="662"/>
      <c r="AH1117" s="662"/>
      <c r="AI1117" s="663"/>
      <c r="AN1117" s="542"/>
      <c r="AO1117" s="824" t="str">
        <f t="shared" si="227"/>
        <v>Yes</v>
      </c>
      <c r="AP1117" s="259" t="str">
        <f t="shared" si="228"/>
        <v>MAY 22</v>
      </c>
      <c r="AQ1117" s="542" t="str">
        <f t="shared" si="229"/>
        <v>有定金+有預留客戶</v>
      </c>
      <c r="AR1117" s="259" t="str">
        <f t="shared" si="230"/>
        <v>Shipped_Stock</v>
      </c>
      <c r="AS1117" s="259" t="str">
        <f t="shared" si="231"/>
        <v/>
      </c>
      <c r="AT1117" s="259" t="str">
        <f t="shared" si="232"/>
        <v>朗特</v>
      </c>
      <c r="AU1117" s="259" t="str">
        <f t="shared" si="233"/>
        <v>C49SZX20220013DZ</v>
      </c>
      <c r="AV1117" s="259" t="str">
        <f t="shared" si="234"/>
        <v>Apr-07</v>
      </c>
    </row>
    <row r="1118" spans="1:48" hidden="1">
      <c r="A1118" s="599">
        <v>1574</v>
      </c>
      <c r="B1118" s="664" t="s">
        <v>1125</v>
      </c>
      <c r="C1118" s="664" t="s">
        <v>15</v>
      </c>
      <c r="D1118" s="761">
        <v>110519</v>
      </c>
      <c r="E1118" s="646" t="s">
        <v>2150</v>
      </c>
      <c r="F1118" s="647" t="s">
        <v>58</v>
      </c>
      <c r="G1118" s="647" t="s">
        <v>24</v>
      </c>
      <c r="H1118" s="647" t="s">
        <v>26</v>
      </c>
      <c r="I1118" s="575" t="s">
        <v>2151</v>
      </c>
      <c r="J1118" s="575">
        <v>1</v>
      </c>
      <c r="K1118" s="647" t="s">
        <v>85</v>
      </c>
      <c r="L1118" s="657">
        <v>44662</v>
      </c>
      <c r="M1118" s="665" t="s">
        <v>906</v>
      </c>
      <c r="N1118" s="647" t="s">
        <v>1903</v>
      </c>
      <c r="O1118" s="575">
        <v>2022.3</v>
      </c>
      <c r="P1118" s="665" t="str">
        <f>VLOOKUP(A1118,'[1]Raw data'!$B:$BA,23,FALSE)</f>
        <v>JPY</v>
      </c>
      <c r="Q1118" s="647" t="str">
        <f>VLOOKUP(A1118,'[1]Raw data'!$B:$Z,2,FALSE)</f>
        <v>C49SZX20220015SX</v>
      </c>
      <c r="R1118" s="647" t="str">
        <f>VLOOKUP(A1118,'[1]Raw data'!$B:$Z,3,FALSE)</f>
        <v>普德新星</v>
      </c>
      <c r="S1118" s="647" t="str">
        <f>VLOOKUP(A1118,'[1]Raw data'!$B:$Z,4,FALSE)</f>
        <v>YSM20R-2</v>
      </c>
      <c r="T1118" s="647" t="str">
        <f>VLOOKUP(A1118,'[1]Raw data'!$B:$Z,8,FALSE)</f>
        <v>L-&gt;R</v>
      </c>
      <c r="U1118" s="647" t="str">
        <f>VLOOKUP(A1118,'[1]Raw data'!$B:$Z,9,FALSE)</f>
        <v>No</v>
      </c>
      <c r="V1118" s="567" t="str">
        <f t="shared" ref="V1118:V1120" si="237">IF(G1118&amp;H1118=T1118&amp;U1118,"OK","WRONG")</f>
        <v>OK</v>
      </c>
      <c r="W1118" s="563" t="str">
        <f>VLOOKUP(A1118,'[1]Raw data'!$B:$AG,32,FALSE)</f>
        <v>DAP GX</v>
      </c>
      <c r="X1118" s="647">
        <f>VLOOKUP(A1118,'[1]Raw data'!$B:$BA,31,FALSE)</f>
        <v>44585</v>
      </c>
      <c r="Y1118" s="647" t="str">
        <f>VLOOKUP(A1118,'[1]Raw data'!$B:$AS,39,FALSE)</f>
        <v>Yes</v>
      </c>
      <c r="Z1118" s="659"/>
      <c r="AA1118" s="660"/>
      <c r="AB1118" s="661"/>
      <c r="AC1118" s="647" t="s">
        <v>2144</v>
      </c>
      <c r="AD1118" s="575">
        <v>301</v>
      </c>
      <c r="AE1118" s="575">
        <v>20</v>
      </c>
      <c r="AF1118" s="575"/>
      <c r="AG1118" s="575"/>
      <c r="AH1118" s="575"/>
      <c r="AI1118" s="679"/>
      <c r="AJ1118" s="564"/>
      <c r="AK1118" s="564"/>
      <c r="AL1118" s="564"/>
      <c r="AM1118" s="564"/>
      <c r="AN1118" s="614"/>
      <c r="AO1118" s="824" t="str">
        <f t="shared" si="227"/>
        <v>Yes</v>
      </c>
      <c r="AP1118" s="259" t="str">
        <f t="shared" si="228"/>
        <v>MAY 22</v>
      </c>
      <c r="AQ1118" s="542" t="str">
        <f t="shared" si="229"/>
        <v>有定金+有預留客戶</v>
      </c>
      <c r="AR1118" s="259" t="str">
        <f t="shared" si="230"/>
        <v>Shipped_Stock</v>
      </c>
      <c r="AS1118" s="259" t="str">
        <f t="shared" si="231"/>
        <v/>
      </c>
      <c r="AT1118" s="259" t="str">
        <f t="shared" si="232"/>
        <v>普德新星</v>
      </c>
      <c r="AU1118" s="259" t="str">
        <f t="shared" si="233"/>
        <v>C49SZX20220015SX</v>
      </c>
      <c r="AV1118" s="259" t="str">
        <f t="shared" si="234"/>
        <v>Apr-11</v>
      </c>
    </row>
    <row r="1119" spans="1:48" hidden="1">
      <c r="A1119" s="599">
        <v>1575</v>
      </c>
      <c r="B1119" s="664" t="s">
        <v>1125</v>
      </c>
      <c r="C1119" s="664" t="s">
        <v>15</v>
      </c>
      <c r="D1119" s="755">
        <v>110519</v>
      </c>
      <c r="E1119" s="646" t="s">
        <v>2150</v>
      </c>
      <c r="F1119" s="647" t="s">
        <v>58</v>
      </c>
      <c r="G1119" s="647" t="s">
        <v>24</v>
      </c>
      <c r="H1119" s="647" t="s">
        <v>26</v>
      </c>
      <c r="I1119" s="575" t="s">
        <v>2152</v>
      </c>
      <c r="J1119" s="575">
        <v>1</v>
      </c>
      <c r="K1119" s="647" t="s">
        <v>85</v>
      </c>
      <c r="L1119" s="657">
        <v>44662</v>
      </c>
      <c r="M1119" s="665" t="s">
        <v>906</v>
      </c>
      <c r="N1119" s="647" t="s">
        <v>1903</v>
      </c>
      <c r="O1119" s="575">
        <v>2022.3</v>
      </c>
      <c r="P1119" s="665" t="str">
        <f>VLOOKUP(A1119,'[1]Raw data'!$B:$BA,23,FALSE)</f>
        <v>JPY</v>
      </c>
      <c r="Q1119" s="647" t="str">
        <f>VLOOKUP(A1119,'[1]Raw data'!$B:$Z,2,FALSE)</f>
        <v>C49SZX20220015SX</v>
      </c>
      <c r="R1119" s="647" t="str">
        <f>VLOOKUP(A1119,'[1]Raw data'!$B:$Z,3,FALSE)</f>
        <v>普德新星</v>
      </c>
      <c r="S1119" s="647" t="str">
        <f>VLOOKUP(A1119,'[1]Raw data'!$B:$Z,4,FALSE)</f>
        <v>YSM20R-2</v>
      </c>
      <c r="T1119" s="647" t="str">
        <f>VLOOKUP(A1119,'[1]Raw data'!$B:$Z,8,FALSE)</f>
        <v>L-&gt;R</v>
      </c>
      <c r="U1119" s="647" t="str">
        <f>VLOOKUP(A1119,'[1]Raw data'!$B:$Z,9,FALSE)</f>
        <v>No</v>
      </c>
      <c r="V1119" s="567" t="str">
        <f t="shared" si="237"/>
        <v>OK</v>
      </c>
      <c r="W1119" s="563" t="str">
        <f>VLOOKUP(A1119,'[1]Raw data'!$B:$AG,32,FALSE)</f>
        <v>DAP GX</v>
      </c>
      <c r="X1119" s="647">
        <f>VLOOKUP(A1119,'[1]Raw data'!$B:$BA,31,FALSE)</f>
        <v>44585</v>
      </c>
      <c r="Y1119" s="647" t="str">
        <f>VLOOKUP(A1119,'[1]Raw data'!$B:$AS,39,FALSE)</f>
        <v>Yes</v>
      </c>
      <c r="Z1119" s="659"/>
      <c r="AA1119" s="660"/>
      <c r="AB1119" s="661"/>
      <c r="AC1119" s="647" t="s">
        <v>2144</v>
      </c>
      <c r="AD1119" s="575">
        <v>301</v>
      </c>
      <c r="AE1119" s="575">
        <v>10</v>
      </c>
      <c r="AF1119" s="575">
        <v>302</v>
      </c>
      <c r="AG1119" s="575">
        <v>10</v>
      </c>
      <c r="AH1119" s="575"/>
      <c r="AI1119" s="679"/>
      <c r="AJ1119" s="564"/>
      <c r="AK1119" s="564"/>
      <c r="AL1119" s="564"/>
      <c r="AM1119" s="564"/>
      <c r="AN1119" s="614"/>
      <c r="AO1119" s="824" t="str">
        <f t="shared" si="227"/>
        <v>Yes</v>
      </c>
      <c r="AP1119" s="259" t="str">
        <f t="shared" si="228"/>
        <v>MAY 22</v>
      </c>
      <c r="AQ1119" s="542" t="str">
        <f t="shared" si="229"/>
        <v>有定金+有預留客戶</v>
      </c>
      <c r="AR1119" s="259" t="str">
        <f t="shared" si="230"/>
        <v>Shipped_Stock</v>
      </c>
      <c r="AS1119" s="259" t="str">
        <f t="shared" si="231"/>
        <v/>
      </c>
      <c r="AT1119" s="259" t="str">
        <f t="shared" si="232"/>
        <v>普德新星</v>
      </c>
      <c r="AU1119" s="259" t="str">
        <f t="shared" si="233"/>
        <v>C49SZX20220015SX</v>
      </c>
      <c r="AV1119" s="259" t="str">
        <f t="shared" si="234"/>
        <v>Apr-11</v>
      </c>
    </row>
    <row r="1120" spans="1:48" ht="13.5" hidden="1" thickBot="1">
      <c r="A1120" s="599">
        <v>1577</v>
      </c>
      <c r="B1120" s="664" t="s">
        <v>1125</v>
      </c>
      <c r="C1120" s="560" t="s">
        <v>15</v>
      </c>
      <c r="D1120" s="624">
        <v>110519</v>
      </c>
      <c r="E1120" s="562" t="s">
        <v>2150</v>
      </c>
      <c r="F1120" s="563" t="s">
        <v>17</v>
      </c>
      <c r="G1120" s="563" t="s">
        <v>24</v>
      </c>
      <c r="H1120" s="563" t="s">
        <v>27</v>
      </c>
      <c r="I1120" s="564" t="s">
        <v>2153</v>
      </c>
      <c r="J1120" s="564">
        <v>1</v>
      </c>
      <c r="K1120" s="647" t="s">
        <v>85</v>
      </c>
      <c r="L1120" s="657">
        <v>44662</v>
      </c>
      <c r="M1120" s="665" t="s">
        <v>906</v>
      </c>
      <c r="N1120" s="647" t="s">
        <v>1903</v>
      </c>
      <c r="O1120" s="575">
        <v>2022.2</v>
      </c>
      <c r="P1120" s="665" t="str">
        <f>VLOOKUP(A1120,'[1]Raw data'!$B:$BA,23,FALSE)</f>
        <v>JPY</v>
      </c>
      <c r="Q1120" s="647" t="str">
        <f>VLOOKUP(A1120,'[1]Raw data'!$B:$Z,2,FALSE)</f>
        <v>C49SZX20220015SX</v>
      </c>
      <c r="R1120" s="647" t="str">
        <f>VLOOKUP(A1120,'[1]Raw data'!$B:$Z,3,FALSE)</f>
        <v>普德新星</v>
      </c>
      <c r="S1120" s="647" t="str">
        <f>VLOOKUP(A1120,'[1]Raw data'!$B:$Z,4,FALSE)</f>
        <v>YSM10</v>
      </c>
      <c r="T1120" s="647" t="str">
        <f>VLOOKUP(A1120,'[1]Raw data'!$B:$Z,8,FALSE)</f>
        <v>L-&gt;R</v>
      </c>
      <c r="U1120" s="647" t="str">
        <f>VLOOKUP(A1120,'[1]Raw data'!$B:$Z,9,FALSE)</f>
        <v>MVC</v>
      </c>
      <c r="V1120" s="567" t="str">
        <f t="shared" si="237"/>
        <v>OK</v>
      </c>
      <c r="W1120" s="563" t="str">
        <f>VLOOKUP(A1120,'[1]Raw data'!$B:$AG,32,FALSE)</f>
        <v>DAP GX</v>
      </c>
      <c r="X1120" s="647">
        <f>VLOOKUP(A1120,'[1]Raw data'!$B:$BA,31,FALSE)</f>
        <v>44585</v>
      </c>
      <c r="Y1120" s="647" t="str">
        <f>VLOOKUP(A1120,'[1]Raw data'!$B:$AS,39,FALSE)</f>
        <v>Yes</v>
      </c>
      <c r="Z1120" s="659"/>
      <c r="AA1120" s="660"/>
      <c r="AB1120" s="661"/>
      <c r="AC1120" s="647" t="s">
        <v>2144</v>
      </c>
      <c r="AD1120" s="575">
        <v>302</v>
      </c>
      <c r="AE1120" s="575">
        <v>10</v>
      </c>
      <c r="AF1120" s="575"/>
      <c r="AG1120" s="575"/>
      <c r="AH1120" s="575"/>
      <c r="AI1120" s="679"/>
      <c r="AJ1120" s="564"/>
      <c r="AK1120" s="564"/>
      <c r="AL1120" s="564"/>
      <c r="AM1120" s="564"/>
      <c r="AN1120" s="614"/>
      <c r="AO1120" s="824" t="str">
        <f t="shared" si="227"/>
        <v>Yes</v>
      </c>
      <c r="AP1120" s="259" t="str">
        <f t="shared" si="228"/>
        <v>MAY 22</v>
      </c>
      <c r="AQ1120" s="542" t="str">
        <f t="shared" si="229"/>
        <v>有定金+有預留客戶</v>
      </c>
      <c r="AR1120" s="259" t="str">
        <f t="shared" si="230"/>
        <v>Shipped_Stock</v>
      </c>
      <c r="AS1120" s="259" t="str">
        <f t="shared" si="231"/>
        <v/>
      </c>
      <c r="AT1120" s="259" t="str">
        <f t="shared" si="232"/>
        <v>普德新星</v>
      </c>
      <c r="AU1120" s="259" t="str">
        <f t="shared" si="233"/>
        <v>C49SZX20220015SX</v>
      </c>
      <c r="AV1120" s="259" t="str">
        <f t="shared" si="234"/>
        <v>Apr-11</v>
      </c>
    </row>
    <row r="1121" spans="1:48" hidden="1">
      <c r="A1121" s="599">
        <v>1548</v>
      </c>
      <c r="B1121" s="664" t="s">
        <v>1125</v>
      </c>
      <c r="C1121" s="664" t="s">
        <v>15</v>
      </c>
      <c r="D1121" s="761">
        <v>110803</v>
      </c>
      <c r="E1121" s="744" t="s">
        <v>2154</v>
      </c>
      <c r="F1121" s="647" t="s">
        <v>153</v>
      </c>
      <c r="G1121" s="647" t="s">
        <v>24</v>
      </c>
      <c r="H1121" s="647" t="s">
        <v>26</v>
      </c>
      <c r="I1121" s="575" t="s">
        <v>2155</v>
      </c>
      <c r="J1121" s="575">
        <v>1</v>
      </c>
      <c r="K1121" s="647" t="s">
        <v>2156</v>
      </c>
      <c r="L1121" s="565">
        <v>44664</v>
      </c>
      <c r="M1121" s="665" t="s">
        <v>906</v>
      </c>
      <c r="N1121" s="647" t="s">
        <v>1930</v>
      </c>
      <c r="O1121" s="575">
        <v>2022.3</v>
      </c>
      <c r="P1121" s="665" t="str">
        <f>VLOOKUP(A1121,'[1]Raw data'!$B:$BA,23,FALSE)</f>
        <v>JPY</v>
      </c>
      <c r="Q1121" s="647" t="str">
        <f>VLOOKUP(A1121,'[1]Raw data'!$B:$Z,2,FALSE)</f>
        <v>C49SZX20220006SX</v>
      </c>
      <c r="R1121" s="647" t="str">
        <f>VLOOKUP(A1121,'[1]Raw data'!$B:$Z,3,FALSE)</f>
        <v>微观</v>
      </c>
      <c r="S1121" s="647" t="str">
        <f>VLOOKUP(A1121,'[1]Raw data'!$B:$Z,4,FALSE)</f>
        <v>SIGMA G5S2</v>
      </c>
      <c r="T1121" s="647" t="str">
        <f>VLOOKUP(A1121,'[1]Raw data'!$B:$Z,8,FALSE)</f>
        <v>L-&gt;R</v>
      </c>
      <c r="U1121" s="647" t="str">
        <f>VLOOKUP(A1121,'[1]Raw data'!$B:$Z,9,FALSE)</f>
        <v>No</v>
      </c>
      <c r="V1121" s="567" t="str">
        <f t="shared" si="236"/>
        <v>OK</v>
      </c>
      <c r="W1121" s="563" t="str">
        <f>VLOOKUP(A1121,'[1]Raw data'!$B:$AG,32,FALSE)</f>
        <v>DAP ZS</v>
      </c>
      <c r="X1121" s="647">
        <f>VLOOKUP(A1121,'[1]Raw data'!$B:$BA,31,FALSE)</f>
        <v>44575</v>
      </c>
      <c r="Y1121" s="647" t="str">
        <f>VLOOKUP(A1121,'[1]Raw data'!$B:$AS,39,FALSE)</f>
        <v>Yes</v>
      </c>
      <c r="Z1121" s="666"/>
      <c r="AA1121" s="660"/>
      <c r="AB1121" s="661"/>
      <c r="AC1121" s="647" t="s">
        <v>1951</v>
      </c>
      <c r="AD1121" s="575"/>
      <c r="AE1121" s="575"/>
      <c r="AF1121" s="575"/>
      <c r="AG1121" s="575"/>
      <c r="AH1121" s="575"/>
      <c r="AI1121" s="679"/>
      <c r="AJ1121" s="564"/>
      <c r="AK1121" s="564"/>
      <c r="AL1121" s="564"/>
      <c r="AM1121" s="564"/>
      <c r="AN1121" s="614"/>
      <c r="AO1121" s="824" t="str">
        <f t="shared" si="227"/>
        <v>Yes</v>
      </c>
      <c r="AP1121" s="259" t="str">
        <f t="shared" si="228"/>
        <v>APR 22</v>
      </c>
      <c r="AQ1121" s="542" t="str">
        <f t="shared" si="229"/>
        <v>有定金+有預留客戶</v>
      </c>
      <c r="AR1121" s="259" t="str">
        <f t="shared" si="230"/>
        <v>Shipped_Stock</v>
      </c>
      <c r="AS1121" s="259" t="str">
        <f t="shared" si="231"/>
        <v/>
      </c>
      <c r="AT1121" s="259" t="str">
        <f t="shared" si="232"/>
        <v>微观</v>
      </c>
      <c r="AU1121" s="259" t="str">
        <f t="shared" si="233"/>
        <v>C49SZX20220006SX</v>
      </c>
      <c r="AV1121" s="259" t="str">
        <f t="shared" si="234"/>
        <v>Apr-13</v>
      </c>
    </row>
    <row r="1122" spans="1:48" hidden="1">
      <c r="A1122" s="599">
        <v>1549</v>
      </c>
      <c r="B1122" s="664" t="s">
        <v>1125</v>
      </c>
      <c r="C1122" s="664" t="s">
        <v>15</v>
      </c>
      <c r="D1122" s="755">
        <v>110803</v>
      </c>
      <c r="E1122" s="744" t="s">
        <v>2154</v>
      </c>
      <c r="F1122" s="647" t="s">
        <v>153</v>
      </c>
      <c r="G1122" s="647" t="s">
        <v>24</v>
      </c>
      <c r="H1122" s="647" t="s">
        <v>307</v>
      </c>
      <c r="I1122" s="575" t="s">
        <v>2157</v>
      </c>
      <c r="J1122" s="575">
        <v>1</v>
      </c>
      <c r="K1122" s="647" t="s">
        <v>2156</v>
      </c>
      <c r="L1122" s="565">
        <v>44664</v>
      </c>
      <c r="M1122" s="665" t="s">
        <v>906</v>
      </c>
      <c r="N1122" s="647" t="s">
        <v>1930</v>
      </c>
      <c r="O1122" s="575">
        <v>2022.3</v>
      </c>
      <c r="P1122" s="665" t="str">
        <f>VLOOKUP(A1122,'[1]Raw data'!$B:$BA,23,FALSE)</f>
        <v>JPY</v>
      </c>
      <c r="Q1122" s="647" t="str">
        <f>VLOOKUP(A1122,'[1]Raw data'!$B:$Z,2,FALSE)</f>
        <v>C49SZX20220006SX</v>
      </c>
      <c r="R1122" s="647" t="str">
        <f>VLOOKUP(A1122,'[1]Raw data'!$B:$Z,3,FALSE)</f>
        <v>微观</v>
      </c>
      <c r="S1122" s="647" t="str">
        <f>VLOOKUP(A1122,'[1]Raw data'!$B:$Z,4,FALSE)</f>
        <v>SIGMA G5S2</v>
      </c>
      <c r="T1122" s="647" t="str">
        <f>VLOOKUP(A1122,'[1]Raw data'!$B:$Z,8,FALSE)</f>
        <v>L-&gt;R</v>
      </c>
      <c r="U1122" s="647" t="str">
        <f>VLOOKUP(A1122,'[1]Raw data'!$B:$Z,9,FALSE)</f>
        <v>No</v>
      </c>
      <c r="V1122" s="567" t="str">
        <f t="shared" si="236"/>
        <v>OK</v>
      </c>
      <c r="W1122" s="563" t="str">
        <f>VLOOKUP(A1122,'[1]Raw data'!$B:$AG,32,FALSE)</f>
        <v>DAP ZS</v>
      </c>
      <c r="X1122" s="647">
        <f>VLOOKUP(A1122,'[1]Raw data'!$B:$BA,31,FALSE)</f>
        <v>44575</v>
      </c>
      <c r="Y1122" s="647" t="str">
        <f>VLOOKUP(A1122,'[1]Raw data'!$B:$AS,39,FALSE)</f>
        <v>Yes</v>
      </c>
      <c r="Z1122" s="666"/>
      <c r="AA1122" s="660"/>
      <c r="AB1122" s="661"/>
      <c r="AC1122" s="647" t="s">
        <v>1951</v>
      </c>
      <c r="AD1122" s="575"/>
      <c r="AE1122" s="575"/>
      <c r="AF1122" s="575"/>
      <c r="AG1122" s="575"/>
      <c r="AH1122" s="575"/>
      <c r="AI1122" s="679"/>
      <c r="AJ1122" s="564"/>
      <c r="AK1122" s="564"/>
      <c r="AL1122" s="564"/>
      <c r="AM1122" s="564"/>
      <c r="AN1122" s="614"/>
      <c r="AO1122" s="824" t="str">
        <f t="shared" si="227"/>
        <v>Yes</v>
      </c>
      <c r="AP1122" s="259" t="str">
        <f t="shared" si="228"/>
        <v>APR 22</v>
      </c>
      <c r="AQ1122" s="542" t="str">
        <f t="shared" si="229"/>
        <v>有定金+有預留客戶</v>
      </c>
      <c r="AR1122" s="259" t="str">
        <f t="shared" si="230"/>
        <v>Shipped_Stock</v>
      </c>
      <c r="AS1122" s="259" t="str">
        <f t="shared" si="231"/>
        <v/>
      </c>
      <c r="AT1122" s="259" t="str">
        <f t="shared" si="232"/>
        <v>微观</v>
      </c>
      <c r="AU1122" s="259" t="str">
        <f t="shared" si="233"/>
        <v>C49SZX20220006SX</v>
      </c>
      <c r="AV1122" s="259" t="str">
        <f t="shared" si="234"/>
        <v>Apr-13</v>
      </c>
    </row>
    <row r="1123" spans="1:48" hidden="1">
      <c r="A1123" s="599">
        <v>1550</v>
      </c>
      <c r="B1123" s="664" t="s">
        <v>1125</v>
      </c>
      <c r="C1123" s="664" t="s">
        <v>15</v>
      </c>
      <c r="D1123" s="755">
        <v>110803</v>
      </c>
      <c r="E1123" s="744" t="s">
        <v>2154</v>
      </c>
      <c r="F1123" s="647" t="s">
        <v>153</v>
      </c>
      <c r="G1123" s="647" t="s">
        <v>24</v>
      </c>
      <c r="H1123" s="647" t="s">
        <v>26</v>
      </c>
      <c r="I1123" s="575" t="s">
        <v>2158</v>
      </c>
      <c r="J1123" s="575">
        <v>1</v>
      </c>
      <c r="K1123" s="647" t="s">
        <v>2156</v>
      </c>
      <c r="L1123" s="565">
        <v>44664</v>
      </c>
      <c r="M1123" s="665" t="s">
        <v>906</v>
      </c>
      <c r="N1123" s="647" t="s">
        <v>1930</v>
      </c>
      <c r="O1123" s="575">
        <v>2022.3</v>
      </c>
      <c r="P1123" s="665" t="str">
        <f>VLOOKUP(A1123,'[1]Raw data'!$B:$BA,23,FALSE)</f>
        <v>JPY</v>
      </c>
      <c r="Q1123" s="647" t="str">
        <f>VLOOKUP(A1123,'[1]Raw data'!$B:$Z,2,FALSE)</f>
        <v>C49SZX20220006SX</v>
      </c>
      <c r="R1123" s="647" t="str">
        <f>VLOOKUP(A1123,'[1]Raw data'!$B:$Z,3,FALSE)</f>
        <v>微观</v>
      </c>
      <c r="S1123" s="647" t="str">
        <f>VLOOKUP(A1123,'[1]Raw data'!$B:$Z,4,FALSE)</f>
        <v>SIGMA G5S2</v>
      </c>
      <c r="T1123" s="647" t="str">
        <f>VLOOKUP(A1123,'[1]Raw data'!$B:$Z,8,FALSE)</f>
        <v>L-&gt;R</v>
      </c>
      <c r="U1123" s="647" t="str">
        <f>VLOOKUP(A1123,'[1]Raw data'!$B:$Z,9,FALSE)</f>
        <v>No</v>
      </c>
      <c r="V1123" s="567" t="str">
        <f t="shared" si="236"/>
        <v>OK</v>
      </c>
      <c r="W1123" s="563" t="str">
        <f>VLOOKUP(A1123,'[1]Raw data'!$B:$AG,32,FALSE)</f>
        <v>DAP ZS</v>
      </c>
      <c r="X1123" s="647">
        <f>VLOOKUP(A1123,'[1]Raw data'!$B:$BA,31,FALSE)</f>
        <v>44575</v>
      </c>
      <c r="Y1123" s="647" t="str">
        <f>VLOOKUP(A1123,'[1]Raw data'!$B:$AS,39,FALSE)</f>
        <v>Yes</v>
      </c>
      <c r="Z1123" s="666"/>
      <c r="AA1123" s="660"/>
      <c r="AB1123" s="661"/>
      <c r="AC1123" s="647" t="s">
        <v>1951</v>
      </c>
      <c r="AD1123" s="575"/>
      <c r="AE1123" s="575"/>
      <c r="AF1123" s="575"/>
      <c r="AG1123" s="575"/>
      <c r="AH1123" s="575"/>
      <c r="AI1123" s="679"/>
      <c r="AJ1123" s="564"/>
      <c r="AK1123" s="564"/>
      <c r="AL1123" s="564"/>
      <c r="AM1123" s="564"/>
      <c r="AN1123" s="614"/>
      <c r="AO1123" s="824" t="str">
        <f t="shared" si="227"/>
        <v>Yes</v>
      </c>
      <c r="AP1123" s="259" t="str">
        <f t="shared" si="228"/>
        <v>APR 22</v>
      </c>
      <c r="AQ1123" s="542" t="str">
        <f t="shared" si="229"/>
        <v>有定金+有預留客戶</v>
      </c>
      <c r="AR1123" s="259" t="str">
        <f t="shared" si="230"/>
        <v>Shipped_Stock</v>
      </c>
      <c r="AS1123" s="259" t="str">
        <f t="shared" si="231"/>
        <v/>
      </c>
      <c r="AT1123" s="259" t="str">
        <f t="shared" si="232"/>
        <v>微观</v>
      </c>
      <c r="AU1123" s="259" t="str">
        <f t="shared" si="233"/>
        <v>C49SZX20220006SX</v>
      </c>
      <c r="AV1123" s="259" t="str">
        <f t="shared" si="234"/>
        <v>Apr-13</v>
      </c>
    </row>
    <row r="1124" spans="1:48" hidden="1">
      <c r="A1124" s="599">
        <v>1551</v>
      </c>
      <c r="B1124" s="664" t="s">
        <v>1125</v>
      </c>
      <c r="C1124" s="664" t="s">
        <v>15</v>
      </c>
      <c r="D1124" s="755">
        <v>110803</v>
      </c>
      <c r="E1124" s="744" t="s">
        <v>2154</v>
      </c>
      <c r="F1124" s="647" t="s">
        <v>153</v>
      </c>
      <c r="G1124" s="647" t="s">
        <v>24</v>
      </c>
      <c r="H1124" s="647" t="s">
        <v>26</v>
      </c>
      <c r="I1124" s="575" t="s">
        <v>2159</v>
      </c>
      <c r="J1124" s="575">
        <v>1</v>
      </c>
      <c r="K1124" s="647" t="s">
        <v>2156</v>
      </c>
      <c r="L1124" s="565">
        <v>44664</v>
      </c>
      <c r="M1124" s="665" t="s">
        <v>906</v>
      </c>
      <c r="N1124" s="647" t="s">
        <v>1930</v>
      </c>
      <c r="O1124" s="575">
        <v>2022.3</v>
      </c>
      <c r="P1124" s="665" t="str">
        <f>VLOOKUP(A1124,'[1]Raw data'!$B:$BA,23,FALSE)</f>
        <v>JPY</v>
      </c>
      <c r="Q1124" s="647" t="str">
        <f>VLOOKUP(A1124,'[1]Raw data'!$B:$Z,2,FALSE)</f>
        <v>C49SZX20220006SX</v>
      </c>
      <c r="R1124" s="647" t="str">
        <f>VLOOKUP(A1124,'[1]Raw data'!$B:$Z,3,FALSE)</f>
        <v>微观</v>
      </c>
      <c r="S1124" s="647" t="str">
        <f>VLOOKUP(A1124,'[1]Raw data'!$B:$Z,4,FALSE)</f>
        <v>SIGMA G5S2</v>
      </c>
      <c r="T1124" s="647" t="str">
        <f>VLOOKUP(A1124,'[1]Raw data'!$B:$Z,8,FALSE)</f>
        <v>L-&gt;R</v>
      </c>
      <c r="U1124" s="647" t="str">
        <f>VLOOKUP(A1124,'[1]Raw data'!$B:$Z,9,FALSE)</f>
        <v>No</v>
      </c>
      <c r="V1124" s="567" t="str">
        <f t="shared" si="236"/>
        <v>OK</v>
      </c>
      <c r="W1124" s="563" t="str">
        <f>VLOOKUP(A1124,'[1]Raw data'!$B:$AG,32,FALSE)</f>
        <v>DAP ZS</v>
      </c>
      <c r="X1124" s="647">
        <f>VLOOKUP(A1124,'[1]Raw data'!$B:$BA,31,FALSE)</f>
        <v>44575</v>
      </c>
      <c r="Y1124" s="647" t="str">
        <f>VLOOKUP(A1124,'[1]Raw data'!$B:$AS,39,FALSE)</f>
        <v>Yes</v>
      </c>
      <c r="Z1124" s="666"/>
      <c r="AA1124" s="660"/>
      <c r="AB1124" s="661"/>
      <c r="AC1124" s="647" t="s">
        <v>1951</v>
      </c>
      <c r="AD1124" s="575"/>
      <c r="AE1124" s="575"/>
      <c r="AF1124" s="575"/>
      <c r="AG1124" s="575"/>
      <c r="AH1124" s="575"/>
      <c r="AI1124" s="679"/>
      <c r="AJ1124" s="564"/>
      <c r="AK1124" s="564"/>
      <c r="AL1124" s="564"/>
      <c r="AM1124" s="564"/>
      <c r="AN1124" s="614"/>
      <c r="AO1124" s="824" t="str">
        <f t="shared" si="227"/>
        <v>Yes</v>
      </c>
      <c r="AP1124" s="259" t="str">
        <f t="shared" si="228"/>
        <v>APR 22</v>
      </c>
      <c r="AQ1124" s="542" t="str">
        <f t="shared" si="229"/>
        <v>有定金+有預留客戶</v>
      </c>
      <c r="AR1124" s="259" t="str">
        <f t="shared" si="230"/>
        <v>Shipped_Stock</v>
      </c>
      <c r="AS1124" s="259" t="str">
        <f t="shared" si="231"/>
        <v/>
      </c>
      <c r="AT1124" s="259" t="str">
        <f t="shared" si="232"/>
        <v>微观</v>
      </c>
      <c r="AU1124" s="259" t="str">
        <f t="shared" si="233"/>
        <v>C49SZX20220006SX</v>
      </c>
      <c r="AV1124" s="259" t="str">
        <f t="shared" si="234"/>
        <v>Apr-13</v>
      </c>
    </row>
    <row r="1125" spans="1:48" hidden="1">
      <c r="A1125" s="599">
        <v>1552</v>
      </c>
      <c r="B1125" s="664" t="s">
        <v>1125</v>
      </c>
      <c r="C1125" s="664" t="s">
        <v>15</v>
      </c>
      <c r="D1125" s="755">
        <v>110803</v>
      </c>
      <c r="E1125" s="744" t="s">
        <v>2154</v>
      </c>
      <c r="F1125" s="647" t="s">
        <v>153</v>
      </c>
      <c r="G1125" s="647" t="s">
        <v>24</v>
      </c>
      <c r="H1125" s="647" t="s">
        <v>26</v>
      </c>
      <c r="I1125" s="575" t="s">
        <v>2160</v>
      </c>
      <c r="J1125" s="575">
        <v>1</v>
      </c>
      <c r="K1125" s="647" t="s">
        <v>2156</v>
      </c>
      <c r="L1125" s="565">
        <v>44664</v>
      </c>
      <c r="M1125" s="665" t="s">
        <v>906</v>
      </c>
      <c r="N1125" s="647" t="s">
        <v>1930</v>
      </c>
      <c r="O1125" s="575">
        <v>2022.3</v>
      </c>
      <c r="P1125" s="665" t="str">
        <f>VLOOKUP(A1125,'[1]Raw data'!$B:$BA,23,FALSE)</f>
        <v>JPY</v>
      </c>
      <c r="Q1125" s="647" t="str">
        <f>VLOOKUP(A1125,'[1]Raw data'!$B:$Z,2,FALSE)</f>
        <v>C49SZX20220006SX</v>
      </c>
      <c r="R1125" s="647" t="str">
        <f>VLOOKUP(A1125,'[1]Raw data'!$B:$Z,3,FALSE)</f>
        <v>微观</v>
      </c>
      <c r="S1125" s="647" t="str">
        <f>VLOOKUP(A1125,'[1]Raw data'!$B:$Z,4,FALSE)</f>
        <v>SIGMA G5S2</v>
      </c>
      <c r="T1125" s="647" t="str">
        <f>VLOOKUP(A1125,'[1]Raw data'!$B:$Z,8,FALSE)</f>
        <v>L-&gt;R</v>
      </c>
      <c r="U1125" s="647" t="str">
        <f>VLOOKUP(A1125,'[1]Raw data'!$B:$Z,9,FALSE)</f>
        <v>No</v>
      </c>
      <c r="V1125" s="567" t="str">
        <f t="shared" si="236"/>
        <v>OK</v>
      </c>
      <c r="W1125" s="563" t="str">
        <f>VLOOKUP(A1125,'[1]Raw data'!$B:$AG,32,FALSE)</f>
        <v>DAP ZS</v>
      </c>
      <c r="X1125" s="647">
        <f>VLOOKUP(A1125,'[1]Raw data'!$B:$BA,31,FALSE)</f>
        <v>44575</v>
      </c>
      <c r="Y1125" s="647" t="str">
        <f>VLOOKUP(A1125,'[1]Raw data'!$B:$AS,39,FALSE)</f>
        <v>Yes</v>
      </c>
      <c r="Z1125" s="666"/>
      <c r="AA1125" s="660"/>
      <c r="AB1125" s="661"/>
      <c r="AC1125" s="647" t="s">
        <v>1951</v>
      </c>
      <c r="AD1125" s="575"/>
      <c r="AE1125" s="575"/>
      <c r="AF1125" s="575"/>
      <c r="AG1125" s="575"/>
      <c r="AH1125" s="575"/>
      <c r="AI1125" s="679"/>
      <c r="AJ1125" s="564"/>
      <c r="AK1125" s="564"/>
      <c r="AL1125" s="564"/>
      <c r="AM1125" s="564"/>
      <c r="AN1125" s="614"/>
      <c r="AO1125" s="824" t="str">
        <f t="shared" si="227"/>
        <v>Yes</v>
      </c>
      <c r="AP1125" s="259" t="str">
        <f t="shared" si="228"/>
        <v>APR 22</v>
      </c>
      <c r="AQ1125" s="542" t="str">
        <f t="shared" si="229"/>
        <v>有定金+有預留客戶</v>
      </c>
      <c r="AR1125" s="259" t="str">
        <f t="shared" si="230"/>
        <v>Shipped_Stock</v>
      </c>
      <c r="AS1125" s="259" t="str">
        <f t="shared" si="231"/>
        <v/>
      </c>
      <c r="AT1125" s="259" t="str">
        <f t="shared" si="232"/>
        <v>微观</v>
      </c>
      <c r="AU1125" s="259" t="str">
        <f t="shared" si="233"/>
        <v>C49SZX20220006SX</v>
      </c>
      <c r="AV1125" s="259" t="str">
        <f t="shared" si="234"/>
        <v>Apr-13</v>
      </c>
    </row>
    <row r="1126" spans="1:48" ht="13.5" hidden="1" thickBot="1">
      <c r="A1126" s="599">
        <v>1553</v>
      </c>
      <c r="B1126" s="664" t="s">
        <v>1125</v>
      </c>
      <c r="C1126" s="664" t="s">
        <v>15</v>
      </c>
      <c r="D1126" s="624">
        <v>110803</v>
      </c>
      <c r="E1126" s="744" t="s">
        <v>2154</v>
      </c>
      <c r="F1126" s="647" t="s">
        <v>153</v>
      </c>
      <c r="G1126" s="647" t="s">
        <v>24</v>
      </c>
      <c r="H1126" s="647" t="s">
        <v>26</v>
      </c>
      <c r="I1126" s="575" t="s">
        <v>2161</v>
      </c>
      <c r="J1126" s="575">
        <v>1</v>
      </c>
      <c r="K1126" s="647" t="s">
        <v>2156</v>
      </c>
      <c r="L1126" s="565">
        <v>44664</v>
      </c>
      <c r="M1126" s="665" t="s">
        <v>906</v>
      </c>
      <c r="N1126" s="647" t="s">
        <v>1930</v>
      </c>
      <c r="O1126" s="575">
        <v>2022.3</v>
      </c>
      <c r="P1126" s="665" t="str">
        <f>VLOOKUP(A1126,'[1]Raw data'!$B:$BA,23,FALSE)</f>
        <v>JPY</v>
      </c>
      <c r="Q1126" s="647" t="str">
        <f>VLOOKUP(A1126,'[1]Raw data'!$B:$Z,2,FALSE)</f>
        <v>C49SZX20220006SX</v>
      </c>
      <c r="R1126" s="647" t="str">
        <f>VLOOKUP(A1126,'[1]Raw data'!$B:$Z,3,FALSE)</f>
        <v>微观</v>
      </c>
      <c r="S1126" s="647" t="str">
        <f>VLOOKUP(A1126,'[1]Raw data'!$B:$Z,4,FALSE)</f>
        <v>SIGMA G5S2</v>
      </c>
      <c r="T1126" s="647" t="str">
        <f>VLOOKUP(A1126,'[1]Raw data'!$B:$Z,8,FALSE)</f>
        <v>L-&gt;R</v>
      </c>
      <c r="U1126" s="647" t="str">
        <f>VLOOKUP(A1126,'[1]Raw data'!$B:$Z,9,FALSE)</f>
        <v>No</v>
      </c>
      <c r="V1126" s="567" t="str">
        <f t="shared" si="236"/>
        <v>OK</v>
      </c>
      <c r="W1126" s="563" t="str">
        <f>VLOOKUP(A1126,'[1]Raw data'!$B:$AG,32,FALSE)</f>
        <v>DAP ZS</v>
      </c>
      <c r="X1126" s="647">
        <f>VLOOKUP(A1126,'[1]Raw data'!$B:$BA,31,FALSE)</f>
        <v>44575</v>
      </c>
      <c r="Y1126" s="647" t="str">
        <f>VLOOKUP(A1126,'[1]Raw data'!$B:$AS,39,FALSE)</f>
        <v>Yes</v>
      </c>
      <c r="Z1126" s="666"/>
      <c r="AA1126" s="660"/>
      <c r="AB1126" s="661"/>
      <c r="AC1126" s="647" t="s">
        <v>1951</v>
      </c>
      <c r="AD1126" s="575"/>
      <c r="AE1126" s="575"/>
      <c r="AF1126" s="575"/>
      <c r="AG1126" s="575"/>
      <c r="AH1126" s="575"/>
      <c r="AI1126" s="679"/>
      <c r="AJ1126" s="564"/>
      <c r="AK1126" s="564"/>
      <c r="AL1126" s="564"/>
      <c r="AM1126" s="564"/>
      <c r="AN1126" s="614"/>
      <c r="AO1126" s="824" t="str">
        <f t="shared" si="227"/>
        <v>Yes</v>
      </c>
      <c r="AP1126" s="259" t="str">
        <f t="shared" si="228"/>
        <v>APR 22</v>
      </c>
      <c r="AQ1126" s="542" t="str">
        <f t="shared" si="229"/>
        <v>有定金+有預留客戶</v>
      </c>
      <c r="AR1126" s="259" t="str">
        <f t="shared" si="230"/>
        <v>Shipped_Stock</v>
      </c>
      <c r="AS1126" s="259" t="str">
        <f t="shared" si="231"/>
        <v/>
      </c>
      <c r="AT1126" s="259" t="str">
        <f t="shared" si="232"/>
        <v>微观</v>
      </c>
      <c r="AU1126" s="259" t="str">
        <f t="shared" si="233"/>
        <v>C49SZX20220006SX</v>
      </c>
      <c r="AV1126" s="259" t="str">
        <f t="shared" si="234"/>
        <v>Apr-13</v>
      </c>
    </row>
    <row r="1127" spans="1:48" hidden="1">
      <c r="A1127" s="599">
        <v>1538</v>
      </c>
      <c r="B1127" s="664" t="s">
        <v>1125</v>
      </c>
      <c r="C1127" s="563" t="s">
        <v>4013</v>
      </c>
      <c r="D1127" s="769">
        <v>110791</v>
      </c>
      <c r="E1127" s="562" t="s">
        <v>2162</v>
      </c>
      <c r="F1127" s="563" t="s">
        <v>201</v>
      </c>
      <c r="G1127" s="563" t="s">
        <v>18</v>
      </c>
      <c r="H1127" s="563" t="s">
        <v>26</v>
      </c>
      <c r="I1127" s="564" t="s">
        <v>2163</v>
      </c>
      <c r="J1127" s="564">
        <v>1</v>
      </c>
      <c r="K1127" s="647" t="s">
        <v>85</v>
      </c>
      <c r="L1127" s="657">
        <v>44664</v>
      </c>
      <c r="M1127" s="665" t="s">
        <v>906</v>
      </c>
      <c r="N1127" s="647" t="s">
        <v>1930</v>
      </c>
      <c r="O1127" s="575">
        <v>2022.3</v>
      </c>
      <c r="P1127" s="665" t="str">
        <f>VLOOKUP(A1127,'[1]Raw data'!$B:$BA,23,FALSE)</f>
        <v>JPY</v>
      </c>
      <c r="Q1127" s="647" t="str">
        <f>VLOOKUP(A1127,'[1]Raw data'!$B:$Z,2,FALSE)</f>
        <v>C28SZX20210216MZ</v>
      </c>
      <c r="R1127" s="647" t="str">
        <f>VLOOKUP(A1127,'[1]Raw data'!$B:$Z,3,FALSE)</f>
        <v>东莞鸿楠</v>
      </c>
      <c r="S1127" s="647" t="str">
        <f>VLOOKUP(A1127,'[1]Raw data'!$B:$Z,4,FALSE)</f>
        <v>YSi-V</v>
      </c>
      <c r="T1127" s="647" t="str">
        <f>VLOOKUP(A1127,'[1]Raw data'!$B:$Z,8,FALSE)</f>
        <v>R-&gt;L</v>
      </c>
      <c r="U1127" s="647" t="str">
        <f>VLOOKUP(A1127,'[1]Raw data'!$B:$Z,9,FALSE)</f>
        <v>No</v>
      </c>
      <c r="V1127" s="567" t="str">
        <f>IF(G1127&amp;H1127=T1127&amp;U1127,"OK","WRONG")</f>
        <v>OK</v>
      </c>
      <c r="W1127" s="563" t="str">
        <f>VLOOKUP(A1127,'[1]Raw data'!$B:$AG,32,FALSE)</f>
        <v>CIF  HK</v>
      </c>
      <c r="X1127" s="647">
        <f>VLOOKUP(A1127,'[1]Raw data'!$B:$BA,31,FALSE)</f>
        <v>44557</v>
      </c>
      <c r="Y1127" s="647" t="str">
        <f>VLOOKUP(A1127,'[1]Raw data'!$B:$AS,39,FALSE)</f>
        <v>Yes</v>
      </c>
      <c r="Z1127" s="666"/>
      <c r="AA1127" s="660"/>
      <c r="AB1127" s="661"/>
      <c r="AC1127" s="647" t="s">
        <v>1951</v>
      </c>
      <c r="AD1127" s="575"/>
      <c r="AE1127" s="575"/>
      <c r="AF1127" s="575"/>
      <c r="AG1127" s="575"/>
      <c r="AH1127" s="575"/>
      <c r="AI1127" s="679"/>
      <c r="AJ1127" s="564"/>
      <c r="AK1127" s="564"/>
      <c r="AL1127" s="564"/>
      <c r="AM1127" s="564"/>
      <c r="AN1127" s="614"/>
      <c r="AO1127" s="824" t="str">
        <f t="shared" si="227"/>
        <v>Yes</v>
      </c>
      <c r="AP1127" s="259" t="str">
        <f t="shared" si="228"/>
        <v>APR 22</v>
      </c>
      <c r="AQ1127" s="542" t="str">
        <f t="shared" si="229"/>
        <v>有定金+有預留客戶</v>
      </c>
      <c r="AR1127" s="259" t="str">
        <f t="shared" si="230"/>
        <v>Shipped_Stock</v>
      </c>
      <c r="AS1127" s="259" t="str">
        <f t="shared" si="231"/>
        <v/>
      </c>
      <c r="AT1127" s="259" t="str">
        <f t="shared" si="232"/>
        <v>东莞鸿楠</v>
      </c>
      <c r="AU1127" s="259" t="str">
        <f t="shared" si="233"/>
        <v>C28SZX20210216MZ</v>
      </c>
      <c r="AV1127" s="259" t="str">
        <f t="shared" si="234"/>
        <v>Apr-13</v>
      </c>
    </row>
    <row r="1128" spans="1:48" ht="13.5" hidden="1" thickBot="1">
      <c r="A1128" s="559">
        <v>1563</v>
      </c>
      <c r="B1128" s="664" t="s">
        <v>1125</v>
      </c>
      <c r="C1128" s="664" t="s">
        <v>15</v>
      </c>
      <c r="D1128" s="770">
        <v>110824</v>
      </c>
      <c r="E1128" s="750" t="s">
        <v>101</v>
      </c>
      <c r="F1128" s="563" t="s">
        <v>17</v>
      </c>
      <c r="G1128" s="563" t="s">
        <v>18</v>
      </c>
      <c r="H1128" s="563" t="s">
        <v>48</v>
      </c>
      <c r="I1128" s="564" t="s">
        <v>2164</v>
      </c>
      <c r="J1128" s="564">
        <v>1</v>
      </c>
      <c r="K1128" s="563" t="s">
        <v>78</v>
      </c>
      <c r="L1128" s="565">
        <v>44664</v>
      </c>
      <c r="M1128" s="576" t="s">
        <v>906</v>
      </c>
      <c r="N1128" s="563" t="s">
        <v>1903</v>
      </c>
      <c r="O1128" s="575">
        <v>2022.3</v>
      </c>
      <c r="P1128" s="665" t="str">
        <f>VLOOKUP(A1128,'[1]Raw data'!$B:$BA,23,FALSE)</f>
        <v>JPY</v>
      </c>
      <c r="Q1128" s="647" t="str">
        <f>VLOOKUP(A1128,'[1]Raw data'!$B:$Z,2,FALSE)</f>
        <v>C49SZX20220003EC</v>
      </c>
      <c r="R1128" s="647" t="str">
        <f>VLOOKUP(A1128,'[1]Raw data'!$B:$Z,3,FALSE)</f>
        <v>海红天远</v>
      </c>
      <c r="S1128" s="647" t="str">
        <f>VLOOKUP(A1128,'[1]Raw data'!$B:$Z,4,FALSE)</f>
        <v>YSM10</v>
      </c>
      <c r="T1128" s="647" t="str">
        <f>VLOOKUP(A1128,'[1]Raw data'!$B:$Z,8,FALSE)</f>
        <v>L-&gt;R</v>
      </c>
      <c r="U1128" s="647" t="str">
        <f>VLOOKUP(A1128,'[1]Raw data'!$B:$Z,9,FALSE)</f>
        <v>MVC+ATS15</v>
      </c>
      <c r="V1128" s="567" t="str">
        <f>IF(G1128&amp;H1128=T1128&amp;U1128,"OK","WRONG")</f>
        <v>WRONG</v>
      </c>
      <c r="W1128" s="563" t="str">
        <f>VLOOKUP(A1128,'[1]Raw data'!$B:$AG,32,FALSE)</f>
        <v>CIF HK</v>
      </c>
      <c r="X1128" s="647">
        <f>VLOOKUP(A1128,'[1]Raw data'!$B:$BA,31,FALSE)</f>
        <v>44585</v>
      </c>
      <c r="Y1128" s="647" t="str">
        <f>VLOOKUP(A1128,'[1]Raw data'!$B:$AS,39,FALSE)</f>
        <v>Yes</v>
      </c>
      <c r="Z1128" s="659"/>
      <c r="AA1128" s="660"/>
      <c r="AB1128" s="661"/>
      <c r="AC1128" s="647" t="s">
        <v>1079</v>
      </c>
      <c r="AD1128" s="662">
        <v>312</v>
      </c>
      <c r="AE1128" s="662">
        <v>10</v>
      </c>
      <c r="AF1128" s="662"/>
      <c r="AG1128" s="662"/>
      <c r="AH1128" s="662"/>
      <c r="AI1128" s="663"/>
      <c r="AN1128" s="542"/>
      <c r="AO1128" s="824" t="str">
        <f t="shared" si="227"/>
        <v>Yes</v>
      </c>
      <c r="AP1128" s="259" t="str">
        <f t="shared" si="228"/>
        <v>MAY 22</v>
      </c>
      <c r="AQ1128" s="542" t="str">
        <f t="shared" si="229"/>
        <v>有定金+有預留客戶</v>
      </c>
      <c r="AR1128" s="259" t="str">
        <f t="shared" si="230"/>
        <v>Shipped_Stock</v>
      </c>
      <c r="AS1128" s="259" t="str">
        <f t="shared" si="231"/>
        <v/>
      </c>
      <c r="AT1128" s="259" t="str">
        <f t="shared" si="232"/>
        <v>海红天远</v>
      </c>
      <c r="AU1128" s="259" t="str">
        <f t="shared" si="233"/>
        <v>C49SZX20220003EC</v>
      </c>
      <c r="AV1128" s="259" t="str">
        <f t="shared" si="234"/>
        <v>Apr-13</v>
      </c>
    </row>
    <row r="1129" spans="1:48" ht="21.75" hidden="1">
      <c r="A1129" s="599">
        <v>1890</v>
      </c>
      <c r="B1129" s="664" t="s">
        <v>1125</v>
      </c>
      <c r="C1129" s="771" t="s">
        <v>281</v>
      </c>
      <c r="D1129" s="769">
        <v>110825</v>
      </c>
      <c r="E1129" s="562" t="s">
        <v>2165</v>
      </c>
      <c r="F1129" s="563" t="s">
        <v>17</v>
      </c>
      <c r="G1129" s="563" t="s">
        <v>18</v>
      </c>
      <c r="H1129" s="563" t="s">
        <v>104</v>
      </c>
      <c r="I1129" s="587" t="s">
        <v>2166</v>
      </c>
      <c r="J1129" s="564">
        <v>1</v>
      </c>
      <c r="K1129" s="647" t="s">
        <v>1419</v>
      </c>
      <c r="L1129" s="657">
        <v>44664</v>
      </c>
      <c r="M1129" s="576" t="s">
        <v>2167</v>
      </c>
      <c r="N1129" s="647" t="s">
        <v>216</v>
      </c>
      <c r="O1129" s="575">
        <v>2022.3</v>
      </c>
      <c r="P1129" s="665" t="str">
        <f>VLOOKUP(A1129,'[1]Raw data'!$B:$BA,23,FALSE)</f>
        <v>RMB</v>
      </c>
      <c r="Q1129" s="647" t="str">
        <f>VLOOKUP(A1129,'[1]Raw data'!$B:$Z,2,FALSE)</f>
        <v>C49SZX20230033JL</v>
      </c>
      <c r="R1129" s="647" t="str">
        <f>VLOOKUP(A1129,'[1]Raw data'!$B:$Z,3,FALSE)</f>
        <v>力通威</v>
      </c>
      <c r="S1129" s="647" t="str">
        <f>VLOOKUP(A1129,'[1]Raw data'!$B:$Z,4,FALSE)</f>
        <v>YSM10</v>
      </c>
      <c r="T1129" s="647" t="str">
        <f>VLOOKUP(A1129,'[1]Raw data'!$B:$Z,8,FALSE)</f>
        <v>R-&gt;L</v>
      </c>
      <c r="U1129" s="647" t="str">
        <f>VLOOKUP(A1129,'[1]Raw data'!$B:$Z,9,FALSE)</f>
        <v xml:space="preserve">MVC+96 FEEDER PLATE (YSM10) </v>
      </c>
      <c r="V1129" s="567" t="str">
        <f t="shared" ref="V1129:V1130" si="238">IF(G1129&amp;H1129=T1129&amp;U1129,"OK","WRONG")</f>
        <v>OK</v>
      </c>
      <c r="W1129" s="563" t="str">
        <f>VLOOKUP(A1129,'[1]Raw data'!$B:$AG,32,FALSE)</f>
        <v>DDP SZ</v>
      </c>
      <c r="X1129" s="647">
        <f>VLOOKUP(A1129,'[1]Raw data'!$B:$BA,31,FALSE)</f>
        <v>44994</v>
      </c>
      <c r="Y1129" s="647" t="str">
        <f>VLOOKUP(A1129,'[1]Raw data'!$B:$AS,39,FALSE)</f>
        <v>Yes</v>
      </c>
      <c r="Z1129" s="659"/>
      <c r="AA1129" s="660"/>
      <c r="AB1129" s="661"/>
      <c r="AC1129" s="647" t="s">
        <v>1951</v>
      </c>
      <c r="AD1129" s="575">
        <v>301</v>
      </c>
      <c r="AE1129" s="575">
        <v>10</v>
      </c>
      <c r="AF1129" s="575"/>
      <c r="AG1129" s="575"/>
      <c r="AH1129" s="575"/>
      <c r="AI1129" s="679"/>
      <c r="AJ1129" s="564"/>
      <c r="AK1129" s="564"/>
      <c r="AL1129" s="564"/>
      <c r="AM1129" s="564"/>
      <c r="AN1129" s="614"/>
      <c r="AO1129" s="824" t="str">
        <f t="shared" si="227"/>
        <v>Yes</v>
      </c>
      <c r="AP1129" s="259" t="str">
        <f t="shared" si="228"/>
        <v>MAR 23</v>
      </c>
      <c r="AQ1129" s="542" t="str">
        <f t="shared" si="229"/>
        <v>有定金+有預留客戶</v>
      </c>
      <c r="AR1129" s="259" t="str">
        <f t="shared" si="230"/>
        <v>Shipped_Stock</v>
      </c>
      <c r="AS1129" s="259" t="str">
        <f t="shared" si="231"/>
        <v/>
      </c>
      <c r="AT1129" s="259" t="str">
        <f t="shared" si="232"/>
        <v>力通威</v>
      </c>
      <c r="AU1129" s="259" t="str">
        <f t="shared" si="233"/>
        <v>C49SZX20230033JL</v>
      </c>
      <c r="AV1129" s="259" t="str">
        <f t="shared" si="234"/>
        <v>Apr-13</v>
      </c>
    </row>
    <row r="1130" spans="1:48" ht="21.75" hidden="1">
      <c r="A1130" s="599">
        <v>1891</v>
      </c>
      <c r="B1130" s="664" t="s">
        <v>1125</v>
      </c>
      <c r="C1130" s="664" t="s">
        <v>281</v>
      </c>
      <c r="D1130" s="755">
        <v>110825</v>
      </c>
      <c r="E1130" s="562" t="s">
        <v>2165</v>
      </c>
      <c r="F1130" s="563" t="s">
        <v>17</v>
      </c>
      <c r="G1130" s="563" t="s">
        <v>18</v>
      </c>
      <c r="H1130" s="563" t="s">
        <v>2168</v>
      </c>
      <c r="I1130" s="564" t="s">
        <v>2169</v>
      </c>
      <c r="J1130" s="564">
        <v>1</v>
      </c>
      <c r="K1130" s="647" t="s">
        <v>1419</v>
      </c>
      <c r="L1130" s="657">
        <v>44664</v>
      </c>
      <c r="M1130" s="665" t="s">
        <v>2167</v>
      </c>
      <c r="N1130" s="647" t="s">
        <v>216</v>
      </c>
      <c r="O1130" s="575">
        <v>2022.3</v>
      </c>
      <c r="P1130" s="665" t="str">
        <f>VLOOKUP(A1130,'[1]Raw data'!$B:$BA,23,FALSE)</f>
        <v>RMB</v>
      </c>
      <c r="Q1130" s="647" t="str">
        <f>VLOOKUP(A1130,'[1]Raw data'!$B:$Z,2,FALSE)</f>
        <v>C49SZX20230033JL</v>
      </c>
      <c r="R1130" s="647" t="str">
        <f>VLOOKUP(A1130,'[1]Raw data'!$B:$Z,3,FALSE)</f>
        <v>力通威</v>
      </c>
      <c r="S1130" s="647" t="str">
        <f>VLOOKUP(A1130,'[1]Raw data'!$B:$Z,4,FALSE)</f>
        <v>YSM10</v>
      </c>
      <c r="T1130" s="647" t="str">
        <f>VLOOKUP(A1130,'[1]Raw data'!$B:$Z,8,FALSE)</f>
        <v>R-&gt;L</v>
      </c>
      <c r="U1130" s="647" t="str">
        <f>VLOOKUP(A1130,'[1]Raw data'!$B:$Z,9,FALSE)</f>
        <v xml:space="preserve">MVC+96 FEEDER PLATE (YSM10) </v>
      </c>
      <c r="V1130" s="567" t="str">
        <f t="shared" si="238"/>
        <v>OK</v>
      </c>
      <c r="W1130" s="563" t="str">
        <f>VLOOKUP(A1130,'[1]Raw data'!$B:$AG,32,FALSE)</f>
        <v>DDP SZ</v>
      </c>
      <c r="X1130" s="647">
        <f>VLOOKUP(A1130,'[1]Raw data'!$B:$BA,31,FALSE)</f>
        <v>44994</v>
      </c>
      <c r="Y1130" s="647" t="str">
        <f>VLOOKUP(A1130,'[1]Raw data'!$B:$AS,39,FALSE)</f>
        <v>Yes</v>
      </c>
      <c r="Z1130" s="659"/>
      <c r="AA1130" s="660"/>
      <c r="AB1130" s="661"/>
      <c r="AC1130" s="647" t="s">
        <v>1951</v>
      </c>
      <c r="AD1130" s="575">
        <v>301</v>
      </c>
      <c r="AE1130" s="575">
        <v>10</v>
      </c>
      <c r="AF1130" s="575"/>
      <c r="AG1130" s="575"/>
      <c r="AH1130" s="575"/>
      <c r="AI1130" s="679"/>
      <c r="AJ1130" s="564"/>
      <c r="AK1130" s="564"/>
      <c r="AL1130" s="564"/>
      <c r="AM1130" s="564"/>
      <c r="AN1130" s="614"/>
      <c r="AO1130" s="824" t="str">
        <f t="shared" si="227"/>
        <v>Yes</v>
      </c>
      <c r="AP1130" s="259" t="str">
        <f t="shared" si="228"/>
        <v>MAR 23</v>
      </c>
      <c r="AQ1130" s="542" t="str">
        <f t="shared" si="229"/>
        <v>有定金+有預留客戶</v>
      </c>
      <c r="AR1130" s="259" t="str">
        <f t="shared" si="230"/>
        <v>Shipped_Stock</v>
      </c>
      <c r="AS1130" s="259" t="str">
        <f t="shared" si="231"/>
        <v/>
      </c>
      <c r="AT1130" s="259" t="str">
        <f t="shared" si="232"/>
        <v>力通威</v>
      </c>
      <c r="AU1130" s="259" t="str">
        <f t="shared" si="233"/>
        <v>C49SZX20230033JL</v>
      </c>
      <c r="AV1130" s="259" t="str">
        <f t="shared" si="234"/>
        <v>Apr-13</v>
      </c>
    </row>
    <row r="1131" spans="1:48" hidden="1">
      <c r="A1131" s="599">
        <v>1508</v>
      </c>
      <c r="B1131" s="664" t="s">
        <v>1125</v>
      </c>
      <c r="C1131" s="664" t="s">
        <v>281</v>
      </c>
      <c r="D1131" s="755">
        <v>110829</v>
      </c>
      <c r="E1131" s="562" t="s">
        <v>2170</v>
      </c>
      <c r="F1131" s="563" t="s">
        <v>17</v>
      </c>
      <c r="G1131" s="563" t="s">
        <v>18</v>
      </c>
      <c r="H1131" s="563" t="s">
        <v>102</v>
      </c>
      <c r="I1131" s="564" t="s">
        <v>2171</v>
      </c>
      <c r="J1131" s="564">
        <v>1</v>
      </c>
      <c r="K1131" s="647" t="s">
        <v>85</v>
      </c>
      <c r="L1131" s="657">
        <v>44664</v>
      </c>
      <c r="M1131" s="676">
        <v>5.45E-2</v>
      </c>
      <c r="N1131" s="647" t="s">
        <v>1903</v>
      </c>
      <c r="O1131" s="575">
        <v>2022.3</v>
      </c>
      <c r="P1131" s="665" t="str">
        <f>VLOOKUP(A1131,'[1]Raw data'!$B:$BA,23,FALSE)</f>
        <v>JPY</v>
      </c>
      <c r="Q1131" s="647" t="str">
        <f>VLOOKUP(A1131,'[1]Raw data'!$B:$Z,2,FALSE)</f>
        <v>C49SZX20210207JY</v>
      </c>
      <c r="R1131" s="647" t="str">
        <f>VLOOKUP(A1131,'[1]Raw data'!$B:$Z,3,FALSE)</f>
        <v>海凌科达</v>
      </c>
      <c r="S1131" s="647" t="str">
        <f>VLOOKUP(A1131,'[1]Raw data'!$B:$Z,4,FALSE)</f>
        <v>YSM10</v>
      </c>
      <c r="T1131" s="647" t="str">
        <f>VLOOKUP(A1131,'[1]Raw data'!$B:$Z,8,FALSE)</f>
        <v>L-&gt;R</v>
      </c>
      <c r="U1131" s="647" t="str">
        <f>VLOOKUP(A1131,'[1]Raw data'!$B:$Z,9,FALSE)</f>
        <v>No</v>
      </c>
      <c r="V1131" s="567" t="str">
        <f>IF(G1131&amp;H1131=T1131&amp;U1131,"OK","WRONG")</f>
        <v>WRONG</v>
      </c>
      <c r="W1131" s="563" t="str">
        <f>VLOOKUP(A1131,'[1]Raw data'!$B:$AG,32,FALSE)</f>
        <v>CIF HK</v>
      </c>
      <c r="X1131" s="647">
        <f>VLOOKUP(A1131,'[1]Raw data'!$B:$BA,31,FALSE)</f>
        <v>44530</v>
      </c>
      <c r="Y1131" s="647" t="str">
        <f>VLOOKUP(A1131,'[1]Raw data'!$B:$AS,39,FALSE)</f>
        <v>Yes</v>
      </c>
      <c r="Z1131" s="659"/>
      <c r="AA1131" s="660"/>
      <c r="AB1131" s="661"/>
      <c r="AC1131" s="647" t="s">
        <v>695</v>
      </c>
      <c r="AD1131" s="575">
        <v>302</v>
      </c>
      <c r="AE1131" s="575">
        <v>10</v>
      </c>
      <c r="AF1131" s="575"/>
      <c r="AG1131" s="575"/>
      <c r="AH1131" s="575"/>
      <c r="AI1131" s="679"/>
      <c r="AJ1131" s="564"/>
      <c r="AK1131" s="564"/>
      <c r="AL1131" s="564"/>
      <c r="AM1131" s="564"/>
      <c r="AN1131" s="614"/>
      <c r="AO1131" s="824" t="str">
        <f t="shared" si="227"/>
        <v>Yes</v>
      </c>
      <c r="AP1131" s="259" t="str">
        <f t="shared" si="228"/>
        <v>MAY 22</v>
      </c>
      <c r="AQ1131" s="542" t="str">
        <f t="shared" si="229"/>
        <v>有定金+有預留客戶</v>
      </c>
      <c r="AR1131" s="259" t="str">
        <f t="shared" si="230"/>
        <v>Shipped_Stock</v>
      </c>
      <c r="AS1131" s="259" t="str">
        <f t="shared" si="231"/>
        <v/>
      </c>
      <c r="AT1131" s="259" t="str">
        <f t="shared" si="232"/>
        <v>海凌科达</v>
      </c>
      <c r="AU1131" s="259" t="str">
        <f t="shared" si="233"/>
        <v>C49SZX20210207JY</v>
      </c>
      <c r="AV1131" s="259" t="str">
        <f t="shared" si="234"/>
        <v>Apr-13</v>
      </c>
    </row>
    <row r="1132" spans="1:48" ht="13.5" hidden="1" thickBot="1">
      <c r="A1132" s="599">
        <v>1590</v>
      </c>
      <c r="B1132" s="664" t="s">
        <v>1125</v>
      </c>
      <c r="C1132" s="664" t="s">
        <v>281</v>
      </c>
      <c r="D1132" s="624">
        <v>110831</v>
      </c>
      <c r="E1132" s="646" t="s">
        <v>2172</v>
      </c>
      <c r="F1132" s="647" t="s">
        <v>17</v>
      </c>
      <c r="G1132" s="647" t="s">
        <v>18</v>
      </c>
      <c r="H1132" s="647" t="s">
        <v>102</v>
      </c>
      <c r="I1132" s="575" t="s">
        <v>2173</v>
      </c>
      <c r="J1132" s="575">
        <v>1</v>
      </c>
      <c r="K1132" s="647" t="s">
        <v>78</v>
      </c>
      <c r="L1132" s="657">
        <v>44664</v>
      </c>
      <c r="M1132" s="665">
        <v>5.45E-2</v>
      </c>
      <c r="N1132" s="647" t="s">
        <v>1903</v>
      </c>
      <c r="O1132" s="575">
        <v>2022.3</v>
      </c>
      <c r="P1132" s="665" t="str">
        <f>VLOOKUP(A1132,'[1]Raw data'!$B:$BA,23,FALSE)</f>
        <v>JPY</v>
      </c>
      <c r="Q1132" s="647" t="str">
        <f>VLOOKUP(A1132,'[1]Raw data'!$B:$Z,2,FALSE)</f>
        <v>C49SZX20220013DZ</v>
      </c>
      <c r="R1132" s="647" t="str">
        <f>VLOOKUP(A1132,'[1]Raw data'!$B:$Z,3,FALSE)</f>
        <v>朗特</v>
      </c>
      <c r="S1132" s="647" t="str">
        <f>VLOOKUP(A1132,'[1]Raw data'!$B:$Z,4,FALSE)</f>
        <v>YSM10</v>
      </c>
      <c r="T1132" s="647" t="str">
        <f>VLOOKUP(A1132,'[1]Raw data'!$B:$Z,8,FALSE)</f>
        <v>R-&gt;L</v>
      </c>
      <c r="U1132" s="647" t="str">
        <f>VLOOKUP(A1132,'[1]Raw data'!$B:$Z,9,FALSE)</f>
        <v>No</v>
      </c>
      <c r="V1132" s="567" t="str">
        <f>IF(G1132&amp;H1132=T1132&amp;U1132,"OK","WRONG")</f>
        <v>WRONG</v>
      </c>
      <c r="W1132" s="563" t="str">
        <f>VLOOKUP(A1132,'[1]Raw data'!$B:$AG,32,FALSE)</f>
        <v>CIF HK</v>
      </c>
      <c r="X1132" s="647">
        <f>VLOOKUP(A1132,'[1]Raw data'!$B:$BA,31,FALSE)</f>
        <v>44614</v>
      </c>
      <c r="Y1132" s="647" t="str">
        <f>VLOOKUP(A1132,'[1]Raw data'!$B:$AS,39,FALSE)</f>
        <v>Yes</v>
      </c>
      <c r="Z1132" s="659"/>
      <c r="AA1132" s="660"/>
      <c r="AB1132" s="661"/>
      <c r="AC1132" s="647" t="s">
        <v>2174</v>
      </c>
      <c r="AD1132" s="575">
        <v>301</v>
      </c>
      <c r="AE1132" s="575">
        <v>10</v>
      </c>
      <c r="AF1132" s="575"/>
      <c r="AG1132" s="575"/>
      <c r="AH1132" s="575"/>
      <c r="AI1132" s="679"/>
      <c r="AJ1132" s="564"/>
      <c r="AK1132" s="564"/>
      <c r="AL1132" s="564"/>
      <c r="AM1132" s="564"/>
      <c r="AN1132" s="614"/>
      <c r="AO1132" s="824" t="str">
        <f t="shared" si="227"/>
        <v>Yes</v>
      </c>
      <c r="AP1132" s="259" t="str">
        <f t="shared" si="228"/>
        <v>MAY 22</v>
      </c>
      <c r="AQ1132" s="542" t="str">
        <f t="shared" si="229"/>
        <v>有定金+有預留客戶</v>
      </c>
      <c r="AR1132" s="259" t="str">
        <f t="shared" si="230"/>
        <v>Shipped_Stock</v>
      </c>
      <c r="AS1132" s="259" t="str">
        <f t="shared" si="231"/>
        <v/>
      </c>
      <c r="AT1132" s="259" t="str">
        <f t="shared" si="232"/>
        <v>朗特</v>
      </c>
      <c r="AU1132" s="259" t="str">
        <f t="shared" si="233"/>
        <v>C49SZX20220013DZ</v>
      </c>
      <c r="AV1132" s="259" t="str">
        <f t="shared" si="234"/>
        <v>Apr-13</v>
      </c>
    </row>
    <row r="1133" spans="1:48" hidden="1">
      <c r="A1133" s="559">
        <v>1211</v>
      </c>
      <c r="B1133" s="664" t="s">
        <v>1125</v>
      </c>
      <c r="C1133" s="664" t="s">
        <v>281</v>
      </c>
      <c r="D1133" s="761">
        <v>110823</v>
      </c>
      <c r="E1133" s="562" t="s">
        <v>886</v>
      </c>
      <c r="F1133" s="647" t="s">
        <v>58</v>
      </c>
      <c r="G1133" s="647" t="s">
        <v>24</v>
      </c>
      <c r="H1133" s="647" t="s">
        <v>26</v>
      </c>
      <c r="I1133" s="575" t="s">
        <v>2175</v>
      </c>
      <c r="J1133" s="575">
        <v>1</v>
      </c>
      <c r="K1133" s="647" t="s">
        <v>85</v>
      </c>
      <c r="L1133" s="657">
        <v>44667</v>
      </c>
      <c r="M1133" s="665" t="s">
        <v>906</v>
      </c>
      <c r="N1133" s="647" t="s">
        <v>1930</v>
      </c>
      <c r="O1133" s="575">
        <v>2022.3</v>
      </c>
      <c r="P1133" s="665" t="str">
        <f>VLOOKUP(A1133,'[1]Raw data'!$B:$BA,23,FALSE)</f>
        <v>JPY</v>
      </c>
      <c r="Q1133" s="647" t="str">
        <f>VLOOKUP(A1133,'[1]Raw data'!$B:$Z,2,FALSE)</f>
        <v>C49SZX20210125DZ</v>
      </c>
      <c r="R1133" s="647" t="str">
        <f>VLOOKUP(A1133,'[1]Raw data'!$B:$Z,3,FALSE)</f>
        <v>斯迈电子</v>
      </c>
      <c r="S1133" s="647" t="str">
        <f>VLOOKUP(A1133,'[1]Raw data'!$B:$Z,4,FALSE)</f>
        <v>YSM20R-2</v>
      </c>
      <c r="T1133" s="647" t="str">
        <f>VLOOKUP(A1133,'[1]Raw data'!$B:$Z,8,FALSE)</f>
        <v>L-&gt;R</v>
      </c>
      <c r="U1133" s="647" t="str">
        <f>VLOOKUP(A1133,'[1]Raw data'!$B:$Z,9,FALSE)</f>
        <v>MVC</v>
      </c>
      <c r="V1133" s="567" t="str">
        <f t="shared" ref="V1133:V1135" si="239">IF(G1133&amp;H1133=T1133&amp;U1133,"OK","WRONG")</f>
        <v>WRONG</v>
      </c>
      <c r="W1133" s="563" t="str">
        <f>VLOOKUP(A1133,'[1]Raw data'!$B:$AG,32,FALSE)</f>
        <v>DAP GZ</v>
      </c>
      <c r="X1133" s="647">
        <f>VLOOKUP(A1133,'[1]Raw data'!$B:$BA,31,FALSE)</f>
        <v>44260</v>
      </c>
      <c r="Y1133" s="647" t="str">
        <f>VLOOKUP(A1133,'[1]Raw data'!$B:$AS,39,FALSE)</f>
        <v>Yes</v>
      </c>
      <c r="Z1133" s="666"/>
      <c r="AA1133" s="667"/>
      <c r="AB1133" s="668"/>
      <c r="AC1133" s="647" t="s">
        <v>1783</v>
      </c>
      <c r="AD1133" s="662">
        <v>301</v>
      </c>
      <c r="AE1133" s="662">
        <v>10</v>
      </c>
      <c r="AF1133" s="662">
        <v>311</v>
      </c>
      <c r="AG1133" s="662">
        <v>10</v>
      </c>
      <c r="AH1133" s="662"/>
      <c r="AI1133" s="663"/>
      <c r="AN1133" s="542"/>
      <c r="AO1133" s="824" t="str">
        <f t="shared" si="227"/>
        <v>Yes</v>
      </c>
      <c r="AP1133" s="259" t="str">
        <f t="shared" si="228"/>
        <v>APR 22</v>
      </c>
      <c r="AQ1133" s="542" t="str">
        <f t="shared" si="229"/>
        <v>有定金+有預留客戶</v>
      </c>
      <c r="AR1133" s="259" t="str">
        <f t="shared" si="230"/>
        <v>Shipped_Stock</v>
      </c>
      <c r="AS1133" s="259" t="str">
        <f t="shared" si="231"/>
        <v/>
      </c>
      <c r="AT1133" s="259" t="str">
        <f t="shared" si="232"/>
        <v>斯迈电子</v>
      </c>
      <c r="AU1133" s="259" t="str">
        <f t="shared" si="233"/>
        <v>C49SZX20210125DZ</v>
      </c>
      <c r="AV1133" s="259" t="str">
        <f t="shared" si="234"/>
        <v>Apr-16</v>
      </c>
    </row>
    <row r="1134" spans="1:48" hidden="1">
      <c r="A1134" s="559">
        <v>1215</v>
      </c>
      <c r="B1134" s="664" t="s">
        <v>1125</v>
      </c>
      <c r="C1134" s="664" t="s">
        <v>281</v>
      </c>
      <c r="D1134" s="755">
        <v>110823</v>
      </c>
      <c r="E1134" s="562" t="s">
        <v>886</v>
      </c>
      <c r="F1134" s="647" t="s">
        <v>58</v>
      </c>
      <c r="G1134" s="647" t="s">
        <v>24</v>
      </c>
      <c r="H1134" s="647" t="s">
        <v>26</v>
      </c>
      <c r="I1134" s="575" t="s">
        <v>2176</v>
      </c>
      <c r="J1134" s="575">
        <v>1</v>
      </c>
      <c r="K1134" s="647" t="s">
        <v>85</v>
      </c>
      <c r="L1134" s="657">
        <v>44667</v>
      </c>
      <c r="M1134" s="665" t="s">
        <v>906</v>
      </c>
      <c r="N1134" s="647" t="s">
        <v>1930</v>
      </c>
      <c r="O1134" s="575">
        <v>2022.3</v>
      </c>
      <c r="P1134" s="665" t="str">
        <f>VLOOKUP(A1134,'[1]Raw data'!$B:$BA,23,FALSE)</f>
        <v>JPY</v>
      </c>
      <c r="Q1134" s="647" t="str">
        <f>VLOOKUP(A1134,'[1]Raw data'!$B:$Z,2,FALSE)</f>
        <v>C49SZX20210125DZ</v>
      </c>
      <c r="R1134" s="647" t="str">
        <f>VLOOKUP(A1134,'[1]Raw data'!$B:$Z,3,FALSE)</f>
        <v>斯迈电子</v>
      </c>
      <c r="S1134" s="647" t="str">
        <f>VLOOKUP(A1134,'[1]Raw data'!$B:$Z,4,FALSE)</f>
        <v>YSM20R-2</v>
      </c>
      <c r="T1134" s="647" t="str">
        <f>VLOOKUP(A1134,'[1]Raw data'!$B:$Z,8,FALSE)</f>
        <v>L-&gt;R</v>
      </c>
      <c r="U1134" s="647" t="str">
        <f>VLOOKUP(A1134,'[1]Raw data'!$B:$Z,9,FALSE)</f>
        <v>No</v>
      </c>
      <c r="V1134" s="567" t="str">
        <f t="shared" si="239"/>
        <v>OK</v>
      </c>
      <c r="W1134" s="563" t="str">
        <f>VLOOKUP(A1134,'[1]Raw data'!$B:$AG,32,FALSE)</f>
        <v>DAP GZ</v>
      </c>
      <c r="X1134" s="647">
        <f>VLOOKUP(A1134,'[1]Raw data'!$B:$BA,31,FALSE)</f>
        <v>44260</v>
      </c>
      <c r="Y1134" s="647" t="str">
        <f>VLOOKUP(A1134,'[1]Raw data'!$B:$AS,39,FALSE)</f>
        <v>Yes</v>
      </c>
      <c r="Z1134" s="666"/>
      <c r="AA1134" s="667"/>
      <c r="AB1134" s="668"/>
      <c r="AC1134" s="647" t="s">
        <v>1783</v>
      </c>
      <c r="AD1134" s="662">
        <v>301</v>
      </c>
      <c r="AE1134" s="662">
        <v>10</v>
      </c>
      <c r="AF1134" s="662">
        <v>313</v>
      </c>
      <c r="AG1134" s="662">
        <v>10</v>
      </c>
      <c r="AH1134" s="662"/>
      <c r="AI1134" s="663"/>
      <c r="AN1134" s="542"/>
      <c r="AO1134" s="824" t="str">
        <f t="shared" si="227"/>
        <v>Yes</v>
      </c>
      <c r="AP1134" s="259" t="str">
        <f t="shared" si="228"/>
        <v>APR 22</v>
      </c>
      <c r="AQ1134" s="542" t="str">
        <f t="shared" si="229"/>
        <v>有定金+有預留客戶</v>
      </c>
      <c r="AR1134" s="259" t="str">
        <f t="shared" si="230"/>
        <v>Shipped_Stock</v>
      </c>
      <c r="AS1134" s="259" t="str">
        <f t="shared" si="231"/>
        <v/>
      </c>
      <c r="AT1134" s="259" t="str">
        <f t="shared" si="232"/>
        <v>斯迈电子</v>
      </c>
      <c r="AU1134" s="259" t="str">
        <f t="shared" si="233"/>
        <v>C49SZX20210125DZ</v>
      </c>
      <c r="AV1134" s="259" t="str">
        <f t="shared" si="234"/>
        <v>Apr-16</v>
      </c>
    </row>
    <row r="1135" spans="1:48" hidden="1">
      <c r="A1135" s="559">
        <v>1213</v>
      </c>
      <c r="B1135" s="664" t="s">
        <v>1125</v>
      </c>
      <c r="C1135" s="664" t="s">
        <v>281</v>
      </c>
      <c r="D1135" s="625">
        <v>110823</v>
      </c>
      <c r="E1135" s="562" t="s">
        <v>886</v>
      </c>
      <c r="F1135" s="563" t="s">
        <v>58</v>
      </c>
      <c r="G1135" s="647" t="s">
        <v>24</v>
      </c>
      <c r="H1135" s="647" t="s">
        <v>26</v>
      </c>
      <c r="I1135" s="575" t="s">
        <v>2177</v>
      </c>
      <c r="J1135" s="575">
        <v>1</v>
      </c>
      <c r="K1135" s="647" t="s">
        <v>85</v>
      </c>
      <c r="L1135" s="657">
        <v>44667</v>
      </c>
      <c r="M1135" s="665" t="s">
        <v>906</v>
      </c>
      <c r="N1135" s="647" t="s">
        <v>1930</v>
      </c>
      <c r="O1135" s="575">
        <v>2022.3</v>
      </c>
      <c r="P1135" s="665" t="str">
        <f>VLOOKUP(A1135,'[1]Raw data'!$B:$BA,23,FALSE)</f>
        <v>JPY</v>
      </c>
      <c r="Q1135" s="647" t="str">
        <f>VLOOKUP(A1135,'[1]Raw data'!$B:$Z,2,FALSE)</f>
        <v>C49SZX20210125DZ</v>
      </c>
      <c r="R1135" s="647" t="str">
        <f>VLOOKUP(A1135,'[1]Raw data'!$B:$Z,3,FALSE)</f>
        <v>斯迈电子</v>
      </c>
      <c r="S1135" s="647" t="str">
        <f>VLOOKUP(A1135,'[1]Raw data'!$B:$Z,4,FALSE)</f>
        <v>YSM20R-2</v>
      </c>
      <c r="T1135" s="647" t="str">
        <f>VLOOKUP(A1135,'[1]Raw data'!$B:$Z,8,FALSE)</f>
        <v>L-&gt;R</v>
      </c>
      <c r="U1135" s="647" t="str">
        <f>VLOOKUP(A1135,'[1]Raw data'!$B:$Z,9,FALSE)</f>
        <v>MVC</v>
      </c>
      <c r="V1135" s="567" t="str">
        <f t="shared" si="239"/>
        <v>WRONG</v>
      </c>
      <c r="W1135" s="563" t="str">
        <f>VLOOKUP(A1135,'[1]Raw data'!$B:$AG,32,FALSE)</f>
        <v>DAP GZ</v>
      </c>
      <c r="X1135" s="647">
        <f>VLOOKUP(A1135,'[1]Raw data'!$B:$BA,31,FALSE)</f>
        <v>44260</v>
      </c>
      <c r="Y1135" s="647" t="str">
        <f>VLOOKUP(A1135,'[1]Raw data'!$B:$AS,39,FALSE)</f>
        <v>Yes</v>
      </c>
      <c r="Z1135" s="666"/>
      <c r="AA1135" s="667"/>
      <c r="AB1135" s="668"/>
      <c r="AC1135" s="647" t="s">
        <v>1783</v>
      </c>
      <c r="AD1135" s="662">
        <v>301</v>
      </c>
      <c r="AE1135" s="662">
        <v>10</v>
      </c>
      <c r="AF1135" s="662">
        <v>313</v>
      </c>
      <c r="AG1135" s="662">
        <v>10</v>
      </c>
      <c r="AH1135" s="662"/>
      <c r="AI1135" s="663"/>
      <c r="AN1135" s="542"/>
      <c r="AO1135" s="824" t="str">
        <f t="shared" si="227"/>
        <v>Yes</v>
      </c>
      <c r="AP1135" s="259" t="str">
        <f t="shared" si="228"/>
        <v>APR 22</v>
      </c>
      <c r="AQ1135" s="542" t="str">
        <f t="shared" si="229"/>
        <v>有定金+有預留客戶</v>
      </c>
      <c r="AR1135" s="259" t="str">
        <f t="shared" si="230"/>
        <v>Shipped_Stock</v>
      </c>
      <c r="AS1135" s="259" t="str">
        <f t="shared" si="231"/>
        <v/>
      </c>
      <c r="AT1135" s="259" t="str">
        <f t="shared" si="232"/>
        <v>斯迈电子</v>
      </c>
      <c r="AU1135" s="259" t="str">
        <f t="shared" si="233"/>
        <v>C49SZX20210125DZ</v>
      </c>
      <c r="AV1135" s="259" t="str">
        <f t="shared" si="234"/>
        <v>Apr-16</v>
      </c>
    </row>
    <row r="1136" spans="1:48" ht="38.25" hidden="1">
      <c r="A1136" s="599">
        <v>1595</v>
      </c>
      <c r="B1136" s="664" t="s">
        <v>1125</v>
      </c>
      <c r="C1136" s="664" t="s">
        <v>281</v>
      </c>
      <c r="D1136" s="625">
        <v>110830</v>
      </c>
      <c r="E1136" s="772" t="s">
        <v>2178</v>
      </c>
      <c r="F1136" s="563" t="s">
        <v>17</v>
      </c>
      <c r="G1136" s="647" t="s">
        <v>18</v>
      </c>
      <c r="H1136" s="647" t="s">
        <v>34</v>
      </c>
      <c r="I1136" s="575" t="s">
        <v>2179</v>
      </c>
      <c r="J1136" s="575">
        <v>1</v>
      </c>
      <c r="K1136" s="647" t="s">
        <v>78</v>
      </c>
      <c r="L1136" s="657">
        <v>44667</v>
      </c>
      <c r="M1136" s="665" t="s">
        <v>906</v>
      </c>
      <c r="N1136" s="647" t="s">
        <v>1903</v>
      </c>
      <c r="O1136" s="575">
        <v>2022.3</v>
      </c>
      <c r="P1136" s="665" t="str">
        <f>VLOOKUP(A1136,'[1]Raw data'!$B:$BA,23,FALSE)</f>
        <v>JPY</v>
      </c>
      <c r="Q1136" s="647" t="str">
        <f>VLOOKUP(A1136,'[1]Raw data'!$B:$Z,2,FALSE)</f>
        <v>C49SZX20220013DZ</v>
      </c>
      <c r="R1136" s="647" t="str">
        <f>VLOOKUP(A1136,'[1]Raw data'!$B:$Z,3,FALSE)</f>
        <v>朗特</v>
      </c>
      <c r="S1136" s="647" t="str">
        <f>VLOOKUP(A1136,'[1]Raw data'!$B:$Z,4,FALSE)</f>
        <v>YSM10</v>
      </c>
      <c r="T1136" s="647" t="str">
        <f>VLOOKUP(A1136,'[1]Raw data'!$B:$Z,8,FALSE)</f>
        <v>R-&gt;L</v>
      </c>
      <c r="U1136" s="647" t="str">
        <f>VLOOKUP(A1136,'[1]Raw data'!$B:$Z,9,FALSE)</f>
        <v>MVC+ATS15</v>
      </c>
      <c r="V1136" s="567" t="str">
        <f>IF(G1136&amp;H1136=T1136&amp;U1136,"OK","WRONG")</f>
        <v>OK</v>
      </c>
      <c r="W1136" s="563" t="str">
        <f>VLOOKUP(A1136,'[1]Raw data'!$B:$AG,32,FALSE)</f>
        <v>CIF HK</v>
      </c>
      <c r="X1136" s="647">
        <f>VLOOKUP(A1136,'[1]Raw data'!$B:$BA,31,FALSE)</f>
        <v>44614</v>
      </c>
      <c r="Y1136" s="647" t="str">
        <f>VLOOKUP(A1136,'[1]Raw data'!$B:$AS,39,FALSE)</f>
        <v>Yes</v>
      </c>
      <c r="Z1136" s="659"/>
      <c r="AA1136" s="660"/>
      <c r="AB1136" s="661"/>
      <c r="AC1136" s="647" t="s">
        <v>2180</v>
      </c>
      <c r="AD1136" s="575">
        <v>302</v>
      </c>
      <c r="AE1136" s="575">
        <v>10</v>
      </c>
      <c r="AF1136" s="575"/>
      <c r="AG1136" s="575"/>
      <c r="AH1136" s="575"/>
      <c r="AI1136" s="679"/>
      <c r="AJ1136" s="564"/>
      <c r="AK1136" s="564"/>
      <c r="AL1136" s="564"/>
      <c r="AM1136" s="564"/>
      <c r="AN1136" s="614"/>
      <c r="AO1136" s="824" t="str">
        <f t="shared" si="227"/>
        <v>Yes</v>
      </c>
      <c r="AP1136" s="259" t="str">
        <f t="shared" si="228"/>
        <v>MAY 22</v>
      </c>
      <c r="AQ1136" s="542" t="str">
        <f t="shared" si="229"/>
        <v>有定金+有預留客戶</v>
      </c>
      <c r="AR1136" s="259" t="str">
        <f t="shared" si="230"/>
        <v>Shipped_Stock</v>
      </c>
      <c r="AS1136" s="259" t="str">
        <f t="shared" si="231"/>
        <v/>
      </c>
      <c r="AT1136" s="259" t="str">
        <f t="shared" si="232"/>
        <v>朗特</v>
      </c>
      <c r="AU1136" s="259" t="str">
        <f t="shared" si="233"/>
        <v>C49SZX20220013DZ</v>
      </c>
      <c r="AV1136" s="259" t="str">
        <f t="shared" si="234"/>
        <v>Apr-16</v>
      </c>
    </row>
    <row r="1137" spans="1:48" ht="39" hidden="1" thickBot="1">
      <c r="A1137" s="599">
        <v>1592</v>
      </c>
      <c r="B1137" s="664" t="s">
        <v>1125</v>
      </c>
      <c r="C1137" s="664" t="s">
        <v>281</v>
      </c>
      <c r="D1137" s="624">
        <v>110830</v>
      </c>
      <c r="E1137" s="773" t="s">
        <v>2178</v>
      </c>
      <c r="F1137" s="647" t="s">
        <v>17</v>
      </c>
      <c r="G1137" s="647" t="s">
        <v>18</v>
      </c>
      <c r="H1137" s="647" t="s">
        <v>34</v>
      </c>
      <c r="I1137" s="575" t="s">
        <v>2181</v>
      </c>
      <c r="J1137" s="575">
        <v>1</v>
      </c>
      <c r="K1137" s="647" t="s">
        <v>78</v>
      </c>
      <c r="L1137" s="657">
        <v>44667</v>
      </c>
      <c r="M1137" s="665" t="s">
        <v>906</v>
      </c>
      <c r="N1137" s="647" t="s">
        <v>1903</v>
      </c>
      <c r="O1137" s="575">
        <v>2022.3</v>
      </c>
      <c r="P1137" s="665" t="str">
        <f>VLOOKUP(A1137,'[1]Raw data'!$B:$BA,23,FALSE)</f>
        <v>JPY</v>
      </c>
      <c r="Q1137" s="647" t="str">
        <f>VLOOKUP(A1137,'[1]Raw data'!$B:$Z,2,FALSE)</f>
        <v>C49SZX20220013DZ</v>
      </c>
      <c r="R1137" s="647" t="str">
        <f>VLOOKUP(A1137,'[1]Raw data'!$B:$Z,3,FALSE)</f>
        <v>朗特</v>
      </c>
      <c r="S1137" s="647" t="str">
        <f>VLOOKUP(A1137,'[1]Raw data'!$B:$Z,4,FALSE)</f>
        <v>YSM10</v>
      </c>
      <c r="T1137" s="647" t="str">
        <f>VLOOKUP(A1137,'[1]Raw data'!$B:$Z,8,FALSE)</f>
        <v>R-&gt;L</v>
      </c>
      <c r="U1137" s="647" t="str">
        <f>VLOOKUP(A1137,'[1]Raw data'!$B:$Z,9,FALSE)</f>
        <v>MVC+ATS15</v>
      </c>
      <c r="V1137" s="567" t="str">
        <f>IF(G1137&amp;H1137=T1137&amp;U1137,"OK","WRONG")</f>
        <v>OK</v>
      </c>
      <c r="W1137" s="563" t="str">
        <f>VLOOKUP(A1137,'[1]Raw data'!$B:$AG,32,FALSE)</f>
        <v>CIF HK</v>
      </c>
      <c r="X1137" s="647">
        <f>VLOOKUP(A1137,'[1]Raw data'!$B:$BA,31,FALSE)</f>
        <v>44614</v>
      </c>
      <c r="Y1137" s="647" t="str">
        <f>VLOOKUP(A1137,'[1]Raw data'!$B:$AS,39,FALSE)</f>
        <v>Yes</v>
      </c>
      <c r="Z1137" s="659"/>
      <c r="AA1137" s="660"/>
      <c r="AB1137" s="661"/>
      <c r="AC1137" s="647" t="s">
        <v>2180</v>
      </c>
      <c r="AD1137" s="575">
        <v>302</v>
      </c>
      <c r="AE1137" s="575">
        <v>10</v>
      </c>
      <c r="AF1137" s="575"/>
      <c r="AG1137" s="575"/>
      <c r="AH1137" s="575"/>
      <c r="AI1137" s="679"/>
      <c r="AJ1137" s="564"/>
      <c r="AK1137" s="564"/>
      <c r="AL1137" s="564"/>
      <c r="AM1137" s="564"/>
      <c r="AN1137" s="614"/>
      <c r="AO1137" s="824" t="str">
        <f t="shared" si="227"/>
        <v>Yes</v>
      </c>
      <c r="AP1137" s="259" t="str">
        <f t="shared" si="228"/>
        <v>MAY 22</v>
      </c>
      <c r="AQ1137" s="542" t="str">
        <f t="shared" si="229"/>
        <v>有定金+有預留客戶</v>
      </c>
      <c r="AR1137" s="259" t="str">
        <f t="shared" si="230"/>
        <v>Shipped_Stock</v>
      </c>
      <c r="AS1137" s="259" t="str">
        <f t="shared" si="231"/>
        <v/>
      </c>
      <c r="AT1137" s="259" t="str">
        <f t="shared" si="232"/>
        <v>朗特</v>
      </c>
      <c r="AU1137" s="259" t="str">
        <f t="shared" si="233"/>
        <v>C49SZX20220013DZ</v>
      </c>
      <c r="AV1137" s="259" t="str">
        <f t="shared" si="234"/>
        <v>Apr-16</v>
      </c>
    </row>
    <row r="1138" spans="1:48" ht="38.25" hidden="1">
      <c r="A1138" s="599">
        <v>1651</v>
      </c>
      <c r="B1138" s="664" t="s">
        <v>1125</v>
      </c>
      <c r="C1138" s="664" t="s">
        <v>281</v>
      </c>
      <c r="D1138" s="761">
        <v>110826</v>
      </c>
      <c r="E1138" s="774" t="s">
        <v>2182</v>
      </c>
      <c r="F1138" s="647" t="s">
        <v>17</v>
      </c>
      <c r="G1138" s="647" t="s">
        <v>18</v>
      </c>
      <c r="H1138" s="647" t="s">
        <v>102</v>
      </c>
      <c r="I1138" s="575" t="s">
        <v>2183</v>
      </c>
      <c r="J1138" s="575">
        <v>1</v>
      </c>
      <c r="K1138" s="647" t="s">
        <v>1419</v>
      </c>
      <c r="L1138" s="657">
        <v>44667</v>
      </c>
      <c r="M1138" s="665" t="s">
        <v>2184</v>
      </c>
      <c r="N1138" s="647" t="s">
        <v>1982</v>
      </c>
      <c r="O1138" s="575">
        <v>2022.3</v>
      </c>
      <c r="P1138" s="665" t="str">
        <f>VLOOKUP(A1138,'[1]Raw data'!$B:$BA,23,FALSE)</f>
        <v>RMB</v>
      </c>
      <c r="Q1138" s="647" t="str">
        <f>VLOOKUP(A1138,'[1]Raw data'!$B:$Z,2,FALSE)</f>
        <v>C49SZX20220048SX</v>
      </c>
      <c r="R1138" s="647" t="str">
        <f>VLOOKUP(A1138,'[1]Raw data'!$B:$Z,3,FALSE)</f>
        <v>志华鑫</v>
      </c>
      <c r="S1138" s="647" t="str">
        <f>VLOOKUP(A1138,'[1]Raw data'!$B:$Z,4,FALSE)</f>
        <v>YSM10</v>
      </c>
      <c r="T1138" s="647" t="str">
        <f>VLOOKUP(A1138,'[1]Raw data'!$B:$Z,8,FALSE)</f>
        <v>R-&gt;L</v>
      </c>
      <c r="U1138" s="647" t="str">
        <f>VLOOKUP(A1138,'[1]Raw data'!$B:$Z,9,FALSE)</f>
        <v>MVC</v>
      </c>
      <c r="V1138" s="567" t="str">
        <f>IF(G1138&amp;H1138=T1138&amp;U1138,"OK","WRONG")</f>
        <v>WRONG</v>
      </c>
      <c r="W1138" s="563" t="str">
        <f>VLOOKUP(A1138,'[1]Raw data'!$B:$AG,32,FALSE)</f>
        <v>DDP SZ</v>
      </c>
      <c r="X1138" s="647">
        <f>VLOOKUP(A1138,'[1]Raw data'!$B:$BA,31,FALSE)</f>
        <v>44671</v>
      </c>
      <c r="Y1138" s="647" t="str">
        <f>VLOOKUP(A1138,'[1]Raw data'!$B:$AS,39,FALSE)</f>
        <v>Yes</v>
      </c>
      <c r="Z1138" s="659"/>
      <c r="AA1138" s="660"/>
      <c r="AB1138" s="661"/>
      <c r="AC1138" s="647" t="s">
        <v>1158</v>
      </c>
      <c r="AD1138" s="662">
        <v>302</v>
      </c>
      <c r="AE1138" s="662">
        <v>10</v>
      </c>
      <c r="AF1138" s="662"/>
      <c r="AG1138" s="662"/>
      <c r="AH1138" s="662"/>
      <c r="AI1138" s="663"/>
      <c r="AN1138" s="542"/>
      <c r="AO1138" s="824" t="str">
        <f t="shared" si="227"/>
        <v>Yes</v>
      </c>
      <c r="AP1138" s="259" t="str">
        <f t="shared" si="228"/>
        <v>JUN 22</v>
      </c>
      <c r="AQ1138" s="542" t="str">
        <f t="shared" si="229"/>
        <v>有定金+有預留客戶</v>
      </c>
      <c r="AR1138" s="259" t="str">
        <f t="shared" si="230"/>
        <v>Shipped_Stock</v>
      </c>
      <c r="AS1138" s="259" t="str">
        <f t="shared" si="231"/>
        <v/>
      </c>
      <c r="AT1138" s="259" t="str">
        <f t="shared" si="232"/>
        <v>志华鑫</v>
      </c>
      <c r="AU1138" s="259" t="str">
        <f t="shared" si="233"/>
        <v>C49SZX20220048SX</v>
      </c>
      <c r="AV1138" s="259" t="str">
        <f t="shared" si="234"/>
        <v>Apr-16</v>
      </c>
    </row>
    <row r="1139" spans="1:48" ht="25.5" hidden="1">
      <c r="A1139" s="599">
        <v>1483</v>
      </c>
      <c r="B1139" s="664" t="s">
        <v>1125</v>
      </c>
      <c r="C1139" s="664" t="s">
        <v>281</v>
      </c>
      <c r="D1139" s="755">
        <v>110827</v>
      </c>
      <c r="E1139" s="775" t="s">
        <v>2185</v>
      </c>
      <c r="F1139" s="647" t="s">
        <v>17</v>
      </c>
      <c r="G1139" s="647" t="s">
        <v>18</v>
      </c>
      <c r="H1139" s="647" t="s">
        <v>27</v>
      </c>
      <c r="I1139" s="575" t="s">
        <v>2186</v>
      </c>
      <c r="J1139" s="575">
        <v>1</v>
      </c>
      <c r="K1139" s="647" t="s">
        <v>1419</v>
      </c>
      <c r="L1139" s="657">
        <v>44667</v>
      </c>
      <c r="M1139" s="665" t="s">
        <v>2187</v>
      </c>
      <c r="N1139" s="647" t="s">
        <v>1982</v>
      </c>
      <c r="O1139" s="575">
        <v>2022.3</v>
      </c>
      <c r="P1139" s="665" t="str">
        <f>VLOOKUP(A1139,'[1]Raw data'!$B:$BA,23,FALSE)</f>
        <v>JPY</v>
      </c>
      <c r="Q1139" s="647" t="str">
        <f>VLOOKUP(A1139,'[1]Raw data'!$B:$Z,2,FALSE)</f>
        <v>C49SZX20210198DZ</v>
      </c>
      <c r="R1139" s="647" t="str">
        <f>VLOOKUP(A1139,'[1]Raw data'!$B:$Z,3,FALSE)</f>
        <v>汇海通达</v>
      </c>
      <c r="S1139" s="647" t="str">
        <f>VLOOKUP(A1139,'[1]Raw data'!$B:$Z,4,FALSE)</f>
        <v>YSM10</v>
      </c>
      <c r="T1139" s="647" t="str">
        <f>VLOOKUP(A1139,'[1]Raw data'!$B:$Z,8,FALSE)</f>
        <v>L-&gt;R</v>
      </c>
      <c r="U1139" s="647" t="str">
        <f>VLOOKUP(A1139,'[1]Raw data'!$B:$Z,9,FALSE)</f>
        <v>No</v>
      </c>
      <c r="V1139" s="567" t="str">
        <f t="shared" ref="V1139" si="240">IF(G1139&amp;H1139=T1139&amp;U1139,"OK","WRONG")</f>
        <v>WRONG</v>
      </c>
      <c r="W1139" s="563" t="str">
        <f>VLOOKUP(A1139,'[1]Raw data'!$B:$AG,32,FALSE)</f>
        <v>DAP SZ</v>
      </c>
      <c r="X1139" s="647">
        <f>VLOOKUP(A1139,'[1]Raw data'!$B:$BA,31,FALSE)</f>
        <v>44482</v>
      </c>
      <c r="Y1139" s="647" t="str">
        <f>VLOOKUP(A1139,'[1]Raw data'!$B:$AS,39,FALSE)</f>
        <v>Yes</v>
      </c>
      <c r="Z1139" s="659"/>
      <c r="AA1139" s="660"/>
      <c r="AB1139" s="661"/>
      <c r="AC1139" s="647" t="s">
        <v>1983</v>
      </c>
      <c r="AD1139" s="575">
        <v>312</v>
      </c>
      <c r="AE1139" s="575">
        <v>10</v>
      </c>
      <c r="AF1139" s="575"/>
      <c r="AG1139" s="575"/>
      <c r="AH1139" s="575"/>
      <c r="AI1139" s="679"/>
      <c r="AJ1139" s="564"/>
      <c r="AK1139" s="564"/>
      <c r="AL1139" s="564"/>
      <c r="AM1139" s="564"/>
      <c r="AN1139" s="614"/>
      <c r="AO1139" s="824" t="str">
        <f t="shared" si="227"/>
        <v>Yes</v>
      </c>
      <c r="AP1139" s="259" t="str">
        <f t="shared" si="228"/>
        <v>JUN 22</v>
      </c>
      <c r="AQ1139" s="542" t="str">
        <f t="shared" si="229"/>
        <v>有定金+有預留客戶</v>
      </c>
      <c r="AR1139" s="259" t="str">
        <f t="shared" si="230"/>
        <v>Shipped_Stock</v>
      </c>
      <c r="AS1139" s="259" t="str">
        <f t="shared" si="231"/>
        <v/>
      </c>
      <c r="AT1139" s="259" t="str">
        <f t="shared" si="232"/>
        <v>汇海通达</v>
      </c>
      <c r="AU1139" s="259" t="str">
        <f t="shared" si="233"/>
        <v>C49SZX20210198DZ</v>
      </c>
      <c r="AV1139" s="259" t="str">
        <f t="shared" si="234"/>
        <v>Apr-16</v>
      </c>
    </row>
    <row r="1140" spans="1:48" ht="39" hidden="1" thickBot="1">
      <c r="A1140" s="559">
        <v>1678</v>
      </c>
      <c r="B1140" s="664" t="s">
        <v>1125</v>
      </c>
      <c r="C1140" s="664" t="s">
        <v>281</v>
      </c>
      <c r="D1140" s="624">
        <v>110828</v>
      </c>
      <c r="E1140" s="774" t="s">
        <v>2188</v>
      </c>
      <c r="F1140" s="647" t="s">
        <v>17</v>
      </c>
      <c r="G1140" s="647" t="s">
        <v>18</v>
      </c>
      <c r="H1140" s="647" t="s">
        <v>102</v>
      </c>
      <c r="I1140" s="575" t="s">
        <v>2189</v>
      </c>
      <c r="J1140" s="575">
        <v>1</v>
      </c>
      <c r="K1140" s="563" t="s">
        <v>1419</v>
      </c>
      <c r="L1140" s="657">
        <v>44667</v>
      </c>
      <c r="M1140" s="753" t="s">
        <v>2190</v>
      </c>
      <c r="N1140" s="647" t="s">
        <v>1982</v>
      </c>
      <c r="O1140" s="575">
        <v>2022.3</v>
      </c>
      <c r="P1140" s="665" t="str">
        <f>VLOOKUP(A1140,'[1]Raw data'!$B:$BA,23,FALSE)</f>
        <v>RMB</v>
      </c>
      <c r="Q1140" s="647" t="str">
        <f>VLOOKUP(A1140,'[1]Raw data'!$B:$Z,2,FALSE)</f>
        <v>C49SZX20220065SX</v>
      </c>
      <c r="R1140" s="647" t="str">
        <f>VLOOKUP(A1140,'[1]Raw data'!$B:$Z,3,FALSE)</f>
        <v>正讯</v>
      </c>
      <c r="S1140" s="647" t="str">
        <f>VLOOKUP(A1140,'[1]Raw data'!$B:$Z,4,FALSE)</f>
        <v>YSM10</v>
      </c>
      <c r="T1140" s="647" t="str">
        <f>VLOOKUP(A1140,'[1]Raw data'!$B:$Z,8,FALSE)</f>
        <v>R-&gt;L</v>
      </c>
      <c r="U1140" s="647" t="str">
        <f>VLOOKUP(A1140,'[1]Raw data'!$B:$Z,9,FALSE)</f>
        <v>MVC</v>
      </c>
      <c r="V1140" s="567" t="str">
        <f t="shared" ref="V1140" si="241">IF(G1140&amp;H1140=T1140&amp;U1140,"OK","WRONG")</f>
        <v>WRONG</v>
      </c>
      <c r="W1140" s="563" t="str">
        <f>VLOOKUP(A1140,'[1]Raw data'!$B:$AG,32,FALSE)</f>
        <v>DDP SZ</v>
      </c>
      <c r="X1140" s="647">
        <f>VLOOKUP(A1140,'[1]Raw data'!$B:$BA,31,FALSE)</f>
        <v>44718</v>
      </c>
      <c r="Y1140" s="647" t="str">
        <f>VLOOKUP(A1140,'[1]Raw data'!$B:$AS,39,FALSE)</f>
        <v>Yes</v>
      </c>
      <c r="Z1140" s="659"/>
      <c r="AA1140" s="660"/>
      <c r="AB1140" s="661"/>
      <c r="AC1140" s="647" t="s">
        <v>2123</v>
      </c>
      <c r="AD1140" s="662">
        <v>301</v>
      </c>
      <c r="AE1140" s="662">
        <v>10</v>
      </c>
      <c r="AF1140" s="662"/>
      <c r="AG1140" s="662"/>
      <c r="AH1140" s="662"/>
      <c r="AI1140" s="663"/>
      <c r="AN1140" s="542"/>
      <c r="AO1140" s="824" t="str">
        <f t="shared" si="227"/>
        <v>Yes</v>
      </c>
      <c r="AP1140" s="259" t="str">
        <f t="shared" si="228"/>
        <v>JUN 22</v>
      </c>
      <c r="AQ1140" s="542" t="str">
        <f t="shared" si="229"/>
        <v>有定金+有預留客戶</v>
      </c>
      <c r="AR1140" s="259" t="str">
        <f t="shared" si="230"/>
        <v>Shipped_Stock</v>
      </c>
      <c r="AS1140" s="259" t="str">
        <f t="shared" si="231"/>
        <v/>
      </c>
      <c r="AT1140" s="259" t="str">
        <f t="shared" si="232"/>
        <v>正讯</v>
      </c>
      <c r="AU1140" s="259" t="str">
        <f t="shared" si="233"/>
        <v>C49SZX20220065SX</v>
      </c>
      <c r="AV1140" s="259" t="str">
        <f t="shared" si="234"/>
        <v>Apr-16</v>
      </c>
    </row>
    <row r="1141" spans="1:48" ht="25.5" hidden="1">
      <c r="A1141" s="559">
        <v>1566</v>
      </c>
      <c r="B1141" s="664" t="s">
        <v>1125</v>
      </c>
      <c r="C1141" s="664" t="s">
        <v>281</v>
      </c>
      <c r="D1141" s="776">
        <v>110832</v>
      </c>
      <c r="E1141" s="774" t="s">
        <v>2191</v>
      </c>
      <c r="F1141" s="647" t="s">
        <v>17</v>
      </c>
      <c r="G1141" s="647" t="s">
        <v>18</v>
      </c>
      <c r="H1141" s="647" t="s">
        <v>102</v>
      </c>
      <c r="I1141" s="575" t="s">
        <v>2192</v>
      </c>
      <c r="J1141" s="575">
        <v>1</v>
      </c>
      <c r="K1141" s="647" t="s">
        <v>78</v>
      </c>
      <c r="L1141" s="657">
        <v>44667</v>
      </c>
      <c r="M1141" s="665" t="s">
        <v>906</v>
      </c>
      <c r="N1141" s="647" t="s">
        <v>1903</v>
      </c>
      <c r="O1141" s="575">
        <v>2022.3</v>
      </c>
      <c r="P1141" s="665" t="str">
        <f>VLOOKUP(A1141,'[1]Raw data'!$B:$BA,23,FALSE)</f>
        <v>JPY</v>
      </c>
      <c r="Q1141" s="647" t="str">
        <f>VLOOKUP(A1141,'[1]Raw data'!$B:$Z,2,FALSE)</f>
        <v>C49SZX20220003EC</v>
      </c>
      <c r="R1141" s="647" t="str">
        <f>VLOOKUP(A1141,'[1]Raw data'!$B:$Z,3,FALSE)</f>
        <v>海红天远</v>
      </c>
      <c r="S1141" s="647" t="str">
        <f>VLOOKUP(A1141,'[1]Raw data'!$B:$Z,4,FALSE)</f>
        <v>YSM10</v>
      </c>
      <c r="T1141" s="647" t="str">
        <f>VLOOKUP(A1141,'[1]Raw data'!$B:$Z,8,FALSE)</f>
        <v>R-&gt;L</v>
      </c>
      <c r="U1141" s="647" t="str">
        <f>VLOOKUP(A1141,'[1]Raw data'!$B:$Z,9,FALSE)</f>
        <v>No</v>
      </c>
      <c r="V1141" s="567" t="str">
        <f t="shared" ref="V1141" si="242">IF(G1141&amp;H1141=T1141&amp;U1141,"OK","WRONG")</f>
        <v>WRONG</v>
      </c>
      <c r="W1141" s="563" t="str">
        <f>VLOOKUP(A1141,'[1]Raw data'!$B:$AG,32,FALSE)</f>
        <v>CIF HK</v>
      </c>
      <c r="X1141" s="647">
        <f>VLOOKUP(A1141,'[1]Raw data'!$B:$BA,31,FALSE)</f>
        <v>44585</v>
      </c>
      <c r="Y1141" s="647" t="str">
        <f>VLOOKUP(A1141,'[1]Raw data'!$B:$AS,39,FALSE)</f>
        <v>Yes</v>
      </c>
      <c r="Z1141" s="659"/>
      <c r="AA1141" s="660"/>
      <c r="AB1141" s="661"/>
      <c r="AC1141" s="647" t="s">
        <v>1079</v>
      </c>
      <c r="AD1141" s="662">
        <v>301</v>
      </c>
      <c r="AE1141" s="662">
        <v>10</v>
      </c>
      <c r="AF1141" s="662"/>
      <c r="AG1141" s="662"/>
      <c r="AH1141" s="662"/>
      <c r="AI1141" s="663"/>
      <c r="AN1141" s="542"/>
      <c r="AO1141" s="824" t="str">
        <f t="shared" si="227"/>
        <v>Yes</v>
      </c>
      <c r="AP1141" s="259" t="str">
        <f t="shared" si="228"/>
        <v>MAY 22</v>
      </c>
      <c r="AQ1141" s="542" t="str">
        <f t="shared" si="229"/>
        <v>有定金+有預留客戶</v>
      </c>
      <c r="AR1141" s="259" t="str">
        <f t="shared" si="230"/>
        <v>Shipped_Stock</v>
      </c>
      <c r="AS1141" s="259" t="str">
        <f t="shared" si="231"/>
        <v/>
      </c>
      <c r="AT1141" s="259" t="str">
        <f t="shared" si="232"/>
        <v>海红天远</v>
      </c>
      <c r="AU1141" s="259" t="str">
        <f t="shared" si="233"/>
        <v>C49SZX20220003EC</v>
      </c>
      <c r="AV1141" s="259" t="str">
        <f t="shared" si="234"/>
        <v>Apr-16</v>
      </c>
    </row>
    <row r="1142" spans="1:48" ht="24.75" hidden="1" thickBot="1">
      <c r="A1142" s="559">
        <v>1565</v>
      </c>
      <c r="B1142" s="664" t="s">
        <v>1125</v>
      </c>
      <c r="C1142" s="664" t="s">
        <v>281</v>
      </c>
      <c r="D1142" s="624">
        <v>110832</v>
      </c>
      <c r="E1142" s="777" t="s">
        <v>2191</v>
      </c>
      <c r="F1142" s="647" t="s">
        <v>17</v>
      </c>
      <c r="G1142" s="647" t="s">
        <v>18</v>
      </c>
      <c r="H1142" s="647" t="s">
        <v>102</v>
      </c>
      <c r="I1142" s="575" t="s">
        <v>2193</v>
      </c>
      <c r="J1142" s="575">
        <v>1</v>
      </c>
      <c r="K1142" s="647" t="s">
        <v>78</v>
      </c>
      <c r="L1142" s="657">
        <v>44667</v>
      </c>
      <c r="M1142" s="665" t="s">
        <v>906</v>
      </c>
      <c r="N1142" s="647" t="s">
        <v>1903</v>
      </c>
      <c r="O1142" s="575">
        <v>2022.3</v>
      </c>
      <c r="P1142" s="665" t="str">
        <f>VLOOKUP(A1142,'[1]Raw data'!$B:$BA,23,FALSE)</f>
        <v>JPY</v>
      </c>
      <c r="Q1142" s="647" t="str">
        <f>VLOOKUP(A1142,'[1]Raw data'!$B:$Z,2,FALSE)</f>
        <v>C49SZX20220003EC</v>
      </c>
      <c r="R1142" s="647" t="str">
        <f>VLOOKUP(A1142,'[1]Raw data'!$B:$Z,3,FALSE)</f>
        <v>海红天远</v>
      </c>
      <c r="S1142" s="647" t="str">
        <f>VLOOKUP(A1142,'[1]Raw data'!$B:$Z,4,FALSE)</f>
        <v>YSM10</v>
      </c>
      <c r="T1142" s="647" t="str">
        <f>VLOOKUP(A1142,'[1]Raw data'!$B:$Z,8,FALSE)</f>
        <v>R-&gt;L</v>
      </c>
      <c r="U1142" s="647" t="str">
        <f>VLOOKUP(A1142,'[1]Raw data'!$B:$Z,9,FALSE)</f>
        <v>No</v>
      </c>
      <c r="V1142" s="567" t="str">
        <f>IF(G1142&amp;H1142=T1142&amp;U1142,"OK","WRONG")</f>
        <v>WRONG</v>
      </c>
      <c r="W1142" s="563" t="str">
        <f>VLOOKUP(A1142,'[1]Raw data'!$B:$AG,32,FALSE)</f>
        <v>CIF HK</v>
      </c>
      <c r="X1142" s="647">
        <f>VLOOKUP(A1142,'[1]Raw data'!$B:$BA,31,FALSE)</f>
        <v>44585</v>
      </c>
      <c r="Y1142" s="647" t="str">
        <f>VLOOKUP(A1142,'[1]Raw data'!$B:$AS,39,FALSE)</f>
        <v>Yes</v>
      </c>
      <c r="Z1142" s="659"/>
      <c r="AA1142" s="660"/>
      <c r="AB1142" s="661"/>
      <c r="AC1142" s="647" t="s">
        <v>1079</v>
      </c>
      <c r="AD1142" s="662">
        <v>302</v>
      </c>
      <c r="AE1142" s="662">
        <v>10</v>
      </c>
      <c r="AF1142" s="662"/>
      <c r="AG1142" s="662"/>
      <c r="AH1142" s="662"/>
      <c r="AI1142" s="663"/>
      <c r="AN1142" s="542"/>
      <c r="AO1142" s="824" t="str">
        <f t="shared" si="227"/>
        <v>Yes</v>
      </c>
      <c r="AP1142" s="259" t="str">
        <f t="shared" si="228"/>
        <v>MAY 22</v>
      </c>
      <c r="AQ1142" s="542" t="str">
        <f t="shared" si="229"/>
        <v>有定金+有預留客戶</v>
      </c>
      <c r="AR1142" s="259" t="str">
        <f t="shared" si="230"/>
        <v>Shipped_Stock</v>
      </c>
      <c r="AS1142" s="259" t="str">
        <f t="shared" si="231"/>
        <v/>
      </c>
      <c r="AT1142" s="259" t="str">
        <f t="shared" si="232"/>
        <v>海红天远</v>
      </c>
      <c r="AU1142" s="259" t="str">
        <f t="shared" si="233"/>
        <v>C49SZX20220003EC</v>
      </c>
      <c r="AV1142" s="259" t="str">
        <f t="shared" si="234"/>
        <v>Apr-16</v>
      </c>
    </row>
    <row r="1143" spans="1:48" ht="22.5" hidden="1">
      <c r="A1143" s="559">
        <v>1679</v>
      </c>
      <c r="B1143" s="664" t="s">
        <v>1125</v>
      </c>
      <c r="C1143" s="664" t="s">
        <v>281</v>
      </c>
      <c r="D1143" s="623">
        <v>110833</v>
      </c>
      <c r="E1143" s="562" t="s">
        <v>2194</v>
      </c>
      <c r="F1143" s="563" t="s">
        <v>58</v>
      </c>
      <c r="G1143" s="563" t="s">
        <v>18</v>
      </c>
      <c r="H1143" s="563" t="s">
        <v>26</v>
      </c>
      <c r="I1143" s="564" t="s">
        <v>2195</v>
      </c>
      <c r="J1143" s="564">
        <v>1</v>
      </c>
      <c r="K1143" s="563" t="s">
        <v>1419</v>
      </c>
      <c r="L1143" s="657">
        <v>44680</v>
      </c>
      <c r="M1143" s="768" t="s">
        <v>2196</v>
      </c>
      <c r="N1143" s="647" t="s">
        <v>1982</v>
      </c>
      <c r="O1143" s="575">
        <v>2022.4</v>
      </c>
      <c r="P1143" s="665" t="str">
        <f>VLOOKUP(A1143,'[1]Raw data'!$B:$BA,23,FALSE)</f>
        <v>RMB</v>
      </c>
      <c r="Q1143" s="647" t="str">
        <f>VLOOKUP(A1143,'[1]Raw data'!$B:$Z,2,FALSE)</f>
        <v>C49SZX20220065SX</v>
      </c>
      <c r="R1143" s="647" t="str">
        <f>VLOOKUP(A1143,'[1]Raw data'!$B:$Z,3,FALSE)</f>
        <v>正讯</v>
      </c>
      <c r="S1143" s="647" t="str">
        <f>VLOOKUP(A1143,'[1]Raw data'!$B:$Z,4,FALSE)</f>
        <v>YSM20R-2</v>
      </c>
      <c r="T1143" s="647" t="str">
        <f>VLOOKUP(A1143,'[1]Raw data'!$B:$Z,8,FALSE)</f>
        <v>R-&gt;L</v>
      </c>
      <c r="U1143" s="647" t="str">
        <f>VLOOKUP(A1143,'[1]Raw data'!$B:$Z,9,FALSE)</f>
        <v>No</v>
      </c>
      <c r="V1143" s="567" t="str">
        <f t="shared" ref="V1143" si="243">IF(G1143&amp;H1143=T1143&amp;U1143,"OK","WRONG")</f>
        <v>OK</v>
      </c>
      <c r="W1143" s="563" t="str">
        <f>VLOOKUP(A1143,'[1]Raw data'!$B:$AG,32,FALSE)</f>
        <v>DDP SZ</v>
      </c>
      <c r="X1143" s="647">
        <f>VLOOKUP(A1143,'[1]Raw data'!$B:$BA,31,FALSE)</f>
        <v>44718</v>
      </c>
      <c r="Y1143" s="647" t="str">
        <f>VLOOKUP(A1143,'[1]Raw data'!$B:$AS,39,FALSE)</f>
        <v>Yes</v>
      </c>
      <c r="Z1143" s="659"/>
      <c r="AA1143" s="660"/>
      <c r="AB1143" s="661"/>
      <c r="AC1143" s="647" t="s">
        <v>2123</v>
      </c>
      <c r="AD1143" s="662">
        <v>301</v>
      </c>
      <c r="AE1143" s="662">
        <v>10</v>
      </c>
      <c r="AF1143" s="662">
        <v>302</v>
      </c>
      <c r="AG1143" s="662">
        <v>10</v>
      </c>
      <c r="AH1143" s="662"/>
      <c r="AI1143" s="663"/>
      <c r="AN1143" s="542"/>
      <c r="AO1143" s="824" t="str">
        <f t="shared" si="227"/>
        <v>Yes</v>
      </c>
      <c r="AP1143" s="259" t="str">
        <f t="shared" si="228"/>
        <v>JUN 22</v>
      </c>
      <c r="AQ1143" s="542" t="str">
        <f t="shared" si="229"/>
        <v>有定金+有預留客戶</v>
      </c>
      <c r="AR1143" s="259" t="str">
        <f t="shared" si="230"/>
        <v>Shipped_Stock</v>
      </c>
      <c r="AS1143" s="259" t="str">
        <f t="shared" si="231"/>
        <v/>
      </c>
      <c r="AT1143" s="259" t="str">
        <f t="shared" si="232"/>
        <v>正讯</v>
      </c>
      <c r="AU1143" s="259" t="str">
        <f t="shared" si="233"/>
        <v>C49SZX20220065SX</v>
      </c>
      <c r="AV1143" s="259" t="str">
        <f t="shared" si="234"/>
        <v>Apr-29</v>
      </c>
    </row>
    <row r="1144" spans="1:48" hidden="1">
      <c r="A1144" s="559">
        <v>1562</v>
      </c>
      <c r="B1144" s="664" t="s">
        <v>1125</v>
      </c>
      <c r="C1144" s="664" t="s">
        <v>281</v>
      </c>
      <c r="D1144" s="625">
        <v>110835</v>
      </c>
      <c r="E1144" s="562" t="s">
        <v>2197</v>
      </c>
      <c r="F1144" s="563" t="s">
        <v>58</v>
      </c>
      <c r="G1144" s="563" t="s">
        <v>24</v>
      </c>
      <c r="H1144" s="563" t="s">
        <v>26</v>
      </c>
      <c r="I1144" s="564" t="s">
        <v>2198</v>
      </c>
      <c r="J1144" s="564">
        <v>1</v>
      </c>
      <c r="K1144" s="563" t="s">
        <v>78</v>
      </c>
      <c r="L1144" s="657">
        <v>44680</v>
      </c>
      <c r="M1144" s="665" t="s">
        <v>906</v>
      </c>
      <c r="N1144" s="647" t="s">
        <v>1903</v>
      </c>
      <c r="O1144" s="575">
        <v>2022.4</v>
      </c>
      <c r="P1144" s="665" t="str">
        <f>VLOOKUP(A1144,'[1]Raw data'!$B:$BA,23,FALSE)</f>
        <v>JPY</v>
      </c>
      <c r="Q1144" s="647" t="str">
        <f>VLOOKUP(A1144,'[1]Raw data'!$B:$Z,2,FALSE)</f>
        <v>C49SZX20220003EC</v>
      </c>
      <c r="R1144" s="647" t="str">
        <f>VLOOKUP(A1144,'[1]Raw data'!$B:$Z,3,FALSE)</f>
        <v>海红天远</v>
      </c>
      <c r="S1144" s="647" t="str">
        <f>VLOOKUP(A1144,'[1]Raw data'!$B:$Z,4,FALSE)</f>
        <v>YSM20R-2</v>
      </c>
      <c r="T1144" s="647" t="str">
        <f>VLOOKUP(A1144,'[1]Raw data'!$B:$Z,8,FALSE)</f>
        <v>L-&gt;R</v>
      </c>
      <c r="U1144" s="647" t="str">
        <f>VLOOKUP(A1144,'[1]Raw data'!$B:$Z,9,FALSE)</f>
        <v>No</v>
      </c>
      <c r="V1144" s="567" t="str">
        <f t="shared" ref="V1144:V1149" si="244">IF(G1144&amp;H1144=T1144&amp;U1144,"OK","WRONG")</f>
        <v>OK</v>
      </c>
      <c r="W1144" s="563" t="str">
        <f>VLOOKUP(A1144,'[1]Raw data'!$B:$AG,32,FALSE)</f>
        <v>CIF HK</v>
      </c>
      <c r="X1144" s="647">
        <f>VLOOKUP(A1144,'[1]Raw data'!$B:$BA,31,FALSE)</f>
        <v>44585</v>
      </c>
      <c r="Y1144" s="647" t="str">
        <f>VLOOKUP(A1144,'[1]Raw data'!$B:$AS,39,FALSE)</f>
        <v>Yes</v>
      </c>
      <c r="Z1144" s="659"/>
      <c r="AA1144" s="660"/>
      <c r="AB1144" s="661"/>
      <c r="AC1144" s="647" t="s">
        <v>1079</v>
      </c>
      <c r="AD1144" s="662">
        <v>304</v>
      </c>
      <c r="AE1144" s="662">
        <v>20</v>
      </c>
      <c r="AF1144" s="662"/>
      <c r="AG1144" s="662"/>
      <c r="AH1144" s="662"/>
      <c r="AI1144" s="663"/>
      <c r="AN1144" s="542"/>
      <c r="AO1144" s="824" t="str">
        <f t="shared" si="227"/>
        <v>Yes</v>
      </c>
      <c r="AP1144" s="259" t="str">
        <f t="shared" si="228"/>
        <v>MAY 22</v>
      </c>
      <c r="AQ1144" s="542" t="str">
        <f t="shared" si="229"/>
        <v>有定金+有預留客戶</v>
      </c>
      <c r="AR1144" s="259" t="str">
        <f t="shared" si="230"/>
        <v>Shipped_Stock</v>
      </c>
      <c r="AS1144" s="259" t="str">
        <f t="shared" si="231"/>
        <v/>
      </c>
      <c r="AT1144" s="259" t="str">
        <f t="shared" si="232"/>
        <v>海红天远</v>
      </c>
      <c r="AU1144" s="259" t="str">
        <f t="shared" si="233"/>
        <v>C49SZX20220003EC</v>
      </c>
      <c r="AV1144" s="259" t="str">
        <f t="shared" si="234"/>
        <v>Apr-29</v>
      </c>
    </row>
    <row r="1145" spans="1:48" ht="13.5" hidden="1" thickBot="1">
      <c r="A1145" s="599">
        <v>1594</v>
      </c>
      <c r="B1145" s="664" t="s">
        <v>1125</v>
      </c>
      <c r="C1145" s="664" t="s">
        <v>281</v>
      </c>
      <c r="D1145" s="624">
        <v>110837</v>
      </c>
      <c r="E1145" s="778" t="s">
        <v>2199</v>
      </c>
      <c r="F1145" s="563" t="s">
        <v>58</v>
      </c>
      <c r="G1145" s="563" t="s">
        <v>18</v>
      </c>
      <c r="H1145" s="563" t="s">
        <v>26</v>
      </c>
      <c r="I1145" s="564" t="s">
        <v>2200</v>
      </c>
      <c r="J1145" s="564">
        <v>1</v>
      </c>
      <c r="K1145" s="563" t="s">
        <v>78</v>
      </c>
      <c r="L1145" s="657">
        <v>44680</v>
      </c>
      <c r="M1145" s="768" t="s">
        <v>906</v>
      </c>
      <c r="N1145" s="647" t="s">
        <v>1903</v>
      </c>
      <c r="O1145" s="575">
        <v>2022.4</v>
      </c>
      <c r="P1145" s="665" t="str">
        <f>VLOOKUP(A1145,'[1]Raw data'!$B:$BA,23,FALSE)</f>
        <v>JPY</v>
      </c>
      <c r="Q1145" s="647" t="str">
        <f>VLOOKUP(A1145,'[1]Raw data'!$B:$Z,2,FALSE)</f>
        <v>C49SZX20220013DZ</v>
      </c>
      <c r="R1145" s="647" t="str">
        <f>VLOOKUP(A1145,'[1]Raw data'!$B:$Z,3,FALSE)</f>
        <v>朗特</v>
      </c>
      <c r="S1145" s="647" t="str">
        <f>VLOOKUP(A1145,'[1]Raw data'!$B:$Z,4,FALSE)</f>
        <v>YSM20R-2</v>
      </c>
      <c r="T1145" s="647" t="str">
        <f>VLOOKUP(A1145,'[1]Raw data'!$B:$Z,8,FALSE)</f>
        <v>R-&gt;L</v>
      </c>
      <c r="U1145" s="647" t="str">
        <f>VLOOKUP(A1145,'[1]Raw data'!$B:$Z,9,FALSE)</f>
        <v>No</v>
      </c>
      <c r="V1145" s="567" t="str">
        <f t="shared" si="244"/>
        <v>OK</v>
      </c>
      <c r="W1145" s="563" t="str">
        <f>VLOOKUP(A1145,'[1]Raw data'!$B:$AG,32,FALSE)</f>
        <v>CIF HK</v>
      </c>
      <c r="X1145" s="647">
        <f>VLOOKUP(A1145,'[1]Raw data'!$B:$BA,31,FALSE)</f>
        <v>44614</v>
      </c>
      <c r="Y1145" s="647" t="str">
        <f>VLOOKUP(A1145,'[1]Raw data'!$B:$AS,39,FALSE)</f>
        <v>Yes</v>
      </c>
      <c r="Z1145" s="659"/>
      <c r="AA1145" s="660"/>
      <c r="AB1145" s="661"/>
      <c r="AC1145" s="647" t="s">
        <v>2174</v>
      </c>
      <c r="AD1145" s="575">
        <v>301</v>
      </c>
      <c r="AE1145" s="575">
        <v>10</v>
      </c>
      <c r="AF1145" s="575">
        <v>302</v>
      </c>
      <c r="AG1145" s="575">
        <v>10</v>
      </c>
      <c r="AH1145" s="575"/>
      <c r="AI1145" s="679"/>
      <c r="AJ1145" s="564"/>
      <c r="AK1145" s="564"/>
      <c r="AL1145" s="564"/>
      <c r="AM1145" s="564"/>
      <c r="AN1145" s="614"/>
      <c r="AO1145" s="824" t="str">
        <f t="shared" si="227"/>
        <v>Yes</v>
      </c>
      <c r="AP1145" s="259" t="str">
        <f t="shared" si="228"/>
        <v>MAY 22</v>
      </c>
      <c r="AQ1145" s="542" t="str">
        <f t="shared" si="229"/>
        <v>有定金+有預留客戶</v>
      </c>
      <c r="AR1145" s="259" t="str">
        <f t="shared" si="230"/>
        <v>Shipped_Stock</v>
      </c>
      <c r="AS1145" s="259" t="str">
        <f t="shared" si="231"/>
        <v/>
      </c>
      <c r="AT1145" s="259" t="str">
        <f t="shared" si="232"/>
        <v>朗特</v>
      </c>
      <c r="AU1145" s="259" t="str">
        <f t="shared" si="233"/>
        <v>C49SZX20220013DZ</v>
      </c>
      <c r="AV1145" s="259" t="str">
        <f t="shared" si="234"/>
        <v>Apr-29</v>
      </c>
    </row>
    <row r="1146" spans="1:48" hidden="1">
      <c r="A1146" s="599">
        <v>1301</v>
      </c>
      <c r="B1146" s="664" t="s">
        <v>1125</v>
      </c>
      <c r="C1146" s="664" t="s">
        <v>281</v>
      </c>
      <c r="D1146" s="761">
        <v>110838</v>
      </c>
      <c r="E1146" s="646" t="s">
        <v>2201</v>
      </c>
      <c r="F1146" s="647" t="s">
        <v>58</v>
      </c>
      <c r="G1146" s="647" t="s">
        <v>24</v>
      </c>
      <c r="H1146" s="647" t="s">
        <v>26</v>
      </c>
      <c r="I1146" s="575" t="s">
        <v>2202</v>
      </c>
      <c r="J1146" s="575">
        <v>1</v>
      </c>
      <c r="K1146" s="647" t="s">
        <v>85</v>
      </c>
      <c r="L1146" s="657">
        <v>44680</v>
      </c>
      <c r="M1146" s="665" t="s">
        <v>906</v>
      </c>
      <c r="N1146" s="647" t="s">
        <v>1903</v>
      </c>
      <c r="O1146" s="575">
        <v>2022.4</v>
      </c>
      <c r="P1146" s="665" t="str">
        <f>VLOOKUP(A1146,'[1]Raw data'!$B:$BA,23,FALSE)</f>
        <v>JPY</v>
      </c>
      <c r="Q1146" s="647" t="str">
        <f>VLOOKUP(A1146,'[1]Raw data'!$B:$Z,2,FALSE)</f>
        <v>C49SZX20210106JY</v>
      </c>
      <c r="R1146" s="647" t="str">
        <f>VLOOKUP(A1146,'[1]Raw data'!$B:$Z,3,FALSE)</f>
        <v>辉拓</v>
      </c>
      <c r="S1146" s="647" t="str">
        <f>VLOOKUP(A1146,'[1]Raw data'!$B:$Z,4,FALSE)</f>
        <v>YSM20R-2</v>
      </c>
      <c r="T1146" s="647" t="str">
        <f>VLOOKUP(A1146,'[1]Raw data'!$B:$Z,8,FALSE)</f>
        <v>L-&gt;R</v>
      </c>
      <c r="U1146" s="647" t="str">
        <f>VLOOKUP(A1146,'[1]Raw data'!$B:$Z,9,FALSE)</f>
        <v>MVC</v>
      </c>
      <c r="V1146" s="567" t="str">
        <f t="shared" si="244"/>
        <v>WRONG</v>
      </c>
      <c r="W1146" s="563" t="str">
        <f>VLOOKUP(A1146,'[1]Raw data'!$B:$AG,32,FALSE)</f>
        <v>DAP SZ</v>
      </c>
      <c r="X1146" s="647">
        <f>VLOOKUP(A1146,'[1]Raw data'!$B:$BA,31,FALSE)</f>
        <v>44293</v>
      </c>
      <c r="Y1146" s="647" t="str">
        <f>VLOOKUP(A1146,'[1]Raw data'!$B:$AS,39,FALSE)</f>
        <v>Yes</v>
      </c>
      <c r="Z1146" s="659"/>
      <c r="AA1146" s="660"/>
      <c r="AB1146" s="661"/>
      <c r="AC1146" s="647" t="s">
        <v>2203</v>
      </c>
      <c r="AD1146" s="575">
        <v>301</v>
      </c>
      <c r="AE1146" s="575">
        <v>10</v>
      </c>
      <c r="AF1146" s="575">
        <v>302</v>
      </c>
      <c r="AG1146" s="575">
        <v>10</v>
      </c>
      <c r="AH1146" s="575"/>
      <c r="AI1146" s="679"/>
      <c r="AJ1146" s="564"/>
      <c r="AK1146" s="564"/>
      <c r="AL1146" s="564"/>
      <c r="AM1146" s="564"/>
      <c r="AN1146" s="614"/>
      <c r="AO1146" s="824" t="str">
        <f t="shared" si="227"/>
        <v>Yes</v>
      </c>
      <c r="AP1146" s="259" t="str">
        <f t="shared" si="228"/>
        <v>MAY 22</v>
      </c>
      <c r="AQ1146" s="542" t="str">
        <f t="shared" si="229"/>
        <v>有定金+有預留客戶</v>
      </c>
      <c r="AR1146" s="259" t="str">
        <f t="shared" si="230"/>
        <v>Shipped_Stock</v>
      </c>
      <c r="AS1146" s="259" t="str">
        <f t="shared" si="231"/>
        <v/>
      </c>
      <c r="AT1146" s="259" t="str">
        <f t="shared" si="232"/>
        <v>辉拓</v>
      </c>
      <c r="AU1146" s="259" t="str">
        <f t="shared" si="233"/>
        <v>C49SZX20210106JY</v>
      </c>
      <c r="AV1146" s="259" t="str">
        <f t="shared" si="234"/>
        <v>Apr-29</v>
      </c>
    </row>
    <row r="1147" spans="1:48" hidden="1">
      <c r="A1147" s="599">
        <v>1302</v>
      </c>
      <c r="B1147" s="664" t="s">
        <v>1125</v>
      </c>
      <c r="C1147" s="664" t="s">
        <v>281</v>
      </c>
      <c r="D1147" s="755">
        <v>110838</v>
      </c>
      <c r="E1147" s="646" t="s">
        <v>2201</v>
      </c>
      <c r="F1147" s="647" t="s">
        <v>58</v>
      </c>
      <c r="G1147" s="647" t="s">
        <v>24</v>
      </c>
      <c r="H1147" s="647" t="s">
        <v>26</v>
      </c>
      <c r="I1147" s="575" t="s">
        <v>2204</v>
      </c>
      <c r="J1147" s="575">
        <v>1</v>
      </c>
      <c r="K1147" s="647" t="s">
        <v>85</v>
      </c>
      <c r="L1147" s="657">
        <v>44680</v>
      </c>
      <c r="M1147" s="665" t="s">
        <v>906</v>
      </c>
      <c r="N1147" s="647" t="s">
        <v>1903</v>
      </c>
      <c r="O1147" s="575">
        <v>2022.4</v>
      </c>
      <c r="P1147" s="665" t="str">
        <f>VLOOKUP(A1147,'[1]Raw data'!$B:$BA,23,FALSE)</f>
        <v>JPY</v>
      </c>
      <c r="Q1147" s="647" t="str">
        <f>VLOOKUP(A1147,'[1]Raw data'!$B:$Z,2,FALSE)</f>
        <v>C49SZX20210106JY</v>
      </c>
      <c r="R1147" s="647" t="str">
        <f>VLOOKUP(A1147,'[1]Raw data'!$B:$Z,3,FALSE)</f>
        <v>辉拓</v>
      </c>
      <c r="S1147" s="647" t="str">
        <f>VLOOKUP(A1147,'[1]Raw data'!$B:$Z,4,FALSE)</f>
        <v>YSM20R-2</v>
      </c>
      <c r="T1147" s="647" t="str">
        <f>VLOOKUP(A1147,'[1]Raw data'!$B:$Z,8,FALSE)</f>
        <v>L-&gt;R</v>
      </c>
      <c r="U1147" s="647" t="str">
        <f>VLOOKUP(A1147,'[1]Raw data'!$B:$Z,9,FALSE)</f>
        <v>MVC</v>
      </c>
      <c r="V1147" s="567" t="str">
        <f t="shared" si="244"/>
        <v>WRONG</v>
      </c>
      <c r="W1147" s="563" t="str">
        <f>VLOOKUP(A1147,'[1]Raw data'!$B:$AG,32,FALSE)</f>
        <v>DAP SZ</v>
      </c>
      <c r="X1147" s="647">
        <f>VLOOKUP(A1147,'[1]Raw data'!$B:$BA,31,FALSE)</f>
        <v>44293</v>
      </c>
      <c r="Y1147" s="647" t="str">
        <f>VLOOKUP(A1147,'[1]Raw data'!$B:$AS,39,FALSE)</f>
        <v>Yes</v>
      </c>
      <c r="Z1147" s="659"/>
      <c r="AA1147" s="660"/>
      <c r="AB1147" s="661"/>
      <c r="AC1147" s="647" t="s">
        <v>2203</v>
      </c>
      <c r="AD1147" s="575">
        <v>301</v>
      </c>
      <c r="AE1147" s="575">
        <v>10</v>
      </c>
      <c r="AF1147" s="575">
        <v>302</v>
      </c>
      <c r="AG1147" s="575">
        <v>10</v>
      </c>
      <c r="AH1147" s="575"/>
      <c r="AI1147" s="679"/>
      <c r="AJ1147" s="564"/>
      <c r="AK1147" s="564"/>
      <c r="AL1147" s="564"/>
      <c r="AM1147" s="564"/>
      <c r="AN1147" s="614"/>
      <c r="AO1147" s="824" t="str">
        <f t="shared" si="227"/>
        <v>Yes</v>
      </c>
      <c r="AP1147" s="259" t="str">
        <f t="shared" si="228"/>
        <v>MAY 22</v>
      </c>
      <c r="AQ1147" s="542" t="str">
        <f t="shared" si="229"/>
        <v>有定金+有預留客戶</v>
      </c>
      <c r="AR1147" s="259" t="str">
        <f t="shared" si="230"/>
        <v>Shipped_Stock</v>
      </c>
      <c r="AS1147" s="259" t="str">
        <f t="shared" si="231"/>
        <v/>
      </c>
      <c r="AT1147" s="259" t="str">
        <f t="shared" si="232"/>
        <v>辉拓</v>
      </c>
      <c r="AU1147" s="259" t="str">
        <f t="shared" si="233"/>
        <v>C49SZX20210106JY</v>
      </c>
      <c r="AV1147" s="259" t="str">
        <f t="shared" si="234"/>
        <v>Apr-29</v>
      </c>
    </row>
    <row r="1148" spans="1:48" hidden="1">
      <c r="A1148" s="559">
        <v>1561</v>
      </c>
      <c r="B1148" s="664" t="s">
        <v>1125</v>
      </c>
      <c r="C1148" s="664" t="s">
        <v>281</v>
      </c>
      <c r="D1148" s="755">
        <v>110834</v>
      </c>
      <c r="E1148" s="756" t="s">
        <v>2205</v>
      </c>
      <c r="F1148" s="647" t="s">
        <v>58</v>
      </c>
      <c r="G1148" s="647" t="s">
        <v>18</v>
      </c>
      <c r="H1148" s="647" t="s">
        <v>26</v>
      </c>
      <c r="I1148" s="575" t="s">
        <v>2206</v>
      </c>
      <c r="J1148" s="575">
        <v>1</v>
      </c>
      <c r="K1148" s="647" t="s">
        <v>78</v>
      </c>
      <c r="L1148" s="657">
        <v>44680</v>
      </c>
      <c r="M1148" s="665" t="s">
        <v>906</v>
      </c>
      <c r="N1148" s="647" t="s">
        <v>1903</v>
      </c>
      <c r="O1148" s="575">
        <v>2022.4</v>
      </c>
      <c r="P1148" s="665" t="str">
        <f>VLOOKUP(A1148,'[1]Raw data'!$B:$BA,23,FALSE)</f>
        <v>JPY</v>
      </c>
      <c r="Q1148" s="647" t="str">
        <f>VLOOKUP(A1148,'[1]Raw data'!$B:$Z,2,FALSE)</f>
        <v>C49SZX20220003EC</v>
      </c>
      <c r="R1148" s="647" t="str">
        <f>VLOOKUP(A1148,'[1]Raw data'!$B:$Z,3,FALSE)</f>
        <v>海红天远</v>
      </c>
      <c r="S1148" s="647" t="str">
        <f>VLOOKUP(A1148,'[1]Raw data'!$B:$Z,4,FALSE)</f>
        <v>YSM20R-2</v>
      </c>
      <c r="T1148" s="647" t="str">
        <f>VLOOKUP(A1148,'[1]Raw data'!$B:$Z,8,FALSE)</f>
        <v>R-&gt;L</v>
      </c>
      <c r="U1148" s="647" t="str">
        <f>VLOOKUP(A1148,'[1]Raw data'!$B:$Z,9,FALSE)</f>
        <v>No</v>
      </c>
      <c r="V1148" s="567" t="str">
        <f t="shared" si="244"/>
        <v>OK</v>
      </c>
      <c r="W1148" s="563" t="str">
        <f>VLOOKUP(A1148,'[1]Raw data'!$B:$AG,32,FALSE)</f>
        <v>CIF HK</v>
      </c>
      <c r="X1148" s="647">
        <f>VLOOKUP(A1148,'[1]Raw data'!$B:$BA,31,FALSE)</f>
        <v>44585</v>
      </c>
      <c r="Y1148" s="647" t="str">
        <f>VLOOKUP(A1148,'[1]Raw data'!$B:$AS,39,FALSE)</f>
        <v>Yes</v>
      </c>
      <c r="Z1148" s="659"/>
      <c r="AA1148" s="660"/>
      <c r="AB1148" s="661"/>
      <c r="AC1148" s="647" t="s">
        <v>2207</v>
      </c>
      <c r="AD1148" s="662">
        <v>303</v>
      </c>
      <c r="AE1148" s="662">
        <v>10</v>
      </c>
      <c r="AF1148" s="662">
        <v>304</v>
      </c>
      <c r="AG1148" s="662">
        <v>10</v>
      </c>
      <c r="AH1148" s="662"/>
      <c r="AI1148" s="663"/>
      <c r="AN1148" s="542"/>
      <c r="AO1148" s="824" t="str">
        <f t="shared" si="227"/>
        <v>Yes</v>
      </c>
      <c r="AP1148" s="259" t="str">
        <f t="shared" si="228"/>
        <v>MAY 22</v>
      </c>
      <c r="AQ1148" s="542" t="str">
        <f t="shared" si="229"/>
        <v>有定金+有預留客戶</v>
      </c>
      <c r="AR1148" s="259" t="str">
        <f t="shared" si="230"/>
        <v>Shipped_Stock</v>
      </c>
      <c r="AS1148" s="259" t="str">
        <f t="shared" si="231"/>
        <v/>
      </c>
      <c r="AT1148" s="259" t="str">
        <f t="shared" si="232"/>
        <v>海红天远</v>
      </c>
      <c r="AU1148" s="259" t="str">
        <f t="shared" si="233"/>
        <v>C49SZX20220003EC</v>
      </c>
      <c r="AV1148" s="259" t="str">
        <f t="shared" si="234"/>
        <v>Apr-29</v>
      </c>
    </row>
    <row r="1149" spans="1:48" hidden="1">
      <c r="A1149" s="559">
        <v>1588</v>
      </c>
      <c r="B1149" s="664" t="s">
        <v>1125</v>
      </c>
      <c r="C1149" s="664" t="s">
        <v>281</v>
      </c>
      <c r="D1149" s="755">
        <v>110836</v>
      </c>
      <c r="E1149" s="646" t="s">
        <v>2208</v>
      </c>
      <c r="F1149" s="647" t="s">
        <v>58</v>
      </c>
      <c r="G1149" s="647" t="s">
        <v>18</v>
      </c>
      <c r="H1149" s="647" t="s">
        <v>26</v>
      </c>
      <c r="I1149" s="575" t="s">
        <v>2209</v>
      </c>
      <c r="J1149" s="575">
        <v>1</v>
      </c>
      <c r="K1149" s="647" t="s">
        <v>78</v>
      </c>
      <c r="L1149" s="657">
        <v>44680</v>
      </c>
      <c r="M1149" s="665" t="s">
        <v>906</v>
      </c>
      <c r="N1149" s="647" t="s">
        <v>1903</v>
      </c>
      <c r="O1149" s="575">
        <v>2022.4</v>
      </c>
      <c r="P1149" s="665" t="str">
        <f>VLOOKUP(A1149,'[1]Raw data'!$B:$BA,23,FALSE)</f>
        <v>JPY</v>
      </c>
      <c r="Q1149" s="647" t="str">
        <f>VLOOKUP(A1149,'[1]Raw data'!$B:$Z,2,FALSE)</f>
        <v>C49SZX20220013DZ</v>
      </c>
      <c r="R1149" s="647" t="str">
        <f>VLOOKUP(A1149,'[1]Raw data'!$B:$Z,3,FALSE)</f>
        <v>朗特</v>
      </c>
      <c r="S1149" s="647" t="str">
        <f>VLOOKUP(A1149,'[1]Raw data'!$B:$Z,4,FALSE)</f>
        <v>YSM20R-2</v>
      </c>
      <c r="T1149" s="647" t="str">
        <f>VLOOKUP(A1149,'[1]Raw data'!$B:$Z,8,FALSE)</f>
        <v>R-&gt;L</v>
      </c>
      <c r="U1149" s="647" t="str">
        <f>VLOOKUP(A1149,'[1]Raw data'!$B:$Z,9,FALSE)</f>
        <v>No</v>
      </c>
      <c r="V1149" s="567" t="str">
        <f t="shared" si="244"/>
        <v>OK</v>
      </c>
      <c r="W1149" s="563" t="str">
        <f>VLOOKUP(A1149,'[1]Raw data'!$B:$AG,32,FALSE)</f>
        <v>CIF HK</v>
      </c>
      <c r="X1149" s="647">
        <f>VLOOKUP(A1149,'[1]Raw data'!$B:$BA,31,FALSE)</f>
        <v>44614</v>
      </c>
      <c r="Y1149" s="647" t="str">
        <f>VLOOKUP(A1149,'[1]Raw data'!$B:$AS,39,FALSE)</f>
        <v>Yes</v>
      </c>
      <c r="Z1149" s="659"/>
      <c r="AA1149" s="660"/>
      <c r="AB1149" s="661"/>
      <c r="AC1149" s="647" t="s">
        <v>1005</v>
      </c>
      <c r="AD1149" s="662">
        <v>301</v>
      </c>
      <c r="AE1149" s="662">
        <v>10</v>
      </c>
      <c r="AF1149" s="662">
        <v>302</v>
      </c>
      <c r="AG1149" s="662">
        <v>10</v>
      </c>
      <c r="AH1149" s="662"/>
      <c r="AI1149" s="663"/>
      <c r="AN1149" s="542"/>
      <c r="AO1149" s="824" t="str">
        <f t="shared" si="227"/>
        <v>Yes</v>
      </c>
      <c r="AP1149" s="259" t="str">
        <f t="shared" si="228"/>
        <v>MAY 22</v>
      </c>
      <c r="AQ1149" s="542" t="str">
        <f t="shared" si="229"/>
        <v>有定金+有預留客戶</v>
      </c>
      <c r="AR1149" s="259" t="str">
        <f t="shared" si="230"/>
        <v>Shipped_Stock</v>
      </c>
      <c r="AS1149" s="259" t="str">
        <f t="shared" si="231"/>
        <v/>
      </c>
      <c r="AT1149" s="259" t="str">
        <f t="shared" si="232"/>
        <v>朗特</v>
      </c>
      <c r="AU1149" s="259" t="str">
        <f t="shared" si="233"/>
        <v>C49SZX20220013DZ</v>
      </c>
      <c r="AV1149" s="259" t="str">
        <f t="shared" si="234"/>
        <v>Apr-29</v>
      </c>
    </row>
    <row r="1150" spans="1:48" hidden="1">
      <c r="A1150" s="599">
        <v>1637</v>
      </c>
      <c r="B1150" s="664" t="s">
        <v>1125</v>
      </c>
      <c r="C1150" s="664" t="s">
        <v>15</v>
      </c>
      <c r="D1150" s="623" t="s">
        <v>2210</v>
      </c>
      <c r="E1150" s="646" t="s">
        <v>2135</v>
      </c>
      <c r="F1150" s="647" t="s">
        <v>17</v>
      </c>
      <c r="G1150" s="647" t="s">
        <v>18</v>
      </c>
      <c r="H1150" s="647" t="s">
        <v>27</v>
      </c>
      <c r="I1150" s="575" t="s">
        <v>2211</v>
      </c>
      <c r="J1150" s="575">
        <v>1</v>
      </c>
      <c r="K1150" s="647" t="s">
        <v>1419</v>
      </c>
      <c r="L1150" s="657">
        <v>44688</v>
      </c>
      <c r="M1150" s="665" t="s">
        <v>2212</v>
      </c>
      <c r="N1150" s="647" t="s">
        <v>1982</v>
      </c>
      <c r="O1150" s="575">
        <v>2022.4</v>
      </c>
      <c r="P1150" s="665" t="str">
        <f>VLOOKUP(A1150,'[1]Raw data'!$B:$BA,23,FALSE)</f>
        <v>JPY</v>
      </c>
      <c r="Q1150" s="647" t="str">
        <f>VLOOKUP(A1150,'[1]Raw data'!$B:$Z,2,FALSE)</f>
        <v>C49SZX20220045SX</v>
      </c>
      <c r="R1150" s="647" t="str">
        <f>VLOOKUP(A1150,'[1]Raw data'!$B:$Z,3,FALSE)</f>
        <v>恒磊</v>
      </c>
      <c r="S1150" s="647" t="str">
        <f>VLOOKUP(A1150,'[1]Raw data'!$B:$Z,4,FALSE)</f>
        <v>YSM10</v>
      </c>
      <c r="T1150" s="647" t="str">
        <f>VLOOKUP(A1150,'[1]Raw data'!$B:$Z,8,FALSE)</f>
        <v>L-&gt;R</v>
      </c>
      <c r="U1150" s="647" t="str">
        <f>VLOOKUP(A1150,'[1]Raw data'!$B:$Z,9,FALSE)</f>
        <v>MVC</v>
      </c>
      <c r="V1150" s="567" t="str">
        <f t="shared" ref="V1150:V1159" si="245">IF(G1150&amp;H1150=T1150&amp;U1150,"OK","WRONG")</f>
        <v>WRONG</v>
      </c>
      <c r="W1150" s="563" t="str">
        <f>VLOOKUP(A1150,'[1]Raw data'!$B:$AG,32,FALSE)</f>
        <v>DAP SZ</v>
      </c>
      <c r="X1150" s="647">
        <f>VLOOKUP(A1150,'[1]Raw data'!$B:$BA,31,FALSE)</f>
        <v>44664</v>
      </c>
      <c r="Y1150" s="647" t="str">
        <f>VLOOKUP(A1150,'[1]Raw data'!$B:$AS,39,FALSE)</f>
        <v>Yes</v>
      </c>
      <c r="Z1150" s="659"/>
      <c r="AA1150" s="660"/>
      <c r="AB1150" s="661"/>
      <c r="AC1150" s="647" t="s">
        <v>2129</v>
      </c>
      <c r="AD1150" s="662">
        <v>302</v>
      </c>
      <c r="AE1150" s="662">
        <v>10</v>
      </c>
      <c r="AF1150" s="662"/>
      <c r="AG1150" s="662"/>
      <c r="AH1150" s="662"/>
      <c r="AI1150" s="663"/>
      <c r="AN1150" s="542"/>
      <c r="AO1150" s="824" t="str">
        <f t="shared" si="227"/>
        <v>Yes</v>
      </c>
      <c r="AP1150" s="259" t="str">
        <f t="shared" si="228"/>
        <v>JUN 22</v>
      </c>
      <c r="AQ1150" s="542" t="str">
        <f t="shared" si="229"/>
        <v>有定金+有預留客戶</v>
      </c>
      <c r="AR1150" s="259" t="str">
        <f t="shared" si="230"/>
        <v>Shipped_Stock</v>
      </c>
      <c r="AS1150" s="259" t="str">
        <f t="shared" si="231"/>
        <v/>
      </c>
      <c r="AT1150" s="259" t="str">
        <f t="shared" si="232"/>
        <v>恒磊</v>
      </c>
      <c r="AU1150" s="259" t="str">
        <f t="shared" si="233"/>
        <v>C49SZX20220045SX</v>
      </c>
      <c r="AV1150" s="259" t="str">
        <f t="shared" si="234"/>
        <v>May-07</v>
      </c>
    </row>
    <row r="1151" spans="1:48" hidden="1">
      <c r="A1151" s="599">
        <v>1638</v>
      </c>
      <c r="B1151" s="664" t="s">
        <v>1125</v>
      </c>
      <c r="C1151" s="664" t="s">
        <v>15</v>
      </c>
      <c r="D1151" s="625" t="s">
        <v>2210</v>
      </c>
      <c r="E1151" s="646" t="s">
        <v>2135</v>
      </c>
      <c r="F1151" s="647" t="s">
        <v>17</v>
      </c>
      <c r="G1151" s="647" t="s">
        <v>18</v>
      </c>
      <c r="H1151" s="647" t="s">
        <v>27</v>
      </c>
      <c r="I1151" s="575" t="s">
        <v>2213</v>
      </c>
      <c r="J1151" s="575">
        <v>1</v>
      </c>
      <c r="K1151" s="647" t="s">
        <v>1419</v>
      </c>
      <c r="L1151" s="657">
        <v>44688</v>
      </c>
      <c r="M1151" s="665" t="s">
        <v>2212</v>
      </c>
      <c r="N1151" s="647" t="s">
        <v>1982</v>
      </c>
      <c r="O1151" s="575">
        <v>2022.4</v>
      </c>
      <c r="P1151" s="665" t="str">
        <f>VLOOKUP(A1151,'[1]Raw data'!$B:$BA,23,FALSE)</f>
        <v>JPY</v>
      </c>
      <c r="Q1151" s="647" t="str">
        <f>VLOOKUP(A1151,'[1]Raw data'!$B:$Z,2,FALSE)</f>
        <v>C49SZX20220045SX</v>
      </c>
      <c r="R1151" s="647" t="str">
        <f>VLOOKUP(A1151,'[1]Raw data'!$B:$Z,3,FALSE)</f>
        <v>恒磊</v>
      </c>
      <c r="S1151" s="647" t="str">
        <f>VLOOKUP(A1151,'[1]Raw data'!$B:$Z,4,FALSE)</f>
        <v>YSM10</v>
      </c>
      <c r="T1151" s="647" t="str">
        <f>VLOOKUP(A1151,'[1]Raw data'!$B:$Z,8,FALSE)</f>
        <v>L-&gt;R</v>
      </c>
      <c r="U1151" s="647" t="str">
        <f>VLOOKUP(A1151,'[1]Raw data'!$B:$Z,9,FALSE)</f>
        <v>MVC</v>
      </c>
      <c r="V1151" s="567" t="str">
        <f t="shared" si="245"/>
        <v>WRONG</v>
      </c>
      <c r="W1151" s="563" t="str">
        <f>VLOOKUP(A1151,'[1]Raw data'!$B:$AG,32,FALSE)</f>
        <v>DDP SZ</v>
      </c>
      <c r="X1151" s="647">
        <f>VLOOKUP(A1151,'[1]Raw data'!$B:$BA,31,FALSE)</f>
        <v>44664</v>
      </c>
      <c r="Y1151" s="647" t="str">
        <f>VLOOKUP(A1151,'[1]Raw data'!$B:$AS,39,FALSE)</f>
        <v>Yes</v>
      </c>
      <c r="Z1151" s="659"/>
      <c r="AA1151" s="660"/>
      <c r="AB1151" s="661"/>
      <c r="AC1151" s="647" t="s">
        <v>2129</v>
      </c>
      <c r="AD1151" s="662">
        <v>302</v>
      </c>
      <c r="AE1151" s="662">
        <v>10</v>
      </c>
      <c r="AF1151" s="662"/>
      <c r="AG1151" s="662"/>
      <c r="AH1151" s="662"/>
      <c r="AI1151" s="663"/>
      <c r="AN1151" s="542"/>
      <c r="AO1151" s="824" t="str">
        <f t="shared" si="227"/>
        <v>Yes</v>
      </c>
      <c r="AP1151" s="259" t="str">
        <f t="shared" si="228"/>
        <v>JUN 22</v>
      </c>
      <c r="AQ1151" s="542" t="str">
        <f t="shared" si="229"/>
        <v>有定金+有預留客戶</v>
      </c>
      <c r="AR1151" s="259" t="str">
        <f t="shared" si="230"/>
        <v>Shipped_Stock</v>
      </c>
      <c r="AS1151" s="259" t="str">
        <f t="shared" si="231"/>
        <v/>
      </c>
      <c r="AT1151" s="259" t="str">
        <f t="shared" si="232"/>
        <v>恒磊</v>
      </c>
      <c r="AU1151" s="259" t="str">
        <f t="shared" si="233"/>
        <v>C49SZX20220045SX</v>
      </c>
      <c r="AV1151" s="259" t="str">
        <f t="shared" si="234"/>
        <v>May-07</v>
      </c>
    </row>
    <row r="1152" spans="1:48" hidden="1">
      <c r="A1152" s="559">
        <v>1667</v>
      </c>
      <c r="B1152" s="664" t="s">
        <v>1125</v>
      </c>
      <c r="C1152" s="664" t="s">
        <v>15</v>
      </c>
      <c r="D1152" s="755">
        <v>110810</v>
      </c>
      <c r="E1152" s="646" t="s">
        <v>2135</v>
      </c>
      <c r="F1152" s="647" t="s">
        <v>17</v>
      </c>
      <c r="G1152" s="647" t="s">
        <v>18</v>
      </c>
      <c r="H1152" s="647" t="s">
        <v>102</v>
      </c>
      <c r="I1152" s="575" t="s">
        <v>2214</v>
      </c>
      <c r="J1152" s="575">
        <v>1</v>
      </c>
      <c r="K1152" s="647" t="s">
        <v>1419</v>
      </c>
      <c r="L1152" s="657">
        <v>44688</v>
      </c>
      <c r="M1152" s="665" t="s">
        <v>2215</v>
      </c>
      <c r="N1152" s="647" t="s">
        <v>1982</v>
      </c>
      <c r="O1152" s="575">
        <v>2022.4</v>
      </c>
      <c r="P1152" s="665" t="str">
        <f>VLOOKUP(A1152,'[1]Raw data'!$B:$BA,23,FALSE)</f>
        <v>JPY</v>
      </c>
      <c r="Q1152" s="647" t="str">
        <f>VLOOKUP(A1152,'[1]Raw data'!$B:$Z,2,FALSE)</f>
        <v>C49SZX20220056EC</v>
      </c>
      <c r="R1152" s="647" t="str">
        <f>VLOOKUP(A1152,'[1]Raw data'!$B:$Z,3,FALSE)</f>
        <v>鑫天泰</v>
      </c>
      <c r="S1152" s="647" t="str">
        <f>VLOOKUP(A1152,'[1]Raw data'!$B:$Z,4,FALSE)</f>
        <v>YSM10</v>
      </c>
      <c r="T1152" s="647" t="str">
        <f>VLOOKUP(A1152,'[1]Raw data'!$B:$Z,8,FALSE)</f>
        <v>L-&gt;R</v>
      </c>
      <c r="U1152" s="647" t="str">
        <f>VLOOKUP(A1152,'[1]Raw data'!$B:$Z,9,FALSE)</f>
        <v>MVC</v>
      </c>
      <c r="V1152" s="567" t="str">
        <f>IF(G1152&amp;H1152=T1152&amp;U1152,"OK","WRONG")</f>
        <v>WRONG</v>
      </c>
      <c r="W1152" s="563" t="str">
        <f>VLOOKUP(A1152,'[1]Raw data'!$B:$AG,32,FALSE)</f>
        <v>DAP SZ</v>
      </c>
      <c r="X1152" s="647">
        <f>VLOOKUP(A1152,'[1]Raw data'!$B:$BA,31,FALSE)</f>
        <v>44694</v>
      </c>
      <c r="Y1152" s="647" t="str">
        <f>VLOOKUP(A1152,'[1]Raw data'!$B:$AS,39,FALSE)</f>
        <v>Yes</v>
      </c>
      <c r="Z1152" s="659"/>
      <c r="AA1152" s="660"/>
      <c r="AB1152" s="661"/>
      <c r="AC1152" s="647" t="s">
        <v>2216</v>
      </c>
      <c r="AD1152" s="662">
        <v>301</v>
      </c>
      <c r="AE1152" s="662">
        <v>10</v>
      </c>
      <c r="AF1152" s="662"/>
      <c r="AG1152" s="662"/>
      <c r="AH1152" s="662"/>
      <c r="AI1152" s="663"/>
      <c r="AN1152" s="542"/>
      <c r="AO1152" s="824" t="str">
        <f t="shared" si="227"/>
        <v>Yes</v>
      </c>
      <c r="AP1152" s="259" t="str">
        <f t="shared" si="228"/>
        <v>JUN 22</v>
      </c>
      <c r="AQ1152" s="542" t="str">
        <f t="shared" si="229"/>
        <v>有定金+有預留客戶</v>
      </c>
      <c r="AR1152" s="259" t="str">
        <f t="shared" si="230"/>
        <v>Shipped_Stock</v>
      </c>
      <c r="AS1152" s="259" t="str">
        <f t="shared" si="231"/>
        <v/>
      </c>
      <c r="AT1152" s="259" t="str">
        <f t="shared" si="232"/>
        <v>鑫天泰</v>
      </c>
      <c r="AU1152" s="259" t="str">
        <f t="shared" si="233"/>
        <v>C49SZX20220056EC</v>
      </c>
      <c r="AV1152" s="259" t="str">
        <f t="shared" si="234"/>
        <v>May-07</v>
      </c>
    </row>
    <row r="1153" spans="1:48" ht="22.5" hidden="1">
      <c r="A1153" s="599">
        <v>1683</v>
      </c>
      <c r="B1153" s="664" t="s">
        <v>1125</v>
      </c>
      <c r="C1153" s="664" t="s">
        <v>15</v>
      </c>
      <c r="D1153" s="755">
        <v>110810</v>
      </c>
      <c r="E1153" s="646" t="s">
        <v>2135</v>
      </c>
      <c r="F1153" s="647" t="s">
        <v>17</v>
      </c>
      <c r="G1153" s="647" t="s">
        <v>18</v>
      </c>
      <c r="H1153" s="647" t="s">
        <v>102</v>
      </c>
      <c r="I1153" s="575" t="s">
        <v>2217</v>
      </c>
      <c r="J1153" s="575">
        <v>1</v>
      </c>
      <c r="K1153" s="647" t="s">
        <v>1419</v>
      </c>
      <c r="L1153" s="657">
        <v>44688</v>
      </c>
      <c r="M1153" s="665" t="s">
        <v>2218</v>
      </c>
      <c r="N1153" s="647" t="s">
        <v>1982</v>
      </c>
      <c r="O1153" s="575">
        <v>2022.4</v>
      </c>
      <c r="P1153" s="665" t="str">
        <f>VLOOKUP(A1153,'[1]Raw data'!$B:$BA,23,FALSE)</f>
        <v>RMB</v>
      </c>
      <c r="Q1153" s="647" t="str">
        <f>VLOOKUP(A1153,'[1]Raw data'!$B:$Z,2,FALSE)</f>
        <v>C49SZX20220063JY</v>
      </c>
      <c r="R1153" s="647" t="str">
        <f>VLOOKUP(A1153,'[1]Raw data'!$B:$Z,3,FALSE)</f>
        <v>芯联鑫</v>
      </c>
      <c r="S1153" s="647" t="str">
        <f>VLOOKUP(A1153,'[1]Raw data'!$B:$Z,4,FALSE)</f>
        <v>YSM10</v>
      </c>
      <c r="T1153" s="647" t="str">
        <f>VLOOKUP(A1153,'[1]Raw data'!$B:$Z,8,FALSE)</f>
        <v>L-&gt;R</v>
      </c>
      <c r="U1153" s="647" t="str">
        <f>VLOOKUP(A1153,'[1]Raw data'!$B:$Z,9,FALSE)</f>
        <v>No</v>
      </c>
      <c r="V1153" s="567" t="str">
        <f>IF(G1153&amp;H1153=T1153&amp;U1153,"OK","WRONG")</f>
        <v>WRONG</v>
      </c>
      <c r="W1153" s="563" t="str">
        <f>VLOOKUP(A1153,'[1]Raw data'!$B:$AG,32,FALSE)</f>
        <v>DDP GZ</v>
      </c>
      <c r="X1153" s="647">
        <f>VLOOKUP(A1153,'[1]Raw data'!$B:$BA,31,FALSE)</f>
        <v>44723</v>
      </c>
      <c r="Y1153" s="647" t="str">
        <f>VLOOKUP(A1153,'[1]Raw data'!$B:$AS,39,FALSE)</f>
        <v>Yes</v>
      </c>
      <c r="Z1153" s="659"/>
      <c r="AA1153" s="660"/>
      <c r="AB1153" s="661"/>
      <c r="AC1153" s="647" t="s">
        <v>1088</v>
      </c>
      <c r="AD1153" s="575">
        <v>301</v>
      </c>
      <c r="AE1153" s="575">
        <v>10</v>
      </c>
      <c r="AF1153" s="575"/>
      <c r="AG1153" s="575"/>
      <c r="AH1153" s="575"/>
      <c r="AI1153" s="679"/>
      <c r="AJ1153" s="564"/>
      <c r="AK1153" s="564"/>
      <c r="AL1153" s="564"/>
      <c r="AM1153" s="564"/>
      <c r="AN1153" s="614"/>
      <c r="AO1153" s="824" t="str">
        <f t="shared" si="227"/>
        <v>Yes</v>
      </c>
      <c r="AP1153" s="259" t="str">
        <f t="shared" si="228"/>
        <v>JUN 22</v>
      </c>
      <c r="AQ1153" s="542" t="str">
        <f t="shared" si="229"/>
        <v>有定金+有預留客戶</v>
      </c>
      <c r="AR1153" s="259" t="str">
        <f t="shared" si="230"/>
        <v>Shipped_Stock</v>
      </c>
      <c r="AS1153" s="259" t="str">
        <f t="shared" si="231"/>
        <v/>
      </c>
      <c r="AT1153" s="259" t="str">
        <f t="shared" si="232"/>
        <v>芯联鑫</v>
      </c>
      <c r="AU1153" s="259" t="str">
        <f t="shared" si="233"/>
        <v>C49SZX20220063JY</v>
      </c>
      <c r="AV1153" s="259" t="str">
        <f t="shared" si="234"/>
        <v>May-07</v>
      </c>
    </row>
    <row r="1154" spans="1:48" hidden="1">
      <c r="A1154" s="599">
        <v>1684</v>
      </c>
      <c r="B1154" s="664" t="s">
        <v>1125</v>
      </c>
      <c r="C1154" s="664" t="s">
        <v>15</v>
      </c>
      <c r="D1154" s="755">
        <v>110810</v>
      </c>
      <c r="E1154" s="646" t="s">
        <v>2135</v>
      </c>
      <c r="F1154" s="647" t="s">
        <v>17</v>
      </c>
      <c r="G1154" s="647" t="s">
        <v>18</v>
      </c>
      <c r="H1154" s="647" t="s">
        <v>102</v>
      </c>
      <c r="I1154" s="575" t="s">
        <v>2219</v>
      </c>
      <c r="J1154" s="575">
        <v>1</v>
      </c>
      <c r="K1154" s="647" t="s">
        <v>1419</v>
      </c>
      <c r="L1154" s="657">
        <v>44688</v>
      </c>
      <c r="M1154" s="665" t="s">
        <v>2220</v>
      </c>
      <c r="N1154" s="647" t="s">
        <v>1982</v>
      </c>
      <c r="O1154" s="575">
        <v>2022.4</v>
      </c>
      <c r="P1154" s="665" t="str">
        <f>VLOOKUP(A1154,'[1]Raw data'!$B:$BA,23,FALSE)</f>
        <v>RMB</v>
      </c>
      <c r="Q1154" s="647" t="str">
        <f>VLOOKUP(A1154,'[1]Raw data'!$B:$Z,2,FALSE)</f>
        <v>C49SZX20220063JY</v>
      </c>
      <c r="R1154" s="647" t="str">
        <f>VLOOKUP(A1154,'[1]Raw data'!$B:$Z,3,FALSE)</f>
        <v>芯联鑫</v>
      </c>
      <c r="S1154" s="647" t="str">
        <f>VLOOKUP(A1154,'[1]Raw data'!$B:$Z,4,FALSE)</f>
        <v>YSM10</v>
      </c>
      <c r="T1154" s="647" t="str">
        <f>VLOOKUP(A1154,'[1]Raw data'!$B:$Z,8,FALSE)</f>
        <v>L-&gt;R</v>
      </c>
      <c r="U1154" s="647" t="str">
        <f>VLOOKUP(A1154,'[1]Raw data'!$B:$Z,9,FALSE)</f>
        <v>No</v>
      </c>
      <c r="V1154" s="567" t="str">
        <f>IF(G1154&amp;H1154=T1154&amp;U1154,"OK","WRONG")</f>
        <v>WRONG</v>
      </c>
      <c r="W1154" s="563" t="str">
        <f>VLOOKUP(A1154,'[1]Raw data'!$B:$AG,32,FALSE)</f>
        <v>DDP GZ</v>
      </c>
      <c r="X1154" s="647">
        <f>VLOOKUP(A1154,'[1]Raw data'!$B:$BA,31,FALSE)</f>
        <v>44723</v>
      </c>
      <c r="Y1154" s="647" t="str">
        <f>VLOOKUP(A1154,'[1]Raw data'!$B:$AS,39,FALSE)</f>
        <v>Yes</v>
      </c>
      <c r="Z1154" s="659"/>
      <c r="AA1154" s="660"/>
      <c r="AB1154" s="661"/>
      <c r="AC1154" s="647" t="s">
        <v>1088</v>
      </c>
      <c r="AD1154" s="575">
        <v>301</v>
      </c>
      <c r="AE1154" s="575">
        <v>10</v>
      </c>
      <c r="AF1154" s="575"/>
      <c r="AG1154" s="575"/>
      <c r="AH1154" s="575"/>
      <c r="AI1154" s="679"/>
      <c r="AJ1154" s="564"/>
      <c r="AK1154" s="564"/>
      <c r="AL1154" s="564"/>
      <c r="AM1154" s="564"/>
      <c r="AN1154" s="614"/>
      <c r="AO1154" s="824" t="str">
        <f t="shared" si="227"/>
        <v>Yes</v>
      </c>
      <c r="AP1154" s="259" t="str">
        <f t="shared" si="228"/>
        <v>JUN 22</v>
      </c>
      <c r="AQ1154" s="542" t="str">
        <f t="shared" si="229"/>
        <v>有定金+有預留客戶</v>
      </c>
      <c r="AR1154" s="259" t="str">
        <f t="shared" si="230"/>
        <v>Shipped_Stock</v>
      </c>
      <c r="AS1154" s="259" t="str">
        <f t="shared" si="231"/>
        <v/>
      </c>
      <c r="AT1154" s="259" t="str">
        <f t="shared" si="232"/>
        <v>芯联鑫</v>
      </c>
      <c r="AU1154" s="259" t="str">
        <f t="shared" si="233"/>
        <v>C49SZX20220063JY</v>
      </c>
      <c r="AV1154" s="259" t="str">
        <f t="shared" si="234"/>
        <v>May-07</v>
      </c>
    </row>
    <row r="1155" spans="1:48" hidden="1">
      <c r="A1155" s="599">
        <v>1581</v>
      </c>
      <c r="B1155" s="664" t="s">
        <v>1125</v>
      </c>
      <c r="C1155" s="664" t="s">
        <v>15</v>
      </c>
      <c r="D1155" s="623" t="s">
        <v>2210</v>
      </c>
      <c r="E1155" s="646" t="s">
        <v>2135</v>
      </c>
      <c r="F1155" s="647" t="s">
        <v>17</v>
      </c>
      <c r="G1155" s="647" t="s">
        <v>18</v>
      </c>
      <c r="H1155" s="647" t="s">
        <v>27</v>
      </c>
      <c r="I1155" s="575" t="s">
        <v>2221</v>
      </c>
      <c r="J1155" s="575">
        <v>1</v>
      </c>
      <c r="K1155" s="563" t="s">
        <v>85</v>
      </c>
      <c r="L1155" s="657">
        <v>44688</v>
      </c>
      <c r="M1155" s="665" t="s">
        <v>906</v>
      </c>
      <c r="N1155" s="647" t="s">
        <v>1903</v>
      </c>
      <c r="O1155" s="575">
        <v>2022.4</v>
      </c>
      <c r="P1155" s="665" t="str">
        <f>VLOOKUP(A1155,'[1]Raw data'!$B:$BA,23,FALSE)</f>
        <v>JPY</v>
      </c>
      <c r="Q1155" s="647" t="str">
        <f>VLOOKUP(A1155,'[1]Raw data'!$B:$Z,2,FALSE)</f>
        <v>C49SZX20220018SX</v>
      </c>
      <c r="R1155" s="647" t="str">
        <f>VLOOKUP(A1155,'[1]Raw data'!$B:$Z,3,FALSE)</f>
        <v>岚新</v>
      </c>
      <c r="S1155" s="647" t="str">
        <f>VLOOKUP(A1155,'[1]Raw data'!$B:$Z,4,FALSE)</f>
        <v>YSM10</v>
      </c>
      <c r="T1155" s="647" t="str">
        <f>VLOOKUP(A1155,'[1]Raw data'!$B:$Z,8,FALSE)</f>
        <v>L-&gt;R</v>
      </c>
      <c r="U1155" s="647" t="str">
        <f>VLOOKUP(A1155,'[1]Raw data'!$B:$Z,9,FALSE)</f>
        <v>MVC</v>
      </c>
      <c r="V1155" s="567" t="str">
        <f t="shared" si="245"/>
        <v>WRONG</v>
      </c>
      <c r="W1155" s="563" t="str">
        <f>VLOOKUP(A1155,'[1]Raw data'!$B:$AG,32,FALSE)</f>
        <v>DAP SZ</v>
      </c>
      <c r="X1155" s="647">
        <f>VLOOKUP(A1155,'[1]Raw data'!$B:$BA,31,FALSE)</f>
        <v>44608</v>
      </c>
      <c r="Y1155" s="647" t="str">
        <f>VLOOKUP(A1155,'[1]Raw data'!$B:$AS,39,FALSE)</f>
        <v>Yes</v>
      </c>
      <c r="Z1155" s="659"/>
      <c r="AA1155" s="660"/>
      <c r="AB1155" s="661"/>
      <c r="AC1155" s="647" t="s">
        <v>2222</v>
      </c>
      <c r="AD1155" s="575">
        <v>302</v>
      </c>
      <c r="AE1155" s="575">
        <v>10</v>
      </c>
      <c r="AF1155" s="575"/>
      <c r="AG1155" s="575"/>
      <c r="AH1155" s="575"/>
      <c r="AI1155" s="679"/>
      <c r="AJ1155" s="564"/>
      <c r="AK1155" s="564"/>
      <c r="AL1155" s="564"/>
      <c r="AM1155" s="564"/>
      <c r="AN1155" s="614"/>
      <c r="AO1155" s="824" t="str">
        <f t="shared" ref="AO1155:AO1218" si="246">IFERROR(IF(Y1155&lt;&gt;"",Y1155,"No"),"No")</f>
        <v>Yes</v>
      </c>
      <c r="AP1155" s="259" t="str">
        <f t="shared" ref="AP1155:AP1218" si="247">IFERROR(IF(N1155&lt;&gt;"",N1155,"blank"),"NA")</f>
        <v>MAY 22</v>
      </c>
      <c r="AQ1155" s="542" t="str">
        <f t="shared" ref="AQ1155:AQ1218" si="248">IFERROR(IF(AND(AO1155="Yes", AP1155&lt;&gt;"blank"), "有定金+有預留客戶", IF(AND(AO1155="Yes", AP1155="blank"), "有定金+无客戶送貨期", IF(AND(OR(AO1155="No", ISBLANK(AO1155), AO1155="NA"), AP1155&lt;&gt;"blank"), "无定金+有預留客戶", IF(AND(OR(AO1155="No", ISBLANK(AO1155), AO1155="NA"), AP1155="blank"), "无定金+无預留客戶", "")))), "")</f>
        <v>有定金+有預留客戶</v>
      </c>
      <c r="AR1155" s="259" t="str">
        <f t="shared" ref="AR1155:AR1218" si="249">IFERROR(IF(B1155="已经到货", "Instock", IF(B1155="有交期", "Incoming_Stock_With_YAMAHA_Schedule", IF(B1155="TBA.", "Incoming_Stock_No_YAMAHA_Schedule", IF(B1155="已发货", "Shipped_Stock", "")))), "")</f>
        <v>Shipped_Stock</v>
      </c>
      <c r="AS1155" s="259" t="str">
        <f t="shared" ref="AS1155:AS1218" si="250">IF(AND(B1155="有交期", L1155&lt;&gt;""), L1155, "")</f>
        <v/>
      </c>
      <c r="AT1155" s="259" t="str">
        <f t="shared" ref="AT1155:AT1218" si="251">IFERROR(IF(R1155&lt;&gt;"",R1155),"-")</f>
        <v>岚新</v>
      </c>
      <c r="AU1155" s="259" t="str">
        <f t="shared" ref="AU1155:AU1218" si="252">IFERROR(IF(Q1155&lt;&gt;"",Q1155),"-")</f>
        <v>C49SZX20220018SX</v>
      </c>
      <c r="AV1155" s="259" t="str">
        <f t="shared" ref="AV1155:AV1218" si="253">IF(L1155="","-",TEXT(L1155,"mmm-dd"))</f>
        <v>May-07</v>
      </c>
    </row>
    <row r="1156" spans="1:48" hidden="1">
      <c r="A1156" s="599">
        <v>1582</v>
      </c>
      <c r="B1156" s="664" t="s">
        <v>1125</v>
      </c>
      <c r="C1156" s="664" t="s">
        <v>15</v>
      </c>
      <c r="D1156" s="625" t="s">
        <v>2210</v>
      </c>
      <c r="E1156" s="646" t="s">
        <v>2135</v>
      </c>
      <c r="F1156" s="647" t="s">
        <v>17</v>
      </c>
      <c r="G1156" s="647" t="s">
        <v>18</v>
      </c>
      <c r="H1156" s="647" t="s">
        <v>27</v>
      </c>
      <c r="I1156" s="575" t="s">
        <v>2223</v>
      </c>
      <c r="J1156" s="575">
        <v>1</v>
      </c>
      <c r="K1156" s="563" t="s">
        <v>85</v>
      </c>
      <c r="L1156" s="657">
        <v>44688</v>
      </c>
      <c r="M1156" s="665" t="s">
        <v>906</v>
      </c>
      <c r="N1156" s="647" t="s">
        <v>1903</v>
      </c>
      <c r="O1156" s="575">
        <v>2022.4</v>
      </c>
      <c r="P1156" s="665" t="str">
        <f>VLOOKUP(A1156,'[1]Raw data'!$B:$BA,23,FALSE)</f>
        <v>JPY</v>
      </c>
      <c r="Q1156" s="647" t="str">
        <f>VLOOKUP(A1156,'[1]Raw data'!$B:$Z,2,FALSE)</f>
        <v>C49SZX20220018SX</v>
      </c>
      <c r="R1156" s="647" t="str">
        <f>VLOOKUP(A1156,'[1]Raw data'!$B:$Z,3,FALSE)</f>
        <v>岚新</v>
      </c>
      <c r="S1156" s="647" t="str">
        <f>VLOOKUP(A1156,'[1]Raw data'!$B:$Z,4,FALSE)</f>
        <v>YSM10</v>
      </c>
      <c r="T1156" s="647" t="str">
        <f>VLOOKUP(A1156,'[1]Raw data'!$B:$Z,8,FALSE)</f>
        <v>L-&gt;R</v>
      </c>
      <c r="U1156" s="647" t="str">
        <f>VLOOKUP(A1156,'[1]Raw data'!$B:$Z,9,FALSE)</f>
        <v>No</v>
      </c>
      <c r="V1156" s="567" t="str">
        <f t="shared" si="245"/>
        <v>WRONG</v>
      </c>
      <c r="W1156" s="563" t="str">
        <f>VLOOKUP(A1156,'[1]Raw data'!$B:$AG,32,FALSE)</f>
        <v>DAP SZ</v>
      </c>
      <c r="X1156" s="647">
        <f>VLOOKUP(A1156,'[1]Raw data'!$B:$BA,31,FALSE)</f>
        <v>44608</v>
      </c>
      <c r="Y1156" s="647" t="str">
        <f>VLOOKUP(A1156,'[1]Raw data'!$B:$AS,39,FALSE)</f>
        <v>Yes</v>
      </c>
      <c r="Z1156" s="659"/>
      <c r="AA1156" s="660"/>
      <c r="AB1156" s="661"/>
      <c r="AC1156" s="647" t="s">
        <v>2222</v>
      </c>
      <c r="AD1156" s="575">
        <v>312</v>
      </c>
      <c r="AE1156" s="575">
        <v>10</v>
      </c>
      <c r="AF1156" s="575"/>
      <c r="AG1156" s="575"/>
      <c r="AH1156" s="575"/>
      <c r="AI1156" s="679"/>
      <c r="AJ1156" s="564"/>
      <c r="AK1156" s="564"/>
      <c r="AL1156" s="564"/>
      <c r="AM1156" s="564"/>
      <c r="AN1156" s="614"/>
      <c r="AO1156" s="824" t="str">
        <f t="shared" si="246"/>
        <v>Yes</v>
      </c>
      <c r="AP1156" s="259" t="str">
        <f t="shared" si="247"/>
        <v>MAY 22</v>
      </c>
      <c r="AQ1156" s="542" t="str">
        <f t="shared" si="248"/>
        <v>有定金+有預留客戶</v>
      </c>
      <c r="AR1156" s="259" t="str">
        <f t="shared" si="249"/>
        <v>Shipped_Stock</v>
      </c>
      <c r="AS1156" s="259" t="str">
        <f t="shared" si="250"/>
        <v/>
      </c>
      <c r="AT1156" s="259" t="str">
        <f t="shared" si="251"/>
        <v>岚新</v>
      </c>
      <c r="AU1156" s="259" t="str">
        <f t="shared" si="252"/>
        <v>C49SZX20220018SX</v>
      </c>
      <c r="AV1156" s="259" t="str">
        <f t="shared" si="253"/>
        <v>May-07</v>
      </c>
    </row>
    <row r="1157" spans="1:48" hidden="1">
      <c r="A1157" s="599">
        <v>1618</v>
      </c>
      <c r="B1157" s="664" t="s">
        <v>1125</v>
      </c>
      <c r="C1157" s="664" t="s">
        <v>15</v>
      </c>
      <c r="D1157" s="625">
        <v>110810</v>
      </c>
      <c r="E1157" s="646" t="s">
        <v>2135</v>
      </c>
      <c r="F1157" s="647" t="s">
        <v>17</v>
      </c>
      <c r="G1157" s="647" t="s">
        <v>18</v>
      </c>
      <c r="H1157" s="647" t="s">
        <v>27</v>
      </c>
      <c r="I1157" s="575" t="s">
        <v>2224</v>
      </c>
      <c r="J1157" s="575">
        <v>1</v>
      </c>
      <c r="K1157" s="563" t="s">
        <v>1419</v>
      </c>
      <c r="L1157" s="657">
        <v>44688</v>
      </c>
      <c r="M1157" s="665">
        <v>5.0200000000000002E-2</v>
      </c>
      <c r="N1157" s="647"/>
      <c r="O1157" s="575">
        <v>2022.4</v>
      </c>
      <c r="P1157" s="665" t="str">
        <f>VLOOKUP(A1157,'[1]Raw data'!$B:$BA,23,FALSE)</f>
        <v>RMB</v>
      </c>
      <c r="Q1157" s="647" t="str">
        <f>VLOOKUP(A1157,'[1]Raw data'!$B:$Z,2,FALSE)</f>
        <v>C49SZX20220025AY</v>
      </c>
      <c r="R1157" s="647" t="str">
        <f>VLOOKUP(A1157,'[1]Raw data'!$B:$Z,3,FALSE)</f>
        <v>创舰</v>
      </c>
      <c r="S1157" s="647" t="str">
        <f>VLOOKUP(A1157,'[1]Raw data'!$B:$Z,4,FALSE)</f>
        <v>YSM10</v>
      </c>
      <c r="T1157" s="647" t="str">
        <f>VLOOKUP(A1157,'[1]Raw data'!$B:$Z,8,FALSE)</f>
        <v>R-&gt;L</v>
      </c>
      <c r="U1157" s="647" t="str">
        <f>VLOOKUP(A1157,'[1]Raw data'!$B:$Z,9,FALSE)</f>
        <v>MVC</v>
      </c>
      <c r="V1157" s="567" t="str">
        <f t="shared" si="245"/>
        <v>OK</v>
      </c>
      <c r="W1157" s="563" t="str">
        <f>VLOOKUP(A1157,'[1]Raw data'!$B:$AG,32,FALSE)</f>
        <v>DDP HZ</v>
      </c>
      <c r="X1157" s="647">
        <f>VLOOKUP(A1157,'[1]Raw data'!$B:$BA,31,FALSE)</f>
        <v>44634</v>
      </c>
      <c r="Y1157" s="647" t="str">
        <f>VLOOKUP(A1157,'[1]Raw data'!$B:$AS,39,FALSE)</f>
        <v>Yes</v>
      </c>
      <c r="Z1157" s="659"/>
      <c r="AA1157" s="660"/>
      <c r="AB1157" s="661"/>
      <c r="AC1157" s="647" t="s">
        <v>2225</v>
      </c>
      <c r="AD1157" s="662">
        <v>312</v>
      </c>
      <c r="AE1157" s="662">
        <v>10</v>
      </c>
      <c r="AF1157" s="662"/>
      <c r="AG1157" s="662"/>
      <c r="AH1157" s="662"/>
      <c r="AI1157" s="663"/>
      <c r="AN1157" s="542"/>
      <c r="AO1157" s="824" t="str">
        <f t="shared" si="246"/>
        <v>Yes</v>
      </c>
      <c r="AP1157" s="259" t="str">
        <f t="shared" si="247"/>
        <v>blank</v>
      </c>
      <c r="AQ1157" s="542" t="str">
        <f t="shared" si="248"/>
        <v>有定金+无客戶送貨期</v>
      </c>
      <c r="AR1157" s="259" t="str">
        <f t="shared" si="249"/>
        <v>Shipped_Stock</v>
      </c>
      <c r="AS1157" s="259" t="str">
        <f t="shared" si="250"/>
        <v/>
      </c>
      <c r="AT1157" s="259" t="str">
        <f t="shared" si="251"/>
        <v>创舰</v>
      </c>
      <c r="AU1157" s="259" t="str">
        <f t="shared" si="252"/>
        <v>C49SZX20220025AY</v>
      </c>
      <c r="AV1157" s="259" t="str">
        <f t="shared" si="253"/>
        <v>May-07</v>
      </c>
    </row>
    <row r="1158" spans="1:48" hidden="1">
      <c r="A1158" s="599">
        <v>1619</v>
      </c>
      <c r="B1158" s="664" t="s">
        <v>1125</v>
      </c>
      <c r="C1158" s="664" t="s">
        <v>15</v>
      </c>
      <c r="D1158" s="625">
        <v>110810</v>
      </c>
      <c r="E1158" s="646" t="s">
        <v>2135</v>
      </c>
      <c r="F1158" s="647" t="s">
        <v>17</v>
      </c>
      <c r="G1158" s="647" t="s">
        <v>18</v>
      </c>
      <c r="H1158" s="647" t="s">
        <v>102</v>
      </c>
      <c r="I1158" s="575" t="s">
        <v>2226</v>
      </c>
      <c r="J1158" s="575">
        <v>1</v>
      </c>
      <c r="K1158" s="563" t="s">
        <v>1419</v>
      </c>
      <c r="L1158" s="657">
        <v>44688</v>
      </c>
      <c r="M1158" s="665">
        <v>5.0200000000000002E-2</v>
      </c>
      <c r="N1158" s="647"/>
      <c r="O1158" s="575">
        <v>2022.4</v>
      </c>
      <c r="P1158" s="665" t="str">
        <f>VLOOKUP(A1158,'[1]Raw data'!$B:$BA,23,FALSE)</f>
        <v>RMB</v>
      </c>
      <c r="Q1158" s="647" t="str">
        <f>VLOOKUP(A1158,'[1]Raw data'!$B:$Z,2,FALSE)</f>
        <v>C49SZX20220025AY</v>
      </c>
      <c r="R1158" s="647" t="str">
        <f>VLOOKUP(A1158,'[1]Raw data'!$B:$Z,3,FALSE)</f>
        <v>创舰</v>
      </c>
      <c r="S1158" s="647" t="str">
        <f>VLOOKUP(A1158,'[1]Raw data'!$B:$Z,4,FALSE)</f>
        <v>YSM10</v>
      </c>
      <c r="T1158" s="647" t="str">
        <f>VLOOKUP(A1158,'[1]Raw data'!$B:$Z,8,FALSE)</f>
        <v>R-&gt;L</v>
      </c>
      <c r="U1158" s="647" t="str">
        <f>VLOOKUP(A1158,'[1]Raw data'!$B:$Z,9,FALSE)</f>
        <v>No</v>
      </c>
      <c r="V1158" s="567" t="str">
        <f t="shared" si="245"/>
        <v>WRONG</v>
      </c>
      <c r="W1158" s="563" t="str">
        <f>VLOOKUP(A1158,'[1]Raw data'!$B:$AG,32,FALSE)</f>
        <v>DDP HZ</v>
      </c>
      <c r="X1158" s="647">
        <f>VLOOKUP(A1158,'[1]Raw data'!$B:$BA,31,FALSE)</f>
        <v>44634</v>
      </c>
      <c r="Y1158" s="647" t="str">
        <f>VLOOKUP(A1158,'[1]Raw data'!$B:$AS,39,FALSE)</f>
        <v>Yes</v>
      </c>
      <c r="Z1158" s="659"/>
      <c r="AA1158" s="660"/>
      <c r="AB1158" s="661"/>
      <c r="AC1158" s="647" t="s">
        <v>2225</v>
      </c>
      <c r="AD1158" s="662">
        <v>302</v>
      </c>
      <c r="AE1158" s="662">
        <v>10</v>
      </c>
      <c r="AF1158" s="662"/>
      <c r="AG1158" s="662"/>
      <c r="AH1158" s="662"/>
      <c r="AI1158" s="663"/>
      <c r="AN1158" s="542"/>
      <c r="AO1158" s="824" t="str">
        <f t="shared" si="246"/>
        <v>Yes</v>
      </c>
      <c r="AP1158" s="259" t="str">
        <f t="shared" si="247"/>
        <v>blank</v>
      </c>
      <c r="AQ1158" s="542" t="str">
        <f t="shared" si="248"/>
        <v>有定金+无客戶送貨期</v>
      </c>
      <c r="AR1158" s="259" t="str">
        <f t="shared" si="249"/>
        <v>Shipped_Stock</v>
      </c>
      <c r="AS1158" s="259" t="str">
        <f t="shared" si="250"/>
        <v/>
      </c>
      <c r="AT1158" s="259" t="str">
        <f t="shared" si="251"/>
        <v>创舰</v>
      </c>
      <c r="AU1158" s="259" t="str">
        <f t="shared" si="252"/>
        <v>C49SZX20220025AY</v>
      </c>
      <c r="AV1158" s="259" t="str">
        <f t="shared" si="253"/>
        <v>May-07</v>
      </c>
    </row>
    <row r="1159" spans="1:48" ht="23.25" hidden="1" thickBot="1">
      <c r="A1159" s="645">
        <v>1593</v>
      </c>
      <c r="B1159" s="664" t="s">
        <v>1125</v>
      </c>
      <c r="C1159" s="664" t="s">
        <v>15</v>
      </c>
      <c r="D1159" s="624">
        <v>110810</v>
      </c>
      <c r="E1159" s="646" t="s">
        <v>2135</v>
      </c>
      <c r="F1159" s="647" t="s">
        <v>17</v>
      </c>
      <c r="G1159" s="647" t="s">
        <v>18</v>
      </c>
      <c r="H1159" s="647" t="s">
        <v>102</v>
      </c>
      <c r="I1159" s="575" t="s">
        <v>2227</v>
      </c>
      <c r="J1159" s="575">
        <v>1</v>
      </c>
      <c r="K1159" s="647" t="s">
        <v>78</v>
      </c>
      <c r="L1159" s="657">
        <v>44688</v>
      </c>
      <c r="M1159" s="665" t="s">
        <v>2228</v>
      </c>
      <c r="N1159" s="647" t="s">
        <v>1982</v>
      </c>
      <c r="O1159" s="575">
        <v>2022.4</v>
      </c>
      <c r="P1159" s="665" t="str">
        <f>VLOOKUP(A1159,'[1]Raw data'!$B:$BA,23,FALSE)</f>
        <v>JPY</v>
      </c>
      <c r="Q1159" s="647" t="str">
        <f>VLOOKUP(A1159,'[1]Raw data'!$B:$Z,2,FALSE)</f>
        <v>C49SZX20220013DZ</v>
      </c>
      <c r="R1159" s="647" t="str">
        <f>VLOOKUP(A1159,'[1]Raw data'!$B:$Z,3,FALSE)</f>
        <v>朗特</v>
      </c>
      <c r="S1159" s="647" t="str">
        <f>VLOOKUP(A1159,'[1]Raw data'!$B:$Z,4,FALSE)</f>
        <v>YSM10</v>
      </c>
      <c r="T1159" s="647" t="str">
        <f>VLOOKUP(A1159,'[1]Raw data'!$B:$Z,8,FALSE)</f>
        <v>R-&gt;L</v>
      </c>
      <c r="U1159" s="647" t="str">
        <f>VLOOKUP(A1159,'[1]Raw data'!$B:$Z,9,FALSE)</f>
        <v>No</v>
      </c>
      <c r="V1159" s="567" t="str">
        <f t="shared" si="245"/>
        <v>WRONG</v>
      </c>
      <c r="W1159" s="563" t="str">
        <f>VLOOKUP(A1159,'[1]Raw data'!$B:$AG,32,FALSE)</f>
        <v>CIF HK</v>
      </c>
      <c r="X1159" s="647">
        <f>VLOOKUP(A1159,'[1]Raw data'!$B:$BA,31,FALSE)</f>
        <v>44614</v>
      </c>
      <c r="Y1159" s="647" t="str">
        <f>VLOOKUP(A1159,'[1]Raw data'!$B:$AS,39,FALSE)</f>
        <v>Yes</v>
      </c>
      <c r="Z1159" s="659"/>
      <c r="AA1159" s="660"/>
      <c r="AB1159" s="661"/>
      <c r="AC1159" s="647" t="s">
        <v>2174</v>
      </c>
      <c r="AD1159" s="575">
        <v>311</v>
      </c>
      <c r="AE1159" s="575">
        <v>10</v>
      </c>
      <c r="AF1159" s="575"/>
      <c r="AG1159" s="575"/>
      <c r="AH1159" s="575"/>
      <c r="AI1159" s="679"/>
      <c r="AJ1159" s="564"/>
      <c r="AK1159" s="564"/>
      <c r="AL1159" s="564"/>
      <c r="AM1159" s="564"/>
      <c r="AN1159" s="614"/>
      <c r="AO1159" s="824" t="str">
        <f t="shared" si="246"/>
        <v>Yes</v>
      </c>
      <c r="AP1159" s="259" t="str">
        <f t="shared" si="247"/>
        <v>JUN 22</v>
      </c>
      <c r="AQ1159" s="542" t="str">
        <f t="shared" si="248"/>
        <v>有定金+有預留客戶</v>
      </c>
      <c r="AR1159" s="259" t="str">
        <f t="shared" si="249"/>
        <v>Shipped_Stock</v>
      </c>
      <c r="AS1159" s="259" t="str">
        <f t="shared" si="250"/>
        <v/>
      </c>
      <c r="AT1159" s="259" t="str">
        <f t="shared" si="251"/>
        <v>朗特</v>
      </c>
      <c r="AU1159" s="259" t="str">
        <f t="shared" si="252"/>
        <v>C49SZX20220013DZ</v>
      </c>
      <c r="AV1159" s="259" t="str">
        <f t="shared" si="253"/>
        <v>May-07</v>
      </c>
    </row>
    <row r="1160" spans="1:48" hidden="1">
      <c r="A1160" s="645">
        <v>1583</v>
      </c>
      <c r="B1160" s="664" t="s">
        <v>1125</v>
      </c>
      <c r="C1160" s="563" t="s">
        <v>281</v>
      </c>
      <c r="D1160" s="690">
        <v>110436</v>
      </c>
      <c r="E1160" s="563" t="s">
        <v>886</v>
      </c>
      <c r="F1160" s="563" t="s">
        <v>17</v>
      </c>
      <c r="G1160" s="563" t="s">
        <v>18</v>
      </c>
      <c r="H1160" s="563" t="s">
        <v>26</v>
      </c>
      <c r="I1160" s="564" t="s">
        <v>2229</v>
      </c>
      <c r="J1160" s="564">
        <v>1</v>
      </c>
      <c r="K1160" s="563" t="s">
        <v>85</v>
      </c>
      <c r="L1160" s="657">
        <v>44688</v>
      </c>
      <c r="M1160" s="665" t="s">
        <v>2230</v>
      </c>
      <c r="N1160" s="647" t="s">
        <v>2231</v>
      </c>
      <c r="O1160" s="575">
        <v>2022.4</v>
      </c>
      <c r="P1160" s="665" t="str">
        <f>VLOOKUP(A1160,'[1]Raw data'!$B:$BA,23,FALSE)</f>
        <v>JPY</v>
      </c>
      <c r="Q1160" s="647" t="str">
        <f>VLOOKUP(A1160,'[1]Raw data'!$B:$Z,2,FALSE)</f>
        <v>C49SZX20220020R1SS</v>
      </c>
      <c r="R1160" s="647" t="str">
        <f>VLOOKUP(A1160,'[1]Raw data'!$B:$Z,3,FALSE)</f>
        <v>弛瑞</v>
      </c>
      <c r="S1160" s="647" t="str">
        <f>VLOOKUP(A1160,'[1]Raw data'!$B:$Z,4,FALSE)</f>
        <v>YSM10</v>
      </c>
      <c r="T1160" s="647" t="str">
        <f>VLOOKUP(A1160,'[1]Raw data'!$B:$Z,8,FALSE)</f>
        <v>L-&gt;R</v>
      </c>
      <c r="U1160" s="647" t="str">
        <f>VLOOKUP(A1160,'[1]Raw data'!$B:$Z,9,FALSE)</f>
        <v>No</v>
      </c>
      <c r="V1160" s="567" t="str">
        <f t="shared" ref="V1160" si="254">IF(G1160&amp;H1160=T1160&amp;U1160,"OK","WRONG")</f>
        <v>WRONG</v>
      </c>
      <c r="W1160" s="563" t="str">
        <f>VLOOKUP(A1160,'[1]Raw data'!$B:$AG,32,FALSE)</f>
        <v>DAP SZ</v>
      </c>
      <c r="X1160" s="647">
        <f>VLOOKUP(A1160,'[1]Raw data'!$B:$BA,31,FALSE)</f>
        <v>44614</v>
      </c>
      <c r="Y1160" s="647" t="str">
        <f>VLOOKUP(A1160,'[1]Raw data'!$B:$AS,39,FALSE)</f>
        <v>Yes</v>
      </c>
      <c r="Z1160" s="659"/>
      <c r="AA1160" s="660"/>
      <c r="AB1160" s="661"/>
      <c r="AC1160" s="647" t="s">
        <v>1817</v>
      </c>
      <c r="AD1160" s="575">
        <v>301</v>
      </c>
      <c r="AE1160" s="575">
        <v>10</v>
      </c>
      <c r="AF1160" s="575"/>
      <c r="AG1160" s="575"/>
      <c r="AH1160" s="575"/>
      <c r="AI1160" s="679"/>
      <c r="AJ1160" s="564"/>
      <c r="AK1160" s="564"/>
      <c r="AL1160" s="564"/>
      <c r="AM1160" s="564"/>
      <c r="AN1160" s="614"/>
      <c r="AO1160" s="824" t="str">
        <f t="shared" si="246"/>
        <v>Yes</v>
      </c>
      <c r="AP1160" s="259" t="str">
        <f t="shared" si="247"/>
        <v>JUL 22</v>
      </c>
      <c r="AQ1160" s="542" t="str">
        <f t="shared" si="248"/>
        <v>有定金+有預留客戶</v>
      </c>
      <c r="AR1160" s="259" t="str">
        <f t="shared" si="249"/>
        <v>Shipped_Stock</v>
      </c>
      <c r="AS1160" s="259" t="str">
        <f t="shared" si="250"/>
        <v/>
      </c>
      <c r="AT1160" s="259" t="str">
        <f t="shared" si="251"/>
        <v>弛瑞</v>
      </c>
      <c r="AU1160" s="259" t="str">
        <f t="shared" si="252"/>
        <v>C49SZX20220020R1SS</v>
      </c>
      <c r="AV1160" s="259" t="str">
        <f t="shared" si="253"/>
        <v>May-07</v>
      </c>
    </row>
    <row r="1161" spans="1:48" hidden="1">
      <c r="A1161" s="779">
        <v>1387</v>
      </c>
      <c r="B1161" s="664" t="s">
        <v>1125</v>
      </c>
      <c r="C1161" s="771" t="s">
        <v>281</v>
      </c>
      <c r="D1161" s="761">
        <v>110429</v>
      </c>
      <c r="E1161" s="630" t="s">
        <v>886</v>
      </c>
      <c r="F1161" s="692" t="s">
        <v>17</v>
      </c>
      <c r="G1161" s="692" t="s">
        <v>18</v>
      </c>
      <c r="H1161" s="692" t="s">
        <v>26</v>
      </c>
      <c r="I1161" s="693" t="s">
        <v>2232</v>
      </c>
      <c r="J1161" s="693">
        <v>1</v>
      </c>
      <c r="K1161" s="563" t="s">
        <v>85</v>
      </c>
      <c r="L1161" s="657">
        <v>44694</v>
      </c>
      <c r="M1161" s="665">
        <v>6.0600000000000001E-2</v>
      </c>
      <c r="N1161" s="647" t="s">
        <v>1903</v>
      </c>
      <c r="O1161" s="575">
        <v>2022.4</v>
      </c>
      <c r="P1161" s="665" t="str">
        <f>VLOOKUP(A1161,'[1]Raw data'!$B:$BA,23,FALSE)</f>
        <v>JPY</v>
      </c>
      <c r="Q1161" s="647" t="str">
        <f>VLOOKUP(A1161,'[1]Raw data'!$B:$Z,2,FALSE)</f>
        <v>C49SZX20220057DZ</v>
      </c>
      <c r="R1161" s="647" t="str">
        <f>VLOOKUP(A1161,'[1]Raw data'!$B:$Z,3,FALSE)</f>
        <v>广恒创新（enduser:深圳比尔乔）</v>
      </c>
      <c r="S1161" s="647" t="str">
        <f>VLOOKUP(A1161,'[1]Raw data'!$B:$Z,4,FALSE)</f>
        <v>YSM10</v>
      </c>
      <c r="T1161" s="647" t="str">
        <f>VLOOKUP(A1161,'[1]Raw data'!$B:$Z,8,FALSE)</f>
        <v>R-&gt;L</v>
      </c>
      <c r="U1161" s="647" t="str">
        <f>VLOOKUP(A1161,'[1]Raw data'!$B:$Z,9,FALSE)</f>
        <v>MVC</v>
      </c>
      <c r="V1161" s="567" t="str">
        <f t="shared" ref="V1161:V1170" si="255">IF(G1161&amp;H1161=T1161&amp;U1161,"OK","WRONG")</f>
        <v>WRONG</v>
      </c>
      <c r="W1161" s="563" t="str">
        <f>VLOOKUP(A1161,'[1]Raw data'!$B:$AG,32,FALSE)</f>
        <v>CIF HK</v>
      </c>
      <c r="X1161" s="647">
        <f>VLOOKUP(A1161,'[1]Raw data'!$B:$BA,31,FALSE)</f>
        <v>44340</v>
      </c>
      <c r="Y1161" s="647" t="str">
        <f>VLOOKUP(A1161,'[1]Raw data'!$B:$AS,39,FALSE)</f>
        <v>Yes</v>
      </c>
      <c r="Z1161" s="659"/>
      <c r="AA1161" s="660"/>
      <c r="AB1161" s="661"/>
      <c r="AC1161" s="575" t="s">
        <v>1659</v>
      </c>
      <c r="AD1161" s="662">
        <v>301</v>
      </c>
      <c r="AE1161" s="662">
        <v>10</v>
      </c>
      <c r="AF1161" s="662"/>
      <c r="AG1161" s="662"/>
      <c r="AH1161" s="662"/>
      <c r="AI1161" s="663"/>
      <c r="AN1161" s="542"/>
      <c r="AO1161" s="824" t="str">
        <f t="shared" si="246"/>
        <v>Yes</v>
      </c>
      <c r="AP1161" s="259" t="str">
        <f t="shared" si="247"/>
        <v>MAY 22</v>
      </c>
      <c r="AQ1161" s="542" t="str">
        <f t="shared" si="248"/>
        <v>有定金+有預留客戶</v>
      </c>
      <c r="AR1161" s="259" t="str">
        <f t="shared" si="249"/>
        <v>Shipped_Stock</v>
      </c>
      <c r="AS1161" s="259" t="str">
        <f t="shared" si="250"/>
        <v/>
      </c>
      <c r="AT1161" s="259" t="str">
        <f t="shared" si="251"/>
        <v>广恒创新（enduser:深圳比尔乔）</v>
      </c>
      <c r="AU1161" s="259" t="str">
        <f t="shared" si="252"/>
        <v>C49SZX20220057DZ</v>
      </c>
      <c r="AV1161" s="259" t="str">
        <f t="shared" si="253"/>
        <v>May-13</v>
      </c>
    </row>
    <row r="1162" spans="1:48" hidden="1">
      <c r="A1162" s="599">
        <v>1635</v>
      </c>
      <c r="B1162" s="664" t="s">
        <v>1125</v>
      </c>
      <c r="C1162" s="664" t="s">
        <v>281</v>
      </c>
      <c r="D1162" s="755">
        <v>110429</v>
      </c>
      <c r="E1162" s="562" t="s">
        <v>886</v>
      </c>
      <c r="F1162" s="647" t="s">
        <v>17</v>
      </c>
      <c r="G1162" s="647" t="s">
        <v>18</v>
      </c>
      <c r="H1162" s="647" t="s">
        <v>26</v>
      </c>
      <c r="I1162" s="575" t="s">
        <v>2233</v>
      </c>
      <c r="J1162" s="575">
        <v>1</v>
      </c>
      <c r="K1162" s="563" t="s">
        <v>85</v>
      </c>
      <c r="L1162" s="657">
        <v>44694</v>
      </c>
      <c r="M1162" s="665">
        <v>6.0600000000000001E-2</v>
      </c>
      <c r="N1162" s="647" t="s">
        <v>1903</v>
      </c>
      <c r="O1162" s="575">
        <v>2022.4</v>
      </c>
      <c r="P1162" s="665" t="str">
        <f>VLOOKUP(A1162,'[1]Raw data'!$B:$BA,23,FALSE)</f>
        <v>JPY</v>
      </c>
      <c r="Q1162" s="647" t="str">
        <f>VLOOKUP(A1162,'[1]Raw data'!$B:$Z,2,FALSE)</f>
        <v>C49SZX20220041SQ</v>
      </c>
      <c r="R1162" s="647" t="str">
        <f>VLOOKUP(A1162,'[1]Raw data'!$B:$Z,3,FALSE)</f>
        <v>华富快捷</v>
      </c>
      <c r="S1162" s="647" t="str">
        <f>VLOOKUP(A1162,'[1]Raw data'!$B:$Z,4,FALSE)</f>
        <v>YSM10</v>
      </c>
      <c r="T1162" s="647" t="str">
        <f>VLOOKUP(A1162,'[1]Raw data'!$B:$Z,8,FALSE)</f>
        <v>R-&gt;L</v>
      </c>
      <c r="U1162" s="647" t="str">
        <f>VLOOKUP(A1162,'[1]Raw data'!$B:$Z,9,FALSE)</f>
        <v>MVC</v>
      </c>
      <c r="V1162" s="567" t="str">
        <f t="shared" si="255"/>
        <v>WRONG</v>
      </c>
      <c r="W1162" s="563" t="str">
        <f>VLOOKUP(A1162,'[1]Raw data'!$B:$AG,32,FALSE)</f>
        <v>DAP SZ</v>
      </c>
      <c r="X1162" s="647">
        <f>VLOOKUP(A1162,'[1]Raw data'!$B:$BA,31,FALSE)</f>
        <v>44650</v>
      </c>
      <c r="Y1162" s="647" t="str">
        <f>VLOOKUP(A1162,'[1]Raw data'!$B:$AS,39,FALSE)</f>
        <v>Yes</v>
      </c>
      <c r="Z1162" s="659"/>
      <c r="AA1162" s="660"/>
      <c r="AB1162" s="661"/>
      <c r="AC1162" s="647" t="s">
        <v>2234</v>
      </c>
      <c r="AD1162" s="575">
        <v>301</v>
      </c>
      <c r="AE1162" s="575">
        <v>10</v>
      </c>
      <c r="AF1162" s="575"/>
      <c r="AG1162" s="575"/>
      <c r="AH1162" s="575"/>
      <c r="AI1162" s="679"/>
      <c r="AJ1162" s="564"/>
      <c r="AK1162" s="564"/>
      <c r="AL1162" s="564"/>
      <c r="AM1162" s="564"/>
      <c r="AN1162" s="614"/>
      <c r="AO1162" s="824" t="str">
        <f t="shared" si="246"/>
        <v>Yes</v>
      </c>
      <c r="AP1162" s="259" t="str">
        <f t="shared" si="247"/>
        <v>MAY 22</v>
      </c>
      <c r="AQ1162" s="542" t="str">
        <f t="shared" si="248"/>
        <v>有定金+有預留客戶</v>
      </c>
      <c r="AR1162" s="259" t="str">
        <f t="shared" si="249"/>
        <v>Shipped_Stock</v>
      </c>
      <c r="AS1162" s="259" t="str">
        <f t="shared" si="250"/>
        <v/>
      </c>
      <c r="AT1162" s="259" t="str">
        <f t="shared" si="251"/>
        <v>华富快捷</v>
      </c>
      <c r="AU1162" s="259" t="str">
        <f t="shared" si="252"/>
        <v>C49SZX20220041SQ</v>
      </c>
      <c r="AV1162" s="259" t="str">
        <f t="shared" si="253"/>
        <v>May-13</v>
      </c>
    </row>
    <row r="1163" spans="1:48" hidden="1">
      <c r="A1163" s="559">
        <v>1388</v>
      </c>
      <c r="B1163" s="664" t="s">
        <v>1125</v>
      </c>
      <c r="C1163" s="664" t="s">
        <v>281</v>
      </c>
      <c r="D1163" s="755">
        <v>110429</v>
      </c>
      <c r="E1163" s="562" t="s">
        <v>886</v>
      </c>
      <c r="F1163" s="647" t="s">
        <v>17</v>
      </c>
      <c r="G1163" s="647" t="s">
        <v>18</v>
      </c>
      <c r="H1163" s="647" t="s">
        <v>26</v>
      </c>
      <c r="I1163" s="575" t="s">
        <v>2235</v>
      </c>
      <c r="J1163" s="575">
        <v>1</v>
      </c>
      <c r="K1163" s="563" t="s">
        <v>85</v>
      </c>
      <c r="L1163" s="657">
        <v>44694</v>
      </c>
      <c r="M1163" s="665">
        <v>6.0600000000000001E-2</v>
      </c>
      <c r="N1163" s="647" t="s">
        <v>1903</v>
      </c>
      <c r="O1163" s="575">
        <v>2022.4</v>
      </c>
      <c r="P1163" s="665" t="str">
        <f>VLOOKUP(A1163,'[1]Raw data'!$B:$BA,23,FALSE)</f>
        <v>JPY</v>
      </c>
      <c r="Q1163" s="647" t="str">
        <f>VLOOKUP(A1163,'[1]Raw data'!$B:$Z,2,FALSE)</f>
        <v>C49SZX20220057DZ</v>
      </c>
      <c r="R1163" s="647" t="str">
        <f>VLOOKUP(A1163,'[1]Raw data'!$B:$Z,3,FALSE)</f>
        <v>广恒创新（enduser:深圳比尔乔）</v>
      </c>
      <c r="S1163" s="647" t="str">
        <f>VLOOKUP(A1163,'[1]Raw data'!$B:$Z,4,FALSE)</f>
        <v>YSM10</v>
      </c>
      <c r="T1163" s="647" t="str">
        <f>VLOOKUP(A1163,'[1]Raw data'!$B:$Z,8,FALSE)</f>
        <v>R-&gt;L</v>
      </c>
      <c r="U1163" s="647" t="str">
        <f>VLOOKUP(A1163,'[1]Raw data'!$B:$Z,9,FALSE)</f>
        <v>MVC</v>
      </c>
      <c r="V1163" s="567" t="str">
        <f t="shared" si="255"/>
        <v>WRONG</v>
      </c>
      <c r="W1163" s="563" t="str">
        <f>VLOOKUP(A1163,'[1]Raw data'!$B:$AG,32,FALSE)</f>
        <v>CIF HK</v>
      </c>
      <c r="X1163" s="647">
        <f>VLOOKUP(A1163,'[1]Raw data'!$B:$BA,31,FALSE)</f>
        <v>44340</v>
      </c>
      <c r="Y1163" s="647" t="str">
        <f>VLOOKUP(A1163,'[1]Raw data'!$B:$AS,39,FALSE)</f>
        <v>Yes</v>
      </c>
      <c r="Z1163" s="659"/>
      <c r="AA1163" s="660"/>
      <c r="AB1163" s="661"/>
      <c r="AC1163" s="575" t="s">
        <v>1659</v>
      </c>
      <c r="AD1163" s="662">
        <v>301</v>
      </c>
      <c r="AE1163" s="662">
        <v>10</v>
      </c>
      <c r="AF1163" s="662"/>
      <c r="AG1163" s="662"/>
      <c r="AH1163" s="662"/>
      <c r="AI1163" s="663"/>
      <c r="AN1163" s="542"/>
      <c r="AO1163" s="824" t="str">
        <f t="shared" si="246"/>
        <v>Yes</v>
      </c>
      <c r="AP1163" s="259" t="str">
        <f t="shared" si="247"/>
        <v>MAY 22</v>
      </c>
      <c r="AQ1163" s="542" t="str">
        <f t="shared" si="248"/>
        <v>有定金+有預留客戶</v>
      </c>
      <c r="AR1163" s="259" t="str">
        <f t="shared" si="249"/>
        <v>Shipped_Stock</v>
      </c>
      <c r="AS1163" s="259" t="str">
        <f t="shared" si="250"/>
        <v/>
      </c>
      <c r="AT1163" s="259" t="str">
        <f t="shared" si="251"/>
        <v>广恒创新（enduser:深圳比尔乔）</v>
      </c>
      <c r="AU1163" s="259" t="str">
        <f t="shared" si="252"/>
        <v>C49SZX20220057DZ</v>
      </c>
      <c r="AV1163" s="259" t="str">
        <f t="shared" si="253"/>
        <v>May-13</v>
      </c>
    </row>
    <row r="1164" spans="1:48" hidden="1">
      <c r="A1164" s="599">
        <v>1674</v>
      </c>
      <c r="B1164" s="664" t="s">
        <v>1125</v>
      </c>
      <c r="C1164" s="664" t="s">
        <v>281</v>
      </c>
      <c r="D1164" s="755">
        <v>110870</v>
      </c>
      <c r="E1164" s="756" t="s">
        <v>2236</v>
      </c>
      <c r="F1164" s="647" t="s">
        <v>17</v>
      </c>
      <c r="G1164" s="647" t="s">
        <v>18</v>
      </c>
      <c r="H1164" s="647" t="s">
        <v>102</v>
      </c>
      <c r="I1164" s="575" t="s">
        <v>2237</v>
      </c>
      <c r="J1164" s="575">
        <v>1</v>
      </c>
      <c r="K1164" s="563" t="s">
        <v>1419</v>
      </c>
      <c r="L1164" s="657">
        <v>44694</v>
      </c>
      <c r="M1164" s="665">
        <v>5.21E-2</v>
      </c>
      <c r="N1164" s="647" t="s">
        <v>1982</v>
      </c>
      <c r="O1164" s="575">
        <v>2022.4</v>
      </c>
      <c r="P1164" s="665" t="str">
        <f>VLOOKUP(A1164,'[1]Raw data'!$B:$BA,23,FALSE)</f>
        <v>RMB</v>
      </c>
      <c r="Q1164" s="647" t="str">
        <f>VLOOKUP(A1164,'[1]Raw data'!$B:$Z,2,FALSE)</f>
        <v>C49SZX20220062SS</v>
      </c>
      <c r="R1164" s="647" t="str">
        <f>VLOOKUP(A1164,'[1]Raw data'!$B:$Z,3,FALSE)</f>
        <v>世启纳</v>
      </c>
      <c r="S1164" s="647" t="str">
        <f>VLOOKUP(A1164,'[1]Raw data'!$B:$Z,4,FALSE)</f>
        <v>YSM10</v>
      </c>
      <c r="T1164" s="647" t="str">
        <f>VLOOKUP(A1164,'[1]Raw data'!$B:$Z,8,FALSE)</f>
        <v>L-&gt;R</v>
      </c>
      <c r="U1164" s="647" t="str">
        <f>VLOOKUP(A1164,'[1]Raw data'!$B:$Z,9,FALSE)</f>
        <v>MVC</v>
      </c>
      <c r="V1164" s="567" t="str">
        <f t="shared" si="255"/>
        <v>WRONG</v>
      </c>
      <c r="W1164" s="563" t="str">
        <f>VLOOKUP(A1164,'[1]Raw data'!$B:$AG,32,FALSE)</f>
        <v>DDP SZ</v>
      </c>
      <c r="X1164" s="647">
        <f>VLOOKUP(A1164,'[1]Raw data'!$B:$BA,31,FALSE)</f>
        <v>44707</v>
      </c>
      <c r="Y1164" s="647" t="str">
        <f>VLOOKUP(A1164,'[1]Raw data'!$B:$AS,39,FALSE)</f>
        <v>Yes</v>
      </c>
      <c r="Z1164" s="659"/>
      <c r="AA1164" s="660"/>
      <c r="AB1164" s="661"/>
      <c r="AC1164" s="647" t="s">
        <v>2038</v>
      </c>
      <c r="AD1164" s="575">
        <v>301</v>
      </c>
      <c r="AE1164" s="575">
        <v>10</v>
      </c>
      <c r="AF1164" s="575"/>
      <c r="AG1164" s="575"/>
      <c r="AH1164" s="575"/>
      <c r="AI1164" s="679"/>
      <c r="AJ1164" s="564"/>
      <c r="AK1164" s="564"/>
      <c r="AL1164" s="564"/>
      <c r="AM1164" s="564"/>
      <c r="AN1164" s="614"/>
      <c r="AO1164" s="824" t="str">
        <f t="shared" si="246"/>
        <v>Yes</v>
      </c>
      <c r="AP1164" s="259" t="str">
        <f t="shared" si="247"/>
        <v>JUN 22</v>
      </c>
      <c r="AQ1164" s="542" t="str">
        <f t="shared" si="248"/>
        <v>有定金+有預留客戶</v>
      </c>
      <c r="AR1164" s="259" t="str">
        <f t="shared" si="249"/>
        <v>Shipped_Stock</v>
      </c>
      <c r="AS1164" s="259" t="str">
        <f t="shared" si="250"/>
        <v/>
      </c>
      <c r="AT1164" s="259" t="str">
        <f t="shared" si="251"/>
        <v>世启纳</v>
      </c>
      <c r="AU1164" s="259" t="str">
        <f t="shared" si="252"/>
        <v>C49SZX20220062SS</v>
      </c>
      <c r="AV1164" s="259" t="str">
        <f t="shared" si="253"/>
        <v>May-13</v>
      </c>
    </row>
    <row r="1165" spans="1:48" ht="17.25" hidden="1" thickBot="1">
      <c r="A1165" s="559">
        <v>1677</v>
      </c>
      <c r="B1165" s="664" t="s">
        <v>1125</v>
      </c>
      <c r="C1165" s="664" t="s">
        <v>281</v>
      </c>
      <c r="D1165" s="624">
        <v>110870</v>
      </c>
      <c r="E1165" s="756" t="s">
        <v>2236</v>
      </c>
      <c r="F1165" s="647" t="s">
        <v>17</v>
      </c>
      <c r="G1165" s="647" t="s">
        <v>18</v>
      </c>
      <c r="H1165" s="647" t="s">
        <v>102</v>
      </c>
      <c r="I1165" s="575" t="s">
        <v>2238</v>
      </c>
      <c r="J1165" s="575">
        <v>1</v>
      </c>
      <c r="K1165" s="780" t="s">
        <v>2239</v>
      </c>
      <c r="L1165" s="657">
        <v>44694</v>
      </c>
      <c r="M1165" s="665">
        <v>5.21E-2</v>
      </c>
      <c r="N1165" s="647" t="s">
        <v>1982</v>
      </c>
      <c r="O1165" s="575">
        <v>2022.4</v>
      </c>
      <c r="P1165" s="665" t="str">
        <f>VLOOKUP(A1165,'[1]Raw data'!$B:$BA,23,FALSE)</f>
        <v>RMB</v>
      </c>
      <c r="Q1165" s="647" t="str">
        <f>VLOOKUP(A1165,'[1]Raw data'!$B:$Z,2,FALSE)</f>
        <v>C49SZX202200066SS</v>
      </c>
      <c r="R1165" s="647" t="str">
        <f>VLOOKUP(A1165,'[1]Raw data'!$B:$Z,3,FALSE)</f>
        <v>思迈</v>
      </c>
      <c r="S1165" s="647" t="str">
        <f>VLOOKUP(A1165,'[1]Raw data'!$B:$Z,4,FALSE)</f>
        <v>YSM10</v>
      </c>
      <c r="T1165" s="647" t="str">
        <f>VLOOKUP(A1165,'[1]Raw data'!$B:$Z,8,FALSE)</f>
        <v>L-&gt;R</v>
      </c>
      <c r="U1165" s="647" t="str">
        <f>VLOOKUP(A1165,'[1]Raw data'!$B:$Z,9,FALSE)</f>
        <v>MVC</v>
      </c>
      <c r="V1165" s="567" t="str">
        <f t="shared" si="255"/>
        <v>WRONG</v>
      </c>
      <c r="W1165" s="563" t="str">
        <f>VLOOKUP(A1165,'[1]Raw data'!$B:$AG,32,FALSE)</f>
        <v>DDP SZ</v>
      </c>
      <c r="X1165" s="647">
        <f>VLOOKUP(A1165,'[1]Raw data'!$B:$BA,31,FALSE)</f>
        <v>44718</v>
      </c>
      <c r="Y1165" s="647" t="str">
        <f>VLOOKUP(A1165,'[1]Raw data'!$B:$AS,39,FALSE)</f>
        <v>Yes</v>
      </c>
      <c r="Z1165" s="659"/>
      <c r="AA1165" s="660"/>
      <c r="AB1165" s="661"/>
      <c r="AC1165" s="647" t="s">
        <v>770</v>
      </c>
      <c r="AD1165" s="662">
        <v>301</v>
      </c>
      <c r="AE1165" s="662">
        <v>10</v>
      </c>
      <c r="AF1165" s="662"/>
      <c r="AG1165" s="662"/>
      <c r="AH1165" s="662"/>
      <c r="AI1165" s="663"/>
      <c r="AN1165" s="542"/>
      <c r="AO1165" s="824" t="str">
        <f t="shared" si="246"/>
        <v>Yes</v>
      </c>
      <c r="AP1165" s="259" t="str">
        <f t="shared" si="247"/>
        <v>JUN 22</v>
      </c>
      <c r="AQ1165" s="542" t="str">
        <f t="shared" si="248"/>
        <v>有定金+有預留客戶</v>
      </c>
      <c r="AR1165" s="259" t="str">
        <f t="shared" si="249"/>
        <v>Shipped_Stock</v>
      </c>
      <c r="AS1165" s="259" t="str">
        <f t="shared" si="250"/>
        <v/>
      </c>
      <c r="AT1165" s="259" t="str">
        <f t="shared" si="251"/>
        <v>思迈</v>
      </c>
      <c r="AU1165" s="259" t="str">
        <f t="shared" si="252"/>
        <v>C49SZX202200066SS</v>
      </c>
      <c r="AV1165" s="259" t="str">
        <f t="shared" si="253"/>
        <v>May-13</v>
      </c>
    </row>
    <row r="1166" spans="1:48" hidden="1">
      <c r="A1166" s="559">
        <v>1525</v>
      </c>
      <c r="B1166" s="664" t="s">
        <v>1125</v>
      </c>
      <c r="C1166" s="664" t="s">
        <v>281</v>
      </c>
      <c r="D1166" s="776">
        <v>110882</v>
      </c>
      <c r="E1166" s="562" t="s">
        <v>886</v>
      </c>
      <c r="F1166" s="647" t="s">
        <v>58</v>
      </c>
      <c r="G1166" s="647" t="s">
        <v>24</v>
      </c>
      <c r="H1166" s="647" t="s">
        <v>27</v>
      </c>
      <c r="I1166" s="575" t="s">
        <v>2240</v>
      </c>
      <c r="J1166" s="575">
        <v>1</v>
      </c>
      <c r="K1166" s="563" t="s">
        <v>85</v>
      </c>
      <c r="L1166" s="657">
        <v>44700</v>
      </c>
      <c r="M1166" s="665" t="s">
        <v>2241</v>
      </c>
      <c r="N1166" s="647" t="s">
        <v>1903</v>
      </c>
      <c r="O1166" s="575">
        <v>2022.4</v>
      </c>
      <c r="P1166" s="665" t="str">
        <f>VLOOKUP(A1166,'[1]Raw data'!$B:$BA,23,FALSE)</f>
        <v>JPY</v>
      </c>
      <c r="Q1166" s="647" t="str">
        <f>VLOOKUP(A1166,'[1]Raw data'!$B:$Z,2,FALSE)</f>
        <v>C49SZX20220030SS</v>
      </c>
      <c r="R1166" s="647" t="str">
        <f>VLOOKUP(A1166,'[1]Raw data'!$B:$Z,3,FALSE)</f>
        <v>微克（end user：蓝极光）</v>
      </c>
      <c r="S1166" s="647" t="str">
        <f>VLOOKUP(A1166,'[1]Raw data'!$B:$Z,4,FALSE)</f>
        <v>YSM20R-2</v>
      </c>
      <c r="T1166" s="647" t="str">
        <f>VLOOKUP(A1166,'[1]Raw data'!$B:$Z,8,FALSE)</f>
        <v>L-&gt;R</v>
      </c>
      <c r="U1166" s="647" t="str">
        <f>VLOOKUP(A1166,'[1]Raw data'!$B:$Z,9,FALSE)</f>
        <v>No</v>
      </c>
      <c r="V1166" s="567" t="str">
        <f t="shared" ref="V1166:V1168" si="256">IF(G1166&amp;H1166=T1166&amp;U1166,"OK","WRONG")</f>
        <v>WRONG</v>
      </c>
      <c r="W1166" s="563" t="str">
        <f>VLOOKUP(A1166,'[1]Raw data'!$B:$AG,32,FALSE)</f>
        <v>DAP SZ</v>
      </c>
      <c r="X1166" s="647">
        <f>VLOOKUP(A1166,'[1]Raw data'!$B:$BA,31,FALSE)</f>
        <v>44551</v>
      </c>
      <c r="Y1166" s="647" t="str">
        <f>VLOOKUP(A1166,'[1]Raw data'!$B:$AS,39,FALSE)</f>
        <v>Yes</v>
      </c>
      <c r="Z1166" s="659"/>
      <c r="AA1166" s="660"/>
      <c r="AB1166" s="661"/>
      <c r="AC1166" s="647" t="s">
        <v>2242</v>
      </c>
      <c r="AD1166" s="662">
        <v>301</v>
      </c>
      <c r="AE1166" s="662">
        <v>10</v>
      </c>
      <c r="AF1166" s="662">
        <v>313</v>
      </c>
      <c r="AG1166" s="662">
        <v>10</v>
      </c>
      <c r="AH1166" s="662"/>
      <c r="AI1166" s="663"/>
      <c r="AN1166" s="542"/>
      <c r="AO1166" s="824" t="str">
        <f t="shared" si="246"/>
        <v>Yes</v>
      </c>
      <c r="AP1166" s="259" t="str">
        <f t="shared" si="247"/>
        <v>MAY 22</v>
      </c>
      <c r="AQ1166" s="542" t="str">
        <f t="shared" si="248"/>
        <v>有定金+有預留客戶</v>
      </c>
      <c r="AR1166" s="259" t="str">
        <f t="shared" si="249"/>
        <v>Shipped_Stock</v>
      </c>
      <c r="AS1166" s="259" t="str">
        <f t="shared" si="250"/>
        <v/>
      </c>
      <c r="AT1166" s="259" t="str">
        <f t="shared" si="251"/>
        <v>微克（end user：蓝极光）</v>
      </c>
      <c r="AU1166" s="259" t="str">
        <f t="shared" si="252"/>
        <v>C49SZX20220030SS</v>
      </c>
      <c r="AV1166" s="259" t="str">
        <f t="shared" si="253"/>
        <v>May-19</v>
      </c>
    </row>
    <row r="1167" spans="1:48" hidden="1">
      <c r="A1167" s="559">
        <v>1526</v>
      </c>
      <c r="B1167" s="664" t="s">
        <v>1125</v>
      </c>
      <c r="C1167" s="664" t="s">
        <v>281</v>
      </c>
      <c r="D1167" s="755">
        <v>110882</v>
      </c>
      <c r="E1167" s="562" t="s">
        <v>886</v>
      </c>
      <c r="F1167" s="647" t="s">
        <v>58</v>
      </c>
      <c r="G1167" s="647" t="s">
        <v>24</v>
      </c>
      <c r="H1167" s="647" t="s">
        <v>26</v>
      </c>
      <c r="I1167" s="575" t="s">
        <v>2243</v>
      </c>
      <c r="J1167" s="575">
        <v>1</v>
      </c>
      <c r="K1167" s="563" t="s">
        <v>85</v>
      </c>
      <c r="L1167" s="657">
        <v>44700</v>
      </c>
      <c r="M1167" s="665" t="s">
        <v>2244</v>
      </c>
      <c r="N1167" s="647" t="s">
        <v>1903</v>
      </c>
      <c r="O1167" s="575">
        <v>2022.4</v>
      </c>
      <c r="P1167" s="665" t="str">
        <f>VLOOKUP(A1167,'[1]Raw data'!$B:$BA,23,FALSE)</f>
        <v>JPY</v>
      </c>
      <c r="Q1167" s="647" t="str">
        <f>VLOOKUP(A1167,'[1]Raw data'!$B:$Z,2,FALSE)</f>
        <v>C49SZX20220030SS</v>
      </c>
      <c r="R1167" s="647" t="str">
        <f>VLOOKUP(A1167,'[1]Raw data'!$B:$Z,3,FALSE)</f>
        <v>微克（end user：蓝极光）</v>
      </c>
      <c r="S1167" s="647" t="str">
        <f>VLOOKUP(A1167,'[1]Raw data'!$B:$Z,4,FALSE)</f>
        <v>YSM20R-2</v>
      </c>
      <c r="T1167" s="647" t="str">
        <f>VLOOKUP(A1167,'[1]Raw data'!$B:$Z,8,FALSE)</f>
        <v>L-&gt;R</v>
      </c>
      <c r="U1167" s="647" t="str">
        <f>VLOOKUP(A1167,'[1]Raw data'!$B:$Z,9,FALSE)</f>
        <v>No</v>
      </c>
      <c r="V1167" s="567" t="str">
        <f t="shared" si="256"/>
        <v>OK</v>
      </c>
      <c r="W1167" s="563" t="str">
        <f>VLOOKUP(A1167,'[1]Raw data'!$B:$AG,32,FALSE)</f>
        <v>DAP SZ</v>
      </c>
      <c r="X1167" s="647">
        <f>VLOOKUP(A1167,'[1]Raw data'!$B:$BA,31,FALSE)</f>
        <v>44551</v>
      </c>
      <c r="Y1167" s="647" t="str">
        <f>VLOOKUP(A1167,'[1]Raw data'!$B:$AS,39,FALSE)</f>
        <v>Yes</v>
      </c>
      <c r="Z1167" s="659"/>
      <c r="AA1167" s="660"/>
      <c r="AB1167" s="661"/>
      <c r="AC1167" s="647" t="s">
        <v>2242</v>
      </c>
      <c r="AD1167" s="662">
        <v>302</v>
      </c>
      <c r="AE1167" s="662">
        <v>10</v>
      </c>
      <c r="AF1167" s="662">
        <v>303</v>
      </c>
      <c r="AG1167" s="662">
        <v>10</v>
      </c>
      <c r="AH1167" s="662"/>
      <c r="AI1167" s="663"/>
      <c r="AN1167" s="542"/>
      <c r="AO1167" s="824" t="str">
        <f t="shared" si="246"/>
        <v>Yes</v>
      </c>
      <c r="AP1167" s="259" t="str">
        <f t="shared" si="247"/>
        <v>MAY 22</v>
      </c>
      <c r="AQ1167" s="542" t="str">
        <f t="shared" si="248"/>
        <v>有定金+有預留客戶</v>
      </c>
      <c r="AR1167" s="259" t="str">
        <f t="shared" si="249"/>
        <v>Shipped_Stock</v>
      </c>
      <c r="AS1167" s="259" t="str">
        <f t="shared" si="250"/>
        <v/>
      </c>
      <c r="AT1167" s="259" t="str">
        <f t="shared" si="251"/>
        <v>微克（end user：蓝极光）</v>
      </c>
      <c r="AU1167" s="259" t="str">
        <f t="shared" si="252"/>
        <v>C49SZX20220030SS</v>
      </c>
      <c r="AV1167" s="259" t="str">
        <f t="shared" si="253"/>
        <v>May-19</v>
      </c>
    </row>
    <row r="1168" spans="1:48" ht="13.5" hidden="1" thickBot="1">
      <c r="A1168" s="559">
        <v>1597</v>
      </c>
      <c r="B1168" s="664" t="s">
        <v>280</v>
      </c>
      <c r="C1168" s="664" t="s">
        <v>281</v>
      </c>
      <c r="D1168" s="624">
        <v>110882</v>
      </c>
      <c r="E1168" s="562" t="s">
        <v>886</v>
      </c>
      <c r="F1168" s="647" t="s">
        <v>58</v>
      </c>
      <c r="G1168" s="647" t="s">
        <v>24</v>
      </c>
      <c r="H1168" s="647" t="s">
        <v>26</v>
      </c>
      <c r="I1168" s="575" t="s">
        <v>2245</v>
      </c>
      <c r="J1168" s="575">
        <v>1</v>
      </c>
      <c r="K1168" s="563" t="s">
        <v>85</v>
      </c>
      <c r="L1168" s="657">
        <v>44700</v>
      </c>
      <c r="M1168" s="665" t="s">
        <v>2246</v>
      </c>
      <c r="N1168" s="647" t="s">
        <v>1982</v>
      </c>
      <c r="O1168" s="575">
        <v>2022.4</v>
      </c>
      <c r="P1168" s="665" t="str">
        <f>VLOOKUP(A1168,'[1]Raw data'!$B:$BA,23,FALSE)</f>
        <v>JPY</v>
      </c>
      <c r="Q1168" s="647" t="str">
        <f>VLOOKUP(A1168,'[1]Raw data'!$B:$Z,2,FALSE)</f>
        <v>C49SZX20220021SS</v>
      </c>
      <c r="R1168" s="647" t="str">
        <f>VLOOKUP(A1168,'[1]Raw data'!$B:$Z,3,FALSE)</f>
        <v>钧溢电子</v>
      </c>
      <c r="S1168" s="647" t="str">
        <f>VLOOKUP(A1168,'[1]Raw data'!$B:$Z,4,FALSE)</f>
        <v>YSM20R-2</v>
      </c>
      <c r="T1168" s="647" t="str">
        <f>VLOOKUP(A1168,'[1]Raw data'!$B:$Z,8,FALSE)</f>
        <v>L-&gt;R</v>
      </c>
      <c r="U1168" s="647" t="str">
        <f>VLOOKUP(A1168,'[1]Raw data'!$B:$Z,9,FALSE)</f>
        <v>No</v>
      </c>
      <c r="V1168" s="567" t="str">
        <f t="shared" si="256"/>
        <v>OK</v>
      </c>
      <c r="W1168" s="563" t="str">
        <f>VLOOKUP(A1168,'[1]Raw data'!$B:$AG,32,FALSE)</f>
        <v>DAP SZ</v>
      </c>
      <c r="X1168" s="647">
        <f>VLOOKUP(A1168,'[1]Raw data'!$B:$BA,31,FALSE)</f>
        <v>44617</v>
      </c>
      <c r="Y1168" s="647" t="str">
        <f>VLOOKUP(A1168,'[1]Raw data'!$B:$AS,39,FALSE)</f>
        <v>Yes</v>
      </c>
      <c r="Z1168" s="659"/>
      <c r="AA1168" s="660"/>
      <c r="AB1168" s="661"/>
      <c r="AC1168" s="647" t="s">
        <v>2247</v>
      </c>
      <c r="AD1168" s="662">
        <v>302</v>
      </c>
      <c r="AE1168" s="662">
        <v>10</v>
      </c>
      <c r="AF1168" s="662">
        <v>303</v>
      </c>
      <c r="AG1168" s="662">
        <v>10</v>
      </c>
      <c r="AH1168" s="662"/>
      <c r="AI1168" s="663"/>
      <c r="AN1168" s="542"/>
      <c r="AO1168" s="824" t="str">
        <f t="shared" si="246"/>
        <v>Yes</v>
      </c>
      <c r="AP1168" s="259" t="str">
        <f t="shared" si="247"/>
        <v>JUN 22</v>
      </c>
      <c r="AQ1168" s="542" t="str">
        <f t="shared" si="248"/>
        <v>有定金+有預留客戶</v>
      </c>
      <c r="AR1168" s="259" t="str">
        <f t="shared" si="249"/>
        <v>Shipped_Stock</v>
      </c>
      <c r="AS1168" s="259" t="str">
        <f t="shared" si="250"/>
        <v/>
      </c>
      <c r="AT1168" s="259" t="str">
        <f t="shared" si="251"/>
        <v>钧溢电子</v>
      </c>
      <c r="AU1168" s="259" t="str">
        <f t="shared" si="252"/>
        <v>C49SZX20220021SS</v>
      </c>
      <c r="AV1168" s="259" t="str">
        <f t="shared" si="253"/>
        <v>May-19</v>
      </c>
    </row>
    <row r="1169" spans="1:48" ht="13.5" hidden="1">
      <c r="A1169" s="599">
        <v>1655</v>
      </c>
      <c r="B1169" s="664" t="s">
        <v>1125</v>
      </c>
      <c r="C1169" s="664" t="s">
        <v>281</v>
      </c>
      <c r="D1169" s="623">
        <v>110873</v>
      </c>
      <c r="E1169" s="646" t="s">
        <v>2248</v>
      </c>
      <c r="F1169" s="647" t="s">
        <v>17</v>
      </c>
      <c r="G1169" s="647" t="s">
        <v>18</v>
      </c>
      <c r="H1169" s="647" t="s">
        <v>48</v>
      </c>
      <c r="I1169" s="575" t="s">
        <v>2249</v>
      </c>
      <c r="J1169" s="575">
        <v>1</v>
      </c>
      <c r="K1169" s="647" t="s">
        <v>85</v>
      </c>
      <c r="L1169" s="657">
        <v>44702</v>
      </c>
      <c r="M1169" s="665" t="s">
        <v>2250</v>
      </c>
      <c r="N1169" s="647" t="s">
        <v>221</v>
      </c>
      <c r="O1169" s="575">
        <v>2022.4</v>
      </c>
      <c r="P1169" s="665" t="str">
        <f>VLOOKUP(A1169,'[1]Raw data'!$B:$BA,23,FALSE)</f>
        <v>JPY</v>
      </c>
      <c r="Q1169" s="647" t="str">
        <f>VLOOKUP(A1169,'[1]Raw data'!$B:$Z,2,FALSE)</f>
        <v>C49SZX20220049JY</v>
      </c>
      <c r="R1169" s="647" t="str">
        <f>VLOOKUP(A1169,'[1]Raw data'!$B:$Z,3,FALSE)</f>
        <v>辉拓</v>
      </c>
      <c r="S1169" s="647" t="str">
        <f>VLOOKUP(A1169,'[1]Raw data'!$B:$Z,4,FALSE)</f>
        <v>YSM10</v>
      </c>
      <c r="T1169" s="647" t="str">
        <f>VLOOKUP(A1169,'[1]Raw data'!$B:$Z,8,FALSE)</f>
        <v>L-&gt;R</v>
      </c>
      <c r="U1169" s="647" t="str">
        <f>VLOOKUP(A1169,'[1]Raw data'!$B:$Z,9,FALSE)</f>
        <v>MVC F&amp;R+ATS15</v>
      </c>
      <c r="V1169" s="567" t="str">
        <f t="shared" si="255"/>
        <v>WRONG</v>
      </c>
      <c r="W1169" s="563" t="str">
        <f>VLOOKUP(A1169,'[1]Raw data'!$B:$AG,32,FALSE)</f>
        <v>CIF HK</v>
      </c>
      <c r="X1169" s="647">
        <f>VLOOKUP(A1169,'[1]Raw data'!$B:$BA,31,FALSE)</f>
        <v>44672</v>
      </c>
      <c r="Y1169" s="647" t="str">
        <f>VLOOKUP(A1169,'[1]Raw data'!$B:$AS,39,FALSE)</f>
        <v>Yes</v>
      </c>
      <c r="Z1169" s="659"/>
      <c r="AA1169" s="660"/>
      <c r="AB1169" s="661"/>
      <c r="AC1169" s="647" t="s">
        <v>2251</v>
      </c>
      <c r="AD1169" s="575">
        <v>302</v>
      </c>
      <c r="AE1169" s="575">
        <v>10</v>
      </c>
      <c r="AF1169" s="575"/>
      <c r="AG1169" s="575"/>
      <c r="AH1169" s="575"/>
      <c r="AI1169" s="679"/>
      <c r="AJ1169" s="564"/>
      <c r="AK1169" s="564"/>
      <c r="AL1169" s="564"/>
      <c r="AM1169" s="564"/>
      <c r="AN1169" s="614"/>
      <c r="AO1169" s="824" t="str">
        <f t="shared" si="246"/>
        <v>Yes</v>
      </c>
      <c r="AP1169" s="259" t="str">
        <f t="shared" si="247"/>
        <v>AUG 22</v>
      </c>
      <c r="AQ1169" s="542" t="str">
        <f t="shared" si="248"/>
        <v>有定金+有預留客戶</v>
      </c>
      <c r="AR1169" s="259" t="str">
        <f t="shared" si="249"/>
        <v>Shipped_Stock</v>
      </c>
      <c r="AS1169" s="259" t="str">
        <f t="shared" si="250"/>
        <v/>
      </c>
      <c r="AT1169" s="259" t="str">
        <f t="shared" si="251"/>
        <v>辉拓</v>
      </c>
      <c r="AU1169" s="259" t="str">
        <f t="shared" si="252"/>
        <v>C49SZX20220049JY</v>
      </c>
      <c r="AV1169" s="259" t="str">
        <f t="shared" si="253"/>
        <v>May-21</v>
      </c>
    </row>
    <row r="1170" spans="1:48" hidden="1">
      <c r="A1170" s="559">
        <v>1704</v>
      </c>
      <c r="B1170" s="664" t="s">
        <v>1125</v>
      </c>
      <c r="C1170" s="664" t="s">
        <v>281</v>
      </c>
      <c r="D1170" s="625">
        <v>110873</v>
      </c>
      <c r="E1170" s="646" t="s">
        <v>2248</v>
      </c>
      <c r="F1170" s="647" t="s">
        <v>17</v>
      </c>
      <c r="G1170" s="647" t="s">
        <v>18</v>
      </c>
      <c r="H1170" s="647" t="s">
        <v>48</v>
      </c>
      <c r="I1170" s="575" t="s">
        <v>2252</v>
      </c>
      <c r="J1170" s="575">
        <v>1</v>
      </c>
      <c r="K1170" s="647" t="s">
        <v>78</v>
      </c>
      <c r="L1170" s="657">
        <v>44702</v>
      </c>
      <c r="M1170" s="665" t="s">
        <v>2253</v>
      </c>
      <c r="N1170" s="647" t="s">
        <v>221</v>
      </c>
      <c r="O1170" s="575">
        <v>2022.4</v>
      </c>
      <c r="P1170" s="665" t="str">
        <f>VLOOKUP(A1170,'[1]Raw data'!$B:$BA,23,FALSE)</f>
        <v>JPY</v>
      </c>
      <c r="Q1170" s="647" t="str">
        <f>VLOOKUP(A1170,'[1]Raw data'!$B:$Z,2,FALSE)</f>
        <v>C49SZX20220073DZ</v>
      </c>
      <c r="R1170" s="647" t="str">
        <f>VLOOKUP(A1170,'[1]Raw data'!$B:$Z,3,FALSE)</f>
        <v>朗特</v>
      </c>
      <c r="S1170" s="647" t="str">
        <f>VLOOKUP(A1170,'[1]Raw data'!$B:$Z,4,FALSE)</f>
        <v>YSM10</v>
      </c>
      <c r="T1170" s="647" t="str">
        <f>VLOOKUP(A1170,'[1]Raw data'!$B:$Z,8,FALSE)</f>
        <v>L-&gt;R</v>
      </c>
      <c r="U1170" s="647" t="str">
        <f>VLOOKUP(A1170,'[1]Raw data'!$B:$Z,9,FALSE)</f>
        <v>MVC+ATS15</v>
      </c>
      <c r="V1170" s="567" t="str">
        <f t="shared" si="255"/>
        <v>WRONG</v>
      </c>
      <c r="W1170" s="563" t="str">
        <f>VLOOKUP(A1170,'[1]Raw data'!$B:$AG,32,FALSE)</f>
        <v>CIF HK</v>
      </c>
      <c r="X1170" s="647">
        <f>VLOOKUP(A1170,'[1]Raw data'!$B:$BA,31,FALSE)</f>
        <v>44754</v>
      </c>
      <c r="Y1170" s="647" t="str">
        <f>VLOOKUP(A1170,'[1]Raw data'!$B:$AS,39,FALSE)</f>
        <v>Yes</v>
      </c>
      <c r="Z1170" s="659"/>
      <c r="AA1170" s="660"/>
      <c r="AB1170" s="661"/>
      <c r="AC1170" s="647" t="s">
        <v>933</v>
      </c>
      <c r="AD1170" s="662">
        <v>302</v>
      </c>
      <c r="AE1170" s="662">
        <v>10</v>
      </c>
      <c r="AF1170" s="662"/>
      <c r="AG1170" s="662"/>
      <c r="AH1170" s="662"/>
      <c r="AI1170" s="663"/>
      <c r="AN1170" s="542"/>
      <c r="AO1170" s="824" t="str">
        <f t="shared" si="246"/>
        <v>Yes</v>
      </c>
      <c r="AP1170" s="259" t="str">
        <f t="shared" si="247"/>
        <v>AUG 22</v>
      </c>
      <c r="AQ1170" s="542" t="str">
        <f t="shared" si="248"/>
        <v>有定金+有預留客戶</v>
      </c>
      <c r="AR1170" s="259" t="str">
        <f t="shared" si="249"/>
        <v>Shipped_Stock</v>
      </c>
      <c r="AS1170" s="259" t="str">
        <f t="shared" si="250"/>
        <v/>
      </c>
      <c r="AT1170" s="259" t="str">
        <f t="shared" si="251"/>
        <v>朗特</v>
      </c>
      <c r="AU1170" s="259" t="str">
        <f t="shared" si="252"/>
        <v>C49SZX20220073DZ</v>
      </c>
      <c r="AV1170" s="259" t="str">
        <f t="shared" si="253"/>
        <v>May-21</v>
      </c>
    </row>
    <row r="1171" spans="1:48" ht="12" hidden="1" customHeight="1">
      <c r="A1171" s="599">
        <v>1628</v>
      </c>
      <c r="B1171" s="664" t="s">
        <v>1125</v>
      </c>
      <c r="C1171" s="664" t="s">
        <v>281</v>
      </c>
      <c r="D1171" s="625">
        <v>110873</v>
      </c>
      <c r="E1171" s="646" t="s">
        <v>2248</v>
      </c>
      <c r="F1171" s="647" t="s">
        <v>17</v>
      </c>
      <c r="G1171" s="647" t="s">
        <v>18</v>
      </c>
      <c r="H1171" s="647" t="s">
        <v>102</v>
      </c>
      <c r="I1171" s="575" t="s">
        <v>2254</v>
      </c>
      <c r="J1171" s="575">
        <v>1</v>
      </c>
      <c r="K1171" s="647" t="s">
        <v>85</v>
      </c>
      <c r="L1171" s="657">
        <v>44702</v>
      </c>
      <c r="M1171" s="665" t="s">
        <v>906</v>
      </c>
      <c r="N1171" s="647" t="s">
        <v>2231</v>
      </c>
      <c r="O1171" s="575">
        <v>2022.4</v>
      </c>
      <c r="P1171" s="665" t="str">
        <f>VLOOKUP(A1171,'[1]Raw data'!$B:$BA,23,FALSE)</f>
        <v>JPY</v>
      </c>
      <c r="Q1171" s="647" t="str">
        <f>VLOOKUP(A1171,'[1]Raw data'!$B:$Z,2,FALSE)</f>
        <v>C49SZX20220035R1SS</v>
      </c>
      <c r="R1171" s="647" t="str">
        <f>VLOOKUP(A1171,'[1]Raw data'!$B:$Z,3,FALSE)</f>
        <v>中润互联</v>
      </c>
      <c r="S1171" s="647" t="str">
        <f>VLOOKUP(A1171,'[1]Raw data'!$B:$Z,4,FALSE)</f>
        <v>YSM10</v>
      </c>
      <c r="T1171" s="647" t="str">
        <f>VLOOKUP(A1171,'[1]Raw data'!$B:$Z,8,FALSE)</f>
        <v>R-&gt;L</v>
      </c>
      <c r="U1171" s="647" t="str">
        <f>VLOOKUP(A1171,'[1]Raw data'!$B:$Z,9,FALSE)</f>
        <v>MVC</v>
      </c>
      <c r="V1171" s="567" t="str">
        <f>IF(G1171&amp;H1171=T1171&amp;U1171,"OK","WRONG")</f>
        <v>WRONG</v>
      </c>
      <c r="W1171" s="563" t="str">
        <f>VLOOKUP(A1171,'[1]Raw data'!$B:$AG,32,FALSE)</f>
        <v>DAP SZ</v>
      </c>
      <c r="X1171" s="647">
        <f>VLOOKUP(A1171,'[1]Raw data'!$B:$BA,31,FALSE)</f>
        <v>44641</v>
      </c>
      <c r="Y1171" s="647" t="str">
        <f>VLOOKUP(A1171,'[1]Raw data'!$B:$AS,39,FALSE)</f>
        <v>Yes</v>
      </c>
      <c r="Z1171" s="659"/>
      <c r="AA1171" s="660"/>
      <c r="AB1171" s="661"/>
      <c r="AC1171" s="647" t="s">
        <v>2255</v>
      </c>
      <c r="AD1171" s="575">
        <v>302</v>
      </c>
      <c r="AE1171" s="575">
        <v>10</v>
      </c>
      <c r="AF1171" s="575"/>
      <c r="AG1171" s="575"/>
      <c r="AH1171" s="575"/>
      <c r="AI1171" s="679"/>
      <c r="AJ1171" s="564"/>
      <c r="AK1171" s="564"/>
      <c r="AL1171" s="564"/>
      <c r="AM1171" s="564"/>
      <c r="AN1171" s="614"/>
      <c r="AO1171" s="824" t="str">
        <f t="shared" si="246"/>
        <v>Yes</v>
      </c>
      <c r="AP1171" s="259" t="str">
        <f t="shared" si="247"/>
        <v>JUL 22</v>
      </c>
      <c r="AQ1171" s="542" t="str">
        <f t="shared" si="248"/>
        <v>有定金+有預留客戶</v>
      </c>
      <c r="AR1171" s="259" t="str">
        <f t="shared" si="249"/>
        <v>Shipped_Stock</v>
      </c>
      <c r="AS1171" s="259" t="str">
        <f t="shared" si="250"/>
        <v/>
      </c>
      <c r="AT1171" s="259" t="str">
        <f t="shared" si="251"/>
        <v>中润互联</v>
      </c>
      <c r="AU1171" s="259" t="str">
        <f t="shared" si="252"/>
        <v>C49SZX20220035R1SS</v>
      </c>
      <c r="AV1171" s="259" t="str">
        <f t="shared" si="253"/>
        <v>May-21</v>
      </c>
    </row>
    <row r="1172" spans="1:48" ht="13.5" hidden="1" thickBot="1">
      <c r="A1172" s="559">
        <v>1580</v>
      </c>
      <c r="B1172" s="664" t="s">
        <v>1125</v>
      </c>
      <c r="C1172" s="560" t="s">
        <v>281</v>
      </c>
      <c r="D1172" s="624">
        <v>110874</v>
      </c>
      <c r="E1172" s="562" t="s">
        <v>2256</v>
      </c>
      <c r="F1172" s="563" t="s">
        <v>17</v>
      </c>
      <c r="G1172" s="563" t="s">
        <v>18</v>
      </c>
      <c r="H1172" s="563" t="s">
        <v>48</v>
      </c>
      <c r="I1172" s="564" t="s">
        <v>2257</v>
      </c>
      <c r="J1172" s="564">
        <v>1</v>
      </c>
      <c r="K1172" s="563" t="s">
        <v>85</v>
      </c>
      <c r="L1172" s="657">
        <v>44702</v>
      </c>
      <c r="M1172" s="665" t="s">
        <v>906</v>
      </c>
      <c r="N1172" s="647" t="s">
        <v>1982</v>
      </c>
      <c r="O1172" s="575">
        <v>2022.4</v>
      </c>
      <c r="P1172" s="665" t="str">
        <f>VLOOKUP(A1172,'[1]Raw data'!$B:$BA,23,FALSE)</f>
        <v>JPY</v>
      </c>
      <c r="Q1172" s="647" t="str">
        <f>VLOOKUP(A1172,'[1]Raw data'!$B:$Z,2,FALSE)</f>
        <v>C49SZX20220016JL</v>
      </c>
      <c r="R1172" s="647" t="str">
        <f>VLOOKUP(A1172,'[1]Raw data'!$B:$Z,3,FALSE)</f>
        <v>伯莱科</v>
      </c>
      <c r="S1172" s="647" t="str">
        <f>VLOOKUP(A1172,'[1]Raw data'!$B:$Z,4,FALSE)</f>
        <v>YSM10</v>
      </c>
      <c r="T1172" s="647" t="str">
        <f>VLOOKUP(A1172,'[1]Raw data'!$B:$Z,8,FALSE)</f>
        <v>L-&gt;R</v>
      </c>
      <c r="U1172" s="647" t="str">
        <f>VLOOKUP(A1172,'[1]Raw data'!$B:$Z,9,FALSE)</f>
        <v>MVC+ATS15</v>
      </c>
      <c r="V1172" s="567" t="str">
        <f>IF(G1172&amp;H1172=T1172&amp;U1172,"OK","WRONG")</f>
        <v>WRONG</v>
      </c>
      <c r="W1172" s="563" t="str">
        <f>VLOOKUP(A1172,'[1]Raw data'!$B:$AG,32,FALSE)</f>
        <v>DAP SZ</v>
      </c>
      <c r="X1172" s="647">
        <f>VLOOKUP(A1172,'[1]Raw data'!$B:$BA,31,FALSE)</f>
        <v>44607</v>
      </c>
      <c r="Y1172" s="647" t="str">
        <f>VLOOKUP(A1172,'[1]Raw data'!$B:$AS,39,FALSE)</f>
        <v>Yes</v>
      </c>
      <c r="Z1172" s="659"/>
      <c r="AA1172" s="660"/>
      <c r="AB1172" s="661"/>
      <c r="AC1172" s="647" t="s">
        <v>1951</v>
      </c>
      <c r="AD1172" s="662">
        <v>302</v>
      </c>
      <c r="AE1172" s="662">
        <v>10</v>
      </c>
      <c r="AF1172" s="662"/>
      <c r="AG1172" s="662"/>
      <c r="AH1172" s="662"/>
      <c r="AI1172" s="663"/>
      <c r="AN1172" s="542"/>
      <c r="AO1172" s="824" t="str">
        <f t="shared" si="246"/>
        <v>Yes</v>
      </c>
      <c r="AP1172" s="259" t="str">
        <f t="shared" si="247"/>
        <v>JUN 22</v>
      </c>
      <c r="AQ1172" s="542" t="str">
        <f t="shared" si="248"/>
        <v>有定金+有預留客戶</v>
      </c>
      <c r="AR1172" s="259" t="str">
        <f t="shared" si="249"/>
        <v>Shipped_Stock</v>
      </c>
      <c r="AS1172" s="259" t="str">
        <f t="shared" si="250"/>
        <v/>
      </c>
      <c r="AT1172" s="259" t="str">
        <f t="shared" si="251"/>
        <v>伯莱科</v>
      </c>
      <c r="AU1172" s="259" t="str">
        <f t="shared" si="252"/>
        <v>C49SZX20220016JL</v>
      </c>
      <c r="AV1172" s="259" t="str">
        <f t="shared" si="253"/>
        <v>May-21</v>
      </c>
    </row>
    <row r="1173" spans="1:48" hidden="1">
      <c r="A1173" s="559">
        <v>1605</v>
      </c>
      <c r="B1173" s="664" t="s">
        <v>1125</v>
      </c>
      <c r="C1173" s="664" t="s">
        <v>281</v>
      </c>
      <c r="D1173" s="623">
        <v>110869</v>
      </c>
      <c r="E1173" s="744" t="s">
        <v>2258</v>
      </c>
      <c r="F1173" s="647" t="s">
        <v>58</v>
      </c>
      <c r="G1173" s="647" t="s">
        <v>24</v>
      </c>
      <c r="H1173" s="647" t="s">
        <v>2259</v>
      </c>
      <c r="I1173" s="575" t="s">
        <v>2260</v>
      </c>
      <c r="J1173" s="575">
        <v>1</v>
      </c>
      <c r="K1173" s="647" t="s">
        <v>78</v>
      </c>
      <c r="L1173" s="657">
        <v>44704</v>
      </c>
      <c r="M1173" s="665" t="s">
        <v>906</v>
      </c>
      <c r="N1173" s="647" t="s">
        <v>1982</v>
      </c>
      <c r="O1173" s="575">
        <v>2022.4</v>
      </c>
      <c r="P1173" s="665" t="str">
        <f>VLOOKUP(A1173,'[1]Raw data'!$B:$BA,23,FALSE)</f>
        <v>JPY</v>
      </c>
      <c r="Q1173" s="647" t="str">
        <f>VLOOKUP(A1173,'[1]Raw data'!$B:$Z,2,FALSE)</f>
        <v>C49SZX20220028R1SX</v>
      </c>
      <c r="R1173" s="647" t="str">
        <f>VLOOKUP(A1173,'[1]Raw data'!$B:$Z,3,FALSE)</f>
        <v>通达科信</v>
      </c>
      <c r="S1173" s="647" t="str">
        <f>VLOOKUP(A1173,'[1]Raw data'!$B:$Z,4,FALSE)</f>
        <v>YSM20R-2</v>
      </c>
      <c r="T1173" s="647" t="str">
        <f>VLOOKUP(A1173,'[1]Raw data'!$B:$Z,8,FALSE)</f>
        <v>L-&gt;R</v>
      </c>
      <c r="U1173" s="647" t="str">
        <f>VLOOKUP(A1173,'[1]Raw data'!$B:$Z,9,FALSE)</f>
        <v>cATS10+MVC+6pcs special layout</v>
      </c>
      <c r="V1173" s="567" t="str">
        <f t="shared" ref="V1173:V1179" si="257">IF(G1173&amp;H1173=T1173&amp;U1173,"OK","WRONG")</f>
        <v>OK</v>
      </c>
      <c r="W1173" s="563" t="str">
        <f>VLOOKUP(A1173,'[1]Raw data'!$B:$AG,32,FALSE)</f>
        <v>CIF HK</v>
      </c>
      <c r="X1173" s="647">
        <f>VLOOKUP(A1173,'[1]Raw data'!$B:$BA,31,FALSE)</f>
        <v>44627</v>
      </c>
      <c r="Y1173" s="647" t="str">
        <f>VLOOKUP(A1173,'[1]Raw data'!$B:$AS,39,FALSE)</f>
        <v>Yes</v>
      </c>
      <c r="Z1173" s="659"/>
      <c r="AA1173" s="660"/>
      <c r="AB1173" s="661"/>
      <c r="AC1173" s="647" t="s">
        <v>1951</v>
      </c>
      <c r="AD1173" s="662">
        <v>301</v>
      </c>
      <c r="AE1173" s="662">
        <v>20</v>
      </c>
      <c r="AF1173" s="662"/>
      <c r="AG1173" s="662"/>
      <c r="AH1173" s="662"/>
      <c r="AI1173" s="663"/>
      <c r="AN1173" s="542"/>
      <c r="AO1173" s="824" t="str">
        <f t="shared" si="246"/>
        <v>Yes</v>
      </c>
      <c r="AP1173" s="259" t="str">
        <f t="shared" si="247"/>
        <v>JUN 22</v>
      </c>
      <c r="AQ1173" s="542" t="str">
        <f t="shared" si="248"/>
        <v>有定金+有預留客戶</v>
      </c>
      <c r="AR1173" s="259" t="str">
        <f t="shared" si="249"/>
        <v>Shipped_Stock</v>
      </c>
      <c r="AS1173" s="259" t="str">
        <f t="shared" si="250"/>
        <v/>
      </c>
      <c r="AT1173" s="259" t="str">
        <f t="shared" si="251"/>
        <v>通达科信</v>
      </c>
      <c r="AU1173" s="259" t="str">
        <f t="shared" si="252"/>
        <v>C49SZX20220028R1SX</v>
      </c>
      <c r="AV1173" s="259" t="str">
        <f t="shared" si="253"/>
        <v>May-23</v>
      </c>
    </row>
    <row r="1174" spans="1:48" hidden="1">
      <c r="A1174" s="599">
        <v>1601</v>
      </c>
      <c r="B1174" s="664" t="s">
        <v>1125</v>
      </c>
      <c r="C1174" s="664" t="s">
        <v>281</v>
      </c>
      <c r="D1174" s="625">
        <v>110866</v>
      </c>
      <c r="E1174" s="646" t="s">
        <v>2261</v>
      </c>
      <c r="F1174" s="647" t="s">
        <v>58</v>
      </c>
      <c r="G1174" s="647" t="s">
        <v>24</v>
      </c>
      <c r="H1174" s="647" t="s">
        <v>26</v>
      </c>
      <c r="I1174" s="575" t="s">
        <v>2262</v>
      </c>
      <c r="J1174" s="575">
        <v>1</v>
      </c>
      <c r="K1174" s="563" t="s">
        <v>85</v>
      </c>
      <c r="L1174" s="657">
        <v>44704</v>
      </c>
      <c r="M1174" s="665" t="s">
        <v>906</v>
      </c>
      <c r="N1174" s="647" t="s">
        <v>1982</v>
      </c>
      <c r="O1174" s="575">
        <v>2022.4</v>
      </c>
      <c r="P1174" s="665" t="str">
        <f>VLOOKUP(A1174,'[1]Raw data'!$B:$BA,23,FALSE)</f>
        <v>JPY</v>
      </c>
      <c r="Q1174" s="647" t="str">
        <f>VLOOKUP(A1174,'[1]Raw data'!$B:$Z,2,FALSE)</f>
        <v>C49SZX20220026SX</v>
      </c>
      <c r="R1174" s="647" t="str">
        <f>VLOOKUP(A1174,'[1]Raw data'!$B:$Z,3,FALSE)</f>
        <v>骏仁达</v>
      </c>
      <c r="S1174" s="647" t="str">
        <f>VLOOKUP(A1174,'[1]Raw data'!$B:$Z,4,FALSE)</f>
        <v>YSM20R-2</v>
      </c>
      <c r="T1174" s="647" t="str">
        <f>VLOOKUP(A1174,'[1]Raw data'!$B:$Z,8,FALSE)</f>
        <v>L-&gt;R</v>
      </c>
      <c r="U1174" s="647" t="str">
        <f>VLOOKUP(A1174,'[1]Raw data'!$B:$Z,9,FALSE)</f>
        <v>No</v>
      </c>
      <c r="V1174" s="567" t="str">
        <f t="shared" si="257"/>
        <v>OK</v>
      </c>
      <c r="W1174" s="563" t="str">
        <f>VLOOKUP(A1174,'[1]Raw data'!$B:$AG,32,FALSE)</f>
        <v>DAP SZ</v>
      </c>
      <c r="X1174" s="647">
        <f>VLOOKUP(A1174,'[1]Raw data'!$B:$BA,31,FALSE)</f>
        <v>44621</v>
      </c>
      <c r="Y1174" s="647" t="str">
        <f>VLOOKUP(A1174,'[1]Raw data'!$B:$AS,39,FALSE)</f>
        <v>Yes</v>
      </c>
      <c r="Z1174" s="659"/>
      <c r="AA1174" s="660"/>
      <c r="AB1174" s="661"/>
      <c r="AC1174" s="647" t="s">
        <v>2263</v>
      </c>
      <c r="AD1174" s="575">
        <v>302</v>
      </c>
      <c r="AE1174" s="575">
        <v>20</v>
      </c>
      <c r="AF1174" s="575"/>
      <c r="AG1174" s="575"/>
      <c r="AH1174" s="575"/>
      <c r="AI1174" s="679"/>
      <c r="AJ1174" s="564"/>
      <c r="AK1174" s="564"/>
      <c r="AL1174" s="564"/>
      <c r="AM1174" s="564"/>
      <c r="AN1174" s="614"/>
      <c r="AO1174" s="824" t="str">
        <f t="shared" si="246"/>
        <v>Yes</v>
      </c>
      <c r="AP1174" s="259" t="str">
        <f t="shared" si="247"/>
        <v>JUN 22</v>
      </c>
      <c r="AQ1174" s="542" t="str">
        <f t="shared" si="248"/>
        <v>有定金+有預留客戶</v>
      </c>
      <c r="AR1174" s="259" t="str">
        <f t="shared" si="249"/>
        <v>Shipped_Stock</v>
      </c>
      <c r="AS1174" s="259" t="str">
        <f t="shared" si="250"/>
        <v/>
      </c>
      <c r="AT1174" s="259" t="str">
        <f t="shared" si="251"/>
        <v>骏仁达</v>
      </c>
      <c r="AU1174" s="259" t="str">
        <f t="shared" si="252"/>
        <v>C49SZX20220026SX</v>
      </c>
      <c r="AV1174" s="259" t="str">
        <f t="shared" si="253"/>
        <v>May-23</v>
      </c>
    </row>
    <row r="1175" spans="1:48" hidden="1">
      <c r="A1175" s="559">
        <v>1528</v>
      </c>
      <c r="B1175" s="664" t="s">
        <v>1125</v>
      </c>
      <c r="C1175" s="664" t="s">
        <v>281</v>
      </c>
      <c r="D1175" s="625">
        <v>110866</v>
      </c>
      <c r="E1175" s="646" t="s">
        <v>2261</v>
      </c>
      <c r="F1175" s="647" t="s">
        <v>58</v>
      </c>
      <c r="G1175" s="647" t="s">
        <v>24</v>
      </c>
      <c r="H1175" s="647" t="s">
        <v>307</v>
      </c>
      <c r="I1175" s="575" t="s">
        <v>2264</v>
      </c>
      <c r="J1175" s="575">
        <v>1</v>
      </c>
      <c r="K1175" s="563" t="s">
        <v>85</v>
      </c>
      <c r="L1175" s="657">
        <v>44704</v>
      </c>
      <c r="M1175" s="665" t="s">
        <v>906</v>
      </c>
      <c r="N1175" s="647" t="s">
        <v>1903</v>
      </c>
      <c r="O1175" s="575">
        <v>2022.4</v>
      </c>
      <c r="P1175" s="665" t="str">
        <f>VLOOKUP(A1175,'[1]Raw data'!$B:$BA,23,FALSE)</f>
        <v>JPY</v>
      </c>
      <c r="Q1175" s="647" t="str">
        <f>VLOOKUP(A1175,'[1]Raw data'!$B:$Z,2,FALSE)</f>
        <v>C49SZX20220030SS</v>
      </c>
      <c r="R1175" s="647" t="str">
        <f>VLOOKUP(A1175,'[1]Raw data'!$B:$Z,3,FALSE)</f>
        <v>微克（end user：蓝极光）</v>
      </c>
      <c r="S1175" s="647" t="str">
        <f>VLOOKUP(A1175,'[1]Raw data'!$B:$Z,4,FALSE)</f>
        <v>YSM20R-2</v>
      </c>
      <c r="T1175" s="647" t="str">
        <f>VLOOKUP(A1175,'[1]Raw data'!$B:$Z,8,FALSE)</f>
        <v>L-&gt;R</v>
      </c>
      <c r="U1175" s="647" t="str">
        <f>VLOOKUP(A1175,'[1]Raw data'!$B:$Z,9,FALSE)</f>
        <v>No</v>
      </c>
      <c r="V1175" s="567" t="str">
        <f t="shared" si="257"/>
        <v>OK</v>
      </c>
      <c r="W1175" s="563" t="str">
        <f>VLOOKUP(A1175,'[1]Raw data'!$B:$AG,32,FALSE)</f>
        <v>DAP SZ</v>
      </c>
      <c r="X1175" s="647">
        <f>VLOOKUP(A1178,'[1]Raw data'!$B:$BA,31,FALSE)</f>
        <v>44644</v>
      </c>
      <c r="Y1175" s="647" t="str">
        <f>VLOOKUP(A1178,'[1]Raw data'!$B:$AS,39,FALSE)</f>
        <v>Yes</v>
      </c>
      <c r="Z1175" s="659"/>
      <c r="AA1175" s="660"/>
      <c r="AB1175" s="661"/>
      <c r="AC1175" s="647" t="s">
        <v>2242</v>
      </c>
      <c r="AD1175" s="662">
        <v>302</v>
      </c>
      <c r="AE1175" s="662">
        <v>20</v>
      </c>
      <c r="AF1175" s="662"/>
      <c r="AG1175" s="662"/>
      <c r="AH1175" s="662"/>
      <c r="AI1175" s="663"/>
      <c r="AN1175" s="542"/>
      <c r="AO1175" s="824" t="str">
        <f t="shared" si="246"/>
        <v>Yes</v>
      </c>
      <c r="AP1175" s="259" t="str">
        <f t="shared" si="247"/>
        <v>MAY 22</v>
      </c>
      <c r="AQ1175" s="542" t="str">
        <f t="shared" si="248"/>
        <v>有定金+有預留客戶</v>
      </c>
      <c r="AR1175" s="259" t="str">
        <f t="shared" si="249"/>
        <v>Shipped_Stock</v>
      </c>
      <c r="AS1175" s="259" t="str">
        <f t="shared" si="250"/>
        <v/>
      </c>
      <c r="AT1175" s="259" t="str">
        <f t="shared" si="251"/>
        <v>微克（end user：蓝极光）</v>
      </c>
      <c r="AU1175" s="259" t="str">
        <f t="shared" si="252"/>
        <v>C49SZX20220030SS</v>
      </c>
      <c r="AV1175" s="259" t="str">
        <f t="shared" si="253"/>
        <v>May-23</v>
      </c>
    </row>
    <row r="1176" spans="1:48" ht="13.5" hidden="1" thickBot="1">
      <c r="A1176" s="559">
        <v>1527</v>
      </c>
      <c r="B1176" s="664" t="s">
        <v>1125</v>
      </c>
      <c r="C1176" s="664" t="s">
        <v>281</v>
      </c>
      <c r="D1176" s="624">
        <v>110864</v>
      </c>
      <c r="E1176" s="646" t="s">
        <v>2265</v>
      </c>
      <c r="F1176" s="647" t="s">
        <v>58</v>
      </c>
      <c r="G1176" s="647" t="s">
        <v>24</v>
      </c>
      <c r="H1176" s="647" t="s">
        <v>26</v>
      </c>
      <c r="I1176" s="575" t="s">
        <v>2266</v>
      </c>
      <c r="J1176" s="575">
        <v>1</v>
      </c>
      <c r="K1176" s="563" t="s">
        <v>85</v>
      </c>
      <c r="L1176" s="657">
        <v>44704</v>
      </c>
      <c r="M1176" s="665" t="s">
        <v>906</v>
      </c>
      <c r="N1176" s="647" t="s">
        <v>1903</v>
      </c>
      <c r="O1176" s="575">
        <v>2022.4</v>
      </c>
      <c r="P1176" s="665" t="str">
        <f>VLOOKUP(A1176,'[1]Raw data'!$B:$BA,23,FALSE)</f>
        <v>JPY</v>
      </c>
      <c r="Q1176" s="647" t="str">
        <f>VLOOKUP(A1176,'[1]Raw data'!$B:$Z,2,FALSE)</f>
        <v>C49SZX20220030SS</v>
      </c>
      <c r="R1176" s="647" t="str">
        <f>VLOOKUP(A1176,'[1]Raw data'!$B:$Z,3,FALSE)</f>
        <v>微克（end user：蓝极光）</v>
      </c>
      <c r="S1176" s="647" t="str">
        <f>VLOOKUP(A1176,'[1]Raw data'!$B:$Z,4,FALSE)</f>
        <v>YSM20R-2</v>
      </c>
      <c r="T1176" s="647" t="str">
        <f>VLOOKUP(A1176,'[1]Raw data'!$B:$Z,8,FALSE)</f>
        <v>L-&gt;R</v>
      </c>
      <c r="U1176" s="647" t="str">
        <f>VLOOKUP(A1176,'[1]Raw data'!$B:$Z,9,FALSE)</f>
        <v>No</v>
      </c>
      <c r="V1176" s="567" t="str">
        <f>IF(G1176&amp;H1176=T1176&amp;U1176,"OK","WRONG")</f>
        <v>OK</v>
      </c>
      <c r="W1176" s="563" t="str">
        <f>VLOOKUP(A1176,'[1]Raw data'!$B:$AG,32,FALSE)</f>
        <v>DAP SZ</v>
      </c>
      <c r="X1176" s="647">
        <f>VLOOKUP(A1176,'[1]Raw data'!$B:$BA,31,FALSE)</f>
        <v>44551</v>
      </c>
      <c r="Y1176" s="647" t="str">
        <f>VLOOKUP(A1176,'[1]Raw data'!$B:$AS,39,FALSE)</f>
        <v>Yes</v>
      </c>
      <c r="Z1176" s="659"/>
      <c r="AA1176" s="660"/>
      <c r="AB1176" s="661"/>
      <c r="AC1176" s="647" t="s">
        <v>2242</v>
      </c>
      <c r="AD1176" s="662">
        <v>301</v>
      </c>
      <c r="AE1176" s="662">
        <v>20</v>
      </c>
      <c r="AF1176" s="662"/>
      <c r="AG1176" s="662"/>
      <c r="AH1176" s="662"/>
      <c r="AI1176" s="663"/>
      <c r="AN1176" s="542"/>
      <c r="AO1176" s="824" t="str">
        <f t="shared" si="246"/>
        <v>Yes</v>
      </c>
      <c r="AP1176" s="259" t="str">
        <f t="shared" si="247"/>
        <v>MAY 22</v>
      </c>
      <c r="AQ1176" s="542" t="str">
        <f t="shared" si="248"/>
        <v>有定金+有預留客戶</v>
      </c>
      <c r="AR1176" s="259" t="str">
        <f t="shared" si="249"/>
        <v>Shipped_Stock</v>
      </c>
      <c r="AS1176" s="259" t="str">
        <f t="shared" si="250"/>
        <v/>
      </c>
      <c r="AT1176" s="259" t="str">
        <f t="shared" si="251"/>
        <v>微克（end user：蓝极光）</v>
      </c>
      <c r="AU1176" s="259" t="str">
        <f t="shared" si="252"/>
        <v>C49SZX20220030SS</v>
      </c>
      <c r="AV1176" s="259" t="str">
        <f t="shared" si="253"/>
        <v>May-23</v>
      </c>
    </row>
    <row r="1177" spans="1:48" hidden="1">
      <c r="A1177" s="599">
        <v>1687</v>
      </c>
      <c r="B1177" s="664" t="s">
        <v>1125</v>
      </c>
      <c r="C1177" s="664" t="s">
        <v>281</v>
      </c>
      <c r="D1177" s="755">
        <v>110867</v>
      </c>
      <c r="E1177" s="646" t="s">
        <v>2248</v>
      </c>
      <c r="F1177" s="647" t="s">
        <v>58</v>
      </c>
      <c r="G1177" s="647" t="s">
        <v>18</v>
      </c>
      <c r="H1177" s="647" t="s">
        <v>26</v>
      </c>
      <c r="I1177" s="575" t="s">
        <v>2267</v>
      </c>
      <c r="J1177" s="575">
        <v>1</v>
      </c>
      <c r="K1177" s="780" t="s">
        <v>1419</v>
      </c>
      <c r="L1177" s="657">
        <v>44704</v>
      </c>
      <c r="M1177" s="665" t="s">
        <v>2268</v>
      </c>
      <c r="N1177" s="647" t="s">
        <v>2231</v>
      </c>
      <c r="O1177" s="575">
        <v>2022.4</v>
      </c>
      <c r="P1177" s="665" t="str">
        <f>VLOOKUP(A1177,'[1]Raw data'!$B:$BA,23,FALSE)</f>
        <v>RMB</v>
      </c>
      <c r="Q1177" s="647" t="str">
        <f>VLOOKUP(A1177,'[1]Raw data'!$B:$Z,2,FALSE)</f>
        <v>C49SZX20220072DZ</v>
      </c>
      <c r="R1177" s="647" t="str">
        <f>VLOOKUP(A1177,'[1]Raw data'!$B:$Z,3,FALSE)</f>
        <v>朗特</v>
      </c>
      <c r="S1177" s="647" t="str">
        <f>VLOOKUP(A1177,'[1]Raw data'!$B:$Z,4,FALSE)</f>
        <v>YSM20R-2</v>
      </c>
      <c r="T1177" s="647" t="str">
        <f>VLOOKUP(A1177,'[1]Raw data'!$B:$Z,8,FALSE)</f>
        <v>R-&gt;L</v>
      </c>
      <c r="U1177" s="647" t="str">
        <f>VLOOKUP(A1177,'[1]Raw data'!$B:$Z,9,FALSE)</f>
        <v>No</v>
      </c>
      <c r="V1177" s="567" t="str">
        <f t="shared" si="257"/>
        <v>OK</v>
      </c>
      <c r="W1177" s="563" t="str">
        <f>VLOOKUP(A1177,'[1]Raw data'!$B:$AG,32,FALSE)</f>
        <v>DDP SZ</v>
      </c>
      <c r="X1177" s="647">
        <f>VLOOKUP(A1177,'[1]Raw data'!$B:$BA,31,FALSE)</f>
        <v>44734</v>
      </c>
      <c r="Y1177" s="647" t="str">
        <f>VLOOKUP(A1177,'[1]Raw data'!$B:$AS,39,FALSE)</f>
        <v>Yes</v>
      </c>
      <c r="Z1177" s="710"/>
      <c r="AA1177" s="662"/>
      <c r="AB1177" s="662"/>
      <c r="AC1177" s="575" t="s">
        <v>2174</v>
      </c>
      <c r="AD1177" s="575">
        <v>303</v>
      </c>
      <c r="AE1177" s="575">
        <v>10</v>
      </c>
      <c r="AF1177" s="679">
        <v>304</v>
      </c>
      <c r="AG1177" s="564">
        <v>10</v>
      </c>
      <c r="AH1177" s="564"/>
      <c r="AI1177" s="564"/>
      <c r="AJ1177" s="564"/>
      <c r="AK1177" s="614"/>
      <c r="AL1177" s="614"/>
      <c r="AM1177" s="614"/>
      <c r="AN1177" s="614"/>
      <c r="AO1177" s="824" t="str">
        <f t="shared" si="246"/>
        <v>Yes</v>
      </c>
      <c r="AP1177" s="259" t="str">
        <f t="shared" si="247"/>
        <v>JUL 22</v>
      </c>
      <c r="AQ1177" s="542" t="str">
        <f t="shared" si="248"/>
        <v>有定金+有預留客戶</v>
      </c>
      <c r="AR1177" s="259" t="str">
        <f t="shared" si="249"/>
        <v>Shipped_Stock</v>
      </c>
      <c r="AS1177" s="259" t="str">
        <f t="shared" si="250"/>
        <v/>
      </c>
      <c r="AT1177" s="259" t="str">
        <f t="shared" si="251"/>
        <v>朗特</v>
      </c>
      <c r="AU1177" s="259" t="str">
        <f t="shared" si="252"/>
        <v>C49SZX20220072DZ</v>
      </c>
      <c r="AV1177" s="259" t="str">
        <f t="shared" si="253"/>
        <v>May-23</v>
      </c>
    </row>
    <row r="1178" spans="1:48" hidden="1">
      <c r="A1178" s="599">
        <v>1633</v>
      </c>
      <c r="B1178" s="664" t="s">
        <v>1125</v>
      </c>
      <c r="C1178" s="664" t="s">
        <v>281</v>
      </c>
      <c r="D1178" s="755">
        <v>110867</v>
      </c>
      <c r="E1178" s="646" t="s">
        <v>2248</v>
      </c>
      <c r="F1178" s="647" t="s">
        <v>58</v>
      </c>
      <c r="G1178" s="647" t="s">
        <v>18</v>
      </c>
      <c r="H1178" s="647" t="s">
        <v>26</v>
      </c>
      <c r="I1178" s="575" t="s">
        <v>2269</v>
      </c>
      <c r="J1178" s="575">
        <v>1</v>
      </c>
      <c r="K1178" s="563" t="s">
        <v>1419</v>
      </c>
      <c r="L1178" s="657">
        <v>44704</v>
      </c>
      <c r="M1178" s="665">
        <v>5.21E-2</v>
      </c>
      <c r="N1178" s="647" t="s">
        <v>1982</v>
      </c>
      <c r="O1178" s="575">
        <v>2022.4</v>
      </c>
      <c r="P1178" s="665" t="str">
        <f>VLOOKUP(A1178,'[1]Raw data'!$B:$BA,23,FALSE)</f>
        <v>RMB</v>
      </c>
      <c r="Q1178" s="647" t="str">
        <f>VLOOKUP(A1178,'[1]Raw data'!$B:$Z,2,FALSE)</f>
        <v>C49SZX20220038JY</v>
      </c>
      <c r="R1178" s="647" t="str">
        <f>VLOOKUP(A1178,'[1]Raw data'!$B:$Z,3,FALSE)</f>
        <v>和创永泰</v>
      </c>
      <c r="S1178" s="647" t="str">
        <f>VLOOKUP(A1178,'[1]Raw data'!$B:$Z,4,FALSE)</f>
        <v>YSM20R-2</v>
      </c>
      <c r="T1178" s="647" t="str">
        <f>VLOOKUP(A1178,'[1]Raw data'!$B:$Z,8,FALSE)</f>
        <v>R-&gt;L</v>
      </c>
      <c r="U1178" s="647" t="str">
        <f>VLOOKUP(A1178,'[1]Raw data'!$B:$Z,9,FALSE)</f>
        <v>No</v>
      </c>
      <c r="V1178" s="567" t="str">
        <f t="shared" si="257"/>
        <v>OK</v>
      </c>
      <c r="W1178" s="563" t="str">
        <f>VLOOKUP(A1178,'[1]Raw data'!$B:$AG,32,FALSE)</f>
        <v>DDP SZ</v>
      </c>
      <c r="X1178" s="647">
        <f>VLOOKUP(A1178,'[1]Raw data'!$B:$BA,31,FALSE)</f>
        <v>44644</v>
      </c>
      <c r="Y1178" s="647" t="str">
        <f>VLOOKUP(A1178,'[1]Raw data'!$B:$AS,39,FALSE)</f>
        <v>Yes</v>
      </c>
      <c r="Z1178" s="659"/>
      <c r="AA1178" s="660"/>
      <c r="AB1178" s="661"/>
      <c r="AC1178" s="647" t="s">
        <v>2270</v>
      </c>
      <c r="AD1178" s="575">
        <v>303</v>
      </c>
      <c r="AE1178" s="575">
        <v>20</v>
      </c>
      <c r="AF1178" s="575"/>
      <c r="AG1178" s="575"/>
      <c r="AH1178" s="575"/>
      <c r="AI1178" s="679"/>
      <c r="AJ1178" s="564"/>
      <c r="AK1178" s="564"/>
      <c r="AL1178" s="564"/>
      <c r="AM1178" s="564"/>
      <c r="AN1178" s="614"/>
      <c r="AO1178" s="824" t="str">
        <f t="shared" si="246"/>
        <v>Yes</v>
      </c>
      <c r="AP1178" s="259" t="str">
        <f t="shared" si="247"/>
        <v>JUN 22</v>
      </c>
      <c r="AQ1178" s="542" t="str">
        <f t="shared" si="248"/>
        <v>有定金+有預留客戶</v>
      </c>
      <c r="AR1178" s="259" t="str">
        <f t="shared" si="249"/>
        <v>Shipped_Stock</v>
      </c>
      <c r="AS1178" s="259" t="str">
        <f t="shared" si="250"/>
        <v/>
      </c>
      <c r="AT1178" s="259" t="str">
        <f t="shared" si="251"/>
        <v>和创永泰</v>
      </c>
      <c r="AU1178" s="259" t="str">
        <f t="shared" si="252"/>
        <v>C49SZX20220038JY</v>
      </c>
      <c r="AV1178" s="259" t="str">
        <f t="shared" si="253"/>
        <v>May-23</v>
      </c>
    </row>
    <row r="1179" spans="1:48" hidden="1">
      <c r="A1179" s="599">
        <v>1589</v>
      </c>
      <c r="B1179" s="664" t="s">
        <v>1125</v>
      </c>
      <c r="C1179" s="664" t="s">
        <v>281</v>
      </c>
      <c r="D1179" s="623">
        <v>110867</v>
      </c>
      <c r="E1179" s="562" t="s">
        <v>2248</v>
      </c>
      <c r="F1179" s="563" t="s">
        <v>58</v>
      </c>
      <c r="G1179" s="563" t="s">
        <v>18</v>
      </c>
      <c r="H1179" s="563" t="s">
        <v>26</v>
      </c>
      <c r="I1179" s="564" t="s">
        <v>2271</v>
      </c>
      <c r="J1179" s="564">
        <v>1</v>
      </c>
      <c r="K1179" s="563" t="s">
        <v>78</v>
      </c>
      <c r="L1179" s="657">
        <v>44704</v>
      </c>
      <c r="M1179" s="665">
        <v>5.21E-2</v>
      </c>
      <c r="N1179" s="647" t="s">
        <v>1982</v>
      </c>
      <c r="O1179" s="575">
        <v>2022.4</v>
      </c>
      <c r="P1179" s="665" t="str">
        <f>VLOOKUP(A1179,'[1]Raw data'!$B:$BA,23,FALSE)</f>
        <v>JPY</v>
      </c>
      <c r="Q1179" s="647" t="str">
        <f>VLOOKUP(A1179,'[1]Raw data'!$B:$Z,2,FALSE)</f>
        <v>C49SZX20220013DZ</v>
      </c>
      <c r="R1179" s="647" t="str">
        <f>VLOOKUP(A1179,'[1]Raw data'!$B:$Z,3,FALSE)</f>
        <v>朗特</v>
      </c>
      <c r="S1179" s="647" t="str">
        <f>VLOOKUP(A1179,'[1]Raw data'!$B:$Z,4,FALSE)</f>
        <v>YSM20R-2</v>
      </c>
      <c r="T1179" s="647" t="str">
        <f>VLOOKUP(A1179,'[1]Raw data'!$B:$Z,8,FALSE)</f>
        <v>R-&gt;L</v>
      </c>
      <c r="U1179" s="647" t="str">
        <f>VLOOKUP(A1179,'[1]Raw data'!$B:$Z,9,FALSE)</f>
        <v>No</v>
      </c>
      <c r="V1179" s="567" t="str">
        <f t="shared" si="257"/>
        <v>OK</v>
      </c>
      <c r="W1179" s="563" t="str">
        <f>VLOOKUP(A1179,'[1]Raw data'!$B:$AG,32,FALSE)</f>
        <v>CIF HK</v>
      </c>
      <c r="X1179" s="647">
        <f>VLOOKUP(A1179,'[1]Raw data'!$B:$BA,31,FALSE)</f>
        <v>44614</v>
      </c>
      <c r="Y1179" s="647" t="str">
        <f>VLOOKUP(A1179,'[1]Raw data'!$B:$AS,39,FALSE)</f>
        <v>Yes</v>
      </c>
      <c r="Z1179" s="710"/>
      <c r="AA1179" s="662"/>
      <c r="AB1179" s="662"/>
      <c r="AC1179" s="647" t="s">
        <v>2174</v>
      </c>
      <c r="AD1179" s="575">
        <v>303</v>
      </c>
      <c r="AE1179" s="575">
        <v>20</v>
      </c>
      <c r="AF1179" s="679"/>
      <c r="AG1179" s="564"/>
      <c r="AH1179" s="564"/>
      <c r="AI1179" s="564"/>
      <c r="AJ1179" s="564"/>
      <c r="AK1179" s="614"/>
      <c r="AL1179" s="614"/>
      <c r="AM1179" s="614"/>
      <c r="AN1179" s="614"/>
      <c r="AO1179" s="824" t="str">
        <f t="shared" si="246"/>
        <v>Yes</v>
      </c>
      <c r="AP1179" s="259" t="str">
        <f t="shared" si="247"/>
        <v>JUN 22</v>
      </c>
      <c r="AQ1179" s="542" t="str">
        <f t="shared" si="248"/>
        <v>有定金+有預留客戶</v>
      </c>
      <c r="AR1179" s="259" t="str">
        <f t="shared" si="249"/>
        <v>Shipped_Stock</v>
      </c>
      <c r="AS1179" s="259" t="str">
        <f t="shared" si="250"/>
        <v/>
      </c>
      <c r="AT1179" s="259" t="str">
        <f t="shared" si="251"/>
        <v>朗特</v>
      </c>
      <c r="AU1179" s="259" t="str">
        <f t="shared" si="252"/>
        <v>C49SZX20220013DZ</v>
      </c>
      <c r="AV1179" s="259" t="str">
        <f t="shared" si="253"/>
        <v>May-23</v>
      </c>
    </row>
    <row r="1180" spans="1:48" ht="16.5" hidden="1">
      <c r="A1180" s="599">
        <v>1602</v>
      </c>
      <c r="B1180" s="664" t="s">
        <v>1125</v>
      </c>
      <c r="C1180" s="664" t="s">
        <v>281</v>
      </c>
      <c r="D1180" s="623">
        <v>110883</v>
      </c>
      <c r="E1180" s="736" t="s">
        <v>2272</v>
      </c>
      <c r="F1180" s="647" t="s">
        <v>17</v>
      </c>
      <c r="G1180" s="647" t="s">
        <v>18</v>
      </c>
      <c r="H1180" s="647" t="s">
        <v>27</v>
      </c>
      <c r="I1180" s="575" t="s">
        <v>2273</v>
      </c>
      <c r="J1180" s="575">
        <v>1</v>
      </c>
      <c r="K1180" s="757" t="s">
        <v>2071</v>
      </c>
      <c r="L1180" s="657">
        <v>44704</v>
      </c>
      <c r="M1180" s="665" t="s">
        <v>906</v>
      </c>
      <c r="N1180" s="647" t="s">
        <v>1982</v>
      </c>
      <c r="O1180" s="575">
        <v>2022.4</v>
      </c>
      <c r="P1180" s="665" t="str">
        <f>VLOOKUP(A1180,'[1]Raw data'!$B:$BA,23,FALSE)</f>
        <v>JPY</v>
      </c>
      <c r="Q1180" s="647" t="str">
        <f>VLOOKUP(A1180,'[1]Raw data'!$B:$Z,2,FALSE)</f>
        <v>C49SZX20220026SX</v>
      </c>
      <c r="R1180" s="647" t="str">
        <f>VLOOKUP(A1180,'[1]Raw data'!$B:$Z,3,FALSE)</f>
        <v>骏仁达</v>
      </c>
      <c r="S1180" s="647" t="str">
        <f>VLOOKUP(A1180,'[1]Raw data'!$B:$Z,4,FALSE)</f>
        <v>YSM10</v>
      </c>
      <c r="T1180" s="647" t="str">
        <f>VLOOKUP(A1180,'[1]Raw data'!$B:$Z,8,FALSE)</f>
        <v>L-&gt;R</v>
      </c>
      <c r="U1180" s="647" t="str">
        <f>VLOOKUP(A1180,'[1]Raw data'!$B:$Z,9,FALSE)</f>
        <v>MVC</v>
      </c>
      <c r="V1180" s="567" t="str">
        <f>IF(G1180&amp;H1180=T1180&amp;U1180,"OK","WRONG")</f>
        <v>WRONG</v>
      </c>
      <c r="W1180" s="563" t="str">
        <f>VLOOKUP(A1180,'[1]Raw data'!$B:$AG,32,FALSE)</f>
        <v>DAP SZ</v>
      </c>
      <c r="X1180" s="647">
        <f>VLOOKUP(A1180,'[1]Raw data'!$B:$BA,31,FALSE)</f>
        <v>44621</v>
      </c>
      <c r="Y1180" s="647" t="str">
        <f>VLOOKUP(A1180,'[1]Raw data'!$B:$AS,39,FALSE)</f>
        <v>Yes</v>
      </c>
      <c r="Z1180" s="659"/>
      <c r="AA1180" s="660"/>
      <c r="AB1180" s="661"/>
      <c r="AC1180" s="647" t="s">
        <v>2263</v>
      </c>
      <c r="AD1180" s="575">
        <v>301</v>
      </c>
      <c r="AE1180" s="575">
        <v>4</v>
      </c>
      <c r="AF1180" s="575">
        <v>302</v>
      </c>
      <c r="AG1180" s="575">
        <v>3</v>
      </c>
      <c r="AH1180" s="575">
        <v>303</v>
      </c>
      <c r="AI1180" s="679">
        <v>2</v>
      </c>
      <c r="AJ1180" s="564">
        <v>304</v>
      </c>
      <c r="AK1180" s="564">
        <v>1</v>
      </c>
      <c r="AL1180" s="564"/>
      <c r="AM1180" s="564"/>
      <c r="AN1180" s="614"/>
      <c r="AO1180" s="824" t="str">
        <f t="shared" si="246"/>
        <v>Yes</v>
      </c>
      <c r="AP1180" s="259" t="str">
        <f t="shared" si="247"/>
        <v>JUN 22</v>
      </c>
      <c r="AQ1180" s="542" t="str">
        <f t="shared" si="248"/>
        <v>有定金+有預留客戶</v>
      </c>
      <c r="AR1180" s="259" t="str">
        <f t="shared" si="249"/>
        <v>Shipped_Stock</v>
      </c>
      <c r="AS1180" s="259" t="str">
        <f t="shared" si="250"/>
        <v/>
      </c>
      <c r="AT1180" s="259" t="str">
        <f t="shared" si="251"/>
        <v>骏仁达</v>
      </c>
      <c r="AU1180" s="259" t="str">
        <f t="shared" si="252"/>
        <v>C49SZX20220026SX</v>
      </c>
      <c r="AV1180" s="259" t="str">
        <f t="shared" si="253"/>
        <v>May-23</v>
      </c>
    </row>
    <row r="1181" spans="1:48" hidden="1">
      <c r="A1181" s="599">
        <v>1603</v>
      </c>
      <c r="B1181" s="664" t="s">
        <v>1125</v>
      </c>
      <c r="C1181" s="664" t="s">
        <v>281</v>
      </c>
      <c r="D1181" s="625">
        <v>110883</v>
      </c>
      <c r="E1181" s="736" t="s">
        <v>2272</v>
      </c>
      <c r="F1181" s="647" t="s">
        <v>17</v>
      </c>
      <c r="G1181" s="647" t="s">
        <v>18</v>
      </c>
      <c r="H1181" s="647" t="s">
        <v>27</v>
      </c>
      <c r="I1181" s="575" t="s">
        <v>2274</v>
      </c>
      <c r="J1181" s="575">
        <v>1</v>
      </c>
      <c r="K1181" s="647" t="s">
        <v>85</v>
      </c>
      <c r="L1181" s="657">
        <v>44704</v>
      </c>
      <c r="M1181" s="665" t="s">
        <v>906</v>
      </c>
      <c r="N1181" s="647" t="s">
        <v>1982</v>
      </c>
      <c r="O1181" s="575">
        <v>2022.4</v>
      </c>
      <c r="P1181" s="665" t="str">
        <f>VLOOKUP(A1181,'[1]Raw data'!$B:$BA,23,FALSE)</f>
        <v>JPY</v>
      </c>
      <c r="Q1181" s="647" t="str">
        <f>VLOOKUP(A1181,'[1]Raw data'!$B:$Z,2,FALSE)</f>
        <v>C49SZX20220026SX</v>
      </c>
      <c r="R1181" s="647" t="str">
        <f>VLOOKUP(A1181,'[1]Raw data'!$B:$Z,3,FALSE)</f>
        <v>骏仁达</v>
      </c>
      <c r="S1181" s="647" t="str">
        <f>VLOOKUP(A1181,'[1]Raw data'!$B:$Z,4,FALSE)</f>
        <v>YSM10</v>
      </c>
      <c r="T1181" s="647" t="str">
        <f>VLOOKUP(A1181,'[1]Raw data'!$B:$Z,8,FALSE)</f>
        <v>R-&gt;L</v>
      </c>
      <c r="U1181" s="647" t="str">
        <f>VLOOKUP(A1181,'[1]Raw data'!$B:$Z,9,FALSE)</f>
        <v>MVC</v>
      </c>
      <c r="V1181" s="567" t="str">
        <f>IF(G1181&amp;H1181=T1181&amp;U1181,"OK","WRONG")</f>
        <v>OK</v>
      </c>
      <c r="W1181" s="563" t="str">
        <f>VLOOKUP(A1181,'[1]Raw data'!$B:$AG,32,FALSE)</f>
        <v>DAP SZ</v>
      </c>
      <c r="X1181" s="647">
        <f>VLOOKUP(A1181,'[1]Raw data'!$B:$BA,31,FALSE)</f>
        <v>44621</v>
      </c>
      <c r="Y1181" s="647" t="str">
        <f>VLOOKUP(A1181,'[1]Raw data'!$B:$AS,39,FALSE)</f>
        <v>Yes</v>
      </c>
      <c r="Z1181" s="659"/>
      <c r="AA1181" s="660"/>
      <c r="AB1181" s="661"/>
      <c r="AC1181" s="647" t="s">
        <v>2263</v>
      </c>
      <c r="AD1181" s="575">
        <v>301</v>
      </c>
      <c r="AE1181" s="575">
        <v>4</v>
      </c>
      <c r="AF1181" s="575">
        <v>302</v>
      </c>
      <c r="AG1181" s="575">
        <v>3</v>
      </c>
      <c r="AH1181" s="575">
        <v>303</v>
      </c>
      <c r="AI1181" s="679">
        <v>2</v>
      </c>
      <c r="AJ1181" s="564">
        <v>304</v>
      </c>
      <c r="AK1181" s="564">
        <v>1</v>
      </c>
      <c r="AL1181" s="564"/>
      <c r="AM1181" s="564"/>
      <c r="AN1181" s="614"/>
      <c r="AO1181" s="824" t="str">
        <f t="shared" si="246"/>
        <v>Yes</v>
      </c>
      <c r="AP1181" s="259" t="str">
        <f t="shared" si="247"/>
        <v>JUN 22</v>
      </c>
      <c r="AQ1181" s="542" t="str">
        <f t="shared" si="248"/>
        <v>有定金+有預留客戶</v>
      </c>
      <c r="AR1181" s="259" t="str">
        <f t="shared" si="249"/>
        <v>Shipped_Stock</v>
      </c>
      <c r="AS1181" s="259" t="str">
        <f t="shared" si="250"/>
        <v/>
      </c>
      <c r="AT1181" s="259" t="str">
        <f t="shared" si="251"/>
        <v>骏仁达</v>
      </c>
      <c r="AU1181" s="259" t="str">
        <f t="shared" si="252"/>
        <v>C49SZX20220026SX</v>
      </c>
      <c r="AV1181" s="259" t="str">
        <f t="shared" si="253"/>
        <v>May-23</v>
      </c>
    </row>
    <row r="1182" spans="1:48" ht="26.25" hidden="1" customHeight="1">
      <c r="A1182" s="559">
        <v>1645</v>
      </c>
      <c r="B1182" s="664" t="s">
        <v>1125</v>
      </c>
      <c r="C1182" s="664" t="s">
        <v>281</v>
      </c>
      <c r="D1182" s="625">
        <v>110883</v>
      </c>
      <c r="E1182" s="736" t="s">
        <v>2272</v>
      </c>
      <c r="F1182" s="647" t="s">
        <v>17</v>
      </c>
      <c r="G1182" s="647" t="s">
        <v>18</v>
      </c>
      <c r="H1182" s="647" t="s">
        <v>27</v>
      </c>
      <c r="I1182" s="575" t="s">
        <v>2275</v>
      </c>
      <c r="J1182" s="575">
        <v>1</v>
      </c>
      <c r="K1182" s="647" t="s">
        <v>85</v>
      </c>
      <c r="L1182" s="657">
        <v>44704</v>
      </c>
      <c r="M1182" s="665" t="s">
        <v>2276</v>
      </c>
      <c r="N1182" s="647" t="s">
        <v>1982</v>
      </c>
      <c r="O1182" s="575">
        <v>2022.4</v>
      </c>
      <c r="P1182" s="665" t="str">
        <f>VLOOKUP(A1182,'[1]Raw data'!$B:$BA,23,FALSE)</f>
        <v>JPY</v>
      </c>
      <c r="Q1182" s="647" t="str">
        <f>VLOOKUP(A1182,'[1]Raw data'!$B:$Z,2,FALSE)</f>
        <v>C49SZX20220046JL</v>
      </c>
      <c r="R1182" s="647" t="str">
        <f>VLOOKUP(A1182,'[1]Raw data'!$B:$Z,3,FALSE)</f>
        <v>快宇</v>
      </c>
      <c r="S1182" s="647" t="str">
        <f>VLOOKUP(A1182,'[1]Raw data'!$B:$Z,4,FALSE)</f>
        <v>YSM10</v>
      </c>
      <c r="T1182" s="647" t="str">
        <f>VLOOKUP(A1182,'[1]Raw data'!$B:$Z,8,FALSE)</f>
        <v>L-&gt;R</v>
      </c>
      <c r="U1182" s="647" t="str">
        <f>VLOOKUP(A1182,'[1]Raw data'!$B:$Z,9,FALSE)</f>
        <v>MVC</v>
      </c>
      <c r="V1182" s="567" t="str">
        <f>IF(G1182&amp;H1182=T1182&amp;U1182,"OK","WRONG")</f>
        <v>WRONG</v>
      </c>
      <c r="W1182" s="563" t="str">
        <f>VLOOKUP(A1182,'[1]Raw data'!$B:$AG,32,FALSE)</f>
        <v>DAP SZ</v>
      </c>
      <c r="X1182" s="647">
        <f>VLOOKUP(A1182,'[1]Raw data'!$B:$BA,31,FALSE)</f>
        <v>44669</v>
      </c>
      <c r="Y1182" s="647" t="str">
        <f>VLOOKUP(A1182,'[1]Raw data'!$B:$AS,39,FALSE)</f>
        <v>Yes</v>
      </c>
      <c r="Z1182" s="659"/>
      <c r="AA1182" s="660"/>
      <c r="AB1182" s="661"/>
      <c r="AC1182" s="647" t="s">
        <v>589</v>
      </c>
      <c r="AD1182" s="662">
        <v>301</v>
      </c>
      <c r="AE1182" s="662">
        <v>4</v>
      </c>
      <c r="AF1182" s="662">
        <v>302</v>
      </c>
      <c r="AG1182" s="662">
        <v>3</v>
      </c>
      <c r="AH1182" s="662">
        <v>303</v>
      </c>
      <c r="AI1182" s="663">
        <v>2</v>
      </c>
      <c r="AJ1182" s="571">
        <v>304</v>
      </c>
      <c r="AK1182" s="571">
        <v>1</v>
      </c>
      <c r="AN1182" s="542"/>
      <c r="AO1182" s="824" t="str">
        <f t="shared" si="246"/>
        <v>Yes</v>
      </c>
      <c r="AP1182" s="259" t="str">
        <f t="shared" si="247"/>
        <v>JUN 22</v>
      </c>
      <c r="AQ1182" s="542" t="str">
        <f t="shared" si="248"/>
        <v>有定金+有預留客戶</v>
      </c>
      <c r="AR1182" s="259" t="str">
        <f t="shared" si="249"/>
        <v>Shipped_Stock</v>
      </c>
      <c r="AS1182" s="259" t="str">
        <f t="shared" si="250"/>
        <v/>
      </c>
      <c r="AT1182" s="259" t="str">
        <f t="shared" si="251"/>
        <v>快宇</v>
      </c>
      <c r="AU1182" s="259" t="str">
        <f t="shared" si="252"/>
        <v>C49SZX20220046JL</v>
      </c>
      <c r="AV1182" s="259" t="str">
        <f t="shared" si="253"/>
        <v>May-23</v>
      </c>
    </row>
    <row r="1183" spans="1:48" ht="22.5" hidden="1">
      <c r="A1183" s="599">
        <v>1691</v>
      </c>
      <c r="B1183" s="664" t="s">
        <v>1125</v>
      </c>
      <c r="C1183" s="664" t="s">
        <v>281</v>
      </c>
      <c r="D1183" s="625">
        <v>110872</v>
      </c>
      <c r="E1183" s="744" t="s">
        <v>2277</v>
      </c>
      <c r="F1183" s="647" t="s">
        <v>17</v>
      </c>
      <c r="G1183" s="647" t="s">
        <v>18</v>
      </c>
      <c r="H1183" s="647" t="s">
        <v>102</v>
      </c>
      <c r="I1183" s="575" t="s">
        <v>2278</v>
      </c>
      <c r="J1183" s="575">
        <v>1</v>
      </c>
      <c r="K1183" s="781" t="s">
        <v>1419</v>
      </c>
      <c r="L1183" s="657">
        <v>44704</v>
      </c>
      <c r="M1183" s="665" t="s">
        <v>2279</v>
      </c>
      <c r="N1183" s="647" t="s">
        <v>2231</v>
      </c>
      <c r="O1183" s="575">
        <v>2022.4</v>
      </c>
      <c r="P1183" s="665" t="str">
        <f>VLOOKUP(A1183,'[1]Raw data'!$B:$BA,23,FALSE)</f>
        <v>RMB</v>
      </c>
      <c r="Q1183" s="647" t="str">
        <f>VLOOKUP(A1183,'[1]Raw data'!$B:$Z,2,FALSE)</f>
        <v>C49SZX20220075SX</v>
      </c>
      <c r="R1183" s="647" t="str">
        <f>VLOOKUP(A1183,'[1]Raw data'!$B:$Z,3,FALSE)</f>
        <v>柏星</v>
      </c>
      <c r="S1183" s="647" t="str">
        <f>VLOOKUP(A1183,'[1]Raw data'!$B:$Z,4,FALSE)</f>
        <v>YSM10</v>
      </c>
      <c r="T1183" s="647" t="str">
        <f>VLOOKUP(A1183,'[1]Raw data'!$B:$Z,8,FALSE)</f>
        <v>R-&gt;L</v>
      </c>
      <c r="U1183" s="647" t="str">
        <f>VLOOKUP(A1183,'[1]Raw data'!$B:$Z,9,FALSE)</f>
        <v>MVC</v>
      </c>
      <c r="V1183" s="567" t="str">
        <f>IF(G1183&amp;H1183=T1183&amp;U1183,"OK","WRONG")</f>
        <v>WRONG</v>
      </c>
      <c r="W1183" s="563" t="str">
        <f>VLOOKUP(A1183,'[1]Raw data'!$B:$AG,32,FALSE)</f>
        <v>DDP DG</v>
      </c>
      <c r="X1183" s="647">
        <f>VLOOKUP(A1183,'[1]Raw data'!$B:$BA,31,FALSE)</f>
        <v>44735</v>
      </c>
      <c r="Y1183" s="647" t="str">
        <f>VLOOKUP(A1183,'[1]Raw data'!$B:$AS,39,FALSE)</f>
        <v>Yes</v>
      </c>
      <c r="Z1183" s="659"/>
      <c r="AA1183" s="660"/>
      <c r="AB1183" s="661"/>
      <c r="AC1183" s="647" t="s">
        <v>410</v>
      </c>
      <c r="AD1183" s="575">
        <v>301</v>
      </c>
      <c r="AE1183" s="575">
        <v>10</v>
      </c>
      <c r="AF1183" s="575"/>
      <c r="AG1183" s="575"/>
      <c r="AH1183" s="575"/>
      <c r="AI1183" s="679"/>
      <c r="AJ1183" s="564"/>
      <c r="AK1183" s="564"/>
      <c r="AL1183" s="564"/>
      <c r="AM1183" s="564"/>
      <c r="AN1183" s="614"/>
      <c r="AO1183" s="824" t="str">
        <f t="shared" si="246"/>
        <v>Yes</v>
      </c>
      <c r="AP1183" s="259" t="str">
        <f t="shared" si="247"/>
        <v>JUL 22</v>
      </c>
      <c r="AQ1183" s="542" t="str">
        <f t="shared" si="248"/>
        <v>有定金+有預留客戶</v>
      </c>
      <c r="AR1183" s="259" t="str">
        <f t="shared" si="249"/>
        <v>Shipped_Stock</v>
      </c>
      <c r="AS1183" s="259" t="str">
        <f t="shared" si="250"/>
        <v/>
      </c>
      <c r="AT1183" s="259" t="str">
        <f t="shared" si="251"/>
        <v>柏星</v>
      </c>
      <c r="AU1183" s="259" t="str">
        <f t="shared" si="252"/>
        <v>C49SZX20220075SX</v>
      </c>
      <c r="AV1183" s="259" t="str">
        <f t="shared" si="253"/>
        <v>May-23</v>
      </c>
    </row>
    <row r="1184" spans="1:48" hidden="1">
      <c r="A1184" s="559">
        <v>1164</v>
      </c>
      <c r="B1184" s="664" t="s">
        <v>1125</v>
      </c>
      <c r="C1184" s="664" t="s">
        <v>281</v>
      </c>
      <c r="D1184" s="755">
        <v>110872</v>
      </c>
      <c r="E1184" s="744" t="s">
        <v>2277</v>
      </c>
      <c r="F1184" s="647" t="s">
        <v>17</v>
      </c>
      <c r="G1184" s="647" t="s">
        <v>18</v>
      </c>
      <c r="H1184" s="647" t="s">
        <v>102</v>
      </c>
      <c r="I1184" s="575" t="s">
        <v>2280</v>
      </c>
      <c r="J1184" s="575">
        <v>1</v>
      </c>
      <c r="K1184" s="781" t="s">
        <v>1419</v>
      </c>
      <c r="L1184" s="657">
        <v>44704</v>
      </c>
      <c r="M1184" s="665" t="s">
        <v>2281</v>
      </c>
      <c r="N1184" s="647" t="s">
        <v>2231</v>
      </c>
      <c r="O1184" s="575">
        <v>2022.4</v>
      </c>
      <c r="P1184" s="665" t="str">
        <f>VLOOKUP(A1184,'[1]Raw data'!$B:$BA,23,FALSE)</f>
        <v>JPY</v>
      </c>
      <c r="Q1184" s="647" t="str">
        <f>VLOOKUP(A1184,'[1]Raw data'!$B:$Z,2,FALSE)</f>
        <v>C49SZX20210059EC</v>
      </c>
      <c r="R1184" s="647" t="str">
        <f>VLOOKUP(A1184,'[1]Raw data'!$B:$Z,3,FALSE)</f>
        <v>骏孚</v>
      </c>
      <c r="S1184" s="647" t="str">
        <f>VLOOKUP(A1184,'[1]Raw data'!$B:$Z,4,FALSE)</f>
        <v>YSM10</v>
      </c>
      <c r="T1184" s="647" t="str">
        <f>VLOOKUP(A1184,'[1]Raw data'!$B:$Z,8,FALSE)</f>
        <v>L-&gt;R</v>
      </c>
      <c r="U1184" s="647" t="str">
        <f>VLOOKUP(A1184,'[1]Raw data'!$B:$Z,9,FALSE)</f>
        <v>MVC</v>
      </c>
      <c r="V1184" s="567" t="str">
        <f>IF(G1184&amp;H1184=T1184&amp;U1184,"OK","WRONG")</f>
        <v>WRONG</v>
      </c>
      <c r="W1184" s="563" t="str">
        <f>VLOOKUP(A1184,'[1]Raw data'!$B:$AG,32,FALSE)</f>
        <v>DAP GZ</v>
      </c>
      <c r="X1184" s="647">
        <f>VLOOKUP(A1184,'[1]Raw data'!$B:$BA,31,FALSE)</f>
        <v>44256</v>
      </c>
      <c r="Y1184" s="647" t="str">
        <f>VLOOKUP(A1184,'[1]Raw data'!$B:$AS,39,FALSE)</f>
        <v>Yes</v>
      </c>
      <c r="Z1184" s="659"/>
      <c r="AA1184" s="660"/>
      <c r="AB1184" s="661"/>
      <c r="AC1184" s="647" t="s">
        <v>1854</v>
      </c>
      <c r="AD1184" s="662">
        <v>301</v>
      </c>
      <c r="AE1184" s="662">
        <v>10</v>
      </c>
      <c r="AF1184" s="662"/>
      <c r="AG1184" s="662"/>
      <c r="AH1184" s="662"/>
      <c r="AI1184" s="663"/>
      <c r="AN1184" s="542"/>
      <c r="AO1184" s="824" t="str">
        <f t="shared" si="246"/>
        <v>Yes</v>
      </c>
      <c r="AP1184" s="259" t="str">
        <f t="shared" si="247"/>
        <v>JUL 22</v>
      </c>
      <c r="AQ1184" s="542" t="str">
        <f t="shared" si="248"/>
        <v>有定金+有預留客戶</v>
      </c>
      <c r="AR1184" s="259" t="str">
        <f t="shared" si="249"/>
        <v>Shipped_Stock</v>
      </c>
      <c r="AS1184" s="259" t="str">
        <f t="shared" si="250"/>
        <v/>
      </c>
      <c r="AT1184" s="259" t="str">
        <f t="shared" si="251"/>
        <v>骏孚</v>
      </c>
      <c r="AU1184" s="259" t="str">
        <f t="shared" si="252"/>
        <v>C49SZX20210059EC</v>
      </c>
      <c r="AV1184" s="259" t="str">
        <f t="shared" si="253"/>
        <v>May-23</v>
      </c>
    </row>
    <row r="1185" spans="1:48" hidden="1">
      <c r="A1185" s="599">
        <v>1689</v>
      </c>
      <c r="B1185" s="664" t="s">
        <v>1125</v>
      </c>
      <c r="C1185" s="664" t="s">
        <v>15</v>
      </c>
      <c r="D1185" s="623">
        <v>110896</v>
      </c>
      <c r="E1185" s="562" t="s">
        <v>2135</v>
      </c>
      <c r="F1185" s="563" t="s">
        <v>17</v>
      </c>
      <c r="G1185" s="563" t="s">
        <v>18</v>
      </c>
      <c r="H1185" s="563" t="s">
        <v>34</v>
      </c>
      <c r="I1185" s="564" t="s">
        <v>2282</v>
      </c>
      <c r="J1185" s="564">
        <v>1</v>
      </c>
      <c r="K1185" s="563" t="s">
        <v>1419</v>
      </c>
      <c r="L1185" s="657">
        <v>44714</v>
      </c>
      <c r="M1185" s="665" t="s">
        <v>2283</v>
      </c>
      <c r="N1185" s="647" t="s">
        <v>2231</v>
      </c>
      <c r="O1185" s="575">
        <v>2022.4</v>
      </c>
      <c r="P1185" s="665" t="str">
        <f>VLOOKUP(A1185,'[1]Raw data'!$B:$BA,23,FALSE)</f>
        <v>RMB</v>
      </c>
      <c r="Q1185" s="647" t="str">
        <f>VLOOKUP(A1185,'[1]Raw data'!$B:$Z,2,FALSE)</f>
        <v>C49SZX20220072DZ</v>
      </c>
      <c r="R1185" s="647" t="str">
        <f>VLOOKUP(A1185,'[1]Raw data'!$B:$Z,3,FALSE)</f>
        <v>朗特</v>
      </c>
      <c r="S1185" s="647" t="str">
        <f>VLOOKUP(A1185,'[1]Raw data'!$B:$Z,4,FALSE)</f>
        <v>YSM10</v>
      </c>
      <c r="T1185" s="647" t="str">
        <f>VLOOKUP(A1185,'[1]Raw data'!$B:$Z,8,FALSE)</f>
        <v>R-&gt;L</v>
      </c>
      <c r="U1185" s="647" t="str">
        <f>VLOOKUP(A1185,'[1]Raw data'!$B:$Z,9,FALSE)</f>
        <v>MVC+ATS15</v>
      </c>
      <c r="V1185" s="567" t="str">
        <f t="shared" ref="V1185:V1190" si="258">IF(G1185&amp;H1185=T1185&amp;U1185,"OK","WRONG")</f>
        <v>OK</v>
      </c>
      <c r="W1185" s="563" t="str">
        <f>VLOOKUP(A1185,'[1]Raw data'!$B:$AG,32,FALSE)</f>
        <v>DDP SZ</v>
      </c>
      <c r="X1185" s="647">
        <f>VLOOKUP(A1185,'[1]Raw data'!$B:$BA,31,FALSE)</f>
        <v>44734</v>
      </c>
      <c r="Y1185" s="647" t="str">
        <f>VLOOKUP(A1185,'[1]Raw data'!$B:$AS,39,FALSE)</f>
        <v>Yes</v>
      </c>
      <c r="Z1185" s="659"/>
      <c r="AA1185" s="660"/>
      <c r="AB1185" s="661"/>
      <c r="AC1185" s="647" t="s">
        <v>2174</v>
      </c>
      <c r="AD1185" s="575">
        <v>302</v>
      </c>
      <c r="AE1185" s="575">
        <v>10</v>
      </c>
      <c r="AF1185" s="575"/>
      <c r="AG1185" s="575"/>
      <c r="AH1185" s="575"/>
      <c r="AI1185" s="679"/>
      <c r="AJ1185" s="564"/>
      <c r="AK1185" s="564"/>
      <c r="AL1185" s="564"/>
      <c r="AM1185" s="564"/>
      <c r="AN1185" s="614"/>
      <c r="AO1185" s="824" t="str">
        <f t="shared" si="246"/>
        <v>Yes</v>
      </c>
      <c r="AP1185" s="259" t="str">
        <f t="shared" si="247"/>
        <v>JUL 22</v>
      </c>
      <c r="AQ1185" s="542" t="str">
        <f t="shared" si="248"/>
        <v>有定金+有預留客戶</v>
      </c>
      <c r="AR1185" s="259" t="str">
        <f t="shared" si="249"/>
        <v>Shipped_Stock</v>
      </c>
      <c r="AS1185" s="259" t="str">
        <f t="shared" si="250"/>
        <v/>
      </c>
      <c r="AT1185" s="259" t="str">
        <f t="shared" si="251"/>
        <v>朗特</v>
      </c>
      <c r="AU1185" s="259" t="str">
        <f t="shared" si="252"/>
        <v>C49SZX20220072DZ</v>
      </c>
      <c r="AV1185" s="259" t="str">
        <f t="shared" si="253"/>
        <v>Jun-02</v>
      </c>
    </row>
    <row r="1186" spans="1:48" ht="13.5" hidden="1" thickBot="1">
      <c r="A1186" s="599">
        <v>1673</v>
      </c>
      <c r="B1186" s="664" t="s">
        <v>1125</v>
      </c>
      <c r="C1186" s="664" t="s">
        <v>15</v>
      </c>
      <c r="D1186" s="624">
        <v>110896</v>
      </c>
      <c r="E1186" s="562" t="s">
        <v>2135</v>
      </c>
      <c r="F1186" s="563" t="s">
        <v>17</v>
      </c>
      <c r="G1186" s="563" t="s">
        <v>18</v>
      </c>
      <c r="H1186" s="563" t="s">
        <v>34</v>
      </c>
      <c r="I1186" s="564" t="s">
        <v>2284</v>
      </c>
      <c r="J1186" s="564">
        <v>1</v>
      </c>
      <c r="K1186" s="563" t="s">
        <v>85</v>
      </c>
      <c r="L1186" s="657">
        <v>44714</v>
      </c>
      <c r="M1186" s="665" t="s">
        <v>2285</v>
      </c>
      <c r="N1186" s="647" t="s">
        <v>2231</v>
      </c>
      <c r="O1186" s="575">
        <v>2022.4</v>
      </c>
      <c r="P1186" s="665" t="str">
        <f>VLOOKUP(A1186,'[1]Raw data'!$B:$BA,23,FALSE)</f>
        <v>JPY</v>
      </c>
      <c r="Q1186" s="647" t="str">
        <f>VLOOKUP(A1186,'[1]Raw data'!$B:$Z,2,FALSE)</f>
        <v>C49SZX20220060DZ</v>
      </c>
      <c r="R1186" s="647" t="str">
        <f>VLOOKUP(A1186,'[1]Raw data'!$B:$Z,3,FALSE)</f>
        <v>方案集</v>
      </c>
      <c r="S1186" s="647" t="str">
        <f>VLOOKUP(A1186,'[1]Raw data'!$B:$Z,4,FALSE)</f>
        <v>YSM10</v>
      </c>
      <c r="T1186" s="647" t="str">
        <f>VLOOKUP(A1186,'[1]Raw data'!$B:$Z,8,FALSE)</f>
        <v>L-&gt;R</v>
      </c>
      <c r="U1186" s="647" t="str">
        <f>VLOOKUP(A1186,'[1]Raw data'!$B:$Z,9,FALSE)</f>
        <v>MVC+ATS15</v>
      </c>
      <c r="V1186" s="567" t="str">
        <f t="shared" si="258"/>
        <v>WRONG</v>
      </c>
      <c r="W1186" s="563" t="str">
        <f>VLOOKUP(A1186,'[1]Raw data'!$B:$AG,32,FALSE)</f>
        <v>CIF HK</v>
      </c>
      <c r="X1186" s="647">
        <f>VLOOKUP(A1186,'[1]Raw data'!$B:$BA,31,FALSE)</f>
        <v>44705</v>
      </c>
      <c r="Y1186" s="647" t="str">
        <f>VLOOKUP(A1186,'[1]Raw data'!$B:$AS,39,FALSE)</f>
        <v>Yes</v>
      </c>
      <c r="Z1186" s="659"/>
      <c r="AA1186" s="660"/>
      <c r="AB1186" s="661"/>
      <c r="AC1186" s="647" t="s">
        <v>1165</v>
      </c>
      <c r="AD1186" s="575">
        <v>302</v>
      </c>
      <c r="AE1186" s="575">
        <v>10</v>
      </c>
      <c r="AF1186" s="575"/>
      <c r="AG1186" s="575"/>
      <c r="AH1186" s="575"/>
      <c r="AI1186" s="679"/>
      <c r="AJ1186" s="564"/>
      <c r="AK1186" s="564"/>
      <c r="AL1186" s="564"/>
      <c r="AM1186" s="564"/>
      <c r="AN1186" s="614"/>
      <c r="AO1186" s="824" t="str">
        <f t="shared" si="246"/>
        <v>Yes</v>
      </c>
      <c r="AP1186" s="259" t="str">
        <f t="shared" si="247"/>
        <v>JUL 22</v>
      </c>
      <c r="AQ1186" s="542" t="str">
        <f t="shared" si="248"/>
        <v>有定金+有預留客戶</v>
      </c>
      <c r="AR1186" s="259" t="str">
        <f t="shared" si="249"/>
        <v>Shipped_Stock</v>
      </c>
      <c r="AS1186" s="259" t="str">
        <f t="shared" si="250"/>
        <v/>
      </c>
      <c r="AT1186" s="259" t="str">
        <f t="shared" si="251"/>
        <v>方案集</v>
      </c>
      <c r="AU1186" s="259" t="str">
        <f t="shared" si="252"/>
        <v>C49SZX20220060DZ</v>
      </c>
      <c r="AV1186" s="259" t="str">
        <f t="shared" si="253"/>
        <v>Jun-02</v>
      </c>
    </row>
    <row r="1187" spans="1:48" hidden="1">
      <c r="A1187" s="599">
        <v>1614</v>
      </c>
      <c r="B1187" s="664" t="s">
        <v>1125</v>
      </c>
      <c r="C1187" s="664" t="s">
        <v>15</v>
      </c>
      <c r="D1187" s="623">
        <v>110896</v>
      </c>
      <c r="E1187" s="562" t="s">
        <v>2135</v>
      </c>
      <c r="F1187" s="563" t="s">
        <v>17</v>
      </c>
      <c r="G1187" s="563" t="s">
        <v>18</v>
      </c>
      <c r="H1187" s="563" t="s">
        <v>34</v>
      </c>
      <c r="I1187" s="564" t="s">
        <v>2286</v>
      </c>
      <c r="J1187" s="564">
        <v>1</v>
      </c>
      <c r="K1187" s="563" t="s">
        <v>85</v>
      </c>
      <c r="L1187" s="657">
        <v>44714</v>
      </c>
      <c r="M1187" s="665" t="s">
        <v>2287</v>
      </c>
      <c r="N1187" s="647" t="s">
        <v>221</v>
      </c>
      <c r="O1187" s="575">
        <v>2022.5</v>
      </c>
      <c r="P1187" s="665" t="str">
        <f>VLOOKUP(A1187,'[1]Raw data'!$B:$BA,23,FALSE)</f>
        <v>JPY</v>
      </c>
      <c r="Q1187" s="647" t="str">
        <f>VLOOKUP(A1187,'[1]Raw data'!$B:$Z,2,FALSE)</f>
        <v>C49SZX20220033JL</v>
      </c>
      <c r="R1187" s="647" t="str">
        <f>VLOOKUP(A1187,'[1]Raw data'!$B:$Z,3,FALSE)</f>
        <v>拓普艾</v>
      </c>
      <c r="S1187" s="647" t="str">
        <f>VLOOKUP(A1187,'[1]Raw data'!$B:$Z,4,FALSE)</f>
        <v>YSM10</v>
      </c>
      <c r="T1187" s="647" t="str">
        <f>VLOOKUP(A1187,'[1]Raw data'!$B:$Z,8,FALSE)</f>
        <v>L-&gt;R</v>
      </c>
      <c r="U1187" s="647" t="str">
        <f>VLOOKUP(A1187,'[1]Raw data'!$B:$Z,9,FALSE)</f>
        <v>MVC+ATS15</v>
      </c>
      <c r="V1187" s="567" t="str">
        <f t="shared" si="258"/>
        <v>WRONG</v>
      </c>
      <c r="W1187" s="563" t="str">
        <f>VLOOKUP(A1187,'[1]Raw data'!$B:$AG,32,FALSE)</f>
        <v>CIF HK</v>
      </c>
      <c r="X1187" s="647">
        <f>VLOOKUP(A1187,'[1]Raw data'!$B:$BA,31,FALSE)</f>
        <v>44630</v>
      </c>
      <c r="Y1187" s="647" t="str">
        <f>VLOOKUP(A1187,'[1]Raw data'!$B:$AS,39,FALSE)</f>
        <v>Yes</v>
      </c>
      <c r="Z1187" s="659"/>
      <c r="AA1187" s="660"/>
      <c r="AB1187" s="661"/>
      <c r="AC1187" s="647" t="s">
        <v>2288</v>
      </c>
      <c r="AD1187" s="575">
        <v>302</v>
      </c>
      <c r="AE1187" s="575">
        <v>10</v>
      </c>
      <c r="AF1187" s="575"/>
      <c r="AG1187" s="575"/>
      <c r="AH1187" s="575"/>
      <c r="AI1187" s="679"/>
      <c r="AJ1187" s="564"/>
      <c r="AK1187" s="564"/>
      <c r="AL1187" s="564"/>
      <c r="AM1187" s="564"/>
      <c r="AN1187" s="614"/>
      <c r="AO1187" s="824" t="str">
        <f t="shared" si="246"/>
        <v>Yes</v>
      </c>
      <c r="AP1187" s="259" t="str">
        <f t="shared" si="247"/>
        <v>AUG 22</v>
      </c>
      <c r="AQ1187" s="542" t="str">
        <f t="shared" si="248"/>
        <v>有定金+有預留客戶</v>
      </c>
      <c r="AR1187" s="259" t="str">
        <f t="shared" si="249"/>
        <v>Shipped_Stock</v>
      </c>
      <c r="AS1187" s="259" t="str">
        <f t="shared" si="250"/>
        <v/>
      </c>
      <c r="AT1187" s="259" t="str">
        <f t="shared" si="251"/>
        <v>拓普艾</v>
      </c>
      <c r="AU1187" s="259" t="str">
        <f t="shared" si="252"/>
        <v>C49SZX20220033JL</v>
      </c>
      <c r="AV1187" s="259" t="str">
        <f t="shared" si="253"/>
        <v>Jun-02</v>
      </c>
    </row>
    <row r="1188" spans="1:48" hidden="1">
      <c r="A1188" s="599">
        <v>1520</v>
      </c>
      <c r="B1188" s="664" t="s">
        <v>1125</v>
      </c>
      <c r="C1188" s="664" t="s">
        <v>15</v>
      </c>
      <c r="D1188" s="625">
        <v>110896</v>
      </c>
      <c r="E1188" s="562" t="s">
        <v>2135</v>
      </c>
      <c r="F1188" s="563" t="s">
        <v>241</v>
      </c>
      <c r="G1188" s="563" t="s">
        <v>18</v>
      </c>
      <c r="H1188" s="563" t="s">
        <v>34</v>
      </c>
      <c r="I1188" s="564" t="s">
        <v>2289</v>
      </c>
      <c r="J1188" s="564">
        <v>1</v>
      </c>
      <c r="K1188" s="563" t="s">
        <v>1419</v>
      </c>
      <c r="L1188" s="657">
        <v>44714</v>
      </c>
      <c r="M1188" s="665" t="s">
        <v>2290</v>
      </c>
      <c r="N1188" s="647" t="s">
        <v>219</v>
      </c>
      <c r="O1188" s="575">
        <v>2022.5</v>
      </c>
      <c r="P1188" s="665" t="str">
        <f>VLOOKUP(A1188,'[1]Raw data'!$B:$BA,23,FALSE)</f>
        <v>JPY</v>
      </c>
      <c r="Q1188" s="647" t="str">
        <f>VLOOKUP(A1188,'[1]Raw data'!$B:$Z,2,FALSE)</f>
        <v>C49SZX20210215MZ</v>
      </c>
      <c r="R1188" s="647" t="str">
        <f>VLOOKUP(A1188,'[1]Raw data'!$B:$Z,3,FALSE)</f>
        <v>魔乐视</v>
      </c>
      <c r="S1188" s="647" t="str">
        <f>VLOOKUP(A1188,'[1]Raw data'!$B:$Z,4,FALSE)</f>
        <v>YSM10</v>
      </c>
      <c r="T1188" s="647" t="str">
        <f>VLOOKUP(A1188,'[1]Raw data'!$B:$Z,8,FALSE)</f>
        <v>L-&gt;R</v>
      </c>
      <c r="U1188" s="647" t="str">
        <f>VLOOKUP(A1188,'[1]Raw data'!$B:$Z,9,FALSE)</f>
        <v>MVC+ATS15</v>
      </c>
      <c r="V1188" s="567" t="str">
        <f t="shared" si="258"/>
        <v>WRONG</v>
      </c>
      <c r="W1188" s="563" t="str">
        <f>VLOOKUP(A1188,'[1]Raw data'!$B:$AG,32,FALSE)</f>
        <v>DAP SZ</v>
      </c>
      <c r="X1188" s="647">
        <f>VLOOKUP(A1188,'[1]Raw data'!$B:$BA,31,FALSE)</f>
        <v>44540</v>
      </c>
      <c r="Y1188" s="647" t="str">
        <f>VLOOKUP(A1188,'[1]Raw data'!$B:$AS,39,FALSE)</f>
        <v>Yes</v>
      </c>
      <c r="Z1188" s="659"/>
      <c r="AA1188" s="660"/>
      <c r="AB1188" s="661"/>
      <c r="AC1188" s="647" t="s">
        <v>2011</v>
      </c>
      <c r="AD1188" s="575">
        <v>312</v>
      </c>
      <c r="AE1188" s="575">
        <v>10</v>
      </c>
      <c r="AF1188" s="575"/>
      <c r="AG1188" s="575"/>
      <c r="AH1188" s="575"/>
      <c r="AI1188" s="679"/>
      <c r="AJ1188" s="564"/>
      <c r="AK1188" s="564"/>
      <c r="AL1188" s="564"/>
      <c r="AM1188" s="564"/>
      <c r="AN1188" s="614"/>
      <c r="AO1188" s="824" t="str">
        <f t="shared" si="246"/>
        <v>Yes</v>
      </c>
      <c r="AP1188" s="259" t="str">
        <f t="shared" si="247"/>
        <v>SEP 22</v>
      </c>
      <c r="AQ1188" s="542" t="str">
        <f t="shared" si="248"/>
        <v>有定金+有預留客戶</v>
      </c>
      <c r="AR1188" s="259" t="str">
        <f t="shared" si="249"/>
        <v>Shipped_Stock</v>
      </c>
      <c r="AS1188" s="259" t="str">
        <f t="shared" si="250"/>
        <v/>
      </c>
      <c r="AT1188" s="259" t="str">
        <f t="shared" si="251"/>
        <v>魔乐视</v>
      </c>
      <c r="AU1188" s="259" t="str">
        <f t="shared" si="252"/>
        <v>C49SZX20210215MZ</v>
      </c>
      <c r="AV1188" s="259" t="str">
        <f t="shared" si="253"/>
        <v>Jun-02</v>
      </c>
    </row>
    <row r="1189" spans="1:48" hidden="1">
      <c r="A1189" s="599">
        <v>1521</v>
      </c>
      <c r="B1189" s="664" t="s">
        <v>1125</v>
      </c>
      <c r="C1189" s="664" t="s">
        <v>15</v>
      </c>
      <c r="D1189" s="625">
        <v>110896</v>
      </c>
      <c r="E1189" s="562" t="s">
        <v>2135</v>
      </c>
      <c r="F1189" s="563" t="s">
        <v>17</v>
      </c>
      <c r="G1189" s="563" t="s">
        <v>18</v>
      </c>
      <c r="H1189" s="563" t="s">
        <v>34</v>
      </c>
      <c r="I1189" s="564" t="s">
        <v>2291</v>
      </c>
      <c r="J1189" s="564">
        <v>1</v>
      </c>
      <c r="K1189" s="563" t="s">
        <v>1419</v>
      </c>
      <c r="L1189" s="657">
        <v>44714</v>
      </c>
      <c r="M1189" s="665" t="s">
        <v>2290</v>
      </c>
      <c r="N1189" s="647" t="s">
        <v>219</v>
      </c>
      <c r="O1189" s="575">
        <v>2022.5</v>
      </c>
      <c r="P1189" s="665" t="str">
        <f>VLOOKUP(A1189,'[1]Raw data'!$B:$BA,23,FALSE)</f>
        <v>JPY</v>
      </c>
      <c r="Q1189" s="647" t="str">
        <f>VLOOKUP(A1189,'[1]Raw data'!$B:$Z,2,FALSE)</f>
        <v>C49SZX20210215MZ</v>
      </c>
      <c r="R1189" s="647" t="str">
        <f>VLOOKUP(A1189,'[1]Raw data'!$B:$Z,3,FALSE)</f>
        <v>魔乐视</v>
      </c>
      <c r="S1189" s="647" t="str">
        <f>VLOOKUP(A1189,'[1]Raw data'!$B:$Z,4,FALSE)</f>
        <v>YSM10</v>
      </c>
      <c r="T1189" s="647" t="str">
        <f>VLOOKUP(A1189,'[1]Raw data'!$B:$Z,8,FALSE)</f>
        <v>L-&gt;R</v>
      </c>
      <c r="U1189" s="647" t="str">
        <f>VLOOKUP(A1189,'[1]Raw data'!$B:$Z,9,FALSE)</f>
        <v>MVC+ATS15</v>
      </c>
      <c r="V1189" s="567" t="str">
        <f t="shared" si="258"/>
        <v>WRONG</v>
      </c>
      <c r="W1189" s="563" t="str">
        <f>VLOOKUP(A1189,'[1]Raw data'!$B:$AG,32,FALSE)</f>
        <v>DAP SZ</v>
      </c>
      <c r="X1189" s="647">
        <f>VLOOKUP(A1189,'[1]Raw data'!$B:$BA,31,FALSE)</f>
        <v>44540</v>
      </c>
      <c r="Y1189" s="647" t="str">
        <f>VLOOKUP(A1189,'[1]Raw data'!$B:$AS,39,FALSE)</f>
        <v>Yes</v>
      </c>
      <c r="Z1189" s="659"/>
      <c r="AA1189" s="660"/>
      <c r="AB1189" s="661"/>
      <c r="AC1189" s="647" t="s">
        <v>2011</v>
      </c>
      <c r="AD1189" s="575">
        <v>312</v>
      </c>
      <c r="AE1189" s="575">
        <v>10</v>
      </c>
      <c r="AF1189" s="575"/>
      <c r="AG1189" s="575"/>
      <c r="AH1189" s="575"/>
      <c r="AI1189" s="679"/>
      <c r="AJ1189" s="564"/>
      <c r="AK1189" s="564"/>
      <c r="AL1189" s="564"/>
      <c r="AM1189" s="564"/>
      <c r="AN1189" s="614"/>
      <c r="AO1189" s="824" t="str">
        <f t="shared" si="246"/>
        <v>Yes</v>
      </c>
      <c r="AP1189" s="259" t="str">
        <f t="shared" si="247"/>
        <v>SEP 22</v>
      </c>
      <c r="AQ1189" s="542" t="str">
        <f t="shared" si="248"/>
        <v>有定金+有預留客戶</v>
      </c>
      <c r="AR1189" s="259" t="str">
        <f t="shared" si="249"/>
        <v>Shipped_Stock</v>
      </c>
      <c r="AS1189" s="259" t="str">
        <f t="shared" si="250"/>
        <v/>
      </c>
      <c r="AT1189" s="259" t="str">
        <f t="shared" si="251"/>
        <v>魔乐视</v>
      </c>
      <c r="AU1189" s="259" t="str">
        <f t="shared" si="252"/>
        <v>C49SZX20210215MZ</v>
      </c>
      <c r="AV1189" s="259" t="str">
        <f t="shared" si="253"/>
        <v>Jun-02</v>
      </c>
    </row>
    <row r="1190" spans="1:48" hidden="1">
      <c r="A1190" s="599">
        <v>1734</v>
      </c>
      <c r="B1190" s="664" t="s">
        <v>1125</v>
      </c>
      <c r="C1190" s="664" t="s">
        <v>15</v>
      </c>
      <c r="D1190" s="755">
        <v>110896</v>
      </c>
      <c r="E1190" s="562" t="s">
        <v>2135</v>
      </c>
      <c r="F1190" s="563" t="s">
        <v>17</v>
      </c>
      <c r="G1190" s="563" t="s">
        <v>18</v>
      </c>
      <c r="H1190" s="563" t="s">
        <v>34</v>
      </c>
      <c r="I1190" s="564" t="s">
        <v>2292</v>
      </c>
      <c r="J1190" s="564">
        <v>1</v>
      </c>
      <c r="K1190" s="563" t="s">
        <v>1419</v>
      </c>
      <c r="L1190" s="657">
        <v>44714</v>
      </c>
      <c r="M1190" s="665" t="s">
        <v>2283</v>
      </c>
      <c r="N1190" s="647" t="s">
        <v>219</v>
      </c>
      <c r="O1190" s="575">
        <v>2022.5</v>
      </c>
      <c r="P1190" s="665" t="str">
        <f>VLOOKUP(A1190,'[1]Raw data'!$B:$BA,23,FALSE)</f>
        <v>RMB</v>
      </c>
      <c r="Q1190" s="647" t="str">
        <f>VLOOKUP(A1190,'[1]Raw data'!$B:$Z,2,FALSE)</f>
        <v>C49SZX20220102DZ</v>
      </c>
      <c r="R1190" s="647" t="str">
        <f>VLOOKUP(A1190,'[1]Raw data'!$B:$Z,3,FALSE)</f>
        <v>朗特</v>
      </c>
      <c r="S1190" s="647" t="str">
        <f>VLOOKUP(A1190,'[1]Raw data'!$B:$Z,4,FALSE)</f>
        <v>YSM10</v>
      </c>
      <c r="T1190" s="647" t="str">
        <f>VLOOKUP(A1190,'[1]Raw data'!$B:$Z,8,FALSE)</f>
        <v>L-&gt;R</v>
      </c>
      <c r="U1190" s="647" t="str">
        <f>VLOOKUP(A1190,'[1]Raw data'!$B:$Z,9,FALSE)</f>
        <v>MVC+ATS15</v>
      </c>
      <c r="V1190" s="567" t="str">
        <f t="shared" si="258"/>
        <v>WRONG</v>
      </c>
      <c r="W1190" s="563" t="str">
        <f>VLOOKUP(A1190,'[1]Raw data'!$B:$AG,32,FALSE)</f>
        <v>DDP JX</v>
      </c>
      <c r="X1190" s="647">
        <f>VLOOKUP(A1190,'[1]Raw data'!$B:$BA,31,FALSE)</f>
        <v>44834</v>
      </c>
      <c r="Y1190" s="647" t="str">
        <f>VLOOKUP(A1190,'[1]Raw data'!$B:$AS,39,FALSE)</f>
        <v>Yes</v>
      </c>
      <c r="Z1190" s="659"/>
      <c r="AA1190" s="660"/>
      <c r="AB1190" s="661"/>
      <c r="AC1190" s="647" t="s">
        <v>933</v>
      </c>
      <c r="AD1190" s="575">
        <v>312</v>
      </c>
      <c r="AE1190" s="575">
        <v>10</v>
      </c>
      <c r="AF1190" s="575"/>
      <c r="AG1190" s="575"/>
      <c r="AH1190" s="575"/>
      <c r="AI1190" s="679"/>
      <c r="AJ1190" s="564"/>
      <c r="AK1190" s="564"/>
      <c r="AL1190" s="564"/>
      <c r="AM1190" s="564"/>
      <c r="AN1190" s="614"/>
      <c r="AO1190" s="824" t="str">
        <f t="shared" si="246"/>
        <v>Yes</v>
      </c>
      <c r="AP1190" s="259" t="str">
        <f t="shared" si="247"/>
        <v>SEP 22</v>
      </c>
      <c r="AQ1190" s="542" t="str">
        <f t="shared" si="248"/>
        <v>有定金+有預留客戶</v>
      </c>
      <c r="AR1190" s="259" t="str">
        <f t="shared" si="249"/>
        <v>Shipped_Stock</v>
      </c>
      <c r="AS1190" s="259" t="str">
        <f t="shared" si="250"/>
        <v/>
      </c>
      <c r="AT1190" s="259" t="str">
        <f t="shared" si="251"/>
        <v>朗特</v>
      </c>
      <c r="AU1190" s="259" t="str">
        <f t="shared" si="252"/>
        <v>C49SZX20220102DZ</v>
      </c>
      <c r="AV1190" s="259" t="str">
        <f t="shared" si="253"/>
        <v>Jun-02</v>
      </c>
    </row>
    <row r="1191" spans="1:48" hidden="1">
      <c r="A1191" s="762" t="s">
        <v>2293</v>
      </c>
      <c r="B1191" s="664" t="s">
        <v>1125</v>
      </c>
      <c r="C1191" s="664" t="s">
        <v>281</v>
      </c>
      <c r="D1191" s="623">
        <v>110863</v>
      </c>
      <c r="E1191" s="756" t="s">
        <v>2294</v>
      </c>
      <c r="F1191" s="647" t="s">
        <v>58</v>
      </c>
      <c r="G1191" s="647" t="s">
        <v>24</v>
      </c>
      <c r="H1191" s="647" t="s">
        <v>159</v>
      </c>
      <c r="I1191" s="575" t="s">
        <v>2295</v>
      </c>
      <c r="J1191" s="575">
        <v>1</v>
      </c>
      <c r="K1191" s="563" t="s">
        <v>1419</v>
      </c>
      <c r="L1191" s="657">
        <v>44714</v>
      </c>
      <c r="M1191" s="665" t="s">
        <v>2296</v>
      </c>
      <c r="N1191" s="647" t="s">
        <v>217</v>
      </c>
      <c r="O1191" s="575">
        <v>2022.5</v>
      </c>
      <c r="P1191" s="665" t="s">
        <v>1246</v>
      </c>
      <c r="Q1191" s="647" t="s">
        <v>2297</v>
      </c>
      <c r="R1191" s="781" t="s">
        <v>2298</v>
      </c>
      <c r="S1191" s="647" t="s">
        <v>58</v>
      </c>
      <c r="T1191" s="647" t="s">
        <v>24</v>
      </c>
      <c r="U1191" s="647" t="s">
        <v>159</v>
      </c>
      <c r="V1191" s="567" t="str">
        <f t="shared" ref="V1191" si="259">IF(G1191&amp;H1191=T1191&amp;U1191,"OK","WRONG")</f>
        <v>OK</v>
      </c>
      <c r="W1191" s="563" t="e">
        <f>VLOOKUP(A1191,'[1]Raw data'!$B:$AG,32,FALSE)</f>
        <v>#N/A</v>
      </c>
      <c r="X1191" s="647" t="e">
        <f>VLOOKUP(A1191,'[1]Raw data'!$B:$BA,31,FALSE)</f>
        <v>#N/A</v>
      </c>
      <c r="Y1191" s="647" t="e">
        <f>VLOOKUP(A1191,'[1]Raw data'!$B:$AS,39,FALSE)</f>
        <v>#N/A</v>
      </c>
      <c r="Z1191" s="666"/>
      <c r="AA1191" s="660"/>
      <c r="AB1191" s="661"/>
      <c r="AC1191" s="647" t="s">
        <v>2299</v>
      </c>
      <c r="AD1191" s="575">
        <v>301</v>
      </c>
      <c r="AE1191" s="575">
        <v>20</v>
      </c>
      <c r="AF1191" s="575"/>
      <c r="AG1191" s="575"/>
      <c r="AH1191" s="575"/>
      <c r="AI1191" s="679"/>
      <c r="AJ1191" s="564"/>
      <c r="AK1191" s="564"/>
      <c r="AL1191" s="564"/>
      <c r="AM1191" s="564"/>
      <c r="AN1191" s="614"/>
      <c r="AO1191" s="824" t="str">
        <f t="shared" si="246"/>
        <v>No</v>
      </c>
      <c r="AP1191" s="259" t="str">
        <f t="shared" si="247"/>
        <v>FEB 23</v>
      </c>
      <c r="AQ1191" s="542" t="str">
        <f t="shared" si="248"/>
        <v>无定金+有預留客戶</v>
      </c>
      <c r="AR1191" s="259" t="str">
        <f t="shared" si="249"/>
        <v>Shipped_Stock</v>
      </c>
      <c r="AS1191" s="259" t="str">
        <f t="shared" si="250"/>
        <v/>
      </c>
      <c r="AT1191" s="259" t="str">
        <f t="shared" si="251"/>
        <v>四川乃迁科技有限公司 LogBook.xlsx]Raw data'!$B:$Z,3,FALSE)</v>
      </c>
      <c r="AU1191" s="259" t="str">
        <f t="shared" si="252"/>
        <v>C49CTUSHA20221203/FZM</v>
      </c>
      <c r="AV1191" s="259" t="str">
        <f t="shared" si="253"/>
        <v>Jun-02</v>
      </c>
    </row>
    <row r="1192" spans="1:48" hidden="1">
      <c r="A1192" s="599">
        <v>1343</v>
      </c>
      <c r="B1192" s="664" t="s">
        <v>1125</v>
      </c>
      <c r="C1192" s="664" t="s">
        <v>281</v>
      </c>
      <c r="D1192" s="625">
        <v>110865</v>
      </c>
      <c r="E1192" s="646" t="s">
        <v>2300</v>
      </c>
      <c r="F1192" s="647" t="s">
        <v>58</v>
      </c>
      <c r="G1192" s="647" t="s">
        <v>24</v>
      </c>
      <c r="H1192" s="647" t="s">
        <v>26</v>
      </c>
      <c r="I1192" s="575" t="s">
        <v>2301</v>
      </c>
      <c r="J1192" s="575">
        <v>1</v>
      </c>
      <c r="K1192" s="647" t="s">
        <v>1419</v>
      </c>
      <c r="L1192" s="657">
        <v>44714</v>
      </c>
      <c r="M1192" s="665" t="s">
        <v>2302</v>
      </c>
      <c r="N1192" s="647" t="s">
        <v>2231</v>
      </c>
      <c r="O1192" s="575">
        <v>2022.5</v>
      </c>
      <c r="P1192" s="665" t="str">
        <f>VLOOKUP(A1192,'[1]Raw data'!$B:$BA,23,FALSE)</f>
        <v>JPY</v>
      </c>
      <c r="Q1192" s="647" t="str">
        <f>VLOOKUP(A1192,'[1]Raw data'!$B:$Z,2,FALSE)</f>
        <v>C49SZX20210118R1JY</v>
      </c>
      <c r="R1192" s="647" t="str">
        <f>VLOOKUP(A1192,'[1]Raw data'!$B:$Z,3,FALSE)</f>
        <v>精德鸿</v>
      </c>
      <c r="S1192" s="647" t="str">
        <f>VLOOKUP(A1192,'[1]Raw data'!$B:$Z,4,FALSE)</f>
        <v>YSM20R-2</v>
      </c>
      <c r="T1192" s="647" t="str">
        <f>VLOOKUP(A1192,'[1]Raw data'!$B:$Z,8,FALSE)</f>
        <v>L-&gt;R</v>
      </c>
      <c r="U1192" s="647" t="str">
        <f>VLOOKUP(A1192,'[1]Raw data'!$B:$Z,9,FALSE)</f>
        <v>No</v>
      </c>
      <c r="V1192" s="567" t="str">
        <f t="shared" ref="V1192" si="260">IF(G1192&amp;H1192=T1192&amp;U1192,"OK","WRONG")</f>
        <v>OK</v>
      </c>
      <c r="W1192" s="563" t="str">
        <f>VLOOKUP(A1192,'[1]Raw data'!$B:$AG,32,FALSE)</f>
        <v>DAP SZ</v>
      </c>
      <c r="X1192" s="647">
        <f>VLOOKUP(A1192,'[1]Raw data'!$B:$BA,31,FALSE)</f>
        <v>44306</v>
      </c>
      <c r="Y1192" s="647" t="str">
        <f>VLOOKUP(A1192,'[1]Raw data'!$B:$AS,39,FALSE)</f>
        <v>Yes</v>
      </c>
      <c r="Z1192" s="659"/>
      <c r="AA1192" s="660"/>
      <c r="AB1192" s="661"/>
      <c r="AC1192" s="647" t="s">
        <v>1389</v>
      </c>
      <c r="AD1192" s="575">
        <v>301</v>
      </c>
      <c r="AE1192" s="575">
        <v>20</v>
      </c>
      <c r="AF1192" s="575"/>
      <c r="AG1192" s="575"/>
      <c r="AH1192" s="575"/>
      <c r="AI1192" s="679"/>
      <c r="AJ1192" s="564"/>
      <c r="AK1192" s="564"/>
      <c r="AL1192" s="564"/>
      <c r="AM1192" s="564"/>
      <c r="AN1192" s="614"/>
      <c r="AO1192" s="824" t="str">
        <f t="shared" si="246"/>
        <v>Yes</v>
      </c>
      <c r="AP1192" s="259" t="str">
        <f t="shared" si="247"/>
        <v>JUL 22</v>
      </c>
      <c r="AQ1192" s="542" t="str">
        <f t="shared" si="248"/>
        <v>有定金+有預留客戶</v>
      </c>
      <c r="AR1192" s="259" t="str">
        <f t="shared" si="249"/>
        <v>Shipped_Stock</v>
      </c>
      <c r="AS1192" s="259" t="str">
        <f t="shared" si="250"/>
        <v/>
      </c>
      <c r="AT1192" s="259" t="str">
        <f t="shared" si="251"/>
        <v>精德鸿</v>
      </c>
      <c r="AU1192" s="259" t="str">
        <f t="shared" si="252"/>
        <v>C49SZX20210118R1JY</v>
      </c>
      <c r="AV1192" s="259" t="str">
        <f t="shared" si="253"/>
        <v>Jun-02</v>
      </c>
    </row>
    <row r="1193" spans="1:48" ht="13.5" hidden="1" thickBot="1">
      <c r="A1193" s="559">
        <v>1643</v>
      </c>
      <c r="B1193" s="664" t="s">
        <v>1125</v>
      </c>
      <c r="C1193" s="664" t="s">
        <v>281</v>
      </c>
      <c r="D1193" s="624">
        <v>110868</v>
      </c>
      <c r="E1193" s="646" t="s">
        <v>2303</v>
      </c>
      <c r="F1193" s="647" t="s">
        <v>58</v>
      </c>
      <c r="G1193" s="647" t="s">
        <v>24</v>
      </c>
      <c r="H1193" s="647" t="s">
        <v>26</v>
      </c>
      <c r="I1193" s="575" t="s">
        <v>2304</v>
      </c>
      <c r="J1193" s="575">
        <v>1</v>
      </c>
      <c r="K1193" s="647" t="s">
        <v>85</v>
      </c>
      <c r="L1193" s="657">
        <v>44714</v>
      </c>
      <c r="M1193" s="665" t="s">
        <v>2305</v>
      </c>
      <c r="N1193" s="647" t="s">
        <v>1982</v>
      </c>
      <c r="O1193" s="575">
        <v>2022.5</v>
      </c>
      <c r="P1193" s="665" t="str">
        <f>VLOOKUP(A1193,'[1]Raw data'!$B:$BA,23,FALSE)</f>
        <v>JPY</v>
      </c>
      <c r="Q1193" s="647" t="str">
        <f>VLOOKUP(A1193,'[1]Raw data'!$B:$Z,2,FALSE)</f>
        <v>C49SZX20220046JL</v>
      </c>
      <c r="R1193" s="647" t="str">
        <f>VLOOKUP(A1193,'[1]Raw data'!$B:$Z,3,FALSE)</f>
        <v>快宇</v>
      </c>
      <c r="S1193" s="647" t="str">
        <f>VLOOKUP(A1193,'[1]Raw data'!$B:$Z,4,FALSE)</f>
        <v>YSM20R-2</v>
      </c>
      <c r="T1193" s="647" t="str">
        <f>VLOOKUP(A1193,'[1]Raw data'!$B:$Z,8,FALSE)</f>
        <v>L-&gt;R</v>
      </c>
      <c r="U1193" s="647" t="str">
        <f>VLOOKUP(A1193,'[1]Raw data'!$B:$Z,9,FALSE)</f>
        <v>No</v>
      </c>
      <c r="V1193" s="567" t="str">
        <f t="shared" ref="V1193" si="261">IF(G1193&amp;H1193=T1193&amp;U1193,"OK","WRONG")</f>
        <v>OK</v>
      </c>
      <c r="W1193" s="563" t="str">
        <f>VLOOKUP(A1193,'[1]Raw data'!$B:$AG,32,FALSE)</f>
        <v>DAP SZ</v>
      </c>
      <c r="X1193" s="647">
        <f>VLOOKUP(A1193,'[1]Raw data'!$B:$BA,31,FALSE)</f>
        <v>44669</v>
      </c>
      <c r="Y1193" s="647" t="str">
        <f>VLOOKUP(A1193,'[1]Raw data'!$B:$AS,39,FALSE)</f>
        <v>Yes</v>
      </c>
      <c r="Z1193" s="659"/>
      <c r="AA1193" s="660"/>
      <c r="AB1193" s="661"/>
      <c r="AC1193" s="647" t="s">
        <v>2306</v>
      </c>
      <c r="AD1193" s="662">
        <v>301</v>
      </c>
      <c r="AE1193" s="662">
        <v>20</v>
      </c>
      <c r="AF1193" s="662"/>
      <c r="AG1193" s="662"/>
      <c r="AH1193" s="662"/>
      <c r="AI1193" s="663"/>
      <c r="AN1193" s="542"/>
      <c r="AO1193" s="824" t="str">
        <f t="shared" si="246"/>
        <v>Yes</v>
      </c>
      <c r="AP1193" s="259" t="str">
        <f t="shared" si="247"/>
        <v>JUN 22</v>
      </c>
      <c r="AQ1193" s="542" t="str">
        <f t="shared" si="248"/>
        <v>有定金+有預留客戶</v>
      </c>
      <c r="AR1193" s="259" t="str">
        <f t="shared" si="249"/>
        <v>Shipped_Stock</v>
      </c>
      <c r="AS1193" s="259" t="str">
        <f t="shared" si="250"/>
        <v/>
      </c>
      <c r="AT1193" s="259" t="str">
        <f t="shared" si="251"/>
        <v>快宇</v>
      </c>
      <c r="AU1193" s="259" t="str">
        <f t="shared" si="252"/>
        <v>C49SZX20220046JL</v>
      </c>
      <c r="AV1193" s="259" t="str">
        <f t="shared" si="253"/>
        <v>Jun-02</v>
      </c>
    </row>
    <row r="1194" spans="1:48" ht="16.5" hidden="1">
      <c r="A1194" s="559">
        <v>1604</v>
      </c>
      <c r="B1194" s="664" t="s">
        <v>1125</v>
      </c>
      <c r="C1194" s="563" t="s">
        <v>4013</v>
      </c>
      <c r="D1194" s="761">
        <v>110877</v>
      </c>
      <c r="E1194" s="744" t="s">
        <v>2258</v>
      </c>
      <c r="F1194" s="647" t="s">
        <v>551</v>
      </c>
      <c r="G1194" s="647" t="s">
        <v>24</v>
      </c>
      <c r="H1194" s="647" t="s">
        <v>26</v>
      </c>
      <c r="I1194" s="575" t="s">
        <v>2307</v>
      </c>
      <c r="J1194" s="575">
        <v>1</v>
      </c>
      <c r="K1194" s="647" t="s">
        <v>1572</v>
      </c>
      <c r="L1194" s="657">
        <v>44720</v>
      </c>
      <c r="M1194" s="665" t="s">
        <v>906</v>
      </c>
      <c r="N1194" s="647" t="s">
        <v>1982</v>
      </c>
      <c r="O1194" s="575">
        <v>2022.5</v>
      </c>
      <c r="P1194" s="665" t="str">
        <f>VLOOKUP(A1194,'[1]Raw data'!$B:$BA,23,FALSE)</f>
        <v>JPY</v>
      </c>
      <c r="Q1194" s="647" t="str">
        <f>VLOOKUP(A1194,'[1]Raw data'!$B:$Z,2,FALSE)</f>
        <v>C49SZX20220028R1SX</v>
      </c>
      <c r="R1194" s="647" t="str">
        <f>VLOOKUP(A1194,'[1]Raw data'!$B:$Z,3,FALSE)</f>
        <v>通达科信</v>
      </c>
      <c r="S1194" s="647" t="str">
        <f>VLOOKUP(A1194,'[1]Raw data'!$B:$Z,4,FALSE)</f>
        <v>YCP10</v>
      </c>
      <c r="T1194" s="647" t="str">
        <f>VLOOKUP(A1194,'[1]Raw data'!$B:$Z,8,FALSE)</f>
        <v>L-&gt;R</v>
      </c>
      <c r="U1194" s="647" t="str">
        <f>VLOOKUP(A1194,'[1]Raw data'!$B:$Z,9,FALSE)</f>
        <v>No</v>
      </c>
      <c r="V1194" s="567" t="str">
        <f>IF(G1194&amp;H1194=T1194&amp;U1194,"OK","WRONG")</f>
        <v>OK</v>
      </c>
      <c r="W1194" s="563" t="str">
        <f>VLOOKUP(A1194,'[1]Raw data'!$B:$AG,32,FALSE)</f>
        <v>CIF HK</v>
      </c>
      <c r="X1194" s="647">
        <f>VLOOKUP(A1194,'[1]Raw data'!$B:$BA,31,FALSE)</f>
        <v>44627</v>
      </c>
      <c r="Y1194" s="647" t="str">
        <f>VLOOKUP(A1194,'[1]Raw data'!$B:$AS,39,FALSE)</f>
        <v>Yes</v>
      </c>
      <c r="Z1194" s="659"/>
      <c r="AA1194" s="660"/>
      <c r="AB1194" s="661"/>
      <c r="AC1194" s="647" t="s">
        <v>1951</v>
      </c>
      <c r="AD1194" s="662"/>
      <c r="AE1194" s="662"/>
      <c r="AF1194" s="662"/>
      <c r="AG1194" s="662"/>
      <c r="AH1194" s="662"/>
      <c r="AI1194" s="663"/>
      <c r="AN1194" s="542"/>
      <c r="AO1194" s="824" t="str">
        <f t="shared" si="246"/>
        <v>Yes</v>
      </c>
      <c r="AP1194" s="259" t="str">
        <f t="shared" si="247"/>
        <v>JUN 22</v>
      </c>
      <c r="AQ1194" s="542" t="str">
        <f t="shared" si="248"/>
        <v>有定金+有預留客戶</v>
      </c>
      <c r="AR1194" s="259" t="str">
        <f t="shared" si="249"/>
        <v>Shipped_Stock</v>
      </c>
      <c r="AS1194" s="259" t="str">
        <f t="shared" si="250"/>
        <v/>
      </c>
      <c r="AT1194" s="259" t="str">
        <f t="shared" si="251"/>
        <v>通达科信</v>
      </c>
      <c r="AU1194" s="259" t="str">
        <f t="shared" si="252"/>
        <v>C49SZX20220028R1SX</v>
      </c>
      <c r="AV1194" s="259" t="str">
        <f t="shared" si="253"/>
        <v>Jun-08</v>
      </c>
    </row>
    <row r="1195" spans="1:48" ht="17.25" hidden="1" thickBot="1">
      <c r="A1195" s="599">
        <v>1005</v>
      </c>
      <c r="B1195" s="664" t="s">
        <v>1125</v>
      </c>
      <c r="C1195" s="664" t="s">
        <v>281</v>
      </c>
      <c r="D1195" s="624">
        <v>110910</v>
      </c>
      <c r="E1195" s="562" t="s">
        <v>886</v>
      </c>
      <c r="F1195" s="647" t="s">
        <v>17</v>
      </c>
      <c r="G1195" s="647" t="s">
        <v>18</v>
      </c>
      <c r="H1195" s="647" t="s">
        <v>26</v>
      </c>
      <c r="I1195" s="575" t="s">
        <v>2308</v>
      </c>
      <c r="J1195" s="575">
        <v>1</v>
      </c>
      <c r="K1195" s="647" t="s">
        <v>1572</v>
      </c>
      <c r="L1195" s="657">
        <v>44720</v>
      </c>
      <c r="M1195" s="665" t="s">
        <v>2309</v>
      </c>
      <c r="N1195" s="647" t="s">
        <v>2231</v>
      </c>
      <c r="O1195" s="575">
        <v>2022.5</v>
      </c>
      <c r="P1195" s="665" t="str">
        <f>VLOOKUP(A1195,'[1]Raw data'!$B:$BA,23,FALSE)</f>
        <v>JPY</v>
      </c>
      <c r="Q1195" s="647" t="str">
        <f>VLOOKUP(A1195,'[1]Raw data'!$B:$Z,2,FALSE)</f>
        <v>C49SZX20200233JL</v>
      </c>
      <c r="R1195" s="647" t="str">
        <f>VLOOKUP(A1195,'[1]Raw data'!$B:$Z,3,FALSE)</f>
        <v>瑞福联</v>
      </c>
      <c r="S1195" s="647" t="str">
        <f>VLOOKUP(A1195,'[1]Raw data'!$B:$Z,4,FALSE)</f>
        <v>YSM10</v>
      </c>
      <c r="T1195" s="647" t="str">
        <f>VLOOKUP(A1195,'[1]Raw data'!$B:$Z,8,FALSE)</f>
        <v>L-&gt;R</v>
      </c>
      <c r="U1195" s="647" t="str">
        <f>VLOOKUP(A1195,'[1]Raw data'!$B:$Z,9,FALSE)</f>
        <v>MVC</v>
      </c>
      <c r="V1195" s="567" t="str">
        <f>IF(G1195&amp;H1195=T1195&amp;U1195,"OK","WRONG")</f>
        <v>WRONG</v>
      </c>
      <c r="W1195" s="563" t="str">
        <f>VLOOKUP(A1195,'[1]Raw data'!$B:$AG,32,FALSE)</f>
        <v>CIF HK</v>
      </c>
      <c r="X1195" s="647">
        <f>VLOOKUP(A1195,'[1]Raw data'!$B:$BA,31,FALSE)</f>
        <v>44175</v>
      </c>
      <c r="Y1195" s="647" t="str">
        <f>VLOOKUP(A1195,'[1]Raw data'!$B:$AS,39,FALSE)</f>
        <v>Yes</v>
      </c>
      <c r="Z1195" s="659"/>
      <c r="AA1195" s="660"/>
      <c r="AB1195" s="661"/>
      <c r="AC1195" s="647" t="s">
        <v>2079</v>
      </c>
      <c r="AD1195" s="575">
        <v>301</v>
      </c>
      <c r="AE1195" s="575">
        <v>10</v>
      </c>
      <c r="AF1195" s="575"/>
      <c r="AG1195" s="575"/>
      <c r="AH1195" s="575"/>
      <c r="AI1195" s="679"/>
      <c r="AJ1195" s="564"/>
      <c r="AK1195" s="564"/>
      <c r="AL1195" s="564"/>
      <c r="AM1195" s="564"/>
      <c r="AN1195" s="614"/>
      <c r="AO1195" s="824" t="str">
        <f t="shared" si="246"/>
        <v>Yes</v>
      </c>
      <c r="AP1195" s="259" t="str">
        <f t="shared" si="247"/>
        <v>JUL 22</v>
      </c>
      <c r="AQ1195" s="542" t="str">
        <f t="shared" si="248"/>
        <v>有定金+有預留客戶</v>
      </c>
      <c r="AR1195" s="259" t="str">
        <f t="shared" si="249"/>
        <v>Shipped_Stock</v>
      </c>
      <c r="AS1195" s="259" t="str">
        <f t="shared" si="250"/>
        <v/>
      </c>
      <c r="AT1195" s="259" t="str">
        <f t="shared" si="251"/>
        <v>瑞福联</v>
      </c>
      <c r="AU1195" s="259" t="str">
        <f t="shared" si="252"/>
        <v>C49SZX20200233JL</v>
      </c>
      <c r="AV1195" s="259" t="str">
        <f t="shared" si="253"/>
        <v>Jun-08</v>
      </c>
    </row>
    <row r="1196" spans="1:48" ht="22.5" hidden="1">
      <c r="A1196" s="599">
        <v>1697</v>
      </c>
      <c r="B1196" s="664" t="s">
        <v>1125</v>
      </c>
      <c r="C1196" s="664" t="s">
        <v>281</v>
      </c>
      <c r="D1196" s="761">
        <v>110871</v>
      </c>
      <c r="E1196" s="756" t="s">
        <v>2310</v>
      </c>
      <c r="F1196" s="647" t="s">
        <v>17</v>
      </c>
      <c r="G1196" s="647" t="s">
        <v>18</v>
      </c>
      <c r="H1196" s="647" t="s">
        <v>102</v>
      </c>
      <c r="I1196" s="575" t="s">
        <v>2311</v>
      </c>
      <c r="J1196" s="575">
        <v>1</v>
      </c>
      <c r="K1196" s="647" t="s">
        <v>1419</v>
      </c>
      <c r="L1196" s="657">
        <v>44724</v>
      </c>
      <c r="M1196" s="665" t="s">
        <v>2312</v>
      </c>
      <c r="N1196" s="647" t="s">
        <v>2231</v>
      </c>
      <c r="O1196" s="575">
        <v>2022.5</v>
      </c>
      <c r="P1196" s="665" t="str">
        <f>VLOOKUP(A1196,'[1]Raw data'!$B:$BA,23,FALSE)</f>
        <v>RMB</v>
      </c>
      <c r="Q1196" s="647" t="str">
        <f>VLOOKUP(A1196,'[1]Raw data'!$B:$Z,2,FALSE)</f>
        <v>C49SZX20220053SS</v>
      </c>
      <c r="R1196" s="647" t="str">
        <f>VLOOKUP(A1196,'[1]Raw data'!$B:$Z,3,FALSE)</f>
        <v>阿姆斯特</v>
      </c>
      <c r="S1196" s="647" t="str">
        <f>VLOOKUP(A1196,'[1]Raw data'!$B:$Z,4,FALSE)</f>
        <v>YSM10</v>
      </c>
      <c r="T1196" s="647" t="str">
        <f>VLOOKUP(A1196,'[1]Raw data'!$B:$Z,8,FALSE)</f>
        <v>L-&gt;R</v>
      </c>
      <c r="U1196" s="647" t="str">
        <f>VLOOKUP(A1196,'[1]Raw data'!$B:$Z,9,FALSE)</f>
        <v>MVC</v>
      </c>
      <c r="V1196" s="567" t="str">
        <f t="shared" ref="V1196:V1199" si="262">IF(G1196&amp;H1196=T1196&amp;U1196,"OK","WRONG")</f>
        <v>WRONG</v>
      </c>
      <c r="W1196" s="563" t="str">
        <f>VLOOKUP(A1196,'[1]Raw data'!$B:$AG,32,FALSE)</f>
        <v>DDP DG</v>
      </c>
      <c r="X1196" s="647">
        <f>VLOOKUP(A1196,'[1]Raw data'!$B:$BA,31,FALSE)</f>
        <v>44750</v>
      </c>
      <c r="Y1196" s="647" t="str">
        <f>VLOOKUP(A1196,'[1]Raw data'!$B:$AS,39,FALSE)</f>
        <v>Yes</v>
      </c>
      <c r="Z1196" s="659"/>
      <c r="AA1196" s="660"/>
      <c r="AB1196" s="661"/>
      <c r="AC1196" s="647" t="s">
        <v>2313</v>
      </c>
      <c r="AD1196" s="662">
        <v>301</v>
      </c>
      <c r="AE1196" s="662">
        <v>10</v>
      </c>
      <c r="AF1196" s="662"/>
      <c r="AG1196" s="662"/>
      <c r="AH1196" s="662"/>
      <c r="AI1196" s="663"/>
      <c r="AN1196" s="542"/>
      <c r="AO1196" s="824" t="str">
        <f t="shared" si="246"/>
        <v>Yes</v>
      </c>
      <c r="AP1196" s="259" t="str">
        <f t="shared" si="247"/>
        <v>JUL 22</v>
      </c>
      <c r="AQ1196" s="542" t="str">
        <f t="shared" si="248"/>
        <v>有定金+有預留客戶</v>
      </c>
      <c r="AR1196" s="259" t="str">
        <f t="shared" si="249"/>
        <v>Shipped_Stock</v>
      </c>
      <c r="AS1196" s="259" t="str">
        <f t="shared" si="250"/>
        <v/>
      </c>
      <c r="AT1196" s="259" t="str">
        <f t="shared" si="251"/>
        <v>阿姆斯特</v>
      </c>
      <c r="AU1196" s="259" t="str">
        <f t="shared" si="252"/>
        <v>C49SZX20220053SS</v>
      </c>
      <c r="AV1196" s="259" t="str">
        <f t="shared" si="253"/>
        <v>Jun-12</v>
      </c>
    </row>
    <row r="1197" spans="1:48" ht="13.5" hidden="1" thickBot="1">
      <c r="A1197" s="559">
        <v>1705</v>
      </c>
      <c r="B1197" s="664" t="s">
        <v>1125</v>
      </c>
      <c r="C1197" s="664" t="s">
        <v>281</v>
      </c>
      <c r="D1197" s="624">
        <v>110887</v>
      </c>
      <c r="E1197" s="736" t="s">
        <v>2272</v>
      </c>
      <c r="F1197" s="647" t="s">
        <v>17</v>
      </c>
      <c r="G1197" s="647" t="s">
        <v>18</v>
      </c>
      <c r="H1197" s="647" t="s">
        <v>48</v>
      </c>
      <c r="I1197" s="575" t="s">
        <v>2314</v>
      </c>
      <c r="J1197" s="575">
        <v>1</v>
      </c>
      <c r="K1197" s="647" t="s">
        <v>2315</v>
      </c>
      <c r="L1197" s="657">
        <v>44724</v>
      </c>
      <c r="M1197" s="665" t="s">
        <v>906</v>
      </c>
      <c r="N1197" s="647" t="s">
        <v>221</v>
      </c>
      <c r="O1197" s="575">
        <v>2022.5</v>
      </c>
      <c r="P1197" s="665" t="str">
        <f>VLOOKUP(A1197,'[1]Raw data'!$B:$BA,23,FALSE)</f>
        <v>JPY</v>
      </c>
      <c r="Q1197" s="647" t="str">
        <f>VLOOKUP(A1197,'[1]Raw data'!$B:$Z,2,FALSE)</f>
        <v>C49SZX20220073DZ</v>
      </c>
      <c r="R1197" s="647" t="str">
        <f>VLOOKUP(A1197,'[1]Raw data'!$B:$Z,3,FALSE)</f>
        <v>朗特</v>
      </c>
      <c r="S1197" s="647" t="str">
        <f>VLOOKUP(A1197,'[1]Raw data'!$B:$Z,4,FALSE)</f>
        <v>YSM10</v>
      </c>
      <c r="T1197" s="647" t="str">
        <f>VLOOKUP(A1197,'[1]Raw data'!$B:$Z,8,FALSE)</f>
        <v>L-&gt;R</v>
      </c>
      <c r="U1197" s="647" t="str">
        <f>VLOOKUP(A1197,'[1]Raw data'!$B:$Z,9,FALSE)</f>
        <v>MVC+ATS15</v>
      </c>
      <c r="V1197" s="567" t="str">
        <f t="shared" ref="V1197" si="263">IF(G1197&amp;H1197=T1197&amp;U1197,"OK","WRONG")</f>
        <v>WRONG</v>
      </c>
      <c r="W1197" s="563" t="str">
        <f>VLOOKUP(A1197,'[1]Raw data'!$B:$AG,32,FALSE)</f>
        <v>CIF HK</v>
      </c>
      <c r="X1197" s="647">
        <f>VLOOKUP(A1197,'[1]Raw data'!$B:$BA,31,FALSE)</f>
        <v>44754</v>
      </c>
      <c r="Y1197" s="647" t="str">
        <f>VLOOKUP(A1197,'[1]Raw data'!$B:$AS,39,FALSE)</f>
        <v>Yes</v>
      </c>
      <c r="Z1197" s="659"/>
      <c r="AA1197" s="660"/>
      <c r="AB1197" s="661"/>
      <c r="AC1197" s="647" t="s">
        <v>933</v>
      </c>
      <c r="AD1197" s="662">
        <v>301</v>
      </c>
      <c r="AE1197" s="662">
        <v>5</v>
      </c>
      <c r="AF1197" s="662">
        <v>302</v>
      </c>
      <c r="AG1197" s="662">
        <v>5</v>
      </c>
      <c r="AH1197" s="662"/>
      <c r="AI1197" s="663"/>
      <c r="AN1197" s="542"/>
      <c r="AO1197" s="824" t="str">
        <f t="shared" si="246"/>
        <v>Yes</v>
      </c>
      <c r="AP1197" s="259" t="str">
        <f t="shared" si="247"/>
        <v>AUG 22</v>
      </c>
      <c r="AQ1197" s="542" t="str">
        <f t="shared" si="248"/>
        <v>有定金+有預留客戶</v>
      </c>
      <c r="AR1197" s="259" t="str">
        <f t="shared" si="249"/>
        <v>Shipped_Stock</v>
      </c>
      <c r="AS1197" s="259" t="str">
        <f t="shared" si="250"/>
        <v/>
      </c>
      <c r="AT1197" s="259" t="str">
        <f t="shared" si="251"/>
        <v>朗特</v>
      </c>
      <c r="AU1197" s="259" t="str">
        <f t="shared" si="252"/>
        <v>C49SZX20220073DZ</v>
      </c>
      <c r="AV1197" s="259" t="str">
        <f t="shared" si="253"/>
        <v>Jun-12</v>
      </c>
    </row>
    <row r="1198" spans="1:48" ht="22.5" hidden="1">
      <c r="A1198" s="599">
        <v>1615</v>
      </c>
      <c r="B1198" s="664" t="s">
        <v>1125</v>
      </c>
      <c r="C1198" s="664" t="s">
        <v>281</v>
      </c>
      <c r="D1198" s="761" t="s">
        <v>2316</v>
      </c>
      <c r="E1198" s="756" t="s">
        <v>2317</v>
      </c>
      <c r="F1198" s="647" t="s">
        <v>17</v>
      </c>
      <c r="G1198" s="647" t="s">
        <v>18</v>
      </c>
      <c r="H1198" s="647" t="s">
        <v>102</v>
      </c>
      <c r="I1198" s="575" t="s">
        <v>2318</v>
      </c>
      <c r="J1198" s="575">
        <v>1</v>
      </c>
      <c r="K1198" s="647" t="s">
        <v>85</v>
      </c>
      <c r="L1198" s="657">
        <v>44725</v>
      </c>
      <c r="M1198" s="665" t="s">
        <v>2319</v>
      </c>
      <c r="N1198" s="647" t="s">
        <v>221</v>
      </c>
      <c r="O1198" s="575">
        <v>2022.5</v>
      </c>
      <c r="P1198" s="665" t="str">
        <f>VLOOKUP(A1198,'[1]Raw data'!$B:$BA,23,FALSE)</f>
        <v>JPY</v>
      </c>
      <c r="Q1198" s="647" t="str">
        <f>VLOOKUP(A1198,'[1]Raw data'!$B:$Z,2,FALSE)</f>
        <v>C49SZX20220033JL</v>
      </c>
      <c r="R1198" s="647" t="str">
        <f>VLOOKUP(A1198,'[1]Raw data'!$B:$Z,3,FALSE)</f>
        <v>拓普艾</v>
      </c>
      <c r="S1198" s="647" t="str">
        <f>VLOOKUP(A1198,'[1]Raw data'!$B:$Z,4,FALSE)</f>
        <v>YSM10</v>
      </c>
      <c r="T1198" s="647" t="str">
        <f>VLOOKUP(A1198,'[1]Raw data'!$B:$Z,8,FALSE)</f>
        <v>L-&gt;R</v>
      </c>
      <c r="U1198" s="647" t="str">
        <f>VLOOKUP(A1198,'[1]Raw data'!$B:$Z,9,FALSE)</f>
        <v>MVC</v>
      </c>
      <c r="V1198" s="567" t="str">
        <f t="shared" si="262"/>
        <v>WRONG</v>
      </c>
      <c r="W1198" s="563" t="str">
        <f>VLOOKUP(A1198,'[1]Raw data'!$B:$AG,32,FALSE)</f>
        <v>CIF HK</v>
      </c>
      <c r="X1198" s="647">
        <f>VLOOKUP(A1198,'[1]Raw data'!$B:$BA,31,FALSE)</f>
        <v>44630</v>
      </c>
      <c r="Y1198" s="647" t="str">
        <f>VLOOKUP(A1198,'[1]Raw data'!$B:$AS,39,FALSE)</f>
        <v>Yes</v>
      </c>
      <c r="Z1198" s="659"/>
      <c r="AA1198" s="660"/>
      <c r="AB1198" s="661"/>
      <c r="AC1198" s="647" t="s">
        <v>2288</v>
      </c>
      <c r="AD1198" s="575">
        <v>302</v>
      </c>
      <c r="AE1198" s="575">
        <v>10</v>
      </c>
      <c r="AF1198" s="575"/>
      <c r="AG1198" s="575"/>
      <c r="AH1198" s="575"/>
      <c r="AI1198" s="679"/>
      <c r="AJ1198" s="564"/>
      <c r="AK1198" s="564"/>
      <c r="AL1198" s="564"/>
      <c r="AM1198" s="564"/>
      <c r="AN1198" s="614"/>
      <c r="AO1198" s="824" t="str">
        <f t="shared" si="246"/>
        <v>Yes</v>
      </c>
      <c r="AP1198" s="259" t="str">
        <f t="shared" si="247"/>
        <v>AUG 22</v>
      </c>
      <c r="AQ1198" s="542" t="str">
        <f t="shared" si="248"/>
        <v>有定金+有預留客戶</v>
      </c>
      <c r="AR1198" s="259" t="str">
        <f t="shared" si="249"/>
        <v>Shipped_Stock</v>
      </c>
      <c r="AS1198" s="259" t="str">
        <f t="shared" si="250"/>
        <v/>
      </c>
      <c r="AT1198" s="259" t="str">
        <f t="shared" si="251"/>
        <v>拓普艾</v>
      </c>
      <c r="AU1198" s="259" t="str">
        <f t="shared" si="252"/>
        <v>C49SZX20220033JL</v>
      </c>
      <c r="AV1198" s="259" t="str">
        <f t="shared" si="253"/>
        <v>Jun-13</v>
      </c>
    </row>
    <row r="1199" spans="1:48" ht="22.5" hidden="1">
      <c r="A1199" s="599">
        <v>1616</v>
      </c>
      <c r="B1199" s="664" t="s">
        <v>1125</v>
      </c>
      <c r="C1199" s="664" t="s">
        <v>281</v>
      </c>
      <c r="D1199" s="755">
        <v>110875</v>
      </c>
      <c r="E1199" s="756" t="s">
        <v>2317</v>
      </c>
      <c r="F1199" s="647" t="s">
        <v>17</v>
      </c>
      <c r="G1199" s="647" t="s">
        <v>18</v>
      </c>
      <c r="H1199" s="647" t="s">
        <v>102</v>
      </c>
      <c r="I1199" s="575" t="s">
        <v>2320</v>
      </c>
      <c r="J1199" s="575">
        <v>1</v>
      </c>
      <c r="K1199" s="647" t="s">
        <v>85</v>
      </c>
      <c r="L1199" s="657">
        <v>44725</v>
      </c>
      <c r="M1199" s="665" t="s">
        <v>2319</v>
      </c>
      <c r="N1199" s="647" t="s">
        <v>221</v>
      </c>
      <c r="O1199" s="575">
        <v>2022.5</v>
      </c>
      <c r="P1199" s="665" t="str">
        <f>VLOOKUP(A1199,'[1]Raw data'!$B:$BA,23,FALSE)</f>
        <v>JPY</v>
      </c>
      <c r="Q1199" s="647" t="str">
        <f>VLOOKUP(A1199,'[1]Raw data'!$B:$Z,2,FALSE)</f>
        <v>C49SZX20220033JL</v>
      </c>
      <c r="R1199" s="647" t="str">
        <f>VLOOKUP(A1199,'[1]Raw data'!$B:$Z,3,FALSE)</f>
        <v>拓普艾</v>
      </c>
      <c r="S1199" s="647" t="str">
        <f>VLOOKUP(A1199,'[1]Raw data'!$B:$Z,4,FALSE)</f>
        <v>YSM10</v>
      </c>
      <c r="T1199" s="647" t="str">
        <f>VLOOKUP(A1199,'[1]Raw data'!$B:$Z,8,FALSE)</f>
        <v>L-&gt;R</v>
      </c>
      <c r="U1199" s="647" t="str">
        <f>VLOOKUP(A1199,'[1]Raw data'!$B:$Z,9,FALSE)</f>
        <v>MVC</v>
      </c>
      <c r="V1199" s="567" t="str">
        <f t="shared" si="262"/>
        <v>WRONG</v>
      </c>
      <c r="W1199" s="563" t="str">
        <f>VLOOKUP(A1199,'[1]Raw data'!$B:$AG,32,FALSE)</f>
        <v>CIF HK</v>
      </c>
      <c r="X1199" s="647">
        <f>VLOOKUP(A1199,'[1]Raw data'!$B:$BA,31,FALSE)</f>
        <v>44630</v>
      </c>
      <c r="Y1199" s="647" t="str">
        <f>VLOOKUP(A1199,'[1]Raw data'!$B:$AS,39,FALSE)</f>
        <v>Yes</v>
      </c>
      <c r="Z1199" s="659"/>
      <c r="AA1199" s="660"/>
      <c r="AB1199" s="661"/>
      <c r="AC1199" s="647" t="s">
        <v>2288</v>
      </c>
      <c r="AD1199" s="575">
        <v>302</v>
      </c>
      <c r="AE1199" s="575">
        <v>10</v>
      </c>
      <c r="AF1199" s="575"/>
      <c r="AG1199" s="575"/>
      <c r="AH1199" s="575"/>
      <c r="AI1199" s="679"/>
      <c r="AJ1199" s="564"/>
      <c r="AK1199" s="564"/>
      <c r="AL1199" s="564"/>
      <c r="AM1199" s="564"/>
      <c r="AN1199" s="614"/>
      <c r="AO1199" s="824" t="str">
        <f t="shared" si="246"/>
        <v>Yes</v>
      </c>
      <c r="AP1199" s="259" t="str">
        <f t="shared" si="247"/>
        <v>AUG 22</v>
      </c>
      <c r="AQ1199" s="542" t="str">
        <f t="shared" si="248"/>
        <v>有定金+有預留客戶</v>
      </c>
      <c r="AR1199" s="259" t="str">
        <f t="shared" si="249"/>
        <v>Shipped_Stock</v>
      </c>
      <c r="AS1199" s="259" t="str">
        <f t="shared" si="250"/>
        <v/>
      </c>
      <c r="AT1199" s="259" t="str">
        <f t="shared" si="251"/>
        <v>拓普艾</v>
      </c>
      <c r="AU1199" s="259" t="str">
        <f t="shared" si="252"/>
        <v>C49SZX20220033JL</v>
      </c>
      <c r="AV1199" s="259" t="str">
        <f t="shared" si="253"/>
        <v>Jun-13</v>
      </c>
    </row>
    <row r="1200" spans="1:48" ht="22.5" hidden="1">
      <c r="A1200" s="599">
        <v>1617</v>
      </c>
      <c r="B1200" s="664" t="s">
        <v>1125</v>
      </c>
      <c r="C1200" s="664" t="s">
        <v>281</v>
      </c>
      <c r="D1200" s="755">
        <v>110935</v>
      </c>
      <c r="E1200" s="736" t="s">
        <v>2321</v>
      </c>
      <c r="F1200" s="647" t="s">
        <v>17</v>
      </c>
      <c r="G1200" s="647" t="s">
        <v>18</v>
      </c>
      <c r="H1200" s="647" t="s">
        <v>26</v>
      </c>
      <c r="I1200" s="575" t="s">
        <v>2322</v>
      </c>
      <c r="J1200" s="575">
        <v>1</v>
      </c>
      <c r="K1200" s="647" t="s">
        <v>85</v>
      </c>
      <c r="L1200" s="657">
        <v>44725</v>
      </c>
      <c r="M1200" s="665" t="s">
        <v>2319</v>
      </c>
      <c r="N1200" s="647" t="s">
        <v>221</v>
      </c>
      <c r="O1200" s="575">
        <v>2022.5</v>
      </c>
      <c r="P1200" s="665" t="str">
        <f>VLOOKUP(A1200,'[1]Raw data'!$B:$BA,23,FALSE)</f>
        <v>JPY</v>
      </c>
      <c r="Q1200" s="647" t="str">
        <f>VLOOKUP(A1200,'[1]Raw data'!$B:$Z,2,FALSE)</f>
        <v>C49SZX20220033JL</v>
      </c>
      <c r="R1200" s="647" t="str">
        <f>VLOOKUP(A1200,'[1]Raw data'!$B:$Z,3,FALSE)</f>
        <v>拓普艾</v>
      </c>
      <c r="S1200" s="647" t="str">
        <f>VLOOKUP(A1200,'[1]Raw data'!$B:$Z,4,FALSE)</f>
        <v>YSM10</v>
      </c>
      <c r="T1200" s="647" t="str">
        <f>VLOOKUP(A1200,'[1]Raw data'!$B:$Z,8,FALSE)</f>
        <v>L-&gt;R</v>
      </c>
      <c r="U1200" s="647" t="str">
        <f>VLOOKUP(A1200,'[1]Raw data'!$B:$Z,9,FALSE)</f>
        <v>MVC</v>
      </c>
      <c r="V1200" s="567" t="str">
        <f t="shared" ref="V1200:V1208" si="264">IF(G1200&amp;H1200=T1200&amp;U1200,"OK","WRONG")</f>
        <v>WRONG</v>
      </c>
      <c r="W1200" s="563" t="str">
        <f>VLOOKUP(A1200,'[1]Raw data'!$B:$AG,32,FALSE)</f>
        <v>CIF HK</v>
      </c>
      <c r="X1200" s="647">
        <f>VLOOKUP(A1200,'[1]Raw data'!$B:$BA,31,FALSE)</f>
        <v>44630</v>
      </c>
      <c r="Y1200" s="647" t="str">
        <f>VLOOKUP(A1200,'[1]Raw data'!$B:$AS,39,FALSE)</f>
        <v>Yes</v>
      </c>
      <c r="Z1200" s="659"/>
      <c r="AA1200" s="660"/>
      <c r="AB1200" s="661"/>
      <c r="AC1200" s="647" t="s">
        <v>2288</v>
      </c>
      <c r="AD1200" s="575">
        <v>301</v>
      </c>
      <c r="AE1200" s="575">
        <v>10</v>
      </c>
      <c r="AF1200" s="575"/>
      <c r="AG1200" s="575"/>
      <c r="AH1200" s="575"/>
      <c r="AI1200" s="679"/>
      <c r="AJ1200" s="564"/>
      <c r="AK1200" s="564"/>
      <c r="AL1200" s="564"/>
      <c r="AM1200" s="564"/>
      <c r="AN1200" s="614"/>
      <c r="AO1200" s="824" t="str">
        <f t="shared" si="246"/>
        <v>Yes</v>
      </c>
      <c r="AP1200" s="259" t="str">
        <f t="shared" si="247"/>
        <v>AUG 22</v>
      </c>
      <c r="AQ1200" s="542" t="str">
        <f t="shared" si="248"/>
        <v>有定金+有預留客戶</v>
      </c>
      <c r="AR1200" s="259" t="str">
        <f t="shared" si="249"/>
        <v>Shipped_Stock</v>
      </c>
      <c r="AS1200" s="259" t="str">
        <f t="shared" si="250"/>
        <v/>
      </c>
      <c r="AT1200" s="259" t="str">
        <f t="shared" si="251"/>
        <v>拓普艾</v>
      </c>
      <c r="AU1200" s="259" t="str">
        <f t="shared" si="252"/>
        <v>C49SZX20220033JL</v>
      </c>
      <c r="AV1200" s="259" t="str">
        <f t="shared" si="253"/>
        <v>Jun-13</v>
      </c>
    </row>
    <row r="1201" spans="1:48" ht="13.5" hidden="1" thickBot="1">
      <c r="A1201" s="599">
        <v>1680</v>
      </c>
      <c r="B1201" s="664" t="s">
        <v>1125</v>
      </c>
      <c r="C1201" s="664" t="s">
        <v>281</v>
      </c>
      <c r="D1201" s="624">
        <v>110935</v>
      </c>
      <c r="E1201" s="736" t="s">
        <v>2321</v>
      </c>
      <c r="F1201" s="647" t="s">
        <v>17</v>
      </c>
      <c r="G1201" s="647" t="s">
        <v>18</v>
      </c>
      <c r="H1201" s="647" t="s">
        <v>26</v>
      </c>
      <c r="I1201" s="575" t="s">
        <v>2323</v>
      </c>
      <c r="J1201" s="575">
        <v>1</v>
      </c>
      <c r="K1201" s="647" t="s">
        <v>1419</v>
      </c>
      <c r="L1201" s="657">
        <v>44725</v>
      </c>
      <c r="M1201" s="665" t="s">
        <v>2324</v>
      </c>
      <c r="N1201" s="647" t="s">
        <v>2231</v>
      </c>
      <c r="O1201" s="575">
        <v>2022.5</v>
      </c>
      <c r="P1201" s="665" t="str">
        <f>VLOOKUP(A1201,'[1]Raw data'!$B:$BA,23,FALSE)</f>
        <v>RMB</v>
      </c>
      <c r="Q1201" s="647" t="str">
        <f>VLOOKUP(A1201,'[1]Raw data'!$B:$Z,2,FALSE)</f>
        <v>C49SZX20220067SQ</v>
      </c>
      <c r="R1201" s="647" t="str">
        <f>VLOOKUP(A1201,'[1]Raw data'!$B:$Z,3,FALSE)</f>
        <v>湘浩</v>
      </c>
      <c r="S1201" s="647" t="str">
        <f>VLOOKUP(A1201,'[1]Raw data'!$B:$Z,4,FALSE)</f>
        <v>YSM10</v>
      </c>
      <c r="T1201" s="647" t="str">
        <f>VLOOKUP(A1201,'[1]Raw data'!$B:$Z,8,FALSE)</f>
        <v>L-&gt;R</v>
      </c>
      <c r="U1201" s="647" t="str">
        <f>VLOOKUP(A1201,'[1]Raw data'!$B:$Z,9,FALSE)</f>
        <v>No</v>
      </c>
      <c r="V1201" s="567" t="str">
        <f t="shared" si="264"/>
        <v>WRONG</v>
      </c>
      <c r="W1201" s="563" t="str">
        <f>VLOOKUP(A1201,'[1]Raw data'!$B:$AG,32,FALSE)</f>
        <v>DDP FS</v>
      </c>
      <c r="X1201" s="647">
        <f>VLOOKUP(A1201,'[1]Raw data'!$B:$BA,31,FALSE)</f>
        <v>44720</v>
      </c>
      <c r="Y1201" s="647" t="str">
        <f>VLOOKUP(A1201,'[1]Raw data'!$B:$AS,39,FALSE)</f>
        <v>Yes</v>
      </c>
      <c r="Z1201" s="659"/>
      <c r="AA1201" s="660"/>
      <c r="AB1201" s="661"/>
      <c r="AC1201" s="647" t="s">
        <v>2325</v>
      </c>
      <c r="AD1201" s="575">
        <v>301</v>
      </c>
      <c r="AE1201" s="575">
        <v>10</v>
      </c>
      <c r="AF1201" s="575"/>
      <c r="AG1201" s="575"/>
      <c r="AH1201" s="575"/>
      <c r="AI1201" s="679"/>
      <c r="AJ1201" s="564"/>
      <c r="AK1201" s="564"/>
      <c r="AL1201" s="564"/>
      <c r="AM1201" s="564"/>
      <c r="AN1201" s="614"/>
      <c r="AO1201" s="824" t="str">
        <f t="shared" si="246"/>
        <v>Yes</v>
      </c>
      <c r="AP1201" s="259" t="str">
        <f t="shared" si="247"/>
        <v>JUL 22</v>
      </c>
      <c r="AQ1201" s="542" t="str">
        <f t="shared" si="248"/>
        <v>有定金+有預留客戶</v>
      </c>
      <c r="AR1201" s="259" t="str">
        <f t="shared" si="249"/>
        <v>Shipped_Stock</v>
      </c>
      <c r="AS1201" s="259" t="str">
        <f t="shared" si="250"/>
        <v/>
      </c>
      <c r="AT1201" s="259" t="str">
        <f t="shared" si="251"/>
        <v>湘浩</v>
      </c>
      <c r="AU1201" s="259" t="str">
        <f t="shared" si="252"/>
        <v>C49SZX20220067SQ</v>
      </c>
      <c r="AV1201" s="259" t="str">
        <f t="shared" si="253"/>
        <v>Jun-13</v>
      </c>
    </row>
    <row r="1202" spans="1:48" ht="14.25" hidden="1" customHeight="1">
      <c r="A1202" s="599">
        <v>1443</v>
      </c>
      <c r="B1202" s="664" t="s">
        <v>1125</v>
      </c>
      <c r="C1202" s="664" t="s">
        <v>15</v>
      </c>
      <c r="D1202" s="645">
        <v>110949</v>
      </c>
      <c r="E1202" s="563" t="s">
        <v>886</v>
      </c>
      <c r="F1202" s="647" t="s">
        <v>58</v>
      </c>
      <c r="G1202" s="647" t="s">
        <v>24</v>
      </c>
      <c r="H1202" s="647" t="s">
        <v>26</v>
      </c>
      <c r="I1202" s="575" t="s">
        <v>2326</v>
      </c>
      <c r="J1202" s="575">
        <v>1</v>
      </c>
      <c r="K1202" s="647" t="s">
        <v>85</v>
      </c>
      <c r="L1202" s="657">
        <v>44730</v>
      </c>
      <c r="M1202" s="665" t="s">
        <v>906</v>
      </c>
      <c r="N1202" s="647" t="s">
        <v>1982</v>
      </c>
      <c r="O1202" s="575">
        <v>2022.6</v>
      </c>
      <c r="P1202" s="665" t="str">
        <f>VLOOKUP(A1202,'[1]Raw data'!$B:$BA,23,FALSE)</f>
        <v>JPY</v>
      </c>
      <c r="Q1202" s="647" t="str">
        <f>VLOOKUP(A1202,'[1]Raw data'!$B:$Z,2,FALSE)</f>
        <v>C49SZX20210176R1JY</v>
      </c>
      <c r="R1202" s="647" t="str">
        <f>VLOOKUP(A1202,'[1]Raw data'!$B:$Z,3,FALSE)</f>
        <v>建航</v>
      </c>
      <c r="S1202" s="647" t="str">
        <f>VLOOKUP(A1202,'[1]Raw data'!$B:$Z,4,FALSE)</f>
        <v>YSM20R-2</v>
      </c>
      <c r="T1202" s="647" t="str">
        <f>VLOOKUP(A1202,'[1]Raw data'!$B:$Z,8,FALSE)</f>
        <v>L-&gt;R</v>
      </c>
      <c r="U1202" s="647" t="str">
        <f>VLOOKUP(A1202,'[1]Raw data'!$B:$Z,9,FALSE)</f>
        <v>No</v>
      </c>
      <c r="V1202" s="567" t="str">
        <f>IF(G1202&amp;H1202=T1202&amp;U1202,"OK","WRONG")</f>
        <v>OK</v>
      </c>
      <c r="W1202" s="563" t="str">
        <f>VLOOKUP(A1202,'[1]Raw data'!$B:$AG,32,FALSE)</f>
        <v>DAP SZ</v>
      </c>
      <c r="X1202" s="647">
        <f>VLOOKUP(A1202,'[1]Raw data'!$B:$BA,31,FALSE)</f>
        <v>44372</v>
      </c>
      <c r="Y1202" s="647" t="str">
        <f>VLOOKUP(A1202,'[1]Raw data'!$B:$AS,39,FALSE)</f>
        <v>Yes</v>
      </c>
      <c r="Z1202" s="662"/>
      <c r="AA1202" s="662"/>
      <c r="AB1202" s="662"/>
      <c r="AC1202" s="575" t="s">
        <v>321</v>
      </c>
      <c r="AD1202" s="575">
        <v>301</v>
      </c>
      <c r="AE1202" s="575">
        <v>10</v>
      </c>
      <c r="AF1202" s="575">
        <v>303</v>
      </c>
      <c r="AG1202" s="575">
        <v>10</v>
      </c>
      <c r="AH1202" s="575"/>
      <c r="AI1202" s="679"/>
      <c r="AJ1202" s="564"/>
      <c r="AK1202" s="564"/>
      <c r="AL1202" s="564"/>
      <c r="AM1202" s="564"/>
      <c r="AN1202" s="614"/>
      <c r="AO1202" s="824" t="str">
        <f t="shared" si="246"/>
        <v>Yes</v>
      </c>
      <c r="AP1202" s="259" t="str">
        <f t="shared" si="247"/>
        <v>JUN 22</v>
      </c>
      <c r="AQ1202" s="542" t="str">
        <f t="shared" si="248"/>
        <v>有定金+有預留客戶</v>
      </c>
      <c r="AR1202" s="259" t="str">
        <f t="shared" si="249"/>
        <v>Shipped_Stock</v>
      </c>
      <c r="AS1202" s="259" t="str">
        <f t="shared" si="250"/>
        <v/>
      </c>
      <c r="AT1202" s="259" t="str">
        <f t="shared" si="251"/>
        <v>建航</v>
      </c>
      <c r="AU1202" s="259" t="str">
        <f t="shared" si="252"/>
        <v>C49SZX20210176R1JY</v>
      </c>
      <c r="AV1202" s="259" t="str">
        <f t="shared" si="253"/>
        <v>Jun-18</v>
      </c>
    </row>
    <row r="1203" spans="1:48" hidden="1">
      <c r="A1203" s="599">
        <v>1444</v>
      </c>
      <c r="B1203" s="664" t="s">
        <v>1125</v>
      </c>
      <c r="C1203" s="664" t="s">
        <v>15</v>
      </c>
      <c r="D1203" s="782">
        <v>110949</v>
      </c>
      <c r="E1203" s="584" t="s">
        <v>886</v>
      </c>
      <c r="F1203" s="673" t="s">
        <v>58</v>
      </c>
      <c r="G1203" s="673" t="s">
        <v>24</v>
      </c>
      <c r="H1203" s="673" t="s">
        <v>26</v>
      </c>
      <c r="I1203" s="674" t="s">
        <v>2327</v>
      </c>
      <c r="J1203" s="674">
        <v>1</v>
      </c>
      <c r="K1203" s="647" t="s">
        <v>85</v>
      </c>
      <c r="L1203" s="657">
        <v>44730</v>
      </c>
      <c r="M1203" s="665" t="s">
        <v>906</v>
      </c>
      <c r="N1203" s="647" t="s">
        <v>1982</v>
      </c>
      <c r="O1203" s="575">
        <v>2022.6</v>
      </c>
      <c r="P1203" s="665" t="str">
        <f>VLOOKUP(A1203,'[1]Raw data'!$B:$BA,23,FALSE)</f>
        <v>JPY</v>
      </c>
      <c r="Q1203" s="647" t="str">
        <f>VLOOKUP(A1203,'[1]Raw data'!$B:$Z,2,FALSE)</f>
        <v>C49SZX20210176R1JY</v>
      </c>
      <c r="R1203" s="647" t="str">
        <f>VLOOKUP(A1203,'[1]Raw data'!$B:$Z,3,FALSE)</f>
        <v>建航</v>
      </c>
      <c r="S1203" s="647" t="str">
        <f>VLOOKUP(A1203,'[1]Raw data'!$B:$Z,4,FALSE)</f>
        <v>YSM20R-2</v>
      </c>
      <c r="T1203" s="647" t="str">
        <f>VLOOKUP(A1203,'[1]Raw data'!$B:$Z,8,FALSE)</f>
        <v>L-&gt;R</v>
      </c>
      <c r="U1203" s="647" t="str">
        <f>VLOOKUP(A1203,'[1]Raw data'!$B:$Z,9,FALSE)</f>
        <v>No</v>
      </c>
      <c r="V1203" s="567" t="str">
        <f>IF(G1203&amp;H1203=T1203&amp;U1203,"OK","WRONG")</f>
        <v>OK</v>
      </c>
      <c r="W1203" s="563" t="str">
        <f>VLOOKUP(A1203,'[1]Raw data'!$B:$AG,32,FALSE)</f>
        <v>DAP SZ</v>
      </c>
      <c r="X1203" s="647">
        <f>VLOOKUP(A1203,'[1]Raw data'!$B:$BA,31,FALSE)</f>
        <v>44372</v>
      </c>
      <c r="Y1203" s="647" t="str">
        <f>VLOOKUP(A1203,'[1]Raw data'!$B:$AS,39,FALSE)</f>
        <v>Yes</v>
      </c>
      <c r="Z1203" s="662"/>
      <c r="AA1203" s="662"/>
      <c r="AB1203" s="662"/>
      <c r="AC1203" s="575" t="s">
        <v>321</v>
      </c>
      <c r="AD1203" s="575">
        <v>301</v>
      </c>
      <c r="AE1203" s="575">
        <v>10</v>
      </c>
      <c r="AF1203" s="575">
        <v>304</v>
      </c>
      <c r="AG1203" s="575">
        <v>10</v>
      </c>
      <c r="AH1203" s="575"/>
      <c r="AI1203" s="679"/>
      <c r="AJ1203" s="564"/>
      <c r="AK1203" s="564"/>
      <c r="AL1203" s="564"/>
      <c r="AM1203" s="564"/>
      <c r="AN1203" s="614"/>
      <c r="AO1203" s="824" t="str">
        <f t="shared" si="246"/>
        <v>Yes</v>
      </c>
      <c r="AP1203" s="259" t="str">
        <f t="shared" si="247"/>
        <v>JUN 22</v>
      </c>
      <c r="AQ1203" s="542" t="str">
        <f t="shared" si="248"/>
        <v>有定金+有預留客戶</v>
      </c>
      <c r="AR1203" s="259" t="str">
        <f t="shared" si="249"/>
        <v>Shipped_Stock</v>
      </c>
      <c r="AS1203" s="259" t="str">
        <f t="shared" si="250"/>
        <v/>
      </c>
      <c r="AT1203" s="259" t="str">
        <f t="shared" si="251"/>
        <v>建航</v>
      </c>
      <c r="AU1203" s="259" t="str">
        <f t="shared" si="252"/>
        <v>C49SZX20210176R1JY</v>
      </c>
      <c r="AV1203" s="259" t="str">
        <f t="shared" si="253"/>
        <v>Jun-18</v>
      </c>
    </row>
    <row r="1204" spans="1:48" ht="33.75" hidden="1">
      <c r="A1204" s="599">
        <v>1696</v>
      </c>
      <c r="B1204" s="664" t="s">
        <v>1125</v>
      </c>
      <c r="C1204" s="664" t="s">
        <v>15</v>
      </c>
      <c r="D1204" s="782">
        <v>110949</v>
      </c>
      <c r="E1204" s="584" t="s">
        <v>886</v>
      </c>
      <c r="F1204" s="673" t="s">
        <v>58</v>
      </c>
      <c r="G1204" s="673" t="s">
        <v>24</v>
      </c>
      <c r="H1204" s="673" t="s">
        <v>26</v>
      </c>
      <c r="I1204" s="674" t="s">
        <v>2328</v>
      </c>
      <c r="J1204" s="674">
        <v>1</v>
      </c>
      <c r="K1204" s="673" t="s">
        <v>1419</v>
      </c>
      <c r="L1204" s="657">
        <v>44730</v>
      </c>
      <c r="M1204" s="665" t="s">
        <v>2329</v>
      </c>
      <c r="N1204" s="647" t="s">
        <v>2231</v>
      </c>
      <c r="O1204" s="575">
        <v>2022.6</v>
      </c>
      <c r="P1204" s="665" t="str">
        <f>VLOOKUP(A1204,'[1]Raw data'!$B:$BA,23,FALSE)</f>
        <v>RMB</v>
      </c>
      <c r="Q1204" s="647" t="str">
        <f>VLOOKUP(A1204,'[1]Raw data'!$B:$Z,2,FALSE)</f>
        <v>C49SZX20220053SS</v>
      </c>
      <c r="R1204" s="647" t="str">
        <f>VLOOKUP(A1204,'[1]Raw data'!$B:$Z,3,FALSE)</f>
        <v>阿姆斯特</v>
      </c>
      <c r="S1204" s="647" t="str">
        <f>VLOOKUP(A1204,'[1]Raw data'!$B:$Z,4,FALSE)</f>
        <v>YSM20R-2</v>
      </c>
      <c r="T1204" s="647" t="str">
        <f>VLOOKUP(A1204,'[1]Raw data'!$B:$Z,8,FALSE)</f>
        <v>L-&gt;R</v>
      </c>
      <c r="U1204" s="647" t="str">
        <f>VLOOKUP(A1204,'[1]Raw data'!$B:$Z,9,FALSE)</f>
        <v>No</v>
      </c>
      <c r="V1204" s="567" t="str">
        <f>IF(G1204&amp;H1204=T1204&amp;U1204,"OK","WRONG")</f>
        <v>OK</v>
      </c>
      <c r="W1204" s="563" t="str">
        <f>VLOOKUP(A1204,'[1]Raw data'!$B:$AG,32,FALSE)</f>
        <v>DDP DG</v>
      </c>
      <c r="X1204" s="647">
        <f>VLOOKUP(A1204,'[1]Raw data'!$B:$BA,31,FALSE)</f>
        <v>44750</v>
      </c>
      <c r="Y1204" s="647" t="str">
        <f>VLOOKUP(A1204,'[1]Raw data'!$B:$AS,39,FALSE)</f>
        <v>Yes</v>
      </c>
      <c r="Z1204" s="662"/>
      <c r="AA1204" s="662"/>
      <c r="AB1204" s="662"/>
      <c r="AC1204" s="575" t="s">
        <v>2313</v>
      </c>
      <c r="AD1204" s="575">
        <v>301</v>
      </c>
      <c r="AE1204" s="575">
        <v>10</v>
      </c>
      <c r="AF1204" s="575">
        <v>304</v>
      </c>
      <c r="AG1204" s="575">
        <v>10</v>
      </c>
      <c r="AH1204" s="575"/>
      <c r="AI1204" s="679"/>
      <c r="AJ1204" s="564"/>
      <c r="AK1204" s="564"/>
      <c r="AL1204" s="564"/>
      <c r="AM1204" s="564"/>
      <c r="AN1204" s="614"/>
      <c r="AO1204" s="824" t="str">
        <f t="shared" si="246"/>
        <v>Yes</v>
      </c>
      <c r="AP1204" s="259" t="str">
        <f t="shared" si="247"/>
        <v>JUL 22</v>
      </c>
      <c r="AQ1204" s="542" t="str">
        <f t="shared" si="248"/>
        <v>有定金+有預留客戶</v>
      </c>
      <c r="AR1204" s="259" t="str">
        <f t="shared" si="249"/>
        <v>Shipped_Stock</v>
      </c>
      <c r="AS1204" s="259" t="str">
        <f t="shared" si="250"/>
        <v/>
      </c>
      <c r="AT1204" s="259" t="str">
        <f t="shared" si="251"/>
        <v>阿姆斯特</v>
      </c>
      <c r="AU1204" s="259" t="str">
        <f t="shared" si="252"/>
        <v>C49SZX20220053SS</v>
      </c>
      <c r="AV1204" s="259" t="str">
        <f t="shared" si="253"/>
        <v>Jun-18</v>
      </c>
    </row>
    <row r="1205" spans="1:48" hidden="1">
      <c r="A1205" s="599">
        <v>1744</v>
      </c>
      <c r="B1205" s="664" t="s">
        <v>1125</v>
      </c>
      <c r="C1205" s="664" t="s">
        <v>15</v>
      </c>
      <c r="D1205" s="690">
        <v>110809</v>
      </c>
      <c r="E1205" s="646" t="s">
        <v>2135</v>
      </c>
      <c r="F1205" s="647" t="s">
        <v>17</v>
      </c>
      <c r="G1205" s="647" t="s">
        <v>18</v>
      </c>
      <c r="H1205" s="647" t="s">
        <v>34</v>
      </c>
      <c r="I1205" s="575" t="s">
        <v>2330</v>
      </c>
      <c r="J1205" s="575">
        <v>1</v>
      </c>
      <c r="K1205" s="647" t="s">
        <v>1419</v>
      </c>
      <c r="L1205" s="657">
        <v>44736</v>
      </c>
      <c r="M1205" s="665" t="s">
        <v>2331</v>
      </c>
      <c r="N1205" s="647" t="s">
        <v>205</v>
      </c>
      <c r="O1205" s="575">
        <v>2022.5</v>
      </c>
      <c r="P1205" s="665" t="str">
        <f>VLOOKUP(A1205,'[1]Raw data'!$B:$BA,23,FALSE)</f>
        <v>RMB</v>
      </c>
      <c r="Q1205" s="647" t="str">
        <f>VLOOKUP(A1205,'[1]Raw data'!$B:$Z,2,FALSE)</f>
        <v>C49SZX20220107DZ</v>
      </c>
      <c r="R1205" s="647" t="str">
        <f>VLOOKUP(A1205,'[1]Raw data'!$B:$Z,3,FALSE)</f>
        <v>朗特</v>
      </c>
      <c r="S1205" s="647" t="str">
        <f>VLOOKUP(A1205,'[1]Raw data'!$B:$Z,4,FALSE)</f>
        <v>YSM10</v>
      </c>
      <c r="T1205" s="647" t="str">
        <f>VLOOKUP(A1205,'[1]Raw data'!$B:$Z,8,FALSE)</f>
        <v>L-&gt;R</v>
      </c>
      <c r="U1205" s="647" t="str">
        <f>VLOOKUP(A1205,'[1]Raw data'!$B:$Z,9,FALSE)</f>
        <v>MVC+ATS15</v>
      </c>
      <c r="V1205" s="567" t="str">
        <f t="shared" si="264"/>
        <v>WRONG</v>
      </c>
      <c r="W1205" s="563" t="str">
        <f>VLOOKUP(A1205,'[1]Raw data'!$B:$AG,32,FALSE)</f>
        <v>DDP SZ</v>
      </c>
      <c r="X1205" s="647">
        <f>VLOOKUP(A1205,'[1]Raw data'!$B:$BA,31,FALSE)</f>
        <v>44846</v>
      </c>
      <c r="Y1205" s="647" t="str">
        <f>VLOOKUP(A1205,'[1]Raw data'!$B:$AS,39,FALSE)</f>
        <v>Yes</v>
      </c>
      <c r="Z1205" s="666"/>
      <c r="AA1205" s="660"/>
      <c r="AB1205" s="661"/>
      <c r="AC1205" s="647" t="s">
        <v>933</v>
      </c>
      <c r="AD1205" s="575">
        <v>301</v>
      </c>
      <c r="AE1205" s="575">
        <v>10</v>
      </c>
      <c r="AF1205" s="575"/>
      <c r="AG1205" s="575"/>
      <c r="AH1205" s="575"/>
      <c r="AI1205" s="679"/>
      <c r="AJ1205" s="564"/>
      <c r="AK1205" s="564"/>
      <c r="AL1205" s="564"/>
      <c r="AM1205" s="564"/>
      <c r="AN1205" s="614"/>
      <c r="AO1205" s="824" t="str">
        <f t="shared" si="246"/>
        <v>Yes</v>
      </c>
      <c r="AP1205" s="259" t="str">
        <f t="shared" si="247"/>
        <v>OCT 22</v>
      </c>
      <c r="AQ1205" s="542" t="str">
        <f t="shared" si="248"/>
        <v>有定金+有預留客戶</v>
      </c>
      <c r="AR1205" s="259" t="str">
        <f t="shared" si="249"/>
        <v>Shipped_Stock</v>
      </c>
      <c r="AS1205" s="259" t="str">
        <f t="shared" si="250"/>
        <v/>
      </c>
      <c r="AT1205" s="259" t="str">
        <f t="shared" si="251"/>
        <v>朗特</v>
      </c>
      <c r="AU1205" s="259" t="str">
        <f t="shared" si="252"/>
        <v>C49SZX20220107DZ</v>
      </c>
      <c r="AV1205" s="259" t="str">
        <f t="shared" si="253"/>
        <v>Jun-24</v>
      </c>
    </row>
    <row r="1206" spans="1:48" hidden="1">
      <c r="A1206" s="599">
        <v>1745</v>
      </c>
      <c r="B1206" s="664" t="s">
        <v>1125</v>
      </c>
      <c r="C1206" s="664" t="s">
        <v>15</v>
      </c>
      <c r="D1206" s="645">
        <v>110809</v>
      </c>
      <c r="E1206" s="646" t="s">
        <v>2135</v>
      </c>
      <c r="F1206" s="647" t="s">
        <v>17</v>
      </c>
      <c r="G1206" s="647" t="s">
        <v>18</v>
      </c>
      <c r="H1206" s="647" t="s">
        <v>34</v>
      </c>
      <c r="I1206" s="575" t="s">
        <v>2332</v>
      </c>
      <c r="J1206" s="575">
        <v>1</v>
      </c>
      <c r="K1206" s="647" t="s">
        <v>1419</v>
      </c>
      <c r="L1206" s="657">
        <v>44736</v>
      </c>
      <c r="M1206" s="665" t="s">
        <v>2331</v>
      </c>
      <c r="N1206" s="647" t="s">
        <v>205</v>
      </c>
      <c r="O1206" s="575">
        <v>2022.5</v>
      </c>
      <c r="P1206" s="665" t="str">
        <f>VLOOKUP(A1206,'[1]Raw data'!$B:$BA,23,FALSE)</f>
        <v>RMB</v>
      </c>
      <c r="Q1206" s="647" t="str">
        <f>VLOOKUP(A1206,'[1]Raw data'!$B:$Z,2,FALSE)</f>
        <v>C49SZX20220107DZ</v>
      </c>
      <c r="R1206" s="647" t="str">
        <f>VLOOKUP(A1206,'[1]Raw data'!$B:$Z,3,FALSE)</f>
        <v>朗特</v>
      </c>
      <c r="S1206" s="647" t="str">
        <f>VLOOKUP(A1206,'[1]Raw data'!$B:$Z,4,FALSE)</f>
        <v>YSM10</v>
      </c>
      <c r="T1206" s="647" t="str">
        <f>VLOOKUP(A1206,'[1]Raw data'!$B:$Z,8,FALSE)</f>
        <v>R-&gt;L</v>
      </c>
      <c r="U1206" s="647" t="str">
        <f>VLOOKUP(A1206,'[1]Raw data'!$B:$Z,9,FALSE)</f>
        <v>MVC+ATS15</v>
      </c>
      <c r="V1206" s="567" t="str">
        <f t="shared" si="264"/>
        <v>OK</v>
      </c>
      <c r="W1206" s="563" t="str">
        <f>VLOOKUP(A1206,'[1]Raw data'!$B:$AG,32,FALSE)</f>
        <v>DDP SZ</v>
      </c>
      <c r="X1206" s="647">
        <f>VLOOKUP(A1206,'[1]Raw data'!$B:$BA,31,FALSE)</f>
        <v>44846</v>
      </c>
      <c r="Y1206" s="647" t="str">
        <f>VLOOKUP(A1206,'[1]Raw data'!$B:$AS,39,FALSE)</f>
        <v>Yes</v>
      </c>
      <c r="Z1206" s="666"/>
      <c r="AA1206" s="660"/>
      <c r="AB1206" s="661"/>
      <c r="AC1206" s="647" t="s">
        <v>933</v>
      </c>
      <c r="AD1206" s="575">
        <v>301</v>
      </c>
      <c r="AE1206" s="575">
        <v>10</v>
      </c>
      <c r="AF1206" s="575"/>
      <c r="AG1206" s="575"/>
      <c r="AH1206" s="575"/>
      <c r="AI1206" s="679"/>
      <c r="AJ1206" s="564"/>
      <c r="AK1206" s="564"/>
      <c r="AL1206" s="564"/>
      <c r="AM1206" s="564"/>
      <c r="AN1206" s="614"/>
      <c r="AO1206" s="824" t="str">
        <f t="shared" si="246"/>
        <v>Yes</v>
      </c>
      <c r="AP1206" s="259" t="str">
        <f t="shared" si="247"/>
        <v>OCT 22</v>
      </c>
      <c r="AQ1206" s="542" t="str">
        <f t="shared" si="248"/>
        <v>有定金+有預留客戶</v>
      </c>
      <c r="AR1206" s="259" t="str">
        <f t="shared" si="249"/>
        <v>Shipped_Stock</v>
      </c>
      <c r="AS1206" s="259" t="str">
        <f t="shared" si="250"/>
        <v/>
      </c>
      <c r="AT1206" s="259" t="str">
        <f t="shared" si="251"/>
        <v>朗特</v>
      </c>
      <c r="AU1206" s="259" t="str">
        <f t="shared" si="252"/>
        <v>C49SZX20220107DZ</v>
      </c>
      <c r="AV1206" s="259" t="str">
        <f t="shared" si="253"/>
        <v>Jun-24</v>
      </c>
    </row>
    <row r="1207" spans="1:48" ht="18.75" hidden="1" customHeight="1">
      <c r="A1207" s="599">
        <v>1749</v>
      </c>
      <c r="B1207" s="664" t="s">
        <v>1125</v>
      </c>
      <c r="C1207" s="664" t="s">
        <v>15</v>
      </c>
      <c r="D1207" s="645">
        <v>110809</v>
      </c>
      <c r="E1207" s="646" t="s">
        <v>2135</v>
      </c>
      <c r="F1207" s="647" t="s">
        <v>17</v>
      </c>
      <c r="G1207" s="647" t="s">
        <v>18</v>
      </c>
      <c r="H1207" s="647" t="s">
        <v>34</v>
      </c>
      <c r="I1207" s="575" t="s">
        <v>2333</v>
      </c>
      <c r="J1207" s="575">
        <v>1</v>
      </c>
      <c r="K1207" s="647" t="s">
        <v>1419</v>
      </c>
      <c r="L1207" s="657">
        <v>44736</v>
      </c>
      <c r="M1207" s="665" t="s">
        <v>2331</v>
      </c>
      <c r="N1207" s="647" t="s">
        <v>208</v>
      </c>
      <c r="O1207" s="575">
        <v>2022.5</v>
      </c>
      <c r="P1207" s="665" t="str">
        <f>VLOOKUP(A1207,'[1]Raw data'!$B:$BA,23,FALSE)</f>
        <v>RMB</v>
      </c>
      <c r="Q1207" s="647" t="str">
        <f>VLOOKUP(A1207,'[1]Raw data'!$B:$Z,2,FALSE)</f>
        <v>C49SZX20220111MZ</v>
      </c>
      <c r="R1207" s="647" t="str">
        <f>VLOOKUP(A1207,'[1]Raw data'!$B:$Z,3,FALSE)</f>
        <v>天星创展</v>
      </c>
      <c r="S1207" s="647" t="str">
        <f>VLOOKUP(A1207,'[1]Raw data'!$B:$Z,4,FALSE)</f>
        <v>YSM10</v>
      </c>
      <c r="T1207" s="647" t="str">
        <f>VLOOKUP(A1207,'[1]Raw data'!$B:$Z,8,FALSE)</f>
        <v>L-&gt;R</v>
      </c>
      <c r="U1207" s="647" t="str">
        <f>VLOOKUP(A1207,'[1]Raw data'!$B:$Z,9,FALSE)</f>
        <v>MVC+ATS15</v>
      </c>
      <c r="V1207" s="567" t="str">
        <f t="shared" si="264"/>
        <v>WRONG</v>
      </c>
      <c r="W1207" s="563" t="str">
        <f>VLOOKUP(A1207,'[1]Raw data'!$B:$AG,32,FALSE)</f>
        <v>DDP SZ</v>
      </c>
      <c r="X1207" s="647">
        <f>VLOOKUP(A1207,'[1]Raw data'!$B:$BA,31,FALSE)</f>
        <v>44862</v>
      </c>
      <c r="Y1207" s="647" t="str">
        <f>VLOOKUP(A1207,'[1]Raw data'!$B:$AS,39,FALSE)</f>
        <v>Yes</v>
      </c>
      <c r="Z1207" s="666"/>
      <c r="AA1207" s="660"/>
      <c r="AB1207" s="661"/>
      <c r="AC1207" s="647" t="s">
        <v>2334</v>
      </c>
      <c r="AD1207" s="575">
        <v>301</v>
      </c>
      <c r="AE1207" s="575">
        <v>10</v>
      </c>
      <c r="AF1207" s="575"/>
      <c r="AG1207" s="575"/>
      <c r="AH1207" s="575"/>
      <c r="AI1207" s="679"/>
      <c r="AJ1207" s="564"/>
      <c r="AK1207" s="564"/>
      <c r="AL1207" s="564"/>
      <c r="AM1207" s="564"/>
      <c r="AN1207" s="614"/>
      <c r="AO1207" s="824" t="str">
        <f t="shared" si="246"/>
        <v>Yes</v>
      </c>
      <c r="AP1207" s="259" t="str">
        <f t="shared" si="247"/>
        <v>NOV 22</v>
      </c>
      <c r="AQ1207" s="542" t="str">
        <f t="shared" si="248"/>
        <v>有定金+有預留客戶</v>
      </c>
      <c r="AR1207" s="259" t="str">
        <f t="shared" si="249"/>
        <v>Shipped_Stock</v>
      </c>
      <c r="AS1207" s="259" t="str">
        <f t="shared" si="250"/>
        <v/>
      </c>
      <c r="AT1207" s="259" t="str">
        <f t="shared" si="251"/>
        <v>天星创展</v>
      </c>
      <c r="AU1207" s="259" t="str">
        <f t="shared" si="252"/>
        <v>C49SZX20220111MZ</v>
      </c>
      <c r="AV1207" s="259" t="str">
        <f t="shared" si="253"/>
        <v>Jun-24</v>
      </c>
    </row>
    <row r="1208" spans="1:48" hidden="1">
      <c r="A1208" s="599">
        <v>1759</v>
      </c>
      <c r="B1208" s="664" t="s">
        <v>1125</v>
      </c>
      <c r="C1208" s="664" t="s">
        <v>15</v>
      </c>
      <c r="D1208" s="645">
        <v>110809</v>
      </c>
      <c r="E1208" s="646" t="s">
        <v>2135</v>
      </c>
      <c r="F1208" s="647" t="s">
        <v>17</v>
      </c>
      <c r="G1208" s="647" t="s">
        <v>18</v>
      </c>
      <c r="H1208" s="647" t="s">
        <v>34</v>
      </c>
      <c r="I1208" s="575" t="s">
        <v>2335</v>
      </c>
      <c r="J1208" s="575">
        <v>1</v>
      </c>
      <c r="K1208" s="647" t="s">
        <v>1419</v>
      </c>
      <c r="L1208" s="657">
        <v>44736</v>
      </c>
      <c r="M1208" s="665" t="s">
        <v>2331</v>
      </c>
      <c r="N1208" s="647" t="s">
        <v>208</v>
      </c>
      <c r="O1208" s="575">
        <v>2022.5</v>
      </c>
      <c r="P1208" s="665" t="str">
        <f>VLOOKUP(A1208,'[1]Raw data'!$B:$BA,23,FALSE)</f>
        <v>RMB</v>
      </c>
      <c r="Q1208" s="647" t="str">
        <f>VLOOKUP(A1208,'[1]Raw data'!$B:$Z,2,FALSE)</f>
        <v>C49SZX20220117DZ</v>
      </c>
      <c r="R1208" s="647" t="str">
        <f>VLOOKUP(A1208,'[1]Raw data'!$B:$Z,3,FALSE)</f>
        <v>朗特</v>
      </c>
      <c r="S1208" s="647" t="str">
        <f>VLOOKUP(A1208,'[1]Raw data'!$B:$Z,4,FALSE)</f>
        <v>YSM10</v>
      </c>
      <c r="T1208" s="647" t="str">
        <f>VLOOKUP(A1208,'[1]Raw data'!$B:$Z,8,FALSE)</f>
        <v>L-&gt;R</v>
      </c>
      <c r="U1208" s="647" t="str">
        <f>VLOOKUP(A1208,'[1]Raw data'!$B:$Z,9,FALSE)</f>
        <v>MVC+ATS15</v>
      </c>
      <c r="V1208" s="567" t="str">
        <f t="shared" si="264"/>
        <v>WRONG</v>
      </c>
      <c r="W1208" s="563" t="str">
        <f>VLOOKUP(A1208,'[1]Raw data'!$B:$AG,32,FALSE)</f>
        <v>DDP SZ</v>
      </c>
      <c r="X1208" s="647">
        <f>VLOOKUP(A1208,'[1]Raw data'!$B:$BA,31,FALSE)</f>
        <v>44879</v>
      </c>
      <c r="Y1208" s="647" t="str">
        <f>VLOOKUP(A1208,'[1]Raw data'!$B:$AS,39,FALSE)</f>
        <v>Yes</v>
      </c>
      <c r="Z1208" s="666"/>
      <c r="AA1208" s="660"/>
      <c r="AB1208" s="661"/>
      <c r="AC1208" s="647" t="s">
        <v>2336</v>
      </c>
      <c r="AD1208" s="575">
        <v>311</v>
      </c>
      <c r="AE1208" s="575">
        <v>10</v>
      </c>
      <c r="AF1208" s="575"/>
      <c r="AG1208" s="575"/>
      <c r="AH1208" s="575"/>
      <c r="AI1208" s="679"/>
      <c r="AJ1208" s="564"/>
      <c r="AK1208" s="564"/>
      <c r="AL1208" s="564"/>
      <c r="AM1208" s="564"/>
      <c r="AN1208" s="614"/>
      <c r="AO1208" s="824" t="str">
        <f t="shared" si="246"/>
        <v>Yes</v>
      </c>
      <c r="AP1208" s="259" t="str">
        <f t="shared" si="247"/>
        <v>NOV 22</v>
      </c>
      <c r="AQ1208" s="542" t="str">
        <f t="shared" si="248"/>
        <v>有定金+有預留客戶</v>
      </c>
      <c r="AR1208" s="259" t="str">
        <f t="shared" si="249"/>
        <v>Shipped_Stock</v>
      </c>
      <c r="AS1208" s="259" t="str">
        <f t="shared" si="250"/>
        <v/>
      </c>
      <c r="AT1208" s="259" t="str">
        <f t="shared" si="251"/>
        <v>朗特</v>
      </c>
      <c r="AU1208" s="259" t="str">
        <f t="shared" si="252"/>
        <v>C49SZX20220117DZ</v>
      </c>
      <c r="AV1208" s="259" t="str">
        <f t="shared" si="253"/>
        <v>Jun-24</v>
      </c>
    </row>
    <row r="1209" spans="1:48" hidden="1">
      <c r="A1209" s="599">
        <v>1760</v>
      </c>
      <c r="B1209" s="664" t="s">
        <v>1125</v>
      </c>
      <c r="C1209" s="664" t="s">
        <v>281</v>
      </c>
      <c r="D1209" s="761">
        <v>110918</v>
      </c>
      <c r="E1209" s="744" t="s">
        <v>2337</v>
      </c>
      <c r="F1209" s="647" t="s">
        <v>17</v>
      </c>
      <c r="G1209" s="647" t="s">
        <v>18</v>
      </c>
      <c r="H1209" s="647" t="s">
        <v>48</v>
      </c>
      <c r="I1209" s="575" t="s">
        <v>2338</v>
      </c>
      <c r="J1209" s="575">
        <v>1</v>
      </c>
      <c r="K1209" s="647" t="s">
        <v>1419</v>
      </c>
      <c r="L1209" s="749">
        <v>44739</v>
      </c>
      <c r="M1209" s="665" t="s">
        <v>2339</v>
      </c>
      <c r="N1209" s="647" t="s">
        <v>208</v>
      </c>
      <c r="O1209" s="575">
        <v>2022.6</v>
      </c>
      <c r="P1209" s="665" t="str">
        <f>VLOOKUP(A1209,'[1]Raw data'!$B:$BA,23,FALSE)</f>
        <v>RMB</v>
      </c>
      <c r="Q1209" s="647" t="str">
        <f>VLOOKUP(A1209,'[1]Raw data'!$B:$Z,2,FALSE)</f>
        <v>C49SZX20220117DZ</v>
      </c>
      <c r="R1209" s="647" t="str">
        <f>VLOOKUP(A1209,'[1]Raw data'!$B:$Z,3,FALSE)</f>
        <v>朗特</v>
      </c>
      <c r="S1209" s="647" t="str">
        <f>VLOOKUP(A1209,'[1]Raw data'!$B:$Z,4,FALSE)</f>
        <v>YSM10</v>
      </c>
      <c r="T1209" s="647" t="str">
        <f>VLOOKUP(A1209,'[1]Raw data'!$B:$Z,8,FALSE)</f>
        <v>L-&gt;R</v>
      </c>
      <c r="U1209" s="647" t="str">
        <f>VLOOKUP(A1209,'[1]Raw data'!$B:$Z,9,FALSE)</f>
        <v>MVC+ATS15</v>
      </c>
      <c r="V1209" s="567" t="str">
        <f>IF(G1209&amp;H1209=T1209&amp;U1209,"OK","WRONG")</f>
        <v>WRONG</v>
      </c>
      <c r="W1209" s="563" t="str">
        <f>VLOOKUP(A1209,'[1]Raw data'!$B:$AG,32,FALSE)</f>
        <v>DDP SZ</v>
      </c>
      <c r="X1209" s="647">
        <f>VLOOKUP(A1209,'[1]Raw data'!$B:$BA,31,FALSE)</f>
        <v>44879</v>
      </c>
      <c r="Y1209" s="647" t="str">
        <f>VLOOKUP(A1209,'[1]Raw data'!$B:$AS,39,FALSE)</f>
        <v>Yes</v>
      </c>
      <c r="Z1209" s="666"/>
      <c r="AA1209" s="660"/>
      <c r="AB1209" s="661"/>
      <c r="AC1209" s="647" t="s">
        <v>2336</v>
      </c>
      <c r="AD1209" s="575">
        <v>301</v>
      </c>
      <c r="AE1209" s="575">
        <v>10</v>
      </c>
      <c r="AF1209" s="575"/>
      <c r="AG1209" s="575"/>
      <c r="AH1209" s="575"/>
      <c r="AI1209" s="679"/>
      <c r="AJ1209" s="564"/>
      <c r="AK1209" s="564"/>
      <c r="AL1209" s="564"/>
      <c r="AM1209" s="564"/>
      <c r="AN1209" s="614"/>
      <c r="AO1209" s="824" t="str">
        <f t="shared" si="246"/>
        <v>Yes</v>
      </c>
      <c r="AP1209" s="259" t="str">
        <f t="shared" si="247"/>
        <v>NOV 22</v>
      </c>
      <c r="AQ1209" s="542" t="str">
        <f t="shared" si="248"/>
        <v>有定金+有預留客戶</v>
      </c>
      <c r="AR1209" s="259" t="str">
        <f t="shared" si="249"/>
        <v>Shipped_Stock</v>
      </c>
      <c r="AS1209" s="259" t="str">
        <f t="shared" si="250"/>
        <v/>
      </c>
      <c r="AT1209" s="259" t="str">
        <f t="shared" si="251"/>
        <v>朗特</v>
      </c>
      <c r="AU1209" s="259" t="str">
        <f t="shared" si="252"/>
        <v>C49SZX20220117DZ</v>
      </c>
      <c r="AV1209" s="259" t="str">
        <f t="shared" si="253"/>
        <v>Jun-27</v>
      </c>
    </row>
    <row r="1210" spans="1:48" hidden="1">
      <c r="A1210" s="599">
        <v>1761</v>
      </c>
      <c r="B1210" s="664" t="s">
        <v>1125</v>
      </c>
      <c r="C1210" s="664" t="s">
        <v>281</v>
      </c>
      <c r="D1210" s="755">
        <v>110918</v>
      </c>
      <c r="E1210" s="744" t="s">
        <v>2337</v>
      </c>
      <c r="F1210" s="647" t="s">
        <v>17</v>
      </c>
      <c r="G1210" s="647" t="s">
        <v>18</v>
      </c>
      <c r="H1210" s="647" t="s">
        <v>48</v>
      </c>
      <c r="I1210" s="575" t="s">
        <v>2340</v>
      </c>
      <c r="J1210" s="575">
        <v>1</v>
      </c>
      <c r="K1210" s="647" t="s">
        <v>1419</v>
      </c>
      <c r="L1210" s="749">
        <v>44739</v>
      </c>
      <c r="M1210" s="665" t="s">
        <v>2339</v>
      </c>
      <c r="N1210" s="647" t="s">
        <v>208</v>
      </c>
      <c r="O1210" s="575">
        <v>2022.6</v>
      </c>
      <c r="P1210" s="665" t="str">
        <f>VLOOKUP(A1210,'[1]Raw data'!$B:$BA,23,FALSE)</f>
        <v>RMB</v>
      </c>
      <c r="Q1210" s="647" t="str">
        <f>VLOOKUP(A1210,'[1]Raw data'!$B:$Z,2,FALSE)</f>
        <v>C49SZX20220117DZ</v>
      </c>
      <c r="R1210" s="647" t="str">
        <f>VLOOKUP(A1210,'[1]Raw data'!$B:$Z,3,FALSE)</f>
        <v>朗特</v>
      </c>
      <c r="S1210" s="647" t="str">
        <f>VLOOKUP(A1210,'[1]Raw data'!$B:$Z,4,FALSE)</f>
        <v>YSM10</v>
      </c>
      <c r="T1210" s="647" t="str">
        <f>VLOOKUP(A1210,'[1]Raw data'!$B:$Z,8,FALSE)</f>
        <v>R-&gt;L</v>
      </c>
      <c r="U1210" s="647" t="str">
        <f>VLOOKUP(A1210,'[1]Raw data'!$B:$Z,9,FALSE)</f>
        <v>MVC+ATS15</v>
      </c>
      <c r="V1210" s="567" t="str">
        <f>IF(G1210&amp;H1210=T1210&amp;U1210,"OK","WRONG")</f>
        <v>WRONG</v>
      </c>
      <c r="W1210" s="563" t="str">
        <f>VLOOKUP(A1210,'[1]Raw data'!$B:$AG,32,FALSE)</f>
        <v>DDP SZ</v>
      </c>
      <c r="X1210" s="647">
        <f>VLOOKUP(A1210,'[1]Raw data'!$B:$BA,31,FALSE)</f>
        <v>44879</v>
      </c>
      <c r="Y1210" s="647" t="str">
        <f>VLOOKUP(A1210,'[1]Raw data'!$B:$AS,39,FALSE)</f>
        <v>Yes</v>
      </c>
      <c r="Z1210" s="666"/>
      <c r="AA1210" s="660"/>
      <c r="AB1210" s="661"/>
      <c r="AC1210" s="647" t="s">
        <v>2336</v>
      </c>
      <c r="AD1210" s="575">
        <v>301</v>
      </c>
      <c r="AE1210" s="575">
        <v>10</v>
      </c>
      <c r="AF1210" s="575"/>
      <c r="AG1210" s="575"/>
      <c r="AH1210" s="575"/>
      <c r="AI1210" s="679"/>
      <c r="AJ1210" s="564"/>
      <c r="AK1210" s="564"/>
      <c r="AL1210" s="564"/>
      <c r="AM1210" s="564"/>
      <c r="AN1210" s="614"/>
      <c r="AO1210" s="824" t="str">
        <f t="shared" si="246"/>
        <v>Yes</v>
      </c>
      <c r="AP1210" s="259" t="str">
        <f t="shared" si="247"/>
        <v>NOV 22</v>
      </c>
      <c r="AQ1210" s="542" t="str">
        <f t="shared" si="248"/>
        <v>有定金+有預留客戶</v>
      </c>
      <c r="AR1210" s="259" t="str">
        <f t="shared" si="249"/>
        <v>Shipped_Stock</v>
      </c>
      <c r="AS1210" s="259" t="str">
        <f t="shared" si="250"/>
        <v/>
      </c>
      <c r="AT1210" s="259" t="str">
        <f t="shared" si="251"/>
        <v>朗特</v>
      </c>
      <c r="AU1210" s="259" t="str">
        <f t="shared" si="252"/>
        <v>C49SZX20220117DZ</v>
      </c>
      <c r="AV1210" s="259" t="str">
        <f t="shared" si="253"/>
        <v>Jun-27</v>
      </c>
    </row>
    <row r="1211" spans="1:48" hidden="1">
      <c r="A1211" s="599">
        <v>1435</v>
      </c>
      <c r="B1211" s="664" t="s">
        <v>1125</v>
      </c>
      <c r="C1211" s="664" t="s">
        <v>281</v>
      </c>
      <c r="D1211" s="755">
        <v>110921</v>
      </c>
      <c r="E1211" s="756" t="s">
        <v>2341</v>
      </c>
      <c r="F1211" s="647" t="s">
        <v>17</v>
      </c>
      <c r="G1211" s="647" t="s">
        <v>18</v>
      </c>
      <c r="H1211" s="647" t="s">
        <v>102</v>
      </c>
      <c r="I1211" s="575" t="s">
        <v>2342</v>
      </c>
      <c r="J1211" s="575">
        <v>1</v>
      </c>
      <c r="K1211" s="647" t="s">
        <v>85</v>
      </c>
      <c r="L1211" s="749">
        <v>44739</v>
      </c>
      <c r="M1211" s="665" t="s">
        <v>2343</v>
      </c>
      <c r="N1211" s="647" t="s">
        <v>221</v>
      </c>
      <c r="O1211" s="575">
        <v>2022.6</v>
      </c>
      <c r="P1211" s="665" t="str">
        <f>VLOOKUP(A1211,'[1]Raw data'!$B:$BA,23,FALSE)</f>
        <v>JPY</v>
      </c>
      <c r="Q1211" s="647" t="str">
        <f>VLOOKUP(A1211,'[1]Raw data'!$B:$Z,2,FALSE)</f>
        <v>C49SZX20210173AY</v>
      </c>
      <c r="R1211" s="647" t="str">
        <f>VLOOKUP(A1211,'[1]Raw data'!$B:$Z,3,FALSE)</f>
        <v>三丽（End user:东莞长志）</v>
      </c>
      <c r="S1211" s="647" t="str">
        <f>VLOOKUP(A1211,'[1]Raw data'!$B:$Z,4,FALSE)</f>
        <v>YSM10</v>
      </c>
      <c r="T1211" s="647" t="str">
        <f>VLOOKUP(A1211,'[1]Raw data'!$B:$Z,8,FALSE)</f>
        <v>L-&gt;R</v>
      </c>
      <c r="U1211" s="647" t="str">
        <f>VLOOKUP(A1211,'[1]Raw data'!$B:$Z,9,FALSE)</f>
        <v>No</v>
      </c>
      <c r="V1211" s="567" t="str">
        <f>IF(G1211&amp;H1211=T1211&amp;U1211,"OK","WRONG")</f>
        <v>WRONG</v>
      </c>
      <c r="W1211" s="563" t="str">
        <f>VLOOKUP(A1211,'[1]Raw data'!$B:$AG,32,FALSE)</f>
        <v>DAP SZ</v>
      </c>
      <c r="X1211" s="647">
        <f>VLOOKUP(A1211,'[1]Raw data'!$B:$BA,31,FALSE)</f>
        <v>44369</v>
      </c>
      <c r="Y1211" s="647" t="str">
        <f>VLOOKUP(A1211,'[1]Raw data'!$B:$AS,39,FALSE)</f>
        <v>Yes</v>
      </c>
      <c r="Z1211" s="659"/>
      <c r="AA1211" s="660"/>
      <c r="AB1211" s="661"/>
      <c r="AC1211" s="647" t="s">
        <v>2344</v>
      </c>
      <c r="AD1211" s="575">
        <v>301</v>
      </c>
      <c r="AE1211" s="575">
        <v>5</v>
      </c>
      <c r="AF1211" s="575">
        <v>302</v>
      </c>
      <c r="AG1211" s="575">
        <v>5</v>
      </c>
      <c r="AH1211" s="575"/>
      <c r="AI1211" s="679"/>
      <c r="AJ1211" s="564"/>
      <c r="AK1211" s="564"/>
      <c r="AL1211" s="564"/>
      <c r="AM1211" s="564"/>
      <c r="AN1211" s="614"/>
      <c r="AO1211" s="824" t="str">
        <f t="shared" si="246"/>
        <v>Yes</v>
      </c>
      <c r="AP1211" s="259" t="str">
        <f t="shared" si="247"/>
        <v>AUG 22</v>
      </c>
      <c r="AQ1211" s="542" t="str">
        <f t="shared" si="248"/>
        <v>有定金+有預留客戶</v>
      </c>
      <c r="AR1211" s="259" t="str">
        <f t="shared" si="249"/>
        <v>Shipped_Stock</v>
      </c>
      <c r="AS1211" s="259" t="str">
        <f t="shared" si="250"/>
        <v/>
      </c>
      <c r="AT1211" s="259" t="str">
        <f t="shared" si="251"/>
        <v>三丽（End user:东莞长志）</v>
      </c>
      <c r="AU1211" s="259" t="str">
        <f t="shared" si="252"/>
        <v>C49SZX20210173AY</v>
      </c>
      <c r="AV1211" s="259" t="str">
        <f t="shared" si="253"/>
        <v>Jun-27</v>
      </c>
    </row>
    <row r="1212" spans="1:48" ht="13.5" hidden="1" thickBot="1">
      <c r="A1212" s="599">
        <v>1629</v>
      </c>
      <c r="B1212" s="664" t="s">
        <v>1125</v>
      </c>
      <c r="C1212" s="664" t="s">
        <v>281</v>
      </c>
      <c r="D1212" s="624">
        <v>110930</v>
      </c>
      <c r="E1212" s="756" t="s">
        <v>2345</v>
      </c>
      <c r="F1212" s="647" t="s">
        <v>17</v>
      </c>
      <c r="G1212" s="647" t="s">
        <v>18</v>
      </c>
      <c r="H1212" s="647" t="s">
        <v>34</v>
      </c>
      <c r="I1212" s="575" t="s">
        <v>2346</v>
      </c>
      <c r="J1212" s="575">
        <v>1</v>
      </c>
      <c r="K1212" s="647" t="s">
        <v>85</v>
      </c>
      <c r="L1212" s="749">
        <v>44739</v>
      </c>
      <c r="M1212" s="665">
        <v>5.2699999999999997E-2</v>
      </c>
      <c r="N1212" s="647" t="s">
        <v>2231</v>
      </c>
      <c r="O1212" s="575">
        <v>2022.6</v>
      </c>
      <c r="P1212" s="665" t="str">
        <f>VLOOKUP(A1212,'[1]Raw data'!$B:$BA,23,FALSE)</f>
        <v>JPY</v>
      </c>
      <c r="Q1212" s="647" t="str">
        <f>VLOOKUP(A1212,'[1]Raw data'!$B:$Z,2,FALSE)</f>
        <v>C49SZX20220035R1SS</v>
      </c>
      <c r="R1212" s="647" t="str">
        <f>VLOOKUP(A1212,'[1]Raw data'!$B:$Z,3,FALSE)</f>
        <v>中润互联</v>
      </c>
      <c r="S1212" s="647" t="str">
        <f>VLOOKUP(A1212,'[1]Raw data'!$B:$Z,4,FALSE)</f>
        <v>YSM10</v>
      </c>
      <c r="T1212" s="647" t="str">
        <f>VLOOKUP(A1212,'[1]Raw data'!$B:$Z,8,FALSE)</f>
        <v>L-&gt;R</v>
      </c>
      <c r="U1212" s="647" t="str">
        <f>VLOOKUP(A1212,'[1]Raw data'!$B:$Z,9,FALSE)</f>
        <v>MVC+ATS15</v>
      </c>
      <c r="V1212" s="567" t="str">
        <f t="shared" ref="V1212:V1238" si="265">IF(G1212&amp;H1212=T1212&amp;U1212,"OK","WRONG")</f>
        <v>WRONG</v>
      </c>
      <c r="W1212" s="563" t="str">
        <f>VLOOKUP(A1212,'[1]Raw data'!$B:$AG,32,FALSE)</f>
        <v>DAP SZ</v>
      </c>
      <c r="X1212" s="647">
        <f>VLOOKUP(A1212,'[1]Raw data'!$B:$BA,31,FALSE)</f>
        <v>44641</v>
      </c>
      <c r="Y1212" s="647" t="str">
        <f>VLOOKUP(A1212,'[1]Raw data'!$B:$AS,39,FALSE)</f>
        <v>Yes</v>
      </c>
      <c r="Z1212" s="659"/>
      <c r="AA1212" s="660"/>
      <c r="AB1212" s="661"/>
      <c r="AC1212" s="647" t="s">
        <v>2255</v>
      </c>
      <c r="AD1212" s="575">
        <v>301</v>
      </c>
      <c r="AE1212" s="575">
        <v>5</v>
      </c>
      <c r="AF1212" s="575">
        <v>302</v>
      </c>
      <c r="AG1212" s="575">
        <v>2</v>
      </c>
      <c r="AH1212" s="575">
        <v>303</v>
      </c>
      <c r="AI1212" s="679">
        <v>2</v>
      </c>
      <c r="AJ1212" s="575">
        <v>304</v>
      </c>
      <c r="AK1212" s="564">
        <v>1</v>
      </c>
      <c r="AL1212" s="564"/>
      <c r="AM1212" s="564"/>
      <c r="AN1212" s="614"/>
      <c r="AO1212" s="824" t="str">
        <f t="shared" si="246"/>
        <v>Yes</v>
      </c>
      <c r="AP1212" s="259" t="str">
        <f t="shared" si="247"/>
        <v>JUL 22</v>
      </c>
      <c r="AQ1212" s="542" t="str">
        <f t="shared" si="248"/>
        <v>有定金+有預留客戶</v>
      </c>
      <c r="AR1212" s="259" t="str">
        <f t="shared" si="249"/>
        <v>Shipped_Stock</v>
      </c>
      <c r="AS1212" s="259" t="str">
        <f t="shared" si="250"/>
        <v/>
      </c>
      <c r="AT1212" s="259" t="str">
        <f t="shared" si="251"/>
        <v>中润互联</v>
      </c>
      <c r="AU1212" s="259" t="str">
        <f t="shared" si="252"/>
        <v>C49SZX20220035R1SS</v>
      </c>
      <c r="AV1212" s="259" t="str">
        <f t="shared" si="253"/>
        <v>Jun-27</v>
      </c>
    </row>
    <row r="1213" spans="1:48" ht="22.5" hidden="1">
      <c r="A1213" s="599">
        <v>1646</v>
      </c>
      <c r="B1213" s="664" t="s">
        <v>1125</v>
      </c>
      <c r="C1213" s="664" t="s">
        <v>281</v>
      </c>
      <c r="D1213" s="783">
        <v>110924</v>
      </c>
      <c r="E1213" s="784" t="s">
        <v>2347</v>
      </c>
      <c r="F1213" s="785" t="s">
        <v>17</v>
      </c>
      <c r="G1213" s="785" t="s">
        <v>18</v>
      </c>
      <c r="H1213" s="785" t="s">
        <v>102</v>
      </c>
      <c r="I1213" s="735" t="s">
        <v>2348</v>
      </c>
      <c r="J1213" s="735">
        <v>1</v>
      </c>
      <c r="K1213" s="785" t="s">
        <v>85</v>
      </c>
      <c r="L1213" s="786">
        <v>44739</v>
      </c>
      <c r="M1213" s="787" t="s">
        <v>2349</v>
      </c>
      <c r="N1213" s="647" t="s">
        <v>221</v>
      </c>
      <c r="O1213" s="575">
        <v>2022.6</v>
      </c>
      <c r="P1213" s="665" t="str">
        <f>VLOOKUP(A1213,'[1]Raw data'!$B:$BA,23,FALSE)</f>
        <v>JPY</v>
      </c>
      <c r="Q1213" s="647" t="str">
        <f>VLOOKUP(A1213,'[1]Raw data'!$B:$Z,2,FALSE)</f>
        <v>C49SZX20220046JL</v>
      </c>
      <c r="R1213" s="647" t="str">
        <f>VLOOKUP(A1213,'[1]Raw data'!$B:$Z,3,FALSE)</f>
        <v>快宇</v>
      </c>
      <c r="S1213" s="647" t="str">
        <f>VLOOKUP(A1213,'[1]Raw data'!$B:$Z,4,FALSE)</f>
        <v>YSM10</v>
      </c>
      <c r="T1213" s="647" t="str">
        <f>VLOOKUP(A1213,'[1]Raw data'!$B:$Z,8,FALSE)</f>
        <v>L-&gt;R</v>
      </c>
      <c r="U1213" s="647" t="str">
        <f>VLOOKUP(A1213,'[1]Raw data'!$B:$Z,9,FALSE)</f>
        <v>MVC</v>
      </c>
      <c r="V1213" s="567" t="str">
        <f>IF(G1213&amp;H1213=T1213&amp;U1213,"OK","WRONG")</f>
        <v>WRONG</v>
      </c>
      <c r="W1213" s="563" t="str">
        <f>VLOOKUP(A1213,'[1]Raw data'!$B:$AG,32,FALSE)</f>
        <v>DAP SZ</v>
      </c>
      <c r="X1213" s="647">
        <f>VLOOKUP(A1213,'[1]Raw data'!$B:$BA,31,FALSE)</f>
        <v>44669</v>
      </c>
      <c r="Y1213" s="647" t="str">
        <f>VLOOKUP(A1213,'[1]Raw data'!$B:$AS,39,FALSE)</f>
        <v>Yes</v>
      </c>
      <c r="Z1213" s="659"/>
      <c r="AA1213" s="660"/>
      <c r="AB1213" s="661"/>
      <c r="AC1213" s="647" t="s">
        <v>2306</v>
      </c>
      <c r="AD1213" s="575">
        <v>301</v>
      </c>
      <c r="AE1213" s="575">
        <v>5</v>
      </c>
      <c r="AF1213" s="575">
        <v>302</v>
      </c>
      <c r="AG1213" s="575">
        <v>5</v>
      </c>
      <c r="AH1213" s="575"/>
      <c r="AI1213" s="679"/>
      <c r="AJ1213" s="564"/>
      <c r="AK1213" s="564"/>
      <c r="AL1213" s="564"/>
      <c r="AM1213" s="564"/>
      <c r="AN1213" s="614"/>
      <c r="AO1213" s="824" t="str">
        <f t="shared" si="246"/>
        <v>Yes</v>
      </c>
      <c r="AP1213" s="259" t="str">
        <f t="shared" si="247"/>
        <v>AUG 22</v>
      </c>
      <c r="AQ1213" s="542" t="str">
        <f t="shared" si="248"/>
        <v>有定金+有預留客戶</v>
      </c>
      <c r="AR1213" s="259" t="str">
        <f t="shared" si="249"/>
        <v>Shipped_Stock</v>
      </c>
      <c r="AS1213" s="259" t="str">
        <f t="shared" si="250"/>
        <v/>
      </c>
      <c r="AT1213" s="259" t="str">
        <f t="shared" si="251"/>
        <v>快宇</v>
      </c>
      <c r="AU1213" s="259" t="str">
        <f t="shared" si="252"/>
        <v>C49SZX20220046JL</v>
      </c>
      <c r="AV1213" s="259" t="str">
        <f t="shared" si="253"/>
        <v>Jun-27</v>
      </c>
    </row>
    <row r="1214" spans="1:48" ht="24.75" hidden="1">
      <c r="A1214" s="599">
        <v>1699</v>
      </c>
      <c r="B1214" s="664" t="s">
        <v>1125</v>
      </c>
      <c r="C1214" s="664" t="s">
        <v>281</v>
      </c>
      <c r="D1214" s="755">
        <v>110922</v>
      </c>
      <c r="E1214" s="756" t="s">
        <v>2350</v>
      </c>
      <c r="F1214" s="647" t="s">
        <v>17</v>
      </c>
      <c r="G1214" s="647" t="s">
        <v>18</v>
      </c>
      <c r="H1214" s="647" t="s">
        <v>102</v>
      </c>
      <c r="I1214" s="751" t="s">
        <v>2351</v>
      </c>
      <c r="J1214" s="575">
        <v>1</v>
      </c>
      <c r="K1214" s="647" t="s">
        <v>1419</v>
      </c>
      <c r="L1214" s="749">
        <v>44739</v>
      </c>
      <c r="M1214" s="665" t="s">
        <v>2331</v>
      </c>
      <c r="N1214" s="647" t="s">
        <v>219</v>
      </c>
      <c r="O1214" s="575">
        <v>2022.6</v>
      </c>
      <c r="P1214" s="665" t="str">
        <f>VLOOKUP(A1214,'[1]Raw data'!$B:$BA,23,FALSE)</f>
        <v>RMB</v>
      </c>
      <c r="Q1214" s="647" t="str">
        <f>VLOOKUP(A1214,'[1]Raw data'!$B:$Z,2,FALSE)</f>
        <v>C49SZX20220079JL</v>
      </c>
      <c r="R1214" s="647" t="str">
        <f>VLOOKUP(A1214,'[1]Raw data'!$B:$Z,3,FALSE)</f>
        <v>铭翔</v>
      </c>
      <c r="S1214" s="647" t="str">
        <f>VLOOKUP(A1214,'[1]Raw data'!$B:$Z,4,FALSE)</f>
        <v>YSM10</v>
      </c>
      <c r="T1214" s="647" t="str">
        <f>VLOOKUP(A1214,'[1]Raw data'!$B:$Z,8,FALSE)</f>
        <v>L-&gt;R</v>
      </c>
      <c r="U1214" s="647" t="str">
        <f>VLOOKUP(A1214,'[1]Raw data'!$B:$Z,9,FALSE)</f>
        <v>MVC</v>
      </c>
      <c r="V1214" s="567" t="str">
        <f>IF(G1214&amp;H1214=T1214&amp;U1214,"OK","WRONG")</f>
        <v>WRONG</v>
      </c>
      <c r="W1214" s="563" t="str">
        <f>VLOOKUP(A1214,'[1]Raw data'!$B:$AG,32,FALSE)</f>
        <v>DDP  DG</v>
      </c>
      <c r="X1214" s="647">
        <f>VLOOKUP(A1214,'[1]Raw data'!$B:$BA,31,FALSE)</f>
        <v>44751</v>
      </c>
      <c r="Y1214" s="647" t="str">
        <f>VLOOKUP(A1214,'[1]Raw data'!$B:$AS,39,FALSE)</f>
        <v>Yes</v>
      </c>
      <c r="Z1214" s="659"/>
      <c r="AA1214" s="660"/>
      <c r="AB1214" s="661"/>
      <c r="AC1214" s="647" t="s">
        <v>772</v>
      </c>
      <c r="AD1214" s="575">
        <v>301</v>
      </c>
      <c r="AE1214" s="575">
        <v>10</v>
      </c>
      <c r="AF1214" s="575"/>
      <c r="AG1214" s="575"/>
      <c r="AH1214" s="575"/>
      <c r="AI1214" s="679"/>
      <c r="AJ1214" s="564"/>
      <c r="AK1214" s="564"/>
      <c r="AL1214" s="564"/>
      <c r="AM1214" s="564"/>
      <c r="AN1214" s="614"/>
      <c r="AO1214" s="824" t="str">
        <f t="shared" si="246"/>
        <v>Yes</v>
      </c>
      <c r="AP1214" s="259" t="str">
        <f t="shared" si="247"/>
        <v>SEP 22</v>
      </c>
      <c r="AQ1214" s="542" t="str">
        <f t="shared" si="248"/>
        <v>有定金+有預留客戶</v>
      </c>
      <c r="AR1214" s="259" t="str">
        <f t="shared" si="249"/>
        <v>Shipped_Stock</v>
      </c>
      <c r="AS1214" s="259" t="str">
        <f t="shared" si="250"/>
        <v/>
      </c>
      <c r="AT1214" s="259" t="str">
        <f t="shared" si="251"/>
        <v>铭翔</v>
      </c>
      <c r="AU1214" s="259" t="str">
        <f t="shared" si="252"/>
        <v>C49SZX20220079JL</v>
      </c>
      <c r="AV1214" s="259" t="str">
        <f t="shared" si="253"/>
        <v>Jun-27</v>
      </c>
    </row>
    <row r="1215" spans="1:48" hidden="1">
      <c r="A1215" s="559">
        <v>1717</v>
      </c>
      <c r="B1215" s="664" t="s">
        <v>1125</v>
      </c>
      <c r="C1215" s="664" t="s">
        <v>281</v>
      </c>
      <c r="D1215" s="755">
        <v>110922</v>
      </c>
      <c r="E1215" s="756" t="s">
        <v>2350</v>
      </c>
      <c r="F1215" s="647" t="s">
        <v>17</v>
      </c>
      <c r="G1215" s="647" t="s">
        <v>18</v>
      </c>
      <c r="H1215" s="647" t="s">
        <v>102</v>
      </c>
      <c r="I1215" s="575" t="s">
        <v>2352</v>
      </c>
      <c r="J1215" s="575">
        <v>1</v>
      </c>
      <c r="K1215" s="647" t="s">
        <v>1419</v>
      </c>
      <c r="L1215" s="749">
        <v>44739</v>
      </c>
      <c r="M1215" s="665" t="s">
        <v>2331</v>
      </c>
      <c r="N1215" s="647" t="s">
        <v>219</v>
      </c>
      <c r="O1215" s="575">
        <v>2022.6</v>
      </c>
      <c r="P1215" s="665" t="str">
        <f>VLOOKUP(A1215,'[1]Raw data'!$B:$BA,23,FALSE)</f>
        <v>RMB</v>
      </c>
      <c r="Q1215" s="647" t="str">
        <f>VLOOKUP(A1215,'[1]Raw data'!$B:$Z,2,FALSE)</f>
        <v>C49SZX20220090SQ</v>
      </c>
      <c r="R1215" s="647" t="str">
        <f>VLOOKUP(A1215,'[1]Raw data'!$B:$Z,3,FALSE)</f>
        <v>维创斯特</v>
      </c>
      <c r="S1215" s="647" t="str">
        <f>VLOOKUP(A1215,'[1]Raw data'!$B:$Z,4,FALSE)</f>
        <v>YSM10</v>
      </c>
      <c r="T1215" s="647" t="str">
        <f>VLOOKUP(A1215,'[1]Raw data'!$B:$Z,8,FALSE)</f>
        <v>L-&gt;R</v>
      </c>
      <c r="U1215" s="647" t="str">
        <f>VLOOKUP(A1215,'[1]Raw data'!$B:$Z,9,FALSE)</f>
        <v>MVC</v>
      </c>
      <c r="V1215" s="567" t="str">
        <f>IF(G1215&amp;H1215=T1215&amp;U1215,"OK","WRONG")</f>
        <v>WRONG</v>
      </c>
      <c r="W1215" s="563" t="str">
        <f>VLOOKUP(A1215,'[1]Raw data'!$B:$AG,32,FALSE)</f>
        <v>DDP SZ</v>
      </c>
      <c r="X1215" s="647">
        <f>VLOOKUP(A1215,'[1]Raw data'!$B:$BA,31,FALSE)</f>
        <v>44791</v>
      </c>
      <c r="Y1215" s="647" t="str">
        <f>VLOOKUP(A1215,'[1]Raw data'!$B:$AS,39,FALSE)</f>
        <v>Yes</v>
      </c>
      <c r="Z1215" s="659"/>
      <c r="AA1215" s="660"/>
      <c r="AB1215" s="661"/>
      <c r="AC1215" s="647" t="s">
        <v>2353</v>
      </c>
      <c r="AD1215" s="662">
        <v>301</v>
      </c>
      <c r="AE1215" s="662">
        <v>10</v>
      </c>
      <c r="AF1215" s="662"/>
      <c r="AG1215" s="662"/>
      <c r="AH1215" s="662"/>
      <c r="AI1215" s="663"/>
      <c r="AN1215" s="542"/>
      <c r="AO1215" s="824" t="str">
        <f t="shared" si="246"/>
        <v>Yes</v>
      </c>
      <c r="AP1215" s="259" t="str">
        <f t="shared" si="247"/>
        <v>SEP 22</v>
      </c>
      <c r="AQ1215" s="542" t="str">
        <f t="shared" si="248"/>
        <v>有定金+有預留客戶</v>
      </c>
      <c r="AR1215" s="259" t="str">
        <f t="shared" si="249"/>
        <v>Shipped_Stock</v>
      </c>
      <c r="AS1215" s="259" t="str">
        <f t="shared" si="250"/>
        <v/>
      </c>
      <c r="AT1215" s="259" t="str">
        <f t="shared" si="251"/>
        <v>维创斯特</v>
      </c>
      <c r="AU1215" s="259" t="str">
        <f t="shared" si="252"/>
        <v>C49SZX20220090SQ</v>
      </c>
      <c r="AV1215" s="259" t="str">
        <f t="shared" si="253"/>
        <v>Jun-27</v>
      </c>
    </row>
    <row r="1216" spans="1:48" hidden="1">
      <c r="A1216" s="599">
        <v>1542</v>
      </c>
      <c r="B1216" s="664" t="s">
        <v>1125</v>
      </c>
      <c r="C1216" s="664" t="s">
        <v>281</v>
      </c>
      <c r="D1216" s="755">
        <v>110922</v>
      </c>
      <c r="E1216" s="756" t="s">
        <v>2350</v>
      </c>
      <c r="F1216" s="647" t="s">
        <v>17</v>
      </c>
      <c r="G1216" s="647" t="s">
        <v>18</v>
      </c>
      <c r="H1216" s="647" t="s">
        <v>102</v>
      </c>
      <c r="I1216" s="575" t="s">
        <v>2354</v>
      </c>
      <c r="J1216" s="575">
        <v>1</v>
      </c>
      <c r="K1216" s="647" t="s">
        <v>1419</v>
      </c>
      <c r="L1216" s="749">
        <v>44739</v>
      </c>
      <c r="M1216" s="665" t="s">
        <v>2355</v>
      </c>
      <c r="N1216" s="647" t="s">
        <v>219</v>
      </c>
      <c r="O1216" s="575">
        <v>2022.6</v>
      </c>
      <c r="P1216" s="665" t="str">
        <f>VLOOKUP(A1216,'[1]Raw data'!$B:$BA,23,FALSE)</f>
        <v>JPY</v>
      </c>
      <c r="Q1216" s="647" t="str">
        <f>VLOOKUP(A1216,'[1]Raw data'!$B:$Z,2,FALSE)</f>
        <v>C49SZX20220004EC</v>
      </c>
      <c r="R1216" s="647" t="str">
        <f>VLOOKUP(A1216,'[1]Raw data'!$B:$Z,3,FALSE)</f>
        <v>恒泰创新</v>
      </c>
      <c r="S1216" s="647" t="str">
        <f>VLOOKUP(A1216,'[1]Raw data'!$B:$Z,4,FALSE)</f>
        <v>YSM10</v>
      </c>
      <c r="T1216" s="647" t="str">
        <f>VLOOKUP(A1216,'[1]Raw data'!$B:$Z,8,FALSE)</f>
        <v>L-&gt;R</v>
      </c>
      <c r="U1216" s="647" t="str">
        <f>VLOOKUP(A1216,'[1]Raw data'!$B:$Z,9,FALSE)</f>
        <v>MVC</v>
      </c>
      <c r="V1216" s="567" t="str">
        <f>IF(G1216&amp;H1216=T1216&amp;U1216,"OK","WRONG")</f>
        <v>WRONG</v>
      </c>
      <c r="W1216" s="563" t="str">
        <f>VLOOKUP(A1216,'[1]Raw data'!$B:$AG,32,FALSE)</f>
        <v>DAP SZ</v>
      </c>
      <c r="X1216" s="647">
        <f>VLOOKUP(A1216,'[1]Raw data'!$B:$BA,31,FALSE)</f>
        <v>44568</v>
      </c>
      <c r="Y1216" s="647" t="str">
        <f>VLOOKUP(A1216,'[1]Raw data'!$B:$AS,39,FALSE)</f>
        <v>Yes</v>
      </c>
      <c r="Z1216" s="659"/>
      <c r="AA1216" s="660"/>
      <c r="AB1216" s="661"/>
      <c r="AC1216" s="647" t="s">
        <v>2356</v>
      </c>
      <c r="AD1216" s="575">
        <v>302</v>
      </c>
      <c r="AE1216" s="575">
        <v>10</v>
      </c>
      <c r="AF1216" s="575"/>
      <c r="AG1216" s="575"/>
      <c r="AH1216" s="575"/>
      <c r="AI1216" s="679"/>
      <c r="AJ1216" s="564"/>
      <c r="AK1216" s="564"/>
      <c r="AL1216" s="564"/>
      <c r="AM1216" s="564"/>
      <c r="AN1216" s="614"/>
      <c r="AO1216" s="824" t="str">
        <f t="shared" si="246"/>
        <v>Yes</v>
      </c>
      <c r="AP1216" s="259" t="str">
        <f t="shared" si="247"/>
        <v>SEP 22</v>
      </c>
      <c r="AQ1216" s="542" t="str">
        <f t="shared" si="248"/>
        <v>有定金+有預留客戶</v>
      </c>
      <c r="AR1216" s="259" t="str">
        <f t="shared" si="249"/>
        <v>Shipped_Stock</v>
      </c>
      <c r="AS1216" s="259" t="str">
        <f t="shared" si="250"/>
        <v/>
      </c>
      <c r="AT1216" s="259" t="str">
        <f t="shared" si="251"/>
        <v>恒泰创新</v>
      </c>
      <c r="AU1216" s="259" t="str">
        <f t="shared" si="252"/>
        <v>C49SZX20220004EC</v>
      </c>
      <c r="AV1216" s="259" t="str">
        <f t="shared" si="253"/>
        <v>Jun-27</v>
      </c>
    </row>
    <row r="1217" spans="1:48" hidden="1">
      <c r="A1217" s="599">
        <v>1728</v>
      </c>
      <c r="B1217" s="664" t="s">
        <v>1125</v>
      </c>
      <c r="C1217" s="664" t="s">
        <v>281</v>
      </c>
      <c r="D1217" s="755">
        <v>110922</v>
      </c>
      <c r="E1217" s="756" t="s">
        <v>2350</v>
      </c>
      <c r="F1217" s="647" t="s">
        <v>17</v>
      </c>
      <c r="G1217" s="647" t="s">
        <v>18</v>
      </c>
      <c r="H1217" s="647" t="s">
        <v>102</v>
      </c>
      <c r="I1217" s="575" t="s">
        <v>2357</v>
      </c>
      <c r="J1217" s="575">
        <v>1</v>
      </c>
      <c r="K1217" s="647" t="s">
        <v>1419</v>
      </c>
      <c r="L1217" s="749">
        <v>44739</v>
      </c>
      <c r="M1217" s="665" t="s">
        <v>2331</v>
      </c>
      <c r="N1217" s="647" t="s">
        <v>205</v>
      </c>
      <c r="O1217" s="575">
        <v>2022.6</v>
      </c>
      <c r="P1217" s="665" t="str">
        <f>VLOOKUP(A1217,'[1]Raw data'!$B:$BA,23,FALSE)</f>
        <v>RMB</v>
      </c>
      <c r="Q1217" s="647" t="str">
        <f>VLOOKUP(A1217,'[1]Raw data'!$B:$Z,2,FALSE)</f>
        <v>C49SZX20220100SS</v>
      </c>
      <c r="R1217" s="647" t="str">
        <f>VLOOKUP(A1217,'[1]Raw data'!$B:$Z,3,FALSE)</f>
        <v>世启纳</v>
      </c>
      <c r="S1217" s="647" t="str">
        <f>VLOOKUP(A1217,'[1]Raw data'!$B:$Z,4,FALSE)</f>
        <v>YSM10</v>
      </c>
      <c r="T1217" s="647" t="str">
        <f>VLOOKUP(A1217,'[1]Raw data'!$B:$Z,8,FALSE)</f>
        <v>R-&gt;L</v>
      </c>
      <c r="U1217" s="647" t="str">
        <f>VLOOKUP(A1217,'[1]Raw data'!$B:$Z,9,FALSE)</f>
        <v>MVC</v>
      </c>
      <c r="V1217" s="567" t="str">
        <f>IF(G1217&amp;H1217=T1217&amp;U1217,"OK","WRONG")</f>
        <v>WRONG</v>
      </c>
      <c r="W1217" s="563" t="str">
        <f>VLOOKUP(A1217,'[1]Raw data'!$B:$AG,32,FALSE)</f>
        <v>DDP SZ</v>
      </c>
      <c r="X1217" s="647">
        <f>VLOOKUP(A1217,'[1]Raw data'!$B:$BA,31,FALSE)</f>
        <v>44825</v>
      </c>
      <c r="Y1217" s="647" t="str">
        <f>VLOOKUP(A1217,'[1]Raw data'!$B:$AS,39,FALSE)</f>
        <v>Yes</v>
      </c>
      <c r="Z1217" s="666"/>
      <c r="AA1217" s="660"/>
      <c r="AB1217" s="661"/>
      <c r="AC1217" s="647" t="s">
        <v>2038</v>
      </c>
      <c r="AD1217" s="575">
        <v>302</v>
      </c>
      <c r="AE1217" s="575">
        <v>10</v>
      </c>
      <c r="AF1217" s="575"/>
      <c r="AG1217" s="575"/>
      <c r="AH1217" s="575"/>
      <c r="AI1217" s="679"/>
      <c r="AJ1217" s="564"/>
      <c r="AK1217" s="564"/>
      <c r="AL1217" s="564"/>
      <c r="AM1217" s="564"/>
      <c r="AN1217" s="614"/>
      <c r="AO1217" s="824" t="str">
        <f t="shared" si="246"/>
        <v>Yes</v>
      </c>
      <c r="AP1217" s="259" t="str">
        <f t="shared" si="247"/>
        <v>OCT 22</v>
      </c>
      <c r="AQ1217" s="542" t="str">
        <f t="shared" si="248"/>
        <v>有定金+有預留客戶</v>
      </c>
      <c r="AR1217" s="259" t="str">
        <f t="shared" si="249"/>
        <v>Shipped_Stock</v>
      </c>
      <c r="AS1217" s="259" t="str">
        <f t="shared" si="250"/>
        <v/>
      </c>
      <c r="AT1217" s="259" t="str">
        <f t="shared" si="251"/>
        <v>世启纳</v>
      </c>
      <c r="AU1217" s="259" t="str">
        <f t="shared" si="252"/>
        <v>C49SZX20220100SS</v>
      </c>
      <c r="AV1217" s="259" t="str">
        <f t="shared" si="253"/>
        <v>Jun-27</v>
      </c>
    </row>
    <row r="1218" spans="1:48" hidden="1">
      <c r="A1218" s="599">
        <v>1762</v>
      </c>
      <c r="B1218" s="664" t="s">
        <v>1125</v>
      </c>
      <c r="C1218" s="664" t="s">
        <v>281</v>
      </c>
      <c r="D1218" s="623">
        <v>110919</v>
      </c>
      <c r="E1218" s="788" t="s">
        <v>2358</v>
      </c>
      <c r="F1218" s="647" t="s">
        <v>17</v>
      </c>
      <c r="G1218" s="647" t="s">
        <v>18</v>
      </c>
      <c r="H1218" s="647" t="s">
        <v>48</v>
      </c>
      <c r="I1218" s="575" t="s">
        <v>2359</v>
      </c>
      <c r="J1218" s="575">
        <v>1</v>
      </c>
      <c r="K1218" s="647" t="s">
        <v>1419</v>
      </c>
      <c r="L1218" s="749">
        <v>44739</v>
      </c>
      <c r="M1218" s="665" t="s">
        <v>2360</v>
      </c>
      <c r="N1218" s="647" t="s">
        <v>208</v>
      </c>
      <c r="O1218" s="575">
        <v>2022.6</v>
      </c>
      <c r="P1218" s="665" t="str">
        <f>VLOOKUP(A1218,'[1]Raw data'!$B:$BA,23,FALSE)</f>
        <v>RMB</v>
      </c>
      <c r="Q1218" s="647" t="str">
        <f>VLOOKUP(A1218,'[1]Raw data'!$B:$Z,2,FALSE)</f>
        <v>C49SZX20220117DZ</v>
      </c>
      <c r="R1218" s="647" t="str">
        <f>VLOOKUP(A1218,'[1]Raw data'!$B:$Z,3,FALSE)</f>
        <v>朗特</v>
      </c>
      <c r="S1218" s="647" t="str">
        <f>VLOOKUP(A1218,'[1]Raw data'!$B:$Z,4,FALSE)</f>
        <v>YSM10</v>
      </c>
      <c r="T1218" s="647" t="str">
        <f>VLOOKUP(A1218,'[1]Raw data'!$B:$Z,8,FALSE)</f>
        <v>R-&gt;L</v>
      </c>
      <c r="U1218" s="647" t="str">
        <f>VLOOKUP(A1218,'[1]Raw data'!$B:$Z,9,FALSE)</f>
        <v>MVC+ATS15</v>
      </c>
      <c r="V1218" s="567" t="str">
        <f t="shared" ref="V1218:V1225" si="266">IF(G1218&amp;H1218=T1218&amp;U1218,"OK","WRONG")</f>
        <v>WRONG</v>
      </c>
      <c r="W1218" s="563" t="str">
        <f>VLOOKUP(A1218,'[1]Raw data'!$B:$AG,32,FALSE)</f>
        <v>DDP SZ</v>
      </c>
      <c r="X1218" s="647">
        <f>VLOOKUP(A1218,'[1]Raw data'!$B:$BA,31,FALSE)</f>
        <v>44879</v>
      </c>
      <c r="Y1218" s="647" t="str">
        <f>VLOOKUP(A1218,'[1]Raw data'!$B:$AS,39,FALSE)</f>
        <v>Yes</v>
      </c>
      <c r="Z1218" s="666"/>
      <c r="AA1218" s="660"/>
      <c r="AB1218" s="661"/>
      <c r="AC1218" s="647" t="s">
        <v>2336</v>
      </c>
      <c r="AD1218" s="575">
        <v>301</v>
      </c>
      <c r="AE1218" s="575">
        <v>10</v>
      </c>
      <c r="AF1218" s="575"/>
      <c r="AG1218" s="575"/>
      <c r="AH1218" s="575"/>
      <c r="AI1218" s="679"/>
      <c r="AJ1218" s="564"/>
      <c r="AK1218" s="564"/>
      <c r="AL1218" s="564"/>
      <c r="AM1218" s="564"/>
      <c r="AN1218" s="614"/>
      <c r="AO1218" s="824" t="str">
        <f t="shared" si="246"/>
        <v>Yes</v>
      </c>
      <c r="AP1218" s="259" t="str">
        <f t="shared" si="247"/>
        <v>NOV 22</v>
      </c>
      <c r="AQ1218" s="542" t="str">
        <f t="shared" si="248"/>
        <v>有定金+有預留客戶</v>
      </c>
      <c r="AR1218" s="259" t="str">
        <f t="shared" si="249"/>
        <v>Shipped_Stock</v>
      </c>
      <c r="AS1218" s="259" t="str">
        <f t="shared" si="250"/>
        <v/>
      </c>
      <c r="AT1218" s="259" t="str">
        <f t="shared" si="251"/>
        <v>朗特</v>
      </c>
      <c r="AU1218" s="259" t="str">
        <f t="shared" si="252"/>
        <v>C49SZX20220117DZ</v>
      </c>
      <c r="AV1218" s="259" t="str">
        <f t="shared" si="253"/>
        <v>Jun-27</v>
      </c>
    </row>
    <row r="1219" spans="1:48" hidden="1">
      <c r="A1219" s="599">
        <v>1785</v>
      </c>
      <c r="B1219" s="664" t="s">
        <v>1125</v>
      </c>
      <c r="C1219" s="664" t="s">
        <v>281</v>
      </c>
      <c r="D1219" s="625">
        <v>110919</v>
      </c>
      <c r="E1219" s="788" t="s">
        <v>2358</v>
      </c>
      <c r="F1219" s="647" t="s">
        <v>17</v>
      </c>
      <c r="G1219" s="647" t="s">
        <v>18</v>
      </c>
      <c r="H1219" s="647" t="s">
        <v>48</v>
      </c>
      <c r="I1219" s="575" t="s">
        <v>2361</v>
      </c>
      <c r="J1219" s="575">
        <v>1</v>
      </c>
      <c r="K1219" s="647" t="s">
        <v>1419</v>
      </c>
      <c r="L1219" s="749">
        <v>44739</v>
      </c>
      <c r="M1219" s="665" t="s">
        <v>2360</v>
      </c>
      <c r="N1219" s="647" t="s">
        <v>220</v>
      </c>
      <c r="O1219" s="575">
        <v>2022.6</v>
      </c>
      <c r="P1219" s="665" t="str">
        <f>VLOOKUP(A1219,'[1]Raw data'!$B:$BA,23,FALSE)</f>
        <v>RMB</v>
      </c>
      <c r="Q1219" s="647" t="str">
        <f>VLOOKUP(A1219,'[1]Raw data'!$B:$Z,2,FALSE)</f>
        <v>C49SZX20220127EC</v>
      </c>
      <c r="R1219" s="647" t="str">
        <f>VLOOKUP(A1219,'[1]Raw data'!$B:$Z,3,FALSE)</f>
        <v>海红天远</v>
      </c>
      <c r="S1219" s="647" t="str">
        <f>VLOOKUP(A1219,'[1]Raw data'!$B:$Z,4,FALSE)</f>
        <v>YSM10</v>
      </c>
      <c r="T1219" s="647" t="str">
        <f>VLOOKUP(A1219,'[1]Raw data'!$B:$Z,8,FALSE)</f>
        <v>L-&gt;R</v>
      </c>
      <c r="U1219" s="647" t="str">
        <f>VLOOKUP(A1219,'[1]Raw data'!$B:$Z,9,FALSE)</f>
        <v>MVC+ATS15</v>
      </c>
      <c r="V1219" s="567" t="str">
        <f t="shared" si="266"/>
        <v>WRONG</v>
      </c>
      <c r="W1219" s="563" t="str">
        <f>VLOOKUP(A1219,'[1]Raw data'!$B:$AG,32,FALSE)</f>
        <v>DDP SZ</v>
      </c>
      <c r="X1219" s="647">
        <f>VLOOKUP(A1219,'[1]Raw data'!$B:$BA,31,FALSE)</f>
        <v>44914</v>
      </c>
      <c r="Y1219" s="647" t="str">
        <f>VLOOKUP(A1219,'[1]Raw data'!$B:$AS,39,FALSE)</f>
        <v>Yes</v>
      </c>
      <c r="Z1219" s="666"/>
      <c r="AA1219" s="660"/>
      <c r="AB1219" s="661"/>
      <c r="AC1219" s="647" t="s">
        <v>2207</v>
      </c>
      <c r="AD1219" s="575">
        <v>301</v>
      </c>
      <c r="AE1219" s="575">
        <v>10</v>
      </c>
      <c r="AF1219" s="575"/>
      <c r="AG1219" s="575"/>
      <c r="AH1219" s="575"/>
      <c r="AI1219" s="679"/>
      <c r="AJ1219" s="564"/>
      <c r="AK1219" s="564"/>
      <c r="AL1219" s="564"/>
      <c r="AM1219" s="564"/>
      <c r="AN1219" s="614"/>
      <c r="AO1219" s="824" t="str">
        <f t="shared" ref="AO1219:AO1282" si="267">IFERROR(IF(Y1219&lt;&gt;"",Y1219,"No"),"No")</f>
        <v>Yes</v>
      </c>
      <c r="AP1219" s="259" t="str">
        <f t="shared" ref="AP1219:AP1282" si="268">IFERROR(IF(N1219&lt;&gt;"",N1219,"blank"),"NA")</f>
        <v>DEC 22</v>
      </c>
      <c r="AQ1219" s="542" t="str">
        <f t="shared" ref="AQ1219:AQ1282" si="269">IFERROR(IF(AND(AO1219="Yes", AP1219&lt;&gt;"blank"), "有定金+有預留客戶", IF(AND(AO1219="Yes", AP1219="blank"), "有定金+无客戶送貨期", IF(AND(OR(AO1219="No", ISBLANK(AO1219), AO1219="NA"), AP1219&lt;&gt;"blank"), "无定金+有預留客戶", IF(AND(OR(AO1219="No", ISBLANK(AO1219), AO1219="NA"), AP1219="blank"), "无定金+无預留客戶", "")))), "")</f>
        <v>有定金+有預留客戶</v>
      </c>
      <c r="AR1219" s="259" t="str">
        <f t="shared" ref="AR1219:AR1282" si="270">IFERROR(IF(B1219="已经到货", "Instock", IF(B1219="有交期", "Incoming_Stock_With_YAMAHA_Schedule", IF(B1219="TBA.", "Incoming_Stock_No_YAMAHA_Schedule", IF(B1219="已发货", "Shipped_Stock", "")))), "")</f>
        <v>Shipped_Stock</v>
      </c>
      <c r="AS1219" s="259" t="str">
        <f t="shared" ref="AS1219:AS1282" si="271">IF(AND(B1219="有交期", L1219&lt;&gt;""), L1219, "")</f>
        <v/>
      </c>
      <c r="AT1219" s="259" t="str">
        <f t="shared" ref="AT1219:AT1282" si="272">IFERROR(IF(R1219&lt;&gt;"",R1219),"-")</f>
        <v>海红天远</v>
      </c>
      <c r="AU1219" s="259" t="str">
        <f t="shared" ref="AU1219:AU1282" si="273">IFERROR(IF(Q1219&lt;&gt;"",Q1219),"-")</f>
        <v>C49SZX20220127EC</v>
      </c>
      <c r="AV1219" s="259" t="str">
        <f t="shared" ref="AV1219:AV1282" si="274">IF(L1219="","-",TEXT(L1219,"mmm-dd"))</f>
        <v>Jun-27</v>
      </c>
    </row>
    <row r="1220" spans="1:48" hidden="1">
      <c r="A1220" s="599">
        <v>1786</v>
      </c>
      <c r="B1220" s="664" t="s">
        <v>1125</v>
      </c>
      <c r="C1220" s="664" t="s">
        <v>281</v>
      </c>
      <c r="D1220" s="625">
        <v>110919</v>
      </c>
      <c r="E1220" s="788" t="s">
        <v>2358</v>
      </c>
      <c r="F1220" s="647" t="s">
        <v>17</v>
      </c>
      <c r="G1220" s="647" t="s">
        <v>18</v>
      </c>
      <c r="H1220" s="647" t="s">
        <v>48</v>
      </c>
      <c r="I1220" s="575" t="s">
        <v>2362</v>
      </c>
      <c r="J1220" s="575">
        <v>1</v>
      </c>
      <c r="K1220" s="647" t="s">
        <v>1419</v>
      </c>
      <c r="L1220" s="749">
        <v>44739</v>
      </c>
      <c r="M1220" s="665" t="s">
        <v>2360</v>
      </c>
      <c r="N1220" s="647" t="s">
        <v>220</v>
      </c>
      <c r="O1220" s="575">
        <v>2022.6</v>
      </c>
      <c r="P1220" s="665" t="str">
        <f>VLOOKUP(A1220,'[1]Raw data'!$B:$BA,23,FALSE)</f>
        <v>RMB</v>
      </c>
      <c r="Q1220" s="647" t="str">
        <f>VLOOKUP(A1220,'[1]Raw data'!$B:$Z,2,FALSE)</f>
        <v>C49SZX20220127EC</v>
      </c>
      <c r="R1220" s="647" t="str">
        <f>VLOOKUP(A1220,'[1]Raw data'!$B:$Z,3,FALSE)</f>
        <v>海红天远</v>
      </c>
      <c r="S1220" s="647" t="str">
        <f>VLOOKUP(A1220,'[1]Raw data'!$B:$Z,4,FALSE)</f>
        <v>YSM10</v>
      </c>
      <c r="T1220" s="647" t="str">
        <f>VLOOKUP(A1220,'[1]Raw data'!$B:$Z,8,FALSE)</f>
        <v>R-&gt;L</v>
      </c>
      <c r="U1220" s="647" t="str">
        <f>VLOOKUP(A1220,'[1]Raw data'!$B:$Z,9,FALSE)</f>
        <v>MVC+ATS15</v>
      </c>
      <c r="V1220" s="567" t="str">
        <f t="shared" si="266"/>
        <v>WRONG</v>
      </c>
      <c r="W1220" s="563" t="str">
        <f>VLOOKUP(A1220,'[1]Raw data'!$B:$AG,32,FALSE)</f>
        <v>DDP SZ</v>
      </c>
      <c r="X1220" s="647">
        <f>VLOOKUP(A1220,'[1]Raw data'!$B:$BA,31,FALSE)</f>
        <v>44914</v>
      </c>
      <c r="Y1220" s="647" t="str">
        <f>VLOOKUP(A1220,'[1]Raw data'!$B:$AS,39,FALSE)</f>
        <v>Yes</v>
      </c>
      <c r="Z1220" s="666"/>
      <c r="AA1220" s="660"/>
      <c r="AB1220" s="661"/>
      <c r="AC1220" s="647" t="s">
        <v>2207</v>
      </c>
      <c r="AD1220" s="575">
        <v>301</v>
      </c>
      <c r="AE1220" s="575">
        <v>10</v>
      </c>
      <c r="AF1220" s="575"/>
      <c r="AG1220" s="575"/>
      <c r="AH1220" s="575"/>
      <c r="AI1220" s="679"/>
      <c r="AJ1220" s="564"/>
      <c r="AK1220" s="564"/>
      <c r="AL1220" s="564"/>
      <c r="AM1220" s="564"/>
      <c r="AN1220" s="614"/>
      <c r="AO1220" s="824" t="str">
        <f t="shared" si="267"/>
        <v>Yes</v>
      </c>
      <c r="AP1220" s="259" t="str">
        <f t="shared" si="268"/>
        <v>DEC 22</v>
      </c>
      <c r="AQ1220" s="542" t="str">
        <f t="shared" si="269"/>
        <v>有定金+有預留客戶</v>
      </c>
      <c r="AR1220" s="259" t="str">
        <f t="shared" si="270"/>
        <v>Shipped_Stock</v>
      </c>
      <c r="AS1220" s="259" t="str">
        <f t="shared" si="271"/>
        <v/>
      </c>
      <c r="AT1220" s="259" t="str">
        <f t="shared" si="272"/>
        <v>海红天远</v>
      </c>
      <c r="AU1220" s="259" t="str">
        <f t="shared" si="273"/>
        <v>C49SZX20220127EC</v>
      </c>
      <c r="AV1220" s="259" t="str">
        <f t="shared" si="274"/>
        <v>Jun-27</v>
      </c>
    </row>
    <row r="1221" spans="1:48" ht="22.5" hidden="1">
      <c r="A1221" s="599">
        <v>1721</v>
      </c>
      <c r="B1221" s="664" t="s">
        <v>1125</v>
      </c>
      <c r="C1221" s="664" t="s">
        <v>281</v>
      </c>
      <c r="D1221" s="625" t="s">
        <v>2363</v>
      </c>
      <c r="E1221" s="788" t="s">
        <v>2358</v>
      </c>
      <c r="F1221" s="647" t="s">
        <v>17</v>
      </c>
      <c r="G1221" s="647" t="s">
        <v>18</v>
      </c>
      <c r="H1221" s="647" t="s">
        <v>102</v>
      </c>
      <c r="I1221" s="575" t="s">
        <v>2364</v>
      </c>
      <c r="J1221" s="575">
        <v>1</v>
      </c>
      <c r="K1221" s="647" t="s">
        <v>1419</v>
      </c>
      <c r="L1221" s="749">
        <v>44739</v>
      </c>
      <c r="M1221" s="665" t="s">
        <v>2365</v>
      </c>
      <c r="N1221" s="647" t="s">
        <v>205</v>
      </c>
      <c r="O1221" s="575">
        <v>2022.6</v>
      </c>
      <c r="P1221" s="665" t="str">
        <f>VLOOKUP(A1221,'[1]Raw data'!$B:$BA,23,FALSE)</f>
        <v>JPY</v>
      </c>
      <c r="Q1221" s="647" t="str">
        <f>VLOOKUP(A1221,'[1]Raw data'!$B:$Z,2,FALSE)</f>
        <v>C49SZX20220096JL</v>
      </c>
      <c r="R1221" s="647" t="str">
        <f>VLOOKUP(A1221,'[1]Raw data'!$B:$Z,3,FALSE)</f>
        <v>倍斯特</v>
      </c>
      <c r="S1221" s="647" t="str">
        <f>VLOOKUP(A1221,'[1]Raw data'!$B:$Z,4,FALSE)</f>
        <v>YSM10</v>
      </c>
      <c r="T1221" s="647" t="str">
        <f>VLOOKUP(A1221,'[1]Raw data'!$B:$Z,8,FALSE)</f>
        <v>L-&gt;R</v>
      </c>
      <c r="U1221" s="647" t="str">
        <f>VLOOKUP(A1221,'[1]Raw data'!$B:$Z,9,FALSE)</f>
        <v>MVC</v>
      </c>
      <c r="V1221" s="567" t="str">
        <f t="shared" si="266"/>
        <v>WRONG</v>
      </c>
      <c r="W1221" s="563" t="str">
        <f>VLOOKUP(A1221,'[1]Raw data'!$B:$AG,32,FALSE)</f>
        <v>DAP SZ</v>
      </c>
      <c r="X1221" s="647">
        <f>VLOOKUP(A1221,'[1]Raw data'!$B:$BA,31,FALSE)</f>
        <v>44819</v>
      </c>
      <c r="Y1221" s="647" t="str">
        <f>VLOOKUP(A1221,'[1]Raw data'!$B:$AS,39,FALSE)</f>
        <v>Yes</v>
      </c>
      <c r="Z1221" s="666"/>
      <c r="AA1221" s="660"/>
      <c r="AB1221" s="661"/>
      <c r="AC1221" s="647" t="s">
        <v>2366</v>
      </c>
      <c r="AD1221" s="575">
        <v>302</v>
      </c>
      <c r="AE1221" s="575">
        <v>10</v>
      </c>
      <c r="AF1221" s="575"/>
      <c r="AG1221" s="575"/>
      <c r="AH1221" s="575"/>
      <c r="AI1221" s="679"/>
      <c r="AJ1221" s="564"/>
      <c r="AK1221" s="564"/>
      <c r="AL1221" s="564"/>
      <c r="AM1221" s="564"/>
      <c r="AN1221" s="614"/>
      <c r="AO1221" s="824" t="str">
        <f t="shared" si="267"/>
        <v>Yes</v>
      </c>
      <c r="AP1221" s="259" t="str">
        <f t="shared" si="268"/>
        <v>OCT 22</v>
      </c>
      <c r="AQ1221" s="542" t="str">
        <f t="shared" si="269"/>
        <v>有定金+有預留客戶</v>
      </c>
      <c r="AR1221" s="259" t="str">
        <f t="shared" si="270"/>
        <v>Shipped_Stock</v>
      </c>
      <c r="AS1221" s="259" t="str">
        <f t="shared" si="271"/>
        <v/>
      </c>
      <c r="AT1221" s="259" t="str">
        <f t="shared" si="272"/>
        <v>倍斯特</v>
      </c>
      <c r="AU1221" s="259" t="str">
        <f t="shared" si="273"/>
        <v>C49SZX20220096JL</v>
      </c>
      <c r="AV1221" s="259" t="str">
        <f t="shared" si="274"/>
        <v>Jun-27</v>
      </c>
    </row>
    <row r="1222" spans="1:48" ht="23.25" hidden="1" thickBot="1">
      <c r="A1222" s="599">
        <v>1722</v>
      </c>
      <c r="B1222" s="664" t="s">
        <v>1125</v>
      </c>
      <c r="C1222" s="664" t="s">
        <v>281</v>
      </c>
      <c r="D1222" s="624">
        <v>110919</v>
      </c>
      <c r="E1222" s="788" t="s">
        <v>2358</v>
      </c>
      <c r="F1222" s="647" t="s">
        <v>17</v>
      </c>
      <c r="G1222" s="647" t="s">
        <v>18</v>
      </c>
      <c r="H1222" s="647" t="s">
        <v>102</v>
      </c>
      <c r="I1222" s="575" t="s">
        <v>2367</v>
      </c>
      <c r="J1222" s="575">
        <v>1</v>
      </c>
      <c r="K1222" s="647" t="s">
        <v>1419</v>
      </c>
      <c r="L1222" s="749">
        <v>44739</v>
      </c>
      <c r="M1222" s="665" t="s">
        <v>2365</v>
      </c>
      <c r="N1222" s="647" t="s">
        <v>205</v>
      </c>
      <c r="O1222" s="575">
        <v>2022.6</v>
      </c>
      <c r="P1222" s="665" t="str">
        <f>VLOOKUP(A1222,'[1]Raw data'!$B:$BA,23,FALSE)</f>
        <v>JPY</v>
      </c>
      <c r="Q1222" s="647" t="str">
        <f>VLOOKUP(A1222,'[1]Raw data'!$B:$Z,2,FALSE)</f>
        <v>C49SZX20220096JL</v>
      </c>
      <c r="R1222" s="647" t="str">
        <f>VLOOKUP(A1222,'[1]Raw data'!$B:$Z,3,FALSE)</f>
        <v>倍斯特</v>
      </c>
      <c r="S1222" s="647" t="str">
        <f>VLOOKUP(A1222,'[1]Raw data'!$B:$Z,4,FALSE)</f>
        <v>YSM10</v>
      </c>
      <c r="T1222" s="647" t="str">
        <f>VLOOKUP(A1222,'[1]Raw data'!$B:$Z,8,FALSE)</f>
        <v>R-&gt;L</v>
      </c>
      <c r="U1222" s="647" t="str">
        <f>VLOOKUP(A1222,'[1]Raw data'!$B:$Z,9,FALSE)</f>
        <v>MVC</v>
      </c>
      <c r="V1222" s="567" t="str">
        <f t="shared" si="266"/>
        <v>WRONG</v>
      </c>
      <c r="W1222" s="563" t="str">
        <f>VLOOKUP(A1222,'[1]Raw data'!$B:$AG,32,FALSE)</f>
        <v>DAP SZ</v>
      </c>
      <c r="X1222" s="647">
        <f>VLOOKUP(A1222,'[1]Raw data'!$B:$BA,31,FALSE)</f>
        <v>44819</v>
      </c>
      <c r="Y1222" s="647" t="str">
        <f>VLOOKUP(A1222,'[1]Raw data'!$B:$AS,39,FALSE)</f>
        <v>Yes</v>
      </c>
      <c r="Z1222" s="666"/>
      <c r="AA1222" s="660"/>
      <c r="AB1222" s="661"/>
      <c r="AC1222" s="647" t="s">
        <v>2366</v>
      </c>
      <c r="AD1222" s="575">
        <v>302</v>
      </c>
      <c r="AE1222" s="575">
        <v>10</v>
      </c>
      <c r="AF1222" s="575"/>
      <c r="AG1222" s="575"/>
      <c r="AH1222" s="575"/>
      <c r="AI1222" s="679"/>
      <c r="AJ1222" s="564"/>
      <c r="AK1222" s="564"/>
      <c r="AL1222" s="564"/>
      <c r="AM1222" s="564"/>
      <c r="AN1222" s="614"/>
      <c r="AO1222" s="824" t="str">
        <f t="shared" si="267"/>
        <v>Yes</v>
      </c>
      <c r="AP1222" s="259" t="str">
        <f t="shared" si="268"/>
        <v>OCT 22</v>
      </c>
      <c r="AQ1222" s="542" t="str">
        <f t="shared" si="269"/>
        <v>有定金+有預留客戶</v>
      </c>
      <c r="AR1222" s="259" t="str">
        <f t="shared" si="270"/>
        <v>Shipped_Stock</v>
      </c>
      <c r="AS1222" s="259" t="str">
        <f t="shared" si="271"/>
        <v/>
      </c>
      <c r="AT1222" s="259" t="str">
        <f t="shared" si="272"/>
        <v>倍斯特</v>
      </c>
      <c r="AU1222" s="259" t="str">
        <f t="shared" si="273"/>
        <v>C49SZX20220096JL</v>
      </c>
      <c r="AV1222" s="259" t="str">
        <f t="shared" si="274"/>
        <v>Jun-27</v>
      </c>
    </row>
    <row r="1223" spans="1:48" ht="13.5" hidden="1" thickBot="1">
      <c r="A1223" s="599">
        <v>1723</v>
      </c>
      <c r="B1223" s="664" t="s">
        <v>1125</v>
      </c>
      <c r="C1223" s="664" t="s">
        <v>281</v>
      </c>
      <c r="D1223" s="789">
        <v>110919</v>
      </c>
      <c r="E1223" s="788" t="s">
        <v>2358</v>
      </c>
      <c r="F1223" s="647" t="s">
        <v>17</v>
      </c>
      <c r="G1223" s="647" t="s">
        <v>18</v>
      </c>
      <c r="H1223" s="647" t="s">
        <v>102</v>
      </c>
      <c r="I1223" s="575" t="s">
        <v>2368</v>
      </c>
      <c r="J1223" s="575">
        <v>1</v>
      </c>
      <c r="K1223" s="647" t="s">
        <v>1419</v>
      </c>
      <c r="L1223" s="749">
        <v>44739</v>
      </c>
      <c r="M1223" s="665" t="s">
        <v>2369</v>
      </c>
      <c r="N1223" s="647" t="s">
        <v>205</v>
      </c>
      <c r="O1223" s="575">
        <v>2022.6</v>
      </c>
      <c r="P1223" s="665" t="str">
        <f>VLOOKUP(A1223,'[1]Raw data'!$B:$BA,23,FALSE)</f>
        <v>JPY</v>
      </c>
      <c r="Q1223" s="647" t="str">
        <f>VLOOKUP(A1223,'[1]Raw data'!$B:$Z,2,FALSE)</f>
        <v>C49SZX20220096JL</v>
      </c>
      <c r="R1223" s="647" t="str">
        <f>VLOOKUP(A1223,'[1]Raw data'!$B:$Z,3,FALSE)</f>
        <v>倍斯特</v>
      </c>
      <c r="S1223" s="647" t="str">
        <f>VLOOKUP(A1223,'[1]Raw data'!$B:$Z,4,FALSE)</f>
        <v>YSM10</v>
      </c>
      <c r="T1223" s="647" t="str">
        <f>VLOOKUP(A1223,'[1]Raw data'!$B:$Z,8,FALSE)</f>
        <v>R-&gt;L</v>
      </c>
      <c r="U1223" s="647" t="str">
        <f>VLOOKUP(A1223,'[1]Raw data'!$B:$Z,9,FALSE)</f>
        <v>MVC</v>
      </c>
      <c r="V1223" s="567" t="str">
        <f t="shared" si="266"/>
        <v>WRONG</v>
      </c>
      <c r="W1223" s="563" t="str">
        <f>VLOOKUP(A1223,'[1]Raw data'!$B:$AG,32,FALSE)</f>
        <v>DAP SZ</v>
      </c>
      <c r="X1223" s="647">
        <f>VLOOKUP(A1223,'[1]Raw data'!$B:$BA,31,FALSE)</f>
        <v>44819</v>
      </c>
      <c r="Y1223" s="647" t="str">
        <f>VLOOKUP(A1223,'[1]Raw data'!$B:$AS,39,FALSE)</f>
        <v>Yes</v>
      </c>
      <c r="Z1223" s="666"/>
      <c r="AA1223" s="660"/>
      <c r="AB1223" s="661"/>
      <c r="AC1223" s="647" t="s">
        <v>2366</v>
      </c>
      <c r="AD1223" s="575">
        <v>302</v>
      </c>
      <c r="AE1223" s="575">
        <v>10</v>
      </c>
      <c r="AF1223" s="575"/>
      <c r="AG1223" s="575"/>
      <c r="AH1223" s="575"/>
      <c r="AI1223" s="679"/>
      <c r="AJ1223" s="564"/>
      <c r="AK1223" s="564"/>
      <c r="AL1223" s="564"/>
      <c r="AM1223" s="564"/>
      <c r="AN1223" s="614"/>
      <c r="AO1223" s="824" t="str">
        <f t="shared" si="267"/>
        <v>Yes</v>
      </c>
      <c r="AP1223" s="259" t="str">
        <f t="shared" si="268"/>
        <v>OCT 22</v>
      </c>
      <c r="AQ1223" s="542" t="str">
        <f t="shared" si="269"/>
        <v>有定金+有預留客戶</v>
      </c>
      <c r="AR1223" s="259" t="str">
        <f t="shared" si="270"/>
        <v>Shipped_Stock</v>
      </c>
      <c r="AS1223" s="259" t="str">
        <f t="shared" si="271"/>
        <v/>
      </c>
      <c r="AT1223" s="259" t="str">
        <f t="shared" si="272"/>
        <v>倍斯特</v>
      </c>
      <c r="AU1223" s="259" t="str">
        <f t="shared" si="273"/>
        <v>C49SZX20220096JL</v>
      </c>
      <c r="AV1223" s="259" t="str">
        <f t="shared" si="274"/>
        <v>Jun-27</v>
      </c>
    </row>
    <row r="1224" spans="1:48" hidden="1">
      <c r="A1224" s="599">
        <v>1746</v>
      </c>
      <c r="B1224" s="664" t="s">
        <v>1125</v>
      </c>
      <c r="C1224" s="664" t="s">
        <v>281</v>
      </c>
      <c r="D1224" s="761">
        <v>110923</v>
      </c>
      <c r="E1224" s="744" t="s">
        <v>2370</v>
      </c>
      <c r="F1224" s="647" t="s">
        <v>17</v>
      </c>
      <c r="G1224" s="647" t="s">
        <v>18</v>
      </c>
      <c r="H1224" s="647" t="s">
        <v>102</v>
      </c>
      <c r="I1224" s="575" t="s">
        <v>2371</v>
      </c>
      <c r="J1224" s="575">
        <v>1</v>
      </c>
      <c r="K1224" s="647" t="s">
        <v>1419</v>
      </c>
      <c r="L1224" s="657">
        <v>44746</v>
      </c>
      <c r="M1224" s="665" t="s">
        <v>2339</v>
      </c>
      <c r="N1224" s="647" t="s">
        <v>205</v>
      </c>
      <c r="O1224" s="575">
        <v>2022.6</v>
      </c>
      <c r="P1224" s="665" t="str">
        <f>VLOOKUP(A1224,'[1]Raw data'!$B:$BA,23,FALSE)</f>
        <v>RMB</v>
      </c>
      <c r="Q1224" s="647" t="str">
        <f>VLOOKUP(A1224,'[1]Raw data'!$B:$Z,2,FALSE)</f>
        <v>C49SZX20220108SX</v>
      </c>
      <c r="R1224" s="647" t="str">
        <f>VLOOKUP(A1224,'[1]Raw data'!$B:$Z,3,FALSE)</f>
        <v>赛朗斯</v>
      </c>
      <c r="S1224" s="647" t="str">
        <f>VLOOKUP(A1224,'[1]Raw data'!$B:$Z,4,FALSE)</f>
        <v>YSM10</v>
      </c>
      <c r="T1224" s="647" t="str">
        <f>VLOOKUP(A1224,'[1]Raw data'!$B:$Z,8,FALSE)</f>
        <v>R-&gt;L</v>
      </c>
      <c r="U1224" s="647" t="str">
        <f>VLOOKUP(A1224,'[1]Raw data'!$B:$Z,9,FALSE)</f>
        <v>MVC</v>
      </c>
      <c r="V1224" s="567" t="str">
        <f t="shared" si="266"/>
        <v>WRONG</v>
      </c>
      <c r="W1224" s="563" t="str">
        <f>VLOOKUP(A1224,'[1]Raw data'!$B:$AG,32,FALSE)</f>
        <v>DDP FS</v>
      </c>
      <c r="X1224" s="647">
        <f>VLOOKUP(A1224,'[1]Raw data'!$B:$BA,31,FALSE)</f>
        <v>44846</v>
      </c>
      <c r="Y1224" s="647" t="str">
        <f>VLOOKUP(A1224,'[1]Raw data'!$B:$AS,39,FALSE)</f>
        <v>Yes</v>
      </c>
      <c r="Z1224" s="666"/>
      <c r="AA1224" s="660"/>
      <c r="AB1224" s="661"/>
      <c r="AC1224" s="647" t="s">
        <v>1372</v>
      </c>
      <c r="AD1224" s="575">
        <v>313</v>
      </c>
      <c r="AE1224" s="575">
        <v>10</v>
      </c>
      <c r="AF1224" s="575"/>
      <c r="AG1224" s="575"/>
      <c r="AH1224" s="575"/>
      <c r="AI1224" s="679"/>
      <c r="AJ1224" s="564"/>
      <c r="AK1224" s="564"/>
      <c r="AL1224" s="564"/>
      <c r="AM1224" s="564"/>
      <c r="AN1224" s="614"/>
      <c r="AO1224" s="824" t="str">
        <f t="shared" si="267"/>
        <v>Yes</v>
      </c>
      <c r="AP1224" s="259" t="str">
        <f t="shared" si="268"/>
        <v>OCT 22</v>
      </c>
      <c r="AQ1224" s="542" t="str">
        <f t="shared" si="269"/>
        <v>有定金+有預留客戶</v>
      </c>
      <c r="AR1224" s="259" t="str">
        <f t="shared" si="270"/>
        <v>Shipped_Stock</v>
      </c>
      <c r="AS1224" s="259" t="str">
        <f t="shared" si="271"/>
        <v/>
      </c>
      <c r="AT1224" s="259" t="str">
        <f t="shared" si="272"/>
        <v>赛朗斯</v>
      </c>
      <c r="AU1224" s="259" t="str">
        <f t="shared" si="273"/>
        <v>C49SZX20220108SX</v>
      </c>
      <c r="AV1224" s="259" t="str">
        <f t="shared" si="274"/>
        <v>Jul-04</v>
      </c>
    </row>
    <row r="1225" spans="1:48" ht="22.5" hidden="1">
      <c r="A1225" s="599">
        <v>1763</v>
      </c>
      <c r="B1225" s="664" t="s">
        <v>1125</v>
      </c>
      <c r="C1225" s="664" t="s">
        <v>281</v>
      </c>
      <c r="D1225" s="755">
        <v>110923</v>
      </c>
      <c r="E1225" s="744" t="s">
        <v>2370</v>
      </c>
      <c r="F1225" s="647" t="s">
        <v>17</v>
      </c>
      <c r="G1225" s="647" t="s">
        <v>18</v>
      </c>
      <c r="H1225" s="647" t="s">
        <v>102</v>
      </c>
      <c r="I1225" s="575" t="s">
        <v>2372</v>
      </c>
      <c r="J1225" s="575">
        <v>1</v>
      </c>
      <c r="K1225" s="647" t="s">
        <v>1419</v>
      </c>
      <c r="L1225" s="657">
        <v>44746</v>
      </c>
      <c r="M1225" s="665" t="s">
        <v>2373</v>
      </c>
      <c r="N1225" s="647" t="s">
        <v>220</v>
      </c>
      <c r="O1225" s="575">
        <v>2022.6</v>
      </c>
      <c r="P1225" s="665" t="str">
        <f>VLOOKUP(A1225,'[1]Raw data'!$B:$BA,23,FALSE)</f>
        <v>RMB</v>
      </c>
      <c r="Q1225" s="647" t="str">
        <f>VLOOKUP(A1225,'[1]Raw data'!$B:$Z,2,FALSE)</f>
        <v>C49SZX20220122SX</v>
      </c>
      <c r="R1225" s="647" t="str">
        <f>VLOOKUP(A1225,'[1]Raw data'!$B:$Z,3,FALSE)</f>
        <v>莫思特</v>
      </c>
      <c r="S1225" s="647" t="str">
        <f>VLOOKUP(A1225,'[1]Raw data'!$B:$Z,4,FALSE)</f>
        <v>YSM10</v>
      </c>
      <c r="T1225" s="647" t="str">
        <f>VLOOKUP(A1225,'[1]Raw data'!$B:$Z,8,FALSE)</f>
        <v>L-&gt;R</v>
      </c>
      <c r="U1225" s="647" t="str">
        <f>VLOOKUP(A1225,'[1]Raw data'!$B:$Z,9,FALSE)</f>
        <v>MVC</v>
      </c>
      <c r="V1225" s="567" t="str">
        <f t="shared" si="266"/>
        <v>WRONG</v>
      </c>
      <c r="W1225" s="563" t="str">
        <f>VLOOKUP(A1225,'[1]Raw data'!$B:$AG,32,FALSE)</f>
        <v>DDP HZ</v>
      </c>
      <c r="X1225" s="647">
        <f>VLOOKUP(A1225,'[1]Raw data'!$B:$BA,31,FALSE)</f>
        <v>44887</v>
      </c>
      <c r="Y1225" s="647" t="str">
        <f>VLOOKUP(A1225,'[1]Raw data'!$B:$AS,39,FALSE)</f>
        <v>Yes</v>
      </c>
      <c r="Z1225" s="666"/>
      <c r="AA1225" s="660"/>
      <c r="AB1225" s="661"/>
      <c r="AC1225" s="647" t="s">
        <v>2374</v>
      </c>
      <c r="AD1225" s="575">
        <v>304</v>
      </c>
      <c r="AE1225" s="575">
        <v>10</v>
      </c>
      <c r="AF1225" s="575"/>
      <c r="AG1225" s="575"/>
      <c r="AH1225" s="575"/>
      <c r="AI1225" s="679"/>
      <c r="AJ1225" s="564"/>
      <c r="AK1225" s="564"/>
      <c r="AL1225" s="564"/>
      <c r="AM1225" s="564"/>
      <c r="AN1225" s="614"/>
      <c r="AO1225" s="824" t="str">
        <f t="shared" si="267"/>
        <v>Yes</v>
      </c>
      <c r="AP1225" s="259" t="str">
        <f t="shared" si="268"/>
        <v>DEC 22</v>
      </c>
      <c r="AQ1225" s="542" t="str">
        <f t="shared" si="269"/>
        <v>有定金+有預留客戶</v>
      </c>
      <c r="AR1225" s="259" t="str">
        <f t="shared" si="270"/>
        <v>Shipped_Stock</v>
      </c>
      <c r="AS1225" s="259" t="str">
        <f t="shared" si="271"/>
        <v/>
      </c>
      <c r="AT1225" s="259" t="str">
        <f t="shared" si="272"/>
        <v>莫思特</v>
      </c>
      <c r="AU1225" s="259" t="str">
        <f t="shared" si="273"/>
        <v>C49SZX20220122SX</v>
      </c>
      <c r="AV1225" s="259" t="str">
        <f t="shared" si="274"/>
        <v>Jul-04</v>
      </c>
    </row>
    <row r="1226" spans="1:48" ht="16.5" hidden="1">
      <c r="A1226" s="599">
        <v>1672</v>
      </c>
      <c r="B1226" s="664" t="s">
        <v>1125</v>
      </c>
      <c r="C1226" s="664" t="s">
        <v>281</v>
      </c>
      <c r="D1226" s="755">
        <v>110917</v>
      </c>
      <c r="E1226" s="760" t="s">
        <v>2350</v>
      </c>
      <c r="F1226" s="647" t="s">
        <v>58</v>
      </c>
      <c r="G1226" s="647" t="s">
        <v>18</v>
      </c>
      <c r="H1226" s="647" t="s">
        <v>26</v>
      </c>
      <c r="I1226" s="575" t="s">
        <v>2375</v>
      </c>
      <c r="J1226" s="575">
        <v>1</v>
      </c>
      <c r="K1226" s="647" t="s">
        <v>85</v>
      </c>
      <c r="L1226" s="657">
        <v>44746</v>
      </c>
      <c r="M1226" s="665">
        <v>5.0299999999999997E-2</v>
      </c>
      <c r="N1226" s="647" t="s">
        <v>2231</v>
      </c>
      <c r="O1226" s="575">
        <v>2022.6</v>
      </c>
      <c r="P1226" s="665" t="str">
        <f>VLOOKUP(A1226,'[1]Raw data'!$B:$BA,23,FALSE)</f>
        <v>JPY</v>
      </c>
      <c r="Q1226" s="647" t="str">
        <f>VLOOKUP(A1226,'[1]Raw data'!$B:$Z,2,FALSE)</f>
        <v>C49SZX20220060DZ</v>
      </c>
      <c r="R1226" s="647" t="str">
        <f>VLOOKUP(A1226,'[1]Raw data'!$B:$Z,3,FALSE)</f>
        <v>方案集</v>
      </c>
      <c r="S1226" s="647" t="str">
        <f>VLOOKUP(A1226,'[1]Raw data'!$B:$Z,4,FALSE)</f>
        <v>YSM20R-2</v>
      </c>
      <c r="T1226" s="647" t="str">
        <f>VLOOKUP(A1226,'[1]Raw data'!$B:$Z,8,FALSE)</f>
        <v>R-&gt;L</v>
      </c>
      <c r="U1226" s="647" t="str">
        <f>VLOOKUP(A1226,'[1]Raw data'!$B:$Z,9,FALSE)</f>
        <v>No</v>
      </c>
      <c r="V1226" s="567" t="str">
        <f t="shared" ref="V1226:V1228" si="275">IF(G1226&amp;H1226=T1226&amp;U1226,"OK","WRONG")</f>
        <v>OK</v>
      </c>
      <c r="W1226" s="563" t="str">
        <f>VLOOKUP(A1226,'[1]Raw data'!$B:$AG,32,FALSE)</f>
        <v>CIF HK</v>
      </c>
      <c r="X1226" s="647">
        <f>VLOOKUP(A1226,'[1]Raw data'!$B:$BA,31,FALSE)</f>
        <v>44705</v>
      </c>
      <c r="Y1226" s="647" t="str">
        <f>VLOOKUP(A1226,'[1]Raw data'!$B:$AS,39,FALSE)</f>
        <v>Yes</v>
      </c>
      <c r="Z1226" s="659"/>
      <c r="AA1226" s="660"/>
      <c r="AB1226" s="661"/>
      <c r="AC1226" s="647" t="s">
        <v>1165</v>
      </c>
      <c r="AD1226" s="575">
        <v>301</v>
      </c>
      <c r="AE1226" s="575">
        <v>20</v>
      </c>
      <c r="AF1226" s="575"/>
      <c r="AG1226" s="575"/>
      <c r="AH1226" s="575"/>
      <c r="AI1226" s="679"/>
      <c r="AJ1226" s="564"/>
      <c r="AK1226" s="564"/>
      <c r="AL1226" s="564"/>
      <c r="AM1226" s="564"/>
      <c r="AN1226" s="614"/>
      <c r="AO1226" s="824" t="str">
        <f t="shared" si="267"/>
        <v>Yes</v>
      </c>
      <c r="AP1226" s="259" t="str">
        <f t="shared" si="268"/>
        <v>JUL 22</v>
      </c>
      <c r="AQ1226" s="542" t="str">
        <f t="shared" si="269"/>
        <v>有定金+有預留客戶</v>
      </c>
      <c r="AR1226" s="259" t="str">
        <f t="shared" si="270"/>
        <v>Shipped_Stock</v>
      </c>
      <c r="AS1226" s="259" t="str">
        <f t="shared" si="271"/>
        <v/>
      </c>
      <c r="AT1226" s="259" t="str">
        <f t="shared" si="272"/>
        <v>方案集</v>
      </c>
      <c r="AU1226" s="259" t="str">
        <f t="shared" si="273"/>
        <v>C49SZX20220060DZ</v>
      </c>
      <c r="AV1226" s="259" t="str">
        <f t="shared" si="274"/>
        <v>Jul-04</v>
      </c>
    </row>
    <row r="1227" spans="1:48" ht="16.5" hidden="1">
      <c r="A1227" s="559">
        <v>1688</v>
      </c>
      <c r="B1227" s="664" t="s">
        <v>1125</v>
      </c>
      <c r="C1227" s="664" t="s">
        <v>281</v>
      </c>
      <c r="D1227" s="755">
        <v>110917</v>
      </c>
      <c r="E1227" s="760" t="s">
        <v>2350</v>
      </c>
      <c r="F1227" s="647" t="s">
        <v>58</v>
      </c>
      <c r="G1227" s="647" t="s">
        <v>18</v>
      </c>
      <c r="H1227" s="647" t="s">
        <v>26</v>
      </c>
      <c r="I1227" s="575" t="s">
        <v>2376</v>
      </c>
      <c r="J1227" s="575">
        <v>1</v>
      </c>
      <c r="K1227" s="647" t="s">
        <v>1419</v>
      </c>
      <c r="L1227" s="657">
        <v>44746</v>
      </c>
      <c r="M1227" s="665">
        <v>5.0299999999999997E-2</v>
      </c>
      <c r="N1227" s="647" t="s">
        <v>2231</v>
      </c>
      <c r="O1227" s="575">
        <v>2022.6</v>
      </c>
      <c r="P1227" s="665" t="str">
        <f>VLOOKUP(A1227,'[1]Raw data'!$B:$BA,23,FALSE)</f>
        <v>RMB</v>
      </c>
      <c r="Q1227" s="647" t="str">
        <f>VLOOKUP(A1227,'[1]Raw data'!$B:$Z,2,FALSE)</f>
        <v>C49SZX20220072DZ</v>
      </c>
      <c r="R1227" s="647" t="str">
        <f>VLOOKUP(A1227,'[1]Raw data'!$B:$Z,3,FALSE)</f>
        <v>朗特</v>
      </c>
      <c r="S1227" s="647" t="str">
        <f>VLOOKUP(A1227,'[1]Raw data'!$B:$Z,4,FALSE)</f>
        <v>YSM20R-2</v>
      </c>
      <c r="T1227" s="647" t="str">
        <f>VLOOKUP(A1227,'[1]Raw data'!$B:$Z,8,FALSE)</f>
        <v>R-&gt;L</v>
      </c>
      <c r="U1227" s="647" t="str">
        <f>VLOOKUP(A1227,'[1]Raw data'!$B:$Z,9,FALSE)</f>
        <v>No</v>
      </c>
      <c r="V1227" s="567" t="str">
        <f t="shared" si="275"/>
        <v>OK</v>
      </c>
      <c r="W1227" s="563" t="str">
        <f>VLOOKUP(A1227,'[1]Raw data'!$B:$AG,32,FALSE)</f>
        <v>DDP SZ</v>
      </c>
      <c r="X1227" s="647">
        <f>VLOOKUP(A1227,'[1]Raw data'!$B:$BA,31,FALSE)</f>
        <v>44734</v>
      </c>
      <c r="Y1227" s="647" t="str">
        <f>VLOOKUP(A1227,'[1]Raw data'!$B:$AS,39,FALSE)</f>
        <v>Yes</v>
      </c>
      <c r="Z1227" s="659"/>
      <c r="AA1227" s="660"/>
      <c r="AB1227" s="661"/>
      <c r="AC1227" s="647" t="s">
        <v>2174</v>
      </c>
      <c r="AD1227" s="662">
        <v>311</v>
      </c>
      <c r="AE1227" s="662">
        <v>20</v>
      </c>
      <c r="AF1227" s="662"/>
      <c r="AG1227" s="662"/>
      <c r="AH1227" s="662"/>
      <c r="AI1227" s="663"/>
      <c r="AN1227" s="542"/>
      <c r="AO1227" s="824" t="str">
        <f t="shared" si="267"/>
        <v>Yes</v>
      </c>
      <c r="AP1227" s="259" t="str">
        <f t="shared" si="268"/>
        <v>JUL 22</v>
      </c>
      <c r="AQ1227" s="542" t="str">
        <f t="shared" si="269"/>
        <v>有定金+有預留客戶</v>
      </c>
      <c r="AR1227" s="259" t="str">
        <f t="shared" si="270"/>
        <v>Shipped_Stock</v>
      </c>
      <c r="AS1227" s="259" t="str">
        <f t="shared" si="271"/>
        <v/>
      </c>
      <c r="AT1227" s="259" t="str">
        <f t="shared" si="272"/>
        <v>朗特</v>
      </c>
      <c r="AU1227" s="259" t="str">
        <f t="shared" si="273"/>
        <v>C49SZX20220072DZ</v>
      </c>
      <c r="AV1227" s="259" t="str">
        <f t="shared" si="274"/>
        <v>Jul-04</v>
      </c>
    </row>
    <row r="1228" spans="1:48" ht="17.25" hidden="1" thickBot="1">
      <c r="A1228" s="599">
        <v>1695</v>
      </c>
      <c r="B1228" s="664" t="s">
        <v>1125</v>
      </c>
      <c r="C1228" s="664" t="s">
        <v>281</v>
      </c>
      <c r="D1228" s="624">
        <v>110917</v>
      </c>
      <c r="E1228" s="760" t="s">
        <v>2350</v>
      </c>
      <c r="F1228" s="647" t="s">
        <v>58</v>
      </c>
      <c r="G1228" s="647" t="s">
        <v>18</v>
      </c>
      <c r="H1228" s="647" t="s">
        <v>26</v>
      </c>
      <c r="I1228" s="575" t="s">
        <v>2377</v>
      </c>
      <c r="J1228" s="575">
        <v>1</v>
      </c>
      <c r="K1228" s="647" t="s">
        <v>1419</v>
      </c>
      <c r="L1228" s="657">
        <v>44746</v>
      </c>
      <c r="M1228" s="665" t="s">
        <v>2331</v>
      </c>
      <c r="N1228" s="647" t="s">
        <v>2231</v>
      </c>
      <c r="O1228" s="575">
        <v>2022.6</v>
      </c>
      <c r="P1228" s="665" t="str">
        <f>VLOOKUP(A1228,'[1]Raw data'!$B:$BA,23,FALSE)</f>
        <v>RMB</v>
      </c>
      <c r="Q1228" s="647" t="str">
        <f>VLOOKUP(A1228,'[1]Raw data'!$B:$Z,2,FALSE)</f>
        <v>C49SZX20220077SS</v>
      </c>
      <c r="R1228" s="647" t="str">
        <f>VLOOKUP(A1228,'[1]Raw data'!$B:$Z,3,FALSE)</f>
        <v>世启纳</v>
      </c>
      <c r="S1228" s="647" t="str">
        <f>VLOOKUP(A1228,'[1]Raw data'!$B:$Z,4,FALSE)</f>
        <v>YSM20R-2</v>
      </c>
      <c r="T1228" s="647" t="str">
        <f>VLOOKUP(A1228,'[1]Raw data'!$B:$Z,8,FALSE)</f>
        <v>R-&gt;L</v>
      </c>
      <c r="U1228" s="647" t="str">
        <f>VLOOKUP(A1228,'[1]Raw data'!$B:$Z,9,FALSE)</f>
        <v>No</v>
      </c>
      <c r="V1228" s="567" t="str">
        <f t="shared" si="275"/>
        <v>OK</v>
      </c>
      <c r="W1228" s="563" t="str">
        <f>VLOOKUP(A1228,'[1]Raw data'!$B:$AG,32,FALSE)</f>
        <v>DDP SZ</v>
      </c>
      <c r="X1228" s="647">
        <f>VLOOKUP(A1228,'[1]Raw data'!$B:$BA,31,FALSE)</f>
        <v>44747</v>
      </c>
      <c r="Y1228" s="647" t="str">
        <f>VLOOKUP(A1228,'[1]Raw data'!$B:$AS,39,FALSE)</f>
        <v>Yes</v>
      </c>
      <c r="Z1228" s="659"/>
      <c r="AA1228" s="660"/>
      <c r="AB1228" s="661"/>
      <c r="AC1228" s="647" t="s">
        <v>2038</v>
      </c>
      <c r="AD1228" s="575">
        <v>302</v>
      </c>
      <c r="AE1228" s="575">
        <v>20</v>
      </c>
      <c r="AF1228" s="575"/>
      <c r="AG1228" s="575"/>
      <c r="AH1228" s="575"/>
      <c r="AI1228" s="679"/>
      <c r="AJ1228" s="564"/>
      <c r="AK1228" s="564"/>
      <c r="AL1228" s="564"/>
      <c r="AM1228" s="564"/>
      <c r="AN1228" s="614"/>
      <c r="AO1228" s="824" t="str">
        <f t="shared" si="267"/>
        <v>Yes</v>
      </c>
      <c r="AP1228" s="259" t="str">
        <f t="shared" si="268"/>
        <v>JUL 22</v>
      </c>
      <c r="AQ1228" s="542" t="str">
        <f t="shared" si="269"/>
        <v>有定金+有預留客戶</v>
      </c>
      <c r="AR1228" s="259" t="str">
        <f t="shared" si="270"/>
        <v>Shipped_Stock</v>
      </c>
      <c r="AS1228" s="259" t="str">
        <f t="shared" si="271"/>
        <v/>
      </c>
      <c r="AT1228" s="259" t="str">
        <f t="shared" si="272"/>
        <v>世启纳</v>
      </c>
      <c r="AU1228" s="259" t="str">
        <f t="shared" si="273"/>
        <v>C49SZX20220077SS</v>
      </c>
      <c r="AV1228" s="259" t="str">
        <f t="shared" si="274"/>
        <v>Jul-04</v>
      </c>
    </row>
    <row r="1229" spans="1:48" hidden="1">
      <c r="A1229" s="599">
        <v>1715</v>
      </c>
      <c r="B1229" s="664" t="s">
        <v>1125</v>
      </c>
      <c r="C1229" s="664" t="s">
        <v>281</v>
      </c>
      <c r="D1229" s="761">
        <v>110931</v>
      </c>
      <c r="E1229" s="744" t="s">
        <v>2378</v>
      </c>
      <c r="F1229" s="647" t="s">
        <v>17</v>
      </c>
      <c r="G1229" s="647" t="s">
        <v>18</v>
      </c>
      <c r="H1229" s="647" t="s">
        <v>27</v>
      </c>
      <c r="I1229" s="575" t="s">
        <v>2379</v>
      </c>
      <c r="J1229" s="575">
        <v>1</v>
      </c>
      <c r="K1229" s="647" t="s">
        <v>1419</v>
      </c>
      <c r="L1229" s="657">
        <v>44746</v>
      </c>
      <c r="M1229" s="665" t="s">
        <v>2324</v>
      </c>
      <c r="N1229" s="647" t="s">
        <v>221</v>
      </c>
      <c r="O1229" s="575">
        <v>2022.6</v>
      </c>
      <c r="P1229" s="665" t="str">
        <f>VLOOKUP(A1229,'[1]Raw data'!$B:$BA,23,FALSE)</f>
        <v>RMB</v>
      </c>
      <c r="Q1229" s="647" t="str">
        <f>VLOOKUP(A1229,'[1]Raw data'!$B:$Z,2,FALSE)</f>
        <v>C49SZX20220088SX</v>
      </c>
      <c r="R1229" s="647" t="str">
        <f>VLOOKUP(A1229,'[1]Raw data'!$B:$Z,3,FALSE)</f>
        <v>安林</v>
      </c>
      <c r="S1229" s="647" t="str">
        <f>VLOOKUP(A1229,'[1]Raw data'!$B:$Z,4,FALSE)</f>
        <v>YSM10</v>
      </c>
      <c r="T1229" s="647" t="str">
        <f>VLOOKUP(A1229,'[1]Raw data'!$B:$Z,8,FALSE)</f>
        <v>L-&gt;R</v>
      </c>
      <c r="U1229" s="647" t="str">
        <f>VLOOKUP(A1229,'[1]Raw data'!$B:$Z,9,FALSE)</f>
        <v>MVC</v>
      </c>
      <c r="V1229" s="567" t="str">
        <f t="shared" si="265"/>
        <v>WRONG</v>
      </c>
      <c r="W1229" s="563" t="str">
        <f>VLOOKUP(A1229,'[1]Raw data'!$B:$AG,32,FALSE)</f>
        <v>DDP SZ</v>
      </c>
      <c r="X1229" s="647">
        <f>VLOOKUP(A1229,'[1]Raw data'!$B:$BA,31,FALSE)</f>
        <v>44783</v>
      </c>
      <c r="Y1229" s="647" t="str">
        <f>VLOOKUP(A1229,'[1]Raw data'!$B:$AS,39,FALSE)</f>
        <v>Yes</v>
      </c>
      <c r="Z1229" s="659"/>
      <c r="AA1229" s="660"/>
      <c r="AB1229" s="661"/>
      <c r="AC1229" s="647" t="s">
        <v>287</v>
      </c>
      <c r="AD1229" s="575">
        <v>301</v>
      </c>
      <c r="AE1229" s="575">
        <v>5</v>
      </c>
      <c r="AF1229" s="575">
        <v>302</v>
      </c>
      <c r="AG1229" s="575">
        <v>2</v>
      </c>
      <c r="AH1229" s="575">
        <v>303</v>
      </c>
      <c r="AI1229" s="679">
        <v>2</v>
      </c>
      <c r="AJ1229" s="575">
        <v>304</v>
      </c>
      <c r="AK1229" s="564">
        <v>1</v>
      </c>
      <c r="AL1229" s="564"/>
      <c r="AM1229" s="564"/>
      <c r="AN1229" s="614"/>
      <c r="AO1229" s="824" t="str">
        <f t="shared" si="267"/>
        <v>Yes</v>
      </c>
      <c r="AP1229" s="259" t="str">
        <f t="shared" si="268"/>
        <v>AUG 22</v>
      </c>
      <c r="AQ1229" s="542" t="str">
        <f t="shared" si="269"/>
        <v>有定金+有預留客戶</v>
      </c>
      <c r="AR1229" s="259" t="str">
        <f t="shared" si="270"/>
        <v>Shipped_Stock</v>
      </c>
      <c r="AS1229" s="259" t="str">
        <f t="shared" si="271"/>
        <v/>
      </c>
      <c r="AT1229" s="259" t="str">
        <f t="shared" si="272"/>
        <v>安林</v>
      </c>
      <c r="AU1229" s="259" t="str">
        <f t="shared" si="273"/>
        <v>C49SZX20220088SX</v>
      </c>
      <c r="AV1229" s="259" t="str">
        <f t="shared" si="274"/>
        <v>Jul-04</v>
      </c>
    </row>
    <row r="1230" spans="1:48" ht="24.75" hidden="1">
      <c r="A1230" s="599">
        <v>1700</v>
      </c>
      <c r="B1230" s="664" t="s">
        <v>1125</v>
      </c>
      <c r="C1230" s="664" t="s">
        <v>281</v>
      </c>
      <c r="D1230" s="755">
        <v>110931</v>
      </c>
      <c r="E1230" s="744" t="s">
        <v>2378</v>
      </c>
      <c r="F1230" s="647" t="s">
        <v>17</v>
      </c>
      <c r="G1230" s="647" t="s">
        <v>18</v>
      </c>
      <c r="H1230" s="647" t="s">
        <v>27</v>
      </c>
      <c r="I1230" s="751" t="s">
        <v>2380</v>
      </c>
      <c r="J1230" s="575">
        <v>1</v>
      </c>
      <c r="K1230" s="647" t="s">
        <v>1419</v>
      </c>
      <c r="L1230" s="657">
        <v>44746</v>
      </c>
      <c r="M1230" s="665" t="s">
        <v>2324</v>
      </c>
      <c r="N1230" s="647" t="s">
        <v>219</v>
      </c>
      <c r="O1230" s="575">
        <v>2022.6</v>
      </c>
      <c r="P1230" s="665" t="str">
        <f>VLOOKUP(A1230,'[1]Raw data'!$B:$BA,23,FALSE)</f>
        <v>RMB</v>
      </c>
      <c r="Q1230" s="647" t="str">
        <f>VLOOKUP(A1230,'[1]Raw data'!$B:$Z,2,FALSE)</f>
        <v>C49SZX20220079JL</v>
      </c>
      <c r="R1230" s="647" t="str">
        <f>VLOOKUP(A1230,'[1]Raw data'!$B:$Z,3,FALSE)</f>
        <v>铭翔</v>
      </c>
      <c r="S1230" s="647" t="str">
        <f>VLOOKUP(A1230,'[1]Raw data'!$B:$Z,4,FALSE)</f>
        <v>YSM10</v>
      </c>
      <c r="T1230" s="647" t="str">
        <f>VLOOKUP(A1230,'[1]Raw data'!$B:$Z,8,FALSE)</f>
        <v>L-&gt;R</v>
      </c>
      <c r="U1230" s="647" t="str">
        <f>VLOOKUP(A1230,'[1]Raw data'!$B:$Z,9,FALSE)</f>
        <v>MVC</v>
      </c>
      <c r="V1230" s="567" t="str">
        <f t="shared" si="265"/>
        <v>WRONG</v>
      </c>
      <c r="W1230" s="563" t="str">
        <f>VLOOKUP(A1230,'[1]Raw data'!$B:$AG,32,FALSE)</f>
        <v>DDP  DG</v>
      </c>
      <c r="X1230" s="647">
        <f>VLOOKUP(A1230,'[1]Raw data'!$B:$BA,31,FALSE)</f>
        <v>44751</v>
      </c>
      <c r="Y1230" s="647" t="str">
        <f>VLOOKUP(A1230,'[1]Raw data'!$B:$AS,39,FALSE)</f>
        <v>Yes</v>
      </c>
      <c r="Z1230" s="659"/>
      <c r="AA1230" s="660"/>
      <c r="AB1230" s="661"/>
      <c r="AC1230" s="647" t="s">
        <v>772</v>
      </c>
      <c r="AD1230" s="575">
        <v>301</v>
      </c>
      <c r="AE1230" s="575">
        <v>5</v>
      </c>
      <c r="AF1230" s="575">
        <v>302</v>
      </c>
      <c r="AG1230" s="575">
        <v>2</v>
      </c>
      <c r="AH1230" s="575">
        <v>303</v>
      </c>
      <c r="AI1230" s="679">
        <v>2</v>
      </c>
      <c r="AJ1230" s="575">
        <v>304</v>
      </c>
      <c r="AK1230" s="564">
        <v>1</v>
      </c>
      <c r="AL1230" s="564"/>
      <c r="AM1230" s="564"/>
      <c r="AN1230" s="614"/>
      <c r="AO1230" s="824" t="str">
        <f t="shared" si="267"/>
        <v>Yes</v>
      </c>
      <c r="AP1230" s="259" t="str">
        <f t="shared" si="268"/>
        <v>SEP 22</v>
      </c>
      <c r="AQ1230" s="542" t="str">
        <f t="shared" si="269"/>
        <v>有定金+有預留客戶</v>
      </c>
      <c r="AR1230" s="259" t="str">
        <f t="shared" si="270"/>
        <v>Shipped_Stock</v>
      </c>
      <c r="AS1230" s="259" t="str">
        <f t="shared" si="271"/>
        <v/>
      </c>
      <c r="AT1230" s="259" t="str">
        <f t="shared" si="272"/>
        <v>铭翔</v>
      </c>
      <c r="AU1230" s="259" t="str">
        <f t="shared" si="273"/>
        <v>C49SZX20220079JL</v>
      </c>
      <c r="AV1230" s="259" t="str">
        <f t="shared" si="274"/>
        <v>Jul-04</v>
      </c>
    </row>
    <row r="1231" spans="1:48" hidden="1">
      <c r="A1231" s="559">
        <v>1730</v>
      </c>
      <c r="B1231" s="664" t="s">
        <v>1125</v>
      </c>
      <c r="C1231" s="664" t="s">
        <v>281</v>
      </c>
      <c r="D1231" s="755">
        <v>110932</v>
      </c>
      <c r="E1231" s="756" t="s">
        <v>2381</v>
      </c>
      <c r="F1231" s="647" t="s">
        <v>17</v>
      </c>
      <c r="G1231" s="647" t="s">
        <v>18</v>
      </c>
      <c r="H1231" s="647" t="s">
        <v>102</v>
      </c>
      <c r="I1231" s="575" t="s">
        <v>2382</v>
      </c>
      <c r="J1231" s="575">
        <v>1</v>
      </c>
      <c r="K1231" s="647" t="s">
        <v>1419</v>
      </c>
      <c r="L1231" s="657">
        <v>44746</v>
      </c>
      <c r="M1231" s="665" t="s">
        <v>2383</v>
      </c>
      <c r="N1231" s="647" t="s">
        <v>220</v>
      </c>
      <c r="O1231" s="575">
        <v>2022.6</v>
      </c>
      <c r="P1231" s="665" t="str">
        <f>VLOOKUP(A1231,'[1]Raw data'!$B:$BA,23,FALSE)</f>
        <v>JPY</v>
      </c>
      <c r="Q1231" s="647" t="str">
        <f>VLOOKUP(A1231,'[1]Raw data'!$B:$Z,2,FALSE)</f>
        <v>C49SZX20220099JY</v>
      </c>
      <c r="R1231" s="647" t="str">
        <f>VLOOKUP(A1231,'[1]Raw data'!$B:$Z,3,FALSE)</f>
        <v>创荣发</v>
      </c>
      <c r="S1231" s="647" t="str">
        <f>VLOOKUP(A1231,'[1]Raw data'!$B:$Z,4,FALSE)</f>
        <v>YSM10</v>
      </c>
      <c r="T1231" s="647" t="str">
        <f>VLOOKUP(A1231,'[1]Raw data'!$B:$Z,8,FALSE)</f>
        <v>R-&gt;L</v>
      </c>
      <c r="U1231" s="647" t="str">
        <f>VLOOKUP(A1231,'[1]Raw data'!$B:$Z,9,FALSE)</f>
        <v>MVC</v>
      </c>
      <c r="V1231" s="567" t="str">
        <f t="shared" si="265"/>
        <v>WRONG</v>
      </c>
      <c r="W1231" s="645"/>
      <c r="X1231" s="647">
        <f>VLOOKUP(A1231,'[1]Raw data'!$B:$BA,31,FALSE)</f>
        <v>44826</v>
      </c>
      <c r="Y1231" s="647" t="str">
        <f>VLOOKUP(A1231,'[1]Raw data'!$B:$AS,39,FALSE)</f>
        <v>Yes</v>
      </c>
      <c r="Z1231" s="666"/>
      <c r="AA1231" s="660"/>
      <c r="AB1231" s="661"/>
      <c r="AC1231" s="647" t="s">
        <v>2384</v>
      </c>
      <c r="AD1231" s="662">
        <v>301</v>
      </c>
      <c r="AE1231" s="662">
        <v>5</v>
      </c>
      <c r="AF1231" s="662">
        <v>302</v>
      </c>
      <c r="AG1231" s="662">
        <v>5</v>
      </c>
      <c r="AH1231" s="662"/>
      <c r="AI1231" s="663"/>
      <c r="AN1231" s="542"/>
      <c r="AO1231" s="824" t="str">
        <f t="shared" si="267"/>
        <v>Yes</v>
      </c>
      <c r="AP1231" s="259" t="str">
        <f t="shared" si="268"/>
        <v>DEC 22</v>
      </c>
      <c r="AQ1231" s="542" t="str">
        <f t="shared" si="269"/>
        <v>有定金+有預留客戶</v>
      </c>
      <c r="AR1231" s="259" t="str">
        <f t="shared" si="270"/>
        <v>Shipped_Stock</v>
      </c>
      <c r="AS1231" s="259" t="str">
        <f t="shared" si="271"/>
        <v/>
      </c>
      <c r="AT1231" s="259" t="str">
        <f t="shared" si="272"/>
        <v>创荣发</v>
      </c>
      <c r="AU1231" s="259" t="str">
        <f t="shared" si="273"/>
        <v>C49SZX20220099JY</v>
      </c>
      <c r="AV1231" s="259" t="str">
        <f t="shared" si="274"/>
        <v>Jul-04</v>
      </c>
    </row>
    <row r="1232" spans="1:48" ht="24.75" hidden="1">
      <c r="A1232" s="559">
        <v>1777</v>
      </c>
      <c r="B1232" s="664" t="s">
        <v>1125</v>
      </c>
      <c r="C1232" s="664" t="s">
        <v>281</v>
      </c>
      <c r="D1232" s="755">
        <v>110965</v>
      </c>
      <c r="E1232" s="736" t="s">
        <v>2321</v>
      </c>
      <c r="F1232" s="647" t="s">
        <v>17</v>
      </c>
      <c r="G1232" s="647" t="s">
        <v>18</v>
      </c>
      <c r="H1232" s="647" t="s">
        <v>26</v>
      </c>
      <c r="I1232" s="575" t="s">
        <v>2385</v>
      </c>
      <c r="J1232" s="575">
        <v>1</v>
      </c>
      <c r="K1232" s="647" t="s">
        <v>1419</v>
      </c>
      <c r="L1232" s="657">
        <v>44746</v>
      </c>
      <c r="M1232" s="665" t="s">
        <v>2386</v>
      </c>
      <c r="N1232" s="647" t="s">
        <v>226</v>
      </c>
      <c r="O1232" s="575">
        <v>2022.6</v>
      </c>
      <c r="P1232" s="665" t="str">
        <f>VLOOKUP(A1232,'[1]Raw data'!$B:$BA,23,FALSE)</f>
        <v>RMB</v>
      </c>
      <c r="Q1232" s="563" t="str">
        <f>VLOOKUP(A1232,'[1]Raw data'!$B:$Z,2,FALSE)</f>
        <v>C49SZX20220132R1ZX(H207006-BET-221214 ESE)</v>
      </c>
      <c r="R1232" s="647" t="str">
        <f>VLOOKUP(A1232,'[1]Raw data'!$B:$Z,3,FALSE)</f>
        <v>海星</v>
      </c>
      <c r="S1232" s="647" t="str">
        <f>VLOOKUP(A1232,'[1]Raw data'!$B:$Z,4,FALSE)</f>
        <v>YSM10</v>
      </c>
      <c r="T1232" s="647" t="str">
        <f>VLOOKUP(A1232,'[1]Raw data'!$B:$Z,8,FALSE)</f>
        <v>L-&gt;R</v>
      </c>
      <c r="U1232" s="647" t="str">
        <f>VLOOKUP(A1232,'[1]Raw data'!$B:$Z,9,FALSE)</f>
        <v>No</v>
      </c>
      <c r="V1232" s="567" t="str">
        <f>IF(G1232&amp;H1232=T1232&amp;U1232,"OK","WRONG")</f>
        <v>WRONG</v>
      </c>
      <c r="W1232" s="563" t="str">
        <f>VLOOKUP(A1232,'[1]Raw data'!$B:$AG,32,FALSE)</f>
        <v>DDP SZ</v>
      </c>
      <c r="X1232" s="647">
        <f>VLOOKUP(A1232,'[1]Raw data'!$B:$BA,31,FALSE)</f>
        <v>44900</v>
      </c>
      <c r="Y1232" s="647" t="str">
        <f>VLOOKUP(A1232,'[1]Raw data'!$B:$AS,39,FALSE)</f>
        <v>Yes</v>
      </c>
      <c r="Z1232" s="659"/>
      <c r="AA1232" s="660"/>
      <c r="AB1232" s="661"/>
      <c r="AC1232" s="647" t="s">
        <v>2387</v>
      </c>
      <c r="AD1232" s="662">
        <v>301</v>
      </c>
      <c r="AE1232" s="662">
        <v>10</v>
      </c>
      <c r="AF1232" s="662"/>
      <c r="AG1232" s="662"/>
      <c r="AH1232" s="662"/>
      <c r="AI1232" s="663"/>
      <c r="AN1232" s="542"/>
      <c r="AO1232" s="824" t="str">
        <f t="shared" si="267"/>
        <v>Yes</v>
      </c>
      <c r="AP1232" s="259" t="str">
        <f t="shared" si="268"/>
        <v>APR 23</v>
      </c>
      <c r="AQ1232" s="542" t="str">
        <f t="shared" si="269"/>
        <v>有定金+有預留客戶</v>
      </c>
      <c r="AR1232" s="259" t="str">
        <f t="shared" si="270"/>
        <v>Shipped_Stock</v>
      </c>
      <c r="AS1232" s="259" t="str">
        <f t="shared" si="271"/>
        <v/>
      </c>
      <c r="AT1232" s="259" t="str">
        <f t="shared" si="272"/>
        <v>海星</v>
      </c>
      <c r="AU1232" s="259" t="str">
        <f t="shared" si="273"/>
        <v>C49SZX20220132R1ZX(H207006-BET-221214 ESE)</v>
      </c>
      <c r="AV1232" s="259" t="str">
        <f t="shared" si="274"/>
        <v>Jul-04</v>
      </c>
    </row>
    <row r="1233" spans="1:48" ht="24.75" hidden="1">
      <c r="A1233" s="716" t="s">
        <v>2293</v>
      </c>
      <c r="B1233" s="664" t="s">
        <v>1125</v>
      </c>
      <c r="C1233" s="664" t="s">
        <v>281</v>
      </c>
      <c r="D1233" s="623">
        <v>110920</v>
      </c>
      <c r="E1233" s="744" t="s">
        <v>2388</v>
      </c>
      <c r="F1233" s="647" t="s">
        <v>17</v>
      </c>
      <c r="G1233" s="647" t="s">
        <v>18</v>
      </c>
      <c r="H1233" s="647" t="s">
        <v>48</v>
      </c>
      <c r="I1233" s="575" t="s">
        <v>2389</v>
      </c>
      <c r="J1233" s="575">
        <v>1</v>
      </c>
      <c r="K1233" s="647" t="s">
        <v>1419</v>
      </c>
      <c r="L1233" s="657">
        <v>44746</v>
      </c>
      <c r="M1233" s="665" t="s">
        <v>2390</v>
      </c>
      <c r="N1233" s="647" t="s">
        <v>216</v>
      </c>
      <c r="O1233" s="575">
        <v>2022.6</v>
      </c>
      <c r="P1233" s="665" t="s">
        <v>1246</v>
      </c>
      <c r="Q1233" s="790" t="s">
        <v>2391</v>
      </c>
      <c r="R1233" s="790" t="s">
        <v>2392</v>
      </c>
      <c r="S1233" s="647" t="s">
        <v>241</v>
      </c>
      <c r="T1233" s="647" t="s">
        <v>24</v>
      </c>
      <c r="U1233" s="647" t="s">
        <v>34</v>
      </c>
      <c r="V1233" s="567" t="str">
        <f>IF(G1233&amp;H1233=T1233&amp;U1233,"OK","WRONG")</f>
        <v>WRONG</v>
      </c>
      <c r="W1233" s="563" t="e">
        <f>VLOOKUP(A1233,'[1]Raw data'!$B:$AG,32,FALSE)</f>
        <v>#N/A</v>
      </c>
      <c r="X1233" s="647" t="e">
        <f>VLOOKUP(A1233,'[1]Raw data'!$B:$BA,31,FALSE)</f>
        <v>#N/A</v>
      </c>
      <c r="Y1233" s="647" t="e">
        <f>VLOOKUP(A1233,'[1]Raw data'!$B:$AS,39,FALSE)</f>
        <v>#N/A</v>
      </c>
      <c r="Z1233" s="666"/>
      <c r="AA1233" s="667"/>
      <c r="AB1233" s="668"/>
      <c r="AC1233" s="647" t="s">
        <v>2299</v>
      </c>
      <c r="AD1233" s="662">
        <v>303</v>
      </c>
      <c r="AE1233" s="662">
        <v>10</v>
      </c>
      <c r="AF1233" s="662"/>
      <c r="AG1233" s="662"/>
      <c r="AH1233" s="662"/>
      <c r="AI1233" s="663"/>
      <c r="AN1233" s="542"/>
      <c r="AO1233" s="824" t="str">
        <f t="shared" si="267"/>
        <v>No</v>
      </c>
      <c r="AP1233" s="259" t="str">
        <f t="shared" si="268"/>
        <v>MAR 23</v>
      </c>
      <c r="AQ1233" s="542" t="str">
        <f t="shared" si="269"/>
        <v>无定金+有預留客戶</v>
      </c>
      <c r="AR1233" s="259" t="str">
        <f t="shared" si="270"/>
        <v>Shipped_Stock</v>
      </c>
      <c r="AS1233" s="259" t="str">
        <f t="shared" si="271"/>
        <v/>
      </c>
      <c r="AT1233" s="259" t="str">
        <f t="shared" si="272"/>
        <v xml:space="preserve">苏州朋协智控科技有限公司 </v>
      </c>
      <c r="AU1233" s="259" t="str">
        <f t="shared" si="273"/>
        <v xml:space="preserve">苏州朋协智控科技有限公司 </v>
      </c>
      <c r="AV1233" s="259" t="str">
        <f t="shared" si="274"/>
        <v>Jul-04</v>
      </c>
    </row>
    <row r="1234" spans="1:48" hidden="1">
      <c r="A1234" s="599">
        <v>1524</v>
      </c>
      <c r="B1234" s="664" t="s">
        <v>1125</v>
      </c>
      <c r="C1234" s="664" t="s">
        <v>281</v>
      </c>
      <c r="D1234" s="625">
        <v>110920</v>
      </c>
      <c r="E1234" s="744" t="s">
        <v>2388</v>
      </c>
      <c r="F1234" s="647" t="s">
        <v>17</v>
      </c>
      <c r="G1234" s="647" t="s">
        <v>18</v>
      </c>
      <c r="H1234" s="647" t="s">
        <v>102</v>
      </c>
      <c r="I1234" s="575" t="s">
        <v>2393</v>
      </c>
      <c r="J1234" s="575">
        <v>1</v>
      </c>
      <c r="K1234" s="647" t="s">
        <v>85</v>
      </c>
      <c r="L1234" s="657">
        <v>44746</v>
      </c>
      <c r="M1234" s="665" t="s">
        <v>906</v>
      </c>
      <c r="N1234" s="647" t="s">
        <v>221</v>
      </c>
      <c r="O1234" s="575">
        <v>2022.6</v>
      </c>
      <c r="P1234" s="665" t="str">
        <f>VLOOKUP(A1234,'[1]Raw data'!$B:$BA,23,FALSE)</f>
        <v>JPY</v>
      </c>
      <c r="Q1234" s="647" t="str">
        <f>VLOOKUP(A1234,'[1]Raw data'!$B:$Z,2,FALSE)</f>
        <v>C49SZX20210220SX</v>
      </c>
      <c r="R1234" s="647" t="str">
        <f>VLOOKUP(A1234,'[1]Raw data'!$B:$Z,3,FALSE)</f>
        <v>赛美达</v>
      </c>
      <c r="S1234" s="647" t="str">
        <f>VLOOKUP(A1234,'[1]Raw data'!$B:$Z,4,FALSE)</f>
        <v>YSM10</v>
      </c>
      <c r="T1234" s="647" t="str">
        <f>VLOOKUP(A1234,'[1]Raw data'!$B:$Z,8,FALSE)</f>
        <v>R-&gt;L</v>
      </c>
      <c r="U1234" s="647" t="str">
        <f>VLOOKUP(A1234,'[1]Raw data'!$B:$Z,9,FALSE)</f>
        <v>MVC</v>
      </c>
      <c r="V1234" s="567" t="str">
        <f>IF(G1234&amp;H1234=T1234&amp;U1234,"OK","WRONG")</f>
        <v>WRONG</v>
      </c>
      <c r="W1234" s="563" t="str">
        <f>VLOOKUP(A1234,'[1]Raw data'!$B:$AG,32,FALSE)</f>
        <v>DAP SZ</v>
      </c>
      <c r="X1234" s="647">
        <f>VLOOKUP(A1234,'[1]Raw data'!$B:$BA,31,FALSE)</f>
        <v>44547</v>
      </c>
      <c r="Y1234" s="647" t="str">
        <f>VLOOKUP(A1234,'[1]Raw data'!$B:$AS,39,FALSE)</f>
        <v>Yes</v>
      </c>
      <c r="Z1234" s="659"/>
      <c r="AA1234" s="660"/>
      <c r="AB1234" s="661"/>
      <c r="AC1234" s="647" t="s">
        <v>2394</v>
      </c>
      <c r="AD1234" s="575">
        <v>304</v>
      </c>
      <c r="AE1234" s="575">
        <v>10</v>
      </c>
      <c r="AF1234" s="575"/>
      <c r="AG1234" s="575"/>
      <c r="AH1234" s="575"/>
      <c r="AI1234" s="679"/>
      <c r="AJ1234" s="564"/>
      <c r="AK1234" s="564"/>
      <c r="AL1234" s="564"/>
      <c r="AM1234" s="564"/>
      <c r="AN1234" s="614"/>
      <c r="AO1234" s="824" t="str">
        <f t="shared" si="267"/>
        <v>Yes</v>
      </c>
      <c r="AP1234" s="259" t="str">
        <f t="shared" si="268"/>
        <v>AUG 22</v>
      </c>
      <c r="AQ1234" s="542" t="str">
        <f t="shared" si="269"/>
        <v>有定金+有預留客戶</v>
      </c>
      <c r="AR1234" s="259" t="str">
        <f t="shared" si="270"/>
        <v>Shipped_Stock</v>
      </c>
      <c r="AS1234" s="259" t="str">
        <f t="shared" si="271"/>
        <v/>
      </c>
      <c r="AT1234" s="259" t="str">
        <f t="shared" si="272"/>
        <v>赛美达</v>
      </c>
      <c r="AU1234" s="259" t="str">
        <f t="shared" si="273"/>
        <v>C49SZX20210220SX</v>
      </c>
      <c r="AV1234" s="259" t="str">
        <f t="shared" si="274"/>
        <v>Jul-04</v>
      </c>
    </row>
    <row r="1235" spans="1:48" hidden="1">
      <c r="A1235" s="599">
        <v>1626</v>
      </c>
      <c r="B1235" s="664" t="s">
        <v>1125</v>
      </c>
      <c r="C1235" s="664" t="s">
        <v>281</v>
      </c>
      <c r="D1235" s="625">
        <v>110916</v>
      </c>
      <c r="E1235" s="756" t="s">
        <v>2395</v>
      </c>
      <c r="F1235" s="647" t="s">
        <v>58</v>
      </c>
      <c r="G1235" s="647" t="s">
        <v>18</v>
      </c>
      <c r="H1235" s="647" t="s">
        <v>26</v>
      </c>
      <c r="I1235" s="575" t="s">
        <v>2396</v>
      </c>
      <c r="J1235" s="575">
        <v>1</v>
      </c>
      <c r="K1235" s="647" t="s">
        <v>85</v>
      </c>
      <c r="L1235" s="657">
        <v>44746</v>
      </c>
      <c r="M1235" s="665" t="s">
        <v>906</v>
      </c>
      <c r="N1235" s="647" t="s">
        <v>2231</v>
      </c>
      <c r="O1235" s="575">
        <v>2022.6</v>
      </c>
      <c r="P1235" s="665" t="str">
        <f>VLOOKUP(A1235,'[1]Raw data'!$B:$BA,23,FALSE)</f>
        <v>JPY</v>
      </c>
      <c r="Q1235" s="647" t="str">
        <f>VLOOKUP(A1235,'[1]Raw data'!$B:$Z,2,FALSE)</f>
        <v>C49SZX20220035R1SS</v>
      </c>
      <c r="R1235" s="647" t="str">
        <f>VLOOKUP(A1235,'[1]Raw data'!$B:$Z,3,FALSE)</f>
        <v>中润互联</v>
      </c>
      <c r="S1235" s="647" t="str">
        <f>VLOOKUP(A1235,'[1]Raw data'!$B:$Z,4,FALSE)</f>
        <v>YSM20R-2</v>
      </c>
      <c r="T1235" s="647" t="str">
        <f>VLOOKUP(A1235,'[1]Raw data'!$B:$Z,8,FALSE)</f>
        <v>R-&gt;L</v>
      </c>
      <c r="U1235" s="647" t="str">
        <f>VLOOKUP(A1235,'[1]Raw data'!$B:$Z,9,FALSE)</f>
        <v>No</v>
      </c>
      <c r="V1235" s="567" t="str">
        <f>IF(G1235&amp;H1235=T1235&amp;U1235,"OK","WRONG")</f>
        <v>OK</v>
      </c>
      <c r="W1235" s="563" t="str">
        <f>VLOOKUP(A1235,'[1]Raw data'!$B:$AG,32,FALSE)</f>
        <v>DAP SZ</v>
      </c>
      <c r="X1235" s="647">
        <f>VLOOKUP(A1235,'[1]Raw data'!$B:$BA,31,FALSE)</f>
        <v>44641</v>
      </c>
      <c r="Y1235" s="647" t="str">
        <f>VLOOKUP(A1235,'[1]Raw data'!$B:$AS,39,FALSE)</f>
        <v>Yes</v>
      </c>
      <c r="Z1235" s="659"/>
      <c r="AA1235" s="660"/>
      <c r="AB1235" s="661"/>
      <c r="AC1235" s="647" t="s">
        <v>2255</v>
      </c>
      <c r="AD1235" s="575">
        <v>301</v>
      </c>
      <c r="AE1235" s="575">
        <v>10</v>
      </c>
      <c r="AF1235" s="575">
        <v>302</v>
      </c>
      <c r="AG1235" s="575">
        <v>10</v>
      </c>
      <c r="AH1235" s="575"/>
      <c r="AI1235" s="679"/>
      <c r="AJ1235" s="564"/>
      <c r="AK1235" s="564"/>
      <c r="AL1235" s="564"/>
      <c r="AM1235" s="564"/>
      <c r="AN1235" s="614"/>
      <c r="AO1235" s="824" t="str">
        <f t="shared" si="267"/>
        <v>Yes</v>
      </c>
      <c r="AP1235" s="259" t="str">
        <f t="shared" si="268"/>
        <v>JUL 22</v>
      </c>
      <c r="AQ1235" s="542" t="str">
        <f t="shared" si="269"/>
        <v>有定金+有預留客戶</v>
      </c>
      <c r="AR1235" s="259" t="str">
        <f t="shared" si="270"/>
        <v>Shipped_Stock</v>
      </c>
      <c r="AS1235" s="259" t="str">
        <f t="shared" si="271"/>
        <v/>
      </c>
      <c r="AT1235" s="259" t="str">
        <f t="shared" si="272"/>
        <v>中润互联</v>
      </c>
      <c r="AU1235" s="259" t="str">
        <f t="shared" si="273"/>
        <v>C49SZX20220035R1SS</v>
      </c>
      <c r="AV1235" s="259" t="str">
        <f t="shared" si="274"/>
        <v>Jul-04</v>
      </c>
    </row>
    <row r="1236" spans="1:48" ht="17.25" hidden="1" thickBot="1">
      <c r="A1236" s="599">
        <v>1627</v>
      </c>
      <c r="B1236" s="664" t="s">
        <v>1125</v>
      </c>
      <c r="C1236" s="664" t="s">
        <v>281</v>
      </c>
      <c r="D1236" s="624">
        <v>110916</v>
      </c>
      <c r="E1236" s="646" t="s">
        <v>2397</v>
      </c>
      <c r="F1236" s="647" t="s">
        <v>58</v>
      </c>
      <c r="G1236" s="647" t="s">
        <v>18</v>
      </c>
      <c r="H1236" s="647" t="s">
        <v>26</v>
      </c>
      <c r="I1236" s="575" t="s">
        <v>2398</v>
      </c>
      <c r="J1236" s="575">
        <v>1</v>
      </c>
      <c r="K1236" s="647" t="s">
        <v>85</v>
      </c>
      <c r="L1236" s="657">
        <v>44746</v>
      </c>
      <c r="M1236" s="665" t="s">
        <v>906</v>
      </c>
      <c r="N1236" s="647" t="s">
        <v>2231</v>
      </c>
      <c r="O1236" s="575">
        <v>2022.6</v>
      </c>
      <c r="P1236" s="665" t="str">
        <f>VLOOKUP(A1236,'[1]Raw data'!$B:$BA,23,FALSE)</f>
        <v>JPY</v>
      </c>
      <c r="Q1236" s="647" t="str">
        <f>VLOOKUP(A1236,'[1]Raw data'!$B:$Z,2,FALSE)</f>
        <v>C49SZX20220035R1SS</v>
      </c>
      <c r="R1236" s="647" t="str">
        <f>VLOOKUP(A1236,'[1]Raw data'!$B:$Z,3,FALSE)</f>
        <v>中润互联</v>
      </c>
      <c r="S1236" s="647" t="str">
        <f>VLOOKUP(A1236,'[1]Raw data'!$B:$Z,4,FALSE)</f>
        <v>YSM20R-2</v>
      </c>
      <c r="T1236" s="647" t="str">
        <f>VLOOKUP(A1236,'[1]Raw data'!$B:$Z,8,FALSE)</f>
        <v>R-&gt;L</v>
      </c>
      <c r="U1236" s="647" t="str">
        <f>VLOOKUP(A1236,'[1]Raw data'!$B:$Z,9,FALSE)</f>
        <v>No</v>
      </c>
      <c r="V1236" s="567" t="str">
        <f>IF(G1236&amp;H1236=T1236&amp;U1236,"OK","WRONG")</f>
        <v>OK</v>
      </c>
      <c r="W1236" s="563" t="str">
        <f>VLOOKUP(A1236,'[1]Raw data'!$B:$AG,32,FALSE)</f>
        <v>DAP SZ</v>
      </c>
      <c r="X1236" s="647">
        <f>VLOOKUP(A1236,'[1]Raw data'!$B:$BA,31,FALSE)</f>
        <v>44641</v>
      </c>
      <c r="Y1236" s="647" t="str">
        <f>VLOOKUP(A1236,'[1]Raw data'!$B:$AS,39,FALSE)</f>
        <v>Yes</v>
      </c>
      <c r="Z1236" s="659"/>
      <c r="AA1236" s="660"/>
      <c r="AB1236" s="661"/>
      <c r="AC1236" s="647" t="s">
        <v>2255</v>
      </c>
      <c r="AD1236" s="575">
        <v>301</v>
      </c>
      <c r="AE1236" s="575">
        <v>10</v>
      </c>
      <c r="AF1236" s="575">
        <v>302</v>
      </c>
      <c r="AG1236" s="575">
        <v>10</v>
      </c>
      <c r="AH1236" s="575"/>
      <c r="AI1236" s="679"/>
      <c r="AJ1236" s="564"/>
      <c r="AK1236" s="564"/>
      <c r="AL1236" s="564"/>
      <c r="AM1236" s="564"/>
      <c r="AN1236" s="614"/>
      <c r="AO1236" s="824" t="str">
        <f t="shared" si="267"/>
        <v>Yes</v>
      </c>
      <c r="AP1236" s="259" t="str">
        <f t="shared" si="268"/>
        <v>JUL 22</v>
      </c>
      <c r="AQ1236" s="542" t="str">
        <f t="shared" si="269"/>
        <v>有定金+有預留客戶</v>
      </c>
      <c r="AR1236" s="259" t="str">
        <f t="shared" si="270"/>
        <v>Shipped_Stock</v>
      </c>
      <c r="AS1236" s="259" t="str">
        <f t="shared" si="271"/>
        <v/>
      </c>
      <c r="AT1236" s="259" t="str">
        <f t="shared" si="272"/>
        <v>中润互联</v>
      </c>
      <c r="AU1236" s="259" t="str">
        <f t="shared" si="273"/>
        <v>C49SZX20220035R1SS</v>
      </c>
      <c r="AV1236" s="259" t="str">
        <f t="shared" si="274"/>
        <v>Jul-04</v>
      </c>
    </row>
    <row r="1237" spans="1:48" hidden="1">
      <c r="A1237" s="599">
        <v>1625</v>
      </c>
      <c r="B1237" s="664" t="s">
        <v>1125</v>
      </c>
      <c r="C1237" s="664" t="s">
        <v>281</v>
      </c>
      <c r="D1237" s="761">
        <v>110933</v>
      </c>
      <c r="E1237" s="748" t="s">
        <v>2399</v>
      </c>
      <c r="F1237" s="647" t="s">
        <v>58</v>
      </c>
      <c r="G1237" s="647" t="s">
        <v>24</v>
      </c>
      <c r="H1237" s="647" t="s">
        <v>26</v>
      </c>
      <c r="I1237" s="575" t="s">
        <v>2400</v>
      </c>
      <c r="J1237" s="575">
        <v>1</v>
      </c>
      <c r="K1237" s="647" t="s">
        <v>85</v>
      </c>
      <c r="L1237" s="749">
        <v>44750</v>
      </c>
      <c r="M1237" s="665" t="s">
        <v>906</v>
      </c>
      <c r="N1237" s="647" t="s">
        <v>2231</v>
      </c>
      <c r="O1237" s="575">
        <v>2022.6</v>
      </c>
      <c r="P1237" s="665" t="str">
        <f>VLOOKUP(A1237,'[1]Raw data'!$B:$BA,23,FALSE)</f>
        <v>JPY</v>
      </c>
      <c r="Q1237" s="647" t="str">
        <f>VLOOKUP(A1237,'[1]Raw data'!$B:$Z,2,FALSE)</f>
        <v>C49SZX20220035R1SS</v>
      </c>
      <c r="R1237" s="647" t="str">
        <f>VLOOKUP(A1237,'[1]Raw data'!$B:$Z,3,FALSE)</f>
        <v>中润互联</v>
      </c>
      <c r="S1237" s="647" t="str">
        <f>VLOOKUP(A1237,'[1]Raw data'!$B:$Z,4,FALSE)</f>
        <v>YSM20R-2</v>
      </c>
      <c r="T1237" s="647" t="str">
        <f>VLOOKUP(A1237,'[1]Raw data'!$B:$Z,8,FALSE)</f>
        <v>L-&gt;R</v>
      </c>
      <c r="U1237" s="647" t="str">
        <f>VLOOKUP(A1237,'[1]Raw data'!$B:$Z,9,FALSE)</f>
        <v>No</v>
      </c>
      <c r="V1237" s="567" t="str">
        <f t="shared" si="265"/>
        <v>OK</v>
      </c>
      <c r="W1237" s="563" t="str">
        <f>VLOOKUP(A1237,'[1]Raw data'!$B:$AG,32,FALSE)</f>
        <v>DDP SZ</v>
      </c>
      <c r="X1237" s="647">
        <f>VLOOKUP(A1237,'[1]Raw data'!$B:$BA,31,FALSE)</f>
        <v>44641</v>
      </c>
      <c r="Y1237" s="647" t="str">
        <f>VLOOKUP(A1237,'[1]Raw data'!$B:$AS,39,FALSE)</f>
        <v>Yes</v>
      </c>
      <c r="Z1237" s="659"/>
      <c r="AA1237" s="660"/>
      <c r="AB1237" s="661"/>
      <c r="AC1237" s="647" t="s">
        <v>2255</v>
      </c>
      <c r="AD1237" s="575">
        <v>301</v>
      </c>
      <c r="AE1237" s="575">
        <v>10</v>
      </c>
      <c r="AF1237" s="575">
        <v>302</v>
      </c>
      <c r="AG1237" s="575">
        <v>10</v>
      </c>
      <c r="AH1237" s="575">
        <v>303</v>
      </c>
      <c r="AI1237" s="679">
        <v>5</v>
      </c>
      <c r="AJ1237" s="564"/>
      <c r="AK1237" s="564"/>
      <c r="AL1237" s="564"/>
      <c r="AM1237" s="564"/>
      <c r="AN1237" s="614"/>
      <c r="AO1237" s="824" t="str">
        <f t="shared" si="267"/>
        <v>Yes</v>
      </c>
      <c r="AP1237" s="259" t="str">
        <f t="shared" si="268"/>
        <v>JUL 22</v>
      </c>
      <c r="AQ1237" s="542" t="str">
        <f t="shared" si="269"/>
        <v>有定金+有預留客戶</v>
      </c>
      <c r="AR1237" s="259" t="str">
        <f t="shared" si="270"/>
        <v>Shipped_Stock</v>
      </c>
      <c r="AS1237" s="259" t="str">
        <f t="shared" si="271"/>
        <v/>
      </c>
      <c r="AT1237" s="259" t="str">
        <f t="shared" si="272"/>
        <v>中润互联</v>
      </c>
      <c r="AU1237" s="259" t="str">
        <f t="shared" si="273"/>
        <v>C49SZX20220035R1SS</v>
      </c>
      <c r="AV1237" s="259" t="str">
        <f t="shared" si="274"/>
        <v>Jul-08</v>
      </c>
    </row>
    <row r="1238" spans="1:48" ht="13.5" hidden="1" thickBot="1">
      <c r="A1238" s="599">
        <v>1600</v>
      </c>
      <c r="B1238" s="664" t="s">
        <v>1125</v>
      </c>
      <c r="C1238" s="664" t="s">
        <v>281</v>
      </c>
      <c r="D1238" s="624">
        <v>110934</v>
      </c>
      <c r="E1238" s="744" t="s">
        <v>2401</v>
      </c>
      <c r="F1238" s="647" t="s">
        <v>58</v>
      </c>
      <c r="G1238" s="647" t="s">
        <v>24</v>
      </c>
      <c r="H1238" s="647" t="s">
        <v>26</v>
      </c>
      <c r="I1238" s="575" t="s">
        <v>2402</v>
      </c>
      <c r="J1238" s="575">
        <v>1</v>
      </c>
      <c r="K1238" s="647" t="s">
        <v>85</v>
      </c>
      <c r="L1238" s="749">
        <v>44750</v>
      </c>
      <c r="M1238" s="665" t="s">
        <v>906</v>
      </c>
      <c r="N1238" s="647" t="s">
        <v>2231</v>
      </c>
      <c r="O1238" s="575">
        <v>2022.6</v>
      </c>
      <c r="P1238" s="665" t="str">
        <f>VLOOKUP(A1238,'[1]Raw data'!$B:$BA,23,FALSE)</f>
        <v>JPY</v>
      </c>
      <c r="Q1238" s="647" t="str">
        <f>VLOOKUP(A1238,'[1]Raw data'!$B:$Z,2,FALSE)</f>
        <v>C49SZX20220024VC</v>
      </c>
      <c r="R1238" s="647" t="str">
        <f>VLOOKUP(A1238,'[1]Raw data'!$B:$Z,3,FALSE)</f>
        <v>友艺</v>
      </c>
      <c r="S1238" s="647" t="str">
        <f>VLOOKUP(A1238,'[1]Raw data'!$B:$Z,4,FALSE)</f>
        <v>YSM20R-2</v>
      </c>
      <c r="T1238" s="647" t="str">
        <f>VLOOKUP(A1238,'[1]Raw data'!$B:$Z,8,FALSE)</f>
        <v>L-&gt;R</v>
      </c>
      <c r="U1238" s="647" t="str">
        <f>VLOOKUP(A1238,'[1]Raw data'!$B:$Z,9,FALSE)</f>
        <v>No</v>
      </c>
      <c r="V1238" s="567" t="str">
        <f t="shared" si="265"/>
        <v>OK</v>
      </c>
      <c r="W1238" s="563" t="str">
        <f>VLOOKUP(A1238,'[1]Raw data'!$B:$AG,32,FALSE)</f>
        <v>DAP SZ</v>
      </c>
      <c r="X1238" s="647">
        <f>VLOOKUP(A1238,'[1]Raw data'!$B:$BA,31,FALSE)</f>
        <v>44620</v>
      </c>
      <c r="Y1238" s="647" t="str">
        <f>VLOOKUP(A1238,'[1]Raw data'!$B:$AS,39,FALSE)</f>
        <v>Yes</v>
      </c>
      <c r="Z1238" s="659"/>
      <c r="AA1238" s="660"/>
      <c r="AB1238" s="661"/>
      <c r="AC1238" s="647" t="s">
        <v>1951</v>
      </c>
      <c r="AD1238" s="662">
        <v>301</v>
      </c>
      <c r="AE1238" s="662">
        <v>10</v>
      </c>
      <c r="AF1238" s="662">
        <v>302</v>
      </c>
      <c r="AG1238" s="662">
        <v>10</v>
      </c>
      <c r="AH1238" s="662"/>
      <c r="AI1238" s="663"/>
      <c r="AN1238" s="542"/>
      <c r="AO1238" s="824" t="str">
        <f t="shared" si="267"/>
        <v>Yes</v>
      </c>
      <c r="AP1238" s="259" t="str">
        <f t="shared" si="268"/>
        <v>JUL 22</v>
      </c>
      <c r="AQ1238" s="542" t="str">
        <f t="shared" si="269"/>
        <v>有定金+有預留客戶</v>
      </c>
      <c r="AR1238" s="259" t="str">
        <f t="shared" si="270"/>
        <v>Shipped_Stock</v>
      </c>
      <c r="AS1238" s="259" t="str">
        <f t="shared" si="271"/>
        <v/>
      </c>
      <c r="AT1238" s="259" t="str">
        <f t="shared" si="272"/>
        <v>友艺</v>
      </c>
      <c r="AU1238" s="259" t="str">
        <f t="shared" si="273"/>
        <v>C49SZX20220024VC</v>
      </c>
      <c r="AV1238" s="259" t="str">
        <f t="shared" si="274"/>
        <v>Jul-08</v>
      </c>
    </row>
    <row r="1239" spans="1:48" hidden="1">
      <c r="A1239" s="599">
        <v>1003</v>
      </c>
      <c r="B1239" s="664" t="s">
        <v>1125</v>
      </c>
      <c r="C1239" s="664" t="s">
        <v>281</v>
      </c>
      <c r="D1239" s="623">
        <v>110948</v>
      </c>
      <c r="E1239" s="562" t="s">
        <v>886</v>
      </c>
      <c r="F1239" s="647" t="s">
        <v>58</v>
      </c>
      <c r="G1239" s="647" t="s">
        <v>24</v>
      </c>
      <c r="H1239" s="647" t="s">
        <v>26</v>
      </c>
      <c r="I1239" s="575" t="s">
        <v>2403</v>
      </c>
      <c r="J1239" s="575">
        <v>1</v>
      </c>
      <c r="K1239" s="647" t="s">
        <v>78</v>
      </c>
      <c r="L1239" s="657">
        <v>44756</v>
      </c>
      <c r="M1239" s="665">
        <v>5.1200000000000002E-2</v>
      </c>
      <c r="N1239" s="647" t="s">
        <v>2231</v>
      </c>
      <c r="O1239" s="575">
        <v>2022.6</v>
      </c>
      <c r="P1239" s="665" t="str">
        <f>VLOOKUP(A1239,'[1]Raw data'!$B:$BA,23,FALSE)</f>
        <v>JPY</v>
      </c>
      <c r="Q1239" s="647" t="str">
        <f>VLOOKUP(A1239,'[1]Raw data'!$B:$Z,2,FALSE)</f>
        <v>C49SZX20200233JL</v>
      </c>
      <c r="R1239" s="647" t="str">
        <f>VLOOKUP(A1239,'[1]Raw data'!$B:$Z,3,FALSE)</f>
        <v>瑞福联</v>
      </c>
      <c r="S1239" s="647" t="str">
        <f>VLOOKUP(A1239,'[1]Raw data'!$B:$Z,4,FALSE)</f>
        <v>YSM20R-2</v>
      </c>
      <c r="T1239" s="647" t="str">
        <f>VLOOKUP(A1239,'[1]Raw data'!$B:$Z,8,FALSE)</f>
        <v>L-&gt;R</v>
      </c>
      <c r="U1239" s="647" t="str">
        <f>VLOOKUP(A1239,'[1]Raw data'!$B:$Z,9,FALSE)</f>
        <v>No</v>
      </c>
      <c r="V1239" s="567" t="str">
        <f t="shared" ref="V1239" si="276">IF(G1239&amp;H1239=T1239&amp;U1239,"OK","WRONG")</f>
        <v>OK</v>
      </c>
      <c r="W1239" s="563" t="str">
        <f>VLOOKUP(A1239,'[1]Raw data'!$B:$AG,32,FALSE)</f>
        <v>CIF HK</v>
      </c>
      <c r="X1239" s="647">
        <f>VLOOKUP(A1239,'[1]Raw data'!$B:$BA,31,FALSE)</f>
        <v>44175</v>
      </c>
      <c r="Y1239" s="647" t="str">
        <f>VLOOKUP(A1239,'[1]Raw data'!$B:$AS,39,FALSE)</f>
        <v>Yes</v>
      </c>
      <c r="Z1239" s="659"/>
      <c r="AA1239" s="660"/>
      <c r="AB1239" s="661"/>
      <c r="AC1239" s="647" t="s">
        <v>2404</v>
      </c>
      <c r="AD1239" s="575">
        <v>302</v>
      </c>
      <c r="AE1239" s="575">
        <v>10</v>
      </c>
      <c r="AF1239" s="575">
        <v>303</v>
      </c>
      <c r="AG1239" s="575">
        <v>10</v>
      </c>
      <c r="AH1239" s="575"/>
      <c r="AI1239" s="679"/>
      <c r="AJ1239" s="564"/>
      <c r="AK1239" s="564"/>
      <c r="AL1239" s="564"/>
      <c r="AM1239" s="564"/>
      <c r="AN1239" s="614"/>
      <c r="AO1239" s="824" t="str">
        <f t="shared" si="267"/>
        <v>Yes</v>
      </c>
      <c r="AP1239" s="259" t="str">
        <f t="shared" si="268"/>
        <v>JUL 22</v>
      </c>
      <c r="AQ1239" s="542" t="str">
        <f t="shared" si="269"/>
        <v>有定金+有預留客戶</v>
      </c>
      <c r="AR1239" s="259" t="str">
        <f t="shared" si="270"/>
        <v>Shipped_Stock</v>
      </c>
      <c r="AS1239" s="259" t="str">
        <f t="shared" si="271"/>
        <v/>
      </c>
      <c r="AT1239" s="259" t="str">
        <f t="shared" si="272"/>
        <v>瑞福联</v>
      </c>
      <c r="AU1239" s="259" t="str">
        <f t="shared" si="273"/>
        <v>C49SZX20200233JL</v>
      </c>
      <c r="AV1239" s="259" t="str">
        <f t="shared" si="274"/>
        <v>Jul-14</v>
      </c>
    </row>
    <row r="1240" spans="1:48" ht="16.5" hidden="1">
      <c r="A1240" s="559">
        <v>1819</v>
      </c>
      <c r="B1240" s="664" t="s">
        <v>1125</v>
      </c>
      <c r="C1240" s="664" t="s">
        <v>281</v>
      </c>
      <c r="D1240" s="755">
        <v>110915</v>
      </c>
      <c r="E1240" s="760" t="s">
        <v>2405</v>
      </c>
      <c r="F1240" s="647" t="s">
        <v>58</v>
      </c>
      <c r="G1240" s="647" t="s">
        <v>24</v>
      </c>
      <c r="H1240" s="647" t="s">
        <v>1823</v>
      </c>
      <c r="I1240" s="575" t="s">
        <v>2406</v>
      </c>
      <c r="J1240" s="575">
        <v>1</v>
      </c>
      <c r="K1240" s="647" t="s">
        <v>2407</v>
      </c>
      <c r="L1240" s="657">
        <v>44756</v>
      </c>
      <c r="M1240" s="665">
        <v>5.2699999999999997E-2</v>
      </c>
      <c r="N1240" s="647" t="s">
        <v>216</v>
      </c>
      <c r="O1240" s="575">
        <v>2022.6</v>
      </c>
      <c r="P1240" s="665" t="str">
        <f>VLOOKUP(A1240,'[1]Raw data'!$B:$BA,23,FALSE)</f>
        <v>RMB</v>
      </c>
      <c r="Q1240" s="647" t="str">
        <f>VLOOKUP(A1240,'[1]Raw data'!$B:$Z,2,FALSE)</f>
        <v>C49SZX20230007SX</v>
      </c>
      <c r="R1240" s="647" t="str">
        <f>VLOOKUP(A1240,'[1]Raw data'!$B:$Z,3,FALSE)</f>
        <v>雷特</v>
      </c>
      <c r="S1240" s="647" t="str">
        <f>VLOOKUP(A1240,'[1]Raw data'!$B:$Z,4,FALSE)</f>
        <v>YSM20R-2</v>
      </c>
      <c r="T1240" s="647" t="str">
        <f>VLOOKUP(A1240,'[1]Raw data'!$B:$Z,8,FALSE)</f>
        <v>L-&gt;R</v>
      </c>
      <c r="U1240" s="647" t="str">
        <f>VLOOKUP(A1240,'[1]Raw data'!$B:$Z,9,FALSE)</f>
        <v>Feeder Carriage</v>
      </c>
      <c r="V1240" s="567" t="str">
        <f t="shared" ref="V1240:V1242" si="277">IF(G1240&amp;H1240=T1240&amp;U1240,"OK","WRONG")</f>
        <v>OK</v>
      </c>
      <c r="W1240" s="563" t="str">
        <f>VLOOKUP(A1240,'[1]Raw data'!$B:$AG,32,FALSE)</f>
        <v>DDP ZH</v>
      </c>
      <c r="X1240" s="647">
        <f>VLOOKUP(A1240,'[1]Raw data'!$B:$BA,31,FALSE)</f>
        <v>44942</v>
      </c>
      <c r="Y1240" s="647" t="str">
        <f>VLOOKUP(A1240,'[1]Raw data'!$B:$AS,39,FALSE)</f>
        <v>Yes</v>
      </c>
      <c r="Z1240" s="659"/>
      <c r="AA1240" s="660"/>
      <c r="AB1240" s="661"/>
      <c r="AC1240" s="647" t="s">
        <v>2408</v>
      </c>
      <c r="AD1240" s="662">
        <v>301</v>
      </c>
      <c r="AE1240" s="662">
        <v>20</v>
      </c>
      <c r="AF1240" s="662"/>
      <c r="AG1240" s="662"/>
      <c r="AH1240" s="662"/>
      <c r="AI1240" s="663"/>
      <c r="AN1240" s="542"/>
      <c r="AO1240" s="824" t="str">
        <f t="shared" si="267"/>
        <v>Yes</v>
      </c>
      <c r="AP1240" s="259" t="str">
        <f t="shared" si="268"/>
        <v>MAR 23</v>
      </c>
      <c r="AQ1240" s="542" t="str">
        <f t="shared" si="269"/>
        <v>有定金+有預留客戶</v>
      </c>
      <c r="AR1240" s="259" t="str">
        <f t="shared" si="270"/>
        <v>Shipped_Stock</v>
      </c>
      <c r="AS1240" s="259" t="str">
        <f t="shared" si="271"/>
        <v/>
      </c>
      <c r="AT1240" s="259" t="str">
        <f t="shared" si="272"/>
        <v>雷特</v>
      </c>
      <c r="AU1240" s="259" t="str">
        <f t="shared" si="273"/>
        <v>C49SZX20230007SX</v>
      </c>
      <c r="AV1240" s="259" t="str">
        <f t="shared" si="274"/>
        <v>Jul-14</v>
      </c>
    </row>
    <row r="1241" spans="1:48" ht="16.5" hidden="1">
      <c r="A1241" s="559">
        <v>1820</v>
      </c>
      <c r="B1241" s="664" t="s">
        <v>1125</v>
      </c>
      <c r="C1241" s="664" t="s">
        <v>281</v>
      </c>
      <c r="D1241" s="755">
        <v>110915</v>
      </c>
      <c r="E1241" s="760" t="s">
        <v>2405</v>
      </c>
      <c r="F1241" s="647" t="s">
        <v>58</v>
      </c>
      <c r="G1241" s="647" t="s">
        <v>24</v>
      </c>
      <c r="H1241" s="647" t="s">
        <v>1823</v>
      </c>
      <c r="I1241" s="575" t="s">
        <v>2409</v>
      </c>
      <c r="J1241" s="575">
        <v>1</v>
      </c>
      <c r="K1241" s="647" t="s">
        <v>2407</v>
      </c>
      <c r="L1241" s="657">
        <v>44756</v>
      </c>
      <c r="M1241" s="665">
        <v>5.2699999999999997E-2</v>
      </c>
      <c r="N1241" s="647" t="s">
        <v>216</v>
      </c>
      <c r="O1241" s="575">
        <v>2022.6</v>
      </c>
      <c r="P1241" s="665" t="str">
        <f>VLOOKUP(A1241,'[1]Raw data'!$B:$BA,23,FALSE)</f>
        <v>RMB</v>
      </c>
      <c r="Q1241" s="647" t="str">
        <f>VLOOKUP(A1241,'[1]Raw data'!$B:$Z,2,FALSE)</f>
        <v>C49SZX20230007SX</v>
      </c>
      <c r="R1241" s="647" t="str">
        <f>VLOOKUP(A1241,'[1]Raw data'!$B:$Z,3,FALSE)</f>
        <v>雷特</v>
      </c>
      <c r="S1241" s="647" t="str">
        <f>VLOOKUP(A1241,'[1]Raw data'!$B:$Z,4,FALSE)</f>
        <v>YSM20R-2</v>
      </c>
      <c r="T1241" s="647" t="str">
        <f>VLOOKUP(A1241,'[1]Raw data'!$B:$Z,8,FALSE)</f>
        <v>L-&gt;R</v>
      </c>
      <c r="U1241" s="647" t="str">
        <f>VLOOKUP(A1241,'[1]Raw data'!$B:$Z,9,FALSE)</f>
        <v>Feeder Carriage</v>
      </c>
      <c r="V1241" s="567" t="str">
        <f t="shared" si="277"/>
        <v>OK</v>
      </c>
      <c r="W1241" s="563" t="str">
        <f>VLOOKUP(A1241,'[1]Raw data'!$B:$AG,32,FALSE)</f>
        <v>DDP ZH</v>
      </c>
      <c r="X1241" s="647">
        <f>VLOOKUP(A1241,'[1]Raw data'!$B:$BA,31,FALSE)</f>
        <v>44942</v>
      </c>
      <c r="Y1241" s="647" t="str">
        <f>VLOOKUP(A1241,'[1]Raw data'!$B:$AS,39,FALSE)</f>
        <v>Yes</v>
      </c>
      <c r="Z1241" s="659"/>
      <c r="AA1241" s="660"/>
      <c r="AB1241" s="661"/>
      <c r="AC1241" s="647" t="s">
        <v>2408</v>
      </c>
      <c r="AD1241" s="662">
        <v>302</v>
      </c>
      <c r="AE1241" s="662">
        <v>20</v>
      </c>
      <c r="AF1241" s="662"/>
      <c r="AG1241" s="662"/>
      <c r="AH1241" s="662"/>
      <c r="AI1241" s="663"/>
      <c r="AN1241" s="542"/>
      <c r="AO1241" s="824" t="str">
        <f t="shared" si="267"/>
        <v>Yes</v>
      </c>
      <c r="AP1241" s="259" t="str">
        <f t="shared" si="268"/>
        <v>MAR 23</v>
      </c>
      <c r="AQ1241" s="542" t="str">
        <f t="shared" si="269"/>
        <v>有定金+有預留客戶</v>
      </c>
      <c r="AR1241" s="259" t="str">
        <f t="shared" si="270"/>
        <v>Shipped_Stock</v>
      </c>
      <c r="AS1241" s="259" t="str">
        <f t="shared" si="271"/>
        <v/>
      </c>
      <c r="AT1241" s="259" t="str">
        <f t="shared" si="272"/>
        <v>雷特</v>
      </c>
      <c r="AU1241" s="259" t="str">
        <f t="shared" si="273"/>
        <v>C49SZX20230007SX</v>
      </c>
      <c r="AV1241" s="259" t="str">
        <f t="shared" si="274"/>
        <v>Jul-14</v>
      </c>
    </row>
    <row r="1242" spans="1:48" ht="17.25" hidden="1" thickBot="1">
      <c r="A1242" s="559">
        <v>1817</v>
      </c>
      <c r="B1242" s="664" t="s">
        <v>1125</v>
      </c>
      <c r="C1242" s="664" t="s">
        <v>281</v>
      </c>
      <c r="D1242" s="624">
        <v>110915</v>
      </c>
      <c r="E1242" s="760" t="s">
        <v>2405</v>
      </c>
      <c r="F1242" s="647" t="s">
        <v>58</v>
      </c>
      <c r="G1242" s="647" t="s">
        <v>24</v>
      </c>
      <c r="H1242" s="647" t="s">
        <v>2410</v>
      </c>
      <c r="I1242" s="575" t="s">
        <v>2411</v>
      </c>
      <c r="J1242" s="575">
        <v>1</v>
      </c>
      <c r="K1242" s="647" t="s">
        <v>2407</v>
      </c>
      <c r="L1242" s="657">
        <v>44756</v>
      </c>
      <c r="M1242" s="665">
        <v>5.2699999999999997E-2</v>
      </c>
      <c r="N1242" s="647" t="s">
        <v>216</v>
      </c>
      <c r="O1242" s="575">
        <v>2022.6</v>
      </c>
      <c r="P1242" s="665" t="str">
        <f>VLOOKUP(A1242,'[1]Raw data'!$B:$BA,23,FALSE)</f>
        <v>RMB</v>
      </c>
      <c r="Q1242" s="647" t="str">
        <f>VLOOKUP(A1242,'[1]Raw data'!$B:$Z,2,FALSE)</f>
        <v>C49SZX20230007SX</v>
      </c>
      <c r="R1242" s="647" t="str">
        <f>VLOOKUP(A1242,'[1]Raw data'!$B:$Z,3,FALSE)</f>
        <v>雷特</v>
      </c>
      <c r="S1242" s="647" t="str">
        <f>VLOOKUP(A1242,'[1]Raw data'!$B:$Z,4,FALSE)</f>
        <v>YSM20R-2</v>
      </c>
      <c r="T1242" s="647" t="str">
        <f>VLOOKUP(A1242,'[1]Raw data'!$B:$Z,8,FALSE)</f>
        <v>L-&gt;R</v>
      </c>
      <c r="U1242" s="647" t="str">
        <f>VLOOKUP(A1242,'[1]Raw data'!$B:$Z,9,FALSE)</f>
        <v>cATS10+MVC+Feeder Carriage</v>
      </c>
      <c r="V1242" s="567" t="str">
        <f t="shared" si="277"/>
        <v>OK</v>
      </c>
      <c r="W1242" s="563" t="str">
        <f>VLOOKUP(A1242,'[1]Raw data'!$B:$AG,32,FALSE)</f>
        <v>DDP ZH</v>
      </c>
      <c r="X1242" s="647">
        <f>VLOOKUP(A1242,'[1]Raw data'!$B:$BA,31,FALSE)</f>
        <v>44942</v>
      </c>
      <c r="Y1242" s="647" t="str">
        <f>VLOOKUP(A1242,'[1]Raw data'!$B:$AS,39,FALSE)</f>
        <v>Yes</v>
      </c>
      <c r="Z1242" s="659"/>
      <c r="AA1242" s="660"/>
      <c r="AB1242" s="661"/>
      <c r="AC1242" s="647" t="s">
        <v>2408</v>
      </c>
      <c r="AD1242" s="662">
        <v>312</v>
      </c>
      <c r="AE1242" s="662">
        <v>20</v>
      </c>
      <c r="AF1242" s="662"/>
      <c r="AG1242" s="662"/>
      <c r="AH1242" s="662"/>
      <c r="AI1242" s="663"/>
      <c r="AN1242" s="542"/>
      <c r="AO1242" s="824" t="str">
        <f t="shared" si="267"/>
        <v>Yes</v>
      </c>
      <c r="AP1242" s="259" t="str">
        <f t="shared" si="268"/>
        <v>MAR 23</v>
      </c>
      <c r="AQ1242" s="542" t="str">
        <f t="shared" si="269"/>
        <v>有定金+有預留客戶</v>
      </c>
      <c r="AR1242" s="259" t="str">
        <f t="shared" si="270"/>
        <v>Shipped_Stock</v>
      </c>
      <c r="AS1242" s="259" t="str">
        <f t="shared" si="271"/>
        <v/>
      </c>
      <c r="AT1242" s="259" t="str">
        <f t="shared" si="272"/>
        <v>雷特</v>
      </c>
      <c r="AU1242" s="259" t="str">
        <f t="shared" si="273"/>
        <v>C49SZX20230007SX</v>
      </c>
      <c r="AV1242" s="259" t="str">
        <f t="shared" si="274"/>
        <v>Jul-14</v>
      </c>
    </row>
    <row r="1243" spans="1:48" ht="40.5" hidden="1">
      <c r="A1243" s="559">
        <v>1778</v>
      </c>
      <c r="B1243" s="664" t="s">
        <v>1125</v>
      </c>
      <c r="C1243" s="664" t="s">
        <v>281</v>
      </c>
      <c r="D1243" s="761">
        <v>110951</v>
      </c>
      <c r="E1243" s="744" t="s">
        <v>2412</v>
      </c>
      <c r="F1243" s="647" t="s">
        <v>17</v>
      </c>
      <c r="G1243" s="647" t="s">
        <v>18</v>
      </c>
      <c r="H1243" s="647" t="s">
        <v>2413</v>
      </c>
      <c r="I1243" s="575" t="s">
        <v>2414</v>
      </c>
      <c r="J1243" s="575">
        <v>1</v>
      </c>
      <c r="K1243" s="647" t="s">
        <v>1419</v>
      </c>
      <c r="L1243" s="657">
        <v>44769</v>
      </c>
      <c r="M1243" s="665" t="s">
        <v>2415</v>
      </c>
      <c r="N1243" s="647" t="s">
        <v>226</v>
      </c>
      <c r="O1243" s="575">
        <v>2022.7</v>
      </c>
      <c r="P1243" s="665" t="str">
        <f>VLOOKUP(A1243,'[1]Raw data'!$B:$BA,23,FALSE)</f>
        <v>RMB</v>
      </c>
      <c r="Q1243" s="647" t="str">
        <f>VLOOKUP(A1243,'[1]Raw data'!$B:$Z,2,FALSE)</f>
        <v>C49SZX20220132R1ZX(H207006-BET-221214 ESE)</v>
      </c>
      <c r="R1243" s="647" t="str">
        <f>VLOOKUP(A1243,'[1]Raw data'!$B:$Z,3,FALSE)</f>
        <v>海星</v>
      </c>
      <c r="S1243" s="647" t="str">
        <f>VLOOKUP(A1243,'[1]Raw data'!$B:$Z,4,FALSE)</f>
        <v>YSM10</v>
      </c>
      <c r="T1243" s="647" t="str">
        <f>VLOOKUP(A1243,'[1]Raw data'!$B:$Z,8,FALSE)</f>
        <v>L-&gt;R</v>
      </c>
      <c r="U1243" s="647" t="str">
        <f>VLOOKUP(A1243,'[1]Raw data'!$B:$Z,9,FALSE)</f>
        <v>No</v>
      </c>
      <c r="V1243" s="567" t="str">
        <f t="shared" ref="V1243:V1248" si="278">IF(G1243&amp;H1243=T1243&amp;U1243,"OK","WRONG")</f>
        <v>WRONG</v>
      </c>
      <c r="W1243" s="563" t="str">
        <f>VLOOKUP(A1243,'[1]Raw data'!$B:$AG,32,FALSE)</f>
        <v>DDP SZ</v>
      </c>
      <c r="X1243" s="647">
        <f>VLOOKUP(A1243,'[1]Raw data'!$B:$BA,31,FALSE)</f>
        <v>44900</v>
      </c>
      <c r="Y1243" s="647" t="str">
        <f>VLOOKUP(A1243,'[1]Raw data'!$B:$AS,39,FALSE)</f>
        <v>Yes</v>
      </c>
      <c r="Z1243" s="659"/>
      <c r="AA1243" s="660"/>
      <c r="AB1243" s="661"/>
      <c r="AC1243" s="647" t="s">
        <v>1557</v>
      </c>
      <c r="AD1243" s="662">
        <v>301</v>
      </c>
      <c r="AE1243" s="662">
        <v>10</v>
      </c>
      <c r="AF1243" s="662"/>
      <c r="AG1243" s="662"/>
      <c r="AH1243" s="662"/>
      <c r="AI1243" s="663"/>
      <c r="AN1243" s="542"/>
      <c r="AO1243" s="824" t="str">
        <f t="shared" si="267"/>
        <v>Yes</v>
      </c>
      <c r="AP1243" s="259" t="str">
        <f t="shared" si="268"/>
        <v>APR 23</v>
      </c>
      <c r="AQ1243" s="542" t="str">
        <f t="shared" si="269"/>
        <v>有定金+有預留客戶</v>
      </c>
      <c r="AR1243" s="259" t="str">
        <f t="shared" si="270"/>
        <v>Shipped_Stock</v>
      </c>
      <c r="AS1243" s="259" t="str">
        <f t="shared" si="271"/>
        <v/>
      </c>
      <c r="AT1243" s="259" t="str">
        <f t="shared" si="272"/>
        <v>海星</v>
      </c>
      <c r="AU1243" s="259" t="str">
        <f t="shared" si="273"/>
        <v>C49SZX20220132R1ZX(H207006-BET-221214 ESE)</v>
      </c>
      <c r="AV1243" s="259" t="str">
        <f t="shared" si="274"/>
        <v>Jul-27</v>
      </c>
    </row>
    <row r="1244" spans="1:48" ht="24.75" hidden="1">
      <c r="A1244" s="559">
        <v>1779</v>
      </c>
      <c r="B1244" s="664" t="s">
        <v>1125</v>
      </c>
      <c r="C1244" s="664" t="s">
        <v>281</v>
      </c>
      <c r="D1244" s="755">
        <v>110951</v>
      </c>
      <c r="E1244" s="744" t="s">
        <v>2412</v>
      </c>
      <c r="F1244" s="647" t="s">
        <v>17</v>
      </c>
      <c r="G1244" s="647" t="s">
        <v>18</v>
      </c>
      <c r="H1244" s="647" t="s">
        <v>102</v>
      </c>
      <c r="I1244" s="575" t="s">
        <v>2416</v>
      </c>
      <c r="J1244" s="575">
        <v>1</v>
      </c>
      <c r="K1244" s="647" t="s">
        <v>1419</v>
      </c>
      <c r="L1244" s="657">
        <v>44769</v>
      </c>
      <c r="M1244" s="665" t="s">
        <v>2417</v>
      </c>
      <c r="N1244" s="647" t="s">
        <v>226</v>
      </c>
      <c r="O1244" s="575">
        <v>2022.7</v>
      </c>
      <c r="P1244" s="665" t="str">
        <f>VLOOKUP(A1244,'[1]Raw data'!$B:$BA,23,FALSE)</f>
        <v>RMB</v>
      </c>
      <c r="Q1244" s="647" t="str">
        <f>VLOOKUP(A1244,'[1]Raw data'!$B:$Z,2,FALSE)</f>
        <v>C49SZX20220132R1ZX(H207006-BET-221214 ESE)</v>
      </c>
      <c r="R1244" s="647" t="str">
        <f>VLOOKUP(A1244,'[1]Raw data'!$B:$Z,3,FALSE)</f>
        <v>海星</v>
      </c>
      <c r="S1244" s="647" t="str">
        <f>VLOOKUP(A1244,'[1]Raw data'!$B:$Z,4,FALSE)</f>
        <v>YSM10</v>
      </c>
      <c r="T1244" s="647" t="str">
        <f>VLOOKUP(A1244,'[1]Raw data'!$B:$Z,8,FALSE)</f>
        <v>L-&gt;R</v>
      </c>
      <c r="U1244" s="647" t="str">
        <f>VLOOKUP(A1244,'[1]Raw data'!$B:$Z,9,FALSE)</f>
        <v>No</v>
      </c>
      <c r="V1244" s="567" t="str">
        <f t="shared" si="278"/>
        <v>WRONG</v>
      </c>
      <c r="W1244" s="563" t="str">
        <f>VLOOKUP(A1244,'[1]Raw data'!$B:$AG,32,FALSE)</f>
        <v>DDP SZ</v>
      </c>
      <c r="X1244" s="647">
        <f>VLOOKUP(A1244,'[1]Raw data'!$B:$BA,31,FALSE)</f>
        <v>44900</v>
      </c>
      <c r="Y1244" s="647" t="str">
        <f>VLOOKUP(A1244,'[1]Raw data'!$B:$AS,39,FALSE)</f>
        <v>Yes</v>
      </c>
      <c r="Z1244" s="659"/>
      <c r="AA1244" s="660"/>
      <c r="AB1244" s="661"/>
      <c r="AC1244" s="647" t="s">
        <v>1557</v>
      </c>
      <c r="AD1244" s="662">
        <v>302</v>
      </c>
      <c r="AE1244" s="662">
        <v>10</v>
      </c>
      <c r="AF1244" s="662"/>
      <c r="AG1244" s="662"/>
      <c r="AH1244" s="662"/>
      <c r="AI1244" s="663"/>
      <c r="AN1244" s="542"/>
      <c r="AO1244" s="824" t="str">
        <f t="shared" si="267"/>
        <v>Yes</v>
      </c>
      <c r="AP1244" s="259" t="str">
        <f t="shared" si="268"/>
        <v>APR 23</v>
      </c>
      <c r="AQ1244" s="542" t="str">
        <f t="shared" si="269"/>
        <v>有定金+有預留客戶</v>
      </c>
      <c r="AR1244" s="259" t="str">
        <f t="shared" si="270"/>
        <v>Shipped_Stock</v>
      </c>
      <c r="AS1244" s="259" t="str">
        <f t="shared" si="271"/>
        <v/>
      </c>
      <c r="AT1244" s="259" t="str">
        <f t="shared" si="272"/>
        <v>海星</v>
      </c>
      <c r="AU1244" s="259" t="str">
        <f t="shared" si="273"/>
        <v>C49SZX20220132R1ZX(H207006-BET-221214 ESE)</v>
      </c>
      <c r="AV1244" s="259" t="str">
        <f t="shared" si="274"/>
        <v>Jul-27</v>
      </c>
    </row>
    <row r="1245" spans="1:48" ht="24.75" hidden="1">
      <c r="A1245" s="559">
        <v>1780</v>
      </c>
      <c r="B1245" s="664" t="s">
        <v>1125</v>
      </c>
      <c r="C1245" s="664" t="s">
        <v>281</v>
      </c>
      <c r="D1245" s="755">
        <v>110951</v>
      </c>
      <c r="E1245" s="744" t="s">
        <v>2418</v>
      </c>
      <c r="F1245" s="647" t="s">
        <v>17</v>
      </c>
      <c r="G1245" s="647" t="s">
        <v>18</v>
      </c>
      <c r="H1245" s="647" t="s">
        <v>102</v>
      </c>
      <c r="I1245" s="575" t="s">
        <v>2419</v>
      </c>
      <c r="J1245" s="575">
        <v>1</v>
      </c>
      <c r="K1245" s="647" t="s">
        <v>1419</v>
      </c>
      <c r="L1245" s="657">
        <v>44769</v>
      </c>
      <c r="M1245" s="665" t="s">
        <v>2420</v>
      </c>
      <c r="N1245" s="647" t="s">
        <v>226</v>
      </c>
      <c r="O1245" s="575">
        <v>2022.7</v>
      </c>
      <c r="P1245" s="665" t="str">
        <f>VLOOKUP(A1245,'[1]Raw data'!$B:$BA,23,FALSE)</f>
        <v>RMB</v>
      </c>
      <c r="Q1245" s="647" t="str">
        <f>VLOOKUP(A1245,'[1]Raw data'!$B:$Z,2,FALSE)</f>
        <v>C49SZX20220132R1ZX(H207006-BET-221214 ESE)</v>
      </c>
      <c r="R1245" s="647" t="str">
        <f>VLOOKUP(A1245,'[1]Raw data'!$B:$Z,3,FALSE)</f>
        <v>海星</v>
      </c>
      <c r="S1245" s="647" t="str">
        <f>VLOOKUP(A1245,'[1]Raw data'!$B:$Z,4,FALSE)</f>
        <v>YSM10</v>
      </c>
      <c r="T1245" s="647" t="str">
        <f>VLOOKUP(A1245,'[1]Raw data'!$B:$Z,8,FALSE)</f>
        <v>L-&gt;R</v>
      </c>
      <c r="U1245" s="647" t="str">
        <f>VLOOKUP(A1245,'[1]Raw data'!$B:$Z,9,FALSE)</f>
        <v>No</v>
      </c>
      <c r="V1245" s="567" t="str">
        <f t="shared" si="278"/>
        <v>WRONG</v>
      </c>
      <c r="W1245" s="563" t="str">
        <f>VLOOKUP(A1245,'[1]Raw data'!$B:$AG,32,FALSE)</f>
        <v>DDP SZ</v>
      </c>
      <c r="X1245" s="647">
        <f>VLOOKUP(A1245,'[1]Raw data'!$B:$BA,31,FALSE)</f>
        <v>44900</v>
      </c>
      <c r="Y1245" s="647" t="str">
        <f>VLOOKUP(A1245,'[1]Raw data'!$B:$AS,39,FALSE)</f>
        <v>Yes</v>
      </c>
      <c r="Z1245" s="659"/>
      <c r="AA1245" s="660"/>
      <c r="AB1245" s="661"/>
      <c r="AC1245" s="647" t="s">
        <v>1557</v>
      </c>
      <c r="AD1245" s="662">
        <v>312</v>
      </c>
      <c r="AE1245" s="662">
        <v>10</v>
      </c>
      <c r="AF1245" s="662"/>
      <c r="AG1245" s="662"/>
      <c r="AH1245" s="662"/>
      <c r="AI1245" s="663"/>
      <c r="AN1245" s="542"/>
      <c r="AO1245" s="824" t="str">
        <f t="shared" si="267"/>
        <v>Yes</v>
      </c>
      <c r="AP1245" s="259" t="str">
        <f t="shared" si="268"/>
        <v>APR 23</v>
      </c>
      <c r="AQ1245" s="542" t="str">
        <f t="shared" si="269"/>
        <v>有定金+有預留客戶</v>
      </c>
      <c r="AR1245" s="259" t="str">
        <f t="shared" si="270"/>
        <v>Shipped_Stock</v>
      </c>
      <c r="AS1245" s="259" t="str">
        <f t="shared" si="271"/>
        <v/>
      </c>
      <c r="AT1245" s="259" t="str">
        <f t="shared" si="272"/>
        <v>海星</v>
      </c>
      <c r="AU1245" s="259" t="str">
        <f t="shared" si="273"/>
        <v>C49SZX20220132R1ZX(H207006-BET-221214 ESE)</v>
      </c>
      <c r="AV1245" s="259" t="str">
        <f t="shared" si="274"/>
        <v>Jul-27</v>
      </c>
    </row>
    <row r="1246" spans="1:48" ht="13.5" hidden="1" thickBot="1">
      <c r="A1246" s="599">
        <v>1630</v>
      </c>
      <c r="B1246" s="664" t="s">
        <v>1125</v>
      </c>
      <c r="C1246" s="664" t="s">
        <v>281</v>
      </c>
      <c r="D1246" s="624">
        <v>110957</v>
      </c>
      <c r="E1246" s="744" t="s">
        <v>2412</v>
      </c>
      <c r="F1246" s="647" t="s">
        <v>58</v>
      </c>
      <c r="G1246" s="647" t="s">
        <v>24</v>
      </c>
      <c r="H1246" s="647" t="s">
        <v>26</v>
      </c>
      <c r="I1246" s="575" t="s">
        <v>2421</v>
      </c>
      <c r="J1246" s="575">
        <v>1</v>
      </c>
      <c r="K1246" s="647" t="s">
        <v>85</v>
      </c>
      <c r="L1246" s="657">
        <v>44769</v>
      </c>
      <c r="M1246" s="665">
        <v>5.1200000000000002E-2</v>
      </c>
      <c r="N1246" s="647" t="s">
        <v>221</v>
      </c>
      <c r="O1246" s="575">
        <v>2022.7</v>
      </c>
      <c r="P1246" s="665" t="str">
        <f>VLOOKUP(A1246,'[1]Raw data'!$B:$BA,23,FALSE)</f>
        <v>JPY</v>
      </c>
      <c r="Q1246" s="647" t="str">
        <f>VLOOKUP(A1246,'[1]Raw data'!$B:$Z,2,FALSE)</f>
        <v>C49SZX20220036SS</v>
      </c>
      <c r="R1246" s="647" t="str">
        <f>VLOOKUP(A1246,'[1]Raw data'!$B:$Z,3,FALSE)</f>
        <v>泰鑫荣</v>
      </c>
      <c r="S1246" s="647" t="str">
        <f>VLOOKUP(A1246,'[1]Raw data'!$B:$Z,4,FALSE)</f>
        <v>YSM20R-2</v>
      </c>
      <c r="T1246" s="647" t="str">
        <f>VLOOKUP(A1246,'[1]Raw data'!$B:$Z,8,FALSE)</f>
        <v>L-&gt;R</v>
      </c>
      <c r="U1246" s="647" t="str">
        <f>VLOOKUP(A1246,'[1]Raw data'!$B:$Z,9,FALSE)</f>
        <v>No</v>
      </c>
      <c r="V1246" s="567" t="str">
        <f t="shared" si="278"/>
        <v>OK</v>
      </c>
      <c r="W1246" s="563" t="str">
        <f>VLOOKUP(A1246,'[1]Raw data'!$B:$AG,32,FALSE)</f>
        <v>DAP SZ</v>
      </c>
      <c r="X1246" s="647">
        <f>VLOOKUP(A1246,'[1]Raw data'!$B:$BA,31,FALSE)</f>
        <v>44641</v>
      </c>
      <c r="Y1246" s="647" t="str">
        <f>VLOOKUP(A1246,'[1]Raw data'!$B:$AS,39,FALSE)</f>
        <v>Yes</v>
      </c>
      <c r="Z1246" s="659"/>
      <c r="AA1246" s="660"/>
      <c r="AB1246" s="661"/>
      <c r="AC1246" s="647" t="s">
        <v>1038</v>
      </c>
      <c r="AD1246" s="575">
        <v>301</v>
      </c>
      <c r="AE1246" s="575">
        <v>20</v>
      </c>
      <c r="AF1246" s="575"/>
      <c r="AG1246" s="575"/>
      <c r="AH1246" s="575"/>
      <c r="AI1246" s="679"/>
      <c r="AJ1246" s="564"/>
      <c r="AK1246" s="564"/>
      <c r="AL1246" s="564"/>
      <c r="AM1246" s="564"/>
      <c r="AN1246" s="614"/>
      <c r="AO1246" s="824" t="str">
        <f t="shared" si="267"/>
        <v>Yes</v>
      </c>
      <c r="AP1246" s="259" t="str">
        <f t="shared" si="268"/>
        <v>AUG 22</v>
      </c>
      <c r="AQ1246" s="542" t="str">
        <f t="shared" si="269"/>
        <v>有定金+有預留客戶</v>
      </c>
      <c r="AR1246" s="259" t="str">
        <f t="shared" si="270"/>
        <v>Shipped_Stock</v>
      </c>
      <c r="AS1246" s="259" t="str">
        <f t="shared" si="271"/>
        <v/>
      </c>
      <c r="AT1246" s="259" t="str">
        <f t="shared" si="272"/>
        <v>泰鑫荣</v>
      </c>
      <c r="AU1246" s="259" t="str">
        <f t="shared" si="273"/>
        <v>C49SZX20220036SS</v>
      </c>
      <c r="AV1246" s="259" t="str">
        <f t="shared" si="274"/>
        <v>Jul-27</v>
      </c>
    </row>
    <row r="1247" spans="1:48" hidden="1">
      <c r="A1247" s="599">
        <v>1653</v>
      </c>
      <c r="B1247" s="664" t="s">
        <v>1125</v>
      </c>
      <c r="C1247" s="664" t="s">
        <v>281</v>
      </c>
      <c r="D1247" s="761">
        <v>110957</v>
      </c>
      <c r="E1247" s="744" t="s">
        <v>2412</v>
      </c>
      <c r="F1247" s="647" t="s">
        <v>58</v>
      </c>
      <c r="G1247" s="647" t="s">
        <v>24</v>
      </c>
      <c r="H1247" s="647" t="s">
        <v>26</v>
      </c>
      <c r="I1247" s="575" t="s">
        <v>2422</v>
      </c>
      <c r="J1247" s="575">
        <v>1</v>
      </c>
      <c r="K1247" s="647" t="s">
        <v>85</v>
      </c>
      <c r="L1247" s="657">
        <v>44769</v>
      </c>
      <c r="M1247" s="665">
        <v>5.1200000000000002E-2</v>
      </c>
      <c r="N1247" s="647" t="s">
        <v>221</v>
      </c>
      <c r="O1247" s="575">
        <v>2022.7</v>
      </c>
      <c r="P1247" s="665" t="str">
        <f>VLOOKUP(A1247,'[1]Raw data'!$B:$BA,23,FALSE)</f>
        <v>JPY</v>
      </c>
      <c r="Q1247" s="647" t="str">
        <f>VLOOKUP(A1247,'[1]Raw data'!$B:$Z,2,FALSE)</f>
        <v>C49SZX20220049JY</v>
      </c>
      <c r="R1247" s="647" t="str">
        <f>VLOOKUP(A1247,'[1]Raw data'!$B:$Z,3,FALSE)</f>
        <v>辉拓</v>
      </c>
      <c r="S1247" s="647" t="str">
        <f>VLOOKUP(A1247,'[1]Raw data'!$B:$Z,4,FALSE)</f>
        <v>YSM20R-2</v>
      </c>
      <c r="T1247" s="647" t="str">
        <f>VLOOKUP(A1247,'[1]Raw data'!$B:$Z,8,FALSE)</f>
        <v>L-&gt;R</v>
      </c>
      <c r="U1247" s="647" t="str">
        <f>VLOOKUP(A1247,'[1]Raw data'!$B:$Z,9,FALSE)</f>
        <v>No</v>
      </c>
      <c r="V1247" s="567" t="str">
        <f t="shared" si="278"/>
        <v>OK</v>
      </c>
      <c r="W1247" s="563" t="str">
        <f>VLOOKUP(A1247,'[1]Raw data'!$B:$AG,32,FALSE)</f>
        <v>CIF HK</v>
      </c>
      <c r="X1247" s="647">
        <f>VLOOKUP(A1247,'[1]Raw data'!$B:$BA,31,FALSE)</f>
        <v>44672</v>
      </c>
      <c r="Y1247" s="647" t="str">
        <f>VLOOKUP(A1247,'[1]Raw data'!$B:$AS,39,FALSE)</f>
        <v>Yes</v>
      </c>
      <c r="Z1247" s="659"/>
      <c r="AA1247" s="660"/>
      <c r="AB1247" s="661"/>
      <c r="AC1247" s="647" t="s">
        <v>2251</v>
      </c>
      <c r="AD1247" s="575">
        <v>302</v>
      </c>
      <c r="AE1247" s="575">
        <v>20</v>
      </c>
      <c r="AF1247" s="575"/>
      <c r="AG1247" s="575"/>
      <c r="AH1247" s="575"/>
      <c r="AI1247" s="679"/>
      <c r="AJ1247" s="564"/>
      <c r="AK1247" s="564"/>
      <c r="AL1247" s="564"/>
      <c r="AM1247" s="564"/>
      <c r="AN1247" s="614"/>
      <c r="AO1247" s="824" t="str">
        <f t="shared" si="267"/>
        <v>Yes</v>
      </c>
      <c r="AP1247" s="259" t="str">
        <f t="shared" si="268"/>
        <v>AUG 22</v>
      </c>
      <c r="AQ1247" s="542" t="str">
        <f t="shared" si="269"/>
        <v>有定金+有預留客戶</v>
      </c>
      <c r="AR1247" s="259" t="str">
        <f t="shared" si="270"/>
        <v>Shipped_Stock</v>
      </c>
      <c r="AS1247" s="259" t="str">
        <f t="shared" si="271"/>
        <v/>
      </c>
      <c r="AT1247" s="259" t="str">
        <f t="shared" si="272"/>
        <v>辉拓</v>
      </c>
      <c r="AU1247" s="259" t="str">
        <f t="shared" si="273"/>
        <v>C49SZX20220049JY</v>
      </c>
      <c r="AV1247" s="259" t="str">
        <f t="shared" si="274"/>
        <v>Jul-27</v>
      </c>
    </row>
    <row r="1248" spans="1:48" ht="13.5" hidden="1" thickBot="1">
      <c r="A1248" s="599">
        <v>1523</v>
      </c>
      <c r="B1248" s="664" t="s">
        <v>1125</v>
      </c>
      <c r="C1248" s="664" t="s">
        <v>281</v>
      </c>
      <c r="D1248" s="624">
        <v>110957</v>
      </c>
      <c r="E1248" s="744" t="s">
        <v>2412</v>
      </c>
      <c r="F1248" s="647" t="s">
        <v>58</v>
      </c>
      <c r="G1248" s="647" t="s">
        <v>24</v>
      </c>
      <c r="H1248" s="647" t="s">
        <v>26</v>
      </c>
      <c r="I1248" s="575" t="s">
        <v>2423</v>
      </c>
      <c r="J1248" s="575">
        <v>1</v>
      </c>
      <c r="K1248" s="647" t="s">
        <v>85</v>
      </c>
      <c r="L1248" s="657">
        <v>44769</v>
      </c>
      <c r="M1248" s="665">
        <v>5.1200000000000002E-2</v>
      </c>
      <c r="N1248" s="647" t="s">
        <v>221</v>
      </c>
      <c r="O1248" s="575">
        <v>2022.7</v>
      </c>
      <c r="P1248" s="665" t="str">
        <f>VLOOKUP(A1248,'[1]Raw data'!$B:$BA,23,FALSE)</f>
        <v>JPY</v>
      </c>
      <c r="Q1248" s="647" t="str">
        <f>VLOOKUP(A1248,'[1]Raw data'!$B:$Z,2,FALSE)</f>
        <v>C49SZX20210220SX</v>
      </c>
      <c r="R1248" s="647" t="str">
        <f>VLOOKUP(A1248,'[1]Raw data'!$B:$Z,3,FALSE)</f>
        <v>赛美达</v>
      </c>
      <c r="S1248" s="647" t="str">
        <f>VLOOKUP(A1248,'[1]Raw data'!$B:$Z,4,FALSE)</f>
        <v>YSM20R-2</v>
      </c>
      <c r="T1248" s="647" t="str">
        <f>VLOOKUP(A1248,'[1]Raw data'!$B:$Z,8,FALSE)</f>
        <v>L-&gt;R</v>
      </c>
      <c r="U1248" s="647" t="str">
        <f>VLOOKUP(A1248,'[1]Raw data'!$B:$Z,9,FALSE)</f>
        <v>No</v>
      </c>
      <c r="V1248" s="567" t="str">
        <f t="shared" si="278"/>
        <v>OK</v>
      </c>
      <c r="W1248" s="563" t="str">
        <f>VLOOKUP(A1248,'[1]Raw data'!$B:$AG,32,FALSE)</f>
        <v>DAP SZ</v>
      </c>
      <c r="X1248" s="647">
        <f>VLOOKUP(A1248,'[1]Raw data'!$B:$BA,31,FALSE)</f>
        <v>44547</v>
      </c>
      <c r="Y1248" s="647" t="str">
        <f>VLOOKUP(A1248,'[1]Raw data'!$B:$AS,39,FALSE)</f>
        <v>Yes</v>
      </c>
      <c r="Z1248" s="659"/>
      <c r="AA1248" s="660"/>
      <c r="AB1248" s="661"/>
      <c r="AC1248" s="647" t="s">
        <v>2394</v>
      </c>
      <c r="AD1248" s="575">
        <v>304</v>
      </c>
      <c r="AE1248" s="575">
        <v>20</v>
      </c>
      <c r="AF1248" s="575"/>
      <c r="AG1248" s="575"/>
      <c r="AH1248" s="575"/>
      <c r="AI1248" s="679"/>
      <c r="AJ1248" s="564"/>
      <c r="AK1248" s="564"/>
      <c r="AL1248" s="564"/>
      <c r="AM1248" s="564"/>
      <c r="AN1248" s="614"/>
      <c r="AO1248" s="824" t="str">
        <f t="shared" si="267"/>
        <v>Yes</v>
      </c>
      <c r="AP1248" s="259" t="str">
        <f t="shared" si="268"/>
        <v>AUG 22</v>
      </c>
      <c r="AQ1248" s="542" t="str">
        <f t="shared" si="269"/>
        <v>有定金+有預留客戶</v>
      </c>
      <c r="AR1248" s="259" t="str">
        <f t="shared" si="270"/>
        <v>Shipped_Stock</v>
      </c>
      <c r="AS1248" s="259" t="str">
        <f t="shared" si="271"/>
        <v/>
      </c>
      <c r="AT1248" s="259" t="str">
        <f t="shared" si="272"/>
        <v>赛美达</v>
      </c>
      <c r="AU1248" s="259" t="str">
        <f t="shared" si="273"/>
        <v>C49SZX20210220SX</v>
      </c>
      <c r="AV1248" s="259" t="str">
        <f t="shared" si="274"/>
        <v>Jul-27</v>
      </c>
    </row>
    <row r="1249" spans="1:48" hidden="1">
      <c r="A1249" s="599">
        <v>1664</v>
      </c>
      <c r="B1249" s="664" t="s">
        <v>1125</v>
      </c>
      <c r="C1249" s="664" t="s">
        <v>281</v>
      </c>
      <c r="D1249" s="761">
        <v>110962</v>
      </c>
      <c r="E1249" s="756" t="s">
        <v>2424</v>
      </c>
      <c r="F1249" s="647" t="s">
        <v>58</v>
      </c>
      <c r="G1249" s="647" t="s">
        <v>24</v>
      </c>
      <c r="H1249" s="647" t="s">
        <v>26</v>
      </c>
      <c r="I1249" s="575" t="s">
        <v>2425</v>
      </c>
      <c r="J1249" s="575">
        <v>1</v>
      </c>
      <c r="K1249" s="647" t="s">
        <v>85</v>
      </c>
      <c r="L1249" s="657">
        <v>44773</v>
      </c>
      <c r="M1249" s="665"/>
      <c r="N1249" s="647" t="s">
        <v>221</v>
      </c>
      <c r="O1249" s="575">
        <v>2022.7</v>
      </c>
      <c r="P1249" s="665" t="str">
        <f>VLOOKUP(A1249,'[1]Raw data'!$B:$BA,23,FALSE)</f>
        <v>JPY</v>
      </c>
      <c r="Q1249" s="647" t="str">
        <f>VLOOKUP(A1249,'[1]Raw data'!$B:$Z,2,FALSE)</f>
        <v>C49SZX20220051DZ</v>
      </c>
      <c r="R1249" s="647" t="str">
        <f>VLOOKUP(A1249,'[1]Raw data'!$B:$Z,3,FALSE)</f>
        <v>诺亚兴</v>
      </c>
      <c r="S1249" s="647" t="str">
        <f>VLOOKUP(A1249,'[1]Raw data'!$B:$Z,4,FALSE)</f>
        <v>YSM20R-2</v>
      </c>
      <c r="T1249" s="647" t="str">
        <f>VLOOKUP(A1249,'[1]Raw data'!$B:$Z,8,FALSE)</f>
        <v>L-&gt;R</v>
      </c>
      <c r="U1249" s="647" t="str">
        <f>VLOOKUP(A1249,'[1]Raw data'!$B:$Z,9,FALSE)</f>
        <v>MVC</v>
      </c>
      <c r="V1249" s="567" t="str">
        <f t="shared" ref="V1249:V1250" si="279">IF(G1249&amp;H1249=T1249&amp;U1249,"OK","WRONG")</f>
        <v>WRONG</v>
      </c>
      <c r="W1249" s="563" t="str">
        <f>VLOOKUP(A1249,'[1]Raw data'!$B:$AG,32,FALSE)</f>
        <v>CIF HK</v>
      </c>
      <c r="X1249" s="647">
        <f>VLOOKUP(A1249,'[1]Raw data'!$B:$BA,31,FALSE)</f>
        <v>44680</v>
      </c>
      <c r="Y1249" s="647" t="str">
        <f>VLOOKUP(A1249,'[1]Raw data'!$B:$AS,39,FALSE)</f>
        <v>Yes</v>
      </c>
      <c r="Z1249" s="659"/>
      <c r="AA1249" s="660"/>
      <c r="AB1249" s="661"/>
      <c r="AC1249" s="647" t="s">
        <v>2426</v>
      </c>
      <c r="AD1249" s="575">
        <v>301</v>
      </c>
      <c r="AE1249" s="575">
        <v>10</v>
      </c>
      <c r="AF1249" s="575">
        <v>302</v>
      </c>
      <c r="AG1249" s="575">
        <v>10</v>
      </c>
      <c r="AH1249" s="575"/>
      <c r="AI1249" s="679"/>
      <c r="AJ1249" s="564"/>
      <c r="AK1249" s="564"/>
      <c r="AL1249" s="564"/>
      <c r="AM1249" s="564"/>
      <c r="AN1249" s="614"/>
      <c r="AO1249" s="824" t="str">
        <f t="shared" si="267"/>
        <v>Yes</v>
      </c>
      <c r="AP1249" s="259" t="str">
        <f t="shared" si="268"/>
        <v>AUG 22</v>
      </c>
      <c r="AQ1249" s="542" t="str">
        <f t="shared" si="269"/>
        <v>有定金+有預留客戶</v>
      </c>
      <c r="AR1249" s="259" t="str">
        <f t="shared" si="270"/>
        <v>Shipped_Stock</v>
      </c>
      <c r="AS1249" s="259" t="str">
        <f t="shared" si="271"/>
        <v/>
      </c>
      <c r="AT1249" s="259" t="str">
        <f t="shared" si="272"/>
        <v>诺亚兴</v>
      </c>
      <c r="AU1249" s="259" t="str">
        <f t="shared" si="273"/>
        <v>C49SZX20220051DZ</v>
      </c>
      <c r="AV1249" s="259" t="str">
        <f t="shared" si="274"/>
        <v>Jul-31</v>
      </c>
    </row>
    <row r="1250" spans="1:48" ht="24.75" hidden="1">
      <c r="A1250" s="599">
        <v>1731</v>
      </c>
      <c r="B1250" s="664" t="s">
        <v>1125</v>
      </c>
      <c r="C1250" s="664" t="s">
        <v>281</v>
      </c>
      <c r="D1250" s="755" t="s">
        <v>2427</v>
      </c>
      <c r="E1250" s="756" t="s">
        <v>2424</v>
      </c>
      <c r="F1250" s="647" t="s">
        <v>58</v>
      </c>
      <c r="G1250" s="647" t="s">
        <v>24</v>
      </c>
      <c r="H1250" s="647" t="s">
        <v>26</v>
      </c>
      <c r="I1250" s="751" t="s">
        <v>2428</v>
      </c>
      <c r="J1250" s="575">
        <v>1</v>
      </c>
      <c r="K1250" s="647" t="s">
        <v>1419</v>
      </c>
      <c r="L1250" s="657">
        <v>44773</v>
      </c>
      <c r="M1250" s="665" t="s">
        <v>2429</v>
      </c>
      <c r="N1250" s="647" t="s">
        <v>205</v>
      </c>
      <c r="O1250" s="575">
        <v>2022.7</v>
      </c>
      <c r="P1250" s="665" t="str">
        <f>VLOOKUP(A1250,'[1]Raw data'!$B:$BA,23,FALSE)</f>
        <v>RMB</v>
      </c>
      <c r="Q1250" s="647" t="str">
        <f>VLOOKUP(A1250,'[1]Raw data'!$B:$Z,2,FALSE)</f>
        <v>C49SZX20220098MZ</v>
      </c>
      <c r="R1250" s="647" t="str">
        <f>VLOOKUP(A1250,'[1]Raw data'!$B:$Z,3,FALSE)</f>
        <v>河南融创</v>
      </c>
      <c r="S1250" s="647" t="str">
        <f>VLOOKUP(A1250,'[1]Raw data'!$B:$Z,4,FALSE)</f>
        <v>YSM20R-2</v>
      </c>
      <c r="T1250" s="647" t="str">
        <f>VLOOKUP(A1250,'[1]Raw data'!$B:$Z,8,FALSE)</f>
        <v>L-&gt;R</v>
      </c>
      <c r="U1250" s="647" t="str">
        <f>VLOOKUP(A1250,'[1]Raw data'!$B:$Z,9,FALSE)</f>
        <v>No</v>
      </c>
      <c r="V1250" s="567" t="str">
        <f t="shared" si="279"/>
        <v>OK</v>
      </c>
      <c r="W1250" s="563" t="str">
        <f>VLOOKUP(A1250,'[1]Raw data'!$B:$AG,32,FALSE)</f>
        <v>DDP HN</v>
      </c>
      <c r="X1250" s="647">
        <f>VLOOKUP(A1250,'[1]Raw data'!$B:$BA,31,FALSE)</f>
        <v>44827</v>
      </c>
      <c r="Y1250" s="647" t="str">
        <f>VLOOKUP(A1250,'[1]Raw data'!$B:$AS,39,FALSE)</f>
        <v>Yes</v>
      </c>
      <c r="Z1250" s="666"/>
      <c r="AA1250" s="660"/>
      <c r="AB1250" s="661"/>
      <c r="AC1250" s="647" t="s">
        <v>2430</v>
      </c>
      <c r="AD1250" s="575">
        <v>301</v>
      </c>
      <c r="AE1250" s="575">
        <v>10</v>
      </c>
      <c r="AF1250" s="575">
        <v>302</v>
      </c>
      <c r="AG1250" s="575">
        <v>10</v>
      </c>
      <c r="AH1250" s="575"/>
      <c r="AI1250" s="679"/>
      <c r="AJ1250" s="564"/>
      <c r="AK1250" s="564"/>
      <c r="AL1250" s="564"/>
      <c r="AM1250" s="564"/>
      <c r="AN1250" s="614"/>
      <c r="AO1250" s="824" t="str">
        <f t="shared" si="267"/>
        <v>Yes</v>
      </c>
      <c r="AP1250" s="259" t="str">
        <f t="shared" si="268"/>
        <v>OCT 22</v>
      </c>
      <c r="AQ1250" s="542" t="str">
        <f t="shared" si="269"/>
        <v>有定金+有預留客戶</v>
      </c>
      <c r="AR1250" s="259" t="str">
        <f t="shared" si="270"/>
        <v>Shipped_Stock</v>
      </c>
      <c r="AS1250" s="259" t="str">
        <f t="shared" si="271"/>
        <v/>
      </c>
      <c r="AT1250" s="259" t="str">
        <f t="shared" si="272"/>
        <v>河南融创</v>
      </c>
      <c r="AU1250" s="259" t="str">
        <f t="shared" si="273"/>
        <v>C49SZX20220098MZ</v>
      </c>
      <c r="AV1250" s="259" t="str">
        <f t="shared" si="274"/>
        <v>Jul-31</v>
      </c>
    </row>
    <row r="1251" spans="1:48" hidden="1">
      <c r="A1251" s="559">
        <v>1781</v>
      </c>
      <c r="B1251" s="664" t="s">
        <v>1125</v>
      </c>
      <c r="C1251" s="664" t="s">
        <v>281</v>
      </c>
      <c r="D1251" s="776">
        <v>110953</v>
      </c>
      <c r="E1251" s="756" t="s">
        <v>2431</v>
      </c>
      <c r="F1251" s="647" t="s">
        <v>17</v>
      </c>
      <c r="G1251" s="647" t="s">
        <v>18</v>
      </c>
      <c r="H1251" s="647" t="s">
        <v>27</v>
      </c>
      <c r="I1251" s="575" t="s">
        <v>2432</v>
      </c>
      <c r="J1251" s="575">
        <v>1</v>
      </c>
      <c r="K1251" s="647" t="s">
        <v>1419</v>
      </c>
      <c r="L1251" s="657">
        <v>44773</v>
      </c>
      <c r="M1251" s="665" t="s">
        <v>2339</v>
      </c>
      <c r="N1251" s="647" t="s">
        <v>226</v>
      </c>
      <c r="O1251" s="575">
        <v>2022.7</v>
      </c>
      <c r="P1251" s="665" t="str">
        <f>VLOOKUP(A1251,'[1]Raw data'!$B:$BA,23,FALSE)</f>
        <v>RMB</v>
      </c>
      <c r="Q1251" s="647" t="str">
        <f>VLOOKUP(A1251,'[1]Raw data'!$B:$Z,2,FALSE)</f>
        <v>C49SZX20220132R1ZX(H207006-BET-221214 ESE)</v>
      </c>
      <c r="R1251" s="647" t="str">
        <f>VLOOKUP(A1251,'[1]Raw data'!$B:$Z,3,FALSE)</f>
        <v>海星</v>
      </c>
      <c r="S1251" s="647" t="str">
        <f>VLOOKUP(A1251,'[1]Raw data'!$B:$Z,4,FALSE)</f>
        <v>YSM10</v>
      </c>
      <c r="T1251" s="647" t="str">
        <f>VLOOKUP(A1251,'[1]Raw data'!$B:$Z,8,FALSE)</f>
        <v>L-&gt;R</v>
      </c>
      <c r="U1251" s="647" t="str">
        <f>VLOOKUP(A1251,'[1]Raw data'!$B:$Z,9,FALSE)</f>
        <v>No</v>
      </c>
      <c r="V1251" s="567" t="str">
        <f t="shared" ref="V1251:V1272" si="280">IF(G1251&amp;H1251=T1251&amp;U1251,"OK","WRONG")</f>
        <v>WRONG</v>
      </c>
      <c r="W1251" s="563" t="str">
        <f>VLOOKUP(A1251,'[1]Raw data'!$B:$AG,32,FALSE)</f>
        <v>DDP SZ</v>
      </c>
      <c r="X1251" s="647">
        <f>VLOOKUP(A1251,'[1]Raw data'!$B:$BA,31,FALSE)</f>
        <v>44900</v>
      </c>
      <c r="Y1251" s="647" t="str">
        <f>VLOOKUP(A1251,'[1]Raw data'!$B:$AS,39,FALSE)</f>
        <v>Yes</v>
      </c>
      <c r="Z1251" s="659"/>
      <c r="AA1251" s="660"/>
      <c r="AB1251" s="661"/>
      <c r="AC1251" s="647" t="s">
        <v>2387</v>
      </c>
      <c r="AD1251" s="662">
        <v>301</v>
      </c>
      <c r="AE1251" s="662">
        <v>10</v>
      </c>
      <c r="AF1251" s="662"/>
      <c r="AG1251" s="662"/>
      <c r="AH1251" s="662"/>
      <c r="AI1251" s="663"/>
      <c r="AN1251" s="542"/>
      <c r="AO1251" s="824" t="str">
        <f t="shared" si="267"/>
        <v>Yes</v>
      </c>
      <c r="AP1251" s="259" t="str">
        <f t="shared" si="268"/>
        <v>APR 23</v>
      </c>
      <c r="AQ1251" s="542" t="str">
        <f t="shared" si="269"/>
        <v>有定金+有預留客戶</v>
      </c>
      <c r="AR1251" s="259" t="str">
        <f t="shared" si="270"/>
        <v>Shipped_Stock</v>
      </c>
      <c r="AS1251" s="259" t="str">
        <f t="shared" si="271"/>
        <v/>
      </c>
      <c r="AT1251" s="259" t="str">
        <f t="shared" si="272"/>
        <v>海星</v>
      </c>
      <c r="AU1251" s="259" t="str">
        <f t="shared" si="273"/>
        <v>C49SZX20220132R1ZX(H207006-BET-221214 ESE)</v>
      </c>
      <c r="AV1251" s="259" t="str">
        <f t="shared" si="274"/>
        <v>Jul-31</v>
      </c>
    </row>
    <row r="1252" spans="1:48" ht="24.75" hidden="1">
      <c r="A1252" s="559">
        <v>1782</v>
      </c>
      <c r="B1252" s="664" t="s">
        <v>1125</v>
      </c>
      <c r="C1252" s="664" t="s">
        <v>281</v>
      </c>
      <c r="D1252" s="755">
        <v>110953</v>
      </c>
      <c r="E1252" s="756" t="s">
        <v>2431</v>
      </c>
      <c r="F1252" s="647" t="s">
        <v>17</v>
      </c>
      <c r="G1252" s="647" t="s">
        <v>18</v>
      </c>
      <c r="H1252" s="647" t="s">
        <v>27</v>
      </c>
      <c r="I1252" s="751" t="s">
        <v>2433</v>
      </c>
      <c r="J1252" s="575">
        <v>1</v>
      </c>
      <c r="K1252" s="647" t="s">
        <v>1419</v>
      </c>
      <c r="L1252" s="657">
        <v>44773</v>
      </c>
      <c r="M1252" s="665" t="s">
        <v>2339</v>
      </c>
      <c r="N1252" s="647" t="s">
        <v>226</v>
      </c>
      <c r="O1252" s="575">
        <v>2022.7</v>
      </c>
      <c r="P1252" s="665" t="str">
        <f>VLOOKUP(A1252,'[1]Raw data'!$B:$BA,23,FALSE)</f>
        <v>RMB</v>
      </c>
      <c r="Q1252" s="647" t="str">
        <f>VLOOKUP(A1252,'[1]Raw data'!$B:$Z,2,FALSE)</f>
        <v>C49SZX20220132R1ZX(H207006-BET-221214 ESE)</v>
      </c>
      <c r="R1252" s="647" t="str">
        <f>VLOOKUP(A1252,'[1]Raw data'!$B:$Z,3,FALSE)</f>
        <v>海星</v>
      </c>
      <c r="S1252" s="647" t="str">
        <f>VLOOKUP(A1252,'[1]Raw data'!$B:$Z,4,FALSE)</f>
        <v>YSM10</v>
      </c>
      <c r="T1252" s="647" t="str">
        <f>VLOOKUP(A1252,'[1]Raw data'!$B:$Z,8,FALSE)</f>
        <v>L-&gt;R</v>
      </c>
      <c r="U1252" s="647" t="str">
        <f>VLOOKUP(A1252,'[1]Raw data'!$B:$Z,9,FALSE)</f>
        <v>No</v>
      </c>
      <c r="V1252" s="567" t="str">
        <f t="shared" si="280"/>
        <v>WRONG</v>
      </c>
      <c r="W1252" s="563" t="str">
        <f>VLOOKUP(A1252,'[1]Raw data'!$B:$AG,32,FALSE)</f>
        <v>DDP SZ</v>
      </c>
      <c r="X1252" s="647">
        <f>VLOOKUP(A1252,'[1]Raw data'!$B:$BA,31,FALSE)</f>
        <v>44900</v>
      </c>
      <c r="Y1252" s="647" t="str">
        <f>VLOOKUP(A1252,'[1]Raw data'!$B:$AS,39,FALSE)</f>
        <v>Yes</v>
      </c>
      <c r="Z1252" s="659"/>
      <c r="AA1252" s="660"/>
      <c r="AB1252" s="661"/>
      <c r="AC1252" s="647" t="s">
        <v>2387</v>
      </c>
      <c r="AD1252" s="662">
        <v>302</v>
      </c>
      <c r="AE1252" s="662">
        <v>10</v>
      </c>
      <c r="AF1252" s="662"/>
      <c r="AG1252" s="662"/>
      <c r="AH1252" s="662"/>
      <c r="AI1252" s="663"/>
      <c r="AN1252" s="542"/>
      <c r="AO1252" s="824" t="str">
        <f t="shared" si="267"/>
        <v>Yes</v>
      </c>
      <c r="AP1252" s="259" t="str">
        <f t="shared" si="268"/>
        <v>APR 23</v>
      </c>
      <c r="AQ1252" s="542" t="str">
        <f t="shared" si="269"/>
        <v>有定金+有預留客戶</v>
      </c>
      <c r="AR1252" s="259" t="str">
        <f t="shared" si="270"/>
        <v>Shipped_Stock</v>
      </c>
      <c r="AS1252" s="259" t="str">
        <f t="shared" si="271"/>
        <v/>
      </c>
      <c r="AT1252" s="259" t="str">
        <f t="shared" si="272"/>
        <v>海星</v>
      </c>
      <c r="AU1252" s="259" t="str">
        <f t="shared" si="273"/>
        <v>C49SZX20220132R1ZX(H207006-BET-221214 ESE)</v>
      </c>
      <c r="AV1252" s="259" t="str">
        <f t="shared" si="274"/>
        <v>Jul-31</v>
      </c>
    </row>
    <row r="1253" spans="1:48" ht="25.5" hidden="1" thickBot="1">
      <c r="A1253" s="599">
        <v>1854</v>
      </c>
      <c r="B1253" s="664" t="s">
        <v>1125</v>
      </c>
      <c r="C1253" s="664" t="s">
        <v>281</v>
      </c>
      <c r="D1253" s="624">
        <v>110952</v>
      </c>
      <c r="E1253" s="744" t="s">
        <v>2434</v>
      </c>
      <c r="F1253" s="647" t="s">
        <v>17</v>
      </c>
      <c r="G1253" s="647" t="s">
        <v>18</v>
      </c>
      <c r="H1253" s="647" t="s">
        <v>27</v>
      </c>
      <c r="I1253" s="751" t="s">
        <v>2435</v>
      </c>
      <c r="J1253" s="575">
        <v>1</v>
      </c>
      <c r="K1253" s="647" t="s">
        <v>1419</v>
      </c>
      <c r="L1253" s="657">
        <v>44773</v>
      </c>
      <c r="M1253" s="665" t="s">
        <v>2339</v>
      </c>
      <c r="N1253" s="647" t="s">
        <v>216</v>
      </c>
      <c r="O1253" s="575">
        <v>2022.7</v>
      </c>
      <c r="P1253" s="665" t="str">
        <f>VLOOKUP(A1253,'[1]Raw data'!$B:$BA,23,FALSE)</f>
        <v>RMB</v>
      </c>
      <c r="Q1253" s="647" t="str">
        <f>VLOOKUP(A1253,'[1]Raw data'!$B:$Z,2,FALSE)</f>
        <v>C49SZX20230030JY</v>
      </c>
      <c r="R1253" s="647" t="str">
        <f>VLOOKUP(A1253,'[1]Raw data'!$B:$Z,3,FALSE)</f>
        <v>和创永泰</v>
      </c>
      <c r="S1253" s="647" t="str">
        <f>VLOOKUP(A1253,'[1]Raw data'!$B:$Z,4,FALSE)</f>
        <v>YSM10</v>
      </c>
      <c r="T1253" s="647" t="str">
        <f>VLOOKUP(A1253,'[1]Raw data'!$B:$Z,8,FALSE)</f>
        <v>L-&gt;R</v>
      </c>
      <c r="U1253" s="647" t="str">
        <f>VLOOKUP(A1253,'[1]Raw data'!$B:$Z,9,FALSE)</f>
        <v>MVC</v>
      </c>
      <c r="V1253" s="567" t="str">
        <f t="shared" si="280"/>
        <v>WRONG</v>
      </c>
      <c r="W1253" s="563" t="str">
        <f>VLOOKUP(A1253,'[1]Raw data'!$B:$AG,32,FALSE)</f>
        <v>DDP SZ</v>
      </c>
      <c r="X1253" s="647">
        <f>VLOOKUP(A1253,'[1]Raw data'!$B:$BA,31,FALSE)</f>
        <v>44980</v>
      </c>
      <c r="Y1253" s="647" t="str">
        <f>VLOOKUP(A1253,'[1]Raw data'!$B:$AS,39,FALSE)</f>
        <v>Yes</v>
      </c>
      <c r="Z1253" s="666"/>
      <c r="AA1253" s="660"/>
      <c r="AB1253" s="661"/>
      <c r="AC1253" s="647" t="s">
        <v>2436</v>
      </c>
      <c r="AD1253" s="575">
        <v>302</v>
      </c>
      <c r="AE1253" s="575">
        <v>10</v>
      </c>
      <c r="AF1253" s="575"/>
      <c r="AG1253" s="575"/>
      <c r="AH1253" s="575"/>
      <c r="AI1253" s="679"/>
      <c r="AJ1253" s="564"/>
      <c r="AK1253" s="564"/>
      <c r="AL1253" s="564"/>
      <c r="AM1253" s="564"/>
      <c r="AN1253" s="614"/>
      <c r="AO1253" s="824" t="str">
        <f t="shared" si="267"/>
        <v>Yes</v>
      </c>
      <c r="AP1253" s="259" t="str">
        <f t="shared" si="268"/>
        <v>MAR 23</v>
      </c>
      <c r="AQ1253" s="542" t="str">
        <f t="shared" si="269"/>
        <v>有定金+有預留客戶</v>
      </c>
      <c r="AR1253" s="259" t="str">
        <f t="shared" si="270"/>
        <v>Shipped_Stock</v>
      </c>
      <c r="AS1253" s="259" t="str">
        <f t="shared" si="271"/>
        <v/>
      </c>
      <c r="AT1253" s="259" t="str">
        <f t="shared" si="272"/>
        <v>和创永泰</v>
      </c>
      <c r="AU1253" s="259" t="str">
        <f t="shared" si="273"/>
        <v>C49SZX20230030JY</v>
      </c>
      <c r="AV1253" s="259" t="str">
        <f t="shared" si="274"/>
        <v>Jul-31</v>
      </c>
    </row>
    <row r="1254" spans="1:48" ht="22.5" hidden="1">
      <c r="A1254" s="559">
        <v>1718</v>
      </c>
      <c r="B1254" s="664" t="s">
        <v>1125</v>
      </c>
      <c r="C1254" s="664" t="s">
        <v>281</v>
      </c>
      <c r="D1254" s="761" t="s">
        <v>2437</v>
      </c>
      <c r="E1254" s="744" t="s">
        <v>2438</v>
      </c>
      <c r="F1254" s="647" t="s">
        <v>58</v>
      </c>
      <c r="G1254" s="647" t="s">
        <v>24</v>
      </c>
      <c r="H1254" s="647" t="s">
        <v>26</v>
      </c>
      <c r="I1254" s="575" t="s">
        <v>2439</v>
      </c>
      <c r="J1254" s="575">
        <v>1</v>
      </c>
      <c r="K1254" s="647" t="s">
        <v>1419</v>
      </c>
      <c r="L1254" s="657">
        <v>44773</v>
      </c>
      <c r="M1254" s="665" t="s">
        <v>2440</v>
      </c>
      <c r="N1254" s="647" t="s">
        <v>219</v>
      </c>
      <c r="O1254" s="575">
        <v>2022.7</v>
      </c>
      <c r="P1254" s="665" t="str">
        <f>VLOOKUP(A1254,'[1]Raw data'!$B:$BA,23,FALSE)</f>
        <v>RMB</v>
      </c>
      <c r="Q1254" s="647" t="str">
        <f>VLOOKUP(A1254,'[1]Raw data'!$B:$Z,2,FALSE)</f>
        <v>C49SZX20220090SQ</v>
      </c>
      <c r="R1254" s="647" t="str">
        <f>VLOOKUP(A1254,'[1]Raw data'!$B:$Z,3,FALSE)</f>
        <v>维创斯特</v>
      </c>
      <c r="S1254" s="647" t="str">
        <f>VLOOKUP(A1254,'[1]Raw data'!$B:$Z,4,FALSE)</f>
        <v>YSM20R-2</v>
      </c>
      <c r="T1254" s="647" t="str">
        <f>VLOOKUP(A1254,'[1]Raw data'!$B:$Z,8,FALSE)</f>
        <v>L-&gt;R</v>
      </c>
      <c r="U1254" s="647" t="str">
        <f>VLOOKUP(A1254,'[1]Raw data'!$B:$Z,9,FALSE)</f>
        <v>No</v>
      </c>
      <c r="V1254" s="567" t="str">
        <f>IF(G1254&amp;H1254=T1254&amp;U1254,"OK","WRONG")</f>
        <v>OK</v>
      </c>
      <c r="W1254" s="563" t="str">
        <f>VLOOKUP(A1254,'[1]Raw data'!$B:$AG,32,FALSE)</f>
        <v>DDP SZ</v>
      </c>
      <c r="X1254" s="647">
        <f>VLOOKUP(A1254,'[1]Raw data'!$B:$BA,31,FALSE)</f>
        <v>44791</v>
      </c>
      <c r="Y1254" s="647" t="str">
        <f>VLOOKUP(A1254,'[1]Raw data'!$B:$AS,39,FALSE)</f>
        <v>Yes</v>
      </c>
      <c r="Z1254" s="659"/>
      <c r="AA1254" s="660"/>
      <c r="AB1254" s="661"/>
      <c r="AC1254" s="647" t="s">
        <v>2353</v>
      </c>
      <c r="AD1254" s="662">
        <v>301</v>
      </c>
      <c r="AE1254" s="662">
        <v>10</v>
      </c>
      <c r="AF1254" s="662">
        <v>311</v>
      </c>
      <c r="AG1254" s="662">
        <v>5</v>
      </c>
      <c r="AH1254" s="662">
        <v>312</v>
      </c>
      <c r="AI1254" s="662">
        <v>5</v>
      </c>
      <c r="AN1254" s="542"/>
      <c r="AO1254" s="824" t="str">
        <f t="shared" si="267"/>
        <v>Yes</v>
      </c>
      <c r="AP1254" s="259" t="str">
        <f t="shared" si="268"/>
        <v>SEP 22</v>
      </c>
      <c r="AQ1254" s="542" t="str">
        <f t="shared" si="269"/>
        <v>有定金+有預留客戶</v>
      </c>
      <c r="AR1254" s="259" t="str">
        <f t="shared" si="270"/>
        <v>Shipped_Stock</v>
      </c>
      <c r="AS1254" s="259" t="str">
        <f t="shared" si="271"/>
        <v/>
      </c>
      <c r="AT1254" s="259" t="str">
        <f t="shared" si="272"/>
        <v>维创斯特</v>
      </c>
      <c r="AU1254" s="259" t="str">
        <f t="shared" si="273"/>
        <v>C49SZX20220090SQ</v>
      </c>
      <c r="AV1254" s="259" t="str">
        <f t="shared" si="274"/>
        <v>Jul-31</v>
      </c>
    </row>
    <row r="1255" spans="1:48" hidden="1">
      <c r="A1255" s="599">
        <v>1518</v>
      </c>
      <c r="B1255" s="664" t="s">
        <v>1125</v>
      </c>
      <c r="C1255" s="664" t="s">
        <v>281</v>
      </c>
      <c r="D1255" s="755">
        <v>110961</v>
      </c>
      <c r="E1255" s="744" t="s">
        <v>2438</v>
      </c>
      <c r="F1255" s="647" t="s">
        <v>58</v>
      </c>
      <c r="G1255" s="647" t="s">
        <v>24</v>
      </c>
      <c r="H1255" s="647" t="s">
        <v>26</v>
      </c>
      <c r="I1255" s="575" t="s">
        <v>2441</v>
      </c>
      <c r="J1255" s="575">
        <v>1</v>
      </c>
      <c r="K1255" s="647" t="s">
        <v>85</v>
      </c>
      <c r="L1255" s="657">
        <v>44773</v>
      </c>
      <c r="M1255" s="665" t="s">
        <v>906</v>
      </c>
      <c r="N1255" s="647" t="s">
        <v>219</v>
      </c>
      <c r="O1255" s="575">
        <v>2022.7</v>
      </c>
      <c r="P1255" s="665" t="str">
        <f>VLOOKUP(A1255,'[1]Raw data'!$B:$BA,23,FALSE)</f>
        <v>JPY</v>
      </c>
      <c r="Q1255" s="647" t="str">
        <f>VLOOKUP(A1255,'[1]Raw data'!$B:$Z,2,FALSE)</f>
        <v>C49SZX20210215MZ</v>
      </c>
      <c r="R1255" s="647" t="str">
        <f>VLOOKUP(A1255,'[1]Raw data'!$B:$Z,3,FALSE)</f>
        <v>魔乐视</v>
      </c>
      <c r="S1255" s="647" t="str">
        <f>VLOOKUP(A1255,'[1]Raw data'!$B:$Z,4,FALSE)</f>
        <v>YSM20R-2</v>
      </c>
      <c r="T1255" s="647" t="str">
        <f>VLOOKUP(A1255,'[1]Raw data'!$B:$Z,8,FALSE)</f>
        <v>L-&gt;R</v>
      </c>
      <c r="U1255" s="647" t="str">
        <f>VLOOKUP(A1255,'[1]Raw data'!$B:$Z,9,FALSE)</f>
        <v>No</v>
      </c>
      <c r="V1255" s="567" t="str">
        <f>IF(G1255&amp;H1255=T1255&amp;U1255,"OK","WRONG")</f>
        <v>OK</v>
      </c>
      <c r="W1255" s="563" t="str">
        <f>VLOOKUP(A1255,'[1]Raw data'!$B:$AG,32,FALSE)</f>
        <v>DAP SZ</v>
      </c>
      <c r="X1255" s="647">
        <f>VLOOKUP(A1255,'[1]Raw data'!$B:$BA,31,FALSE)</f>
        <v>44540</v>
      </c>
      <c r="Y1255" s="647" t="str">
        <f>VLOOKUP(A1255,'[1]Raw data'!$B:$AS,39,FALSE)</f>
        <v>Yes</v>
      </c>
      <c r="Z1255" s="659"/>
      <c r="AA1255" s="660"/>
      <c r="AB1255" s="661"/>
      <c r="AC1255" s="647" t="s">
        <v>2011</v>
      </c>
      <c r="AD1255" s="575">
        <v>301</v>
      </c>
      <c r="AE1255" s="575">
        <v>10</v>
      </c>
      <c r="AF1255" s="575">
        <v>311</v>
      </c>
      <c r="AG1255" s="575">
        <v>5</v>
      </c>
      <c r="AH1255" s="575">
        <v>312</v>
      </c>
      <c r="AI1255" s="575">
        <v>5</v>
      </c>
      <c r="AJ1255" s="564"/>
      <c r="AK1255" s="564"/>
      <c r="AL1255" s="564"/>
      <c r="AM1255" s="564"/>
      <c r="AN1255" s="614"/>
      <c r="AO1255" s="824" t="str">
        <f t="shared" si="267"/>
        <v>Yes</v>
      </c>
      <c r="AP1255" s="259" t="str">
        <f t="shared" si="268"/>
        <v>SEP 22</v>
      </c>
      <c r="AQ1255" s="542" t="str">
        <f t="shared" si="269"/>
        <v>有定金+有預留客戶</v>
      </c>
      <c r="AR1255" s="259" t="str">
        <f t="shared" si="270"/>
        <v>Shipped_Stock</v>
      </c>
      <c r="AS1255" s="259" t="str">
        <f t="shared" si="271"/>
        <v/>
      </c>
      <c r="AT1255" s="259" t="str">
        <f t="shared" si="272"/>
        <v>魔乐视</v>
      </c>
      <c r="AU1255" s="259" t="str">
        <f t="shared" si="273"/>
        <v>C49SZX20210215MZ</v>
      </c>
      <c r="AV1255" s="259" t="str">
        <f t="shared" si="274"/>
        <v>Jul-31</v>
      </c>
    </row>
    <row r="1256" spans="1:48" hidden="1">
      <c r="A1256" s="559">
        <v>1171</v>
      </c>
      <c r="B1256" s="664" t="s">
        <v>1125</v>
      </c>
      <c r="C1256" s="664" t="s">
        <v>281</v>
      </c>
      <c r="D1256" s="755" t="s">
        <v>2442</v>
      </c>
      <c r="E1256" s="744" t="s">
        <v>2345</v>
      </c>
      <c r="F1256" s="647" t="s">
        <v>58</v>
      </c>
      <c r="G1256" s="647" t="s">
        <v>24</v>
      </c>
      <c r="H1256" s="647" t="s">
        <v>26</v>
      </c>
      <c r="I1256" s="575" t="s">
        <v>2443</v>
      </c>
      <c r="J1256" s="575">
        <v>1</v>
      </c>
      <c r="K1256" s="647" t="s">
        <v>85</v>
      </c>
      <c r="L1256" s="657">
        <v>44773</v>
      </c>
      <c r="M1256" s="665" t="s">
        <v>2444</v>
      </c>
      <c r="N1256" s="647" t="s">
        <v>221</v>
      </c>
      <c r="O1256" s="575">
        <v>2022.7</v>
      </c>
      <c r="P1256" s="665" t="str">
        <f>VLOOKUP(A1256,'[1]Raw data'!$B:$BA,23,FALSE)</f>
        <v>JPY</v>
      </c>
      <c r="Q1256" s="647" t="str">
        <f>VLOOKUP(A1256,'[1]Raw data'!$B:$Z,2,FALSE)</f>
        <v>C49SZX20210049MX</v>
      </c>
      <c r="R1256" s="647" t="str">
        <f>VLOOKUP(A1256,'[1]Raw data'!$B:$Z,3,FALSE)</f>
        <v>智序</v>
      </c>
      <c r="S1256" s="647" t="str">
        <f>VLOOKUP(A1256,'[1]Raw data'!$B:$Z,4,FALSE)</f>
        <v>YSM20R-2</v>
      </c>
      <c r="T1256" s="647" t="str">
        <f>VLOOKUP(A1256,'[1]Raw data'!$B:$Z,8,FALSE)</f>
        <v>L-&gt;R</v>
      </c>
      <c r="U1256" s="647" t="str">
        <f>VLOOKUP(A1256,'[1]Raw data'!$B:$Z,9,FALSE)</f>
        <v>No</v>
      </c>
      <c r="V1256" s="567" t="str">
        <f>IF(G1256&amp;H1256=T1256&amp;U1256,"OK","WRONG")</f>
        <v>OK</v>
      </c>
      <c r="W1256" s="563" t="str">
        <f>VLOOKUP(A1256,'[1]Raw data'!$B:$AG,32,FALSE)</f>
        <v>DAP SZ</v>
      </c>
      <c r="X1256" s="647">
        <f>VLOOKUP(A1256,'[1]Raw data'!$B:$BA,31,FALSE)</f>
        <v>44256</v>
      </c>
      <c r="Y1256" s="647" t="str">
        <f>VLOOKUP(A1256,'[1]Raw data'!$B:$AS,39,FALSE)</f>
        <v>Yes</v>
      </c>
      <c r="Z1256" s="659"/>
      <c r="AA1256" s="660"/>
      <c r="AB1256" s="661"/>
      <c r="AC1256" s="647" t="s">
        <v>2445</v>
      </c>
      <c r="AD1256" s="662">
        <v>313</v>
      </c>
      <c r="AE1256" s="662">
        <v>20</v>
      </c>
      <c r="AF1256" s="662"/>
      <c r="AG1256" s="662"/>
      <c r="AH1256" s="662"/>
      <c r="AI1256" s="663"/>
      <c r="AN1256" s="542"/>
      <c r="AO1256" s="824" t="str">
        <f t="shared" si="267"/>
        <v>Yes</v>
      </c>
      <c r="AP1256" s="259" t="str">
        <f t="shared" si="268"/>
        <v>AUG 22</v>
      </c>
      <c r="AQ1256" s="542" t="str">
        <f t="shared" si="269"/>
        <v>有定金+有預留客戶</v>
      </c>
      <c r="AR1256" s="259" t="str">
        <f t="shared" si="270"/>
        <v>Shipped_Stock</v>
      </c>
      <c r="AS1256" s="259" t="str">
        <f t="shared" si="271"/>
        <v/>
      </c>
      <c r="AT1256" s="259" t="str">
        <f t="shared" si="272"/>
        <v>智序</v>
      </c>
      <c r="AU1256" s="259" t="str">
        <f t="shared" si="273"/>
        <v>C49SZX20210049MX</v>
      </c>
      <c r="AV1256" s="259" t="str">
        <f t="shared" si="274"/>
        <v>Jul-31</v>
      </c>
    </row>
    <row r="1257" spans="1:48" ht="16.5" hidden="1">
      <c r="A1257" s="599">
        <v>1709</v>
      </c>
      <c r="B1257" s="664" t="s">
        <v>1125</v>
      </c>
      <c r="C1257" s="664" t="s">
        <v>281</v>
      </c>
      <c r="D1257" s="755">
        <v>110960</v>
      </c>
      <c r="E1257" s="744" t="s">
        <v>2345</v>
      </c>
      <c r="F1257" s="647" t="s">
        <v>58</v>
      </c>
      <c r="G1257" s="647" t="s">
        <v>24</v>
      </c>
      <c r="H1257" s="647" t="s">
        <v>26</v>
      </c>
      <c r="I1257" s="575" t="s">
        <v>2446</v>
      </c>
      <c r="J1257" s="575">
        <v>1</v>
      </c>
      <c r="K1257" s="781" t="s">
        <v>2239</v>
      </c>
      <c r="L1257" s="657">
        <v>44773</v>
      </c>
      <c r="M1257" s="665">
        <v>4.9799999999999997E-2</v>
      </c>
      <c r="N1257" s="647" t="s">
        <v>221</v>
      </c>
      <c r="O1257" s="575">
        <v>2022.7</v>
      </c>
      <c r="P1257" s="665" t="str">
        <f>VLOOKUP(A1257,'[1]Raw data'!$B:$BA,23,FALSE)</f>
        <v>RMB</v>
      </c>
      <c r="Q1257" s="647" t="str">
        <f>VLOOKUP(A1257,'[1]Raw data'!$B:$Z,2,FALSE)</f>
        <v>C49SZX20220080JY</v>
      </c>
      <c r="R1257" s="647" t="str">
        <f>VLOOKUP(A1257,'[1]Raw data'!$B:$Z,3,FALSE)</f>
        <v>顺禾</v>
      </c>
      <c r="S1257" s="647" t="str">
        <f>VLOOKUP(A1257,'[1]Raw data'!$B:$Z,4,FALSE)</f>
        <v>YSM20R-2</v>
      </c>
      <c r="T1257" s="647" t="str">
        <f>VLOOKUP(A1257,'[1]Raw data'!$B:$Z,8,FALSE)</f>
        <v>L-&gt;R</v>
      </c>
      <c r="U1257" s="647" t="str">
        <f>VLOOKUP(A1257,'[1]Raw data'!$B:$Z,9,FALSE)</f>
        <v>No</v>
      </c>
      <c r="V1257" s="567" t="str">
        <f>IF(G1257&amp;H1257=T1257&amp;U1257,"OK","WRONG")</f>
        <v>OK</v>
      </c>
      <c r="W1257" s="563" t="str">
        <f>VLOOKUP(A1257,'[1]Raw data'!$B:$AG,32,FALSE)</f>
        <v>DDP SZ</v>
      </c>
      <c r="X1257" s="647">
        <f>VLOOKUP(A1257,'[1]Raw data'!$B:$BA,31,FALSE)</f>
        <v>44762</v>
      </c>
      <c r="Y1257" s="647" t="str">
        <f>VLOOKUP(A1257,'[1]Raw data'!$B:$AS,39,FALSE)</f>
        <v>Yes</v>
      </c>
      <c r="Z1257" s="659"/>
      <c r="AA1257" s="660"/>
      <c r="AB1257" s="661"/>
      <c r="AC1257" s="647" t="s">
        <v>2447</v>
      </c>
      <c r="AD1257" s="575">
        <v>301</v>
      </c>
      <c r="AE1257" s="575">
        <v>20</v>
      </c>
      <c r="AF1257" s="575"/>
      <c r="AG1257" s="575"/>
      <c r="AH1257" s="575"/>
      <c r="AI1257" s="679"/>
      <c r="AJ1257" s="564"/>
      <c r="AK1257" s="564"/>
      <c r="AL1257" s="564"/>
      <c r="AM1257" s="564"/>
      <c r="AN1257" s="614"/>
      <c r="AO1257" s="824" t="str">
        <f t="shared" si="267"/>
        <v>Yes</v>
      </c>
      <c r="AP1257" s="259" t="str">
        <f t="shared" si="268"/>
        <v>AUG 22</v>
      </c>
      <c r="AQ1257" s="542" t="str">
        <f t="shared" si="269"/>
        <v>有定金+有預留客戶</v>
      </c>
      <c r="AR1257" s="259" t="str">
        <f t="shared" si="270"/>
        <v>Shipped_Stock</v>
      </c>
      <c r="AS1257" s="259" t="str">
        <f t="shared" si="271"/>
        <v/>
      </c>
      <c r="AT1257" s="259" t="str">
        <f t="shared" si="272"/>
        <v>顺禾</v>
      </c>
      <c r="AU1257" s="259" t="str">
        <f t="shared" si="273"/>
        <v>C49SZX20220080JY</v>
      </c>
      <c r="AV1257" s="259" t="str">
        <f t="shared" si="274"/>
        <v>Jul-31</v>
      </c>
    </row>
    <row r="1258" spans="1:48" ht="13.5" hidden="1" thickBot="1">
      <c r="A1258" s="599">
        <v>1747</v>
      </c>
      <c r="B1258" s="664" t="s">
        <v>1125</v>
      </c>
      <c r="C1258" s="664" t="s">
        <v>281</v>
      </c>
      <c r="D1258" s="624">
        <v>110960</v>
      </c>
      <c r="E1258" s="646" t="s">
        <v>2345</v>
      </c>
      <c r="F1258" s="647" t="s">
        <v>58</v>
      </c>
      <c r="G1258" s="647" t="s">
        <v>24</v>
      </c>
      <c r="H1258" s="647" t="s">
        <v>26</v>
      </c>
      <c r="I1258" s="575" t="s">
        <v>2448</v>
      </c>
      <c r="J1258" s="575">
        <v>1</v>
      </c>
      <c r="K1258" s="647" t="s">
        <v>85</v>
      </c>
      <c r="L1258" s="657">
        <v>44773</v>
      </c>
      <c r="M1258" s="665">
        <v>4.9799999999999997E-2</v>
      </c>
      <c r="N1258" s="647" t="s">
        <v>205</v>
      </c>
      <c r="O1258" s="575">
        <v>2022.7</v>
      </c>
      <c r="P1258" s="665" t="str">
        <f>VLOOKUP(A1258,'[1]Raw data'!$B:$BA,23,FALSE)</f>
        <v>JPY</v>
      </c>
      <c r="Q1258" s="647" t="str">
        <f>VLOOKUP(A1258,'[1]Raw data'!$B:$Z,2,FALSE)</f>
        <v>C49SZX20220103SS</v>
      </c>
      <c r="R1258" s="764" t="s">
        <v>2449</v>
      </c>
      <c r="S1258" s="647" t="str">
        <f>VLOOKUP(A1258,'[1]Raw data'!$B:$Z,4,FALSE)</f>
        <v>YSM20R-2</v>
      </c>
      <c r="T1258" s="647" t="str">
        <f>VLOOKUP(A1258,'[1]Raw data'!$B:$Z,8,FALSE)</f>
        <v>L-&gt;R</v>
      </c>
      <c r="U1258" s="647" t="str">
        <f>VLOOKUP(A1258,'[1]Raw data'!$B:$Z,9,FALSE)</f>
        <v>MVC</v>
      </c>
      <c r="V1258" s="567" t="str">
        <f>IF(G1258&amp;H1258=T1258&amp;U1258,"OK","WRONG")</f>
        <v>WRONG</v>
      </c>
      <c r="W1258" s="563" t="str">
        <f>VLOOKUP(A1258,'[1]Raw data'!$B:$AG,32,FALSE)</f>
        <v>DAP CS</v>
      </c>
      <c r="X1258" s="647">
        <f>VLOOKUP(A1258,'[1]Raw data'!$B:$BA,31,FALSE)</f>
        <v>44846</v>
      </c>
      <c r="Y1258" s="647" t="str">
        <f>VLOOKUP(A1258,'[1]Raw data'!$B:$AS,39,FALSE)</f>
        <v>Yes</v>
      </c>
      <c r="Z1258" s="666"/>
      <c r="AA1258" s="660"/>
      <c r="AB1258" s="661"/>
      <c r="AC1258" s="647" t="s">
        <v>2450</v>
      </c>
      <c r="AD1258" s="575">
        <v>304</v>
      </c>
      <c r="AE1258" s="575">
        <v>10</v>
      </c>
      <c r="AF1258" s="575">
        <v>302</v>
      </c>
      <c r="AG1258" s="575">
        <v>10</v>
      </c>
      <c r="AH1258" s="575"/>
      <c r="AI1258" s="679"/>
      <c r="AJ1258" s="564"/>
      <c r="AK1258" s="564"/>
      <c r="AL1258" s="564"/>
      <c r="AM1258" s="564"/>
      <c r="AN1258" s="614"/>
      <c r="AO1258" s="824" t="str">
        <f t="shared" si="267"/>
        <v>Yes</v>
      </c>
      <c r="AP1258" s="259" t="str">
        <f t="shared" si="268"/>
        <v>OCT 22</v>
      </c>
      <c r="AQ1258" s="542" t="str">
        <f t="shared" si="269"/>
        <v>有定金+有預留客戶</v>
      </c>
      <c r="AR1258" s="259" t="str">
        <f t="shared" si="270"/>
        <v>Shipped_Stock</v>
      </c>
      <c r="AS1258" s="259" t="str">
        <f t="shared" si="271"/>
        <v/>
      </c>
      <c r="AT1258" s="259" t="str">
        <f t="shared" si="272"/>
        <v>银杏（虽然机器安装在银杏，但是给到Yamaha的资料都是三才）</v>
      </c>
      <c r="AU1258" s="259" t="str">
        <f t="shared" si="273"/>
        <v>C49SZX20220103SS</v>
      </c>
      <c r="AV1258" s="259" t="str">
        <f t="shared" si="274"/>
        <v>Jul-31</v>
      </c>
    </row>
    <row r="1259" spans="1:48" ht="22.5" hidden="1">
      <c r="A1259" s="599">
        <v>1814</v>
      </c>
      <c r="B1259" s="664" t="s">
        <v>1125</v>
      </c>
      <c r="C1259" s="664" t="s">
        <v>281</v>
      </c>
      <c r="D1259" s="761">
        <v>110954</v>
      </c>
      <c r="E1259" s="744" t="s">
        <v>2277</v>
      </c>
      <c r="F1259" s="647" t="s">
        <v>17</v>
      </c>
      <c r="G1259" s="647" t="s">
        <v>18</v>
      </c>
      <c r="H1259" s="647" t="s">
        <v>27</v>
      </c>
      <c r="I1259" s="575" t="s">
        <v>2451</v>
      </c>
      <c r="J1259" s="575">
        <v>1</v>
      </c>
      <c r="K1259" s="781" t="s">
        <v>2239</v>
      </c>
      <c r="L1259" s="657">
        <v>44773</v>
      </c>
      <c r="M1259" s="665" t="s">
        <v>2452</v>
      </c>
      <c r="N1259" s="647" t="s">
        <v>215</v>
      </c>
      <c r="O1259" s="575">
        <v>2022.7</v>
      </c>
      <c r="P1259" s="665" t="str">
        <f>VLOOKUP(A1259,'[1]Raw data'!$B:$BA,23,FALSE)</f>
        <v>RMB</v>
      </c>
      <c r="Q1259" s="647" t="str">
        <f>VLOOKUP(A1259,'[1]Raw data'!$B:$Z,2,FALSE)</f>
        <v>C49SZX20230010SX</v>
      </c>
      <c r="R1259" s="647" t="str">
        <f>VLOOKUP(A1259,'[1]Raw data'!$B:$Z,3,FALSE)</f>
        <v>嘉普达</v>
      </c>
      <c r="S1259" s="647" t="str">
        <f>VLOOKUP(A1259,'[1]Raw data'!$B:$Z,4,FALSE)</f>
        <v>YSM10</v>
      </c>
      <c r="T1259" s="647" t="str">
        <f>VLOOKUP(A1259,'[1]Raw data'!$B:$Z,8,FALSE)</f>
        <v>L-&gt;R</v>
      </c>
      <c r="U1259" s="647" t="str">
        <f>VLOOKUP(A1259,'[1]Raw data'!$B:$Z,9,FALSE)</f>
        <v>MVC</v>
      </c>
      <c r="V1259" s="567" t="str">
        <f t="shared" ref="V1259:V1271" si="281">IF(G1259&amp;H1259=T1259&amp;U1259,"OK","WRONG")</f>
        <v>WRONG</v>
      </c>
      <c r="W1259" s="563" t="str">
        <f>VLOOKUP(A1259,'[1]Raw data'!$B:$AG,32,FALSE)</f>
        <v>DDP SZ</v>
      </c>
      <c r="X1259" s="647">
        <f>VLOOKUP(A1259,'[1]Raw data'!$B:$BA,31,FALSE)</f>
        <v>44938</v>
      </c>
      <c r="Y1259" s="647" t="str">
        <f>VLOOKUP(A1259,'[1]Raw data'!$B:$AS,39,FALSE)</f>
        <v>Yes</v>
      </c>
      <c r="Z1259" s="666"/>
      <c r="AA1259" s="660"/>
      <c r="AB1259" s="661"/>
      <c r="AC1259" s="647" t="s">
        <v>2453</v>
      </c>
      <c r="AD1259" s="575">
        <v>304</v>
      </c>
      <c r="AE1259" s="575">
        <v>10</v>
      </c>
      <c r="AF1259" s="575"/>
      <c r="AG1259" s="575"/>
      <c r="AH1259" s="575"/>
      <c r="AI1259" s="679"/>
      <c r="AJ1259" s="564"/>
      <c r="AK1259" s="564"/>
      <c r="AL1259" s="564"/>
      <c r="AM1259" s="564"/>
      <c r="AN1259" s="614"/>
      <c r="AO1259" s="824" t="str">
        <f t="shared" si="267"/>
        <v>Yes</v>
      </c>
      <c r="AP1259" s="259" t="str">
        <f t="shared" si="268"/>
        <v>JAN 23</v>
      </c>
      <c r="AQ1259" s="542" t="str">
        <f t="shared" si="269"/>
        <v>有定金+有預留客戶</v>
      </c>
      <c r="AR1259" s="259" t="str">
        <f t="shared" si="270"/>
        <v>Shipped_Stock</v>
      </c>
      <c r="AS1259" s="259" t="str">
        <f t="shared" si="271"/>
        <v/>
      </c>
      <c r="AT1259" s="259" t="str">
        <f t="shared" si="272"/>
        <v>嘉普达</v>
      </c>
      <c r="AU1259" s="259" t="str">
        <f t="shared" si="273"/>
        <v>C49SZX20230010SX</v>
      </c>
      <c r="AV1259" s="259" t="str">
        <f t="shared" si="274"/>
        <v>Jul-31</v>
      </c>
    </row>
    <row r="1260" spans="1:48" ht="24.75" hidden="1">
      <c r="A1260" s="599">
        <v>1666</v>
      </c>
      <c r="B1260" s="664" t="s">
        <v>1125</v>
      </c>
      <c r="C1260" s="664" t="s">
        <v>281</v>
      </c>
      <c r="D1260" s="755">
        <v>110954</v>
      </c>
      <c r="E1260" s="744" t="s">
        <v>2277</v>
      </c>
      <c r="F1260" s="647" t="s">
        <v>17</v>
      </c>
      <c r="G1260" s="647" t="s">
        <v>18</v>
      </c>
      <c r="H1260" s="647" t="s">
        <v>27</v>
      </c>
      <c r="I1260" s="751" t="s">
        <v>2454</v>
      </c>
      <c r="J1260" s="575">
        <v>1</v>
      </c>
      <c r="K1260" s="647" t="s">
        <v>85</v>
      </c>
      <c r="L1260" s="657">
        <v>44773</v>
      </c>
      <c r="M1260" s="665" t="s">
        <v>906</v>
      </c>
      <c r="N1260" s="647" t="s">
        <v>219</v>
      </c>
      <c r="O1260" s="575">
        <v>2022.7</v>
      </c>
      <c r="P1260" s="665" t="str">
        <f>VLOOKUP(A1260,'[1]Raw data'!$B:$BA,23,FALSE)</f>
        <v>JPY</v>
      </c>
      <c r="Q1260" s="647" t="str">
        <f>VLOOKUP(A1260,'[1]Raw data'!$B:$Z,2,FALSE)</f>
        <v>C49SZX20220055SX</v>
      </c>
      <c r="R1260" s="647" t="str">
        <f>VLOOKUP(A1260,'[1]Raw data'!$B:$Z,3,FALSE)</f>
        <v>利速达</v>
      </c>
      <c r="S1260" s="647" t="str">
        <f>VLOOKUP(A1260,'[1]Raw data'!$B:$Z,4,FALSE)</f>
        <v>YSM10</v>
      </c>
      <c r="T1260" s="647" t="str">
        <f>VLOOKUP(A1260,'[1]Raw data'!$B:$Z,8,FALSE)</f>
        <v>L-&gt;R</v>
      </c>
      <c r="U1260" s="647" t="str">
        <f>VLOOKUP(A1260,'[1]Raw data'!$B:$Z,9,FALSE)</f>
        <v>MVC</v>
      </c>
      <c r="V1260" s="567" t="str">
        <f t="shared" si="281"/>
        <v>WRONG</v>
      </c>
      <c r="W1260" s="563" t="str">
        <f>VLOOKUP(A1260,'[1]Raw data'!$B:$AG,32,FALSE)</f>
        <v>DAP SZ</v>
      </c>
      <c r="X1260" s="647">
        <f>VLOOKUP(A1260,'[1]Raw data'!$B:$BA,31,FALSE)</f>
        <v>44691</v>
      </c>
      <c r="Y1260" s="647" t="str">
        <f>VLOOKUP(A1260,'[1]Raw data'!$B:$AS,39,FALSE)</f>
        <v>Yes</v>
      </c>
      <c r="Z1260" s="659"/>
      <c r="AA1260" s="660"/>
      <c r="AB1260" s="661"/>
      <c r="AC1260" s="647" t="s">
        <v>2455</v>
      </c>
      <c r="AD1260" s="575">
        <v>301</v>
      </c>
      <c r="AE1260" s="575">
        <v>10</v>
      </c>
      <c r="AF1260" s="575"/>
      <c r="AG1260" s="575"/>
      <c r="AH1260" s="575"/>
      <c r="AI1260" s="679"/>
      <c r="AJ1260" s="564"/>
      <c r="AK1260" s="564"/>
      <c r="AL1260" s="564"/>
      <c r="AM1260" s="564"/>
      <c r="AN1260" s="614"/>
      <c r="AO1260" s="824" t="str">
        <f t="shared" si="267"/>
        <v>Yes</v>
      </c>
      <c r="AP1260" s="259" t="str">
        <f t="shared" si="268"/>
        <v>SEP 22</v>
      </c>
      <c r="AQ1260" s="542" t="str">
        <f t="shared" si="269"/>
        <v>有定金+有預留客戶</v>
      </c>
      <c r="AR1260" s="259" t="str">
        <f t="shared" si="270"/>
        <v>Shipped_Stock</v>
      </c>
      <c r="AS1260" s="259" t="str">
        <f t="shared" si="271"/>
        <v/>
      </c>
      <c r="AT1260" s="259" t="str">
        <f t="shared" si="272"/>
        <v>利速达</v>
      </c>
      <c r="AU1260" s="259" t="str">
        <f t="shared" si="273"/>
        <v>C49SZX20220055SX</v>
      </c>
      <c r="AV1260" s="259" t="str">
        <f t="shared" si="274"/>
        <v>Jul-31</v>
      </c>
    </row>
    <row r="1261" spans="1:48" hidden="1">
      <c r="A1261" s="599">
        <v>1644</v>
      </c>
      <c r="B1261" s="664" t="s">
        <v>1125</v>
      </c>
      <c r="C1261" s="664" t="s">
        <v>281</v>
      </c>
      <c r="D1261" s="755">
        <v>110958</v>
      </c>
      <c r="E1261" s="756" t="s">
        <v>2456</v>
      </c>
      <c r="F1261" s="647" t="s">
        <v>58</v>
      </c>
      <c r="G1261" s="647" t="s">
        <v>24</v>
      </c>
      <c r="H1261" s="647" t="s">
        <v>26</v>
      </c>
      <c r="I1261" s="575" t="s">
        <v>2457</v>
      </c>
      <c r="J1261" s="575">
        <v>1</v>
      </c>
      <c r="K1261" s="647" t="s">
        <v>85</v>
      </c>
      <c r="L1261" s="657">
        <v>44773</v>
      </c>
      <c r="M1261" s="665" t="s">
        <v>906</v>
      </c>
      <c r="N1261" s="647" t="s">
        <v>221</v>
      </c>
      <c r="O1261" s="575">
        <v>2022.7</v>
      </c>
      <c r="P1261" s="665" t="str">
        <f>VLOOKUP(A1261,'[1]Raw data'!$B:$BA,23,FALSE)</f>
        <v>JPY</v>
      </c>
      <c r="Q1261" s="647" t="str">
        <f>VLOOKUP(A1261,'[1]Raw data'!$B:$Z,2,FALSE)</f>
        <v>C49SZX20220046JL</v>
      </c>
      <c r="R1261" s="647" t="str">
        <f>VLOOKUP(A1261,'[1]Raw data'!$B:$Z,3,FALSE)</f>
        <v>快宇</v>
      </c>
      <c r="S1261" s="647" t="str">
        <f>VLOOKUP(A1261,'[1]Raw data'!$B:$Z,4,FALSE)</f>
        <v>YSM20R-2</v>
      </c>
      <c r="T1261" s="647" t="str">
        <f>VLOOKUP(A1261,'[1]Raw data'!$B:$Z,8,FALSE)</f>
        <v>L-&gt;R</v>
      </c>
      <c r="U1261" s="647" t="str">
        <f>VLOOKUP(A1261,'[1]Raw data'!$B:$Z,9,FALSE)</f>
        <v>No</v>
      </c>
      <c r="V1261" s="567" t="str">
        <f t="shared" si="281"/>
        <v>OK</v>
      </c>
      <c r="W1261" s="563" t="str">
        <f>VLOOKUP(A1261,'[1]Raw data'!$B:$AG,32,FALSE)</f>
        <v>DAP SZ</v>
      </c>
      <c r="X1261" s="647">
        <f>VLOOKUP(A1261,'[1]Raw data'!$B:$BA,31,FALSE)</f>
        <v>44669</v>
      </c>
      <c r="Y1261" s="647" t="str">
        <f>VLOOKUP(A1261,'[1]Raw data'!$B:$AS,39,FALSE)</f>
        <v>Yes</v>
      </c>
      <c r="Z1261" s="659"/>
      <c r="AA1261" s="660"/>
      <c r="AB1261" s="661"/>
      <c r="AC1261" s="647" t="s">
        <v>2306</v>
      </c>
      <c r="AD1261" s="575">
        <v>301</v>
      </c>
      <c r="AE1261" s="575">
        <v>10</v>
      </c>
      <c r="AF1261" s="575">
        <v>302</v>
      </c>
      <c r="AG1261" s="575">
        <v>10</v>
      </c>
      <c r="AH1261" s="575"/>
      <c r="AI1261" s="679"/>
      <c r="AJ1261" s="564"/>
      <c r="AK1261" s="564"/>
      <c r="AL1261" s="564"/>
      <c r="AM1261" s="564"/>
      <c r="AN1261" s="614"/>
      <c r="AO1261" s="824" t="str">
        <f t="shared" si="267"/>
        <v>Yes</v>
      </c>
      <c r="AP1261" s="259" t="str">
        <f t="shared" si="268"/>
        <v>AUG 22</v>
      </c>
      <c r="AQ1261" s="542" t="str">
        <f t="shared" si="269"/>
        <v>有定金+有預留客戶</v>
      </c>
      <c r="AR1261" s="259" t="str">
        <f t="shared" si="270"/>
        <v>Shipped_Stock</v>
      </c>
      <c r="AS1261" s="259" t="str">
        <f t="shared" si="271"/>
        <v/>
      </c>
      <c r="AT1261" s="259" t="str">
        <f t="shared" si="272"/>
        <v>快宇</v>
      </c>
      <c r="AU1261" s="259" t="str">
        <f t="shared" si="273"/>
        <v>C49SZX20220046JL</v>
      </c>
      <c r="AV1261" s="259" t="str">
        <f t="shared" si="274"/>
        <v>Jul-31</v>
      </c>
    </row>
    <row r="1262" spans="1:48" ht="24.75" hidden="1">
      <c r="A1262" s="599">
        <v>1665</v>
      </c>
      <c r="B1262" s="664" t="s">
        <v>1125</v>
      </c>
      <c r="C1262" s="664" t="s">
        <v>281</v>
      </c>
      <c r="D1262" s="755">
        <v>110958</v>
      </c>
      <c r="E1262" s="756" t="s">
        <v>2456</v>
      </c>
      <c r="F1262" s="647" t="s">
        <v>58</v>
      </c>
      <c r="G1262" s="647" t="s">
        <v>24</v>
      </c>
      <c r="H1262" s="647" t="s">
        <v>26</v>
      </c>
      <c r="I1262" s="751" t="s">
        <v>2458</v>
      </c>
      <c r="J1262" s="575">
        <v>1</v>
      </c>
      <c r="K1262" s="647" t="s">
        <v>85</v>
      </c>
      <c r="L1262" s="657">
        <v>44773</v>
      </c>
      <c r="M1262" s="665" t="s">
        <v>906</v>
      </c>
      <c r="N1262" s="647" t="s">
        <v>219</v>
      </c>
      <c r="O1262" s="575">
        <v>2022.7</v>
      </c>
      <c r="P1262" s="665" t="str">
        <f>VLOOKUP(A1262,'[1]Raw data'!$B:$BA,23,FALSE)</f>
        <v>JPY</v>
      </c>
      <c r="Q1262" s="647" t="str">
        <f>VLOOKUP(A1262,'[1]Raw data'!$B:$Z,2,FALSE)</f>
        <v>C49SZX20220055SX</v>
      </c>
      <c r="R1262" s="647" t="str">
        <f>VLOOKUP(A1262,'[1]Raw data'!$B:$Z,3,FALSE)</f>
        <v>利速达</v>
      </c>
      <c r="S1262" s="647" t="str">
        <f>VLOOKUP(A1262,'[1]Raw data'!$B:$Z,4,FALSE)</f>
        <v>YSM20R-2</v>
      </c>
      <c r="T1262" s="647" t="str">
        <f>VLOOKUP(A1262,'[1]Raw data'!$B:$Z,8,FALSE)</f>
        <v>L-&gt;R</v>
      </c>
      <c r="U1262" s="647" t="str">
        <f>VLOOKUP(A1262,'[1]Raw data'!$B:$Z,9,FALSE)</f>
        <v>No</v>
      </c>
      <c r="V1262" s="567" t="str">
        <f t="shared" si="281"/>
        <v>OK</v>
      </c>
      <c r="W1262" s="563" t="str">
        <f>VLOOKUP(A1262,'[1]Raw data'!$B:$AG,32,FALSE)</f>
        <v>DAP SZ</v>
      </c>
      <c r="X1262" s="647">
        <f>VLOOKUP(A1262,'[1]Raw data'!$B:$BA,31,FALSE)</f>
        <v>44691</v>
      </c>
      <c r="Y1262" s="647" t="str">
        <f>VLOOKUP(A1262,'[1]Raw data'!$B:$AS,39,FALSE)</f>
        <v>Yes</v>
      </c>
      <c r="Z1262" s="659"/>
      <c r="AA1262" s="660"/>
      <c r="AB1262" s="661"/>
      <c r="AC1262" s="647" t="s">
        <v>2129</v>
      </c>
      <c r="AD1262" s="575">
        <v>301</v>
      </c>
      <c r="AE1262" s="575">
        <v>10</v>
      </c>
      <c r="AF1262" s="575">
        <v>302</v>
      </c>
      <c r="AG1262" s="575">
        <v>10</v>
      </c>
      <c r="AH1262" s="575"/>
      <c r="AI1262" s="679"/>
      <c r="AJ1262" s="564"/>
      <c r="AK1262" s="564"/>
      <c r="AL1262" s="564"/>
      <c r="AM1262" s="564"/>
      <c r="AN1262" s="614"/>
      <c r="AO1262" s="824" t="str">
        <f t="shared" si="267"/>
        <v>Yes</v>
      </c>
      <c r="AP1262" s="259" t="str">
        <f t="shared" si="268"/>
        <v>SEP 22</v>
      </c>
      <c r="AQ1262" s="542" t="str">
        <f t="shared" si="269"/>
        <v>有定金+有預留客戶</v>
      </c>
      <c r="AR1262" s="259" t="str">
        <f t="shared" si="270"/>
        <v>Shipped_Stock</v>
      </c>
      <c r="AS1262" s="259" t="str">
        <f t="shared" si="271"/>
        <v/>
      </c>
      <c r="AT1262" s="259" t="str">
        <f t="shared" si="272"/>
        <v>利速达</v>
      </c>
      <c r="AU1262" s="259" t="str">
        <f t="shared" si="273"/>
        <v>C49SZX20220055SX</v>
      </c>
      <c r="AV1262" s="259" t="str">
        <f t="shared" si="274"/>
        <v>Jul-31</v>
      </c>
    </row>
    <row r="1263" spans="1:48" ht="23.25" hidden="1" thickBot="1">
      <c r="A1263" s="559">
        <v>1821</v>
      </c>
      <c r="B1263" s="664" t="s">
        <v>1125</v>
      </c>
      <c r="C1263" s="664" t="s">
        <v>281</v>
      </c>
      <c r="D1263" s="624">
        <v>110956</v>
      </c>
      <c r="E1263" s="756" t="s">
        <v>2459</v>
      </c>
      <c r="F1263" s="647" t="s">
        <v>17</v>
      </c>
      <c r="G1263" s="647" t="s">
        <v>18</v>
      </c>
      <c r="H1263" s="647" t="s">
        <v>27</v>
      </c>
      <c r="I1263" s="575" t="s">
        <v>2460</v>
      </c>
      <c r="J1263" s="575">
        <v>1</v>
      </c>
      <c r="K1263" s="781" t="s">
        <v>2239</v>
      </c>
      <c r="L1263" s="657">
        <v>44773</v>
      </c>
      <c r="M1263" s="665" t="s">
        <v>2461</v>
      </c>
      <c r="N1263" s="647" t="s">
        <v>217</v>
      </c>
      <c r="O1263" s="575">
        <v>2022.7</v>
      </c>
      <c r="P1263" s="665" t="str">
        <f>VLOOKUP(A1263,'[1]Raw data'!$B:$BA,23,FALSE)</f>
        <v>RMB</v>
      </c>
      <c r="Q1263" s="647" t="str">
        <f>VLOOKUP(A1263,'[1]Raw data'!$B:$Z,2,FALSE)</f>
        <v>C49SZX202300011SX</v>
      </c>
      <c r="R1263" s="647" t="str">
        <f>VLOOKUP(A1263,'[1]Raw data'!$B:$Z,3,FALSE)</f>
        <v>益田科技</v>
      </c>
      <c r="S1263" s="647" t="str">
        <f>VLOOKUP(A1263,'[1]Raw data'!$B:$Z,4,FALSE)</f>
        <v>YSM10</v>
      </c>
      <c r="T1263" s="647" t="str">
        <f>VLOOKUP(A1263,'[1]Raw data'!$B:$Z,8,FALSE)</f>
        <v>L-&gt;R</v>
      </c>
      <c r="U1263" s="647" t="str">
        <f>VLOOKUP(A1263,'[1]Raw data'!$B:$Z,9,FALSE)</f>
        <v>No</v>
      </c>
      <c r="V1263" s="567" t="str">
        <f>IF(G1263&amp;H1263=T1263&amp;U1263,"OK","WRONG")</f>
        <v>WRONG</v>
      </c>
      <c r="W1263" s="563" t="str">
        <f>VLOOKUP(A1263,'[1]Raw data'!$B:$AG,32,FALSE)</f>
        <v>DDP SZ</v>
      </c>
      <c r="X1263" s="647">
        <f>VLOOKUP(A1263,'[1]Raw data'!$B:$BA,31,FALSE)</f>
        <v>44960</v>
      </c>
      <c r="Y1263" s="647" t="str">
        <f>VLOOKUP(A1263,'[1]Raw data'!$B:$AS,39,FALSE)</f>
        <v>Yes</v>
      </c>
      <c r="Z1263" s="666"/>
      <c r="AA1263" s="660"/>
      <c r="AB1263" s="661"/>
      <c r="AC1263" s="647" t="s">
        <v>1172</v>
      </c>
      <c r="AD1263" s="575">
        <v>301</v>
      </c>
      <c r="AE1263" s="575">
        <v>10</v>
      </c>
      <c r="AF1263" s="575"/>
      <c r="AG1263" s="575"/>
      <c r="AH1263" s="575"/>
      <c r="AI1263" s="679"/>
      <c r="AN1263" s="542"/>
      <c r="AO1263" s="824" t="str">
        <f t="shared" si="267"/>
        <v>Yes</v>
      </c>
      <c r="AP1263" s="259" t="str">
        <f t="shared" si="268"/>
        <v>FEB 23</v>
      </c>
      <c r="AQ1263" s="542" t="str">
        <f t="shared" si="269"/>
        <v>有定金+有預留客戶</v>
      </c>
      <c r="AR1263" s="259" t="str">
        <f t="shared" si="270"/>
        <v>Shipped_Stock</v>
      </c>
      <c r="AS1263" s="259" t="str">
        <f t="shared" si="271"/>
        <v/>
      </c>
      <c r="AT1263" s="259" t="str">
        <f t="shared" si="272"/>
        <v>益田科技</v>
      </c>
      <c r="AU1263" s="259" t="str">
        <f t="shared" si="273"/>
        <v>C49SZX202300011SX</v>
      </c>
      <c r="AV1263" s="259" t="str">
        <f t="shared" si="274"/>
        <v>Jul-31</v>
      </c>
    </row>
    <row r="1264" spans="1:48" hidden="1">
      <c r="A1264" s="599">
        <v>1609</v>
      </c>
      <c r="B1264" s="664" t="s">
        <v>1125</v>
      </c>
      <c r="C1264" s="664" t="s">
        <v>281</v>
      </c>
      <c r="D1264" s="761">
        <v>110959</v>
      </c>
      <c r="E1264" s="756" t="s">
        <v>2272</v>
      </c>
      <c r="F1264" s="647" t="s">
        <v>58</v>
      </c>
      <c r="G1264" s="647" t="s">
        <v>24</v>
      </c>
      <c r="H1264" s="647" t="s">
        <v>26</v>
      </c>
      <c r="I1264" s="575" t="s">
        <v>2462</v>
      </c>
      <c r="J1264" s="575">
        <v>1</v>
      </c>
      <c r="K1264" s="647"/>
      <c r="L1264" s="657">
        <v>44774</v>
      </c>
      <c r="M1264" s="665" t="s">
        <v>906</v>
      </c>
      <c r="N1264" s="647" t="s">
        <v>221</v>
      </c>
      <c r="O1264" s="575">
        <v>2022.7</v>
      </c>
      <c r="P1264" s="665" t="str">
        <f>VLOOKUP(A1264,'[1]Raw data'!$B:$BA,23,FALSE)</f>
        <v>JPY</v>
      </c>
      <c r="Q1264" s="647" t="str">
        <f>VLOOKUP(A1264,'[1]Raw data'!$B:$Z,2,FALSE)</f>
        <v>C49SZX20220033JL</v>
      </c>
      <c r="R1264" s="647" t="str">
        <f>VLOOKUP(A1264,'[1]Raw data'!$B:$Z,3,FALSE)</f>
        <v>拓普艾</v>
      </c>
      <c r="S1264" s="647" t="str">
        <f>VLOOKUP(A1264,'[1]Raw data'!$B:$Z,4,FALSE)</f>
        <v>YSM20R-2</v>
      </c>
      <c r="T1264" s="647" t="str">
        <f>VLOOKUP(A1264,'[1]Raw data'!$B:$Z,8,FALSE)</f>
        <v>L-&gt;R</v>
      </c>
      <c r="U1264" s="647" t="str">
        <f>VLOOKUP(A1264,'[1]Raw data'!$B:$Z,9,FALSE)</f>
        <v>No</v>
      </c>
      <c r="V1264" s="567" t="str">
        <f t="shared" si="281"/>
        <v>OK</v>
      </c>
      <c r="W1264" s="563" t="str">
        <f>VLOOKUP(A1264,'[1]Raw data'!$B:$AG,32,FALSE)</f>
        <v>CIF HK</v>
      </c>
      <c r="X1264" s="647">
        <f>VLOOKUP(A1264,'[1]Raw data'!$B:$BA,31,FALSE)</f>
        <v>44630</v>
      </c>
      <c r="Y1264" s="647" t="str">
        <f>VLOOKUP(A1264,'[1]Raw data'!$B:$AS,39,FALSE)</f>
        <v>Yes</v>
      </c>
      <c r="Z1264" s="659"/>
      <c r="AA1264" s="660"/>
      <c r="AB1264" s="661"/>
      <c r="AC1264" s="647" t="s">
        <v>2288</v>
      </c>
      <c r="AD1264" s="575">
        <v>311</v>
      </c>
      <c r="AE1264" s="575">
        <v>20</v>
      </c>
      <c r="AF1264" s="575"/>
      <c r="AG1264" s="575"/>
      <c r="AH1264" s="575"/>
      <c r="AI1264" s="679"/>
      <c r="AJ1264" s="564"/>
      <c r="AK1264" s="564"/>
      <c r="AL1264" s="564"/>
      <c r="AM1264" s="564"/>
      <c r="AN1264" s="614"/>
      <c r="AO1264" s="824" t="str">
        <f t="shared" si="267"/>
        <v>Yes</v>
      </c>
      <c r="AP1264" s="259" t="str">
        <f t="shared" si="268"/>
        <v>AUG 22</v>
      </c>
      <c r="AQ1264" s="542" t="str">
        <f t="shared" si="269"/>
        <v>有定金+有預留客戶</v>
      </c>
      <c r="AR1264" s="259" t="str">
        <f t="shared" si="270"/>
        <v>Shipped_Stock</v>
      </c>
      <c r="AS1264" s="259" t="str">
        <f t="shared" si="271"/>
        <v/>
      </c>
      <c r="AT1264" s="259" t="str">
        <f t="shared" si="272"/>
        <v>拓普艾</v>
      </c>
      <c r="AU1264" s="259" t="str">
        <f t="shared" si="273"/>
        <v>C49SZX20220033JL</v>
      </c>
      <c r="AV1264" s="259" t="str">
        <f t="shared" si="274"/>
        <v>Aug-01</v>
      </c>
    </row>
    <row r="1265" spans="1:48" hidden="1">
      <c r="A1265" s="599">
        <v>1610</v>
      </c>
      <c r="B1265" s="664" t="s">
        <v>1125</v>
      </c>
      <c r="C1265" s="664" t="s">
        <v>281</v>
      </c>
      <c r="D1265" s="755">
        <v>110959</v>
      </c>
      <c r="E1265" s="756" t="s">
        <v>2272</v>
      </c>
      <c r="F1265" s="647" t="s">
        <v>58</v>
      </c>
      <c r="G1265" s="647" t="s">
        <v>24</v>
      </c>
      <c r="H1265" s="647" t="s">
        <v>26</v>
      </c>
      <c r="I1265" s="575" t="s">
        <v>2463</v>
      </c>
      <c r="J1265" s="575">
        <v>1</v>
      </c>
      <c r="K1265" s="647"/>
      <c r="L1265" s="657">
        <v>44774</v>
      </c>
      <c r="M1265" s="665" t="s">
        <v>906</v>
      </c>
      <c r="N1265" s="647" t="s">
        <v>221</v>
      </c>
      <c r="O1265" s="575">
        <v>2022.7</v>
      </c>
      <c r="P1265" s="665" t="str">
        <f>VLOOKUP(A1265,'[1]Raw data'!$B:$BA,23,FALSE)</f>
        <v>JPY</v>
      </c>
      <c r="Q1265" s="647" t="str">
        <f>VLOOKUP(A1265,'[1]Raw data'!$B:$Z,2,FALSE)</f>
        <v>C49SZX20220033JL</v>
      </c>
      <c r="R1265" s="647" t="str">
        <f>VLOOKUP(A1265,'[1]Raw data'!$B:$Z,3,FALSE)</f>
        <v>拓普艾</v>
      </c>
      <c r="S1265" s="647" t="str">
        <f>VLOOKUP(A1265,'[1]Raw data'!$B:$Z,4,FALSE)</f>
        <v>YSM20R-2</v>
      </c>
      <c r="T1265" s="647" t="str">
        <f>VLOOKUP(A1265,'[1]Raw data'!$B:$Z,8,FALSE)</f>
        <v>L-&gt;R</v>
      </c>
      <c r="U1265" s="647" t="str">
        <f>VLOOKUP(A1265,'[1]Raw data'!$B:$Z,9,FALSE)</f>
        <v>No</v>
      </c>
      <c r="V1265" s="567" t="str">
        <f t="shared" si="281"/>
        <v>OK</v>
      </c>
      <c r="W1265" s="563" t="str">
        <f>VLOOKUP(A1265,'[1]Raw data'!$B:$AG,32,FALSE)</f>
        <v>CIF HK</v>
      </c>
      <c r="X1265" s="647">
        <f>VLOOKUP(A1265,'[1]Raw data'!$B:$BA,31,FALSE)</f>
        <v>44630</v>
      </c>
      <c r="Y1265" s="647" t="str">
        <f>VLOOKUP(A1265,'[1]Raw data'!$B:$AS,39,FALSE)</f>
        <v>Yes</v>
      </c>
      <c r="Z1265" s="659"/>
      <c r="AA1265" s="660"/>
      <c r="AB1265" s="661"/>
      <c r="AC1265" s="647" t="s">
        <v>2288</v>
      </c>
      <c r="AD1265" s="575">
        <v>302</v>
      </c>
      <c r="AE1265" s="575">
        <v>20</v>
      </c>
      <c r="AF1265" s="575"/>
      <c r="AG1265" s="575"/>
      <c r="AH1265" s="575"/>
      <c r="AI1265" s="679"/>
      <c r="AJ1265" s="564"/>
      <c r="AK1265" s="564"/>
      <c r="AL1265" s="564"/>
      <c r="AM1265" s="564"/>
      <c r="AN1265" s="614"/>
      <c r="AO1265" s="824" t="str">
        <f t="shared" si="267"/>
        <v>Yes</v>
      </c>
      <c r="AP1265" s="259" t="str">
        <f t="shared" si="268"/>
        <v>AUG 22</v>
      </c>
      <c r="AQ1265" s="542" t="str">
        <f t="shared" si="269"/>
        <v>有定金+有預留客戶</v>
      </c>
      <c r="AR1265" s="259" t="str">
        <f t="shared" si="270"/>
        <v>Shipped_Stock</v>
      </c>
      <c r="AS1265" s="259" t="str">
        <f t="shared" si="271"/>
        <v/>
      </c>
      <c r="AT1265" s="259" t="str">
        <f t="shared" si="272"/>
        <v>拓普艾</v>
      </c>
      <c r="AU1265" s="259" t="str">
        <f t="shared" si="273"/>
        <v>C49SZX20220033JL</v>
      </c>
      <c r="AV1265" s="259" t="str">
        <f t="shared" si="274"/>
        <v>Aug-01</v>
      </c>
    </row>
    <row r="1266" spans="1:48" hidden="1">
      <c r="A1266" s="599">
        <v>1611</v>
      </c>
      <c r="B1266" s="664" t="s">
        <v>1125</v>
      </c>
      <c r="C1266" s="664" t="s">
        <v>281</v>
      </c>
      <c r="D1266" s="755">
        <v>110959</v>
      </c>
      <c r="E1266" s="756" t="s">
        <v>2272</v>
      </c>
      <c r="F1266" s="647" t="s">
        <v>58</v>
      </c>
      <c r="G1266" s="647" t="s">
        <v>24</v>
      </c>
      <c r="H1266" s="647" t="s">
        <v>26</v>
      </c>
      <c r="I1266" s="575" t="s">
        <v>2464</v>
      </c>
      <c r="J1266" s="575">
        <v>1</v>
      </c>
      <c r="K1266" s="647"/>
      <c r="L1266" s="657">
        <v>44774</v>
      </c>
      <c r="M1266" s="665" t="s">
        <v>906</v>
      </c>
      <c r="N1266" s="647" t="s">
        <v>221</v>
      </c>
      <c r="O1266" s="575">
        <v>2022.7</v>
      </c>
      <c r="P1266" s="665" t="str">
        <f>VLOOKUP(A1266,'[1]Raw data'!$B:$BA,23,FALSE)</f>
        <v>JPY</v>
      </c>
      <c r="Q1266" s="647" t="str">
        <f>VLOOKUP(A1266,'[1]Raw data'!$B:$Z,2,FALSE)</f>
        <v>C49SZX20220033JL</v>
      </c>
      <c r="R1266" s="647" t="str">
        <f>VLOOKUP(A1266,'[1]Raw data'!$B:$Z,3,FALSE)</f>
        <v>拓普艾</v>
      </c>
      <c r="S1266" s="647" t="str">
        <f>VLOOKUP(A1266,'[1]Raw data'!$B:$Z,4,FALSE)</f>
        <v>YSM20R-2</v>
      </c>
      <c r="T1266" s="647" t="str">
        <f>VLOOKUP(A1266,'[1]Raw data'!$B:$Z,8,FALSE)</f>
        <v>L-&gt;R</v>
      </c>
      <c r="U1266" s="647" t="str">
        <f>VLOOKUP(A1266,'[1]Raw data'!$B:$Z,9,FALSE)</f>
        <v>No</v>
      </c>
      <c r="V1266" s="567" t="str">
        <f t="shared" si="281"/>
        <v>OK</v>
      </c>
      <c r="W1266" s="563" t="str">
        <f>VLOOKUP(A1266,'[1]Raw data'!$B:$AG,32,FALSE)</f>
        <v>CIF HK</v>
      </c>
      <c r="X1266" s="647">
        <f>VLOOKUP(A1266,'[1]Raw data'!$B:$BA,31,FALSE)</f>
        <v>44630</v>
      </c>
      <c r="Y1266" s="647" t="str">
        <f>VLOOKUP(A1266,'[1]Raw data'!$B:$AS,39,FALSE)</f>
        <v>Yes</v>
      </c>
      <c r="Z1266" s="659"/>
      <c r="AA1266" s="660"/>
      <c r="AB1266" s="661"/>
      <c r="AC1266" s="647" t="s">
        <v>2288</v>
      </c>
      <c r="AD1266" s="575">
        <v>302</v>
      </c>
      <c r="AE1266" s="575">
        <v>20</v>
      </c>
      <c r="AF1266" s="575"/>
      <c r="AG1266" s="575"/>
      <c r="AH1266" s="575"/>
      <c r="AI1266" s="679"/>
      <c r="AJ1266" s="564"/>
      <c r="AK1266" s="564"/>
      <c r="AL1266" s="564"/>
      <c r="AM1266" s="564"/>
      <c r="AN1266" s="614"/>
      <c r="AO1266" s="824" t="str">
        <f t="shared" si="267"/>
        <v>Yes</v>
      </c>
      <c r="AP1266" s="259" t="str">
        <f t="shared" si="268"/>
        <v>AUG 22</v>
      </c>
      <c r="AQ1266" s="542" t="str">
        <f t="shared" si="269"/>
        <v>有定金+有預留客戶</v>
      </c>
      <c r="AR1266" s="259" t="str">
        <f t="shared" si="270"/>
        <v>Shipped_Stock</v>
      </c>
      <c r="AS1266" s="259" t="str">
        <f t="shared" si="271"/>
        <v/>
      </c>
      <c r="AT1266" s="259" t="str">
        <f t="shared" si="272"/>
        <v>拓普艾</v>
      </c>
      <c r="AU1266" s="259" t="str">
        <f t="shared" si="273"/>
        <v>C49SZX20220033JL</v>
      </c>
      <c r="AV1266" s="259" t="str">
        <f t="shared" si="274"/>
        <v>Aug-01</v>
      </c>
    </row>
    <row r="1267" spans="1:48" hidden="1">
      <c r="A1267" s="599">
        <v>1612</v>
      </c>
      <c r="B1267" s="664" t="s">
        <v>1125</v>
      </c>
      <c r="C1267" s="664" t="s">
        <v>281</v>
      </c>
      <c r="D1267" s="755">
        <v>110959</v>
      </c>
      <c r="E1267" s="756" t="s">
        <v>2272</v>
      </c>
      <c r="F1267" s="647" t="s">
        <v>58</v>
      </c>
      <c r="G1267" s="647" t="s">
        <v>24</v>
      </c>
      <c r="H1267" s="647" t="s">
        <v>26</v>
      </c>
      <c r="I1267" s="575" t="s">
        <v>2465</v>
      </c>
      <c r="J1267" s="575">
        <v>1</v>
      </c>
      <c r="K1267" s="647"/>
      <c r="L1267" s="657">
        <v>44774</v>
      </c>
      <c r="M1267" s="665" t="s">
        <v>906</v>
      </c>
      <c r="N1267" s="647" t="s">
        <v>221</v>
      </c>
      <c r="O1267" s="575">
        <v>2022.7</v>
      </c>
      <c r="P1267" s="665" t="str">
        <f>VLOOKUP(A1267,'[1]Raw data'!$B:$BA,23,FALSE)</f>
        <v>JPY</v>
      </c>
      <c r="Q1267" s="647" t="str">
        <f>VLOOKUP(A1267,'[1]Raw data'!$B:$Z,2,FALSE)</f>
        <v>C49SZX20220033JL</v>
      </c>
      <c r="R1267" s="647" t="str">
        <f>VLOOKUP(A1267,'[1]Raw data'!$B:$Z,3,FALSE)</f>
        <v>拓普艾</v>
      </c>
      <c r="S1267" s="647" t="str">
        <f>VLOOKUP(A1267,'[1]Raw data'!$B:$Z,4,FALSE)</f>
        <v>YSM20R-2</v>
      </c>
      <c r="T1267" s="647" t="str">
        <f>VLOOKUP(A1267,'[1]Raw data'!$B:$Z,8,FALSE)</f>
        <v>L-&gt;R</v>
      </c>
      <c r="U1267" s="647" t="str">
        <f>VLOOKUP(A1267,'[1]Raw data'!$B:$Z,9,FALSE)</f>
        <v>No</v>
      </c>
      <c r="V1267" s="567" t="str">
        <f t="shared" si="281"/>
        <v>OK</v>
      </c>
      <c r="W1267" s="563" t="str">
        <f>VLOOKUP(A1267,'[1]Raw data'!$B:$AG,32,FALSE)</f>
        <v>CIF HK</v>
      </c>
      <c r="X1267" s="647">
        <f>VLOOKUP(A1267,'[1]Raw data'!$B:$BA,31,FALSE)</f>
        <v>44630</v>
      </c>
      <c r="Y1267" s="647" t="str">
        <f>VLOOKUP(A1267,'[1]Raw data'!$B:$AS,39,FALSE)</f>
        <v>Yes</v>
      </c>
      <c r="Z1267" s="659"/>
      <c r="AA1267" s="660"/>
      <c r="AB1267" s="661"/>
      <c r="AC1267" s="647" t="s">
        <v>2288</v>
      </c>
      <c r="AD1267" s="575">
        <v>301</v>
      </c>
      <c r="AE1267" s="575">
        <v>20</v>
      </c>
      <c r="AF1267" s="575"/>
      <c r="AG1267" s="575"/>
      <c r="AH1267" s="575"/>
      <c r="AI1267" s="679"/>
      <c r="AJ1267" s="564"/>
      <c r="AK1267" s="564"/>
      <c r="AL1267" s="564"/>
      <c r="AM1267" s="564"/>
      <c r="AN1267" s="614"/>
      <c r="AO1267" s="824" t="str">
        <f t="shared" si="267"/>
        <v>Yes</v>
      </c>
      <c r="AP1267" s="259" t="str">
        <f t="shared" si="268"/>
        <v>AUG 22</v>
      </c>
      <c r="AQ1267" s="542" t="str">
        <f t="shared" si="269"/>
        <v>有定金+有預留客戶</v>
      </c>
      <c r="AR1267" s="259" t="str">
        <f t="shared" si="270"/>
        <v>Shipped_Stock</v>
      </c>
      <c r="AS1267" s="259" t="str">
        <f t="shared" si="271"/>
        <v/>
      </c>
      <c r="AT1267" s="259" t="str">
        <f t="shared" si="272"/>
        <v>拓普艾</v>
      </c>
      <c r="AU1267" s="259" t="str">
        <f t="shared" si="273"/>
        <v>C49SZX20220033JL</v>
      </c>
      <c r="AV1267" s="259" t="str">
        <f t="shared" si="274"/>
        <v>Aug-01</v>
      </c>
    </row>
    <row r="1268" spans="1:48" ht="13.5" hidden="1" thickBot="1">
      <c r="A1268" s="599">
        <v>1613</v>
      </c>
      <c r="B1268" s="664" t="s">
        <v>1125</v>
      </c>
      <c r="C1268" s="664" t="s">
        <v>281</v>
      </c>
      <c r="D1268" s="624">
        <v>110959</v>
      </c>
      <c r="E1268" s="756" t="s">
        <v>2272</v>
      </c>
      <c r="F1268" s="647" t="s">
        <v>58</v>
      </c>
      <c r="G1268" s="647" t="s">
        <v>24</v>
      </c>
      <c r="H1268" s="647" t="s">
        <v>26</v>
      </c>
      <c r="I1268" s="575" t="s">
        <v>2466</v>
      </c>
      <c r="J1268" s="575">
        <v>1</v>
      </c>
      <c r="K1268" s="647"/>
      <c r="L1268" s="657">
        <v>44774</v>
      </c>
      <c r="M1268" s="665" t="s">
        <v>906</v>
      </c>
      <c r="N1268" s="647" t="s">
        <v>221</v>
      </c>
      <c r="O1268" s="575">
        <v>2022.7</v>
      </c>
      <c r="P1268" s="665" t="str">
        <f>VLOOKUP(A1268,'[1]Raw data'!$B:$BA,23,FALSE)</f>
        <v>JPY</v>
      </c>
      <c r="Q1268" s="647" t="str">
        <f>VLOOKUP(A1268,'[1]Raw data'!$B:$Z,2,FALSE)</f>
        <v>C49SZX20220033JL</v>
      </c>
      <c r="R1268" s="647" t="str">
        <f>VLOOKUP(A1268,'[1]Raw data'!$B:$Z,3,FALSE)</f>
        <v>拓普艾</v>
      </c>
      <c r="S1268" s="647" t="str">
        <f>VLOOKUP(A1268,'[1]Raw data'!$B:$Z,4,FALSE)</f>
        <v>YSM20R-2</v>
      </c>
      <c r="T1268" s="647" t="str">
        <f>VLOOKUP(A1268,'[1]Raw data'!$B:$Z,8,FALSE)</f>
        <v>L-&gt;R</v>
      </c>
      <c r="U1268" s="647" t="str">
        <f>VLOOKUP(A1268,'[1]Raw data'!$B:$Z,9,FALSE)</f>
        <v>No</v>
      </c>
      <c r="V1268" s="567" t="str">
        <f t="shared" si="281"/>
        <v>OK</v>
      </c>
      <c r="W1268" s="563" t="str">
        <f>VLOOKUP(A1268,'[1]Raw data'!$B:$AG,32,FALSE)</f>
        <v>CIF HK</v>
      </c>
      <c r="X1268" s="647">
        <f>VLOOKUP(A1268,'[1]Raw data'!$B:$BA,31,FALSE)</f>
        <v>44630</v>
      </c>
      <c r="Y1268" s="647" t="str">
        <f>VLOOKUP(A1268,'[1]Raw data'!$B:$AS,39,FALSE)</f>
        <v>Yes</v>
      </c>
      <c r="Z1268" s="659"/>
      <c r="AA1268" s="660"/>
      <c r="AB1268" s="661"/>
      <c r="AC1268" s="647" t="s">
        <v>2288</v>
      </c>
      <c r="AD1268" s="575">
        <v>301</v>
      </c>
      <c r="AE1268" s="575">
        <v>10</v>
      </c>
      <c r="AF1268" s="575">
        <v>312</v>
      </c>
      <c r="AG1268" s="575">
        <v>10</v>
      </c>
      <c r="AH1268" s="575"/>
      <c r="AI1268" s="679"/>
      <c r="AJ1268" s="564"/>
      <c r="AK1268" s="564"/>
      <c r="AL1268" s="564"/>
      <c r="AM1268" s="564"/>
      <c r="AN1268" s="614"/>
      <c r="AO1268" s="824" t="str">
        <f t="shared" si="267"/>
        <v>Yes</v>
      </c>
      <c r="AP1268" s="259" t="str">
        <f t="shared" si="268"/>
        <v>AUG 22</v>
      </c>
      <c r="AQ1268" s="542" t="str">
        <f t="shared" si="269"/>
        <v>有定金+有預留客戶</v>
      </c>
      <c r="AR1268" s="259" t="str">
        <f t="shared" si="270"/>
        <v>Shipped_Stock</v>
      </c>
      <c r="AS1268" s="259" t="str">
        <f t="shared" si="271"/>
        <v/>
      </c>
      <c r="AT1268" s="259" t="str">
        <f t="shared" si="272"/>
        <v>拓普艾</v>
      </c>
      <c r="AU1268" s="259" t="str">
        <f t="shared" si="273"/>
        <v>C49SZX20220033JL</v>
      </c>
      <c r="AV1268" s="259" t="str">
        <f t="shared" si="274"/>
        <v>Aug-01</v>
      </c>
    </row>
    <row r="1269" spans="1:48" hidden="1">
      <c r="A1269" s="559">
        <v>1701</v>
      </c>
      <c r="B1269" s="664" t="s">
        <v>1125</v>
      </c>
      <c r="C1269" s="664" t="s">
        <v>281</v>
      </c>
      <c r="D1269" s="761">
        <v>110959</v>
      </c>
      <c r="E1269" s="756" t="s">
        <v>2272</v>
      </c>
      <c r="F1269" s="647" t="s">
        <v>58</v>
      </c>
      <c r="G1269" s="647" t="s">
        <v>24</v>
      </c>
      <c r="H1269" s="647" t="s">
        <v>26</v>
      </c>
      <c r="I1269" s="575" t="s">
        <v>2467</v>
      </c>
      <c r="J1269" s="575">
        <v>1</v>
      </c>
      <c r="K1269" s="647" t="s">
        <v>78</v>
      </c>
      <c r="L1269" s="657">
        <v>44774</v>
      </c>
      <c r="M1269" s="665" t="s">
        <v>906</v>
      </c>
      <c r="N1269" s="647" t="s">
        <v>221</v>
      </c>
      <c r="O1269" s="575">
        <v>2022.7</v>
      </c>
      <c r="P1269" s="665" t="str">
        <f>VLOOKUP(A1269,'[1]Raw data'!$B:$BA,23,FALSE)</f>
        <v>JPY</v>
      </c>
      <c r="Q1269" s="647" t="str">
        <f>VLOOKUP(A1269,'[1]Raw data'!$B:$Z,2,FALSE)</f>
        <v>C49SZX20220073DZ</v>
      </c>
      <c r="R1269" s="647" t="str">
        <f>VLOOKUP(A1269,'[1]Raw data'!$B:$Z,3,FALSE)</f>
        <v>朗特</v>
      </c>
      <c r="S1269" s="647" t="str">
        <f>VLOOKUP(A1269,'[1]Raw data'!$B:$Z,4,FALSE)</f>
        <v>YSM20R-2</v>
      </c>
      <c r="T1269" s="647" t="str">
        <f>VLOOKUP(A1269,'[1]Raw data'!$B:$Z,8,FALSE)</f>
        <v>L-&gt;R</v>
      </c>
      <c r="U1269" s="647" t="str">
        <f>VLOOKUP(A1269,'[1]Raw data'!$B:$Z,9,FALSE)</f>
        <v>No</v>
      </c>
      <c r="V1269" s="567" t="str">
        <f t="shared" si="281"/>
        <v>OK</v>
      </c>
      <c r="W1269" s="563" t="str">
        <f>VLOOKUP(A1269,'[1]Raw data'!$B:$AG,32,FALSE)</f>
        <v>CIF HK</v>
      </c>
      <c r="X1269" s="647">
        <f>VLOOKUP(A1269,'[1]Raw data'!$B:$BA,31,FALSE)</f>
        <v>44754</v>
      </c>
      <c r="Y1269" s="647" t="str">
        <f>VLOOKUP(A1269,'[1]Raw data'!$B:$AS,39,FALSE)</f>
        <v>Yes</v>
      </c>
      <c r="Z1269" s="659"/>
      <c r="AA1269" s="660"/>
      <c r="AB1269" s="661"/>
      <c r="AC1269" s="647" t="s">
        <v>2336</v>
      </c>
      <c r="AD1269" s="662">
        <v>301</v>
      </c>
      <c r="AE1269" s="662">
        <v>10</v>
      </c>
      <c r="AF1269" s="662">
        <v>313</v>
      </c>
      <c r="AG1269" s="662">
        <v>10</v>
      </c>
      <c r="AH1269" s="662"/>
      <c r="AI1269" s="663"/>
      <c r="AN1269" s="542"/>
      <c r="AO1269" s="824" t="str">
        <f t="shared" si="267"/>
        <v>Yes</v>
      </c>
      <c r="AP1269" s="259" t="str">
        <f t="shared" si="268"/>
        <v>AUG 22</v>
      </c>
      <c r="AQ1269" s="542" t="str">
        <f t="shared" si="269"/>
        <v>有定金+有預留客戶</v>
      </c>
      <c r="AR1269" s="259" t="str">
        <f t="shared" si="270"/>
        <v>Shipped_Stock</v>
      </c>
      <c r="AS1269" s="259" t="str">
        <f t="shared" si="271"/>
        <v/>
      </c>
      <c r="AT1269" s="259" t="str">
        <f t="shared" si="272"/>
        <v>朗特</v>
      </c>
      <c r="AU1269" s="259" t="str">
        <f t="shared" si="273"/>
        <v>C49SZX20220073DZ</v>
      </c>
      <c r="AV1269" s="259" t="str">
        <f t="shared" si="274"/>
        <v>Aug-01</v>
      </c>
    </row>
    <row r="1270" spans="1:48" hidden="1">
      <c r="A1270" s="559">
        <v>1702</v>
      </c>
      <c r="B1270" s="664" t="s">
        <v>1125</v>
      </c>
      <c r="C1270" s="664" t="s">
        <v>281</v>
      </c>
      <c r="D1270" s="755">
        <v>110959</v>
      </c>
      <c r="E1270" s="756" t="s">
        <v>2272</v>
      </c>
      <c r="F1270" s="647" t="s">
        <v>58</v>
      </c>
      <c r="G1270" s="647" t="s">
        <v>24</v>
      </c>
      <c r="H1270" s="647" t="s">
        <v>26</v>
      </c>
      <c r="I1270" s="575" t="s">
        <v>2468</v>
      </c>
      <c r="J1270" s="575">
        <v>1</v>
      </c>
      <c r="K1270" s="647" t="s">
        <v>78</v>
      </c>
      <c r="L1270" s="657">
        <v>44774</v>
      </c>
      <c r="M1270" s="665" t="s">
        <v>906</v>
      </c>
      <c r="N1270" s="647" t="s">
        <v>221</v>
      </c>
      <c r="O1270" s="575">
        <v>2022.7</v>
      </c>
      <c r="P1270" s="665" t="str">
        <f>VLOOKUP(A1270,'[1]Raw data'!$B:$BA,23,FALSE)</f>
        <v>JPY</v>
      </c>
      <c r="Q1270" s="647" t="str">
        <f>VLOOKUP(A1270,'[1]Raw data'!$B:$Z,2,FALSE)</f>
        <v>C49SZX20220073DZ</v>
      </c>
      <c r="R1270" s="647" t="str">
        <f>VLOOKUP(A1270,'[1]Raw data'!$B:$Z,3,FALSE)</f>
        <v>朗特</v>
      </c>
      <c r="S1270" s="647" t="str">
        <f>VLOOKUP(A1270,'[1]Raw data'!$B:$Z,4,FALSE)</f>
        <v>YSM20R-2</v>
      </c>
      <c r="T1270" s="647" t="str">
        <f>VLOOKUP(A1270,'[1]Raw data'!$B:$Z,8,FALSE)</f>
        <v>L-&gt;R</v>
      </c>
      <c r="U1270" s="647" t="str">
        <f>VLOOKUP(A1270,'[1]Raw data'!$B:$Z,9,FALSE)</f>
        <v>No</v>
      </c>
      <c r="V1270" s="567" t="str">
        <f t="shared" si="281"/>
        <v>OK</v>
      </c>
      <c r="W1270" s="563" t="str">
        <f>VLOOKUP(A1270,'[1]Raw data'!$B:$AG,32,FALSE)</f>
        <v>CIF HK</v>
      </c>
      <c r="X1270" s="647">
        <f>VLOOKUP(A1270,'[1]Raw data'!$B:$BA,31,FALSE)</f>
        <v>44754</v>
      </c>
      <c r="Y1270" s="647" t="str">
        <f>VLOOKUP(A1270,'[1]Raw data'!$B:$AS,39,FALSE)</f>
        <v>Yes</v>
      </c>
      <c r="Z1270" s="659"/>
      <c r="AA1270" s="660"/>
      <c r="AB1270" s="661"/>
      <c r="AC1270" s="647" t="s">
        <v>2336</v>
      </c>
      <c r="AD1270" s="662">
        <v>301</v>
      </c>
      <c r="AE1270" s="662">
        <v>10</v>
      </c>
      <c r="AF1270" s="662">
        <v>312</v>
      </c>
      <c r="AG1270" s="662">
        <v>10</v>
      </c>
      <c r="AH1270" s="662"/>
      <c r="AI1270" s="663"/>
      <c r="AN1270" s="542"/>
      <c r="AO1270" s="824" t="str">
        <f t="shared" si="267"/>
        <v>Yes</v>
      </c>
      <c r="AP1270" s="259" t="str">
        <f t="shared" si="268"/>
        <v>AUG 22</v>
      </c>
      <c r="AQ1270" s="542" t="str">
        <f t="shared" si="269"/>
        <v>有定金+有預留客戶</v>
      </c>
      <c r="AR1270" s="259" t="str">
        <f t="shared" si="270"/>
        <v>Shipped_Stock</v>
      </c>
      <c r="AS1270" s="259" t="str">
        <f t="shared" si="271"/>
        <v/>
      </c>
      <c r="AT1270" s="259" t="str">
        <f t="shared" si="272"/>
        <v>朗特</v>
      </c>
      <c r="AU1270" s="259" t="str">
        <f t="shared" si="273"/>
        <v>C49SZX20220073DZ</v>
      </c>
      <c r="AV1270" s="259" t="str">
        <f t="shared" si="274"/>
        <v>Aug-01</v>
      </c>
    </row>
    <row r="1271" spans="1:48" hidden="1">
      <c r="A1271" s="559">
        <v>1703</v>
      </c>
      <c r="B1271" s="664" t="s">
        <v>1125</v>
      </c>
      <c r="C1271" s="664" t="s">
        <v>281</v>
      </c>
      <c r="D1271" s="755" t="s">
        <v>2469</v>
      </c>
      <c r="E1271" s="756" t="s">
        <v>2272</v>
      </c>
      <c r="F1271" s="647" t="s">
        <v>58</v>
      </c>
      <c r="G1271" s="647" t="s">
        <v>24</v>
      </c>
      <c r="H1271" s="647" t="s">
        <v>26</v>
      </c>
      <c r="I1271" s="575" t="s">
        <v>2470</v>
      </c>
      <c r="J1271" s="575">
        <v>1</v>
      </c>
      <c r="K1271" s="647" t="s">
        <v>78</v>
      </c>
      <c r="L1271" s="657">
        <v>44774</v>
      </c>
      <c r="M1271" s="665">
        <v>4.9200000000000001E-2</v>
      </c>
      <c r="N1271" s="647" t="s">
        <v>221</v>
      </c>
      <c r="O1271" s="575">
        <v>2022.7</v>
      </c>
      <c r="P1271" s="665" t="str">
        <f>VLOOKUP(A1271,'[1]Raw data'!$B:$BA,23,FALSE)</f>
        <v>JPY</v>
      </c>
      <c r="Q1271" s="647" t="str">
        <f>VLOOKUP(A1271,'[1]Raw data'!$B:$Z,2,FALSE)</f>
        <v>C49SZX20220073DZ</v>
      </c>
      <c r="R1271" s="647" t="str">
        <f>VLOOKUP(A1271,'[1]Raw data'!$B:$Z,3,FALSE)</f>
        <v>朗特</v>
      </c>
      <c r="S1271" s="647" t="str">
        <f>VLOOKUP(A1271,'[1]Raw data'!$B:$Z,4,FALSE)</f>
        <v>YSM20R-2</v>
      </c>
      <c r="T1271" s="647" t="str">
        <f>VLOOKUP(A1271,'[1]Raw data'!$B:$Z,8,FALSE)</f>
        <v>L-&gt;R</v>
      </c>
      <c r="U1271" s="647" t="str">
        <f>VLOOKUP(A1271,'[1]Raw data'!$B:$Z,9,FALSE)</f>
        <v>No</v>
      </c>
      <c r="V1271" s="567" t="str">
        <f t="shared" si="281"/>
        <v>OK</v>
      </c>
      <c r="W1271" s="563" t="str">
        <f>VLOOKUP(A1271,'[1]Raw data'!$B:$AG,32,FALSE)</f>
        <v>CIF HK</v>
      </c>
      <c r="X1271" s="647">
        <f>VLOOKUP(A1271,'[1]Raw data'!$B:$BA,31,FALSE)</f>
        <v>44754</v>
      </c>
      <c r="Y1271" s="647" t="str">
        <f>VLOOKUP(A1271,'[1]Raw data'!$B:$AS,39,FALSE)</f>
        <v>Yes</v>
      </c>
      <c r="Z1271" s="659"/>
      <c r="AA1271" s="660"/>
      <c r="AB1271" s="661"/>
      <c r="AC1271" s="647" t="s">
        <v>933</v>
      </c>
      <c r="AD1271" s="662">
        <v>301</v>
      </c>
      <c r="AE1271" s="662">
        <v>10</v>
      </c>
      <c r="AF1271" s="662">
        <v>306</v>
      </c>
      <c r="AG1271" s="662">
        <v>10</v>
      </c>
      <c r="AH1271" s="662"/>
      <c r="AI1271" s="663"/>
      <c r="AN1271" s="542"/>
      <c r="AO1271" s="824" t="str">
        <f t="shared" si="267"/>
        <v>Yes</v>
      </c>
      <c r="AP1271" s="259" t="str">
        <f t="shared" si="268"/>
        <v>AUG 22</v>
      </c>
      <c r="AQ1271" s="542" t="str">
        <f t="shared" si="269"/>
        <v>有定金+有預留客戶</v>
      </c>
      <c r="AR1271" s="259" t="str">
        <f t="shared" si="270"/>
        <v>Shipped_Stock</v>
      </c>
      <c r="AS1271" s="259" t="str">
        <f t="shared" si="271"/>
        <v/>
      </c>
      <c r="AT1271" s="259" t="str">
        <f t="shared" si="272"/>
        <v>朗特</v>
      </c>
      <c r="AU1271" s="259" t="str">
        <f t="shared" si="273"/>
        <v>C49SZX20220073DZ</v>
      </c>
      <c r="AV1271" s="259" t="str">
        <f t="shared" si="274"/>
        <v>Aug-01</v>
      </c>
    </row>
    <row r="1272" spans="1:48" ht="13.5" hidden="1" thickBot="1">
      <c r="A1272" s="559">
        <v>1706</v>
      </c>
      <c r="B1272" s="664" t="s">
        <v>1125</v>
      </c>
      <c r="C1272" s="664" t="s">
        <v>281</v>
      </c>
      <c r="D1272" s="624">
        <v>110963</v>
      </c>
      <c r="E1272" s="744" t="s">
        <v>2345</v>
      </c>
      <c r="F1272" s="647" t="s">
        <v>17</v>
      </c>
      <c r="G1272" s="647" t="s">
        <v>18</v>
      </c>
      <c r="H1272" s="647" t="s">
        <v>27</v>
      </c>
      <c r="I1272" s="575" t="s">
        <v>2471</v>
      </c>
      <c r="J1272" s="575">
        <v>1</v>
      </c>
      <c r="K1272" s="647" t="s">
        <v>78</v>
      </c>
      <c r="L1272" s="657">
        <v>44774</v>
      </c>
      <c r="M1272" s="665" t="s">
        <v>906</v>
      </c>
      <c r="N1272" s="647" t="s">
        <v>221</v>
      </c>
      <c r="O1272" s="575">
        <v>2022.7</v>
      </c>
      <c r="P1272" s="665" t="str">
        <f>VLOOKUP(A1272,'[1]Raw data'!$B:$BA,23,FALSE)</f>
        <v>JPY</v>
      </c>
      <c r="Q1272" s="647" t="str">
        <f>VLOOKUP(A1272,'[1]Raw data'!$B:$Z,2,FALSE)</f>
        <v>C49SZX20220073DZ</v>
      </c>
      <c r="R1272" s="647" t="str">
        <f>VLOOKUP(A1272,'[1]Raw data'!$B:$Z,3,FALSE)</f>
        <v>朗特</v>
      </c>
      <c r="S1272" s="647" t="str">
        <f>VLOOKUP(A1272,'[1]Raw data'!$B:$Z,4,FALSE)</f>
        <v>YSM10</v>
      </c>
      <c r="T1272" s="647" t="str">
        <f>VLOOKUP(A1272,'[1]Raw data'!$B:$Z,8,FALSE)</f>
        <v>L-&gt;R</v>
      </c>
      <c r="U1272" s="647" t="str">
        <f>VLOOKUP(A1272,'[1]Raw data'!$B:$Z,9,FALSE)</f>
        <v>MVC</v>
      </c>
      <c r="V1272" s="567" t="str">
        <f t="shared" si="280"/>
        <v>WRONG</v>
      </c>
      <c r="W1272" s="563" t="str">
        <f>VLOOKUP(A1272,'[1]Raw data'!$B:$AG,32,FALSE)</f>
        <v>CIF HK</v>
      </c>
      <c r="X1272" s="647">
        <f>VLOOKUP(A1272,'[1]Raw data'!$B:$BA,31,FALSE)</f>
        <v>44754</v>
      </c>
      <c r="Y1272" s="647" t="str">
        <f>VLOOKUP(A1272,'[1]Raw data'!$B:$AS,39,FALSE)</f>
        <v>Yes</v>
      </c>
      <c r="Z1272" s="659"/>
      <c r="AA1272" s="660"/>
      <c r="AB1272" s="661"/>
      <c r="AC1272" s="647" t="s">
        <v>933</v>
      </c>
      <c r="AD1272" s="662">
        <v>303</v>
      </c>
      <c r="AE1272" s="662">
        <v>10</v>
      </c>
      <c r="AF1272" s="662"/>
      <c r="AG1272" s="662"/>
      <c r="AH1272" s="662"/>
      <c r="AI1272" s="663"/>
      <c r="AN1272" s="542"/>
      <c r="AO1272" s="824" t="str">
        <f t="shared" si="267"/>
        <v>Yes</v>
      </c>
      <c r="AP1272" s="259" t="str">
        <f t="shared" si="268"/>
        <v>AUG 22</v>
      </c>
      <c r="AQ1272" s="542" t="str">
        <f t="shared" si="269"/>
        <v>有定金+有預留客戶</v>
      </c>
      <c r="AR1272" s="259" t="str">
        <f t="shared" si="270"/>
        <v>Shipped_Stock</v>
      </c>
      <c r="AS1272" s="259" t="str">
        <f t="shared" si="271"/>
        <v/>
      </c>
      <c r="AT1272" s="259" t="str">
        <f t="shared" si="272"/>
        <v>朗特</v>
      </c>
      <c r="AU1272" s="259" t="str">
        <f t="shared" si="273"/>
        <v>C49SZX20220073DZ</v>
      </c>
      <c r="AV1272" s="259" t="str">
        <f t="shared" si="274"/>
        <v>Aug-01</v>
      </c>
    </row>
    <row r="1273" spans="1:48" ht="22.5" hidden="1">
      <c r="A1273" s="559">
        <v>1791</v>
      </c>
      <c r="B1273" s="664" t="s">
        <v>1125</v>
      </c>
      <c r="C1273" s="664" t="s">
        <v>281</v>
      </c>
      <c r="D1273" s="623" t="s">
        <v>2472</v>
      </c>
      <c r="E1273" s="756" t="s">
        <v>2473</v>
      </c>
      <c r="F1273" s="647" t="s">
        <v>17</v>
      </c>
      <c r="G1273" s="647" t="s">
        <v>18</v>
      </c>
      <c r="H1273" s="647" t="s">
        <v>34</v>
      </c>
      <c r="I1273" s="575" t="s">
        <v>2474</v>
      </c>
      <c r="J1273" s="575">
        <v>1</v>
      </c>
      <c r="K1273" s="781" t="s">
        <v>2239</v>
      </c>
      <c r="L1273" s="657">
        <v>44781</v>
      </c>
      <c r="M1273" s="665" t="s">
        <v>2475</v>
      </c>
      <c r="N1273" s="647" t="s">
        <v>215</v>
      </c>
      <c r="O1273" s="575">
        <v>2022.7</v>
      </c>
      <c r="P1273" s="665" t="str">
        <f>VLOOKUP(A1273,'[1]Raw data'!$B:$BA,23,FALSE)</f>
        <v>RMB</v>
      </c>
      <c r="Q1273" s="647" t="str">
        <f>VLOOKUP(A1273,'[1]Raw data'!$B:$Z,2,FALSE)</f>
        <v>C49SZX20220141SS</v>
      </c>
      <c r="R1273" s="647" t="str">
        <f>VLOOKUP(A1273,'[1]Raw data'!$B:$Z,3,FALSE)</f>
        <v>乐凡</v>
      </c>
      <c r="S1273" s="647" t="str">
        <f>VLOOKUP(A1273,'[1]Raw data'!$B:$Z,4,FALSE)</f>
        <v>YSM10</v>
      </c>
      <c r="T1273" s="647" t="str">
        <f>VLOOKUP(A1273,'[1]Raw data'!$B:$Z,8,FALSE)</f>
        <v>R-&gt;L</v>
      </c>
      <c r="U1273" s="647" t="str">
        <f>VLOOKUP(A1273,'[1]Raw data'!$B:$Z,9,FALSE)</f>
        <v>MVC+ATS15</v>
      </c>
      <c r="V1273" s="567" t="str">
        <f>IF(G1273&amp;H1273=T1273&amp;U1273,"OK","WRONG")</f>
        <v>OK</v>
      </c>
      <c r="W1273" s="563" t="str">
        <f>VLOOKUP(A1273,'[1]Raw data'!$B:$AG,32,FALSE)</f>
        <v>DDP SZ</v>
      </c>
      <c r="X1273" s="647">
        <f>VLOOKUP(A1273,'[1]Raw data'!$B:$BA,31,FALSE)</f>
        <v>44916</v>
      </c>
      <c r="Y1273" s="647" t="str">
        <f>VLOOKUP(A1273,'[1]Raw data'!$B:$AS,39,FALSE)</f>
        <v>Yes</v>
      </c>
      <c r="Z1273" s="666"/>
      <c r="AA1273" s="660"/>
      <c r="AB1273" s="661"/>
      <c r="AC1273" s="647" t="s">
        <v>2476</v>
      </c>
      <c r="AD1273" s="662">
        <v>301</v>
      </c>
      <c r="AE1273" s="662">
        <v>5</v>
      </c>
      <c r="AF1273" s="662">
        <v>302</v>
      </c>
      <c r="AG1273" s="662">
        <v>5</v>
      </c>
      <c r="AH1273" s="662"/>
      <c r="AI1273" s="663"/>
      <c r="AN1273" s="542"/>
      <c r="AO1273" s="824" t="str">
        <f t="shared" si="267"/>
        <v>Yes</v>
      </c>
      <c r="AP1273" s="259" t="str">
        <f t="shared" si="268"/>
        <v>JAN 23</v>
      </c>
      <c r="AQ1273" s="542" t="str">
        <f t="shared" si="269"/>
        <v>有定金+有預留客戶</v>
      </c>
      <c r="AR1273" s="259" t="str">
        <f t="shared" si="270"/>
        <v>Shipped_Stock</v>
      </c>
      <c r="AS1273" s="259" t="str">
        <f t="shared" si="271"/>
        <v/>
      </c>
      <c r="AT1273" s="259" t="str">
        <f t="shared" si="272"/>
        <v>乐凡</v>
      </c>
      <c r="AU1273" s="259" t="str">
        <f t="shared" si="273"/>
        <v>C49SZX20220141SS</v>
      </c>
      <c r="AV1273" s="259" t="str">
        <f t="shared" si="274"/>
        <v>Aug-08</v>
      </c>
    </row>
    <row r="1274" spans="1:48" ht="22.5" hidden="1">
      <c r="A1274" s="559">
        <v>1866</v>
      </c>
      <c r="B1274" s="664" t="s">
        <v>1125</v>
      </c>
      <c r="C1274" s="664" t="s">
        <v>281</v>
      </c>
      <c r="D1274" s="625" t="s">
        <v>2472</v>
      </c>
      <c r="E1274" s="646" t="s">
        <v>2473</v>
      </c>
      <c r="F1274" s="647" t="s">
        <v>17</v>
      </c>
      <c r="G1274" s="647" t="s">
        <v>18</v>
      </c>
      <c r="H1274" s="647" t="s">
        <v>34</v>
      </c>
      <c r="I1274" s="575" t="s">
        <v>2477</v>
      </c>
      <c r="J1274" s="575">
        <v>1</v>
      </c>
      <c r="K1274" s="781" t="s">
        <v>2239</v>
      </c>
      <c r="L1274" s="657">
        <v>44781</v>
      </c>
      <c r="M1274" s="665" t="s">
        <v>2475</v>
      </c>
      <c r="N1274" s="647" t="s">
        <v>216</v>
      </c>
      <c r="O1274" s="575">
        <v>2022.7</v>
      </c>
      <c r="P1274" s="665" t="str">
        <f>VLOOKUP(A1274,'[1]Raw data'!$B:$BA,23,FALSE)</f>
        <v>RMB</v>
      </c>
      <c r="Q1274" s="647" t="str">
        <f>VLOOKUP(A1274,'[1]Raw data'!$B:$Z,2,FALSE)</f>
        <v>C49SZX20230035SX</v>
      </c>
      <c r="R1274" s="647" t="str">
        <f>VLOOKUP(A1274,'[1]Raw data'!$B:$Z,3,FALSE)</f>
        <v>博祯</v>
      </c>
      <c r="S1274" s="647" t="str">
        <f>VLOOKUP(A1274,'[1]Raw data'!$B:$Z,4,FALSE)</f>
        <v>YSM10</v>
      </c>
      <c r="T1274" s="647" t="str">
        <f>VLOOKUP(A1274,'[1]Raw data'!$B:$Z,8,FALSE)</f>
        <v>R-&gt;L</v>
      </c>
      <c r="U1274" s="647" t="str">
        <f>VLOOKUP(A1274,'[1]Raw data'!$B:$Z,9,FALSE)</f>
        <v>MVC+ATS15</v>
      </c>
      <c r="V1274" s="567" t="str">
        <f>IF(G1274&amp;H1274=T1274&amp;U1274,"OK","WRONG")</f>
        <v>OK</v>
      </c>
      <c r="W1274" s="563" t="str">
        <f>VLOOKUP(A1274,'[1]Raw data'!$B:$AG,32,FALSE)</f>
        <v>DDP SZ</v>
      </c>
      <c r="X1274" s="647">
        <f>VLOOKUP(A1274,'[1]Raw data'!$B:$BA,31,FALSE)</f>
        <v>44986</v>
      </c>
      <c r="Y1274" s="647" t="str">
        <f>VLOOKUP(A1274,'[1]Raw data'!$B:$AS,39,FALSE)</f>
        <v>Yes</v>
      </c>
      <c r="Z1274" s="659"/>
      <c r="AA1274" s="660"/>
      <c r="AB1274" s="661"/>
      <c r="AC1274" s="647" t="s">
        <v>2478</v>
      </c>
      <c r="AD1274" s="662">
        <v>301</v>
      </c>
      <c r="AE1274" s="662">
        <v>5</v>
      </c>
      <c r="AF1274" s="662">
        <v>302</v>
      </c>
      <c r="AG1274" s="662">
        <v>5</v>
      </c>
      <c r="AH1274" s="662"/>
      <c r="AI1274" s="663"/>
      <c r="AN1274" s="542"/>
      <c r="AO1274" s="824" t="str">
        <f t="shared" si="267"/>
        <v>Yes</v>
      </c>
      <c r="AP1274" s="259" t="str">
        <f t="shared" si="268"/>
        <v>MAR 23</v>
      </c>
      <c r="AQ1274" s="542" t="str">
        <f t="shared" si="269"/>
        <v>有定金+有預留客戶</v>
      </c>
      <c r="AR1274" s="259" t="str">
        <f t="shared" si="270"/>
        <v>Shipped_Stock</v>
      </c>
      <c r="AS1274" s="259" t="str">
        <f t="shared" si="271"/>
        <v/>
      </c>
      <c r="AT1274" s="259" t="str">
        <f t="shared" si="272"/>
        <v>博祯</v>
      </c>
      <c r="AU1274" s="259" t="str">
        <f t="shared" si="273"/>
        <v>C49SZX20230035SX</v>
      </c>
      <c r="AV1274" s="259" t="str">
        <f t="shared" si="274"/>
        <v>Aug-08</v>
      </c>
    </row>
    <row r="1275" spans="1:48" ht="22.5" hidden="1">
      <c r="A1275" s="599">
        <v>1711</v>
      </c>
      <c r="B1275" s="664" t="s">
        <v>1125</v>
      </c>
      <c r="C1275" s="664" t="s">
        <v>281</v>
      </c>
      <c r="D1275" s="625" t="s">
        <v>2479</v>
      </c>
      <c r="E1275" s="744" t="s">
        <v>2480</v>
      </c>
      <c r="F1275" s="647" t="s">
        <v>17</v>
      </c>
      <c r="G1275" s="647" t="s">
        <v>18</v>
      </c>
      <c r="H1275" s="647" t="s">
        <v>34</v>
      </c>
      <c r="I1275" s="575" t="s" ph="1">
        <v>2481</v>
      </c>
      <c r="J1275" s="575">
        <v>1</v>
      </c>
      <c r="K1275" s="647" t="s">
        <v>1419</v>
      </c>
      <c r="L1275" s="657">
        <v>44781</v>
      </c>
      <c r="M1275" s="665" t="s">
        <v>2482</v>
      </c>
      <c r="N1275" s="647" t="s">
        <v>219</v>
      </c>
      <c r="O1275" s="575">
        <v>2022.7</v>
      </c>
      <c r="P1275" s="665" t="str">
        <f>VLOOKUP(A1275,'[1]Raw data'!$B:$BA,23,FALSE)</f>
        <v>JPY</v>
      </c>
      <c r="Q1275" s="647" t="str">
        <f>VLOOKUP(A1275,'[1]Raw data'!$B:$Z,2,FALSE)</f>
        <v>C49SZX20220084DZ</v>
      </c>
      <c r="R1275" s="647" t="str">
        <f>VLOOKUP(A1275,'[1]Raw data'!$B:$Z,3,FALSE)</f>
        <v>朗特</v>
      </c>
      <c r="S1275" s="647" t="str">
        <f>VLOOKUP(A1275,'[1]Raw data'!$B:$Z,4,FALSE)</f>
        <v>YSM10</v>
      </c>
      <c r="T1275" s="647" t="str">
        <f>VLOOKUP(A1275,'[1]Raw data'!$B:$Z,8,FALSE)</f>
        <v>R-&gt;L</v>
      </c>
      <c r="U1275" s="647" t="str">
        <f>VLOOKUP(A1275,'[1]Raw data'!$B:$Z,9,FALSE)</f>
        <v>MVC F&amp;R+ATS15+MVC</v>
      </c>
      <c r="V1275" s="567" t="str">
        <f>IF(G1275&amp;H1275=T1275&amp;U1275,"OK","WRONG")</f>
        <v>WRONG</v>
      </c>
      <c r="W1275" s="563" t="str">
        <f>VLOOKUP(A1275,'[1]Raw data'!$B:$AG,32,FALSE)</f>
        <v>CIF HK</v>
      </c>
      <c r="X1275" s="647">
        <f>VLOOKUP(A1275,'[1]Raw data'!$B:$BA,31,FALSE)</f>
        <v>44768</v>
      </c>
      <c r="Y1275" s="647" t="str">
        <f>VLOOKUP(A1275,'[1]Raw data'!$B:$AS,39,FALSE)</f>
        <v>Yes</v>
      </c>
      <c r="Z1275" s="659"/>
      <c r="AA1275" s="660"/>
      <c r="AB1275" s="661"/>
      <c r="AC1275" s="647" t="s">
        <v>2174</v>
      </c>
      <c r="AD1275" s="575">
        <v>302</v>
      </c>
      <c r="AE1275" s="575">
        <v>10</v>
      </c>
      <c r="AF1275" s="575"/>
      <c r="AG1275" s="575"/>
      <c r="AH1275" s="575"/>
      <c r="AI1275" s="679"/>
      <c r="AJ1275" s="564"/>
      <c r="AK1275" s="564"/>
      <c r="AL1275" s="564"/>
      <c r="AM1275" s="564"/>
      <c r="AN1275" s="614"/>
      <c r="AO1275" s="824" t="str">
        <f t="shared" si="267"/>
        <v>Yes</v>
      </c>
      <c r="AP1275" s="259" t="str">
        <f t="shared" si="268"/>
        <v>SEP 22</v>
      </c>
      <c r="AQ1275" s="542" t="str">
        <f t="shared" si="269"/>
        <v>有定金+有預留客戶</v>
      </c>
      <c r="AR1275" s="259" t="str">
        <f t="shared" si="270"/>
        <v>Shipped_Stock</v>
      </c>
      <c r="AS1275" s="259" t="str">
        <f t="shared" si="271"/>
        <v/>
      </c>
      <c r="AT1275" s="259" t="str">
        <f t="shared" si="272"/>
        <v>朗特</v>
      </c>
      <c r="AU1275" s="259" t="str">
        <f t="shared" si="273"/>
        <v>C49SZX20220084DZ</v>
      </c>
      <c r="AV1275" s="259" t="str">
        <f t="shared" si="274"/>
        <v>Aug-08</v>
      </c>
    </row>
    <row r="1276" spans="1:48" ht="33.75" hidden="1">
      <c r="A1276" s="559">
        <v>1770</v>
      </c>
      <c r="B1276" s="664" t="s">
        <v>1125</v>
      </c>
      <c r="C1276" s="664" t="s">
        <v>281</v>
      </c>
      <c r="D1276" s="625" t="s">
        <v>2483</v>
      </c>
      <c r="E1276" s="744" t="s">
        <v>2484</v>
      </c>
      <c r="F1276" s="647" t="s">
        <v>17</v>
      </c>
      <c r="G1276" s="647" t="s">
        <v>18</v>
      </c>
      <c r="H1276" s="647" t="s">
        <v>102</v>
      </c>
      <c r="I1276" s="575" t="s">
        <v>2485</v>
      </c>
      <c r="J1276" s="575">
        <v>1</v>
      </c>
      <c r="K1276" s="781" t="s">
        <v>2239</v>
      </c>
      <c r="L1276" s="657">
        <v>44781</v>
      </c>
      <c r="M1276" s="665" t="s">
        <v>2486</v>
      </c>
      <c r="N1276" s="647" t="s">
        <v>217</v>
      </c>
      <c r="O1276" s="575">
        <v>2022.7</v>
      </c>
      <c r="P1276" s="665" t="str">
        <f>VLOOKUP(A1276,'[1]Raw data'!$B:$BA,23,FALSE)</f>
        <v>RMB</v>
      </c>
      <c r="Q1276" s="647" t="str">
        <f>VLOOKUP(A1276,'[1]Raw data'!$B:$Z,2,FALSE)</f>
        <v>C49SZX20220130SX</v>
      </c>
      <c r="R1276" s="647" t="str">
        <f>VLOOKUP(A1276,'[1]Raw data'!$B:$Z,3,FALSE)</f>
        <v>益田科技</v>
      </c>
      <c r="S1276" s="647" t="str">
        <f>VLOOKUP(A1276,'[1]Raw data'!$B:$Z,4,FALSE)</f>
        <v>YSM10</v>
      </c>
      <c r="T1276" s="647" t="str">
        <f>VLOOKUP(A1276,'[1]Raw data'!$B:$Z,8,FALSE)</f>
        <v>L-&gt;R</v>
      </c>
      <c r="U1276" s="647" t="str">
        <f>VLOOKUP(A1276,'[1]Raw data'!$B:$Z,9,FALSE)</f>
        <v>No</v>
      </c>
      <c r="V1276" s="567" t="str">
        <f>IF(G1276&amp;H1276=T1276&amp;U1276,"OK","WRONG")</f>
        <v>WRONG</v>
      </c>
      <c r="W1276" s="563" t="str">
        <f>VLOOKUP(A1276,'[1]Raw data'!$B:$AG,32,FALSE)</f>
        <v>DDP SZ</v>
      </c>
      <c r="X1276" s="647">
        <f>VLOOKUP(A1276,'[1]Raw data'!$B:$BA,31,FALSE)</f>
        <v>44903</v>
      </c>
      <c r="Y1276" s="647" t="str">
        <f>VLOOKUP(A1276,'[1]Raw data'!$B:$AS,39,FALSE)</f>
        <v>Yes</v>
      </c>
      <c r="Z1276" s="666"/>
      <c r="AA1276" s="660"/>
      <c r="AB1276" s="661"/>
      <c r="AC1276" s="647" t="s">
        <v>1172</v>
      </c>
      <c r="AD1276" s="662">
        <v>301</v>
      </c>
      <c r="AE1276" s="662">
        <v>5</v>
      </c>
      <c r="AF1276" s="662">
        <v>306</v>
      </c>
      <c r="AG1276" s="662">
        <v>1</v>
      </c>
      <c r="AH1276" s="662">
        <v>312</v>
      </c>
      <c r="AI1276" s="663">
        <v>4</v>
      </c>
      <c r="AN1276" s="542"/>
      <c r="AO1276" s="824" t="str">
        <f t="shared" si="267"/>
        <v>Yes</v>
      </c>
      <c r="AP1276" s="259" t="str">
        <f t="shared" si="268"/>
        <v>FEB 23</v>
      </c>
      <c r="AQ1276" s="542" t="str">
        <f t="shared" si="269"/>
        <v>有定金+有預留客戶</v>
      </c>
      <c r="AR1276" s="259" t="str">
        <f t="shared" si="270"/>
        <v>Shipped_Stock</v>
      </c>
      <c r="AS1276" s="259" t="str">
        <f t="shared" si="271"/>
        <v/>
      </c>
      <c r="AT1276" s="259" t="str">
        <f t="shared" si="272"/>
        <v>益田科技</v>
      </c>
      <c r="AU1276" s="259" t="str">
        <f t="shared" si="273"/>
        <v>C49SZX20220130SX</v>
      </c>
      <c r="AV1276" s="259" t="str">
        <f t="shared" si="274"/>
        <v>Aug-08</v>
      </c>
    </row>
    <row r="1277" spans="1:48" ht="23.25" hidden="1" thickBot="1">
      <c r="A1277" s="559">
        <v>1771</v>
      </c>
      <c r="B1277" s="664" t="s">
        <v>1125</v>
      </c>
      <c r="C1277" s="664" t="s">
        <v>281</v>
      </c>
      <c r="D1277" s="624" t="s">
        <v>2487</v>
      </c>
      <c r="E1277" s="744" t="s">
        <v>2484</v>
      </c>
      <c r="F1277" s="647" t="s">
        <v>17</v>
      </c>
      <c r="G1277" s="647" t="s">
        <v>18</v>
      </c>
      <c r="H1277" s="647" t="s">
        <v>102</v>
      </c>
      <c r="I1277" s="575" t="s">
        <v>2488</v>
      </c>
      <c r="J1277" s="575">
        <v>1</v>
      </c>
      <c r="K1277" s="647" t="s">
        <v>1419</v>
      </c>
      <c r="L1277" s="657">
        <v>44781</v>
      </c>
      <c r="M1277" s="665" t="s">
        <v>2489</v>
      </c>
      <c r="N1277" s="647" t="s">
        <v>217</v>
      </c>
      <c r="O1277" s="575">
        <v>2022.7</v>
      </c>
      <c r="P1277" s="665" t="str">
        <f>VLOOKUP(A1277,'[1]Raw data'!$B:$BA,23,FALSE)</f>
        <v>RMB</v>
      </c>
      <c r="Q1277" s="647" t="str">
        <f>VLOOKUP(A1277,'[1]Raw data'!$B:$Z,2,FALSE)</f>
        <v>C49SZX20220130SX</v>
      </c>
      <c r="R1277" s="647" t="str">
        <f>VLOOKUP(A1277,'[1]Raw data'!$B:$Z,3,FALSE)</f>
        <v>益田科技</v>
      </c>
      <c r="S1277" s="647" t="str">
        <f>VLOOKUP(A1277,'[1]Raw data'!$B:$Z,4,FALSE)</f>
        <v>YSM10</v>
      </c>
      <c r="T1277" s="647" t="str">
        <f>VLOOKUP(A1277,'[1]Raw data'!$B:$Z,8,FALSE)</f>
        <v>L-&gt;R</v>
      </c>
      <c r="U1277" s="647" t="str">
        <f>VLOOKUP(A1277,'[1]Raw data'!$B:$Z,9,FALSE)</f>
        <v>No</v>
      </c>
      <c r="V1277" s="567" t="str">
        <f>IF(G1277&amp;H1277=T1277&amp;U1277,"OK","WRONG")</f>
        <v>WRONG</v>
      </c>
      <c r="W1277" s="563" t="str">
        <f>VLOOKUP(A1277,'[1]Raw data'!$B:$AG,32,FALSE)</f>
        <v>DDP SZ</v>
      </c>
      <c r="X1277" s="647">
        <f>VLOOKUP(A1277,'[1]Raw data'!$B:$BA,31,FALSE)</f>
        <v>44903</v>
      </c>
      <c r="Y1277" s="647" t="str">
        <f>VLOOKUP(A1277,'[1]Raw data'!$B:$AS,39,FALSE)</f>
        <v>Yes</v>
      </c>
      <c r="Z1277" s="666"/>
      <c r="AA1277" s="660"/>
      <c r="AB1277" s="661"/>
      <c r="AC1277" s="647" t="s">
        <v>2490</v>
      </c>
      <c r="AD1277" s="662">
        <v>301</v>
      </c>
      <c r="AE1277" s="662">
        <v>5</v>
      </c>
      <c r="AF1277" s="662">
        <v>306</v>
      </c>
      <c r="AG1277" s="662">
        <v>1</v>
      </c>
      <c r="AH1277" s="662">
        <v>312</v>
      </c>
      <c r="AI1277" s="663">
        <v>4</v>
      </c>
      <c r="AN1277" s="542"/>
      <c r="AO1277" s="824" t="str">
        <f t="shared" si="267"/>
        <v>Yes</v>
      </c>
      <c r="AP1277" s="259" t="str">
        <f t="shared" si="268"/>
        <v>FEB 23</v>
      </c>
      <c r="AQ1277" s="542" t="str">
        <f t="shared" si="269"/>
        <v>有定金+有預留客戶</v>
      </c>
      <c r="AR1277" s="259" t="str">
        <f t="shared" si="270"/>
        <v>Shipped_Stock</v>
      </c>
      <c r="AS1277" s="259" t="str">
        <f t="shared" si="271"/>
        <v/>
      </c>
      <c r="AT1277" s="259" t="str">
        <f t="shared" si="272"/>
        <v>益田科技</v>
      </c>
      <c r="AU1277" s="259" t="str">
        <f t="shared" si="273"/>
        <v>C49SZX20220130SX</v>
      </c>
      <c r="AV1277" s="259" t="str">
        <f t="shared" si="274"/>
        <v>Aug-08</v>
      </c>
    </row>
    <row r="1278" spans="1:48" ht="22.5" hidden="1">
      <c r="A1278" s="559">
        <v>1772</v>
      </c>
      <c r="B1278" s="664" t="s">
        <v>1125</v>
      </c>
      <c r="C1278" s="664" t="s">
        <v>281</v>
      </c>
      <c r="D1278" s="761">
        <v>110997</v>
      </c>
      <c r="E1278" s="744" t="s">
        <v>2491</v>
      </c>
      <c r="F1278" s="647" t="s">
        <v>17</v>
      </c>
      <c r="G1278" s="647" t="s">
        <v>18</v>
      </c>
      <c r="H1278" s="647" t="s">
        <v>102</v>
      </c>
      <c r="I1278" s="575" t="s">
        <v>2492</v>
      </c>
      <c r="J1278" s="575">
        <v>1</v>
      </c>
      <c r="K1278" s="647" t="s">
        <v>1419</v>
      </c>
      <c r="L1278" s="657">
        <v>44781</v>
      </c>
      <c r="M1278" s="665" t="s">
        <v>2493</v>
      </c>
      <c r="N1278" s="647" t="s">
        <v>217</v>
      </c>
      <c r="O1278" s="575">
        <v>2022.7</v>
      </c>
      <c r="P1278" s="665" t="str">
        <f>VLOOKUP(A1278,'[1]Raw data'!$B:$BA,23,FALSE)</f>
        <v>RMB</v>
      </c>
      <c r="Q1278" s="647" t="str">
        <f>VLOOKUP(A1278,'[1]Raw data'!$B:$Z,2,FALSE)</f>
        <v>C49SZX20220130SX</v>
      </c>
      <c r="R1278" s="647" t="str">
        <f>VLOOKUP(A1278,'[1]Raw data'!$B:$Z,3,FALSE)</f>
        <v>益田科技</v>
      </c>
      <c r="S1278" s="647" t="str">
        <f>VLOOKUP(A1278,'[1]Raw data'!$B:$Z,4,FALSE)</f>
        <v>YSM10</v>
      </c>
      <c r="T1278" s="647" t="str">
        <f>VLOOKUP(A1278,'[1]Raw data'!$B:$Z,8,FALSE)</f>
        <v>L-&gt;R</v>
      </c>
      <c r="U1278" s="647" t="str">
        <f>VLOOKUP(A1278,'[1]Raw data'!$B:$Z,9,FALSE)</f>
        <v>No</v>
      </c>
      <c r="V1278" s="567" t="str">
        <f t="shared" ref="V1278:V1282" si="282">IF(G1278&amp;H1278=T1278&amp;U1278,"OK","WRONG")</f>
        <v>WRONG</v>
      </c>
      <c r="W1278" s="563" t="str">
        <f>VLOOKUP(A1278,'[1]Raw data'!$B:$AG,32,FALSE)</f>
        <v>DDP SZ</v>
      </c>
      <c r="X1278" s="647">
        <f>VLOOKUP(A1278,'[1]Raw data'!$B:$BA,31,FALSE)</f>
        <v>44903</v>
      </c>
      <c r="Y1278" s="647" t="str">
        <f>VLOOKUP(A1278,'[1]Raw data'!$B:$AS,39,FALSE)</f>
        <v>Yes</v>
      </c>
      <c r="Z1278" s="666"/>
      <c r="AA1278" s="660"/>
      <c r="AB1278" s="661"/>
      <c r="AC1278" s="647" t="s">
        <v>2490</v>
      </c>
      <c r="AD1278" s="662">
        <v>301</v>
      </c>
      <c r="AE1278" s="662">
        <v>5</v>
      </c>
      <c r="AF1278" s="662">
        <v>302</v>
      </c>
      <c r="AG1278" s="662">
        <v>4</v>
      </c>
      <c r="AH1278" s="662">
        <v>304</v>
      </c>
      <c r="AI1278" s="663">
        <v>1</v>
      </c>
      <c r="AN1278" s="542"/>
      <c r="AO1278" s="824" t="str">
        <f t="shared" si="267"/>
        <v>Yes</v>
      </c>
      <c r="AP1278" s="259" t="str">
        <f t="shared" si="268"/>
        <v>FEB 23</v>
      </c>
      <c r="AQ1278" s="542" t="str">
        <f t="shared" si="269"/>
        <v>有定金+有預留客戶</v>
      </c>
      <c r="AR1278" s="259" t="str">
        <f t="shared" si="270"/>
        <v>Shipped_Stock</v>
      </c>
      <c r="AS1278" s="259" t="str">
        <f t="shared" si="271"/>
        <v/>
      </c>
      <c r="AT1278" s="259" t="str">
        <f t="shared" si="272"/>
        <v>益田科技</v>
      </c>
      <c r="AU1278" s="259" t="str">
        <f t="shared" si="273"/>
        <v>C49SZX20220130SX</v>
      </c>
      <c r="AV1278" s="259" t="str">
        <f t="shared" si="274"/>
        <v>Aug-08</v>
      </c>
    </row>
    <row r="1279" spans="1:48" ht="22.5" hidden="1">
      <c r="A1279" s="559">
        <v>1773</v>
      </c>
      <c r="B1279" s="664" t="s">
        <v>1125</v>
      </c>
      <c r="C1279" s="664" t="s">
        <v>281</v>
      </c>
      <c r="D1279" s="755">
        <v>110997</v>
      </c>
      <c r="E1279" s="744" t="s">
        <v>2491</v>
      </c>
      <c r="F1279" s="647" t="s">
        <v>17</v>
      </c>
      <c r="G1279" s="647" t="s">
        <v>18</v>
      </c>
      <c r="H1279" s="647" t="s">
        <v>102</v>
      </c>
      <c r="I1279" s="575" t="s">
        <v>2494</v>
      </c>
      <c r="J1279" s="575">
        <v>1</v>
      </c>
      <c r="K1279" s="647" t="s">
        <v>1419</v>
      </c>
      <c r="L1279" s="657">
        <v>44781</v>
      </c>
      <c r="M1279" s="665" t="s">
        <v>2495</v>
      </c>
      <c r="N1279" s="647" t="s">
        <v>217</v>
      </c>
      <c r="O1279" s="575">
        <v>2022.7</v>
      </c>
      <c r="P1279" s="665" t="str">
        <f>VLOOKUP(A1279,'[1]Raw data'!$B:$BA,23,FALSE)</f>
        <v>RMB</v>
      </c>
      <c r="Q1279" s="647" t="str">
        <f>VLOOKUP(A1279,'[1]Raw data'!$B:$Z,2,FALSE)</f>
        <v>C49SZX20220130SX</v>
      </c>
      <c r="R1279" s="647" t="str">
        <f>VLOOKUP(A1279,'[1]Raw data'!$B:$Z,3,FALSE)</f>
        <v>益田科技</v>
      </c>
      <c r="S1279" s="647" t="str">
        <f>VLOOKUP(A1279,'[1]Raw data'!$B:$Z,4,FALSE)</f>
        <v>YSM10</v>
      </c>
      <c r="T1279" s="647" t="str">
        <f>VLOOKUP(A1279,'[1]Raw data'!$B:$Z,8,FALSE)</f>
        <v>L-&gt;R</v>
      </c>
      <c r="U1279" s="647" t="str">
        <f>VLOOKUP(A1279,'[1]Raw data'!$B:$Z,9,FALSE)</f>
        <v>No</v>
      </c>
      <c r="V1279" s="567" t="str">
        <f t="shared" si="282"/>
        <v>WRONG</v>
      </c>
      <c r="W1279" s="563" t="str">
        <f>VLOOKUP(A1279,'[1]Raw data'!$B:$AG,32,FALSE)</f>
        <v>DDP SZ</v>
      </c>
      <c r="X1279" s="647">
        <f>VLOOKUP(A1279,'[1]Raw data'!$B:$BA,31,FALSE)</f>
        <v>44903</v>
      </c>
      <c r="Y1279" s="647" t="str">
        <f>VLOOKUP(A1279,'[1]Raw data'!$B:$AS,39,FALSE)</f>
        <v>Yes</v>
      </c>
      <c r="Z1279" s="666"/>
      <c r="AA1279" s="660"/>
      <c r="AB1279" s="661"/>
      <c r="AC1279" s="647" t="s">
        <v>2490</v>
      </c>
      <c r="AD1279" s="662">
        <v>301</v>
      </c>
      <c r="AE1279" s="662">
        <v>5</v>
      </c>
      <c r="AF1279" s="662">
        <v>302</v>
      </c>
      <c r="AG1279" s="662">
        <v>4</v>
      </c>
      <c r="AH1279" s="662">
        <v>304</v>
      </c>
      <c r="AI1279" s="663">
        <v>1</v>
      </c>
      <c r="AN1279" s="542"/>
      <c r="AO1279" s="824" t="str">
        <f t="shared" si="267"/>
        <v>Yes</v>
      </c>
      <c r="AP1279" s="259" t="str">
        <f t="shared" si="268"/>
        <v>FEB 23</v>
      </c>
      <c r="AQ1279" s="542" t="str">
        <f t="shared" si="269"/>
        <v>有定金+有預留客戶</v>
      </c>
      <c r="AR1279" s="259" t="str">
        <f t="shared" si="270"/>
        <v>Shipped_Stock</v>
      </c>
      <c r="AS1279" s="259" t="str">
        <f t="shared" si="271"/>
        <v/>
      </c>
      <c r="AT1279" s="259" t="str">
        <f t="shared" si="272"/>
        <v>益田科技</v>
      </c>
      <c r="AU1279" s="259" t="str">
        <f t="shared" si="273"/>
        <v>C49SZX20220130SX</v>
      </c>
      <c r="AV1279" s="259" t="str">
        <f t="shared" si="274"/>
        <v>Aug-08</v>
      </c>
    </row>
    <row r="1280" spans="1:48" hidden="1">
      <c r="A1280" s="559">
        <v>1774</v>
      </c>
      <c r="B1280" s="664" t="s">
        <v>1125</v>
      </c>
      <c r="C1280" s="664" t="s">
        <v>281</v>
      </c>
      <c r="D1280" s="755">
        <v>111004</v>
      </c>
      <c r="E1280" s="744" t="s">
        <v>2496</v>
      </c>
      <c r="F1280" s="647" t="s">
        <v>17</v>
      </c>
      <c r="G1280" s="647" t="s">
        <v>18</v>
      </c>
      <c r="H1280" s="647" t="s">
        <v>27</v>
      </c>
      <c r="I1280" s="575" t="s">
        <v>2497</v>
      </c>
      <c r="J1280" s="575">
        <v>1</v>
      </c>
      <c r="K1280" s="647" t="s">
        <v>1419</v>
      </c>
      <c r="L1280" s="657">
        <v>44781</v>
      </c>
      <c r="M1280" s="665">
        <v>5.0299999999999997E-2</v>
      </c>
      <c r="N1280" s="647" t="s">
        <v>217</v>
      </c>
      <c r="O1280" s="575">
        <v>2022.7</v>
      </c>
      <c r="P1280" s="665" t="str">
        <f>VLOOKUP(A1280,'[1]Raw data'!$B:$BA,23,FALSE)</f>
        <v>RMB</v>
      </c>
      <c r="Q1280" s="647" t="str">
        <f>VLOOKUP(A1280,'[1]Raw data'!$B:$Z,2,FALSE)</f>
        <v>C49SZX20220130SX</v>
      </c>
      <c r="R1280" s="647" t="str">
        <f>VLOOKUP(A1280,'[1]Raw data'!$B:$Z,3,FALSE)</f>
        <v>益田科技</v>
      </c>
      <c r="S1280" s="647" t="str">
        <f>VLOOKUP(A1280,'[1]Raw data'!$B:$Z,4,FALSE)</f>
        <v>YSM10</v>
      </c>
      <c r="T1280" s="647" t="str">
        <f>VLOOKUP(A1280,'[1]Raw data'!$B:$Z,8,FALSE)</f>
        <v>L-&gt;R</v>
      </c>
      <c r="U1280" s="647" t="str">
        <f>VLOOKUP(A1280,'[1]Raw data'!$B:$Z,9,FALSE)</f>
        <v>No</v>
      </c>
      <c r="V1280" s="567" t="str">
        <f t="shared" si="282"/>
        <v>WRONG</v>
      </c>
      <c r="W1280" s="563" t="str">
        <f>VLOOKUP(A1280,'[1]Raw data'!$B:$AG,32,FALSE)</f>
        <v>DDP SZ</v>
      </c>
      <c r="X1280" s="647">
        <f>VLOOKUP(A1280,'[1]Raw data'!$B:$BA,31,FALSE)</f>
        <v>44903</v>
      </c>
      <c r="Y1280" s="647" t="str">
        <f>VLOOKUP(A1280,'[1]Raw data'!$B:$AS,39,FALSE)</f>
        <v>Yes</v>
      </c>
      <c r="Z1280" s="666"/>
      <c r="AA1280" s="660"/>
      <c r="AB1280" s="661"/>
      <c r="AC1280" s="647" t="s">
        <v>2490</v>
      </c>
      <c r="AD1280" s="662">
        <v>301</v>
      </c>
      <c r="AE1280" s="662">
        <v>5</v>
      </c>
      <c r="AF1280" s="662">
        <v>302</v>
      </c>
      <c r="AG1280" s="662">
        <v>5</v>
      </c>
      <c r="AH1280" s="662"/>
      <c r="AI1280" s="663"/>
      <c r="AN1280" s="542"/>
      <c r="AO1280" s="824" t="str">
        <f t="shared" si="267"/>
        <v>Yes</v>
      </c>
      <c r="AP1280" s="259" t="str">
        <f t="shared" si="268"/>
        <v>FEB 23</v>
      </c>
      <c r="AQ1280" s="542" t="str">
        <f t="shared" si="269"/>
        <v>有定金+有預留客戶</v>
      </c>
      <c r="AR1280" s="259" t="str">
        <f t="shared" si="270"/>
        <v>Shipped_Stock</v>
      </c>
      <c r="AS1280" s="259" t="str">
        <f t="shared" si="271"/>
        <v/>
      </c>
      <c r="AT1280" s="259" t="str">
        <f t="shared" si="272"/>
        <v>益田科技</v>
      </c>
      <c r="AU1280" s="259" t="str">
        <f t="shared" si="273"/>
        <v>C49SZX20220130SX</v>
      </c>
      <c r="AV1280" s="259" t="str">
        <f t="shared" si="274"/>
        <v>Aug-08</v>
      </c>
    </row>
    <row r="1281" spans="1:48" hidden="1">
      <c r="A1281" s="559">
        <v>1898</v>
      </c>
      <c r="B1281" s="664" t="s">
        <v>1125</v>
      </c>
      <c r="C1281" s="664" t="s">
        <v>281</v>
      </c>
      <c r="D1281" s="755">
        <v>111004</v>
      </c>
      <c r="E1281" s="744" t="s">
        <v>2496</v>
      </c>
      <c r="F1281" s="647" t="s">
        <v>17</v>
      </c>
      <c r="G1281" s="647" t="s">
        <v>18</v>
      </c>
      <c r="H1281" s="647" t="s">
        <v>27</v>
      </c>
      <c r="I1281" s="575" t="s">
        <v>3889</v>
      </c>
      <c r="J1281" s="575">
        <v>1</v>
      </c>
      <c r="K1281" s="647" t="s">
        <v>1419</v>
      </c>
      <c r="L1281" s="657">
        <v>44781</v>
      </c>
      <c r="M1281" s="665">
        <v>5.0299999999999997E-2</v>
      </c>
      <c r="N1281" s="647" t="s">
        <v>226</v>
      </c>
      <c r="O1281" s="575">
        <v>2022.7</v>
      </c>
      <c r="P1281" s="665" t="str">
        <f>VLOOKUP(A1281,'[1]Raw data'!$B:$BA,23,FALSE)</f>
        <v>RMB</v>
      </c>
      <c r="Q1281" s="647" t="str">
        <f>VLOOKUP(A1281,'[1]Raw data'!$B:$Z,2,FALSE)</f>
        <v>YJY-2023040701</v>
      </c>
      <c r="R1281" s="647" t="str">
        <f>VLOOKUP(A1281,'[1]Raw data'!$B:$Z,3,FALSE)</f>
        <v>清水湾（End use:呈承）</v>
      </c>
      <c r="S1281" s="647" t="str">
        <f>VLOOKUP(A1281,'[1]Raw data'!$B:$Z,4,FALSE)</f>
        <v>YSM10</v>
      </c>
      <c r="T1281" s="647" t="str">
        <f>VLOOKUP(A1281,'[1]Raw data'!$B:$Z,8,FALSE)</f>
        <v>L-&gt;R</v>
      </c>
      <c r="U1281" s="647" t="str">
        <f>VLOOKUP(A1281,'[1]Raw data'!$B:$Z,9,FALSE)</f>
        <v>MVC</v>
      </c>
      <c r="V1281" s="567" t="str">
        <f t="shared" si="282"/>
        <v>WRONG</v>
      </c>
      <c r="W1281" s="563" t="str">
        <f>VLOOKUP(A1281,'[1]Raw data'!$B:$AG,32,FALSE)</f>
        <v>DDP ZS</v>
      </c>
      <c r="X1281" s="647">
        <f>VLOOKUP(A1281,'[1]Raw data'!$B:$BA,31,FALSE)</f>
        <v>45019</v>
      </c>
      <c r="Y1281" s="647" t="str">
        <f>VLOOKUP(A1281,'[1]Raw data'!$B:$AS,39,FALSE)</f>
        <v>Yes</v>
      </c>
      <c r="Z1281" s="659"/>
      <c r="AA1281" s="660"/>
      <c r="AB1281" s="661"/>
      <c r="AC1281" s="647" t="s">
        <v>3900</v>
      </c>
      <c r="AD1281" s="662">
        <v>301</v>
      </c>
      <c r="AE1281" s="662">
        <v>5</v>
      </c>
      <c r="AF1281" s="662">
        <v>302</v>
      </c>
      <c r="AG1281" s="662">
        <v>5</v>
      </c>
      <c r="AH1281" s="662"/>
      <c r="AI1281" s="663"/>
      <c r="AN1281" s="542"/>
      <c r="AO1281" s="824" t="str">
        <f t="shared" si="267"/>
        <v>Yes</v>
      </c>
      <c r="AP1281" s="259" t="str">
        <f t="shared" si="268"/>
        <v>APR 23</v>
      </c>
      <c r="AQ1281" s="542" t="str">
        <f t="shared" si="269"/>
        <v>有定金+有預留客戶</v>
      </c>
      <c r="AR1281" s="259" t="str">
        <f t="shared" si="270"/>
        <v>Shipped_Stock</v>
      </c>
      <c r="AS1281" s="259" t="str">
        <f t="shared" si="271"/>
        <v/>
      </c>
      <c r="AT1281" s="259" t="str">
        <f t="shared" si="272"/>
        <v>清水湾（End use:呈承）</v>
      </c>
      <c r="AU1281" s="259" t="str">
        <f t="shared" si="273"/>
        <v>YJY-2023040701</v>
      </c>
      <c r="AV1281" s="259" t="str">
        <f t="shared" si="274"/>
        <v>Aug-08</v>
      </c>
    </row>
    <row r="1282" spans="1:48" ht="13.5" hidden="1" thickBot="1">
      <c r="A1282" s="559">
        <v>1899</v>
      </c>
      <c r="B1282" s="664" t="s">
        <v>1125</v>
      </c>
      <c r="C1282" s="664" t="s">
        <v>281</v>
      </c>
      <c r="D1282" s="624">
        <v>111004</v>
      </c>
      <c r="E1282" s="744" t="s">
        <v>2496</v>
      </c>
      <c r="F1282" s="647" t="s">
        <v>17</v>
      </c>
      <c r="G1282" s="647" t="s">
        <v>18</v>
      </c>
      <c r="H1282" s="647" t="s">
        <v>27</v>
      </c>
      <c r="I1282" s="575" t="s">
        <v>2498</v>
      </c>
      <c r="J1282" s="575">
        <v>1</v>
      </c>
      <c r="K1282" s="647" t="s">
        <v>1419</v>
      </c>
      <c r="L1282" s="657">
        <v>44781</v>
      </c>
      <c r="M1282" s="665">
        <v>5.0299999999999997E-2</v>
      </c>
      <c r="N1282" s="647" t="s">
        <v>226</v>
      </c>
      <c r="O1282" s="575">
        <v>2022.7</v>
      </c>
      <c r="P1282" s="665" t="str">
        <f>VLOOKUP(A1282,'[1]Raw data'!$B:$BA,23,FALSE)</f>
        <v>RMB</v>
      </c>
      <c r="Q1282" s="647" t="str">
        <f>VLOOKUP(A1282,'[1]Raw data'!$B:$Z,2,FALSE)</f>
        <v>YJY-2023040701</v>
      </c>
      <c r="R1282" s="647" t="str">
        <f>VLOOKUP(A1282,'[1]Raw data'!$B:$Z,3,FALSE)</f>
        <v>清水湾（End use:呈承）</v>
      </c>
      <c r="S1282" s="647" t="str">
        <f>VLOOKUP(A1282,'[1]Raw data'!$B:$Z,4,FALSE)</f>
        <v>YSM10</v>
      </c>
      <c r="T1282" s="647" t="str">
        <f>VLOOKUP(A1282,'[1]Raw data'!$B:$Z,8,FALSE)</f>
        <v>L-&gt;R</v>
      </c>
      <c r="U1282" s="647" t="str">
        <f>VLOOKUP(A1282,'[1]Raw data'!$B:$Z,9,FALSE)</f>
        <v>MVC</v>
      </c>
      <c r="V1282" s="567" t="str">
        <f t="shared" si="282"/>
        <v>WRONG</v>
      </c>
      <c r="W1282" s="563" t="str">
        <f>VLOOKUP(A1282,'[1]Raw data'!$B:$AG,32,FALSE)</f>
        <v>DDP ZS</v>
      </c>
      <c r="X1282" s="647">
        <f>VLOOKUP(A1282,'[1]Raw data'!$B:$BA,31,FALSE)</f>
        <v>45019</v>
      </c>
      <c r="Y1282" s="647" t="str">
        <f>VLOOKUP(A1282,'[1]Raw data'!$B:$AS,39,FALSE)</f>
        <v>Yes</v>
      </c>
      <c r="Z1282" s="659"/>
      <c r="AA1282" s="660"/>
      <c r="AB1282" s="661"/>
      <c r="AC1282" s="647" t="s">
        <v>3900</v>
      </c>
      <c r="AD1282" s="662">
        <v>301</v>
      </c>
      <c r="AE1282" s="662">
        <v>5</v>
      </c>
      <c r="AF1282" s="662">
        <v>302</v>
      </c>
      <c r="AG1282" s="662">
        <v>5</v>
      </c>
      <c r="AH1282" s="662"/>
      <c r="AI1282" s="663"/>
      <c r="AN1282" s="542"/>
      <c r="AO1282" s="824" t="str">
        <f t="shared" si="267"/>
        <v>Yes</v>
      </c>
      <c r="AP1282" s="259" t="str">
        <f t="shared" si="268"/>
        <v>APR 23</v>
      </c>
      <c r="AQ1282" s="542" t="str">
        <f t="shared" si="269"/>
        <v>有定金+有預留客戶</v>
      </c>
      <c r="AR1282" s="259" t="str">
        <f t="shared" si="270"/>
        <v>Shipped_Stock</v>
      </c>
      <c r="AS1282" s="259" t="str">
        <f t="shared" si="271"/>
        <v/>
      </c>
      <c r="AT1282" s="259" t="str">
        <f t="shared" si="272"/>
        <v>清水湾（End use:呈承）</v>
      </c>
      <c r="AU1282" s="259" t="str">
        <f t="shared" si="273"/>
        <v>YJY-2023040701</v>
      </c>
      <c r="AV1282" s="259" t="str">
        <f t="shared" si="274"/>
        <v>Aug-08</v>
      </c>
    </row>
    <row r="1283" spans="1:48" ht="37.5" hidden="1" customHeight="1">
      <c r="A1283" s="559">
        <v>1663</v>
      </c>
      <c r="B1283" s="664" t="s">
        <v>1125</v>
      </c>
      <c r="C1283" s="664" t="s">
        <v>281</v>
      </c>
      <c r="D1283" s="761">
        <v>110929</v>
      </c>
      <c r="E1283" s="646" t="s">
        <v>2499</v>
      </c>
      <c r="F1283" s="647" t="s">
        <v>17</v>
      </c>
      <c r="G1283" s="647" t="s">
        <v>18</v>
      </c>
      <c r="H1283" s="647" t="s">
        <v>2500</v>
      </c>
      <c r="I1283" s="575" t="s">
        <v>2501</v>
      </c>
      <c r="J1283" s="575">
        <v>1</v>
      </c>
      <c r="K1283" s="647" t="s">
        <v>1419</v>
      </c>
      <c r="L1283" s="657">
        <v>44781</v>
      </c>
      <c r="M1283" s="665" t="s">
        <v>3905</v>
      </c>
      <c r="N1283" s="647" t="s">
        <v>4004</v>
      </c>
      <c r="O1283" s="575">
        <v>2022.7</v>
      </c>
      <c r="P1283" s="665" t="str">
        <f>VLOOKUP(A1283,'[1]Raw data'!$B:$BA,23,FALSE)</f>
        <v>RMB</v>
      </c>
      <c r="Q1283" s="647" t="str">
        <f>VLOOKUP(A1283,'[1]Raw data'!$B:$Z,2,FALSE)</f>
        <v>SNFPC-CG-2022-008</v>
      </c>
      <c r="R1283" s="647" t="str">
        <f>VLOOKUP(A1283,'[1]Raw data'!$B:$Z,3,FALSE)</f>
        <v>康佳</v>
      </c>
      <c r="S1283" s="647" t="str">
        <f>VLOOKUP(A1283,'[1]Raw data'!$B:$Z,4,FALSE)</f>
        <v>YSM10</v>
      </c>
      <c r="T1283" s="647" t="str">
        <f>VLOOKUP(A1283,'[1]Raw data'!$B:$Z,8,FALSE)</f>
        <v>L-&gt;R</v>
      </c>
      <c r="U1283" s="647" t="str">
        <f>VLOOKUP(A1283,'[1]Raw data'!$B:$Z,9,FALSE)</f>
        <v>MVC+ATS15+ANC</v>
      </c>
      <c r="V1283" s="567" t="str">
        <f t="shared" ref="V1283:V1286" si="283">IF(G1283&amp;H1283=T1283&amp;U1283,"OK","WRONG")</f>
        <v>WRONG</v>
      </c>
      <c r="W1283" s="563" t="str">
        <f>VLOOKUP(A1283,'[1]Raw data'!$B:$AG,32,FALSE)</f>
        <v>DDP SN</v>
      </c>
      <c r="X1283" s="657">
        <f>VLOOKUP(A1283,'[1]Raw data'!$B:$BA,31,FALSE)</f>
        <v>44678</v>
      </c>
      <c r="Y1283" s="647" t="str">
        <f>VLOOKUP(A1283,'[1]Raw data'!$B:$AS,39,FALSE)</f>
        <v>Yes</v>
      </c>
      <c r="Z1283" s="659"/>
      <c r="AA1283" s="660"/>
      <c r="AB1283" s="661"/>
      <c r="AC1283" s="647" t="s">
        <v>1951</v>
      </c>
      <c r="AD1283" s="662">
        <v>301</v>
      </c>
      <c r="AE1283" s="662">
        <v>5</v>
      </c>
      <c r="AF1283" s="662">
        <v>303</v>
      </c>
      <c r="AG1283" s="662">
        <v>3</v>
      </c>
      <c r="AH1283" s="662">
        <v>304</v>
      </c>
      <c r="AI1283" s="662">
        <v>2</v>
      </c>
      <c r="AN1283" s="542"/>
      <c r="AO1283" s="824" t="str">
        <f t="shared" ref="AO1283:AO1346" si="284">IFERROR(IF(Y1283&lt;&gt;"",Y1283,"No"),"No")</f>
        <v>Yes</v>
      </c>
      <c r="AP1283" s="259" t="str">
        <f t="shared" ref="AP1283:AP1346" si="285">IFERROR(IF(N1283&lt;&gt;"",N1283,"blank"),"NA")</f>
        <v>AUG 23</v>
      </c>
      <c r="AQ1283" s="542" t="str">
        <f t="shared" ref="AQ1283:AQ1346" si="286">IFERROR(IF(AND(AO1283="Yes", AP1283&lt;&gt;"blank"), "有定金+有預留客戶", IF(AND(AO1283="Yes", AP1283="blank"), "有定金+无客戶送貨期", IF(AND(OR(AO1283="No", ISBLANK(AO1283), AO1283="NA"), AP1283&lt;&gt;"blank"), "无定金+有預留客戶", IF(AND(OR(AO1283="No", ISBLANK(AO1283), AO1283="NA"), AP1283="blank"), "无定金+无預留客戶", "")))), "")</f>
        <v>有定金+有預留客戶</v>
      </c>
      <c r="AR1283" s="259" t="str">
        <f t="shared" ref="AR1283:AR1346" si="287">IFERROR(IF(B1283="已经到货", "Instock", IF(B1283="有交期", "Incoming_Stock_With_YAMAHA_Schedule", IF(B1283="TBA.", "Incoming_Stock_No_YAMAHA_Schedule", IF(B1283="已发货", "Shipped_Stock", "")))), "")</f>
        <v>Shipped_Stock</v>
      </c>
      <c r="AS1283" s="259" t="str">
        <f t="shared" ref="AS1283:AS1346" si="288">IF(AND(B1283="有交期", L1283&lt;&gt;""), L1283, "")</f>
        <v/>
      </c>
      <c r="AT1283" s="259" t="str">
        <f t="shared" ref="AT1283:AT1346" si="289">IFERROR(IF(R1283&lt;&gt;"",R1283),"-")</f>
        <v>康佳</v>
      </c>
      <c r="AU1283" s="259" t="str">
        <f t="shared" ref="AU1283:AU1346" si="290">IFERROR(IF(Q1283&lt;&gt;"",Q1283),"-")</f>
        <v>SNFPC-CG-2022-008</v>
      </c>
      <c r="AV1283" s="259" t="str">
        <f t="shared" ref="AV1283:AV1346" si="291">IF(L1283="","-",TEXT(L1283,"mmm-dd"))</f>
        <v>Aug-08</v>
      </c>
    </row>
    <row r="1284" spans="1:48" hidden="1">
      <c r="A1284" s="599">
        <v>1743</v>
      </c>
      <c r="B1284" s="664" t="s">
        <v>1125</v>
      </c>
      <c r="C1284" s="664" t="s">
        <v>281</v>
      </c>
      <c r="D1284" s="755">
        <v>110929</v>
      </c>
      <c r="E1284" s="646" t="s">
        <v>2499</v>
      </c>
      <c r="F1284" s="647" t="s">
        <v>58</v>
      </c>
      <c r="G1284" s="647" t="s">
        <v>18</v>
      </c>
      <c r="H1284" s="647" t="s">
        <v>27</v>
      </c>
      <c r="I1284" s="575" t="s">
        <v>2503</v>
      </c>
      <c r="J1284" s="575">
        <v>1</v>
      </c>
      <c r="K1284" s="647" t="s">
        <v>1419</v>
      </c>
      <c r="L1284" s="657">
        <v>44781</v>
      </c>
      <c r="M1284" s="717">
        <v>5.2699999999999997E-2</v>
      </c>
      <c r="N1284" s="647" t="s">
        <v>205</v>
      </c>
      <c r="O1284" s="575">
        <v>2022.7</v>
      </c>
      <c r="P1284" s="665" t="str">
        <f>VLOOKUP(A1284,'[1]Raw data'!$B:$BA,23,FALSE)</f>
        <v>RMB</v>
      </c>
      <c r="Q1284" s="647" t="str">
        <f>VLOOKUP(A1284,'[1]Raw data'!$B:$Z,2,FALSE)</f>
        <v>C49SZX20220107DZ</v>
      </c>
      <c r="R1284" s="647" t="str">
        <f>VLOOKUP(A1284,'[1]Raw data'!$B:$Z,3,FALSE)</f>
        <v>朗特</v>
      </c>
      <c r="S1284" s="647" t="str">
        <f>VLOOKUP(A1284,'[1]Raw data'!$B:$Z,4,FALSE)</f>
        <v>YSM20R-2</v>
      </c>
      <c r="T1284" s="647" t="str">
        <f>VLOOKUP(A1284,'[1]Raw data'!$B:$Z,8,FALSE)</f>
        <v>R-&gt;L</v>
      </c>
      <c r="U1284" s="647" t="str">
        <f>VLOOKUP(A1284,'[1]Raw data'!$B:$Z,9,FALSE)</f>
        <v>No</v>
      </c>
      <c r="V1284" s="567" t="str">
        <f t="shared" si="283"/>
        <v>WRONG</v>
      </c>
      <c r="W1284" s="563" t="str">
        <f>VLOOKUP(A1284,'[1]Raw data'!$B:$AG,32,FALSE)</f>
        <v>DDP SZ</v>
      </c>
      <c r="X1284" s="647">
        <f>VLOOKUP(A1284,'[1]Raw data'!$B:$BA,31,FALSE)</f>
        <v>44846</v>
      </c>
      <c r="Y1284" s="647" t="str">
        <f>VLOOKUP(A1284,'[1]Raw data'!$B:$AS,39,FALSE)</f>
        <v>Yes</v>
      </c>
      <c r="Z1284" s="666"/>
      <c r="AA1284" s="660"/>
      <c r="AB1284" s="661"/>
      <c r="AC1284" s="647" t="s">
        <v>2336</v>
      </c>
      <c r="AD1284" s="575">
        <v>301</v>
      </c>
      <c r="AE1284" s="575">
        <v>10</v>
      </c>
      <c r="AF1284" s="575">
        <v>302</v>
      </c>
      <c r="AG1284" s="575">
        <v>5</v>
      </c>
      <c r="AH1284" s="575">
        <v>303</v>
      </c>
      <c r="AI1284" s="575">
        <v>5</v>
      </c>
      <c r="AJ1284" s="564"/>
      <c r="AK1284" s="564"/>
      <c r="AL1284" s="564"/>
      <c r="AM1284" s="564"/>
      <c r="AN1284" s="614"/>
      <c r="AO1284" s="824" t="str">
        <f t="shared" si="284"/>
        <v>Yes</v>
      </c>
      <c r="AP1284" s="259" t="str">
        <f t="shared" si="285"/>
        <v>OCT 22</v>
      </c>
      <c r="AQ1284" s="542" t="str">
        <f t="shared" si="286"/>
        <v>有定金+有預留客戶</v>
      </c>
      <c r="AR1284" s="259" t="str">
        <f t="shared" si="287"/>
        <v>Shipped_Stock</v>
      </c>
      <c r="AS1284" s="259" t="str">
        <f t="shared" si="288"/>
        <v/>
      </c>
      <c r="AT1284" s="259" t="str">
        <f t="shared" si="289"/>
        <v>朗特</v>
      </c>
      <c r="AU1284" s="259" t="str">
        <f t="shared" si="290"/>
        <v>C49SZX20220107DZ</v>
      </c>
      <c r="AV1284" s="259" t="str">
        <f t="shared" si="291"/>
        <v>Aug-08</v>
      </c>
    </row>
    <row r="1285" spans="1:48" hidden="1">
      <c r="A1285" s="559">
        <v>1656</v>
      </c>
      <c r="B1285" s="664" t="s">
        <v>1125</v>
      </c>
      <c r="C1285" s="664" t="s">
        <v>281</v>
      </c>
      <c r="D1285" s="755">
        <v>110929</v>
      </c>
      <c r="E1285" s="646" t="s">
        <v>2499</v>
      </c>
      <c r="F1285" s="647" t="s">
        <v>58</v>
      </c>
      <c r="G1285" s="647" t="s">
        <v>18</v>
      </c>
      <c r="H1285" s="647" t="s">
        <v>2504</v>
      </c>
      <c r="I1285" s="575" t="s">
        <v>2505</v>
      </c>
      <c r="J1285" s="575">
        <v>1</v>
      </c>
      <c r="K1285" s="647" t="s">
        <v>1419</v>
      </c>
      <c r="L1285" s="657">
        <v>44781</v>
      </c>
      <c r="M1285" s="665">
        <v>5.2699999999999997E-2</v>
      </c>
      <c r="N1285" s="647" t="s">
        <v>4004</v>
      </c>
      <c r="O1285" s="575">
        <v>2022.7</v>
      </c>
      <c r="P1285" s="665" t="str">
        <f>VLOOKUP(A1285,'[1]Raw data'!$B:$BA,23,FALSE)</f>
        <v>RMB</v>
      </c>
      <c r="Q1285" s="647" t="str">
        <f>VLOOKUP(A1285,'[1]Raw data'!$B:$Z,2,FALSE)</f>
        <v>SNFPC-CG-2022-008</v>
      </c>
      <c r="R1285" s="647" t="str">
        <f>VLOOKUP(A1285,'[1]Raw data'!$B:$Z,3,FALSE)</f>
        <v>康佳</v>
      </c>
      <c r="S1285" s="647" t="str">
        <f>VLOOKUP(A1285,'[1]Raw data'!$B:$Z,4,FALSE)</f>
        <v>YSM20R-2</v>
      </c>
      <c r="T1285" s="647" t="str">
        <f>VLOOKUP(A1285,'[1]Raw data'!$B:$Z,8,FALSE)</f>
        <v>R-&gt;L</v>
      </c>
      <c r="U1285" s="647" t="str">
        <f>VLOOKUP(A1285,'[1]Raw data'!$B:$Z,9,FALSE)</f>
        <v>No</v>
      </c>
      <c r="V1285" s="567" t="str">
        <f t="shared" si="283"/>
        <v>WRONG</v>
      </c>
      <c r="W1285" s="563" t="str">
        <f>VLOOKUP(A1285,'[1]Raw data'!$B:$AG,32,FALSE)</f>
        <v>DDP SN</v>
      </c>
      <c r="X1285" s="657">
        <f>VLOOKUP(A1285,'[1]Raw data'!$B:$BA,31,FALSE)</f>
        <v>44678</v>
      </c>
      <c r="Y1285" s="647" t="str">
        <f>VLOOKUP(A1285,'[1]Raw data'!$B:$AS,39,FALSE)</f>
        <v>Yes</v>
      </c>
      <c r="Z1285" s="659"/>
      <c r="AA1285" s="660"/>
      <c r="AB1285" s="661"/>
      <c r="AC1285" s="647" t="s">
        <v>1951</v>
      </c>
      <c r="AD1285" s="662">
        <v>301</v>
      </c>
      <c r="AE1285" s="662">
        <v>10</v>
      </c>
      <c r="AF1285" s="662">
        <v>302</v>
      </c>
      <c r="AG1285" s="662">
        <v>5</v>
      </c>
      <c r="AH1285" s="662">
        <v>303</v>
      </c>
      <c r="AI1285" s="662">
        <v>5</v>
      </c>
      <c r="AN1285" s="542"/>
      <c r="AO1285" s="824" t="str">
        <f t="shared" si="284"/>
        <v>Yes</v>
      </c>
      <c r="AP1285" s="259" t="str">
        <f t="shared" si="285"/>
        <v>AUG 23</v>
      </c>
      <c r="AQ1285" s="542" t="str">
        <f t="shared" si="286"/>
        <v>有定金+有預留客戶</v>
      </c>
      <c r="AR1285" s="259" t="str">
        <f t="shared" si="287"/>
        <v>Shipped_Stock</v>
      </c>
      <c r="AS1285" s="259" t="str">
        <f t="shared" si="288"/>
        <v/>
      </c>
      <c r="AT1285" s="259" t="str">
        <f t="shared" si="289"/>
        <v>康佳</v>
      </c>
      <c r="AU1285" s="259" t="str">
        <f t="shared" si="290"/>
        <v>SNFPC-CG-2022-008</v>
      </c>
      <c r="AV1285" s="259" t="str">
        <f t="shared" si="291"/>
        <v>Aug-08</v>
      </c>
    </row>
    <row r="1286" spans="1:48" ht="13.5" hidden="1" thickBot="1">
      <c r="A1286" s="559">
        <v>1657</v>
      </c>
      <c r="B1286" s="664" t="s">
        <v>1125</v>
      </c>
      <c r="C1286" s="664" t="s">
        <v>281</v>
      </c>
      <c r="D1286" s="624">
        <v>110929</v>
      </c>
      <c r="E1286" s="646" t="s">
        <v>2499</v>
      </c>
      <c r="F1286" s="647" t="s">
        <v>58</v>
      </c>
      <c r="G1286" s="647" t="s">
        <v>18</v>
      </c>
      <c r="H1286" s="647" t="s">
        <v>2504</v>
      </c>
      <c r="I1286" s="575" t="s">
        <v>2506</v>
      </c>
      <c r="J1286" s="575">
        <v>1</v>
      </c>
      <c r="K1286" s="647" t="s">
        <v>1419</v>
      </c>
      <c r="L1286" s="657">
        <v>44781</v>
      </c>
      <c r="M1286" s="665">
        <v>5.2699999999999997E-2</v>
      </c>
      <c r="N1286" s="647" t="s">
        <v>4004</v>
      </c>
      <c r="O1286" s="575">
        <v>2022.7</v>
      </c>
      <c r="P1286" s="665" t="str">
        <f>VLOOKUP(A1286,'[1]Raw data'!$B:$BA,23,FALSE)</f>
        <v>RMB</v>
      </c>
      <c r="Q1286" s="647" t="str">
        <f>VLOOKUP(A1286,'[1]Raw data'!$B:$Z,2,FALSE)</f>
        <v>SNFPC-CG-2022-008</v>
      </c>
      <c r="R1286" s="647" t="str">
        <f>VLOOKUP(A1286,'[1]Raw data'!$B:$Z,3,FALSE)</f>
        <v>康佳</v>
      </c>
      <c r="S1286" s="647" t="str">
        <f>VLOOKUP(A1286,'[1]Raw data'!$B:$Z,4,FALSE)</f>
        <v>YSM20R-2</v>
      </c>
      <c r="T1286" s="647" t="str">
        <f>VLOOKUP(A1286,'[1]Raw data'!$B:$Z,8,FALSE)</f>
        <v>R-&gt;L</v>
      </c>
      <c r="U1286" s="647" t="str">
        <f>VLOOKUP(A1286,'[1]Raw data'!$B:$Z,9,FALSE)</f>
        <v>No</v>
      </c>
      <c r="V1286" s="567" t="str">
        <f t="shared" si="283"/>
        <v>WRONG</v>
      </c>
      <c r="W1286" s="563" t="str">
        <f>VLOOKUP(A1286,'[1]Raw data'!$B:$AG,32,FALSE)</f>
        <v>DDP SN</v>
      </c>
      <c r="X1286" s="657">
        <f>VLOOKUP(A1286,'[1]Raw data'!$B:$BA,31,FALSE)</f>
        <v>44678</v>
      </c>
      <c r="Y1286" s="647" t="str">
        <f>VLOOKUP(A1286,'[1]Raw data'!$B:$AS,39,FALSE)</f>
        <v>Yes</v>
      </c>
      <c r="Z1286" s="659"/>
      <c r="AA1286" s="660"/>
      <c r="AB1286" s="661"/>
      <c r="AC1286" s="647" t="s">
        <v>1951</v>
      </c>
      <c r="AD1286" s="662">
        <v>301</v>
      </c>
      <c r="AE1286" s="662">
        <v>5</v>
      </c>
      <c r="AF1286" s="662">
        <v>302</v>
      </c>
      <c r="AG1286" s="662">
        <v>10</v>
      </c>
      <c r="AH1286" s="662">
        <v>304</v>
      </c>
      <c r="AI1286" s="663">
        <v>5</v>
      </c>
      <c r="AN1286" s="542"/>
      <c r="AO1286" s="824" t="str">
        <f t="shared" si="284"/>
        <v>Yes</v>
      </c>
      <c r="AP1286" s="259" t="str">
        <f t="shared" si="285"/>
        <v>AUG 23</v>
      </c>
      <c r="AQ1286" s="542" t="str">
        <f t="shared" si="286"/>
        <v>有定金+有預留客戶</v>
      </c>
      <c r="AR1286" s="259" t="str">
        <f t="shared" si="287"/>
        <v>Shipped_Stock</v>
      </c>
      <c r="AS1286" s="259" t="str">
        <f t="shared" si="288"/>
        <v/>
      </c>
      <c r="AT1286" s="259" t="str">
        <f t="shared" si="289"/>
        <v>康佳</v>
      </c>
      <c r="AU1286" s="259" t="str">
        <f t="shared" si="290"/>
        <v>SNFPC-CG-2022-008</v>
      </c>
      <c r="AV1286" s="259" t="str">
        <f t="shared" si="291"/>
        <v>Aug-08</v>
      </c>
    </row>
    <row r="1287" spans="1:48" hidden="1">
      <c r="A1287" s="599">
        <v>1764</v>
      </c>
      <c r="B1287" s="664" t="s">
        <v>1125</v>
      </c>
      <c r="C1287" s="664" t="s">
        <v>281</v>
      </c>
      <c r="D1287" s="761" t="s">
        <v>2507</v>
      </c>
      <c r="E1287" s="646" t="s">
        <v>2508</v>
      </c>
      <c r="F1287" s="647" t="s">
        <v>17</v>
      </c>
      <c r="G1287" s="647" t="s">
        <v>18</v>
      </c>
      <c r="H1287" s="647" t="s">
        <v>2509</v>
      </c>
      <c r="I1287" s="575" t="s">
        <v>2510</v>
      </c>
      <c r="J1287" s="575">
        <v>1</v>
      </c>
      <c r="K1287" s="647" t="s">
        <v>1419</v>
      </c>
      <c r="L1287" s="657">
        <v>44781</v>
      </c>
      <c r="M1287" s="791">
        <v>5.1200000000000002E-2</v>
      </c>
      <c r="N1287" s="647" t="s">
        <v>220</v>
      </c>
      <c r="O1287" s="575">
        <v>2022.7</v>
      </c>
      <c r="P1287" s="665" t="str">
        <f>VLOOKUP(A1287,'[1]Raw data'!$B:$BA,23,FALSE)</f>
        <v>RMB</v>
      </c>
      <c r="Q1287" s="647" t="str">
        <f>VLOOKUP(A1287,'[1]Raw data'!$B:$Z,2,FALSE)</f>
        <v>C49SZX20220125RZ</v>
      </c>
      <c r="R1287" s="647" t="str">
        <f>VLOOKUP(A1287,'[1]Raw data'!$B:$Z,3,FALSE)</f>
        <v>乐迪泰</v>
      </c>
      <c r="S1287" s="647" t="str">
        <f>VLOOKUP(A1287,'[1]Raw data'!$B:$Z,4,FALSE)</f>
        <v>YSM10</v>
      </c>
      <c r="T1287" s="647" t="str">
        <f>VLOOKUP(A1287,'[1]Raw data'!$B:$Z,8,FALSE)</f>
        <v>L-&gt;R</v>
      </c>
      <c r="U1287" s="647" t="str">
        <f>VLOOKUP(A1287,'[1]Raw data'!$B:$Z,9,FALSE)</f>
        <v>大板相机</v>
      </c>
      <c r="V1287" s="567" t="str">
        <f t="shared" ref="V1287:V1288" si="292">IF(G1287&amp;H1287=T1287&amp;U1287,"OK","WRONG")</f>
        <v>WRONG</v>
      </c>
      <c r="W1287" s="563" t="str">
        <f>VLOOKUP(A1287,'[1]Raw data'!$B:$AG,32,FALSE)</f>
        <v>DDP SZ</v>
      </c>
      <c r="X1287" s="647">
        <f>VLOOKUP(A1287,'[1]Raw data'!$B:$BA,31,FALSE)</f>
        <v>44895</v>
      </c>
      <c r="Y1287" s="647" t="str">
        <f>VLOOKUP(A1287,'[1]Raw data'!$B:$AS,39,FALSE)</f>
        <v>Yes</v>
      </c>
      <c r="Z1287" s="666"/>
      <c r="AA1287" s="660"/>
      <c r="AB1287" s="661"/>
      <c r="AC1287" s="647" t="s">
        <v>2511</v>
      </c>
      <c r="AD1287" s="575">
        <v>301</v>
      </c>
      <c r="AE1287" s="575">
        <v>5</v>
      </c>
      <c r="AF1287" s="575">
        <v>302</v>
      </c>
      <c r="AG1287" s="575">
        <v>3</v>
      </c>
      <c r="AH1287" s="575">
        <v>303</v>
      </c>
      <c r="AI1287" s="679">
        <v>1</v>
      </c>
      <c r="AJ1287" s="575">
        <v>304</v>
      </c>
      <c r="AK1287" s="679">
        <v>1</v>
      </c>
      <c r="AL1287" s="564"/>
      <c r="AM1287" s="564"/>
      <c r="AN1287" s="614"/>
      <c r="AO1287" s="824" t="str">
        <f t="shared" si="284"/>
        <v>Yes</v>
      </c>
      <c r="AP1287" s="259" t="str">
        <f t="shared" si="285"/>
        <v>DEC 22</v>
      </c>
      <c r="AQ1287" s="542" t="str">
        <f t="shared" si="286"/>
        <v>有定金+有預留客戶</v>
      </c>
      <c r="AR1287" s="259" t="str">
        <f t="shared" si="287"/>
        <v>Shipped_Stock</v>
      </c>
      <c r="AS1287" s="259" t="str">
        <f t="shared" si="288"/>
        <v/>
      </c>
      <c r="AT1287" s="259" t="str">
        <f t="shared" si="289"/>
        <v>乐迪泰</v>
      </c>
      <c r="AU1287" s="259" t="str">
        <f t="shared" si="290"/>
        <v>C49SZX20220125RZ</v>
      </c>
      <c r="AV1287" s="259" t="str">
        <f t="shared" si="291"/>
        <v>Aug-08</v>
      </c>
    </row>
    <row r="1288" spans="1:48" hidden="1">
      <c r="A1288" s="559">
        <v>1855</v>
      </c>
      <c r="B1288" s="664" t="s">
        <v>1125</v>
      </c>
      <c r="C1288" s="664" t="s">
        <v>281</v>
      </c>
      <c r="D1288" s="755" t="s">
        <v>2507</v>
      </c>
      <c r="E1288" s="646" t="s">
        <v>2508</v>
      </c>
      <c r="F1288" s="647" t="s">
        <v>17</v>
      </c>
      <c r="G1288" s="647" t="s">
        <v>18</v>
      </c>
      <c r="H1288" s="647" t="s">
        <v>2509</v>
      </c>
      <c r="I1288" s="575" t="s">
        <v>2512</v>
      </c>
      <c r="J1288" s="575">
        <v>1</v>
      </c>
      <c r="K1288" s="647" t="s">
        <v>1419</v>
      </c>
      <c r="L1288" s="657">
        <v>44781</v>
      </c>
      <c r="M1288" s="665">
        <v>5.1200000000000002E-2</v>
      </c>
      <c r="N1288" s="647" t="s">
        <v>3968</v>
      </c>
      <c r="O1288" s="575">
        <v>2022.7</v>
      </c>
      <c r="P1288" s="665" t="str">
        <f>VLOOKUP(A1288,'[1]Raw data'!$B:$BA,23,FALSE)</f>
        <v>RMB</v>
      </c>
      <c r="Q1288" s="647" t="str">
        <f>VLOOKUP(A1288,'[1]Raw data'!$B:$Z,2,FALSE)</f>
        <v>C49SZX20230020SX</v>
      </c>
      <c r="R1288" s="647" t="str">
        <f>VLOOKUP(A1288,'[1]Raw data'!$B:$Z,3,FALSE)</f>
        <v>奕东</v>
      </c>
      <c r="S1288" s="647" t="str">
        <f>VLOOKUP(A1288,'[1]Raw data'!$B:$Z,4,FALSE)</f>
        <v>YSM10</v>
      </c>
      <c r="T1288" s="647" t="str">
        <f>VLOOKUP(A1288,'[1]Raw data'!$B:$Z,8,FALSE)</f>
        <v>L-&gt;R</v>
      </c>
      <c r="U1288" s="647" t="str">
        <f>VLOOKUP(A1288,'[1]Raw data'!$B:$Z,9,FALSE)</f>
        <v>MVC +大板相机</v>
      </c>
      <c r="V1288" s="567" t="str">
        <f t="shared" si="292"/>
        <v>WRONG</v>
      </c>
      <c r="W1288" s="563" t="str">
        <f>VLOOKUP(A1288,'[1]Raw data'!$B:$AG,32,FALSE)</f>
        <v>DDP DG</v>
      </c>
      <c r="X1288" s="657" t="str">
        <f>VLOOKUP(A1288,'[1]Raw data'!$B:$BA,31,FALSE)</f>
        <v>2023-2--20</v>
      </c>
      <c r="Y1288" s="647" t="str">
        <f>VLOOKUP(A1288,'[1]Raw data'!$B:$AS,39,FALSE)</f>
        <v>Yes</v>
      </c>
      <c r="Z1288" s="659"/>
      <c r="AA1288" s="660"/>
      <c r="AB1288" s="661"/>
      <c r="AC1288" s="647" t="s">
        <v>1951</v>
      </c>
      <c r="AD1288" s="662">
        <v>301</v>
      </c>
      <c r="AE1288" s="662">
        <v>5</v>
      </c>
      <c r="AF1288" s="662">
        <v>302</v>
      </c>
      <c r="AG1288" s="662">
        <v>3</v>
      </c>
      <c r="AH1288" s="662">
        <v>303</v>
      </c>
      <c r="AI1288" s="663">
        <v>1</v>
      </c>
      <c r="AJ1288" s="662">
        <v>304</v>
      </c>
      <c r="AK1288" s="663">
        <v>1</v>
      </c>
      <c r="AN1288" s="542"/>
      <c r="AO1288" s="824" t="str">
        <f t="shared" si="284"/>
        <v>Yes</v>
      </c>
      <c r="AP1288" s="259" t="str">
        <f t="shared" si="285"/>
        <v>JUN 23</v>
      </c>
      <c r="AQ1288" s="542" t="str">
        <f t="shared" si="286"/>
        <v>有定金+有預留客戶</v>
      </c>
      <c r="AR1288" s="259" t="str">
        <f t="shared" si="287"/>
        <v>Shipped_Stock</v>
      </c>
      <c r="AS1288" s="259" t="str">
        <f t="shared" si="288"/>
        <v/>
      </c>
      <c r="AT1288" s="259" t="str">
        <f t="shared" si="289"/>
        <v>奕东</v>
      </c>
      <c r="AU1288" s="259" t="str">
        <f t="shared" si="290"/>
        <v>C49SZX20230020SX</v>
      </c>
      <c r="AV1288" s="259" t="str">
        <f t="shared" si="291"/>
        <v>Aug-08</v>
      </c>
    </row>
    <row r="1289" spans="1:48" hidden="1">
      <c r="A1289" s="599">
        <v>1813</v>
      </c>
      <c r="B1289" s="664" t="s">
        <v>1125</v>
      </c>
      <c r="C1289" s="664" t="s">
        <v>281</v>
      </c>
      <c r="D1289" s="755" t="s">
        <v>2507</v>
      </c>
      <c r="E1289" s="646" t="s">
        <v>2508</v>
      </c>
      <c r="F1289" s="647" t="s">
        <v>17</v>
      </c>
      <c r="G1289" s="647" t="s">
        <v>18</v>
      </c>
      <c r="H1289" s="647" t="s">
        <v>2509</v>
      </c>
      <c r="I1289" s="575" t="s">
        <v>2513</v>
      </c>
      <c r="J1289" s="575">
        <v>1</v>
      </c>
      <c r="K1289" s="647" t="s">
        <v>1419</v>
      </c>
      <c r="L1289" s="657">
        <v>44781</v>
      </c>
      <c r="M1289" s="717">
        <v>5.2499999999999998E-2</v>
      </c>
      <c r="N1289" s="647" t="s">
        <v>216</v>
      </c>
      <c r="O1289" s="575">
        <v>2022.7</v>
      </c>
      <c r="P1289" s="665" t="str">
        <f>VLOOKUP(A1289,'[1]Raw data'!$B:$BA,23,FALSE)</f>
        <v>RMB</v>
      </c>
      <c r="Q1289" s="647" t="str">
        <f>VLOOKUP(A1289,'[1]Raw data'!$B:$Z,2,FALSE)</f>
        <v>C49SZX20230009SX</v>
      </c>
      <c r="R1289" s="647" t="str">
        <f>VLOOKUP(A1289,'[1]Raw data'!$B:$Z,3,FALSE)</f>
        <v>利速达</v>
      </c>
      <c r="S1289" s="647" t="str">
        <f>VLOOKUP(A1289,'[1]Raw data'!$B:$Z,4,FALSE)</f>
        <v>YSM10</v>
      </c>
      <c r="T1289" s="647" t="str">
        <f>VLOOKUP(A1289,'[1]Raw data'!$B:$Z,8,FALSE)</f>
        <v>L-&gt;R</v>
      </c>
      <c r="U1289" s="647" t="str">
        <f>VLOOKUP(A1289,'[1]Raw data'!$B:$Z,9,FALSE)</f>
        <v>MVC</v>
      </c>
      <c r="V1289" s="567" t="str">
        <f t="shared" ref="V1289:V1291" si="293">IF(G1289&amp;H1289=T1289&amp;U1289,"OK","WRONG")</f>
        <v>WRONG</v>
      </c>
      <c r="W1289" s="563" t="str">
        <f>VLOOKUP(A1289,'[1]Raw data'!$B:$AG,32,FALSE)</f>
        <v>DDP SZ</v>
      </c>
      <c r="X1289" s="647">
        <f>VLOOKUP(A1289,'[1]Raw data'!$B:$BA,31,FALSE)</f>
        <v>44937</v>
      </c>
      <c r="Y1289" s="647" t="str">
        <f>VLOOKUP(A1289,'[1]Raw data'!$B:$AS,39,FALSE)</f>
        <v>Yes</v>
      </c>
      <c r="Z1289" s="659"/>
      <c r="AA1289" s="660"/>
      <c r="AB1289" s="661"/>
      <c r="AC1289" s="647" t="s">
        <v>2514</v>
      </c>
      <c r="AD1289" s="575">
        <v>301</v>
      </c>
      <c r="AE1289" s="575">
        <v>5</v>
      </c>
      <c r="AF1289" s="575">
        <v>302</v>
      </c>
      <c r="AG1289" s="575">
        <v>3</v>
      </c>
      <c r="AH1289" s="575">
        <v>303</v>
      </c>
      <c r="AI1289" s="679">
        <v>1</v>
      </c>
      <c r="AJ1289" s="575">
        <v>304</v>
      </c>
      <c r="AK1289" s="679">
        <v>1</v>
      </c>
      <c r="AL1289" s="564"/>
      <c r="AM1289" s="564"/>
      <c r="AN1289" s="614"/>
      <c r="AO1289" s="824" t="str">
        <f t="shared" si="284"/>
        <v>Yes</v>
      </c>
      <c r="AP1289" s="259" t="str">
        <f t="shared" si="285"/>
        <v>MAR 23</v>
      </c>
      <c r="AQ1289" s="542" t="str">
        <f t="shared" si="286"/>
        <v>有定金+有預留客戶</v>
      </c>
      <c r="AR1289" s="259" t="str">
        <f t="shared" si="287"/>
        <v>Shipped_Stock</v>
      </c>
      <c r="AS1289" s="259" t="str">
        <f t="shared" si="288"/>
        <v/>
      </c>
      <c r="AT1289" s="259" t="str">
        <f t="shared" si="289"/>
        <v>利速达</v>
      </c>
      <c r="AU1289" s="259" t="str">
        <f t="shared" si="290"/>
        <v>C49SZX20230009SX</v>
      </c>
      <c r="AV1289" s="259" t="str">
        <f t="shared" si="291"/>
        <v>Aug-08</v>
      </c>
    </row>
    <row r="1290" spans="1:48" hidden="1">
      <c r="A1290" s="559">
        <v>1902</v>
      </c>
      <c r="B1290" s="664" t="s">
        <v>1125</v>
      </c>
      <c r="C1290" s="664" t="s">
        <v>281</v>
      </c>
      <c r="D1290" s="755" t="s">
        <v>2507</v>
      </c>
      <c r="E1290" s="646" t="s">
        <v>2508</v>
      </c>
      <c r="F1290" s="647" t="s">
        <v>17</v>
      </c>
      <c r="G1290" s="647" t="s">
        <v>18</v>
      </c>
      <c r="H1290" s="647" t="s">
        <v>2509</v>
      </c>
      <c r="I1290" s="575" t="s">
        <v>2515</v>
      </c>
      <c r="J1290" s="575">
        <v>1</v>
      </c>
      <c r="K1290" s="647" t="s">
        <v>1419</v>
      </c>
      <c r="L1290" s="657">
        <v>44781</v>
      </c>
      <c r="M1290" s="665">
        <v>5.2499999999999998E-2</v>
      </c>
      <c r="N1290" s="647" t="s">
        <v>226</v>
      </c>
      <c r="O1290" s="575">
        <v>2022.7</v>
      </c>
      <c r="P1290" s="665" t="str">
        <f>VLOOKUP(A1290,'[1]Raw data'!$B:$BA,23,FALSE)</f>
        <v>RMB</v>
      </c>
      <c r="Q1290" s="647" t="str">
        <f>VLOOKUP(A1290,'[1]Raw data'!$B:$Z,2,FALSE)</f>
        <v>C49SZX20230049JY</v>
      </c>
      <c r="R1290" s="647" t="str">
        <f>VLOOKUP(A1290,'[1]Raw data'!$B:$Z,3,FALSE)</f>
        <v>和创永泰</v>
      </c>
      <c r="S1290" s="647" t="str">
        <f>VLOOKUP(A1290,'[1]Raw data'!$B:$Z,4,FALSE)</f>
        <v>YSM10</v>
      </c>
      <c r="T1290" s="647" t="str">
        <f>VLOOKUP(A1290,'[1]Raw data'!$B:$Z,8,FALSE)</f>
        <v>L-&gt;R</v>
      </c>
      <c r="U1290" s="647" t="str">
        <f>VLOOKUP(A1290,'[1]Raw data'!$B:$Z,9,FALSE)</f>
        <v>MVC</v>
      </c>
      <c r="V1290" s="567" t="str">
        <f t="shared" si="293"/>
        <v>WRONG</v>
      </c>
      <c r="W1290" s="563" t="str">
        <f>VLOOKUP(A1290,'[1]Raw data'!$B:$AG,32,FALSE)</f>
        <v>DDP SZ</v>
      </c>
      <c r="X1290" s="647">
        <f>VLOOKUP(A1290,'[1]Raw data'!$B:$BA,31,FALSE)</f>
        <v>45036</v>
      </c>
      <c r="Y1290" s="647" t="str">
        <f>VLOOKUP(A1290,'[1]Raw data'!$B:$AS,39,FALSE)</f>
        <v>Yes</v>
      </c>
      <c r="Z1290" s="659"/>
      <c r="AA1290" s="660"/>
      <c r="AB1290" s="661"/>
      <c r="AC1290" s="647" t="s">
        <v>2436</v>
      </c>
      <c r="AD1290" s="662">
        <v>301</v>
      </c>
      <c r="AE1290" s="662">
        <v>5</v>
      </c>
      <c r="AF1290" s="662">
        <v>302</v>
      </c>
      <c r="AG1290" s="662">
        <v>3</v>
      </c>
      <c r="AH1290" s="662">
        <v>303</v>
      </c>
      <c r="AI1290" s="663">
        <v>1</v>
      </c>
      <c r="AJ1290" s="662">
        <v>304</v>
      </c>
      <c r="AK1290" s="663">
        <v>1</v>
      </c>
      <c r="AN1290" s="542"/>
      <c r="AO1290" s="824" t="str">
        <f t="shared" si="284"/>
        <v>Yes</v>
      </c>
      <c r="AP1290" s="259" t="str">
        <f t="shared" si="285"/>
        <v>APR 23</v>
      </c>
      <c r="AQ1290" s="542" t="str">
        <f t="shared" si="286"/>
        <v>有定金+有預留客戶</v>
      </c>
      <c r="AR1290" s="259" t="str">
        <f t="shared" si="287"/>
        <v>Shipped_Stock</v>
      </c>
      <c r="AS1290" s="259" t="str">
        <f t="shared" si="288"/>
        <v/>
      </c>
      <c r="AT1290" s="259" t="str">
        <f t="shared" si="289"/>
        <v>和创永泰</v>
      </c>
      <c r="AU1290" s="259" t="str">
        <f t="shared" si="290"/>
        <v>C49SZX20230049JY</v>
      </c>
      <c r="AV1290" s="259" t="str">
        <f t="shared" si="291"/>
        <v>Aug-08</v>
      </c>
    </row>
    <row r="1291" spans="1:48" ht="13.5" hidden="1" thickBot="1">
      <c r="A1291" s="599">
        <v>1909</v>
      </c>
      <c r="B1291" s="664" t="s">
        <v>1125</v>
      </c>
      <c r="C1291" s="664" t="s">
        <v>281</v>
      </c>
      <c r="D1291" s="624" t="s">
        <v>2507</v>
      </c>
      <c r="E1291" s="646" t="s">
        <v>2508</v>
      </c>
      <c r="F1291" s="647" t="s">
        <v>17</v>
      </c>
      <c r="G1291" s="647" t="s">
        <v>18</v>
      </c>
      <c r="H1291" s="647" t="s">
        <v>2509</v>
      </c>
      <c r="I1291" s="575" t="s">
        <v>2516</v>
      </c>
      <c r="J1291" s="575">
        <v>1</v>
      </c>
      <c r="K1291" s="647" t="s">
        <v>1419</v>
      </c>
      <c r="L1291" s="657">
        <v>44781</v>
      </c>
      <c r="M1291" s="665">
        <v>5.2499999999999998E-2</v>
      </c>
      <c r="N1291" s="647" t="s">
        <v>2502</v>
      </c>
      <c r="O1291" s="575">
        <v>2022.7</v>
      </c>
      <c r="P1291" s="665" t="str">
        <f>VLOOKUP(A1291,'[1]Raw data'!$B:$BA,23,FALSE)</f>
        <v>RMB</v>
      </c>
      <c r="Q1291" s="647" t="str">
        <f>VLOOKUP(A1291,'[1]Raw data'!$B:$Z,2,FALSE)</f>
        <v>C49SZX20230052MZ</v>
      </c>
      <c r="R1291" s="647" t="str">
        <f>VLOOKUP(A1291,'[1]Raw data'!$B:$Z,3,FALSE)</f>
        <v>佳润</v>
      </c>
      <c r="S1291" s="647" t="str">
        <f>VLOOKUP(A1291,'[1]Raw data'!$B:$Z,4,FALSE)</f>
        <v>YSM10</v>
      </c>
      <c r="T1291" s="647" t="str">
        <f>VLOOKUP(A1291,'[1]Raw data'!$B:$Z,8,FALSE)</f>
        <v>R-&gt;L</v>
      </c>
      <c r="U1291" s="647" t="str">
        <f>VLOOKUP(A1291,'[1]Raw data'!$B:$Z,9,FALSE)</f>
        <v>MVC</v>
      </c>
      <c r="V1291" s="567" t="str">
        <f t="shared" si="293"/>
        <v>WRONG</v>
      </c>
      <c r="W1291" s="563" t="str">
        <f>VLOOKUP(A1291,'[1]Raw data'!$B:$AG,32,FALSE)</f>
        <v>DDP HZ</v>
      </c>
      <c r="X1291" s="647">
        <f>VLOOKUP(A1291,'[1]Raw data'!$B:$BA,31,FALSE)</f>
        <v>45037</v>
      </c>
      <c r="Y1291" s="647" t="str">
        <f>VLOOKUP(A1291,'[1]Raw data'!$B:$AS,39,FALSE)</f>
        <v>Yes</v>
      </c>
      <c r="Z1291" s="659"/>
      <c r="AA1291" s="660"/>
      <c r="AB1291" s="661"/>
      <c r="AC1291" s="647" t="s">
        <v>3947</v>
      </c>
      <c r="AD1291" s="575">
        <v>301</v>
      </c>
      <c r="AE1291" s="575">
        <v>5</v>
      </c>
      <c r="AF1291" s="575">
        <v>302</v>
      </c>
      <c r="AG1291" s="575">
        <v>3</v>
      </c>
      <c r="AH1291" s="575">
        <v>303</v>
      </c>
      <c r="AI1291" s="679">
        <v>1</v>
      </c>
      <c r="AJ1291" s="575">
        <v>304</v>
      </c>
      <c r="AK1291" s="679">
        <v>1</v>
      </c>
      <c r="AL1291" s="564"/>
      <c r="AM1291" s="564"/>
      <c r="AN1291" s="614"/>
      <c r="AO1291" s="824" t="str">
        <f t="shared" si="284"/>
        <v>Yes</v>
      </c>
      <c r="AP1291" s="259" t="str">
        <f t="shared" si="285"/>
        <v>MAY 23</v>
      </c>
      <c r="AQ1291" s="542" t="str">
        <f t="shared" si="286"/>
        <v>有定金+有預留客戶</v>
      </c>
      <c r="AR1291" s="259" t="str">
        <f t="shared" si="287"/>
        <v>Shipped_Stock</v>
      </c>
      <c r="AS1291" s="259" t="str">
        <f t="shared" si="288"/>
        <v/>
      </c>
      <c r="AT1291" s="259" t="str">
        <f t="shared" si="289"/>
        <v>佳润</v>
      </c>
      <c r="AU1291" s="259" t="str">
        <f t="shared" si="290"/>
        <v>C49SZX20230052MZ</v>
      </c>
      <c r="AV1291" s="259" t="str">
        <f t="shared" si="291"/>
        <v>Aug-08</v>
      </c>
    </row>
    <row r="1292" spans="1:48" hidden="1">
      <c r="A1292" s="559">
        <v>1837</v>
      </c>
      <c r="B1292" s="664" t="s">
        <v>1125</v>
      </c>
      <c r="C1292" s="664" t="s">
        <v>281</v>
      </c>
      <c r="D1292" s="761">
        <v>111006</v>
      </c>
      <c r="E1292" s="646" t="s">
        <v>2508</v>
      </c>
      <c r="F1292" s="647" t="s">
        <v>17</v>
      </c>
      <c r="G1292" s="647" t="s">
        <v>18</v>
      </c>
      <c r="H1292" s="647" t="s">
        <v>27</v>
      </c>
      <c r="I1292" s="575" t="s">
        <v>2517</v>
      </c>
      <c r="J1292" s="575">
        <v>1</v>
      </c>
      <c r="K1292" s="647" t="s">
        <v>1419</v>
      </c>
      <c r="L1292" s="657">
        <v>44781</v>
      </c>
      <c r="M1292" s="717">
        <v>5.2499999999999998E-2</v>
      </c>
      <c r="N1292" s="647" t="s">
        <v>216</v>
      </c>
      <c r="O1292" s="575">
        <v>2022.7</v>
      </c>
      <c r="P1292" s="665" t="str">
        <f>VLOOKUP(A1292,'[1]Raw data'!$B:$BA,23,FALSE)</f>
        <v>RMB</v>
      </c>
      <c r="Q1292" s="647" t="str">
        <f>VLOOKUP(A1292,'[1]Raw data'!$B:$Z,2,FALSE)</f>
        <v>C49SZX20230022SX</v>
      </c>
      <c r="R1292" s="647" t="str">
        <f>VLOOKUP(A1292,'[1]Raw data'!$B:$Z,3,FALSE)</f>
        <v>锐诚</v>
      </c>
      <c r="S1292" s="647" t="str">
        <f>VLOOKUP(A1292,'[1]Raw data'!$B:$Z,4,FALSE)</f>
        <v>YSM10</v>
      </c>
      <c r="T1292" s="647" t="str">
        <f>VLOOKUP(A1292,'[1]Raw data'!$B:$Z,8,FALSE)</f>
        <v>L-&gt;R</v>
      </c>
      <c r="U1292" s="647" t="str">
        <f>VLOOKUP(A1292,'[1]Raw data'!$B:$Z,9,FALSE)</f>
        <v>MVC</v>
      </c>
      <c r="V1292" s="567" t="str">
        <f t="shared" ref="V1292:V1308" si="294">IF(G1292&amp;H1292=T1292&amp;U1292,"OK","WRONG")</f>
        <v>WRONG</v>
      </c>
      <c r="W1292" s="563" t="str">
        <f>VLOOKUP(A1292,'[1]Raw data'!$B:$AG,32,FALSE)</f>
        <v>DDP HZ</v>
      </c>
      <c r="X1292" s="647">
        <f>VLOOKUP(A1292,'[1]Raw data'!$B:$BA,31,FALSE)</f>
        <v>44978</v>
      </c>
      <c r="Y1292" s="647" t="str">
        <f>VLOOKUP(A1292,'[1]Raw data'!$B:$AS,39,FALSE)</f>
        <v>Yes</v>
      </c>
      <c r="Z1292" s="666"/>
      <c r="AA1292" s="667"/>
      <c r="AB1292" s="668"/>
      <c r="AC1292" s="710" t="s">
        <v>2518</v>
      </c>
      <c r="AD1292" s="662">
        <v>301</v>
      </c>
      <c r="AE1292" s="662">
        <v>3</v>
      </c>
      <c r="AF1292" s="662">
        <v>302</v>
      </c>
      <c r="AG1292" s="662">
        <v>5</v>
      </c>
      <c r="AH1292" s="662">
        <v>303</v>
      </c>
      <c r="AI1292" s="663">
        <v>1</v>
      </c>
      <c r="AJ1292" s="662">
        <v>304</v>
      </c>
      <c r="AK1292" s="663">
        <v>1</v>
      </c>
      <c r="AN1292" s="542"/>
      <c r="AO1292" s="824" t="str">
        <f t="shared" si="284"/>
        <v>Yes</v>
      </c>
      <c r="AP1292" s="259" t="str">
        <f t="shared" si="285"/>
        <v>MAR 23</v>
      </c>
      <c r="AQ1292" s="542" t="str">
        <f t="shared" si="286"/>
        <v>有定金+有預留客戶</v>
      </c>
      <c r="AR1292" s="259" t="str">
        <f t="shared" si="287"/>
        <v>Shipped_Stock</v>
      </c>
      <c r="AS1292" s="259" t="str">
        <f t="shared" si="288"/>
        <v/>
      </c>
      <c r="AT1292" s="259" t="str">
        <f t="shared" si="289"/>
        <v>锐诚</v>
      </c>
      <c r="AU1292" s="259" t="str">
        <f t="shared" si="290"/>
        <v>C49SZX20230022SX</v>
      </c>
      <c r="AV1292" s="259" t="str">
        <f t="shared" si="291"/>
        <v>Aug-08</v>
      </c>
    </row>
    <row r="1293" spans="1:48" hidden="1">
      <c r="A1293" s="559">
        <v>1838</v>
      </c>
      <c r="B1293" s="664" t="s">
        <v>1125</v>
      </c>
      <c r="C1293" s="664" t="s">
        <v>281</v>
      </c>
      <c r="D1293" s="755">
        <v>111006</v>
      </c>
      <c r="E1293" s="646" t="s">
        <v>2508</v>
      </c>
      <c r="F1293" s="647" t="s">
        <v>17</v>
      </c>
      <c r="G1293" s="647" t="s">
        <v>18</v>
      </c>
      <c r="H1293" s="647" t="s">
        <v>27</v>
      </c>
      <c r="I1293" s="575" t="s">
        <v>2519</v>
      </c>
      <c r="J1293" s="575">
        <v>1</v>
      </c>
      <c r="K1293" s="647" t="s">
        <v>1419</v>
      </c>
      <c r="L1293" s="657">
        <v>44781</v>
      </c>
      <c r="M1293" s="717">
        <v>5.2699999999999997E-2</v>
      </c>
      <c r="N1293" s="647" t="s">
        <v>216</v>
      </c>
      <c r="O1293" s="575">
        <v>2022.7</v>
      </c>
      <c r="P1293" s="665" t="str">
        <f>VLOOKUP(A1293,'[1]Raw data'!$B:$BA,23,FALSE)</f>
        <v>RMB</v>
      </c>
      <c r="Q1293" s="647" t="str">
        <f>VLOOKUP(A1293,'[1]Raw data'!$B:$Z,2,FALSE)</f>
        <v>C49SZX20230022SX</v>
      </c>
      <c r="R1293" s="647" t="str">
        <f>VLOOKUP(A1293,'[1]Raw data'!$B:$Z,3,FALSE)</f>
        <v>锐诚</v>
      </c>
      <c r="S1293" s="647" t="str">
        <f>VLOOKUP(A1293,'[1]Raw data'!$B:$Z,4,FALSE)</f>
        <v>YSM10</v>
      </c>
      <c r="T1293" s="647" t="str">
        <f>VLOOKUP(A1293,'[1]Raw data'!$B:$Z,8,FALSE)</f>
        <v>L-&gt;R</v>
      </c>
      <c r="U1293" s="647" t="str">
        <f>VLOOKUP(A1293,'[1]Raw data'!$B:$Z,9,FALSE)</f>
        <v>MVC</v>
      </c>
      <c r="V1293" s="567" t="str">
        <f t="shared" si="294"/>
        <v>WRONG</v>
      </c>
      <c r="W1293" s="563" t="str">
        <f>VLOOKUP(A1293,'[1]Raw data'!$B:$AG,32,FALSE)</f>
        <v>DDP HZ</v>
      </c>
      <c r="X1293" s="647">
        <f>VLOOKUP(A1293,'[1]Raw data'!$B:$BA,31,FALSE)</f>
        <v>44978</v>
      </c>
      <c r="Y1293" s="647" t="str">
        <f>VLOOKUP(A1293,'[1]Raw data'!$B:$AS,39,FALSE)</f>
        <v>Yes</v>
      </c>
      <c r="Z1293" s="666"/>
      <c r="AA1293" s="667"/>
      <c r="AB1293" s="668"/>
      <c r="AC1293" s="710" t="s">
        <v>2518</v>
      </c>
      <c r="AD1293" s="662">
        <v>301</v>
      </c>
      <c r="AE1293" s="662">
        <v>3</v>
      </c>
      <c r="AF1293" s="662">
        <v>302</v>
      </c>
      <c r="AG1293" s="662">
        <v>5</v>
      </c>
      <c r="AH1293" s="662">
        <v>303</v>
      </c>
      <c r="AI1293" s="663">
        <v>1</v>
      </c>
      <c r="AJ1293" s="662">
        <v>304</v>
      </c>
      <c r="AK1293" s="663">
        <v>1</v>
      </c>
      <c r="AN1293" s="542"/>
      <c r="AO1293" s="824" t="str">
        <f t="shared" si="284"/>
        <v>Yes</v>
      </c>
      <c r="AP1293" s="259" t="str">
        <f t="shared" si="285"/>
        <v>MAR 23</v>
      </c>
      <c r="AQ1293" s="542" t="str">
        <f t="shared" si="286"/>
        <v>有定金+有預留客戶</v>
      </c>
      <c r="AR1293" s="259" t="str">
        <f t="shared" si="287"/>
        <v>Shipped_Stock</v>
      </c>
      <c r="AS1293" s="259" t="str">
        <f t="shared" si="288"/>
        <v/>
      </c>
      <c r="AT1293" s="259" t="str">
        <f t="shared" si="289"/>
        <v>锐诚</v>
      </c>
      <c r="AU1293" s="259" t="str">
        <f t="shared" si="290"/>
        <v>C49SZX20230022SX</v>
      </c>
      <c r="AV1293" s="259" t="str">
        <f t="shared" si="291"/>
        <v>Aug-08</v>
      </c>
    </row>
    <row r="1294" spans="1:48" hidden="1">
      <c r="A1294" s="559">
        <v>1822</v>
      </c>
      <c r="B1294" s="664" t="s">
        <v>1125</v>
      </c>
      <c r="C1294" s="664" t="s">
        <v>281</v>
      </c>
      <c r="D1294" s="755">
        <v>111006</v>
      </c>
      <c r="E1294" s="646" t="s">
        <v>2508</v>
      </c>
      <c r="F1294" s="647" t="s">
        <v>17</v>
      </c>
      <c r="G1294" s="647" t="s">
        <v>18</v>
      </c>
      <c r="H1294" s="647" t="s">
        <v>27</v>
      </c>
      <c r="I1294" s="575" t="s">
        <v>2520</v>
      </c>
      <c r="J1294" s="575">
        <v>1</v>
      </c>
      <c r="K1294" s="647" t="s">
        <v>1419</v>
      </c>
      <c r="L1294" s="657">
        <v>44781</v>
      </c>
      <c r="M1294" s="717">
        <v>5.2699999999999997E-2</v>
      </c>
      <c r="N1294" s="647" t="s">
        <v>217</v>
      </c>
      <c r="O1294" s="575">
        <v>2022.7</v>
      </c>
      <c r="P1294" s="665" t="str">
        <f>VLOOKUP(A1294,'[1]Raw data'!$B:$BA,23,FALSE)</f>
        <v>RMB</v>
      </c>
      <c r="Q1294" s="647" t="str">
        <f>VLOOKUP(A1294,'[1]Raw data'!$B:$Z,2,FALSE)</f>
        <v>C49SZX202300011SX</v>
      </c>
      <c r="R1294" s="647" t="str">
        <f>VLOOKUP(A1294,'[1]Raw data'!$B:$Z,3,FALSE)</f>
        <v>益田科技</v>
      </c>
      <c r="S1294" s="647" t="str">
        <f>VLOOKUP(A1294,'[1]Raw data'!$B:$Z,4,FALSE)</f>
        <v>YSM10</v>
      </c>
      <c r="T1294" s="647" t="str">
        <f>VLOOKUP(A1294,'[1]Raw data'!$B:$Z,8,FALSE)</f>
        <v>L-&gt;R</v>
      </c>
      <c r="U1294" s="647" t="str">
        <f>VLOOKUP(A1294,'[1]Raw data'!$B:$Z,9,FALSE)</f>
        <v>No</v>
      </c>
      <c r="V1294" s="567" t="str">
        <f t="shared" si="294"/>
        <v>WRONG</v>
      </c>
      <c r="W1294" s="563" t="str">
        <f>VLOOKUP(A1294,'[1]Raw data'!$B:$AG,32,FALSE)</f>
        <v>DDP SZ</v>
      </c>
      <c r="X1294" s="647">
        <f>VLOOKUP(A1294,'[1]Raw data'!$B:$BA,31,FALSE)</f>
        <v>44960</v>
      </c>
      <c r="Y1294" s="647" t="str">
        <f>VLOOKUP(A1294,'[1]Raw data'!$B:$AS,39,FALSE)</f>
        <v>Yes</v>
      </c>
      <c r="Z1294" s="666"/>
      <c r="AA1294" s="660"/>
      <c r="AB1294" s="661"/>
      <c r="AC1294" s="647" t="s">
        <v>2490</v>
      </c>
      <c r="AD1294" s="575">
        <v>301</v>
      </c>
      <c r="AE1294" s="575">
        <v>3</v>
      </c>
      <c r="AF1294" s="575">
        <v>302</v>
      </c>
      <c r="AG1294" s="575">
        <v>5</v>
      </c>
      <c r="AH1294" s="575">
        <v>303</v>
      </c>
      <c r="AI1294" s="679">
        <v>1</v>
      </c>
      <c r="AJ1294" s="662">
        <v>304</v>
      </c>
      <c r="AK1294" s="663">
        <v>1</v>
      </c>
      <c r="AN1294" s="542"/>
      <c r="AO1294" s="824" t="str">
        <f t="shared" si="284"/>
        <v>Yes</v>
      </c>
      <c r="AP1294" s="259" t="str">
        <f t="shared" si="285"/>
        <v>FEB 23</v>
      </c>
      <c r="AQ1294" s="542" t="str">
        <f t="shared" si="286"/>
        <v>有定金+有預留客戶</v>
      </c>
      <c r="AR1294" s="259" t="str">
        <f t="shared" si="287"/>
        <v>Shipped_Stock</v>
      </c>
      <c r="AS1294" s="259" t="str">
        <f t="shared" si="288"/>
        <v/>
      </c>
      <c r="AT1294" s="259" t="str">
        <f t="shared" si="289"/>
        <v>益田科技</v>
      </c>
      <c r="AU1294" s="259" t="str">
        <f t="shared" si="290"/>
        <v>C49SZX202300011SX</v>
      </c>
      <c r="AV1294" s="259" t="str">
        <f t="shared" si="291"/>
        <v>Aug-08</v>
      </c>
    </row>
    <row r="1295" spans="1:48" hidden="1">
      <c r="A1295" s="559">
        <v>1839</v>
      </c>
      <c r="B1295" s="664" t="s">
        <v>1125</v>
      </c>
      <c r="C1295" s="664" t="s">
        <v>281</v>
      </c>
      <c r="D1295" s="755" t="s">
        <v>2507</v>
      </c>
      <c r="E1295" s="646" t="s">
        <v>2508</v>
      </c>
      <c r="F1295" s="647" t="s">
        <v>17</v>
      </c>
      <c r="G1295" s="647" t="s">
        <v>18</v>
      </c>
      <c r="H1295" s="647" t="s">
        <v>27</v>
      </c>
      <c r="I1295" s="575" t="s">
        <v>2521</v>
      </c>
      <c r="J1295" s="575">
        <v>1</v>
      </c>
      <c r="K1295" s="647" t="s">
        <v>1419</v>
      </c>
      <c r="L1295" s="657">
        <v>44781</v>
      </c>
      <c r="M1295" s="717">
        <v>5.2699999999999997E-2</v>
      </c>
      <c r="N1295" s="647" t="s">
        <v>216</v>
      </c>
      <c r="O1295" s="575">
        <v>2022.7</v>
      </c>
      <c r="P1295" s="665" t="str">
        <f>VLOOKUP(A1295,'[1]Raw data'!$B:$BA,23,FALSE)</f>
        <v>RMB</v>
      </c>
      <c r="Q1295" s="647" t="str">
        <f>VLOOKUP(A1295,'[1]Raw data'!$B:$Z,2,FALSE)</f>
        <v>C49SZX20230022SX</v>
      </c>
      <c r="R1295" s="647" t="str">
        <f>VLOOKUP(A1295,'[1]Raw data'!$B:$Z,3,FALSE)</f>
        <v>锐诚</v>
      </c>
      <c r="S1295" s="647" t="str">
        <f>VLOOKUP(A1295,'[1]Raw data'!$B:$Z,4,FALSE)</f>
        <v>YSM10</v>
      </c>
      <c r="T1295" s="647" t="str">
        <f>VLOOKUP(A1295,'[1]Raw data'!$B:$Z,8,FALSE)</f>
        <v>L-&gt;R</v>
      </c>
      <c r="U1295" s="647" t="str">
        <f>VLOOKUP(A1295,'[1]Raw data'!$B:$Z,9,FALSE)</f>
        <v>MVC</v>
      </c>
      <c r="V1295" s="567" t="str">
        <f t="shared" si="294"/>
        <v>WRONG</v>
      </c>
      <c r="W1295" s="563" t="str">
        <f>VLOOKUP(A1295,'[1]Raw data'!$B:$AG,32,FALSE)</f>
        <v>DDP HZ</v>
      </c>
      <c r="X1295" s="647">
        <f>VLOOKUP(A1295,'[1]Raw data'!$B:$BA,31,FALSE)</f>
        <v>44978</v>
      </c>
      <c r="Y1295" s="647" t="str">
        <f>VLOOKUP(A1295,'[1]Raw data'!$B:$AS,39,FALSE)</f>
        <v>Yes</v>
      </c>
      <c r="Z1295" s="666"/>
      <c r="AA1295" s="667"/>
      <c r="AB1295" s="668"/>
      <c r="AC1295" s="710" t="s">
        <v>2518</v>
      </c>
      <c r="AD1295" s="662">
        <v>301</v>
      </c>
      <c r="AE1295" s="662">
        <v>3</v>
      </c>
      <c r="AF1295" s="662">
        <v>302</v>
      </c>
      <c r="AG1295" s="662">
        <v>5</v>
      </c>
      <c r="AH1295" s="662">
        <v>303</v>
      </c>
      <c r="AI1295" s="663">
        <v>1</v>
      </c>
      <c r="AJ1295" s="662">
        <v>304</v>
      </c>
      <c r="AK1295" s="663">
        <v>1</v>
      </c>
      <c r="AN1295" s="542"/>
      <c r="AO1295" s="824" t="str">
        <f t="shared" si="284"/>
        <v>Yes</v>
      </c>
      <c r="AP1295" s="259" t="str">
        <f t="shared" si="285"/>
        <v>MAR 23</v>
      </c>
      <c r="AQ1295" s="542" t="str">
        <f t="shared" si="286"/>
        <v>有定金+有預留客戶</v>
      </c>
      <c r="AR1295" s="259" t="str">
        <f t="shared" si="287"/>
        <v>Shipped_Stock</v>
      </c>
      <c r="AS1295" s="259" t="str">
        <f t="shared" si="288"/>
        <v/>
      </c>
      <c r="AT1295" s="259" t="str">
        <f t="shared" si="289"/>
        <v>锐诚</v>
      </c>
      <c r="AU1295" s="259" t="str">
        <f t="shared" si="290"/>
        <v>C49SZX20230022SX</v>
      </c>
      <c r="AV1295" s="259" t="str">
        <f t="shared" si="291"/>
        <v>Aug-08</v>
      </c>
    </row>
    <row r="1296" spans="1:48" ht="13.5" hidden="1" thickBot="1">
      <c r="A1296" s="559">
        <v>1846</v>
      </c>
      <c r="B1296" s="664" t="s">
        <v>1125</v>
      </c>
      <c r="C1296" s="664" t="s">
        <v>281</v>
      </c>
      <c r="D1296" s="624" t="s">
        <v>2507</v>
      </c>
      <c r="E1296" s="646" t="s">
        <v>2508</v>
      </c>
      <c r="F1296" s="647" t="s">
        <v>17</v>
      </c>
      <c r="G1296" s="647" t="s">
        <v>1012</v>
      </c>
      <c r="H1296" s="647" t="s">
        <v>27</v>
      </c>
      <c r="I1296" s="575" t="s">
        <v>2522</v>
      </c>
      <c r="J1296" s="575">
        <v>1</v>
      </c>
      <c r="K1296" s="647" t="s">
        <v>1419</v>
      </c>
      <c r="L1296" s="657">
        <v>44781</v>
      </c>
      <c r="M1296" s="717">
        <v>5.2699999999999997E-2</v>
      </c>
      <c r="N1296" s="647" t="s">
        <v>216</v>
      </c>
      <c r="O1296" s="575">
        <v>2022.7</v>
      </c>
      <c r="P1296" s="665" t="str">
        <f>VLOOKUP(A1296,'[1]Raw data'!$B:$BA,23,FALSE)</f>
        <v>RMB</v>
      </c>
      <c r="Q1296" s="647" t="str">
        <f>VLOOKUP(A1296,'[1]Raw data'!$B:$Z,2,FALSE)</f>
        <v>C49SZX20230023R1SX</v>
      </c>
      <c r="R1296" s="647" t="str">
        <f>VLOOKUP(A1296,'[1]Raw data'!$B:$Z,3,FALSE)</f>
        <v>裕达盛</v>
      </c>
      <c r="S1296" s="647" t="str">
        <f>VLOOKUP(A1296,'[1]Raw data'!$B:$Z,4,FALSE)</f>
        <v>YSM10</v>
      </c>
      <c r="T1296" s="647" t="str">
        <f>VLOOKUP(A1296,'[1]Raw data'!$B:$Z,8,FALSE)</f>
        <v>L-&gt;R</v>
      </c>
      <c r="U1296" s="647" t="str">
        <f>VLOOKUP(A1296,'[1]Raw data'!$B:$Z,9,FALSE)</f>
        <v>MVC</v>
      </c>
      <c r="V1296" s="567" t="str">
        <f t="shared" si="294"/>
        <v>WRONG</v>
      </c>
      <c r="W1296" s="563" t="str">
        <f>VLOOKUP(A1296,'[1]Raw data'!$B:$AG,32,FALSE)</f>
        <v>DDP HZ</v>
      </c>
      <c r="X1296" s="647">
        <f>VLOOKUP(A1296,'[1]Raw data'!$B:$BA,31,FALSE)</f>
        <v>44979</v>
      </c>
      <c r="Y1296" s="647" t="str">
        <f>VLOOKUP(A1296,'[1]Raw data'!$B:$AS,39,FALSE)</f>
        <v>Yes</v>
      </c>
      <c r="Z1296" s="659"/>
      <c r="AA1296" s="660"/>
      <c r="AB1296" s="661"/>
      <c r="AC1296" s="647" t="s">
        <v>2523</v>
      </c>
      <c r="AD1296" s="662">
        <v>301</v>
      </c>
      <c r="AE1296" s="662">
        <v>3</v>
      </c>
      <c r="AF1296" s="662">
        <v>302</v>
      </c>
      <c r="AG1296" s="662">
        <v>5</v>
      </c>
      <c r="AH1296" s="662">
        <v>303</v>
      </c>
      <c r="AI1296" s="663">
        <v>1</v>
      </c>
      <c r="AJ1296" s="662">
        <v>304</v>
      </c>
      <c r="AK1296" s="663">
        <v>1</v>
      </c>
      <c r="AN1296" s="542"/>
      <c r="AO1296" s="824" t="str">
        <f t="shared" si="284"/>
        <v>Yes</v>
      </c>
      <c r="AP1296" s="259" t="str">
        <f t="shared" si="285"/>
        <v>MAR 23</v>
      </c>
      <c r="AQ1296" s="542" t="str">
        <f t="shared" si="286"/>
        <v>有定金+有預留客戶</v>
      </c>
      <c r="AR1296" s="259" t="str">
        <f t="shared" si="287"/>
        <v>Shipped_Stock</v>
      </c>
      <c r="AS1296" s="259" t="str">
        <f t="shared" si="288"/>
        <v/>
      </c>
      <c r="AT1296" s="259" t="str">
        <f t="shared" si="289"/>
        <v>裕达盛</v>
      </c>
      <c r="AU1296" s="259" t="str">
        <f t="shared" si="290"/>
        <v>C49SZX20230023R1SX</v>
      </c>
      <c r="AV1296" s="259" t="str">
        <f t="shared" si="291"/>
        <v>Aug-08</v>
      </c>
    </row>
    <row r="1297" spans="1:48" hidden="1">
      <c r="A1297" s="559">
        <v>1670</v>
      </c>
      <c r="B1297" s="664" t="s">
        <v>1125</v>
      </c>
      <c r="C1297" s="664" t="s">
        <v>4013</v>
      </c>
      <c r="D1297" s="761">
        <v>110940</v>
      </c>
      <c r="E1297" s="646" t="s">
        <v>2499</v>
      </c>
      <c r="F1297" s="647" t="s">
        <v>201</v>
      </c>
      <c r="G1297" s="647" t="s">
        <v>18</v>
      </c>
      <c r="H1297" s="647" t="s">
        <v>26</v>
      </c>
      <c r="I1297" s="575" t="s">
        <v>2524</v>
      </c>
      <c r="J1297" s="575">
        <v>1</v>
      </c>
      <c r="K1297" s="647" t="s">
        <v>1419</v>
      </c>
      <c r="L1297" s="749">
        <v>44781</v>
      </c>
      <c r="M1297" s="665">
        <v>5.2499999999999998E-2</v>
      </c>
      <c r="N1297" s="647" t="s">
        <v>4004</v>
      </c>
      <c r="O1297" s="575">
        <v>2022.7</v>
      </c>
      <c r="P1297" s="665" t="str">
        <f>VLOOKUP(A1297,'[1]Raw data'!$B:$BA,23,FALSE)</f>
        <v>RMB</v>
      </c>
      <c r="Q1297" s="647" t="str">
        <f>VLOOKUP(A1297,'[1]Raw data'!$B:$Z,2,FALSE)</f>
        <v>SNFPC-CG-2022-013</v>
      </c>
      <c r="R1297" s="647" t="str">
        <f>VLOOKUP(A1297,'[1]Raw data'!$B:$Z,3,FALSE)</f>
        <v>康佳</v>
      </c>
      <c r="S1297" s="647" t="str">
        <f>VLOOKUP(A1297,'[1]Raw data'!$B:$Z,4,FALSE)</f>
        <v>YSi-V</v>
      </c>
      <c r="T1297" s="647" t="str">
        <f>VLOOKUP(A1297,'[1]Raw data'!$B:$Z,8,FALSE)</f>
        <v>R-&gt;L</v>
      </c>
      <c r="U1297" s="647" t="str">
        <f>VLOOKUP(A1297,'[1]Raw data'!$B:$Z,9,FALSE)</f>
        <v>No</v>
      </c>
      <c r="V1297" s="567" t="str">
        <f t="shared" ref="V1297:V1300" si="295">IF(G1297&amp;H1297=T1297&amp;U1297,"OK","WRONG")</f>
        <v>OK</v>
      </c>
      <c r="W1297" s="563" t="str">
        <f>VLOOKUP(A1297,'[1]Raw data'!$B:$AG,32,FALSE)</f>
        <v>DDP SN</v>
      </c>
      <c r="X1297" s="657">
        <f>VLOOKUP(A1297,'[1]Raw data'!$B:$BA,31,FALSE)</f>
        <v>44694</v>
      </c>
      <c r="Y1297" s="647" t="str">
        <f>VLOOKUP(A1297,'[1]Raw data'!$B:$AS,39,FALSE)</f>
        <v>Yes</v>
      </c>
      <c r="Z1297" s="659"/>
      <c r="AA1297" s="660"/>
      <c r="AB1297" s="661"/>
      <c r="AC1297" s="647" t="s">
        <v>1951</v>
      </c>
      <c r="AD1297" s="662"/>
      <c r="AE1297" s="662"/>
      <c r="AF1297" s="662"/>
      <c r="AG1297" s="662"/>
      <c r="AH1297" s="662"/>
      <c r="AI1297" s="663"/>
      <c r="AN1297" s="542"/>
      <c r="AO1297" s="824" t="str">
        <f t="shared" si="284"/>
        <v>Yes</v>
      </c>
      <c r="AP1297" s="259" t="str">
        <f t="shared" si="285"/>
        <v>AUG 23</v>
      </c>
      <c r="AQ1297" s="542" t="str">
        <f t="shared" si="286"/>
        <v>有定金+有預留客戶</v>
      </c>
      <c r="AR1297" s="259" t="str">
        <f t="shared" si="287"/>
        <v>Shipped_Stock</v>
      </c>
      <c r="AS1297" s="259" t="str">
        <f t="shared" si="288"/>
        <v/>
      </c>
      <c r="AT1297" s="259" t="str">
        <f t="shared" si="289"/>
        <v>康佳</v>
      </c>
      <c r="AU1297" s="259" t="str">
        <f t="shared" si="290"/>
        <v>SNFPC-CG-2022-013</v>
      </c>
      <c r="AV1297" s="259" t="str">
        <f t="shared" si="291"/>
        <v>Aug-08</v>
      </c>
    </row>
    <row r="1298" spans="1:48" hidden="1">
      <c r="A1298" s="559">
        <v>1671</v>
      </c>
      <c r="B1298" s="664" t="s">
        <v>1125</v>
      </c>
      <c r="C1298" s="664" t="s">
        <v>4013</v>
      </c>
      <c r="D1298" s="755">
        <v>110940</v>
      </c>
      <c r="E1298" s="646" t="s">
        <v>2499</v>
      </c>
      <c r="F1298" s="647" t="s">
        <v>201</v>
      </c>
      <c r="G1298" s="647" t="s">
        <v>18</v>
      </c>
      <c r="H1298" s="647" t="s">
        <v>26</v>
      </c>
      <c r="I1298" s="575" t="s">
        <v>2525</v>
      </c>
      <c r="J1298" s="575">
        <v>1</v>
      </c>
      <c r="K1298" s="647" t="s">
        <v>1419</v>
      </c>
      <c r="L1298" s="749">
        <v>44781</v>
      </c>
      <c r="M1298" s="665">
        <v>5.2499999999999998E-2</v>
      </c>
      <c r="N1298" s="647" t="s">
        <v>4004</v>
      </c>
      <c r="O1298" s="575">
        <v>2022.7</v>
      </c>
      <c r="P1298" s="665" t="str">
        <f>VLOOKUP(A1298,'[1]Raw data'!$B:$BA,23,FALSE)</f>
        <v>RMB</v>
      </c>
      <c r="Q1298" s="647" t="str">
        <f>VLOOKUP(A1298,'[1]Raw data'!$B:$Z,2,FALSE)</f>
        <v>SNFPC-CG-2022-013</v>
      </c>
      <c r="R1298" s="647" t="str">
        <f>VLOOKUP(A1298,'[1]Raw data'!$B:$Z,3,FALSE)</f>
        <v>康佳</v>
      </c>
      <c r="S1298" s="647" t="str">
        <f>VLOOKUP(A1298,'[1]Raw data'!$B:$Z,4,FALSE)</f>
        <v>YSi-V</v>
      </c>
      <c r="T1298" s="647" t="str">
        <f>VLOOKUP(A1298,'[1]Raw data'!$B:$Z,8,FALSE)</f>
        <v>R-&gt;L</v>
      </c>
      <c r="U1298" s="647" t="str">
        <f>VLOOKUP(A1298,'[1]Raw data'!$B:$Z,9,FALSE)</f>
        <v>No</v>
      </c>
      <c r="V1298" s="567" t="str">
        <f t="shared" si="295"/>
        <v>OK</v>
      </c>
      <c r="W1298" s="563" t="str">
        <f>VLOOKUP(A1298,'[1]Raw data'!$B:$AG,32,FALSE)</f>
        <v>DDP SN</v>
      </c>
      <c r="X1298" s="657">
        <f>VLOOKUP(A1298,'[1]Raw data'!$B:$BA,31,FALSE)</f>
        <v>44694</v>
      </c>
      <c r="Y1298" s="647" t="str">
        <f>VLOOKUP(A1298,'[1]Raw data'!$B:$AS,39,FALSE)</f>
        <v>Yes</v>
      </c>
      <c r="Z1298" s="659"/>
      <c r="AA1298" s="660"/>
      <c r="AB1298" s="661"/>
      <c r="AC1298" s="647" t="s">
        <v>1951</v>
      </c>
      <c r="AD1298" s="662"/>
      <c r="AE1298" s="662"/>
      <c r="AF1298" s="662"/>
      <c r="AG1298" s="662"/>
      <c r="AH1298" s="662"/>
      <c r="AI1298" s="663"/>
      <c r="AN1298" s="542"/>
      <c r="AO1298" s="824" t="str">
        <f t="shared" si="284"/>
        <v>Yes</v>
      </c>
      <c r="AP1298" s="259" t="str">
        <f t="shared" si="285"/>
        <v>AUG 23</v>
      </c>
      <c r="AQ1298" s="542" t="str">
        <f t="shared" si="286"/>
        <v>有定金+有預留客戶</v>
      </c>
      <c r="AR1298" s="259" t="str">
        <f t="shared" si="287"/>
        <v>Shipped_Stock</v>
      </c>
      <c r="AS1298" s="259" t="str">
        <f t="shared" si="288"/>
        <v/>
      </c>
      <c r="AT1298" s="259" t="str">
        <f t="shared" si="289"/>
        <v>康佳</v>
      </c>
      <c r="AU1298" s="259" t="str">
        <f t="shared" si="290"/>
        <v>SNFPC-CG-2022-013</v>
      </c>
      <c r="AV1298" s="259" t="str">
        <f t="shared" si="291"/>
        <v>Aug-08</v>
      </c>
    </row>
    <row r="1299" spans="1:48" hidden="1">
      <c r="A1299" s="559">
        <v>1668</v>
      </c>
      <c r="B1299" s="664" t="s">
        <v>1125</v>
      </c>
      <c r="C1299" s="664" t="s">
        <v>4013</v>
      </c>
      <c r="D1299" s="755">
        <v>110940</v>
      </c>
      <c r="E1299" s="646" t="s">
        <v>2499</v>
      </c>
      <c r="F1299" s="647" t="s">
        <v>201</v>
      </c>
      <c r="G1299" s="647" t="s">
        <v>24</v>
      </c>
      <c r="H1299" s="647" t="s">
        <v>26</v>
      </c>
      <c r="I1299" s="575" t="s">
        <v>2526</v>
      </c>
      <c r="J1299" s="575">
        <v>1</v>
      </c>
      <c r="K1299" s="647" t="s">
        <v>1419</v>
      </c>
      <c r="L1299" s="749">
        <v>44781</v>
      </c>
      <c r="M1299" s="665">
        <v>5.2499999999999998E-2</v>
      </c>
      <c r="N1299" s="647" t="s">
        <v>4004</v>
      </c>
      <c r="O1299" s="575">
        <v>2022.7</v>
      </c>
      <c r="P1299" s="665" t="str">
        <f>VLOOKUP(A1299,'[1]Raw data'!$B:$BA,23,FALSE)</f>
        <v>RMB</v>
      </c>
      <c r="Q1299" s="647" t="str">
        <f>VLOOKUP(A1299,'[1]Raw data'!$B:$Z,2,FALSE)</f>
        <v>SNFPC-CG-2022-013</v>
      </c>
      <c r="R1299" s="647" t="str">
        <f>VLOOKUP(A1299,'[1]Raw data'!$B:$Z,3,FALSE)</f>
        <v>康佳</v>
      </c>
      <c r="S1299" s="647" t="str">
        <f>VLOOKUP(A1299,'[1]Raw data'!$B:$Z,4,FALSE)</f>
        <v>YSi-V</v>
      </c>
      <c r="T1299" s="647" t="str">
        <f>VLOOKUP(A1299,'[1]Raw data'!$B:$Z,8,FALSE)</f>
        <v>L-&gt;R</v>
      </c>
      <c r="U1299" s="647" t="str">
        <f>VLOOKUP(A1299,'[1]Raw data'!$B:$Z,9,FALSE)</f>
        <v>No</v>
      </c>
      <c r="V1299" s="567" t="str">
        <f t="shared" si="295"/>
        <v>OK</v>
      </c>
      <c r="W1299" s="563" t="str">
        <f>VLOOKUP(A1299,'[1]Raw data'!$B:$AG,32,FALSE)</f>
        <v>DDP SN</v>
      </c>
      <c r="X1299" s="657">
        <f>VLOOKUP(A1299,'[1]Raw data'!$B:$BA,31,FALSE)</f>
        <v>44694</v>
      </c>
      <c r="Y1299" s="647" t="str">
        <f>VLOOKUP(A1299,'[1]Raw data'!$B:$AS,39,FALSE)</f>
        <v>Yes</v>
      </c>
      <c r="Z1299" s="659"/>
      <c r="AA1299" s="660"/>
      <c r="AB1299" s="661"/>
      <c r="AC1299" s="647" t="s">
        <v>1951</v>
      </c>
      <c r="AD1299" s="662"/>
      <c r="AE1299" s="662"/>
      <c r="AF1299" s="662"/>
      <c r="AG1299" s="662"/>
      <c r="AH1299" s="662"/>
      <c r="AI1299" s="663"/>
      <c r="AN1299" s="542"/>
      <c r="AO1299" s="824" t="str">
        <f t="shared" si="284"/>
        <v>Yes</v>
      </c>
      <c r="AP1299" s="259" t="str">
        <f t="shared" si="285"/>
        <v>AUG 23</v>
      </c>
      <c r="AQ1299" s="542" t="str">
        <f t="shared" si="286"/>
        <v>有定金+有預留客戶</v>
      </c>
      <c r="AR1299" s="259" t="str">
        <f t="shared" si="287"/>
        <v>Shipped_Stock</v>
      </c>
      <c r="AS1299" s="259" t="str">
        <f t="shared" si="288"/>
        <v/>
      </c>
      <c r="AT1299" s="259" t="str">
        <f t="shared" si="289"/>
        <v>康佳</v>
      </c>
      <c r="AU1299" s="259" t="str">
        <f t="shared" si="290"/>
        <v>SNFPC-CG-2022-013</v>
      </c>
      <c r="AV1299" s="259" t="str">
        <f t="shared" si="291"/>
        <v>Aug-08</v>
      </c>
    </row>
    <row r="1300" spans="1:48" hidden="1">
      <c r="A1300" s="559">
        <v>1669</v>
      </c>
      <c r="B1300" s="664" t="s">
        <v>1125</v>
      </c>
      <c r="C1300" s="664" t="s">
        <v>4013</v>
      </c>
      <c r="D1300" s="755">
        <v>110940</v>
      </c>
      <c r="E1300" s="646" t="s">
        <v>2499</v>
      </c>
      <c r="F1300" s="647" t="s">
        <v>201</v>
      </c>
      <c r="G1300" s="647" t="s">
        <v>24</v>
      </c>
      <c r="H1300" s="647" t="s">
        <v>26</v>
      </c>
      <c r="I1300" s="575" t="s">
        <v>2527</v>
      </c>
      <c r="J1300" s="575">
        <v>1</v>
      </c>
      <c r="K1300" s="647" t="s">
        <v>1419</v>
      </c>
      <c r="L1300" s="749">
        <v>44781</v>
      </c>
      <c r="M1300" s="665">
        <v>5.2499999999999998E-2</v>
      </c>
      <c r="N1300" s="647" t="s">
        <v>4004</v>
      </c>
      <c r="O1300" s="575">
        <v>2022.7</v>
      </c>
      <c r="P1300" s="665" t="str">
        <f>VLOOKUP(A1300,'[1]Raw data'!$B:$BA,23,FALSE)</f>
        <v>RMB</v>
      </c>
      <c r="Q1300" s="647" t="str">
        <f>VLOOKUP(A1300,'[1]Raw data'!$B:$Z,2,FALSE)</f>
        <v>SNFPC-CG-2022-013</v>
      </c>
      <c r="R1300" s="647" t="str">
        <f>VLOOKUP(A1300,'[1]Raw data'!$B:$Z,3,FALSE)</f>
        <v>康佳</v>
      </c>
      <c r="S1300" s="647" t="str">
        <f>VLOOKUP(A1300,'[1]Raw data'!$B:$Z,4,FALSE)</f>
        <v>YSi-V</v>
      </c>
      <c r="T1300" s="647" t="str">
        <f>VLOOKUP(A1300,'[1]Raw data'!$B:$Z,8,FALSE)</f>
        <v>L-&gt;R</v>
      </c>
      <c r="U1300" s="647" t="str">
        <f>VLOOKUP(A1300,'[1]Raw data'!$B:$Z,9,FALSE)</f>
        <v>No</v>
      </c>
      <c r="V1300" s="567" t="str">
        <f t="shared" si="295"/>
        <v>OK</v>
      </c>
      <c r="W1300" s="563" t="str">
        <f>VLOOKUP(A1300,'[1]Raw data'!$B:$AG,32,FALSE)</f>
        <v>DDP SN</v>
      </c>
      <c r="X1300" s="657">
        <f>VLOOKUP(A1300,'[1]Raw data'!$B:$BA,31,FALSE)</f>
        <v>44694</v>
      </c>
      <c r="Y1300" s="647" t="str">
        <f>VLOOKUP(A1300,'[1]Raw data'!$B:$AS,39,FALSE)</f>
        <v>Yes</v>
      </c>
      <c r="Z1300" s="659"/>
      <c r="AA1300" s="660"/>
      <c r="AB1300" s="661"/>
      <c r="AC1300" s="647" t="s">
        <v>1951</v>
      </c>
      <c r="AD1300" s="662"/>
      <c r="AE1300" s="662"/>
      <c r="AF1300" s="662"/>
      <c r="AG1300" s="662"/>
      <c r="AH1300" s="662"/>
      <c r="AI1300" s="663"/>
      <c r="AN1300" s="542"/>
      <c r="AO1300" s="824" t="str">
        <f t="shared" si="284"/>
        <v>Yes</v>
      </c>
      <c r="AP1300" s="259" t="str">
        <f t="shared" si="285"/>
        <v>AUG 23</v>
      </c>
      <c r="AQ1300" s="542" t="str">
        <f t="shared" si="286"/>
        <v>有定金+有預留客戶</v>
      </c>
      <c r="AR1300" s="259" t="str">
        <f t="shared" si="287"/>
        <v>Shipped_Stock</v>
      </c>
      <c r="AS1300" s="259" t="str">
        <f t="shared" si="288"/>
        <v/>
      </c>
      <c r="AT1300" s="259" t="str">
        <f t="shared" si="289"/>
        <v>康佳</v>
      </c>
      <c r="AU1300" s="259" t="str">
        <f t="shared" si="290"/>
        <v>SNFPC-CG-2022-013</v>
      </c>
      <c r="AV1300" s="259" t="str">
        <f t="shared" si="291"/>
        <v>Aug-08</v>
      </c>
    </row>
    <row r="1301" spans="1:48" hidden="1">
      <c r="A1301" s="559">
        <v>1662</v>
      </c>
      <c r="B1301" s="664" t="s">
        <v>1125</v>
      </c>
      <c r="C1301" s="664" t="s">
        <v>281</v>
      </c>
      <c r="D1301" s="761">
        <v>110928</v>
      </c>
      <c r="E1301" s="646" t="s">
        <v>2499</v>
      </c>
      <c r="F1301" s="647" t="s">
        <v>17</v>
      </c>
      <c r="G1301" s="647" t="s">
        <v>18</v>
      </c>
      <c r="H1301" s="647" t="s">
        <v>2500</v>
      </c>
      <c r="I1301" s="575" t="s">
        <v>2528</v>
      </c>
      <c r="J1301" s="575">
        <v>1</v>
      </c>
      <c r="K1301" s="647" t="s">
        <v>1419</v>
      </c>
      <c r="L1301" s="749">
        <v>44781</v>
      </c>
      <c r="M1301" s="665">
        <v>5.2699999999999997E-2</v>
      </c>
      <c r="N1301" s="647" t="s">
        <v>4004</v>
      </c>
      <c r="O1301" s="575">
        <v>2022.7</v>
      </c>
      <c r="P1301" s="665" t="str">
        <f>VLOOKUP(A1301,'[1]Raw data'!$B:$BA,23,FALSE)</f>
        <v>RMB</v>
      </c>
      <c r="Q1301" s="647" t="str">
        <f>VLOOKUP(A1301,'[1]Raw data'!$B:$Z,2,FALSE)</f>
        <v>SNFPC-CG-2022-008</v>
      </c>
      <c r="R1301" s="647" t="str">
        <f>VLOOKUP(A1301,'[1]Raw data'!$B:$Z,3,FALSE)</f>
        <v>康佳</v>
      </c>
      <c r="S1301" s="647" t="str">
        <f>VLOOKUP(A1301,'[1]Raw data'!$B:$Z,4,FALSE)</f>
        <v>YSM10</v>
      </c>
      <c r="T1301" s="647" t="str">
        <f>VLOOKUP(A1301,'[1]Raw data'!$B:$Z,8,FALSE)</f>
        <v>R-&gt;L</v>
      </c>
      <c r="U1301" s="647" t="str">
        <f>VLOOKUP(A1301,'[1]Raw data'!$B:$Z,9,FALSE)</f>
        <v>MVC+ATS15+ANC</v>
      </c>
      <c r="V1301" s="567" t="str">
        <f t="shared" ref="V1301:V1302" si="296">IF(G1301&amp;H1301=T1301&amp;U1301,"OK","WRONG")</f>
        <v>WRONG</v>
      </c>
      <c r="W1301" s="563" t="str">
        <f>VLOOKUP(A1301,'[1]Raw data'!$B:$AG,32,FALSE)</f>
        <v>DDP SN</v>
      </c>
      <c r="X1301" s="657">
        <f>VLOOKUP(A1301,'[1]Raw data'!$B:$BA,31,FALSE)</f>
        <v>44678</v>
      </c>
      <c r="Y1301" s="647" t="str">
        <f>VLOOKUP(A1301,'[1]Raw data'!$B:$AS,39,FALSE)</f>
        <v>Yes</v>
      </c>
      <c r="Z1301" s="659"/>
      <c r="AA1301" s="660"/>
      <c r="AB1301" s="661"/>
      <c r="AC1301" s="647" t="s">
        <v>1951</v>
      </c>
      <c r="AD1301" s="662">
        <v>301</v>
      </c>
      <c r="AE1301" s="662">
        <v>5</v>
      </c>
      <c r="AF1301" s="662">
        <v>303</v>
      </c>
      <c r="AG1301" s="662">
        <v>3</v>
      </c>
      <c r="AH1301" s="662">
        <v>304</v>
      </c>
      <c r="AI1301" s="662">
        <v>2</v>
      </c>
      <c r="AN1301" s="542"/>
      <c r="AO1301" s="824" t="str">
        <f t="shared" si="284"/>
        <v>Yes</v>
      </c>
      <c r="AP1301" s="259" t="str">
        <f t="shared" si="285"/>
        <v>AUG 23</v>
      </c>
      <c r="AQ1301" s="542" t="str">
        <f t="shared" si="286"/>
        <v>有定金+有預留客戶</v>
      </c>
      <c r="AR1301" s="259" t="str">
        <f t="shared" si="287"/>
        <v>Shipped_Stock</v>
      </c>
      <c r="AS1301" s="259" t="str">
        <f t="shared" si="288"/>
        <v/>
      </c>
      <c r="AT1301" s="259" t="str">
        <f t="shared" si="289"/>
        <v>康佳</v>
      </c>
      <c r="AU1301" s="259" t="str">
        <f t="shared" si="290"/>
        <v>SNFPC-CG-2022-008</v>
      </c>
      <c r="AV1301" s="259" t="str">
        <f t="shared" si="291"/>
        <v>Aug-08</v>
      </c>
    </row>
    <row r="1302" spans="1:48" hidden="1">
      <c r="A1302" s="559">
        <v>1660</v>
      </c>
      <c r="B1302" s="664" t="s">
        <v>1125</v>
      </c>
      <c r="C1302" s="664" t="s">
        <v>281</v>
      </c>
      <c r="D1302" s="755">
        <v>110928</v>
      </c>
      <c r="E1302" s="646" t="s">
        <v>2499</v>
      </c>
      <c r="F1302" s="647" t="s">
        <v>58</v>
      </c>
      <c r="G1302" s="647" t="s">
        <v>24</v>
      </c>
      <c r="H1302" s="647" t="s">
        <v>2504</v>
      </c>
      <c r="I1302" s="575" t="s">
        <v>2529</v>
      </c>
      <c r="J1302" s="575">
        <v>1</v>
      </c>
      <c r="K1302" s="647" t="s">
        <v>1419</v>
      </c>
      <c r="L1302" s="749">
        <v>44781</v>
      </c>
      <c r="M1302" s="665">
        <v>5.2699999999999997E-2</v>
      </c>
      <c r="N1302" s="647" t="s">
        <v>4004</v>
      </c>
      <c r="O1302" s="575">
        <v>2022.7</v>
      </c>
      <c r="P1302" s="665" t="str">
        <f>VLOOKUP(A1302,'[1]Raw data'!$B:$BA,23,FALSE)</f>
        <v>RMB</v>
      </c>
      <c r="Q1302" s="647" t="str">
        <f>VLOOKUP(A1302,'[1]Raw data'!$B:$Z,2,FALSE)</f>
        <v>SNFPC-CG-2022-008</v>
      </c>
      <c r="R1302" s="647" t="str">
        <f>VLOOKUP(A1302,'[1]Raw data'!$B:$Z,3,FALSE)</f>
        <v>康佳</v>
      </c>
      <c r="S1302" s="647" t="str">
        <f>VLOOKUP(A1302,'[1]Raw data'!$B:$Z,4,FALSE)</f>
        <v>YSM20R-2</v>
      </c>
      <c r="T1302" s="647" t="str">
        <f>VLOOKUP(A1302,'[1]Raw data'!$B:$Z,8,FALSE)</f>
        <v>L-&gt;R</v>
      </c>
      <c r="U1302" s="647" t="str">
        <f>VLOOKUP(A1302,'[1]Raw data'!$B:$Z,9,FALSE)</f>
        <v>No</v>
      </c>
      <c r="V1302" s="567" t="str">
        <f t="shared" si="296"/>
        <v>WRONG</v>
      </c>
      <c r="W1302" s="563" t="str">
        <f>VLOOKUP(A1302,'[1]Raw data'!$B:$AG,32,FALSE)</f>
        <v>DDP SN</v>
      </c>
      <c r="X1302" s="657">
        <f>VLOOKUP(A1302,'[1]Raw data'!$B:$BA,31,FALSE)</f>
        <v>44678</v>
      </c>
      <c r="Y1302" s="647" t="str">
        <f>VLOOKUP(A1302,'[1]Raw data'!$B:$AS,39,FALSE)</f>
        <v>Yes</v>
      </c>
      <c r="Z1302" s="659"/>
      <c r="AA1302" s="660"/>
      <c r="AB1302" s="661"/>
      <c r="AC1302" s="647" t="s">
        <v>1951</v>
      </c>
      <c r="AD1302" s="662">
        <v>301</v>
      </c>
      <c r="AE1302" s="662">
        <v>10</v>
      </c>
      <c r="AF1302" s="662">
        <v>302</v>
      </c>
      <c r="AG1302" s="662">
        <v>5</v>
      </c>
      <c r="AH1302" s="662">
        <v>303</v>
      </c>
      <c r="AI1302" s="662">
        <v>5</v>
      </c>
      <c r="AN1302" s="542"/>
      <c r="AO1302" s="824" t="str">
        <f t="shared" si="284"/>
        <v>Yes</v>
      </c>
      <c r="AP1302" s="259" t="str">
        <f t="shared" si="285"/>
        <v>AUG 23</v>
      </c>
      <c r="AQ1302" s="542" t="str">
        <f t="shared" si="286"/>
        <v>有定金+有預留客戶</v>
      </c>
      <c r="AR1302" s="259" t="str">
        <f t="shared" si="287"/>
        <v>Shipped_Stock</v>
      </c>
      <c r="AS1302" s="259" t="str">
        <f t="shared" si="288"/>
        <v/>
      </c>
      <c r="AT1302" s="259" t="str">
        <f t="shared" si="289"/>
        <v>康佳</v>
      </c>
      <c r="AU1302" s="259" t="str">
        <f t="shared" si="290"/>
        <v>SNFPC-CG-2022-008</v>
      </c>
      <c r="AV1302" s="259" t="str">
        <f t="shared" si="291"/>
        <v>Aug-08</v>
      </c>
    </row>
    <row r="1303" spans="1:48" hidden="1">
      <c r="A1303" s="559">
        <v>1659</v>
      </c>
      <c r="B1303" s="664" t="s">
        <v>1125</v>
      </c>
      <c r="C1303" s="664" t="s">
        <v>281</v>
      </c>
      <c r="D1303" s="755">
        <v>110928</v>
      </c>
      <c r="E1303" s="646" t="s">
        <v>2499</v>
      </c>
      <c r="F1303" s="647" t="s">
        <v>58</v>
      </c>
      <c r="G1303" s="647" t="s">
        <v>24</v>
      </c>
      <c r="H1303" s="647" t="s">
        <v>2504</v>
      </c>
      <c r="I1303" s="575" t="s">
        <v>2530</v>
      </c>
      <c r="J1303" s="575">
        <v>1</v>
      </c>
      <c r="K1303" s="647" t="s">
        <v>1419</v>
      </c>
      <c r="L1303" s="749">
        <v>44781</v>
      </c>
      <c r="M1303" s="665">
        <v>5.2699999999999997E-2</v>
      </c>
      <c r="N1303" s="647" t="s">
        <v>4004</v>
      </c>
      <c r="O1303" s="575">
        <v>2022.7</v>
      </c>
      <c r="P1303" s="665" t="str">
        <f>VLOOKUP(A1303,'[1]Raw data'!$B:$BA,23,FALSE)</f>
        <v>RMB</v>
      </c>
      <c r="Q1303" s="647" t="str">
        <f>VLOOKUP(A1303,'[1]Raw data'!$B:$Z,2,FALSE)</f>
        <v>SNFPC-CG-2022-008</v>
      </c>
      <c r="R1303" s="647" t="str">
        <f>VLOOKUP(A1303,'[1]Raw data'!$B:$Z,3,FALSE)</f>
        <v>康佳</v>
      </c>
      <c r="S1303" s="647" t="str">
        <f>VLOOKUP(A1303,'[1]Raw data'!$B:$Z,4,FALSE)</f>
        <v>YSM20R-2</v>
      </c>
      <c r="T1303" s="647" t="str">
        <f>VLOOKUP(A1303,'[1]Raw data'!$B:$Z,8,FALSE)</f>
        <v>L-&gt;R</v>
      </c>
      <c r="U1303" s="647" t="str">
        <f>VLOOKUP(A1303,'[1]Raw data'!$B:$Z,9,FALSE)</f>
        <v>No</v>
      </c>
      <c r="V1303" s="567" t="str">
        <f t="shared" ref="V1303:V1304" si="297">IF(G1303&amp;H1303=T1303&amp;U1303,"OK","WRONG")</f>
        <v>WRONG</v>
      </c>
      <c r="W1303" s="563" t="str">
        <f>VLOOKUP(A1303,'[1]Raw data'!$B:$AG,32,FALSE)</f>
        <v>DDP SN</v>
      </c>
      <c r="X1303" s="657">
        <f>VLOOKUP(A1303,'[1]Raw data'!$B:$BA,31,FALSE)</f>
        <v>44678</v>
      </c>
      <c r="Y1303" s="647" t="str">
        <f>VLOOKUP(A1303,'[1]Raw data'!$B:$AS,39,FALSE)</f>
        <v>Yes</v>
      </c>
      <c r="Z1303" s="659"/>
      <c r="AA1303" s="660"/>
      <c r="AB1303" s="661"/>
      <c r="AC1303" s="647" t="s">
        <v>1951</v>
      </c>
      <c r="AD1303" s="662">
        <v>301</v>
      </c>
      <c r="AE1303" s="662">
        <v>10</v>
      </c>
      <c r="AF1303" s="662">
        <v>302</v>
      </c>
      <c r="AG1303" s="662">
        <v>5</v>
      </c>
      <c r="AH1303" s="662">
        <v>303</v>
      </c>
      <c r="AI1303" s="662">
        <v>5</v>
      </c>
      <c r="AN1303" s="542"/>
      <c r="AO1303" s="824" t="str">
        <f t="shared" si="284"/>
        <v>Yes</v>
      </c>
      <c r="AP1303" s="259" t="str">
        <f t="shared" si="285"/>
        <v>AUG 23</v>
      </c>
      <c r="AQ1303" s="542" t="str">
        <f t="shared" si="286"/>
        <v>有定金+有預留客戶</v>
      </c>
      <c r="AR1303" s="259" t="str">
        <f t="shared" si="287"/>
        <v>Shipped_Stock</v>
      </c>
      <c r="AS1303" s="259" t="str">
        <f t="shared" si="288"/>
        <v/>
      </c>
      <c r="AT1303" s="259" t="str">
        <f t="shared" si="289"/>
        <v>康佳</v>
      </c>
      <c r="AU1303" s="259" t="str">
        <f t="shared" si="290"/>
        <v>SNFPC-CG-2022-008</v>
      </c>
      <c r="AV1303" s="259" t="str">
        <f t="shared" si="291"/>
        <v>Aug-08</v>
      </c>
    </row>
    <row r="1304" spans="1:48" ht="13.5" hidden="1" thickBot="1">
      <c r="A1304" s="559">
        <v>1661</v>
      </c>
      <c r="B1304" s="664" t="s">
        <v>1125</v>
      </c>
      <c r="C1304" s="664" t="s">
        <v>281</v>
      </c>
      <c r="D1304" s="624">
        <v>110928</v>
      </c>
      <c r="E1304" s="646" t="s">
        <v>2499</v>
      </c>
      <c r="F1304" s="647" t="s">
        <v>58</v>
      </c>
      <c r="G1304" s="647" t="s">
        <v>24</v>
      </c>
      <c r="H1304" s="647" t="s">
        <v>2504</v>
      </c>
      <c r="I1304" s="575" t="s">
        <v>2531</v>
      </c>
      <c r="J1304" s="575">
        <v>1</v>
      </c>
      <c r="K1304" s="647" t="s">
        <v>1419</v>
      </c>
      <c r="L1304" s="749">
        <v>44781</v>
      </c>
      <c r="M1304" s="665">
        <v>5.2699999999999997E-2</v>
      </c>
      <c r="N1304" s="647" t="s">
        <v>4004</v>
      </c>
      <c r="O1304" s="575">
        <v>2022.7</v>
      </c>
      <c r="P1304" s="665" t="str">
        <f>VLOOKUP(A1304,'[1]Raw data'!$B:$BA,23,FALSE)</f>
        <v>RMB</v>
      </c>
      <c r="Q1304" s="647" t="str">
        <f>VLOOKUP(A1304,'[1]Raw data'!$B:$Z,2,FALSE)</f>
        <v>SNFPC-CG-2022-008</v>
      </c>
      <c r="R1304" s="647" t="str">
        <f>VLOOKUP(A1304,'[1]Raw data'!$B:$Z,3,FALSE)</f>
        <v>康佳</v>
      </c>
      <c r="S1304" s="647" t="str">
        <f>VLOOKUP(A1304,'[1]Raw data'!$B:$Z,4,FALSE)</f>
        <v>YSM20R-2</v>
      </c>
      <c r="T1304" s="647" t="str">
        <f>VLOOKUP(A1304,'[1]Raw data'!$B:$Z,8,FALSE)</f>
        <v>L-&gt;R</v>
      </c>
      <c r="U1304" s="647" t="str">
        <f>VLOOKUP(A1304,'[1]Raw data'!$B:$Z,9,FALSE)</f>
        <v>No</v>
      </c>
      <c r="V1304" s="567" t="str">
        <f t="shared" si="297"/>
        <v>WRONG</v>
      </c>
      <c r="W1304" s="563" t="str">
        <f>VLOOKUP(A1304,'[1]Raw data'!$B:$AG,32,FALSE)</f>
        <v>DDP SN</v>
      </c>
      <c r="X1304" s="657">
        <f>VLOOKUP(A1304,'[1]Raw data'!$B:$BA,31,FALSE)</f>
        <v>44678</v>
      </c>
      <c r="Y1304" s="647" t="str">
        <f>VLOOKUP(A1304,'[1]Raw data'!$B:$AS,39,FALSE)</f>
        <v>Yes</v>
      </c>
      <c r="Z1304" s="659"/>
      <c r="AA1304" s="660"/>
      <c r="AB1304" s="661"/>
      <c r="AC1304" s="647" t="s">
        <v>1951</v>
      </c>
      <c r="AD1304" s="662">
        <v>301</v>
      </c>
      <c r="AE1304" s="662">
        <v>5</v>
      </c>
      <c r="AF1304" s="662">
        <v>302</v>
      </c>
      <c r="AG1304" s="662">
        <v>10</v>
      </c>
      <c r="AH1304" s="662">
        <v>304</v>
      </c>
      <c r="AI1304" s="663">
        <v>5</v>
      </c>
      <c r="AN1304" s="542"/>
      <c r="AO1304" s="824" t="str">
        <f t="shared" si="284"/>
        <v>Yes</v>
      </c>
      <c r="AP1304" s="259" t="str">
        <f t="shared" si="285"/>
        <v>AUG 23</v>
      </c>
      <c r="AQ1304" s="542" t="str">
        <f t="shared" si="286"/>
        <v>有定金+有預留客戶</v>
      </c>
      <c r="AR1304" s="259" t="str">
        <f t="shared" si="287"/>
        <v>Shipped_Stock</v>
      </c>
      <c r="AS1304" s="259" t="str">
        <f t="shared" si="288"/>
        <v/>
      </c>
      <c r="AT1304" s="259" t="str">
        <f t="shared" si="289"/>
        <v>康佳</v>
      </c>
      <c r="AU1304" s="259" t="str">
        <f t="shared" si="290"/>
        <v>SNFPC-CG-2022-008</v>
      </c>
      <c r="AV1304" s="259" t="str">
        <f t="shared" si="291"/>
        <v>Aug-08</v>
      </c>
    </row>
    <row r="1305" spans="1:48" hidden="1">
      <c r="A1305" s="559">
        <v>1847</v>
      </c>
      <c r="B1305" s="664" t="s">
        <v>1125</v>
      </c>
      <c r="C1305" s="664" t="s">
        <v>281</v>
      </c>
      <c r="D1305" s="761">
        <v>111000</v>
      </c>
      <c r="E1305" s="744" t="s">
        <v>2370</v>
      </c>
      <c r="F1305" s="647" t="s">
        <v>17</v>
      </c>
      <c r="G1305" s="647" t="s">
        <v>18</v>
      </c>
      <c r="H1305" s="647" t="s">
        <v>27</v>
      </c>
      <c r="I1305" s="575" t="s">
        <v>2532</v>
      </c>
      <c r="J1305" s="575">
        <v>1</v>
      </c>
      <c r="K1305" s="647" t="s">
        <v>1419</v>
      </c>
      <c r="L1305" s="749">
        <v>44781</v>
      </c>
      <c r="M1305" s="717">
        <v>4.9700000000000001E-2</v>
      </c>
      <c r="N1305" s="647" t="s">
        <v>216</v>
      </c>
      <c r="O1305" s="575">
        <v>2022.7</v>
      </c>
      <c r="P1305" s="665" t="str">
        <f>VLOOKUP(A1305,'[1]Raw data'!$B:$BA,23,FALSE)</f>
        <v>RMB</v>
      </c>
      <c r="Q1305" s="647" t="str">
        <f>VLOOKUP(A1305,'[1]Raw data'!$B:$Z,2,FALSE)</f>
        <v>C49SZX20230024MZ</v>
      </c>
      <c r="R1305" s="647" t="str">
        <f>VLOOKUP(A1305,'[1]Raw data'!$B:$Z,3,FALSE)</f>
        <v>斯路迅</v>
      </c>
      <c r="S1305" s="647" t="str">
        <f>VLOOKUP(A1305,'[1]Raw data'!$B:$Z,4,FALSE)</f>
        <v>YSM10</v>
      </c>
      <c r="T1305" s="647" t="str">
        <f>VLOOKUP(A1305,'[1]Raw data'!$B:$Z,8,FALSE)</f>
        <v>L-&gt;R</v>
      </c>
      <c r="U1305" s="647" t="str">
        <f>VLOOKUP(A1305,'[1]Raw data'!$B:$Z,9,FALSE)</f>
        <v>MVC</v>
      </c>
      <c r="V1305" s="567" t="str">
        <f t="shared" si="294"/>
        <v>WRONG</v>
      </c>
      <c r="W1305" s="563" t="str">
        <f>VLOOKUP(A1305,'[1]Raw data'!$B:$AG,32,FALSE)</f>
        <v>DDP SZ</v>
      </c>
      <c r="X1305" s="647">
        <f>VLOOKUP(A1305,'[1]Raw data'!$B:$BA,31,FALSE)</f>
        <v>44978</v>
      </c>
      <c r="Y1305" s="647" t="str">
        <f>VLOOKUP(A1305,'[1]Raw data'!$B:$AS,39,FALSE)</f>
        <v>Yes</v>
      </c>
      <c r="Z1305" s="666"/>
      <c r="AA1305" s="667"/>
      <c r="AB1305" s="668"/>
      <c r="AC1305" s="647" t="s">
        <v>2533</v>
      </c>
      <c r="AD1305" s="662">
        <v>302</v>
      </c>
      <c r="AE1305" s="662">
        <v>5</v>
      </c>
      <c r="AF1305" s="662">
        <v>304</v>
      </c>
      <c r="AG1305" s="662">
        <v>5</v>
      </c>
      <c r="AH1305" s="662"/>
      <c r="AI1305" s="663"/>
      <c r="AN1305" s="542"/>
      <c r="AO1305" s="824" t="str">
        <f t="shared" si="284"/>
        <v>Yes</v>
      </c>
      <c r="AP1305" s="259" t="str">
        <f t="shared" si="285"/>
        <v>MAR 23</v>
      </c>
      <c r="AQ1305" s="542" t="str">
        <f t="shared" si="286"/>
        <v>有定金+有預留客戶</v>
      </c>
      <c r="AR1305" s="259" t="str">
        <f t="shared" si="287"/>
        <v>Shipped_Stock</v>
      </c>
      <c r="AS1305" s="259" t="str">
        <f t="shared" si="288"/>
        <v/>
      </c>
      <c r="AT1305" s="259" t="str">
        <f t="shared" si="289"/>
        <v>斯路迅</v>
      </c>
      <c r="AU1305" s="259" t="str">
        <f t="shared" si="290"/>
        <v>C49SZX20230024MZ</v>
      </c>
      <c r="AV1305" s="259" t="str">
        <f t="shared" si="291"/>
        <v>Aug-08</v>
      </c>
    </row>
    <row r="1306" spans="1:48" hidden="1">
      <c r="A1306" s="559">
        <v>1849</v>
      </c>
      <c r="B1306" s="664" t="s">
        <v>1125</v>
      </c>
      <c r="C1306" s="664" t="s">
        <v>281</v>
      </c>
      <c r="D1306" s="755">
        <v>111000</v>
      </c>
      <c r="E1306" s="744" t="s">
        <v>2370</v>
      </c>
      <c r="F1306" s="647" t="s">
        <v>17</v>
      </c>
      <c r="G1306" s="647" t="s">
        <v>18</v>
      </c>
      <c r="H1306" s="647" t="s">
        <v>27</v>
      </c>
      <c r="I1306" s="575" t="s">
        <v>2534</v>
      </c>
      <c r="J1306" s="575">
        <v>1</v>
      </c>
      <c r="K1306" s="647" t="s">
        <v>1419</v>
      </c>
      <c r="L1306" s="749">
        <v>44781</v>
      </c>
      <c r="M1306" s="665">
        <v>4.9700000000000001E-2</v>
      </c>
      <c r="N1306" s="647" t="s">
        <v>226</v>
      </c>
      <c r="O1306" s="575">
        <v>2022.7</v>
      </c>
      <c r="P1306" s="665" t="str">
        <f>VLOOKUP(A1306,'[1]Raw data'!$B:$BA,23,FALSE)</f>
        <v>RMB</v>
      </c>
      <c r="Q1306" s="647" t="str">
        <f>VLOOKUP(A1306,'[1]Raw data'!$B:$Z,2,FALSE)</f>
        <v>C49SZX20230028JY</v>
      </c>
      <c r="R1306" s="647" t="str">
        <f>VLOOKUP(A1306,'[1]Raw data'!$B:$Z,3,FALSE)</f>
        <v>建航</v>
      </c>
      <c r="S1306" s="647" t="str">
        <f>VLOOKUP(A1306,'[1]Raw data'!$B:$Z,4,FALSE)</f>
        <v>YSM10</v>
      </c>
      <c r="T1306" s="647" t="str">
        <f>VLOOKUP(A1306,'[1]Raw data'!$B:$Z,8,FALSE)</f>
        <v>L-&gt;R</v>
      </c>
      <c r="U1306" s="647" t="str">
        <f>VLOOKUP(A1306,'[1]Raw data'!$B:$Z,9,FALSE)</f>
        <v>MVC</v>
      </c>
      <c r="V1306" s="567" t="str">
        <f t="shared" si="294"/>
        <v>WRONG</v>
      </c>
      <c r="W1306" s="563" t="str">
        <f>VLOOKUP(A1306,'[1]Raw data'!$B:$AG,32,FALSE)</f>
        <v>DDP SZ</v>
      </c>
      <c r="X1306" s="647">
        <f>VLOOKUP(A1306,'[1]Raw data'!$B:$BA,31,FALSE)</f>
        <v>44980</v>
      </c>
      <c r="Y1306" s="647" t="str">
        <f>VLOOKUP(A1306,'[1]Raw data'!$B:$AS,39,FALSE)</f>
        <v>Yes</v>
      </c>
      <c r="Z1306" s="659"/>
      <c r="AA1306" s="660"/>
      <c r="AB1306" s="661"/>
      <c r="AC1306" s="647" t="s">
        <v>3898</v>
      </c>
      <c r="AD1306" s="662">
        <v>302</v>
      </c>
      <c r="AE1306" s="662">
        <v>5</v>
      </c>
      <c r="AF1306" s="662">
        <v>304</v>
      </c>
      <c r="AG1306" s="662">
        <v>5</v>
      </c>
      <c r="AH1306" s="662"/>
      <c r="AI1306" s="663"/>
      <c r="AN1306" s="542"/>
      <c r="AO1306" s="824" t="str">
        <f t="shared" si="284"/>
        <v>Yes</v>
      </c>
      <c r="AP1306" s="259" t="str">
        <f t="shared" si="285"/>
        <v>APR 23</v>
      </c>
      <c r="AQ1306" s="542" t="str">
        <f t="shared" si="286"/>
        <v>有定金+有預留客戶</v>
      </c>
      <c r="AR1306" s="259" t="str">
        <f t="shared" si="287"/>
        <v>Shipped_Stock</v>
      </c>
      <c r="AS1306" s="259" t="str">
        <f t="shared" si="288"/>
        <v/>
      </c>
      <c r="AT1306" s="259" t="str">
        <f t="shared" si="289"/>
        <v>建航</v>
      </c>
      <c r="AU1306" s="259" t="str">
        <f t="shared" si="290"/>
        <v>C49SZX20230028JY</v>
      </c>
      <c r="AV1306" s="259" t="str">
        <f t="shared" si="291"/>
        <v>Aug-08</v>
      </c>
    </row>
    <row r="1307" spans="1:48" hidden="1">
      <c r="A1307" s="559">
        <v>1869</v>
      </c>
      <c r="B1307" s="664" t="s">
        <v>1125</v>
      </c>
      <c r="C1307" s="664" t="s">
        <v>281</v>
      </c>
      <c r="D1307" s="755">
        <v>110999</v>
      </c>
      <c r="E1307" s="744" t="s">
        <v>2535</v>
      </c>
      <c r="F1307" s="647" t="s">
        <v>17</v>
      </c>
      <c r="G1307" s="647" t="s">
        <v>18</v>
      </c>
      <c r="H1307" s="647" t="s">
        <v>102</v>
      </c>
      <c r="I1307" s="575" t="s">
        <v>2536</v>
      </c>
      <c r="J1307" s="575">
        <v>1</v>
      </c>
      <c r="K1307" s="647" t="s">
        <v>1419</v>
      </c>
      <c r="L1307" s="749">
        <v>44781</v>
      </c>
      <c r="M1307" s="717">
        <v>4.9700000000000001E-2</v>
      </c>
      <c r="N1307" s="647" t="s">
        <v>216</v>
      </c>
      <c r="O1307" s="575">
        <v>2022.7</v>
      </c>
      <c r="P1307" s="665" t="str">
        <f>VLOOKUP(A1307,'[1]Raw data'!$B:$BA,23,FALSE)</f>
        <v>RMB</v>
      </c>
      <c r="Q1307" s="647" t="str">
        <f>VLOOKUP(A1307,'[1]Raw data'!$B:$Z,2,FALSE)</f>
        <v>C49SZX20230037SS</v>
      </c>
      <c r="R1307" s="647" t="str">
        <f>VLOOKUP(A1307,'[1]Raw data'!$B:$Z,3,FALSE)</f>
        <v>清禾实业</v>
      </c>
      <c r="S1307" s="647" t="str">
        <f>VLOOKUP(A1307,'[1]Raw data'!$B:$Z,4,FALSE)</f>
        <v>YSM10</v>
      </c>
      <c r="T1307" s="647" t="str">
        <f>VLOOKUP(A1307,'[1]Raw data'!$B:$Z,8,FALSE)</f>
        <v>L-&gt;R</v>
      </c>
      <c r="U1307" s="647" t="str">
        <f>VLOOKUP(A1307,'[1]Raw data'!$B:$Z,9,FALSE)</f>
        <v>MVC</v>
      </c>
      <c r="V1307" s="567" t="str">
        <f t="shared" si="294"/>
        <v>WRONG</v>
      </c>
      <c r="W1307" s="563" t="str">
        <f>VLOOKUP(A1307,'[1]Raw data'!$B:$AG,32,FALSE)</f>
        <v>DDP SZ</v>
      </c>
      <c r="X1307" s="647">
        <f>VLOOKUP(A1307,'[1]Raw data'!$B:$BA,31,FALSE)</f>
        <v>44992</v>
      </c>
      <c r="Y1307" s="647" t="str">
        <f>VLOOKUP(A1307,'[1]Raw data'!$B:$AS,39,FALSE)</f>
        <v>Yes</v>
      </c>
      <c r="Z1307" s="659"/>
      <c r="AA1307" s="660"/>
      <c r="AB1307" s="661"/>
      <c r="AC1307" s="647" t="s">
        <v>2537</v>
      </c>
      <c r="AD1307" s="662">
        <v>302</v>
      </c>
      <c r="AE1307" s="662">
        <v>5</v>
      </c>
      <c r="AF1307" s="662">
        <v>303</v>
      </c>
      <c r="AG1307" s="663">
        <v>2</v>
      </c>
      <c r="AH1307" s="662">
        <v>304</v>
      </c>
      <c r="AI1307" s="663">
        <v>3</v>
      </c>
      <c r="AN1307" s="542"/>
      <c r="AO1307" s="824" t="str">
        <f t="shared" si="284"/>
        <v>Yes</v>
      </c>
      <c r="AP1307" s="259" t="str">
        <f t="shared" si="285"/>
        <v>MAR 23</v>
      </c>
      <c r="AQ1307" s="542" t="str">
        <f t="shared" si="286"/>
        <v>有定金+有預留客戶</v>
      </c>
      <c r="AR1307" s="259" t="str">
        <f t="shared" si="287"/>
        <v>Shipped_Stock</v>
      </c>
      <c r="AS1307" s="259" t="str">
        <f t="shared" si="288"/>
        <v/>
      </c>
      <c r="AT1307" s="259" t="str">
        <f t="shared" si="289"/>
        <v>清禾实业</v>
      </c>
      <c r="AU1307" s="259" t="str">
        <f t="shared" si="290"/>
        <v>C49SZX20230037SS</v>
      </c>
      <c r="AV1307" s="259" t="str">
        <f t="shared" si="291"/>
        <v>Aug-08</v>
      </c>
    </row>
    <row r="1308" spans="1:48" ht="13.5" hidden="1" thickBot="1">
      <c r="A1308" s="599">
        <v>1870</v>
      </c>
      <c r="B1308" s="664" t="s">
        <v>1125</v>
      </c>
      <c r="C1308" s="664" t="s">
        <v>281</v>
      </c>
      <c r="D1308" s="624">
        <v>110999</v>
      </c>
      <c r="E1308" s="744" t="s">
        <v>2535</v>
      </c>
      <c r="F1308" s="647" t="s">
        <v>17</v>
      </c>
      <c r="G1308" s="647" t="s">
        <v>18</v>
      </c>
      <c r="H1308" s="647" t="s">
        <v>102</v>
      </c>
      <c r="I1308" s="575" t="s">
        <v>2538</v>
      </c>
      <c r="J1308" s="575">
        <v>1</v>
      </c>
      <c r="K1308" s="647" t="s">
        <v>1419</v>
      </c>
      <c r="L1308" s="749">
        <v>44781</v>
      </c>
      <c r="M1308" s="717">
        <v>4.9700000000000001E-2</v>
      </c>
      <c r="N1308" s="647" t="s">
        <v>216</v>
      </c>
      <c r="O1308" s="575">
        <v>2022.7</v>
      </c>
      <c r="P1308" s="665" t="str">
        <f>VLOOKUP(A1308,'[1]Raw data'!$B:$BA,23,FALSE)</f>
        <v>RMB</v>
      </c>
      <c r="Q1308" s="647" t="str">
        <f>VLOOKUP(A1308,'[1]Raw data'!$B:$Z,2,FALSE)</f>
        <v>C49SZX20230038SS</v>
      </c>
      <c r="R1308" s="647" t="str">
        <f>VLOOKUP(A1308,'[1]Raw data'!$B:$Z,3,FALSE)</f>
        <v>清禾电路</v>
      </c>
      <c r="S1308" s="647" t="str">
        <f>VLOOKUP(A1308,'[1]Raw data'!$B:$Z,4,FALSE)</f>
        <v>YSM10</v>
      </c>
      <c r="T1308" s="647" t="str">
        <f>VLOOKUP(A1308,'[1]Raw data'!$B:$Z,8,FALSE)</f>
        <v>L-&gt;R</v>
      </c>
      <c r="U1308" s="647" t="str">
        <f>VLOOKUP(A1308,'[1]Raw data'!$B:$Z,9,FALSE)</f>
        <v>MVC</v>
      </c>
      <c r="V1308" s="567" t="str">
        <f t="shared" si="294"/>
        <v>WRONG</v>
      </c>
      <c r="W1308" s="563" t="str">
        <f>VLOOKUP(A1308,'[1]Raw data'!$B:$AG,32,FALSE)</f>
        <v>DDP SZ</v>
      </c>
      <c r="X1308" s="647">
        <f>VLOOKUP(A1308,'[1]Raw data'!$B:$BA,31,FALSE)</f>
        <v>44992</v>
      </c>
      <c r="Y1308" s="647" t="str">
        <f>VLOOKUP(A1308,'[1]Raw data'!$B:$AS,39,FALSE)</f>
        <v>Yes</v>
      </c>
      <c r="Z1308" s="659"/>
      <c r="AA1308" s="660"/>
      <c r="AB1308" s="661"/>
      <c r="AC1308" s="647" t="s">
        <v>2539</v>
      </c>
      <c r="AD1308" s="575">
        <v>302</v>
      </c>
      <c r="AE1308" s="575">
        <v>5</v>
      </c>
      <c r="AF1308" s="575">
        <v>303</v>
      </c>
      <c r="AG1308" s="679">
        <v>2</v>
      </c>
      <c r="AH1308" s="575">
        <v>304</v>
      </c>
      <c r="AI1308" s="679">
        <v>3</v>
      </c>
      <c r="AJ1308" s="564"/>
      <c r="AK1308" s="564"/>
      <c r="AL1308" s="564"/>
      <c r="AM1308" s="564"/>
      <c r="AN1308" s="614"/>
      <c r="AO1308" s="824" t="str">
        <f t="shared" si="284"/>
        <v>Yes</v>
      </c>
      <c r="AP1308" s="259" t="str">
        <f t="shared" si="285"/>
        <v>MAR 23</v>
      </c>
      <c r="AQ1308" s="542" t="str">
        <f t="shared" si="286"/>
        <v>有定金+有預留客戶</v>
      </c>
      <c r="AR1308" s="259" t="str">
        <f t="shared" si="287"/>
        <v>Shipped_Stock</v>
      </c>
      <c r="AS1308" s="259" t="str">
        <f t="shared" si="288"/>
        <v/>
      </c>
      <c r="AT1308" s="259" t="str">
        <f t="shared" si="289"/>
        <v>清禾电路</v>
      </c>
      <c r="AU1308" s="259" t="str">
        <f t="shared" si="290"/>
        <v>C49SZX20230038SS</v>
      </c>
      <c r="AV1308" s="259" t="str">
        <f t="shared" si="291"/>
        <v>Aug-08</v>
      </c>
    </row>
    <row r="1309" spans="1:48" ht="22.5" hidden="1">
      <c r="A1309" s="599">
        <v>1739</v>
      </c>
      <c r="B1309" s="664" t="s">
        <v>1125</v>
      </c>
      <c r="C1309" s="664" t="s">
        <v>281</v>
      </c>
      <c r="D1309" s="761">
        <v>110987</v>
      </c>
      <c r="E1309" s="646" t="s">
        <v>2540</v>
      </c>
      <c r="F1309" s="647" t="s">
        <v>58</v>
      </c>
      <c r="G1309" s="647" t="s">
        <v>24</v>
      </c>
      <c r="H1309" s="647" t="s">
        <v>26</v>
      </c>
      <c r="I1309" s="575" t="s">
        <v>2541</v>
      </c>
      <c r="J1309" s="575">
        <v>1</v>
      </c>
      <c r="K1309" s="647" t="s">
        <v>1419</v>
      </c>
      <c r="L1309" s="657">
        <v>44795</v>
      </c>
      <c r="M1309" s="717" t="s">
        <v>2662</v>
      </c>
      <c r="N1309" s="647" t="s">
        <v>205</v>
      </c>
      <c r="O1309" s="575">
        <v>2022.7</v>
      </c>
      <c r="P1309" s="665" t="str">
        <f>VLOOKUP(A1309,'[1]Raw data'!$B:$BA,23,FALSE)</f>
        <v>RMB</v>
      </c>
      <c r="Q1309" s="647" t="str">
        <f>VLOOKUP(A1309,'[1]Raw data'!$B:$Z,2,FALSE)</f>
        <v>C49SZX20220106SX</v>
      </c>
      <c r="R1309" s="647" t="str">
        <f>VLOOKUP(A1309,'[1]Raw data'!$B:$Z,3,FALSE)</f>
        <v>锐诚</v>
      </c>
      <c r="S1309" s="647" t="str">
        <f>VLOOKUP(A1309,'[1]Raw data'!$B:$Z,4,FALSE)</f>
        <v>YSM20R-2</v>
      </c>
      <c r="T1309" s="647" t="str">
        <f>VLOOKUP(A1309,'[1]Raw data'!$B:$Z,8,FALSE)</f>
        <v>L-&gt;R</v>
      </c>
      <c r="U1309" s="647" t="str">
        <f>VLOOKUP(A1309,'[1]Raw data'!$B:$Z,9,FALSE)</f>
        <v>No</v>
      </c>
      <c r="V1309" s="567" t="str">
        <f t="shared" ref="V1309:V1314" si="298">IF(G1309&amp;H1309=T1309&amp;U1309,"OK","WRONG")</f>
        <v>OK</v>
      </c>
      <c r="W1309" s="563" t="str">
        <f>VLOOKUP(A1309,'[1]Raw data'!$B:$AG,32,FALSE)</f>
        <v>DDP HZ</v>
      </c>
      <c r="X1309" s="647">
        <f>VLOOKUP(A1309,'[1]Raw data'!$B:$BA,31,FALSE)</f>
        <v>44845</v>
      </c>
      <c r="Y1309" s="647" t="str">
        <f>VLOOKUP(A1309,'[1]Raw data'!$B:$AS,39,FALSE)</f>
        <v>Yes</v>
      </c>
      <c r="Z1309" s="666"/>
      <c r="AA1309" s="660"/>
      <c r="AB1309" s="661"/>
      <c r="AC1309" s="647" t="s">
        <v>563</v>
      </c>
      <c r="AD1309" s="575">
        <v>311</v>
      </c>
      <c r="AE1309" s="575">
        <v>20</v>
      </c>
      <c r="AF1309" s="575"/>
      <c r="AG1309" s="575"/>
      <c r="AH1309" s="575"/>
      <c r="AI1309" s="679"/>
      <c r="AJ1309" s="564"/>
      <c r="AK1309" s="564"/>
      <c r="AL1309" s="564"/>
      <c r="AM1309" s="564"/>
      <c r="AN1309" s="614"/>
      <c r="AO1309" s="824" t="str">
        <f t="shared" si="284"/>
        <v>Yes</v>
      </c>
      <c r="AP1309" s="259" t="str">
        <f t="shared" si="285"/>
        <v>OCT 22</v>
      </c>
      <c r="AQ1309" s="542" t="str">
        <f t="shared" si="286"/>
        <v>有定金+有預留客戶</v>
      </c>
      <c r="AR1309" s="259" t="str">
        <f t="shared" si="287"/>
        <v>Shipped_Stock</v>
      </c>
      <c r="AS1309" s="259" t="str">
        <f t="shared" si="288"/>
        <v/>
      </c>
      <c r="AT1309" s="259" t="str">
        <f t="shared" si="289"/>
        <v>锐诚</v>
      </c>
      <c r="AU1309" s="259" t="str">
        <f t="shared" si="290"/>
        <v>C49SZX20220106SX</v>
      </c>
      <c r="AV1309" s="259" t="str">
        <f t="shared" si="291"/>
        <v>Aug-22</v>
      </c>
    </row>
    <row r="1310" spans="1:48" hidden="1">
      <c r="A1310" s="599">
        <v>1720</v>
      </c>
      <c r="B1310" s="664" t="s">
        <v>1125</v>
      </c>
      <c r="C1310" s="664" t="s">
        <v>281</v>
      </c>
      <c r="D1310" s="755">
        <v>110987</v>
      </c>
      <c r="E1310" s="646" t="s">
        <v>2540</v>
      </c>
      <c r="F1310" s="647" t="s">
        <v>58</v>
      </c>
      <c r="G1310" s="647" t="s">
        <v>24</v>
      </c>
      <c r="H1310" s="647" t="s">
        <v>26</v>
      </c>
      <c r="I1310" s="575" t="s">
        <v>2542</v>
      </c>
      <c r="J1310" s="575">
        <v>1</v>
      </c>
      <c r="K1310" s="647" t="s">
        <v>1419</v>
      </c>
      <c r="L1310" s="657">
        <v>44795</v>
      </c>
      <c r="M1310" s="717" t="s">
        <v>906</v>
      </c>
      <c r="N1310" s="647" t="s">
        <v>205</v>
      </c>
      <c r="O1310" s="575">
        <v>2022.7</v>
      </c>
      <c r="P1310" s="665" t="str">
        <f>VLOOKUP(A1310,'[1]Raw data'!$B:$BA,23,FALSE)</f>
        <v>JPY</v>
      </c>
      <c r="Q1310" s="647" t="str">
        <f>VLOOKUP(A1310,'[1]Raw data'!$B:$Z,2,FALSE)</f>
        <v>C49SZX20220096JL</v>
      </c>
      <c r="R1310" s="647" t="str">
        <f>VLOOKUP(A1310,'[1]Raw data'!$B:$Z,3,FALSE)</f>
        <v>倍斯特</v>
      </c>
      <c r="S1310" s="647" t="str">
        <f>VLOOKUP(A1310,'[1]Raw data'!$B:$Z,4,FALSE)</f>
        <v>YSM20R-2</v>
      </c>
      <c r="T1310" s="647" t="str">
        <f>VLOOKUP(A1310,'[1]Raw data'!$B:$Z,8,FALSE)</f>
        <v>L-&gt;R</v>
      </c>
      <c r="U1310" s="647" t="str">
        <f>VLOOKUP(A1310,'[1]Raw data'!$B:$Z,9,FALSE)</f>
        <v>No</v>
      </c>
      <c r="V1310" s="567" t="str">
        <f t="shared" si="298"/>
        <v>OK</v>
      </c>
      <c r="W1310" s="563" t="str">
        <f>VLOOKUP(A1310,'[1]Raw data'!$B:$AG,32,FALSE)</f>
        <v>DAP SZ</v>
      </c>
      <c r="X1310" s="647">
        <f>VLOOKUP(A1310,'[1]Raw data'!$B:$BA,31,FALSE)</f>
        <v>44819</v>
      </c>
      <c r="Y1310" s="647" t="str">
        <f>VLOOKUP(A1310,'[1]Raw data'!$B:$AS,39,FALSE)</f>
        <v>Yes</v>
      </c>
      <c r="Z1310" s="666"/>
      <c r="AA1310" s="660"/>
      <c r="AB1310" s="661"/>
      <c r="AC1310" s="647" t="s">
        <v>2366</v>
      </c>
      <c r="AD1310" s="575">
        <v>311</v>
      </c>
      <c r="AE1310" s="575">
        <v>20</v>
      </c>
      <c r="AF1310" s="575"/>
      <c r="AG1310" s="575"/>
      <c r="AH1310" s="575"/>
      <c r="AI1310" s="679"/>
      <c r="AJ1310" s="564"/>
      <c r="AK1310" s="564"/>
      <c r="AL1310" s="564"/>
      <c r="AM1310" s="564"/>
      <c r="AN1310" s="614"/>
      <c r="AO1310" s="824" t="str">
        <f t="shared" si="284"/>
        <v>Yes</v>
      </c>
      <c r="AP1310" s="259" t="str">
        <f t="shared" si="285"/>
        <v>OCT 22</v>
      </c>
      <c r="AQ1310" s="542" t="str">
        <f t="shared" si="286"/>
        <v>有定金+有預留客戶</v>
      </c>
      <c r="AR1310" s="259" t="str">
        <f t="shared" si="287"/>
        <v>Shipped_Stock</v>
      </c>
      <c r="AS1310" s="259" t="str">
        <f t="shared" si="288"/>
        <v/>
      </c>
      <c r="AT1310" s="259" t="str">
        <f t="shared" si="289"/>
        <v>倍斯特</v>
      </c>
      <c r="AU1310" s="259" t="str">
        <f t="shared" si="290"/>
        <v>C49SZX20220096JL</v>
      </c>
      <c r="AV1310" s="259" t="str">
        <f t="shared" si="291"/>
        <v>Aug-22</v>
      </c>
    </row>
    <row r="1311" spans="1:48" hidden="1">
      <c r="A1311" s="599">
        <v>1710</v>
      </c>
      <c r="B1311" s="664" t="s">
        <v>1125</v>
      </c>
      <c r="C1311" s="664" t="s">
        <v>281</v>
      </c>
      <c r="D1311" s="755">
        <v>110986</v>
      </c>
      <c r="E1311" s="646" t="s">
        <v>2543</v>
      </c>
      <c r="F1311" s="647" t="s">
        <v>58</v>
      </c>
      <c r="G1311" s="647" t="s">
        <v>18</v>
      </c>
      <c r="H1311" s="647" t="s">
        <v>26</v>
      </c>
      <c r="I1311" s="575" t="s">
        <v>2544</v>
      </c>
      <c r="J1311" s="575">
        <v>1</v>
      </c>
      <c r="K1311" s="647" t="s">
        <v>1419</v>
      </c>
      <c r="L1311" s="657">
        <v>44795</v>
      </c>
      <c r="M1311" s="717" t="s">
        <v>906</v>
      </c>
      <c r="N1311" s="647" t="s">
        <v>219</v>
      </c>
      <c r="O1311" s="575">
        <v>2022.7</v>
      </c>
      <c r="P1311" s="665" t="str">
        <f>VLOOKUP(A1311,'[1]Raw data'!$B:$BA,23,FALSE)</f>
        <v>JPY</v>
      </c>
      <c r="Q1311" s="647" t="str">
        <f>VLOOKUP(A1311,'[1]Raw data'!$B:$Z,2,FALSE)</f>
        <v>C49SZX20220084DZ</v>
      </c>
      <c r="R1311" s="647" t="str">
        <f>VLOOKUP(A1311,'[1]Raw data'!$B:$Z,3,FALSE)</f>
        <v>朗特</v>
      </c>
      <c r="S1311" s="647" t="str">
        <f>VLOOKUP(A1311,'[1]Raw data'!$B:$Z,4,FALSE)</f>
        <v>YSM20R-2</v>
      </c>
      <c r="T1311" s="647" t="str">
        <f>VLOOKUP(A1311,'[1]Raw data'!$B:$Z,8,FALSE)</f>
        <v>R-&gt;L</v>
      </c>
      <c r="U1311" s="647" t="str">
        <f>VLOOKUP(A1311,'[1]Raw data'!$B:$Z,9,FALSE)</f>
        <v>No</v>
      </c>
      <c r="V1311" s="567" t="str">
        <f t="shared" si="298"/>
        <v>OK</v>
      </c>
      <c r="W1311" s="563" t="str">
        <f>VLOOKUP(A1311,'[1]Raw data'!$B:$AG,32,FALSE)</f>
        <v>CIF HK</v>
      </c>
      <c r="X1311" s="647">
        <f>VLOOKUP(A1311,'[1]Raw data'!$B:$BA,31,FALSE)</f>
        <v>44768</v>
      </c>
      <c r="Y1311" s="647" t="str">
        <f>VLOOKUP(A1311,'[1]Raw data'!$B:$AS,39,FALSE)</f>
        <v>Yes</v>
      </c>
      <c r="Z1311" s="659"/>
      <c r="AA1311" s="660"/>
      <c r="AB1311" s="661"/>
      <c r="AC1311" s="647" t="s">
        <v>2174</v>
      </c>
      <c r="AD1311" s="575">
        <v>311</v>
      </c>
      <c r="AE1311" s="575">
        <v>20</v>
      </c>
      <c r="AF1311" s="575"/>
      <c r="AG1311" s="575"/>
      <c r="AH1311" s="575"/>
      <c r="AI1311" s="679"/>
      <c r="AJ1311" s="564"/>
      <c r="AK1311" s="564"/>
      <c r="AL1311" s="564"/>
      <c r="AM1311" s="564"/>
      <c r="AN1311" s="614"/>
      <c r="AO1311" s="824" t="str">
        <f t="shared" si="284"/>
        <v>Yes</v>
      </c>
      <c r="AP1311" s="259" t="str">
        <f t="shared" si="285"/>
        <v>SEP 22</v>
      </c>
      <c r="AQ1311" s="542" t="str">
        <f t="shared" si="286"/>
        <v>有定金+有預留客戶</v>
      </c>
      <c r="AR1311" s="259" t="str">
        <f t="shared" si="287"/>
        <v>Shipped_Stock</v>
      </c>
      <c r="AS1311" s="259" t="str">
        <f t="shared" si="288"/>
        <v/>
      </c>
      <c r="AT1311" s="259" t="str">
        <f t="shared" si="289"/>
        <v>朗特</v>
      </c>
      <c r="AU1311" s="259" t="str">
        <f t="shared" si="290"/>
        <v>C49SZX20220084DZ</v>
      </c>
      <c r="AV1311" s="259" t="str">
        <f t="shared" si="291"/>
        <v>Aug-22</v>
      </c>
    </row>
    <row r="1312" spans="1:48" ht="13.5" hidden="1" thickBot="1">
      <c r="A1312" s="599">
        <v>1742</v>
      </c>
      <c r="B1312" s="664" t="s">
        <v>1125</v>
      </c>
      <c r="C1312" s="664" t="s">
        <v>281</v>
      </c>
      <c r="D1312" s="624">
        <v>110986</v>
      </c>
      <c r="E1312" s="646" t="s">
        <v>2543</v>
      </c>
      <c r="F1312" s="647" t="s">
        <v>58</v>
      </c>
      <c r="G1312" s="647" t="s">
        <v>18</v>
      </c>
      <c r="H1312" s="647" t="s">
        <v>26</v>
      </c>
      <c r="I1312" s="575" t="s">
        <v>2545</v>
      </c>
      <c r="J1312" s="575">
        <v>1</v>
      </c>
      <c r="K1312" s="647" t="s">
        <v>1419</v>
      </c>
      <c r="L1312" s="657">
        <v>44795</v>
      </c>
      <c r="M1312" s="717" t="s">
        <v>906</v>
      </c>
      <c r="N1312" s="647" t="s">
        <v>205</v>
      </c>
      <c r="O1312" s="575">
        <v>2022.7</v>
      </c>
      <c r="P1312" s="665" t="str">
        <f>VLOOKUP(A1312,'[1]Raw data'!$B:$BA,23,FALSE)</f>
        <v>RMB</v>
      </c>
      <c r="Q1312" s="647" t="str">
        <f>VLOOKUP(A1312,'[1]Raw data'!$B:$Z,2,FALSE)</f>
        <v>C49SZX20220107DZ</v>
      </c>
      <c r="R1312" s="647" t="str">
        <f>VLOOKUP(A1312,'[1]Raw data'!$B:$Z,3,FALSE)</f>
        <v>朗特</v>
      </c>
      <c r="S1312" s="647" t="str">
        <f>VLOOKUP(A1312,'[1]Raw data'!$B:$Z,4,FALSE)</f>
        <v>YSM20R-2</v>
      </c>
      <c r="T1312" s="647" t="str">
        <f>VLOOKUP(A1312,'[1]Raw data'!$B:$Z,8,FALSE)</f>
        <v>R-&gt;L</v>
      </c>
      <c r="U1312" s="647" t="str">
        <f>VLOOKUP(A1312,'[1]Raw data'!$B:$Z,9,FALSE)</f>
        <v>No</v>
      </c>
      <c r="V1312" s="567" t="str">
        <f t="shared" si="298"/>
        <v>OK</v>
      </c>
      <c r="W1312" s="563" t="str">
        <f>VLOOKUP(A1312,'[1]Raw data'!$B:$AG,32,FALSE)</f>
        <v>DDP SZ</v>
      </c>
      <c r="X1312" s="647">
        <f>VLOOKUP(A1312,'[1]Raw data'!$B:$BA,31,FALSE)</f>
        <v>44846</v>
      </c>
      <c r="Y1312" s="647" t="str">
        <f>VLOOKUP(A1312,'[1]Raw data'!$B:$AS,39,FALSE)</f>
        <v>Yes</v>
      </c>
      <c r="Z1312" s="666"/>
      <c r="AA1312" s="660"/>
      <c r="AB1312" s="661"/>
      <c r="AC1312" s="647" t="s">
        <v>933</v>
      </c>
      <c r="AD1312" s="575">
        <v>311</v>
      </c>
      <c r="AE1312" s="575">
        <v>20</v>
      </c>
      <c r="AF1312" s="575"/>
      <c r="AG1312" s="575"/>
      <c r="AH1312" s="575"/>
      <c r="AI1312" s="679"/>
      <c r="AJ1312" s="564"/>
      <c r="AK1312" s="564"/>
      <c r="AL1312" s="564"/>
      <c r="AM1312" s="564"/>
      <c r="AN1312" s="614"/>
      <c r="AO1312" s="824" t="str">
        <f t="shared" si="284"/>
        <v>Yes</v>
      </c>
      <c r="AP1312" s="259" t="str">
        <f t="shared" si="285"/>
        <v>OCT 22</v>
      </c>
      <c r="AQ1312" s="542" t="str">
        <f t="shared" si="286"/>
        <v>有定金+有預留客戶</v>
      </c>
      <c r="AR1312" s="259" t="str">
        <f t="shared" si="287"/>
        <v>Shipped_Stock</v>
      </c>
      <c r="AS1312" s="259" t="str">
        <f t="shared" si="288"/>
        <v/>
      </c>
      <c r="AT1312" s="259" t="str">
        <f t="shared" si="289"/>
        <v>朗特</v>
      </c>
      <c r="AU1312" s="259" t="str">
        <f t="shared" si="290"/>
        <v>C49SZX20220107DZ</v>
      </c>
      <c r="AV1312" s="259" t="str">
        <f t="shared" si="291"/>
        <v>Aug-22</v>
      </c>
    </row>
    <row r="1313" spans="1:48" hidden="1">
      <c r="A1313" s="599">
        <v>1783</v>
      </c>
      <c r="B1313" s="664" t="s">
        <v>1125</v>
      </c>
      <c r="C1313" s="664" t="s">
        <v>281</v>
      </c>
      <c r="D1313" s="761">
        <v>110992</v>
      </c>
      <c r="E1313" s="646" t="s">
        <v>2546</v>
      </c>
      <c r="F1313" s="647" t="s">
        <v>58</v>
      </c>
      <c r="G1313" s="647" t="s">
        <v>24</v>
      </c>
      <c r="H1313" s="647" t="s">
        <v>26</v>
      </c>
      <c r="I1313" s="575" t="s">
        <v>2547</v>
      </c>
      <c r="J1313" s="575">
        <v>1</v>
      </c>
      <c r="K1313" s="647" t="s">
        <v>1419</v>
      </c>
      <c r="L1313" s="657">
        <v>44795</v>
      </c>
      <c r="M1313" s="717" t="s">
        <v>906</v>
      </c>
      <c r="N1313" s="647" t="s">
        <v>220</v>
      </c>
      <c r="O1313" s="575">
        <v>2022.7</v>
      </c>
      <c r="P1313" s="665" t="str">
        <f>VLOOKUP(A1313,'[1]Raw data'!$B:$BA,23,FALSE)</f>
        <v>RMB</v>
      </c>
      <c r="Q1313" s="647" t="str">
        <f>VLOOKUP(A1313,'[1]Raw data'!$B:$Z,2,FALSE)</f>
        <v>C49SZX20220127EC</v>
      </c>
      <c r="R1313" s="647" t="str">
        <f>VLOOKUP(A1313,'[1]Raw data'!$B:$Z,3,FALSE)</f>
        <v>海红天远</v>
      </c>
      <c r="S1313" s="647" t="str">
        <f>VLOOKUP(A1313,'[1]Raw data'!$B:$Z,4,FALSE)</f>
        <v>YSM20R-2</v>
      </c>
      <c r="T1313" s="647" t="str">
        <f>VLOOKUP(A1313,'[1]Raw data'!$B:$Z,8,FALSE)</f>
        <v>L-&gt;R</v>
      </c>
      <c r="U1313" s="647" t="str">
        <f>VLOOKUP(A1313,'[1]Raw data'!$B:$Z,9,FALSE)</f>
        <v>MVC</v>
      </c>
      <c r="V1313" s="567" t="str">
        <f t="shared" si="298"/>
        <v>WRONG</v>
      </c>
      <c r="W1313" s="563" t="str">
        <f>VLOOKUP(A1313,'[1]Raw data'!$B:$AG,32,FALSE)</f>
        <v>DDP SZ</v>
      </c>
      <c r="X1313" s="647">
        <f>VLOOKUP(A1313,'[1]Raw data'!$B:$BA,31,FALSE)</f>
        <v>44914</v>
      </c>
      <c r="Y1313" s="647" t="str">
        <f>VLOOKUP(A1313,'[1]Raw data'!$B:$AS,39,FALSE)</f>
        <v>Yes</v>
      </c>
      <c r="Z1313" s="666"/>
      <c r="AA1313" s="660"/>
      <c r="AB1313" s="661"/>
      <c r="AC1313" s="647" t="s">
        <v>2207</v>
      </c>
      <c r="AD1313" s="575">
        <v>312</v>
      </c>
      <c r="AE1313" s="575">
        <v>20</v>
      </c>
      <c r="AF1313" s="575"/>
      <c r="AG1313" s="575"/>
      <c r="AH1313" s="575"/>
      <c r="AI1313" s="679"/>
      <c r="AJ1313" s="564"/>
      <c r="AK1313" s="564"/>
      <c r="AL1313" s="564"/>
      <c r="AM1313" s="564"/>
      <c r="AN1313" s="614"/>
      <c r="AO1313" s="824" t="str">
        <f t="shared" si="284"/>
        <v>Yes</v>
      </c>
      <c r="AP1313" s="259" t="str">
        <f t="shared" si="285"/>
        <v>DEC 22</v>
      </c>
      <c r="AQ1313" s="542" t="str">
        <f t="shared" si="286"/>
        <v>有定金+有預留客戶</v>
      </c>
      <c r="AR1313" s="259" t="str">
        <f t="shared" si="287"/>
        <v>Shipped_Stock</v>
      </c>
      <c r="AS1313" s="259" t="str">
        <f t="shared" si="288"/>
        <v/>
      </c>
      <c r="AT1313" s="259" t="str">
        <f t="shared" si="289"/>
        <v>海红天远</v>
      </c>
      <c r="AU1313" s="259" t="str">
        <f t="shared" si="290"/>
        <v>C49SZX20220127EC</v>
      </c>
      <c r="AV1313" s="259" t="str">
        <f t="shared" si="291"/>
        <v>Aug-22</v>
      </c>
    </row>
    <row r="1314" spans="1:48" hidden="1">
      <c r="A1314" s="599">
        <v>1724</v>
      </c>
      <c r="B1314" s="664" t="s">
        <v>1125</v>
      </c>
      <c r="C1314" s="664" t="s">
        <v>281</v>
      </c>
      <c r="D1314" s="625">
        <v>110992</v>
      </c>
      <c r="E1314" s="646" t="s">
        <v>2546</v>
      </c>
      <c r="F1314" s="647" t="s">
        <v>58</v>
      </c>
      <c r="G1314" s="647" t="s">
        <v>24</v>
      </c>
      <c r="H1314" s="647" t="s">
        <v>26</v>
      </c>
      <c r="I1314" s="575" t="s">
        <v>2548</v>
      </c>
      <c r="J1314" s="575">
        <v>1</v>
      </c>
      <c r="K1314" s="647" t="s">
        <v>78</v>
      </c>
      <c r="L1314" s="657">
        <v>44795</v>
      </c>
      <c r="M1314" s="792" t="s">
        <v>3906</v>
      </c>
      <c r="N1314" s="647" t="s">
        <v>208</v>
      </c>
      <c r="O1314" s="575">
        <v>2022.7</v>
      </c>
      <c r="P1314" s="665" t="str">
        <f>VLOOKUP(A1314,'[1]Raw data'!$B:$BA,23,FALSE)</f>
        <v>JPY</v>
      </c>
      <c r="Q1314" s="647" t="str">
        <f>VLOOKUP(A1314,'[1]Raw data'!$B:$Z,2,FALSE)</f>
        <v>159851(R2)-ELE</v>
      </c>
      <c r="R1314" s="647" t="str">
        <f>VLOOKUP(A1314,'[1]Raw data'!$B:$Z,3,FALSE)</f>
        <v>WKK</v>
      </c>
      <c r="S1314" s="647" t="str">
        <f>VLOOKUP(A1314,'[1]Raw data'!$B:$Z,4,FALSE)</f>
        <v>YSM20R-2</v>
      </c>
      <c r="T1314" s="647" t="str">
        <f>VLOOKUP(A1314,'[1]Raw data'!$B:$Z,8,FALSE)</f>
        <v>L-&gt;R</v>
      </c>
      <c r="U1314" s="647" t="str">
        <f>VLOOKUP(A1314,'[1]Raw data'!$B:$Z,9,FALSE)</f>
        <v>MVC</v>
      </c>
      <c r="V1314" s="567" t="str">
        <f t="shared" si="298"/>
        <v>WRONG</v>
      </c>
      <c r="W1314" s="563" t="str">
        <f>VLOOKUP(A1314,'[1]Raw data'!$B:$AG,32,FALSE)</f>
        <v>CIF HK</v>
      </c>
      <c r="X1314" s="647">
        <f>VLOOKUP(A1314,'[1]Raw data'!$B:$BA,31,FALSE)</f>
        <v>44823</v>
      </c>
      <c r="Y1314" s="647" t="str">
        <f>VLOOKUP(A1314,'[1]Raw data'!$B:$AS,39,FALSE)</f>
        <v>Yes</v>
      </c>
      <c r="Z1314" s="666"/>
      <c r="AA1314" s="660"/>
      <c r="AB1314" s="661"/>
      <c r="AC1314" s="647" t="s">
        <v>2549</v>
      </c>
      <c r="AD1314" s="575">
        <v>312</v>
      </c>
      <c r="AE1314" s="575">
        <v>20</v>
      </c>
      <c r="AF1314" s="575"/>
      <c r="AG1314" s="575"/>
      <c r="AH1314" s="575"/>
      <c r="AI1314" s="679"/>
      <c r="AJ1314" s="564"/>
      <c r="AK1314" s="564"/>
      <c r="AL1314" s="564"/>
      <c r="AM1314" s="564"/>
      <c r="AN1314" s="614"/>
      <c r="AO1314" s="824" t="str">
        <f t="shared" si="284"/>
        <v>Yes</v>
      </c>
      <c r="AP1314" s="259" t="str">
        <f t="shared" si="285"/>
        <v>NOV 22</v>
      </c>
      <c r="AQ1314" s="542" t="str">
        <f t="shared" si="286"/>
        <v>有定金+有預留客戶</v>
      </c>
      <c r="AR1314" s="259" t="str">
        <f t="shared" si="287"/>
        <v>Shipped_Stock</v>
      </c>
      <c r="AS1314" s="259" t="str">
        <f t="shared" si="288"/>
        <v/>
      </c>
      <c r="AT1314" s="259" t="str">
        <f t="shared" si="289"/>
        <v>WKK</v>
      </c>
      <c r="AU1314" s="259" t="str">
        <f t="shared" si="290"/>
        <v>159851(R2)-ELE</v>
      </c>
      <c r="AV1314" s="259" t="str">
        <f t="shared" si="291"/>
        <v>Aug-22</v>
      </c>
    </row>
    <row r="1315" spans="1:48" hidden="1">
      <c r="A1315" s="599">
        <v>1740</v>
      </c>
      <c r="B1315" s="664" t="s">
        <v>1125</v>
      </c>
      <c r="C1315" s="664" t="s">
        <v>281</v>
      </c>
      <c r="D1315" s="776">
        <v>110989</v>
      </c>
      <c r="E1315" s="646" t="s">
        <v>2550</v>
      </c>
      <c r="F1315" s="647" t="s">
        <v>58</v>
      </c>
      <c r="G1315" s="647" t="s">
        <v>24</v>
      </c>
      <c r="H1315" s="647" t="s">
        <v>26</v>
      </c>
      <c r="I1315" s="575" t="s">
        <v>2551</v>
      </c>
      <c r="J1315" s="575">
        <v>1</v>
      </c>
      <c r="K1315" s="647" t="s">
        <v>1419</v>
      </c>
      <c r="L1315" s="657">
        <v>44795</v>
      </c>
      <c r="M1315" s="717"/>
      <c r="N1315" s="647" t="s">
        <v>205</v>
      </c>
      <c r="O1315" s="575">
        <v>2022.7</v>
      </c>
      <c r="P1315" s="665" t="str">
        <f>VLOOKUP(A1315,'[1]Raw data'!$B:$BA,23,FALSE)</f>
        <v>RMB</v>
      </c>
      <c r="Q1315" s="647" t="str">
        <f>VLOOKUP(A1315,'[1]Raw data'!$B:$Z,2,FALSE)</f>
        <v>C49SZX20220107DZ</v>
      </c>
      <c r="R1315" s="647" t="str">
        <f>VLOOKUP(A1315,'[1]Raw data'!$B:$Z,3,FALSE)</f>
        <v>朗特</v>
      </c>
      <c r="S1315" s="647" t="str">
        <f>VLOOKUP(A1315,'[1]Raw data'!$B:$Z,4,FALSE)</f>
        <v>YSM20R-2</v>
      </c>
      <c r="T1315" s="647" t="str">
        <f>VLOOKUP(A1315,'[1]Raw data'!$B:$Z,8,FALSE)</f>
        <v>L-&gt;R</v>
      </c>
      <c r="U1315" s="647" t="str">
        <f>VLOOKUP(A1315,'[1]Raw data'!$B:$Z,9,FALSE)</f>
        <v>No</v>
      </c>
      <c r="V1315" s="567" t="str">
        <f t="shared" ref="V1315:V1318" si="299">IF(G1315&amp;H1315=T1315&amp;U1315,"OK","WRONG")</f>
        <v>OK</v>
      </c>
      <c r="W1315" s="563" t="str">
        <f>VLOOKUP(A1315,'[1]Raw data'!$B:$AG,32,FALSE)</f>
        <v>DDP SZ</v>
      </c>
      <c r="X1315" s="647">
        <f>VLOOKUP(A1315,'[1]Raw data'!$B:$BA,31,FALSE)</f>
        <v>44846</v>
      </c>
      <c r="Y1315" s="647" t="str">
        <f>VLOOKUP(A1315,'[1]Raw data'!$B:$AS,39,FALSE)</f>
        <v>Yes</v>
      </c>
      <c r="Z1315" s="666"/>
      <c r="AA1315" s="660"/>
      <c r="AB1315" s="661"/>
      <c r="AC1315" s="647" t="s">
        <v>2336</v>
      </c>
      <c r="AD1315" s="575">
        <v>313</v>
      </c>
      <c r="AE1315" s="575">
        <v>20</v>
      </c>
      <c r="AF1315" s="575"/>
      <c r="AG1315" s="575"/>
      <c r="AH1315" s="575"/>
      <c r="AI1315" s="679"/>
      <c r="AJ1315" s="564"/>
      <c r="AK1315" s="564"/>
      <c r="AL1315" s="564"/>
      <c r="AM1315" s="564"/>
      <c r="AN1315" s="614"/>
      <c r="AO1315" s="824" t="str">
        <f t="shared" si="284"/>
        <v>Yes</v>
      </c>
      <c r="AP1315" s="259" t="str">
        <f t="shared" si="285"/>
        <v>OCT 22</v>
      </c>
      <c r="AQ1315" s="542" t="str">
        <f t="shared" si="286"/>
        <v>有定金+有預留客戶</v>
      </c>
      <c r="AR1315" s="259" t="str">
        <f t="shared" si="287"/>
        <v>Shipped_Stock</v>
      </c>
      <c r="AS1315" s="259" t="str">
        <f t="shared" si="288"/>
        <v/>
      </c>
      <c r="AT1315" s="259" t="str">
        <f t="shared" si="289"/>
        <v>朗特</v>
      </c>
      <c r="AU1315" s="259" t="str">
        <f t="shared" si="290"/>
        <v>C49SZX20220107DZ</v>
      </c>
      <c r="AV1315" s="259" t="str">
        <f t="shared" si="291"/>
        <v>Aug-22</v>
      </c>
    </row>
    <row r="1316" spans="1:48" ht="13.5" hidden="1" thickBot="1">
      <c r="A1316" s="599">
        <v>1741</v>
      </c>
      <c r="B1316" s="664" t="s">
        <v>1125</v>
      </c>
      <c r="C1316" s="664" t="s">
        <v>281</v>
      </c>
      <c r="D1316" s="624">
        <v>110989</v>
      </c>
      <c r="E1316" s="646" t="s">
        <v>2550</v>
      </c>
      <c r="F1316" s="647" t="s">
        <v>58</v>
      </c>
      <c r="G1316" s="647" t="s">
        <v>24</v>
      </c>
      <c r="H1316" s="647" t="s">
        <v>26</v>
      </c>
      <c r="I1316" s="575" t="s">
        <v>2552</v>
      </c>
      <c r="J1316" s="575">
        <v>1</v>
      </c>
      <c r="K1316" s="647" t="s">
        <v>1419</v>
      </c>
      <c r="L1316" s="657">
        <v>44795</v>
      </c>
      <c r="M1316" s="792" t="s">
        <v>3907</v>
      </c>
      <c r="N1316" s="647" t="s">
        <v>205</v>
      </c>
      <c r="O1316" s="575">
        <v>2022.7</v>
      </c>
      <c r="P1316" s="665" t="str">
        <f>VLOOKUP(A1316,'[1]Raw data'!$B:$BA,23,FALSE)</f>
        <v>RMB</v>
      </c>
      <c r="Q1316" s="647" t="str">
        <f>VLOOKUP(A1316,'[1]Raw data'!$B:$Z,2,FALSE)</f>
        <v>C49SZX20220107DZ</v>
      </c>
      <c r="R1316" s="647" t="str">
        <f>VLOOKUP(A1316,'[1]Raw data'!$B:$Z,3,FALSE)</f>
        <v>朗特</v>
      </c>
      <c r="S1316" s="647" t="str">
        <f>VLOOKUP(A1316,'[1]Raw data'!$B:$Z,4,FALSE)</f>
        <v>YSM20R-2</v>
      </c>
      <c r="T1316" s="647" t="str">
        <f>VLOOKUP(A1316,'[1]Raw data'!$B:$Z,8,FALSE)</f>
        <v>L-&gt;R</v>
      </c>
      <c r="U1316" s="647" t="str">
        <f>VLOOKUP(A1316,'[1]Raw data'!$B:$Z,9,FALSE)</f>
        <v>No</v>
      </c>
      <c r="V1316" s="567" t="str">
        <f t="shared" si="299"/>
        <v>OK</v>
      </c>
      <c r="W1316" s="563" t="str">
        <f>VLOOKUP(A1316,'[1]Raw data'!$B:$AG,32,FALSE)</f>
        <v>DDP SZ</v>
      </c>
      <c r="X1316" s="647">
        <f>VLOOKUP(A1316,'[1]Raw data'!$B:$BA,31,FALSE)</f>
        <v>44846</v>
      </c>
      <c r="Y1316" s="647" t="str">
        <f>VLOOKUP(A1316,'[1]Raw data'!$B:$AS,39,FALSE)</f>
        <v>Yes</v>
      </c>
      <c r="Z1316" s="666"/>
      <c r="AA1316" s="660"/>
      <c r="AB1316" s="661"/>
      <c r="AC1316" s="647" t="s">
        <v>2336</v>
      </c>
      <c r="AD1316" s="575">
        <v>313</v>
      </c>
      <c r="AE1316" s="575">
        <v>20</v>
      </c>
      <c r="AF1316" s="575"/>
      <c r="AG1316" s="575"/>
      <c r="AH1316" s="575"/>
      <c r="AI1316" s="679"/>
      <c r="AJ1316" s="564"/>
      <c r="AK1316" s="564"/>
      <c r="AL1316" s="564"/>
      <c r="AM1316" s="564"/>
      <c r="AN1316" s="614"/>
      <c r="AO1316" s="824" t="str">
        <f t="shared" si="284"/>
        <v>Yes</v>
      </c>
      <c r="AP1316" s="259" t="str">
        <f t="shared" si="285"/>
        <v>OCT 22</v>
      </c>
      <c r="AQ1316" s="542" t="str">
        <f t="shared" si="286"/>
        <v>有定金+有預留客戶</v>
      </c>
      <c r="AR1316" s="259" t="str">
        <f t="shared" si="287"/>
        <v>Shipped_Stock</v>
      </c>
      <c r="AS1316" s="259" t="str">
        <f t="shared" si="288"/>
        <v/>
      </c>
      <c r="AT1316" s="259" t="str">
        <f t="shared" si="289"/>
        <v>朗特</v>
      </c>
      <c r="AU1316" s="259" t="str">
        <f t="shared" si="290"/>
        <v>C49SZX20220107DZ</v>
      </c>
      <c r="AV1316" s="259" t="str">
        <f t="shared" si="291"/>
        <v>Aug-22</v>
      </c>
    </row>
    <row r="1317" spans="1:48" hidden="1">
      <c r="A1317" s="599">
        <v>1519</v>
      </c>
      <c r="B1317" s="664" t="s">
        <v>1125</v>
      </c>
      <c r="C1317" s="664" t="s">
        <v>281</v>
      </c>
      <c r="D1317" s="761">
        <v>110988</v>
      </c>
      <c r="E1317" s="646" t="s">
        <v>2553</v>
      </c>
      <c r="F1317" s="647" t="s">
        <v>58</v>
      </c>
      <c r="G1317" s="647" t="s">
        <v>24</v>
      </c>
      <c r="H1317" s="647" t="s">
        <v>26</v>
      </c>
      <c r="I1317" s="575" t="s">
        <v>2554</v>
      </c>
      <c r="J1317" s="575">
        <v>1</v>
      </c>
      <c r="K1317" s="647" t="s">
        <v>85</v>
      </c>
      <c r="L1317" s="657">
        <v>44795</v>
      </c>
      <c r="M1317" s="717"/>
      <c r="N1317" s="647" t="s">
        <v>219</v>
      </c>
      <c r="O1317" s="575">
        <v>2022.7</v>
      </c>
      <c r="P1317" s="665" t="str">
        <f>VLOOKUP(A1317,'[1]Raw data'!$B:$BA,23,FALSE)</f>
        <v>JPY</v>
      </c>
      <c r="Q1317" s="647" t="str">
        <f>VLOOKUP(A1317,'[1]Raw data'!$B:$Z,2,FALSE)</f>
        <v>C49SZX20210215MZ</v>
      </c>
      <c r="R1317" s="647" t="str">
        <f>VLOOKUP(A1317,'[1]Raw data'!$B:$Z,3,FALSE)</f>
        <v>魔乐视</v>
      </c>
      <c r="S1317" s="647" t="str">
        <f>VLOOKUP(A1317,'[1]Raw data'!$B:$Z,4,FALSE)</f>
        <v>YSM20R-2</v>
      </c>
      <c r="T1317" s="647" t="str">
        <f>VLOOKUP(A1317,'[1]Raw data'!$B:$Z,8,FALSE)</f>
        <v>L-&gt;R</v>
      </c>
      <c r="U1317" s="647" t="str">
        <f>VLOOKUP(A1317,'[1]Raw data'!$B:$Z,9,FALSE)</f>
        <v>No</v>
      </c>
      <c r="V1317" s="567" t="str">
        <f t="shared" si="299"/>
        <v>OK</v>
      </c>
      <c r="W1317" s="563" t="str">
        <f>VLOOKUP(A1317,'[1]Raw data'!$B:$AG,32,FALSE)</f>
        <v>DAP SZ</v>
      </c>
      <c r="X1317" s="647">
        <f>VLOOKUP(A1317,'[1]Raw data'!$B:$BA,31,FALSE)</f>
        <v>44540</v>
      </c>
      <c r="Y1317" s="647" t="str">
        <f>VLOOKUP(A1317,'[1]Raw data'!$B:$AS,39,FALSE)</f>
        <v>Yes</v>
      </c>
      <c r="Z1317" s="659"/>
      <c r="AA1317" s="660"/>
      <c r="AB1317" s="661"/>
      <c r="AC1317" s="647" t="s">
        <v>2011</v>
      </c>
      <c r="AD1317" s="575">
        <v>311</v>
      </c>
      <c r="AE1317" s="575">
        <v>20</v>
      </c>
      <c r="AF1317" s="575"/>
      <c r="AG1317" s="575"/>
      <c r="AH1317" s="575"/>
      <c r="AI1317" s="679"/>
      <c r="AJ1317" s="564"/>
      <c r="AK1317" s="564"/>
      <c r="AL1317" s="564"/>
      <c r="AM1317" s="564"/>
      <c r="AN1317" s="614"/>
      <c r="AO1317" s="824" t="str">
        <f t="shared" si="284"/>
        <v>Yes</v>
      </c>
      <c r="AP1317" s="259" t="str">
        <f t="shared" si="285"/>
        <v>SEP 22</v>
      </c>
      <c r="AQ1317" s="542" t="str">
        <f t="shared" si="286"/>
        <v>有定金+有預留客戶</v>
      </c>
      <c r="AR1317" s="259" t="str">
        <f t="shared" si="287"/>
        <v>Shipped_Stock</v>
      </c>
      <c r="AS1317" s="259" t="str">
        <f t="shared" si="288"/>
        <v/>
      </c>
      <c r="AT1317" s="259" t="str">
        <f t="shared" si="289"/>
        <v>魔乐视</v>
      </c>
      <c r="AU1317" s="259" t="str">
        <f t="shared" si="290"/>
        <v>C49SZX20210215MZ</v>
      </c>
      <c r="AV1317" s="259" t="str">
        <f t="shared" si="291"/>
        <v>Aug-22</v>
      </c>
    </row>
    <row r="1318" spans="1:48" hidden="1">
      <c r="A1318" s="599">
        <v>1640</v>
      </c>
      <c r="B1318" s="664" t="s">
        <v>1125</v>
      </c>
      <c r="C1318" s="664" t="s">
        <v>281</v>
      </c>
      <c r="D1318" s="755">
        <v>110988</v>
      </c>
      <c r="E1318" s="646" t="s">
        <v>2553</v>
      </c>
      <c r="F1318" s="647" t="s">
        <v>58</v>
      </c>
      <c r="G1318" s="647" t="s">
        <v>24</v>
      </c>
      <c r="H1318" s="647" t="s">
        <v>26</v>
      </c>
      <c r="I1318" s="575" t="s">
        <v>2555</v>
      </c>
      <c r="J1318" s="575">
        <v>1</v>
      </c>
      <c r="K1318" s="647" t="s">
        <v>78</v>
      </c>
      <c r="L1318" s="657">
        <v>44795</v>
      </c>
      <c r="M1318" s="717" t="s">
        <v>906</v>
      </c>
      <c r="N1318" s="647" t="s">
        <v>215</v>
      </c>
      <c r="O1318" s="575">
        <v>2022.7</v>
      </c>
      <c r="P1318" s="665" t="str">
        <f>VLOOKUP(A1318,'[1]Raw data'!$B:$BA,23,FALSE)</f>
        <v>JPY</v>
      </c>
      <c r="Q1318" s="647" t="str">
        <f>VLOOKUP(A1318,'[1]Raw data'!$B:$Z,2,FALSE)</f>
        <v>C49SZX20220124JL</v>
      </c>
      <c r="R1318" s="647" t="str">
        <f>VLOOKUP(A1318,'[1]Raw data'!$B:$Z,3,FALSE)</f>
        <v>金睿通</v>
      </c>
      <c r="S1318" s="647" t="str">
        <f>VLOOKUP(A1318,'[1]Raw data'!$B:$Z,4,FALSE)</f>
        <v>YSM20R-2</v>
      </c>
      <c r="T1318" s="647" t="str">
        <f>VLOOKUP(A1318,'[1]Raw data'!$B:$Z,8,FALSE)</f>
        <v>L-&gt;R</v>
      </c>
      <c r="U1318" s="647" t="str">
        <f>VLOOKUP(A1318,'[1]Raw data'!$B:$Z,9,FALSE)</f>
        <v>No</v>
      </c>
      <c r="V1318" s="567" t="str">
        <f t="shared" si="299"/>
        <v>OK</v>
      </c>
      <c r="W1318" s="563" t="str">
        <f>VLOOKUP(A1318,'[1]Raw data'!$B:$AG,32,FALSE)</f>
        <v>CIF HK</v>
      </c>
      <c r="X1318" s="647">
        <f>VLOOKUP(A1318,'[1]Raw data'!$B:$BA,31,FALSE)</f>
        <v>44895</v>
      </c>
      <c r="Y1318" s="647" t="str">
        <f>VLOOKUP(A1318,'[1]Raw data'!$B:$AS,39,FALSE)</f>
        <v>Yes</v>
      </c>
      <c r="Z1318" s="666"/>
      <c r="AA1318" s="660"/>
      <c r="AB1318" s="661"/>
      <c r="AC1318" s="647" t="s">
        <v>2556</v>
      </c>
      <c r="AD1318" s="575">
        <v>311</v>
      </c>
      <c r="AE1318" s="575">
        <v>20</v>
      </c>
      <c r="AF1318" s="575"/>
      <c r="AG1318" s="575"/>
      <c r="AH1318" s="575"/>
      <c r="AI1318" s="679"/>
      <c r="AJ1318" s="564"/>
      <c r="AK1318" s="564"/>
      <c r="AL1318" s="564"/>
      <c r="AM1318" s="564"/>
      <c r="AN1318" s="614"/>
      <c r="AO1318" s="824" t="str">
        <f t="shared" si="284"/>
        <v>Yes</v>
      </c>
      <c r="AP1318" s="259" t="str">
        <f t="shared" si="285"/>
        <v>JAN 23</v>
      </c>
      <c r="AQ1318" s="542" t="str">
        <f t="shared" si="286"/>
        <v>有定金+有預留客戶</v>
      </c>
      <c r="AR1318" s="259" t="str">
        <f t="shared" si="287"/>
        <v>Shipped_Stock</v>
      </c>
      <c r="AS1318" s="259" t="str">
        <f t="shared" si="288"/>
        <v/>
      </c>
      <c r="AT1318" s="259" t="str">
        <f t="shared" si="289"/>
        <v>金睿通</v>
      </c>
      <c r="AU1318" s="259" t="str">
        <f t="shared" si="290"/>
        <v>C49SZX20220124JL</v>
      </c>
      <c r="AV1318" s="259" t="str">
        <f t="shared" si="291"/>
        <v>Aug-22</v>
      </c>
    </row>
    <row r="1319" spans="1:48" hidden="1">
      <c r="A1319" s="599">
        <v>1733</v>
      </c>
      <c r="B1319" s="664" t="s">
        <v>1125</v>
      </c>
      <c r="C1319" s="664" t="s">
        <v>281</v>
      </c>
      <c r="D1319" s="755">
        <v>110990</v>
      </c>
      <c r="E1319" s="646" t="s">
        <v>2557</v>
      </c>
      <c r="F1319" s="647" t="s">
        <v>58</v>
      </c>
      <c r="G1319" s="647" t="s">
        <v>24</v>
      </c>
      <c r="H1319" s="647" t="s">
        <v>26</v>
      </c>
      <c r="I1319" s="575" t="s">
        <v>2558</v>
      </c>
      <c r="J1319" s="575">
        <v>1</v>
      </c>
      <c r="K1319" s="647" t="s">
        <v>1419</v>
      </c>
      <c r="L1319" s="657">
        <v>44795</v>
      </c>
      <c r="M1319" s="717" t="s">
        <v>906</v>
      </c>
      <c r="N1319" s="647" t="s">
        <v>219</v>
      </c>
      <c r="O1319" s="575">
        <v>2022.7</v>
      </c>
      <c r="P1319" s="665" t="str">
        <f>VLOOKUP(A1319,'[1]Raw data'!$B:$BA,23,FALSE)</f>
        <v>RMB</v>
      </c>
      <c r="Q1319" s="647" t="str">
        <f>VLOOKUP(A1319,'[1]Raw data'!$B:$Z,2,FALSE)</f>
        <v>C49SZX20220102DZ</v>
      </c>
      <c r="R1319" s="647" t="str">
        <f>VLOOKUP(A1319,'[1]Raw data'!$B:$Z,3,FALSE)</f>
        <v>朗特</v>
      </c>
      <c r="S1319" s="647" t="str">
        <f>VLOOKUP(A1319,'[1]Raw data'!$B:$Z,4,FALSE)</f>
        <v>YSM20R-2</v>
      </c>
      <c r="T1319" s="647" t="str">
        <f>VLOOKUP(A1319,'[1]Raw data'!$B:$Z,8,FALSE)</f>
        <v>L-&gt;R</v>
      </c>
      <c r="U1319" s="647" t="str">
        <f>VLOOKUP(A1319,'[1]Raw data'!$B:$Z,9,FALSE)</f>
        <v>No</v>
      </c>
      <c r="V1319" s="567" t="str">
        <f>IF(G1319&amp;H1319=T1319&amp;U1319,"OK","WRONG")</f>
        <v>OK</v>
      </c>
      <c r="W1319" s="563" t="str">
        <f>VLOOKUP(A1319,'[1]Raw data'!$B:$AG,32,FALSE)</f>
        <v>DDP JX</v>
      </c>
      <c r="X1319" s="647">
        <f>VLOOKUP(A1319,'[1]Raw data'!$B:$BA,31,FALSE)</f>
        <v>44834</v>
      </c>
      <c r="Y1319" s="647" t="str">
        <f>VLOOKUP(A1319,'[1]Raw data'!$B:$AS,39,FALSE)</f>
        <v>Yes</v>
      </c>
      <c r="Z1319" s="659"/>
      <c r="AA1319" s="660"/>
      <c r="AB1319" s="661"/>
      <c r="AC1319" s="647" t="s">
        <v>933</v>
      </c>
      <c r="AD1319" s="575">
        <v>312</v>
      </c>
      <c r="AE1319" s="575">
        <v>20</v>
      </c>
      <c r="AF1319" s="575"/>
      <c r="AG1319" s="575"/>
      <c r="AH1319" s="575"/>
      <c r="AI1319" s="679"/>
      <c r="AJ1319" s="564"/>
      <c r="AK1319" s="564"/>
      <c r="AL1319" s="564"/>
      <c r="AM1319" s="564"/>
      <c r="AN1319" s="614"/>
      <c r="AO1319" s="824" t="str">
        <f t="shared" si="284"/>
        <v>Yes</v>
      </c>
      <c r="AP1319" s="259" t="str">
        <f t="shared" si="285"/>
        <v>SEP 22</v>
      </c>
      <c r="AQ1319" s="542" t="str">
        <f t="shared" si="286"/>
        <v>有定金+有預留客戶</v>
      </c>
      <c r="AR1319" s="259" t="str">
        <f t="shared" si="287"/>
        <v>Shipped_Stock</v>
      </c>
      <c r="AS1319" s="259" t="str">
        <f t="shared" si="288"/>
        <v/>
      </c>
      <c r="AT1319" s="259" t="str">
        <f t="shared" si="289"/>
        <v>朗特</v>
      </c>
      <c r="AU1319" s="259" t="str">
        <f t="shared" si="290"/>
        <v>C49SZX20220102DZ</v>
      </c>
      <c r="AV1319" s="259" t="str">
        <f t="shared" si="291"/>
        <v>Aug-22</v>
      </c>
    </row>
    <row r="1320" spans="1:48" hidden="1">
      <c r="A1320" s="599">
        <v>1732</v>
      </c>
      <c r="B1320" s="664" t="s">
        <v>1125</v>
      </c>
      <c r="C1320" s="664" t="s">
        <v>281</v>
      </c>
      <c r="D1320" s="755">
        <v>110990</v>
      </c>
      <c r="E1320" s="756" t="s">
        <v>2559</v>
      </c>
      <c r="F1320" s="647" t="s">
        <v>58</v>
      </c>
      <c r="G1320" s="647" t="s">
        <v>24</v>
      </c>
      <c r="H1320" s="647" t="s">
        <v>26</v>
      </c>
      <c r="I1320" s="575" t="s">
        <v>2560</v>
      </c>
      <c r="J1320" s="575">
        <v>1</v>
      </c>
      <c r="K1320" s="647" t="s">
        <v>85</v>
      </c>
      <c r="L1320" s="657">
        <v>44795</v>
      </c>
      <c r="M1320" s="717" t="s">
        <v>906</v>
      </c>
      <c r="N1320" s="647" t="s">
        <v>205</v>
      </c>
      <c r="O1320" s="575">
        <v>2022.7</v>
      </c>
      <c r="P1320" s="665" t="str">
        <f>VLOOKUP(A1320,'[1]Raw data'!$B:$BA,23,FALSE)</f>
        <v>RMB</v>
      </c>
      <c r="Q1320" s="647" t="str">
        <f>VLOOKUP(A1320,'[1]Raw data'!$B:$Z,2,FALSE)</f>
        <v>C49SZX20220098MZ</v>
      </c>
      <c r="R1320" s="647" t="str">
        <f>VLOOKUP(A1320,'[1]Raw data'!$B:$Z,3,FALSE)</f>
        <v>河南融创</v>
      </c>
      <c r="S1320" s="647" t="str">
        <f>VLOOKUP(A1320,'[1]Raw data'!$B:$Z,4,FALSE)</f>
        <v>YSM20R-2</v>
      </c>
      <c r="T1320" s="647" t="str">
        <f>VLOOKUP(A1320,'[1]Raw data'!$B:$Z,8,FALSE)</f>
        <v>L-&gt;R</v>
      </c>
      <c r="U1320" s="647" t="str">
        <f>VLOOKUP(A1320,'[1]Raw data'!$B:$Z,9,FALSE)</f>
        <v>No</v>
      </c>
      <c r="V1320" s="567" t="str">
        <f>IF(G1320&amp;H1320=T1320&amp;U1320,"OK","WRONG")</f>
        <v>OK</v>
      </c>
      <c r="W1320" s="563" t="str">
        <f>VLOOKUP(A1320,'[1]Raw data'!$B:$AG,32,FALSE)</f>
        <v>DDP HN</v>
      </c>
      <c r="X1320" s="647">
        <f>VLOOKUP(A1320,'[1]Raw data'!$B:$BA,31,FALSE)</f>
        <v>44827</v>
      </c>
      <c r="Y1320" s="647" t="str">
        <f>VLOOKUP(A1320,'[1]Raw data'!$B:$AS,39,FALSE)</f>
        <v>Yes</v>
      </c>
      <c r="Z1320" s="666"/>
      <c r="AA1320" s="660"/>
      <c r="AB1320" s="661"/>
      <c r="AC1320" s="647" t="s">
        <v>2430</v>
      </c>
      <c r="AD1320" s="575">
        <v>312</v>
      </c>
      <c r="AE1320" s="575">
        <v>20</v>
      </c>
      <c r="AF1320" s="575"/>
      <c r="AG1320" s="575"/>
      <c r="AH1320" s="575"/>
      <c r="AI1320" s="679"/>
      <c r="AJ1320" s="564"/>
      <c r="AK1320" s="564"/>
      <c r="AL1320" s="564"/>
      <c r="AM1320" s="564"/>
      <c r="AN1320" s="614"/>
      <c r="AO1320" s="824" t="str">
        <f t="shared" si="284"/>
        <v>Yes</v>
      </c>
      <c r="AP1320" s="259" t="str">
        <f t="shared" si="285"/>
        <v>OCT 22</v>
      </c>
      <c r="AQ1320" s="542" t="str">
        <f t="shared" si="286"/>
        <v>有定金+有預留客戶</v>
      </c>
      <c r="AR1320" s="259" t="str">
        <f t="shared" si="287"/>
        <v>Shipped_Stock</v>
      </c>
      <c r="AS1320" s="259" t="str">
        <f t="shared" si="288"/>
        <v/>
      </c>
      <c r="AT1320" s="259" t="str">
        <f t="shared" si="289"/>
        <v>河南融创</v>
      </c>
      <c r="AU1320" s="259" t="str">
        <f t="shared" si="290"/>
        <v>C49SZX20220098MZ</v>
      </c>
      <c r="AV1320" s="259" t="str">
        <f t="shared" si="291"/>
        <v>Aug-22</v>
      </c>
    </row>
    <row r="1321" spans="1:48" ht="13.5" hidden="1" thickBot="1">
      <c r="A1321" s="559">
        <v>1851</v>
      </c>
      <c r="B1321" s="664" t="s">
        <v>1125</v>
      </c>
      <c r="C1321" s="664" t="s">
        <v>281</v>
      </c>
      <c r="D1321" s="624">
        <v>111001</v>
      </c>
      <c r="E1321" s="744" t="s">
        <v>2561</v>
      </c>
      <c r="F1321" s="647" t="s">
        <v>17</v>
      </c>
      <c r="G1321" s="647" t="s">
        <v>18</v>
      </c>
      <c r="H1321" s="647" t="s">
        <v>27</v>
      </c>
      <c r="I1321" s="575" t="s">
        <v>2562</v>
      </c>
      <c r="J1321" s="575">
        <v>1</v>
      </c>
      <c r="K1321" s="647" t="s">
        <v>1419</v>
      </c>
      <c r="L1321" s="657">
        <v>44795</v>
      </c>
      <c r="M1321" s="717" t="s">
        <v>906</v>
      </c>
      <c r="N1321" s="647" t="s">
        <v>216</v>
      </c>
      <c r="O1321" s="575">
        <v>2022.7</v>
      </c>
      <c r="P1321" s="665" t="str">
        <f>VLOOKUP(A1321,'[1]Raw data'!$B:$BA,23,FALSE)</f>
        <v>RMB</v>
      </c>
      <c r="Q1321" s="647" t="str">
        <f>VLOOKUP(A1321,'[1]Raw data'!$B:$Z,2,FALSE)</f>
        <v>C49SZX20230025DZ</v>
      </c>
      <c r="R1321" s="647" t="str">
        <f>VLOOKUP(A1321,'[1]Raw data'!$B:$Z,3,FALSE)</f>
        <v>兆晖</v>
      </c>
      <c r="S1321" s="647" t="str">
        <f>VLOOKUP(A1321,'[1]Raw data'!$B:$Z,4,FALSE)</f>
        <v>YSM10</v>
      </c>
      <c r="T1321" s="647" t="str">
        <f>VLOOKUP(A1321,'[1]Raw data'!$B:$Z,8,FALSE)</f>
        <v>R-&gt;L</v>
      </c>
      <c r="U1321" s="647" t="str">
        <f>VLOOKUP(A1321,'[1]Raw data'!$B:$Z,9,FALSE)</f>
        <v>MVC</v>
      </c>
      <c r="V1321" s="567" t="str">
        <f t="shared" ref="V1321:V1324" si="300">IF(G1321&amp;H1321=T1321&amp;U1321,"OK","WRONG")</f>
        <v>OK</v>
      </c>
      <c r="W1321" s="563" t="str">
        <f>VLOOKUP(A1321,'[1]Raw data'!$B:$AG,32,FALSE)</f>
        <v>DDP SZ</v>
      </c>
      <c r="X1321" s="647">
        <f>VLOOKUP(A1321,'[1]Raw data'!$B:$BA,31,FALSE)</f>
        <v>44979</v>
      </c>
      <c r="Y1321" s="647" t="str">
        <f>VLOOKUP(A1321,'[1]Raw data'!$B:$AS,39,FALSE)</f>
        <v>Yes</v>
      </c>
      <c r="Z1321" s="659"/>
      <c r="AA1321" s="660"/>
      <c r="AB1321" s="661"/>
      <c r="AC1321" s="647" t="s">
        <v>2563</v>
      </c>
      <c r="AD1321" s="662">
        <v>301</v>
      </c>
      <c r="AE1321" s="662">
        <v>5</v>
      </c>
      <c r="AF1321" s="662">
        <v>302</v>
      </c>
      <c r="AG1321" s="662">
        <v>5</v>
      </c>
      <c r="AH1321" s="662"/>
      <c r="AI1321" s="663"/>
      <c r="AN1321" s="542"/>
      <c r="AO1321" s="824" t="str">
        <f t="shared" si="284"/>
        <v>Yes</v>
      </c>
      <c r="AP1321" s="259" t="str">
        <f t="shared" si="285"/>
        <v>MAR 23</v>
      </c>
      <c r="AQ1321" s="542" t="str">
        <f t="shared" si="286"/>
        <v>有定金+有預留客戶</v>
      </c>
      <c r="AR1321" s="259" t="str">
        <f t="shared" si="287"/>
        <v>Shipped_Stock</v>
      </c>
      <c r="AS1321" s="259" t="str">
        <f t="shared" si="288"/>
        <v/>
      </c>
      <c r="AT1321" s="259" t="str">
        <f t="shared" si="289"/>
        <v>兆晖</v>
      </c>
      <c r="AU1321" s="259" t="str">
        <f t="shared" si="290"/>
        <v>C49SZX20230025DZ</v>
      </c>
      <c r="AV1321" s="259" t="str">
        <f t="shared" si="291"/>
        <v>Aug-22</v>
      </c>
    </row>
    <row r="1322" spans="1:48" hidden="1">
      <c r="A1322" s="599">
        <v>1748</v>
      </c>
      <c r="B1322" s="664" t="s">
        <v>1125</v>
      </c>
      <c r="C1322" s="664" t="s">
        <v>281</v>
      </c>
      <c r="D1322" s="761">
        <v>111002</v>
      </c>
      <c r="E1322" s="744" t="s">
        <v>2561</v>
      </c>
      <c r="F1322" s="647" t="s">
        <v>17</v>
      </c>
      <c r="G1322" s="647" t="s">
        <v>18</v>
      </c>
      <c r="H1322" s="647" t="s">
        <v>27</v>
      </c>
      <c r="I1322" s="575" t="s">
        <v>2564</v>
      </c>
      <c r="J1322" s="575">
        <v>1</v>
      </c>
      <c r="K1322" s="647" t="s">
        <v>85</v>
      </c>
      <c r="L1322" s="657">
        <v>44795</v>
      </c>
      <c r="M1322" s="717" t="s">
        <v>906</v>
      </c>
      <c r="N1322" s="647" t="s">
        <v>205</v>
      </c>
      <c r="O1322" s="575">
        <v>2022.7</v>
      </c>
      <c r="P1322" s="665" t="str">
        <f>VLOOKUP(A1322,'[1]Raw data'!$B:$BA,23,FALSE)</f>
        <v>JPY</v>
      </c>
      <c r="Q1322" s="647" t="str">
        <f>VLOOKUP(A1322,'[1]Raw data'!$B:$Z,2,FALSE)</f>
        <v>C49SZX20220103SS</v>
      </c>
      <c r="R1322" s="764" t="s">
        <v>2449</v>
      </c>
      <c r="S1322" s="647" t="str">
        <f>VLOOKUP(A1322,'[1]Raw data'!$B:$Z,4,FALSE)</f>
        <v>YSM10</v>
      </c>
      <c r="T1322" s="647" t="str">
        <f>VLOOKUP(A1322,'[1]Raw data'!$B:$Z,8,FALSE)</f>
        <v>L-&gt;R</v>
      </c>
      <c r="U1322" s="647" t="str">
        <f>VLOOKUP(A1322,'[1]Raw data'!$B:$Z,9,FALSE)</f>
        <v>MVC</v>
      </c>
      <c r="V1322" s="567" t="str">
        <f t="shared" si="300"/>
        <v>WRONG</v>
      </c>
      <c r="W1322" s="563" t="str">
        <f>VLOOKUP(A1322,'[1]Raw data'!$B:$AG,32,FALSE)</f>
        <v>DAP CS</v>
      </c>
      <c r="X1322" s="647">
        <f>VLOOKUP(A1322,'[1]Raw data'!$B:$BA,31,FALSE)</f>
        <v>44846</v>
      </c>
      <c r="Y1322" s="647" t="str">
        <f>VLOOKUP(A1322,'[1]Raw data'!$B:$AS,39,FALSE)</f>
        <v>Yes</v>
      </c>
      <c r="Z1322" s="666"/>
      <c r="AA1322" s="660"/>
      <c r="AB1322" s="661"/>
      <c r="AC1322" s="647" t="s">
        <v>2450</v>
      </c>
      <c r="AD1322" s="575">
        <v>301</v>
      </c>
      <c r="AE1322" s="575">
        <v>5</v>
      </c>
      <c r="AF1322" s="575">
        <v>302</v>
      </c>
      <c r="AG1322" s="575">
        <v>5</v>
      </c>
      <c r="AH1322" s="575"/>
      <c r="AI1322" s="679"/>
      <c r="AJ1322" s="564"/>
      <c r="AK1322" s="564"/>
      <c r="AL1322" s="564"/>
      <c r="AM1322" s="564"/>
      <c r="AN1322" s="614"/>
      <c r="AO1322" s="824" t="str">
        <f t="shared" si="284"/>
        <v>Yes</v>
      </c>
      <c r="AP1322" s="259" t="str">
        <f t="shared" si="285"/>
        <v>OCT 22</v>
      </c>
      <c r="AQ1322" s="542" t="str">
        <f t="shared" si="286"/>
        <v>有定金+有預留客戶</v>
      </c>
      <c r="AR1322" s="259" t="str">
        <f t="shared" si="287"/>
        <v>Shipped_Stock</v>
      </c>
      <c r="AS1322" s="259" t="str">
        <f t="shared" si="288"/>
        <v/>
      </c>
      <c r="AT1322" s="259" t="str">
        <f t="shared" si="289"/>
        <v>银杏（虽然机器安装在银杏，但是给到Yamaha的资料都是三才）</v>
      </c>
      <c r="AU1322" s="259" t="str">
        <f t="shared" si="290"/>
        <v>C49SZX20220103SS</v>
      </c>
      <c r="AV1322" s="259" t="str">
        <f t="shared" si="291"/>
        <v>Aug-22</v>
      </c>
    </row>
    <row r="1323" spans="1:48" hidden="1">
      <c r="A1323" s="599">
        <v>1727</v>
      </c>
      <c r="B1323" s="664" t="s">
        <v>1125</v>
      </c>
      <c r="C1323" s="664" t="s">
        <v>281</v>
      </c>
      <c r="D1323" s="755">
        <v>111002</v>
      </c>
      <c r="E1323" s="744" t="s">
        <v>2565</v>
      </c>
      <c r="F1323" s="647" t="s">
        <v>17</v>
      </c>
      <c r="G1323" s="647" t="s">
        <v>18</v>
      </c>
      <c r="H1323" s="647" t="s">
        <v>27</v>
      </c>
      <c r="I1323" s="575" t="s">
        <v>2566</v>
      </c>
      <c r="J1323" s="575">
        <v>1</v>
      </c>
      <c r="K1323" s="647" t="s">
        <v>78</v>
      </c>
      <c r="L1323" s="657">
        <v>44795</v>
      </c>
      <c r="M1323" s="717" t="s">
        <v>906</v>
      </c>
      <c r="N1323" s="647" t="s">
        <v>208</v>
      </c>
      <c r="O1323" s="575">
        <v>2022.7</v>
      </c>
      <c r="P1323" s="665" t="str">
        <f>VLOOKUP(A1323,'[1]Raw data'!$B:$BA,23,FALSE)</f>
        <v>JPY</v>
      </c>
      <c r="Q1323" s="647" t="str">
        <f>VLOOKUP(A1323,'[1]Raw data'!$B:$Z,2,FALSE)</f>
        <v>159851(R2)-ELE</v>
      </c>
      <c r="R1323" s="647" t="str">
        <f>VLOOKUP(A1323,'[1]Raw data'!$B:$Z,3,FALSE)</f>
        <v>WKK</v>
      </c>
      <c r="S1323" s="647" t="str">
        <f>VLOOKUP(A1323,'[1]Raw data'!$B:$Z,4,FALSE)</f>
        <v>YSM10</v>
      </c>
      <c r="T1323" s="647" t="str">
        <f>VLOOKUP(A1323,'[1]Raw data'!$B:$Z,8,FALSE)</f>
        <v>L-&gt;R</v>
      </c>
      <c r="U1323" s="647" t="str">
        <f>VLOOKUP(A1323,'[1]Raw data'!$B:$Z,9,FALSE)</f>
        <v>MVC</v>
      </c>
      <c r="V1323" s="567" t="str">
        <f t="shared" si="300"/>
        <v>WRONG</v>
      </c>
      <c r="W1323" s="563" t="str">
        <f>VLOOKUP(A1323,'[1]Raw data'!$B:$AG,32,FALSE)</f>
        <v>CIF HK</v>
      </c>
      <c r="X1323" s="647">
        <f>VLOOKUP(A1323,'[1]Raw data'!$B:$BA,31,FALSE)</f>
        <v>44823</v>
      </c>
      <c r="Y1323" s="647" t="str">
        <f>VLOOKUP(A1323,'[1]Raw data'!$B:$AS,39,FALSE)</f>
        <v>Yes</v>
      </c>
      <c r="Z1323" s="666"/>
      <c r="AA1323" s="660"/>
      <c r="AB1323" s="661"/>
      <c r="AC1323" s="647" t="s">
        <v>2549</v>
      </c>
      <c r="AD1323" s="575">
        <v>301</v>
      </c>
      <c r="AE1323" s="575">
        <v>3</v>
      </c>
      <c r="AF1323" s="575">
        <v>302</v>
      </c>
      <c r="AG1323" s="575">
        <v>5</v>
      </c>
      <c r="AH1323" s="575">
        <v>303</v>
      </c>
      <c r="AI1323" s="679">
        <v>1</v>
      </c>
      <c r="AJ1323" s="575">
        <v>304</v>
      </c>
      <c r="AK1323" s="679">
        <v>1</v>
      </c>
      <c r="AL1323" s="564"/>
      <c r="AM1323" s="564"/>
      <c r="AN1323" s="614"/>
      <c r="AO1323" s="824" t="str">
        <f t="shared" si="284"/>
        <v>Yes</v>
      </c>
      <c r="AP1323" s="259" t="str">
        <f t="shared" si="285"/>
        <v>NOV 22</v>
      </c>
      <c r="AQ1323" s="542" t="str">
        <f t="shared" si="286"/>
        <v>有定金+有預留客戶</v>
      </c>
      <c r="AR1323" s="259" t="str">
        <f t="shared" si="287"/>
        <v>Shipped_Stock</v>
      </c>
      <c r="AS1323" s="259" t="str">
        <f t="shared" si="288"/>
        <v/>
      </c>
      <c r="AT1323" s="259" t="str">
        <f t="shared" si="289"/>
        <v>WKK</v>
      </c>
      <c r="AU1323" s="259" t="str">
        <f t="shared" si="290"/>
        <v>159851(R2)-ELE</v>
      </c>
      <c r="AV1323" s="259" t="str">
        <f t="shared" si="291"/>
        <v>Aug-22</v>
      </c>
    </row>
    <row r="1324" spans="1:48" hidden="1">
      <c r="A1324" s="599">
        <v>1726</v>
      </c>
      <c r="B1324" s="664" t="s">
        <v>1125</v>
      </c>
      <c r="C1324" s="664" t="s">
        <v>281</v>
      </c>
      <c r="D1324" s="755">
        <v>111001</v>
      </c>
      <c r="E1324" s="744" t="s">
        <v>2565</v>
      </c>
      <c r="F1324" s="647" t="s">
        <v>17</v>
      </c>
      <c r="G1324" s="647" t="s">
        <v>18</v>
      </c>
      <c r="H1324" s="647" t="s">
        <v>27</v>
      </c>
      <c r="I1324" s="575" t="s">
        <v>2567</v>
      </c>
      <c r="J1324" s="575">
        <v>1</v>
      </c>
      <c r="K1324" s="647" t="s">
        <v>78</v>
      </c>
      <c r="L1324" s="657">
        <v>44795</v>
      </c>
      <c r="M1324" s="717"/>
      <c r="N1324" s="647" t="s">
        <v>208</v>
      </c>
      <c r="O1324" s="575">
        <v>2022.7</v>
      </c>
      <c r="P1324" s="665" t="str">
        <f>VLOOKUP(A1324,'[1]Raw data'!$B:$BA,23,FALSE)</f>
        <v>JPY</v>
      </c>
      <c r="Q1324" s="647" t="str">
        <f>VLOOKUP(A1324,'[1]Raw data'!$B:$Z,2,FALSE)</f>
        <v>159851(R2)-ELE</v>
      </c>
      <c r="R1324" s="647" t="str">
        <f>VLOOKUP(A1324,'[1]Raw data'!$B:$Z,3,FALSE)</f>
        <v>WKK</v>
      </c>
      <c r="S1324" s="647" t="str">
        <f>VLOOKUP(A1324,'[1]Raw data'!$B:$Z,4,FALSE)</f>
        <v>YSM10</v>
      </c>
      <c r="T1324" s="647" t="str">
        <f>VLOOKUP(A1324,'[1]Raw data'!$B:$Z,8,FALSE)</f>
        <v>L-&gt;R</v>
      </c>
      <c r="U1324" s="647" t="str">
        <f>VLOOKUP(A1324,'[1]Raw data'!$B:$Z,9,FALSE)</f>
        <v>MVC</v>
      </c>
      <c r="V1324" s="567" t="str">
        <f t="shared" si="300"/>
        <v>WRONG</v>
      </c>
      <c r="W1324" s="563" t="str">
        <f>VLOOKUP(A1324,'[1]Raw data'!$B:$AG,32,FALSE)</f>
        <v>CIF HK</v>
      </c>
      <c r="X1324" s="647">
        <f>VLOOKUP(A1324,'[1]Raw data'!$B:$BA,31,FALSE)</f>
        <v>44823</v>
      </c>
      <c r="Y1324" s="647" t="str">
        <f>VLOOKUP(A1324,'[1]Raw data'!$B:$AS,39,FALSE)</f>
        <v>Yes</v>
      </c>
      <c r="Z1324" s="666"/>
      <c r="AA1324" s="660"/>
      <c r="AB1324" s="661"/>
      <c r="AC1324" s="647" t="s">
        <v>2549</v>
      </c>
      <c r="AD1324" s="575">
        <v>301</v>
      </c>
      <c r="AE1324" s="575">
        <v>3</v>
      </c>
      <c r="AF1324" s="575">
        <v>302</v>
      </c>
      <c r="AG1324" s="575">
        <v>5</v>
      </c>
      <c r="AH1324" s="575">
        <v>303</v>
      </c>
      <c r="AI1324" s="679">
        <v>1</v>
      </c>
      <c r="AJ1324" s="575">
        <v>304</v>
      </c>
      <c r="AK1324" s="679">
        <v>1</v>
      </c>
      <c r="AL1324" s="564"/>
      <c r="AM1324" s="564"/>
      <c r="AN1324" s="614"/>
      <c r="AO1324" s="824" t="str">
        <f t="shared" si="284"/>
        <v>Yes</v>
      </c>
      <c r="AP1324" s="259" t="str">
        <f t="shared" si="285"/>
        <v>NOV 22</v>
      </c>
      <c r="AQ1324" s="542" t="str">
        <f t="shared" si="286"/>
        <v>有定金+有預留客戶</v>
      </c>
      <c r="AR1324" s="259" t="str">
        <f t="shared" si="287"/>
        <v>Shipped_Stock</v>
      </c>
      <c r="AS1324" s="259" t="str">
        <f t="shared" si="288"/>
        <v/>
      </c>
      <c r="AT1324" s="259" t="str">
        <f t="shared" si="289"/>
        <v>WKK</v>
      </c>
      <c r="AU1324" s="259" t="str">
        <f t="shared" si="290"/>
        <v>159851(R2)-ELE</v>
      </c>
      <c r="AV1324" s="259" t="str">
        <f t="shared" si="291"/>
        <v>Aug-22</v>
      </c>
    </row>
    <row r="1325" spans="1:48" hidden="1">
      <c r="A1325" s="599">
        <v>1861</v>
      </c>
      <c r="B1325" s="664" t="s">
        <v>1125</v>
      </c>
      <c r="C1325" s="664" t="s">
        <v>281</v>
      </c>
      <c r="D1325" s="755">
        <v>111003</v>
      </c>
      <c r="E1325" s="744" t="s">
        <v>2568</v>
      </c>
      <c r="F1325" s="647" t="s">
        <v>17</v>
      </c>
      <c r="G1325" s="647" t="s">
        <v>18</v>
      </c>
      <c r="H1325" s="647" t="s">
        <v>27</v>
      </c>
      <c r="I1325" s="575" t="s">
        <v>2569</v>
      </c>
      <c r="J1325" s="575">
        <v>1</v>
      </c>
      <c r="K1325" s="647" t="s">
        <v>1419</v>
      </c>
      <c r="L1325" s="657">
        <v>44795</v>
      </c>
      <c r="M1325" s="717"/>
      <c r="N1325" s="647" t="s">
        <v>216</v>
      </c>
      <c r="O1325" s="575">
        <v>2022.7</v>
      </c>
      <c r="P1325" s="665" t="str">
        <f>VLOOKUP(A1325,'[1]Raw data'!$B:$BA,23,FALSE)</f>
        <v>RMB</v>
      </c>
      <c r="Q1325" s="647" t="str">
        <f>VLOOKUP(A1325,'[1]Raw data'!$B:$Z,2,FALSE)</f>
        <v>C49SZX20230031MZ</v>
      </c>
      <c r="R1325" s="647" t="str">
        <f>VLOOKUP(A1325,'[1]Raw data'!$B:$Z,3,FALSE)</f>
        <v>朗迅</v>
      </c>
      <c r="S1325" s="647" t="str">
        <f>VLOOKUP(A1325,'[1]Raw data'!$B:$Z,4,FALSE)</f>
        <v>YSM10</v>
      </c>
      <c r="T1325" s="647" t="str">
        <f>VLOOKUP(A1325,'[1]Raw data'!$B:$Z,8,FALSE)</f>
        <v>R-&gt;L</v>
      </c>
      <c r="U1325" s="647" t="str">
        <f>VLOOKUP(A1325,'[1]Raw data'!$B:$Z,9,FALSE)</f>
        <v>MVC</v>
      </c>
      <c r="V1325" s="567" t="str">
        <f>IF(G1325&amp;H1325=T1325&amp;U1325,"OK","WRONG")</f>
        <v>OK</v>
      </c>
      <c r="W1325" s="563" t="str">
        <f>VLOOKUP(A1325,'[1]Raw data'!$B:$AG,32,FALSE)</f>
        <v>DDP  HZ</v>
      </c>
      <c r="X1325" s="647">
        <f>VLOOKUP(A1325,'[1]Raw data'!$B:$BA,31,FALSE)</f>
        <v>44985</v>
      </c>
      <c r="Y1325" s="647" t="str">
        <f>VLOOKUP(A1325,'[1]Raw data'!$B:$AS,39,FALSE)</f>
        <v>Yes</v>
      </c>
      <c r="Z1325" s="659"/>
      <c r="AA1325" s="660"/>
      <c r="AB1325" s="661"/>
      <c r="AC1325" s="647" t="s">
        <v>2570</v>
      </c>
      <c r="AD1325" s="575">
        <v>302</v>
      </c>
      <c r="AE1325" s="575">
        <v>5</v>
      </c>
      <c r="AF1325" s="575">
        <v>304</v>
      </c>
      <c r="AG1325" s="575">
        <v>5</v>
      </c>
      <c r="AH1325" s="575"/>
      <c r="AI1325" s="679"/>
      <c r="AJ1325" s="564"/>
      <c r="AK1325" s="564"/>
      <c r="AL1325" s="564"/>
      <c r="AM1325" s="564"/>
      <c r="AN1325" s="614"/>
      <c r="AO1325" s="824" t="str">
        <f t="shared" si="284"/>
        <v>Yes</v>
      </c>
      <c r="AP1325" s="259" t="str">
        <f t="shared" si="285"/>
        <v>MAR 23</v>
      </c>
      <c r="AQ1325" s="542" t="str">
        <f t="shared" si="286"/>
        <v>有定金+有預留客戶</v>
      </c>
      <c r="AR1325" s="259" t="str">
        <f t="shared" si="287"/>
        <v>Shipped_Stock</v>
      </c>
      <c r="AS1325" s="259" t="str">
        <f t="shared" si="288"/>
        <v/>
      </c>
      <c r="AT1325" s="259" t="str">
        <f t="shared" si="289"/>
        <v>朗迅</v>
      </c>
      <c r="AU1325" s="259" t="str">
        <f t="shared" si="290"/>
        <v>C49SZX20230031MZ</v>
      </c>
      <c r="AV1325" s="259" t="str">
        <f t="shared" si="291"/>
        <v>Aug-22</v>
      </c>
    </row>
    <row r="1326" spans="1:48" ht="13.5" hidden="1" thickBot="1">
      <c r="A1326" s="599">
        <v>1862</v>
      </c>
      <c r="B1326" s="664" t="s">
        <v>1125</v>
      </c>
      <c r="C1326" s="664" t="s">
        <v>281</v>
      </c>
      <c r="D1326" s="624">
        <v>111003</v>
      </c>
      <c r="E1326" s="744" t="s">
        <v>2568</v>
      </c>
      <c r="F1326" s="647" t="s">
        <v>17</v>
      </c>
      <c r="G1326" s="647" t="s">
        <v>18</v>
      </c>
      <c r="H1326" s="647" t="s">
        <v>27</v>
      </c>
      <c r="I1326" s="575" t="s">
        <v>2571</v>
      </c>
      <c r="J1326" s="575">
        <v>1</v>
      </c>
      <c r="K1326" s="647" t="s">
        <v>1419</v>
      </c>
      <c r="L1326" s="657">
        <v>44795</v>
      </c>
      <c r="M1326" s="717" t="s">
        <v>906</v>
      </c>
      <c r="N1326" s="647" t="s">
        <v>216</v>
      </c>
      <c r="O1326" s="575">
        <v>2022.7</v>
      </c>
      <c r="P1326" s="665" t="str">
        <f>VLOOKUP(A1326,'[1]Raw data'!$B:$BA,23,FALSE)</f>
        <v>RMB</v>
      </c>
      <c r="Q1326" s="647" t="str">
        <f>VLOOKUP(A1326,'[1]Raw data'!$B:$Z,2,FALSE)</f>
        <v>C49SZX20230031MZ</v>
      </c>
      <c r="R1326" s="647" t="str">
        <f>VLOOKUP(A1326,'[1]Raw data'!$B:$Z,3,FALSE)</f>
        <v>朗迅</v>
      </c>
      <c r="S1326" s="647" t="str">
        <f>VLOOKUP(A1326,'[1]Raw data'!$B:$Z,4,FALSE)</f>
        <v>YSM10</v>
      </c>
      <c r="T1326" s="647" t="str">
        <f>VLOOKUP(A1326,'[1]Raw data'!$B:$Z,8,FALSE)</f>
        <v>L-&gt;R</v>
      </c>
      <c r="U1326" s="647" t="str">
        <f>VLOOKUP(A1326,'[1]Raw data'!$B:$Z,9,FALSE)</f>
        <v>MVC</v>
      </c>
      <c r="V1326" s="567" t="str">
        <f>IF(G1326&amp;H1326=T1326&amp;U1326,"OK","WRONG")</f>
        <v>WRONG</v>
      </c>
      <c r="W1326" s="563" t="str">
        <f>VLOOKUP(A1326,'[1]Raw data'!$B:$AG,32,FALSE)</f>
        <v>DDP  HZ</v>
      </c>
      <c r="X1326" s="647">
        <f>VLOOKUP(A1326,'[1]Raw data'!$B:$BA,31,FALSE)</f>
        <v>44985</v>
      </c>
      <c r="Y1326" s="647" t="str">
        <f>VLOOKUP(A1326,'[1]Raw data'!$B:$AS,39,FALSE)</f>
        <v>Yes</v>
      </c>
      <c r="Z1326" s="659"/>
      <c r="AA1326" s="660"/>
      <c r="AB1326" s="661"/>
      <c r="AC1326" s="647" t="s">
        <v>2570</v>
      </c>
      <c r="AD1326" s="575">
        <v>302</v>
      </c>
      <c r="AE1326" s="575">
        <v>5</v>
      </c>
      <c r="AF1326" s="575">
        <v>304</v>
      </c>
      <c r="AG1326" s="575">
        <v>5</v>
      </c>
      <c r="AH1326" s="575"/>
      <c r="AI1326" s="679"/>
      <c r="AJ1326" s="564"/>
      <c r="AK1326" s="564"/>
      <c r="AL1326" s="564"/>
      <c r="AM1326" s="564"/>
      <c r="AN1326" s="614"/>
      <c r="AO1326" s="824" t="str">
        <f t="shared" si="284"/>
        <v>Yes</v>
      </c>
      <c r="AP1326" s="259" t="str">
        <f t="shared" si="285"/>
        <v>MAR 23</v>
      </c>
      <c r="AQ1326" s="542" t="str">
        <f t="shared" si="286"/>
        <v>有定金+有預留客戶</v>
      </c>
      <c r="AR1326" s="259" t="str">
        <f t="shared" si="287"/>
        <v>Shipped_Stock</v>
      </c>
      <c r="AS1326" s="259" t="str">
        <f t="shared" si="288"/>
        <v/>
      </c>
      <c r="AT1326" s="259" t="str">
        <f t="shared" si="289"/>
        <v>朗迅</v>
      </c>
      <c r="AU1326" s="259" t="str">
        <f t="shared" si="290"/>
        <v>C49SZX20230031MZ</v>
      </c>
      <c r="AV1326" s="259" t="str">
        <f t="shared" si="291"/>
        <v>Aug-22</v>
      </c>
    </row>
    <row r="1327" spans="1:48" hidden="1">
      <c r="A1327" s="599">
        <v>1675</v>
      </c>
      <c r="B1327" s="664" t="s">
        <v>1125</v>
      </c>
      <c r="C1327" s="664" t="s">
        <v>281</v>
      </c>
      <c r="D1327" s="761" t="s">
        <v>2572</v>
      </c>
      <c r="E1327" s="646" t="s">
        <v>2573</v>
      </c>
      <c r="F1327" s="647" t="s">
        <v>58</v>
      </c>
      <c r="G1327" s="647" t="s">
        <v>18</v>
      </c>
      <c r="H1327" s="647" t="s">
        <v>26</v>
      </c>
      <c r="I1327" s="575" t="s">
        <v>2574</v>
      </c>
      <c r="J1327" s="575">
        <v>1</v>
      </c>
      <c r="K1327" s="647" t="s">
        <v>85</v>
      </c>
      <c r="L1327" s="657">
        <v>44801</v>
      </c>
      <c r="M1327" s="717" t="s">
        <v>906</v>
      </c>
      <c r="N1327" s="647" t="s">
        <v>221</v>
      </c>
      <c r="O1327" s="575">
        <v>2022.7</v>
      </c>
      <c r="P1327" s="665" t="str">
        <f>VLOOKUP(A1327,'[1]Raw data'!$B:$BA,23,FALSE)</f>
        <v>JPY</v>
      </c>
      <c r="Q1327" s="647" t="str">
        <f>VLOOKUP(A1327,'[1]Raw data'!$B:$Z,2,FALSE)</f>
        <v>C49SZX20220059DY</v>
      </c>
      <c r="R1327" s="647" t="str">
        <f>VLOOKUP(A1327,'[1]Raw data'!$B:$Z,3,FALSE)</f>
        <v>朗迅</v>
      </c>
      <c r="S1327" s="647" t="str">
        <f>VLOOKUP(A1327,'[1]Raw data'!$B:$Z,4,FALSE)</f>
        <v>YSM20R-2</v>
      </c>
      <c r="T1327" s="647" t="str">
        <f>VLOOKUP(A1327,'[1]Raw data'!$B:$Z,8,FALSE)</f>
        <v>R-&gt;L</v>
      </c>
      <c r="U1327" s="647" t="str">
        <f>VLOOKUP(A1327,'[1]Raw data'!$B:$Z,9,FALSE)</f>
        <v>MVC</v>
      </c>
      <c r="V1327" s="567" t="str">
        <f t="shared" ref="V1327:V1328" si="301">IF(G1327&amp;H1327=T1327&amp;U1327,"OK","WRONG")</f>
        <v>WRONG</v>
      </c>
      <c r="W1327" s="563" t="str">
        <f>VLOOKUP(A1327,'[1]Raw data'!$B:$AG,32,FALSE)</f>
        <v>DAP HZ</v>
      </c>
      <c r="X1327" s="647">
        <f>VLOOKUP(A1327,'[1]Raw data'!$B:$BA,31,FALSE)</f>
        <v>44708</v>
      </c>
      <c r="Y1327" s="647" t="str">
        <f>VLOOKUP(A1327,'[1]Raw data'!$B:$AS,39,FALSE)</f>
        <v>Yes</v>
      </c>
      <c r="Z1327" s="659"/>
      <c r="AA1327" s="660"/>
      <c r="AB1327" s="661"/>
      <c r="AC1327" s="647" t="s">
        <v>1832</v>
      </c>
      <c r="AD1327" s="575">
        <v>301</v>
      </c>
      <c r="AE1327" s="575">
        <v>10</v>
      </c>
      <c r="AF1327" s="575">
        <v>302</v>
      </c>
      <c r="AG1327" s="575">
        <v>10</v>
      </c>
      <c r="AH1327" s="575"/>
      <c r="AI1327" s="679"/>
      <c r="AJ1327" s="564"/>
      <c r="AK1327" s="564"/>
      <c r="AL1327" s="564"/>
      <c r="AM1327" s="564"/>
      <c r="AN1327" s="614"/>
      <c r="AO1327" s="824" t="str">
        <f t="shared" si="284"/>
        <v>Yes</v>
      </c>
      <c r="AP1327" s="259" t="str">
        <f t="shared" si="285"/>
        <v>AUG 22</v>
      </c>
      <c r="AQ1327" s="542" t="str">
        <f t="shared" si="286"/>
        <v>有定金+有預留客戶</v>
      </c>
      <c r="AR1327" s="259" t="str">
        <f t="shared" si="287"/>
        <v>Shipped_Stock</v>
      </c>
      <c r="AS1327" s="259" t="str">
        <f t="shared" si="288"/>
        <v/>
      </c>
      <c r="AT1327" s="259" t="str">
        <f t="shared" si="289"/>
        <v>朗迅</v>
      </c>
      <c r="AU1327" s="259" t="str">
        <f t="shared" si="290"/>
        <v>C49SZX20220059DY</v>
      </c>
      <c r="AV1327" s="259" t="str">
        <f t="shared" si="291"/>
        <v>Aug-28</v>
      </c>
    </row>
    <row r="1328" spans="1:48" ht="13.5" hidden="1" thickBot="1">
      <c r="A1328" s="599">
        <v>1676</v>
      </c>
      <c r="B1328" s="664" t="s">
        <v>1125</v>
      </c>
      <c r="C1328" s="664" t="s">
        <v>281</v>
      </c>
      <c r="D1328" s="624" t="s">
        <v>2572</v>
      </c>
      <c r="E1328" s="646" t="s">
        <v>2573</v>
      </c>
      <c r="F1328" s="647" t="s">
        <v>58</v>
      </c>
      <c r="G1328" s="647" t="s">
        <v>18</v>
      </c>
      <c r="H1328" s="647" t="s">
        <v>26</v>
      </c>
      <c r="I1328" s="575" t="s">
        <v>2575</v>
      </c>
      <c r="J1328" s="575">
        <v>1</v>
      </c>
      <c r="K1328" s="647" t="s">
        <v>85</v>
      </c>
      <c r="L1328" s="657">
        <v>44801</v>
      </c>
      <c r="M1328" s="717" t="s">
        <v>906</v>
      </c>
      <c r="N1328" s="647" t="s">
        <v>221</v>
      </c>
      <c r="O1328" s="575">
        <v>2022.7</v>
      </c>
      <c r="P1328" s="665" t="str">
        <f>VLOOKUP(A1328,'[1]Raw data'!$B:$BA,23,FALSE)</f>
        <v>JPY</v>
      </c>
      <c r="Q1328" s="647" t="str">
        <f>VLOOKUP(A1328,'[1]Raw data'!$B:$Z,2,FALSE)</f>
        <v>C49SZX20220059DY</v>
      </c>
      <c r="R1328" s="647" t="str">
        <f>VLOOKUP(A1328,'[1]Raw data'!$B:$Z,3,FALSE)</f>
        <v>朗迅</v>
      </c>
      <c r="S1328" s="647" t="str">
        <f>VLOOKUP(A1328,'[1]Raw data'!$B:$Z,4,FALSE)</f>
        <v>YSM20R-2</v>
      </c>
      <c r="T1328" s="647" t="str">
        <f>VLOOKUP(A1328,'[1]Raw data'!$B:$Z,8,FALSE)</f>
        <v>R-&gt;L</v>
      </c>
      <c r="U1328" s="647" t="str">
        <f>VLOOKUP(A1328,'[1]Raw data'!$B:$Z,9,FALSE)</f>
        <v>MVC</v>
      </c>
      <c r="V1328" s="567" t="str">
        <f t="shared" si="301"/>
        <v>WRONG</v>
      </c>
      <c r="W1328" s="563" t="str">
        <f>VLOOKUP(A1328,'[1]Raw data'!$B:$AG,32,FALSE)</f>
        <v>DAP HZ</v>
      </c>
      <c r="X1328" s="647">
        <f>VLOOKUP(A1328,'[1]Raw data'!$B:$BA,31,FALSE)</f>
        <v>44708</v>
      </c>
      <c r="Y1328" s="647" t="str">
        <f>VLOOKUP(A1328,'[1]Raw data'!$B:$AS,39,FALSE)</f>
        <v>Yes</v>
      </c>
      <c r="Z1328" s="659"/>
      <c r="AA1328" s="660"/>
      <c r="AB1328" s="661"/>
      <c r="AC1328" s="647" t="s">
        <v>1832</v>
      </c>
      <c r="AD1328" s="575">
        <v>301</v>
      </c>
      <c r="AE1328" s="575">
        <v>10</v>
      </c>
      <c r="AF1328" s="575">
        <v>302</v>
      </c>
      <c r="AG1328" s="575">
        <v>10</v>
      </c>
      <c r="AH1328" s="575"/>
      <c r="AI1328" s="679"/>
      <c r="AJ1328" s="564"/>
      <c r="AK1328" s="564"/>
      <c r="AL1328" s="564"/>
      <c r="AM1328" s="564"/>
      <c r="AN1328" s="614"/>
      <c r="AO1328" s="824" t="str">
        <f t="shared" si="284"/>
        <v>Yes</v>
      </c>
      <c r="AP1328" s="259" t="str">
        <f t="shared" si="285"/>
        <v>AUG 22</v>
      </c>
      <c r="AQ1328" s="542" t="str">
        <f t="shared" si="286"/>
        <v>有定金+有預留客戶</v>
      </c>
      <c r="AR1328" s="259" t="str">
        <f t="shared" si="287"/>
        <v>Shipped_Stock</v>
      </c>
      <c r="AS1328" s="259" t="str">
        <f t="shared" si="288"/>
        <v/>
      </c>
      <c r="AT1328" s="259" t="str">
        <f t="shared" si="289"/>
        <v>朗迅</v>
      </c>
      <c r="AU1328" s="259" t="str">
        <f t="shared" si="290"/>
        <v>C49SZX20220059DY</v>
      </c>
      <c r="AV1328" s="259" t="str">
        <f t="shared" si="291"/>
        <v>Aug-28</v>
      </c>
    </row>
    <row r="1329" spans="1:48" ht="24.75" hidden="1" customHeight="1">
      <c r="A1329" s="599">
        <v>1690</v>
      </c>
      <c r="B1329" s="664" t="s">
        <v>1125</v>
      </c>
      <c r="C1329" s="664" t="s">
        <v>281</v>
      </c>
      <c r="D1329" s="761">
        <v>110991</v>
      </c>
      <c r="E1329" s="646" t="s">
        <v>2576</v>
      </c>
      <c r="F1329" s="647" t="s">
        <v>58</v>
      </c>
      <c r="G1329" s="647" t="s">
        <v>24</v>
      </c>
      <c r="H1329" s="647" t="s">
        <v>26</v>
      </c>
      <c r="I1329" s="575" t="s">
        <v>2577</v>
      </c>
      <c r="J1329" s="575">
        <v>1</v>
      </c>
      <c r="K1329" s="647" t="s">
        <v>85</v>
      </c>
      <c r="L1329" s="657">
        <v>44809</v>
      </c>
      <c r="M1329" s="717" t="s">
        <v>906</v>
      </c>
      <c r="N1329" s="647" t="s">
        <v>205</v>
      </c>
      <c r="O1329" s="575">
        <v>2022.8</v>
      </c>
      <c r="P1329" s="665" t="str">
        <f>VLOOKUP(A1329,'[1]Raw data'!$B:$BA,23,FALSE)</f>
        <v>JPY</v>
      </c>
      <c r="Q1329" s="647" t="str">
        <f>VLOOKUP(A1329,'[1]Raw data'!$B:$Z,2,FALSE)</f>
        <v>C49SZX20220042JY</v>
      </c>
      <c r="R1329" s="647" t="str">
        <f>VLOOKUP(A1329,'[1]Raw data'!$B:$Z,3,FALSE)</f>
        <v>德天伟</v>
      </c>
      <c r="S1329" s="647" t="str">
        <f>VLOOKUP(A1329,'[1]Raw data'!$B:$Z,4,FALSE)</f>
        <v>YSM20R-2</v>
      </c>
      <c r="T1329" s="647" t="str">
        <f>VLOOKUP(A1329,'[1]Raw data'!$B:$Z,8,FALSE)</f>
        <v>L-&gt;R</v>
      </c>
      <c r="U1329" s="647" t="str">
        <f>VLOOKUP(A1329,'[1]Raw data'!$B:$Z,9,FALSE)</f>
        <v>No</v>
      </c>
      <c r="V1329" s="567" t="str">
        <f>IF(G1329&amp;H1329=T1329&amp;U1329,"OK","WRONG")</f>
        <v>OK</v>
      </c>
      <c r="W1329" s="563" t="str">
        <f>VLOOKUP(A1329,'[1]Raw data'!$B:$AG,32,FALSE)</f>
        <v>DAP SZ</v>
      </c>
      <c r="X1329" s="647">
        <f>VLOOKUP(A1329,'[1]Raw data'!$B:$BA,31,FALSE)</f>
        <v>44734</v>
      </c>
      <c r="Y1329" s="647" t="str">
        <f>VLOOKUP(A1329,'[1]Raw data'!$B:$AS,39,FALSE)</f>
        <v>Yes</v>
      </c>
      <c r="Z1329" s="666"/>
      <c r="AA1329" s="660"/>
      <c r="AB1329" s="661"/>
      <c r="AC1329" s="647" t="s">
        <v>2578</v>
      </c>
      <c r="AD1329" s="575">
        <v>312</v>
      </c>
      <c r="AE1329" s="575">
        <v>20</v>
      </c>
      <c r="AF1329" s="575"/>
      <c r="AG1329" s="575"/>
      <c r="AH1329" s="575"/>
      <c r="AI1329" s="679"/>
      <c r="AJ1329" s="564"/>
      <c r="AK1329" s="564"/>
      <c r="AL1329" s="564"/>
      <c r="AM1329" s="564"/>
      <c r="AN1329" s="614"/>
      <c r="AO1329" s="824" t="str">
        <f t="shared" si="284"/>
        <v>Yes</v>
      </c>
      <c r="AP1329" s="259" t="str">
        <f t="shared" si="285"/>
        <v>OCT 22</v>
      </c>
      <c r="AQ1329" s="542" t="str">
        <f t="shared" si="286"/>
        <v>有定金+有預留客戶</v>
      </c>
      <c r="AR1329" s="259" t="str">
        <f t="shared" si="287"/>
        <v>Shipped_Stock</v>
      </c>
      <c r="AS1329" s="259" t="str">
        <f t="shared" si="288"/>
        <v/>
      </c>
      <c r="AT1329" s="259" t="str">
        <f t="shared" si="289"/>
        <v>德天伟</v>
      </c>
      <c r="AU1329" s="259" t="str">
        <f t="shared" si="290"/>
        <v>C49SZX20220042JY</v>
      </c>
      <c r="AV1329" s="259" t="str">
        <f t="shared" si="291"/>
        <v>Sep-05</v>
      </c>
    </row>
    <row r="1330" spans="1:48" ht="13.5" hidden="1" thickBot="1">
      <c r="A1330" s="599">
        <v>1753</v>
      </c>
      <c r="B1330" s="664" t="s">
        <v>1125</v>
      </c>
      <c r="C1330" s="664" t="s">
        <v>281</v>
      </c>
      <c r="D1330" s="624">
        <v>110991</v>
      </c>
      <c r="E1330" s="646" t="s">
        <v>2579</v>
      </c>
      <c r="F1330" s="647" t="s">
        <v>58</v>
      </c>
      <c r="G1330" s="647" t="s">
        <v>24</v>
      </c>
      <c r="H1330" s="647" t="s">
        <v>26</v>
      </c>
      <c r="I1330" s="575" t="s">
        <v>2580</v>
      </c>
      <c r="J1330" s="575">
        <v>1</v>
      </c>
      <c r="K1330" s="647" t="s">
        <v>1419</v>
      </c>
      <c r="L1330" s="657">
        <v>44809</v>
      </c>
      <c r="M1330" s="717" t="s">
        <v>906</v>
      </c>
      <c r="N1330" s="647" t="s">
        <v>208</v>
      </c>
      <c r="O1330" s="575">
        <v>2022.8</v>
      </c>
      <c r="P1330" s="665" t="str">
        <f>VLOOKUP(A1330,'[1]Raw data'!$B:$BA,23,FALSE)</f>
        <v>RMB</v>
      </c>
      <c r="Q1330" s="647" t="str">
        <f>VLOOKUP(A1330,'[1]Raw data'!$B:$Z,2,FALSE)</f>
        <v>C49SZX20220112SX</v>
      </c>
      <c r="R1330" s="647" t="str">
        <f>VLOOKUP(A1330,'[1]Raw data'!$B:$Z,3,FALSE)</f>
        <v>永诺精密</v>
      </c>
      <c r="S1330" s="647" t="str">
        <f>VLOOKUP(A1330,'[1]Raw data'!$B:$Z,4,FALSE)</f>
        <v>YSM20R-2</v>
      </c>
      <c r="T1330" s="647" t="str">
        <f>VLOOKUP(A1330,'[1]Raw data'!$B:$Z,8,FALSE)</f>
        <v>L-&gt;R</v>
      </c>
      <c r="U1330" s="647" t="str">
        <f>VLOOKUP(A1330,'[1]Raw data'!$B:$Z,9,FALSE)</f>
        <v>No</v>
      </c>
      <c r="V1330" s="567" t="str">
        <f>IF(G1330&amp;H1330=T1330&amp;U1330,"OK","WRONG")</f>
        <v>OK</v>
      </c>
      <c r="W1330" s="563" t="str">
        <f>VLOOKUP(A1330,'[1]Raw data'!$B:$AG,32,FALSE)</f>
        <v>DDP DG</v>
      </c>
      <c r="X1330" s="647">
        <f>VLOOKUP(A1330,'[1]Raw data'!$B:$BA,31,FALSE)</f>
        <v>44873</v>
      </c>
      <c r="Y1330" s="647" t="str">
        <f>VLOOKUP(A1330,'[1]Raw data'!$B:$AS,39,FALSE)</f>
        <v>Yes</v>
      </c>
      <c r="Z1330" s="666"/>
      <c r="AA1330" s="660"/>
      <c r="AB1330" s="661"/>
      <c r="AC1330" s="647" t="s">
        <v>2581</v>
      </c>
      <c r="AD1330" s="575">
        <v>312</v>
      </c>
      <c r="AE1330" s="575">
        <v>20</v>
      </c>
      <c r="AF1330" s="575"/>
      <c r="AG1330" s="575"/>
      <c r="AH1330" s="575"/>
      <c r="AI1330" s="679"/>
      <c r="AJ1330" s="564"/>
      <c r="AK1330" s="564"/>
      <c r="AL1330" s="564"/>
      <c r="AM1330" s="564"/>
      <c r="AN1330" s="614"/>
      <c r="AO1330" s="824" t="str">
        <f t="shared" si="284"/>
        <v>Yes</v>
      </c>
      <c r="AP1330" s="259" t="str">
        <f t="shared" si="285"/>
        <v>NOV 22</v>
      </c>
      <c r="AQ1330" s="542" t="str">
        <f t="shared" si="286"/>
        <v>有定金+有預留客戶</v>
      </c>
      <c r="AR1330" s="259" t="str">
        <f t="shared" si="287"/>
        <v>Shipped_Stock</v>
      </c>
      <c r="AS1330" s="259" t="str">
        <f t="shared" si="288"/>
        <v/>
      </c>
      <c r="AT1330" s="259" t="str">
        <f t="shared" si="289"/>
        <v>永诺精密</v>
      </c>
      <c r="AU1330" s="259" t="str">
        <f t="shared" si="290"/>
        <v>C49SZX20220112SX</v>
      </c>
      <c r="AV1330" s="259" t="str">
        <f t="shared" si="291"/>
        <v>Sep-05</v>
      </c>
    </row>
    <row r="1331" spans="1:48" hidden="1">
      <c r="A1331" s="599">
        <v>1750</v>
      </c>
      <c r="B1331" s="664" t="s">
        <v>1125</v>
      </c>
      <c r="C1331" s="664" t="s">
        <v>281</v>
      </c>
      <c r="D1331" s="761">
        <v>111020</v>
      </c>
      <c r="E1331" s="736" t="s">
        <v>2582</v>
      </c>
      <c r="F1331" s="647" t="s">
        <v>58</v>
      </c>
      <c r="G1331" s="647" t="s">
        <v>24</v>
      </c>
      <c r="H1331" s="647" t="s">
        <v>26</v>
      </c>
      <c r="I1331" s="575" t="s">
        <v>2583</v>
      </c>
      <c r="J1331" s="575">
        <v>1</v>
      </c>
      <c r="K1331" s="647" t="s">
        <v>1419</v>
      </c>
      <c r="L1331" s="657">
        <v>44816</v>
      </c>
      <c r="M1331" s="792" t="s">
        <v>3908</v>
      </c>
      <c r="N1331" s="647" t="s">
        <v>208</v>
      </c>
      <c r="O1331" s="575">
        <v>2022.8</v>
      </c>
      <c r="P1331" s="665" t="str">
        <f>VLOOKUP(A1331,'[1]Raw data'!$B:$BA,23,FALSE)</f>
        <v>RMB</v>
      </c>
      <c r="Q1331" s="647" t="str">
        <f>VLOOKUP(A1331,'[1]Raw data'!$B:$Z,2,FALSE)</f>
        <v>C49SZX20220093EC</v>
      </c>
      <c r="R1331" s="647" t="str">
        <f>VLOOKUP(A1331,'[1]Raw data'!$B:$Z,3,FALSE)</f>
        <v>格美通</v>
      </c>
      <c r="S1331" s="647" t="str">
        <f>VLOOKUP(A1331,'[1]Raw data'!$B:$Z,4,FALSE)</f>
        <v>YSM20R-2</v>
      </c>
      <c r="T1331" s="647" t="str">
        <f>VLOOKUP(A1331,'[1]Raw data'!$B:$Z,8,FALSE)</f>
        <v>L-&gt;R</v>
      </c>
      <c r="U1331" s="647" t="str">
        <f>VLOOKUP(A1331,'[1]Raw data'!$B:$Z,9,FALSE)</f>
        <v>No</v>
      </c>
      <c r="V1331" s="567" t="str">
        <f t="shared" ref="V1331:V1339" si="302">IF(G1331&amp;H1331=T1331&amp;U1331,"OK","WRONG")</f>
        <v>OK</v>
      </c>
      <c r="W1331" s="563" t="str">
        <f>VLOOKUP(A1331,'[1]Raw data'!$B:$AG,32,FALSE)</f>
        <v>DDP SZ</v>
      </c>
      <c r="X1331" s="647">
        <f>VLOOKUP(A1331,'[1]Raw data'!$B:$BA,31,FALSE)</f>
        <v>44863</v>
      </c>
      <c r="Y1331" s="647" t="str">
        <f>VLOOKUP(A1331,'[1]Raw data'!$B:$AS,39,FALSE)</f>
        <v>Yes</v>
      </c>
      <c r="Z1331" s="666"/>
      <c r="AA1331" s="660"/>
      <c r="AB1331" s="661"/>
      <c r="AC1331" s="647" t="s">
        <v>2584</v>
      </c>
      <c r="AD1331" s="575">
        <v>301</v>
      </c>
      <c r="AE1331" s="575">
        <v>10</v>
      </c>
      <c r="AF1331" s="575">
        <v>311</v>
      </c>
      <c r="AG1331" s="575">
        <v>10</v>
      </c>
      <c r="AH1331" s="575"/>
      <c r="AI1331" s="679"/>
      <c r="AJ1331" s="564"/>
      <c r="AK1331" s="564"/>
      <c r="AL1331" s="564"/>
      <c r="AM1331" s="564"/>
      <c r="AN1331" s="614"/>
      <c r="AO1331" s="824" t="str">
        <f t="shared" si="284"/>
        <v>Yes</v>
      </c>
      <c r="AP1331" s="259" t="str">
        <f t="shared" si="285"/>
        <v>NOV 22</v>
      </c>
      <c r="AQ1331" s="542" t="str">
        <f t="shared" si="286"/>
        <v>有定金+有預留客戶</v>
      </c>
      <c r="AR1331" s="259" t="str">
        <f t="shared" si="287"/>
        <v>Shipped_Stock</v>
      </c>
      <c r="AS1331" s="259" t="str">
        <f t="shared" si="288"/>
        <v/>
      </c>
      <c r="AT1331" s="259" t="str">
        <f t="shared" si="289"/>
        <v>格美通</v>
      </c>
      <c r="AU1331" s="259" t="str">
        <f t="shared" si="290"/>
        <v>C49SZX20220093EC</v>
      </c>
      <c r="AV1331" s="259" t="str">
        <f t="shared" si="291"/>
        <v>Sep-12</v>
      </c>
    </row>
    <row r="1332" spans="1:48" hidden="1">
      <c r="A1332" s="599">
        <v>1752</v>
      </c>
      <c r="B1332" s="664" t="s">
        <v>1125</v>
      </c>
      <c r="C1332" s="664" t="s">
        <v>281</v>
      </c>
      <c r="D1332" s="755">
        <v>111020</v>
      </c>
      <c r="E1332" s="736" t="s">
        <v>2582</v>
      </c>
      <c r="F1332" s="647" t="s">
        <v>58</v>
      </c>
      <c r="G1332" s="647" t="s">
        <v>24</v>
      </c>
      <c r="H1332" s="647" t="s">
        <v>26</v>
      </c>
      <c r="I1332" s="575" t="s">
        <v>2585</v>
      </c>
      <c r="J1332" s="575">
        <v>1</v>
      </c>
      <c r="K1332" s="647" t="s">
        <v>1419</v>
      </c>
      <c r="L1332" s="657">
        <v>44816</v>
      </c>
      <c r="M1332" s="792" t="s">
        <v>3908</v>
      </c>
      <c r="N1332" s="647" t="s">
        <v>208</v>
      </c>
      <c r="O1332" s="575">
        <v>2022.8</v>
      </c>
      <c r="P1332" s="665" t="str">
        <f>VLOOKUP(A1332,'[1]Raw data'!$B:$BA,23,FALSE)</f>
        <v>RMB</v>
      </c>
      <c r="Q1332" s="647" t="str">
        <f>VLOOKUP(A1332,'[1]Raw data'!$B:$Z,2,FALSE)</f>
        <v>C49SZX20220113DZ</v>
      </c>
      <c r="R1332" s="647" t="str">
        <f>VLOOKUP(A1332,'[1]Raw data'!$B:$Z,3,FALSE)</f>
        <v>比泰利</v>
      </c>
      <c r="S1332" s="647" t="str">
        <f>VLOOKUP(A1332,'[1]Raw data'!$B:$Z,4,FALSE)</f>
        <v>YSM20R-2</v>
      </c>
      <c r="T1332" s="647" t="str">
        <f>VLOOKUP(A1332,'[1]Raw data'!$B:$Z,8,FALSE)</f>
        <v>L-&gt;R</v>
      </c>
      <c r="U1332" s="647" t="str">
        <f>VLOOKUP(A1332,'[1]Raw data'!$B:$Z,9,FALSE)</f>
        <v>MVC F&amp;R</v>
      </c>
      <c r="V1332" s="567" t="str">
        <f t="shared" si="302"/>
        <v>WRONG</v>
      </c>
      <c r="W1332" s="563" t="str">
        <f>VLOOKUP(A1332,'[1]Raw data'!$B:$AG,32,FALSE)</f>
        <v>DDP SZ</v>
      </c>
      <c r="X1332" s="647">
        <f>VLOOKUP(A1332,'[1]Raw data'!$B:$BA,31,FALSE)</f>
        <v>44867</v>
      </c>
      <c r="Y1332" s="647" t="str">
        <f>VLOOKUP(A1332,'[1]Raw data'!$B:$AS,39,FALSE)</f>
        <v>Yes</v>
      </c>
      <c r="Z1332" s="666"/>
      <c r="AA1332" s="660"/>
      <c r="AB1332" s="661"/>
      <c r="AC1332" s="647" t="s">
        <v>1993</v>
      </c>
      <c r="AD1332" s="575">
        <v>301</v>
      </c>
      <c r="AE1332" s="575">
        <v>10</v>
      </c>
      <c r="AF1332" s="575">
        <v>311</v>
      </c>
      <c r="AG1332" s="575">
        <v>10</v>
      </c>
      <c r="AH1332" s="575"/>
      <c r="AI1332" s="679"/>
      <c r="AJ1332" s="564"/>
      <c r="AK1332" s="564"/>
      <c r="AL1332" s="564"/>
      <c r="AM1332" s="564"/>
      <c r="AN1332" s="614"/>
      <c r="AO1332" s="824" t="str">
        <f t="shared" si="284"/>
        <v>Yes</v>
      </c>
      <c r="AP1332" s="259" t="str">
        <f t="shared" si="285"/>
        <v>NOV 22</v>
      </c>
      <c r="AQ1332" s="542" t="str">
        <f t="shared" si="286"/>
        <v>有定金+有預留客戶</v>
      </c>
      <c r="AR1332" s="259" t="str">
        <f t="shared" si="287"/>
        <v>Shipped_Stock</v>
      </c>
      <c r="AS1332" s="259" t="str">
        <f t="shared" si="288"/>
        <v/>
      </c>
      <c r="AT1332" s="259" t="str">
        <f t="shared" si="289"/>
        <v>比泰利</v>
      </c>
      <c r="AU1332" s="259" t="str">
        <f t="shared" si="290"/>
        <v>C49SZX20220113DZ</v>
      </c>
      <c r="AV1332" s="259" t="str">
        <f t="shared" si="291"/>
        <v>Sep-12</v>
      </c>
    </row>
    <row r="1333" spans="1:48" hidden="1">
      <c r="A1333" s="599">
        <v>1784</v>
      </c>
      <c r="B1333" s="664" t="s">
        <v>1125</v>
      </c>
      <c r="C1333" s="664" t="s">
        <v>281</v>
      </c>
      <c r="D1333" s="755">
        <v>111020</v>
      </c>
      <c r="E1333" s="736" t="s">
        <v>2582</v>
      </c>
      <c r="F1333" s="647" t="s">
        <v>58</v>
      </c>
      <c r="G1333" s="647" t="s">
        <v>24</v>
      </c>
      <c r="H1333" s="647" t="s">
        <v>26</v>
      </c>
      <c r="I1333" s="575" t="s">
        <v>2586</v>
      </c>
      <c r="J1333" s="575">
        <v>1</v>
      </c>
      <c r="K1333" s="647" t="s">
        <v>1419</v>
      </c>
      <c r="L1333" s="657">
        <v>44816</v>
      </c>
      <c r="M1333" s="717" t="s">
        <v>906</v>
      </c>
      <c r="N1333" s="647" t="s">
        <v>220</v>
      </c>
      <c r="O1333" s="575">
        <v>2022.8</v>
      </c>
      <c r="P1333" s="665" t="str">
        <f>VLOOKUP(A1333,'[1]Raw data'!$B:$BA,23,FALSE)</f>
        <v>RMB</v>
      </c>
      <c r="Q1333" s="647" t="str">
        <f>VLOOKUP(A1333,'[1]Raw data'!$B:$Z,2,FALSE)</f>
        <v>C49SZX20220127EC</v>
      </c>
      <c r="R1333" s="647" t="str">
        <f>VLOOKUP(A1333,'[1]Raw data'!$B:$Z,3,FALSE)</f>
        <v>海红天远</v>
      </c>
      <c r="S1333" s="647" t="str">
        <f>VLOOKUP(A1333,'[1]Raw data'!$B:$Z,4,FALSE)</f>
        <v>YSM20R-2</v>
      </c>
      <c r="T1333" s="647" t="str">
        <f>VLOOKUP(A1333,'[1]Raw data'!$B:$Z,8,FALSE)</f>
        <v>L-&gt;R</v>
      </c>
      <c r="U1333" s="647" t="str">
        <f>VLOOKUP(A1333,'[1]Raw data'!$B:$Z,9,FALSE)</f>
        <v>MVC</v>
      </c>
      <c r="V1333" s="567" t="str">
        <f t="shared" si="302"/>
        <v>WRONG</v>
      </c>
      <c r="W1333" s="563" t="str">
        <f>VLOOKUP(A1333,'[1]Raw data'!$B:$AG,32,FALSE)</f>
        <v>DDP SZ</v>
      </c>
      <c r="X1333" s="647">
        <f>VLOOKUP(A1333,'[1]Raw data'!$B:$BA,31,FALSE)</f>
        <v>44914</v>
      </c>
      <c r="Y1333" s="647" t="str">
        <f>VLOOKUP(A1333,'[1]Raw data'!$B:$AS,39,FALSE)</f>
        <v>Yes</v>
      </c>
      <c r="Z1333" s="666"/>
      <c r="AA1333" s="660"/>
      <c r="AB1333" s="661"/>
      <c r="AC1333" s="647" t="s">
        <v>2207</v>
      </c>
      <c r="AD1333" s="575">
        <v>301</v>
      </c>
      <c r="AE1333" s="575">
        <v>10</v>
      </c>
      <c r="AF1333" s="575">
        <v>311</v>
      </c>
      <c r="AG1333" s="575">
        <v>10</v>
      </c>
      <c r="AH1333" s="575"/>
      <c r="AI1333" s="679"/>
      <c r="AJ1333" s="564"/>
      <c r="AK1333" s="564"/>
      <c r="AL1333" s="564"/>
      <c r="AM1333" s="564"/>
      <c r="AN1333" s="614"/>
      <c r="AO1333" s="824" t="str">
        <f t="shared" si="284"/>
        <v>Yes</v>
      </c>
      <c r="AP1333" s="259" t="str">
        <f t="shared" si="285"/>
        <v>DEC 22</v>
      </c>
      <c r="AQ1333" s="542" t="str">
        <f t="shared" si="286"/>
        <v>有定金+有預留客戶</v>
      </c>
      <c r="AR1333" s="259" t="str">
        <f t="shared" si="287"/>
        <v>Shipped_Stock</v>
      </c>
      <c r="AS1333" s="259" t="str">
        <f t="shared" si="288"/>
        <v/>
      </c>
      <c r="AT1333" s="259" t="str">
        <f t="shared" si="289"/>
        <v>海红天远</v>
      </c>
      <c r="AU1333" s="259" t="str">
        <f t="shared" si="290"/>
        <v>C49SZX20220127EC</v>
      </c>
      <c r="AV1333" s="259" t="str">
        <f t="shared" si="291"/>
        <v>Sep-12</v>
      </c>
    </row>
    <row r="1334" spans="1:48" hidden="1">
      <c r="A1334" s="599">
        <v>1815</v>
      </c>
      <c r="B1334" s="664" t="s">
        <v>1125</v>
      </c>
      <c r="C1334" s="664" t="s">
        <v>281</v>
      </c>
      <c r="D1334" s="755">
        <v>111020</v>
      </c>
      <c r="E1334" s="736" t="s">
        <v>2582</v>
      </c>
      <c r="F1334" s="647" t="s">
        <v>58</v>
      </c>
      <c r="G1334" s="647" t="s">
        <v>24</v>
      </c>
      <c r="H1334" s="647" t="s">
        <v>26</v>
      </c>
      <c r="I1334" s="575" t="s">
        <v>2587</v>
      </c>
      <c r="J1334" s="575">
        <v>1</v>
      </c>
      <c r="K1334" s="647" t="s">
        <v>1419</v>
      </c>
      <c r="L1334" s="657">
        <v>44816</v>
      </c>
      <c r="M1334" s="717">
        <v>5.0900000000000001E-2</v>
      </c>
      <c r="N1334" s="647" t="s">
        <v>215</v>
      </c>
      <c r="O1334" s="575">
        <v>2022.8</v>
      </c>
      <c r="P1334" s="665" t="str">
        <f>VLOOKUP(A1334,'[1]Raw data'!$B:$BA,23,FALSE)</f>
        <v>RMB</v>
      </c>
      <c r="Q1334" s="647" t="str">
        <f>VLOOKUP(A1334,'[1]Raw data'!$B:$Z,2,FALSE)</f>
        <v>C49SZX20230010SX</v>
      </c>
      <c r="R1334" s="647" t="str">
        <f>VLOOKUP(A1334,'[1]Raw data'!$B:$Z,3,FALSE)</f>
        <v>嘉普达</v>
      </c>
      <c r="S1334" s="647" t="str">
        <f>VLOOKUP(A1334,'[1]Raw data'!$B:$Z,4,FALSE)</f>
        <v>YSM20R-2</v>
      </c>
      <c r="T1334" s="647" t="str">
        <f>VLOOKUP(A1334,'[1]Raw data'!$B:$Z,8,FALSE)</f>
        <v>L-&gt;R</v>
      </c>
      <c r="U1334" s="647" t="str">
        <f>VLOOKUP(A1334,'[1]Raw data'!$B:$Z,9,FALSE)</f>
        <v>No</v>
      </c>
      <c r="V1334" s="567" t="str">
        <f t="shared" si="302"/>
        <v>OK</v>
      </c>
      <c r="W1334" s="563" t="str">
        <f>VLOOKUP(A1334,'[1]Raw data'!$B:$AG,32,FALSE)</f>
        <v>DDP SZ</v>
      </c>
      <c r="X1334" s="647">
        <f>VLOOKUP(A1334,'[1]Raw data'!$B:$BA,31,FALSE)</f>
        <v>44938</v>
      </c>
      <c r="Y1334" s="647" t="str">
        <f>VLOOKUP(A1334,'[1]Raw data'!$B:$AS,39,FALSE)</f>
        <v>Yes</v>
      </c>
      <c r="Z1334" s="666"/>
      <c r="AA1334" s="660"/>
      <c r="AB1334" s="661"/>
      <c r="AC1334" s="647" t="s">
        <v>2453</v>
      </c>
      <c r="AD1334" s="575">
        <v>301</v>
      </c>
      <c r="AE1334" s="575">
        <v>10</v>
      </c>
      <c r="AF1334" s="575">
        <v>311</v>
      </c>
      <c r="AG1334" s="575">
        <v>10</v>
      </c>
      <c r="AH1334" s="575"/>
      <c r="AI1334" s="679"/>
      <c r="AJ1334" s="564"/>
      <c r="AK1334" s="564"/>
      <c r="AL1334" s="564"/>
      <c r="AM1334" s="564"/>
      <c r="AN1334" s="614"/>
      <c r="AO1334" s="824" t="str">
        <f t="shared" si="284"/>
        <v>Yes</v>
      </c>
      <c r="AP1334" s="259" t="str">
        <f t="shared" si="285"/>
        <v>JAN 23</v>
      </c>
      <c r="AQ1334" s="542" t="str">
        <f t="shared" si="286"/>
        <v>有定金+有預留客戶</v>
      </c>
      <c r="AR1334" s="259" t="str">
        <f t="shared" si="287"/>
        <v>Shipped_Stock</v>
      </c>
      <c r="AS1334" s="259" t="str">
        <f t="shared" si="288"/>
        <v/>
      </c>
      <c r="AT1334" s="259" t="str">
        <f t="shared" si="289"/>
        <v>嘉普达</v>
      </c>
      <c r="AU1334" s="259" t="str">
        <f t="shared" si="290"/>
        <v>C49SZX20230010SX</v>
      </c>
      <c r="AV1334" s="259" t="str">
        <f t="shared" si="291"/>
        <v>Sep-12</v>
      </c>
    </row>
    <row r="1335" spans="1:48" ht="13.5" hidden="1" thickBot="1">
      <c r="A1335" s="599">
        <v>1835</v>
      </c>
      <c r="B1335" s="664" t="s">
        <v>1125</v>
      </c>
      <c r="C1335" s="664" t="s">
        <v>281</v>
      </c>
      <c r="D1335" s="624">
        <v>111020</v>
      </c>
      <c r="E1335" s="736" t="s">
        <v>2582</v>
      </c>
      <c r="F1335" s="647" t="s">
        <v>58</v>
      </c>
      <c r="G1335" s="647" t="s">
        <v>24</v>
      </c>
      <c r="H1335" s="647" t="s">
        <v>26</v>
      </c>
      <c r="I1335" s="575" t="s">
        <v>2588</v>
      </c>
      <c r="J1335" s="575">
        <v>1</v>
      </c>
      <c r="K1335" s="647" t="s">
        <v>1419</v>
      </c>
      <c r="L1335" s="657">
        <v>44816</v>
      </c>
      <c r="M1335" s="717">
        <v>5.0900000000000001E-2</v>
      </c>
      <c r="N1335" s="647" t="s">
        <v>217</v>
      </c>
      <c r="O1335" s="575">
        <v>2022.8</v>
      </c>
      <c r="P1335" s="665" t="str">
        <f>VLOOKUP(A1335,'[1]Raw data'!$B:$BA,23,FALSE)</f>
        <v>RMB</v>
      </c>
      <c r="Q1335" s="647" t="str">
        <f>VLOOKUP(A1335,'[1]Raw data'!$B:$Z,2,FALSE)</f>
        <v>C49SZX20230013JY</v>
      </c>
      <c r="R1335" s="647" t="str">
        <f>VLOOKUP(A1335,'[1]Raw data'!$B:$Z,3,FALSE)</f>
        <v>德天伟</v>
      </c>
      <c r="S1335" s="647" t="str">
        <f>VLOOKUP(A1335,'[1]Raw data'!$B:$Z,4,FALSE)</f>
        <v>YSM20R-2</v>
      </c>
      <c r="T1335" s="647" t="str">
        <f>VLOOKUP(A1335,'[1]Raw data'!$B:$Z,8,FALSE)</f>
        <v>L-&gt;R</v>
      </c>
      <c r="U1335" s="647" t="str">
        <f>VLOOKUP(A1335,'[1]Raw data'!$B:$Z,9,FALSE)</f>
        <v>No</v>
      </c>
      <c r="V1335" s="567" t="str">
        <f t="shared" si="302"/>
        <v>OK</v>
      </c>
      <c r="W1335" s="563" t="str">
        <f>VLOOKUP(A1335,'[1]Raw data'!$B:$AG,32,FALSE)</f>
        <v>DDP SZ</v>
      </c>
      <c r="X1335" s="647">
        <f>VLOOKUP(A1335,'[1]Raw data'!$B:$BA,31,FALSE)</f>
        <v>44967</v>
      </c>
      <c r="Y1335" s="647" t="str">
        <f>VLOOKUP(A1335,'[1]Raw data'!$B:$AS,39,FALSE)</f>
        <v>Yes</v>
      </c>
      <c r="Z1335" s="666"/>
      <c r="AA1335" s="660"/>
      <c r="AB1335" s="661"/>
      <c r="AC1335" s="647" t="s">
        <v>2578</v>
      </c>
      <c r="AD1335" s="575">
        <v>301</v>
      </c>
      <c r="AE1335" s="575">
        <v>10</v>
      </c>
      <c r="AF1335" s="575">
        <v>302</v>
      </c>
      <c r="AG1335" s="575">
        <v>10</v>
      </c>
      <c r="AH1335" s="575"/>
      <c r="AI1335" s="679"/>
      <c r="AJ1335" s="564"/>
      <c r="AK1335" s="564"/>
      <c r="AL1335" s="564"/>
      <c r="AM1335" s="564"/>
      <c r="AN1335" s="614"/>
      <c r="AO1335" s="824" t="str">
        <f t="shared" si="284"/>
        <v>Yes</v>
      </c>
      <c r="AP1335" s="259" t="str">
        <f t="shared" si="285"/>
        <v>FEB 23</v>
      </c>
      <c r="AQ1335" s="542" t="str">
        <f t="shared" si="286"/>
        <v>有定金+有預留客戶</v>
      </c>
      <c r="AR1335" s="259" t="str">
        <f t="shared" si="287"/>
        <v>Shipped_Stock</v>
      </c>
      <c r="AS1335" s="259" t="str">
        <f t="shared" si="288"/>
        <v/>
      </c>
      <c r="AT1335" s="259" t="str">
        <f t="shared" si="289"/>
        <v>德天伟</v>
      </c>
      <c r="AU1335" s="259" t="str">
        <f t="shared" si="290"/>
        <v>C49SZX20230013JY</v>
      </c>
      <c r="AV1335" s="259" t="str">
        <f t="shared" si="291"/>
        <v>Sep-12</v>
      </c>
    </row>
    <row r="1336" spans="1:48" hidden="1">
      <c r="A1336" s="559">
        <v>1790</v>
      </c>
      <c r="B1336" s="664" t="s">
        <v>1125</v>
      </c>
      <c r="C1336" s="664" t="s">
        <v>281</v>
      </c>
      <c r="D1336" s="761">
        <v>111020</v>
      </c>
      <c r="E1336" s="736" t="s">
        <v>2582</v>
      </c>
      <c r="F1336" s="647" t="s">
        <v>58</v>
      </c>
      <c r="G1336" s="647" t="s">
        <v>24</v>
      </c>
      <c r="H1336" s="647" t="s">
        <v>26</v>
      </c>
      <c r="I1336" s="575" t="s">
        <v>2589</v>
      </c>
      <c r="J1336" s="575">
        <v>1</v>
      </c>
      <c r="K1336" s="647" t="s">
        <v>1419</v>
      </c>
      <c r="L1336" s="657">
        <v>44816</v>
      </c>
      <c r="M1336" s="717">
        <v>5.0900000000000001E-2</v>
      </c>
      <c r="N1336" s="647" t="s">
        <v>220</v>
      </c>
      <c r="O1336" s="575">
        <v>2022.8</v>
      </c>
      <c r="P1336" s="665" t="str">
        <f>VLOOKUP(A1336,'[1]Raw data'!$B:$BA,23,FALSE)</f>
        <v>RMB</v>
      </c>
      <c r="Q1336" s="647" t="str">
        <f>VLOOKUP(A1336,'[1]Raw data'!$B:$Z,2,FALSE)</f>
        <v>C49SZX20220135EC</v>
      </c>
      <c r="R1336" s="647" t="str">
        <f>VLOOKUP(A1336,'[1]Raw data'!$B:$Z,3,FALSE)</f>
        <v>福瑞康</v>
      </c>
      <c r="S1336" s="647" t="str">
        <f>VLOOKUP(A1336,'[1]Raw data'!$B:$Z,4,FALSE)</f>
        <v>YSM20R-2</v>
      </c>
      <c r="T1336" s="647" t="str">
        <f>VLOOKUP(A1336,'[1]Raw data'!$B:$Z,8,FALSE)</f>
        <v>L-&gt;R</v>
      </c>
      <c r="U1336" s="647" t="str">
        <f>VLOOKUP(A1336,'[1]Raw data'!$B:$Z,9,FALSE)</f>
        <v>No</v>
      </c>
      <c r="V1336" s="567" t="str">
        <f t="shared" si="302"/>
        <v>OK</v>
      </c>
      <c r="W1336" s="563" t="str">
        <f>VLOOKUP(A1336,'[1]Raw data'!$B:$AG,32,FALSE)</f>
        <v>DDP DG</v>
      </c>
      <c r="X1336" s="647">
        <f>VLOOKUP(A1336,'[1]Raw data'!$B:$BA,31,FALSE)</f>
        <v>44915</v>
      </c>
      <c r="Y1336" s="647" t="str">
        <f>VLOOKUP(A1336,'[1]Raw data'!$B:$AS,39,FALSE)</f>
        <v>Yes</v>
      </c>
      <c r="Z1336" s="666"/>
      <c r="AA1336" s="660"/>
      <c r="AB1336" s="661"/>
      <c r="AC1336" s="647" t="s">
        <v>1542</v>
      </c>
      <c r="AD1336" s="662">
        <v>311</v>
      </c>
      <c r="AE1336" s="662">
        <v>10</v>
      </c>
      <c r="AF1336" s="662">
        <v>302</v>
      </c>
      <c r="AG1336" s="662">
        <v>10</v>
      </c>
      <c r="AH1336" s="662"/>
      <c r="AI1336" s="663"/>
      <c r="AN1336" s="542"/>
      <c r="AO1336" s="824" t="str">
        <f t="shared" si="284"/>
        <v>Yes</v>
      </c>
      <c r="AP1336" s="259" t="str">
        <f t="shared" si="285"/>
        <v>DEC 22</v>
      </c>
      <c r="AQ1336" s="542" t="str">
        <f t="shared" si="286"/>
        <v>有定金+有預留客戶</v>
      </c>
      <c r="AR1336" s="259" t="str">
        <f t="shared" si="287"/>
        <v>Shipped_Stock</v>
      </c>
      <c r="AS1336" s="259" t="str">
        <f t="shared" si="288"/>
        <v/>
      </c>
      <c r="AT1336" s="259" t="str">
        <f t="shared" si="289"/>
        <v>福瑞康</v>
      </c>
      <c r="AU1336" s="259" t="str">
        <f t="shared" si="290"/>
        <v>C49SZX20220135EC</v>
      </c>
      <c r="AV1336" s="259" t="str">
        <f t="shared" si="291"/>
        <v>Sep-12</v>
      </c>
    </row>
    <row r="1337" spans="1:48" hidden="1">
      <c r="A1337" s="559">
        <v>1793</v>
      </c>
      <c r="B1337" s="664" t="s">
        <v>1125</v>
      </c>
      <c r="C1337" s="664" t="s">
        <v>281</v>
      </c>
      <c r="D1337" s="755">
        <v>111020</v>
      </c>
      <c r="E1337" s="736" t="s">
        <v>2582</v>
      </c>
      <c r="F1337" s="647" t="s">
        <v>58</v>
      </c>
      <c r="G1337" s="647" t="s">
        <v>24</v>
      </c>
      <c r="H1337" s="647" t="s">
        <v>26</v>
      </c>
      <c r="I1337" s="575" t="s">
        <v>2590</v>
      </c>
      <c r="J1337" s="575">
        <v>1</v>
      </c>
      <c r="K1337" s="647" t="s">
        <v>1419</v>
      </c>
      <c r="L1337" s="657">
        <v>44816</v>
      </c>
      <c r="M1337" s="717">
        <v>5.0900000000000001E-2</v>
      </c>
      <c r="N1337" s="647" t="s">
        <v>217</v>
      </c>
      <c r="O1337" s="575">
        <v>2022.8</v>
      </c>
      <c r="P1337" s="665" t="str">
        <f>VLOOKUP(A1337,'[1]Raw data'!$B:$BA,23,FALSE)</f>
        <v>RMB</v>
      </c>
      <c r="Q1337" s="647" t="str">
        <f>VLOOKUP(A1337,'[1]Raw data'!$B:$Z,2,FALSE)</f>
        <v>C49SZX20230008SS</v>
      </c>
      <c r="R1337" s="647" t="str">
        <f>VLOOKUP(A1337,'[1]Raw data'!$B:$Z,3,FALSE)</f>
        <v>蓝极光</v>
      </c>
      <c r="S1337" s="647" t="str">
        <f>VLOOKUP(A1337,'[1]Raw data'!$B:$Z,4,FALSE)</f>
        <v>YSM20R-2</v>
      </c>
      <c r="T1337" s="647" t="str">
        <f>VLOOKUP(A1337,'[1]Raw data'!$B:$Z,8,FALSE)</f>
        <v>L-&gt;R</v>
      </c>
      <c r="U1337" s="647" t="str">
        <f>VLOOKUP(A1337,'[1]Raw data'!$B:$Z,9,FALSE)</f>
        <v>No</v>
      </c>
      <c r="V1337" s="567" t="str">
        <f t="shared" si="302"/>
        <v>OK</v>
      </c>
      <c r="W1337" s="563" t="str">
        <f>VLOOKUP(A1337,'[1]Raw data'!$B:$AG,32,FALSE)</f>
        <v>DDP SZ</v>
      </c>
      <c r="X1337" s="647">
        <f>VLOOKUP(A1337,'[1]Raw data'!$B:$BA,31,FALSE)</f>
        <v>44925</v>
      </c>
      <c r="Y1337" s="647" t="str">
        <f>VLOOKUP(A1337,'[1]Raw data'!$B:$AS,39,FALSE)</f>
        <v>Yes</v>
      </c>
      <c r="Z1337" s="666"/>
      <c r="AA1337" s="660"/>
      <c r="AB1337" s="661"/>
      <c r="AC1337" s="647" t="s">
        <v>2591</v>
      </c>
      <c r="AD1337" s="662">
        <v>311</v>
      </c>
      <c r="AE1337" s="662">
        <v>10</v>
      </c>
      <c r="AF1337" s="662">
        <v>311</v>
      </c>
      <c r="AG1337" s="662">
        <v>10</v>
      </c>
      <c r="AH1337" s="662"/>
      <c r="AI1337" s="663"/>
      <c r="AN1337" s="542"/>
      <c r="AO1337" s="824" t="str">
        <f t="shared" si="284"/>
        <v>Yes</v>
      </c>
      <c r="AP1337" s="259" t="str">
        <f t="shared" si="285"/>
        <v>FEB 23</v>
      </c>
      <c r="AQ1337" s="542" t="str">
        <f t="shared" si="286"/>
        <v>有定金+有預留客戶</v>
      </c>
      <c r="AR1337" s="259" t="str">
        <f t="shared" si="287"/>
        <v>Shipped_Stock</v>
      </c>
      <c r="AS1337" s="259" t="str">
        <f t="shared" si="288"/>
        <v/>
      </c>
      <c r="AT1337" s="259" t="str">
        <f t="shared" si="289"/>
        <v>蓝极光</v>
      </c>
      <c r="AU1337" s="259" t="str">
        <f t="shared" si="290"/>
        <v>C49SZX20230008SS</v>
      </c>
      <c r="AV1337" s="259" t="str">
        <f t="shared" si="291"/>
        <v>Sep-12</v>
      </c>
    </row>
    <row r="1338" spans="1:48" hidden="1">
      <c r="A1338" s="559">
        <v>1794</v>
      </c>
      <c r="B1338" s="664" t="s">
        <v>1125</v>
      </c>
      <c r="C1338" s="664" t="s">
        <v>281</v>
      </c>
      <c r="D1338" s="755">
        <v>111020</v>
      </c>
      <c r="E1338" s="736" t="s">
        <v>2582</v>
      </c>
      <c r="F1338" s="647" t="s">
        <v>58</v>
      </c>
      <c r="G1338" s="647" t="s">
        <v>24</v>
      </c>
      <c r="H1338" s="647" t="s">
        <v>26</v>
      </c>
      <c r="I1338" s="575" t="s">
        <v>2592</v>
      </c>
      <c r="J1338" s="575">
        <v>1</v>
      </c>
      <c r="K1338" s="647" t="s">
        <v>1419</v>
      </c>
      <c r="L1338" s="657">
        <v>44816</v>
      </c>
      <c r="M1338" s="717">
        <v>5.1900000000000002E-2</v>
      </c>
      <c r="N1338" s="647" t="s">
        <v>217</v>
      </c>
      <c r="O1338" s="575">
        <v>2022.8</v>
      </c>
      <c r="P1338" s="665" t="str">
        <f>VLOOKUP(A1338,'[1]Raw data'!$B:$BA,23,FALSE)</f>
        <v>RMB</v>
      </c>
      <c r="Q1338" s="647" t="str">
        <f>VLOOKUP(A1338,'[1]Raw data'!$B:$Z,2,FALSE)</f>
        <v>C49SZX20230008SS</v>
      </c>
      <c r="R1338" s="647" t="str">
        <f>VLOOKUP(A1338,'[1]Raw data'!$B:$Z,3,FALSE)</f>
        <v>蓝极光</v>
      </c>
      <c r="S1338" s="647" t="str">
        <f>VLOOKUP(A1338,'[1]Raw data'!$B:$Z,4,FALSE)</f>
        <v>YSM20R-2</v>
      </c>
      <c r="T1338" s="647" t="str">
        <f>VLOOKUP(A1338,'[1]Raw data'!$B:$Z,8,FALSE)</f>
        <v>L-&gt;R</v>
      </c>
      <c r="U1338" s="647" t="str">
        <f>VLOOKUP(A1338,'[1]Raw data'!$B:$Z,9,FALSE)</f>
        <v>No</v>
      </c>
      <c r="V1338" s="567" t="str">
        <f t="shared" si="302"/>
        <v>OK</v>
      </c>
      <c r="W1338" s="563" t="str">
        <f>VLOOKUP(A1338,'[1]Raw data'!$B:$AG,32,FALSE)</f>
        <v>DDP SZ</v>
      </c>
      <c r="X1338" s="647">
        <f>VLOOKUP(A1338,'[1]Raw data'!$B:$BA,31,FALSE)</f>
        <v>44925</v>
      </c>
      <c r="Y1338" s="647" t="str">
        <f>VLOOKUP(A1338,'[1]Raw data'!$B:$AS,39,FALSE)</f>
        <v>Yes</v>
      </c>
      <c r="Z1338" s="666"/>
      <c r="AA1338" s="660"/>
      <c r="AB1338" s="661"/>
      <c r="AC1338" s="647" t="s">
        <v>2591</v>
      </c>
      <c r="AD1338" s="662">
        <v>311</v>
      </c>
      <c r="AE1338" s="662">
        <v>10</v>
      </c>
      <c r="AF1338" s="662">
        <v>311</v>
      </c>
      <c r="AG1338" s="662">
        <v>10</v>
      </c>
      <c r="AH1338" s="662"/>
      <c r="AI1338" s="663"/>
      <c r="AN1338" s="542"/>
      <c r="AO1338" s="824" t="str">
        <f t="shared" si="284"/>
        <v>Yes</v>
      </c>
      <c r="AP1338" s="259" t="str">
        <f t="shared" si="285"/>
        <v>FEB 23</v>
      </c>
      <c r="AQ1338" s="542" t="str">
        <f t="shared" si="286"/>
        <v>有定金+有預留客戶</v>
      </c>
      <c r="AR1338" s="259" t="str">
        <f t="shared" si="287"/>
        <v>Shipped_Stock</v>
      </c>
      <c r="AS1338" s="259" t="str">
        <f t="shared" si="288"/>
        <v/>
      </c>
      <c r="AT1338" s="259" t="str">
        <f t="shared" si="289"/>
        <v>蓝极光</v>
      </c>
      <c r="AU1338" s="259" t="str">
        <f t="shared" si="290"/>
        <v>C49SZX20230008SS</v>
      </c>
      <c r="AV1338" s="259" t="str">
        <f t="shared" si="291"/>
        <v>Sep-12</v>
      </c>
    </row>
    <row r="1339" spans="1:48" ht="13.5" hidden="1" thickBot="1">
      <c r="A1339" s="599">
        <v>1754</v>
      </c>
      <c r="B1339" s="664" t="s">
        <v>1125</v>
      </c>
      <c r="C1339" s="664" t="s">
        <v>281</v>
      </c>
      <c r="D1339" s="624">
        <v>111020</v>
      </c>
      <c r="E1339" s="736" t="s">
        <v>2582</v>
      </c>
      <c r="F1339" s="647" t="s">
        <v>58</v>
      </c>
      <c r="G1339" s="647" t="s">
        <v>18</v>
      </c>
      <c r="H1339" s="647" t="s">
        <v>26</v>
      </c>
      <c r="I1339" s="575" t="s">
        <v>2593</v>
      </c>
      <c r="J1339" s="575">
        <v>1</v>
      </c>
      <c r="K1339" s="647" t="s">
        <v>1419</v>
      </c>
      <c r="L1339" s="657">
        <v>44816</v>
      </c>
      <c r="M1339" s="717">
        <v>5.1900000000000002E-2</v>
      </c>
      <c r="N1339" s="647" t="s">
        <v>208</v>
      </c>
      <c r="O1339" s="575">
        <v>2022.8</v>
      </c>
      <c r="P1339" s="665" t="str">
        <f>VLOOKUP(A1339,'[1]Raw data'!$B:$BA,23,FALSE)</f>
        <v>RMB</v>
      </c>
      <c r="Q1339" s="647" t="str">
        <f>VLOOKUP(A1339,'[1]Raw data'!$B:$Z,2,FALSE)</f>
        <v>C49SZX20220119DZ</v>
      </c>
      <c r="R1339" s="647" t="str">
        <f>VLOOKUP(A1339,'[1]Raw data'!$B:$Z,3,FALSE)</f>
        <v>深圳健科</v>
      </c>
      <c r="S1339" s="647" t="str">
        <f>VLOOKUP(A1339,'[1]Raw data'!$B:$Z,4,FALSE)</f>
        <v>YSM20R-2</v>
      </c>
      <c r="T1339" s="647" t="str">
        <f>VLOOKUP(A1339,'[1]Raw data'!$B:$Z,8,FALSE)</f>
        <v>R-&gt;L</v>
      </c>
      <c r="U1339" s="647" t="str">
        <f>VLOOKUP(A1339,'[1]Raw data'!$B:$Z,9,FALSE)</f>
        <v>No</v>
      </c>
      <c r="V1339" s="567" t="str">
        <f t="shared" si="302"/>
        <v>OK</v>
      </c>
      <c r="W1339" s="563" t="str">
        <f>VLOOKUP(A1339,'[1]Raw data'!$B:$AG,32,FALSE)</f>
        <v>DDP SZ</v>
      </c>
      <c r="X1339" s="647">
        <f>VLOOKUP(A1339,'[1]Raw data'!$B:$BA,31,FALSE)</f>
        <v>44879</v>
      </c>
      <c r="Y1339" s="647" t="str">
        <f>VLOOKUP(A1339,'[1]Raw data'!$B:$AS,39,FALSE)</f>
        <v>Yes</v>
      </c>
      <c r="Z1339" s="666"/>
      <c r="AA1339" s="660"/>
      <c r="AB1339" s="661"/>
      <c r="AC1339" s="647" t="s">
        <v>654</v>
      </c>
      <c r="AD1339" s="575">
        <v>311</v>
      </c>
      <c r="AE1339" s="575">
        <v>10</v>
      </c>
      <c r="AF1339" s="575">
        <v>311</v>
      </c>
      <c r="AG1339" s="575">
        <v>10</v>
      </c>
      <c r="AH1339" s="575"/>
      <c r="AI1339" s="679"/>
      <c r="AJ1339" s="564"/>
      <c r="AK1339" s="564"/>
      <c r="AL1339" s="564"/>
      <c r="AM1339" s="564"/>
      <c r="AN1339" s="614"/>
      <c r="AO1339" s="824" t="str">
        <f t="shared" si="284"/>
        <v>Yes</v>
      </c>
      <c r="AP1339" s="259" t="str">
        <f t="shared" si="285"/>
        <v>NOV 22</v>
      </c>
      <c r="AQ1339" s="542" t="str">
        <f t="shared" si="286"/>
        <v>有定金+有預留客戶</v>
      </c>
      <c r="AR1339" s="259" t="str">
        <f t="shared" si="287"/>
        <v>Shipped_Stock</v>
      </c>
      <c r="AS1339" s="259" t="str">
        <f t="shared" si="288"/>
        <v/>
      </c>
      <c r="AT1339" s="259" t="str">
        <f t="shared" si="289"/>
        <v>深圳健科</v>
      </c>
      <c r="AU1339" s="259" t="str">
        <f t="shared" si="290"/>
        <v>C49SZX20220119DZ</v>
      </c>
      <c r="AV1339" s="259" t="str">
        <f t="shared" si="291"/>
        <v>Sep-12</v>
      </c>
    </row>
    <row r="1340" spans="1:48" hidden="1">
      <c r="A1340" s="599">
        <v>1641</v>
      </c>
      <c r="B1340" s="664" t="s">
        <v>1125</v>
      </c>
      <c r="C1340" s="664" t="s">
        <v>281</v>
      </c>
      <c r="D1340" s="755">
        <v>111053</v>
      </c>
      <c r="E1340" s="744" t="s">
        <v>2594</v>
      </c>
      <c r="F1340" s="647" t="s">
        <v>17</v>
      </c>
      <c r="G1340" s="647" t="s">
        <v>18</v>
      </c>
      <c r="H1340" s="647" t="s">
        <v>102</v>
      </c>
      <c r="I1340" s="575" t="s">
        <v>2595</v>
      </c>
      <c r="J1340" s="575">
        <v>1</v>
      </c>
      <c r="K1340" s="647" t="s">
        <v>78</v>
      </c>
      <c r="L1340" s="657">
        <v>44830</v>
      </c>
      <c r="M1340" s="717">
        <v>5.1900000000000002E-2</v>
      </c>
      <c r="N1340" s="647" t="s">
        <v>215</v>
      </c>
      <c r="O1340" s="575">
        <v>2022.8</v>
      </c>
      <c r="P1340" s="665" t="str">
        <f>VLOOKUP(A1340,'[1]Raw data'!$B:$BA,23,FALSE)</f>
        <v>JPY</v>
      </c>
      <c r="Q1340" s="647" t="str">
        <f>VLOOKUP(A1340,'[1]Raw data'!$B:$Z,2,FALSE)</f>
        <v>C49SZX20220124JL</v>
      </c>
      <c r="R1340" s="647" t="str">
        <f>VLOOKUP(A1340,'[1]Raw data'!$B:$Z,3,FALSE)</f>
        <v>金睿通</v>
      </c>
      <c r="S1340" s="647" t="str">
        <f>VLOOKUP(A1340,'[1]Raw data'!$B:$Z,4,FALSE)</f>
        <v>YSM10</v>
      </c>
      <c r="T1340" s="647" t="str">
        <f>VLOOKUP(A1340,'[1]Raw data'!$B:$Z,8,FALSE)</f>
        <v>L-&gt;R</v>
      </c>
      <c r="U1340" s="647" t="str">
        <f>VLOOKUP(A1340,'[1]Raw data'!$B:$Z,9,FALSE)</f>
        <v>MVC</v>
      </c>
      <c r="V1340" s="567" t="str">
        <f t="shared" ref="V1340:V1348" si="303">IF(G1340&amp;H1340=T1340&amp;U1340,"OK","WRONG")</f>
        <v>WRONG</v>
      </c>
      <c r="W1340" s="563" t="str">
        <f>VLOOKUP(A1340,'[1]Raw data'!$B:$AG,32,FALSE)</f>
        <v>CIF HK</v>
      </c>
      <c r="X1340" s="647">
        <f>VLOOKUP(A1340,'[1]Raw data'!$B:$BA,31,FALSE)</f>
        <v>44895</v>
      </c>
      <c r="Y1340" s="647" t="str">
        <f>VLOOKUP(A1340,'[1]Raw data'!$B:$AS,39,FALSE)</f>
        <v>Yes</v>
      </c>
      <c r="Z1340" s="666"/>
      <c r="AA1340" s="660"/>
      <c r="AB1340" s="661"/>
      <c r="AC1340" s="647" t="s">
        <v>2556</v>
      </c>
      <c r="AD1340" s="575">
        <v>301</v>
      </c>
      <c r="AE1340" s="575">
        <v>5</v>
      </c>
      <c r="AF1340" s="575">
        <v>302</v>
      </c>
      <c r="AG1340" s="575">
        <v>5</v>
      </c>
      <c r="AH1340" s="575"/>
      <c r="AI1340" s="679"/>
      <c r="AJ1340" s="564"/>
      <c r="AK1340" s="564"/>
      <c r="AL1340" s="564"/>
      <c r="AM1340" s="564"/>
      <c r="AN1340" s="614"/>
      <c r="AO1340" s="824" t="str">
        <f t="shared" si="284"/>
        <v>Yes</v>
      </c>
      <c r="AP1340" s="259" t="str">
        <f t="shared" si="285"/>
        <v>JAN 23</v>
      </c>
      <c r="AQ1340" s="542" t="str">
        <f t="shared" si="286"/>
        <v>有定金+有預留客戶</v>
      </c>
      <c r="AR1340" s="259" t="str">
        <f t="shared" si="287"/>
        <v>Shipped_Stock</v>
      </c>
      <c r="AS1340" s="259" t="str">
        <f t="shared" si="288"/>
        <v/>
      </c>
      <c r="AT1340" s="259" t="str">
        <f t="shared" si="289"/>
        <v>金睿通</v>
      </c>
      <c r="AU1340" s="259" t="str">
        <f t="shared" si="290"/>
        <v>C49SZX20220124JL</v>
      </c>
      <c r="AV1340" s="259" t="str">
        <f t="shared" si="291"/>
        <v>Sep-26</v>
      </c>
    </row>
    <row r="1341" spans="1:48" hidden="1">
      <c r="A1341" s="559">
        <v>1693</v>
      </c>
      <c r="B1341" s="664" t="s">
        <v>1125</v>
      </c>
      <c r="C1341" s="664" t="s">
        <v>281</v>
      </c>
      <c r="D1341" s="755">
        <v>111053</v>
      </c>
      <c r="E1341" s="744" t="s">
        <v>2594</v>
      </c>
      <c r="F1341" s="647" t="s">
        <v>17</v>
      </c>
      <c r="G1341" s="647" t="s">
        <v>18</v>
      </c>
      <c r="H1341" s="647" t="s">
        <v>102</v>
      </c>
      <c r="I1341" s="575" t="s">
        <v>2596</v>
      </c>
      <c r="J1341" s="575">
        <v>1</v>
      </c>
      <c r="K1341" s="647" t="s">
        <v>78</v>
      </c>
      <c r="L1341" s="657">
        <v>44830</v>
      </c>
      <c r="M1341" s="717">
        <v>5.1900000000000002E-2</v>
      </c>
      <c r="N1341" s="647" t="s">
        <v>215</v>
      </c>
      <c r="O1341" s="575">
        <v>2022.8</v>
      </c>
      <c r="P1341" s="665" t="str">
        <f>VLOOKUP(A1341,'[1]Raw data'!$B:$BA,23,FALSE)</f>
        <v>JPY</v>
      </c>
      <c r="Q1341" s="647" t="str">
        <f>VLOOKUP(A1341,'[1]Raw data'!$B:$Z,2,FALSE)</f>
        <v>C49SZX20220070JY</v>
      </c>
      <c r="R1341" s="647" t="str">
        <f>VLOOKUP(A1341,'[1]Raw data'!$B:$Z,3,FALSE)</f>
        <v>宏翔福</v>
      </c>
      <c r="S1341" s="647" t="str">
        <f>VLOOKUP(A1341,'[1]Raw data'!$B:$Z,4,FALSE)</f>
        <v>YSM10</v>
      </c>
      <c r="T1341" s="647" t="str">
        <f>VLOOKUP(A1341,'[1]Raw data'!$B:$Z,8,FALSE)</f>
        <v>R-&gt;L</v>
      </c>
      <c r="U1341" s="647" t="str">
        <f>VLOOKUP(A1341,'[1]Raw data'!$B:$Z,9,FALSE)</f>
        <v>MVC</v>
      </c>
      <c r="V1341" s="567" t="str">
        <f t="shared" si="303"/>
        <v>WRONG</v>
      </c>
      <c r="W1341" s="563" t="str">
        <f>VLOOKUP(A1341,'[1]Raw data'!$B:$AG,32,FALSE)</f>
        <v>CIF HK</v>
      </c>
      <c r="X1341" s="647">
        <f>VLOOKUP(A1341,'[1]Raw data'!$B:$BA,31,FALSE)</f>
        <v>44740</v>
      </c>
      <c r="Y1341" s="647" t="str">
        <f>VLOOKUP(A1341,'[1]Raw data'!$B:$AS,39,FALSE)</f>
        <v>Yes</v>
      </c>
      <c r="Z1341" s="666"/>
      <c r="AA1341" s="660"/>
      <c r="AB1341" s="661"/>
      <c r="AC1341" s="647" t="s">
        <v>2597</v>
      </c>
      <c r="AD1341" s="662">
        <v>301</v>
      </c>
      <c r="AE1341" s="662">
        <v>5</v>
      </c>
      <c r="AF1341" s="662">
        <v>302</v>
      </c>
      <c r="AG1341" s="662">
        <v>5</v>
      </c>
      <c r="AH1341" s="662"/>
      <c r="AI1341" s="663"/>
      <c r="AN1341" s="542"/>
      <c r="AO1341" s="824" t="str">
        <f t="shared" si="284"/>
        <v>Yes</v>
      </c>
      <c r="AP1341" s="259" t="str">
        <f t="shared" si="285"/>
        <v>JAN 23</v>
      </c>
      <c r="AQ1341" s="542" t="str">
        <f t="shared" si="286"/>
        <v>有定金+有預留客戶</v>
      </c>
      <c r="AR1341" s="259" t="str">
        <f t="shared" si="287"/>
        <v>Shipped_Stock</v>
      </c>
      <c r="AS1341" s="259" t="str">
        <f t="shared" si="288"/>
        <v/>
      </c>
      <c r="AT1341" s="259" t="str">
        <f t="shared" si="289"/>
        <v>宏翔福</v>
      </c>
      <c r="AU1341" s="259" t="str">
        <f t="shared" si="290"/>
        <v>C49SZX20220070JY</v>
      </c>
      <c r="AV1341" s="259" t="str">
        <f t="shared" si="291"/>
        <v>Sep-26</v>
      </c>
    </row>
    <row r="1342" spans="1:48" hidden="1">
      <c r="A1342" s="559">
        <v>1692</v>
      </c>
      <c r="B1342" s="664" t="s">
        <v>1125</v>
      </c>
      <c r="C1342" s="664" t="s">
        <v>281</v>
      </c>
      <c r="D1342" s="755">
        <v>111053</v>
      </c>
      <c r="E1342" s="744" t="s">
        <v>2594</v>
      </c>
      <c r="F1342" s="647" t="s">
        <v>17</v>
      </c>
      <c r="G1342" s="647" t="s">
        <v>18</v>
      </c>
      <c r="H1342" s="647" t="s">
        <v>102</v>
      </c>
      <c r="I1342" s="575" t="s">
        <v>2598</v>
      </c>
      <c r="J1342" s="575">
        <v>1</v>
      </c>
      <c r="K1342" s="647" t="s">
        <v>78</v>
      </c>
      <c r="L1342" s="657">
        <v>44830</v>
      </c>
      <c r="M1342" s="717">
        <v>5.1900000000000002E-2</v>
      </c>
      <c r="N1342" s="647" t="s">
        <v>215</v>
      </c>
      <c r="O1342" s="575">
        <v>2022.8</v>
      </c>
      <c r="P1342" s="665" t="str">
        <f>VLOOKUP(A1342,'[1]Raw data'!$B:$BA,23,FALSE)</f>
        <v>JPY</v>
      </c>
      <c r="Q1342" s="647" t="str">
        <f>VLOOKUP(A1342,'[1]Raw data'!$B:$Z,2,FALSE)</f>
        <v>C49SZX20220070JY</v>
      </c>
      <c r="R1342" s="647" t="str">
        <f>VLOOKUP(A1342,'[1]Raw data'!$B:$Z,3,FALSE)</f>
        <v>宏翔福</v>
      </c>
      <c r="S1342" s="647" t="str">
        <f>VLOOKUP(A1342,'[1]Raw data'!$B:$Z,4,FALSE)</f>
        <v>YSM10</v>
      </c>
      <c r="T1342" s="647" t="str">
        <f>VLOOKUP(A1342,'[1]Raw data'!$B:$Z,8,FALSE)</f>
        <v>L-&gt;R</v>
      </c>
      <c r="U1342" s="647" t="str">
        <f>VLOOKUP(A1342,'[1]Raw data'!$B:$Z,9,FALSE)</f>
        <v>MVC</v>
      </c>
      <c r="V1342" s="567" t="str">
        <f t="shared" si="303"/>
        <v>WRONG</v>
      </c>
      <c r="W1342" s="563" t="str">
        <f>VLOOKUP(A1342,'[1]Raw data'!$B:$AG,32,FALSE)</f>
        <v>CIF HK</v>
      </c>
      <c r="X1342" s="647">
        <f>VLOOKUP(A1342,'[1]Raw data'!$B:$BA,31,FALSE)</f>
        <v>44740</v>
      </c>
      <c r="Y1342" s="647" t="str">
        <f>VLOOKUP(A1342,'[1]Raw data'!$B:$AS,39,FALSE)</f>
        <v>Yes</v>
      </c>
      <c r="Z1342" s="666"/>
      <c r="AA1342" s="660"/>
      <c r="AB1342" s="661"/>
      <c r="AC1342" s="647" t="s">
        <v>2597</v>
      </c>
      <c r="AD1342" s="662">
        <v>301</v>
      </c>
      <c r="AE1342" s="662">
        <v>5</v>
      </c>
      <c r="AF1342" s="662">
        <v>302</v>
      </c>
      <c r="AG1342" s="662">
        <v>5</v>
      </c>
      <c r="AH1342" s="662"/>
      <c r="AI1342" s="663"/>
      <c r="AN1342" s="542"/>
      <c r="AO1342" s="824" t="str">
        <f t="shared" si="284"/>
        <v>Yes</v>
      </c>
      <c r="AP1342" s="259" t="str">
        <f t="shared" si="285"/>
        <v>JAN 23</v>
      </c>
      <c r="AQ1342" s="542" t="str">
        <f t="shared" si="286"/>
        <v>有定金+有預留客戶</v>
      </c>
      <c r="AR1342" s="259" t="str">
        <f t="shared" si="287"/>
        <v>Shipped_Stock</v>
      </c>
      <c r="AS1342" s="259" t="str">
        <f t="shared" si="288"/>
        <v/>
      </c>
      <c r="AT1342" s="259" t="str">
        <f t="shared" si="289"/>
        <v>宏翔福</v>
      </c>
      <c r="AU1342" s="259" t="str">
        <f t="shared" si="290"/>
        <v>C49SZX20220070JY</v>
      </c>
      <c r="AV1342" s="259" t="str">
        <f t="shared" si="291"/>
        <v>Sep-26</v>
      </c>
    </row>
    <row r="1343" spans="1:48" ht="13.5" hidden="1" thickBot="1">
      <c r="A1343" s="559">
        <v>1871</v>
      </c>
      <c r="B1343" s="664" t="s">
        <v>1125</v>
      </c>
      <c r="C1343" s="664" t="s">
        <v>281</v>
      </c>
      <c r="D1343" s="624">
        <v>111051</v>
      </c>
      <c r="E1343" s="736" t="s">
        <v>2337</v>
      </c>
      <c r="F1343" s="647" t="s">
        <v>58</v>
      </c>
      <c r="G1343" s="647" t="s">
        <v>24</v>
      </c>
      <c r="H1343" s="647" t="s">
        <v>26</v>
      </c>
      <c r="I1343" s="575" t="s">
        <v>2599</v>
      </c>
      <c r="J1343" s="575">
        <v>1</v>
      </c>
      <c r="K1343" s="647" t="s">
        <v>2407</v>
      </c>
      <c r="L1343" s="657">
        <v>44830</v>
      </c>
      <c r="M1343" s="791">
        <v>5.1700000000000003E-2</v>
      </c>
      <c r="N1343" s="647" t="s">
        <v>216</v>
      </c>
      <c r="O1343" s="575">
        <v>2022.9</v>
      </c>
      <c r="P1343" s="665" t="str">
        <f>VLOOKUP(A1343,'[1]Raw data'!$B:$BA,23,FALSE)</f>
        <v>RMB</v>
      </c>
      <c r="Q1343" s="647" t="str">
        <f>VLOOKUP(A1343,'[1]Raw data'!$B:$Z,2,FALSE)</f>
        <v>C49SZX20230040JY</v>
      </c>
      <c r="R1343" s="647" t="str">
        <f>VLOOKUP(A1343,'[1]Raw data'!$B:$Z,3,FALSE)</f>
        <v>百纳海</v>
      </c>
      <c r="S1343" s="647" t="str">
        <f>VLOOKUP(A1343,'[1]Raw data'!$B:$Z,4,FALSE)</f>
        <v>YSM20R-2</v>
      </c>
      <c r="T1343" s="647" t="str">
        <f>VLOOKUP(A1343,'[1]Raw data'!$B:$Z,8,FALSE)</f>
        <v>L-&gt;R</v>
      </c>
      <c r="U1343" s="647" t="str">
        <f>VLOOKUP(A1343,'[1]Raw data'!$B:$Z,9,FALSE)</f>
        <v>No</v>
      </c>
      <c r="V1343" s="567" t="str">
        <f t="shared" si="303"/>
        <v>OK</v>
      </c>
      <c r="W1343" s="563" t="str">
        <f>VLOOKUP(A1343,'[1]Raw data'!$B:$AG,32,FALSE)</f>
        <v>DDP SZ</v>
      </c>
      <c r="X1343" s="647">
        <f>VLOOKUP(A1343,'[1]Raw data'!$B:$BA,31,FALSE)</f>
        <v>44995</v>
      </c>
      <c r="Y1343" s="647" t="str">
        <f>VLOOKUP(A1343,'[1]Raw data'!$B:$AS,39,FALSE)</f>
        <v>Yes</v>
      </c>
      <c r="Z1343" s="659"/>
      <c r="AA1343" s="710"/>
      <c r="AB1343" s="662"/>
      <c r="AC1343" s="575" t="s">
        <v>2600</v>
      </c>
      <c r="AD1343" s="662">
        <v>301</v>
      </c>
      <c r="AE1343" s="662">
        <v>10</v>
      </c>
      <c r="AF1343" s="662">
        <v>311</v>
      </c>
      <c r="AG1343" s="663">
        <v>5</v>
      </c>
      <c r="AH1343" s="571">
        <v>312</v>
      </c>
      <c r="AI1343" s="571">
        <v>5</v>
      </c>
      <c r="AL1343" s="542"/>
      <c r="AM1343" s="542"/>
      <c r="AN1343" s="542"/>
      <c r="AO1343" s="824" t="str">
        <f t="shared" si="284"/>
        <v>Yes</v>
      </c>
      <c r="AP1343" s="259" t="str">
        <f t="shared" si="285"/>
        <v>MAR 23</v>
      </c>
      <c r="AQ1343" s="542" t="str">
        <f t="shared" si="286"/>
        <v>有定金+有預留客戶</v>
      </c>
      <c r="AR1343" s="259" t="str">
        <f t="shared" si="287"/>
        <v>Shipped_Stock</v>
      </c>
      <c r="AS1343" s="259" t="str">
        <f t="shared" si="288"/>
        <v/>
      </c>
      <c r="AT1343" s="259" t="str">
        <f t="shared" si="289"/>
        <v>百纳海</v>
      </c>
      <c r="AU1343" s="259" t="str">
        <f t="shared" si="290"/>
        <v>C49SZX20230040JY</v>
      </c>
      <c r="AV1343" s="259" t="str">
        <f t="shared" si="291"/>
        <v>Sep-26</v>
      </c>
    </row>
    <row r="1344" spans="1:48" ht="13.5" hidden="1" thickBot="1">
      <c r="A1344" s="559">
        <v>1872</v>
      </c>
      <c r="B1344" s="664" t="s">
        <v>1125</v>
      </c>
      <c r="C1344" s="664" t="s">
        <v>281</v>
      </c>
      <c r="D1344" s="624">
        <v>111051</v>
      </c>
      <c r="E1344" s="736" t="s">
        <v>2337</v>
      </c>
      <c r="F1344" s="647" t="s">
        <v>58</v>
      </c>
      <c r="G1344" s="647" t="s">
        <v>24</v>
      </c>
      <c r="H1344" s="647" t="s">
        <v>26</v>
      </c>
      <c r="I1344" s="575" t="s">
        <v>2601</v>
      </c>
      <c r="J1344" s="575">
        <v>1</v>
      </c>
      <c r="K1344" s="647" t="s">
        <v>2407</v>
      </c>
      <c r="L1344" s="657">
        <v>44830</v>
      </c>
      <c r="M1344" s="717">
        <v>5.1700000000000003E-2</v>
      </c>
      <c r="N1344" s="647" t="s">
        <v>216</v>
      </c>
      <c r="O1344" s="575">
        <v>2022.9</v>
      </c>
      <c r="P1344" s="665" t="str">
        <f>VLOOKUP(A1344,'[1]Raw data'!$B:$BA,23,FALSE)</f>
        <v>RMB</v>
      </c>
      <c r="Q1344" s="647" t="str">
        <f>VLOOKUP(A1344,'[1]Raw data'!$B:$Z,2,FALSE)</f>
        <v>C49SZX20230040JY</v>
      </c>
      <c r="R1344" s="647" t="str">
        <f>VLOOKUP(A1344,'[1]Raw data'!$B:$Z,3,FALSE)</f>
        <v>百纳海</v>
      </c>
      <c r="S1344" s="647" t="str">
        <f>VLOOKUP(A1344,'[1]Raw data'!$B:$Z,4,FALSE)</f>
        <v>YSM20R-2</v>
      </c>
      <c r="T1344" s="647" t="str">
        <f>VLOOKUP(A1344,'[1]Raw data'!$B:$Z,8,FALSE)</f>
        <v>L-&gt;R</v>
      </c>
      <c r="U1344" s="647" t="str">
        <f>VLOOKUP(A1344,'[1]Raw data'!$B:$Z,9,FALSE)</f>
        <v>No</v>
      </c>
      <c r="V1344" s="567" t="str">
        <f t="shared" si="303"/>
        <v>OK</v>
      </c>
      <c r="W1344" s="563" t="str">
        <f>VLOOKUP(A1344,'[1]Raw data'!$B:$AG,32,FALSE)</f>
        <v>DDP SZ</v>
      </c>
      <c r="X1344" s="647">
        <f>VLOOKUP(A1344,'[1]Raw data'!$B:$BA,31,FALSE)</f>
        <v>44995</v>
      </c>
      <c r="Y1344" s="647" t="str">
        <f>VLOOKUP(A1344,'[1]Raw data'!$B:$AS,39,FALSE)</f>
        <v>Yes</v>
      </c>
      <c r="Z1344" s="659"/>
      <c r="AA1344" s="662"/>
      <c r="AB1344" s="662"/>
      <c r="AC1344" s="575" t="s">
        <v>2600</v>
      </c>
      <c r="AD1344" s="662">
        <v>301</v>
      </c>
      <c r="AE1344" s="663">
        <v>10</v>
      </c>
      <c r="AF1344" s="571">
        <v>311</v>
      </c>
      <c r="AG1344" s="571">
        <v>5</v>
      </c>
      <c r="AH1344" s="571">
        <v>312</v>
      </c>
      <c r="AI1344" s="571">
        <v>5</v>
      </c>
      <c r="AJ1344" s="542"/>
      <c r="AK1344" s="542"/>
      <c r="AL1344" s="542"/>
      <c r="AM1344" s="542"/>
      <c r="AN1344" s="542"/>
      <c r="AO1344" s="824" t="str">
        <f t="shared" si="284"/>
        <v>Yes</v>
      </c>
      <c r="AP1344" s="259" t="str">
        <f t="shared" si="285"/>
        <v>MAR 23</v>
      </c>
      <c r="AQ1344" s="542" t="str">
        <f t="shared" si="286"/>
        <v>有定金+有預留客戶</v>
      </c>
      <c r="AR1344" s="259" t="str">
        <f t="shared" si="287"/>
        <v>Shipped_Stock</v>
      </c>
      <c r="AS1344" s="259" t="str">
        <f t="shared" si="288"/>
        <v/>
      </c>
      <c r="AT1344" s="259" t="str">
        <f t="shared" si="289"/>
        <v>百纳海</v>
      </c>
      <c r="AU1344" s="259" t="str">
        <f t="shared" si="290"/>
        <v>C49SZX20230040JY</v>
      </c>
      <c r="AV1344" s="259" t="str">
        <f t="shared" si="291"/>
        <v>Sep-26</v>
      </c>
    </row>
    <row r="1345" spans="1:48" hidden="1">
      <c r="A1345" s="599">
        <v>1848</v>
      </c>
      <c r="B1345" s="664" t="s">
        <v>1125</v>
      </c>
      <c r="C1345" s="664" t="s">
        <v>281</v>
      </c>
      <c r="D1345" s="761">
        <v>111051</v>
      </c>
      <c r="E1345" s="744" t="s">
        <v>2337</v>
      </c>
      <c r="F1345" s="647" t="s">
        <v>58</v>
      </c>
      <c r="G1345" s="647" t="s">
        <v>24</v>
      </c>
      <c r="H1345" s="647" t="s">
        <v>26</v>
      </c>
      <c r="I1345" s="575" t="s">
        <v>2602</v>
      </c>
      <c r="J1345" s="575">
        <v>1</v>
      </c>
      <c r="K1345" s="647" t="s">
        <v>2603</v>
      </c>
      <c r="L1345" s="657">
        <v>44830</v>
      </c>
      <c r="M1345" s="717">
        <v>5.1700000000000003E-2</v>
      </c>
      <c r="N1345" s="647" t="s">
        <v>216</v>
      </c>
      <c r="O1345" s="575">
        <v>2022.9</v>
      </c>
      <c r="P1345" s="665" t="str">
        <f>VLOOKUP(A1345,'[1]Raw data'!$B:$BA,23,FALSE)</f>
        <v>RMB</v>
      </c>
      <c r="Q1345" s="647" t="str">
        <f>VLOOKUP(A1345,'[1]Raw data'!$B:$Z,2,FALSE)</f>
        <v>C49SZX20230024MZ</v>
      </c>
      <c r="R1345" s="647" t="str">
        <f>VLOOKUP(A1345,'[1]Raw data'!$B:$Z,3,FALSE)</f>
        <v>斯路迅</v>
      </c>
      <c r="S1345" s="647" t="str">
        <f>VLOOKUP(A1345,'[1]Raw data'!$B:$Z,4,FALSE)</f>
        <v>YSM20R-2</v>
      </c>
      <c r="T1345" s="647" t="str">
        <f>VLOOKUP(A1345,'[1]Raw data'!$B:$Z,8,FALSE)</f>
        <v>L-&gt;R</v>
      </c>
      <c r="U1345" s="647" t="str">
        <f>VLOOKUP(A1345,'[1]Raw data'!$B:$Z,9,FALSE)</f>
        <v>No</v>
      </c>
      <c r="V1345" s="567" t="str">
        <f t="shared" si="303"/>
        <v>OK</v>
      </c>
      <c r="W1345" s="563" t="str">
        <f>VLOOKUP(A1345,'[1]Raw data'!$B:$AG,32,FALSE)</f>
        <v>DDP SZ</v>
      </c>
      <c r="X1345" s="647">
        <f>VLOOKUP(A1345,'[1]Raw data'!$B:$BA,31,FALSE)</f>
        <v>44978</v>
      </c>
      <c r="Y1345" s="647" t="str">
        <f>VLOOKUP(A1345,'[1]Raw data'!$B:$AS,39,FALSE)</f>
        <v>Yes</v>
      </c>
      <c r="Z1345" s="666"/>
      <c r="AA1345" s="660"/>
      <c r="AB1345" s="661"/>
      <c r="AC1345" s="647" t="s">
        <v>2533</v>
      </c>
      <c r="AD1345" s="575">
        <v>301</v>
      </c>
      <c r="AE1345" s="575">
        <v>10</v>
      </c>
      <c r="AF1345" s="575">
        <v>311</v>
      </c>
      <c r="AG1345" s="575">
        <v>5</v>
      </c>
      <c r="AH1345" s="575">
        <v>312</v>
      </c>
      <c r="AI1345" s="575">
        <v>5</v>
      </c>
      <c r="AJ1345" s="564"/>
      <c r="AK1345" s="564"/>
      <c r="AL1345" s="564"/>
      <c r="AM1345" s="564"/>
      <c r="AN1345" s="614"/>
      <c r="AO1345" s="824" t="str">
        <f t="shared" si="284"/>
        <v>Yes</v>
      </c>
      <c r="AP1345" s="259" t="str">
        <f t="shared" si="285"/>
        <v>MAR 23</v>
      </c>
      <c r="AQ1345" s="542" t="str">
        <f t="shared" si="286"/>
        <v>有定金+有預留客戶</v>
      </c>
      <c r="AR1345" s="259" t="str">
        <f t="shared" si="287"/>
        <v>Shipped_Stock</v>
      </c>
      <c r="AS1345" s="259" t="str">
        <f t="shared" si="288"/>
        <v/>
      </c>
      <c r="AT1345" s="259" t="str">
        <f t="shared" si="289"/>
        <v>斯路迅</v>
      </c>
      <c r="AU1345" s="259" t="str">
        <f t="shared" si="290"/>
        <v>C49SZX20230024MZ</v>
      </c>
      <c r="AV1345" s="259" t="str">
        <f t="shared" si="291"/>
        <v>Sep-26</v>
      </c>
    </row>
    <row r="1346" spans="1:48" hidden="1">
      <c r="A1346" s="599">
        <v>1860</v>
      </c>
      <c r="B1346" s="664" t="s">
        <v>1125</v>
      </c>
      <c r="C1346" s="664" t="s">
        <v>281</v>
      </c>
      <c r="D1346" s="755">
        <v>111051</v>
      </c>
      <c r="E1346" s="744" t="s">
        <v>2337</v>
      </c>
      <c r="F1346" s="647" t="s">
        <v>58</v>
      </c>
      <c r="G1346" s="647" t="s">
        <v>24</v>
      </c>
      <c r="H1346" s="647" t="s">
        <v>26</v>
      </c>
      <c r="I1346" s="575" t="s">
        <v>2604</v>
      </c>
      <c r="J1346" s="575">
        <v>1</v>
      </c>
      <c r="K1346" s="647" t="s">
        <v>2407</v>
      </c>
      <c r="L1346" s="657">
        <v>44830</v>
      </c>
      <c r="M1346" s="717">
        <v>5.1700000000000003E-2</v>
      </c>
      <c r="N1346" s="647" t="s">
        <v>216</v>
      </c>
      <c r="O1346" s="575">
        <v>2022.9</v>
      </c>
      <c r="P1346" s="665" t="str">
        <f>VLOOKUP(A1346,'[1]Raw data'!$B:$BA,23,FALSE)</f>
        <v>RMB</v>
      </c>
      <c r="Q1346" s="647" t="str">
        <f>VLOOKUP(A1346,'[1]Raw data'!$B:$Z,2,FALSE)</f>
        <v>C49SZX20230032R1SS</v>
      </c>
      <c r="R1346" s="647" t="str">
        <f>VLOOKUP(A1346,'[1]Raw data'!$B:$Z,3,FALSE)</f>
        <v>四川三创（End use:阿姆斯特）</v>
      </c>
      <c r="S1346" s="647" t="str">
        <f>VLOOKUP(A1346,'[1]Raw data'!$B:$Z,4,FALSE)</f>
        <v>YSM20R-2</v>
      </c>
      <c r="T1346" s="647" t="str">
        <f>VLOOKUP(A1346,'[1]Raw data'!$B:$Z,8,FALSE)</f>
        <v>L-&gt;R</v>
      </c>
      <c r="U1346" s="647" t="str">
        <f>VLOOKUP(A1346,'[1]Raw data'!$B:$Z,9,FALSE)</f>
        <v>No</v>
      </c>
      <c r="V1346" s="567" t="str">
        <f t="shared" si="303"/>
        <v>OK</v>
      </c>
      <c r="W1346" s="563" t="str">
        <f>VLOOKUP(A1346,'[1]Raw data'!$B:$AG,32,FALSE)</f>
        <v>DDP DG</v>
      </c>
      <c r="X1346" s="647">
        <f>VLOOKUP(A1346,'[1]Raw data'!$B:$BA,31,FALSE)</f>
        <v>44985</v>
      </c>
      <c r="Y1346" s="647" t="str">
        <f>VLOOKUP(A1346,'[1]Raw data'!$B:$AS,39,FALSE)</f>
        <v>Yes</v>
      </c>
      <c r="Z1346" s="666"/>
      <c r="AA1346" s="667"/>
      <c r="AB1346" s="668"/>
      <c r="AC1346" s="647" t="s">
        <v>2605</v>
      </c>
      <c r="AD1346" s="575">
        <v>301</v>
      </c>
      <c r="AE1346" s="575">
        <v>10</v>
      </c>
      <c r="AF1346" s="575">
        <v>311</v>
      </c>
      <c r="AG1346" s="575">
        <v>5</v>
      </c>
      <c r="AH1346" s="575">
        <v>312</v>
      </c>
      <c r="AI1346" s="575">
        <v>5</v>
      </c>
      <c r="AJ1346" s="564"/>
      <c r="AK1346" s="564"/>
      <c r="AL1346" s="564"/>
      <c r="AM1346" s="564"/>
      <c r="AN1346" s="614"/>
      <c r="AO1346" s="824" t="str">
        <f t="shared" si="284"/>
        <v>Yes</v>
      </c>
      <c r="AP1346" s="259" t="str">
        <f t="shared" si="285"/>
        <v>MAR 23</v>
      </c>
      <c r="AQ1346" s="542" t="str">
        <f t="shared" si="286"/>
        <v>有定金+有預留客戶</v>
      </c>
      <c r="AR1346" s="259" t="str">
        <f t="shared" si="287"/>
        <v>Shipped_Stock</v>
      </c>
      <c r="AS1346" s="259" t="str">
        <f t="shared" si="288"/>
        <v/>
      </c>
      <c r="AT1346" s="259" t="str">
        <f t="shared" si="289"/>
        <v>四川三创（End use:阿姆斯特）</v>
      </c>
      <c r="AU1346" s="259" t="str">
        <f t="shared" si="290"/>
        <v>C49SZX20230032R1SS</v>
      </c>
      <c r="AV1346" s="259" t="str">
        <f t="shared" si="291"/>
        <v>Sep-26</v>
      </c>
    </row>
    <row r="1347" spans="1:48" hidden="1">
      <c r="A1347" s="559">
        <v>1852</v>
      </c>
      <c r="B1347" s="664" t="s">
        <v>1125</v>
      </c>
      <c r="C1347" s="664" t="s">
        <v>281</v>
      </c>
      <c r="D1347" s="755">
        <v>111051</v>
      </c>
      <c r="E1347" s="744" t="s">
        <v>2337</v>
      </c>
      <c r="F1347" s="647" t="s">
        <v>58</v>
      </c>
      <c r="G1347" s="647" t="s">
        <v>24</v>
      </c>
      <c r="H1347" s="647" t="s">
        <v>26</v>
      </c>
      <c r="I1347" s="575" t="s">
        <v>2606</v>
      </c>
      <c r="J1347" s="575">
        <v>1</v>
      </c>
      <c r="K1347" s="647" t="s">
        <v>1732</v>
      </c>
      <c r="L1347" s="657">
        <v>44830</v>
      </c>
      <c r="M1347" s="665">
        <v>5.1799999999999999E-2</v>
      </c>
      <c r="N1347" s="647" t="s">
        <v>226</v>
      </c>
      <c r="O1347" s="575">
        <v>2022.9</v>
      </c>
      <c r="P1347" s="665" t="str">
        <f>VLOOKUP(A1347,'[1]Raw data'!$B:$BA,23,FALSE)</f>
        <v>RMB</v>
      </c>
      <c r="Q1347" s="647" t="str">
        <f>VLOOKUP(A1347,'[1]Raw data'!$B:$Z,2,FALSE)</f>
        <v>C49SZX20230026EC</v>
      </c>
      <c r="R1347" s="647" t="str">
        <f>VLOOKUP(A1347,'[1]Raw data'!$B:$Z,3,FALSE)</f>
        <v>乐福源</v>
      </c>
      <c r="S1347" s="647" t="str">
        <f>VLOOKUP(A1347,'[1]Raw data'!$B:$Z,4,FALSE)</f>
        <v>YSM20R-2</v>
      </c>
      <c r="T1347" s="647" t="str">
        <f>VLOOKUP(A1347,'[1]Raw data'!$B:$Z,8,FALSE)</f>
        <v>L-&gt;R</v>
      </c>
      <c r="U1347" s="647" t="str">
        <f>VLOOKUP(A1347,'[1]Raw data'!$B:$Z,9,FALSE)</f>
        <v>No</v>
      </c>
      <c r="V1347" s="567" t="str">
        <f t="shared" si="303"/>
        <v>OK</v>
      </c>
      <c r="W1347" s="563" t="str">
        <f>VLOOKUP(A1347,'[1]Raw data'!$B:$AG,32,FALSE)</f>
        <v>DDP HZ</v>
      </c>
      <c r="X1347" s="647">
        <f>VLOOKUP(A1347,'[1]Raw data'!$B:$BA,31,FALSE)</f>
        <v>44979</v>
      </c>
      <c r="Y1347" s="647" t="str">
        <f>VLOOKUP(A1347,'[1]Raw data'!$B:$AS,39,FALSE)</f>
        <v>Yes</v>
      </c>
      <c r="Z1347" s="659"/>
      <c r="AA1347" s="660"/>
      <c r="AB1347" s="661"/>
      <c r="AC1347" s="647" t="s">
        <v>3891</v>
      </c>
      <c r="AD1347" s="662">
        <v>302</v>
      </c>
      <c r="AE1347" s="662">
        <v>10</v>
      </c>
      <c r="AF1347" s="662">
        <v>311</v>
      </c>
      <c r="AG1347" s="662">
        <v>5</v>
      </c>
      <c r="AH1347" s="662">
        <v>312</v>
      </c>
      <c r="AI1347" s="662">
        <v>5</v>
      </c>
      <c r="AN1347" s="542"/>
      <c r="AO1347" s="824" t="str">
        <f t="shared" ref="AO1347:AO1410" si="304">IFERROR(IF(Y1347&lt;&gt;"",Y1347,"No"),"No")</f>
        <v>Yes</v>
      </c>
      <c r="AP1347" s="259" t="str">
        <f t="shared" ref="AP1347:AP1410" si="305">IFERROR(IF(N1347&lt;&gt;"",N1347,"blank"),"NA")</f>
        <v>APR 23</v>
      </c>
      <c r="AQ1347" s="542" t="str">
        <f t="shared" ref="AQ1347:AQ1410" si="306">IFERROR(IF(AND(AO1347="Yes", AP1347&lt;&gt;"blank"), "有定金+有預留客戶", IF(AND(AO1347="Yes", AP1347="blank"), "有定金+无客戶送貨期", IF(AND(OR(AO1347="No", ISBLANK(AO1347), AO1347="NA"), AP1347&lt;&gt;"blank"), "无定金+有預留客戶", IF(AND(OR(AO1347="No", ISBLANK(AO1347), AO1347="NA"), AP1347="blank"), "无定金+无預留客戶", "")))), "")</f>
        <v>有定金+有預留客戶</v>
      </c>
      <c r="AR1347" s="259" t="str">
        <f t="shared" ref="AR1347:AR1410" si="307">IFERROR(IF(B1347="已经到货", "Instock", IF(B1347="有交期", "Incoming_Stock_With_YAMAHA_Schedule", IF(B1347="TBA.", "Incoming_Stock_No_YAMAHA_Schedule", IF(B1347="已发货", "Shipped_Stock", "")))), "")</f>
        <v>Shipped_Stock</v>
      </c>
      <c r="AS1347" s="259" t="str">
        <f t="shared" ref="AS1347:AS1410" si="308">IF(AND(B1347="有交期", L1347&lt;&gt;""), L1347, "")</f>
        <v/>
      </c>
      <c r="AT1347" s="259" t="str">
        <f t="shared" ref="AT1347:AT1410" si="309">IFERROR(IF(R1347&lt;&gt;"",R1347),"-")</f>
        <v>乐福源</v>
      </c>
      <c r="AU1347" s="259" t="str">
        <f t="shared" ref="AU1347:AU1410" si="310">IFERROR(IF(Q1347&lt;&gt;"",Q1347),"-")</f>
        <v>C49SZX20230026EC</v>
      </c>
      <c r="AV1347" s="259" t="str">
        <f t="shared" ref="AV1347:AV1410" si="311">IF(L1347="","-",TEXT(L1347,"mmm-dd"))</f>
        <v>Sep-26</v>
      </c>
    </row>
    <row r="1348" spans="1:48" ht="13.5" hidden="1" thickBot="1">
      <c r="A1348" s="599">
        <v>1873</v>
      </c>
      <c r="B1348" s="664" t="s">
        <v>1125</v>
      </c>
      <c r="C1348" s="664" t="s">
        <v>281</v>
      </c>
      <c r="D1348" s="624">
        <v>111051</v>
      </c>
      <c r="E1348" s="744" t="s">
        <v>2337</v>
      </c>
      <c r="F1348" s="647" t="s">
        <v>58</v>
      </c>
      <c r="G1348" s="647" t="s">
        <v>24</v>
      </c>
      <c r="H1348" s="647" t="s">
        <v>26</v>
      </c>
      <c r="I1348" s="575" t="s">
        <v>2607</v>
      </c>
      <c r="J1348" s="575">
        <v>1</v>
      </c>
      <c r="K1348" s="647" t="s">
        <v>2407</v>
      </c>
      <c r="L1348" s="657">
        <v>44830</v>
      </c>
      <c r="M1348" s="717">
        <v>5.1799999999999999E-2</v>
      </c>
      <c r="N1348" s="647" t="s">
        <v>216</v>
      </c>
      <c r="O1348" s="575">
        <v>2022.9</v>
      </c>
      <c r="P1348" s="665" t="str">
        <f>VLOOKUP(A1348,'[1]Raw data'!$B:$BA,23,FALSE)</f>
        <v>RMB</v>
      </c>
      <c r="Q1348" s="647" t="str">
        <f>VLOOKUP(A1348,'[1]Raw data'!$B:$Z,2,FALSE)</f>
        <v>C49SZX20230018MX</v>
      </c>
      <c r="R1348" s="647" t="str">
        <f>VLOOKUP(A1348,'[1]Raw data'!$B:$Z,3,FALSE)</f>
        <v>徕芬</v>
      </c>
      <c r="S1348" s="647" t="str">
        <f>VLOOKUP(A1348,'[1]Raw data'!$B:$Z,4,FALSE)</f>
        <v>YSM20R-2</v>
      </c>
      <c r="T1348" s="647" t="str">
        <f>VLOOKUP(A1348,'[1]Raw data'!$B:$Z,8,FALSE)</f>
        <v>L-&gt;R</v>
      </c>
      <c r="U1348" s="647" t="str">
        <f>VLOOKUP(A1348,'[1]Raw data'!$B:$Z,9,FALSE)</f>
        <v>No</v>
      </c>
      <c r="V1348" s="567" t="str">
        <f t="shared" si="303"/>
        <v>OK</v>
      </c>
      <c r="W1348" s="563" t="str">
        <f>VLOOKUP(A1348,'[1]Raw data'!$B:$AG,32,FALSE)</f>
        <v>DDP DG</v>
      </c>
      <c r="X1348" s="647">
        <f>VLOOKUP(A1348,'[1]Raw data'!$B:$BA,31,FALSE)</f>
        <v>44995</v>
      </c>
      <c r="Y1348" s="647" t="str">
        <f>VLOOKUP(A1348,'[1]Raw data'!$B:$AS,39,FALSE)</f>
        <v>Yes</v>
      </c>
      <c r="Z1348" s="659"/>
      <c r="AA1348" s="660"/>
      <c r="AB1348" s="661"/>
      <c r="AC1348" s="647" t="s">
        <v>3888</v>
      </c>
      <c r="AD1348" s="575">
        <v>302</v>
      </c>
      <c r="AE1348" s="575">
        <v>10</v>
      </c>
      <c r="AF1348" s="575">
        <v>311</v>
      </c>
      <c r="AG1348" s="575">
        <v>5</v>
      </c>
      <c r="AH1348" s="575">
        <v>312</v>
      </c>
      <c r="AI1348" s="575">
        <v>5</v>
      </c>
      <c r="AJ1348" s="564"/>
      <c r="AK1348" s="564"/>
      <c r="AL1348" s="564"/>
      <c r="AM1348" s="564"/>
      <c r="AN1348" s="614"/>
      <c r="AO1348" s="824" t="str">
        <f t="shared" si="304"/>
        <v>Yes</v>
      </c>
      <c r="AP1348" s="259" t="str">
        <f t="shared" si="305"/>
        <v>MAR 23</v>
      </c>
      <c r="AQ1348" s="542" t="str">
        <f t="shared" si="306"/>
        <v>有定金+有預留客戶</v>
      </c>
      <c r="AR1348" s="259" t="str">
        <f t="shared" si="307"/>
        <v>Shipped_Stock</v>
      </c>
      <c r="AS1348" s="259" t="str">
        <f t="shared" si="308"/>
        <v/>
      </c>
      <c r="AT1348" s="259" t="str">
        <f t="shared" si="309"/>
        <v>徕芬</v>
      </c>
      <c r="AU1348" s="259" t="str">
        <f t="shared" si="310"/>
        <v>C49SZX20230018MX</v>
      </c>
      <c r="AV1348" s="259" t="str">
        <f t="shared" si="311"/>
        <v>Sep-26</v>
      </c>
    </row>
    <row r="1349" spans="1:48" hidden="1">
      <c r="A1349" s="559">
        <v>1775</v>
      </c>
      <c r="B1349" s="664" t="s">
        <v>1125</v>
      </c>
      <c r="C1349" s="664" t="s">
        <v>281</v>
      </c>
      <c r="D1349" s="690" t="s">
        <v>2608</v>
      </c>
      <c r="E1349" s="767" t="s">
        <v>2609</v>
      </c>
      <c r="F1349" s="647" t="s">
        <v>58</v>
      </c>
      <c r="G1349" s="647" t="s">
        <v>24</v>
      </c>
      <c r="H1349" s="647" t="s">
        <v>26</v>
      </c>
      <c r="I1349" s="575" t="s">
        <v>2610</v>
      </c>
      <c r="J1349" s="575">
        <v>1</v>
      </c>
      <c r="K1349" s="647" t="s">
        <v>1419</v>
      </c>
      <c r="L1349" s="657" t="s">
        <v>2611</v>
      </c>
      <c r="M1349" s="717">
        <v>5.1900000000000002E-2</v>
      </c>
      <c r="N1349" s="647" t="s">
        <v>217</v>
      </c>
      <c r="O1349" s="575">
        <v>2022.8</v>
      </c>
      <c r="P1349" s="665" t="str">
        <f>VLOOKUP(A1349,'[1]Raw data'!$B:$BA,23,FALSE)</f>
        <v>RMB</v>
      </c>
      <c r="Q1349" s="647" t="str">
        <f>VLOOKUP(A1349,'[1]Raw data'!$B:$Z,2,FALSE)</f>
        <v>C49SZX20220130SX</v>
      </c>
      <c r="R1349" s="647" t="str">
        <f>VLOOKUP(A1349,'[1]Raw data'!$B:$Z,3,FALSE)</f>
        <v>益田科技</v>
      </c>
      <c r="S1349" s="647" t="str">
        <f>VLOOKUP(A1349,'[1]Raw data'!$B:$Z,4,FALSE)</f>
        <v>YSM20R-2</v>
      </c>
      <c r="T1349" s="647" t="str">
        <f>VLOOKUP(A1349,'[1]Raw data'!$B:$Z,8,FALSE)</f>
        <v>L-&gt;R</v>
      </c>
      <c r="U1349" s="647" t="str">
        <f>VLOOKUP(A1349,'[1]Raw data'!$B:$Z,9,FALSE)</f>
        <v>No</v>
      </c>
      <c r="V1349" s="567" t="str">
        <f t="shared" ref="V1349:V1363" si="312">IF(G1349&amp;H1349=T1349&amp;U1349,"OK","WRONG")</f>
        <v>OK</v>
      </c>
      <c r="W1349" s="563" t="str">
        <f>VLOOKUP(A1349,'[1]Raw data'!$B:$AG,32,FALSE)</f>
        <v>DDP SZ</v>
      </c>
      <c r="X1349" s="647">
        <f>VLOOKUP(A1349,'[1]Raw data'!$B:$BA,31,FALSE)</f>
        <v>44903</v>
      </c>
      <c r="Y1349" s="647" t="str">
        <f>VLOOKUP(A1349,'[1]Raw data'!$B:$AS,39,FALSE)</f>
        <v>Yes</v>
      </c>
      <c r="Z1349" s="666"/>
      <c r="AA1349" s="660"/>
      <c r="AB1349" s="661"/>
      <c r="AC1349" s="647" t="s">
        <v>2490</v>
      </c>
      <c r="AD1349" s="662">
        <v>301</v>
      </c>
      <c r="AE1349" s="662">
        <v>10</v>
      </c>
      <c r="AF1349" s="662">
        <v>312</v>
      </c>
      <c r="AG1349" s="662">
        <v>10</v>
      </c>
      <c r="AH1349" s="662"/>
      <c r="AI1349" s="663"/>
      <c r="AN1349" s="542"/>
      <c r="AO1349" s="824" t="str">
        <f t="shared" si="304"/>
        <v>Yes</v>
      </c>
      <c r="AP1349" s="259" t="str">
        <f t="shared" si="305"/>
        <v>FEB 23</v>
      </c>
      <c r="AQ1349" s="542" t="str">
        <f t="shared" si="306"/>
        <v>有定金+有預留客戶</v>
      </c>
      <c r="AR1349" s="259" t="str">
        <f t="shared" si="307"/>
        <v>Shipped_Stock</v>
      </c>
      <c r="AS1349" s="259" t="str">
        <f t="shared" si="308"/>
        <v/>
      </c>
      <c r="AT1349" s="259" t="str">
        <f t="shared" si="309"/>
        <v>益田科技</v>
      </c>
      <c r="AU1349" s="259" t="str">
        <f t="shared" si="310"/>
        <v>C49SZX20220130SX</v>
      </c>
      <c r="AV1349" s="259" t="str">
        <f t="shared" si="311"/>
        <v>2022/10/2,蛇口港</v>
      </c>
    </row>
    <row r="1350" spans="1:48" ht="13.5" hidden="1" thickBot="1">
      <c r="A1350" s="559">
        <v>1829</v>
      </c>
      <c r="B1350" s="664" t="s">
        <v>1125</v>
      </c>
      <c r="C1350" s="664" t="s">
        <v>281</v>
      </c>
      <c r="D1350" s="624" t="s">
        <v>2608</v>
      </c>
      <c r="E1350" s="736" t="s">
        <v>2609</v>
      </c>
      <c r="F1350" s="647" t="s">
        <v>58</v>
      </c>
      <c r="G1350" s="647" t="s">
        <v>24</v>
      </c>
      <c r="H1350" s="647" t="s">
        <v>26</v>
      </c>
      <c r="I1350" s="575" t="s">
        <v>2612</v>
      </c>
      <c r="J1350" s="575">
        <v>1</v>
      </c>
      <c r="K1350" s="647" t="s">
        <v>1419</v>
      </c>
      <c r="L1350" s="657" t="s">
        <v>2611</v>
      </c>
      <c r="M1350" s="717">
        <v>5.1900000000000002E-2</v>
      </c>
      <c r="N1350" s="647" t="s">
        <v>217</v>
      </c>
      <c r="O1350" s="575">
        <v>2022.8</v>
      </c>
      <c r="P1350" s="665" t="str">
        <f>VLOOKUP(A1350,'[1]Raw data'!$B:$BA,23,FALSE)</f>
        <v>RMB</v>
      </c>
      <c r="Q1350" s="647" t="str">
        <f>VLOOKUP(A1350,'[1]Raw data'!$B:$Z,2,FALSE)</f>
        <v>C49SZX202300011SX</v>
      </c>
      <c r="R1350" s="647" t="str">
        <f>VLOOKUP(A1350,'[1]Raw data'!$B:$Z,3,FALSE)</f>
        <v>益田科技</v>
      </c>
      <c r="S1350" s="647" t="str">
        <f>VLOOKUP(A1350,'[1]Raw data'!$B:$Z,4,FALSE)</f>
        <v>YSM20R-2</v>
      </c>
      <c r="T1350" s="647" t="str">
        <f>VLOOKUP(A1350,'[1]Raw data'!$B:$Z,8,FALSE)</f>
        <v>L-&gt;R</v>
      </c>
      <c r="U1350" s="647" t="str">
        <f>VLOOKUP(A1350,'[1]Raw data'!$B:$Z,9,FALSE)</f>
        <v>No</v>
      </c>
      <c r="V1350" s="567" t="str">
        <f t="shared" si="312"/>
        <v>OK</v>
      </c>
      <c r="W1350" s="563" t="str">
        <f>VLOOKUP(A1350,'[1]Raw data'!$B:$AG,32,FALSE)</f>
        <v>DDP SZ</v>
      </c>
      <c r="X1350" s="647">
        <f>VLOOKUP(A1350,'[1]Raw data'!$B:$BA,31,FALSE)</f>
        <v>44960</v>
      </c>
      <c r="Y1350" s="647" t="str">
        <f>VLOOKUP(A1350,'[1]Raw data'!$B:$AS,39,FALSE)</f>
        <v>Yes</v>
      </c>
      <c r="Z1350" s="666"/>
      <c r="AA1350" s="662"/>
      <c r="AB1350" s="662"/>
      <c r="AC1350" s="647" t="s">
        <v>1172</v>
      </c>
      <c r="AD1350" s="564">
        <v>301</v>
      </c>
      <c r="AE1350" s="564">
        <v>10</v>
      </c>
      <c r="AF1350" s="564">
        <v>302</v>
      </c>
      <c r="AG1350" s="564">
        <v>10</v>
      </c>
      <c r="AH1350" s="614"/>
      <c r="AI1350" s="614"/>
      <c r="AJ1350" s="542"/>
      <c r="AK1350" s="542"/>
      <c r="AL1350" s="542"/>
      <c r="AM1350" s="542"/>
      <c r="AN1350" s="542"/>
      <c r="AO1350" s="824" t="str">
        <f t="shared" si="304"/>
        <v>Yes</v>
      </c>
      <c r="AP1350" s="259" t="str">
        <f t="shared" si="305"/>
        <v>FEB 23</v>
      </c>
      <c r="AQ1350" s="542" t="str">
        <f t="shared" si="306"/>
        <v>有定金+有預留客戶</v>
      </c>
      <c r="AR1350" s="259" t="str">
        <f t="shared" si="307"/>
        <v>Shipped_Stock</v>
      </c>
      <c r="AS1350" s="259" t="str">
        <f t="shared" si="308"/>
        <v/>
      </c>
      <c r="AT1350" s="259" t="str">
        <f t="shared" si="309"/>
        <v>益田科技</v>
      </c>
      <c r="AU1350" s="259" t="str">
        <f t="shared" si="310"/>
        <v>C49SZX202300011SX</v>
      </c>
      <c r="AV1350" s="259" t="str">
        <f t="shared" si="311"/>
        <v>2022/10/2,蛇口港</v>
      </c>
    </row>
    <row r="1351" spans="1:48" ht="13.5" hidden="1" thickBot="1">
      <c r="A1351" s="559">
        <v>1830</v>
      </c>
      <c r="B1351" s="664" t="s">
        <v>1125</v>
      </c>
      <c r="C1351" s="664" t="s">
        <v>281</v>
      </c>
      <c r="D1351" s="624" t="s">
        <v>2608</v>
      </c>
      <c r="E1351" s="736" t="s">
        <v>2609</v>
      </c>
      <c r="F1351" s="647" t="s">
        <v>58</v>
      </c>
      <c r="G1351" s="647" t="s">
        <v>24</v>
      </c>
      <c r="H1351" s="647" t="s">
        <v>26</v>
      </c>
      <c r="I1351" s="575" t="s">
        <v>2613</v>
      </c>
      <c r="J1351" s="575">
        <v>1</v>
      </c>
      <c r="K1351" s="647" t="s">
        <v>1419</v>
      </c>
      <c r="L1351" s="657" t="s">
        <v>2611</v>
      </c>
      <c r="M1351" s="717">
        <v>5.1900000000000002E-2</v>
      </c>
      <c r="N1351" s="647" t="s">
        <v>217</v>
      </c>
      <c r="O1351" s="575">
        <v>2022.8</v>
      </c>
      <c r="P1351" s="665" t="str">
        <f>VLOOKUP(A1351,'[1]Raw data'!$B:$BA,23,FALSE)</f>
        <v>RMB</v>
      </c>
      <c r="Q1351" s="647" t="str">
        <f>VLOOKUP(A1351,'[1]Raw data'!$B:$Z,2,FALSE)</f>
        <v>C49SZX202300011SX</v>
      </c>
      <c r="R1351" s="647" t="str">
        <f>VLOOKUP(A1351,'[1]Raw data'!$B:$Z,3,FALSE)</f>
        <v>益田科技</v>
      </c>
      <c r="S1351" s="647" t="str">
        <f>VLOOKUP(A1351,'[1]Raw data'!$B:$Z,4,FALSE)</f>
        <v>YSM20R-2</v>
      </c>
      <c r="T1351" s="647" t="str">
        <f>VLOOKUP(A1351,'[1]Raw data'!$B:$Z,8,FALSE)</f>
        <v>L-&gt;R</v>
      </c>
      <c r="U1351" s="647" t="str">
        <f>VLOOKUP(A1351,'[1]Raw data'!$B:$Z,9,FALSE)</f>
        <v>No</v>
      </c>
      <c r="V1351" s="567" t="str">
        <f t="shared" si="312"/>
        <v>OK</v>
      </c>
      <c r="W1351" s="563" t="str">
        <f>VLOOKUP(A1351,'[1]Raw data'!$B:$AG,32,FALSE)</f>
        <v>DDP SZ</v>
      </c>
      <c r="X1351" s="647">
        <f>VLOOKUP(A1351,'[1]Raw data'!$B:$BA,31,FALSE)</f>
        <v>44960</v>
      </c>
      <c r="Y1351" s="647" t="str">
        <f>VLOOKUP(A1351,'[1]Raw data'!$B:$AS,39,FALSE)</f>
        <v>Yes</v>
      </c>
      <c r="Z1351" s="666"/>
      <c r="AA1351" s="663"/>
      <c r="AB1351" s="571"/>
      <c r="AC1351" s="647" t="s">
        <v>1172</v>
      </c>
      <c r="AD1351" s="564">
        <v>311</v>
      </c>
      <c r="AE1351" s="564">
        <v>10</v>
      </c>
      <c r="AF1351" s="614">
        <v>312</v>
      </c>
      <c r="AG1351" s="614">
        <v>10</v>
      </c>
      <c r="AH1351" s="614"/>
      <c r="AI1351" s="614"/>
      <c r="AJ1351" s="542"/>
      <c r="AK1351" s="542"/>
      <c r="AL1351" s="542"/>
      <c r="AM1351" s="542"/>
      <c r="AN1351" s="542"/>
      <c r="AO1351" s="824" t="str">
        <f t="shared" si="304"/>
        <v>Yes</v>
      </c>
      <c r="AP1351" s="259" t="str">
        <f t="shared" si="305"/>
        <v>FEB 23</v>
      </c>
      <c r="AQ1351" s="542" t="str">
        <f t="shared" si="306"/>
        <v>有定金+有預留客戶</v>
      </c>
      <c r="AR1351" s="259" t="str">
        <f t="shared" si="307"/>
        <v>Shipped_Stock</v>
      </c>
      <c r="AS1351" s="259" t="str">
        <f t="shared" si="308"/>
        <v/>
      </c>
      <c r="AT1351" s="259" t="str">
        <f t="shared" si="309"/>
        <v>益田科技</v>
      </c>
      <c r="AU1351" s="259" t="str">
        <f t="shared" si="310"/>
        <v>C49SZX202300011SX</v>
      </c>
      <c r="AV1351" s="259" t="str">
        <f t="shared" si="311"/>
        <v>2022/10/2,蛇口港</v>
      </c>
    </row>
    <row r="1352" spans="1:48" hidden="1">
      <c r="A1352" s="559">
        <v>1892</v>
      </c>
      <c r="B1352" s="664" t="s">
        <v>1125</v>
      </c>
      <c r="C1352" s="664" t="s">
        <v>281</v>
      </c>
      <c r="D1352" s="645" t="s">
        <v>2608</v>
      </c>
      <c r="E1352" s="767" t="s">
        <v>2609</v>
      </c>
      <c r="F1352" s="647" t="s">
        <v>58</v>
      </c>
      <c r="G1352" s="647" t="s">
        <v>24</v>
      </c>
      <c r="H1352" s="647" t="s">
        <v>26</v>
      </c>
      <c r="I1352" s="575" t="s">
        <v>2614</v>
      </c>
      <c r="J1352" s="575">
        <v>1</v>
      </c>
      <c r="K1352" s="647" t="s">
        <v>1419</v>
      </c>
      <c r="L1352" s="657" t="s">
        <v>2611</v>
      </c>
      <c r="M1352" s="717">
        <v>5.1900000000000002E-2</v>
      </c>
      <c r="N1352" s="647" t="s">
        <v>216</v>
      </c>
      <c r="O1352" s="575">
        <v>2022.8</v>
      </c>
      <c r="P1352" s="665" t="str">
        <f>VLOOKUP(A1352,'[1]Raw data'!$B:$BA,23,FALSE)</f>
        <v>RMB</v>
      </c>
      <c r="Q1352" s="647" t="str">
        <f>VLOOKUP(A1352,'[1]Raw data'!$B:$Z,2,FALSE)</f>
        <v>C49SZX20230045RSX</v>
      </c>
      <c r="R1352" s="647" t="str">
        <f>VLOOKUP(A1352,'[1]Raw data'!$B:$Z,3,FALSE)</f>
        <v>安林</v>
      </c>
      <c r="S1352" s="647" t="str">
        <f>VLOOKUP(A1352,'[1]Raw data'!$B:$Z,4,FALSE)</f>
        <v>YSM20R-2</v>
      </c>
      <c r="T1352" s="647" t="str">
        <f>VLOOKUP(A1352,'[1]Raw data'!$B:$Z,8,FALSE)</f>
        <v>L-&gt;R</v>
      </c>
      <c r="U1352" s="647" t="str">
        <f>VLOOKUP(A1352,'[1]Raw data'!$B:$Z,9,FALSE)</f>
        <v>No</v>
      </c>
      <c r="V1352" s="567" t="str">
        <f t="shared" si="312"/>
        <v>OK</v>
      </c>
      <c r="W1352" s="563" t="str">
        <f>VLOOKUP(A1352,'[1]Raw data'!$B:$AG,32,FALSE)</f>
        <v>DDP DG</v>
      </c>
      <c r="X1352" s="647">
        <f>VLOOKUP(A1352,'[1]Raw data'!$B:$BA,31,FALSE)</f>
        <v>45001</v>
      </c>
      <c r="Y1352" s="647" t="str">
        <f>VLOOKUP(A1352,'[1]Raw data'!$B:$AS,39,FALSE)</f>
        <v>Yes</v>
      </c>
      <c r="Z1352" s="659"/>
      <c r="AA1352" s="660"/>
      <c r="AB1352" s="661"/>
      <c r="AC1352" s="647" t="s">
        <v>2615</v>
      </c>
      <c r="AD1352" s="662">
        <v>311</v>
      </c>
      <c r="AE1352" s="662">
        <v>10</v>
      </c>
      <c r="AF1352" s="662">
        <v>302</v>
      </c>
      <c r="AG1352" s="662">
        <v>10</v>
      </c>
      <c r="AH1352" s="662"/>
      <c r="AI1352" s="663"/>
      <c r="AN1352" s="542"/>
      <c r="AO1352" s="824" t="str">
        <f t="shared" si="304"/>
        <v>Yes</v>
      </c>
      <c r="AP1352" s="259" t="str">
        <f t="shared" si="305"/>
        <v>MAR 23</v>
      </c>
      <c r="AQ1352" s="542" t="str">
        <f t="shared" si="306"/>
        <v>有定金+有預留客戶</v>
      </c>
      <c r="AR1352" s="259" t="str">
        <f t="shared" si="307"/>
        <v>Shipped_Stock</v>
      </c>
      <c r="AS1352" s="259" t="str">
        <f t="shared" si="308"/>
        <v/>
      </c>
      <c r="AT1352" s="259" t="str">
        <f t="shared" si="309"/>
        <v>安林</v>
      </c>
      <c r="AU1352" s="259" t="str">
        <f t="shared" si="310"/>
        <v>C49SZX20230045RSX</v>
      </c>
      <c r="AV1352" s="259" t="str">
        <f t="shared" si="311"/>
        <v>2022/10/2,蛇口港</v>
      </c>
    </row>
    <row r="1353" spans="1:48" hidden="1">
      <c r="A1353" s="559">
        <v>1795</v>
      </c>
      <c r="B1353" s="664" t="s">
        <v>1125</v>
      </c>
      <c r="C1353" s="664" t="s">
        <v>281</v>
      </c>
      <c r="D1353" s="645" t="s">
        <v>2608</v>
      </c>
      <c r="E1353" s="767" t="s">
        <v>2609</v>
      </c>
      <c r="F1353" s="647" t="s">
        <v>58</v>
      </c>
      <c r="G1353" s="647" t="s">
        <v>24</v>
      </c>
      <c r="H1353" s="647" t="s">
        <v>26</v>
      </c>
      <c r="I1353" s="575" t="s">
        <v>2616</v>
      </c>
      <c r="J1353" s="575">
        <v>1</v>
      </c>
      <c r="K1353" s="647" t="s">
        <v>1419</v>
      </c>
      <c r="L1353" s="657" t="s">
        <v>2611</v>
      </c>
      <c r="M1353" s="717">
        <v>5.1900000000000002E-2</v>
      </c>
      <c r="N1353" s="647" t="s">
        <v>217</v>
      </c>
      <c r="O1353" s="575">
        <v>2022.8</v>
      </c>
      <c r="P1353" s="665" t="str">
        <f>VLOOKUP(A1353,'[1]Raw data'!$B:$BA,23,FALSE)</f>
        <v>RMB</v>
      </c>
      <c r="Q1353" s="647" t="str">
        <f>VLOOKUP(A1353,'[1]Raw data'!$B:$Z,2,FALSE)</f>
        <v>C49SZX20230008SS</v>
      </c>
      <c r="R1353" s="647" t="str">
        <f>VLOOKUP(A1353,'[1]Raw data'!$B:$Z,3,FALSE)</f>
        <v>蓝极光</v>
      </c>
      <c r="S1353" s="647" t="str">
        <f>VLOOKUP(A1353,'[1]Raw data'!$B:$Z,4,FALSE)</f>
        <v>YSM20R-2</v>
      </c>
      <c r="T1353" s="647" t="str">
        <f>VLOOKUP(A1353,'[1]Raw data'!$B:$Z,8,FALSE)</f>
        <v>L-&gt;R</v>
      </c>
      <c r="U1353" s="647" t="str">
        <f>VLOOKUP(A1353,'[1]Raw data'!$B:$Z,9,FALSE)</f>
        <v>No</v>
      </c>
      <c r="V1353" s="567" t="str">
        <f t="shared" si="312"/>
        <v>OK</v>
      </c>
      <c r="W1353" s="563" t="str">
        <f>VLOOKUP(A1353,'[1]Raw data'!$B:$AG,32,FALSE)</f>
        <v>DDP SZ</v>
      </c>
      <c r="X1353" s="647">
        <f>VLOOKUP(A1353,'[1]Raw data'!$B:$BA,31,FALSE)</f>
        <v>44925</v>
      </c>
      <c r="Y1353" s="647" t="str">
        <f>VLOOKUP(A1353,'[1]Raw data'!$B:$AS,39,FALSE)</f>
        <v>Yes</v>
      </c>
      <c r="Z1353" s="666"/>
      <c r="AA1353" s="660"/>
      <c r="AB1353" s="661"/>
      <c r="AC1353" s="647" t="s">
        <v>2591</v>
      </c>
      <c r="AD1353" s="662">
        <v>311</v>
      </c>
      <c r="AE1353" s="662">
        <v>10</v>
      </c>
      <c r="AF1353" s="662">
        <v>302</v>
      </c>
      <c r="AG1353" s="662">
        <v>5</v>
      </c>
      <c r="AH1353" s="662">
        <v>303</v>
      </c>
      <c r="AI1353" s="663">
        <v>5</v>
      </c>
      <c r="AN1353" s="542"/>
      <c r="AO1353" s="824" t="str">
        <f t="shared" si="304"/>
        <v>Yes</v>
      </c>
      <c r="AP1353" s="259" t="str">
        <f t="shared" si="305"/>
        <v>FEB 23</v>
      </c>
      <c r="AQ1353" s="542" t="str">
        <f t="shared" si="306"/>
        <v>有定金+有預留客戶</v>
      </c>
      <c r="AR1353" s="259" t="str">
        <f t="shared" si="307"/>
        <v>Shipped_Stock</v>
      </c>
      <c r="AS1353" s="259" t="str">
        <f t="shared" si="308"/>
        <v/>
      </c>
      <c r="AT1353" s="259" t="str">
        <f t="shared" si="309"/>
        <v>蓝极光</v>
      </c>
      <c r="AU1353" s="259" t="str">
        <f t="shared" si="310"/>
        <v>C49SZX20230008SS</v>
      </c>
      <c r="AV1353" s="259" t="str">
        <f t="shared" si="311"/>
        <v>2022/10/2,蛇口港</v>
      </c>
    </row>
    <row r="1354" spans="1:48" ht="16.5" hidden="1">
      <c r="A1354" s="599">
        <v>1757</v>
      </c>
      <c r="B1354" s="664" t="s">
        <v>1125</v>
      </c>
      <c r="C1354" s="664" t="s">
        <v>281</v>
      </c>
      <c r="D1354" s="645" t="s">
        <v>2617</v>
      </c>
      <c r="E1354" s="793" t="s">
        <v>2618</v>
      </c>
      <c r="F1354" s="647" t="s">
        <v>58</v>
      </c>
      <c r="G1354" s="647" t="s">
        <v>18</v>
      </c>
      <c r="H1354" s="647" t="s">
        <v>26</v>
      </c>
      <c r="I1354" s="575" t="s">
        <v>2619</v>
      </c>
      <c r="J1354" s="575">
        <v>1</v>
      </c>
      <c r="K1354" s="647" t="s">
        <v>1419</v>
      </c>
      <c r="L1354" s="657" t="s">
        <v>2611</v>
      </c>
      <c r="M1354" s="717">
        <v>5.1900000000000002E-2</v>
      </c>
      <c r="N1354" s="647" t="s">
        <v>208</v>
      </c>
      <c r="O1354" s="575">
        <v>2022.9</v>
      </c>
      <c r="P1354" s="665" t="str">
        <f>VLOOKUP(A1354,'[1]Raw data'!$B:$BA,23,FALSE)</f>
        <v>RMB</v>
      </c>
      <c r="Q1354" s="647" t="str">
        <f>VLOOKUP(A1354,'[1]Raw data'!$B:$Z,2,FALSE)</f>
        <v>C49SZX20220117DZ</v>
      </c>
      <c r="R1354" s="647" t="str">
        <f>VLOOKUP(A1354,'[1]Raw data'!$B:$Z,3,FALSE)</f>
        <v>朗特</v>
      </c>
      <c r="S1354" s="647" t="str">
        <f>VLOOKUP(A1354,'[1]Raw data'!$B:$Z,4,FALSE)</f>
        <v>YSM20R-2</v>
      </c>
      <c r="T1354" s="647" t="str">
        <f>VLOOKUP(A1354,'[1]Raw data'!$B:$Z,8,FALSE)</f>
        <v>R-&gt;L</v>
      </c>
      <c r="U1354" s="647" t="str">
        <f>VLOOKUP(A1354,'[1]Raw data'!$B:$Z,9,FALSE)</f>
        <v>No</v>
      </c>
      <c r="V1354" s="567" t="str">
        <f t="shared" si="312"/>
        <v>OK</v>
      </c>
      <c r="W1354" s="563" t="str">
        <f>VLOOKUP(A1354,'[1]Raw data'!$B:$AG,32,FALSE)</f>
        <v>DDP SZ</v>
      </c>
      <c r="X1354" s="647">
        <f>VLOOKUP(A1354,'[1]Raw data'!$B:$BA,31,FALSE)</f>
        <v>44879</v>
      </c>
      <c r="Y1354" s="647" t="str">
        <f>VLOOKUP(A1354,'[1]Raw data'!$B:$AS,39,FALSE)</f>
        <v>Yes</v>
      </c>
      <c r="Z1354" s="666"/>
      <c r="AA1354" s="667"/>
      <c r="AB1354" s="668"/>
      <c r="AC1354" s="647" t="s">
        <v>2336</v>
      </c>
      <c r="AD1354" s="575">
        <v>301</v>
      </c>
      <c r="AE1354" s="575">
        <v>10</v>
      </c>
      <c r="AF1354" s="575">
        <v>311</v>
      </c>
      <c r="AG1354" s="575">
        <v>5</v>
      </c>
      <c r="AH1354" s="575">
        <v>312</v>
      </c>
      <c r="AI1354" s="575">
        <v>5</v>
      </c>
      <c r="AJ1354" s="564"/>
      <c r="AK1354" s="564"/>
      <c r="AL1354" s="564"/>
      <c r="AM1354" s="564"/>
      <c r="AN1354" s="614"/>
      <c r="AO1354" s="824" t="str">
        <f t="shared" si="304"/>
        <v>Yes</v>
      </c>
      <c r="AP1354" s="259" t="str">
        <f t="shared" si="305"/>
        <v>NOV 22</v>
      </c>
      <c r="AQ1354" s="542" t="str">
        <f t="shared" si="306"/>
        <v>有定金+有預留客戶</v>
      </c>
      <c r="AR1354" s="259" t="str">
        <f t="shared" si="307"/>
        <v>Shipped_Stock</v>
      </c>
      <c r="AS1354" s="259" t="str">
        <f t="shared" si="308"/>
        <v/>
      </c>
      <c r="AT1354" s="259" t="str">
        <f t="shared" si="309"/>
        <v>朗特</v>
      </c>
      <c r="AU1354" s="259" t="str">
        <f t="shared" si="310"/>
        <v>C49SZX20220117DZ</v>
      </c>
      <c r="AV1354" s="259" t="str">
        <f t="shared" si="311"/>
        <v>2022/10/2,蛇口港</v>
      </c>
    </row>
    <row r="1355" spans="1:48" ht="16.5" hidden="1">
      <c r="A1355" s="599">
        <v>1758</v>
      </c>
      <c r="B1355" s="664" t="s">
        <v>1125</v>
      </c>
      <c r="C1355" s="664" t="s">
        <v>281</v>
      </c>
      <c r="D1355" s="645" t="s">
        <v>2617</v>
      </c>
      <c r="E1355" s="793" t="s">
        <v>2618</v>
      </c>
      <c r="F1355" s="647" t="s">
        <v>58</v>
      </c>
      <c r="G1355" s="647" t="s">
        <v>18</v>
      </c>
      <c r="H1355" s="647" t="s">
        <v>26</v>
      </c>
      <c r="I1355" s="575" t="s">
        <v>2620</v>
      </c>
      <c r="J1355" s="575">
        <v>1</v>
      </c>
      <c r="K1355" s="647" t="s">
        <v>1419</v>
      </c>
      <c r="L1355" s="657" t="s">
        <v>2611</v>
      </c>
      <c r="M1355" s="717">
        <v>5.1900000000000002E-2</v>
      </c>
      <c r="N1355" s="647" t="s">
        <v>208</v>
      </c>
      <c r="O1355" s="575">
        <v>2022.9</v>
      </c>
      <c r="P1355" s="665" t="str">
        <f>VLOOKUP(A1355,'[1]Raw data'!$B:$BA,23,FALSE)</f>
        <v>RMB</v>
      </c>
      <c r="Q1355" s="647" t="str">
        <f>VLOOKUP(A1355,'[1]Raw data'!$B:$Z,2,FALSE)</f>
        <v>C49SZX20220117DZ</v>
      </c>
      <c r="R1355" s="647" t="str">
        <f>VLOOKUP(A1355,'[1]Raw data'!$B:$Z,3,FALSE)</f>
        <v>朗特</v>
      </c>
      <c r="S1355" s="647" t="str">
        <f>VLOOKUP(A1355,'[1]Raw data'!$B:$Z,4,FALSE)</f>
        <v>YSM20R-2</v>
      </c>
      <c r="T1355" s="647" t="str">
        <f>VLOOKUP(A1355,'[1]Raw data'!$B:$Z,8,FALSE)</f>
        <v>R-&gt;L</v>
      </c>
      <c r="U1355" s="647" t="str">
        <f>VLOOKUP(A1355,'[1]Raw data'!$B:$Z,9,FALSE)</f>
        <v>No</v>
      </c>
      <c r="V1355" s="567" t="str">
        <f t="shared" si="312"/>
        <v>OK</v>
      </c>
      <c r="W1355" s="563" t="str">
        <f>VLOOKUP(A1355,'[1]Raw data'!$B:$AG,32,FALSE)</f>
        <v>DDP SZ</v>
      </c>
      <c r="X1355" s="647">
        <f>VLOOKUP(A1355,'[1]Raw data'!$B:$BA,31,FALSE)</f>
        <v>44879</v>
      </c>
      <c r="Y1355" s="647" t="str">
        <f>VLOOKUP(A1355,'[1]Raw data'!$B:$AS,39,FALSE)</f>
        <v>Yes</v>
      </c>
      <c r="Z1355" s="666"/>
      <c r="AA1355" s="667"/>
      <c r="AB1355" s="668"/>
      <c r="AC1355" s="647" t="s">
        <v>2336</v>
      </c>
      <c r="AD1355" s="575">
        <v>301</v>
      </c>
      <c r="AE1355" s="575">
        <v>10</v>
      </c>
      <c r="AF1355" s="575">
        <v>311</v>
      </c>
      <c r="AG1355" s="575">
        <v>5</v>
      </c>
      <c r="AH1355" s="575">
        <v>312</v>
      </c>
      <c r="AI1355" s="575">
        <v>5</v>
      </c>
      <c r="AJ1355" s="564"/>
      <c r="AK1355" s="564"/>
      <c r="AL1355" s="564"/>
      <c r="AM1355" s="564"/>
      <c r="AN1355" s="614"/>
      <c r="AO1355" s="824" t="str">
        <f t="shared" si="304"/>
        <v>Yes</v>
      </c>
      <c r="AP1355" s="259" t="str">
        <f t="shared" si="305"/>
        <v>NOV 22</v>
      </c>
      <c r="AQ1355" s="542" t="str">
        <f t="shared" si="306"/>
        <v>有定金+有預留客戶</v>
      </c>
      <c r="AR1355" s="259" t="str">
        <f t="shared" si="307"/>
        <v>Shipped_Stock</v>
      </c>
      <c r="AS1355" s="259" t="str">
        <f t="shared" si="308"/>
        <v/>
      </c>
      <c r="AT1355" s="259" t="str">
        <f t="shared" si="309"/>
        <v>朗特</v>
      </c>
      <c r="AU1355" s="259" t="str">
        <f t="shared" si="310"/>
        <v>C49SZX20220117DZ</v>
      </c>
      <c r="AV1355" s="259" t="str">
        <f t="shared" si="311"/>
        <v>2022/10/2,蛇口港</v>
      </c>
    </row>
    <row r="1356" spans="1:48" ht="16.5" hidden="1">
      <c r="A1356" s="599">
        <v>1755</v>
      </c>
      <c r="B1356" s="664" t="s">
        <v>1125</v>
      </c>
      <c r="C1356" s="664" t="s">
        <v>281</v>
      </c>
      <c r="D1356" s="645" t="s">
        <v>2617</v>
      </c>
      <c r="E1356" s="793" t="s">
        <v>2618</v>
      </c>
      <c r="F1356" s="647" t="s">
        <v>58</v>
      </c>
      <c r="G1356" s="647" t="s">
        <v>24</v>
      </c>
      <c r="H1356" s="647" t="s">
        <v>307</v>
      </c>
      <c r="I1356" s="575" t="s">
        <v>2621</v>
      </c>
      <c r="J1356" s="575">
        <v>1</v>
      </c>
      <c r="K1356" s="647" t="s">
        <v>1419</v>
      </c>
      <c r="L1356" s="657" t="s">
        <v>2611</v>
      </c>
      <c r="M1356" s="717">
        <v>5.1900000000000002E-2</v>
      </c>
      <c r="N1356" s="647" t="s">
        <v>208</v>
      </c>
      <c r="O1356" s="575">
        <v>2022.9</v>
      </c>
      <c r="P1356" s="665" t="str">
        <f>VLOOKUP(A1356,'[1]Raw data'!$B:$BA,23,FALSE)</f>
        <v>RMB</v>
      </c>
      <c r="Q1356" s="647" t="str">
        <f>VLOOKUP(A1356,'[1]Raw data'!$B:$Z,2,FALSE)</f>
        <v>C49SZX20220117DZ</v>
      </c>
      <c r="R1356" s="647" t="str">
        <f>VLOOKUP(A1356,'[1]Raw data'!$B:$Z,3,FALSE)</f>
        <v>朗特</v>
      </c>
      <c r="S1356" s="647" t="str">
        <f>VLOOKUP(A1356,'[1]Raw data'!$B:$Z,4,FALSE)</f>
        <v>YSM20R-2</v>
      </c>
      <c r="T1356" s="647" t="str">
        <f>VLOOKUP(A1356,'[1]Raw data'!$B:$Z,8,FALSE)</f>
        <v>L-&gt;R</v>
      </c>
      <c r="U1356" s="647" t="str">
        <f>VLOOKUP(A1356,'[1]Raw data'!$B:$Z,9,FALSE)</f>
        <v>No</v>
      </c>
      <c r="V1356" s="567" t="str">
        <f t="shared" si="312"/>
        <v>OK</v>
      </c>
      <c r="W1356" s="563" t="str">
        <f>VLOOKUP(A1356,'[1]Raw data'!$B:$AG,32,FALSE)</f>
        <v>DDP SZ</v>
      </c>
      <c r="X1356" s="647">
        <f>VLOOKUP(A1356,'[1]Raw data'!$B:$BA,31,FALSE)</f>
        <v>44879</v>
      </c>
      <c r="Y1356" s="647" t="str">
        <f>VLOOKUP(A1356,'[1]Raw data'!$B:$AS,39,FALSE)</f>
        <v>Yes</v>
      </c>
      <c r="Z1356" s="666"/>
      <c r="AA1356" s="667"/>
      <c r="AB1356" s="668"/>
      <c r="AC1356" s="647" t="s">
        <v>2336</v>
      </c>
      <c r="AD1356" s="575">
        <v>301</v>
      </c>
      <c r="AE1356" s="575">
        <v>10</v>
      </c>
      <c r="AF1356" s="575">
        <v>311</v>
      </c>
      <c r="AG1356" s="575">
        <v>5</v>
      </c>
      <c r="AH1356" s="575">
        <v>312</v>
      </c>
      <c r="AI1356" s="575">
        <v>5</v>
      </c>
      <c r="AJ1356" s="564"/>
      <c r="AK1356" s="564"/>
      <c r="AL1356" s="564"/>
      <c r="AM1356" s="564"/>
      <c r="AN1356" s="614"/>
      <c r="AO1356" s="824" t="str">
        <f t="shared" si="304"/>
        <v>Yes</v>
      </c>
      <c r="AP1356" s="259" t="str">
        <f t="shared" si="305"/>
        <v>NOV 22</v>
      </c>
      <c r="AQ1356" s="542" t="str">
        <f t="shared" si="306"/>
        <v>有定金+有預留客戶</v>
      </c>
      <c r="AR1356" s="259" t="str">
        <f t="shared" si="307"/>
        <v>Shipped_Stock</v>
      </c>
      <c r="AS1356" s="259" t="str">
        <f t="shared" si="308"/>
        <v/>
      </c>
      <c r="AT1356" s="259" t="str">
        <f t="shared" si="309"/>
        <v>朗特</v>
      </c>
      <c r="AU1356" s="259" t="str">
        <f t="shared" si="310"/>
        <v>C49SZX20220117DZ</v>
      </c>
      <c r="AV1356" s="259" t="str">
        <f t="shared" si="311"/>
        <v>2022/10/2,蛇口港</v>
      </c>
    </row>
    <row r="1357" spans="1:48" ht="16.5" hidden="1">
      <c r="A1357" s="599">
        <v>1756</v>
      </c>
      <c r="B1357" s="664" t="s">
        <v>1125</v>
      </c>
      <c r="C1357" s="664" t="s">
        <v>281</v>
      </c>
      <c r="D1357" s="645" t="s">
        <v>2617</v>
      </c>
      <c r="E1357" s="793" t="s">
        <v>2618</v>
      </c>
      <c r="F1357" s="647" t="s">
        <v>58</v>
      </c>
      <c r="G1357" s="647" t="s">
        <v>24</v>
      </c>
      <c r="H1357" s="647" t="s">
        <v>26</v>
      </c>
      <c r="I1357" s="575" t="s">
        <v>2622</v>
      </c>
      <c r="J1357" s="575">
        <v>1</v>
      </c>
      <c r="K1357" s="647" t="s">
        <v>1419</v>
      </c>
      <c r="L1357" s="657" t="s">
        <v>2611</v>
      </c>
      <c r="M1357" s="717">
        <v>5.1900000000000002E-2</v>
      </c>
      <c r="N1357" s="647" t="s">
        <v>208</v>
      </c>
      <c r="O1357" s="575">
        <v>2022.9</v>
      </c>
      <c r="P1357" s="665" t="str">
        <f>VLOOKUP(A1357,'[1]Raw data'!$B:$BA,23,FALSE)</f>
        <v>RMB</v>
      </c>
      <c r="Q1357" s="647" t="str">
        <f>VLOOKUP(A1357,'[1]Raw data'!$B:$Z,2,FALSE)</f>
        <v>C49SZX20220117DZ</v>
      </c>
      <c r="R1357" s="647" t="str">
        <f>VLOOKUP(A1357,'[1]Raw data'!$B:$Z,3,FALSE)</f>
        <v>朗特</v>
      </c>
      <c r="S1357" s="647" t="str">
        <f>VLOOKUP(A1357,'[1]Raw data'!$B:$Z,4,FALSE)</f>
        <v>YSM20R-2</v>
      </c>
      <c r="T1357" s="647" t="str">
        <f>VLOOKUP(A1357,'[1]Raw data'!$B:$Z,8,FALSE)</f>
        <v>L-&gt;R</v>
      </c>
      <c r="U1357" s="647" t="str">
        <f>VLOOKUP(A1357,'[1]Raw data'!$B:$Z,9,FALSE)</f>
        <v>No</v>
      </c>
      <c r="V1357" s="567" t="str">
        <f t="shared" si="312"/>
        <v>OK</v>
      </c>
      <c r="W1357" s="563" t="str">
        <f>VLOOKUP(A1357,'[1]Raw data'!$B:$AG,32,FALSE)</f>
        <v>DDP SZ</v>
      </c>
      <c r="X1357" s="647">
        <f>VLOOKUP(A1357,'[1]Raw data'!$B:$BA,31,FALSE)</f>
        <v>44879</v>
      </c>
      <c r="Y1357" s="647" t="str">
        <f>VLOOKUP(A1357,'[1]Raw data'!$B:$AS,39,FALSE)</f>
        <v>Yes</v>
      </c>
      <c r="Z1357" s="666"/>
      <c r="AA1357" s="667"/>
      <c r="AB1357" s="668"/>
      <c r="AC1357" s="647" t="s">
        <v>2336</v>
      </c>
      <c r="AD1357" s="575">
        <v>311</v>
      </c>
      <c r="AE1357" s="575">
        <v>10</v>
      </c>
      <c r="AF1357" s="575">
        <v>311</v>
      </c>
      <c r="AG1357" s="575">
        <v>5</v>
      </c>
      <c r="AH1357" s="575">
        <v>312</v>
      </c>
      <c r="AI1357" s="575">
        <v>5</v>
      </c>
      <c r="AJ1357" s="564"/>
      <c r="AK1357" s="564"/>
      <c r="AL1357" s="564"/>
      <c r="AM1357" s="564"/>
      <c r="AN1357" s="614"/>
      <c r="AO1357" s="824" t="str">
        <f t="shared" si="304"/>
        <v>Yes</v>
      </c>
      <c r="AP1357" s="259" t="str">
        <f t="shared" si="305"/>
        <v>NOV 22</v>
      </c>
      <c r="AQ1357" s="542" t="str">
        <f t="shared" si="306"/>
        <v>有定金+有預留客戶</v>
      </c>
      <c r="AR1357" s="259" t="str">
        <f t="shared" si="307"/>
        <v>Shipped_Stock</v>
      </c>
      <c r="AS1357" s="259" t="str">
        <f t="shared" si="308"/>
        <v/>
      </c>
      <c r="AT1357" s="259" t="str">
        <f t="shared" si="309"/>
        <v>朗特</v>
      </c>
      <c r="AU1357" s="259" t="str">
        <f t="shared" si="310"/>
        <v>C49SZX20220117DZ</v>
      </c>
      <c r="AV1357" s="259" t="str">
        <f t="shared" si="311"/>
        <v>2022/10/2,蛇口港</v>
      </c>
    </row>
    <row r="1358" spans="1:48" ht="16.5" hidden="1">
      <c r="A1358" s="559">
        <v>1826</v>
      </c>
      <c r="B1358" s="664" t="s">
        <v>1125</v>
      </c>
      <c r="C1358" s="664" t="s">
        <v>281</v>
      </c>
      <c r="D1358" s="645" t="s">
        <v>2617</v>
      </c>
      <c r="E1358" s="793" t="s">
        <v>2618</v>
      </c>
      <c r="F1358" s="647" t="s">
        <v>58</v>
      </c>
      <c r="G1358" s="647" t="s">
        <v>24</v>
      </c>
      <c r="H1358" s="647" t="s">
        <v>26</v>
      </c>
      <c r="I1358" s="575" t="s">
        <v>2623</v>
      </c>
      <c r="J1358" s="575">
        <v>1</v>
      </c>
      <c r="K1358" s="647" t="s">
        <v>1419</v>
      </c>
      <c r="L1358" s="657" t="s">
        <v>2611</v>
      </c>
      <c r="M1358" s="717">
        <v>5.1900000000000002E-2</v>
      </c>
      <c r="N1358" s="647" t="s">
        <v>217</v>
      </c>
      <c r="O1358" s="575">
        <v>2022.9</v>
      </c>
      <c r="P1358" s="665" t="str">
        <f>VLOOKUP(A1358,'[1]Raw data'!$B:$BA,23,FALSE)</f>
        <v>RMB</v>
      </c>
      <c r="Q1358" s="647" t="str">
        <f>VLOOKUP(A1358,'[1]Raw data'!$B:$Z,2,FALSE)</f>
        <v>C49SZX202300011SX</v>
      </c>
      <c r="R1358" s="647" t="str">
        <f>VLOOKUP(A1358,'[1]Raw data'!$B:$Z,3,FALSE)</f>
        <v>益田科技</v>
      </c>
      <c r="S1358" s="647" t="str">
        <f>VLOOKUP(A1358,'[1]Raw data'!$B:$Z,4,FALSE)</f>
        <v>YSM20R-2</v>
      </c>
      <c r="T1358" s="647" t="str">
        <f>VLOOKUP(A1358,'[1]Raw data'!$B:$Z,8,FALSE)</f>
        <v>L-&gt;R</v>
      </c>
      <c r="U1358" s="647" t="str">
        <f>VLOOKUP(A1358,'[1]Raw data'!$B:$Z,9,FALSE)</f>
        <v>No</v>
      </c>
      <c r="V1358" s="567" t="str">
        <f t="shared" si="312"/>
        <v>OK</v>
      </c>
      <c r="W1358" s="563" t="str">
        <f>VLOOKUP(A1358,'[1]Raw data'!$B:$AG,32,FALSE)</f>
        <v>DDP SZ</v>
      </c>
      <c r="X1358" s="647">
        <f>VLOOKUP(A1358,'[1]Raw data'!$B:$BA,31,FALSE)</f>
        <v>44960</v>
      </c>
      <c r="Y1358" s="647" t="str">
        <f>VLOOKUP(A1358,'[1]Raw data'!$B:$AS,39,FALSE)</f>
        <v>Yes</v>
      </c>
      <c r="Z1358" s="666"/>
      <c r="AA1358" s="660"/>
      <c r="AB1358" s="661"/>
      <c r="AC1358" s="647" t="s">
        <v>2490</v>
      </c>
      <c r="AD1358" s="575">
        <v>311</v>
      </c>
      <c r="AE1358" s="575">
        <v>10</v>
      </c>
      <c r="AF1358" s="575">
        <v>311</v>
      </c>
      <c r="AG1358" s="575">
        <v>5</v>
      </c>
      <c r="AH1358" s="575">
        <v>312</v>
      </c>
      <c r="AI1358" s="575">
        <v>5</v>
      </c>
      <c r="AN1358" s="542"/>
      <c r="AO1358" s="824" t="str">
        <f t="shared" si="304"/>
        <v>Yes</v>
      </c>
      <c r="AP1358" s="259" t="str">
        <f t="shared" si="305"/>
        <v>FEB 23</v>
      </c>
      <c r="AQ1358" s="542" t="str">
        <f t="shared" si="306"/>
        <v>有定金+有預留客戶</v>
      </c>
      <c r="AR1358" s="259" t="str">
        <f t="shared" si="307"/>
        <v>Shipped_Stock</v>
      </c>
      <c r="AS1358" s="259" t="str">
        <f t="shared" si="308"/>
        <v/>
      </c>
      <c r="AT1358" s="259" t="str">
        <f t="shared" si="309"/>
        <v>益田科技</v>
      </c>
      <c r="AU1358" s="259" t="str">
        <f t="shared" si="310"/>
        <v>C49SZX202300011SX</v>
      </c>
      <c r="AV1358" s="259" t="str">
        <f t="shared" si="311"/>
        <v>2022/10/2,蛇口港</v>
      </c>
    </row>
    <row r="1359" spans="1:48" hidden="1">
      <c r="A1359" s="559">
        <v>1823</v>
      </c>
      <c r="B1359" s="664" t="s">
        <v>1125</v>
      </c>
      <c r="C1359" s="664" t="s">
        <v>281</v>
      </c>
      <c r="D1359" s="645" t="s">
        <v>2624</v>
      </c>
      <c r="E1359" s="767" t="s">
        <v>2625</v>
      </c>
      <c r="F1359" s="647" t="s">
        <v>58</v>
      </c>
      <c r="G1359" s="647" t="s">
        <v>24</v>
      </c>
      <c r="H1359" s="647" t="s">
        <v>26</v>
      </c>
      <c r="I1359" s="575" t="s">
        <v>2626</v>
      </c>
      <c r="J1359" s="575">
        <v>1</v>
      </c>
      <c r="K1359" s="647" t="s">
        <v>1419</v>
      </c>
      <c r="L1359" s="657" t="s">
        <v>2611</v>
      </c>
      <c r="M1359" s="717"/>
      <c r="N1359" s="647" t="s">
        <v>217</v>
      </c>
      <c r="O1359" s="575">
        <v>2022.8</v>
      </c>
      <c r="P1359" s="665" t="str">
        <f>VLOOKUP(A1359,'[1]Raw data'!$B:$BA,23,FALSE)</f>
        <v>RMB</v>
      </c>
      <c r="Q1359" s="647" t="str">
        <f>VLOOKUP(A1359,'[1]Raw data'!$B:$Z,2,FALSE)</f>
        <v>C49SZX202300011SX</v>
      </c>
      <c r="R1359" s="647" t="str">
        <f>VLOOKUP(A1359,'[1]Raw data'!$B:$Z,3,FALSE)</f>
        <v>益田科技</v>
      </c>
      <c r="S1359" s="647" t="str">
        <f>VLOOKUP(A1359,'[1]Raw data'!$B:$Z,4,FALSE)</f>
        <v>YSM20R-2</v>
      </c>
      <c r="T1359" s="647" t="str">
        <f>VLOOKUP(A1359,'[1]Raw data'!$B:$Z,8,FALSE)</f>
        <v>L-&gt;R</v>
      </c>
      <c r="U1359" s="647" t="str">
        <f>VLOOKUP(A1359,'[1]Raw data'!$B:$Z,9,FALSE)</f>
        <v>No</v>
      </c>
      <c r="V1359" s="567" t="str">
        <f t="shared" si="312"/>
        <v>OK</v>
      </c>
      <c r="W1359" s="563" t="str">
        <f>VLOOKUP(A1359,'[1]Raw data'!$B:$AG,32,FALSE)</f>
        <v>DDP SZ</v>
      </c>
      <c r="X1359" s="647">
        <f>VLOOKUP(A1359,'[1]Raw data'!$B:$BA,31,FALSE)</f>
        <v>44960</v>
      </c>
      <c r="Y1359" s="647" t="str">
        <f>VLOOKUP(A1359,'[1]Raw data'!$B:$AS,39,FALSE)</f>
        <v>Yes</v>
      </c>
      <c r="Z1359" s="666"/>
      <c r="AA1359" s="660"/>
      <c r="AB1359" s="661"/>
      <c r="AC1359" s="647" t="s">
        <v>1172</v>
      </c>
      <c r="AD1359" s="575">
        <v>311</v>
      </c>
      <c r="AE1359" s="575">
        <v>15</v>
      </c>
      <c r="AF1359" s="575">
        <v>303</v>
      </c>
      <c r="AG1359" s="575">
        <v>5</v>
      </c>
      <c r="AH1359" s="575"/>
      <c r="AI1359" s="679"/>
      <c r="AN1359" s="542"/>
      <c r="AO1359" s="824" t="str">
        <f t="shared" si="304"/>
        <v>Yes</v>
      </c>
      <c r="AP1359" s="259" t="str">
        <f t="shared" si="305"/>
        <v>FEB 23</v>
      </c>
      <c r="AQ1359" s="542" t="str">
        <f t="shared" si="306"/>
        <v>有定金+有預留客戶</v>
      </c>
      <c r="AR1359" s="259" t="str">
        <f t="shared" si="307"/>
        <v>Shipped_Stock</v>
      </c>
      <c r="AS1359" s="259" t="str">
        <f t="shared" si="308"/>
        <v/>
      </c>
      <c r="AT1359" s="259" t="str">
        <f t="shared" si="309"/>
        <v>益田科技</v>
      </c>
      <c r="AU1359" s="259" t="str">
        <f t="shared" si="310"/>
        <v>C49SZX202300011SX</v>
      </c>
      <c r="AV1359" s="259" t="str">
        <f t="shared" si="311"/>
        <v>2022/10/2,蛇口港</v>
      </c>
    </row>
    <row r="1360" spans="1:48" hidden="1">
      <c r="A1360" s="559">
        <v>1824</v>
      </c>
      <c r="B1360" s="664" t="s">
        <v>1125</v>
      </c>
      <c r="C1360" s="664" t="s">
        <v>281</v>
      </c>
      <c r="D1360" s="645" t="s">
        <v>2624</v>
      </c>
      <c r="E1360" s="767" t="s">
        <v>2625</v>
      </c>
      <c r="F1360" s="647" t="s">
        <v>58</v>
      </c>
      <c r="G1360" s="647" t="s">
        <v>24</v>
      </c>
      <c r="H1360" s="647" t="s">
        <v>26</v>
      </c>
      <c r="I1360" s="575" t="s">
        <v>2627</v>
      </c>
      <c r="J1360" s="575">
        <v>1</v>
      </c>
      <c r="K1360" s="647" t="s">
        <v>1419</v>
      </c>
      <c r="L1360" s="657" t="s">
        <v>2611</v>
      </c>
      <c r="M1360" s="665">
        <v>5.1200000000000002E-2</v>
      </c>
      <c r="N1360" s="647" t="s">
        <v>217</v>
      </c>
      <c r="O1360" s="575">
        <v>2022.8</v>
      </c>
      <c r="P1360" s="665" t="str">
        <f>VLOOKUP(A1360,'[1]Raw data'!$B:$BA,23,FALSE)</f>
        <v>RMB</v>
      </c>
      <c r="Q1360" s="647" t="str">
        <f>VLOOKUP(A1360,'[1]Raw data'!$B:$Z,2,FALSE)</f>
        <v>C49SZX202300011SX</v>
      </c>
      <c r="R1360" s="647" t="str">
        <f>VLOOKUP(A1360,'[1]Raw data'!$B:$Z,3,FALSE)</f>
        <v>益田科技</v>
      </c>
      <c r="S1360" s="647" t="str">
        <f>VLOOKUP(A1360,'[1]Raw data'!$B:$Z,4,FALSE)</f>
        <v>YSM20R-2</v>
      </c>
      <c r="T1360" s="647" t="str">
        <f>VLOOKUP(A1360,'[1]Raw data'!$B:$Z,8,FALSE)</f>
        <v>L-&gt;R</v>
      </c>
      <c r="U1360" s="647" t="str">
        <f>VLOOKUP(A1360,'[1]Raw data'!$B:$Z,9,FALSE)</f>
        <v>No</v>
      </c>
      <c r="V1360" s="567" t="str">
        <f t="shared" si="312"/>
        <v>OK</v>
      </c>
      <c r="W1360" s="563" t="str">
        <f>VLOOKUP(A1360,'[1]Raw data'!$B:$AG,32,FALSE)</f>
        <v>DDP SZ</v>
      </c>
      <c r="X1360" s="647">
        <f>VLOOKUP(A1360,'[1]Raw data'!$B:$BA,31,FALSE)</f>
        <v>44960</v>
      </c>
      <c r="Y1360" s="647" t="str">
        <f>VLOOKUP(A1360,'[1]Raw data'!$B:$AS,39,FALSE)</f>
        <v>Yes</v>
      </c>
      <c r="Z1360" s="666"/>
      <c r="AA1360" s="660"/>
      <c r="AB1360" s="661"/>
      <c r="AC1360" s="647" t="s">
        <v>1172</v>
      </c>
      <c r="AD1360" s="575">
        <v>311</v>
      </c>
      <c r="AE1360" s="575">
        <v>15</v>
      </c>
      <c r="AF1360" s="575">
        <v>303</v>
      </c>
      <c r="AG1360" s="575">
        <v>5</v>
      </c>
      <c r="AH1360" s="575"/>
      <c r="AI1360" s="679"/>
      <c r="AN1360" s="542"/>
      <c r="AO1360" s="824" t="str">
        <f t="shared" si="304"/>
        <v>Yes</v>
      </c>
      <c r="AP1360" s="259" t="str">
        <f t="shared" si="305"/>
        <v>FEB 23</v>
      </c>
      <c r="AQ1360" s="542" t="str">
        <f t="shared" si="306"/>
        <v>有定金+有預留客戶</v>
      </c>
      <c r="AR1360" s="259" t="str">
        <f t="shared" si="307"/>
        <v>Shipped_Stock</v>
      </c>
      <c r="AS1360" s="259" t="str">
        <f t="shared" si="308"/>
        <v/>
      </c>
      <c r="AT1360" s="259" t="str">
        <f t="shared" si="309"/>
        <v>益田科技</v>
      </c>
      <c r="AU1360" s="259" t="str">
        <f t="shared" si="310"/>
        <v>C49SZX202300011SX</v>
      </c>
      <c r="AV1360" s="259" t="str">
        <f t="shared" si="311"/>
        <v>2022/10/2,蛇口港</v>
      </c>
    </row>
    <row r="1361" spans="1:48" hidden="1">
      <c r="A1361" s="559">
        <v>1825</v>
      </c>
      <c r="B1361" s="664" t="s">
        <v>1125</v>
      </c>
      <c r="C1361" s="664" t="s">
        <v>281</v>
      </c>
      <c r="D1361" s="645" t="s">
        <v>2624</v>
      </c>
      <c r="E1361" s="767" t="s">
        <v>2625</v>
      </c>
      <c r="F1361" s="647" t="s">
        <v>58</v>
      </c>
      <c r="G1361" s="647" t="s">
        <v>24</v>
      </c>
      <c r="H1361" s="647" t="s">
        <v>26</v>
      </c>
      <c r="I1361" s="575" t="s">
        <v>2628</v>
      </c>
      <c r="J1361" s="575">
        <v>1</v>
      </c>
      <c r="K1361" s="647" t="s">
        <v>1419</v>
      </c>
      <c r="L1361" s="657" t="s">
        <v>2611</v>
      </c>
      <c r="M1361" s="665">
        <v>5.1200000000000002E-2</v>
      </c>
      <c r="N1361" s="647" t="s">
        <v>217</v>
      </c>
      <c r="O1361" s="575">
        <v>2022.9</v>
      </c>
      <c r="P1361" s="665" t="str">
        <f>VLOOKUP(A1361,'[1]Raw data'!$B:$BA,23,FALSE)</f>
        <v>RMB</v>
      </c>
      <c r="Q1361" s="647" t="str">
        <f>VLOOKUP(A1361,'[1]Raw data'!$B:$Z,2,FALSE)</f>
        <v>C49SZX202300011SX</v>
      </c>
      <c r="R1361" s="647" t="str">
        <f>VLOOKUP(A1361,'[1]Raw data'!$B:$Z,3,FALSE)</f>
        <v>益田科技</v>
      </c>
      <c r="S1361" s="647" t="str">
        <f>VLOOKUP(A1361,'[1]Raw data'!$B:$Z,4,FALSE)</f>
        <v>YSM20R-2</v>
      </c>
      <c r="T1361" s="647" t="str">
        <f>VLOOKUP(A1361,'[1]Raw data'!$B:$Z,8,FALSE)</f>
        <v>L-&gt;R</v>
      </c>
      <c r="U1361" s="647" t="str">
        <f>VLOOKUP(A1361,'[1]Raw data'!$B:$Z,9,FALSE)</f>
        <v>No</v>
      </c>
      <c r="V1361" s="567" t="str">
        <f t="shared" si="312"/>
        <v>OK</v>
      </c>
      <c r="W1361" s="563" t="str">
        <f>VLOOKUP(A1361,'[1]Raw data'!$B:$AG,32,FALSE)</f>
        <v>DDP SZ</v>
      </c>
      <c r="X1361" s="647">
        <f>VLOOKUP(A1361,'[1]Raw data'!$B:$BA,31,FALSE)</f>
        <v>44960</v>
      </c>
      <c r="Y1361" s="647" t="str">
        <f>VLOOKUP(A1361,'[1]Raw data'!$B:$AS,39,FALSE)</f>
        <v>Yes</v>
      </c>
      <c r="Z1361" s="666"/>
      <c r="AA1361" s="660"/>
      <c r="AB1361" s="661"/>
      <c r="AC1361" s="647" t="s">
        <v>1172</v>
      </c>
      <c r="AD1361" s="575">
        <v>311</v>
      </c>
      <c r="AE1361" s="575">
        <v>15</v>
      </c>
      <c r="AF1361" s="575">
        <v>303</v>
      </c>
      <c r="AG1361" s="575">
        <v>5</v>
      </c>
      <c r="AH1361" s="575"/>
      <c r="AI1361" s="679"/>
      <c r="AN1361" s="542"/>
      <c r="AO1361" s="824" t="str">
        <f t="shared" si="304"/>
        <v>Yes</v>
      </c>
      <c r="AP1361" s="259" t="str">
        <f t="shared" si="305"/>
        <v>FEB 23</v>
      </c>
      <c r="AQ1361" s="542" t="str">
        <f t="shared" si="306"/>
        <v>有定金+有預留客戶</v>
      </c>
      <c r="AR1361" s="259" t="str">
        <f t="shared" si="307"/>
        <v>Shipped_Stock</v>
      </c>
      <c r="AS1361" s="259" t="str">
        <f t="shared" si="308"/>
        <v/>
      </c>
      <c r="AT1361" s="259" t="str">
        <f t="shared" si="309"/>
        <v>益田科技</v>
      </c>
      <c r="AU1361" s="259" t="str">
        <f t="shared" si="310"/>
        <v>C49SZX202300011SX</v>
      </c>
      <c r="AV1361" s="259" t="str">
        <f t="shared" si="311"/>
        <v>2022/10/2,蛇口港</v>
      </c>
    </row>
    <row r="1362" spans="1:48" ht="22.5" hidden="1">
      <c r="A1362" s="559">
        <v>1729</v>
      </c>
      <c r="B1362" s="664" t="s">
        <v>1125</v>
      </c>
      <c r="C1362" s="664" t="s">
        <v>281</v>
      </c>
      <c r="D1362" s="645" t="s">
        <v>2624</v>
      </c>
      <c r="E1362" s="767" t="s">
        <v>2625</v>
      </c>
      <c r="F1362" s="647" t="s">
        <v>58</v>
      </c>
      <c r="G1362" s="647" t="s">
        <v>18</v>
      </c>
      <c r="H1362" s="647" t="s">
        <v>26</v>
      </c>
      <c r="I1362" s="575" t="s">
        <v>2629</v>
      </c>
      <c r="J1362" s="575">
        <v>1</v>
      </c>
      <c r="K1362" s="647" t="s">
        <v>1419</v>
      </c>
      <c r="L1362" s="657" t="s">
        <v>2611</v>
      </c>
      <c r="M1362" s="665" t="s">
        <v>2630</v>
      </c>
      <c r="N1362" s="647" t="s">
        <v>220</v>
      </c>
      <c r="O1362" s="575">
        <v>2022.9</v>
      </c>
      <c r="P1362" s="665" t="str">
        <f>VLOOKUP(A1362,'[1]Raw data'!$B:$BA,23,FALSE)</f>
        <v>JPY</v>
      </c>
      <c r="Q1362" s="647" t="str">
        <f>VLOOKUP(A1362,'[1]Raw data'!$B:$Z,2,FALSE)</f>
        <v>C49SZX20220099JY</v>
      </c>
      <c r="R1362" s="647" t="str">
        <f>VLOOKUP(A1362,'[1]Raw data'!$B:$Z,3,FALSE)</f>
        <v>创荣发</v>
      </c>
      <c r="S1362" s="647" t="str">
        <f>VLOOKUP(A1362,'[1]Raw data'!$B:$Z,4,FALSE)</f>
        <v>YSM20R-2</v>
      </c>
      <c r="T1362" s="647" t="str">
        <f>VLOOKUP(A1362,'[1]Raw data'!$B:$Z,8,FALSE)</f>
        <v>R-&gt;L</v>
      </c>
      <c r="U1362" s="647" t="str">
        <f>VLOOKUP(A1362,'[1]Raw data'!$B:$Z,9,FALSE)</f>
        <v>No</v>
      </c>
      <c r="V1362" s="567" t="str">
        <f t="shared" si="312"/>
        <v>OK</v>
      </c>
      <c r="W1362" s="563" t="str">
        <f>VLOOKUP(A1362,'[1]Raw data'!$B:$AG,32,FALSE)</f>
        <v>DAP HZ</v>
      </c>
      <c r="X1362" s="647">
        <f>VLOOKUP(A1362,'[1]Raw data'!$B:$BA,31,FALSE)</f>
        <v>44826</v>
      </c>
      <c r="Y1362" s="647" t="str">
        <f>VLOOKUP(A1362,'[1]Raw data'!$B:$AS,39,FALSE)</f>
        <v>Yes</v>
      </c>
      <c r="Z1362" s="666"/>
      <c r="AA1362" s="660"/>
      <c r="AB1362" s="661"/>
      <c r="AC1362" s="647" t="s">
        <v>2384</v>
      </c>
      <c r="AD1362" s="662">
        <v>311</v>
      </c>
      <c r="AE1362" s="662">
        <v>15</v>
      </c>
      <c r="AF1362" s="662">
        <v>303</v>
      </c>
      <c r="AG1362" s="662">
        <v>5</v>
      </c>
      <c r="AH1362" s="662"/>
      <c r="AI1362" s="663"/>
      <c r="AN1362" s="542"/>
      <c r="AO1362" s="824" t="str">
        <f t="shared" si="304"/>
        <v>Yes</v>
      </c>
      <c r="AP1362" s="259" t="str">
        <f t="shared" si="305"/>
        <v>DEC 22</v>
      </c>
      <c r="AQ1362" s="542" t="str">
        <f t="shared" si="306"/>
        <v>有定金+有預留客戶</v>
      </c>
      <c r="AR1362" s="259" t="str">
        <f t="shared" si="307"/>
        <v>Shipped_Stock</v>
      </c>
      <c r="AS1362" s="259" t="str">
        <f t="shared" si="308"/>
        <v/>
      </c>
      <c r="AT1362" s="259" t="str">
        <f t="shared" si="309"/>
        <v>创荣发</v>
      </c>
      <c r="AU1362" s="259" t="str">
        <f t="shared" si="310"/>
        <v>C49SZX20220099JY</v>
      </c>
      <c r="AV1362" s="259" t="str">
        <f t="shared" si="311"/>
        <v>2022/10/2,蛇口港</v>
      </c>
    </row>
    <row r="1363" spans="1:48" hidden="1">
      <c r="A1363" s="559">
        <v>1792</v>
      </c>
      <c r="B1363" s="664" t="s">
        <v>1125</v>
      </c>
      <c r="C1363" s="664" t="s">
        <v>281</v>
      </c>
      <c r="D1363" s="645" t="s">
        <v>2624</v>
      </c>
      <c r="E1363" s="767" t="s">
        <v>2625</v>
      </c>
      <c r="F1363" s="647" t="s">
        <v>58</v>
      </c>
      <c r="G1363" s="647" t="s">
        <v>18</v>
      </c>
      <c r="H1363" s="647" t="s">
        <v>26</v>
      </c>
      <c r="I1363" s="575" t="s">
        <v>2631</v>
      </c>
      <c r="J1363" s="575">
        <v>1</v>
      </c>
      <c r="K1363" s="647" t="s">
        <v>1419</v>
      </c>
      <c r="L1363" s="657" t="s">
        <v>2611</v>
      </c>
      <c r="M1363" s="665">
        <v>5.1200000000000002E-2</v>
      </c>
      <c r="N1363" s="647" t="s">
        <v>215</v>
      </c>
      <c r="O1363" s="575">
        <v>2022.9</v>
      </c>
      <c r="P1363" s="665" t="str">
        <f>VLOOKUP(A1363,'[1]Raw data'!$B:$BA,23,FALSE)</f>
        <v>RMB</v>
      </c>
      <c r="Q1363" s="647" t="str">
        <f>VLOOKUP(A1363,'[1]Raw data'!$B:$Z,2,FALSE)</f>
        <v>C49SZX20220141SS</v>
      </c>
      <c r="R1363" s="647" t="str">
        <f>VLOOKUP(A1363,'[1]Raw data'!$B:$Z,3,FALSE)</f>
        <v>乐凡</v>
      </c>
      <c r="S1363" s="647" t="str">
        <f>VLOOKUP(A1363,'[1]Raw data'!$B:$Z,4,FALSE)</f>
        <v>YSM20R-2</v>
      </c>
      <c r="T1363" s="647" t="str">
        <f>VLOOKUP(A1363,'[1]Raw data'!$B:$Z,8,FALSE)</f>
        <v>R-&gt;L</v>
      </c>
      <c r="U1363" s="647" t="str">
        <f>VLOOKUP(A1363,'[1]Raw data'!$B:$Z,9,FALSE)</f>
        <v>No</v>
      </c>
      <c r="V1363" s="567" t="str">
        <f t="shared" si="312"/>
        <v>OK</v>
      </c>
      <c r="W1363" s="563" t="str">
        <f>VLOOKUP(A1363,'[1]Raw data'!$B:$AG,32,FALSE)</f>
        <v>DDP SZ</v>
      </c>
      <c r="X1363" s="647">
        <f>VLOOKUP(A1363,'[1]Raw data'!$B:$BA,31,FALSE)</f>
        <v>44916</v>
      </c>
      <c r="Y1363" s="647" t="str">
        <f>VLOOKUP(A1363,'[1]Raw data'!$B:$AS,39,FALSE)</f>
        <v>Yes</v>
      </c>
      <c r="Z1363" s="666"/>
      <c r="AA1363" s="660"/>
      <c r="AB1363" s="661"/>
      <c r="AC1363" s="647" t="s">
        <v>2476</v>
      </c>
      <c r="AD1363" s="662">
        <v>311</v>
      </c>
      <c r="AE1363" s="662">
        <v>15</v>
      </c>
      <c r="AF1363" s="662">
        <v>303</v>
      </c>
      <c r="AG1363" s="662">
        <v>5</v>
      </c>
      <c r="AH1363" s="662"/>
      <c r="AI1363" s="663"/>
      <c r="AN1363" s="542"/>
      <c r="AO1363" s="824" t="str">
        <f t="shared" si="304"/>
        <v>Yes</v>
      </c>
      <c r="AP1363" s="259" t="str">
        <f t="shared" si="305"/>
        <v>JAN 23</v>
      </c>
      <c r="AQ1363" s="542" t="str">
        <f t="shared" si="306"/>
        <v>有定金+有預留客戶</v>
      </c>
      <c r="AR1363" s="259" t="str">
        <f t="shared" si="307"/>
        <v>Shipped_Stock</v>
      </c>
      <c r="AS1363" s="259" t="str">
        <f t="shared" si="308"/>
        <v/>
      </c>
      <c r="AT1363" s="259" t="str">
        <f t="shared" si="309"/>
        <v>乐凡</v>
      </c>
      <c r="AU1363" s="259" t="str">
        <f t="shared" si="310"/>
        <v>C49SZX20220141SS</v>
      </c>
      <c r="AV1363" s="259" t="str">
        <f t="shared" si="311"/>
        <v>2022/10/2,蛇口港</v>
      </c>
    </row>
    <row r="1364" spans="1:48" ht="16.5" hidden="1">
      <c r="A1364" s="559">
        <v>1765</v>
      </c>
      <c r="B1364" s="664" t="s">
        <v>1125</v>
      </c>
      <c r="C1364" s="664" t="s">
        <v>281</v>
      </c>
      <c r="D1364" s="645" t="s">
        <v>2632</v>
      </c>
      <c r="E1364" s="744" t="s">
        <v>2625</v>
      </c>
      <c r="F1364" s="647" t="s">
        <v>17</v>
      </c>
      <c r="G1364" s="647" t="s">
        <v>18</v>
      </c>
      <c r="H1364" s="647" t="s">
        <v>102</v>
      </c>
      <c r="I1364" s="575" t="s">
        <v>2633</v>
      </c>
      <c r="J1364" s="575">
        <v>1</v>
      </c>
      <c r="K1364" s="647" t="s">
        <v>1419</v>
      </c>
      <c r="L1364" s="657" t="s">
        <v>2634</v>
      </c>
      <c r="M1364" s="665">
        <v>5.1200000000000002E-2</v>
      </c>
      <c r="N1364" s="647" t="s">
        <v>226</v>
      </c>
      <c r="O1364" s="575">
        <v>2022.8</v>
      </c>
      <c r="P1364" s="665" t="str">
        <f>VLOOKUP(A1364,'[1]Raw data'!$B:$BA,23,FALSE)</f>
        <v>RMB</v>
      </c>
      <c r="Q1364" s="647" t="str">
        <f>VLOOKUP(A1364,'[1]Raw data'!$B:$Z,2,FALSE)</f>
        <v>C49SZX20220126JL</v>
      </c>
      <c r="R1364" s="647" t="str">
        <f>VLOOKUP(A1364,'[1]Raw data'!$B:$Z,3,FALSE)</f>
        <v>伯莱科</v>
      </c>
      <c r="S1364" s="647" t="str">
        <f>VLOOKUP(A1364,'[1]Raw data'!$B:$Z,4,FALSE)</f>
        <v>YSM10</v>
      </c>
      <c r="T1364" s="647" t="str">
        <f>VLOOKUP(A1364,'[1]Raw data'!$B:$Z,8,FALSE)</f>
        <v>L-&gt;R</v>
      </c>
      <c r="U1364" s="647" t="str">
        <f>VLOOKUP(A1364,'[1]Raw data'!$B:$Z,9,FALSE)</f>
        <v>MVC</v>
      </c>
      <c r="V1364" s="567" t="str">
        <f t="shared" ref="V1364:V1366" si="313">IF(G1364&amp;H1364=T1364&amp;U1364,"OK","WRONG")</f>
        <v>WRONG</v>
      </c>
      <c r="W1364" s="563" t="str">
        <f>VLOOKUP(A1364,'[1]Raw data'!$B:$AG,32,FALSE)</f>
        <v>DDP SZ</v>
      </c>
      <c r="X1364" s="647">
        <f>VLOOKUP(A1364,'[1]Raw data'!$B:$BA,31,FALSE)</f>
        <v>44898</v>
      </c>
      <c r="Y1364" s="647" t="str">
        <f>VLOOKUP(A1364,'[1]Raw data'!$B:$AS,39,FALSE)</f>
        <v>Yes</v>
      </c>
      <c r="Z1364" s="659"/>
      <c r="AA1364" s="660"/>
      <c r="AB1364" s="661"/>
      <c r="AC1364" s="647" t="s">
        <v>3897</v>
      </c>
      <c r="AD1364" s="662">
        <v>301</v>
      </c>
      <c r="AE1364" s="662">
        <v>5</v>
      </c>
      <c r="AF1364" s="662">
        <v>302</v>
      </c>
      <c r="AG1364" s="662">
        <v>5</v>
      </c>
      <c r="AH1364" s="662"/>
      <c r="AI1364" s="663"/>
      <c r="AN1364" s="542"/>
      <c r="AO1364" s="824" t="str">
        <f t="shared" si="304"/>
        <v>Yes</v>
      </c>
      <c r="AP1364" s="259" t="str">
        <f t="shared" si="305"/>
        <v>APR 23</v>
      </c>
      <c r="AQ1364" s="542" t="str">
        <f t="shared" si="306"/>
        <v>有定金+有預留客戶</v>
      </c>
      <c r="AR1364" s="259" t="str">
        <f t="shared" si="307"/>
        <v>Shipped_Stock</v>
      </c>
      <c r="AS1364" s="259" t="str">
        <f t="shared" si="308"/>
        <v/>
      </c>
      <c r="AT1364" s="259" t="str">
        <f t="shared" si="309"/>
        <v>伯莱科</v>
      </c>
      <c r="AU1364" s="259" t="str">
        <f t="shared" si="310"/>
        <v>C49SZX20220126JL</v>
      </c>
      <c r="AV1364" s="259" t="str">
        <f t="shared" si="311"/>
        <v>2022/11/7,蛇口港</v>
      </c>
    </row>
    <row r="1365" spans="1:48" ht="16.5" hidden="1">
      <c r="A1365" s="559">
        <v>1894</v>
      </c>
      <c r="B1365" s="664" t="s">
        <v>1125</v>
      </c>
      <c r="C1365" s="664" t="s">
        <v>281</v>
      </c>
      <c r="D1365" s="645" t="s">
        <v>2632</v>
      </c>
      <c r="E1365" s="744" t="s">
        <v>2625</v>
      </c>
      <c r="F1365" s="647" t="s">
        <v>17</v>
      </c>
      <c r="G1365" s="647" t="s">
        <v>18</v>
      </c>
      <c r="H1365" s="647" t="s">
        <v>48</v>
      </c>
      <c r="I1365" s="575" t="s">
        <v>2635</v>
      </c>
      <c r="J1365" s="575">
        <v>1</v>
      </c>
      <c r="K1365" s="647" t="s">
        <v>1419</v>
      </c>
      <c r="L1365" s="657" t="s">
        <v>2634</v>
      </c>
      <c r="M1365" s="665">
        <v>5.1200000000000002E-2</v>
      </c>
      <c r="N1365" s="647" t="s">
        <v>226</v>
      </c>
      <c r="O1365" s="575">
        <v>2022.9</v>
      </c>
      <c r="P1365" s="665" t="str">
        <f>VLOOKUP(A1365,'[1]Raw data'!$B:$BA,23,FALSE)</f>
        <v>RMB</v>
      </c>
      <c r="Q1365" s="647" t="str">
        <f>VLOOKUP(A1365,'[1]Raw data'!$B:$Z,2,FALSE)</f>
        <v>C49SZX20230046DM</v>
      </c>
      <c r="R1365" s="647" t="str">
        <f>VLOOKUP(A1365,'[1]Raw data'!$B:$Z,3,FALSE)</f>
        <v>菲帆</v>
      </c>
      <c r="S1365" s="647" t="str">
        <f>VLOOKUP(A1365,'[1]Raw data'!$B:$Z,4,FALSE)</f>
        <v>YSM10</v>
      </c>
      <c r="T1365" s="647" t="str">
        <f>VLOOKUP(A1365,'[1]Raw data'!$B:$Z,8,FALSE)</f>
        <v>L-&gt;R</v>
      </c>
      <c r="U1365" s="647" t="str">
        <f>VLOOKUP(A1365,'[1]Raw data'!$B:$Z,9,FALSE)</f>
        <v>MVC+ATS15</v>
      </c>
      <c r="V1365" s="567" t="str">
        <f t="shared" si="313"/>
        <v>WRONG</v>
      </c>
      <c r="W1365" s="563" t="str">
        <f>VLOOKUP(A1365,'[1]Raw data'!$B:$AG,32,FALSE)</f>
        <v>DDP HZ</v>
      </c>
      <c r="X1365" s="647">
        <f>VLOOKUP(A1365,'[1]Raw data'!$B:$BA,31,FALSE)</f>
        <v>45002</v>
      </c>
      <c r="Y1365" s="647" t="str">
        <f>VLOOKUP(A1365,'[1]Raw data'!$B:$AS,39,FALSE)</f>
        <v>Yes</v>
      </c>
      <c r="Z1365" s="659"/>
      <c r="AA1365" s="660"/>
      <c r="AB1365" s="661"/>
      <c r="AC1365" s="647" t="s">
        <v>3901</v>
      </c>
      <c r="AD1365" s="662">
        <v>301</v>
      </c>
      <c r="AE1365" s="662">
        <v>5</v>
      </c>
      <c r="AF1365" s="662">
        <v>303</v>
      </c>
      <c r="AG1365" s="662">
        <v>3</v>
      </c>
      <c r="AH1365" s="662">
        <v>304</v>
      </c>
      <c r="AI1365" s="663">
        <v>2</v>
      </c>
      <c r="AN1365" s="542"/>
      <c r="AO1365" s="824" t="str">
        <f t="shared" si="304"/>
        <v>Yes</v>
      </c>
      <c r="AP1365" s="259" t="str">
        <f t="shared" si="305"/>
        <v>APR 23</v>
      </c>
      <c r="AQ1365" s="542" t="str">
        <f t="shared" si="306"/>
        <v>有定金+有預留客戶</v>
      </c>
      <c r="AR1365" s="259" t="str">
        <f t="shared" si="307"/>
        <v>Shipped_Stock</v>
      </c>
      <c r="AS1365" s="259" t="str">
        <f t="shared" si="308"/>
        <v/>
      </c>
      <c r="AT1365" s="259" t="str">
        <f t="shared" si="309"/>
        <v>菲帆</v>
      </c>
      <c r="AU1365" s="259" t="str">
        <f t="shared" si="310"/>
        <v>C49SZX20230046DM</v>
      </c>
      <c r="AV1365" s="259" t="str">
        <f t="shared" si="311"/>
        <v>2022/11/7,蛇口港</v>
      </c>
    </row>
    <row r="1366" spans="1:48" ht="16.5" hidden="1">
      <c r="A1366" s="599">
        <v>1874</v>
      </c>
      <c r="B1366" s="664" t="s">
        <v>1125</v>
      </c>
      <c r="C1366" s="664" t="s">
        <v>281</v>
      </c>
      <c r="D1366" s="645" t="s">
        <v>2632</v>
      </c>
      <c r="E1366" s="744" t="s">
        <v>2625</v>
      </c>
      <c r="F1366" s="647" t="s">
        <v>17</v>
      </c>
      <c r="G1366" s="647" t="s">
        <v>18</v>
      </c>
      <c r="H1366" s="647" t="s">
        <v>48</v>
      </c>
      <c r="I1366" s="575" t="s">
        <v>2636</v>
      </c>
      <c r="J1366" s="575">
        <v>1</v>
      </c>
      <c r="K1366" s="647" t="s">
        <v>1419</v>
      </c>
      <c r="L1366" s="657" t="s">
        <v>2634</v>
      </c>
      <c r="M1366" s="665">
        <v>5.1200000000000002E-2</v>
      </c>
      <c r="N1366" s="647" t="s">
        <v>216</v>
      </c>
      <c r="O1366" s="575">
        <v>2022.9</v>
      </c>
      <c r="P1366" s="665" t="str">
        <f>VLOOKUP(A1366,'[1]Raw data'!$B:$BA,23,FALSE)</f>
        <v>RMB</v>
      </c>
      <c r="Q1366" s="647" t="str">
        <f>VLOOKUP(A1366,'[1]Raw data'!$B:$Z,2,FALSE)</f>
        <v>C49SZX20230018MX</v>
      </c>
      <c r="R1366" s="647" t="str">
        <f>VLOOKUP(A1366,'[1]Raw data'!$B:$Z,3,FALSE)</f>
        <v>徕芬</v>
      </c>
      <c r="S1366" s="647" t="str">
        <f>VLOOKUP(A1366,'[1]Raw data'!$B:$Z,4,FALSE)</f>
        <v>YSM10</v>
      </c>
      <c r="T1366" s="647" t="str">
        <f>VLOOKUP(A1366,'[1]Raw data'!$B:$Z,8,FALSE)</f>
        <v>L-&gt;R</v>
      </c>
      <c r="U1366" s="647" t="str">
        <f>VLOOKUP(A1366,'[1]Raw data'!$B:$Z,9,FALSE)</f>
        <v>MVC+ATS15</v>
      </c>
      <c r="V1366" s="567" t="str">
        <f t="shared" si="313"/>
        <v>WRONG</v>
      </c>
      <c r="W1366" s="563" t="str">
        <f>VLOOKUP(A1366,'[1]Raw data'!$B:$AG,32,FALSE)</f>
        <v>DDP DG</v>
      </c>
      <c r="X1366" s="647">
        <f>VLOOKUP(A1366,'[1]Raw data'!$B:$BA,31,FALSE)</f>
        <v>44995</v>
      </c>
      <c r="Y1366" s="647" t="str">
        <f>VLOOKUP(A1366,'[1]Raw data'!$B:$AS,39,FALSE)</f>
        <v>Yes</v>
      </c>
      <c r="Z1366" s="659"/>
      <c r="AA1366" s="660"/>
      <c r="AB1366" s="661"/>
      <c r="AC1366" s="647" t="s">
        <v>3888</v>
      </c>
      <c r="AD1366" s="575">
        <v>301</v>
      </c>
      <c r="AE1366" s="575">
        <v>5</v>
      </c>
      <c r="AF1366" s="575">
        <v>303</v>
      </c>
      <c r="AG1366" s="575">
        <v>3</v>
      </c>
      <c r="AH1366" s="575">
        <v>304</v>
      </c>
      <c r="AI1366" s="679">
        <v>2</v>
      </c>
      <c r="AJ1366" s="564"/>
      <c r="AK1366" s="564"/>
      <c r="AL1366" s="564"/>
      <c r="AM1366" s="564"/>
      <c r="AN1366" s="614"/>
      <c r="AO1366" s="824" t="str">
        <f t="shared" si="304"/>
        <v>Yes</v>
      </c>
      <c r="AP1366" s="259" t="str">
        <f t="shared" si="305"/>
        <v>MAR 23</v>
      </c>
      <c r="AQ1366" s="542" t="str">
        <f t="shared" si="306"/>
        <v>有定金+有預留客戶</v>
      </c>
      <c r="AR1366" s="259" t="str">
        <f t="shared" si="307"/>
        <v>Shipped_Stock</v>
      </c>
      <c r="AS1366" s="259" t="str">
        <f t="shared" si="308"/>
        <v/>
      </c>
      <c r="AT1366" s="259" t="str">
        <f t="shared" si="309"/>
        <v>徕芬</v>
      </c>
      <c r="AU1366" s="259" t="str">
        <f t="shared" si="310"/>
        <v>C49SZX20230018MX</v>
      </c>
      <c r="AV1366" s="259" t="str">
        <f t="shared" si="311"/>
        <v>2022/11/7,蛇口港</v>
      </c>
    </row>
    <row r="1367" spans="1:48" ht="16.5" hidden="1">
      <c r="A1367" s="559">
        <v>1766</v>
      </c>
      <c r="B1367" s="664" t="s">
        <v>1125</v>
      </c>
      <c r="C1367" s="664" t="s">
        <v>281</v>
      </c>
      <c r="D1367" s="645" t="s">
        <v>2632</v>
      </c>
      <c r="E1367" s="744" t="s">
        <v>2625</v>
      </c>
      <c r="F1367" s="647" t="s">
        <v>17</v>
      </c>
      <c r="G1367" s="647" t="s">
        <v>18</v>
      </c>
      <c r="H1367" s="647" t="s">
        <v>102</v>
      </c>
      <c r="I1367" s="575" t="s">
        <v>2637</v>
      </c>
      <c r="J1367" s="575">
        <v>1</v>
      </c>
      <c r="K1367" s="647" t="s">
        <v>1419</v>
      </c>
      <c r="L1367" s="657" t="s">
        <v>2634</v>
      </c>
      <c r="M1367" s="665">
        <v>5.1200000000000002E-2</v>
      </c>
      <c r="N1367" s="647" t="s">
        <v>226</v>
      </c>
      <c r="O1367" s="575">
        <v>2022.8</v>
      </c>
      <c r="P1367" s="665" t="str">
        <f>VLOOKUP(A1367,'[1]Raw data'!$B:$BA,23,FALSE)</f>
        <v>RMB</v>
      </c>
      <c r="Q1367" s="647" t="str">
        <f>VLOOKUP(A1367,'[1]Raw data'!$B:$Z,2,FALSE)</f>
        <v>C49SZX20220126JL</v>
      </c>
      <c r="R1367" s="647" t="str">
        <f>VLOOKUP(A1367,'[1]Raw data'!$B:$Z,3,FALSE)</f>
        <v>伯莱科</v>
      </c>
      <c r="S1367" s="647" t="str">
        <f>VLOOKUP(A1367,'[1]Raw data'!$B:$Z,4,FALSE)</f>
        <v>YSM10</v>
      </c>
      <c r="T1367" s="647" t="str">
        <f>VLOOKUP(A1367,'[1]Raw data'!$B:$Z,8,FALSE)</f>
        <v>L-&gt;R</v>
      </c>
      <c r="U1367" s="647" t="str">
        <f>VLOOKUP(A1367,'[1]Raw data'!$B:$Z,9,FALSE)</f>
        <v>MVC</v>
      </c>
      <c r="V1367" s="567" t="str">
        <f t="shared" ref="V1367" si="314">IF(G1367&amp;H1367=T1367&amp;U1367,"OK","WRONG")</f>
        <v>WRONG</v>
      </c>
      <c r="W1367" s="563" t="str">
        <f>VLOOKUP(A1367,'[1]Raw data'!$B:$AG,32,FALSE)</f>
        <v>DDP SZ</v>
      </c>
      <c r="X1367" s="647">
        <f>VLOOKUP(A1367,'[1]Raw data'!$B:$BA,31,FALSE)</f>
        <v>44898</v>
      </c>
      <c r="Y1367" s="647" t="str">
        <f>VLOOKUP(A1367,'[1]Raw data'!$B:$AS,39,FALSE)</f>
        <v>Yes</v>
      </c>
      <c r="Z1367" s="659"/>
      <c r="AA1367" s="660"/>
      <c r="AB1367" s="661"/>
      <c r="AC1367" s="647" t="s">
        <v>3897</v>
      </c>
      <c r="AD1367" s="662">
        <v>301</v>
      </c>
      <c r="AE1367" s="662">
        <v>5</v>
      </c>
      <c r="AF1367" s="662">
        <v>302</v>
      </c>
      <c r="AG1367" s="662">
        <v>5</v>
      </c>
      <c r="AH1367" s="662"/>
      <c r="AI1367" s="663"/>
      <c r="AN1367" s="542"/>
      <c r="AO1367" s="824" t="str">
        <f t="shared" si="304"/>
        <v>Yes</v>
      </c>
      <c r="AP1367" s="259" t="str">
        <f t="shared" si="305"/>
        <v>APR 23</v>
      </c>
      <c r="AQ1367" s="542" t="str">
        <f t="shared" si="306"/>
        <v>有定金+有預留客戶</v>
      </c>
      <c r="AR1367" s="259" t="str">
        <f t="shared" si="307"/>
        <v>Shipped_Stock</v>
      </c>
      <c r="AS1367" s="259" t="str">
        <f t="shared" si="308"/>
        <v/>
      </c>
      <c r="AT1367" s="259" t="str">
        <f t="shared" si="309"/>
        <v>伯莱科</v>
      </c>
      <c r="AU1367" s="259" t="str">
        <f t="shared" si="310"/>
        <v>C49SZX20220126JL</v>
      </c>
      <c r="AV1367" s="259" t="str">
        <f t="shared" si="311"/>
        <v>2022/11/7,蛇口港</v>
      </c>
    </row>
    <row r="1368" spans="1:48" ht="16.5" hidden="1">
      <c r="A1368" s="559">
        <v>1853</v>
      </c>
      <c r="B1368" s="664" t="s">
        <v>1125</v>
      </c>
      <c r="C1368" s="664" t="s">
        <v>281</v>
      </c>
      <c r="D1368" s="645" t="s">
        <v>2632</v>
      </c>
      <c r="E1368" s="744" t="s">
        <v>2625</v>
      </c>
      <c r="F1368" s="647" t="s">
        <v>17</v>
      </c>
      <c r="G1368" s="647" t="s">
        <v>18</v>
      </c>
      <c r="H1368" s="647" t="s">
        <v>102</v>
      </c>
      <c r="I1368" s="575" t="s">
        <v>2638</v>
      </c>
      <c r="J1368" s="575">
        <v>1</v>
      </c>
      <c r="K1368" s="647" t="s">
        <v>1419</v>
      </c>
      <c r="L1368" s="657" t="s">
        <v>2634</v>
      </c>
      <c r="M1368" s="665">
        <v>5.1200000000000002E-2</v>
      </c>
      <c r="N1368" s="647" t="s">
        <v>226</v>
      </c>
      <c r="O1368" s="575">
        <v>2022.8</v>
      </c>
      <c r="P1368" s="665" t="str">
        <f>VLOOKUP(A1368,'[1]Raw data'!$B:$BA,23,FALSE)</f>
        <v>RMB</v>
      </c>
      <c r="Q1368" s="647" t="str">
        <f>VLOOKUP(A1368,'[1]Raw data'!$B:$Z,2,FALSE)</f>
        <v>C49SZX20230026EC</v>
      </c>
      <c r="R1368" s="647" t="str">
        <f>VLOOKUP(A1368,'[1]Raw data'!$B:$Z,3,FALSE)</f>
        <v>乐福源</v>
      </c>
      <c r="S1368" s="647" t="str">
        <f>VLOOKUP(A1368,'[1]Raw data'!$B:$Z,4,FALSE)</f>
        <v>YSM10</v>
      </c>
      <c r="T1368" s="647" t="str">
        <f>VLOOKUP(A1368,'[1]Raw data'!$B:$Z,8,FALSE)</f>
        <v>L-&gt;R</v>
      </c>
      <c r="U1368" s="647" t="str">
        <f>VLOOKUP(A1368,'[1]Raw data'!$B:$Z,9,FALSE)</f>
        <v>MVC</v>
      </c>
      <c r="V1368" s="567" t="str">
        <f t="shared" ref="V1368:V1381" si="315">IF(G1368&amp;H1368=T1368&amp;U1368,"OK","WRONG")</f>
        <v>WRONG</v>
      </c>
      <c r="W1368" s="563" t="str">
        <f>VLOOKUP(A1368,'[1]Raw data'!$B:$AG,32,FALSE)</f>
        <v>DDP HZ</v>
      </c>
      <c r="X1368" s="647">
        <f>VLOOKUP(A1368,'[1]Raw data'!$B:$BA,31,FALSE)</f>
        <v>44979</v>
      </c>
      <c r="Y1368" s="647" t="str">
        <f>VLOOKUP(A1368,'[1]Raw data'!$B:$AS,39,FALSE)</f>
        <v>Yes</v>
      </c>
      <c r="Z1368" s="659"/>
      <c r="AA1368" s="660"/>
      <c r="AB1368" s="661"/>
      <c r="AC1368" s="647" t="s">
        <v>3891</v>
      </c>
      <c r="AD1368" s="662">
        <v>301</v>
      </c>
      <c r="AE1368" s="662">
        <v>5</v>
      </c>
      <c r="AF1368" s="662">
        <v>302</v>
      </c>
      <c r="AG1368" s="662">
        <v>5</v>
      </c>
      <c r="AH1368" s="662"/>
      <c r="AI1368" s="663"/>
      <c r="AN1368" s="542"/>
      <c r="AO1368" s="824" t="str">
        <f t="shared" si="304"/>
        <v>Yes</v>
      </c>
      <c r="AP1368" s="259" t="str">
        <f t="shared" si="305"/>
        <v>APR 23</v>
      </c>
      <c r="AQ1368" s="542" t="str">
        <f t="shared" si="306"/>
        <v>有定金+有預留客戶</v>
      </c>
      <c r="AR1368" s="259" t="str">
        <f t="shared" si="307"/>
        <v>Shipped_Stock</v>
      </c>
      <c r="AS1368" s="259" t="str">
        <f t="shared" si="308"/>
        <v/>
      </c>
      <c r="AT1368" s="259" t="str">
        <f t="shared" si="309"/>
        <v>乐福源</v>
      </c>
      <c r="AU1368" s="259" t="str">
        <f t="shared" si="310"/>
        <v>C49SZX20230026EC</v>
      </c>
      <c r="AV1368" s="259" t="str">
        <f t="shared" si="311"/>
        <v>2022/11/7,蛇口港</v>
      </c>
    </row>
    <row r="1369" spans="1:48" hidden="1">
      <c r="A1369" s="716" t="s">
        <v>2293</v>
      </c>
      <c r="B1369" s="664" t="s">
        <v>1125</v>
      </c>
      <c r="C1369" s="664" t="s">
        <v>281</v>
      </c>
      <c r="D1369" s="645" t="s">
        <v>2639</v>
      </c>
      <c r="E1369" s="744" t="s">
        <v>2640</v>
      </c>
      <c r="F1369" s="647" t="s">
        <v>58</v>
      </c>
      <c r="G1369" s="647" t="s">
        <v>18</v>
      </c>
      <c r="H1369" s="647" t="s">
        <v>26</v>
      </c>
      <c r="I1369" s="575" t="s">
        <v>2641</v>
      </c>
      <c r="J1369" s="575">
        <v>1</v>
      </c>
      <c r="K1369" s="647" t="s">
        <v>1419</v>
      </c>
      <c r="L1369" s="657" t="s">
        <v>2634</v>
      </c>
      <c r="M1369" s="665">
        <v>4.9700000000000001E-2</v>
      </c>
      <c r="N1369" s="647"/>
      <c r="O1369" s="575">
        <v>2022.9</v>
      </c>
      <c r="P1369" s="665" t="s">
        <v>1246</v>
      </c>
      <c r="Q1369" s="647" t="s">
        <v>2642</v>
      </c>
      <c r="R1369" s="725" t="s">
        <v>2643</v>
      </c>
      <c r="S1369" s="647" t="s">
        <v>58</v>
      </c>
      <c r="T1369" s="647" t="s">
        <v>18</v>
      </c>
      <c r="U1369" s="647" t="s">
        <v>26</v>
      </c>
      <c r="V1369" s="567" t="str">
        <f t="shared" ref="V1369:V1372" si="316">IF(G1369&amp;H1369=T1369&amp;U1369,"OK","WRONG")</f>
        <v>OK</v>
      </c>
      <c r="W1369" s="563" t="e">
        <f>VLOOKUP(A1369,'[1]Raw data'!$B:$AG,32,FALSE)</f>
        <v>#N/A</v>
      </c>
      <c r="X1369" s="647" t="e">
        <f>VLOOKUP(A1369,'[1]Raw data'!$B:$BA,31,FALSE)</f>
        <v>#N/A</v>
      </c>
      <c r="Y1369" s="647" t="e">
        <f>VLOOKUP(A1369,'[1]Raw data'!$B:$AS,39,FALSE)</f>
        <v>#N/A</v>
      </c>
      <c r="Z1369" s="666"/>
      <c r="AA1369" s="660"/>
      <c r="AB1369" s="661"/>
      <c r="AC1369" s="725" t="s">
        <v>2644</v>
      </c>
      <c r="AD1369" s="662">
        <v>301</v>
      </c>
      <c r="AE1369" s="662">
        <v>10</v>
      </c>
      <c r="AF1369" s="662">
        <v>311</v>
      </c>
      <c r="AG1369" s="662">
        <v>10</v>
      </c>
      <c r="AH1369" s="662"/>
      <c r="AI1369" s="663"/>
      <c r="AN1369" s="542"/>
      <c r="AO1369" s="824" t="str">
        <f t="shared" si="304"/>
        <v>No</v>
      </c>
      <c r="AP1369" s="259" t="str">
        <f t="shared" si="305"/>
        <v>blank</v>
      </c>
      <c r="AQ1369" s="542" t="str">
        <f t="shared" si="306"/>
        <v>无定金+无預留客戶</v>
      </c>
      <c r="AR1369" s="259" t="str">
        <f t="shared" si="307"/>
        <v>Shipped_Stock</v>
      </c>
      <c r="AS1369" s="259" t="str">
        <f t="shared" si="308"/>
        <v/>
      </c>
      <c r="AT1369" s="259" t="str">
        <f t="shared" si="309"/>
        <v>福建凯思达</v>
      </c>
      <c r="AU1369" s="259" t="str">
        <f t="shared" si="310"/>
        <v>C49XMN20221122/LYX</v>
      </c>
      <c r="AV1369" s="259" t="str">
        <f t="shared" si="311"/>
        <v>2022/11/7,蛇口港</v>
      </c>
    </row>
    <row r="1370" spans="1:48" hidden="1">
      <c r="A1370" s="559">
        <v>1834</v>
      </c>
      <c r="B1370" s="664" t="s">
        <v>1125</v>
      </c>
      <c r="C1370" s="664" t="s">
        <v>281</v>
      </c>
      <c r="D1370" s="645" t="s">
        <v>2639</v>
      </c>
      <c r="E1370" s="744" t="s">
        <v>2640</v>
      </c>
      <c r="F1370" s="647" t="s">
        <v>58</v>
      </c>
      <c r="G1370" s="647" t="s">
        <v>18</v>
      </c>
      <c r="H1370" s="647" t="s">
        <v>26</v>
      </c>
      <c r="I1370" s="575" t="s">
        <v>2645</v>
      </c>
      <c r="J1370" s="575">
        <v>1</v>
      </c>
      <c r="K1370" s="647" t="s">
        <v>1419</v>
      </c>
      <c r="L1370" s="657" t="s">
        <v>2634</v>
      </c>
      <c r="M1370" s="665">
        <v>4.9700000000000001E-2</v>
      </c>
      <c r="N1370" s="647" t="s">
        <v>217</v>
      </c>
      <c r="O1370" s="575">
        <v>2022.9</v>
      </c>
      <c r="P1370" s="665" t="str">
        <f>VLOOKUP(A1370,'[1]Raw data'!$B:$BA,23,FALSE)</f>
        <v>RMB</v>
      </c>
      <c r="Q1370" s="647" t="str">
        <f>VLOOKUP(A1370,'[1]Raw data'!$B:$Z,2,FALSE)</f>
        <v>C49SZX20230012EC</v>
      </c>
      <c r="R1370" s="647" t="str">
        <f>VLOOKUP(A1370,'[1]Raw data'!$B:$Z,3,FALSE)</f>
        <v>海红天远</v>
      </c>
      <c r="S1370" s="647" t="str">
        <f>VLOOKUP(A1370,'[1]Raw data'!$B:$Z,4,FALSE)</f>
        <v>YSM20R-2</v>
      </c>
      <c r="T1370" s="647" t="str">
        <f>VLOOKUP(A1370,'[1]Raw data'!$B:$Z,8,FALSE)</f>
        <v>R-&gt;L</v>
      </c>
      <c r="U1370" s="647" t="str">
        <f>VLOOKUP(A1370,'[1]Raw data'!$B:$Z,9,FALSE)</f>
        <v>MVC F&amp;R</v>
      </c>
      <c r="V1370" s="567" t="str">
        <f t="shared" si="316"/>
        <v>WRONG</v>
      </c>
      <c r="W1370" s="563" t="str">
        <f>VLOOKUP(A1370,'[1]Raw data'!$B:$AG,32,FALSE)</f>
        <v>DDP SZ</v>
      </c>
      <c r="X1370" s="647">
        <f>VLOOKUP(A1370,'[1]Raw data'!$B:$BA,31,FALSE)</f>
        <v>44966</v>
      </c>
      <c r="Y1370" s="647" t="str">
        <f>VLOOKUP(A1370,'[1]Raw data'!$B:$AS,39,FALSE)</f>
        <v>Yes</v>
      </c>
      <c r="Z1370" s="666"/>
      <c r="AA1370" s="660"/>
      <c r="AB1370" s="661"/>
      <c r="AC1370" s="647" t="s">
        <v>1079</v>
      </c>
      <c r="AD1370" s="662">
        <v>301</v>
      </c>
      <c r="AE1370" s="662">
        <v>10</v>
      </c>
      <c r="AF1370" s="662">
        <v>311</v>
      </c>
      <c r="AG1370" s="662">
        <v>10</v>
      </c>
      <c r="AH1370" s="662"/>
      <c r="AI1370" s="663"/>
      <c r="AN1370" s="542"/>
      <c r="AO1370" s="824" t="str">
        <f t="shared" si="304"/>
        <v>Yes</v>
      </c>
      <c r="AP1370" s="259" t="str">
        <f t="shared" si="305"/>
        <v>FEB 23</v>
      </c>
      <c r="AQ1370" s="542" t="str">
        <f t="shared" si="306"/>
        <v>有定金+有預留客戶</v>
      </c>
      <c r="AR1370" s="259" t="str">
        <f t="shared" si="307"/>
        <v>Shipped_Stock</v>
      </c>
      <c r="AS1370" s="259" t="str">
        <f t="shared" si="308"/>
        <v/>
      </c>
      <c r="AT1370" s="259" t="str">
        <f t="shared" si="309"/>
        <v>海红天远</v>
      </c>
      <c r="AU1370" s="259" t="str">
        <f t="shared" si="310"/>
        <v>C49SZX20230012EC</v>
      </c>
      <c r="AV1370" s="259" t="str">
        <f t="shared" si="311"/>
        <v>2022/11/7,蛇口港</v>
      </c>
    </row>
    <row r="1371" spans="1:48" hidden="1">
      <c r="A1371" s="559">
        <v>1827</v>
      </c>
      <c r="B1371" s="664" t="s">
        <v>1125</v>
      </c>
      <c r="C1371" s="664" t="s">
        <v>281</v>
      </c>
      <c r="D1371" s="645" t="s">
        <v>2639</v>
      </c>
      <c r="E1371" s="744" t="s">
        <v>2640</v>
      </c>
      <c r="F1371" s="647" t="s">
        <v>58</v>
      </c>
      <c r="G1371" s="647" t="s">
        <v>24</v>
      </c>
      <c r="H1371" s="647" t="s">
        <v>26</v>
      </c>
      <c r="I1371" s="575" t="s">
        <v>2646</v>
      </c>
      <c r="J1371" s="575">
        <v>1</v>
      </c>
      <c r="K1371" s="647" t="s">
        <v>1419</v>
      </c>
      <c r="L1371" s="657" t="s">
        <v>2634</v>
      </c>
      <c r="M1371" s="665">
        <v>4.9700000000000001E-2</v>
      </c>
      <c r="N1371" s="647" t="s">
        <v>217</v>
      </c>
      <c r="O1371" s="575">
        <v>2022.9</v>
      </c>
      <c r="P1371" s="665" t="str">
        <f>VLOOKUP(A1371,'[1]Raw data'!$B:$BA,23,FALSE)</f>
        <v>RMB</v>
      </c>
      <c r="Q1371" s="647" t="str">
        <f>VLOOKUP(A1371,'[1]Raw data'!$B:$Z,2,FALSE)</f>
        <v>C49SZX202300011SX</v>
      </c>
      <c r="R1371" s="647" t="str">
        <f>VLOOKUP(A1371,'[1]Raw data'!$B:$Z,3,FALSE)</f>
        <v>益田科技</v>
      </c>
      <c r="S1371" s="647" t="str">
        <f>VLOOKUP(A1371,'[1]Raw data'!$B:$Z,4,FALSE)</f>
        <v>YSM20R-2</v>
      </c>
      <c r="T1371" s="647" t="str">
        <f>VLOOKUP(A1371,'[1]Raw data'!$B:$Z,8,FALSE)</f>
        <v>L-&gt;R</v>
      </c>
      <c r="U1371" s="647" t="str">
        <f>VLOOKUP(A1371,'[1]Raw data'!$B:$Z,9,FALSE)</f>
        <v>No</v>
      </c>
      <c r="V1371" s="567" t="str">
        <f t="shared" si="316"/>
        <v>OK</v>
      </c>
      <c r="W1371" s="563" t="str">
        <f>VLOOKUP(A1371,'[1]Raw data'!$B:$AG,32,FALSE)</f>
        <v>DDP SZ</v>
      </c>
      <c r="X1371" s="647">
        <f>VLOOKUP(A1371,'[1]Raw data'!$B:$BA,31,FALSE)</f>
        <v>44960</v>
      </c>
      <c r="Y1371" s="647" t="str">
        <f>VLOOKUP(A1371,'[1]Raw data'!$B:$AS,39,FALSE)</f>
        <v>Yes</v>
      </c>
      <c r="Z1371" s="666"/>
      <c r="AA1371" s="660"/>
      <c r="AB1371" s="661"/>
      <c r="AC1371" s="647" t="s">
        <v>1172</v>
      </c>
      <c r="AD1371" s="575">
        <v>301</v>
      </c>
      <c r="AE1371" s="575">
        <v>10</v>
      </c>
      <c r="AF1371" s="575">
        <v>312</v>
      </c>
      <c r="AG1371" s="575">
        <v>10</v>
      </c>
      <c r="AH1371" s="575"/>
      <c r="AI1371" s="679"/>
      <c r="AN1371" s="542"/>
      <c r="AO1371" s="824" t="str">
        <f t="shared" si="304"/>
        <v>Yes</v>
      </c>
      <c r="AP1371" s="259" t="str">
        <f t="shared" si="305"/>
        <v>FEB 23</v>
      </c>
      <c r="AQ1371" s="542" t="str">
        <f t="shared" si="306"/>
        <v>有定金+有預留客戶</v>
      </c>
      <c r="AR1371" s="259" t="str">
        <f t="shared" si="307"/>
        <v>Shipped_Stock</v>
      </c>
      <c r="AS1371" s="259" t="str">
        <f t="shared" si="308"/>
        <v/>
      </c>
      <c r="AT1371" s="259" t="str">
        <f t="shared" si="309"/>
        <v>益田科技</v>
      </c>
      <c r="AU1371" s="259" t="str">
        <f t="shared" si="310"/>
        <v>C49SZX202300011SX</v>
      </c>
      <c r="AV1371" s="259" t="str">
        <f t="shared" si="311"/>
        <v>2022/11/7,蛇口港</v>
      </c>
    </row>
    <row r="1372" spans="1:48" hidden="1">
      <c r="A1372" s="559">
        <v>1828</v>
      </c>
      <c r="B1372" s="664" t="s">
        <v>1125</v>
      </c>
      <c r="C1372" s="664" t="s">
        <v>281</v>
      </c>
      <c r="D1372" s="645" t="s">
        <v>2639</v>
      </c>
      <c r="E1372" s="744" t="s">
        <v>2640</v>
      </c>
      <c r="F1372" s="647" t="s">
        <v>58</v>
      </c>
      <c r="G1372" s="647" t="s">
        <v>24</v>
      </c>
      <c r="H1372" s="647" t="s">
        <v>26</v>
      </c>
      <c r="I1372" s="575" t="s">
        <v>2647</v>
      </c>
      <c r="J1372" s="575">
        <v>1</v>
      </c>
      <c r="K1372" s="647" t="s">
        <v>1419</v>
      </c>
      <c r="L1372" s="657" t="s">
        <v>2634</v>
      </c>
      <c r="M1372" s="665">
        <v>4.9700000000000001E-2</v>
      </c>
      <c r="N1372" s="647" t="s">
        <v>217</v>
      </c>
      <c r="O1372" s="575">
        <v>2022.9</v>
      </c>
      <c r="P1372" s="665" t="str">
        <f>VLOOKUP(A1372,'[1]Raw data'!$B:$BA,23,FALSE)</f>
        <v>RMB</v>
      </c>
      <c r="Q1372" s="647" t="str">
        <f>VLOOKUP(A1372,'[1]Raw data'!$B:$Z,2,FALSE)</f>
        <v>C49SZX202300011SX</v>
      </c>
      <c r="R1372" s="647" t="str">
        <f>VLOOKUP(A1372,'[1]Raw data'!$B:$Z,3,FALSE)</f>
        <v>益田科技</v>
      </c>
      <c r="S1372" s="647" t="str">
        <f>VLOOKUP(A1372,'[1]Raw data'!$B:$Z,4,FALSE)</f>
        <v>YSM20R-2</v>
      </c>
      <c r="T1372" s="647" t="str">
        <f>VLOOKUP(A1372,'[1]Raw data'!$B:$Z,8,FALSE)</f>
        <v>L-&gt;R</v>
      </c>
      <c r="U1372" s="647" t="str">
        <f>VLOOKUP(A1372,'[1]Raw data'!$B:$Z,9,FALSE)</f>
        <v>No</v>
      </c>
      <c r="V1372" s="567" t="str">
        <f t="shared" si="316"/>
        <v>OK</v>
      </c>
      <c r="W1372" s="563" t="str">
        <f>VLOOKUP(A1372,'[1]Raw data'!$B:$AG,32,FALSE)</f>
        <v>DDP SZ</v>
      </c>
      <c r="X1372" s="647">
        <f>VLOOKUP(A1372,'[1]Raw data'!$B:$BA,31,FALSE)</f>
        <v>44960</v>
      </c>
      <c r="Y1372" s="647" t="str">
        <f>VLOOKUP(A1372,'[1]Raw data'!$B:$AS,39,FALSE)</f>
        <v>Yes</v>
      </c>
      <c r="Z1372" s="666"/>
      <c r="AA1372" s="660"/>
      <c r="AB1372" s="661"/>
      <c r="AC1372" s="647" t="s">
        <v>1172</v>
      </c>
      <c r="AD1372" s="575">
        <v>301</v>
      </c>
      <c r="AE1372" s="575">
        <v>10</v>
      </c>
      <c r="AF1372" s="575">
        <v>312</v>
      </c>
      <c r="AG1372" s="575">
        <v>10</v>
      </c>
      <c r="AH1372" s="575"/>
      <c r="AI1372" s="679"/>
      <c r="AN1372" s="542"/>
      <c r="AO1372" s="824" t="str">
        <f t="shared" si="304"/>
        <v>Yes</v>
      </c>
      <c r="AP1372" s="259" t="str">
        <f t="shared" si="305"/>
        <v>FEB 23</v>
      </c>
      <c r="AQ1372" s="542" t="str">
        <f t="shared" si="306"/>
        <v>有定金+有預留客戶</v>
      </c>
      <c r="AR1372" s="259" t="str">
        <f t="shared" si="307"/>
        <v>Shipped_Stock</v>
      </c>
      <c r="AS1372" s="259" t="str">
        <f t="shared" si="308"/>
        <v/>
      </c>
      <c r="AT1372" s="259" t="str">
        <f t="shared" si="309"/>
        <v>益田科技</v>
      </c>
      <c r="AU1372" s="259" t="str">
        <f t="shared" si="310"/>
        <v>C49SZX202300011SX</v>
      </c>
      <c r="AV1372" s="259" t="str">
        <f t="shared" si="311"/>
        <v>2022/11/7,蛇口港</v>
      </c>
    </row>
    <row r="1373" spans="1:48" ht="16.5" hidden="1">
      <c r="A1373" s="559">
        <v>1719</v>
      </c>
      <c r="B1373" s="664" t="s">
        <v>1125</v>
      </c>
      <c r="C1373" s="664" t="s">
        <v>281</v>
      </c>
      <c r="D1373" s="645" t="s">
        <v>2648</v>
      </c>
      <c r="E1373" s="793" t="s">
        <v>2649</v>
      </c>
      <c r="F1373" s="647" t="s">
        <v>17</v>
      </c>
      <c r="G1373" s="647" t="s">
        <v>18</v>
      </c>
      <c r="H1373" s="647" t="s">
        <v>102</v>
      </c>
      <c r="I1373" s="575" t="s">
        <v>4026</v>
      </c>
      <c r="J1373" s="575">
        <v>1</v>
      </c>
      <c r="K1373" s="647" t="s">
        <v>1419</v>
      </c>
      <c r="L1373" s="657" t="s">
        <v>2634</v>
      </c>
      <c r="M1373" s="665">
        <v>4.8800000000000003E-2</v>
      </c>
      <c r="N1373" s="647" t="s">
        <v>3993</v>
      </c>
      <c r="O1373" s="575">
        <v>2022.9</v>
      </c>
      <c r="P1373" s="665" t="str">
        <f>VLOOKUP(A1373,'[1]Raw data'!$B:$BA,23,FALSE)</f>
        <v>RMB</v>
      </c>
      <c r="Q1373" s="647" t="str">
        <f>VLOOKUP(A1373,'[1]Raw data'!$B:$Z,2,FALSE)</f>
        <v>C49SZX20220091MZ</v>
      </c>
      <c r="R1373" s="647" t="str">
        <f>VLOOKUP(A1373,'[1]Raw data'!$B:$Z,3,FALSE)</f>
        <v>华烨(end user:华煜）</v>
      </c>
      <c r="S1373" s="647" t="str">
        <f>VLOOKUP(A1373,'[1]Raw data'!$B:$Z,4,FALSE)</f>
        <v>YSM10</v>
      </c>
      <c r="T1373" s="647" t="str">
        <f>VLOOKUP(A1373,'[1]Raw data'!$B:$Z,8,FALSE)</f>
        <v>L-&gt;R</v>
      </c>
      <c r="U1373" s="647" t="str">
        <f>VLOOKUP(A1373,'[1]Raw data'!$B:$Z,9,FALSE)</f>
        <v>MVC</v>
      </c>
      <c r="V1373" s="567" t="str">
        <f t="shared" si="315"/>
        <v>WRONG</v>
      </c>
      <c r="W1373" s="563" t="str">
        <f>VLOOKUP(A1373,'[1]Raw data'!$B:$AG,32,FALSE)</f>
        <v>DDP LJ</v>
      </c>
      <c r="X1373" s="657">
        <f>VLOOKUP(A1373,'[1]Raw data'!$B:$BA,31,FALSE)</f>
        <v>44793</v>
      </c>
      <c r="Y1373" s="647" t="str">
        <f>VLOOKUP(A1373,'[1]Raw data'!$B:$AS,39,FALSE)</f>
        <v>Yes</v>
      </c>
      <c r="Z1373" s="659"/>
      <c r="AA1373" s="660"/>
      <c r="AB1373" s="661"/>
      <c r="AC1373" s="647" t="s">
        <v>4039</v>
      </c>
      <c r="AD1373" s="662">
        <v>301</v>
      </c>
      <c r="AE1373" s="662">
        <v>5</v>
      </c>
      <c r="AF1373" s="662">
        <v>302</v>
      </c>
      <c r="AG1373" s="662">
        <v>5</v>
      </c>
      <c r="AH1373" s="662"/>
      <c r="AI1373" s="663"/>
      <c r="AN1373" s="542"/>
      <c r="AO1373" s="824" t="str">
        <f t="shared" si="304"/>
        <v>Yes</v>
      </c>
      <c r="AP1373" s="259" t="str">
        <f t="shared" si="305"/>
        <v>JUL 23</v>
      </c>
      <c r="AQ1373" s="542" t="str">
        <f t="shared" si="306"/>
        <v>有定金+有預留客戶</v>
      </c>
      <c r="AR1373" s="259" t="str">
        <f t="shared" si="307"/>
        <v>Shipped_Stock</v>
      </c>
      <c r="AS1373" s="259" t="str">
        <f t="shared" si="308"/>
        <v/>
      </c>
      <c r="AT1373" s="259" t="str">
        <f t="shared" si="309"/>
        <v>华烨(end user:华煜）</v>
      </c>
      <c r="AU1373" s="259" t="str">
        <f t="shared" si="310"/>
        <v>C49SZX20220091MZ</v>
      </c>
      <c r="AV1373" s="259" t="str">
        <f t="shared" si="311"/>
        <v>2022/11/7,蛇口港</v>
      </c>
    </row>
    <row r="1374" spans="1:48" hidden="1">
      <c r="A1374" s="559">
        <v>1905</v>
      </c>
      <c r="B1374" s="664" t="s">
        <v>1125</v>
      </c>
      <c r="C1374" s="664" t="s">
        <v>281</v>
      </c>
      <c r="D1374" s="645" t="s">
        <v>2648</v>
      </c>
      <c r="E1374" s="793" t="s">
        <v>2649</v>
      </c>
      <c r="F1374" s="647" t="s">
        <v>17</v>
      </c>
      <c r="G1374" s="647" t="s">
        <v>18</v>
      </c>
      <c r="H1374" s="647" t="s">
        <v>48</v>
      </c>
      <c r="I1374" s="575" t="s">
        <v>3904</v>
      </c>
      <c r="J1374" s="575">
        <v>1</v>
      </c>
      <c r="K1374" s="647" t="s">
        <v>1419</v>
      </c>
      <c r="L1374" s="657" t="s">
        <v>2634</v>
      </c>
      <c r="M1374" s="665">
        <v>4.8800000000000003E-2</v>
      </c>
      <c r="N1374" s="647" t="s">
        <v>226</v>
      </c>
      <c r="O1374" s="575">
        <v>2022.9</v>
      </c>
      <c r="P1374" s="665" t="str">
        <f>VLOOKUP(A1374,'[1]Raw data'!$B:$BA,23,FALSE)</f>
        <v>JPY</v>
      </c>
      <c r="Q1374" s="647" t="str">
        <f>VLOOKUP(A1374,'[1]Raw data'!$B:$Z,2,FALSE)</f>
        <v>C49SZX20230054SQ</v>
      </c>
      <c r="R1374" s="647" t="str">
        <f>VLOOKUP(A1374,'[1]Raw data'!$B:$Z,3,FALSE)</f>
        <v>格第</v>
      </c>
      <c r="S1374" s="647" t="str">
        <f>VLOOKUP(A1374,'[1]Raw data'!$B:$Z,4,FALSE)</f>
        <v>YSM10</v>
      </c>
      <c r="T1374" s="647" t="str">
        <f>VLOOKUP(A1374,'[1]Raw data'!$B:$Z,8,FALSE)</f>
        <v>R-&gt;L</v>
      </c>
      <c r="U1374" s="647" t="str">
        <f>VLOOKUP(A1374,'[1]Raw data'!$B:$Z,9,FALSE)</f>
        <v>MVC+ATS15</v>
      </c>
      <c r="V1374" s="567" t="str">
        <f t="shared" si="315"/>
        <v>WRONG</v>
      </c>
      <c r="W1374" s="563" t="str">
        <f>VLOOKUP(A1374,'[1]Raw data'!$B:$AG,32,FALSE)</f>
        <v>DAP SZ</v>
      </c>
      <c r="X1374" s="647">
        <f>VLOOKUP(A1374,'[1]Raw data'!$B:$BA,31,FALSE)</f>
        <v>45037</v>
      </c>
      <c r="Y1374" s="647" t="str">
        <f>VLOOKUP(A1374,'[1]Raw data'!$B:$AS,39,FALSE)</f>
        <v>Yes</v>
      </c>
      <c r="Z1374" s="659"/>
      <c r="AA1374" s="660"/>
      <c r="AB1374" s="661"/>
      <c r="AC1374" s="647" t="s">
        <v>3936</v>
      </c>
      <c r="AD1374" s="662">
        <v>301</v>
      </c>
      <c r="AE1374" s="662">
        <v>5</v>
      </c>
      <c r="AF1374" s="662">
        <v>303</v>
      </c>
      <c r="AG1374" s="662">
        <v>3</v>
      </c>
      <c r="AH1374" s="662">
        <v>304</v>
      </c>
      <c r="AI1374" s="663">
        <v>2</v>
      </c>
      <c r="AN1374" s="542"/>
      <c r="AO1374" s="824" t="str">
        <f t="shared" si="304"/>
        <v>Yes</v>
      </c>
      <c r="AP1374" s="259" t="str">
        <f t="shared" si="305"/>
        <v>APR 23</v>
      </c>
      <c r="AQ1374" s="542" t="str">
        <f t="shared" si="306"/>
        <v>有定金+有預留客戶</v>
      </c>
      <c r="AR1374" s="259" t="str">
        <f t="shared" si="307"/>
        <v>Shipped_Stock</v>
      </c>
      <c r="AS1374" s="259" t="str">
        <f t="shared" si="308"/>
        <v/>
      </c>
      <c r="AT1374" s="259" t="str">
        <f t="shared" si="309"/>
        <v>格第</v>
      </c>
      <c r="AU1374" s="259" t="str">
        <f t="shared" si="310"/>
        <v>C49SZX20230054SQ</v>
      </c>
      <c r="AV1374" s="259" t="str">
        <f t="shared" si="311"/>
        <v>2022/11/7,蛇口港</v>
      </c>
    </row>
    <row r="1375" spans="1:48" hidden="1">
      <c r="A1375" s="559">
        <v>1903</v>
      </c>
      <c r="B1375" s="664" t="s">
        <v>1125</v>
      </c>
      <c r="C1375" s="664" t="s">
        <v>281</v>
      </c>
      <c r="D1375" s="645" t="s">
        <v>2648</v>
      </c>
      <c r="E1375" s="793" t="s">
        <v>2649</v>
      </c>
      <c r="F1375" s="647" t="s">
        <v>17</v>
      </c>
      <c r="G1375" s="647" t="s">
        <v>18</v>
      </c>
      <c r="H1375" s="647" t="s">
        <v>48</v>
      </c>
      <c r="I1375" s="575" t="s">
        <v>2650</v>
      </c>
      <c r="J1375" s="575">
        <v>1</v>
      </c>
      <c r="K1375" s="647" t="s">
        <v>1419</v>
      </c>
      <c r="L1375" s="657" t="s">
        <v>2634</v>
      </c>
      <c r="M1375" s="665">
        <v>4.8800000000000003E-2</v>
      </c>
      <c r="N1375" s="647" t="s">
        <v>226</v>
      </c>
      <c r="O1375" s="575">
        <v>2022.9</v>
      </c>
      <c r="P1375" s="665" t="str">
        <f>VLOOKUP(A1375,'[1]Raw data'!$B:$BA,23,FALSE)</f>
        <v>RMB</v>
      </c>
      <c r="Q1375" s="647" t="str">
        <f>VLOOKUP(A1375,'[1]Raw data'!$B:$Z,2,FALSE)</f>
        <v>C49SZX20230049JY</v>
      </c>
      <c r="R1375" s="647" t="str">
        <f>VLOOKUP(A1375,'[1]Raw data'!$B:$Z,3,FALSE)</f>
        <v>和创永泰</v>
      </c>
      <c r="S1375" s="647" t="str">
        <f>VLOOKUP(A1375,'[1]Raw data'!$B:$Z,4,FALSE)</f>
        <v>YSM10</v>
      </c>
      <c r="T1375" s="647" t="str">
        <f>VLOOKUP(A1375,'[1]Raw data'!$B:$Z,8,FALSE)</f>
        <v>L-&gt;R</v>
      </c>
      <c r="U1375" s="647" t="str">
        <f>VLOOKUP(A1375,'[1]Raw data'!$B:$Z,9,FALSE)</f>
        <v>MVC+ATS15</v>
      </c>
      <c r="V1375" s="567" t="str">
        <f t="shared" si="315"/>
        <v>WRONG</v>
      </c>
      <c r="W1375" s="563" t="str">
        <f>VLOOKUP(A1375,'[1]Raw data'!$B:$AG,32,FALSE)</f>
        <v>DDP SZ</v>
      </c>
      <c r="X1375" s="647">
        <f>VLOOKUP(A1375,'[1]Raw data'!$B:$BA,31,FALSE)</f>
        <v>45036</v>
      </c>
      <c r="Y1375" s="647" t="str">
        <f>VLOOKUP(A1375,'[1]Raw data'!$B:$AS,39,FALSE)</f>
        <v>Yes</v>
      </c>
      <c r="Z1375" s="659"/>
      <c r="AA1375" s="660"/>
      <c r="AB1375" s="661"/>
      <c r="AC1375" s="647" t="s">
        <v>2436</v>
      </c>
      <c r="AD1375" s="662">
        <v>301</v>
      </c>
      <c r="AE1375" s="662">
        <v>5</v>
      </c>
      <c r="AF1375" s="662">
        <v>303</v>
      </c>
      <c r="AG1375" s="662">
        <v>3</v>
      </c>
      <c r="AH1375" s="662">
        <v>304</v>
      </c>
      <c r="AI1375" s="663">
        <v>2</v>
      </c>
      <c r="AN1375" s="542"/>
      <c r="AO1375" s="824" t="str">
        <f t="shared" si="304"/>
        <v>Yes</v>
      </c>
      <c r="AP1375" s="259" t="str">
        <f t="shared" si="305"/>
        <v>APR 23</v>
      </c>
      <c r="AQ1375" s="542" t="str">
        <f t="shared" si="306"/>
        <v>有定金+有預留客戶</v>
      </c>
      <c r="AR1375" s="259" t="str">
        <f t="shared" si="307"/>
        <v>Shipped_Stock</v>
      </c>
      <c r="AS1375" s="259" t="str">
        <f t="shared" si="308"/>
        <v/>
      </c>
      <c r="AT1375" s="259" t="str">
        <f t="shared" si="309"/>
        <v>和创永泰</v>
      </c>
      <c r="AU1375" s="259" t="str">
        <f t="shared" si="310"/>
        <v>C49SZX20230049JY</v>
      </c>
      <c r="AV1375" s="259" t="str">
        <f t="shared" si="311"/>
        <v>2022/11/7,蛇口港</v>
      </c>
    </row>
    <row r="1376" spans="1:48" ht="16.5" hidden="1">
      <c r="A1376" s="559">
        <v>1912</v>
      </c>
      <c r="B1376" s="664" t="s">
        <v>1125</v>
      </c>
      <c r="C1376" s="664" t="s">
        <v>281</v>
      </c>
      <c r="D1376" s="645" t="s">
        <v>2648</v>
      </c>
      <c r="E1376" s="793" t="s">
        <v>2649</v>
      </c>
      <c r="F1376" s="647" t="s">
        <v>17</v>
      </c>
      <c r="G1376" s="647" t="s">
        <v>18</v>
      </c>
      <c r="H1376" s="647" t="s">
        <v>102</v>
      </c>
      <c r="I1376" s="575" t="s">
        <v>3996</v>
      </c>
      <c r="J1376" s="575">
        <v>1</v>
      </c>
      <c r="K1376" s="647" t="s">
        <v>1419</v>
      </c>
      <c r="L1376" s="657" t="s">
        <v>2634</v>
      </c>
      <c r="M1376" s="665">
        <v>4.8800000000000003E-2</v>
      </c>
      <c r="N1376" s="647" t="s">
        <v>3968</v>
      </c>
      <c r="O1376" s="575">
        <v>2022.9</v>
      </c>
      <c r="P1376" s="665" t="str">
        <f>VLOOKUP(A1376,'[1]Raw data'!$B:$BA,23,FALSE)</f>
        <v>RMB</v>
      </c>
      <c r="Q1376" s="647" t="str">
        <f>VLOOKUP(A1376,'[1]Raw data'!$B:$Z,2,FALSE)</f>
        <v>C49SZX20230056SX</v>
      </c>
      <c r="R1376" s="647" t="str">
        <f>VLOOKUP(A1376,'[1]Raw data'!$B:$Z,3,FALSE)</f>
        <v>台山新欣</v>
      </c>
      <c r="S1376" s="647" t="str">
        <f>VLOOKUP(A1376,'[1]Raw data'!$B:$Z,4,FALSE)</f>
        <v>YSM10</v>
      </c>
      <c r="T1376" s="647" t="str">
        <f>VLOOKUP(A1376,'[1]Raw data'!$B:$Z,8,FALSE)</f>
        <v>L-&gt;R</v>
      </c>
      <c r="U1376" s="647" t="str">
        <f>VLOOKUP(A1376,'[1]Raw data'!$B:$Z,9,FALSE)</f>
        <v>MVC</v>
      </c>
      <c r="V1376" s="567" t="str">
        <f t="shared" si="315"/>
        <v>WRONG</v>
      </c>
      <c r="W1376" s="563" t="str">
        <f>VLOOKUP(A1376,'[1]Raw data'!$B:$AG,32,FALSE)</f>
        <v>DDP TS</v>
      </c>
      <c r="X1376" s="647">
        <f>VLOOKUP(A1376,'[1]Raw data'!$B:$BA,31,FALSE)</f>
        <v>45040</v>
      </c>
      <c r="Y1376" s="647" t="str">
        <f>VLOOKUP(A1376,'[1]Raw data'!$B:$AS,39,FALSE)</f>
        <v>Yes</v>
      </c>
      <c r="Z1376" s="659"/>
      <c r="AA1376" s="660"/>
      <c r="AB1376" s="661"/>
      <c r="AC1376" s="647" t="s">
        <v>3998</v>
      </c>
      <c r="AD1376" s="662">
        <v>301</v>
      </c>
      <c r="AE1376" s="662">
        <v>5</v>
      </c>
      <c r="AF1376" s="662">
        <v>302</v>
      </c>
      <c r="AG1376" s="662">
        <v>5</v>
      </c>
      <c r="AH1376" s="662"/>
      <c r="AI1376" s="663"/>
      <c r="AN1376" s="542"/>
      <c r="AO1376" s="824" t="str">
        <f t="shared" si="304"/>
        <v>Yes</v>
      </c>
      <c r="AP1376" s="259" t="str">
        <f t="shared" si="305"/>
        <v>JUN 23</v>
      </c>
      <c r="AQ1376" s="542" t="str">
        <f t="shared" si="306"/>
        <v>有定金+有預留客戶</v>
      </c>
      <c r="AR1376" s="259" t="str">
        <f t="shared" si="307"/>
        <v>Shipped_Stock</v>
      </c>
      <c r="AS1376" s="259" t="str">
        <f t="shared" si="308"/>
        <v/>
      </c>
      <c r="AT1376" s="259" t="str">
        <f t="shared" si="309"/>
        <v>台山新欣</v>
      </c>
      <c r="AU1376" s="259" t="str">
        <f t="shared" si="310"/>
        <v>C49SZX20230056SX</v>
      </c>
      <c r="AV1376" s="259" t="str">
        <f t="shared" si="311"/>
        <v>2022/11/7,蛇口港</v>
      </c>
    </row>
    <row r="1377" spans="1:48" ht="16.5" hidden="1">
      <c r="A1377" s="599">
        <v>1931</v>
      </c>
      <c r="B1377" s="664" t="s">
        <v>1125</v>
      </c>
      <c r="C1377" s="664" t="s">
        <v>281</v>
      </c>
      <c r="D1377" s="645" t="s">
        <v>2651</v>
      </c>
      <c r="E1377" s="767" t="s">
        <v>2609</v>
      </c>
      <c r="F1377" s="647" t="s">
        <v>17</v>
      </c>
      <c r="G1377" s="647" t="s">
        <v>18</v>
      </c>
      <c r="H1377" s="647" t="s">
        <v>102</v>
      </c>
      <c r="I1377" s="575" t="s">
        <v>2652</v>
      </c>
      <c r="J1377" s="575">
        <v>1</v>
      </c>
      <c r="K1377" s="647" t="s">
        <v>1419</v>
      </c>
      <c r="L1377" s="657" t="s">
        <v>2634</v>
      </c>
      <c r="M1377" s="665">
        <v>4.9700000000000001E-2</v>
      </c>
      <c r="N1377" s="647" t="s">
        <v>3993</v>
      </c>
      <c r="O1377" s="575">
        <v>2022.8</v>
      </c>
      <c r="P1377" s="665" t="str">
        <f>VLOOKUP(A1377,'[1]Raw data'!$B:$BA,23,FALSE)</f>
        <v>JPY</v>
      </c>
      <c r="Q1377" s="647" t="str">
        <f>VLOOKUP(A1377,'[1]Raw data'!$B:$Z,2,FALSE)</f>
        <v>C49SZX20230079JL</v>
      </c>
      <c r="R1377" s="647" t="str">
        <f>VLOOKUP(A1377,'[1]Raw data'!$B:$Z,3,FALSE)</f>
        <v>友艺</v>
      </c>
      <c r="S1377" s="647" t="str">
        <f>VLOOKUP(A1377,'[1]Raw data'!$B:$Z,4,FALSE)</f>
        <v>YSM10</v>
      </c>
      <c r="T1377" s="647" t="str">
        <f>VLOOKUP(A1377,'[1]Raw data'!$B:$Z,8,FALSE)</f>
        <v>L-&gt;R</v>
      </c>
      <c r="U1377" s="647" t="str">
        <f>VLOOKUP(A1377,'[1]Raw data'!$B:$Z,9,FALSE)</f>
        <v>MVC</v>
      </c>
      <c r="V1377" s="567" t="str">
        <f t="shared" si="315"/>
        <v>WRONG</v>
      </c>
      <c r="W1377" s="563" t="str">
        <f>VLOOKUP(A1377,'[1]Raw data'!$B:$AG,32,FALSE)</f>
        <v>DAP SZ</v>
      </c>
      <c r="X1377" s="657">
        <f>VLOOKUP(A1377,'[1]Raw data'!$B:$BA,31,FALSE)</f>
        <v>45107</v>
      </c>
      <c r="Y1377" s="647" t="str">
        <f>VLOOKUP(A1377,'[1]Raw data'!$B:$AS,39,FALSE)</f>
        <v>Yes</v>
      </c>
      <c r="Z1377" s="659"/>
      <c r="AA1377" s="660"/>
      <c r="AB1377" s="661"/>
      <c r="AC1377" s="647" t="s">
        <v>4015</v>
      </c>
      <c r="AD1377" s="575">
        <v>301</v>
      </c>
      <c r="AE1377" s="575">
        <v>5</v>
      </c>
      <c r="AF1377" s="575">
        <v>302</v>
      </c>
      <c r="AG1377" s="575">
        <v>5</v>
      </c>
      <c r="AH1377" s="575"/>
      <c r="AI1377" s="679"/>
      <c r="AJ1377" s="564"/>
      <c r="AK1377" s="564"/>
      <c r="AL1377" s="564"/>
      <c r="AM1377" s="564"/>
      <c r="AN1377" s="614"/>
      <c r="AO1377" s="824" t="str">
        <f t="shared" si="304"/>
        <v>Yes</v>
      </c>
      <c r="AP1377" s="259" t="str">
        <f t="shared" si="305"/>
        <v>JUL 23</v>
      </c>
      <c r="AQ1377" s="542" t="str">
        <f t="shared" si="306"/>
        <v>有定金+有預留客戶</v>
      </c>
      <c r="AR1377" s="259" t="str">
        <f t="shared" si="307"/>
        <v>Shipped_Stock</v>
      </c>
      <c r="AS1377" s="259" t="str">
        <f t="shared" si="308"/>
        <v/>
      </c>
      <c r="AT1377" s="259" t="str">
        <f t="shared" si="309"/>
        <v>友艺</v>
      </c>
      <c r="AU1377" s="259" t="str">
        <f t="shared" si="310"/>
        <v>C49SZX20230079JL</v>
      </c>
      <c r="AV1377" s="259" t="str">
        <f t="shared" si="311"/>
        <v>2022/11/7,蛇口港</v>
      </c>
    </row>
    <row r="1378" spans="1:48" hidden="1">
      <c r="A1378" s="559">
        <v>1481</v>
      </c>
      <c r="B1378" s="664" t="s">
        <v>1125</v>
      </c>
      <c r="C1378" s="664" t="s">
        <v>281</v>
      </c>
      <c r="D1378" s="645" t="s">
        <v>2651</v>
      </c>
      <c r="E1378" s="767" t="s">
        <v>2609</v>
      </c>
      <c r="F1378" s="647" t="s">
        <v>17</v>
      </c>
      <c r="G1378" s="647" t="s">
        <v>18</v>
      </c>
      <c r="H1378" s="647" t="s">
        <v>48</v>
      </c>
      <c r="I1378" s="575" t="s">
        <v>3955</v>
      </c>
      <c r="J1378" s="575">
        <v>1</v>
      </c>
      <c r="K1378" s="647" t="s">
        <v>1419</v>
      </c>
      <c r="L1378" s="657" t="s">
        <v>2634</v>
      </c>
      <c r="M1378" s="665">
        <v>4.9700000000000001E-2</v>
      </c>
      <c r="N1378" s="647" t="s">
        <v>2502</v>
      </c>
      <c r="O1378" s="575">
        <v>2022.9</v>
      </c>
      <c r="P1378" s="665" t="str">
        <f>VLOOKUP(A1378,'[1]Raw data'!$B:$BA,23,FALSE)</f>
        <v>JPY</v>
      </c>
      <c r="Q1378" s="647" t="str">
        <f>VLOOKUP(A1378,'[1]Raw data'!$B:$Z,2,FALSE)</f>
        <v>C49SZX20220082MX</v>
      </c>
      <c r="R1378" s="647" t="str">
        <f>VLOOKUP(A1378,'[1]Raw data'!$B:$Z,3,FALSE)</f>
        <v>宇翔</v>
      </c>
      <c r="S1378" s="647" t="str">
        <f>VLOOKUP(A1378,'[1]Raw data'!$B:$Z,4,FALSE)</f>
        <v>YSM10</v>
      </c>
      <c r="T1378" s="647" t="str">
        <f>VLOOKUP(A1378,'[1]Raw data'!$B:$Z,8,FALSE)</f>
        <v>L-&gt;R</v>
      </c>
      <c r="U1378" s="647" t="str">
        <f>VLOOKUP(A1378,'[1]Raw data'!$B:$Z,9,FALSE)</f>
        <v>MVC+ATS15</v>
      </c>
      <c r="V1378" s="567" t="str">
        <f t="shared" si="315"/>
        <v>WRONG</v>
      </c>
      <c r="W1378" s="563" t="str">
        <f>VLOOKUP(A1378,'[1]Raw data'!$B:$AG,32,FALSE)</f>
        <v>DAP DG</v>
      </c>
      <c r="X1378" s="647">
        <f>VLOOKUP(A1378,'[1]Raw data'!$B:$BA,31,FALSE)</f>
        <v>44466</v>
      </c>
      <c r="Y1378" s="647" t="str">
        <f>VLOOKUP(A1378,'[1]Raw data'!$B:$AS,39,FALSE)</f>
        <v>Yes</v>
      </c>
      <c r="Z1378" s="659"/>
      <c r="AA1378" s="660"/>
      <c r="AB1378" s="661"/>
      <c r="AC1378" s="647" t="s">
        <v>3957</v>
      </c>
      <c r="AD1378" s="662">
        <v>301</v>
      </c>
      <c r="AE1378" s="662">
        <v>5</v>
      </c>
      <c r="AF1378" s="662">
        <v>302</v>
      </c>
      <c r="AG1378" s="662">
        <v>5</v>
      </c>
      <c r="AH1378" s="662"/>
      <c r="AI1378" s="663"/>
      <c r="AN1378" s="542"/>
      <c r="AO1378" s="824" t="str">
        <f t="shared" si="304"/>
        <v>Yes</v>
      </c>
      <c r="AP1378" s="259" t="str">
        <f t="shared" si="305"/>
        <v>MAY 23</v>
      </c>
      <c r="AQ1378" s="542" t="str">
        <f t="shared" si="306"/>
        <v>有定金+有預留客戶</v>
      </c>
      <c r="AR1378" s="259" t="str">
        <f t="shared" si="307"/>
        <v>Shipped_Stock</v>
      </c>
      <c r="AS1378" s="259" t="str">
        <f t="shared" si="308"/>
        <v/>
      </c>
      <c r="AT1378" s="259" t="str">
        <f t="shared" si="309"/>
        <v>宇翔</v>
      </c>
      <c r="AU1378" s="259" t="str">
        <f t="shared" si="310"/>
        <v>C49SZX20220082MX</v>
      </c>
      <c r="AV1378" s="259" t="str">
        <f t="shared" si="311"/>
        <v>2022/11/7,蛇口港</v>
      </c>
    </row>
    <row r="1379" spans="1:48" ht="16.5" hidden="1">
      <c r="A1379" s="559">
        <v>1913</v>
      </c>
      <c r="B1379" s="664" t="s">
        <v>1125</v>
      </c>
      <c r="C1379" s="664" t="s">
        <v>281</v>
      </c>
      <c r="D1379" s="645" t="s">
        <v>2651</v>
      </c>
      <c r="E1379" s="767" t="s">
        <v>2609</v>
      </c>
      <c r="F1379" s="647" t="s">
        <v>17</v>
      </c>
      <c r="G1379" s="647" t="s">
        <v>18</v>
      </c>
      <c r="H1379" s="647" t="s">
        <v>102</v>
      </c>
      <c r="I1379" s="575" t="s">
        <v>3997</v>
      </c>
      <c r="J1379" s="575">
        <v>1</v>
      </c>
      <c r="K1379" s="647" t="s">
        <v>1419</v>
      </c>
      <c r="L1379" s="657" t="s">
        <v>2634</v>
      </c>
      <c r="M1379" s="665">
        <v>4.9700000000000001E-2</v>
      </c>
      <c r="N1379" s="647" t="s">
        <v>3968</v>
      </c>
      <c r="O1379" s="575">
        <v>2022.9</v>
      </c>
      <c r="P1379" s="665" t="str">
        <f>VLOOKUP(A1379,'[1]Raw data'!$B:$BA,23,FALSE)</f>
        <v>RMB</v>
      </c>
      <c r="Q1379" s="647" t="str">
        <f>VLOOKUP(A1379,'[1]Raw data'!$B:$Z,2,FALSE)</f>
        <v>C49SZX20230056SX</v>
      </c>
      <c r="R1379" s="647" t="str">
        <f>VLOOKUP(A1379,'[1]Raw data'!$B:$Z,3,FALSE)</f>
        <v>台山新欣</v>
      </c>
      <c r="S1379" s="647" t="str">
        <f>VLOOKUP(A1379,'[1]Raw data'!$B:$Z,4,FALSE)</f>
        <v>YSM10</v>
      </c>
      <c r="T1379" s="647" t="str">
        <f>VLOOKUP(A1379,'[1]Raw data'!$B:$Z,8,FALSE)</f>
        <v>L-&gt;R</v>
      </c>
      <c r="U1379" s="647" t="str">
        <f>VLOOKUP(A1379,'[1]Raw data'!$B:$Z,9,FALSE)</f>
        <v>No</v>
      </c>
      <c r="V1379" s="567" t="str">
        <f t="shared" si="315"/>
        <v>WRONG</v>
      </c>
      <c r="W1379" s="563" t="str">
        <f>VLOOKUP(A1379,'[1]Raw data'!$B:$AG,32,FALSE)</f>
        <v>DDP TS</v>
      </c>
      <c r="X1379" s="647">
        <f>VLOOKUP(A1379,'[1]Raw data'!$B:$BA,31,FALSE)</f>
        <v>45040</v>
      </c>
      <c r="Y1379" s="647" t="str">
        <f>VLOOKUP(A1379,'[1]Raw data'!$B:$AS,39,FALSE)</f>
        <v>Yes</v>
      </c>
      <c r="Z1379" s="659"/>
      <c r="AA1379" s="660"/>
      <c r="AB1379" s="661"/>
      <c r="AC1379" s="647" t="s">
        <v>3998</v>
      </c>
      <c r="AD1379" s="662">
        <v>301</v>
      </c>
      <c r="AE1379" s="662">
        <v>5</v>
      </c>
      <c r="AF1379" s="662">
        <v>302</v>
      </c>
      <c r="AG1379" s="662">
        <v>5</v>
      </c>
      <c r="AH1379" s="662"/>
      <c r="AI1379" s="663"/>
      <c r="AN1379" s="542"/>
      <c r="AO1379" s="824" t="str">
        <f t="shared" si="304"/>
        <v>Yes</v>
      </c>
      <c r="AP1379" s="259" t="str">
        <f t="shared" si="305"/>
        <v>JUN 23</v>
      </c>
      <c r="AQ1379" s="542" t="str">
        <f t="shared" si="306"/>
        <v>有定金+有預留客戶</v>
      </c>
      <c r="AR1379" s="259" t="str">
        <f t="shared" si="307"/>
        <v>Shipped_Stock</v>
      </c>
      <c r="AS1379" s="259" t="str">
        <f t="shared" si="308"/>
        <v/>
      </c>
      <c r="AT1379" s="259" t="str">
        <f t="shared" si="309"/>
        <v>台山新欣</v>
      </c>
      <c r="AU1379" s="259" t="str">
        <f t="shared" si="310"/>
        <v>C49SZX20230056SX</v>
      </c>
      <c r="AV1379" s="259" t="str">
        <f t="shared" si="311"/>
        <v>2022/11/7,蛇口港</v>
      </c>
    </row>
    <row r="1380" spans="1:48" hidden="1">
      <c r="A1380" s="599">
        <v>1918</v>
      </c>
      <c r="B1380" s="664" t="s">
        <v>1125</v>
      </c>
      <c r="C1380" s="664" t="s">
        <v>281</v>
      </c>
      <c r="D1380" s="645" t="s">
        <v>2651</v>
      </c>
      <c r="E1380" s="767" t="s">
        <v>2609</v>
      </c>
      <c r="F1380" s="647" t="s">
        <v>17</v>
      </c>
      <c r="G1380" s="647" t="s">
        <v>18</v>
      </c>
      <c r="H1380" s="647" t="s">
        <v>102</v>
      </c>
      <c r="I1380" s="575" t="s">
        <v>2653</v>
      </c>
      <c r="J1380" s="575">
        <v>1</v>
      </c>
      <c r="K1380" s="647" t="s">
        <v>1419</v>
      </c>
      <c r="L1380" s="657" t="s">
        <v>2634</v>
      </c>
      <c r="M1380" s="665">
        <v>4.9700000000000001E-2</v>
      </c>
      <c r="N1380" s="647" t="s">
        <v>3968</v>
      </c>
      <c r="O1380" s="575">
        <v>2022.9</v>
      </c>
      <c r="P1380" s="665" t="str">
        <f>VLOOKUP(A1380,'[1]Raw data'!$B:$BA,23,FALSE)</f>
        <v>RMB</v>
      </c>
      <c r="Q1380" s="647" t="str">
        <f>VLOOKUP(A1380,'[1]Raw data'!$B:$Z,2,FALSE)</f>
        <v>C49SZX20230065EC</v>
      </c>
      <c r="R1380" s="647" t="str">
        <f>VLOOKUP(A1380,'[1]Raw data'!$B:$Z,3,FALSE)</f>
        <v>聚合信</v>
      </c>
      <c r="S1380" s="647" t="str">
        <f>VLOOKUP(A1380,'[1]Raw data'!$B:$Z,4,FALSE)</f>
        <v>YSM10</v>
      </c>
      <c r="T1380" s="647" t="str">
        <f>VLOOKUP(A1380,'[1]Raw data'!$B:$Z,8,FALSE)</f>
        <v>L-&gt;R</v>
      </c>
      <c r="U1380" s="647" t="str">
        <f>VLOOKUP(A1380,'[1]Raw data'!$B:$Z,9,FALSE)</f>
        <v>MVC</v>
      </c>
      <c r="V1380" s="567" t="str">
        <f t="shared" si="315"/>
        <v>WRONG</v>
      </c>
      <c r="W1380" s="563" t="str">
        <f>VLOOKUP(A1380,'[1]Raw data'!$B:$AG,32,FALSE)</f>
        <v>DDP DG</v>
      </c>
      <c r="X1380" s="647">
        <f>VLOOKUP(A1380,'[1]Raw data'!$B:$BA,31,FALSE)</f>
        <v>45061</v>
      </c>
      <c r="Y1380" s="647" t="str">
        <f>VLOOKUP(A1380,'[1]Raw data'!$B:$AS,39,FALSE)</f>
        <v>Yes</v>
      </c>
      <c r="Z1380" s="659"/>
      <c r="AA1380" s="660"/>
      <c r="AB1380" s="661"/>
      <c r="AC1380" s="647" t="s">
        <v>4000</v>
      </c>
      <c r="AD1380" s="575">
        <v>301</v>
      </c>
      <c r="AE1380" s="575">
        <v>5</v>
      </c>
      <c r="AF1380" s="575">
        <v>302</v>
      </c>
      <c r="AG1380" s="575">
        <v>5</v>
      </c>
      <c r="AH1380" s="575"/>
      <c r="AI1380" s="679"/>
      <c r="AJ1380" s="564"/>
      <c r="AK1380" s="564"/>
      <c r="AL1380" s="564"/>
      <c r="AM1380" s="564"/>
      <c r="AN1380" s="614"/>
      <c r="AO1380" s="824" t="str">
        <f t="shared" si="304"/>
        <v>Yes</v>
      </c>
      <c r="AP1380" s="259" t="str">
        <f t="shared" si="305"/>
        <v>JUN 23</v>
      </c>
      <c r="AQ1380" s="542" t="str">
        <f t="shared" si="306"/>
        <v>有定金+有預留客戶</v>
      </c>
      <c r="AR1380" s="259" t="str">
        <f t="shared" si="307"/>
        <v>Shipped_Stock</v>
      </c>
      <c r="AS1380" s="259" t="str">
        <f t="shared" si="308"/>
        <v/>
      </c>
      <c r="AT1380" s="259" t="str">
        <f t="shared" si="309"/>
        <v>聚合信</v>
      </c>
      <c r="AU1380" s="259" t="str">
        <f t="shared" si="310"/>
        <v>C49SZX20230065EC</v>
      </c>
      <c r="AV1380" s="259" t="str">
        <f t="shared" si="311"/>
        <v>2022/11/7,蛇口港</v>
      </c>
    </row>
    <row r="1381" spans="1:48" ht="16.5" hidden="1">
      <c r="A1381" s="559">
        <v>1999</v>
      </c>
      <c r="B1381" s="664" t="s">
        <v>1125</v>
      </c>
      <c r="C1381" s="664" t="s">
        <v>281</v>
      </c>
      <c r="D1381" s="645" t="s">
        <v>2651</v>
      </c>
      <c r="E1381" s="767" t="s">
        <v>2609</v>
      </c>
      <c r="F1381" s="647" t="s">
        <v>17</v>
      </c>
      <c r="G1381" s="647" t="s">
        <v>18</v>
      </c>
      <c r="H1381" s="647" t="s">
        <v>102</v>
      </c>
      <c r="I1381" s="575" t="s">
        <v>4263</v>
      </c>
      <c r="J1381" s="575">
        <v>1</v>
      </c>
      <c r="K1381" s="647" t="s">
        <v>1419</v>
      </c>
      <c r="L1381" s="657" t="s">
        <v>2634</v>
      </c>
      <c r="M1381" s="665">
        <v>4.9700000000000001E-2</v>
      </c>
      <c r="N1381" s="647" t="s">
        <v>4241</v>
      </c>
      <c r="O1381" s="575">
        <v>2022.9</v>
      </c>
      <c r="P1381" s="665" t="str">
        <f>VLOOKUP(A1381,'[1]Raw data'!$B:$BA,23,FALSE)</f>
        <v>RMB</v>
      </c>
      <c r="Q1381" s="647" t="str">
        <f>VLOOKUP(A1381,'[1]Raw data'!$B:$Z,2,FALSE)</f>
        <v>C49SZX20230118SS</v>
      </c>
      <c r="R1381" s="647" t="str">
        <f>VLOOKUP(A1381,'[1]Raw data'!$B:$Z,3,FALSE)</f>
        <v>易通</v>
      </c>
      <c r="S1381" s="647" t="str">
        <f>VLOOKUP(A1381,'[1]Raw data'!$B:$Z,4,FALSE)</f>
        <v>YSM10</v>
      </c>
      <c r="T1381" s="647" t="str">
        <f>VLOOKUP(A1381,'[1]Raw data'!$B:$Z,8,FALSE)</f>
        <v>R-&gt;L</v>
      </c>
      <c r="U1381" s="647" t="str">
        <f>VLOOKUP(A1381,'[1]Raw data'!$B:$Z,9,FALSE)</f>
        <v>No</v>
      </c>
      <c r="V1381" s="567" t="str">
        <f t="shared" si="315"/>
        <v>WRONG</v>
      </c>
      <c r="W1381" s="563" t="str">
        <f>VLOOKUP(A1381,'[1]Raw data'!$B:$AG,32,FALSE)</f>
        <v>DDP SZ</v>
      </c>
      <c r="X1381" s="657">
        <f>VLOOKUP(A1381,'[1]Raw data'!$B:$BA,31,FALSE)</f>
        <v>45232</v>
      </c>
      <c r="Y1381" s="647" t="str">
        <f>VLOOKUP(A1381,'[1]Raw data'!$B:$AS,39,FALSE)</f>
        <v>Yes</v>
      </c>
      <c r="Z1381" s="659"/>
      <c r="AA1381" s="660"/>
      <c r="AB1381" s="661"/>
      <c r="AC1381" s="647" t="s">
        <v>4286</v>
      </c>
      <c r="AD1381" s="662">
        <v>301</v>
      </c>
      <c r="AE1381" s="662">
        <v>5</v>
      </c>
      <c r="AF1381" s="662">
        <v>302</v>
      </c>
      <c r="AG1381" s="662">
        <v>5</v>
      </c>
      <c r="AH1381" s="662"/>
      <c r="AI1381" s="663"/>
      <c r="AN1381" s="542"/>
      <c r="AO1381" s="824" t="str">
        <f t="shared" si="304"/>
        <v>Yes</v>
      </c>
      <c r="AP1381" s="259" t="str">
        <f t="shared" si="305"/>
        <v>NOV 23</v>
      </c>
      <c r="AQ1381" s="542" t="str">
        <f t="shared" si="306"/>
        <v>有定金+有預留客戶</v>
      </c>
      <c r="AR1381" s="259" t="str">
        <f t="shared" si="307"/>
        <v>Shipped_Stock</v>
      </c>
      <c r="AS1381" s="259" t="str">
        <f t="shared" si="308"/>
        <v/>
      </c>
      <c r="AT1381" s="259" t="str">
        <f t="shared" si="309"/>
        <v>易通</v>
      </c>
      <c r="AU1381" s="259" t="str">
        <f t="shared" si="310"/>
        <v>C49SZX20230118SS</v>
      </c>
      <c r="AV1381" s="259" t="str">
        <f t="shared" si="311"/>
        <v>2022/11/7,蛇口港</v>
      </c>
    </row>
    <row r="1382" spans="1:48" hidden="1">
      <c r="A1382" s="599">
        <v>1934</v>
      </c>
      <c r="B1382" s="664" t="s">
        <v>1125</v>
      </c>
      <c r="C1382" s="664" t="s">
        <v>281</v>
      </c>
      <c r="D1382" s="645" t="s">
        <v>2654</v>
      </c>
      <c r="E1382" s="744" t="s">
        <v>2655</v>
      </c>
      <c r="F1382" s="647" t="s">
        <v>17</v>
      </c>
      <c r="G1382" s="647" t="s">
        <v>18</v>
      </c>
      <c r="H1382" s="647" t="s">
        <v>102</v>
      </c>
      <c r="I1382" s="575" t="s">
        <v>4058</v>
      </c>
      <c r="J1382" s="575">
        <v>1</v>
      </c>
      <c r="K1382" s="647" t="s">
        <v>1419</v>
      </c>
      <c r="L1382" s="657" t="s">
        <v>2634</v>
      </c>
      <c r="M1382" s="665">
        <v>4.9700000000000001E-2</v>
      </c>
      <c r="N1382" s="647" t="s">
        <v>4004</v>
      </c>
      <c r="O1382" s="575">
        <v>2022.9</v>
      </c>
      <c r="P1382" s="665" t="str">
        <f>VLOOKUP(A1382,'[1]Raw data'!$B:$BA,23,FALSE)</f>
        <v>RMB</v>
      </c>
      <c r="Q1382" s="647" t="str">
        <f>VLOOKUP(A1382,'[1]Raw data'!$B:$Z,2,FALSE)</f>
        <v>C49SZX20230086SS</v>
      </c>
      <c r="R1382" s="647" t="str">
        <f>VLOOKUP(A1382,'[1]Raw data'!$B:$Z,3,FALSE)</f>
        <v>铣米</v>
      </c>
      <c r="S1382" s="647" t="str">
        <f>VLOOKUP(A1382,'[1]Raw data'!$B:$Z,4,FALSE)</f>
        <v>YSM10</v>
      </c>
      <c r="T1382" s="647" t="str">
        <f>VLOOKUP(A1382,'[1]Raw data'!$B:$Z,8,FALSE)</f>
        <v>L-&gt;R</v>
      </c>
      <c r="U1382" s="647" t="str">
        <f>VLOOKUP(A1382,'[1]Raw data'!$B:$Z,9,FALSE)</f>
        <v>MVC</v>
      </c>
      <c r="V1382" s="567" t="str">
        <f t="shared" ref="V1382:V1384" si="317">IF(G1382&amp;H1382=T1382&amp;U1382,"OK","WRONG")</f>
        <v>WRONG</v>
      </c>
      <c r="W1382" s="563" t="str">
        <f>VLOOKUP(A1382,'[1]Raw data'!$B:$AG,32,FALSE)</f>
        <v>DDP SZ</v>
      </c>
      <c r="X1382" s="657">
        <f>VLOOKUP(A1382,'[1]Raw data'!$B:$BA,31,FALSE)</f>
        <v>45118</v>
      </c>
      <c r="Y1382" s="647" t="str">
        <f>VLOOKUP(A1382,'[1]Raw data'!$B:$AS,39,FALSE)</f>
        <v>Yes</v>
      </c>
      <c r="Z1382" s="659"/>
      <c r="AA1382" s="660"/>
      <c r="AB1382" s="661"/>
      <c r="AC1382" s="647" t="s">
        <v>1848</v>
      </c>
      <c r="AD1382" s="575">
        <v>301</v>
      </c>
      <c r="AE1382" s="575">
        <v>5</v>
      </c>
      <c r="AF1382" s="575">
        <v>302</v>
      </c>
      <c r="AG1382" s="575">
        <v>5</v>
      </c>
      <c r="AH1382" s="575"/>
      <c r="AI1382" s="679"/>
      <c r="AJ1382" s="564"/>
      <c r="AK1382" s="564"/>
      <c r="AL1382" s="564"/>
      <c r="AM1382" s="564"/>
      <c r="AN1382" s="614"/>
      <c r="AO1382" s="824" t="str">
        <f t="shared" si="304"/>
        <v>Yes</v>
      </c>
      <c r="AP1382" s="259" t="str">
        <f t="shared" si="305"/>
        <v>AUG 23</v>
      </c>
      <c r="AQ1382" s="542" t="str">
        <f t="shared" si="306"/>
        <v>有定金+有預留客戶</v>
      </c>
      <c r="AR1382" s="259" t="str">
        <f t="shared" si="307"/>
        <v>Shipped_Stock</v>
      </c>
      <c r="AS1382" s="259" t="str">
        <f t="shared" si="308"/>
        <v/>
      </c>
      <c r="AT1382" s="259" t="str">
        <f t="shared" si="309"/>
        <v>铣米</v>
      </c>
      <c r="AU1382" s="259" t="str">
        <f t="shared" si="310"/>
        <v>C49SZX20230086SS</v>
      </c>
      <c r="AV1382" s="259" t="str">
        <f t="shared" si="311"/>
        <v>2022/11/7,蛇口港</v>
      </c>
    </row>
    <row r="1383" spans="1:48" hidden="1">
      <c r="A1383" s="559">
        <v>1935</v>
      </c>
      <c r="B1383" s="664" t="s">
        <v>1125</v>
      </c>
      <c r="C1383" s="664" t="s">
        <v>281</v>
      </c>
      <c r="D1383" s="645" t="s">
        <v>2654</v>
      </c>
      <c r="E1383" s="744" t="s">
        <v>2655</v>
      </c>
      <c r="F1383" s="647" t="s">
        <v>17</v>
      </c>
      <c r="G1383" s="647" t="s">
        <v>18</v>
      </c>
      <c r="H1383" s="647" t="s">
        <v>102</v>
      </c>
      <c r="I1383" s="575" t="s">
        <v>4056</v>
      </c>
      <c r="J1383" s="575">
        <v>1</v>
      </c>
      <c r="K1383" s="647" t="s">
        <v>1419</v>
      </c>
      <c r="L1383" s="657" t="s">
        <v>2634</v>
      </c>
      <c r="M1383" s="665">
        <v>4.9700000000000001E-2</v>
      </c>
      <c r="N1383" s="647" t="s">
        <v>4004</v>
      </c>
      <c r="O1383" s="575">
        <v>2022.9</v>
      </c>
      <c r="P1383" s="665" t="str">
        <f>VLOOKUP(A1383,'[1]Raw data'!$B:$BA,23,FALSE)</f>
        <v>JPY</v>
      </c>
      <c r="Q1383" s="647" t="str">
        <f>VLOOKUP(A1383,'[1]Raw data'!$B:$Z,2,FALSE)</f>
        <v>C49SZX20230078SX</v>
      </c>
      <c r="R1383" s="647" t="str">
        <f>VLOOKUP(A1383,'[1]Raw data'!$B:$Z,3,FALSE)</f>
        <v>威力斯（End user:瑞杰鑫）</v>
      </c>
      <c r="S1383" s="647" t="str">
        <f>VLOOKUP(A1383,'[1]Raw data'!$B:$Z,4,FALSE)</f>
        <v>YSM10</v>
      </c>
      <c r="T1383" s="647" t="str">
        <f>VLOOKUP(A1383,'[1]Raw data'!$B:$Z,8,FALSE)</f>
        <v>L-&gt;R</v>
      </c>
      <c r="U1383" s="647" t="str">
        <f>VLOOKUP(A1383,'[1]Raw data'!$B:$Z,9,FALSE)</f>
        <v>MVC</v>
      </c>
      <c r="V1383" s="567" t="str">
        <f t="shared" si="317"/>
        <v>WRONG</v>
      </c>
      <c r="W1383" s="563" t="str">
        <f>VLOOKUP(A1383,'[1]Raw data'!$B:$AG,32,FALSE)</f>
        <v>DAP EP</v>
      </c>
      <c r="X1383" s="657">
        <f>VLOOKUP(A1383,'[1]Raw data'!$B:$BA,31,FALSE)</f>
        <v>45118</v>
      </c>
      <c r="Y1383" s="647" t="str">
        <f>VLOOKUP(A1383,'[1]Raw data'!$B:$AS,39,FALSE)</f>
        <v>Yes</v>
      </c>
      <c r="Z1383" s="659"/>
      <c r="AA1383" s="660"/>
      <c r="AB1383" s="661"/>
      <c r="AC1383" s="647" t="s">
        <v>4075</v>
      </c>
      <c r="AD1383" s="662">
        <v>301</v>
      </c>
      <c r="AE1383" s="662">
        <v>5</v>
      </c>
      <c r="AF1383" s="662">
        <v>302</v>
      </c>
      <c r="AG1383" s="662">
        <v>5</v>
      </c>
      <c r="AH1383" s="662"/>
      <c r="AI1383" s="663"/>
      <c r="AN1383" s="542"/>
      <c r="AO1383" s="824" t="str">
        <f t="shared" si="304"/>
        <v>Yes</v>
      </c>
      <c r="AP1383" s="259" t="str">
        <f t="shared" si="305"/>
        <v>AUG 23</v>
      </c>
      <c r="AQ1383" s="542" t="str">
        <f t="shared" si="306"/>
        <v>有定金+有預留客戶</v>
      </c>
      <c r="AR1383" s="259" t="str">
        <f t="shared" si="307"/>
        <v>Shipped_Stock</v>
      </c>
      <c r="AS1383" s="259" t="str">
        <f t="shared" si="308"/>
        <v/>
      </c>
      <c r="AT1383" s="259" t="str">
        <f t="shared" si="309"/>
        <v>威力斯（End user:瑞杰鑫）</v>
      </c>
      <c r="AU1383" s="259" t="str">
        <f t="shared" si="310"/>
        <v>C49SZX20230078SX</v>
      </c>
      <c r="AV1383" s="259" t="str">
        <f t="shared" si="311"/>
        <v>2022/11/7,蛇口港</v>
      </c>
    </row>
    <row r="1384" spans="1:48" hidden="1">
      <c r="A1384" s="559">
        <v>1936</v>
      </c>
      <c r="B1384" s="664" t="s">
        <v>1125</v>
      </c>
      <c r="C1384" s="664" t="s">
        <v>281</v>
      </c>
      <c r="D1384" s="645" t="s">
        <v>2654</v>
      </c>
      <c r="E1384" s="744" t="s">
        <v>2655</v>
      </c>
      <c r="F1384" s="647" t="s">
        <v>17</v>
      </c>
      <c r="G1384" s="647" t="s">
        <v>18</v>
      </c>
      <c r="H1384" s="647" t="s">
        <v>102</v>
      </c>
      <c r="I1384" s="575" t="s">
        <v>4057</v>
      </c>
      <c r="J1384" s="575">
        <v>1</v>
      </c>
      <c r="K1384" s="647" t="s">
        <v>1419</v>
      </c>
      <c r="L1384" s="657" t="s">
        <v>2634</v>
      </c>
      <c r="M1384" s="665">
        <v>4.9700000000000001E-2</v>
      </c>
      <c r="N1384" s="647" t="s">
        <v>4004</v>
      </c>
      <c r="O1384" s="575">
        <v>2022.9</v>
      </c>
      <c r="P1384" s="665" t="str">
        <f>VLOOKUP(A1384,'[1]Raw data'!$B:$BA,23,FALSE)</f>
        <v>JPY</v>
      </c>
      <c r="Q1384" s="647" t="str">
        <f>VLOOKUP(A1384,'[1]Raw data'!$B:$Z,2,FALSE)</f>
        <v>C49SZX20230078SX</v>
      </c>
      <c r="R1384" s="647" t="str">
        <f>VLOOKUP(A1384,'[1]Raw data'!$B:$Z,3,FALSE)</f>
        <v>威力斯（End user:瑞杰鑫）</v>
      </c>
      <c r="S1384" s="647" t="str">
        <f>VLOOKUP(A1384,'[1]Raw data'!$B:$Z,4,FALSE)</f>
        <v>YSM10</v>
      </c>
      <c r="T1384" s="647" t="str">
        <f>VLOOKUP(A1384,'[1]Raw data'!$B:$Z,8,FALSE)</f>
        <v>R-&gt;L</v>
      </c>
      <c r="U1384" s="647" t="str">
        <f>VLOOKUP(A1384,'[1]Raw data'!$B:$Z,9,FALSE)</f>
        <v>MVC</v>
      </c>
      <c r="V1384" s="567" t="str">
        <f t="shared" si="317"/>
        <v>WRONG</v>
      </c>
      <c r="W1384" s="563" t="str">
        <f>VLOOKUP(A1384,'[1]Raw data'!$B:$AG,32,FALSE)</f>
        <v>DAP EP</v>
      </c>
      <c r="X1384" s="657">
        <f>VLOOKUP(A1384,'[1]Raw data'!$B:$BA,31,FALSE)</f>
        <v>45118</v>
      </c>
      <c r="Y1384" s="647" t="str">
        <f>VLOOKUP(A1384,'[1]Raw data'!$B:$AS,39,FALSE)</f>
        <v>Yes</v>
      </c>
      <c r="Z1384" s="659"/>
      <c r="AA1384" s="660"/>
      <c r="AB1384" s="661"/>
      <c r="AC1384" s="647" t="s">
        <v>4075</v>
      </c>
      <c r="AD1384" s="662">
        <v>301</v>
      </c>
      <c r="AE1384" s="662">
        <v>5</v>
      </c>
      <c r="AF1384" s="662">
        <v>302</v>
      </c>
      <c r="AG1384" s="662">
        <v>5</v>
      </c>
      <c r="AH1384" s="662"/>
      <c r="AI1384" s="663"/>
      <c r="AN1384" s="542"/>
      <c r="AO1384" s="824" t="str">
        <f t="shared" si="304"/>
        <v>Yes</v>
      </c>
      <c r="AP1384" s="259" t="str">
        <f t="shared" si="305"/>
        <v>AUG 23</v>
      </c>
      <c r="AQ1384" s="542" t="str">
        <f t="shared" si="306"/>
        <v>有定金+有預留客戶</v>
      </c>
      <c r="AR1384" s="259" t="str">
        <f t="shared" si="307"/>
        <v>Shipped_Stock</v>
      </c>
      <c r="AS1384" s="259" t="str">
        <f t="shared" si="308"/>
        <v/>
      </c>
      <c r="AT1384" s="259" t="str">
        <f t="shared" si="309"/>
        <v>威力斯（End user:瑞杰鑫）</v>
      </c>
      <c r="AU1384" s="259" t="str">
        <f t="shared" si="310"/>
        <v>C49SZX20230078SX</v>
      </c>
      <c r="AV1384" s="259" t="str">
        <f t="shared" si="311"/>
        <v>2022/11/7,蛇口港</v>
      </c>
    </row>
    <row r="1385" spans="1:48" hidden="1">
      <c r="A1385" s="599">
        <v>1712</v>
      </c>
      <c r="B1385" s="664" t="s">
        <v>1125</v>
      </c>
      <c r="C1385" s="563" t="s">
        <v>4013</v>
      </c>
      <c r="D1385" s="623">
        <v>111077</v>
      </c>
      <c r="E1385" s="754" t="s">
        <v>1653</v>
      </c>
      <c r="F1385" s="563" t="s">
        <v>201</v>
      </c>
      <c r="G1385" s="563" t="s">
        <v>24</v>
      </c>
      <c r="H1385" s="563" t="s">
        <v>26</v>
      </c>
      <c r="I1385" s="564" t="s">
        <v>2656</v>
      </c>
      <c r="J1385" s="564">
        <v>1</v>
      </c>
      <c r="K1385" s="563" t="s">
        <v>78</v>
      </c>
      <c r="L1385" s="565">
        <v>44872</v>
      </c>
      <c r="M1385" s="576" t="s">
        <v>906</v>
      </c>
      <c r="N1385" s="647" t="s">
        <v>208</v>
      </c>
      <c r="O1385" s="794">
        <v>2022.1</v>
      </c>
      <c r="P1385" s="665" t="str">
        <f>VLOOKUP(A1385,'[1]Raw data'!$B:$BA,23,FALSE)</f>
        <v>JPY</v>
      </c>
      <c r="Q1385" s="647" t="str">
        <f>VLOOKUP(A1385,'[1]Raw data'!$B:$Z,2,FALSE)</f>
        <v>C28SZX20220085DZ</v>
      </c>
      <c r="R1385" s="647" t="str">
        <f>VLOOKUP(A1385,'[1]Raw data'!$B:$Z,3,FALSE)</f>
        <v>鸿通宇</v>
      </c>
      <c r="S1385" s="647" t="str">
        <f>VLOOKUP(A1385,'[1]Raw data'!$B:$Z,4,FALSE)</f>
        <v>YSi-V</v>
      </c>
      <c r="T1385" s="647" t="str">
        <f>VLOOKUP(A1385,'[1]Raw data'!$B:$Z,8,FALSE)</f>
        <v>L-&gt;R</v>
      </c>
      <c r="U1385" s="647" t="str">
        <f>VLOOKUP(A1385,'[1]Raw data'!$B:$Z,9,FALSE)</f>
        <v>No</v>
      </c>
      <c r="V1385" s="567" t="str">
        <f t="shared" ref="V1385" si="318">IF(G1385&amp;H1385=T1385&amp;U1385,"OK","WRONG")</f>
        <v>OK</v>
      </c>
      <c r="W1385" s="563" t="str">
        <f>VLOOKUP(A1385,'[1]Raw data'!$B:$AG,32,FALSE)</f>
        <v>CIF HK</v>
      </c>
      <c r="X1385" s="647">
        <f>VLOOKUP(A1385,'[1]Raw data'!$B:$BA,31,FALSE)</f>
        <v>44776</v>
      </c>
      <c r="Y1385" s="647" t="str">
        <f>VLOOKUP(A1385,'[1]Raw data'!$B:$AS,39,FALSE)</f>
        <v>Yes</v>
      </c>
      <c r="Z1385" s="666"/>
      <c r="AA1385" s="660"/>
      <c r="AB1385" s="661"/>
      <c r="AC1385" s="647" t="s">
        <v>1951</v>
      </c>
      <c r="AD1385" s="575"/>
      <c r="AE1385" s="575"/>
      <c r="AF1385" s="575"/>
      <c r="AG1385" s="575"/>
      <c r="AH1385" s="575"/>
      <c r="AI1385" s="679"/>
      <c r="AJ1385" s="564"/>
      <c r="AK1385" s="564"/>
      <c r="AL1385" s="564"/>
      <c r="AM1385" s="564"/>
      <c r="AN1385" s="614"/>
      <c r="AO1385" s="824" t="str">
        <f t="shared" si="304"/>
        <v>Yes</v>
      </c>
      <c r="AP1385" s="259" t="str">
        <f t="shared" si="305"/>
        <v>NOV 22</v>
      </c>
      <c r="AQ1385" s="542" t="str">
        <f t="shared" si="306"/>
        <v>有定金+有預留客戶</v>
      </c>
      <c r="AR1385" s="259" t="str">
        <f t="shared" si="307"/>
        <v>Shipped_Stock</v>
      </c>
      <c r="AS1385" s="259" t="str">
        <f t="shared" si="308"/>
        <v/>
      </c>
      <c r="AT1385" s="259" t="str">
        <f t="shared" si="309"/>
        <v>鸿通宇</v>
      </c>
      <c r="AU1385" s="259" t="str">
        <f t="shared" si="310"/>
        <v>C28SZX20220085DZ</v>
      </c>
      <c r="AV1385" s="259" t="str">
        <f t="shared" si="311"/>
        <v>Nov-07</v>
      </c>
    </row>
    <row r="1386" spans="1:48" hidden="1">
      <c r="A1386" s="599">
        <v>1725</v>
      </c>
      <c r="B1386" s="664" t="s">
        <v>1125</v>
      </c>
      <c r="C1386" s="664" t="s">
        <v>281</v>
      </c>
      <c r="D1386" s="625">
        <v>111096</v>
      </c>
      <c r="E1386" s="646" t="s">
        <v>2657</v>
      </c>
      <c r="F1386" s="647" t="s">
        <v>58</v>
      </c>
      <c r="G1386" s="647" t="s">
        <v>18</v>
      </c>
      <c r="H1386" s="647" t="s">
        <v>26</v>
      </c>
      <c r="I1386" s="575" t="s">
        <v>2658</v>
      </c>
      <c r="J1386" s="575">
        <v>1</v>
      </c>
      <c r="K1386" s="563" t="s">
        <v>78</v>
      </c>
      <c r="L1386" s="565">
        <v>44872</v>
      </c>
      <c r="M1386" s="665" t="s">
        <v>906</v>
      </c>
      <c r="N1386" s="647" t="s">
        <v>208</v>
      </c>
      <c r="O1386" s="794">
        <v>2022.1</v>
      </c>
      <c r="P1386" s="665" t="str">
        <f>VLOOKUP(A1386,'[1]Raw data'!$B:$BA,23,FALSE)</f>
        <v>JPY</v>
      </c>
      <c r="Q1386" s="647" t="str">
        <f>VLOOKUP(A1386,'[1]Raw data'!$B:$Z,2,FALSE)</f>
        <v>159851(R2)-ELE</v>
      </c>
      <c r="R1386" s="647" t="str">
        <f>VLOOKUP(A1386,'[1]Raw data'!$B:$Z,3,FALSE)</f>
        <v>WKK</v>
      </c>
      <c r="S1386" s="647" t="str">
        <f>VLOOKUP(A1386,'[1]Raw data'!$B:$Z,4,FALSE)</f>
        <v>YSM20R-2</v>
      </c>
      <c r="T1386" s="647" t="str">
        <f>VLOOKUP(A1386,'[1]Raw data'!$B:$Z,8,FALSE)</f>
        <v>R-&gt;L</v>
      </c>
      <c r="U1386" s="647" t="str">
        <f>VLOOKUP(A1386,'[1]Raw data'!$B:$Z,9,FALSE)</f>
        <v>No</v>
      </c>
      <c r="V1386" s="567" t="str">
        <f>IF(G1386&amp;H1386=T1386&amp;U1386,"OK","WRONG")</f>
        <v>OK</v>
      </c>
      <c r="W1386" s="563" t="str">
        <f>VLOOKUP(A1386,'[1]Raw data'!$B:$AG,32,FALSE)</f>
        <v>CIF HK</v>
      </c>
      <c r="X1386" s="647">
        <f>VLOOKUP(A1386,'[1]Raw data'!$B:$BA,31,FALSE)</f>
        <v>44823</v>
      </c>
      <c r="Y1386" s="647" t="str">
        <f>VLOOKUP(A1386,'[1]Raw data'!$B:$AS,39,FALSE)</f>
        <v>Yes</v>
      </c>
      <c r="Z1386" s="666"/>
      <c r="AA1386" s="660"/>
      <c r="AB1386" s="661"/>
      <c r="AC1386" s="647" t="s">
        <v>2549</v>
      </c>
      <c r="AD1386" s="575">
        <v>311</v>
      </c>
      <c r="AE1386" s="575">
        <v>10</v>
      </c>
      <c r="AF1386" s="575">
        <v>301</v>
      </c>
      <c r="AG1386" s="575">
        <v>5</v>
      </c>
      <c r="AH1386" s="575">
        <v>302</v>
      </c>
      <c r="AI1386" s="679">
        <v>5</v>
      </c>
      <c r="AJ1386" s="564"/>
      <c r="AK1386" s="564"/>
      <c r="AL1386" s="564"/>
      <c r="AM1386" s="564"/>
      <c r="AN1386" s="614"/>
      <c r="AO1386" s="824" t="str">
        <f t="shared" si="304"/>
        <v>Yes</v>
      </c>
      <c r="AP1386" s="259" t="str">
        <f t="shared" si="305"/>
        <v>NOV 22</v>
      </c>
      <c r="AQ1386" s="542" t="str">
        <f t="shared" si="306"/>
        <v>有定金+有預留客戶</v>
      </c>
      <c r="AR1386" s="259" t="str">
        <f t="shared" si="307"/>
        <v>Shipped_Stock</v>
      </c>
      <c r="AS1386" s="259" t="str">
        <f t="shared" si="308"/>
        <v/>
      </c>
      <c r="AT1386" s="259" t="str">
        <f t="shared" si="309"/>
        <v>WKK</v>
      </c>
      <c r="AU1386" s="259" t="str">
        <f t="shared" si="310"/>
        <v>159851(R2)-ELE</v>
      </c>
      <c r="AV1386" s="259" t="str">
        <f t="shared" si="311"/>
        <v>Nov-07</v>
      </c>
    </row>
    <row r="1387" spans="1:48" ht="22.5" hidden="1">
      <c r="A1387" s="559">
        <v>1850</v>
      </c>
      <c r="B1387" s="664" t="s">
        <v>1125</v>
      </c>
      <c r="C1387" s="664" t="s">
        <v>281</v>
      </c>
      <c r="D1387" s="625">
        <v>111096</v>
      </c>
      <c r="E1387" s="767" t="s">
        <v>2657</v>
      </c>
      <c r="F1387" s="647" t="s">
        <v>58</v>
      </c>
      <c r="G1387" s="647" t="s">
        <v>18</v>
      </c>
      <c r="H1387" s="647" t="s">
        <v>307</v>
      </c>
      <c r="I1387" s="575" t="s">
        <v>2659</v>
      </c>
      <c r="J1387" s="575">
        <v>1</v>
      </c>
      <c r="K1387" s="647" t="s">
        <v>1419</v>
      </c>
      <c r="L1387" s="657">
        <v>44872</v>
      </c>
      <c r="M1387" s="665" t="s">
        <v>2660</v>
      </c>
      <c r="N1387" s="647" t="s">
        <v>216</v>
      </c>
      <c r="O1387" s="794">
        <v>2022.1</v>
      </c>
      <c r="P1387" s="665" t="str">
        <f>VLOOKUP(A1387,'[1]Raw data'!$B:$BA,23,FALSE)</f>
        <v>RMB</v>
      </c>
      <c r="Q1387" s="647" t="str">
        <f>VLOOKUP(A1387,'[1]Raw data'!$B:$Z,2,FALSE)</f>
        <v>C49SZX20230025DZ</v>
      </c>
      <c r="R1387" s="647" t="str">
        <f>VLOOKUP(A1387,'[1]Raw data'!$B:$Z,3,FALSE)</f>
        <v>兆晖</v>
      </c>
      <c r="S1387" s="647" t="str">
        <f>VLOOKUP(A1387,'[1]Raw data'!$B:$Z,4,FALSE)</f>
        <v>YSM20R-2</v>
      </c>
      <c r="T1387" s="647" t="str">
        <f>VLOOKUP(A1387,'[1]Raw data'!$B:$Z,8,FALSE)</f>
        <v>R-&gt;L</v>
      </c>
      <c r="U1387" s="647" t="str">
        <f>VLOOKUP(A1387,'[1]Raw data'!$B:$Z,9,FALSE)</f>
        <v>No</v>
      </c>
      <c r="V1387" s="567" t="str">
        <f>IF(G1387&amp;H1387=T1387&amp;U1387,"OK","WRONG")</f>
        <v>OK</v>
      </c>
      <c r="W1387" s="563" t="str">
        <f>VLOOKUP(A1387,'[1]Raw data'!$B:$AG,32,FALSE)</f>
        <v>DDP SZ</v>
      </c>
      <c r="X1387" s="647">
        <f>VLOOKUP(A1387,'[1]Raw data'!$B:$BA,31,FALSE)</f>
        <v>44979</v>
      </c>
      <c r="Y1387" s="647" t="str">
        <f>VLOOKUP(A1387,'[1]Raw data'!$B:$AS,39,FALSE)</f>
        <v>Yes</v>
      </c>
      <c r="Z1387" s="659"/>
      <c r="AA1387" s="660"/>
      <c r="AB1387" s="661"/>
      <c r="AC1387" s="647" t="s">
        <v>2563</v>
      </c>
      <c r="AD1387" s="662">
        <v>311</v>
      </c>
      <c r="AE1387" s="662">
        <v>10</v>
      </c>
      <c r="AF1387" s="662">
        <v>301</v>
      </c>
      <c r="AG1387" s="662">
        <v>5</v>
      </c>
      <c r="AH1387" s="662">
        <v>302</v>
      </c>
      <c r="AI1387" s="663">
        <v>5</v>
      </c>
      <c r="AN1387" s="542"/>
      <c r="AO1387" s="824" t="str">
        <f t="shared" si="304"/>
        <v>Yes</v>
      </c>
      <c r="AP1387" s="259" t="str">
        <f t="shared" si="305"/>
        <v>MAR 23</v>
      </c>
      <c r="AQ1387" s="542" t="str">
        <f t="shared" si="306"/>
        <v>有定金+有預留客戶</v>
      </c>
      <c r="AR1387" s="259" t="str">
        <f t="shared" si="307"/>
        <v>Shipped_Stock</v>
      </c>
      <c r="AS1387" s="259" t="str">
        <f t="shared" si="308"/>
        <v/>
      </c>
      <c r="AT1387" s="259" t="str">
        <f t="shared" si="309"/>
        <v>兆晖</v>
      </c>
      <c r="AU1387" s="259" t="str">
        <f t="shared" si="310"/>
        <v>C49SZX20230025DZ</v>
      </c>
      <c r="AV1387" s="259" t="str">
        <f t="shared" si="311"/>
        <v>Nov-07</v>
      </c>
    </row>
    <row r="1388" spans="1:48" ht="23.25" hidden="1" thickBot="1">
      <c r="A1388" s="559">
        <v>1906</v>
      </c>
      <c r="B1388" s="664" t="s">
        <v>1125</v>
      </c>
      <c r="C1388" s="664" t="s">
        <v>281</v>
      </c>
      <c r="D1388" s="624">
        <v>111096</v>
      </c>
      <c r="E1388" s="646" t="s">
        <v>2657</v>
      </c>
      <c r="F1388" s="647" t="s">
        <v>58</v>
      </c>
      <c r="G1388" s="647" t="s">
        <v>18</v>
      </c>
      <c r="H1388" s="647" t="s">
        <v>26</v>
      </c>
      <c r="I1388" s="575" t="s">
        <v>2661</v>
      </c>
      <c r="J1388" s="575">
        <v>1</v>
      </c>
      <c r="K1388" s="647" t="s">
        <v>85</v>
      </c>
      <c r="L1388" s="565">
        <v>44872</v>
      </c>
      <c r="M1388" s="665" t="s">
        <v>3903</v>
      </c>
      <c r="N1388" s="647" t="s">
        <v>226</v>
      </c>
      <c r="O1388" s="794">
        <v>2022.1</v>
      </c>
      <c r="P1388" s="665" t="str">
        <f>VLOOKUP(A1388,'[1]Raw data'!$B:$BA,23,FALSE)</f>
        <v>JPY</v>
      </c>
      <c r="Q1388" s="647" t="str">
        <f>VLOOKUP(A1388,'[1]Raw data'!$B:$Z,2,FALSE)</f>
        <v>C49SZX20230054SQ</v>
      </c>
      <c r="R1388" s="647" t="str">
        <f>VLOOKUP(A1388,'[1]Raw data'!$B:$Z,3,FALSE)</f>
        <v>格第</v>
      </c>
      <c r="S1388" s="647" t="str">
        <f>VLOOKUP(A1388,'[1]Raw data'!$B:$Z,4,FALSE)</f>
        <v>YSM20R-2</v>
      </c>
      <c r="T1388" s="647" t="str">
        <f>VLOOKUP(A1388,'[1]Raw data'!$B:$Z,8,FALSE)</f>
        <v>R-&gt;L</v>
      </c>
      <c r="U1388" s="647" t="str">
        <f>VLOOKUP(A1388,'[1]Raw data'!$B:$Z,9,FALSE)</f>
        <v>No</v>
      </c>
      <c r="V1388" s="567" t="str">
        <f>IF(G1388&amp;H1388=T1388&amp;U1388,"OK","WRONG")</f>
        <v>OK</v>
      </c>
      <c r="W1388" s="563" t="str">
        <f>VLOOKUP(A1388,'[1]Raw data'!$B:$AG,32,FALSE)</f>
        <v>DAP SZ</v>
      </c>
      <c r="X1388" s="647">
        <f>VLOOKUP(A1388,'[1]Raw data'!$B:$BA,31,FALSE)</f>
        <v>45037</v>
      </c>
      <c r="Y1388" s="647" t="str">
        <f>VLOOKUP(A1388,'[1]Raw data'!$B:$AS,39,FALSE)</f>
        <v>Yes</v>
      </c>
      <c r="Z1388" s="659"/>
      <c r="AA1388" s="660"/>
      <c r="AB1388" s="661"/>
      <c r="AC1388" s="647" t="s">
        <v>3936</v>
      </c>
      <c r="AD1388" s="662">
        <v>311</v>
      </c>
      <c r="AE1388" s="662">
        <v>10</v>
      </c>
      <c r="AF1388" s="662">
        <v>301</v>
      </c>
      <c r="AG1388" s="662">
        <v>5</v>
      </c>
      <c r="AH1388" s="662">
        <v>302</v>
      </c>
      <c r="AI1388" s="663">
        <v>5</v>
      </c>
      <c r="AN1388" s="542"/>
      <c r="AO1388" s="824" t="str">
        <f t="shared" si="304"/>
        <v>Yes</v>
      </c>
      <c r="AP1388" s="259" t="str">
        <f t="shared" si="305"/>
        <v>APR 23</v>
      </c>
      <c r="AQ1388" s="542" t="str">
        <f t="shared" si="306"/>
        <v>有定金+有預留客戶</v>
      </c>
      <c r="AR1388" s="259" t="str">
        <f t="shared" si="307"/>
        <v>Shipped_Stock</v>
      </c>
      <c r="AS1388" s="259" t="str">
        <f t="shared" si="308"/>
        <v/>
      </c>
      <c r="AT1388" s="259" t="str">
        <f t="shared" si="309"/>
        <v>格第</v>
      </c>
      <c r="AU1388" s="259" t="str">
        <f t="shared" si="310"/>
        <v>C49SZX20230054SQ</v>
      </c>
      <c r="AV1388" s="259" t="str">
        <f t="shared" si="311"/>
        <v>Nov-07</v>
      </c>
    </row>
    <row r="1389" spans="1:48" ht="22.5" hidden="1">
      <c r="A1389" s="559">
        <v>1864</v>
      </c>
      <c r="B1389" s="664" t="s">
        <v>1125</v>
      </c>
      <c r="C1389" s="664" t="s">
        <v>281</v>
      </c>
      <c r="D1389" s="776">
        <v>111096</v>
      </c>
      <c r="E1389" s="646" t="s">
        <v>2657</v>
      </c>
      <c r="F1389" s="647" t="s">
        <v>58</v>
      </c>
      <c r="G1389" s="647" t="s">
        <v>18</v>
      </c>
      <c r="H1389" s="647" t="s">
        <v>26</v>
      </c>
      <c r="I1389" s="575" t="s">
        <v>2663</v>
      </c>
      <c r="J1389" s="575">
        <v>1</v>
      </c>
      <c r="K1389" s="647" t="s">
        <v>2407</v>
      </c>
      <c r="L1389" s="565">
        <v>44872</v>
      </c>
      <c r="M1389" s="665" t="s">
        <v>2662</v>
      </c>
      <c r="N1389" s="647" t="s">
        <v>216</v>
      </c>
      <c r="O1389" s="794">
        <v>2022.1</v>
      </c>
      <c r="P1389" s="665" t="str">
        <f>VLOOKUP(A1389,'[1]Raw data'!$B:$BA,23,FALSE)</f>
        <v>RMB</v>
      </c>
      <c r="Q1389" s="647" t="str">
        <f>VLOOKUP(A1389,'[1]Raw data'!$B:$Z,2,FALSE)</f>
        <v>C49SZX20230035SX</v>
      </c>
      <c r="R1389" s="647" t="str">
        <f>VLOOKUP(A1389,'[1]Raw data'!$B:$Z,3,FALSE)</f>
        <v>博祯</v>
      </c>
      <c r="S1389" s="647" t="str">
        <f>VLOOKUP(A1389,'[1]Raw data'!$B:$Z,4,FALSE)</f>
        <v>YSM20R-2</v>
      </c>
      <c r="T1389" s="647" t="str">
        <f>VLOOKUP(A1389,'[1]Raw data'!$B:$Z,8,FALSE)</f>
        <v>R-&gt;L</v>
      </c>
      <c r="U1389" s="647" t="str">
        <f>VLOOKUP(A1389,'[1]Raw data'!$B:$Z,9,FALSE)</f>
        <v>No</v>
      </c>
      <c r="V1389" s="567" t="str">
        <f>IF(G1389&amp;H1389=T1389&amp;U1389,"OK","WRONG")</f>
        <v>OK</v>
      </c>
      <c r="W1389" s="563" t="str">
        <f>VLOOKUP(A1389,'[1]Raw data'!$B:$AG,32,FALSE)</f>
        <v>DDP SZ</v>
      </c>
      <c r="X1389" s="647">
        <f>VLOOKUP(A1389,'[1]Raw data'!$B:$BA,31,FALSE)</f>
        <v>44986</v>
      </c>
      <c r="Y1389" s="647" t="str">
        <f>VLOOKUP(A1389,'[1]Raw data'!$B:$AS,39,FALSE)</f>
        <v>Yes</v>
      </c>
      <c r="Z1389" s="659"/>
      <c r="AA1389" s="660"/>
      <c r="AB1389" s="661"/>
      <c r="AC1389" s="647" t="s">
        <v>2478</v>
      </c>
      <c r="AD1389" s="662">
        <v>311</v>
      </c>
      <c r="AE1389" s="662">
        <v>10</v>
      </c>
      <c r="AF1389" s="662">
        <v>301</v>
      </c>
      <c r="AG1389" s="662">
        <v>5</v>
      </c>
      <c r="AH1389" s="662">
        <v>302</v>
      </c>
      <c r="AI1389" s="663">
        <v>5</v>
      </c>
      <c r="AN1389" s="542"/>
      <c r="AO1389" s="824" t="str">
        <f t="shared" si="304"/>
        <v>Yes</v>
      </c>
      <c r="AP1389" s="259" t="str">
        <f t="shared" si="305"/>
        <v>MAR 23</v>
      </c>
      <c r="AQ1389" s="542" t="str">
        <f t="shared" si="306"/>
        <v>有定金+有預留客戶</v>
      </c>
      <c r="AR1389" s="259" t="str">
        <f t="shared" si="307"/>
        <v>Shipped_Stock</v>
      </c>
      <c r="AS1389" s="259" t="str">
        <f t="shared" si="308"/>
        <v/>
      </c>
      <c r="AT1389" s="259" t="str">
        <f t="shared" si="309"/>
        <v>博祯</v>
      </c>
      <c r="AU1389" s="259" t="str">
        <f t="shared" si="310"/>
        <v>C49SZX20230035SX</v>
      </c>
      <c r="AV1389" s="259" t="str">
        <f t="shared" si="311"/>
        <v>Nov-07</v>
      </c>
    </row>
    <row r="1390" spans="1:48" hidden="1">
      <c r="A1390" s="559">
        <v>1816</v>
      </c>
      <c r="B1390" s="664" t="s">
        <v>1125</v>
      </c>
      <c r="C1390" s="664" t="s">
        <v>281</v>
      </c>
      <c r="D1390" s="755">
        <v>111096</v>
      </c>
      <c r="E1390" s="646" t="s">
        <v>2657</v>
      </c>
      <c r="F1390" s="647" t="s">
        <v>58</v>
      </c>
      <c r="G1390" s="647" t="s">
        <v>24</v>
      </c>
      <c r="H1390" s="647" t="s">
        <v>26</v>
      </c>
      <c r="I1390" s="575" t="s">
        <v>2664</v>
      </c>
      <c r="J1390" s="575">
        <v>1</v>
      </c>
      <c r="K1390" s="647" t="s">
        <v>2407</v>
      </c>
      <c r="L1390" s="565">
        <v>44872</v>
      </c>
      <c r="M1390" s="665" t="s">
        <v>2665</v>
      </c>
      <c r="N1390" s="647" t="s">
        <v>216</v>
      </c>
      <c r="O1390" s="794">
        <v>2022.1</v>
      </c>
      <c r="P1390" s="665" t="str">
        <f>VLOOKUP(A1390,'[1]Raw data'!$B:$BA,23,FALSE)</f>
        <v>RMB</v>
      </c>
      <c r="Q1390" s="647" t="str">
        <f>VLOOKUP(A1390,'[1]Raw data'!$B:$Z,2,FALSE)</f>
        <v>C49SZX20230005SQ</v>
      </c>
      <c r="R1390" s="647" t="str">
        <f>VLOOKUP(A1390,'[1]Raw data'!$B:$Z,3,FALSE)</f>
        <v>德润通</v>
      </c>
      <c r="S1390" s="647" t="str">
        <f>VLOOKUP(A1390,'[1]Raw data'!$B:$Z,4,FALSE)</f>
        <v>YSM20R-2</v>
      </c>
      <c r="T1390" s="647" t="str">
        <f>VLOOKUP(A1390,'[1]Raw data'!$B:$Z,8,FALSE)</f>
        <v>L-&gt;R</v>
      </c>
      <c r="U1390" s="647" t="str">
        <f>VLOOKUP(A1390,'[1]Raw data'!$B:$Z,9,FALSE)</f>
        <v>No</v>
      </c>
      <c r="V1390" s="567" t="str">
        <f t="shared" ref="V1390:V1400" si="319">IF(G1390&amp;H1390=T1390&amp;U1390,"OK","WRONG")</f>
        <v>OK</v>
      </c>
      <c r="W1390" s="563" t="str">
        <f>VLOOKUP(A1390,'[1]Raw data'!$B:$AG,32,FALSE)</f>
        <v>DDP ZH</v>
      </c>
      <c r="X1390" s="647">
        <f>VLOOKUP(A1390,'[1]Raw data'!$B:$BA,31,FALSE)</f>
        <v>44937</v>
      </c>
      <c r="Y1390" s="647" t="str">
        <f>VLOOKUP(A1390,'[1]Raw data'!$B:$AS,39,FALSE)</f>
        <v>Yes</v>
      </c>
      <c r="Z1390" s="659"/>
      <c r="AA1390" s="660"/>
      <c r="AB1390" s="661"/>
      <c r="AC1390" s="647" t="s">
        <v>2666</v>
      </c>
      <c r="AD1390" s="662">
        <v>312</v>
      </c>
      <c r="AE1390" s="662">
        <v>10</v>
      </c>
      <c r="AF1390" s="662">
        <v>301</v>
      </c>
      <c r="AG1390" s="662">
        <v>5</v>
      </c>
      <c r="AH1390" s="662">
        <v>302</v>
      </c>
      <c r="AI1390" s="663">
        <v>5</v>
      </c>
      <c r="AN1390" s="542"/>
      <c r="AO1390" s="824" t="str">
        <f t="shared" si="304"/>
        <v>Yes</v>
      </c>
      <c r="AP1390" s="259" t="str">
        <f t="shared" si="305"/>
        <v>MAR 23</v>
      </c>
      <c r="AQ1390" s="542" t="str">
        <f t="shared" si="306"/>
        <v>有定金+有預留客戶</v>
      </c>
      <c r="AR1390" s="259" t="str">
        <f t="shared" si="307"/>
        <v>Shipped_Stock</v>
      </c>
      <c r="AS1390" s="259" t="str">
        <f t="shared" si="308"/>
        <v/>
      </c>
      <c r="AT1390" s="259" t="str">
        <f t="shared" si="309"/>
        <v>德润通</v>
      </c>
      <c r="AU1390" s="259" t="str">
        <f t="shared" si="310"/>
        <v>C49SZX20230005SQ</v>
      </c>
      <c r="AV1390" s="259" t="str">
        <f t="shared" si="311"/>
        <v>Nov-07</v>
      </c>
    </row>
    <row r="1391" spans="1:48" ht="22.5" hidden="1">
      <c r="A1391" s="599">
        <v>1895</v>
      </c>
      <c r="B1391" s="664" t="s">
        <v>1125</v>
      </c>
      <c r="C1391" s="664" t="s">
        <v>281</v>
      </c>
      <c r="D1391" s="755">
        <v>111096</v>
      </c>
      <c r="E1391" s="646" t="s">
        <v>2657</v>
      </c>
      <c r="F1391" s="647" t="s">
        <v>58</v>
      </c>
      <c r="G1391" s="647" t="s">
        <v>24</v>
      </c>
      <c r="H1391" s="647" t="s">
        <v>26</v>
      </c>
      <c r="I1391" s="575" t="s">
        <v>2667</v>
      </c>
      <c r="J1391" s="575">
        <v>1</v>
      </c>
      <c r="K1391" s="647" t="s">
        <v>1732</v>
      </c>
      <c r="L1391" s="565">
        <v>44872</v>
      </c>
      <c r="M1391" s="665" t="s">
        <v>2662</v>
      </c>
      <c r="N1391" s="647" t="s">
        <v>216</v>
      </c>
      <c r="O1391" s="794">
        <v>2022.1</v>
      </c>
      <c r="P1391" s="665" t="str">
        <f>VLOOKUP(A1391,'[1]Raw data'!$B:$BA,23,FALSE)</f>
        <v>RMB</v>
      </c>
      <c r="Q1391" s="647" t="str">
        <f>VLOOKUP(A1391,'[1]Raw data'!$B:$Z,2,FALSE)</f>
        <v>C49SZX20230047R1SS</v>
      </c>
      <c r="R1391" s="647" t="str">
        <f>VLOOKUP(A1391,'[1]Raw data'!$B:$Z,3,FALSE)</f>
        <v>阿姆斯特</v>
      </c>
      <c r="S1391" s="647" t="str">
        <f>VLOOKUP(A1391,'[1]Raw data'!$B:$Z,4,FALSE)</f>
        <v>YSM20R-2</v>
      </c>
      <c r="T1391" s="647" t="str">
        <f>VLOOKUP(A1391,'[1]Raw data'!$B:$Z,8,FALSE)</f>
        <v>L-&gt;R</v>
      </c>
      <c r="U1391" s="647" t="str">
        <f>VLOOKUP(A1391,'[1]Raw data'!$B:$Z,9,FALSE)</f>
        <v>No</v>
      </c>
      <c r="V1391" s="567" t="str">
        <f t="shared" si="319"/>
        <v>OK</v>
      </c>
      <c r="W1391" s="563" t="str">
        <f>VLOOKUP(A1391,'[1]Raw data'!$B:$AG,32,FALSE)</f>
        <v>DDP DG</v>
      </c>
      <c r="X1391" s="647">
        <f>VLOOKUP(A1391,'[1]Raw data'!$B:$BA,31,FALSE)</f>
        <v>45007</v>
      </c>
      <c r="Y1391" s="647" t="str">
        <f>VLOOKUP(A1391,'[1]Raw data'!$B:$AS,39,FALSE)</f>
        <v>Yes</v>
      </c>
      <c r="Z1391" s="659"/>
      <c r="AA1391" s="660"/>
      <c r="AB1391" s="661"/>
      <c r="AC1391" s="647" t="s">
        <v>2605</v>
      </c>
      <c r="AD1391" s="575">
        <v>312</v>
      </c>
      <c r="AE1391" s="575">
        <v>10</v>
      </c>
      <c r="AF1391" s="575">
        <v>301</v>
      </c>
      <c r="AG1391" s="575">
        <v>5</v>
      </c>
      <c r="AH1391" s="575">
        <v>302</v>
      </c>
      <c r="AI1391" s="679">
        <v>5</v>
      </c>
      <c r="AJ1391" s="564"/>
      <c r="AK1391" s="564"/>
      <c r="AL1391" s="564"/>
      <c r="AM1391" s="564"/>
      <c r="AN1391" s="614"/>
      <c r="AO1391" s="824" t="str">
        <f t="shared" si="304"/>
        <v>Yes</v>
      </c>
      <c r="AP1391" s="259" t="str">
        <f t="shared" si="305"/>
        <v>MAR 23</v>
      </c>
      <c r="AQ1391" s="542" t="str">
        <f t="shared" si="306"/>
        <v>有定金+有預留客戶</v>
      </c>
      <c r="AR1391" s="259" t="str">
        <f t="shared" si="307"/>
        <v>Shipped_Stock</v>
      </c>
      <c r="AS1391" s="259" t="str">
        <f t="shared" si="308"/>
        <v/>
      </c>
      <c r="AT1391" s="259" t="str">
        <f t="shared" si="309"/>
        <v>阿姆斯特</v>
      </c>
      <c r="AU1391" s="259" t="str">
        <f t="shared" si="310"/>
        <v>C49SZX20230047R1SS</v>
      </c>
      <c r="AV1391" s="259" t="str">
        <f t="shared" si="311"/>
        <v>Nov-07</v>
      </c>
    </row>
    <row r="1392" spans="1:48" ht="23.25" hidden="1" thickBot="1">
      <c r="A1392" s="559">
        <v>1896</v>
      </c>
      <c r="B1392" s="664" t="s">
        <v>1125</v>
      </c>
      <c r="C1392" s="664" t="s">
        <v>281</v>
      </c>
      <c r="D1392" s="624">
        <v>111096</v>
      </c>
      <c r="E1392" s="646" t="s">
        <v>2657</v>
      </c>
      <c r="F1392" s="647" t="s">
        <v>58</v>
      </c>
      <c r="G1392" s="647" t="s">
        <v>24</v>
      </c>
      <c r="H1392" s="647" t="s">
        <v>26</v>
      </c>
      <c r="I1392" s="575" t="s">
        <v>2668</v>
      </c>
      <c r="J1392" s="575">
        <v>1</v>
      </c>
      <c r="K1392" s="647" t="s">
        <v>2407</v>
      </c>
      <c r="L1392" s="565">
        <v>44872</v>
      </c>
      <c r="M1392" s="665" t="s">
        <v>3892</v>
      </c>
      <c r="N1392" s="647" t="s">
        <v>226</v>
      </c>
      <c r="O1392" s="794">
        <v>2022.1</v>
      </c>
      <c r="P1392" s="665" t="str">
        <f>VLOOKUP(A1392,'[1]Raw data'!$B:$BA,23,FALSE)</f>
        <v>RMB</v>
      </c>
      <c r="Q1392" s="647" t="str">
        <f>VLOOKUP(A1392,'[1]Raw data'!$B:$Z,2,FALSE)</f>
        <v>YJY-2023040701</v>
      </c>
      <c r="R1392" s="647" t="str">
        <f>VLOOKUP(A1392,'[1]Raw data'!$B:$Z,3,FALSE)</f>
        <v>清水湾（End use:呈承）</v>
      </c>
      <c r="S1392" s="647" t="str">
        <f>VLOOKUP(A1392,'[1]Raw data'!$B:$Z,4,FALSE)</f>
        <v>YSM20R-2</v>
      </c>
      <c r="T1392" s="647" t="str">
        <f>VLOOKUP(A1392,'[1]Raw data'!$B:$Z,8,FALSE)</f>
        <v>L-&gt;R</v>
      </c>
      <c r="U1392" s="647" t="str">
        <f>VLOOKUP(A1392,'[1]Raw data'!$B:$Z,9,FALSE)</f>
        <v>No</v>
      </c>
      <c r="V1392" s="567" t="str">
        <f t="shared" si="319"/>
        <v>OK</v>
      </c>
      <c r="W1392" s="563" t="str">
        <f>VLOOKUP(A1392,'[1]Raw data'!$B:$AG,32,FALSE)</f>
        <v>DDP ZS</v>
      </c>
      <c r="X1392" s="647">
        <f>VLOOKUP(A1392,'[1]Raw data'!$B:$BA,31,FALSE)</f>
        <v>45019</v>
      </c>
      <c r="Y1392" s="647" t="str">
        <f>VLOOKUP(A1392,'[1]Raw data'!$B:$AS,39,FALSE)</f>
        <v>Yes</v>
      </c>
      <c r="Z1392" s="659"/>
      <c r="AA1392" s="660"/>
      <c r="AB1392" s="661"/>
      <c r="AC1392" s="647" t="s">
        <v>3900</v>
      </c>
      <c r="AD1392" s="662">
        <v>312</v>
      </c>
      <c r="AE1392" s="662">
        <v>10</v>
      </c>
      <c r="AF1392" s="662">
        <v>301</v>
      </c>
      <c r="AG1392" s="662">
        <v>5</v>
      </c>
      <c r="AH1392" s="662">
        <v>302</v>
      </c>
      <c r="AI1392" s="663">
        <v>5</v>
      </c>
      <c r="AN1392" s="542"/>
      <c r="AO1392" s="824" t="str">
        <f t="shared" si="304"/>
        <v>Yes</v>
      </c>
      <c r="AP1392" s="259" t="str">
        <f t="shared" si="305"/>
        <v>APR 23</v>
      </c>
      <c r="AQ1392" s="542" t="str">
        <f t="shared" si="306"/>
        <v>有定金+有預留客戶</v>
      </c>
      <c r="AR1392" s="259" t="str">
        <f t="shared" si="307"/>
        <v>Shipped_Stock</v>
      </c>
      <c r="AS1392" s="259" t="str">
        <f t="shared" si="308"/>
        <v/>
      </c>
      <c r="AT1392" s="259" t="str">
        <f t="shared" si="309"/>
        <v>清水湾（End use:呈承）</v>
      </c>
      <c r="AU1392" s="259" t="str">
        <f t="shared" si="310"/>
        <v>YJY-2023040701</v>
      </c>
      <c r="AV1392" s="259" t="str">
        <f t="shared" si="311"/>
        <v>Nov-07</v>
      </c>
    </row>
    <row r="1393" spans="1:48" hidden="1">
      <c r="A1393" s="559">
        <v>1714</v>
      </c>
      <c r="B1393" s="664" t="s">
        <v>1125</v>
      </c>
      <c r="C1393" s="664" t="s">
        <v>281</v>
      </c>
      <c r="D1393" s="761">
        <v>111097</v>
      </c>
      <c r="E1393" s="795" t="s">
        <v>2669</v>
      </c>
      <c r="F1393" s="647" t="s">
        <v>58</v>
      </c>
      <c r="G1393" s="647" t="s">
        <v>24</v>
      </c>
      <c r="H1393" s="647" t="s">
        <v>26</v>
      </c>
      <c r="I1393" s="575" t="s">
        <v>2670</v>
      </c>
      <c r="J1393" s="575">
        <v>1</v>
      </c>
      <c r="K1393" s="647" t="s">
        <v>2671</v>
      </c>
      <c r="L1393" s="565">
        <v>44876</v>
      </c>
      <c r="M1393" s="665" t="s">
        <v>906</v>
      </c>
      <c r="N1393" s="647" t="s">
        <v>208</v>
      </c>
      <c r="O1393" s="794">
        <v>2022.1</v>
      </c>
      <c r="P1393" s="665" t="str">
        <f>VLOOKUP(A1393,'[1]Raw data'!$B:$BA,23,FALSE)</f>
        <v>JPY</v>
      </c>
      <c r="Q1393" s="647" t="str">
        <f>VLOOKUP(A1393,'[1]Raw data'!$B:$Z,2,FALSE)</f>
        <v>C49SZX20220086VG/ESE220803STOCK-OS</v>
      </c>
      <c r="R1393" s="647" t="str">
        <f>VLOOKUP(A1393,'[1]Raw data'!$B:$Z,3,FALSE)</f>
        <v>WKK(end user:熵基）</v>
      </c>
      <c r="S1393" s="647" t="str">
        <f>VLOOKUP(A1393,'[1]Raw data'!$B:$Z,4,FALSE)</f>
        <v>YSM20R-2</v>
      </c>
      <c r="T1393" s="647" t="str">
        <f>VLOOKUP(A1393,'[1]Raw data'!$B:$Z,8,FALSE)</f>
        <v>L-&gt;R</v>
      </c>
      <c r="U1393" s="647" t="str">
        <f>VLOOKUP(A1393,'[1]Raw data'!$B:$Z,9,FALSE)</f>
        <v>No</v>
      </c>
      <c r="V1393" s="567" t="str">
        <f t="shared" si="319"/>
        <v>OK</v>
      </c>
      <c r="W1393" s="563" t="str">
        <f>VLOOKUP(A1393,'[1]Raw data'!$B:$AG,32,FALSE)</f>
        <v>CIF HK</v>
      </c>
      <c r="X1393" s="647">
        <f>VLOOKUP(A1393,'[1]Raw data'!$B:$BA,31,FALSE)</f>
        <v>44776</v>
      </c>
      <c r="Y1393" s="647" t="str">
        <f>VLOOKUP(A1393,'[1]Raw data'!$B:$AS,39,FALSE)</f>
        <v>Yes</v>
      </c>
      <c r="Z1393" s="666"/>
      <c r="AA1393" s="660"/>
      <c r="AB1393" s="661"/>
      <c r="AC1393" s="647" t="s">
        <v>2672</v>
      </c>
      <c r="AD1393" s="662">
        <v>311</v>
      </c>
      <c r="AE1393" s="662">
        <v>10</v>
      </c>
      <c r="AF1393" s="662">
        <v>303</v>
      </c>
      <c r="AG1393" s="662">
        <v>5</v>
      </c>
      <c r="AH1393" s="662">
        <v>302</v>
      </c>
      <c r="AI1393" s="663">
        <v>5</v>
      </c>
      <c r="AN1393" s="542"/>
      <c r="AO1393" s="824" t="str">
        <f t="shared" si="304"/>
        <v>Yes</v>
      </c>
      <c r="AP1393" s="259" t="str">
        <f t="shared" si="305"/>
        <v>NOV 22</v>
      </c>
      <c r="AQ1393" s="542" t="str">
        <f t="shared" si="306"/>
        <v>有定金+有預留客戶</v>
      </c>
      <c r="AR1393" s="259" t="str">
        <f t="shared" si="307"/>
        <v>Shipped_Stock</v>
      </c>
      <c r="AS1393" s="259" t="str">
        <f t="shared" si="308"/>
        <v/>
      </c>
      <c r="AT1393" s="259" t="str">
        <f t="shared" si="309"/>
        <v>WKK(end user:熵基）</v>
      </c>
      <c r="AU1393" s="259" t="str">
        <f t="shared" si="310"/>
        <v>C49SZX20220086VG/ESE220803STOCK-OS</v>
      </c>
      <c r="AV1393" s="259" t="str">
        <f t="shared" si="311"/>
        <v>Nov-11</v>
      </c>
    </row>
    <row r="1394" spans="1:48" ht="13.5" hidden="1" thickBot="1">
      <c r="A1394" s="559">
        <v>1713</v>
      </c>
      <c r="B1394" s="664" t="s">
        <v>1125</v>
      </c>
      <c r="C1394" s="664" t="s">
        <v>281</v>
      </c>
      <c r="D1394" s="624">
        <v>111097</v>
      </c>
      <c r="E1394" s="795" t="s">
        <v>2669</v>
      </c>
      <c r="F1394" s="647" t="s">
        <v>58</v>
      </c>
      <c r="G1394" s="647" t="s">
        <v>24</v>
      </c>
      <c r="H1394" s="647" t="s">
        <v>2673</v>
      </c>
      <c r="I1394" s="575" t="s">
        <v>2674</v>
      </c>
      <c r="J1394" s="575">
        <v>1</v>
      </c>
      <c r="K1394" s="647" t="s">
        <v>2671</v>
      </c>
      <c r="L1394" s="565">
        <v>44876</v>
      </c>
      <c r="M1394" s="665" t="s">
        <v>906</v>
      </c>
      <c r="N1394" s="647" t="s">
        <v>208</v>
      </c>
      <c r="O1394" s="794">
        <v>2022.1</v>
      </c>
      <c r="P1394" s="665" t="str">
        <f>VLOOKUP(A1394,'[1]Raw data'!$B:$BA,23,FALSE)</f>
        <v>JPY</v>
      </c>
      <c r="Q1394" s="647" t="str">
        <f>VLOOKUP(A1394,'[1]Raw data'!$B:$Z,2,FALSE)</f>
        <v>C49SZX20220086VG/ESE220803STOCK-OS</v>
      </c>
      <c r="R1394" s="647" t="str">
        <f>VLOOKUP(A1394,'[1]Raw data'!$B:$Z,3,FALSE)</f>
        <v>WKK(end user:熵基）</v>
      </c>
      <c r="S1394" s="647" t="str">
        <f>VLOOKUP(A1394,'[1]Raw data'!$B:$Z,4,FALSE)</f>
        <v>YSM20R-2</v>
      </c>
      <c r="T1394" s="647" t="str">
        <f>VLOOKUP(A1394,'[1]Raw data'!$B:$Z,8,FALSE)</f>
        <v>L-&gt;R</v>
      </c>
      <c r="U1394" s="647" t="str">
        <f>VLOOKUP(A1394,'[1]Raw data'!$B:$Z,9,FALSE)</f>
        <v>cATS30+MVC+Feeder Carriage</v>
      </c>
      <c r="V1394" s="567" t="str">
        <f t="shared" si="319"/>
        <v>OK</v>
      </c>
      <c r="W1394" s="563" t="str">
        <f>VLOOKUP(A1394,'[1]Raw data'!$B:$AG,32,FALSE)</f>
        <v>CIF HK</v>
      </c>
      <c r="X1394" s="647">
        <f>VLOOKUP(A1394,'[1]Raw data'!$B:$BA,31,FALSE)</f>
        <v>44776</v>
      </c>
      <c r="Y1394" s="647" t="str">
        <f>VLOOKUP(A1394,'[1]Raw data'!$B:$AS,39,FALSE)</f>
        <v>Yes</v>
      </c>
      <c r="Z1394" s="666"/>
      <c r="AA1394" s="660"/>
      <c r="AB1394" s="661"/>
      <c r="AC1394" s="647" t="s">
        <v>2672</v>
      </c>
      <c r="AD1394" s="662">
        <v>311</v>
      </c>
      <c r="AE1394" s="662">
        <v>10</v>
      </c>
      <c r="AF1394" s="662">
        <v>303</v>
      </c>
      <c r="AG1394" s="662">
        <v>5</v>
      </c>
      <c r="AH1394" s="662">
        <v>302</v>
      </c>
      <c r="AI1394" s="663">
        <v>5</v>
      </c>
      <c r="AN1394" s="542"/>
      <c r="AO1394" s="824" t="str">
        <f t="shared" si="304"/>
        <v>Yes</v>
      </c>
      <c r="AP1394" s="259" t="str">
        <f t="shared" si="305"/>
        <v>NOV 22</v>
      </c>
      <c r="AQ1394" s="542" t="str">
        <f t="shared" si="306"/>
        <v>有定金+有預留客戶</v>
      </c>
      <c r="AR1394" s="259" t="str">
        <f t="shared" si="307"/>
        <v>Shipped_Stock</v>
      </c>
      <c r="AS1394" s="259" t="str">
        <f t="shared" si="308"/>
        <v/>
      </c>
      <c r="AT1394" s="259" t="str">
        <f t="shared" si="309"/>
        <v>WKK(end user:熵基）</v>
      </c>
      <c r="AU1394" s="259" t="str">
        <f t="shared" si="310"/>
        <v>C49SZX20220086VG/ESE220803STOCK-OS</v>
      </c>
      <c r="AV1394" s="259" t="str">
        <f t="shared" si="311"/>
        <v>Nov-11</v>
      </c>
    </row>
    <row r="1395" spans="1:48" hidden="1">
      <c r="A1395" s="559">
        <v>2020</v>
      </c>
      <c r="B1395" s="664" t="s">
        <v>1125</v>
      </c>
      <c r="C1395" s="664" t="s">
        <v>281</v>
      </c>
      <c r="D1395" s="761">
        <v>111095</v>
      </c>
      <c r="E1395" s="795" t="s">
        <v>2675</v>
      </c>
      <c r="F1395" s="647" t="s">
        <v>17</v>
      </c>
      <c r="G1395" s="647" t="s">
        <v>18</v>
      </c>
      <c r="H1395" s="647" t="s">
        <v>102</v>
      </c>
      <c r="I1395" s="575" t="s">
        <v>2676</v>
      </c>
      <c r="J1395" s="575">
        <v>1</v>
      </c>
      <c r="K1395" s="647" t="s">
        <v>4049</v>
      </c>
      <c r="L1395" s="565">
        <v>44872</v>
      </c>
      <c r="M1395" s="665" t="s">
        <v>906</v>
      </c>
      <c r="N1395" s="647" t="s">
        <v>4241</v>
      </c>
      <c r="O1395" s="794">
        <v>2022.1</v>
      </c>
      <c r="P1395" s="665" t="str">
        <f>VLOOKUP(A1395,'[1]Raw data'!$B:$BA,23,FALSE)</f>
        <v>JPY</v>
      </c>
      <c r="Q1395" s="647" t="str">
        <f>VLOOKUP(A1395,'[1]Raw data'!$B:$Z,2,FALSE)</f>
        <v>C49SZX20230125JY</v>
      </c>
      <c r="R1395" s="647" t="str">
        <f>VLOOKUP(A1395,'[1]Raw data'!$B:$Z,3,FALSE)</f>
        <v>百施达（end user:海纳科）</v>
      </c>
      <c r="S1395" s="647" t="str">
        <f>VLOOKUP(A1395,'[1]Raw data'!$B:$Z,4,FALSE)</f>
        <v>YSM10</v>
      </c>
      <c r="T1395" s="647" t="str">
        <f>VLOOKUP(A1395,'[1]Raw data'!$B:$Z,8,FALSE)</f>
        <v>L-&gt;R</v>
      </c>
      <c r="U1395" s="647" t="str">
        <f>VLOOKUP(A1395,'[1]Raw data'!$B:$Z,9,FALSE)</f>
        <v>MVC</v>
      </c>
      <c r="V1395" s="567" t="str">
        <f t="shared" si="319"/>
        <v>WRONG</v>
      </c>
      <c r="W1395" s="563" t="str">
        <f>VLOOKUP(A1395,'[1]Raw data'!$B:$AG,32,FALSE)</f>
        <v>DAP SZ</v>
      </c>
      <c r="X1395" s="657">
        <f>VLOOKUP(A1395,'[1]Raw data'!$B:$BA,31,FALSE)</f>
        <v>45246</v>
      </c>
      <c r="Y1395" s="647" t="str">
        <f>VLOOKUP(A1395,'[1]Raw data'!$B:$AS,39,FALSE)</f>
        <v>Yes</v>
      </c>
      <c r="Z1395" s="659"/>
      <c r="AA1395" s="660"/>
      <c r="AB1395" s="661"/>
      <c r="AC1395" s="647" t="s">
        <v>4287</v>
      </c>
      <c r="AD1395" s="662">
        <v>301</v>
      </c>
      <c r="AE1395" s="662">
        <v>5</v>
      </c>
      <c r="AF1395" s="662">
        <v>302</v>
      </c>
      <c r="AG1395" s="663">
        <v>5</v>
      </c>
      <c r="AH1395" s="662"/>
      <c r="AI1395" s="663"/>
      <c r="AN1395" s="542"/>
      <c r="AO1395" s="824" t="str">
        <f t="shared" si="304"/>
        <v>Yes</v>
      </c>
      <c r="AP1395" s="259" t="str">
        <f t="shared" si="305"/>
        <v>NOV 23</v>
      </c>
      <c r="AQ1395" s="542" t="str">
        <f t="shared" si="306"/>
        <v>有定金+有預留客戶</v>
      </c>
      <c r="AR1395" s="259" t="str">
        <f t="shared" si="307"/>
        <v>Shipped_Stock</v>
      </c>
      <c r="AS1395" s="259" t="str">
        <f t="shared" si="308"/>
        <v/>
      </c>
      <c r="AT1395" s="259" t="str">
        <f t="shared" si="309"/>
        <v>百施达（end user:海纳科）</v>
      </c>
      <c r="AU1395" s="259" t="str">
        <f t="shared" si="310"/>
        <v>C49SZX20230125JY</v>
      </c>
      <c r="AV1395" s="259" t="str">
        <f t="shared" si="311"/>
        <v>Nov-07</v>
      </c>
    </row>
    <row r="1396" spans="1:48" hidden="1">
      <c r="A1396" s="559">
        <v>2021</v>
      </c>
      <c r="B1396" s="664" t="s">
        <v>1125</v>
      </c>
      <c r="C1396" s="664" t="s">
        <v>281</v>
      </c>
      <c r="D1396" s="755">
        <v>111095</v>
      </c>
      <c r="E1396" s="795" t="s">
        <v>2675</v>
      </c>
      <c r="F1396" s="647" t="s">
        <v>17</v>
      </c>
      <c r="G1396" s="647" t="s">
        <v>18</v>
      </c>
      <c r="H1396" s="647" t="s">
        <v>102</v>
      </c>
      <c r="I1396" s="575" t="s">
        <v>2677</v>
      </c>
      <c r="J1396" s="575">
        <v>1</v>
      </c>
      <c r="K1396" s="647" t="s">
        <v>2407</v>
      </c>
      <c r="L1396" s="565">
        <v>44872</v>
      </c>
      <c r="M1396" s="665" t="s">
        <v>906</v>
      </c>
      <c r="N1396" s="647" t="s">
        <v>4241</v>
      </c>
      <c r="O1396" s="794">
        <v>2022.1</v>
      </c>
      <c r="P1396" s="665" t="str">
        <f>VLOOKUP(A1396,'[1]Raw data'!$B:$BA,23,FALSE)</f>
        <v>JPY</v>
      </c>
      <c r="Q1396" s="647" t="str">
        <f>VLOOKUP(A1396,'[1]Raw data'!$B:$Z,2,FALSE)</f>
        <v>C49SZX20230125JY</v>
      </c>
      <c r="R1396" s="647" t="str">
        <f>VLOOKUP(A1396,'[1]Raw data'!$B:$Z,3,FALSE)</f>
        <v>百施达（end user:海纳科）</v>
      </c>
      <c r="S1396" s="647" t="str">
        <f>VLOOKUP(A1396,'[1]Raw data'!$B:$Z,4,FALSE)</f>
        <v>YSM10</v>
      </c>
      <c r="T1396" s="647" t="str">
        <f>VLOOKUP(A1396,'[1]Raw data'!$B:$Z,8,FALSE)</f>
        <v>L-&gt;R</v>
      </c>
      <c r="U1396" s="647" t="str">
        <f>VLOOKUP(A1396,'[1]Raw data'!$B:$Z,9,FALSE)</f>
        <v>MVC</v>
      </c>
      <c r="V1396" s="567" t="str">
        <f t="shared" si="319"/>
        <v>WRONG</v>
      </c>
      <c r="W1396" s="563" t="str">
        <f>VLOOKUP(A1396,'[1]Raw data'!$B:$AG,32,FALSE)</f>
        <v>DAP SZ</v>
      </c>
      <c r="X1396" s="657">
        <f>VLOOKUP(A1396,'[1]Raw data'!$B:$BA,31,FALSE)</f>
        <v>45246</v>
      </c>
      <c r="Y1396" s="647" t="str">
        <f>VLOOKUP(A1396,'[1]Raw data'!$B:$AS,39,FALSE)</f>
        <v>Yes</v>
      </c>
      <c r="Z1396" s="659"/>
      <c r="AA1396" s="660"/>
      <c r="AB1396" s="661"/>
      <c r="AC1396" s="647" t="s">
        <v>4287</v>
      </c>
      <c r="AD1396" s="662">
        <v>301</v>
      </c>
      <c r="AE1396" s="662">
        <v>5</v>
      </c>
      <c r="AF1396" s="662">
        <v>302</v>
      </c>
      <c r="AG1396" s="663">
        <v>5</v>
      </c>
      <c r="AH1396" s="662"/>
      <c r="AI1396" s="663"/>
      <c r="AN1396" s="542"/>
      <c r="AO1396" s="824" t="str">
        <f t="shared" si="304"/>
        <v>Yes</v>
      </c>
      <c r="AP1396" s="259" t="str">
        <f t="shared" si="305"/>
        <v>NOV 23</v>
      </c>
      <c r="AQ1396" s="542" t="str">
        <f t="shared" si="306"/>
        <v>有定金+有預留客戶</v>
      </c>
      <c r="AR1396" s="259" t="str">
        <f t="shared" si="307"/>
        <v>Shipped_Stock</v>
      </c>
      <c r="AS1396" s="259" t="str">
        <f t="shared" si="308"/>
        <v/>
      </c>
      <c r="AT1396" s="259" t="str">
        <f t="shared" si="309"/>
        <v>百施达（end user:海纳科）</v>
      </c>
      <c r="AU1396" s="259" t="str">
        <f t="shared" si="310"/>
        <v>C49SZX20230125JY</v>
      </c>
      <c r="AV1396" s="259" t="str">
        <f t="shared" si="311"/>
        <v>Nov-07</v>
      </c>
    </row>
    <row r="1397" spans="1:48" hidden="1">
      <c r="A1397" s="559">
        <v>1946</v>
      </c>
      <c r="B1397" s="664" t="s">
        <v>1125</v>
      </c>
      <c r="C1397" s="664" t="s">
        <v>281</v>
      </c>
      <c r="D1397" s="755">
        <v>111095</v>
      </c>
      <c r="E1397" s="795" t="s">
        <v>2675</v>
      </c>
      <c r="F1397" s="647" t="s">
        <v>17</v>
      </c>
      <c r="G1397" s="647" t="s">
        <v>18</v>
      </c>
      <c r="H1397" s="647" t="s">
        <v>102</v>
      </c>
      <c r="I1397" s="575" t="s">
        <v>2678</v>
      </c>
      <c r="J1397" s="575">
        <v>1</v>
      </c>
      <c r="K1397" s="647" t="s">
        <v>4049</v>
      </c>
      <c r="L1397" s="565">
        <v>44872</v>
      </c>
      <c r="M1397" s="665" t="s">
        <v>906</v>
      </c>
      <c r="N1397" s="647" t="s">
        <v>4105</v>
      </c>
      <c r="O1397" s="794">
        <v>2022.1</v>
      </c>
      <c r="P1397" s="665" t="str">
        <f>VLOOKUP(A1397,'[1]Raw data'!$B:$BA,23,FALSE)</f>
        <v>RMB</v>
      </c>
      <c r="Q1397" s="647" t="str">
        <f>VLOOKUP(A1397,'[1]Raw data'!$B:$Z,2,FALSE)</f>
        <v>C49SZX20230093SX</v>
      </c>
      <c r="R1397" s="647" t="str">
        <f>VLOOKUP(A1397,'[1]Raw data'!$B:$Z,3,FALSE)</f>
        <v>益田科技(End uer:泓裕）</v>
      </c>
      <c r="S1397" s="647" t="str">
        <f>VLOOKUP(A1397,'[1]Raw data'!$B:$Z,4,FALSE)</f>
        <v>YSM10</v>
      </c>
      <c r="T1397" s="647" t="str">
        <f>VLOOKUP(A1397,'[1]Raw data'!$B:$Z,8,FALSE)</f>
        <v>L-&gt;R</v>
      </c>
      <c r="U1397" s="647" t="str">
        <f>VLOOKUP(A1397,'[1]Raw data'!$B:$Z,9,FALSE)</f>
        <v>No</v>
      </c>
      <c r="V1397" s="567" t="str">
        <f t="shared" si="319"/>
        <v>WRONG</v>
      </c>
      <c r="W1397" s="563" t="str">
        <f>VLOOKUP(A1397,'[1]Raw data'!$B:$AG,32,FALSE)</f>
        <v>DDP SZ</v>
      </c>
      <c r="X1397" s="657">
        <f>VLOOKUP(A1397,'[1]Raw data'!$B:$BA,31,FALSE)</f>
        <v>45127</v>
      </c>
      <c r="Y1397" s="647" t="str">
        <f>VLOOKUP(A1397,'[1]Raw data'!$B:$AS,39,FALSE)</f>
        <v>Yes</v>
      </c>
      <c r="Z1397" s="659"/>
      <c r="AA1397" s="660"/>
      <c r="AB1397" s="661"/>
      <c r="AC1397" s="647" t="s">
        <v>4164</v>
      </c>
      <c r="AD1397" s="662">
        <v>301</v>
      </c>
      <c r="AE1397" s="662">
        <v>5</v>
      </c>
      <c r="AF1397" s="662">
        <v>302</v>
      </c>
      <c r="AG1397" s="663">
        <v>5</v>
      </c>
      <c r="AH1397" s="662"/>
      <c r="AI1397" s="663"/>
      <c r="AN1397" s="542"/>
      <c r="AO1397" s="824" t="str">
        <f t="shared" si="304"/>
        <v>Yes</v>
      </c>
      <c r="AP1397" s="259" t="str">
        <f t="shared" si="305"/>
        <v>SEP 23</v>
      </c>
      <c r="AQ1397" s="542" t="str">
        <f t="shared" si="306"/>
        <v>有定金+有預留客戶</v>
      </c>
      <c r="AR1397" s="259" t="str">
        <f t="shared" si="307"/>
        <v>Shipped_Stock</v>
      </c>
      <c r="AS1397" s="259" t="str">
        <f t="shared" si="308"/>
        <v/>
      </c>
      <c r="AT1397" s="259" t="str">
        <f t="shared" si="309"/>
        <v>益田科技(End uer:泓裕）</v>
      </c>
      <c r="AU1397" s="259" t="str">
        <f t="shared" si="310"/>
        <v>C49SZX20230093SX</v>
      </c>
      <c r="AV1397" s="259" t="str">
        <f t="shared" si="311"/>
        <v>Nov-07</v>
      </c>
    </row>
    <row r="1398" spans="1:48" hidden="1">
      <c r="A1398" s="559">
        <v>1947</v>
      </c>
      <c r="B1398" s="664" t="s">
        <v>1125</v>
      </c>
      <c r="C1398" s="664" t="s">
        <v>281</v>
      </c>
      <c r="D1398" s="755">
        <v>111095</v>
      </c>
      <c r="E1398" s="795" t="s">
        <v>2675</v>
      </c>
      <c r="F1398" s="647" t="s">
        <v>17</v>
      </c>
      <c r="G1398" s="647" t="s">
        <v>18</v>
      </c>
      <c r="H1398" s="647" t="s">
        <v>102</v>
      </c>
      <c r="I1398" s="575" t="s">
        <v>2679</v>
      </c>
      <c r="J1398" s="575">
        <v>1</v>
      </c>
      <c r="K1398" s="647" t="s">
        <v>4049</v>
      </c>
      <c r="L1398" s="565">
        <v>44872</v>
      </c>
      <c r="M1398" s="665" t="s">
        <v>906</v>
      </c>
      <c r="N1398" s="647" t="s">
        <v>4105</v>
      </c>
      <c r="O1398" s="794">
        <v>2022.1</v>
      </c>
      <c r="P1398" s="665" t="str">
        <f>VLOOKUP(A1398,'[1]Raw data'!$B:$BA,23,FALSE)</f>
        <v>RMB</v>
      </c>
      <c r="Q1398" s="647" t="str">
        <f>VLOOKUP(A1398,'[1]Raw data'!$B:$Z,2,FALSE)</f>
        <v>C49SZX20230093SX</v>
      </c>
      <c r="R1398" s="647" t="str">
        <f>VLOOKUP(A1398,'[1]Raw data'!$B:$Z,3,FALSE)</f>
        <v>益田科技(End uer:泓裕）</v>
      </c>
      <c r="S1398" s="647" t="str">
        <f>VLOOKUP(A1398,'[1]Raw data'!$B:$Z,4,FALSE)</f>
        <v>YSM10</v>
      </c>
      <c r="T1398" s="647" t="str">
        <f>VLOOKUP(A1398,'[1]Raw data'!$B:$Z,8,FALSE)</f>
        <v>R-&gt;L</v>
      </c>
      <c r="U1398" s="647" t="str">
        <f>VLOOKUP(A1398,'[1]Raw data'!$B:$Z,9,FALSE)</f>
        <v>No</v>
      </c>
      <c r="V1398" s="567" t="str">
        <f t="shared" si="319"/>
        <v>WRONG</v>
      </c>
      <c r="W1398" s="563" t="str">
        <f>VLOOKUP(A1398,'[1]Raw data'!$B:$AG,32,FALSE)</f>
        <v>DDP SZ</v>
      </c>
      <c r="X1398" s="657">
        <f>VLOOKUP(A1398,'[1]Raw data'!$B:$BA,31,FALSE)</f>
        <v>45127</v>
      </c>
      <c r="Y1398" s="647" t="str">
        <f>VLOOKUP(A1398,'[1]Raw data'!$B:$AS,39,FALSE)</f>
        <v>Yes</v>
      </c>
      <c r="Z1398" s="659"/>
      <c r="AA1398" s="660"/>
      <c r="AB1398" s="661"/>
      <c r="AC1398" s="647" t="s">
        <v>4164</v>
      </c>
      <c r="AD1398" s="662">
        <v>301</v>
      </c>
      <c r="AE1398" s="662">
        <v>5</v>
      </c>
      <c r="AF1398" s="662">
        <v>302</v>
      </c>
      <c r="AG1398" s="663">
        <v>5</v>
      </c>
      <c r="AH1398" s="662"/>
      <c r="AI1398" s="663"/>
      <c r="AN1398" s="542"/>
      <c r="AO1398" s="824" t="str">
        <f t="shared" si="304"/>
        <v>Yes</v>
      </c>
      <c r="AP1398" s="259" t="str">
        <f t="shared" si="305"/>
        <v>SEP 23</v>
      </c>
      <c r="AQ1398" s="542" t="str">
        <f t="shared" si="306"/>
        <v>有定金+有預留客戶</v>
      </c>
      <c r="AR1398" s="259" t="str">
        <f t="shared" si="307"/>
        <v>Shipped_Stock</v>
      </c>
      <c r="AS1398" s="259" t="str">
        <f t="shared" si="308"/>
        <v/>
      </c>
      <c r="AT1398" s="259" t="str">
        <f t="shared" si="309"/>
        <v>益田科技(End uer:泓裕）</v>
      </c>
      <c r="AU1398" s="259" t="str">
        <f t="shared" si="310"/>
        <v>C49SZX20230093SX</v>
      </c>
      <c r="AV1398" s="259" t="str">
        <f t="shared" si="311"/>
        <v>Nov-07</v>
      </c>
    </row>
    <row r="1399" spans="1:48" ht="22.5" hidden="1">
      <c r="A1399" s="559">
        <v>1939</v>
      </c>
      <c r="B1399" s="664" t="s">
        <v>1125</v>
      </c>
      <c r="C1399" s="664" t="s">
        <v>281</v>
      </c>
      <c r="D1399" s="755">
        <v>111095</v>
      </c>
      <c r="E1399" s="795" t="s">
        <v>2675</v>
      </c>
      <c r="F1399" s="647" t="s">
        <v>17</v>
      </c>
      <c r="G1399" s="647" t="s">
        <v>18</v>
      </c>
      <c r="H1399" s="647" t="s">
        <v>102</v>
      </c>
      <c r="I1399" s="575" t="s">
        <v>4264</v>
      </c>
      <c r="J1399" s="575">
        <v>1</v>
      </c>
      <c r="K1399" s="647" t="s">
        <v>1419</v>
      </c>
      <c r="L1399" s="565">
        <v>44872</v>
      </c>
      <c r="M1399" s="665" t="s">
        <v>2680</v>
      </c>
      <c r="N1399" s="647" t="s">
        <v>4241</v>
      </c>
      <c r="O1399" s="794">
        <v>2022.1</v>
      </c>
      <c r="P1399" s="665" t="str">
        <f>VLOOKUP(A1399,'[1]Raw data'!$B:$BA,23,FALSE)</f>
        <v>RMB</v>
      </c>
      <c r="Q1399" s="647" t="str">
        <f>VLOOKUP(A1399,'[1]Raw data'!$B:$Z,2,FALSE)</f>
        <v>C49SZX20230091SX</v>
      </c>
      <c r="R1399" s="647" t="str">
        <f>VLOOKUP(A1399,'[1]Raw data'!$B:$Z,3,FALSE)</f>
        <v>万赢丰</v>
      </c>
      <c r="S1399" s="647" t="str">
        <f>VLOOKUP(A1399,'[1]Raw data'!$B:$Z,4,FALSE)</f>
        <v>YSM10</v>
      </c>
      <c r="T1399" s="647" t="str">
        <f>VLOOKUP(A1399,'[1]Raw data'!$B:$Z,8,FALSE)</f>
        <v>R-&gt;L</v>
      </c>
      <c r="U1399" s="647" t="str">
        <f>VLOOKUP(A1399,'[1]Raw data'!$B:$Z,9,FALSE)</f>
        <v>MVC</v>
      </c>
      <c r="V1399" s="567" t="str">
        <f t="shared" si="319"/>
        <v>WRONG</v>
      </c>
      <c r="W1399" s="563" t="str">
        <f>VLOOKUP(A1399,'[1]Raw data'!$B:$AG,32,FALSE)</f>
        <v>DDP SZ</v>
      </c>
      <c r="X1399" s="657">
        <f>VLOOKUP(A1399,'[1]Raw data'!$B:$BA,31,FALSE)</f>
        <v>45125</v>
      </c>
      <c r="Y1399" s="647" t="str">
        <f>VLOOKUP(A1399,'[1]Raw data'!$B:$AS,39,FALSE)</f>
        <v>Yes</v>
      </c>
      <c r="Z1399" s="659"/>
      <c r="AA1399" s="660"/>
      <c r="AB1399" s="661"/>
      <c r="AC1399" s="796" t="s">
        <v>4266</v>
      </c>
      <c r="AD1399" s="662">
        <v>301</v>
      </c>
      <c r="AE1399" s="662">
        <v>5</v>
      </c>
      <c r="AF1399" s="662">
        <v>302</v>
      </c>
      <c r="AG1399" s="663">
        <v>5</v>
      </c>
      <c r="AH1399" s="662"/>
      <c r="AI1399" s="663"/>
      <c r="AN1399" s="542"/>
      <c r="AO1399" s="824" t="str">
        <f t="shared" si="304"/>
        <v>Yes</v>
      </c>
      <c r="AP1399" s="259" t="str">
        <f t="shared" si="305"/>
        <v>NOV 23</v>
      </c>
      <c r="AQ1399" s="542" t="str">
        <f t="shared" si="306"/>
        <v>有定金+有預留客戶</v>
      </c>
      <c r="AR1399" s="259" t="str">
        <f t="shared" si="307"/>
        <v>Shipped_Stock</v>
      </c>
      <c r="AS1399" s="259" t="str">
        <f t="shared" si="308"/>
        <v/>
      </c>
      <c r="AT1399" s="259" t="str">
        <f t="shared" si="309"/>
        <v>万赢丰</v>
      </c>
      <c r="AU1399" s="259" t="str">
        <f t="shared" si="310"/>
        <v>C49SZX20230091SX</v>
      </c>
      <c r="AV1399" s="259" t="str">
        <f t="shared" si="311"/>
        <v>Nov-07</v>
      </c>
    </row>
    <row r="1400" spans="1:48" hidden="1">
      <c r="A1400" s="599">
        <v>1716</v>
      </c>
      <c r="B1400" s="664" t="s">
        <v>1125</v>
      </c>
      <c r="C1400" s="563" t="s">
        <v>4013</v>
      </c>
      <c r="D1400" s="690" t="s">
        <v>2681</v>
      </c>
      <c r="E1400" s="795" t="s">
        <v>2682</v>
      </c>
      <c r="F1400" s="647" t="s">
        <v>201</v>
      </c>
      <c r="G1400" s="647" t="s">
        <v>24</v>
      </c>
      <c r="H1400" s="647" t="s">
        <v>26</v>
      </c>
      <c r="I1400" s="575" t="s">
        <v>2683</v>
      </c>
      <c r="J1400" s="575">
        <v>1</v>
      </c>
      <c r="K1400" s="647"/>
      <c r="L1400" s="565" t="s">
        <v>2684</v>
      </c>
      <c r="M1400" s="665"/>
      <c r="N1400" s="647" t="s">
        <v>205</v>
      </c>
      <c r="O1400" s="575"/>
      <c r="P1400" s="665" t="str">
        <f>VLOOKUP(A1400,'[1]Raw data'!$B:$BA,23,FALSE)</f>
        <v>RMB</v>
      </c>
      <c r="Q1400" s="647" t="str">
        <f>VLOOKUP(A1400,'[1]Raw data'!$B:$Z,2,FALSE)</f>
        <v>C49SZX20220088SX</v>
      </c>
      <c r="R1400" s="647" t="str">
        <f>VLOOKUP(A1400,'[1]Raw data'!$B:$Z,3,FALSE)</f>
        <v>安林</v>
      </c>
      <c r="S1400" s="647" t="str">
        <f>VLOOKUP(A1400,'[1]Raw data'!$B:$Z,4,FALSE)</f>
        <v>YSi-V</v>
      </c>
      <c r="T1400" s="647" t="str">
        <f>VLOOKUP(A1400,'[1]Raw data'!$B:$Z,8,FALSE)</f>
        <v>L-&gt;R</v>
      </c>
      <c r="U1400" s="647" t="str">
        <f>VLOOKUP(A1400,'[1]Raw data'!$B:$Z,9,FALSE)</f>
        <v>No</v>
      </c>
      <c r="V1400" s="567" t="str">
        <f t="shared" si="319"/>
        <v>OK</v>
      </c>
      <c r="W1400" s="563" t="str">
        <f>VLOOKUP(A1400,'[1]Raw data'!$B:$AG,32,FALSE)</f>
        <v>DDP SZ</v>
      </c>
      <c r="X1400" s="647">
        <f>VLOOKUP(A1400,'[1]Raw data'!$B:$BA,31,FALSE)</f>
        <v>44783</v>
      </c>
      <c r="Y1400" s="647" t="str">
        <f>VLOOKUP(A1400,'[1]Raw data'!$B:$AS,39,FALSE)</f>
        <v>Yes</v>
      </c>
      <c r="Z1400" s="666"/>
      <c r="AA1400" s="660"/>
      <c r="AB1400" s="661"/>
      <c r="AC1400" s="647" t="s">
        <v>287</v>
      </c>
      <c r="AD1400" s="575"/>
      <c r="AE1400" s="575"/>
      <c r="AF1400" s="575"/>
      <c r="AG1400" s="679"/>
      <c r="AH1400" s="575"/>
      <c r="AI1400" s="679"/>
      <c r="AJ1400" s="564"/>
      <c r="AK1400" s="564"/>
      <c r="AL1400" s="564"/>
      <c r="AM1400" s="564"/>
      <c r="AN1400" s="614"/>
      <c r="AO1400" s="824" t="str">
        <f t="shared" si="304"/>
        <v>Yes</v>
      </c>
      <c r="AP1400" s="259" t="str">
        <f t="shared" si="305"/>
        <v>OCT 22</v>
      </c>
      <c r="AQ1400" s="542" t="str">
        <f t="shared" si="306"/>
        <v>有定金+有預留客戶</v>
      </c>
      <c r="AR1400" s="259" t="str">
        <f t="shared" si="307"/>
        <v>Shipped_Stock</v>
      </c>
      <c r="AS1400" s="259" t="str">
        <f t="shared" si="308"/>
        <v/>
      </c>
      <c r="AT1400" s="259" t="str">
        <f t="shared" si="309"/>
        <v>安林</v>
      </c>
      <c r="AU1400" s="259" t="str">
        <f t="shared" si="310"/>
        <v>C49SZX20220088SX</v>
      </c>
      <c r="AV1400" s="259" t="str">
        <f t="shared" si="311"/>
        <v>2022-10-24,上海港</v>
      </c>
    </row>
    <row r="1401" spans="1:48" hidden="1">
      <c r="A1401" s="599"/>
      <c r="B1401" s="664" t="s">
        <v>1125</v>
      </c>
      <c r="C1401" s="563" t="s">
        <v>4013</v>
      </c>
      <c r="D1401" s="645" t="s">
        <v>2681</v>
      </c>
      <c r="E1401" s="795" t="s">
        <v>2682</v>
      </c>
      <c r="F1401" s="647" t="s">
        <v>201</v>
      </c>
      <c r="G1401" s="647" t="s">
        <v>24</v>
      </c>
      <c r="H1401" s="647" t="s">
        <v>26</v>
      </c>
      <c r="I1401" s="575" t="s">
        <v>2685</v>
      </c>
      <c r="J1401" s="575">
        <v>1</v>
      </c>
      <c r="K1401" s="647"/>
      <c r="L1401" s="565" t="s">
        <v>2684</v>
      </c>
      <c r="M1401" s="665"/>
      <c r="N1401" s="647"/>
      <c r="O1401" s="575"/>
      <c r="P1401" s="665" t="s">
        <v>1246</v>
      </c>
      <c r="Q1401" s="781" t="s">
        <v>2686</v>
      </c>
      <c r="R1401" s="781" t="s">
        <v>2686</v>
      </c>
      <c r="S1401" s="647" t="s">
        <v>2687</v>
      </c>
      <c r="T1401" s="647" t="s">
        <v>2688</v>
      </c>
      <c r="U1401" s="647" t="s">
        <v>307</v>
      </c>
      <c r="V1401" s="567" t="s">
        <v>2689</v>
      </c>
      <c r="W1401" s="563" t="e">
        <f>VLOOKUP(A1401,'[1]Raw data'!$B:$AG,32,FALSE)</f>
        <v>#N/A</v>
      </c>
      <c r="X1401" s="647" t="e">
        <f>VLOOKUP(A1401,'[1]Raw data'!$B:$BA,31,FALSE)</f>
        <v>#N/A</v>
      </c>
      <c r="Y1401" s="647" t="e">
        <f>VLOOKUP(A1401,'[1]Raw data'!$B:$AS,39,FALSE)</f>
        <v>#N/A</v>
      </c>
      <c r="Z1401" s="666"/>
      <c r="AA1401" s="660"/>
      <c r="AB1401" s="661"/>
      <c r="AC1401" s="781" t="s">
        <v>2690</v>
      </c>
      <c r="AD1401" s="575"/>
      <c r="AE1401" s="575"/>
      <c r="AF1401" s="575"/>
      <c r="AG1401" s="679"/>
      <c r="AH1401" s="575"/>
      <c r="AI1401" s="679"/>
      <c r="AJ1401" s="564"/>
      <c r="AK1401" s="564"/>
      <c r="AL1401" s="564"/>
      <c r="AM1401" s="564"/>
      <c r="AN1401" s="614"/>
      <c r="AO1401" s="824" t="str">
        <f t="shared" si="304"/>
        <v>No</v>
      </c>
      <c r="AP1401" s="259" t="str">
        <f t="shared" si="305"/>
        <v>blank</v>
      </c>
      <c r="AQ1401" s="542" t="str">
        <f t="shared" si="306"/>
        <v>无定金+无預留客戶</v>
      </c>
      <c r="AR1401" s="259" t="str">
        <f t="shared" si="307"/>
        <v>Shipped_Stock</v>
      </c>
      <c r="AS1401" s="259" t="str">
        <f t="shared" si="308"/>
        <v/>
      </c>
      <c r="AT1401" s="259" t="str">
        <f t="shared" si="309"/>
        <v>留给上海做STK，有客户要</v>
      </c>
      <c r="AU1401" s="259" t="str">
        <f t="shared" si="310"/>
        <v>留给上海做STK，有客户要</v>
      </c>
      <c r="AV1401" s="259" t="str">
        <f t="shared" si="311"/>
        <v>2022-10-24,上海港</v>
      </c>
    </row>
    <row r="1402" spans="1:48" hidden="1">
      <c r="A1402" s="599">
        <v>1767</v>
      </c>
      <c r="B1402" s="664" t="s">
        <v>1125</v>
      </c>
      <c r="C1402" s="664" t="s">
        <v>15</v>
      </c>
      <c r="D1402" s="645" t="s">
        <v>2691</v>
      </c>
      <c r="E1402" s="756" t="s">
        <v>1564</v>
      </c>
      <c r="F1402" s="647" t="s">
        <v>149</v>
      </c>
      <c r="G1402" s="647" t="s">
        <v>24</v>
      </c>
      <c r="H1402" s="647" t="s">
        <v>26</v>
      </c>
      <c r="I1402" s="575" t="s">
        <v>2692</v>
      </c>
      <c r="J1402" s="575">
        <v>1</v>
      </c>
      <c r="K1402" s="647" t="s">
        <v>1806</v>
      </c>
      <c r="L1402" s="759" t="s">
        <v>3963</v>
      </c>
      <c r="M1402" s="665" t="s">
        <v>1807</v>
      </c>
      <c r="N1402" s="647" t="s">
        <v>220</v>
      </c>
      <c r="O1402" s="575">
        <v>2021.8</v>
      </c>
      <c r="P1402" s="665" t="str">
        <f>VLOOKUP(A1402,'[1]Raw data'!$B:$BA,23,FALSE)</f>
        <v>RMB</v>
      </c>
      <c r="Q1402" s="647" t="str">
        <f>VLOOKUP(A1402,'[1]Raw data'!$B:$Z,2,FALSE)</f>
        <v>C49SZX20220110SS</v>
      </c>
      <c r="R1402" s="647" t="str">
        <f>VLOOKUP(A1402,'[1]Raw data'!$B:$Z,3,FALSE)</f>
        <v>龙大光电</v>
      </c>
      <c r="S1402" s="647" t="str">
        <f>VLOOKUP(A1402,'[1]Raw data'!$B:$Z,4,FALSE)</f>
        <v>YSM40R-4</v>
      </c>
      <c r="T1402" s="647" t="str">
        <f>VLOOKUP(A1402,'[1]Raw data'!$B:$Z,8,FALSE)</f>
        <v>L-&gt;R</v>
      </c>
      <c r="U1402" s="647" t="str">
        <f>VLOOKUP(A1402,'[1]Raw data'!$B:$Z,9,FALSE)</f>
        <v>No</v>
      </c>
      <c r="V1402" s="567" t="str">
        <f t="shared" ref="V1402" si="320">IF(G1402&amp;H1402=T1402&amp;U1402,"OK","WRONG")</f>
        <v>OK</v>
      </c>
      <c r="W1402" s="563" t="str">
        <f>VLOOKUP(A1402,'[1]Raw data'!$B:$AG,32,FALSE)</f>
        <v>DDP SZ</v>
      </c>
      <c r="X1402" s="647">
        <f>VLOOKUP(A1402,'[1]Raw data'!$B:$BA,31,FALSE)</f>
        <v>44901</v>
      </c>
      <c r="Y1402" s="647" t="str">
        <f>VLOOKUP(A1402,'[1]Raw data'!$B:$AS,39,FALSE)</f>
        <v>Yes</v>
      </c>
      <c r="Z1402" s="666"/>
      <c r="AA1402" s="660"/>
      <c r="AB1402" s="661"/>
      <c r="AC1402" s="647" t="s">
        <v>1951</v>
      </c>
      <c r="AD1402" s="575"/>
      <c r="AE1402" s="575"/>
      <c r="AF1402" s="575"/>
      <c r="AG1402" s="575"/>
      <c r="AH1402" s="575"/>
      <c r="AI1402" s="679"/>
      <c r="AJ1402" s="564"/>
      <c r="AK1402" s="564"/>
      <c r="AL1402" s="564"/>
      <c r="AM1402" s="564"/>
      <c r="AN1402" s="614"/>
      <c r="AO1402" s="824" t="str">
        <f t="shared" si="304"/>
        <v>Yes</v>
      </c>
      <c r="AP1402" s="259" t="str">
        <f t="shared" si="305"/>
        <v>DEC 22</v>
      </c>
      <c r="AQ1402" s="542" t="str">
        <f t="shared" si="306"/>
        <v>有定金+有預留客戶</v>
      </c>
      <c r="AR1402" s="259" t="str">
        <f t="shared" si="307"/>
        <v>Shipped_Stock</v>
      </c>
      <c r="AS1402" s="259" t="str">
        <f t="shared" si="308"/>
        <v/>
      </c>
      <c r="AT1402" s="259" t="str">
        <f t="shared" si="309"/>
        <v>龙大光电</v>
      </c>
      <c r="AU1402" s="259" t="str">
        <f t="shared" si="310"/>
        <v>C49SZX20220110SS</v>
      </c>
      <c r="AV1402" s="259" t="str">
        <f t="shared" si="311"/>
        <v>2022-8-9Yamaha 仓库</v>
      </c>
    </row>
    <row r="1403" spans="1:48" hidden="1">
      <c r="A1403" s="599">
        <v>1768</v>
      </c>
      <c r="B1403" s="664" t="s">
        <v>1125</v>
      </c>
      <c r="C1403" s="664" t="s">
        <v>15</v>
      </c>
      <c r="D1403" s="645" t="s">
        <v>2691</v>
      </c>
      <c r="E1403" s="756" t="s">
        <v>1564</v>
      </c>
      <c r="F1403" s="647" t="s">
        <v>149</v>
      </c>
      <c r="G1403" s="647" t="s">
        <v>24</v>
      </c>
      <c r="H1403" s="647" t="s">
        <v>26</v>
      </c>
      <c r="I1403" s="575" t="s">
        <v>2693</v>
      </c>
      <c r="J1403" s="575">
        <v>1</v>
      </c>
      <c r="K1403" s="647" t="s">
        <v>1806</v>
      </c>
      <c r="L1403" s="759" t="s">
        <v>3963</v>
      </c>
      <c r="M1403" s="665" t="s">
        <v>1807</v>
      </c>
      <c r="N1403" s="647" t="s">
        <v>220</v>
      </c>
      <c r="O1403" s="575"/>
      <c r="P1403" s="665" t="str">
        <f>VLOOKUP(A1403,'[1]Raw data'!$B:$BA,23,FALSE)</f>
        <v>RMB</v>
      </c>
      <c r="Q1403" s="647" t="str">
        <f>VLOOKUP(A1403,'[1]Raw data'!$B:$Z,2,FALSE)</f>
        <v>C49SZX20220110SS</v>
      </c>
      <c r="R1403" s="647" t="str">
        <f>VLOOKUP(A1403,'[1]Raw data'!$B:$Z,3,FALSE)</f>
        <v>龙大光电</v>
      </c>
      <c r="S1403" s="647" t="str">
        <f>VLOOKUP(A1403,'[1]Raw data'!$B:$Z,4,FALSE)</f>
        <v>YSM40R-4</v>
      </c>
      <c r="T1403" s="647" t="str">
        <f>VLOOKUP(A1403,'[1]Raw data'!$B:$Z,8,FALSE)</f>
        <v>L-&gt;R</v>
      </c>
      <c r="U1403" s="647" t="str">
        <f>VLOOKUP(A1403,'[1]Raw data'!$B:$Z,9,FALSE)</f>
        <v>No</v>
      </c>
      <c r="V1403" s="567" t="str">
        <f>IF(G1403&amp;H1403=T1403&amp;U1403,"OK","WRONG")</f>
        <v>OK</v>
      </c>
      <c r="W1403" s="563" t="str">
        <f>VLOOKUP(A1403,'[1]Raw data'!$B:$AG,32,FALSE)</f>
        <v>DDP SZ</v>
      </c>
      <c r="X1403" s="647">
        <f>VLOOKUP(A1403,'[1]Raw data'!$B:$BA,31,FALSE)</f>
        <v>44901</v>
      </c>
      <c r="Y1403" s="647" t="str">
        <f>VLOOKUP(A1403,'[1]Raw data'!$B:$AS,39,FALSE)</f>
        <v>Yes</v>
      </c>
      <c r="Z1403" s="666"/>
      <c r="AA1403" s="660"/>
      <c r="AB1403" s="661"/>
      <c r="AC1403" s="647" t="s">
        <v>1951</v>
      </c>
      <c r="AD1403" s="575"/>
      <c r="AE1403" s="575"/>
      <c r="AF1403" s="575"/>
      <c r="AG1403" s="575"/>
      <c r="AH1403" s="575"/>
      <c r="AI1403" s="679"/>
      <c r="AJ1403" s="564"/>
      <c r="AK1403" s="564"/>
      <c r="AL1403" s="564"/>
      <c r="AM1403" s="564"/>
      <c r="AN1403" s="614"/>
      <c r="AO1403" s="824" t="str">
        <f t="shared" si="304"/>
        <v>Yes</v>
      </c>
      <c r="AP1403" s="259" t="str">
        <f t="shared" si="305"/>
        <v>DEC 22</v>
      </c>
      <c r="AQ1403" s="542" t="str">
        <f t="shared" si="306"/>
        <v>有定金+有預留客戶</v>
      </c>
      <c r="AR1403" s="259" t="str">
        <f t="shared" si="307"/>
        <v>Shipped_Stock</v>
      </c>
      <c r="AS1403" s="259" t="str">
        <f t="shared" si="308"/>
        <v/>
      </c>
      <c r="AT1403" s="259" t="str">
        <f t="shared" si="309"/>
        <v>龙大光电</v>
      </c>
      <c r="AU1403" s="259" t="str">
        <f t="shared" si="310"/>
        <v>C49SZX20220110SS</v>
      </c>
      <c r="AV1403" s="259" t="str">
        <f t="shared" si="311"/>
        <v>2022-8-9Yamaha 仓库</v>
      </c>
    </row>
    <row r="1404" spans="1:48" hidden="1">
      <c r="A1404" s="599">
        <v>1769</v>
      </c>
      <c r="B1404" s="664" t="s">
        <v>1125</v>
      </c>
      <c r="C1404" s="664" t="s">
        <v>15</v>
      </c>
      <c r="D1404" s="645" t="s">
        <v>2691</v>
      </c>
      <c r="E1404" s="756" t="s">
        <v>1564</v>
      </c>
      <c r="F1404" s="647" t="s">
        <v>149</v>
      </c>
      <c r="G1404" s="647" t="s">
        <v>24</v>
      </c>
      <c r="H1404" s="647" t="s">
        <v>26</v>
      </c>
      <c r="I1404" s="575" t="s">
        <v>2694</v>
      </c>
      <c r="J1404" s="575">
        <v>1</v>
      </c>
      <c r="K1404" s="647" t="s">
        <v>1806</v>
      </c>
      <c r="L1404" s="759" t="s">
        <v>3963</v>
      </c>
      <c r="M1404" s="665" t="s">
        <v>1807</v>
      </c>
      <c r="N1404" s="647" t="s">
        <v>220</v>
      </c>
      <c r="O1404" s="575"/>
      <c r="P1404" s="665" t="str">
        <f>VLOOKUP(A1404,'[1]Raw data'!$B:$BA,23,FALSE)</f>
        <v>RMB</v>
      </c>
      <c r="Q1404" s="647" t="str">
        <f>VLOOKUP(A1404,'[1]Raw data'!$B:$Z,2,FALSE)</f>
        <v>C49SZX20220110SS</v>
      </c>
      <c r="R1404" s="647" t="str">
        <f>VLOOKUP(A1404,'[1]Raw data'!$B:$Z,3,FALSE)</f>
        <v>龙大光电</v>
      </c>
      <c r="S1404" s="647" t="str">
        <f>VLOOKUP(A1404,'[1]Raw data'!$B:$Z,4,FALSE)</f>
        <v>YSM40R-4</v>
      </c>
      <c r="T1404" s="647" t="str">
        <f>VLOOKUP(A1404,'[1]Raw data'!$B:$Z,8,FALSE)</f>
        <v>L-&gt;R</v>
      </c>
      <c r="U1404" s="647" t="str">
        <f>VLOOKUP(A1404,'[1]Raw data'!$B:$Z,9,FALSE)</f>
        <v>No</v>
      </c>
      <c r="V1404" s="567" t="str">
        <f>IF(G1404&amp;H1404=T1404&amp;U1404,"OK","WRONG")</f>
        <v>OK</v>
      </c>
      <c r="W1404" s="563" t="str">
        <f>VLOOKUP(A1404,'[1]Raw data'!$B:$AG,32,FALSE)</f>
        <v>DDP SZ</v>
      </c>
      <c r="X1404" s="647">
        <f>VLOOKUP(A1404,'[1]Raw data'!$B:$BA,31,FALSE)</f>
        <v>44901</v>
      </c>
      <c r="Y1404" s="647" t="str">
        <f>VLOOKUP(A1404,'[1]Raw data'!$B:$AS,39,FALSE)</f>
        <v>Yes</v>
      </c>
      <c r="Z1404" s="666"/>
      <c r="AA1404" s="660"/>
      <c r="AB1404" s="661"/>
      <c r="AC1404" s="647" t="s">
        <v>1951</v>
      </c>
      <c r="AD1404" s="575"/>
      <c r="AE1404" s="575"/>
      <c r="AF1404" s="575"/>
      <c r="AG1404" s="575"/>
      <c r="AH1404" s="575"/>
      <c r="AI1404" s="679"/>
      <c r="AJ1404" s="564"/>
      <c r="AK1404" s="564"/>
      <c r="AL1404" s="564"/>
      <c r="AM1404" s="564"/>
      <c r="AN1404" s="614"/>
      <c r="AO1404" s="824" t="str">
        <f t="shared" si="304"/>
        <v>Yes</v>
      </c>
      <c r="AP1404" s="259" t="str">
        <f t="shared" si="305"/>
        <v>DEC 22</v>
      </c>
      <c r="AQ1404" s="542" t="str">
        <f t="shared" si="306"/>
        <v>有定金+有預留客戶</v>
      </c>
      <c r="AR1404" s="259" t="str">
        <f t="shared" si="307"/>
        <v>Shipped_Stock</v>
      </c>
      <c r="AS1404" s="259" t="str">
        <f t="shared" si="308"/>
        <v/>
      </c>
      <c r="AT1404" s="259" t="str">
        <f t="shared" si="309"/>
        <v>龙大光电</v>
      </c>
      <c r="AU1404" s="259" t="str">
        <f t="shared" si="310"/>
        <v>C49SZX20220110SS</v>
      </c>
      <c r="AV1404" s="259" t="str">
        <f t="shared" si="311"/>
        <v>2022-8-9Yamaha 仓库</v>
      </c>
    </row>
    <row r="1405" spans="1:48" hidden="1">
      <c r="A1405" s="599">
        <v>1841</v>
      </c>
      <c r="B1405" s="664" t="s">
        <v>1125</v>
      </c>
      <c r="C1405" s="664" t="s">
        <v>15</v>
      </c>
      <c r="D1405" s="645">
        <v>111131</v>
      </c>
      <c r="E1405" s="736" t="s">
        <v>2695</v>
      </c>
      <c r="F1405" s="647" t="s">
        <v>17</v>
      </c>
      <c r="G1405" s="647" t="s">
        <v>18</v>
      </c>
      <c r="H1405" s="647" t="s">
        <v>27</v>
      </c>
      <c r="I1405" s="575" t="s">
        <v>2696</v>
      </c>
      <c r="J1405" s="575">
        <v>1</v>
      </c>
      <c r="K1405" s="647" t="s">
        <v>1732</v>
      </c>
      <c r="L1405" s="657">
        <v>44960</v>
      </c>
      <c r="M1405" s="665"/>
      <c r="N1405" s="647" t="s">
        <v>216</v>
      </c>
      <c r="O1405" s="575">
        <v>2023.1</v>
      </c>
      <c r="P1405" s="665" t="str">
        <f>VLOOKUP(A1405,'[1]Raw data'!$B:$BA,23,FALSE)</f>
        <v>USD</v>
      </c>
      <c r="Q1405" s="647" t="str">
        <f>VLOOKUP(A1405,'[1]Raw data'!$B:$Z,2,FALSE)</f>
        <v>SUESE#001/23</v>
      </c>
      <c r="R1405" s="647" t="str">
        <f>VLOOKUP(A1405,'[1]Raw data'!$B:$Z,3,FALSE)</f>
        <v>SUPERIOR丰卓</v>
      </c>
      <c r="S1405" s="647" t="str">
        <f>VLOOKUP(A1405,'[1]Raw data'!$B:$Z,4,FALSE)</f>
        <v>YSM10</v>
      </c>
      <c r="T1405" s="647" t="str">
        <f>VLOOKUP(A1405,'[1]Raw data'!$B:$Z,8,FALSE)</f>
        <v>L-&gt;R</v>
      </c>
      <c r="U1405" s="647" t="str">
        <f>VLOOKUP(A1405,'[1]Raw data'!$B:$Z,9,FALSE)</f>
        <v>No</v>
      </c>
      <c r="V1405" s="567" t="str">
        <f t="shared" ref="V1405:V1427" si="321">IF(G1405&amp;H1405=T1405&amp;U1405,"OK","WRONG")</f>
        <v>WRONG</v>
      </c>
      <c r="W1405" s="563" t="str">
        <f>VLOOKUP(A1405,'[1]Raw data'!$B:$AG,32,FALSE)</f>
        <v>CIF Vietnam</v>
      </c>
      <c r="X1405" s="647">
        <f>VLOOKUP(A1405,'[1]Raw data'!$B:$BA,31,FALSE)</f>
        <v>44978</v>
      </c>
      <c r="Y1405" s="647" t="str">
        <f>VLOOKUP(A1405,'[1]Raw data'!$B:$AS,39,FALSE)</f>
        <v>Yes</v>
      </c>
      <c r="Z1405" s="659"/>
      <c r="AA1405" s="660"/>
      <c r="AB1405" s="661"/>
      <c r="AC1405" s="781" t="s">
        <v>3890</v>
      </c>
      <c r="AD1405" s="575">
        <v>301</v>
      </c>
      <c r="AE1405" s="575">
        <v>10</v>
      </c>
      <c r="AF1405" s="575"/>
      <c r="AG1405" s="575"/>
      <c r="AH1405" s="575"/>
      <c r="AI1405" s="679"/>
      <c r="AJ1405" s="564"/>
      <c r="AK1405" s="564"/>
      <c r="AL1405" s="564"/>
      <c r="AM1405" s="564"/>
      <c r="AN1405" s="614"/>
      <c r="AO1405" s="824" t="str">
        <f t="shared" si="304"/>
        <v>Yes</v>
      </c>
      <c r="AP1405" s="259" t="str">
        <f t="shared" si="305"/>
        <v>MAR 23</v>
      </c>
      <c r="AQ1405" s="542" t="str">
        <f t="shared" si="306"/>
        <v>有定金+有預留客戶</v>
      </c>
      <c r="AR1405" s="259" t="str">
        <f t="shared" si="307"/>
        <v>Shipped_Stock</v>
      </c>
      <c r="AS1405" s="259" t="str">
        <f t="shared" si="308"/>
        <v/>
      </c>
      <c r="AT1405" s="259" t="str">
        <f t="shared" si="309"/>
        <v>SUPERIOR丰卓</v>
      </c>
      <c r="AU1405" s="259" t="str">
        <f t="shared" si="310"/>
        <v>SUESE#001/23</v>
      </c>
      <c r="AV1405" s="259" t="str">
        <f t="shared" si="311"/>
        <v>Feb-03</v>
      </c>
    </row>
    <row r="1406" spans="1:48" ht="22.5" hidden="1">
      <c r="A1406" s="559">
        <v>2003</v>
      </c>
      <c r="B1406" s="664" t="s">
        <v>1125</v>
      </c>
      <c r="C1406" s="664" t="s">
        <v>15</v>
      </c>
      <c r="D1406" s="645">
        <v>111131</v>
      </c>
      <c r="E1406" s="736" t="s">
        <v>2695</v>
      </c>
      <c r="F1406" s="647" t="s">
        <v>17</v>
      </c>
      <c r="G1406" s="647" t="s">
        <v>18</v>
      </c>
      <c r="H1406" s="647" t="s">
        <v>27</v>
      </c>
      <c r="I1406" s="575" t="s">
        <v>2697</v>
      </c>
      <c r="J1406" s="575">
        <v>1</v>
      </c>
      <c r="K1406" s="647" t="s">
        <v>4049</v>
      </c>
      <c r="L1406" s="657">
        <v>44960</v>
      </c>
      <c r="M1406" s="665" t="s">
        <v>3893</v>
      </c>
      <c r="N1406" s="647" t="s">
        <v>4241</v>
      </c>
      <c r="O1406" s="575">
        <v>2023.1</v>
      </c>
      <c r="P1406" s="665" t="str">
        <f>VLOOKUP(A1406,'[1]Raw data'!$B:$BA,23,FALSE)</f>
        <v>JPY</v>
      </c>
      <c r="Q1406" s="647" t="str">
        <f>VLOOKUP(A1406,'[1]Raw data'!$B:$Z,2,FALSE)</f>
        <v>C49SZX20230120SX</v>
      </c>
      <c r="R1406" s="647" t="str">
        <f>VLOOKUP(A1406,'[1]Raw data'!$B:$Z,3,FALSE)</f>
        <v>锐诚</v>
      </c>
      <c r="S1406" s="647" t="str">
        <f>VLOOKUP(A1406,'[1]Raw data'!$B:$Z,4,FALSE)</f>
        <v>YSM10</v>
      </c>
      <c r="T1406" s="647" t="str">
        <f>VLOOKUP(A1406,'[1]Raw data'!$B:$Z,8,FALSE)</f>
        <v>L-&gt;R</v>
      </c>
      <c r="U1406" s="647" t="str">
        <f>VLOOKUP(A1406,'[1]Raw data'!$B:$Z,9,FALSE)</f>
        <v>MVC</v>
      </c>
      <c r="V1406" s="567" t="str">
        <f t="shared" si="321"/>
        <v>WRONG</v>
      </c>
      <c r="W1406" s="563" t="str">
        <f>VLOOKUP(A1406,'[1]Raw data'!$B:$AG,32,FALSE)</f>
        <v>DAP HZ</v>
      </c>
      <c r="X1406" s="657">
        <f>VLOOKUP(A1406,'[1]Raw data'!$B:$BA,31,FALSE)</f>
        <v>45236</v>
      </c>
      <c r="Y1406" s="647" t="str">
        <f>VLOOKUP(A1406,'[1]Raw data'!$B:$AS,39,FALSE)</f>
        <v>Yes</v>
      </c>
      <c r="Z1406" s="659"/>
      <c r="AA1406" s="660"/>
      <c r="AB1406" s="661"/>
      <c r="AC1406" s="647" t="s">
        <v>2518</v>
      </c>
      <c r="AD1406" s="662">
        <v>301</v>
      </c>
      <c r="AE1406" s="662">
        <v>5</v>
      </c>
      <c r="AF1406" s="662">
        <v>307</v>
      </c>
      <c r="AG1406" s="662">
        <v>5</v>
      </c>
      <c r="AH1406" s="662"/>
      <c r="AI1406" s="663"/>
      <c r="AN1406" s="542"/>
      <c r="AO1406" s="824" t="str">
        <f t="shared" si="304"/>
        <v>Yes</v>
      </c>
      <c r="AP1406" s="259" t="str">
        <f t="shared" si="305"/>
        <v>NOV 23</v>
      </c>
      <c r="AQ1406" s="542" t="str">
        <f t="shared" si="306"/>
        <v>有定金+有預留客戶</v>
      </c>
      <c r="AR1406" s="259" t="str">
        <f t="shared" si="307"/>
        <v>Shipped_Stock</v>
      </c>
      <c r="AS1406" s="259" t="str">
        <f t="shared" si="308"/>
        <v/>
      </c>
      <c r="AT1406" s="259" t="str">
        <f t="shared" si="309"/>
        <v>锐诚</v>
      </c>
      <c r="AU1406" s="259" t="str">
        <f t="shared" si="310"/>
        <v>C49SZX20230120SX</v>
      </c>
      <c r="AV1406" s="259" t="str">
        <f t="shared" si="311"/>
        <v>Feb-03</v>
      </c>
    </row>
    <row r="1407" spans="1:48" hidden="1">
      <c r="A1407" s="599">
        <v>1919</v>
      </c>
      <c r="B1407" s="664" t="s">
        <v>1125</v>
      </c>
      <c r="C1407" s="664" t="s">
        <v>15</v>
      </c>
      <c r="D1407" s="645">
        <v>111131</v>
      </c>
      <c r="E1407" s="736" t="s">
        <v>2695</v>
      </c>
      <c r="F1407" s="647" t="s">
        <v>17</v>
      </c>
      <c r="G1407" s="647" t="s">
        <v>18</v>
      </c>
      <c r="H1407" s="647" t="s">
        <v>34</v>
      </c>
      <c r="I1407" s="575" t="s">
        <v>2698</v>
      </c>
      <c r="J1407" s="575">
        <v>1</v>
      </c>
      <c r="K1407" s="647" t="s">
        <v>1419</v>
      </c>
      <c r="L1407" s="657">
        <v>44960</v>
      </c>
      <c r="M1407" s="665">
        <v>5.2999999999999999E-2</v>
      </c>
      <c r="N1407" s="647" t="s">
        <v>3968</v>
      </c>
      <c r="O1407" s="575">
        <v>2023.1</v>
      </c>
      <c r="P1407" s="665" t="str">
        <f>VLOOKUP(A1407,'[1]Raw data'!$B:$BA,23,FALSE)</f>
        <v>RMB</v>
      </c>
      <c r="Q1407" s="647" t="str">
        <f>VLOOKUP(A1407,'[1]Raw data'!$B:$Z,2,FALSE)</f>
        <v>C49SZX20230066JL/HJD23050525</v>
      </c>
      <c r="R1407" s="647" t="str">
        <f>VLOOKUP(A1407,'[1]Raw data'!$B:$Z,3,FALSE)</f>
        <v>皓吉达</v>
      </c>
      <c r="S1407" s="647" t="str">
        <f>VLOOKUP(A1407,'[1]Raw data'!$B:$Z,4,FALSE)</f>
        <v>YSM10</v>
      </c>
      <c r="T1407" s="647" t="str">
        <f>VLOOKUP(A1407,'[1]Raw data'!$B:$Z,8,FALSE)</f>
        <v>L-&gt;R</v>
      </c>
      <c r="U1407" s="647" t="str">
        <f>VLOOKUP(A1407,'[1]Raw data'!$B:$Z,9,FALSE)</f>
        <v>ATS15</v>
      </c>
      <c r="V1407" s="567" t="str">
        <f t="shared" si="321"/>
        <v>WRONG</v>
      </c>
      <c r="W1407" s="563" t="str">
        <f>VLOOKUP(A1407,'[1]Raw data'!$B:$AG,32,FALSE)</f>
        <v>DDP HY</v>
      </c>
      <c r="X1407" s="647">
        <f>VLOOKUP(A1407,'[1]Raw data'!$B:$BA,31,FALSE)</f>
        <v>45063</v>
      </c>
      <c r="Y1407" s="647" t="str">
        <f>VLOOKUP(A1407,'[1]Raw data'!$B:$AS,39,FALSE)</f>
        <v>Yes</v>
      </c>
      <c r="Z1407" s="659"/>
      <c r="AA1407" s="660"/>
      <c r="AB1407" s="661"/>
      <c r="AC1407" s="647" t="s">
        <v>3992</v>
      </c>
      <c r="AD1407" s="575">
        <v>301</v>
      </c>
      <c r="AE1407" s="575">
        <v>5</v>
      </c>
      <c r="AF1407" s="575">
        <v>302</v>
      </c>
      <c r="AG1407" s="575">
        <v>5</v>
      </c>
      <c r="AH1407" s="575"/>
      <c r="AI1407" s="679"/>
      <c r="AJ1407" s="564"/>
      <c r="AK1407" s="564"/>
      <c r="AL1407" s="564"/>
      <c r="AM1407" s="564"/>
      <c r="AN1407" s="614"/>
      <c r="AO1407" s="824" t="str">
        <f t="shared" si="304"/>
        <v>Yes</v>
      </c>
      <c r="AP1407" s="259" t="str">
        <f t="shared" si="305"/>
        <v>JUN 23</v>
      </c>
      <c r="AQ1407" s="542" t="str">
        <f t="shared" si="306"/>
        <v>有定金+有預留客戶</v>
      </c>
      <c r="AR1407" s="259" t="str">
        <f t="shared" si="307"/>
        <v>Shipped_Stock</v>
      </c>
      <c r="AS1407" s="259" t="str">
        <f t="shared" si="308"/>
        <v/>
      </c>
      <c r="AT1407" s="259" t="str">
        <f t="shared" si="309"/>
        <v>皓吉达</v>
      </c>
      <c r="AU1407" s="259" t="str">
        <f t="shared" si="310"/>
        <v>C49SZX20230066JL/HJD23050525</v>
      </c>
      <c r="AV1407" s="259" t="str">
        <f t="shared" si="311"/>
        <v>Feb-03</v>
      </c>
    </row>
    <row r="1408" spans="1:48" hidden="1">
      <c r="A1408" s="599">
        <v>1840</v>
      </c>
      <c r="B1408" s="664" t="s">
        <v>1125</v>
      </c>
      <c r="C1408" s="664" t="s">
        <v>15</v>
      </c>
      <c r="D1408" s="645">
        <v>111131</v>
      </c>
      <c r="E1408" s="736" t="s">
        <v>2695</v>
      </c>
      <c r="F1408" s="647" t="s">
        <v>17</v>
      </c>
      <c r="G1408" s="647" t="s">
        <v>18</v>
      </c>
      <c r="H1408" s="647" t="s">
        <v>34</v>
      </c>
      <c r="I1408" s="575" t="s">
        <v>2699</v>
      </c>
      <c r="J1408" s="575">
        <v>1</v>
      </c>
      <c r="K1408" s="647" t="s">
        <v>1732</v>
      </c>
      <c r="L1408" s="657">
        <v>44960</v>
      </c>
      <c r="M1408" s="665"/>
      <c r="N1408" s="647" t="s">
        <v>216</v>
      </c>
      <c r="O1408" s="575">
        <v>2023.1</v>
      </c>
      <c r="P1408" s="665" t="str">
        <f>VLOOKUP(A1408,'[1]Raw data'!$B:$BA,23,FALSE)</f>
        <v>USD</v>
      </c>
      <c r="Q1408" s="647" t="str">
        <f>VLOOKUP(A1408,'[1]Raw data'!$B:$Z,2,FALSE)</f>
        <v>SUESE#001/23</v>
      </c>
      <c r="R1408" s="647" t="str">
        <f>VLOOKUP(A1408,'[1]Raw data'!$B:$Z,3,FALSE)</f>
        <v>SUPERIOR丰卓</v>
      </c>
      <c r="S1408" s="647" t="str">
        <f>VLOOKUP(A1408,'[1]Raw data'!$B:$Z,4,FALSE)</f>
        <v>YSM10</v>
      </c>
      <c r="T1408" s="647" t="str">
        <f>VLOOKUP(A1408,'[1]Raw data'!$B:$Z,8,FALSE)</f>
        <v>L-&gt;R</v>
      </c>
      <c r="U1408" s="647" t="str">
        <f>VLOOKUP(A1408,'[1]Raw data'!$B:$Z,9,FALSE)</f>
        <v>MVC+ATS15</v>
      </c>
      <c r="V1408" s="567" t="str">
        <f t="shared" si="321"/>
        <v>WRONG</v>
      </c>
      <c r="W1408" s="563" t="str">
        <f>VLOOKUP(A1408,'[1]Raw data'!$B:$AG,32,FALSE)</f>
        <v>CIF Vietnam</v>
      </c>
      <c r="X1408" s="647">
        <f>VLOOKUP(A1408,'[1]Raw data'!$B:$BA,31,FALSE)</f>
        <v>44978</v>
      </c>
      <c r="Y1408" s="647" t="str">
        <f>VLOOKUP(A1408,'[1]Raw data'!$B:$AS,39,FALSE)</f>
        <v>Yes</v>
      </c>
      <c r="Z1408" s="659"/>
      <c r="AA1408" s="660"/>
      <c r="AB1408" s="661"/>
      <c r="AC1408" s="781" t="s">
        <v>3890</v>
      </c>
      <c r="AD1408" s="575">
        <v>302</v>
      </c>
      <c r="AE1408" s="575">
        <v>5</v>
      </c>
      <c r="AF1408" s="575">
        <v>304</v>
      </c>
      <c r="AG1408" s="575">
        <v>5</v>
      </c>
      <c r="AH1408" s="575"/>
      <c r="AI1408" s="679"/>
      <c r="AJ1408" s="564"/>
      <c r="AK1408" s="564"/>
      <c r="AL1408" s="564"/>
      <c r="AM1408" s="564"/>
      <c r="AN1408" s="614"/>
      <c r="AO1408" s="824" t="str">
        <f t="shared" si="304"/>
        <v>Yes</v>
      </c>
      <c r="AP1408" s="259" t="str">
        <f t="shared" si="305"/>
        <v>MAR 23</v>
      </c>
      <c r="AQ1408" s="542" t="str">
        <f t="shared" si="306"/>
        <v>有定金+有預留客戶</v>
      </c>
      <c r="AR1408" s="259" t="str">
        <f t="shared" si="307"/>
        <v>Shipped_Stock</v>
      </c>
      <c r="AS1408" s="259" t="str">
        <f t="shared" si="308"/>
        <v/>
      </c>
      <c r="AT1408" s="259" t="str">
        <f t="shared" si="309"/>
        <v>SUPERIOR丰卓</v>
      </c>
      <c r="AU1408" s="259" t="str">
        <f t="shared" si="310"/>
        <v>SUESE#001/23</v>
      </c>
      <c r="AV1408" s="259" t="str">
        <f t="shared" si="311"/>
        <v>Feb-03</v>
      </c>
    </row>
    <row r="1409" spans="1:48" hidden="1">
      <c r="A1409" s="559">
        <v>1865</v>
      </c>
      <c r="B1409" s="664" t="s">
        <v>1125</v>
      </c>
      <c r="C1409" s="664" t="s">
        <v>15</v>
      </c>
      <c r="D1409" s="645">
        <v>111131</v>
      </c>
      <c r="E1409" s="736" t="s">
        <v>2695</v>
      </c>
      <c r="F1409" s="647" t="s">
        <v>17</v>
      </c>
      <c r="G1409" s="647" t="s">
        <v>18</v>
      </c>
      <c r="H1409" s="647" t="s">
        <v>34</v>
      </c>
      <c r="I1409" s="575" t="s">
        <v>2700</v>
      </c>
      <c r="J1409" s="575">
        <v>1</v>
      </c>
      <c r="K1409" s="647" t="s">
        <v>1419</v>
      </c>
      <c r="L1409" s="657">
        <v>44960</v>
      </c>
      <c r="M1409" s="665">
        <v>5.2999999999999999E-2</v>
      </c>
      <c r="N1409" s="647" t="s">
        <v>4004</v>
      </c>
      <c r="O1409" s="575">
        <v>2023.1</v>
      </c>
      <c r="P1409" s="665" t="str">
        <f>VLOOKUP(A1409,'[1]Raw data'!$B:$BA,23,FALSE)</f>
        <v>RMB</v>
      </c>
      <c r="Q1409" s="647" t="str">
        <f>VLOOKUP(A1409,'[1]Raw data'!$B:$Z,2,FALSE)</f>
        <v>C49SZX20230035SX</v>
      </c>
      <c r="R1409" s="647" t="str">
        <f>VLOOKUP(A1409,'[1]Raw data'!$B:$Z,3,FALSE)</f>
        <v>博祯</v>
      </c>
      <c r="S1409" s="647" t="str">
        <f>VLOOKUP(A1409,'[1]Raw data'!$B:$Z,4,FALSE)</f>
        <v>YSM10</v>
      </c>
      <c r="T1409" s="647" t="str">
        <f>VLOOKUP(A1409,'[1]Raw data'!$B:$Z,8,FALSE)</f>
        <v>R-&gt;L</v>
      </c>
      <c r="U1409" s="647" t="str">
        <f>VLOOKUP(A1409,'[1]Raw data'!$B:$Z,9,FALSE)</f>
        <v>MVC+ATS15</v>
      </c>
      <c r="V1409" s="567" t="str">
        <f t="shared" si="321"/>
        <v>OK</v>
      </c>
      <c r="W1409" s="563" t="str">
        <f>VLOOKUP(A1409,'[1]Raw data'!$B:$AG,32,FALSE)</f>
        <v>DDP SZ</v>
      </c>
      <c r="X1409" s="657">
        <f>VLOOKUP(A1409,'[1]Raw data'!$B:$BA,31,FALSE)</f>
        <v>44986</v>
      </c>
      <c r="Y1409" s="647" t="str">
        <f>VLOOKUP(A1409,'[1]Raw data'!$B:$AS,39,FALSE)</f>
        <v>Yes</v>
      </c>
      <c r="Z1409" s="659"/>
      <c r="AA1409" s="660"/>
      <c r="AB1409" s="661"/>
      <c r="AC1409" s="647" t="s">
        <v>2478</v>
      </c>
      <c r="AD1409" s="662">
        <v>302</v>
      </c>
      <c r="AE1409" s="662">
        <v>5</v>
      </c>
      <c r="AF1409" s="662">
        <v>304</v>
      </c>
      <c r="AG1409" s="662">
        <v>5</v>
      </c>
      <c r="AH1409" s="662"/>
      <c r="AI1409" s="663"/>
      <c r="AN1409" s="542"/>
      <c r="AO1409" s="824" t="str">
        <f t="shared" si="304"/>
        <v>Yes</v>
      </c>
      <c r="AP1409" s="259" t="str">
        <f t="shared" si="305"/>
        <v>AUG 23</v>
      </c>
      <c r="AQ1409" s="542" t="str">
        <f t="shared" si="306"/>
        <v>有定金+有預留客戶</v>
      </c>
      <c r="AR1409" s="259" t="str">
        <f t="shared" si="307"/>
        <v>Shipped_Stock</v>
      </c>
      <c r="AS1409" s="259" t="str">
        <f t="shared" si="308"/>
        <v/>
      </c>
      <c r="AT1409" s="259" t="str">
        <f t="shared" si="309"/>
        <v>博祯</v>
      </c>
      <c r="AU1409" s="259" t="str">
        <f t="shared" si="310"/>
        <v>C49SZX20230035SX</v>
      </c>
      <c r="AV1409" s="259" t="str">
        <f t="shared" si="311"/>
        <v>Feb-03</v>
      </c>
    </row>
    <row r="1410" spans="1:48" ht="29.25" hidden="1" customHeight="1">
      <c r="A1410" s="559">
        <v>1863</v>
      </c>
      <c r="B1410" s="664" t="s">
        <v>1125</v>
      </c>
      <c r="C1410" s="664" t="s">
        <v>15</v>
      </c>
      <c r="D1410" s="645">
        <v>111131</v>
      </c>
      <c r="E1410" s="736" t="s">
        <v>2695</v>
      </c>
      <c r="F1410" s="647" t="s">
        <v>58</v>
      </c>
      <c r="G1410" s="647" t="s">
        <v>18</v>
      </c>
      <c r="H1410" s="647" t="s">
        <v>26</v>
      </c>
      <c r="I1410" s="575" t="s">
        <v>2701</v>
      </c>
      <c r="J1410" s="575">
        <v>1</v>
      </c>
      <c r="K1410" s="647" t="s">
        <v>4049</v>
      </c>
      <c r="L1410" s="657">
        <v>44960</v>
      </c>
      <c r="M1410" s="665" t="s">
        <v>3902</v>
      </c>
      <c r="N1410" s="647" t="s">
        <v>4004</v>
      </c>
      <c r="O1410" s="575">
        <v>2022.12</v>
      </c>
      <c r="P1410" s="665" t="str">
        <f>VLOOKUP(A1410,'[1]Raw data'!$B:$BA,23,FALSE)</f>
        <v>RMB</v>
      </c>
      <c r="Q1410" s="647" t="str">
        <f>VLOOKUP(A1410,'[1]Raw data'!$B:$Z,2,FALSE)</f>
        <v>C49SZX20230035SX</v>
      </c>
      <c r="R1410" s="647" t="str">
        <f>VLOOKUP(A1410,'[1]Raw data'!$B:$Z,3,FALSE)</f>
        <v>博祯</v>
      </c>
      <c r="S1410" s="647" t="str">
        <f>VLOOKUP(A1410,'[1]Raw data'!$B:$Z,4,FALSE)</f>
        <v>YSM20R-2</v>
      </c>
      <c r="T1410" s="647" t="str">
        <f>VLOOKUP(A1410,'[1]Raw data'!$B:$Z,8,FALSE)</f>
        <v>R-&gt;L</v>
      </c>
      <c r="U1410" s="647" t="str">
        <f>VLOOKUP(A1410,'[1]Raw data'!$B:$Z,9,FALSE)</f>
        <v>No</v>
      </c>
      <c r="V1410" s="567" t="str">
        <f t="shared" si="321"/>
        <v>OK</v>
      </c>
      <c r="W1410" s="563" t="str">
        <f>VLOOKUP(A1410,'[1]Raw data'!$B:$AG,32,FALSE)</f>
        <v>DDP SZ</v>
      </c>
      <c r="X1410" s="657">
        <f>VLOOKUP(A1410,'[1]Raw data'!$B:$BA,31,FALSE)</f>
        <v>44986</v>
      </c>
      <c r="Y1410" s="647" t="str">
        <f>VLOOKUP(A1410,'[1]Raw data'!$B:$AS,39,FALSE)</f>
        <v>Yes</v>
      </c>
      <c r="Z1410" s="659"/>
      <c r="AA1410" s="660"/>
      <c r="AB1410" s="661"/>
      <c r="AC1410" s="647" t="s">
        <v>2478</v>
      </c>
      <c r="AD1410" s="662">
        <v>301</v>
      </c>
      <c r="AE1410" s="662">
        <v>15</v>
      </c>
      <c r="AF1410" s="662">
        <v>311</v>
      </c>
      <c r="AG1410" s="662">
        <v>5</v>
      </c>
      <c r="AH1410" s="662"/>
      <c r="AI1410" s="663"/>
      <c r="AN1410" s="542"/>
      <c r="AO1410" s="824" t="str">
        <f t="shared" si="304"/>
        <v>Yes</v>
      </c>
      <c r="AP1410" s="259" t="str">
        <f t="shared" si="305"/>
        <v>AUG 23</v>
      </c>
      <c r="AQ1410" s="542" t="str">
        <f t="shared" si="306"/>
        <v>有定金+有預留客戶</v>
      </c>
      <c r="AR1410" s="259" t="str">
        <f t="shared" si="307"/>
        <v>Shipped_Stock</v>
      </c>
      <c r="AS1410" s="259" t="str">
        <f t="shared" si="308"/>
        <v/>
      </c>
      <c r="AT1410" s="259" t="str">
        <f t="shared" si="309"/>
        <v>博祯</v>
      </c>
      <c r="AU1410" s="259" t="str">
        <f t="shared" si="310"/>
        <v>C49SZX20230035SX</v>
      </c>
      <c r="AV1410" s="259" t="str">
        <f t="shared" si="311"/>
        <v>Feb-03</v>
      </c>
    </row>
    <row r="1411" spans="1:48" ht="22.5" hidden="1">
      <c r="A1411" s="599">
        <v>1532</v>
      </c>
      <c r="B1411" s="664" t="s">
        <v>1125</v>
      </c>
      <c r="C1411" s="664" t="s">
        <v>15</v>
      </c>
      <c r="D1411" s="645">
        <v>111131</v>
      </c>
      <c r="E1411" s="736" t="s">
        <v>2695</v>
      </c>
      <c r="F1411" s="647" t="s">
        <v>58</v>
      </c>
      <c r="G1411" s="647" t="s">
        <v>18</v>
      </c>
      <c r="H1411" s="647" t="s">
        <v>26</v>
      </c>
      <c r="I1411" s="575" t="s">
        <v>2702</v>
      </c>
      <c r="J1411" s="575">
        <v>1</v>
      </c>
      <c r="K1411" s="647" t="s">
        <v>1732</v>
      </c>
      <c r="L1411" s="657">
        <v>44960</v>
      </c>
      <c r="M1411" s="665" t="s">
        <v>3893</v>
      </c>
      <c r="N1411" s="647" t="s">
        <v>3993</v>
      </c>
      <c r="O1411" s="575">
        <v>2022.12</v>
      </c>
      <c r="P1411" s="665" t="str">
        <f>VLOOKUP(A1411,'[1]Raw data'!$B:$BA,23,FALSE)</f>
        <v>JPY</v>
      </c>
      <c r="Q1411" s="647" t="str">
        <f>VLOOKUP(A1411,'[1]Raw data'!$B:$Z,2,FALSE)</f>
        <v>C49SZX20230088MZ</v>
      </c>
      <c r="R1411" s="647" t="str">
        <f>VLOOKUP(A1411,'[1]Raw data'!$B:$Z,3,FALSE)</f>
        <v>东莞鸿楠</v>
      </c>
      <c r="S1411" s="647" t="str">
        <f>VLOOKUP(A1411,'[1]Raw data'!$B:$Z,4,FALSE)</f>
        <v>YSM20R-2</v>
      </c>
      <c r="T1411" s="647" t="str">
        <f>VLOOKUP(A1411,'[1]Raw data'!$B:$Z,8,FALSE)</f>
        <v>R-&gt;L</v>
      </c>
      <c r="U1411" s="647" t="str">
        <f>VLOOKUP(A1411,'[1]Raw data'!$B:$Z,9,FALSE)</f>
        <v>No</v>
      </c>
      <c r="V1411" s="567" t="str">
        <f t="shared" si="321"/>
        <v>OK</v>
      </c>
      <c r="W1411" s="563" t="str">
        <f>VLOOKUP(A1411,'[1]Raw data'!$B:$AG,32,FALSE)</f>
        <v>CIF  HK</v>
      </c>
      <c r="X1411" s="657">
        <f>VLOOKUP(A1411,'[1]Raw data'!$B:$BA,31,FALSE)</f>
        <v>45127</v>
      </c>
      <c r="Y1411" s="647" t="str">
        <f>VLOOKUP(A1411,'[1]Raw data'!$B:$AS,39,FALSE)</f>
        <v>Yes</v>
      </c>
      <c r="Z1411" s="659"/>
      <c r="AA1411" s="660"/>
      <c r="AB1411" s="661"/>
      <c r="AC1411" s="647" t="s">
        <v>4074</v>
      </c>
      <c r="AD1411" s="575">
        <v>301</v>
      </c>
      <c r="AE1411" s="575">
        <v>15</v>
      </c>
      <c r="AF1411" s="575">
        <v>311</v>
      </c>
      <c r="AG1411" s="575">
        <v>5</v>
      </c>
      <c r="AH1411" s="575"/>
      <c r="AI1411" s="679"/>
      <c r="AJ1411" s="564"/>
      <c r="AK1411" s="564"/>
      <c r="AL1411" s="564"/>
      <c r="AM1411" s="564"/>
      <c r="AN1411" s="614"/>
      <c r="AO1411" s="824" t="str">
        <f t="shared" ref="AO1411:AO1474" si="322">IFERROR(IF(Y1411&lt;&gt;"",Y1411,"No"),"No")</f>
        <v>Yes</v>
      </c>
      <c r="AP1411" s="259" t="str">
        <f t="shared" ref="AP1411:AP1474" si="323">IFERROR(IF(N1411&lt;&gt;"",N1411,"blank"),"NA")</f>
        <v>JUL 23</v>
      </c>
      <c r="AQ1411" s="542" t="str">
        <f t="shared" ref="AQ1411:AQ1474" si="324">IFERROR(IF(AND(AO1411="Yes", AP1411&lt;&gt;"blank"), "有定金+有預留客戶", IF(AND(AO1411="Yes", AP1411="blank"), "有定金+无客戶送貨期", IF(AND(OR(AO1411="No", ISBLANK(AO1411), AO1411="NA"), AP1411&lt;&gt;"blank"), "无定金+有預留客戶", IF(AND(OR(AO1411="No", ISBLANK(AO1411), AO1411="NA"), AP1411="blank"), "无定金+无預留客戶", "")))), "")</f>
        <v>有定金+有預留客戶</v>
      </c>
      <c r="AR1411" s="259" t="str">
        <f t="shared" ref="AR1411:AR1474" si="325">IFERROR(IF(B1411="已经到货", "Instock", IF(B1411="有交期", "Incoming_Stock_With_YAMAHA_Schedule", IF(B1411="TBA.", "Incoming_Stock_No_YAMAHA_Schedule", IF(B1411="已发货", "Shipped_Stock", "")))), "")</f>
        <v>Shipped_Stock</v>
      </c>
      <c r="AS1411" s="259" t="str">
        <f t="shared" ref="AS1411:AS1474" si="326">IF(AND(B1411="有交期", L1411&lt;&gt;""), L1411, "")</f>
        <v/>
      </c>
      <c r="AT1411" s="259" t="str">
        <f t="shared" ref="AT1411:AT1474" si="327">IFERROR(IF(R1411&lt;&gt;"",R1411),"-")</f>
        <v>东莞鸿楠</v>
      </c>
      <c r="AU1411" s="259" t="str">
        <f t="shared" ref="AU1411:AU1474" si="328">IFERROR(IF(Q1411&lt;&gt;"",Q1411),"-")</f>
        <v>C49SZX20230088MZ</v>
      </c>
      <c r="AV1411" s="259" t="str">
        <f t="shared" ref="AV1411:AV1474" si="329">IF(L1411="","-",TEXT(L1411,"mmm-dd"))</f>
        <v>Feb-03</v>
      </c>
    </row>
    <row r="1412" spans="1:48" ht="22.5" hidden="1">
      <c r="A1412" s="559">
        <v>1658</v>
      </c>
      <c r="B1412" s="664" t="s">
        <v>1125</v>
      </c>
      <c r="C1412" s="664" t="s">
        <v>15</v>
      </c>
      <c r="D1412" s="645">
        <v>111131</v>
      </c>
      <c r="E1412" s="736" t="s">
        <v>2695</v>
      </c>
      <c r="F1412" s="647" t="s">
        <v>58</v>
      </c>
      <c r="G1412" s="647" t="s">
        <v>18</v>
      </c>
      <c r="H1412" s="647" t="s">
        <v>307</v>
      </c>
      <c r="I1412" s="575" t="s">
        <v>2703</v>
      </c>
      <c r="J1412" s="575">
        <v>1</v>
      </c>
      <c r="K1412" s="647" t="s">
        <v>1419</v>
      </c>
      <c r="L1412" s="657">
        <v>44960</v>
      </c>
      <c r="M1412" s="665" t="s">
        <v>3893</v>
      </c>
      <c r="N1412" s="647" t="s">
        <v>4004</v>
      </c>
      <c r="O1412" s="575">
        <v>2022.12</v>
      </c>
      <c r="P1412" s="665" t="str">
        <f>VLOOKUP(A1412,'[1]Raw data'!$B:$BA,23,FALSE)</f>
        <v>RMB</v>
      </c>
      <c r="Q1412" s="647" t="str">
        <f>VLOOKUP(A1412,'[1]Raw data'!$B:$Z,2,FALSE)</f>
        <v>SNFPC-CG-2022-008</v>
      </c>
      <c r="R1412" s="647" t="str">
        <f>VLOOKUP(A1412,'[1]Raw data'!$B:$Z,3,FALSE)</f>
        <v>康佳</v>
      </c>
      <c r="S1412" s="647" t="str">
        <f>VLOOKUP(A1412,'[1]Raw data'!$B:$Z,4,FALSE)</f>
        <v>YSM20R-2</v>
      </c>
      <c r="T1412" s="647" t="str">
        <f>VLOOKUP(A1412,'[1]Raw data'!$B:$Z,8,FALSE)</f>
        <v>R-&gt;L</v>
      </c>
      <c r="U1412" s="647" t="str">
        <f>VLOOKUP(A1412,'[1]Raw data'!$B:$Z,9,FALSE)</f>
        <v>No</v>
      </c>
      <c r="V1412" s="567" t="str">
        <f t="shared" si="321"/>
        <v>OK</v>
      </c>
      <c r="W1412" s="563" t="str">
        <f>VLOOKUP(A1412,'[1]Raw data'!$B:$AG,32,FALSE)</f>
        <v>DDP SN</v>
      </c>
      <c r="X1412" s="657">
        <f>VLOOKUP(A1412,'[1]Raw data'!$B:$BA,31,FALSE)</f>
        <v>44678</v>
      </c>
      <c r="Y1412" s="647" t="str">
        <f>VLOOKUP(A1412,'[1]Raw data'!$B:$AS,39,FALSE)</f>
        <v>Yes</v>
      </c>
      <c r="Z1412" s="659"/>
      <c r="AA1412" s="660"/>
      <c r="AB1412" s="661"/>
      <c r="AC1412" s="647" t="s">
        <v>4085</v>
      </c>
      <c r="AD1412" s="662">
        <v>301</v>
      </c>
      <c r="AE1412" s="662">
        <v>15</v>
      </c>
      <c r="AF1412" s="662">
        <v>311</v>
      </c>
      <c r="AG1412" s="662">
        <v>5</v>
      </c>
      <c r="AH1412" s="662"/>
      <c r="AI1412" s="663"/>
      <c r="AN1412" s="542"/>
      <c r="AO1412" s="824" t="str">
        <f t="shared" si="322"/>
        <v>Yes</v>
      </c>
      <c r="AP1412" s="259" t="str">
        <f t="shared" si="323"/>
        <v>AUG 23</v>
      </c>
      <c r="AQ1412" s="542" t="str">
        <f t="shared" si="324"/>
        <v>有定金+有預留客戶</v>
      </c>
      <c r="AR1412" s="259" t="str">
        <f t="shared" si="325"/>
        <v>Shipped_Stock</v>
      </c>
      <c r="AS1412" s="259" t="str">
        <f t="shared" si="326"/>
        <v/>
      </c>
      <c r="AT1412" s="259" t="str">
        <f t="shared" si="327"/>
        <v>康佳</v>
      </c>
      <c r="AU1412" s="259" t="str">
        <f t="shared" si="328"/>
        <v>SNFPC-CG-2022-008</v>
      </c>
      <c r="AV1412" s="259" t="str">
        <f t="shared" si="329"/>
        <v>Feb-03</v>
      </c>
    </row>
    <row r="1413" spans="1:48" ht="22.5" hidden="1">
      <c r="A1413" s="599">
        <v>1533</v>
      </c>
      <c r="B1413" s="664" t="s">
        <v>1125</v>
      </c>
      <c r="C1413" s="664" t="s">
        <v>15</v>
      </c>
      <c r="D1413" s="645">
        <v>111131</v>
      </c>
      <c r="E1413" s="736" t="s">
        <v>2695</v>
      </c>
      <c r="F1413" s="647" t="s">
        <v>58</v>
      </c>
      <c r="G1413" s="647" t="s">
        <v>18</v>
      </c>
      <c r="H1413" s="647" t="s">
        <v>26</v>
      </c>
      <c r="I1413" s="575" t="s">
        <v>2704</v>
      </c>
      <c r="J1413" s="575">
        <v>1</v>
      </c>
      <c r="K1413" s="647" t="s">
        <v>1732</v>
      </c>
      <c r="L1413" s="657">
        <v>44960</v>
      </c>
      <c r="M1413" s="665" t="s">
        <v>3893</v>
      </c>
      <c r="N1413" s="647" t="s">
        <v>3993</v>
      </c>
      <c r="O1413" s="575">
        <v>2022.12</v>
      </c>
      <c r="P1413" s="665" t="str">
        <f>VLOOKUP(A1413,'[1]Raw data'!$B:$BA,23,FALSE)</f>
        <v>JPY</v>
      </c>
      <c r="Q1413" s="647" t="str">
        <f>VLOOKUP(A1413,'[1]Raw data'!$B:$Z,2,FALSE)</f>
        <v>C49SZX20230088MZ</v>
      </c>
      <c r="R1413" s="647" t="str">
        <f>VLOOKUP(A1413,'[1]Raw data'!$B:$Z,3,FALSE)</f>
        <v>东莞鸿楠</v>
      </c>
      <c r="S1413" s="647" t="str">
        <f>VLOOKUP(A1413,'[1]Raw data'!$B:$Z,4,FALSE)</f>
        <v>YSM20R-2</v>
      </c>
      <c r="T1413" s="647" t="str">
        <f>VLOOKUP(A1413,'[1]Raw data'!$B:$Z,8,FALSE)</f>
        <v>R-&gt;L</v>
      </c>
      <c r="U1413" s="647" t="str">
        <f>VLOOKUP(A1413,'[1]Raw data'!$B:$Z,9,FALSE)</f>
        <v>No</v>
      </c>
      <c r="V1413" s="567" t="str">
        <f t="shared" si="321"/>
        <v>OK</v>
      </c>
      <c r="W1413" s="563" t="str">
        <f>VLOOKUP(A1413,'[1]Raw data'!$B:$AG,32,FALSE)</f>
        <v>CIF  HK</v>
      </c>
      <c r="X1413" s="657">
        <f>VLOOKUP(A1413,'[1]Raw data'!$B:$BA,31,FALSE)</f>
        <v>45127</v>
      </c>
      <c r="Y1413" s="647" t="str">
        <f>VLOOKUP(A1413,'[1]Raw data'!$B:$AS,39,FALSE)</f>
        <v>Yes</v>
      </c>
      <c r="Z1413" s="659"/>
      <c r="AA1413" s="660"/>
      <c r="AB1413" s="661"/>
      <c r="AC1413" s="647" t="s">
        <v>4074</v>
      </c>
      <c r="AD1413" s="575">
        <v>311</v>
      </c>
      <c r="AE1413" s="575">
        <v>15</v>
      </c>
      <c r="AF1413" s="575">
        <v>301</v>
      </c>
      <c r="AG1413" s="575">
        <v>5</v>
      </c>
      <c r="AH1413" s="575"/>
      <c r="AI1413" s="679"/>
      <c r="AJ1413" s="564"/>
      <c r="AK1413" s="564"/>
      <c r="AL1413" s="564"/>
      <c r="AM1413" s="564"/>
      <c r="AN1413" s="614"/>
      <c r="AO1413" s="824" t="str">
        <f t="shared" si="322"/>
        <v>Yes</v>
      </c>
      <c r="AP1413" s="259" t="str">
        <f t="shared" si="323"/>
        <v>JUL 23</v>
      </c>
      <c r="AQ1413" s="542" t="str">
        <f t="shared" si="324"/>
        <v>有定金+有預留客戶</v>
      </c>
      <c r="AR1413" s="259" t="str">
        <f t="shared" si="325"/>
        <v>Shipped_Stock</v>
      </c>
      <c r="AS1413" s="259" t="str">
        <f t="shared" si="326"/>
        <v/>
      </c>
      <c r="AT1413" s="259" t="str">
        <f t="shared" si="327"/>
        <v>东莞鸿楠</v>
      </c>
      <c r="AU1413" s="259" t="str">
        <f t="shared" si="328"/>
        <v>C49SZX20230088MZ</v>
      </c>
      <c r="AV1413" s="259" t="str">
        <f t="shared" si="329"/>
        <v>Feb-03</v>
      </c>
    </row>
    <row r="1414" spans="1:48" ht="22.5" hidden="1">
      <c r="A1414" s="559">
        <v>1951</v>
      </c>
      <c r="B1414" s="664" t="s">
        <v>1125</v>
      </c>
      <c r="C1414" s="664" t="s">
        <v>15</v>
      </c>
      <c r="D1414" s="645">
        <v>111131</v>
      </c>
      <c r="E1414" s="736" t="s">
        <v>2695</v>
      </c>
      <c r="F1414" s="647" t="s">
        <v>58</v>
      </c>
      <c r="G1414" s="647" t="s">
        <v>18</v>
      </c>
      <c r="H1414" s="647" t="s">
        <v>26</v>
      </c>
      <c r="I1414" s="575" t="s">
        <v>2705</v>
      </c>
      <c r="J1414" s="575">
        <v>1</v>
      </c>
      <c r="K1414" s="647" t="s">
        <v>1732</v>
      </c>
      <c r="L1414" s="657">
        <v>44960</v>
      </c>
      <c r="M1414" s="665" t="s">
        <v>3893</v>
      </c>
      <c r="N1414" s="647" t="s">
        <v>4105</v>
      </c>
      <c r="O1414" s="575">
        <v>2022.12</v>
      </c>
      <c r="P1414" s="665" t="str">
        <f>VLOOKUP(A1414,'[1]Raw data'!$B:$BA,23,FALSE)</f>
        <v>RMB</v>
      </c>
      <c r="Q1414" s="647" t="str">
        <f>VLOOKUP(A1414,'[1]Raw data'!$B:$Z,2,FALSE)</f>
        <v>C49SZX20230093SX</v>
      </c>
      <c r="R1414" s="647" t="str">
        <f>VLOOKUP(A1414,'[1]Raw data'!$B:$Z,3,FALSE)</f>
        <v>益田科技(End uer:泓裕）</v>
      </c>
      <c r="S1414" s="647" t="str">
        <f>VLOOKUP(A1414,'[1]Raw data'!$B:$Z,4,FALSE)</f>
        <v>YSM20R-2</v>
      </c>
      <c r="T1414" s="647" t="str">
        <f>VLOOKUP(A1414,'[1]Raw data'!$B:$Z,8,FALSE)</f>
        <v>R-&gt;L</v>
      </c>
      <c r="U1414" s="647" t="str">
        <f>VLOOKUP(A1414,'[1]Raw data'!$B:$Z,9,FALSE)</f>
        <v>No</v>
      </c>
      <c r="V1414" s="567" t="str">
        <f t="shared" si="321"/>
        <v>OK</v>
      </c>
      <c r="W1414" s="563" t="str">
        <f>VLOOKUP(A1414,'[1]Raw data'!$B:$AG,32,FALSE)</f>
        <v>DDP SZ</v>
      </c>
      <c r="X1414" s="657">
        <f>VLOOKUP(A1414,'[1]Raw data'!$B:$BA,31,FALSE)</f>
        <v>45127</v>
      </c>
      <c r="Y1414" s="647" t="str">
        <f>VLOOKUP(A1414,'[1]Raw data'!$B:$AS,39,FALSE)</f>
        <v>Yes</v>
      </c>
      <c r="Z1414" s="659"/>
      <c r="AA1414" s="660"/>
      <c r="AB1414" s="661"/>
      <c r="AC1414" s="647" t="s">
        <v>4164</v>
      </c>
      <c r="AD1414" s="662">
        <v>311</v>
      </c>
      <c r="AE1414" s="662">
        <v>15</v>
      </c>
      <c r="AF1414" s="662">
        <v>301</v>
      </c>
      <c r="AG1414" s="662">
        <v>5</v>
      </c>
      <c r="AH1414" s="662"/>
      <c r="AI1414" s="663"/>
      <c r="AN1414" s="542"/>
      <c r="AO1414" s="824" t="str">
        <f t="shared" si="322"/>
        <v>Yes</v>
      </c>
      <c r="AP1414" s="259" t="str">
        <f t="shared" si="323"/>
        <v>SEP 23</v>
      </c>
      <c r="AQ1414" s="542" t="str">
        <f t="shared" si="324"/>
        <v>有定金+有預留客戶</v>
      </c>
      <c r="AR1414" s="259" t="str">
        <f t="shared" si="325"/>
        <v>Shipped_Stock</v>
      </c>
      <c r="AS1414" s="259" t="str">
        <f t="shared" si="326"/>
        <v/>
      </c>
      <c r="AT1414" s="259" t="str">
        <f t="shared" si="327"/>
        <v>益田科技(End uer:泓裕）</v>
      </c>
      <c r="AU1414" s="259" t="str">
        <f t="shared" si="328"/>
        <v>C49SZX20230093SX</v>
      </c>
      <c r="AV1414" s="259" t="str">
        <f t="shared" si="329"/>
        <v>Feb-03</v>
      </c>
    </row>
    <row r="1415" spans="1:48" ht="22.5" hidden="1">
      <c r="A1415" s="559">
        <v>1933</v>
      </c>
      <c r="B1415" s="664" t="s">
        <v>1125</v>
      </c>
      <c r="C1415" s="664" t="s">
        <v>15</v>
      </c>
      <c r="D1415" s="645">
        <v>111132</v>
      </c>
      <c r="E1415" s="736" t="s">
        <v>2706</v>
      </c>
      <c r="F1415" s="647" t="s">
        <v>58</v>
      </c>
      <c r="G1415" s="647" t="s">
        <v>24</v>
      </c>
      <c r="H1415" s="647" t="s">
        <v>26</v>
      </c>
      <c r="I1415" s="575" t="s">
        <v>2707</v>
      </c>
      <c r="J1415" s="575">
        <v>1</v>
      </c>
      <c r="K1415" s="647" t="s">
        <v>1419</v>
      </c>
      <c r="L1415" s="657">
        <v>44960</v>
      </c>
      <c r="M1415" s="665" t="s">
        <v>3893</v>
      </c>
      <c r="N1415" s="647" t="s">
        <v>4004</v>
      </c>
      <c r="O1415" s="575">
        <v>2023.1</v>
      </c>
      <c r="P1415" s="665" t="str">
        <f>VLOOKUP(A1415,'[1]Raw data'!$B:$BA,23,FALSE)</f>
        <v>RMB</v>
      </c>
      <c r="Q1415" s="647" t="str">
        <f>VLOOKUP(A1415,'[1]Raw data'!$B:$Z,2,FALSE)</f>
        <v>C49SZX20230083LC</v>
      </c>
      <c r="R1415" s="647" t="str">
        <f>VLOOKUP(A1415,'[1]Raw data'!$B:$Z,3,FALSE)</f>
        <v>兴原星</v>
      </c>
      <c r="S1415" s="647" t="str">
        <f>VLOOKUP(A1415,'[1]Raw data'!$B:$Z,4,FALSE)</f>
        <v>YSM20R-2</v>
      </c>
      <c r="T1415" s="647" t="str">
        <f>VLOOKUP(A1415,'[1]Raw data'!$B:$Z,8,FALSE)</f>
        <v>L-&gt;R</v>
      </c>
      <c r="U1415" s="647" t="str">
        <f>VLOOKUP(A1415,'[1]Raw data'!$B:$Z,9,FALSE)</f>
        <v>No</v>
      </c>
      <c r="V1415" s="567" t="str">
        <f t="shared" ref="V1415:V1418" si="330">IF(G1415&amp;H1415=T1415&amp;U1415,"OK","WRONG")</f>
        <v>OK</v>
      </c>
      <c r="W1415" s="563" t="str">
        <f>VLOOKUP(A1415,'[1]Raw data'!$B:$AG,32,FALSE)</f>
        <v>DDP GZ</v>
      </c>
      <c r="X1415" s="657">
        <f>VLOOKUP(A1415,'[1]Raw data'!$B:$BA,31,FALSE)</f>
        <v>45117</v>
      </c>
      <c r="Y1415" s="647" t="str">
        <f>VLOOKUP(A1415,'[1]Raw data'!$B:$AS,39,FALSE)</f>
        <v>Yes</v>
      </c>
      <c r="Z1415" s="659"/>
      <c r="AA1415" s="660"/>
      <c r="AB1415" s="661"/>
      <c r="AC1415" s="647" t="s">
        <v>4076</v>
      </c>
      <c r="AD1415" s="662">
        <v>311</v>
      </c>
      <c r="AE1415" s="662">
        <v>20</v>
      </c>
      <c r="AF1415" s="662"/>
      <c r="AG1415" s="662"/>
      <c r="AH1415" s="662"/>
      <c r="AI1415" s="663"/>
      <c r="AN1415" s="542"/>
      <c r="AO1415" s="824" t="str">
        <f t="shared" si="322"/>
        <v>Yes</v>
      </c>
      <c r="AP1415" s="259" t="str">
        <f t="shared" si="323"/>
        <v>AUG 23</v>
      </c>
      <c r="AQ1415" s="542" t="str">
        <f t="shared" si="324"/>
        <v>有定金+有預留客戶</v>
      </c>
      <c r="AR1415" s="259" t="str">
        <f t="shared" si="325"/>
        <v>Shipped_Stock</v>
      </c>
      <c r="AS1415" s="259" t="str">
        <f t="shared" si="326"/>
        <v/>
      </c>
      <c r="AT1415" s="259" t="str">
        <f t="shared" si="327"/>
        <v>兴原星</v>
      </c>
      <c r="AU1415" s="259" t="str">
        <f t="shared" si="328"/>
        <v>C49SZX20230083LC</v>
      </c>
      <c r="AV1415" s="259" t="str">
        <f t="shared" si="329"/>
        <v>Feb-03</v>
      </c>
    </row>
    <row r="1416" spans="1:48" ht="22.5" hidden="1">
      <c r="A1416" s="559">
        <v>1956</v>
      </c>
      <c r="B1416" s="664" t="s">
        <v>1125</v>
      </c>
      <c r="C1416" s="664" t="s">
        <v>15</v>
      </c>
      <c r="D1416" s="645">
        <v>111132</v>
      </c>
      <c r="E1416" s="736" t="s">
        <v>2708</v>
      </c>
      <c r="F1416" s="647" t="s">
        <v>17</v>
      </c>
      <c r="G1416" s="647" t="s">
        <v>18</v>
      </c>
      <c r="H1416" s="647" t="s">
        <v>27</v>
      </c>
      <c r="I1416" s="575" t="s">
        <v>4103</v>
      </c>
      <c r="J1416" s="575">
        <v>1</v>
      </c>
      <c r="K1416" s="647" t="s">
        <v>1732</v>
      </c>
      <c r="L1416" s="657">
        <v>44960</v>
      </c>
      <c r="M1416" s="665" t="s">
        <v>3893</v>
      </c>
      <c r="N1416" s="647" t="s">
        <v>4105</v>
      </c>
      <c r="O1416" s="575">
        <v>2023.1</v>
      </c>
      <c r="P1416" s="665" t="str">
        <f>VLOOKUP(A1416,'[1]Raw data'!$B:$BA,23,FALSE)</f>
        <v>RMB</v>
      </c>
      <c r="Q1416" s="647" t="str">
        <f>VLOOKUP(A1416,'[1]Raw data'!$B:$Z,2,FALSE)</f>
        <v>GD-20230250</v>
      </c>
      <c r="R1416" s="647" t="str">
        <f>VLOOKUP(A1416,'[1]Raw data'!$B:$Z,3,FALSE)</f>
        <v>泰永</v>
      </c>
      <c r="S1416" s="647" t="str">
        <f>VLOOKUP(A1416,'[1]Raw data'!$B:$Z,4,FALSE)</f>
        <v>YSM10</v>
      </c>
      <c r="T1416" s="647" t="str">
        <f>VLOOKUP(A1416,'[1]Raw data'!$B:$Z,8,FALSE)</f>
        <v>R-&gt;L</v>
      </c>
      <c r="U1416" s="647" t="str">
        <f>VLOOKUP(A1416,'[1]Raw data'!$B:$Z,9,FALSE)</f>
        <v>No</v>
      </c>
      <c r="V1416" s="567" t="str">
        <f t="shared" si="330"/>
        <v>WRONG</v>
      </c>
      <c r="W1416" s="563" t="str">
        <f>VLOOKUP(A1416,'[1]Raw data'!$B:$AG,32,FALSE)</f>
        <v>DDP ZH</v>
      </c>
      <c r="X1416" s="657">
        <f>VLOOKUP(A1416,'[1]Raw data'!$B:$BA,31,FALSE)</f>
        <v>45128</v>
      </c>
      <c r="Y1416" s="647" t="str">
        <f>VLOOKUP(A1416,'[1]Raw data'!$B:$AS,39,FALSE)</f>
        <v>Yes</v>
      </c>
      <c r="Z1416" s="659"/>
      <c r="AA1416" s="660"/>
      <c r="AB1416" s="661"/>
      <c r="AC1416" s="647" t="s">
        <v>4116</v>
      </c>
      <c r="AD1416" s="662">
        <v>301</v>
      </c>
      <c r="AE1416" s="662">
        <v>10</v>
      </c>
      <c r="AF1416" s="662"/>
      <c r="AG1416" s="662"/>
      <c r="AH1416" s="662"/>
      <c r="AI1416" s="663"/>
      <c r="AN1416" s="542"/>
      <c r="AO1416" s="824" t="str">
        <f t="shared" si="322"/>
        <v>Yes</v>
      </c>
      <c r="AP1416" s="259" t="str">
        <f t="shared" si="323"/>
        <v>SEP 23</v>
      </c>
      <c r="AQ1416" s="542" t="str">
        <f t="shared" si="324"/>
        <v>有定金+有預留客戶</v>
      </c>
      <c r="AR1416" s="259" t="str">
        <f t="shared" si="325"/>
        <v>Shipped_Stock</v>
      </c>
      <c r="AS1416" s="259" t="str">
        <f t="shared" si="326"/>
        <v/>
      </c>
      <c r="AT1416" s="259" t="str">
        <f t="shared" si="327"/>
        <v>泰永</v>
      </c>
      <c r="AU1416" s="259" t="str">
        <f t="shared" si="328"/>
        <v>GD-20230250</v>
      </c>
      <c r="AV1416" s="259" t="str">
        <f t="shared" si="329"/>
        <v>Feb-03</v>
      </c>
    </row>
    <row r="1417" spans="1:48" ht="22.5" hidden="1">
      <c r="A1417" s="559">
        <v>1955</v>
      </c>
      <c r="B1417" s="664" t="s">
        <v>1125</v>
      </c>
      <c r="C1417" s="664" t="s">
        <v>15</v>
      </c>
      <c r="D1417" s="645">
        <v>111132</v>
      </c>
      <c r="E1417" s="736" t="s">
        <v>2708</v>
      </c>
      <c r="F1417" s="647" t="s">
        <v>17</v>
      </c>
      <c r="G1417" s="647" t="s">
        <v>18</v>
      </c>
      <c r="H1417" s="647" t="s">
        <v>27</v>
      </c>
      <c r="I1417" s="575" t="s">
        <v>2709</v>
      </c>
      <c r="J1417" s="575">
        <v>1</v>
      </c>
      <c r="K1417" s="647" t="s">
        <v>1732</v>
      </c>
      <c r="L1417" s="657">
        <v>44960</v>
      </c>
      <c r="M1417" s="665" t="s">
        <v>3893</v>
      </c>
      <c r="N1417" s="647" t="s">
        <v>4105</v>
      </c>
      <c r="O1417" s="575">
        <v>2023.1</v>
      </c>
      <c r="P1417" s="665" t="str">
        <f>VLOOKUP(A1417,'[1]Raw data'!$B:$BA,23,FALSE)</f>
        <v>RMB</v>
      </c>
      <c r="Q1417" s="647" t="str">
        <f>VLOOKUP(A1417,'[1]Raw data'!$B:$Z,2,FALSE)</f>
        <v>GD-20230250</v>
      </c>
      <c r="R1417" s="647" t="str">
        <f>VLOOKUP(A1417,'[1]Raw data'!$B:$Z,3,FALSE)</f>
        <v>泰永</v>
      </c>
      <c r="S1417" s="647" t="str">
        <f>VLOOKUP(A1417,'[1]Raw data'!$B:$Z,4,FALSE)</f>
        <v>YSM10</v>
      </c>
      <c r="T1417" s="647" t="str">
        <f>VLOOKUP(A1417,'[1]Raw data'!$B:$Z,8,FALSE)</f>
        <v>R-&gt;L</v>
      </c>
      <c r="U1417" s="647" t="str">
        <f>VLOOKUP(A1417,'[1]Raw data'!$B:$Z,9,FALSE)</f>
        <v>MVC</v>
      </c>
      <c r="V1417" s="567" t="str">
        <f t="shared" si="330"/>
        <v>OK</v>
      </c>
      <c r="W1417" s="563" t="str">
        <f>VLOOKUP(A1417,'[1]Raw data'!$B:$AG,32,FALSE)</f>
        <v>DDP ZH</v>
      </c>
      <c r="X1417" s="657">
        <f>VLOOKUP(A1417,'[1]Raw data'!$B:$BA,31,FALSE)</f>
        <v>45128</v>
      </c>
      <c r="Y1417" s="647" t="str">
        <f>VLOOKUP(A1417,'[1]Raw data'!$B:$AS,39,FALSE)</f>
        <v>Yes</v>
      </c>
      <c r="Z1417" s="659"/>
      <c r="AA1417" s="660"/>
      <c r="AB1417" s="661"/>
      <c r="AC1417" s="647" t="s">
        <v>4116</v>
      </c>
      <c r="AD1417" s="662">
        <v>301</v>
      </c>
      <c r="AE1417" s="662">
        <v>10</v>
      </c>
      <c r="AF1417" s="662"/>
      <c r="AG1417" s="662"/>
      <c r="AH1417" s="662"/>
      <c r="AI1417" s="663"/>
      <c r="AN1417" s="542"/>
      <c r="AO1417" s="824" t="str">
        <f t="shared" si="322"/>
        <v>Yes</v>
      </c>
      <c r="AP1417" s="259" t="str">
        <f t="shared" si="323"/>
        <v>SEP 23</v>
      </c>
      <c r="AQ1417" s="542" t="str">
        <f t="shared" si="324"/>
        <v>有定金+有預留客戶</v>
      </c>
      <c r="AR1417" s="259" t="str">
        <f t="shared" si="325"/>
        <v>Shipped_Stock</v>
      </c>
      <c r="AS1417" s="259" t="str">
        <f t="shared" si="326"/>
        <v/>
      </c>
      <c r="AT1417" s="259" t="str">
        <f t="shared" si="327"/>
        <v>泰永</v>
      </c>
      <c r="AU1417" s="259" t="str">
        <f t="shared" si="328"/>
        <v>GD-20230250</v>
      </c>
      <c r="AV1417" s="259" t="str">
        <f t="shared" si="329"/>
        <v>Feb-03</v>
      </c>
    </row>
    <row r="1418" spans="1:48" ht="22.5" hidden="1">
      <c r="A1418" s="559">
        <v>1952</v>
      </c>
      <c r="B1418" s="664" t="s">
        <v>1125</v>
      </c>
      <c r="C1418" s="664" t="s">
        <v>15</v>
      </c>
      <c r="D1418" s="645">
        <v>111133</v>
      </c>
      <c r="E1418" s="736" t="s">
        <v>2710</v>
      </c>
      <c r="F1418" s="647" t="s">
        <v>58</v>
      </c>
      <c r="G1418" s="647" t="s">
        <v>18</v>
      </c>
      <c r="H1418" s="647" t="s">
        <v>26</v>
      </c>
      <c r="I1418" s="575" t="s">
        <v>2711</v>
      </c>
      <c r="J1418" s="575">
        <v>1</v>
      </c>
      <c r="K1418" s="647" t="s">
        <v>1732</v>
      </c>
      <c r="L1418" s="657">
        <v>44960</v>
      </c>
      <c r="M1418" s="665" t="s">
        <v>3893</v>
      </c>
      <c r="N1418" s="647" t="s">
        <v>4105</v>
      </c>
      <c r="O1418" s="575">
        <v>2022.12</v>
      </c>
      <c r="P1418" s="665" t="str">
        <f>VLOOKUP(A1418,'[1]Raw data'!$B:$BA,23,FALSE)</f>
        <v>RMB</v>
      </c>
      <c r="Q1418" s="647" t="str">
        <f>VLOOKUP(A1418,'[1]Raw data'!$B:$Z,2,FALSE)</f>
        <v>C49SZX20230093SX</v>
      </c>
      <c r="R1418" s="647" t="str">
        <f>VLOOKUP(A1418,'[1]Raw data'!$B:$Z,3,FALSE)</f>
        <v>益田科技(End uer:泓裕）</v>
      </c>
      <c r="S1418" s="647" t="str">
        <f>VLOOKUP(A1418,'[1]Raw data'!$B:$Z,4,FALSE)</f>
        <v>YSM20R-2</v>
      </c>
      <c r="T1418" s="647" t="str">
        <f>VLOOKUP(A1418,'[1]Raw data'!$B:$Z,8,FALSE)</f>
        <v>R-&gt;L</v>
      </c>
      <c r="U1418" s="647" t="str">
        <f>VLOOKUP(A1418,'[1]Raw data'!$B:$Z,9,FALSE)</f>
        <v>No</v>
      </c>
      <c r="V1418" s="567" t="str">
        <f t="shared" si="330"/>
        <v>OK</v>
      </c>
      <c r="W1418" s="563" t="str">
        <f>VLOOKUP(A1418,'[1]Raw data'!$B:$AG,32,FALSE)</f>
        <v>DDP SZ</v>
      </c>
      <c r="X1418" s="657">
        <f>VLOOKUP(A1418,'[1]Raw data'!$B:$BA,31,FALSE)</f>
        <v>45127</v>
      </c>
      <c r="Y1418" s="647" t="str">
        <f>VLOOKUP(A1418,'[1]Raw data'!$B:$AS,39,FALSE)</f>
        <v>Yes</v>
      </c>
      <c r="Z1418" s="659"/>
      <c r="AA1418" s="660"/>
      <c r="AB1418" s="661"/>
      <c r="AC1418" s="647" t="s">
        <v>4164</v>
      </c>
      <c r="AD1418" s="662">
        <v>301</v>
      </c>
      <c r="AE1418" s="662">
        <v>10</v>
      </c>
      <c r="AF1418" s="662">
        <v>307</v>
      </c>
      <c r="AG1418" s="662">
        <v>5</v>
      </c>
      <c r="AH1418" s="662">
        <v>311</v>
      </c>
      <c r="AI1418" s="662">
        <v>5</v>
      </c>
      <c r="AN1418" s="542"/>
      <c r="AO1418" s="824" t="str">
        <f t="shared" si="322"/>
        <v>Yes</v>
      </c>
      <c r="AP1418" s="259" t="str">
        <f t="shared" si="323"/>
        <v>SEP 23</v>
      </c>
      <c r="AQ1418" s="542" t="str">
        <f t="shared" si="324"/>
        <v>有定金+有預留客戶</v>
      </c>
      <c r="AR1418" s="259" t="str">
        <f t="shared" si="325"/>
        <v>Shipped_Stock</v>
      </c>
      <c r="AS1418" s="259" t="str">
        <f t="shared" si="326"/>
        <v/>
      </c>
      <c r="AT1418" s="259" t="str">
        <f t="shared" si="327"/>
        <v>益田科技(End uer:泓裕）</v>
      </c>
      <c r="AU1418" s="259" t="str">
        <f t="shared" si="328"/>
        <v>C49SZX20230093SX</v>
      </c>
      <c r="AV1418" s="259" t="str">
        <f t="shared" si="329"/>
        <v>Feb-03</v>
      </c>
    </row>
    <row r="1419" spans="1:48" ht="22.5" hidden="1">
      <c r="A1419" s="599">
        <v>1921</v>
      </c>
      <c r="B1419" s="664" t="s">
        <v>1125</v>
      </c>
      <c r="C1419" s="664" t="s">
        <v>15</v>
      </c>
      <c r="D1419" s="645">
        <v>111133</v>
      </c>
      <c r="E1419" s="736" t="s">
        <v>2710</v>
      </c>
      <c r="F1419" s="647" t="s">
        <v>58</v>
      </c>
      <c r="G1419" s="647" t="s">
        <v>18</v>
      </c>
      <c r="H1419" s="647" t="s">
        <v>26</v>
      </c>
      <c r="I1419" s="575" t="s">
        <v>2712</v>
      </c>
      <c r="J1419" s="575">
        <v>1</v>
      </c>
      <c r="K1419" s="647" t="s">
        <v>1419</v>
      </c>
      <c r="L1419" s="657">
        <v>44960</v>
      </c>
      <c r="M1419" s="665" t="s">
        <v>3893</v>
      </c>
      <c r="N1419" s="647" t="s">
        <v>4004</v>
      </c>
      <c r="O1419" s="575">
        <v>2023.1</v>
      </c>
      <c r="P1419" s="665" t="str">
        <f>VLOOKUP(A1419,'[1]Raw data'!$B:$BA,23,FALSE)</f>
        <v>RMB</v>
      </c>
      <c r="Q1419" s="647" t="str">
        <f>VLOOKUP(A1419,'[1]Raw data'!$B:$Z,2,FALSE)</f>
        <v>HX20230601A</v>
      </c>
      <c r="R1419" s="647" t="str">
        <f>VLOOKUP(A1419,'[1]Raw data'!$B:$Z,3,FALSE)</f>
        <v>恒鑫（End user:开普）</v>
      </c>
      <c r="S1419" s="647" t="str">
        <f>VLOOKUP(A1419,'[1]Raw data'!$B:$Z,4,FALSE)</f>
        <v>YSM20R-2</v>
      </c>
      <c r="T1419" s="647" t="str">
        <f>VLOOKUP(A1419,'[1]Raw data'!$B:$Z,8,FALSE)</f>
        <v>R-&gt;L</v>
      </c>
      <c r="U1419" s="647" t="str">
        <f>VLOOKUP(A1419,'[1]Raw data'!$B:$Z,9,FALSE)</f>
        <v>No</v>
      </c>
      <c r="V1419" s="567" t="str">
        <f t="shared" si="321"/>
        <v>OK</v>
      </c>
      <c r="W1419" s="563" t="str">
        <f>VLOOKUP(A1419,'[1]Raw data'!$B:$AG,32,FALSE)</f>
        <v>DDP ZS</v>
      </c>
      <c r="X1419" s="657">
        <f>VLOOKUP(A1419,'[1]Raw data'!$B:$BA,31,FALSE)</f>
        <v>45079</v>
      </c>
      <c r="Y1419" s="647" t="str">
        <f>VLOOKUP(A1419,'[1]Raw data'!$B:$AS,39,FALSE)</f>
        <v>Yes</v>
      </c>
      <c r="Z1419" s="659"/>
      <c r="AA1419" s="660"/>
      <c r="AB1419" s="661"/>
      <c r="AC1419" s="647" t="s">
        <v>4040</v>
      </c>
      <c r="AD1419" s="575">
        <v>301</v>
      </c>
      <c r="AE1419" s="575">
        <v>10</v>
      </c>
      <c r="AF1419" s="575">
        <v>311</v>
      </c>
      <c r="AG1419" s="575">
        <v>10</v>
      </c>
      <c r="AH1419" s="575"/>
      <c r="AI1419" s="679"/>
      <c r="AJ1419" s="564"/>
      <c r="AK1419" s="564"/>
      <c r="AL1419" s="564"/>
      <c r="AM1419" s="564"/>
      <c r="AN1419" s="614"/>
      <c r="AO1419" s="824" t="str">
        <f t="shared" si="322"/>
        <v>Yes</v>
      </c>
      <c r="AP1419" s="259" t="str">
        <f t="shared" si="323"/>
        <v>AUG 23</v>
      </c>
      <c r="AQ1419" s="542" t="str">
        <f t="shared" si="324"/>
        <v>有定金+有預留客戶</v>
      </c>
      <c r="AR1419" s="259" t="str">
        <f t="shared" si="325"/>
        <v>Shipped_Stock</v>
      </c>
      <c r="AS1419" s="259" t="str">
        <f t="shared" si="326"/>
        <v/>
      </c>
      <c r="AT1419" s="259" t="str">
        <f t="shared" si="327"/>
        <v>恒鑫（End user:开普）</v>
      </c>
      <c r="AU1419" s="259" t="str">
        <f t="shared" si="328"/>
        <v>HX20230601A</v>
      </c>
      <c r="AV1419" s="259" t="str">
        <f t="shared" si="329"/>
        <v>Feb-03</v>
      </c>
    </row>
    <row r="1420" spans="1:48" ht="22.5" hidden="1">
      <c r="A1420" s="559">
        <v>1953</v>
      </c>
      <c r="B1420" s="664" t="s">
        <v>1125</v>
      </c>
      <c r="C1420" s="664" t="s">
        <v>15</v>
      </c>
      <c r="D1420" s="645">
        <v>111133</v>
      </c>
      <c r="E1420" s="736" t="s">
        <v>2710</v>
      </c>
      <c r="F1420" s="647" t="s">
        <v>58</v>
      </c>
      <c r="G1420" s="647" t="s">
        <v>18</v>
      </c>
      <c r="H1420" s="647" t="s">
        <v>307</v>
      </c>
      <c r="I1420" s="575" t="s">
        <v>2713</v>
      </c>
      <c r="J1420" s="575">
        <v>1</v>
      </c>
      <c r="K1420" s="647" t="s">
        <v>1732</v>
      </c>
      <c r="L1420" s="657">
        <v>44960</v>
      </c>
      <c r="M1420" s="665" t="s">
        <v>3893</v>
      </c>
      <c r="N1420" s="647" t="s">
        <v>4105</v>
      </c>
      <c r="O1420" s="575">
        <v>2023.1</v>
      </c>
      <c r="P1420" s="665" t="str">
        <f>VLOOKUP(A1420,'[1]Raw data'!$B:$BA,23,FALSE)</f>
        <v>RMB</v>
      </c>
      <c r="Q1420" s="647" t="str">
        <f>VLOOKUP(A1420,'[1]Raw data'!$B:$Z,2,FALSE)</f>
        <v>C49SZX20230093SX</v>
      </c>
      <c r="R1420" s="647" t="str">
        <f>VLOOKUP(A1420,'[1]Raw data'!$B:$Z,3,FALSE)</f>
        <v>益田科技(End uer:泓裕）</v>
      </c>
      <c r="S1420" s="647" t="str">
        <f>VLOOKUP(A1420,'[1]Raw data'!$B:$Z,4,FALSE)</f>
        <v>YSM20R-2</v>
      </c>
      <c r="T1420" s="647" t="str">
        <f>VLOOKUP(A1420,'[1]Raw data'!$B:$Z,8,FALSE)</f>
        <v>R-&gt;L</v>
      </c>
      <c r="U1420" s="647" t="str">
        <f>VLOOKUP(A1420,'[1]Raw data'!$B:$Z,9,FALSE)</f>
        <v>No</v>
      </c>
      <c r="V1420" s="567" t="str">
        <f t="shared" si="321"/>
        <v>OK</v>
      </c>
      <c r="W1420" s="563" t="str">
        <f>VLOOKUP(A1420,'[1]Raw data'!$B:$AG,32,FALSE)</f>
        <v>DDP SZ</v>
      </c>
      <c r="X1420" s="657">
        <f>VLOOKUP(A1420,'[1]Raw data'!$B:$BA,31,FALSE)</f>
        <v>45127</v>
      </c>
      <c r="Y1420" s="647" t="str">
        <f>VLOOKUP(A1420,'[1]Raw data'!$B:$AS,39,FALSE)</f>
        <v>Yes</v>
      </c>
      <c r="Z1420" s="659"/>
      <c r="AA1420" s="660"/>
      <c r="AB1420" s="661"/>
      <c r="AC1420" s="647" t="s">
        <v>4164</v>
      </c>
      <c r="AD1420" s="662">
        <v>301</v>
      </c>
      <c r="AE1420" s="662">
        <v>10</v>
      </c>
      <c r="AF1420" s="662">
        <v>311</v>
      </c>
      <c r="AG1420" s="662">
        <v>10</v>
      </c>
      <c r="AH1420" s="662"/>
      <c r="AI1420" s="663"/>
      <c r="AN1420" s="542"/>
      <c r="AO1420" s="824" t="str">
        <f t="shared" si="322"/>
        <v>Yes</v>
      </c>
      <c r="AP1420" s="259" t="str">
        <f t="shared" si="323"/>
        <v>SEP 23</v>
      </c>
      <c r="AQ1420" s="542" t="str">
        <f t="shared" si="324"/>
        <v>有定金+有預留客戶</v>
      </c>
      <c r="AR1420" s="259" t="str">
        <f t="shared" si="325"/>
        <v>Shipped_Stock</v>
      </c>
      <c r="AS1420" s="259" t="str">
        <f t="shared" si="326"/>
        <v/>
      </c>
      <c r="AT1420" s="259" t="str">
        <f t="shared" si="327"/>
        <v>益田科技(End uer:泓裕）</v>
      </c>
      <c r="AU1420" s="259" t="str">
        <f t="shared" si="328"/>
        <v>C49SZX20230093SX</v>
      </c>
      <c r="AV1420" s="259" t="str">
        <f t="shared" si="329"/>
        <v>Feb-03</v>
      </c>
    </row>
    <row r="1421" spans="1:48" ht="22.5" hidden="1">
      <c r="A1421" s="559">
        <v>1938</v>
      </c>
      <c r="B1421" s="664" t="s">
        <v>1125</v>
      </c>
      <c r="C1421" s="664" t="s">
        <v>15</v>
      </c>
      <c r="D1421" s="645">
        <v>111133</v>
      </c>
      <c r="E1421" s="736" t="s">
        <v>2710</v>
      </c>
      <c r="F1421" s="647" t="s">
        <v>58</v>
      </c>
      <c r="G1421" s="647" t="s">
        <v>18</v>
      </c>
      <c r="H1421" s="647" t="s">
        <v>26</v>
      </c>
      <c r="I1421" s="575" t="s">
        <v>2714</v>
      </c>
      <c r="J1421" s="575">
        <v>1</v>
      </c>
      <c r="K1421" s="647" t="s">
        <v>1419</v>
      </c>
      <c r="L1421" s="657">
        <v>44960</v>
      </c>
      <c r="M1421" s="665" t="s">
        <v>3893</v>
      </c>
      <c r="N1421" s="647" t="s">
        <v>4241</v>
      </c>
      <c r="O1421" s="575">
        <v>2023.1</v>
      </c>
      <c r="P1421" s="665" t="str">
        <f>VLOOKUP(A1421,'[1]Raw data'!$B:$BA,23,FALSE)</f>
        <v>RMB</v>
      </c>
      <c r="Q1421" s="647" t="str">
        <f>VLOOKUP(A1421,'[1]Raw data'!$B:$Z,2,FALSE)</f>
        <v>C49SZX20230091SX</v>
      </c>
      <c r="R1421" s="647" t="str">
        <f>VLOOKUP(A1421,'[1]Raw data'!$B:$Z,3,FALSE)</f>
        <v>万赢丰</v>
      </c>
      <c r="S1421" s="647" t="str">
        <f>VLOOKUP(A1421,'[1]Raw data'!$B:$Z,4,FALSE)</f>
        <v>YSM20R-2</v>
      </c>
      <c r="T1421" s="647" t="str">
        <f>VLOOKUP(A1421,'[1]Raw data'!$B:$Z,8,FALSE)</f>
        <v>R-&gt;L</v>
      </c>
      <c r="U1421" s="647" t="str">
        <f>VLOOKUP(A1421,'[1]Raw data'!$B:$Z,9,FALSE)</f>
        <v>No</v>
      </c>
      <c r="V1421" s="567" t="str">
        <f t="shared" si="321"/>
        <v>OK</v>
      </c>
      <c r="W1421" s="563" t="str">
        <f>VLOOKUP(A1421,'[1]Raw data'!$B:$AG,32,FALSE)</f>
        <v>DDP SZ</v>
      </c>
      <c r="X1421" s="657">
        <f>VLOOKUP(A1421,'[1]Raw data'!$B:$BA,31,FALSE)</f>
        <v>45125</v>
      </c>
      <c r="Y1421" s="647" t="str">
        <f>VLOOKUP(A1421,'[1]Raw data'!$B:$AS,39,FALSE)</f>
        <v>Yes</v>
      </c>
      <c r="Z1421" s="659"/>
      <c r="AA1421" s="660"/>
      <c r="AB1421" s="661"/>
      <c r="AC1421" s="796" t="s">
        <v>4266</v>
      </c>
      <c r="AD1421" s="662">
        <v>301</v>
      </c>
      <c r="AE1421" s="662">
        <v>10</v>
      </c>
      <c r="AF1421" s="662">
        <v>311</v>
      </c>
      <c r="AG1421" s="662">
        <v>10</v>
      </c>
      <c r="AH1421" s="662"/>
      <c r="AI1421" s="663"/>
      <c r="AN1421" s="542"/>
      <c r="AO1421" s="824" t="str">
        <f t="shared" si="322"/>
        <v>Yes</v>
      </c>
      <c r="AP1421" s="259" t="str">
        <f t="shared" si="323"/>
        <v>NOV 23</v>
      </c>
      <c r="AQ1421" s="542" t="str">
        <f t="shared" si="324"/>
        <v>有定金+有預留客戶</v>
      </c>
      <c r="AR1421" s="259" t="str">
        <f t="shared" si="325"/>
        <v>Shipped_Stock</v>
      </c>
      <c r="AS1421" s="259" t="str">
        <f t="shared" si="326"/>
        <v/>
      </c>
      <c r="AT1421" s="259" t="str">
        <f t="shared" si="327"/>
        <v>万赢丰</v>
      </c>
      <c r="AU1421" s="259" t="str">
        <f t="shared" si="328"/>
        <v>C49SZX20230091SX</v>
      </c>
      <c r="AV1421" s="259" t="str">
        <f t="shared" si="329"/>
        <v>Feb-03</v>
      </c>
    </row>
    <row r="1422" spans="1:48" ht="22.5" hidden="1">
      <c r="A1422" s="559">
        <v>1908</v>
      </c>
      <c r="B1422" s="664" t="s">
        <v>1125</v>
      </c>
      <c r="C1422" s="664" t="s">
        <v>15</v>
      </c>
      <c r="D1422" s="645">
        <v>111133</v>
      </c>
      <c r="E1422" s="736" t="s">
        <v>2710</v>
      </c>
      <c r="F1422" s="647" t="s">
        <v>58</v>
      </c>
      <c r="G1422" s="647" t="s">
        <v>24</v>
      </c>
      <c r="H1422" s="647" t="s">
        <v>26</v>
      </c>
      <c r="I1422" s="575" t="s">
        <v>2715</v>
      </c>
      <c r="J1422" s="575">
        <v>1</v>
      </c>
      <c r="K1422" s="647" t="s">
        <v>1732</v>
      </c>
      <c r="L1422" s="657">
        <v>44960</v>
      </c>
      <c r="M1422" s="665" t="s">
        <v>3893</v>
      </c>
      <c r="N1422" s="647" t="s">
        <v>3968</v>
      </c>
      <c r="O1422" s="575">
        <v>2023.1</v>
      </c>
      <c r="P1422" s="665" t="str">
        <f>VLOOKUP(A1422,'[1]Raw data'!$B:$BA,23,FALSE)</f>
        <v>JPY</v>
      </c>
      <c r="Q1422" s="647" t="str">
        <f>VLOOKUP(A1422,'[1]Raw data'!$B:$Z,2,FALSE)</f>
        <v>C49SZX20230055SX</v>
      </c>
      <c r="R1422" s="647" t="str">
        <f>VLOOKUP(A1422,'[1]Raw data'!$B:$Z,3,FALSE)</f>
        <v>鑫亿特</v>
      </c>
      <c r="S1422" s="647" t="str">
        <f>VLOOKUP(A1422,'[1]Raw data'!$B:$Z,4,FALSE)</f>
        <v>YSM20R-2</v>
      </c>
      <c r="T1422" s="647" t="str">
        <f>VLOOKUP(A1422,'[1]Raw data'!$B:$Z,8,FALSE)</f>
        <v>L-&gt;R</v>
      </c>
      <c r="U1422" s="647" t="str">
        <f>VLOOKUP(A1422,'[1]Raw data'!$B:$Z,9,FALSE)</f>
        <v>No</v>
      </c>
      <c r="V1422" s="567" t="str">
        <f t="shared" si="321"/>
        <v>OK</v>
      </c>
      <c r="W1422" s="563" t="str">
        <f>VLOOKUP(A1422,'[1]Raw data'!$B:$AG,32,FALSE)</f>
        <v>DAP SZ</v>
      </c>
      <c r="X1422" s="647">
        <f>VLOOKUP(A1422,'[1]Raw data'!$B:$BA,31,FALSE)</f>
        <v>45038</v>
      </c>
      <c r="Y1422" s="647" t="str">
        <f>VLOOKUP(A1422,'[1]Raw data'!$B:$AS,39,FALSE)</f>
        <v>Yes</v>
      </c>
      <c r="Z1422" s="659"/>
      <c r="AA1422" s="660"/>
      <c r="AB1422" s="661"/>
      <c r="AC1422" s="647" t="s">
        <v>3999</v>
      </c>
      <c r="AD1422" s="662">
        <v>311</v>
      </c>
      <c r="AE1422" s="662">
        <v>10</v>
      </c>
      <c r="AF1422" s="662">
        <v>311</v>
      </c>
      <c r="AG1422" s="662">
        <v>10</v>
      </c>
      <c r="AH1422" s="662"/>
      <c r="AI1422" s="663"/>
      <c r="AN1422" s="542"/>
      <c r="AO1422" s="824" t="str">
        <f t="shared" si="322"/>
        <v>Yes</v>
      </c>
      <c r="AP1422" s="259" t="str">
        <f t="shared" si="323"/>
        <v>JUN 23</v>
      </c>
      <c r="AQ1422" s="542" t="str">
        <f t="shared" si="324"/>
        <v>有定金+有預留客戶</v>
      </c>
      <c r="AR1422" s="259" t="str">
        <f t="shared" si="325"/>
        <v>Shipped_Stock</v>
      </c>
      <c r="AS1422" s="259" t="str">
        <f t="shared" si="326"/>
        <v/>
      </c>
      <c r="AT1422" s="259" t="str">
        <f t="shared" si="327"/>
        <v>鑫亿特</v>
      </c>
      <c r="AU1422" s="259" t="str">
        <f t="shared" si="328"/>
        <v>C49SZX20230055SX</v>
      </c>
      <c r="AV1422" s="259" t="str">
        <f t="shared" si="329"/>
        <v>Feb-03</v>
      </c>
    </row>
    <row r="1423" spans="1:48" ht="22.5" hidden="1">
      <c r="A1423" s="559">
        <v>1910</v>
      </c>
      <c r="B1423" s="664" t="s">
        <v>1125</v>
      </c>
      <c r="C1423" s="664" t="s">
        <v>15</v>
      </c>
      <c r="D1423" s="645">
        <v>111134</v>
      </c>
      <c r="E1423" s="736" t="s">
        <v>2716</v>
      </c>
      <c r="F1423" s="647" t="s">
        <v>58</v>
      </c>
      <c r="G1423" s="647" t="s">
        <v>24</v>
      </c>
      <c r="H1423" s="647" t="s">
        <v>26</v>
      </c>
      <c r="I1423" s="575" t="s">
        <v>2717</v>
      </c>
      <c r="J1423" s="575">
        <v>1</v>
      </c>
      <c r="K1423" s="647" t="s">
        <v>1732</v>
      </c>
      <c r="L1423" s="657">
        <v>44960</v>
      </c>
      <c r="M1423" s="665" t="s">
        <v>3895</v>
      </c>
      <c r="N1423" s="647" t="s">
        <v>2502</v>
      </c>
      <c r="O1423" s="575">
        <v>2022.12</v>
      </c>
      <c r="P1423" s="665" t="str">
        <f>VLOOKUP(A1423,'[1]Raw data'!$B:$BA,23,FALSE)</f>
        <v>RMB</v>
      </c>
      <c r="Q1423" s="647" t="str">
        <f>VLOOKUP(A1423,'[1]Raw data'!$B:$Z,2,FALSE)</f>
        <v>C49SZX20230053MZ</v>
      </c>
      <c r="R1423" s="647" t="str">
        <f>VLOOKUP(A1423,'[1]Raw data'!$B:$Z,3,FALSE)</f>
        <v>佳润</v>
      </c>
      <c r="S1423" s="647" t="str">
        <f>VLOOKUP(A1423,'[1]Raw data'!$B:$Z,4,FALSE)</f>
        <v>YSM20R-2</v>
      </c>
      <c r="T1423" s="647" t="str">
        <f>VLOOKUP(A1423,'[1]Raw data'!$B:$Z,8,FALSE)</f>
        <v>L-&gt;R</v>
      </c>
      <c r="U1423" s="647" t="str">
        <f>VLOOKUP(A1423,'[1]Raw data'!$B:$Z,9,FALSE)</f>
        <v>No</v>
      </c>
      <c r="V1423" s="567" t="str">
        <f t="shared" si="321"/>
        <v>OK</v>
      </c>
      <c r="W1423" s="563" t="str">
        <f>VLOOKUP(A1423,'[1]Raw data'!$B:$AG,32,FALSE)</f>
        <v>DDP HZ</v>
      </c>
      <c r="X1423" s="647">
        <f>VLOOKUP(A1423,'[1]Raw data'!$B:$BA,31,FALSE)</f>
        <v>45037</v>
      </c>
      <c r="Y1423" s="647" t="str">
        <f>VLOOKUP(A1423,'[1]Raw data'!$B:$AS,39,FALSE)</f>
        <v>Yes</v>
      </c>
      <c r="Z1423" s="659"/>
      <c r="AA1423" s="660"/>
      <c r="AB1423" s="661"/>
      <c r="AC1423" s="647" t="s">
        <v>3947</v>
      </c>
      <c r="AD1423" s="662">
        <v>301</v>
      </c>
      <c r="AE1423" s="662">
        <v>15</v>
      </c>
      <c r="AF1423" s="662">
        <v>311</v>
      </c>
      <c r="AG1423" s="662">
        <v>5</v>
      </c>
      <c r="AH1423" s="662"/>
      <c r="AI1423" s="663"/>
      <c r="AN1423" s="542"/>
      <c r="AO1423" s="824" t="str">
        <f t="shared" si="322"/>
        <v>Yes</v>
      </c>
      <c r="AP1423" s="259" t="str">
        <f t="shared" si="323"/>
        <v>MAY 23</v>
      </c>
      <c r="AQ1423" s="542" t="str">
        <f t="shared" si="324"/>
        <v>有定金+有預留客戶</v>
      </c>
      <c r="AR1423" s="259" t="str">
        <f t="shared" si="325"/>
        <v>Shipped_Stock</v>
      </c>
      <c r="AS1423" s="259" t="str">
        <f t="shared" si="326"/>
        <v/>
      </c>
      <c r="AT1423" s="259" t="str">
        <f t="shared" si="327"/>
        <v>佳润</v>
      </c>
      <c r="AU1423" s="259" t="str">
        <f t="shared" si="328"/>
        <v>C49SZX20230053MZ</v>
      </c>
      <c r="AV1423" s="259" t="str">
        <f t="shared" si="329"/>
        <v>Feb-03</v>
      </c>
    </row>
    <row r="1424" spans="1:48" ht="22.5" hidden="1">
      <c r="A1424" s="559">
        <v>1480</v>
      </c>
      <c r="B1424" s="664" t="s">
        <v>1125</v>
      </c>
      <c r="C1424" s="664" t="s">
        <v>15</v>
      </c>
      <c r="D1424" s="645">
        <v>111134</v>
      </c>
      <c r="E1424" s="736" t="s">
        <v>2716</v>
      </c>
      <c r="F1424" s="647" t="s">
        <v>58</v>
      </c>
      <c r="G1424" s="647" t="s">
        <v>24</v>
      </c>
      <c r="H1424" s="647" t="s">
        <v>26</v>
      </c>
      <c r="I1424" s="575" t="s">
        <v>3956</v>
      </c>
      <c r="J1424" s="575">
        <v>1</v>
      </c>
      <c r="K1424" s="647" t="s">
        <v>1732</v>
      </c>
      <c r="L1424" s="657">
        <v>44960</v>
      </c>
      <c r="M1424" s="665" t="s">
        <v>3894</v>
      </c>
      <c r="N1424" s="647" t="s">
        <v>2502</v>
      </c>
      <c r="O1424" s="575">
        <v>2022.12</v>
      </c>
      <c r="P1424" s="665" t="str">
        <f>VLOOKUP(A1424,'[1]Raw data'!$B:$BA,23,FALSE)</f>
        <v>JPY</v>
      </c>
      <c r="Q1424" s="647" t="str">
        <f>VLOOKUP(A1424,'[1]Raw data'!$B:$Z,2,FALSE)</f>
        <v>C49SZX20220082MX</v>
      </c>
      <c r="R1424" s="647" t="str">
        <f>VLOOKUP(A1424,'[1]Raw data'!$B:$Z,3,FALSE)</f>
        <v>宇翔</v>
      </c>
      <c r="S1424" s="647" t="str">
        <f>VLOOKUP(A1424,'[1]Raw data'!$B:$Z,4,FALSE)</f>
        <v>YSM20R-2</v>
      </c>
      <c r="T1424" s="647" t="str">
        <f>VLOOKUP(A1424,'[1]Raw data'!$B:$Z,8,FALSE)</f>
        <v>L-&gt;R</v>
      </c>
      <c r="U1424" s="647" t="str">
        <f>VLOOKUP(A1424,'[1]Raw data'!$B:$Z,9,FALSE)</f>
        <v>No</v>
      </c>
      <c r="V1424" s="567" t="str">
        <f t="shared" si="321"/>
        <v>OK</v>
      </c>
      <c r="W1424" s="563" t="str">
        <f>VLOOKUP(A1424,'[1]Raw data'!$B:$AG,32,FALSE)</f>
        <v>DAP DG</v>
      </c>
      <c r="X1424" s="657">
        <f>VLOOKUP(A1424,'[1]Raw data'!$B:$BA,31,FALSE)</f>
        <v>44466</v>
      </c>
      <c r="Y1424" s="647" t="str">
        <f>VLOOKUP(A1424,'[1]Raw data'!$B:$AS,39,FALSE)</f>
        <v>Yes</v>
      </c>
      <c r="Z1424" s="659"/>
      <c r="AA1424" s="660"/>
      <c r="AB1424" s="661"/>
      <c r="AC1424" s="647" t="s">
        <v>3957</v>
      </c>
      <c r="AD1424" s="662">
        <v>301</v>
      </c>
      <c r="AE1424" s="662">
        <v>15</v>
      </c>
      <c r="AF1424" s="662">
        <v>311</v>
      </c>
      <c r="AG1424" s="662">
        <v>5</v>
      </c>
      <c r="AH1424" s="662"/>
      <c r="AI1424" s="663"/>
      <c r="AN1424" s="542"/>
      <c r="AO1424" s="824" t="str">
        <f t="shared" si="322"/>
        <v>Yes</v>
      </c>
      <c r="AP1424" s="259" t="str">
        <f t="shared" si="323"/>
        <v>MAY 23</v>
      </c>
      <c r="AQ1424" s="542" t="str">
        <f t="shared" si="324"/>
        <v>有定金+有預留客戶</v>
      </c>
      <c r="AR1424" s="259" t="str">
        <f t="shared" si="325"/>
        <v>Shipped_Stock</v>
      </c>
      <c r="AS1424" s="259" t="str">
        <f t="shared" si="326"/>
        <v/>
      </c>
      <c r="AT1424" s="259" t="str">
        <f t="shared" si="327"/>
        <v>宇翔</v>
      </c>
      <c r="AU1424" s="259" t="str">
        <f t="shared" si="328"/>
        <v>C49SZX20220082MX</v>
      </c>
      <c r="AV1424" s="259" t="str">
        <f t="shared" si="329"/>
        <v>Feb-03</v>
      </c>
    </row>
    <row r="1425" spans="1:48" ht="22.5" hidden="1">
      <c r="A1425" s="559">
        <v>1897</v>
      </c>
      <c r="B1425" s="664" t="s">
        <v>1125</v>
      </c>
      <c r="C1425" s="664" t="s">
        <v>15</v>
      </c>
      <c r="D1425" s="645">
        <v>111134</v>
      </c>
      <c r="E1425" s="736" t="s">
        <v>2716</v>
      </c>
      <c r="F1425" s="647" t="s">
        <v>58</v>
      </c>
      <c r="G1425" s="647" t="s">
        <v>24</v>
      </c>
      <c r="H1425" s="647" t="s">
        <v>26</v>
      </c>
      <c r="I1425" s="575" t="s">
        <v>2718</v>
      </c>
      <c r="J1425" s="575">
        <v>1</v>
      </c>
      <c r="K1425" s="647" t="s">
        <v>2407</v>
      </c>
      <c r="L1425" s="657">
        <v>44960</v>
      </c>
      <c r="M1425" s="665" t="s">
        <v>3893</v>
      </c>
      <c r="N1425" s="647" t="s">
        <v>226</v>
      </c>
      <c r="O1425" s="575">
        <v>2022.12</v>
      </c>
      <c r="P1425" s="665" t="str">
        <f>VLOOKUP(A1425,'[1]Raw data'!$B:$BA,23,FALSE)</f>
        <v>RMB</v>
      </c>
      <c r="Q1425" s="647" t="str">
        <f>VLOOKUP(A1425,'[1]Raw data'!$B:$Z,2,FALSE)</f>
        <v>YJY-2023040701</v>
      </c>
      <c r="R1425" s="647" t="str">
        <f>VLOOKUP(A1425,'[1]Raw data'!$B:$Z,3,FALSE)</f>
        <v>清水湾（End use:呈承）</v>
      </c>
      <c r="S1425" s="647" t="str">
        <f>VLOOKUP(A1425,'[1]Raw data'!$B:$Z,4,FALSE)</f>
        <v>YSM20R-2</v>
      </c>
      <c r="T1425" s="647" t="str">
        <f>VLOOKUP(A1425,'[1]Raw data'!$B:$Z,8,FALSE)</f>
        <v>L-&gt;R</v>
      </c>
      <c r="U1425" s="647" t="str">
        <f>VLOOKUP(A1425,'[1]Raw data'!$B:$Z,9,FALSE)</f>
        <v>No</v>
      </c>
      <c r="V1425" s="567" t="str">
        <f t="shared" si="321"/>
        <v>OK</v>
      </c>
      <c r="W1425" s="563" t="str">
        <f>VLOOKUP(A1425,'[1]Raw data'!$B:$AG,32,FALSE)</f>
        <v>DDP ZS</v>
      </c>
      <c r="X1425" s="657">
        <f>VLOOKUP(A1425,'[1]Raw data'!$B:$BA,31,FALSE)</f>
        <v>45019</v>
      </c>
      <c r="Y1425" s="647" t="str">
        <f>VLOOKUP(A1425,'[1]Raw data'!$B:$AS,39,FALSE)</f>
        <v>Yes</v>
      </c>
      <c r="Z1425" s="659"/>
      <c r="AA1425" s="660"/>
      <c r="AB1425" s="661"/>
      <c r="AC1425" s="647" t="s">
        <v>3900</v>
      </c>
      <c r="AD1425" s="662">
        <v>301</v>
      </c>
      <c r="AE1425" s="662">
        <v>15</v>
      </c>
      <c r="AF1425" s="662">
        <v>311</v>
      </c>
      <c r="AG1425" s="662">
        <v>5</v>
      </c>
      <c r="AH1425" s="662"/>
      <c r="AI1425" s="663"/>
      <c r="AN1425" s="542"/>
      <c r="AO1425" s="824" t="str">
        <f t="shared" si="322"/>
        <v>Yes</v>
      </c>
      <c r="AP1425" s="259" t="str">
        <f t="shared" si="323"/>
        <v>APR 23</v>
      </c>
      <c r="AQ1425" s="542" t="str">
        <f t="shared" si="324"/>
        <v>有定金+有預留客戶</v>
      </c>
      <c r="AR1425" s="259" t="str">
        <f t="shared" si="325"/>
        <v>Shipped_Stock</v>
      </c>
      <c r="AS1425" s="259" t="str">
        <f t="shared" si="326"/>
        <v/>
      </c>
      <c r="AT1425" s="259" t="str">
        <f t="shared" si="327"/>
        <v>清水湾（End use:呈承）</v>
      </c>
      <c r="AU1425" s="259" t="str">
        <f t="shared" si="328"/>
        <v>YJY-2023040701</v>
      </c>
      <c r="AV1425" s="259" t="str">
        <f t="shared" si="329"/>
        <v>Feb-03</v>
      </c>
    </row>
    <row r="1426" spans="1:48" ht="22.5" hidden="1">
      <c r="A1426" s="559">
        <v>1916</v>
      </c>
      <c r="B1426" s="664" t="s">
        <v>1125</v>
      </c>
      <c r="C1426" s="664" t="s">
        <v>15</v>
      </c>
      <c r="D1426" s="645">
        <v>111134</v>
      </c>
      <c r="E1426" s="736" t="s">
        <v>2716</v>
      </c>
      <c r="F1426" s="647" t="s">
        <v>58</v>
      </c>
      <c r="G1426" s="647" t="s">
        <v>24</v>
      </c>
      <c r="H1426" s="647" t="s">
        <v>26</v>
      </c>
      <c r="I1426" s="575" t="s">
        <v>2719</v>
      </c>
      <c r="J1426" s="575">
        <v>1</v>
      </c>
      <c r="K1426" s="647" t="s">
        <v>1732</v>
      </c>
      <c r="L1426" s="657">
        <v>44960</v>
      </c>
      <c r="M1426" s="665" t="s">
        <v>3893</v>
      </c>
      <c r="N1426" s="647" t="s">
        <v>2502</v>
      </c>
      <c r="O1426" s="575">
        <v>2022.12</v>
      </c>
      <c r="P1426" s="665" t="str">
        <f>VLOOKUP(A1426,'[1]Raw data'!$B:$BA,23,FALSE)</f>
        <v>HKD</v>
      </c>
      <c r="Q1426" s="647" t="str">
        <f>VLOOKUP(A1426,'[1]Raw data'!$B:$Z,2,FALSE)</f>
        <v>C49SZX20230063TS</v>
      </c>
      <c r="R1426" s="647" t="str">
        <f>VLOOKUP(A1426,'[1]Raw data'!$B:$Z,3,FALSE)</f>
        <v>TBS</v>
      </c>
      <c r="S1426" s="647" t="str">
        <f>VLOOKUP(A1426,'[1]Raw data'!$B:$Z,4,FALSE)</f>
        <v>YSM20R-2</v>
      </c>
      <c r="T1426" s="647" t="str">
        <f>VLOOKUP(A1426,'[1]Raw data'!$B:$Z,8,FALSE)</f>
        <v>L-&gt;R</v>
      </c>
      <c r="U1426" s="647" t="str">
        <f>VLOOKUP(A1426,'[1]Raw data'!$B:$Z,9,FALSE)</f>
        <v>No</v>
      </c>
      <c r="V1426" s="567" t="str">
        <f t="shared" si="321"/>
        <v>OK</v>
      </c>
      <c r="W1426" s="563" t="str">
        <f>VLOOKUP(A1426,'[1]Raw data'!$B:$AG,32,FALSE)</f>
        <v>CIF HK</v>
      </c>
      <c r="X1426" s="647">
        <f>VLOOKUP(A1426,'[1]Raw data'!$B:$BA,31,FALSE)</f>
        <v>45048</v>
      </c>
      <c r="Y1426" s="647" t="str">
        <f>VLOOKUP(A1426,'[1]Raw data'!$B:$AS,39,FALSE)</f>
        <v>Yes</v>
      </c>
      <c r="Z1426" s="659"/>
      <c r="AA1426" s="660"/>
      <c r="AB1426" s="661"/>
      <c r="AC1426" s="647" t="s">
        <v>3967</v>
      </c>
      <c r="AD1426" s="662">
        <v>311</v>
      </c>
      <c r="AE1426" s="662">
        <v>15</v>
      </c>
      <c r="AF1426" s="662">
        <v>301</v>
      </c>
      <c r="AG1426" s="662">
        <v>5</v>
      </c>
      <c r="AH1426" s="662"/>
      <c r="AI1426" s="663"/>
      <c r="AN1426" s="542"/>
      <c r="AO1426" s="824" t="str">
        <f t="shared" si="322"/>
        <v>Yes</v>
      </c>
      <c r="AP1426" s="259" t="str">
        <f t="shared" si="323"/>
        <v>MAY 23</v>
      </c>
      <c r="AQ1426" s="542" t="str">
        <f t="shared" si="324"/>
        <v>有定金+有預留客戶</v>
      </c>
      <c r="AR1426" s="259" t="str">
        <f t="shared" si="325"/>
        <v>Shipped_Stock</v>
      </c>
      <c r="AS1426" s="259" t="str">
        <f t="shared" si="326"/>
        <v/>
      </c>
      <c r="AT1426" s="259" t="str">
        <f t="shared" si="327"/>
        <v>TBS</v>
      </c>
      <c r="AU1426" s="259" t="str">
        <f t="shared" si="328"/>
        <v>C49SZX20230063TS</v>
      </c>
      <c r="AV1426" s="259" t="str">
        <f t="shared" si="329"/>
        <v>Feb-03</v>
      </c>
    </row>
    <row r="1427" spans="1:48" ht="22.5" hidden="1">
      <c r="A1427" s="559">
        <v>1893</v>
      </c>
      <c r="B1427" s="664" t="s">
        <v>1125</v>
      </c>
      <c r="C1427" s="664" t="s">
        <v>15</v>
      </c>
      <c r="D1427" s="645">
        <v>111134</v>
      </c>
      <c r="E1427" s="736" t="s">
        <v>2716</v>
      </c>
      <c r="F1427" s="647" t="s">
        <v>58</v>
      </c>
      <c r="G1427" s="647" t="s">
        <v>24</v>
      </c>
      <c r="H1427" s="647" t="s">
        <v>26</v>
      </c>
      <c r="I1427" s="575" t="s">
        <v>2720</v>
      </c>
      <c r="J1427" s="575">
        <v>1</v>
      </c>
      <c r="K1427" s="647" t="s">
        <v>1732</v>
      </c>
      <c r="L1427" s="657">
        <v>44960</v>
      </c>
      <c r="M1427" s="665" t="s">
        <v>3893</v>
      </c>
      <c r="N1427" s="647" t="s">
        <v>226</v>
      </c>
      <c r="O1427" s="575">
        <v>2022.12</v>
      </c>
      <c r="P1427" s="665" t="str">
        <f>VLOOKUP(A1427,'[1]Raw data'!$B:$BA,23,FALSE)</f>
        <v>RMB</v>
      </c>
      <c r="Q1427" s="647" t="str">
        <f>VLOOKUP(A1427,'[1]Raw data'!$B:$Z,2,FALSE)</f>
        <v>C49SZX20230046DM</v>
      </c>
      <c r="R1427" s="647" t="str">
        <f>VLOOKUP(A1427,'[1]Raw data'!$B:$Z,3,FALSE)</f>
        <v>菲帆</v>
      </c>
      <c r="S1427" s="647" t="str">
        <f>VLOOKUP(A1427,'[1]Raw data'!$B:$Z,4,FALSE)</f>
        <v>YSM20R-2</v>
      </c>
      <c r="T1427" s="647" t="str">
        <f>VLOOKUP(A1427,'[1]Raw data'!$B:$Z,8,FALSE)</f>
        <v>L-&gt;R</v>
      </c>
      <c r="U1427" s="647" t="str">
        <f>VLOOKUP(A1427,'[1]Raw data'!$B:$Z,9,FALSE)</f>
        <v>No</v>
      </c>
      <c r="V1427" s="567" t="str">
        <f t="shared" si="321"/>
        <v>OK</v>
      </c>
      <c r="W1427" s="563" t="str">
        <f>VLOOKUP(A1427,'[1]Raw data'!$B:$AG,32,FALSE)</f>
        <v>DDP HZ</v>
      </c>
      <c r="X1427" s="647">
        <f>VLOOKUP(A1427,'[1]Raw data'!$B:$BA,31,FALSE)</f>
        <v>45002</v>
      </c>
      <c r="Y1427" s="647" t="str">
        <f>VLOOKUP(A1427,'[1]Raw data'!$B:$AS,39,FALSE)</f>
        <v>Yes</v>
      </c>
      <c r="Z1427" s="659"/>
      <c r="AA1427" s="660"/>
      <c r="AB1427" s="661"/>
      <c r="AC1427" s="647" t="s">
        <v>3901</v>
      </c>
      <c r="AD1427" s="662">
        <v>311</v>
      </c>
      <c r="AE1427" s="662">
        <v>15</v>
      </c>
      <c r="AF1427" s="662">
        <v>301</v>
      </c>
      <c r="AG1427" s="662">
        <v>5</v>
      </c>
      <c r="AH1427" s="662"/>
      <c r="AI1427" s="663"/>
      <c r="AN1427" s="542"/>
      <c r="AO1427" s="824" t="str">
        <f t="shared" si="322"/>
        <v>Yes</v>
      </c>
      <c r="AP1427" s="259" t="str">
        <f t="shared" si="323"/>
        <v>APR 23</v>
      </c>
      <c r="AQ1427" s="542" t="str">
        <f t="shared" si="324"/>
        <v>有定金+有預留客戶</v>
      </c>
      <c r="AR1427" s="259" t="str">
        <f t="shared" si="325"/>
        <v>Shipped_Stock</v>
      </c>
      <c r="AS1427" s="259" t="str">
        <f t="shared" si="326"/>
        <v/>
      </c>
      <c r="AT1427" s="259" t="str">
        <f t="shared" si="327"/>
        <v>菲帆</v>
      </c>
      <c r="AU1427" s="259" t="str">
        <f t="shared" si="328"/>
        <v>C49SZX20230046DM</v>
      </c>
      <c r="AV1427" s="259" t="str">
        <f t="shared" si="329"/>
        <v>Feb-03</v>
      </c>
    </row>
    <row r="1428" spans="1:48" hidden="1">
      <c r="A1428" s="599">
        <v>1787</v>
      </c>
      <c r="B1428" s="664" t="s">
        <v>1125</v>
      </c>
      <c r="C1428" s="664" t="s">
        <v>15</v>
      </c>
      <c r="D1428" s="645">
        <v>111202</v>
      </c>
      <c r="E1428" s="744" t="s">
        <v>2721</v>
      </c>
      <c r="F1428" s="647" t="s">
        <v>154</v>
      </c>
      <c r="G1428" s="647" t="s">
        <v>18</v>
      </c>
      <c r="H1428" s="647" t="s">
        <v>26</v>
      </c>
      <c r="I1428" s="575" t="s">
        <v>2722</v>
      </c>
      <c r="J1428" s="575">
        <v>1</v>
      </c>
      <c r="K1428" s="647" t="s">
        <v>2671</v>
      </c>
      <c r="L1428" s="657">
        <v>45009</v>
      </c>
      <c r="M1428" s="665"/>
      <c r="N1428" s="647" t="s">
        <v>216</v>
      </c>
      <c r="O1428" s="575">
        <v>2023.3</v>
      </c>
      <c r="P1428" s="665" t="str">
        <f>VLOOKUP(A1428,'[1]Raw data'!$B:$BA,23,FALSE)</f>
        <v>JPY</v>
      </c>
      <c r="Q1428" s="647" t="str">
        <f>VLOOKUP(A1428,'[1]Raw data'!$B:$Z,2,FALSE)</f>
        <v>C49SZX20220128EC</v>
      </c>
      <c r="R1428" s="647" t="str">
        <f>VLOOKUP(A1428,'[1]Raw data'!$B:$Z,3,FALSE)</f>
        <v>海红天远</v>
      </c>
      <c r="S1428" s="647" t="str">
        <f>VLOOKUP(A1428,'[1]Raw data'!$B:$Z,4,FALSE)</f>
        <v>YSM20WR-2</v>
      </c>
      <c r="T1428" s="647" t="str">
        <f>VLOOKUP(A1428,'[1]Raw data'!$B:$Z,8,FALSE)</f>
        <v>R-&gt;L</v>
      </c>
      <c r="U1428" s="647" t="str">
        <f>VLOOKUP(A1428,'[1]Raw data'!$B:$Z,9,FALSE)</f>
        <v>No</v>
      </c>
      <c r="V1428" s="567" t="str">
        <f t="shared" ref="V1428:V1431" si="331">IF(G1428&amp;H1428=T1428&amp;U1428,"OK","WRONG")</f>
        <v>OK</v>
      </c>
      <c r="W1428" s="563" t="str">
        <f>VLOOKUP(A1428,'[1]Raw data'!$B:$AG,32,FALSE)</f>
        <v>CIF HK</v>
      </c>
      <c r="X1428" s="647">
        <f>VLOOKUP(A1428,'[1]Raw data'!$B:$BA,31,FALSE)</f>
        <v>44914</v>
      </c>
      <c r="Y1428" s="647" t="str">
        <f>VLOOKUP(A1428,'[1]Raw data'!$B:$AS,39,FALSE)</f>
        <v>Yes</v>
      </c>
      <c r="Z1428" s="659"/>
      <c r="AA1428" s="660"/>
      <c r="AB1428" s="661"/>
      <c r="AC1428" s="647" t="s">
        <v>1951</v>
      </c>
      <c r="AD1428" s="575">
        <v>303</v>
      </c>
      <c r="AE1428" s="575">
        <v>20</v>
      </c>
      <c r="AF1428" s="575">
        <v>302</v>
      </c>
      <c r="AG1428" s="575">
        <v>8</v>
      </c>
      <c r="AH1428" s="575"/>
      <c r="AI1428" s="679"/>
      <c r="AJ1428" s="564"/>
      <c r="AK1428" s="564"/>
      <c r="AL1428" s="564"/>
      <c r="AM1428" s="564"/>
      <c r="AN1428" s="614"/>
      <c r="AO1428" s="824" t="str">
        <f t="shared" si="322"/>
        <v>Yes</v>
      </c>
      <c r="AP1428" s="259" t="str">
        <f t="shared" si="323"/>
        <v>MAR 23</v>
      </c>
      <c r="AQ1428" s="542" t="str">
        <f t="shared" si="324"/>
        <v>有定金+有預留客戶</v>
      </c>
      <c r="AR1428" s="259" t="str">
        <f t="shared" si="325"/>
        <v>Shipped_Stock</v>
      </c>
      <c r="AS1428" s="259" t="str">
        <f t="shared" si="326"/>
        <v/>
      </c>
      <c r="AT1428" s="259" t="str">
        <f t="shared" si="327"/>
        <v>海红天远</v>
      </c>
      <c r="AU1428" s="259" t="str">
        <f t="shared" si="328"/>
        <v>C49SZX20220128EC</v>
      </c>
      <c r="AV1428" s="259" t="str">
        <f t="shared" si="329"/>
        <v>Mar-24</v>
      </c>
    </row>
    <row r="1429" spans="1:48" hidden="1">
      <c r="A1429" s="599">
        <v>1788</v>
      </c>
      <c r="B1429" s="664" t="s">
        <v>1125</v>
      </c>
      <c r="C1429" s="664" t="s">
        <v>15</v>
      </c>
      <c r="D1429" s="645">
        <v>111202</v>
      </c>
      <c r="E1429" s="744" t="s">
        <v>2721</v>
      </c>
      <c r="F1429" s="647" t="s">
        <v>154</v>
      </c>
      <c r="G1429" s="647" t="s">
        <v>18</v>
      </c>
      <c r="H1429" s="647" t="s">
        <v>27</v>
      </c>
      <c r="I1429" s="575" t="s">
        <v>2723</v>
      </c>
      <c r="J1429" s="575">
        <v>1</v>
      </c>
      <c r="K1429" s="647" t="s">
        <v>2671</v>
      </c>
      <c r="L1429" s="657">
        <v>45009</v>
      </c>
      <c r="M1429" s="665"/>
      <c r="N1429" s="647" t="s">
        <v>216</v>
      </c>
      <c r="O1429" s="575">
        <v>2023.3</v>
      </c>
      <c r="P1429" s="665" t="str">
        <f>VLOOKUP(A1429,'[1]Raw data'!$B:$BA,23,FALSE)</f>
        <v>JPY</v>
      </c>
      <c r="Q1429" s="647" t="str">
        <f>VLOOKUP(A1429,'[1]Raw data'!$B:$Z,2,FALSE)</f>
        <v>C49SZX20220128EC</v>
      </c>
      <c r="R1429" s="647" t="str">
        <f>VLOOKUP(A1429,'[1]Raw data'!$B:$Z,3,FALSE)</f>
        <v>海红天远</v>
      </c>
      <c r="S1429" s="647" t="str">
        <f>VLOOKUP(A1429,'[1]Raw data'!$B:$Z,4,FALSE)</f>
        <v>YSM20WR-2</v>
      </c>
      <c r="T1429" s="647" t="str">
        <f>VLOOKUP(A1429,'[1]Raw data'!$B:$Z,8,FALSE)</f>
        <v>R-&gt;L</v>
      </c>
      <c r="U1429" s="647" t="str">
        <f>VLOOKUP(A1429,'[1]Raw data'!$B:$Z,9,FALSE)</f>
        <v>No</v>
      </c>
      <c r="V1429" s="567" t="str">
        <f t="shared" si="331"/>
        <v>WRONG</v>
      </c>
      <c r="W1429" s="563" t="str">
        <f>VLOOKUP(A1429,'[1]Raw data'!$B:$AG,32,FALSE)</f>
        <v>CIF HK</v>
      </c>
      <c r="X1429" s="647">
        <f>VLOOKUP(A1429,'[1]Raw data'!$B:$BA,31,FALSE)</f>
        <v>44914</v>
      </c>
      <c r="Y1429" s="647" t="str">
        <f>VLOOKUP(A1429,'[1]Raw data'!$B:$AS,39,FALSE)</f>
        <v>Yes</v>
      </c>
      <c r="Z1429" s="659"/>
      <c r="AA1429" s="660"/>
      <c r="AB1429" s="661"/>
      <c r="AC1429" s="647" t="s">
        <v>1951</v>
      </c>
      <c r="AD1429" s="575">
        <v>303</v>
      </c>
      <c r="AE1429" s="575">
        <v>10</v>
      </c>
      <c r="AF1429" s="575">
        <v>301</v>
      </c>
      <c r="AG1429" s="575">
        <v>6</v>
      </c>
      <c r="AH1429" s="575">
        <v>302</v>
      </c>
      <c r="AI1429" s="679">
        <v>12</v>
      </c>
      <c r="AJ1429" s="564"/>
      <c r="AK1429" s="564"/>
      <c r="AL1429" s="564"/>
      <c r="AM1429" s="564"/>
      <c r="AN1429" s="614"/>
      <c r="AO1429" s="824" t="str">
        <f t="shared" si="322"/>
        <v>Yes</v>
      </c>
      <c r="AP1429" s="259" t="str">
        <f t="shared" si="323"/>
        <v>MAR 23</v>
      </c>
      <c r="AQ1429" s="542" t="str">
        <f t="shared" si="324"/>
        <v>有定金+有預留客戶</v>
      </c>
      <c r="AR1429" s="259" t="str">
        <f t="shared" si="325"/>
        <v>Shipped_Stock</v>
      </c>
      <c r="AS1429" s="259" t="str">
        <f t="shared" si="326"/>
        <v/>
      </c>
      <c r="AT1429" s="259" t="str">
        <f t="shared" si="327"/>
        <v>海红天远</v>
      </c>
      <c r="AU1429" s="259" t="str">
        <f t="shared" si="328"/>
        <v>C49SZX20220128EC</v>
      </c>
      <c r="AV1429" s="259" t="str">
        <f t="shared" si="329"/>
        <v>Mar-24</v>
      </c>
    </row>
    <row r="1430" spans="1:48" hidden="1">
      <c r="A1430" s="599">
        <v>1789</v>
      </c>
      <c r="B1430" s="664" t="s">
        <v>1125</v>
      </c>
      <c r="C1430" s="664" t="s">
        <v>15</v>
      </c>
      <c r="D1430" s="645">
        <v>111202</v>
      </c>
      <c r="E1430" s="744" t="s">
        <v>2721</v>
      </c>
      <c r="F1430" s="647" t="s">
        <v>154</v>
      </c>
      <c r="G1430" s="647" t="s">
        <v>18</v>
      </c>
      <c r="H1430" s="647" t="s">
        <v>2410</v>
      </c>
      <c r="I1430" s="575" t="s">
        <v>2724</v>
      </c>
      <c r="J1430" s="575">
        <v>1</v>
      </c>
      <c r="K1430" s="647" t="s">
        <v>2671</v>
      </c>
      <c r="L1430" s="657">
        <v>45009</v>
      </c>
      <c r="M1430" s="665"/>
      <c r="N1430" s="647" t="s">
        <v>216</v>
      </c>
      <c r="O1430" s="575">
        <v>2023.3</v>
      </c>
      <c r="P1430" s="665" t="str">
        <f>VLOOKUP(A1430,'[1]Raw data'!$B:$BA,23,FALSE)</f>
        <v>JPY</v>
      </c>
      <c r="Q1430" s="647" t="str">
        <f>VLOOKUP(A1430,'[1]Raw data'!$B:$Z,2,FALSE)</f>
        <v>C49SZX20220128EC</v>
      </c>
      <c r="R1430" s="647" t="str">
        <f>VLOOKUP(A1430,'[1]Raw data'!$B:$Z,3,FALSE)</f>
        <v>海红天远</v>
      </c>
      <c r="S1430" s="647" t="str">
        <f>VLOOKUP(A1430,'[1]Raw data'!$B:$Z,4,FALSE)</f>
        <v>YSM20WR-2</v>
      </c>
      <c r="T1430" s="647" t="str">
        <f>VLOOKUP(A1430,'[1]Raw data'!$B:$Z,8,FALSE)</f>
        <v>R-&gt;L</v>
      </c>
      <c r="U1430" s="647" t="str">
        <f>VLOOKUP(A1430,'[1]Raw data'!$B:$Z,9,FALSE)</f>
        <v>cATS10+MVC(F&amp;R)+Feeder Carriage</v>
      </c>
      <c r="V1430" s="567" t="str">
        <f t="shared" si="331"/>
        <v>WRONG</v>
      </c>
      <c r="W1430" s="563" t="str">
        <f>VLOOKUP(A1430,'[1]Raw data'!$B:$AG,32,FALSE)</f>
        <v>CIF HK</v>
      </c>
      <c r="X1430" s="647">
        <f>VLOOKUP(A1430,'[1]Raw data'!$B:$BA,31,FALSE)</f>
        <v>44914</v>
      </c>
      <c r="Y1430" s="647" t="str">
        <f>VLOOKUP(A1430,'[1]Raw data'!$B:$AS,39,FALSE)</f>
        <v>Yes</v>
      </c>
      <c r="Z1430" s="659"/>
      <c r="AA1430" s="660"/>
      <c r="AB1430" s="661"/>
      <c r="AC1430" s="647" t="s">
        <v>1951</v>
      </c>
      <c r="AD1430" s="575">
        <v>301</v>
      </c>
      <c r="AE1430" s="575">
        <v>20</v>
      </c>
      <c r="AF1430" s="575">
        <v>302</v>
      </c>
      <c r="AG1430" s="575">
        <v>8</v>
      </c>
      <c r="AH1430" s="575"/>
      <c r="AI1430" s="679"/>
      <c r="AJ1430" s="564"/>
      <c r="AK1430" s="564"/>
      <c r="AL1430" s="564"/>
      <c r="AM1430" s="564"/>
      <c r="AN1430" s="614"/>
      <c r="AO1430" s="824" t="str">
        <f t="shared" si="322"/>
        <v>Yes</v>
      </c>
      <c r="AP1430" s="259" t="str">
        <f t="shared" si="323"/>
        <v>MAR 23</v>
      </c>
      <c r="AQ1430" s="542" t="str">
        <f t="shared" si="324"/>
        <v>有定金+有預留客戶</v>
      </c>
      <c r="AR1430" s="259" t="str">
        <f t="shared" si="325"/>
        <v>Shipped_Stock</v>
      </c>
      <c r="AS1430" s="259" t="str">
        <f t="shared" si="326"/>
        <v/>
      </c>
      <c r="AT1430" s="259" t="str">
        <f t="shared" si="327"/>
        <v>海红天远</v>
      </c>
      <c r="AU1430" s="259" t="str">
        <f t="shared" si="328"/>
        <v>C49SZX20220128EC</v>
      </c>
      <c r="AV1430" s="259" t="str">
        <f t="shared" si="329"/>
        <v>Mar-24</v>
      </c>
    </row>
    <row r="1431" spans="1:48" hidden="1">
      <c r="A1431" s="559">
        <v>1818</v>
      </c>
      <c r="B1431" s="664" t="s">
        <v>1125</v>
      </c>
      <c r="C1431" s="664" t="s">
        <v>281</v>
      </c>
      <c r="D1431" s="645">
        <v>111222</v>
      </c>
      <c r="E1431" s="744" t="s">
        <v>2725</v>
      </c>
      <c r="F1431" s="647" t="s">
        <v>58</v>
      </c>
      <c r="G1431" s="647" t="s">
        <v>24</v>
      </c>
      <c r="H1431" s="647" t="s">
        <v>2410</v>
      </c>
      <c r="I1431" s="575" t="s">
        <v>3883</v>
      </c>
      <c r="J1431" s="575">
        <v>1</v>
      </c>
      <c r="K1431" s="647"/>
      <c r="L1431" s="657">
        <v>45023</v>
      </c>
      <c r="M1431" s="665">
        <v>5.16E-2</v>
      </c>
      <c r="N1431" s="647" t="s">
        <v>4243</v>
      </c>
      <c r="O1431" s="575">
        <v>2023.3</v>
      </c>
      <c r="P1431" s="665" t="str">
        <f>VLOOKUP(A1431,'[1]Raw data'!$B:$BA,23,FALSE)</f>
        <v>RMB</v>
      </c>
      <c r="Q1431" s="647" t="str">
        <f>VLOOKUP(A1431,'[1]Raw data'!$B:$Z,2,FALSE)</f>
        <v>C49SZX20230007SX</v>
      </c>
      <c r="R1431" s="647" t="str">
        <f>VLOOKUP(A1431,'[1]Raw data'!$B:$Z,3,FALSE)</f>
        <v>雷特</v>
      </c>
      <c r="S1431" s="647" t="str">
        <f>VLOOKUP(A1431,'[1]Raw data'!$B:$Z,4,FALSE)</f>
        <v>YSM20R-2</v>
      </c>
      <c r="T1431" s="647" t="str">
        <f>VLOOKUP(A1431,'[1]Raw data'!$B:$Z,8,FALSE)</f>
        <v>L-&gt;R</v>
      </c>
      <c r="U1431" s="647" t="str">
        <f>VLOOKUP(A1431,'[1]Raw data'!$B:$Z,9,FALSE)</f>
        <v>cATS10+MVC+Feeder Carriage</v>
      </c>
      <c r="V1431" s="567" t="str">
        <f t="shared" si="331"/>
        <v>OK</v>
      </c>
      <c r="W1431" s="563" t="str">
        <f>VLOOKUP(A1431,'[1]Raw data'!$B:$AG,32,FALSE)</f>
        <v>DDP ZH</v>
      </c>
      <c r="X1431" s="647">
        <f>VLOOKUP(A1431,'[1]Raw data'!$B:$BA,31,FALSE)</f>
        <v>44942</v>
      </c>
      <c r="Y1431" s="647" t="str">
        <f>VLOOKUP(A1431,'[1]Raw data'!$B:$AS,39,FALSE)</f>
        <v>Yes</v>
      </c>
      <c r="Z1431" s="659"/>
      <c r="AA1431" s="660"/>
      <c r="AB1431" s="661"/>
      <c r="AC1431" s="647" t="s">
        <v>1951</v>
      </c>
      <c r="AD1431" s="662">
        <v>301</v>
      </c>
      <c r="AE1431" s="662">
        <v>20</v>
      </c>
      <c r="AF1431" s="662"/>
      <c r="AG1431" s="662"/>
      <c r="AH1431" s="662"/>
      <c r="AI1431" s="663"/>
      <c r="AN1431" s="542"/>
      <c r="AO1431" s="824" t="str">
        <f t="shared" si="322"/>
        <v>Yes</v>
      </c>
      <c r="AP1431" s="259" t="str">
        <f t="shared" si="323"/>
        <v>TBA.</v>
      </c>
      <c r="AQ1431" s="542" t="str">
        <f t="shared" si="324"/>
        <v>有定金+有預留客戶</v>
      </c>
      <c r="AR1431" s="259" t="str">
        <f t="shared" si="325"/>
        <v>Shipped_Stock</v>
      </c>
      <c r="AS1431" s="259" t="str">
        <f t="shared" si="326"/>
        <v/>
      </c>
      <c r="AT1431" s="259" t="str">
        <f t="shared" si="327"/>
        <v>雷特</v>
      </c>
      <c r="AU1431" s="259" t="str">
        <f t="shared" si="328"/>
        <v>C49SZX20230007SX</v>
      </c>
      <c r="AV1431" s="259" t="str">
        <f t="shared" si="329"/>
        <v>Apr-07</v>
      </c>
    </row>
    <row r="1432" spans="1:48" hidden="1">
      <c r="A1432" s="559">
        <v>1856</v>
      </c>
      <c r="B1432" s="664" t="s">
        <v>1125</v>
      </c>
      <c r="C1432" s="664" t="s">
        <v>281</v>
      </c>
      <c r="D1432" s="645">
        <v>111252</v>
      </c>
      <c r="E1432" s="744" t="s">
        <v>1564</v>
      </c>
      <c r="F1432" s="647" t="s">
        <v>149</v>
      </c>
      <c r="G1432" s="647" t="s">
        <v>24</v>
      </c>
      <c r="H1432" s="647" t="s">
        <v>26</v>
      </c>
      <c r="I1432" s="575" t="s">
        <v>3884</v>
      </c>
      <c r="J1432" s="575">
        <v>1</v>
      </c>
      <c r="K1432" s="647"/>
      <c r="L1432" s="657">
        <v>45033</v>
      </c>
      <c r="M1432" s="665">
        <v>5.0900000000000001E-2</v>
      </c>
      <c r="N1432" s="647" t="s">
        <v>226</v>
      </c>
      <c r="O1432" s="575">
        <v>2023.3</v>
      </c>
      <c r="P1432" s="665" t="str">
        <f>VLOOKUP(A1432,'[1]Raw data'!$B:$BA,23,FALSE)</f>
        <v>RMB</v>
      </c>
      <c r="Q1432" s="647" t="str">
        <f>VLOOKUP(A1432,'[1]Raw data'!$B:$Z,2,FALSE)</f>
        <v>C49SZX20230029SS</v>
      </c>
      <c r="R1432" s="647" t="str">
        <f>VLOOKUP(A1432,'[1]Raw data'!$B:$Z,3,FALSE)</f>
        <v>龙大光电</v>
      </c>
      <c r="S1432" s="647" t="str">
        <f>VLOOKUP(A1432,'[1]Raw data'!$B:$Z,4,FALSE)</f>
        <v>YSM40R-4</v>
      </c>
      <c r="T1432" s="647" t="str">
        <f>VLOOKUP(A1432,'[1]Raw data'!$B:$Z,8,FALSE)</f>
        <v>R-&gt;L</v>
      </c>
      <c r="U1432" s="647" t="str">
        <f>VLOOKUP(A1432,'[1]Raw data'!$B:$Z,9,FALSE)</f>
        <v>No</v>
      </c>
      <c r="V1432" s="567" t="str">
        <f t="shared" ref="V1432:V1440" si="332">IF(G1432&amp;H1432=T1432&amp;U1432,"OK","WRONG")</f>
        <v>WRONG</v>
      </c>
      <c r="W1432" s="563" t="str">
        <f>VLOOKUP(A1432,'[1]Raw data'!$B:$AG,32,FALSE)</f>
        <v>DDP SZ</v>
      </c>
      <c r="X1432" s="647">
        <f>VLOOKUP(A1432,'[1]Raw data'!$B:$BA,31,FALSE)</f>
        <v>44985</v>
      </c>
      <c r="Y1432" s="647" t="str">
        <f>VLOOKUP(A1432,'[1]Raw data'!$B:$AS,39,FALSE)</f>
        <v>Yes</v>
      </c>
      <c r="Z1432" s="659"/>
      <c r="AA1432" s="660"/>
      <c r="AB1432" s="661"/>
      <c r="AC1432" s="647" t="s">
        <v>1951</v>
      </c>
      <c r="AD1432" s="662" t="s">
        <v>1566</v>
      </c>
      <c r="AE1432" s="662">
        <v>72</v>
      </c>
      <c r="AF1432" s="662"/>
      <c r="AG1432" s="662"/>
      <c r="AH1432" s="662"/>
      <c r="AI1432" s="663"/>
      <c r="AN1432" s="542"/>
      <c r="AO1432" s="824" t="str">
        <f t="shared" si="322"/>
        <v>Yes</v>
      </c>
      <c r="AP1432" s="259" t="str">
        <f t="shared" si="323"/>
        <v>APR 23</v>
      </c>
      <c r="AQ1432" s="542" t="str">
        <f t="shared" si="324"/>
        <v>有定金+有預留客戶</v>
      </c>
      <c r="AR1432" s="259" t="str">
        <f t="shared" si="325"/>
        <v>Shipped_Stock</v>
      </c>
      <c r="AS1432" s="259" t="str">
        <f t="shared" si="326"/>
        <v/>
      </c>
      <c r="AT1432" s="259" t="str">
        <f t="shared" si="327"/>
        <v>龙大光电</v>
      </c>
      <c r="AU1432" s="259" t="str">
        <f t="shared" si="328"/>
        <v>C49SZX20230029SS</v>
      </c>
      <c r="AV1432" s="259" t="str">
        <f t="shared" si="329"/>
        <v>Apr-17</v>
      </c>
    </row>
    <row r="1433" spans="1:48" hidden="1">
      <c r="A1433" s="559">
        <v>1857</v>
      </c>
      <c r="B1433" s="664" t="s">
        <v>1125</v>
      </c>
      <c r="C1433" s="664" t="s">
        <v>281</v>
      </c>
      <c r="D1433" s="645">
        <v>111252</v>
      </c>
      <c r="E1433" s="744" t="s">
        <v>1564</v>
      </c>
      <c r="F1433" s="647" t="s">
        <v>149</v>
      </c>
      <c r="G1433" s="647" t="s">
        <v>24</v>
      </c>
      <c r="H1433" s="647" t="s">
        <v>26</v>
      </c>
      <c r="I1433" s="575" t="s">
        <v>3885</v>
      </c>
      <c r="J1433" s="575">
        <v>1</v>
      </c>
      <c r="K1433" s="647"/>
      <c r="L1433" s="657">
        <v>45033</v>
      </c>
      <c r="M1433" s="665">
        <v>5.0900000000000001E-2</v>
      </c>
      <c r="N1433" s="647" t="s">
        <v>226</v>
      </c>
      <c r="O1433" s="575">
        <v>2023.3</v>
      </c>
      <c r="P1433" s="665" t="str">
        <f>VLOOKUP(A1433,'[1]Raw data'!$B:$BA,23,FALSE)</f>
        <v>RMB</v>
      </c>
      <c r="Q1433" s="647" t="str">
        <f>VLOOKUP(A1433,'[1]Raw data'!$B:$Z,2,FALSE)</f>
        <v>C49SZX20230029SS</v>
      </c>
      <c r="R1433" s="647" t="str">
        <f>VLOOKUP(A1433,'[1]Raw data'!$B:$Z,3,FALSE)</f>
        <v>龙大光电</v>
      </c>
      <c r="S1433" s="647" t="str">
        <f>VLOOKUP(A1433,'[1]Raw data'!$B:$Z,4,FALSE)</f>
        <v>YSM40R-4</v>
      </c>
      <c r="T1433" s="647" t="str">
        <f>VLOOKUP(A1433,'[1]Raw data'!$B:$Z,8,FALSE)</f>
        <v>R-&gt;L</v>
      </c>
      <c r="U1433" s="647" t="str">
        <f>VLOOKUP(A1433,'[1]Raw data'!$B:$Z,9,FALSE)</f>
        <v>No</v>
      </c>
      <c r="V1433" s="567" t="str">
        <f t="shared" si="332"/>
        <v>WRONG</v>
      </c>
      <c r="W1433" s="563" t="str">
        <f>VLOOKUP(A1433,'[1]Raw data'!$B:$AG,32,FALSE)</f>
        <v>DDP SZ</v>
      </c>
      <c r="X1433" s="647">
        <f>VLOOKUP(A1433,'[1]Raw data'!$B:$BA,31,FALSE)</f>
        <v>44985</v>
      </c>
      <c r="Y1433" s="647" t="str">
        <f>VLOOKUP(A1433,'[1]Raw data'!$B:$AS,39,FALSE)</f>
        <v>Yes</v>
      </c>
      <c r="Z1433" s="659"/>
      <c r="AA1433" s="660"/>
      <c r="AB1433" s="661"/>
      <c r="AC1433" s="647" t="s">
        <v>1951</v>
      </c>
      <c r="AD1433" s="662" t="s">
        <v>1566</v>
      </c>
      <c r="AE1433" s="662">
        <v>72</v>
      </c>
      <c r="AF1433" s="662"/>
      <c r="AG1433" s="662"/>
      <c r="AH1433" s="662"/>
      <c r="AI1433" s="663"/>
      <c r="AN1433" s="542"/>
      <c r="AO1433" s="824" t="str">
        <f t="shared" si="322"/>
        <v>Yes</v>
      </c>
      <c r="AP1433" s="259" t="str">
        <f t="shared" si="323"/>
        <v>APR 23</v>
      </c>
      <c r="AQ1433" s="542" t="str">
        <f t="shared" si="324"/>
        <v>有定金+有預留客戶</v>
      </c>
      <c r="AR1433" s="259" t="str">
        <f t="shared" si="325"/>
        <v>Shipped_Stock</v>
      </c>
      <c r="AS1433" s="259" t="str">
        <f t="shared" si="326"/>
        <v/>
      </c>
      <c r="AT1433" s="259" t="str">
        <f t="shared" si="327"/>
        <v>龙大光电</v>
      </c>
      <c r="AU1433" s="259" t="str">
        <f t="shared" si="328"/>
        <v>C49SZX20230029SS</v>
      </c>
      <c r="AV1433" s="259" t="str">
        <f t="shared" si="329"/>
        <v>Apr-17</v>
      </c>
    </row>
    <row r="1434" spans="1:48" hidden="1">
      <c r="A1434" s="559">
        <v>1858</v>
      </c>
      <c r="B1434" s="664" t="s">
        <v>1125</v>
      </c>
      <c r="C1434" s="664" t="s">
        <v>281</v>
      </c>
      <c r="D1434" s="645">
        <v>111252</v>
      </c>
      <c r="E1434" s="744" t="s">
        <v>1564</v>
      </c>
      <c r="F1434" s="647" t="s">
        <v>149</v>
      </c>
      <c r="G1434" s="647" t="s">
        <v>24</v>
      </c>
      <c r="H1434" s="647" t="s">
        <v>26</v>
      </c>
      <c r="I1434" s="575" t="s">
        <v>3886</v>
      </c>
      <c r="J1434" s="575">
        <v>1</v>
      </c>
      <c r="K1434" s="647"/>
      <c r="L1434" s="657">
        <v>45033</v>
      </c>
      <c r="M1434" s="665">
        <v>5.0900000000000001E-2</v>
      </c>
      <c r="N1434" s="647" t="s">
        <v>226</v>
      </c>
      <c r="O1434" s="575">
        <v>2023.3</v>
      </c>
      <c r="P1434" s="665" t="str">
        <f>VLOOKUP(A1434,'[1]Raw data'!$B:$BA,23,FALSE)</f>
        <v>RMB</v>
      </c>
      <c r="Q1434" s="647" t="str">
        <f>VLOOKUP(A1434,'[1]Raw data'!$B:$Z,2,FALSE)</f>
        <v>C49SZX20230029SS</v>
      </c>
      <c r="R1434" s="647" t="str">
        <f>VLOOKUP(A1434,'[1]Raw data'!$B:$Z,3,FALSE)</f>
        <v>龙大光电</v>
      </c>
      <c r="S1434" s="647" t="str">
        <f>VLOOKUP(A1434,'[1]Raw data'!$B:$Z,4,FALSE)</f>
        <v>YSM40R-4</v>
      </c>
      <c r="T1434" s="647" t="str">
        <f>VLOOKUP(A1434,'[1]Raw data'!$B:$Z,8,FALSE)</f>
        <v>L-&gt;R</v>
      </c>
      <c r="U1434" s="647" t="str">
        <f>VLOOKUP(A1434,'[1]Raw data'!$B:$Z,9,FALSE)</f>
        <v>No</v>
      </c>
      <c r="V1434" s="567" t="str">
        <f t="shared" si="332"/>
        <v>OK</v>
      </c>
      <c r="W1434" s="563" t="str">
        <f>VLOOKUP(A1434,'[1]Raw data'!$B:$AG,32,FALSE)</f>
        <v>DDP SZ</v>
      </c>
      <c r="X1434" s="647">
        <f>VLOOKUP(A1434,'[1]Raw data'!$B:$BA,31,FALSE)</f>
        <v>44985</v>
      </c>
      <c r="Y1434" s="647" t="str">
        <f>VLOOKUP(A1434,'[1]Raw data'!$B:$AS,39,FALSE)</f>
        <v>Yes</v>
      </c>
      <c r="Z1434" s="659"/>
      <c r="AA1434" s="660"/>
      <c r="AB1434" s="661"/>
      <c r="AC1434" s="647" t="s">
        <v>1951</v>
      </c>
      <c r="AD1434" s="662" t="s">
        <v>1566</v>
      </c>
      <c r="AE1434" s="662">
        <v>72</v>
      </c>
      <c r="AF1434" s="662"/>
      <c r="AG1434" s="662"/>
      <c r="AH1434" s="662"/>
      <c r="AI1434" s="663"/>
      <c r="AN1434" s="542"/>
      <c r="AO1434" s="824" t="str">
        <f t="shared" si="322"/>
        <v>Yes</v>
      </c>
      <c r="AP1434" s="259" t="str">
        <f t="shared" si="323"/>
        <v>APR 23</v>
      </c>
      <c r="AQ1434" s="542" t="str">
        <f t="shared" si="324"/>
        <v>有定金+有預留客戶</v>
      </c>
      <c r="AR1434" s="259" t="str">
        <f t="shared" si="325"/>
        <v>Shipped_Stock</v>
      </c>
      <c r="AS1434" s="259" t="str">
        <f t="shared" si="326"/>
        <v/>
      </c>
      <c r="AT1434" s="259" t="str">
        <f t="shared" si="327"/>
        <v>龙大光电</v>
      </c>
      <c r="AU1434" s="259" t="str">
        <f t="shared" si="328"/>
        <v>C49SZX20230029SS</v>
      </c>
      <c r="AV1434" s="259" t="str">
        <f t="shared" si="329"/>
        <v>Apr-17</v>
      </c>
    </row>
    <row r="1435" spans="1:48" hidden="1">
      <c r="A1435" s="559">
        <v>1859</v>
      </c>
      <c r="B1435" s="664" t="s">
        <v>1125</v>
      </c>
      <c r="C1435" s="664" t="s">
        <v>281</v>
      </c>
      <c r="D1435" s="645">
        <v>111252</v>
      </c>
      <c r="E1435" s="744" t="s">
        <v>1564</v>
      </c>
      <c r="F1435" s="647" t="s">
        <v>149</v>
      </c>
      <c r="G1435" s="647" t="s">
        <v>24</v>
      </c>
      <c r="H1435" s="647" t="s">
        <v>26</v>
      </c>
      <c r="I1435" s="575" t="s">
        <v>3887</v>
      </c>
      <c r="J1435" s="575">
        <v>1</v>
      </c>
      <c r="K1435" s="647"/>
      <c r="L1435" s="657">
        <v>45033</v>
      </c>
      <c r="M1435" s="665">
        <v>5.0900000000000001E-2</v>
      </c>
      <c r="N1435" s="647" t="s">
        <v>226</v>
      </c>
      <c r="O1435" s="575">
        <v>2023.3</v>
      </c>
      <c r="P1435" s="665" t="str">
        <f>VLOOKUP(A1435,'[1]Raw data'!$B:$BA,23,FALSE)</f>
        <v>RMB</v>
      </c>
      <c r="Q1435" s="647" t="str">
        <f>VLOOKUP(A1435,'[1]Raw data'!$B:$Z,2,FALSE)</f>
        <v>C49SZX20230029SS</v>
      </c>
      <c r="R1435" s="647" t="str">
        <f>VLOOKUP(A1435,'[1]Raw data'!$B:$Z,3,FALSE)</f>
        <v>龙大光电</v>
      </c>
      <c r="S1435" s="647" t="str">
        <f>VLOOKUP(A1435,'[1]Raw data'!$B:$Z,4,FALSE)</f>
        <v>YSM40R-4</v>
      </c>
      <c r="T1435" s="647" t="str">
        <f>VLOOKUP(A1435,'[1]Raw data'!$B:$Z,8,FALSE)</f>
        <v>L-&gt;R</v>
      </c>
      <c r="U1435" s="647" t="str">
        <f>VLOOKUP(A1435,'[1]Raw data'!$B:$Z,9,FALSE)</f>
        <v>No</v>
      </c>
      <c r="V1435" s="567" t="str">
        <f t="shared" si="332"/>
        <v>OK</v>
      </c>
      <c r="W1435" s="563" t="str">
        <f>VLOOKUP(A1435,'[1]Raw data'!$B:$AG,32,FALSE)</f>
        <v>DDP SZ</v>
      </c>
      <c r="X1435" s="647">
        <f>VLOOKUP(A1435,'[1]Raw data'!$B:$BA,31,FALSE)</f>
        <v>44985</v>
      </c>
      <c r="Y1435" s="647" t="str">
        <f>VLOOKUP(A1435,'[1]Raw data'!$B:$AS,39,FALSE)</f>
        <v>Yes</v>
      </c>
      <c r="Z1435" s="659"/>
      <c r="AA1435" s="660"/>
      <c r="AB1435" s="661"/>
      <c r="AC1435" s="647" t="s">
        <v>1951</v>
      </c>
      <c r="AD1435" s="662" t="s">
        <v>1566</v>
      </c>
      <c r="AE1435" s="662">
        <v>72</v>
      </c>
      <c r="AF1435" s="662"/>
      <c r="AG1435" s="662"/>
      <c r="AH1435" s="662"/>
      <c r="AI1435" s="663"/>
      <c r="AN1435" s="542"/>
      <c r="AO1435" s="824" t="str">
        <f t="shared" si="322"/>
        <v>Yes</v>
      </c>
      <c r="AP1435" s="259" t="str">
        <f t="shared" si="323"/>
        <v>APR 23</v>
      </c>
      <c r="AQ1435" s="542" t="str">
        <f t="shared" si="324"/>
        <v>有定金+有預留客戶</v>
      </c>
      <c r="AR1435" s="259" t="str">
        <f t="shared" si="325"/>
        <v>Shipped_Stock</v>
      </c>
      <c r="AS1435" s="259" t="str">
        <f t="shared" si="326"/>
        <v/>
      </c>
      <c r="AT1435" s="259" t="str">
        <f t="shared" si="327"/>
        <v>龙大光电</v>
      </c>
      <c r="AU1435" s="259" t="str">
        <f t="shared" si="328"/>
        <v>C49SZX20230029SS</v>
      </c>
      <c r="AV1435" s="259" t="str">
        <f t="shared" si="329"/>
        <v>Apr-17</v>
      </c>
    </row>
    <row r="1436" spans="1:48" ht="22.5" hidden="1">
      <c r="A1436" s="559">
        <v>2058</v>
      </c>
      <c r="B1436" s="664" t="s">
        <v>1125</v>
      </c>
      <c r="C1436" s="664" t="s">
        <v>281</v>
      </c>
      <c r="D1436" s="645">
        <v>111254</v>
      </c>
      <c r="E1436" s="744" t="s">
        <v>236</v>
      </c>
      <c r="F1436" s="647" t="s">
        <v>17</v>
      </c>
      <c r="G1436" s="647" t="s">
        <v>18</v>
      </c>
      <c r="H1436" s="647" t="s">
        <v>26</v>
      </c>
      <c r="I1436" s="575" t="s">
        <v>3919</v>
      </c>
      <c r="J1436" s="575">
        <v>1</v>
      </c>
      <c r="K1436" s="647" t="s">
        <v>4049</v>
      </c>
      <c r="L1436" s="657">
        <v>45054</v>
      </c>
      <c r="M1436" s="665" t="s">
        <v>4352</v>
      </c>
      <c r="N1436" s="647" t="s">
        <v>4258</v>
      </c>
      <c r="O1436" s="575">
        <v>2023.4</v>
      </c>
      <c r="P1436" s="665" t="str">
        <f>VLOOKUP(A1436,'[1]Raw data'!$B:$BA,23,FALSE)</f>
        <v>JPY</v>
      </c>
      <c r="Q1436" s="647" t="str">
        <f>VLOOKUP(A1436,'[1]Raw data'!$B:$Z,2,FALSE)</f>
        <v>C49SZX20230143SX</v>
      </c>
      <c r="R1436" s="647" t="str">
        <f>VLOOKUP(A1436,'[1]Raw data'!$B:$Z,3,FALSE)</f>
        <v>柏星</v>
      </c>
      <c r="S1436" s="647" t="str">
        <f>VLOOKUP(A1436,'[1]Raw data'!$B:$Z,4,FALSE)</f>
        <v>YSM10</v>
      </c>
      <c r="T1436" s="647" t="str">
        <f>VLOOKUP(A1436,'[1]Raw data'!$B:$Z,8,FALSE)</f>
        <v>L-&gt;R</v>
      </c>
      <c r="U1436" s="647" t="str">
        <f>VLOOKUP(A1436,'[1]Raw data'!$B:$Z,9,FALSE)</f>
        <v>MVC</v>
      </c>
      <c r="V1436" s="567" t="str">
        <f t="shared" si="332"/>
        <v>WRONG</v>
      </c>
      <c r="W1436" s="563" t="str">
        <f>VLOOKUP(A1436,'[1]Raw data'!$B:$AG,32,FALSE)</f>
        <v>DAP DG</v>
      </c>
      <c r="X1436" s="657">
        <f>VLOOKUP(A1436,'[1]Raw data'!$B:$BA,31,FALSE)</f>
        <v>45282</v>
      </c>
      <c r="Y1436" s="647" t="str">
        <f>VLOOKUP(A1436,'[1]Raw data'!$B:$AS,39,FALSE)</f>
        <v>Yes</v>
      </c>
      <c r="Z1436" s="659"/>
      <c r="AA1436" s="660"/>
      <c r="AB1436" s="661"/>
      <c r="AC1436" s="647" t="s">
        <v>410</v>
      </c>
      <c r="AD1436" s="662">
        <v>301</v>
      </c>
      <c r="AE1436" s="662">
        <v>10</v>
      </c>
      <c r="AF1436" s="662"/>
      <c r="AG1436" s="662"/>
      <c r="AH1436" s="662"/>
      <c r="AI1436" s="663"/>
      <c r="AN1436" s="542"/>
      <c r="AO1436" s="824" t="str">
        <f t="shared" si="322"/>
        <v>Yes</v>
      </c>
      <c r="AP1436" s="259" t="str">
        <f t="shared" si="323"/>
        <v>JAN 24</v>
      </c>
      <c r="AQ1436" s="542" t="str">
        <f t="shared" si="324"/>
        <v>有定金+有預留客戶</v>
      </c>
      <c r="AR1436" s="259" t="str">
        <f t="shared" si="325"/>
        <v>Shipped_Stock</v>
      </c>
      <c r="AS1436" s="259" t="str">
        <f t="shared" si="326"/>
        <v/>
      </c>
      <c r="AT1436" s="259" t="str">
        <f t="shared" si="327"/>
        <v>柏星</v>
      </c>
      <c r="AU1436" s="259" t="str">
        <f t="shared" si="328"/>
        <v>C49SZX20230143SX</v>
      </c>
      <c r="AV1436" s="259" t="str">
        <f t="shared" si="329"/>
        <v>May-08</v>
      </c>
    </row>
    <row r="1437" spans="1:48" hidden="1">
      <c r="A1437" s="559">
        <v>2025</v>
      </c>
      <c r="B1437" s="664" t="s">
        <v>1125</v>
      </c>
      <c r="C1437" s="664" t="s">
        <v>281</v>
      </c>
      <c r="D1437" s="645">
        <v>111254</v>
      </c>
      <c r="E1437" s="744" t="s">
        <v>236</v>
      </c>
      <c r="F1437" s="647" t="s">
        <v>17</v>
      </c>
      <c r="G1437" s="647" t="s">
        <v>18</v>
      </c>
      <c r="H1437" s="647" t="s">
        <v>26</v>
      </c>
      <c r="I1437" s="575" t="s">
        <v>4273</v>
      </c>
      <c r="J1437" s="575">
        <v>1</v>
      </c>
      <c r="K1437" s="647" t="s">
        <v>1732</v>
      </c>
      <c r="L1437" s="657">
        <v>45054</v>
      </c>
      <c r="M1437" s="665">
        <v>5.1799999999999999E-2</v>
      </c>
      <c r="N1437" s="647" t="s">
        <v>4241</v>
      </c>
      <c r="O1437" s="575">
        <v>2023.4</v>
      </c>
      <c r="P1437" s="665" t="str">
        <f>VLOOKUP(A1437,'[1]Raw data'!$B:$BA,23,FALSE)</f>
        <v>JPY</v>
      </c>
      <c r="Q1437" s="647" t="str">
        <f>VLOOKUP(A1437,'[1]Raw data'!$B:$Z,2,FALSE)</f>
        <v>C49SZX20230128SX</v>
      </c>
      <c r="R1437" s="647" t="str">
        <f>VLOOKUP(A1437,'[1]Raw data'!$B:$Z,3,FALSE)</f>
        <v>江西奕东</v>
      </c>
      <c r="S1437" s="647" t="str">
        <f>VLOOKUP(A1437,'[1]Raw data'!$B:$Z,4,FALSE)</f>
        <v>YSM10</v>
      </c>
      <c r="T1437" s="647" t="str">
        <f>VLOOKUP(A1437,'[1]Raw data'!$B:$Z,8,FALSE)</f>
        <v>L-&gt;R</v>
      </c>
      <c r="U1437" s="647" t="str">
        <f>VLOOKUP(A1437,'[1]Raw data'!$B:$Z,9,FALSE)</f>
        <v>MVC</v>
      </c>
      <c r="V1437" s="567" t="str">
        <f t="shared" si="332"/>
        <v>WRONG</v>
      </c>
      <c r="W1437" s="563" t="str">
        <f>VLOOKUP(A1437,'[1]Raw data'!$B:$AG,32,FALSE)</f>
        <v>DAP JX</v>
      </c>
      <c r="X1437" s="657">
        <f>VLOOKUP(A1437,'[1]Raw data'!$B:$BA,31,FALSE)</f>
        <v>45250</v>
      </c>
      <c r="Y1437" s="647" t="str">
        <f>VLOOKUP(A1437,'[1]Raw data'!$B:$AS,39,FALSE)</f>
        <v>Yes</v>
      </c>
      <c r="Z1437" s="659"/>
      <c r="AA1437" s="660"/>
      <c r="AB1437" s="661"/>
      <c r="AC1437" s="647" t="s">
        <v>4289</v>
      </c>
      <c r="AD1437" s="662">
        <v>301</v>
      </c>
      <c r="AE1437" s="662">
        <v>10</v>
      </c>
      <c r="AF1437" s="662"/>
      <c r="AG1437" s="662"/>
      <c r="AH1437" s="662"/>
      <c r="AI1437" s="663"/>
      <c r="AN1437" s="542"/>
      <c r="AO1437" s="824" t="str">
        <f t="shared" si="322"/>
        <v>Yes</v>
      </c>
      <c r="AP1437" s="259" t="str">
        <f t="shared" si="323"/>
        <v>NOV 23</v>
      </c>
      <c r="AQ1437" s="542" t="str">
        <f t="shared" si="324"/>
        <v>有定金+有預留客戶</v>
      </c>
      <c r="AR1437" s="259" t="str">
        <f t="shared" si="325"/>
        <v>Shipped_Stock</v>
      </c>
      <c r="AS1437" s="259" t="str">
        <f t="shared" si="326"/>
        <v/>
      </c>
      <c r="AT1437" s="259" t="str">
        <f t="shared" si="327"/>
        <v>江西奕东</v>
      </c>
      <c r="AU1437" s="259" t="str">
        <f t="shared" si="328"/>
        <v>C49SZX20230128SX</v>
      </c>
      <c r="AV1437" s="259" t="str">
        <f t="shared" si="329"/>
        <v>May-08</v>
      </c>
    </row>
    <row r="1438" spans="1:48" hidden="1">
      <c r="A1438" s="559">
        <v>2026</v>
      </c>
      <c r="B1438" s="664" t="s">
        <v>1125</v>
      </c>
      <c r="C1438" s="664" t="s">
        <v>281</v>
      </c>
      <c r="D1438" s="645">
        <v>111254</v>
      </c>
      <c r="E1438" s="744" t="s">
        <v>236</v>
      </c>
      <c r="F1438" s="647" t="s">
        <v>17</v>
      </c>
      <c r="G1438" s="647" t="s">
        <v>1012</v>
      </c>
      <c r="H1438" s="647" t="s">
        <v>307</v>
      </c>
      <c r="I1438" s="575" t="s">
        <v>3920</v>
      </c>
      <c r="J1438" s="575">
        <v>1</v>
      </c>
      <c r="K1438" s="647" t="s">
        <v>1732</v>
      </c>
      <c r="L1438" s="657">
        <v>45054</v>
      </c>
      <c r="M1438" s="665">
        <v>5.1799999999999999E-2</v>
      </c>
      <c r="N1438" s="647" t="s">
        <v>4241</v>
      </c>
      <c r="O1438" s="575">
        <v>2023.4</v>
      </c>
      <c r="P1438" s="665" t="str">
        <f>VLOOKUP(A1438,'[1]Raw data'!$B:$BA,23,FALSE)</f>
        <v>JPY</v>
      </c>
      <c r="Q1438" s="647" t="str">
        <f>VLOOKUP(A1438,'[1]Raw data'!$B:$Z,2,FALSE)</f>
        <v>C49SZX20230128SX</v>
      </c>
      <c r="R1438" s="647" t="str">
        <f>VLOOKUP(A1438,'[1]Raw data'!$B:$Z,3,FALSE)</f>
        <v>江西奕东</v>
      </c>
      <c r="S1438" s="647" t="str">
        <f>VLOOKUP(A1438,'[1]Raw data'!$B:$Z,4,FALSE)</f>
        <v>YSM10</v>
      </c>
      <c r="T1438" s="647" t="str">
        <f>VLOOKUP(A1438,'[1]Raw data'!$B:$Z,8,FALSE)</f>
        <v>L-&gt;R</v>
      </c>
      <c r="U1438" s="647" t="str">
        <f>VLOOKUP(A1438,'[1]Raw data'!$B:$Z,9,FALSE)</f>
        <v>MVC</v>
      </c>
      <c r="V1438" s="567" t="str">
        <f t="shared" si="332"/>
        <v>WRONG</v>
      </c>
      <c r="W1438" s="563" t="str">
        <f>VLOOKUP(A1438,'[1]Raw data'!$B:$AG,32,FALSE)</f>
        <v>DAP JX</v>
      </c>
      <c r="X1438" s="657">
        <f>VLOOKUP(A1438,'[1]Raw data'!$B:$BA,31,FALSE)</f>
        <v>45250</v>
      </c>
      <c r="Y1438" s="647" t="str">
        <f>VLOOKUP(A1438,'[1]Raw data'!$B:$AS,39,FALSE)</f>
        <v>Yes</v>
      </c>
      <c r="Z1438" s="659"/>
      <c r="AA1438" s="660"/>
      <c r="AB1438" s="661"/>
      <c r="AC1438" s="647" t="s">
        <v>4289</v>
      </c>
      <c r="AD1438" s="662">
        <v>301</v>
      </c>
      <c r="AE1438" s="662">
        <v>10</v>
      </c>
      <c r="AF1438" s="662"/>
      <c r="AG1438" s="662"/>
      <c r="AH1438" s="662"/>
      <c r="AI1438" s="663"/>
      <c r="AN1438" s="542"/>
      <c r="AO1438" s="824" t="str">
        <f t="shared" si="322"/>
        <v>Yes</v>
      </c>
      <c r="AP1438" s="259" t="str">
        <f t="shared" si="323"/>
        <v>NOV 23</v>
      </c>
      <c r="AQ1438" s="542" t="str">
        <f t="shared" si="324"/>
        <v>有定金+有預留客戶</v>
      </c>
      <c r="AR1438" s="259" t="str">
        <f t="shared" si="325"/>
        <v>Shipped_Stock</v>
      </c>
      <c r="AS1438" s="259" t="str">
        <f t="shared" si="326"/>
        <v/>
      </c>
      <c r="AT1438" s="259" t="str">
        <f t="shared" si="327"/>
        <v>江西奕东</v>
      </c>
      <c r="AU1438" s="259" t="str">
        <f t="shared" si="328"/>
        <v>C49SZX20230128SX</v>
      </c>
      <c r="AV1438" s="259" t="str">
        <f t="shared" si="329"/>
        <v>May-08</v>
      </c>
    </row>
    <row r="1439" spans="1:48" hidden="1">
      <c r="A1439" s="559">
        <v>2031</v>
      </c>
      <c r="B1439" s="664" t="s">
        <v>1125</v>
      </c>
      <c r="C1439" s="664" t="s">
        <v>281</v>
      </c>
      <c r="D1439" s="645">
        <v>111254</v>
      </c>
      <c r="E1439" s="744" t="s">
        <v>236</v>
      </c>
      <c r="F1439" s="647" t="s">
        <v>17</v>
      </c>
      <c r="G1439" s="647" t="s">
        <v>18</v>
      </c>
      <c r="H1439" s="647" t="s">
        <v>26</v>
      </c>
      <c r="I1439" s="575" t="s">
        <v>3921</v>
      </c>
      <c r="J1439" s="575">
        <v>1</v>
      </c>
      <c r="K1439" s="647" t="s">
        <v>1732</v>
      </c>
      <c r="L1439" s="657">
        <v>45054</v>
      </c>
      <c r="M1439" s="665">
        <v>5.1799999999999999E-2</v>
      </c>
      <c r="N1439" s="647" t="s">
        <v>4282</v>
      </c>
      <c r="O1439" s="575">
        <v>2023.4</v>
      </c>
      <c r="P1439" s="665" t="str">
        <f>VLOOKUP(A1439,'[1]Raw data'!$B:$BA,23,FALSE)</f>
        <v>JPY</v>
      </c>
      <c r="Q1439" s="647" t="str">
        <f>VLOOKUP(A1439,'[1]Raw data'!$B:$Z,2,FALSE)</f>
        <v>C49SZX20230131EC</v>
      </c>
      <c r="R1439" s="647" t="str">
        <f>VLOOKUP(A1439,'[1]Raw data'!$B:$Z,3,FALSE)</f>
        <v>福瑞康</v>
      </c>
      <c r="S1439" s="647" t="str">
        <f>VLOOKUP(A1439,'[1]Raw data'!$B:$Z,4,FALSE)</f>
        <v>YSM10</v>
      </c>
      <c r="T1439" s="647" t="str">
        <f>VLOOKUP(A1439,'[1]Raw data'!$B:$Z,8,FALSE)</f>
        <v>L-&gt;R</v>
      </c>
      <c r="U1439" s="647" t="str">
        <f>VLOOKUP(A1439,'[1]Raw data'!$B:$Z,9,FALSE)</f>
        <v>MVC</v>
      </c>
      <c r="V1439" s="567" t="str">
        <f t="shared" si="332"/>
        <v>WRONG</v>
      </c>
      <c r="W1439" s="563" t="str">
        <f>VLOOKUP(A1439,'[1]Raw data'!$B:$AG,32,FALSE)</f>
        <v>DAP DG</v>
      </c>
      <c r="X1439" s="657">
        <f>VLOOKUP(A1439,'[1]Raw data'!$B:$BA,31,FALSE)</f>
        <v>45259</v>
      </c>
      <c r="Y1439" s="647" t="str">
        <f>VLOOKUP(A1439,'[1]Raw data'!$B:$AS,39,FALSE)</f>
        <v>Yes</v>
      </c>
      <c r="Z1439" s="666"/>
      <c r="AA1439" s="667"/>
      <c r="AB1439" s="668"/>
      <c r="AC1439" s="647" t="s">
        <v>4356</v>
      </c>
      <c r="AD1439" s="662">
        <v>301</v>
      </c>
      <c r="AE1439" s="662">
        <v>10</v>
      </c>
      <c r="AF1439" s="662"/>
      <c r="AG1439" s="662"/>
      <c r="AH1439" s="662"/>
      <c r="AI1439" s="663"/>
      <c r="AN1439" s="542"/>
      <c r="AO1439" s="824" t="str">
        <f t="shared" si="322"/>
        <v>Yes</v>
      </c>
      <c r="AP1439" s="259" t="str">
        <f t="shared" si="323"/>
        <v>DEC 23</v>
      </c>
      <c r="AQ1439" s="542" t="str">
        <f t="shared" si="324"/>
        <v>有定金+有預留客戶</v>
      </c>
      <c r="AR1439" s="259" t="str">
        <f t="shared" si="325"/>
        <v>Shipped_Stock</v>
      </c>
      <c r="AS1439" s="259" t="str">
        <f t="shared" si="326"/>
        <v/>
      </c>
      <c r="AT1439" s="259" t="str">
        <f t="shared" si="327"/>
        <v>福瑞康</v>
      </c>
      <c r="AU1439" s="259" t="str">
        <f t="shared" si="328"/>
        <v>C49SZX20230131EC</v>
      </c>
      <c r="AV1439" s="259" t="str">
        <f t="shared" si="329"/>
        <v>May-08</v>
      </c>
    </row>
    <row r="1440" spans="1:48" hidden="1">
      <c r="A1440" s="559">
        <v>2030</v>
      </c>
      <c r="B1440" s="664" t="s">
        <v>1125</v>
      </c>
      <c r="C1440" s="664" t="s">
        <v>281</v>
      </c>
      <c r="D1440" s="645">
        <v>111254</v>
      </c>
      <c r="E1440" s="744" t="s">
        <v>236</v>
      </c>
      <c r="F1440" s="647" t="s">
        <v>17</v>
      </c>
      <c r="G1440" s="647" t="s">
        <v>18</v>
      </c>
      <c r="H1440" s="647" t="s">
        <v>307</v>
      </c>
      <c r="I1440" s="575" t="s">
        <v>3922</v>
      </c>
      <c r="J1440" s="575">
        <v>1</v>
      </c>
      <c r="K1440" s="647" t="s">
        <v>85</v>
      </c>
      <c r="L1440" s="657">
        <v>45054</v>
      </c>
      <c r="M1440" s="665">
        <v>5.1799999999999999E-2</v>
      </c>
      <c r="N1440" s="647" t="s">
        <v>4282</v>
      </c>
      <c r="O1440" s="575">
        <v>2023.4</v>
      </c>
      <c r="P1440" s="665" t="str">
        <f>VLOOKUP(A1440,'[1]Raw data'!$B:$BA,23,FALSE)</f>
        <v>JPY</v>
      </c>
      <c r="Q1440" s="647" t="str">
        <f>VLOOKUP(A1440,'[1]Raw data'!$B:$Z,2,FALSE)</f>
        <v>C49SZX20230132LC</v>
      </c>
      <c r="R1440" s="647" t="str">
        <f>VLOOKUP(A1440,'[1]Raw data'!$B:$Z,3,FALSE)</f>
        <v>声韵</v>
      </c>
      <c r="S1440" s="647" t="str">
        <f>VLOOKUP(A1440,'[1]Raw data'!$B:$Z,4,FALSE)</f>
        <v>YSM10</v>
      </c>
      <c r="T1440" s="647" t="str">
        <f>VLOOKUP(A1440,'[1]Raw data'!$B:$Z,8,FALSE)</f>
        <v>L-&gt;R</v>
      </c>
      <c r="U1440" s="647" t="str">
        <f>VLOOKUP(A1440,'[1]Raw data'!$B:$Z,9,FALSE)</f>
        <v>MVC</v>
      </c>
      <c r="V1440" s="567" t="str">
        <f t="shared" si="332"/>
        <v>WRONG</v>
      </c>
      <c r="W1440" s="563" t="str">
        <f>VLOOKUP(A1440,'[1]Raw data'!$B:$AG,32,FALSE)</f>
        <v>DAP DG</v>
      </c>
      <c r="X1440" s="657">
        <f>VLOOKUP(A1440,'[1]Raw data'!$B:$BA,31,FALSE)</f>
        <v>45259</v>
      </c>
      <c r="Y1440" s="647" t="str">
        <f>VLOOKUP(A1440,'[1]Raw data'!$B:$AS,39,FALSE)</f>
        <v>Yes</v>
      </c>
      <c r="Z1440" s="666"/>
      <c r="AA1440" s="667"/>
      <c r="AB1440" s="668"/>
      <c r="AC1440" s="647" t="s">
        <v>4329</v>
      </c>
      <c r="AD1440" s="662">
        <v>301</v>
      </c>
      <c r="AE1440" s="662">
        <v>10</v>
      </c>
      <c r="AF1440" s="662"/>
      <c r="AG1440" s="662"/>
      <c r="AH1440" s="662"/>
      <c r="AI1440" s="663"/>
      <c r="AN1440" s="542"/>
      <c r="AO1440" s="824" t="str">
        <f t="shared" si="322"/>
        <v>Yes</v>
      </c>
      <c r="AP1440" s="259" t="str">
        <f t="shared" si="323"/>
        <v>DEC 23</v>
      </c>
      <c r="AQ1440" s="542" t="str">
        <f t="shared" si="324"/>
        <v>有定金+有預留客戶</v>
      </c>
      <c r="AR1440" s="259" t="str">
        <f t="shared" si="325"/>
        <v>Shipped_Stock</v>
      </c>
      <c r="AS1440" s="259" t="str">
        <f t="shared" si="326"/>
        <v/>
      </c>
      <c r="AT1440" s="259" t="str">
        <f t="shared" si="327"/>
        <v>声韵</v>
      </c>
      <c r="AU1440" s="259" t="str">
        <f t="shared" si="328"/>
        <v>C49SZX20230132LC</v>
      </c>
      <c r="AV1440" s="259" t="str">
        <f t="shared" si="329"/>
        <v>May-08</v>
      </c>
    </row>
    <row r="1441" spans="1:48" hidden="1">
      <c r="A1441" s="599">
        <v>1842</v>
      </c>
      <c r="B1441" s="664" t="s">
        <v>1125</v>
      </c>
      <c r="C1441" s="664" t="s">
        <v>281</v>
      </c>
      <c r="D1441" s="645">
        <v>111247</v>
      </c>
      <c r="E1441" s="744" t="s">
        <v>2726</v>
      </c>
      <c r="F1441" s="647" t="s">
        <v>149</v>
      </c>
      <c r="G1441" s="647" t="s">
        <v>24</v>
      </c>
      <c r="H1441" s="647" t="s">
        <v>26</v>
      </c>
      <c r="I1441" s="575" t="s">
        <v>3915</v>
      </c>
      <c r="J1441" s="575">
        <v>1</v>
      </c>
      <c r="K1441" s="647"/>
      <c r="L1441" s="657">
        <v>45054</v>
      </c>
      <c r="M1441" s="665">
        <v>5.1700000000000003E-2</v>
      </c>
      <c r="N1441" s="647" t="s">
        <v>2502</v>
      </c>
      <c r="O1441" s="575">
        <v>2023.4</v>
      </c>
      <c r="P1441" s="665" t="str">
        <f>VLOOKUP(A1441,'[1]Raw data'!$B:$BA,23,FALSE)</f>
        <v>RMB</v>
      </c>
      <c r="Q1441" s="647" t="str">
        <f>VLOOKUP(A1441,'[1]Raw data'!$B:$Z,2,FALSE)</f>
        <v>C49SZX20230015DZ</v>
      </c>
      <c r="R1441" s="647" t="str">
        <f>VLOOKUP(A1441,'[1]Raw data'!$B:$Z,3,FALSE)</f>
        <v>深圳耕创</v>
      </c>
      <c r="S1441" s="647" t="str">
        <f>VLOOKUP(A1441,'[1]Raw data'!$B:$Z,4,FALSE)</f>
        <v>YSM40R-4</v>
      </c>
      <c r="T1441" s="647" t="str">
        <f>VLOOKUP(A1441,'[1]Raw data'!$B:$Z,8,FALSE)</f>
        <v>L-&gt;R</v>
      </c>
      <c r="U1441" s="647" t="str">
        <f>VLOOKUP(A1441,'[1]Raw data'!$B:$Z,9,FALSE)</f>
        <v>No</v>
      </c>
      <c r="V1441" s="567" t="str">
        <f>IF(G1441&amp;H1441=T1441&amp;U1441,"OK","WRONG")</f>
        <v>OK</v>
      </c>
      <c r="W1441" s="563" t="str">
        <f>VLOOKUP(A1441,'[1]Raw data'!$B:$AG,32,FALSE)</f>
        <v>DDP SZ</v>
      </c>
      <c r="X1441" s="647">
        <f>VLOOKUP(A1441,'[1]Raw data'!$B:$BA,31,FALSE)</f>
        <v>44978</v>
      </c>
      <c r="Y1441" s="647" t="str">
        <f>VLOOKUP(A1441,'[1]Raw data'!$B:$AS,39,FALSE)</f>
        <v>Yes</v>
      </c>
      <c r="Z1441" s="659"/>
      <c r="AA1441" s="710"/>
      <c r="AB1441" s="662"/>
      <c r="AC1441" s="575" t="s">
        <v>1951</v>
      </c>
      <c r="AD1441" s="575" t="s">
        <v>1566</v>
      </c>
      <c r="AE1441" s="575">
        <v>61</v>
      </c>
      <c r="AF1441" s="575">
        <v>7203</v>
      </c>
      <c r="AG1441" s="679">
        <v>11</v>
      </c>
      <c r="AH1441" s="564"/>
      <c r="AI1441" s="564"/>
      <c r="AJ1441" s="564"/>
      <c r="AK1441" s="564"/>
      <c r="AL1441" s="614"/>
      <c r="AM1441" s="614"/>
      <c r="AN1441" s="614"/>
      <c r="AO1441" s="824" t="str">
        <f t="shared" si="322"/>
        <v>Yes</v>
      </c>
      <c r="AP1441" s="259" t="str">
        <f t="shared" si="323"/>
        <v>MAY 23</v>
      </c>
      <c r="AQ1441" s="542" t="str">
        <f t="shared" si="324"/>
        <v>有定金+有預留客戶</v>
      </c>
      <c r="AR1441" s="259" t="str">
        <f t="shared" si="325"/>
        <v>Shipped_Stock</v>
      </c>
      <c r="AS1441" s="259" t="str">
        <f t="shared" si="326"/>
        <v/>
      </c>
      <c r="AT1441" s="259" t="str">
        <f t="shared" si="327"/>
        <v>深圳耕创</v>
      </c>
      <c r="AU1441" s="259" t="str">
        <f t="shared" si="328"/>
        <v>C49SZX20230015DZ</v>
      </c>
      <c r="AV1441" s="259" t="str">
        <f t="shared" si="329"/>
        <v>May-08</v>
      </c>
    </row>
    <row r="1442" spans="1:48" hidden="1">
      <c r="A1442" s="599">
        <v>1843</v>
      </c>
      <c r="B1442" s="664" t="s">
        <v>1125</v>
      </c>
      <c r="C1442" s="664" t="s">
        <v>281</v>
      </c>
      <c r="D1442" s="645">
        <v>111247</v>
      </c>
      <c r="E1442" s="744" t="s">
        <v>2726</v>
      </c>
      <c r="F1442" s="647" t="s">
        <v>149</v>
      </c>
      <c r="G1442" s="647" t="s">
        <v>24</v>
      </c>
      <c r="H1442" s="647" t="s">
        <v>26</v>
      </c>
      <c r="I1442" s="575" t="s">
        <v>3916</v>
      </c>
      <c r="J1442" s="575">
        <v>1</v>
      </c>
      <c r="K1442" s="647"/>
      <c r="L1442" s="657">
        <v>45054</v>
      </c>
      <c r="M1442" s="665">
        <v>5.1700000000000003E-2</v>
      </c>
      <c r="N1442" s="647" t="s">
        <v>2502</v>
      </c>
      <c r="O1442" s="575">
        <v>2023.4</v>
      </c>
      <c r="P1442" s="665" t="str">
        <f>VLOOKUP(A1442,'[1]Raw data'!$B:$BA,23,FALSE)</f>
        <v>RMB</v>
      </c>
      <c r="Q1442" s="647" t="str">
        <f>VLOOKUP(A1442,'[1]Raw data'!$B:$Z,2,FALSE)</f>
        <v>C49SZX20230016DZ</v>
      </c>
      <c r="R1442" s="647" t="str">
        <f>VLOOKUP(A1442,'[1]Raw data'!$B:$Z,3,FALSE)</f>
        <v>惠州耕创</v>
      </c>
      <c r="S1442" s="647" t="str">
        <f>VLOOKUP(A1442,'[1]Raw data'!$B:$Z,4,FALSE)</f>
        <v>YSM40R-4</v>
      </c>
      <c r="T1442" s="647" t="str">
        <f>VLOOKUP(A1442,'[1]Raw data'!$B:$Z,8,FALSE)</f>
        <v>L-&gt;R</v>
      </c>
      <c r="U1442" s="647" t="str">
        <f>VLOOKUP(A1442,'[1]Raw data'!$B:$Z,9,FALSE)</f>
        <v>No</v>
      </c>
      <c r="V1442" s="567" t="str">
        <f t="shared" ref="V1442" si="333">IF(G1442&amp;H1442=T1442&amp;U1442,"OK","WRONG")</f>
        <v>OK</v>
      </c>
      <c r="W1442" s="563" t="str">
        <f>VLOOKUP(A1442,'[1]Raw data'!$B:$AG,32,FALSE)</f>
        <v>DDP HZ</v>
      </c>
      <c r="X1442" s="647">
        <f>VLOOKUP(A1442,'[1]Raw data'!$B:$BA,31,FALSE)</f>
        <v>44978</v>
      </c>
      <c r="Y1442" s="647" t="str">
        <f>VLOOKUP(A1442,'[1]Raw data'!$B:$AS,39,FALSE)</f>
        <v>Yes</v>
      </c>
      <c r="Z1442" s="659"/>
      <c r="AA1442" s="660"/>
      <c r="AB1442" s="661"/>
      <c r="AC1442" s="575" t="s">
        <v>1951</v>
      </c>
      <c r="AD1442" s="575" t="s">
        <v>1566</v>
      </c>
      <c r="AE1442" s="575">
        <v>72</v>
      </c>
      <c r="AF1442" s="575"/>
      <c r="AG1442" s="575"/>
      <c r="AH1442" s="575"/>
      <c r="AI1442" s="679"/>
      <c r="AJ1442" s="564"/>
      <c r="AK1442" s="564"/>
      <c r="AL1442" s="564"/>
      <c r="AM1442" s="564"/>
      <c r="AN1442" s="614"/>
      <c r="AO1442" s="824" t="str">
        <f t="shared" si="322"/>
        <v>Yes</v>
      </c>
      <c r="AP1442" s="259" t="str">
        <f t="shared" si="323"/>
        <v>MAY 23</v>
      </c>
      <c r="AQ1442" s="542" t="str">
        <f t="shared" si="324"/>
        <v>有定金+有預留客戶</v>
      </c>
      <c r="AR1442" s="259" t="str">
        <f t="shared" si="325"/>
        <v>Shipped_Stock</v>
      </c>
      <c r="AS1442" s="259" t="str">
        <f t="shared" si="326"/>
        <v/>
      </c>
      <c r="AT1442" s="259" t="str">
        <f t="shared" si="327"/>
        <v>惠州耕创</v>
      </c>
      <c r="AU1442" s="259" t="str">
        <f t="shared" si="328"/>
        <v>C49SZX20230016DZ</v>
      </c>
      <c r="AV1442" s="259" t="str">
        <f t="shared" si="329"/>
        <v>May-08</v>
      </c>
    </row>
    <row r="1443" spans="1:48" hidden="1">
      <c r="A1443" s="599">
        <v>1844</v>
      </c>
      <c r="B1443" s="664" t="s">
        <v>1125</v>
      </c>
      <c r="C1443" s="664" t="s">
        <v>281</v>
      </c>
      <c r="D1443" s="645">
        <v>111247</v>
      </c>
      <c r="E1443" s="744" t="s">
        <v>2726</v>
      </c>
      <c r="F1443" s="647" t="s">
        <v>149</v>
      </c>
      <c r="G1443" s="647" t="s">
        <v>24</v>
      </c>
      <c r="H1443" s="647" t="s">
        <v>26</v>
      </c>
      <c r="I1443" s="575" t="s">
        <v>3917</v>
      </c>
      <c r="J1443" s="575">
        <v>1</v>
      </c>
      <c r="K1443" s="647"/>
      <c r="L1443" s="657">
        <v>45054</v>
      </c>
      <c r="M1443" s="665">
        <v>5.1700000000000003E-2</v>
      </c>
      <c r="N1443" s="647" t="s">
        <v>2502</v>
      </c>
      <c r="O1443" s="575">
        <v>2023.4</v>
      </c>
      <c r="P1443" s="665" t="str">
        <f>VLOOKUP(A1443,'[1]Raw data'!$B:$BA,23,FALSE)</f>
        <v>RMB</v>
      </c>
      <c r="Q1443" s="647" t="str">
        <f>VLOOKUP(A1443,'[1]Raw data'!$B:$Z,2,FALSE)</f>
        <v>C49SZX20230016DZ</v>
      </c>
      <c r="R1443" s="647" t="str">
        <f>VLOOKUP(A1443,'[1]Raw data'!$B:$Z,3,FALSE)</f>
        <v>惠州耕创</v>
      </c>
      <c r="S1443" s="647" t="str">
        <f>VLOOKUP(A1443,'[1]Raw data'!$B:$Z,4,FALSE)</f>
        <v>YSM40R-4</v>
      </c>
      <c r="T1443" s="647" t="str">
        <f>VLOOKUP(A1443,'[1]Raw data'!$B:$Z,8,FALSE)</f>
        <v>L-&gt;R</v>
      </c>
      <c r="U1443" s="647" t="str">
        <f>VLOOKUP(A1443,'[1]Raw data'!$B:$Z,9,FALSE)</f>
        <v>No</v>
      </c>
      <c r="V1443" s="567" t="str">
        <f t="shared" ref="V1443:V1444" si="334">IF(G1443&amp;H1443=T1443&amp;U1443,"OK","WRONG")</f>
        <v>OK</v>
      </c>
      <c r="W1443" s="563" t="str">
        <f>VLOOKUP(A1443,'[1]Raw data'!$B:$AG,32,FALSE)</f>
        <v>DDP HZ</v>
      </c>
      <c r="X1443" s="647">
        <f>VLOOKUP(A1443,'[1]Raw data'!$B:$BA,31,FALSE)</f>
        <v>44978</v>
      </c>
      <c r="Y1443" s="647" t="str">
        <f>VLOOKUP(A1443,'[1]Raw data'!$B:$AS,39,FALSE)</f>
        <v>Yes</v>
      </c>
      <c r="Z1443" s="659"/>
      <c r="AA1443" s="660"/>
      <c r="AB1443" s="661"/>
      <c r="AC1443" s="575" t="s">
        <v>1951</v>
      </c>
      <c r="AD1443" s="575" t="s">
        <v>1566</v>
      </c>
      <c r="AE1443" s="575">
        <v>72</v>
      </c>
      <c r="AF1443" s="575"/>
      <c r="AG1443" s="575"/>
      <c r="AH1443" s="575"/>
      <c r="AI1443" s="679"/>
      <c r="AJ1443" s="564"/>
      <c r="AK1443" s="564"/>
      <c r="AL1443" s="564"/>
      <c r="AM1443" s="564"/>
      <c r="AN1443" s="614"/>
      <c r="AO1443" s="824" t="str">
        <f t="shared" si="322"/>
        <v>Yes</v>
      </c>
      <c r="AP1443" s="259" t="str">
        <f t="shared" si="323"/>
        <v>MAY 23</v>
      </c>
      <c r="AQ1443" s="542" t="str">
        <f t="shared" si="324"/>
        <v>有定金+有預留客戶</v>
      </c>
      <c r="AR1443" s="259" t="str">
        <f t="shared" si="325"/>
        <v>Shipped_Stock</v>
      </c>
      <c r="AS1443" s="259" t="str">
        <f t="shared" si="326"/>
        <v/>
      </c>
      <c r="AT1443" s="259" t="str">
        <f t="shared" si="327"/>
        <v>惠州耕创</v>
      </c>
      <c r="AU1443" s="259" t="str">
        <f t="shared" si="328"/>
        <v>C49SZX20230016DZ</v>
      </c>
      <c r="AV1443" s="259" t="str">
        <f t="shared" si="329"/>
        <v>May-08</v>
      </c>
    </row>
    <row r="1444" spans="1:48" hidden="1">
      <c r="A1444" s="599">
        <v>1845</v>
      </c>
      <c r="B1444" s="664" t="s">
        <v>1125</v>
      </c>
      <c r="C1444" s="664" t="s">
        <v>281</v>
      </c>
      <c r="D1444" s="645">
        <v>111247</v>
      </c>
      <c r="E1444" s="744" t="s">
        <v>2726</v>
      </c>
      <c r="F1444" s="647" t="s">
        <v>149</v>
      </c>
      <c r="G1444" s="647" t="s">
        <v>24</v>
      </c>
      <c r="H1444" s="647" t="s">
        <v>26</v>
      </c>
      <c r="I1444" s="575" t="s">
        <v>3918</v>
      </c>
      <c r="J1444" s="575">
        <v>1</v>
      </c>
      <c r="K1444" s="647"/>
      <c r="L1444" s="657">
        <v>45054</v>
      </c>
      <c r="M1444" s="665">
        <v>5.1700000000000003E-2</v>
      </c>
      <c r="N1444" s="647" t="s">
        <v>2502</v>
      </c>
      <c r="O1444" s="575">
        <v>2023.4</v>
      </c>
      <c r="P1444" s="665" t="str">
        <f>VLOOKUP(A1444,'[1]Raw data'!$B:$BA,23,FALSE)</f>
        <v>RMB</v>
      </c>
      <c r="Q1444" s="647" t="str">
        <f>VLOOKUP(A1444,'[1]Raw data'!$B:$Z,2,FALSE)</f>
        <v>C49SZX20230016DZ</v>
      </c>
      <c r="R1444" s="647" t="str">
        <f>VLOOKUP(A1444,'[1]Raw data'!$B:$Z,3,FALSE)</f>
        <v>惠州耕创</v>
      </c>
      <c r="S1444" s="647" t="str">
        <f>VLOOKUP(A1444,'[1]Raw data'!$B:$Z,4,FALSE)</f>
        <v>YSM40R-4</v>
      </c>
      <c r="T1444" s="647" t="str">
        <f>VLOOKUP(A1444,'[1]Raw data'!$B:$Z,8,FALSE)</f>
        <v>L-&gt;R</v>
      </c>
      <c r="U1444" s="647" t="str">
        <f>VLOOKUP(A1444,'[1]Raw data'!$B:$Z,9,FALSE)</f>
        <v>No</v>
      </c>
      <c r="V1444" s="567" t="str">
        <f t="shared" si="334"/>
        <v>OK</v>
      </c>
      <c r="W1444" s="563" t="str">
        <f>VLOOKUP(A1444,'[1]Raw data'!$B:$AG,32,FALSE)</f>
        <v>DDP HZ</v>
      </c>
      <c r="X1444" s="647">
        <f>VLOOKUP(A1444,'[1]Raw data'!$B:$BA,31,FALSE)</f>
        <v>44978</v>
      </c>
      <c r="Y1444" s="647" t="str">
        <f>VLOOKUP(A1444,'[1]Raw data'!$B:$AS,39,FALSE)</f>
        <v>Yes</v>
      </c>
      <c r="Z1444" s="659"/>
      <c r="AA1444" s="660"/>
      <c r="AB1444" s="661"/>
      <c r="AC1444" s="575" t="s">
        <v>1951</v>
      </c>
      <c r="AD1444" s="575" t="s">
        <v>1566</v>
      </c>
      <c r="AE1444" s="575">
        <v>72</v>
      </c>
      <c r="AF1444" s="575"/>
      <c r="AG1444" s="575"/>
      <c r="AH1444" s="575"/>
      <c r="AI1444" s="679"/>
      <c r="AJ1444" s="564"/>
      <c r="AK1444" s="564"/>
      <c r="AL1444" s="564"/>
      <c r="AM1444" s="564"/>
      <c r="AN1444" s="614"/>
      <c r="AO1444" s="824" t="str">
        <f t="shared" si="322"/>
        <v>Yes</v>
      </c>
      <c r="AP1444" s="259" t="str">
        <f t="shared" si="323"/>
        <v>MAY 23</v>
      </c>
      <c r="AQ1444" s="542" t="str">
        <f t="shared" si="324"/>
        <v>有定金+有預留客戶</v>
      </c>
      <c r="AR1444" s="259" t="str">
        <f t="shared" si="325"/>
        <v>Shipped_Stock</v>
      </c>
      <c r="AS1444" s="259" t="str">
        <f t="shared" si="326"/>
        <v/>
      </c>
      <c r="AT1444" s="259" t="str">
        <f t="shared" si="327"/>
        <v>惠州耕创</v>
      </c>
      <c r="AU1444" s="259" t="str">
        <f t="shared" si="328"/>
        <v>C49SZX20230016DZ</v>
      </c>
      <c r="AV1444" s="259" t="str">
        <f t="shared" si="329"/>
        <v>May-08</v>
      </c>
    </row>
    <row r="1445" spans="1:48" hidden="1">
      <c r="A1445" s="599">
        <v>1867</v>
      </c>
      <c r="B1445" s="664" t="s">
        <v>1125</v>
      </c>
      <c r="C1445" s="664" t="s">
        <v>281</v>
      </c>
      <c r="D1445" s="645">
        <v>111258</v>
      </c>
      <c r="E1445" s="646" t="s">
        <v>2727</v>
      </c>
      <c r="F1445" s="647" t="s">
        <v>149</v>
      </c>
      <c r="G1445" s="647" t="s">
        <v>24</v>
      </c>
      <c r="H1445" s="647" t="s">
        <v>26</v>
      </c>
      <c r="I1445" s="575" t="s">
        <v>3923</v>
      </c>
      <c r="J1445" s="575">
        <v>1</v>
      </c>
      <c r="K1445" s="647"/>
      <c r="L1445" s="657">
        <v>45054</v>
      </c>
      <c r="M1445" s="665">
        <v>5.1799999999999999E-2</v>
      </c>
      <c r="N1445" s="647" t="s">
        <v>2502</v>
      </c>
      <c r="O1445" s="575">
        <v>2023.4</v>
      </c>
      <c r="P1445" s="665" t="str">
        <f>VLOOKUP(A1445,'[1]Raw data'!$B:$BA,23,FALSE)</f>
        <v>RMB</v>
      </c>
      <c r="Q1445" s="647" t="str">
        <f>VLOOKUP(A1445,'[1]Raw data'!$B:$Z,2,FALSE)</f>
        <v>C49SZX20230036SS</v>
      </c>
      <c r="R1445" s="647" t="str">
        <f>VLOOKUP(A1445,'[1]Raw data'!$B:$Z,3,FALSE)</f>
        <v>龙大光电</v>
      </c>
      <c r="S1445" s="647" t="str">
        <f>VLOOKUP(A1445,'[1]Raw data'!$B:$Z,4,FALSE)</f>
        <v>YSM40R-4</v>
      </c>
      <c r="T1445" s="647" t="str">
        <f>VLOOKUP(A1445,'[1]Raw data'!$B:$Z,8,FALSE)</f>
        <v>L-&gt;R</v>
      </c>
      <c r="U1445" s="647" t="str">
        <f>VLOOKUP(A1445,'[1]Raw data'!$B:$Z,9,FALSE)</f>
        <v>No</v>
      </c>
      <c r="V1445" s="567" t="str">
        <f>IF(G1445&amp;H1445=T1445&amp;U1445,"OK","WRONG")</f>
        <v>OK</v>
      </c>
      <c r="W1445" s="563" t="str">
        <f>VLOOKUP(A1445,'[1]Raw data'!$B:$AG,32,FALSE)</f>
        <v>DDP SZ</v>
      </c>
      <c r="X1445" s="647">
        <f>VLOOKUP(A1445,'[1]Raw data'!$B:$BA,31,FALSE)</f>
        <v>44988</v>
      </c>
      <c r="Y1445" s="647" t="str">
        <f>VLOOKUP(A1445,'[1]Raw data'!$B:$AS,39,FALSE)</f>
        <v>Yes</v>
      </c>
      <c r="Z1445" s="659"/>
      <c r="AA1445" s="660"/>
      <c r="AB1445" s="661"/>
      <c r="AC1445" s="575" t="s">
        <v>1951</v>
      </c>
      <c r="AD1445" s="575" t="s">
        <v>1566</v>
      </c>
      <c r="AE1445" s="575">
        <v>72</v>
      </c>
      <c r="AF1445" s="575"/>
      <c r="AG1445" s="575"/>
      <c r="AH1445" s="575"/>
      <c r="AI1445" s="679"/>
      <c r="AJ1445" s="564"/>
      <c r="AK1445" s="564"/>
      <c r="AL1445" s="564"/>
      <c r="AM1445" s="564"/>
      <c r="AN1445" s="614"/>
      <c r="AO1445" s="824" t="str">
        <f t="shared" si="322"/>
        <v>Yes</v>
      </c>
      <c r="AP1445" s="259" t="str">
        <f t="shared" si="323"/>
        <v>MAY 23</v>
      </c>
      <c r="AQ1445" s="542" t="str">
        <f t="shared" si="324"/>
        <v>有定金+有預留客戶</v>
      </c>
      <c r="AR1445" s="259" t="str">
        <f t="shared" si="325"/>
        <v>Shipped_Stock</v>
      </c>
      <c r="AS1445" s="259" t="str">
        <f t="shared" si="326"/>
        <v/>
      </c>
      <c r="AT1445" s="259" t="str">
        <f t="shared" si="327"/>
        <v>龙大光电</v>
      </c>
      <c r="AU1445" s="259" t="str">
        <f t="shared" si="328"/>
        <v>C49SZX20230036SS</v>
      </c>
      <c r="AV1445" s="259" t="str">
        <f t="shared" si="329"/>
        <v>May-08</v>
      </c>
    </row>
    <row r="1446" spans="1:48" hidden="1">
      <c r="A1446" s="599">
        <v>1868</v>
      </c>
      <c r="B1446" s="664" t="s">
        <v>1125</v>
      </c>
      <c r="C1446" s="664" t="s">
        <v>281</v>
      </c>
      <c r="D1446" s="645">
        <v>111258</v>
      </c>
      <c r="E1446" s="646" t="s">
        <v>2727</v>
      </c>
      <c r="F1446" s="647" t="s">
        <v>149</v>
      </c>
      <c r="G1446" s="647" t="s">
        <v>24</v>
      </c>
      <c r="H1446" s="647" t="s">
        <v>26</v>
      </c>
      <c r="I1446" s="575" t="s">
        <v>3924</v>
      </c>
      <c r="J1446" s="575">
        <v>1</v>
      </c>
      <c r="K1446" s="647"/>
      <c r="L1446" s="657">
        <v>45054</v>
      </c>
      <c r="M1446" s="665">
        <v>5.1799999999999999E-2</v>
      </c>
      <c r="N1446" s="647" t="s">
        <v>2502</v>
      </c>
      <c r="O1446" s="575">
        <v>2023.4</v>
      </c>
      <c r="P1446" s="665" t="str">
        <f>VLOOKUP(A1446,'[1]Raw data'!$B:$BA,23,FALSE)</f>
        <v>RMB</v>
      </c>
      <c r="Q1446" s="647" t="str">
        <f>VLOOKUP(A1446,'[1]Raw data'!$B:$Z,2,FALSE)</f>
        <v>C49SZX20230036SS</v>
      </c>
      <c r="R1446" s="647" t="str">
        <f>VLOOKUP(A1446,'[1]Raw data'!$B:$Z,3,FALSE)</f>
        <v>龙大光电</v>
      </c>
      <c r="S1446" s="647" t="str">
        <f>VLOOKUP(A1446,'[1]Raw data'!$B:$Z,4,FALSE)</f>
        <v>YSM40R-4</v>
      </c>
      <c r="T1446" s="647" t="str">
        <f>VLOOKUP(A1446,'[1]Raw data'!$B:$Z,8,FALSE)</f>
        <v>L-&gt;R</v>
      </c>
      <c r="U1446" s="647" t="str">
        <f>VLOOKUP(A1446,'[1]Raw data'!$B:$Z,9,FALSE)</f>
        <v>No</v>
      </c>
      <c r="V1446" s="567" t="str">
        <f>IF(G1446&amp;H1446=T1446&amp;U1446,"OK","WRONG")</f>
        <v>OK</v>
      </c>
      <c r="W1446" s="563" t="str">
        <f>VLOOKUP(A1446,'[1]Raw data'!$B:$AG,32,FALSE)</f>
        <v>DDP SZ</v>
      </c>
      <c r="X1446" s="647">
        <f>VLOOKUP(A1446,'[1]Raw data'!$B:$BA,31,FALSE)</f>
        <v>44988</v>
      </c>
      <c r="Y1446" s="647" t="str">
        <f>VLOOKUP(A1446,'[1]Raw data'!$B:$AS,39,FALSE)</f>
        <v>Yes</v>
      </c>
      <c r="Z1446" s="659"/>
      <c r="AA1446" s="660"/>
      <c r="AB1446" s="661"/>
      <c r="AC1446" s="575" t="s">
        <v>1951</v>
      </c>
      <c r="AD1446" s="575" t="s">
        <v>1566</v>
      </c>
      <c r="AE1446" s="575">
        <v>72</v>
      </c>
      <c r="AF1446" s="575"/>
      <c r="AG1446" s="575"/>
      <c r="AH1446" s="575"/>
      <c r="AI1446" s="679"/>
      <c r="AJ1446" s="564"/>
      <c r="AK1446" s="564"/>
      <c r="AL1446" s="564"/>
      <c r="AM1446" s="564"/>
      <c r="AN1446" s="614"/>
      <c r="AO1446" s="824" t="str">
        <f t="shared" si="322"/>
        <v>Yes</v>
      </c>
      <c r="AP1446" s="259" t="str">
        <f t="shared" si="323"/>
        <v>MAY 23</v>
      </c>
      <c r="AQ1446" s="542" t="str">
        <f t="shared" si="324"/>
        <v>有定金+有預留客戶</v>
      </c>
      <c r="AR1446" s="259" t="str">
        <f t="shared" si="325"/>
        <v>Shipped_Stock</v>
      </c>
      <c r="AS1446" s="259" t="str">
        <f t="shared" si="326"/>
        <v/>
      </c>
      <c r="AT1446" s="259" t="str">
        <f t="shared" si="327"/>
        <v>龙大光电</v>
      </c>
      <c r="AU1446" s="259" t="str">
        <f t="shared" si="328"/>
        <v>C49SZX20230036SS</v>
      </c>
      <c r="AV1446" s="259" t="str">
        <f t="shared" si="329"/>
        <v>May-08</v>
      </c>
    </row>
    <row r="1447" spans="1:48" hidden="1">
      <c r="A1447" s="559">
        <v>1954</v>
      </c>
      <c r="B1447" s="664" t="s">
        <v>1125</v>
      </c>
      <c r="C1447" s="664" t="s">
        <v>281</v>
      </c>
      <c r="D1447" s="645">
        <v>111253</v>
      </c>
      <c r="E1447" s="744" t="s">
        <v>236</v>
      </c>
      <c r="F1447" s="647" t="s">
        <v>58</v>
      </c>
      <c r="G1447" s="647" t="s">
        <v>24</v>
      </c>
      <c r="H1447" s="647" t="s">
        <v>26</v>
      </c>
      <c r="I1447" s="575" t="s">
        <v>3937</v>
      </c>
      <c r="J1447" s="575">
        <v>1</v>
      </c>
      <c r="K1447" s="647" t="s">
        <v>1419</v>
      </c>
      <c r="L1447" s="657">
        <v>45061</v>
      </c>
      <c r="M1447" s="665">
        <v>5.1799999999999999E-2</v>
      </c>
      <c r="N1447" s="647" t="s">
        <v>4004</v>
      </c>
      <c r="O1447" s="575">
        <v>2023.4</v>
      </c>
      <c r="P1447" s="665" t="str">
        <f>VLOOKUP(A1447,'[1]Raw data'!$B:$BA,23,FALSE)</f>
        <v>RMB</v>
      </c>
      <c r="Q1447" s="647" t="str">
        <f>VLOOKUP(A1447,'[1]Raw data'!$B:$Z,2,FALSE)</f>
        <v>LDY-2023071801</v>
      </c>
      <c r="R1447" s="647" t="str">
        <f>VLOOKUP(A1447,'[1]Raw data'!$B:$Z,3,FALSE)</f>
        <v>莱帝亚</v>
      </c>
      <c r="S1447" s="647" t="str">
        <f>VLOOKUP(A1447,'[1]Raw data'!$B:$Z,4,FALSE)</f>
        <v>YSM20R-2</v>
      </c>
      <c r="T1447" s="647" t="str">
        <f>VLOOKUP(A1447,'[1]Raw data'!$B:$Z,8,FALSE)</f>
        <v>L-&gt;R</v>
      </c>
      <c r="U1447" s="647" t="str">
        <f>VLOOKUP(A1447,'[1]Raw data'!$B:$Z,9,FALSE)</f>
        <v>MVC</v>
      </c>
      <c r="V1447" s="567" t="str">
        <f t="shared" ref="V1447:V1448" si="335">IF(G1447&amp;H1447=T1447&amp;U1447,"OK","WRONG")</f>
        <v>WRONG</v>
      </c>
      <c r="W1447" s="563" t="str">
        <f>VLOOKUP(A1447,'[1]Raw data'!$B:$AG,32,FALSE)</f>
        <v>DDP GZ</v>
      </c>
      <c r="X1447" s="657">
        <f>VLOOKUP(A1447,'[1]Raw data'!$B:$BA,31,FALSE)</f>
        <v>45131</v>
      </c>
      <c r="Y1447" s="647" t="str">
        <f>VLOOKUP(A1447,'[1]Raw data'!$B:$AS,39,FALSE)</f>
        <v>Yes</v>
      </c>
      <c r="Z1447" s="659"/>
      <c r="AA1447" s="660"/>
      <c r="AB1447" s="661"/>
      <c r="AC1447" s="647" t="s">
        <v>4104</v>
      </c>
      <c r="AD1447" s="662">
        <v>301</v>
      </c>
      <c r="AE1447" s="662">
        <v>10</v>
      </c>
      <c r="AF1447" s="662">
        <v>306</v>
      </c>
      <c r="AG1447" s="662">
        <v>10</v>
      </c>
      <c r="AH1447" s="662"/>
      <c r="AI1447" s="663"/>
      <c r="AN1447" s="542"/>
      <c r="AO1447" s="824" t="str">
        <f t="shared" si="322"/>
        <v>Yes</v>
      </c>
      <c r="AP1447" s="259" t="str">
        <f t="shared" si="323"/>
        <v>AUG 23</v>
      </c>
      <c r="AQ1447" s="542" t="str">
        <f t="shared" si="324"/>
        <v>有定金+有預留客戶</v>
      </c>
      <c r="AR1447" s="259" t="str">
        <f t="shared" si="325"/>
        <v>Shipped_Stock</v>
      </c>
      <c r="AS1447" s="259" t="str">
        <f t="shared" si="326"/>
        <v/>
      </c>
      <c r="AT1447" s="259" t="str">
        <f t="shared" si="327"/>
        <v>莱帝亚</v>
      </c>
      <c r="AU1447" s="259" t="str">
        <f t="shared" si="328"/>
        <v>LDY-2023071801</v>
      </c>
      <c r="AV1447" s="259" t="str">
        <f t="shared" si="329"/>
        <v>May-15</v>
      </c>
    </row>
    <row r="1448" spans="1:48" hidden="1">
      <c r="A1448" s="559">
        <v>1900</v>
      </c>
      <c r="B1448" s="664" t="s">
        <v>1125</v>
      </c>
      <c r="C1448" s="664" t="s">
        <v>281</v>
      </c>
      <c r="D1448" s="645">
        <v>111253</v>
      </c>
      <c r="E1448" s="744" t="s">
        <v>236</v>
      </c>
      <c r="F1448" s="647" t="s">
        <v>58</v>
      </c>
      <c r="G1448" s="647" t="s">
        <v>24</v>
      </c>
      <c r="H1448" s="647" t="s">
        <v>26</v>
      </c>
      <c r="I1448" s="575" t="s">
        <v>3938</v>
      </c>
      <c r="J1448" s="575">
        <v>1</v>
      </c>
      <c r="K1448" s="647" t="s">
        <v>1732</v>
      </c>
      <c r="L1448" s="657">
        <v>45061</v>
      </c>
      <c r="M1448" s="665">
        <v>5.1799999999999999E-2</v>
      </c>
      <c r="N1448" s="647" t="s">
        <v>4004</v>
      </c>
      <c r="O1448" s="575">
        <v>2023.4</v>
      </c>
      <c r="P1448" s="665" t="str">
        <f>VLOOKUP(A1448,'[1]Raw data'!$B:$BA,23,FALSE)</f>
        <v>RMB</v>
      </c>
      <c r="Q1448" s="647" t="str">
        <f>VLOOKUP(A1448,'[1]Raw data'!$B:$Z,2,FALSE)</f>
        <v>C49SZX20230048SQ</v>
      </c>
      <c r="R1448" s="647" t="str">
        <f>VLOOKUP(A1448,'[1]Raw data'!$B:$Z,3,FALSE)</f>
        <v>旭宇盛翔</v>
      </c>
      <c r="S1448" s="647" t="str">
        <f>VLOOKUP(A1448,'[1]Raw data'!$B:$Z,4,FALSE)</f>
        <v>YSM20R-2</v>
      </c>
      <c r="T1448" s="647" t="str">
        <f>VLOOKUP(A1448,'[1]Raw data'!$B:$Z,8,FALSE)</f>
        <v>L-&gt;R</v>
      </c>
      <c r="U1448" s="647" t="str">
        <f>VLOOKUP(A1448,'[1]Raw data'!$B:$Z,9,FALSE)</f>
        <v>No</v>
      </c>
      <c r="V1448" s="567" t="str">
        <f t="shared" si="335"/>
        <v>OK</v>
      </c>
      <c r="W1448" s="563" t="str">
        <f>VLOOKUP(A1448,'[1]Raw data'!$B:$AG,32,FALSE)</f>
        <v>DDP SZ</v>
      </c>
      <c r="X1448" s="657">
        <f>VLOOKUP(A1448,'[1]Raw data'!$B:$BA,31,FALSE)</f>
        <v>45034</v>
      </c>
      <c r="Y1448" s="647" t="str">
        <f>VLOOKUP(A1448,'[1]Raw data'!$B:$AS,39,FALSE)</f>
        <v>Yes</v>
      </c>
      <c r="Z1448" s="659"/>
      <c r="AA1448" s="660"/>
      <c r="AB1448" s="661"/>
      <c r="AC1448" s="647" t="s">
        <v>4079</v>
      </c>
      <c r="AD1448" s="662">
        <v>301</v>
      </c>
      <c r="AE1448" s="662">
        <v>10</v>
      </c>
      <c r="AF1448" s="662">
        <v>307</v>
      </c>
      <c r="AG1448" s="662">
        <v>10</v>
      </c>
      <c r="AH1448" s="662"/>
      <c r="AI1448" s="663"/>
      <c r="AN1448" s="542"/>
      <c r="AO1448" s="824" t="str">
        <f t="shared" si="322"/>
        <v>Yes</v>
      </c>
      <c r="AP1448" s="259" t="str">
        <f t="shared" si="323"/>
        <v>AUG 23</v>
      </c>
      <c r="AQ1448" s="542" t="str">
        <f t="shared" si="324"/>
        <v>有定金+有預留客戶</v>
      </c>
      <c r="AR1448" s="259" t="str">
        <f t="shared" si="325"/>
        <v>Shipped_Stock</v>
      </c>
      <c r="AS1448" s="259" t="str">
        <f t="shared" si="326"/>
        <v/>
      </c>
      <c r="AT1448" s="259" t="str">
        <f t="shared" si="327"/>
        <v>旭宇盛翔</v>
      </c>
      <c r="AU1448" s="259" t="str">
        <f t="shared" si="328"/>
        <v>C49SZX20230048SQ</v>
      </c>
      <c r="AV1448" s="259" t="str">
        <f t="shared" si="329"/>
        <v>May-15</v>
      </c>
    </row>
    <row r="1449" spans="1:48" hidden="1">
      <c r="A1449" s="599">
        <v>1928</v>
      </c>
      <c r="B1449" s="664" t="s">
        <v>1125</v>
      </c>
      <c r="C1449" s="664" t="s">
        <v>281</v>
      </c>
      <c r="D1449" s="645">
        <v>111253</v>
      </c>
      <c r="E1449" s="744" t="s">
        <v>236</v>
      </c>
      <c r="F1449" s="647" t="s">
        <v>58</v>
      </c>
      <c r="G1449" s="647" t="s">
        <v>24</v>
      </c>
      <c r="H1449" s="647" t="s">
        <v>307</v>
      </c>
      <c r="I1449" s="575" t="s">
        <v>3939</v>
      </c>
      <c r="J1449" s="575">
        <v>1</v>
      </c>
      <c r="K1449" s="647" t="s">
        <v>1732</v>
      </c>
      <c r="L1449" s="657">
        <v>45061</v>
      </c>
      <c r="M1449" s="665">
        <v>5.1799999999999999E-2</v>
      </c>
      <c r="N1449" s="647" t="s">
        <v>4004</v>
      </c>
      <c r="O1449" s="575">
        <v>2023.4</v>
      </c>
      <c r="P1449" s="665" t="str">
        <f>VLOOKUP(A1449,'[1]Raw data'!$B:$BA,23,FALSE)</f>
        <v>JPY</v>
      </c>
      <c r="Q1449" s="647" t="str">
        <f>VLOOKUP(A1449,'[1]Raw data'!$B:$Z,2,FALSE)</f>
        <v>C49SZX20230073MZ</v>
      </c>
      <c r="R1449" s="647" t="str">
        <f>VLOOKUP(A1449,'[1]Raw data'!$B:$Z,3,FALSE)</f>
        <v>方案集（End user:陆巡）</v>
      </c>
      <c r="S1449" s="647" t="str">
        <f>VLOOKUP(A1449,'[1]Raw data'!$B:$Z,4,FALSE)</f>
        <v>YSM20R-2</v>
      </c>
      <c r="T1449" s="647" t="str">
        <f>VLOOKUP(A1449,'[1]Raw data'!$B:$Z,8,FALSE)</f>
        <v>L-&gt;R</v>
      </c>
      <c r="U1449" s="647" t="str">
        <f>VLOOKUP(A1449,'[1]Raw data'!$B:$Z,9,FALSE)</f>
        <v>No</v>
      </c>
      <c r="V1449" s="567" t="str">
        <f>IF(G1449&amp;H1449=T1449&amp;U1449,"OK","WRONG")</f>
        <v>OK</v>
      </c>
      <c r="W1449" s="563" t="str">
        <f>VLOOKUP(A1449,'[1]Raw data'!$B:$AG,32,FALSE)</f>
        <v>CIF HK</v>
      </c>
      <c r="X1449" s="657">
        <f>VLOOKUP(A1449,'[1]Raw data'!$B:$BA,31,FALSE)</f>
        <v>45097</v>
      </c>
      <c r="Y1449" s="647" t="str">
        <f>VLOOKUP(A1449,'[1]Raw data'!$B:$AS,39,FALSE)</f>
        <v>Yes</v>
      </c>
      <c r="Z1449" s="659"/>
      <c r="AA1449" s="660"/>
      <c r="AB1449" s="661"/>
      <c r="AC1449" s="647" t="s">
        <v>4090</v>
      </c>
      <c r="AD1449" s="575">
        <v>301</v>
      </c>
      <c r="AE1449" s="575">
        <v>20</v>
      </c>
      <c r="AF1449" s="575"/>
      <c r="AG1449" s="575"/>
      <c r="AH1449" s="575"/>
      <c r="AI1449" s="679"/>
      <c r="AJ1449" s="564"/>
      <c r="AK1449" s="564"/>
      <c r="AL1449" s="564"/>
      <c r="AM1449" s="564"/>
      <c r="AN1449" s="614"/>
      <c r="AO1449" s="824" t="str">
        <f t="shared" si="322"/>
        <v>Yes</v>
      </c>
      <c r="AP1449" s="259" t="str">
        <f t="shared" si="323"/>
        <v>AUG 23</v>
      </c>
      <c r="AQ1449" s="542" t="str">
        <f t="shared" si="324"/>
        <v>有定金+有預留客戶</v>
      </c>
      <c r="AR1449" s="259" t="str">
        <f t="shared" si="325"/>
        <v>Shipped_Stock</v>
      </c>
      <c r="AS1449" s="259" t="str">
        <f t="shared" si="326"/>
        <v/>
      </c>
      <c r="AT1449" s="259" t="str">
        <f t="shared" si="327"/>
        <v>方案集（End user:陆巡）</v>
      </c>
      <c r="AU1449" s="259" t="str">
        <f t="shared" si="328"/>
        <v>C49SZX20230073MZ</v>
      </c>
      <c r="AV1449" s="259" t="str">
        <f t="shared" si="329"/>
        <v>May-15</v>
      </c>
    </row>
    <row r="1450" spans="1:48" hidden="1">
      <c r="A1450" s="599">
        <v>1929</v>
      </c>
      <c r="B1450" s="664" t="s">
        <v>1125</v>
      </c>
      <c r="C1450" s="664" t="s">
        <v>281</v>
      </c>
      <c r="D1450" s="645">
        <v>111253</v>
      </c>
      <c r="E1450" s="744" t="s">
        <v>236</v>
      </c>
      <c r="F1450" s="647" t="s">
        <v>58</v>
      </c>
      <c r="G1450" s="647" t="s">
        <v>24</v>
      </c>
      <c r="H1450" s="647" t="s">
        <v>26</v>
      </c>
      <c r="I1450" s="575" t="s">
        <v>3940</v>
      </c>
      <c r="J1450" s="575">
        <v>1</v>
      </c>
      <c r="K1450" s="647" t="s">
        <v>1732</v>
      </c>
      <c r="L1450" s="657">
        <v>45061</v>
      </c>
      <c r="M1450" s="665">
        <v>5.1799999999999999E-2</v>
      </c>
      <c r="N1450" s="647" t="s">
        <v>4004</v>
      </c>
      <c r="O1450" s="575">
        <v>2023.4</v>
      </c>
      <c r="P1450" s="665" t="str">
        <f>VLOOKUP(A1450,'[1]Raw data'!$B:$BA,23,FALSE)</f>
        <v>JPY</v>
      </c>
      <c r="Q1450" s="647" t="str">
        <f>VLOOKUP(A1450,'[1]Raw data'!$B:$Z,2,FALSE)</f>
        <v>C49SZX20230073MZ</v>
      </c>
      <c r="R1450" s="647" t="str">
        <f>VLOOKUP(A1450,'[1]Raw data'!$B:$Z,3,FALSE)</f>
        <v>方案集（End user:陆巡）</v>
      </c>
      <c r="S1450" s="647" t="str">
        <f>VLOOKUP(A1450,'[1]Raw data'!$B:$Z,4,FALSE)</f>
        <v>YSM20R-2</v>
      </c>
      <c r="T1450" s="647" t="str">
        <f>VLOOKUP(A1450,'[1]Raw data'!$B:$Z,8,FALSE)</f>
        <v>L-&gt;R</v>
      </c>
      <c r="U1450" s="647" t="str">
        <f>VLOOKUP(A1450,'[1]Raw data'!$B:$Z,9,FALSE)</f>
        <v>No</v>
      </c>
      <c r="V1450" s="567" t="str">
        <f>IF(G1450&amp;H1450=T1450&amp;U1450,"OK","WRONG")</f>
        <v>OK</v>
      </c>
      <c r="W1450" s="563" t="str">
        <f>VLOOKUP(A1450,'[1]Raw data'!$B:$AG,32,FALSE)</f>
        <v>CIF HK</v>
      </c>
      <c r="X1450" s="657">
        <f>VLOOKUP(A1450,'[1]Raw data'!$B:$BA,31,FALSE)</f>
        <v>45097</v>
      </c>
      <c r="Y1450" s="647" t="str">
        <f>VLOOKUP(A1450,'[1]Raw data'!$B:$AS,39,FALSE)</f>
        <v>Yes</v>
      </c>
      <c r="Z1450" s="659"/>
      <c r="AA1450" s="660"/>
      <c r="AB1450" s="661"/>
      <c r="AC1450" s="647" t="s">
        <v>4090</v>
      </c>
      <c r="AD1450" s="575">
        <v>301</v>
      </c>
      <c r="AE1450" s="575">
        <v>20</v>
      </c>
      <c r="AF1450" s="575"/>
      <c r="AG1450" s="575"/>
      <c r="AH1450" s="575"/>
      <c r="AI1450" s="679"/>
      <c r="AJ1450" s="564"/>
      <c r="AK1450" s="564"/>
      <c r="AL1450" s="564"/>
      <c r="AM1450" s="564"/>
      <c r="AN1450" s="614"/>
      <c r="AO1450" s="824" t="str">
        <f t="shared" si="322"/>
        <v>Yes</v>
      </c>
      <c r="AP1450" s="259" t="str">
        <f t="shared" si="323"/>
        <v>AUG 23</v>
      </c>
      <c r="AQ1450" s="542" t="str">
        <f t="shared" si="324"/>
        <v>有定金+有預留客戶</v>
      </c>
      <c r="AR1450" s="259" t="str">
        <f t="shared" si="325"/>
        <v>Shipped_Stock</v>
      </c>
      <c r="AS1450" s="259" t="str">
        <f t="shared" si="326"/>
        <v/>
      </c>
      <c r="AT1450" s="259" t="str">
        <f t="shared" si="327"/>
        <v>方案集（End user:陆巡）</v>
      </c>
      <c r="AU1450" s="259" t="str">
        <f t="shared" si="328"/>
        <v>C49SZX20230073MZ</v>
      </c>
      <c r="AV1450" s="259" t="str">
        <f t="shared" si="329"/>
        <v>May-15</v>
      </c>
    </row>
    <row r="1451" spans="1:48" hidden="1">
      <c r="A1451" s="559">
        <v>1976</v>
      </c>
      <c r="B1451" s="664" t="s">
        <v>1125</v>
      </c>
      <c r="C1451" s="664" t="s">
        <v>281</v>
      </c>
      <c r="D1451" s="645">
        <v>111253</v>
      </c>
      <c r="E1451" s="744" t="s">
        <v>236</v>
      </c>
      <c r="F1451" s="647" t="s">
        <v>58</v>
      </c>
      <c r="G1451" s="647" t="s">
        <v>24</v>
      </c>
      <c r="H1451" s="647" t="s">
        <v>26</v>
      </c>
      <c r="I1451" s="575" t="s">
        <v>3941</v>
      </c>
      <c r="J1451" s="575">
        <v>1</v>
      </c>
      <c r="K1451" s="647" t="s">
        <v>1732</v>
      </c>
      <c r="L1451" s="657">
        <v>45061</v>
      </c>
      <c r="M1451" s="665">
        <v>5.1799999999999999E-2</v>
      </c>
      <c r="N1451" s="647" t="s">
        <v>4105</v>
      </c>
      <c r="O1451" s="575">
        <v>2023.4</v>
      </c>
      <c r="P1451" s="665" t="str">
        <f>VLOOKUP(A1451,'[1]Raw data'!$B:$BA,23,FALSE)</f>
        <v>JPY</v>
      </c>
      <c r="Q1451" s="647" t="str">
        <f>VLOOKUP(A1451,'[1]Raw data'!$B:$Z,2,FALSE)</f>
        <v>C49SZX20230102SX</v>
      </c>
      <c r="R1451" s="647" t="str">
        <f>VLOOKUP(A1451,'[1]Raw data'!$B:$Z,3,FALSE)</f>
        <v>太美亚</v>
      </c>
      <c r="S1451" s="647" t="str">
        <f>VLOOKUP(A1451,'[1]Raw data'!$B:$Z,4,FALSE)</f>
        <v>YSM20R-2</v>
      </c>
      <c r="T1451" s="647" t="str">
        <f>VLOOKUP(A1451,'[1]Raw data'!$B:$Z,8,FALSE)</f>
        <v>L-&gt;R</v>
      </c>
      <c r="U1451" s="647" t="str">
        <f>VLOOKUP(A1451,'[1]Raw data'!$B:$Z,9,FALSE)</f>
        <v>No</v>
      </c>
      <c r="V1451" s="567" t="str">
        <f>IF(G1451&amp;H1451=T1451&amp;U1451,"OK","WRONG")</f>
        <v>OK</v>
      </c>
      <c r="W1451" s="563" t="str">
        <f>VLOOKUP(A1451,'[1]Raw data'!$B:$AG,32,FALSE)</f>
        <v>DAP YC</v>
      </c>
      <c r="X1451" s="657">
        <f>VLOOKUP(A1451,'[1]Raw data'!$B:$BA,31,FALSE)</f>
        <v>45184</v>
      </c>
      <c r="Y1451" s="647" t="str">
        <f>VLOOKUP(A1451,'[1]Raw data'!$B:$AS,39,FALSE)</f>
        <v>Yes</v>
      </c>
      <c r="Z1451" s="659"/>
      <c r="AA1451" s="660"/>
      <c r="AB1451" s="661"/>
      <c r="AC1451" s="647" t="s">
        <v>4159</v>
      </c>
      <c r="AD1451" s="662">
        <v>301</v>
      </c>
      <c r="AE1451" s="662">
        <v>20</v>
      </c>
      <c r="AF1451" s="662"/>
      <c r="AG1451" s="662"/>
      <c r="AH1451" s="662"/>
      <c r="AI1451" s="663"/>
      <c r="AN1451" s="542"/>
      <c r="AO1451" s="824" t="str">
        <f t="shared" si="322"/>
        <v>Yes</v>
      </c>
      <c r="AP1451" s="259" t="str">
        <f t="shared" si="323"/>
        <v>SEP 23</v>
      </c>
      <c r="AQ1451" s="542" t="str">
        <f t="shared" si="324"/>
        <v>有定金+有預留客戶</v>
      </c>
      <c r="AR1451" s="259" t="str">
        <f t="shared" si="325"/>
        <v>Shipped_Stock</v>
      </c>
      <c r="AS1451" s="259" t="str">
        <f t="shared" si="326"/>
        <v/>
      </c>
      <c r="AT1451" s="259" t="str">
        <f t="shared" si="327"/>
        <v>太美亚</v>
      </c>
      <c r="AU1451" s="259" t="str">
        <f t="shared" si="328"/>
        <v>C49SZX20230102SX</v>
      </c>
      <c r="AV1451" s="259" t="str">
        <f t="shared" si="329"/>
        <v>May-15</v>
      </c>
    </row>
    <row r="1452" spans="1:48" hidden="1">
      <c r="A1452" s="559">
        <v>1977</v>
      </c>
      <c r="B1452" s="664" t="s">
        <v>1125</v>
      </c>
      <c r="C1452" s="664" t="s">
        <v>281</v>
      </c>
      <c r="D1452" s="645">
        <v>111253</v>
      </c>
      <c r="E1452" s="744" t="s">
        <v>236</v>
      </c>
      <c r="F1452" s="647" t="s">
        <v>58</v>
      </c>
      <c r="G1452" s="647" t="s">
        <v>24</v>
      </c>
      <c r="H1452" s="647" t="s">
        <v>26</v>
      </c>
      <c r="I1452" s="575" t="s">
        <v>3942</v>
      </c>
      <c r="J1452" s="575">
        <v>1</v>
      </c>
      <c r="K1452" s="647" t="s">
        <v>1732</v>
      </c>
      <c r="L1452" s="657">
        <v>45061</v>
      </c>
      <c r="M1452" s="665">
        <v>5.1799999999999999E-2</v>
      </c>
      <c r="N1452" s="647" t="s">
        <v>4105</v>
      </c>
      <c r="O1452" s="575">
        <v>2023.4</v>
      </c>
      <c r="P1452" s="665" t="str">
        <f>VLOOKUP(A1452,'[1]Raw data'!$B:$BA,23,FALSE)</f>
        <v>JPY</v>
      </c>
      <c r="Q1452" s="647" t="str">
        <f>VLOOKUP(A1452,'[1]Raw data'!$B:$Z,2,FALSE)</f>
        <v>C49SZX20230102SX</v>
      </c>
      <c r="R1452" s="647" t="str">
        <f>VLOOKUP(A1452,'[1]Raw data'!$B:$Z,3,FALSE)</f>
        <v>太美亚</v>
      </c>
      <c r="S1452" s="647" t="str">
        <f>VLOOKUP(A1452,'[1]Raw data'!$B:$Z,4,FALSE)</f>
        <v>YSM20R-2</v>
      </c>
      <c r="T1452" s="647" t="str">
        <f>VLOOKUP(A1452,'[1]Raw data'!$B:$Z,8,FALSE)</f>
        <v>L-&gt;R</v>
      </c>
      <c r="U1452" s="647" t="str">
        <f>VLOOKUP(A1452,'[1]Raw data'!$B:$Z,9,FALSE)</f>
        <v>No</v>
      </c>
      <c r="V1452" s="567" t="str">
        <f t="shared" ref="V1452:V1454" si="336">IF(G1452&amp;H1452=T1452&amp;U1452,"OK","WRONG")</f>
        <v>OK</v>
      </c>
      <c r="W1452" s="563" t="str">
        <f>VLOOKUP(A1452,'[1]Raw data'!$B:$AG,32,FALSE)</f>
        <v>DAP YC</v>
      </c>
      <c r="X1452" s="657">
        <f>VLOOKUP(A1452,'[1]Raw data'!$B:$BA,31,FALSE)</f>
        <v>45184</v>
      </c>
      <c r="Y1452" s="647" t="str">
        <f>VLOOKUP(A1452,'[1]Raw data'!$B:$AS,39,FALSE)</f>
        <v>Yes</v>
      </c>
      <c r="Z1452" s="659"/>
      <c r="AA1452" s="660"/>
      <c r="AB1452" s="661"/>
      <c r="AC1452" s="647" t="s">
        <v>4159</v>
      </c>
      <c r="AD1452" s="662">
        <v>301</v>
      </c>
      <c r="AE1452" s="662">
        <v>20</v>
      </c>
      <c r="AF1452" s="662"/>
      <c r="AG1452" s="662"/>
      <c r="AH1452" s="662"/>
      <c r="AI1452" s="663"/>
      <c r="AN1452" s="542"/>
      <c r="AO1452" s="824" t="str">
        <f t="shared" si="322"/>
        <v>Yes</v>
      </c>
      <c r="AP1452" s="259" t="str">
        <f t="shared" si="323"/>
        <v>SEP 23</v>
      </c>
      <c r="AQ1452" s="542" t="str">
        <f t="shared" si="324"/>
        <v>有定金+有預留客戶</v>
      </c>
      <c r="AR1452" s="259" t="str">
        <f t="shared" si="325"/>
        <v>Shipped_Stock</v>
      </c>
      <c r="AS1452" s="259" t="str">
        <f t="shared" si="326"/>
        <v/>
      </c>
      <c r="AT1452" s="259" t="str">
        <f t="shared" si="327"/>
        <v>太美亚</v>
      </c>
      <c r="AU1452" s="259" t="str">
        <f t="shared" si="328"/>
        <v>C49SZX20230102SX</v>
      </c>
      <c r="AV1452" s="259" t="str">
        <f t="shared" si="329"/>
        <v>May-15</v>
      </c>
    </row>
    <row r="1453" spans="1:48" hidden="1">
      <c r="A1453" s="559">
        <v>1950</v>
      </c>
      <c r="B1453" s="664" t="s">
        <v>1125</v>
      </c>
      <c r="C1453" s="664" t="s">
        <v>281</v>
      </c>
      <c r="D1453" s="645">
        <v>111253</v>
      </c>
      <c r="E1453" s="744" t="s">
        <v>236</v>
      </c>
      <c r="F1453" s="647" t="s">
        <v>58</v>
      </c>
      <c r="G1453" s="647" t="s">
        <v>24</v>
      </c>
      <c r="H1453" s="647" t="s">
        <v>26</v>
      </c>
      <c r="I1453" s="575" t="s">
        <v>3943</v>
      </c>
      <c r="J1453" s="575">
        <v>1</v>
      </c>
      <c r="K1453" s="647" t="s">
        <v>1732</v>
      </c>
      <c r="L1453" s="657">
        <v>45061</v>
      </c>
      <c r="M1453" s="665">
        <v>5.1799999999999999E-2</v>
      </c>
      <c r="N1453" s="647" t="s">
        <v>4105</v>
      </c>
      <c r="O1453" s="575">
        <v>2023.4</v>
      </c>
      <c r="P1453" s="665" t="str">
        <f>VLOOKUP(A1453,'[1]Raw data'!$B:$BA,23,FALSE)</f>
        <v>RMB</v>
      </c>
      <c r="Q1453" s="647" t="str">
        <f>VLOOKUP(A1453,'[1]Raw data'!$B:$Z,2,FALSE)</f>
        <v>C49SZX20230093SX</v>
      </c>
      <c r="R1453" s="647" t="str">
        <f>VLOOKUP(A1453,'[1]Raw data'!$B:$Z,3,FALSE)</f>
        <v>益田科技(End uer:泓裕）</v>
      </c>
      <c r="S1453" s="647" t="str">
        <f>VLOOKUP(A1453,'[1]Raw data'!$B:$Z,4,FALSE)</f>
        <v>YSM20R-2</v>
      </c>
      <c r="T1453" s="647" t="str">
        <f>VLOOKUP(A1453,'[1]Raw data'!$B:$Z,8,FALSE)</f>
        <v>L-&gt;R</v>
      </c>
      <c r="U1453" s="647" t="str">
        <f>VLOOKUP(A1453,'[1]Raw data'!$B:$Z,9,FALSE)</f>
        <v>No</v>
      </c>
      <c r="V1453" s="567" t="str">
        <f t="shared" si="336"/>
        <v>OK</v>
      </c>
      <c r="W1453" s="563" t="str">
        <f>VLOOKUP(A1453,'[1]Raw data'!$B:$AG,32,FALSE)</f>
        <v>DDP SZ</v>
      </c>
      <c r="X1453" s="657">
        <f>VLOOKUP(A1453,'[1]Raw data'!$B:$BA,31,FALSE)</f>
        <v>45127</v>
      </c>
      <c r="Y1453" s="647" t="str">
        <f>VLOOKUP(A1453,'[1]Raw data'!$B:$AS,39,FALSE)</f>
        <v>Yes</v>
      </c>
      <c r="Z1453" s="659"/>
      <c r="AA1453" s="660"/>
      <c r="AB1453" s="661"/>
      <c r="AC1453" s="647" t="s">
        <v>4164</v>
      </c>
      <c r="AD1453" s="662">
        <v>301</v>
      </c>
      <c r="AE1453" s="662">
        <v>20</v>
      </c>
      <c r="AF1453" s="662"/>
      <c r="AG1453" s="662"/>
      <c r="AH1453" s="662"/>
      <c r="AI1453" s="663"/>
      <c r="AN1453" s="542"/>
      <c r="AO1453" s="824" t="str">
        <f t="shared" si="322"/>
        <v>Yes</v>
      </c>
      <c r="AP1453" s="259" t="str">
        <f t="shared" si="323"/>
        <v>SEP 23</v>
      </c>
      <c r="AQ1453" s="542" t="str">
        <f t="shared" si="324"/>
        <v>有定金+有預留客戶</v>
      </c>
      <c r="AR1453" s="259" t="str">
        <f t="shared" si="325"/>
        <v>Shipped_Stock</v>
      </c>
      <c r="AS1453" s="259" t="str">
        <f t="shared" si="326"/>
        <v/>
      </c>
      <c r="AT1453" s="259" t="str">
        <f t="shared" si="327"/>
        <v>益田科技(End uer:泓裕）</v>
      </c>
      <c r="AU1453" s="259" t="str">
        <f t="shared" si="328"/>
        <v>C49SZX20230093SX</v>
      </c>
      <c r="AV1453" s="259" t="str">
        <f t="shared" si="329"/>
        <v>May-15</v>
      </c>
    </row>
    <row r="1454" spans="1:48" hidden="1">
      <c r="A1454" s="559">
        <v>1948</v>
      </c>
      <c r="B1454" s="664" t="s">
        <v>1125</v>
      </c>
      <c r="C1454" s="664" t="s">
        <v>281</v>
      </c>
      <c r="D1454" s="645">
        <v>111253</v>
      </c>
      <c r="E1454" s="744" t="s">
        <v>236</v>
      </c>
      <c r="F1454" s="647" t="s">
        <v>58</v>
      </c>
      <c r="G1454" s="647" t="s">
        <v>24</v>
      </c>
      <c r="H1454" s="647" t="s">
        <v>26</v>
      </c>
      <c r="I1454" s="575" t="s">
        <v>3944</v>
      </c>
      <c r="J1454" s="575">
        <v>1</v>
      </c>
      <c r="K1454" s="647" t="s">
        <v>1732</v>
      </c>
      <c r="L1454" s="657">
        <v>45061</v>
      </c>
      <c r="M1454" s="665">
        <v>5.1799999999999999E-2</v>
      </c>
      <c r="N1454" s="647" t="s">
        <v>4105</v>
      </c>
      <c r="O1454" s="575">
        <v>2023.4</v>
      </c>
      <c r="P1454" s="665" t="str">
        <f>VLOOKUP(A1454,'[1]Raw data'!$B:$BA,23,FALSE)</f>
        <v>RMB</v>
      </c>
      <c r="Q1454" s="647" t="str">
        <f>VLOOKUP(A1454,'[1]Raw data'!$B:$Z,2,FALSE)</f>
        <v>C49SZX20230093SX</v>
      </c>
      <c r="R1454" s="647" t="str">
        <f>VLOOKUP(A1454,'[1]Raw data'!$B:$Z,3,FALSE)</f>
        <v>益田科技(End uer:泓裕）</v>
      </c>
      <c r="S1454" s="647" t="str">
        <f>VLOOKUP(A1454,'[1]Raw data'!$B:$Z,4,FALSE)</f>
        <v>YSM20R-2</v>
      </c>
      <c r="T1454" s="647" t="str">
        <f>VLOOKUP(A1454,'[1]Raw data'!$B:$Z,8,FALSE)</f>
        <v>L-&gt;R</v>
      </c>
      <c r="U1454" s="647" t="str">
        <f>VLOOKUP(A1454,'[1]Raw data'!$B:$Z,9,FALSE)</f>
        <v>No</v>
      </c>
      <c r="V1454" s="567" t="str">
        <f t="shared" si="336"/>
        <v>OK</v>
      </c>
      <c r="W1454" s="563" t="str">
        <f>VLOOKUP(A1454,'[1]Raw data'!$B:$AG,32,FALSE)</f>
        <v>DDP SZ</v>
      </c>
      <c r="X1454" s="657">
        <f>VLOOKUP(A1454,'[1]Raw data'!$B:$BA,31,FALSE)</f>
        <v>45127</v>
      </c>
      <c r="Y1454" s="647" t="str">
        <f>VLOOKUP(A1454,'[1]Raw data'!$B:$AS,39,FALSE)</f>
        <v>Yes</v>
      </c>
      <c r="Z1454" s="659"/>
      <c r="AA1454" s="660"/>
      <c r="AB1454" s="661"/>
      <c r="AC1454" s="647" t="s">
        <v>4164</v>
      </c>
      <c r="AD1454" s="662">
        <v>301</v>
      </c>
      <c r="AE1454" s="662">
        <v>20</v>
      </c>
      <c r="AF1454" s="662"/>
      <c r="AG1454" s="662"/>
      <c r="AH1454" s="662"/>
      <c r="AI1454" s="663"/>
      <c r="AN1454" s="542"/>
      <c r="AO1454" s="824" t="str">
        <f t="shared" si="322"/>
        <v>Yes</v>
      </c>
      <c r="AP1454" s="259" t="str">
        <f t="shared" si="323"/>
        <v>SEP 23</v>
      </c>
      <c r="AQ1454" s="542" t="str">
        <f t="shared" si="324"/>
        <v>有定金+有預留客戶</v>
      </c>
      <c r="AR1454" s="259" t="str">
        <f t="shared" si="325"/>
        <v>Shipped_Stock</v>
      </c>
      <c r="AS1454" s="259" t="str">
        <f t="shared" si="326"/>
        <v/>
      </c>
      <c r="AT1454" s="259" t="str">
        <f t="shared" si="327"/>
        <v>益田科技(End uer:泓裕）</v>
      </c>
      <c r="AU1454" s="259" t="str">
        <f t="shared" si="328"/>
        <v>C49SZX20230093SX</v>
      </c>
      <c r="AV1454" s="259" t="str">
        <f t="shared" si="329"/>
        <v>May-15</v>
      </c>
    </row>
    <row r="1455" spans="1:48" hidden="1">
      <c r="A1455" s="559">
        <v>1949</v>
      </c>
      <c r="B1455" s="664" t="s">
        <v>1125</v>
      </c>
      <c r="C1455" s="664" t="s">
        <v>281</v>
      </c>
      <c r="D1455" s="645">
        <v>111253</v>
      </c>
      <c r="E1455" s="744" t="s">
        <v>236</v>
      </c>
      <c r="F1455" s="647" t="s">
        <v>58</v>
      </c>
      <c r="G1455" s="647" t="s">
        <v>24</v>
      </c>
      <c r="H1455" s="647" t="s">
        <v>26</v>
      </c>
      <c r="I1455" s="575" t="s">
        <v>3945</v>
      </c>
      <c r="J1455" s="575">
        <v>1</v>
      </c>
      <c r="K1455" s="647" t="s">
        <v>1732</v>
      </c>
      <c r="L1455" s="657">
        <v>45061</v>
      </c>
      <c r="M1455" s="665">
        <v>5.1799999999999999E-2</v>
      </c>
      <c r="N1455" s="647" t="s">
        <v>4105</v>
      </c>
      <c r="O1455" s="575">
        <v>2023.4</v>
      </c>
      <c r="P1455" s="665" t="str">
        <f>VLOOKUP(A1455,'[1]Raw data'!$B:$BA,23,FALSE)</f>
        <v>RMB</v>
      </c>
      <c r="Q1455" s="647" t="str">
        <f>VLOOKUP(A1455,'[1]Raw data'!$B:$Z,2,FALSE)</f>
        <v>C49SZX20230093SX</v>
      </c>
      <c r="R1455" s="647" t="str">
        <f>VLOOKUP(A1455,'[1]Raw data'!$B:$Z,3,FALSE)</f>
        <v>益田科技(End uer:泓裕）</v>
      </c>
      <c r="S1455" s="647" t="str">
        <f>VLOOKUP(A1455,'[1]Raw data'!$B:$Z,4,FALSE)</f>
        <v>YSM20R-2</v>
      </c>
      <c r="T1455" s="647" t="str">
        <f>VLOOKUP(A1455,'[1]Raw data'!$B:$Z,8,FALSE)</f>
        <v>L-&gt;R</v>
      </c>
      <c r="U1455" s="647" t="str">
        <f>VLOOKUP(A1455,'[1]Raw data'!$B:$Z,9,FALSE)</f>
        <v>No</v>
      </c>
      <c r="V1455" s="567" t="str">
        <f t="shared" ref="V1455:V1461" si="337">IF(G1455&amp;H1455=T1455&amp;U1455,"OK","WRONG")</f>
        <v>OK</v>
      </c>
      <c r="W1455" s="563" t="str">
        <f>VLOOKUP(A1455,'[1]Raw data'!$B:$AG,32,FALSE)</f>
        <v>DDP SZ</v>
      </c>
      <c r="X1455" s="657">
        <f>VLOOKUP(A1455,'[1]Raw data'!$B:$BA,31,FALSE)</f>
        <v>45127</v>
      </c>
      <c r="Y1455" s="647" t="str">
        <f>VLOOKUP(A1455,'[1]Raw data'!$B:$AS,39,FALSE)</f>
        <v>Yes</v>
      </c>
      <c r="Z1455" s="659"/>
      <c r="AA1455" s="660"/>
      <c r="AB1455" s="661"/>
      <c r="AC1455" s="647" t="s">
        <v>4164</v>
      </c>
      <c r="AD1455" s="662">
        <v>301</v>
      </c>
      <c r="AE1455" s="662">
        <v>20</v>
      </c>
      <c r="AF1455" s="662"/>
      <c r="AG1455" s="662"/>
      <c r="AH1455" s="662"/>
      <c r="AI1455" s="663"/>
      <c r="AN1455" s="542"/>
      <c r="AO1455" s="824" t="str">
        <f t="shared" si="322"/>
        <v>Yes</v>
      </c>
      <c r="AP1455" s="259" t="str">
        <f t="shared" si="323"/>
        <v>SEP 23</v>
      </c>
      <c r="AQ1455" s="542" t="str">
        <f t="shared" si="324"/>
        <v>有定金+有預留客戶</v>
      </c>
      <c r="AR1455" s="259" t="str">
        <f t="shared" si="325"/>
        <v>Shipped_Stock</v>
      </c>
      <c r="AS1455" s="259" t="str">
        <f t="shared" si="326"/>
        <v/>
      </c>
      <c r="AT1455" s="259" t="str">
        <f t="shared" si="327"/>
        <v>益田科技(End uer:泓裕）</v>
      </c>
      <c r="AU1455" s="259" t="str">
        <f t="shared" si="328"/>
        <v>C49SZX20230093SX</v>
      </c>
      <c r="AV1455" s="259" t="str">
        <f t="shared" si="329"/>
        <v>May-15</v>
      </c>
    </row>
    <row r="1456" spans="1:48" hidden="1">
      <c r="A1456" s="559">
        <v>1974</v>
      </c>
      <c r="B1456" s="664" t="s">
        <v>1125</v>
      </c>
      <c r="C1456" s="664" t="s">
        <v>281</v>
      </c>
      <c r="D1456" s="645">
        <v>111253</v>
      </c>
      <c r="E1456" s="744" t="s">
        <v>236</v>
      </c>
      <c r="F1456" s="647" t="s">
        <v>58</v>
      </c>
      <c r="G1456" s="647" t="s">
        <v>24</v>
      </c>
      <c r="H1456" s="647" t="s">
        <v>26</v>
      </c>
      <c r="I1456" s="575" t="s">
        <v>4077</v>
      </c>
      <c r="J1456" s="575">
        <v>1</v>
      </c>
      <c r="K1456" s="647" t="s">
        <v>1732</v>
      </c>
      <c r="L1456" s="657">
        <v>45061</v>
      </c>
      <c r="M1456" s="665">
        <v>5.1799999999999999E-2</v>
      </c>
      <c r="N1456" s="647" t="s">
        <v>4105</v>
      </c>
      <c r="O1456" s="575">
        <v>2023.4</v>
      </c>
      <c r="P1456" s="665" t="str">
        <f>VLOOKUP(A1456,'[1]Raw data'!$B:$BA,23,FALSE)</f>
        <v>JPY</v>
      </c>
      <c r="Q1456" s="647" t="str">
        <f>VLOOKUP(A1456,'[1]Raw data'!$B:$Z,2,FALSE)</f>
        <v>C49SZX20230100JL</v>
      </c>
      <c r="R1456" s="647" t="str">
        <f>VLOOKUP(A1456,'[1]Raw data'!$B:$Z,3,FALSE)</f>
        <v>海龙智通</v>
      </c>
      <c r="S1456" s="647" t="str">
        <f>VLOOKUP(A1456,'[1]Raw data'!$B:$Z,4,FALSE)</f>
        <v>YSM20R-2</v>
      </c>
      <c r="T1456" s="647" t="str">
        <f>VLOOKUP(A1456,'[1]Raw data'!$B:$Z,8,FALSE)</f>
        <v>L-&gt;R</v>
      </c>
      <c r="U1456" s="647" t="str">
        <f>VLOOKUP(A1456,'[1]Raw data'!$B:$Z,9,FALSE)</f>
        <v>No</v>
      </c>
      <c r="V1456" s="567" t="str">
        <f t="shared" si="337"/>
        <v>OK</v>
      </c>
      <c r="W1456" s="563" t="str">
        <f>VLOOKUP(A1456,'[1]Raw data'!$B:$AG,32,FALSE)</f>
        <v>DAP DG</v>
      </c>
      <c r="X1456" s="657">
        <f>VLOOKUP(A1456,'[1]Raw data'!$B:$BA,31,FALSE)</f>
        <v>45182</v>
      </c>
      <c r="Y1456" s="647" t="str">
        <f>VLOOKUP(A1456,'[1]Raw data'!$B:$AS,39,FALSE)</f>
        <v>Yes</v>
      </c>
      <c r="Z1456" s="659"/>
      <c r="AA1456" s="660"/>
      <c r="AB1456" s="661"/>
      <c r="AC1456" s="647" t="s">
        <v>4118</v>
      </c>
      <c r="AD1456" s="662">
        <v>301</v>
      </c>
      <c r="AE1456" s="662">
        <v>20</v>
      </c>
      <c r="AF1456" s="662"/>
      <c r="AG1456" s="662"/>
      <c r="AH1456" s="662"/>
      <c r="AI1456" s="663"/>
      <c r="AN1456" s="542"/>
      <c r="AO1456" s="824" t="str">
        <f t="shared" si="322"/>
        <v>Yes</v>
      </c>
      <c r="AP1456" s="259" t="str">
        <f t="shared" si="323"/>
        <v>SEP 23</v>
      </c>
      <c r="AQ1456" s="542" t="str">
        <f t="shared" si="324"/>
        <v>有定金+有預留客戶</v>
      </c>
      <c r="AR1456" s="259" t="str">
        <f t="shared" si="325"/>
        <v>Shipped_Stock</v>
      </c>
      <c r="AS1456" s="259" t="str">
        <f t="shared" si="326"/>
        <v/>
      </c>
      <c r="AT1456" s="259" t="str">
        <f t="shared" si="327"/>
        <v>海龙智通</v>
      </c>
      <c r="AU1456" s="259" t="str">
        <f t="shared" si="328"/>
        <v>C49SZX20230100JL</v>
      </c>
      <c r="AV1456" s="259" t="str">
        <f t="shared" si="329"/>
        <v>May-15</v>
      </c>
    </row>
    <row r="1457" spans="1:48" hidden="1">
      <c r="A1457" s="599">
        <v>1911</v>
      </c>
      <c r="B1457" s="664" t="s">
        <v>1125</v>
      </c>
      <c r="C1457" s="664" t="s">
        <v>281</v>
      </c>
      <c r="D1457" s="645" t="s">
        <v>3934</v>
      </c>
      <c r="E1457" s="744" t="s">
        <v>236</v>
      </c>
      <c r="F1457" s="647" t="s">
        <v>58</v>
      </c>
      <c r="G1457" s="647" t="s">
        <v>24</v>
      </c>
      <c r="H1457" s="647" t="s">
        <v>26</v>
      </c>
      <c r="I1457" s="575" t="s">
        <v>3925</v>
      </c>
      <c r="J1457" s="575">
        <v>1</v>
      </c>
      <c r="K1457" s="647" t="s">
        <v>1419</v>
      </c>
      <c r="L1457" s="759" t="s">
        <v>3965</v>
      </c>
      <c r="M1457" s="804" t="s">
        <v>3935</v>
      </c>
      <c r="N1457" s="647" t="s">
        <v>2502</v>
      </c>
      <c r="O1457" s="575">
        <v>2022.03</v>
      </c>
      <c r="P1457" s="665" t="str">
        <f>VLOOKUP(A1457,'[1]Raw data'!$B:$BA,23,FALSE)</f>
        <v>RMB</v>
      </c>
      <c r="Q1457" s="647" t="str">
        <f>VLOOKUP(A1457,'[1]Raw data'!$B:$Z,2,FALSE)</f>
        <v>C49SZX20230058EC</v>
      </c>
      <c r="R1457" s="647" t="str">
        <f>VLOOKUP(A1457,'[1]Raw data'!$B:$Z,3,FALSE)</f>
        <v>圣亨</v>
      </c>
      <c r="S1457" s="647" t="str">
        <f>VLOOKUP(A1457,'[1]Raw data'!$B:$Z,4,FALSE)</f>
        <v>YSM20R-2</v>
      </c>
      <c r="T1457" s="647" t="str">
        <f>VLOOKUP(A1457,'[1]Raw data'!$B:$Z,8,FALSE)</f>
        <v>L-&gt;R</v>
      </c>
      <c r="U1457" s="647" t="str">
        <f>VLOOKUP(A1457,'[1]Raw data'!$B:$Z,9,FALSE)</f>
        <v>No</v>
      </c>
      <c r="V1457" s="567" t="str">
        <f t="shared" si="337"/>
        <v>OK</v>
      </c>
      <c r="W1457" s="563" t="str">
        <f>VLOOKUP(A1457,'[1]Raw data'!$B:$AG,32,FALSE)</f>
        <v>DDP DG</v>
      </c>
      <c r="X1457" s="647">
        <f>VLOOKUP(A1457,'[1]Raw data'!$B:$BA,31,FALSE)</f>
        <v>45042</v>
      </c>
      <c r="Y1457" s="647" t="str">
        <f>VLOOKUP(A1457,'[1]Raw data'!$B:$AS,39,FALSE)</f>
        <v>Yes</v>
      </c>
      <c r="Z1457" s="659"/>
      <c r="AA1457" s="660"/>
      <c r="AB1457" s="661"/>
      <c r="AC1457" s="647" t="s">
        <v>3948</v>
      </c>
      <c r="AD1457" s="575">
        <v>302</v>
      </c>
      <c r="AE1457" s="575">
        <v>4</v>
      </c>
      <c r="AF1457" s="575">
        <v>303</v>
      </c>
      <c r="AG1457" s="575">
        <v>5</v>
      </c>
      <c r="AH1457" s="575">
        <v>304</v>
      </c>
      <c r="AI1457" s="679">
        <v>5</v>
      </c>
      <c r="AJ1457" s="575">
        <v>307</v>
      </c>
      <c r="AK1457" s="564">
        <v>6</v>
      </c>
      <c r="AL1457" s="564"/>
      <c r="AM1457" s="564"/>
      <c r="AN1457" s="614"/>
      <c r="AO1457" s="824" t="str">
        <f t="shared" si="322"/>
        <v>Yes</v>
      </c>
      <c r="AP1457" s="259" t="str">
        <f t="shared" si="323"/>
        <v>MAY 23</v>
      </c>
      <c r="AQ1457" s="542" t="str">
        <f t="shared" si="324"/>
        <v>有定金+有預留客戶</v>
      </c>
      <c r="AR1457" s="259" t="str">
        <f t="shared" si="325"/>
        <v>Shipped_Stock</v>
      </c>
      <c r="AS1457" s="259" t="str">
        <f t="shared" si="326"/>
        <v/>
      </c>
      <c r="AT1457" s="259" t="str">
        <f t="shared" si="327"/>
        <v>圣亨</v>
      </c>
      <c r="AU1457" s="259" t="str">
        <f t="shared" si="328"/>
        <v>C49SZX20230058EC</v>
      </c>
      <c r="AV1457" s="259" t="str">
        <f t="shared" si="329"/>
        <v>2022/4/15 北京单</v>
      </c>
    </row>
    <row r="1458" spans="1:48" hidden="1">
      <c r="A1458" s="559">
        <v>1914</v>
      </c>
      <c r="B1458" s="664" t="s">
        <v>1125</v>
      </c>
      <c r="C1458" s="664" t="s">
        <v>281</v>
      </c>
      <c r="D1458" s="645" t="s">
        <v>3930</v>
      </c>
      <c r="E1458" s="744" t="s">
        <v>236</v>
      </c>
      <c r="F1458" s="647" t="s">
        <v>58</v>
      </c>
      <c r="G1458" s="647" t="s">
        <v>24</v>
      </c>
      <c r="H1458" s="647" t="s">
        <v>26</v>
      </c>
      <c r="I1458" s="575" t="s">
        <v>3926</v>
      </c>
      <c r="J1458" s="575">
        <v>1</v>
      </c>
      <c r="K1458" s="647" t="s">
        <v>1419</v>
      </c>
      <c r="L1458" s="759" t="s">
        <v>3965</v>
      </c>
      <c r="M1458" s="804" t="s">
        <v>3935</v>
      </c>
      <c r="N1458" s="647" t="s">
        <v>2502</v>
      </c>
      <c r="O1458" s="575">
        <v>2022.04</v>
      </c>
      <c r="P1458" s="665" t="str">
        <f>VLOOKUP(A1458,'[1]Raw data'!$B:$BA,23,FALSE)</f>
        <v>RMB</v>
      </c>
      <c r="Q1458" s="647" t="str">
        <f>VLOOKUP(A1458,'[1]Raw data'!$B:$Z,2,FALSE)</f>
        <v>C49SZX20230060RZ</v>
      </c>
      <c r="R1458" s="647" t="str">
        <f>VLOOKUP(A1458,'[1]Raw data'!$B:$Z,3,FALSE)</f>
        <v>艾为康</v>
      </c>
      <c r="S1458" s="647" t="str">
        <f>VLOOKUP(A1458,'[1]Raw data'!$B:$Z,4,FALSE)</f>
        <v>YSM20R-2</v>
      </c>
      <c r="T1458" s="647" t="str">
        <f>VLOOKUP(A1458,'[1]Raw data'!$B:$Z,8,FALSE)</f>
        <v>L-&gt;R</v>
      </c>
      <c r="U1458" s="647" t="str">
        <f>VLOOKUP(A1458,'[1]Raw data'!$B:$Z,9,FALSE)</f>
        <v>No</v>
      </c>
      <c r="V1458" s="567" t="str">
        <f t="shared" si="337"/>
        <v>OK</v>
      </c>
      <c r="W1458" s="563" t="str">
        <f>VLOOKUP(A1458,'[1]Raw data'!$B:$AG,32,FALSE)</f>
        <v>DDP SZ</v>
      </c>
      <c r="X1458" s="647">
        <f>VLOOKUP(A1458,'[1]Raw data'!$B:$BA,31,FALSE)</f>
        <v>45052</v>
      </c>
      <c r="Y1458" s="647" t="str">
        <f>VLOOKUP(A1458,'[1]Raw data'!$B:$AS,39,FALSE)</f>
        <v>Yes</v>
      </c>
      <c r="Z1458" s="659"/>
      <c r="AA1458" s="660"/>
      <c r="AB1458" s="661"/>
      <c r="AC1458" s="647" t="s">
        <v>3952</v>
      </c>
      <c r="AD1458" s="662">
        <v>301</v>
      </c>
      <c r="AE1458" s="662">
        <v>6</v>
      </c>
      <c r="AF1458" s="662">
        <v>302</v>
      </c>
      <c r="AG1458" s="662">
        <v>12</v>
      </c>
      <c r="AH1458" s="662">
        <v>303</v>
      </c>
      <c r="AI1458" s="663">
        <v>1</v>
      </c>
      <c r="AJ1458" s="662">
        <v>304</v>
      </c>
      <c r="AK1458" s="571">
        <v>1</v>
      </c>
      <c r="AN1458" s="542"/>
      <c r="AO1458" s="824" t="str">
        <f t="shared" si="322"/>
        <v>Yes</v>
      </c>
      <c r="AP1458" s="259" t="str">
        <f t="shared" si="323"/>
        <v>MAY 23</v>
      </c>
      <c r="AQ1458" s="542" t="str">
        <f t="shared" si="324"/>
        <v>有定金+有預留客戶</v>
      </c>
      <c r="AR1458" s="259" t="str">
        <f t="shared" si="325"/>
        <v>Shipped_Stock</v>
      </c>
      <c r="AS1458" s="259" t="str">
        <f t="shared" si="326"/>
        <v/>
      </c>
      <c r="AT1458" s="259" t="str">
        <f t="shared" si="327"/>
        <v>艾为康</v>
      </c>
      <c r="AU1458" s="259" t="str">
        <f t="shared" si="328"/>
        <v>C49SZX20230060RZ</v>
      </c>
      <c r="AV1458" s="259" t="str">
        <f t="shared" si="329"/>
        <v>2022/4/15 北京单</v>
      </c>
    </row>
    <row r="1459" spans="1:48" hidden="1">
      <c r="A1459" s="559">
        <v>1915</v>
      </c>
      <c r="B1459" s="664" t="s">
        <v>1125</v>
      </c>
      <c r="C1459" s="664" t="s">
        <v>281</v>
      </c>
      <c r="D1459" s="645" t="s">
        <v>3931</v>
      </c>
      <c r="E1459" s="744" t="s">
        <v>236</v>
      </c>
      <c r="F1459" s="647" t="s">
        <v>58</v>
      </c>
      <c r="G1459" s="647" t="s">
        <v>24</v>
      </c>
      <c r="H1459" s="647" t="s">
        <v>26</v>
      </c>
      <c r="I1459" s="575" t="s">
        <v>3927</v>
      </c>
      <c r="J1459" s="575">
        <v>1</v>
      </c>
      <c r="K1459" s="647" t="s">
        <v>1419</v>
      </c>
      <c r="L1459" s="759" t="s">
        <v>3965</v>
      </c>
      <c r="M1459" s="804" t="s">
        <v>3935</v>
      </c>
      <c r="N1459" s="647" t="s">
        <v>2502</v>
      </c>
      <c r="O1459" s="575">
        <v>2022.03</v>
      </c>
      <c r="P1459" s="665" t="str">
        <f>VLOOKUP(A1459,'[1]Raw data'!$B:$BA,23,FALSE)</f>
        <v>RMB</v>
      </c>
      <c r="Q1459" s="647" t="str">
        <f>VLOOKUP(A1459,'[1]Raw data'!$B:$Z,2,FALSE)</f>
        <v>C49SZX20230060RZ</v>
      </c>
      <c r="R1459" s="647" t="str">
        <f>VLOOKUP(A1459,'[1]Raw data'!$B:$Z,3,FALSE)</f>
        <v>艾为康</v>
      </c>
      <c r="S1459" s="647" t="str">
        <f>VLOOKUP(A1459,'[1]Raw data'!$B:$Z,4,FALSE)</f>
        <v>YSM20R-2</v>
      </c>
      <c r="T1459" s="647" t="str">
        <f>VLOOKUP(A1459,'[1]Raw data'!$B:$Z,8,FALSE)</f>
        <v>L-&gt;R</v>
      </c>
      <c r="U1459" s="647" t="str">
        <f>VLOOKUP(A1459,'[1]Raw data'!$B:$Z,9,FALSE)</f>
        <v>No</v>
      </c>
      <c r="V1459" s="567" t="str">
        <f t="shared" si="337"/>
        <v>OK</v>
      </c>
      <c r="W1459" s="563" t="str">
        <f>VLOOKUP(A1459,'[1]Raw data'!$B:$AG,32,FALSE)</f>
        <v>DDP SZ</v>
      </c>
      <c r="X1459" s="647">
        <f>VLOOKUP(A1459,'[1]Raw data'!$B:$BA,31,FALSE)</f>
        <v>45052</v>
      </c>
      <c r="Y1459" s="647" t="str">
        <f>VLOOKUP(A1459,'[1]Raw data'!$B:$AS,39,FALSE)</f>
        <v>Yes</v>
      </c>
      <c r="Z1459" s="659"/>
      <c r="AA1459" s="660"/>
      <c r="AB1459" s="661"/>
      <c r="AC1459" s="647" t="s">
        <v>3952</v>
      </c>
      <c r="AD1459" s="662">
        <v>301</v>
      </c>
      <c r="AE1459" s="662">
        <v>7</v>
      </c>
      <c r="AF1459" s="662">
        <v>302</v>
      </c>
      <c r="AG1459" s="662">
        <v>10</v>
      </c>
      <c r="AH1459" s="662">
        <v>303</v>
      </c>
      <c r="AI1459" s="663">
        <v>1</v>
      </c>
      <c r="AJ1459" s="662">
        <v>304</v>
      </c>
      <c r="AK1459" s="571">
        <v>1</v>
      </c>
      <c r="AL1459" s="662">
        <v>307</v>
      </c>
      <c r="AM1459" s="571">
        <v>1</v>
      </c>
      <c r="AN1459" s="542"/>
      <c r="AO1459" s="824" t="str">
        <f t="shared" si="322"/>
        <v>Yes</v>
      </c>
      <c r="AP1459" s="259" t="str">
        <f t="shared" si="323"/>
        <v>MAY 23</v>
      </c>
      <c r="AQ1459" s="542" t="str">
        <f t="shared" si="324"/>
        <v>有定金+有預留客戶</v>
      </c>
      <c r="AR1459" s="259" t="str">
        <f t="shared" si="325"/>
        <v>Shipped_Stock</v>
      </c>
      <c r="AS1459" s="259" t="str">
        <f t="shared" si="326"/>
        <v/>
      </c>
      <c r="AT1459" s="259" t="str">
        <f t="shared" si="327"/>
        <v>艾为康</v>
      </c>
      <c r="AU1459" s="259" t="str">
        <f t="shared" si="328"/>
        <v>C49SZX20230060RZ</v>
      </c>
      <c r="AV1459" s="259" t="str">
        <f t="shared" si="329"/>
        <v>2022/4/15 北京单</v>
      </c>
    </row>
    <row r="1460" spans="1:48" hidden="1">
      <c r="A1460" s="559">
        <v>1971</v>
      </c>
      <c r="B1460" s="664" t="s">
        <v>1125</v>
      </c>
      <c r="C1460" s="664" t="s">
        <v>281</v>
      </c>
      <c r="D1460" s="645" t="s">
        <v>3932</v>
      </c>
      <c r="E1460" s="744" t="s">
        <v>236</v>
      </c>
      <c r="F1460" s="647" t="s">
        <v>58</v>
      </c>
      <c r="G1460" s="647" t="s">
        <v>24</v>
      </c>
      <c r="H1460" s="647" t="s">
        <v>26</v>
      </c>
      <c r="I1460" s="575" t="s">
        <v>3928</v>
      </c>
      <c r="J1460" s="575">
        <v>1</v>
      </c>
      <c r="K1460" s="647" t="s">
        <v>1419</v>
      </c>
      <c r="L1460" s="759" t="s">
        <v>3966</v>
      </c>
      <c r="M1460" s="804" t="s">
        <v>3935</v>
      </c>
      <c r="N1460" s="647" t="s">
        <v>4117</v>
      </c>
      <c r="O1460" s="575">
        <v>2022.06</v>
      </c>
      <c r="P1460" s="665" t="str">
        <f>VLOOKUP(A1460,'[1]Raw data'!$B:$BA,23,FALSE)</f>
        <v>RMB</v>
      </c>
      <c r="Q1460" s="647" t="str">
        <f>VLOOKUP(A1460,'[1]Raw data'!$B:$Z,2,FALSE)</f>
        <v>C49SZX20230099EC</v>
      </c>
      <c r="R1460" s="647" t="str">
        <f>VLOOKUP(A1460,'[1]Raw data'!$B:$Z,3,FALSE)</f>
        <v>和兴美成</v>
      </c>
      <c r="S1460" s="647" t="str">
        <f>VLOOKUP(A1460,'[1]Raw data'!$B:$Z,4,FALSE)</f>
        <v>YSM20R-2</v>
      </c>
      <c r="T1460" s="647" t="str">
        <f>VLOOKUP(A1460,'[1]Raw data'!$B:$Z,8,FALSE)</f>
        <v>L-&gt;R</v>
      </c>
      <c r="U1460" s="647" t="str">
        <f>VLOOKUP(A1460,'[1]Raw data'!$B:$Z,9,FALSE)</f>
        <v>No</v>
      </c>
      <c r="V1460" s="567" t="str">
        <f t="shared" si="337"/>
        <v>OK</v>
      </c>
      <c r="W1460" s="563" t="str">
        <f>VLOOKUP(A1460,'[1]Raw data'!$B:$AG,32,FALSE)</f>
        <v>DDP HZ</v>
      </c>
      <c r="X1460" s="657">
        <f>VLOOKUP(A1460,'[1]Raw data'!$B:$BA,31,FALSE)</f>
        <v>45173</v>
      </c>
      <c r="Y1460" s="647" t="str">
        <f>VLOOKUP(A1460,'[1]Raw data'!$B:$AS,39,FALSE)</f>
        <v>Yes</v>
      </c>
      <c r="Z1460" s="659"/>
      <c r="AA1460" s="660"/>
      <c r="AB1460" s="661"/>
      <c r="AC1460" s="647" t="s">
        <v>4223</v>
      </c>
      <c r="AD1460" s="662">
        <v>302</v>
      </c>
      <c r="AE1460" s="662">
        <v>20</v>
      </c>
      <c r="AF1460" s="662"/>
      <c r="AG1460" s="662"/>
      <c r="AH1460" s="662"/>
      <c r="AI1460" s="663"/>
      <c r="AN1460" s="542"/>
      <c r="AO1460" s="824" t="str">
        <f t="shared" si="322"/>
        <v>Yes</v>
      </c>
      <c r="AP1460" s="259" t="str">
        <f t="shared" si="323"/>
        <v>OCT 23</v>
      </c>
      <c r="AQ1460" s="542" t="str">
        <f t="shared" si="324"/>
        <v>有定金+有預留客戶</v>
      </c>
      <c r="AR1460" s="259" t="str">
        <f t="shared" si="325"/>
        <v>Shipped_Stock</v>
      </c>
      <c r="AS1460" s="259" t="str">
        <f t="shared" si="326"/>
        <v/>
      </c>
      <c r="AT1460" s="259" t="str">
        <f t="shared" si="327"/>
        <v>和兴美成</v>
      </c>
      <c r="AU1460" s="259" t="str">
        <f t="shared" si="328"/>
        <v>C49SZX20230099EC</v>
      </c>
      <c r="AV1460" s="259" t="str">
        <f t="shared" si="329"/>
        <v>2022-7-25北京单</v>
      </c>
    </row>
    <row r="1461" spans="1:48" hidden="1">
      <c r="A1461" s="559">
        <v>1973</v>
      </c>
      <c r="B1461" s="664" t="s">
        <v>1125</v>
      </c>
      <c r="C1461" s="664" t="s">
        <v>281</v>
      </c>
      <c r="D1461" s="645" t="s">
        <v>3933</v>
      </c>
      <c r="E1461" s="744" t="s">
        <v>236</v>
      </c>
      <c r="F1461" s="647" t="s">
        <v>58</v>
      </c>
      <c r="G1461" s="647" t="s">
        <v>24</v>
      </c>
      <c r="H1461" s="647" t="s">
        <v>26</v>
      </c>
      <c r="I1461" s="575" t="s">
        <v>3929</v>
      </c>
      <c r="J1461" s="575">
        <v>1</v>
      </c>
      <c r="K1461" s="647" t="s">
        <v>1419</v>
      </c>
      <c r="L1461" s="759" t="s">
        <v>3966</v>
      </c>
      <c r="M1461" s="804" t="s">
        <v>3935</v>
      </c>
      <c r="N1461" s="647" t="s">
        <v>4105</v>
      </c>
      <c r="O1461" s="575">
        <v>2022.07</v>
      </c>
      <c r="P1461" s="665" t="str">
        <f>VLOOKUP(A1461,'[1]Raw data'!$B:$BA,23,FALSE)</f>
        <v>RMB</v>
      </c>
      <c r="Q1461" s="647" t="str">
        <f>VLOOKUP(A1461,'[1]Raw data'!$B:$Z,2,FALSE)</f>
        <v>C49SZX202300095SX</v>
      </c>
      <c r="R1461" s="647" t="str">
        <f>VLOOKUP(A1461,'[1]Raw data'!$B:$Z,3,FALSE)</f>
        <v>利速达</v>
      </c>
      <c r="S1461" s="647" t="str">
        <f>VLOOKUP(A1461,'[1]Raw data'!$B:$Z,4,FALSE)</f>
        <v>YSM20R-2</v>
      </c>
      <c r="T1461" s="647" t="str">
        <f>VLOOKUP(A1461,'[1]Raw data'!$B:$Z,8,FALSE)</f>
        <v>L-&gt;R</v>
      </c>
      <c r="U1461" s="647" t="str">
        <f>VLOOKUP(A1461,'[1]Raw data'!$B:$Z,9,FALSE)</f>
        <v>No</v>
      </c>
      <c r="V1461" s="567" t="str">
        <f t="shared" si="337"/>
        <v>OK</v>
      </c>
      <c r="W1461" s="563" t="str">
        <f>VLOOKUP(A1461,'[1]Raw data'!$B:$AG,32,FALSE)</f>
        <v>DDP SZ</v>
      </c>
      <c r="X1461" s="657">
        <f>VLOOKUP(A1461,'[1]Raw data'!$B:$BA,31,FALSE)</f>
        <v>45161</v>
      </c>
      <c r="Y1461" s="647" t="str">
        <f>VLOOKUP(A1461,'[1]Raw data'!$B:$AS,39,FALSE)</f>
        <v>Yes</v>
      </c>
      <c r="Z1461" s="659"/>
      <c r="AA1461" s="660"/>
      <c r="AB1461" s="661"/>
      <c r="AC1461" s="647" t="s">
        <v>2514</v>
      </c>
      <c r="AD1461" s="662">
        <v>301</v>
      </c>
      <c r="AE1461" s="662">
        <v>15</v>
      </c>
      <c r="AF1461" s="662">
        <v>302</v>
      </c>
      <c r="AG1461" s="662">
        <v>3</v>
      </c>
      <c r="AH1461" s="662">
        <v>303</v>
      </c>
      <c r="AI1461" s="663">
        <v>1</v>
      </c>
      <c r="AJ1461" s="662">
        <v>304</v>
      </c>
      <c r="AK1461" s="571">
        <v>1</v>
      </c>
      <c r="AN1461" s="542"/>
      <c r="AO1461" s="824" t="str">
        <f t="shared" si="322"/>
        <v>Yes</v>
      </c>
      <c r="AP1461" s="259" t="str">
        <f t="shared" si="323"/>
        <v>SEP 23</v>
      </c>
      <c r="AQ1461" s="542" t="str">
        <f t="shared" si="324"/>
        <v>有定金+有預留客戶</v>
      </c>
      <c r="AR1461" s="259" t="str">
        <f t="shared" si="325"/>
        <v>Shipped_Stock</v>
      </c>
      <c r="AS1461" s="259" t="str">
        <f t="shared" si="326"/>
        <v/>
      </c>
      <c r="AT1461" s="259" t="str">
        <f t="shared" si="327"/>
        <v>利速达</v>
      </c>
      <c r="AU1461" s="259" t="str">
        <f t="shared" si="328"/>
        <v>C49SZX202300095SX</v>
      </c>
      <c r="AV1461" s="259" t="str">
        <f t="shared" si="329"/>
        <v>2022-7-25北京单</v>
      </c>
    </row>
    <row r="1462" spans="1:48" hidden="1">
      <c r="A1462" s="559">
        <v>1982</v>
      </c>
      <c r="B1462" s="664" t="s">
        <v>1125</v>
      </c>
      <c r="C1462" s="664" t="s">
        <v>281</v>
      </c>
      <c r="D1462" s="645">
        <v>111277</v>
      </c>
      <c r="E1462" s="744" t="s">
        <v>236</v>
      </c>
      <c r="F1462" s="647" t="s">
        <v>17</v>
      </c>
      <c r="G1462" s="647" t="s">
        <v>18</v>
      </c>
      <c r="H1462" s="647" t="s">
        <v>26</v>
      </c>
      <c r="I1462" s="575" t="s">
        <v>3969</v>
      </c>
      <c r="J1462" s="575">
        <v>1</v>
      </c>
      <c r="K1462" s="647" t="s">
        <v>1732</v>
      </c>
      <c r="L1462" s="657">
        <v>45100</v>
      </c>
      <c r="M1462" s="665">
        <v>5.16E-2</v>
      </c>
      <c r="N1462" s="647" t="s">
        <v>4117</v>
      </c>
      <c r="O1462" s="575">
        <v>2023.5</v>
      </c>
      <c r="P1462" s="665" t="str">
        <f>VLOOKUP(A1462,'[1]Raw data'!$B:$BA,23,FALSE)</f>
        <v>JPY</v>
      </c>
      <c r="Q1462" s="647" t="str">
        <f>VLOOKUP(A1462,'[1]Raw data'!$B:$Z,2,FALSE)</f>
        <v>C49SZX20230101R1DM</v>
      </c>
      <c r="R1462" s="647" t="str">
        <f>VLOOKUP(A1462,'[1]Raw data'!$B:$Z,3,FALSE)</f>
        <v>菲帆</v>
      </c>
      <c r="S1462" s="647" t="str">
        <f>VLOOKUP(A1462,'[1]Raw data'!$B:$Z,4,FALSE)</f>
        <v>YSM10</v>
      </c>
      <c r="T1462" s="647" t="str">
        <f>VLOOKUP(A1462,'[1]Raw data'!$B:$Z,8,FALSE)</f>
        <v>L-&gt;R</v>
      </c>
      <c r="U1462" s="647" t="str">
        <f>VLOOKUP(A1462,'[1]Raw data'!$B:$Z,9,FALSE)</f>
        <v>MVC</v>
      </c>
      <c r="V1462" s="567" t="str">
        <f t="shared" ref="V1462:V1472" si="338">IF(G1462&amp;H1462=T1462&amp;U1462,"OK","WRONG")</f>
        <v>WRONG</v>
      </c>
      <c r="W1462" s="563" t="str">
        <f>VLOOKUP(A1462,'[1]Raw data'!$B:$AG,32,FALSE)</f>
        <v>DAP HZ</v>
      </c>
      <c r="X1462" s="657">
        <f>VLOOKUP(A1462,'[1]Raw data'!$B:$BA,31,FALSE)</f>
        <v>45190</v>
      </c>
      <c r="Y1462" s="647" t="str">
        <f>VLOOKUP(A1462,'[1]Raw data'!$B:$AS,39,FALSE)</f>
        <v>Yes</v>
      </c>
      <c r="Z1462" s="659"/>
      <c r="AA1462" s="660"/>
      <c r="AB1462" s="661"/>
      <c r="AC1462" s="647" t="s">
        <v>4261</v>
      </c>
      <c r="AD1462" s="662">
        <v>301</v>
      </c>
      <c r="AE1462" s="662">
        <v>10</v>
      </c>
      <c r="AF1462" s="662"/>
      <c r="AG1462" s="662"/>
      <c r="AH1462" s="662"/>
      <c r="AI1462" s="663"/>
      <c r="AN1462" s="542"/>
      <c r="AO1462" s="824" t="str">
        <f t="shared" si="322"/>
        <v>Yes</v>
      </c>
      <c r="AP1462" s="259" t="str">
        <f t="shared" si="323"/>
        <v>OCT 23</v>
      </c>
      <c r="AQ1462" s="542" t="str">
        <f t="shared" si="324"/>
        <v>有定金+有預留客戶</v>
      </c>
      <c r="AR1462" s="259" t="str">
        <f t="shared" si="325"/>
        <v>Shipped_Stock</v>
      </c>
      <c r="AS1462" s="259" t="str">
        <f t="shared" si="326"/>
        <v/>
      </c>
      <c r="AT1462" s="259" t="str">
        <f t="shared" si="327"/>
        <v>菲帆</v>
      </c>
      <c r="AU1462" s="259" t="str">
        <f t="shared" si="328"/>
        <v>C49SZX20230101R1DM</v>
      </c>
      <c r="AV1462" s="259" t="str">
        <f t="shared" si="329"/>
        <v>Jun-23</v>
      </c>
    </row>
    <row r="1463" spans="1:48" hidden="1">
      <c r="A1463" s="559">
        <v>2059</v>
      </c>
      <c r="B1463" s="664" t="s">
        <v>1125</v>
      </c>
      <c r="C1463" s="664" t="s">
        <v>281</v>
      </c>
      <c r="D1463" s="645">
        <v>111277</v>
      </c>
      <c r="E1463" s="744" t="s">
        <v>236</v>
      </c>
      <c r="F1463" s="647" t="s">
        <v>17</v>
      </c>
      <c r="G1463" s="647" t="s">
        <v>18</v>
      </c>
      <c r="H1463" s="647" t="s">
        <v>26</v>
      </c>
      <c r="I1463" s="575" t="s">
        <v>4245</v>
      </c>
      <c r="J1463" s="575">
        <v>1</v>
      </c>
      <c r="K1463" s="647" t="s">
        <v>1732</v>
      </c>
      <c r="L1463" s="657">
        <v>45100</v>
      </c>
      <c r="M1463" s="665">
        <v>5.16E-2</v>
      </c>
      <c r="N1463" s="647" t="s">
        <v>4258</v>
      </c>
      <c r="O1463" s="575">
        <v>2023.5</v>
      </c>
      <c r="P1463" s="665" t="str">
        <f>VLOOKUP(A1463,'[1]Raw data'!$B:$BA,23,FALSE)</f>
        <v>JPY</v>
      </c>
      <c r="Q1463" s="647" t="str">
        <f>VLOOKUP(A1463,'[1]Raw data'!$B:$Z,2,FALSE)</f>
        <v>C49SZX20240002SX</v>
      </c>
      <c r="R1463" s="647" t="str">
        <f>VLOOKUP(A1463,'[1]Raw data'!$B:$Z,3,FALSE)</f>
        <v>悦之彩</v>
      </c>
      <c r="S1463" s="647" t="str">
        <f>VLOOKUP(A1463,'[1]Raw data'!$B:$Z,4,FALSE)</f>
        <v>YSM10</v>
      </c>
      <c r="T1463" s="647" t="str">
        <f>VLOOKUP(A1463,'[1]Raw data'!$B:$Z,8,FALSE)</f>
        <v>L-&gt;R</v>
      </c>
      <c r="U1463" s="647" t="str">
        <f>VLOOKUP(A1463,'[1]Raw data'!$B:$Z,9,FALSE)</f>
        <v>MVC</v>
      </c>
      <c r="V1463" s="567" t="str">
        <f t="shared" si="338"/>
        <v>WRONG</v>
      </c>
      <c r="W1463" s="563" t="str">
        <f>VLOOKUP(A1463,'[1]Raw data'!$B:$AG,32,FALSE)</f>
        <v>DAP SZ</v>
      </c>
      <c r="X1463" s="657">
        <f>VLOOKUP(A1463,'[1]Raw data'!$B:$BA,31,FALSE)</f>
        <v>45300</v>
      </c>
      <c r="Y1463" s="647" t="str">
        <f>VLOOKUP(A1463,'[1]Raw data'!$B:$AS,39,FALSE)</f>
        <v>Yes</v>
      </c>
      <c r="Z1463" s="659"/>
      <c r="AA1463" s="660"/>
      <c r="AB1463" s="661"/>
      <c r="AC1463" s="647" t="s">
        <v>1548</v>
      </c>
      <c r="AD1463" s="662">
        <v>301</v>
      </c>
      <c r="AE1463" s="662">
        <v>10</v>
      </c>
      <c r="AF1463" s="662"/>
      <c r="AG1463" s="662"/>
      <c r="AH1463" s="662"/>
      <c r="AI1463" s="663"/>
      <c r="AN1463" s="542"/>
      <c r="AO1463" s="824" t="str">
        <f t="shared" si="322"/>
        <v>Yes</v>
      </c>
      <c r="AP1463" s="259" t="str">
        <f t="shared" si="323"/>
        <v>JAN 24</v>
      </c>
      <c r="AQ1463" s="542" t="str">
        <f t="shared" si="324"/>
        <v>有定金+有預留客戶</v>
      </c>
      <c r="AR1463" s="259" t="str">
        <f t="shared" si="325"/>
        <v>Shipped_Stock</v>
      </c>
      <c r="AS1463" s="259" t="str">
        <f t="shared" si="326"/>
        <v/>
      </c>
      <c r="AT1463" s="259" t="str">
        <f t="shared" si="327"/>
        <v>悦之彩</v>
      </c>
      <c r="AU1463" s="259" t="str">
        <f t="shared" si="328"/>
        <v>C49SZX20240002SX</v>
      </c>
      <c r="AV1463" s="259" t="str">
        <f t="shared" si="329"/>
        <v>Jun-23</v>
      </c>
    </row>
    <row r="1464" spans="1:48" ht="22.5" hidden="1">
      <c r="A1464" s="559">
        <v>2050</v>
      </c>
      <c r="B1464" s="664" t="s">
        <v>1125</v>
      </c>
      <c r="C1464" s="664" t="s">
        <v>281</v>
      </c>
      <c r="D1464" s="645">
        <v>111277</v>
      </c>
      <c r="E1464" s="744" t="s">
        <v>236</v>
      </c>
      <c r="F1464" s="647" t="s">
        <v>17</v>
      </c>
      <c r="G1464" s="647" t="s">
        <v>18</v>
      </c>
      <c r="H1464" s="647" t="s">
        <v>26</v>
      </c>
      <c r="I1464" s="575" t="s">
        <v>3970</v>
      </c>
      <c r="J1464" s="575">
        <v>1</v>
      </c>
      <c r="K1464" s="647" t="s">
        <v>1732</v>
      </c>
      <c r="L1464" s="657">
        <v>45100</v>
      </c>
      <c r="M1464" s="678" t="s">
        <v>4359</v>
      </c>
      <c r="N1464" s="647" t="s">
        <v>4258</v>
      </c>
      <c r="O1464" s="575">
        <v>2023.6</v>
      </c>
      <c r="P1464" s="665" t="str">
        <f>VLOOKUP(A1464,'[1]Raw data'!$B:$BA,23,FALSE)</f>
        <v>JPY</v>
      </c>
      <c r="Q1464" s="647" t="str">
        <f>VLOOKUP(A1464,'[1]Raw data'!$B:$Z,2,FALSE)</f>
        <v>C49SZX20230142SS</v>
      </c>
      <c r="R1464" s="647" t="str">
        <f>VLOOKUP(A1464,'[1]Raw data'!$B:$Z,3,FALSE)</f>
        <v>盈通恒翼</v>
      </c>
      <c r="S1464" s="647" t="str">
        <f>VLOOKUP(A1464,'[1]Raw data'!$B:$Z,4,FALSE)</f>
        <v>YSM10</v>
      </c>
      <c r="T1464" s="647" t="str">
        <f>VLOOKUP(A1464,'[1]Raw data'!$B:$Z,8,FALSE)</f>
        <v>L-&gt;R</v>
      </c>
      <c r="U1464" s="647" t="str">
        <f>VLOOKUP(A1464,'[1]Raw data'!$B:$Z,9,FALSE)</f>
        <v>No</v>
      </c>
      <c r="V1464" s="567" t="str">
        <f t="shared" si="338"/>
        <v>WRONG</v>
      </c>
      <c r="W1464" s="563" t="str">
        <f>VLOOKUP(A1464,'[1]Raw data'!$B:$AG,32,FALSE)</f>
        <v>DAP SZ</v>
      </c>
      <c r="X1464" s="657">
        <f>VLOOKUP(A1464,'[1]Raw data'!$B:$BA,31,FALSE)</f>
        <v>45282</v>
      </c>
      <c r="Y1464" s="647" t="str">
        <f>VLOOKUP(A1464,'[1]Raw data'!$B:$AS,39,FALSE)</f>
        <v>Yes</v>
      </c>
      <c r="Z1464" s="659"/>
      <c r="AA1464" s="660"/>
      <c r="AB1464" s="661"/>
      <c r="AC1464" s="647" t="s">
        <v>4378</v>
      </c>
      <c r="AD1464" s="662">
        <v>301</v>
      </c>
      <c r="AE1464" s="662">
        <v>10</v>
      </c>
      <c r="AF1464" s="662"/>
      <c r="AG1464" s="662"/>
      <c r="AH1464" s="662"/>
      <c r="AI1464" s="663"/>
      <c r="AN1464" s="542"/>
      <c r="AO1464" s="824" t="str">
        <f t="shared" si="322"/>
        <v>Yes</v>
      </c>
      <c r="AP1464" s="259" t="str">
        <f t="shared" si="323"/>
        <v>JAN 24</v>
      </c>
      <c r="AQ1464" s="542" t="str">
        <f t="shared" si="324"/>
        <v>有定金+有預留客戶</v>
      </c>
      <c r="AR1464" s="259" t="str">
        <f t="shared" si="325"/>
        <v>Shipped_Stock</v>
      </c>
      <c r="AS1464" s="259" t="str">
        <f t="shared" si="326"/>
        <v/>
      </c>
      <c r="AT1464" s="259" t="str">
        <f t="shared" si="327"/>
        <v>盈通恒翼</v>
      </c>
      <c r="AU1464" s="259" t="str">
        <f t="shared" si="328"/>
        <v>C49SZX20230142SS</v>
      </c>
      <c r="AV1464" s="259" t="str">
        <f t="shared" si="329"/>
        <v>Jun-23</v>
      </c>
    </row>
    <row r="1465" spans="1:48" hidden="1">
      <c r="A1465" s="559">
        <v>2057</v>
      </c>
      <c r="B1465" s="664" t="s">
        <v>1125</v>
      </c>
      <c r="C1465" s="664" t="s">
        <v>281</v>
      </c>
      <c r="D1465" s="645">
        <v>111277</v>
      </c>
      <c r="E1465" s="744" t="s">
        <v>236</v>
      </c>
      <c r="F1465" s="647" t="s">
        <v>17</v>
      </c>
      <c r="G1465" s="647" t="s">
        <v>18</v>
      </c>
      <c r="H1465" s="647" t="s">
        <v>26</v>
      </c>
      <c r="I1465" s="575" t="s">
        <v>3971</v>
      </c>
      <c r="J1465" s="575">
        <v>1</v>
      </c>
      <c r="K1465" s="647" t="s">
        <v>1732</v>
      </c>
      <c r="L1465" s="657">
        <v>45100</v>
      </c>
      <c r="M1465" s="665">
        <v>5.16E-2</v>
      </c>
      <c r="N1465" s="647" t="s">
        <v>4258</v>
      </c>
      <c r="O1465" s="575">
        <v>2023.6</v>
      </c>
      <c r="P1465" s="665" t="str">
        <f>VLOOKUP(A1465,'[1]Raw data'!$B:$BA,23,FALSE)</f>
        <v>JPY</v>
      </c>
      <c r="Q1465" s="647" t="str">
        <f>VLOOKUP(A1465,'[1]Raw data'!$B:$Z,2,FALSE)</f>
        <v>C49SZX20230145BH</v>
      </c>
      <c r="R1465" s="647" t="str">
        <f>VLOOKUP(A1465,'[1]Raw data'!$B:$Z,3,FALSE)</f>
        <v>世纪佳柔</v>
      </c>
      <c r="S1465" s="647" t="str">
        <f>VLOOKUP(A1465,'[1]Raw data'!$B:$Z,4,FALSE)</f>
        <v>YSM10</v>
      </c>
      <c r="T1465" s="647" t="str">
        <f>VLOOKUP(A1465,'[1]Raw data'!$B:$Z,8,FALSE)</f>
        <v>L-&gt;R</v>
      </c>
      <c r="U1465" s="647" t="str">
        <f>VLOOKUP(A1465,'[1]Raw data'!$B:$Z,9,FALSE)</f>
        <v>MVC</v>
      </c>
      <c r="V1465" s="567" t="str">
        <f t="shared" ref="V1465:V1467" si="339">IF(G1465&amp;H1465=T1465&amp;U1465,"OK","WRONG")</f>
        <v>WRONG</v>
      </c>
      <c r="W1465" s="563" t="str">
        <f>VLOOKUP(A1465,'[1]Raw data'!$B:$AG,32,FALSE)</f>
        <v>DAP DG</v>
      </c>
      <c r="X1465" s="657">
        <f>VLOOKUP(A1465,'[1]Raw data'!$B:$BA,31,FALSE)</f>
        <v>45283</v>
      </c>
      <c r="Y1465" s="647" t="str">
        <f>VLOOKUP(A1465,'[1]Raw data'!$B:$AS,39,FALSE)</f>
        <v>Yes</v>
      </c>
      <c r="Z1465" s="666"/>
      <c r="AA1465" s="660"/>
      <c r="AB1465" s="661"/>
      <c r="AC1465" s="710" t="s">
        <v>4376</v>
      </c>
      <c r="AD1465" s="662">
        <v>301</v>
      </c>
      <c r="AE1465" s="662">
        <v>10</v>
      </c>
      <c r="AF1465" s="662"/>
      <c r="AG1465" s="662"/>
      <c r="AH1465" s="662"/>
      <c r="AI1465" s="663"/>
      <c r="AN1465" s="542"/>
      <c r="AO1465" s="824" t="str">
        <f t="shared" si="322"/>
        <v>Yes</v>
      </c>
      <c r="AP1465" s="259" t="str">
        <f t="shared" si="323"/>
        <v>JAN 24</v>
      </c>
      <c r="AQ1465" s="542" t="str">
        <f t="shared" si="324"/>
        <v>有定金+有預留客戶</v>
      </c>
      <c r="AR1465" s="259" t="str">
        <f t="shared" si="325"/>
        <v>Shipped_Stock</v>
      </c>
      <c r="AS1465" s="259" t="str">
        <f t="shared" si="326"/>
        <v/>
      </c>
      <c r="AT1465" s="259" t="str">
        <f t="shared" si="327"/>
        <v>世纪佳柔</v>
      </c>
      <c r="AU1465" s="259" t="str">
        <f t="shared" si="328"/>
        <v>C49SZX20230145BH</v>
      </c>
      <c r="AV1465" s="259" t="str">
        <f t="shared" si="329"/>
        <v>Jun-23</v>
      </c>
    </row>
    <row r="1466" spans="1:48" hidden="1">
      <c r="A1466" s="559">
        <v>2060</v>
      </c>
      <c r="B1466" s="664" t="s">
        <v>1125</v>
      </c>
      <c r="C1466" s="664" t="s">
        <v>281</v>
      </c>
      <c r="D1466" s="645">
        <v>111277</v>
      </c>
      <c r="E1466" s="744" t="s">
        <v>236</v>
      </c>
      <c r="F1466" s="647" t="s">
        <v>17</v>
      </c>
      <c r="G1466" s="647" t="s">
        <v>18</v>
      </c>
      <c r="H1466" s="647" t="s">
        <v>26</v>
      </c>
      <c r="I1466" s="575" t="s">
        <v>3972</v>
      </c>
      <c r="J1466" s="575">
        <v>1</v>
      </c>
      <c r="K1466" s="647" t="s">
        <v>1732</v>
      </c>
      <c r="L1466" s="657">
        <v>45100</v>
      </c>
      <c r="M1466" s="665">
        <v>5.16E-2</v>
      </c>
      <c r="N1466" s="647" t="s">
        <v>4258</v>
      </c>
      <c r="O1466" s="575">
        <v>2023.5</v>
      </c>
      <c r="P1466" s="665" t="str">
        <f>VLOOKUP(A1466,'[1]Raw data'!$B:$BA,23,FALSE)</f>
        <v>JPY</v>
      </c>
      <c r="Q1466" s="647" t="str">
        <f>VLOOKUP(A1466,'[1]Raw data'!$B:$Z,2,FALSE)</f>
        <v>C49SZX20240002SX</v>
      </c>
      <c r="R1466" s="647" t="str">
        <f>VLOOKUP(A1466,'[1]Raw data'!$B:$Z,3,FALSE)</f>
        <v>悦之彩</v>
      </c>
      <c r="S1466" s="647" t="str">
        <f>VLOOKUP(A1466,'[1]Raw data'!$B:$Z,4,FALSE)</f>
        <v>YSM10</v>
      </c>
      <c r="T1466" s="647" t="str">
        <f>VLOOKUP(A1466,'[1]Raw data'!$B:$Z,8,FALSE)</f>
        <v>L-&gt;R</v>
      </c>
      <c r="U1466" s="647" t="str">
        <f>VLOOKUP(A1466,'[1]Raw data'!$B:$Z,9,FALSE)</f>
        <v>MVC</v>
      </c>
      <c r="V1466" s="567" t="str">
        <f t="shared" si="339"/>
        <v>WRONG</v>
      </c>
      <c r="W1466" s="563" t="str">
        <f>VLOOKUP(A1466,'[1]Raw data'!$B:$AG,32,FALSE)</f>
        <v>DAP SZ</v>
      </c>
      <c r="X1466" s="657">
        <f>VLOOKUP(A1466,'[1]Raw data'!$B:$BA,31,FALSE)</f>
        <v>45300</v>
      </c>
      <c r="Y1466" s="647" t="str">
        <f>VLOOKUP(A1466,'[1]Raw data'!$B:$AS,39,FALSE)</f>
        <v>Yes</v>
      </c>
      <c r="Z1466" s="659"/>
      <c r="AA1466" s="660"/>
      <c r="AB1466" s="661"/>
      <c r="AC1466" s="647" t="s">
        <v>1548</v>
      </c>
      <c r="AD1466" s="662">
        <v>301</v>
      </c>
      <c r="AE1466" s="662">
        <v>10</v>
      </c>
      <c r="AF1466" s="662"/>
      <c r="AG1466" s="662"/>
      <c r="AH1466" s="662"/>
      <c r="AI1466" s="663"/>
      <c r="AN1466" s="542"/>
      <c r="AO1466" s="824" t="str">
        <f t="shared" si="322"/>
        <v>Yes</v>
      </c>
      <c r="AP1466" s="259" t="str">
        <f t="shared" si="323"/>
        <v>JAN 24</v>
      </c>
      <c r="AQ1466" s="542" t="str">
        <f t="shared" si="324"/>
        <v>有定金+有預留客戶</v>
      </c>
      <c r="AR1466" s="259" t="str">
        <f t="shared" si="325"/>
        <v>Shipped_Stock</v>
      </c>
      <c r="AS1466" s="259" t="str">
        <f t="shared" si="326"/>
        <v/>
      </c>
      <c r="AT1466" s="259" t="str">
        <f t="shared" si="327"/>
        <v>悦之彩</v>
      </c>
      <c r="AU1466" s="259" t="str">
        <f t="shared" si="328"/>
        <v>C49SZX20240002SX</v>
      </c>
      <c r="AV1466" s="259" t="str">
        <f t="shared" si="329"/>
        <v>Jun-23</v>
      </c>
    </row>
    <row r="1467" spans="1:48" hidden="1">
      <c r="A1467" s="559">
        <v>1930</v>
      </c>
      <c r="B1467" s="664" t="s">
        <v>1125</v>
      </c>
      <c r="C1467" s="664" t="s">
        <v>281</v>
      </c>
      <c r="D1467" s="645" t="s">
        <v>3909</v>
      </c>
      <c r="E1467" s="744" t="s">
        <v>236</v>
      </c>
      <c r="F1467" s="647" t="s">
        <v>17</v>
      </c>
      <c r="G1467" s="647" t="s">
        <v>18</v>
      </c>
      <c r="H1467" s="647" t="s">
        <v>19</v>
      </c>
      <c r="I1467" s="575" t="s">
        <v>3973</v>
      </c>
      <c r="J1467" s="575">
        <v>1</v>
      </c>
      <c r="K1467" s="647" t="s">
        <v>1732</v>
      </c>
      <c r="L1467" s="657">
        <v>45100</v>
      </c>
      <c r="M1467" s="665">
        <v>5.0799999999999998E-2</v>
      </c>
      <c r="N1467" s="647" t="s">
        <v>4004</v>
      </c>
      <c r="O1467" s="575">
        <v>2023.5</v>
      </c>
      <c r="P1467" s="665" t="str">
        <f>VLOOKUP(A1467,'[1]Raw data'!$B:$BA,23,FALSE)</f>
        <v>JPY</v>
      </c>
      <c r="Q1467" s="647" t="str">
        <f>VLOOKUP(A1467,'[1]Raw data'!$B:$Z,2,FALSE)</f>
        <v>C49SZX20230073MZ</v>
      </c>
      <c r="R1467" s="647" t="str">
        <f>VLOOKUP(A1467,'[1]Raw data'!$B:$Z,3,FALSE)</f>
        <v>方案集（End user:陆巡）</v>
      </c>
      <c r="S1467" s="647" t="str">
        <f>VLOOKUP(A1467,'[1]Raw data'!$B:$Z,4,FALSE)</f>
        <v>YSM10</v>
      </c>
      <c r="T1467" s="647" t="str">
        <f>VLOOKUP(A1467,'[1]Raw data'!$B:$Z,8,FALSE)</f>
        <v>L-&gt;R</v>
      </c>
      <c r="U1467" s="647" t="str">
        <f>VLOOKUP(A1467,'[1]Raw data'!$B:$Z,9,FALSE)</f>
        <v>MVC+ATS15</v>
      </c>
      <c r="V1467" s="567" t="str">
        <f t="shared" si="339"/>
        <v>WRONG</v>
      </c>
      <c r="W1467" s="563" t="str">
        <f>VLOOKUP(A1467,'[1]Raw data'!$B:$AG,32,FALSE)</f>
        <v>CIF HK</v>
      </c>
      <c r="X1467" s="657">
        <f>VLOOKUP(A1467,'[1]Raw data'!$B:$BA,31,FALSE)</f>
        <v>45097</v>
      </c>
      <c r="Y1467" s="647" t="str">
        <f>VLOOKUP(A1467,'[1]Raw data'!$B:$AS,39,FALSE)</f>
        <v>Yes</v>
      </c>
      <c r="Z1467" s="659"/>
      <c r="AA1467" s="660"/>
      <c r="AB1467" s="661"/>
      <c r="AC1467" s="647" t="s">
        <v>4090</v>
      </c>
      <c r="AD1467" s="662">
        <v>301</v>
      </c>
      <c r="AE1467" s="662">
        <v>10</v>
      </c>
      <c r="AF1467" s="662"/>
      <c r="AG1467" s="662"/>
      <c r="AH1467" s="662"/>
      <c r="AI1467" s="663"/>
      <c r="AN1467" s="542"/>
      <c r="AO1467" s="824" t="str">
        <f t="shared" si="322"/>
        <v>Yes</v>
      </c>
      <c r="AP1467" s="259" t="str">
        <f t="shared" si="323"/>
        <v>AUG 23</v>
      </c>
      <c r="AQ1467" s="542" t="str">
        <f t="shared" si="324"/>
        <v>有定金+有預留客戶</v>
      </c>
      <c r="AR1467" s="259" t="str">
        <f t="shared" si="325"/>
        <v>Shipped_Stock</v>
      </c>
      <c r="AS1467" s="259" t="str">
        <f t="shared" si="326"/>
        <v/>
      </c>
      <c r="AT1467" s="259" t="str">
        <f t="shared" si="327"/>
        <v>方案集（End user:陆巡）</v>
      </c>
      <c r="AU1467" s="259" t="str">
        <f t="shared" si="328"/>
        <v>C49SZX20230073MZ</v>
      </c>
      <c r="AV1467" s="259" t="str">
        <f t="shared" si="329"/>
        <v>Jun-23</v>
      </c>
    </row>
    <row r="1468" spans="1:48" hidden="1">
      <c r="A1468" s="559">
        <v>1979</v>
      </c>
      <c r="B1468" s="664" t="s">
        <v>1125</v>
      </c>
      <c r="C1468" s="664" t="s">
        <v>281</v>
      </c>
      <c r="D1468" s="645" t="s">
        <v>3909</v>
      </c>
      <c r="E1468" s="744" t="s">
        <v>236</v>
      </c>
      <c r="F1468" s="647" t="s">
        <v>17</v>
      </c>
      <c r="G1468" s="647" t="s">
        <v>18</v>
      </c>
      <c r="H1468" s="647" t="s">
        <v>19</v>
      </c>
      <c r="I1468" s="575" t="s">
        <v>3974</v>
      </c>
      <c r="J1468" s="575">
        <v>1</v>
      </c>
      <c r="K1468" s="647" t="s">
        <v>1732</v>
      </c>
      <c r="L1468" s="657">
        <v>45100</v>
      </c>
      <c r="M1468" s="665">
        <v>5.0799999999999998E-2</v>
      </c>
      <c r="N1468" s="647" t="s">
        <v>4105</v>
      </c>
      <c r="O1468" s="575">
        <v>2023.5</v>
      </c>
      <c r="P1468" s="665" t="str">
        <f>VLOOKUP(A1468,'[1]Raw data'!$B:$BA,23,FALSE)</f>
        <v>JPY</v>
      </c>
      <c r="Q1468" s="647" t="str">
        <f>VLOOKUP(A1468,'[1]Raw data'!$B:$Z,2,FALSE)</f>
        <v>C49SZX20230102SX</v>
      </c>
      <c r="R1468" s="647" t="str">
        <f>VLOOKUP(A1468,'[1]Raw data'!$B:$Z,3,FALSE)</f>
        <v>太美亚</v>
      </c>
      <c r="S1468" s="647" t="str">
        <f>VLOOKUP(A1468,'[1]Raw data'!$B:$Z,4,FALSE)</f>
        <v>YSM10</v>
      </c>
      <c r="T1468" s="647" t="str">
        <f>VLOOKUP(A1468,'[1]Raw data'!$B:$Z,8,FALSE)</f>
        <v>L-&gt;R</v>
      </c>
      <c r="U1468" s="647" t="str">
        <f>VLOOKUP(A1468,'[1]Raw data'!$B:$Z,9,FALSE)</f>
        <v>MVC+ATS15</v>
      </c>
      <c r="V1468" s="567" t="str">
        <f t="shared" si="338"/>
        <v>WRONG</v>
      </c>
      <c r="W1468" s="563" t="str">
        <f>VLOOKUP(A1468,'[1]Raw data'!$B:$AG,32,FALSE)</f>
        <v>DAP YC</v>
      </c>
      <c r="X1468" s="657">
        <f>VLOOKUP(A1468,'[1]Raw data'!$B:$BA,31,FALSE)</f>
        <v>45184</v>
      </c>
      <c r="Y1468" s="647" t="str">
        <f>VLOOKUP(A1468,'[1]Raw data'!$B:$AS,39,FALSE)</f>
        <v>Yes</v>
      </c>
      <c r="Z1468" s="659"/>
      <c r="AA1468" s="660"/>
      <c r="AB1468" s="661"/>
      <c r="AC1468" s="647" t="s">
        <v>4159</v>
      </c>
      <c r="AD1468" s="662">
        <v>301</v>
      </c>
      <c r="AE1468" s="662">
        <v>10</v>
      </c>
      <c r="AF1468" s="662"/>
      <c r="AG1468" s="662"/>
      <c r="AH1468" s="662"/>
      <c r="AI1468" s="663"/>
      <c r="AN1468" s="542"/>
      <c r="AO1468" s="824" t="str">
        <f t="shared" si="322"/>
        <v>Yes</v>
      </c>
      <c r="AP1468" s="259" t="str">
        <f t="shared" si="323"/>
        <v>SEP 23</v>
      </c>
      <c r="AQ1468" s="542" t="str">
        <f t="shared" si="324"/>
        <v>有定金+有預留客戶</v>
      </c>
      <c r="AR1468" s="259" t="str">
        <f t="shared" si="325"/>
        <v>Shipped_Stock</v>
      </c>
      <c r="AS1468" s="259" t="str">
        <f t="shared" si="326"/>
        <v/>
      </c>
      <c r="AT1468" s="259" t="str">
        <f t="shared" si="327"/>
        <v>太美亚</v>
      </c>
      <c r="AU1468" s="259" t="str">
        <f t="shared" si="328"/>
        <v>C49SZX20230102SX</v>
      </c>
      <c r="AV1468" s="259" t="str">
        <f t="shared" si="329"/>
        <v>Jun-23</v>
      </c>
    </row>
    <row r="1469" spans="1:48" hidden="1">
      <c r="A1469" s="559">
        <v>1978</v>
      </c>
      <c r="B1469" s="664" t="s">
        <v>1125</v>
      </c>
      <c r="C1469" s="664" t="s">
        <v>281</v>
      </c>
      <c r="D1469" s="645" t="s">
        <v>3909</v>
      </c>
      <c r="E1469" s="744" t="s">
        <v>236</v>
      </c>
      <c r="F1469" s="647" t="s">
        <v>17</v>
      </c>
      <c r="G1469" s="647" t="s">
        <v>18</v>
      </c>
      <c r="H1469" s="647" t="s">
        <v>19</v>
      </c>
      <c r="I1469" s="575" t="s">
        <v>3975</v>
      </c>
      <c r="J1469" s="575">
        <v>1</v>
      </c>
      <c r="K1469" s="647" t="s">
        <v>1732</v>
      </c>
      <c r="L1469" s="657">
        <v>45100</v>
      </c>
      <c r="M1469" s="665">
        <v>5.0799999999999998E-2</v>
      </c>
      <c r="N1469" s="647" t="s">
        <v>4105</v>
      </c>
      <c r="O1469" s="575">
        <v>2023.6</v>
      </c>
      <c r="P1469" s="665" t="str">
        <f>VLOOKUP(A1469,'[1]Raw data'!$B:$BA,23,FALSE)</f>
        <v>JPY</v>
      </c>
      <c r="Q1469" s="647" t="str">
        <f>VLOOKUP(A1469,'[1]Raw data'!$B:$Z,2,FALSE)</f>
        <v>C49SZX20230102SX</v>
      </c>
      <c r="R1469" s="647" t="str">
        <f>VLOOKUP(A1469,'[1]Raw data'!$B:$Z,3,FALSE)</f>
        <v>太美亚</v>
      </c>
      <c r="S1469" s="647" t="str">
        <f>VLOOKUP(A1469,'[1]Raw data'!$B:$Z,4,FALSE)</f>
        <v>YSM10</v>
      </c>
      <c r="T1469" s="647" t="str">
        <f>VLOOKUP(A1469,'[1]Raw data'!$B:$Z,8,FALSE)</f>
        <v>L-&gt;R</v>
      </c>
      <c r="U1469" s="647" t="str">
        <f>VLOOKUP(A1469,'[1]Raw data'!$B:$Z,9,FALSE)</f>
        <v>MVC+ATS15</v>
      </c>
      <c r="V1469" s="567" t="str">
        <f t="shared" si="338"/>
        <v>WRONG</v>
      </c>
      <c r="W1469" s="563" t="str">
        <f>VLOOKUP(A1469,'[1]Raw data'!$B:$AG,32,FALSE)</f>
        <v>DAP YC</v>
      </c>
      <c r="X1469" s="657">
        <f>VLOOKUP(A1469,'[1]Raw data'!$B:$BA,31,FALSE)</f>
        <v>45184</v>
      </c>
      <c r="Y1469" s="647" t="str">
        <f>VLOOKUP(A1469,'[1]Raw data'!$B:$AS,39,FALSE)</f>
        <v>Yes</v>
      </c>
      <c r="Z1469" s="659"/>
      <c r="AA1469" s="660"/>
      <c r="AB1469" s="661"/>
      <c r="AC1469" s="647" t="s">
        <v>4159</v>
      </c>
      <c r="AD1469" s="662">
        <v>301</v>
      </c>
      <c r="AE1469" s="662">
        <v>10</v>
      </c>
      <c r="AF1469" s="662"/>
      <c r="AG1469" s="662"/>
      <c r="AH1469" s="662"/>
      <c r="AI1469" s="663"/>
      <c r="AN1469" s="542"/>
      <c r="AO1469" s="824" t="str">
        <f t="shared" si="322"/>
        <v>Yes</v>
      </c>
      <c r="AP1469" s="259" t="str">
        <f t="shared" si="323"/>
        <v>SEP 23</v>
      </c>
      <c r="AQ1469" s="542" t="str">
        <f t="shared" si="324"/>
        <v>有定金+有預留客戶</v>
      </c>
      <c r="AR1469" s="259" t="str">
        <f t="shared" si="325"/>
        <v>Shipped_Stock</v>
      </c>
      <c r="AS1469" s="259" t="str">
        <f t="shared" si="326"/>
        <v/>
      </c>
      <c r="AT1469" s="259" t="str">
        <f t="shared" si="327"/>
        <v>太美亚</v>
      </c>
      <c r="AU1469" s="259" t="str">
        <f t="shared" si="328"/>
        <v>C49SZX20230102SX</v>
      </c>
      <c r="AV1469" s="259" t="str">
        <f t="shared" si="329"/>
        <v>Jun-23</v>
      </c>
    </row>
    <row r="1470" spans="1:48" hidden="1">
      <c r="A1470" s="559">
        <v>1970</v>
      </c>
      <c r="B1470" s="664" t="s">
        <v>1125</v>
      </c>
      <c r="C1470" s="664" t="s">
        <v>281</v>
      </c>
      <c r="D1470" s="645" t="s">
        <v>3909</v>
      </c>
      <c r="E1470" s="744" t="s">
        <v>236</v>
      </c>
      <c r="F1470" s="647" t="s">
        <v>17</v>
      </c>
      <c r="G1470" s="647" t="s">
        <v>18</v>
      </c>
      <c r="H1470" s="647" t="s">
        <v>19</v>
      </c>
      <c r="I1470" s="575" t="s">
        <v>3976</v>
      </c>
      <c r="J1470" s="575">
        <v>1</v>
      </c>
      <c r="K1470" s="647" t="s">
        <v>2407</v>
      </c>
      <c r="L1470" s="657">
        <v>45100</v>
      </c>
      <c r="M1470" s="665">
        <v>5.0799999999999998E-2</v>
      </c>
      <c r="N1470" s="647" t="s">
        <v>4117</v>
      </c>
      <c r="O1470" s="575">
        <v>2023.6</v>
      </c>
      <c r="P1470" s="665" t="str">
        <f>VLOOKUP(A1470,'[1]Raw data'!$B:$BA,23,FALSE)</f>
        <v>RMB</v>
      </c>
      <c r="Q1470" s="647" t="str">
        <f>VLOOKUP(A1470,'[1]Raw data'!$B:$Z,2,FALSE)</f>
        <v>C49SZX20230098SX</v>
      </c>
      <c r="R1470" s="647" t="str">
        <f>VLOOKUP(A1470,'[1]Raw data'!$B:$Z,3,FALSE)</f>
        <v>锐诚</v>
      </c>
      <c r="S1470" s="647" t="str">
        <f>VLOOKUP(A1470,'[1]Raw data'!$B:$Z,4,FALSE)</f>
        <v>YSM10</v>
      </c>
      <c r="T1470" s="647" t="str">
        <f>VLOOKUP(A1470,'[1]Raw data'!$B:$Z,8,FALSE)</f>
        <v>L-&gt;R</v>
      </c>
      <c r="U1470" s="647" t="str">
        <f>VLOOKUP(A1470,'[1]Raw data'!$B:$Z,9,FALSE)</f>
        <v>MVC+ATS15</v>
      </c>
      <c r="V1470" s="567" t="str">
        <f t="shared" si="338"/>
        <v>WRONG</v>
      </c>
      <c r="W1470" s="563" t="str">
        <f>VLOOKUP(A1470,'[1]Raw data'!$B:$AG,32,FALSE)</f>
        <v>DDP HZ</v>
      </c>
      <c r="X1470" s="657">
        <f>VLOOKUP(A1470,'[1]Raw data'!$B:$BA,31,FALSE)</f>
        <v>45169</v>
      </c>
      <c r="Y1470" s="647" t="str">
        <f>VLOOKUP(A1470,'[1]Raw data'!$B:$AS,39,FALSE)</f>
        <v>Yes</v>
      </c>
      <c r="Z1470" s="659"/>
      <c r="AA1470" s="660"/>
      <c r="AB1470" s="661"/>
      <c r="AC1470" s="647" t="s">
        <v>563</v>
      </c>
      <c r="AD1470" s="662">
        <v>301</v>
      </c>
      <c r="AE1470" s="662">
        <v>10</v>
      </c>
      <c r="AF1470" s="662"/>
      <c r="AG1470" s="662"/>
      <c r="AH1470" s="662"/>
      <c r="AI1470" s="663"/>
      <c r="AN1470" s="542"/>
      <c r="AO1470" s="824" t="str">
        <f t="shared" si="322"/>
        <v>Yes</v>
      </c>
      <c r="AP1470" s="259" t="str">
        <f t="shared" si="323"/>
        <v>OCT 23</v>
      </c>
      <c r="AQ1470" s="542" t="str">
        <f t="shared" si="324"/>
        <v>有定金+有預留客戶</v>
      </c>
      <c r="AR1470" s="259" t="str">
        <f t="shared" si="325"/>
        <v>Shipped_Stock</v>
      </c>
      <c r="AS1470" s="259" t="str">
        <f t="shared" si="326"/>
        <v/>
      </c>
      <c r="AT1470" s="259" t="str">
        <f t="shared" si="327"/>
        <v>锐诚</v>
      </c>
      <c r="AU1470" s="259" t="str">
        <f t="shared" si="328"/>
        <v>C49SZX20230098SX</v>
      </c>
      <c r="AV1470" s="259" t="str">
        <f t="shared" si="329"/>
        <v>Jun-23</v>
      </c>
    </row>
    <row r="1471" spans="1:48" hidden="1">
      <c r="A1471" s="559">
        <v>1994</v>
      </c>
      <c r="B1471" s="664" t="s">
        <v>1125</v>
      </c>
      <c r="C1471" s="664" t="s">
        <v>281</v>
      </c>
      <c r="D1471" s="645" t="s">
        <v>3909</v>
      </c>
      <c r="E1471" s="744" t="s">
        <v>236</v>
      </c>
      <c r="F1471" s="647" t="s">
        <v>17</v>
      </c>
      <c r="G1471" s="647" t="s">
        <v>18</v>
      </c>
      <c r="H1471" s="647" t="s">
        <v>19</v>
      </c>
      <c r="I1471" s="575" t="s">
        <v>3977</v>
      </c>
      <c r="J1471" s="575">
        <v>1</v>
      </c>
      <c r="K1471" s="647" t="s">
        <v>1732</v>
      </c>
      <c r="L1471" s="657">
        <v>45100</v>
      </c>
      <c r="M1471" s="665">
        <v>5.0799999999999998E-2</v>
      </c>
      <c r="N1471" s="647" t="s">
        <v>4241</v>
      </c>
      <c r="O1471" s="575">
        <v>2023.6</v>
      </c>
      <c r="P1471" s="665" t="str">
        <f>VLOOKUP(A1471,'[1]Raw data'!$B:$BA,23,FALSE)</f>
        <v>USD</v>
      </c>
      <c r="Q1471" s="647" t="str">
        <f>VLOOKUP(A1471,'[1]Raw data'!$B:$Z,2,FALSE)</f>
        <v>HJD-ESE20231016</v>
      </c>
      <c r="R1471" s="647" t="str">
        <f>VLOOKUP(A1471,'[1]Raw data'!$B:$Z,3,FALSE)</f>
        <v>越南皓吉达</v>
      </c>
      <c r="S1471" s="647" t="str">
        <f>VLOOKUP(A1471,'[1]Raw data'!$B:$Z,4,FALSE)</f>
        <v>YSM10</v>
      </c>
      <c r="T1471" s="647" t="str">
        <f>VLOOKUP(A1471,'[1]Raw data'!$B:$Z,8,FALSE)</f>
        <v>L-&gt;R</v>
      </c>
      <c r="U1471" s="647" t="str">
        <f>VLOOKUP(A1471,'[1]Raw data'!$B:$Z,9,FALSE)</f>
        <v>ATS15</v>
      </c>
      <c r="V1471" s="567" t="str">
        <f t="shared" si="338"/>
        <v>WRONG</v>
      </c>
      <c r="W1471" s="563" t="str">
        <f>VLOOKUP(A1471,'[1]Raw data'!$B:$AG,32,FALSE)</f>
        <v>CIF Vietnam</v>
      </c>
      <c r="X1471" s="657">
        <f>VLOOKUP(A1471,'[1]Raw data'!$B:$BA,31,FALSE)</f>
        <v>45215</v>
      </c>
      <c r="Y1471" s="647" t="str">
        <f>VLOOKUP(A1471,'[1]Raw data'!$B:$AS,39,FALSE)</f>
        <v>Yes</v>
      </c>
      <c r="Z1471" s="659"/>
      <c r="AA1471" s="660"/>
      <c r="AB1471" s="661"/>
      <c r="AC1471" s="647" t="s">
        <v>4265</v>
      </c>
      <c r="AD1471" s="662">
        <v>301</v>
      </c>
      <c r="AE1471" s="662">
        <v>10</v>
      </c>
      <c r="AF1471" s="662"/>
      <c r="AG1471" s="662"/>
      <c r="AH1471" s="662"/>
      <c r="AI1471" s="663"/>
      <c r="AN1471" s="542"/>
      <c r="AO1471" s="824" t="str">
        <f t="shared" si="322"/>
        <v>Yes</v>
      </c>
      <c r="AP1471" s="259" t="str">
        <f t="shared" si="323"/>
        <v>NOV 23</v>
      </c>
      <c r="AQ1471" s="542" t="str">
        <f t="shared" si="324"/>
        <v>有定金+有預留客戶</v>
      </c>
      <c r="AR1471" s="259" t="str">
        <f t="shared" si="325"/>
        <v>Shipped_Stock</v>
      </c>
      <c r="AS1471" s="259" t="str">
        <f t="shared" si="326"/>
        <v/>
      </c>
      <c r="AT1471" s="259" t="str">
        <f t="shared" si="327"/>
        <v>越南皓吉达</v>
      </c>
      <c r="AU1471" s="259" t="str">
        <f t="shared" si="328"/>
        <v>HJD-ESE20231016</v>
      </c>
      <c r="AV1471" s="259" t="str">
        <f t="shared" si="329"/>
        <v>Jun-23</v>
      </c>
    </row>
    <row r="1472" spans="1:48" hidden="1">
      <c r="A1472" s="559">
        <v>1984</v>
      </c>
      <c r="B1472" s="664" t="s">
        <v>1125</v>
      </c>
      <c r="C1472" s="664" t="s">
        <v>281</v>
      </c>
      <c r="D1472" s="645">
        <v>111278</v>
      </c>
      <c r="E1472" s="744" t="s">
        <v>236</v>
      </c>
      <c r="F1472" s="647" t="s">
        <v>58</v>
      </c>
      <c r="G1472" s="647" t="s">
        <v>24</v>
      </c>
      <c r="H1472" s="647" t="s">
        <v>26</v>
      </c>
      <c r="I1472" s="575" t="s">
        <v>3978</v>
      </c>
      <c r="J1472" s="575">
        <v>1</v>
      </c>
      <c r="K1472" s="647" t="s">
        <v>1732</v>
      </c>
      <c r="L1472" s="657">
        <v>45103</v>
      </c>
      <c r="M1472" s="665">
        <v>5.16E-2</v>
      </c>
      <c r="N1472" s="647" t="s">
        <v>4117</v>
      </c>
      <c r="O1472" s="575">
        <v>2023.6</v>
      </c>
      <c r="P1472" s="665" t="str">
        <f>VLOOKUP(A1472,'[1]Raw data'!$B:$BA,23,FALSE)</f>
        <v>JPY</v>
      </c>
      <c r="Q1472" s="647" t="str">
        <f>VLOOKUP(A1472,'[1]Raw data'!$B:$Z,2,FALSE)</f>
        <v>C49SZX20230109JY</v>
      </c>
      <c r="R1472" s="647" t="str">
        <f>VLOOKUP(A1472,'[1]Raw data'!$B:$Z,3,FALSE)</f>
        <v>精德鸿（end user:海纳科)</v>
      </c>
      <c r="S1472" s="647" t="str">
        <f>VLOOKUP(A1472,'[1]Raw data'!$B:$Z,4,FALSE)</f>
        <v>YSM20R-2</v>
      </c>
      <c r="T1472" s="647" t="str">
        <f>VLOOKUP(A1472,'[1]Raw data'!$B:$Z,8,FALSE)</f>
        <v>L-&gt;R</v>
      </c>
      <c r="U1472" s="647" t="str">
        <f>VLOOKUP(A1472,'[1]Raw data'!$B:$Z,9,FALSE)</f>
        <v>MVC F&amp;R</v>
      </c>
      <c r="V1472" s="567" t="str">
        <f t="shared" si="338"/>
        <v>WRONG</v>
      </c>
      <c r="W1472" s="563" t="str">
        <f>VLOOKUP(A1472,'[1]Raw data'!$B:$AG,32,FALSE)</f>
        <v>DAP SZ</v>
      </c>
      <c r="X1472" s="657">
        <f>VLOOKUP(A1472,'[1]Raw data'!$B:$BA,31,FALSE)</f>
        <v>45190</v>
      </c>
      <c r="Y1472" s="647" t="str">
        <f>VLOOKUP(A1472,'[1]Raw data'!$B:$AS,39,FALSE)</f>
        <v>Yes</v>
      </c>
      <c r="Z1472" s="659"/>
      <c r="AA1472" s="660"/>
      <c r="AB1472" s="661"/>
      <c r="AC1472" s="647" t="s">
        <v>4237</v>
      </c>
      <c r="AD1472" s="662">
        <v>301</v>
      </c>
      <c r="AE1472" s="662">
        <v>20</v>
      </c>
      <c r="AF1472" s="662"/>
      <c r="AG1472" s="662"/>
      <c r="AH1472" s="662"/>
      <c r="AI1472" s="663"/>
      <c r="AN1472" s="542"/>
      <c r="AO1472" s="824" t="str">
        <f t="shared" si="322"/>
        <v>Yes</v>
      </c>
      <c r="AP1472" s="259" t="str">
        <f t="shared" si="323"/>
        <v>OCT 23</v>
      </c>
      <c r="AQ1472" s="542" t="str">
        <f t="shared" si="324"/>
        <v>有定金+有預留客戶</v>
      </c>
      <c r="AR1472" s="259" t="str">
        <f t="shared" si="325"/>
        <v>Shipped_Stock</v>
      </c>
      <c r="AS1472" s="259" t="str">
        <f t="shared" si="326"/>
        <v/>
      </c>
      <c r="AT1472" s="259" t="str">
        <f t="shared" si="327"/>
        <v>精德鸿（end user:海纳科)</v>
      </c>
      <c r="AU1472" s="259" t="str">
        <f t="shared" si="328"/>
        <v>C49SZX20230109JY</v>
      </c>
      <c r="AV1472" s="259" t="str">
        <f t="shared" si="329"/>
        <v>Jun-26</v>
      </c>
    </row>
    <row r="1473" spans="1:48" hidden="1">
      <c r="A1473" s="559">
        <v>1981</v>
      </c>
      <c r="B1473" s="664" t="s">
        <v>1125</v>
      </c>
      <c r="C1473" s="664" t="s">
        <v>281</v>
      </c>
      <c r="D1473" s="645">
        <v>111278</v>
      </c>
      <c r="E1473" s="744" t="s">
        <v>236</v>
      </c>
      <c r="F1473" s="647" t="s">
        <v>58</v>
      </c>
      <c r="G1473" s="647" t="s">
        <v>24</v>
      </c>
      <c r="H1473" s="647" t="s">
        <v>26</v>
      </c>
      <c r="I1473" s="575" t="s">
        <v>3979</v>
      </c>
      <c r="J1473" s="575">
        <v>1</v>
      </c>
      <c r="K1473" s="647" t="s">
        <v>1732</v>
      </c>
      <c r="L1473" s="657">
        <v>45103</v>
      </c>
      <c r="M1473" s="665">
        <v>5.16E-2</v>
      </c>
      <c r="N1473" s="647" t="s">
        <v>4117</v>
      </c>
      <c r="O1473" s="575">
        <v>2023.6</v>
      </c>
      <c r="P1473" s="665" t="str">
        <f>VLOOKUP(A1473,'[1]Raw data'!$B:$BA,23,FALSE)</f>
        <v>JPY</v>
      </c>
      <c r="Q1473" s="647" t="str">
        <f>VLOOKUP(A1473,'[1]Raw data'!$B:$Z,2,FALSE)</f>
        <v>C49SZX20230101R1DM</v>
      </c>
      <c r="R1473" s="647" t="str">
        <f>VLOOKUP(A1473,'[1]Raw data'!$B:$Z,3,FALSE)</f>
        <v>菲帆</v>
      </c>
      <c r="S1473" s="647" t="str">
        <f>VLOOKUP(A1473,'[1]Raw data'!$B:$Z,4,FALSE)</f>
        <v>YSM20R-2</v>
      </c>
      <c r="T1473" s="647" t="str">
        <f>VLOOKUP(A1473,'[1]Raw data'!$B:$Z,8,FALSE)</f>
        <v>L-&gt;R</v>
      </c>
      <c r="U1473" s="647" t="str">
        <f>VLOOKUP(A1473,'[1]Raw data'!$B:$Z,9,FALSE)</f>
        <v>No</v>
      </c>
      <c r="V1473" s="567" t="str">
        <f t="shared" ref="V1473:V1502" si="340">IF(G1473&amp;H1473=T1473&amp;U1473,"OK","WRONG")</f>
        <v>OK</v>
      </c>
      <c r="W1473" s="563" t="str">
        <f>VLOOKUP(A1473,'[1]Raw data'!$B:$AG,32,FALSE)</f>
        <v>DAP HZ</v>
      </c>
      <c r="X1473" s="657">
        <f>VLOOKUP(A1473,'[1]Raw data'!$B:$BA,31,FALSE)</f>
        <v>45190</v>
      </c>
      <c r="Y1473" s="647" t="str">
        <f>VLOOKUP(A1473,'[1]Raw data'!$B:$AS,39,FALSE)</f>
        <v>Yes</v>
      </c>
      <c r="Z1473" s="659"/>
      <c r="AA1473" s="660"/>
      <c r="AB1473" s="661"/>
      <c r="AC1473" s="647" t="s">
        <v>4261</v>
      </c>
      <c r="AD1473" s="662">
        <v>301</v>
      </c>
      <c r="AE1473" s="662">
        <v>20</v>
      </c>
      <c r="AF1473" s="662"/>
      <c r="AG1473" s="662"/>
      <c r="AH1473" s="662"/>
      <c r="AI1473" s="663"/>
      <c r="AN1473" s="542"/>
      <c r="AO1473" s="824" t="str">
        <f t="shared" si="322"/>
        <v>Yes</v>
      </c>
      <c r="AP1473" s="259" t="str">
        <f t="shared" si="323"/>
        <v>OCT 23</v>
      </c>
      <c r="AQ1473" s="542" t="str">
        <f t="shared" si="324"/>
        <v>有定金+有預留客戶</v>
      </c>
      <c r="AR1473" s="259" t="str">
        <f t="shared" si="325"/>
        <v>Shipped_Stock</v>
      </c>
      <c r="AS1473" s="259" t="str">
        <f t="shared" si="326"/>
        <v/>
      </c>
      <c r="AT1473" s="259" t="str">
        <f t="shared" si="327"/>
        <v>菲帆</v>
      </c>
      <c r="AU1473" s="259" t="str">
        <f t="shared" si="328"/>
        <v>C49SZX20230101R1DM</v>
      </c>
      <c r="AV1473" s="259" t="str">
        <f t="shared" si="329"/>
        <v>Jun-26</v>
      </c>
    </row>
    <row r="1474" spans="1:48" hidden="1">
      <c r="A1474" s="559">
        <v>1998</v>
      </c>
      <c r="B1474" s="664" t="s">
        <v>1125</v>
      </c>
      <c r="C1474" s="664" t="s">
        <v>281</v>
      </c>
      <c r="D1474" s="645">
        <v>111278</v>
      </c>
      <c r="E1474" s="744" t="s">
        <v>236</v>
      </c>
      <c r="F1474" s="647" t="s">
        <v>58</v>
      </c>
      <c r="G1474" s="647" t="s">
        <v>24</v>
      </c>
      <c r="H1474" s="647" t="s">
        <v>26</v>
      </c>
      <c r="I1474" s="575" t="s">
        <v>3980</v>
      </c>
      <c r="J1474" s="575">
        <v>1</v>
      </c>
      <c r="K1474" s="647" t="s">
        <v>1732</v>
      </c>
      <c r="L1474" s="657">
        <v>45103</v>
      </c>
      <c r="M1474" s="665">
        <v>5.16E-2</v>
      </c>
      <c r="N1474" s="647" t="s">
        <v>4241</v>
      </c>
      <c r="O1474" s="575">
        <v>2023.6</v>
      </c>
      <c r="P1474" s="665" t="str">
        <f>VLOOKUP(A1474,'[1]Raw data'!$B:$BA,23,FALSE)</f>
        <v>JPY</v>
      </c>
      <c r="Q1474" s="647" t="str">
        <f>VLOOKUP(A1474,'[1]Raw data'!$B:$Z,2,FALSE)</f>
        <v>C49SZX20230113EC</v>
      </c>
      <c r="R1474" s="647" t="str">
        <f>VLOOKUP(A1474,'[1]Raw data'!$B:$Z,3,FALSE)</f>
        <v>骏孚</v>
      </c>
      <c r="S1474" s="647" t="str">
        <f>VLOOKUP(A1474,'[1]Raw data'!$B:$Z,4,FALSE)</f>
        <v>YSM20R-2</v>
      </c>
      <c r="T1474" s="647" t="str">
        <f>VLOOKUP(A1474,'[1]Raw data'!$B:$Z,8,FALSE)</f>
        <v>L-&gt;R</v>
      </c>
      <c r="U1474" s="647" t="str">
        <f>VLOOKUP(A1474,'[1]Raw data'!$B:$Z,9,FALSE)</f>
        <v>No</v>
      </c>
      <c r="V1474" s="567" t="str">
        <f t="shared" si="340"/>
        <v>OK</v>
      </c>
      <c r="W1474" s="563" t="str">
        <f>VLOOKUP(A1474,'[1]Raw data'!$B:$AG,32,FALSE)</f>
        <v>DAP GZ</v>
      </c>
      <c r="X1474" s="657">
        <f>VLOOKUP(A1474,'[1]Raw data'!$B:$BA,31,FALSE)</f>
        <v>45226</v>
      </c>
      <c r="Y1474" s="647" t="str">
        <f>VLOOKUP(A1474,'[1]Raw data'!$B:$AS,39,FALSE)</f>
        <v>Yes</v>
      </c>
      <c r="Z1474" s="659"/>
      <c r="AA1474" s="660"/>
      <c r="AB1474" s="661"/>
      <c r="AC1474" s="647" t="s">
        <v>4262</v>
      </c>
      <c r="AD1474" s="662">
        <v>301</v>
      </c>
      <c r="AE1474" s="662">
        <v>20</v>
      </c>
      <c r="AF1474" s="662"/>
      <c r="AG1474" s="662"/>
      <c r="AH1474" s="662"/>
      <c r="AI1474" s="663"/>
      <c r="AN1474" s="542"/>
      <c r="AO1474" s="824" t="str">
        <f t="shared" si="322"/>
        <v>Yes</v>
      </c>
      <c r="AP1474" s="259" t="str">
        <f t="shared" si="323"/>
        <v>NOV 23</v>
      </c>
      <c r="AQ1474" s="542" t="str">
        <f t="shared" si="324"/>
        <v>有定金+有預留客戶</v>
      </c>
      <c r="AR1474" s="259" t="str">
        <f t="shared" si="325"/>
        <v>Shipped_Stock</v>
      </c>
      <c r="AS1474" s="259" t="str">
        <f t="shared" si="326"/>
        <v/>
      </c>
      <c r="AT1474" s="259" t="str">
        <f t="shared" si="327"/>
        <v>骏孚</v>
      </c>
      <c r="AU1474" s="259" t="str">
        <f t="shared" si="328"/>
        <v>C49SZX20230113EC</v>
      </c>
      <c r="AV1474" s="259" t="str">
        <f t="shared" si="329"/>
        <v>Jun-26</v>
      </c>
    </row>
    <row r="1475" spans="1:48" hidden="1">
      <c r="A1475" s="559">
        <v>1940</v>
      </c>
      <c r="B1475" s="664" t="s">
        <v>1125</v>
      </c>
      <c r="C1475" s="664" t="s">
        <v>281</v>
      </c>
      <c r="D1475" s="645">
        <v>111278</v>
      </c>
      <c r="E1475" s="744" t="s">
        <v>236</v>
      </c>
      <c r="F1475" s="647" t="s">
        <v>58</v>
      </c>
      <c r="G1475" s="647" t="s">
        <v>24</v>
      </c>
      <c r="H1475" s="647" t="s">
        <v>26</v>
      </c>
      <c r="I1475" s="575" t="s">
        <v>3981</v>
      </c>
      <c r="J1475" s="575">
        <v>1</v>
      </c>
      <c r="K1475" s="647" t="s">
        <v>1732</v>
      </c>
      <c r="L1475" s="657">
        <v>45103</v>
      </c>
      <c r="M1475" s="665">
        <v>5.16E-2</v>
      </c>
      <c r="N1475" s="647" t="s">
        <v>4241</v>
      </c>
      <c r="O1475" s="575">
        <v>2023.6</v>
      </c>
      <c r="P1475" s="665" t="str">
        <f>VLOOKUP(A1475,'[1]Raw data'!$B:$BA,23,FALSE)</f>
        <v>JPY</v>
      </c>
      <c r="Q1475" s="647" t="str">
        <f>VLOOKUP(A1475,'[1]Raw data'!$B:$Z,2,FALSE)</f>
        <v>C49SZX20230089EC</v>
      </c>
      <c r="R1475" s="647" t="str">
        <f>VLOOKUP(A1475,'[1]Raw data'!$B:$Z,3,FALSE)</f>
        <v>领德创</v>
      </c>
      <c r="S1475" s="647" t="str">
        <f>VLOOKUP(A1475,'[1]Raw data'!$B:$Z,4,FALSE)</f>
        <v>YSM20R-2</v>
      </c>
      <c r="T1475" s="647" t="str">
        <f>VLOOKUP(A1475,'[1]Raw data'!$B:$Z,8,FALSE)</f>
        <v>L-&gt;R</v>
      </c>
      <c r="U1475" s="647" t="str">
        <f>VLOOKUP(A1475,'[1]Raw data'!$B:$Z,9,FALSE)</f>
        <v>No</v>
      </c>
      <c r="V1475" s="567" t="str">
        <f t="shared" si="340"/>
        <v>OK</v>
      </c>
      <c r="W1475" s="563" t="str">
        <f>VLOOKUP(A1475,'[1]Raw data'!$B:$AG,32,FALSE)</f>
        <v>DAP SZ</v>
      </c>
      <c r="X1475" s="657">
        <f>VLOOKUP(A1475,'[1]Raw data'!$B:$BA,31,FALSE)</f>
        <v>45126</v>
      </c>
      <c r="Y1475" s="647" t="str">
        <f>VLOOKUP(A1475,'[1]Raw data'!$B:$AS,39,FALSE)</f>
        <v>Yes</v>
      </c>
      <c r="Z1475" s="666"/>
      <c r="AA1475" s="667"/>
      <c r="AB1475" s="668"/>
      <c r="AC1475" s="647" t="s">
        <v>4272</v>
      </c>
      <c r="AD1475" s="662">
        <v>301</v>
      </c>
      <c r="AE1475" s="662">
        <v>20</v>
      </c>
      <c r="AF1475" s="662"/>
      <c r="AG1475" s="662"/>
      <c r="AH1475" s="662"/>
      <c r="AI1475" s="663"/>
      <c r="AN1475" s="542"/>
      <c r="AO1475" s="824" t="str">
        <f t="shared" ref="AO1475:AO1538" si="341">IFERROR(IF(Y1475&lt;&gt;"",Y1475,"No"),"No")</f>
        <v>Yes</v>
      </c>
      <c r="AP1475" s="259" t="str">
        <f t="shared" ref="AP1475:AP1538" si="342">IFERROR(IF(N1475&lt;&gt;"",N1475,"blank"),"NA")</f>
        <v>NOV 23</v>
      </c>
      <c r="AQ1475" s="542" t="str">
        <f t="shared" ref="AQ1475:AQ1538" si="343">IFERROR(IF(AND(AO1475="Yes", AP1475&lt;&gt;"blank"), "有定金+有預留客戶", IF(AND(AO1475="Yes", AP1475="blank"), "有定金+无客戶送貨期", IF(AND(OR(AO1475="No", ISBLANK(AO1475), AO1475="NA"), AP1475&lt;&gt;"blank"), "无定金+有預留客戶", IF(AND(OR(AO1475="No", ISBLANK(AO1475), AO1475="NA"), AP1475="blank"), "无定金+无預留客戶", "")))), "")</f>
        <v>有定金+有預留客戶</v>
      </c>
      <c r="AR1475" s="259" t="str">
        <f t="shared" ref="AR1475:AR1538" si="344">IFERROR(IF(B1475="已经到货", "Instock", IF(B1475="有交期", "Incoming_Stock_With_YAMAHA_Schedule", IF(B1475="TBA.", "Incoming_Stock_No_YAMAHA_Schedule", IF(B1475="已发货", "Shipped_Stock", "")))), "")</f>
        <v>Shipped_Stock</v>
      </c>
      <c r="AS1475" s="259" t="str">
        <f t="shared" ref="AS1475:AS1538" si="345">IF(AND(B1475="有交期", L1475&lt;&gt;""), L1475, "")</f>
        <v/>
      </c>
      <c r="AT1475" s="259" t="str">
        <f t="shared" ref="AT1475:AT1538" si="346">IFERROR(IF(R1475&lt;&gt;"",R1475),"-")</f>
        <v>领德创</v>
      </c>
      <c r="AU1475" s="259" t="str">
        <f t="shared" ref="AU1475:AU1538" si="347">IFERROR(IF(Q1475&lt;&gt;"",Q1475),"-")</f>
        <v>C49SZX20230089EC</v>
      </c>
      <c r="AV1475" s="259" t="str">
        <f t="shared" ref="AV1475:AV1538" si="348">IF(L1475="","-",TEXT(L1475,"mmm-dd"))</f>
        <v>Jun-26</v>
      </c>
    </row>
    <row r="1476" spans="1:48" hidden="1">
      <c r="A1476" s="559">
        <v>1941</v>
      </c>
      <c r="B1476" s="664" t="s">
        <v>1125</v>
      </c>
      <c r="C1476" s="664" t="s">
        <v>281</v>
      </c>
      <c r="D1476" s="645">
        <v>111278</v>
      </c>
      <c r="E1476" s="744" t="s">
        <v>236</v>
      </c>
      <c r="F1476" s="647" t="s">
        <v>58</v>
      </c>
      <c r="G1476" s="647" t="s">
        <v>24</v>
      </c>
      <c r="H1476" s="647" t="s">
        <v>26</v>
      </c>
      <c r="I1476" s="575" t="s">
        <v>3982</v>
      </c>
      <c r="J1476" s="575">
        <v>1</v>
      </c>
      <c r="K1476" s="647" t="s">
        <v>1732</v>
      </c>
      <c r="L1476" s="657">
        <v>45103</v>
      </c>
      <c r="M1476" s="665">
        <v>5.16E-2</v>
      </c>
      <c r="N1476" s="647" t="s">
        <v>4241</v>
      </c>
      <c r="O1476" s="575">
        <v>2023.6</v>
      </c>
      <c r="P1476" s="665" t="str">
        <f>VLOOKUP(A1476,'[1]Raw data'!$B:$BA,23,FALSE)</f>
        <v>JPY</v>
      </c>
      <c r="Q1476" s="647" t="str">
        <f>VLOOKUP(A1476,'[1]Raw data'!$B:$Z,2,FALSE)</f>
        <v>C49SZX20230089EC</v>
      </c>
      <c r="R1476" s="647" t="str">
        <f>VLOOKUP(A1476,'[1]Raw data'!$B:$Z,3,FALSE)</f>
        <v>领德创</v>
      </c>
      <c r="S1476" s="647" t="str">
        <f>VLOOKUP(A1476,'[1]Raw data'!$B:$Z,4,FALSE)</f>
        <v>YSM20R-2</v>
      </c>
      <c r="T1476" s="647" t="str">
        <f>VLOOKUP(A1476,'[1]Raw data'!$B:$Z,8,FALSE)</f>
        <v>L-&gt;R</v>
      </c>
      <c r="U1476" s="647" t="str">
        <f>VLOOKUP(A1476,'[1]Raw data'!$B:$Z,9,FALSE)</f>
        <v>No</v>
      </c>
      <c r="V1476" s="567" t="str">
        <f t="shared" si="340"/>
        <v>OK</v>
      </c>
      <c r="W1476" s="563" t="str">
        <f>VLOOKUP(A1476,'[1]Raw data'!$B:$AG,32,FALSE)</f>
        <v>DAP SZ</v>
      </c>
      <c r="X1476" s="657">
        <f>VLOOKUP(A1476,'[1]Raw data'!$B:$BA,31,FALSE)</f>
        <v>45126</v>
      </c>
      <c r="Y1476" s="647" t="str">
        <f>VLOOKUP(A1476,'[1]Raw data'!$B:$AS,39,FALSE)</f>
        <v>Yes</v>
      </c>
      <c r="Z1476" s="666"/>
      <c r="AA1476" s="667"/>
      <c r="AB1476" s="668"/>
      <c r="AC1476" s="647" t="s">
        <v>4272</v>
      </c>
      <c r="AD1476" s="662">
        <v>301</v>
      </c>
      <c r="AE1476" s="662">
        <v>20</v>
      </c>
      <c r="AF1476" s="662"/>
      <c r="AG1476" s="662"/>
      <c r="AH1476" s="662"/>
      <c r="AI1476" s="663"/>
      <c r="AN1476" s="542"/>
      <c r="AO1476" s="824" t="str">
        <f t="shared" si="341"/>
        <v>Yes</v>
      </c>
      <c r="AP1476" s="259" t="str">
        <f t="shared" si="342"/>
        <v>NOV 23</v>
      </c>
      <c r="AQ1476" s="542" t="str">
        <f t="shared" si="343"/>
        <v>有定金+有預留客戶</v>
      </c>
      <c r="AR1476" s="259" t="str">
        <f t="shared" si="344"/>
        <v>Shipped_Stock</v>
      </c>
      <c r="AS1476" s="259" t="str">
        <f t="shared" si="345"/>
        <v/>
      </c>
      <c r="AT1476" s="259" t="str">
        <f t="shared" si="346"/>
        <v>领德创</v>
      </c>
      <c r="AU1476" s="259" t="str">
        <f t="shared" si="347"/>
        <v>C49SZX20230089EC</v>
      </c>
      <c r="AV1476" s="259" t="str">
        <f t="shared" si="348"/>
        <v>Jun-26</v>
      </c>
    </row>
    <row r="1477" spans="1:48" hidden="1">
      <c r="A1477" s="559">
        <v>2029</v>
      </c>
      <c r="B1477" s="664" t="s">
        <v>1125</v>
      </c>
      <c r="C1477" s="664" t="s">
        <v>281</v>
      </c>
      <c r="D1477" s="645" t="s">
        <v>3910</v>
      </c>
      <c r="E1477" s="744" t="s">
        <v>236</v>
      </c>
      <c r="F1477" s="647" t="s">
        <v>58</v>
      </c>
      <c r="G1477" s="647" t="s">
        <v>24</v>
      </c>
      <c r="H1477" s="647" t="s">
        <v>26</v>
      </c>
      <c r="I1477" s="575" t="s">
        <v>3983</v>
      </c>
      <c r="J1477" s="575">
        <v>1</v>
      </c>
      <c r="K1477" s="647" t="s">
        <v>85</v>
      </c>
      <c r="L1477" s="657">
        <v>45103</v>
      </c>
      <c r="M1477" s="665">
        <v>5.0799999999999998E-2</v>
      </c>
      <c r="N1477" s="647" t="s">
        <v>4282</v>
      </c>
      <c r="O1477" s="575">
        <v>2023.6</v>
      </c>
      <c r="P1477" s="665" t="str">
        <f>VLOOKUP(A1477,'[1]Raw data'!$B:$BA,23,FALSE)</f>
        <v>JPY</v>
      </c>
      <c r="Q1477" s="647" t="str">
        <f>VLOOKUP(A1477,'[1]Raw data'!$B:$Z,2,FALSE)</f>
        <v>C49SZX20230132LC</v>
      </c>
      <c r="R1477" s="647" t="str">
        <f>VLOOKUP(A1477,'[1]Raw data'!$B:$Z,3,FALSE)</f>
        <v>声韵</v>
      </c>
      <c r="S1477" s="647" t="str">
        <f>VLOOKUP(A1477,'[1]Raw data'!$B:$Z,4,FALSE)</f>
        <v>YSM20R-2</v>
      </c>
      <c r="T1477" s="647" t="str">
        <f>VLOOKUP(A1477,'[1]Raw data'!$B:$Z,8,FALSE)</f>
        <v>L-&gt;R</v>
      </c>
      <c r="U1477" s="647" t="str">
        <f>VLOOKUP(A1477,'[1]Raw data'!$B:$Z,9,FALSE)</f>
        <v>No</v>
      </c>
      <c r="V1477" s="567" t="str">
        <f t="shared" si="340"/>
        <v>OK</v>
      </c>
      <c r="W1477" s="563" t="str">
        <f>VLOOKUP(A1477,'[1]Raw data'!$B:$AG,32,FALSE)</f>
        <v>DAP DG</v>
      </c>
      <c r="X1477" s="657">
        <f>VLOOKUP(A1477,'[1]Raw data'!$B:$BA,31,FALSE)</f>
        <v>45259</v>
      </c>
      <c r="Y1477" s="647" t="str">
        <f>VLOOKUP(A1477,'[1]Raw data'!$B:$AS,39,FALSE)</f>
        <v>Yes</v>
      </c>
      <c r="Z1477" s="666"/>
      <c r="AA1477" s="667"/>
      <c r="AB1477" s="668"/>
      <c r="AC1477" s="647" t="s">
        <v>4329</v>
      </c>
      <c r="AD1477" s="662">
        <v>301</v>
      </c>
      <c r="AE1477" s="662">
        <v>20</v>
      </c>
      <c r="AF1477" s="662"/>
      <c r="AG1477" s="662"/>
      <c r="AH1477" s="662"/>
      <c r="AI1477" s="663"/>
      <c r="AN1477" s="542"/>
      <c r="AO1477" s="824" t="str">
        <f t="shared" si="341"/>
        <v>Yes</v>
      </c>
      <c r="AP1477" s="259" t="str">
        <f t="shared" si="342"/>
        <v>DEC 23</v>
      </c>
      <c r="AQ1477" s="542" t="str">
        <f t="shared" si="343"/>
        <v>有定金+有預留客戶</v>
      </c>
      <c r="AR1477" s="259" t="str">
        <f t="shared" si="344"/>
        <v>Shipped_Stock</v>
      </c>
      <c r="AS1477" s="259" t="str">
        <f t="shared" si="345"/>
        <v/>
      </c>
      <c r="AT1477" s="259" t="str">
        <f t="shared" si="346"/>
        <v>声韵</v>
      </c>
      <c r="AU1477" s="259" t="str">
        <f t="shared" si="347"/>
        <v>C49SZX20230132LC</v>
      </c>
      <c r="AV1477" s="259" t="str">
        <f t="shared" si="348"/>
        <v>Jun-26</v>
      </c>
    </row>
    <row r="1478" spans="1:48" hidden="1">
      <c r="A1478" s="559">
        <v>2002</v>
      </c>
      <c r="B1478" s="664" t="s">
        <v>1125</v>
      </c>
      <c r="C1478" s="664" t="s">
        <v>281</v>
      </c>
      <c r="D1478" s="645" t="s">
        <v>3910</v>
      </c>
      <c r="E1478" s="744" t="s">
        <v>236</v>
      </c>
      <c r="F1478" s="647" t="s">
        <v>58</v>
      </c>
      <c r="G1478" s="647" t="s">
        <v>24</v>
      </c>
      <c r="H1478" s="647" t="s">
        <v>26</v>
      </c>
      <c r="I1478" s="575" t="s">
        <v>3984</v>
      </c>
      <c r="J1478" s="575">
        <v>1</v>
      </c>
      <c r="K1478" s="647" t="s">
        <v>4049</v>
      </c>
      <c r="L1478" s="657">
        <v>45103</v>
      </c>
      <c r="M1478" s="665">
        <v>5.0799999999999998E-2</v>
      </c>
      <c r="N1478" s="647" t="s">
        <v>4241</v>
      </c>
      <c r="O1478" s="575">
        <v>2023.6</v>
      </c>
      <c r="P1478" s="665" t="str">
        <f>VLOOKUP(A1478,'[1]Raw data'!$B:$BA,23,FALSE)</f>
        <v>JPY</v>
      </c>
      <c r="Q1478" s="647" t="str">
        <f>VLOOKUP(A1478,'[1]Raw data'!$B:$Z,2,FALSE)</f>
        <v>C49SZX20230120SX</v>
      </c>
      <c r="R1478" s="647" t="str">
        <f>VLOOKUP(A1478,'[1]Raw data'!$B:$Z,3,FALSE)</f>
        <v>锐诚</v>
      </c>
      <c r="S1478" s="647" t="str">
        <f>VLOOKUP(A1478,'[1]Raw data'!$B:$Z,4,FALSE)</f>
        <v>YSM20R-2</v>
      </c>
      <c r="T1478" s="647" t="str">
        <f>VLOOKUP(A1478,'[1]Raw data'!$B:$Z,8,FALSE)</f>
        <v>L-&gt;R</v>
      </c>
      <c r="U1478" s="647" t="str">
        <f>VLOOKUP(A1478,'[1]Raw data'!$B:$Z,9,FALSE)</f>
        <v>MVC</v>
      </c>
      <c r="V1478" s="567" t="str">
        <f t="shared" si="340"/>
        <v>WRONG</v>
      </c>
      <c r="W1478" s="563" t="str">
        <f>VLOOKUP(A1478,'[1]Raw data'!$B:$AG,32,FALSE)</f>
        <v>DAP HZ</v>
      </c>
      <c r="X1478" s="657">
        <f>VLOOKUP(A1478,'[1]Raw data'!$B:$BA,31,FALSE)</f>
        <v>45236</v>
      </c>
      <c r="Y1478" s="647" t="str">
        <f>VLOOKUP(A1478,'[1]Raw data'!$B:$AS,39,FALSE)</f>
        <v>Yes</v>
      </c>
      <c r="Z1478" s="659"/>
      <c r="AA1478" s="660"/>
      <c r="AB1478" s="661"/>
      <c r="AC1478" s="647" t="s">
        <v>2518</v>
      </c>
      <c r="AD1478" s="662">
        <v>301</v>
      </c>
      <c r="AE1478" s="662">
        <v>15</v>
      </c>
      <c r="AF1478" s="662">
        <v>302</v>
      </c>
      <c r="AG1478" s="662">
        <v>5</v>
      </c>
      <c r="AH1478" s="662"/>
      <c r="AI1478" s="663"/>
      <c r="AN1478" s="542"/>
      <c r="AO1478" s="824" t="str">
        <f t="shared" si="341"/>
        <v>Yes</v>
      </c>
      <c r="AP1478" s="259" t="str">
        <f t="shared" si="342"/>
        <v>NOV 23</v>
      </c>
      <c r="AQ1478" s="542" t="str">
        <f t="shared" si="343"/>
        <v>有定金+有預留客戶</v>
      </c>
      <c r="AR1478" s="259" t="str">
        <f t="shared" si="344"/>
        <v>Shipped_Stock</v>
      </c>
      <c r="AS1478" s="259" t="str">
        <f t="shared" si="345"/>
        <v/>
      </c>
      <c r="AT1478" s="259" t="str">
        <f t="shared" si="346"/>
        <v>锐诚</v>
      </c>
      <c r="AU1478" s="259" t="str">
        <f t="shared" si="347"/>
        <v>C49SZX20230120SX</v>
      </c>
      <c r="AV1478" s="259" t="str">
        <f t="shared" si="348"/>
        <v>Jun-26</v>
      </c>
    </row>
    <row r="1479" spans="1:48" hidden="1">
      <c r="A1479" s="559">
        <v>2018</v>
      </c>
      <c r="B1479" s="664" t="s">
        <v>1125</v>
      </c>
      <c r="C1479" s="664" t="s">
        <v>281</v>
      </c>
      <c r="D1479" s="645" t="s">
        <v>3910</v>
      </c>
      <c r="E1479" s="744" t="s">
        <v>236</v>
      </c>
      <c r="F1479" s="647" t="s">
        <v>58</v>
      </c>
      <c r="G1479" s="647" t="s">
        <v>24</v>
      </c>
      <c r="H1479" s="647" t="s">
        <v>26</v>
      </c>
      <c r="I1479" s="575" t="s">
        <v>3985</v>
      </c>
      <c r="J1479" s="575">
        <v>1</v>
      </c>
      <c r="K1479" s="647" t="s">
        <v>1732</v>
      </c>
      <c r="L1479" s="657">
        <v>45103</v>
      </c>
      <c r="M1479" s="665">
        <v>5.0799999999999998E-2</v>
      </c>
      <c r="N1479" s="647" t="s">
        <v>4241</v>
      </c>
      <c r="O1479" s="575">
        <v>2023.6</v>
      </c>
      <c r="P1479" s="665" t="str">
        <f>VLOOKUP(A1479,'[1]Raw data'!$B:$BA,23,FALSE)</f>
        <v>JPY</v>
      </c>
      <c r="Q1479" s="647" t="str">
        <f>VLOOKUP(A1479,'[1]Raw data'!$B:$Z,2,FALSE)</f>
        <v>C49SZX20230123SX</v>
      </c>
      <c r="R1479" s="647" t="str">
        <f>VLOOKUP(A1479,'[1]Raw data'!$B:$Z,3,FALSE)</f>
        <v>永顺创</v>
      </c>
      <c r="S1479" s="647" t="str">
        <f>VLOOKUP(A1479,'[1]Raw data'!$B:$Z,4,FALSE)</f>
        <v>YSM20R-2</v>
      </c>
      <c r="T1479" s="647" t="str">
        <f>VLOOKUP(A1479,'[1]Raw data'!$B:$Z,8,FALSE)</f>
        <v>L-&gt;R</v>
      </c>
      <c r="U1479" s="647" t="str">
        <f>VLOOKUP(A1479,'[1]Raw data'!$B:$Z,9,FALSE)</f>
        <v>No</v>
      </c>
      <c r="V1479" s="567" t="str">
        <f t="shared" si="340"/>
        <v>OK</v>
      </c>
      <c r="W1479" s="563" t="str">
        <f>VLOOKUP(A1479,'[1]Raw data'!$B:$AG,32,FALSE)</f>
        <v>DAP SZ</v>
      </c>
      <c r="X1479" s="657">
        <f>VLOOKUP(A1479,'[1]Raw data'!$B:$BA,31,FALSE)</f>
        <v>45240</v>
      </c>
      <c r="Y1479" s="647" t="str">
        <f>VLOOKUP(A1479,'[1]Raw data'!$B:$AS,39,FALSE)</f>
        <v>Yes</v>
      </c>
      <c r="Z1479" s="659"/>
      <c r="AA1479" s="660"/>
      <c r="AB1479" s="661"/>
      <c r="AC1479" s="647" t="s">
        <v>4288</v>
      </c>
      <c r="AD1479" s="662">
        <v>301</v>
      </c>
      <c r="AE1479" s="662">
        <v>15</v>
      </c>
      <c r="AF1479" s="662">
        <v>302</v>
      </c>
      <c r="AG1479" s="662">
        <v>5</v>
      </c>
      <c r="AH1479" s="662"/>
      <c r="AI1479" s="663"/>
      <c r="AN1479" s="542"/>
      <c r="AO1479" s="824" t="str">
        <f t="shared" si="341"/>
        <v>Yes</v>
      </c>
      <c r="AP1479" s="259" t="str">
        <f t="shared" si="342"/>
        <v>NOV 23</v>
      </c>
      <c r="AQ1479" s="542" t="str">
        <f t="shared" si="343"/>
        <v>有定金+有預留客戶</v>
      </c>
      <c r="AR1479" s="259" t="str">
        <f t="shared" si="344"/>
        <v>Shipped_Stock</v>
      </c>
      <c r="AS1479" s="259" t="str">
        <f t="shared" si="345"/>
        <v/>
      </c>
      <c r="AT1479" s="259" t="str">
        <f t="shared" si="346"/>
        <v>永顺创</v>
      </c>
      <c r="AU1479" s="259" t="str">
        <f t="shared" si="347"/>
        <v>C49SZX20230123SX</v>
      </c>
      <c r="AV1479" s="259" t="str">
        <f t="shared" si="348"/>
        <v>Jun-26</v>
      </c>
    </row>
    <row r="1480" spans="1:48" hidden="1">
      <c r="A1480" s="559">
        <v>2027</v>
      </c>
      <c r="B1480" s="664" t="s">
        <v>1125</v>
      </c>
      <c r="C1480" s="664" t="s">
        <v>281</v>
      </c>
      <c r="D1480" s="645" t="s">
        <v>3910</v>
      </c>
      <c r="E1480" s="744" t="s">
        <v>236</v>
      </c>
      <c r="F1480" s="647" t="s">
        <v>58</v>
      </c>
      <c r="G1480" s="647" t="s">
        <v>24</v>
      </c>
      <c r="H1480" s="647" t="s">
        <v>26</v>
      </c>
      <c r="I1480" s="575" t="s">
        <v>3986</v>
      </c>
      <c r="J1480" s="575">
        <v>1</v>
      </c>
      <c r="K1480" s="647" t="s">
        <v>1732</v>
      </c>
      <c r="L1480" s="657">
        <v>45103</v>
      </c>
      <c r="M1480" s="665">
        <v>5.0799999999999998E-2</v>
      </c>
      <c r="N1480" s="647" t="s">
        <v>4282</v>
      </c>
      <c r="O1480" s="575">
        <v>2023.6</v>
      </c>
      <c r="P1480" s="665" t="str">
        <f>VLOOKUP(A1480,'[1]Raw data'!$B:$BA,23,FALSE)</f>
        <v>JPY</v>
      </c>
      <c r="Q1480" s="647" t="str">
        <f>VLOOKUP(A1480,'[1]Raw data'!$B:$Z,2,FALSE)</f>
        <v>C49SZX20230130JY</v>
      </c>
      <c r="R1480" s="647" t="str">
        <f>VLOOKUP(A1480,'[1]Raw data'!$B:$Z,3,FALSE)</f>
        <v>精莞盈</v>
      </c>
      <c r="S1480" s="647" t="str">
        <f>VLOOKUP(A1480,'[1]Raw data'!$B:$Z,4,FALSE)</f>
        <v>YSM20R-2</v>
      </c>
      <c r="T1480" s="647" t="str">
        <f>VLOOKUP(A1480,'[1]Raw data'!$B:$Z,8,FALSE)</f>
        <v>L-&gt;R</v>
      </c>
      <c r="U1480" s="647" t="str">
        <f>VLOOKUP(A1480,'[1]Raw data'!$B:$Z,9,FALSE)</f>
        <v>MVC</v>
      </c>
      <c r="V1480" s="567" t="str">
        <f t="shared" si="340"/>
        <v>WRONG</v>
      </c>
      <c r="W1480" s="563" t="str">
        <f>VLOOKUP(A1480,'[1]Raw data'!$B:$AG,32,FALSE)</f>
        <v>DAP SZ</v>
      </c>
      <c r="X1480" s="657">
        <f>VLOOKUP(A1480,'[1]Raw data'!$B:$BA,31,FALSE)</f>
        <v>45257</v>
      </c>
      <c r="Y1480" s="647" t="str">
        <f>VLOOKUP(A1480,'[1]Raw data'!$B:$AS,39,FALSE)</f>
        <v>Yes</v>
      </c>
      <c r="Z1480" s="666"/>
      <c r="AA1480" s="667"/>
      <c r="AB1480" s="668"/>
      <c r="AC1480" s="647" t="s">
        <v>4357</v>
      </c>
      <c r="AD1480" s="662">
        <v>301</v>
      </c>
      <c r="AE1480" s="662">
        <v>15</v>
      </c>
      <c r="AF1480" s="662">
        <v>302</v>
      </c>
      <c r="AG1480" s="662">
        <v>5</v>
      </c>
      <c r="AH1480" s="662"/>
      <c r="AI1480" s="663"/>
      <c r="AN1480" s="542"/>
      <c r="AO1480" s="824" t="str">
        <f t="shared" si="341"/>
        <v>Yes</v>
      </c>
      <c r="AP1480" s="259" t="str">
        <f t="shared" si="342"/>
        <v>DEC 23</v>
      </c>
      <c r="AQ1480" s="542" t="str">
        <f t="shared" si="343"/>
        <v>有定金+有預留客戶</v>
      </c>
      <c r="AR1480" s="259" t="str">
        <f t="shared" si="344"/>
        <v>Shipped_Stock</v>
      </c>
      <c r="AS1480" s="259" t="str">
        <f t="shared" si="345"/>
        <v/>
      </c>
      <c r="AT1480" s="259" t="str">
        <f t="shared" si="346"/>
        <v>精莞盈</v>
      </c>
      <c r="AU1480" s="259" t="str">
        <f t="shared" si="347"/>
        <v>C49SZX20230130JY</v>
      </c>
      <c r="AV1480" s="259" t="str">
        <f t="shared" si="348"/>
        <v>Jun-26</v>
      </c>
    </row>
    <row r="1481" spans="1:48" hidden="1">
      <c r="A1481" s="559">
        <v>2028</v>
      </c>
      <c r="B1481" s="664" t="s">
        <v>1125</v>
      </c>
      <c r="C1481" s="664" t="s">
        <v>281</v>
      </c>
      <c r="D1481" s="645" t="s">
        <v>3910</v>
      </c>
      <c r="E1481" s="744" t="s">
        <v>236</v>
      </c>
      <c r="F1481" s="647" t="s">
        <v>58</v>
      </c>
      <c r="G1481" s="647" t="s">
        <v>24</v>
      </c>
      <c r="H1481" s="647" t="s">
        <v>26</v>
      </c>
      <c r="I1481" s="575" t="s">
        <v>3987</v>
      </c>
      <c r="J1481" s="575">
        <v>1</v>
      </c>
      <c r="K1481" s="647" t="s">
        <v>1732</v>
      </c>
      <c r="L1481" s="657">
        <v>45103</v>
      </c>
      <c r="M1481" s="665">
        <v>5.0799999999999998E-2</v>
      </c>
      <c r="N1481" s="647" t="s">
        <v>4282</v>
      </c>
      <c r="O1481" s="575">
        <v>2023.6</v>
      </c>
      <c r="P1481" s="665" t="str">
        <f>VLOOKUP(A1481,'[1]Raw data'!$B:$BA,23,FALSE)</f>
        <v>JPY</v>
      </c>
      <c r="Q1481" s="647" t="str">
        <f>VLOOKUP(A1481,'[1]Raw data'!$B:$Z,2,FALSE)</f>
        <v>C49SZX20230130JY</v>
      </c>
      <c r="R1481" s="647" t="str">
        <f>VLOOKUP(A1481,'[1]Raw data'!$B:$Z,3,FALSE)</f>
        <v>精莞盈</v>
      </c>
      <c r="S1481" s="647" t="str">
        <f>VLOOKUP(A1481,'[1]Raw data'!$B:$Z,4,FALSE)</f>
        <v>YSM20R-2</v>
      </c>
      <c r="T1481" s="647" t="str">
        <f>VLOOKUP(A1481,'[1]Raw data'!$B:$Z,8,FALSE)</f>
        <v>L-&gt;R</v>
      </c>
      <c r="U1481" s="647" t="str">
        <f>VLOOKUP(A1481,'[1]Raw data'!$B:$Z,9,FALSE)</f>
        <v>No</v>
      </c>
      <c r="V1481" s="567" t="str">
        <f t="shared" si="340"/>
        <v>OK</v>
      </c>
      <c r="W1481" s="563" t="str">
        <f>VLOOKUP(A1481,'[1]Raw data'!$B:$AG,32,FALSE)</f>
        <v>DAP SZ</v>
      </c>
      <c r="X1481" s="657">
        <f>VLOOKUP(A1481,'[1]Raw data'!$B:$BA,31,FALSE)</f>
        <v>45257</v>
      </c>
      <c r="Y1481" s="647" t="str">
        <f>VLOOKUP(A1481,'[1]Raw data'!$B:$AS,39,FALSE)</f>
        <v>Yes</v>
      </c>
      <c r="Z1481" s="666"/>
      <c r="AA1481" s="667"/>
      <c r="AB1481" s="668"/>
      <c r="AC1481" s="647" t="s">
        <v>4357</v>
      </c>
      <c r="AD1481" s="662">
        <v>301</v>
      </c>
      <c r="AE1481" s="662">
        <v>15</v>
      </c>
      <c r="AF1481" s="662">
        <v>302</v>
      </c>
      <c r="AG1481" s="662">
        <v>5</v>
      </c>
      <c r="AH1481" s="662"/>
      <c r="AI1481" s="663"/>
      <c r="AN1481" s="542"/>
      <c r="AO1481" s="824" t="str">
        <f t="shared" si="341"/>
        <v>Yes</v>
      </c>
      <c r="AP1481" s="259" t="str">
        <f t="shared" si="342"/>
        <v>DEC 23</v>
      </c>
      <c r="AQ1481" s="542" t="str">
        <f t="shared" si="343"/>
        <v>有定金+有預留客戶</v>
      </c>
      <c r="AR1481" s="259" t="str">
        <f t="shared" si="344"/>
        <v>Shipped_Stock</v>
      </c>
      <c r="AS1481" s="259" t="str">
        <f t="shared" si="345"/>
        <v/>
      </c>
      <c r="AT1481" s="259" t="str">
        <f t="shared" si="346"/>
        <v>精莞盈</v>
      </c>
      <c r="AU1481" s="259" t="str">
        <f t="shared" si="347"/>
        <v>C49SZX20230130JY</v>
      </c>
      <c r="AV1481" s="259" t="str">
        <f t="shared" si="348"/>
        <v>Jun-26</v>
      </c>
    </row>
    <row r="1482" spans="1:48" hidden="1">
      <c r="A1482" s="559">
        <v>2043</v>
      </c>
      <c r="B1482" s="664" t="s">
        <v>1125</v>
      </c>
      <c r="C1482" s="664" t="s">
        <v>281</v>
      </c>
      <c r="D1482" s="645" t="s">
        <v>4037</v>
      </c>
      <c r="E1482" s="744" t="s">
        <v>236</v>
      </c>
      <c r="F1482" s="647" t="s">
        <v>58</v>
      </c>
      <c r="G1482" s="647" t="s">
        <v>24</v>
      </c>
      <c r="H1482" s="647" t="s">
        <v>26</v>
      </c>
      <c r="I1482" s="575" t="s">
        <v>4041</v>
      </c>
      <c r="J1482" s="575">
        <v>1</v>
      </c>
      <c r="K1482" s="647" t="s">
        <v>1732</v>
      </c>
      <c r="L1482" s="657">
        <v>45140</v>
      </c>
      <c r="M1482" s="665">
        <v>5.0799999999999998E-2</v>
      </c>
      <c r="N1482" s="647" t="s">
        <v>4282</v>
      </c>
      <c r="O1482" s="575">
        <v>2023.7</v>
      </c>
      <c r="P1482" s="665" t="str">
        <f>VLOOKUP(A1482,'[1]Raw data'!$B:$BA,23,FALSE)</f>
        <v>RMB</v>
      </c>
      <c r="Q1482" s="647" t="str">
        <f>VLOOKUP(A1482,'[1]Raw data'!$B:$Z,2,FALSE)</f>
        <v>C49SZX20230140SX</v>
      </c>
      <c r="R1482" s="647" t="str">
        <f>VLOOKUP(A1482,'[1]Raw data'!$B:$Z,3,FALSE)</f>
        <v>莫思特</v>
      </c>
      <c r="S1482" s="647" t="str">
        <f>VLOOKUP(A1482,'[1]Raw data'!$B:$Z,4,FALSE)</f>
        <v>YSM20R-2</v>
      </c>
      <c r="T1482" s="647" t="str">
        <f>VLOOKUP(A1482,'[1]Raw data'!$B:$Z,8,FALSE)</f>
        <v>L-&gt;R</v>
      </c>
      <c r="U1482" s="647" t="str">
        <f>VLOOKUP(A1482,'[1]Raw data'!$B:$Z,9,FALSE)</f>
        <v>No</v>
      </c>
      <c r="V1482" s="567" t="str">
        <f t="shared" ref="V1482:V1491" si="349">IF(G1482&amp;H1482=T1482&amp;U1482,"OK","WRONG")</f>
        <v>OK</v>
      </c>
      <c r="W1482" s="563" t="str">
        <f>VLOOKUP(A1482,'[1]Raw data'!$B:$AG,32,FALSE)</f>
        <v>DDP HZ</v>
      </c>
      <c r="X1482" s="657">
        <f>VLOOKUP(A1482,'[1]Raw data'!$B:$BA,31,FALSE)</f>
        <v>45271</v>
      </c>
      <c r="Y1482" s="647" t="str">
        <f>VLOOKUP(A1482,'[1]Raw data'!$B:$AS,39,FALSE)</f>
        <v>Yes</v>
      </c>
      <c r="Z1482" s="659"/>
      <c r="AA1482" s="660"/>
      <c r="AB1482" s="661"/>
      <c r="AC1482" s="647" t="s">
        <v>2374</v>
      </c>
      <c r="AD1482" s="662">
        <v>301</v>
      </c>
      <c r="AE1482" s="662">
        <v>20</v>
      </c>
      <c r="AF1482" s="662"/>
      <c r="AG1482" s="662"/>
      <c r="AH1482" s="662"/>
      <c r="AI1482" s="663"/>
      <c r="AN1482" s="542"/>
      <c r="AO1482" s="824" t="str">
        <f t="shared" si="341"/>
        <v>Yes</v>
      </c>
      <c r="AP1482" s="259" t="str">
        <f t="shared" si="342"/>
        <v>DEC 23</v>
      </c>
      <c r="AQ1482" s="542" t="str">
        <f t="shared" si="343"/>
        <v>有定金+有預留客戶</v>
      </c>
      <c r="AR1482" s="259" t="str">
        <f t="shared" si="344"/>
        <v>Shipped_Stock</v>
      </c>
      <c r="AS1482" s="259" t="str">
        <f t="shared" si="345"/>
        <v/>
      </c>
      <c r="AT1482" s="259" t="str">
        <f t="shared" si="346"/>
        <v>莫思特</v>
      </c>
      <c r="AU1482" s="259" t="str">
        <f t="shared" si="347"/>
        <v>C49SZX20230140SX</v>
      </c>
      <c r="AV1482" s="259" t="str">
        <f t="shared" si="348"/>
        <v>Aug-02</v>
      </c>
    </row>
    <row r="1483" spans="1:48" hidden="1">
      <c r="A1483" s="559">
        <v>2034</v>
      </c>
      <c r="B1483" s="664" t="s">
        <v>1125</v>
      </c>
      <c r="C1483" s="664" t="s">
        <v>281</v>
      </c>
      <c r="D1483" s="645" t="s">
        <v>4037</v>
      </c>
      <c r="E1483" s="744" t="s">
        <v>236</v>
      </c>
      <c r="F1483" s="647" t="s">
        <v>58</v>
      </c>
      <c r="G1483" s="647" t="s">
        <v>24</v>
      </c>
      <c r="H1483" s="647" t="s">
        <v>26</v>
      </c>
      <c r="I1483" s="575" t="s">
        <v>4042</v>
      </c>
      <c r="J1483" s="575">
        <v>1</v>
      </c>
      <c r="K1483" s="647" t="s">
        <v>1732</v>
      </c>
      <c r="L1483" s="657">
        <v>45140</v>
      </c>
      <c r="M1483" s="665">
        <v>5.0799999999999998E-2</v>
      </c>
      <c r="N1483" s="647" t="s">
        <v>4258</v>
      </c>
      <c r="O1483" s="575">
        <v>2023.7</v>
      </c>
      <c r="P1483" s="665" t="str">
        <f>VLOOKUP(A1483,'[1]Raw data'!$B:$BA,23,FALSE)</f>
        <v>RMB</v>
      </c>
      <c r="Q1483" s="647" t="str">
        <f>VLOOKUP(A1483,'[1]Raw data'!$B:$Z,2,FALSE)</f>
        <v>CG20231204009</v>
      </c>
      <c r="R1483" s="647" t="str">
        <f>VLOOKUP(A1483,'[1]Raw data'!$B:$Z,3,FALSE)</f>
        <v>徕芬</v>
      </c>
      <c r="S1483" s="647" t="str">
        <f>VLOOKUP(A1483,'[1]Raw data'!$B:$Z,4,FALSE)</f>
        <v>YSM20R-2</v>
      </c>
      <c r="T1483" s="647" t="str">
        <f>VLOOKUP(A1483,'[1]Raw data'!$B:$Z,8,FALSE)</f>
        <v>L-&gt;R</v>
      </c>
      <c r="U1483" s="647" t="str">
        <f>VLOOKUP(A1483,'[1]Raw data'!$B:$Z,9,FALSE)</f>
        <v>No</v>
      </c>
      <c r="V1483" s="567" t="str">
        <f t="shared" si="349"/>
        <v>OK</v>
      </c>
      <c r="W1483" s="563" t="str">
        <f>VLOOKUP(A1483,'[1]Raw data'!$B:$AG,32,FALSE)</f>
        <v>DDP DG</v>
      </c>
      <c r="X1483" s="657">
        <f>VLOOKUP(A1483,'[1]Raw data'!$B:$BA,31,FALSE)</f>
        <v>45261</v>
      </c>
      <c r="Y1483" s="647" t="str">
        <f>VLOOKUP(A1483,'[1]Raw data'!$B:$AS,39,FALSE)</f>
        <v>Yes</v>
      </c>
      <c r="Z1483" s="666"/>
      <c r="AA1483" s="667"/>
      <c r="AB1483" s="668"/>
      <c r="AC1483" s="647" t="s">
        <v>3888</v>
      </c>
      <c r="AD1483" s="662">
        <v>301</v>
      </c>
      <c r="AE1483" s="662">
        <v>20</v>
      </c>
      <c r="AF1483" s="662"/>
      <c r="AG1483" s="662"/>
      <c r="AH1483" s="662"/>
      <c r="AI1483" s="663"/>
      <c r="AN1483" s="542"/>
      <c r="AO1483" s="824" t="str">
        <f t="shared" si="341"/>
        <v>Yes</v>
      </c>
      <c r="AP1483" s="259" t="str">
        <f t="shared" si="342"/>
        <v>JAN 24</v>
      </c>
      <c r="AQ1483" s="542" t="str">
        <f t="shared" si="343"/>
        <v>有定金+有預留客戶</v>
      </c>
      <c r="AR1483" s="259" t="str">
        <f t="shared" si="344"/>
        <v>Shipped_Stock</v>
      </c>
      <c r="AS1483" s="259" t="str">
        <f t="shared" si="345"/>
        <v/>
      </c>
      <c r="AT1483" s="259" t="str">
        <f t="shared" si="346"/>
        <v>徕芬</v>
      </c>
      <c r="AU1483" s="259" t="str">
        <f t="shared" si="347"/>
        <v>CG20231204009</v>
      </c>
      <c r="AV1483" s="259" t="str">
        <f t="shared" si="348"/>
        <v>Aug-02</v>
      </c>
    </row>
    <row r="1484" spans="1:48" hidden="1">
      <c r="A1484" s="559">
        <v>2047</v>
      </c>
      <c r="B1484" s="664" t="s">
        <v>1125</v>
      </c>
      <c r="C1484" s="664" t="s">
        <v>281</v>
      </c>
      <c r="D1484" s="645" t="s">
        <v>4037</v>
      </c>
      <c r="E1484" s="744" t="s">
        <v>236</v>
      </c>
      <c r="F1484" s="647" t="s">
        <v>58</v>
      </c>
      <c r="G1484" s="647" t="s">
        <v>24</v>
      </c>
      <c r="H1484" s="647" t="s">
        <v>26</v>
      </c>
      <c r="I1484" s="575" t="s">
        <v>4310</v>
      </c>
      <c r="J1484" s="575">
        <v>1</v>
      </c>
      <c r="K1484" s="647" t="s">
        <v>1732</v>
      </c>
      <c r="L1484" s="657">
        <v>45140</v>
      </c>
      <c r="M1484" s="665">
        <v>5.0799999999999998E-2</v>
      </c>
      <c r="N1484" s="647" t="s">
        <v>4282</v>
      </c>
      <c r="O1484" s="575">
        <v>2023.7</v>
      </c>
      <c r="P1484" s="665" t="str">
        <f>VLOOKUP(A1484,'[1]Raw data'!$B:$BA,23,FALSE)</f>
        <v>JPY</v>
      </c>
      <c r="Q1484" s="647" t="str">
        <f>VLOOKUP(A1484,'[1]Raw data'!$B:$Z,2,FALSE)</f>
        <v>C49SZX20230139DX</v>
      </c>
      <c r="R1484" s="647" t="str">
        <f>VLOOKUP(A1484,'[1]Raw data'!$B:$Z,3,FALSE)</f>
        <v>联鸿精密（end user:倍美斯）</v>
      </c>
      <c r="S1484" s="647" t="str">
        <f>VLOOKUP(A1484,'[1]Raw data'!$B:$Z,4,FALSE)</f>
        <v>YSM20R-2</v>
      </c>
      <c r="T1484" s="647" t="str">
        <f>VLOOKUP(A1484,'[1]Raw data'!$B:$Z,8,FALSE)</f>
        <v>L-&gt;R</v>
      </c>
      <c r="U1484" s="647" t="str">
        <f>VLOOKUP(A1484,'[1]Raw data'!$B:$Z,9,FALSE)</f>
        <v>MVC</v>
      </c>
      <c r="V1484" s="567" t="str">
        <f t="shared" si="349"/>
        <v>WRONG</v>
      </c>
      <c r="W1484" s="563" t="str">
        <f>VLOOKUP(A1484,'[1]Raw data'!$B:$AG,32,FALSE)</f>
        <v>DAP SZ</v>
      </c>
      <c r="X1484" s="657">
        <f>VLOOKUP(A1484,'[1]Raw data'!$B:$BA,31,FALSE)</f>
        <v>45273</v>
      </c>
      <c r="Y1484" s="647" t="str">
        <f>VLOOKUP(A1484,'[1]Raw data'!$B:$AS,39,FALSE)</f>
        <v>Yes</v>
      </c>
      <c r="Z1484" s="659"/>
      <c r="AA1484" s="660"/>
      <c r="AB1484" s="661"/>
      <c r="AC1484" s="647" t="s">
        <v>4377</v>
      </c>
      <c r="AD1484" s="662">
        <v>301</v>
      </c>
      <c r="AE1484" s="662">
        <v>20</v>
      </c>
      <c r="AF1484" s="662"/>
      <c r="AG1484" s="662"/>
      <c r="AH1484" s="662"/>
      <c r="AI1484" s="663"/>
      <c r="AN1484" s="542"/>
      <c r="AO1484" s="824" t="str">
        <f t="shared" si="341"/>
        <v>Yes</v>
      </c>
      <c r="AP1484" s="259" t="str">
        <f t="shared" si="342"/>
        <v>DEC 23</v>
      </c>
      <c r="AQ1484" s="542" t="str">
        <f t="shared" si="343"/>
        <v>有定金+有預留客戶</v>
      </c>
      <c r="AR1484" s="259" t="str">
        <f t="shared" si="344"/>
        <v>Shipped_Stock</v>
      </c>
      <c r="AS1484" s="259" t="str">
        <f t="shared" si="345"/>
        <v/>
      </c>
      <c r="AT1484" s="259" t="str">
        <f t="shared" si="346"/>
        <v>联鸿精密（end user:倍美斯）</v>
      </c>
      <c r="AU1484" s="259" t="str">
        <f t="shared" si="347"/>
        <v>C49SZX20230139DX</v>
      </c>
      <c r="AV1484" s="259" t="str">
        <f t="shared" si="348"/>
        <v>Aug-02</v>
      </c>
    </row>
    <row r="1485" spans="1:48" hidden="1">
      <c r="A1485" s="559">
        <v>2035</v>
      </c>
      <c r="B1485" s="664" t="s">
        <v>1125</v>
      </c>
      <c r="C1485" s="664" t="s">
        <v>281</v>
      </c>
      <c r="D1485" s="645" t="s">
        <v>4037</v>
      </c>
      <c r="E1485" s="744" t="s">
        <v>236</v>
      </c>
      <c r="F1485" s="647" t="s">
        <v>58</v>
      </c>
      <c r="G1485" s="647" t="s">
        <v>24</v>
      </c>
      <c r="H1485" s="647" t="s">
        <v>26</v>
      </c>
      <c r="I1485" s="575" t="s">
        <v>4043</v>
      </c>
      <c r="J1485" s="575">
        <v>1</v>
      </c>
      <c r="K1485" s="647" t="s">
        <v>1732</v>
      </c>
      <c r="L1485" s="657">
        <v>45140</v>
      </c>
      <c r="M1485" s="665">
        <v>5.0799999999999998E-2</v>
      </c>
      <c r="N1485" s="647" t="s">
        <v>4258</v>
      </c>
      <c r="O1485" s="575">
        <v>2023.7</v>
      </c>
      <c r="P1485" s="665" t="str">
        <f>VLOOKUP(A1485,'[1]Raw data'!$B:$BA,23,FALSE)</f>
        <v>RMB</v>
      </c>
      <c r="Q1485" s="647" t="str">
        <f>VLOOKUP(A1485,'[1]Raw data'!$B:$Z,2,FALSE)</f>
        <v>CG20231204009</v>
      </c>
      <c r="R1485" s="647" t="str">
        <f>VLOOKUP(A1485,'[1]Raw data'!$B:$Z,3,FALSE)</f>
        <v>徕芬</v>
      </c>
      <c r="S1485" s="647" t="str">
        <f>VLOOKUP(A1485,'[1]Raw data'!$B:$Z,4,FALSE)</f>
        <v>YSM20R-2</v>
      </c>
      <c r="T1485" s="647" t="str">
        <f>VLOOKUP(A1485,'[1]Raw data'!$B:$Z,8,FALSE)</f>
        <v>L-&gt;R</v>
      </c>
      <c r="U1485" s="647" t="str">
        <f>VLOOKUP(A1485,'[1]Raw data'!$B:$Z,9,FALSE)</f>
        <v>No</v>
      </c>
      <c r="V1485" s="567" t="str">
        <f t="shared" si="349"/>
        <v>OK</v>
      </c>
      <c r="W1485" s="563" t="str">
        <f>VLOOKUP(A1485,'[1]Raw data'!$B:$AG,32,FALSE)</f>
        <v>DDP DG</v>
      </c>
      <c r="X1485" s="657">
        <f>VLOOKUP(A1485,'[1]Raw data'!$B:$BA,31,FALSE)</f>
        <v>45261</v>
      </c>
      <c r="Y1485" s="647" t="str">
        <f>VLOOKUP(A1485,'[1]Raw data'!$B:$AS,39,FALSE)</f>
        <v>Yes</v>
      </c>
      <c r="Z1485" s="666"/>
      <c r="AA1485" s="667"/>
      <c r="AB1485" s="668"/>
      <c r="AC1485" s="647" t="s">
        <v>3888</v>
      </c>
      <c r="AD1485" s="662">
        <v>301</v>
      </c>
      <c r="AE1485" s="662">
        <v>20</v>
      </c>
      <c r="AF1485" s="662"/>
      <c r="AG1485" s="662"/>
      <c r="AH1485" s="662"/>
      <c r="AI1485" s="663"/>
      <c r="AN1485" s="542"/>
      <c r="AO1485" s="824" t="str">
        <f t="shared" si="341"/>
        <v>Yes</v>
      </c>
      <c r="AP1485" s="259" t="str">
        <f t="shared" si="342"/>
        <v>JAN 24</v>
      </c>
      <c r="AQ1485" s="542" t="str">
        <f t="shared" si="343"/>
        <v>有定金+有預留客戶</v>
      </c>
      <c r="AR1485" s="259" t="str">
        <f t="shared" si="344"/>
        <v>Shipped_Stock</v>
      </c>
      <c r="AS1485" s="259" t="str">
        <f t="shared" si="345"/>
        <v/>
      </c>
      <c r="AT1485" s="259" t="str">
        <f t="shared" si="346"/>
        <v>徕芬</v>
      </c>
      <c r="AU1485" s="259" t="str">
        <f t="shared" si="347"/>
        <v>CG20231204009</v>
      </c>
      <c r="AV1485" s="259" t="str">
        <f t="shared" si="348"/>
        <v>Aug-02</v>
      </c>
    </row>
    <row r="1486" spans="1:48" hidden="1">
      <c r="A1486" s="559">
        <v>2063</v>
      </c>
      <c r="B1486" s="664" t="s">
        <v>1125</v>
      </c>
      <c r="C1486" s="664" t="s">
        <v>281</v>
      </c>
      <c r="D1486" s="645" t="s">
        <v>4037</v>
      </c>
      <c r="E1486" s="744" t="s">
        <v>236</v>
      </c>
      <c r="F1486" s="647" t="s">
        <v>58</v>
      </c>
      <c r="G1486" s="647" t="s">
        <v>24</v>
      </c>
      <c r="H1486" s="647" t="s">
        <v>26</v>
      </c>
      <c r="I1486" s="575" t="s">
        <v>4044</v>
      </c>
      <c r="J1486" s="575">
        <v>1</v>
      </c>
      <c r="K1486" s="647" t="s">
        <v>1732</v>
      </c>
      <c r="L1486" s="657">
        <v>45140</v>
      </c>
      <c r="M1486" s="665">
        <v>5.0799999999999998E-2</v>
      </c>
      <c r="N1486" s="647" t="s">
        <v>4258</v>
      </c>
      <c r="O1486" s="575">
        <v>2023.7</v>
      </c>
      <c r="P1486" s="665" t="str">
        <f>VLOOKUP(A1486,'[1]Raw data'!$B:$BA,23,FALSE)</f>
        <v>JPY</v>
      </c>
      <c r="Q1486" s="647" t="str">
        <f>VLOOKUP(A1486,'[1]Raw data'!$B:$Z,2,FALSE)</f>
        <v>C49SZX20240005EC</v>
      </c>
      <c r="R1486" s="647" t="str">
        <f>VLOOKUP(A1486,'[1]Raw data'!$B:$Z,3,FALSE)</f>
        <v>诺亚兴</v>
      </c>
      <c r="S1486" s="647" t="str">
        <f>VLOOKUP(A1486,'[1]Raw data'!$B:$Z,4,FALSE)</f>
        <v>YSM20R-2</v>
      </c>
      <c r="T1486" s="647" t="str">
        <f>VLOOKUP(A1486,'[1]Raw data'!$B:$Z,8,FALSE)</f>
        <v>L-&gt;R</v>
      </c>
      <c r="U1486" s="647" t="str">
        <f>VLOOKUP(A1486,'[1]Raw data'!$B:$Z,9,FALSE)</f>
        <v>MVC</v>
      </c>
      <c r="V1486" s="567" t="str">
        <f t="shared" si="349"/>
        <v>WRONG</v>
      </c>
      <c r="W1486" s="563" t="str">
        <f>VLOOKUP(A1486,'[1]Raw data'!$B:$AG,32,FALSE)</f>
        <v>CIF HK</v>
      </c>
      <c r="X1486" s="657">
        <f>VLOOKUP(A1486,'[1]Raw data'!$B:$BA,31,FALSE)</f>
        <v>45308</v>
      </c>
      <c r="Y1486" s="647" t="str">
        <f>VLOOKUP(A1486,'[1]Raw data'!$B:$AS,39,FALSE)</f>
        <v>Yes</v>
      </c>
      <c r="Z1486" s="659"/>
      <c r="AA1486" s="660"/>
      <c r="AB1486" s="661"/>
      <c r="AC1486" s="647"/>
      <c r="AD1486" s="662">
        <v>301</v>
      </c>
      <c r="AE1486" s="662">
        <v>20</v>
      </c>
      <c r="AF1486" s="662"/>
      <c r="AG1486" s="662"/>
      <c r="AH1486" s="662"/>
      <c r="AI1486" s="663"/>
      <c r="AN1486" s="542"/>
      <c r="AO1486" s="824" t="str">
        <f t="shared" si="341"/>
        <v>Yes</v>
      </c>
      <c r="AP1486" s="259" t="str">
        <f t="shared" si="342"/>
        <v>JAN 24</v>
      </c>
      <c r="AQ1486" s="542" t="str">
        <f t="shared" si="343"/>
        <v>有定金+有預留客戶</v>
      </c>
      <c r="AR1486" s="259" t="str">
        <f t="shared" si="344"/>
        <v>Shipped_Stock</v>
      </c>
      <c r="AS1486" s="259" t="str">
        <f t="shared" si="345"/>
        <v/>
      </c>
      <c r="AT1486" s="259" t="str">
        <f t="shared" si="346"/>
        <v>诺亚兴</v>
      </c>
      <c r="AU1486" s="259" t="str">
        <f t="shared" si="347"/>
        <v>C49SZX20240005EC</v>
      </c>
      <c r="AV1486" s="259" t="str">
        <f t="shared" si="348"/>
        <v>Aug-02</v>
      </c>
    </row>
    <row r="1487" spans="1:48" ht="22.5" hidden="1">
      <c r="A1487" s="559">
        <v>2056</v>
      </c>
      <c r="B1487" s="664" t="s">
        <v>1125</v>
      </c>
      <c r="C1487" s="664" t="s">
        <v>281</v>
      </c>
      <c r="D1487" s="645">
        <v>111310</v>
      </c>
      <c r="E1487" s="744" t="s">
        <v>236</v>
      </c>
      <c r="F1487" s="647" t="s">
        <v>58</v>
      </c>
      <c r="G1487" s="647" t="s">
        <v>24</v>
      </c>
      <c r="H1487" s="647" t="s">
        <v>26</v>
      </c>
      <c r="I1487" s="575" t="s">
        <v>4045</v>
      </c>
      <c r="J1487" s="575">
        <v>1</v>
      </c>
      <c r="K1487" s="647" t="s">
        <v>1732</v>
      </c>
      <c r="L1487" s="657">
        <v>45140</v>
      </c>
      <c r="M1487" s="665" t="s">
        <v>4087</v>
      </c>
      <c r="N1487" s="647" t="s">
        <v>4258</v>
      </c>
      <c r="O1487" s="575">
        <v>2023.7</v>
      </c>
      <c r="P1487" s="665" t="str">
        <f>VLOOKUP(A1487,'[1]Raw data'!$B:$BA,23,FALSE)</f>
        <v>JPY</v>
      </c>
      <c r="Q1487" s="647" t="str">
        <f>VLOOKUP(A1487,'[1]Raw data'!$B:$Z,2,FALSE)</f>
        <v>C49SZX20230145BH</v>
      </c>
      <c r="R1487" s="647" t="str">
        <f>VLOOKUP(A1487,'[1]Raw data'!$B:$Z,3,FALSE)</f>
        <v>世纪佳柔</v>
      </c>
      <c r="S1487" s="647" t="str">
        <f>VLOOKUP(A1487,'[1]Raw data'!$B:$Z,4,FALSE)</f>
        <v>YSM20R-2</v>
      </c>
      <c r="T1487" s="647" t="str">
        <f>VLOOKUP(A1487,'[1]Raw data'!$B:$Z,8,FALSE)</f>
        <v>L-&gt;R</v>
      </c>
      <c r="U1487" s="647" t="str">
        <f>VLOOKUP(A1487,'[1]Raw data'!$B:$Z,9,FALSE)</f>
        <v>No</v>
      </c>
      <c r="V1487" s="567" t="str">
        <f t="shared" si="349"/>
        <v>OK</v>
      </c>
      <c r="W1487" s="563" t="str">
        <f>VLOOKUP(A1487,'[1]Raw data'!$B:$AG,32,FALSE)</f>
        <v>DAP DG</v>
      </c>
      <c r="X1487" s="657">
        <f>VLOOKUP(A1487,'[1]Raw data'!$B:$BA,31,FALSE)</f>
        <v>45283</v>
      </c>
      <c r="Y1487" s="647" t="str">
        <f>VLOOKUP(A1487,'[1]Raw data'!$B:$AS,39,FALSE)</f>
        <v>Yes</v>
      </c>
      <c r="Z1487" s="666"/>
      <c r="AA1487" s="660"/>
      <c r="AB1487" s="661"/>
      <c r="AC1487" s="710" t="s">
        <v>4376</v>
      </c>
      <c r="AD1487" s="662">
        <v>301</v>
      </c>
      <c r="AE1487" s="662">
        <v>20</v>
      </c>
      <c r="AF1487" s="662"/>
      <c r="AG1487" s="662"/>
      <c r="AH1487" s="662"/>
      <c r="AI1487" s="663"/>
      <c r="AN1487" s="542"/>
      <c r="AO1487" s="824" t="str">
        <f t="shared" si="341"/>
        <v>Yes</v>
      </c>
      <c r="AP1487" s="259" t="str">
        <f t="shared" si="342"/>
        <v>JAN 24</v>
      </c>
      <c r="AQ1487" s="542" t="str">
        <f t="shared" si="343"/>
        <v>有定金+有預留客戶</v>
      </c>
      <c r="AR1487" s="259" t="str">
        <f t="shared" si="344"/>
        <v>Shipped_Stock</v>
      </c>
      <c r="AS1487" s="259" t="str">
        <f t="shared" si="345"/>
        <v/>
      </c>
      <c r="AT1487" s="259" t="str">
        <f t="shared" si="346"/>
        <v>世纪佳柔</v>
      </c>
      <c r="AU1487" s="259" t="str">
        <f t="shared" si="347"/>
        <v>C49SZX20230145BH</v>
      </c>
      <c r="AV1487" s="259" t="str">
        <f t="shared" si="348"/>
        <v>Aug-02</v>
      </c>
    </row>
    <row r="1488" spans="1:48" ht="22.5" hidden="1">
      <c r="A1488" s="559">
        <v>2044</v>
      </c>
      <c r="B1488" s="664" t="s">
        <v>1125</v>
      </c>
      <c r="C1488" s="664" t="s">
        <v>281</v>
      </c>
      <c r="D1488" s="645">
        <v>111310</v>
      </c>
      <c r="E1488" s="744" t="s">
        <v>236</v>
      </c>
      <c r="F1488" s="647" t="s">
        <v>58</v>
      </c>
      <c r="G1488" s="647" t="s">
        <v>24</v>
      </c>
      <c r="H1488" s="647" t="s">
        <v>307</v>
      </c>
      <c r="I1488" s="575" t="s">
        <v>4297</v>
      </c>
      <c r="J1488" s="575">
        <v>1</v>
      </c>
      <c r="K1488" s="647" t="s">
        <v>1732</v>
      </c>
      <c r="L1488" s="657">
        <v>45140</v>
      </c>
      <c r="M1488" s="665" t="s">
        <v>4087</v>
      </c>
      <c r="N1488" s="647" t="s">
        <v>4282</v>
      </c>
      <c r="O1488" s="575">
        <v>2023.7</v>
      </c>
      <c r="P1488" s="665" t="str">
        <f>VLOOKUP(A1488,'[1]Raw data'!$B:$BA,23,FALSE)</f>
        <v>JPY</v>
      </c>
      <c r="Q1488" s="647" t="str">
        <f>VLOOKUP(A1488,'[1]Raw data'!$B:$Z,2,FALSE)</f>
        <v>C49SZX202300141SS</v>
      </c>
      <c r="R1488" s="647" t="str">
        <f>VLOOKUP(A1488,'[1]Raw data'!$B:$Z,3,FALSE)</f>
        <v>派勤</v>
      </c>
      <c r="S1488" s="647" t="str">
        <f>VLOOKUP(A1488,'[1]Raw data'!$B:$Z,4,FALSE)</f>
        <v>YSM20R-2</v>
      </c>
      <c r="T1488" s="647" t="str">
        <f>VLOOKUP(A1488,'[1]Raw data'!$B:$Z,8,FALSE)</f>
        <v>L-&gt;R</v>
      </c>
      <c r="U1488" s="647" t="str">
        <f>VLOOKUP(A1488,'[1]Raw data'!$B:$Z,9,FALSE)</f>
        <v>MVC</v>
      </c>
      <c r="V1488" s="567" t="str">
        <f t="shared" si="349"/>
        <v>WRONG</v>
      </c>
      <c r="W1488" s="563" t="str">
        <f>VLOOKUP(A1488,'[1]Raw data'!$B:$AG,32,FALSE)</f>
        <v>DAP SZ</v>
      </c>
      <c r="X1488" s="657">
        <f>VLOOKUP(A1488,'[1]Raw data'!$B:$BA,31,FALSE)</f>
        <v>45268</v>
      </c>
      <c r="Y1488" s="647" t="str">
        <f>VLOOKUP(A1488,'[1]Raw data'!$B:$AS,39,FALSE)</f>
        <v>Yes</v>
      </c>
      <c r="Z1488" s="659"/>
      <c r="AA1488" s="660"/>
      <c r="AB1488" s="661"/>
      <c r="AC1488" s="647" t="s">
        <v>4328</v>
      </c>
      <c r="AD1488" s="662">
        <v>301</v>
      </c>
      <c r="AE1488" s="662">
        <v>20</v>
      </c>
      <c r="AF1488" s="662"/>
      <c r="AG1488" s="662"/>
      <c r="AH1488" s="662"/>
      <c r="AI1488" s="663"/>
      <c r="AN1488" s="542"/>
      <c r="AO1488" s="824" t="str">
        <f t="shared" si="341"/>
        <v>Yes</v>
      </c>
      <c r="AP1488" s="259" t="str">
        <f t="shared" si="342"/>
        <v>DEC 23</v>
      </c>
      <c r="AQ1488" s="542" t="str">
        <f t="shared" si="343"/>
        <v>有定金+有預留客戶</v>
      </c>
      <c r="AR1488" s="259" t="str">
        <f t="shared" si="344"/>
        <v>Shipped_Stock</v>
      </c>
      <c r="AS1488" s="259" t="str">
        <f t="shared" si="345"/>
        <v/>
      </c>
      <c r="AT1488" s="259" t="str">
        <f t="shared" si="346"/>
        <v>派勤</v>
      </c>
      <c r="AU1488" s="259" t="str">
        <f t="shared" si="347"/>
        <v>C49SZX202300141SS</v>
      </c>
      <c r="AV1488" s="259" t="str">
        <f t="shared" si="348"/>
        <v>Aug-02</v>
      </c>
    </row>
    <row r="1489" spans="1:48" ht="22.5" hidden="1">
      <c r="A1489" s="559">
        <v>2081</v>
      </c>
      <c r="B1489" s="797" t="s">
        <v>1125</v>
      </c>
      <c r="C1489" s="797" t="s">
        <v>281</v>
      </c>
      <c r="D1489" s="798">
        <v>111310</v>
      </c>
      <c r="E1489" s="799" t="s">
        <v>236</v>
      </c>
      <c r="F1489" s="710" t="s">
        <v>58</v>
      </c>
      <c r="G1489" s="710" t="s">
        <v>24</v>
      </c>
      <c r="H1489" s="710" t="s">
        <v>307</v>
      </c>
      <c r="I1489" s="662" t="s">
        <v>4046</v>
      </c>
      <c r="J1489" s="662">
        <v>1</v>
      </c>
      <c r="K1489" s="710" t="s">
        <v>1732</v>
      </c>
      <c r="L1489" s="800">
        <v>45140</v>
      </c>
      <c r="M1489" s="717" t="s">
        <v>4087</v>
      </c>
      <c r="N1489" s="647" t="s">
        <v>4295</v>
      </c>
      <c r="O1489" s="575">
        <v>2023.7</v>
      </c>
      <c r="P1489" s="802" t="str">
        <f>VLOOKUP(A1489,'[1]Raw data'!$B:$BA,23,FALSE)</f>
        <v>JPY</v>
      </c>
      <c r="Q1489" s="803" t="str">
        <f>VLOOKUP(A1489,'[1]Raw data'!$B:$Z,2,FALSE)</f>
        <v>C49SZX20240018DZ</v>
      </c>
      <c r="R1489" s="803" t="str">
        <f>VLOOKUP(A1489,'[1]Raw data'!$B:$Z,3,FALSE)</f>
        <v>斯迈</v>
      </c>
      <c r="S1489" s="710" t="str">
        <f>VLOOKUP(A1489,'[1]Raw data'!$B:$Z,4,FALSE)</f>
        <v>YSM20R-2</v>
      </c>
      <c r="T1489" s="710" t="str">
        <f>VLOOKUP(A1489,'[1]Raw data'!$B:$Z,8,FALSE)</f>
        <v>L-&gt;R</v>
      </c>
      <c r="U1489" s="710" t="str">
        <f>VLOOKUP(A1489,'[1]Raw data'!$B:$Z,9,FALSE)</f>
        <v>No</v>
      </c>
      <c r="V1489" s="709" t="str">
        <f t="shared" si="349"/>
        <v>OK</v>
      </c>
      <c r="W1489" s="801" t="str">
        <f>VLOOKUP(A1489,'[1]Raw data'!$B:$AG,32,FALSE)</f>
        <v>DAP GZ</v>
      </c>
      <c r="X1489" s="800">
        <f>VLOOKUP(A1489,'[1]Raw data'!$B:$BA,31,FALSE)</f>
        <v>45316</v>
      </c>
      <c r="Y1489" s="710" t="str">
        <f>VLOOKUP(A1489,'[1]Raw data'!$B:$AS,39,FALSE)</f>
        <v>Yes</v>
      </c>
      <c r="Z1489" s="659"/>
      <c r="AA1489" s="660"/>
      <c r="AB1489" s="661"/>
      <c r="AC1489" s="710"/>
      <c r="AD1489" s="662">
        <v>301</v>
      </c>
      <c r="AE1489" s="662">
        <v>20</v>
      </c>
      <c r="AF1489" s="662"/>
      <c r="AG1489" s="662"/>
      <c r="AH1489" s="662"/>
      <c r="AI1489" s="663"/>
      <c r="AN1489" s="542"/>
      <c r="AO1489" s="824" t="str">
        <f t="shared" si="341"/>
        <v>Yes</v>
      </c>
      <c r="AP1489" s="259" t="str">
        <f t="shared" si="342"/>
        <v>FEB 24</v>
      </c>
      <c r="AQ1489" s="542" t="str">
        <f t="shared" si="343"/>
        <v>有定金+有預留客戶</v>
      </c>
      <c r="AR1489" s="259" t="str">
        <f t="shared" si="344"/>
        <v>Shipped_Stock</v>
      </c>
      <c r="AS1489" s="259" t="str">
        <f t="shared" si="345"/>
        <v/>
      </c>
      <c r="AT1489" s="259" t="str">
        <f t="shared" si="346"/>
        <v>斯迈</v>
      </c>
      <c r="AU1489" s="259" t="str">
        <f t="shared" si="347"/>
        <v>C49SZX20240018DZ</v>
      </c>
      <c r="AV1489" s="259" t="str">
        <f t="shared" si="348"/>
        <v>Aug-02</v>
      </c>
    </row>
    <row r="1490" spans="1:48" ht="22.5" hidden="1">
      <c r="A1490" s="559">
        <v>2053</v>
      </c>
      <c r="B1490" s="664" t="s">
        <v>1125</v>
      </c>
      <c r="C1490" s="664" t="s">
        <v>281</v>
      </c>
      <c r="D1490" s="645">
        <v>111310</v>
      </c>
      <c r="E1490" s="744" t="s">
        <v>236</v>
      </c>
      <c r="F1490" s="647" t="s">
        <v>58</v>
      </c>
      <c r="G1490" s="647" t="s">
        <v>24</v>
      </c>
      <c r="H1490" s="647" t="s">
        <v>26</v>
      </c>
      <c r="I1490" s="575" t="s">
        <v>4047</v>
      </c>
      <c r="J1490" s="575">
        <v>1</v>
      </c>
      <c r="K1490" s="647" t="s">
        <v>1732</v>
      </c>
      <c r="L1490" s="657">
        <v>45140</v>
      </c>
      <c r="M1490" s="665" t="s">
        <v>4087</v>
      </c>
      <c r="N1490" s="647" t="s">
        <v>4258</v>
      </c>
      <c r="O1490" s="575">
        <v>2023.7</v>
      </c>
      <c r="P1490" s="665" t="str">
        <f>VLOOKUP(A1490,'[1]Raw data'!$B:$BA,23,FALSE)</f>
        <v>JPY</v>
      </c>
      <c r="Q1490" s="647" t="str">
        <f>VLOOKUP(A1490,'[1]Raw data'!$B:$Z,2,FALSE)</f>
        <v>C49SZX20230142SS</v>
      </c>
      <c r="R1490" s="647" t="str">
        <f>VLOOKUP(A1490,'[1]Raw data'!$B:$Z,3,FALSE)</f>
        <v>盈通恒翼</v>
      </c>
      <c r="S1490" s="647" t="str">
        <f>VLOOKUP(A1490,'[1]Raw data'!$B:$Z,4,FALSE)</f>
        <v>YSM20R-2</v>
      </c>
      <c r="T1490" s="647" t="str">
        <f>VLOOKUP(A1490,'[1]Raw data'!$B:$Z,8,FALSE)</f>
        <v>L-&gt;R</v>
      </c>
      <c r="U1490" s="647" t="str">
        <f>VLOOKUP(A1490,'[1]Raw data'!$B:$Z,9,FALSE)</f>
        <v>No</v>
      </c>
      <c r="V1490" s="567" t="str">
        <f t="shared" si="349"/>
        <v>OK</v>
      </c>
      <c r="W1490" s="563" t="str">
        <f>VLOOKUP(A1490,'[1]Raw data'!$B:$AG,32,FALSE)</f>
        <v>DAP SZ</v>
      </c>
      <c r="X1490" s="657">
        <f>VLOOKUP(A1490,'[1]Raw data'!$B:$BA,31,FALSE)</f>
        <v>45282</v>
      </c>
      <c r="Y1490" s="647" t="str">
        <f>VLOOKUP(A1490,'[1]Raw data'!$B:$AS,39,FALSE)</f>
        <v>Yes</v>
      </c>
      <c r="Z1490" s="659"/>
      <c r="AA1490" s="660"/>
      <c r="AB1490" s="661"/>
      <c r="AC1490" s="647" t="s">
        <v>4378</v>
      </c>
      <c r="AD1490" s="662">
        <v>301</v>
      </c>
      <c r="AE1490" s="662">
        <v>20</v>
      </c>
      <c r="AF1490" s="662"/>
      <c r="AG1490" s="662"/>
      <c r="AH1490" s="662"/>
      <c r="AI1490" s="663"/>
      <c r="AN1490" s="542"/>
      <c r="AO1490" s="824" t="str">
        <f t="shared" si="341"/>
        <v>Yes</v>
      </c>
      <c r="AP1490" s="259" t="str">
        <f t="shared" si="342"/>
        <v>JAN 24</v>
      </c>
      <c r="AQ1490" s="542" t="str">
        <f t="shared" si="343"/>
        <v>有定金+有預留客戶</v>
      </c>
      <c r="AR1490" s="259" t="str">
        <f t="shared" si="344"/>
        <v>Shipped_Stock</v>
      </c>
      <c r="AS1490" s="259" t="str">
        <f t="shared" si="345"/>
        <v/>
      </c>
      <c r="AT1490" s="259" t="str">
        <f t="shared" si="346"/>
        <v>盈通恒翼</v>
      </c>
      <c r="AU1490" s="259" t="str">
        <f t="shared" si="347"/>
        <v>C49SZX20230142SS</v>
      </c>
      <c r="AV1490" s="259" t="str">
        <f t="shared" si="348"/>
        <v>Aug-02</v>
      </c>
    </row>
    <row r="1491" spans="1:48" ht="22.5" hidden="1">
      <c r="A1491" s="559">
        <v>2055</v>
      </c>
      <c r="B1491" s="664" t="s">
        <v>1125</v>
      </c>
      <c r="C1491" s="664" t="s">
        <v>281</v>
      </c>
      <c r="D1491" s="645">
        <v>111310</v>
      </c>
      <c r="E1491" s="744" t="s">
        <v>236</v>
      </c>
      <c r="F1491" s="647" t="s">
        <v>58</v>
      </c>
      <c r="G1491" s="647" t="s">
        <v>24</v>
      </c>
      <c r="H1491" s="647" t="s">
        <v>26</v>
      </c>
      <c r="I1491" s="575" t="s">
        <v>4048</v>
      </c>
      <c r="J1491" s="575">
        <v>1</v>
      </c>
      <c r="K1491" s="647" t="s">
        <v>1732</v>
      </c>
      <c r="L1491" s="657">
        <v>45140</v>
      </c>
      <c r="M1491" s="665" t="s">
        <v>4087</v>
      </c>
      <c r="N1491" s="647" t="s">
        <v>4258</v>
      </c>
      <c r="O1491" s="575">
        <v>2023.7</v>
      </c>
      <c r="P1491" s="665" t="str">
        <f>VLOOKUP(A1491,'[1]Raw data'!$B:$BA,23,FALSE)</f>
        <v>JPY</v>
      </c>
      <c r="Q1491" s="647" t="str">
        <f>VLOOKUP(A1491,'[1]Raw data'!$B:$Z,2,FALSE)</f>
        <v>C49SZX20230145BH</v>
      </c>
      <c r="R1491" s="647" t="str">
        <f>VLOOKUP(A1491,'[1]Raw data'!$B:$Z,3,FALSE)</f>
        <v>世纪佳柔</v>
      </c>
      <c r="S1491" s="647" t="str">
        <f>VLOOKUP(A1491,'[1]Raw data'!$B:$Z,4,FALSE)</f>
        <v>YSM20R-2</v>
      </c>
      <c r="T1491" s="647" t="str">
        <f>VLOOKUP(A1491,'[1]Raw data'!$B:$Z,8,FALSE)</f>
        <v>L-&gt;R</v>
      </c>
      <c r="U1491" s="647" t="str">
        <f>VLOOKUP(A1491,'[1]Raw data'!$B:$Z,9,FALSE)</f>
        <v>No</v>
      </c>
      <c r="V1491" s="567" t="str">
        <f t="shared" si="349"/>
        <v>OK</v>
      </c>
      <c r="W1491" s="563" t="str">
        <f>VLOOKUP(A1491,'[1]Raw data'!$B:$AG,32,FALSE)</f>
        <v>DAP DG</v>
      </c>
      <c r="X1491" s="657">
        <f>VLOOKUP(A1491,'[1]Raw data'!$B:$BA,31,FALSE)</f>
        <v>45283</v>
      </c>
      <c r="Y1491" s="647" t="str">
        <f>VLOOKUP(A1491,'[1]Raw data'!$B:$AS,39,FALSE)</f>
        <v>Yes</v>
      </c>
      <c r="Z1491" s="666"/>
      <c r="AA1491" s="660"/>
      <c r="AB1491" s="661"/>
      <c r="AC1491" s="710" t="s">
        <v>4376</v>
      </c>
      <c r="AD1491" s="662">
        <v>301</v>
      </c>
      <c r="AE1491" s="662">
        <v>20</v>
      </c>
      <c r="AF1491" s="662"/>
      <c r="AG1491" s="662"/>
      <c r="AH1491" s="662"/>
      <c r="AI1491" s="663"/>
      <c r="AN1491" s="542"/>
      <c r="AO1491" s="824" t="str">
        <f t="shared" si="341"/>
        <v>Yes</v>
      </c>
      <c r="AP1491" s="259" t="str">
        <f t="shared" si="342"/>
        <v>JAN 24</v>
      </c>
      <c r="AQ1491" s="542" t="str">
        <f t="shared" si="343"/>
        <v>有定金+有預留客戶</v>
      </c>
      <c r="AR1491" s="259" t="str">
        <f t="shared" si="344"/>
        <v>Shipped_Stock</v>
      </c>
      <c r="AS1491" s="259" t="str">
        <f t="shared" si="345"/>
        <v/>
      </c>
      <c r="AT1491" s="259" t="str">
        <f t="shared" si="346"/>
        <v>世纪佳柔</v>
      </c>
      <c r="AU1491" s="259" t="str">
        <f t="shared" si="347"/>
        <v>C49SZX20230145BH</v>
      </c>
      <c r="AV1491" s="259" t="str">
        <f t="shared" si="348"/>
        <v>Aug-02</v>
      </c>
    </row>
    <row r="1492" spans="1:48" hidden="1">
      <c r="A1492" s="599">
        <v>1920</v>
      </c>
      <c r="B1492" s="664" t="s">
        <v>1125</v>
      </c>
      <c r="C1492" s="664" t="s">
        <v>4013</v>
      </c>
      <c r="D1492" s="645" t="s">
        <v>4008</v>
      </c>
      <c r="E1492" s="744" t="s">
        <v>4009</v>
      </c>
      <c r="F1492" s="647" t="s">
        <v>201</v>
      </c>
      <c r="G1492" s="647" t="s">
        <v>18</v>
      </c>
      <c r="H1492" s="647" t="s">
        <v>26</v>
      </c>
      <c r="I1492" s="575" t="s">
        <v>4069</v>
      </c>
      <c r="J1492" s="575">
        <v>1</v>
      </c>
      <c r="K1492" s="647" t="s">
        <v>2671</v>
      </c>
      <c r="L1492" s="657" t="s">
        <v>4028</v>
      </c>
      <c r="M1492" s="665">
        <v>5.2200000000000003E-2</v>
      </c>
      <c r="N1492" s="647" t="s">
        <v>4004</v>
      </c>
      <c r="O1492" s="575"/>
      <c r="P1492" s="665" t="str">
        <f>VLOOKUP(A1492,'[1]Raw data'!$B:$BA,23,FALSE)</f>
        <v>RMB</v>
      </c>
      <c r="Q1492" s="647" t="str">
        <f>VLOOKUP(A1492,'[1]Raw data'!$B:$Z,2,FALSE)</f>
        <v>C28SZX20230069R1SX</v>
      </c>
      <c r="R1492" s="647" t="str">
        <f>VLOOKUP(A1492,'[1]Raw data'!$B:$Z,3,FALSE)</f>
        <v>纬博特（End user：成景）</v>
      </c>
      <c r="S1492" s="647" t="str">
        <f>VLOOKUP(A1492,'[1]Raw data'!$B:$Z,4,FALSE)</f>
        <v>YSi-V</v>
      </c>
      <c r="T1492" s="647" t="str">
        <f>VLOOKUP(A1492,'[1]Raw data'!$B:$Z,8,FALSE)</f>
        <v>R-&gt;L</v>
      </c>
      <c r="U1492" s="647" t="str">
        <f>VLOOKUP(A1492,'[1]Raw data'!$B:$Z,9,FALSE)</f>
        <v>No</v>
      </c>
      <c r="V1492" s="567" t="str">
        <f>IF(G1492&amp;H1492=T1492&amp;U1492,"OK","WRONG")</f>
        <v>OK</v>
      </c>
      <c r="W1492" s="563" t="str">
        <f>VLOOKUP(A1492,'[1]Raw data'!$B:$AG,32,FALSE)</f>
        <v>DDP FS</v>
      </c>
      <c r="X1492" s="657">
        <f>VLOOKUP(A1492,'[1]Raw data'!$B:$BA,31,FALSE)</f>
        <v>45070</v>
      </c>
      <c r="Y1492" s="647" t="str">
        <f>VLOOKUP(A1492,'[1]Raw data'!$B:$AS,39,FALSE)</f>
        <v>Yes</v>
      </c>
      <c r="Z1492" s="659"/>
      <c r="AA1492" s="660"/>
      <c r="AB1492" s="661"/>
      <c r="AC1492" s="647" t="s">
        <v>1951</v>
      </c>
      <c r="AD1492" s="575"/>
      <c r="AE1492" s="575"/>
      <c r="AF1492" s="575"/>
      <c r="AG1492" s="575"/>
      <c r="AH1492" s="575"/>
      <c r="AI1492" s="679"/>
      <c r="AJ1492" s="564"/>
      <c r="AK1492" s="564"/>
      <c r="AL1492" s="564"/>
      <c r="AM1492" s="564"/>
      <c r="AN1492" s="614"/>
      <c r="AO1492" s="824" t="str">
        <f t="shared" si="341"/>
        <v>Yes</v>
      </c>
      <c r="AP1492" s="259" t="str">
        <f t="shared" si="342"/>
        <v>AUG 23</v>
      </c>
      <c r="AQ1492" s="542" t="str">
        <f t="shared" si="343"/>
        <v>有定金+有預留客戶</v>
      </c>
      <c r="AR1492" s="259" t="str">
        <f t="shared" si="344"/>
        <v>Shipped_Stock</v>
      </c>
      <c r="AS1492" s="259" t="str">
        <f t="shared" si="345"/>
        <v/>
      </c>
      <c r="AT1492" s="259" t="str">
        <f t="shared" si="346"/>
        <v>纬博特（End user：成景）</v>
      </c>
      <c r="AU1492" s="259" t="str">
        <f t="shared" si="347"/>
        <v>C28SZX20230069R1SX</v>
      </c>
      <c r="AV1492" s="259" t="str">
        <f t="shared" si="348"/>
        <v>2023/8/7,上海港</v>
      </c>
    </row>
    <row r="1493" spans="1:48" ht="22.5" hidden="1">
      <c r="A1493" s="559">
        <v>2017</v>
      </c>
      <c r="B1493" s="797" t="s">
        <v>1125</v>
      </c>
      <c r="C1493" s="797" t="s">
        <v>281</v>
      </c>
      <c r="D1493" s="798" t="s">
        <v>4038</v>
      </c>
      <c r="E1493" s="799" t="s">
        <v>236</v>
      </c>
      <c r="F1493" s="710" t="s">
        <v>17</v>
      </c>
      <c r="G1493" s="710" t="s">
        <v>18</v>
      </c>
      <c r="H1493" s="710" t="s">
        <v>26</v>
      </c>
      <c r="I1493" s="662" t="s">
        <v>4351</v>
      </c>
      <c r="J1493" s="662">
        <v>1</v>
      </c>
      <c r="K1493" s="710" t="s">
        <v>1419</v>
      </c>
      <c r="L1493" s="800">
        <v>45152</v>
      </c>
      <c r="M1493" s="826" t="s">
        <v>4369</v>
      </c>
      <c r="N1493" s="647" t="s">
        <v>4258</v>
      </c>
      <c r="O1493" s="575">
        <v>2023.7</v>
      </c>
      <c r="P1493" s="802" t="str">
        <f>VLOOKUP(A1493,'[1]Raw data'!$B:$BA,23,FALSE)</f>
        <v>JPY</v>
      </c>
      <c r="Q1493" s="803" t="str">
        <f>VLOOKUP(A1493,'[1]Raw data'!$B:$Z,2,FALSE)</f>
        <v>C49SZX20230111SX</v>
      </c>
      <c r="R1493" s="803" t="str">
        <f>VLOOKUP(A1493,'[1]Raw data'!$B:$Z,3,FALSE)</f>
        <v>兴开泰（end user:兴连）</v>
      </c>
      <c r="S1493" s="710" t="str">
        <f>VLOOKUP(A1493,'[1]Raw data'!$B:$Z,4,FALSE)</f>
        <v>YSM10</v>
      </c>
      <c r="T1493" s="710" t="str">
        <f>VLOOKUP(A1493,'[1]Raw data'!$B:$Z,8,FALSE)</f>
        <v>R-&gt;L</v>
      </c>
      <c r="U1493" s="710" t="str">
        <f>VLOOKUP(A1493,'[1]Raw data'!$B:$Z,9,FALSE)</f>
        <v>MVC</v>
      </c>
      <c r="V1493" s="709" t="str">
        <f t="shared" si="340"/>
        <v>WRONG</v>
      </c>
      <c r="W1493" s="801" t="str">
        <f>VLOOKUP(A1493,'[1]Raw data'!$B:$AG,32,FALSE)</f>
        <v>DAP DG</v>
      </c>
      <c r="X1493" s="800">
        <f>VLOOKUP(A1493,'[1]Raw data'!$B:$BA,31,FALSE)</f>
        <v>45237</v>
      </c>
      <c r="Y1493" s="710" t="str">
        <f>VLOOKUP(A1493,'[1]Raw data'!$B:$AS,39,FALSE)</f>
        <v>Yes</v>
      </c>
      <c r="Z1493" s="659"/>
      <c r="AA1493" s="660"/>
      <c r="AB1493" s="661"/>
      <c r="AC1493" s="710"/>
      <c r="AD1493" s="662">
        <v>301</v>
      </c>
      <c r="AE1493" s="662">
        <v>10</v>
      </c>
      <c r="AF1493" s="662"/>
      <c r="AG1493" s="662"/>
      <c r="AH1493" s="662"/>
      <c r="AI1493" s="663"/>
      <c r="AN1493" s="542"/>
      <c r="AO1493" s="824" t="str">
        <f t="shared" si="341"/>
        <v>Yes</v>
      </c>
      <c r="AP1493" s="259" t="str">
        <f t="shared" si="342"/>
        <v>JAN 24</v>
      </c>
      <c r="AQ1493" s="542" t="str">
        <f t="shared" si="343"/>
        <v>有定金+有預留客戶</v>
      </c>
      <c r="AR1493" s="259" t="str">
        <f t="shared" si="344"/>
        <v>Shipped_Stock</v>
      </c>
      <c r="AS1493" s="259" t="str">
        <f t="shared" si="345"/>
        <v/>
      </c>
      <c r="AT1493" s="259" t="str">
        <f t="shared" si="346"/>
        <v>兴开泰（end user:兴连）</v>
      </c>
      <c r="AU1493" s="259" t="str">
        <f t="shared" si="347"/>
        <v>C49SZX20230111SX</v>
      </c>
      <c r="AV1493" s="259" t="str">
        <f t="shared" si="348"/>
        <v>Aug-14</v>
      </c>
    </row>
    <row r="1494" spans="1:48" hidden="1">
      <c r="A1494" s="559">
        <v>2010</v>
      </c>
      <c r="B1494" s="797" t="s">
        <v>1125</v>
      </c>
      <c r="C1494" s="797" t="s">
        <v>281</v>
      </c>
      <c r="D1494" s="798" t="s">
        <v>4038</v>
      </c>
      <c r="E1494" s="799" t="s">
        <v>236</v>
      </c>
      <c r="F1494" s="710" t="s">
        <v>17</v>
      </c>
      <c r="G1494" s="710" t="s">
        <v>18</v>
      </c>
      <c r="H1494" s="710" t="s">
        <v>307</v>
      </c>
      <c r="I1494" s="662" t="s">
        <v>4061</v>
      </c>
      <c r="J1494" s="662">
        <v>1</v>
      </c>
      <c r="K1494" s="710" t="s">
        <v>1732</v>
      </c>
      <c r="L1494" s="800">
        <v>45152</v>
      </c>
      <c r="M1494" s="717">
        <v>5.0799999999999998E-2</v>
      </c>
      <c r="N1494" s="647" t="s">
        <v>4258</v>
      </c>
      <c r="O1494" s="575">
        <v>2023.7</v>
      </c>
      <c r="P1494" s="802" t="str">
        <f>VLOOKUP(A1494,'[1]Raw data'!$B:$BA,23,FALSE)</f>
        <v>JPY</v>
      </c>
      <c r="Q1494" s="803" t="str">
        <f>VLOOKUP(A1494,'[1]Raw data'!$B:$Z,2,FALSE)</f>
        <v>C49SZX20230111SX</v>
      </c>
      <c r="R1494" s="803" t="str">
        <f>VLOOKUP(A1494,'[1]Raw data'!$B:$Z,3,FALSE)</f>
        <v>兴开泰（end user:兴连）</v>
      </c>
      <c r="S1494" s="710" t="str">
        <f>VLOOKUP(A1494,'[1]Raw data'!$B:$Z,4,FALSE)</f>
        <v>YSM10</v>
      </c>
      <c r="T1494" s="710" t="str">
        <f>VLOOKUP(A1494,'[1]Raw data'!$B:$Z,8,FALSE)</f>
        <v>L-&gt;R</v>
      </c>
      <c r="U1494" s="710" t="str">
        <f>VLOOKUP(A1494,'[1]Raw data'!$B:$Z,9,FALSE)</f>
        <v>MVC</v>
      </c>
      <c r="V1494" s="709" t="str">
        <f t="shared" si="340"/>
        <v>WRONG</v>
      </c>
      <c r="W1494" s="801" t="str">
        <f>VLOOKUP(A1494,'[1]Raw data'!$B:$AG,32,FALSE)</f>
        <v>DAP DG</v>
      </c>
      <c r="X1494" s="800">
        <f>VLOOKUP(A1494,'[1]Raw data'!$B:$BA,31,FALSE)</f>
        <v>45237</v>
      </c>
      <c r="Y1494" s="710" t="str">
        <f>VLOOKUP(A1494,'[1]Raw data'!$B:$AS,39,FALSE)</f>
        <v>Yes</v>
      </c>
      <c r="Z1494" s="659"/>
      <c r="AA1494" s="660"/>
      <c r="AB1494" s="661"/>
      <c r="AC1494" s="710"/>
      <c r="AD1494" s="662">
        <v>301</v>
      </c>
      <c r="AE1494" s="662">
        <v>10</v>
      </c>
      <c r="AF1494" s="662"/>
      <c r="AG1494" s="662"/>
      <c r="AH1494" s="662"/>
      <c r="AI1494" s="663"/>
      <c r="AN1494" s="542"/>
      <c r="AO1494" s="824" t="str">
        <f t="shared" si="341"/>
        <v>Yes</v>
      </c>
      <c r="AP1494" s="259" t="str">
        <f t="shared" si="342"/>
        <v>JAN 24</v>
      </c>
      <c r="AQ1494" s="542" t="str">
        <f t="shared" si="343"/>
        <v>有定金+有預留客戶</v>
      </c>
      <c r="AR1494" s="259" t="str">
        <f t="shared" si="344"/>
        <v>Shipped_Stock</v>
      </c>
      <c r="AS1494" s="259" t="str">
        <f t="shared" si="345"/>
        <v/>
      </c>
      <c r="AT1494" s="259" t="str">
        <f t="shared" si="346"/>
        <v>兴开泰（end user:兴连）</v>
      </c>
      <c r="AU1494" s="259" t="str">
        <f t="shared" si="347"/>
        <v>C49SZX20230111SX</v>
      </c>
      <c r="AV1494" s="259" t="str">
        <f t="shared" si="348"/>
        <v>Aug-14</v>
      </c>
    </row>
    <row r="1495" spans="1:48" hidden="1">
      <c r="A1495" s="559">
        <v>2011</v>
      </c>
      <c r="B1495" s="797" t="s">
        <v>1125</v>
      </c>
      <c r="C1495" s="797" t="s">
        <v>281</v>
      </c>
      <c r="D1495" s="798" t="s">
        <v>4038</v>
      </c>
      <c r="E1495" s="799" t="s">
        <v>236</v>
      </c>
      <c r="F1495" s="710" t="s">
        <v>17</v>
      </c>
      <c r="G1495" s="710" t="s">
        <v>18</v>
      </c>
      <c r="H1495" s="710" t="s">
        <v>26</v>
      </c>
      <c r="I1495" s="662" t="s">
        <v>4062</v>
      </c>
      <c r="J1495" s="662">
        <v>1</v>
      </c>
      <c r="K1495" s="710" t="s">
        <v>1732</v>
      </c>
      <c r="L1495" s="800">
        <v>45152</v>
      </c>
      <c r="M1495" s="717">
        <v>5.0799999999999998E-2</v>
      </c>
      <c r="N1495" s="647" t="s">
        <v>4258</v>
      </c>
      <c r="O1495" s="575">
        <v>2023.7</v>
      </c>
      <c r="P1495" s="802" t="str">
        <f>VLOOKUP(A1495,'[1]Raw data'!$B:$BA,23,FALSE)</f>
        <v>JPY</v>
      </c>
      <c r="Q1495" s="803" t="str">
        <f>VLOOKUP(A1495,'[1]Raw data'!$B:$Z,2,FALSE)</f>
        <v>C49SZX20230111SX</v>
      </c>
      <c r="R1495" s="803" t="str">
        <f>VLOOKUP(A1495,'[1]Raw data'!$B:$Z,3,FALSE)</f>
        <v>兴开泰（end user:兴连）</v>
      </c>
      <c r="S1495" s="710" t="str">
        <f>VLOOKUP(A1495,'[1]Raw data'!$B:$Z,4,FALSE)</f>
        <v>YSM10</v>
      </c>
      <c r="T1495" s="710" t="str">
        <f>VLOOKUP(A1495,'[1]Raw data'!$B:$Z,8,FALSE)</f>
        <v>L-&gt;R</v>
      </c>
      <c r="U1495" s="710" t="str">
        <f>VLOOKUP(A1495,'[1]Raw data'!$B:$Z,9,FALSE)</f>
        <v>MVC</v>
      </c>
      <c r="V1495" s="709" t="str">
        <f t="shared" si="340"/>
        <v>WRONG</v>
      </c>
      <c r="W1495" s="801" t="str">
        <f>VLOOKUP(A1495,'[1]Raw data'!$B:$AG,32,FALSE)</f>
        <v>DAP DG</v>
      </c>
      <c r="X1495" s="800">
        <f>VLOOKUP(A1495,'[1]Raw data'!$B:$BA,31,FALSE)</f>
        <v>45237</v>
      </c>
      <c r="Y1495" s="710" t="str">
        <f>VLOOKUP(A1495,'[1]Raw data'!$B:$AS,39,FALSE)</f>
        <v>Yes</v>
      </c>
      <c r="Z1495" s="659"/>
      <c r="AA1495" s="660"/>
      <c r="AB1495" s="661"/>
      <c r="AC1495" s="710"/>
      <c r="AD1495" s="662">
        <v>301</v>
      </c>
      <c r="AE1495" s="662">
        <v>10</v>
      </c>
      <c r="AF1495" s="662"/>
      <c r="AG1495" s="662"/>
      <c r="AH1495" s="662"/>
      <c r="AI1495" s="663"/>
      <c r="AN1495" s="542"/>
      <c r="AO1495" s="824" t="str">
        <f t="shared" si="341"/>
        <v>Yes</v>
      </c>
      <c r="AP1495" s="259" t="str">
        <f t="shared" si="342"/>
        <v>JAN 24</v>
      </c>
      <c r="AQ1495" s="542" t="str">
        <f t="shared" si="343"/>
        <v>有定金+有預留客戶</v>
      </c>
      <c r="AR1495" s="259" t="str">
        <f t="shared" si="344"/>
        <v>Shipped_Stock</v>
      </c>
      <c r="AS1495" s="259" t="str">
        <f t="shared" si="345"/>
        <v/>
      </c>
      <c r="AT1495" s="259" t="str">
        <f t="shared" si="346"/>
        <v>兴开泰（end user:兴连）</v>
      </c>
      <c r="AU1495" s="259" t="str">
        <f t="shared" si="347"/>
        <v>C49SZX20230111SX</v>
      </c>
      <c r="AV1495" s="259" t="str">
        <f t="shared" si="348"/>
        <v>Aug-14</v>
      </c>
    </row>
    <row r="1496" spans="1:48" ht="16.5" hidden="1">
      <c r="A1496" s="559">
        <v>2012</v>
      </c>
      <c r="B1496" s="797" t="s">
        <v>1125</v>
      </c>
      <c r="C1496" s="797" t="s">
        <v>281</v>
      </c>
      <c r="D1496" s="798" t="s">
        <v>4038</v>
      </c>
      <c r="E1496" s="799" t="s">
        <v>236</v>
      </c>
      <c r="F1496" s="710" t="s">
        <v>17</v>
      </c>
      <c r="G1496" s="710" t="s">
        <v>18</v>
      </c>
      <c r="H1496" s="710" t="s">
        <v>26</v>
      </c>
      <c r="I1496" s="662" t="s">
        <v>4246</v>
      </c>
      <c r="J1496" s="662">
        <v>1</v>
      </c>
      <c r="K1496" s="710" t="s">
        <v>1732</v>
      </c>
      <c r="L1496" s="800">
        <v>45152</v>
      </c>
      <c r="M1496" s="717">
        <v>5.0799999999999998E-2</v>
      </c>
      <c r="N1496" s="647" t="s">
        <v>4258</v>
      </c>
      <c r="O1496" s="575">
        <v>2023.7</v>
      </c>
      <c r="P1496" s="802" t="str">
        <f>VLOOKUP(A1496,'[1]Raw data'!$B:$BA,23,FALSE)</f>
        <v>JPY</v>
      </c>
      <c r="Q1496" s="803" t="str">
        <f>VLOOKUP(A1496,'[1]Raw data'!$B:$Z,2,FALSE)</f>
        <v>C49SZX20230111SX</v>
      </c>
      <c r="R1496" s="803" t="str">
        <f>VLOOKUP(A1496,'[1]Raw data'!$B:$Z,3,FALSE)</f>
        <v>兴开泰（end user:兴连）</v>
      </c>
      <c r="S1496" s="710" t="str">
        <f>VLOOKUP(A1496,'[1]Raw data'!$B:$Z,4,FALSE)</f>
        <v>YSM10</v>
      </c>
      <c r="T1496" s="710" t="str">
        <f>VLOOKUP(A1496,'[1]Raw data'!$B:$Z,8,FALSE)</f>
        <v>L-&gt;R</v>
      </c>
      <c r="U1496" s="710" t="str">
        <f>VLOOKUP(A1496,'[1]Raw data'!$B:$Z,9,FALSE)</f>
        <v>MVC</v>
      </c>
      <c r="V1496" s="709" t="str">
        <f t="shared" si="340"/>
        <v>WRONG</v>
      </c>
      <c r="W1496" s="801" t="str">
        <f>VLOOKUP(A1496,'[1]Raw data'!$B:$AG,32,FALSE)</f>
        <v>DAP DG</v>
      </c>
      <c r="X1496" s="800">
        <f>VLOOKUP(A1496,'[1]Raw data'!$B:$BA,31,FALSE)</f>
        <v>45237</v>
      </c>
      <c r="Y1496" s="710" t="str">
        <f>VLOOKUP(A1496,'[1]Raw data'!$B:$AS,39,FALSE)</f>
        <v>Yes</v>
      </c>
      <c r="Z1496" s="659"/>
      <c r="AA1496" s="660"/>
      <c r="AB1496" s="661"/>
      <c r="AC1496" s="710"/>
      <c r="AD1496" s="662">
        <v>301</v>
      </c>
      <c r="AE1496" s="662">
        <v>10</v>
      </c>
      <c r="AF1496" s="662"/>
      <c r="AG1496" s="662"/>
      <c r="AH1496" s="662"/>
      <c r="AI1496" s="663"/>
      <c r="AN1496" s="542"/>
      <c r="AO1496" s="824" t="str">
        <f t="shared" si="341"/>
        <v>Yes</v>
      </c>
      <c r="AP1496" s="259" t="str">
        <f t="shared" si="342"/>
        <v>JAN 24</v>
      </c>
      <c r="AQ1496" s="542" t="str">
        <f t="shared" si="343"/>
        <v>有定金+有預留客戶</v>
      </c>
      <c r="AR1496" s="259" t="str">
        <f t="shared" si="344"/>
        <v>Shipped_Stock</v>
      </c>
      <c r="AS1496" s="259" t="str">
        <f t="shared" si="345"/>
        <v/>
      </c>
      <c r="AT1496" s="259" t="str">
        <f t="shared" si="346"/>
        <v>兴开泰（end user:兴连）</v>
      </c>
      <c r="AU1496" s="259" t="str">
        <f t="shared" si="347"/>
        <v>C49SZX20230111SX</v>
      </c>
      <c r="AV1496" s="259" t="str">
        <f t="shared" si="348"/>
        <v>Aug-14</v>
      </c>
    </row>
    <row r="1497" spans="1:48" hidden="1">
      <c r="A1497" s="559">
        <v>2013</v>
      </c>
      <c r="B1497" s="797" t="s">
        <v>1125</v>
      </c>
      <c r="C1497" s="797" t="s">
        <v>281</v>
      </c>
      <c r="D1497" s="798" t="s">
        <v>4038</v>
      </c>
      <c r="E1497" s="799" t="s">
        <v>236</v>
      </c>
      <c r="F1497" s="710" t="s">
        <v>17</v>
      </c>
      <c r="G1497" s="710" t="s">
        <v>18</v>
      </c>
      <c r="H1497" s="710" t="s">
        <v>26</v>
      </c>
      <c r="I1497" s="662" t="s">
        <v>4063</v>
      </c>
      <c r="J1497" s="662">
        <v>1</v>
      </c>
      <c r="K1497" s="710" t="s">
        <v>1732</v>
      </c>
      <c r="L1497" s="800">
        <v>45152</v>
      </c>
      <c r="M1497" s="717">
        <v>5.0799999999999998E-2</v>
      </c>
      <c r="N1497" s="647" t="s">
        <v>4258</v>
      </c>
      <c r="O1497" s="575">
        <v>2023.7</v>
      </c>
      <c r="P1497" s="802" t="str">
        <f>VLOOKUP(A1497,'[1]Raw data'!$B:$BA,23,FALSE)</f>
        <v>JPY</v>
      </c>
      <c r="Q1497" s="803" t="str">
        <f>VLOOKUP(A1497,'[1]Raw data'!$B:$Z,2,FALSE)</f>
        <v>C49SZX20230111SX</v>
      </c>
      <c r="R1497" s="803" t="str">
        <f>VLOOKUP(A1497,'[1]Raw data'!$B:$Z,3,FALSE)</f>
        <v>兴开泰（end user:兴连）</v>
      </c>
      <c r="S1497" s="710" t="str">
        <f>VLOOKUP(A1497,'[1]Raw data'!$B:$Z,4,FALSE)</f>
        <v>YSM10</v>
      </c>
      <c r="T1497" s="710" t="str">
        <f>VLOOKUP(A1497,'[1]Raw data'!$B:$Z,8,FALSE)</f>
        <v>L-&gt;R</v>
      </c>
      <c r="U1497" s="710" t="str">
        <f>VLOOKUP(A1497,'[1]Raw data'!$B:$Z,9,FALSE)</f>
        <v>MVC</v>
      </c>
      <c r="V1497" s="709" t="str">
        <f t="shared" si="340"/>
        <v>WRONG</v>
      </c>
      <c r="W1497" s="801" t="str">
        <f>VLOOKUP(A1497,'[1]Raw data'!$B:$AG,32,FALSE)</f>
        <v>DAP DG</v>
      </c>
      <c r="X1497" s="800">
        <f>VLOOKUP(A1497,'[1]Raw data'!$B:$BA,31,FALSE)</f>
        <v>45237</v>
      </c>
      <c r="Y1497" s="710" t="str">
        <f>VLOOKUP(A1497,'[1]Raw data'!$B:$AS,39,FALSE)</f>
        <v>Yes</v>
      </c>
      <c r="Z1497" s="659"/>
      <c r="AA1497" s="660"/>
      <c r="AB1497" s="661"/>
      <c r="AC1497" s="710"/>
      <c r="AD1497" s="662">
        <v>301</v>
      </c>
      <c r="AE1497" s="662">
        <v>10</v>
      </c>
      <c r="AF1497" s="662"/>
      <c r="AG1497" s="662"/>
      <c r="AH1497" s="662"/>
      <c r="AI1497" s="663"/>
      <c r="AN1497" s="542"/>
      <c r="AO1497" s="824" t="str">
        <f t="shared" si="341"/>
        <v>Yes</v>
      </c>
      <c r="AP1497" s="259" t="str">
        <f t="shared" si="342"/>
        <v>JAN 24</v>
      </c>
      <c r="AQ1497" s="542" t="str">
        <f t="shared" si="343"/>
        <v>有定金+有預留客戶</v>
      </c>
      <c r="AR1497" s="259" t="str">
        <f t="shared" si="344"/>
        <v>Shipped_Stock</v>
      </c>
      <c r="AS1497" s="259" t="str">
        <f t="shared" si="345"/>
        <v/>
      </c>
      <c r="AT1497" s="259" t="str">
        <f t="shared" si="346"/>
        <v>兴开泰（end user:兴连）</v>
      </c>
      <c r="AU1497" s="259" t="str">
        <f t="shared" si="347"/>
        <v>C49SZX20230111SX</v>
      </c>
      <c r="AV1497" s="259" t="str">
        <f t="shared" si="348"/>
        <v>Aug-14</v>
      </c>
    </row>
    <row r="1498" spans="1:48" hidden="1">
      <c r="A1498" s="559">
        <v>2014</v>
      </c>
      <c r="B1498" s="797" t="s">
        <v>1125</v>
      </c>
      <c r="C1498" s="797" t="s">
        <v>281</v>
      </c>
      <c r="D1498" s="798">
        <v>111309</v>
      </c>
      <c r="E1498" s="799" t="s">
        <v>236</v>
      </c>
      <c r="F1498" s="710" t="s">
        <v>17</v>
      </c>
      <c r="G1498" s="710" t="s">
        <v>18</v>
      </c>
      <c r="H1498" s="710" t="s">
        <v>26</v>
      </c>
      <c r="I1498" s="662" t="s">
        <v>4064</v>
      </c>
      <c r="J1498" s="662">
        <v>1</v>
      </c>
      <c r="K1498" s="710" t="s">
        <v>1732</v>
      </c>
      <c r="L1498" s="800">
        <v>45152</v>
      </c>
      <c r="M1498" s="717">
        <v>5.0500000000000003E-2</v>
      </c>
      <c r="N1498" s="647" t="s">
        <v>4258</v>
      </c>
      <c r="O1498" s="575">
        <v>2023.7</v>
      </c>
      <c r="P1498" s="802" t="str">
        <f>VLOOKUP(A1498,'[1]Raw data'!$B:$BA,23,FALSE)</f>
        <v>JPY</v>
      </c>
      <c r="Q1498" s="803" t="str">
        <f>VLOOKUP(A1498,'[1]Raw data'!$B:$Z,2,FALSE)</f>
        <v>C49SZX20230111SX</v>
      </c>
      <c r="R1498" s="803" t="str">
        <f>VLOOKUP(A1498,'[1]Raw data'!$B:$Z,3,FALSE)</f>
        <v>兴开泰（end user:兴连）</v>
      </c>
      <c r="S1498" s="710" t="str">
        <f>VLOOKUP(A1498,'[1]Raw data'!$B:$Z,4,FALSE)</f>
        <v>YSM10</v>
      </c>
      <c r="T1498" s="710" t="str">
        <f>VLOOKUP(A1498,'[1]Raw data'!$B:$Z,8,FALSE)</f>
        <v>R-&gt;L</v>
      </c>
      <c r="U1498" s="710" t="str">
        <f>VLOOKUP(A1498,'[1]Raw data'!$B:$Z,9,FALSE)</f>
        <v>MVC</v>
      </c>
      <c r="V1498" s="709" t="str">
        <f t="shared" si="340"/>
        <v>WRONG</v>
      </c>
      <c r="W1498" s="801" t="str">
        <f>VLOOKUP(A1498,'[1]Raw data'!$B:$AG,32,FALSE)</f>
        <v>DAP DG</v>
      </c>
      <c r="X1498" s="800">
        <f>VLOOKUP(A1498,'[1]Raw data'!$B:$BA,31,FALSE)</f>
        <v>45237</v>
      </c>
      <c r="Y1498" s="710" t="str">
        <f>VLOOKUP(A1498,'[1]Raw data'!$B:$AS,39,FALSE)</f>
        <v>Yes</v>
      </c>
      <c r="Z1498" s="659"/>
      <c r="AA1498" s="660"/>
      <c r="AB1498" s="661"/>
      <c r="AC1498" s="710"/>
      <c r="AD1498" s="662">
        <v>301</v>
      </c>
      <c r="AE1498" s="662">
        <v>10</v>
      </c>
      <c r="AF1498" s="662"/>
      <c r="AG1498" s="662"/>
      <c r="AH1498" s="662"/>
      <c r="AI1498" s="663"/>
      <c r="AN1498" s="542"/>
      <c r="AO1498" s="824" t="str">
        <f t="shared" si="341"/>
        <v>Yes</v>
      </c>
      <c r="AP1498" s="259" t="str">
        <f t="shared" si="342"/>
        <v>JAN 24</v>
      </c>
      <c r="AQ1498" s="542" t="str">
        <f t="shared" si="343"/>
        <v>有定金+有預留客戶</v>
      </c>
      <c r="AR1498" s="259" t="str">
        <f t="shared" si="344"/>
        <v>Shipped_Stock</v>
      </c>
      <c r="AS1498" s="259" t="str">
        <f t="shared" si="345"/>
        <v/>
      </c>
      <c r="AT1498" s="259" t="str">
        <f t="shared" si="346"/>
        <v>兴开泰（end user:兴连）</v>
      </c>
      <c r="AU1498" s="259" t="str">
        <f t="shared" si="347"/>
        <v>C49SZX20230111SX</v>
      </c>
      <c r="AV1498" s="259" t="str">
        <f t="shared" si="348"/>
        <v>Aug-14</v>
      </c>
    </row>
    <row r="1499" spans="1:48" hidden="1">
      <c r="A1499" s="559">
        <v>2015</v>
      </c>
      <c r="B1499" s="797" t="s">
        <v>1125</v>
      </c>
      <c r="C1499" s="797" t="s">
        <v>281</v>
      </c>
      <c r="D1499" s="798">
        <v>111309</v>
      </c>
      <c r="E1499" s="799" t="s">
        <v>236</v>
      </c>
      <c r="F1499" s="710" t="s">
        <v>17</v>
      </c>
      <c r="G1499" s="710" t="s">
        <v>18</v>
      </c>
      <c r="H1499" s="710" t="s">
        <v>26</v>
      </c>
      <c r="I1499" s="662" t="s">
        <v>4065</v>
      </c>
      <c r="J1499" s="662">
        <v>1</v>
      </c>
      <c r="K1499" s="710" t="s">
        <v>1732</v>
      </c>
      <c r="L1499" s="800">
        <v>45152</v>
      </c>
      <c r="M1499" s="717">
        <v>5.0500000000000003E-2</v>
      </c>
      <c r="N1499" s="647" t="s">
        <v>4258</v>
      </c>
      <c r="O1499" s="575">
        <v>2023.7</v>
      </c>
      <c r="P1499" s="802" t="str">
        <f>VLOOKUP(A1499,'[1]Raw data'!$B:$BA,23,FALSE)</f>
        <v>JPY</v>
      </c>
      <c r="Q1499" s="803" t="str">
        <f>VLOOKUP(A1499,'[1]Raw data'!$B:$Z,2,FALSE)</f>
        <v>C49SZX20230111SX</v>
      </c>
      <c r="R1499" s="803" t="str">
        <f>VLOOKUP(A1499,'[1]Raw data'!$B:$Z,3,FALSE)</f>
        <v>兴开泰（end user:兴连）</v>
      </c>
      <c r="S1499" s="710" t="str">
        <f>VLOOKUP(A1499,'[1]Raw data'!$B:$Z,4,FALSE)</f>
        <v>YSM10</v>
      </c>
      <c r="T1499" s="710" t="str">
        <f>VLOOKUP(A1499,'[1]Raw data'!$B:$Z,8,FALSE)</f>
        <v>R-&gt;L</v>
      </c>
      <c r="U1499" s="710" t="str">
        <f>VLOOKUP(A1499,'[1]Raw data'!$B:$Z,9,FALSE)</f>
        <v>MVC</v>
      </c>
      <c r="V1499" s="709" t="str">
        <f t="shared" si="340"/>
        <v>WRONG</v>
      </c>
      <c r="W1499" s="801" t="str">
        <f>VLOOKUP(A1499,'[1]Raw data'!$B:$AG,32,FALSE)</f>
        <v>DAP DG</v>
      </c>
      <c r="X1499" s="800">
        <f>VLOOKUP(A1499,'[1]Raw data'!$B:$BA,31,FALSE)</f>
        <v>45237</v>
      </c>
      <c r="Y1499" s="710" t="str">
        <f>VLOOKUP(A1499,'[1]Raw data'!$B:$AS,39,FALSE)</f>
        <v>Yes</v>
      </c>
      <c r="Z1499" s="659"/>
      <c r="AA1499" s="660"/>
      <c r="AB1499" s="661"/>
      <c r="AC1499" s="710"/>
      <c r="AD1499" s="662">
        <v>301</v>
      </c>
      <c r="AE1499" s="662">
        <v>10</v>
      </c>
      <c r="AF1499" s="662"/>
      <c r="AG1499" s="662"/>
      <c r="AH1499" s="662"/>
      <c r="AI1499" s="663"/>
      <c r="AN1499" s="542"/>
      <c r="AO1499" s="824" t="str">
        <f t="shared" si="341"/>
        <v>Yes</v>
      </c>
      <c r="AP1499" s="259" t="str">
        <f t="shared" si="342"/>
        <v>JAN 24</v>
      </c>
      <c r="AQ1499" s="542" t="str">
        <f t="shared" si="343"/>
        <v>有定金+有預留客戶</v>
      </c>
      <c r="AR1499" s="259" t="str">
        <f t="shared" si="344"/>
        <v>Shipped_Stock</v>
      </c>
      <c r="AS1499" s="259" t="str">
        <f t="shared" si="345"/>
        <v/>
      </c>
      <c r="AT1499" s="259" t="str">
        <f t="shared" si="346"/>
        <v>兴开泰（end user:兴连）</v>
      </c>
      <c r="AU1499" s="259" t="str">
        <f t="shared" si="347"/>
        <v>C49SZX20230111SX</v>
      </c>
      <c r="AV1499" s="259" t="str">
        <f t="shared" si="348"/>
        <v>Aug-14</v>
      </c>
    </row>
    <row r="1500" spans="1:48" hidden="1">
      <c r="A1500" s="559">
        <v>2016</v>
      </c>
      <c r="B1500" s="797" t="s">
        <v>1125</v>
      </c>
      <c r="C1500" s="797" t="s">
        <v>281</v>
      </c>
      <c r="D1500" s="798">
        <v>111309</v>
      </c>
      <c r="E1500" s="799" t="s">
        <v>236</v>
      </c>
      <c r="F1500" s="710" t="s">
        <v>17</v>
      </c>
      <c r="G1500" s="710" t="s">
        <v>18</v>
      </c>
      <c r="H1500" s="710" t="s">
        <v>307</v>
      </c>
      <c r="I1500" s="662" t="s">
        <v>4066</v>
      </c>
      <c r="J1500" s="662">
        <v>1</v>
      </c>
      <c r="K1500" s="710" t="s">
        <v>1732</v>
      </c>
      <c r="L1500" s="800">
        <v>45152</v>
      </c>
      <c r="M1500" s="717">
        <v>5.0500000000000003E-2</v>
      </c>
      <c r="N1500" s="647" t="s">
        <v>4258</v>
      </c>
      <c r="O1500" s="575">
        <v>2023.7</v>
      </c>
      <c r="P1500" s="802" t="str">
        <f>VLOOKUP(A1500,'[1]Raw data'!$B:$BA,23,FALSE)</f>
        <v>JPY</v>
      </c>
      <c r="Q1500" s="803" t="str">
        <f>VLOOKUP(A1500,'[1]Raw data'!$B:$Z,2,FALSE)</f>
        <v>C49SZX20230111SX</v>
      </c>
      <c r="R1500" s="803" t="str">
        <f>VLOOKUP(A1500,'[1]Raw data'!$B:$Z,3,FALSE)</f>
        <v>兴开泰（end user:兴连）</v>
      </c>
      <c r="S1500" s="710" t="str">
        <f>VLOOKUP(A1500,'[1]Raw data'!$B:$Z,4,FALSE)</f>
        <v>YSM10</v>
      </c>
      <c r="T1500" s="710" t="str">
        <f>VLOOKUP(A1500,'[1]Raw data'!$B:$Z,8,FALSE)</f>
        <v>R-&gt;L</v>
      </c>
      <c r="U1500" s="710" t="str">
        <f>VLOOKUP(A1500,'[1]Raw data'!$B:$Z,9,FALSE)</f>
        <v>MVC</v>
      </c>
      <c r="V1500" s="709" t="str">
        <f t="shared" si="340"/>
        <v>WRONG</v>
      </c>
      <c r="W1500" s="801" t="str">
        <f>VLOOKUP(A1500,'[1]Raw data'!$B:$AG,32,FALSE)</f>
        <v>DAP DG</v>
      </c>
      <c r="X1500" s="800">
        <f>VLOOKUP(A1500,'[1]Raw data'!$B:$BA,31,FALSE)</f>
        <v>45237</v>
      </c>
      <c r="Y1500" s="710" t="str">
        <f>VLOOKUP(A1500,'[1]Raw data'!$B:$AS,39,FALSE)</f>
        <v>Yes</v>
      </c>
      <c r="Z1500" s="659"/>
      <c r="AA1500" s="660"/>
      <c r="AB1500" s="661"/>
      <c r="AC1500" s="710"/>
      <c r="AD1500" s="662">
        <v>301</v>
      </c>
      <c r="AE1500" s="662">
        <v>10</v>
      </c>
      <c r="AF1500" s="662"/>
      <c r="AG1500" s="662"/>
      <c r="AH1500" s="662"/>
      <c r="AI1500" s="663"/>
      <c r="AN1500" s="542"/>
      <c r="AO1500" s="824" t="str">
        <f t="shared" si="341"/>
        <v>Yes</v>
      </c>
      <c r="AP1500" s="259" t="str">
        <f t="shared" si="342"/>
        <v>JAN 24</v>
      </c>
      <c r="AQ1500" s="542" t="str">
        <f t="shared" si="343"/>
        <v>有定金+有預留客戶</v>
      </c>
      <c r="AR1500" s="259" t="str">
        <f t="shared" si="344"/>
        <v>Shipped_Stock</v>
      </c>
      <c r="AS1500" s="259" t="str">
        <f t="shared" si="345"/>
        <v/>
      </c>
      <c r="AT1500" s="259" t="str">
        <f t="shared" si="346"/>
        <v>兴开泰（end user:兴连）</v>
      </c>
      <c r="AU1500" s="259" t="str">
        <f t="shared" si="347"/>
        <v>C49SZX20230111SX</v>
      </c>
      <c r="AV1500" s="259" t="str">
        <f t="shared" si="348"/>
        <v>Aug-14</v>
      </c>
    </row>
    <row r="1501" spans="1:48" hidden="1">
      <c r="A1501" s="559">
        <v>2019</v>
      </c>
      <c r="B1501" s="664" t="s">
        <v>1125</v>
      </c>
      <c r="C1501" s="664" t="s">
        <v>281</v>
      </c>
      <c r="D1501" s="645">
        <v>111309</v>
      </c>
      <c r="E1501" s="744" t="s">
        <v>236</v>
      </c>
      <c r="F1501" s="647" t="s">
        <v>17</v>
      </c>
      <c r="G1501" s="647" t="s">
        <v>18</v>
      </c>
      <c r="H1501" s="647" t="s">
        <v>19</v>
      </c>
      <c r="I1501" s="575" t="s">
        <v>4067</v>
      </c>
      <c r="J1501" s="575">
        <v>1</v>
      </c>
      <c r="K1501" s="647" t="s">
        <v>1732</v>
      </c>
      <c r="L1501" s="657">
        <v>45152</v>
      </c>
      <c r="M1501" s="665">
        <v>5.0500000000000003E-2</v>
      </c>
      <c r="N1501" s="647" t="s">
        <v>4241</v>
      </c>
      <c r="O1501" s="575">
        <v>2023.7</v>
      </c>
      <c r="P1501" s="665" t="str">
        <f>VLOOKUP(A1501,'[1]Raw data'!$B:$BA,23,FALSE)</f>
        <v>JPY</v>
      </c>
      <c r="Q1501" s="647" t="str">
        <f>VLOOKUP(A1501,'[1]Raw data'!$B:$Z,2,FALSE)</f>
        <v>C49SZX20230123SX</v>
      </c>
      <c r="R1501" s="647" t="str">
        <f>VLOOKUP(A1501,'[1]Raw data'!$B:$Z,3,FALSE)</f>
        <v>永顺创</v>
      </c>
      <c r="S1501" s="647" t="str">
        <f>VLOOKUP(A1501,'[1]Raw data'!$B:$Z,4,FALSE)</f>
        <v>YSM10</v>
      </c>
      <c r="T1501" s="647" t="str">
        <f>VLOOKUP(A1501,'[1]Raw data'!$B:$Z,8,FALSE)</f>
        <v>L-&gt;R</v>
      </c>
      <c r="U1501" s="647" t="str">
        <f>VLOOKUP(A1501,'[1]Raw data'!$B:$Z,9,FALSE)</f>
        <v>MVC+ATS15</v>
      </c>
      <c r="V1501" s="567" t="str">
        <f t="shared" si="340"/>
        <v>WRONG</v>
      </c>
      <c r="W1501" s="563" t="str">
        <f>VLOOKUP(A1501,'[1]Raw data'!$B:$AG,32,FALSE)</f>
        <v>DAP SZ</v>
      </c>
      <c r="X1501" s="657">
        <f>VLOOKUP(A1501,'[1]Raw data'!$B:$BA,31,FALSE)</f>
        <v>45240</v>
      </c>
      <c r="Y1501" s="647" t="str">
        <f>VLOOKUP(A1501,'[1]Raw data'!$B:$AS,39,FALSE)</f>
        <v>Yes</v>
      </c>
      <c r="Z1501" s="659"/>
      <c r="AA1501" s="660"/>
      <c r="AB1501" s="661"/>
      <c r="AC1501" s="647" t="s">
        <v>4288</v>
      </c>
      <c r="AD1501" s="662">
        <v>301</v>
      </c>
      <c r="AE1501" s="662">
        <v>10</v>
      </c>
      <c r="AF1501" s="662"/>
      <c r="AG1501" s="662"/>
      <c r="AH1501" s="662"/>
      <c r="AI1501" s="663"/>
      <c r="AN1501" s="542"/>
      <c r="AO1501" s="824" t="str">
        <f t="shared" si="341"/>
        <v>Yes</v>
      </c>
      <c r="AP1501" s="259" t="str">
        <f t="shared" si="342"/>
        <v>NOV 23</v>
      </c>
      <c r="AQ1501" s="542" t="str">
        <f t="shared" si="343"/>
        <v>有定金+有預留客戶</v>
      </c>
      <c r="AR1501" s="259" t="str">
        <f t="shared" si="344"/>
        <v>Shipped_Stock</v>
      </c>
      <c r="AS1501" s="259" t="str">
        <f t="shared" si="345"/>
        <v/>
      </c>
      <c r="AT1501" s="259" t="str">
        <f t="shared" si="346"/>
        <v>永顺创</v>
      </c>
      <c r="AU1501" s="259" t="str">
        <f t="shared" si="347"/>
        <v>C49SZX20230123SX</v>
      </c>
      <c r="AV1501" s="259" t="str">
        <f t="shared" si="348"/>
        <v>Aug-14</v>
      </c>
    </row>
    <row r="1502" spans="1:48" hidden="1">
      <c r="A1502" s="559">
        <v>2022</v>
      </c>
      <c r="B1502" s="664" t="s">
        <v>1125</v>
      </c>
      <c r="C1502" s="664" t="s">
        <v>281</v>
      </c>
      <c r="D1502" s="645">
        <v>111309</v>
      </c>
      <c r="E1502" s="744" t="s">
        <v>236</v>
      </c>
      <c r="F1502" s="647" t="s">
        <v>17</v>
      </c>
      <c r="G1502" s="647" t="s">
        <v>18</v>
      </c>
      <c r="H1502" s="647" t="s">
        <v>19</v>
      </c>
      <c r="I1502" s="575" t="s">
        <v>4068</v>
      </c>
      <c r="J1502" s="575">
        <v>1</v>
      </c>
      <c r="K1502" s="647" t="s">
        <v>2407</v>
      </c>
      <c r="L1502" s="657">
        <v>45152</v>
      </c>
      <c r="M1502" s="665">
        <v>5.0500000000000003E-2</v>
      </c>
      <c r="N1502" s="647" t="s">
        <v>4282</v>
      </c>
      <c r="O1502" s="575">
        <v>2023.7</v>
      </c>
      <c r="P1502" s="665" t="str">
        <f>VLOOKUP(A1502,'[1]Raw data'!$B:$BA,23,FALSE)</f>
        <v>RMB</v>
      </c>
      <c r="Q1502" s="647" t="str">
        <f>VLOOKUP(A1502,'[1]Raw data'!$B:$Z,2,FALSE)</f>
        <v>C49SZX20230129JL/HJD23110851</v>
      </c>
      <c r="R1502" s="647" t="str">
        <f>VLOOKUP(A1502,'[1]Raw data'!$B:$Z,3,FALSE)</f>
        <v>皓吉达</v>
      </c>
      <c r="S1502" s="647" t="str">
        <f>VLOOKUP(A1502,'[1]Raw data'!$B:$Z,4,FALSE)</f>
        <v>YSM10</v>
      </c>
      <c r="T1502" s="647" t="str">
        <f>VLOOKUP(A1502,'[1]Raw data'!$B:$Z,8,FALSE)</f>
        <v>L-&gt;R</v>
      </c>
      <c r="U1502" s="647" t="str">
        <f>VLOOKUP(A1502,'[1]Raw data'!$B:$Z,9,FALSE)</f>
        <v>ATS15</v>
      </c>
      <c r="V1502" s="567" t="str">
        <f t="shared" si="340"/>
        <v>WRONG</v>
      </c>
      <c r="W1502" s="563" t="str">
        <f>VLOOKUP(A1502,'[1]Raw data'!$B:$AG,32,FALSE)</f>
        <v>DDP HY</v>
      </c>
      <c r="X1502" s="657">
        <f>VLOOKUP(A1502,'[1]Raw data'!$B:$BA,31,FALSE)</f>
        <v>45250</v>
      </c>
      <c r="Y1502" s="647" t="str">
        <f>VLOOKUP(A1502,'[1]Raw data'!$B:$AS,39,FALSE)</f>
        <v>Yes</v>
      </c>
      <c r="Z1502" s="659"/>
      <c r="AA1502" s="660"/>
      <c r="AB1502" s="661"/>
      <c r="AC1502" s="647" t="s">
        <v>3992</v>
      </c>
      <c r="AD1502" s="662">
        <v>301</v>
      </c>
      <c r="AE1502" s="662">
        <v>10</v>
      </c>
      <c r="AF1502" s="662"/>
      <c r="AG1502" s="662"/>
      <c r="AH1502" s="662"/>
      <c r="AI1502" s="663"/>
      <c r="AN1502" s="542"/>
      <c r="AO1502" s="824" t="str">
        <f t="shared" si="341"/>
        <v>Yes</v>
      </c>
      <c r="AP1502" s="259" t="str">
        <f t="shared" si="342"/>
        <v>DEC 23</v>
      </c>
      <c r="AQ1502" s="542" t="str">
        <f t="shared" si="343"/>
        <v>有定金+有預留客戶</v>
      </c>
      <c r="AR1502" s="259" t="str">
        <f t="shared" si="344"/>
        <v>Shipped_Stock</v>
      </c>
      <c r="AS1502" s="259" t="str">
        <f t="shared" si="345"/>
        <v/>
      </c>
      <c r="AT1502" s="259" t="str">
        <f t="shared" si="346"/>
        <v>皓吉达</v>
      </c>
      <c r="AU1502" s="259" t="str">
        <f t="shared" si="347"/>
        <v>C49SZX20230129JL/HJD23110851</v>
      </c>
      <c r="AV1502" s="259" t="str">
        <f t="shared" si="348"/>
        <v>Aug-14</v>
      </c>
    </row>
    <row r="1503" spans="1:48" hidden="1">
      <c r="A1503" s="559">
        <v>2045</v>
      </c>
      <c r="B1503" s="664" t="s">
        <v>1125</v>
      </c>
      <c r="C1503" s="664" t="s">
        <v>281</v>
      </c>
      <c r="D1503" s="645">
        <v>111342</v>
      </c>
      <c r="E1503" s="744" t="s">
        <v>236</v>
      </c>
      <c r="F1503" s="647" t="s">
        <v>58</v>
      </c>
      <c r="G1503" s="647" t="s">
        <v>24</v>
      </c>
      <c r="H1503" s="647" t="s">
        <v>26</v>
      </c>
      <c r="I1503" s="575" t="s">
        <v>4095</v>
      </c>
      <c r="J1503" s="575">
        <v>1</v>
      </c>
      <c r="K1503" s="647" t="s">
        <v>1732</v>
      </c>
      <c r="L1503" s="657">
        <v>45175</v>
      </c>
      <c r="M1503" s="665">
        <v>5.0500000000000003E-2</v>
      </c>
      <c r="N1503" s="647" t="s">
        <v>4258</v>
      </c>
      <c r="O1503" s="575">
        <v>2023.8</v>
      </c>
      <c r="P1503" s="665" t="str">
        <f>VLOOKUP(A1503,'[1]Raw data'!$B:$BA,23,FALSE)</f>
        <v>JPY</v>
      </c>
      <c r="Q1503" s="647" t="str">
        <f>VLOOKUP(A1503,'[1]Raw data'!$B:$Z,2,FALSE)</f>
        <v>C49SZX20230142MZ</v>
      </c>
      <c r="R1503" s="647" t="str">
        <f>VLOOKUP(A1503,'[1]Raw data'!$B:$Z,3,FALSE)</f>
        <v>朗格邦定</v>
      </c>
      <c r="S1503" s="647" t="str">
        <f>VLOOKUP(A1503,'[1]Raw data'!$B:$Z,4,FALSE)</f>
        <v>YSM20R-2</v>
      </c>
      <c r="T1503" s="647" t="str">
        <f>VLOOKUP(A1503,'[1]Raw data'!$B:$Z,8,FALSE)</f>
        <v>L-&gt;R</v>
      </c>
      <c r="U1503" s="647" t="str">
        <f>VLOOKUP(A1503,'[1]Raw data'!$B:$Z,9,FALSE)</f>
        <v>No</v>
      </c>
      <c r="V1503" s="567" t="str">
        <f t="shared" ref="V1503:V1507" si="350">IF(G1503&amp;H1503=T1503&amp;U1503,"OK","WRONG")</f>
        <v>OK</v>
      </c>
      <c r="W1503" s="563" t="str">
        <f>VLOOKUP(A1503,'[1]Raw data'!$B:$AG,32,FALSE)</f>
        <v>DAP SZ</v>
      </c>
      <c r="X1503" s="657">
        <f>VLOOKUP(A1503,'[1]Raw data'!$B:$BA,31,FALSE)</f>
        <v>45271</v>
      </c>
      <c r="Y1503" s="647" t="str">
        <f>VLOOKUP(A1503,'[1]Raw data'!$B:$AS,39,FALSE)</f>
        <v>Yes</v>
      </c>
      <c r="Z1503" s="659"/>
      <c r="AA1503" s="660"/>
      <c r="AB1503" s="661"/>
      <c r="AC1503" s="647" t="s">
        <v>4379</v>
      </c>
      <c r="AD1503" s="662">
        <v>301</v>
      </c>
      <c r="AE1503" s="662">
        <v>10</v>
      </c>
      <c r="AF1503" s="662">
        <v>302</v>
      </c>
      <c r="AG1503" s="662">
        <v>10</v>
      </c>
      <c r="AH1503" s="662"/>
      <c r="AI1503" s="663"/>
      <c r="AN1503" s="542"/>
      <c r="AO1503" s="824" t="str">
        <f t="shared" si="341"/>
        <v>Yes</v>
      </c>
      <c r="AP1503" s="259" t="str">
        <f t="shared" si="342"/>
        <v>JAN 24</v>
      </c>
      <c r="AQ1503" s="542" t="str">
        <f t="shared" si="343"/>
        <v>有定金+有預留客戶</v>
      </c>
      <c r="AR1503" s="259" t="str">
        <f t="shared" si="344"/>
        <v>Shipped_Stock</v>
      </c>
      <c r="AS1503" s="259" t="str">
        <f t="shared" si="345"/>
        <v/>
      </c>
      <c r="AT1503" s="259" t="str">
        <f t="shared" si="346"/>
        <v>朗格邦定</v>
      </c>
      <c r="AU1503" s="259" t="str">
        <f t="shared" si="347"/>
        <v>C49SZX20230142MZ</v>
      </c>
      <c r="AV1503" s="259" t="str">
        <f t="shared" si="348"/>
        <v>Sep-06</v>
      </c>
    </row>
    <row r="1504" spans="1:48" hidden="1">
      <c r="A1504" s="559">
        <v>2082</v>
      </c>
      <c r="B1504" s="797" t="s">
        <v>1125</v>
      </c>
      <c r="C1504" s="797" t="s">
        <v>281</v>
      </c>
      <c r="D1504" s="798">
        <v>111342</v>
      </c>
      <c r="E1504" s="799" t="s">
        <v>236</v>
      </c>
      <c r="F1504" s="710" t="s">
        <v>58</v>
      </c>
      <c r="G1504" s="710" t="s">
        <v>24</v>
      </c>
      <c r="H1504" s="710" t="s">
        <v>26</v>
      </c>
      <c r="I1504" s="662" t="s">
        <v>4096</v>
      </c>
      <c r="J1504" s="662">
        <v>1</v>
      </c>
      <c r="K1504" s="710" t="s">
        <v>1732</v>
      </c>
      <c r="L1504" s="800">
        <v>45175</v>
      </c>
      <c r="M1504" s="717">
        <v>5.0500000000000003E-2</v>
      </c>
      <c r="N1504" s="647" t="s">
        <v>4295</v>
      </c>
      <c r="O1504" s="575">
        <v>2023.8</v>
      </c>
      <c r="P1504" s="802" t="str">
        <f>VLOOKUP(A1504,'[1]Raw data'!$B:$BA,23,FALSE)</f>
        <v>JPY</v>
      </c>
      <c r="Q1504" s="803" t="str">
        <f>VLOOKUP(A1504,'[1]Raw data'!$B:$Z,2,FALSE)</f>
        <v>C49SZX20240018DZ</v>
      </c>
      <c r="R1504" s="803" t="str">
        <f>VLOOKUP(A1504,'[1]Raw data'!$B:$Z,3,FALSE)</f>
        <v>斯迈</v>
      </c>
      <c r="S1504" s="710" t="str">
        <f>VLOOKUP(A1504,'[1]Raw data'!$B:$Z,4,FALSE)</f>
        <v>YSM20R-2</v>
      </c>
      <c r="T1504" s="710" t="str">
        <f>VLOOKUP(A1504,'[1]Raw data'!$B:$Z,8,FALSE)</f>
        <v>L-&gt;R</v>
      </c>
      <c r="U1504" s="710" t="str">
        <f>VLOOKUP(A1504,'[1]Raw data'!$B:$Z,9,FALSE)</f>
        <v>No</v>
      </c>
      <c r="V1504" s="709" t="str">
        <f t="shared" si="350"/>
        <v>OK</v>
      </c>
      <c r="W1504" s="801" t="str">
        <f>VLOOKUP(A1504,'[1]Raw data'!$B:$AG,32,FALSE)</f>
        <v>DAP GZ</v>
      </c>
      <c r="X1504" s="800">
        <f>VLOOKUP(A1504,'[1]Raw data'!$B:$BA,31,FALSE)</f>
        <v>45316</v>
      </c>
      <c r="Y1504" s="710" t="str">
        <f>VLOOKUP(A1504,'[1]Raw data'!$B:$AS,39,FALSE)</f>
        <v>Yes</v>
      </c>
      <c r="Z1504" s="659"/>
      <c r="AA1504" s="660"/>
      <c r="AB1504" s="661"/>
      <c r="AC1504" s="710"/>
      <c r="AD1504" s="662">
        <v>301</v>
      </c>
      <c r="AE1504" s="662">
        <v>10</v>
      </c>
      <c r="AF1504" s="662">
        <v>302</v>
      </c>
      <c r="AG1504" s="662">
        <v>10</v>
      </c>
      <c r="AH1504" s="662"/>
      <c r="AI1504" s="663"/>
      <c r="AN1504" s="542"/>
      <c r="AO1504" s="824" t="str">
        <f t="shared" si="341"/>
        <v>Yes</v>
      </c>
      <c r="AP1504" s="259" t="str">
        <f t="shared" si="342"/>
        <v>FEB 24</v>
      </c>
      <c r="AQ1504" s="542" t="str">
        <f t="shared" si="343"/>
        <v>有定金+有預留客戶</v>
      </c>
      <c r="AR1504" s="259" t="str">
        <f t="shared" si="344"/>
        <v>Shipped_Stock</v>
      </c>
      <c r="AS1504" s="259" t="str">
        <f t="shared" si="345"/>
        <v/>
      </c>
      <c r="AT1504" s="259" t="str">
        <f t="shared" si="346"/>
        <v>斯迈</v>
      </c>
      <c r="AU1504" s="259" t="str">
        <f t="shared" si="347"/>
        <v>C49SZX20240018DZ</v>
      </c>
      <c r="AV1504" s="259" t="str">
        <f t="shared" si="348"/>
        <v>Sep-06</v>
      </c>
    </row>
    <row r="1505" spans="1:48" hidden="1">
      <c r="A1505" s="559">
        <v>2083</v>
      </c>
      <c r="B1505" s="797" t="s">
        <v>1125</v>
      </c>
      <c r="C1505" s="797" t="s">
        <v>281</v>
      </c>
      <c r="D1505" s="798">
        <v>111342</v>
      </c>
      <c r="E1505" s="799" t="s">
        <v>236</v>
      </c>
      <c r="F1505" s="710" t="s">
        <v>58</v>
      </c>
      <c r="G1505" s="710" t="s">
        <v>24</v>
      </c>
      <c r="H1505" s="710" t="s">
        <v>307</v>
      </c>
      <c r="I1505" s="662" t="s">
        <v>4097</v>
      </c>
      <c r="J1505" s="662">
        <v>1</v>
      </c>
      <c r="K1505" s="710" t="s">
        <v>1732</v>
      </c>
      <c r="L1505" s="800">
        <v>45175</v>
      </c>
      <c r="M1505" s="717">
        <v>5.0500000000000003E-2</v>
      </c>
      <c r="N1505" s="647" t="s">
        <v>4295</v>
      </c>
      <c r="O1505" s="575">
        <v>2023.8</v>
      </c>
      <c r="P1505" s="802" t="str">
        <f>VLOOKUP(A1505,'[1]Raw data'!$B:$BA,23,FALSE)</f>
        <v>JPY</v>
      </c>
      <c r="Q1505" s="803" t="str">
        <f>VLOOKUP(A1505,'[1]Raw data'!$B:$Z,2,FALSE)</f>
        <v>C49SZX20240018DZ</v>
      </c>
      <c r="R1505" s="803" t="str">
        <f>VLOOKUP(A1505,'[1]Raw data'!$B:$Z,3,FALSE)</f>
        <v>斯迈</v>
      </c>
      <c r="S1505" s="710" t="str">
        <f>VLOOKUP(A1505,'[1]Raw data'!$B:$Z,4,FALSE)</f>
        <v>YSM20R-2</v>
      </c>
      <c r="T1505" s="710" t="str">
        <f>VLOOKUP(A1505,'[1]Raw data'!$B:$Z,8,FALSE)</f>
        <v>L-&gt;R</v>
      </c>
      <c r="U1505" s="710" t="str">
        <f>VLOOKUP(A1505,'[1]Raw data'!$B:$Z,9,FALSE)</f>
        <v>No</v>
      </c>
      <c r="V1505" s="709" t="str">
        <f t="shared" si="350"/>
        <v>OK</v>
      </c>
      <c r="W1505" s="801" t="str">
        <f>VLOOKUP(A1505,'[1]Raw data'!$B:$AG,32,FALSE)</f>
        <v>DAP GZ</v>
      </c>
      <c r="X1505" s="800">
        <f>VLOOKUP(A1505,'[1]Raw data'!$B:$BA,31,FALSE)</f>
        <v>45316</v>
      </c>
      <c r="Y1505" s="710" t="str">
        <f>VLOOKUP(A1505,'[1]Raw data'!$B:$AS,39,FALSE)</f>
        <v>Yes</v>
      </c>
      <c r="Z1505" s="659"/>
      <c r="AA1505" s="660"/>
      <c r="AB1505" s="661"/>
      <c r="AC1505" s="710"/>
      <c r="AD1505" s="662">
        <v>301</v>
      </c>
      <c r="AE1505" s="662">
        <v>10</v>
      </c>
      <c r="AF1505" s="662">
        <v>302</v>
      </c>
      <c r="AG1505" s="662">
        <v>10</v>
      </c>
      <c r="AH1505" s="662"/>
      <c r="AI1505" s="663"/>
      <c r="AN1505" s="542"/>
      <c r="AO1505" s="824" t="str">
        <f t="shared" si="341"/>
        <v>Yes</v>
      </c>
      <c r="AP1505" s="259" t="str">
        <f t="shared" si="342"/>
        <v>FEB 24</v>
      </c>
      <c r="AQ1505" s="542" t="str">
        <f t="shared" si="343"/>
        <v>有定金+有預留客戶</v>
      </c>
      <c r="AR1505" s="259" t="str">
        <f t="shared" si="344"/>
        <v>Shipped_Stock</v>
      </c>
      <c r="AS1505" s="259" t="str">
        <f t="shared" si="345"/>
        <v/>
      </c>
      <c r="AT1505" s="259" t="str">
        <f t="shared" si="346"/>
        <v>斯迈</v>
      </c>
      <c r="AU1505" s="259" t="str">
        <f t="shared" si="347"/>
        <v>C49SZX20240018DZ</v>
      </c>
      <c r="AV1505" s="259" t="str">
        <f t="shared" si="348"/>
        <v>Sep-06</v>
      </c>
    </row>
    <row r="1506" spans="1:48" hidden="1">
      <c r="A1506" s="559">
        <v>2084</v>
      </c>
      <c r="B1506" s="797" t="s">
        <v>1125</v>
      </c>
      <c r="C1506" s="797" t="s">
        <v>281</v>
      </c>
      <c r="D1506" s="798">
        <v>111342</v>
      </c>
      <c r="E1506" s="799" t="s">
        <v>236</v>
      </c>
      <c r="F1506" s="710" t="s">
        <v>58</v>
      </c>
      <c r="G1506" s="710" t="s">
        <v>24</v>
      </c>
      <c r="H1506" s="710" t="s">
        <v>26</v>
      </c>
      <c r="I1506" s="662" t="s">
        <v>4098</v>
      </c>
      <c r="J1506" s="662">
        <v>1</v>
      </c>
      <c r="K1506" s="710" t="s">
        <v>1732</v>
      </c>
      <c r="L1506" s="800">
        <v>45175</v>
      </c>
      <c r="M1506" s="717">
        <v>5.0500000000000003E-2</v>
      </c>
      <c r="N1506" s="647" t="s">
        <v>4295</v>
      </c>
      <c r="O1506" s="575">
        <v>2023.8</v>
      </c>
      <c r="P1506" s="802" t="str">
        <f>VLOOKUP(A1506,'[1]Raw data'!$B:$BA,23,FALSE)</f>
        <v>JPY</v>
      </c>
      <c r="Q1506" s="803" t="str">
        <f>VLOOKUP(A1506,'[1]Raw data'!$B:$Z,2,FALSE)</f>
        <v>C49SZX20240018DZ</v>
      </c>
      <c r="R1506" s="803" t="str">
        <f>VLOOKUP(A1506,'[1]Raw data'!$B:$Z,3,FALSE)</f>
        <v>斯迈</v>
      </c>
      <c r="S1506" s="710" t="str">
        <f>VLOOKUP(A1506,'[1]Raw data'!$B:$Z,4,FALSE)</f>
        <v>YSM20R-2</v>
      </c>
      <c r="T1506" s="710" t="str">
        <f>VLOOKUP(A1506,'[1]Raw data'!$B:$Z,8,FALSE)</f>
        <v>L-&gt;R</v>
      </c>
      <c r="U1506" s="710" t="str">
        <f>VLOOKUP(A1506,'[1]Raw data'!$B:$Z,9,FALSE)</f>
        <v>No</v>
      </c>
      <c r="V1506" s="709" t="str">
        <f t="shared" si="350"/>
        <v>OK</v>
      </c>
      <c r="W1506" s="801" t="str">
        <f>VLOOKUP(A1506,'[1]Raw data'!$B:$AG,32,FALSE)</f>
        <v>DAP GZ</v>
      </c>
      <c r="X1506" s="800">
        <f>VLOOKUP(A1506,'[1]Raw data'!$B:$BA,31,FALSE)</f>
        <v>45316</v>
      </c>
      <c r="Y1506" s="710" t="str">
        <f>VLOOKUP(A1506,'[1]Raw data'!$B:$AS,39,FALSE)</f>
        <v>Yes</v>
      </c>
      <c r="Z1506" s="659"/>
      <c r="AA1506" s="660"/>
      <c r="AB1506" s="661"/>
      <c r="AC1506" s="710"/>
      <c r="AD1506" s="662">
        <v>302</v>
      </c>
      <c r="AE1506" s="662">
        <v>10</v>
      </c>
      <c r="AF1506" s="662">
        <v>302</v>
      </c>
      <c r="AG1506" s="662">
        <v>10</v>
      </c>
      <c r="AH1506" s="662"/>
      <c r="AI1506" s="663"/>
      <c r="AN1506" s="542"/>
      <c r="AO1506" s="824" t="str">
        <f t="shared" si="341"/>
        <v>Yes</v>
      </c>
      <c r="AP1506" s="259" t="str">
        <f t="shared" si="342"/>
        <v>FEB 24</v>
      </c>
      <c r="AQ1506" s="542" t="str">
        <f t="shared" si="343"/>
        <v>有定金+有預留客戶</v>
      </c>
      <c r="AR1506" s="259" t="str">
        <f t="shared" si="344"/>
        <v>Shipped_Stock</v>
      </c>
      <c r="AS1506" s="259" t="str">
        <f t="shared" si="345"/>
        <v/>
      </c>
      <c r="AT1506" s="259" t="str">
        <f t="shared" si="346"/>
        <v>斯迈</v>
      </c>
      <c r="AU1506" s="259" t="str">
        <f t="shared" si="347"/>
        <v>C49SZX20240018DZ</v>
      </c>
      <c r="AV1506" s="259" t="str">
        <f t="shared" si="348"/>
        <v>Sep-06</v>
      </c>
    </row>
    <row r="1507" spans="1:48" hidden="1">
      <c r="A1507" s="559">
        <v>2090</v>
      </c>
      <c r="B1507" s="797" t="s">
        <v>1125</v>
      </c>
      <c r="C1507" s="797" t="s">
        <v>281</v>
      </c>
      <c r="D1507" s="798">
        <v>111342</v>
      </c>
      <c r="E1507" s="799" t="s">
        <v>236</v>
      </c>
      <c r="F1507" s="710" t="s">
        <v>58</v>
      </c>
      <c r="G1507" s="710" t="s">
        <v>24</v>
      </c>
      <c r="H1507" s="710" t="s">
        <v>26</v>
      </c>
      <c r="I1507" s="840" t="s">
        <v>4417</v>
      </c>
      <c r="J1507" s="662">
        <v>1</v>
      </c>
      <c r="K1507" s="710" t="s">
        <v>1732</v>
      </c>
      <c r="L1507" s="800">
        <v>45175</v>
      </c>
      <c r="M1507" s="841">
        <v>5.0500000000000003E-2</v>
      </c>
      <c r="N1507" s="647" t="s">
        <v>4295</v>
      </c>
      <c r="O1507" s="575">
        <v>2023.8</v>
      </c>
      <c r="P1507" s="717" t="str">
        <f>VLOOKUP(A1507,'[1]Raw data'!$B:$BA,23,FALSE)</f>
        <v>JPY</v>
      </c>
      <c r="Q1507" s="710" t="str">
        <f>VLOOKUP(A1507,'[1]Raw data'!$B:$Z,2,FALSE)</f>
        <v>C49SZX20240021EC</v>
      </c>
      <c r="R1507" s="710" t="str">
        <f>VLOOKUP(A1507,'[1]Raw data'!$B:$Z,3,FALSE)</f>
        <v>格美通</v>
      </c>
      <c r="S1507" s="710" t="str">
        <f>VLOOKUP(A1507,'[1]Raw data'!$B:$Z,4,FALSE)</f>
        <v>YSM20R-2</v>
      </c>
      <c r="T1507" s="710" t="str">
        <f>VLOOKUP(A1507,'[1]Raw data'!$B:$Z,8,FALSE)</f>
        <v>L-&gt;R</v>
      </c>
      <c r="U1507" s="710" t="str">
        <f>VLOOKUP(A1507,'[1]Raw data'!$B:$Z,9,FALSE)</f>
        <v>No</v>
      </c>
      <c r="V1507" s="709" t="str">
        <f t="shared" si="350"/>
        <v>OK</v>
      </c>
      <c r="W1507" s="801" t="str">
        <f>VLOOKUP(A1507,'[1]Raw data'!$B:$AG,32,FALSE)</f>
        <v>DAP SZ</v>
      </c>
      <c r="X1507" s="800">
        <f>VLOOKUP(A1507,'[1]Raw data'!$B:$BA,31,FALSE)</f>
        <v>45320</v>
      </c>
      <c r="Y1507" s="710" t="str">
        <f>VLOOKUP(A1507,'[1]Raw data'!$B:$AS,39,FALSE)</f>
        <v>Yes</v>
      </c>
      <c r="Z1507" s="659"/>
      <c r="AA1507" s="660"/>
      <c r="AB1507" s="661"/>
      <c r="AC1507" s="710"/>
      <c r="AD1507" s="662">
        <v>302</v>
      </c>
      <c r="AE1507" s="662">
        <v>10</v>
      </c>
      <c r="AF1507" s="662">
        <v>302</v>
      </c>
      <c r="AG1507" s="662">
        <v>10</v>
      </c>
      <c r="AH1507" s="662"/>
      <c r="AI1507" s="663"/>
      <c r="AN1507" s="542"/>
      <c r="AO1507" s="824" t="str">
        <f t="shared" si="341"/>
        <v>Yes</v>
      </c>
      <c r="AP1507" s="259" t="str">
        <f t="shared" si="342"/>
        <v>FEB 24</v>
      </c>
      <c r="AQ1507" s="542" t="str">
        <f t="shared" si="343"/>
        <v>有定金+有預留客戶</v>
      </c>
      <c r="AR1507" s="259" t="str">
        <f t="shared" si="344"/>
        <v>Shipped_Stock</v>
      </c>
      <c r="AS1507" s="259" t="str">
        <f t="shared" si="345"/>
        <v/>
      </c>
      <c r="AT1507" s="259" t="str">
        <f t="shared" si="346"/>
        <v>格美通</v>
      </c>
      <c r="AU1507" s="259" t="str">
        <f t="shared" si="347"/>
        <v>C49SZX20240021EC</v>
      </c>
      <c r="AV1507" s="259" t="str">
        <f t="shared" si="348"/>
        <v>Sep-06</v>
      </c>
    </row>
    <row r="1508" spans="1:48" hidden="1">
      <c r="A1508" s="559">
        <v>2052</v>
      </c>
      <c r="B1508" s="664" t="s">
        <v>1125</v>
      </c>
      <c r="C1508" s="664" t="s">
        <v>281</v>
      </c>
      <c r="D1508" s="645">
        <v>111341</v>
      </c>
      <c r="E1508" s="744" t="s">
        <v>236</v>
      </c>
      <c r="F1508" s="647" t="s">
        <v>17</v>
      </c>
      <c r="G1508" s="647" t="s">
        <v>18</v>
      </c>
      <c r="H1508" s="647" t="s">
        <v>26</v>
      </c>
      <c r="I1508" s="575" t="s">
        <v>4350</v>
      </c>
      <c r="J1508" s="575">
        <v>1</v>
      </c>
      <c r="K1508" s="647" t="s">
        <v>1732</v>
      </c>
      <c r="L1508" s="657">
        <v>45175</v>
      </c>
      <c r="M1508" s="665">
        <v>5.0299999999999997E-2</v>
      </c>
      <c r="N1508" s="647" t="s">
        <v>4258</v>
      </c>
      <c r="O1508" s="575">
        <v>2023.7</v>
      </c>
      <c r="P1508" s="665" t="str">
        <f>VLOOKUP(A1508,'[1]Raw data'!$B:$BA,23,FALSE)</f>
        <v>JPY</v>
      </c>
      <c r="Q1508" s="647" t="str">
        <f>VLOOKUP(A1508,'[1]Raw data'!$B:$Z,2,FALSE)</f>
        <v>C49SZX20230142SS</v>
      </c>
      <c r="R1508" s="647" t="str">
        <f>VLOOKUP(A1508,'[1]Raw data'!$B:$Z,3,FALSE)</f>
        <v>盈通恒翼</v>
      </c>
      <c r="S1508" s="647" t="str">
        <f>VLOOKUP(A1508,'[1]Raw data'!$B:$Z,4,FALSE)</f>
        <v>YSM10</v>
      </c>
      <c r="T1508" s="647" t="str">
        <f>VLOOKUP(A1508,'[1]Raw data'!$B:$Z,8,FALSE)</f>
        <v>R-&gt;L</v>
      </c>
      <c r="U1508" s="647" t="str">
        <f>VLOOKUP(A1508,'[1]Raw data'!$B:$Z,9,FALSE)</f>
        <v>No</v>
      </c>
      <c r="V1508" s="567" t="str">
        <f t="shared" ref="V1508:V1512" si="351">IF(G1508&amp;H1508=T1508&amp;U1508,"OK","WRONG")</f>
        <v>OK</v>
      </c>
      <c r="W1508" s="563" t="str">
        <f>VLOOKUP(A1508,'[1]Raw data'!$B:$AG,32,FALSE)</f>
        <v>DAP SZ</v>
      </c>
      <c r="X1508" s="657">
        <f>VLOOKUP(A1508,'[1]Raw data'!$B:$BA,31,FALSE)</f>
        <v>45282</v>
      </c>
      <c r="Y1508" s="647" t="str">
        <f>VLOOKUP(A1508,'[1]Raw data'!$B:$AS,39,FALSE)</f>
        <v>Yes</v>
      </c>
      <c r="Z1508" s="659"/>
      <c r="AA1508" s="660"/>
      <c r="AB1508" s="661"/>
      <c r="AC1508" s="647" t="s">
        <v>4378</v>
      </c>
      <c r="AD1508" s="662">
        <v>301</v>
      </c>
      <c r="AE1508" s="662">
        <v>10</v>
      </c>
      <c r="AF1508" s="662"/>
      <c r="AG1508" s="662"/>
      <c r="AH1508" s="662"/>
      <c r="AI1508" s="663"/>
      <c r="AN1508" s="542"/>
      <c r="AO1508" s="824" t="str">
        <f t="shared" si="341"/>
        <v>Yes</v>
      </c>
      <c r="AP1508" s="259" t="str">
        <f t="shared" si="342"/>
        <v>JAN 24</v>
      </c>
      <c r="AQ1508" s="542" t="str">
        <f t="shared" si="343"/>
        <v>有定金+有預留客戶</v>
      </c>
      <c r="AR1508" s="259" t="str">
        <f t="shared" si="344"/>
        <v>Shipped_Stock</v>
      </c>
      <c r="AS1508" s="259" t="str">
        <f t="shared" si="345"/>
        <v/>
      </c>
      <c r="AT1508" s="259" t="str">
        <f t="shared" si="346"/>
        <v>盈通恒翼</v>
      </c>
      <c r="AU1508" s="259" t="str">
        <f t="shared" si="347"/>
        <v>C49SZX20230142SS</v>
      </c>
      <c r="AV1508" s="259" t="str">
        <f t="shared" si="348"/>
        <v>Sep-06</v>
      </c>
    </row>
    <row r="1509" spans="1:48" hidden="1">
      <c r="A1509" s="559">
        <v>2051</v>
      </c>
      <c r="B1509" s="664" t="s">
        <v>1125</v>
      </c>
      <c r="C1509" s="664" t="s">
        <v>281</v>
      </c>
      <c r="D1509" s="645">
        <v>111341</v>
      </c>
      <c r="E1509" s="744" t="s">
        <v>236</v>
      </c>
      <c r="F1509" s="647" t="s">
        <v>17</v>
      </c>
      <c r="G1509" s="647" t="s">
        <v>18</v>
      </c>
      <c r="H1509" s="647" t="s">
        <v>26</v>
      </c>
      <c r="I1509" s="575" t="s">
        <v>4091</v>
      </c>
      <c r="J1509" s="575">
        <v>1</v>
      </c>
      <c r="K1509" s="647" t="s">
        <v>1732</v>
      </c>
      <c r="L1509" s="657">
        <v>45175</v>
      </c>
      <c r="M1509" s="665">
        <v>5.0299999999999997E-2</v>
      </c>
      <c r="N1509" s="647" t="s">
        <v>4258</v>
      </c>
      <c r="O1509" s="575">
        <v>2023.7</v>
      </c>
      <c r="P1509" s="665" t="str">
        <f>VLOOKUP(A1509,'[1]Raw data'!$B:$BA,23,FALSE)</f>
        <v>JPY</v>
      </c>
      <c r="Q1509" s="647" t="str">
        <f>VLOOKUP(A1509,'[1]Raw data'!$B:$Z,2,FALSE)</f>
        <v>C49SZX20230142SS</v>
      </c>
      <c r="R1509" s="647" t="str">
        <f>VLOOKUP(A1509,'[1]Raw data'!$B:$Z,3,FALSE)</f>
        <v>盈通恒翼</v>
      </c>
      <c r="S1509" s="647" t="str">
        <f>VLOOKUP(A1509,'[1]Raw data'!$B:$Z,4,FALSE)</f>
        <v>YSM10</v>
      </c>
      <c r="T1509" s="647" t="str">
        <f>VLOOKUP(A1509,'[1]Raw data'!$B:$Z,8,FALSE)</f>
        <v>R-&gt;L</v>
      </c>
      <c r="U1509" s="647" t="str">
        <f>VLOOKUP(A1509,'[1]Raw data'!$B:$Z,9,FALSE)</f>
        <v>No</v>
      </c>
      <c r="V1509" s="567" t="str">
        <f t="shared" si="351"/>
        <v>OK</v>
      </c>
      <c r="W1509" s="563" t="str">
        <f>VLOOKUP(A1509,'[1]Raw data'!$B:$AG,32,FALSE)</f>
        <v>DAP SZ</v>
      </c>
      <c r="X1509" s="657">
        <f>VLOOKUP(A1509,'[1]Raw data'!$B:$BA,31,FALSE)</f>
        <v>45282</v>
      </c>
      <c r="Y1509" s="647" t="str">
        <f>VLOOKUP(A1509,'[1]Raw data'!$B:$AS,39,FALSE)</f>
        <v>Yes</v>
      </c>
      <c r="Z1509" s="659"/>
      <c r="AA1509" s="660"/>
      <c r="AB1509" s="661"/>
      <c r="AC1509" s="647" t="s">
        <v>4378</v>
      </c>
      <c r="AD1509" s="662">
        <v>301</v>
      </c>
      <c r="AE1509" s="662">
        <v>10</v>
      </c>
      <c r="AF1509" s="662"/>
      <c r="AG1509" s="662"/>
      <c r="AH1509" s="662"/>
      <c r="AI1509" s="663"/>
      <c r="AN1509" s="542"/>
      <c r="AO1509" s="824" t="str">
        <f t="shared" si="341"/>
        <v>Yes</v>
      </c>
      <c r="AP1509" s="259" t="str">
        <f t="shared" si="342"/>
        <v>JAN 24</v>
      </c>
      <c r="AQ1509" s="542" t="str">
        <f t="shared" si="343"/>
        <v>有定金+有預留客戶</v>
      </c>
      <c r="AR1509" s="259" t="str">
        <f t="shared" si="344"/>
        <v>Shipped_Stock</v>
      </c>
      <c r="AS1509" s="259" t="str">
        <f t="shared" si="345"/>
        <v/>
      </c>
      <c r="AT1509" s="259" t="str">
        <f t="shared" si="346"/>
        <v>盈通恒翼</v>
      </c>
      <c r="AU1509" s="259" t="str">
        <f t="shared" si="347"/>
        <v>C49SZX20230142SS</v>
      </c>
      <c r="AV1509" s="259" t="str">
        <f t="shared" si="348"/>
        <v>Sep-06</v>
      </c>
    </row>
    <row r="1510" spans="1:48" hidden="1">
      <c r="A1510" s="559">
        <v>2049</v>
      </c>
      <c r="B1510" s="664" t="s">
        <v>1125</v>
      </c>
      <c r="C1510" s="664" t="s">
        <v>281</v>
      </c>
      <c r="D1510" s="645">
        <v>111341</v>
      </c>
      <c r="E1510" s="744" t="s">
        <v>236</v>
      </c>
      <c r="F1510" s="647" t="s">
        <v>17</v>
      </c>
      <c r="G1510" s="647" t="s">
        <v>18</v>
      </c>
      <c r="H1510" s="647" t="s">
        <v>26</v>
      </c>
      <c r="I1510" s="575" t="s">
        <v>4092</v>
      </c>
      <c r="J1510" s="575">
        <v>1</v>
      </c>
      <c r="K1510" s="647" t="s">
        <v>1732</v>
      </c>
      <c r="L1510" s="657">
        <v>45175</v>
      </c>
      <c r="M1510" s="665">
        <v>5.0299999999999997E-2</v>
      </c>
      <c r="N1510" s="647" t="s">
        <v>4258</v>
      </c>
      <c r="O1510" s="575">
        <v>2023.7</v>
      </c>
      <c r="P1510" s="665" t="str">
        <f>VLOOKUP(A1510,'[1]Raw data'!$B:$BA,23,FALSE)</f>
        <v>JPY</v>
      </c>
      <c r="Q1510" s="647" t="str">
        <f>VLOOKUP(A1510,'[1]Raw data'!$B:$Z,2,FALSE)</f>
        <v>C49SZX20230142SS</v>
      </c>
      <c r="R1510" s="647" t="str">
        <f>VLOOKUP(A1510,'[1]Raw data'!$B:$Z,3,FALSE)</f>
        <v>盈通恒翼</v>
      </c>
      <c r="S1510" s="647" t="str">
        <f>VLOOKUP(A1510,'[1]Raw data'!$B:$Z,4,FALSE)</f>
        <v>YSM10</v>
      </c>
      <c r="T1510" s="647" t="str">
        <f>VLOOKUP(A1510,'[1]Raw data'!$B:$Z,8,FALSE)</f>
        <v>L-&gt;R</v>
      </c>
      <c r="U1510" s="647" t="str">
        <f>VLOOKUP(A1510,'[1]Raw data'!$B:$Z,9,FALSE)</f>
        <v>No</v>
      </c>
      <c r="V1510" s="567" t="str">
        <f t="shared" si="351"/>
        <v>WRONG</v>
      </c>
      <c r="W1510" s="563" t="str">
        <f>VLOOKUP(A1510,'[1]Raw data'!$B:$AG,32,FALSE)</f>
        <v>DAP SZ</v>
      </c>
      <c r="X1510" s="657">
        <f>VLOOKUP(A1510,'[1]Raw data'!$B:$BA,31,FALSE)</f>
        <v>45282</v>
      </c>
      <c r="Y1510" s="647" t="str">
        <f>VLOOKUP(A1510,'[1]Raw data'!$B:$AS,39,FALSE)</f>
        <v>Yes</v>
      </c>
      <c r="Z1510" s="659"/>
      <c r="AA1510" s="660"/>
      <c r="AB1510" s="661"/>
      <c r="AC1510" s="647" t="s">
        <v>4378</v>
      </c>
      <c r="AD1510" s="662">
        <v>301</v>
      </c>
      <c r="AE1510" s="662">
        <v>10</v>
      </c>
      <c r="AF1510" s="662"/>
      <c r="AG1510" s="662"/>
      <c r="AH1510" s="662"/>
      <c r="AI1510" s="663"/>
      <c r="AN1510" s="542"/>
      <c r="AO1510" s="824" t="str">
        <f t="shared" si="341"/>
        <v>Yes</v>
      </c>
      <c r="AP1510" s="259" t="str">
        <f t="shared" si="342"/>
        <v>JAN 24</v>
      </c>
      <c r="AQ1510" s="542" t="str">
        <f t="shared" si="343"/>
        <v>有定金+有預留客戶</v>
      </c>
      <c r="AR1510" s="259" t="str">
        <f t="shared" si="344"/>
        <v>Shipped_Stock</v>
      </c>
      <c r="AS1510" s="259" t="str">
        <f t="shared" si="345"/>
        <v/>
      </c>
      <c r="AT1510" s="259" t="str">
        <f t="shared" si="346"/>
        <v>盈通恒翼</v>
      </c>
      <c r="AU1510" s="259" t="str">
        <f t="shared" si="347"/>
        <v>C49SZX20230142SS</v>
      </c>
      <c r="AV1510" s="259" t="str">
        <f t="shared" si="348"/>
        <v>Sep-06</v>
      </c>
    </row>
    <row r="1511" spans="1:48" ht="33.75">
      <c r="A1511" s="559">
        <v>2089</v>
      </c>
      <c r="B1511" s="797" t="s">
        <v>75</v>
      </c>
      <c r="C1511" s="797" t="s">
        <v>281</v>
      </c>
      <c r="D1511" s="798">
        <v>111341</v>
      </c>
      <c r="E1511" s="799" t="s">
        <v>236</v>
      </c>
      <c r="F1511" s="710" t="s">
        <v>17</v>
      </c>
      <c r="G1511" s="710" t="s">
        <v>18</v>
      </c>
      <c r="H1511" s="710" t="s">
        <v>26</v>
      </c>
      <c r="I1511" s="662" t="s">
        <v>4093</v>
      </c>
      <c r="J1511" s="662">
        <v>1</v>
      </c>
      <c r="K1511" s="710" t="s">
        <v>1419</v>
      </c>
      <c r="L1511" s="800">
        <v>45175</v>
      </c>
      <c r="M1511" s="826" t="s">
        <v>4360</v>
      </c>
      <c r="N1511" s="647" t="s">
        <v>4365</v>
      </c>
      <c r="O1511" s="575">
        <v>2023.7</v>
      </c>
      <c r="P1511" s="802" t="str">
        <f>VLOOKUP(A1511,'[1]Raw data'!$B:$BA,23,FALSE)</f>
        <v>RMB</v>
      </c>
      <c r="Q1511" s="803" t="str">
        <f>VLOOKUP(A1511,'[1]Raw data'!$B:$Z,2,FALSE)</f>
        <v>C49SZX20240022SS/ZC20240119106</v>
      </c>
      <c r="R1511" s="803" t="str">
        <f>VLOOKUP(A1511,'[1]Raw data'!$B:$Z,3,FALSE)</f>
        <v>创舰</v>
      </c>
      <c r="S1511" s="710" t="str">
        <f>VLOOKUP(A1511,'[1]Raw data'!$B:$Z,4,FALSE)</f>
        <v>YSM10</v>
      </c>
      <c r="T1511" s="710" t="str">
        <f>VLOOKUP(A1511,'[1]Raw data'!$B:$Z,8,FALSE)</f>
        <v>L-&gt;R</v>
      </c>
      <c r="U1511" s="710" t="str">
        <f>VLOOKUP(A1511,'[1]Raw data'!$B:$Z,9,FALSE)</f>
        <v>MVC</v>
      </c>
      <c r="V1511" s="709" t="str">
        <f t="shared" si="351"/>
        <v>WRONG</v>
      </c>
      <c r="W1511" s="801" t="str">
        <f>VLOOKUP(A1511,'[1]Raw data'!$B:$AG,32,FALSE)</f>
        <v>DDP HZ</v>
      </c>
      <c r="X1511" s="800">
        <f>VLOOKUP(A1511,'[1]Raw data'!$B:$BA,31,FALSE)</f>
        <v>45321</v>
      </c>
      <c r="Y1511" s="710" t="str">
        <f>VLOOKUP(A1511,'[1]Raw data'!$B:$AS,39,FALSE)</f>
        <v>Yes</v>
      </c>
      <c r="Z1511" s="659"/>
      <c r="AA1511" s="660"/>
      <c r="AB1511" s="661"/>
      <c r="AC1511" s="710"/>
      <c r="AD1511" s="662">
        <v>301</v>
      </c>
      <c r="AE1511" s="662">
        <v>10</v>
      </c>
      <c r="AF1511" s="662"/>
      <c r="AG1511" s="662"/>
      <c r="AH1511" s="662"/>
      <c r="AI1511" s="663"/>
      <c r="AN1511" s="542"/>
      <c r="AO1511" s="824" t="str">
        <f t="shared" si="341"/>
        <v>Yes</v>
      </c>
      <c r="AP1511" s="259" t="str">
        <f t="shared" si="342"/>
        <v>MAR 24</v>
      </c>
      <c r="AQ1511" s="542" t="str">
        <f t="shared" si="343"/>
        <v>有定金+有預留客戶</v>
      </c>
      <c r="AR1511" s="259" t="str">
        <f t="shared" si="344"/>
        <v>Instock</v>
      </c>
      <c r="AS1511" s="259" t="str">
        <f t="shared" si="345"/>
        <v/>
      </c>
      <c r="AT1511" s="259" t="str">
        <f t="shared" si="346"/>
        <v>创舰</v>
      </c>
      <c r="AU1511" s="259" t="str">
        <f t="shared" si="347"/>
        <v>C49SZX20240022SS/ZC20240119106</v>
      </c>
      <c r="AV1511" s="259" t="str">
        <f t="shared" si="348"/>
        <v>Sep-06</v>
      </c>
    </row>
    <row r="1512" spans="1:48" hidden="1">
      <c r="A1512" s="559">
        <v>2023</v>
      </c>
      <c r="B1512" s="664" t="s">
        <v>1125</v>
      </c>
      <c r="C1512" s="664" t="s">
        <v>281</v>
      </c>
      <c r="D1512" s="645">
        <v>111341</v>
      </c>
      <c r="E1512" s="744" t="s">
        <v>236</v>
      </c>
      <c r="F1512" s="647" t="s">
        <v>17</v>
      </c>
      <c r="G1512" s="647" t="s">
        <v>18</v>
      </c>
      <c r="H1512" s="647" t="s">
        <v>19</v>
      </c>
      <c r="I1512" s="575" t="s">
        <v>4094</v>
      </c>
      <c r="J1512" s="575">
        <v>1</v>
      </c>
      <c r="K1512" s="647" t="s">
        <v>1732</v>
      </c>
      <c r="L1512" s="657">
        <v>45175</v>
      </c>
      <c r="M1512" s="665">
        <v>5.0299999999999997E-2</v>
      </c>
      <c r="N1512" s="647" t="s">
        <v>4241</v>
      </c>
      <c r="O1512" s="575">
        <v>2023.8</v>
      </c>
      <c r="P1512" s="665" t="str">
        <f>VLOOKUP(A1512,'[1]Raw data'!$B:$BA,23,FALSE)</f>
        <v>JPY</v>
      </c>
      <c r="Q1512" s="647" t="str">
        <f>VLOOKUP(A1512,'[1]Raw data'!$B:$Z,2,FALSE)</f>
        <v>C49SZX20230128SX</v>
      </c>
      <c r="R1512" s="647" t="str">
        <f>VLOOKUP(A1512,'[1]Raw data'!$B:$Z,3,FALSE)</f>
        <v>江西奕东</v>
      </c>
      <c r="S1512" s="647" t="str">
        <f>VLOOKUP(A1512,'[1]Raw data'!$B:$Z,4,FALSE)</f>
        <v>YSM10</v>
      </c>
      <c r="T1512" s="647" t="str">
        <f>VLOOKUP(A1512,'[1]Raw data'!$B:$Z,8,FALSE)</f>
        <v>L-&gt;R</v>
      </c>
      <c r="U1512" s="647" t="str">
        <f>VLOOKUP(A1512,'[1]Raw data'!$B:$Z,9,FALSE)</f>
        <v>MVC+ATS15</v>
      </c>
      <c r="V1512" s="567" t="str">
        <f t="shared" si="351"/>
        <v>WRONG</v>
      </c>
      <c r="W1512" s="563" t="str">
        <f>VLOOKUP(A1512,'[1]Raw data'!$B:$AG,32,FALSE)</f>
        <v>DAP JX</v>
      </c>
      <c r="X1512" s="657">
        <f>VLOOKUP(A1512,'[1]Raw data'!$B:$BA,31,FALSE)</f>
        <v>45250</v>
      </c>
      <c r="Y1512" s="647" t="str">
        <f>VLOOKUP(A1512,'[1]Raw data'!$B:$AS,39,FALSE)</f>
        <v>Yes</v>
      </c>
      <c r="Z1512" s="659"/>
      <c r="AA1512" s="660"/>
      <c r="AB1512" s="661"/>
      <c r="AC1512" s="647" t="s">
        <v>4289</v>
      </c>
      <c r="AD1512" s="662">
        <v>301</v>
      </c>
      <c r="AE1512" s="662">
        <v>10</v>
      </c>
      <c r="AF1512" s="662"/>
      <c r="AG1512" s="662"/>
      <c r="AH1512" s="662"/>
      <c r="AI1512" s="663"/>
      <c r="AN1512" s="542"/>
      <c r="AO1512" s="824" t="str">
        <f t="shared" si="341"/>
        <v>Yes</v>
      </c>
      <c r="AP1512" s="259" t="str">
        <f t="shared" si="342"/>
        <v>NOV 23</v>
      </c>
      <c r="AQ1512" s="542" t="str">
        <f t="shared" si="343"/>
        <v>有定金+有預留客戶</v>
      </c>
      <c r="AR1512" s="259" t="str">
        <f t="shared" si="344"/>
        <v>Shipped_Stock</v>
      </c>
      <c r="AS1512" s="259" t="str">
        <f t="shared" si="345"/>
        <v/>
      </c>
      <c r="AT1512" s="259" t="str">
        <f t="shared" si="346"/>
        <v>江西奕东</v>
      </c>
      <c r="AU1512" s="259" t="str">
        <f t="shared" si="347"/>
        <v>C49SZX20230128SX</v>
      </c>
      <c r="AV1512" s="259" t="str">
        <f t="shared" si="348"/>
        <v>Sep-06</v>
      </c>
    </row>
    <row r="1513" spans="1:48" ht="36" hidden="1">
      <c r="A1513" s="559">
        <v>1932</v>
      </c>
      <c r="B1513" s="664" t="s">
        <v>1125</v>
      </c>
      <c r="C1513" s="664" t="s">
        <v>281</v>
      </c>
      <c r="D1513" s="645" t="s">
        <v>4027</v>
      </c>
      <c r="E1513" s="744" t="s">
        <v>236</v>
      </c>
      <c r="F1513" s="647" t="s">
        <v>17</v>
      </c>
      <c r="G1513" s="647" t="s">
        <v>24</v>
      </c>
      <c r="H1513" s="647" t="s">
        <v>4022</v>
      </c>
      <c r="I1513" s="575" t="s">
        <v>4110</v>
      </c>
      <c r="J1513" s="575">
        <v>1</v>
      </c>
      <c r="K1513" s="647" t="s">
        <v>78</v>
      </c>
      <c r="L1513" s="657">
        <v>45194</v>
      </c>
      <c r="M1513" s="665" t="s">
        <v>4029</v>
      </c>
      <c r="N1513" s="647" t="s">
        <v>4105</v>
      </c>
      <c r="O1513" s="575">
        <v>2023.9</v>
      </c>
      <c r="P1513" s="665" t="str">
        <f>VLOOKUP(A1513,'[1]Raw data'!$B:$BA,23,FALSE)</f>
        <v>USD</v>
      </c>
      <c r="Q1513" s="647" t="str">
        <f>VLOOKUP(A1513,'[1]Raw data'!$B:$Z,2,FALSE)</f>
        <v>C49SZX20230076JL/4600002395</v>
      </c>
      <c r="R1513" s="647" t="str">
        <f>VLOOKUP(A1513,'[1]Raw data'!$B:$Z,3,FALSE)</f>
        <v>高伟</v>
      </c>
      <c r="S1513" s="647" t="str">
        <f>VLOOKUP(A1513,'[1]Raw data'!$B:$Z,4,FALSE)</f>
        <v>YSM10</v>
      </c>
      <c r="T1513" s="647" t="str">
        <f>VLOOKUP(A1513,'[1]Raw data'!$B:$Z,8,FALSE)</f>
        <v>L-&gt;R</v>
      </c>
      <c r="U1513" s="647" t="str">
        <f>VLOOKUP(A1513,'[1]Raw data'!$B:$Z,9,FALSE)</f>
        <v>MVC+ATS15(with 5 heads)</v>
      </c>
      <c r="V1513" s="567" t="str">
        <f t="shared" ref="V1513:V1517" si="352">IF(G1513&amp;H1513=T1513&amp;U1513,"OK","WRONG")</f>
        <v>WRONG</v>
      </c>
      <c r="W1513" s="563" t="str">
        <f>VLOOKUP(A1513,'[1]Raw data'!$B:$AG,32,FALSE)</f>
        <v>CIF HK</v>
      </c>
      <c r="X1513" s="657">
        <f>VLOOKUP(A1513,'[1]Raw data'!$B:$BA,31,FALSE)</f>
        <v>45104</v>
      </c>
      <c r="Y1513" s="647" t="str">
        <f>VLOOKUP(A1513,'[1]Raw data'!$B:$AS,39,FALSE)</f>
        <v>Yes</v>
      </c>
      <c r="Z1513" s="659"/>
      <c r="AA1513" s="660"/>
      <c r="AB1513" s="661"/>
      <c r="AC1513" s="647" t="s">
        <v>4235</v>
      </c>
      <c r="AD1513" s="662">
        <v>301</v>
      </c>
      <c r="AE1513" s="662">
        <v>5</v>
      </c>
      <c r="AF1513" s="662"/>
      <c r="AG1513" s="662"/>
      <c r="AH1513" s="662"/>
      <c r="AI1513" s="663"/>
      <c r="AN1513" s="542"/>
      <c r="AO1513" s="824" t="str">
        <f t="shared" si="341"/>
        <v>Yes</v>
      </c>
      <c r="AP1513" s="259" t="str">
        <f t="shared" si="342"/>
        <v>SEP 23</v>
      </c>
      <c r="AQ1513" s="542" t="str">
        <f t="shared" si="343"/>
        <v>有定金+有預留客戶</v>
      </c>
      <c r="AR1513" s="259" t="str">
        <f t="shared" si="344"/>
        <v>Shipped_Stock</v>
      </c>
      <c r="AS1513" s="259" t="str">
        <f t="shared" si="345"/>
        <v/>
      </c>
      <c r="AT1513" s="259" t="str">
        <f t="shared" si="346"/>
        <v>高伟</v>
      </c>
      <c r="AU1513" s="259" t="str">
        <f t="shared" si="347"/>
        <v>C49SZX20230076JL/4600002395</v>
      </c>
      <c r="AV1513" s="259" t="str">
        <f t="shared" si="348"/>
        <v>Sep-25</v>
      </c>
    </row>
    <row r="1514" spans="1:48" hidden="1">
      <c r="A1514" s="559">
        <v>2024</v>
      </c>
      <c r="B1514" s="664" t="s">
        <v>1125</v>
      </c>
      <c r="C1514" s="664" t="s">
        <v>281</v>
      </c>
      <c r="D1514" s="645">
        <v>111361</v>
      </c>
      <c r="E1514" s="744" t="s">
        <v>236</v>
      </c>
      <c r="F1514" s="647" t="s">
        <v>17</v>
      </c>
      <c r="G1514" s="647" t="s">
        <v>18</v>
      </c>
      <c r="H1514" s="647" t="s">
        <v>19</v>
      </c>
      <c r="I1514" s="575" t="s">
        <v>4111</v>
      </c>
      <c r="J1514" s="575">
        <v>1</v>
      </c>
      <c r="K1514" s="647" t="s">
        <v>1732</v>
      </c>
      <c r="L1514" s="657">
        <v>45194</v>
      </c>
      <c r="M1514" s="665">
        <v>0.05</v>
      </c>
      <c r="N1514" s="647" t="s">
        <v>4241</v>
      </c>
      <c r="O1514" s="575">
        <v>2023.9</v>
      </c>
      <c r="P1514" s="665" t="str">
        <f>VLOOKUP(A1514,'[1]Raw data'!$B:$BA,23,FALSE)</f>
        <v>JPY</v>
      </c>
      <c r="Q1514" s="647" t="str">
        <f>VLOOKUP(A1514,'[1]Raw data'!$B:$Z,2,FALSE)</f>
        <v>C49SZX20230128SX</v>
      </c>
      <c r="R1514" s="647" t="str">
        <f>VLOOKUP(A1514,'[1]Raw data'!$B:$Z,3,FALSE)</f>
        <v>江西奕东</v>
      </c>
      <c r="S1514" s="647" t="str">
        <f>VLOOKUP(A1514,'[1]Raw data'!$B:$Z,4,FALSE)</f>
        <v>YSM10</v>
      </c>
      <c r="T1514" s="647" t="str">
        <f>VLOOKUP(A1514,'[1]Raw data'!$B:$Z,8,FALSE)</f>
        <v>L-&gt;R</v>
      </c>
      <c r="U1514" s="647" t="str">
        <f>VLOOKUP(A1514,'[1]Raw data'!$B:$Z,9,FALSE)</f>
        <v>MVC+ATS15</v>
      </c>
      <c r="V1514" s="567" t="str">
        <f t="shared" si="352"/>
        <v>WRONG</v>
      </c>
      <c r="W1514" s="563" t="str">
        <f>VLOOKUP(A1514,'[1]Raw data'!$B:$AG,32,FALSE)</f>
        <v>DAP JX</v>
      </c>
      <c r="X1514" s="657">
        <f>VLOOKUP(A1514,'[1]Raw data'!$B:$BA,31,FALSE)</f>
        <v>45250</v>
      </c>
      <c r="Y1514" s="647" t="str">
        <f>VLOOKUP(A1514,'[1]Raw data'!$B:$AS,39,FALSE)</f>
        <v>Yes</v>
      </c>
      <c r="Z1514" s="659"/>
      <c r="AA1514" s="660"/>
      <c r="AB1514" s="661"/>
      <c r="AC1514" s="647" t="s">
        <v>4289</v>
      </c>
      <c r="AD1514" s="662">
        <v>301</v>
      </c>
      <c r="AE1514" s="662">
        <v>5</v>
      </c>
      <c r="AF1514" s="662">
        <v>302</v>
      </c>
      <c r="AG1514" s="662">
        <v>5</v>
      </c>
      <c r="AH1514" s="662"/>
      <c r="AI1514" s="663"/>
      <c r="AN1514" s="542"/>
      <c r="AO1514" s="824" t="str">
        <f t="shared" si="341"/>
        <v>Yes</v>
      </c>
      <c r="AP1514" s="259" t="str">
        <f t="shared" si="342"/>
        <v>NOV 23</v>
      </c>
      <c r="AQ1514" s="542" t="str">
        <f t="shared" si="343"/>
        <v>有定金+有預留客戶</v>
      </c>
      <c r="AR1514" s="259" t="str">
        <f t="shared" si="344"/>
        <v>Shipped_Stock</v>
      </c>
      <c r="AS1514" s="259" t="str">
        <f t="shared" si="345"/>
        <v/>
      </c>
      <c r="AT1514" s="259" t="str">
        <f t="shared" si="346"/>
        <v>江西奕东</v>
      </c>
      <c r="AU1514" s="259" t="str">
        <f t="shared" si="347"/>
        <v>C49SZX20230128SX</v>
      </c>
      <c r="AV1514" s="259" t="str">
        <f t="shared" si="348"/>
        <v>Sep-25</v>
      </c>
    </row>
    <row r="1515" spans="1:48" hidden="1">
      <c r="A1515" s="559">
        <v>2046</v>
      </c>
      <c r="B1515" s="664" t="s">
        <v>1125</v>
      </c>
      <c r="C1515" s="664" t="s">
        <v>281</v>
      </c>
      <c r="D1515" s="645">
        <v>111361</v>
      </c>
      <c r="E1515" s="744" t="s">
        <v>236</v>
      </c>
      <c r="F1515" s="647" t="s">
        <v>17</v>
      </c>
      <c r="G1515" s="647" t="s">
        <v>18</v>
      </c>
      <c r="H1515" s="647" t="s">
        <v>26</v>
      </c>
      <c r="I1515" s="575" t="s">
        <v>4112</v>
      </c>
      <c r="J1515" s="575">
        <v>1</v>
      </c>
      <c r="K1515" s="647" t="s">
        <v>1732</v>
      </c>
      <c r="L1515" s="657">
        <v>45194</v>
      </c>
      <c r="M1515" s="665">
        <v>0.05</v>
      </c>
      <c r="N1515" s="647" t="s">
        <v>4258</v>
      </c>
      <c r="O1515" s="575">
        <v>2023.8</v>
      </c>
      <c r="P1515" s="665" t="str">
        <f>VLOOKUP(A1515,'[1]Raw data'!$B:$BA,23,FALSE)</f>
        <v>JPY</v>
      </c>
      <c r="Q1515" s="647" t="str">
        <f>VLOOKUP(A1515,'[1]Raw data'!$B:$Z,2,FALSE)</f>
        <v>C49SZX20230142MZ</v>
      </c>
      <c r="R1515" s="647" t="str">
        <f>VLOOKUP(A1515,'[1]Raw data'!$B:$Z,3,FALSE)</f>
        <v>朗格邦定</v>
      </c>
      <c r="S1515" s="647" t="str">
        <f>VLOOKUP(A1515,'[1]Raw data'!$B:$Z,4,FALSE)</f>
        <v>YSM10</v>
      </c>
      <c r="T1515" s="647" t="str">
        <f>VLOOKUP(A1515,'[1]Raw data'!$B:$Z,8,FALSE)</f>
        <v>R-&gt;L</v>
      </c>
      <c r="U1515" s="647" t="str">
        <f>VLOOKUP(A1515,'[1]Raw data'!$B:$Z,9,FALSE)</f>
        <v>MVC</v>
      </c>
      <c r="V1515" s="567" t="str">
        <f t="shared" si="352"/>
        <v>WRONG</v>
      </c>
      <c r="W1515" s="563" t="str">
        <f>VLOOKUP(A1515,'[1]Raw data'!$B:$AG,32,FALSE)</f>
        <v>DAP SZ</v>
      </c>
      <c r="X1515" s="657">
        <f>VLOOKUP(A1515,'[1]Raw data'!$B:$BA,31,FALSE)</f>
        <v>45271</v>
      </c>
      <c r="Y1515" s="647" t="str">
        <f>VLOOKUP(A1515,'[1]Raw data'!$B:$AS,39,FALSE)</f>
        <v>Yes</v>
      </c>
      <c r="Z1515" s="659"/>
      <c r="AA1515" s="660"/>
      <c r="AB1515" s="661"/>
      <c r="AC1515" s="647" t="s">
        <v>4379</v>
      </c>
      <c r="AD1515" s="662">
        <v>301</v>
      </c>
      <c r="AE1515" s="662">
        <v>5</v>
      </c>
      <c r="AF1515" s="662">
        <v>302</v>
      </c>
      <c r="AG1515" s="662">
        <v>5</v>
      </c>
      <c r="AH1515" s="662"/>
      <c r="AI1515" s="663"/>
      <c r="AN1515" s="542"/>
      <c r="AO1515" s="824" t="str">
        <f t="shared" si="341"/>
        <v>Yes</v>
      </c>
      <c r="AP1515" s="259" t="str">
        <f t="shared" si="342"/>
        <v>JAN 24</v>
      </c>
      <c r="AQ1515" s="542" t="str">
        <f t="shared" si="343"/>
        <v>有定金+有預留客戶</v>
      </c>
      <c r="AR1515" s="259" t="str">
        <f t="shared" si="344"/>
        <v>Shipped_Stock</v>
      </c>
      <c r="AS1515" s="259" t="str">
        <f t="shared" si="345"/>
        <v/>
      </c>
      <c r="AT1515" s="259" t="str">
        <f t="shared" si="346"/>
        <v>朗格邦定</v>
      </c>
      <c r="AU1515" s="259" t="str">
        <f t="shared" si="347"/>
        <v>C49SZX20230142MZ</v>
      </c>
      <c r="AV1515" s="259" t="str">
        <f t="shared" si="348"/>
        <v>Sep-25</v>
      </c>
    </row>
    <row r="1516" spans="1:48" ht="33.75">
      <c r="A1516" s="559">
        <v>2070</v>
      </c>
      <c r="B1516" s="797" t="s">
        <v>75</v>
      </c>
      <c r="C1516" s="797" t="s">
        <v>281</v>
      </c>
      <c r="D1516" s="798">
        <v>111361</v>
      </c>
      <c r="E1516" s="799" t="s">
        <v>236</v>
      </c>
      <c r="F1516" s="710" t="s">
        <v>17</v>
      </c>
      <c r="G1516" s="710" t="s">
        <v>18</v>
      </c>
      <c r="H1516" s="710" t="s">
        <v>26</v>
      </c>
      <c r="I1516" s="662" t="s">
        <v>4113</v>
      </c>
      <c r="J1516" s="662">
        <v>1</v>
      </c>
      <c r="K1516" s="710" t="s">
        <v>1419</v>
      </c>
      <c r="L1516" s="800">
        <v>45194</v>
      </c>
      <c r="M1516" s="826" t="s">
        <v>4368</v>
      </c>
      <c r="N1516" s="647" t="s">
        <v>4365</v>
      </c>
      <c r="O1516" s="575">
        <v>2023.8</v>
      </c>
      <c r="P1516" s="717" t="str">
        <f>VLOOKUP(A1516,'[1]Raw data'!$B:$BA,23,FALSE)</f>
        <v>JPY</v>
      </c>
      <c r="Q1516" s="710" t="str">
        <f>VLOOKUP(A1516,'[1]Raw data'!$B:$Z,2,FALSE)</f>
        <v>C49SZX20240009MZ</v>
      </c>
      <c r="R1516" s="710" t="str">
        <f>VLOOKUP(A1516,'[1]Raw data'!$B:$Z,3,FALSE)</f>
        <v>鸿楠</v>
      </c>
      <c r="S1516" s="710" t="str">
        <f>VLOOKUP(A1516,'[1]Raw data'!$B:$Z,4,FALSE)</f>
        <v>YSM10</v>
      </c>
      <c r="T1516" s="710" t="str">
        <f>VLOOKUP(A1516,'[1]Raw data'!$B:$Z,8,FALSE)</f>
        <v>R-&gt;L</v>
      </c>
      <c r="U1516" s="710" t="str">
        <f>VLOOKUP(A1516,'[1]Raw data'!$B:$Z,9,FALSE)</f>
        <v>MVC</v>
      </c>
      <c r="V1516" s="709" t="str">
        <f t="shared" si="352"/>
        <v>WRONG</v>
      </c>
      <c r="W1516" s="801" t="str">
        <f>VLOOKUP(A1516,'[1]Raw data'!$B:$AG,32,FALSE)</f>
        <v>CIF HK</v>
      </c>
      <c r="X1516" s="800">
        <f>VLOOKUP(A1516,'[1]Raw data'!$B:$BA,31,FALSE)</f>
        <v>45313</v>
      </c>
      <c r="Y1516" s="710" t="str">
        <f>VLOOKUP(A1516,'[1]Raw data'!$B:$AS,39,FALSE)</f>
        <v>Yes</v>
      </c>
      <c r="Z1516" s="659"/>
      <c r="AA1516" s="660"/>
      <c r="AB1516" s="661"/>
      <c r="AC1516" s="710"/>
      <c r="AD1516" s="662">
        <v>301</v>
      </c>
      <c r="AE1516" s="662">
        <v>5</v>
      </c>
      <c r="AF1516" s="662">
        <v>302</v>
      </c>
      <c r="AG1516" s="662">
        <v>5</v>
      </c>
      <c r="AH1516" s="662"/>
      <c r="AI1516" s="663"/>
      <c r="AN1516" s="542"/>
      <c r="AO1516" s="824" t="str">
        <f t="shared" si="341"/>
        <v>Yes</v>
      </c>
      <c r="AP1516" s="259" t="str">
        <f t="shared" si="342"/>
        <v>MAR 24</v>
      </c>
      <c r="AQ1516" s="542" t="str">
        <f t="shared" si="343"/>
        <v>有定金+有預留客戶</v>
      </c>
      <c r="AR1516" s="259" t="str">
        <f t="shared" si="344"/>
        <v>Instock</v>
      </c>
      <c r="AS1516" s="259" t="str">
        <f t="shared" si="345"/>
        <v/>
      </c>
      <c r="AT1516" s="259" t="str">
        <f t="shared" si="346"/>
        <v>鸿楠</v>
      </c>
      <c r="AU1516" s="259" t="str">
        <f t="shared" si="347"/>
        <v>C49SZX20240009MZ</v>
      </c>
      <c r="AV1516" s="259" t="str">
        <f t="shared" si="348"/>
        <v>Sep-25</v>
      </c>
    </row>
    <row r="1517" spans="1:48" hidden="1">
      <c r="A1517" s="559">
        <v>2086</v>
      </c>
      <c r="B1517" s="797" t="s">
        <v>1125</v>
      </c>
      <c r="C1517" s="797" t="s">
        <v>281</v>
      </c>
      <c r="D1517" s="798">
        <v>111361</v>
      </c>
      <c r="E1517" s="799" t="s">
        <v>236</v>
      </c>
      <c r="F1517" s="710" t="s">
        <v>17</v>
      </c>
      <c r="G1517" s="710" t="s">
        <v>18</v>
      </c>
      <c r="H1517" s="710" t="s">
        <v>26</v>
      </c>
      <c r="I1517" s="662" t="s">
        <v>4114</v>
      </c>
      <c r="J1517" s="662">
        <v>1</v>
      </c>
      <c r="K1517" s="710" t="s">
        <v>1732</v>
      </c>
      <c r="L1517" s="800">
        <v>45194</v>
      </c>
      <c r="M1517" s="717">
        <v>0.05</v>
      </c>
      <c r="N1517" s="647" t="s">
        <v>4295</v>
      </c>
      <c r="O1517" s="575">
        <v>2023.8</v>
      </c>
      <c r="P1517" s="802" t="str">
        <f>VLOOKUP(A1517,'[1]Raw data'!$B:$BA,23,FALSE)</f>
        <v>JPY</v>
      </c>
      <c r="Q1517" s="803" t="str">
        <f>VLOOKUP(A1517,'[1]Raw data'!$B:$Z,2,FALSE)</f>
        <v>C49SZX20240013SX</v>
      </c>
      <c r="R1517" s="803" t="str">
        <f>VLOOKUP(A1517,'[1]Raw data'!$B:$Z,3,FALSE)</f>
        <v>江西优控</v>
      </c>
      <c r="S1517" s="710" t="str">
        <f>VLOOKUP(A1517,'[1]Raw data'!$B:$Z,4,FALSE)</f>
        <v>YSM10</v>
      </c>
      <c r="T1517" s="710" t="str">
        <f>VLOOKUP(A1517,'[1]Raw data'!$B:$Z,8,FALSE)</f>
        <v>L-&gt;R</v>
      </c>
      <c r="U1517" s="710" t="str">
        <f>VLOOKUP(A1517,'[1]Raw data'!$B:$Z,9,FALSE)</f>
        <v>MVC</v>
      </c>
      <c r="V1517" s="709" t="str">
        <f t="shared" si="352"/>
        <v>WRONG</v>
      </c>
      <c r="W1517" s="801" t="str">
        <f>VLOOKUP(A1517,'[1]Raw data'!$B:$AG,32,FALSE)</f>
        <v>DAP JX</v>
      </c>
      <c r="X1517" s="800">
        <f>VLOOKUP(A1517,'[1]Raw data'!$B:$BA,31,FALSE)</f>
        <v>45314</v>
      </c>
      <c r="Y1517" s="710" t="str">
        <f>VLOOKUP(A1517,'[1]Raw data'!$B:$AS,39,FALSE)</f>
        <v>Yes</v>
      </c>
      <c r="Z1517" s="659"/>
      <c r="AA1517" s="660"/>
      <c r="AB1517" s="661"/>
      <c r="AC1517" s="710"/>
      <c r="AD1517" s="662">
        <v>301</v>
      </c>
      <c r="AE1517" s="662">
        <v>5</v>
      </c>
      <c r="AF1517" s="662">
        <v>302</v>
      </c>
      <c r="AG1517" s="662">
        <v>5</v>
      </c>
      <c r="AH1517" s="662"/>
      <c r="AI1517" s="663"/>
      <c r="AN1517" s="542"/>
      <c r="AO1517" s="824" t="str">
        <f t="shared" si="341"/>
        <v>Yes</v>
      </c>
      <c r="AP1517" s="259" t="str">
        <f t="shared" si="342"/>
        <v>FEB 24</v>
      </c>
      <c r="AQ1517" s="542" t="str">
        <f t="shared" si="343"/>
        <v>有定金+有預留客戶</v>
      </c>
      <c r="AR1517" s="259" t="str">
        <f t="shared" si="344"/>
        <v>Shipped_Stock</v>
      </c>
      <c r="AS1517" s="259" t="str">
        <f t="shared" si="345"/>
        <v/>
      </c>
      <c r="AT1517" s="259" t="str">
        <f t="shared" si="346"/>
        <v>江西优控</v>
      </c>
      <c r="AU1517" s="259" t="str">
        <f t="shared" si="347"/>
        <v>C49SZX20240013SX</v>
      </c>
      <c r="AV1517" s="259" t="str">
        <f t="shared" si="348"/>
        <v>Sep-25</v>
      </c>
    </row>
    <row r="1518" spans="1:48" ht="22.5" hidden="1">
      <c r="A1518" s="559">
        <v>2085</v>
      </c>
      <c r="B1518" s="797" t="s">
        <v>1125</v>
      </c>
      <c r="C1518" s="797" t="s">
        <v>281</v>
      </c>
      <c r="D1518" s="798">
        <v>111362</v>
      </c>
      <c r="E1518" s="799" t="s">
        <v>236</v>
      </c>
      <c r="F1518" s="710" t="s">
        <v>58</v>
      </c>
      <c r="G1518" s="710" t="s">
        <v>24</v>
      </c>
      <c r="H1518" s="710" t="s">
        <v>26</v>
      </c>
      <c r="I1518" s="662" t="s">
        <v>4197</v>
      </c>
      <c r="J1518" s="662">
        <v>1</v>
      </c>
      <c r="K1518" s="710" t="s">
        <v>1732</v>
      </c>
      <c r="L1518" s="800">
        <v>45205</v>
      </c>
      <c r="M1518" s="826" t="s">
        <v>4397</v>
      </c>
      <c r="N1518" s="647" t="s">
        <v>4295</v>
      </c>
      <c r="O1518" s="575">
        <v>2023.9</v>
      </c>
      <c r="P1518" s="802" t="str">
        <f>VLOOKUP(A1518,'[1]Raw data'!$B:$BA,23,FALSE)</f>
        <v>JPY</v>
      </c>
      <c r="Q1518" s="803" t="str">
        <f>VLOOKUP(A1518,'[1]Raw data'!$B:$Z,2,FALSE)</f>
        <v>C49SZX20240013SX</v>
      </c>
      <c r="R1518" s="803" t="str">
        <f>VLOOKUP(A1518,'[1]Raw data'!$B:$Z,3,FALSE)</f>
        <v>江西优控</v>
      </c>
      <c r="S1518" s="710" t="str">
        <f>VLOOKUP(A1518,'[1]Raw data'!$B:$Z,4,FALSE)</f>
        <v>YSM20R-2</v>
      </c>
      <c r="T1518" s="710" t="str">
        <f>VLOOKUP(A1518,'[1]Raw data'!$B:$Z,8,FALSE)</f>
        <v>L-&gt;R</v>
      </c>
      <c r="U1518" s="710" t="str">
        <f>VLOOKUP(A1518,'[1]Raw data'!$B:$Z,9,FALSE)</f>
        <v>No</v>
      </c>
      <c r="V1518" s="709" t="str">
        <f t="shared" ref="V1518:V1522" si="353">IF(G1518&amp;H1518=T1518&amp;U1518,"OK","WRONG")</f>
        <v>OK</v>
      </c>
      <c r="W1518" s="801" t="str">
        <f>VLOOKUP(A1518,'[1]Raw data'!$B:$AG,32,FALSE)</f>
        <v>DAP JX</v>
      </c>
      <c r="X1518" s="800">
        <f>VLOOKUP(A1518,'[1]Raw data'!$B:$BA,31,FALSE)</f>
        <v>45314</v>
      </c>
      <c r="Y1518" s="710" t="str">
        <f>VLOOKUP(A1518,'[1]Raw data'!$B:$AS,39,FALSE)</f>
        <v>Yes</v>
      </c>
      <c r="Z1518" s="659"/>
      <c r="AA1518" s="660"/>
      <c r="AB1518" s="661"/>
      <c r="AC1518" s="710"/>
      <c r="AD1518" s="662">
        <v>303</v>
      </c>
      <c r="AE1518" s="662">
        <v>10</v>
      </c>
      <c r="AF1518" s="662">
        <v>302</v>
      </c>
      <c r="AG1518" s="662">
        <v>5</v>
      </c>
      <c r="AH1518" s="662">
        <v>313</v>
      </c>
      <c r="AI1518" s="663">
        <v>5</v>
      </c>
      <c r="AN1518" s="542"/>
      <c r="AO1518" s="824" t="str">
        <f t="shared" si="341"/>
        <v>Yes</v>
      </c>
      <c r="AP1518" s="259" t="str">
        <f t="shared" si="342"/>
        <v>FEB 24</v>
      </c>
      <c r="AQ1518" s="542" t="str">
        <f t="shared" si="343"/>
        <v>有定金+有預留客戶</v>
      </c>
      <c r="AR1518" s="259" t="str">
        <f t="shared" si="344"/>
        <v>Shipped_Stock</v>
      </c>
      <c r="AS1518" s="259" t="str">
        <f t="shared" si="345"/>
        <v/>
      </c>
      <c r="AT1518" s="259" t="str">
        <f t="shared" si="346"/>
        <v>江西优控</v>
      </c>
      <c r="AU1518" s="259" t="str">
        <f t="shared" si="347"/>
        <v>C49SZX20240013SX</v>
      </c>
      <c r="AV1518" s="259" t="str">
        <f t="shared" si="348"/>
        <v>Oct-06</v>
      </c>
    </row>
    <row r="1519" spans="1:48">
      <c r="A1519" s="559">
        <v>2099</v>
      </c>
      <c r="B1519" s="797" t="s">
        <v>75</v>
      </c>
      <c r="C1519" s="797" t="s">
        <v>281</v>
      </c>
      <c r="D1519" s="798">
        <v>111362</v>
      </c>
      <c r="E1519" s="799" t="s">
        <v>236</v>
      </c>
      <c r="F1519" s="710" t="s">
        <v>58</v>
      </c>
      <c r="G1519" s="710" t="s">
        <v>24</v>
      </c>
      <c r="H1519" s="710" t="s">
        <v>26</v>
      </c>
      <c r="I1519" s="840" t="s">
        <v>4418</v>
      </c>
      <c r="J1519" s="662">
        <v>1</v>
      </c>
      <c r="K1519" s="710" t="s">
        <v>1732</v>
      </c>
      <c r="L1519" s="800">
        <v>45205</v>
      </c>
      <c r="M1519" s="841">
        <v>0.05</v>
      </c>
      <c r="N1519" s="647" t="s">
        <v>4365</v>
      </c>
      <c r="O1519" s="575">
        <v>2023.9</v>
      </c>
      <c r="P1519" s="717" t="str">
        <f>VLOOKUP(A1519,'[1]Raw data'!$B:$BA,23,FALSE)</f>
        <v>USD</v>
      </c>
      <c r="Q1519" s="710" t="str">
        <f>VLOOKUP(A1519,'[1]Raw data'!$B:$Z,2,FALSE)</f>
        <v>VNHJD20230226</v>
      </c>
      <c r="R1519" s="710" t="str">
        <f>VLOOKUP(A1519,'[1]Raw data'!$B:$Z,3,FALSE)</f>
        <v>越南皓吉达</v>
      </c>
      <c r="S1519" s="710" t="str">
        <f>VLOOKUP(A1519,'[1]Raw data'!$B:$Z,4,FALSE)</f>
        <v>YSM20R-2</v>
      </c>
      <c r="T1519" s="710" t="str">
        <f>VLOOKUP(A1519,'[1]Raw data'!$B:$Z,8,FALSE)</f>
        <v>L-&gt;R</v>
      </c>
      <c r="U1519" s="710" t="str">
        <f>VLOOKUP(A1519,'[1]Raw data'!$B:$Z,9,FALSE)</f>
        <v>No</v>
      </c>
      <c r="V1519" s="709" t="str">
        <f t="shared" si="353"/>
        <v>OK</v>
      </c>
      <c r="W1519" s="801" t="str">
        <f>VLOOKUP(A1519,'[1]Raw data'!$B:$AG,32,FALSE)</f>
        <v>CIF Vietnam</v>
      </c>
      <c r="X1519" s="800">
        <f>VLOOKUP(A1519,'[1]Raw data'!$B:$BA,31,FALSE)</f>
        <v>45348</v>
      </c>
      <c r="Y1519" s="710" t="str">
        <f>VLOOKUP(A1519,'[1]Raw data'!$B:$AS,39,FALSE)</f>
        <v>Yes</v>
      </c>
      <c r="Z1519" s="659"/>
      <c r="AA1519" s="660"/>
      <c r="AB1519" s="661"/>
      <c r="AC1519" s="710"/>
      <c r="AD1519" s="662">
        <v>303</v>
      </c>
      <c r="AE1519" s="662">
        <v>10</v>
      </c>
      <c r="AF1519" s="662">
        <v>313</v>
      </c>
      <c r="AG1519" s="662">
        <v>10</v>
      </c>
      <c r="AH1519" s="662"/>
      <c r="AI1519" s="663"/>
      <c r="AN1519" s="542"/>
      <c r="AO1519" s="824" t="str">
        <f t="shared" si="341"/>
        <v>Yes</v>
      </c>
      <c r="AP1519" s="259" t="str">
        <f t="shared" si="342"/>
        <v>MAR 24</v>
      </c>
      <c r="AQ1519" s="542" t="str">
        <f t="shared" si="343"/>
        <v>有定金+有預留客戶</v>
      </c>
      <c r="AR1519" s="259" t="str">
        <f t="shared" si="344"/>
        <v>Instock</v>
      </c>
      <c r="AS1519" s="259" t="str">
        <f t="shared" si="345"/>
        <v/>
      </c>
      <c r="AT1519" s="259" t="str">
        <f t="shared" si="346"/>
        <v>越南皓吉达</v>
      </c>
      <c r="AU1519" s="259" t="str">
        <f t="shared" si="347"/>
        <v>VNHJD20230226</v>
      </c>
      <c r="AV1519" s="259" t="str">
        <f t="shared" si="348"/>
        <v>Oct-06</v>
      </c>
    </row>
    <row r="1520" spans="1:48" ht="22.5">
      <c r="A1520" s="559">
        <v>2087</v>
      </c>
      <c r="B1520" s="797" t="s">
        <v>75</v>
      </c>
      <c r="C1520" s="797" t="s">
        <v>281</v>
      </c>
      <c r="D1520" s="798">
        <v>111362</v>
      </c>
      <c r="E1520" s="799" t="s">
        <v>236</v>
      </c>
      <c r="F1520" s="710" t="s">
        <v>58</v>
      </c>
      <c r="G1520" s="710" t="s">
        <v>24</v>
      </c>
      <c r="H1520" s="710" t="s">
        <v>26</v>
      </c>
      <c r="I1520" s="662" t="s">
        <v>4198</v>
      </c>
      <c r="J1520" s="662">
        <v>1</v>
      </c>
      <c r="K1520" s="710" t="s">
        <v>1732</v>
      </c>
      <c r="L1520" s="800">
        <v>45205</v>
      </c>
      <c r="M1520" s="826" t="s">
        <v>4397</v>
      </c>
      <c r="N1520" s="647" t="s">
        <v>4365</v>
      </c>
      <c r="O1520" s="575">
        <v>2023.9</v>
      </c>
      <c r="P1520" s="802" t="str">
        <f>VLOOKUP(A1520,'[1]Raw data'!$B:$BA,23,FALSE)</f>
        <v>USD</v>
      </c>
      <c r="Q1520" s="803" t="str">
        <f>VLOOKUP(A1520,'[1]Raw data'!$B:$Z,2,FALSE)</f>
        <v>C49SZX20240030SX</v>
      </c>
      <c r="R1520" s="803" t="str">
        <f>VLOOKUP(A1520,'[1]Raw data'!$B:$Z,3,FALSE)</f>
        <v>广基达</v>
      </c>
      <c r="S1520" s="710" t="str">
        <f>VLOOKUP(A1520,'[1]Raw data'!$B:$Z,4,FALSE)</f>
        <v>YSM20R-2</v>
      </c>
      <c r="T1520" s="710" t="str">
        <f>VLOOKUP(A1520,'[1]Raw data'!$B:$Z,8,FALSE)</f>
        <v>L-&gt;R</v>
      </c>
      <c r="U1520" s="710" t="str">
        <f>VLOOKUP(A1520,'[1]Raw data'!$B:$Z,9,FALSE)</f>
        <v>No</v>
      </c>
      <c r="V1520" s="709" t="str">
        <f t="shared" si="353"/>
        <v>OK</v>
      </c>
      <c r="W1520" s="801" t="str">
        <f>VLOOKUP(A1520,'[1]Raw data'!$B:$AG,32,FALSE)</f>
        <v>CIF Vietnam</v>
      </c>
      <c r="X1520" s="800">
        <f>VLOOKUP(A1520,'[1]Raw data'!$B:$BA,31,FALSE)</f>
        <v>45317</v>
      </c>
      <c r="Y1520" s="710" t="str">
        <f>VLOOKUP(A1520,'[1]Raw data'!$B:$AS,39,FALSE)</f>
        <v>Yes</v>
      </c>
      <c r="Z1520" s="659"/>
      <c r="AA1520" s="660"/>
      <c r="AB1520" s="661"/>
      <c r="AC1520" s="710"/>
      <c r="AD1520" s="662">
        <v>303</v>
      </c>
      <c r="AE1520" s="662">
        <v>10</v>
      </c>
      <c r="AF1520" s="662">
        <v>302</v>
      </c>
      <c r="AG1520" s="662">
        <v>5</v>
      </c>
      <c r="AH1520" s="662">
        <v>313</v>
      </c>
      <c r="AI1520" s="663">
        <v>5</v>
      </c>
      <c r="AN1520" s="542"/>
      <c r="AO1520" s="824" t="str">
        <f t="shared" si="341"/>
        <v>Yes</v>
      </c>
      <c r="AP1520" s="259" t="str">
        <f t="shared" si="342"/>
        <v>MAR 24</v>
      </c>
      <c r="AQ1520" s="542" t="str">
        <f t="shared" si="343"/>
        <v>有定金+有預留客戶</v>
      </c>
      <c r="AR1520" s="259" t="str">
        <f t="shared" si="344"/>
        <v>Instock</v>
      </c>
      <c r="AS1520" s="259" t="str">
        <f t="shared" si="345"/>
        <v/>
      </c>
      <c r="AT1520" s="259" t="str">
        <f t="shared" si="346"/>
        <v>广基达</v>
      </c>
      <c r="AU1520" s="259" t="str">
        <f t="shared" si="347"/>
        <v>C49SZX20240030SX</v>
      </c>
      <c r="AV1520" s="259" t="str">
        <f t="shared" si="348"/>
        <v>Oct-06</v>
      </c>
    </row>
    <row r="1521" spans="1:48">
      <c r="A1521" s="559">
        <v>2093</v>
      </c>
      <c r="B1521" s="797" t="s">
        <v>75</v>
      </c>
      <c r="C1521" s="797" t="s">
        <v>281</v>
      </c>
      <c r="D1521" s="798">
        <v>111362</v>
      </c>
      <c r="E1521" s="799" t="s">
        <v>236</v>
      </c>
      <c r="F1521" s="710" t="s">
        <v>58</v>
      </c>
      <c r="G1521" s="710" t="s">
        <v>24</v>
      </c>
      <c r="H1521" s="710" t="s">
        <v>26</v>
      </c>
      <c r="I1521" s="662" t="s">
        <v>4199</v>
      </c>
      <c r="J1521" s="662">
        <v>1</v>
      </c>
      <c r="K1521" s="710" t="s">
        <v>1732</v>
      </c>
      <c r="L1521" s="800">
        <v>45205</v>
      </c>
      <c r="M1521" s="717">
        <v>0.05</v>
      </c>
      <c r="N1521" s="647"/>
      <c r="O1521" s="575">
        <v>2023.9</v>
      </c>
      <c r="P1521" s="717" t="str">
        <f>VLOOKUP(A1521,'[1]Raw data'!$B:$BA,23,FALSE)</f>
        <v>RMB</v>
      </c>
      <c r="Q1521" s="710" t="str">
        <f>VLOOKUP(A1521,'[1]Raw data'!$B:$Z,2,FALSE)</f>
        <v>C49SZX20240025JL</v>
      </c>
      <c r="R1521" s="710" t="str">
        <f>VLOOKUP(A1521,'[1]Raw data'!$B:$Z,3,FALSE)</f>
        <v>博新</v>
      </c>
      <c r="S1521" s="710" t="str">
        <f>VLOOKUP(A1521,'[1]Raw data'!$B:$Z,4,FALSE)</f>
        <v>YSM20R-2</v>
      </c>
      <c r="T1521" s="710" t="str">
        <f>VLOOKUP(A1521,'[1]Raw data'!$B:$Z,8,FALSE)</f>
        <v>L-&gt;R</v>
      </c>
      <c r="U1521" s="710" t="str">
        <f>VLOOKUP(A1521,'[1]Raw data'!$B:$Z,9,FALSE)</f>
        <v>No</v>
      </c>
      <c r="V1521" s="709" t="str">
        <f t="shared" si="353"/>
        <v>OK</v>
      </c>
      <c r="W1521" s="801" t="str">
        <f>VLOOKUP(A1521,'[1]Raw data'!$B:$AG,32,FALSE)</f>
        <v>DDP SZ</v>
      </c>
      <c r="X1521" s="800">
        <f>VLOOKUP(A1521,'[1]Raw data'!$B:$BA,31,FALSE)</f>
        <v>45322</v>
      </c>
      <c r="Y1521" s="710" t="str">
        <f>VLOOKUP(A1521,'[1]Raw data'!$B:$AS,39,FALSE)</f>
        <v>Yes</v>
      </c>
      <c r="Z1521" s="659"/>
      <c r="AA1521" s="660"/>
      <c r="AB1521" s="661"/>
      <c r="AC1521" s="710"/>
      <c r="AD1521" s="662">
        <v>303</v>
      </c>
      <c r="AE1521" s="662">
        <v>10</v>
      </c>
      <c r="AF1521" s="662">
        <v>302</v>
      </c>
      <c r="AG1521" s="662">
        <v>5</v>
      </c>
      <c r="AH1521" s="662">
        <v>313</v>
      </c>
      <c r="AI1521" s="663">
        <v>5</v>
      </c>
      <c r="AN1521" s="542"/>
      <c r="AO1521" s="824" t="str">
        <f t="shared" si="341"/>
        <v>Yes</v>
      </c>
      <c r="AP1521" s="259" t="str">
        <f t="shared" si="342"/>
        <v>blank</v>
      </c>
      <c r="AQ1521" s="542" t="str">
        <f t="shared" si="343"/>
        <v>有定金+无客戶送貨期</v>
      </c>
      <c r="AR1521" s="259" t="str">
        <f t="shared" si="344"/>
        <v>Instock</v>
      </c>
      <c r="AS1521" s="259" t="str">
        <f t="shared" si="345"/>
        <v/>
      </c>
      <c r="AT1521" s="259" t="str">
        <f t="shared" si="346"/>
        <v>博新</v>
      </c>
      <c r="AU1521" s="259" t="str">
        <f t="shared" si="347"/>
        <v>C49SZX20240025JL</v>
      </c>
      <c r="AV1521" s="259" t="str">
        <f t="shared" si="348"/>
        <v>Oct-06</v>
      </c>
    </row>
    <row r="1522" spans="1:48" hidden="1">
      <c r="A1522" s="559">
        <v>2061</v>
      </c>
      <c r="B1522" s="797" t="s">
        <v>1125</v>
      </c>
      <c r="C1522" s="797" t="s">
        <v>281</v>
      </c>
      <c r="D1522" s="798">
        <v>111362</v>
      </c>
      <c r="E1522" s="799" t="s">
        <v>236</v>
      </c>
      <c r="F1522" s="710" t="s">
        <v>58</v>
      </c>
      <c r="G1522" s="710" t="s">
        <v>24</v>
      </c>
      <c r="H1522" s="710" t="s">
        <v>26</v>
      </c>
      <c r="I1522" s="662" t="s">
        <v>4200</v>
      </c>
      <c r="J1522" s="662">
        <v>1</v>
      </c>
      <c r="K1522" s="710" t="s">
        <v>1732</v>
      </c>
      <c r="L1522" s="800">
        <v>45205</v>
      </c>
      <c r="M1522" s="717">
        <v>0.05</v>
      </c>
      <c r="N1522" s="647" t="s">
        <v>4295</v>
      </c>
      <c r="O1522" s="575">
        <v>2023.9</v>
      </c>
      <c r="P1522" s="802" t="str">
        <f>VLOOKUP(A1522,'[1]Raw data'!$B:$BA,23,FALSE)</f>
        <v>JPY</v>
      </c>
      <c r="Q1522" s="803" t="str">
        <f>VLOOKUP(A1522,'[1]Raw data'!$B:$Z,2,FALSE)</f>
        <v>C49SZX20240001JY</v>
      </c>
      <c r="R1522" s="803" t="str">
        <f>VLOOKUP(A1522,'[1]Raw data'!$B:$Z,3,FALSE)</f>
        <v>豫龙辉</v>
      </c>
      <c r="S1522" s="710" t="str">
        <f>VLOOKUP(A1522,'[1]Raw data'!$B:$Z,4,FALSE)</f>
        <v>YSM20R-2</v>
      </c>
      <c r="T1522" s="710" t="str">
        <f>VLOOKUP(A1522,'[1]Raw data'!$B:$Z,8,FALSE)</f>
        <v>L-&gt;R</v>
      </c>
      <c r="U1522" s="710" t="str">
        <f>VLOOKUP(A1522,'[1]Raw data'!$B:$Z,9,FALSE)</f>
        <v>MVC</v>
      </c>
      <c r="V1522" s="709" t="str">
        <f t="shared" si="353"/>
        <v>WRONG</v>
      </c>
      <c r="W1522" s="801" t="str">
        <f>VLOOKUP(A1522,'[1]Raw data'!$B:$AG,32,FALSE)</f>
        <v>DAP SZ</v>
      </c>
      <c r="X1522" s="800">
        <f>VLOOKUP(A1522,'[1]Raw data'!$B:$BA,31,FALSE)</f>
        <v>45303</v>
      </c>
      <c r="Y1522" s="710" t="str">
        <f>VLOOKUP(A1522,'[1]Raw data'!$B:$AS,39,FALSE)</f>
        <v>Yes</v>
      </c>
      <c r="Z1522" s="659"/>
      <c r="AA1522" s="660"/>
      <c r="AB1522" s="661"/>
      <c r="AC1522" s="710"/>
      <c r="AD1522" s="662">
        <v>303</v>
      </c>
      <c r="AE1522" s="662">
        <v>10</v>
      </c>
      <c r="AF1522" s="662">
        <v>302</v>
      </c>
      <c r="AG1522" s="662">
        <v>5</v>
      </c>
      <c r="AH1522" s="662">
        <v>313</v>
      </c>
      <c r="AI1522" s="663">
        <v>5</v>
      </c>
      <c r="AN1522" s="542"/>
      <c r="AO1522" s="824" t="str">
        <f t="shared" si="341"/>
        <v>Yes</v>
      </c>
      <c r="AP1522" s="259" t="str">
        <f t="shared" si="342"/>
        <v>FEB 24</v>
      </c>
      <c r="AQ1522" s="542" t="str">
        <f t="shared" si="343"/>
        <v>有定金+有預留客戶</v>
      </c>
      <c r="AR1522" s="259" t="str">
        <f t="shared" si="344"/>
        <v>Shipped_Stock</v>
      </c>
      <c r="AS1522" s="259" t="str">
        <f t="shared" si="345"/>
        <v/>
      </c>
      <c r="AT1522" s="259" t="str">
        <f t="shared" si="346"/>
        <v>豫龙辉</v>
      </c>
      <c r="AU1522" s="259" t="str">
        <f t="shared" si="347"/>
        <v>C49SZX20240001JY</v>
      </c>
      <c r="AV1522" s="259" t="str">
        <f t="shared" si="348"/>
        <v>Oct-06</v>
      </c>
    </row>
    <row r="1523" spans="1:48" hidden="1">
      <c r="A1523" s="559">
        <v>1836</v>
      </c>
      <c r="B1523" s="664" t="s">
        <v>1125</v>
      </c>
      <c r="C1523" s="664" t="s">
        <v>4013</v>
      </c>
      <c r="D1523" s="645" t="s">
        <v>4059</v>
      </c>
      <c r="E1523" s="744" t="s">
        <v>2162</v>
      </c>
      <c r="F1523" s="647" t="s">
        <v>201</v>
      </c>
      <c r="G1523" s="647" t="s">
        <v>18</v>
      </c>
      <c r="H1523" s="647" t="s">
        <v>26</v>
      </c>
      <c r="I1523" s="575" t="s">
        <v>4255</v>
      </c>
      <c r="J1523" s="575">
        <v>1</v>
      </c>
      <c r="K1523" s="647" t="s">
        <v>2671</v>
      </c>
      <c r="L1523" s="657">
        <v>45242</v>
      </c>
      <c r="M1523" s="665" t="s">
        <v>906</v>
      </c>
      <c r="N1523" s="647" t="s">
        <v>4241</v>
      </c>
      <c r="O1523" s="794">
        <v>2023.1</v>
      </c>
      <c r="P1523" s="665" t="str">
        <f>VLOOKUP(A1523,'[1]Raw data'!$B:$BA,23,FALSE)</f>
        <v>JPY</v>
      </c>
      <c r="Q1523" s="647" t="str">
        <f>VLOOKUP(A1523,'[1]Raw data'!$B:$Z,2,FALSE)</f>
        <v>C28SZX20230085MZ</v>
      </c>
      <c r="R1523" s="647" t="str">
        <f>VLOOKUP(A1523,'[1]Raw data'!$B:$Z,3,FALSE)</f>
        <v>东莞鸿楠</v>
      </c>
      <c r="S1523" s="647" t="str">
        <f>VLOOKUP(A1523,'[1]Raw data'!$B:$Z,4,FALSE)</f>
        <v>YSi-V</v>
      </c>
      <c r="T1523" s="647" t="str">
        <f>VLOOKUP(A1523,'[1]Raw data'!$B:$Z,8,FALSE)</f>
        <v>R-&gt;L</v>
      </c>
      <c r="U1523" s="647" t="str">
        <f>VLOOKUP(A1523,'[1]Raw data'!$B:$Z,9,FALSE)</f>
        <v>No</v>
      </c>
      <c r="V1523" s="567" t="str">
        <f>IF(G1523&amp;H1523=T1523&amp;U1523,"OK","WRONG")</f>
        <v>OK</v>
      </c>
      <c r="W1523" s="563" t="str">
        <f>VLOOKUP(A1523,'[1]Raw data'!$B:$AG,32,FALSE)</f>
        <v>CIF HK</v>
      </c>
      <c r="X1523" s="657">
        <f>VLOOKUP(A1523,'[1]Raw data'!$B:$BA,31,FALSE)</f>
        <v>45118</v>
      </c>
      <c r="Y1523" s="647" t="str">
        <f>VLOOKUP(A1523,'[1]Raw data'!$B:$AS,39,FALSE)</f>
        <v>Yes</v>
      </c>
      <c r="Z1523" s="666"/>
      <c r="AA1523" s="667"/>
      <c r="AB1523" s="668"/>
      <c r="AC1523" s="647" t="s">
        <v>1951</v>
      </c>
      <c r="AD1523" s="662"/>
      <c r="AE1523" s="662"/>
      <c r="AF1523" s="662"/>
      <c r="AG1523" s="662"/>
      <c r="AH1523" s="662"/>
      <c r="AI1523" s="663"/>
      <c r="AN1523" s="542"/>
      <c r="AO1523" s="824" t="str">
        <f t="shared" si="341"/>
        <v>Yes</v>
      </c>
      <c r="AP1523" s="259" t="str">
        <f t="shared" si="342"/>
        <v>NOV 23</v>
      </c>
      <c r="AQ1523" s="542" t="str">
        <f t="shared" si="343"/>
        <v>有定金+有預留客戶</v>
      </c>
      <c r="AR1523" s="259" t="str">
        <f t="shared" si="344"/>
        <v>Shipped_Stock</v>
      </c>
      <c r="AS1523" s="259" t="str">
        <f t="shared" si="345"/>
        <v/>
      </c>
      <c r="AT1523" s="259" t="str">
        <f t="shared" si="346"/>
        <v>东莞鸿楠</v>
      </c>
      <c r="AU1523" s="259" t="str">
        <f t="shared" si="347"/>
        <v>C28SZX20230085MZ</v>
      </c>
      <c r="AV1523" s="259" t="str">
        <f t="shared" si="348"/>
        <v>Nov-12</v>
      </c>
    </row>
    <row r="1524" spans="1:48" ht="36" hidden="1">
      <c r="A1524" s="559">
        <v>1967</v>
      </c>
      <c r="B1524" s="664" t="s">
        <v>1125</v>
      </c>
      <c r="C1524" s="664" t="s">
        <v>281</v>
      </c>
      <c r="D1524" s="645" t="s">
        <v>4154</v>
      </c>
      <c r="E1524" s="744" t="s">
        <v>236</v>
      </c>
      <c r="F1524" s="647" t="s">
        <v>17</v>
      </c>
      <c r="G1524" s="647" t="s">
        <v>24</v>
      </c>
      <c r="H1524" s="647" t="s">
        <v>4109</v>
      </c>
      <c r="I1524" s="575" t="s">
        <v>4353</v>
      </c>
      <c r="J1524" s="575">
        <v>1</v>
      </c>
      <c r="K1524" s="647" t="s">
        <v>78</v>
      </c>
      <c r="L1524" s="657">
        <v>45261</v>
      </c>
      <c r="M1524" s="665" t="s">
        <v>4158</v>
      </c>
      <c r="N1524" s="647" t="s">
        <v>4282</v>
      </c>
      <c r="O1524" s="575">
        <v>2023.11</v>
      </c>
      <c r="P1524" s="665" t="str">
        <f>VLOOKUP(A1524,'[1]Raw data'!$B:$BA,23,FALSE)</f>
        <v>USD</v>
      </c>
      <c r="Q1524" s="647" t="str">
        <f>VLOOKUP(A1524,'[1]Raw data'!$B:$Z,2,FALSE)</f>
        <v>C49SZX20230096JL/4600003030</v>
      </c>
      <c r="R1524" s="647" t="str">
        <f>VLOOKUP(A1524,'[1]Raw data'!$B:$Z,3,FALSE)</f>
        <v>高伟</v>
      </c>
      <c r="S1524" s="647" t="str">
        <f>VLOOKUP(A1524,'[1]Raw data'!$B:$Z,4,FALSE)</f>
        <v>YSM10</v>
      </c>
      <c r="T1524" s="647" t="str">
        <f>VLOOKUP(A1524,'[1]Raw data'!$B:$Z,8,FALSE)</f>
        <v>L-&gt;R</v>
      </c>
      <c r="U1524" s="647" t="str">
        <f>VLOOKUP(A1524,'[1]Raw data'!$B:$Z,9,FALSE)</f>
        <v xml:space="preserve">MVC(with 5 heads) </v>
      </c>
      <c r="V1524" s="567" t="str">
        <f t="shared" ref="V1524:V1538" si="354">IF(G1524&amp;H1524=T1524&amp;U1524,"OK","WRONG")</f>
        <v>OK</v>
      </c>
      <c r="W1524" s="563" t="str">
        <f>VLOOKUP(A1524,'[1]Raw data'!$B:$AG,32,FALSE)</f>
        <v>CIF HK</v>
      </c>
      <c r="X1524" s="657">
        <f>VLOOKUP(A1524,'[1]Raw data'!$B:$BA,31,FALSE)</f>
        <v>45159</v>
      </c>
      <c r="Y1524" s="647" t="str">
        <f>VLOOKUP(A1524,'[1]Raw data'!$B:$AS,39,FALSE)</f>
        <v>Yes</v>
      </c>
      <c r="Z1524" s="659"/>
      <c r="AA1524" s="660"/>
      <c r="AB1524" s="661"/>
      <c r="AC1524" s="647" t="s">
        <v>4354</v>
      </c>
      <c r="AD1524" s="662">
        <v>303</v>
      </c>
      <c r="AE1524" s="662">
        <v>5</v>
      </c>
      <c r="AF1524" s="662"/>
      <c r="AG1524" s="662"/>
      <c r="AH1524" s="662"/>
      <c r="AI1524" s="663"/>
      <c r="AN1524" s="542"/>
      <c r="AO1524" s="824" t="str">
        <f t="shared" si="341"/>
        <v>Yes</v>
      </c>
      <c r="AP1524" s="259" t="str">
        <f t="shared" si="342"/>
        <v>DEC 23</v>
      </c>
      <c r="AQ1524" s="542" t="str">
        <f t="shared" si="343"/>
        <v>有定金+有預留客戶</v>
      </c>
      <c r="AR1524" s="259" t="str">
        <f t="shared" si="344"/>
        <v>Shipped_Stock</v>
      </c>
      <c r="AS1524" s="259" t="str">
        <f t="shared" si="345"/>
        <v/>
      </c>
      <c r="AT1524" s="259" t="str">
        <f t="shared" si="346"/>
        <v>高伟</v>
      </c>
      <c r="AU1524" s="259" t="str">
        <f t="shared" si="347"/>
        <v>C49SZX20230096JL/4600003030</v>
      </c>
      <c r="AV1524" s="259" t="str">
        <f t="shared" si="348"/>
        <v>Dec-01</v>
      </c>
    </row>
    <row r="1525" spans="1:48" ht="36" hidden="1">
      <c r="A1525" s="559">
        <v>1968</v>
      </c>
      <c r="B1525" s="664" t="s">
        <v>1125</v>
      </c>
      <c r="C1525" s="664" t="s">
        <v>281</v>
      </c>
      <c r="D1525" s="645" t="s">
        <v>4154</v>
      </c>
      <c r="E1525" s="744" t="s">
        <v>236</v>
      </c>
      <c r="F1525" s="647" t="s">
        <v>17</v>
      </c>
      <c r="G1525" s="647" t="s">
        <v>24</v>
      </c>
      <c r="H1525" s="647" t="s">
        <v>4109</v>
      </c>
      <c r="I1525" s="575" t="s">
        <v>4274</v>
      </c>
      <c r="J1525" s="575">
        <v>1</v>
      </c>
      <c r="K1525" s="647" t="s">
        <v>78</v>
      </c>
      <c r="L1525" s="657">
        <v>45261</v>
      </c>
      <c r="M1525" s="665" t="s">
        <v>4158</v>
      </c>
      <c r="N1525" s="647" t="s">
        <v>4282</v>
      </c>
      <c r="O1525" s="575">
        <v>2023.11</v>
      </c>
      <c r="P1525" s="665" t="str">
        <f>VLOOKUP(A1525,'[1]Raw data'!$B:$BA,23,FALSE)</f>
        <v>USD</v>
      </c>
      <c r="Q1525" s="647" t="str">
        <f>VLOOKUP(A1525,'[1]Raw data'!$B:$Z,2,FALSE)</f>
        <v>C49SZX20230096JL/4600003030</v>
      </c>
      <c r="R1525" s="647" t="str">
        <f>VLOOKUP(A1525,'[1]Raw data'!$B:$Z,3,FALSE)</f>
        <v>高伟</v>
      </c>
      <c r="S1525" s="647" t="str">
        <f>VLOOKUP(A1525,'[1]Raw data'!$B:$Z,4,FALSE)</f>
        <v>YSM10</v>
      </c>
      <c r="T1525" s="647" t="str">
        <f>VLOOKUP(A1525,'[1]Raw data'!$B:$Z,8,FALSE)</f>
        <v>L-&gt;R</v>
      </c>
      <c r="U1525" s="647" t="str">
        <f>VLOOKUP(A1525,'[1]Raw data'!$B:$Z,9,FALSE)</f>
        <v xml:space="preserve">MVC(with 5 heads) </v>
      </c>
      <c r="V1525" s="567" t="str">
        <f t="shared" si="354"/>
        <v>OK</v>
      </c>
      <c r="W1525" s="563" t="str">
        <f>VLOOKUP(A1525,'[1]Raw data'!$B:$AG,32,FALSE)</f>
        <v>CIF HK</v>
      </c>
      <c r="X1525" s="657">
        <f>VLOOKUP(A1525,'[1]Raw data'!$B:$BA,31,FALSE)</f>
        <v>45159</v>
      </c>
      <c r="Y1525" s="647" t="str">
        <f>VLOOKUP(A1525,'[1]Raw data'!$B:$AS,39,FALSE)</f>
        <v>Yes</v>
      </c>
      <c r="Z1525" s="659"/>
      <c r="AA1525" s="660"/>
      <c r="AB1525" s="661"/>
      <c r="AC1525" s="647" t="s">
        <v>4354</v>
      </c>
      <c r="AD1525" s="662">
        <v>301</v>
      </c>
      <c r="AE1525" s="662">
        <v>5</v>
      </c>
      <c r="AF1525" s="662"/>
      <c r="AG1525" s="662"/>
      <c r="AH1525" s="662"/>
      <c r="AI1525" s="663"/>
      <c r="AN1525" s="542"/>
      <c r="AO1525" s="824" t="str">
        <f t="shared" si="341"/>
        <v>Yes</v>
      </c>
      <c r="AP1525" s="259" t="str">
        <f t="shared" si="342"/>
        <v>DEC 23</v>
      </c>
      <c r="AQ1525" s="542" t="str">
        <f t="shared" si="343"/>
        <v>有定金+有預留客戶</v>
      </c>
      <c r="AR1525" s="259" t="str">
        <f t="shared" si="344"/>
        <v>Shipped_Stock</v>
      </c>
      <c r="AS1525" s="259" t="str">
        <f t="shared" si="345"/>
        <v/>
      </c>
      <c r="AT1525" s="259" t="str">
        <f t="shared" si="346"/>
        <v>高伟</v>
      </c>
      <c r="AU1525" s="259" t="str">
        <f t="shared" si="347"/>
        <v>C49SZX20230096JL/4600003030</v>
      </c>
      <c r="AV1525" s="259" t="str">
        <f t="shared" si="348"/>
        <v>Dec-01</v>
      </c>
    </row>
    <row r="1526" spans="1:48" ht="22.5">
      <c r="A1526" s="559">
        <v>2071</v>
      </c>
      <c r="B1526" s="797" t="s">
        <v>75</v>
      </c>
      <c r="C1526" s="797" t="s">
        <v>281</v>
      </c>
      <c r="D1526" s="798">
        <v>111421</v>
      </c>
      <c r="E1526" s="799" t="s">
        <v>236</v>
      </c>
      <c r="F1526" s="710" t="s">
        <v>17</v>
      </c>
      <c r="G1526" s="710" t="s">
        <v>18</v>
      </c>
      <c r="H1526" s="710" t="s">
        <v>26</v>
      </c>
      <c r="I1526" s="662" t="s">
        <v>4276</v>
      </c>
      <c r="J1526" s="662">
        <v>1</v>
      </c>
      <c r="K1526" s="710" t="s">
        <v>1732</v>
      </c>
      <c r="L1526" s="800">
        <v>45261</v>
      </c>
      <c r="M1526" s="717" t="s">
        <v>4323</v>
      </c>
      <c r="N1526" s="647" t="s">
        <v>4365</v>
      </c>
      <c r="O1526" s="575">
        <v>2023.11</v>
      </c>
      <c r="P1526" s="717" t="str">
        <f>VLOOKUP(A1526,'[1]Raw data'!$B:$BA,23,FALSE)</f>
        <v>JPY</v>
      </c>
      <c r="Q1526" s="710" t="str">
        <f>VLOOKUP(A1526,'[1]Raw data'!$B:$Z,2,FALSE)</f>
        <v>C49SZX20240009MZ</v>
      </c>
      <c r="R1526" s="710" t="str">
        <f>VLOOKUP(A1526,'[1]Raw data'!$B:$Z,3,FALSE)</f>
        <v>鸿楠</v>
      </c>
      <c r="S1526" s="710" t="str">
        <f>VLOOKUP(A1526,'[1]Raw data'!$B:$Z,4,FALSE)</f>
        <v>YSM10</v>
      </c>
      <c r="T1526" s="710" t="str">
        <f>VLOOKUP(A1526,'[1]Raw data'!$B:$Z,8,FALSE)</f>
        <v>R-&gt;L</v>
      </c>
      <c r="U1526" s="710" t="str">
        <f>VLOOKUP(A1526,'[1]Raw data'!$B:$Z,9,FALSE)</f>
        <v>MVC</v>
      </c>
      <c r="V1526" s="709" t="str">
        <f t="shared" si="354"/>
        <v>WRONG</v>
      </c>
      <c r="W1526" s="801" t="str">
        <f>VLOOKUP(A1526,'[1]Raw data'!$B:$AG,32,FALSE)</f>
        <v>CIF HK</v>
      </c>
      <c r="X1526" s="800">
        <f>VLOOKUP(A1526,'[1]Raw data'!$B:$BA,31,FALSE)</f>
        <v>45313</v>
      </c>
      <c r="Y1526" s="710" t="str">
        <f>VLOOKUP(A1526,'[1]Raw data'!$B:$AS,39,FALSE)</f>
        <v>Yes</v>
      </c>
      <c r="Z1526" s="659"/>
      <c r="AA1526" s="660"/>
      <c r="AB1526" s="661"/>
      <c r="AC1526" s="710"/>
      <c r="AD1526" s="662">
        <v>302</v>
      </c>
      <c r="AE1526" s="662">
        <v>5</v>
      </c>
      <c r="AF1526" s="662">
        <v>303</v>
      </c>
      <c r="AG1526" s="662">
        <v>5</v>
      </c>
      <c r="AH1526" s="662"/>
      <c r="AI1526" s="663"/>
      <c r="AN1526" s="542"/>
      <c r="AO1526" s="824" t="str">
        <f t="shared" si="341"/>
        <v>Yes</v>
      </c>
      <c r="AP1526" s="259" t="str">
        <f t="shared" si="342"/>
        <v>MAR 24</v>
      </c>
      <c r="AQ1526" s="542" t="str">
        <f t="shared" si="343"/>
        <v>有定金+有預留客戶</v>
      </c>
      <c r="AR1526" s="259" t="str">
        <f t="shared" si="344"/>
        <v>Instock</v>
      </c>
      <c r="AS1526" s="259" t="str">
        <f t="shared" si="345"/>
        <v/>
      </c>
      <c r="AT1526" s="259" t="str">
        <f t="shared" si="346"/>
        <v>鸿楠</v>
      </c>
      <c r="AU1526" s="259" t="str">
        <f t="shared" si="347"/>
        <v>C49SZX20240009MZ</v>
      </c>
      <c r="AV1526" s="259" t="str">
        <f t="shared" si="348"/>
        <v>Dec-01</v>
      </c>
    </row>
    <row r="1527" spans="1:48" ht="22.5">
      <c r="A1527" s="559">
        <v>2098</v>
      </c>
      <c r="B1527" s="797" t="s">
        <v>75</v>
      </c>
      <c r="C1527" s="797" t="s">
        <v>281</v>
      </c>
      <c r="D1527" s="798">
        <v>111421</v>
      </c>
      <c r="E1527" s="799" t="s">
        <v>236</v>
      </c>
      <c r="F1527" s="710" t="s">
        <v>17</v>
      </c>
      <c r="G1527" s="710" t="s">
        <v>18</v>
      </c>
      <c r="H1527" s="710" t="s">
        <v>26</v>
      </c>
      <c r="I1527" s="662" t="s">
        <v>4277</v>
      </c>
      <c r="J1527" s="662">
        <v>1</v>
      </c>
      <c r="K1527" s="710" t="s">
        <v>1732</v>
      </c>
      <c r="L1527" s="800">
        <v>45261</v>
      </c>
      <c r="M1527" s="717" t="s">
        <v>4323</v>
      </c>
      <c r="N1527" s="647" t="s">
        <v>4365</v>
      </c>
      <c r="O1527" s="575">
        <v>2023.11</v>
      </c>
      <c r="P1527" s="717" t="str">
        <f>VLOOKUP(A1527,'[1]Raw data'!$B:$BA,23,FALSE)</f>
        <v>JPY</v>
      </c>
      <c r="Q1527" s="710" t="str">
        <f>VLOOKUP(A1527,'[1]Raw data'!$B:$Z,2,FALSE)</f>
        <v>C49SZX20240029JY</v>
      </c>
      <c r="R1527" s="710" t="str">
        <f>VLOOKUP(A1527,'[1]Raw data'!$B:$Z,3,FALSE)</f>
        <v>建航</v>
      </c>
      <c r="S1527" s="710" t="str">
        <f>VLOOKUP(A1527,'[1]Raw data'!$B:$Z,4,FALSE)</f>
        <v>YSM10</v>
      </c>
      <c r="T1527" s="710" t="str">
        <f>VLOOKUP(A1527,'[1]Raw data'!$B:$Z,8,FALSE)</f>
        <v>L-&gt;R</v>
      </c>
      <c r="U1527" s="710" t="str">
        <f>VLOOKUP(A1527,'[1]Raw data'!$B:$Z,9,FALSE)</f>
        <v>MVC</v>
      </c>
      <c r="V1527" s="709" t="str">
        <f t="shared" si="354"/>
        <v>WRONG</v>
      </c>
      <c r="W1527" s="801" t="str">
        <f>VLOOKUP(A1527,'[1]Raw data'!$B:$AG,32,FALSE)</f>
        <v>DAP SZ</v>
      </c>
      <c r="X1527" s="800">
        <f>VLOOKUP(A1527,'[1]Raw data'!$B:$BA,31,FALSE)</f>
        <v>45344</v>
      </c>
      <c r="Y1527" s="710" t="str">
        <f>VLOOKUP(A1527,'[1]Raw data'!$B:$AS,39,FALSE)</f>
        <v>Yes</v>
      </c>
      <c r="Z1527" s="659"/>
      <c r="AA1527" s="660"/>
      <c r="AB1527" s="661"/>
      <c r="AC1527" s="710"/>
      <c r="AD1527" s="662">
        <v>302</v>
      </c>
      <c r="AE1527" s="662">
        <v>5</v>
      </c>
      <c r="AF1527" s="662">
        <v>303</v>
      </c>
      <c r="AG1527" s="662">
        <v>5</v>
      </c>
      <c r="AH1527" s="662"/>
      <c r="AI1527" s="663"/>
      <c r="AN1527" s="542"/>
      <c r="AO1527" s="824" t="str">
        <f t="shared" si="341"/>
        <v>Yes</v>
      </c>
      <c r="AP1527" s="259" t="str">
        <f t="shared" si="342"/>
        <v>MAR 24</v>
      </c>
      <c r="AQ1527" s="542" t="str">
        <f t="shared" si="343"/>
        <v>有定金+有預留客戶</v>
      </c>
      <c r="AR1527" s="259" t="str">
        <f t="shared" si="344"/>
        <v>Instock</v>
      </c>
      <c r="AS1527" s="259" t="str">
        <f t="shared" si="345"/>
        <v/>
      </c>
      <c r="AT1527" s="259" t="str">
        <f t="shared" si="346"/>
        <v>建航</v>
      </c>
      <c r="AU1527" s="259" t="str">
        <f t="shared" si="347"/>
        <v>C49SZX20240029JY</v>
      </c>
      <c r="AV1527" s="259" t="str">
        <f t="shared" si="348"/>
        <v>Dec-01</v>
      </c>
    </row>
    <row r="1528" spans="1:48" ht="22.5" hidden="1">
      <c r="A1528" s="559">
        <v>2036</v>
      </c>
      <c r="B1528" s="664" t="s">
        <v>1125</v>
      </c>
      <c r="C1528" s="664" t="s">
        <v>281</v>
      </c>
      <c r="D1528" s="645">
        <v>111421</v>
      </c>
      <c r="E1528" s="744" t="s">
        <v>236</v>
      </c>
      <c r="F1528" s="647" t="s">
        <v>17</v>
      </c>
      <c r="G1528" s="647" t="s">
        <v>18</v>
      </c>
      <c r="H1528" s="647" t="s">
        <v>19</v>
      </c>
      <c r="I1528" s="575" t="s">
        <v>4275</v>
      </c>
      <c r="J1528" s="575">
        <v>1</v>
      </c>
      <c r="K1528" s="647" t="s">
        <v>1732</v>
      </c>
      <c r="L1528" s="657">
        <v>45261</v>
      </c>
      <c r="M1528" s="665" t="s">
        <v>4323</v>
      </c>
      <c r="N1528" s="647" t="s">
        <v>4258</v>
      </c>
      <c r="O1528" s="575">
        <v>2023.11</v>
      </c>
      <c r="P1528" s="665" t="str">
        <f>VLOOKUP(A1528,'[1]Raw data'!$B:$BA,23,FALSE)</f>
        <v>RMB</v>
      </c>
      <c r="Q1528" s="647" t="str">
        <f>VLOOKUP(A1528,'[1]Raw data'!$B:$Z,2,FALSE)</f>
        <v>CG20231204009</v>
      </c>
      <c r="R1528" s="647" t="str">
        <f>VLOOKUP(A1528,'[1]Raw data'!$B:$Z,3,FALSE)</f>
        <v>徕芬</v>
      </c>
      <c r="S1528" s="647" t="str">
        <f>VLOOKUP(A1528,'[1]Raw data'!$B:$Z,4,FALSE)</f>
        <v>YSM10</v>
      </c>
      <c r="T1528" s="647" t="str">
        <f>VLOOKUP(A1528,'[1]Raw data'!$B:$Z,8,FALSE)</f>
        <v>L-&gt;R</v>
      </c>
      <c r="U1528" s="647" t="str">
        <f>VLOOKUP(A1528,'[1]Raw data'!$B:$Z,9,FALSE)</f>
        <v>MVC+ATS15</v>
      </c>
      <c r="V1528" s="567" t="str">
        <f t="shared" si="354"/>
        <v>WRONG</v>
      </c>
      <c r="W1528" s="563" t="str">
        <f>VLOOKUP(A1528,'[1]Raw data'!$B:$AG,32,FALSE)</f>
        <v>DDP DG</v>
      </c>
      <c r="X1528" s="657">
        <f>VLOOKUP(A1528,'[1]Raw data'!$B:$BA,31,FALSE)</f>
        <v>45261</v>
      </c>
      <c r="Y1528" s="647" t="str">
        <f>VLOOKUP(A1528,'[1]Raw data'!$B:$AS,39,FALSE)</f>
        <v>Yes</v>
      </c>
      <c r="Z1528" s="666"/>
      <c r="AA1528" s="667"/>
      <c r="AB1528" s="668"/>
      <c r="AC1528" s="647" t="s">
        <v>3888</v>
      </c>
      <c r="AD1528" s="662">
        <v>302</v>
      </c>
      <c r="AE1528" s="662">
        <v>10</v>
      </c>
      <c r="AF1528" s="662"/>
      <c r="AG1528" s="662"/>
      <c r="AH1528" s="662"/>
      <c r="AI1528" s="663"/>
      <c r="AN1528" s="542"/>
      <c r="AO1528" s="824" t="str">
        <f t="shared" si="341"/>
        <v>Yes</v>
      </c>
      <c r="AP1528" s="259" t="str">
        <f t="shared" si="342"/>
        <v>JAN 24</v>
      </c>
      <c r="AQ1528" s="542" t="str">
        <f t="shared" si="343"/>
        <v>有定金+有預留客戶</v>
      </c>
      <c r="AR1528" s="259" t="str">
        <f t="shared" si="344"/>
        <v>Shipped_Stock</v>
      </c>
      <c r="AS1528" s="259" t="str">
        <f t="shared" si="345"/>
        <v/>
      </c>
      <c r="AT1528" s="259" t="str">
        <f t="shared" si="346"/>
        <v>徕芬</v>
      </c>
      <c r="AU1528" s="259" t="str">
        <f t="shared" si="347"/>
        <v>CG20231204009</v>
      </c>
      <c r="AV1528" s="259" t="str">
        <f t="shared" si="348"/>
        <v>Dec-01</v>
      </c>
    </row>
    <row r="1529" spans="1:48" ht="22.5" hidden="1">
      <c r="A1529" s="559">
        <v>2008</v>
      </c>
      <c r="B1529" s="797" t="s">
        <v>1125</v>
      </c>
      <c r="C1529" s="797" t="s">
        <v>15</v>
      </c>
      <c r="D1529" s="798">
        <v>111452</v>
      </c>
      <c r="E1529" s="799" t="s">
        <v>236</v>
      </c>
      <c r="F1529" s="710" t="s">
        <v>58</v>
      </c>
      <c r="G1529" s="710" t="s">
        <v>18</v>
      </c>
      <c r="H1529" s="710" t="s">
        <v>26</v>
      </c>
      <c r="I1529" s="662" t="s">
        <v>4292</v>
      </c>
      <c r="J1529" s="662">
        <v>1</v>
      </c>
      <c r="K1529" s="710" t="s">
        <v>1732</v>
      </c>
      <c r="L1529" s="800">
        <v>45268</v>
      </c>
      <c r="M1529" s="717" t="s">
        <v>4323</v>
      </c>
      <c r="N1529" s="647" t="s">
        <v>4258</v>
      </c>
      <c r="O1529" s="575">
        <v>2023.11</v>
      </c>
      <c r="P1529" s="802" t="str">
        <f>VLOOKUP(A1529,'[1]Raw data'!$B:$BA,23,FALSE)</f>
        <v>JPY</v>
      </c>
      <c r="Q1529" s="803" t="str">
        <f>VLOOKUP(A1529,'[1]Raw data'!$B:$Z,2,FALSE)</f>
        <v>C49SZX20230111SX</v>
      </c>
      <c r="R1529" s="803" t="str">
        <f>VLOOKUP(A1529,'[1]Raw data'!$B:$Z,3,FALSE)</f>
        <v>兴开泰（end user:兴连）</v>
      </c>
      <c r="S1529" s="710" t="str">
        <f>VLOOKUP(A1529,'[1]Raw data'!$B:$Z,4,FALSE)</f>
        <v>YSM20R-2</v>
      </c>
      <c r="T1529" s="710" t="str">
        <f>VLOOKUP(A1529,'[1]Raw data'!$B:$Z,8,FALSE)</f>
        <v>R-&gt;L</v>
      </c>
      <c r="U1529" s="710" t="str">
        <f>VLOOKUP(A1529,'[1]Raw data'!$B:$Z,9,FALSE)</f>
        <v>No</v>
      </c>
      <c r="V1529" s="709" t="str">
        <f t="shared" ref="V1529:V1537" si="355">IF(G1529&amp;H1529=T1529&amp;U1529,"OK","WRONG")</f>
        <v>OK</v>
      </c>
      <c r="W1529" s="801" t="str">
        <f>VLOOKUP(A1529,'[1]Raw data'!$B:$AG,32,FALSE)</f>
        <v>DAP DG</v>
      </c>
      <c r="X1529" s="800">
        <f>VLOOKUP(A1529,'[1]Raw data'!$B:$BA,31,FALSE)</f>
        <v>45237</v>
      </c>
      <c r="Y1529" s="710" t="str">
        <f>VLOOKUP(A1529,'[1]Raw data'!$B:$AS,39,FALSE)</f>
        <v>Yes</v>
      </c>
      <c r="Z1529" s="659"/>
      <c r="AA1529" s="660"/>
      <c r="AB1529" s="661"/>
      <c r="AC1529" s="710"/>
      <c r="AD1529" s="662">
        <v>301</v>
      </c>
      <c r="AE1529" s="662">
        <v>20</v>
      </c>
      <c r="AF1529" s="662"/>
      <c r="AG1529" s="662"/>
      <c r="AH1529" s="662"/>
      <c r="AI1529" s="663"/>
      <c r="AN1529" s="542"/>
      <c r="AO1529" s="824" t="str">
        <f t="shared" si="341"/>
        <v>Yes</v>
      </c>
      <c r="AP1529" s="259" t="str">
        <f t="shared" si="342"/>
        <v>JAN 24</v>
      </c>
      <c r="AQ1529" s="542" t="str">
        <f t="shared" si="343"/>
        <v>有定金+有預留客戶</v>
      </c>
      <c r="AR1529" s="259" t="str">
        <f t="shared" si="344"/>
        <v>Shipped_Stock</v>
      </c>
      <c r="AS1529" s="259" t="str">
        <f t="shared" si="345"/>
        <v/>
      </c>
      <c r="AT1529" s="259" t="str">
        <f t="shared" si="346"/>
        <v>兴开泰（end user:兴连）</v>
      </c>
      <c r="AU1529" s="259" t="str">
        <f t="shared" si="347"/>
        <v>C49SZX20230111SX</v>
      </c>
      <c r="AV1529" s="259" t="str">
        <f t="shared" si="348"/>
        <v>Dec-08</v>
      </c>
    </row>
    <row r="1530" spans="1:48" ht="22.5" hidden="1">
      <c r="A1530" s="559">
        <v>2009</v>
      </c>
      <c r="B1530" s="797" t="s">
        <v>1125</v>
      </c>
      <c r="C1530" s="797" t="s">
        <v>15</v>
      </c>
      <c r="D1530" s="798">
        <v>111452</v>
      </c>
      <c r="E1530" s="799" t="s">
        <v>236</v>
      </c>
      <c r="F1530" s="710" t="s">
        <v>58</v>
      </c>
      <c r="G1530" s="710" t="s">
        <v>18</v>
      </c>
      <c r="H1530" s="710" t="s">
        <v>26</v>
      </c>
      <c r="I1530" s="662" t="s">
        <v>4293</v>
      </c>
      <c r="J1530" s="662">
        <v>1</v>
      </c>
      <c r="K1530" s="710" t="s">
        <v>1732</v>
      </c>
      <c r="L1530" s="800">
        <v>45268</v>
      </c>
      <c r="M1530" s="717" t="s">
        <v>4323</v>
      </c>
      <c r="N1530" s="647" t="s">
        <v>4258</v>
      </c>
      <c r="O1530" s="575">
        <v>2023.11</v>
      </c>
      <c r="P1530" s="802" t="str">
        <f>VLOOKUP(A1530,'[1]Raw data'!$B:$BA,23,FALSE)</f>
        <v>JPY</v>
      </c>
      <c r="Q1530" s="803" t="str">
        <f>VLOOKUP(A1530,'[1]Raw data'!$B:$Z,2,FALSE)</f>
        <v>C49SZX20230111SX</v>
      </c>
      <c r="R1530" s="803" t="str">
        <f>VLOOKUP(A1530,'[1]Raw data'!$B:$Z,3,FALSE)</f>
        <v>兴开泰（end user:兴连）</v>
      </c>
      <c r="S1530" s="710" t="str">
        <f>VLOOKUP(A1530,'[1]Raw data'!$B:$Z,4,FALSE)</f>
        <v>YSM20R-2</v>
      </c>
      <c r="T1530" s="710" t="str">
        <f>VLOOKUP(A1530,'[1]Raw data'!$B:$Z,8,FALSE)</f>
        <v>R-&gt;L</v>
      </c>
      <c r="U1530" s="710" t="str">
        <f>VLOOKUP(A1530,'[1]Raw data'!$B:$Z,9,FALSE)</f>
        <v>No</v>
      </c>
      <c r="V1530" s="709" t="str">
        <f t="shared" si="355"/>
        <v>OK</v>
      </c>
      <c r="W1530" s="801" t="str">
        <f>VLOOKUP(A1530,'[1]Raw data'!$B:$AG,32,FALSE)</f>
        <v>DAP DG</v>
      </c>
      <c r="X1530" s="800">
        <f>VLOOKUP(A1530,'[1]Raw data'!$B:$BA,31,FALSE)</f>
        <v>45237</v>
      </c>
      <c r="Y1530" s="710" t="str">
        <f>VLOOKUP(A1530,'[1]Raw data'!$B:$AS,39,FALSE)</f>
        <v>Yes</v>
      </c>
      <c r="Z1530" s="659"/>
      <c r="AA1530" s="660"/>
      <c r="AB1530" s="661"/>
      <c r="AC1530" s="710"/>
      <c r="AD1530" s="662">
        <v>301</v>
      </c>
      <c r="AE1530" s="662">
        <v>20</v>
      </c>
      <c r="AF1530" s="662"/>
      <c r="AG1530" s="662"/>
      <c r="AH1530" s="662"/>
      <c r="AI1530" s="663"/>
      <c r="AN1530" s="542"/>
      <c r="AO1530" s="824" t="str">
        <f t="shared" si="341"/>
        <v>Yes</v>
      </c>
      <c r="AP1530" s="259" t="str">
        <f t="shared" si="342"/>
        <v>JAN 24</v>
      </c>
      <c r="AQ1530" s="542" t="str">
        <f t="shared" si="343"/>
        <v>有定金+有預留客戶</v>
      </c>
      <c r="AR1530" s="259" t="str">
        <f t="shared" si="344"/>
        <v>Shipped_Stock</v>
      </c>
      <c r="AS1530" s="259" t="str">
        <f t="shared" si="345"/>
        <v/>
      </c>
      <c r="AT1530" s="259" t="str">
        <f t="shared" si="346"/>
        <v>兴开泰（end user:兴连）</v>
      </c>
      <c r="AU1530" s="259" t="str">
        <f t="shared" si="347"/>
        <v>C49SZX20230111SX</v>
      </c>
      <c r="AV1530" s="259" t="str">
        <f t="shared" si="348"/>
        <v>Dec-08</v>
      </c>
    </row>
    <row r="1531" spans="1:48" ht="22.5" hidden="1">
      <c r="A1531" s="559">
        <v>2054</v>
      </c>
      <c r="B1531" s="664" t="s">
        <v>1125</v>
      </c>
      <c r="C1531" s="664" t="s">
        <v>15</v>
      </c>
      <c r="D1531" s="645">
        <v>111452</v>
      </c>
      <c r="E1531" s="744" t="s">
        <v>236</v>
      </c>
      <c r="F1531" s="647" t="s">
        <v>58</v>
      </c>
      <c r="G1531" s="647" t="s">
        <v>18</v>
      </c>
      <c r="H1531" s="647" t="s">
        <v>26</v>
      </c>
      <c r="I1531" s="575" t="s">
        <v>4294</v>
      </c>
      <c r="J1531" s="575">
        <v>1</v>
      </c>
      <c r="K1531" s="647" t="s">
        <v>1732</v>
      </c>
      <c r="L1531" s="657">
        <v>45268</v>
      </c>
      <c r="M1531" s="665" t="s">
        <v>4323</v>
      </c>
      <c r="N1531" s="647" t="s">
        <v>4258</v>
      </c>
      <c r="O1531" s="575">
        <v>2023.11</v>
      </c>
      <c r="P1531" s="665" t="str">
        <f>VLOOKUP(A1531,'[1]Raw data'!$B:$BA,23,FALSE)</f>
        <v>JPY</v>
      </c>
      <c r="Q1531" s="647" t="str">
        <f>VLOOKUP(A1531,'[1]Raw data'!$B:$Z,2,FALSE)</f>
        <v>C49SZX20230142SS</v>
      </c>
      <c r="R1531" s="647" t="str">
        <f>VLOOKUP(A1531,'[1]Raw data'!$B:$Z,3,FALSE)</f>
        <v>盈通恒翼</v>
      </c>
      <c r="S1531" s="647" t="str">
        <f>VLOOKUP(A1531,'[1]Raw data'!$B:$Z,4,FALSE)</f>
        <v>YSM20R-2</v>
      </c>
      <c r="T1531" s="647" t="str">
        <f>VLOOKUP(A1531,'[1]Raw data'!$B:$Z,8,FALSE)</f>
        <v>R-&gt;L</v>
      </c>
      <c r="U1531" s="647" t="str">
        <f>VLOOKUP(A1531,'[1]Raw data'!$B:$Z,9,FALSE)</f>
        <v>No</v>
      </c>
      <c r="V1531" s="567" t="str">
        <f t="shared" si="355"/>
        <v>OK</v>
      </c>
      <c r="W1531" s="563" t="str">
        <f>VLOOKUP(A1531,'[1]Raw data'!$B:$AG,32,FALSE)</f>
        <v>DAP SZ</v>
      </c>
      <c r="X1531" s="657">
        <f>VLOOKUP(A1531,'[1]Raw data'!$B:$BA,31,FALSE)</f>
        <v>45282</v>
      </c>
      <c r="Y1531" s="647" t="str">
        <f>VLOOKUP(A1531,'[1]Raw data'!$B:$AS,39,FALSE)</f>
        <v>Yes</v>
      </c>
      <c r="Z1531" s="659"/>
      <c r="AA1531" s="660"/>
      <c r="AB1531" s="661"/>
      <c r="AC1531" s="647" t="s">
        <v>4378</v>
      </c>
      <c r="AD1531" s="662">
        <v>301</v>
      </c>
      <c r="AE1531" s="662">
        <v>20</v>
      </c>
      <c r="AF1531" s="662"/>
      <c r="AG1531" s="662"/>
      <c r="AH1531" s="662"/>
      <c r="AI1531" s="663"/>
      <c r="AN1531" s="542"/>
      <c r="AO1531" s="824" t="str">
        <f t="shared" si="341"/>
        <v>Yes</v>
      </c>
      <c r="AP1531" s="259" t="str">
        <f t="shared" si="342"/>
        <v>JAN 24</v>
      </c>
      <c r="AQ1531" s="542" t="str">
        <f t="shared" si="343"/>
        <v>有定金+有預留客戶</v>
      </c>
      <c r="AR1531" s="259" t="str">
        <f t="shared" si="344"/>
        <v>Shipped_Stock</v>
      </c>
      <c r="AS1531" s="259" t="str">
        <f t="shared" si="345"/>
        <v/>
      </c>
      <c r="AT1531" s="259" t="str">
        <f t="shared" si="346"/>
        <v>盈通恒翼</v>
      </c>
      <c r="AU1531" s="259" t="str">
        <f t="shared" si="347"/>
        <v>C49SZX20230142SS</v>
      </c>
      <c r="AV1531" s="259" t="str">
        <f t="shared" si="348"/>
        <v>Dec-08</v>
      </c>
    </row>
    <row r="1532" spans="1:48" ht="22.5" hidden="1">
      <c r="A1532" s="559">
        <v>2006</v>
      </c>
      <c r="B1532" s="797" t="s">
        <v>1125</v>
      </c>
      <c r="C1532" s="797" t="s">
        <v>15</v>
      </c>
      <c r="D1532" s="798">
        <v>111452</v>
      </c>
      <c r="E1532" s="799" t="s">
        <v>236</v>
      </c>
      <c r="F1532" s="710" t="s">
        <v>58</v>
      </c>
      <c r="G1532" s="710" t="s">
        <v>24</v>
      </c>
      <c r="H1532" s="710" t="s">
        <v>26</v>
      </c>
      <c r="I1532" s="662" t="s">
        <v>4290</v>
      </c>
      <c r="J1532" s="662">
        <v>1</v>
      </c>
      <c r="K1532" s="710" t="s">
        <v>1732</v>
      </c>
      <c r="L1532" s="800">
        <v>45268</v>
      </c>
      <c r="M1532" s="717" t="s">
        <v>4323</v>
      </c>
      <c r="N1532" s="647" t="s">
        <v>4258</v>
      </c>
      <c r="O1532" s="575">
        <v>2023.11</v>
      </c>
      <c r="P1532" s="802" t="str">
        <f>VLOOKUP(A1532,'[1]Raw data'!$B:$BA,23,FALSE)</f>
        <v>JPY</v>
      </c>
      <c r="Q1532" s="803" t="str">
        <f>VLOOKUP(A1532,'[1]Raw data'!$B:$Z,2,FALSE)</f>
        <v>C49SZX20230111SX</v>
      </c>
      <c r="R1532" s="803" t="str">
        <f>VLOOKUP(A1532,'[1]Raw data'!$B:$Z,3,FALSE)</f>
        <v>兴开泰（end user:兴连）</v>
      </c>
      <c r="S1532" s="710" t="str">
        <f>VLOOKUP(A1532,'[1]Raw data'!$B:$Z,4,FALSE)</f>
        <v>YSM20R-2</v>
      </c>
      <c r="T1532" s="710" t="str">
        <f>VLOOKUP(A1532,'[1]Raw data'!$B:$Z,8,FALSE)</f>
        <v>L-&gt;R</v>
      </c>
      <c r="U1532" s="710" t="str">
        <f>VLOOKUP(A1532,'[1]Raw data'!$B:$Z,9,FALSE)</f>
        <v>No</v>
      </c>
      <c r="V1532" s="709" t="str">
        <f t="shared" si="355"/>
        <v>OK</v>
      </c>
      <c r="W1532" s="801" t="str">
        <f>VLOOKUP(A1532,'[1]Raw data'!$B:$AG,32,FALSE)</f>
        <v>DAP DG</v>
      </c>
      <c r="X1532" s="800">
        <f>VLOOKUP(A1532,'[1]Raw data'!$B:$BA,31,FALSE)</f>
        <v>45237</v>
      </c>
      <c r="Y1532" s="710" t="str">
        <f>VLOOKUP(A1532,'[1]Raw data'!$B:$AS,39,FALSE)</f>
        <v>Yes</v>
      </c>
      <c r="Z1532" s="659"/>
      <c r="AA1532" s="660"/>
      <c r="AB1532" s="661"/>
      <c r="AC1532" s="710"/>
      <c r="AD1532" s="662">
        <v>301</v>
      </c>
      <c r="AE1532" s="662">
        <v>20</v>
      </c>
      <c r="AF1532" s="662"/>
      <c r="AG1532" s="662"/>
      <c r="AH1532" s="662"/>
      <c r="AI1532" s="663"/>
      <c r="AN1532" s="542"/>
      <c r="AO1532" s="824" t="str">
        <f t="shared" si="341"/>
        <v>Yes</v>
      </c>
      <c r="AP1532" s="259" t="str">
        <f t="shared" si="342"/>
        <v>JAN 24</v>
      </c>
      <c r="AQ1532" s="542" t="str">
        <f t="shared" si="343"/>
        <v>有定金+有預留客戶</v>
      </c>
      <c r="AR1532" s="259" t="str">
        <f t="shared" si="344"/>
        <v>Shipped_Stock</v>
      </c>
      <c r="AS1532" s="259" t="str">
        <f t="shared" si="345"/>
        <v/>
      </c>
      <c r="AT1532" s="259" t="str">
        <f t="shared" si="346"/>
        <v>兴开泰（end user:兴连）</v>
      </c>
      <c r="AU1532" s="259" t="str">
        <f t="shared" si="347"/>
        <v>C49SZX20230111SX</v>
      </c>
      <c r="AV1532" s="259" t="str">
        <f t="shared" si="348"/>
        <v>Dec-08</v>
      </c>
    </row>
    <row r="1533" spans="1:48" ht="22.5" hidden="1">
      <c r="A1533" s="559">
        <v>2007</v>
      </c>
      <c r="B1533" s="797" t="s">
        <v>1125</v>
      </c>
      <c r="C1533" s="797" t="s">
        <v>15</v>
      </c>
      <c r="D1533" s="798">
        <v>111452</v>
      </c>
      <c r="E1533" s="799" t="s">
        <v>236</v>
      </c>
      <c r="F1533" s="710" t="s">
        <v>58</v>
      </c>
      <c r="G1533" s="710" t="s">
        <v>24</v>
      </c>
      <c r="H1533" s="710" t="s">
        <v>26</v>
      </c>
      <c r="I1533" s="662" t="s">
        <v>4291</v>
      </c>
      <c r="J1533" s="662">
        <v>1</v>
      </c>
      <c r="K1533" s="710" t="s">
        <v>1732</v>
      </c>
      <c r="L1533" s="800">
        <v>45268</v>
      </c>
      <c r="M1533" s="717" t="s">
        <v>4323</v>
      </c>
      <c r="N1533" s="647" t="s">
        <v>4258</v>
      </c>
      <c r="O1533" s="575">
        <v>2023.11</v>
      </c>
      <c r="P1533" s="802" t="str">
        <f>VLOOKUP(A1533,'[1]Raw data'!$B:$BA,23,FALSE)</f>
        <v>JPY</v>
      </c>
      <c r="Q1533" s="803" t="str">
        <f>VLOOKUP(A1533,'[1]Raw data'!$B:$Z,2,FALSE)</f>
        <v>C49SZX20230111SX</v>
      </c>
      <c r="R1533" s="803" t="str">
        <f>VLOOKUP(A1533,'[1]Raw data'!$B:$Z,3,FALSE)</f>
        <v>兴开泰（end user:兴连）</v>
      </c>
      <c r="S1533" s="710" t="str">
        <f>VLOOKUP(A1533,'[1]Raw data'!$B:$Z,4,FALSE)</f>
        <v>YSM20R-2</v>
      </c>
      <c r="T1533" s="710" t="str">
        <f>VLOOKUP(A1533,'[1]Raw data'!$B:$Z,8,FALSE)</f>
        <v>L-&gt;R</v>
      </c>
      <c r="U1533" s="710" t="str">
        <f>VLOOKUP(A1533,'[1]Raw data'!$B:$Z,9,FALSE)</f>
        <v>No</v>
      </c>
      <c r="V1533" s="709" t="str">
        <f t="shared" si="355"/>
        <v>OK</v>
      </c>
      <c r="W1533" s="801" t="str">
        <f>VLOOKUP(A1533,'[1]Raw data'!$B:$AG,32,FALSE)</f>
        <v>DAP DG</v>
      </c>
      <c r="X1533" s="800">
        <f>VLOOKUP(A1533,'[1]Raw data'!$B:$BA,31,FALSE)</f>
        <v>45237</v>
      </c>
      <c r="Y1533" s="710" t="str">
        <f>VLOOKUP(A1533,'[1]Raw data'!$B:$AS,39,FALSE)</f>
        <v>Yes</v>
      </c>
      <c r="Z1533" s="659"/>
      <c r="AA1533" s="660"/>
      <c r="AB1533" s="661"/>
      <c r="AC1533" s="710"/>
      <c r="AD1533" s="662">
        <v>301</v>
      </c>
      <c r="AE1533" s="662">
        <v>20</v>
      </c>
      <c r="AF1533" s="662"/>
      <c r="AG1533" s="662"/>
      <c r="AH1533" s="662"/>
      <c r="AI1533" s="663"/>
      <c r="AN1533" s="542"/>
      <c r="AO1533" s="824" t="str">
        <f t="shared" si="341"/>
        <v>Yes</v>
      </c>
      <c r="AP1533" s="259" t="str">
        <f t="shared" si="342"/>
        <v>JAN 24</v>
      </c>
      <c r="AQ1533" s="542" t="str">
        <f t="shared" si="343"/>
        <v>有定金+有預留客戶</v>
      </c>
      <c r="AR1533" s="259" t="str">
        <f t="shared" si="344"/>
        <v>Shipped_Stock</v>
      </c>
      <c r="AS1533" s="259" t="str">
        <f t="shared" si="345"/>
        <v/>
      </c>
      <c r="AT1533" s="259" t="str">
        <f t="shared" si="346"/>
        <v>兴开泰（end user:兴连）</v>
      </c>
      <c r="AU1533" s="259" t="str">
        <f t="shared" si="347"/>
        <v>C49SZX20230111SX</v>
      </c>
      <c r="AV1533" s="259" t="str">
        <f t="shared" si="348"/>
        <v>Dec-08</v>
      </c>
    </row>
    <row r="1534" spans="1:48">
      <c r="B1534" s="797" t="s">
        <v>75</v>
      </c>
      <c r="C1534" s="797" t="s">
        <v>281</v>
      </c>
      <c r="D1534" s="798">
        <v>111464</v>
      </c>
      <c r="E1534" s="799" t="s">
        <v>236</v>
      </c>
      <c r="F1534" s="710" t="s">
        <v>58</v>
      </c>
      <c r="G1534" s="710" t="s">
        <v>24</v>
      </c>
      <c r="H1534" s="710" t="s">
        <v>26</v>
      </c>
      <c r="I1534" s="662" t="s">
        <v>4333</v>
      </c>
      <c r="J1534" s="662">
        <v>1</v>
      </c>
      <c r="K1534" s="710" t="s">
        <v>1732</v>
      </c>
      <c r="L1534" s="800">
        <v>45296</v>
      </c>
      <c r="M1534" s="826" t="s">
        <v>4398</v>
      </c>
      <c r="N1534" s="647"/>
      <c r="O1534" s="575">
        <v>2023.11</v>
      </c>
      <c r="P1534" s="717" t="e">
        <f>VLOOKUP(A1534,'[1]Raw data'!$B:$BA,23,FALSE)</f>
        <v>#N/A</v>
      </c>
      <c r="Q1534" s="710" t="e">
        <f>VLOOKUP(A1534,'[1]Raw data'!$B:$Z,2,FALSE)</f>
        <v>#N/A</v>
      </c>
      <c r="R1534" s="710" t="e">
        <f>VLOOKUP(A1534,'[1]Raw data'!$B:$Z,3,FALSE)</f>
        <v>#N/A</v>
      </c>
      <c r="S1534" s="710" t="e">
        <f>VLOOKUP(A1534,'[1]Raw data'!$B:$Z,4,FALSE)</f>
        <v>#N/A</v>
      </c>
      <c r="T1534" s="710" t="e">
        <f>VLOOKUP(A1534,'[1]Raw data'!$B:$Z,8,FALSE)</f>
        <v>#N/A</v>
      </c>
      <c r="U1534" s="710" t="e">
        <f>VLOOKUP(A1534,'[1]Raw data'!$B:$Z,9,FALSE)</f>
        <v>#N/A</v>
      </c>
      <c r="V1534" s="709" t="e">
        <f t="shared" si="355"/>
        <v>#N/A</v>
      </c>
      <c r="W1534" s="801" t="e">
        <f>VLOOKUP(A1534,'[1]Raw data'!$B:$AG,32,FALSE)</f>
        <v>#N/A</v>
      </c>
      <c r="X1534" s="800" t="e">
        <f>VLOOKUP(A1534,'[1]Raw data'!$B:$BA,31,FALSE)</f>
        <v>#N/A</v>
      </c>
      <c r="Y1534" s="710" t="e">
        <f>VLOOKUP(A1534,'[1]Raw data'!$B:$AS,39,FALSE)</f>
        <v>#N/A</v>
      </c>
      <c r="Z1534" s="659"/>
      <c r="AA1534" s="660"/>
      <c r="AB1534" s="661"/>
      <c r="AC1534" s="710"/>
      <c r="AD1534" s="662">
        <v>311</v>
      </c>
      <c r="AE1534" s="662">
        <v>10</v>
      </c>
      <c r="AF1534" s="662">
        <v>301</v>
      </c>
      <c r="AG1534" s="662">
        <v>5</v>
      </c>
      <c r="AH1534" s="662">
        <v>302</v>
      </c>
      <c r="AI1534" s="663">
        <v>5</v>
      </c>
      <c r="AN1534" s="542"/>
      <c r="AO1534" s="824" t="str">
        <f t="shared" si="341"/>
        <v>No</v>
      </c>
      <c r="AP1534" s="259" t="str">
        <f t="shared" si="342"/>
        <v>blank</v>
      </c>
      <c r="AQ1534" s="542" t="str">
        <f t="shared" si="343"/>
        <v>无定金+无預留客戶</v>
      </c>
      <c r="AR1534" s="259" t="str">
        <f t="shared" si="344"/>
        <v>Instock</v>
      </c>
      <c r="AS1534" s="259" t="str">
        <f t="shared" si="345"/>
        <v/>
      </c>
      <c r="AT1534" s="259" t="str">
        <f t="shared" si="346"/>
        <v>-</v>
      </c>
      <c r="AU1534" s="259" t="str">
        <f t="shared" si="347"/>
        <v>-</v>
      </c>
      <c r="AV1534" s="259" t="str">
        <f t="shared" si="348"/>
        <v>Jan-05</v>
      </c>
    </row>
    <row r="1535" spans="1:48">
      <c r="A1535" s="559">
        <v>2005</v>
      </c>
      <c r="B1535" s="797" t="s">
        <v>75</v>
      </c>
      <c r="C1535" s="797" t="s">
        <v>281</v>
      </c>
      <c r="D1535" s="798">
        <v>111464</v>
      </c>
      <c r="E1535" s="799" t="s">
        <v>236</v>
      </c>
      <c r="F1535" s="710" t="s">
        <v>58</v>
      </c>
      <c r="G1535" s="710" t="s">
        <v>24</v>
      </c>
      <c r="H1535" s="710" t="s">
        <v>26</v>
      </c>
      <c r="I1535" s="662" t="s">
        <v>4334</v>
      </c>
      <c r="J1535" s="662">
        <v>1</v>
      </c>
      <c r="K1535" s="710" t="s">
        <v>1732</v>
      </c>
      <c r="L1535" s="800">
        <v>45296</v>
      </c>
      <c r="M1535" s="826" t="s">
        <v>4398</v>
      </c>
      <c r="N1535" s="647"/>
      <c r="O1535" s="575">
        <v>2023.12</v>
      </c>
      <c r="P1535" s="717" t="str">
        <f>VLOOKUP(A1535,'[1]Raw data'!$B:$BA,23,FALSE)</f>
        <v>JPY</v>
      </c>
      <c r="Q1535" s="710" t="str">
        <f>VLOOKUP(A1535,'[1]Raw data'!$B:$Z,2,FALSE)</f>
        <v>C49SZX20230115JY</v>
      </c>
      <c r="R1535" s="710" t="str">
        <f>VLOOKUP(A1535,'[1]Raw data'!$B:$Z,3,FALSE)</f>
        <v>万有</v>
      </c>
      <c r="S1535" s="710" t="str">
        <f>VLOOKUP(A1535,'[1]Raw data'!$B:$Z,4,FALSE)</f>
        <v>YSM20R-2</v>
      </c>
      <c r="T1535" s="710" t="str">
        <f>VLOOKUP(A1535,'[1]Raw data'!$B:$Z,8,FALSE)</f>
        <v>L-&gt;R</v>
      </c>
      <c r="U1535" s="710" t="str">
        <f>VLOOKUP(A1535,'[1]Raw data'!$B:$Z,9,FALSE)</f>
        <v>No</v>
      </c>
      <c r="V1535" s="709" t="str">
        <f t="shared" si="355"/>
        <v>OK</v>
      </c>
      <c r="W1535" s="801" t="str">
        <f>VLOOKUP(A1535,'[1]Raw data'!$B:$AG,32,FALSE)</f>
        <v>DAP DG</v>
      </c>
      <c r="X1535" s="800">
        <f>VLOOKUP(A1535,'[1]Raw data'!$B:$BA,31,FALSE)</f>
        <v>45239</v>
      </c>
      <c r="Y1535" s="710" t="str">
        <f>VLOOKUP(A1535,'[1]Raw data'!$B:$AS,39,FALSE)</f>
        <v>Yes</v>
      </c>
      <c r="Z1535" s="659"/>
      <c r="AA1535" s="660"/>
      <c r="AB1535" s="661"/>
      <c r="AC1535" s="710"/>
      <c r="AD1535" s="662">
        <v>311</v>
      </c>
      <c r="AE1535" s="662">
        <v>10</v>
      </c>
      <c r="AF1535" s="662">
        <v>301</v>
      </c>
      <c r="AG1535" s="662">
        <v>5</v>
      </c>
      <c r="AH1535" s="662">
        <v>303</v>
      </c>
      <c r="AI1535" s="663">
        <v>5</v>
      </c>
      <c r="AN1535" s="542"/>
      <c r="AO1535" s="824" t="str">
        <f t="shared" si="341"/>
        <v>Yes</v>
      </c>
      <c r="AP1535" s="259" t="str">
        <f t="shared" si="342"/>
        <v>blank</v>
      </c>
      <c r="AQ1535" s="542" t="str">
        <f t="shared" si="343"/>
        <v>有定金+无客戶送貨期</v>
      </c>
      <c r="AR1535" s="259" t="str">
        <f t="shared" si="344"/>
        <v>Instock</v>
      </c>
      <c r="AS1535" s="259" t="str">
        <f t="shared" si="345"/>
        <v/>
      </c>
      <c r="AT1535" s="259" t="str">
        <f t="shared" si="346"/>
        <v>万有</v>
      </c>
      <c r="AU1535" s="259" t="str">
        <f t="shared" si="347"/>
        <v>C49SZX20230115JY</v>
      </c>
      <c r="AV1535" s="259" t="str">
        <f t="shared" si="348"/>
        <v>Jan-05</v>
      </c>
    </row>
    <row r="1536" spans="1:48" ht="22.5">
      <c r="B1536" s="797" t="s">
        <v>75</v>
      </c>
      <c r="C1536" s="797" t="s">
        <v>281</v>
      </c>
      <c r="D1536" s="798">
        <v>111464</v>
      </c>
      <c r="E1536" s="799" t="s">
        <v>236</v>
      </c>
      <c r="F1536" s="710" t="s">
        <v>58</v>
      </c>
      <c r="G1536" s="710" t="s">
        <v>24</v>
      </c>
      <c r="H1536" s="710" t="s">
        <v>26</v>
      </c>
      <c r="I1536" s="662" t="s">
        <v>4335</v>
      </c>
      <c r="J1536" s="662">
        <v>1</v>
      </c>
      <c r="K1536" s="710" t="s">
        <v>1732</v>
      </c>
      <c r="L1536" s="800">
        <v>45296</v>
      </c>
      <c r="M1536" s="717" t="s">
        <v>4364</v>
      </c>
      <c r="N1536" s="647"/>
      <c r="O1536" s="575">
        <v>2023.12</v>
      </c>
      <c r="P1536" s="717" t="e">
        <f>VLOOKUP(A1536,'[1]Raw data'!$B:$BA,23,FALSE)</f>
        <v>#N/A</v>
      </c>
      <c r="Q1536" s="710" t="e">
        <f>VLOOKUP(A1536,'[1]Raw data'!$B:$Z,2,FALSE)</f>
        <v>#N/A</v>
      </c>
      <c r="R1536" s="710" t="e">
        <f>VLOOKUP(A1536,'[1]Raw data'!$B:$Z,3,FALSE)</f>
        <v>#N/A</v>
      </c>
      <c r="S1536" s="710" t="e">
        <f>VLOOKUP(A1536,'[1]Raw data'!$B:$Z,4,FALSE)</f>
        <v>#N/A</v>
      </c>
      <c r="T1536" s="710" t="e">
        <f>VLOOKUP(A1536,'[1]Raw data'!$B:$Z,8,FALSE)</f>
        <v>#N/A</v>
      </c>
      <c r="U1536" s="710" t="e">
        <f>VLOOKUP(A1536,'[1]Raw data'!$B:$Z,9,FALSE)</f>
        <v>#N/A</v>
      </c>
      <c r="V1536" s="709" t="e">
        <f t="shared" si="355"/>
        <v>#N/A</v>
      </c>
      <c r="W1536" s="801" t="e">
        <f>VLOOKUP(A1536,'[1]Raw data'!$B:$AG,32,FALSE)</f>
        <v>#N/A</v>
      </c>
      <c r="X1536" s="800" t="e">
        <f>VLOOKUP(A1536,'[1]Raw data'!$B:$BA,31,FALSE)</f>
        <v>#N/A</v>
      </c>
      <c r="Y1536" s="710" t="e">
        <f>VLOOKUP(A1536,'[1]Raw data'!$B:$AS,39,FALSE)</f>
        <v>#N/A</v>
      </c>
      <c r="Z1536" s="659"/>
      <c r="AA1536" s="660"/>
      <c r="AB1536" s="661"/>
      <c r="AC1536" s="710"/>
      <c r="AD1536" s="662">
        <v>311</v>
      </c>
      <c r="AE1536" s="662">
        <v>10</v>
      </c>
      <c r="AF1536" s="662">
        <v>302</v>
      </c>
      <c r="AG1536" s="662">
        <v>5</v>
      </c>
      <c r="AH1536" s="662">
        <v>303</v>
      </c>
      <c r="AI1536" s="663">
        <v>5</v>
      </c>
      <c r="AN1536" s="542"/>
      <c r="AO1536" s="824" t="str">
        <f t="shared" si="341"/>
        <v>No</v>
      </c>
      <c r="AP1536" s="259" t="str">
        <f t="shared" si="342"/>
        <v>blank</v>
      </c>
      <c r="AQ1536" s="542" t="str">
        <f t="shared" si="343"/>
        <v>无定金+无預留客戶</v>
      </c>
      <c r="AR1536" s="259" t="str">
        <f t="shared" si="344"/>
        <v>Instock</v>
      </c>
      <c r="AS1536" s="259" t="str">
        <f t="shared" si="345"/>
        <v/>
      </c>
      <c r="AT1536" s="259" t="str">
        <f t="shared" si="346"/>
        <v>-</v>
      </c>
      <c r="AU1536" s="259" t="str">
        <f t="shared" si="347"/>
        <v>-</v>
      </c>
      <c r="AV1536" s="259" t="str">
        <f t="shared" si="348"/>
        <v>Jan-05</v>
      </c>
    </row>
    <row r="1537" spans="1:48" ht="24.75">
      <c r="B1537" s="797" t="s">
        <v>75</v>
      </c>
      <c r="C1537" s="797" t="s">
        <v>281</v>
      </c>
      <c r="D1537" s="798">
        <v>111464</v>
      </c>
      <c r="E1537" s="799" t="s">
        <v>236</v>
      </c>
      <c r="F1537" s="710" t="s">
        <v>58</v>
      </c>
      <c r="G1537" s="710" t="s">
        <v>24</v>
      </c>
      <c r="H1537" s="710" t="s">
        <v>26</v>
      </c>
      <c r="I1537" s="840" t="s">
        <v>4401</v>
      </c>
      <c r="J1537" s="662">
        <v>1</v>
      </c>
      <c r="K1537" s="710" t="s">
        <v>1732</v>
      </c>
      <c r="L1537" s="800">
        <v>45296</v>
      </c>
      <c r="M1537" s="717" t="s">
        <v>4364</v>
      </c>
      <c r="N1537" s="647"/>
      <c r="O1537" s="575">
        <v>2023.12</v>
      </c>
      <c r="P1537" s="717" t="e">
        <f>VLOOKUP(A1537,'[1]Raw data'!$B:$BA,23,FALSE)</f>
        <v>#N/A</v>
      </c>
      <c r="Q1537" s="710" t="e">
        <f>VLOOKUP(A1537,'[1]Raw data'!$B:$Z,2,FALSE)</f>
        <v>#N/A</v>
      </c>
      <c r="R1537" s="710" t="e">
        <f>VLOOKUP(A1537,'[1]Raw data'!$B:$Z,3,FALSE)</f>
        <v>#N/A</v>
      </c>
      <c r="S1537" s="710" t="e">
        <f>VLOOKUP(A1537,'[1]Raw data'!$B:$Z,4,FALSE)</f>
        <v>#N/A</v>
      </c>
      <c r="T1537" s="710" t="e">
        <f>VLOOKUP(A1537,'[1]Raw data'!$B:$Z,8,FALSE)</f>
        <v>#N/A</v>
      </c>
      <c r="U1537" s="710" t="e">
        <f>VLOOKUP(A1537,'[1]Raw data'!$B:$Z,9,FALSE)</f>
        <v>#N/A</v>
      </c>
      <c r="V1537" s="709" t="e">
        <f t="shared" si="355"/>
        <v>#N/A</v>
      </c>
      <c r="W1537" s="801" t="e">
        <f>VLOOKUP(A1537,'[1]Raw data'!$B:$AG,32,FALSE)</f>
        <v>#N/A</v>
      </c>
      <c r="X1537" s="800" t="e">
        <f>VLOOKUP(A1537,'[1]Raw data'!$B:$BA,31,FALSE)</f>
        <v>#N/A</v>
      </c>
      <c r="Y1537" s="710" t="e">
        <f>VLOOKUP(A1537,'[1]Raw data'!$B:$AS,39,FALSE)</f>
        <v>#N/A</v>
      </c>
      <c r="Z1537" s="659"/>
      <c r="AA1537" s="660"/>
      <c r="AB1537" s="661"/>
      <c r="AC1537" s="710"/>
      <c r="AD1537" s="662">
        <v>311</v>
      </c>
      <c r="AE1537" s="662">
        <v>10</v>
      </c>
      <c r="AF1537" s="662">
        <v>302</v>
      </c>
      <c r="AG1537" s="662">
        <v>5</v>
      </c>
      <c r="AH1537" s="662">
        <v>303</v>
      </c>
      <c r="AI1537" s="663">
        <v>5</v>
      </c>
      <c r="AN1537" s="542"/>
      <c r="AO1537" s="824" t="str">
        <f t="shared" si="341"/>
        <v>No</v>
      </c>
      <c r="AP1537" s="259" t="str">
        <f t="shared" si="342"/>
        <v>blank</v>
      </c>
      <c r="AQ1537" s="542" t="str">
        <f t="shared" si="343"/>
        <v>无定金+无預留客戶</v>
      </c>
      <c r="AR1537" s="259" t="str">
        <f t="shared" si="344"/>
        <v>Instock</v>
      </c>
      <c r="AS1537" s="259" t="str">
        <f t="shared" si="345"/>
        <v/>
      </c>
      <c r="AT1537" s="259" t="str">
        <f t="shared" si="346"/>
        <v>-</v>
      </c>
      <c r="AU1537" s="259" t="str">
        <f t="shared" si="347"/>
        <v>-</v>
      </c>
      <c r="AV1537" s="259" t="str">
        <f t="shared" si="348"/>
        <v>Jan-05</v>
      </c>
    </row>
    <row r="1538" spans="1:48">
      <c r="A1538" s="559">
        <v>1969</v>
      </c>
      <c r="B1538" s="797" t="s">
        <v>75</v>
      </c>
      <c r="C1538" s="797" t="s">
        <v>15</v>
      </c>
      <c r="D1538" s="798">
        <v>111440</v>
      </c>
      <c r="E1538" s="799" t="s">
        <v>4162</v>
      </c>
      <c r="F1538" s="710" t="s">
        <v>4163</v>
      </c>
      <c r="G1538" s="710" t="s">
        <v>24</v>
      </c>
      <c r="H1538" s="710" t="s">
        <v>26</v>
      </c>
      <c r="I1538" s="662" t="s">
        <v>4336</v>
      </c>
      <c r="J1538" s="662">
        <v>1</v>
      </c>
      <c r="K1538" s="710" t="s">
        <v>1732</v>
      </c>
      <c r="L1538" s="800">
        <v>45296</v>
      </c>
      <c r="M1538" s="717">
        <v>4.9599999999999998E-2</v>
      </c>
      <c r="N1538" s="647"/>
      <c r="O1538" s="575">
        <v>2023.12</v>
      </c>
      <c r="P1538" s="717" t="str">
        <f>VLOOKUP(A1538,'[1]Raw data'!$B:$BA,23,FALSE)</f>
        <v>RMB</v>
      </c>
      <c r="Q1538" s="710" t="str">
        <f>VLOOKUP(A1538,'[1]Raw data'!$B:$Z,2,FALSE)</f>
        <v>SNFPC-CG-2023-006</v>
      </c>
      <c r="R1538" s="710" t="str">
        <f>VLOOKUP(A1538,'[1]Raw data'!$B:$Z,3,FALSE)</f>
        <v xml:space="preserve">康佳 </v>
      </c>
      <c r="S1538" s="710" t="str">
        <f>VLOOKUP(A1538,'[1]Raw data'!$B:$Z,4,FALSE)</f>
        <v>S20</v>
      </c>
      <c r="T1538" s="710" t="str">
        <f>VLOOKUP(A1538,'[1]Raw data'!$B:$Z,8,FALSE)</f>
        <v>L-&gt;R</v>
      </c>
      <c r="U1538" s="710" t="str">
        <f>VLOOKUP(A1538,'[1]Raw data'!$B:$Z,9,FALSE)</f>
        <v>No</v>
      </c>
      <c r="V1538" s="709" t="str">
        <f t="shared" si="354"/>
        <v>OK</v>
      </c>
      <c r="W1538" s="801" t="str">
        <f>VLOOKUP(A1538,'[1]Raw data'!$B:$AG,32,FALSE)</f>
        <v>DDP SN</v>
      </c>
      <c r="X1538" s="800">
        <f>VLOOKUP(A1538,'[1]Raw data'!$B:$BA,31,FALSE)</f>
        <v>45142</v>
      </c>
      <c r="Y1538" s="710" t="str">
        <f>VLOOKUP(A1538,'[1]Raw data'!$B:$AS,39,FALSE)</f>
        <v>Yes</v>
      </c>
      <c r="Z1538" s="659"/>
      <c r="AA1538" s="660"/>
      <c r="AB1538" s="661"/>
      <c r="AC1538" s="710"/>
      <c r="AD1538" s="662"/>
      <c r="AE1538" s="662"/>
      <c r="AF1538" s="662"/>
      <c r="AG1538" s="662"/>
      <c r="AH1538" s="662"/>
      <c r="AI1538" s="663"/>
      <c r="AN1538" s="542"/>
      <c r="AO1538" s="824" t="str">
        <f t="shared" si="341"/>
        <v>Yes</v>
      </c>
      <c r="AP1538" s="259" t="str">
        <f t="shared" si="342"/>
        <v>blank</v>
      </c>
      <c r="AQ1538" s="542" t="str">
        <f t="shared" si="343"/>
        <v>有定金+无客戶送貨期</v>
      </c>
      <c r="AR1538" s="259" t="str">
        <f t="shared" si="344"/>
        <v>Instock</v>
      </c>
      <c r="AS1538" s="259" t="str">
        <f t="shared" si="345"/>
        <v/>
      </c>
      <c r="AT1538" s="259" t="str">
        <f t="shared" si="346"/>
        <v xml:space="preserve">康佳 </v>
      </c>
      <c r="AU1538" s="259" t="str">
        <f t="shared" si="347"/>
        <v>SNFPC-CG-2023-006</v>
      </c>
      <c r="AV1538" s="259" t="str">
        <f t="shared" si="348"/>
        <v>Jan-05</v>
      </c>
    </row>
    <row r="1539" spans="1:48" ht="36" hidden="1">
      <c r="A1539" s="559">
        <v>2000</v>
      </c>
      <c r="B1539" s="664" t="s">
        <v>1125</v>
      </c>
      <c r="C1539" s="664" t="s">
        <v>281</v>
      </c>
      <c r="D1539" s="645" t="s">
        <v>4256</v>
      </c>
      <c r="E1539" s="744" t="s">
        <v>236</v>
      </c>
      <c r="F1539" s="647" t="s">
        <v>17</v>
      </c>
      <c r="G1539" s="647" t="s">
        <v>24</v>
      </c>
      <c r="H1539" s="647" t="s">
        <v>4022</v>
      </c>
      <c r="I1539" s="575" t="s">
        <v>4355</v>
      </c>
      <c r="J1539" s="575">
        <v>1</v>
      </c>
      <c r="K1539" s="647"/>
      <c r="L1539" s="657">
        <v>45296</v>
      </c>
      <c r="M1539" s="665" t="s">
        <v>4257</v>
      </c>
      <c r="N1539" s="647" t="s">
        <v>4258</v>
      </c>
      <c r="O1539" s="575">
        <v>2023.12</v>
      </c>
      <c r="P1539" s="665" t="str">
        <f>VLOOKUP(A1539,'[1]Raw data'!$B:$BA,23,FALSE)</f>
        <v>USD</v>
      </c>
      <c r="Q1539" s="647" t="str">
        <f>VLOOKUP(A1539,'[1]Raw data'!$B:$Z,2,FALSE)</f>
        <v>C49SZX20230119JL/4600003615</v>
      </c>
      <c r="R1539" s="647" t="str">
        <f>VLOOKUP(A1539,'[1]Raw data'!$B:$Z,3,FALSE)</f>
        <v>高伟</v>
      </c>
      <c r="S1539" s="647" t="str">
        <f>VLOOKUP(A1539,'[1]Raw data'!$B:$Z,4,FALSE)</f>
        <v>YSM10</v>
      </c>
      <c r="T1539" s="647" t="str">
        <f>VLOOKUP(A1539,'[1]Raw data'!$B:$Z,8,FALSE)</f>
        <v>L-&gt;R</v>
      </c>
      <c r="U1539" s="647" t="str">
        <f>VLOOKUP(A1539,'[1]Raw data'!$B:$Z,9,FALSE)</f>
        <v>MVC+ATS15(with 5 heads)</v>
      </c>
      <c r="V1539" s="567" t="str">
        <f t="shared" ref="V1539:V1546" si="356">IF(G1539&amp;H1539=T1539&amp;U1539,"OK","WRONG")</f>
        <v>WRONG</v>
      </c>
      <c r="W1539" s="563" t="str">
        <f>VLOOKUP(A1539,'[1]Raw data'!$B:$AG,32,FALSE)</f>
        <v>CIF HK</v>
      </c>
      <c r="X1539" s="657">
        <f>VLOOKUP(A1539,'[1]Raw data'!$B:$BA,31,FALSE)</f>
        <v>45233</v>
      </c>
      <c r="Y1539" s="647" t="str">
        <f>VLOOKUP(A1539,'[1]Raw data'!$B:$AS,39,FALSE)</f>
        <v>Yes</v>
      </c>
      <c r="Z1539" s="666"/>
      <c r="AA1539" s="667"/>
      <c r="AB1539" s="668"/>
      <c r="AC1539" s="647" t="s">
        <v>4235</v>
      </c>
      <c r="AD1539" s="662">
        <v>301</v>
      </c>
      <c r="AE1539" s="662">
        <v>5</v>
      </c>
      <c r="AF1539" s="662"/>
      <c r="AG1539" s="662"/>
      <c r="AH1539" s="662"/>
      <c r="AI1539" s="663"/>
      <c r="AN1539" s="542"/>
      <c r="AO1539" s="824" t="str">
        <f t="shared" ref="AO1539:AO1602" si="357">IFERROR(IF(Y1539&lt;&gt;"",Y1539,"No"),"No")</f>
        <v>Yes</v>
      </c>
      <c r="AP1539" s="259" t="str">
        <f t="shared" ref="AP1539:AP1615" si="358">IFERROR(IF(N1539&lt;&gt;"",N1539,"blank"),"NA")</f>
        <v>JAN 24</v>
      </c>
      <c r="AQ1539" s="542" t="str">
        <f t="shared" ref="AQ1539:AQ1602" si="359">IFERROR(IF(AND(AO1539="Yes", AP1539&lt;&gt;"blank"), "有定金+有預留客戶", IF(AND(AO1539="Yes", AP1539="blank"), "有定金+无客戶送貨期", IF(AND(OR(AO1539="No", ISBLANK(AO1539), AO1539="NA"), AP1539&lt;&gt;"blank"), "无定金+有預留客戶", IF(AND(OR(AO1539="No", ISBLANK(AO1539), AO1539="NA"), AP1539="blank"), "无定金+无預留客戶", "")))), "")</f>
        <v>有定金+有預留客戶</v>
      </c>
      <c r="AR1539" s="259" t="str">
        <f t="shared" ref="AR1539:AR1598" si="360">IFERROR(IF(B1539="已经到货", "Instock", IF(B1539="有交期", "Incoming_Stock_With_YAMAHA_Schedule", IF(B1539="TBA.", "Incoming_Stock_No_YAMAHA_Schedule", IF(B1539="已发货", "Shipped_Stock", "")))), "")</f>
        <v>Shipped_Stock</v>
      </c>
      <c r="AS1539" s="259" t="str">
        <f t="shared" ref="AS1539:AS1598" si="361">IF(AND(B1539="有交期", L1539&lt;&gt;""), L1539, "")</f>
        <v/>
      </c>
      <c r="AT1539" s="259" t="str">
        <f t="shared" ref="AT1539:AT1602" si="362">IFERROR(IF(R1539&lt;&gt;"",R1539),"-")</f>
        <v>高伟</v>
      </c>
      <c r="AU1539" s="259" t="str">
        <f t="shared" ref="AU1539:AU1602" si="363">IFERROR(IF(Q1539&lt;&gt;"",Q1539),"-")</f>
        <v>C49SZX20230119JL/4600003615</v>
      </c>
      <c r="AV1539" s="259" t="str">
        <f t="shared" ref="AV1539:AV1602" si="364">IF(L1539="","-",TEXT(L1539,"mmm-dd"))</f>
        <v>Jan-05</v>
      </c>
    </row>
    <row r="1540" spans="1:48" ht="36" hidden="1">
      <c r="A1540" s="559">
        <v>2001</v>
      </c>
      <c r="B1540" s="664" t="s">
        <v>1125</v>
      </c>
      <c r="C1540" s="664" t="s">
        <v>281</v>
      </c>
      <c r="D1540" s="645" t="s">
        <v>4256</v>
      </c>
      <c r="E1540" s="744" t="s">
        <v>236</v>
      </c>
      <c r="F1540" s="647" t="s">
        <v>17</v>
      </c>
      <c r="G1540" s="647" t="s">
        <v>24</v>
      </c>
      <c r="H1540" s="647" t="s">
        <v>4022</v>
      </c>
      <c r="I1540" s="575" t="s">
        <v>4337</v>
      </c>
      <c r="J1540" s="575">
        <v>1</v>
      </c>
      <c r="K1540" s="647"/>
      <c r="L1540" s="657">
        <v>45296</v>
      </c>
      <c r="M1540" s="665" t="s">
        <v>4257</v>
      </c>
      <c r="N1540" s="647" t="s">
        <v>4258</v>
      </c>
      <c r="O1540" s="575">
        <v>2023.12</v>
      </c>
      <c r="P1540" s="665" t="str">
        <f>VLOOKUP(A1540,'[1]Raw data'!$B:$BA,23,FALSE)</f>
        <v>USD</v>
      </c>
      <c r="Q1540" s="647" t="str">
        <f>VLOOKUP(A1540,'[1]Raw data'!$B:$Z,2,FALSE)</f>
        <v>C49SZX20230119JL/4600003615</v>
      </c>
      <c r="R1540" s="647" t="str">
        <f>VLOOKUP(A1540,'[1]Raw data'!$B:$Z,3,FALSE)</f>
        <v>高伟</v>
      </c>
      <c r="S1540" s="647" t="str">
        <f>VLOOKUP(A1540,'[1]Raw data'!$B:$Z,4,FALSE)</f>
        <v>YSM10</v>
      </c>
      <c r="T1540" s="647" t="str">
        <f>VLOOKUP(A1540,'[1]Raw data'!$B:$Z,8,FALSE)</f>
        <v>L-&gt;R</v>
      </c>
      <c r="U1540" s="647" t="str">
        <f>VLOOKUP(A1540,'[1]Raw data'!$B:$Z,9,FALSE)</f>
        <v>MVC+ATS15(with 5 heads)</v>
      </c>
      <c r="V1540" s="567" t="str">
        <f t="shared" si="356"/>
        <v>WRONG</v>
      </c>
      <c r="W1540" s="563" t="str">
        <f>VLOOKUP(A1540,'[1]Raw data'!$B:$AG,32,FALSE)</f>
        <v>CIF HK</v>
      </c>
      <c r="X1540" s="657">
        <f>VLOOKUP(A1540,'[1]Raw data'!$B:$BA,31,FALSE)</f>
        <v>45233</v>
      </c>
      <c r="Y1540" s="647" t="str">
        <f>VLOOKUP(A1540,'[1]Raw data'!$B:$AS,39,FALSE)</f>
        <v>Yes</v>
      </c>
      <c r="Z1540" s="666"/>
      <c r="AA1540" s="667"/>
      <c r="AB1540" s="668"/>
      <c r="AC1540" s="647" t="s">
        <v>4235</v>
      </c>
      <c r="AD1540" s="662">
        <v>301</v>
      </c>
      <c r="AE1540" s="662">
        <v>5</v>
      </c>
      <c r="AF1540" s="662"/>
      <c r="AG1540" s="662"/>
      <c r="AH1540" s="662"/>
      <c r="AI1540" s="663"/>
      <c r="AN1540" s="542"/>
      <c r="AO1540" s="824" t="str">
        <f t="shared" si="357"/>
        <v>Yes</v>
      </c>
      <c r="AP1540" s="259" t="str">
        <f t="shared" si="358"/>
        <v>JAN 24</v>
      </c>
      <c r="AQ1540" s="542" t="str">
        <f t="shared" si="359"/>
        <v>有定金+有預留客戶</v>
      </c>
      <c r="AR1540" s="259" t="str">
        <f t="shared" si="360"/>
        <v>Shipped_Stock</v>
      </c>
      <c r="AS1540" s="259" t="str">
        <f t="shared" si="361"/>
        <v/>
      </c>
      <c r="AT1540" s="259" t="str">
        <f t="shared" si="362"/>
        <v>高伟</v>
      </c>
      <c r="AU1540" s="259" t="str">
        <f t="shared" si="363"/>
        <v>C49SZX20230119JL/4600003615</v>
      </c>
      <c r="AV1540" s="259" t="str">
        <f t="shared" si="364"/>
        <v>Jan-05</v>
      </c>
    </row>
    <row r="1541" spans="1:48" ht="22.5">
      <c r="A1541" s="559">
        <v>2088</v>
      </c>
      <c r="B1541" s="797" t="s">
        <v>75</v>
      </c>
      <c r="C1541" s="797" t="s">
        <v>281</v>
      </c>
      <c r="D1541" s="798">
        <v>111465</v>
      </c>
      <c r="E1541" s="799" t="s">
        <v>236</v>
      </c>
      <c r="F1541" s="710" t="s">
        <v>17</v>
      </c>
      <c r="G1541" s="710" t="s">
        <v>18</v>
      </c>
      <c r="H1541" s="710" t="s">
        <v>19</v>
      </c>
      <c r="I1541" s="662" t="s">
        <v>4338</v>
      </c>
      <c r="J1541" s="662">
        <v>1</v>
      </c>
      <c r="K1541" s="710" t="s">
        <v>1732</v>
      </c>
      <c r="L1541" s="800">
        <v>45296</v>
      </c>
      <c r="M1541" s="717" t="s">
        <v>4364</v>
      </c>
      <c r="N1541" s="647" t="s">
        <v>4365</v>
      </c>
      <c r="O1541" s="575">
        <v>2023.12</v>
      </c>
      <c r="P1541" s="802" t="str">
        <f>VLOOKUP(A1541,'[1]Raw data'!$B:$BA,23,FALSE)</f>
        <v>USD</v>
      </c>
      <c r="Q1541" s="803" t="str">
        <f>VLOOKUP(A1541,'[1]Raw data'!$B:$Z,2,FALSE)</f>
        <v>C49SZX20240030SX</v>
      </c>
      <c r="R1541" s="803" t="str">
        <f>VLOOKUP(A1541,'[1]Raw data'!$B:$Z,3,FALSE)</f>
        <v>广基达</v>
      </c>
      <c r="S1541" s="710" t="str">
        <f>VLOOKUP(A1541,'[1]Raw data'!$B:$Z,4,FALSE)</f>
        <v>YSM10</v>
      </c>
      <c r="T1541" s="710" t="str">
        <f>VLOOKUP(A1541,'[1]Raw data'!$B:$Z,8,FALSE)</f>
        <v>L-&gt;R</v>
      </c>
      <c r="U1541" s="710" t="str">
        <f>VLOOKUP(A1541,'[1]Raw data'!$B:$Z,9,FALSE)</f>
        <v>MVC+ATS15</v>
      </c>
      <c r="V1541" s="709" t="str">
        <f t="shared" si="356"/>
        <v>WRONG</v>
      </c>
      <c r="W1541" s="801" t="str">
        <f>VLOOKUP(A1541,'[1]Raw data'!$B:$AG,32,FALSE)</f>
        <v>CIF Vietnam</v>
      </c>
      <c r="X1541" s="800">
        <f>VLOOKUP(A1541,'[1]Raw data'!$B:$BA,31,FALSE)</f>
        <v>45317</v>
      </c>
      <c r="Y1541" s="710" t="str">
        <f>VLOOKUP(A1541,'[1]Raw data'!$B:$AS,39,FALSE)</f>
        <v>Yes</v>
      </c>
      <c r="Z1541" s="659"/>
      <c r="AA1541" s="660"/>
      <c r="AB1541" s="661"/>
      <c r="AC1541" s="710"/>
      <c r="AD1541" s="662">
        <v>301</v>
      </c>
      <c r="AE1541" s="662">
        <v>10</v>
      </c>
      <c r="AF1541" s="662"/>
      <c r="AG1541" s="662"/>
      <c r="AH1541" s="662"/>
      <c r="AI1541" s="663"/>
      <c r="AN1541" s="542"/>
      <c r="AO1541" s="824" t="str">
        <f t="shared" si="357"/>
        <v>Yes</v>
      </c>
      <c r="AP1541" s="259" t="str">
        <f t="shared" si="358"/>
        <v>MAR 24</v>
      </c>
      <c r="AQ1541" s="542" t="str">
        <f t="shared" si="359"/>
        <v>有定金+有預留客戶</v>
      </c>
      <c r="AR1541" s="259" t="str">
        <f t="shared" si="360"/>
        <v>Instock</v>
      </c>
      <c r="AS1541" s="259" t="str">
        <f t="shared" si="361"/>
        <v/>
      </c>
      <c r="AT1541" s="259" t="str">
        <f t="shared" si="362"/>
        <v>广基达</v>
      </c>
      <c r="AU1541" s="259" t="str">
        <f t="shared" si="363"/>
        <v>C49SZX20240030SX</v>
      </c>
      <c r="AV1541" s="259" t="str">
        <f t="shared" si="364"/>
        <v>Jan-05</v>
      </c>
    </row>
    <row r="1542" spans="1:48" ht="22.5">
      <c r="A1542" s="559">
        <v>2094</v>
      </c>
      <c r="B1542" s="797" t="s">
        <v>75</v>
      </c>
      <c r="C1542" s="797" t="s">
        <v>281</v>
      </c>
      <c r="D1542" s="798">
        <v>111465</v>
      </c>
      <c r="E1542" s="799" t="s">
        <v>236</v>
      </c>
      <c r="F1542" s="710" t="s">
        <v>17</v>
      </c>
      <c r="G1542" s="710" t="s">
        <v>18</v>
      </c>
      <c r="H1542" s="710" t="s">
        <v>19</v>
      </c>
      <c r="I1542" s="662" t="s">
        <v>4339</v>
      </c>
      <c r="J1542" s="662">
        <v>1</v>
      </c>
      <c r="K1542" s="710" t="s">
        <v>1732</v>
      </c>
      <c r="L1542" s="800">
        <v>45296</v>
      </c>
      <c r="M1542" s="717" t="s">
        <v>4364</v>
      </c>
      <c r="N1542" s="647" t="s">
        <v>4365</v>
      </c>
      <c r="O1542" s="575">
        <v>2023.12</v>
      </c>
      <c r="P1542" s="802" t="str">
        <f>VLOOKUP(A1542,'[1]Raw data'!$B:$BA,23,FALSE)</f>
        <v>USD</v>
      </c>
      <c r="Q1542" s="803" t="str">
        <f>VLOOKUP(A1542,'[1]Raw data'!$B:$Z,2,FALSE)</f>
        <v>C49SZX20240026JL/4600004198</v>
      </c>
      <c r="R1542" s="803" t="str">
        <f>VLOOKUP(A1542,'[1]Raw data'!$B:$Z,3,FALSE)</f>
        <v>高伟</v>
      </c>
      <c r="S1542" s="710" t="str">
        <f>VLOOKUP(A1542,'[1]Raw data'!$B:$Z,4,FALSE)</f>
        <v>YSM10</v>
      </c>
      <c r="T1542" s="710" t="str">
        <f>VLOOKUP(A1542,'[1]Raw data'!$B:$Z,8,FALSE)</f>
        <v>L-&gt;R</v>
      </c>
      <c r="U1542" s="710" t="str">
        <f>VLOOKUP(A1542,'[1]Raw data'!$B:$Z,9,FALSE)</f>
        <v>MVC+ATS15</v>
      </c>
      <c r="V1542" s="709" t="str">
        <f t="shared" si="356"/>
        <v>WRONG</v>
      </c>
      <c r="W1542" s="801" t="str">
        <f>VLOOKUP(A1542,'[1]Raw data'!$B:$AG,32,FALSE)</f>
        <v>CIF HK</v>
      </c>
      <c r="X1542" s="800">
        <f>VLOOKUP(A1542,'[1]Raw data'!$B:$BA,31,FALSE)</f>
        <v>45323</v>
      </c>
      <c r="Y1542" s="710" t="str">
        <f>VLOOKUP(A1542,'[1]Raw data'!$B:$AS,39,FALSE)</f>
        <v>Yes</v>
      </c>
      <c r="Z1542" s="659"/>
      <c r="AA1542" s="660"/>
      <c r="AB1542" s="661"/>
      <c r="AC1542" s="710"/>
      <c r="AD1542" s="662">
        <v>301</v>
      </c>
      <c r="AE1542" s="662">
        <v>10</v>
      </c>
      <c r="AF1542" s="662"/>
      <c r="AG1542" s="662"/>
      <c r="AH1542" s="662"/>
      <c r="AI1542" s="663"/>
      <c r="AN1542" s="542"/>
      <c r="AO1542" s="824" t="str">
        <f t="shared" si="357"/>
        <v>Yes</v>
      </c>
      <c r="AP1542" s="259" t="str">
        <f t="shared" si="358"/>
        <v>MAR 24</v>
      </c>
      <c r="AQ1542" s="542" t="str">
        <f t="shared" si="359"/>
        <v>有定金+有預留客戶</v>
      </c>
      <c r="AR1542" s="259" t="str">
        <f t="shared" si="360"/>
        <v>Instock</v>
      </c>
      <c r="AS1542" s="259" t="str">
        <f t="shared" si="361"/>
        <v/>
      </c>
      <c r="AT1542" s="259" t="str">
        <f t="shared" si="362"/>
        <v>高伟</v>
      </c>
      <c r="AU1542" s="259" t="str">
        <f t="shared" si="363"/>
        <v>C49SZX20240026JL/4600004198</v>
      </c>
      <c r="AV1542" s="259" t="str">
        <f t="shared" si="364"/>
        <v>Jan-05</v>
      </c>
    </row>
    <row r="1543" spans="1:48" ht="22.5">
      <c r="A1543" s="559">
        <v>2097</v>
      </c>
      <c r="B1543" s="797" t="s">
        <v>75</v>
      </c>
      <c r="C1543" s="797" t="s">
        <v>281</v>
      </c>
      <c r="D1543" s="798">
        <v>111465</v>
      </c>
      <c r="E1543" s="799" t="s">
        <v>236</v>
      </c>
      <c r="F1543" s="710" t="s">
        <v>17</v>
      </c>
      <c r="G1543" s="710" t="s">
        <v>18</v>
      </c>
      <c r="H1543" s="710" t="s">
        <v>19</v>
      </c>
      <c r="I1543" s="662" t="s">
        <v>4340</v>
      </c>
      <c r="J1543" s="662">
        <v>1</v>
      </c>
      <c r="K1543" s="710" t="s">
        <v>1732</v>
      </c>
      <c r="L1543" s="800">
        <v>45296</v>
      </c>
      <c r="M1543" s="717" t="s">
        <v>4364</v>
      </c>
      <c r="N1543" s="647" t="s">
        <v>4365</v>
      </c>
      <c r="O1543" s="575">
        <v>2023.12</v>
      </c>
      <c r="P1543" s="802" t="str">
        <f>VLOOKUP(A1543,'[1]Raw data'!$B:$BA,23,FALSE)</f>
        <v>RMB</v>
      </c>
      <c r="Q1543" s="803" t="str">
        <f>VLOOKUP(A1543,'[1]Raw data'!$B:$Z,2,FALSE)</f>
        <v>C49SZX20240028JL/HJD24020240</v>
      </c>
      <c r="R1543" s="803" t="str">
        <f>VLOOKUP(A1543,'[1]Raw data'!$B:$Z,3,FALSE)</f>
        <v>皓吉达</v>
      </c>
      <c r="S1543" s="710" t="str">
        <f>VLOOKUP(A1543,'[1]Raw data'!$B:$Z,4,FALSE)</f>
        <v>YSM10</v>
      </c>
      <c r="T1543" s="710" t="str">
        <f>VLOOKUP(A1543,'[1]Raw data'!$B:$Z,8,FALSE)</f>
        <v>L-&gt;R</v>
      </c>
      <c r="U1543" s="710" t="str">
        <f>VLOOKUP(A1543,'[1]Raw data'!$B:$Z,9,FALSE)</f>
        <v>ATS15</v>
      </c>
      <c r="V1543" s="709" t="str">
        <f t="shared" si="356"/>
        <v>WRONG</v>
      </c>
      <c r="W1543" s="801" t="str">
        <f>VLOOKUP(A1543,'[1]Raw data'!$B:$AG,32,FALSE)</f>
        <v>DDP HY</v>
      </c>
      <c r="X1543" s="800">
        <f>VLOOKUP(A1543,'[1]Raw data'!$B:$BA,31,FALSE)</f>
        <v>45329</v>
      </c>
      <c r="Y1543" s="710" t="str">
        <f>VLOOKUP(A1543,'[1]Raw data'!$B:$AS,39,FALSE)</f>
        <v>Yes</v>
      </c>
      <c r="Z1543" s="659"/>
      <c r="AA1543" s="660"/>
      <c r="AB1543" s="661"/>
      <c r="AC1543" s="710"/>
      <c r="AD1543" s="662">
        <v>301</v>
      </c>
      <c r="AE1543" s="662">
        <v>10</v>
      </c>
      <c r="AF1543" s="662"/>
      <c r="AG1543" s="662"/>
      <c r="AH1543" s="662"/>
      <c r="AI1543" s="663"/>
      <c r="AN1543" s="542"/>
      <c r="AO1543" s="824" t="str">
        <f t="shared" si="357"/>
        <v>Yes</v>
      </c>
      <c r="AP1543" s="259" t="str">
        <f t="shared" si="358"/>
        <v>MAR 24</v>
      </c>
      <c r="AQ1543" s="542" t="str">
        <f t="shared" si="359"/>
        <v>有定金+有預留客戶</v>
      </c>
      <c r="AR1543" s="259" t="str">
        <f t="shared" si="360"/>
        <v>Instock</v>
      </c>
      <c r="AS1543" s="259" t="str">
        <f t="shared" si="361"/>
        <v/>
      </c>
      <c r="AT1543" s="259" t="str">
        <f t="shared" si="362"/>
        <v>皓吉达</v>
      </c>
      <c r="AU1543" s="259" t="str">
        <f t="shared" si="363"/>
        <v>C49SZX20240028JL/HJD24020240</v>
      </c>
      <c r="AV1543" s="259" t="str">
        <f t="shared" si="364"/>
        <v>Jan-05</v>
      </c>
    </row>
    <row r="1544" spans="1:48" ht="33.75" hidden="1">
      <c r="A1544" s="599">
        <v>2032</v>
      </c>
      <c r="B1544" s="664" t="s">
        <v>1125</v>
      </c>
      <c r="C1544" s="664" t="s">
        <v>281</v>
      </c>
      <c r="D1544" s="645">
        <v>111501</v>
      </c>
      <c r="E1544" s="744" t="s">
        <v>4296</v>
      </c>
      <c r="F1544" s="647" t="s">
        <v>17</v>
      </c>
      <c r="G1544" s="647" t="s">
        <v>24</v>
      </c>
      <c r="H1544" s="647" t="s">
        <v>4022</v>
      </c>
      <c r="I1544" s="564" t="s">
        <v>4382</v>
      </c>
      <c r="J1544" s="575">
        <v>1</v>
      </c>
      <c r="K1544" s="647" t="s">
        <v>2671</v>
      </c>
      <c r="L1544" s="657">
        <v>45324</v>
      </c>
      <c r="M1544" s="665" t="s">
        <v>4299</v>
      </c>
      <c r="N1544" s="647" t="s">
        <v>4295</v>
      </c>
      <c r="O1544" s="575">
        <v>2024.1</v>
      </c>
      <c r="P1544" s="665" t="str">
        <f>VLOOKUP(A1544,'[1]Raw data'!$B:$BA,23,FALSE)</f>
        <v>USD</v>
      </c>
      <c r="Q1544" s="647" t="str">
        <f>VLOOKUP(A1544,'[1]Raw data'!$B:$Z,2,FALSE)</f>
        <v>C49SZX20230133JL/4600003765</v>
      </c>
      <c r="R1544" s="647" t="str">
        <f>VLOOKUP(A1544,'[1]Raw data'!$B:$Z,3,FALSE)</f>
        <v>高伟</v>
      </c>
      <c r="S1544" s="647" t="str">
        <f>VLOOKUP(A1544,'[1]Raw data'!$B:$Z,4,FALSE)</f>
        <v>YSM10</v>
      </c>
      <c r="T1544" s="647" t="str">
        <f>VLOOKUP(A1544,'[1]Raw data'!$B:$Z,8,FALSE)</f>
        <v>L-&gt;R</v>
      </c>
      <c r="U1544" s="647" t="str">
        <f>VLOOKUP(A1544,'[1]Raw data'!$B:$Z,9,FALSE)</f>
        <v>MVC+ATS15(with 5 heads)</v>
      </c>
      <c r="V1544" s="567" t="str">
        <f>IF(G1544&amp;H1544=T1544&amp;U1544,"OK","WRONG")</f>
        <v>WRONG</v>
      </c>
      <c r="W1544" s="563" t="str">
        <f>VLOOKUP(A1544,'[1]Raw data'!$B:$AG,32,FALSE)</f>
        <v>CIF HK</v>
      </c>
      <c r="X1544" s="657">
        <f>VLOOKUP(A1544,'[1]Raw data'!$B:$BA,31,FALSE)</f>
        <v>45260</v>
      </c>
      <c r="Y1544" s="647" t="str">
        <f>VLOOKUP(A1544,'[1]Raw data'!$B:$AS,39,FALSE)</f>
        <v>Yes</v>
      </c>
      <c r="Z1544" s="659"/>
      <c r="AA1544" s="660"/>
      <c r="AB1544" s="661"/>
      <c r="AC1544" s="647" t="s">
        <v>1951</v>
      </c>
      <c r="AD1544" s="575">
        <v>301</v>
      </c>
      <c r="AE1544" s="575">
        <v>5</v>
      </c>
      <c r="AF1544" s="575"/>
      <c r="AG1544" s="575"/>
      <c r="AH1544" s="575"/>
      <c r="AI1544" s="679"/>
      <c r="AJ1544" s="564"/>
      <c r="AK1544" s="564"/>
      <c r="AL1544" s="564"/>
      <c r="AM1544" s="564"/>
      <c r="AN1544" s="614"/>
      <c r="AO1544" s="824" t="str">
        <f t="shared" si="357"/>
        <v>Yes</v>
      </c>
      <c r="AP1544" s="260" t="str">
        <f t="shared" si="358"/>
        <v>FEB 24</v>
      </c>
      <c r="AQ1544" s="542" t="str">
        <f t="shared" si="359"/>
        <v>有定金+有預留客戶</v>
      </c>
      <c r="AR1544" s="259" t="str">
        <f t="shared" si="360"/>
        <v>Shipped_Stock</v>
      </c>
      <c r="AS1544" s="259" t="str">
        <f t="shared" si="361"/>
        <v/>
      </c>
      <c r="AT1544" s="259" t="str">
        <f t="shared" si="362"/>
        <v>高伟</v>
      </c>
      <c r="AU1544" s="259" t="str">
        <f t="shared" si="363"/>
        <v>C49SZX20230133JL/4600003765</v>
      </c>
      <c r="AV1544" s="259" t="str">
        <f t="shared" si="364"/>
        <v>Feb-02</v>
      </c>
    </row>
    <row r="1545" spans="1:48" ht="33.75" hidden="1">
      <c r="A1545" s="599">
        <v>2033</v>
      </c>
      <c r="B1545" s="664" t="s">
        <v>1125</v>
      </c>
      <c r="C1545" s="664" t="s">
        <v>281</v>
      </c>
      <c r="D1545" s="645">
        <v>111501</v>
      </c>
      <c r="E1545" s="744" t="s">
        <v>4296</v>
      </c>
      <c r="F1545" s="647" t="s">
        <v>17</v>
      </c>
      <c r="G1545" s="647" t="s">
        <v>24</v>
      </c>
      <c r="H1545" s="647" t="s">
        <v>4022</v>
      </c>
      <c r="I1545" s="564" t="s">
        <v>4383</v>
      </c>
      <c r="J1545" s="575">
        <v>1</v>
      </c>
      <c r="K1545" s="647" t="s">
        <v>2671</v>
      </c>
      <c r="L1545" s="657">
        <v>45324</v>
      </c>
      <c r="M1545" s="665" t="s">
        <v>4299</v>
      </c>
      <c r="N1545" s="647" t="s">
        <v>4295</v>
      </c>
      <c r="O1545" s="575">
        <v>2024.1</v>
      </c>
      <c r="P1545" s="665" t="str">
        <f>VLOOKUP(A1545,'[1]Raw data'!$B:$BA,23,FALSE)</f>
        <v>USD</v>
      </c>
      <c r="Q1545" s="647" t="str">
        <f>VLOOKUP(A1545,'[1]Raw data'!$B:$Z,2,FALSE)</f>
        <v>C49SZX20230133JL/4600003765</v>
      </c>
      <c r="R1545" s="647" t="str">
        <f>VLOOKUP(A1545,'[1]Raw data'!$B:$Z,3,FALSE)</f>
        <v>高伟</v>
      </c>
      <c r="S1545" s="647" t="str">
        <f>VLOOKUP(A1545,'[1]Raw data'!$B:$Z,4,FALSE)</f>
        <v>YSM10</v>
      </c>
      <c r="T1545" s="647" t="str">
        <f>VLOOKUP(A1545,'[1]Raw data'!$B:$Z,8,FALSE)</f>
        <v>L-&gt;R</v>
      </c>
      <c r="U1545" s="647" t="str">
        <f>VLOOKUP(A1545,'[1]Raw data'!$B:$Z,9,FALSE)</f>
        <v>MVC+ATS15(with 5 heads)</v>
      </c>
      <c r="V1545" s="567" t="str">
        <f>IF(G1545&amp;H1545=T1545&amp;U1545,"OK","WRONG")</f>
        <v>WRONG</v>
      </c>
      <c r="W1545" s="563" t="str">
        <f>VLOOKUP(A1545,'[1]Raw data'!$B:$AG,32,FALSE)</f>
        <v>CIF HK</v>
      </c>
      <c r="X1545" s="657">
        <f>VLOOKUP(A1545,'[1]Raw data'!$B:$BA,31,FALSE)</f>
        <v>45260</v>
      </c>
      <c r="Y1545" s="647" t="str">
        <f>VLOOKUP(A1545,'[1]Raw data'!$B:$AS,39,FALSE)</f>
        <v>Yes</v>
      </c>
      <c r="Z1545" s="659"/>
      <c r="AA1545" s="660"/>
      <c r="AB1545" s="661"/>
      <c r="AC1545" s="647" t="s">
        <v>1951</v>
      </c>
      <c r="AD1545" s="575">
        <v>301</v>
      </c>
      <c r="AE1545" s="575">
        <v>5</v>
      </c>
      <c r="AF1545" s="575"/>
      <c r="AG1545" s="575"/>
      <c r="AH1545" s="575"/>
      <c r="AI1545" s="679"/>
      <c r="AJ1545" s="564"/>
      <c r="AK1545" s="564"/>
      <c r="AL1545" s="564"/>
      <c r="AM1545" s="564"/>
      <c r="AN1545" s="614"/>
      <c r="AO1545" s="824" t="str">
        <f t="shared" si="357"/>
        <v>Yes</v>
      </c>
      <c r="AP1545" s="260" t="str">
        <f t="shared" si="358"/>
        <v>FEB 24</v>
      </c>
      <c r="AQ1545" s="542" t="str">
        <f t="shared" si="359"/>
        <v>有定金+有預留客戶</v>
      </c>
      <c r="AR1545" s="259" t="str">
        <f t="shared" si="360"/>
        <v>Shipped_Stock</v>
      </c>
      <c r="AS1545" s="259" t="str">
        <f t="shared" si="361"/>
        <v/>
      </c>
      <c r="AT1545" s="259" t="str">
        <f t="shared" si="362"/>
        <v>高伟</v>
      </c>
      <c r="AU1545" s="259" t="str">
        <f t="shared" si="363"/>
        <v>C49SZX20230133JL/4600003765</v>
      </c>
      <c r="AV1545" s="259" t="str">
        <f t="shared" si="364"/>
        <v>Feb-02</v>
      </c>
    </row>
    <row r="1546" spans="1:48" ht="33.75" hidden="1">
      <c r="A1546" s="559">
        <v>2040</v>
      </c>
      <c r="B1546" s="664" t="s">
        <v>1125</v>
      </c>
      <c r="C1546" s="664" t="s">
        <v>281</v>
      </c>
      <c r="D1546" s="645">
        <v>111482</v>
      </c>
      <c r="E1546" s="744" t="s">
        <v>236</v>
      </c>
      <c r="F1546" s="647" t="s">
        <v>58</v>
      </c>
      <c r="G1546" s="647" t="s">
        <v>24</v>
      </c>
      <c r="H1546" s="647" t="s">
        <v>4267</v>
      </c>
      <c r="I1546" s="575" t="s">
        <v>4384</v>
      </c>
      <c r="J1546" s="575">
        <v>1</v>
      </c>
      <c r="K1546" s="647"/>
      <c r="L1546" s="657">
        <v>45349</v>
      </c>
      <c r="M1546" s="665" t="s">
        <v>4298</v>
      </c>
      <c r="N1546" s="647" t="s">
        <v>4365</v>
      </c>
      <c r="O1546" s="575">
        <v>2024.1</v>
      </c>
      <c r="P1546" s="665" t="str">
        <f>VLOOKUP(A1546,'[1]Raw data'!$B:$BA,23,FALSE)</f>
        <v>USD</v>
      </c>
      <c r="Q1546" s="647" t="str">
        <f>VLOOKUP(A1546,'[1]Raw data'!$B:$Z,2,FALSE)</f>
        <v>C49SZX20230136JAL</v>
      </c>
      <c r="R1546" s="647" t="str">
        <f>VLOOKUP(A1546,'[1]Raw data'!$B:$Z,3,FALSE)</f>
        <v>TBS</v>
      </c>
      <c r="S1546" s="647" t="str">
        <f>VLOOKUP(A1546,'[1]Raw data'!$B:$Z,4,FALSE)</f>
        <v>YSM20R-2</v>
      </c>
      <c r="T1546" s="647" t="str">
        <f>VLOOKUP(A1546,'[1]Raw data'!$B:$Z,8,FALSE)</f>
        <v>L-&gt;R</v>
      </c>
      <c r="U1546" s="647" t="str">
        <f>VLOOKUP(A1546,'[1]Raw data'!$B:$Z,9,FALSE)</f>
        <v>MVC+cATS10+ANC</v>
      </c>
      <c r="V1546" s="567" t="str">
        <f t="shared" si="356"/>
        <v>WRONG</v>
      </c>
      <c r="W1546" s="563" t="str">
        <f>VLOOKUP(A1546,'[1]Raw data'!$B:$AG,32,FALSE)</f>
        <v>CIF HK</v>
      </c>
      <c r="X1546" s="657">
        <f>VLOOKUP(A1546,'[1]Raw data'!$B:$BA,31,FALSE)</f>
        <v>45264</v>
      </c>
      <c r="Y1546" s="647" t="str">
        <f>VLOOKUP(A1546,'[1]Raw data'!$B:$AS,39,FALSE)</f>
        <v>Yes</v>
      </c>
      <c r="Z1546" s="659"/>
      <c r="AA1546" s="660"/>
      <c r="AB1546" s="661"/>
      <c r="AC1546" s="647"/>
      <c r="AD1546" s="662">
        <v>301</v>
      </c>
      <c r="AE1546" s="662">
        <v>20</v>
      </c>
      <c r="AF1546" s="662"/>
      <c r="AG1546" s="662"/>
      <c r="AH1546" s="662"/>
      <c r="AI1546" s="663"/>
      <c r="AN1546" s="542"/>
      <c r="AO1546" s="824" t="str">
        <f t="shared" si="357"/>
        <v>Yes</v>
      </c>
      <c r="AP1546" s="259" t="str">
        <f t="shared" si="358"/>
        <v>MAR 24</v>
      </c>
      <c r="AQ1546" s="542" t="str">
        <f t="shared" si="359"/>
        <v>有定金+有預留客戶</v>
      </c>
      <c r="AR1546" s="259" t="str">
        <f t="shared" si="360"/>
        <v>Shipped_Stock</v>
      </c>
      <c r="AS1546" s="839" t="str">
        <f t="shared" si="361"/>
        <v/>
      </c>
      <c r="AT1546" s="259" t="str">
        <f t="shared" si="362"/>
        <v>TBS</v>
      </c>
      <c r="AU1546" s="259" t="str">
        <f t="shared" si="363"/>
        <v>C49SZX20230136JAL</v>
      </c>
      <c r="AV1546" s="259" t="str">
        <f t="shared" si="364"/>
        <v>Feb-27</v>
      </c>
    </row>
    <row r="1547" spans="1:48">
      <c r="A1547" s="559">
        <v>2004</v>
      </c>
      <c r="B1547" s="797" t="s">
        <v>75</v>
      </c>
      <c r="C1547" s="797" t="s">
        <v>4013</v>
      </c>
      <c r="D1547" s="798" t="s">
        <v>4281</v>
      </c>
      <c r="E1547" s="799" t="s">
        <v>4285</v>
      </c>
      <c r="F1547" s="710" t="s">
        <v>201</v>
      </c>
      <c r="G1547" s="710" t="s">
        <v>24</v>
      </c>
      <c r="H1547" s="710" t="s">
        <v>26</v>
      </c>
      <c r="I1547" s="662" t="s">
        <v>4327</v>
      </c>
      <c r="J1547" s="662">
        <v>1</v>
      </c>
      <c r="K1547" s="710"/>
      <c r="L1547" s="800">
        <v>45348</v>
      </c>
      <c r="M1547" s="717" t="s">
        <v>906</v>
      </c>
      <c r="N1547" s="647" t="s">
        <v>4365</v>
      </c>
      <c r="O1547" s="575">
        <v>2024.1</v>
      </c>
      <c r="P1547" s="802" t="str">
        <f>VLOOKUP(A1547,'[1]Raw data'!$B:$BA,23,FALSE)</f>
        <v>JPY</v>
      </c>
      <c r="Q1547" s="803" t="str">
        <f>VLOOKUP(A1547,'[1]Raw data'!$B:$Z,2,FALSE)</f>
        <v>C28SZX20230122SX</v>
      </c>
      <c r="R1547" s="803" t="str">
        <f>VLOOKUP(A1547,'[1]Raw data'!$B:$Z,3,FALSE)</f>
        <v>锐诚</v>
      </c>
      <c r="S1547" s="710" t="str">
        <f>VLOOKUP(A1547,'[1]Raw data'!$B:$Z,4,FALSE)</f>
        <v>YSi-V</v>
      </c>
      <c r="T1547" s="710" t="str">
        <f>VLOOKUP(A1547,'[1]Raw data'!$B:$Z,8,FALSE)</f>
        <v>L-&gt;R</v>
      </c>
      <c r="U1547" s="710" t="str">
        <f>VLOOKUP(A1547,'[1]Raw data'!$B:$Z,9,FALSE)</f>
        <v>No</v>
      </c>
      <c r="V1547" s="709" t="str">
        <f>IF(G1547&amp;H1547=T1547&amp;U1547,"OK","WRONG")</f>
        <v>OK</v>
      </c>
      <c r="W1547" s="581" t="str">
        <f>VLOOKUP(A1547,'[1]Raw data'!$B:$AG,32,FALSE)</f>
        <v>DAP HZ</v>
      </c>
      <c r="X1547" s="800">
        <f>VLOOKUP(A1547,'[1]Raw data'!$B:$BA,31,FALSE)</f>
        <v>45236</v>
      </c>
      <c r="Y1547" s="710" t="str">
        <f>VLOOKUP(A1547,'[1]Raw data'!$B:$AS,39,FALSE)</f>
        <v>Yes</v>
      </c>
      <c r="Z1547" s="659"/>
      <c r="AA1547" s="660"/>
      <c r="AB1547" s="661"/>
      <c r="AC1547" s="710"/>
      <c r="AD1547" s="662"/>
      <c r="AE1547" s="662"/>
      <c r="AF1547" s="662"/>
      <c r="AG1547" s="662"/>
      <c r="AH1547" s="662"/>
      <c r="AI1547" s="663"/>
      <c r="AN1547" s="542"/>
      <c r="AO1547" s="824" t="str">
        <f t="shared" si="357"/>
        <v>Yes</v>
      </c>
      <c r="AP1547" s="259" t="str">
        <f t="shared" si="358"/>
        <v>MAR 24</v>
      </c>
      <c r="AQ1547" s="542" t="str">
        <f t="shared" si="359"/>
        <v>有定金+有預留客戶</v>
      </c>
      <c r="AR1547" s="259" t="str">
        <f t="shared" si="360"/>
        <v>Instock</v>
      </c>
      <c r="AS1547" s="839" t="str">
        <f t="shared" si="361"/>
        <v/>
      </c>
      <c r="AT1547" s="259" t="str">
        <f t="shared" si="362"/>
        <v>锐诚</v>
      </c>
      <c r="AU1547" s="259" t="str">
        <f t="shared" si="363"/>
        <v>C28SZX20230122SX</v>
      </c>
      <c r="AV1547" s="259" t="str">
        <f t="shared" si="364"/>
        <v>Feb-26</v>
      </c>
    </row>
    <row r="1548" spans="1:48" hidden="1">
      <c r="A1548" s="559">
        <v>2037</v>
      </c>
      <c r="B1548" s="664" t="s">
        <v>1125</v>
      </c>
      <c r="C1548" s="664" t="s">
        <v>281</v>
      </c>
      <c r="D1548" s="645">
        <v>111503</v>
      </c>
      <c r="E1548" s="744" t="s">
        <v>4301</v>
      </c>
      <c r="F1548" s="647" t="s">
        <v>58</v>
      </c>
      <c r="G1548" s="647" t="s">
        <v>24</v>
      </c>
      <c r="H1548" s="647" t="s">
        <v>2410</v>
      </c>
      <c r="I1548" s="575" t="s">
        <v>4395</v>
      </c>
      <c r="J1548" s="575">
        <v>1</v>
      </c>
      <c r="K1548" s="647"/>
      <c r="L1548" s="657">
        <v>45348</v>
      </c>
      <c r="M1548" s="665">
        <v>4.99E-2</v>
      </c>
      <c r="N1548" s="647" t="s">
        <v>4365</v>
      </c>
      <c r="O1548" s="575">
        <v>2024.1</v>
      </c>
      <c r="P1548" s="665" t="str">
        <f>VLOOKUP(A1548,'[1]Raw data'!$B:$BA,23,FALSE)</f>
        <v>RMB</v>
      </c>
      <c r="Q1548" s="647" t="str">
        <f>VLOOKUP(A1548,'[1]Raw data'!$B:$Z,2,FALSE)</f>
        <v>CG20231204009</v>
      </c>
      <c r="R1548" s="647" t="str">
        <f>VLOOKUP(A1548,'[1]Raw data'!$B:$Z,3,FALSE)</f>
        <v>徕芬</v>
      </c>
      <c r="S1548" s="647" t="str">
        <f>VLOOKUP(A1548,'[1]Raw data'!$B:$Z,4,FALSE)</f>
        <v>YSM20R-2</v>
      </c>
      <c r="T1548" s="647" t="str">
        <f>VLOOKUP(A1548,'[1]Raw data'!$B:$Z,8,FALSE)</f>
        <v>L-&gt;R</v>
      </c>
      <c r="U1548" s="647" t="str">
        <f>VLOOKUP(A1548,'[1]Raw data'!$B:$Z,9,FALSE)</f>
        <v>cATS10+MVC+Feeder Carriage</v>
      </c>
      <c r="V1548" s="567" t="str">
        <f>IF(G1548&amp;H1548=T1548&amp;U1548,"OK","WRONG")</f>
        <v>OK</v>
      </c>
      <c r="W1548" s="563" t="str">
        <f>VLOOKUP(A1548,'[1]Raw data'!$B:$AG,32,FALSE)</f>
        <v>DDP DG</v>
      </c>
      <c r="X1548" s="657">
        <f>VLOOKUP(A1548,'[1]Raw data'!$B:$BA,31,FALSE)</f>
        <v>45261</v>
      </c>
      <c r="Y1548" s="647" t="str">
        <f>VLOOKUP(A1548,'[1]Raw data'!$B:$AS,39,FALSE)</f>
        <v>Yes</v>
      </c>
      <c r="Z1548" s="659"/>
      <c r="AA1548" s="660"/>
      <c r="AB1548" s="661"/>
      <c r="AC1548" s="647"/>
      <c r="AD1548" s="662">
        <v>301</v>
      </c>
      <c r="AE1548" s="662">
        <v>10</v>
      </c>
      <c r="AF1548" s="662">
        <v>303</v>
      </c>
      <c r="AG1548" s="662">
        <v>10</v>
      </c>
      <c r="AH1548" s="662"/>
      <c r="AI1548" s="663"/>
      <c r="AN1548" s="542"/>
      <c r="AO1548" s="824" t="str">
        <f t="shared" si="357"/>
        <v>Yes</v>
      </c>
      <c r="AP1548" s="259" t="str">
        <f>IFERROR(IF(N1548&lt;&gt;"",N1548,"blank"),"NA")</f>
        <v>MAR 24</v>
      </c>
      <c r="AQ1548" s="542" t="str">
        <f t="shared" si="359"/>
        <v>有定金+有預留客戶</v>
      </c>
      <c r="AR1548" s="259" t="str">
        <f t="shared" si="360"/>
        <v>Shipped_Stock</v>
      </c>
      <c r="AS1548" s="839" t="str">
        <f t="shared" si="361"/>
        <v/>
      </c>
      <c r="AT1548" s="259" t="str">
        <f t="shared" si="362"/>
        <v>徕芬</v>
      </c>
      <c r="AU1548" s="259" t="str">
        <f t="shared" si="363"/>
        <v>CG20231204009</v>
      </c>
      <c r="AV1548" s="259" t="str">
        <f t="shared" si="364"/>
        <v>Feb-26</v>
      </c>
    </row>
    <row r="1549" spans="1:48" hidden="1">
      <c r="A1549" s="559">
        <v>2038</v>
      </c>
      <c r="B1549" s="664" t="s">
        <v>1125</v>
      </c>
      <c r="C1549" s="664" t="s">
        <v>281</v>
      </c>
      <c r="D1549" s="645">
        <v>111503</v>
      </c>
      <c r="E1549" s="744" t="s">
        <v>4301</v>
      </c>
      <c r="F1549" s="647" t="s">
        <v>58</v>
      </c>
      <c r="G1549" s="647" t="s">
        <v>24</v>
      </c>
      <c r="H1549" s="647" t="s">
        <v>2410</v>
      </c>
      <c r="I1549" s="575" t="s">
        <v>4396</v>
      </c>
      <c r="J1549" s="575">
        <v>1</v>
      </c>
      <c r="K1549" s="647"/>
      <c r="L1549" s="657">
        <v>45348</v>
      </c>
      <c r="M1549" s="665">
        <v>4.99E-2</v>
      </c>
      <c r="N1549" s="647" t="s">
        <v>4365</v>
      </c>
      <c r="O1549" s="575">
        <v>2024.2</v>
      </c>
      <c r="P1549" s="665" t="str">
        <f>VLOOKUP(A1549,'[1]Raw data'!$B:$BA,23,FALSE)</f>
        <v>RMB</v>
      </c>
      <c r="Q1549" s="647" t="str">
        <f>VLOOKUP(A1549,'[1]Raw data'!$B:$Z,2,FALSE)</f>
        <v>CG20231204009</v>
      </c>
      <c r="R1549" s="647" t="str">
        <f>VLOOKUP(A1549,'[1]Raw data'!$B:$Z,3,FALSE)</f>
        <v>徕芬</v>
      </c>
      <c r="S1549" s="647" t="str">
        <f>VLOOKUP(A1549,'[1]Raw data'!$B:$Z,4,FALSE)</f>
        <v>YSM20R-2</v>
      </c>
      <c r="T1549" s="647" t="str">
        <f>VLOOKUP(A1549,'[1]Raw data'!$B:$Z,8,FALSE)</f>
        <v>L-&gt;R</v>
      </c>
      <c r="U1549" s="647" t="str">
        <f>VLOOKUP(A1549,'[1]Raw data'!$B:$Z,9,FALSE)</f>
        <v>cATS10+MVC+Feeder Carriage</v>
      </c>
      <c r="V1549" s="567" t="str">
        <f>IF(G1549&amp;H1549=T1549&amp;U1549,"OK","WRONG")</f>
        <v>OK</v>
      </c>
      <c r="W1549" s="563" t="str">
        <f>VLOOKUP(A1549,'[1]Raw data'!$B:$AG,32,FALSE)</f>
        <v>DDP DG</v>
      </c>
      <c r="X1549" s="657">
        <f>VLOOKUP(A1549,'[1]Raw data'!$B:$BA,31,FALSE)</f>
        <v>45261</v>
      </c>
      <c r="Y1549" s="647" t="str">
        <f>VLOOKUP(A1549,'[1]Raw data'!$B:$AS,39,FALSE)</f>
        <v>Yes</v>
      </c>
      <c r="Z1549" s="659"/>
      <c r="AA1549" s="660"/>
      <c r="AB1549" s="661"/>
      <c r="AC1549" s="647"/>
      <c r="AD1549" s="662">
        <v>301</v>
      </c>
      <c r="AE1549" s="662">
        <v>10</v>
      </c>
      <c r="AF1549" s="662">
        <v>303</v>
      </c>
      <c r="AG1549" s="662">
        <v>10</v>
      </c>
      <c r="AH1549" s="662"/>
      <c r="AI1549" s="663"/>
      <c r="AN1549" s="542"/>
      <c r="AO1549" s="824" t="str">
        <f t="shared" si="357"/>
        <v>Yes</v>
      </c>
      <c r="AP1549" s="259" t="str">
        <f>IFERROR(IF(N1549&lt;&gt;"",N1549,"blank"),"NA")</f>
        <v>MAR 24</v>
      </c>
      <c r="AQ1549" s="542" t="str">
        <f t="shared" si="359"/>
        <v>有定金+有預留客戶</v>
      </c>
      <c r="AR1549" s="259" t="str">
        <f t="shared" si="360"/>
        <v>Shipped_Stock</v>
      </c>
      <c r="AS1549" s="839" t="str">
        <f t="shared" si="361"/>
        <v/>
      </c>
      <c r="AT1549" s="259" t="str">
        <f t="shared" si="362"/>
        <v>徕芬</v>
      </c>
      <c r="AU1549" s="259" t="str">
        <f t="shared" si="363"/>
        <v>CG20231204009</v>
      </c>
      <c r="AV1549" s="259" t="str">
        <f t="shared" si="364"/>
        <v>Feb-26</v>
      </c>
    </row>
    <row r="1550" spans="1:48">
      <c r="B1550" s="797" t="s">
        <v>2979</v>
      </c>
      <c r="C1550" s="797" t="s">
        <v>4013</v>
      </c>
      <c r="D1550" s="798" t="s">
        <v>4283</v>
      </c>
      <c r="E1550" s="799" t="s">
        <v>236</v>
      </c>
      <c r="F1550" s="710" t="s">
        <v>4404</v>
      </c>
      <c r="G1550" s="710" t="s">
        <v>24</v>
      </c>
      <c r="H1550" s="710" t="s">
        <v>26</v>
      </c>
      <c r="I1550" s="571" t="s">
        <v>4408</v>
      </c>
      <c r="J1550" s="662">
        <v>1</v>
      </c>
      <c r="K1550" s="710"/>
      <c r="L1550" s="800">
        <v>45354</v>
      </c>
      <c r="M1550" s="717" t="s">
        <v>906</v>
      </c>
      <c r="N1550" s="647"/>
      <c r="O1550" s="794"/>
      <c r="P1550" s="717" t="e">
        <f>VLOOKUP(A1550,'[1]Raw data'!$B:$BA,23,FALSE)</f>
        <v>#N/A</v>
      </c>
      <c r="Q1550" s="710" t="e">
        <f>VLOOKUP(A1550,'[1]Raw data'!$B:$Z,2,FALSE)</f>
        <v>#N/A</v>
      </c>
      <c r="R1550" s="710" t="e">
        <f>VLOOKUP(A1550,'[1]Raw data'!$B:$Z,3,FALSE)</f>
        <v>#N/A</v>
      </c>
      <c r="S1550" s="710" t="e">
        <f>VLOOKUP(A1550,'[1]Raw data'!$B:$Z,4,FALSE)</f>
        <v>#N/A</v>
      </c>
      <c r="T1550" s="710" t="e">
        <f>VLOOKUP(A1550,'[1]Raw data'!$B:$Z,8,FALSE)</f>
        <v>#N/A</v>
      </c>
      <c r="U1550" s="710" t="e">
        <f>VLOOKUP(A1550,'[1]Raw data'!$B:$Z,9,FALSE)</f>
        <v>#N/A</v>
      </c>
      <c r="V1550" s="709" t="e">
        <f>IF(G1550&amp;H1550=T1550&amp;U1550,"OK","WRONG")</f>
        <v>#N/A</v>
      </c>
      <c r="W1550" s="581" t="e">
        <f>VLOOKUP(A1550,'[1]Raw data'!$B:$AG,32,FALSE)</f>
        <v>#N/A</v>
      </c>
      <c r="X1550" s="800" t="e">
        <f>VLOOKUP(A1550,'[1]Raw data'!$B:$BA,31,FALSE)</f>
        <v>#N/A</v>
      </c>
      <c r="Y1550" s="710" t="e">
        <f>VLOOKUP(A1550,'[1]Raw data'!$B:$AS,39,FALSE)</f>
        <v>#N/A</v>
      </c>
      <c r="Z1550" s="659"/>
      <c r="AA1550" s="660"/>
      <c r="AB1550" s="661"/>
      <c r="AC1550" s="710"/>
      <c r="AD1550" s="662"/>
      <c r="AE1550" s="662"/>
      <c r="AF1550" s="662"/>
      <c r="AG1550" s="662"/>
      <c r="AH1550" s="662"/>
      <c r="AI1550" s="663"/>
      <c r="AN1550" s="542"/>
      <c r="AO1550" s="824" t="str">
        <f t="shared" si="357"/>
        <v>No</v>
      </c>
      <c r="AP1550" s="259" t="str">
        <f t="shared" si="358"/>
        <v>blank</v>
      </c>
      <c r="AQ1550" s="542" t="str">
        <f t="shared" si="359"/>
        <v>无定金+无預留客戶</v>
      </c>
      <c r="AR1550" s="259" t="str">
        <f t="shared" si="360"/>
        <v>Incoming_Stock_With_YAMAHA_Schedule</v>
      </c>
      <c r="AS1550" s="839">
        <f t="shared" si="361"/>
        <v>45354</v>
      </c>
      <c r="AT1550" s="259" t="str">
        <f t="shared" si="362"/>
        <v>-</v>
      </c>
      <c r="AU1550" s="259" t="str">
        <f t="shared" si="363"/>
        <v>-</v>
      </c>
      <c r="AV1550" s="259" t="str">
        <f t="shared" si="364"/>
        <v>Mar-03</v>
      </c>
    </row>
    <row r="1551" spans="1:48">
      <c r="B1551" s="797" t="s">
        <v>2979</v>
      </c>
      <c r="C1551" s="797" t="s">
        <v>4013</v>
      </c>
      <c r="D1551" s="798" t="s">
        <v>4283</v>
      </c>
      <c r="E1551" s="799" t="s">
        <v>236</v>
      </c>
      <c r="F1551" s="710" t="s">
        <v>4406</v>
      </c>
      <c r="G1551" s="710" t="s">
        <v>24</v>
      </c>
      <c r="H1551" s="710" t="s">
        <v>26</v>
      </c>
      <c r="I1551" s="571" t="s">
        <v>4409</v>
      </c>
      <c r="J1551" s="662">
        <v>1</v>
      </c>
      <c r="K1551" s="710"/>
      <c r="L1551" s="800">
        <v>45354</v>
      </c>
      <c r="M1551" s="717" t="s">
        <v>906</v>
      </c>
      <c r="N1551" s="647"/>
      <c r="O1551" s="794"/>
      <c r="P1551" s="717" t="e">
        <f>VLOOKUP(A1551,'[1]Raw data'!$B:$BA,23,FALSE)</f>
        <v>#N/A</v>
      </c>
      <c r="Q1551" s="710" t="e">
        <f>VLOOKUP(A1551,'[1]Raw data'!$B:$Z,2,FALSE)</f>
        <v>#N/A</v>
      </c>
      <c r="R1551" s="710" t="e">
        <f>VLOOKUP(A1551,'[1]Raw data'!$B:$Z,3,FALSE)</f>
        <v>#N/A</v>
      </c>
      <c r="S1551" s="710" t="e">
        <f>VLOOKUP(A1551,'[1]Raw data'!$B:$Z,4,FALSE)</f>
        <v>#N/A</v>
      </c>
      <c r="T1551" s="710" t="e">
        <f>VLOOKUP(A1551,'[1]Raw data'!$B:$Z,8,FALSE)</f>
        <v>#N/A</v>
      </c>
      <c r="U1551" s="710" t="e">
        <f>VLOOKUP(A1551,'[1]Raw data'!$B:$Z,9,FALSE)</f>
        <v>#N/A</v>
      </c>
      <c r="V1551" s="709" t="e">
        <f>IF(G1551&amp;H1551=T1551&amp;U1551,"OK","WRONG")</f>
        <v>#N/A</v>
      </c>
      <c r="W1551" s="581" t="e">
        <f>VLOOKUP(A1551,'[1]Raw data'!$B:$AG,32,FALSE)</f>
        <v>#N/A</v>
      </c>
      <c r="X1551" s="800" t="e">
        <f>VLOOKUP(A1551,'[1]Raw data'!$B:$BA,31,FALSE)</f>
        <v>#N/A</v>
      </c>
      <c r="Y1551" s="710" t="e">
        <f>VLOOKUP(A1551,'[1]Raw data'!$B:$AS,39,FALSE)</f>
        <v>#N/A</v>
      </c>
      <c r="Z1551" s="659"/>
      <c r="AA1551" s="660"/>
      <c r="AB1551" s="661"/>
      <c r="AC1551" s="710"/>
      <c r="AD1551" s="662"/>
      <c r="AE1551" s="662"/>
      <c r="AF1551" s="662"/>
      <c r="AG1551" s="662"/>
      <c r="AH1551" s="662"/>
      <c r="AI1551" s="663"/>
      <c r="AN1551" s="542"/>
      <c r="AO1551" s="824" t="str">
        <f t="shared" si="357"/>
        <v>No</v>
      </c>
      <c r="AP1551" s="259" t="str">
        <f t="shared" si="358"/>
        <v>blank</v>
      </c>
      <c r="AQ1551" s="542" t="str">
        <f t="shared" si="359"/>
        <v>无定金+无預留客戶</v>
      </c>
      <c r="AR1551" s="259" t="str">
        <f t="shared" si="360"/>
        <v>Incoming_Stock_With_YAMAHA_Schedule</v>
      </c>
      <c r="AS1551" s="839">
        <f t="shared" si="361"/>
        <v>45354</v>
      </c>
      <c r="AT1551" s="259" t="str">
        <f t="shared" si="362"/>
        <v>-</v>
      </c>
      <c r="AU1551" s="259" t="str">
        <f t="shared" si="363"/>
        <v>-</v>
      </c>
      <c r="AV1551" s="259" t="str">
        <f t="shared" si="364"/>
        <v>Mar-03</v>
      </c>
    </row>
    <row r="1552" spans="1:48">
      <c r="A1552" s="559">
        <v>2096</v>
      </c>
      <c r="B1552" s="797" t="s">
        <v>2979</v>
      </c>
      <c r="C1552" s="797" t="s">
        <v>281</v>
      </c>
      <c r="D1552" s="798">
        <v>111521</v>
      </c>
      <c r="E1552" s="805" t="s">
        <v>236</v>
      </c>
      <c r="F1552" s="710" t="s">
        <v>17</v>
      </c>
      <c r="G1552" s="710" t="s">
        <v>18</v>
      </c>
      <c r="H1552" s="710" t="s">
        <v>19</v>
      </c>
      <c r="I1552" s="571" t="s">
        <v>4432</v>
      </c>
      <c r="J1552" s="662">
        <v>1</v>
      </c>
      <c r="K1552" s="710"/>
      <c r="L1552" s="800">
        <v>45355</v>
      </c>
      <c r="M1552" s="717">
        <v>4.9299999999999997E-2</v>
      </c>
      <c r="N1552" s="647" t="s">
        <v>4365</v>
      </c>
      <c r="O1552" s="575"/>
      <c r="P1552" s="802" t="str">
        <f>VLOOKUP(A1552,'[1]Raw data'!$B:$BA,23,FALSE)</f>
        <v>USD</v>
      </c>
      <c r="Q1552" s="803" t="str">
        <f>VLOOKUP(A1552,'[1]Raw data'!$B:$Z,2,FALSE)</f>
        <v>C49SZX20240027JL/4600004199</v>
      </c>
      <c r="R1552" s="803" t="str">
        <f>VLOOKUP(A1552,'[1]Raw data'!$B:$Z,3,FALSE)</f>
        <v>高伟</v>
      </c>
      <c r="S1552" s="710" t="str">
        <f>VLOOKUP(A1552,'[1]Raw data'!$B:$Z,4,FALSE)</f>
        <v>YSM10</v>
      </c>
      <c r="T1552" s="710" t="str">
        <f>VLOOKUP(A1552,'[1]Raw data'!$B:$Z,8,FALSE)</f>
        <v>L-&gt;R</v>
      </c>
      <c r="U1552" s="710" t="str">
        <f>VLOOKUP(A1552,'[1]Raw data'!$B:$Z,9,FALSE)</f>
        <v>MVC+ATS15</v>
      </c>
      <c r="V1552" s="709" t="str">
        <f t="shared" ref="V1552:V1553" si="365">IF(G1552&amp;H1552=T1552&amp;U1552,"OK","WRONG")</f>
        <v>WRONG</v>
      </c>
      <c r="W1552" s="801" t="str">
        <f>VLOOKUP(A1552,'[1]Raw data'!$B:$AG,32,FALSE)</f>
        <v>CIF HK</v>
      </c>
      <c r="X1552" s="800">
        <f>VLOOKUP(A1552,'[1]Raw data'!$B:$BA,31,FALSE)</f>
        <v>45323</v>
      </c>
      <c r="Y1552" s="710" t="str">
        <f>VLOOKUP(A1552,'[1]Raw data'!$B:$AS,39,FALSE)</f>
        <v>Yes</v>
      </c>
      <c r="Z1552" s="659"/>
      <c r="AA1552" s="660"/>
      <c r="AB1552" s="661"/>
      <c r="AC1552" s="710"/>
      <c r="AD1552" s="745">
        <v>301</v>
      </c>
      <c r="AE1552" s="745">
        <v>5</v>
      </c>
      <c r="AF1552" s="745">
        <v>303</v>
      </c>
      <c r="AG1552" s="745">
        <v>5</v>
      </c>
      <c r="AH1552" s="662"/>
      <c r="AI1552" s="663"/>
      <c r="AN1552" s="542"/>
      <c r="AO1552" s="824" t="str">
        <f t="shared" si="357"/>
        <v>Yes</v>
      </c>
      <c r="AP1552" s="259" t="str">
        <f t="shared" si="358"/>
        <v>MAR 24</v>
      </c>
      <c r="AQ1552" s="542" t="str">
        <f t="shared" si="359"/>
        <v>有定金+有預留客戶</v>
      </c>
      <c r="AR1552" s="259" t="str">
        <f t="shared" si="360"/>
        <v>Incoming_Stock_With_YAMAHA_Schedule</v>
      </c>
      <c r="AS1552" s="839">
        <f t="shared" si="361"/>
        <v>45355</v>
      </c>
      <c r="AT1552" s="259" t="str">
        <f t="shared" si="362"/>
        <v>高伟</v>
      </c>
      <c r="AU1552" s="259" t="str">
        <f t="shared" si="363"/>
        <v>C49SZX20240027JL/4600004199</v>
      </c>
      <c r="AV1552" s="259" t="str">
        <f t="shared" si="364"/>
        <v>Mar-04</v>
      </c>
    </row>
    <row r="1553" spans="1:48">
      <c r="A1553" s="559">
        <v>2095</v>
      </c>
      <c r="B1553" s="797" t="s">
        <v>2979</v>
      </c>
      <c r="C1553" s="797" t="s">
        <v>281</v>
      </c>
      <c r="D1553" s="798">
        <v>111521</v>
      </c>
      <c r="E1553" s="805" t="s">
        <v>236</v>
      </c>
      <c r="F1553" s="710" t="s">
        <v>17</v>
      </c>
      <c r="G1553" s="710" t="s">
        <v>18</v>
      </c>
      <c r="H1553" s="710" t="s">
        <v>19</v>
      </c>
      <c r="I1553" s="571" t="s">
        <v>4433</v>
      </c>
      <c r="J1553" s="662">
        <v>1</v>
      </c>
      <c r="K1553" s="710"/>
      <c r="L1553" s="800">
        <v>45355</v>
      </c>
      <c r="M1553" s="717">
        <v>4.9299999999999997E-2</v>
      </c>
      <c r="N1553" s="647" t="s">
        <v>4365</v>
      </c>
      <c r="O1553" s="575"/>
      <c r="P1553" s="802" t="str">
        <f>VLOOKUP(A1553,'[1]Raw data'!$B:$BA,23,FALSE)</f>
        <v>USD</v>
      </c>
      <c r="Q1553" s="803" t="str">
        <f>VLOOKUP(A1553,'[1]Raw data'!$B:$Z,2,FALSE)</f>
        <v>C49SZX20240026JL/4600004198</v>
      </c>
      <c r="R1553" s="803" t="str">
        <f>VLOOKUP(A1553,'[1]Raw data'!$B:$Z,3,FALSE)</f>
        <v>高伟</v>
      </c>
      <c r="S1553" s="710" t="str">
        <f>VLOOKUP(A1553,'[1]Raw data'!$B:$Z,4,FALSE)</f>
        <v>YSM10</v>
      </c>
      <c r="T1553" s="710" t="str">
        <f>VLOOKUP(A1553,'[1]Raw data'!$B:$Z,8,FALSE)</f>
        <v>L-&gt;R</v>
      </c>
      <c r="U1553" s="710" t="str">
        <f>VLOOKUP(A1553,'[1]Raw data'!$B:$Z,9,FALSE)</f>
        <v>MVC+ATS15</v>
      </c>
      <c r="V1553" s="709" t="str">
        <f t="shared" si="365"/>
        <v>WRONG</v>
      </c>
      <c r="W1553" s="801" t="str">
        <f>VLOOKUP(A1553,'[1]Raw data'!$B:$AG,32,FALSE)</f>
        <v>CIF HK</v>
      </c>
      <c r="X1553" s="800">
        <f>VLOOKUP(A1553,'[1]Raw data'!$B:$BA,31,FALSE)</f>
        <v>45323</v>
      </c>
      <c r="Y1553" s="710" t="str">
        <f>VLOOKUP(A1553,'[1]Raw data'!$B:$AS,39,FALSE)</f>
        <v>Yes</v>
      </c>
      <c r="Z1553" s="659"/>
      <c r="AA1553" s="660"/>
      <c r="AB1553" s="661"/>
      <c r="AC1553" s="710"/>
      <c r="AD1553" s="745">
        <v>301</v>
      </c>
      <c r="AE1553" s="745">
        <v>5</v>
      </c>
      <c r="AF1553" s="745">
        <v>303</v>
      </c>
      <c r="AG1553" s="745">
        <v>5</v>
      </c>
      <c r="AH1553" s="662"/>
      <c r="AI1553" s="663"/>
      <c r="AN1553" s="542"/>
      <c r="AO1553" s="824" t="str">
        <f t="shared" si="357"/>
        <v>Yes</v>
      </c>
      <c r="AP1553" s="259" t="str">
        <f t="shared" si="358"/>
        <v>MAR 24</v>
      </c>
      <c r="AQ1553" s="542" t="str">
        <f t="shared" si="359"/>
        <v>有定金+有預留客戶</v>
      </c>
      <c r="AR1553" s="259" t="str">
        <f t="shared" si="360"/>
        <v>Incoming_Stock_With_YAMAHA_Schedule</v>
      </c>
      <c r="AS1553" s="839">
        <f t="shared" si="361"/>
        <v>45355</v>
      </c>
      <c r="AT1553" s="259" t="str">
        <f t="shared" si="362"/>
        <v>高伟</v>
      </c>
      <c r="AU1553" s="259" t="str">
        <f t="shared" si="363"/>
        <v>C49SZX20240026JL/4600004198</v>
      </c>
      <c r="AV1553" s="259" t="str">
        <f t="shared" si="364"/>
        <v>Mar-04</v>
      </c>
    </row>
    <row r="1554" spans="1:48">
      <c r="A1554" s="559">
        <v>2062</v>
      </c>
      <c r="B1554" s="797" t="s">
        <v>2979</v>
      </c>
      <c r="C1554" s="797" t="s">
        <v>281</v>
      </c>
      <c r="D1554" s="798">
        <v>111521</v>
      </c>
      <c r="E1554" s="805" t="s">
        <v>236</v>
      </c>
      <c r="F1554" s="710" t="s">
        <v>17</v>
      </c>
      <c r="G1554" s="710" t="s">
        <v>18</v>
      </c>
      <c r="H1554" s="710" t="s">
        <v>26</v>
      </c>
      <c r="I1554" s="571" t="s">
        <v>4434</v>
      </c>
      <c r="J1554" s="662">
        <v>1</v>
      </c>
      <c r="K1554" s="710"/>
      <c r="L1554" s="800">
        <v>45355</v>
      </c>
      <c r="M1554" s="717">
        <v>4.9299999999999997E-2</v>
      </c>
      <c r="N1554" s="647" t="s">
        <v>4365</v>
      </c>
      <c r="O1554" s="575"/>
      <c r="P1554" s="717" t="str">
        <f>VLOOKUP(A1554,'[1]Raw data'!$B:$BA,23,FALSE)</f>
        <v>RMB</v>
      </c>
      <c r="Q1554" s="710" t="str">
        <f>VLOOKUP(A1554,'[1]Raw data'!$B:$Z,2,FALSE)</f>
        <v>C49SZX20240006SQ</v>
      </c>
      <c r="R1554" s="710" t="str">
        <f>VLOOKUP(A1554,'[1]Raw data'!$B:$Z,3,FALSE)</f>
        <v>中孟</v>
      </c>
      <c r="S1554" s="710" t="str">
        <f>VLOOKUP(A1554,'[1]Raw data'!$B:$Z,4,FALSE)</f>
        <v>YSM10</v>
      </c>
      <c r="T1554" s="710" t="str">
        <f>VLOOKUP(A1554,'[1]Raw data'!$B:$Z,8,FALSE)</f>
        <v>L-&gt;R</v>
      </c>
      <c r="U1554" s="710" t="str">
        <f>VLOOKUP(A1554,'[1]Raw data'!$B:$Z,9,FALSE)</f>
        <v>MVC</v>
      </c>
      <c r="V1554" s="709" t="str">
        <f t="shared" ref="V1554:V1558" si="366">IF(G1554&amp;H1554=T1554&amp;U1554,"OK","WRONG")</f>
        <v>WRONG</v>
      </c>
      <c r="W1554" s="801" t="str">
        <f>VLOOKUP(A1554,'[1]Raw data'!$B:$AG,32,FALSE)</f>
        <v>DDP GZ</v>
      </c>
      <c r="X1554" s="800">
        <f>VLOOKUP(A1554,'[1]Raw data'!$B:$BA,31,FALSE)</f>
        <v>45307</v>
      </c>
      <c r="Y1554" s="710" t="str">
        <f>VLOOKUP(A1554,'[1]Raw data'!$B:$AS,39,FALSE)</f>
        <v>Yes</v>
      </c>
      <c r="Z1554" s="659"/>
      <c r="AA1554" s="660"/>
      <c r="AB1554" s="661"/>
      <c r="AC1554" s="710"/>
      <c r="AD1554" s="745">
        <v>301</v>
      </c>
      <c r="AE1554" s="745">
        <v>10</v>
      </c>
      <c r="AF1554" s="745"/>
      <c r="AG1554" s="745"/>
      <c r="AH1554" s="662"/>
      <c r="AI1554" s="663"/>
      <c r="AN1554" s="542"/>
      <c r="AO1554" s="824" t="str">
        <f t="shared" si="357"/>
        <v>Yes</v>
      </c>
      <c r="AP1554" s="259" t="str">
        <f t="shared" si="358"/>
        <v>MAR 24</v>
      </c>
      <c r="AQ1554" s="542" t="str">
        <f t="shared" si="359"/>
        <v>有定金+有預留客戶</v>
      </c>
      <c r="AR1554" s="259" t="str">
        <f t="shared" si="360"/>
        <v>Incoming_Stock_With_YAMAHA_Schedule</v>
      </c>
      <c r="AS1554" s="839">
        <f t="shared" si="361"/>
        <v>45355</v>
      </c>
      <c r="AT1554" s="259" t="str">
        <f t="shared" si="362"/>
        <v>中孟</v>
      </c>
      <c r="AU1554" s="259" t="str">
        <f t="shared" si="363"/>
        <v>C49SZX20240006SQ</v>
      </c>
      <c r="AV1554" s="259" t="str">
        <f t="shared" si="364"/>
        <v>Mar-04</v>
      </c>
    </row>
    <row r="1555" spans="1:48">
      <c r="B1555" s="797" t="s">
        <v>2979</v>
      </c>
      <c r="C1555" s="797" t="s">
        <v>281</v>
      </c>
      <c r="D1555" s="798">
        <v>111521</v>
      </c>
      <c r="E1555" s="805" t="s">
        <v>236</v>
      </c>
      <c r="F1555" s="710" t="s">
        <v>17</v>
      </c>
      <c r="G1555" s="710" t="s">
        <v>18</v>
      </c>
      <c r="H1555" s="710" t="s">
        <v>26</v>
      </c>
      <c r="I1555" s="571" t="s">
        <v>4435</v>
      </c>
      <c r="J1555" s="662">
        <v>1</v>
      </c>
      <c r="K1555" s="710"/>
      <c r="L1555" s="800">
        <v>45355</v>
      </c>
      <c r="M1555" s="717">
        <v>4.9299999999999997E-2</v>
      </c>
      <c r="N1555" s="647"/>
      <c r="O1555" s="575"/>
      <c r="P1555" s="717" t="e">
        <f>VLOOKUP(A1555,'[1]Raw data'!$B:$BA,23,FALSE)</f>
        <v>#N/A</v>
      </c>
      <c r="Q1555" s="710" t="e">
        <f>VLOOKUP(A1555,'[1]Raw data'!$B:$Z,2,FALSE)</f>
        <v>#N/A</v>
      </c>
      <c r="R1555" s="710" t="e">
        <f>VLOOKUP(A1555,'[1]Raw data'!$B:$Z,3,FALSE)</f>
        <v>#N/A</v>
      </c>
      <c r="S1555" s="710" t="e">
        <f>VLOOKUP(A1555,'[1]Raw data'!$B:$Z,4,FALSE)</f>
        <v>#N/A</v>
      </c>
      <c r="T1555" s="710" t="e">
        <f>VLOOKUP(A1555,'[1]Raw data'!$B:$Z,8,FALSE)</f>
        <v>#N/A</v>
      </c>
      <c r="U1555" s="710" t="e">
        <f>VLOOKUP(A1555,'[1]Raw data'!$B:$Z,9,FALSE)</f>
        <v>#N/A</v>
      </c>
      <c r="V1555" s="709" t="e">
        <f t="shared" si="366"/>
        <v>#N/A</v>
      </c>
      <c r="W1555" s="801" t="e">
        <f>VLOOKUP(A1555,'[1]Raw data'!$B:$AG,32,FALSE)</f>
        <v>#N/A</v>
      </c>
      <c r="X1555" s="800" t="e">
        <f>VLOOKUP(A1555,'[1]Raw data'!$B:$BA,31,FALSE)</f>
        <v>#N/A</v>
      </c>
      <c r="Y1555" s="710" t="e">
        <f>VLOOKUP(A1555,'[1]Raw data'!$B:$AS,39,FALSE)</f>
        <v>#N/A</v>
      </c>
      <c r="Z1555" s="659"/>
      <c r="AA1555" s="660"/>
      <c r="AB1555" s="661"/>
      <c r="AC1555" s="710"/>
      <c r="AD1555" s="745">
        <v>301</v>
      </c>
      <c r="AE1555" s="745">
        <v>5</v>
      </c>
      <c r="AF1555" s="745">
        <v>303</v>
      </c>
      <c r="AG1555" s="745">
        <v>5</v>
      </c>
      <c r="AH1555" s="662"/>
      <c r="AI1555" s="663"/>
      <c r="AN1555" s="542"/>
      <c r="AO1555" s="824" t="str">
        <f t="shared" si="357"/>
        <v>No</v>
      </c>
      <c r="AP1555" s="259" t="str">
        <f t="shared" si="358"/>
        <v>blank</v>
      </c>
      <c r="AQ1555" s="542" t="str">
        <f t="shared" si="359"/>
        <v>无定金+无預留客戶</v>
      </c>
      <c r="AR1555" s="259" t="str">
        <f t="shared" si="360"/>
        <v>Incoming_Stock_With_YAMAHA_Schedule</v>
      </c>
      <c r="AS1555" s="839">
        <f t="shared" si="361"/>
        <v>45355</v>
      </c>
      <c r="AT1555" s="259" t="str">
        <f t="shared" si="362"/>
        <v>-</v>
      </c>
      <c r="AU1555" s="259" t="str">
        <f t="shared" si="363"/>
        <v>-</v>
      </c>
      <c r="AV1555" s="259" t="str">
        <f t="shared" si="364"/>
        <v>Mar-04</v>
      </c>
    </row>
    <row r="1556" spans="1:48">
      <c r="A1556" s="559">
        <v>1924</v>
      </c>
      <c r="B1556" s="797" t="s">
        <v>2979</v>
      </c>
      <c r="C1556" s="797" t="s">
        <v>281</v>
      </c>
      <c r="D1556" s="798" t="s">
        <v>4363</v>
      </c>
      <c r="E1556" s="805" t="s">
        <v>236</v>
      </c>
      <c r="F1556" s="710" t="s">
        <v>17</v>
      </c>
      <c r="G1556" s="710" t="s">
        <v>18</v>
      </c>
      <c r="H1556" s="710" t="s">
        <v>26</v>
      </c>
      <c r="I1556" s="571" t="s">
        <v>4436</v>
      </c>
      <c r="J1556" s="662">
        <v>1</v>
      </c>
      <c r="K1556" s="710"/>
      <c r="L1556" s="800">
        <v>45355</v>
      </c>
      <c r="M1556" s="717"/>
      <c r="N1556" s="647" t="s">
        <v>4365</v>
      </c>
      <c r="O1556" s="575"/>
      <c r="P1556" s="717" t="str">
        <f>VLOOKUP(A1556,'[1]Raw data'!$B:$BA,23,FALSE)</f>
        <v>JPY</v>
      </c>
      <c r="Q1556" s="710" t="str">
        <f>VLOOKUP(A1556,'[1]Raw data'!$B:$Z,2,FALSE)</f>
        <v>C49SZX20230068JY</v>
      </c>
      <c r="R1556" s="710" t="str">
        <f>VLOOKUP(A1556,'[1]Raw data'!$B:$Z,3,FALSE)</f>
        <v>海凌科</v>
      </c>
      <c r="S1556" s="710" t="str">
        <f>VLOOKUP(A1556,'[1]Raw data'!$B:$Z,4,FALSE)</f>
        <v>YSM10</v>
      </c>
      <c r="T1556" s="710" t="str">
        <f>VLOOKUP(A1556,'[1]Raw data'!$B:$Z,8,FALSE)</f>
        <v>L-&gt;R</v>
      </c>
      <c r="U1556" s="710" t="str">
        <f>VLOOKUP(A1556,'[1]Raw data'!$B:$Z,9,FALSE)</f>
        <v>No</v>
      </c>
      <c r="V1556" s="709" t="str">
        <f t="shared" si="366"/>
        <v>WRONG</v>
      </c>
      <c r="W1556" s="801" t="str">
        <f>VLOOKUP(A1556,'[1]Raw data'!$B:$AG,32,FALSE)</f>
        <v>DAP LS</v>
      </c>
      <c r="X1556" s="800">
        <f>VLOOKUP(A1556,'[1]Raw data'!$B:$BA,31,FALSE)</f>
        <v>45066</v>
      </c>
      <c r="Y1556" s="710" t="str">
        <f>VLOOKUP(A1556,'[1]Raw data'!$B:$AS,39,FALSE)</f>
        <v>Yes</v>
      </c>
      <c r="Z1556" s="659"/>
      <c r="AA1556" s="660"/>
      <c r="AB1556" s="661"/>
      <c r="AC1556" s="710"/>
      <c r="AD1556" s="745">
        <v>301</v>
      </c>
      <c r="AE1556" s="745">
        <v>5</v>
      </c>
      <c r="AF1556" s="745">
        <v>303</v>
      </c>
      <c r="AG1556" s="745">
        <v>5</v>
      </c>
      <c r="AH1556" s="662"/>
      <c r="AI1556" s="663"/>
      <c r="AN1556" s="542"/>
      <c r="AO1556" s="824" t="str">
        <f t="shared" si="357"/>
        <v>Yes</v>
      </c>
      <c r="AP1556" s="259" t="str">
        <f t="shared" si="358"/>
        <v>MAR 24</v>
      </c>
      <c r="AQ1556" s="542" t="str">
        <f t="shared" si="359"/>
        <v>有定金+有預留客戶</v>
      </c>
      <c r="AR1556" s="259" t="str">
        <f t="shared" si="360"/>
        <v>Incoming_Stock_With_YAMAHA_Schedule</v>
      </c>
      <c r="AS1556" s="839">
        <f t="shared" si="361"/>
        <v>45355</v>
      </c>
      <c r="AT1556" s="259" t="str">
        <f t="shared" si="362"/>
        <v>海凌科</v>
      </c>
      <c r="AU1556" s="259" t="str">
        <f t="shared" si="363"/>
        <v>C49SZX20230068JY</v>
      </c>
      <c r="AV1556" s="259" t="str">
        <f t="shared" si="364"/>
        <v>Mar-04</v>
      </c>
    </row>
    <row r="1557" spans="1:48">
      <c r="A1557" s="559">
        <v>1925</v>
      </c>
      <c r="B1557" s="797" t="s">
        <v>2979</v>
      </c>
      <c r="C1557" s="797" t="s">
        <v>281</v>
      </c>
      <c r="D1557" s="798" t="s">
        <v>4363</v>
      </c>
      <c r="E1557" s="805" t="s">
        <v>236</v>
      </c>
      <c r="F1557" s="710" t="s">
        <v>17</v>
      </c>
      <c r="G1557" s="710" t="s">
        <v>18</v>
      </c>
      <c r="H1557" s="710" t="s">
        <v>26</v>
      </c>
      <c r="I1557" s="571" t="s">
        <v>4437</v>
      </c>
      <c r="J1557" s="662">
        <v>1</v>
      </c>
      <c r="K1557" s="710"/>
      <c r="L1557" s="800">
        <v>45355</v>
      </c>
      <c r="M1557" s="717"/>
      <c r="N1557" s="647" t="s">
        <v>4365</v>
      </c>
      <c r="O1557" s="575"/>
      <c r="P1557" s="717" t="str">
        <f>VLOOKUP(A1557,'[1]Raw data'!$B:$BA,23,FALSE)</f>
        <v>JPY</v>
      </c>
      <c r="Q1557" s="710" t="str">
        <f>VLOOKUP(A1557,'[1]Raw data'!$B:$Z,2,FALSE)</f>
        <v>C49SZX20230068JY</v>
      </c>
      <c r="R1557" s="710" t="str">
        <f>VLOOKUP(A1557,'[1]Raw data'!$B:$Z,3,FALSE)</f>
        <v>海凌科</v>
      </c>
      <c r="S1557" s="710" t="str">
        <f>VLOOKUP(A1557,'[1]Raw data'!$B:$Z,4,FALSE)</f>
        <v>YSM10</v>
      </c>
      <c r="T1557" s="710" t="str">
        <f>VLOOKUP(A1557,'[1]Raw data'!$B:$Z,8,FALSE)</f>
        <v>R-&gt;L</v>
      </c>
      <c r="U1557" s="710" t="str">
        <f>VLOOKUP(A1557,'[1]Raw data'!$B:$Z,9,FALSE)</f>
        <v>No</v>
      </c>
      <c r="V1557" s="709" t="str">
        <f t="shared" si="366"/>
        <v>OK</v>
      </c>
      <c r="W1557" s="801" t="str">
        <f>VLOOKUP(A1557,'[1]Raw data'!$B:$AG,32,FALSE)</f>
        <v>DAP LS</v>
      </c>
      <c r="X1557" s="800">
        <f>VLOOKUP(A1557,'[1]Raw data'!$B:$BA,31,FALSE)</f>
        <v>45066</v>
      </c>
      <c r="Y1557" s="710" t="str">
        <f>VLOOKUP(A1557,'[1]Raw data'!$B:$AS,39,FALSE)</f>
        <v>Yes</v>
      </c>
      <c r="Z1557" s="659"/>
      <c r="AA1557" s="660"/>
      <c r="AB1557" s="661"/>
      <c r="AC1557" s="710"/>
      <c r="AD1557" s="745">
        <v>301</v>
      </c>
      <c r="AE1557" s="745">
        <v>5</v>
      </c>
      <c r="AF1557" s="745">
        <v>302</v>
      </c>
      <c r="AG1557" s="745">
        <v>5</v>
      </c>
      <c r="AH1557" s="662"/>
      <c r="AI1557" s="663"/>
      <c r="AN1557" s="542"/>
      <c r="AO1557" s="824" t="str">
        <f t="shared" si="357"/>
        <v>Yes</v>
      </c>
      <c r="AP1557" s="259" t="str">
        <f t="shared" si="358"/>
        <v>MAR 24</v>
      </c>
      <c r="AQ1557" s="542" t="str">
        <f t="shared" si="359"/>
        <v>有定金+有預留客戶</v>
      </c>
      <c r="AR1557" s="259" t="str">
        <f t="shared" si="360"/>
        <v>Incoming_Stock_With_YAMAHA_Schedule</v>
      </c>
      <c r="AS1557" s="839">
        <f t="shared" si="361"/>
        <v>45355</v>
      </c>
      <c r="AT1557" s="259" t="str">
        <f t="shared" si="362"/>
        <v>海凌科</v>
      </c>
      <c r="AU1557" s="259" t="str">
        <f t="shared" si="363"/>
        <v>C49SZX20230068JY</v>
      </c>
      <c r="AV1557" s="259" t="str">
        <f t="shared" si="364"/>
        <v>Mar-04</v>
      </c>
    </row>
    <row r="1558" spans="1:48">
      <c r="A1558" s="559">
        <v>1926</v>
      </c>
      <c r="B1558" s="797" t="s">
        <v>2979</v>
      </c>
      <c r="C1558" s="797" t="s">
        <v>281</v>
      </c>
      <c r="D1558" s="798" t="s">
        <v>4363</v>
      </c>
      <c r="E1558" s="805" t="s">
        <v>236</v>
      </c>
      <c r="F1558" s="710" t="s">
        <v>17</v>
      </c>
      <c r="G1558" s="710" t="s">
        <v>18</v>
      </c>
      <c r="H1558" s="710" t="s">
        <v>26</v>
      </c>
      <c r="I1558" s="571" t="s">
        <v>4438</v>
      </c>
      <c r="J1558" s="662">
        <v>1</v>
      </c>
      <c r="K1558" s="710"/>
      <c r="L1558" s="800">
        <v>45355</v>
      </c>
      <c r="M1558" s="717"/>
      <c r="N1558" s="647" t="s">
        <v>4365</v>
      </c>
      <c r="O1558" s="575"/>
      <c r="P1558" s="717" t="str">
        <f>VLOOKUP(A1558,'[1]Raw data'!$B:$BA,23,FALSE)</f>
        <v>JPY</v>
      </c>
      <c r="Q1558" s="710" t="str">
        <f>VLOOKUP(A1558,'[1]Raw data'!$B:$Z,2,FALSE)</f>
        <v>C49SZX20230068JY</v>
      </c>
      <c r="R1558" s="710" t="str">
        <f>VLOOKUP(A1558,'[1]Raw data'!$B:$Z,3,FALSE)</f>
        <v>海凌科</v>
      </c>
      <c r="S1558" s="710" t="str">
        <f>VLOOKUP(A1558,'[1]Raw data'!$B:$Z,4,FALSE)</f>
        <v>YSM10</v>
      </c>
      <c r="T1558" s="710" t="str">
        <f>VLOOKUP(A1558,'[1]Raw data'!$B:$Z,8,FALSE)</f>
        <v>R-&gt;L</v>
      </c>
      <c r="U1558" s="710" t="str">
        <f>VLOOKUP(A1558,'[1]Raw data'!$B:$Z,9,FALSE)</f>
        <v>No</v>
      </c>
      <c r="V1558" s="709" t="str">
        <f t="shared" si="366"/>
        <v>OK</v>
      </c>
      <c r="W1558" s="801" t="str">
        <f>VLOOKUP(A1558,'[1]Raw data'!$B:$AG,32,FALSE)</f>
        <v>DAP LS</v>
      </c>
      <c r="X1558" s="800">
        <f>VLOOKUP(A1558,'[1]Raw data'!$B:$BA,31,FALSE)</f>
        <v>45066</v>
      </c>
      <c r="Y1558" s="710" t="str">
        <f>VLOOKUP(A1558,'[1]Raw data'!$B:$AS,39,FALSE)</f>
        <v>Yes</v>
      </c>
      <c r="Z1558" s="659"/>
      <c r="AA1558" s="660"/>
      <c r="AB1558" s="661"/>
      <c r="AC1558" s="710"/>
      <c r="AD1558" s="745">
        <v>301</v>
      </c>
      <c r="AE1558" s="745">
        <v>5</v>
      </c>
      <c r="AF1558" s="745">
        <v>302</v>
      </c>
      <c r="AG1558" s="745">
        <v>5</v>
      </c>
      <c r="AH1558" s="662"/>
      <c r="AI1558" s="663"/>
      <c r="AN1558" s="542"/>
      <c r="AO1558" s="824" t="str">
        <f t="shared" si="357"/>
        <v>Yes</v>
      </c>
      <c r="AP1558" s="259" t="str">
        <f t="shared" si="358"/>
        <v>MAR 24</v>
      </c>
      <c r="AQ1558" s="542" t="str">
        <f t="shared" si="359"/>
        <v>有定金+有預留客戶</v>
      </c>
      <c r="AR1558" s="259" t="str">
        <f t="shared" si="360"/>
        <v>Incoming_Stock_With_YAMAHA_Schedule</v>
      </c>
      <c r="AS1558" s="839">
        <f t="shared" si="361"/>
        <v>45355</v>
      </c>
      <c r="AT1558" s="259" t="str">
        <f t="shared" si="362"/>
        <v>海凌科</v>
      </c>
      <c r="AU1558" s="259" t="str">
        <f t="shared" si="363"/>
        <v>C49SZX20230068JY</v>
      </c>
      <c r="AV1558" s="259" t="str">
        <f t="shared" si="364"/>
        <v>Mar-04</v>
      </c>
    </row>
    <row r="1559" spans="1:48">
      <c r="A1559" s="559">
        <v>1927</v>
      </c>
      <c r="B1559" s="797" t="s">
        <v>2979</v>
      </c>
      <c r="C1559" s="797" t="s">
        <v>281</v>
      </c>
      <c r="D1559" s="798" t="s">
        <v>4363</v>
      </c>
      <c r="E1559" s="805" t="s">
        <v>236</v>
      </c>
      <c r="F1559" s="710" t="s">
        <v>17</v>
      </c>
      <c r="G1559" s="710" t="s">
        <v>18</v>
      </c>
      <c r="H1559" s="710" t="s">
        <v>26</v>
      </c>
      <c r="I1559" s="571" t="s">
        <v>4439</v>
      </c>
      <c r="J1559" s="662">
        <v>1</v>
      </c>
      <c r="K1559" s="710"/>
      <c r="L1559" s="800">
        <v>45355</v>
      </c>
      <c r="M1559" s="717"/>
      <c r="N1559" s="647" t="s">
        <v>4365</v>
      </c>
      <c r="O1559" s="575"/>
      <c r="P1559" s="717" t="str">
        <f>VLOOKUP(A1559,'[1]Raw data'!$B:$BA,23,FALSE)</f>
        <v>JPY</v>
      </c>
      <c r="Q1559" s="710" t="str">
        <f>VLOOKUP(A1559,'[1]Raw data'!$B:$Z,2,FALSE)</f>
        <v>C49SZX20230068JY</v>
      </c>
      <c r="R1559" s="710" t="str">
        <f>VLOOKUP(A1559,'[1]Raw data'!$B:$Z,3,FALSE)</f>
        <v>海凌科</v>
      </c>
      <c r="S1559" s="710" t="str">
        <f>VLOOKUP(A1559,'[1]Raw data'!$B:$Z,4,FALSE)</f>
        <v>YSM10</v>
      </c>
      <c r="T1559" s="710" t="str">
        <f>VLOOKUP(A1559,'[1]Raw data'!$B:$Z,8,FALSE)</f>
        <v>R-&gt;L</v>
      </c>
      <c r="U1559" s="710" t="str">
        <f>VLOOKUP(A1559,'[1]Raw data'!$B:$Z,9,FALSE)</f>
        <v>No</v>
      </c>
      <c r="V1559" s="709" t="str">
        <f t="shared" ref="V1559:V1582" si="367">IF(G1559&amp;H1559=T1559&amp;U1559,"OK","WRONG")</f>
        <v>OK</v>
      </c>
      <c r="W1559" s="801" t="str">
        <f>VLOOKUP(A1559,'[1]Raw data'!$B:$AG,32,FALSE)</f>
        <v>DAP LS</v>
      </c>
      <c r="X1559" s="800">
        <f>VLOOKUP(A1559,'[1]Raw data'!$B:$BA,31,FALSE)</f>
        <v>45066</v>
      </c>
      <c r="Y1559" s="710" t="str">
        <f>VLOOKUP(A1559,'[1]Raw data'!$B:$AS,39,FALSE)</f>
        <v>Yes</v>
      </c>
      <c r="Z1559" s="659"/>
      <c r="AA1559" s="660"/>
      <c r="AB1559" s="661"/>
      <c r="AC1559" s="710"/>
      <c r="AD1559" s="745">
        <v>301</v>
      </c>
      <c r="AE1559" s="745">
        <v>5</v>
      </c>
      <c r="AF1559" s="745">
        <v>302</v>
      </c>
      <c r="AG1559" s="745">
        <v>5</v>
      </c>
      <c r="AH1559" s="662"/>
      <c r="AI1559" s="663"/>
      <c r="AN1559" s="542"/>
      <c r="AO1559" s="824" t="str">
        <f t="shared" si="357"/>
        <v>Yes</v>
      </c>
      <c r="AP1559" s="259" t="str">
        <f t="shared" si="358"/>
        <v>MAR 24</v>
      </c>
      <c r="AQ1559" s="542" t="str">
        <f t="shared" si="359"/>
        <v>有定金+有預留客戶</v>
      </c>
      <c r="AR1559" s="259" t="str">
        <f t="shared" si="360"/>
        <v>Incoming_Stock_With_YAMAHA_Schedule</v>
      </c>
      <c r="AS1559" s="839">
        <f t="shared" si="361"/>
        <v>45355</v>
      </c>
      <c r="AT1559" s="259" t="str">
        <f t="shared" si="362"/>
        <v>海凌科</v>
      </c>
      <c r="AU1559" s="259" t="str">
        <f t="shared" si="363"/>
        <v>C49SZX20230068JY</v>
      </c>
      <c r="AV1559" s="259" t="str">
        <f t="shared" si="364"/>
        <v>Mar-04</v>
      </c>
    </row>
    <row r="1560" spans="1:48">
      <c r="A1560" s="559">
        <v>1922</v>
      </c>
      <c r="B1560" s="797" t="s">
        <v>2979</v>
      </c>
      <c r="C1560" s="797" t="s">
        <v>281</v>
      </c>
      <c r="D1560" s="798" t="s">
        <v>4363</v>
      </c>
      <c r="E1560" s="805" t="s">
        <v>236</v>
      </c>
      <c r="F1560" s="710" t="s">
        <v>17</v>
      </c>
      <c r="G1560" s="710" t="s">
        <v>18</v>
      </c>
      <c r="H1560" s="710" t="s">
        <v>26</v>
      </c>
      <c r="I1560" s="571" t="s">
        <v>4440</v>
      </c>
      <c r="J1560" s="662">
        <v>1</v>
      </c>
      <c r="K1560" s="710"/>
      <c r="L1560" s="800">
        <v>45355</v>
      </c>
      <c r="M1560" s="717"/>
      <c r="N1560" s="647" t="s">
        <v>4365</v>
      </c>
      <c r="O1560" s="575"/>
      <c r="P1560" s="717" t="str">
        <f>VLOOKUP(A1560,'[1]Raw data'!$B:$BA,23,FALSE)</f>
        <v>JPY</v>
      </c>
      <c r="Q1560" s="710" t="str">
        <f>VLOOKUP(A1560,'[1]Raw data'!$B:$Z,2,FALSE)</f>
        <v>C49SZX20230068JY</v>
      </c>
      <c r="R1560" s="710" t="str">
        <f>VLOOKUP(A1560,'[1]Raw data'!$B:$Z,3,FALSE)</f>
        <v>海凌科</v>
      </c>
      <c r="S1560" s="710" t="str">
        <f>VLOOKUP(A1560,'[1]Raw data'!$B:$Z,4,FALSE)</f>
        <v>YSM10</v>
      </c>
      <c r="T1560" s="710" t="str">
        <f>VLOOKUP(A1560,'[1]Raw data'!$B:$Z,8,FALSE)</f>
        <v>L-&gt;R</v>
      </c>
      <c r="U1560" s="710" t="str">
        <f>VLOOKUP(A1560,'[1]Raw data'!$B:$Z,9,FALSE)</f>
        <v>No</v>
      </c>
      <c r="V1560" s="709" t="str">
        <f t="shared" si="367"/>
        <v>WRONG</v>
      </c>
      <c r="W1560" s="801" t="str">
        <f>VLOOKUP(A1560,'[1]Raw data'!$B:$AG,32,FALSE)</f>
        <v>DAP LS</v>
      </c>
      <c r="X1560" s="800">
        <f>VLOOKUP(A1560,'[1]Raw data'!$B:$BA,31,FALSE)</f>
        <v>45066</v>
      </c>
      <c r="Y1560" s="710" t="str">
        <f>VLOOKUP(A1560,'[1]Raw data'!$B:$AS,39,FALSE)</f>
        <v>Yes</v>
      </c>
      <c r="Z1560" s="659"/>
      <c r="AA1560" s="660"/>
      <c r="AB1560" s="661"/>
      <c r="AC1560" s="710"/>
      <c r="AD1560" s="745">
        <v>301</v>
      </c>
      <c r="AE1560" s="745">
        <v>5</v>
      </c>
      <c r="AF1560" s="745">
        <v>302</v>
      </c>
      <c r="AG1560" s="745">
        <v>5</v>
      </c>
      <c r="AH1560" s="662"/>
      <c r="AI1560" s="663"/>
      <c r="AN1560" s="542"/>
      <c r="AO1560" s="824" t="str">
        <f t="shared" si="357"/>
        <v>Yes</v>
      </c>
      <c r="AP1560" s="259" t="str">
        <f t="shared" si="358"/>
        <v>MAR 24</v>
      </c>
      <c r="AQ1560" s="542" t="str">
        <f t="shared" si="359"/>
        <v>有定金+有預留客戶</v>
      </c>
      <c r="AR1560" s="259" t="str">
        <f t="shared" si="360"/>
        <v>Incoming_Stock_With_YAMAHA_Schedule</v>
      </c>
      <c r="AS1560" s="839">
        <f t="shared" si="361"/>
        <v>45355</v>
      </c>
      <c r="AT1560" s="259" t="str">
        <f t="shared" si="362"/>
        <v>海凌科</v>
      </c>
      <c r="AU1560" s="259" t="str">
        <f t="shared" si="363"/>
        <v>C49SZX20230068JY</v>
      </c>
      <c r="AV1560" s="259" t="str">
        <f t="shared" si="364"/>
        <v>Mar-04</v>
      </c>
    </row>
    <row r="1561" spans="1:48">
      <c r="A1561" s="559">
        <v>1923</v>
      </c>
      <c r="B1561" s="797" t="s">
        <v>2979</v>
      </c>
      <c r="C1561" s="797" t="s">
        <v>281</v>
      </c>
      <c r="D1561" s="798" t="s">
        <v>4363</v>
      </c>
      <c r="E1561" s="805" t="s">
        <v>236</v>
      </c>
      <c r="F1561" s="710" t="s">
        <v>17</v>
      </c>
      <c r="G1561" s="710" t="s">
        <v>18</v>
      </c>
      <c r="H1561" s="710" t="s">
        <v>26</v>
      </c>
      <c r="I1561" s="571" t="s">
        <v>4441</v>
      </c>
      <c r="J1561" s="662">
        <v>1</v>
      </c>
      <c r="K1561" s="710"/>
      <c r="L1561" s="800">
        <v>45355</v>
      </c>
      <c r="M1561" s="717"/>
      <c r="N1561" s="647" t="s">
        <v>4365</v>
      </c>
      <c r="O1561" s="575"/>
      <c r="P1561" s="717" t="str">
        <f>VLOOKUP(A1561,'[1]Raw data'!$B:$BA,23,FALSE)</f>
        <v>JPY</v>
      </c>
      <c r="Q1561" s="710" t="str">
        <f>VLOOKUP(A1561,'[1]Raw data'!$B:$Z,2,FALSE)</f>
        <v>C49SZX20230068JY</v>
      </c>
      <c r="R1561" s="710" t="str">
        <f>VLOOKUP(A1561,'[1]Raw data'!$B:$Z,3,FALSE)</f>
        <v>海凌科</v>
      </c>
      <c r="S1561" s="710" t="str">
        <f>VLOOKUP(A1561,'[1]Raw data'!$B:$Z,4,FALSE)</f>
        <v>YSM10</v>
      </c>
      <c r="T1561" s="710" t="str">
        <f>VLOOKUP(A1561,'[1]Raw data'!$B:$Z,8,FALSE)</f>
        <v>L-&gt;R</v>
      </c>
      <c r="U1561" s="710" t="str">
        <f>VLOOKUP(A1561,'[1]Raw data'!$B:$Z,9,FALSE)</f>
        <v>No</v>
      </c>
      <c r="V1561" s="709" t="str">
        <f t="shared" si="367"/>
        <v>WRONG</v>
      </c>
      <c r="W1561" s="801" t="str">
        <f>VLOOKUP(A1561,'[1]Raw data'!$B:$AG,32,FALSE)</f>
        <v>DAP LS</v>
      </c>
      <c r="X1561" s="800">
        <f>VLOOKUP(A1561,'[1]Raw data'!$B:$BA,31,FALSE)</f>
        <v>45066</v>
      </c>
      <c r="Y1561" s="710" t="str">
        <f>VLOOKUP(A1561,'[1]Raw data'!$B:$AS,39,FALSE)</f>
        <v>Yes</v>
      </c>
      <c r="Z1561" s="659"/>
      <c r="AA1561" s="660"/>
      <c r="AB1561" s="661"/>
      <c r="AC1561" s="710"/>
      <c r="AD1561" s="745">
        <v>301</v>
      </c>
      <c r="AE1561" s="745">
        <v>5</v>
      </c>
      <c r="AF1561" s="745">
        <v>302</v>
      </c>
      <c r="AG1561" s="745">
        <v>5</v>
      </c>
      <c r="AH1561" s="662"/>
      <c r="AI1561" s="663"/>
      <c r="AN1561" s="542"/>
      <c r="AO1561" s="824" t="str">
        <f t="shared" si="357"/>
        <v>Yes</v>
      </c>
      <c r="AP1561" s="259" t="str">
        <f t="shared" si="358"/>
        <v>MAR 24</v>
      </c>
      <c r="AQ1561" s="542" t="str">
        <f t="shared" si="359"/>
        <v>有定金+有預留客戶</v>
      </c>
      <c r="AR1561" s="259" t="str">
        <f t="shared" si="360"/>
        <v>Incoming_Stock_With_YAMAHA_Schedule</v>
      </c>
      <c r="AS1561" s="839">
        <f t="shared" si="361"/>
        <v>45355</v>
      </c>
      <c r="AT1561" s="259" t="str">
        <f t="shared" si="362"/>
        <v>海凌科</v>
      </c>
      <c r="AU1561" s="259" t="str">
        <f t="shared" si="363"/>
        <v>C49SZX20230068JY</v>
      </c>
      <c r="AV1561" s="259" t="str">
        <f t="shared" si="364"/>
        <v>Mar-04</v>
      </c>
    </row>
    <row r="1562" spans="1:48">
      <c r="A1562" s="559">
        <v>2065</v>
      </c>
      <c r="B1562" s="797" t="s">
        <v>2979</v>
      </c>
      <c r="C1562" s="797" t="s">
        <v>281</v>
      </c>
      <c r="D1562" s="798" t="s">
        <v>4363</v>
      </c>
      <c r="E1562" s="805" t="s">
        <v>236</v>
      </c>
      <c r="F1562" s="710" t="s">
        <v>17</v>
      </c>
      <c r="G1562" s="710" t="s">
        <v>18</v>
      </c>
      <c r="H1562" s="710" t="s">
        <v>19</v>
      </c>
      <c r="I1562" s="571" t="s">
        <v>4442</v>
      </c>
      <c r="J1562" s="662">
        <v>1</v>
      </c>
      <c r="K1562" s="710"/>
      <c r="L1562" s="800">
        <v>45355</v>
      </c>
      <c r="M1562" s="717"/>
      <c r="N1562" s="647"/>
      <c r="O1562" s="575"/>
      <c r="P1562" s="717" t="str">
        <f>VLOOKUP(A1562,'[1]Raw data'!$B:$BA,23,FALSE)</f>
        <v>RMB</v>
      </c>
      <c r="Q1562" s="710" t="str">
        <f>VLOOKUP(A1562,'[1]Raw data'!$B:$Z,2,FALSE)</f>
        <v>C49SZX20240007MZ</v>
      </c>
      <c r="R1562" s="710" t="str">
        <f>VLOOKUP(A1562,'[1]Raw data'!$B:$Z,3,FALSE)</f>
        <v>飞霖</v>
      </c>
      <c r="S1562" s="710" t="str">
        <f>VLOOKUP(A1562,'[1]Raw data'!$B:$Z,4,FALSE)</f>
        <v>YSM10</v>
      </c>
      <c r="T1562" s="710" t="str">
        <f>VLOOKUP(A1562,'[1]Raw data'!$B:$Z,8,FALSE)</f>
        <v>L-&gt;R</v>
      </c>
      <c r="U1562" s="710" t="str">
        <f>VLOOKUP(A1562,'[1]Raw data'!$B:$Z,9,FALSE)</f>
        <v>MVC+ATS15</v>
      </c>
      <c r="V1562" s="709" t="str">
        <f t="shared" si="367"/>
        <v>WRONG</v>
      </c>
      <c r="W1562" s="801" t="str">
        <f>VLOOKUP(A1562,'[1]Raw data'!$B:$AG,32,FALSE)</f>
        <v>DDP DG</v>
      </c>
      <c r="X1562" s="800">
        <f>VLOOKUP(A1562,'[1]Raw data'!$B:$BA,31,FALSE)</f>
        <v>45308</v>
      </c>
      <c r="Y1562" s="710" t="str">
        <f>VLOOKUP(A1562,'[1]Raw data'!$B:$AS,39,FALSE)</f>
        <v>No</v>
      </c>
      <c r="Z1562" s="659"/>
      <c r="AA1562" s="660"/>
      <c r="AB1562" s="661"/>
      <c r="AC1562" s="710"/>
      <c r="AD1562" s="745">
        <v>301</v>
      </c>
      <c r="AE1562" s="745">
        <v>10</v>
      </c>
      <c r="AF1562" s="745"/>
      <c r="AG1562" s="745"/>
      <c r="AH1562" s="662"/>
      <c r="AI1562" s="663"/>
      <c r="AN1562" s="542"/>
      <c r="AO1562" s="824" t="str">
        <f t="shared" si="357"/>
        <v>No</v>
      </c>
      <c r="AP1562" s="259" t="str">
        <f t="shared" si="358"/>
        <v>blank</v>
      </c>
      <c r="AQ1562" s="542" t="str">
        <f t="shared" si="359"/>
        <v>无定金+无預留客戶</v>
      </c>
      <c r="AR1562" s="259" t="str">
        <f t="shared" si="360"/>
        <v>Incoming_Stock_With_YAMAHA_Schedule</v>
      </c>
      <c r="AS1562" s="839">
        <f t="shared" si="361"/>
        <v>45355</v>
      </c>
      <c r="AT1562" s="259" t="str">
        <f t="shared" si="362"/>
        <v>飞霖</v>
      </c>
      <c r="AU1562" s="259" t="str">
        <f t="shared" si="363"/>
        <v>C49SZX20240007MZ</v>
      </c>
      <c r="AV1562" s="259" t="str">
        <f t="shared" si="364"/>
        <v>Mar-04</v>
      </c>
    </row>
    <row r="1563" spans="1:48">
      <c r="A1563" s="559">
        <v>2091</v>
      </c>
      <c r="B1563" s="797" t="s">
        <v>2979</v>
      </c>
      <c r="C1563" s="797" t="s">
        <v>281</v>
      </c>
      <c r="D1563" s="798" t="s">
        <v>4363</v>
      </c>
      <c r="E1563" s="805" t="s">
        <v>236</v>
      </c>
      <c r="F1563" s="710" t="s">
        <v>17</v>
      </c>
      <c r="G1563" s="710" t="s">
        <v>18</v>
      </c>
      <c r="H1563" s="710" t="s">
        <v>26</v>
      </c>
      <c r="I1563" s="571" t="s">
        <v>4443</v>
      </c>
      <c r="J1563" s="662">
        <v>1</v>
      </c>
      <c r="K1563" s="710"/>
      <c r="L1563" s="800">
        <v>45355</v>
      </c>
      <c r="M1563" s="717"/>
      <c r="N1563" s="647"/>
      <c r="O1563" s="575"/>
      <c r="P1563" s="717" t="str">
        <f>VLOOKUP(A1563,'[1]Raw data'!$B:$BA,23,FALSE)</f>
        <v>RMB</v>
      </c>
      <c r="Q1563" s="710" t="str">
        <f>VLOOKUP(A1563,'[1]Raw data'!$B:$Z,2,FALSE)</f>
        <v>C49SZX20240023SQ</v>
      </c>
      <c r="R1563" s="710" t="str">
        <f>VLOOKUP(A1563,'[1]Raw data'!$B:$Z,3,FALSE)</f>
        <v>益友新鑫</v>
      </c>
      <c r="S1563" s="710" t="str">
        <f>VLOOKUP(A1563,'[1]Raw data'!$B:$Z,4,FALSE)</f>
        <v>YSM10</v>
      </c>
      <c r="T1563" s="710" t="str">
        <f>VLOOKUP(A1563,'[1]Raw data'!$B:$Z,8,FALSE)</f>
        <v>R-&gt;L</v>
      </c>
      <c r="U1563" s="710" t="str">
        <f>VLOOKUP(A1563,'[1]Raw data'!$B:$Z,9,FALSE)</f>
        <v>MVC</v>
      </c>
      <c r="V1563" s="709" t="str">
        <f t="shared" si="367"/>
        <v>WRONG</v>
      </c>
      <c r="W1563" s="801" t="str">
        <f>VLOOKUP(A1563,'[1]Raw data'!$B:$AG,32,FALSE)</f>
        <v>DDP DG</v>
      </c>
      <c r="X1563" s="800">
        <f>VLOOKUP(A1563,'[1]Raw data'!$B:$BA,31,FALSE)</f>
        <v>45321</v>
      </c>
      <c r="Y1563" s="710" t="str">
        <f>VLOOKUP(A1563,'[1]Raw data'!$B:$AS,39,FALSE)</f>
        <v>No</v>
      </c>
      <c r="Z1563" s="659"/>
      <c r="AA1563" s="660"/>
      <c r="AB1563" s="661"/>
      <c r="AC1563" s="710"/>
      <c r="AD1563" s="745">
        <v>301</v>
      </c>
      <c r="AE1563" s="745">
        <v>10</v>
      </c>
      <c r="AF1563" s="745"/>
      <c r="AG1563" s="745"/>
      <c r="AH1563" s="662"/>
      <c r="AI1563" s="663"/>
      <c r="AN1563" s="542"/>
      <c r="AO1563" s="824" t="str">
        <f t="shared" si="357"/>
        <v>No</v>
      </c>
      <c r="AP1563" s="259" t="str">
        <f t="shared" si="358"/>
        <v>blank</v>
      </c>
      <c r="AQ1563" s="542" t="str">
        <f t="shared" si="359"/>
        <v>无定金+无預留客戶</v>
      </c>
      <c r="AR1563" s="259" t="str">
        <f t="shared" si="360"/>
        <v>Incoming_Stock_With_YAMAHA_Schedule</v>
      </c>
      <c r="AS1563" s="839">
        <f t="shared" si="361"/>
        <v>45355</v>
      </c>
      <c r="AT1563" s="259" t="str">
        <f t="shared" si="362"/>
        <v>益友新鑫</v>
      </c>
      <c r="AU1563" s="259" t="str">
        <f t="shared" si="363"/>
        <v>C49SZX20240023SQ</v>
      </c>
      <c r="AV1563" s="259" t="str">
        <f t="shared" si="364"/>
        <v>Mar-04</v>
      </c>
    </row>
    <row r="1564" spans="1:48">
      <c r="A1564" s="559">
        <v>2068</v>
      </c>
      <c r="B1564" s="797" t="s">
        <v>2979</v>
      </c>
      <c r="C1564" s="797" t="s">
        <v>281</v>
      </c>
      <c r="D1564" s="798">
        <v>111522</v>
      </c>
      <c r="E1564" s="805" t="s">
        <v>236</v>
      </c>
      <c r="F1564" s="710" t="s">
        <v>58</v>
      </c>
      <c r="G1564" s="710" t="s">
        <v>18</v>
      </c>
      <c r="H1564" s="710"/>
      <c r="I1564" s="662"/>
      <c r="J1564" s="662">
        <v>1</v>
      </c>
      <c r="K1564" s="710"/>
      <c r="L1564" s="800">
        <v>45354</v>
      </c>
      <c r="M1564" s="717">
        <v>4.9299999999999997E-2</v>
      </c>
      <c r="N1564" s="647" t="s">
        <v>4365</v>
      </c>
      <c r="O1564" s="575"/>
      <c r="P1564" s="717" t="str">
        <f>VLOOKUP(A1564,'[1]Raw data'!$B:$BA,23,FALSE)</f>
        <v>JPY</v>
      </c>
      <c r="Q1564" s="710" t="str">
        <f>VLOOKUP(A1564,'[1]Raw data'!$B:$Z,2,FALSE)</f>
        <v>C49SZX20240009MZ</v>
      </c>
      <c r="R1564" s="710" t="str">
        <f>VLOOKUP(A1564,'[1]Raw data'!$B:$Z,3,FALSE)</f>
        <v>鸿楠</v>
      </c>
      <c r="S1564" s="710" t="str">
        <f>VLOOKUP(A1564,'[1]Raw data'!$B:$Z,4,FALSE)</f>
        <v>YSM20R-2</v>
      </c>
      <c r="T1564" s="710" t="str">
        <f>VLOOKUP(A1564,'[1]Raw data'!$B:$Z,8,FALSE)</f>
        <v>R-&gt;L</v>
      </c>
      <c r="U1564" s="710" t="str">
        <f>VLOOKUP(A1564,'[1]Raw data'!$B:$Z,9,FALSE)</f>
        <v>MVC</v>
      </c>
      <c r="V1564" s="709" t="str">
        <f t="shared" si="367"/>
        <v>WRONG</v>
      </c>
      <c r="W1564" s="801" t="str">
        <f>VLOOKUP(A1564,'[1]Raw data'!$B:$AG,32,FALSE)</f>
        <v>CIF HK</v>
      </c>
      <c r="X1564" s="800">
        <f>VLOOKUP(A1564,'[1]Raw data'!$B:$BA,31,FALSE)</f>
        <v>45313</v>
      </c>
      <c r="Y1564" s="710" t="str">
        <f>VLOOKUP(A1564,'[1]Raw data'!$B:$AS,39,FALSE)</f>
        <v>Yes</v>
      </c>
      <c r="Z1564" s="659"/>
      <c r="AA1564" s="660"/>
      <c r="AB1564" s="661"/>
      <c r="AC1564" s="710"/>
      <c r="AD1564" s="662">
        <v>301</v>
      </c>
      <c r="AE1564" s="662">
        <v>10</v>
      </c>
      <c r="AF1564" s="662">
        <v>301</v>
      </c>
      <c r="AG1564" s="662">
        <v>10</v>
      </c>
      <c r="AH1564" s="662"/>
      <c r="AI1564" s="663"/>
      <c r="AN1564" s="542"/>
      <c r="AO1564" s="824" t="str">
        <f t="shared" si="357"/>
        <v>Yes</v>
      </c>
      <c r="AP1564" s="259" t="str">
        <f t="shared" si="358"/>
        <v>MAR 24</v>
      </c>
      <c r="AQ1564" s="542" t="str">
        <f t="shared" si="359"/>
        <v>有定金+有預留客戶</v>
      </c>
      <c r="AR1564" s="259" t="str">
        <f t="shared" si="360"/>
        <v>Incoming_Stock_With_YAMAHA_Schedule</v>
      </c>
      <c r="AS1564" s="839">
        <f t="shared" si="361"/>
        <v>45354</v>
      </c>
      <c r="AT1564" s="259" t="str">
        <f t="shared" si="362"/>
        <v>鸿楠</v>
      </c>
      <c r="AU1564" s="259" t="str">
        <f t="shared" si="363"/>
        <v>C49SZX20240009MZ</v>
      </c>
      <c r="AV1564" s="259" t="str">
        <f t="shared" si="364"/>
        <v>Mar-03</v>
      </c>
    </row>
    <row r="1565" spans="1:48">
      <c r="A1565" s="559">
        <v>2069</v>
      </c>
      <c r="B1565" s="797" t="s">
        <v>2979</v>
      </c>
      <c r="C1565" s="797" t="s">
        <v>281</v>
      </c>
      <c r="D1565" s="798">
        <v>111522</v>
      </c>
      <c r="E1565" s="805" t="s">
        <v>236</v>
      </c>
      <c r="F1565" s="710" t="s">
        <v>58</v>
      </c>
      <c r="G1565" s="710" t="s">
        <v>18</v>
      </c>
      <c r="H1565" s="710"/>
      <c r="I1565" s="662"/>
      <c r="J1565" s="662">
        <v>1</v>
      </c>
      <c r="K1565" s="710"/>
      <c r="L1565" s="800">
        <v>45354</v>
      </c>
      <c r="M1565" s="717">
        <v>4.9299999999999997E-2</v>
      </c>
      <c r="N1565" s="647" t="s">
        <v>4365</v>
      </c>
      <c r="O1565" s="575"/>
      <c r="P1565" s="717" t="str">
        <f>VLOOKUP(A1565,'[1]Raw data'!$B:$BA,23,FALSE)</f>
        <v>JPY</v>
      </c>
      <c r="Q1565" s="710" t="str">
        <f>VLOOKUP(A1565,'[1]Raw data'!$B:$Z,2,FALSE)</f>
        <v>C49SZX20240009MZ</v>
      </c>
      <c r="R1565" s="710" t="str">
        <f>VLOOKUP(A1565,'[1]Raw data'!$B:$Z,3,FALSE)</f>
        <v>鸿楠</v>
      </c>
      <c r="S1565" s="710" t="str">
        <f>VLOOKUP(A1565,'[1]Raw data'!$B:$Z,4,FALSE)</f>
        <v>YSM20R-2</v>
      </c>
      <c r="T1565" s="710" t="str">
        <f>VLOOKUP(A1565,'[1]Raw data'!$B:$Z,8,FALSE)</f>
        <v>R-&gt;L</v>
      </c>
      <c r="U1565" s="710" t="str">
        <f>VLOOKUP(A1565,'[1]Raw data'!$B:$Z,9,FALSE)</f>
        <v>No</v>
      </c>
      <c r="V1565" s="709" t="str">
        <f t="shared" si="367"/>
        <v>WRONG</v>
      </c>
      <c r="W1565" s="801" t="str">
        <f>VLOOKUP(A1565,'[1]Raw data'!$B:$AG,32,FALSE)</f>
        <v>CIF HK</v>
      </c>
      <c r="X1565" s="800">
        <f>VLOOKUP(A1565,'[1]Raw data'!$B:$BA,31,FALSE)</f>
        <v>45313</v>
      </c>
      <c r="Y1565" s="710" t="str">
        <f>VLOOKUP(A1565,'[1]Raw data'!$B:$AS,39,FALSE)</f>
        <v>Yes</v>
      </c>
      <c r="Z1565" s="659"/>
      <c r="AA1565" s="660"/>
      <c r="AB1565" s="661"/>
      <c r="AC1565" s="710"/>
      <c r="AD1565" s="662">
        <v>301</v>
      </c>
      <c r="AE1565" s="662">
        <v>10</v>
      </c>
      <c r="AF1565" s="662">
        <v>303</v>
      </c>
      <c r="AG1565" s="662">
        <v>10</v>
      </c>
      <c r="AH1565" s="662"/>
      <c r="AI1565" s="663"/>
      <c r="AN1565" s="542"/>
      <c r="AO1565" s="824" t="str">
        <f t="shared" si="357"/>
        <v>Yes</v>
      </c>
      <c r="AP1565" s="259" t="str">
        <f t="shared" si="358"/>
        <v>MAR 24</v>
      </c>
      <c r="AQ1565" s="542" t="str">
        <f t="shared" si="359"/>
        <v>有定金+有預留客戶</v>
      </c>
      <c r="AR1565" s="259" t="str">
        <f t="shared" si="360"/>
        <v>Incoming_Stock_With_YAMAHA_Schedule</v>
      </c>
      <c r="AS1565" s="839">
        <f t="shared" si="361"/>
        <v>45354</v>
      </c>
      <c r="AT1565" s="259" t="str">
        <f t="shared" si="362"/>
        <v>鸿楠</v>
      </c>
      <c r="AU1565" s="259" t="str">
        <f t="shared" si="363"/>
        <v>C49SZX20240009MZ</v>
      </c>
      <c r="AV1565" s="259" t="str">
        <f t="shared" si="364"/>
        <v>Mar-03</v>
      </c>
    </row>
    <row r="1566" spans="1:48">
      <c r="A1566" s="559">
        <v>2092</v>
      </c>
      <c r="B1566" s="797" t="s">
        <v>2979</v>
      </c>
      <c r="C1566" s="797" t="s">
        <v>281</v>
      </c>
      <c r="D1566" s="798">
        <v>111522</v>
      </c>
      <c r="E1566" s="805" t="s">
        <v>236</v>
      </c>
      <c r="F1566" s="710" t="s">
        <v>58</v>
      </c>
      <c r="G1566" s="710" t="s">
        <v>18</v>
      </c>
      <c r="H1566" s="710"/>
      <c r="I1566" s="662"/>
      <c r="J1566" s="662">
        <v>1</v>
      </c>
      <c r="K1566" s="710"/>
      <c r="L1566" s="800">
        <v>45354</v>
      </c>
      <c r="M1566" s="717">
        <v>4.9299999999999997E-2</v>
      </c>
      <c r="N1566" s="647"/>
      <c r="O1566" s="575"/>
      <c r="P1566" s="717" t="str">
        <f>VLOOKUP(A1566,'[1]Raw data'!$B:$BA,23,FALSE)</f>
        <v>RMB</v>
      </c>
      <c r="Q1566" s="710" t="str">
        <f>VLOOKUP(A1566,'[1]Raw data'!$B:$Z,2,FALSE)</f>
        <v>C49SZX20240023SQ</v>
      </c>
      <c r="R1566" s="710" t="str">
        <f>VLOOKUP(A1566,'[1]Raw data'!$B:$Z,3,FALSE)</f>
        <v>益友新鑫</v>
      </c>
      <c r="S1566" s="710" t="str">
        <f>VLOOKUP(A1566,'[1]Raw data'!$B:$Z,4,FALSE)</f>
        <v>YSM20R-2</v>
      </c>
      <c r="T1566" s="710" t="str">
        <f>VLOOKUP(A1566,'[1]Raw data'!$B:$Z,8,FALSE)</f>
        <v>R-&gt;L</v>
      </c>
      <c r="U1566" s="710" t="str">
        <f>VLOOKUP(A1566,'[1]Raw data'!$B:$Z,9,FALSE)</f>
        <v>No</v>
      </c>
      <c r="V1566" s="709" t="str">
        <f t="shared" si="367"/>
        <v>WRONG</v>
      </c>
      <c r="W1566" s="801" t="str">
        <f>VLOOKUP(A1566,'[1]Raw data'!$B:$AG,32,FALSE)</f>
        <v>DDP DG</v>
      </c>
      <c r="X1566" s="800">
        <f>VLOOKUP(A1566,'[1]Raw data'!$B:$BA,31,FALSE)</f>
        <v>45321</v>
      </c>
      <c r="Y1566" s="710" t="str">
        <f>VLOOKUP(A1566,'[1]Raw data'!$B:$AS,39,FALSE)</f>
        <v>No</v>
      </c>
      <c r="Z1566" s="659"/>
      <c r="AA1566" s="660"/>
      <c r="AB1566" s="661"/>
      <c r="AC1566" s="710"/>
      <c r="AD1566" s="662">
        <v>301</v>
      </c>
      <c r="AE1566" s="662">
        <v>10</v>
      </c>
      <c r="AF1566" s="662">
        <v>303</v>
      </c>
      <c r="AG1566" s="662">
        <v>10</v>
      </c>
      <c r="AH1566" s="662"/>
      <c r="AI1566" s="663"/>
      <c r="AN1566" s="542"/>
      <c r="AO1566" s="824" t="str">
        <f t="shared" si="357"/>
        <v>No</v>
      </c>
      <c r="AP1566" s="259" t="str">
        <f t="shared" si="358"/>
        <v>blank</v>
      </c>
      <c r="AQ1566" s="542" t="str">
        <f t="shared" si="359"/>
        <v>无定金+无預留客戶</v>
      </c>
      <c r="AR1566" s="259" t="str">
        <f t="shared" si="360"/>
        <v>Incoming_Stock_With_YAMAHA_Schedule</v>
      </c>
      <c r="AS1566" s="839">
        <f t="shared" si="361"/>
        <v>45354</v>
      </c>
      <c r="AT1566" s="259" t="str">
        <f t="shared" si="362"/>
        <v>益友新鑫</v>
      </c>
      <c r="AU1566" s="259" t="str">
        <f t="shared" si="363"/>
        <v>C49SZX20240023SQ</v>
      </c>
      <c r="AV1566" s="259" t="str">
        <f t="shared" si="364"/>
        <v>Mar-03</v>
      </c>
    </row>
    <row r="1567" spans="1:48" ht="14.25" customHeight="1">
      <c r="B1567" s="797" t="s">
        <v>2979</v>
      </c>
      <c r="C1567" s="797" t="s">
        <v>281</v>
      </c>
      <c r="D1567" s="798" t="s">
        <v>4362</v>
      </c>
      <c r="E1567" s="805" t="s">
        <v>236</v>
      </c>
      <c r="F1567" s="710" t="s">
        <v>58</v>
      </c>
      <c r="G1567" s="710" t="s">
        <v>18</v>
      </c>
      <c r="H1567" s="710"/>
      <c r="I1567" s="662"/>
      <c r="J1567" s="662">
        <v>1</v>
      </c>
      <c r="K1567" s="710"/>
      <c r="L1567" s="800">
        <v>45354</v>
      </c>
      <c r="M1567" s="717" t="s">
        <v>906</v>
      </c>
      <c r="N1567" s="647"/>
      <c r="O1567" s="575"/>
      <c r="P1567" s="717" t="e">
        <f>VLOOKUP(A1567,'[1]Raw data'!$B:$BA,23,FALSE)</f>
        <v>#N/A</v>
      </c>
      <c r="Q1567" s="710" t="e">
        <f>VLOOKUP(A1567,'[1]Raw data'!$B:$Z,2,FALSE)</f>
        <v>#N/A</v>
      </c>
      <c r="R1567" s="710" t="e">
        <f>VLOOKUP(A1567,'[1]Raw data'!$B:$Z,3,FALSE)</f>
        <v>#N/A</v>
      </c>
      <c r="S1567" s="710" t="e">
        <f>VLOOKUP(A1567,'[1]Raw data'!$B:$Z,4,FALSE)</f>
        <v>#N/A</v>
      </c>
      <c r="T1567" s="710" t="e">
        <f>VLOOKUP(A1567,'[1]Raw data'!$B:$Z,8,FALSE)</f>
        <v>#N/A</v>
      </c>
      <c r="U1567" s="710" t="e">
        <f>VLOOKUP(A1567,'[1]Raw data'!$B:$Z,9,FALSE)</f>
        <v>#N/A</v>
      </c>
      <c r="V1567" s="709" t="e">
        <f t="shared" si="367"/>
        <v>#N/A</v>
      </c>
      <c r="W1567" s="801" t="e">
        <f>VLOOKUP(A1567,'[1]Raw data'!$B:$AG,32,FALSE)</f>
        <v>#N/A</v>
      </c>
      <c r="X1567" s="800" t="e">
        <f>VLOOKUP(A1567,'[1]Raw data'!$B:$BA,31,FALSE)</f>
        <v>#N/A</v>
      </c>
      <c r="Y1567" s="710" t="e">
        <f>VLOOKUP(A1567,'[1]Raw data'!$B:$AS,39,FALSE)</f>
        <v>#N/A</v>
      </c>
      <c r="Z1567" s="659"/>
      <c r="AA1567" s="660"/>
      <c r="AB1567" s="661"/>
      <c r="AC1567" s="710"/>
      <c r="AD1567" s="662">
        <v>301</v>
      </c>
      <c r="AE1567" s="662">
        <v>10</v>
      </c>
      <c r="AF1567" s="662">
        <v>301</v>
      </c>
      <c r="AG1567" s="662">
        <v>10</v>
      </c>
      <c r="AH1567" s="662"/>
      <c r="AI1567" s="663"/>
      <c r="AN1567" s="542"/>
      <c r="AO1567" s="824" t="str">
        <f t="shared" si="357"/>
        <v>No</v>
      </c>
      <c r="AP1567" s="259" t="str">
        <f t="shared" si="358"/>
        <v>blank</v>
      </c>
      <c r="AQ1567" s="542" t="str">
        <f t="shared" si="359"/>
        <v>无定金+无預留客戶</v>
      </c>
      <c r="AR1567" s="259" t="str">
        <f t="shared" si="360"/>
        <v>Incoming_Stock_With_YAMAHA_Schedule</v>
      </c>
      <c r="AS1567" s="839">
        <f t="shared" si="361"/>
        <v>45354</v>
      </c>
      <c r="AT1567" s="259" t="str">
        <f t="shared" si="362"/>
        <v>-</v>
      </c>
      <c r="AU1567" s="259" t="str">
        <f t="shared" si="363"/>
        <v>-</v>
      </c>
      <c r="AV1567" s="259" t="str">
        <f t="shared" si="364"/>
        <v>Mar-03</v>
      </c>
    </row>
    <row r="1568" spans="1:48" s="260" customFormat="1" hidden="1">
      <c r="A1568" s="599">
        <v>2079</v>
      </c>
      <c r="B1568" s="664" t="s">
        <v>1125</v>
      </c>
      <c r="C1568" s="664" t="s">
        <v>281</v>
      </c>
      <c r="D1568" s="645" t="s">
        <v>4372</v>
      </c>
      <c r="E1568" s="744" t="s">
        <v>4373</v>
      </c>
      <c r="F1568" s="647" t="s">
        <v>149</v>
      </c>
      <c r="G1568" s="647" t="s">
        <v>283</v>
      </c>
      <c r="H1568" s="647" t="s">
        <v>26</v>
      </c>
      <c r="I1568" s="575" t="s">
        <v>4420</v>
      </c>
      <c r="J1568" s="575">
        <v>1</v>
      </c>
      <c r="K1568" s="647" t="s">
        <v>1806</v>
      </c>
      <c r="L1568" s="657" t="s">
        <v>1748</v>
      </c>
      <c r="M1568" s="665" t="s">
        <v>4387</v>
      </c>
      <c r="N1568" s="647" t="s">
        <v>4295</v>
      </c>
      <c r="O1568" s="575"/>
      <c r="P1568" s="665" t="str">
        <f>VLOOKUP(A1568,'[1]Raw data'!$B:$BA,23,FALSE)</f>
        <v>RMB</v>
      </c>
      <c r="Q1568" s="647" t="str">
        <f>VLOOKUP(A1568,'[1]Raw data'!$B:$Z,2,FALSE)</f>
        <v>C49SZX20240015DX</v>
      </c>
      <c r="R1568" s="647" t="str">
        <f>VLOOKUP(A1568,'[1]Raw data'!$B:$Z,3,FALSE)</f>
        <v>盟思拓</v>
      </c>
      <c r="S1568" s="647" t="str">
        <f>VLOOKUP(A1568,'[1]Raw data'!$B:$Z,4,FALSE)</f>
        <v>YSM40R-4</v>
      </c>
      <c r="T1568" s="647" t="str">
        <f>VLOOKUP(A1568,'[1]Raw data'!$B:$Z,8,FALSE)</f>
        <v>L-&gt;R</v>
      </c>
      <c r="U1568" s="647" t="str">
        <f>VLOOKUP(A1568,'[1]Raw data'!$B:$Z,9,FALSE)</f>
        <v>No</v>
      </c>
      <c r="V1568" s="567" t="str">
        <f>IF(G1568&amp;H1568=T1568&amp;U1568,"OK","WRONG")</f>
        <v>WRONG</v>
      </c>
      <c r="W1568" s="563" t="str">
        <f>VLOOKUP(A1568,'[1]Raw data'!$B:$AG,32,FALSE)</f>
        <v>DDP SZ</v>
      </c>
      <c r="X1568" s="657">
        <f>VLOOKUP(A1568,'[1]Raw data'!$B:$BA,31,FALSE)</f>
        <v>45316</v>
      </c>
      <c r="Y1568" s="647" t="str">
        <f>VLOOKUP(A1568,'[1]Raw data'!$B:$AS,39,FALSE)</f>
        <v>Yes</v>
      </c>
      <c r="Z1568" s="666"/>
      <c r="AA1568" s="667"/>
      <c r="AB1568" s="668"/>
      <c r="AC1568" s="647"/>
      <c r="AD1568" s="575"/>
      <c r="AE1568" s="575"/>
      <c r="AF1568" s="575"/>
      <c r="AG1568" s="575"/>
      <c r="AH1568" s="575"/>
      <c r="AI1568" s="679"/>
      <c r="AJ1568" s="564"/>
      <c r="AK1568" s="564"/>
      <c r="AL1568" s="564"/>
      <c r="AM1568" s="564"/>
      <c r="AN1568" s="614"/>
      <c r="AO1568" s="850" t="str">
        <f t="shared" si="357"/>
        <v>Yes</v>
      </c>
      <c r="AP1568" s="260" t="str">
        <f>IFERROR(IF(N1568&lt;&gt;"",N1568,"blank"),"NA")</f>
        <v>FEB 24</v>
      </c>
      <c r="AQ1568" s="614" t="str">
        <f t="shared" si="359"/>
        <v>有定金+有預留客戶</v>
      </c>
      <c r="AR1568" s="260" t="str">
        <f>IFERROR(IF(B1568="已经到货", "Instock", IF(B1568="有交期", "Incoming_Stock_With_YAMAHA_Schedule", IF(B1568="TBA.", "Incoming_Stock_No_YAMAHA_Schedule", IF(B1568="已发货", "Shipped_Stock", "")))), "")</f>
        <v>Shipped_Stock</v>
      </c>
      <c r="AS1568" s="260" t="str">
        <f>IF(AND(B1568="有交期", L1568&lt;&gt;""), L1568, "")</f>
        <v/>
      </c>
      <c r="AT1568" s="260" t="str">
        <f t="shared" si="362"/>
        <v>盟思拓</v>
      </c>
      <c r="AU1568" s="260" t="str">
        <f t="shared" si="363"/>
        <v>C49SZX20240015DX</v>
      </c>
      <c r="AV1568" s="260" t="str">
        <f t="shared" si="364"/>
        <v>Yamaha 深圳仓库</v>
      </c>
    </row>
    <row r="1569" spans="1:48" s="260" customFormat="1" hidden="1">
      <c r="A1569" s="599">
        <v>2080</v>
      </c>
      <c r="B1569" s="664" t="s">
        <v>1125</v>
      </c>
      <c r="C1569" s="664" t="s">
        <v>281</v>
      </c>
      <c r="D1569" s="645" t="s">
        <v>4372</v>
      </c>
      <c r="E1569" s="744" t="s">
        <v>4373</v>
      </c>
      <c r="F1569" s="647" t="s">
        <v>149</v>
      </c>
      <c r="G1569" s="647" t="s">
        <v>283</v>
      </c>
      <c r="H1569" s="647" t="s">
        <v>26</v>
      </c>
      <c r="I1569" s="575" t="s">
        <v>4421</v>
      </c>
      <c r="J1569" s="575">
        <v>1</v>
      </c>
      <c r="K1569" s="647" t="s">
        <v>1806</v>
      </c>
      <c r="L1569" s="657" t="s">
        <v>1748</v>
      </c>
      <c r="M1569" s="665" t="s">
        <v>4387</v>
      </c>
      <c r="N1569" s="647" t="s">
        <v>4295</v>
      </c>
      <c r="O1569" s="575"/>
      <c r="P1569" s="665" t="str">
        <f>VLOOKUP(A1569,'[1]Raw data'!$B:$BA,23,FALSE)</f>
        <v>RMB</v>
      </c>
      <c r="Q1569" s="647" t="str">
        <f>VLOOKUP(A1569,'[1]Raw data'!$B:$Z,2,FALSE)</f>
        <v>C49SZX20240015DX</v>
      </c>
      <c r="R1569" s="647" t="str">
        <f>VLOOKUP(A1569,'[1]Raw data'!$B:$Z,3,FALSE)</f>
        <v>盟思拓</v>
      </c>
      <c r="S1569" s="647" t="str">
        <f>VLOOKUP(A1569,'[1]Raw data'!$B:$Z,4,FALSE)</f>
        <v>YSM40R-4</v>
      </c>
      <c r="T1569" s="647" t="str">
        <f>VLOOKUP(A1569,'[1]Raw data'!$B:$Z,8,FALSE)</f>
        <v>L-&gt;R</v>
      </c>
      <c r="U1569" s="647" t="str">
        <f>VLOOKUP(A1569,'[1]Raw data'!$B:$Z,9,FALSE)</f>
        <v>No</v>
      </c>
      <c r="V1569" s="567" t="str">
        <f>IF(G1569&amp;H1569=T1569&amp;U1569,"OK","WRONG")</f>
        <v>WRONG</v>
      </c>
      <c r="W1569" s="563" t="str">
        <f>VLOOKUP(A1569,'[1]Raw data'!$B:$AG,32,FALSE)</f>
        <v>DDP SZ</v>
      </c>
      <c r="X1569" s="657">
        <f>VLOOKUP(A1569,'[1]Raw data'!$B:$BA,31,FALSE)</f>
        <v>45316</v>
      </c>
      <c r="Y1569" s="647" t="str">
        <f>VLOOKUP(A1569,'[1]Raw data'!$B:$AS,39,FALSE)</f>
        <v>Yes</v>
      </c>
      <c r="Z1569" s="666"/>
      <c r="AA1569" s="667"/>
      <c r="AB1569" s="668"/>
      <c r="AC1569" s="647"/>
      <c r="AD1569" s="575"/>
      <c r="AE1569" s="575"/>
      <c r="AF1569" s="575"/>
      <c r="AG1569" s="575"/>
      <c r="AH1569" s="575"/>
      <c r="AI1569" s="679"/>
      <c r="AJ1569" s="564"/>
      <c r="AK1569" s="564"/>
      <c r="AL1569" s="564"/>
      <c r="AM1569" s="564"/>
      <c r="AN1569" s="614"/>
      <c r="AO1569" s="850" t="str">
        <f t="shared" si="357"/>
        <v>Yes</v>
      </c>
      <c r="AP1569" s="260" t="str">
        <f>IFERROR(IF(N1569&lt;&gt;"",N1569,"blank"),"NA")</f>
        <v>FEB 24</v>
      </c>
      <c r="AQ1569" s="614" t="str">
        <f t="shared" si="359"/>
        <v>有定金+有預留客戶</v>
      </c>
      <c r="AR1569" s="260" t="str">
        <f>IFERROR(IF(B1569="已经到货", "Instock", IF(B1569="有交期", "Incoming_Stock_With_YAMAHA_Schedule", IF(B1569="TBA.", "Incoming_Stock_No_YAMAHA_Schedule", IF(B1569="已发货", "Shipped_Stock", "")))), "")</f>
        <v>Shipped_Stock</v>
      </c>
      <c r="AS1569" s="260" t="str">
        <f>IF(AND(B1569="有交期", L1569&lt;&gt;""), L1569, "")</f>
        <v/>
      </c>
      <c r="AT1569" s="260" t="str">
        <f t="shared" si="362"/>
        <v>盟思拓</v>
      </c>
      <c r="AU1569" s="260" t="str">
        <f t="shared" si="363"/>
        <v>C49SZX20240015DX</v>
      </c>
      <c r="AV1569" s="260" t="str">
        <f t="shared" si="364"/>
        <v>Yamaha 深圳仓库</v>
      </c>
    </row>
    <row r="1570" spans="1:48">
      <c r="A1570" s="559">
        <v>2077</v>
      </c>
      <c r="B1570" s="797" t="s">
        <v>2979</v>
      </c>
      <c r="C1570" s="797" t="s">
        <v>4013</v>
      </c>
      <c r="D1570" s="798" t="s">
        <v>4375</v>
      </c>
      <c r="E1570" s="799" t="s">
        <v>2162</v>
      </c>
      <c r="F1570" s="710" t="s">
        <v>201</v>
      </c>
      <c r="G1570" s="710" t="s">
        <v>24</v>
      </c>
      <c r="H1570" s="710" t="s">
        <v>26</v>
      </c>
      <c r="I1570" s="662"/>
      <c r="J1570" s="662">
        <v>1</v>
      </c>
      <c r="K1570" s="710"/>
      <c r="L1570" s="800">
        <v>45387</v>
      </c>
      <c r="M1570" s="717"/>
      <c r="N1570" s="647" t="s">
        <v>4447</v>
      </c>
      <c r="O1570" s="575"/>
      <c r="P1570" s="717" t="str">
        <f>VLOOKUP(A1570,'[1]Raw data'!$B:$BA,23,FALSE)</f>
        <v>JPY</v>
      </c>
      <c r="Q1570" s="710" t="str">
        <f>VLOOKUP(A1570,'[1]Raw data'!$B:$Z,2,FALSE)</f>
        <v>C28SZX20240011MZ</v>
      </c>
      <c r="R1570" s="710" t="str">
        <f>VLOOKUP(A1570,'[1]Raw data'!$B:$Z,3,FALSE)</f>
        <v>鸿楠</v>
      </c>
      <c r="S1570" s="710" t="str">
        <f>VLOOKUP(A1570,'[1]Raw data'!$B:$Z,4,FALSE)</f>
        <v>YSi-V</v>
      </c>
      <c r="T1570" s="710" t="str">
        <f>VLOOKUP(A1570,'[1]Raw data'!$B:$Z,8,FALSE)</f>
        <v>R-&gt;L</v>
      </c>
      <c r="U1570" s="710" t="str">
        <f>VLOOKUP(A1570,'[1]Raw data'!$B:$Z,9,FALSE)</f>
        <v>No</v>
      </c>
      <c r="V1570" s="709" t="str">
        <f t="shared" ref="V1570" si="368">IF(G1570&amp;H1570=T1570&amp;U1570,"OK","WRONG")</f>
        <v>WRONG</v>
      </c>
      <c r="W1570" s="801" t="str">
        <f>VLOOKUP(A1570,'[1]Raw data'!$B:$AG,32,FALSE)</f>
        <v>CIF HK</v>
      </c>
      <c r="X1570" s="800">
        <f>VLOOKUP(A1570,'[1]Raw data'!$B:$BA,31,FALSE)</f>
        <v>45313</v>
      </c>
      <c r="Y1570" s="710" t="str">
        <f>VLOOKUP(A1570,'[1]Raw data'!$B:$AS,39,FALSE)</f>
        <v>Yes</v>
      </c>
      <c r="Z1570" s="659"/>
      <c r="AA1570" s="660"/>
      <c r="AB1570" s="661"/>
      <c r="AC1570" s="710"/>
      <c r="AD1570" s="662"/>
      <c r="AE1570" s="662"/>
      <c r="AF1570" s="662"/>
      <c r="AG1570" s="662"/>
      <c r="AH1570" s="662"/>
      <c r="AI1570" s="663"/>
      <c r="AN1570" s="542"/>
      <c r="AO1570" s="824" t="str">
        <f>IFERROR(IF(Y1570&lt;&gt;"",Y1570,"No"),"No")</f>
        <v>Yes</v>
      </c>
      <c r="AP1570" s="259" t="str">
        <f t="shared" ref="AP1570" si="369">IFERROR(IF(N1570&lt;&gt;"",N1570,"blank"),"NA")</f>
        <v>APR 24</v>
      </c>
      <c r="AQ1570" s="542" t="str">
        <f>IFERROR(IF(AND(AO1570="Yes", AP1570&lt;&gt;"blank"), "有定金+有預留客戶", IF(AND(AO1570="Yes", AP1570="blank"), "有定金+无客戶送貨期", IF(AND(OR(AO1570="No", ISBLANK(AO1570), AO1570="NA"), AP1570&lt;&gt;"blank"), "无定金+有預留客戶", IF(AND(OR(AO1570="No", ISBLANK(AO1570), AO1570="NA"), AP1570="blank"), "无定金+无預留客戶", "")))), "")</f>
        <v>有定金+有預留客戶</v>
      </c>
      <c r="AR1570" s="259" t="str">
        <f>IFERROR(IF(B1570="已经到货", "Instock", IF(B1570="有交期", "Incoming_Stock_With_YAMAHA_Schedule", IF(B1570="TBA.", "Incoming_Stock_No_YAMAHA_Schedule", IF(B1570="已发货", "Shipped_Stock", "")))), "")</f>
        <v>Incoming_Stock_With_YAMAHA_Schedule</v>
      </c>
      <c r="AS1570" s="259">
        <f>IF(AND(B1570="有交期", L1570&lt;&gt;""), L1570, "")</f>
        <v>45387</v>
      </c>
      <c r="AT1570" s="259" t="str">
        <f>IFERROR(IF(R1570&lt;&gt;"",R1570),"-")</f>
        <v>鸿楠</v>
      </c>
      <c r="AU1570" s="259" t="str">
        <f>IFERROR(IF(Q1570&lt;&gt;"",Q1570),"-")</f>
        <v>C28SZX20240011MZ</v>
      </c>
      <c r="AV1570" s="259" t="str">
        <f>IF(L1570="","-",TEXT(L1570,"mmm-dd"))</f>
        <v>Apr-05</v>
      </c>
    </row>
    <row r="1571" spans="1:48" ht="33.75">
      <c r="A1571" s="559">
        <v>2066</v>
      </c>
      <c r="B1571" s="797" t="s">
        <v>2979</v>
      </c>
      <c r="C1571" s="797" t="s">
        <v>281</v>
      </c>
      <c r="D1571" s="798">
        <v>111536</v>
      </c>
      <c r="E1571" s="805" t="s">
        <v>236</v>
      </c>
      <c r="F1571" s="710" t="s">
        <v>17</v>
      </c>
      <c r="G1571" s="710" t="s">
        <v>24</v>
      </c>
      <c r="H1571" s="710" t="s">
        <v>4109</v>
      </c>
      <c r="I1571" s="662"/>
      <c r="J1571" s="662">
        <v>1</v>
      </c>
      <c r="K1571" s="710"/>
      <c r="L1571" s="800">
        <v>45380</v>
      </c>
      <c r="M1571" s="717" t="s">
        <v>4381</v>
      </c>
      <c r="N1571" s="647" t="s">
        <v>4447</v>
      </c>
      <c r="O1571" s="575"/>
      <c r="P1571" s="717" t="str">
        <f>VLOOKUP(A1571,'[1]Raw data'!$B:$BA,23,FALSE)</f>
        <v>USD</v>
      </c>
      <c r="Q1571" s="710" t="str">
        <f>VLOOKUP(A1571,'[1]Raw data'!$B:$Z,2,FALSE)</f>
        <v>C49SZX20240008JL/4600004037</v>
      </c>
      <c r="R1571" s="710" t="str">
        <f>VLOOKUP(A1571,'[1]Raw data'!$B:$Z,3,FALSE)</f>
        <v>高伟</v>
      </c>
      <c r="S1571" s="710" t="str">
        <f>VLOOKUP(A1571,'[1]Raw data'!$B:$Z,4,FALSE)</f>
        <v>YSM10</v>
      </c>
      <c r="T1571" s="710" t="str">
        <f>VLOOKUP(A1571,'[1]Raw data'!$B:$Z,8,FALSE)</f>
        <v>L-&gt;R</v>
      </c>
      <c r="U1571" s="710" t="str">
        <f>VLOOKUP(A1571,'[1]Raw data'!$B:$Z,9,FALSE)</f>
        <v xml:space="preserve">MVC(with 5 heads) </v>
      </c>
      <c r="V1571" s="709" t="str">
        <f t="shared" si="367"/>
        <v>OK</v>
      </c>
      <c r="W1571" s="801" t="str">
        <f>VLOOKUP(A1571,'[1]Raw data'!$B:$AG,32,FALSE)</f>
        <v>CIF HK</v>
      </c>
      <c r="X1571" s="800">
        <f>VLOOKUP(A1571,'[1]Raw data'!$B:$BA,31,FALSE)</f>
        <v>45313</v>
      </c>
      <c r="Y1571" s="710" t="str">
        <f>VLOOKUP(A1571,'[1]Raw data'!$B:$AS,39,FALSE)</f>
        <v>Yes</v>
      </c>
      <c r="Z1571" s="659"/>
      <c r="AA1571" s="660"/>
      <c r="AB1571" s="661"/>
      <c r="AC1571" s="710"/>
      <c r="AD1571" s="662">
        <v>303</v>
      </c>
      <c r="AE1571" s="662">
        <v>5</v>
      </c>
      <c r="AF1571" s="662"/>
      <c r="AG1571" s="662"/>
      <c r="AH1571" s="662"/>
      <c r="AI1571" s="663"/>
      <c r="AN1571" s="542"/>
      <c r="AO1571" s="824" t="str">
        <f t="shared" si="357"/>
        <v>Yes</v>
      </c>
      <c r="AP1571" s="259" t="str">
        <f t="shared" si="358"/>
        <v>APR 24</v>
      </c>
      <c r="AQ1571" s="542" t="str">
        <f t="shared" si="359"/>
        <v>有定金+有預留客戶</v>
      </c>
      <c r="AR1571" s="259" t="str">
        <f t="shared" si="360"/>
        <v>Incoming_Stock_With_YAMAHA_Schedule</v>
      </c>
      <c r="AS1571" s="259">
        <f t="shared" si="361"/>
        <v>45380</v>
      </c>
      <c r="AT1571" s="259" t="str">
        <f t="shared" si="362"/>
        <v>高伟</v>
      </c>
      <c r="AU1571" s="259" t="str">
        <f t="shared" si="363"/>
        <v>C49SZX20240008JL/4600004037</v>
      </c>
      <c r="AV1571" s="259" t="str">
        <f t="shared" si="364"/>
        <v>Mar-29</v>
      </c>
    </row>
    <row r="1572" spans="1:48" ht="33.75">
      <c r="A1572" s="559">
        <v>2067</v>
      </c>
      <c r="B1572" s="797" t="s">
        <v>2979</v>
      </c>
      <c r="C1572" s="797" t="s">
        <v>281</v>
      </c>
      <c r="D1572" s="798">
        <v>111536</v>
      </c>
      <c r="E1572" s="805" t="s">
        <v>236</v>
      </c>
      <c r="F1572" s="710" t="s">
        <v>17</v>
      </c>
      <c r="G1572" s="710" t="s">
        <v>24</v>
      </c>
      <c r="H1572" s="710" t="s">
        <v>4109</v>
      </c>
      <c r="I1572" s="662"/>
      <c r="J1572" s="662">
        <v>1</v>
      </c>
      <c r="K1572" s="710"/>
      <c r="L1572" s="800">
        <v>45380</v>
      </c>
      <c r="M1572" s="717" t="s">
        <v>4381</v>
      </c>
      <c r="N1572" s="647" t="s">
        <v>4447</v>
      </c>
      <c r="O1572" s="575"/>
      <c r="P1572" s="717" t="str">
        <f>VLOOKUP(A1572,'[1]Raw data'!$B:$BA,23,FALSE)</f>
        <v>USD</v>
      </c>
      <c r="Q1572" s="710" t="str">
        <f>VLOOKUP(A1572,'[1]Raw data'!$B:$Z,2,FALSE)</f>
        <v>C49SZX20240008JL/4600004037</v>
      </c>
      <c r="R1572" s="710" t="str">
        <f>VLOOKUP(A1572,'[1]Raw data'!$B:$Z,3,FALSE)</f>
        <v>高伟</v>
      </c>
      <c r="S1572" s="710" t="str">
        <f>VLOOKUP(A1572,'[1]Raw data'!$B:$Z,4,FALSE)</f>
        <v>YSM10</v>
      </c>
      <c r="T1572" s="710" t="str">
        <f>VLOOKUP(A1572,'[1]Raw data'!$B:$Z,8,FALSE)</f>
        <v>L-&gt;R</v>
      </c>
      <c r="U1572" s="710" t="str">
        <f>VLOOKUP(A1572,'[1]Raw data'!$B:$Z,9,FALSE)</f>
        <v xml:space="preserve">MVC(with 5 heads) </v>
      </c>
      <c r="V1572" s="709" t="str">
        <f t="shared" si="367"/>
        <v>OK</v>
      </c>
      <c r="W1572" s="801" t="str">
        <f>VLOOKUP(A1572,'[1]Raw data'!$B:$AG,32,FALSE)</f>
        <v>CIF HK</v>
      </c>
      <c r="X1572" s="800">
        <f>VLOOKUP(A1572,'[1]Raw data'!$B:$BA,31,FALSE)</f>
        <v>45313</v>
      </c>
      <c r="Y1572" s="710" t="str">
        <f>VLOOKUP(A1572,'[1]Raw data'!$B:$AS,39,FALSE)</f>
        <v>Yes</v>
      </c>
      <c r="Z1572" s="659"/>
      <c r="AA1572" s="660"/>
      <c r="AB1572" s="661"/>
      <c r="AC1572" s="710"/>
      <c r="AD1572" s="662">
        <v>303</v>
      </c>
      <c r="AE1572" s="662">
        <v>5</v>
      </c>
      <c r="AF1572" s="662"/>
      <c r="AG1572" s="662"/>
      <c r="AH1572" s="662"/>
      <c r="AI1572" s="663"/>
      <c r="AN1572" s="542"/>
      <c r="AO1572" s="824" t="str">
        <f t="shared" si="357"/>
        <v>Yes</v>
      </c>
      <c r="AP1572" s="259" t="str">
        <f t="shared" si="358"/>
        <v>APR 24</v>
      </c>
      <c r="AQ1572" s="542" t="str">
        <f t="shared" si="359"/>
        <v>有定金+有預留客戶</v>
      </c>
      <c r="AR1572" s="259" t="str">
        <f t="shared" si="360"/>
        <v>Incoming_Stock_With_YAMAHA_Schedule</v>
      </c>
      <c r="AS1572" s="259">
        <f t="shared" si="361"/>
        <v>45380</v>
      </c>
      <c r="AT1572" s="259" t="str">
        <f t="shared" si="362"/>
        <v>高伟</v>
      </c>
      <c r="AU1572" s="259" t="str">
        <f t="shared" si="363"/>
        <v>C49SZX20240008JL/4600004037</v>
      </c>
      <c r="AV1572" s="259" t="str">
        <f t="shared" si="364"/>
        <v>Mar-29</v>
      </c>
    </row>
    <row r="1573" spans="1:48">
      <c r="A1573" s="559">
        <v>2072</v>
      </c>
      <c r="B1573" s="797" t="s">
        <v>2979</v>
      </c>
      <c r="C1573" s="797" t="s">
        <v>281</v>
      </c>
      <c r="D1573" s="798" t="s">
        <v>4380</v>
      </c>
      <c r="E1573" s="805" t="s">
        <v>236</v>
      </c>
      <c r="F1573" s="710" t="s">
        <v>17</v>
      </c>
      <c r="G1573" s="710" t="s">
        <v>18</v>
      </c>
      <c r="H1573" s="710" t="s">
        <v>4370</v>
      </c>
      <c r="I1573" s="662"/>
      <c r="J1573" s="662">
        <v>1</v>
      </c>
      <c r="K1573" s="710"/>
      <c r="L1573" s="800">
        <v>45380</v>
      </c>
      <c r="M1573" s="717"/>
      <c r="N1573" s="647" t="s">
        <v>4447</v>
      </c>
      <c r="O1573" s="575"/>
      <c r="P1573" s="717" t="str">
        <f>VLOOKUP(A1573,'[1]Raw data'!$B:$BA,23,FALSE)</f>
        <v>JPY</v>
      </c>
      <c r="Q1573" s="710" t="str">
        <f>VLOOKUP(A1573,'[1]Raw data'!$B:$Z,2,FALSE)</f>
        <v>C49SZX20240009MZ</v>
      </c>
      <c r="R1573" s="710" t="str">
        <f>VLOOKUP(A1573,'[1]Raw data'!$B:$Z,3,FALSE)</f>
        <v>鸿楠</v>
      </c>
      <c r="S1573" s="710" t="str">
        <f>VLOOKUP(A1573,'[1]Raw data'!$B:$Z,4,FALSE)</f>
        <v>YSM10</v>
      </c>
      <c r="T1573" s="710" t="str">
        <f>VLOOKUP(A1573,'[1]Raw data'!$B:$Z,8,FALSE)</f>
        <v>R-&gt;L</v>
      </c>
      <c r="U1573" s="710" t="str">
        <f>VLOOKUP(A1573,'[1]Raw data'!$B:$Z,9,FALSE)</f>
        <v>MVC</v>
      </c>
      <c r="V1573" s="709" t="str">
        <f t="shared" si="367"/>
        <v>WRONG</v>
      </c>
      <c r="W1573" s="801" t="str">
        <f>VLOOKUP(A1573,'[1]Raw data'!$B:$AG,32,FALSE)</f>
        <v>CIF HK</v>
      </c>
      <c r="X1573" s="800">
        <f>VLOOKUP(A1573,'[1]Raw data'!$B:$BA,31,FALSE)</f>
        <v>45313</v>
      </c>
      <c r="Y1573" s="710" t="str">
        <f>VLOOKUP(A1573,'[1]Raw data'!$B:$AS,39,FALSE)</f>
        <v>Yes</v>
      </c>
      <c r="Z1573" s="659"/>
      <c r="AA1573" s="660"/>
      <c r="AB1573" s="661"/>
      <c r="AC1573" s="710"/>
      <c r="AD1573" s="662">
        <v>303</v>
      </c>
      <c r="AE1573" s="662">
        <v>10</v>
      </c>
      <c r="AF1573" s="662"/>
      <c r="AG1573" s="662"/>
      <c r="AH1573" s="662"/>
      <c r="AI1573" s="663"/>
      <c r="AN1573" s="542"/>
      <c r="AO1573" s="824" t="str">
        <f t="shared" si="357"/>
        <v>Yes</v>
      </c>
      <c r="AP1573" s="259" t="str">
        <f t="shared" si="358"/>
        <v>APR 24</v>
      </c>
      <c r="AQ1573" s="542" t="str">
        <f t="shared" si="359"/>
        <v>有定金+有預留客戶</v>
      </c>
      <c r="AR1573" s="259" t="str">
        <f t="shared" si="360"/>
        <v>Incoming_Stock_With_YAMAHA_Schedule</v>
      </c>
      <c r="AS1573" s="259">
        <f t="shared" si="361"/>
        <v>45380</v>
      </c>
      <c r="AT1573" s="259" t="str">
        <f t="shared" si="362"/>
        <v>鸿楠</v>
      </c>
      <c r="AU1573" s="259" t="str">
        <f t="shared" si="363"/>
        <v>C49SZX20240009MZ</v>
      </c>
      <c r="AV1573" s="259" t="str">
        <f t="shared" si="364"/>
        <v>Mar-29</v>
      </c>
    </row>
    <row r="1574" spans="1:48">
      <c r="B1574" s="797" t="s">
        <v>2979</v>
      </c>
      <c r="C1574" s="797" t="s">
        <v>281</v>
      </c>
      <c r="D1574" s="798" t="s">
        <v>4380</v>
      </c>
      <c r="E1574" s="805" t="s">
        <v>236</v>
      </c>
      <c r="F1574" s="710" t="s">
        <v>17</v>
      </c>
      <c r="G1574" s="710" t="s">
        <v>18</v>
      </c>
      <c r="H1574" s="710" t="s">
        <v>27</v>
      </c>
      <c r="I1574" s="662"/>
      <c r="J1574" s="662">
        <v>1</v>
      </c>
      <c r="K1574" s="710"/>
      <c r="L1574" s="800" t="s">
        <v>4300</v>
      </c>
      <c r="M1574" s="717"/>
      <c r="N1574" s="647"/>
      <c r="O1574" s="575"/>
      <c r="P1574" s="717" t="e">
        <f>VLOOKUP(A1574,'[1]Raw data'!$B:$BA,23,FALSE)</f>
        <v>#N/A</v>
      </c>
      <c r="Q1574" s="710" t="e">
        <f>VLOOKUP(A1574,'[1]Raw data'!$B:$Z,2,FALSE)</f>
        <v>#N/A</v>
      </c>
      <c r="R1574" s="710" t="e">
        <f>VLOOKUP(A1574,'[1]Raw data'!$B:$Z,3,FALSE)</f>
        <v>#N/A</v>
      </c>
      <c r="S1574" s="710" t="e">
        <f>VLOOKUP(A1574,'[1]Raw data'!$B:$Z,4,FALSE)</f>
        <v>#N/A</v>
      </c>
      <c r="T1574" s="710" t="e">
        <f>VLOOKUP(A1574,'[1]Raw data'!$B:$Z,8,FALSE)</f>
        <v>#N/A</v>
      </c>
      <c r="U1574" s="710" t="e">
        <f>VLOOKUP(A1574,'[1]Raw data'!$B:$Z,9,FALSE)</f>
        <v>#N/A</v>
      </c>
      <c r="V1574" s="709" t="e">
        <f t="shared" si="367"/>
        <v>#N/A</v>
      </c>
      <c r="W1574" s="801" t="e">
        <f>VLOOKUP(A1574,'[1]Raw data'!$B:$AG,32,FALSE)</f>
        <v>#N/A</v>
      </c>
      <c r="X1574" s="800" t="e">
        <f>VLOOKUP(A1574,'[1]Raw data'!$B:$BA,31,FALSE)</f>
        <v>#N/A</v>
      </c>
      <c r="Y1574" s="710" t="e">
        <f>VLOOKUP(A1574,'[1]Raw data'!$B:$AS,39,FALSE)</f>
        <v>#N/A</v>
      </c>
      <c r="Z1574" s="659"/>
      <c r="AA1574" s="660"/>
      <c r="AB1574" s="661"/>
      <c r="AC1574" s="710"/>
      <c r="AD1574" s="662">
        <v>303</v>
      </c>
      <c r="AE1574" s="662">
        <v>10</v>
      </c>
      <c r="AF1574" s="662"/>
      <c r="AG1574" s="662"/>
      <c r="AH1574" s="662"/>
      <c r="AI1574" s="663"/>
      <c r="AN1574" s="542"/>
      <c r="AO1574" s="824" t="str">
        <f t="shared" si="357"/>
        <v>No</v>
      </c>
      <c r="AP1574" s="259" t="str">
        <f t="shared" si="358"/>
        <v>blank</v>
      </c>
      <c r="AQ1574" s="542" t="str">
        <f t="shared" si="359"/>
        <v>无定金+无預留客戶</v>
      </c>
      <c r="AR1574" s="259" t="str">
        <f t="shared" si="360"/>
        <v>Incoming_Stock_With_YAMAHA_Schedule</v>
      </c>
      <c r="AS1574" s="259" t="str">
        <f t="shared" si="361"/>
        <v>ex-work 24年2月</v>
      </c>
      <c r="AT1574" s="259" t="str">
        <f t="shared" si="362"/>
        <v>-</v>
      </c>
      <c r="AU1574" s="259" t="str">
        <f t="shared" si="363"/>
        <v>-</v>
      </c>
      <c r="AV1574" s="259" t="str">
        <f t="shared" si="364"/>
        <v>ex-work 24年2月</v>
      </c>
    </row>
    <row r="1575" spans="1:48">
      <c r="A1575" s="559">
        <v>2064</v>
      </c>
      <c r="B1575" s="797" t="s">
        <v>4243</v>
      </c>
      <c r="C1575" s="797" t="s">
        <v>281</v>
      </c>
      <c r="D1575" s="798" t="s">
        <v>4394</v>
      </c>
      <c r="E1575" s="805" t="s">
        <v>236</v>
      </c>
      <c r="F1575" s="710" t="s">
        <v>58</v>
      </c>
      <c r="G1575" s="710" t="s">
        <v>24</v>
      </c>
      <c r="H1575" s="710" t="s">
        <v>26</v>
      </c>
      <c r="I1575" s="662"/>
      <c r="J1575" s="662">
        <v>1</v>
      </c>
      <c r="K1575" s="710"/>
      <c r="L1575" s="800" t="s">
        <v>4389</v>
      </c>
      <c r="M1575" s="717">
        <v>4.8899999999999999E-2</v>
      </c>
      <c r="N1575" s="647" t="s">
        <v>4243</v>
      </c>
      <c r="O1575" s="575"/>
      <c r="P1575" s="717" t="str">
        <f>VLOOKUP(A1575,'[1]Raw data'!$B:$BA,23,FALSE)</f>
        <v>RMB</v>
      </c>
      <c r="Q1575" s="710" t="str">
        <f>VLOOKUP(A1575,'[1]Raw data'!$B:$Z,2,FALSE)</f>
        <v>C49SZX20240007MZ</v>
      </c>
      <c r="R1575" s="710" t="str">
        <f>VLOOKUP(A1575,'[1]Raw data'!$B:$Z,3,FALSE)</f>
        <v>飞霖</v>
      </c>
      <c r="S1575" s="710" t="str">
        <f>VLOOKUP(A1575,'[1]Raw data'!$B:$Z,4,FALSE)</f>
        <v>YSM20R-2</v>
      </c>
      <c r="T1575" s="710" t="str">
        <f>VLOOKUP(A1575,'[1]Raw data'!$B:$Z,8,FALSE)</f>
        <v>L-&gt;R</v>
      </c>
      <c r="U1575" s="710" t="str">
        <f>VLOOKUP(A1575,'[1]Raw data'!$B:$Z,9,FALSE)</f>
        <v>No</v>
      </c>
      <c r="V1575" s="709" t="str">
        <f t="shared" ref="V1575:V1581" si="370">IF(G1575&amp;H1575=T1575&amp;U1575,"OK","WRONG")</f>
        <v>OK</v>
      </c>
      <c r="W1575" s="801" t="str">
        <f>VLOOKUP(A1575,'[1]Raw data'!$B:$AG,32,FALSE)</f>
        <v>DDP DG</v>
      </c>
      <c r="X1575" s="800">
        <f>VLOOKUP(A1575,'[1]Raw data'!$B:$BA,31,FALSE)</f>
        <v>45308</v>
      </c>
      <c r="Y1575" s="710" t="str">
        <f>VLOOKUP(A1575,'[1]Raw data'!$B:$AS,39,FALSE)</f>
        <v>No</v>
      </c>
      <c r="Z1575" s="659"/>
      <c r="AA1575" s="660"/>
      <c r="AB1575" s="661"/>
      <c r="AC1575" s="710"/>
      <c r="AD1575" s="662">
        <v>301</v>
      </c>
      <c r="AE1575" s="662">
        <v>10</v>
      </c>
      <c r="AF1575" s="662">
        <v>311</v>
      </c>
      <c r="AG1575" s="662">
        <v>10</v>
      </c>
      <c r="AH1575" s="662"/>
      <c r="AI1575" s="663"/>
      <c r="AN1575" s="542"/>
      <c r="AO1575" s="824" t="str">
        <f t="shared" si="357"/>
        <v>No</v>
      </c>
      <c r="AP1575" s="259" t="str">
        <f t="shared" ref="AP1575:AP1581" si="371">IFERROR(IF(N1575&lt;&gt;"",N1575,"blank"),"NA")</f>
        <v>TBA.</v>
      </c>
      <c r="AQ1575" s="542" t="str">
        <f t="shared" si="359"/>
        <v>无定金+有預留客戶</v>
      </c>
      <c r="AR1575" s="259" t="str">
        <f t="shared" si="360"/>
        <v>Incoming_Stock_No_YAMAHA_Schedule</v>
      </c>
      <c r="AS1575" s="259" t="str">
        <f t="shared" si="361"/>
        <v/>
      </c>
      <c r="AT1575" s="259" t="str">
        <f t="shared" si="362"/>
        <v>飞霖</v>
      </c>
      <c r="AU1575" s="259" t="str">
        <f t="shared" si="363"/>
        <v>C49SZX20240007MZ</v>
      </c>
      <c r="AV1575" s="259" t="str">
        <f t="shared" si="364"/>
        <v>ex-work 24年3月</v>
      </c>
    </row>
    <row r="1576" spans="1:48">
      <c r="B1576" s="797" t="s">
        <v>4243</v>
      </c>
      <c r="C1576" s="797" t="s">
        <v>281</v>
      </c>
      <c r="D1576" s="798" t="s">
        <v>4394</v>
      </c>
      <c r="E1576" s="805" t="s">
        <v>236</v>
      </c>
      <c r="F1576" s="710" t="s">
        <v>58</v>
      </c>
      <c r="G1576" s="710" t="s">
        <v>24</v>
      </c>
      <c r="H1576" s="710" t="s">
        <v>26</v>
      </c>
      <c r="I1576" s="662"/>
      <c r="J1576" s="662">
        <v>1</v>
      </c>
      <c r="K1576" s="710"/>
      <c r="L1576" s="800" t="s">
        <v>4389</v>
      </c>
      <c r="M1576" s="717">
        <v>4.8899999999999999E-2</v>
      </c>
      <c r="N1576" s="647"/>
      <c r="O1576" s="575"/>
      <c r="P1576" s="717" t="e">
        <f>VLOOKUP(A1576,'[1]Raw data'!$B:$BA,23,FALSE)</f>
        <v>#N/A</v>
      </c>
      <c r="Q1576" s="710" t="e">
        <f>VLOOKUP(A1576,'[1]Raw data'!$B:$Z,2,FALSE)</f>
        <v>#N/A</v>
      </c>
      <c r="R1576" s="710" t="e">
        <f>VLOOKUP(A1576,'[1]Raw data'!$B:$Z,3,FALSE)</f>
        <v>#N/A</v>
      </c>
      <c r="S1576" s="710" t="e">
        <f>VLOOKUP(A1576,'[1]Raw data'!$B:$Z,4,FALSE)</f>
        <v>#N/A</v>
      </c>
      <c r="T1576" s="710" t="e">
        <f>VLOOKUP(A1576,'[1]Raw data'!$B:$Z,8,FALSE)</f>
        <v>#N/A</v>
      </c>
      <c r="U1576" s="710" t="e">
        <f>VLOOKUP(A1576,'[1]Raw data'!$B:$Z,9,FALSE)</f>
        <v>#N/A</v>
      </c>
      <c r="V1576" s="709" t="e">
        <f t="shared" si="370"/>
        <v>#N/A</v>
      </c>
      <c r="W1576" s="801" t="e">
        <f>VLOOKUP(A1576,'[1]Raw data'!$B:$AG,32,FALSE)</f>
        <v>#N/A</v>
      </c>
      <c r="X1576" s="800" t="e">
        <f>VLOOKUP(A1576,'[1]Raw data'!$B:$BA,31,FALSE)</f>
        <v>#N/A</v>
      </c>
      <c r="Y1576" s="710" t="e">
        <f>VLOOKUP(A1576,'[1]Raw data'!$B:$AS,39,FALSE)</f>
        <v>#N/A</v>
      </c>
      <c r="Z1576" s="659"/>
      <c r="AA1576" s="660"/>
      <c r="AB1576" s="661"/>
      <c r="AC1576" s="710"/>
      <c r="AD1576" s="662">
        <v>301</v>
      </c>
      <c r="AE1576" s="662">
        <v>10</v>
      </c>
      <c r="AF1576" s="662">
        <v>311</v>
      </c>
      <c r="AG1576" s="662">
        <v>10</v>
      </c>
      <c r="AH1576" s="662"/>
      <c r="AI1576" s="663"/>
      <c r="AN1576" s="542"/>
      <c r="AO1576" s="824" t="str">
        <f t="shared" si="357"/>
        <v>No</v>
      </c>
      <c r="AP1576" s="259" t="str">
        <f t="shared" si="371"/>
        <v>blank</v>
      </c>
      <c r="AQ1576" s="542" t="str">
        <f t="shared" si="359"/>
        <v>无定金+无預留客戶</v>
      </c>
      <c r="AR1576" s="259" t="str">
        <f t="shared" si="360"/>
        <v>Incoming_Stock_No_YAMAHA_Schedule</v>
      </c>
      <c r="AS1576" s="259" t="str">
        <f t="shared" si="361"/>
        <v/>
      </c>
      <c r="AT1576" s="259" t="str">
        <f t="shared" si="362"/>
        <v>-</v>
      </c>
      <c r="AU1576" s="259" t="str">
        <f t="shared" si="363"/>
        <v>-</v>
      </c>
      <c r="AV1576" s="259" t="str">
        <f t="shared" si="364"/>
        <v>ex-work 24年3月</v>
      </c>
    </row>
    <row r="1577" spans="1:48">
      <c r="B1577" s="797" t="s">
        <v>4243</v>
      </c>
      <c r="C1577" s="797" t="s">
        <v>281</v>
      </c>
      <c r="D1577" s="798" t="s">
        <v>4394</v>
      </c>
      <c r="E1577" s="805" t="s">
        <v>236</v>
      </c>
      <c r="F1577" s="710" t="s">
        <v>58</v>
      </c>
      <c r="G1577" s="710" t="s">
        <v>18</v>
      </c>
      <c r="H1577" s="710" t="s">
        <v>26</v>
      </c>
      <c r="I1577" s="662"/>
      <c r="J1577" s="662">
        <v>1</v>
      </c>
      <c r="K1577" s="710"/>
      <c r="L1577" s="800" t="s">
        <v>4389</v>
      </c>
      <c r="M1577" s="717">
        <v>4.8899999999999999E-2</v>
      </c>
      <c r="N1577" s="647"/>
      <c r="O1577" s="575"/>
      <c r="P1577" s="717" t="e">
        <f>VLOOKUP(A1577,'[1]Raw data'!$B:$BA,23,FALSE)</f>
        <v>#N/A</v>
      </c>
      <c r="Q1577" s="710" t="e">
        <f>VLOOKUP(A1577,'[1]Raw data'!$B:$Z,2,FALSE)</f>
        <v>#N/A</v>
      </c>
      <c r="R1577" s="710" t="e">
        <f>VLOOKUP(A1577,'[1]Raw data'!$B:$Z,3,FALSE)</f>
        <v>#N/A</v>
      </c>
      <c r="S1577" s="710" t="e">
        <f>VLOOKUP(A1577,'[1]Raw data'!$B:$Z,4,FALSE)</f>
        <v>#N/A</v>
      </c>
      <c r="T1577" s="710" t="e">
        <f>VLOOKUP(A1577,'[1]Raw data'!$B:$Z,8,FALSE)</f>
        <v>#N/A</v>
      </c>
      <c r="U1577" s="710" t="e">
        <f>VLOOKUP(A1577,'[1]Raw data'!$B:$Z,9,FALSE)</f>
        <v>#N/A</v>
      </c>
      <c r="V1577" s="709" t="e">
        <f>IF(G1577&amp;H1577=T1577&amp;U1577,"OK","WRONG")</f>
        <v>#N/A</v>
      </c>
      <c r="W1577" s="801" t="e">
        <f>VLOOKUP(A1577,'[1]Raw data'!$B:$AG,32,FALSE)</f>
        <v>#N/A</v>
      </c>
      <c r="X1577" s="800" t="e">
        <f>VLOOKUP(A1577,'[1]Raw data'!$B:$BA,31,FALSE)</f>
        <v>#N/A</v>
      </c>
      <c r="Y1577" s="710" t="e">
        <f>VLOOKUP(A1577,'[1]Raw data'!$B:$AS,39,FALSE)</f>
        <v>#N/A</v>
      </c>
      <c r="Z1577" s="659"/>
      <c r="AA1577" s="660"/>
      <c r="AB1577" s="661"/>
      <c r="AC1577" s="710"/>
      <c r="AD1577" s="662">
        <v>301</v>
      </c>
      <c r="AE1577" s="662">
        <v>10</v>
      </c>
      <c r="AF1577" s="662">
        <v>302</v>
      </c>
      <c r="AG1577" s="662">
        <v>10</v>
      </c>
      <c r="AH1577" s="662"/>
      <c r="AI1577" s="663"/>
      <c r="AN1577" s="542"/>
      <c r="AO1577" s="824" t="str">
        <f t="shared" si="357"/>
        <v>No</v>
      </c>
      <c r="AP1577" s="259" t="str">
        <f>IFERROR(IF(N1577&lt;&gt;"",N1577,"blank"),"NA")</f>
        <v>blank</v>
      </c>
      <c r="AQ1577" s="542" t="str">
        <f t="shared" si="359"/>
        <v>无定金+无預留客戶</v>
      </c>
      <c r="AR1577" s="259" t="str">
        <f t="shared" si="360"/>
        <v>Incoming_Stock_No_YAMAHA_Schedule</v>
      </c>
      <c r="AS1577" s="259" t="str">
        <f t="shared" si="361"/>
        <v/>
      </c>
      <c r="AT1577" s="259" t="str">
        <f t="shared" si="362"/>
        <v>-</v>
      </c>
      <c r="AU1577" s="259" t="str">
        <f t="shared" si="363"/>
        <v>-</v>
      </c>
      <c r="AV1577" s="259" t="str">
        <f t="shared" si="364"/>
        <v>ex-work 24年3月</v>
      </c>
    </row>
    <row r="1578" spans="1:48">
      <c r="B1578" s="797" t="s">
        <v>4243</v>
      </c>
      <c r="C1578" s="797" t="s">
        <v>281</v>
      </c>
      <c r="D1578" s="798">
        <v>111547</v>
      </c>
      <c r="E1578" s="805" t="s">
        <v>236</v>
      </c>
      <c r="F1578" s="710" t="s">
        <v>58</v>
      </c>
      <c r="G1578" s="710" t="s">
        <v>24</v>
      </c>
      <c r="H1578" s="710" t="s">
        <v>26</v>
      </c>
      <c r="I1578" s="662"/>
      <c r="J1578" s="662">
        <v>1</v>
      </c>
      <c r="K1578" s="710"/>
      <c r="L1578" s="800" t="s">
        <v>4389</v>
      </c>
      <c r="M1578" s="717"/>
      <c r="N1578" s="647"/>
      <c r="O1578" s="575"/>
      <c r="P1578" s="717" t="e">
        <f>VLOOKUP(A1578,'[1]Raw data'!$B:$BA,23,FALSE)</f>
        <v>#N/A</v>
      </c>
      <c r="Q1578" s="710" t="e">
        <f>VLOOKUP(A1578,'[1]Raw data'!$B:$Z,2,FALSE)</f>
        <v>#N/A</v>
      </c>
      <c r="R1578" s="710" t="e">
        <f>VLOOKUP(A1578,'[1]Raw data'!$B:$Z,3,FALSE)</f>
        <v>#N/A</v>
      </c>
      <c r="S1578" s="710" t="e">
        <f>VLOOKUP(A1578,'[1]Raw data'!$B:$Z,4,FALSE)</f>
        <v>#N/A</v>
      </c>
      <c r="T1578" s="710" t="e">
        <f>VLOOKUP(A1578,'[1]Raw data'!$B:$Z,8,FALSE)</f>
        <v>#N/A</v>
      </c>
      <c r="U1578" s="710" t="e">
        <f>VLOOKUP(A1578,'[1]Raw data'!$B:$Z,9,FALSE)</f>
        <v>#N/A</v>
      </c>
      <c r="V1578" s="709" t="e">
        <f t="shared" si="370"/>
        <v>#N/A</v>
      </c>
      <c r="W1578" s="801" t="e">
        <f>VLOOKUP(A1578,'[1]Raw data'!$B:$AG,32,FALSE)</f>
        <v>#N/A</v>
      </c>
      <c r="X1578" s="800" t="e">
        <f>VLOOKUP(A1578,'[1]Raw data'!$B:$BA,31,FALSE)</f>
        <v>#N/A</v>
      </c>
      <c r="Y1578" s="710" t="e">
        <f>VLOOKUP(A1578,'[1]Raw data'!$B:$AS,39,FALSE)</f>
        <v>#N/A</v>
      </c>
      <c r="Z1578" s="659"/>
      <c r="AA1578" s="660"/>
      <c r="AB1578" s="661"/>
      <c r="AC1578" s="710"/>
      <c r="AD1578" s="662">
        <v>301</v>
      </c>
      <c r="AE1578" s="662">
        <v>10</v>
      </c>
      <c r="AF1578" s="662">
        <v>303</v>
      </c>
      <c r="AG1578" s="662">
        <v>10</v>
      </c>
      <c r="AH1578" s="662"/>
      <c r="AI1578" s="663"/>
      <c r="AN1578" s="542"/>
      <c r="AO1578" s="824" t="str">
        <f t="shared" si="357"/>
        <v>No</v>
      </c>
      <c r="AP1578" s="259" t="str">
        <f t="shared" si="371"/>
        <v>blank</v>
      </c>
      <c r="AQ1578" s="542" t="str">
        <f t="shared" si="359"/>
        <v>无定金+无預留客戶</v>
      </c>
      <c r="AR1578" s="259" t="str">
        <f t="shared" si="360"/>
        <v>Incoming_Stock_No_YAMAHA_Schedule</v>
      </c>
      <c r="AS1578" s="259" t="str">
        <f t="shared" si="361"/>
        <v/>
      </c>
      <c r="AT1578" s="259" t="str">
        <f t="shared" si="362"/>
        <v>-</v>
      </c>
      <c r="AU1578" s="259" t="str">
        <f t="shared" si="363"/>
        <v>-</v>
      </c>
      <c r="AV1578" s="259" t="str">
        <f t="shared" si="364"/>
        <v>ex-work 24年3月</v>
      </c>
    </row>
    <row r="1579" spans="1:48">
      <c r="B1579" s="797" t="s">
        <v>4243</v>
      </c>
      <c r="C1579" s="797" t="s">
        <v>281</v>
      </c>
      <c r="D1579" s="798">
        <v>111547</v>
      </c>
      <c r="E1579" s="805" t="s">
        <v>236</v>
      </c>
      <c r="F1579" s="710" t="s">
        <v>58</v>
      </c>
      <c r="G1579" s="710" t="s">
        <v>24</v>
      </c>
      <c r="H1579" s="710" t="s">
        <v>26</v>
      </c>
      <c r="I1579" s="662"/>
      <c r="J1579" s="662">
        <v>1</v>
      </c>
      <c r="K1579" s="710"/>
      <c r="L1579" s="800" t="s">
        <v>4389</v>
      </c>
      <c r="M1579" s="717"/>
      <c r="N1579" s="647"/>
      <c r="O1579" s="575"/>
      <c r="P1579" s="717" t="e">
        <f>VLOOKUP(A1579,'[1]Raw data'!$B:$BA,23,FALSE)</f>
        <v>#N/A</v>
      </c>
      <c r="Q1579" s="710" t="e">
        <f>VLOOKUP(A1579,'[1]Raw data'!$B:$Z,2,FALSE)</f>
        <v>#N/A</v>
      </c>
      <c r="R1579" s="710" t="e">
        <f>VLOOKUP(A1579,'[1]Raw data'!$B:$Z,3,FALSE)</f>
        <v>#N/A</v>
      </c>
      <c r="S1579" s="710" t="e">
        <f>VLOOKUP(A1579,'[1]Raw data'!$B:$Z,4,FALSE)</f>
        <v>#N/A</v>
      </c>
      <c r="T1579" s="710" t="e">
        <f>VLOOKUP(A1579,'[1]Raw data'!$B:$Z,8,FALSE)</f>
        <v>#N/A</v>
      </c>
      <c r="U1579" s="710" t="e">
        <f>VLOOKUP(A1579,'[1]Raw data'!$B:$Z,9,FALSE)</f>
        <v>#N/A</v>
      </c>
      <c r="V1579" s="709" t="e">
        <f t="shared" si="370"/>
        <v>#N/A</v>
      </c>
      <c r="W1579" s="801" t="e">
        <f>VLOOKUP(A1579,'[1]Raw data'!$B:$AG,32,FALSE)</f>
        <v>#N/A</v>
      </c>
      <c r="X1579" s="800" t="e">
        <f>VLOOKUP(A1579,'[1]Raw data'!$B:$BA,31,FALSE)</f>
        <v>#N/A</v>
      </c>
      <c r="Y1579" s="710" t="e">
        <f>VLOOKUP(A1579,'[1]Raw data'!$B:$AS,39,FALSE)</f>
        <v>#N/A</v>
      </c>
      <c r="Z1579" s="659"/>
      <c r="AA1579" s="660"/>
      <c r="AB1579" s="661"/>
      <c r="AC1579" s="710"/>
      <c r="AD1579" s="662">
        <v>301</v>
      </c>
      <c r="AE1579" s="662">
        <v>10</v>
      </c>
      <c r="AF1579" s="662">
        <v>303</v>
      </c>
      <c r="AG1579" s="662">
        <v>10</v>
      </c>
      <c r="AH1579" s="662"/>
      <c r="AI1579" s="663"/>
      <c r="AN1579" s="542"/>
      <c r="AO1579" s="824" t="str">
        <f t="shared" si="357"/>
        <v>No</v>
      </c>
      <c r="AP1579" s="259" t="str">
        <f t="shared" si="371"/>
        <v>blank</v>
      </c>
      <c r="AQ1579" s="542" t="str">
        <f t="shared" si="359"/>
        <v>无定金+无預留客戶</v>
      </c>
      <c r="AR1579" s="259" t="str">
        <f t="shared" si="360"/>
        <v>Incoming_Stock_No_YAMAHA_Schedule</v>
      </c>
      <c r="AS1579" s="259" t="str">
        <f t="shared" si="361"/>
        <v/>
      </c>
      <c r="AT1579" s="259" t="str">
        <f t="shared" si="362"/>
        <v>-</v>
      </c>
      <c r="AU1579" s="259" t="str">
        <f t="shared" si="363"/>
        <v>-</v>
      </c>
      <c r="AV1579" s="259" t="str">
        <f t="shared" si="364"/>
        <v>ex-work 24年3月</v>
      </c>
    </row>
    <row r="1580" spans="1:48">
      <c r="B1580" s="797" t="s">
        <v>4243</v>
      </c>
      <c r="C1580" s="797" t="s">
        <v>281</v>
      </c>
      <c r="D1580" s="798">
        <v>111547</v>
      </c>
      <c r="E1580" s="805" t="s">
        <v>236</v>
      </c>
      <c r="F1580" s="710" t="s">
        <v>58</v>
      </c>
      <c r="G1580" s="710" t="s">
        <v>24</v>
      </c>
      <c r="H1580" s="710" t="s">
        <v>26</v>
      </c>
      <c r="I1580" s="662"/>
      <c r="J1580" s="662">
        <v>1</v>
      </c>
      <c r="K1580" s="710"/>
      <c r="L1580" s="800" t="s">
        <v>4389</v>
      </c>
      <c r="M1580" s="717"/>
      <c r="N1580" s="647"/>
      <c r="O1580" s="575"/>
      <c r="P1580" s="717" t="e">
        <f>VLOOKUP(A1580,'[1]Raw data'!$B:$BA,23,FALSE)</f>
        <v>#N/A</v>
      </c>
      <c r="Q1580" s="710" t="e">
        <f>VLOOKUP(A1580,'[1]Raw data'!$B:$Z,2,FALSE)</f>
        <v>#N/A</v>
      </c>
      <c r="R1580" s="710" t="e">
        <f>VLOOKUP(A1580,'[1]Raw data'!$B:$Z,3,FALSE)</f>
        <v>#N/A</v>
      </c>
      <c r="S1580" s="710" t="e">
        <f>VLOOKUP(A1580,'[1]Raw data'!$B:$Z,4,FALSE)</f>
        <v>#N/A</v>
      </c>
      <c r="T1580" s="710" t="e">
        <f>VLOOKUP(A1580,'[1]Raw data'!$B:$Z,8,FALSE)</f>
        <v>#N/A</v>
      </c>
      <c r="U1580" s="710" t="e">
        <f>VLOOKUP(A1580,'[1]Raw data'!$B:$Z,9,FALSE)</f>
        <v>#N/A</v>
      </c>
      <c r="V1580" s="709" t="e">
        <f t="shared" si="370"/>
        <v>#N/A</v>
      </c>
      <c r="W1580" s="801" t="e">
        <f>VLOOKUP(A1580,'[1]Raw data'!$B:$AG,32,FALSE)</f>
        <v>#N/A</v>
      </c>
      <c r="X1580" s="800" t="e">
        <f>VLOOKUP(A1580,'[1]Raw data'!$B:$BA,31,FALSE)</f>
        <v>#N/A</v>
      </c>
      <c r="Y1580" s="710" t="e">
        <f>VLOOKUP(A1580,'[1]Raw data'!$B:$AS,39,FALSE)</f>
        <v>#N/A</v>
      </c>
      <c r="Z1580" s="659"/>
      <c r="AA1580" s="660"/>
      <c r="AB1580" s="661"/>
      <c r="AC1580" s="710"/>
      <c r="AD1580" s="662">
        <v>301</v>
      </c>
      <c r="AE1580" s="662">
        <v>10</v>
      </c>
      <c r="AF1580" s="662">
        <v>303</v>
      </c>
      <c r="AG1580" s="662">
        <v>10</v>
      </c>
      <c r="AH1580" s="662"/>
      <c r="AI1580" s="663"/>
      <c r="AN1580" s="542"/>
      <c r="AO1580" s="824" t="str">
        <f t="shared" si="357"/>
        <v>No</v>
      </c>
      <c r="AP1580" s="259" t="str">
        <f t="shared" si="371"/>
        <v>blank</v>
      </c>
      <c r="AQ1580" s="542" t="str">
        <f t="shared" si="359"/>
        <v>无定金+无預留客戶</v>
      </c>
      <c r="AR1580" s="259" t="str">
        <f t="shared" si="360"/>
        <v>Incoming_Stock_No_YAMAHA_Schedule</v>
      </c>
      <c r="AS1580" s="259" t="str">
        <f t="shared" si="361"/>
        <v/>
      </c>
      <c r="AT1580" s="259" t="str">
        <f t="shared" si="362"/>
        <v>-</v>
      </c>
      <c r="AU1580" s="259" t="str">
        <f t="shared" si="363"/>
        <v>-</v>
      </c>
      <c r="AV1580" s="259" t="str">
        <f t="shared" si="364"/>
        <v>ex-work 24年3月</v>
      </c>
    </row>
    <row r="1581" spans="1:48">
      <c r="B1581" s="797" t="s">
        <v>4243</v>
      </c>
      <c r="C1581" s="797" t="s">
        <v>281</v>
      </c>
      <c r="D1581" s="798">
        <v>111547</v>
      </c>
      <c r="E1581" s="805" t="s">
        <v>236</v>
      </c>
      <c r="F1581" s="710" t="s">
        <v>58</v>
      </c>
      <c r="G1581" s="710" t="s">
        <v>24</v>
      </c>
      <c r="H1581" s="710" t="s">
        <v>26</v>
      </c>
      <c r="I1581" s="662"/>
      <c r="J1581" s="662">
        <v>1</v>
      </c>
      <c r="K1581" s="710"/>
      <c r="L1581" s="800" t="s">
        <v>4389</v>
      </c>
      <c r="M1581" s="717"/>
      <c r="N1581" s="647"/>
      <c r="O1581" s="575"/>
      <c r="P1581" s="717" t="e">
        <f>VLOOKUP(A1581,'[1]Raw data'!$B:$BA,23,FALSE)</f>
        <v>#N/A</v>
      </c>
      <c r="Q1581" s="710" t="e">
        <f>VLOOKUP(A1581,'[1]Raw data'!$B:$Z,2,FALSE)</f>
        <v>#N/A</v>
      </c>
      <c r="R1581" s="710" t="e">
        <f>VLOOKUP(A1581,'[1]Raw data'!$B:$Z,3,FALSE)</f>
        <v>#N/A</v>
      </c>
      <c r="S1581" s="710" t="e">
        <f>VLOOKUP(A1581,'[1]Raw data'!$B:$Z,4,FALSE)</f>
        <v>#N/A</v>
      </c>
      <c r="T1581" s="710" t="e">
        <f>VLOOKUP(A1581,'[1]Raw data'!$B:$Z,8,FALSE)</f>
        <v>#N/A</v>
      </c>
      <c r="U1581" s="710" t="e">
        <f>VLOOKUP(A1581,'[1]Raw data'!$B:$Z,9,FALSE)</f>
        <v>#N/A</v>
      </c>
      <c r="V1581" s="709" t="e">
        <f t="shared" si="370"/>
        <v>#N/A</v>
      </c>
      <c r="W1581" s="801" t="e">
        <f>VLOOKUP(A1581,'[1]Raw data'!$B:$AG,32,FALSE)</f>
        <v>#N/A</v>
      </c>
      <c r="X1581" s="800" t="e">
        <f>VLOOKUP(A1581,'[1]Raw data'!$B:$BA,31,FALSE)</f>
        <v>#N/A</v>
      </c>
      <c r="Y1581" s="710" t="e">
        <f>VLOOKUP(A1581,'[1]Raw data'!$B:$AS,39,FALSE)</f>
        <v>#N/A</v>
      </c>
      <c r="Z1581" s="659"/>
      <c r="AA1581" s="660"/>
      <c r="AB1581" s="661"/>
      <c r="AC1581" s="710"/>
      <c r="AD1581" s="662">
        <v>301</v>
      </c>
      <c r="AE1581" s="662">
        <v>10</v>
      </c>
      <c r="AF1581" s="662">
        <v>311</v>
      </c>
      <c r="AG1581" s="662">
        <v>10</v>
      </c>
      <c r="AH1581" s="662"/>
      <c r="AI1581" s="663"/>
      <c r="AN1581" s="542"/>
      <c r="AO1581" s="824" t="str">
        <f t="shared" si="357"/>
        <v>No</v>
      </c>
      <c r="AP1581" s="259" t="str">
        <f t="shared" si="371"/>
        <v>blank</v>
      </c>
      <c r="AQ1581" s="542" t="str">
        <f t="shared" si="359"/>
        <v>无定金+无預留客戶</v>
      </c>
      <c r="AR1581" s="259" t="str">
        <f t="shared" si="360"/>
        <v>Incoming_Stock_No_YAMAHA_Schedule</v>
      </c>
      <c r="AS1581" s="259" t="str">
        <f t="shared" si="361"/>
        <v/>
      </c>
      <c r="AT1581" s="259" t="str">
        <f t="shared" si="362"/>
        <v>-</v>
      </c>
      <c r="AU1581" s="259" t="str">
        <f t="shared" si="363"/>
        <v>-</v>
      </c>
      <c r="AV1581" s="259" t="str">
        <f t="shared" si="364"/>
        <v>ex-work 24年3月</v>
      </c>
    </row>
    <row r="1582" spans="1:48">
      <c r="B1582" s="797" t="s">
        <v>4243</v>
      </c>
      <c r="C1582" s="797" t="s">
        <v>281</v>
      </c>
      <c r="D1582" s="798">
        <v>111547</v>
      </c>
      <c r="E1582" s="805" t="s">
        <v>236</v>
      </c>
      <c r="F1582" s="710" t="s">
        <v>58</v>
      </c>
      <c r="G1582" s="710" t="s">
        <v>24</v>
      </c>
      <c r="H1582" s="710" t="s">
        <v>26</v>
      </c>
      <c r="I1582" s="662"/>
      <c r="J1582" s="662">
        <v>1</v>
      </c>
      <c r="K1582" s="710"/>
      <c r="L1582" s="800" t="s">
        <v>4389</v>
      </c>
      <c r="M1582" s="717"/>
      <c r="N1582" s="647"/>
      <c r="O1582" s="575"/>
      <c r="P1582" s="717" t="e">
        <f>VLOOKUP(A1582,'[1]Raw data'!$B:$BA,23,FALSE)</f>
        <v>#N/A</v>
      </c>
      <c r="Q1582" s="710" t="e">
        <f>VLOOKUP(A1582,'[1]Raw data'!$B:$Z,2,FALSE)</f>
        <v>#N/A</v>
      </c>
      <c r="R1582" s="710" t="e">
        <f>VLOOKUP(A1582,'[1]Raw data'!$B:$Z,3,FALSE)</f>
        <v>#N/A</v>
      </c>
      <c r="S1582" s="710" t="e">
        <f>VLOOKUP(A1582,'[1]Raw data'!$B:$Z,4,FALSE)</f>
        <v>#N/A</v>
      </c>
      <c r="T1582" s="710" t="e">
        <f>VLOOKUP(A1582,'[1]Raw data'!$B:$Z,8,FALSE)</f>
        <v>#N/A</v>
      </c>
      <c r="U1582" s="710" t="e">
        <f>VLOOKUP(A1582,'[1]Raw data'!$B:$Z,9,FALSE)</f>
        <v>#N/A</v>
      </c>
      <c r="V1582" s="709" t="e">
        <f t="shared" si="367"/>
        <v>#N/A</v>
      </c>
      <c r="W1582" s="801" t="e">
        <f>VLOOKUP(A1582,'[1]Raw data'!$B:$AG,32,FALSE)</f>
        <v>#N/A</v>
      </c>
      <c r="X1582" s="800" t="e">
        <f>VLOOKUP(A1582,'[1]Raw data'!$B:$BA,31,FALSE)</f>
        <v>#N/A</v>
      </c>
      <c r="Y1582" s="710" t="e">
        <f>VLOOKUP(A1582,'[1]Raw data'!$B:$AS,39,FALSE)</f>
        <v>#N/A</v>
      </c>
      <c r="Z1582" s="659"/>
      <c r="AA1582" s="660"/>
      <c r="AB1582" s="661"/>
      <c r="AC1582" s="710"/>
      <c r="AD1582" s="662">
        <v>301</v>
      </c>
      <c r="AE1582" s="662">
        <v>10</v>
      </c>
      <c r="AF1582" s="662">
        <v>302</v>
      </c>
      <c r="AG1582" s="662">
        <v>10</v>
      </c>
      <c r="AH1582" s="662"/>
      <c r="AI1582" s="663"/>
      <c r="AN1582" s="542"/>
      <c r="AO1582" s="824" t="str">
        <f t="shared" si="357"/>
        <v>No</v>
      </c>
      <c r="AP1582" s="259" t="str">
        <f t="shared" si="358"/>
        <v>blank</v>
      </c>
      <c r="AQ1582" s="542" t="str">
        <f t="shared" si="359"/>
        <v>无定金+无預留客戶</v>
      </c>
      <c r="AR1582" s="259" t="str">
        <f t="shared" si="360"/>
        <v>Incoming_Stock_No_YAMAHA_Schedule</v>
      </c>
      <c r="AS1582" s="259" t="str">
        <f t="shared" si="361"/>
        <v/>
      </c>
      <c r="AT1582" s="259" t="str">
        <f t="shared" si="362"/>
        <v>-</v>
      </c>
      <c r="AU1582" s="259" t="str">
        <f t="shared" si="363"/>
        <v>-</v>
      </c>
      <c r="AV1582" s="259" t="str">
        <f t="shared" si="364"/>
        <v>ex-work 24年3月</v>
      </c>
    </row>
    <row r="1583" spans="1:48">
      <c r="B1583" s="797" t="s">
        <v>4243</v>
      </c>
      <c r="C1583" s="797" t="s">
        <v>281</v>
      </c>
      <c r="D1583" s="798">
        <v>111547</v>
      </c>
      <c r="E1583" s="805" t="s">
        <v>236</v>
      </c>
      <c r="F1583" s="710" t="s">
        <v>58</v>
      </c>
      <c r="G1583" s="710" t="s">
        <v>18</v>
      </c>
      <c r="H1583" s="710" t="s">
        <v>26</v>
      </c>
      <c r="I1583" s="662"/>
      <c r="J1583" s="662">
        <v>1</v>
      </c>
      <c r="K1583" s="710"/>
      <c r="L1583" s="800" t="s">
        <v>4389</v>
      </c>
      <c r="M1583" s="717"/>
      <c r="N1583" s="647"/>
      <c r="O1583" s="575"/>
      <c r="P1583" s="717" t="e">
        <f>VLOOKUP(A1583,'[1]Raw data'!$B:$BA,23,FALSE)</f>
        <v>#N/A</v>
      </c>
      <c r="Q1583" s="710" t="e">
        <f>VLOOKUP(A1583,'[1]Raw data'!$B:$Z,2,FALSE)</f>
        <v>#N/A</v>
      </c>
      <c r="R1583" s="710" t="e">
        <f>VLOOKUP(A1583,'[1]Raw data'!$B:$Z,3,FALSE)</f>
        <v>#N/A</v>
      </c>
      <c r="S1583" s="710" t="e">
        <f>VLOOKUP(A1583,'[1]Raw data'!$B:$Z,4,FALSE)</f>
        <v>#N/A</v>
      </c>
      <c r="T1583" s="710" t="e">
        <f>VLOOKUP(A1583,'[1]Raw data'!$B:$Z,8,FALSE)</f>
        <v>#N/A</v>
      </c>
      <c r="U1583" s="710" t="e">
        <f>VLOOKUP(A1583,'[1]Raw data'!$B:$Z,9,FALSE)</f>
        <v>#N/A</v>
      </c>
      <c r="V1583" s="709" t="e">
        <f t="shared" ref="V1583:V1597" si="372">IF(G1583&amp;H1583=T1583&amp;U1583,"OK","WRONG")</f>
        <v>#N/A</v>
      </c>
      <c r="W1583" s="801" t="e">
        <f>VLOOKUP(A1583,'[1]Raw data'!$B:$AG,32,FALSE)</f>
        <v>#N/A</v>
      </c>
      <c r="X1583" s="800" t="e">
        <f>VLOOKUP(A1583,'[1]Raw data'!$B:$BA,31,FALSE)</f>
        <v>#N/A</v>
      </c>
      <c r="Y1583" s="710" t="e">
        <f>VLOOKUP(A1583,'[1]Raw data'!$B:$AS,39,FALSE)</f>
        <v>#N/A</v>
      </c>
      <c r="Z1583" s="659"/>
      <c r="AA1583" s="660"/>
      <c r="AB1583" s="661"/>
      <c r="AC1583" s="710"/>
      <c r="AD1583" s="662">
        <v>301</v>
      </c>
      <c r="AE1583" s="662">
        <v>10</v>
      </c>
      <c r="AF1583" s="662">
        <v>302</v>
      </c>
      <c r="AG1583" s="662">
        <v>10</v>
      </c>
      <c r="AH1583" s="662"/>
      <c r="AI1583" s="663"/>
      <c r="AN1583" s="542"/>
      <c r="AO1583" s="824" t="str">
        <f t="shared" si="357"/>
        <v>No</v>
      </c>
      <c r="AP1583" s="259" t="str">
        <f t="shared" si="358"/>
        <v>blank</v>
      </c>
      <c r="AQ1583" s="542" t="str">
        <f t="shared" si="359"/>
        <v>无定金+无預留客戶</v>
      </c>
      <c r="AR1583" s="259" t="str">
        <f t="shared" si="360"/>
        <v>Incoming_Stock_No_YAMAHA_Schedule</v>
      </c>
      <c r="AS1583" s="259" t="str">
        <f t="shared" si="361"/>
        <v/>
      </c>
      <c r="AT1583" s="259" t="str">
        <f t="shared" si="362"/>
        <v>-</v>
      </c>
      <c r="AU1583" s="259" t="str">
        <f t="shared" si="363"/>
        <v>-</v>
      </c>
      <c r="AV1583" s="259" t="str">
        <f t="shared" si="364"/>
        <v>ex-work 24年3月</v>
      </c>
    </row>
    <row r="1584" spans="1:48">
      <c r="B1584" s="797" t="s">
        <v>4243</v>
      </c>
      <c r="C1584" s="797" t="s">
        <v>281</v>
      </c>
      <c r="D1584" s="798">
        <v>111547</v>
      </c>
      <c r="E1584" s="805" t="s">
        <v>236</v>
      </c>
      <c r="F1584" s="710" t="s">
        <v>58</v>
      </c>
      <c r="G1584" s="710" t="s">
        <v>18</v>
      </c>
      <c r="H1584" s="710" t="s">
        <v>26</v>
      </c>
      <c r="I1584" s="662"/>
      <c r="J1584" s="662">
        <v>1</v>
      </c>
      <c r="K1584" s="710"/>
      <c r="L1584" s="800" t="s">
        <v>4389</v>
      </c>
      <c r="M1584" s="717"/>
      <c r="N1584" s="647"/>
      <c r="O1584" s="575"/>
      <c r="P1584" s="717" t="e">
        <f>VLOOKUP(A1584,'[1]Raw data'!$B:$BA,23,FALSE)</f>
        <v>#N/A</v>
      </c>
      <c r="Q1584" s="710" t="e">
        <f>VLOOKUP(A1584,'[1]Raw data'!$B:$Z,2,FALSE)</f>
        <v>#N/A</v>
      </c>
      <c r="R1584" s="710" t="e">
        <f>VLOOKUP(A1584,'[1]Raw data'!$B:$Z,3,FALSE)</f>
        <v>#N/A</v>
      </c>
      <c r="S1584" s="710" t="e">
        <f>VLOOKUP(A1584,'[1]Raw data'!$B:$Z,4,FALSE)</f>
        <v>#N/A</v>
      </c>
      <c r="T1584" s="710" t="e">
        <f>VLOOKUP(A1584,'[1]Raw data'!$B:$Z,8,FALSE)</f>
        <v>#N/A</v>
      </c>
      <c r="U1584" s="710" t="e">
        <f>VLOOKUP(A1584,'[1]Raw data'!$B:$Z,9,FALSE)</f>
        <v>#N/A</v>
      </c>
      <c r="V1584" s="709" t="e">
        <f t="shared" si="372"/>
        <v>#N/A</v>
      </c>
      <c r="W1584" s="801" t="e">
        <f>VLOOKUP(A1584,'[1]Raw data'!$B:$AG,32,FALSE)</f>
        <v>#N/A</v>
      </c>
      <c r="X1584" s="800" t="e">
        <f>VLOOKUP(A1584,'[1]Raw data'!$B:$BA,31,FALSE)</f>
        <v>#N/A</v>
      </c>
      <c r="Y1584" s="710" t="e">
        <f>VLOOKUP(A1584,'[1]Raw data'!$B:$AS,39,FALSE)</f>
        <v>#N/A</v>
      </c>
      <c r="Z1584" s="659"/>
      <c r="AA1584" s="660"/>
      <c r="AB1584" s="661"/>
      <c r="AC1584" s="710"/>
      <c r="AD1584" s="662">
        <v>301</v>
      </c>
      <c r="AE1584" s="662">
        <v>10</v>
      </c>
      <c r="AF1584" s="662">
        <v>302</v>
      </c>
      <c r="AG1584" s="662">
        <v>10</v>
      </c>
      <c r="AH1584" s="662"/>
      <c r="AI1584" s="663"/>
      <c r="AN1584" s="542"/>
      <c r="AO1584" s="824" t="str">
        <f t="shared" si="357"/>
        <v>No</v>
      </c>
      <c r="AP1584" s="259" t="str">
        <f t="shared" si="358"/>
        <v>blank</v>
      </c>
      <c r="AQ1584" s="542" t="str">
        <f t="shared" si="359"/>
        <v>无定金+无預留客戶</v>
      </c>
      <c r="AR1584" s="259" t="str">
        <f t="shared" si="360"/>
        <v>Incoming_Stock_No_YAMAHA_Schedule</v>
      </c>
      <c r="AS1584" s="259" t="str">
        <f t="shared" si="361"/>
        <v/>
      </c>
      <c r="AT1584" s="259" t="str">
        <f t="shared" si="362"/>
        <v>-</v>
      </c>
      <c r="AU1584" s="259" t="str">
        <f t="shared" si="363"/>
        <v>-</v>
      </c>
      <c r="AV1584" s="259" t="str">
        <f t="shared" si="364"/>
        <v>ex-work 24年3月</v>
      </c>
    </row>
    <row r="1585" spans="2:48">
      <c r="B1585" s="797" t="s">
        <v>4243</v>
      </c>
      <c r="C1585" s="797" t="s">
        <v>281</v>
      </c>
      <c r="D1585" s="798" t="s">
        <v>4393</v>
      </c>
      <c r="E1585" s="805" t="s">
        <v>236</v>
      </c>
      <c r="F1585" s="710" t="s">
        <v>17</v>
      </c>
      <c r="G1585" s="710" t="s">
        <v>24</v>
      </c>
      <c r="H1585" s="710" t="s">
        <v>19</v>
      </c>
      <c r="I1585" s="662"/>
      <c r="J1585" s="662">
        <v>1</v>
      </c>
      <c r="K1585" s="710"/>
      <c r="L1585" s="800" t="s">
        <v>4389</v>
      </c>
      <c r="M1585" s="717">
        <v>4.8899999999999999E-2</v>
      </c>
      <c r="N1585" s="647"/>
      <c r="O1585" s="575"/>
      <c r="P1585" s="717" t="e">
        <f>VLOOKUP(A1585,'[1]Raw data'!$B:$BA,23,FALSE)</f>
        <v>#N/A</v>
      </c>
      <c r="Q1585" s="710" t="e">
        <f>VLOOKUP(A1585,'[1]Raw data'!$B:$Z,2,FALSE)</f>
        <v>#N/A</v>
      </c>
      <c r="R1585" s="710" t="e">
        <f>VLOOKUP(A1585,'[1]Raw data'!$B:$Z,3,FALSE)</f>
        <v>#N/A</v>
      </c>
      <c r="S1585" s="710" t="e">
        <f>VLOOKUP(A1585,'[1]Raw data'!$B:$Z,4,FALSE)</f>
        <v>#N/A</v>
      </c>
      <c r="T1585" s="710" t="e">
        <f>VLOOKUP(A1585,'[1]Raw data'!$B:$Z,8,FALSE)</f>
        <v>#N/A</v>
      </c>
      <c r="U1585" s="710" t="e">
        <f>VLOOKUP(A1585,'[1]Raw data'!$B:$Z,9,FALSE)</f>
        <v>#N/A</v>
      </c>
      <c r="V1585" s="709" t="e">
        <f t="shared" si="372"/>
        <v>#N/A</v>
      </c>
      <c r="W1585" s="801" t="e">
        <f>VLOOKUP(A1585,'[1]Raw data'!$B:$AG,32,FALSE)</f>
        <v>#N/A</v>
      </c>
      <c r="X1585" s="800" t="e">
        <f>VLOOKUP(A1585,'[1]Raw data'!$B:$BA,31,FALSE)</f>
        <v>#N/A</v>
      </c>
      <c r="Y1585" s="710" t="e">
        <f>VLOOKUP(A1585,'[1]Raw data'!$B:$AS,39,FALSE)</f>
        <v>#N/A</v>
      </c>
      <c r="Z1585" s="659"/>
      <c r="AA1585" s="660"/>
      <c r="AB1585" s="661"/>
      <c r="AC1585" s="710"/>
      <c r="AD1585" s="662">
        <v>301</v>
      </c>
      <c r="AE1585" s="662">
        <v>5</v>
      </c>
      <c r="AF1585" s="662">
        <v>303</v>
      </c>
      <c r="AG1585" s="662">
        <v>5</v>
      </c>
      <c r="AH1585" s="662"/>
      <c r="AI1585" s="663"/>
      <c r="AN1585" s="542"/>
      <c r="AO1585" s="824" t="str">
        <f t="shared" si="357"/>
        <v>No</v>
      </c>
      <c r="AP1585" s="259" t="str">
        <f t="shared" ref="AP1585:AP1594" si="373">IFERROR(IF(N1585&lt;&gt;"",N1585,"blank"),"NA")</f>
        <v>blank</v>
      </c>
      <c r="AQ1585" s="542" t="str">
        <f t="shared" si="359"/>
        <v>无定金+无預留客戶</v>
      </c>
      <c r="AR1585" s="259" t="str">
        <f t="shared" si="360"/>
        <v>Incoming_Stock_No_YAMAHA_Schedule</v>
      </c>
      <c r="AS1585" s="259" t="str">
        <f t="shared" si="361"/>
        <v/>
      </c>
      <c r="AT1585" s="259" t="str">
        <f t="shared" si="362"/>
        <v>-</v>
      </c>
      <c r="AU1585" s="259" t="str">
        <f t="shared" si="363"/>
        <v>-</v>
      </c>
      <c r="AV1585" s="259" t="str">
        <f t="shared" si="364"/>
        <v>ex-work 24年3月</v>
      </c>
    </row>
    <row r="1586" spans="2:48">
      <c r="B1586" s="797" t="s">
        <v>4243</v>
      </c>
      <c r="C1586" s="797" t="s">
        <v>281</v>
      </c>
      <c r="D1586" s="798" t="s">
        <v>4393</v>
      </c>
      <c r="E1586" s="805" t="s">
        <v>236</v>
      </c>
      <c r="F1586" s="710" t="s">
        <v>17</v>
      </c>
      <c r="G1586" s="710" t="s">
        <v>24</v>
      </c>
      <c r="H1586" s="710"/>
      <c r="I1586" s="662"/>
      <c r="J1586" s="662">
        <v>1</v>
      </c>
      <c r="K1586" s="710"/>
      <c r="L1586" s="800" t="s">
        <v>4389</v>
      </c>
      <c r="M1586" s="717">
        <v>4.8899999999999999E-2</v>
      </c>
      <c r="N1586" s="647"/>
      <c r="O1586" s="575"/>
      <c r="P1586" s="717" t="e">
        <f>VLOOKUP(A1586,'[1]Raw data'!$B:$BA,23,FALSE)</f>
        <v>#N/A</v>
      </c>
      <c r="Q1586" s="710" t="e">
        <f>VLOOKUP(A1586,'[1]Raw data'!$B:$Z,2,FALSE)</f>
        <v>#N/A</v>
      </c>
      <c r="R1586" s="710" t="e">
        <f>VLOOKUP(A1586,'[1]Raw data'!$B:$Z,3,FALSE)</f>
        <v>#N/A</v>
      </c>
      <c r="S1586" s="710" t="e">
        <f>VLOOKUP(A1586,'[1]Raw data'!$B:$Z,4,FALSE)</f>
        <v>#N/A</v>
      </c>
      <c r="T1586" s="710" t="e">
        <f>VLOOKUP(A1586,'[1]Raw data'!$B:$Z,8,FALSE)</f>
        <v>#N/A</v>
      </c>
      <c r="U1586" s="710" t="e">
        <f>VLOOKUP(A1586,'[1]Raw data'!$B:$Z,9,FALSE)</f>
        <v>#N/A</v>
      </c>
      <c r="V1586" s="709" t="e">
        <f>IF(G1586&amp;H1586=T1586&amp;U1586,"OK","WRONG")</f>
        <v>#N/A</v>
      </c>
      <c r="W1586" s="801" t="e">
        <f>VLOOKUP(A1586,'[1]Raw data'!$B:$AG,32,FALSE)</f>
        <v>#N/A</v>
      </c>
      <c r="X1586" s="800" t="e">
        <f>VLOOKUP(A1586,'[1]Raw data'!$B:$BA,31,FALSE)</f>
        <v>#N/A</v>
      </c>
      <c r="Y1586" s="710" t="e">
        <f>VLOOKUP(A1586,'[1]Raw data'!$B:$AS,39,FALSE)</f>
        <v>#N/A</v>
      </c>
      <c r="Z1586" s="659"/>
      <c r="AA1586" s="660"/>
      <c r="AB1586" s="661"/>
      <c r="AC1586" s="710"/>
      <c r="AD1586" s="662">
        <v>301</v>
      </c>
      <c r="AE1586" s="662">
        <v>5</v>
      </c>
      <c r="AF1586" s="662">
        <v>302</v>
      </c>
      <c r="AG1586" s="662">
        <v>5</v>
      </c>
      <c r="AH1586" s="662"/>
      <c r="AI1586" s="663"/>
      <c r="AN1586" s="542"/>
      <c r="AO1586" s="824" t="str">
        <f t="shared" si="357"/>
        <v>No</v>
      </c>
      <c r="AP1586" s="259" t="str">
        <f>IFERROR(IF(N1586&lt;&gt;"",N1586,"blank"),"NA")</f>
        <v>blank</v>
      </c>
      <c r="AQ1586" s="542" t="str">
        <f t="shared" si="359"/>
        <v>无定金+无預留客戶</v>
      </c>
      <c r="AR1586" s="259" t="str">
        <f t="shared" si="360"/>
        <v>Incoming_Stock_No_YAMAHA_Schedule</v>
      </c>
      <c r="AS1586" s="259" t="str">
        <f t="shared" si="361"/>
        <v/>
      </c>
      <c r="AT1586" s="259" t="str">
        <f t="shared" si="362"/>
        <v>-</v>
      </c>
      <c r="AU1586" s="259" t="str">
        <f t="shared" si="363"/>
        <v>-</v>
      </c>
      <c r="AV1586" s="259" t="str">
        <f t="shared" si="364"/>
        <v>ex-work 24年3月</v>
      </c>
    </row>
    <row r="1587" spans="2:48">
      <c r="B1587" s="797" t="s">
        <v>4243</v>
      </c>
      <c r="C1587" s="797" t="s">
        <v>281</v>
      </c>
      <c r="D1587" s="798" t="s">
        <v>4393</v>
      </c>
      <c r="E1587" s="805" t="s">
        <v>236</v>
      </c>
      <c r="F1587" s="710" t="s">
        <v>17</v>
      </c>
      <c r="G1587" s="710" t="s">
        <v>24</v>
      </c>
      <c r="H1587" s="710"/>
      <c r="I1587" s="662"/>
      <c r="J1587" s="662">
        <v>1</v>
      </c>
      <c r="K1587" s="710"/>
      <c r="L1587" s="800" t="s">
        <v>4389</v>
      </c>
      <c r="M1587" s="717">
        <v>4.8899999999999999E-2</v>
      </c>
      <c r="N1587" s="647"/>
      <c r="O1587" s="575"/>
      <c r="P1587" s="717" t="e">
        <f>VLOOKUP(A1587,'[1]Raw data'!$B:$BA,23,FALSE)</f>
        <v>#N/A</v>
      </c>
      <c r="Q1587" s="710" t="e">
        <f>VLOOKUP(A1587,'[1]Raw data'!$B:$Z,2,FALSE)</f>
        <v>#N/A</v>
      </c>
      <c r="R1587" s="710" t="e">
        <f>VLOOKUP(A1587,'[1]Raw data'!$B:$Z,3,FALSE)</f>
        <v>#N/A</v>
      </c>
      <c r="S1587" s="710" t="e">
        <f>VLOOKUP(A1587,'[1]Raw data'!$B:$Z,4,FALSE)</f>
        <v>#N/A</v>
      </c>
      <c r="T1587" s="710" t="e">
        <f>VLOOKUP(A1587,'[1]Raw data'!$B:$Z,8,FALSE)</f>
        <v>#N/A</v>
      </c>
      <c r="U1587" s="710" t="e">
        <f>VLOOKUP(A1587,'[1]Raw data'!$B:$Z,9,FALSE)</f>
        <v>#N/A</v>
      </c>
      <c r="V1587" s="709" t="e">
        <f>IF(G1587&amp;H1587=T1587&amp;U1587,"OK","WRONG")</f>
        <v>#N/A</v>
      </c>
      <c r="W1587" s="801" t="e">
        <f>VLOOKUP(A1587,'[1]Raw data'!$B:$AG,32,FALSE)</f>
        <v>#N/A</v>
      </c>
      <c r="X1587" s="800" t="e">
        <f>VLOOKUP(A1587,'[1]Raw data'!$B:$BA,31,FALSE)</f>
        <v>#N/A</v>
      </c>
      <c r="Y1587" s="710" t="e">
        <f>VLOOKUP(A1587,'[1]Raw data'!$B:$AS,39,FALSE)</f>
        <v>#N/A</v>
      </c>
      <c r="Z1587" s="659"/>
      <c r="AA1587" s="660"/>
      <c r="AB1587" s="661"/>
      <c r="AC1587" s="710"/>
      <c r="AD1587" s="662">
        <v>301</v>
      </c>
      <c r="AE1587" s="662">
        <v>5</v>
      </c>
      <c r="AF1587" s="662">
        <v>302</v>
      </c>
      <c r="AG1587" s="662">
        <v>5</v>
      </c>
      <c r="AH1587" s="662"/>
      <c r="AI1587" s="663"/>
      <c r="AN1587" s="542"/>
      <c r="AO1587" s="824" t="str">
        <f t="shared" si="357"/>
        <v>No</v>
      </c>
      <c r="AP1587" s="259" t="str">
        <f>IFERROR(IF(N1587&lt;&gt;"",N1587,"blank"),"NA")</f>
        <v>blank</v>
      </c>
      <c r="AQ1587" s="542" t="str">
        <f t="shared" si="359"/>
        <v>无定金+无預留客戶</v>
      </c>
      <c r="AR1587" s="259" t="str">
        <f t="shared" si="360"/>
        <v>Incoming_Stock_No_YAMAHA_Schedule</v>
      </c>
      <c r="AS1587" s="259" t="str">
        <f t="shared" si="361"/>
        <v/>
      </c>
      <c r="AT1587" s="259" t="str">
        <f t="shared" si="362"/>
        <v>-</v>
      </c>
      <c r="AU1587" s="259" t="str">
        <f t="shared" si="363"/>
        <v>-</v>
      </c>
      <c r="AV1587" s="259" t="str">
        <f t="shared" si="364"/>
        <v>ex-work 24年3月</v>
      </c>
    </row>
    <row r="1588" spans="2:48">
      <c r="B1588" s="797" t="s">
        <v>4243</v>
      </c>
      <c r="C1588" s="797" t="s">
        <v>281</v>
      </c>
      <c r="D1588" s="798" t="s">
        <v>4393</v>
      </c>
      <c r="E1588" s="805" t="s">
        <v>236</v>
      </c>
      <c r="F1588" s="710" t="s">
        <v>17</v>
      </c>
      <c r="G1588" s="710" t="s">
        <v>24</v>
      </c>
      <c r="H1588" s="710"/>
      <c r="I1588" s="662"/>
      <c r="J1588" s="662">
        <v>1</v>
      </c>
      <c r="K1588" s="710"/>
      <c r="L1588" s="800" t="s">
        <v>4389</v>
      </c>
      <c r="M1588" s="717">
        <v>4.8899999999999999E-2</v>
      </c>
      <c r="N1588" s="647"/>
      <c r="O1588" s="575"/>
      <c r="P1588" s="717" t="e">
        <f>VLOOKUP(A1588,'[1]Raw data'!$B:$BA,23,FALSE)</f>
        <v>#N/A</v>
      </c>
      <c r="Q1588" s="710" t="e">
        <f>VLOOKUP(A1588,'[1]Raw data'!$B:$Z,2,FALSE)</f>
        <v>#N/A</v>
      </c>
      <c r="R1588" s="710" t="e">
        <f>VLOOKUP(A1588,'[1]Raw data'!$B:$Z,3,FALSE)</f>
        <v>#N/A</v>
      </c>
      <c r="S1588" s="710" t="e">
        <f>VLOOKUP(A1588,'[1]Raw data'!$B:$Z,4,FALSE)</f>
        <v>#N/A</v>
      </c>
      <c r="T1588" s="710" t="e">
        <f>VLOOKUP(A1588,'[1]Raw data'!$B:$Z,8,FALSE)</f>
        <v>#N/A</v>
      </c>
      <c r="U1588" s="710" t="e">
        <f>VLOOKUP(A1588,'[1]Raw data'!$B:$Z,9,FALSE)</f>
        <v>#N/A</v>
      </c>
      <c r="V1588" s="709" t="e">
        <f>IF(G1588&amp;H1588=T1588&amp;U1588,"OK","WRONG")</f>
        <v>#N/A</v>
      </c>
      <c r="W1588" s="801" t="e">
        <f>VLOOKUP(A1588,'[1]Raw data'!$B:$AG,32,FALSE)</f>
        <v>#N/A</v>
      </c>
      <c r="X1588" s="800" t="e">
        <f>VLOOKUP(A1588,'[1]Raw data'!$B:$BA,31,FALSE)</f>
        <v>#N/A</v>
      </c>
      <c r="Y1588" s="710" t="e">
        <f>VLOOKUP(A1588,'[1]Raw data'!$B:$AS,39,FALSE)</f>
        <v>#N/A</v>
      </c>
      <c r="Z1588" s="659"/>
      <c r="AA1588" s="660"/>
      <c r="AB1588" s="661"/>
      <c r="AC1588" s="710"/>
      <c r="AD1588" s="662">
        <v>301</v>
      </c>
      <c r="AE1588" s="662">
        <v>5</v>
      </c>
      <c r="AF1588" s="662">
        <v>302</v>
      </c>
      <c r="AG1588" s="662">
        <v>5</v>
      </c>
      <c r="AH1588" s="662"/>
      <c r="AI1588" s="663"/>
      <c r="AN1588" s="542"/>
      <c r="AO1588" s="824" t="str">
        <f t="shared" si="357"/>
        <v>No</v>
      </c>
      <c r="AP1588" s="259" t="str">
        <f>IFERROR(IF(N1588&lt;&gt;"",N1588,"blank"),"NA")</f>
        <v>blank</v>
      </c>
      <c r="AQ1588" s="542" t="str">
        <f t="shared" si="359"/>
        <v>无定金+无預留客戶</v>
      </c>
      <c r="AR1588" s="259" t="str">
        <f t="shared" si="360"/>
        <v>Incoming_Stock_No_YAMAHA_Schedule</v>
      </c>
      <c r="AS1588" s="259" t="str">
        <f t="shared" si="361"/>
        <v/>
      </c>
      <c r="AT1588" s="259" t="str">
        <f t="shared" si="362"/>
        <v>-</v>
      </c>
      <c r="AU1588" s="259" t="str">
        <f t="shared" si="363"/>
        <v>-</v>
      </c>
      <c r="AV1588" s="259" t="str">
        <f t="shared" si="364"/>
        <v>ex-work 24年3月</v>
      </c>
    </row>
    <row r="1589" spans="2:48">
      <c r="B1589" s="797" t="s">
        <v>4243</v>
      </c>
      <c r="C1589" s="797" t="s">
        <v>281</v>
      </c>
      <c r="D1589" s="798">
        <v>111546</v>
      </c>
      <c r="E1589" s="805" t="s">
        <v>236</v>
      </c>
      <c r="F1589" s="710" t="s">
        <v>17</v>
      </c>
      <c r="G1589" s="710" t="s">
        <v>24</v>
      </c>
      <c r="H1589" s="710" t="s">
        <v>19</v>
      </c>
      <c r="I1589" s="662"/>
      <c r="J1589" s="662">
        <v>1</v>
      </c>
      <c r="K1589" s="710"/>
      <c r="L1589" s="800" t="s">
        <v>4389</v>
      </c>
      <c r="M1589" s="717"/>
      <c r="N1589" s="647"/>
      <c r="O1589" s="575"/>
      <c r="P1589" s="717" t="e">
        <f>VLOOKUP(A1589,'[1]Raw data'!$B:$BA,23,FALSE)</f>
        <v>#N/A</v>
      </c>
      <c r="Q1589" s="710" t="e">
        <f>VLOOKUP(A1589,'[1]Raw data'!$B:$Z,2,FALSE)</f>
        <v>#N/A</v>
      </c>
      <c r="R1589" s="710" t="e">
        <f>VLOOKUP(A1589,'[1]Raw data'!$B:$Z,3,FALSE)</f>
        <v>#N/A</v>
      </c>
      <c r="S1589" s="710" t="e">
        <f>VLOOKUP(A1589,'[1]Raw data'!$B:$Z,4,FALSE)</f>
        <v>#N/A</v>
      </c>
      <c r="T1589" s="710" t="e">
        <f>VLOOKUP(A1589,'[1]Raw data'!$B:$Z,8,FALSE)</f>
        <v>#N/A</v>
      </c>
      <c r="U1589" s="710" t="e">
        <f>VLOOKUP(A1589,'[1]Raw data'!$B:$Z,9,FALSE)</f>
        <v>#N/A</v>
      </c>
      <c r="V1589" s="709" t="e">
        <f t="shared" si="372"/>
        <v>#N/A</v>
      </c>
      <c r="W1589" s="801" t="e">
        <f>VLOOKUP(A1589,'[1]Raw data'!$B:$AG,32,FALSE)</f>
        <v>#N/A</v>
      </c>
      <c r="X1589" s="800" t="e">
        <f>VLOOKUP(A1589,'[1]Raw data'!$B:$BA,31,FALSE)</f>
        <v>#N/A</v>
      </c>
      <c r="Y1589" s="710" t="e">
        <f>VLOOKUP(A1589,'[1]Raw data'!$B:$AS,39,FALSE)</f>
        <v>#N/A</v>
      </c>
      <c r="Z1589" s="659"/>
      <c r="AA1589" s="660"/>
      <c r="AB1589" s="661"/>
      <c r="AC1589" s="710"/>
      <c r="AD1589" s="662">
        <v>301</v>
      </c>
      <c r="AE1589" s="662">
        <v>5</v>
      </c>
      <c r="AF1589" s="662">
        <v>303</v>
      </c>
      <c r="AG1589" s="662">
        <v>5</v>
      </c>
      <c r="AH1589" s="662"/>
      <c r="AI1589" s="663"/>
      <c r="AN1589" s="542"/>
      <c r="AO1589" s="824" t="str">
        <f t="shared" si="357"/>
        <v>No</v>
      </c>
      <c r="AP1589" s="259" t="str">
        <f t="shared" si="373"/>
        <v>blank</v>
      </c>
      <c r="AQ1589" s="542" t="str">
        <f t="shared" si="359"/>
        <v>无定金+无預留客戶</v>
      </c>
      <c r="AR1589" s="259" t="str">
        <f t="shared" si="360"/>
        <v>Incoming_Stock_No_YAMAHA_Schedule</v>
      </c>
      <c r="AS1589" s="259" t="str">
        <f t="shared" si="361"/>
        <v/>
      </c>
      <c r="AT1589" s="259" t="str">
        <f t="shared" si="362"/>
        <v>-</v>
      </c>
      <c r="AU1589" s="259" t="str">
        <f t="shared" si="363"/>
        <v>-</v>
      </c>
      <c r="AV1589" s="259" t="str">
        <f t="shared" si="364"/>
        <v>ex-work 24年3月</v>
      </c>
    </row>
    <row r="1590" spans="2:48">
      <c r="B1590" s="797" t="s">
        <v>4243</v>
      </c>
      <c r="C1590" s="797" t="s">
        <v>281</v>
      </c>
      <c r="D1590" s="798">
        <v>111546</v>
      </c>
      <c r="E1590" s="805" t="s">
        <v>236</v>
      </c>
      <c r="F1590" s="710" t="s">
        <v>17</v>
      </c>
      <c r="G1590" s="710" t="s">
        <v>24</v>
      </c>
      <c r="H1590" s="710" t="s">
        <v>19</v>
      </c>
      <c r="I1590" s="662"/>
      <c r="J1590" s="662">
        <v>1</v>
      </c>
      <c r="K1590" s="710"/>
      <c r="L1590" s="800" t="s">
        <v>4389</v>
      </c>
      <c r="M1590" s="717"/>
      <c r="N1590" s="647"/>
      <c r="O1590" s="575"/>
      <c r="P1590" s="717" t="e">
        <f>VLOOKUP(A1590,'[1]Raw data'!$B:$BA,23,FALSE)</f>
        <v>#N/A</v>
      </c>
      <c r="Q1590" s="710" t="e">
        <f>VLOOKUP(A1590,'[1]Raw data'!$B:$Z,2,FALSE)</f>
        <v>#N/A</v>
      </c>
      <c r="R1590" s="710" t="e">
        <f>VLOOKUP(A1590,'[1]Raw data'!$B:$Z,3,FALSE)</f>
        <v>#N/A</v>
      </c>
      <c r="S1590" s="710" t="e">
        <f>VLOOKUP(A1590,'[1]Raw data'!$B:$Z,4,FALSE)</f>
        <v>#N/A</v>
      </c>
      <c r="T1590" s="710" t="e">
        <f>VLOOKUP(A1590,'[1]Raw data'!$B:$Z,8,FALSE)</f>
        <v>#N/A</v>
      </c>
      <c r="U1590" s="710" t="e">
        <f>VLOOKUP(A1590,'[1]Raw data'!$B:$Z,9,FALSE)</f>
        <v>#N/A</v>
      </c>
      <c r="V1590" s="709" t="e">
        <f t="shared" si="372"/>
        <v>#N/A</v>
      </c>
      <c r="W1590" s="801" t="e">
        <f>VLOOKUP(A1590,'[1]Raw data'!$B:$AG,32,FALSE)</f>
        <v>#N/A</v>
      </c>
      <c r="X1590" s="800" t="e">
        <f>VLOOKUP(A1590,'[1]Raw data'!$B:$BA,31,FALSE)</f>
        <v>#N/A</v>
      </c>
      <c r="Y1590" s="710" t="e">
        <f>VLOOKUP(A1590,'[1]Raw data'!$B:$AS,39,FALSE)</f>
        <v>#N/A</v>
      </c>
      <c r="Z1590" s="659"/>
      <c r="AA1590" s="660"/>
      <c r="AB1590" s="661"/>
      <c r="AC1590" s="710"/>
      <c r="AD1590" s="662">
        <v>301</v>
      </c>
      <c r="AE1590" s="662">
        <v>5</v>
      </c>
      <c r="AF1590" s="662">
        <v>303</v>
      </c>
      <c r="AG1590" s="662">
        <v>5</v>
      </c>
      <c r="AH1590" s="662"/>
      <c r="AI1590" s="663"/>
      <c r="AN1590" s="542"/>
      <c r="AO1590" s="824" t="str">
        <f t="shared" si="357"/>
        <v>No</v>
      </c>
      <c r="AP1590" s="259" t="str">
        <f t="shared" si="373"/>
        <v>blank</v>
      </c>
      <c r="AQ1590" s="542" t="str">
        <f t="shared" si="359"/>
        <v>无定金+无預留客戶</v>
      </c>
      <c r="AR1590" s="259" t="str">
        <f t="shared" si="360"/>
        <v>Incoming_Stock_No_YAMAHA_Schedule</v>
      </c>
      <c r="AS1590" s="259" t="str">
        <f t="shared" si="361"/>
        <v/>
      </c>
      <c r="AT1590" s="259" t="str">
        <f t="shared" si="362"/>
        <v>-</v>
      </c>
      <c r="AU1590" s="259" t="str">
        <f t="shared" si="363"/>
        <v>-</v>
      </c>
      <c r="AV1590" s="259" t="str">
        <f t="shared" si="364"/>
        <v>ex-work 24年3月</v>
      </c>
    </row>
    <row r="1591" spans="2:48">
      <c r="B1591" s="797" t="s">
        <v>4243</v>
      </c>
      <c r="C1591" s="797" t="s">
        <v>281</v>
      </c>
      <c r="D1591" s="798">
        <v>111546</v>
      </c>
      <c r="E1591" s="805" t="s">
        <v>236</v>
      </c>
      <c r="F1591" s="710" t="s">
        <v>17</v>
      </c>
      <c r="G1591" s="710" t="s">
        <v>24</v>
      </c>
      <c r="H1591" s="710"/>
      <c r="I1591" s="662"/>
      <c r="J1591" s="662">
        <v>1</v>
      </c>
      <c r="K1591" s="710"/>
      <c r="L1591" s="800" t="s">
        <v>4389</v>
      </c>
      <c r="M1591" s="717"/>
      <c r="N1591" s="647"/>
      <c r="O1591" s="575"/>
      <c r="P1591" s="717" t="e">
        <f>VLOOKUP(A1591,'[1]Raw data'!$B:$BA,23,FALSE)</f>
        <v>#N/A</v>
      </c>
      <c r="Q1591" s="710" t="e">
        <f>VLOOKUP(A1591,'[1]Raw data'!$B:$Z,2,FALSE)</f>
        <v>#N/A</v>
      </c>
      <c r="R1591" s="710" t="e">
        <f>VLOOKUP(A1591,'[1]Raw data'!$B:$Z,3,FALSE)</f>
        <v>#N/A</v>
      </c>
      <c r="S1591" s="710" t="e">
        <f>VLOOKUP(A1591,'[1]Raw data'!$B:$Z,4,FALSE)</f>
        <v>#N/A</v>
      </c>
      <c r="T1591" s="710" t="e">
        <f>VLOOKUP(A1591,'[1]Raw data'!$B:$Z,8,FALSE)</f>
        <v>#N/A</v>
      </c>
      <c r="U1591" s="710" t="e">
        <f>VLOOKUP(A1591,'[1]Raw data'!$B:$Z,9,FALSE)</f>
        <v>#N/A</v>
      </c>
      <c r="V1591" s="709" t="e">
        <f t="shared" ref="V1591:V1594" si="374">IF(G1591&amp;H1591=T1591&amp;U1591,"OK","WRONG")</f>
        <v>#N/A</v>
      </c>
      <c r="W1591" s="801" t="e">
        <f>VLOOKUP(A1591,'[1]Raw data'!$B:$AG,32,FALSE)</f>
        <v>#N/A</v>
      </c>
      <c r="X1591" s="800" t="e">
        <f>VLOOKUP(A1591,'[1]Raw data'!$B:$BA,31,FALSE)</f>
        <v>#N/A</v>
      </c>
      <c r="Y1591" s="710" t="e">
        <f>VLOOKUP(A1591,'[1]Raw data'!$B:$AS,39,FALSE)</f>
        <v>#N/A</v>
      </c>
      <c r="Z1591" s="659"/>
      <c r="AA1591" s="660"/>
      <c r="AB1591" s="661"/>
      <c r="AC1591" s="710"/>
      <c r="AD1591" s="662">
        <v>301</v>
      </c>
      <c r="AE1591" s="662">
        <v>5</v>
      </c>
      <c r="AF1591" s="662">
        <v>302</v>
      </c>
      <c r="AG1591" s="662">
        <v>5</v>
      </c>
      <c r="AH1591" s="662"/>
      <c r="AI1591" s="663"/>
      <c r="AN1591" s="542"/>
      <c r="AO1591" s="824" t="str">
        <f t="shared" si="357"/>
        <v>No</v>
      </c>
      <c r="AP1591" s="259" t="str">
        <f t="shared" si="373"/>
        <v>blank</v>
      </c>
      <c r="AQ1591" s="542" t="str">
        <f t="shared" si="359"/>
        <v>无定金+无預留客戶</v>
      </c>
      <c r="AR1591" s="259" t="str">
        <f t="shared" si="360"/>
        <v>Incoming_Stock_No_YAMAHA_Schedule</v>
      </c>
      <c r="AS1591" s="259" t="str">
        <f t="shared" si="361"/>
        <v/>
      </c>
      <c r="AT1591" s="259" t="str">
        <f t="shared" si="362"/>
        <v>-</v>
      </c>
      <c r="AU1591" s="259" t="str">
        <f t="shared" si="363"/>
        <v>-</v>
      </c>
      <c r="AV1591" s="259" t="str">
        <f t="shared" si="364"/>
        <v>ex-work 24年3月</v>
      </c>
    </row>
    <row r="1592" spans="2:48">
      <c r="B1592" s="797" t="s">
        <v>4243</v>
      </c>
      <c r="C1592" s="797" t="s">
        <v>281</v>
      </c>
      <c r="D1592" s="798">
        <v>111546</v>
      </c>
      <c r="E1592" s="805" t="s">
        <v>236</v>
      </c>
      <c r="F1592" s="710" t="s">
        <v>17</v>
      </c>
      <c r="G1592" s="710" t="s">
        <v>24</v>
      </c>
      <c r="H1592" s="710"/>
      <c r="I1592" s="662"/>
      <c r="J1592" s="662">
        <v>1</v>
      </c>
      <c r="K1592" s="710"/>
      <c r="L1592" s="800" t="s">
        <v>4389</v>
      </c>
      <c r="M1592" s="717"/>
      <c r="N1592" s="647"/>
      <c r="O1592" s="575"/>
      <c r="P1592" s="717" t="e">
        <f>VLOOKUP(A1592,'[1]Raw data'!$B:$BA,23,FALSE)</f>
        <v>#N/A</v>
      </c>
      <c r="Q1592" s="710" t="e">
        <f>VLOOKUP(A1592,'[1]Raw data'!$B:$Z,2,FALSE)</f>
        <v>#N/A</v>
      </c>
      <c r="R1592" s="710" t="e">
        <f>VLOOKUP(A1592,'[1]Raw data'!$B:$Z,3,FALSE)</f>
        <v>#N/A</v>
      </c>
      <c r="S1592" s="710" t="e">
        <f>VLOOKUP(A1592,'[1]Raw data'!$B:$Z,4,FALSE)</f>
        <v>#N/A</v>
      </c>
      <c r="T1592" s="710" t="e">
        <f>VLOOKUP(A1592,'[1]Raw data'!$B:$Z,8,FALSE)</f>
        <v>#N/A</v>
      </c>
      <c r="U1592" s="710" t="e">
        <f>VLOOKUP(A1592,'[1]Raw data'!$B:$Z,9,FALSE)</f>
        <v>#N/A</v>
      </c>
      <c r="V1592" s="709" t="e">
        <f t="shared" si="374"/>
        <v>#N/A</v>
      </c>
      <c r="W1592" s="801" t="e">
        <f>VLOOKUP(A1592,'[1]Raw data'!$B:$AG,32,FALSE)</f>
        <v>#N/A</v>
      </c>
      <c r="X1592" s="800" t="e">
        <f>VLOOKUP(A1592,'[1]Raw data'!$B:$BA,31,FALSE)</f>
        <v>#N/A</v>
      </c>
      <c r="Y1592" s="710" t="e">
        <f>VLOOKUP(A1592,'[1]Raw data'!$B:$AS,39,FALSE)</f>
        <v>#N/A</v>
      </c>
      <c r="Z1592" s="659"/>
      <c r="AA1592" s="660"/>
      <c r="AB1592" s="661"/>
      <c r="AC1592" s="710"/>
      <c r="AD1592" s="662">
        <v>301</v>
      </c>
      <c r="AE1592" s="662">
        <v>5</v>
      </c>
      <c r="AF1592" s="662">
        <v>302</v>
      </c>
      <c r="AG1592" s="662">
        <v>5</v>
      </c>
      <c r="AH1592" s="662"/>
      <c r="AI1592" s="663"/>
      <c r="AN1592" s="542"/>
      <c r="AO1592" s="824" t="str">
        <f t="shared" si="357"/>
        <v>No</v>
      </c>
      <c r="AP1592" s="259" t="str">
        <f t="shared" si="373"/>
        <v>blank</v>
      </c>
      <c r="AQ1592" s="542" t="str">
        <f t="shared" si="359"/>
        <v>无定金+无預留客戶</v>
      </c>
      <c r="AR1592" s="259" t="str">
        <f t="shared" si="360"/>
        <v>Incoming_Stock_No_YAMAHA_Schedule</v>
      </c>
      <c r="AS1592" s="259" t="str">
        <f t="shared" si="361"/>
        <v/>
      </c>
      <c r="AT1592" s="259" t="str">
        <f t="shared" si="362"/>
        <v>-</v>
      </c>
      <c r="AU1592" s="259" t="str">
        <f t="shared" si="363"/>
        <v>-</v>
      </c>
      <c r="AV1592" s="259" t="str">
        <f t="shared" si="364"/>
        <v>ex-work 24年3月</v>
      </c>
    </row>
    <row r="1593" spans="2:48">
      <c r="B1593" s="797" t="s">
        <v>4243</v>
      </c>
      <c r="C1593" s="797" t="s">
        <v>281</v>
      </c>
      <c r="D1593" s="798">
        <v>111546</v>
      </c>
      <c r="E1593" s="805" t="s">
        <v>236</v>
      </c>
      <c r="F1593" s="710" t="s">
        <v>17</v>
      </c>
      <c r="G1593" s="710" t="s">
        <v>24</v>
      </c>
      <c r="H1593" s="710"/>
      <c r="I1593" s="662"/>
      <c r="J1593" s="662">
        <v>1</v>
      </c>
      <c r="K1593" s="710"/>
      <c r="L1593" s="800" t="s">
        <v>4389</v>
      </c>
      <c r="M1593" s="717"/>
      <c r="N1593" s="647"/>
      <c r="O1593" s="575"/>
      <c r="P1593" s="717" t="e">
        <f>VLOOKUP(A1593,'[1]Raw data'!$B:$BA,23,FALSE)</f>
        <v>#N/A</v>
      </c>
      <c r="Q1593" s="710" t="e">
        <f>VLOOKUP(A1593,'[1]Raw data'!$B:$Z,2,FALSE)</f>
        <v>#N/A</v>
      </c>
      <c r="R1593" s="710" t="e">
        <f>VLOOKUP(A1593,'[1]Raw data'!$B:$Z,3,FALSE)</f>
        <v>#N/A</v>
      </c>
      <c r="S1593" s="710" t="e">
        <f>VLOOKUP(A1593,'[1]Raw data'!$B:$Z,4,FALSE)</f>
        <v>#N/A</v>
      </c>
      <c r="T1593" s="710" t="e">
        <f>VLOOKUP(A1593,'[1]Raw data'!$B:$Z,8,FALSE)</f>
        <v>#N/A</v>
      </c>
      <c r="U1593" s="710" t="e">
        <f>VLOOKUP(A1593,'[1]Raw data'!$B:$Z,9,FALSE)</f>
        <v>#N/A</v>
      </c>
      <c r="V1593" s="709" t="e">
        <f t="shared" si="374"/>
        <v>#N/A</v>
      </c>
      <c r="W1593" s="801" t="e">
        <f>VLOOKUP(A1593,'[1]Raw data'!$B:$AG,32,FALSE)</f>
        <v>#N/A</v>
      </c>
      <c r="X1593" s="800" t="e">
        <f>VLOOKUP(A1593,'[1]Raw data'!$B:$BA,31,FALSE)</f>
        <v>#N/A</v>
      </c>
      <c r="Y1593" s="710" t="e">
        <f>VLOOKUP(A1593,'[1]Raw data'!$B:$AS,39,FALSE)</f>
        <v>#N/A</v>
      </c>
      <c r="Z1593" s="659"/>
      <c r="AA1593" s="660"/>
      <c r="AB1593" s="661"/>
      <c r="AC1593" s="710"/>
      <c r="AD1593" s="662">
        <v>301</v>
      </c>
      <c r="AE1593" s="662">
        <v>5</v>
      </c>
      <c r="AF1593" s="662">
        <v>303</v>
      </c>
      <c r="AG1593" s="662">
        <v>5</v>
      </c>
      <c r="AH1593" s="662"/>
      <c r="AI1593" s="663"/>
      <c r="AN1593" s="542"/>
      <c r="AO1593" s="824" t="str">
        <f t="shared" si="357"/>
        <v>No</v>
      </c>
      <c r="AP1593" s="259" t="str">
        <f t="shared" si="373"/>
        <v>blank</v>
      </c>
      <c r="AQ1593" s="542" t="str">
        <f t="shared" si="359"/>
        <v>无定金+无預留客戶</v>
      </c>
      <c r="AR1593" s="259" t="str">
        <f t="shared" si="360"/>
        <v>Incoming_Stock_No_YAMAHA_Schedule</v>
      </c>
      <c r="AS1593" s="259" t="str">
        <f t="shared" si="361"/>
        <v/>
      </c>
      <c r="AT1593" s="259" t="str">
        <f t="shared" si="362"/>
        <v>-</v>
      </c>
      <c r="AU1593" s="259" t="str">
        <f t="shared" si="363"/>
        <v>-</v>
      </c>
      <c r="AV1593" s="259" t="str">
        <f t="shared" si="364"/>
        <v>ex-work 24年3月</v>
      </c>
    </row>
    <row r="1594" spans="2:48">
      <c r="B1594" s="797" t="s">
        <v>4243</v>
      </c>
      <c r="C1594" s="797" t="s">
        <v>281</v>
      </c>
      <c r="D1594" s="798">
        <v>111546</v>
      </c>
      <c r="E1594" s="805" t="s">
        <v>236</v>
      </c>
      <c r="F1594" s="710" t="s">
        <v>17</v>
      </c>
      <c r="G1594" s="710" t="s">
        <v>24</v>
      </c>
      <c r="H1594" s="710"/>
      <c r="I1594" s="662"/>
      <c r="J1594" s="662">
        <v>1</v>
      </c>
      <c r="K1594" s="710"/>
      <c r="L1594" s="800" t="s">
        <v>4389</v>
      </c>
      <c r="M1594" s="717"/>
      <c r="N1594" s="647"/>
      <c r="O1594" s="575"/>
      <c r="P1594" s="717" t="e">
        <f>VLOOKUP(A1594,'[1]Raw data'!$B:$BA,23,FALSE)</f>
        <v>#N/A</v>
      </c>
      <c r="Q1594" s="710" t="e">
        <f>VLOOKUP(A1594,'[1]Raw data'!$B:$Z,2,FALSE)</f>
        <v>#N/A</v>
      </c>
      <c r="R1594" s="710" t="e">
        <f>VLOOKUP(A1594,'[1]Raw data'!$B:$Z,3,FALSE)</f>
        <v>#N/A</v>
      </c>
      <c r="S1594" s="710" t="e">
        <f>VLOOKUP(A1594,'[1]Raw data'!$B:$Z,4,FALSE)</f>
        <v>#N/A</v>
      </c>
      <c r="T1594" s="710" t="e">
        <f>VLOOKUP(A1594,'[1]Raw data'!$B:$Z,8,FALSE)</f>
        <v>#N/A</v>
      </c>
      <c r="U1594" s="710" t="e">
        <f>VLOOKUP(A1594,'[1]Raw data'!$B:$Z,9,FALSE)</f>
        <v>#N/A</v>
      </c>
      <c r="V1594" s="709" t="e">
        <f t="shared" si="374"/>
        <v>#N/A</v>
      </c>
      <c r="W1594" s="801" t="e">
        <f>VLOOKUP(A1594,'[1]Raw data'!$B:$AG,32,FALSE)</f>
        <v>#N/A</v>
      </c>
      <c r="X1594" s="800" t="e">
        <f>VLOOKUP(A1594,'[1]Raw data'!$B:$BA,31,FALSE)</f>
        <v>#N/A</v>
      </c>
      <c r="Y1594" s="710" t="e">
        <f>VLOOKUP(A1594,'[1]Raw data'!$B:$AS,39,FALSE)</f>
        <v>#N/A</v>
      </c>
      <c r="Z1594" s="659"/>
      <c r="AA1594" s="660"/>
      <c r="AB1594" s="661"/>
      <c r="AC1594" s="710"/>
      <c r="AD1594" s="662">
        <v>301</v>
      </c>
      <c r="AE1594" s="662">
        <v>5</v>
      </c>
      <c r="AF1594" s="662">
        <v>303</v>
      </c>
      <c r="AG1594" s="662">
        <v>5</v>
      </c>
      <c r="AH1594" s="662"/>
      <c r="AI1594" s="663"/>
      <c r="AN1594" s="542"/>
      <c r="AO1594" s="824" t="str">
        <f t="shared" si="357"/>
        <v>No</v>
      </c>
      <c r="AP1594" s="259" t="str">
        <f t="shared" si="373"/>
        <v>blank</v>
      </c>
      <c r="AQ1594" s="542" t="str">
        <f t="shared" si="359"/>
        <v>无定金+无預留客戶</v>
      </c>
      <c r="AR1594" s="259" t="str">
        <f t="shared" si="360"/>
        <v>Incoming_Stock_No_YAMAHA_Schedule</v>
      </c>
      <c r="AS1594" s="259" t="str">
        <f t="shared" si="361"/>
        <v/>
      </c>
      <c r="AT1594" s="259" t="str">
        <f t="shared" si="362"/>
        <v>-</v>
      </c>
      <c r="AU1594" s="259" t="str">
        <f t="shared" si="363"/>
        <v>-</v>
      </c>
      <c r="AV1594" s="259" t="str">
        <f t="shared" si="364"/>
        <v>ex-work 24年3月</v>
      </c>
    </row>
    <row r="1595" spans="2:48">
      <c r="B1595" s="797"/>
      <c r="C1595" s="797"/>
      <c r="D1595" s="798"/>
      <c r="E1595" s="805"/>
      <c r="F1595" s="710"/>
      <c r="G1595" s="710"/>
      <c r="H1595" s="710"/>
      <c r="I1595" s="662"/>
      <c r="J1595" s="662"/>
      <c r="K1595" s="710"/>
      <c r="L1595" s="800"/>
      <c r="M1595" s="717"/>
      <c r="N1595" s="647"/>
      <c r="O1595" s="575"/>
      <c r="P1595" s="717" t="e">
        <f>VLOOKUP(A1595,'[1]Raw data'!$B:$BA,23,FALSE)</f>
        <v>#N/A</v>
      </c>
      <c r="Q1595" s="710" t="e">
        <f>VLOOKUP(A1595,'[1]Raw data'!$B:$Z,2,FALSE)</f>
        <v>#N/A</v>
      </c>
      <c r="R1595" s="710" t="e">
        <f>VLOOKUP(A1595,'[1]Raw data'!$B:$Z,3,FALSE)</f>
        <v>#N/A</v>
      </c>
      <c r="S1595" s="710" t="e">
        <f>VLOOKUP(A1595,'[1]Raw data'!$B:$Z,4,FALSE)</f>
        <v>#N/A</v>
      </c>
      <c r="T1595" s="710" t="e">
        <f>VLOOKUP(A1595,'[1]Raw data'!$B:$Z,8,FALSE)</f>
        <v>#N/A</v>
      </c>
      <c r="U1595" s="710" t="e">
        <f>VLOOKUP(A1595,'[1]Raw data'!$B:$Z,9,FALSE)</f>
        <v>#N/A</v>
      </c>
      <c r="V1595" s="709" t="e">
        <f t="shared" ref="V1595" si="375">IF(G1595&amp;H1595=T1595&amp;U1595,"OK","WRONG")</f>
        <v>#N/A</v>
      </c>
      <c r="W1595" s="801" t="e">
        <f>VLOOKUP(A1595,'[1]Raw data'!$B:$AG,32,FALSE)</f>
        <v>#N/A</v>
      </c>
      <c r="X1595" s="800" t="e">
        <f>VLOOKUP(A1595,'[1]Raw data'!$B:$BA,31,FALSE)</f>
        <v>#N/A</v>
      </c>
      <c r="Y1595" s="710" t="e">
        <f>VLOOKUP(A1595,'[1]Raw data'!$B:$AS,39,FALSE)</f>
        <v>#N/A</v>
      </c>
      <c r="Z1595" s="659"/>
      <c r="AA1595" s="660"/>
      <c r="AB1595" s="661"/>
      <c r="AC1595" s="710"/>
      <c r="AD1595" s="662"/>
      <c r="AE1595" s="662"/>
      <c r="AF1595" s="662"/>
      <c r="AG1595" s="662"/>
      <c r="AH1595" s="662"/>
      <c r="AI1595" s="663"/>
      <c r="AN1595" s="542"/>
      <c r="AO1595" s="824" t="str">
        <f t="shared" si="357"/>
        <v>No</v>
      </c>
      <c r="AP1595" s="259" t="str">
        <f t="shared" ref="AP1595" si="376">IFERROR(IF(N1595&lt;&gt;"",N1595,"blank"),"NA")</f>
        <v>blank</v>
      </c>
      <c r="AQ1595" s="542" t="str">
        <f t="shared" si="359"/>
        <v>无定金+无預留客戶</v>
      </c>
      <c r="AR1595" s="259" t="str">
        <f t="shared" si="360"/>
        <v/>
      </c>
      <c r="AS1595" s="259" t="str">
        <f t="shared" si="361"/>
        <v/>
      </c>
      <c r="AT1595" s="259" t="str">
        <f t="shared" si="362"/>
        <v>-</v>
      </c>
      <c r="AU1595" s="259" t="str">
        <f t="shared" si="363"/>
        <v>-</v>
      </c>
      <c r="AV1595" s="259" t="str">
        <f t="shared" si="364"/>
        <v>-</v>
      </c>
    </row>
    <row r="1596" spans="2:48">
      <c r="B1596" s="797"/>
      <c r="C1596" s="797"/>
      <c r="D1596" s="798"/>
      <c r="E1596" s="805"/>
      <c r="F1596" s="710"/>
      <c r="G1596" s="710"/>
      <c r="H1596" s="710"/>
      <c r="I1596" s="662"/>
      <c r="J1596" s="662"/>
      <c r="K1596" s="710"/>
      <c r="L1596" s="800"/>
      <c r="M1596" s="717"/>
      <c r="N1596" s="647"/>
      <c r="O1596" s="575"/>
      <c r="P1596" s="717" t="e">
        <f>VLOOKUP(A1596,'[1]Raw data'!$B:$BA,23,FALSE)</f>
        <v>#N/A</v>
      </c>
      <c r="Q1596" s="710" t="e">
        <f>VLOOKUP(A1596,'[1]Raw data'!$B:$Z,2,FALSE)</f>
        <v>#N/A</v>
      </c>
      <c r="R1596" s="710" t="e">
        <f>VLOOKUP(A1596,'[1]Raw data'!$B:$Z,3,FALSE)</f>
        <v>#N/A</v>
      </c>
      <c r="S1596" s="710" t="e">
        <f>VLOOKUP(A1596,'[1]Raw data'!$B:$Z,4,FALSE)</f>
        <v>#N/A</v>
      </c>
      <c r="T1596" s="710" t="e">
        <f>VLOOKUP(A1596,'[1]Raw data'!$B:$Z,8,FALSE)</f>
        <v>#N/A</v>
      </c>
      <c r="U1596" s="710" t="e">
        <f>VLOOKUP(A1596,'[1]Raw data'!$B:$Z,9,FALSE)</f>
        <v>#N/A</v>
      </c>
      <c r="V1596" s="709" t="e">
        <f t="shared" si="372"/>
        <v>#N/A</v>
      </c>
      <c r="W1596" s="801" t="e">
        <f>VLOOKUP(A1596,'[1]Raw data'!$B:$AG,32,FALSE)</f>
        <v>#N/A</v>
      </c>
      <c r="X1596" s="800" t="e">
        <f>VLOOKUP(A1596,'[1]Raw data'!$B:$BA,31,FALSE)</f>
        <v>#N/A</v>
      </c>
      <c r="Y1596" s="710" t="e">
        <f>VLOOKUP(A1596,'[1]Raw data'!$B:$AS,39,FALSE)</f>
        <v>#N/A</v>
      </c>
      <c r="Z1596" s="659"/>
      <c r="AA1596" s="660"/>
      <c r="AB1596" s="661"/>
      <c r="AC1596" s="710"/>
      <c r="AD1596" s="662"/>
      <c r="AE1596" s="662"/>
      <c r="AF1596" s="662"/>
      <c r="AG1596" s="662"/>
      <c r="AH1596" s="662"/>
      <c r="AI1596" s="663"/>
      <c r="AN1596" s="542"/>
      <c r="AO1596" s="824" t="str">
        <f t="shared" si="357"/>
        <v>No</v>
      </c>
      <c r="AP1596" s="259" t="str">
        <f t="shared" ref="AP1596:AP1597" si="377">IFERROR(IF(N1596&lt;&gt;"",N1596,"blank"),"NA")</f>
        <v>blank</v>
      </c>
      <c r="AQ1596" s="542" t="str">
        <f t="shared" si="359"/>
        <v>无定金+无預留客戶</v>
      </c>
      <c r="AR1596" s="259" t="str">
        <f t="shared" si="360"/>
        <v/>
      </c>
      <c r="AS1596" s="259" t="str">
        <f t="shared" si="361"/>
        <v/>
      </c>
      <c r="AT1596" s="259" t="str">
        <f t="shared" si="362"/>
        <v>-</v>
      </c>
      <c r="AU1596" s="259" t="str">
        <f t="shared" si="363"/>
        <v>-</v>
      </c>
      <c r="AV1596" s="259" t="str">
        <f t="shared" si="364"/>
        <v>-</v>
      </c>
    </row>
    <row r="1597" spans="2:48">
      <c r="B1597" s="797"/>
      <c r="C1597" s="797"/>
      <c r="D1597" s="798"/>
      <c r="E1597" s="805"/>
      <c r="F1597" s="710"/>
      <c r="G1597" s="710"/>
      <c r="H1597" s="710"/>
      <c r="I1597" s="662"/>
      <c r="J1597" s="662"/>
      <c r="K1597" s="710"/>
      <c r="L1597" s="800"/>
      <c r="M1597" s="717"/>
      <c r="N1597" s="647"/>
      <c r="O1597" s="575"/>
      <c r="P1597" s="717" t="e">
        <f>VLOOKUP(A1597,'[1]Raw data'!$B:$BA,23,FALSE)</f>
        <v>#N/A</v>
      </c>
      <c r="Q1597" s="710" t="e">
        <f>VLOOKUP(A1597,'[1]Raw data'!$B:$Z,2,FALSE)</f>
        <v>#N/A</v>
      </c>
      <c r="R1597" s="710" t="e">
        <f>VLOOKUP(A1597,'[1]Raw data'!$B:$Z,3,FALSE)</f>
        <v>#N/A</v>
      </c>
      <c r="S1597" s="710" t="e">
        <f>VLOOKUP(A1597,'[1]Raw data'!$B:$Z,4,FALSE)</f>
        <v>#N/A</v>
      </c>
      <c r="T1597" s="710" t="e">
        <f>VLOOKUP(A1597,'[1]Raw data'!$B:$Z,8,FALSE)</f>
        <v>#N/A</v>
      </c>
      <c r="U1597" s="710" t="e">
        <f>VLOOKUP(A1597,'[1]Raw data'!$B:$Z,9,FALSE)</f>
        <v>#N/A</v>
      </c>
      <c r="V1597" s="709" t="e">
        <f t="shared" si="372"/>
        <v>#N/A</v>
      </c>
      <c r="W1597" s="801" t="e">
        <f>VLOOKUP(A1597,'[1]Raw data'!$B:$AG,32,FALSE)</f>
        <v>#N/A</v>
      </c>
      <c r="X1597" s="800" t="e">
        <f>VLOOKUP(A1597,'[1]Raw data'!$B:$BA,31,FALSE)</f>
        <v>#N/A</v>
      </c>
      <c r="Y1597" s="710" t="e">
        <f>VLOOKUP(A1597,'[1]Raw data'!$B:$AS,39,FALSE)</f>
        <v>#N/A</v>
      </c>
      <c r="Z1597" s="659"/>
      <c r="AA1597" s="660"/>
      <c r="AB1597" s="661"/>
      <c r="AC1597" s="710"/>
      <c r="AD1597" s="662"/>
      <c r="AE1597" s="662"/>
      <c r="AF1597" s="662"/>
      <c r="AG1597" s="662"/>
      <c r="AH1597" s="662"/>
      <c r="AI1597" s="663"/>
      <c r="AN1597" s="542"/>
      <c r="AO1597" s="824" t="str">
        <f t="shared" si="357"/>
        <v>No</v>
      </c>
      <c r="AP1597" s="259" t="str">
        <f t="shared" si="377"/>
        <v>blank</v>
      </c>
      <c r="AQ1597" s="542" t="str">
        <f t="shared" si="359"/>
        <v>无定金+无預留客戶</v>
      </c>
      <c r="AR1597" s="259" t="str">
        <f t="shared" si="360"/>
        <v/>
      </c>
      <c r="AS1597" s="259" t="str">
        <f t="shared" si="361"/>
        <v/>
      </c>
      <c r="AT1597" s="259" t="str">
        <f t="shared" si="362"/>
        <v>-</v>
      </c>
      <c r="AU1597" s="259" t="str">
        <f t="shared" si="363"/>
        <v>-</v>
      </c>
      <c r="AV1597" s="259" t="str">
        <f t="shared" si="364"/>
        <v>-</v>
      </c>
    </row>
    <row r="1598" spans="2:48">
      <c r="B1598" s="797"/>
      <c r="C1598" s="797"/>
      <c r="D1598" s="798"/>
      <c r="E1598" s="805"/>
      <c r="F1598" s="710"/>
      <c r="G1598" s="710"/>
      <c r="H1598" s="710"/>
      <c r="I1598" s="662"/>
      <c r="J1598" s="662"/>
      <c r="K1598" s="710"/>
      <c r="L1598" s="800"/>
      <c r="M1598" s="717"/>
      <c r="N1598" s="647"/>
      <c r="O1598" s="575"/>
      <c r="P1598" s="717" t="e">
        <f>VLOOKUP(A1598,'[1]Raw data'!$B:$BA,23,FALSE)</f>
        <v>#N/A</v>
      </c>
      <c r="Q1598" s="710" t="e">
        <f>VLOOKUP(A1598,'[1]Raw data'!$B:$Z,2,FALSE)</f>
        <v>#N/A</v>
      </c>
      <c r="R1598" s="710" t="e">
        <f>VLOOKUP(A1598,'[1]Raw data'!$B:$Z,3,FALSE)</f>
        <v>#N/A</v>
      </c>
      <c r="S1598" s="710" t="e">
        <f>VLOOKUP(A1598,'[1]Raw data'!$B:$Z,4,FALSE)</f>
        <v>#N/A</v>
      </c>
      <c r="T1598" s="710" t="e">
        <f>VLOOKUP(A1598,'[1]Raw data'!$B:$Z,8,FALSE)</f>
        <v>#N/A</v>
      </c>
      <c r="U1598" s="710" t="e">
        <f>VLOOKUP(A1598,'[1]Raw data'!$B:$Z,9,FALSE)</f>
        <v>#N/A</v>
      </c>
      <c r="V1598" s="709" t="e">
        <f t="shared" ref="V1598" si="378">IF(G1598&amp;H1598=T1598&amp;U1598,"OK","WRONG")</f>
        <v>#N/A</v>
      </c>
      <c r="W1598" s="801" t="e">
        <f>VLOOKUP(A1598,'[1]Raw data'!$B:$AG,32,FALSE)</f>
        <v>#N/A</v>
      </c>
      <c r="X1598" s="800" t="e">
        <f>VLOOKUP(A1598,'[1]Raw data'!$B:$BA,31,FALSE)</f>
        <v>#N/A</v>
      </c>
      <c r="Y1598" s="710" t="e">
        <f>VLOOKUP(A1598,'[1]Raw data'!$B:$AS,39,FALSE)</f>
        <v>#N/A</v>
      </c>
      <c r="Z1598" s="659"/>
      <c r="AA1598" s="660"/>
      <c r="AB1598" s="661"/>
      <c r="AC1598" s="710"/>
      <c r="AD1598" s="662"/>
      <c r="AE1598" s="662"/>
      <c r="AF1598" s="662"/>
      <c r="AG1598" s="662"/>
      <c r="AH1598" s="662"/>
      <c r="AI1598" s="663"/>
      <c r="AN1598" s="542"/>
      <c r="AO1598" s="824" t="str">
        <f t="shared" si="357"/>
        <v>No</v>
      </c>
      <c r="AP1598" s="259" t="str">
        <f t="shared" si="358"/>
        <v>blank</v>
      </c>
      <c r="AQ1598" s="542" t="str">
        <f t="shared" si="359"/>
        <v>无定金+无預留客戶</v>
      </c>
      <c r="AR1598" s="259" t="str">
        <f t="shared" si="360"/>
        <v/>
      </c>
      <c r="AS1598" s="259" t="str">
        <f t="shared" si="361"/>
        <v/>
      </c>
      <c r="AT1598" s="259" t="str">
        <f t="shared" si="362"/>
        <v>-</v>
      </c>
      <c r="AU1598" s="259" t="str">
        <f t="shared" si="363"/>
        <v>-</v>
      </c>
      <c r="AV1598" s="259" t="str">
        <f t="shared" si="364"/>
        <v>-</v>
      </c>
    </row>
    <row r="1599" spans="2:48">
      <c r="B1599" s="797"/>
      <c r="C1599" s="797"/>
      <c r="D1599" s="798"/>
      <c r="E1599" s="805"/>
      <c r="F1599" s="710"/>
      <c r="G1599" s="710"/>
      <c r="H1599" s="710"/>
      <c r="I1599" s="662"/>
      <c r="J1599" s="662"/>
      <c r="K1599" s="710"/>
      <c r="L1599" s="800"/>
      <c r="M1599" s="717"/>
      <c r="N1599" s="647"/>
      <c r="O1599" s="575"/>
      <c r="P1599" s="717" t="e">
        <f>VLOOKUP(A1599,'[1]Raw data'!$B:$BA,23,FALSE)</f>
        <v>#N/A</v>
      </c>
      <c r="Q1599" s="710" t="e">
        <f>VLOOKUP(A1599,'[1]Raw data'!$B:$Z,2,FALSE)</f>
        <v>#N/A</v>
      </c>
      <c r="R1599" s="710" t="e">
        <f>VLOOKUP(A1599,'[1]Raw data'!$B:$Z,3,FALSE)</f>
        <v>#N/A</v>
      </c>
      <c r="S1599" s="710" t="e">
        <f>VLOOKUP(A1599,'[1]Raw data'!$B:$Z,4,FALSE)</f>
        <v>#N/A</v>
      </c>
      <c r="T1599" s="710" t="e">
        <f>VLOOKUP(A1599,'[1]Raw data'!$B:$Z,8,FALSE)</f>
        <v>#N/A</v>
      </c>
      <c r="U1599" s="710" t="e">
        <f>VLOOKUP(A1599,'[1]Raw data'!$B:$Z,9,FALSE)</f>
        <v>#N/A</v>
      </c>
      <c r="V1599" s="709" t="e">
        <f t="shared" ref="V1599" si="379">IF(G1599&amp;H1599=T1599&amp;U1599,"OK","WRONG")</f>
        <v>#N/A</v>
      </c>
      <c r="W1599" s="801" t="e">
        <f>VLOOKUP(A1599,'[1]Raw data'!$B:$AG,32,FALSE)</f>
        <v>#N/A</v>
      </c>
      <c r="X1599" s="800" t="e">
        <f>VLOOKUP(A1599,'[1]Raw data'!$B:$BA,31,FALSE)</f>
        <v>#N/A</v>
      </c>
      <c r="Y1599" s="710" t="e">
        <f>VLOOKUP(A1599,'[1]Raw data'!$B:$AS,39,FALSE)</f>
        <v>#N/A</v>
      </c>
      <c r="Z1599" s="659"/>
      <c r="AA1599" s="660"/>
      <c r="AB1599" s="661"/>
      <c r="AC1599" s="710"/>
      <c r="AD1599" s="662"/>
      <c r="AE1599" s="662"/>
      <c r="AF1599" s="662"/>
      <c r="AG1599" s="662"/>
      <c r="AH1599" s="662"/>
      <c r="AI1599" s="663"/>
      <c r="AN1599" s="542"/>
      <c r="AO1599" s="824" t="str">
        <f t="shared" si="357"/>
        <v>No</v>
      </c>
      <c r="AP1599" s="259" t="str">
        <f t="shared" si="358"/>
        <v>blank</v>
      </c>
      <c r="AQ1599" s="542" t="str">
        <f t="shared" si="359"/>
        <v>无定金+无預留客戶</v>
      </c>
      <c r="AR1599" s="259" t="str">
        <f t="shared" ref="AR1599:AR1661" si="380">IFERROR(IF(B1599="已经到货", "Instock", IF(B1599="有交期", "Incoming_Stock_With_YAMAHA_Schedule", IF(B1599="TBA.", "Incoming_Stock_No_YAMAHA_Schedule", IF(B1599="已发货", "Shipped_Stock", "")))), "")</f>
        <v/>
      </c>
      <c r="AS1599" s="259" t="str">
        <f t="shared" ref="AS1599:AS1661" si="381">IF(AND(B1599="有交期", L1599&lt;&gt;""), L1599, "")</f>
        <v/>
      </c>
      <c r="AT1599" s="259" t="str">
        <f t="shared" si="362"/>
        <v>-</v>
      </c>
      <c r="AU1599" s="259" t="str">
        <f t="shared" si="363"/>
        <v>-</v>
      </c>
      <c r="AV1599" s="259" t="str">
        <f t="shared" si="364"/>
        <v>-</v>
      </c>
    </row>
    <row r="1600" spans="2:48">
      <c r="B1600" s="797"/>
      <c r="C1600" s="797"/>
      <c r="D1600" s="798"/>
      <c r="E1600" s="805"/>
      <c r="F1600" s="710"/>
      <c r="G1600" s="710"/>
      <c r="H1600" s="710"/>
      <c r="I1600" s="662"/>
      <c r="J1600" s="662"/>
      <c r="K1600" s="710"/>
      <c r="L1600" s="800"/>
      <c r="M1600" s="717"/>
      <c r="N1600" s="647"/>
      <c r="O1600" s="575"/>
      <c r="P1600" s="717" t="e">
        <f>VLOOKUP(A1600,'[1]Raw data'!$B:$BA,23,FALSE)</f>
        <v>#N/A</v>
      </c>
      <c r="Q1600" s="710" t="e">
        <f>VLOOKUP(A1600,'[1]Raw data'!$B:$Z,2,FALSE)</f>
        <v>#N/A</v>
      </c>
      <c r="R1600" s="710" t="e">
        <f>VLOOKUP(A1600,'[1]Raw data'!$B:$Z,3,FALSE)</f>
        <v>#N/A</v>
      </c>
      <c r="S1600" s="710" t="e">
        <f>VLOOKUP(A1600,'[1]Raw data'!$B:$Z,4,FALSE)</f>
        <v>#N/A</v>
      </c>
      <c r="T1600" s="710" t="e">
        <f>VLOOKUP(A1600,'[1]Raw data'!$B:$Z,8,FALSE)</f>
        <v>#N/A</v>
      </c>
      <c r="U1600" s="710" t="e">
        <f>VLOOKUP(A1600,'[1]Raw data'!$B:$Z,9,FALSE)</f>
        <v>#N/A</v>
      </c>
      <c r="V1600" s="709" t="e">
        <f t="shared" ref="V1600" si="382">IF(G1600&amp;H1600=T1600&amp;U1600,"OK","WRONG")</f>
        <v>#N/A</v>
      </c>
      <c r="W1600" s="801" t="e">
        <f>VLOOKUP(A1600,'[1]Raw data'!$B:$AG,32,FALSE)</f>
        <v>#N/A</v>
      </c>
      <c r="X1600" s="800" t="e">
        <f>VLOOKUP(A1600,'[1]Raw data'!$B:$BA,31,FALSE)</f>
        <v>#N/A</v>
      </c>
      <c r="Y1600" s="710" t="e">
        <f>VLOOKUP(A1600,'[1]Raw data'!$B:$AS,39,FALSE)</f>
        <v>#N/A</v>
      </c>
      <c r="Z1600" s="659"/>
      <c r="AA1600" s="660"/>
      <c r="AB1600" s="661"/>
      <c r="AC1600" s="710"/>
      <c r="AD1600" s="662"/>
      <c r="AE1600" s="662"/>
      <c r="AF1600" s="662"/>
      <c r="AG1600" s="662"/>
      <c r="AH1600" s="662"/>
      <c r="AI1600" s="663"/>
      <c r="AN1600" s="542"/>
      <c r="AO1600" s="824" t="str">
        <f t="shared" si="357"/>
        <v>No</v>
      </c>
      <c r="AP1600" s="259" t="str">
        <f t="shared" si="358"/>
        <v>blank</v>
      </c>
      <c r="AQ1600" s="542" t="str">
        <f t="shared" si="359"/>
        <v>无定金+无預留客戶</v>
      </c>
      <c r="AR1600" s="259" t="str">
        <f t="shared" si="380"/>
        <v/>
      </c>
      <c r="AS1600" s="259" t="str">
        <f t="shared" si="381"/>
        <v/>
      </c>
      <c r="AT1600" s="259" t="str">
        <f t="shared" si="362"/>
        <v>-</v>
      </c>
      <c r="AU1600" s="259" t="str">
        <f t="shared" si="363"/>
        <v>-</v>
      </c>
      <c r="AV1600" s="259" t="str">
        <f t="shared" si="364"/>
        <v>-</v>
      </c>
    </row>
    <row r="1601" spans="1:48" ht="13.5" thickBot="1">
      <c r="B1601" s="806"/>
      <c r="C1601" s="806"/>
      <c r="D1601" s="807"/>
      <c r="E1601" s="808"/>
      <c r="F1601" s="809"/>
      <c r="G1601" s="809"/>
      <c r="H1601" s="809"/>
      <c r="I1601" s="810"/>
      <c r="J1601" s="810"/>
      <c r="K1601" s="809"/>
      <c r="L1601" s="811"/>
      <c r="M1601" s="812"/>
      <c r="N1601" s="688"/>
      <c r="O1601" s="813"/>
      <c r="P1601" s="814" t="e">
        <f>VLOOKUP(A1601,'[1]Raw data'!$B:$BA,23,FALSE)</f>
        <v>#N/A</v>
      </c>
      <c r="Q1601" s="809" t="e">
        <f>VLOOKUP(A1601,'[1]Raw data'!$B:$Z,2,FALSE)</f>
        <v>#N/A</v>
      </c>
      <c r="R1601" s="809" t="e">
        <f>VLOOKUP(A1601,'[1]Raw data'!$B:$Z,3,FALSE)</f>
        <v>#N/A</v>
      </c>
      <c r="S1601" s="809" t="e">
        <f>VLOOKUP(A1601,'[1]Raw data'!$B:$Z,4,FALSE)</f>
        <v>#N/A</v>
      </c>
      <c r="T1601" s="809" t="e">
        <f>VLOOKUP(A1601,'[1]Raw data'!$B:$Z,8,FALSE)</f>
        <v>#N/A</v>
      </c>
      <c r="U1601" s="809" t="e">
        <f>VLOOKUP(A1601,'[1]Raw data'!$B:$Z,9,FALSE)</f>
        <v>#N/A</v>
      </c>
      <c r="V1601" s="815" t="e">
        <f t="shared" ref="V1601" si="383">IF(G1601&amp;H1601=T1601&amp;U1601,"OK","WRONG")</f>
        <v>#N/A</v>
      </c>
      <c r="W1601" s="801" t="e">
        <f>VLOOKUP(A1601,'[1]Raw data'!$B:$AG,32,FALSE)</f>
        <v>#N/A</v>
      </c>
      <c r="X1601" s="811" t="e">
        <f>VLOOKUP(A1601,'[1]Raw data'!$B:$BA,31,FALSE)</f>
        <v>#N/A</v>
      </c>
      <c r="Y1601" s="809" t="e">
        <f>VLOOKUP(A1601,'[1]Raw data'!$B:$AS,39,FALSE)</f>
        <v>#N/A</v>
      </c>
      <c r="Z1601" s="816"/>
      <c r="AA1601" s="817"/>
      <c r="AB1601" s="818"/>
      <c r="AC1601" s="809"/>
      <c r="AD1601" s="810"/>
      <c r="AE1601" s="810"/>
      <c r="AF1601" s="810"/>
      <c r="AG1601" s="810"/>
      <c r="AH1601" s="810"/>
      <c r="AI1601" s="819"/>
      <c r="AJ1601" s="810"/>
      <c r="AK1601" s="810"/>
      <c r="AL1601" s="810"/>
      <c r="AM1601" s="810"/>
      <c r="AN1601" s="820"/>
      <c r="AO1601" s="824" t="str">
        <f t="shared" si="357"/>
        <v>No</v>
      </c>
      <c r="AP1601" s="259" t="str">
        <f t="shared" si="358"/>
        <v>blank</v>
      </c>
      <c r="AQ1601" s="542" t="str">
        <f t="shared" si="359"/>
        <v>无定金+无預留客戶</v>
      </c>
      <c r="AR1601" s="259" t="str">
        <f t="shared" si="380"/>
        <v/>
      </c>
      <c r="AS1601" s="259" t="str">
        <f t="shared" si="381"/>
        <v/>
      </c>
      <c r="AT1601" s="259" t="str">
        <f t="shared" si="362"/>
        <v>-</v>
      </c>
      <c r="AU1601" s="259" t="str">
        <f t="shared" si="363"/>
        <v>-</v>
      </c>
      <c r="AV1601" s="259" t="str">
        <f t="shared" si="364"/>
        <v>-</v>
      </c>
    </row>
    <row r="1602" spans="1:48">
      <c r="A1602" s="559">
        <v>1294</v>
      </c>
      <c r="P1602" s="717" t="str">
        <f>VLOOKUP(A1602,'[1]Raw data'!$B:$BA,23,FALSE)</f>
        <v>JPY</v>
      </c>
      <c r="Q1602" s="710" t="str">
        <f>VLOOKUP(A1602,'[1]Raw data'!$B:$Z,2,FALSE)</f>
        <v>C49SZX20210101JD</v>
      </c>
      <c r="R1602" s="710" t="str">
        <f>VLOOKUP(A1602,'[1]Raw data'!$B:$Z,3,FALSE)</f>
        <v>聚亮兴业</v>
      </c>
      <c r="S1602" s="710" t="str">
        <f>VLOOKUP(A1602,'[1]Raw data'!$B:$Z,4,FALSE)</f>
        <v>YSM20R-2</v>
      </c>
      <c r="T1602" s="710" t="str">
        <f>VLOOKUP(A1602,'[1]Raw data'!$B:$Z,8,FALSE)</f>
        <v>L-&gt;R</v>
      </c>
      <c r="U1602" s="710" t="str">
        <f>VLOOKUP(A1602,'[1]Raw data'!$B:$Z,9,FALSE)</f>
        <v>No</v>
      </c>
      <c r="V1602" s="709" t="str">
        <f t="shared" ref="V1602" si="384">IF(G1602&amp;H1602=T1602&amp;U1602,"OK","WRONG")</f>
        <v>WRONG</v>
      </c>
      <c r="X1602" s="800">
        <f>VLOOKUP(A1602,'[1]Raw data'!$B:$BA,31,FALSE)</f>
        <v>44286</v>
      </c>
      <c r="Y1602" s="710" t="str">
        <f>VLOOKUP(A1602,'[1]Raw data'!$B:$AS,39,FALSE)</f>
        <v>Yes</v>
      </c>
      <c r="Z1602" s="542"/>
      <c r="AA1602" s="542"/>
      <c r="AB1602" s="542"/>
      <c r="AC1602" s="542"/>
      <c r="AD1602" s="542"/>
      <c r="AE1602" s="542"/>
      <c r="AF1602" s="542"/>
      <c r="AG1602" s="542"/>
      <c r="AH1602" s="542"/>
      <c r="AI1602" s="542"/>
      <c r="AJ1602" s="542"/>
      <c r="AK1602" s="542"/>
      <c r="AL1602" s="542"/>
      <c r="AM1602" s="542"/>
      <c r="AN1602" s="542"/>
      <c r="AO1602" s="824" t="str">
        <f t="shared" si="357"/>
        <v>Yes</v>
      </c>
      <c r="AP1602" s="259" t="str">
        <f t="shared" si="358"/>
        <v>blank</v>
      </c>
      <c r="AQ1602" s="542" t="str">
        <f t="shared" si="359"/>
        <v>有定金+无客戶送貨期</v>
      </c>
      <c r="AR1602" s="259" t="str">
        <f t="shared" si="380"/>
        <v/>
      </c>
      <c r="AS1602" s="259" t="str">
        <f t="shared" si="381"/>
        <v/>
      </c>
      <c r="AT1602" s="259" t="str">
        <f t="shared" si="362"/>
        <v>聚亮兴业</v>
      </c>
      <c r="AU1602" s="259" t="str">
        <f t="shared" si="363"/>
        <v>C49SZX20210101JD</v>
      </c>
      <c r="AV1602" s="259" t="str">
        <f t="shared" si="364"/>
        <v>-</v>
      </c>
    </row>
    <row r="1603" spans="1:48">
      <c r="A1603" s="559">
        <v>1129</v>
      </c>
      <c r="P1603" s="717" t="str">
        <f>VLOOKUP(A1603,'[1]Raw data'!$B:$BA,23,FALSE)</f>
        <v>JPY</v>
      </c>
      <c r="Q1603" s="710" t="str">
        <f>VLOOKUP(A1603,'[1]Raw data'!$B:$Z,2,FALSE)</f>
        <v>C49SZX20210043AY</v>
      </c>
      <c r="R1603" s="710" t="str">
        <f>VLOOKUP(A1603,'[1]Raw data'!$B:$Z,3,FALSE)</f>
        <v>正宏兴</v>
      </c>
      <c r="S1603" s="710" t="str">
        <f>VLOOKUP(A1603,'[1]Raw data'!$B:$Z,4,FALSE)</f>
        <v>YSM10</v>
      </c>
      <c r="T1603" s="710" t="str">
        <f>VLOOKUP(A1603,'[1]Raw data'!$B:$Z,8,FALSE)</f>
        <v>L-&gt;R</v>
      </c>
      <c r="U1603" s="710" t="str">
        <f>VLOOKUP(A1603,'[1]Raw data'!$B:$Z,9,FALSE)</f>
        <v>MVC</v>
      </c>
      <c r="V1603" s="709" t="str">
        <f t="shared" ref="V1603" si="385">IF(G1603&amp;H1603=T1603&amp;U1603,"OK","WRONG")</f>
        <v>WRONG</v>
      </c>
      <c r="X1603" s="800">
        <f>VLOOKUP(A1603,'[1]Raw data'!$B:$BA,31,FALSE)</f>
        <v>44230</v>
      </c>
      <c r="Y1603" s="710" t="str">
        <f>VLOOKUP(A1603,'[1]Raw data'!$B:$AS,39,FALSE)</f>
        <v>Yes</v>
      </c>
      <c r="Z1603" s="542"/>
      <c r="AA1603" s="542"/>
      <c r="AB1603" s="542"/>
      <c r="AO1603" s="824" t="str">
        <f t="shared" ref="AO1603:AO1665" si="386">IFERROR(IF(Y1603&lt;&gt;"",Y1603,"No"),"No")</f>
        <v>Yes</v>
      </c>
      <c r="AP1603" s="259" t="str">
        <f t="shared" si="358"/>
        <v>blank</v>
      </c>
      <c r="AQ1603" s="542" t="str">
        <f t="shared" ref="AQ1603:AQ1666" si="387">IFERROR(IF(AND(AO1603="Yes", AP1603&lt;&gt;"blank"), "有定金+有預留客戶", IF(AND(AO1603="Yes", AP1603="blank"), "有定金+无客戶送貨期", IF(AND(OR(AO1603="No", ISBLANK(AO1603), AO1603="NA"), AP1603&lt;&gt;"blank"), "无定金+有預留客戶", IF(AND(OR(AO1603="No", ISBLANK(AO1603), AO1603="NA"), AP1603="blank"), "无定金+无預留客戶", "")))), "")</f>
        <v>有定金+无客戶送貨期</v>
      </c>
      <c r="AR1603" s="259" t="str">
        <f t="shared" si="380"/>
        <v/>
      </c>
      <c r="AS1603" s="259" t="str">
        <f t="shared" si="381"/>
        <v/>
      </c>
      <c r="AT1603" s="259" t="str">
        <f t="shared" ref="AT1603:AT1665" si="388">IFERROR(IF(R1603&lt;&gt;"",R1603),"-")</f>
        <v>正宏兴</v>
      </c>
      <c r="AU1603" s="259" t="str">
        <f t="shared" ref="AU1603:AU1665" si="389">IFERROR(IF(Q1603&lt;&gt;"",Q1603),"-")</f>
        <v>C49SZX20210043AY</v>
      </c>
      <c r="AV1603" s="259" t="str">
        <f t="shared" ref="AV1603:AV1665" si="390">IF(L1603="","-",TEXT(L1603,"mmm-dd"))</f>
        <v>-</v>
      </c>
    </row>
    <row r="1604" spans="1:48">
      <c r="A1604" s="559">
        <v>1427</v>
      </c>
      <c r="P1604" s="717" t="str">
        <f>VLOOKUP(A1604,'[1]Raw data'!$B:$BA,23,FALSE)</f>
        <v>JPY</v>
      </c>
      <c r="Q1604" s="710" t="str">
        <f>VLOOKUP(A1604,'[1]Raw data'!$B:$Z,2,FALSE)</f>
        <v>C49SZX20210169VG</v>
      </c>
      <c r="R1604" s="710" t="str">
        <f>VLOOKUP(A1604,'[1]Raw data'!$B:$Z,3,FALSE)</f>
        <v>狂热者</v>
      </c>
      <c r="S1604" s="710" t="str">
        <f>VLOOKUP(A1604,'[1]Raw data'!$B:$Z,4,FALSE)</f>
        <v>YSM20R-2</v>
      </c>
      <c r="T1604" s="710" t="str">
        <f>VLOOKUP(A1604,'[1]Raw data'!$B:$Z,8,FALSE)</f>
        <v>L-&gt;R</v>
      </c>
      <c r="U1604" s="710" t="str">
        <f>VLOOKUP(A1604,'[1]Raw data'!$B:$Z,9,FALSE)</f>
        <v>No</v>
      </c>
      <c r="V1604" s="709" t="str">
        <f t="shared" ref="V1604:V1605" si="391">IF(G1604&amp;H1604=T1604&amp;U1604,"OK","WRONG")</f>
        <v>WRONG</v>
      </c>
      <c r="X1604" s="800">
        <f>VLOOKUP(A1604,'[1]Raw data'!$B:$BA,31,FALSE)</f>
        <v>44358</v>
      </c>
      <c r="Y1604" s="710" t="str">
        <f>VLOOKUP(A1604,'[1]Raw data'!$B:$AS,39,FALSE)</f>
        <v>Yes</v>
      </c>
      <c r="AO1604" s="824" t="str">
        <f t="shared" si="386"/>
        <v>Yes</v>
      </c>
      <c r="AP1604" s="259" t="str">
        <f t="shared" si="358"/>
        <v>blank</v>
      </c>
      <c r="AQ1604" s="542" t="str">
        <f t="shared" si="387"/>
        <v>有定金+无客戶送貨期</v>
      </c>
      <c r="AR1604" s="259" t="str">
        <f t="shared" si="380"/>
        <v/>
      </c>
      <c r="AS1604" s="259" t="str">
        <f t="shared" si="381"/>
        <v/>
      </c>
      <c r="AT1604" s="259" t="str">
        <f t="shared" si="388"/>
        <v>狂热者</v>
      </c>
      <c r="AU1604" s="259" t="str">
        <f t="shared" si="389"/>
        <v>C49SZX20210169VG</v>
      </c>
      <c r="AV1604" s="259" t="str">
        <f t="shared" si="390"/>
        <v>-</v>
      </c>
    </row>
    <row r="1605" spans="1:48">
      <c r="A1605" s="559">
        <v>1428</v>
      </c>
      <c r="P1605" s="717" t="str">
        <f>VLOOKUP(A1605,'[1]Raw data'!$B:$BA,23,FALSE)</f>
        <v>JPY</v>
      </c>
      <c r="Q1605" s="710" t="str">
        <f>VLOOKUP(A1605,'[1]Raw data'!$B:$Z,2,FALSE)</f>
        <v>C49SZX20210169VG</v>
      </c>
      <c r="R1605" s="710" t="str">
        <f>VLOOKUP(A1605,'[1]Raw data'!$B:$Z,3,FALSE)</f>
        <v>狂热者</v>
      </c>
      <c r="S1605" s="710" t="str">
        <f>VLOOKUP(A1605,'[1]Raw data'!$B:$Z,4,FALSE)</f>
        <v>YSM20R-2</v>
      </c>
      <c r="T1605" s="710" t="str">
        <f>VLOOKUP(A1605,'[1]Raw data'!$B:$Z,8,FALSE)</f>
        <v>L-&gt;R</v>
      </c>
      <c r="U1605" s="710" t="str">
        <f>VLOOKUP(A1605,'[1]Raw data'!$B:$Z,9,FALSE)</f>
        <v>No</v>
      </c>
      <c r="V1605" s="709" t="str">
        <f t="shared" si="391"/>
        <v>WRONG</v>
      </c>
      <c r="X1605" s="800">
        <f>VLOOKUP(A1605,'[1]Raw data'!$B:$BA,31,FALSE)</f>
        <v>44358</v>
      </c>
      <c r="Y1605" s="710" t="str">
        <f>VLOOKUP(A1605,'[1]Raw data'!$B:$AS,39,FALSE)</f>
        <v>Yes</v>
      </c>
      <c r="AO1605" s="824" t="str">
        <f t="shared" si="386"/>
        <v>Yes</v>
      </c>
      <c r="AP1605" s="259" t="str">
        <f t="shared" si="358"/>
        <v>blank</v>
      </c>
      <c r="AQ1605" s="542" t="str">
        <f t="shared" si="387"/>
        <v>有定金+无客戶送貨期</v>
      </c>
      <c r="AR1605" s="259" t="str">
        <f t="shared" si="380"/>
        <v/>
      </c>
      <c r="AS1605" s="259" t="str">
        <f t="shared" si="381"/>
        <v/>
      </c>
      <c r="AT1605" s="259" t="str">
        <f t="shared" si="388"/>
        <v>狂热者</v>
      </c>
      <c r="AU1605" s="259" t="str">
        <f t="shared" si="389"/>
        <v>C49SZX20210169VG</v>
      </c>
      <c r="AV1605" s="259" t="str">
        <f t="shared" si="390"/>
        <v>-</v>
      </c>
    </row>
    <row r="1606" spans="1:48">
      <c r="A1606" s="559">
        <v>1429</v>
      </c>
      <c r="P1606" s="717" t="str">
        <f>VLOOKUP(A1606,'[1]Raw data'!$B:$BA,23,FALSE)</f>
        <v>JPY</v>
      </c>
      <c r="Q1606" s="710" t="str">
        <f>VLOOKUP(A1606,'[1]Raw data'!$B:$Z,2,FALSE)</f>
        <v>C49SZX20210169VG</v>
      </c>
      <c r="R1606" s="710" t="str">
        <f>VLOOKUP(A1606,'[1]Raw data'!$B:$Z,3,FALSE)</f>
        <v>狂热者</v>
      </c>
      <c r="S1606" s="710" t="str">
        <f>VLOOKUP(A1606,'[1]Raw data'!$B:$Z,4,FALSE)</f>
        <v>YSM10</v>
      </c>
      <c r="T1606" s="710" t="str">
        <f>VLOOKUP(A1606,'[1]Raw data'!$B:$Z,8,FALSE)</f>
        <v>L-&gt;R</v>
      </c>
      <c r="U1606" s="710" t="str">
        <f>VLOOKUP(A1606,'[1]Raw data'!$B:$Z,9,FALSE)</f>
        <v>MVC F&amp;R+ATS15</v>
      </c>
      <c r="V1606" s="709" t="str">
        <f t="shared" ref="V1606:V1608" si="392">IF(G1606&amp;H1606=T1606&amp;U1606,"OK","WRONG")</f>
        <v>WRONG</v>
      </c>
      <c r="X1606" s="800">
        <f>VLOOKUP(A1606,'[1]Raw data'!$B:$BA,31,FALSE)</f>
        <v>44358</v>
      </c>
      <c r="Y1606" s="710" t="str">
        <f>VLOOKUP(A1606,'[1]Raw data'!$B:$AS,39,FALSE)</f>
        <v>Yes</v>
      </c>
      <c r="AO1606" s="824" t="str">
        <f t="shared" si="386"/>
        <v>Yes</v>
      </c>
      <c r="AP1606" s="259" t="str">
        <f t="shared" si="358"/>
        <v>blank</v>
      </c>
      <c r="AQ1606" s="542" t="str">
        <f t="shared" si="387"/>
        <v>有定金+无客戶送貨期</v>
      </c>
      <c r="AR1606" s="259" t="str">
        <f t="shared" si="380"/>
        <v/>
      </c>
      <c r="AS1606" s="259" t="str">
        <f t="shared" si="381"/>
        <v/>
      </c>
      <c r="AT1606" s="259" t="str">
        <f t="shared" si="388"/>
        <v>狂热者</v>
      </c>
      <c r="AU1606" s="259" t="str">
        <f t="shared" si="389"/>
        <v>C49SZX20210169VG</v>
      </c>
      <c r="AV1606" s="259" t="str">
        <f t="shared" si="390"/>
        <v>-</v>
      </c>
    </row>
    <row r="1607" spans="1:48">
      <c r="A1607" s="559">
        <v>1430</v>
      </c>
      <c r="P1607" s="717" t="str">
        <f>VLOOKUP(A1607,'[1]Raw data'!$B:$BA,23,FALSE)</f>
        <v>JPY</v>
      </c>
      <c r="Q1607" s="710" t="str">
        <f>VLOOKUP(A1607,'[1]Raw data'!$B:$Z,2,FALSE)</f>
        <v>C49SZX20210169VG（已发相机）</v>
      </c>
      <c r="R1607" s="710" t="str">
        <f>VLOOKUP(A1607,'[1]Raw data'!$B:$Z,3,FALSE)</f>
        <v>狂热者</v>
      </c>
      <c r="S1607" s="710" t="str">
        <f>VLOOKUP(A1607,'[1]Raw data'!$B:$Z,4,FALSE)</f>
        <v>YSM10</v>
      </c>
      <c r="T1607" s="710" t="str">
        <f>VLOOKUP(A1607,'[1]Raw data'!$B:$Z,8,FALSE)</f>
        <v>L-&gt;R</v>
      </c>
      <c r="U1607" s="710" t="str">
        <f>VLOOKUP(A1607,'[1]Raw data'!$B:$Z,9,FALSE)</f>
        <v>MVC+ATS15</v>
      </c>
      <c r="V1607" s="709" t="str">
        <f t="shared" si="392"/>
        <v>WRONG</v>
      </c>
      <c r="X1607" s="800">
        <f>VLOOKUP(A1607,'[1]Raw data'!$B:$BA,31,FALSE)</f>
        <v>44358</v>
      </c>
      <c r="Y1607" s="710" t="str">
        <f>VLOOKUP(A1607,'[1]Raw data'!$B:$AS,39,FALSE)</f>
        <v>Yes</v>
      </c>
      <c r="AO1607" s="824" t="str">
        <f t="shared" si="386"/>
        <v>Yes</v>
      </c>
      <c r="AP1607" s="259" t="str">
        <f t="shared" si="358"/>
        <v>blank</v>
      </c>
      <c r="AQ1607" s="542" t="str">
        <f t="shared" si="387"/>
        <v>有定金+无客戶送貨期</v>
      </c>
      <c r="AR1607" s="259" t="str">
        <f t="shared" si="380"/>
        <v/>
      </c>
      <c r="AS1607" s="259" t="str">
        <f t="shared" si="381"/>
        <v/>
      </c>
      <c r="AT1607" s="259" t="str">
        <f t="shared" si="388"/>
        <v>狂热者</v>
      </c>
      <c r="AU1607" s="259" t="str">
        <f t="shared" si="389"/>
        <v>C49SZX20210169VG（已发相机）</v>
      </c>
      <c r="AV1607" s="259" t="str">
        <f t="shared" si="390"/>
        <v>-</v>
      </c>
    </row>
    <row r="1608" spans="1:48">
      <c r="A1608" s="559">
        <v>1130</v>
      </c>
      <c r="P1608" s="717" t="str">
        <f>VLOOKUP(A1608,'[1]Raw data'!$B:$BA,23,FALSE)</f>
        <v>JPY</v>
      </c>
      <c r="Q1608" s="710" t="str">
        <f>VLOOKUP(A1608,'[1]Raw data'!$B:$Z,2,FALSE)</f>
        <v>C49SZX20210043AY</v>
      </c>
      <c r="R1608" s="710" t="str">
        <f>VLOOKUP(A1608,'[1]Raw data'!$B:$Z,3,FALSE)</f>
        <v>正宏兴</v>
      </c>
      <c r="S1608" s="710" t="str">
        <f>VLOOKUP(A1608,'[1]Raw data'!$B:$Z,4,FALSE)</f>
        <v>YSM20R-2</v>
      </c>
      <c r="T1608" s="710" t="str">
        <f>VLOOKUP(A1608,'[1]Raw data'!$B:$Z,8,FALSE)</f>
        <v>L-&gt;R</v>
      </c>
      <c r="U1608" s="710" t="str">
        <f>VLOOKUP(A1608,'[1]Raw data'!$B:$Z,9,FALSE)</f>
        <v>No</v>
      </c>
      <c r="V1608" s="709" t="str">
        <f t="shared" si="392"/>
        <v>WRONG</v>
      </c>
      <c r="X1608" s="800">
        <f>VLOOKUP(A1608,'[1]Raw data'!$B:$BA,31,FALSE)</f>
        <v>44230</v>
      </c>
      <c r="Y1608" s="710" t="str">
        <f>VLOOKUP(A1608,'[1]Raw data'!$B:$AS,39,FALSE)</f>
        <v>Yes</v>
      </c>
      <c r="AO1608" s="824" t="str">
        <f t="shared" si="386"/>
        <v>Yes</v>
      </c>
      <c r="AP1608" s="259" t="str">
        <f t="shared" si="358"/>
        <v>blank</v>
      </c>
      <c r="AQ1608" s="542" t="str">
        <f t="shared" si="387"/>
        <v>有定金+无客戶送貨期</v>
      </c>
      <c r="AR1608" s="259" t="str">
        <f t="shared" si="380"/>
        <v/>
      </c>
      <c r="AS1608" s="259" t="str">
        <f t="shared" si="381"/>
        <v/>
      </c>
      <c r="AT1608" s="259" t="str">
        <f t="shared" si="388"/>
        <v>正宏兴</v>
      </c>
      <c r="AU1608" s="259" t="str">
        <f t="shared" si="389"/>
        <v>C49SZX20210043AY</v>
      </c>
      <c r="AV1608" s="259" t="str">
        <f t="shared" si="390"/>
        <v>-</v>
      </c>
    </row>
    <row r="1609" spans="1:48">
      <c r="A1609" s="559">
        <v>1652</v>
      </c>
      <c r="P1609" s="717" t="str">
        <f>VLOOKUP(A1609,'[1]Raw data'!$B:$BA,23,FALSE)</f>
        <v>JPY</v>
      </c>
      <c r="Q1609" s="710" t="str">
        <f>VLOOKUP(A1609,'[1]Raw data'!$B:$Z,2,FALSE)</f>
        <v>C49SZX20220049JY</v>
      </c>
      <c r="R1609" s="710" t="str">
        <f>VLOOKUP(A1609,'[1]Raw data'!$B:$Z,3,FALSE)</f>
        <v>辉拓</v>
      </c>
      <c r="S1609" s="710" t="str">
        <f>VLOOKUP(A1609,'[1]Raw data'!$B:$Z,4,FALSE)</f>
        <v>YSM20R-2</v>
      </c>
      <c r="T1609" s="710" t="str">
        <f>VLOOKUP(A1609,'[1]Raw data'!$B:$Z,8,FALSE)</f>
        <v>L-&gt;R</v>
      </c>
      <c r="U1609" s="710" t="str">
        <f>VLOOKUP(A1609,'[1]Raw data'!$B:$Z,9,FALSE)</f>
        <v>MVC</v>
      </c>
      <c r="V1609" s="709" t="str">
        <f t="shared" ref="V1609:V1610" si="393">IF(G1609&amp;H1609=T1609&amp;U1609,"OK","WRONG")</f>
        <v>WRONG</v>
      </c>
      <c r="X1609" s="800">
        <f>VLOOKUP(A1609,'[1]Raw data'!$B:$BA,31,FALSE)</f>
        <v>44672</v>
      </c>
      <c r="Y1609" s="710" t="str">
        <f>VLOOKUP(A1609,'[1]Raw data'!$B:$AS,39,FALSE)</f>
        <v>Yes</v>
      </c>
      <c r="AO1609" s="824" t="str">
        <f t="shared" si="386"/>
        <v>Yes</v>
      </c>
      <c r="AP1609" s="259" t="str">
        <f t="shared" si="358"/>
        <v>blank</v>
      </c>
      <c r="AQ1609" s="542" t="str">
        <f t="shared" si="387"/>
        <v>有定金+无客戶送貨期</v>
      </c>
      <c r="AR1609" s="259" t="str">
        <f t="shared" si="380"/>
        <v/>
      </c>
      <c r="AS1609" s="259" t="str">
        <f t="shared" si="381"/>
        <v/>
      </c>
      <c r="AT1609" s="259" t="str">
        <f t="shared" si="388"/>
        <v>辉拓</v>
      </c>
      <c r="AU1609" s="259" t="str">
        <f t="shared" si="389"/>
        <v>C49SZX20220049JY</v>
      </c>
      <c r="AV1609" s="259" t="str">
        <f t="shared" si="390"/>
        <v>-</v>
      </c>
    </row>
    <row r="1610" spans="1:48">
      <c r="A1610" s="559">
        <v>1654</v>
      </c>
      <c r="P1610" s="717" t="str">
        <f>VLOOKUP(A1610,'[1]Raw data'!$B:$BA,23,FALSE)</f>
        <v>JPY</v>
      </c>
      <c r="Q1610" s="710" t="str">
        <f>VLOOKUP(A1610,'[1]Raw data'!$B:$Z,2,FALSE)</f>
        <v>C49SZX20220049JY</v>
      </c>
      <c r="R1610" s="710" t="str">
        <f>VLOOKUP(A1610,'[1]Raw data'!$B:$Z,3,FALSE)</f>
        <v>辉拓</v>
      </c>
      <c r="S1610" s="710" t="str">
        <f>VLOOKUP(A1610,'[1]Raw data'!$B:$Z,4,FALSE)</f>
        <v>YSM20R-2</v>
      </c>
      <c r="T1610" s="710" t="str">
        <f>VLOOKUP(A1610,'[1]Raw data'!$B:$Z,8,FALSE)</f>
        <v>L-&gt;R</v>
      </c>
      <c r="U1610" s="710" t="str">
        <f>VLOOKUP(A1610,'[1]Raw data'!$B:$Z,9,FALSE)</f>
        <v>No</v>
      </c>
      <c r="V1610" s="709" t="str">
        <f t="shared" si="393"/>
        <v>WRONG</v>
      </c>
      <c r="X1610" s="800">
        <f>VLOOKUP(A1610,'[1]Raw data'!$B:$BA,31,FALSE)</f>
        <v>44672</v>
      </c>
      <c r="Y1610" s="710" t="str">
        <f>VLOOKUP(A1610,'[1]Raw data'!$B:$AS,39,FALSE)</f>
        <v>Yes</v>
      </c>
      <c r="AO1610" s="824" t="str">
        <f t="shared" si="386"/>
        <v>Yes</v>
      </c>
      <c r="AP1610" s="259" t="str">
        <f t="shared" si="358"/>
        <v>blank</v>
      </c>
      <c r="AQ1610" s="542" t="str">
        <f t="shared" si="387"/>
        <v>有定金+无客戶送貨期</v>
      </c>
      <c r="AR1610" s="259" t="str">
        <f t="shared" si="380"/>
        <v/>
      </c>
      <c r="AS1610" s="259" t="str">
        <f t="shared" si="381"/>
        <v/>
      </c>
      <c r="AT1610" s="259" t="str">
        <f t="shared" si="388"/>
        <v>辉拓</v>
      </c>
      <c r="AU1610" s="259" t="str">
        <f t="shared" si="389"/>
        <v>C49SZX20220049JY</v>
      </c>
      <c r="AV1610" s="259" t="str">
        <f t="shared" si="390"/>
        <v>-</v>
      </c>
    </row>
    <row r="1611" spans="1:48">
      <c r="A1611" s="559">
        <v>2073</v>
      </c>
      <c r="P1611" s="717" t="str">
        <f>VLOOKUP(A1611,'[1]Raw data'!$B:$BA,23,FALSE)</f>
        <v>JPY</v>
      </c>
      <c r="Q1611" s="710" t="str">
        <f>VLOOKUP(A1611,'[1]Raw data'!$B:$Z,2,FALSE)</f>
        <v>C49SZX20240010MZ</v>
      </c>
      <c r="R1611" s="710" t="str">
        <f>VLOOKUP(A1611,'[1]Raw data'!$B:$Z,3,FALSE)</f>
        <v>鸿楠</v>
      </c>
      <c r="S1611" s="710" t="str">
        <f>VLOOKUP(A1611,'[1]Raw data'!$B:$Z,4,FALSE)</f>
        <v>YSM20R-2</v>
      </c>
      <c r="T1611" s="710" t="str">
        <f>VLOOKUP(A1611,'[1]Raw data'!$B:$Z,8,FALSE)</f>
        <v>R-&gt;L</v>
      </c>
      <c r="U1611" s="710" t="str">
        <f>VLOOKUP(A1611,'[1]Raw data'!$B:$Z,9,FALSE)</f>
        <v>No</v>
      </c>
      <c r="V1611" s="709" t="str">
        <f t="shared" ref="V1611:V1621" si="394">IF(G1611&amp;H1611=T1611&amp;U1611,"OK","WRONG")</f>
        <v>WRONG</v>
      </c>
      <c r="X1611" s="800">
        <f>VLOOKUP(A1611,'[1]Raw data'!$B:$BA,31,FALSE)</f>
        <v>45313</v>
      </c>
      <c r="Y1611" s="710" t="str">
        <f>VLOOKUP(A1611,'[1]Raw data'!$B:$AS,39,FALSE)</f>
        <v>No</v>
      </c>
      <c r="AO1611" s="824" t="str">
        <f t="shared" si="386"/>
        <v>No</v>
      </c>
      <c r="AP1611" s="259" t="str">
        <f t="shared" si="358"/>
        <v>blank</v>
      </c>
      <c r="AQ1611" s="542" t="str">
        <f t="shared" si="387"/>
        <v>无定金+无預留客戶</v>
      </c>
      <c r="AR1611" s="259" t="str">
        <f t="shared" si="380"/>
        <v/>
      </c>
      <c r="AS1611" s="259" t="str">
        <f t="shared" si="381"/>
        <v/>
      </c>
      <c r="AT1611" s="259" t="str">
        <f t="shared" si="388"/>
        <v>鸿楠</v>
      </c>
      <c r="AU1611" s="259" t="str">
        <f t="shared" si="389"/>
        <v>C49SZX20240010MZ</v>
      </c>
      <c r="AV1611" s="259" t="str">
        <f t="shared" si="390"/>
        <v>-</v>
      </c>
    </row>
    <row r="1612" spans="1:48">
      <c r="A1612" s="559">
        <v>2074</v>
      </c>
      <c r="P1612" s="717" t="str">
        <f>VLOOKUP(A1612,'[1]Raw data'!$B:$BA,23,FALSE)</f>
        <v>JPY</v>
      </c>
      <c r="Q1612" s="710" t="str">
        <f>VLOOKUP(A1612,'[1]Raw data'!$B:$Z,2,FALSE)</f>
        <v>C49SZX20240010MZ</v>
      </c>
      <c r="R1612" s="710" t="str">
        <f>VLOOKUP(A1612,'[1]Raw data'!$B:$Z,3,FALSE)</f>
        <v>鸿楠</v>
      </c>
      <c r="S1612" s="710" t="str">
        <f>VLOOKUP(A1612,'[1]Raw data'!$B:$Z,4,FALSE)</f>
        <v>YSM20R-2</v>
      </c>
      <c r="T1612" s="710" t="str">
        <f>VLOOKUP(A1612,'[1]Raw data'!$B:$Z,8,FALSE)</f>
        <v>R-&gt;L</v>
      </c>
      <c r="U1612" s="710" t="str">
        <f>VLOOKUP(A1612,'[1]Raw data'!$B:$Z,9,FALSE)</f>
        <v>No</v>
      </c>
      <c r="V1612" s="709" t="str">
        <f t="shared" si="394"/>
        <v>WRONG</v>
      </c>
      <c r="X1612" s="800">
        <f>VLOOKUP(A1612,'[1]Raw data'!$B:$BA,31,FALSE)</f>
        <v>45313</v>
      </c>
      <c r="Y1612" s="710" t="str">
        <f>VLOOKUP(A1612,'[1]Raw data'!$B:$AS,39,FALSE)</f>
        <v>No</v>
      </c>
      <c r="AO1612" s="824" t="str">
        <f t="shared" si="386"/>
        <v>No</v>
      </c>
      <c r="AP1612" s="259" t="str">
        <f t="shared" si="358"/>
        <v>blank</v>
      </c>
      <c r="AQ1612" s="542" t="str">
        <f t="shared" si="387"/>
        <v>无定金+无預留客戶</v>
      </c>
      <c r="AR1612" s="259" t="str">
        <f t="shared" si="380"/>
        <v/>
      </c>
      <c r="AS1612" s="259" t="str">
        <f t="shared" si="381"/>
        <v/>
      </c>
      <c r="AT1612" s="259" t="str">
        <f t="shared" si="388"/>
        <v>鸿楠</v>
      </c>
      <c r="AU1612" s="259" t="str">
        <f t="shared" si="389"/>
        <v>C49SZX20240010MZ</v>
      </c>
      <c r="AV1612" s="259" t="str">
        <f t="shared" si="390"/>
        <v>-</v>
      </c>
    </row>
    <row r="1613" spans="1:48">
      <c r="A1613" s="559">
        <v>2075</v>
      </c>
      <c r="P1613" s="717" t="str">
        <f>VLOOKUP(A1613,'[1]Raw data'!$B:$BA,23,FALSE)</f>
        <v>JPY</v>
      </c>
      <c r="Q1613" s="710" t="str">
        <f>VLOOKUP(A1613,'[1]Raw data'!$B:$Z,2,FALSE)</f>
        <v>C49SZX20240010MZ</v>
      </c>
      <c r="R1613" s="710" t="str">
        <f>VLOOKUP(A1613,'[1]Raw data'!$B:$Z,3,FALSE)</f>
        <v>鸿楠</v>
      </c>
      <c r="S1613" s="710" t="str">
        <f>VLOOKUP(A1613,'[1]Raw data'!$B:$Z,4,FALSE)</f>
        <v>YSM10</v>
      </c>
      <c r="T1613" s="710" t="str">
        <f>VLOOKUP(A1613,'[1]Raw data'!$B:$Z,8,FALSE)</f>
        <v>R-&gt;L</v>
      </c>
      <c r="U1613" s="710" t="str">
        <f>VLOOKUP(A1613,'[1]Raw data'!$B:$Z,9,FALSE)</f>
        <v>MVC</v>
      </c>
      <c r="V1613" s="709" t="str">
        <f t="shared" si="394"/>
        <v>WRONG</v>
      </c>
      <c r="X1613" s="800">
        <f>VLOOKUP(A1613,'[1]Raw data'!$B:$BA,31,FALSE)</f>
        <v>45313</v>
      </c>
      <c r="Y1613" s="710" t="str">
        <f>VLOOKUP(A1613,'[1]Raw data'!$B:$AS,39,FALSE)</f>
        <v>No</v>
      </c>
      <c r="AO1613" s="824" t="str">
        <f t="shared" si="386"/>
        <v>No</v>
      </c>
      <c r="AP1613" s="259" t="str">
        <f t="shared" si="358"/>
        <v>blank</v>
      </c>
      <c r="AQ1613" s="542" t="str">
        <f t="shared" si="387"/>
        <v>无定金+无預留客戶</v>
      </c>
      <c r="AR1613" s="259" t="str">
        <f t="shared" si="380"/>
        <v/>
      </c>
      <c r="AS1613" s="259" t="str">
        <f t="shared" si="381"/>
        <v/>
      </c>
      <c r="AT1613" s="259" t="str">
        <f t="shared" si="388"/>
        <v>鸿楠</v>
      </c>
      <c r="AU1613" s="259" t="str">
        <f t="shared" si="389"/>
        <v>C49SZX20240010MZ</v>
      </c>
      <c r="AV1613" s="259" t="str">
        <f t="shared" si="390"/>
        <v>-</v>
      </c>
    </row>
    <row r="1614" spans="1:48">
      <c r="A1614" s="559">
        <v>2076</v>
      </c>
      <c r="P1614" s="717" t="str">
        <f>VLOOKUP(A1614,'[1]Raw data'!$B:$BA,23,FALSE)</f>
        <v>JPY</v>
      </c>
      <c r="Q1614" s="710" t="str">
        <f>VLOOKUP(A1614,'[1]Raw data'!$B:$Z,2,FALSE)</f>
        <v>C49SZX20240010MZ</v>
      </c>
      <c r="R1614" s="710" t="str">
        <f>VLOOKUP(A1614,'[1]Raw data'!$B:$Z,3,FALSE)</f>
        <v>鸿楠</v>
      </c>
      <c r="S1614" s="710" t="str">
        <f>VLOOKUP(A1614,'[1]Raw data'!$B:$Z,4,FALSE)</f>
        <v>YSM10</v>
      </c>
      <c r="T1614" s="710" t="str">
        <f>VLOOKUP(A1614,'[1]Raw data'!$B:$Z,8,FALSE)</f>
        <v>R-&gt;L</v>
      </c>
      <c r="U1614" s="710" t="str">
        <f>VLOOKUP(A1614,'[1]Raw data'!$B:$Z,9,FALSE)</f>
        <v>MVC</v>
      </c>
      <c r="V1614" s="709" t="str">
        <f t="shared" si="394"/>
        <v>WRONG</v>
      </c>
      <c r="X1614" s="800">
        <f>VLOOKUP(A1614,'[1]Raw data'!$B:$BA,31,FALSE)</f>
        <v>45313</v>
      </c>
      <c r="Y1614" s="710" t="str">
        <f>VLOOKUP(A1614,'[1]Raw data'!$B:$AS,39,FALSE)</f>
        <v>No</v>
      </c>
      <c r="AO1614" s="824" t="str">
        <f t="shared" si="386"/>
        <v>No</v>
      </c>
      <c r="AP1614" s="259" t="str">
        <f t="shared" si="358"/>
        <v>blank</v>
      </c>
      <c r="AQ1614" s="542" t="str">
        <f t="shared" si="387"/>
        <v>无定金+无預留客戶</v>
      </c>
      <c r="AR1614" s="259" t="str">
        <f t="shared" si="380"/>
        <v/>
      </c>
      <c r="AS1614" s="259" t="str">
        <f t="shared" si="381"/>
        <v/>
      </c>
      <c r="AT1614" s="259" t="str">
        <f t="shared" si="388"/>
        <v>鸿楠</v>
      </c>
      <c r="AU1614" s="259" t="str">
        <f t="shared" si="389"/>
        <v>C49SZX20240010MZ</v>
      </c>
      <c r="AV1614" s="259" t="str">
        <f t="shared" si="390"/>
        <v>-</v>
      </c>
    </row>
    <row r="1615" spans="1:48">
      <c r="A1615" s="559">
        <v>2078</v>
      </c>
      <c r="P1615" s="717" t="str">
        <f>VLOOKUP(A1615,'[1]Raw data'!$B:$BA,23,FALSE)</f>
        <v>JPY</v>
      </c>
      <c r="Q1615" s="710" t="str">
        <f>VLOOKUP(A1615,'[1]Raw data'!$B:$Z,2,FALSE)</f>
        <v>C28SZX20240012MZ</v>
      </c>
      <c r="R1615" s="710" t="str">
        <f>VLOOKUP(A1615,'[1]Raw data'!$B:$Z,3,FALSE)</f>
        <v>鸿楠</v>
      </c>
      <c r="S1615" s="710" t="str">
        <f>VLOOKUP(A1615,'[1]Raw data'!$B:$Z,4,FALSE)</f>
        <v>YSi-V</v>
      </c>
      <c r="T1615" s="710" t="str">
        <f>VLOOKUP(A1615,'[1]Raw data'!$B:$Z,8,FALSE)</f>
        <v>R-&gt;L</v>
      </c>
      <c r="U1615" s="710" t="str">
        <f>VLOOKUP(A1615,'[1]Raw data'!$B:$Z,9,FALSE)</f>
        <v>No</v>
      </c>
      <c r="V1615" s="709" t="str">
        <f t="shared" si="394"/>
        <v>WRONG</v>
      </c>
      <c r="X1615" s="800">
        <f>VLOOKUP(A1615,'[1]Raw data'!$B:$BA,31,FALSE)</f>
        <v>45313</v>
      </c>
      <c r="Y1615" s="710" t="str">
        <f>VLOOKUP(A1615,'[1]Raw data'!$B:$AS,39,FALSE)</f>
        <v>No</v>
      </c>
      <c r="AO1615" s="824" t="str">
        <f t="shared" si="386"/>
        <v>No</v>
      </c>
      <c r="AP1615" s="259" t="str">
        <f t="shared" si="358"/>
        <v>blank</v>
      </c>
      <c r="AQ1615" s="542" t="str">
        <f t="shared" si="387"/>
        <v>无定金+无預留客戶</v>
      </c>
      <c r="AR1615" s="259" t="str">
        <f t="shared" si="380"/>
        <v/>
      </c>
      <c r="AS1615" s="259" t="str">
        <f t="shared" si="381"/>
        <v/>
      </c>
      <c r="AT1615" s="259" t="str">
        <f t="shared" si="388"/>
        <v>鸿楠</v>
      </c>
      <c r="AU1615" s="259" t="str">
        <f t="shared" si="389"/>
        <v>C28SZX20240012MZ</v>
      </c>
      <c r="AV1615" s="259" t="str">
        <f t="shared" si="390"/>
        <v>-</v>
      </c>
    </row>
    <row r="1616" spans="1:48">
      <c r="P1616" s="717" t="e">
        <f>VLOOKUP(A1616,'[1]Raw data'!$B:$BA,23,FALSE)</f>
        <v>#N/A</v>
      </c>
      <c r="Q1616" s="710" t="e">
        <f>VLOOKUP(A1616,'[1]Raw data'!$B:$Z,2,FALSE)</f>
        <v>#N/A</v>
      </c>
      <c r="R1616" s="710" t="e">
        <f>VLOOKUP(A1616,'[1]Raw data'!$B:$Z,3,FALSE)</f>
        <v>#N/A</v>
      </c>
      <c r="S1616" s="710" t="e">
        <f>VLOOKUP(A1616,'[1]Raw data'!$B:$Z,4,FALSE)</f>
        <v>#N/A</v>
      </c>
      <c r="T1616" s="710" t="e">
        <f>VLOOKUP(A1616,'[1]Raw data'!$B:$Z,8,FALSE)</f>
        <v>#N/A</v>
      </c>
      <c r="U1616" s="710" t="e">
        <f>VLOOKUP(A1616,'[1]Raw data'!$B:$Z,9,FALSE)</f>
        <v>#N/A</v>
      </c>
      <c r="V1616" s="709" t="e">
        <f t="shared" si="394"/>
        <v>#N/A</v>
      </c>
      <c r="X1616" s="800" t="e">
        <f>VLOOKUP(A1616,'[1]Raw data'!$B:$BA,31,FALSE)</f>
        <v>#N/A</v>
      </c>
      <c r="Y1616" s="710" t="e">
        <f>VLOOKUP(A1616,'[1]Raw data'!$B:$AS,39,FALSE)</f>
        <v>#N/A</v>
      </c>
      <c r="AO1616" s="824" t="str">
        <f t="shared" si="386"/>
        <v>No</v>
      </c>
      <c r="AP1616" s="259" t="str">
        <f t="shared" ref="AP1616:AP1669" si="395">IFERROR(IF(N1616&lt;&gt;"",N1616,"blank"),"NA")</f>
        <v>blank</v>
      </c>
      <c r="AQ1616" s="542" t="str">
        <f t="shared" si="387"/>
        <v>无定金+无預留客戶</v>
      </c>
      <c r="AR1616" s="259" t="str">
        <f t="shared" si="380"/>
        <v/>
      </c>
      <c r="AS1616" s="259" t="str">
        <f t="shared" si="381"/>
        <v/>
      </c>
      <c r="AT1616" s="259" t="str">
        <f t="shared" si="388"/>
        <v>-</v>
      </c>
      <c r="AU1616" s="259" t="str">
        <f t="shared" si="389"/>
        <v>-</v>
      </c>
      <c r="AV1616" s="259" t="str">
        <f t="shared" si="390"/>
        <v>-</v>
      </c>
    </row>
    <row r="1617" spans="16:48">
      <c r="P1617" s="717" t="e">
        <f>VLOOKUP(A1617,'[1]Raw data'!$B:$BA,23,FALSE)</f>
        <v>#N/A</v>
      </c>
      <c r="Q1617" s="710" t="e">
        <f>VLOOKUP(A1617,'[1]Raw data'!$B:$Z,2,FALSE)</f>
        <v>#N/A</v>
      </c>
      <c r="R1617" s="710" t="e">
        <f>VLOOKUP(A1617,'[1]Raw data'!$B:$Z,3,FALSE)</f>
        <v>#N/A</v>
      </c>
      <c r="S1617" s="710" t="e">
        <f>VLOOKUP(A1617,'[1]Raw data'!$B:$Z,4,FALSE)</f>
        <v>#N/A</v>
      </c>
      <c r="T1617" s="710" t="e">
        <f>VLOOKUP(A1617,'[1]Raw data'!$B:$Z,8,FALSE)</f>
        <v>#N/A</v>
      </c>
      <c r="U1617" s="710" t="e">
        <f>VLOOKUP(A1617,'[1]Raw data'!$B:$Z,9,FALSE)</f>
        <v>#N/A</v>
      </c>
      <c r="V1617" s="709" t="e">
        <f t="shared" si="394"/>
        <v>#N/A</v>
      </c>
      <c r="X1617" s="800" t="e">
        <f>VLOOKUP(A1617,'[1]Raw data'!$B:$BA,31,FALSE)</f>
        <v>#N/A</v>
      </c>
      <c r="Y1617" s="710" t="e">
        <f>VLOOKUP(A1617,'[1]Raw data'!$B:$AS,39,FALSE)</f>
        <v>#N/A</v>
      </c>
      <c r="AO1617" s="824" t="str">
        <f t="shared" si="386"/>
        <v>No</v>
      </c>
      <c r="AP1617" s="259" t="str">
        <f t="shared" si="395"/>
        <v>blank</v>
      </c>
      <c r="AQ1617" s="542" t="str">
        <f t="shared" si="387"/>
        <v>无定金+无預留客戶</v>
      </c>
      <c r="AR1617" s="259" t="str">
        <f t="shared" si="380"/>
        <v/>
      </c>
      <c r="AS1617" s="259" t="str">
        <f t="shared" si="381"/>
        <v/>
      </c>
      <c r="AT1617" s="259" t="str">
        <f t="shared" si="388"/>
        <v>-</v>
      </c>
      <c r="AU1617" s="259" t="str">
        <f t="shared" si="389"/>
        <v>-</v>
      </c>
      <c r="AV1617" s="259" t="str">
        <f t="shared" si="390"/>
        <v>-</v>
      </c>
    </row>
    <row r="1618" spans="16:48">
      <c r="P1618" s="717" t="e">
        <f>VLOOKUP(A1618,'[1]Raw data'!$B:$BA,23,FALSE)</f>
        <v>#N/A</v>
      </c>
      <c r="Q1618" s="710" t="e">
        <f>VLOOKUP(A1618,'[1]Raw data'!$B:$Z,2,FALSE)</f>
        <v>#N/A</v>
      </c>
      <c r="R1618" s="710" t="e">
        <f>VLOOKUP(A1618,'[1]Raw data'!$B:$Z,3,FALSE)</f>
        <v>#N/A</v>
      </c>
      <c r="S1618" s="710" t="e">
        <f>VLOOKUP(A1618,'[1]Raw data'!$B:$Z,4,FALSE)</f>
        <v>#N/A</v>
      </c>
      <c r="T1618" s="710" t="e">
        <f>VLOOKUP(A1618,'[1]Raw data'!$B:$Z,8,FALSE)</f>
        <v>#N/A</v>
      </c>
      <c r="U1618" s="710" t="e">
        <f>VLOOKUP(A1618,'[1]Raw data'!$B:$Z,9,FALSE)</f>
        <v>#N/A</v>
      </c>
      <c r="V1618" s="709" t="e">
        <f t="shared" si="394"/>
        <v>#N/A</v>
      </c>
      <c r="X1618" s="800" t="e">
        <f>VLOOKUP(A1618,'[1]Raw data'!$B:$BA,31,FALSE)</f>
        <v>#N/A</v>
      </c>
      <c r="Y1618" s="710" t="e">
        <f>VLOOKUP(A1618,'[1]Raw data'!$B:$AS,39,FALSE)</f>
        <v>#N/A</v>
      </c>
      <c r="AO1618" s="824" t="str">
        <f t="shared" si="386"/>
        <v>No</v>
      </c>
      <c r="AP1618" s="259" t="str">
        <f t="shared" si="395"/>
        <v>blank</v>
      </c>
      <c r="AQ1618" s="542" t="str">
        <f t="shared" si="387"/>
        <v>无定金+无預留客戶</v>
      </c>
      <c r="AR1618" s="259" t="str">
        <f t="shared" si="380"/>
        <v/>
      </c>
      <c r="AS1618" s="259" t="str">
        <f t="shared" si="381"/>
        <v/>
      </c>
      <c r="AT1618" s="259" t="str">
        <f t="shared" si="388"/>
        <v>-</v>
      </c>
      <c r="AU1618" s="259" t="str">
        <f t="shared" si="389"/>
        <v>-</v>
      </c>
      <c r="AV1618" s="259" t="str">
        <f t="shared" si="390"/>
        <v>-</v>
      </c>
    </row>
    <row r="1619" spans="16:48">
      <c r="P1619" s="717" t="e">
        <f>VLOOKUP(A1619,'[1]Raw data'!$B:$BA,23,FALSE)</f>
        <v>#N/A</v>
      </c>
      <c r="Q1619" s="710" t="e">
        <f>VLOOKUP(A1619,'[1]Raw data'!$B:$Z,2,FALSE)</f>
        <v>#N/A</v>
      </c>
      <c r="R1619" s="710" t="e">
        <f>VLOOKUP(A1619,'[1]Raw data'!$B:$Z,3,FALSE)</f>
        <v>#N/A</v>
      </c>
      <c r="S1619" s="710" t="e">
        <f>VLOOKUP(A1619,'[1]Raw data'!$B:$Z,4,FALSE)</f>
        <v>#N/A</v>
      </c>
      <c r="T1619" s="710" t="e">
        <f>VLOOKUP(A1619,'[1]Raw data'!$B:$Z,8,FALSE)</f>
        <v>#N/A</v>
      </c>
      <c r="U1619" s="710" t="e">
        <f>VLOOKUP(A1619,'[1]Raw data'!$B:$Z,9,FALSE)</f>
        <v>#N/A</v>
      </c>
      <c r="V1619" s="709" t="e">
        <f t="shared" si="394"/>
        <v>#N/A</v>
      </c>
      <c r="X1619" s="800" t="e">
        <f>VLOOKUP(A1619,'[1]Raw data'!$B:$BA,31,FALSE)</f>
        <v>#N/A</v>
      </c>
      <c r="Y1619" s="710" t="e">
        <f>VLOOKUP(A1619,'[1]Raw data'!$B:$AS,39,FALSE)</f>
        <v>#N/A</v>
      </c>
      <c r="AO1619" s="824" t="str">
        <f t="shared" si="386"/>
        <v>No</v>
      </c>
      <c r="AP1619" s="259" t="str">
        <f t="shared" si="395"/>
        <v>blank</v>
      </c>
      <c r="AQ1619" s="542" t="str">
        <f t="shared" si="387"/>
        <v>无定金+无預留客戶</v>
      </c>
      <c r="AR1619" s="259" t="str">
        <f t="shared" si="380"/>
        <v/>
      </c>
      <c r="AS1619" s="259" t="str">
        <f t="shared" si="381"/>
        <v/>
      </c>
      <c r="AT1619" s="259" t="str">
        <f t="shared" si="388"/>
        <v>-</v>
      </c>
      <c r="AU1619" s="259" t="str">
        <f t="shared" si="389"/>
        <v>-</v>
      </c>
      <c r="AV1619" s="259" t="str">
        <f t="shared" si="390"/>
        <v>-</v>
      </c>
    </row>
    <row r="1620" spans="16:48">
      <c r="P1620" s="717" t="e">
        <f>VLOOKUP(A1620,'[1]Raw data'!$B:$BA,23,FALSE)</f>
        <v>#N/A</v>
      </c>
      <c r="Q1620" s="710" t="e">
        <f>VLOOKUP(A1620,'[1]Raw data'!$B:$Z,2,FALSE)</f>
        <v>#N/A</v>
      </c>
      <c r="R1620" s="710" t="e">
        <f>VLOOKUP(A1620,'[1]Raw data'!$B:$Z,3,FALSE)</f>
        <v>#N/A</v>
      </c>
      <c r="S1620" s="710" t="e">
        <f>VLOOKUP(A1620,'[1]Raw data'!$B:$Z,4,FALSE)</f>
        <v>#N/A</v>
      </c>
      <c r="T1620" s="710" t="e">
        <f>VLOOKUP(A1620,'[1]Raw data'!$B:$Z,8,FALSE)</f>
        <v>#N/A</v>
      </c>
      <c r="U1620" s="710" t="e">
        <f>VLOOKUP(A1620,'[1]Raw data'!$B:$Z,9,FALSE)</f>
        <v>#N/A</v>
      </c>
      <c r="V1620" s="709" t="e">
        <f t="shared" si="394"/>
        <v>#N/A</v>
      </c>
      <c r="X1620" s="800" t="e">
        <f>VLOOKUP(A1620,'[1]Raw data'!$B:$BA,31,FALSE)</f>
        <v>#N/A</v>
      </c>
      <c r="Y1620" s="710" t="e">
        <f>VLOOKUP(A1620,'[1]Raw data'!$B:$AS,39,FALSE)</f>
        <v>#N/A</v>
      </c>
      <c r="AO1620" s="824" t="str">
        <f t="shared" si="386"/>
        <v>No</v>
      </c>
      <c r="AP1620" s="259" t="str">
        <f t="shared" si="395"/>
        <v>blank</v>
      </c>
      <c r="AQ1620" s="542" t="str">
        <f t="shared" si="387"/>
        <v>无定金+无預留客戶</v>
      </c>
      <c r="AR1620" s="259" t="str">
        <f t="shared" si="380"/>
        <v/>
      </c>
      <c r="AS1620" s="259" t="str">
        <f t="shared" si="381"/>
        <v/>
      </c>
      <c r="AT1620" s="259" t="str">
        <f t="shared" si="388"/>
        <v>-</v>
      </c>
      <c r="AU1620" s="259" t="str">
        <f t="shared" si="389"/>
        <v>-</v>
      </c>
      <c r="AV1620" s="259" t="str">
        <f t="shared" si="390"/>
        <v>-</v>
      </c>
    </row>
    <row r="1621" spans="16:48">
      <c r="P1621" s="717" t="e">
        <f>VLOOKUP(A1621,'[1]Raw data'!$B:$BA,23,FALSE)</f>
        <v>#N/A</v>
      </c>
      <c r="Q1621" s="710" t="e">
        <f>VLOOKUP(A1621,'[1]Raw data'!$B:$Z,2,FALSE)</f>
        <v>#N/A</v>
      </c>
      <c r="R1621" s="710" t="e">
        <f>VLOOKUP(A1621,'[1]Raw data'!$B:$Z,3,FALSE)</f>
        <v>#N/A</v>
      </c>
      <c r="S1621" s="710" t="e">
        <f>VLOOKUP(A1621,'[1]Raw data'!$B:$Z,4,FALSE)</f>
        <v>#N/A</v>
      </c>
      <c r="T1621" s="710" t="e">
        <f>VLOOKUP(A1621,'[1]Raw data'!$B:$Z,8,FALSE)</f>
        <v>#N/A</v>
      </c>
      <c r="U1621" s="710" t="e">
        <f>VLOOKUP(A1621,'[1]Raw data'!$B:$Z,9,FALSE)</f>
        <v>#N/A</v>
      </c>
      <c r="V1621" s="709" t="e">
        <f t="shared" si="394"/>
        <v>#N/A</v>
      </c>
      <c r="X1621" s="800" t="e">
        <f>VLOOKUP(A1621,'[1]Raw data'!$B:$BA,31,FALSE)</f>
        <v>#N/A</v>
      </c>
      <c r="Y1621" s="710" t="e">
        <f>VLOOKUP(A1621,'[1]Raw data'!$B:$AS,39,FALSE)</f>
        <v>#N/A</v>
      </c>
      <c r="AO1621" s="824" t="str">
        <f t="shared" si="386"/>
        <v>No</v>
      </c>
      <c r="AP1621" s="259" t="str">
        <f t="shared" si="395"/>
        <v>blank</v>
      </c>
      <c r="AQ1621" s="542" t="str">
        <f t="shared" si="387"/>
        <v>无定金+无預留客戶</v>
      </c>
      <c r="AR1621" s="259" t="str">
        <f t="shared" si="380"/>
        <v/>
      </c>
      <c r="AS1621" s="259" t="str">
        <f t="shared" si="381"/>
        <v/>
      </c>
      <c r="AT1621" s="259" t="str">
        <f t="shared" si="388"/>
        <v>-</v>
      </c>
      <c r="AU1621" s="259" t="str">
        <f t="shared" si="389"/>
        <v>-</v>
      </c>
      <c r="AV1621" s="259" t="str">
        <f t="shared" si="390"/>
        <v>-</v>
      </c>
    </row>
    <row r="1622" spans="16:48">
      <c r="AO1622" s="824" t="str">
        <f t="shared" si="386"/>
        <v>No</v>
      </c>
      <c r="AP1622" s="259" t="str">
        <f t="shared" si="395"/>
        <v>blank</v>
      </c>
      <c r="AQ1622" s="542" t="str">
        <f t="shared" si="387"/>
        <v>无定金+无預留客戶</v>
      </c>
      <c r="AR1622" s="259" t="str">
        <f t="shared" si="380"/>
        <v/>
      </c>
      <c r="AS1622" s="259" t="str">
        <f t="shared" si="381"/>
        <v/>
      </c>
      <c r="AT1622" s="259" t="b">
        <f t="shared" si="388"/>
        <v>0</v>
      </c>
      <c r="AU1622" s="259" t="b">
        <f t="shared" si="389"/>
        <v>0</v>
      </c>
      <c r="AV1622" s="259" t="str">
        <f t="shared" si="390"/>
        <v>-</v>
      </c>
    </row>
    <row r="1623" spans="16:48">
      <c r="AO1623" s="824" t="str">
        <f t="shared" si="386"/>
        <v>No</v>
      </c>
      <c r="AP1623" s="259" t="str">
        <f t="shared" si="395"/>
        <v>blank</v>
      </c>
      <c r="AQ1623" s="542" t="str">
        <f t="shared" si="387"/>
        <v>无定金+无預留客戶</v>
      </c>
      <c r="AR1623" s="259" t="str">
        <f t="shared" si="380"/>
        <v/>
      </c>
      <c r="AS1623" s="259" t="str">
        <f t="shared" si="381"/>
        <v/>
      </c>
      <c r="AT1623" s="259" t="b">
        <f t="shared" si="388"/>
        <v>0</v>
      </c>
      <c r="AU1623" s="259" t="b">
        <f t="shared" si="389"/>
        <v>0</v>
      </c>
      <c r="AV1623" s="259" t="str">
        <f t="shared" si="390"/>
        <v>-</v>
      </c>
    </row>
    <row r="1624" spans="16:48">
      <c r="AO1624" s="824" t="str">
        <f t="shared" si="386"/>
        <v>No</v>
      </c>
      <c r="AP1624" s="259" t="str">
        <f t="shared" si="395"/>
        <v>blank</v>
      </c>
      <c r="AQ1624" s="542" t="str">
        <f t="shared" si="387"/>
        <v>无定金+无預留客戶</v>
      </c>
      <c r="AR1624" s="259" t="str">
        <f t="shared" si="380"/>
        <v/>
      </c>
      <c r="AS1624" s="259" t="str">
        <f t="shared" si="381"/>
        <v/>
      </c>
      <c r="AT1624" s="259" t="b">
        <f t="shared" si="388"/>
        <v>0</v>
      </c>
      <c r="AU1624" s="259" t="b">
        <f t="shared" si="389"/>
        <v>0</v>
      </c>
      <c r="AV1624" s="259" t="str">
        <f t="shared" si="390"/>
        <v>-</v>
      </c>
    </row>
    <row r="1625" spans="16:48">
      <c r="AO1625" s="824" t="str">
        <f t="shared" si="386"/>
        <v>No</v>
      </c>
      <c r="AP1625" s="259" t="str">
        <f t="shared" si="395"/>
        <v>blank</v>
      </c>
      <c r="AQ1625" s="542" t="str">
        <f t="shared" si="387"/>
        <v>无定金+无預留客戶</v>
      </c>
      <c r="AR1625" s="259" t="str">
        <f t="shared" si="380"/>
        <v/>
      </c>
      <c r="AS1625" s="259" t="str">
        <f t="shared" si="381"/>
        <v/>
      </c>
      <c r="AT1625" s="259" t="b">
        <f t="shared" si="388"/>
        <v>0</v>
      </c>
      <c r="AU1625" s="259" t="b">
        <f t="shared" si="389"/>
        <v>0</v>
      </c>
      <c r="AV1625" s="259" t="str">
        <f t="shared" si="390"/>
        <v>-</v>
      </c>
    </row>
    <row r="1626" spans="16:48">
      <c r="AO1626" s="824" t="str">
        <f t="shared" si="386"/>
        <v>No</v>
      </c>
      <c r="AP1626" s="259" t="str">
        <f t="shared" si="395"/>
        <v>blank</v>
      </c>
      <c r="AQ1626" s="542" t="str">
        <f t="shared" si="387"/>
        <v>无定金+无預留客戶</v>
      </c>
      <c r="AR1626" s="259" t="str">
        <f t="shared" si="380"/>
        <v/>
      </c>
      <c r="AS1626" s="259" t="str">
        <f t="shared" si="381"/>
        <v/>
      </c>
      <c r="AT1626" s="259" t="b">
        <f t="shared" si="388"/>
        <v>0</v>
      </c>
      <c r="AU1626" s="259" t="b">
        <f t="shared" si="389"/>
        <v>0</v>
      </c>
      <c r="AV1626" s="259" t="str">
        <f t="shared" si="390"/>
        <v>-</v>
      </c>
    </row>
    <row r="1627" spans="16:48">
      <c r="AO1627" s="824" t="str">
        <f t="shared" si="386"/>
        <v>No</v>
      </c>
      <c r="AP1627" s="259" t="str">
        <f t="shared" si="395"/>
        <v>blank</v>
      </c>
      <c r="AQ1627" s="542" t="str">
        <f t="shared" si="387"/>
        <v>无定金+无預留客戶</v>
      </c>
      <c r="AR1627" s="259" t="str">
        <f t="shared" si="380"/>
        <v/>
      </c>
      <c r="AS1627" s="259" t="str">
        <f t="shared" si="381"/>
        <v/>
      </c>
      <c r="AT1627" s="259" t="b">
        <f t="shared" si="388"/>
        <v>0</v>
      </c>
      <c r="AU1627" s="259" t="b">
        <f t="shared" si="389"/>
        <v>0</v>
      </c>
      <c r="AV1627" s="259" t="str">
        <f t="shared" si="390"/>
        <v>-</v>
      </c>
    </row>
    <row r="1628" spans="16:48">
      <c r="AO1628" s="824" t="str">
        <f t="shared" si="386"/>
        <v>No</v>
      </c>
      <c r="AP1628" s="259" t="str">
        <f t="shared" si="395"/>
        <v>blank</v>
      </c>
      <c r="AQ1628" s="542" t="str">
        <f t="shared" si="387"/>
        <v>无定金+无預留客戶</v>
      </c>
      <c r="AR1628" s="259" t="str">
        <f t="shared" si="380"/>
        <v/>
      </c>
      <c r="AS1628" s="259" t="str">
        <f t="shared" si="381"/>
        <v/>
      </c>
      <c r="AT1628" s="259" t="b">
        <f t="shared" si="388"/>
        <v>0</v>
      </c>
      <c r="AU1628" s="259" t="b">
        <f t="shared" si="389"/>
        <v>0</v>
      </c>
      <c r="AV1628" s="259" t="str">
        <f t="shared" si="390"/>
        <v>-</v>
      </c>
    </row>
    <row r="1629" spans="16:48">
      <c r="AO1629" s="824" t="str">
        <f t="shared" si="386"/>
        <v>No</v>
      </c>
      <c r="AP1629" s="259" t="str">
        <f t="shared" si="395"/>
        <v>blank</v>
      </c>
      <c r="AQ1629" s="542" t="str">
        <f t="shared" si="387"/>
        <v>无定金+无預留客戶</v>
      </c>
      <c r="AR1629" s="259" t="str">
        <f t="shared" si="380"/>
        <v/>
      </c>
      <c r="AS1629" s="259" t="str">
        <f t="shared" si="381"/>
        <v/>
      </c>
      <c r="AT1629" s="259" t="b">
        <f t="shared" si="388"/>
        <v>0</v>
      </c>
      <c r="AU1629" s="259" t="b">
        <f t="shared" si="389"/>
        <v>0</v>
      </c>
      <c r="AV1629" s="259" t="str">
        <f t="shared" si="390"/>
        <v>-</v>
      </c>
    </row>
    <row r="1630" spans="16:48">
      <c r="AO1630" s="824" t="str">
        <f t="shared" si="386"/>
        <v>No</v>
      </c>
      <c r="AP1630" s="259" t="str">
        <f t="shared" si="395"/>
        <v>blank</v>
      </c>
      <c r="AQ1630" s="542" t="str">
        <f t="shared" si="387"/>
        <v>无定金+无預留客戶</v>
      </c>
      <c r="AR1630" s="259" t="str">
        <f t="shared" si="380"/>
        <v/>
      </c>
      <c r="AS1630" s="259" t="str">
        <f t="shared" si="381"/>
        <v/>
      </c>
      <c r="AT1630" s="259" t="b">
        <f t="shared" si="388"/>
        <v>0</v>
      </c>
      <c r="AU1630" s="259" t="b">
        <f t="shared" si="389"/>
        <v>0</v>
      </c>
      <c r="AV1630" s="259" t="str">
        <f t="shared" si="390"/>
        <v>-</v>
      </c>
    </row>
    <row r="1631" spans="16:48">
      <c r="AO1631" s="824" t="str">
        <f t="shared" si="386"/>
        <v>No</v>
      </c>
      <c r="AP1631" s="259" t="str">
        <f t="shared" si="395"/>
        <v>blank</v>
      </c>
      <c r="AQ1631" s="542" t="str">
        <f t="shared" si="387"/>
        <v>无定金+无預留客戶</v>
      </c>
      <c r="AR1631" s="259" t="str">
        <f t="shared" si="380"/>
        <v/>
      </c>
      <c r="AS1631" s="259" t="str">
        <f t="shared" si="381"/>
        <v/>
      </c>
      <c r="AT1631" s="259" t="b">
        <f t="shared" si="388"/>
        <v>0</v>
      </c>
      <c r="AU1631" s="259" t="b">
        <f t="shared" si="389"/>
        <v>0</v>
      </c>
      <c r="AV1631" s="259" t="str">
        <f t="shared" si="390"/>
        <v>-</v>
      </c>
    </row>
    <row r="1632" spans="16:48">
      <c r="AO1632" s="824" t="str">
        <f t="shared" si="386"/>
        <v>No</v>
      </c>
      <c r="AP1632" s="259" t="str">
        <f t="shared" si="395"/>
        <v>blank</v>
      </c>
      <c r="AQ1632" s="542" t="str">
        <f t="shared" si="387"/>
        <v>无定金+无預留客戶</v>
      </c>
      <c r="AR1632" s="259" t="str">
        <f t="shared" si="380"/>
        <v/>
      </c>
      <c r="AS1632" s="259" t="str">
        <f t="shared" si="381"/>
        <v/>
      </c>
      <c r="AT1632" s="259" t="b">
        <f t="shared" si="388"/>
        <v>0</v>
      </c>
      <c r="AU1632" s="259" t="b">
        <f t="shared" si="389"/>
        <v>0</v>
      </c>
      <c r="AV1632" s="259" t="str">
        <f t="shared" si="390"/>
        <v>-</v>
      </c>
    </row>
    <row r="1633" spans="41:48">
      <c r="AO1633" s="824" t="str">
        <f t="shared" si="386"/>
        <v>No</v>
      </c>
      <c r="AP1633" s="259" t="str">
        <f t="shared" si="395"/>
        <v>blank</v>
      </c>
      <c r="AQ1633" s="542" t="str">
        <f t="shared" si="387"/>
        <v>无定金+无預留客戶</v>
      </c>
      <c r="AR1633" s="259" t="str">
        <f t="shared" si="380"/>
        <v/>
      </c>
      <c r="AS1633" s="259" t="str">
        <f t="shared" si="381"/>
        <v/>
      </c>
      <c r="AT1633" s="259" t="b">
        <f t="shared" si="388"/>
        <v>0</v>
      </c>
      <c r="AU1633" s="259" t="b">
        <f t="shared" si="389"/>
        <v>0</v>
      </c>
      <c r="AV1633" s="259" t="str">
        <f t="shared" si="390"/>
        <v>-</v>
      </c>
    </row>
    <row r="1634" spans="41:48">
      <c r="AO1634" s="824" t="str">
        <f t="shared" si="386"/>
        <v>No</v>
      </c>
      <c r="AP1634" s="259" t="str">
        <f t="shared" si="395"/>
        <v>blank</v>
      </c>
      <c r="AQ1634" s="542" t="str">
        <f t="shared" si="387"/>
        <v>无定金+无預留客戶</v>
      </c>
      <c r="AR1634" s="259" t="str">
        <f t="shared" si="380"/>
        <v/>
      </c>
      <c r="AS1634" s="259" t="str">
        <f t="shared" si="381"/>
        <v/>
      </c>
      <c r="AT1634" s="259" t="b">
        <f t="shared" si="388"/>
        <v>0</v>
      </c>
      <c r="AU1634" s="259" t="b">
        <f t="shared" si="389"/>
        <v>0</v>
      </c>
      <c r="AV1634" s="259" t="str">
        <f t="shared" si="390"/>
        <v>-</v>
      </c>
    </row>
    <row r="1635" spans="41:48">
      <c r="AO1635" s="824" t="str">
        <f t="shared" si="386"/>
        <v>No</v>
      </c>
      <c r="AP1635" s="259" t="str">
        <f t="shared" si="395"/>
        <v>blank</v>
      </c>
      <c r="AQ1635" s="542" t="str">
        <f t="shared" si="387"/>
        <v>无定金+无預留客戶</v>
      </c>
      <c r="AR1635" s="259" t="str">
        <f t="shared" si="380"/>
        <v/>
      </c>
      <c r="AS1635" s="259" t="str">
        <f t="shared" si="381"/>
        <v/>
      </c>
      <c r="AT1635" s="259" t="b">
        <f t="shared" si="388"/>
        <v>0</v>
      </c>
      <c r="AU1635" s="259" t="b">
        <f t="shared" si="389"/>
        <v>0</v>
      </c>
      <c r="AV1635" s="259" t="str">
        <f t="shared" si="390"/>
        <v>-</v>
      </c>
    </row>
    <row r="1636" spans="41:48">
      <c r="AO1636" s="824" t="str">
        <f t="shared" si="386"/>
        <v>No</v>
      </c>
      <c r="AP1636" s="259" t="str">
        <f t="shared" si="395"/>
        <v>blank</v>
      </c>
      <c r="AQ1636" s="542" t="str">
        <f t="shared" si="387"/>
        <v>无定金+无預留客戶</v>
      </c>
      <c r="AR1636" s="259" t="str">
        <f t="shared" si="380"/>
        <v/>
      </c>
      <c r="AS1636" s="259" t="str">
        <f t="shared" si="381"/>
        <v/>
      </c>
      <c r="AT1636" s="259" t="b">
        <f t="shared" si="388"/>
        <v>0</v>
      </c>
      <c r="AU1636" s="259" t="b">
        <f t="shared" si="389"/>
        <v>0</v>
      </c>
      <c r="AV1636" s="259" t="str">
        <f t="shared" si="390"/>
        <v>-</v>
      </c>
    </row>
    <row r="1637" spans="41:48">
      <c r="AO1637" s="824" t="str">
        <f t="shared" si="386"/>
        <v>No</v>
      </c>
      <c r="AP1637" s="259" t="str">
        <f t="shared" si="395"/>
        <v>blank</v>
      </c>
      <c r="AQ1637" s="542" t="str">
        <f t="shared" si="387"/>
        <v>无定金+无預留客戶</v>
      </c>
      <c r="AR1637" s="259" t="str">
        <f t="shared" si="380"/>
        <v/>
      </c>
      <c r="AS1637" s="259" t="str">
        <f t="shared" si="381"/>
        <v/>
      </c>
      <c r="AT1637" s="259" t="b">
        <f t="shared" si="388"/>
        <v>0</v>
      </c>
      <c r="AU1637" s="259" t="b">
        <f t="shared" si="389"/>
        <v>0</v>
      </c>
      <c r="AV1637" s="259" t="str">
        <f t="shared" si="390"/>
        <v>-</v>
      </c>
    </row>
    <row r="1638" spans="41:48">
      <c r="AO1638" s="824" t="str">
        <f t="shared" si="386"/>
        <v>No</v>
      </c>
      <c r="AP1638" s="259" t="str">
        <f t="shared" si="395"/>
        <v>blank</v>
      </c>
      <c r="AQ1638" s="542" t="str">
        <f t="shared" si="387"/>
        <v>无定金+无預留客戶</v>
      </c>
      <c r="AR1638" s="259" t="str">
        <f t="shared" si="380"/>
        <v/>
      </c>
      <c r="AS1638" s="259" t="str">
        <f t="shared" si="381"/>
        <v/>
      </c>
      <c r="AT1638" s="259" t="b">
        <f t="shared" si="388"/>
        <v>0</v>
      </c>
      <c r="AU1638" s="259" t="b">
        <f t="shared" si="389"/>
        <v>0</v>
      </c>
      <c r="AV1638" s="259" t="str">
        <f t="shared" si="390"/>
        <v>-</v>
      </c>
    </row>
    <row r="1639" spans="41:48">
      <c r="AO1639" s="824" t="str">
        <f t="shared" si="386"/>
        <v>No</v>
      </c>
      <c r="AP1639" s="259" t="str">
        <f t="shared" si="395"/>
        <v>blank</v>
      </c>
      <c r="AQ1639" s="542" t="str">
        <f t="shared" si="387"/>
        <v>无定金+无預留客戶</v>
      </c>
      <c r="AR1639" s="259" t="str">
        <f t="shared" si="380"/>
        <v/>
      </c>
      <c r="AS1639" s="259" t="str">
        <f t="shared" si="381"/>
        <v/>
      </c>
      <c r="AT1639" s="259" t="b">
        <f t="shared" si="388"/>
        <v>0</v>
      </c>
      <c r="AU1639" s="259" t="b">
        <f t="shared" si="389"/>
        <v>0</v>
      </c>
      <c r="AV1639" s="259" t="str">
        <f t="shared" si="390"/>
        <v>-</v>
      </c>
    </row>
    <row r="1640" spans="41:48">
      <c r="AO1640" s="824" t="str">
        <f t="shared" si="386"/>
        <v>No</v>
      </c>
      <c r="AP1640" s="259" t="str">
        <f t="shared" si="395"/>
        <v>blank</v>
      </c>
      <c r="AQ1640" s="542" t="str">
        <f t="shared" si="387"/>
        <v>无定金+无預留客戶</v>
      </c>
      <c r="AR1640" s="259" t="str">
        <f t="shared" si="380"/>
        <v/>
      </c>
      <c r="AS1640" s="259" t="str">
        <f t="shared" si="381"/>
        <v/>
      </c>
      <c r="AT1640" s="259" t="b">
        <f t="shared" si="388"/>
        <v>0</v>
      </c>
      <c r="AU1640" s="259" t="b">
        <f t="shared" si="389"/>
        <v>0</v>
      </c>
      <c r="AV1640" s="259" t="str">
        <f t="shared" si="390"/>
        <v>-</v>
      </c>
    </row>
    <row r="1641" spans="41:48">
      <c r="AO1641" s="824" t="str">
        <f t="shared" si="386"/>
        <v>No</v>
      </c>
      <c r="AP1641" s="259" t="str">
        <f t="shared" si="395"/>
        <v>blank</v>
      </c>
      <c r="AQ1641" s="542" t="str">
        <f t="shared" si="387"/>
        <v>无定金+无預留客戶</v>
      </c>
      <c r="AR1641" s="259" t="str">
        <f t="shared" si="380"/>
        <v/>
      </c>
      <c r="AS1641" s="259" t="str">
        <f t="shared" si="381"/>
        <v/>
      </c>
      <c r="AT1641" s="259" t="b">
        <f t="shared" si="388"/>
        <v>0</v>
      </c>
      <c r="AU1641" s="259" t="b">
        <f t="shared" si="389"/>
        <v>0</v>
      </c>
      <c r="AV1641" s="259" t="str">
        <f t="shared" si="390"/>
        <v>-</v>
      </c>
    </row>
    <row r="1642" spans="41:48">
      <c r="AO1642" s="824" t="str">
        <f t="shared" si="386"/>
        <v>No</v>
      </c>
      <c r="AP1642" s="259" t="str">
        <f t="shared" si="395"/>
        <v>blank</v>
      </c>
      <c r="AQ1642" s="542" t="str">
        <f t="shared" si="387"/>
        <v>无定金+无預留客戶</v>
      </c>
      <c r="AR1642" s="259" t="str">
        <f t="shared" si="380"/>
        <v/>
      </c>
      <c r="AS1642" s="259" t="str">
        <f t="shared" si="381"/>
        <v/>
      </c>
      <c r="AT1642" s="259" t="b">
        <f t="shared" si="388"/>
        <v>0</v>
      </c>
      <c r="AU1642" s="259" t="b">
        <f t="shared" si="389"/>
        <v>0</v>
      </c>
      <c r="AV1642" s="259" t="str">
        <f t="shared" si="390"/>
        <v>-</v>
      </c>
    </row>
    <row r="1643" spans="41:48">
      <c r="AO1643" s="824" t="str">
        <f t="shared" si="386"/>
        <v>No</v>
      </c>
      <c r="AP1643" s="259" t="str">
        <f t="shared" si="395"/>
        <v>blank</v>
      </c>
      <c r="AQ1643" s="542" t="str">
        <f t="shared" si="387"/>
        <v>无定金+无預留客戶</v>
      </c>
      <c r="AR1643" s="259" t="str">
        <f t="shared" si="380"/>
        <v/>
      </c>
      <c r="AS1643" s="259" t="str">
        <f t="shared" si="381"/>
        <v/>
      </c>
      <c r="AT1643" s="259" t="b">
        <f t="shared" si="388"/>
        <v>0</v>
      </c>
      <c r="AU1643" s="259" t="b">
        <f t="shared" si="389"/>
        <v>0</v>
      </c>
      <c r="AV1643" s="259" t="str">
        <f t="shared" si="390"/>
        <v>-</v>
      </c>
    </row>
    <row r="1644" spans="41:48">
      <c r="AO1644" s="824" t="str">
        <f t="shared" si="386"/>
        <v>No</v>
      </c>
      <c r="AP1644" s="259" t="str">
        <f t="shared" si="395"/>
        <v>blank</v>
      </c>
      <c r="AQ1644" s="542" t="str">
        <f t="shared" si="387"/>
        <v>无定金+无預留客戶</v>
      </c>
      <c r="AR1644" s="259" t="str">
        <f t="shared" si="380"/>
        <v/>
      </c>
      <c r="AS1644" s="259" t="str">
        <f t="shared" si="381"/>
        <v/>
      </c>
      <c r="AT1644" s="259" t="b">
        <f t="shared" si="388"/>
        <v>0</v>
      </c>
      <c r="AU1644" s="259" t="b">
        <f t="shared" si="389"/>
        <v>0</v>
      </c>
      <c r="AV1644" s="259" t="str">
        <f t="shared" si="390"/>
        <v>-</v>
      </c>
    </row>
    <row r="1645" spans="41:48">
      <c r="AO1645" s="824" t="str">
        <f t="shared" si="386"/>
        <v>No</v>
      </c>
      <c r="AP1645" s="259" t="str">
        <f t="shared" si="395"/>
        <v>blank</v>
      </c>
      <c r="AQ1645" s="542" t="str">
        <f t="shared" si="387"/>
        <v>无定金+无預留客戶</v>
      </c>
      <c r="AR1645" s="259" t="str">
        <f t="shared" si="380"/>
        <v/>
      </c>
      <c r="AS1645" s="259" t="str">
        <f t="shared" si="381"/>
        <v/>
      </c>
      <c r="AT1645" s="259" t="b">
        <f t="shared" si="388"/>
        <v>0</v>
      </c>
      <c r="AU1645" s="259" t="b">
        <f t="shared" si="389"/>
        <v>0</v>
      </c>
      <c r="AV1645" s="259" t="str">
        <f t="shared" si="390"/>
        <v>-</v>
      </c>
    </row>
    <row r="1646" spans="41:48">
      <c r="AO1646" s="824" t="str">
        <f t="shared" si="386"/>
        <v>No</v>
      </c>
      <c r="AP1646" s="259" t="str">
        <f t="shared" si="395"/>
        <v>blank</v>
      </c>
      <c r="AQ1646" s="542" t="str">
        <f t="shared" si="387"/>
        <v>无定金+无預留客戶</v>
      </c>
      <c r="AR1646" s="259" t="str">
        <f t="shared" si="380"/>
        <v/>
      </c>
      <c r="AS1646" s="259" t="str">
        <f t="shared" si="381"/>
        <v/>
      </c>
      <c r="AT1646" s="259" t="b">
        <f t="shared" si="388"/>
        <v>0</v>
      </c>
      <c r="AU1646" s="259" t="b">
        <f t="shared" si="389"/>
        <v>0</v>
      </c>
      <c r="AV1646" s="259" t="str">
        <f t="shared" si="390"/>
        <v>-</v>
      </c>
    </row>
    <row r="1647" spans="41:48">
      <c r="AO1647" s="824" t="str">
        <f t="shared" si="386"/>
        <v>No</v>
      </c>
      <c r="AP1647" s="259" t="str">
        <f t="shared" si="395"/>
        <v>blank</v>
      </c>
      <c r="AQ1647" s="542" t="str">
        <f t="shared" si="387"/>
        <v>无定金+无預留客戶</v>
      </c>
      <c r="AR1647" s="259" t="str">
        <f t="shared" si="380"/>
        <v/>
      </c>
      <c r="AS1647" s="259" t="str">
        <f t="shared" si="381"/>
        <v/>
      </c>
      <c r="AT1647" s="259" t="b">
        <f t="shared" si="388"/>
        <v>0</v>
      </c>
      <c r="AU1647" s="259" t="b">
        <f t="shared" si="389"/>
        <v>0</v>
      </c>
      <c r="AV1647" s="259" t="str">
        <f t="shared" si="390"/>
        <v>-</v>
      </c>
    </row>
    <row r="1648" spans="41:48">
      <c r="AO1648" s="824" t="str">
        <f t="shared" si="386"/>
        <v>No</v>
      </c>
      <c r="AP1648" s="259" t="str">
        <f t="shared" si="395"/>
        <v>blank</v>
      </c>
      <c r="AQ1648" s="542" t="str">
        <f t="shared" si="387"/>
        <v>无定金+无預留客戶</v>
      </c>
      <c r="AR1648" s="259" t="str">
        <f t="shared" si="380"/>
        <v/>
      </c>
      <c r="AS1648" s="259" t="str">
        <f t="shared" si="381"/>
        <v/>
      </c>
      <c r="AT1648" s="259" t="b">
        <f t="shared" si="388"/>
        <v>0</v>
      </c>
      <c r="AU1648" s="259" t="b">
        <f t="shared" si="389"/>
        <v>0</v>
      </c>
      <c r="AV1648" s="259" t="str">
        <f t="shared" si="390"/>
        <v>-</v>
      </c>
    </row>
    <row r="1649" spans="41:48">
      <c r="AO1649" s="824" t="str">
        <f t="shared" si="386"/>
        <v>No</v>
      </c>
      <c r="AP1649" s="259" t="str">
        <f t="shared" si="395"/>
        <v>blank</v>
      </c>
      <c r="AQ1649" s="542" t="str">
        <f t="shared" si="387"/>
        <v>无定金+无預留客戶</v>
      </c>
      <c r="AR1649" s="259" t="str">
        <f t="shared" si="380"/>
        <v/>
      </c>
      <c r="AS1649" s="259" t="str">
        <f t="shared" si="381"/>
        <v/>
      </c>
      <c r="AT1649" s="259" t="b">
        <f t="shared" si="388"/>
        <v>0</v>
      </c>
      <c r="AU1649" s="259" t="b">
        <f t="shared" si="389"/>
        <v>0</v>
      </c>
      <c r="AV1649" s="259" t="str">
        <f t="shared" si="390"/>
        <v>-</v>
      </c>
    </row>
    <row r="1650" spans="41:48">
      <c r="AO1650" s="824" t="str">
        <f t="shared" si="386"/>
        <v>No</v>
      </c>
      <c r="AP1650" s="259" t="str">
        <f t="shared" si="395"/>
        <v>blank</v>
      </c>
      <c r="AQ1650" s="542" t="str">
        <f t="shared" si="387"/>
        <v>无定金+无預留客戶</v>
      </c>
      <c r="AR1650" s="259" t="str">
        <f t="shared" si="380"/>
        <v/>
      </c>
      <c r="AS1650" s="259" t="str">
        <f t="shared" si="381"/>
        <v/>
      </c>
      <c r="AT1650" s="259" t="b">
        <f t="shared" si="388"/>
        <v>0</v>
      </c>
      <c r="AU1650" s="259" t="b">
        <f t="shared" si="389"/>
        <v>0</v>
      </c>
      <c r="AV1650" s="259" t="str">
        <f t="shared" si="390"/>
        <v>-</v>
      </c>
    </row>
    <row r="1651" spans="41:48">
      <c r="AO1651" s="824" t="str">
        <f t="shared" si="386"/>
        <v>No</v>
      </c>
      <c r="AP1651" s="259" t="str">
        <f t="shared" si="395"/>
        <v>blank</v>
      </c>
      <c r="AQ1651" s="542" t="str">
        <f t="shared" si="387"/>
        <v>无定金+无預留客戶</v>
      </c>
      <c r="AR1651" s="259" t="str">
        <f t="shared" si="380"/>
        <v/>
      </c>
      <c r="AS1651" s="259" t="str">
        <f t="shared" si="381"/>
        <v/>
      </c>
      <c r="AT1651" s="259" t="b">
        <f t="shared" si="388"/>
        <v>0</v>
      </c>
      <c r="AU1651" s="259" t="b">
        <f t="shared" si="389"/>
        <v>0</v>
      </c>
      <c r="AV1651" s="259" t="str">
        <f t="shared" si="390"/>
        <v>-</v>
      </c>
    </row>
    <row r="1652" spans="41:48">
      <c r="AO1652" s="824" t="str">
        <f t="shared" si="386"/>
        <v>No</v>
      </c>
      <c r="AP1652" s="259" t="str">
        <f t="shared" si="395"/>
        <v>blank</v>
      </c>
      <c r="AQ1652" s="542" t="str">
        <f t="shared" si="387"/>
        <v>无定金+无預留客戶</v>
      </c>
      <c r="AR1652" s="259" t="str">
        <f t="shared" si="380"/>
        <v/>
      </c>
      <c r="AS1652" s="259" t="str">
        <f t="shared" si="381"/>
        <v/>
      </c>
      <c r="AT1652" s="259" t="b">
        <f t="shared" si="388"/>
        <v>0</v>
      </c>
      <c r="AU1652" s="259" t="b">
        <f t="shared" si="389"/>
        <v>0</v>
      </c>
      <c r="AV1652" s="259" t="str">
        <f t="shared" si="390"/>
        <v>-</v>
      </c>
    </row>
    <row r="1653" spans="41:48">
      <c r="AO1653" s="824" t="str">
        <f t="shared" si="386"/>
        <v>No</v>
      </c>
      <c r="AP1653" s="259" t="str">
        <f t="shared" si="395"/>
        <v>blank</v>
      </c>
      <c r="AQ1653" s="542" t="str">
        <f t="shared" si="387"/>
        <v>无定金+无預留客戶</v>
      </c>
      <c r="AR1653" s="259" t="str">
        <f t="shared" si="380"/>
        <v/>
      </c>
      <c r="AS1653" s="259" t="str">
        <f t="shared" si="381"/>
        <v/>
      </c>
      <c r="AT1653" s="259" t="b">
        <f t="shared" si="388"/>
        <v>0</v>
      </c>
      <c r="AU1653" s="259" t="b">
        <f t="shared" si="389"/>
        <v>0</v>
      </c>
      <c r="AV1653" s="259" t="str">
        <f t="shared" si="390"/>
        <v>-</v>
      </c>
    </row>
    <row r="1654" spans="41:48">
      <c r="AO1654" s="824" t="str">
        <f t="shared" si="386"/>
        <v>No</v>
      </c>
      <c r="AP1654" s="259" t="str">
        <f t="shared" si="395"/>
        <v>blank</v>
      </c>
      <c r="AQ1654" s="542" t="str">
        <f t="shared" si="387"/>
        <v>无定金+无預留客戶</v>
      </c>
      <c r="AR1654" s="259" t="str">
        <f t="shared" si="380"/>
        <v/>
      </c>
      <c r="AS1654" s="259" t="str">
        <f t="shared" si="381"/>
        <v/>
      </c>
      <c r="AT1654" s="259" t="b">
        <f t="shared" si="388"/>
        <v>0</v>
      </c>
      <c r="AU1654" s="259" t="b">
        <f t="shared" si="389"/>
        <v>0</v>
      </c>
      <c r="AV1654" s="259" t="str">
        <f t="shared" si="390"/>
        <v>-</v>
      </c>
    </row>
    <row r="1655" spans="41:48">
      <c r="AO1655" s="824" t="str">
        <f t="shared" si="386"/>
        <v>No</v>
      </c>
      <c r="AP1655" s="259" t="str">
        <f t="shared" si="395"/>
        <v>blank</v>
      </c>
      <c r="AQ1655" s="542" t="str">
        <f t="shared" si="387"/>
        <v>无定金+无預留客戶</v>
      </c>
      <c r="AR1655" s="259" t="str">
        <f t="shared" si="380"/>
        <v/>
      </c>
      <c r="AS1655" s="259" t="str">
        <f t="shared" si="381"/>
        <v/>
      </c>
      <c r="AT1655" s="259" t="b">
        <f t="shared" si="388"/>
        <v>0</v>
      </c>
      <c r="AU1655" s="259" t="b">
        <f t="shared" si="389"/>
        <v>0</v>
      </c>
      <c r="AV1655" s="259" t="str">
        <f t="shared" si="390"/>
        <v>-</v>
      </c>
    </row>
    <row r="1656" spans="41:48">
      <c r="AO1656" s="824" t="str">
        <f t="shared" si="386"/>
        <v>No</v>
      </c>
      <c r="AP1656" s="259" t="str">
        <f t="shared" si="395"/>
        <v>blank</v>
      </c>
      <c r="AQ1656" s="542" t="str">
        <f t="shared" si="387"/>
        <v>无定金+无預留客戶</v>
      </c>
      <c r="AR1656" s="259" t="str">
        <f t="shared" si="380"/>
        <v/>
      </c>
      <c r="AS1656" s="259" t="str">
        <f t="shared" si="381"/>
        <v/>
      </c>
      <c r="AT1656" s="259" t="b">
        <f t="shared" si="388"/>
        <v>0</v>
      </c>
      <c r="AU1656" s="259" t="b">
        <f t="shared" si="389"/>
        <v>0</v>
      </c>
      <c r="AV1656" s="259" t="str">
        <f t="shared" si="390"/>
        <v>-</v>
      </c>
    </row>
    <row r="1657" spans="41:48">
      <c r="AO1657" s="824" t="str">
        <f t="shared" si="386"/>
        <v>No</v>
      </c>
      <c r="AP1657" s="259" t="str">
        <f t="shared" si="395"/>
        <v>blank</v>
      </c>
      <c r="AQ1657" s="542" t="str">
        <f t="shared" si="387"/>
        <v>无定金+无預留客戶</v>
      </c>
      <c r="AR1657" s="259" t="str">
        <f t="shared" si="380"/>
        <v/>
      </c>
      <c r="AS1657" s="259" t="str">
        <f t="shared" si="381"/>
        <v/>
      </c>
      <c r="AT1657" s="259" t="b">
        <f t="shared" si="388"/>
        <v>0</v>
      </c>
      <c r="AU1657" s="259" t="b">
        <f t="shared" si="389"/>
        <v>0</v>
      </c>
      <c r="AV1657" s="259" t="str">
        <f t="shared" si="390"/>
        <v>-</v>
      </c>
    </row>
    <row r="1658" spans="41:48">
      <c r="AO1658" s="824" t="str">
        <f t="shared" si="386"/>
        <v>No</v>
      </c>
      <c r="AP1658" s="259" t="str">
        <f t="shared" si="395"/>
        <v>blank</v>
      </c>
      <c r="AQ1658" s="542" t="str">
        <f t="shared" si="387"/>
        <v>无定金+无預留客戶</v>
      </c>
      <c r="AR1658" s="259" t="str">
        <f t="shared" si="380"/>
        <v/>
      </c>
      <c r="AS1658" s="259" t="str">
        <f t="shared" si="381"/>
        <v/>
      </c>
      <c r="AT1658" s="259" t="b">
        <f t="shared" si="388"/>
        <v>0</v>
      </c>
      <c r="AU1658" s="259" t="b">
        <f t="shared" si="389"/>
        <v>0</v>
      </c>
      <c r="AV1658" s="259" t="str">
        <f t="shared" si="390"/>
        <v>-</v>
      </c>
    </row>
    <row r="1659" spans="41:48">
      <c r="AO1659" s="824" t="str">
        <f t="shared" si="386"/>
        <v>No</v>
      </c>
      <c r="AP1659" s="259" t="str">
        <f t="shared" si="395"/>
        <v>blank</v>
      </c>
      <c r="AQ1659" s="542" t="str">
        <f t="shared" si="387"/>
        <v>无定金+无預留客戶</v>
      </c>
      <c r="AR1659" s="259" t="str">
        <f t="shared" si="380"/>
        <v/>
      </c>
      <c r="AS1659" s="259" t="str">
        <f t="shared" si="381"/>
        <v/>
      </c>
      <c r="AT1659" s="259" t="b">
        <f t="shared" si="388"/>
        <v>0</v>
      </c>
      <c r="AU1659" s="259" t="b">
        <f t="shared" si="389"/>
        <v>0</v>
      </c>
      <c r="AV1659" s="259" t="str">
        <f t="shared" si="390"/>
        <v>-</v>
      </c>
    </row>
    <row r="1660" spans="41:48">
      <c r="AO1660" s="824" t="str">
        <f t="shared" si="386"/>
        <v>No</v>
      </c>
      <c r="AP1660" s="259" t="str">
        <f t="shared" si="395"/>
        <v>blank</v>
      </c>
      <c r="AQ1660" s="542" t="str">
        <f t="shared" si="387"/>
        <v>无定金+无預留客戶</v>
      </c>
      <c r="AR1660" s="259" t="str">
        <f t="shared" si="380"/>
        <v/>
      </c>
      <c r="AS1660" s="259" t="str">
        <f t="shared" si="381"/>
        <v/>
      </c>
      <c r="AT1660" s="259" t="b">
        <f t="shared" si="388"/>
        <v>0</v>
      </c>
      <c r="AU1660" s="259" t="b">
        <f t="shared" si="389"/>
        <v>0</v>
      </c>
      <c r="AV1660" s="259" t="str">
        <f t="shared" si="390"/>
        <v>-</v>
      </c>
    </row>
    <row r="1661" spans="41:48">
      <c r="AO1661" s="824" t="str">
        <f t="shared" si="386"/>
        <v>No</v>
      </c>
      <c r="AP1661" s="259" t="str">
        <f t="shared" si="395"/>
        <v>blank</v>
      </c>
      <c r="AQ1661" s="542" t="str">
        <f t="shared" si="387"/>
        <v>无定金+无預留客戶</v>
      </c>
      <c r="AR1661" s="259" t="str">
        <f t="shared" si="380"/>
        <v/>
      </c>
      <c r="AS1661" s="259" t="str">
        <f t="shared" si="381"/>
        <v/>
      </c>
      <c r="AT1661" s="259" t="b">
        <f t="shared" si="388"/>
        <v>0</v>
      </c>
      <c r="AU1661" s="259" t="b">
        <f t="shared" si="389"/>
        <v>0</v>
      </c>
      <c r="AV1661" s="259" t="str">
        <f t="shared" si="390"/>
        <v>-</v>
      </c>
    </row>
    <row r="1662" spans="41:48">
      <c r="AO1662" s="824" t="str">
        <f t="shared" si="386"/>
        <v>No</v>
      </c>
      <c r="AP1662" s="259" t="str">
        <f t="shared" si="395"/>
        <v>blank</v>
      </c>
      <c r="AQ1662" s="542" t="str">
        <f t="shared" si="387"/>
        <v>无定金+无預留客戶</v>
      </c>
      <c r="AR1662" s="259" t="str">
        <f t="shared" ref="AR1662:AR1725" si="396">IFERROR(IF(B1662="已经到货", "Instock", IF(B1662="有交期", "Incoming_Stock_With_YAMAHA_Schedule", IF(B1662="TBA.", "Incoming_Stock_No_YAMAHA_Schedule", IF(B1662="已发货", "Shipped_Stock", "")))), "")</f>
        <v/>
      </c>
      <c r="AS1662" s="259" t="str">
        <f t="shared" ref="AS1662:AS1725" si="397">IF(AND(B1662="有交期", L1662&lt;&gt;""), L1662, "")</f>
        <v/>
      </c>
      <c r="AT1662" s="259" t="b">
        <f t="shared" si="388"/>
        <v>0</v>
      </c>
      <c r="AU1662" s="259" t="b">
        <f t="shared" si="389"/>
        <v>0</v>
      </c>
      <c r="AV1662" s="259" t="str">
        <f t="shared" si="390"/>
        <v>-</v>
      </c>
    </row>
    <row r="1663" spans="41:48">
      <c r="AO1663" s="824" t="str">
        <f t="shared" si="386"/>
        <v>No</v>
      </c>
      <c r="AP1663" s="259" t="str">
        <f t="shared" si="395"/>
        <v>blank</v>
      </c>
      <c r="AQ1663" s="542" t="str">
        <f t="shared" si="387"/>
        <v>无定金+无預留客戶</v>
      </c>
      <c r="AR1663" s="259" t="str">
        <f t="shared" si="396"/>
        <v/>
      </c>
      <c r="AS1663" s="259" t="str">
        <f t="shared" si="397"/>
        <v/>
      </c>
      <c r="AT1663" s="259" t="b">
        <f t="shared" si="388"/>
        <v>0</v>
      </c>
      <c r="AU1663" s="259" t="b">
        <f t="shared" si="389"/>
        <v>0</v>
      </c>
      <c r="AV1663" s="259" t="str">
        <f t="shared" si="390"/>
        <v>-</v>
      </c>
    </row>
    <row r="1664" spans="41:48">
      <c r="AO1664" s="824" t="str">
        <f t="shared" si="386"/>
        <v>No</v>
      </c>
      <c r="AP1664" s="259" t="str">
        <f t="shared" si="395"/>
        <v>blank</v>
      </c>
      <c r="AQ1664" s="542" t="str">
        <f t="shared" si="387"/>
        <v>无定金+无預留客戶</v>
      </c>
      <c r="AR1664" s="259" t="str">
        <f t="shared" si="396"/>
        <v/>
      </c>
      <c r="AS1664" s="259" t="str">
        <f t="shared" si="397"/>
        <v/>
      </c>
      <c r="AT1664" s="259" t="b">
        <f t="shared" si="388"/>
        <v>0</v>
      </c>
      <c r="AU1664" s="259" t="b">
        <f t="shared" si="389"/>
        <v>0</v>
      </c>
      <c r="AV1664" s="259" t="str">
        <f t="shared" si="390"/>
        <v>-</v>
      </c>
    </row>
    <row r="1665" spans="41:48">
      <c r="AO1665" s="824" t="str">
        <f t="shared" si="386"/>
        <v>No</v>
      </c>
      <c r="AP1665" s="259" t="str">
        <f t="shared" si="395"/>
        <v>blank</v>
      </c>
      <c r="AQ1665" s="542" t="str">
        <f t="shared" si="387"/>
        <v>无定金+无預留客戶</v>
      </c>
      <c r="AR1665" s="259" t="str">
        <f t="shared" si="396"/>
        <v/>
      </c>
      <c r="AS1665" s="259" t="str">
        <f t="shared" si="397"/>
        <v/>
      </c>
      <c r="AT1665" s="259" t="b">
        <f t="shared" si="388"/>
        <v>0</v>
      </c>
      <c r="AU1665" s="259" t="b">
        <f t="shared" si="389"/>
        <v>0</v>
      </c>
      <c r="AV1665" s="259" t="str">
        <f t="shared" si="390"/>
        <v>-</v>
      </c>
    </row>
    <row r="1666" spans="41:48">
      <c r="AO1666" s="824" t="str">
        <f t="shared" ref="AO1666:AO1729" si="398">IFERROR(IF(Y1666&lt;&gt;"",Y1666,"No"),"No")</f>
        <v>No</v>
      </c>
      <c r="AP1666" s="259" t="str">
        <f t="shared" si="395"/>
        <v>blank</v>
      </c>
      <c r="AQ1666" s="542" t="str">
        <f t="shared" si="387"/>
        <v>无定金+无預留客戶</v>
      </c>
      <c r="AR1666" s="259" t="str">
        <f t="shared" si="396"/>
        <v/>
      </c>
      <c r="AS1666" s="259" t="str">
        <f t="shared" si="397"/>
        <v/>
      </c>
      <c r="AT1666" s="259" t="b">
        <f t="shared" ref="AT1666:AT1729" si="399">IFERROR(IF(R1666&lt;&gt;"",R1666),"-")</f>
        <v>0</v>
      </c>
      <c r="AU1666" s="259" t="b">
        <f t="shared" ref="AU1666:AU1729" si="400">IFERROR(IF(Q1666&lt;&gt;"",Q1666),"-")</f>
        <v>0</v>
      </c>
      <c r="AV1666" s="259" t="str">
        <f t="shared" ref="AV1666:AV1729" si="401">IF(L1666="","-",TEXT(L1666,"mmm-dd"))</f>
        <v>-</v>
      </c>
    </row>
    <row r="1667" spans="41:48">
      <c r="AO1667" s="824" t="str">
        <f t="shared" si="398"/>
        <v>No</v>
      </c>
      <c r="AP1667" s="259" t="str">
        <f t="shared" si="395"/>
        <v>blank</v>
      </c>
      <c r="AQ1667" s="542" t="str">
        <f t="shared" ref="AQ1667:AQ1730" si="402">IFERROR(IF(AND(AO1667="Yes", AP1667&lt;&gt;"blank"), "有定金+有預留客戶", IF(AND(AO1667="Yes", AP1667="blank"), "有定金+无客戶送貨期", IF(AND(OR(AO1667="No", ISBLANK(AO1667), AO1667="NA"), AP1667&lt;&gt;"blank"), "无定金+有預留客戶", IF(AND(OR(AO1667="No", ISBLANK(AO1667), AO1667="NA"), AP1667="blank"), "无定金+无預留客戶", "")))), "")</f>
        <v>无定金+无預留客戶</v>
      </c>
      <c r="AR1667" s="259" t="str">
        <f t="shared" si="396"/>
        <v/>
      </c>
      <c r="AS1667" s="259" t="str">
        <f t="shared" si="397"/>
        <v/>
      </c>
      <c r="AT1667" s="259" t="b">
        <f t="shared" si="399"/>
        <v>0</v>
      </c>
      <c r="AU1667" s="259" t="b">
        <f t="shared" si="400"/>
        <v>0</v>
      </c>
      <c r="AV1667" s="259" t="str">
        <f t="shared" si="401"/>
        <v>-</v>
      </c>
    </row>
    <row r="1668" spans="41:48">
      <c r="AO1668" s="824" t="str">
        <f t="shared" si="398"/>
        <v>No</v>
      </c>
      <c r="AP1668" s="259" t="str">
        <f t="shared" si="395"/>
        <v>blank</v>
      </c>
      <c r="AQ1668" s="542" t="str">
        <f t="shared" si="402"/>
        <v>无定金+无預留客戶</v>
      </c>
      <c r="AR1668" s="259" t="str">
        <f t="shared" si="396"/>
        <v/>
      </c>
      <c r="AS1668" s="259" t="str">
        <f t="shared" si="397"/>
        <v/>
      </c>
      <c r="AT1668" s="259" t="b">
        <f t="shared" si="399"/>
        <v>0</v>
      </c>
      <c r="AU1668" s="259" t="b">
        <f t="shared" si="400"/>
        <v>0</v>
      </c>
      <c r="AV1668" s="259" t="str">
        <f t="shared" si="401"/>
        <v>-</v>
      </c>
    </row>
    <row r="1669" spans="41:48">
      <c r="AO1669" s="824" t="str">
        <f t="shared" si="398"/>
        <v>No</v>
      </c>
      <c r="AP1669" s="259" t="str">
        <f t="shared" si="395"/>
        <v>blank</v>
      </c>
      <c r="AQ1669" s="542" t="str">
        <f t="shared" si="402"/>
        <v>无定金+无預留客戶</v>
      </c>
      <c r="AR1669" s="259" t="str">
        <f t="shared" si="396"/>
        <v/>
      </c>
      <c r="AS1669" s="259" t="str">
        <f t="shared" si="397"/>
        <v/>
      </c>
      <c r="AT1669" s="259" t="b">
        <f t="shared" si="399"/>
        <v>0</v>
      </c>
      <c r="AU1669" s="259" t="b">
        <f t="shared" si="400"/>
        <v>0</v>
      </c>
      <c r="AV1669" s="259" t="str">
        <f t="shared" si="401"/>
        <v>-</v>
      </c>
    </row>
    <row r="1670" spans="41:48">
      <c r="AO1670" s="824" t="str">
        <f t="shared" si="398"/>
        <v>No</v>
      </c>
      <c r="AP1670" s="259" t="str">
        <f t="shared" ref="AP1670:AP1733" si="403">IFERROR(IF(N1670&lt;&gt;"",N1670,"blank"),"NA")</f>
        <v>blank</v>
      </c>
      <c r="AQ1670" s="542" t="str">
        <f t="shared" si="402"/>
        <v>无定金+无預留客戶</v>
      </c>
      <c r="AR1670" s="259" t="str">
        <f t="shared" si="396"/>
        <v/>
      </c>
      <c r="AS1670" s="259" t="str">
        <f t="shared" si="397"/>
        <v/>
      </c>
      <c r="AT1670" s="259" t="b">
        <f t="shared" si="399"/>
        <v>0</v>
      </c>
      <c r="AU1670" s="259" t="b">
        <f t="shared" si="400"/>
        <v>0</v>
      </c>
      <c r="AV1670" s="259" t="str">
        <f t="shared" si="401"/>
        <v>-</v>
      </c>
    </row>
    <row r="1671" spans="41:48">
      <c r="AO1671" s="824" t="str">
        <f t="shared" si="398"/>
        <v>No</v>
      </c>
      <c r="AP1671" s="259" t="str">
        <f t="shared" si="403"/>
        <v>blank</v>
      </c>
      <c r="AQ1671" s="542" t="str">
        <f t="shared" si="402"/>
        <v>无定金+无預留客戶</v>
      </c>
      <c r="AR1671" s="259" t="str">
        <f t="shared" si="396"/>
        <v/>
      </c>
      <c r="AS1671" s="259" t="str">
        <f t="shared" si="397"/>
        <v/>
      </c>
      <c r="AT1671" s="259" t="b">
        <f t="shared" si="399"/>
        <v>0</v>
      </c>
      <c r="AU1671" s="259" t="b">
        <f t="shared" si="400"/>
        <v>0</v>
      </c>
      <c r="AV1671" s="259" t="str">
        <f t="shared" si="401"/>
        <v>-</v>
      </c>
    </row>
    <row r="1672" spans="41:48">
      <c r="AO1672" s="824" t="str">
        <f t="shared" si="398"/>
        <v>No</v>
      </c>
      <c r="AP1672" s="259" t="str">
        <f t="shared" si="403"/>
        <v>blank</v>
      </c>
      <c r="AQ1672" s="542" t="str">
        <f t="shared" si="402"/>
        <v>无定金+无預留客戶</v>
      </c>
      <c r="AR1672" s="259" t="str">
        <f t="shared" si="396"/>
        <v/>
      </c>
      <c r="AS1672" s="259" t="str">
        <f t="shared" si="397"/>
        <v/>
      </c>
      <c r="AT1672" s="259" t="b">
        <f t="shared" si="399"/>
        <v>0</v>
      </c>
      <c r="AU1672" s="259" t="b">
        <f t="shared" si="400"/>
        <v>0</v>
      </c>
      <c r="AV1672" s="259" t="str">
        <f t="shared" si="401"/>
        <v>-</v>
      </c>
    </row>
    <row r="1673" spans="41:48">
      <c r="AO1673" s="824" t="str">
        <f t="shared" si="398"/>
        <v>No</v>
      </c>
      <c r="AP1673" s="259" t="str">
        <f t="shared" si="403"/>
        <v>blank</v>
      </c>
      <c r="AQ1673" s="542" t="str">
        <f t="shared" si="402"/>
        <v>无定金+无預留客戶</v>
      </c>
      <c r="AR1673" s="259" t="str">
        <f t="shared" si="396"/>
        <v/>
      </c>
      <c r="AS1673" s="259" t="str">
        <f t="shared" si="397"/>
        <v/>
      </c>
      <c r="AT1673" s="259" t="b">
        <f t="shared" si="399"/>
        <v>0</v>
      </c>
      <c r="AU1673" s="259" t="b">
        <f t="shared" si="400"/>
        <v>0</v>
      </c>
      <c r="AV1673" s="259" t="str">
        <f t="shared" si="401"/>
        <v>-</v>
      </c>
    </row>
    <row r="1674" spans="41:48">
      <c r="AO1674" s="824" t="str">
        <f t="shared" si="398"/>
        <v>No</v>
      </c>
      <c r="AP1674" s="259" t="str">
        <f t="shared" si="403"/>
        <v>blank</v>
      </c>
      <c r="AQ1674" s="542" t="str">
        <f t="shared" si="402"/>
        <v>无定金+无預留客戶</v>
      </c>
      <c r="AR1674" s="259" t="str">
        <f t="shared" si="396"/>
        <v/>
      </c>
      <c r="AS1674" s="259" t="str">
        <f t="shared" si="397"/>
        <v/>
      </c>
      <c r="AT1674" s="259" t="b">
        <f t="shared" si="399"/>
        <v>0</v>
      </c>
      <c r="AU1674" s="259" t="b">
        <f t="shared" si="400"/>
        <v>0</v>
      </c>
      <c r="AV1674" s="259" t="str">
        <f t="shared" si="401"/>
        <v>-</v>
      </c>
    </row>
    <row r="1675" spans="41:48">
      <c r="AO1675" s="824" t="str">
        <f t="shared" si="398"/>
        <v>No</v>
      </c>
      <c r="AP1675" s="259" t="str">
        <f t="shared" si="403"/>
        <v>blank</v>
      </c>
      <c r="AQ1675" s="542" t="str">
        <f t="shared" si="402"/>
        <v>无定金+无預留客戶</v>
      </c>
      <c r="AR1675" s="259" t="str">
        <f t="shared" si="396"/>
        <v/>
      </c>
      <c r="AS1675" s="259" t="str">
        <f t="shared" si="397"/>
        <v/>
      </c>
      <c r="AT1675" s="259" t="b">
        <f t="shared" si="399"/>
        <v>0</v>
      </c>
      <c r="AU1675" s="259" t="b">
        <f t="shared" si="400"/>
        <v>0</v>
      </c>
      <c r="AV1675" s="259" t="str">
        <f t="shared" si="401"/>
        <v>-</v>
      </c>
    </row>
    <row r="1676" spans="41:48">
      <c r="AO1676" s="824" t="str">
        <f t="shared" si="398"/>
        <v>No</v>
      </c>
      <c r="AP1676" s="259" t="str">
        <f t="shared" si="403"/>
        <v>blank</v>
      </c>
      <c r="AQ1676" s="542" t="str">
        <f t="shared" si="402"/>
        <v>无定金+无預留客戶</v>
      </c>
      <c r="AR1676" s="259" t="str">
        <f t="shared" si="396"/>
        <v/>
      </c>
      <c r="AS1676" s="259" t="str">
        <f t="shared" si="397"/>
        <v/>
      </c>
      <c r="AT1676" s="259" t="b">
        <f t="shared" si="399"/>
        <v>0</v>
      </c>
      <c r="AU1676" s="259" t="b">
        <f t="shared" si="400"/>
        <v>0</v>
      </c>
      <c r="AV1676" s="259" t="str">
        <f t="shared" si="401"/>
        <v>-</v>
      </c>
    </row>
    <row r="1677" spans="41:48">
      <c r="AO1677" s="824" t="str">
        <f t="shared" si="398"/>
        <v>No</v>
      </c>
      <c r="AP1677" s="259" t="str">
        <f t="shared" si="403"/>
        <v>blank</v>
      </c>
      <c r="AQ1677" s="542" t="str">
        <f t="shared" si="402"/>
        <v>无定金+无預留客戶</v>
      </c>
      <c r="AR1677" s="259" t="str">
        <f t="shared" si="396"/>
        <v/>
      </c>
      <c r="AS1677" s="259" t="str">
        <f t="shared" si="397"/>
        <v/>
      </c>
      <c r="AT1677" s="259" t="b">
        <f t="shared" si="399"/>
        <v>0</v>
      </c>
      <c r="AU1677" s="259" t="b">
        <f t="shared" si="400"/>
        <v>0</v>
      </c>
      <c r="AV1677" s="259" t="str">
        <f t="shared" si="401"/>
        <v>-</v>
      </c>
    </row>
    <row r="1678" spans="41:48">
      <c r="AO1678" s="824" t="str">
        <f t="shared" si="398"/>
        <v>No</v>
      </c>
      <c r="AP1678" s="259" t="str">
        <f t="shared" si="403"/>
        <v>blank</v>
      </c>
      <c r="AQ1678" s="542" t="str">
        <f t="shared" si="402"/>
        <v>无定金+无預留客戶</v>
      </c>
      <c r="AR1678" s="259" t="str">
        <f t="shared" si="396"/>
        <v/>
      </c>
      <c r="AS1678" s="259" t="str">
        <f t="shared" si="397"/>
        <v/>
      </c>
      <c r="AT1678" s="259" t="b">
        <f t="shared" si="399"/>
        <v>0</v>
      </c>
      <c r="AU1678" s="259" t="b">
        <f t="shared" si="400"/>
        <v>0</v>
      </c>
      <c r="AV1678" s="259" t="str">
        <f t="shared" si="401"/>
        <v>-</v>
      </c>
    </row>
    <row r="1679" spans="41:48">
      <c r="AO1679" s="824" t="str">
        <f t="shared" si="398"/>
        <v>No</v>
      </c>
      <c r="AP1679" s="259" t="str">
        <f t="shared" si="403"/>
        <v>blank</v>
      </c>
      <c r="AQ1679" s="542" t="str">
        <f t="shared" si="402"/>
        <v>无定金+无預留客戶</v>
      </c>
      <c r="AR1679" s="259" t="str">
        <f t="shared" si="396"/>
        <v/>
      </c>
      <c r="AS1679" s="259" t="str">
        <f t="shared" si="397"/>
        <v/>
      </c>
      <c r="AT1679" s="259" t="b">
        <f t="shared" si="399"/>
        <v>0</v>
      </c>
      <c r="AU1679" s="259" t="b">
        <f t="shared" si="400"/>
        <v>0</v>
      </c>
      <c r="AV1679" s="259" t="str">
        <f t="shared" si="401"/>
        <v>-</v>
      </c>
    </row>
    <row r="1680" spans="41:48">
      <c r="AO1680" s="824" t="str">
        <f t="shared" si="398"/>
        <v>No</v>
      </c>
      <c r="AP1680" s="259" t="str">
        <f t="shared" si="403"/>
        <v>blank</v>
      </c>
      <c r="AQ1680" s="542" t="str">
        <f t="shared" si="402"/>
        <v>无定金+无預留客戶</v>
      </c>
      <c r="AR1680" s="259" t="str">
        <f t="shared" si="396"/>
        <v/>
      </c>
      <c r="AS1680" s="259" t="str">
        <f t="shared" si="397"/>
        <v/>
      </c>
      <c r="AT1680" s="259" t="b">
        <f t="shared" si="399"/>
        <v>0</v>
      </c>
      <c r="AU1680" s="259" t="b">
        <f t="shared" si="400"/>
        <v>0</v>
      </c>
      <c r="AV1680" s="259" t="str">
        <f t="shared" si="401"/>
        <v>-</v>
      </c>
    </row>
    <row r="1681" spans="41:48">
      <c r="AO1681" s="824" t="str">
        <f t="shared" si="398"/>
        <v>No</v>
      </c>
      <c r="AP1681" s="259" t="str">
        <f t="shared" si="403"/>
        <v>blank</v>
      </c>
      <c r="AQ1681" s="542" t="str">
        <f t="shared" si="402"/>
        <v>无定金+无預留客戶</v>
      </c>
      <c r="AR1681" s="259" t="str">
        <f t="shared" si="396"/>
        <v/>
      </c>
      <c r="AS1681" s="259" t="str">
        <f t="shared" si="397"/>
        <v/>
      </c>
      <c r="AT1681" s="259" t="b">
        <f t="shared" si="399"/>
        <v>0</v>
      </c>
      <c r="AU1681" s="259" t="b">
        <f t="shared" si="400"/>
        <v>0</v>
      </c>
      <c r="AV1681" s="259" t="str">
        <f t="shared" si="401"/>
        <v>-</v>
      </c>
    </row>
    <row r="1682" spans="41:48">
      <c r="AO1682" s="824" t="str">
        <f t="shared" si="398"/>
        <v>No</v>
      </c>
      <c r="AP1682" s="259" t="str">
        <f t="shared" si="403"/>
        <v>blank</v>
      </c>
      <c r="AQ1682" s="542" t="str">
        <f t="shared" si="402"/>
        <v>无定金+无預留客戶</v>
      </c>
      <c r="AR1682" s="259" t="str">
        <f t="shared" si="396"/>
        <v/>
      </c>
      <c r="AS1682" s="259" t="str">
        <f t="shared" si="397"/>
        <v/>
      </c>
      <c r="AT1682" s="259" t="b">
        <f t="shared" si="399"/>
        <v>0</v>
      </c>
      <c r="AU1682" s="259" t="b">
        <f t="shared" si="400"/>
        <v>0</v>
      </c>
      <c r="AV1682" s="259" t="str">
        <f t="shared" si="401"/>
        <v>-</v>
      </c>
    </row>
    <row r="1683" spans="41:48">
      <c r="AO1683" s="824" t="str">
        <f t="shared" si="398"/>
        <v>No</v>
      </c>
      <c r="AP1683" s="259" t="str">
        <f t="shared" si="403"/>
        <v>blank</v>
      </c>
      <c r="AQ1683" s="542" t="str">
        <f t="shared" si="402"/>
        <v>无定金+无預留客戶</v>
      </c>
      <c r="AR1683" s="259" t="str">
        <f t="shared" si="396"/>
        <v/>
      </c>
      <c r="AS1683" s="259" t="str">
        <f t="shared" si="397"/>
        <v/>
      </c>
      <c r="AT1683" s="259" t="b">
        <f t="shared" si="399"/>
        <v>0</v>
      </c>
      <c r="AU1683" s="259" t="b">
        <f t="shared" si="400"/>
        <v>0</v>
      </c>
      <c r="AV1683" s="259" t="str">
        <f t="shared" si="401"/>
        <v>-</v>
      </c>
    </row>
    <row r="1684" spans="41:48">
      <c r="AO1684" s="824" t="str">
        <f t="shared" si="398"/>
        <v>No</v>
      </c>
      <c r="AP1684" s="259" t="str">
        <f t="shared" si="403"/>
        <v>blank</v>
      </c>
      <c r="AQ1684" s="542" t="str">
        <f t="shared" si="402"/>
        <v>无定金+无預留客戶</v>
      </c>
      <c r="AR1684" s="259" t="str">
        <f t="shared" si="396"/>
        <v/>
      </c>
      <c r="AS1684" s="259" t="str">
        <f t="shared" si="397"/>
        <v/>
      </c>
      <c r="AT1684" s="259" t="b">
        <f t="shared" si="399"/>
        <v>0</v>
      </c>
      <c r="AU1684" s="259" t="b">
        <f t="shared" si="400"/>
        <v>0</v>
      </c>
      <c r="AV1684" s="259" t="str">
        <f t="shared" si="401"/>
        <v>-</v>
      </c>
    </row>
    <row r="1685" spans="41:48">
      <c r="AO1685" s="824" t="str">
        <f t="shared" si="398"/>
        <v>No</v>
      </c>
      <c r="AP1685" s="259" t="str">
        <f t="shared" si="403"/>
        <v>blank</v>
      </c>
      <c r="AQ1685" s="542" t="str">
        <f t="shared" si="402"/>
        <v>无定金+无預留客戶</v>
      </c>
      <c r="AR1685" s="259" t="str">
        <f t="shared" si="396"/>
        <v/>
      </c>
      <c r="AS1685" s="259" t="str">
        <f t="shared" si="397"/>
        <v/>
      </c>
      <c r="AT1685" s="259" t="b">
        <f t="shared" si="399"/>
        <v>0</v>
      </c>
      <c r="AU1685" s="259" t="b">
        <f t="shared" si="400"/>
        <v>0</v>
      </c>
      <c r="AV1685" s="259" t="str">
        <f t="shared" si="401"/>
        <v>-</v>
      </c>
    </row>
    <row r="1686" spans="41:48">
      <c r="AO1686" s="824" t="str">
        <f t="shared" si="398"/>
        <v>No</v>
      </c>
      <c r="AP1686" s="259" t="str">
        <f t="shared" si="403"/>
        <v>blank</v>
      </c>
      <c r="AQ1686" s="542" t="str">
        <f t="shared" si="402"/>
        <v>无定金+无預留客戶</v>
      </c>
      <c r="AR1686" s="259" t="str">
        <f t="shared" si="396"/>
        <v/>
      </c>
      <c r="AS1686" s="259" t="str">
        <f t="shared" si="397"/>
        <v/>
      </c>
      <c r="AT1686" s="259" t="b">
        <f t="shared" si="399"/>
        <v>0</v>
      </c>
      <c r="AU1686" s="259" t="b">
        <f t="shared" si="400"/>
        <v>0</v>
      </c>
      <c r="AV1686" s="259" t="str">
        <f t="shared" si="401"/>
        <v>-</v>
      </c>
    </row>
    <row r="1687" spans="41:48">
      <c r="AO1687" s="824" t="str">
        <f t="shared" si="398"/>
        <v>No</v>
      </c>
      <c r="AP1687" s="259" t="str">
        <f t="shared" si="403"/>
        <v>blank</v>
      </c>
      <c r="AQ1687" s="542" t="str">
        <f t="shared" si="402"/>
        <v>无定金+无預留客戶</v>
      </c>
      <c r="AR1687" s="259" t="str">
        <f t="shared" si="396"/>
        <v/>
      </c>
      <c r="AS1687" s="259" t="str">
        <f t="shared" si="397"/>
        <v/>
      </c>
      <c r="AT1687" s="259" t="b">
        <f t="shared" si="399"/>
        <v>0</v>
      </c>
      <c r="AU1687" s="259" t="b">
        <f t="shared" si="400"/>
        <v>0</v>
      </c>
      <c r="AV1687" s="259" t="str">
        <f t="shared" si="401"/>
        <v>-</v>
      </c>
    </row>
    <row r="1688" spans="41:48">
      <c r="AO1688" s="824" t="str">
        <f t="shared" si="398"/>
        <v>No</v>
      </c>
      <c r="AP1688" s="259" t="str">
        <f t="shared" si="403"/>
        <v>blank</v>
      </c>
      <c r="AQ1688" s="542" t="str">
        <f t="shared" si="402"/>
        <v>无定金+无預留客戶</v>
      </c>
      <c r="AR1688" s="259" t="str">
        <f t="shared" si="396"/>
        <v/>
      </c>
      <c r="AS1688" s="259" t="str">
        <f t="shared" si="397"/>
        <v/>
      </c>
      <c r="AT1688" s="259" t="b">
        <f t="shared" si="399"/>
        <v>0</v>
      </c>
      <c r="AU1688" s="259" t="b">
        <f t="shared" si="400"/>
        <v>0</v>
      </c>
      <c r="AV1688" s="259" t="str">
        <f t="shared" si="401"/>
        <v>-</v>
      </c>
    </row>
    <row r="1689" spans="41:48">
      <c r="AO1689" s="824" t="str">
        <f t="shared" si="398"/>
        <v>No</v>
      </c>
      <c r="AP1689" s="259" t="str">
        <f t="shared" si="403"/>
        <v>blank</v>
      </c>
      <c r="AQ1689" s="542" t="str">
        <f t="shared" si="402"/>
        <v>无定金+无預留客戶</v>
      </c>
      <c r="AR1689" s="259" t="str">
        <f t="shared" si="396"/>
        <v/>
      </c>
      <c r="AS1689" s="259" t="str">
        <f t="shared" si="397"/>
        <v/>
      </c>
      <c r="AT1689" s="259" t="b">
        <f t="shared" si="399"/>
        <v>0</v>
      </c>
      <c r="AU1689" s="259" t="b">
        <f t="shared" si="400"/>
        <v>0</v>
      </c>
      <c r="AV1689" s="259" t="str">
        <f t="shared" si="401"/>
        <v>-</v>
      </c>
    </row>
    <row r="1690" spans="41:48">
      <c r="AO1690" s="824" t="str">
        <f t="shared" si="398"/>
        <v>No</v>
      </c>
      <c r="AP1690" s="259" t="str">
        <f t="shared" si="403"/>
        <v>blank</v>
      </c>
      <c r="AQ1690" s="542" t="str">
        <f t="shared" si="402"/>
        <v>无定金+无預留客戶</v>
      </c>
      <c r="AR1690" s="259" t="str">
        <f t="shared" si="396"/>
        <v/>
      </c>
      <c r="AS1690" s="259" t="str">
        <f t="shared" si="397"/>
        <v/>
      </c>
      <c r="AT1690" s="259" t="b">
        <f t="shared" si="399"/>
        <v>0</v>
      </c>
      <c r="AU1690" s="259" t="b">
        <f t="shared" si="400"/>
        <v>0</v>
      </c>
      <c r="AV1690" s="259" t="str">
        <f t="shared" si="401"/>
        <v>-</v>
      </c>
    </row>
    <row r="1691" spans="41:48">
      <c r="AO1691" s="824" t="str">
        <f t="shared" si="398"/>
        <v>No</v>
      </c>
      <c r="AP1691" s="259" t="str">
        <f t="shared" si="403"/>
        <v>blank</v>
      </c>
      <c r="AQ1691" s="542" t="str">
        <f t="shared" si="402"/>
        <v>无定金+无預留客戶</v>
      </c>
      <c r="AR1691" s="259" t="str">
        <f t="shared" si="396"/>
        <v/>
      </c>
      <c r="AS1691" s="259" t="str">
        <f t="shared" si="397"/>
        <v/>
      </c>
      <c r="AT1691" s="259" t="b">
        <f t="shared" si="399"/>
        <v>0</v>
      </c>
      <c r="AU1691" s="259" t="b">
        <f t="shared" si="400"/>
        <v>0</v>
      </c>
      <c r="AV1691" s="259" t="str">
        <f t="shared" si="401"/>
        <v>-</v>
      </c>
    </row>
    <row r="1692" spans="41:48">
      <c r="AO1692" s="824" t="str">
        <f t="shared" si="398"/>
        <v>No</v>
      </c>
      <c r="AP1692" s="259" t="str">
        <f t="shared" si="403"/>
        <v>blank</v>
      </c>
      <c r="AQ1692" s="542" t="str">
        <f t="shared" si="402"/>
        <v>无定金+无預留客戶</v>
      </c>
      <c r="AR1692" s="259" t="str">
        <f t="shared" si="396"/>
        <v/>
      </c>
      <c r="AS1692" s="259" t="str">
        <f t="shared" si="397"/>
        <v/>
      </c>
      <c r="AT1692" s="259" t="b">
        <f t="shared" si="399"/>
        <v>0</v>
      </c>
      <c r="AU1692" s="259" t="b">
        <f t="shared" si="400"/>
        <v>0</v>
      </c>
      <c r="AV1692" s="259" t="str">
        <f t="shared" si="401"/>
        <v>-</v>
      </c>
    </row>
    <row r="1693" spans="41:48">
      <c r="AO1693" s="824" t="str">
        <f t="shared" si="398"/>
        <v>No</v>
      </c>
      <c r="AP1693" s="259" t="str">
        <f t="shared" si="403"/>
        <v>blank</v>
      </c>
      <c r="AQ1693" s="542" t="str">
        <f t="shared" si="402"/>
        <v>无定金+无預留客戶</v>
      </c>
      <c r="AR1693" s="259" t="str">
        <f t="shared" si="396"/>
        <v/>
      </c>
      <c r="AS1693" s="259" t="str">
        <f t="shared" si="397"/>
        <v/>
      </c>
      <c r="AT1693" s="259" t="b">
        <f t="shared" si="399"/>
        <v>0</v>
      </c>
      <c r="AU1693" s="259" t="b">
        <f t="shared" si="400"/>
        <v>0</v>
      </c>
      <c r="AV1693" s="259" t="str">
        <f t="shared" si="401"/>
        <v>-</v>
      </c>
    </row>
    <row r="1694" spans="41:48">
      <c r="AO1694" s="824" t="str">
        <f t="shared" si="398"/>
        <v>No</v>
      </c>
      <c r="AP1694" s="259" t="str">
        <f t="shared" si="403"/>
        <v>blank</v>
      </c>
      <c r="AQ1694" s="542" t="str">
        <f t="shared" si="402"/>
        <v>无定金+无預留客戶</v>
      </c>
      <c r="AR1694" s="259" t="str">
        <f t="shared" si="396"/>
        <v/>
      </c>
      <c r="AS1694" s="259" t="str">
        <f t="shared" si="397"/>
        <v/>
      </c>
      <c r="AT1694" s="259" t="b">
        <f t="shared" si="399"/>
        <v>0</v>
      </c>
      <c r="AU1694" s="259" t="b">
        <f t="shared" si="400"/>
        <v>0</v>
      </c>
      <c r="AV1694" s="259" t="str">
        <f t="shared" si="401"/>
        <v>-</v>
      </c>
    </row>
    <row r="1695" spans="41:48">
      <c r="AO1695" s="824" t="str">
        <f t="shared" si="398"/>
        <v>No</v>
      </c>
      <c r="AP1695" s="259" t="str">
        <f t="shared" si="403"/>
        <v>blank</v>
      </c>
      <c r="AQ1695" s="542" t="str">
        <f t="shared" si="402"/>
        <v>无定金+无預留客戶</v>
      </c>
      <c r="AR1695" s="259" t="str">
        <f t="shared" si="396"/>
        <v/>
      </c>
      <c r="AS1695" s="259" t="str">
        <f t="shared" si="397"/>
        <v/>
      </c>
      <c r="AT1695" s="259" t="b">
        <f t="shared" si="399"/>
        <v>0</v>
      </c>
      <c r="AU1695" s="259" t="b">
        <f t="shared" si="400"/>
        <v>0</v>
      </c>
      <c r="AV1695" s="259" t="str">
        <f t="shared" si="401"/>
        <v>-</v>
      </c>
    </row>
    <row r="1696" spans="41:48">
      <c r="AO1696" s="824" t="str">
        <f t="shared" si="398"/>
        <v>No</v>
      </c>
      <c r="AP1696" s="259" t="str">
        <f t="shared" si="403"/>
        <v>blank</v>
      </c>
      <c r="AQ1696" s="542" t="str">
        <f t="shared" si="402"/>
        <v>无定金+无預留客戶</v>
      </c>
      <c r="AR1696" s="259" t="str">
        <f t="shared" si="396"/>
        <v/>
      </c>
      <c r="AS1696" s="259" t="str">
        <f t="shared" si="397"/>
        <v/>
      </c>
      <c r="AT1696" s="259" t="b">
        <f t="shared" si="399"/>
        <v>0</v>
      </c>
      <c r="AU1696" s="259" t="b">
        <f t="shared" si="400"/>
        <v>0</v>
      </c>
      <c r="AV1696" s="259" t="str">
        <f t="shared" si="401"/>
        <v>-</v>
      </c>
    </row>
    <row r="1697" spans="41:48">
      <c r="AO1697" s="824" t="str">
        <f t="shared" si="398"/>
        <v>No</v>
      </c>
      <c r="AP1697" s="259" t="str">
        <f t="shared" si="403"/>
        <v>blank</v>
      </c>
      <c r="AQ1697" s="542" t="str">
        <f t="shared" si="402"/>
        <v>无定金+无預留客戶</v>
      </c>
      <c r="AR1697" s="259" t="str">
        <f t="shared" si="396"/>
        <v/>
      </c>
      <c r="AS1697" s="259" t="str">
        <f t="shared" si="397"/>
        <v/>
      </c>
      <c r="AT1697" s="259" t="b">
        <f t="shared" si="399"/>
        <v>0</v>
      </c>
      <c r="AU1697" s="259" t="b">
        <f t="shared" si="400"/>
        <v>0</v>
      </c>
      <c r="AV1697" s="259" t="str">
        <f t="shared" si="401"/>
        <v>-</v>
      </c>
    </row>
    <row r="1698" spans="41:48">
      <c r="AO1698" s="824" t="str">
        <f t="shared" si="398"/>
        <v>No</v>
      </c>
      <c r="AP1698" s="259" t="str">
        <f t="shared" si="403"/>
        <v>blank</v>
      </c>
      <c r="AQ1698" s="542" t="str">
        <f t="shared" si="402"/>
        <v>无定金+无預留客戶</v>
      </c>
      <c r="AR1698" s="259" t="str">
        <f t="shared" si="396"/>
        <v/>
      </c>
      <c r="AS1698" s="259" t="str">
        <f t="shared" si="397"/>
        <v/>
      </c>
      <c r="AT1698" s="259" t="b">
        <f t="shared" si="399"/>
        <v>0</v>
      </c>
      <c r="AU1698" s="259" t="b">
        <f t="shared" si="400"/>
        <v>0</v>
      </c>
      <c r="AV1698" s="259" t="str">
        <f t="shared" si="401"/>
        <v>-</v>
      </c>
    </row>
    <row r="1699" spans="41:48">
      <c r="AO1699" s="824" t="str">
        <f t="shared" si="398"/>
        <v>No</v>
      </c>
      <c r="AP1699" s="259" t="str">
        <f t="shared" si="403"/>
        <v>blank</v>
      </c>
      <c r="AQ1699" s="542" t="str">
        <f t="shared" si="402"/>
        <v>无定金+无預留客戶</v>
      </c>
      <c r="AR1699" s="259" t="str">
        <f t="shared" si="396"/>
        <v/>
      </c>
      <c r="AS1699" s="259" t="str">
        <f t="shared" si="397"/>
        <v/>
      </c>
      <c r="AT1699" s="259" t="b">
        <f t="shared" si="399"/>
        <v>0</v>
      </c>
      <c r="AU1699" s="259" t="b">
        <f t="shared" si="400"/>
        <v>0</v>
      </c>
      <c r="AV1699" s="259" t="str">
        <f t="shared" si="401"/>
        <v>-</v>
      </c>
    </row>
    <row r="1700" spans="41:48">
      <c r="AO1700" s="824" t="str">
        <f t="shared" si="398"/>
        <v>No</v>
      </c>
      <c r="AP1700" s="259" t="str">
        <f t="shared" si="403"/>
        <v>blank</v>
      </c>
      <c r="AQ1700" s="542" t="str">
        <f t="shared" si="402"/>
        <v>无定金+无預留客戶</v>
      </c>
      <c r="AR1700" s="259" t="str">
        <f t="shared" si="396"/>
        <v/>
      </c>
      <c r="AS1700" s="259" t="str">
        <f t="shared" si="397"/>
        <v/>
      </c>
      <c r="AT1700" s="259" t="b">
        <f t="shared" si="399"/>
        <v>0</v>
      </c>
      <c r="AU1700" s="259" t="b">
        <f t="shared" si="400"/>
        <v>0</v>
      </c>
      <c r="AV1700" s="259" t="str">
        <f t="shared" si="401"/>
        <v>-</v>
      </c>
    </row>
    <row r="1701" spans="41:48">
      <c r="AO1701" s="824" t="str">
        <f t="shared" si="398"/>
        <v>No</v>
      </c>
      <c r="AP1701" s="259" t="str">
        <f t="shared" si="403"/>
        <v>blank</v>
      </c>
      <c r="AQ1701" s="542" t="str">
        <f t="shared" si="402"/>
        <v>无定金+无預留客戶</v>
      </c>
      <c r="AR1701" s="259" t="str">
        <f t="shared" si="396"/>
        <v/>
      </c>
      <c r="AS1701" s="259" t="str">
        <f t="shared" si="397"/>
        <v/>
      </c>
      <c r="AT1701" s="259" t="b">
        <f t="shared" si="399"/>
        <v>0</v>
      </c>
      <c r="AU1701" s="259" t="b">
        <f t="shared" si="400"/>
        <v>0</v>
      </c>
      <c r="AV1701" s="259" t="str">
        <f t="shared" si="401"/>
        <v>-</v>
      </c>
    </row>
    <row r="1702" spans="41:48">
      <c r="AO1702" s="824" t="str">
        <f t="shared" si="398"/>
        <v>No</v>
      </c>
      <c r="AP1702" s="259" t="str">
        <f t="shared" si="403"/>
        <v>blank</v>
      </c>
      <c r="AQ1702" s="542" t="str">
        <f t="shared" si="402"/>
        <v>无定金+无預留客戶</v>
      </c>
      <c r="AR1702" s="259" t="str">
        <f t="shared" si="396"/>
        <v/>
      </c>
      <c r="AS1702" s="259" t="str">
        <f t="shared" si="397"/>
        <v/>
      </c>
      <c r="AT1702" s="259" t="b">
        <f t="shared" si="399"/>
        <v>0</v>
      </c>
      <c r="AU1702" s="259" t="b">
        <f t="shared" si="400"/>
        <v>0</v>
      </c>
      <c r="AV1702" s="259" t="str">
        <f t="shared" si="401"/>
        <v>-</v>
      </c>
    </row>
    <row r="1703" spans="41:48">
      <c r="AO1703" s="824" t="str">
        <f t="shared" si="398"/>
        <v>No</v>
      </c>
      <c r="AP1703" s="259" t="str">
        <f t="shared" si="403"/>
        <v>blank</v>
      </c>
      <c r="AQ1703" s="542" t="str">
        <f t="shared" si="402"/>
        <v>无定金+无預留客戶</v>
      </c>
      <c r="AR1703" s="259" t="str">
        <f t="shared" si="396"/>
        <v/>
      </c>
      <c r="AS1703" s="259" t="str">
        <f t="shared" si="397"/>
        <v/>
      </c>
      <c r="AT1703" s="259" t="b">
        <f t="shared" si="399"/>
        <v>0</v>
      </c>
      <c r="AU1703" s="259" t="b">
        <f t="shared" si="400"/>
        <v>0</v>
      </c>
      <c r="AV1703" s="259" t="str">
        <f t="shared" si="401"/>
        <v>-</v>
      </c>
    </row>
    <row r="1704" spans="41:48">
      <c r="AO1704" s="824" t="str">
        <f t="shared" si="398"/>
        <v>No</v>
      </c>
      <c r="AP1704" s="259" t="str">
        <f t="shared" si="403"/>
        <v>blank</v>
      </c>
      <c r="AQ1704" s="542" t="str">
        <f t="shared" si="402"/>
        <v>无定金+无預留客戶</v>
      </c>
      <c r="AR1704" s="259" t="str">
        <f t="shared" si="396"/>
        <v/>
      </c>
      <c r="AS1704" s="259" t="str">
        <f t="shared" si="397"/>
        <v/>
      </c>
      <c r="AT1704" s="259" t="b">
        <f t="shared" si="399"/>
        <v>0</v>
      </c>
      <c r="AU1704" s="259" t="b">
        <f t="shared" si="400"/>
        <v>0</v>
      </c>
      <c r="AV1704" s="259" t="str">
        <f t="shared" si="401"/>
        <v>-</v>
      </c>
    </row>
    <row r="1705" spans="41:48">
      <c r="AO1705" s="824" t="str">
        <f t="shared" si="398"/>
        <v>No</v>
      </c>
      <c r="AP1705" s="259" t="str">
        <f t="shared" si="403"/>
        <v>blank</v>
      </c>
      <c r="AQ1705" s="542" t="str">
        <f t="shared" si="402"/>
        <v>无定金+无預留客戶</v>
      </c>
      <c r="AR1705" s="259" t="str">
        <f t="shared" si="396"/>
        <v/>
      </c>
      <c r="AS1705" s="259" t="str">
        <f t="shared" si="397"/>
        <v/>
      </c>
      <c r="AT1705" s="259" t="b">
        <f t="shared" si="399"/>
        <v>0</v>
      </c>
      <c r="AU1705" s="259" t="b">
        <f t="shared" si="400"/>
        <v>0</v>
      </c>
      <c r="AV1705" s="259" t="str">
        <f t="shared" si="401"/>
        <v>-</v>
      </c>
    </row>
    <row r="1706" spans="41:48">
      <c r="AO1706" s="824" t="str">
        <f t="shared" si="398"/>
        <v>No</v>
      </c>
      <c r="AP1706" s="259" t="str">
        <f t="shared" si="403"/>
        <v>blank</v>
      </c>
      <c r="AQ1706" s="542" t="str">
        <f t="shared" si="402"/>
        <v>无定金+无預留客戶</v>
      </c>
      <c r="AR1706" s="259" t="str">
        <f t="shared" si="396"/>
        <v/>
      </c>
      <c r="AS1706" s="259" t="str">
        <f t="shared" si="397"/>
        <v/>
      </c>
      <c r="AT1706" s="259" t="b">
        <f t="shared" si="399"/>
        <v>0</v>
      </c>
      <c r="AU1706" s="259" t="b">
        <f t="shared" si="400"/>
        <v>0</v>
      </c>
      <c r="AV1706" s="259" t="str">
        <f t="shared" si="401"/>
        <v>-</v>
      </c>
    </row>
    <row r="1707" spans="41:48">
      <c r="AO1707" s="824" t="str">
        <f t="shared" si="398"/>
        <v>No</v>
      </c>
      <c r="AP1707" s="259" t="str">
        <f t="shared" si="403"/>
        <v>blank</v>
      </c>
      <c r="AQ1707" s="542" t="str">
        <f t="shared" si="402"/>
        <v>无定金+无預留客戶</v>
      </c>
      <c r="AR1707" s="259" t="str">
        <f t="shared" si="396"/>
        <v/>
      </c>
      <c r="AS1707" s="259" t="str">
        <f t="shared" si="397"/>
        <v/>
      </c>
      <c r="AT1707" s="259" t="b">
        <f t="shared" si="399"/>
        <v>0</v>
      </c>
      <c r="AU1707" s="259" t="b">
        <f t="shared" si="400"/>
        <v>0</v>
      </c>
      <c r="AV1707" s="259" t="str">
        <f t="shared" si="401"/>
        <v>-</v>
      </c>
    </row>
    <row r="1708" spans="41:48">
      <c r="AO1708" s="824" t="str">
        <f t="shared" si="398"/>
        <v>No</v>
      </c>
      <c r="AP1708" s="259" t="str">
        <f t="shared" si="403"/>
        <v>blank</v>
      </c>
      <c r="AQ1708" s="542" t="str">
        <f t="shared" si="402"/>
        <v>无定金+无預留客戶</v>
      </c>
      <c r="AR1708" s="259" t="str">
        <f t="shared" si="396"/>
        <v/>
      </c>
      <c r="AS1708" s="259" t="str">
        <f t="shared" si="397"/>
        <v/>
      </c>
      <c r="AT1708" s="259" t="b">
        <f t="shared" si="399"/>
        <v>0</v>
      </c>
      <c r="AU1708" s="259" t="b">
        <f t="shared" si="400"/>
        <v>0</v>
      </c>
      <c r="AV1708" s="259" t="str">
        <f t="shared" si="401"/>
        <v>-</v>
      </c>
    </row>
    <row r="1709" spans="41:48">
      <c r="AO1709" s="824" t="str">
        <f t="shared" si="398"/>
        <v>No</v>
      </c>
      <c r="AP1709" s="259" t="str">
        <f t="shared" si="403"/>
        <v>blank</v>
      </c>
      <c r="AQ1709" s="542" t="str">
        <f t="shared" si="402"/>
        <v>无定金+无預留客戶</v>
      </c>
      <c r="AR1709" s="259" t="str">
        <f t="shared" si="396"/>
        <v/>
      </c>
      <c r="AS1709" s="259" t="str">
        <f t="shared" si="397"/>
        <v/>
      </c>
      <c r="AT1709" s="259" t="b">
        <f t="shared" si="399"/>
        <v>0</v>
      </c>
      <c r="AU1709" s="259" t="b">
        <f t="shared" si="400"/>
        <v>0</v>
      </c>
      <c r="AV1709" s="259" t="str">
        <f t="shared" si="401"/>
        <v>-</v>
      </c>
    </row>
    <row r="1710" spans="41:48">
      <c r="AO1710" s="824" t="str">
        <f t="shared" si="398"/>
        <v>No</v>
      </c>
      <c r="AP1710" s="259" t="str">
        <f t="shared" si="403"/>
        <v>blank</v>
      </c>
      <c r="AQ1710" s="542" t="str">
        <f t="shared" si="402"/>
        <v>无定金+无預留客戶</v>
      </c>
      <c r="AR1710" s="259" t="str">
        <f t="shared" si="396"/>
        <v/>
      </c>
      <c r="AS1710" s="259" t="str">
        <f t="shared" si="397"/>
        <v/>
      </c>
      <c r="AT1710" s="259" t="b">
        <f t="shared" si="399"/>
        <v>0</v>
      </c>
      <c r="AU1710" s="259" t="b">
        <f t="shared" si="400"/>
        <v>0</v>
      </c>
      <c r="AV1710" s="259" t="str">
        <f t="shared" si="401"/>
        <v>-</v>
      </c>
    </row>
    <row r="1711" spans="41:48">
      <c r="AO1711" s="824" t="str">
        <f t="shared" si="398"/>
        <v>No</v>
      </c>
      <c r="AP1711" s="259" t="str">
        <f t="shared" si="403"/>
        <v>blank</v>
      </c>
      <c r="AQ1711" s="542" t="str">
        <f t="shared" si="402"/>
        <v>无定金+无預留客戶</v>
      </c>
      <c r="AR1711" s="259" t="str">
        <f t="shared" si="396"/>
        <v/>
      </c>
      <c r="AS1711" s="259" t="str">
        <f t="shared" si="397"/>
        <v/>
      </c>
      <c r="AT1711" s="259" t="b">
        <f t="shared" si="399"/>
        <v>0</v>
      </c>
      <c r="AU1711" s="259" t="b">
        <f t="shared" si="400"/>
        <v>0</v>
      </c>
      <c r="AV1711" s="259" t="str">
        <f t="shared" si="401"/>
        <v>-</v>
      </c>
    </row>
    <row r="1712" spans="41:48">
      <c r="AO1712" s="824" t="str">
        <f t="shared" si="398"/>
        <v>No</v>
      </c>
      <c r="AP1712" s="259" t="str">
        <f t="shared" si="403"/>
        <v>blank</v>
      </c>
      <c r="AQ1712" s="542" t="str">
        <f t="shared" si="402"/>
        <v>无定金+无預留客戶</v>
      </c>
      <c r="AR1712" s="259" t="str">
        <f t="shared" si="396"/>
        <v/>
      </c>
      <c r="AS1712" s="259" t="str">
        <f t="shared" si="397"/>
        <v/>
      </c>
      <c r="AT1712" s="259" t="b">
        <f t="shared" si="399"/>
        <v>0</v>
      </c>
      <c r="AU1712" s="259" t="b">
        <f t="shared" si="400"/>
        <v>0</v>
      </c>
      <c r="AV1712" s="259" t="str">
        <f t="shared" si="401"/>
        <v>-</v>
      </c>
    </row>
    <row r="1713" spans="41:48">
      <c r="AO1713" s="824" t="str">
        <f t="shared" si="398"/>
        <v>No</v>
      </c>
      <c r="AP1713" s="259" t="str">
        <f t="shared" si="403"/>
        <v>blank</v>
      </c>
      <c r="AQ1713" s="542" t="str">
        <f t="shared" si="402"/>
        <v>无定金+无預留客戶</v>
      </c>
      <c r="AR1713" s="259" t="str">
        <f t="shared" si="396"/>
        <v/>
      </c>
      <c r="AS1713" s="259" t="str">
        <f t="shared" si="397"/>
        <v/>
      </c>
      <c r="AT1713" s="259" t="b">
        <f t="shared" si="399"/>
        <v>0</v>
      </c>
      <c r="AU1713" s="259" t="b">
        <f t="shared" si="400"/>
        <v>0</v>
      </c>
      <c r="AV1713" s="259" t="str">
        <f t="shared" si="401"/>
        <v>-</v>
      </c>
    </row>
    <row r="1714" spans="41:48">
      <c r="AO1714" s="824" t="str">
        <f t="shared" si="398"/>
        <v>No</v>
      </c>
      <c r="AP1714" s="259" t="str">
        <f t="shared" si="403"/>
        <v>blank</v>
      </c>
      <c r="AQ1714" s="542" t="str">
        <f t="shared" si="402"/>
        <v>无定金+无預留客戶</v>
      </c>
      <c r="AR1714" s="259" t="str">
        <f t="shared" si="396"/>
        <v/>
      </c>
      <c r="AS1714" s="259" t="str">
        <f t="shared" si="397"/>
        <v/>
      </c>
      <c r="AT1714" s="259" t="b">
        <f t="shared" si="399"/>
        <v>0</v>
      </c>
      <c r="AU1714" s="259" t="b">
        <f t="shared" si="400"/>
        <v>0</v>
      </c>
      <c r="AV1714" s="259" t="str">
        <f t="shared" si="401"/>
        <v>-</v>
      </c>
    </row>
    <row r="1715" spans="41:48">
      <c r="AO1715" s="824" t="str">
        <f t="shared" si="398"/>
        <v>No</v>
      </c>
      <c r="AP1715" s="259" t="str">
        <f t="shared" si="403"/>
        <v>blank</v>
      </c>
      <c r="AQ1715" s="542" t="str">
        <f t="shared" si="402"/>
        <v>无定金+无預留客戶</v>
      </c>
      <c r="AR1715" s="259" t="str">
        <f t="shared" si="396"/>
        <v/>
      </c>
      <c r="AS1715" s="259" t="str">
        <f t="shared" si="397"/>
        <v/>
      </c>
      <c r="AT1715" s="259" t="b">
        <f t="shared" si="399"/>
        <v>0</v>
      </c>
      <c r="AU1715" s="259" t="b">
        <f t="shared" si="400"/>
        <v>0</v>
      </c>
      <c r="AV1715" s="259" t="str">
        <f t="shared" si="401"/>
        <v>-</v>
      </c>
    </row>
    <row r="1716" spans="41:48">
      <c r="AO1716" s="824" t="str">
        <f t="shared" si="398"/>
        <v>No</v>
      </c>
      <c r="AP1716" s="259" t="str">
        <f t="shared" si="403"/>
        <v>blank</v>
      </c>
      <c r="AQ1716" s="542" t="str">
        <f t="shared" si="402"/>
        <v>无定金+无預留客戶</v>
      </c>
      <c r="AR1716" s="259" t="str">
        <f t="shared" si="396"/>
        <v/>
      </c>
      <c r="AS1716" s="259" t="str">
        <f t="shared" si="397"/>
        <v/>
      </c>
      <c r="AT1716" s="259" t="b">
        <f t="shared" si="399"/>
        <v>0</v>
      </c>
      <c r="AU1716" s="259" t="b">
        <f t="shared" si="400"/>
        <v>0</v>
      </c>
      <c r="AV1716" s="259" t="str">
        <f t="shared" si="401"/>
        <v>-</v>
      </c>
    </row>
    <row r="1717" spans="41:48">
      <c r="AO1717" s="824" t="str">
        <f t="shared" si="398"/>
        <v>No</v>
      </c>
      <c r="AP1717" s="259" t="str">
        <f t="shared" si="403"/>
        <v>blank</v>
      </c>
      <c r="AQ1717" s="542" t="str">
        <f t="shared" si="402"/>
        <v>无定金+无預留客戶</v>
      </c>
      <c r="AR1717" s="259" t="str">
        <f t="shared" si="396"/>
        <v/>
      </c>
      <c r="AS1717" s="259" t="str">
        <f t="shared" si="397"/>
        <v/>
      </c>
      <c r="AT1717" s="259" t="b">
        <f t="shared" si="399"/>
        <v>0</v>
      </c>
      <c r="AU1717" s="259" t="b">
        <f t="shared" si="400"/>
        <v>0</v>
      </c>
      <c r="AV1717" s="259" t="str">
        <f t="shared" si="401"/>
        <v>-</v>
      </c>
    </row>
    <row r="1718" spans="41:48">
      <c r="AO1718" s="824" t="str">
        <f t="shared" si="398"/>
        <v>No</v>
      </c>
      <c r="AP1718" s="259" t="str">
        <f t="shared" si="403"/>
        <v>blank</v>
      </c>
      <c r="AQ1718" s="542" t="str">
        <f t="shared" si="402"/>
        <v>无定金+无預留客戶</v>
      </c>
      <c r="AR1718" s="259" t="str">
        <f t="shared" si="396"/>
        <v/>
      </c>
      <c r="AS1718" s="259" t="str">
        <f t="shared" si="397"/>
        <v/>
      </c>
      <c r="AT1718" s="259" t="b">
        <f t="shared" si="399"/>
        <v>0</v>
      </c>
      <c r="AU1718" s="259" t="b">
        <f t="shared" si="400"/>
        <v>0</v>
      </c>
      <c r="AV1718" s="259" t="str">
        <f t="shared" si="401"/>
        <v>-</v>
      </c>
    </row>
    <row r="1719" spans="41:48">
      <c r="AO1719" s="824" t="str">
        <f t="shared" si="398"/>
        <v>No</v>
      </c>
      <c r="AP1719" s="259" t="str">
        <f t="shared" si="403"/>
        <v>blank</v>
      </c>
      <c r="AQ1719" s="542" t="str">
        <f t="shared" si="402"/>
        <v>无定金+无預留客戶</v>
      </c>
      <c r="AR1719" s="259" t="str">
        <f t="shared" si="396"/>
        <v/>
      </c>
      <c r="AS1719" s="259" t="str">
        <f t="shared" si="397"/>
        <v/>
      </c>
      <c r="AT1719" s="259" t="b">
        <f t="shared" si="399"/>
        <v>0</v>
      </c>
      <c r="AU1719" s="259" t="b">
        <f t="shared" si="400"/>
        <v>0</v>
      </c>
      <c r="AV1719" s="259" t="str">
        <f t="shared" si="401"/>
        <v>-</v>
      </c>
    </row>
    <row r="1720" spans="41:48">
      <c r="AO1720" s="824" t="str">
        <f t="shared" si="398"/>
        <v>No</v>
      </c>
      <c r="AP1720" s="259" t="str">
        <f t="shared" si="403"/>
        <v>blank</v>
      </c>
      <c r="AQ1720" s="542" t="str">
        <f t="shared" si="402"/>
        <v>无定金+无預留客戶</v>
      </c>
      <c r="AR1720" s="259" t="str">
        <f t="shared" si="396"/>
        <v/>
      </c>
      <c r="AS1720" s="259" t="str">
        <f t="shared" si="397"/>
        <v/>
      </c>
      <c r="AT1720" s="259" t="b">
        <f t="shared" si="399"/>
        <v>0</v>
      </c>
      <c r="AU1720" s="259" t="b">
        <f t="shared" si="400"/>
        <v>0</v>
      </c>
      <c r="AV1720" s="259" t="str">
        <f t="shared" si="401"/>
        <v>-</v>
      </c>
    </row>
    <row r="1721" spans="41:48">
      <c r="AO1721" s="824" t="str">
        <f t="shared" si="398"/>
        <v>No</v>
      </c>
      <c r="AP1721" s="259" t="str">
        <f t="shared" si="403"/>
        <v>blank</v>
      </c>
      <c r="AQ1721" s="542" t="str">
        <f t="shared" si="402"/>
        <v>无定金+无預留客戶</v>
      </c>
      <c r="AR1721" s="259" t="str">
        <f t="shared" si="396"/>
        <v/>
      </c>
      <c r="AS1721" s="259" t="str">
        <f t="shared" si="397"/>
        <v/>
      </c>
      <c r="AT1721" s="259" t="b">
        <f t="shared" si="399"/>
        <v>0</v>
      </c>
      <c r="AU1721" s="259" t="b">
        <f t="shared" si="400"/>
        <v>0</v>
      </c>
      <c r="AV1721" s="259" t="str">
        <f t="shared" si="401"/>
        <v>-</v>
      </c>
    </row>
    <row r="1722" spans="41:48">
      <c r="AO1722" s="824" t="str">
        <f t="shared" si="398"/>
        <v>No</v>
      </c>
      <c r="AP1722" s="259" t="str">
        <f t="shared" si="403"/>
        <v>blank</v>
      </c>
      <c r="AQ1722" s="542" t="str">
        <f t="shared" si="402"/>
        <v>无定金+无預留客戶</v>
      </c>
      <c r="AR1722" s="259" t="str">
        <f t="shared" si="396"/>
        <v/>
      </c>
      <c r="AS1722" s="259" t="str">
        <f t="shared" si="397"/>
        <v/>
      </c>
      <c r="AT1722" s="259" t="b">
        <f t="shared" si="399"/>
        <v>0</v>
      </c>
      <c r="AU1722" s="259" t="b">
        <f t="shared" si="400"/>
        <v>0</v>
      </c>
      <c r="AV1722" s="259" t="str">
        <f t="shared" si="401"/>
        <v>-</v>
      </c>
    </row>
    <row r="1723" spans="41:48">
      <c r="AO1723" s="824" t="str">
        <f t="shared" si="398"/>
        <v>No</v>
      </c>
      <c r="AP1723" s="259" t="str">
        <f t="shared" si="403"/>
        <v>blank</v>
      </c>
      <c r="AQ1723" s="542" t="str">
        <f t="shared" si="402"/>
        <v>无定金+无預留客戶</v>
      </c>
      <c r="AR1723" s="259" t="str">
        <f t="shared" si="396"/>
        <v/>
      </c>
      <c r="AS1723" s="259" t="str">
        <f t="shared" si="397"/>
        <v/>
      </c>
      <c r="AT1723" s="259" t="b">
        <f t="shared" si="399"/>
        <v>0</v>
      </c>
      <c r="AU1723" s="259" t="b">
        <f t="shared" si="400"/>
        <v>0</v>
      </c>
      <c r="AV1723" s="259" t="str">
        <f t="shared" si="401"/>
        <v>-</v>
      </c>
    </row>
    <row r="1724" spans="41:48">
      <c r="AO1724" s="824" t="str">
        <f t="shared" si="398"/>
        <v>No</v>
      </c>
      <c r="AP1724" s="259" t="str">
        <f t="shared" si="403"/>
        <v>blank</v>
      </c>
      <c r="AQ1724" s="542" t="str">
        <f t="shared" si="402"/>
        <v>无定金+无預留客戶</v>
      </c>
      <c r="AR1724" s="259" t="str">
        <f t="shared" si="396"/>
        <v/>
      </c>
      <c r="AS1724" s="259" t="str">
        <f t="shared" si="397"/>
        <v/>
      </c>
      <c r="AT1724" s="259" t="b">
        <f t="shared" si="399"/>
        <v>0</v>
      </c>
      <c r="AU1724" s="259" t="b">
        <f t="shared" si="400"/>
        <v>0</v>
      </c>
      <c r="AV1724" s="259" t="str">
        <f t="shared" si="401"/>
        <v>-</v>
      </c>
    </row>
    <row r="1725" spans="41:48">
      <c r="AO1725" s="824" t="str">
        <f t="shared" si="398"/>
        <v>No</v>
      </c>
      <c r="AP1725" s="259" t="str">
        <f t="shared" si="403"/>
        <v>blank</v>
      </c>
      <c r="AQ1725" s="542" t="str">
        <f t="shared" si="402"/>
        <v>无定金+无預留客戶</v>
      </c>
      <c r="AR1725" s="259" t="str">
        <f t="shared" si="396"/>
        <v/>
      </c>
      <c r="AS1725" s="259" t="str">
        <f t="shared" si="397"/>
        <v/>
      </c>
      <c r="AT1725" s="259" t="b">
        <f t="shared" si="399"/>
        <v>0</v>
      </c>
      <c r="AU1725" s="259" t="b">
        <f t="shared" si="400"/>
        <v>0</v>
      </c>
      <c r="AV1725" s="259" t="str">
        <f t="shared" si="401"/>
        <v>-</v>
      </c>
    </row>
    <row r="1726" spans="41:48">
      <c r="AO1726" s="824" t="str">
        <f t="shared" si="398"/>
        <v>No</v>
      </c>
      <c r="AP1726" s="259" t="str">
        <f t="shared" si="403"/>
        <v>blank</v>
      </c>
      <c r="AQ1726" s="542" t="str">
        <f t="shared" si="402"/>
        <v>无定金+无預留客戶</v>
      </c>
      <c r="AR1726" s="259" t="str">
        <f t="shared" ref="AR1726:AR1789" si="404">IFERROR(IF(B1726="已经到货", "Instock", IF(B1726="有交期", "Incoming_Stock_With_YAMAHA_Schedule", IF(B1726="TBA.", "Incoming_Stock_No_YAMAHA_Schedule", IF(B1726="已发货", "Shipped_Stock", "")))), "")</f>
        <v/>
      </c>
      <c r="AS1726" s="259" t="str">
        <f t="shared" ref="AS1726:AS1789" si="405">IF(AND(B1726="有交期", L1726&lt;&gt;""), L1726, "")</f>
        <v/>
      </c>
      <c r="AT1726" s="259" t="b">
        <f t="shared" si="399"/>
        <v>0</v>
      </c>
      <c r="AU1726" s="259" t="b">
        <f t="shared" si="400"/>
        <v>0</v>
      </c>
      <c r="AV1726" s="259" t="str">
        <f t="shared" si="401"/>
        <v>-</v>
      </c>
    </row>
    <row r="1727" spans="41:48">
      <c r="AO1727" s="824" t="str">
        <f t="shared" si="398"/>
        <v>No</v>
      </c>
      <c r="AP1727" s="259" t="str">
        <f t="shared" si="403"/>
        <v>blank</v>
      </c>
      <c r="AQ1727" s="542" t="str">
        <f t="shared" si="402"/>
        <v>无定金+无預留客戶</v>
      </c>
      <c r="AR1727" s="259" t="str">
        <f t="shared" si="404"/>
        <v/>
      </c>
      <c r="AS1727" s="259" t="str">
        <f t="shared" si="405"/>
        <v/>
      </c>
      <c r="AT1727" s="259" t="b">
        <f t="shared" si="399"/>
        <v>0</v>
      </c>
      <c r="AU1727" s="259" t="b">
        <f t="shared" si="400"/>
        <v>0</v>
      </c>
      <c r="AV1727" s="259" t="str">
        <f t="shared" si="401"/>
        <v>-</v>
      </c>
    </row>
    <row r="1728" spans="41:48">
      <c r="AO1728" s="824" t="str">
        <f t="shared" si="398"/>
        <v>No</v>
      </c>
      <c r="AP1728" s="259" t="str">
        <f t="shared" si="403"/>
        <v>blank</v>
      </c>
      <c r="AQ1728" s="542" t="str">
        <f t="shared" si="402"/>
        <v>无定金+无預留客戶</v>
      </c>
      <c r="AR1728" s="259" t="str">
        <f t="shared" si="404"/>
        <v/>
      </c>
      <c r="AS1728" s="259" t="str">
        <f t="shared" si="405"/>
        <v/>
      </c>
      <c r="AT1728" s="259" t="b">
        <f t="shared" si="399"/>
        <v>0</v>
      </c>
      <c r="AU1728" s="259" t="b">
        <f t="shared" si="400"/>
        <v>0</v>
      </c>
      <c r="AV1728" s="259" t="str">
        <f t="shared" si="401"/>
        <v>-</v>
      </c>
    </row>
    <row r="1729" spans="41:48">
      <c r="AO1729" s="824" t="str">
        <f t="shared" si="398"/>
        <v>No</v>
      </c>
      <c r="AP1729" s="259" t="str">
        <f t="shared" si="403"/>
        <v>blank</v>
      </c>
      <c r="AQ1729" s="542" t="str">
        <f t="shared" si="402"/>
        <v>无定金+无預留客戶</v>
      </c>
      <c r="AR1729" s="259" t="str">
        <f t="shared" si="404"/>
        <v/>
      </c>
      <c r="AS1729" s="259" t="str">
        <f t="shared" si="405"/>
        <v/>
      </c>
      <c r="AT1729" s="259" t="b">
        <f t="shared" si="399"/>
        <v>0</v>
      </c>
      <c r="AU1729" s="259" t="b">
        <f t="shared" si="400"/>
        <v>0</v>
      </c>
      <c r="AV1729" s="259" t="str">
        <f t="shared" si="401"/>
        <v>-</v>
      </c>
    </row>
    <row r="1730" spans="41:48">
      <c r="AO1730" s="824" t="str">
        <f t="shared" ref="AO1730:AO1793" si="406">IFERROR(IF(Y1730&lt;&gt;"",Y1730,"No"),"No")</f>
        <v>No</v>
      </c>
      <c r="AP1730" s="259" t="str">
        <f t="shared" si="403"/>
        <v>blank</v>
      </c>
      <c r="AQ1730" s="542" t="str">
        <f t="shared" si="402"/>
        <v>无定金+无預留客戶</v>
      </c>
      <c r="AR1730" s="259" t="str">
        <f t="shared" si="404"/>
        <v/>
      </c>
      <c r="AS1730" s="259" t="str">
        <f t="shared" si="405"/>
        <v/>
      </c>
      <c r="AT1730" s="259" t="b">
        <f t="shared" ref="AT1730:AT1793" si="407">IFERROR(IF(R1730&lt;&gt;"",R1730),"-")</f>
        <v>0</v>
      </c>
      <c r="AU1730" s="259" t="b">
        <f t="shared" ref="AU1730:AU1793" si="408">IFERROR(IF(Q1730&lt;&gt;"",Q1730),"-")</f>
        <v>0</v>
      </c>
      <c r="AV1730" s="259" t="str">
        <f t="shared" ref="AV1730:AV1793" si="409">IF(L1730="","-",TEXT(L1730,"mmm-dd"))</f>
        <v>-</v>
      </c>
    </row>
    <row r="1731" spans="41:48">
      <c r="AO1731" s="824" t="str">
        <f t="shared" si="406"/>
        <v>No</v>
      </c>
      <c r="AP1731" s="259" t="str">
        <f t="shared" si="403"/>
        <v>blank</v>
      </c>
      <c r="AQ1731" s="542" t="str">
        <f t="shared" ref="AQ1731:AQ1794" si="410">IFERROR(IF(AND(AO1731="Yes", AP1731&lt;&gt;"blank"), "有定金+有預留客戶", IF(AND(AO1731="Yes", AP1731="blank"), "有定金+无客戶送貨期", IF(AND(OR(AO1731="No", ISBLANK(AO1731), AO1731="NA"), AP1731&lt;&gt;"blank"), "无定金+有預留客戶", IF(AND(OR(AO1731="No", ISBLANK(AO1731), AO1731="NA"), AP1731="blank"), "无定金+无預留客戶", "")))), "")</f>
        <v>无定金+无預留客戶</v>
      </c>
      <c r="AR1731" s="259" t="str">
        <f t="shared" si="404"/>
        <v/>
      </c>
      <c r="AS1731" s="259" t="str">
        <f t="shared" si="405"/>
        <v/>
      </c>
      <c r="AT1731" s="259" t="b">
        <f t="shared" si="407"/>
        <v>0</v>
      </c>
      <c r="AU1731" s="259" t="b">
        <f t="shared" si="408"/>
        <v>0</v>
      </c>
      <c r="AV1731" s="259" t="str">
        <f t="shared" si="409"/>
        <v>-</v>
      </c>
    </row>
    <row r="1732" spans="41:48">
      <c r="AO1732" s="824" t="str">
        <f t="shared" si="406"/>
        <v>No</v>
      </c>
      <c r="AP1732" s="259" t="str">
        <f t="shared" si="403"/>
        <v>blank</v>
      </c>
      <c r="AQ1732" s="542" t="str">
        <f t="shared" si="410"/>
        <v>无定金+无預留客戶</v>
      </c>
      <c r="AR1732" s="259" t="str">
        <f t="shared" si="404"/>
        <v/>
      </c>
      <c r="AS1732" s="259" t="str">
        <f t="shared" si="405"/>
        <v/>
      </c>
      <c r="AT1732" s="259" t="b">
        <f t="shared" si="407"/>
        <v>0</v>
      </c>
      <c r="AU1732" s="259" t="b">
        <f t="shared" si="408"/>
        <v>0</v>
      </c>
      <c r="AV1732" s="259" t="str">
        <f t="shared" si="409"/>
        <v>-</v>
      </c>
    </row>
    <row r="1733" spans="41:48">
      <c r="AO1733" s="824" t="str">
        <f t="shared" si="406"/>
        <v>No</v>
      </c>
      <c r="AP1733" s="259" t="str">
        <f t="shared" si="403"/>
        <v>blank</v>
      </c>
      <c r="AQ1733" s="542" t="str">
        <f t="shared" si="410"/>
        <v>无定金+无預留客戶</v>
      </c>
      <c r="AR1733" s="259" t="str">
        <f t="shared" si="404"/>
        <v/>
      </c>
      <c r="AS1733" s="259" t="str">
        <f t="shared" si="405"/>
        <v/>
      </c>
      <c r="AT1733" s="259" t="b">
        <f t="shared" si="407"/>
        <v>0</v>
      </c>
      <c r="AU1733" s="259" t="b">
        <f t="shared" si="408"/>
        <v>0</v>
      </c>
      <c r="AV1733" s="259" t="str">
        <f t="shared" si="409"/>
        <v>-</v>
      </c>
    </row>
    <row r="1734" spans="41:48">
      <c r="AO1734" s="824" t="str">
        <f t="shared" si="406"/>
        <v>No</v>
      </c>
      <c r="AP1734" s="259" t="str">
        <f t="shared" ref="AP1734:AP1797" si="411">IFERROR(IF(N1734&lt;&gt;"",N1734,"blank"),"NA")</f>
        <v>blank</v>
      </c>
      <c r="AQ1734" s="542" t="str">
        <f t="shared" si="410"/>
        <v>无定金+无預留客戶</v>
      </c>
      <c r="AR1734" s="259" t="str">
        <f t="shared" si="404"/>
        <v/>
      </c>
      <c r="AS1734" s="259" t="str">
        <f t="shared" si="405"/>
        <v/>
      </c>
      <c r="AT1734" s="259" t="b">
        <f t="shared" si="407"/>
        <v>0</v>
      </c>
      <c r="AU1734" s="259" t="b">
        <f t="shared" si="408"/>
        <v>0</v>
      </c>
      <c r="AV1734" s="259" t="str">
        <f t="shared" si="409"/>
        <v>-</v>
      </c>
    </row>
    <row r="1735" spans="41:48">
      <c r="AO1735" s="824" t="str">
        <f t="shared" si="406"/>
        <v>No</v>
      </c>
      <c r="AP1735" s="259" t="str">
        <f t="shared" si="411"/>
        <v>blank</v>
      </c>
      <c r="AQ1735" s="542" t="str">
        <f t="shared" si="410"/>
        <v>无定金+无預留客戶</v>
      </c>
      <c r="AR1735" s="259" t="str">
        <f t="shared" si="404"/>
        <v/>
      </c>
      <c r="AS1735" s="259" t="str">
        <f t="shared" si="405"/>
        <v/>
      </c>
      <c r="AT1735" s="259" t="b">
        <f t="shared" si="407"/>
        <v>0</v>
      </c>
      <c r="AU1735" s="259" t="b">
        <f t="shared" si="408"/>
        <v>0</v>
      </c>
      <c r="AV1735" s="259" t="str">
        <f t="shared" si="409"/>
        <v>-</v>
      </c>
    </row>
    <row r="1736" spans="41:48">
      <c r="AO1736" s="824" t="str">
        <f t="shared" si="406"/>
        <v>No</v>
      </c>
      <c r="AP1736" s="259" t="str">
        <f t="shared" si="411"/>
        <v>blank</v>
      </c>
      <c r="AQ1736" s="542" t="str">
        <f t="shared" si="410"/>
        <v>无定金+无預留客戶</v>
      </c>
      <c r="AR1736" s="259" t="str">
        <f t="shared" si="404"/>
        <v/>
      </c>
      <c r="AS1736" s="259" t="str">
        <f t="shared" si="405"/>
        <v/>
      </c>
      <c r="AT1736" s="259" t="b">
        <f t="shared" si="407"/>
        <v>0</v>
      </c>
      <c r="AU1736" s="259" t="b">
        <f t="shared" si="408"/>
        <v>0</v>
      </c>
      <c r="AV1736" s="259" t="str">
        <f t="shared" si="409"/>
        <v>-</v>
      </c>
    </row>
    <row r="1737" spans="41:48">
      <c r="AO1737" s="824" t="str">
        <f t="shared" si="406"/>
        <v>No</v>
      </c>
      <c r="AP1737" s="259" t="str">
        <f t="shared" si="411"/>
        <v>blank</v>
      </c>
      <c r="AQ1737" s="542" t="str">
        <f t="shared" si="410"/>
        <v>无定金+无預留客戶</v>
      </c>
      <c r="AR1737" s="259" t="str">
        <f t="shared" si="404"/>
        <v/>
      </c>
      <c r="AS1737" s="259" t="str">
        <f t="shared" si="405"/>
        <v/>
      </c>
      <c r="AT1737" s="259" t="b">
        <f t="shared" si="407"/>
        <v>0</v>
      </c>
      <c r="AU1737" s="259" t="b">
        <f t="shared" si="408"/>
        <v>0</v>
      </c>
      <c r="AV1737" s="259" t="str">
        <f t="shared" si="409"/>
        <v>-</v>
      </c>
    </row>
    <row r="1738" spans="41:48">
      <c r="AO1738" s="824" t="str">
        <f t="shared" si="406"/>
        <v>No</v>
      </c>
      <c r="AP1738" s="259" t="str">
        <f t="shared" si="411"/>
        <v>blank</v>
      </c>
      <c r="AQ1738" s="542" t="str">
        <f t="shared" si="410"/>
        <v>无定金+无預留客戶</v>
      </c>
      <c r="AR1738" s="259" t="str">
        <f t="shared" si="404"/>
        <v/>
      </c>
      <c r="AS1738" s="259" t="str">
        <f t="shared" si="405"/>
        <v/>
      </c>
      <c r="AT1738" s="259" t="b">
        <f t="shared" si="407"/>
        <v>0</v>
      </c>
      <c r="AU1738" s="259" t="b">
        <f t="shared" si="408"/>
        <v>0</v>
      </c>
      <c r="AV1738" s="259" t="str">
        <f t="shared" si="409"/>
        <v>-</v>
      </c>
    </row>
    <row r="1739" spans="41:48">
      <c r="AO1739" s="824" t="str">
        <f t="shared" si="406"/>
        <v>No</v>
      </c>
      <c r="AP1739" s="259" t="str">
        <f t="shared" si="411"/>
        <v>blank</v>
      </c>
      <c r="AQ1739" s="542" t="str">
        <f t="shared" si="410"/>
        <v>无定金+无預留客戶</v>
      </c>
      <c r="AR1739" s="259" t="str">
        <f t="shared" si="404"/>
        <v/>
      </c>
      <c r="AS1739" s="259" t="str">
        <f t="shared" si="405"/>
        <v/>
      </c>
      <c r="AT1739" s="259" t="b">
        <f t="shared" si="407"/>
        <v>0</v>
      </c>
      <c r="AU1739" s="259" t="b">
        <f t="shared" si="408"/>
        <v>0</v>
      </c>
      <c r="AV1739" s="259" t="str">
        <f t="shared" si="409"/>
        <v>-</v>
      </c>
    </row>
    <row r="1740" spans="41:48">
      <c r="AO1740" s="824" t="str">
        <f t="shared" si="406"/>
        <v>No</v>
      </c>
      <c r="AP1740" s="259" t="str">
        <f t="shared" si="411"/>
        <v>blank</v>
      </c>
      <c r="AQ1740" s="542" t="str">
        <f t="shared" si="410"/>
        <v>无定金+无預留客戶</v>
      </c>
      <c r="AR1740" s="259" t="str">
        <f t="shared" si="404"/>
        <v/>
      </c>
      <c r="AS1740" s="259" t="str">
        <f t="shared" si="405"/>
        <v/>
      </c>
      <c r="AT1740" s="259" t="b">
        <f t="shared" si="407"/>
        <v>0</v>
      </c>
      <c r="AU1740" s="259" t="b">
        <f t="shared" si="408"/>
        <v>0</v>
      </c>
      <c r="AV1740" s="259" t="str">
        <f t="shared" si="409"/>
        <v>-</v>
      </c>
    </row>
    <row r="1741" spans="41:48">
      <c r="AO1741" s="824" t="str">
        <f t="shared" si="406"/>
        <v>No</v>
      </c>
      <c r="AP1741" s="259" t="str">
        <f t="shared" si="411"/>
        <v>blank</v>
      </c>
      <c r="AQ1741" s="542" t="str">
        <f t="shared" si="410"/>
        <v>无定金+无預留客戶</v>
      </c>
      <c r="AR1741" s="259" t="str">
        <f t="shared" si="404"/>
        <v/>
      </c>
      <c r="AS1741" s="259" t="str">
        <f t="shared" si="405"/>
        <v/>
      </c>
      <c r="AT1741" s="259" t="b">
        <f t="shared" si="407"/>
        <v>0</v>
      </c>
      <c r="AU1741" s="259" t="b">
        <f t="shared" si="408"/>
        <v>0</v>
      </c>
      <c r="AV1741" s="259" t="str">
        <f t="shared" si="409"/>
        <v>-</v>
      </c>
    </row>
    <row r="1742" spans="41:48">
      <c r="AO1742" s="824" t="str">
        <f t="shared" si="406"/>
        <v>No</v>
      </c>
      <c r="AP1742" s="259" t="str">
        <f t="shared" si="411"/>
        <v>blank</v>
      </c>
      <c r="AQ1742" s="542" t="str">
        <f t="shared" si="410"/>
        <v>无定金+无預留客戶</v>
      </c>
      <c r="AR1742" s="259" t="str">
        <f t="shared" si="404"/>
        <v/>
      </c>
      <c r="AS1742" s="259" t="str">
        <f t="shared" si="405"/>
        <v/>
      </c>
      <c r="AT1742" s="259" t="b">
        <f t="shared" si="407"/>
        <v>0</v>
      </c>
      <c r="AU1742" s="259" t="b">
        <f t="shared" si="408"/>
        <v>0</v>
      </c>
      <c r="AV1742" s="259" t="str">
        <f t="shared" si="409"/>
        <v>-</v>
      </c>
    </row>
    <row r="1743" spans="41:48">
      <c r="AO1743" s="824" t="str">
        <f t="shared" si="406"/>
        <v>No</v>
      </c>
      <c r="AP1743" s="259" t="str">
        <f t="shared" si="411"/>
        <v>blank</v>
      </c>
      <c r="AQ1743" s="542" t="str">
        <f t="shared" si="410"/>
        <v>无定金+无預留客戶</v>
      </c>
      <c r="AR1743" s="259" t="str">
        <f t="shared" si="404"/>
        <v/>
      </c>
      <c r="AS1743" s="259" t="str">
        <f t="shared" si="405"/>
        <v/>
      </c>
      <c r="AT1743" s="259" t="b">
        <f t="shared" si="407"/>
        <v>0</v>
      </c>
      <c r="AU1743" s="259" t="b">
        <f t="shared" si="408"/>
        <v>0</v>
      </c>
      <c r="AV1743" s="259" t="str">
        <f t="shared" si="409"/>
        <v>-</v>
      </c>
    </row>
    <row r="1744" spans="41:48">
      <c r="AO1744" s="824" t="str">
        <f t="shared" si="406"/>
        <v>No</v>
      </c>
      <c r="AP1744" s="259" t="str">
        <f t="shared" si="411"/>
        <v>blank</v>
      </c>
      <c r="AQ1744" s="542" t="str">
        <f t="shared" si="410"/>
        <v>无定金+无預留客戶</v>
      </c>
      <c r="AR1744" s="259" t="str">
        <f t="shared" si="404"/>
        <v/>
      </c>
      <c r="AS1744" s="259" t="str">
        <f t="shared" si="405"/>
        <v/>
      </c>
      <c r="AT1744" s="259" t="b">
        <f t="shared" si="407"/>
        <v>0</v>
      </c>
      <c r="AU1744" s="259" t="b">
        <f t="shared" si="408"/>
        <v>0</v>
      </c>
      <c r="AV1744" s="259" t="str">
        <f t="shared" si="409"/>
        <v>-</v>
      </c>
    </row>
    <row r="1745" spans="41:48">
      <c r="AO1745" s="824" t="str">
        <f t="shared" si="406"/>
        <v>No</v>
      </c>
      <c r="AP1745" s="259" t="str">
        <f t="shared" si="411"/>
        <v>blank</v>
      </c>
      <c r="AQ1745" s="542" t="str">
        <f t="shared" si="410"/>
        <v>无定金+无預留客戶</v>
      </c>
      <c r="AR1745" s="259" t="str">
        <f t="shared" si="404"/>
        <v/>
      </c>
      <c r="AS1745" s="259" t="str">
        <f t="shared" si="405"/>
        <v/>
      </c>
      <c r="AT1745" s="259" t="b">
        <f t="shared" si="407"/>
        <v>0</v>
      </c>
      <c r="AU1745" s="259" t="b">
        <f t="shared" si="408"/>
        <v>0</v>
      </c>
      <c r="AV1745" s="259" t="str">
        <f t="shared" si="409"/>
        <v>-</v>
      </c>
    </row>
    <row r="1746" spans="41:48">
      <c r="AO1746" s="824" t="str">
        <f t="shared" si="406"/>
        <v>No</v>
      </c>
      <c r="AP1746" s="259" t="str">
        <f t="shared" si="411"/>
        <v>blank</v>
      </c>
      <c r="AQ1746" s="542" t="str">
        <f t="shared" si="410"/>
        <v>无定金+无預留客戶</v>
      </c>
      <c r="AR1746" s="259" t="str">
        <f t="shared" si="404"/>
        <v/>
      </c>
      <c r="AS1746" s="259" t="str">
        <f t="shared" si="405"/>
        <v/>
      </c>
      <c r="AT1746" s="259" t="b">
        <f t="shared" si="407"/>
        <v>0</v>
      </c>
      <c r="AU1746" s="259" t="b">
        <f t="shared" si="408"/>
        <v>0</v>
      </c>
      <c r="AV1746" s="259" t="str">
        <f t="shared" si="409"/>
        <v>-</v>
      </c>
    </row>
    <row r="1747" spans="41:48">
      <c r="AO1747" s="824" t="str">
        <f t="shared" si="406"/>
        <v>No</v>
      </c>
      <c r="AP1747" s="259" t="str">
        <f t="shared" si="411"/>
        <v>blank</v>
      </c>
      <c r="AQ1747" s="542" t="str">
        <f t="shared" si="410"/>
        <v>无定金+无預留客戶</v>
      </c>
      <c r="AR1747" s="259" t="str">
        <f t="shared" si="404"/>
        <v/>
      </c>
      <c r="AS1747" s="259" t="str">
        <f t="shared" si="405"/>
        <v/>
      </c>
      <c r="AT1747" s="259" t="b">
        <f t="shared" si="407"/>
        <v>0</v>
      </c>
      <c r="AU1747" s="259" t="b">
        <f t="shared" si="408"/>
        <v>0</v>
      </c>
      <c r="AV1747" s="259" t="str">
        <f t="shared" si="409"/>
        <v>-</v>
      </c>
    </row>
    <row r="1748" spans="41:48">
      <c r="AO1748" s="824" t="str">
        <f t="shared" si="406"/>
        <v>No</v>
      </c>
      <c r="AP1748" s="259" t="str">
        <f t="shared" si="411"/>
        <v>blank</v>
      </c>
      <c r="AQ1748" s="542" t="str">
        <f t="shared" si="410"/>
        <v>无定金+无預留客戶</v>
      </c>
      <c r="AR1748" s="259" t="str">
        <f t="shared" si="404"/>
        <v/>
      </c>
      <c r="AS1748" s="259" t="str">
        <f t="shared" si="405"/>
        <v/>
      </c>
      <c r="AT1748" s="259" t="b">
        <f t="shared" si="407"/>
        <v>0</v>
      </c>
      <c r="AU1748" s="259" t="b">
        <f t="shared" si="408"/>
        <v>0</v>
      </c>
      <c r="AV1748" s="259" t="str">
        <f t="shared" si="409"/>
        <v>-</v>
      </c>
    </row>
    <row r="1749" spans="41:48">
      <c r="AO1749" s="824" t="str">
        <f t="shared" si="406"/>
        <v>No</v>
      </c>
      <c r="AP1749" s="259" t="str">
        <f t="shared" si="411"/>
        <v>blank</v>
      </c>
      <c r="AQ1749" s="542" t="str">
        <f t="shared" si="410"/>
        <v>无定金+无預留客戶</v>
      </c>
      <c r="AR1749" s="259" t="str">
        <f t="shared" si="404"/>
        <v/>
      </c>
      <c r="AS1749" s="259" t="str">
        <f t="shared" si="405"/>
        <v/>
      </c>
      <c r="AT1749" s="259" t="b">
        <f t="shared" si="407"/>
        <v>0</v>
      </c>
      <c r="AU1749" s="259" t="b">
        <f t="shared" si="408"/>
        <v>0</v>
      </c>
      <c r="AV1749" s="259" t="str">
        <f t="shared" si="409"/>
        <v>-</v>
      </c>
    </row>
    <row r="1750" spans="41:48">
      <c r="AO1750" s="824" t="str">
        <f t="shared" si="406"/>
        <v>No</v>
      </c>
      <c r="AP1750" s="259" t="str">
        <f t="shared" si="411"/>
        <v>blank</v>
      </c>
      <c r="AQ1750" s="542" t="str">
        <f t="shared" si="410"/>
        <v>无定金+无預留客戶</v>
      </c>
      <c r="AR1750" s="259" t="str">
        <f t="shared" si="404"/>
        <v/>
      </c>
      <c r="AS1750" s="259" t="str">
        <f t="shared" si="405"/>
        <v/>
      </c>
      <c r="AT1750" s="259" t="b">
        <f t="shared" si="407"/>
        <v>0</v>
      </c>
      <c r="AU1750" s="259" t="b">
        <f t="shared" si="408"/>
        <v>0</v>
      </c>
      <c r="AV1750" s="259" t="str">
        <f t="shared" si="409"/>
        <v>-</v>
      </c>
    </row>
    <row r="1751" spans="41:48">
      <c r="AO1751" s="824" t="str">
        <f t="shared" si="406"/>
        <v>No</v>
      </c>
      <c r="AP1751" s="259" t="str">
        <f t="shared" si="411"/>
        <v>blank</v>
      </c>
      <c r="AQ1751" s="542" t="str">
        <f t="shared" si="410"/>
        <v>无定金+无預留客戶</v>
      </c>
      <c r="AR1751" s="259" t="str">
        <f t="shared" si="404"/>
        <v/>
      </c>
      <c r="AS1751" s="259" t="str">
        <f t="shared" si="405"/>
        <v/>
      </c>
      <c r="AT1751" s="259" t="b">
        <f t="shared" si="407"/>
        <v>0</v>
      </c>
      <c r="AU1751" s="259" t="b">
        <f t="shared" si="408"/>
        <v>0</v>
      </c>
      <c r="AV1751" s="259" t="str">
        <f t="shared" si="409"/>
        <v>-</v>
      </c>
    </row>
    <row r="1752" spans="41:48">
      <c r="AO1752" s="824" t="str">
        <f t="shared" si="406"/>
        <v>No</v>
      </c>
      <c r="AP1752" s="259" t="str">
        <f t="shared" si="411"/>
        <v>blank</v>
      </c>
      <c r="AQ1752" s="542" t="str">
        <f t="shared" si="410"/>
        <v>无定金+无預留客戶</v>
      </c>
      <c r="AR1752" s="259" t="str">
        <f t="shared" si="404"/>
        <v/>
      </c>
      <c r="AS1752" s="259" t="str">
        <f t="shared" si="405"/>
        <v/>
      </c>
      <c r="AT1752" s="259" t="b">
        <f t="shared" si="407"/>
        <v>0</v>
      </c>
      <c r="AU1752" s="259" t="b">
        <f t="shared" si="408"/>
        <v>0</v>
      </c>
      <c r="AV1752" s="259" t="str">
        <f t="shared" si="409"/>
        <v>-</v>
      </c>
    </row>
    <row r="1753" spans="41:48">
      <c r="AO1753" s="824" t="str">
        <f t="shared" si="406"/>
        <v>No</v>
      </c>
      <c r="AP1753" s="259" t="str">
        <f t="shared" si="411"/>
        <v>blank</v>
      </c>
      <c r="AQ1753" s="542" t="str">
        <f t="shared" si="410"/>
        <v>无定金+无預留客戶</v>
      </c>
      <c r="AR1753" s="259" t="str">
        <f t="shared" si="404"/>
        <v/>
      </c>
      <c r="AS1753" s="259" t="str">
        <f t="shared" si="405"/>
        <v/>
      </c>
      <c r="AT1753" s="259" t="b">
        <f t="shared" si="407"/>
        <v>0</v>
      </c>
      <c r="AU1753" s="259" t="b">
        <f t="shared" si="408"/>
        <v>0</v>
      </c>
      <c r="AV1753" s="259" t="str">
        <f t="shared" si="409"/>
        <v>-</v>
      </c>
    </row>
    <row r="1754" spans="41:48">
      <c r="AO1754" s="824" t="str">
        <f t="shared" si="406"/>
        <v>No</v>
      </c>
      <c r="AP1754" s="259" t="str">
        <f t="shared" si="411"/>
        <v>blank</v>
      </c>
      <c r="AQ1754" s="542" t="str">
        <f t="shared" si="410"/>
        <v>无定金+无預留客戶</v>
      </c>
      <c r="AR1754" s="259" t="str">
        <f t="shared" si="404"/>
        <v/>
      </c>
      <c r="AS1754" s="259" t="str">
        <f t="shared" si="405"/>
        <v/>
      </c>
      <c r="AT1754" s="259" t="b">
        <f t="shared" si="407"/>
        <v>0</v>
      </c>
      <c r="AU1754" s="259" t="b">
        <f t="shared" si="408"/>
        <v>0</v>
      </c>
      <c r="AV1754" s="259" t="str">
        <f t="shared" si="409"/>
        <v>-</v>
      </c>
    </row>
    <row r="1755" spans="41:48">
      <c r="AO1755" s="824" t="str">
        <f t="shared" si="406"/>
        <v>No</v>
      </c>
      <c r="AP1755" s="259" t="str">
        <f t="shared" si="411"/>
        <v>blank</v>
      </c>
      <c r="AQ1755" s="542" t="str">
        <f t="shared" si="410"/>
        <v>无定金+无預留客戶</v>
      </c>
      <c r="AR1755" s="259" t="str">
        <f t="shared" si="404"/>
        <v/>
      </c>
      <c r="AS1755" s="259" t="str">
        <f t="shared" si="405"/>
        <v/>
      </c>
      <c r="AT1755" s="259" t="b">
        <f t="shared" si="407"/>
        <v>0</v>
      </c>
      <c r="AU1755" s="259" t="b">
        <f t="shared" si="408"/>
        <v>0</v>
      </c>
      <c r="AV1755" s="259" t="str">
        <f t="shared" si="409"/>
        <v>-</v>
      </c>
    </row>
    <row r="1756" spans="41:48">
      <c r="AO1756" s="824" t="str">
        <f t="shared" si="406"/>
        <v>No</v>
      </c>
      <c r="AP1756" s="259" t="str">
        <f t="shared" si="411"/>
        <v>blank</v>
      </c>
      <c r="AQ1756" s="542" t="str">
        <f t="shared" si="410"/>
        <v>无定金+无預留客戶</v>
      </c>
      <c r="AR1756" s="259" t="str">
        <f t="shared" si="404"/>
        <v/>
      </c>
      <c r="AS1756" s="259" t="str">
        <f t="shared" si="405"/>
        <v/>
      </c>
      <c r="AT1756" s="259" t="b">
        <f t="shared" si="407"/>
        <v>0</v>
      </c>
      <c r="AU1756" s="259" t="b">
        <f t="shared" si="408"/>
        <v>0</v>
      </c>
      <c r="AV1756" s="259" t="str">
        <f t="shared" si="409"/>
        <v>-</v>
      </c>
    </row>
    <row r="1757" spans="41:48">
      <c r="AO1757" s="824" t="str">
        <f t="shared" si="406"/>
        <v>No</v>
      </c>
      <c r="AP1757" s="259" t="str">
        <f t="shared" si="411"/>
        <v>blank</v>
      </c>
      <c r="AQ1757" s="542" t="str">
        <f t="shared" si="410"/>
        <v>无定金+无預留客戶</v>
      </c>
      <c r="AR1757" s="259" t="str">
        <f t="shared" si="404"/>
        <v/>
      </c>
      <c r="AS1757" s="259" t="str">
        <f t="shared" si="405"/>
        <v/>
      </c>
      <c r="AT1757" s="259" t="b">
        <f t="shared" si="407"/>
        <v>0</v>
      </c>
      <c r="AU1757" s="259" t="b">
        <f t="shared" si="408"/>
        <v>0</v>
      </c>
      <c r="AV1757" s="259" t="str">
        <f t="shared" si="409"/>
        <v>-</v>
      </c>
    </row>
    <row r="1758" spans="41:48">
      <c r="AO1758" s="824" t="str">
        <f t="shared" si="406"/>
        <v>No</v>
      </c>
      <c r="AP1758" s="259" t="str">
        <f t="shared" si="411"/>
        <v>blank</v>
      </c>
      <c r="AQ1758" s="542" t="str">
        <f t="shared" si="410"/>
        <v>无定金+无預留客戶</v>
      </c>
      <c r="AR1758" s="259" t="str">
        <f t="shared" si="404"/>
        <v/>
      </c>
      <c r="AS1758" s="259" t="str">
        <f t="shared" si="405"/>
        <v/>
      </c>
      <c r="AT1758" s="259" t="b">
        <f t="shared" si="407"/>
        <v>0</v>
      </c>
      <c r="AU1758" s="259" t="b">
        <f t="shared" si="408"/>
        <v>0</v>
      </c>
      <c r="AV1758" s="259" t="str">
        <f t="shared" si="409"/>
        <v>-</v>
      </c>
    </row>
    <row r="1759" spans="41:48">
      <c r="AO1759" s="824" t="str">
        <f t="shared" si="406"/>
        <v>No</v>
      </c>
      <c r="AP1759" s="259" t="str">
        <f t="shared" si="411"/>
        <v>blank</v>
      </c>
      <c r="AQ1759" s="542" t="str">
        <f t="shared" si="410"/>
        <v>无定金+无預留客戶</v>
      </c>
      <c r="AR1759" s="259" t="str">
        <f t="shared" si="404"/>
        <v/>
      </c>
      <c r="AS1759" s="259" t="str">
        <f t="shared" si="405"/>
        <v/>
      </c>
      <c r="AT1759" s="259" t="b">
        <f t="shared" si="407"/>
        <v>0</v>
      </c>
      <c r="AU1759" s="259" t="b">
        <f t="shared" si="408"/>
        <v>0</v>
      </c>
      <c r="AV1759" s="259" t="str">
        <f t="shared" si="409"/>
        <v>-</v>
      </c>
    </row>
    <row r="1760" spans="41:48">
      <c r="AO1760" s="824" t="str">
        <f t="shared" si="406"/>
        <v>No</v>
      </c>
      <c r="AP1760" s="259" t="str">
        <f t="shared" si="411"/>
        <v>blank</v>
      </c>
      <c r="AQ1760" s="542" t="str">
        <f t="shared" si="410"/>
        <v>无定金+无預留客戶</v>
      </c>
      <c r="AR1760" s="259" t="str">
        <f t="shared" si="404"/>
        <v/>
      </c>
      <c r="AS1760" s="259" t="str">
        <f t="shared" si="405"/>
        <v/>
      </c>
      <c r="AT1760" s="259" t="b">
        <f t="shared" si="407"/>
        <v>0</v>
      </c>
      <c r="AU1760" s="259" t="b">
        <f t="shared" si="408"/>
        <v>0</v>
      </c>
      <c r="AV1760" s="259" t="str">
        <f t="shared" si="409"/>
        <v>-</v>
      </c>
    </row>
    <row r="1761" spans="41:48">
      <c r="AO1761" s="824" t="str">
        <f t="shared" si="406"/>
        <v>No</v>
      </c>
      <c r="AP1761" s="259" t="str">
        <f t="shared" si="411"/>
        <v>blank</v>
      </c>
      <c r="AQ1761" s="542" t="str">
        <f t="shared" si="410"/>
        <v>无定金+无預留客戶</v>
      </c>
      <c r="AR1761" s="259" t="str">
        <f t="shared" si="404"/>
        <v/>
      </c>
      <c r="AS1761" s="259" t="str">
        <f t="shared" si="405"/>
        <v/>
      </c>
      <c r="AT1761" s="259" t="b">
        <f t="shared" si="407"/>
        <v>0</v>
      </c>
      <c r="AU1761" s="259" t="b">
        <f t="shared" si="408"/>
        <v>0</v>
      </c>
      <c r="AV1761" s="259" t="str">
        <f t="shared" si="409"/>
        <v>-</v>
      </c>
    </row>
    <row r="1762" spans="41:48">
      <c r="AO1762" s="824" t="str">
        <f t="shared" si="406"/>
        <v>No</v>
      </c>
      <c r="AP1762" s="259" t="str">
        <f t="shared" si="411"/>
        <v>blank</v>
      </c>
      <c r="AQ1762" s="542" t="str">
        <f t="shared" si="410"/>
        <v>无定金+无預留客戶</v>
      </c>
      <c r="AR1762" s="259" t="str">
        <f t="shared" si="404"/>
        <v/>
      </c>
      <c r="AS1762" s="259" t="str">
        <f t="shared" si="405"/>
        <v/>
      </c>
      <c r="AT1762" s="259" t="b">
        <f t="shared" si="407"/>
        <v>0</v>
      </c>
      <c r="AU1762" s="259" t="b">
        <f t="shared" si="408"/>
        <v>0</v>
      </c>
      <c r="AV1762" s="259" t="str">
        <f t="shared" si="409"/>
        <v>-</v>
      </c>
    </row>
    <row r="1763" spans="41:48">
      <c r="AO1763" s="824" t="str">
        <f t="shared" si="406"/>
        <v>No</v>
      </c>
      <c r="AP1763" s="259" t="str">
        <f t="shared" si="411"/>
        <v>blank</v>
      </c>
      <c r="AQ1763" s="542" t="str">
        <f t="shared" si="410"/>
        <v>无定金+无預留客戶</v>
      </c>
      <c r="AR1763" s="259" t="str">
        <f t="shared" si="404"/>
        <v/>
      </c>
      <c r="AS1763" s="259" t="str">
        <f t="shared" si="405"/>
        <v/>
      </c>
      <c r="AT1763" s="259" t="b">
        <f t="shared" si="407"/>
        <v>0</v>
      </c>
      <c r="AU1763" s="259" t="b">
        <f t="shared" si="408"/>
        <v>0</v>
      </c>
      <c r="AV1763" s="259" t="str">
        <f t="shared" si="409"/>
        <v>-</v>
      </c>
    </row>
    <row r="1764" spans="41:48">
      <c r="AO1764" s="824" t="str">
        <f t="shared" si="406"/>
        <v>No</v>
      </c>
      <c r="AP1764" s="259" t="str">
        <f t="shared" si="411"/>
        <v>blank</v>
      </c>
      <c r="AQ1764" s="542" t="str">
        <f t="shared" si="410"/>
        <v>无定金+无預留客戶</v>
      </c>
      <c r="AR1764" s="259" t="str">
        <f t="shared" si="404"/>
        <v/>
      </c>
      <c r="AS1764" s="259" t="str">
        <f t="shared" si="405"/>
        <v/>
      </c>
      <c r="AT1764" s="259" t="b">
        <f t="shared" si="407"/>
        <v>0</v>
      </c>
      <c r="AU1764" s="259" t="b">
        <f t="shared" si="408"/>
        <v>0</v>
      </c>
      <c r="AV1764" s="259" t="str">
        <f t="shared" si="409"/>
        <v>-</v>
      </c>
    </row>
    <row r="1765" spans="41:48">
      <c r="AO1765" s="824" t="str">
        <f t="shared" si="406"/>
        <v>No</v>
      </c>
      <c r="AP1765" s="259" t="str">
        <f t="shared" si="411"/>
        <v>blank</v>
      </c>
      <c r="AQ1765" s="542" t="str">
        <f t="shared" si="410"/>
        <v>无定金+无預留客戶</v>
      </c>
      <c r="AR1765" s="259" t="str">
        <f t="shared" si="404"/>
        <v/>
      </c>
      <c r="AS1765" s="259" t="str">
        <f t="shared" si="405"/>
        <v/>
      </c>
      <c r="AT1765" s="259" t="b">
        <f t="shared" si="407"/>
        <v>0</v>
      </c>
      <c r="AU1765" s="259" t="b">
        <f t="shared" si="408"/>
        <v>0</v>
      </c>
      <c r="AV1765" s="259" t="str">
        <f t="shared" si="409"/>
        <v>-</v>
      </c>
    </row>
    <row r="1766" spans="41:48">
      <c r="AO1766" s="824" t="str">
        <f t="shared" si="406"/>
        <v>No</v>
      </c>
      <c r="AP1766" s="259" t="str">
        <f t="shared" si="411"/>
        <v>blank</v>
      </c>
      <c r="AQ1766" s="542" t="str">
        <f t="shared" si="410"/>
        <v>无定金+无預留客戶</v>
      </c>
      <c r="AR1766" s="259" t="str">
        <f t="shared" si="404"/>
        <v/>
      </c>
      <c r="AS1766" s="259" t="str">
        <f t="shared" si="405"/>
        <v/>
      </c>
      <c r="AT1766" s="259" t="b">
        <f t="shared" si="407"/>
        <v>0</v>
      </c>
      <c r="AU1766" s="259" t="b">
        <f t="shared" si="408"/>
        <v>0</v>
      </c>
      <c r="AV1766" s="259" t="str">
        <f t="shared" si="409"/>
        <v>-</v>
      </c>
    </row>
    <row r="1767" spans="41:48">
      <c r="AO1767" s="824" t="str">
        <f t="shared" si="406"/>
        <v>No</v>
      </c>
      <c r="AP1767" s="259" t="str">
        <f t="shared" si="411"/>
        <v>blank</v>
      </c>
      <c r="AQ1767" s="542" t="str">
        <f t="shared" si="410"/>
        <v>无定金+无預留客戶</v>
      </c>
      <c r="AR1767" s="259" t="str">
        <f t="shared" si="404"/>
        <v/>
      </c>
      <c r="AS1767" s="259" t="str">
        <f t="shared" si="405"/>
        <v/>
      </c>
      <c r="AT1767" s="259" t="b">
        <f t="shared" si="407"/>
        <v>0</v>
      </c>
      <c r="AU1767" s="259" t="b">
        <f t="shared" si="408"/>
        <v>0</v>
      </c>
      <c r="AV1767" s="259" t="str">
        <f t="shared" si="409"/>
        <v>-</v>
      </c>
    </row>
    <row r="1768" spans="41:48">
      <c r="AO1768" s="824" t="str">
        <f t="shared" si="406"/>
        <v>No</v>
      </c>
      <c r="AP1768" s="259" t="str">
        <f t="shared" si="411"/>
        <v>blank</v>
      </c>
      <c r="AQ1768" s="542" t="str">
        <f t="shared" si="410"/>
        <v>无定金+无預留客戶</v>
      </c>
      <c r="AR1768" s="259" t="str">
        <f t="shared" si="404"/>
        <v/>
      </c>
      <c r="AS1768" s="259" t="str">
        <f t="shared" si="405"/>
        <v/>
      </c>
      <c r="AT1768" s="259" t="b">
        <f t="shared" si="407"/>
        <v>0</v>
      </c>
      <c r="AU1768" s="259" t="b">
        <f t="shared" si="408"/>
        <v>0</v>
      </c>
      <c r="AV1768" s="259" t="str">
        <f t="shared" si="409"/>
        <v>-</v>
      </c>
    </row>
    <row r="1769" spans="41:48">
      <c r="AO1769" s="824" t="str">
        <f t="shared" si="406"/>
        <v>No</v>
      </c>
      <c r="AP1769" s="259" t="str">
        <f t="shared" si="411"/>
        <v>blank</v>
      </c>
      <c r="AQ1769" s="542" t="str">
        <f t="shared" si="410"/>
        <v>无定金+无預留客戶</v>
      </c>
      <c r="AR1769" s="259" t="str">
        <f t="shared" si="404"/>
        <v/>
      </c>
      <c r="AS1769" s="259" t="str">
        <f t="shared" si="405"/>
        <v/>
      </c>
      <c r="AT1769" s="259" t="b">
        <f t="shared" si="407"/>
        <v>0</v>
      </c>
      <c r="AU1769" s="259" t="b">
        <f t="shared" si="408"/>
        <v>0</v>
      </c>
      <c r="AV1769" s="259" t="str">
        <f t="shared" si="409"/>
        <v>-</v>
      </c>
    </row>
    <row r="1770" spans="41:48">
      <c r="AO1770" s="824" t="str">
        <f t="shared" si="406"/>
        <v>No</v>
      </c>
      <c r="AP1770" s="259" t="str">
        <f t="shared" si="411"/>
        <v>blank</v>
      </c>
      <c r="AQ1770" s="542" t="str">
        <f t="shared" si="410"/>
        <v>无定金+无預留客戶</v>
      </c>
      <c r="AR1770" s="259" t="str">
        <f t="shared" si="404"/>
        <v/>
      </c>
      <c r="AS1770" s="259" t="str">
        <f t="shared" si="405"/>
        <v/>
      </c>
      <c r="AT1770" s="259" t="b">
        <f t="shared" si="407"/>
        <v>0</v>
      </c>
      <c r="AU1770" s="259" t="b">
        <f t="shared" si="408"/>
        <v>0</v>
      </c>
      <c r="AV1770" s="259" t="str">
        <f t="shared" si="409"/>
        <v>-</v>
      </c>
    </row>
    <row r="1771" spans="41:48">
      <c r="AO1771" s="824" t="str">
        <f t="shared" si="406"/>
        <v>No</v>
      </c>
      <c r="AP1771" s="259" t="str">
        <f t="shared" si="411"/>
        <v>blank</v>
      </c>
      <c r="AQ1771" s="542" t="str">
        <f t="shared" si="410"/>
        <v>无定金+无預留客戶</v>
      </c>
      <c r="AR1771" s="259" t="str">
        <f t="shared" si="404"/>
        <v/>
      </c>
      <c r="AS1771" s="259" t="str">
        <f t="shared" si="405"/>
        <v/>
      </c>
      <c r="AT1771" s="259" t="b">
        <f t="shared" si="407"/>
        <v>0</v>
      </c>
      <c r="AU1771" s="259" t="b">
        <f t="shared" si="408"/>
        <v>0</v>
      </c>
      <c r="AV1771" s="259" t="str">
        <f t="shared" si="409"/>
        <v>-</v>
      </c>
    </row>
    <row r="1772" spans="41:48">
      <c r="AO1772" s="824" t="str">
        <f t="shared" si="406"/>
        <v>No</v>
      </c>
      <c r="AP1772" s="259" t="str">
        <f t="shared" si="411"/>
        <v>blank</v>
      </c>
      <c r="AQ1772" s="542" t="str">
        <f t="shared" si="410"/>
        <v>无定金+无預留客戶</v>
      </c>
      <c r="AR1772" s="259" t="str">
        <f t="shared" si="404"/>
        <v/>
      </c>
      <c r="AS1772" s="259" t="str">
        <f t="shared" si="405"/>
        <v/>
      </c>
      <c r="AT1772" s="259" t="b">
        <f t="shared" si="407"/>
        <v>0</v>
      </c>
      <c r="AU1772" s="259" t="b">
        <f t="shared" si="408"/>
        <v>0</v>
      </c>
      <c r="AV1772" s="259" t="str">
        <f t="shared" si="409"/>
        <v>-</v>
      </c>
    </row>
    <row r="1773" spans="41:48">
      <c r="AO1773" s="824" t="str">
        <f t="shared" si="406"/>
        <v>No</v>
      </c>
      <c r="AP1773" s="259" t="str">
        <f t="shared" si="411"/>
        <v>blank</v>
      </c>
      <c r="AQ1773" s="542" t="str">
        <f t="shared" si="410"/>
        <v>无定金+无預留客戶</v>
      </c>
      <c r="AR1773" s="259" t="str">
        <f t="shared" si="404"/>
        <v/>
      </c>
      <c r="AS1773" s="259" t="str">
        <f t="shared" si="405"/>
        <v/>
      </c>
      <c r="AT1773" s="259" t="b">
        <f t="shared" si="407"/>
        <v>0</v>
      </c>
      <c r="AU1773" s="259" t="b">
        <f t="shared" si="408"/>
        <v>0</v>
      </c>
      <c r="AV1773" s="259" t="str">
        <f t="shared" si="409"/>
        <v>-</v>
      </c>
    </row>
    <row r="1774" spans="41:48">
      <c r="AO1774" s="824" t="str">
        <f t="shared" si="406"/>
        <v>No</v>
      </c>
      <c r="AP1774" s="259" t="str">
        <f t="shared" si="411"/>
        <v>blank</v>
      </c>
      <c r="AQ1774" s="542" t="str">
        <f t="shared" si="410"/>
        <v>无定金+无預留客戶</v>
      </c>
      <c r="AR1774" s="259" t="str">
        <f t="shared" si="404"/>
        <v/>
      </c>
      <c r="AS1774" s="259" t="str">
        <f t="shared" si="405"/>
        <v/>
      </c>
      <c r="AT1774" s="259" t="b">
        <f t="shared" si="407"/>
        <v>0</v>
      </c>
      <c r="AU1774" s="259" t="b">
        <f t="shared" si="408"/>
        <v>0</v>
      </c>
      <c r="AV1774" s="259" t="str">
        <f t="shared" si="409"/>
        <v>-</v>
      </c>
    </row>
    <row r="1775" spans="41:48">
      <c r="AO1775" s="824" t="str">
        <f t="shared" si="406"/>
        <v>No</v>
      </c>
      <c r="AP1775" s="259" t="str">
        <f t="shared" si="411"/>
        <v>blank</v>
      </c>
      <c r="AQ1775" s="542" t="str">
        <f t="shared" si="410"/>
        <v>无定金+无預留客戶</v>
      </c>
      <c r="AR1775" s="259" t="str">
        <f t="shared" si="404"/>
        <v/>
      </c>
      <c r="AS1775" s="259" t="str">
        <f t="shared" si="405"/>
        <v/>
      </c>
      <c r="AT1775" s="259" t="b">
        <f t="shared" si="407"/>
        <v>0</v>
      </c>
      <c r="AU1775" s="259" t="b">
        <f t="shared" si="408"/>
        <v>0</v>
      </c>
      <c r="AV1775" s="259" t="str">
        <f t="shared" si="409"/>
        <v>-</v>
      </c>
    </row>
    <row r="1776" spans="41:48">
      <c r="AO1776" s="824" t="str">
        <f t="shared" si="406"/>
        <v>No</v>
      </c>
      <c r="AP1776" s="259" t="str">
        <f t="shared" si="411"/>
        <v>blank</v>
      </c>
      <c r="AQ1776" s="542" t="str">
        <f t="shared" si="410"/>
        <v>无定金+无預留客戶</v>
      </c>
      <c r="AR1776" s="259" t="str">
        <f t="shared" si="404"/>
        <v/>
      </c>
      <c r="AS1776" s="259" t="str">
        <f t="shared" si="405"/>
        <v/>
      </c>
      <c r="AT1776" s="259" t="b">
        <f t="shared" si="407"/>
        <v>0</v>
      </c>
      <c r="AU1776" s="259" t="b">
        <f t="shared" si="408"/>
        <v>0</v>
      </c>
      <c r="AV1776" s="259" t="str">
        <f t="shared" si="409"/>
        <v>-</v>
      </c>
    </row>
    <row r="1777" spans="41:48">
      <c r="AO1777" s="824" t="str">
        <f t="shared" si="406"/>
        <v>No</v>
      </c>
      <c r="AP1777" s="259" t="str">
        <f t="shared" si="411"/>
        <v>blank</v>
      </c>
      <c r="AQ1777" s="542" t="str">
        <f t="shared" si="410"/>
        <v>无定金+无預留客戶</v>
      </c>
      <c r="AR1777" s="259" t="str">
        <f t="shared" si="404"/>
        <v/>
      </c>
      <c r="AS1777" s="259" t="str">
        <f t="shared" si="405"/>
        <v/>
      </c>
      <c r="AT1777" s="259" t="b">
        <f t="shared" si="407"/>
        <v>0</v>
      </c>
      <c r="AU1777" s="259" t="b">
        <f t="shared" si="408"/>
        <v>0</v>
      </c>
      <c r="AV1777" s="259" t="str">
        <f t="shared" si="409"/>
        <v>-</v>
      </c>
    </row>
    <row r="1778" spans="41:48">
      <c r="AO1778" s="824" t="str">
        <f t="shared" si="406"/>
        <v>No</v>
      </c>
      <c r="AP1778" s="259" t="str">
        <f t="shared" si="411"/>
        <v>blank</v>
      </c>
      <c r="AQ1778" s="542" t="str">
        <f t="shared" si="410"/>
        <v>无定金+无預留客戶</v>
      </c>
      <c r="AR1778" s="259" t="str">
        <f t="shared" si="404"/>
        <v/>
      </c>
      <c r="AS1778" s="259" t="str">
        <f t="shared" si="405"/>
        <v/>
      </c>
      <c r="AT1778" s="259" t="b">
        <f t="shared" si="407"/>
        <v>0</v>
      </c>
      <c r="AU1778" s="259" t="b">
        <f t="shared" si="408"/>
        <v>0</v>
      </c>
      <c r="AV1778" s="259" t="str">
        <f t="shared" si="409"/>
        <v>-</v>
      </c>
    </row>
    <row r="1779" spans="41:48">
      <c r="AO1779" s="824" t="str">
        <f t="shared" si="406"/>
        <v>No</v>
      </c>
      <c r="AP1779" s="259" t="str">
        <f t="shared" si="411"/>
        <v>blank</v>
      </c>
      <c r="AQ1779" s="542" t="str">
        <f t="shared" si="410"/>
        <v>无定金+无預留客戶</v>
      </c>
      <c r="AR1779" s="259" t="str">
        <f t="shared" si="404"/>
        <v/>
      </c>
      <c r="AS1779" s="259" t="str">
        <f t="shared" si="405"/>
        <v/>
      </c>
      <c r="AT1779" s="259" t="b">
        <f t="shared" si="407"/>
        <v>0</v>
      </c>
      <c r="AU1779" s="259" t="b">
        <f t="shared" si="408"/>
        <v>0</v>
      </c>
      <c r="AV1779" s="259" t="str">
        <f t="shared" si="409"/>
        <v>-</v>
      </c>
    </row>
    <row r="1780" spans="41:48">
      <c r="AO1780" s="824" t="str">
        <f t="shared" si="406"/>
        <v>No</v>
      </c>
      <c r="AP1780" s="259" t="str">
        <f t="shared" si="411"/>
        <v>blank</v>
      </c>
      <c r="AQ1780" s="542" t="str">
        <f t="shared" si="410"/>
        <v>无定金+无預留客戶</v>
      </c>
      <c r="AR1780" s="259" t="str">
        <f t="shared" si="404"/>
        <v/>
      </c>
      <c r="AS1780" s="259" t="str">
        <f t="shared" si="405"/>
        <v/>
      </c>
      <c r="AT1780" s="259" t="b">
        <f t="shared" si="407"/>
        <v>0</v>
      </c>
      <c r="AU1780" s="259" t="b">
        <f t="shared" si="408"/>
        <v>0</v>
      </c>
      <c r="AV1780" s="259" t="str">
        <f t="shared" si="409"/>
        <v>-</v>
      </c>
    </row>
    <row r="1781" spans="41:48">
      <c r="AO1781" s="824" t="str">
        <f t="shared" si="406"/>
        <v>No</v>
      </c>
      <c r="AP1781" s="259" t="str">
        <f t="shared" si="411"/>
        <v>blank</v>
      </c>
      <c r="AQ1781" s="542" t="str">
        <f t="shared" si="410"/>
        <v>无定金+无預留客戶</v>
      </c>
      <c r="AR1781" s="259" t="str">
        <f t="shared" si="404"/>
        <v/>
      </c>
      <c r="AS1781" s="259" t="str">
        <f t="shared" si="405"/>
        <v/>
      </c>
      <c r="AT1781" s="259" t="b">
        <f t="shared" si="407"/>
        <v>0</v>
      </c>
      <c r="AU1781" s="259" t="b">
        <f t="shared" si="408"/>
        <v>0</v>
      </c>
      <c r="AV1781" s="259" t="str">
        <f t="shared" si="409"/>
        <v>-</v>
      </c>
    </row>
    <row r="1782" spans="41:48">
      <c r="AO1782" s="824" t="str">
        <f t="shared" si="406"/>
        <v>No</v>
      </c>
      <c r="AP1782" s="259" t="str">
        <f t="shared" si="411"/>
        <v>blank</v>
      </c>
      <c r="AQ1782" s="542" t="str">
        <f t="shared" si="410"/>
        <v>无定金+无預留客戶</v>
      </c>
      <c r="AR1782" s="259" t="str">
        <f t="shared" si="404"/>
        <v/>
      </c>
      <c r="AS1782" s="259" t="str">
        <f t="shared" si="405"/>
        <v/>
      </c>
      <c r="AT1782" s="259" t="b">
        <f t="shared" si="407"/>
        <v>0</v>
      </c>
      <c r="AU1782" s="259" t="b">
        <f t="shared" si="408"/>
        <v>0</v>
      </c>
      <c r="AV1782" s="259" t="str">
        <f t="shared" si="409"/>
        <v>-</v>
      </c>
    </row>
    <row r="1783" spans="41:48">
      <c r="AO1783" s="824" t="str">
        <f t="shared" si="406"/>
        <v>No</v>
      </c>
      <c r="AP1783" s="259" t="str">
        <f t="shared" si="411"/>
        <v>blank</v>
      </c>
      <c r="AQ1783" s="542" t="str">
        <f t="shared" si="410"/>
        <v>无定金+无預留客戶</v>
      </c>
      <c r="AR1783" s="259" t="str">
        <f t="shared" si="404"/>
        <v/>
      </c>
      <c r="AS1783" s="259" t="str">
        <f t="shared" si="405"/>
        <v/>
      </c>
      <c r="AT1783" s="259" t="b">
        <f t="shared" si="407"/>
        <v>0</v>
      </c>
      <c r="AU1783" s="259" t="b">
        <f t="shared" si="408"/>
        <v>0</v>
      </c>
      <c r="AV1783" s="259" t="str">
        <f t="shared" si="409"/>
        <v>-</v>
      </c>
    </row>
    <row r="1784" spans="41:48">
      <c r="AO1784" s="824" t="str">
        <f t="shared" si="406"/>
        <v>No</v>
      </c>
      <c r="AP1784" s="259" t="str">
        <f t="shared" si="411"/>
        <v>blank</v>
      </c>
      <c r="AQ1784" s="542" t="str">
        <f t="shared" si="410"/>
        <v>无定金+无預留客戶</v>
      </c>
      <c r="AR1784" s="259" t="str">
        <f t="shared" si="404"/>
        <v/>
      </c>
      <c r="AS1784" s="259" t="str">
        <f t="shared" si="405"/>
        <v/>
      </c>
      <c r="AT1784" s="259" t="b">
        <f t="shared" si="407"/>
        <v>0</v>
      </c>
      <c r="AU1784" s="259" t="b">
        <f t="shared" si="408"/>
        <v>0</v>
      </c>
      <c r="AV1784" s="259" t="str">
        <f t="shared" si="409"/>
        <v>-</v>
      </c>
    </row>
    <row r="1785" spans="41:48">
      <c r="AO1785" s="824" t="str">
        <f t="shared" si="406"/>
        <v>No</v>
      </c>
      <c r="AP1785" s="259" t="str">
        <f t="shared" si="411"/>
        <v>blank</v>
      </c>
      <c r="AQ1785" s="542" t="str">
        <f t="shared" si="410"/>
        <v>无定金+无預留客戶</v>
      </c>
      <c r="AR1785" s="259" t="str">
        <f t="shared" si="404"/>
        <v/>
      </c>
      <c r="AS1785" s="259" t="str">
        <f t="shared" si="405"/>
        <v/>
      </c>
      <c r="AT1785" s="259" t="b">
        <f t="shared" si="407"/>
        <v>0</v>
      </c>
      <c r="AU1785" s="259" t="b">
        <f t="shared" si="408"/>
        <v>0</v>
      </c>
      <c r="AV1785" s="259" t="str">
        <f t="shared" si="409"/>
        <v>-</v>
      </c>
    </row>
    <row r="1786" spans="41:48">
      <c r="AO1786" s="824" t="str">
        <f t="shared" si="406"/>
        <v>No</v>
      </c>
      <c r="AP1786" s="259" t="str">
        <f t="shared" si="411"/>
        <v>blank</v>
      </c>
      <c r="AQ1786" s="542" t="str">
        <f t="shared" si="410"/>
        <v>无定金+无預留客戶</v>
      </c>
      <c r="AR1786" s="259" t="str">
        <f t="shared" si="404"/>
        <v/>
      </c>
      <c r="AS1786" s="259" t="str">
        <f t="shared" si="405"/>
        <v/>
      </c>
      <c r="AT1786" s="259" t="b">
        <f t="shared" si="407"/>
        <v>0</v>
      </c>
      <c r="AU1786" s="259" t="b">
        <f t="shared" si="408"/>
        <v>0</v>
      </c>
      <c r="AV1786" s="259" t="str">
        <f t="shared" si="409"/>
        <v>-</v>
      </c>
    </row>
    <row r="1787" spans="41:48">
      <c r="AO1787" s="824" t="str">
        <f t="shared" si="406"/>
        <v>No</v>
      </c>
      <c r="AP1787" s="259" t="str">
        <f t="shared" si="411"/>
        <v>blank</v>
      </c>
      <c r="AQ1787" s="542" t="str">
        <f t="shared" si="410"/>
        <v>无定金+无預留客戶</v>
      </c>
      <c r="AR1787" s="259" t="str">
        <f t="shared" si="404"/>
        <v/>
      </c>
      <c r="AS1787" s="259" t="str">
        <f t="shared" si="405"/>
        <v/>
      </c>
      <c r="AT1787" s="259" t="b">
        <f t="shared" si="407"/>
        <v>0</v>
      </c>
      <c r="AU1787" s="259" t="b">
        <f t="shared" si="408"/>
        <v>0</v>
      </c>
      <c r="AV1787" s="259" t="str">
        <f t="shared" si="409"/>
        <v>-</v>
      </c>
    </row>
    <row r="1788" spans="41:48">
      <c r="AO1788" s="824" t="str">
        <f t="shared" si="406"/>
        <v>No</v>
      </c>
      <c r="AP1788" s="259" t="str">
        <f t="shared" si="411"/>
        <v>blank</v>
      </c>
      <c r="AQ1788" s="542" t="str">
        <f t="shared" si="410"/>
        <v>无定金+无預留客戶</v>
      </c>
      <c r="AR1788" s="259" t="str">
        <f t="shared" si="404"/>
        <v/>
      </c>
      <c r="AS1788" s="259" t="str">
        <f t="shared" si="405"/>
        <v/>
      </c>
      <c r="AT1788" s="259" t="b">
        <f t="shared" si="407"/>
        <v>0</v>
      </c>
      <c r="AU1788" s="259" t="b">
        <f t="shared" si="408"/>
        <v>0</v>
      </c>
      <c r="AV1788" s="259" t="str">
        <f t="shared" si="409"/>
        <v>-</v>
      </c>
    </row>
    <row r="1789" spans="41:48">
      <c r="AO1789" s="824" t="str">
        <f t="shared" si="406"/>
        <v>No</v>
      </c>
      <c r="AP1789" s="259" t="str">
        <f t="shared" si="411"/>
        <v>blank</v>
      </c>
      <c r="AQ1789" s="542" t="str">
        <f t="shared" si="410"/>
        <v>无定金+无預留客戶</v>
      </c>
      <c r="AR1789" s="259" t="str">
        <f t="shared" si="404"/>
        <v/>
      </c>
      <c r="AS1789" s="259" t="str">
        <f t="shared" si="405"/>
        <v/>
      </c>
      <c r="AT1789" s="259" t="b">
        <f t="shared" si="407"/>
        <v>0</v>
      </c>
      <c r="AU1789" s="259" t="b">
        <f t="shared" si="408"/>
        <v>0</v>
      </c>
      <c r="AV1789" s="259" t="str">
        <f t="shared" si="409"/>
        <v>-</v>
      </c>
    </row>
    <row r="1790" spans="41:48">
      <c r="AO1790" s="824" t="str">
        <f t="shared" si="406"/>
        <v>No</v>
      </c>
      <c r="AP1790" s="259" t="str">
        <f t="shared" si="411"/>
        <v>blank</v>
      </c>
      <c r="AQ1790" s="542" t="str">
        <f t="shared" si="410"/>
        <v>无定金+无預留客戶</v>
      </c>
      <c r="AR1790" s="259" t="str">
        <f t="shared" ref="AR1790:AR1853" si="412">IFERROR(IF(B1790="已经到货", "Instock", IF(B1790="有交期", "Incoming_Stock_With_YAMAHA_Schedule", IF(B1790="TBA.", "Incoming_Stock_No_YAMAHA_Schedule", IF(B1790="已发货", "Shipped_Stock", "")))), "")</f>
        <v/>
      </c>
      <c r="AS1790" s="259" t="str">
        <f t="shared" ref="AS1790:AS1853" si="413">IF(AND(B1790="有交期", L1790&lt;&gt;""), L1790, "")</f>
        <v/>
      </c>
      <c r="AT1790" s="259" t="b">
        <f t="shared" si="407"/>
        <v>0</v>
      </c>
      <c r="AU1790" s="259" t="b">
        <f t="shared" si="408"/>
        <v>0</v>
      </c>
      <c r="AV1790" s="259" t="str">
        <f t="shared" si="409"/>
        <v>-</v>
      </c>
    </row>
    <row r="1791" spans="41:48">
      <c r="AO1791" s="824" t="str">
        <f t="shared" si="406"/>
        <v>No</v>
      </c>
      <c r="AP1791" s="259" t="str">
        <f t="shared" si="411"/>
        <v>blank</v>
      </c>
      <c r="AQ1791" s="542" t="str">
        <f t="shared" si="410"/>
        <v>无定金+无預留客戶</v>
      </c>
      <c r="AR1791" s="259" t="str">
        <f t="shared" si="412"/>
        <v/>
      </c>
      <c r="AS1791" s="259" t="str">
        <f t="shared" si="413"/>
        <v/>
      </c>
      <c r="AT1791" s="259" t="b">
        <f t="shared" si="407"/>
        <v>0</v>
      </c>
      <c r="AU1791" s="259" t="b">
        <f t="shared" si="408"/>
        <v>0</v>
      </c>
      <c r="AV1791" s="259" t="str">
        <f t="shared" si="409"/>
        <v>-</v>
      </c>
    </row>
    <row r="1792" spans="41:48">
      <c r="AO1792" s="824" t="str">
        <f t="shared" si="406"/>
        <v>No</v>
      </c>
      <c r="AP1792" s="259" t="str">
        <f t="shared" si="411"/>
        <v>blank</v>
      </c>
      <c r="AQ1792" s="542" t="str">
        <f t="shared" si="410"/>
        <v>无定金+无預留客戶</v>
      </c>
      <c r="AR1792" s="259" t="str">
        <f t="shared" si="412"/>
        <v/>
      </c>
      <c r="AS1792" s="259" t="str">
        <f t="shared" si="413"/>
        <v/>
      </c>
      <c r="AT1792" s="259" t="b">
        <f t="shared" si="407"/>
        <v>0</v>
      </c>
      <c r="AU1792" s="259" t="b">
        <f t="shared" si="408"/>
        <v>0</v>
      </c>
      <c r="AV1792" s="259" t="str">
        <f t="shared" si="409"/>
        <v>-</v>
      </c>
    </row>
    <row r="1793" spans="41:48">
      <c r="AO1793" s="824" t="str">
        <f t="shared" si="406"/>
        <v>No</v>
      </c>
      <c r="AP1793" s="259" t="str">
        <f t="shared" si="411"/>
        <v>blank</v>
      </c>
      <c r="AQ1793" s="542" t="str">
        <f t="shared" si="410"/>
        <v>无定金+无預留客戶</v>
      </c>
      <c r="AR1793" s="259" t="str">
        <f t="shared" si="412"/>
        <v/>
      </c>
      <c r="AS1793" s="259" t="str">
        <f t="shared" si="413"/>
        <v/>
      </c>
      <c r="AT1793" s="259" t="b">
        <f t="shared" si="407"/>
        <v>0</v>
      </c>
      <c r="AU1793" s="259" t="b">
        <f t="shared" si="408"/>
        <v>0</v>
      </c>
      <c r="AV1793" s="259" t="str">
        <f t="shared" si="409"/>
        <v>-</v>
      </c>
    </row>
    <row r="1794" spans="41:48">
      <c r="AO1794" s="824" t="str">
        <f t="shared" ref="AO1794:AO1857" si="414">IFERROR(IF(Y1794&lt;&gt;"",Y1794,"No"),"No")</f>
        <v>No</v>
      </c>
      <c r="AP1794" s="259" t="str">
        <f t="shared" si="411"/>
        <v>blank</v>
      </c>
      <c r="AQ1794" s="542" t="str">
        <f t="shared" si="410"/>
        <v>无定金+无預留客戶</v>
      </c>
      <c r="AR1794" s="259" t="str">
        <f t="shared" si="412"/>
        <v/>
      </c>
      <c r="AS1794" s="259" t="str">
        <f t="shared" si="413"/>
        <v/>
      </c>
      <c r="AT1794" s="259" t="b">
        <f t="shared" ref="AT1794:AT1857" si="415">IFERROR(IF(R1794&lt;&gt;"",R1794),"-")</f>
        <v>0</v>
      </c>
      <c r="AU1794" s="259" t="b">
        <f t="shared" ref="AU1794:AU1857" si="416">IFERROR(IF(Q1794&lt;&gt;"",Q1794),"-")</f>
        <v>0</v>
      </c>
      <c r="AV1794" s="259" t="str">
        <f t="shared" ref="AV1794:AV1857" si="417">IF(L1794="","-",TEXT(L1794,"mmm-dd"))</f>
        <v>-</v>
      </c>
    </row>
    <row r="1795" spans="41:48">
      <c r="AO1795" s="824" t="str">
        <f t="shared" si="414"/>
        <v>No</v>
      </c>
      <c r="AP1795" s="259" t="str">
        <f t="shared" si="411"/>
        <v>blank</v>
      </c>
      <c r="AQ1795" s="542" t="str">
        <f t="shared" ref="AQ1795:AQ1858" si="418">IFERROR(IF(AND(AO1795="Yes", AP1795&lt;&gt;"blank"), "有定金+有預留客戶", IF(AND(AO1795="Yes", AP1795="blank"), "有定金+无客戶送貨期", IF(AND(OR(AO1795="No", ISBLANK(AO1795), AO1795="NA"), AP1795&lt;&gt;"blank"), "无定金+有預留客戶", IF(AND(OR(AO1795="No", ISBLANK(AO1795), AO1795="NA"), AP1795="blank"), "无定金+无預留客戶", "")))), "")</f>
        <v>无定金+无預留客戶</v>
      </c>
      <c r="AR1795" s="259" t="str">
        <f t="shared" si="412"/>
        <v/>
      </c>
      <c r="AS1795" s="259" t="str">
        <f t="shared" si="413"/>
        <v/>
      </c>
      <c r="AT1795" s="259" t="b">
        <f t="shared" si="415"/>
        <v>0</v>
      </c>
      <c r="AU1795" s="259" t="b">
        <f t="shared" si="416"/>
        <v>0</v>
      </c>
      <c r="AV1795" s="259" t="str">
        <f t="shared" si="417"/>
        <v>-</v>
      </c>
    </row>
    <row r="1796" spans="41:48">
      <c r="AO1796" s="824" t="str">
        <f t="shared" si="414"/>
        <v>No</v>
      </c>
      <c r="AP1796" s="259" t="str">
        <f t="shared" si="411"/>
        <v>blank</v>
      </c>
      <c r="AQ1796" s="542" t="str">
        <f t="shared" si="418"/>
        <v>无定金+无預留客戶</v>
      </c>
      <c r="AR1796" s="259" t="str">
        <f t="shared" si="412"/>
        <v/>
      </c>
      <c r="AS1796" s="259" t="str">
        <f t="shared" si="413"/>
        <v/>
      </c>
      <c r="AT1796" s="259" t="b">
        <f t="shared" si="415"/>
        <v>0</v>
      </c>
      <c r="AU1796" s="259" t="b">
        <f t="shared" si="416"/>
        <v>0</v>
      </c>
      <c r="AV1796" s="259" t="str">
        <f t="shared" si="417"/>
        <v>-</v>
      </c>
    </row>
    <row r="1797" spans="41:48">
      <c r="AO1797" s="824" t="str">
        <f t="shared" si="414"/>
        <v>No</v>
      </c>
      <c r="AP1797" s="259" t="str">
        <f t="shared" si="411"/>
        <v>blank</v>
      </c>
      <c r="AQ1797" s="542" t="str">
        <f t="shared" si="418"/>
        <v>无定金+无預留客戶</v>
      </c>
      <c r="AR1797" s="259" t="str">
        <f t="shared" si="412"/>
        <v/>
      </c>
      <c r="AS1797" s="259" t="str">
        <f t="shared" si="413"/>
        <v/>
      </c>
      <c r="AT1797" s="259" t="b">
        <f t="shared" si="415"/>
        <v>0</v>
      </c>
      <c r="AU1797" s="259" t="b">
        <f t="shared" si="416"/>
        <v>0</v>
      </c>
      <c r="AV1797" s="259" t="str">
        <f t="shared" si="417"/>
        <v>-</v>
      </c>
    </row>
    <row r="1798" spans="41:48">
      <c r="AO1798" s="824" t="str">
        <f t="shared" si="414"/>
        <v>No</v>
      </c>
      <c r="AP1798" s="259" t="str">
        <f t="shared" ref="AP1798:AP1861" si="419">IFERROR(IF(N1798&lt;&gt;"",N1798,"blank"),"NA")</f>
        <v>blank</v>
      </c>
      <c r="AQ1798" s="542" t="str">
        <f t="shared" si="418"/>
        <v>无定金+无預留客戶</v>
      </c>
      <c r="AR1798" s="259" t="str">
        <f t="shared" si="412"/>
        <v/>
      </c>
      <c r="AS1798" s="259" t="str">
        <f t="shared" si="413"/>
        <v/>
      </c>
      <c r="AT1798" s="259" t="b">
        <f t="shared" si="415"/>
        <v>0</v>
      </c>
      <c r="AU1798" s="259" t="b">
        <f t="shared" si="416"/>
        <v>0</v>
      </c>
      <c r="AV1798" s="259" t="str">
        <f t="shared" si="417"/>
        <v>-</v>
      </c>
    </row>
    <row r="1799" spans="41:48">
      <c r="AO1799" s="824" t="str">
        <f t="shared" si="414"/>
        <v>No</v>
      </c>
      <c r="AP1799" s="259" t="str">
        <f t="shared" si="419"/>
        <v>blank</v>
      </c>
      <c r="AQ1799" s="542" t="str">
        <f t="shared" si="418"/>
        <v>无定金+无預留客戶</v>
      </c>
      <c r="AR1799" s="259" t="str">
        <f t="shared" si="412"/>
        <v/>
      </c>
      <c r="AS1799" s="259" t="str">
        <f t="shared" si="413"/>
        <v/>
      </c>
      <c r="AT1799" s="259" t="b">
        <f t="shared" si="415"/>
        <v>0</v>
      </c>
      <c r="AU1799" s="259" t="b">
        <f t="shared" si="416"/>
        <v>0</v>
      </c>
      <c r="AV1799" s="259" t="str">
        <f t="shared" si="417"/>
        <v>-</v>
      </c>
    </row>
    <row r="1800" spans="41:48">
      <c r="AO1800" s="824" t="str">
        <f t="shared" si="414"/>
        <v>No</v>
      </c>
      <c r="AP1800" s="259" t="str">
        <f t="shared" si="419"/>
        <v>blank</v>
      </c>
      <c r="AQ1800" s="542" t="str">
        <f t="shared" si="418"/>
        <v>无定金+无預留客戶</v>
      </c>
      <c r="AR1800" s="259" t="str">
        <f t="shared" si="412"/>
        <v/>
      </c>
      <c r="AS1800" s="259" t="str">
        <f t="shared" si="413"/>
        <v/>
      </c>
      <c r="AT1800" s="259" t="b">
        <f t="shared" si="415"/>
        <v>0</v>
      </c>
      <c r="AU1800" s="259" t="b">
        <f t="shared" si="416"/>
        <v>0</v>
      </c>
      <c r="AV1800" s="259" t="str">
        <f t="shared" si="417"/>
        <v>-</v>
      </c>
    </row>
    <row r="1801" spans="41:48">
      <c r="AO1801" s="824" t="str">
        <f t="shared" si="414"/>
        <v>No</v>
      </c>
      <c r="AP1801" s="259" t="str">
        <f t="shared" si="419"/>
        <v>blank</v>
      </c>
      <c r="AQ1801" s="542" t="str">
        <f t="shared" si="418"/>
        <v>无定金+无預留客戶</v>
      </c>
      <c r="AR1801" s="259" t="str">
        <f t="shared" si="412"/>
        <v/>
      </c>
      <c r="AS1801" s="259" t="str">
        <f t="shared" si="413"/>
        <v/>
      </c>
      <c r="AT1801" s="259" t="b">
        <f t="shared" si="415"/>
        <v>0</v>
      </c>
      <c r="AU1801" s="259" t="b">
        <f t="shared" si="416"/>
        <v>0</v>
      </c>
      <c r="AV1801" s="259" t="str">
        <f t="shared" si="417"/>
        <v>-</v>
      </c>
    </row>
    <row r="1802" spans="41:48">
      <c r="AO1802" s="824" t="str">
        <f t="shared" si="414"/>
        <v>No</v>
      </c>
      <c r="AP1802" s="259" t="str">
        <f t="shared" si="419"/>
        <v>blank</v>
      </c>
      <c r="AQ1802" s="542" t="str">
        <f t="shared" si="418"/>
        <v>无定金+无預留客戶</v>
      </c>
      <c r="AR1802" s="259" t="str">
        <f t="shared" si="412"/>
        <v/>
      </c>
      <c r="AS1802" s="259" t="str">
        <f t="shared" si="413"/>
        <v/>
      </c>
      <c r="AT1802" s="259" t="b">
        <f t="shared" si="415"/>
        <v>0</v>
      </c>
      <c r="AU1802" s="259" t="b">
        <f t="shared" si="416"/>
        <v>0</v>
      </c>
      <c r="AV1802" s="259" t="str">
        <f t="shared" si="417"/>
        <v>-</v>
      </c>
    </row>
    <row r="1803" spans="41:48">
      <c r="AO1803" s="824" t="str">
        <f t="shared" si="414"/>
        <v>No</v>
      </c>
      <c r="AP1803" s="259" t="str">
        <f t="shared" si="419"/>
        <v>blank</v>
      </c>
      <c r="AQ1803" s="542" t="str">
        <f t="shared" si="418"/>
        <v>无定金+无預留客戶</v>
      </c>
      <c r="AR1803" s="259" t="str">
        <f t="shared" si="412"/>
        <v/>
      </c>
      <c r="AS1803" s="259" t="str">
        <f t="shared" si="413"/>
        <v/>
      </c>
      <c r="AT1803" s="259" t="b">
        <f t="shared" si="415"/>
        <v>0</v>
      </c>
      <c r="AU1803" s="259" t="b">
        <f t="shared" si="416"/>
        <v>0</v>
      </c>
      <c r="AV1803" s="259" t="str">
        <f t="shared" si="417"/>
        <v>-</v>
      </c>
    </row>
    <row r="1804" spans="41:48">
      <c r="AO1804" s="824" t="str">
        <f t="shared" si="414"/>
        <v>No</v>
      </c>
      <c r="AP1804" s="259" t="str">
        <f t="shared" si="419"/>
        <v>blank</v>
      </c>
      <c r="AQ1804" s="542" t="str">
        <f t="shared" si="418"/>
        <v>无定金+无預留客戶</v>
      </c>
      <c r="AR1804" s="259" t="str">
        <f t="shared" si="412"/>
        <v/>
      </c>
      <c r="AS1804" s="259" t="str">
        <f t="shared" si="413"/>
        <v/>
      </c>
      <c r="AT1804" s="259" t="b">
        <f t="shared" si="415"/>
        <v>0</v>
      </c>
      <c r="AU1804" s="259" t="b">
        <f t="shared" si="416"/>
        <v>0</v>
      </c>
      <c r="AV1804" s="259" t="str">
        <f t="shared" si="417"/>
        <v>-</v>
      </c>
    </row>
    <row r="1805" spans="41:48">
      <c r="AO1805" s="824" t="str">
        <f t="shared" si="414"/>
        <v>No</v>
      </c>
      <c r="AP1805" s="259" t="str">
        <f t="shared" si="419"/>
        <v>blank</v>
      </c>
      <c r="AQ1805" s="542" t="str">
        <f t="shared" si="418"/>
        <v>无定金+无預留客戶</v>
      </c>
      <c r="AR1805" s="259" t="str">
        <f t="shared" si="412"/>
        <v/>
      </c>
      <c r="AS1805" s="259" t="str">
        <f t="shared" si="413"/>
        <v/>
      </c>
      <c r="AT1805" s="259" t="b">
        <f t="shared" si="415"/>
        <v>0</v>
      </c>
      <c r="AU1805" s="259" t="b">
        <f t="shared" si="416"/>
        <v>0</v>
      </c>
      <c r="AV1805" s="259" t="str">
        <f t="shared" si="417"/>
        <v>-</v>
      </c>
    </row>
    <row r="1806" spans="41:48">
      <c r="AO1806" s="824" t="str">
        <f t="shared" si="414"/>
        <v>No</v>
      </c>
      <c r="AP1806" s="259" t="str">
        <f t="shared" si="419"/>
        <v>blank</v>
      </c>
      <c r="AQ1806" s="542" t="str">
        <f t="shared" si="418"/>
        <v>无定金+无預留客戶</v>
      </c>
      <c r="AR1806" s="259" t="str">
        <f t="shared" si="412"/>
        <v/>
      </c>
      <c r="AS1806" s="259" t="str">
        <f t="shared" si="413"/>
        <v/>
      </c>
      <c r="AT1806" s="259" t="b">
        <f t="shared" si="415"/>
        <v>0</v>
      </c>
      <c r="AU1806" s="259" t="b">
        <f t="shared" si="416"/>
        <v>0</v>
      </c>
      <c r="AV1806" s="259" t="str">
        <f t="shared" si="417"/>
        <v>-</v>
      </c>
    </row>
    <row r="1807" spans="41:48">
      <c r="AO1807" s="824" t="str">
        <f t="shared" si="414"/>
        <v>No</v>
      </c>
      <c r="AP1807" s="259" t="str">
        <f t="shared" si="419"/>
        <v>blank</v>
      </c>
      <c r="AQ1807" s="542" t="str">
        <f t="shared" si="418"/>
        <v>无定金+无預留客戶</v>
      </c>
      <c r="AR1807" s="259" t="str">
        <f t="shared" si="412"/>
        <v/>
      </c>
      <c r="AS1807" s="259" t="str">
        <f t="shared" si="413"/>
        <v/>
      </c>
      <c r="AT1807" s="259" t="b">
        <f t="shared" si="415"/>
        <v>0</v>
      </c>
      <c r="AU1807" s="259" t="b">
        <f t="shared" si="416"/>
        <v>0</v>
      </c>
      <c r="AV1807" s="259" t="str">
        <f t="shared" si="417"/>
        <v>-</v>
      </c>
    </row>
    <row r="1808" spans="41:48">
      <c r="AO1808" s="824" t="str">
        <f t="shared" si="414"/>
        <v>No</v>
      </c>
      <c r="AP1808" s="259" t="str">
        <f t="shared" si="419"/>
        <v>blank</v>
      </c>
      <c r="AQ1808" s="542" t="str">
        <f t="shared" si="418"/>
        <v>无定金+无預留客戶</v>
      </c>
      <c r="AR1808" s="259" t="str">
        <f t="shared" si="412"/>
        <v/>
      </c>
      <c r="AS1808" s="259" t="str">
        <f t="shared" si="413"/>
        <v/>
      </c>
      <c r="AT1808" s="259" t="b">
        <f t="shared" si="415"/>
        <v>0</v>
      </c>
      <c r="AU1808" s="259" t="b">
        <f t="shared" si="416"/>
        <v>0</v>
      </c>
      <c r="AV1808" s="259" t="str">
        <f t="shared" si="417"/>
        <v>-</v>
      </c>
    </row>
    <row r="1809" spans="41:48">
      <c r="AO1809" s="824" t="str">
        <f t="shared" si="414"/>
        <v>No</v>
      </c>
      <c r="AP1809" s="259" t="str">
        <f t="shared" si="419"/>
        <v>blank</v>
      </c>
      <c r="AQ1809" s="542" t="str">
        <f t="shared" si="418"/>
        <v>无定金+无預留客戶</v>
      </c>
      <c r="AR1809" s="259" t="str">
        <f t="shared" si="412"/>
        <v/>
      </c>
      <c r="AS1809" s="259" t="str">
        <f t="shared" si="413"/>
        <v/>
      </c>
      <c r="AT1809" s="259" t="b">
        <f t="shared" si="415"/>
        <v>0</v>
      </c>
      <c r="AU1809" s="259" t="b">
        <f t="shared" si="416"/>
        <v>0</v>
      </c>
      <c r="AV1809" s="259" t="str">
        <f t="shared" si="417"/>
        <v>-</v>
      </c>
    </row>
    <row r="1810" spans="41:48">
      <c r="AO1810" s="824" t="str">
        <f t="shared" si="414"/>
        <v>No</v>
      </c>
      <c r="AP1810" s="259" t="str">
        <f t="shared" si="419"/>
        <v>blank</v>
      </c>
      <c r="AQ1810" s="542" t="str">
        <f t="shared" si="418"/>
        <v>无定金+无預留客戶</v>
      </c>
      <c r="AR1810" s="259" t="str">
        <f t="shared" si="412"/>
        <v/>
      </c>
      <c r="AS1810" s="259" t="str">
        <f t="shared" si="413"/>
        <v/>
      </c>
      <c r="AT1810" s="259" t="b">
        <f t="shared" si="415"/>
        <v>0</v>
      </c>
      <c r="AU1810" s="259" t="b">
        <f t="shared" si="416"/>
        <v>0</v>
      </c>
      <c r="AV1810" s="259" t="str">
        <f t="shared" si="417"/>
        <v>-</v>
      </c>
    </row>
    <row r="1811" spans="41:48">
      <c r="AO1811" s="824" t="str">
        <f t="shared" si="414"/>
        <v>No</v>
      </c>
      <c r="AP1811" s="259" t="str">
        <f t="shared" si="419"/>
        <v>blank</v>
      </c>
      <c r="AQ1811" s="542" t="str">
        <f t="shared" si="418"/>
        <v>无定金+无預留客戶</v>
      </c>
      <c r="AR1811" s="259" t="str">
        <f t="shared" si="412"/>
        <v/>
      </c>
      <c r="AS1811" s="259" t="str">
        <f t="shared" si="413"/>
        <v/>
      </c>
      <c r="AT1811" s="259" t="b">
        <f t="shared" si="415"/>
        <v>0</v>
      </c>
      <c r="AU1811" s="259" t="b">
        <f t="shared" si="416"/>
        <v>0</v>
      </c>
      <c r="AV1811" s="259" t="str">
        <f t="shared" si="417"/>
        <v>-</v>
      </c>
    </row>
    <row r="1812" spans="41:48">
      <c r="AO1812" s="824" t="str">
        <f t="shared" si="414"/>
        <v>No</v>
      </c>
      <c r="AP1812" s="259" t="str">
        <f t="shared" si="419"/>
        <v>blank</v>
      </c>
      <c r="AQ1812" s="542" t="str">
        <f t="shared" si="418"/>
        <v>无定金+无預留客戶</v>
      </c>
      <c r="AR1812" s="259" t="str">
        <f t="shared" si="412"/>
        <v/>
      </c>
      <c r="AS1812" s="259" t="str">
        <f t="shared" si="413"/>
        <v/>
      </c>
      <c r="AT1812" s="259" t="b">
        <f t="shared" si="415"/>
        <v>0</v>
      </c>
      <c r="AU1812" s="259" t="b">
        <f t="shared" si="416"/>
        <v>0</v>
      </c>
      <c r="AV1812" s="259" t="str">
        <f t="shared" si="417"/>
        <v>-</v>
      </c>
    </row>
    <row r="1813" spans="41:48">
      <c r="AO1813" s="824" t="str">
        <f t="shared" si="414"/>
        <v>No</v>
      </c>
      <c r="AP1813" s="259" t="str">
        <f t="shared" si="419"/>
        <v>blank</v>
      </c>
      <c r="AQ1813" s="542" t="str">
        <f t="shared" si="418"/>
        <v>无定金+无預留客戶</v>
      </c>
      <c r="AR1813" s="259" t="str">
        <f t="shared" si="412"/>
        <v/>
      </c>
      <c r="AS1813" s="259" t="str">
        <f t="shared" si="413"/>
        <v/>
      </c>
      <c r="AT1813" s="259" t="b">
        <f t="shared" si="415"/>
        <v>0</v>
      </c>
      <c r="AU1813" s="259" t="b">
        <f t="shared" si="416"/>
        <v>0</v>
      </c>
      <c r="AV1813" s="259" t="str">
        <f t="shared" si="417"/>
        <v>-</v>
      </c>
    </row>
    <row r="1814" spans="41:48">
      <c r="AO1814" s="824" t="str">
        <f t="shared" si="414"/>
        <v>No</v>
      </c>
      <c r="AP1814" s="259" t="str">
        <f t="shared" si="419"/>
        <v>blank</v>
      </c>
      <c r="AQ1814" s="542" t="str">
        <f t="shared" si="418"/>
        <v>无定金+无預留客戶</v>
      </c>
      <c r="AR1814" s="259" t="str">
        <f t="shared" si="412"/>
        <v/>
      </c>
      <c r="AS1814" s="259" t="str">
        <f t="shared" si="413"/>
        <v/>
      </c>
      <c r="AT1814" s="259" t="b">
        <f t="shared" si="415"/>
        <v>0</v>
      </c>
      <c r="AU1814" s="259" t="b">
        <f t="shared" si="416"/>
        <v>0</v>
      </c>
      <c r="AV1814" s="259" t="str">
        <f t="shared" si="417"/>
        <v>-</v>
      </c>
    </row>
    <row r="1815" spans="41:48">
      <c r="AO1815" s="824" t="str">
        <f t="shared" si="414"/>
        <v>No</v>
      </c>
      <c r="AP1815" s="259" t="str">
        <f t="shared" si="419"/>
        <v>blank</v>
      </c>
      <c r="AQ1815" s="542" t="str">
        <f t="shared" si="418"/>
        <v>无定金+无預留客戶</v>
      </c>
      <c r="AR1815" s="259" t="str">
        <f t="shared" si="412"/>
        <v/>
      </c>
      <c r="AS1815" s="259" t="str">
        <f t="shared" si="413"/>
        <v/>
      </c>
      <c r="AT1815" s="259" t="b">
        <f t="shared" si="415"/>
        <v>0</v>
      </c>
      <c r="AU1815" s="259" t="b">
        <f t="shared" si="416"/>
        <v>0</v>
      </c>
      <c r="AV1815" s="259" t="str">
        <f t="shared" si="417"/>
        <v>-</v>
      </c>
    </row>
    <row r="1816" spans="41:48">
      <c r="AO1816" s="824" t="str">
        <f t="shared" si="414"/>
        <v>No</v>
      </c>
      <c r="AP1816" s="259" t="str">
        <f t="shared" si="419"/>
        <v>blank</v>
      </c>
      <c r="AQ1816" s="542" t="str">
        <f t="shared" si="418"/>
        <v>无定金+无預留客戶</v>
      </c>
      <c r="AR1816" s="259" t="str">
        <f t="shared" si="412"/>
        <v/>
      </c>
      <c r="AS1816" s="259" t="str">
        <f t="shared" si="413"/>
        <v/>
      </c>
      <c r="AT1816" s="259" t="b">
        <f t="shared" si="415"/>
        <v>0</v>
      </c>
      <c r="AU1816" s="259" t="b">
        <f t="shared" si="416"/>
        <v>0</v>
      </c>
      <c r="AV1816" s="259" t="str">
        <f t="shared" si="417"/>
        <v>-</v>
      </c>
    </row>
    <row r="1817" spans="41:48">
      <c r="AO1817" s="824" t="str">
        <f t="shared" si="414"/>
        <v>No</v>
      </c>
      <c r="AP1817" s="259" t="str">
        <f t="shared" si="419"/>
        <v>blank</v>
      </c>
      <c r="AQ1817" s="542" t="str">
        <f t="shared" si="418"/>
        <v>无定金+无預留客戶</v>
      </c>
      <c r="AR1817" s="259" t="str">
        <f t="shared" si="412"/>
        <v/>
      </c>
      <c r="AS1817" s="259" t="str">
        <f t="shared" si="413"/>
        <v/>
      </c>
      <c r="AT1817" s="259" t="b">
        <f t="shared" si="415"/>
        <v>0</v>
      </c>
      <c r="AU1817" s="259" t="b">
        <f t="shared" si="416"/>
        <v>0</v>
      </c>
      <c r="AV1817" s="259" t="str">
        <f t="shared" si="417"/>
        <v>-</v>
      </c>
    </row>
    <row r="1818" spans="41:48">
      <c r="AO1818" s="824" t="str">
        <f t="shared" si="414"/>
        <v>No</v>
      </c>
      <c r="AP1818" s="259" t="str">
        <f t="shared" si="419"/>
        <v>blank</v>
      </c>
      <c r="AQ1818" s="542" t="str">
        <f t="shared" si="418"/>
        <v>无定金+无預留客戶</v>
      </c>
      <c r="AR1818" s="259" t="str">
        <f t="shared" si="412"/>
        <v/>
      </c>
      <c r="AS1818" s="259" t="str">
        <f t="shared" si="413"/>
        <v/>
      </c>
      <c r="AT1818" s="259" t="b">
        <f t="shared" si="415"/>
        <v>0</v>
      </c>
      <c r="AU1818" s="259" t="b">
        <f t="shared" si="416"/>
        <v>0</v>
      </c>
      <c r="AV1818" s="259" t="str">
        <f t="shared" si="417"/>
        <v>-</v>
      </c>
    </row>
    <row r="1819" spans="41:48">
      <c r="AO1819" s="824" t="str">
        <f t="shared" si="414"/>
        <v>No</v>
      </c>
      <c r="AP1819" s="259" t="str">
        <f t="shared" si="419"/>
        <v>blank</v>
      </c>
      <c r="AQ1819" s="542" t="str">
        <f t="shared" si="418"/>
        <v>无定金+无預留客戶</v>
      </c>
      <c r="AR1819" s="259" t="str">
        <f t="shared" si="412"/>
        <v/>
      </c>
      <c r="AS1819" s="259" t="str">
        <f t="shared" si="413"/>
        <v/>
      </c>
      <c r="AT1819" s="259" t="b">
        <f t="shared" si="415"/>
        <v>0</v>
      </c>
      <c r="AU1819" s="259" t="b">
        <f t="shared" si="416"/>
        <v>0</v>
      </c>
      <c r="AV1819" s="259" t="str">
        <f t="shared" si="417"/>
        <v>-</v>
      </c>
    </row>
    <row r="1820" spans="41:48">
      <c r="AO1820" s="824" t="str">
        <f t="shared" si="414"/>
        <v>No</v>
      </c>
      <c r="AP1820" s="259" t="str">
        <f t="shared" si="419"/>
        <v>blank</v>
      </c>
      <c r="AQ1820" s="542" t="str">
        <f t="shared" si="418"/>
        <v>无定金+无預留客戶</v>
      </c>
      <c r="AR1820" s="259" t="str">
        <f t="shared" si="412"/>
        <v/>
      </c>
      <c r="AS1820" s="259" t="str">
        <f t="shared" si="413"/>
        <v/>
      </c>
      <c r="AT1820" s="259" t="b">
        <f t="shared" si="415"/>
        <v>0</v>
      </c>
      <c r="AU1820" s="259" t="b">
        <f t="shared" si="416"/>
        <v>0</v>
      </c>
      <c r="AV1820" s="259" t="str">
        <f t="shared" si="417"/>
        <v>-</v>
      </c>
    </row>
    <row r="1821" spans="41:48">
      <c r="AO1821" s="824" t="str">
        <f t="shared" si="414"/>
        <v>No</v>
      </c>
      <c r="AP1821" s="259" t="str">
        <f t="shared" si="419"/>
        <v>blank</v>
      </c>
      <c r="AQ1821" s="542" t="str">
        <f t="shared" si="418"/>
        <v>无定金+无預留客戶</v>
      </c>
      <c r="AR1821" s="259" t="str">
        <f t="shared" si="412"/>
        <v/>
      </c>
      <c r="AS1821" s="259" t="str">
        <f t="shared" si="413"/>
        <v/>
      </c>
      <c r="AT1821" s="259" t="b">
        <f t="shared" si="415"/>
        <v>0</v>
      </c>
      <c r="AU1821" s="259" t="b">
        <f t="shared" si="416"/>
        <v>0</v>
      </c>
      <c r="AV1821" s="259" t="str">
        <f t="shared" si="417"/>
        <v>-</v>
      </c>
    </row>
    <row r="1822" spans="41:48">
      <c r="AO1822" s="824" t="str">
        <f t="shared" si="414"/>
        <v>No</v>
      </c>
      <c r="AP1822" s="259" t="str">
        <f t="shared" si="419"/>
        <v>blank</v>
      </c>
      <c r="AQ1822" s="542" t="str">
        <f t="shared" si="418"/>
        <v>无定金+无預留客戶</v>
      </c>
      <c r="AR1822" s="259" t="str">
        <f t="shared" si="412"/>
        <v/>
      </c>
      <c r="AS1822" s="259" t="str">
        <f t="shared" si="413"/>
        <v/>
      </c>
      <c r="AT1822" s="259" t="b">
        <f t="shared" si="415"/>
        <v>0</v>
      </c>
      <c r="AU1822" s="259" t="b">
        <f t="shared" si="416"/>
        <v>0</v>
      </c>
      <c r="AV1822" s="259" t="str">
        <f t="shared" si="417"/>
        <v>-</v>
      </c>
    </row>
    <row r="1823" spans="41:48">
      <c r="AO1823" s="824" t="str">
        <f t="shared" si="414"/>
        <v>No</v>
      </c>
      <c r="AP1823" s="259" t="str">
        <f t="shared" si="419"/>
        <v>blank</v>
      </c>
      <c r="AQ1823" s="542" t="str">
        <f t="shared" si="418"/>
        <v>无定金+无預留客戶</v>
      </c>
      <c r="AR1823" s="259" t="str">
        <f t="shared" si="412"/>
        <v/>
      </c>
      <c r="AS1823" s="259" t="str">
        <f t="shared" si="413"/>
        <v/>
      </c>
      <c r="AT1823" s="259" t="b">
        <f t="shared" si="415"/>
        <v>0</v>
      </c>
      <c r="AU1823" s="259" t="b">
        <f t="shared" si="416"/>
        <v>0</v>
      </c>
      <c r="AV1823" s="259" t="str">
        <f t="shared" si="417"/>
        <v>-</v>
      </c>
    </row>
    <row r="1824" spans="41:48">
      <c r="AO1824" s="824" t="str">
        <f t="shared" si="414"/>
        <v>No</v>
      </c>
      <c r="AP1824" s="259" t="str">
        <f t="shared" si="419"/>
        <v>blank</v>
      </c>
      <c r="AQ1824" s="542" t="str">
        <f t="shared" si="418"/>
        <v>无定金+无預留客戶</v>
      </c>
      <c r="AR1824" s="259" t="str">
        <f t="shared" si="412"/>
        <v/>
      </c>
      <c r="AS1824" s="259" t="str">
        <f t="shared" si="413"/>
        <v/>
      </c>
      <c r="AT1824" s="259" t="b">
        <f t="shared" si="415"/>
        <v>0</v>
      </c>
      <c r="AU1824" s="259" t="b">
        <f t="shared" si="416"/>
        <v>0</v>
      </c>
      <c r="AV1824" s="259" t="str">
        <f t="shared" si="417"/>
        <v>-</v>
      </c>
    </row>
    <row r="1825" spans="41:48">
      <c r="AO1825" s="824" t="str">
        <f t="shared" si="414"/>
        <v>No</v>
      </c>
      <c r="AP1825" s="259" t="str">
        <f t="shared" si="419"/>
        <v>blank</v>
      </c>
      <c r="AQ1825" s="542" t="str">
        <f t="shared" si="418"/>
        <v>无定金+无預留客戶</v>
      </c>
      <c r="AR1825" s="259" t="str">
        <f t="shared" si="412"/>
        <v/>
      </c>
      <c r="AS1825" s="259" t="str">
        <f t="shared" si="413"/>
        <v/>
      </c>
      <c r="AT1825" s="259" t="b">
        <f t="shared" si="415"/>
        <v>0</v>
      </c>
      <c r="AU1825" s="259" t="b">
        <f t="shared" si="416"/>
        <v>0</v>
      </c>
      <c r="AV1825" s="259" t="str">
        <f t="shared" si="417"/>
        <v>-</v>
      </c>
    </row>
    <row r="1826" spans="41:48">
      <c r="AO1826" s="824" t="str">
        <f t="shared" si="414"/>
        <v>No</v>
      </c>
      <c r="AP1826" s="259" t="str">
        <f t="shared" si="419"/>
        <v>blank</v>
      </c>
      <c r="AQ1826" s="542" t="str">
        <f t="shared" si="418"/>
        <v>无定金+无預留客戶</v>
      </c>
      <c r="AR1826" s="259" t="str">
        <f t="shared" si="412"/>
        <v/>
      </c>
      <c r="AS1826" s="259" t="str">
        <f t="shared" si="413"/>
        <v/>
      </c>
      <c r="AT1826" s="259" t="b">
        <f t="shared" si="415"/>
        <v>0</v>
      </c>
      <c r="AU1826" s="259" t="b">
        <f t="shared" si="416"/>
        <v>0</v>
      </c>
      <c r="AV1826" s="259" t="str">
        <f t="shared" si="417"/>
        <v>-</v>
      </c>
    </row>
    <row r="1827" spans="41:48">
      <c r="AO1827" s="824" t="str">
        <f t="shared" si="414"/>
        <v>No</v>
      </c>
      <c r="AP1827" s="259" t="str">
        <f t="shared" si="419"/>
        <v>blank</v>
      </c>
      <c r="AQ1827" s="542" t="str">
        <f t="shared" si="418"/>
        <v>无定金+无預留客戶</v>
      </c>
      <c r="AR1827" s="259" t="str">
        <f t="shared" si="412"/>
        <v/>
      </c>
      <c r="AS1827" s="259" t="str">
        <f t="shared" si="413"/>
        <v/>
      </c>
      <c r="AT1827" s="259" t="b">
        <f t="shared" si="415"/>
        <v>0</v>
      </c>
      <c r="AU1827" s="259" t="b">
        <f t="shared" si="416"/>
        <v>0</v>
      </c>
      <c r="AV1827" s="259" t="str">
        <f t="shared" si="417"/>
        <v>-</v>
      </c>
    </row>
    <row r="1828" spans="41:48">
      <c r="AO1828" s="824" t="str">
        <f t="shared" si="414"/>
        <v>No</v>
      </c>
      <c r="AP1828" s="259" t="str">
        <f t="shared" si="419"/>
        <v>blank</v>
      </c>
      <c r="AQ1828" s="542" t="str">
        <f t="shared" si="418"/>
        <v>无定金+无預留客戶</v>
      </c>
      <c r="AR1828" s="259" t="str">
        <f t="shared" si="412"/>
        <v/>
      </c>
      <c r="AS1828" s="259" t="str">
        <f t="shared" si="413"/>
        <v/>
      </c>
      <c r="AT1828" s="259" t="b">
        <f t="shared" si="415"/>
        <v>0</v>
      </c>
      <c r="AU1828" s="259" t="b">
        <f t="shared" si="416"/>
        <v>0</v>
      </c>
      <c r="AV1828" s="259" t="str">
        <f t="shared" si="417"/>
        <v>-</v>
      </c>
    </row>
    <row r="1829" spans="41:48">
      <c r="AO1829" s="824" t="str">
        <f t="shared" si="414"/>
        <v>No</v>
      </c>
      <c r="AP1829" s="259" t="str">
        <f t="shared" si="419"/>
        <v>blank</v>
      </c>
      <c r="AQ1829" s="542" t="str">
        <f t="shared" si="418"/>
        <v>无定金+无預留客戶</v>
      </c>
      <c r="AR1829" s="259" t="str">
        <f t="shared" si="412"/>
        <v/>
      </c>
      <c r="AS1829" s="259" t="str">
        <f t="shared" si="413"/>
        <v/>
      </c>
      <c r="AT1829" s="259" t="b">
        <f t="shared" si="415"/>
        <v>0</v>
      </c>
      <c r="AU1829" s="259" t="b">
        <f t="shared" si="416"/>
        <v>0</v>
      </c>
      <c r="AV1829" s="259" t="str">
        <f t="shared" si="417"/>
        <v>-</v>
      </c>
    </row>
    <row r="1830" spans="41:48">
      <c r="AO1830" s="824" t="str">
        <f t="shared" si="414"/>
        <v>No</v>
      </c>
      <c r="AP1830" s="259" t="str">
        <f t="shared" si="419"/>
        <v>blank</v>
      </c>
      <c r="AQ1830" s="542" t="str">
        <f t="shared" si="418"/>
        <v>无定金+无預留客戶</v>
      </c>
      <c r="AR1830" s="259" t="str">
        <f t="shared" si="412"/>
        <v/>
      </c>
      <c r="AS1830" s="259" t="str">
        <f t="shared" si="413"/>
        <v/>
      </c>
      <c r="AT1830" s="259" t="b">
        <f t="shared" si="415"/>
        <v>0</v>
      </c>
      <c r="AU1830" s="259" t="b">
        <f t="shared" si="416"/>
        <v>0</v>
      </c>
      <c r="AV1830" s="259" t="str">
        <f t="shared" si="417"/>
        <v>-</v>
      </c>
    </row>
    <row r="1831" spans="41:48">
      <c r="AO1831" s="824" t="str">
        <f t="shared" si="414"/>
        <v>No</v>
      </c>
      <c r="AP1831" s="259" t="str">
        <f t="shared" si="419"/>
        <v>blank</v>
      </c>
      <c r="AQ1831" s="542" t="str">
        <f t="shared" si="418"/>
        <v>无定金+无預留客戶</v>
      </c>
      <c r="AR1831" s="259" t="str">
        <f t="shared" si="412"/>
        <v/>
      </c>
      <c r="AS1831" s="259" t="str">
        <f t="shared" si="413"/>
        <v/>
      </c>
      <c r="AT1831" s="259" t="b">
        <f t="shared" si="415"/>
        <v>0</v>
      </c>
      <c r="AU1831" s="259" t="b">
        <f t="shared" si="416"/>
        <v>0</v>
      </c>
      <c r="AV1831" s="259" t="str">
        <f t="shared" si="417"/>
        <v>-</v>
      </c>
    </row>
    <row r="1832" spans="41:48">
      <c r="AO1832" s="824" t="str">
        <f t="shared" si="414"/>
        <v>No</v>
      </c>
      <c r="AP1832" s="259" t="str">
        <f t="shared" si="419"/>
        <v>blank</v>
      </c>
      <c r="AQ1832" s="542" t="str">
        <f t="shared" si="418"/>
        <v>无定金+无預留客戶</v>
      </c>
      <c r="AR1832" s="259" t="str">
        <f t="shared" si="412"/>
        <v/>
      </c>
      <c r="AS1832" s="259" t="str">
        <f t="shared" si="413"/>
        <v/>
      </c>
      <c r="AT1832" s="259" t="b">
        <f t="shared" si="415"/>
        <v>0</v>
      </c>
      <c r="AU1832" s="259" t="b">
        <f t="shared" si="416"/>
        <v>0</v>
      </c>
      <c r="AV1832" s="259" t="str">
        <f t="shared" si="417"/>
        <v>-</v>
      </c>
    </row>
    <row r="1833" spans="41:48">
      <c r="AO1833" s="824" t="str">
        <f t="shared" si="414"/>
        <v>No</v>
      </c>
      <c r="AP1833" s="259" t="str">
        <f t="shared" si="419"/>
        <v>blank</v>
      </c>
      <c r="AQ1833" s="542" t="str">
        <f t="shared" si="418"/>
        <v>无定金+无預留客戶</v>
      </c>
      <c r="AR1833" s="259" t="str">
        <f t="shared" si="412"/>
        <v/>
      </c>
      <c r="AS1833" s="259" t="str">
        <f t="shared" si="413"/>
        <v/>
      </c>
      <c r="AT1833" s="259" t="b">
        <f t="shared" si="415"/>
        <v>0</v>
      </c>
      <c r="AU1833" s="259" t="b">
        <f t="shared" si="416"/>
        <v>0</v>
      </c>
      <c r="AV1833" s="259" t="str">
        <f t="shared" si="417"/>
        <v>-</v>
      </c>
    </row>
    <row r="1834" spans="41:48">
      <c r="AO1834" s="824" t="str">
        <f t="shared" si="414"/>
        <v>No</v>
      </c>
      <c r="AP1834" s="259" t="str">
        <f t="shared" si="419"/>
        <v>blank</v>
      </c>
      <c r="AQ1834" s="542" t="str">
        <f t="shared" si="418"/>
        <v>无定金+无預留客戶</v>
      </c>
      <c r="AR1834" s="259" t="str">
        <f t="shared" si="412"/>
        <v/>
      </c>
      <c r="AS1834" s="259" t="str">
        <f t="shared" si="413"/>
        <v/>
      </c>
      <c r="AT1834" s="259" t="b">
        <f t="shared" si="415"/>
        <v>0</v>
      </c>
      <c r="AU1834" s="259" t="b">
        <f t="shared" si="416"/>
        <v>0</v>
      </c>
      <c r="AV1834" s="259" t="str">
        <f t="shared" si="417"/>
        <v>-</v>
      </c>
    </row>
    <row r="1835" spans="41:48">
      <c r="AO1835" s="824" t="str">
        <f t="shared" si="414"/>
        <v>No</v>
      </c>
      <c r="AP1835" s="259" t="str">
        <f t="shared" si="419"/>
        <v>blank</v>
      </c>
      <c r="AQ1835" s="542" t="str">
        <f t="shared" si="418"/>
        <v>无定金+无預留客戶</v>
      </c>
      <c r="AR1835" s="259" t="str">
        <f t="shared" si="412"/>
        <v/>
      </c>
      <c r="AS1835" s="259" t="str">
        <f t="shared" si="413"/>
        <v/>
      </c>
      <c r="AT1835" s="259" t="b">
        <f t="shared" si="415"/>
        <v>0</v>
      </c>
      <c r="AU1835" s="259" t="b">
        <f t="shared" si="416"/>
        <v>0</v>
      </c>
      <c r="AV1835" s="259" t="str">
        <f t="shared" si="417"/>
        <v>-</v>
      </c>
    </row>
    <row r="1836" spans="41:48">
      <c r="AO1836" s="824" t="str">
        <f t="shared" si="414"/>
        <v>No</v>
      </c>
      <c r="AP1836" s="259" t="str">
        <f t="shared" si="419"/>
        <v>blank</v>
      </c>
      <c r="AQ1836" s="542" t="str">
        <f t="shared" si="418"/>
        <v>无定金+无預留客戶</v>
      </c>
      <c r="AR1836" s="259" t="str">
        <f t="shared" si="412"/>
        <v/>
      </c>
      <c r="AS1836" s="259" t="str">
        <f t="shared" si="413"/>
        <v/>
      </c>
      <c r="AT1836" s="259" t="b">
        <f t="shared" si="415"/>
        <v>0</v>
      </c>
      <c r="AU1836" s="259" t="b">
        <f t="shared" si="416"/>
        <v>0</v>
      </c>
      <c r="AV1836" s="259" t="str">
        <f t="shared" si="417"/>
        <v>-</v>
      </c>
    </row>
    <row r="1837" spans="41:48">
      <c r="AO1837" s="824" t="str">
        <f t="shared" si="414"/>
        <v>No</v>
      </c>
      <c r="AP1837" s="259" t="str">
        <f t="shared" si="419"/>
        <v>blank</v>
      </c>
      <c r="AQ1837" s="542" t="str">
        <f t="shared" si="418"/>
        <v>无定金+无預留客戶</v>
      </c>
      <c r="AR1837" s="259" t="str">
        <f t="shared" si="412"/>
        <v/>
      </c>
      <c r="AS1837" s="259" t="str">
        <f t="shared" si="413"/>
        <v/>
      </c>
      <c r="AT1837" s="259" t="b">
        <f t="shared" si="415"/>
        <v>0</v>
      </c>
      <c r="AU1837" s="259" t="b">
        <f t="shared" si="416"/>
        <v>0</v>
      </c>
      <c r="AV1837" s="259" t="str">
        <f t="shared" si="417"/>
        <v>-</v>
      </c>
    </row>
    <row r="1838" spans="41:48">
      <c r="AO1838" s="824" t="str">
        <f t="shared" si="414"/>
        <v>No</v>
      </c>
      <c r="AP1838" s="259" t="str">
        <f t="shared" si="419"/>
        <v>blank</v>
      </c>
      <c r="AQ1838" s="542" t="str">
        <f t="shared" si="418"/>
        <v>无定金+无預留客戶</v>
      </c>
      <c r="AR1838" s="259" t="str">
        <f t="shared" si="412"/>
        <v/>
      </c>
      <c r="AS1838" s="259" t="str">
        <f t="shared" si="413"/>
        <v/>
      </c>
      <c r="AT1838" s="259" t="b">
        <f t="shared" si="415"/>
        <v>0</v>
      </c>
      <c r="AU1838" s="259" t="b">
        <f t="shared" si="416"/>
        <v>0</v>
      </c>
      <c r="AV1838" s="259" t="str">
        <f t="shared" si="417"/>
        <v>-</v>
      </c>
    </row>
    <row r="1839" spans="41:48">
      <c r="AO1839" s="824" t="str">
        <f t="shared" si="414"/>
        <v>No</v>
      </c>
      <c r="AP1839" s="259" t="str">
        <f t="shared" si="419"/>
        <v>blank</v>
      </c>
      <c r="AQ1839" s="542" t="str">
        <f t="shared" si="418"/>
        <v>无定金+无預留客戶</v>
      </c>
      <c r="AR1839" s="259" t="str">
        <f t="shared" si="412"/>
        <v/>
      </c>
      <c r="AS1839" s="259" t="str">
        <f t="shared" si="413"/>
        <v/>
      </c>
      <c r="AT1839" s="259" t="b">
        <f t="shared" si="415"/>
        <v>0</v>
      </c>
      <c r="AU1839" s="259" t="b">
        <f t="shared" si="416"/>
        <v>0</v>
      </c>
      <c r="AV1839" s="259" t="str">
        <f t="shared" si="417"/>
        <v>-</v>
      </c>
    </row>
    <row r="1840" spans="41:48">
      <c r="AO1840" s="824" t="str">
        <f t="shared" si="414"/>
        <v>No</v>
      </c>
      <c r="AP1840" s="259" t="str">
        <f t="shared" si="419"/>
        <v>blank</v>
      </c>
      <c r="AQ1840" s="542" t="str">
        <f t="shared" si="418"/>
        <v>无定金+无預留客戶</v>
      </c>
      <c r="AR1840" s="259" t="str">
        <f t="shared" si="412"/>
        <v/>
      </c>
      <c r="AS1840" s="259" t="str">
        <f t="shared" si="413"/>
        <v/>
      </c>
      <c r="AT1840" s="259" t="b">
        <f t="shared" si="415"/>
        <v>0</v>
      </c>
      <c r="AU1840" s="259" t="b">
        <f t="shared" si="416"/>
        <v>0</v>
      </c>
      <c r="AV1840" s="259" t="str">
        <f t="shared" si="417"/>
        <v>-</v>
      </c>
    </row>
    <row r="1841" spans="41:48">
      <c r="AO1841" s="824" t="str">
        <f t="shared" si="414"/>
        <v>No</v>
      </c>
      <c r="AP1841" s="259" t="str">
        <f t="shared" si="419"/>
        <v>blank</v>
      </c>
      <c r="AQ1841" s="542" t="str">
        <f t="shared" si="418"/>
        <v>无定金+无預留客戶</v>
      </c>
      <c r="AR1841" s="259" t="str">
        <f t="shared" si="412"/>
        <v/>
      </c>
      <c r="AS1841" s="259" t="str">
        <f t="shared" si="413"/>
        <v/>
      </c>
      <c r="AT1841" s="259" t="b">
        <f t="shared" si="415"/>
        <v>0</v>
      </c>
      <c r="AU1841" s="259" t="b">
        <f t="shared" si="416"/>
        <v>0</v>
      </c>
      <c r="AV1841" s="259" t="str">
        <f t="shared" si="417"/>
        <v>-</v>
      </c>
    </row>
    <row r="1842" spans="41:48">
      <c r="AO1842" s="824" t="str">
        <f t="shared" si="414"/>
        <v>No</v>
      </c>
      <c r="AP1842" s="259" t="str">
        <f t="shared" si="419"/>
        <v>blank</v>
      </c>
      <c r="AQ1842" s="542" t="str">
        <f t="shared" si="418"/>
        <v>无定金+无預留客戶</v>
      </c>
      <c r="AR1842" s="259" t="str">
        <f t="shared" si="412"/>
        <v/>
      </c>
      <c r="AS1842" s="259" t="str">
        <f t="shared" si="413"/>
        <v/>
      </c>
      <c r="AT1842" s="259" t="b">
        <f t="shared" si="415"/>
        <v>0</v>
      </c>
      <c r="AU1842" s="259" t="b">
        <f t="shared" si="416"/>
        <v>0</v>
      </c>
      <c r="AV1842" s="259" t="str">
        <f t="shared" si="417"/>
        <v>-</v>
      </c>
    </row>
    <row r="1843" spans="41:48">
      <c r="AO1843" s="824" t="str">
        <f t="shared" si="414"/>
        <v>No</v>
      </c>
      <c r="AP1843" s="259" t="str">
        <f t="shared" si="419"/>
        <v>blank</v>
      </c>
      <c r="AQ1843" s="542" t="str">
        <f t="shared" si="418"/>
        <v>无定金+无預留客戶</v>
      </c>
      <c r="AR1843" s="259" t="str">
        <f t="shared" si="412"/>
        <v/>
      </c>
      <c r="AS1843" s="259" t="str">
        <f t="shared" si="413"/>
        <v/>
      </c>
      <c r="AT1843" s="259" t="b">
        <f t="shared" si="415"/>
        <v>0</v>
      </c>
      <c r="AU1843" s="259" t="b">
        <f t="shared" si="416"/>
        <v>0</v>
      </c>
      <c r="AV1843" s="259" t="str">
        <f t="shared" si="417"/>
        <v>-</v>
      </c>
    </row>
    <row r="1844" spans="41:48">
      <c r="AO1844" s="824" t="str">
        <f t="shared" si="414"/>
        <v>No</v>
      </c>
      <c r="AP1844" s="259" t="str">
        <f t="shared" si="419"/>
        <v>blank</v>
      </c>
      <c r="AQ1844" s="542" t="str">
        <f t="shared" si="418"/>
        <v>无定金+无預留客戶</v>
      </c>
      <c r="AR1844" s="259" t="str">
        <f t="shared" si="412"/>
        <v/>
      </c>
      <c r="AS1844" s="259" t="str">
        <f t="shared" si="413"/>
        <v/>
      </c>
      <c r="AT1844" s="259" t="b">
        <f t="shared" si="415"/>
        <v>0</v>
      </c>
      <c r="AU1844" s="259" t="b">
        <f t="shared" si="416"/>
        <v>0</v>
      </c>
      <c r="AV1844" s="259" t="str">
        <f t="shared" si="417"/>
        <v>-</v>
      </c>
    </row>
    <row r="1845" spans="41:48">
      <c r="AO1845" s="824" t="str">
        <f t="shared" si="414"/>
        <v>No</v>
      </c>
      <c r="AP1845" s="259" t="str">
        <f t="shared" si="419"/>
        <v>blank</v>
      </c>
      <c r="AQ1845" s="542" t="str">
        <f t="shared" si="418"/>
        <v>无定金+无預留客戶</v>
      </c>
      <c r="AR1845" s="259" t="str">
        <f t="shared" si="412"/>
        <v/>
      </c>
      <c r="AS1845" s="259" t="str">
        <f t="shared" si="413"/>
        <v/>
      </c>
      <c r="AT1845" s="259" t="b">
        <f t="shared" si="415"/>
        <v>0</v>
      </c>
      <c r="AU1845" s="259" t="b">
        <f t="shared" si="416"/>
        <v>0</v>
      </c>
      <c r="AV1845" s="259" t="str">
        <f t="shared" si="417"/>
        <v>-</v>
      </c>
    </row>
    <row r="1846" spans="41:48">
      <c r="AO1846" s="824" t="str">
        <f t="shared" si="414"/>
        <v>No</v>
      </c>
      <c r="AP1846" s="259" t="str">
        <f t="shared" si="419"/>
        <v>blank</v>
      </c>
      <c r="AQ1846" s="542" t="str">
        <f t="shared" si="418"/>
        <v>无定金+无預留客戶</v>
      </c>
      <c r="AR1846" s="259" t="str">
        <f t="shared" si="412"/>
        <v/>
      </c>
      <c r="AS1846" s="259" t="str">
        <f t="shared" si="413"/>
        <v/>
      </c>
      <c r="AT1846" s="259" t="b">
        <f t="shared" si="415"/>
        <v>0</v>
      </c>
      <c r="AU1846" s="259" t="b">
        <f t="shared" si="416"/>
        <v>0</v>
      </c>
      <c r="AV1846" s="259" t="str">
        <f t="shared" si="417"/>
        <v>-</v>
      </c>
    </row>
    <row r="1847" spans="41:48">
      <c r="AO1847" s="824" t="str">
        <f t="shared" si="414"/>
        <v>No</v>
      </c>
      <c r="AP1847" s="259" t="str">
        <f t="shared" si="419"/>
        <v>blank</v>
      </c>
      <c r="AQ1847" s="542" t="str">
        <f t="shared" si="418"/>
        <v>无定金+无預留客戶</v>
      </c>
      <c r="AR1847" s="259" t="str">
        <f t="shared" si="412"/>
        <v/>
      </c>
      <c r="AS1847" s="259" t="str">
        <f t="shared" si="413"/>
        <v/>
      </c>
      <c r="AT1847" s="259" t="b">
        <f t="shared" si="415"/>
        <v>0</v>
      </c>
      <c r="AU1847" s="259" t="b">
        <f t="shared" si="416"/>
        <v>0</v>
      </c>
      <c r="AV1847" s="259" t="str">
        <f t="shared" si="417"/>
        <v>-</v>
      </c>
    </row>
    <row r="1848" spans="41:48">
      <c r="AO1848" s="824" t="str">
        <f t="shared" si="414"/>
        <v>No</v>
      </c>
      <c r="AP1848" s="259" t="str">
        <f t="shared" si="419"/>
        <v>blank</v>
      </c>
      <c r="AQ1848" s="542" t="str">
        <f t="shared" si="418"/>
        <v>无定金+无預留客戶</v>
      </c>
      <c r="AR1848" s="259" t="str">
        <f t="shared" si="412"/>
        <v/>
      </c>
      <c r="AS1848" s="259" t="str">
        <f t="shared" si="413"/>
        <v/>
      </c>
      <c r="AT1848" s="259" t="b">
        <f t="shared" si="415"/>
        <v>0</v>
      </c>
      <c r="AU1848" s="259" t="b">
        <f t="shared" si="416"/>
        <v>0</v>
      </c>
      <c r="AV1848" s="259" t="str">
        <f t="shared" si="417"/>
        <v>-</v>
      </c>
    </row>
    <row r="1849" spans="41:48">
      <c r="AO1849" s="824" t="str">
        <f t="shared" si="414"/>
        <v>No</v>
      </c>
      <c r="AP1849" s="259" t="str">
        <f t="shared" si="419"/>
        <v>blank</v>
      </c>
      <c r="AQ1849" s="542" t="str">
        <f t="shared" si="418"/>
        <v>无定金+无預留客戶</v>
      </c>
      <c r="AR1849" s="259" t="str">
        <f t="shared" si="412"/>
        <v/>
      </c>
      <c r="AS1849" s="259" t="str">
        <f t="shared" si="413"/>
        <v/>
      </c>
      <c r="AT1849" s="259" t="b">
        <f t="shared" si="415"/>
        <v>0</v>
      </c>
      <c r="AU1849" s="259" t="b">
        <f t="shared" si="416"/>
        <v>0</v>
      </c>
      <c r="AV1849" s="259" t="str">
        <f t="shared" si="417"/>
        <v>-</v>
      </c>
    </row>
    <row r="1850" spans="41:48">
      <c r="AO1850" s="824" t="str">
        <f t="shared" si="414"/>
        <v>No</v>
      </c>
      <c r="AP1850" s="259" t="str">
        <f t="shared" si="419"/>
        <v>blank</v>
      </c>
      <c r="AQ1850" s="542" t="str">
        <f t="shared" si="418"/>
        <v>无定金+无預留客戶</v>
      </c>
      <c r="AR1850" s="259" t="str">
        <f t="shared" si="412"/>
        <v/>
      </c>
      <c r="AS1850" s="259" t="str">
        <f t="shared" si="413"/>
        <v/>
      </c>
      <c r="AT1850" s="259" t="b">
        <f t="shared" si="415"/>
        <v>0</v>
      </c>
      <c r="AU1850" s="259" t="b">
        <f t="shared" si="416"/>
        <v>0</v>
      </c>
      <c r="AV1850" s="259" t="str">
        <f t="shared" si="417"/>
        <v>-</v>
      </c>
    </row>
    <row r="1851" spans="41:48">
      <c r="AO1851" s="824" t="str">
        <f t="shared" si="414"/>
        <v>No</v>
      </c>
      <c r="AP1851" s="259" t="str">
        <f t="shared" si="419"/>
        <v>blank</v>
      </c>
      <c r="AQ1851" s="542" t="str">
        <f t="shared" si="418"/>
        <v>无定金+无預留客戶</v>
      </c>
      <c r="AR1851" s="259" t="str">
        <f t="shared" si="412"/>
        <v/>
      </c>
      <c r="AS1851" s="259" t="str">
        <f t="shared" si="413"/>
        <v/>
      </c>
      <c r="AT1851" s="259" t="b">
        <f t="shared" si="415"/>
        <v>0</v>
      </c>
      <c r="AU1851" s="259" t="b">
        <f t="shared" si="416"/>
        <v>0</v>
      </c>
      <c r="AV1851" s="259" t="str">
        <f t="shared" si="417"/>
        <v>-</v>
      </c>
    </row>
    <row r="1852" spans="41:48">
      <c r="AO1852" s="824" t="str">
        <f t="shared" si="414"/>
        <v>No</v>
      </c>
      <c r="AP1852" s="259" t="str">
        <f t="shared" si="419"/>
        <v>blank</v>
      </c>
      <c r="AQ1852" s="542" t="str">
        <f t="shared" si="418"/>
        <v>无定金+无預留客戶</v>
      </c>
      <c r="AR1852" s="259" t="str">
        <f t="shared" si="412"/>
        <v/>
      </c>
      <c r="AS1852" s="259" t="str">
        <f t="shared" si="413"/>
        <v/>
      </c>
      <c r="AT1852" s="259" t="b">
        <f t="shared" si="415"/>
        <v>0</v>
      </c>
      <c r="AU1852" s="259" t="b">
        <f t="shared" si="416"/>
        <v>0</v>
      </c>
      <c r="AV1852" s="259" t="str">
        <f t="shared" si="417"/>
        <v>-</v>
      </c>
    </row>
    <row r="1853" spans="41:48">
      <c r="AO1853" s="824" t="str">
        <f t="shared" si="414"/>
        <v>No</v>
      </c>
      <c r="AP1853" s="259" t="str">
        <f t="shared" si="419"/>
        <v>blank</v>
      </c>
      <c r="AQ1853" s="542" t="str">
        <f t="shared" si="418"/>
        <v>无定金+无預留客戶</v>
      </c>
      <c r="AR1853" s="259" t="str">
        <f t="shared" si="412"/>
        <v/>
      </c>
      <c r="AS1853" s="259" t="str">
        <f t="shared" si="413"/>
        <v/>
      </c>
      <c r="AT1853" s="259" t="b">
        <f t="shared" si="415"/>
        <v>0</v>
      </c>
      <c r="AU1853" s="259" t="b">
        <f t="shared" si="416"/>
        <v>0</v>
      </c>
      <c r="AV1853" s="259" t="str">
        <f t="shared" si="417"/>
        <v>-</v>
      </c>
    </row>
    <row r="1854" spans="41:48">
      <c r="AO1854" s="824" t="str">
        <f t="shared" si="414"/>
        <v>No</v>
      </c>
      <c r="AP1854" s="259" t="str">
        <f t="shared" si="419"/>
        <v>blank</v>
      </c>
      <c r="AQ1854" s="542" t="str">
        <f t="shared" si="418"/>
        <v>无定金+无預留客戶</v>
      </c>
      <c r="AR1854" s="259" t="str">
        <f t="shared" ref="AR1854:AR1917" si="420">IFERROR(IF(B1854="已经到货", "Instock", IF(B1854="有交期", "Incoming_Stock_With_YAMAHA_Schedule", IF(B1854="TBA.", "Incoming_Stock_No_YAMAHA_Schedule", IF(B1854="已发货", "Shipped_Stock", "")))), "")</f>
        <v/>
      </c>
      <c r="AS1854" s="259" t="str">
        <f t="shared" ref="AS1854:AS1917" si="421">IF(AND(B1854="有交期", L1854&lt;&gt;""), L1854, "")</f>
        <v/>
      </c>
      <c r="AT1854" s="259" t="b">
        <f t="shared" si="415"/>
        <v>0</v>
      </c>
      <c r="AU1854" s="259" t="b">
        <f t="shared" si="416"/>
        <v>0</v>
      </c>
      <c r="AV1854" s="259" t="str">
        <f t="shared" si="417"/>
        <v>-</v>
      </c>
    </row>
    <row r="1855" spans="41:48">
      <c r="AO1855" s="824" t="str">
        <f t="shared" si="414"/>
        <v>No</v>
      </c>
      <c r="AP1855" s="259" t="str">
        <f t="shared" si="419"/>
        <v>blank</v>
      </c>
      <c r="AQ1855" s="542" t="str">
        <f t="shared" si="418"/>
        <v>无定金+无預留客戶</v>
      </c>
      <c r="AR1855" s="259" t="str">
        <f t="shared" si="420"/>
        <v/>
      </c>
      <c r="AS1855" s="259" t="str">
        <f t="shared" si="421"/>
        <v/>
      </c>
      <c r="AT1855" s="259" t="b">
        <f t="shared" si="415"/>
        <v>0</v>
      </c>
      <c r="AU1855" s="259" t="b">
        <f t="shared" si="416"/>
        <v>0</v>
      </c>
      <c r="AV1855" s="259" t="str">
        <f t="shared" si="417"/>
        <v>-</v>
      </c>
    </row>
    <row r="1856" spans="41:48">
      <c r="AO1856" s="824" t="str">
        <f t="shared" si="414"/>
        <v>No</v>
      </c>
      <c r="AP1856" s="259" t="str">
        <f t="shared" si="419"/>
        <v>blank</v>
      </c>
      <c r="AQ1856" s="542" t="str">
        <f t="shared" si="418"/>
        <v>无定金+无預留客戶</v>
      </c>
      <c r="AR1856" s="259" t="str">
        <f t="shared" si="420"/>
        <v/>
      </c>
      <c r="AS1856" s="259" t="str">
        <f t="shared" si="421"/>
        <v/>
      </c>
      <c r="AT1856" s="259" t="b">
        <f t="shared" si="415"/>
        <v>0</v>
      </c>
      <c r="AU1856" s="259" t="b">
        <f t="shared" si="416"/>
        <v>0</v>
      </c>
      <c r="AV1856" s="259" t="str">
        <f t="shared" si="417"/>
        <v>-</v>
      </c>
    </row>
    <row r="1857" spans="41:48">
      <c r="AO1857" s="824" t="str">
        <f t="shared" si="414"/>
        <v>No</v>
      </c>
      <c r="AP1857" s="259" t="str">
        <f t="shared" si="419"/>
        <v>blank</v>
      </c>
      <c r="AQ1857" s="542" t="str">
        <f t="shared" si="418"/>
        <v>无定金+无預留客戶</v>
      </c>
      <c r="AR1857" s="259" t="str">
        <f t="shared" si="420"/>
        <v/>
      </c>
      <c r="AS1857" s="259" t="str">
        <f t="shared" si="421"/>
        <v/>
      </c>
      <c r="AT1857" s="259" t="b">
        <f t="shared" si="415"/>
        <v>0</v>
      </c>
      <c r="AU1857" s="259" t="b">
        <f t="shared" si="416"/>
        <v>0</v>
      </c>
      <c r="AV1857" s="259" t="str">
        <f t="shared" si="417"/>
        <v>-</v>
      </c>
    </row>
    <row r="1858" spans="41:48">
      <c r="AO1858" s="824" t="str">
        <f t="shared" ref="AO1858:AO1921" si="422">IFERROR(IF(Y1858&lt;&gt;"",Y1858,"No"),"No")</f>
        <v>No</v>
      </c>
      <c r="AP1858" s="259" t="str">
        <f t="shared" si="419"/>
        <v>blank</v>
      </c>
      <c r="AQ1858" s="542" t="str">
        <f t="shared" si="418"/>
        <v>无定金+无預留客戶</v>
      </c>
      <c r="AR1858" s="259" t="str">
        <f t="shared" si="420"/>
        <v/>
      </c>
      <c r="AS1858" s="259" t="str">
        <f t="shared" si="421"/>
        <v/>
      </c>
      <c r="AT1858" s="259" t="b">
        <f t="shared" ref="AT1858:AT1921" si="423">IFERROR(IF(R1858&lt;&gt;"",R1858),"-")</f>
        <v>0</v>
      </c>
      <c r="AU1858" s="259" t="b">
        <f t="shared" ref="AU1858:AU1921" si="424">IFERROR(IF(Q1858&lt;&gt;"",Q1858),"-")</f>
        <v>0</v>
      </c>
      <c r="AV1858" s="259" t="str">
        <f t="shared" ref="AV1858:AV1921" si="425">IF(L1858="","-",TEXT(L1858,"mmm-dd"))</f>
        <v>-</v>
      </c>
    </row>
    <row r="1859" spans="41:48">
      <c r="AO1859" s="824" t="str">
        <f t="shared" si="422"/>
        <v>No</v>
      </c>
      <c r="AP1859" s="259" t="str">
        <f t="shared" si="419"/>
        <v>blank</v>
      </c>
      <c r="AQ1859" s="542" t="str">
        <f t="shared" ref="AQ1859:AQ1922" si="426">IFERROR(IF(AND(AO1859="Yes", AP1859&lt;&gt;"blank"), "有定金+有預留客戶", IF(AND(AO1859="Yes", AP1859="blank"), "有定金+无客戶送貨期", IF(AND(OR(AO1859="No", ISBLANK(AO1859), AO1859="NA"), AP1859&lt;&gt;"blank"), "无定金+有預留客戶", IF(AND(OR(AO1859="No", ISBLANK(AO1859), AO1859="NA"), AP1859="blank"), "无定金+无預留客戶", "")))), "")</f>
        <v>无定金+无預留客戶</v>
      </c>
      <c r="AR1859" s="259" t="str">
        <f t="shared" si="420"/>
        <v/>
      </c>
      <c r="AS1859" s="259" t="str">
        <f t="shared" si="421"/>
        <v/>
      </c>
      <c r="AT1859" s="259" t="b">
        <f t="shared" si="423"/>
        <v>0</v>
      </c>
      <c r="AU1859" s="259" t="b">
        <f t="shared" si="424"/>
        <v>0</v>
      </c>
      <c r="AV1859" s="259" t="str">
        <f t="shared" si="425"/>
        <v>-</v>
      </c>
    </row>
    <row r="1860" spans="41:48">
      <c r="AO1860" s="824" t="str">
        <f t="shared" si="422"/>
        <v>No</v>
      </c>
      <c r="AP1860" s="259" t="str">
        <f t="shared" si="419"/>
        <v>blank</v>
      </c>
      <c r="AQ1860" s="542" t="str">
        <f t="shared" si="426"/>
        <v>无定金+无預留客戶</v>
      </c>
      <c r="AR1860" s="259" t="str">
        <f t="shared" si="420"/>
        <v/>
      </c>
      <c r="AS1860" s="259" t="str">
        <f t="shared" si="421"/>
        <v/>
      </c>
      <c r="AT1860" s="259" t="b">
        <f t="shared" si="423"/>
        <v>0</v>
      </c>
      <c r="AU1860" s="259" t="b">
        <f t="shared" si="424"/>
        <v>0</v>
      </c>
      <c r="AV1860" s="259" t="str">
        <f t="shared" si="425"/>
        <v>-</v>
      </c>
    </row>
    <row r="1861" spans="41:48">
      <c r="AO1861" s="824" t="str">
        <f t="shared" si="422"/>
        <v>No</v>
      </c>
      <c r="AP1861" s="259" t="str">
        <f t="shared" si="419"/>
        <v>blank</v>
      </c>
      <c r="AQ1861" s="542" t="str">
        <f t="shared" si="426"/>
        <v>无定金+无預留客戶</v>
      </c>
      <c r="AR1861" s="259" t="str">
        <f t="shared" si="420"/>
        <v/>
      </c>
      <c r="AS1861" s="259" t="str">
        <f t="shared" si="421"/>
        <v/>
      </c>
      <c r="AT1861" s="259" t="b">
        <f t="shared" si="423"/>
        <v>0</v>
      </c>
      <c r="AU1861" s="259" t="b">
        <f t="shared" si="424"/>
        <v>0</v>
      </c>
      <c r="AV1861" s="259" t="str">
        <f t="shared" si="425"/>
        <v>-</v>
      </c>
    </row>
    <row r="1862" spans="41:48">
      <c r="AO1862" s="824" t="str">
        <f t="shared" si="422"/>
        <v>No</v>
      </c>
      <c r="AP1862" s="259" t="str">
        <f t="shared" ref="AP1862:AP1925" si="427">IFERROR(IF(N1862&lt;&gt;"",N1862,"blank"),"NA")</f>
        <v>blank</v>
      </c>
      <c r="AQ1862" s="542" t="str">
        <f t="shared" si="426"/>
        <v>无定金+无預留客戶</v>
      </c>
      <c r="AR1862" s="259" t="str">
        <f t="shared" si="420"/>
        <v/>
      </c>
      <c r="AS1862" s="259" t="str">
        <f t="shared" si="421"/>
        <v/>
      </c>
      <c r="AT1862" s="259" t="b">
        <f t="shared" si="423"/>
        <v>0</v>
      </c>
      <c r="AU1862" s="259" t="b">
        <f t="shared" si="424"/>
        <v>0</v>
      </c>
      <c r="AV1862" s="259" t="str">
        <f t="shared" si="425"/>
        <v>-</v>
      </c>
    </row>
    <row r="1863" spans="41:48">
      <c r="AO1863" s="824" t="str">
        <f t="shared" si="422"/>
        <v>No</v>
      </c>
      <c r="AP1863" s="259" t="str">
        <f t="shared" si="427"/>
        <v>blank</v>
      </c>
      <c r="AQ1863" s="542" t="str">
        <f t="shared" si="426"/>
        <v>无定金+无預留客戶</v>
      </c>
      <c r="AR1863" s="259" t="str">
        <f t="shared" si="420"/>
        <v/>
      </c>
      <c r="AS1863" s="259" t="str">
        <f t="shared" si="421"/>
        <v/>
      </c>
      <c r="AT1863" s="259" t="b">
        <f t="shared" si="423"/>
        <v>0</v>
      </c>
      <c r="AU1863" s="259" t="b">
        <f t="shared" si="424"/>
        <v>0</v>
      </c>
      <c r="AV1863" s="259" t="str">
        <f t="shared" si="425"/>
        <v>-</v>
      </c>
    </row>
    <row r="1864" spans="41:48">
      <c r="AO1864" s="824" t="str">
        <f t="shared" si="422"/>
        <v>No</v>
      </c>
      <c r="AP1864" s="259" t="str">
        <f t="shared" si="427"/>
        <v>blank</v>
      </c>
      <c r="AQ1864" s="542" t="str">
        <f t="shared" si="426"/>
        <v>无定金+无預留客戶</v>
      </c>
      <c r="AR1864" s="259" t="str">
        <f t="shared" si="420"/>
        <v/>
      </c>
      <c r="AS1864" s="259" t="str">
        <f t="shared" si="421"/>
        <v/>
      </c>
      <c r="AT1864" s="259" t="b">
        <f t="shared" si="423"/>
        <v>0</v>
      </c>
      <c r="AU1864" s="259" t="b">
        <f t="shared" si="424"/>
        <v>0</v>
      </c>
      <c r="AV1864" s="259" t="str">
        <f t="shared" si="425"/>
        <v>-</v>
      </c>
    </row>
    <row r="1865" spans="41:48">
      <c r="AO1865" s="824" t="str">
        <f t="shared" si="422"/>
        <v>No</v>
      </c>
      <c r="AP1865" s="259" t="str">
        <f t="shared" si="427"/>
        <v>blank</v>
      </c>
      <c r="AQ1865" s="542" t="str">
        <f t="shared" si="426"/>
        <v>无定金+无預留客戶</v>
      </c>
      <c r="AR1865" s="259" t="str">
        <f t="shared" si="420"/>
        <v/>
      </c>
      <c r="AS1865" s="259" t="str">
        <f t="shared" si="421"/>
        <v/>
      </c>
      <c r="AT1865" s="259" t="b">
        <f t="shared" si="423"/>
        <v>0</v>
      </c>
      <c r="AU1865" s="259" t="b">
        <f t="shared" si="424"/>
        <v>0</v>
      </c>
      <c r="AV1865" s="259" t="str">
        <f t="shared" si="425"/>
        <v>-</v>
      </c>
    </row>
    <row r="1866" spans="41:48">
      <c r="AO1866" s="824" t="str">
        <f t="shared" si="422"/>
        <v>No</v>
      </c>
      <c r="AP1866" s="259" t="str">
        <f t="shared" si="427"/>
        <v>blank</v>
      </c>
      <c r="AQ1866" s="542" t="str">
        <f t="shared" si="426"/>
        <v>无定金+无預留客戶</v>
      </c>
      <c r="AR1866" s="259" t="str">
        <f t="shared" si="420"/>
        <v/>
      </c>
      <c r="AS1866" s="259" t="str">
        <f t="shared" si="421"/>
        <v/>
      </c>
      <c r="AT1866" s="259" t="b">
        <f t="shared" si="423"/>
        <v>0</v>
      </c>
      <c r="AU1866" s="259" t="b">
        <f t="shared" si="424"/>
        <v>0</v>
      </c>
      <c r="AV1866" s="259" t="str">
        <f t="shared" si="425"/>
        <v>-</v>
      </c>
    </row>
    <row r="1867" spans="41:48">
      <c r="AO1867" s="824" t="str">
        <f t="shared" si="422"/>
        <v>No</v>
      </c>
      <c r="AP1867" s="259" t="str">
        <f t="shared" si="427"/>
        <v>blank</v>
      </c>
      <c r="AQ1867" s="542" t="str">
        <f t="shared" si="426"/>
        <v>无定金+无預留客戶</v>
      </c>
      <c r="AR1867" s="259" t="str">
        <f t="shared" si="420"/>
        <v/>
      </c>
      <c r="AS1867" s="259" t="str">
        <f t="shared" si="421"/>
        <v/>
      </c>
      <c r="AT1867" s="259" t="b">
        <f t="shared" si="423"/>
        <v>0</v>
      </c>
      <c r="AU1867" s="259" t="b">
        <f t="shared" si="424"/>
        <v>0</v>
      </c>
      <c r="AV1867" s="259" t="str">
        <f t="shared" si="425"/>
        <v>-</v>
      </c>
    </row>
    <row r="1868" spans="41:48">
      <c r="AO1868" s="824" t="str">
        <f t="shared" si="422"/>
        <v>No</v>
      </c>
      <c r="AP1868" s="259" t="str">
        <f t="shared" si="427"/>
        <v>blank</v>
      </c>
      <c r="AQ1868" s="542" t="str">
        <f t="shared" si="426"/>
        <v>无定金+无預留客戶</v>
      </c>
      <c r="AR1868" s="259" t="str">
        <f t="shared" si="420"/>
        <v/>
      </c>
      <c r="AS1868" s="259" t="str">
        <f t="shared" si="421"/>
        <v/>
      </c>
      <c r="AT1868" s="259" t="b">
        <f t="shared" si="423"/>
        <v>0</v>
      </c>
      <c r="AU1868" s="259" t="b">
        <f t="shared" si="424"/>
        <v>0</v>
      </c>
      <c r="AV1868" s="259" t="str">
        <f t="shared" si="425"/>
        <v>-</v>
      </c>
    </row>
    <row r="1869" spans="41:48">
      <c r="AO1869" s="824" t="str">
        <f t="shared" si="422"/>
        <v>No</v>
      </c>
      <c r="AP1869" s="259" t="str">
        <f t="shared" si="427"/>
        <v>blank</v>
      </c>
      <c r="AQ1869" s="542" t="str">
        <f t="shared" si="426"/>
        <v>无定金+无預留客戶</v>
      </c>
      <c r="AR1869" s="259" t="str">
        <f t="shared" si="420"/>
        <v/>
      </c>
      <c r="AS1869" s="259" t="str">
        <f t="shared" si="421"/>
        <v/>
      </c>
      <c r="AT1869" s="259" t="b">
        <f t="shared" si="423"/>
        <v>0</v>
      </c>
      <c r="AU1869" s="259" t="b">
        <f t="shared" si="424"/>
        <v>0</v>
      </c>
      <c r="AV1869" s="259" t="str">
        <f t="shared" si="425"/>
        <v>-</v>
      </c>
    </row>
    <row r="1870" spans="41:48">
      <c r="AO1870" s="824" t="str">
        <f t="shared" si="422"/>
        <v>No</v>
      </c>
      <c r="AP1870" s="259" t="str">
        <f t="shared" si="427"/>
        <v>blank</v>
      </c>
      <c r="AQ1870" s="542" t="str">
        <f t="shared" si="426"/>
        <v>无定金+无預留客戶</v>
      </c>
      <c r="AR1870" s="259" t="str">
        <f t="shared" si="420"/>
        <v/>
      </c>
      <c r="AS1870" s="259" t="str">
        <f t="shared" si="421"/>
        <v/>
      </c>
      <c r="AT1870" s="259" t="b">
        <f t="shared" si="423"/>
        <v>0</v>
      </c>
      <c r="AU1870" s="259" t="b">
        <f t="shared" si="424"/>
        <v>0</v>
      </c>
      <c r="AV1870" s="259" t="str">
        <f t="shared" si="425"/>
        <v>-</v>
      </c>
    </row>
    <row r="1871" spans="41:48">
      <c r="AO1871" s="824" t="str">
        <f t="shared" si="422"/>
        <v>No</v>
      </c>
      <c r="AP1871" s="259" t="str">
        <f t="shared" si="427"/>
        <v>blank</v>
      </c>
      <c r="AQ1871" s="542" t="str">
        <f t="shared" si="426"/>
        <v>无定金+无預留客戶</v>
      </c>
      <c r="AR1871" s="259" t="str">
        <f t="shared" si="420"/>
        <v/>
      </c>
      <c r="AS1871" s="259" t="str">
        <f t="shared" si="421"/>
        <v/>
      </c>
      <c r="AT1871" s="259" t="b">
        <f t="shared" si="423"/>
        <v>0</v>
      </c>
      <c r="AU1871" s="259" t="b">
        <f t="shared" si="424"/>
        <v>0</v>
      </c>
      <c r="AV1871" s="259" t="str">
        <f t="shared" si="425"/>
        <v>-</v>
      </c>
    </row>
    <row r="1872" spans="41:48">
      <c r="AO1872" s="824" t="str">
        <f t="shared" si="422"/>
        <v>No</v>
      </c>
      <c r="AP1872" s="259" t="str">
        <f t="shared" si="427"/>
        <v>blank</v>
      </c>
      <c r="AQ1872" s="542" t="str">
        <f t="shared" si="426"/>
        <v>无定金+无預留客戶</v>
      </c>
      <c r="AR1872" s="259" t="str">
        <f t="shared" si="420"/>
        <v/>
      </c>
      <c r="AS1872" s="259" t="str">
        <f t="shared" si="421"/>
        <v/>
      </c>
      <c r="AT1872" s="259" t="b">
        <f t="shared" si="423"/>
        <v>0</v>
      </c>
      <c r="AU1872" s="259" t="b">
        <f t="shared" si="424"/>
        <v>0</v>
      </c>
      <c r="AV1872" s="259" t="str">
        <f t="shared" si="425"/>
        <v>-</v>
      </c>
    </row>
    <row r="1873" spans="41:48">
      <c r="AO1873" s="824" t="str">
        <f t="shared" si="422"/>
        <v>No</v>
      </c>
      <c r="AP1873" s="259" t="str">
        <f t="shared" si="427"/>
        <v>blank</v>
      </c>
      <c r="AQ1873" s="542" t="str">
        <f t="shared" si="426"/>
        <v>无定金+无預留客戶</v>
      </c>
      <c r="AR1873" s="259" t="str">
        <f t="shared" si="420"/>
        <v/>
      </c>
      <c r="AS1873" s="259" t="str">
        <f t="shared" si="421"/>
        <v/>
      </c>
      <c r="AT1873" s="259" t="b">
        <f t="shared" si="423"/>
        <v>0</v>
      </c>
      <c r="AU1873" s="259" t="b">
        <f t="shared" si="424"/>
        <v>0</v>
      </c>
      <c r="AV1873" s="259" t="str">
        <f t="shared" si="425"/>
        <v>-</v>
      </c>
    </row>
    <row r="1874" spans="41:48">
      <c r="AO1874" s="824" t="str">
        <f t="shared" si="422"/>
        <v>No</v>
      </c>
      <c r="AP1874" s="259" t="str">
        <f t="shared" si="427"/>
        <v>blank</v>
      </c>
      <c r="AQ1874" s="542" t="str">
        <f t="shared" si="426"/>
        <v>无定金+无預留客戶</v>
      </c>
      <c r="AR1874" s="259" t="str">
        <f t="shared" si="420"/>
        <v/>
      </c>
      <c r="AS1874" s="259" t="str">
        <f t="shared" si="421"/>
        <v/>
      </c>
      <c r="AT1874" s="259" t="b">
        <f t="shared" si="423"/>
        <v>0</v>
      </c>
      <c r="AU1874" s="259" t="b">
        <f t="shared" si="424"/>
        <v>0</v>
      </c>
      <c r="AV1874" s="259" t="str">
        <f t="shared" si="425"/>
        <v>-</v>
      </c>
    </row>
    <row r="1875" spans="41:48">
      <c r="AO1875" s="824" t="str">
        <f t="shared" si="422"/>
        <v>No</v>
      </c>
      <c r="AP1875" s="259" t="str">
        <f t="shared" si="427"/>
        <v>blank</v>
      </c>
      <c r="AQ1875" s="542" t="str">
        <f t="shared" si="426"/>
        <v>无定金+无預留客戶</v>
      </c>
      <c r="AR1875" s="259" t="str">
        <f t="shared" si="420"/>
        <v/>
      </c>
      <c r="AS1875" s="259" t="str">
        <f t="shared" si="421"/>
        <v/>
      </c>
      <c r="AT1875" s="259" t="b">
        <f t="shared" si="423"/>
        <v>0</v>
      </c>
      <c r="AU1875" s="259" t="b">
        <f t="shared" si="424"/>
        <v>0</v>
      </c>
      <c r="AV1875" s="259" t="str">
        <f t="shared" si="425"/>
        <v>-</v>
      </c>
    </row>
    <row r="1876" spans="41:48">
      <c r="AO1876" s="824" t="str">
        <f t="shared" si="422"/>
        <v>No</v>
      </c>
      <c r="AP1876" s="259" t="str">
        <f t="shared" si="427"/>
        <v>blank</v>
      </c>
      <c r="AQ1876" s="542" t="str">
        <f t="shared" si="426"/>
        <v>无定金+无預留客戶</v>
      </c>
      <c r="AR1876" s="259" t="str">
        <f t="shared" si="420"/>
        <v/>
      </c>
      <c r="AS1876" s="259" t="str">
        <f t="shared" si="421"/>
        <v/>
      </c>
      <c r="AT1876" s="259" t="b">
        <f t="shared" si="423"/>
        <v>0</v>
      </c>
      <c r="AU1876" s="259" t="b">
        <f t="shared" si="424"/>
        <v>0</v>
      </c>
      <c r="AV1876" s="259" t="str">
        <f t="shared" si="425"/>
        <v>-</v>
      </c>
    </row>
    <row r="1877" spans="41:48">
      <c r="AO1877" s="824" t="str">
        <f t="shared" si="422"/>
        <v>No</v>
      </c>
      <c r="AP1877" s="259" t="str">
        <f t="shared" si="427"/>
        <v>blank</v>
      </c>
      <c r="AQ1877" s="542" t="str">
        <f t="shared" si="426"/>
        <v>无定金+无預留客戶</v>
      </c>
      <c r="AR1877" s="259" t="str">
        <f t="shared" si="420"/>
        <v/>
      </c>
      <c r="AS1877" s="259" t="str">
        <f t="shared" si="421"/>
        <v/>
      </c>
      <c r="AT1877" s="259" t="b">
        <f t="shared" si="423"/>
        <v>0</v>
      </c>
      <c r="AU1877" s="259" t="b">
        <f t="shared" si="424"/>
        <v>0</v>
      </c>
      <c r="AV1877" s="259" t="str">
        <f t="shared" si="425"/>
        <v>-</v>
      </c>
    </row>
    <row r="1878" spans="41:48">
      <c r="AO1878" s="824" t="str">
        <f t="shared" si="422"/>
        <v>No</v>
      </c>
      <c r="AP1878" s="259" t="str">
        <f t="shared" si="427"/>
        <v>blank</v>
      </c>
      <c r="AQ1878" s="542" t="str">
        <f t="shared" si="426"/>
        <v>无定金+无預留客戶</v>
      </c>
      <c r="AR1878" s="259" t="str">
        <f t="shared" si="420"/>
        <v/>
      </c>
      <c r="AS1878" s="259" t="str">
        <f t="shared" si="421"/>
        <v/>
      </c>
      <c r="AT1878" s="259" t="b">
        <f t="shared" si="423"/>
        <v>0</v>
      </c>
      <c r="AU1878" s="259" t="b">
        <f t="shared" si="424"/>
        <v>0</v>
      </c>
      <c r="AV1878" s="259" t="str">
        <f t="shared" si="425"/>
        <v>-</v>
      </c>
    </row>
    <row r="1879" spans="41:48">
      <c r="AO1879" s="824" t="str">
        <f t="shared" si="422"/>
        <v>No</v>
      </c>
      <c r="AP1879" s="259" t="str">
        <f t="shared" si="427"/>
        <v>blank</v>
      </c>
      <c r="AQ1879" s="542" t="str">
        <f t="shared" si="426"/>
        <v>无定金+无預留客戶</v>
      </c>
      <c r="AR1879" s="259" t="str">
        <f t="shared" si="420"/>
        <v/>
      </c>
      <c r="AS1879" s="259" t="str">
        <f t="shared" si="421"/>
        <v/>
      </c>
      <c r="AT1879" s="259" t="b">
        <f t="shared" si="423"/>
        <v>0</v>
      </c>
      <c r="AU1879" s="259" t="b">
        <f t="shared" si="424"/>
        <v>0</v>
      </c>
      <c r="AV1879" s="259" t="str">
        <f t="shared" si="425"/>
        <v>-</v>
      </c>
    </row>
    <row r="1880" spans="41:48">
      <c r="AO1880" s="824" t="str">
        <f t="shared" si="422"/>
        <v>No</v>
      </c>
      <c r="AP1880" s="259" t="str">
        <f t="shared" si="427"/>
        <v>blank</v>
      </c>
      <c r="AQ1880" s="542" t="str">
        <f t="shared" si="426"/>
        <v>无定金+无預留客戶</v>
      </c>
      <c r="AR1880" s="259" t="str">
        <f t="shared" si="420"/>
        <v/>
      </c>
      <c r="AS1880" s="259" t="str">
        <f t="shared" si="421"/>
        <v/>
      </c>
      <c r="AT1880" s="259" t="b">
        <f t="shared" si="423"/>
        <v>0</v>
      </c>
      <c r="AU1880" s="259" t="b">
        <f t="shared" si="424"/>
        <v>0</v>
      </c>
      <c r="AV1880" s="259" t="str">
        <f t="shared" si="425"/>
        <v>-</v>
      </c>
    </row>
    <row r="1881" spans="41:48">
      <c r="AO1881" s="824" t="str">
        <f t="shared" si="422"/>
        <v>No</v>
      </c>
      <c r="AP1881" s="259" t="str">
        <f t="shared" si="427"/>
        <v>blank</v>
      </c>
      <c r="AQ1881" s="542" t="str">
        <f t="shared" si="426"/>
        <v>无定金+无預留客戶</v>
      </c>
      <c r="AR1881" s="259" t="str">
        <f t="shared" si="420"/>
        <v/>
      </c>
      <c r="AS1881" s="259" t="str">
        <f t="shared" si="421"/>
        <v/>
      </c>
      <c r="AT1881" s="259" t="b">
        <f t="shared" si="423"/>
        <v>0</v>
      </c>
      <c r="AU1881" s="259" t="b">
        <f t="shared" si="424"/>
        <v>0</v>
      </c>
      <c r="AV1881" s="259" t="str">
        <f t="shared" si="425"/>
        <v>-</v>
      </c>
    </row>
    <row r="1882" spans="41:48">
      <c r="AO1882" s="824" t="str">
        <f t="shared" si="422"/>
        <v>No</v>
      </c>
      <c r="AP1882" s="259" t="str">
        <f t="shared" si="427"/>
        <v>blank</v>
      </c>
      <c r="AQ1882" s="542" t="str">
        <f t="shared" si="426"/>
        <v>无定金+无預留客戶</v>
      </c>
      <c r="AR1882" s="259" t="str">
        <f t="shared" si="420"/>
        <v/>
      </c>
      <c r="AS1882" s="259" t="str">
        <f t="shared" si="421"/>
        <v/>
      </c>
      <c r="AT1882" s="259" t="b">
        <f t="shared" si="423"/>
        <v>0</v>
      </c>
      <c r="AU1882" s="259" t="b">
        <f t="shared" si="424"/>
        <v>0</v>
      </c>
      <c r="AV1882" s="259" t="str">
        <f t="shared" si="425"/>
        <v>-</v>
      </c>
    </row>
    <row r="1883" spans="41:48">
      <c r="AO1883" s="824" t="str">
        <f t="shared" si="422"/>
        <v>No</v>
      </c>
      <c r="AP1883" s="259" t="str">
        <f t="shared" si="427"/>
        <v>blank</v>
      </c>
      <c r="AQ1883" s="542" t="str">
        <f t="shared" si="426"/>
        <v>无定金+无預留客戶</v>
      </c>
      <c r="AR1883" s="259" t="str">
        <f t="shared" si="420"/>
        <v/>
      </c>
      <c r="AS1883" s="259" t="str">
        <f t="shared" si="421"/>
        <v/>
      </c>
      <c r="AT1883" s="259" t="b">
        <f t="shared" si="423"/>
        <v>0</v>
      </c>
      <c r="AU1883" s="259" t="b">
        <f t="shared" si="424"/>
        <v>0</v>
      </c>
      <c r="AV1883" s="259" t="str">
        <f t="shared" si="425"/>
        <v>-</v>
      </c>
    </row>
    <row r="1884" spans="41:48">
      <c r="AO1884" s="824" t="str">
        <f t="shared" si="422"/>
        <v>No</v>
      </c>
      <c r="AP1884" s="259" t="str">
        <f t="shared" si="427"/>
        <v>blank</v>
      </c>
      <c r="AQ1884" s="542" t="str">
        <f t="shared" si="426"/>
        <v>无定金+无預留客戶</v>
      </c>
      <c r="AR1884" s="259" t="str">
        <f t="shared" si="420"/>
        <v/>
      </c>
      <c r="AS1884" s="259" t="str">
        <f t="shared" si="421"/>
        <v/>
      </c>
      <c r="AT1884" s="259" t="b">
        <f t="shared" si="423"/>
        <v>0</v>
      </c>
      <c r="AU1884" s="259" t="b">
        <f t="shared" si="424"/>
        <v>0</v>
      </c>
      <c r="AV1884" s="259" t="str">
        <f t="shared" si="425"/>
        <v>-</v>
      </c>
    </row>
    <row r="1885" spans="41:48">
      <c r="AO1885" s="824" t="str">
        <f t="shared" si="422"/>
        <v>No</v>
      </c>
      <c r="AP1885" s="259" t="str">
        <f t="shared" si="427"/>
        <v>blank</v>
      </c>
      <c r="AQ1885" s="542" t="str">
        <f t="shared" si="426"/>
        <v>无定金+无預留客戶</v>
      </c>
      <c r="AR1885" s="259" t="str">
        <f t="shared" si="420"/>
        <v/>
      </c>
      <c r="AS1885" s="259" t="str">
        <f t="shared" si="421"/>
        <v/>
      </c>
      <c r="AT1885" s="259" t="b">
        <f t="shared" si="423"/>
        <v>0</v>
      </c>
      <c r="AU1885" s="259" t="b">
        <f t="shared" si="424"/>
        <v>0</v>
      </c>
      <c r="AV1885" s="259" t="str">
        <f t="shared" si="425"/>
        <v>-</v>
      </c>
    </row>
    <row r="1886" spans="41:48">
      <c r="AO1886" s="824" t="str">
        <f t="shared" si="422"/>
        <v>No</v>
      </c>
      <c r="AP1886" s="259" t="str">
        <f t="shared" si="427"/>
        <v>blank</v>
      </c>
      <c r="AQ1886" s="542" t="str">
        <f t="shared" si="426"/>
        <v>无定金+无預留客戶</v>
      </c>
      <c r="AR1886" s="259" t="str">
        <f t="shared" si="420"/>
        <v/>
      </c>
      <c r="AS1886" s="259" t="str">
        <f t="shared" si="421"/>
        <v/>
      </c>
      <c r="AT1886" s="259" t="b">
        <f t="shared" si="423"/>
        <v>0</v>
      </c>
      <c r="AU1886" s="259" t="b">
        <f t="shared" si="424"/>
        <v>0</v>
      </c>
      <c r="AV1886" s="259" t="str">
        <f t="shared" si="425"/>
        <v>-</v>
      </c>
    </row>
    <row r="1887" spans="41:48">
      <c r="AO1887" s="824" t="str">
        <f t="shared" si="422"/>
        <v>No</v>
      </c>
      <c r="AP1887" s="259" t="str">
        <f t="shared" si="427"/>
        <v>blank</v>
      </c>
      <c r="AQ1887" s="542" t="str">
        <f t="shared" si="426"/>
        <v>无定金+无預留客戶</v>
      </c>
      <c r="AR1887" s="259" t="str">
        <f t="shared" si="420"/>
        <v/>
      </c>
      <c r="AS1887" s="259" t="str">
        <f t="shared" si="421"/>
        <v/>
      </c>
      <c r="AT1887" s="259" t="b">
        <f t="shared" si="423"/>
        <v>0</v>
      </c>
      <c r="AU1887" s="259" t="b">
        <f t="shared" si="424"/>
        <v>0</v>
      </c>
      <c r="AV1887" s="259" t="str">
        <f t="shared" si="425"/>
        <v>-</v>
      </c>
    </row>
    <row r="1888" spans="41:48">
      <c r="AO1888" s="824" t="str">
        <f t="shared" si="422"/>
        <v>No</v>
      </c>
      <c r="AP1888" s="259" t="str">
        <f t="shared" si="427"/>
        <v>blank</v>
      </c>
      <c r="AQ1888" s="542" t="str">
        <f t="shared" si="426"/>
        <v>无定金+无預留客戶</v>
      </c>
      <c r="AR1888" s="259" t="str">
        <f t="shared" si="420"/>
        <v/>
      </c>
      <c r="AS1888" s="259" t="str">
        <f t="shared" si="421"/>
        <v/>
      </c>
      <c r="AT1888" s="259" t="b">
        <f t="shared" si="423"/>
        <v>0</v>
      </c>
      <c r="AU1888" s="259" t="b">
        <f t="shared" si="424"/>
        <v>0</v>
      </c>
      <c r="AV1888" s="259" t="str">
        <f t="shared" si="425"/>
        <v>-</v>
      </c>
    </row>
    <row r="1889" spans="41:48">
      <c r="AO1889" s="824" t="str">
        <f t="shared" si="422"/>
        <v>No</v>
      </c>
      <c r="AP1889" s="259" t="str">
        <f t="shared" si="427"/>
        <v>blank</v>
      </c>
      <c r="AQ1889" s="542" t="str">
        <f t="shared" si="426"/>
        <v>无定金+无預留客戶</v>
      </c>
      <c r="AR1889" s="259" t="str">
        <f t="shared" si="420"/>
        <v/>
      </c>
      <c r="AS1889" s="259" t="str">
        <f t="shared" si="421"/>
        <v/>
      </c>
      <c r="AT1889" s="259" t="b">
        <f t="shared" si="423"/>
        <v>0</v>
      </c>
      <c r="AU1889" s="259" t="b">
        <f t="shared" si="424"/>
        <v>0</v>
      </c>
      <c r="AV1889" s="259" t="str">
        <f t="shared" si="425"/>
        <v>-</v>
      </c>
    </row>
    <row r="1890" spans="41:48">
      <c r="AO1890" s="824" t="str">
        <f t="shared" si="422"/>
        <v>No</v>
      </c>
      <c r="AP1890" s="259" t="str">
        <f t="shared" si="427"/>
        <v>blank</v>
      </c>
      <c r="AQ1890" s="542" t="str">
        <f t="shared" si="426"/>
        <v>无定金+无預留客戶</v>
      </c>
      <c r="AR1890" s="259" t="str">
        <f t="shared" si="420"/>
        <v/>
      </c>
      <c r="AS1890" s="259" t="str">
        <f t="shared" si="421"/>
        <v/>
      </c>
      <c r="AT1890" s="259" t="b">
        <f t="shared" si="423"/>
        <v>0</v>
      </c>
      <c r="AU1890" s="259" t="b">
        <f t="shared" si="424"/>
        <v>0</v>
      </c>
      <c r="AV1890" s="259" t="str">
        <f t="shared" si="425"/>
        <v>-</v>
      </c>
    </row>
    <row r="1891" spans="41:48">
      <c r="AO1891" s="824" t="str">
        <f t="shared" si="422"/>
        <v>No</v>
      </c>
      <c r="AP1891" s="259" t="str">
        <f t="shared" si="427"/>
        <v>blank</v>
      </c>
      <c r="AQ1891" s="542" t="str">
        <f t="shared" si="426"/>
        <v>无定金+无預留客戶</v>
      </c>
      <c r="AR1891" s="259" t="str">
        <f t="shared" si="420"/>
        <v/>
      </c>
      <c r="AS1891" s="259" t="str">
        <f t="shared" si="421"/>
        <v/>
      </c>
      <c r="AT1891" s="259" t="b">
        <f t="shared" si="423"/>
        <v>0</v>
      </c>
      <c r="AU1891" s="259" t="b">
        <f t="shared" si="424"/>
        <v>0</v>
      </c>
      <c r="AV1891" s="259" t="str">
        <f t="shared" si="425"/>
        <v>-</v>
      </c>
    </row>
    <row r="1892" spans="41:48">
      <c r="AO1892" s="824" t="str">
        <f t="shared" si="422"/>
        <v>No</v>
      </c>
      <c r="AP1892" s="259" t="str">
        <f t="shared" si="427"/>
        <v>blank</v>
      </c>
      <c r="AQ1892" s="542" t="str">
        <f t="shared" si="426"/>
        <v>无定金+无預留客戶</v>
      </c>
      <c r="AR1892" s="259" t="str">
        <f t="shared" si="420"/>
        <v/>
      </c>
      <c r="AS1892" s="259" t="str">
        <f t="shared" si="421"/>
        <v/>
      </c>
      <c r="AT1892" s="259" t="b">
        <f t="shared" si="423"/>
        <v>0</v>
      </c>
      <c r="AU1892" s="259" t="b">
        <f t="shared" si="424"/>
        <v>0</v>
      </c>
      <c r="AV1892" s="259" t="str">
        <f t="shared" si="425"/>
        <v>-</v>
      </c>
    </row>
    <row r="1893" spans="41:48">
      <c r="AO1893" s="824" t="str">
        <f t="shared" si="422"/>
        <v>No</v>
      </c>
      <c r="AP1893" s="259" t="str">
        <f t="shared" si="427"/>
        <v>blank</v>
      </c>
      <c r="AQ1893" s="542" t="str">
        <f t="shared" si="426"/>
        <v>无定金+无預留客戶</v>
      </c>
      <c r="AR1893" s="259" t="str">
        <f t="shared" si="420"/>
        <v/>
      </c>
      <c r="AS1893" s="259" t="str">
        <f t="shared" si="421"/>
        <v/>
      </c>
      <c r="AT1893" s="259" t="b">
        <f t="shared" si="423"/>
        <v>0</v>
      </c>
      <c r="AU1893" s="259" t="b">
        <f t="shared" si="424"/>
        <v>0</v>
      </c>
      <c r="AV1893" s="259" t="str">
        <f t="shared" si="425"/>
        <v>-</v>
      </c>
    </row>
    <row r="1894" spans="41:48">
      <c r="AO1894" s="824" t="str">
        <f t="shared" si="422"/>
        <v>No</v>
      </c>
      <c r="AP1894" s="259" t="str">
        <f t="shared" si="427"/>
        <v>blank</v>
      </c>
      <c r="AQ1894" s="542" t="str">
        <f t="shared" si="426"/>
        <v>无定金+无預留客戶</v>
      </c>
      <c r="AR1894" s="259" t="str">
        <f t="shared" si="420"/>
        <v/>
      </c>
      <c r="AS1894" s="259" t="str">
        <f t="shared" si="421"/>
        <v/>
      </c>
      <c r="AT1894" s="259" t="b">
        <f t="shared" si="423"/>
        <v>0</v>
      </c>
      <c r="AU1894" s="259" t="b">
        <f t="shared" si="424"/>
        <v>0</v>
      </c>
      <c r="AV1894" s="259" t="str">
        <f t="shared" si="425"/>
        <v>-</v>
      </c>
    </row>
    <row r="1895" spans="41:48">
      <c r="AO1895" s="824" t="str">
        <f t="shared" si="422"/>
        <v>No</v>
      </c>
      <c r="AP1895" s="259" t="str">
        <f t="shared" si="427"/>
        <v>blank</v>
      </c>
      <c r="AQ1895" s="542" t="str">
        <f t="shared" si="426"/>
        <v>无定金+无預留客戶</v>
      </c>
      <c r="AR1895" s="259" t="str">
        <f t="shared" si="420"/>
        <v/>
      </c>
      <c r="AS1895" s="259" t="str">
        <f t="shared" si="421"/>
        <v/>
      </c>
      <c r="AT1895" s="259" t="b">
        <f t="shared" si="423"/>
        <v>0</v>
      </c>
      <c r="AU1895" s="259" t="b">
        <f t="shared" si="424"/>
        <v>0</v>
      </c>
      <c r="AV1895" s="259" t="str">
        <f t="shared" si="425"/>
        <v>-</v>
      </c>
    </row>
    <row r="1896" spans="41:48">
      <c r="AO1896" s="824" t="str">
        <f t="shared" si="422"/>
        <v>No</v>
      </c>
      <c r="AP1896" s="259" t="str">
        <f t="shared" si="427"/>
        <v>blank</v>
      </c>
      <c r="AQ1896" s="542" t="str">
        <f t="shared" si="426"/>
        <v>无定金+无預留客戶</v>
      </c>
      <c r="AR1896" s="259" t="str">
        <f t="shared" si="420"/>
        <v/>
      </c>
      <c r="AS1896" s="259" t="str">
        <f t="shared" si="421"/>
        <v/>
      </c>
      <c r="AT1896" s="259" t="b">
        <f t="shared" si="423"/>
        <v>0</v>
      </c>
      <c r="AU1896" s="259" t="b">
        <f t="shared" si="424"/>
        <v>0</v>
      </c>
      <c r="AV1896" s="259" t="str">
        <f t="shared" si="425"/>
        <v>-</v>
      </c>
    </row>
    <row r="1897" spans="41:48">
      <c r="AO1897" s="824" t="str">
        <f t="shared" si="422"/>
        <v>No</v>
      </c>
      <c r="AP1897" s="259" t="str">
        <f t="shared" si="427"/>
        <v>blank</v>
      </c>
      <c r="AQ1897" s="542" t="str">
        <f t="shared" si="426"/>
        <v>无定金+无預留客戶</v>
      </c>
      <c r="AR1897" s="259" t="str">
        <f t="shared" si="420"/>
        <v/>
      </c>
      <c r="AS1897" s="259" t="str">
        <f t="shared" si="421"/>
        <v/>
      </c>
      <c r="AT1897" s="259" t="b">
        <f t="shared" si="423"/>
        <v>0</v>
      </c>
      <c r="AU1897" s="259" t="b">
        <f t="shared" si="424"/>
        <v>0</v>
      </c>
      <c r="AV1897" s="259" t="str">
        <f t="shared" si="425"/>
        <v>-</v>
      </c>
    </row>
    <row r="1898" spans="41:48">
      <c r="AO1898" s="824" t="str">
        <f t="shared" si="422"/>
        <v>No</v>
      </c>
      <c r="AP1898" s="259" t="str">
        <f t="shared" si="427"/>
        <v>blank</v>
      </c>
      <c r="AQ1898" s="542" t="str">
        <f t="shared" si="426"/>
        <v>无定金+无預留客戶</v>
      </c>
      <c r="AR1898" s="259" t="str">
        <f t="shared" si="420"/>
        <v/>
      </c>
      <c r="AS1898" s="259" t="str">
        <f t="shared" si="421"/>
        <v/>
      </c>
      <c r="AT1898" s="259" t="b">
        <f t="shared" si="423"/>
        <v>0</v>
      </c>
      <c r="AU1898" s="259" t="b">
        <f t="shared" si="424"/>
        <v>0</v>
      </c>
      <c r="AV1898" s="259" t="str">
        <f t="shared" si="425"/>
        <v>-</v>
      </c>
    </row>
    <row r="1899" spans="41:48">
      <c r="AO1899" s="824" t="str">
        <f t="shared" si="422"/>
        <v>No</v>
      </c>
      <c r="AP1899" s="259" t="str">
        <f t="shared" si="427"/>
        <v>blank</v>
      </c>
      <c r="AQ1899" s="542" t="str">
        <f t="shared" si="426"/>
        <v>无定金+无預留客戶</v>
      </c>
      <c r="AR1899" s="259" t="str">
        <f t="shared" si="420"/>
        <v/>
      </c>
      <c r="AS1899" s="259" t="str">
        <f t="shared" si="421"/>
        <v/>
      </c>
      <c r="AT1899" s="259" t="b">
        <f t="shared" si="423"/>
        <v>0</v>
      </c>
      <c r="AU1899" s="259" t="b">
        <f t="shared" si="424"/>
        <v>0</v>
      </c>
      <c r="AV1899" s="259" t="str">
        <f t="shared" si="425"/>
        <v>-</v>
      </c>
    </row>
    <row r="1900" spans="41:48">
      <c r="AO1900" s="824" t="str">
        <f t="shared" si="422"/>
        <v>No</v>
      </c>
      <c r="AP1900" s="259" t="str">
        <f t="shared" si="427"/>
        <v>blank</v>
      </c>
      <c r="AQ1900" s="542" t="str">
        <f t="shared" si="426"/>
        <v>无定金+无預留客戶</v>
      </c>
      <c r="AR1900" s="259" t="str">
        <f t="shared" si="420"/>
        <v/>
      </c>
      <c r="AS1900" s="259" t="str">
        <f t="shared" si="421"/>
        <v/>
      </c>
      <c r="AT1900" s="259" t="b">
        <f t="shared" si="423"/>
        <v>0</v>
      </c>
      <c r="AU1900" s="259" t="b">
        <f t="shared" si="424"/>
        <v>0</v>
      </c>
      <c r="AV1900" s="259" t="str">
        <f t="shared" si="425"/>
        <v>-</v>
      </c>
    </row>
    <row r="1901" spans="41:48">
      <c r="AO1901" s="824" t="str">
        <f t="shared" si="422"/>
        <v>No</v>
      </c>
      <c r="AP1901" s="259" t="str">
        <f t="shared" si="427"/>
        <v>blank</v>
      </c>
      <c r="AQ1901" s="542" t="str">
        <f t="shared" si="426"/>
        <v>无定金+无預留客戶</v>
      </c>
      <c r="AR1901" s="259" t="str">
        <f t="shared" si="420"/>
        <v/>
      </c>
      <c r="AS1901" s="259" t="str">
        <f t="shared" si="421"/>
        <v/>
      </c>
      <c r="AT1901" s="259" t="b">
        <f t="shared" si="423"/>
        <v>0</v>
      </c>
      <c r="AU1901" s="259" t="b">
        <f t="shared" si="424"/>
        <v>0</v>
      </c>
      <c r="AV1901" s="259" t="str">
        <f t="shared" si="425"/>
        <v>-</v>
      </c>
    </row>
    <row r="1902" spans="41:48">
      <c r="AO1902" s="824" t="str">
        <f t="shared" si="422"/>
        <v>No</v>
      </c>
      <c r="AP1902" s="259" t="str">
        <f t="shared" si="427"/>
        <v>blank</v>
      </c>
      <c r="AQ1902" s="542" t="str">
        <f t="shared" si="426"/>
        <v>无定金+无預留客戶</v>
      </c>
      <c r="AR1902" s="259" t="str">
        <f t="shared" si="420"/>
        <v/>
      </c>
      <c r="AS1902" s="259" t="str">
        <f t="shared" si="421"/>
        <v/>
      </c>
      <c r="AT1902" s="259" t="b">
        <f t="shared" si="423"/>
        <v>0</v>
      </c>
      <c r="AU1902" s="259" t="b">
        <f t="shared" si="424"/>
        <v>0</v>
      </c>
      <c r="AV1902" s="259" t="str">
        <f t="shared" si="425"/>
        <v>-</v>
      </c>
    </row>
    <row r="1903" spans="41:48">
      <c r="AO1903" s="824" t="str">
        <f t="shared" si="422"/>
        <v>No</v>
      </c>
      <c r="AP1903" s="259" t="str">
        <f t="shared" si="427"/>
        <v>blank</v>
      </c>
      <c r="AQ1903" s="542" t="str">
        <f t="shared" si="426"/>
        <v>无定金+无預留客戶</v>
      </c>
      <c r="AR1903" s="259" t="str">
        <f t="shared" si="420"/>
        <v/>
      </c>
      <c r="AS1903" s="259" t="str">
        <f t="shared" si="421"/>
        <v/>
      </c>
      <c r="AT1903" s="259" t="b">
        <f t="shared" si="423"/>
        <v>0</v>
      </c>
      <c r="AU1903" s="259" t="b">
        <f t="shared" si="424"/>
        <v>0</v>
      </c>
      <c r="AV1903" s="259" t="str">
        <f t="shared" si="425"/>
        <v>-</v>
      </c>
    </row>
    <row r="1904" spans="41:48">
      <c r="AO1904" s="824" t="str">
        <f t="shared" si="422"/>
        <v>No</v>
      </c>
      <c r="AP1904" s="259" t="str">
        <f t="shared" si="427"/>
        <v>blank</v>
      </c>
      <c r="AQ1904" s="542" t="str">
        <f t="shared" si="426"/>
        <v>无定金+无預留客戶</v>
      </c>
      <c r="AR1904" s="259" t="str">
        <f t="shared" si="420"/>
        <v/>
      </c>
      <c r="AS1904" s="259" t="str">
        <f t="shared" si="421"/>
        <v/>
      </c>
      <c r="AT1904" s="259" t="b">
        <f t="shared" si="423"/>
        <v>0</v>
      </c>
      <c r="AU1904" s="259" t="b">
        <f t="shared" si="424"/>
        <v>0</v>
      </c>
      <c r="AV1904" s="259" t="str">
        <f t="shared" si="425"/>
        <v>-</v>
      </c>
    </row>
    <row r="1905" spans="41:48">
      <c r="AO1905" s="824" t="str">
        <f t="shared" si="422"/>
        <v>No</v>
      </c>
      <c r="AP1905" s="259" t="str">
        <f t="shared" si="427"/>
        <v>blank</v>
      </c>
      <c r="AQ1905" s="542" t="str">
        <f t="shared" si="426"/>
        <v>无定金+无預留客戶</v>
      </c>
      <c r="AR1905" s="259" t="str">
        <f t="shared" si="420"/>
        <v/>
      </c>
      <c r="AS1905" s="259" t="str">
        <f t="shared" si="421"/>
        <v/>
      </c>
      <c r="AT1905" s="259" t="b">
        <f t="shared" si="423"/>
        <v>0</v>
      </c>
      <c r="AU1905" s="259" t="b">
        <f t="shared" si="424"/>
        <v>0</v>
      </c>
      <c r="AV1905" s="259" t="str">
        <f t="shared" si="425"/>
        <v>-</v>
      </c>
    </row>
    <row r="1906" spans="41:48">
      <c r="AO1906" s="824" t="str">
        <f t="shared" si="422"/>
        <v>No</v>
      </c>
      <c r="AP1906" s="259" t="str">
        <f t="shared" si="427"/>
        <v>blank</v>
      </c>
      <c r="AQ1906" s="542" t="str">
        <f t="shared" si="426"/>
        <v>无定金+无預留客戶</v>
      </c>
      <c r="AR1906" s="259" t="str">
        <f t="shared" si="420"/>
        <v/>
      </c>
      <c r="AS1906" s="259" t="str">
        <f t="shared" si="421"/>
        <v/>
      </c>
      <c r="AT1906" s="259" t="b">
        <f t="shared" si="423"/>
        <v>0</v>
      </c>
      <c r="AU1906" s="259" t="b">
        <f t="shared" si="424"/>
        <v>0</v>
      </c>
      <c r="AV1906" s="259" t="str">
        <f t="shared" si="425"/>
        <v>-</v>
      </c>
    </row>
    <row r="1907" spans="41:48">
      <c r="AO1907" s="824" t="str">
        <f t="shared" si="422"/>
        <v>No</v>
      </c>
      <c r="AP1907" s="259" t="str">
        <f t="shared" si="427"/>
        <v>blank</v>
      </c>
      <c r="AQ1907" s="542" t="str">
        <f t="shared" si="426"/>
        <v>无定金+无預留客戶</v>
      </c>
      <c r="AR1907" s="259" t="str">
        <f t="shared" si="420"/>
        <v/>
      </c>
      <c r="AS1907" s="259" t="str">
        <f t="shared" si="421"/>
        <v/>
      </c>
      <c r="AT1907" s="259" t="b">
        <f t="shared" si="423"/>
        <v>0</v>
      </c>
      <c r="AU1907" s="259" t="b">
        <f t="shared" si="424"/>
        <v>0</v>
      </c>
      <c r="AV1907" s="259" t="str">
        <f t="shared" si="425"/>
        <v>-</v>
      </c>
    </row>
    <row r="1908" spans="41:48">
      <c r="AO1908" s="824" t="str">
        <f t="shared" si="422"/>
        <v>No</v>
      </c>
      <c r="AP1908" s="259" t="str">
        <f t="shared" si="427"/>
        <v>blank</v>
      </c>
      <c r="AQ1908" s="542" t="str">
        <f t="shared" si="426"/>
        <v>无定金+无預留客戶</v>
      </c>
      <c r="AR1908" s="259" t="str">
        <f t="shared" si="420"/>
        <v/>
      </c>
      <c r="AS1908" s="259" t="str">
        <f t="shared" si="421"/>
        <v/>
      </c>
      <c r="AT1908" s="259" t="b">
        <f t="shared" si="423"/>
        <v>0</v>
      </c>
      <c r="AU1908" s="259" t="b">
        <f t="shared" si="424"/>
        <v>0</v>
      </c>
      <c r="AV1908" s="259" t="str">
        <f t="shared" si="425"/>
        <v>-</v>
      </c>
    </row>
    <row r="1909" spans="41:48">
      <c r="AO1909" s="824" t="str">
        <f t="shared" si="422"/>
        <v>No</v>
      </c>
      <c r="AP1909" s="259" t="str">
        <f t="shared" si="427"/>
        <v>blank</v>
      </c>
      <c r="AQ1909" s="542" t="str">
        <f t="shared" si="426"/>
        <v>无定金+无預留客戶</v>
      </c>
      <c r="AR1909" s="259" t="str">
        <f t="shared" si="420"/>
        <v/>
      </c>
      <c r="AS1909" s="259" t="str">
        <f t="shared" si="421"/>
        <v/>
      </c>
      <c r="AT1909" s="259" t="b">
        <f t="shared" si="423"/>
        <v>0</v>
      </c>
      <c r="AU1909" s="259" t="b">
        <f t="shared" si="424"/>
        <v>0</v>
      </c>
      <c r="AV1909" s="259" t="str">
        <f t="shared" si="425"/>
        <v>-</v>
      </c>
    </row>
    <row r="1910" spans="41:48">
      <c r="AO1910" s="824" t="str">
        <f t="shared" si="422"/>
        <v>No</v>
      </c>
      <c r="AP1910" s="259" t="str">
        <f t="shared" si="427"/>
        <v>blank</v>
      </c>
      <c r="AQ1910" s="542" t="str">
        <f t="shared" si="426"/>
        <v>无定金+无預留客戶</v>
      </c>
      <c r="AR1910" s="259" t="str">
        <f t="shared" si="420"/>
        <v/>
      </c>
      <c r="AS1910" s="259" t="str">
        <f t="shared" si="421"/>
        <v/>
      </c>
      <c r="AT1910" s="259" t="b">
        <f t="shared" si="423"/>
        <v>0</v>
      </c>
      <c r="AU1910" s="259" t="b">
        <f t="shared" si="424"/>
        <v>0</v>
      </c>
      <c r="AV1910" s="259" t="str">
        <f t="shared" si="425"/>
        <v>-</v>
      </c>
    </row>
    <row r="1911" spans="41:48">
      <c r="AO1911" s="824" t="str">
        <f t="shared" si="422"/>
        <v>No</v>
      </c>
      <c r="AP1911" s="259" t="str">
        <f t="shared" si="427"/>
        <v>blank</v>
      </c>
      <c r="AQ1911" s="542" t="str">
        <f t="shared" si="426"/>
        <v>无定金+无預留客戶</v>
      </c>
      <c r="AR1911" s="259" t="str">
        <f t="shared" si="420"/>
        <v/>
      </c>
      <c r="AS1911" s="259" t="str">
        <f t="shared" si="421"/>
        <v/>
      </c>
      <c r="AT1911" s="259" t="b">
        <f t="shared" si="423"/>
        <v>0</v>
      </c>
      <c r="AU1911" s="259" t="b">
        <f t="shared" si="424"/>
        <v>0</v>
      </c>
      <c r="AV1911" s="259" t="str">
        <f t="shared" si="425"/>
        <v>-</v>
      </c>
    </row>
    <row r="1912" spans="41:48">
      <c r="AO1912" s="824" t="str">
        <f t="shared" si="422"/>
        <v>No</v>
      </c>
      <c r="AP1912" s="259" t="str">
        <f t="shared" si="427"/>
        <v>blank</v>
      </c>
      <c r="AQ1912" s="542" t="str">
        <f t="shared" si="426"/>
        <v>无定金+无預留客戶</v>
      </c>
      <c r="AR1912" s="259" t="str">
        <f t="shared" si="420"/>
        <v/>
      </c>
      <c r="AS1912" s="259" t="str">
        <f t="shared" si="421"/>
        <v/>
      </c>
      <c r="AT1912" s="259" t="b">
        <f t="shared" si="423"/>
        <v>0</v>
      </c>
      <c r="AU1912" s="259" t="b">
        <f t="shared" si="424"/>
        <v>0</v>
      </c>
      <c r="AV1912" s="259" t="str">
        <f t="shared" si="425"/>
        <v>-</v>
      </c>
    </row>
    <row r="1913" spans="41:48">
      <c r="AO1913" s="824" t="str">
        <f t="shared" si="422"/>
        <v>No</v>
      </c>
      <c r="AP1913" s="259" t="str">
        <f t="shared" si="427"/>
        <v>blank</v>
      </c>
      <c r="AQ1913" s="542" t="str">
        <f t="shared" si="426"/>
        <v>无定金+无預留客戶</v>
      </c>
      <c r="AR1913" s="259" t="str">
        <f t="shared" si="420"/>
        <v/>
      </c>
      <c r="AS1913" s="259" t="str">
        <f t="shared" si="421"/>
        <v/>
      </c>
      <c r="AT1913" s="259" t="b">
        <f t="shared" si="423"/>
        <v>0</v>
      </c>
      <c r="AU1913" s="259" t="b">
        <f t="shared" si="424"/>
        <v>0</v>
      </c>
      <c r="AV1913" s="259" t="str">
        <f t="shared" si="425"/>
        <v>-</v>
      </c>
    </row>
    <row r="1914" spans="41:48">
      <c r="AO1914" s="824" t="str">
        <f t="shared" si="422"/>
        <v>No</v>
      </c>
      <c r="AP1914" s="259" t="str">
        <f t="shared" si="427"/>
        <v>blank</v>
      </c>
      <c r="AQ1914" s="542" t="str">
        <f t="shared" si="426"/>
        <v>无定金+无預留客戶</v>
      </c>
      <c r="AR1914" s="259" t="str">
        <f t="shared" si="420"/>
        <v/>
      </c>
      <c r="AS1914" s="259" t="str">
        <f t="shared" si="421"/>
        <v/>
      </c>
      <c r="AT1914" s="259" t="b">
        <f t="shared" si="423"/>
        <v>0</v>
      </c>
      <c r="AU1914" s="259" t="b">
        <f t="shared" si="424"/>
        <v>0</v>
      </c>
      <c r="AV1914" s="259" t="str">
        <f t="shared" si="425"/>
        <v>-</v>
      </c>
    </row>
    <row r="1915" spans="41:48">
      <c r="AO1915" s="824" t="str">
        <f t="shared" si="422"/>
        <v>No</v>
      </c>
      <c r="AP1915" s="259" t="str">
        <f t="shared" si="427"/>
        <v>blank</v>
      </c>
      <c r="AQ1915" s="542" t="str">
        <f t="shared" si="426"/>
        <v>无定金+无預留客戶</v>
      </c>
      <c r="AR1915" s="259" t="str">
        <f t="shared" si="420"/>
        <v/>
      </c>
      <c r="AS1915" s="259" t="str">
        <f t="shared" si="421"/>
        <v/>
      </c>
      <c r="AT1915" s="259" t="b">
        <f t="shared" si="423"/>
        <v>0</v>
      </c>
      <c r="AU1915" s="259" t="b">
        <f t="shared" si="424"/>
        <v>0</v>
      </c>
      <c r="AV1915" s="259" t="str">
        <f t="shared" si="425"/>
        <v>-</v>
      </c>
    </row>
    <row r="1916" spans="41:48">
      <c r="AO1916" s="824" t="str">
        <f t="shared" si="422"/>
        <v>No</v>
      </c>
      <c r="AP1916" s="259" t="str">
        <f t="shared" si="427"/>
        <v>blank</v>
      </c>
      <c r="AQ1916" s="542" t="str">
        <f t="shared" si="426"/>
        <v>无定金+无預留客戶</v>
      </c>
      <c r="AR1916" s="259" t="str">
        <f t="shared" si="420"/>
        <v/>
      </c>
      <c r="AS1916" s="259" t="str">
        <f t="shared" si="421"/>
        <v/>
      </c>
      <c r="AT1916" s="259" t="b">
        <f t="shared" si="423"/>
        <v>0</v>
      </c>
      <c r="AU1916" s="259" t="b">
        <f t="shared" si="424"/>
        <v>0</v>
      </c>
      <c r="AV1916" s="259" t="str">
        <f t="shared" si="425"/>
        <v>-</v>
      </c>
    </row>
    <row r="1917" spans="41:48">
      <c r="AO1917" s="824" t="str">
        <f t="shared" si="422"/>
        <v>No</v>
      </c>
      <c r="AP1917" s="259" t="str">
        <f t="shared" si="427"/>
        <v>blank</v>
      </c>
      <c r="AQ1917" s="542" t="str">
        <f t="shared" si="426"/>
        <v>无定金+无預留客戶</v>
      </c>
      <c r="AR1917" s="259" t="str">
        <f t="shared" si="420"/>
        <v/>
      </c>
      <c r="AS1917" s="259" t="str">
        <f t="shared" si="421"/>
        <v/>
      </c>
      <c r="AT1917" s="259" t="b">
        <f t="shared" si="423"/>
        <v>0</v>
      </c>
      <c r="AU1917" s="259" t="b">
        <f t="shared" si="424"/>
        <v>0</v>
      </c>
      <c r="AV1917" s="259" t="str">
        <f t="shared" si="425"/>
        <v>-</v>
      </c>
    </row>
    <row r="1918" spans="41:48">
      <c r="AO1918" s="824" t="str">
        <f t="shared" si="422"/>
        <v>No</v>
      </c>
      <c r="AP1918" s="259" t="str">
        <f t="shared" si="427"/>
        <v>blank</v>
      </c>
      <c r="AQ1918" s="542" t="str">
        <f t="shared" si="426"/>
        <v>无定金+无預留客戶</v>
      </c>
      <c r="AR1918" s="259" t="str">
        <f t="shared" ref="AR1918:AR1981" si="428">IFERROR(IF(B1918="已经到货", "Instock", IF(B1918="有交期", "Incoming_Stock_With_YAMAHA_Schedule", IF(B1918="TBA.", "Incoming_Stock_No_YAMAHA_Schedule", IF(B1918="已发货", "Shipped_Stock", "")))), "")</f>
        <v/>
      </c>
      <c r="AS1918" s="259" t="str">
        <f t="shared" ref="AS1918:AS1981" si="429">IF(AND(B1918="有交期", L1918&lt;&gt;""), L1918, "")</f>
        <v/>
      </c>
      <c r="AT1918" s="259" t="b">
        <f t="shared" si="423"/>
        <v>0</v>
      </c>
      <c r="AU1918" s="259" t="b">
        <f t="shared" si="424"/>
        <v>0</v>
      </c>
      <c r="AV1918" s="259" t="str">
        <f t="shared" si="425"/>
        <v>-</v>
      </c>
    </row>
    <row r="1919" spans="41:48">
      <c r="AO1919" s="824" t="str">
        <f t="shared" si="422"/>
        <v>No</v>
      </c>
      <c r="AP1919" s="259" t="str">
        <f t="shared" si="427"/>
        <v>blank</v>
      </c>
      <c r="AQ1919" s="542" t="str">
        <f t="shared" si="426"/>
        <v>无定金+无預留客戶</v>
      </c>
      <c r="AR1919" s="259" t="str">
        <f t="shared" si="428"/>
        <v/>
      </c>
      <c r="AS1919" s="259" t="str">
        <f t="shared" si="429"/>
        <v/>
      </c>
      <c r="AT1919" s="259" t="b">
        <f t="shared" si="423"/>
        <v>0</v>
      </c>
      <c r="AU1919" s="259" t="b">
        <f t="shared" si="424"/>
        <v>0</v>
      </c>
      <c r="AV1919" s="259" t="str">
        <f t="shared" si="425"/>
        <v>-</v>
      </c>
    </row>
    <row r="1920" spans="41:48">
      <c r="AO1920" s="824" t="str">
        <f t="shared" si="422"/>
        <v>No</v>
      </c>
      <c r="AP1920" s="259" t="str">
        <f t="shared" si="427"/>
        <v>blank</v>
      </c>
      <c r="AQ1920" s="542" t="str">
        <f t="shared" si="426"/>
        <v>无定金+无預留客戶</v>
      </c>
      <c r="AR1920" s="259" t="str">
        <f t="shared" si="428"/>
        <v/>
      </c>
      <c r="AS1920" s="259" t="str">
        <f t="shared" si="429"/>
        <v/>
      </c>
      <c r="AT1920" s="259" t="b">
        <f t="shared" si="423"/>
        <v>0</v>
      </c>
      <c r="AU1920" s="259" t="b">
        <f t="shared" si="424"/>
        <v>0</v>
      </c>
      <c r="AV1920" s="259" t="str">
        <f t="shared" si="425"/>
        <v>-</v>
      </c>
    </row>
    <row r="1921" spans="41:48">
      <c r="AO1921" s="824" t="str">
        <f t="shared" si="422"/>
        <v>No</v>
      </c>
      <c r="AP1921" s="259" t="str">
        <f t="shared" si="427"/>
        <v>blank</v>
      </c>
      <c r="AQ1921" s="542" t="str">
        <f t="shared" si="426"/>
        <v>无定金+无預留客戶</v>
      </c>
      <c r="AR1921" s="259" t="str">
        <f t="shared" si="428"/>
        <v/>
      </c>
      <c r="AS1921" s="259" t="str">
        <f t="shared" si="429"/>
        <v/>
      </c>
      <c r="AT1921" s="259" t="b">
        <f t="shared" si="423"/>
        <v>0</v>
      </c>
      <c r="AU1921" s="259" t="b">
        <f t="shared" si="424"/>
        <v>0</v>
      </c>
      <c r="AV1921" s="259" t="str">
        <f t="shared" si="425"/>
        <v>-</v>
      </c>
    </row>
    <row r="1922" spans="41:48">
      <c r="AO1922" s="824" t="str">
        <f t="shared" ref="AO1922:AO1985" si="430">IFERROR(IF(Y1922&lt;&gt;"",Y1922,"No"),"No")</f>
        <v>No</v>
      </c>
      <c r="AP1922" s="259" t="str">
        <f t="shared" si="427"/>
        <v>blank</v>
      </c>
      <c r="AQ1922" s="542" t="str">
        <f t="shared" si="426"/>
        <v>无定金+无預留客戶</v>
      </c>
      <c r="AR1922" s="259" t="str">
        <f t="shared" si="428"/>
        <v/>
      </c>
      <c r="AS1922" s="259" t="str">
        <f t="shared" si="429"/>
        <v/>
      </c>
      <c r="AT1922" s="259" t="b">
        <f t="shared" ref="AT1922:AT1985" si="431">IFERROR(IF(R1922&lt;&gt;"",R1922),"-")</f>
        <v>0</v>
      </c>
      <c r="AU1922" s="259" t="b">
        <f t="shared" ref="AU1922:AU1985" si="432">IFERROR(IF(Q1922&lt;&gt;"",Q1922),"-")</f>
        <v>0</v>
      </c>
      <c r="AV1922" s="259" t="str">
        <f t="shared" ref="AV1922:AV1985" si="433">IF(L1922="","-",TEXT(L1922,"mmm-dd"))</f>
        <v>-</v>
      </c>
    </row>
    <row r="1923" spans="41:48">
      <c r="AO1923" s="824" t="str">
        <f t="shared" si="430"/>
        <v>No</v>
      </c>
      <c r="AP1923" s="259" t="str">
        <f t="shared" si="427"/>
        <v>blank</v>
      </c>
      <c r="AQ1923" s="542" t="str">
        <f t="shared" ref="AQ1923:AQ1986" si="434">IFERROR(IF(AND(AO1923="Yes", AP1923&lt;&gt;"blank"), "有定金+有預留客戶", IF(AND(AO1923="Yes", AP1923="blank"), "有定金+无客戶送貨期", IF(AND(OR(AO1923="No", ISBLANK(AO1923), AO1923="NA"), AP1923&lt;&gt;"blank"), "无定金+有預留客戶", IF(AND(OR(AO1923="No", ISBLANK(AO1923), AO1923="NA"), AP1923="blank"), "无定金+无預留客戶", "")))), "")</f>
        <v>无定金+无預留客戶</v>
      </c>
      <c r="AR1923" s="259" t="str">
        <f t="shared" si="428"/>
        <v/>
      </c>
      <c r="AS1923" s="259" t="str">
        <f t="shared" si="429"/>
        <v/>
      </c>
      <c r="AT1923" s="259" t="b">
        <f t="shared" si="431"/>
        <v>0</v>
      </c>
      <c r="AU1923" s="259" t="b">
        <f t="shared" si="432"/>
        <v>0</v>
      </c>
      <c r="AV1923" s="259" t="str">
        <f t="shared" si="433"/>
        <v>-</v>
      </c>
    </row>
    <row r="1924" spans="41:48">
      <c r="AO1924" s="824" t="str">
        <f t="shared" si="430"/>
        <v>No</v>
      </c>
      <c r="AP1924" s="259" t="str">
        <f t="shared" si="427"/>
        <v>blank</v>
      </c>
      <c r="AQ1924" s="542" t="str">
        <f t="shared" si="434"/>
        <v>无定金+无預留客戶</v>
      </c>
      <c r="AR1924" s="259" t="str">
        <f t="shared" si="428"/>
        <v/>
      </c>
      <c r="AS1924" s="259" t="str">
        <f t="shared" si="429"/>
        <v/>
      </c>
      <c r="AT1924" s="259" t="b">
        <f t="shared" si="431"/>
        <v>0</v>
      </c>
      <c r="AU1924" s="259" t="b">
        <f t="shared" si="432"/>
        <v>0</v>
      </c>
      <c r="AV1924" s="259" t="str">
        <f t="shared" si="433"/>
        <v>-</v>
      </c>
    </row>
    <row r="1925" spans="41:48">
      <c r="AO1925" s="824" t="str">
        <f t="shared" si="430"/>
        <v>No</v>
      </c>
      <c r="AP1925" s="259" t="str">
        <f t="shared" si="427"/>
        <v>blank</v>
      </c>
      <c r="AQ1925" s="542" t="str">
        <f t="shared" si="434"/>
        <v>无定金+无預留客戶</v>
      </c>
      <c r="AR1925" s="259" t="str">
        <f t="shared" si="428"/>
        <v/>
      </c>
      <c r="AS1925" s="259" t="str">
        <f t="shared" si="429"/>
        <v/>
      </c>
      <c r="AT1925" s="259" t="b">
        <f t="shared" si="431"/>
        <v>0</v>
      </c>
      <c r="AU1925" s="259" t="b">
        <f t="shared" si="432"/>
        <v>0</v>
      </c>
      <c r="AV1925" s="259" t="str">
        <f t="shared" si="433"/>
        <v>-</v>
      </c>
    </row>
    <row r="1926" spans="41:48">
      <c r="AO1926" s="824" t="str">
        <f t="shared" si="430"/>
        <v>No</v>
      </c>
      <c r="AP1926" s="259" t="str">
        <f t="shared" ref="AP1926:AP1989" si="435">IFERROR(IF(N1926&lt;&gt;"",N1926,"blank"),"NA")</f>
        <v>blank</v>
      </c>
      <c r="AQ1926" s="542" t="str">
        <f t="shared" si="434"/>
        <v>无定金+无預留客戶</v>
      </c>
      <c r="AR1926" s="259" t="str">
        <f t="shared" si="428"/>
        <v/>
      </c>
      <c r="AS1926" s="259" t="str">
        <f t="shared" si="429"/>
        <v/>
      </c>
      <c r="AT1926" s="259" t="b">
        <f t="shared" si="431"/>
        <v>0</v>
      </c>
      <c r="AU1926" s="259" t="b">
        <f t="shared" si="432"/>
        <v>0</v>
      </c>
      <c r="AV1926" s="259" t="str">
        <f t="shared" si="433"/>
        <v>-</v>
      </c>
    </row>
    <row r="1927" spans="41:48">
      <c r="AO1927" s="824" t="str">
        <f t="shared" si="430"/>
        <v>No</v>
      </c>
      <c r="AP1927" s="259" t="str">
        <f t="shared" si="435"/>
        <v>blank</v>
      </c>
      <c r="AQ1927" s="542" t="str">
        <f t="shared" si="434"/>
        <v>无定金+无預留客戶</v>
      </c>
      <c r="AR1927" s="259" t="str">
        <f t="shared" si="428"/>
        <v/>
      </c>
      <c r="AS1927" s="259" t="str">
        <f t="shared" si="429"/>
        <v/>
      </c>
      <c r="AT1927" s="259" t="b">
        <f t="shared" si="431"/>
        <v>0</v>
      </c>
      <c r="AU1927" s="259" t="b">
        <f t="shared" si="432"/>
        <v>0</v>
      </c>
      <c r="AV1927" s="259" t="str">
        <f t="shared" si="433"/>
        <v>-</v>
      </c>
    </row>
    <row r="1928" spans="41:48">
      <c r="AO1928" s="824" t="str">
        <f t="shared" si="430"/>
        <v>No</v>
      </c>
      <c r="AP1928" s="259" t="str">
        <f t="shared" si="435"/>
        <v>blank</v>
      </c>
      <c r="AQ1928" s="542" t="str">
        <f t="shared" si="434"/>
        <v>无定金+无預留客戶</v>
      </c>
      <c r="AR1928" s="259" t="str">
        <f t="shared" si="428"/>
        <v/>
      </c>
      <c r="AS1928" s="259" t="str">
        <f t="shared" si="429"/>
        <v/>
      </c>
      <c r="AT1928" s="259" t="b">
        <f t="shared" si="431"/>
        <v>0</v>
      </c>
      <c r="AU1928" s="259" t="b">
        <f t="shared" si="432"/>
        <v>0</v>
      </c>
      <c r="AV1928" s="259" t="str">
        <f t="shared" si="433"/>
        <v>-</v>
      </c>
    </row>
    <row r="1929" spans="41:48">
      <c r="AO1929" s="824" t="str">
        <f t="shared" si="430"/>
        <v>No</v>
      </c>
      <c r="AP1929" s="259" t="str">
        <f t="shared" si="435"/>
        <v>blank</v>
      </c>
      <c r="AQ1929" s="542" t="str">
        <f t="shared" si="434"/>
        <v>无定金+无預留客戶</v>
      </c>
      <c r="AR1929" s="259" t="str">
        <f t="shared" si="428"/>
        <v/>
      </c>
      <c r="AS1929" s="259" t="str">
        <f t="shared" si="429"/>
        <v/>
      </c>
      <c r="AT1929" s="259" t="b">
        <f t="shared" si="431"/>
        <v>0</v>
      </c>
      <c r="AU1929" s="259" t="b">
        <f t="shared" si="432"/>
        <v>0</v>
      </c>
      <c r="AV1929" s="259" t="str">
        <f t="shared" si="433"/>
        <v>-</v>
      </c>
    </row>
    <row r="1930" spans="41:48">
      <c r="AO1930" s="824" t="str">
        <f t="shared" si="430"/>
        <v>No</v>
      </c>
      <c r="AP1930" s="259" t="str">
        <f t="shared" si="435"/>
        <v>blank</v>
      </c>
      <c r="AQ1930" s="542" t="str">
        <f t="shared" si="434"/>
        <v>无定金+无預留客戶</v>
      </c>
      <c r="AR1930" s="259" t="str">
        <f t="shared" si="428"/>
        <v/>
      </c>
      <c r="AS1930" s="259" t="str">
        <f t="shared" si="429"/>
        <v/>
      </c>
      <c r="AT1930" s="259" t="b">
        <f t="shared" si="431"/>
        <v>0</v>
      </c>
      <c r="AU1930" s="259" t="b">
        <f t="shared" si="432"/>
        <v>0</v>
      </c>
      <c r="AV1930" s="259" t="str">
        <f t="shared" si="433"/>
        <v>-</v>
      </c>
    </row>
    <row r="1931" spans="41:48">
      <c r="AO1931" s="824" t="str">
        <f t="shared" si="430"/>
        <v>No</v>
      </c>
      <c r="AP1931" s="259" t="str">
        <f t="shared" si="435"/>
        <v>blank</v>
      </c>
      <c r="AQ1931" s="542" t="str">
        <f t="shared" si="434"/>
        <v>无定金+无預留客戶</v>
      </c>
      <c r="AR1931" s="259" t="str">
        <f t="shared" si="428"/>
        <v/>
      </c>
      <c r="AS1931" s="259" t="str">
        <f t="shared" si="429"/>
        <v/>
      </c>
      <c r="AT1931" s="259" t="b">
        <f t="shared" si="431"/>
        <v>0</v>
      </c>
      <c r="AU1931" s="259" t="b">
        <f t="shared" si="432"/>
        <v>0</v>
      </c>
      <c r="AV1931" s="259" t="str">
        <f t="shared" si="433"/>
        <v>-</v>
      </c>
    </row>
    <row r="1932" spans="41:48">
      <c r="AO1932" s="824" t="str">
        <f t="shared" si="430"/>
        <v>No</v>
      </c>
      <c r="AP1932" s="259" t="str">
        <f t="shared" si="435"/>
        <v>blank</v>
      </c>
      <c r="AQ1932" s="542" t="str">
        <f t="shared" si="434"/>
        <v>无定金+无預留客戶</v>
      </c>
      <c r="AR1932" s="259" t="str">
        <f t="shared" si="428"/>
        <v/>
      </c>
      <c r="AS1932" s="259" t="str">
        <f t="shared" si="429"/>
        <v/>
      </c>
      <c r="AT1932" s="259" t="b">
        <f t="shared" si="431"/>
        <v>0</v>
      </c>
      <c r="AU1932" s="259" t="b">
        <f t="shared" si="432"/>
        <v>0</v>
      </c>
      <c r="AV1932" s="259" t="str">
        <f t="shared" si="433"/>
        <v>-</v>
      </c>
    </row>
    <row r="1933" spans="41:48">
      <c r="AO1933" s="824" t="str">
        <f t="shared" si="430"/>
        <v>No</v>
      </c>
      <c r="AP1933" s="259" t="str">
        <f t="shared" si="435"/>
        <v>blank</v>
      </c>
      <c r="AQ1933" s="542" t="str">
        <f t="shared" si="434"/>
        <v>无定金+无預留客戶</v>
      </c>
      <c r="AR1933" s="259" t="str">
        <f t="shared" si="428"/>
        <v/>
      </c>
      <c r="AS1933" s="259" t="str">
        <f t="shared" si="429"/>
        <v/>
      </c>
      <c r="AT1933" s="259" t="b">
        <f t="shared" si="431"/>
        <v>0</v>
      </c>
      <c r="AU1933" s="259" t="b">
        <f t="shared" si="432"/>
        <v>0</v>
      </c>
      <c r="AV1933" s="259" t="str">
        <f t="shared" si="433"/>
        <v>-</v>
      </c>
    </row>
    <row r="1934" spans="41:48">
      <c r="AO1934" s="824" t="str">
        <f t="shared" si="430"/>
        <v>No</v>
      </c>
      <c r="AP1934" s="259" t="str">
        <f t="shared" si="435"/>
        <v>blank</v>
      </c>
      <c r="AQ1934" s="542" t="str">
        <f t="shared" si="434"/>
        <v>无定金+无預留客戶</v>
      </c>
      <c r="AR1934" s="259" t="str">
        <f t="shared" si="428"/>
        <v/>
      </c>
      <c r="AS1934" s="259" t="str">
        <f t="shared" si="429"/>
        <v/>
      </c>
      <c r="AT1934" s="259" t="b">
        <f t="shared" si="431"/>
        <v>0</v>
      </c>
      <c r="AU1934" s="259" t="b">
        <f t="shared" si="432"/>
        <v>0</v>
      </c>
      <c r="AV1934" s="259" t="str">
        <f t="shared" si="433"/>
        <v>-</v>
      </c>
    </row>
    <row r="1935" spans="41:48">
      <c r="AO1935" s="824" t="str">
        <f t="shared" si="430"/>
        <v>No</v>
      </c>
      <c r="AP1935" s="259" t="str">
        <f t="shared" si="435"/>
        <v>blank</v>
      </c>
      <c r="AQ1935" s="542" t="str">
        <f t="shared" si="434"/>
        <v>无定金+无預留客戶</v>
      </c>
      <c r="AR1935" s="259" t="str">
        <f t="shared" si="428"/>
        <v/>
      </c>
      <c r="AS1935" s="259" t="str">
        <f t="shared" si="429"/>
        <v/>
      </c>
      <c r="AT1935" s="259" t="b">
        <f t="shared" si="431"/>
        <v>0</v>
      </c>
      <c r="AU1935" s="259" t="b">
        <f t="shared" si="432"/>
        <v>0</v>
      </c>
      <c r="AV1935" s="259" t="str">
        <f t="shared" si="433"/>
        <v>-</v>
      </c>
    </row>
    <row r="1936" spans="41:48">
      <c r="AO1936" s="824" t="str">
        <f t="shared" si="430"/>
        <v>No</v>
      </c>
      <c r="AP1936" s="259" t="str">
        <f t="shared" si="435"/>
        <v>blank</v>
      </c>
      <c r="AQ1936" s="542" t="str">
        <f t="shared" si="434"/>
        <v>无定金+无預留客戶</v>
      </c>
      <c r="AR1936" s="259" t="str">
        <f t="shared" si="428"/>
        <v/>
      </c>
      <c r="AS1936" s="259" t="str">
        <f t="shared" si="429"/>
        <v/>
      </c>
      <c r="AT1936" s="259" t="b">
        <f t="shared" si="431"/>
        <v>0</v>
      </c>
      <c r="AU1936" s="259" t="b">
        <f t="shared" si="432"/>
        <v>0</v>
      </c>
      <c r="AV1936" s="259" t="str">
        <f t="shared" si="433"/>
        <v>-</v>
      </c>
    </row>
    <row r="1937" spans="41:48">
      <c r="AO1937" s="824" t="str">
        <f t="shared" si="430"/>
        <v>No</v>
      </c>
      <c r="AP1937" s="259" t="str">
        <f t="shared" si="435"/>
        <v>blank</v>
      </c>
      <c r="AQ1937" s="542" t="str">
        <f t="shared" si="434"/>
        <v>无定金+无預留客戶</v>
      </c>
      <c r="AR1937" s="259" t="str">
        <f t="shared" si="428"/>
        <v/>
      </c>
      <c r="AS1937" s="259" t="str">
        <f t="shared" si="429"/>
        <v/>
      </c>
      <c r="AT1937" s="259" t="b">
        <f t="shared" si="431"/>
        <v>0</v>
      </c>
      <c r="AU1937" s="259" t="b">
        <f t="shared" si="432"/>
        <v>0</v>
      </c>
      <c r="AV1937" s="259" t="str">
        <f t="shared" si="433"/>
        <v>-</v>
      </c>
    </row>
    <row r="1938" spans="41:48">
      <c r="AO1938" s="824" t="str">
        <f t="shared" si="430"/>
        <v>No</v>
      </c>
      <c r="AP1938" s="259" t="str">
        <f t="shared" si="435"/>
        <v>blank</v>
      </c>
      <c r="AQ1938" s="542" t="str">
        <f t="shared" si="434"/>
        <v>无定金+无預留客戶</v>
      </c>
      <c r="AR1938" s="259" t="str">
        <f t="shared" si="428"/>
        <v/>
      </c>
      <c r="AS1938" s="259" t="str">
        <f t="shared" si="429"/>
        <v/>
      </c>
      <c r="AT1938" s="259" t="b">
        <f t="shared" si="431"/>
        <v>0</v>
      </c>
      <c r="AU1938" s="259" t="b">
        <f t="shared" si="432"/>
        <v>0</v>
      </c>
      <c r="AV1938" s="259" t="str">
        <f t="shared" si="433"/>
        <v>-</v>
      </c>
    </row>
    <row r="1939" spans="41:48">
      <c r="AO1939" s="824" t="str">
        <f t="shared" si="430"/>
        <v>No</v>
      </c>
      <c r="AP1939" s="259" t="str">
        <f t="shared" si="435"/>
        <v>blank</v>
      </c>
      <c r="AQ1939" s="542" t="str">
        <f t="shared" si="434"/>
        <v>无定金+无預留客戶</v>
      </c>
      <c r="AR1939" s="259" t="str">
        <f t="shared" si="428"/>
        <v/>
      </c>
      <c r="AS1939" s="259" t="str">
        <f t="shared" si="429"/>
        <v/>
      </c>
      <c r="AT1939" s="259" t="b">
        <f t="shared" si="431"/>
        <v>0</v>
      </c>
      <c r="AU1939" s="259" t="b">
        <f t="shared" si="432"/>
        <v>0</v>
      </c>
      <c r="AV1939" s="259" t="str">
        <f t="shared" si="433"/>
        <v>-</v>
      </c>
    </row>
    <row r="1940" spans="41:48">
      <c r="AO1940" s="824" t="str">
        <f t="shared" si="430"/>
        <v>No</v>
      </c>
      <c r="AP1940" s="259" t="str">
        <f t="shared" si="435"/>
        <v>blank</v>
      </c>
      <c r="AQ1940" s="542" t="str">
        <f t="shared" si="434"/>
        <v>无定金+无預留客戶</v>
      </c>
      <c r="AR1940" s="259" t="str">
        <f t="shared" si="428"/>
        <v/>
      </c>
      <c r="AS1940" s="259" t="str">
        <f t="shared" si="429"/>
        <v/>
      </c>
      <c r="AT1940" s="259" t="b">
        <f t="shared" si="431"/>
        <v>0</v>
      </c>
      <c r="AU1940" s="259" t="b">
        <f t="shared" si="432"/>
        <v>0</v>
      </c>
      <c r="AV1940" s="259" t="str">
        <f t="shared" si="433"/>
        <v>-</v>
      </c>
    </row>
    <row r="1941" spans="41:48">
      <c r="AO1941" s="824" t="str">
        <f t="shared" si="430"/>
        <v>No</v>
      </c>
      <c r="AP1941" s="259" t="str">
        <f t="shared" si="435"/>
        <v>blank</v>
      </c>
      <c r="AQ1941" s="542" t="str">
        <f t="shared" si="434"/>
        <v>无定金+无預留客戶</v>
      </c>
      <c r="AR1941" s="259" t="str">
        <f t="shared" si="428"/>
        <v/>
      </c>
      <c r="AS1941" s="259" t="str">
        <f t="shared" si="429"/>
        <v/>
      </c>
      <c r="AT1941" s="259" t="b">
        <f t="shared" si="431"/>
        <v>0</v>
      </c>
      <c r="AU1941" s="259" t="b">
        <f t="shared" si="432"/>
        <v>0</v>
      </c>
      <c r="AV1941" s="259" t="str">
        <f t="shared" si="433"/>
        <v>-</v>
      </c>
    </row>
    <row r="1942" spans="41:48">
      <c r="AO1942" s="824" t="str">
        <f t="shared" si="430"/>
        <v>No</v>
      </c>
      <c r="AP1942" s="259" t="str">
        <f t="shared" si="435"/>
        <v>blank</v>
      </c>
      <c r="AQ1942" s="542" t="str">
        <f t="shared" si="434"/>
        <v>无定金+无預留客戶</v>
      </c>
      <c r="AR1942" s="259" t="str">
        <f t="shared" si="428"/>
        <v/>
      </c>
      <c r="AS1942" s="259" t="str">
        <f t="shared" si="429"/>
        <v/>
      </c>
      <c r="AT1942" s="259" t="b">
        <f t="shared" si="431"/>
        <v>0</v>
      </c>
      <c r="AU1942" s="259" t="b">
        <f t="shared" si="432"/>
        <v>0</v>
      </c>
      <c r="AV1942" s="259" t="str">
        <f t="shared" si="433"/>
        <v>-</v>
      </c>
    </row>
    <row r="1943" spans="41:48">
      <c r="AO1943" s="824" t="str">
        <f t="shared" si="430"/>
        <v>No</v>
      </c>
      <c r="AP1943" s="259" t="str">
        <f t="shared" si="435"/>
        <v>blank</v>
      </c>
      <c r="AQ1943" s="542" t="str">
        <f t="shared" si="434"/>
        <v>无定金+无預留客戶</v>
      </c>
      <c r="AR1943" s="259" t="str">
        <f t="shared" si="428"/>
        <v/>
      </c>
      <c r="AS1943" s="259" t="str">
        <f t="shared" si="429"/>
        <v/>
      </c>
      <c r="AT1943" s="259" t="b">
        <f t="shared" si="431"/>
        <v>0</v>
      </c>
      <c r="AU1943" s="259" t="b">
        <f t="shared" si="432"/>
        <v>0</v>
      </c>
      <c r="AV1943" s="259" t="str">
        <f t="shared" si="433"/>
        <v>-</v>
      </c>
    </row>
    <row r="1944" spans="41:48">
      <c r="AO1944" s="824" t="str">
        <f t="shared" si="430"/>
        <v>No</v>
      </c>
      <c r="AP1944" s="259" t="str">
        <f t="shared" si="435"/>
        <v>blank</v>
      </c>
      <c r="AQ1944" s="542" t="str">
        <f t="shared" si="434"/>
        <v>无定金+无預留客戶</v>
      </c>
      <c r="AR1944" s="259" t="str">
        <f t="shared" si="428"/>
        <v/>
      </c>
      <c r="AS1944" s="259" t="str">
        <f t="shared" si="429"/>
        <v/>
      </c>
      <c r="AT1944" s="259" t="b">
        <f t="shared" si="431"/>
        <v>0</v>
      </c>
      <c r="AU1944" s="259" t="b">
        <f t="shared" si="432"/>
        <v>0</v>
      </c>
      <c r="AV1944" s="259" t="str">
        <f t="shared" si="433"/>
        <v>-</v>
      </c>
    </row>
    <row r="1945" spans="41:48">
      <c r="AO1945" s="824" t="str">
        <f t="shared" si="430"/>
        <v>No</v>
      </c>
      <c r="AP1945" s="259" t="str">
        <f t="shared" si="435"/>
        <v>blank</v>
      </c>
      <c r="AQ1945" s="542" t="str">
        <f t="shared" si="434"/>
        <v>无定金+无預留客戶</v>
      </c>
      <c r="AR1945" s="259" t="str">
        <f t="shared" si="428"/>
        <v/>
      </c>
      <c r="AS1945" s="259" t="str">
        <f t="shared" si="429"/>
        <v/>
      </c>
      <c r="AT1945" s="259" t="b">
        <f t="shared" si="431"/>
        <v>0</v>
      </c>
      <c r="AU1945" s="259" t="b">
        <f t="shared" si="432"/>
        <v>0</v>
      </c>
      <c r="AV1945" s="259" t="str">
        <f t="shared" si="433"/>
        <v>-</v>
      </c>
    </row>
    <row r="1946" spans="41:48">
      <c r="AO1946" s="824" t="str">
        <f t="shared" si="430"/>
        <v>No</v>
      </c>
      <c r="AP1946" s="259" t="str">
        <f t="shared" si="435"/>
        <v>blank</v>
      </c>
      <c r="AQ1946" s="542" t="str">
        <f t="shared" si="434"/>
        <v>无定金+无預留客戶</v>
      </c>
      <c r="AR1946" s="259" t="str">
        <f t="shared" si="428"/>
        <v/>
      </c>
      <c r="AS1946" s="259" t="str">
        <f t="shared" si="429"/>
        <v/>
      </c>
      <c r="AT1946" s="259" t="b">
        <f t="shared" si="431"/>
        <v>0</v>
      </c>
      <c r="AU1946" s="259" t="b">
        <f t="shared" si="432"/>
        <v>0</v>
      </c>
      <c r="AV1946" s="259" t="str">
        <f t="shared" si="433"/>
        <v>-</v>
      </c>
    </row>
    <row r="1947" spans="41:48">
      <c r="AO1947" s="824" t="str">
        <f t="shared" si="430"/>
        <v>No</v>
      </c>
      <c r="AP1947" s="259" t="str">
        <f t="shared" si="435"/>
        <v>blank</v>
      </c>
      <c r="AQ1947" s="542" t="str">
        <f t="shared" si="434"/>
        <v>无定金+无預留客戶</v>
      </c>
      <c r="AR1947" s="259" t="str">
        <f t="shared" si="428"/>
        <v/>
      </c>
      <c r="AS1947" s="259" t="str">
        <f t="shared" si="429"/>
        <v/>
      </c>
      <c r="AT1947" s="259" t="b">
        <f t="shared" si="431"/>
        <v>0</v>
      </c>
      <c r="AU1947" s="259" t="b">
        <f t="shared" si="432"/>
        <v>0</v>
      </c>
      <c r="AV1947" s="259" t="str">
        <f t="shared" si="433"/>
        <v>-</v>
      </c>
    </row>
    <row r="1948" spans="41:48">
      <c r="AO1948" s="824" t="str">
        <f t="shared" si="430"/>
        <v>No</v>
      </c>
      <c r="AP1948" s="259" t="str">
        <f t="shared" si="435"/>
        <v>blank</v>
      </c>
      <c r="AQ1948" s="542" t="str">
        <f t="shared" si="434"/>
        <v>无定金+无預留客戶</v>
      </c>
      <c r="AR1948" s="259" t="str">
        <f t="shared" si="428"/>
        <v/>
      </c>
      <c r="AS1948" s="259" t="str">
        <f t="shared" si="429"/>
        <v/>
      </c>
      <c r="AT1948" s="259" t="b">
        <f t="shared" si="431"/>
        <v>0</v>
      </c>
      <c r="AU1948" s="259" t="b">
        <f t="shared" si="432"/>
        <v>0</v>
      </c>
      <c r="AV1948" s="259" t="str">
        <f t="shared" si="433"/>
        <v>-</v>
      </c>
    </row>
    <row r="1949" spans="41:48">
      <c r="AO1949" s="824" t="str">
        <f t="shared" si="430"/>
        <v>No</v>
      </c>
      <c r="AP1949" s="259" t="str">
        <f t="shared" si="435"/>
        <v>blank</v>
      </c>
      <c r="AQ1949" s="542" t="str">
        <f t="shared" si="434"/>
        <v>无定金+无預留客戶</v>
      </c>
      <c r="AR1949" s="259" t="str">
        <f t="shared" si="428"/>
        <v/>
      </c>
      <c r="AS1949" s="259" t="str">
        <f t="shared" si="429"/>
        <v/>
      </c>
      <c r="AT1949" s="259" t="b">
        <f t="shared" si="431"/>
        <v>0</v>
      </c>
      <c r="AU1949" s="259" t="b">
        <f t="shared" si="432"/>
        <v>0</v>
      </c>
      <c r="AV1949" s="259" t="str">
        <f t="shared" si="433"/>
        <v>-</v>
      </c>
    </row>
    <row r="1950" spans="41:48">
      <c r="AO1950" s="824" t="str">
        <f t="shared" si="430"/>
        <v>No</v>
      </c>
      <c r="AP1950" s="259" t="str">
        <f t="shared" si="435"/>
        <v>blank</v>
      </c>
      <c r="AQ1950" s="542" t="str">
        <f t="shared" si="434"/>
        <v>无定金+无預留客戶</v>
      </c>
      <c r="AR1950" s="259" t="str">
        <f t="shared" si="428"/>
        <v/>
      </c>
      <c r="AS1950" s="259" t="str">
        <f t="shared" si="429"/>
        <v/>
      </c>
      <c r="AT1950" s="259" t="b">
        <f t="shared" si="431"/>
        <v>0</v>
      </c>
      <c r="AU1950" s="259" t="b">
        <f t="shared" si="432"/>
        <v>0</v>
      </c>
      <c r="AV1950" s="259" t="str">
        <f t="shared" si="433"/>
        <v>-</v>
      </c>
    </row>
    <row r="1951" spans="41:48">
      <c r="AO1951" s="824" t="str">
        <f t="shared" si="430"/>
        <v>No</v>
      </c>
      <c r="AP1951" s="259" t="str">
        <f t="shared" si="435"/>
        <v>blank</v>
      </c>
      <c r="AQ1951" s="542" t="str">
        <f t="shared" si="434"/>
        <v>无定金+无預留客戶</v>
      </c>
      <c r="AR1951" s="259" t="str">
        <f t="shared" si="428"/>
        <v/>
      </c>
      <c r="AS1951" s="259" t="str">
        <f t="shared" si="429"/>
        <v/>
      </c>
      <c r="AT1951" s="259" t="b">
        <f t="shared" si="431"/>
        <v>0</v>
      </c>
      <c r="AU1951" s="259" t="b">
        <f t="shared" si="432"/>
        <v>0</v>
      </c>
      <c r="AV1951" s="259" t="str">
        <f t="shared" si="433"/>
        <v>-</v>
      </c>
    </row>
    <row r="1952" spans="41:48">
      <c r="AO1952" s="824" t="str">
        <f t="shared" si="430"/>
        <v>No</v>
      </c>
      <c r="AP1952" s="259" t="str">
        <f t="shared" si="435"/>
        <v>blank</v>
      </c>
      <c r="AQ1952" s="542" t="str">
        <f t="shared" si="434"/>
        <v>无定金+无預留客戶</v>
      </c>
      <c r="AR1952" s="259" t="str">
        <f t="shared" si="428"/>
        <v/>
      </c>
      <c r="AS1952" s="259" t="str">
        <f t="shared" si="429"/>
        <v/>
      </c>
      <c r="AT1952" s="259" t="b">
        <f t="shared" si="431"/>
        <v>0</v>
      </c>
      <c r="AU1952" s="259" t="b">
        <f t="shared" si="432"/>
        <v>0</v>
      </c>
      <c r="AV1952" s="259" t="str">
        <f t="shared" si="433"/>
        <v>-</v>
      </c>
    </row>
    <row r="1953" spans="41:48">
      <c r="AO1953" s="824" t="str">
        <f t="shared" si="430"/>
        <v>No</v>
      </c>
      <c r="AP1953" s="259" t="str">
        <f t="shared" si="435"/>
        <v>blank</v>
      </c>
      <c r="AQ1953" s="542" t="str">
        <f t="shared" si="434"/>
        <v>无定金+无預留客戶</v>
      </c>
      <c r="AR1953" s="259" t="str">
        <f t="shared" si="428"/>
        <v/>
      </c>
      <c r="AS1953" s="259" t="str">
        <f t="shared" si="429"/>
        <v/>
      </c>
      <c r="AT1953" s="259" t="b">
        <f t="shared" si="431"/>
        <v>0</v>
      </c>
      <c r="AU1953" s="259" t="b">
        <f t="shared" si="432"/>
        <v>0</v>
      </c>
      <c r="AV1953" s="259" t="str">
        <f t="shared" si="433"/>
        <v>-</v>
      </c>
    </row>
    <row r="1954" spans="41:48">
      <c r="AO1954" s="824" t="str">
        <f t="shared" si="430"/>
        <v>No</v>
      </c>
      <c r="AP1954" s="259" t="str">
        <f t="shared" si="435"/>
        <v>blank</v>
      </c>
      <c r="AQ1954" s="542" t="str">
        <f t="shared" si="434"/>
        <v>无定金+无預留客戶</v>
      </c>
      <c r="AR1954" s="259" t="str">
        <f t="shared" si="428"/>
        <v/>
      </c>
      <c r="AS1954" s="259" t="str">
        <f t="shared" si="429"/>
        <v/>
      </c>
      <c r="AT1954" s="259" t="b">
        <f t="shared" si="431"/>
        <v>0</v>
      </c>
      <c r="AU1954" s="259" t="b">
        <f t="shared" si="432"/>
        <v>0</v>
      </c>
      <c r="AV1954" s="259" t="str">
        <f t="shared" si="433"/>
        <v>-</v>
      </c>
    </row>
    <row r="1955" spans="41:48">
      <c r="AO1955" s="824" t="str">
        <f t="shared" si="430"/>
        <v>No</v>
      </c>
      <c r="AP1955" s="259" t="str">
        <f t="shared" si="435"/>
        <v>blank</v>
      </c>
      <c r="AQ1955" s="542" t="str">
        <f t="shared" si="434"/>
        <v>无定金+无預留客戶</v>
      </c>
      <c r="AR1955" s="259" t="str">
        <f t="shared" si="428"/>
        <v/>
      </c>
      <c r="AS1955" s="259" t="str">
        <f t="shared" si="429"/>
        <v/>
      </c>
      <c r="AT1955" s="259" t="b">
        <f t="shared" si="431"/>
        <v>0</v>
      </c>
      <c r="AU1955" s="259" t="b">
        <f t="shared" si="432"/>
        <v>0</v>
      </c>
      <c r="AV1955" s="259" t="str">
        <f t="shared" si="433"/>
        <v>-</v>
      </c>
    </row>
    <row r="1956" spans="41:48">
      <c r="AO1956" s="824" t="str">
        <f t="shared" si="430"/>
        <v>No</v>
      </c>
      <c r="AP1956" s="259" t="str">
        <f t="shared" si="435"/>
        <v>blank</v>
      </c>
      <c r="AQ1956" s="542" t="str">
        <f t="shared" si="434"/>
        <v>无定金+无預留客戶</v>
      </c>
      <c r="AR1956" s="259" t="str">
        <f t="shared" si="428"/>
        <v/>
      </c>
      <c r="AS1956" s="259" t="str">
        <f t="shared" si="429"/>
        <v/>
      </c>
      <c r="AT1956" s="259" t="b">
        <f t="shared" si="431"/>
        <v>0</v>
      </c>
      <c r="AU1956" s="259" t="b">
        <f t="shared" si="432"/>
        <v>0</v>
      </c>
      <c r="AV1956" s="259" t="str">
        <f t="shared" si="433"/>
        <v>-</v>
      </c>
    </row>
    <row r="1957" spans="41:48">
      <c r="AO1957" s="824" t="str">
        <f t="shared" si="430"/>
        <v>No</v>
      </c>
      <c r="AP1957" s="259" t="str">
        <f t="shared" si="435"/>
        <v>blank</v>
      </c>
      <c r="AQ1957" s="542" t="str">
        <f t="shared" si="434"/>
        <v>无定金+无預留客戶</v>
      </c>
      <c r="AR1957" s="259" t="str">
        <f t="shared" si="428"/>
        <v/>
      </c>
      <c r="AS1957" s="259" t="str">
        <f t="shared" si="429"/>
        <v/>
      </c>
      <c r="AT1957" s="259" t="b">
        <f t="shared" si="431"/>
        <v>0</v>
      </c>
      <c r="AU1957" s="259" t="b">
        <f t="shared" si="432"/>
        <v>0</v>
      </c>
      <c r="AV1957" s="259" t="str">
        <f t="shared" si="433"/>
        <v>-</v>
      </c>
    </row>
    <row r="1958" spans="41:48">
      <c r="AO1958" s="824" t="str">
        <f t="shared" si="430"/>
        <v>No</v>
      </c>
      <c r="AP1958" s="259" t="str">
        <f t="shared" si="435"/>
        <v>blank</v>
      </c>
      <c r="AQ1958" s="542" t="str">
        <f t="shared" si="434"/>
        <v>无定金+无預留客戶</v>
      </c>
      <c r="AR1958" s="259" t="str">
        <f t="shared" si="428"/>
        <v/>
      </c>
      <c r="AS1958" s="259" t="str">
        <f t="shared" si="429"/>
        <v/>
      </c>
      <c r="AT1958" s="259" t="b">
        <f t="shared" si="431"/>
        <v>0</v>
      </c>
      <c r="AU1958" s="259" t="b">
        <f t="shared" si="432"/>
        <v>0</v>
      </c>
      <c r="AV1958" s="259" t="str">
        <f t="shared" si="433"/>
        <v>-</v>
      </c>
    </row>
    <row r="1959" spans="41:48">
      <c r="AO1959" s="824" t="str">
        <f t="shared" si="430"/>
        <v>No</v>
      </c>
      <c r="AP1959" s="259" t="str">
        <f t="shared" si="435"/>
        <v>blank</v>
      </c>
      <c r="AQ1959" s="542" t="str">
        <f t="shared" si="434"/>
        <v>无定金+无預留客戶</v>
      </c>
      <c r="AR1959" s="259" t="str">
        <f t="shared" si="428"/>
        <v/>
      </c>
      <c r="AS1959" s="259" t="str">
        <f t="shared" si="429"/>
        <v/>
      </c>
      <c r="AT1959" s="259" t="b">
        <f t="shared" si="431"/>
        <v>0</v>
      </c>
      <c r="AU1959" s="259" t="b">
        <f t="shared" si="432"/>
        <v>0</v>
      </c>
      <c r="AV1959" s="259" t="str">
        <f t="shared" si="433"/>
        <v>-</v>
      </c>
    </row>
    <row r="1960" spans="41:48">
      <c r="AO1960" s="824" t="str">
        <f t="shared" si="430"/>
        <v>No</v>
      </c>
      <c r="AP1960" s="259" t="str">
        <f t="shared" si="435"/>
        <v>blank</v>
      </c>
      <c r="AQ1960" s="542" t="str">
        <f t="shared" si="434"/>
        <v>无定金+无預留客戶</v>
      </c>
      <c r="AR1960" s="259" t="str">
        <f t="shared" si="428"/>
        <v/>
      </c>
      <c r="AS1960" s="259" t="str">
        <f t="shared" si="429"/>
        <v/>
      </c>
      <c r="AT1960" s="259" t="b">
        <f t="shared" si="431"/>
        <v>0</v>
      </c>
      <c r="AU1960" s="259" t="b">
        <f t="shared" si="432"/>
        <v>0</v>
      </c>
      <c r="AV1960" s="259" t="str">
        <f t="shared" si="433"/>
        <v>-</v>
      </c>
    </row>
    <row r="1961" spans="41:48">
      <c r="AO1961" s="824" t="str">
        <f t="shared" si="430"/>
        <v>No</v>
      </c>
      <c r="AP1961" s="259" t="str">
        <f t="shared" si="435"/>
        <v>blank</v>
      </c>
      <c r="AQ1961" s="542" t="str">
        <f t="shared" si="434"/>
        <v>无定金+无預留客戶</v>
      </c>
      <c r="AR1961" s="259" t="str">
        <f t="shared" si="428"/>
        <v/>
      </c>
      <c r="AS1961" s="259" t="str">
        <f t="shared" si="429"/>
        <v/>
      </c>
      <c r="AT1961" s="259" t="b">
        <f t="shared" si="431"/>
        <v>0</v>
      </c>
      <c r="AU1961" s="259" t="b">
        <f t="shared" si="432"/>
        <v>0</v>
      </c>
      <c r="AV1961" s="259" t="str">
        <f t="shared" si="433"/>
        <v>-</v>
      </c>
    </row>
    <row r="1962" spans="41:48">
      <c r="AO1962" s="824" t="str">
        <f t="shared" si="430"/>
        <v>No</v>
      </c>
      <c r="AP1962" s="259" t="str">
        <f t="shared" si="435"/>
        <v>blank</v>
      </c>
      <c r="AQ1962" s="542" t="str">
        <f t="shared" si="434"/>
        <v>无定金+无預留客戶</v>
      </c>
      <c r="AR1962" s="259" t="str">
        <f t="shared" si="428"/>
        <v/>
      </c>
      <c r="AS1962" s="259" t="str">
        <f t="shared" si="429"/>
        <v/>
      </c>
      <c r="AT1962" s="259" t="b">
        <f t="shared" si="431"/>
        <v>0</v>
      </c>
      <c r="AU1962" s="259" t="b">
        <f t="shared" si="432"/>
        <v>0</v>
      </c>
      <c r="AV1962" s="259" t="str">
        <f t="shared" si="433"/>
        <v>-</v>
      </c>
    </row>
    <row r="1963" spans="41:48">
      <c r="AO1963" s="824" t="str">
        <f t="shared" si="430"/>
        <v>No</v>
      </c>
      <c r="AP1963" s="259" t="str">
        <f t="shared" si="435"/>
        <v>blank</v>
      </c>
      <c r="AQ1963" s="542" t="str">
        <f t="shared" si="434"/>
        <v>无定金+无預留客戶</v>
      </c>
      <c r="AR1963" s="259" t="str">
        <f t="shared" si="428"/>
        <v/>
      </c>
      <c r="AS1963" s="259" t="str">
        <f t="shared" si="429"/>
        <v/>
      </c>
      <c r="AT1963" s="259" t="b">
        <f t="shared" si="431"/>
        <v>0</v>
      </c>
      <c r="AU1963" s="259" t="b">
        <f t="shared" si="432"/>
        <v>0</v>
      </c>
      <c r="AV1963" s="259" t="str">
        <f t="shared" si="433"/>
        <v>-</v>
      </c>
    </row>
    <row r="1964" spans="41:48">
      <c r="AO1964" s="824" t="str">
        <f t="shared" si="430"/>
        <v>No</v>
      </c>
      <c r="AP1964" s="259" t="str">
        <f t="shared" si="435"/>
        <v>blank</v>
      </c>
      <c r="AQ1964" s="542" t="str">
        <f t="shared" si="434"/>
        <v>无定金+无預留客戶</v>
      </c>
      <c r="AR1964" s="259" t="str">
        <f t="shared" si="428"/>
        <v/>
      </c>
      <c r="AS1964" s="259" t="str">
        <f t="shared" si="429"/>
        <v/>
      </c>
      <c r="AT1964" s="259" t="b">
        <f t="shared" si="431"/>
        <v>0</v>
      </c>
      <c r="AU1964" s="259" t="b">
        <f t="shared" si="432"/>
        <v>0</v>
      </c>
      <c r="AV1964" s="259" t="str">
        <f t="shared" si="433"/>
        <v>-</v>
      </c>
    </row>
    <row r="1965" spans="41:48">
      <c r="AO1965" s="824" t="str">
        <f t="shared" si="430"/>
        <v>No</v>
      </c>
      <c r="AP1965" s="259" t="str">
        <f t="shared" si="435"/>
        <v>blank</v>
      </c>
      <c r="AQ1965" s="542" t="str">
        <f t="shared" si="434"/>
        <v>无定金+无預留客戶</v>
      </c>
      <c r="AR1965" s="259" t="str">
        <f t="shared" si="428"/>
        <v/>
      </c>
      <c r="AS1965" s="259" t="str">
        <f t="shared" si="429"/>
        <v/>
      </c>
      <c r="AT1965" s="259" t="b">
        <f t="shared" si="431"/>
        <v>0</v>
      </c>
      <c r="AU1965" s="259" t="b">
        <f t="shared" si="432"/>
        <v>0</v>
      </c>
      <c r="AV1965" s="259" t="str">
        <f t="shared" si="433"/>
        <v>-</v>
      </c>
    </row>
    <row r="1966" spans="41:48">
      <c r="AO1966" s="824" t="str">
        <f t="shared" si="430"/>
        <v>No</v>
      </c>
      <c r="AP1966" s="259" t="str">
        <f t="shared" si="435"/>
        <v>blank</v>
      </c>
      <c r="AQ1966" s="542" t="str">
        <f t="shared" si="434"/>
        <v>无定金+无預留客戶</v>
      </c>
      <c r="AR1966" s="259" t="str">
        <f t="shared" si="428"/>
        <v/>
      </c>
      <c r="AS1966" s="259" t="str">
        <f t="shared" si="429"/>
        <v/>
      </c>
      <c r="AT1966" s="259" t="b">
        <f t="shared" si="431"/>
        <v>0</v>
      </c>
      <c r="AU1966" s="259" t="b">
        <f t="shared" si="432"/>
        <v>0</v>
      </c>
      <c r="AV1966" s="259" t="str">
        <f t="shared" si="433"/>
        <v>-</v>
      </c>
    </row>
    <row r="1967" spans="41:48">
      <c r="AO1967" s="824" t="str">
        <f t="shared" si="430"/>
        <v>No</v>
      </c>
      <c r="AP1967" s="259" t="str">
        <f t="shared" si="435"/>
        <v>blank</v>
      </c>
      <c r="AQ1967" s="542" t="str">
        <f t="shared" si="434"/>
        <v>无定金+无預留客戶</v>
      </c>
      <c r="AR1967" s="259" t="str">
        <f t="shared" si="428"/>
        <v/>
      </c>
      <c r="AS1967" s="259" t="str">
        <f t="shared" si="429"/>
        <v/>
      </c>
      <c r="AT1967" s="259" t="b">
        <f t="shared" si="431"/>
        <v>0</v>
      </c>
      <c r="AU1967" s="259" t="b">
        <f t="shared" si="432"/>
        <v>0</v>
      </c>
      <c r="AV1967" s="259" t="str">
        <f t="shared" si="433"/>
        <v>-</v>
      </c>
    </row>
    <row r="1968" spans="41:48">
      <c r="AO1968" s="824" t="str">
        <f t="shared" si="430"/>
        <v>No</v>
      </c>
      <c r="AP1968" s="259" t="str">
        <f t="shared" si="435"/>
        <v>blank</v>
      </c>
      <c r="AQ1968" s="542" t="str">
        <f t="shared" si="434"/>
        <v>无定金+无預留客戶</v>
      </c>
      <c r="AR1968" s="259" t="str">
        <f t="shared" si="428"/>
        <v/>
      </c>
      <c r="AS1968" s="259" t="str">
        <f t="shared" si="429"/>
        <v/>
      </c>
      <c r="AT1968" s="259" t="b">
        <f t="shared" si="431"/>
        <v>0</v>
      </c>
      <c r="AU1968" s="259" t="b">
        <f t="shared" si="432"/>
        <v>0</v>
      </c>
      <c r="AV1968" s="259" t="str">
        <f t="shared" si="433"/>
        <v>-</v>
      </c>
    </row>
    <row r="1969" spans="41:48">
      <c r="AO1969" s="824" t="str">
        <f t="shared" si="430"/>
        <v>No</v>
      </c>
      <c r="AP1969" s="259" t="str">
        <f t="shared" si="435"/>
        <v>blank</v>
      </c>
      <c r="AQ1969" s="542" t="str">
        <f t="shared" si="434"/>
        <v>无定金+无預留客戶</v>
      </c>
      <c r="AR1969" s="259" t="str">
        <f t="shared" si="428"/>
        <v/>
      </c>
      <c r="AS1969" s="259" t="str">
        <f t="shared" si="429"/>
        <v/>
      </c>
      <c r="AT1969" s="259" t="b">
        <f t="shared" si="431"/>
        <v>0</v>
      </c>
      <c r="AU1969" s="259" t="b">
        <f t="shared" si="432"/>
        <v>0</v>
      </c>
      <c r="AV1969" s="259" t="str">
        <f t="shared" si="433"/>
        <v>-</v>
      </c>
    </row>
    <row r="1970" spans="41:48">
      <c r="AO1970" s="824" t="str">
        <f t="shared" si="430"/>
        <v>No</v>
      </c>
      <c r="AP1970" s="259" t="str">
        <f t="shared" si="435"/>
        <v>blank</v>
      </c>
      <c r="AQ1970" s="542" t="str">
        <f t="shared" si="434"/>
        <v>无定金+无預留客戶</v>
      </c>
      <c r="AR1970" s="259" t="str">
        <f t="shared" si="428"/>
        <v/>
      </c>
      <c r="AS1970" s="259" t="str">
        <f t="shared" si="429"/>
        <v/>
      </c>
      <c r="AT1970" s="259" t="b">
        <f t="shared" si="431"/>
        <v>0</v>
      </c>
      <c r="AU1970" s="259" t="b">
        <f t="shared" si="432"/>
        <v>0</v>
      </c>
      <c r="AV1970" s="259" t="str">
        <f t="shared" si="433"/>
        <v>-</v>
      </c>
    </row>
    <row r="1971" spans="41:48">
      <c r="AO1971" s="824" t="str">
        <f t="shared" si="430"/>
        <v>No</v>
      </c>
      <c r="AP1971" s="259" t="str">
        <f t="shared" si="435"/>
        <v>blank</v>
      </c>
      <c r="AQ1971" s="542" t="str">
        <f t="shared" si="434"/>
        <v>无定金+无預留客戶</v>
      </c>
      <c r="AR1971" s="259" t="str">
        <f t="shared" si="428"/>
        <v/>
      </c>
      <c r="AS1971" s="259" t="str">
        <f t="shared" si="429"/>
        <v/>
      </c>
      <c r="AT1971" s="259" t="b">
        <f t="shared" si="431"/>
        <v>0</v>
      </c>
      <c r="AU1971" s="259" t="b">
        <f t="shared" si="432"/>
        <v>0</v>
      </c>
      <c r="AV1971" s="259" t="str">
        <f t="shared" si="433"/>
        <v>-</v>
      </c>
    </row>
    <row r="1972" spans="41:48">
      <c r="AO1972" s="824" t="str">
        <f t="shared" si="430"/>
        <v>No</v>
      </c>
      <c r="AP1972" s="259" t="str">
        <f t="shared" si="435"/>
        <v>blank</v>
      </c>
      <c r="AQ1972" s="542" t="str">
        <f t="shared" si="434"/>
        <v>无定金+无預留客戶</v>
      </c>
      <c r="AR1972" s="259" t="str">
        <f t="shared" si="428"/>
        <v/>
      </c>
      <c r="AS1972" s="259" t="str">
        <f t="shared" si="429"/>
        <v/>
      </c>
      <c r="AT1972" s="259" t="b">
        <f t="shared" si="431"/>
        <v>0</v>
      </c>
      <c r="AU1972" s="259" t="b">
        <f t="shared" si="432"/>
        <v>0</v>
      </c>
      <c r="AV1972" s="259" t="str">
        <f t="shared" si="433"/>
        <v>-</v>
      </c>
    </row>
    <row r="1973" spans="41:48">
      <c r="AO1973" s="824" t="str">
        <f t="shared" si="430"/>
        <v>No</v>
      </c>
      <c r="AP1973" s="259" t="str">
        <f t="shared" si="435"/>
        <v>blank</v>
      </c>
      <c r="AQ1973" s="542" t="str">
        <f t="shared" si="434"/>
        <v>无定金+无預留客戶</v>
      </c>
      <c r="AR1973" s="259" t="str">
        <f t="shared" si="428"/>
        <v/>
      </c>
      <c r="AS1973" s="259" t="str">
        <f t="shared" si="429"/>
        <v/>
      </c>
      <c r="AT1973" s="259" t="b">
        <f t="shared" si="431"/>
        <v>0</v>
      </c>
      <c r="AU1973" s="259" t="b">
        <f t="shared" si="432"/>
        <v>0</v>
      </c>
      <c r="AV1973" s="259" t="str">
        <f t="shared" si="433"/>
        <v>-</v>
      </c>
    </row>
    <row r="1974" spans="41:48">
      <c r="AO1974" s="824" t="str">
        <f t="shared" si="430"/>
        <v>No</v>
      </c>
      <c r="AP1974" s="259" t="str">
        <f t="shared" si="435"/>
        <v>blank</v>
      </c>
      <c r="AQ1974" s="542" t="str">
        <f t="shared" si="434"/>
        <v>无定金+无預留客戶</v>
      </c>
      <c r="AR1974" s="259" t="str">
        <f t="shared" si="428"/>
        <v/>
      </c>
      <c r="AS1974" s="259" t="str">
        <f t="shared" si="429"/>
        <v/>
      </c>
      <c r="AT1974" s="259" t="b">
        <f t="shared" si="431"/>
        <v>0</v>
      </c>
      <c r="AU1974" s="259" t="b">
        <f t="shared" si="432"/>
        <v>0</v>
      </c>
      <c r="AV1974" s="259" t="str">
        <f t="shared" si="433"/>
        <v>-</v>
      </c>
    </row>
    <row r="1975" spans="41:48">
      <c r="AO1975" s="824" t="str">
        <f t="shared" si="430"/>
        <v>No</v>
      </c>
      <c r="AP1975" s="259" t="str">
        <f t="shared" si="435"/>
        <v>blank</v>
      </c>
      <c r="AQ1975" s="542" t="str">
        <f t="shared" si="434"/>
        <v>无定金+无預留客戶</v>
      </c>
      <c r="AR1975" s="259" t="str">
        <f t="shared" si="428"/>
        <v/>
      </c>
      <c r="AS1975" s="259" t="str">
        <f t="shared" si="429"/>
        <v/>
      </c>
      <c r="AT1975" s="259" t="b">
        <f t="shared" si="431"/>
        <v>0</v>
      </c>
      <c r="AU1975" s="259" t="b">
        <f t="shared" si="432"/>
        <v>0</v>
      </c>
      <c r="AV1975" s="259" t="str">
        <f t="shared" si="433"/>
        <v>-</v>
      </c>
    </row>
    <row r="1976" spans="41:48">
      <c r="AO1976" s="824" t="str">
        <f t="shared" si="430"/>
        <v>No</v>
      </c>
      <c r="AP1976" s="259" t="str">
        <f t="shared" si="435"/>
        <v>blank</v>
      </c>
      <c r="AQ1976" s="542" t="str">
        <f t="shared" si="434"/>
        <v>无定金+无預留客戶</v>
      </c>
      <c r="AR1976" s="259" t="str">
        <f t="shared" si="428"/>
        <v/>
      </c>
      <c r="AS1976" s="259" t="str">
        <f t="shared" si="429"/>
        <v/>
      </c>
      <c r="AT1976" s="259" t="b">
        <f t="shared" si="431"/>
        <v>0</v>
      </c>
      <c r="AU1976" s="259" t="b">
        <f t="shared" si="432"/>
        <v>0</v>
      </c>
      <c r="AV1976" s="259" t="str">
        <f t="shared" si="433"/>
        <v>-</v>
      </c>
    </row>
    <row r="1977" spans="41:48">
      <c r="AO1977" s="824" t="str">
        <f t="shared" si="430"/>
        <v>No</v>
      </c>
      <c r="AP1977" s="259" t="str">
        <f t="shared" si="435"/>
        <v>blank</v>
      </c>
      <c r="AQ1977" s="542" t="str">
        <f t="shared" si="434"/>
        <v>无定金+无預留客戶</v>
      </c>
      <c r="AR1977" s="259" t="str">
        <f t="shared" si="428"/>
        <v/>
      </c>
      <c r="AS1977" s="259" t="str">
        <f t="shared" si="429"/>
        <v/>
      </c>
      <c r="AT1977" s="259" t="b">
        <f t="shared" si="431"/>
        <v>0</v>
      </c>
      <c r="AU1977" s="259" t="b">
        <f t="shared" si="432"/>
        <v>0</v>
      </c>
      <c r="AV1977" s="259" t="str">
        <f t="shared" si="433"/>
        <v>-</v>
      </c>
    </row>
    <row r="1978" spans="41:48">
      <c r="AO1978" s="824" t="str">
        <f t="shared" si="430"/>
        <v>No</v>
      </c>
      <c r="AP1978" s="259" t="str">
        <f t="shared" si="435"/>
        <v>blank</v>
      </c>
      <c r="AQ1978" s="542" t="str">
        <f t="shared" si="434"/>
        <v>无定金+无預留客戶</v>
      </c>
      <c r="AR1978" s="259" t="str">
        <f t="shared" si="428"/>
        <v/>
      </c>
      <c r="AS1978" s="259" t="str">
        <f t="shared" si="429"/>
        <v/>
      </c>
      <c r="AT1978" s="259" t="b">
        <f t="shared" si="431"/>
        <v>0</v>
      </c>
      <c r="AU1978" s="259" t="b">
        <f t="shared" si="432"/>
        <v>0</v>
      </c>
      <c r="AV1978" s="259" t="str">
        <f t="shared" si="433"/>
        <v>-</v>
      </c>
    </row>
    <row r="1979" spans="41:48">
      <c r="AO1979" s="824" t="str">
        <f t="shared" si="430"/>
        <v>No</v>
      </c>
      <c r="AP1979" s="259" t="str">
        <f t="shared" si="435"/>
        <v>blank</v>
      </c>
      <c r="AQ1979" s="542" t="str">
        <f t="shared" si="434"/>
        <v>无定金+无預留客戶</v>
      </c>
      <c r="AR1979" s="259" t="str">
        <f t="shared" si="428"/>
        <v/>
      </c>
      <c r="AS1979" s="259" t="str">
        <f t="shared" si="429"/>
        <v/>
      </c>
      <c r="AT1979" s="259" t="b">
        <f t="shared" si="431"/>
        <v>0</v>
      </c>
      <c r="AU1979" s="259" t="b">
        <f t="shared" si="432"/>
        <v>0</v>
      </c>
      <c r="AV1979" s="259" t="str">
        <f t="shared" si="433"/>
        <v>-</v>
      </c>
    </row>
    <row r="1980" spans="41:48">
      <c r="AO1980" s="824" t="str">
        <f t="shared" si="430"/>
        <v>No</v>
      </c>
      <c r="AP1980" s="259" t="str">
        <f t="shared" si="435"/>
        <v>blank</v>
      </c>
      <c r="AQ1980" s="542" t="str">
        <f t="shared" si="434"/>
        <v>无定金+无預留客戶</v>
      </c>
      <c r="AR1980" s="259" t="str">
        <f t="shared" si="428"/>
        <v/>
      </c>
      <c r="AS1980" s="259" t="str">
        <f t="shared" si="429"/>
        <v/>
      </c>
      <c r="AT1980" s="259" t="b">
        <f t="shared" si="431"/>
        <v>0</v>
      </c>
      <c r="AU1980" s="259" t="b">
        <f t="shared" si="432"/>
        <v>0</v>
      </c>
      <c r="AV1980" s="259" t="str">
        <f t="shared" si="433"/>
        <v>-</v>
      </c>
    </row>
    <row r="1981" spans="41:48">
      <c r="AO1981" s="824" t="str">
        <f t="shared" si="430"/>
        <v>No</v>
      </c>
      <c r="AP1981" s="259" t="str">
        <f t="shared" si="435"/>
        <v>blank</v>
      </c>
      <c r="AQ1981" s="542" t="str">
        <f t="shared" si="434"/>
        <v>无定金+无預留客戶</v>
      </c>
      <c r="AR1981" s="259" t="str">
        <f t="shared" si="428"/>
        <v/>
      </c>
      <c r="AS1981" s="259" t="str">
        <f t="shared" si="429"/>
        <v/>
      </c>
      <c r="AT1981" s="259" t="b">
        <f t="shared" si="431"/>
        <v>0</v>
      </c>
      <c r="AU1981" s="259" t="b">
        <f t="shared" si="432"/>
        <v>0</v>
      </c>
      <c r="AV1981" s="259" t="str">
        <f t="shared" si="433"/>
        <v>-</v>
      </c>
    </row>
    <row r="1982" spans="41:48">
      <c r="AO1982" s="824" t="str">
        <f t="shared" si="430"/>
        <v>No</v>
      </c>
      <c r="AP1982" s="259" t="str">
        <f t="shared" si="435"/>
        <v>blank</v>
      </c>
      <c r="AQ1982" s="542" t="str">
        <f t="shared" si="434"/>
        <v>无定金+无預留客戶</v>
      </c>
      <c r="AR1982" s="259" t="str">
        <f t="shared" ref="AR1982:AR2045" si="436">IFERROR(IF(B1982="已经到货", "Instock", IF(B1982="有交期", "Incoming_Stock_With_YAMAHA_Schedule", IF(B1982="TBA.", "Incoming_Stock_No_YAMAHA_Schedule", IF(B1982="已发货", "Shipped_Stock", "")))), "")</f>
        <v/>
      </c>
      <c r="AS1982" s="259" t="str">
        <f t="shared" ref="AS1982:AS2045" si="437">IF(AND(B1982="有交期", L1982&lt;&gt;""), L1982, "")</f>
        <v/>
      </c>
      <c r="AT1982" s="259" t="b">
        <f t="shared" si="431"/>
        <v>0</v>
      </c>
      <c r="AU1982" s="259" t="b">
        <f t="shared" si="432"/>
        <v>0</v>
      </c>
      <c r="AV1982" s="259" t="str">
        <f t="shared" si="433"/>
        <v>-</v>
      </c>
    </row>
    <row r="1983" spans="41:48">
      <c r="AO1983" s="824" t="str">
        <f t="shared" si="430"/>
        <v>No</v>
      </c>
      <c r="AP1983" s="259" t="str">
        <f t="shared" si="435"/>
        <v>blank</v>
      </c>
      <c r="AQ1983" s="542" t="str">
        <f t="shared" si="434"/>
        <v>无定金+无預留客戶</v>
      </c>
      <c r="AR1983" s="259" t="str">
        <f t="shared" si="436"/>
        <v/>
      </c>
      <c r="AS1983" s="259" t="str">
        <f t="shared" si="437"/>
        <v/>
      </c>
      <c r="AT1983" s="259" t="b">
        <f t="shared" si="431"/>
        <v>0</v>
      </c>
      <c r="AU1983" s="259" t="b">
        <f t="shared" si="432"/>
        <v>0</v>
      </c>
      <c r="AV1983" s="259" t="str">
        <f t="shared" si="433"/>
        <v>-</v>
      </c>
    </row>
    <row r="1984" spans="41:48">
      <c r="AO1984" s="824" t="str">
        <f t="shared" si="430"/>
        <v>No</v>
      </c>
      <c r="AP1984" s="259" t="str">
        <f t="shared" si="435"/>
        <v>blank</v>
      </c>
      <c r="AQ1984" s="542" t="str">
        <f t="shared" si="434"/>
        <v>无定金+无預留客戶</v>
      </c>
      <c r="AR1984" s="259" t="str">
        <f t="shared" si="436"/>
        <v/>
      </c>
      <c r="AS1984" s="259" t="str">
        <f t="shared" si="437"/>
        <v/>
      </c>
      <c r="AT1984" s="259" t="b">
        <f t="shared" si="431"/>
        <v>0</v>
      </c>
      <c r="AU1984" s="259" t="b">
        <f t="shared" si="432"/>
        <v>0</v>
      </c>
      <c r="AV1984" s="259" t="str">
        <f t="shared" si="433"/>
        <v>-</v>
      </c>
    </row>
    <row r="1985" spans="41:48">
      <c r="AO1985" s="824" t="str">
        <f t="shared" si="430"/>
        <v>No</v>
      </c>
      <c r="AP1985" s="259" t="str">
        <f t="shared" si="435"/>
        <v>blank</v>
      </c>
      <c r="AQ1985" s="542" t="str">
        <f t="shared" si="434"/>
        <v>无定金+无預留客戶</v>
      </c>
      <c r="AR1985" s="259" t="str">
        <f t="shared" si="436"/>
        <v/>
      </c>
      <c r="AS1985" s="259" t="str">
        <f t="shared" si="437"/>
        <v/>
      </c>
      <c r="AT1985" s="259" t="b">
        <f t="shared" si="431"/>
        <v>0</v>
      </c>
      <c r="AU1985" s="259" t="b">
        <f t="shared" si="432"/>
        <v>0</v>
      </c>
      <c r="AV1985" s="259" t="str">
        <f t="shared" si="433"/>
        <v>-</v>
      </c>
    </row>
    <row r="1986" spans="41:48">
      <c r="AO1986" s="824" t="str">
        <f t="shared" ref="AO1986:AO2049" si="438">IFERROR(IF(Y1986&lt;&gt;"",Y1986,"No"),"No")</f>
        <v>No</v>
      </c>
      <c r="AP1986" s="259" t="str">
        <f t="shared" si="435"/>
        <v>blank</v>
      </c>
      <c r="AQ1986" s="542" t="str">
        <f t="shared" si="434"/>
        <v>无定金+无預留客戶</v>
      </c>
      <c r="AR1986" s="259" t="str">
        <f t="shared" si="436"/>
        <v/>
      </c>
      <c r="AS1986" s="259" t="str">
        <f t="shared" si="437"/>
        <v/>
      </c>
      <c r="AT1986" s="259" t="b">
        <f t="shared" ref="AT1986:AT2049" si="439">IFERROR(IF(R1986&lt;&gt;"",R1986),"-")</f>
        <v>0</v>
      </c>
      <c r="AU1986" s="259" t="b">
        <f t="shared" ref="AU1986:AU2049" si="440">IFERROR(IF(Q1986&lt;&gt;"",Q1986),"-")</f>
        <v>0</v>
      </c>
      <c r="AV1986" s="259" t="str">
        <f t="shared" ref="AV1986:AV2049" si="441">IF(L1986="","-",TEXT(L1986,"mmm-dd"))</f>
        <v>-</v>
      </c>
    </row>
    <row r="1987" spans="41:48">
      <c r="AO1987" s="824" t="str">
        <f t="shared" si="438"/>
        <v>No</v>
      </c>
      <c r="AP1987" s="259" t="str">
        <f t="shared" si="435"/>
        <v>blank</v>
      </c>
      <c r="AQ1987" s="542" t="str">
        <f t="shared" ref="AQ1987:AQ2050" si="442">IFERROR(IF(AND(AO1987="Yes", AP1987&lt;&gt;"blank"), "有定金+有預留客戶", IF(AND(AO1987="Yes", AP1987="blank"), "有定金+无客戶送貨期", IF(AND(OR(AO1987="No", ISBLANK(AO1987), AO1987="NA"), AP1987&lt;&gt;"blank"), "无定金+有預留客戶", IF(AND(OR(AO1987="No", ISBLANK(AO1987), AO1987="NA"), AP1987="blank"), "无定金+无預留客戶", "")))), "")</f>
        <v>无定金+无預留客戶</v>
      </c>
      <c r="AR1987" s="259" t="str">
        <f t="shared" si="436"/>
        <v/>
      </c>
      <c r="AS1987" s="259" t="str">
        <f t="shared" si="437"/>
        <v/>
      </c>
      <c r="AT1987" s="259" t="b">
        <f t="shared" si="439"/>
        <v>0</v>
      </c>
      <c r="AU1987" s="259" t="b">
        <f t="shared" si="440"/>
        <v>0</v>
      </c>
      <c r="AV1987" s="259" t="str">
        <f t="shared" si="441"/>
        <v>-</v>
      </c>
    </row>
    <row r="1988" spans="41:48">
      <c r="AO1988" s="824" t="str">
        <f t="shared" si="438"/>
        <v>No</v>
      </c>
      <c r="AP1988" s="259" t="str">
        <f t="shared" si="435"/>
        <v>blank</v>
      </c>
      <c r="AQ1988" s="542" t="str">
        <f t="shared" si="442"/>
        <v>无定金+无預留客戶</v>
      </c>
      <c r="AR1988" s="259" t="str">
        <f t="shared" si="436"/>
        <v/>
      </c>
      <c r="AS1988" s="259" t="str">
        <f t="shared" si="437"/>
        <v/>
      </c>
      <c r="AT1988" s="259" t="b">
        <f t="shared" si="439"/>
        <v>0</v>
      </c>
      <c r="AU1988" s="259" t="b">
        <f t="shared" si="440"/>
        <v>0</v>
      </c>
      <c r="AV1988" s="259" t="str">
        <f t="shared" si="441"/>
        <v>-</v>
      </c>
    </row>
    <row r="1989" spans="41:48">
      <c r="AO1989" s="824" t="str">
        <f t="shared" si="438"/>
        <v>No</v>
      </c>
      <c r="AP1989" s="259" t="str">
        <f t="shared" si="435"/>
        <v>blank</v>
      </c>
      <c r="AQ1989" s="542" t="str">
        <f t="shared" si="442"/>
        <v>无定金+无預留客戶</v>
      </c>
      <c r="AR1989" s="259" t="str">
        <f t="shared" si="436"/>
        <v/>
      </c>
      <c r="AS1989" s="259" t="str">
        <f t="shared" si="437"/>
        <v/>
      </c>
      <c r="AT1989" s="259" t="b">
        <f t="shared" si="439"/>
        <v>0</v>
      </c>
      <c r="AU1989" s="259" t="b">
        <f t="shared" si="440"/>
        <v>0</v>
      </c>
      <c r="AV1989" s="259" t="str">
        <f t="shared" si="441"/>
        <v>-</v>
      </c>
    </row>
    <row r="1990" spans="41:48">
      <c r="AO1990" s="824" t="str">
        <f t="shared" si="438"/>
        <v>No</v>
      </c>
      <c r="AP1990" s="259" t="str">
        <f t="shared" ref="AP1990:AP2053" si="443">IFERROR(IF(N1990&lt;&gt;"",N1990,"blank"),"NA")</f>
        <v>blank</v>
      </c>
      <c r="AQ1990" s="542" t="str">
        <f t="shared" si="442"/>
        <v>无定金+无預留客戶</v>
      </c>
      <c r="AR1990" s="259" t="str">
        <f t="shared" si="436"/>
        <v/>
      </c>
      <c r="AS1990" s="259" t="str">
        <f t="shared" si="437"/>
        <v/>
      </c>
      <c r="AT1990" s="259" t="b">
        <f t="shared" si="439"/>
        <v>0</v>
      </c>
      <c r="AU1990" s="259" t="b">
        <f t="shared" si="440"/>
        <v>0</v>
      </c>
      <c r="AV1990" s="259" t="str">
        <f t="shared" si="441"/>
        <v>-</v>
      </c>
    </row>
    <row r="1991" spans="41:48">
      <c r="AO1991" s="824" t="str">
        <f t="shared" si="438"/>
        <v>No</v>
      </c>
      <c r="AP1991" s="259" t="str">
        <f t="shared" si="443"/>
        <v>blank</v>
      </c>
      <c r="AQ1991" s="542" t="str">
        <f t="shared" si="442"/>
        <v>无定金+无預留客戶</v>
      </c>
      <c r="AR1991" s="259" t="str">
        <f t="shared" si="436"/>
        <v/>
      </c>
      <c r="AS1991" s="259" t="str">
        <f t="shared" si="437"/>
        <v/>
      </c>
      <c r="AT1991" s="259" t="b">
        <f t="shared" si="439"/>
        <v>0</v>
      </c>
      <c r="AU1991" s="259" t="b">
        <f t="shared" si="440"/>
        <v>0</v>
      </c>
      <c r="AV1991" s="259" t="str">
        <f t="shared" si="441"/>
        <v>-</v>
      </c>
    </row>
    <row r="1992" spans="41:48">
      <c r="AO1992" s="824" t="str">
        <f t="shared" si="438"/>
        <v>No</v>
      </c>
      <c r="AP1992" s="259" t="str">
        <f t="shared" si="443"/>
        <v>blank</v>
      </c>
      <c r="AQ1992" s="542" t="str">
        <f t="shared" si="442"/>
        <v>无定金+无預留客戶</v>
      </c>
      <c r="AR1992" s="259" t="str">
        <f t="shared" si="436"/>
        <v/>
      </c>
      <c r="AS1992" s="259" t="str">
        <f t="shared" si="437"/>
        <v/>
      </c>
      <c r="AT1992" s="259" t="b">
        <f t="shared" si="439"/>
        <v>0</v>
      </c>
      <c r="AU1992" s="259" t="b">
        <f t="shared" si="440"/>
        <v>0</v>
      </c>
      <c r="AV1992" s="259" t="str">
        <f t="shared" si="441"/>
        <v>-</v>
      </c>
    </row>
    <row r="1993" spans="41:48">
      <c r="AO1993" s="824" t="str">
        <f t="shared" si="438"/>
        <v>No</v>
      </c>
      <c r="AP1993" s="259" t="str">
        <f t="shared" si="443"/>
        <v>blank</v>
      </c>
      <c r="AQ1993" s="542" t="str">
        <f t="shared" si="442"/>
        <v>无定金+无預留客戶</v>
      </c>
      <c r="AR1993" s="259" t="str">
        <f t="shared" si="436"/>
        <v/>
      </c>
      <c r="AS1993" s="259" t="str">
        <f t="shared" si="437"/>
        <v/>
      </c>
      <c r="AT1993" s="259" t="b">
        <f t="shared" si="439"/>
        <v>0</v>
      </c>
      <c r="AU1993" s="259" t="b">
        <f t="shared" si="440"/>
        <v>0</v>
      </c>
      <c r="AV1993" s="259" t="str">
        <f t="shared" si="441"/>
        <v>-</v>
      </c>
    </row>
    <row r="1994" spans="41:48">
      <c r="AO1994" s="824" t="str">
        <f t="shared" si="438"/>
        <v>No</v>
      </c>
      <c r="AP1994" s="259" t="str">
        <f t="shared" si="443"/>
        <v>blank</v>
      </c>
      <c r="AQ1994" s="542" t="str">
        <f t="shared" si="442"/>
        <v>无定金+无預留客戶</v>
      </c>
      <c r="AR1994" s="259" t="str">
        <f t="shared" si="436"/>
        <v/>
      </c>
      <c r="AS1994" s="259" t="str">
        <f t="shared" si="437"/>
        <v/>
      </c>
      <c r="AT1994" s="259" t="b">
        <f t="shared" si="439"/>
        <v>0</v>
      </c>
      <c r="AU1994" s="259" t="b">
        <f t="shared" si="440"/>
        <v>0</v>
      </c>
      <c r="AV1994" s="259" t="str">
        <f t="shared" si="441"/>
        <v>-</v>
      </c>
    </row>
    <row r="1995" spans="41:48">
      <c r="AO1995" s="824" t="str">
        <f t="shared" si="438"/>
        <v>No</v>
      </c>
      <c r="AP1995" s="259" t="str">
        <f t="shared" si="443"/>
        <v>blank</v>
      </c>
      <c r="AQ1995" s="542" t="str">
        <f t="shared" si="442"/>
        <v>无定金+无預留客戶</v>
      </c>
      <c r="AR1995" s="259" t="str">
        <f t="shared" si="436"/>
        <v/>
      </c>
      <c r="AS1995" s="259" t="str">
        <f t="shared" si="437"/>
        <v/>
      </c>
      <c r="AT1995" s="259" t="b">
        <f t="shared" si="439"/>
        <v>0</v>
      </c>
      <c r="AU1995" s="259" t="b">
        <f t="shared" si="440"/>
        <v>0</v>
      </c>
      <c r="AV1995" s="259" t="str">
        <f t="shared" si="441"/>
        <v>-</v>
      </c>
    </row>
    <row r="1996" spans="41:48">
      <c r="AO1996" s="824" t="str">
        <f t="shared" si="438"/>
        <v>No</v>
      </c>
      <c r="AP1996" s="259" t="str">
        <f t="shared" si="443"/>
        <v>blank</v>
      </c>
      <c r="AQ1996" s="542" t="str">
        <f t="shared" si="442"/>
        <v>无定金+无預留客戶</v>
      </c>
      <c r="AR1996" s="259" t="str">
        <f t="shared" si="436"/>
        <v/>
      </c>
      <c r="AS1996" s="259" t="str">
        <f t="shared" si="437"/>
        <v/>
      </c>
      <c r="AT1996" s="259" t="b">
        <f t="shared" si="439"/>
        <v>0</v>
      </c>
      <c r="AU1996" s="259" t="b">
        <f t="shared" si="440"/>
        <v>0</v>
      </c>
      <c r="AV1996" s="259" t="str">
        <f t="shared" si="441"/>
        <v>-</v>
      </c>
    </row>
    <row r="1997" spans="41:48">
      <c r="AO1997" s="824" t="str">
        <f t="shared" si="438"/>
        <v>No</v>
      </c>
      <c r="AP1997" s="259" t="str">
        <f t="shared" si="443"/>
        <v>blank</v>
      </c>
      <c r="AQ1997" s="542" t="str">
        <f t="shared" si="442"/>
        <v>无定金+无預留客戶</v>
      </c>
      <c r="AR1997" s="259" t="str">
        <f t="shared" si="436"/>
        <v/>
      </c>
      <c r="AS1997" s="259" t="str">
        <f t="shared" si="437"/>
        <v/>
      </c>
      <c r="AT1997" s="259" t="b">
        <f t="shared" si="439"/>
        <v>0</v>
      </c>
      <c r="AU1997" s="259" t="b">
        <f t="shared" si="440"/>
        <v>0</v>
      </c>
      <c r="AV1997" s="259" t="str">
        <f t="shared" si="441"/>
        <v>-</v>
      </c>
    </row>
    <row r="1998" spans="41:48">
      <c r="AO1998" s="824" t="str">
        <f t="shared" si="438"/>
        <v>No</v>
      </c>
      <c r="AP1998" s="259" t="str">
        <f t="shared" si="443"/>
        <v>blank</v>
      </c>
      <c r="AQ1998" s="542" t="str">
        <f t="shared" si="442"/>
        <v>无定金+无預留客戶</v>
      </c>
      <c r="AR1998" s="259" t="str">
        <f t="shared" si="436"/>
        <v/>
      </c>
      <c r="AS1998" s="259" t="str">
        <f t="shared" si="437"/>
        <v/>
      </c>
      <c r="AT1998" s="259" t="b">
        <f t="shared" si="439"/>
        <v>0</v>
      </c>
      <c r="AU1998" s="259" t="b">
        <f t="shared" si="440"/>
        <v>0</v>
      </c>
      <c r="AV1998" s="259" t="str">
        <f t="shared" si="441"/>
        <v>-</v>
      </c>
    </row>
    <row r="1999" spans="41:48">
      <c r="AO1999" s="824" t="str">
        <f t="shared" si="438"/>
        <v>No</v>
      </c>
      <c r="AP1999" s="259" t="str">
        <f t="shared" si="443"/>
        <v>blank</v>
      </c>
      <c r="AQ1999" s="542" t="str">
        <f t="shared" si="442"/>
        <v>无定金+无預留客戶</v>
      </c>
      <c r="AR1999" s="259" t="str">
        <f t="shared" si="436"/>
        <v/>
      </c>
      <c r="AS1999" s="259" t="str">
        <f t="shared" si="437"/>
        <v/>
      </c>
      <c r="AT1999" s="259" t="b">
        <f t="shared" si="439"/>
        <v>0</v>
      </c>
      <c r="AU1999" s="259" t="b">
        <f t="shared" si="440"/>
        <v>0</v>
      </c>
      <c r="AV1999" s="259" t="str">
        <f t="shared" si="441"/>
        <v>-</v>
      </c>
    </row>
    <row r="2000" spans="41:48">
      <c r="AO2000" s="824" t="str">
        <f t="shared" si="438"/>
        <v>No</v>
      </c>
      <c r="AP2000" s="259" t="str">
        <f t="shared" si="443"/>
        <v>blank</v>
      </c>
      <c r="AQ2000" s="542" t="str">
        <f t="shared" si="442"/>
        <v>无定金+无預留客戶</v>
      </c>
      <c r="AR2000" s="259" t="str">
        <f t="shared" si="436"/>
        <v/>
      </c>
      <c r="AS2000" s="259" t="str">
        <f t="shared" si="437"/>
        <v/>
      </c>
      <c r="AT2000" s="259" t="b">
        <f t="shared" si="439"/>
        <v>0</v>
      </c>
      <c r="AU2000" s="259" t="b">
        <f t="shared" si="440"/>
        <v>0</v>
      </c>
      <c r="AV2000" s="259" t="str">
        <f t="shared" si="441"/>
        <v>-</v>
      </c>
    </row>
    <row r="2001" spans="41:48">
      <c r="AO2001" s="824" t="str">
        <f t="shared" si="438"/>
        <v>No</v>
      </c>
      <c r="AP2001" s="259" t="str">
        <f t="shared" si="443"/>
        <v>blank</v>
      </c>
      <c r="AQ2001" s="542" t="str">
        <f t="shared" si="442"/>
        <v>无定金+无預留客戶</v>
      </c>
      <c r="AR2001" s="259" t="str">
        <f t="shared" si="436"/>
        <v/>
      </c>
      <c r="AS2001" s="259" t="str">
        <f t="shared" si="437"/>
        <v/>
      </c>
      <c r="AT2001" s="259" t="b">
        <f t="shared" si="439"/>
        <v>0</v>
      </c>
      <c r="AU2001" s="259" t="b">
        <f t="shared" si="440"/>
        <v>0</v>
      </c>
      <c r="AV2001" s="259" t="str">
        <f t="shared" si="441"/>
        <v>-</v>
      </c>
    </row>
    <row r="2002" spans="41:48">
      <c r="AO2002" s="824" t="str">
        <f t="shared" si="438"/>
        <v>No</v>
      </c>
      <c r="AP2002" s="259" t="str">
        <f t="shared" si="443"/>
        <v>blank</v>
      </c>
      <c r="AQ2002" s="542" t="str">
        <f t="shared" si="442"/>
        <v>无定金+无預留客戶</v>
      </c>
      <c r="AR2002" s="259" t="str">
        <f t="shared" si="436"/>
        <v/>
      </c>
      <c r="AS2002" s="259" t="str">
        <f t="shared" si="437"/>
        <v/>
      </c>
      <c r="AT2002" s="259" t="b">
        <f t="shared" si="439"/>
        <v>0</v>
      </c>
      <c r="AU2002" s="259" t="b">
        <f t="shared" si="440"/>
        <v>0</v>
      </c>
      <c r="AV2002" s="259" t="str">
        <f t="shared" si="441"/>
        <v>-</v>
      </c>
    </row>
    <row r="2003" spans="41:48">
      <c r="AO2003" s="824" t="str">
        <f t="shared" si="438"/>
        <v>No</v>
      </c>
      <c r="AP2003" s="259" t="str">
        <f t="shared" si="443"/>
        <v>blank</v>
      </c>
      <c r="AQ2003" s="542" t="str">
        <f t="shared" si="442"/>
        <v>无定金+无預留客戶</v>
      </c>
      <c r="AR2003" s="259" t="str">
        <f t="shared" si="436"/>
        <v/>
      </c>
      <c r="AS2003" s="259" t="str">
        <f t="shared" si="437"/>
        <v/>
      </c>
      <c r="AT2003" s="259" t="b">
        <f t="shared" si="439"/>
        <v>0</v>
      </c>
      <c r="AU2003" s="259" t="b">
        <f t="shared" si="440"/>
        <v>0</v>
      </c>
      <c r="AV2003" s="259" t="str">
        <f t="shared" si="441"/>
        <v>-</v>
      </c>
    </row>
    <row r="2004" spans="41:48">
      <c r="AO2004" s="824" t="str">
        <f t="shared" si="438"/>
        <v>No</v>
      </c>
      <c r="AP2004" s="259" t="str">
        <f t="shared" si="443"/>
        <v>blank</v>
      </c>
      <c r="AQ2004" s="542" t="str">
        <f t="shared" si="442"/>
        <v>无定金+无預留客戶</v>
      </c>
      <c r="AR2004" s="259" t="str">
        <f t="shared" si="436"/>
        <v/>
      </c>
      <c r="AS2004" s="259" t="str">
        <f t="shared" si="437"/>
        <v/>
      </c>
      <c r="AT2004" s="259" t="b">
        <f t="shared" si="439"/>
        <v>0</v>
      </c>
      <c r="AU2004" s="259" t="b">
        <f t="shared" si="440"/>
        <v>0</v>
      </c>
      <c r="AV2004" s="259" t="str">
        <f t="shared" si="441"/>
        <v>-</v>
      </c>
    </row>
    <row r="2005" spans="41:48">
      <c r="AO2005" s="824" t="str">
        <f t="shared" si="438"/>
        <v>No</v>
      </c>
      <c r="AP2005" s="259" t="str">
        <f t="shared" si="443"/>
        <v>blank</v>
      </c>
      <c r="AQ2005" s="542" t="str">
        <f t="shared" si="442"/>
        <v>无定金+无預留客戶</v>
      </c>
      <c r="AR2005" s="259" t="str">
        <f t="shared" si="436"/>
        <v/>
      </c>
      <c r="AS2005" s="259" t="str">
        <f t="shared" si="437"/>
        <v/>
      </c>
      <c r="AT2005" s="259" t="b">
        <f t="shared" si="439"/>
        <v>0</v>
      </c>
      <c r="AU2005" s="259" t="b">
        <f t="shared" si="440"/>
        <v>0</v>
      </c>
      <c r="AV2005" s="259" t="str">
        <f t="shared" si="441"/>
        <v>-</v>
      </c>
    </row>
    <row r="2006" spans="41:48">
      <c r="AO2006" s="824" t="str">
        <f t="shared" si="438"/>
        <v>No</v>
      </c>
      <c r="AP2006" s="259" t="str">
        <f t="shared" si="443"/>
        <v>blank</v>
      </c>
      <c r="AQ2006" s="542" t="str">
        <f t="shared" si="442"/>
        <v>无定金+无預留客戶</v>
      </c>
      <c r="AR2006" s="259" t="str">
        <f t="shared" si="436"/>
        <v/>
      </c>
      <c r="AS2006" s="259" t="str">
        <f t="shared" si="437"/>
        <v/>
      </c>
      <c r="AT2006" s="259" t="b">
        <f t="shared" si="439"/>
        <v>0</v>
      </c>
      <c r="AU2006" s="259" t="b">
        <f t="shared" si="440"/>
        <v>0</v>
      </c>
      <c r="AV2006" s="259" t="str">
        <f t="shared" si="441"/>
        <v>-</v>
      </c>
    </row>
    <row r="2007" spans="41:48">
      <c r="AO2007" s="824" t="str">
        <f t="shared" si="438"/>
        <v>No</v>
      </c>
      <c r="AP2007" s="259" t="str">
        <f t="shared" si="443"/>
        <v>blank</v>
      </c>
      <c r="AQ2007" s="542" t="str">
        <f t="shared" si="442"/>
        <v>无定金+无預留客戶</v>
      </c>
      <c r="AR2007" s="259" t="str">
        <f t="shared" si="436"/>
        <v/>
      </c>
      <c r="AS2007" s="259" t="str">
        <f t="shared" si="437"/>
        <v/>
      </c>
      <c r="AT2007" s="259" t="b">
        <f t="shared" si="439"/>
        <v>0</v>
      </c>
      <c r="AU2007" s="259" t="b">
        <f t="shared" si="440"/>
        <v>0</v>
      </c>
      <c r="AV2007" s="259" t="str">
        <f t="shared" si="441"/>
        <v>-</v>
      </c>
    </row>
    <row r="2008" spans="41:48">
      <c r="AO2008" s="824" t="str">
        <f t="shared" si="438"/>
        <v>No</v>
      </c>
      <c r="AP2008" s="259" t="str">
        <f t="shared" si="443"/>
        <v>blank</v>
      </c>
      <c r="AQ2008" s="542" t="str">
        <f t="shared" si="442"/>
        <v>无定金+无預留客戶</v>
      </c>
      <c r="AR2008" s="259" t="str">
        <f t="shared" si="436"/>
        <v/>
      </c>
      <c r="AS2008" s="259" t="str">
        <f t="shared" si="437"/>
        <v/>
      </c>
      <c r="AT2008" s="259" t="b">
        <f t="shared" si="439"/>
        <v>0</v>
      </c>
      <c r="AU2008" s="259" t="b">
        <f t="shared" si="440"/>
        <v>0</v>
      </c>
      <c r="AV2008" s="259" t="str">
        <f t="shared" si="441"/>
        <v>-</v>
      </c>
    </row>
    <row r="2009" spans="41:48">
      <c r="AO2009" s="824" t="str">
        <f t="shared" si="438"/>
        <v>No</v>
      </c>
      <c r="AP2009" s="259" t="str">
        <f t="shared" si="443"/>
        <v>blank</v>
      </c>
      <c r="AQ2009" s="542" t="str">
        <f t="shared" si="442"/>
        <v>无定金+无預留客戶</v>
      </c>
      <c r="AR2009" s="259" t="str">
        <f t="shared" si="436"/>
        <v/>
      </c>
      <c r="AS2009" s="259" t="str">
        <f t="shared" si="437"/>
        <v/>
      </c>
      <c r="AT2009" s="259" t="b">
        <f t="shared" si="439"/>
        <v>0</v>
      </c>
      <c r="AU2009" s="259" t="b">
        <f t="shared" si="440"/>
        <v>0</v>
      </c>
      <c r="AV2009" s="259" t="str">
        <f t="shared" si="441"/>
        <v>-</v>
      </c>
    </row>
    <row r="2010" spans="41:48">
      <c r="AO2010" s="824" t="str">
        <f t="shared" si="438"/>
        <v>No</v>
      </c>
      <c r="AP2010" s="259" t="str">
        <f t="shared" si="443"/>
        <v>blank</v>
      </c>
      <c r="AQ2010" s="542" t="str">
        <f t="shared" si="442"/>
        <v>无定金+无預留客戶</v>
      </c>
      <c r="AR2010" s="259" t="str">
        <f t="shared" si="436"/>
        <v/>
      </c>
      <c r="AS2010" s="259" t="str">
        <f t="shared" si="437"/>
        <v/>
      </c>
      <c r="AT2010" s="259" t="b">
        <f t="shared" si="439"/>
        <v>0</v>
      </c>
      <c r="AU2010" s="259" t="b">
        <f t="shared" si="440"/>
        <v>0</v>
      </c>
      <c r="AV2010" s="259" t="str">
        <f t="shared" si="441"/>
        <v>-</v>
      </c>
    </row>
    <row r="2011" spans="41:48">
      <c r="AO2011" s="824" t="str">
        <f t="shared" si="438"/>
        <v>No</v>
      </c>
      <c r="AP2011" s="259" t="str">
        <f t="shared" si="443"/>
        <v>blank</v>
      </c>
      <c r="AQ2011" s="542" t="str">
        <f t="shared" si="442"/>
        <v>无定金+无預留客戶</v>
      </c>
      <c r="AR2011" s="259" t="str">
        <f t="shared" si="436"/>
        <v/>
      </c>
      <c r="AS2011" s="259" t="str">
        <f t="shared" si="437"/>
        <v/>
      </c>
      <c r="AT2011" s="259" t="b">
        <f t="shared" si="439"/>
        <v>0</v>
      </c>
      <c r="AU2011" s="259" t="b">
        <f t="shared" si="440"/>
        <v>0</v>
      </c>
      <c r="AV2011" s="259" t="str">
        <f t="shared" si="441"/>
        <v>-</v>
      </c>
    </row>
    <row r="2012" spans="41:48">
      <c r="AO2012" s="824" t="str">
        <f t="shared" si="438"/>
        <v>No</v>
      </c>
      <c r="AP2012" s="259" t="str">
        <f t="shared" si="443"/>
        <v>blank</v>
      </c>
      <c r="AQ2012" s="542" t="str">
        <f t="shared" si="442"/>
        <v>无定金+无預留客戶</v>
      </c>
      <c r="AR2012" s="259" t="str">
        <f t="shared" si="436"/>
        <v/>
      </c>
      <c r="AS2012" s="259" t="str">
        <f t="shared" si="437"/>
        <v/>
      </c>
      <c r="AT2012" s="259" t="b">
        <f t="shared" si="439"/>
        <v>0</v>
      </c>
      <c r="AU2012" s="259" t="b">
        <f t="shared" si="440"/>
        <v>0</v>
      </c>
      <c r="AV2012" s="259" t="str">
        <f t="shared" si="441"/>
        <v>-</v>
      </c>
    </row>
    <row r="2013" spans="41:48">
      <c r="AO2013" s="824" t="str">
        <f t="shared" si="438"/>
        <v>No</v>
      </c>
      <c r="AP2013" s="259" t="str">
        <f t="shared" si="443"/>
        <v>blank</v>
      </c>
      <c r="AQ2013" s="542" t="str">
        <f t="shared" si="442"/>
        <v>无定金+无預留客戶</v>
      </c>
      <c r="AR2013" s="259" t="str">
        <f t="shared" si="436"/>
        <v/>
      </c>
      <c r="AS2013" s="259" t="str">
        <f t="shared" si="437"/>
        <v/>
      </c>
      <c r="AT2013" s="259" t="b">
        <f t="shared" si="439"/>
        <v>0</v>
      </c>
      <c r="AU2013" s="259" t="b">
        <f t="shared" si="440"/>
        <v>0</v>
      </c>
      <c r="AV2013" s="259" t="str">
        <f t="shared" si="441"/>
        <v>-</v>
      </c>
    </row>
    <row r="2014" spans="41:48">
      <c r="AO2014" s="824" t="str">
        <f t="shared" si="438"/>
        <v>No</v>
      </c>
      <c r="AP2014" s="259" t="str">
        <f t="shared" si="443"/>
        <v>blank</v>
      </c>
      <c r="AQ2014" s="542" t="str">
        <f t="shared" si="442"/>
        <v>无定金+无預留客戶</v>
      </c>
      <c r="AR2014" s="259" t="str">
        <f t="shared" si="436"/>
        <v/>
      </c>
      <c r="AS2014" s="259" t="str">
        <f t="shared" si="437"/>
        <v/>
      </c>
      <c r="AT2014" s="259" t="b">
        <f t="shared" si="439"/>
        <v>0</v>
      </c>
      <c r="AU2014" s="259" t="b">
        <f t="shared" si="440"/>
        <v>0</v>
      </c>
      <c r="AV2014" s="259" t="str">
        <f t="shared" si="441"/>
        <v>-</v>
      </c>
    </row>
    <row r="2015" spans="41:48">
      <c r="AO2015" s="824" t="str">
        <f t="shared" si="438"/>
        <v>No</v>
      </c>
      <c r="AP2015" s="259" t="str">
        <f t="shared" si="443"/>
        <v>blank</v>
      </c>
      <c r="AQ2015" s="542" t="str">
        <f t="shared" si="442"/>
        <v>无定金+无預留客戶</v>
      </c>
      <c r="AR2015" s="259" t="str">
        <f t="shared" si="436"/>
        <v/>
      </c>
      <c r="AS2015" s="259" t="str">
        <f t="shared" si="437"/>
        <v/>
      </c>
      <c r="AT2015" s="259" t="b">
        <f t="shared" si="439"/>
        <v>0</v>
      </c>
      <c r="AU2015" s="259" t="b">
        <f t="shared" si="440"/>
        <v>0</v>
      </c>
      <c r="AV2015" s="259" t="str">
        <f t="shared" si="441"/>
        <v>-</v>
      </c>
    </row>
    <row r="2016" spans="41:48">
      <c r="AO2016" s="824" t="str">
        <f t="shared" si="438"/>
        <v>No</v>
      </c>
      <c r="AP2016" s="259" t="str">
        <f t="shared" si="443"/>
        <v>blank</v>
      </c>
      <c r="AQ2016" s="542" t="str">
        <f t="shared" si="442"/>
        <v>无定金+无預留客戶</v>
      </c>
      <c r="AR2016" s="259" t="str">
        <f t="shared" si="436"/>
        <v/>
      </c>
      <c r="AS2016" s="259" t="str">
        <f t="shared" si="437"/>
        <v/>
      </c>
      <c r="AT2016" s="259" t="b">
        <f t="shared" si="439"/>
        <v>0</v>
      </c>
      <c r="AU2016" s="259" t="b">
        <f t="shared" si="440"/>
        <v>0</v>
      </c>
      <c r="AV2016" s="259" t="str">
        <f t="shared" si="441"/>
        <v>-</v>
      </c>
    </row>
    <row r="2017" spans="41:48">
      <c r="AO2017" s="824" t="str">
        <f t="shared" si="438"/>
        <v>No</v>
      </c>
      <c r="AP2017" s="259" t="str">
        <f t="shared" si="443"/>
        <v>blank</v>
      </c>
      <c r="AQ2017" s="542" t="str">
        <f t="shared" si="442"/>
        <v>无定金+无預留客戶</v>
      </c>
      <c r="AR2017" s="259" t="str">
        <f t="shared" si="436"/>
        <v/>
      </c>
      <c r="AS2017" s="259" t="str">
        <f t="shared" si="437"/>
        <v/>
      </c>
      <c r="AT2017" s="259" t="b">
        <f t="shared" si="439"/>
        <v>0</v>
      </c>
      <c r="AU2017" s="259" t="b">
        <f t="shared" si="440"/>
        <v>0</v>
      </c>
      <c r="AV2017" s="259" t="str">
        <f t="shared" si="441"/>
        <v>-</v>
      </c>
    </row>
    <row r="2018" spans="41:48">
      <c r="AO2018" s="824" t="str">
        <f t="shared" si="438"/>
        <v>No</v>
      </c>
      <c r="AP2018" s="259" t="str">
        <f t="shared" si="443"/>
        <v>blank</v>
      </c>
      <c r="AQ2018" s="542" t="str">
        <f t="shared" si="442"/>
        <v>无定金+无預留客戶</v>
      </c>
      <c r="AR2018" s="259" t="str">
        <f t="shared" si="436"/>
        <v/>
      </c>
      <c r="AS2018" s="259" t="str">
        <f t="shared" si="437"/>
        <v/>
      </c>
      <c r="AT2018" s="259" t="b">
        <f t="shared" si="439"/>
        <v>0</v>
      </c>
      <c r="AU2018" s="259" t="b">
        <f t="shared" si="440"/>
        <v>0</v>
      </c>
      <c r="AV2018" s="259" t="str">
        <f t="shared" si="441"/>
        <v>-</v>
      </c>
    </row>
    <row r="2019" spans="41:48">
      <c r="AO2019" s="824" t="str">
        <f t="shared" si="438"/>
        <v>No</v>
      </c>
      <c r="AP2019" s="259" t="str">
        <f t="shared" si="443"/>
        <v>blank</v>
      </c>
      <c r="AQ2019" s="542" t="str">
        <f t="shared" si="442"/>
        <v>无定金+无預留客戶</v>
      </c>
      <c r="AR2019" s="259" t="str">
        <f t="shared" si="436"/>
        <v/>
      </c>
      <c r="AS2019" s="259" t="str">
        <f t="shared" si="437"/>
        <v/>
      </c>
      <c r="AT2019" s="259" t="b">
        <f t="shared" si="439"/>
        <v>0</v>
      </c>
      <c r="AU2019" s="259" t="b">
        <f t="shared" si="440"/>
        <v>0</v>
      </c>
      <c r="AV2019" s="259" t="str">
        <f t="shared" si="441"/>
        <v>-</v>
      </c>
    </row>
    <row r="2020" spans="41:48">
      <c r="AO2020" s="824" t="str">
        <f t="shared" si="438"/>
        <v>No</v>
      </c>
      <c r="AP2020" s="259" t="str">
        <f t="shared" si="443"/>
        <v>blank</v>
      </c>
      <c r="AQ2020" s="542" t="str">
        <f t="shared" si="442"/>
        <v>无定金+无預留客戶</v>
      </c>
      <c r="AR2020" s="259" t="str">
        <f t="shared" si="436"/>
        <v/>
      </c>
      <c r="AS2020" s="259" t="str">
        <f t="shared" si="437"/>
        <v/>
      </c>
      <c r="AT2020" s="259" t="b">
        <f t="shared" si="439"/>
        <v>0</v>
      </c>
      <c r="AU2020" s="259" t="b">
        <f t="shared" si="440"/>
        <v>0</v>
      </c>
      <c r="AV2020" s="259" t="str">
        <f t="shared" si="441"/>
        <v>-</v>
      </c>
    </row>
    <row r="2021" spans="41:48">
      <c r="AO2021" s="824" t="str">
        <f t="shared" si="438"/>
        <v>No</v>
      </c>
      <c r="AP2021" s="259" t="str">
        <f t="shared" si="443"/>
        <v>blank</v>
      </c>
      <c r="AQ2021" s="542" t="str">
        <f t="shared" si="442"/>
        <v>无定金+无預留客戶</v>
      </c>
      <c r="AR2021" s="259" t="str">
        <f t="shared" si="436"/>
        <v/>
      </c>
      <c r="AS2021" s="259" t="str">
        <f t="shared" si="437"/>
        <v/>
      </c>
      <c r="AT2021" s="259" t="b">
        <f t="shared" si="439"/>
        <v>0</v>
      </c>
      <c r="AU2021" s="259" t="b">
        <f t="shared" si="440"/>
        <v>0</v>
      </c>
      <c r="AV2021" s="259" t="str">
        <f t="shared" si="441"/>
        <v>-</v>
      </c>
    </row>
    <row r="2022" spans="41:48">
      <c r="AO2022" s="824" t="str">
        <f t="shared" si="438"/>
        <v>No</v>
      </c>
      <c r="AP2022" s="259" t="str">
        <f t="shared" si="443"/>
        <v>blank</v>
      </c>
      <c r="AQ2022" s="542" t="str">
        <f t="shared" si="442"/>
        <v>无定金+无預留客戶</v>
      </c>
      <c r="AR2022" s="259" t="str">
        <f t="shared" si="436"/>
        <v/>
      </c>
      <c r="AS2022" s="259" t="str">
        <f t="shared" si="437"/>
        <v/>
      </c>
      <c r="AT2022" s="259" t="b">
        <f t="shared" si="439"/>
        <v>0</v>
      </c>
      <c r="AU2022" s="259" t="b">
        <f t="shared" si="440"/>
        <v>0</v>
      </c>
      <c r="AV2022" s="259" t="str">
        <f t="shared" si="441"/>
        <v>-</v>
      </c>
    </row>
    <row r="2023" spans="41:48">
      <c r="AO2023" s="824" t="str">
        <f t="shared" si="438"/>
        <v>No</v>
      </c>
      <c r="AP2023" s="259" t="str">
        <f t="shared" si="443"/>
        <v>blank</v>
      </c>
      <c r="AQ2023" s="542" t="str">
        <f t="shared" si="442"/>
        <v>无定金+无預留客戶</v>
      </c>
      <c r="AR2023" s="259" t="str">
        <f t="shared" si="436"/>
        <v/>
      </c>
      <c r="AS2023" s="259" t="str">
        <f t="shared" si="437"/>
        <v/>
      </c>
      <c r="AT2023" s="259" t="b">
        <f t="shared" si="439"/>
        <v>0</v>
      </c>
      <c r="AU2023" s="259" t="b">
        <f t="shared" si="440"/>
        <v>0</v>
      </c>
      <c r="AV2023" s="259" t="str">
        <f t="shared" si="441"/>
        <v>-</v>
      </c>
    </row>
    <row r="2024" spans="41:48">
      <c r="AO2024" s="824" t="str">
        <f t="shared" si="438"/>
        <v>No</v>
      </c>
      <c r="AP2024" s="259" t="str">
        <f t="shared" si="443"/>
        <v>blank</v>
      </c>
      <c r="AQ2024" s="542" t="str">
        <f t="shared" si="442"/>
        <v>无定金+无預留客戶</v>
      </c>
      <c r="AR2024" s="259" t="str">
        <f t="shared" si="436"/>
        <v/>
      </c>
      <c r="AS2024" s="259" t="str">
        <f t="shared" si="437"/>
        <v/>
      </c>
      <c r="AT2024" s="259" t="b">
        <f t="shared" si="439"/>
        <v>0</v>
      </c>
      <c r="AU2024" s="259" t="b">
        <f t="shared" si="440"/>
        <v>0</v>
      </c>
      <c r="AV2024" s="259" t="str">
        <f t="shared" si="441"/>
        <v>-</v>
      </c>
    </row>
    <row r="2025" spans="41:48">
      <c r="AO2025" s="824" t="str">
        <f t="shared" si="438"/>
        <v>No</v>
      </c>
      <c r="AP2025" s="259" t="str">
        <f t="shared" si="443"/>
        <v>blank</v>
      </c>
      <c r="AQ2025" s="542" t="str">
        <f t="shared" si="442"/>
        <v>无定金+无預留客戶</v>
      </c>
      <c r="AR2025" s="259" t="str">
        <f t="shared" si="436"/>
        <v/>
      </c>
      <c r="AS2025" s="259" t="str">
        <f t="shared" si="437"/>
        <v/>
      </c>
      <c r="AT2025" s="259" t="b">
        <f t="shared" si="439"/>
        <v>0</v>
      </c>
      <c r="AU2025" s="259" t="b">
        <f t="shared" si="440"/>
        <v>0</v>
      </c>
      <c r="AV2025" s="259" t="str">
        <f t="shared" si="441"/>
        <v>-</v>
      </c>
    </row>
    <row r="2026" spans="41:48">
      <c r="AO2026" s="824" t="str">
        <f t="shared" si="438"/>
        <v>No</v>
      </c>
      <c r="AP2026" s="259" t="str">
        <f t="shared" si="443"/>
        <v>blank</v>
      </c>
      <c r="AQ2026" s="542" t="str">
        <f t="shared" si="442"/>
        <v>无定金+无預留客戶</v>
      </c>
      <c r="AR2026" s="259" t="str">
        <f t="shared" si="436"/>
        <v/>
      </c>
      <c r="AS2026" s="259" t="str">
        <f t="shared" si="437"/>
        <v/>
      </c>
      <c r="AT2026" s="259" t="b">
        <f t="shared" si="439"/>
        <v>0</v>
      </c>
      <c r="AU2026" s="259" t="b">
        <f t="shared" si="440"/>
        <v>0</v>
      </c>
      <c r="AV2026" s="259" t="str">
        <f t="shared" si="441"/>
        <v>-</v>
      </c>
    </row>
    <row r="2027" spans="41:48">
      <c r="AO2027" s="824" t="str">
        <f t="shared" si="438"/>
        <v>No</v>
      </c>
      <c r="AP2027" s="259" t="str">
        <f t="shared" si="443"/>
        <v>blank</v>
      </c>
      <c r="AQ2027" s="542" t="str">
        <f t="shared" si="442"/>
        <v>无定金+无預留客戶</v>
      </c>
      <c r="AR2027" s="259" t="str">
        <f t="shared" si="436"/>
        <v/>
      </c>
      <c r="AS2027" s="259" t="str">
        <f t="shared" si="437"/>
        <v/>
      </c>
      <c r="AT2027" s="259" t="b">
        <f t="shared" si="439"/>
        <v>0</v>
      </c>
      <c r="AU2027" s="259" t="b">
        <f t="shared" si="440"/>
        <v>0</v>
      </c>
      <c r="AV2027" s="259" t="str">
        <f t="shared" si="441"/>
        <v>-</v>
      </c>
    </row>
    <row r="2028" spans="41:48">
      <c r="AO2028" s="824" t="str">
        <f t="shared" si="438"/>
        <v>No</v>
      </c>
      <c r="AP2028" s="259" t="str">
        <f t="shared" si="443"/>
        <v>blank</v>
      </c>
      <c r="AQ2028" s="542" t="str">
        <f t="shared" si="442"/>
        <v>无定金+无預留客戶</v>
      </c>
      <c r="AR2028" s="259" t="str">
        <f t="shared" si="436"/>
        <v/>
      </c>
      <c r="AS2028" s="259" t="str">
        <f t="shared" si="437"/>
        <v/>
      </c>
      <c r="AT2028" s="259" t="b">
        <f t="shared" si="439"/>
        <v>0</v>
      </c>
      <c r="AU2028" s="259" t="b">
        <f t="shared" si="440"/>
        <v>0</v>
      </c>
      <c r="AV2028" s="259" t="str">
        <f t="shared" si="441"/>
        <v>-</v>
      </c>
    </row>
    <row r="2029" spans="41:48">
      <c r="AO2029" s="824" t="str">
        <f t="shared" si="438"/>
        <v>No</v>
      </c>
      <c r="AP2029" s="259" t="str">
        <f t="shared" si="443"/>
        <v>blank</v>
      </c>
      <c r="AQ2029" s="542" t="str">
        <f t="shared" si="442"/>
        <v>无定金+无預留客戶</v>
      </c>
      <c r="AR2029" s="259" t="str">
        <f t="shared" si="436"/>
        <v/>
      </c>
      <c r="AS2029" s="259" t="str">
        <f t="shared" si="437"/>
        <v/>
      </c>
      <c r="AT2029" s="259" t="b">
        <f t="shared" si="439"/>
        <v>0</v>
      </c>
      <c r="AU2029" s="259" t="b">
        <f t="shared" si="440"/>
        <v>0</v>
      </c>
      <c r="AV2029" s="259" t="str">
        <f t="shared" si="441"/>
        <v>-</v>
      </c>
    </row>
    <row r="2030" spans="41:48">
      <c r="AO2030" s="824" t="str">
        <f t="shared" si="438"/>
        <v>No</v>
      </c>
      <c r="AP2030" s="259" t="str">
        <f t="shared" si="443"/>
        <v>blank</v>
      </c>
      <c r="AQ2030" s="542" t="str">
        <f t="shared" si="442"/>
        <v>无定金+无預留客戶</v>
      </c>
      <c r="AR2030" s="259" t="str">
        <f t="shared" si="436"/>
        <v/>
      </c>
      <c r="AS2030" s="259" t="str">
        <f t="shared" si="437"/>
        <v/>
      </c>
      <c r="AT2030" s="259" t="b">
        <f t="shared" si="439"/>
        <v>0</v>
      </c>
      <c r="AU2030" s="259" t="b">
        <f t="shared" si="440"/>
        <v>0</v>
      </c>
      <c r="AV2030" s="259" t="str">
        <f t="shared" si="441"/>
        <v>-</v>
      </c>
    </row>
    <row r="2031" spans="41:48">
      <c r="AO2031" s="824" t="str">
        <f t="shared" si="438"/>
        <v>No</v>
      </c>
      <c r="AP2031" s="259" t="str">
        <f t="shared" si="443"/>
        <v>blank</v>
      </c>
      <c r="AQ2031" s="542" t="str">
        <f t="shared" si="442"/>
        <v>无定金+无預留客戶</v>
      </c>
      <c r="AR2031" s="259" t="str">
        <f t="shared" si="436"/>
        <v/>
      </c>
      <c r="AS2031" s="259" t="str">
        <f t="shared" si="437"/>
        <v/>
      </c>
      <c r="AT2031" s="259" t="b">
        <f t="shared" si="439"/>
        <v>0</v>
      </c>
      <c r="AU2031" s="259" t="b">
        <f t="shared" si="440"/>
        <v>0</v>
      </c>
      <c r="AV2031" s="259" t="str">
        <f t="shared" si="441"/>
        <v>-</v>
      </c>
    </row>
    <row r="2032" spans="41:48">
      <c r="AO2032" s="824" t="str">
        <f t="shared" si="438"/>
        <v>No</v>
      </c>
      <c r="AP2032" s="259" t="str">
        <f t="shared" si="443"/>
        <v>blank</v>
      </c>
      <c r="AQ2032" s="542" t="str">
        <f t="shared" si="442"/>
        <v>无定金+无預留客戶</v>
      </c>
      <c r="AR2032" s="259" t="str">
        <f t="shared" si="436"/>
        <v/>
      </c>
      <c r="AS2032" s="259" t="str">
        <f t="shared" si="437"/>
        <v/>
      </c>
      <c r="AT2032" s="259" t="b">
        <f t="shared" si="439"/>
        <v>0</v>
      </c>
      <c r="AU2032" s="259" t="b">
        <f t="shared" si="440"/>
        <v>0</v>
      </c>
      <c r="AV2032" s="259" t="str">
        <f t="shared" si="441"/>
        <v>-</v>
      </c>
    </row>
    <row r="2033" spans="41:48">
      <c r="AO2033" s="824" t="str">
        <f t="shared" si="438"/>
        <v>No</v>
      </c>
      <c r="AP2033" s="259" t="str">
        <f t="shared" si="443"/>
        <v>blank</v>
      </c>
      <c r="AQ2033" s="542" t="str">
        <f t="shared" si="442"/>
        <v>无定金+无預留客戶</v>
      </c>
      <c r="AR2033" s="259" t="str">
        <f t="shared" si="436"/>
        <v/>
      </c>
      <c r="AS2033" s="259" t="str">
        <f t="shared" si="437"/>
        <v/>
      </c>
      <c r="AT2033" s="259" t="b">
        <f t="shared" si="439"/>
        <v>0</v>
      </c>
      <c r="AU2033" s="259" t="b">
        <f t="shared" si="440"/>
        <v>0</v>
      </c>
      <c r="AV2033" s="259" t="str">
        <f t="shared" si="441"/>
        <v>-</v>
      </c>
    </row>
    <row r="2034" spans="41:48">
      <c r="AO2034" s="824" t="str">
        <f t="shared" si="438"/>
        <v>No</v>
      </c>
      <c r="AP2034" s="259" t="str">
        <f t="shared" si="443"/>
        <v>blank</v>
      </c>
      <c r="AQ2034" s="542" t="str">
        <f t="shared" si="442"/>
        <v>无定金+无預留客戶</v>
      </c>
      <c r="AR2034" s="259" t="str">
        <f t="shared" si="436"/>
        <v/>
      </c>
      <c r="AS2034" s="259" t="str">
        <f t="shared" si="437"/>
        <v/>
      </c>
      <c r="AT2034" s="259" t="b">
        <f t="shared" si="439"/>
        <v>0</v>
      </c>
      <c r="AU2034" s="259" t="b">
        <f t="shared" si="440"/>
        <v>0</v>
      </c>
      <c r="AV2034" s="259" t="str">
        <f t="shared" si="441"/>
        <v>-</v>
      </c>
    </row>
    <row r="2035" spans="41:48">
      <c r="AO2035" s="824" t="str">
        <f t="shared" si="438"/>
        <v>No</v>
      </c>
      <c r="AP2035" s="259" t="str">
        <f t="shared" si="443"/>
        <v>blank</v>
      </c>
      <c r="AQ2035" s="542" t="str">
        <f t="shared" si="442"/>
        <v>无定金+无預留客戶</v>
      </c>
      <c r="AR2035" s="259" t="str">
        <f t="shared" si="436"/>
        <v/>
      </c>
      <c r="AS2035" s="259" t="str">
        <f t="shared" si="437"/>
        <v/>
      </c>
      <c r="AT2035" s="259" t="b">
        <f t="shared" si="439"/>
        <v>0</v>
      </c>
      <c r="AU2035" s="259" t="b">
        <f t="shared" si="440"/>
        <v>0</v>
      </c>
      <c r="AV2035" s="259" t="str">
        <f t="shared" si="441"/>
        <v>-</v>
      </c>
    </row>
    <row r="2036" spans="41:48">
      <c r="AO2036" s="824" t="str">
        <f t="shared" si="438"/>
        <v>No</v>
      </c>
      <c r="AP2036" s="259" t="str">
        <f t="shared" si="443"/>
        <v>blank</v>
      </c>
      <c r="AQ2036" s="542" t="str">
        <f t="shared" si="442"/>
        <v>无定金+无預留客戶</v>
      </c>
      <c r="AR2036" s="259" t="str">
        <f t="shared" si="436"/>
        <v/>
      </c>
      <c r="AS2036" s="259" t="str">
        <f t="shared" si="437"/>
        <v/>
      </c>
      <c r="AT2036" s="259" t="b">
        <f t="shared" si="439"/>
        <v>0</v>
      </c>
      <c r="AU2036" s="259" t="b">
        <f t="shared" si="440"/>
        <v>0</v>
      </c>
      <c r="AV2036" s="259" t="str">
        <f t="shared" si="441"/>
        <v>-</v>
      </c>
    </row>
    <row r="2037" spans="41:48">
      <c r="AO2037" s="824" t="str">
        <f t="shared" si="438"/>
        <v>No</v>
      </c>
      <c r="AP2037" s="259" t="str">
        <f t="shared" si="443"/>
        <v>blank</v>
      </c>
      <c r="AQ2037" s="542" t="str">
        <f t="shared" si="442"/>
        <v>无定金+无預留客戶</v>
      </c>
      <c r="AR2037" s="259" t="str">
        <f t="shared" si="436"/>
        <v/>
      </c>
      <c r="AS2037" s="259" t="str">
        <f t="shared" si="437"/>
        <v/>
      </c>
      <c r="AT2037" s="259" t="b">
        <f t="shared" si="439"/>
        <v>0</v>
      </c>
      <c r="AU2037" s="259" t="b">
        <f t="shared" si="440"/>
        <v>0</v>
      </c>
      <c r="AV2037" s="259" t="str">
        <f t="shared" si="441"/>
        <v>-</v>
      </c>
    </row>
    <row r="2038" spans="41:48">
      <c r="AO2038" s="824" t="str">
        <f t="shared" si="438"/>
        <v>No</v>
      </c>
      <c r="AP2038" s="259" t="str">
        <f t="shared" si="443"/>
        <v>blank</v>
      </c>
      <c r="AQ2038" s="542" t="str">
        <f t="shared" si="442"/>
        <v>无定金+无預留客戶</v>
      </c>
      <c r="AR2038" s="259" t="str">
        <f t="shared" si="436"/>
        <v/>
      </c>
      <c r="AS2038" s="259" t="str">
        <f t="shared" si="437"/>
        <v/>
      </c>
      <c r="AT2038" s="259" t="b">
        <f t="shared" si="439"/>
        <v>0</v>
      </c>
      <c r="AU2038" s="259" t="b">
        <f t="shared" si="440"/>
        <v>0</v>
      </c>
      <c r="AV2038" s="259" t="str">
        <f t="shared" si="441"/>
        <v>-</v>
      </c>
    </row>
    <row r="2039" spans="41:48">
      <c r="AO2039" s="824" t="str">
        <f t="shared" si="438"/>
        <v>No</v>
      </c>
      <c r="AP2039" s="259" t="str">
        <f t="shared" si="443"/>
        <v>blank</v>
      </c>
      <c r="AQ2039" s="542" t="str">
        <f t="shared" si="442"/>
        <v>无定金+无預留客戶</v>
      </c>
      <c r="AR2039" s="259" t="str">
        <f t="shared" si="436"/>
        <v/>
      </c>
      <c r="AS2039" s="259" t="str">
        <f t="shared" si="437"/>
        <v/>
      </c>
      <c r="AT2039" s="259" t="b">
        <f t="shared" si="439"/>
        <v>0</v>
      </c>
      <c r="AU2039" s="259" t="b">
        <f t="shared" si="440"/>
        <v>0</v>
      </c>
      <c r="AV2039" s="259" t="str">
        <f t="shared" si="441"/>
        <v>-</v>
      </c>
    </row>
    <row r="2040" spans="41:48">
      <c r="AO2040" s="824" t="str">
        <f t="shared" si="438"/>
        <v>No</v>
      </c>
      <c r="AP2040" s="259" t="str">
        <f t="shared" si="443"/>
        <v>blank</v>
      </c>
      <c r="AQ2040" s="542" t="str">
        <f t="shared" si="442"/>
        <v>无定金+无預留客戶</v>
      </c>
      <c r="AR2040" s="259" t="str">
        <f t="shared" si="436"/>
        <v/>
      </c>
      <c r="AS2040" s="259" t="str">
        <f t="shared" si="437"/>
        <v/>
      </c>
      <c r="AT2040" s="259" t="b">
        <f t="shared" si="439"/>
        <v>0</v>
      </c>
      <c r="AU2040" s="259" t="b">
        <f t="shared" si="440"/>
        <v>0</v>
      </c>
      <c r="AV2040" s="259" t="str">
        <f t="shared" si="441"/>
        <v>-</v>
      </c>
    </row>
    <row r="2041" spans="41:48">
      <c r="AO2041" s="824" t="str">
        <f t="shared" si="438"/>
        <v>No</v>
      </c>
      <c r="AP2041" s="259" t="str">
        <f t="shared" si="443"/>
        <v>blank</v>
      </c>
      <c r="AQ2041" s="542" t="str">
        <f t="shared" si="442"/>
        <v>无定金+无預留客戶</v>
      </c>
      <c r="AR2041" s="259" t="str">
        <f t="shared" si="436"/>
        <v/>
      </c>
      <c r="AS2041" s="259" t="str">
        <f t="shared" si="437"/>
        <v/>
      </c>
      <c r="AT2041" s="259" t="b">
        <f t="shared" si="439"/>
        <v>0</v>
      </c>
      <c r="AU2041" s="259" t="b">
        <f t="shared" si="440"/>
        <v>0</v>
      </c>
      <c r="AV2041" s="259" t="str">
        <f t="shared" si="441"/>
        <v>-</v>
      </c>
    </row>
    <row r="2042" spans="41:48">
      <c r="AO2042" s="824" t="str">
        <f t="shared" si="438"/>
        <v>No</v>
      </c>
      <c r="AP2042" s="259" t="str">
        <f t="shared" si="443"/>
        <v>blank</v>
      </c>
      <c r="AQ2042" s="542" t="str">
        <f t="shared" si="442"/>
        <v>无定金+无預留客戶</v>
      </c>
      <c r="AR2042" s="259" t="str">
        <f t="shared" si="436"/>
        <v/>
      </c>
      <c r="AS2042" s="259" t="str">
        <f t="shared" si="437"/>
        <v/>
      </c>
      <c r="AT2042" s="259" t="b">
        <f t="shared" si="439"/>
        <v>0</v>
      </c>
      <c r="AU2042" s="259" t="b">
        <f t="shared" si="440"/>
        <v>0</v>
      </c>
      <c r="AV2042" s="259" t="str">
        <f t="shared" si="441"/>
        <v>-</v>
      </c>
    </row>
    <row r="2043" spans="41:48">
      <c r="AO2043" s="824" t="str">
        <f t="shared" si="438"/>
        <v>No</v>
      </c>
      <c r="AP2043" s="259" t="str">
        <f t="shared" si="443"/>
        <v>blank</v>
      </c>
      <c r="AQ2043" s="542" t="str">
        <f t="shared" si="442"/>
        <v>无定金+无預留客戶</v>
      </c>
      <c r="AR2043" s="259" t="str">
        <f t="shared" si="436"/>
        <v/>
      </c>
      <c r="AS2043" s="259" t="str">
        <f t="shared" si="437"/>
        <v/>
      </c>
      <c r="AT2043" s="259" t="b">
        <f t="shared" si="439"/>
        <v>0</v>
      </c>
      <c r="AU2043" s="259" t="b">
        <f t="shared" si="440"/>
        <v>0</v>
      </c>
      <c r="AV2043" s="259" t="str">
        <f t="shared" si="441"/>
        <v>-</v>
      </c>
    </row>
    <row r="2044" spans="41:48">
      <c r="AO2044" s="824" t="str">
        <f t="shared" si="438"/>
        <v>No</v>
      </c>
      <c r="AP2044" s="259" t="str">
        <f t="shared" si="443"/>
        <v>blank</v>
      </c>
      <c r="AQ2044" s="542" t="str">
        <f t="shared" si="442"/>
        <v>无定金+无預留客戶</v>
      </c>
      <c r="AR2044" s="259" t="str">
        <f t="shared" si="436"/>
        <v/>
      </c>
      <c r="AS2044" s="259" t="str">
        <f t="shared" si="437"/>
        <v/>
      </c>
      <c r="AT2044" s="259" t="b">
        <f t="shared" si="439"/>
        <v>0</v>
      </c>
      <c r="AU2044" s="259" t="b">
        <f t="shared" si="440"/>
        <v>0</v>
      </c>
      <c r="AV2044" s="259" t="str">
        <f t="shared" si="441"/>
        <v>-</v>
      </c>
    </row>
    <row r="2045" spans="41:48">
      <c r="AO2045" s="824" t="str">
        <f t="shared" si="438"/>
        <v>No</v>
      </c>
      <c r="AP2045" s="259" t="str">
        <f t="shared" si="443"/>
        <v>blank</v>
      </c>
      <c r="AQ2045" s="542" t="str">
        <f t="shared" si="442"/>
        <v>无定金+无預留客戶</v>
      </c>
      <c r="AR2045" s="259" t="str">
        <f t="shared" si="436"/>
        <v/>
      </c>
      <c r="AS2045" s="259" t="str">
        <f t="shared" si="437"/>
        <v/>
      </c>
      <c r="AT2045" s="259" t="b">
        <f t="shared" si="439"/>
        <v>0</v>
      </c>
      <c r="AU2045" s="259" t="b">
        <f t="shared" si="440"/>
        <v>0</v>
      </c>
      <c r="AV2045" s="259" t="str">
        <f t="shared" si="441"/>
        <v>-</v>
      </c>
    </row>
    <row r="2046" spans="41:48">
      <c r="AO2046" s="824" t="str">
        <f t="shared" si="438"/>
        <v>No</v>
      </c>
      <c r="AP2046" s="259" t="str">
        <f t="shared" si="443"/>
        <v>blank</v>
      </c>
      <c r="AQ2046" s="542" t="str">
        <f t="shared" si="442"/>
        <v>无定金+无預留客戶</v>
      </c>
      <c r="AR2046" s="259" t="str">
        <f t="shared" ref="AR2046:AR2109" si="444">IFERROR(IF(B2046="已经到货", "Instock", IF(B2046="有交期", "Incoming_Stock_With_YAMAHA_Schedule", IF(B2046="TBA.", "Incoming_Stock_No_YAMAHA_Schedule", IF(B2046="已发货", "Shipped_Stock", "")))), "")</f>
        <v/>
      </c>
      <c r="AS2046" s="259" t="str">
        <f t="shared" ref="AS2046:AS2109" si="445">IF(AND(B2046="有交期", L2046&lt;&gt;""), L2046, "")</f>
        <v/>
      </c>
      <c r="AT2046" s="259" t="b">
        <f t="shared" si="439"/>
        <v>0</v>
      </c>
      <c r="AU2046" s="259" t="b">
        <f t="shared" si="440"/>
        <v>0</v>
      </c>
      <c r="AV2046" s="259" t="str">
        <f t="shared" si="441"/>
        <v>-</v>
      </c>
    </row>
    <row r="2047" spans="41:48">
      <c r="AO2047" s="824" t="str">
        <f t="shared" si="438"/>
        <v>No</v>
      </c>
      <c r="AP2047" s="259" t="str">
        <f t="shared" si="443"/>
        <v>blank</v>
      </c>
      <c r="AQ2047" s="542" t="str">
        <f t="shared" si="442"/>
        <v>无定金+无預留客戶</v>
      </c>
      <c r="AR2047" s="259" t="str">
        <f t="shared" si="444"/>
        <v/>
      </c>
      <c r="AS2047" s="259" t="str">
        <f t="shared" si="445"/>
        <v/>
      </c>
      <c r="AT2047" s="259" t="b">
        <f t="shared" si="439"/>
        <v>0</v>
      </c>
      <c r="AU2047" s="259" t="b">
        <f t="shared" si="440"/>
        <v>0</v>
      </c>
      <c r="AV2047" s="259" t="str">
        <f t="shared" si="441"/>
        <v>-</v>
      </c>
    </row>
    <row r="2048" spans="41:48">
      <c r="AO2048" s="824" t="str">
        <f t="shared" si="438"/>
        <v>No</v>
      </c>
      <c r="AP2048" s="259" t="str">
        <f t="shared" si="443"/>
        <v>blank</v>
      </c>
      <c r="AQ2048" s="542" t="str">
        <f t="shared" si="442"/>
        <v>无定金+无預留客戶</v>
      </c>
      <c r="AR2048" s="259" t="str">
        <f t="shared" si="444"/>
        <v/>
      </c>
      <c r="AS2048" s="259" t="str">
        <f t="shared" si="445"/>
        <v/>
      </c>
      <c r="AT2048" s="259" t="b">
        <f t="shared" si="439"/>
        <v>0</v>
      </c>
      <c r="AU2048" s="259" t="b">
        <f t="shared" si="440"/>
        <v>0</v>
      </c>
      <c r="AV2048" s="259" t="str">
        <f t="shared" si="441"/>
        <v>-</v>
      </c>
    </row>
    <row r="2049" spans="41:48">
      <c r="AO2049" s="824" t="str">
        <f t="shared" si="438"/>
        <v>No</v>
      </c>
      <c r="AP2049" s="259" t="str">
        <f t="shared" si="443"/>
        <v>blank</v>
      </c>
      <c r="AQ2049" s="542" t="str">
        <f t="shared" si="442"/>
        <v>无定金+无預留客戶</v>
      </c>
      <c r="AR2049" s="259" t="str">
        <f t="shared" si="444"/>
        <v/>
      </c>
      <c r="AS2049" s="259" t="str">
        <f t="shared" si="445"/>
        <v/>
      </c>
      <c r="AT2049" s="259" t="b">
        <f t="shared" si="439"/>
        <v>0</v>
      </c>
      <c r="AU2049" s="259" t="b">
        <f t="shared" si="440"/>
        <v>0</v>
      </c>
      <c r="AV2049" s="259" t="str">
        <f t="shared" si="441"/>
        <v>-</v>
      </c>
    </row>
    <row r="2050" spans="41:48">
      <c r="AO2050" s="824" t="str">
        <f t="shared" ref="AO2050:AO2113" si="446">IFERROR(IF(Y2050&lt;&gt;"",Y2050,"No"),"No")</f>
        <v>No</v>
      </c>
      <c r="AP2050" s="259" t="str">
        <f t="shared" si="443"/>
        <v>blank</v>
      </c>
      <c r="AQ2050" s="542" t="str">
        <f t="shared" si="442"/>
        <v>无定金+无預留客戶</v>
      </c>
      <c r="AR2050" s="259" t="str">
        <f t="shared" si="444"/>
        <v/>
      </c>
      <c r="AS2050" s="259" t="str">
        <f t="shared" si="445"/>
        <v/>
      </c>
      <c r="AT2050" s="259" t="b">
        <f t="shared" ref="AT2050:AT2113" si="447">IFERROR(IF(R2050&lt;&gt;"",R2050),"-")</f>
        <v>0</v>
      </c>
      <c r="AU2050" s="259" t="b">
        <f t="shared" ref="AU2050:AU2113" si="448">IFERROR(IF(Q2050&lt;&gt;"",Q2050),"-")</f>
        <v>0</v>
      </c>
      <c r="AV2050" s="259" t="str">
        <f t="shared" ref="AV2050:AV2113" si="449">IF(L2050="","-",TEXT(L2050,"mmm-dd"))</f>
        <v>-</v>
      </c>
    </row>
    <row r="2051" spans="41:48">
      <c r="AO2051" s="824" t="str">
        <f t="shared" si="446"/>
        <v>No</v>
      </c>
      <c r="AP2051" s="259" t="str">
        <f t="shared" si="443"/>
        <v>blank</v>
      </c>
      <c r="AQ2051" s="542" t="str">
        <f t="shared" ref="AQ2051:AQ2114" si="450">IFERROR(IF(AND(AO2051="Yes", AP2051&lt;&gt;"blank"), "有定金+有預留客戶", IF(AND(AO2051="Yes", AP2051="blank"), "有定金+无客戶送貨期", IF(AND(OR(AO2051="No", ISBLANK(AO2051), AO2051="NA"), AP2051&lt;&gt;"blank"), "无定金+有預留客戶", IF(AND(OR(AO2051="No", ISBLANK(AO2051), AO2051="NA"), AP2051="blank"), "无定金+无預留客戶", "")))), "")</f>
        <v>无定金+无預留客戶</v>
      </c>
      <c r="AR2051" s="259" t="str">
        <f t="shared" si="444"/>
        <v/>
      </c>
      <c r="AS2051" s="259" t="str">
        <f t="shared" si="445"/>
        <v/>
      </c>
      <c r="AT2051" s="259" t="b">
        <f t="shared" si="447"/>
        <v>0</v>
      </c>
      <c r="AU2051" s="259" t="b">
        <f t="shared" si="448"/>
        <v>0</v>
      </c>
      <c r="AV2051" s="259" t="str">
        <f t="shared" si="449"/>
        <v>-</v>
      </c>
    </row>
    <row r="2052" spans="41:48">
      <c r="AO2052" s="824" t="str">
        <f t="shared" si="446"/>
        <v>No</v>
      </c>
      <c r="AP2052" s="259" t="str">
        <f t="shared" si="443"/>
        <v>blank</v>
      </c>
      <c r="AQ2052" s="542" t="str">
        <f t="shared" si="450"/>
        <v>无定金+无預留客戶</v>
      </c>
      <c r="AR2052" s="259" t="str">
        <f t="shared" si="444"/>
        <v/>
      </c>
      <c r="AS2052" s="259" t="str">
        <f t="shared" si="445"/>
        <v/>
      </c>
      <c r="AT2052" s="259" t="b">
        <f t="shared" si="447"/>
        <v>0</v>
      </c>
      <c r="AU2052" s="259" t="b">
        <f t="shared" si="448"/>
        <v>0</v>
      </c>
      <c r="AV2052" s="259" t="str">
        <f t="shared" si="449"/>
        <v>-</v>
      </c>
    </row>
    <row r="2053" spans="41:48">
      <c r="AO2053" s="824" t="str">
        <f t="shared" si="446"/>
        <v>No</v>
      </c>
      <c r="AP2053" s="259" t="str">
        <f t="shared" si="443"/>
        <v>blank</v>
      </c>
      <c r="AQ2053" s="542" t="str">
        <f t="shared" si="450"/>
        <v>无定金+无預留客戶</v>
      </c>
      <c r="AR2053" s="259" t="str">
        <f t="shared" si="444"/>
        <v/>
      </c>
      <c r="AS2053" s="259" t="str">
        <f t="shared" si="445"/>
        <v/>
      </c>
      <c r="AT2053" s="259" t="b">
        <f t="shared" si="447"/>
        <v>0</v>
      </c>
      <c r="AU2053" s="259" t="b">
        <f t="shared" si="448"/>
        <v>0</v>
      </c>
      <c r="AV2053" s="259" t="str">
        <f t="shared" si="449"/>
        <v>-</v>
      </c>
    </row>
    <row r="2054" spans="41:48">
      <c r="AO2054" s="824" t="str">
        <f t="shared" si="446"/>
        <v>No</v>
      </c>
      <c r="AP2054" s="259" t="str">
        <f t="shared" ref="AP2054:AP2117" si="451">IFERROR(IF(N2054&lt;&gt;"",N2054,"blank"),"NA")</f>
        <v>blank</v>
      </c>
      <c r="AQ2054" s="542" t="str">
        <f t="shared" si="450"/>
        <v>无定金+无預留客戶</v>
      </c>
      <c r="AR2054" s="259" t="str">
        <f t="shared" si="444"/>
        <v/>
      </c>
      <c r="AS2054" s="259" t="str">
        <f t="shared" si="445"/>
        <v/>
      </c>
      <c r="AT2054" s="259" t="b">
        <f t="shared" si="447"/>
        <v>0</v>
      </c>
      <c r="AU2054" s="259" t="b">
        <f t="shared" si="448"/>
        <v>0</v>
      </c>
      <c r="AV2054" s="259" t="str">
        <f t="shared" si="449"/>
        <v>-</v>
      </c>
    </row>
    <row r="2055" spans="41:48">
      <c r="AO2055" s="824" t="str">
        <f t="shared" si="446"/>
        <v>No</v>
      </c>
      <c r="AP2055" s="259" t="str">
        <f t="shared" si="451"/>
        <v>blank</v>
      </c>
      <c r="AQ2055" s="542" t="str">
        <f t="shared" si="450"/>
        <v>无定金+无預留客戶</v>
      </c>
      <c r="AR2055" s="259" t="str">
        <f t="shared" si="444"/>
        <v/>
      </c>
      <c r="AS2055" s="259" t="str">
        <f t="shared" si="445"/>
        <v/>
      </c>
      <c r="AT2055" s="259" t="b">
        <f t="shared" si="447"/>
        <v>0</v>
      </c>
      <c r="AU2055" s="259" t="b">
        <f t="shared" si="448"/>
        <v>0</v>
      </c>
      <c r="AV2055" s="259" t="str">
        <f t="shared" si="449"/>
        <v>-</v>
      </c>
    </row>
    <row r="2056" spans="41:48">
      <c r="AO2056" s="824" t="str">
        <f t="shared" si="446"/>
        <v>No</v>
      </c>
      <c r="AP2056" s="259" t="str">
        <f t="shared" si="451"/>
        <v>blank</v>
      </c>
      <c r="AQ2056" s="542" t="str">
        <f t="shared" si="450"/>
        <v>无定金+无預留客戶</v>
      </c>
      <c r="AR2056" s="259" t="str">
        <f t="shared" si="444"/>
        <v/>
      </c>
      <c r="AS2056" s="259" t="str">
        <f t="shared" si="445"/>
        <v/>
      </c>
      <c r="AT2056" s="259" t="b">
        <f t="shared" si="447"/>
        <v>0</v>
      </c>
      <c r="AU2056" s="259" t="b">
        <f t="shared" si="448"/>
        <v>0</v>
      </c>
      <c r="AV2056" s="259" t="str">
        <f t="shared" si="449"/>
        <v>-</v>
      </c>
    </row>
    <row r="2057" spans="41:48">
      <c r="AO2057" s="824" t="str">
        <f t="shared" si="446"/>
        <v>No</v>
      </c>
      <c r="AP2057" s="259" t="str">
        <f t="shared" si="451"/>
        <v>blank</v>
      </c>
      <c r="AQ2057" s="542" t="str">
        <f t="shared" si="450"/>
        <v>无定金+无預留客戶</v>
      </c>
      <c r="AR2057" s="259" t="str">
        <f t="shared" si="444"/>
        <v/>
      </c>
      <c r="AS2057" s="259" t="str">
        <f t="shared" si="445"/>
        <v/>
      </c>
      <c r="AT2057" s="259" t="b">
        <f t="shared" si="447"/>
        <v>0</v>
      </c>
      <c r="AU2057" s="259" t="b">
        <f t="shared" si="448"/>
        <v>0</v>
      </c>
      <c r="AV2057" s="259" t="str">
        <f t="shared" si="449"/>
        <v>-</v>
      </c>
    </row>
    <row r="2058" spans="41:48">
      <c r="AO2058" s="824" t="str">
        <f t="shared" si="446"/>
        <v>No</v>
      </c>
      <c r="AP2058" s="259" t="str">
        <f t="shared" si="451"/>
        <v>blank</v>
      </c>
      <c r="AQ2058" s="542" t="str">
        <f t="shared" si="450"/>
        <v>无定金+无預留客戶</v>
      </c>
      <c r="AR2058" s="259" t="str">
        <f t="shared" si="444"/>
        <v/>
      </c>
      <c r="AS2058" s="259" t="str">
        <f t="shared" si="445"/>
        <v/>
      </c>
      <c r="AT2058" s="259" t="b">
        <f t="shared" si="447"/>
        <v>0</v>
      </c>
      <c r="AU2058" s="259" t="b">
        <f t="shared" si="448"/>
        <v>0</v>
      </c>
      <c r="AV2058" s="259" t="str">
        <f t="shared" si="449"/>
        <v>-</v>
      </c>
    </row>
    <row r="2059" spans="41:48">
      <c r="AO2059" s="824" t="str">
        <f t="shared" si="446"/>
        <v>No</v>
      </c>
      <c r="AP2059" s="259" t="str">
        <f t="shared" si="451"/>
        <v>blank</v>
      </c>
      <c r="AQ2059" s="542" t="str">
        <f t="shared" si="450"/>
        <v>无定金+无預留客戶</v>
      </c>
      <c r="AR2059" s="259" t="str">
        <f t="shared" si="444"/>
        <v/>
      </c>
      <c r="AS2059" s="259" t="str">
        <f t="shared" si="445"/>
        <v/>
      </c>
      <c r="AT2059" s="259" t="b">
        <f t="shared" si="447"/>
        <v>0</v>
      </c>
      <c r="AU2059" s="259" t="b">
        <f t="shared" si="448"/>
        <v>0</v>
      </c>
      <c r="AV2059" s="259" t="str">
        <f t="shared" si="449"/>
        <v>-</v>
      </c>
    </row>
    <row r="2060" spans="41:48">
      <c r="AO2060" s="824" t="str">
        <f t="shared" si="446"/>
        <v>No</v>
      </c>
      <c r="AP2060" s="259" t="str">
        <f t="shared" si="451"/>
        <v>blank</v>
      </c>
      <c r="AQ2060" s="542" t="str">
        <f t="shared" si="450"/>
        <v>无定金+无預留客戶</v>
      </c>
      <c r="AR2060" s="259" t="str">
        <f t="shared" si="444"/>
        <v/>
      </c>
      <c r="AS2060" s="259" t="str">
        <f t="shared" si="445"/>
        <v/>
      </c>
      <c r="AT2060" s="259" t="b">
        <f t="shared" si="447"/>
        <v>0</v>
      </c>
      <c r="AU2060" s="259" t="b">
        <f t="shared" si="448"/>
        <v>0</v>
      </c>
      <c r="AV2060" s="259" t="str">
        <f t="shared" si="449"/>
        <v>-</v>
      </c>
    </row>
    <row r="2061" spans="41:48">
      <c r="AO2061" s="824" t="str">
        <f t="shared" si="446"/>
        <v>No</v>
      </c>
      <c r="AP2061" s="259" t="str">
        <f t="shared" si="451"/>
        <v>blank</v>
      </c>
      <c r="AQ2061" s="542" t="str">
        <f t="shared" si="450"/>
        <v>无定金+无預留客戶</v>
      </c>
      <c r="AR2061" s="259" t="str">
        <f t="shared" si="444"/>
        <v/>
      </c>
      <c r="AS2061" s="259" t="str">
        <f t="shared" si="445"/>
        <v/>
      </c>
      <c r="AT2061" s="259" t="b">
        <f t="shared" si="447"/>
        <v>0</v>
      </c>
      <c r="AU2061" s="259" t="b">
        <f t="shared" si="448"/>
        <v>0</v>
      </c>
      <c r="AV2061" s="259" t="str">
        <f t="shared" si="449"/>
        <v>-</v>
      </c>
    </row>
    <row r="2062" spans="41:48">
      <c r="AO2062" s="824" t="str">
        <f t="shared" si="446"/>
        <v>No</v>
      </c>
      <c r="AP2062" s="259" t="str">
        <f t="shared" si="451"/>
        <v>blank</v>
      </c>
      <c r="AQ2062" s="542" t="str">
        <f t="shared" si="450"/>
        <v>无定金+无預留客戶</v>
      </c>
      <c r="AR2062" s="259" t="str">
        <f t="shared" si="444"/>
        <v/>
      </c>
      <c r="AS2062" s="259" t="str">
        <f t="shared" si="445"/>
        <v/>
      </c>
      <c r="AT2062" s="259" t="b">
        <f t="shared" si="447"/>
        <v>0</v>
      </c>
      <c r="AU2062" s="259" t="b">
        <f t="shared" si="448"/>
        <v>0</v>
      </c>
      <c r="AV2062" s="259" t="str">
        <f t="shared" si="449"/>
        <v>-</v>
      </c>
    </row>
    <row r="2063" spans="41:48">
      <c r="AO2063" s="824" t="str">
        <f t="shared" si="446"/>
        <v>No</v>
      </c>
      <c r="AP2063" s="259" t="str">
        <f t="shared" si="451"/>
        <v>blank</v>
      </c>
      <c r="AQ2063" s="542" t="str">
        <f t="shared" si="450"/>
        <v>无定金+无預留客戶</v>
      </c>
      <c r="AR2063" s="259" t="str">
        <f t="shared" si="444"/>
        <v/>
      </c>
      <c r="AS2063" s="259" t="str">
        <f t="shared" si="445"/>
        <v/>
      </c>
      <c r="AT2063" s="259" t="b">
        <f t="shared" si="447"/>
        <v>0</v>
      </c>
      <c r="AU2063" s="259" t="b">
        <f t="shared" si="448"/>
        <v>0</v>
      </c>
      <c r="AV2063" s="259" t="str">
        <f t="shared" si="449"/>
        <v>-</v>
      </c>
    </row>
    <row r="2064" spans="41:48">
      <c r="AO2064" s="824" t="str">
        <f t="shared" si="446"/>
        <v>No</v>
      </c>
      <c r="AP2064" s="259" t="str">
        <f t="shared" si="451"/>
        <v>blank</v>
      </c>
      <c r="AQ2064" s="542" t="str">
        <f t="shared" si="450"/>
        <v>无定金+无預留客戶</v>
      </c>
      <c r="AR2064" s="259" t="str">
        <f t="shared" si="444"/>
        <v/>
      </c>
      <c r="AS2064" s="259" t="str">
        <f t="shared" si="445"/>
        <v/>
      </c>
      <c r="AT2064" s="259" t="b">
        <f t="shared" si="447"/>
        <v>0</v>
      </c>
      <c r="AU2064" s="259" t="b">
        <f t="shared" si="448"/>
        <v>0</v>
      </c>
      <c r="AV2064" s="259" t="str">
        <f t="shared" si="449"/>
        <v>-</v>
      </c>
    </row>
    <row r="2065" spans="41:48">
      <c r="AO2065" s="824" t="str">
        <f t="shared" si="446"/>
        <v>No</v>
      </c>
      <c r="AP2065" s="259" t="str">
        <f t="shared" si="451"/>
        <v>blank</v>
      </c>
      <c r="AQ2065" s="542" t="str">
        <f t="shared" si="450"/>
        <v>无定金+无預留客戶</v>
      </c>
      <c r="AR2065" s="259" t="str">
        <f t="shared" si="444"/>
        <v/>
      </c>
      <c r="AS2065" s="259" t="str">
        <f t="shared" si="445"/>
        <v/>
      </c>
      <c r="AT2065" s="259" t="b">
        <f t="shared" si="447"/>
        <v>0</v>
      </c>
      <c r="AU2065" s="259" t="b">
        <f t="shared" si="448"/>
        <v>0</v>
      </c>
      <c r="AV2065" s="259" t="str">
        <f t="shared" si="449"/>
        <v>-</v>
      </c>
    </row>
    <row r="2066" spans="41:48">
      <c r="AO2066" s="824" t="str">
        <f t="shared" si="446"/>
        <v>No</v>
      </c>
      <c r="AP2066" s="259" t="str">
        <f t="shared" si="451"/>
        <v>blank</v>
      </c>
      <c r="AQ2066" s="542" t="str">
        <f t="shared" si="450"/>
        <v>无定金+无預留客戶</v>
      </c>
      <c r="AR2066" s="259" t="str">
        <f t="shared" si="444"/>
        <v/>
      </c>
      <c r="AS2066" s="259" t="str">
        <f t="shared" si="445"/>
        <v/>
      </c>
      <c r="AT2066" s="259" t="b">
        <f t="shared" si="447"/>
        <v>0</v>
      </c>
      <c r="AU2066" s="259" t="b">
        <f t="shared" si="448"/>
        <v>0</v>
      </c>
      <c r="AV2066" s="259" t="str">
        <f t="shared" si="449"/>
        <v>-</v>
      </c>
    </row>
    <row r="2067" spans="41:48">
      <c r="AO2067" s="824" t="str">
        <f t="shared" si="446"/>
        <v>No</v>
      </c>
      <c r="AP2067" s="259" t="str">
        <f t="shared" si="451"/>
        <v>blank</v>
      </c>
      <c r="AQ2067" s="542" t="str">
        <f t="shared" si="450"/>
        <v>无定金+无預留客戶</v>
      </c>
      <c r="AR2067" s="259" t="str">
        <f t="shared" si="444"/>
        <v/>
      </c>
      <c r="AS2067" s="259" t="str">
        <f t="shared" si="445"/>
        <v/>
      </c>
      <c r="AT2067" s="259" t="b">
        <f t="shared" si="447"/>
        <v>0</v>
      </c>
      <c r="AU2067" s="259" t="b">
        <f t="shared" si="448"/>
        <v>0</v>
      </c>
      <c r="AV2067" s="259" t="str">
        <f t="shared" si="449"/>
        <v>-</v>
      </c>
    </row>
    <row r="2068" spans="41:48">
      <c r="AO2068" s="824" t="str">
        <f t="shared" si="446"/>
        <v>No</v>
      </c>
      <c r="AP2068" s="259" t="str">
        <f t="shared" si="451"/>
        <v>blank</v>
      </c>
      <c r="AQ2068" s="542" t="str">
        <f t="shared" si="450"/>
        <v>无定金+无預留客戶</v>
      </c>
      <c r="AR2068" s="259" t="str">
        <f t="shared" si="444"/>
        <v/>
      </c>
      <c r="AS2068" s="259" t="str">
        <f t="shared" si="445"/>
        <v/>
      </c>
      <c r="AT2068" s="259" t="b">
        <f t="shared" si="447"/>
        <v>0</v>
      </c>
      <c r="AU2068" s="259" t="b">
        <f t="shared" si="448"/>
        <v>0</v>
      </c>
      <c r="AV2068" s="259" t="str">
        <f t="shared" si="449"/>
        <v>-</v>
      </c>
    </row>
    <row r="2069" spans="41:48">
      <c r="AO2069" s="824" t="str">
        <f t="shared" si="446"/>
        <v>No</v>
      </c>
      <c r="AP2069" s="259" t="str">
        <f t="shared" si="451"/>
        <v>blank</v>
      </c>
      <c r="AQ2069" s="542" t="str">
        <f t="shared" si="450"/>
        <v>无定金+无預留客戶</v>
      </c>
      <c r="AR2069" s="259" t="str">
        <f t="shared" si="444"/>
        <v/>
      </c>
      <c r="AS2069" s="259" t="str">
        <f t="shared" si="445"/>
        <v/>
      </c>
      <c r="AT2069" s="259" t="b">
        <f t="shared" si="447"/>
        <v>0</v>
      </c>
      <c r="AU2069" s="259" t="b">
        <f t="shared" si="448"/>
        <v>0</v>
      </c>
      <c r="AV2069" s="259" t="str">
        <f t="shared" si="449"/>
        <v>-</v>
      </c>
    </row>
    <row r="2070" spans="41:48">
      <c r="AO2070" s="824" t="str">
        <f t="shared" si="446"/>
        <v>No</v>
      </c>
      <c r="AP2070" s="259" t="str">
        <f t="shared" si="451"/>
        <v>blank</v>
      </c>
      <c r="AQ2070" s="542" t="str">
        <f t="shared" si="450"/>
        <v>无定金+无預留客戶</v>
      </c>
      <c r="AR2070" s="259" t="str">
        <f t="shared" si="444"/>
        <v/>
      </c>
      <c r="AS2070" s="259" t="str">
        <f t="shared" si="445"/>
        <v/>
      </c>
      <c r="AT2070" s="259" t="b">
        <f t="shared" si="447"/>
        <v>0</v>
      </c>
      <c r="AU2070" s="259" t="b">
        <f t="shared" si="448"/>
        <v>0</v>
      </c>
      <c r="AV2070" s="259" t="str">
        <f t="shared" si="449"/>
        <v>-</v>
      </c>
    </row>
    <row r="2071" spans="41:48">
      <c r="AO2071" s="824" t="str">
        <f t="shared" si="446"/>
        <v>No</v>
      </c>
      <c r="AP2071" s="259" t="str">
        <f t="shared" si="451"/>
        <v>blank</v>
      </c>
      <c r="AQ2071" s="542" t="str">
        <f t="shared" si="450"/>
        <v>无定金+无預留客戶</v>
      </c>
      <c r="AR2071" s="259" t="str">
        <f t="shared" si="444"/>
        <v/>
      </c>
      <c r="AS2071" s="259" t="str">
        <f t="shared" si="445"/>
        <v/>
      </c>
      <c r="AT2071" s="259" t="b">
        <f t="shared" si="447"/>
        <v>0</v>
      </c>
      <c r="AU2071" s="259" t="b">
        <f t="shared" si="448"/>
        <v>0</v>
      </c>
      <c r="AV2071" s="259" t="str">
        <f t="shared" si="449"/>
        <v>-</v>
      </c>
    </row>
    <row r="2072" spans="41:48">
      <c r="AO2072" s="824" t="str">
        <f t="shared" si="446"/>
        <v>No</v>
      </c>
      <c r="AP2072" s="259" t="str">
        <f t="shared" si="451"/>
        <v>blank</v>
      </c>
      <c r="AQ2072" s="542" t="str">
        <f t="shared" si="450"/>
        <v>无定金+无預留客戶</v>
      </c>
      <c r="AR2072" s="259" t="str">
        <f t="shared" si="444"/>
        <v/>
      </c>
      <c r="AS2072" s="259" t="str">
        <f t="shared" si="445"/>
        <v/>
      </c>
      <c r="AT2072" s="259" t="b">
        <f t="shared" si="447"/>
        <v>0</v>
      </c>
      <c r="AU2072" s="259" t="b">
        <f t="shared" si="448"/>
        <v>0</v>
      </c>
      <c r="AV2072" s="259" t="str">
        <f t="shared" si="449"/>
        <v>-</v>
      </c>
    </row>
    <row r="2073" spans="41:48">
      <c r="AO2073" s="824" t="str">
        <f t="shared" si="446"/>
        <v>No</v>
      </c>
      <c r="AP2073" s="259" t="str">
        <f t="shared" si="451"/>
        <v>blank</v>
      </c>
      <c r="AQ2073" s="542" t="str">
        <f t="shared" si="450"/>
        <v>无定金+无預留客戶</v>
      </c>
      <c r="AR2073" s="259" t="str">
        <f t="shared" si="444"/>
        <v/>
      </c>
      <c r="AS2073" s="259" t="str">
        <f t="shared" si="445"/>
        <v/>
      </c>
      <c r="AT2073" s="259" t="b">
        <f t="shared" si="447"/>
        <v>0</v>
      </c>
      <c r="AU2073" s="259" t="b">
        <f t="shared" si="448"/>
        <v>0</v>
      </c>
      <c r="AV2073" s="259" t="str">
        <f t="shared" si="449"/>
        <v>-</v>
      </c>
    </row>
    <row r="2074" spans="41:48">
      <c r="AO2074" s="824" t="str">
        <f t="shared" si="446"/>
        <v>No</v>
      </c>
      <c r="AP2074" s="259" t="str">
        <f t="shared" si="451"/>
        <v>blank</v>
      </c>
      <c r="AQ2074" s="542" t="str">
        <f t="shared" si="450"/>
        <v>无定金+无預留客戶</v>
      </c>
      <c r="AR2074" s="259" t="str">
        <f t="shared" si="444"/>
        <v/>
      </c>
      <c r="AS2074" s="259" t="str">
        <f t="shared" si="445"/>
        <v/>
      </c>
      <c r="AT2074" s="259" t="b">
        <f t="shared" si="447"/>
        <v>0</v>
      </c>
      <c r="AU2074" s="259" t="b">
        <f t="shared" si="448"/>
        <v>0</v>
      </c>
      <c r="AV2074" s="259" t="str">
        <f t="shared" si="449"/>
        <v>-</v>
      </c>
    </row>
    <row r="2075" spans="41:48">
      <c r="AO2075" s="824" t="str">
        <f t="shared" si="446"/>
        <v>No</v>
      </c>
      <c r="AP2075" s="259" t="str">
        <f t="shared" si="451"/>
        <v>blank</v>
      </c>
      <c r="AQ2075" s="542" t="str">
        <f t="shared" si="450"/>
        <v>无定金+无預留客戶</v>
      </c>
      <c r="AR2075" s="259" t="str">
        <f t="shared" si="444"/>
        <v/>
      </c>
      <c r="AS2075" s="259" t="str">
        <f t="shared" si="445"/>
        <v/>
      </c>
      <c r="AT2075" s="259" t="b">
        <f t="shared" si="447"/>
        <v>0</v>
      </c>
      <c r="AU2075" s="259" t="b">
        <f t="shared" si="448"/>
        <v>0</v>
      </c>
      <c r="AV2075" s="259" t="str">
        <f t="shared" si="449"/>
        <v>-</v>
      </c>
    </row>
    <row r="2076" spans="41:48">
      <c r="AO2076" s="824" t="str">
        <f t="shared" si="446"/>
        <v>No</v>
      </c>
      <c r="AP2076" s="259" t="str">
        <f t="shared" si="451"/>
        <v>blank</v>
      </c>
      <c r="AQ2076" s="542" t="str">
        <f t="shared" si="450"/>
        <v>无定金+无預留客戶</v>
      </c>
      <c r="AR2076" s="259" t="str">
        <f t="shared" si="444"/>
        <v/>
      </c>
      <c r="AS2076" s="259" t="str">
        <f t="shared" si="445"/>
        <v/>
      </c>
      <c r="AT2076" s="259" t="b">
        <f t="shared" si="447"/>
        <v>0</v>
      </c>
      <c r="AU2076" s="259" t="b">
        <f t="shared" si="448"/>
        <v>0</v>
      </c>
      <c r="AV2076" s="259" t="str">
        <f t="shared" si="449"/>
        <v>-</v>
      </c>
    </row>
    <row r="2077" spans="41:48">
      <c r="AO2077" s="824" t="str">
        <f t="shared" si="446"/>
        <v>No</v>
      </c>
      <c r="AP2077" s="259" t="str">
        <f t="shared" si="451"/>
        <v>blank</v>
      </c>
      <c r="AQ2077" s="542" t="str">
        <f t="shared" si="450"/>
        <v>无定金+无預留客戶</v>
      </c>
      <c r="AR2077" s="259" t="str">
        <f t="shared" si="444"/>
        <v/>
      </c>
      <c r="AS2077" s="259" t="str">
        <f t="shared" si="445"/>
        <v/>
      </c>
      <c r="AT2077" s="259" t="b">
        <f t="shared" si="447"/>
        <v>0</v>
      </c>
      <c r="AU2077" s="259" t="b">
        <f t="shared" si="448"/>
        <v>0</v>
      </c>
      <c r="AV2077" s="259" t="str">
        <f t="shared" si="449"/>
        <v>-</v>
      </c>
    </row>
    <row r="2078" spans="41:48">
      <c r="AO2078" s="824" t="str">
        <f t="shared" si="446"/>
        <v>No</v>
      </c>
      <c r="AP2078" s="259" t="str">
        <f t="shared" si="451"/>
        <v>blank</v>
      </c>
      <c r="AQ2078" s="542" t="str">
        <f t="shared" si="450"/>
        <v>无定金+无預留客戶</v>
      </c>
      <c r="AR2078" s="259" t="str">
        <f t="shared" si="444"/>
        <v/>
      </c>
      <c r="AS2078" s="259" t="str">
        <f t="shared" si="445"/>
        <v/>
      </c>
      <c r="AT2078" s="259" t="b">
        <f t="shared" si="447"/>
        <v>0</v>
      </c>
      <c r="AU2078" s="259" t="b">
        <f t="shared" si="448"/>
        <v>0</v>
      </c>
      <c r="AV2078" s="259" t="str">
        <f t="shared" si="449"/>
        <v>-</v>
      </c>
    </row>
    <row r="2079" spans="41:48">
      <c r="AO2079" s="824" t="str">
        <f t="shared" si="446"/>
        <v>No</v>
      </c>
      <c r="AP2079" s="259" t="str">
        <f t="shared" si="451"/>
        <v>blank</v>
      </c>
      <c r="AQ2079" s="542" t="str">
        <f t="shared" si="450"/>
        <v>无定金+无預留客戶</v>
      </c>
      <c r="AR2079" s="259" t="str">
        <f t="shared" si="444"/>
        <v/>
      </c>
      <c r="AS2079" s="259" t="str">
        <f t="shared" si="445"/>
        <v/>
      </c>
      <c r="AT2079" s="259" t="b">
        <f t="shared" si="447"/>
        <v>0</v>
      </c>
      <c r="AU2079" s="259" t="b">
        <f t="shared" si="448"/>
        <v>0</v>
      </c>
      <c r="AV2079" s="259" t="str">
        <f t="shared" si="449"/>
        <v>-</v>
      </c>
    </row>
    <row r="2080" spans="41:48">
      <c r="AO2080" s="824" t="str">
        <f t="shared" si="446"/>
        <v>No</v>
      </c>
      <c r="AP2080" s="259" t="str">
        <f t="shared" si="451"/>
        <v>blank</v>
      </c>
      <c r="AQ2080" s="542" t="str">
        <f t="shared" si="450"/>
        <v>无定金+无預留客戶</v>
      </c>
      <c r="AR2080" s="259" t="str">
        <f t="shared" si="444"/>
        <v/>
      </c>
      <c r="AS2080" s="259" t="str">
        <f t="shared" si="445"/>
        <v/>
      </c>
      <c r="AT2080" s="259" t="b">
        <f t="shared" si="447"/>
        <v>0</v>
      </c>
      <c r="AU2080" s="259" t="b">
        <f t="shared" si="448"/>
        <v>0</v>
      </c>
      <c r="AV2080" s="259" t="str">
        <f t="shared" si="449"/>
        <v>-</v>
      </c>
    </row>
    <row r="2081" spans="41:48">
      <c r="AO2081" s="824" t="str">
        <f t="shared" si="446"/>
        <v>No</v>
      </c>
      <c r="AP2081" s="259" t="str">
        <f t="shared" si="451"/>
        <v>blank</v>
      </c>
      <c r="AQ2081" s="542" t="str">
        <f t="shared" si="450"/>
        <v>无定金+无預留客戶</v>
      </c>
      <c r="AR2081" s="259" t="str">
        <f t="shared" si="444"/>
        <v/>
      </c>
      <c r="AS2081" s="259" t="str">
        <f t="shared" si="445"/>
        <v/>
      </c>
      <c r="AT2081" s="259" t="b">
        <f t="shared" si="447"/>
        <v>0</v>
      </c>
      <c r="AU2081" s="259" t="b">
        <f t="shared" si="448"/>
        <v>0</v>
      </c>
      <c r="AV2081" s="259" t="str">
        <f t="shared" si="449"/>
        <v>-</v>
      </c>
    </row>
    <row r="2082" spans="41:48">
      <c r="AO2082" s="824" t="str">
        <f t="shared" si="446"/>
        <v>No</v>
      </c>
      <c r="AP2082" s="259" t="str">
        <f t="shared" si="451"/>
        <v>blank</v>
      </c>
      <c r="AQ2082" s="542" t="str">
        <f t="shared" si="450"/>
        <v>无定金+无預留客戶</v>
      </c>
      <c r="AR2082" s="259" t="str">
        <f t="shared" si="444"/>
        <v/>
      </c>
      <c r="AS2082" s="259" t="str">
        <f t="shared" si="445"/>
        <v/>
      </c>
      <c r="AT2082" s="259" t="b">
        <f t="shared" si="447"/>
        <v>0</v>
      </c>
      <c r="AU2082" s="259" t="b">
        <f t="shared" si="448"/>
        <v>0</v>
      </c>
      <c r="AV2082" s="259" t="str">
        <f t="shared" si="449"/>
        <v>-</v>
      </c>
    </row>
    <row r="2083" spans="41:48">
      <c r="AO2083" s="824" t="str">
        <f t="shared" si="446"/>
        <v>No</v>
      </c>
      <c r="AP2083" s="259" t="str">
        <f t="shared" si="451"/>
        <v>blank</v>
      </c>
      <c r="AQ2083" s="542" t="str">
        <f t="shared" si="450"/>
        <v>无定金+无預留客戶</v>
      </c>
      <c r="AR2083" s="259" t="str">
        <f t="shared" si="444"/>
        <v/>
      </c>
      <c r="AS2083" s="259" t="str">
        <f t="shared" si="445"/>
        <v/>
      </c>
      <c r="AT2083" s="259" t="b">
        <f t="shared" si="447"/>
        <v>0</v>
      </c>
      <c r="AU2083" s="259" t="b">
        <f t="shared" si="448"/>
        <v>0</v>
      </c>
      <c r="AV2083" s="259" t="str">
        <f t="shared" si="449"/>
        <v>-</v>
      </c>
    </row>
    <row r="2084" spans="41:48">
      <c r="AO2084" s="824" t="str">
        <f t="shared" si="446"/>
        <v>No</v>
      </c>
      <c r="AP2084" s="259" t="str">
        <f t="shared" si="451"/>
        <v>blank</v>
      </c>
      <c r="AQ2084" s="542" t="str">
        <f t="shared" si="450"/>
        <v>无定金+无預留客戶</v>
      </c>
      <c r="AR2084" s="259" t="str">
        <f t="shared" si="444"/>
        <v/>
      </c>
      <c r="AS2084" s="259" t="str">
        <f t="shared" si="445"/>
        <v/>
      </c>
      <c r="AT2084" s="259" t="b">
        <f t="shared" si="447"/>
        <v>0</v>
      </c>
      <c r="AU2084" s="259" t="b">
        <f t="shared" si="448"/>
        <v>0</v>
      </c>
      <c r="AV2084" s="259" t="str">
        <f t="shared" si="449"/>
        <v>-</v>
      </c>
    </row>
    <row r="2085" spans="41:48">
      <c r="AO2085" s="824" t="str">
        <f t="shared" si="446"/>
        <v>No</v>
      </c>
      <c r="AP2085" s="259" t="str">
        <f t="shared" si="451"/>
        <v>blank</v>
      </c>
      <c r="AQ2085" s="542" t="str">
        <f t="shared" si="450"/>
        <v>无定金+无預留客戶</v>
      </c>
      <c r="AR2085" s="259" t="str">
        <f t="shared" si="444"/>
        <v/>
      </c>
      <c r="AS2085" s="259" t="str">
        <f t="shared" si="445"/>
        <v/>
      </c>
      <c r="AT2085" s="259" t="b">
        <f t="shared" si="447"/>
        <v>0</v>
      </c>
      <c r="AU2085" s="259" t="b">
        <f t="shared" si="448"/>
        <v>0</v>
      </c>
      <c r="AV2085" s="259" t="str">
        <f t="shared" si="449"/>
        <v>-</v>
      </c>
    </row>
    <row r="2086" spans="41:48">
      <c r="AO2086" s="824" t="str">
        <f t="shared" si="446"/>
        <v>No</v>
      </c>
      <c r="AP2086" s="259" t="str">
        <f t="shared" si="451"/>
        <v>blank</v>
      </c>
      <c r="AQ2086" s="542" t="str">
        <f t="shared" si="450"/>
        <v>无定金+无預留客戶</v>
      </c>
      <c r="AR2086" s="259" t="str">
        <f t="shared" si="444"/>
        <v/>
      </c>
      <c r="AS2086" s="259" t="str">
        <f t="shared" si="445"/>
        <v/>
      </c>
      <c r="AT2086" s="259" t="b">
        <f t="shared" si="447"/>
        <v>0</v>
      </c>
      <c r="AU2086" s="259" t="b">
        <f t="shared" si="448"/>
        <v>0</v>
      </c>
      <c r="AV2086" s="259" t="str">
        <f t="shared" si="449"/>
        <v>-</v>
      </c>
    </row>
    <row r="2087" spans="41:48">
      <c r="AO2087" s="824" t="str">
        <f t="shared" si="446"/>
        <v>No</v>
      </c>
      <c r="AP2087" s="259" t="str">
        <f t="shared" si="451"/>
        <v>blank</v>
      </c>
      <c r="AQ2087" s="542" t="str">
        <f t="shared" si="450"/>
        <v>无定金+无預留客戶</v>
      </c>
      <c r="AR2087" s="259" t="str">
        <f t="shared" si="444"/>
        <v/>
      </c>
      <c r="AS2087" s="259" t="str">
        <f t="shared" si="445"/>
        <v/>
      </c>
      <c r="AT2087" s="259" t="b">
        <f t="shared" si="447"/>
        <v>0</v>
      </c>
      <c r="AU2087" s="259" t="b">
        <f t="shared" si="448"/>
        <v>0</v>
      </c>
      <c r="AV2087" s="259" t="str">
        <f t="shared" si="449"/>
        <v>-</v>
      </c>
    </row>
    <row r="2088" spans="41:48">
      <c r="AO2088" s="824" t="str">
        <f t="shared" si="446"/>
        <v>No</v>
      </c>
      <c r="AP2088" s="259" t="str">
        <f t="shared" si="451"/>
        <v>blank</v>
      </c>
      <c r="AQ2088" s="542" t="str">
        <f t="shared" si="450"/>
        <v>无定金+无預留客戶</v>
      </c>
      <c r="AR2088" s="259" t="str">
        <f t="shared" si="444"/>
        <v/>
      </c>
      <c r="AS2088" s="259" t="str">
        <f t="shared" si="445"/>
        <v/>
      </c>
      <c r="AT2088" s="259" t="b">
        <f t="shared" si="447"/>
        <v>0</v>
      </c>
      <c r="AU2088" s="259" t="b">
        <f t="shared" si="448"/>
        <v>0</v>
      </c>
      <c r="AV2088" s="259" t="str">
        <f t="shared" si="449"/>
        <v>-</v>
      </c>
    </row>
    <row r="2089" spans="41:48">
      <c r="AO2089" s="824" t="str">
        <f t="shared" si="446"/>
        <v>No</v>
      </c>
      <c r="AP2089" s="259" t="str">
        <f t="shared" si="451"/>
        <v>blank</v>
      </c>
      <c r="AQ2089" s="542" t="str">
        <f t="shared" si="450"/>
        <v>无定金+无預留客戶</v>
      </c>
      <c r="AR2089" s="259" t="str">
        <f t="shared" si="444"/>
        <v/>
      </c>
      <c r="AS2089" s="259" t="str">
        <f t="shared" si="445"/>
        <v/>
      </c>
      <c r="AT2089" s="259" t="b">
        <f t="shared" si="447"/>
        <v>0</v>
      </c>
      <c r="AU2089" s="259" t="b">
        <f t="shared" si="448"/>
        <v>0</v>
      </c>
      <c r="AV2089" s="259" t="str">
        <f t="shared" si="449"/>
        <v>-</v>
      </c>
    </row>
    <row r="2090" spans="41:48">
      <c r="AO2090" s="824" t="str">
        <f t="shared" si="446"/>
        <v>No</v>
      </c>
      <c r="AP2090" s="259" t="str">
        <f t="shared" si="451"/>
        <v>blank</v>
      </c>
      <c r="AQ2090" s="542" t="str">
        <f t="shared" si="450"/>
        <v>无定金+无預留客戶</v>
      </c>
      <c r="AR2090" s="259" t="str">
        <f t="shared" si="444"/>
        <v/>
      </c>
      <c r="AS2090" s="259" t="str">
        <f t="shared" si="445"/>
        <v/>
      </c>
      <c r="AT2090" s="259" t="b">
        <f t="shared" si="447"/>
        <v>0</v>
      </c>
      <c r="AU2090" s="259" t="b">
        <f t="shared" si="448"/>
        <v>0</v>
      </c>
      <c r="AV2090" s="259" t="str">
        <f t="shared" si="449"/>
        <v>-</v>
      </c>
    </row>
    <row r="2091" spans="41:48">
      <c r="AO2091" s="824" t="str">
        <f t="shared" si="446"/>
        <v>No</v>
      </c>
      <c r="AP2091" s="259" t="str">
        <f t="shared" si="451"/>
        <v>blank</v>
      </c>
      <c r="AQ2091" s="542" t="str">
        <f t="shared" si="450"/>
        <v>无定金+无預留客戶</v>
      </c>
      <c r="AR2091" s="259" t="str">
        <f t="shared" si="444"/>
        <v/>
      </c>
      <c r="AS2091" s="259" t="str">
        <f t="shared" si="445"/>
        <v/>
      </c>
      <c r="AT2091" s="259" t="b">
        <f t="shared" si="447"/>
        <v>0</v>
      </c>
      <c r="AU2091" s="259" t="b">
        <f t="shared" si="448"/>
        <v>0</v>
      </c>
      <c r="AV2091" s="259" t="str">
        <f t="shared" si="449"/>
        <v>-</v>
      </c>
    </row>
    <row r="2092" spans="41:48">
      <c r="AO2092" s="824" t="str">
        <f t="shared" si="446"/>
        <v>No</v>
      </c>
      <c r="AP2092" s="259" t="str">
        <f t="shared" si="451"/>
        <v>blank</v>
      </c>
      <c r="AQ2092" s="542" t="str">
        <f t="shared" si="450"/>
        <v>无定金+无預留客戶</v>
      </c>
      <c r="AR2092" s="259" t="str">
        <f t="shared" si="444"/>
        <v/>
      </c>
      <c r="AS2092" s="259" t="str">
        <f t="shared" si="445"/>
        <v/>
      </c>
      <c r="AT2092" s="259" t="b">
        <f t="shared" si="447"/>
        <v>0</v>
      </c>
      <c r="AU2092" s="259" t="b">
        <f t="shared" si="448"/>
        <v>0</v>
      </c>
      <c r="AV2092" s="259" t="str">
        <f t="shared" si="449"/>
        <v>-</v>
      </c>
    </row>
    <row r="2093" spans="41:48">
      <c r="AO2093" s="824" t="str">
        <f t="shared" si="446"/>
        <v>No</v>
      </c>
      <c r="AP2093" s="259" t="str">
        <f t="shared" si="451"/>
        <v>blank</v>
      </c>
      <c r="AQ2093" s="542" t="str">
        <f t="shared" si="450"/>
        <v>无定金+无預留客戶</v>
      </c>
      <c r="AR2093" s="259" t="str">
        <f t="shared" si="444"/>
        <v/>
      </c>
      <c r="AS2093" s="259" t="str">
        <f t="shared" si="445"/>
        <v/>
      </c>
      <c r="AT2093" s="259" t="b">
        <f t="shared" si="447"/>
        <v>0</v>
      </c>
      <c r="AU2093" s="259" t="b">
        <f t="shared" si="448"/>
        <v>0</v>
      </c>
      <c r="AV2093" s="259" t="str">
        <f t="shared" si="449"/>
        <v>-</v>
      </c>
    </row>
    <row r="2094" spans="41:48">
      <c r="AO2094" s="824" t="str">
        <f t="shared" si="446"/>
        <v>No</v>
      </c>
      <c r="AP2094" s="259" t="str">
        <f t="shared" si="451"/>
        <v>blank</v>
      </c>
      <c r="AQ2094" s="542" t="str">
        <f t="shared" si="450"/>
        <v>无定金+无預留客戶</v>
      </c>
      <c r="AR2094" s="259" t="str">
        <f t="shared" si="444"/>
        <v/>
      </c>
      <c r="AS2094" s="259" t="str">
        <f t="shared" si="445"/>
        <v/>
      </c>
      <c r="AT2094" s="259" t="b">
        <f t="shared" si="447"/>
        <v>0</v>
      </c>
      <c r="AU2094" s="259" t="b">
        <f t="shared" si="448"/>
        <v>0</v>
      </c>
      <c r="AV2094" s="259" t="str">
        <f t="shared" si="449"/>
        <v>-</v>
      </c>
    </row>
    <row r="2095" spans="41:48">
      <c r="AO2095" s="824" t="str">
        <f t="shared" si="446"/>
        <v>No</v>
      </c>
      <c r="AP2095" s="259" t="str">
        <f t="shared" si="451"/>
        <v>blank</v>
      </c>
      <c r="AQ2095" s="542" t="str">
        <f t="shared" si="450"/>
        <v>无定金+无預留客戶</v>
      </c>
      <c r="AR2095" s="259" t="str">
        <f t="shared" si="444"/>
        <v/>
      </c>
      <c r="AS2095" s="259" t="str">
        <f t="shared" si="445"/>
        <v/>
      </c>
      <c r="AT2095" s="259" t="b">
        <f t="shared" si="447"/>
        <v>0</v>
      </c>
      <c r="AU2095" s="259" t="b">
        <f t="shared" si="448"/>
        <v>0</v>
      </c>
      <c r="AV2095" s="259" t="str">
        <f t="shared" si="449"/>
        <v>-</v>
      </c>
    </row>
    <row r="2096" spans="41:48">
      <c r="AO2096" s="824" t="str">
        <f t="shared" si="446"/>
        <v>No</v>
      </c>
      <c r="AP2096" s="259" t="str">
        <f t="shared" si="451"/>
        <v>blank</v>
      </c>
      <c r="AQ2096" s="542" t="str">
        <f t="shared" si="450"/>
        <v>无定金+无預留客戶</v>
      </c>
      <c r="AR2096" s="259" t="str">
        <f t="shared" si="444"/>
        <v/>
      </c>
      <c r="AS2096" s="259" t="str">
        <f t="shared" si="445"/>
        <v/>
      </c>
      <c r="AT2096" s="259" t="b">
        <f t="shared" si="447"/>
        <v>0</v>
      </c>
      <c r="AU2096" s="259" t="b">
        <f t="shared" si="448"/>
        <v>0</v>
      </c>
      <c r="AV2096" s="259" t="str">
        <f t="shared" si="449"/>
        <v>-</v>
      </c>
    </row>
    <row r="2097" spans="41:48">
      <c r="AO2097" s="824" t="str">
        <f t="shared" si="446"/>
        <v>No</v>
      </c>
      <c r="AP2097" s="259" t="str">
        <f t="shared" si="451"/>
        <v>blank</v>
      </c>
      <c r="AQ2097" s="542" t="str">
        <f t="shared" si="450"/>
        <v>无定金+无預留客戶</v>
      </c>
      <c r="AR2097" s="259" t="str">
        <f t="shared" si="444"/>
        <v/>
      </c>
      <c r="AS2097" s="259" t="str">
        <f t="shared" si="445"/>
        <v/>
      </c>
      <c r="AT2097" s="259" t="b">
        <f t="shared" si="447"/>
        <v>0</v>
      </c>
      <c r="AU2097" s="259" t="b">
        <f t="shared" si="448"/>
        <v>0</v>
      </c>
      <c r="AV2097" s="259" t="str">
        <f t="shared" si="449"/>
        <v>-</v>
      </c>
    </row>
    <row r="2098" spans="41:48">
      <c r="AO2098" s="824" t="str">
        <f t="shared" si="446"/>
        <v>No</v>
      </c>
      <c r="AP2098" s="259" t="str">
        <f t="shared" si="451"/>
        <v>blank</v>
      </c>
      <c r="AQ2098" s="542" t="str">
        <f t="shared" si="450"/>
        <v>无定金+无預留客戶</v>
      </c>
      <c r="AR2098" s="259" t="str">
        <f t="shared" si="444"/>
        <v/>
      </c>
      <c r="AS2098" s="259" t="str">
        <f t="shared" si="445"/>
        <v/>
      </c>
      <c r="AT2098" s="259" t="b">
        <f t="shared" si="447"/>
        <v>0</v>
      </c>
      <c r="AU2098" s="259" t="b">
        <f t="shared" si="448"/>
        <v>0</v>
      </c>
      <c r="AV2098" s="259" t="str">
        <f t="shared" si="449"/>
        <v>-</v>
      </c>
    </row>
    <row r="2099" spans="41:48">
      <c r="AO2099" s="824" t="str">
        <f t="shared" si="446"/>
        <v>No</v>
      </c>
      <c r="AP2099" s="259" t="str">
        <f t="shared" si="451"/>
        <v>blank</v>
      </c>
      <c r="AQ2099" s="542" t="str">
        <f t="shared" si="450"/>
        <v>无定金+无預留客戶</v>
      </c>
      <c r="AR2099" s="259" t="str">
        <f t="shared" si="444"/>
        <v/>
      </c>
      <c r="AS2099" s="259" t="str">
        <f t="shared" si="445"/>
        <v/>
      </c>
      <c r="AT2099" s="259" t="b">
        <f t="shared" si="447"/>
        <v>0</v>
      </c>
      <c r="AU2099" s="259" t="b">
        <f t="shared" si="448"/>
        <v>0</v>
      </c>
      <c r="AV2099" s="259" t="str">
        <f t="shared" si="449"/>
        <v>-</v>
      </c>
    </row>
    <row r="2100" spans="41:48">
      <c r="AO2100" s="824" t="str">
        <f t="shared" si="446"/>
        <v>No</v>
      </c>
      <c r="AP2100" s="259" t="str">
        <f t="shared" si="451"/>
        <v>blank</v>
      </c>
      <c r="AQ2100" s="542" t="str">
        <f t="shared" si="450"/>
        <v>无定金+无預留客戶</v>
      </c>
      <c r="AR2100" s="259" t="str">
        <f t="shared" si="444"/>
        <v/>
      </c>
      <c r="AS2100" s="259" t="str">
        <f t="shared" si="445"/>
        <v/>
      </c>
      <c r="AT2100" s="259" t="b">
        <f t="shared" si="447"/>
        <v>0</v>
      </c>
      <c r="AU2100" s="259" t="b">
        <f t="shared" si="448"/>
        <v>0</v>
      </c>
      <c r="AV2100" s="259" t="str">
        <f t="shared" si="449"/>
        <v>-</v>
      </c>
    </row>
    <row r="2101" spans="41:48">
      <c r="AO2101" s="824" t="str">
        <f t="shared" si="446"/>
        <v>No</v>
      </c>
      <c r="AP2101" s="259" t="str">
        <f t="shared" si="451"/>
        <v>blank</v>
      </c>
      <c r="AQ2101" s="542" t="str">
        <f t="shared" si="450"/>
        <v>无定金+无預留客戶</v>
      </c>
      <c r="AR2101" s="259" t="str">
        <f t="shared" si="444"/>
        <v/>
      </c>
      <c r="AS2101" s="259" t="str">
        <f t="shared" si="445"/>
        <v/>
      </c>
      <c r="AT2101" s="259" t="b">
        <f t="shared" si="447"/>
        <v>0</v>
      </c>
      <c r="AU2101" s="259" t="b">
        <f t="shared" si="448"/>
        <v>0</v>
      </c>
      <c r="AV2101" s="259" t="str">
        <f t="shared" si="449"/>
        <v>-</v>
      </c>
    </row>
    <row r="2102" spans="41:48">
      <c r="AO2102" s="824" t="str">
        <f t="shared" si="446"/>
        <v>No</v>
      </c>
      <c r="AP2102" s="259" t="str">
        <f t="shared" si="451"/>
        <v>blank</v>
      </c>
      <c r="AQ2102" s="542" t="str">
        <f t="shared" si="450"/>
        <v>无定金+无預留客戶</v>
      </c>
      <c r="AR2102" s="259" t="str">
        <f t="shared" si="444"/>
        <v/>
      </c>
      <c r="AS2102" s="259" t="str">
        <f t="shared" si="445"/>
        <v/>
      </c>
      <c r="AT2102" s="259" t="b">
        <f t="shared" si="447"/>
        <v>0</v>
      </c>
      <c r="AU2102" s="259" t="b">
        <f t="shared" si="448"/>
        <v>0</v>
      </c>
      <c r="AV2102" s="259" t="str">
        <f t="shared" si="449"/>
        <v>-</v>
      </c>
    </row>
    <row r="2103" spans="41:48">
      <c r="AO2103" s="824" t="str">
        <f t="shared" si="446"/>
        <v>No</v>
      </c>
      <c r="AP2103" s="259" t="str">
        <f t="shared" si="451"/>
        <v>blank</v>
      </c>
      <c r="AQ2103" s="542" t="str">
        <f t="shared" si="450"/>
        <v>无定金+无預留客戶</v>
      </c>
      <c r="AR2103" s="259" t="str">
        <f t="shared" si="444"/>
        <v/>
      </c>
      <c r="AS2103" s="259" t="str">
        <f t="shared" si="445"/>
        <v/>
      </c>
      <c r="AT2103" s="259" t="b">
        <f t="shared" si="447"/>
        <v>0</v>
      </c>
      <c r="AU2103" s="259" t="b">
        <f t="shared" si="448"/>
        <v>0</v>
      </c>
      <c r="AV2103" s="259" t="str">
        <f t="shared" si="449"/>
        <v>-</v>
      </c>
    </row>
    <row r="2104" spans="41:48">
      <c r="AO2104" s="824" t="str">
        <f t="shared" si="446"/>
        <v>No</v>
      </c>
      <c r="AP2104" s="259" t="str">
        <f t="shared" si="451"/>
        <v>blank</v>
      </c>
      <c r="AQ2104" s="542" t="str">
        <f t="shared" si="450"/>
        <v>无定金+无預留客戶</v>
      </c>
      <c r="AR2104" s="259" t="str">
        <f t="shared" si="444"/>
        <v/>
      </c>
      <c r="AS2104" s="259" t="str">
        <f t="shared" si="445"/>
        <v/>
      </c>
      <c r="AT2104" s="259" t="b">
        <f t="shared" si="447"/>
        <v>0</v>
      </c>
      <c r="AU2104" s="259" t="b">
        <f t="shared" si="448"/>
        <v>0</v>
      </c>
      <c r="AV2104" s="259" t="str">
        <f t="shared" si="449"/>
        <v>-</v>
      </c>
    </row>
    <row r="2105" spans="41:48">
      <c r="AO2105" s="824" t="str">
        <f t="shared" si="446"/>
        <v>No</v>
      </c>
      <c r="AP2105" s="259" t="str">
        <f t="shared" si="451"/>
        <v>blank</v>
      </c>
      <c r="AQ2105" s="542" t="str">
        <f t="shared" si="450"/>
        <v>无定金+无預留客戶</v>
      </c>
      <c r="AR2105" s="259" t="str">
        <f t="shared" si="444"/>
        <v/>
      </c>
      <c r="AS2105" s="259" t="str">
        <f t="shared" si="445"/>
        <v/>
      </c>
      <c r="AT2105" s="259" t="b">
        <f t="shared" si="447"/>
        <v>0</v>
      </c>
      <c r="AU2105" s="259" t="b">
        <f t="shared" si="448"/>
        <v>0</v>
      </c>
      <c r="AV2105" s="259" t="str">
        <f t="shared" si="449"/>
        <v>-</v>
      </c>
    </row>
    <row r="2106" spans="41:48">
      <c r="AO2106" s="824" t="str">
        <f t="shared" si="446"/>
        <v>No</v>
      </c>
      <c r="AP2106" s="259" t="str">
        <f t="shared" si="451"/>
        <v>blank</v>
      </c>
      <c r="AQ2106" s="542" t="str">
        <f t="shared" si="450"/>
        <v>无定金+无預留客戶</v>
      </c>
      <c r="AR2106" s="259" t="str">
        <f t="shared" si="444"/>
        <v/>
      </c>
      <c r="AS2106" s="259" t="str">
        <f t="shared" si="445"/>
        <v/>
      </c>
      <c r="AT2106" s="259" t="b">
        <f t="shared" si="447"/>
        <v>0</v>
      </c>
      <c r="AU2106" s="259" t="b">
        <f t="shared" si="448"/>
        <v>0</v>
      </c>
      <c r="AV2106" s="259" t="str">
        <f t="shared" si="449"/>
        <v>-</v>
      </c>
    </row>
    <row r="2107" spans="41:48">
      <c r="AO2107" s="824" t="str">
        <f t="shared" si="446"/>
        <v>No</v>
      </c>
      <c r="AP2107" s="259" t="str">
        <f t="shared" si="451"/>
        <v>blank</v>
      </c>
      <c r="AQ2107" s="542" t="str">
        <f t="shared" si="450"/>
        <v>无定金+无預留客戶</v>
      </c>
      <c r="AR2107" s="259" t="str">
        <f t="shared" si="444"/>
        <v/>
      </c>
      <c r="AS2107" s="259" t="str">
        <f t="shared" si="445"/>
        <v/>
      </c>
      <c r="AT2107" s="259" t="b">
        <f t="shared" si="447"/>
        <v>0</v>
      </c>
      <c r="AU2107" s="259" t="b">
        <f t="shared" si="448"/>
        <v>0</v>
      </c>
      <c r="AV2107" s="259" t="str">
        <f t="shared" si="449"/>
        <v>-</v>
      </c>
    </row>
    <row r="2108" spans="41:48">
      <c r="AO2108" s="824" t="str">
        <f t="shared" si="446"/>
        <v>No</v>
      </c>
      <c r="AP2108" s="259" t="str">
        <f t="shared" si="451"/>
        <v>blank</v>
      </c>
      <c r="AQ2108" s="542" t="str">
        <f t="shared" si="450"/>
        <v>无定金+无預留客戶</v>
      </c>
      <c r="AR2108" s="259" t="str">
        <f t="shared" si="444"/>
        <v/>
      </c>
      <c r="AS2108" s="259" t="str">
        <f t="shared" si="445"/>
        <v/>
      </c>
      <c r="AT2108" s="259" t="b">
        <f t="shared" si="447"/>
        <v>0</v>
      </c>
      <c r="AU2108" s="259" t="b">
        <f t="shared" si="448"/>
        <v>0</v>
      </c>
      <c r="AV2108" s="259" t="str">
        <f t="shared" si="449"/>
        <v>-</v>
      </c>
    </row>
    <row r="2109" spans="41:48">
      <c r="AO2109" s="824" t="str">
        <f t="shared" si="446"/>
        <v>No</v>
      </c>
      <c r="AP2109" s="259" t="str">
        <f t="shared" si="451"/>
        <v>blank</v>
      </c>
      <c r="AQ2109" s="542" t="str">
        <f t="shared" si="450"/>
        <v>无定金+无預留客戶</v>
      </c>
      <c r="AR2109" s="259" t="str">
        <f t="shared" si="444"/>
        <v/>
      </c>
      <c r="AS2109" s="259" t="str">
        <f t="shared" si="445"/>
        <v/>
      </c>
      <c r="AT2109" s="259" t="b">
        <f t="shared" si="447"/>
        <v>0</v>
      </c>
      <c r="AU2109" s="259" t="b">
        <f t="shared" si="448"/>
        <v>0</v>
      </c>
      <c r="AV2109" s="259" t="str">
        <f t="shared" si="449"/>
        <v>-</v>
      </c>
    </row>
    <row r="2110" spans="41:48">
      <c r="AO2110" s="824" t="str">
        <f t="shared" si="446"/>
        <v>No</v>
      </c>
      <c r="AP2110" s="259" t="str">
        <f t="shared" si="451"/>
        <v>blank</v>
      </c>
      <c r="AQ2110" s="542" t="str">
        <f t="shared" si="450"/>
        <v>无定金+无預留客戶</v>
      </c>
      <c r="AR2110" s="259" t="str">
        <f t="shared" ref="AR2110:AR2173" si="452">IFERROR(IF(B2110="已经到货", "Instock", IF(B2110="有交期", "Incoming_Stock_With_YAMAHA_Schedule", IF(B2110="TBA.", "Incoming_Stock_No_YAMAHA_Schedule", IF(B2110="已发货", "Shipped_Stock", "")))), "")</f>
        <v/>
      </c>
      <c r="AS2110" s="259" t="str">
        <f t="shared" ref="AS2110:AS2173" si="453">IF(AND(B2110="有交期", L2110&lt;&gt;""), L2110, "")</f>
        <v/>
      </c>
      <c r="AT2110" s="259" t="b">
        <f t="shared" si="447"/>
        <v>0</v>
      </c>
      <c r="AU2110" s="259" t="b">
        <f t="shared" si="448"/>
        <v>0</v>
      </c>
      <c r="AV2110" s="259" t="str">
        <f t="shared" si="449"/>
        <v>-</v>
      </c>
    </row>
    <row r="2111" spans="41:48">
      <c r="AO2111" s="824" t="str">
        <f t="shared" si="446"/>
        <v>No</v>
      </c>
      <c r="AP2111" s="259" t="str">
        <f t="shared" si="451"/>
        <v>blank</v>
      </c>
      <c r="AQ2111" s="542" t="str">
        <f t="shared" si="450"/>
        <v>无定金+无預留客戶</v>
      </c>
      <c r="AR2111" s="259" t="str">
        <f t="shared" si="452"/>
        <v/>
      </c>
      <c r="AS2111" s="259" t="str">
        <f t="shared" si="453"/>
        <v/>
      </c>
      <c r="AT2111" s="259" t="b">
        <f t="shared" si="447"/>
        <v>0</v>
      </c>
      <c r="AU2111" s="259" t="b">
        <f t="shared" si="448"/>
        <v>0</v>
      </c>
      <c r="AV2111" s="259" t="str">
        <f t="shared" si="449"/>
        <v>-</v>
      </c>
    </row>
    <row r="2112" spans="41:48">
      <c r="AO2112" s="824" t="str">
        <f t="shared" si="446"/>
        <v>No</v>
      </c>
      <c r="AP2112" s="259" t="str">
        <f t="shared" si="451"/>
        <v>blank</v>
      </c>
      <c r="AQ2112" s="542" t="str">
        <f t="shared" si="450"/>
        <v>无定金+无預留客戶</v>
      </c>
      <c r="AR2112" s="259" t="str">
        <f t="shared" si="452"/>
        <v/>
      </c>
      <c r="AS2112" s="259" t="str">
        <f t="shared" si="453"/>
        <v/>
      </c>
      <c r="AT2112" s="259" t="b">
        <f t="shared" si="447"/>
        <v>0</v>
      </c>
      <c r="AU2112" s="259" t="b">
        <f t="shared" si="448"/>
        <v>0</v>
      </c>
      <c r="AV2112" s="259" t="str">
        <f t="shared" si="449"/>
        <v>-</v>
      </c>
    </row>
    <row r="2113" spans="41:48">
      <c r="AO2113" s="824" t="str">
        <f t="shared" si="446"/>
        <v>No</v>
      </c>
      <c r="AP2113" s="259" t="str">
        <f t="shared" si="451"/>
        <v>blank</v>
      </c>
      <c r="AQ2113" s="542" t="str">
        <f t="shared" si="450"/>
        <v>无定金+无預留客戶</v>
      </c>
      <c r="AR2113" s="259" t="str">
        <f t="shared" si="452"/>
        <v/>
      </c>
      <c r="AS2113" s="259" t="str">
        <f t="shared" si="453"/>
        <v/>
      </c>
      <c r="AT2113" s="259" t="b">
        <f t="shared" si="447"/>
        <v>0</v>
      </c>
      <c r="AU2113" s="259" t="b">
        <f t="shared" si="448"/>
        <v>0</v>
      </c>
      <c r="AV2113" s="259" t="str">
        <f t="shared" si="449"/>
        <v>-</v>
      </c>
    </row>
    <row r="2114" spans="41:48">
      <c r="AO2114" s="824" t="str">
        <f t="shared" ref="AO2114:AO2177" si="454">IFERROR(IF(Y2114&lt;&gt;"",Y2114,"No"),"No")</f>
        <v>No</v>
      </c>
      <c r="AP2114" s="259" t="str">
        <f t="shared" si="451"/>
        <v>blank</v>
      </c>
      <c r="AQ2114" s="542" t="str">
        <f t="shared" si="450"/>
        <v>无定金+无預留客戶</v>
      </c>
      <c r="AR2114" s="259" t="str">
        <f t="shared" si="452"/>
        <v/>
      </c>
      <c r="AS2114" s="259" t="str">
        <f t="shared" si="453"/>
        <v/>
      </c>
      <c r="AT2114" s="259" t="b">
        <f t="shared" ref="AT2114:AT2177" si="455">IFERROR(IF(R2114&lt;&gt;"",R2114),"-")</f>
        <v>0</v>
      </c>
      <c r="AU2114" s="259" t="b">
        <f t="shared" ref="AU2114:AU2177" si="456">IFERROR(IF(Q2114&lt;&gt;"",Q2114),"-")</f>
        <v>0</v>
      </c>
      <c r="AV2114" s="259" t="str">
        <f t="shared" ref="AV2114:AV2177" si="457">IF(L2114="","-",TEXT(L2114,"mmm-dd"))</f>
        <v>-</v>
      </c>
    </row>
    <row r="2115" spans="41:48">
      <c r="AO2115" s="824" t="str">
        <f t="shared" si="454"/>
        <v>No</v>
      </c>
      <c r="AP2115" s="259" t="str">
        <f t="shared" si="451"/>
        <v>blank</v>
      </c>
      <c r="AQ2115" s="542" t="str">
        <f t="shared" ref="AQ2115:AQ2178" si="458">IFERROR(IF(AND(AO2115="Yes", AP2115&lt;&gt;"blank"), "有定金+有預留客戶", IF(AND(AO2115="Yes", AP2115="blank"), "有定金+无客戶送貨期", IF(AND(OR(AO2115="No", ISBLANK(AO2115), AO2115="NA"), AP2115&lt;&gt;"blank"), "无定金+有預留客戶", IF(AND(OR(AO2115="No", ISBLANK(AO2115), AO2115="NA"), AP2115="blank"), "无定金+无預留客戶", "")))), "")</f>
        <v>无定金+无預留客戶</v>
      </c>
      <c r="AR2115" s="259" t="str">
        <f t="shared" si="452"/>
        <v/>
      </c>
      <c r="AS2115" s="259" t="str">
        <f t="shared" si="453"/>
        <v/>
      </c>
      <c r="AT2115" s="259" t="b">
        <f t="shared" si="455"/>
        <v>0</v>
      </c>
      <c r="AU2115" s="259" t="b">
        <f t="shared" si="456"/>
        <v>0</v>
      </c>
      <c r="AV2115" s="259" t="str">
        <f t="shared" si="457"/>
        <v>-</v>
      </c>
    </row>
    <row r="2116" spans="41:48">
      <c r="AO2116" s="824" t="str">
        <f t="shared" si="454"/>
        <v>No</v>
      </c>
      <c r="AP2116" s="259" t="str">
        <f t="shared" si="451"/>
        <v>blank</v>
      </c>
      <c r="AQ2116" s="542" t="str">
        <f t="shared" si="458"/>
        <v>无定金+无預留客戶</v>
      </c>
      <c r="AR2116" s="259" t="str">
        <f t="shared" si="452"/>
        <v/>
      </c>
      <c r="AS2116" s="259" t="str">
        <f t="shared" si="453"/>
        <v/>
      </c>
      <c r="AT2116" s="259" t="b">
        <f t="shared" si="455"/>
        <v>0</v>
      </c>
      <c r="AU2116" s="259" t="b">
        <f t="shared" si="456"/>
        <v>0</v>
      </c>
      <c r="AV2116" s="259" t="str">
        <f t="shared" si="457"/>
        <v>-</v>
      </c>
    </row>
    <row r="2117" spans="41:48">
      <c r="AO2117" s="824" t="str">
        <f t="shared" si="454"/>
        <v>No</v>
      </c>
      <c r="AP2117" s="259" t="str">
        <f t="shared" si="451"/>
        <v>blank</v>
      </c>
      <c r="AQ2117" s="542" t="str">
        <f t="shared" si="458"/>
        <v>无定金+无預留客戶</v>
      </c>
      <c r="AR2117" s="259" t="str">
        <f t="shared" si="452"/>
        <v/>
      </c>
      <c r="AS2117" s="259" t="str">
        <f t="shared" si="453"/>
        <v/>
      </c>
      <c r="AT2117" s="259" t="b">
        <f t="shared" si="455"/>
        <v>0</v>
      </c>
      <c r="AU2117" s="259" t="b">
        <f t="shared" si="456"/>
        <v>0</v>
      </c>
      <c r="AV2117" s="259" t="str">
        <f t="shared" si="457"/>
        <v>-</v>
      </c>
    </row>
    <row r="2118" spans="41:48">
      <c r="AO2118" s="824" t="str">
        <f t="shared" si="454"/>
        <v>No</v>
      </c>
      <c r="AP2118" s="259" t="str">
        <f t="shared" ref="AP2118:AP2181" si="459">IFERROR(IF(N2118&lt;&gt;"",N2118,"blank"),"NA")</f>
        <v>blank</v>
      </c>
      <c r="AQ2118" s="542" t="str">
        <f t="shared" si="458"/>
        <v>无定金+无預留客戶</v>
      </c>
      <c r="AR2118" s="259" t="str">
        <f t="shared" si="452"/>
        <v/>
      </c>
      <c r="AS2118" s="259" t="str">
        <f t="shared" si="453"/>
        <v/>
      </c>
      <c r="AT2118" s="259" t="b">
        <f t="shared" si="455"/>
        <v>0</v>
      </c>
      <c r="AU2118" s="259" t="b">
        <f t="shared" si="456"/>
        <v>0</v>
      </c>
      <c r="AV2118" s="259" t="str">
        <f t="shared" si="457"/>
        <v>-</v>
      </c>
    </row>
    <row r="2119" spans="41:48">
      <c r="AO2119" s="824" t="str">
        <f t="shared" si="454"/>
        <v>No</v>
      </c>
      <c r="AP2119" s="259" t="str">
        <f t="shared" si="459"/>
        <v>blank</v>
      </c>
      <c r="AQ2119" s="542" t="str">
        <f t="shared" si="458"/>
        <v>无定金+无預留客戶</v>
      </c>
      <c r="AR2119" s="259" t="str">
        <f t="shared" si="452"/>
        <v/>
      </c>
      <c r="AS2119" s="259" t="str">
        <f t="shared" si="453"/>
        <v/>
      </c>
      <c r="AT2119" s="259" t="b">
        <f t="shared" si="455"/>
        <v>0</v>
      </c>
      <c r="AU2119" s="259" t="b">
        <f t="shared" si="456"/>
        <v>0</v>
      </c>
      <c r="AV2119" s="259" t="str">
        <f t="shared" si="457"/>
        <v>-</v>
      </c>
    </row>
    <row r="2120" spans="41:48">
      <c r="AO2120" s="824" t="str">
        <f t="shared" si="454"/>
        <v>No</v>
      </c>
      <c r="AP2120" s="259" t="str">
        <f t="shared" si="459"/>
        <v>blank</v>
      </c>
      <c r="AQ2120" s="542" t="str">
        <f t="shared" si="458"/>
        <v>无定金+无預留客戶</v>
      </c>
      <c r="AR2120" s="259" t="str">
        <f t="shared" si="452"/>
        <v/>
      </c>
      <c r="AS2120" s="259" t="str">
        <f t="shared" si="453"/>
        <v/>
      </c>
      <c r="AT2120" s="259" t="b">
        <f t="shared" si="455"/>
        <v>0</v>
      </c>
      <c r="AU2120" s="259" t="b">
        <f t="shared" si="456"/>
        <v>0</v>
      </c>
      <c r="AV2120" s="259" t="str">
        <f t="shared" si="457"/>
        <v>-</v>
      </c>
    </row>
    <row r="2121" spans="41:48">
      <c r="AO2121" s="824" t="str">
        <f t="shared" si="454"/>
        <v>No</v>
      </c>
      <c r="AP2121" s="259" t="str">
        <f t="shared" si="459"/>
        <v>blank</v>
      </c>
      <c r="AQ2121" s="542" t="str">
        <f t="shared" si="458"/>
        <v>无定金+无預留客戶</v>
      </c>
      <c r="AR2121" s="259" t="str">
        <f t="shared" si="452"/>
        <v/>
      </c>
      <c r="AS2121" s="259" t="str">
        <f t="shared" si="453"/>
        <v/>
      </c>
      <c r="AT2121" s="259" t="b">
        <f t="shared" si="455"/>
        <v>0</v>
      </c>
      <c r="AU2121" s="259" t="b">
        <f t="shared" si="456"/>
        <v>0</v>
      </c>
      <c r="AV2121" s="259" t="str">
        <f t="shared" si="457"/>
        <v>-</v>
      </c>
    </row>
    <row r="2122" spans="41:48">
      <c r="AO2122" s="824" t="str">
        <f t="shared" si="454"/>
        <v>No</v>
      </c>
      <c r="AP2122" s="259" t="str">
        <f t="shared" si="459"/>
        <v>blank</v>
      </c>
      <c r="AQ2122" s="542" t="str">
        <f t="shared" si="458"/>
        <v>无定金+无預留客戶</v>
      </c>
      <c r="AR2122" s="259" t="str">
        <f t="shared" si="452"/>
        <v/>
      </c>
      <c r="AS2122" s="259" t="str">
        <f t="shared" si="453"/>
        <v/>
      </c>
      <c r="AT2122" s="259" t="b">
        <f t="shared" si="455"/>
        <v>0</v>
      </c>
      <c r="AU2122" s="259" t="b">
        <f t="shared" si="456"/>
        <v>0</v>
      </c>
      <c r="AV2122" s="259" t="str">
        <f t="shared" si="457"/>
        <v>-</v>
      </c>
    </row>
    <row r="2123" spans="41:48">
      <c r="AO2123" s="824" t="str">
        <f t="shared" si="454"/>
        <v>No</v>
      </c>
      <c r="AP2123" s="259" t="str">
        <f t="shared" si="459"/>
        <v>blank</v>
      </c>
      <c r="AQ2123" s="542" t="str">
        <f t="shared" si="458"/>
        <v>无定金+无預留客戶</v>
      </c>
      <c r="AR2123" s="259" t="str">
        <f t="shared" si="452"/>
        <v/>
      </c>
      <c r="AS2123" s="259" t="str">
        <f t="shared" si="453"/>
        <v/>
      </c>
      <c r="AT2123" s="259" t="b">
        <f t="shared" si="455"/>
        <v>0</v>
      </c>
      <c r="AU2123" s="259" t="b">
        <f t="shared" si="456"/>
        <v>0</v>
      </c>
      <c r="AV2123" s="259" t="str">
        <f t="shared" si="457"/>
        <v>-</v>
      </c>
    </row>
    <row r="2124" spans="41:48">
      <c r="AO2124" s="824" t="str">
        <f t="shared" si="454"/>
        <v>No</v>
      </c>
      <c r="AP2124" s="259" t="str">
        <f t="shared" si="459"/>
        <v>blank</v>
      </c>
      <c r="AQ2124" s="542" t="str">
        <f t="shared" si="458"/>
        <v>无定金+无預留客戶</v>
      </c>
      <c r="AR2124" s="259" t="str">
        <f t="shared" si="452"/>
        <v/>
      </c>
      <c r="AS2124" s="259" t="str">
        <f t="shared" si="453"/>
        <v/>
      </c>
      <c r="AT2124" s="259" t="b">
        <f t="shared" si="455"/>
        <v>0</v>
      </c>
      <c r="AU2124" s="259" t="b">
        <f t="shared" si="456"/>
        <v>0</v>
      </c>
      <c r="AV2124" s="259" t="str">
        <f t="shared" si="457"/>
        <v>-</v>
      </c>
    </row>
    <row r="2125" spans="41:48">
      <c r="AO2125" s="824" t="str">
        <f t="shared" si="454"/>
        <v>No</v>
      </c>
      <c r="AP2125" s="259" t="str">
        <f t="shared" si="459"/>
        <v>blank</v>
      </c>
      <c r="AQ2125" s="542" t="str">
        <f t="shared" si="458"/>
        <v>无定金+无預留客戶</v>
      </c>
      <c r="AR2125" s="259" t="str">
        <f t="shared" si="452"/>
        <v/>
      </c>
      <c r="AS2125" s="259" t="str">
        <f t="shared" si="453"/>
        <v/>
      </c>
      <c r="AT2125" s="259" t="b">
        <f t="shared" si="455"/>
        <v>0</v>
      </c>
      <c r="AU2125" s="259" t="b">
        <f t="shared" si="456"/>
        <v>0</v>
      </c>
      <c r="AV2125" s="259" t="str">
        <f t="shared" si="457"/>
        <v>-</v>
      </c>
    </row>
    <row r="2126" spans="41:48">
      <c r="AO2126" s="824" t="str">
        <f t="shared" si="454"/>
        <v>No</v>
      </c>
      <c r="AP2126" s="259" t="str">
        <f t="shared" si="459"/>
        <v>blank</v>
      </c>
      <c r="AQ2126" s="542" t="str">
        <f t="shared" si="458"/>
        <v>无定金+无預留客戶</v>
      </c>
      <c r="AR2126" s="259" t="str">
        <f t="shared" si="452"/>
        <v/>
      </c>
      <c r="AS2126" s="259" t="str">
        <f t="shared" si="453"/>
        <v/>
      </c>
      <c r="AT2126" s="259" t="b">
        <f t="shared" si="455"/>
        <v>0</v>
      </c>
      <c r="AU2126" s="259" t="b">
        <f t="shared" si="456"/>
        <v>0</v>
      </c>
      <c r="AV2126" s="259" t="str">
        <f t="shared" si="457"/>
        <v>-</v>
      </c>
    </row>
    <row r="2127" spans="41:48">
      <c r="AO2127" s="824" t="str">
        <f t="shared" si="454"/>
        <v>No</v>
      </c>
      <c r="AP2127" s="259" t="str">
        <f t="shared" si="459"/>
        <v>blank</v>
      </c>
      <c r="AQ2127" s="542" t="str">
        <f t="shared" si="458"/>
        <v>无定金+无預留客戶</v>
      </c>
      <c r="AR2127" s="259" t="str">
        <f t="shared" si="452"/>
        <v/>
      </c>
      <c r="AS2127" s="259" t="str">
        <f t="shared" si="453"/>
        <v/>
      </c>
      <c r="AT2127" s="259" t="b">
        <f t="shared" si="455"/>
        <v>0</v>
      </c>
      <c r="AU2127" s="259" t="b">
        <f t="shared" si="456"/>
        <v>0</v>
      </c>
      <c r="AV2127" s="259" t="str">
        <f t="shared" si="457"/>
        <v>-</v>
      </c>
    </row>
    <row r="2128" spans="41:48">
      <c r="AO2128" s="824" t="str">
        <f t="shared" si="454"/>
        <v>No</v>
      </c>
      <c r="AP2128" s="259" t="str">
        <f t="shared" si="459"/>
        <v>blank</v>
      </c>
      <c r="AQ2128" s="542" t="str">
        <f t="shared" si="458"/>
        <v>无定金+无預留客戶</v>
      </c>
      <c r="AR2128" s="259" t="str">
        <f t="shared" si="452"/>
        <v/>
      </c>
      <c r="AS2128" s="259" t="str">
        <f t="shared" si="453"/>
        <v/>
      </c>
      <c r="AT2128" s="259" t="b">
        <f t="shared" si="455"/>
        <v>0</v>
      </c>
      <c r="AU2128" s="259" t="b">
        <f t="shared" si="456"/>
        <v>0</v>
      </c>
      <c r="AV2128" s="259" t="str">
        <f t="shared" si="457"/>
        <v>-</v>
      </c>
    </row>
    <row r="2129" spans="41:48">
      <c r="AO2129" s="824" t="str">
        <f t="shared" si="454"/>
        <v>No</v>
      </c>
      <c r="AP2129" s="259" t="str">
        <f t="shared" si="459"/>
        <v>blank</v>
      </c>
      <c r="AQ2129" s="542" t="str">
        <f t="shared" si="458"/>
        <v>无定金+无預留客戶</v>
      </c>
      <c r="AR2129" s="259" t="str">
        <f t="shared" si="452"/>
        <v/>
      </c>
      <c r="AS2129" s="259" t="str">
        <f t="shared" si="453"/>
        <v/>
      </c>
      <c r="AT2129" s="259" t="b">
        <f t="shared" si="455"/>
        <v>0</v>
      </c>
      <c r="AU2129" s="259" t="b">
        <f t="shared" si="456"/>
        <v>0</v>
      </c>
      <c r="AV2129" s="259" t="str">
        <f t="shared" si="457"/>
        <v>-</v>
      </c>
    </row>
    <row r="2130" spans="41:48">
      <c r="AO2130" s="824" t="str">
        <f t="shared" si="454"/>
        <v>No</v>
      </c>
      <c r="AP2130" s="259" t="str">
        <f t="shared" si="459"/>
        <v>blank</v>
      </c>
      <c r="AQ2130" s="542" t="str">
        <f t="shared" si="458"/>
        <v>无定金+无預留客戶</v>
      </c>
      <c r="AR2130" s="259" t="str">
        <f t="shared" si="452"/>
        <v/>
      </c>
      <c r="AS2130" s="259" t="str">
        <f t="shared" si="453"/>
        <v/>
      </c>
      <c r="AT2130" s="259" t="b">
        <f t="shared" si="455"/>
        <v>0</v>
      </c>
      <c r="AU2130" s="259" t="b">
        <f t="shared" si="456"/>
        <v>0</v>
      </c>
      <c r="AV2130" s="259" t="str">
        <f t="shared" si="457"/>
        <v>-</v>
      </c>
    </row>
    <row r="2131" spans="41:48">
      <c r="AO2131" s="824" t="str">
        <f t="shared" si="454"/>
        <v>No</v>
      </c>
      <c r="AP2131" s="259" t="str">
        <f t="shared" si="459"/>
        <v>blank</v>
      </c>
      <c r="AQ2131" s="542" t="str">
        <f t="shared" si="458"/>
        <v>无定金+无預留客戶</v>
      </c>
      <c r="AR2131" s="259" t="str">
        <f t="shared" si="452"/>
        <v/>
      </c>
      <c r="AS2131" s="259" t="str">
        <f t="shared" si="453"/>
        <v/>
      </c>
      <c r="AT2131" s="259" t="b">
        <f t="shared" si="455"/>
        <v>0</v>
      </c>
      <c r="AU2131" s="259" t="b">
        <f t="shared" si="456"/>
        <v>0</v>
      </c>
      <c r="AV2131" s="259" t="str">
        <f t="shared" si="457"/>
        <v>-</v>
      </c>
    </row>
    <row r="2132" spans="41:48">
      <c r="AO2132" s="824" t="str">
        <f t="shared" si="454"/>
        <v>No</v>
      </c>
      <c r="AP2132" s="259" t="str">
        <f t="shared" si="459"/>
        <v>blank</v>
      </c>
      <c r="AQ2132" s="542" t="str">
        <f t="shared" si="458"/>
        <v>无定金+无預留客戶</v>
      </c>
      <c r="AR2132" s="259" t="str">
        <f t="shared" si="452"/>
        <v/>
      </c>
      <c r="AS2132" s="259" t="str">
        <f t="shared" si="453"/>
        <v/>
      </c>
      <c r="AT2132" s="259" t="b">
        <f t="shared" si="455"/>
        <v>0</v>
      </c>
      <c r="AU2132" s="259" t="b">
        <f t="shared" si="456"/>
        <v>0</v>
      </c>
      <c r="AV2132" s="259" t="str">
        <f t="shared" si="457"/>
        <v>-</v>
      </c>
    </row>
    <row r="2133" spans="41:48">
      <c r="AO2133" s="824" t="str">
        <f t="shared" si="454"/>
        <v>No</v>
      </c>
      <c r="AP2133" s="259" t="str">
        <f t="shared" si="459"/>
        <v>blank</v>
      </c>
      <c r="AQ2133" s="542" t="str">
        <f t="shared" si="458"/>
        <v>无定金+无預留客戶</v>
      </c>
      <c r="AR2133" s="259" t="str">
        <f t="shared" si="452"/>
        <v/>
      </c>
      <c r="AS2133" s="259" t="str">
        <f t="shared" si="453"/>
        <v/>
      </c>
      <c r="AT2133" s="259" t="b">
        <f t="shared" si="455"/>
        <v>0</v>
      </c>
      <c r="AU2133" s="259" t="b">
        <f t="shared" si="456"/>
        <v>0</v>
      </c>
      <c r="AV2133" s="259" t="str">
        <f t="shared" si="457"/>
        <v>-</v>
      </c>
    </row>
    <row r="2134" spans="41:48">
      <c r="AO2134" s="824" t="str">
        <f t="shared" si="454"/>
        <v>No</v>
      </c>
      <c r="AP2134" s="259" t="str">
        <f t="shared" si="459"/>
        <v>blank</v>
      </c>
      <c r="AQ2134" s="542" t="str">
        <f t="shared" si="458"/>
        <v>无定金+无預留客戶</v>
      </c>
      <c r="AR2134" s="259" t="str">
        <f t="shared" si="452"/>
        <v/>
      </c>
      <c r="AS2134" s="259" t="str">
        <f t="shared" si="453"/>
        <v/>
      </c>
      <c r="AT2134" s="259" t="b">
        <f t="shared" si="455"/>
        <v>0</v>
      </c>
      <c r="AU2134" s="259" t="b">
        <f t="shared" si="456"/>
        <v>0</v>
      </c>
      <c r="AV2134" s="259" t="str">
        <f t="shared" si="457"/>
        <v>-</v>
      </c>
    </row>
    <row r="2135" spans="41:48">
      <c r="AO2135" s="824" t="str">
        <f t="shared" si="454"/>
        <v>No</v>
      </c>
      <c r="AP2135" s="259" t="str">
        <f t="shared" si="459"/>
        <v>blank</v>
      </c>
      <c r="AQ2135" s="542" t="str">
        <f t="shared" si="458"/>
        <v>无定金+无預留客戶</v>
      </c>
      <c r="AR2135" s="259" t="str">
        <f t="shared" si="452"/>
        <v/>
      </c>
      <c r="AS2135" s="259" t="str">
        <f t="shared" si="453"/>
        <v/>
      </c>
      <c r="AT2135" s="259" t="b">
        <f t="shared" si="455"/>
        <v>0</v>
      </c>
      <c r="AU2135" s="259" t="b">
        <f t="shared" si="456"/>
        <v>0</v>
      </c>
      <c r="AV2135" s="259" t="str">
        <f t="shared" si="457"/>
        <v>-</v>
      </c>
    </row>
    <row r="2136" spans="41:48">
      <c r="AO2136" s="824" t="str">
        <f t="shared" si="454"/>
        <v>No</v>
      </c>
      <c r="AP2136" s="259" t="str">
        <f t="shared" si="459"/>
        <v>blank</v>
      </c>
      <c r="AQ2136" s="542" t="str">
        <f t="shared" si="458"/>
        <v>无定金+无預留客戶</v>
      </c>
      <c r="AR2136" s="259" t="str">
        <f t="shared" si="452"/>
        <v/>
      </c>
      <c r="AS2136" s="259" t="str">
        <f t="shared" si="453"/>
        <v/>
      </c>
      <c r="AT2136" s="259" t="b">
        <f t="shared" si="455"/>
        <v>0</v>
      </c>
      <c r="AU2136" s="259" t="b">
        <f t="shared" si="456"/>
        <v>0</v>
      </c>
      <c r="AV2136" s="259" t="str">
        <f t="shared" si="457"/>
        <v>-</v>
      </c>
    </row>
    <row r="2137" spans="41:48">
      <c r="AO2137" s="824" t="str">
        <f t="shared" si="454"/>
        <v>No</v>
      </c>
      <c r="AP2137" s="259" t="str">
        <f t="shared" si="459"/>
        <v>blank</v>
      </c>
      <c r="AQ2137" s="542" t="str">
        <f t="shared" si="458"/>
        <v>无定金+无預留客戶</v>
      </c>
      <c r="AR2137" s="259" t="str">
        <f t="shared" si="452"/>
        <v/>
      </c>
      <c r="AS2137" s="259" t="str">
        <f t="shared" si="453"/>
        <v/>
      </c>
      <c r="AT2137" s="259" t="b">
        <f t="shared" si="455"/>
        <v>0</v>
      </c>
      <c r="AU2137" s="259" t="b">
        <f t="shared" si="456"/>
        <v>0</v>
      </c>
      <c r="AV2137" s="259" t="str">
        <f t="shared" si="457"/>
        <v>-</v>
      </c>
    </row>
    <row r="2138" spans="41:48">
      <c r="AO2138" s="824" t="str">
        <f t="shared" si="454"/>
        <v>No</v>
      </c>
      <c r="AP2138" s="259" t="str">
        <f t="shared" si="459"/>
        <v>blank</v>
      </c>
      <c r="AQ2138" s="542" t="str">
        <f t="shared" si="458"/>
        <v>无定金+无預留客戶</v>
      </c>
      <c r="AR2138" s="259" t="str">
        <f t="shared" si="452"/>
        <v/>
      </c>
      <c r="AS2138" s="259" t="str">
        <f t="shared" si="453"/>
        <v/>
      </c>
      <c r="AT2138" s="259" t="b">
        <f t="shared" si="455"/>
        <v>0</v>
      </c>
      <c r="AU2138" s="259" t="b">
        <f t="shared" si="456"/>
        <v>0</v>
      </c>
      <c r="AV2138" s="259" t="str">
        <f t="shared" si="457"/>
        <v>-</v>
      </c>
    </row>
    <row r="2139" spans="41:48">
      <c r="AO2139" s="824" t="str">
        <f t="shared" si="454"/>
        <v>No</v>
      </c>
      <c r="AP2139" s="259" t="str">
        <f t="shared" si="459"/>
        <v>blank</v>
      </c>
      <c r="AQ2139" s="542" t="str">
        <f t="shared" si="458"/>
        <v>无定金+无預留客戶</v>
      </c>
      <c r="AR2139" s="259" t="str">
        <f t="shared" si="452"/>
        <v/>
      </c>
      <c r="AS2139" s="259" t="str">
        <f t="shared" si="453"/>
        <v/>
      </c>
      <c r="AT2139" s="259" t="b">
        <f t="shared" si="455"/>
        <v>0</v>
      </c>
      <c r="AU2139" s="259" t="b">
        <f t="shared" si="456"/>
        <v>0</v>
      </c>
      <c r="AV2139" s="259" t="str">
        <f t="shared" si="457"/>
        <v>-</v>
      </c>
    </row>
    <row r="2140" spans="41:48">
      <c r="AO2140" s="824" t="str">
        <f t="shared" si="454"/>
        <v>No</v>
      </c>
      <c r="AP2140" s="259" t="str">
        <f t="shared" si="459"/>
        <v>blank</v>
      </c>
      <c r="AQ2140" s="542" t="str">
        <f t="shared" si="458"/>
        <v>无定金+无預留客戶</v>
      </c>
      <c r="AR2140" s="259" t="str">
        <f t="shared" si="452"/>
        <v/>
      </c>
      <c r="AS2140" s="259" t="str">
        <f t="shared" si="453"/>
        <v/>
      </c>
      <c r="AT2140" s="259" t="b">
        <f t="shared" si="455"/>
        <v>0</v>
      </c>
      <c r="AU2140" s="259" t="b">
        <f t="shared" si="456"/>
        <v>0</v>
      </c>
      <c r="AV2140" s="259" t="str">
        <f t="shared" si="457"/>
        <v>-</v>
      </c>
    </row>
    <row r="2141" spans="41:48">
      <c r="AO2141" s="824" t="str">
        <f t="shared" si="454"/>
        <v>No</v>
      </c>
      <c r="AP2141" s="259" t="str">
        <f t="shared" si="459"/>
        <v>blank</v>
      </c>
      <c r="AQ2141" s="542" t="str">
        <f t="shared" si="458"/>
        <v>无定金+无預留客戶</v>
      </c>
      <c r="AR2141" s="259" t="str">
        <f t="shared" si="452"/>
        <v/>
      </c>
      <c r="AS2141" s="259" t="str">
        <f t="shared" si="453"/>
        <v/>
      </c>
      <c r="AT2141" s="259" t="b">
        <f t="shared" si="455"/>
        <v>0</v>
      </c>
      <c r="AU2141" s="259" t="b">
        <f t="shared" si="456"/>
        <v>0</v>
      </c>
      <c r="AV2141" s="259" t="str">
        <f t="shared" si="457"/>
        <v>-</v>
      </c>
    </row>
    <row r="2142" spans="41:48">
      <c r="AO2142" s="824" t="str">
        <f t="shared" si="454"/>
        <v>No</v>
      </c>
      <c r="AP2142" s="259" t="str">
        <f t="shared" si="459"/>
        <v>blank</v>
      </c>
      <c r="AQ2142" s="542" t="str">
        <f t="shared" si="458"/>
        <v>无定金+无預留客戶</v>
      </c>
      <c r="AR2142" s="259" t="str">
        <f t="shared" si="452"/>
        <v/>
      </c>
      <c r="AS2142" s="259" t="str">
        <f t="shared" si="453"/>
        <v/>
      </c>
      <c r="AT2142" s="259" t="b">
        <f t="shared" si="455"/>
        <v>0</v>
      </c>
      <c r="AU2142" s="259" t="b">
        <f t="shared" si="456"/>
        <v>0</v>
      </c>
      <c r="AV2142" s="259" t="str">
        <f t="shared" si="457"/>
        <v>-</v>
      </c>
    </row>
    <row r="2143" spans="41:48">
      <c r="AO2143" s="824" t="str">
        <f t="shared" si="454"/>
        <v>No</v>
      </c>
      <c r="AP2143" s="259" t="str">
        <f t="shared" si="459"/>
        <v>blank</v>
      </c>
      <c r="AQ2143" s="542" t="str">
        <f t="shared" si="458"/>
        <v>无定金+无預留客戶</v>
      </c>
      <c r="AR2143" s="259" t="str">
        <f t="shared" si="452"/>
        <v/>
      </c>
      <c r="AS2143" s="259" t="str">
        <f t="shared" si="453"/>
        <v/>
      </c>
      <c r="AT2143" s="259" t="b">
        <f t="shared" si="455"/>
        <v>0</v>
      </c>
      <c r="AU2143" s="259" t="b">
        <f t="shared" si="456"/>
        <v>0</v>
      </c>
      <c r="AV2143" s="259" t="str">
        <f t="shared" si="457"/>
        <v>-</v>
      </c>
    </row>
    <row r="2144" spans="41:48">
      <c r="AO2144" s="824" t="str">
        <f t="shared" si="454"/>
        <v>No</v>
      </c>
      <c r="AP2144" s="259" t="str">
        <f t="shared" si="459"/>
        <v>blank</v>
      </c>
      <c r="AQ2144" s="542" t="str">
        <f t="shared" si="458"/>
        <v>无定金+无預留客戶</v>
      </c>
      <c r="AR2144" s="259" t="str">
        <f t="shared" si="452"/>
        <v/>
      </c>
      <c r="AS2144" s="259" t="str">
        <f t="shared" si="453"/>
        <v/>
      </c>
      <c r="AT2144" s="259" t="b">
        <f t="shared" si="455"/>
        <v>0</v>
      </c>
      <c r="AU2144" s="259" t="b">
        <f t="shared" si="456"/>
        <v>0</v>
      </c>
      <c r="AV2144" s="259" t="str">
        <f t="shared" si="457"/>
        <v>-</v>
      </c>
    </row>
    <row r="2145" spans="41:48">
      <c r="AO2145" s="824" t="str">
        <f t="shared" si="454"/>
        <v>No</v>
      </c>
      <c r="AP2145" s="259" t="str">
        <f t="shared" si="459"/>
        <v>blank</v>
      </c>
      <c r="AQ2145" s="542" t="str">
        <f t="shared" si="458"/>
        <v>无定金+无預留客戶</v>
      </c>
      <c r="AR2145" s="259" t="str">
        <f t="shared" si="452"/>
        <v/>
      </c>
      <c r="AS2145" s="259" t="str">
        <f t="shared" si="453"/>
        <v/>
      </c>
      <c r="AT2145" s="259" t="b">
        <f t="shared" si="455"/>
        <v>0</v>
      </c>
      <c r="AU2145" s="259" t="b">
        <f t="shared" si="456"/>
        <v>0</v>
      </c>
      <c r="AV2145" s="259" t="str">
        <f t="shared" si="457"/>
        <v>-</v>
      </c>
    </row>
    <row r="2146" spans="41:48">
      <c r="AO2146" s="824" t="str">
        <f t="shared" si="454"/>
        <v>No</v>
      </c>
      <c r="AP2146" s="259" t="str">
        <f t="shared" si="459"/>
        <v>blank</v>
      </c>
      <c r="AQ2146" s="542" t="str">
        <f t="shared" si="458"/>
        <v>无定金+无預留客戶</v>
      </c>
      <c r="AR2146" s="259" t="str">
        <f t="shared" si="452"/>
        <v/>
      </c>
      <c r="AS2146" s="259" t="str">
        <f t="shared" si="453"/>
        <v/>
      </c>
      <c r="AT2146" s="259" t="b">
        <f t="shared" si="455"/>
        <v>0</v>
      </c>
      <c r="AU2146" s="259" t="b">
        <f t="shared" si="456"/>
        <v>0</v>
      </c>
      <c r="AV2146" s="259" t="str">
        <f t="shared" si="457"/>
        <v>-</v>
      </c>
    </row>
    <row r="2147" spans="41:48">
      <c r="AO2147" s="824" t="str">
        <f t="shared" si="454"/>
        <v>No</v>
      </c>
      <c r="AP2147" s="259" t="str">
        <f t="shared" si="459"/>
        <v>blank</v>
      </c>
      <c r="AQ2147" s="542" t="str">
        <f t="shared" si="458"/>
        <v>无定金+无預留客戶</v>
      </c>
      <c r="AR2147" s="259" t="str">
        <f t="shared" si="452"/>
        <v/>
      </c>
      <c r="AS2147" s="259" t="str">
        <f t="shared" si="453"/>
        <v/>
      </c>
      <c r="AT2147" s="259" t="b">
        <f t="shared" si="455"/>
        <v>0</v>
      </c>
      <c r="AU2147" s="259" t="b">
        <f t="shared" si="456"/>
        <v>0</v>
      </c>
      <c r="AV2147" s="259" t="str">
        <f t="shared" si="457"/>
        <v>-</v>
      </c>
    </row>
    <row r="2148" spans="41:48">
      <c r="AO2148" s="824" t="str">
        <f t="shared" si="454"/>
        <v>No</v>
      </c>
      <c r="AP2148" s="259" t="str">
        <f t="shared" si="459"/>
        <v>blank</v>
      </c>
      <c r="AQ2148" s="542" t="str">
        <f t="shared" si="458"/>
        <v>无定金+无預留客戶</v>
      </c>
      <c r="AR2148" s="259" t="str">
        <f t="shared" si="452"/>
        <v/>
      </c>
      <c r="AS2148" s="259" t="str">
        <f t="shared" si="453"/>
        <v/>
      </c>
      <c r="AT2148" s="259" t="b">
        <f t="shared" si="455"/>
        <v>0</v>
      </c>
      <c r="AU2148" s="259" t="b">
        <f t="shared" si="456"/>
        <v>0</v>
      </c>
      <c r="AV2148" s="259" t="str">
        <f t="shared" si="457"/>
        <v>-</v>
      </c>
    </row>
    <row r="2149" spans="41:48">
      <c r="AO2149" s="824" t="str">
        <f t="shared" si="454"/>
        <v>No</v>
      </c>
      <c r="AP2149" s="259" t="str">
        <f t="shared" si="459"/>
        <v>blank</v>
      </c>
      <c r="AQ2149" s="542" t="str">
        <f t="shared" si="458"/>
        <v>无定金+无預留客戶</v>
      </c>
      <c r="AR2149" s="259" t="str">
        <f t="shared" si="452"/>
        <v/>
      </c>
      <c r="AS2149" s="259" t="str">
        <f t="shared" si="453"/>
        <v/>
      </c>
      <c r="AT2149" s="259" t="b">
        <f t="shared" si="455"/>
        <v>0</v>
      </c>
      <c r="AU2149" s="259" t="b">
        <f t="shared" si="456"/>
        <v>0</v>
      </c>
      <c r="AV2149" s="259" t="str">
        <f t="shared" si="457"/>
        <v>-</v>
      </c>
    </row>
    <row r="2150" spans="41:48">
      <c r="AO2150" s="824" t="str">
        <f t="shared" si="454"/>
        <v>No</v>
      </c>
      <c r="AP2150" s="259" t="str">
        <f t="shared" si="459"/>
        <v>blank</v>
      </c>
      <c r="AQ2150" s="542" t="str">
        <f t="shared" si="458"/>
        <v>无定金+无預留客戶</v>
      </c>
      <c r="AR2150" s="259" t="str">
        <f t="shared" si="452"/>
        <v/>
      </c>
      <c r="AS2150" s="259" t="str">
        <f t="shared" si="453"/>
        <v/>
      </c>
      <c r="AT2150" s="259" t="b">
        <f t="shared" si="455"/>
        <v>0</v>
      </c>
      <c r="AU2150" s="259" t="b">
        <f t="shared" si="456"/>
        <v>0</v>
      </c>
      <c r="AV2150" s="259" t="str">
        <f t="shared" si="457"/>
        <v>-</v>
      </c>
    </row>
    <row r="2151" spans="41:48">
      <c r="AO2151" s="824" t="str">
        <f t="shared" si="454"/>
        <v>No</v>
      </c>
      <c r="AP2151" s="259" t="str">
        <f t="shared" si="459"/>
        <v>blank</v>
      </c>
      <c r="AQ2151" s="542" t="str">
        <f t="shared" si="458"/>
        <v>无定金+无預留客戶</v>
      </c>
      <c r="AR2151" s="259" t="str">
        <f t="shared" si="452"/>
        <v/>
      </c>
      <c r="AS2151" s="259" t="str">
        <f t="shared" si="453"/>
        <v/>
      </c>
      <c r="AT2151" s="259" t="b">
        <f t="shared" si="455"/>
        <v>0</v>
      </c>
      <c r="AU2151" s="259" t="b">
        <f t="shared" si="456"/>
        <v>0</v>
      </c>
      <c r="AV2151" s="259" t="str">
        <f t="shared" si="457"/>
        <v>-</v>
      </c>
    </row>
    <row r="2152" spans="41:48">
      <c r="AO2152" s="824" t="str">
        <f t="shared" si="454"/>
        <v>No</v>
      </c>
      <c r="AP2152" s="259" t="str">
        <f t="shared" si="459"/>
        <v>blank</v>
      </c>
      <c r="AQ2152" s="542" t="str">
        <f t="shared" si="458"/>
        <v>无定金+无預留客戶</v>
      </c>
      <c r="AR2152" s="259" t="str">
        <f t="shared" si="452"/>
        <v/>
      </c>
      <c r="AS2152" s="259" t="str">
        <f t="shared" si="453"/>
        <v/>
      </c>
      <c r="AT2152" s="259" t="b">
        <f t="shared" si="455"/>
        <v>0</v>
      </c>
      <c r="AU2152" s="259" t="b">
        <f t="shared" si="456"/>
        <v>0</v>
      </c>
      <c r="AV2152" s="259" t="str">
        <f t="shared" si="457"/>
        <v>-</v>
      </c>
    </row>
    <row r="2153" spans="41:48">
      <c r="AO2153" s="824" t="str">
        <f t="shared" si="454"/>
        <v>No</v>
      </c>
      <c r="AP2153" s="259" t="str">
        <f t="shared" si="459"/>
        <v>blank</v>
      </c>
      <c r="AQ2153" s="542" t="str">
        <f t="shared" si="458"/>
        <v>无定金+无預留客戶</v>
      </c>
      <c r="AR2153" s="259" t="str">
        <f t="shared" si="452"/>
        <v/>
      </c>
      <c r="AS2153" s="259" t="str">
        <f t="shared" si="453"/>
        <v/>
      </c>
      <c r="AT2153" s="259" t="b">
        <f t="shared" si="455"/>
        <v>0</v>
      </c>
      <c r="AU2153" s="259" t="b">
        <f t="shared" si="456"/>
        <v>0</v>
      </c>
      <c r="AV2153" s="259" t="str">
        <f t="shared" si="457"/>
        <v>-</v>
      </c>
    </row>
    <row r="2154" spans="41:48">
      <c r="AO2154" s="824" t="str">
        <f t="shared" si="454"/>
        <v>No</v>
      </c>
      <c r="AP2154" s="259" t="str">
        <f t="shared" si="459"/>
        <v>blank</v>
      </c>
      <c r="AQ2154" s="542" t="str">
        <f t="shared" si="458"/>
        <v>无定金+无預留客戶</v>
      </c>
      <c r="AR2154" s="259" t="str">
        <f t="shared" si="452"/>
        <v/>
      </c>
      <c r="AS2154" s="259" t="str">
        <f t="shared" si="453"/>
        <v/>
      </c>
      <c r="AT2154" s="259" t="b">
        <f t="shared" si="455"/>
        <v>0</v>
      </c>
      <c r="AU2154" s="259" t="b">
        <f t="shared" si="456"/>
        <v>0</v>
      </c>
      <c r="AV2154" s="259" t="str">
        <f t="shared" si="457"/>
        <v>-</v>
      </c>
    </row>
    <row r="2155" spans="41:48">
      <c r="AO2155" s="824" t="str">
        <f t="shared" si="454"/>
        <v>No</v>
      </c>
      <c r="AP2155" s="259" t="str">
        <f t="shared" si="459"/>
        <v>blank</v>
      </c>
      <c r="AQ2155" s="542" t="str">
        <f t="shared" si="458"/>
        <v>无定金+无預留客戶</v>
      </c>
      <c r="AR2155" s="259" t="str">
        <f t="shared" si="452"/>
        <v/>
      </c>
      <c r="AS2155" s="259" t="str">
        <f t="shared" si="453"/>
        <v/>
      </c>
      <c r="AT2155" s="259" t="b">
        <f t="shared" si="455"/>
        <v>0</v>
      </c>
      <c r="AU2155" s="259" t="b">
        <f t="shared" si="456"/>
        <v>0</v>
      </c>
      <c r="AV2155" s="259" t="str">
        <f t="shared" si="457"/>
        <v>-</v>
      </c>
    </row>
    <row r="2156" spans="41:48">
      <c r="AO2156" s="824" t="str">
        <f t="shared" si="454"/>
        <v>No</v>
      </c>
      <c r="AP2156" s="259" t="str">
        <f t="shared" si="459"/>
        <v>blank</v>
      </c>
      <c r="AQ2156" s="542" t="str">
        <f t="shared" si="458"/>
        <v>无定金+无預留客戶</v>
      </c>
      <c r="AR2156" s="259" t="str">
        <f t="shared" si="452"/>
        <v/>
      </c>
      <c r="AS2156" s="259" t="str">
        <f t="shared" si="453"/>
        <v/>
      </c>
      <c r="AT2156" s="259" t="b">
        <f t="shared" si="455"/>
        <v>0</v>
      </c>
      <c r="AU2156" s="259" t="b">
        <f t="shared" si="456"/>
        <v>0</v>
      </c>
      <c r="AV2156" s="259" t="str">
        <f t="shared" si="457"/>
        <v>-</v>
      </c>
    </row>
    <row r="2157" spans="41:48">
      <c r="AO2157" s="824" t="str">
        <f t="shared" si="454"/>
        <v>No</v>
      </c>
      <c r="AP2157" s="259" t="str">
        <f t="shared" si="459"/>
        <v>blank</v>
      </c>
      <c r="AQ2157" s="542" t="str">
        <f t="shared" si="458"/>
        <v>无定金+无預留客戶</v>
      </c>
      <c r="AR2157" s="259" t="str">
        <f t="shared" si="452"/>
        <v/>
      </c>
      <c r="AS2157" s="259" t="str">
        <f t="shared" si="453"/>
        <v/>
      </c>
      <c r="AT2157" s="259" t="b">
        <f t="shared" si="455"/>
        <v>0</v>
      </c>
      <c r="AU2157" s="259" t="b">
        <f t="shared" si="456"/>
        <v>0</v>
      </c>
      <c r="AV2157" s="259" t="str">
        <f t="shared" si="457"/>
        <v>-</v>
      </c>
    </row>
    <row r="2158" spans="41:48">
      <c r="AO2158" s="824" t="str">
        <f t="shared" si="454"/>
        <v>No</v>
      </c>
      <c r="AP2158" s="259" t="str">
        <f t="shared" si="459"/>
        <v>blank</v>
      </c>
      <c r="AQ2158" s="542" t="str">
        <f t="shared" si="458"/>
        <v>无定金+无預留客戶</v>
      </c>
      <c r="AR2158" s="259" t="str">
        <f t="shared" si="452"/>
        <v/>
      </c>
      <c r="AS2158" s="259" t="str">
        <f t="shared" si="453"/>
        <v/>
      </c>
      <c r="AT2158" s="259" t="b">
        <f t="shared" si="455"/>
        <v>0</v>
      </c>
      <c r="AU2158" s="259" t="b">
        <f t="shared" si="456"/>
        <v>0</v>
      </c>
      <c r="AV2158" s="259" t="str">
        <f t="shared" si="457"/>
        <v>-</v>
      </c>
    </row>
    <row r="2159" spans="41:48">
      <c r="AO2159" s="824" t="str">
        <f t="shared" si="454"/>
        <v>No</v>
      </c>
      <c r="AP2159" s="259" t="str">
        <f t="shared" si="459"/>
        <v>blank</v>
      </c>
      <c r="AQ2159" s="542" t="str">
        <f t="shared" si="458"/>
        <v>无定金+无預留客戶</v>
      </c>
      <c r="AR2159" s="259" t="str">
        <f t="shared" si="452"/>
        <v/>
      </c>
      <c r="AS2159" s="259" t="str">
        <f t="shared" si="453"/>
        <v/>
      </c>
      <c r="AT2159" s="259" t="b">
        <f t="shared" si="455"/>
        <v>0</v>
      </c>
      <c r="AU2159" s="259" t="b">
        <f t="shared" si="456"/>
        <v>0</v>
      </c>
      <c r="AV2159" s="259" t="str">
        <f t="shared" si="457"/>
        <v>-</v>
      </c>
    </row>
    <row r="2160" spans="41:48">
      <c r="AO2160" s="824" t="str">
        <f t="shared" si="454"/>
        <v>No</v>
      </c>
      <c r="AP2160" s="259" t="str">
        <f t="shared" si="459"/>
        <v>blank</v>
      </c>
      <c r="AQ2160" s="542" t="str">
        <f t="shared" si="458"/>
        <v>无定金+无預留客戶</v>
      </c>
      <c r="AR2160" s="259" t="str">
        <f t="shared" si="452"/>
        <v/>
      </c>
      <c r="AS2160" s="259" t="str">
        <f t="shared" si="453"/>
        <v/>
      </c>
      <c r="AT2160" s="259" t="b">
        <f t="shared" si="455"/>
        <v>0</v>
      </c>
      <c r="AU2160" s="259" t="b">
        <f t="shared" si="456"/>
        <v>0</v>
      </c>
      <c r="AV2160" s="259" t="str">
        <f t="shared" si="457"/>
        <v>-</v>
      </c>
    </row>
    <row r="2161" spans="41:48">
      <c r="AO2161" s="824" t="str">
        <f t="shared" si="454"/>
        <v>No</v>
      </c>
      <c r="AP2161" s="259" t="str">
        <f t="shared" si="459"/>
        <v>blank</v>
      </c>
      <c r="AQ2161" s="542" t="str">
        <f t="shared" si="458"/>
        <v>无定金+无預留客戶</v>
      </c>
      <c r="AR2161" s="259" t="str">
        <f t="shared" si="452"/>
        <v/>
      </c>
      <c r="AS2161" s="259" t="str">
        <f t="shared" si="453"/>
        <v/>
      </c>
      <c r="AT2161" s="259" t="b">
        <f t="shared" si="455"/>
        <v>0</v>
      </c>
      <c r="AU2161" s="259" t="b">
        <f t="shared" si="456"/>
        <v>0</v>
      </c>
      <c r="AV2161" s="259" t="str">
        <f t="shared" si="457"/>
        <v>-</v>
      </c>
    </row>
    <row r="2162" spans="41:48">
      <c r="AO2162" s="824" t="str">
        <f t="shared" si="454"/>
        <v>No</v>
      </c>
      <c r="AP2162" s="259" t="str">
        <f t="shared" si="459"/>
        <v>blank</v>
      </c>
      <c r="AQ2162" s="542" t="str">
        <f t="shared" si="458"/>
        <v>无定金+无預留客戶</v>
      </c>
      <c r="AR2162" s="259" t="str">
        <f t="shared" si="452"/>
        <v/>
      </c>
      <c r="AS2162" s="259" t="str">
        <f t="shared" si="453"/>
        <v/>
      </c>
      <c r="AT2162" s="259" t="b">
        <f t="shared" si="455"/>
        <v>0</v>
      </c>
      <c r="AU2162" s="259" t="b">
        <f t="shared" si="456"/>
        <v>0</v>
      </c>
      <c r="AV2162" s="259" t="str">
        <f t="shared" si="457"/>
        <v>-</v>
      </c>
    </row>
    <row r="2163" spans="41:48">
      <c r="AO2163" s="824" t="str">
        <f t="shared" si="454"/>
        <v>No</v>
      </c>
      <c r="AP2163" s="259" t="str">
        <f t="shared" si="459"/>
        <v>blank</v>
      </c>
      <c r="AQ2163" s="542" t="str">
        <f t="shared" si="458"/>
        <v>无定金+无預留客戶</v>
      </c>
      <c r="AR2163" s="259" t="str">
        <f t="shared" si="452"/>
        <v/>
      </c>
      <c r="AS2163" s="259" t="str">
        <f t="shared" si="453"/>
        <v/>
      </c>
      <c r="AT2163" s="259" t="b">
        <f t="shared" si="455"/>
        <v>0</v>
      </c>
      <c r="AU2163" s="259" t="b">
        <f t="shared" si="456"/>
        <v>0</v>
      </c>
      <c r="AV2163" s="259" t="str">
        <f t="shared" si="457"/>
        <v>-</v>
      </c>
    </row>
    <row r="2164" spans="41:48">
      <c r="AO2164" s="824" t="str">
        <f t="shared" si="454"/>
        <v>No</v>
      </c>
      <c r="AP2164" s="259" t="str">
        <f t="shared" si="459"/>
        <v>blank</v>
      </c>
      <c r="AQ2164" s="542" t="str">
        <f t="shared" si="458"/>
        <v>无定金+无預留客戶</v>
      </c>
      <c r="AR2164" s="259" t="str">
        <f t="shared" si="452"/>
        <v/>
      </c>
      <c r="AS2164" s="259" t="str">
        <f t="shared" si="453"/>
        <v/>
      </c>
      <c r="AT2164" s="259" t="b">
        <f t="shared" si="455"/>
        <v>0</v>
      </c>
      <c r="AU2164" s="259" t="b">
        <f t="shared" si="456"/>
        <v>0</v>
      </c>
      <c r="AV2164" s="259" t="str">
        <f t="shared" si="457"/>
        <v>-</v>
      </c>
    </row>
    <row r="2165" spans="41:48">
      <c r="AO2165" s="824" t="str">
        <f t="shared" si="454"/>
        <v>No</v>
      </c>
      <c r="AP2165" s="259" t="str">
        <f t="shared" si="459"/>
        <v>blank</v>
      </c>
      <c r="AQ2165" s="542" t="str">
        <f t="shared" si="458"/>
        <v>无定金+无預留客戶</v>
      </c>
      <c r="AR2165" s="259" t="str">
        <f t="shared" si="452"/>
        <v/>
      </c>
      <c r="AS2165" s="259" t="str">
        <f t="shared" si="453"/>
        <v/>
      </c>
      <c r="AT2165" s="259" t="b">
        <f t="shared" si="455"/>
        <v>0</v>
      </c>
      <c r="AU2165" s="259" t="b">
        <f t="shared" si="456"/>
        <v>0</v>
      </c>
      <c r="AV2165" s="259" t="str">
        <f t="shared" si="457"/>
        <v>-</v>
      </c>
    </row>
    <row r="2166" spans="41:48">
      <c r="AO2166" s="824" t="str">
        <f t="shared" si="454"/>
        <v>No</v>
      </c>
      <c r="AP2166" s="259" t="str">
        <f t="shared" si="459"/>
        <v>blank</v>
      </c>
      <c r="AQ2166" s="542" t="str">
        <f t="shared" si="458"/>
        <v>无定金+无預留客戶</v>
      </c>
      <c r="AR2166" s="259" t="str">
        <f t="shared" si="452"/>
        <v/>
      </c>
      <c r="AS2166" s="259" t="str">
        <f t="shared" si="453"/>
        <v/>
      </c>
      <c r="AT2166" s="259" t="b">
        <f t="shared" si="455"/>
        <v>0</v>
      </c>
      <c r="AU2166" s="259" t="b">
        <f t="shared" si="456"/>
        <v>0</v>
      </c>
      <c r="AV2166" s="259" t="str">
        <f t="shared" si="457"/>
        <v>-</v>
      </c>
    </row>
    <row r="2167" spans="41:48">
      <c r="AO2167" s="824" t="str">
        <f t="shared" si="454"/>
        <v>No</v>
      </c>
      <c r="AP2167" s="259" t="str">
        <f t="shared" si="459"/>
        <v>blank</v>
      </c>
      <c r="AQ2167" s="542" t="str">
        <f t="shared" si="458"/>
        <v>无定金+无預留客戶</v>
      </c>
      <c r="AR2167" s="259" t="str">
        <f t="shared" si="452"/>
        <v/>
      </c>
      <c r="AS2167" s="259" t="str">
        <f t="shared" si="453"/>
        <v/>
      </c>
      <c r="AT2167" s="259" t="b">
        <f t="shared" si="455"/>
        <v>0</v>
      </c>
      <c r="AU2167" s="259" t="b">
        <f t="shared" si="456"/>
        <v>0</v>
      </c>
      <c r="AV2167" s="259" t="str">
        <f t="shared" si="457"/>
        <v>-</v>
      </c>
    </row>
    <row r="2168" spans="41:48">
      <c r="AO2168" s="824" t="str">
        <f t="shared" si="454"/>
        <v>No</v>
      </c>
      <c r="AP2168" s="259" t="str">
        <f t="shared" si="459"/>
        <v>blank</v>
      </c>
      <c r="AQ2168" s="542" t="str">
        <f t="shared" si="458"/>
        <v>无定金+无預留客戶</v>
      </c>
      <c r="AR2168" s="259" t="str">
        <f t="shared" si="452"/>
        <v/>
      </c>
      <c r="AS2168" s="259" t="str">
        <f t="shared" si="453"/>
        <v/>
      </c>
      <c r="AT2168" s="259" t="b">
        <f t="shared" si="455"/>
        <v>0</v>
      </c>
      <c r="AU2168" s="259" t="b">
        <f t="shared" si="456"/>
        <v>0</v>
      </c>
      <c r="AV2168" s="259" t="str">
        <f t="shared" si="457"/>
        <v>-</v>
      </c>
    </row>
    <row r="2169" spans="41:48">
      <c r="AO2169" s="824" t="str">
        <f t="shared" si="454"/>
        <v>No</v>
      </c>
      <c r="AP2169" s="259" t="str">
        <f t="shared" si="459"/>
        <v>blank</v>
      </c>
      <c r="AQ2169" s="542" t="str">
        <f t="shared" si="458"/>
        <v>无定金+无預留客戶</v>
      </c>
      <c r="AR2169" s="259" t="str">
        <f t="shared" si="452"/>
        <v/>
      </c>
      <c r="AS2169" s="259" t="str">
        <f t="shared" si="453"/>
        <v/>
      </c>
      <c r="AT2169" s="259" t="b">
        <f t="shared" si="455"/>
        <v>0</v>
      </c>
      <c r="AU2169" s="259" t="b">
        <f t="shared" si="456"/>
        <v>0</v>
      </c>
      <c r="AV2169" s="259" t="str">
        <f t="shared" si="457"/>
        <v>-</v>
      </c>
    </row>
    <row r="2170" spans="41:48">
      <c r="AO2170" s="824" t="str">
        <f t="shared" si="454"/>
        <v>No</v>
      </c>
      <c r="AP2170" s="259" t="str">
        <f t="shared" si="459"/>
        <v>blank</v>
      </c>
      <c r="AQ2170" s="542" t="str">
        <f t="shared" si="458"/>
        <v>无定金+无預留客戶</v>
      </c>
      <c r="AR2170" s="259" t="str">
        <f t="shared" si="452"/>
        <v/>
      </c>
      <c r="AS2170" s="259" t="str">
        <f t="shared" si="453"/>
        <v/>
      </c>
      <c r="AT2170" s="259" t="b">
        <f t="shared" si="455"/>
        <v>0</v>
      </c>
      <c r="AU2170" s="259" t="b">
        <f t="shared" si="456"/>
        <v>0</v>
      </c>
      <c r="AV2170" s="259" t="str">
        <f t="shared" si="457"/>
        <v>-</v>
      </c>
    </row>
    <row r="2171" spans="41:48">
      <c r="AO2171" s="824" t="str">
        <f t="shared" si="454"/>
        <v>No</v>
      </c>
      <c r="AP2171" s="259" t="str">
        <f t="shared" si="459"/>
        <v>blank</v>
      </c>
      <c r="AQ2171" s="542" t="str">
        <f t="shared" si="458"/>
        <v>无定金+无預留客戶</v>
      </c>
      <c r="AR2171" s="259" t="str">
        <f t="shared" si="452"/>
        <v/>
      </c>
      <c r="AS2171" s="259" t="str">
        <f t="shared" si="453"/>
        <v/>
      </c>
      <c r="AT2171" s="259" t="b">
        <f t="shared" si="455"/>
        <v>0</v>
      </c>
      <c r="AU2171" s="259" t="b">
        <f t="shared" si="456"/>
        <v>0</v>
      </c>
      <c r="AV2171" s="259" t="str">
        <f t="shared" si="457"/>
        <v>-</v>
      </c>
    </row>
    <row r="2172" spans="41:48">
      <c r="AO2172" s="824" t="str">
        <f t="shared" si="454"/>
        <v>No</v>
      </c>
      <c r="AP2172" s="259" t="str">
        <f t="shared" si="459"/>
        <v>blank</v>
      </c>
      <c r="AQ2172" s="542" t="str">
        <f t="shared" si="458"/>
        <v>无定金+无預留客戶</v>
      </c>
      <c r="AR2172" s="259" t="str">
        <f t="shared" si="452"/>
        <v/>
      </c>
      <c r="AS2172" s="259" t="str">
        <f t="shared" si="453"/>
        <v/>
      </c>
      <c r="AT2172" s="259" t="b">
        <f t="shared" si="455"/>
        <v>0</v>
      </c>
      <c r="AU2172" s="259" t="b">
        <f t="shared" si="456"/>
        <v>0</v>
      </c>
      <c r="AV2172" s="259" t="str">
        <f t="shared" si="457"/>
        <v>-</v>
      </c>
    </row>
    <row r="2173" spans="41:48">
      <c r="AO2173" s="824" t="str">
        <f t="shared" si="454"/>
        <v>No</v>
      </c>
      <c r="AP2173" s="259" t="str">
        <f t="shared" si="459"/>
        <v>blank</v>
      </c>
      <c r="AQ2173" s="542" t="str">
        <f t="shared" si="458"/>
        <v>无定金+无預留客戶</v>
      </c>
      <c r="AR2173" s="259" t="str">
        <f t="shared" si="452"/>
        <v/>
      </c>
      <c r="AS2173" s="259" t="str">
        <f t="shared" si="453"/>
        <v/>
      </c>
      <c r="AT2173" s="259" t="b">
        <f t="shared" si="455"/>
        <v>0</v>
      </c>
      <c r="AU2173" s="259" t="b">
        <f t="shared" si="456"/>
        <v>0</v>
      </c>
      <c r="AV2173" s="259" t="str">
        <f t="shared" si="457"/>
        <v>-</v>
      </c>
    </row>
    <row r="2174" spans="41:48">
      <c r="AO2174" s="824" t="str">
        <f t="shared" si="454"/>
        <v>No</v>
      </c>
      <c r="AP2174" s="259" t="str">
        <f t="shared" si="459"/>
        <v>blank</v>
      </c>
      <c r="AQ2174" s="542" t="str">
        <f t="shared" si="458"/>
        <v>无定金+无預留客戶</v>
      </c>
      <c r="AR2174" s="259" t="str">
        <f t="shared" ref="AR2174:AR2237" si="460">IFERROR(IF(B2174="已经到货", "Instock", IF(B2174="有交期", "Incoming_Stock_With_YAMAHA_Schedule", IF(B2174="TBA.", "Incoming_Stock_No_YAMAHA_Schedule", IF(B2174="已发货", "Shipped_Stock", "")))), "")</f>
        <v/>
      </c>
      <c r="AS2174" s="259" t="str">
        <f t="shared" ref="AS2174:AS2237" si="461">IF(AND(B2174="有交期", L2174&lt;&gt;""), L2174, "")</f>
        <v/>
      </c>
      <c r="AT2174" s="259" t="b">
        <f t="shared" si="455"/>
        <v>0</v>
      </c>
      <c r="AU2174" s="259" t="b">
        <f t="shared" si="456"/>
        <v>0</v>
      </c>
      <c r="AV2174" s="259" t="str">
        <f t="shared" si="457"/>
        <v>-</v>
      </c>
    </row>
    <row r="2175" spans="41:48">
      <c r="AO2175" s="824" t="str">
        <f t="shared" si="454"/>
        <v>No</v>
      </c>
      <c r="AP2175" s="259" t="str">
        <f t="shared" si="459"/>
        <v>blank</v>
      </c>
      <c r="AQ2175" s="542" t="str">
        <f t="shared" si="458"/>
        <v>无定金+无預留客戶</v>
      </c>
      <c r="AR2175" s="259" t="str">
        <f t="shared" si="460"/>
        <v/>
      </c>
      <c r="AS2175" s="259" t="str">
        <f t="shared" si="461"/>
        <v/>
      </c>
      <c r="AT2175" s="259" t="b">
        <f t="shared" si="455"/>
        <v>0</v>
      </c>
      <c r="AU2175" s="259" t="b">
        <f t="shared" si="456"/>
        <v>0</v>
      </c>
      <c r="AV2175" s="259" t="str">
        <f t="shared" si="457"/>
        <v>-</v>
      </c>
    </row>
    <row r="2176" spans="41:48">
      <c r="AO2176" s="824" t="str">
        <f t="shared" si="454"/>
        <v>No</v>
      </c>
      <c r="AP2176" s="259" t="str">
        <f t="shared" si="459"/>
        <v>blank</v>
      </c>
      <c r="AQ2176" s="542" t="str">
        <f t="shared" si="458"/>
        <v>无定金+无預留客戶</v>
      </c>
      <c r="AR2176" s="259" t="str">
        <f t="shared" si="460"/>
        <v/>
      </c>
      <c r="AS2176" s="259" t="str">
        <f t="shared" si="461"/>
        <v/>
      </c>
      <c r="AT2176" s="259" t="b">
        <f t="shared" si="455"/>
        <v>0</v>
      </c>
      <c r="AU2176" s="259" t="b">
        <f t="shared" si="456"/>
        <v>0</v>
      </c>
      <c r="AV2176" s="259" t="str">
        <f t="shared" si="457"/>
        <v>-</v>
      </c>
    </row>
    <row r="2177" spans="41:48">
      <c r="AO2177" s="824" t="str">
        <f t="shared" si="454"/>
        <v>No</v>
      </c>
      <c r="AP2177" s="259" t="str">
        <f t="shared" si="459"/>
        <v>blank</v>
      </c>
      <c r="AQ2177" s="542" t="str">
        <f t="shared" si="458"/>
        <v>无定金+无預留客戶</v>
      </c>
      <c r="AR2177" s="259" t="str">
        <f t="shared" si="460"/>
        <v/>
      </c>
      <c r="AS2177" s="259" t="str">
        <f t="shared" si="461"/>
        <v/>
      </c>
      <c r="AT2177" s="259" t="b">
        <f t="shared" si="455"/>
        <v>0</v>
      </c>
      <c r="AU2177" s="259" t="b">
        <f t="shared" si="456"/>
        <v>0</v>
      </c>
      <c r="AV2177" s="259" t="str">
        <f t="shared" si="457"/>
        <v>-</v>
      </c>
    </row>
    <row r="2178" spans="41:48">
      <c r="AO2178" s="824" t="str">
        <f t="shared" ref="AO2178:AO2241" si="462">IFERROR(IF(Y2178&lt;&gt;"",Y2178,"No"),"No")</f>
        <v>No</v>
      </c>
      <c r="AP2178" s="259" t="str">
        <f t="shared" si="459"/>
        <v>blank</v>
      </c>
      <c r="AQ2178" s="542" t="str">
        <f t="shared" si="458"/>
        <v>无定金+无預留客戶</v>
      </c>
      <c r="AR2178" s="259" t="str">
        <f t="shared" si="460"/>
        <v/>
      </c>
      <c r="AS2178" s="259" t="str">
        <f t="shared" si="461"/>
        <v/>
      </c>
      <c r="AT2178" s="259" t="b">
        <f t="shared" ref="AT2178:AT2241" si="463">IFERROR(IF(R2178&lt;&gt;"",R2178),"-")</f>
        <v>0</v>
      </c>
      <c r="AU2178" s="259" t="b">
        <f t="shared" ref="AU2178:AU2241" si="464">IFERROR(IF(Q2178&lt;&gt;"",Q2178),"-")</f>
        <v>0</v>
      </c>
      <c r="AV2178" s="259" t="str">
        <f t="shared" ref="AV2178:AV2241" si="465">IF(L2178="","-",TEXT(L2178,"mmm-dd"))</f>
        <v>-</v>
      </c>
    </row>
    <row r="2179" spans="41:48">
      <c r="AO2179" s="824" t="str">
        <f t="shared" si="462"/>
        <v>No</v>
      </c>
      <c r="AP2179" s="259" t="str">
        <f t="shared" si="459"/>
        <v>blank</v>
      </c>
      <c r="AQ2179" s="542" t="str">
        <f t="shared" ref="AQ2179:AQ2242" si="466">IFERROR(IF(AND(AO2179="Yes", AP2179&lt;&gt;"blank"), "有定金+有預留客戶", IF(AND(AO2179="Yes", AP2179="blank"), "有定金+无客戶送貨期", IF(AND(OR(AO2179="No", ISBLANK(AO2179), AO2179="NA"), AP2179&lt;&gt;"blank"), "无定金+有預留客戶", IF(AND(OR(AO2179="No", ISBLANK(AO2179), AO2179="NA"), AP2179="blank"), "无定金+无預留客戶", "")))), "")</f>
        <v>无定金+无預留客戶</v>
      </c>
      <c r="AR2179" s="259" t="str">
        <f t="shared" si="460"/>
        <v/>
      </c>
      <c r="AS2179" s="259" t="str">
        <f t="shared" si="461"/>
        <v/>
      </c>
      <c r="AT2179" s="259" t="b">
        <f t="shared" si="463"/>
        <v>0</v>
      </c>
      <c r="AU2179" s="259" t="b">
        <f t="shared" si="464"/>
        <v>0</v>
      </c>
      <c r="AV2179" s="259" t="str">
        <f t="shared" si="465"/>
        <v>-</v>
      </c>
    </row>
    <row r="2180" spans="41:48">
      <c r="AO2180" s="824" t="str">
        <f t="shared" si="462"/>
        <v>No</v>
      </c>
      <c r="AP2180" s="259" t="str">
        <f t="shared" si="459"/>
        <v>blank</v>
      </c>
      <c r="AQ2180" s="542" t="str">
        <f t="shared" si="466"/>
        <v>无定金+无預留客戶</v>
      </c>
      <c r="AR2180" s="259" t="str">
        <f t="shared" si="460"/>
        <v/>
      </c>
      <c r="AS2180" s="259" t="str">
        <f t="shared" si="461"/>
        <v/>
      </c>
      <c r="AT2180" s="259" t="b">
        <f t="shared" si="463"/>
        <v>0</v>
      </c>
      <c r="AU2180" s="259" t="b">
        <f t="shared" si="464"/>
        <v>0</v>
      </c>
      <c r="AV2180" s="259" t="str">
        <f t="shared" si="465"/>
        <v>-</v>
      </c>
    </row>
    <row r="2181" spans="41:48">
      <c r="AO2181" s="824" t="str">
        <f t="shared" si="462"/>
        <v>No</v>
      </c>
      <c r="AP2181" s="259" t="str">
        <f t="shared" si="459"/>
        <v>blank</v>
      </c>
      <c r="AQ2181" s="542" t="str">
        <f t="shared" si="466"/>
        <v>无定金+无預留客戶</v>
      </c>
      <c r="AR2181" s="259" t="str">
        <f t="shared" si="460"/>
        <v/>
      </c>
      <c r="AS2181" s="259" t="str">
        <f t="shared" si="461"/>
        <v/>
      </c>
      <c r="AT2181" s="259" t="b">
        <f t="shared" si="463"/>
        <v>0</v>
      </c>
      <c r="AU2181" s="259" t="b">
        <f t="shared" si="464"/>
        <v>0</v>
      </c>
      <c r="AV2181" s="259" t="str">
        <f t="shared" si="465"/>
        <v>-</v>
      </c>
    </row>
    <row r="2182" spans="41:48">
      <c r="AO2182" s="824" t="str">
        <f t="shared" si="462"/>
        <v>No</v>
      </c>
      <c r="AP2182" s="259" t="str">
        <f t="shared" ref="AP2182:AP2245" si="467">IFERROR(IF(N2182&lt;&gt;"",N2182,"blank"),"NA")</f>
        <v>blank</v>
      </c>
      <c r="AQ2182" s="542" t="str">
        <f t="shared" si="466"/>
        <v>无定金+无預留客戶</v>
      </c>
      <c r="AR2182" s="259" t="str">
        <f t="shared" si="460"/>
        <v/>
      </c>
      <c r="AS2182" s="259" t="str">
        <f t="shared" si="461"/>
        <v/>
      </c>
      <c r="AT2182" s="259" t="b">
        <f t="shared" si="463"/>
        <v>0</v>
      </c>
      <c r="AU2182" s="259" t="b">
        <f t="shared" si="464"/>
        <v>0</v>
      </c>
      <c r="AV2182" s="259" t="str">
        <f t="shared" si="465"/>
        <v>-</v>
      </c>
    </row>
    <row r="2183" spans="41:48">
      <c r="AO2183" s="824" t="str">
        <f t="shared" si="462"/>
        <v>No</v>
      </c>
      <c r="AP2183" s="259" t="str">
        <f t="shared" si="467"/>
        <v>blank</v>
      </c>
      <c r="AQ2183" s="542" t="str">
        <f t="shared" si="466"/>
        <v>无定金+无預留客戶</v>
      </c>
      <c r="AR2183" s="259" t="str">
        <f t="shared" si="460"/>
        <v/>
      </c>
      <c r="AS2183" s="259" t="str">
        <f t="shared" si="461"/>
        <v/>
      </c>
      <c r="AT2183" s="259" t="b">
        <f t="shared" si="463"/>
        <v>0</v>
      </c>
      <c r="AU2183" s="259" t="b">
        <f t="shared" si="464"/>
        <v>0</v>
      </c>
      <c r="AV2183" s="259" t="str">
        <f t="shared" si="465"/>
        <v>-</v>
      </c>
    </row>
    <row r="2184" spans="41:48">
      <c r="AO2184" s="824" t="str">
        <f t="shared" si="462"/>
        <v>No</v>
      </c>
      <c r="AP2184" s="259" t="str">
        <f t="shared" si="467"/>
        <v>blank</v>
      </c>
      <c r="AQ2184" s="542" t="str">
        <f t="shared" si="466"/>
        <v>无定金+无預留客戶</v>
      </c>
      <c r="AR2184" s="259" t="str">
        <f t="shared" si="460"/>
        <v/>
      </c>
      <c r="AS2184" s="259" t="str">
        <f t="shared" si="461"/>
        <v/>
      </c>
      <c r="AT2184" s="259" t="b">
        <f t="shared" si="463"/>
        <v>0</v>
      </c>
      <c r="AU2184" s="259" t="b">
        <f t="shared" si="464"/>
        <v>0</v>
      </c>
      <c r="AV2184" s="259" t="str">
        <f t="shared" si="465"/>
        <v>-</v>
      </c>
    </row>
    <row r="2185" spans="41:48">
      <c r="AO2185" s="824" t="str">
        <f t="shared" si="462"/>
        <v>No</v>
      </c>
      <c r="AP2185" s="259" t="str">
        <f t="shared" si="467"/>
        <v>blank</v>
      </c>
      <c r="AQ2185" s="542" t="str">
        <f t="shared" si="466"/>
        <v>无定金+无預留客戶</v>
      </c>
      <c r="AR2185" s="259" t="str">
        <f t="shared" si="460"/>
        <v/>
      </c>
      <c r="AS2185" s="259" t="str">
        <f t="shared" si="461"/>
        <v/>
      </c>
      <c r="AT2185" s="259" t="b">
        <f t="shared" si="463"/>
        <v>0</v>
      </c>
      <c r="AU2185" s="259" t="b">
        <f t="shared" si="464"/>
        <v>0</v>
      </c>
      <c r="AV2185" s="259" t="str">
        <f t="shared" si="465"/>
        <v>-</v>
      </c>
    </row>
    <row r="2186" spans="41:48">
      <c r="AO2186" s="824" t="str">
        <f t="shared" si="462"/>
        <v>No</v>
      </c>
      <c r="AP2186" s="259" t="str">
        <f t="shared" si="467"/>
        <v>blank</v>
      </c>
      <c r="AQ2186" s="542" t="str">
        <f t="shared" si="466"/>
        <v>无定金+无預留客戶</v>
      </c>
      <c r="AR2186" s="259" t="str">
        <f t="shared" si="460"/>
        <v/>
      </c>
      <c r="AS2186" s="259" t="str">
        <f t="shared" si="461"/>
        <v/>
      </c>
      <c r="AT2186" s="259" t="b">
        <f t="shared" si="463"/>
        <v>0</v>
      </c>
      <c r="AU2186" s="259" t="b">
        <f t="shared" si="464"/>
        <v>0</v>
      </c>
      <c r="AV2186" s="259" t="str">
        <f t="shared" si="465"/>
        <v>-</v>
      </c>
    </row>
    <row r="2187" spans="41:48">
      <c r="AO2187" s="824" t="str">
        <f t="shared" si="462"/>
        <v>No</v>
      </c>
      <c r="AP2187" s="259" t="str">
        <f t="shared" si="467"/>
        <v>blank</v>
      </c>
      <c r="AQ2187" s="542" t="str">
        <f t="shared" si="466"/>
        <v>无定金+无預留客戶</v>
      </c>
      <c r="AR2187" s="259" t="str">
        <f t="shared" si="460"/>
        <v/>
      </c>
      <c r="AS2187" s="259" t="str">
        <f t="shared" si="461"/>
        <v/>
      </c>
      <c r="AT2187" s="259" t="b">
        <f t="shared" si="463"/>
        <v>0</v>
      </c>
      <c r="AU2187" s="259" t="b">
        <f t="shared" si="464"/>
        <v>0</v>
      </c>
      <c r="AV2187" s="259" t="str">
        <f t="shared" si="465"/>
        <v>-</v>
      </c>
    </row>
    <row r="2188" spans="41:48">
      <c r="AO2188" s="824" t="str">
        <f t="shared" si="462"/>
        <v>No</v>
      </c>
      <c r="AP2188" s="259" t="str">
        <f t="shared" si="467"/>
        <v>blank</v>
      </c>
      <c r="AQ2188" s="542" t="str">
        <f t="shared" si="466"/>
        <v>无定金+无預留客戶</v>
      </c>
      <c r="AR2188" s="259" t="str">
        <f t="shared" si="460"/>
        <v/>
      </c>
      <c r="AS2188" s="259" t="str">
        <f t="shared" si="461"/>
        <v/>
      </c>
      <c r="AT2188" s="259" t="b">
        <f t="shared" si="463"/>
        <v>0</v>
      </c>
      <c r="AU2188" s="259" t="b">
        <f t="shared" si="464"/>
        <v>0</v>
      </c>
      <c r="AV2188" s="259" t="str">
        <f t="shared" si="465"/>
        <v>-</v>
      </c>
    </row>
    <row r="2189" spans="41:48">
      <c r="AO2189" s="824" t="str">
        <f t="shared" si="462"/>
        <v>No</v>
      </c>
      <c r="AP2189" s="259" t="str">
        <f t="shared" si="467"/>
        <v>blank</v>
      </c>
      <c r="AQ2189" s="542" t="str">
        <f t="shared" si="466"/>
        <v>无定金+无預留客戶</v>
      </c>
      <c r="AR2189" s="259" t="str">
        <f t="shared" si="460"/>
        <v/>
      </c>
      <c r="AS2189" s="259" t="str">
        <f t="shared" si="461"/>
        <v/>
      </c>
      <c r="AT2189" s="259" t="b">
        <f t="shared" si="463"/>
        <v>0</v>
      </c>
      <c r="AU2189" s="259" t="b">
        <f t="shared" si="464"/>
        <v>0</v>
      </c>
      <c r="AV2189" s="259" t="str">
        <f t="shared" si="465"/>
        <v>-</v>
      </c>
    </row>
    <row r="2190" spans="41:48">
      <c r="AO2190" s="824" t="str">
        <f t="shared" si="462"/>
        <v>No</v>
      </c>
      <c r="AP2190" s="259" t="str">
        <f t="shared" si="467"/>
        <v>blank</v>
      </c>
      <c r="AQ2190" s="542" t="str">
        <f t="shared" si="466"/>
        <v>无定金+无預留客戶</v>
      </c>
      <c r="AR2190" s="259" t="str">
        <f t="shared" si="460"/>
        <v/>
      </c>
      <c r="AS2190" s="259" t="str">
        <f t="shared" si="461"/>
        <v/>
      </c>
      <c r="AT2190" s="259" t="b">
        <f t="shared" si="463"/>
        <v>0</v>
      </c>
      <c r="AU2190" s="259" t="b">
        <f t="shared" si="464"/>
        <v>0</v>
      </c>
      <c r="AV2190" s="259" t="str">
        <f t="shared" si="465"/>
        <v>-</v>
      </c>
    </row>
    <row r="2191" spans="41:48">
      <c r="AO2191" s="824" t="str">
        <f t="shared" si="462"/>
        <v>No</v>
      </c>
      <c r="AP2191" s="259" t="str">
        <f t="shared" si="467"/>
        <v>blank</v>
      </c>
      <c r="AQ2191" s="542" t="str">
        <f t="shared" si="466"/>
        <v>无定金+无預留客戶</v>
      </c>
      <c r="AR2191" s="259" t="str">
        <f t="shared" si="460"/>
        <v/>
      </c>
      <c r="AS2191" s="259" t="str">
        <f t="shared" si="461"/>
        <v/>
      </c>
      <c r="AT2191" s="259" t="b">
        <f t="shared" si="463"/>
        <v>0</v>
      </c>
      <c r="AU2191" s="259" t="b">
        <f t="shared" si="464"/>
        <v>0</v>
      </c>
      <c r="AV2191" s="259" t="str">
        <f t="shared" si="465"/>
        <v>-</v>
      </c>
    </row>
    <row r="2192" spans="41:48">
      <c r="AO2192" s="824" t="str">
        <f t="shared" si="462"/>
        <v>No</v>
      </c>
      <c r="AP2192" s="259" t="str">
        <f t="shared" si="467"/>
        <v>blank</v>
      </c>
      <c r="AQ2192" s="542" t="str">
        <f t="shared" si="466"/>
        <v>无定金+无預留客戶</v>
      </c>
      <c r="AR2192" s="259" t="str">
        <f t="shared" si="460"/>
        <v/>
      </c>
      <c r="AS2192" s="259" t="str">
        <f t="shared" si="461"/>
        <v/>
      </c>
      <c r="AT2192" s="259" t="b">
        <f t="shared" si="463"/>
        <v>0</v>
      </c>
      <c r="AU2192" s="259" t="b">
        <f t="shared" si="464"/>
        <v>0</v>
      </c>
      <c r="AV2192" s="259" t="str">
        <f t="shared" si="465"/>
        <v>-</v>
      </c>
    </row>
    <row r="2193" spans="41:48">
      <c r="AO2193" s="824" t="str">
        <f t="shared" si="462"/>
        <v>No</v>
      </c>
      <c r="AP2193" s="259" t="str">
        <f t="shared" si="467"/>
        <v>blank</v>
      </c>
      <c r="AQ2193" s="542" t="str">
        <f t="shared" si="466"/>
        <v>无定金+无預留客戶</v>
      </c>
      <c r="AR2193" s="259" t="str">
        <f t="shared" si="460"/>
        <v/>
      </c>
      <c r="AS2193" s="259" t="str">
        <f t="shared" si="461"/>
        <v/>
      </c>
      <c r="AT2193" s="259" t="b">
        <f t="shared" si="463"/>
        <v>0</v>
      </c>
      <c r="AU2193" s="259" t="b">
        <f t="shared" si="464"/>
        <v>0</v>
      </c>
      <c r="AV2193" s="259" t="str">
        <f t="shared" si="465"/>
        <v>-</v>
      </c>
    </row>
    <row r="2194" spans="41:48">
      <c r="AO2194" s="824" t="str">
        <f t="shared" si="462"/>
        <v>No</v>
      </c>
      <c r="AP2194" s="259" t="str">
        <f t="shared" si="467"/>
        <v>blank</v>
      </c>
      <c r="AQ2194" s="542" t="str">
        <f t="shared" si="466"/>
        <v>无定金+无預留客戶</v>
      </c>
      <c r="AR2194" s="259" t="str">
        <f t="shared" si="460"/>
        <v/>
      </c>
      <c r="AS2194" s="259" t="str">
        <f t="shared" si="461"/>
        <v/>
      </c>
      <c r="AT2194" s="259" t="b">
        <f t="shared" si="463"/>
        <v>0</v>
      </c>
      <c r="AU2194" s="259" t="b">
        <f t="shared" si="464"/>
        <v>0</v>
      </c>
      <c r="AV2194" s="259" t="str">
        <f t="shared" si="465"/>
        <v>-</v>
      </c>
    </row>
    <row r="2195" spans="41:48">
      <c r="AO2195" s="824" t="str">
        <f t="shared" si="462"/>
        <v>No</v>
      </c>
      <c r="AP2195" s="259" t="str">
        <f t="shared" si="467"/>
        <v>blank</v>
      </c>
      <c r="AQ2195" s="542" t="str">
        <f t="shared" si="466"/>
        <v>无定金+无預留客戶</v>
      </c>
      <c r="AR2195" s="259" t="str">
        <f t="shared" si="460"/>
        <v/>
      </c>
      <c r="AS2195" s="259" t="str">
        <f t="shared" si="461"/>
        <v/>
      </c>
      <c r="AT2195" s="259" t="b">
        <f t="shared" si="463"/>
        <v>0</v>
      </c>
      <c r="AU2195" s="259" t="b">
        <f t="shared" si="464"/>
        <v>0</v>
      </c>
      <c r="AV2195" s="259" t="str">
        <f t="shared" si="465"/>
        <v>-</v>
      </c>
    </row>
    <row r="2196" spans="41:48">
      <c r="AO2196" s="824" t="str">
        <f t="shared" si="462"/>
        <v>No</v>
      </c>
      <c r="AP2196" s="259" t="str">
        <f t="shared" si="467"/>
        <v>blank</v>
      </c>
      <c r="AQ2196" s="542" t="str">
        <f t="shared" si="466"/>
        <v>无定金+无預留客戶</v>
      </c>
      <c r="AR2196" s="259" t="str">
        <f t="shared" si="460"/>
        <v/>
      </c>
      <c r="AS2196" s="259" t="str">
        <f t="shared" si="461"/>
        <v/>
      </c>
      <c r="AT2196" s="259" t="b">
        <f t="shared" si="463"/>
        <v>0</v>
      </c>
      <c r="AU2196" s="259" t="b">
        <f t="shared" si="464"/>
        <v>0</v>
      </c>
      <c r="AV2196" s="259" t="str">
        <f t="shared" si="465"/>
        <v>-</v>
      </c>
    </row>
    <row r="2197" spans="41:48">
      <c r="AO2197" s="824" t="str">
        <f t="shared" si="462"/>
        <v>No</v>
      </c>
      <c r="AP2197" s="259" t="str">
        <f t="shared" si="467"/>
        <v>blank</v>
      </c>
      <c r="AQ2197" s="542" t="str">
        <f t="shared" si="466"/>
        <v>无定金+无預留客戶</v>
      </c>
      <c r="AR2197" s="259" t="str">
        <f t="shared" si="460"/>
        <v/>
      </c>
      <c r="AS2197" s="259" t="str">
        <f t="shared" si="461"/>
        <v/>
      </c>
      <c r="AT2197" s="259" t="b">
        <f t="shared" si="463"/>
        <v>0</v>
      </c>
      <c r="AU2197" s="259" t="b">
        <f t="shared" si="464"/>
        <v>0</v>
      </c>
      <c r="AV2197" s="259" t="str">
        <f t="shared" si="465"/>
        <v>-</v>
      </c>
    </row>
    <row r="2198" spans="41:48">
      <c r="AO2198" s="824" t="str">
        <f t="shared" si="462"/>
        <v>No</v>
      </c>
      <c r="AP2198" s="259" t="str">
        <f t="shared" si="467"/>
        <v>blank</v>
      </c>
      <c r="AQ2198" s="542" t="str">
        <f t="shared" si="466"/>
        <v>无定金+无預留客戶</v>
      </c>
      <c r="AR2198" s="259" t="str">
        <f t="shared" si="460"/>
        <v/>
      </c>
      <c r="AS2198" s="259" t="str">
        <f t="shared" si="461"/>
        <v/>
      </c>
      <c r="AT2198" s="259" t="b">
        <f t="shared" si="463"/>
        <v>0</v>
      </c>
      <c r="AU2198" s="259" t="b">
        <f t="shared" si="464"/>
        <v>0</v>
      </c>
      <c r="AV2198" s="259" t="str">
        <f t="shared" si="465"/>
        <v>-</v>
      </c>
    </row>
    <row r="2199" spans="41:48">
      <c r="AO2199" s="824" t="str">
        <f t="shared" si="462"/>
        <v>No</v>
      </c>
      <c r="AP2199" s="259" t="str">
        <f t="shared" si="467"/>
        <v>blank</v>
      </c>
      <c r="AQ2199" s="542" t="str">
        <f t="shared" si="466"/>
        <v>无定金+无預留客戶</v>
      </c>
      <c r="AR2199" s="259" t="str">
        <f t="shared" si="460"/>
        <v/>
      </c>
      <c r="AS2199" s="259" t="str">
        <f t="shared" si="461"/>
        <v/>
      </c>
      <c r="AT2199" s="259" t="b">
        <f t="shared" si="463"/>
        <v>0</v>
      </c>
      <c r="AU2199" s="259" t="b">
        <f t="shared" si="464"/>
        <v>0</v>
      </c>
      <c r="AV2199" s="259" t="str">
        <f t="shared" si="465"/>
        <v>-</v>
      </c>
    </row>
    <row r="2200" spans="41:48">
      <c r="AO2200" s="824" t="str">
        <f t="shared" si="462"/>
        <v>No</v>
      </c>
      <c r="AP2200" s="259" t="str">
        <f t="shared" si="467"/>
        <v>blank</v>
      </c>
      <c r="AQ2200" s="542" t="str">
        <f t="shared" si="466"/>
        <v>无定金+无預留客戶</v>
      </c>
      <c r="AR2200" s="259" t="str">
        <f t="shared" si="460"/>
        <v/>
      </c>
      <c r="AS2200" s="259" t="str">
        <f t="shared" si="461"/>
        <v/>
      </c>
      <c r="AT2200" s="259" t="b">
        <f t="shared" si="463"/>
        <v>0</v>
      </c>
      <c r="AU2200" s="259" t="b">
        <f t="shared" si="464"/>
        <v>0</v>
      </c>
      <c r="AV2200" s="259" t="str">
        <f t="shared" si="465"/>
        <v>-</v>
      </c>
    </row>
    <row r="2201" spans="41:48">
      <c r="AO2201" s="824" t="str">
        <f t="shared" si="462"/>
        <v>No</v>
      </c>
      <c r="AP2201" s="259" t="str">
        <f t="shared" si="467"/>
        <v>blank</v>
      </c>
      <c r="AQ2201" s="542" t="str">
        <f t="shared" si="466"/>
        <v>无定金+无預留客戶</v>
      </c>
      <c r="AR2201" s="259" t="str">
        <f t="shared" si="460"/>
        <v/>
      </c>
      <c r="AS2201" s="259" t="str">
        <f t="shared" si="461"/>
        <v/>
      </c>
      <c r="AT2201" s="259" t="b">
        <f t="shared" si="463"/>
        <v>0</v>
      </c>
      <c r="AU2201" s="259" t="b">
        <f t="shared" si="464"/>
        <v>0</v>
      </c>
      <c r="AV2201" s="259" t="str">
        <f t="shared" si="465"/>
        <v>-</v>
      </c>
    </row>
    <row r="2202" spans="41:48">
      <c r="AO2202" s="824" t="str">
        <f t="shared" si="462"/>
        <v>No</v>
      </c>
      <c r="AP2202" s="259" t="str">
        <f t="shared" si="467"/>
        <v>blank</v>
      </c>
      <c r="AQ2202" s="542" t="str">
        <f t="shared" si="466"/>
        <v>无定金+无預留客戶</v>
      </c>
      <c r="AR2202" s="259" t="str">
        <f t="shared" si="460"/>
        <v/>
      </c>
      <c r="AS2202" s="259" t="str">
        <f t="shared" si="461"/>
        <v/>
      </c>
      <c r="AT2202" s="259" t="b">
        <f t="shared" si="463"/>
        <v>0</v>
      </c>
      <c r="AU2202" s="259" t="b">
        <f t="shared" si="464"/>
        <v>0</v>
      </c>
      <c r="AV2202" s="259" t="str">
        <f t="shared" si="465"/>
        <v>-</v>
      </c>
    </row>
    <row r="2203" spans="41:48">
      <c r="AO2203" s="824" t="str">
        <f t="shared" si="462"/>
        <v>No</v>
      </c>
      <c r="AP2203" s="259" t="str">
        <f t="shared" si="467"/>
        <v>blank</v>
      </c>
      <c r="AQ2203" s="542" t="str">
        <f t="shared" si="466"/>
        <v>无定金+无預留客戶</v>
      </c>
      <c r="AR2203" s="259" t="str">
        <f t="shared" si="460"/>
        <v/>
      </c>
      <c r="AS2203" s="259" t="str">
        <f t="shared" si="461"/>
        <v/>
      </c>
      <c r="AT2203" s="259" t="b">
        <f t="shared" si="463"/>
        <v>0</v>
      </c>
      <c r="AU2203" s="259" t="b">
        <f t="shared" si="464"/>
        <v>0</v>
      </c>
      <c r="AV2203" s="259" t="str">
        <f t="shared" si="465"/>
        <v>-</v>
      </c>
    </row>
    <row r="2204" spans="41:48">
      <c r="AO2204" s="824" t="str">
        <f t="shared" si="462"/>
        <v>No</v>
      </c>
      <c r="AP2204" s="259" t="str">
        <f t="shared" si="467"/>
        <v>blank</v>
      </c>
      <c r="AQ2204" s="542" t="str">
        <f t="shared" si="466"/>
        <v>无定金+无預留客戶</v>
      </c>
      <c r="AR2204" s="259" t="str">
        <f t="shared" si="460"/>
        <v/>
      </c>
      <c r="AS2204" s="259" t="str">
        <f t="shared" si="461"/>
        <v/>
      </c>
      <c r="AT2204" s="259" t="b">
        <f t="shared" si="463"/>
        <v>0</v>
      </c>
      <c r="AU2204" s="259" t="b">
        <f t="shared" si="464"/>
        <v>0</v>
      </c>
      <c r="AV2204" s="259" t="str">
        <f t="shared" si="465"/>
        <v>-</v>
      </c>
    </row>
    <row r="2205" spans="41:48">
      <c r="AO2205" s="824" t="str">
        <f t="shared" si="462"/>
        <v>No</v>
      </c>
      <c r="AP2205" s="259" t="str">
        <f t="shared" si="467"/>
        <v>blank</v>
      </c>
      <c r="AQ2205" s="542" t="str">
        <f t="shared" si="466"/>
        <v>无定金+无預留客戶</v>
      </c>
      <c r="AR2205" s="259" t="str">
        <f t="shared" si="460"/>
        <v/>
      </c>
      <c r="AS2205" s="259" t="str">
        <f t="shared" si="461"/>
        <v/>
      </c>
      <c r="AT2205" s="259" t="b">
        <f t="shared" si="463"/>
        <v>0</v>
      </c>
      <c r="AU2205" s="259" t="b">
        <f t="shared" si="464"/>
        <v>0</v>
      </c>
      <c r="AV2205" s="259" t="str">
        <f t="shared" si="465"/>
        <v>-</v>
      </c>
    </row>
    <row r="2206" spans="41:48">
      <c r="AO2206" s="824" t="str">
        <f t="shared" si="462"/>
        <v>No</v>
      </c>
      <c r="AP2206" s="259" t="str">
        <f t="shared" si="467"/>
        <v>blank</v>
      </c>
      <c r="AQ2206" s="542" t="str">
        <f t="shared" si="466"/>
        <v>无定金+无預留客戶</v>
      </c>
      <c r="AR2206" s="259" t="str">
        <f t="shared" si="460"/>
        <v/>
      </c>
      <c r="AS2206" s="259" t="str">
        <f t="shared" si="461"/>
        <v/>
      </c>
      <c r="AT2206" s="259" t="b">
        <f t="shared" si="463"/>
        <v>0</v>
      </c>
      <c r="AU2206" s="259" t="b">
        <f t="shared" si="464"/>
        <v>0</v>
      </c>
      <c r="AV2206" s="259" t="str">
        <f t="shared" si="465"/>
        <v>-</v>
      </c>
    </row>
    <row r="2207" spans="41:48">
      <c r="AO2207" s="824" t="str">
        <f t="shared" si="462"/>
        <v>No</v>
      </c>
      <c r="AP2207" s="259" t="str">
        <f t="shared" si="467"/>
        <v>blank</v>
      </c>
      <c r="AQ2207" s="542" t="str">
        <f t="shared" si="466"/>
        <v>无定金+无預留客戶</v>
      </c>
      <c r="AR2207" s="259" t="str">
        <f t="shared" si="460"/>
        <v/>
      </c>
      <c r="AS2207" s="259" t="str">
        <f t="shared" si="461"/>
        <v/>
      </c>
      <c r="AT2207" s="259" t="b">
        <f t="shared" si="463"/>
        <v>0</v>
      </c>
      <c r="AU2207" s="259" t="b">
        <f t="shared" si="464"/>
        <v>0</v>
      </c>
      <c r="AV2207" s="259" t="str">
        <f t="shared" si="465"/>
        <v>-</v>
      </c>
    </row>
    <row r="2208" spans="41:48">
      <c r="AO2208" s="824" t="str">
        <f t="shared" si="462"/>
        <v>No</v>
      </c>
      <c r="AP2208" s="259" t="str">
        <f t="shared" si="467"/>
        <v>blank</v>
      </c>
      <c r="AQ2208" s="542" t="str">
        <f t="shared" si="466"/>
        <v>无定金+无預留客戶</v>
      </c>
      <c r="AR2208" s="259" t="str">
        <f t="shared" si="460"/>
        <v/>
      </c>
      <c r="AS2208" s="259" t="str">
        <f t="shared" si="461"/>
        <v/>
      </c>
      <c r="AT2208" s="259" t="b">
        <f t="shared" si="463"/>
        <v>0</v>
      </c>
      <c r="AU2208" s="259" t="b">
        <f t="shared" si="464"/>
        <v>0</v>
      </c>
      <c r="AV2208" s="259" t="str">
        <f t="shared" si="465"/>
        <v>-</v>
      </c>
    </row>
    <row r="2209" spans="41:48">
      <c r="AO2209" s="824" t="str">
        <f t="shared" si="462"/>
        <v>No</v>
      </c>
      <c r="AP2209" s="259" t="str">
        <f t="shared" si="467"/>
        <v>blank</v>
      </c>
      <c r="AQ2209" s="542" t="str">
        <f t="shared" si="466"/>
        <v>无定金+无預留客戶</v>
      </c>
      <c r="AR2209" s="259" t="str">
        <f t="shared" si="460"/>
        <v/>
      </c>
      <c r="AS2209" s="259" t="str">
        <f t="shared" si="461"/>
        <v/>
      </c>
      <c r="AT2209" s="259" t="b">
        <f t="shared" si="463"/>
        <v>0</v>
      </c>
      <c r="AU2209" s="259" t="b">
        <f t="shared" si="464"/>
        <v>0</v>
      </c>
      <c r="AV2209" s="259" t="str">
        <f t="shared" si="465"/>
        <v>-</v>
      </c>
    </row>
    <row r="2210" spans="41:48">
      <c r="AO2210" s="824" t="str">
        <f t="shared" si="462"/>
        <v>No</v>
      </c>
      <c r="AP2210" s="259" t="str">
        <f t="shared" si="467"/>
        <v>blank</v>
      </c>
      <c r="AQ2210" s="542" t="str">
        <f t="shared" si="466"/>
        <v>无定金+无預留客戶</v>
      </c>
      <c r="AR2210" s="259" t="str">
        <f t="shared" si="460"/>
        <v/>
      </c>
      <c r="AS2210" s="259" t="str">
        <f t="shared" si="461"/>
        <v/>
      </c>
      <c r="AT2210" s="259" t="b">
        <f t="shared" si="463"/>
        <v>0</v>
      </c>
      <c r="AU2210" s="259" t="b">
        <f t="shared" si="464"/>
        <v>0</v>
      </c>
      <c r="AV2210" s="259" t="str">
        <f t="shared" si="465"/>
        <v>-</v>
      </c>
    </row>
    <row r="2211" spans="41:48">
      <c r="AO2211" s="824" t="str">
        <f t="shared" si="462"/>
        <v>No</v>
      </c>
      <c r="AP2211" s="259" t="str">
        <f t="shared" si="467"/>
        <v>blank</v>
      </c>
      <c r="AQ2211" s="542" t="str">
        <f t="shared" si="466"/>
        <v>无定金+无預留客戶</v>
      </c>
      <c r="AR2211" s="259" t="str">
        <f t="shared" si="460"/>
        <v/>
      </c>
      <c r="AS2211" s="259" t="str">
        <f t="shared" si="461"/>
        <v/>
      </c>
      <c r="AT2211" s="259" t="b">
        <f t="shared" si="463"/>
        <v>0</v>
      </c>
      <c r="AU2211" s="259" t="b">
        <f t="shared" si="464"/>
        <v>0</v>
      </c>
      <c r="AV2211" s="259" t="str">
        <f t="shared" si="465"/>
        <v>-</v>
      </c>
    </row>
    <row r="2212" spans="41:48">
      <c r="AO2212" s="824" t="str">
        <f t="shared" si="462"/>
        <v>No</v>
      </c>
      <c r="AP2212" s="259" t="str">
        <f t="shared" si="467"/>
        <v>blank</v>
      </c>
      <c r="AQ2212" s="542" t="str">
        <f t="shared" si="466"/>
        <v>无定金+无預留客戶</v>
      </c>
      <c r="AR2212" s="259" t="str">
        <f t="shared" si="460"/>
        <v/>
      </c>
      <c r="AS2212" s="259" t="str">
        <f t="shared" si="461"/>
        <v/>
      </c>
      <c r="AT2212" s="259" t="b">
        <f t="shared" si="463"/>
        <v>0</v>
      </c>
      <c r="AU2212" s="259" t="b">
        <f t="shared" si="464"/>
        <v>0</v>
      </c>
      <c r="AV2212" s="259" t="str">
        <f t="shared" si="465"/>
        <v>-</v>
      </c>
    </row>
    <row r="2213" spans="41:48">
      <c r="AO2213" s="824" t="str">
        <f t="shared" si="462"/>
        <v>No</v>
      </c>
      <c r="AP2213" s="259" t="str">
        <f t="shared" si="467"/>
        <v>blank</v>
      </c>
      <c r="AQ2213" s="542" t="str">
        <f t="shared" si="466"/>
        <v>无定金+无預留客戶</v>
      </c>
      <c r="AR2213" s="259" t="str">
        <f t="shared" si="460"/>
        <v/>
      </c>
      <c r="AS2213" s="259" t="str">
        <f t="shared" si="461"/>
        <v/>
      </c>
      <c r="AT2213" s="259" t="b">
        <f t="shared" si="463"/>
        <v>0</v>
      </c>
      <c r="AU2213" s="259" t="b">
        <f t="shared" si="464"/>
        <v>0</v>
      </c>
      <c r="AV2213" s="259" t="str">
        <f t="shared" si="465"/>
        <v>-</v>
      </c>
    </row>
    <row r="2214" spans="41:48">
      <c r="AO2214" s="824" t="str">
        <f t="shared" si="462"/>
        <v>No</v>
      </c>
      <c r="AP2214" s="259" t="str">
        <f t="shared" si="467"/>
        <v>blank</v>
      </c>
      <c r="AQ2214" s="542" t="str">
        <f t="shared" si="466"/>
        <v>无定金+无預留客戶</v>
      </c>
      <c r="AR2214" s="259" t="str">
        <f t="shared" si="460"/>
        <v/>
      </c>
      <c r="AS2214" s="259" t="str">
        <f t="shared" si="461"/>
        <v/>
      </c>
      <c r="AT2214" s="259" t="b">
        <f t="shared" si="463"/>
        <v>0</v>
      </c>
      <c r="AU2214" s="259" t="b">
        <f t="shared" si="464"/>
        <v>0</v>
      </c>
      <c r="AV2214" s="259" t="str">
        <f t="shared" si="465"/>
        <v>-</v>
      </c>
    </row>
    <row r="2215" spans="41:48">
      <c r="AO2215" s="824" t="str">
        <f t="shared" si="462"/>
        <v>No</v>
      </c>
      <c r="AP2215" s="259" t="str">
        <f t="shared" si="467"/>
        <v>blank</v>
      </c>
      <c r="AQ2215" s="542" t="str">
        <f t="shared" si="466"/>
        <v>无定金+无預留客戶</v>
      </c>
      <c r="AR2215" s="259" t="str">
        <f t="shared" si="460"/>
        <v/>
      </c>
      <c r="AS2215" s="259" t="str">
        <f t="shared" si="461"/>
        <v/>
      </c>
      <c r="AT2215" s="259" t="b">
        <f t="shared" si="463"/>
        <v>0</v>
      </c>
      <c r="AU2215" s="259" t="b">
        <f t="shared" si="464"/>
        <v>0</v>
      </c>
      <c r="AV2215" s="259" t="str">
        <f t="shared" si="465"/>
        <v>-</v>
      </c>
    </row>
    <row r="2216" spans="41:48">
      <c r="AO2216" s="824" t="str">
        <f t="shared" si="462"/>
        <v>No</v>
      </c>
      <c r="AP2216" s="259" t="str">
        <f t="shared" si="467"/>
        <v>blank</v>
      </c>
      <c r="AQ2216" s="542" t="str">
        <f t="shared" si="466"/>
        <v>无定金+无預留客戶</v>
      </c>
      <c r="AR2216" s="259" t="str">
        <f t="shared" si="460"/>
        <v/>
      </c>
      <c r="AS2216" s="259" t="str">
        <f t="shared" si="461"/>
        <v/>
      </c>
      <c r="AT2216" s="259" t="b">
        <f t="shared" si="463"/>
        <v>0</v>
      </c>
      <c r="AU2216" s="259" t="b">
        <f t="shared" si="464"/>
        <v>0</v>
      </c>
      <c r="AV2216" s="259" t="str">
        <f t="shared" si="465"/>
        <v>-</v>
      </c>
    </row>
    <row r="2217" spans="41:48">
      <c r="AO2217" s="824" t="str">
        <f t="shared" si="462"/>
        <v>No</v>
      </c>
      <c r="AP2217" s="259" t="str">
        <f t="shared" si="467"/>
        <v>blank</v>
      </c>
      <c r="AQ2217" s="542" t="str">
        <f t="shared" si="466"/>
        <v>无定金+无預留客戶</v>
      </c>
      <c r="AR2217" s="259" t="str">
        <f t="shared" si="460"/>
        <v/>
      </c>
      <c r="AS2217" s="259" t="str">
        <f t="shared" si="461"/>
        <v/>
      </c>
      <c r="AT2217" s="259" t="b">
        <f t="shared" si="463"/>
        <v>0</v>
      </c>
      <c r="AU2217" s="259" t="b">
        <f t="shared" si="464"/>
        <v>0</v>
      </c>
      <c r="AV2217" s="259" t="str">
        <f t="shared" si="465"/>
        <v>-</v>
      </c>
    </row>
    <row r="2218" spans="41:48">
      <c r="AO2218" s="824" t="str">
        <f t="shared" si="462"/>
        <v>No</v>
      </c>
      <c r="AP2218" s="259" t="str">
        <f t="shared" si="467"/>
        <v>blank</v>
      </c>
      <c r="AQ2218" s="542" t="str">
        <f t="shared" si="466"/>
        <v>无定金+无預留客戶</v>
      </c>
      <c r="AR2218" s="259" t="str">
        <f t="shared" si="460"/>
        <v/>
      </c>
      <c r="AS2218" s="259" t="str">
        <f t="shared" si="461"/>
        <v/>
      </c>
      <c r="AT2218" s="259" t="b">
        <f t="shared" si="463"/>
        <v>0</v>
      </c>
      <c r="AU2218" s="259" t="b">
        <f t="shared" si="464"/>
        <v>0</v>
      </c>
      <c r="AV2218" s="259" t="str">
        <f t="shared" si="465"/>
        <v>-</v>
      </c>
    </row>
    <row r="2219" spans="41:48">
      <c r="AO2219" s="824" t="str">
        <f t="shared" si="462"/>
        <v>No</v>
      </c>
      <c r="AP2219" s="259" t="str">
        <f t="shared" si="467"/>
        <v>blank</v>
      </c>
      <c r="AQ2219" s="542" t="str">
        <f t="shared" si="466"/>
        <v>无定金+无預留客戶</v>
      </c>
      <c r="AR2219" s="259" t="str">
        <f t="shared" si="460"/>
        <v/>
      </c>
      <c r="AS2219" s="259" t="str">
        <f t="shared" si="461"/>
        <v/>
      </c>
      <c r="AT2219" s="259" t="b">
        <f t="shared" si="463"/>
        <v>0</v>
      </c>
      <c r="AU2219" s="259" t="b">
        <f t="shared" si="464"/>
        <v>0</v>
      </c>
      <c r="AV2219" s="259" t="str">
        <f t="shared" si="465"/>
        <v>-</v>
      </c>
    </row>
    <row r="2220" spans="41:48">
      <c r="AO2220" s="824" t="str">
        <f t="shared" si="462"/>
        <v>No</v>
      </c>
      <c r="AP2220" s="259" t="str">
        <f t="shared" si="467"/>
        <v>blank</v>
      </c>
      <c r="AQ2220" s="542" t="str">
        <f t="shared" si="466"/>
        <v>无定金+无預留客戶</v>
      </c>
      <c r="AR2220" s="259" t="str">
        <f t="shared" si="460"/>
        <v/>
      </c>
      <c r="AS2220" s="259" t="str">
        <f t="shared" si="461"/>
        <v/>
      </c>
      <c r="AT2220" s="259" t="b">
        <f t="shared" si="463"/>
        <v>0</v>
      </c>
      <c r="AU2220" s="259" t="b">
        <f t="shared" si="464"/>
        <v>0</v>
      </c>
      <c r="AV2220" s="259" t="str">
        <f t="shared" si="465"/>
        <v>-</v>
      </c>
    </row>
    <row r="2221" spans="41:48">
      <c r="AO2221" s="824" t="str">
        <f t="shared" si="462"/>
        <v>No</v>
      </c>
      <c r="AP2221" s="259" t="str">
        <f t="shared" si="467"/>
        <v>blank</v>
      </c>
      <c r="AQ2221" s="542" t="str">
        <f t="shared" si="466"/>
        <v>无定金+无預留客戶</v>
      </c>
      <c r="AR2221" s="259" t="str">
        <f t="shared" si="460"/>
        <v/>
      </c>
      <c r="AS2221" s="259" t="str">
        <f t="shared" si="461"/>
        <v/>
      </c>
      <c r="AT2221" s="259" t="b">
        <f t="shared" si="463"/>
        <v>0</v>
      </c>
      <c r="AU2221" s="259" t="b">
        <f t="shared" si="464"/>
        <v>0</v>
      </c>
      <c r="AV2221" s="259" t="str">
        <f t="shared" si="465"/>
        <v>-</v>
      </c>
    </row>
    <row r="2222" spans="41:48">
      <c r="AO2222" s="824" t="str">
        <f t="shared" si="462"/>
        <v>No</v>
      </c>
      <c r="AP2222" s="259" t="str">
        <f t="shared" si="467"/>
        <v>blank</v>
      </c>
      <c r="AQ2222" s="542" t="str">
        <f t="shared" si="466"/>
        <v>无定金+无預留客戶</v>
      </c>
      <c r="AR2222" s="259" t="str">
        <f t="shared" si="460"/>
        <v/>
      </c>
      <c r="AS2222" s="259" t="str">
        <f t="shared" si="461"/>
        <v/>
      </c>
      <c r="AT2222" s="259" t="b">
        <f t="shared" si="463"/>
        <v>0</v>
      </c>
      <c r="AU2222" s="259" t="b">
        <f t="shared" si="464"/>
        <v>0</v>
      </c>
      <c r="AV2222" s="259" t="str">
        <f t="shared" si="465"/>
        <v>-</v>
      </c>
    </row>
    <row r="2223" spans="41:48">
      <c r="AO2223" s="824" t="str">
        <f t="shared" si="462"/>
        <v>No</v>
      </c>
      <c r="AP2223" s="259" t="str">
        <f t="shared" si="467"/>
        <v>blank</v>
      </c>
      <c r="AQ2223" s="542" t="str">
        <f t="shared" si="466"/>
        <v>无定金+无預留客戶</v>
      </c>
      <c r="AR2223" s="259" t="str">
        <f t="shared" si="460"/>
        <v/>
      </c>
      <c r="AS2223" s="259" t="str">
        <f t="shared" si="461"/>
        <v/>
      </c>
      <c r="AT2223" s="259" t="b">
        <f t="shared" si="463"/>
        <v>0</v>
      </c>
      <c r="AU2223" s="259" t="b">
        <f t="shared" si="464"/>
        <v>0</v>
      </c>
      <c r="AV2223" s="259" t="str">
        <f t="shared" si="465"/>
        <v>-</v>
      </c>
    </row>
    <row r="2224" spans="41:48">
      <c r="AO2224" s="824" t="str">
        <f t="shared" si="462"/>
        <v>No</v>
      </c>
      <c r="AP2224" s="259" t="str">
        <f t="shared" si="467"/>
        <v>blank</v>
      </c>
      <c r="AQ2224" s="542" t="str">
        <f t="shared" si="466"/>
        <v>无定金+无預留客戶</v>
      </c>
      <c r="AR2224" s="259" t="str">
        <f t="shared" si="460"/>
        <v/>
      </c>
      <c r="AS2224" s="259" t="str">
        <f t="shared" si="461"/>
        <v/>
      </c>
      <c r="AT2224" s="259" t="b">
        <f t="shared" si="463"/>
        <v>0</v>
      </c>
      <c r="AU2224" s="259" t="b">
        <f t="shared" si="464"/>
        <v>0</v>
      </c>
      <c r="AV2224" s="259" t="str">
        <f t="shared" si="465"/>
        <v>-</v>
      </c>
    </row>
    <row r="2225" spans="41:48">
      <c r="AO2225" s="824" t="str">
        <f t="shared" si="462"/>
        <v>No</v>
      </c>
      <c r="AP2225" s="259" t="str">
        <f t="shared" si="467"/>
        <v>blank</v>
      </c>
      <c r="AQ2225" s="542" t="str">
        <f t="shared" si="466"/>
        <v>无定金+无預留客戶</v>
      </c>
      <c r="AR2225" s="259" t="str">
        <f t="shared" si="460"/>
        <v/>
      </c>
      <c r="AS2225" s="259" t="str">
        <f t="shared" si="461"/>
        <v/>
      </c>
      <c r="AT2225" s="259" t="b">
        <f t="shared" si="463"/>
        <v>0</v>
      </c>
      <c r="AU2225" s="259" t="b">
        <f t="shared" si="464"/>
        <v>0</v>
      </c>
      <c r="AV2225" s="259" t="str">
        <f t="shared" si="465"/>
        <v>-</v>
      </c>
    </row>
    <row r="2226" spans="41:48">
      <c r="AO2226" s="824" t="str">
        <f t="shared" si="462"/>
        <v>No</v>
      </c>
      <c r="AP2226" s="259" t="str">
        <f t="shared" si="467"/>
        <v>blank</v>
      </c>
      <c r="AQ2226" s="542" t="str">
        <f t="shared" si="466"/>
        <v>无定金+无預留客戶</v>
      </c>
      <c r="AR2226" s="259" t="str">
        <f t="shared" si="460"/>
        <v/>
      </c>
      <c r="AS2226" s="259" t="str">
        <f t="shared" si="461"/>
        <v/>
      </c>
      <c r="AT2226" s="259" t="b">
        <f t="shared" si="463"/>
        <v>0</v>
      </c>
      <c r="AU2226" s="259" t="b">
        <f t="shared" si="464"/>
        <v>0</v>
      </c>
      <c r="AV2226" s="259" t="str">
        <f t="shared" si="465"/>
        <v>-</v>
      </c>
    </row>
    <row r="2227" spans="41:48">
      <c r="AO2227" s="824" t="str">
        <f t="shared" si="462"/>
        <v>No</v>
      </c>
      <c r="AP2227" s="259" t="str">
        <f t="shared" si="467"/>
        <v>blank</v>
      </c>
      <c r="AQ2227" s="542" t="str">
        <f t="shared" si="466"/>
        <v>无定金+无預留客戶</v>
      </c>
      <c r="AR2227" s="259" t="str">
        <f t="shared" si="460"/>
        <v/>
      </c>
      <c r="AS2227" s="259" t="str">
        <f t="shared" si="461"/>
        <v/>
      </c>
      <c r="AT2227" s="259" t="b">
        <f t="shared" si="463"/>
        <v>0</v>
      </c>
      <c r="AU2227" s="259" t="b">
        <f t="shared" si="464"/>
        <v>0</v>
      </c>
      <c r="AV2227" s="259" t="str">
        <f t="shared" si="465"/>
        <v>-</v>
      </c>
    </row>
    <row r="2228" spans="41:48">
      <c r="AO2228" s="824" t="str">
        <f t="shared" si="462"/>
        <v>No</v>
      </c>
      <c r="AP2228" s="259" t="str">
        <f t="shared" si="467"/>
        <v>blank</v>
      </c>
      <c r="AQ2228" s="542" t="str">
        <f t="shared" si="466"/>
        <v>无定金+无預留客戶</v>
      </c>
      <c r="AR2228" s="259" t="str">
        <f t="shared" si="460"/>
        <v/>
      </c>
      <c r="AS2228" s="259" t="str">
        <f t="shared" si="461"/>
        <v/>
      </c>
      <c r="AT2228" s="259" t="b">
        <f t="shared" si="463"/>
        <v>0</v>
      </c>
      <c r="AU2228" s="259" t="b">
        <f t="shared" si="464"/>
        <v>0</v>
      </c>
      <c r="AV2228" s="259" t="str">
        <f t="shared" si="465"/>
        <v>-</v>
      </c>
    </row>
    <row r="2229" spans="41:48">
      <c r="AO2229" s="824" t="str">
        <f t="shared" si="462"/>
        <v>No</v>
      </c>
      <c r="AP2229" s="259" t="str">
        <f t="shared" si="467"/>
        <v>blank</v>
      </c>
      <c r="AQ2229" s="542" t="str">
        <f t="shared" si="466"/>
        <v>无定金+无預留客戶</v>
      </c>
      <c r="AR2229" s="259" t="str">
        <f t="shared" si="460"/>
        <v/>
      </c>
      <c r="AS2229" s="259" t="str">
        <f t="shared" si="461"/>
        <v/>
      </c>
      <c r="AT2229" s="259" t="b">
        <f t="shared" si="463"/>
        <v>0</v>
      </c>
      <c r="AU2229" s="259" t="b">
        <f t="shared" si="464"/>
        <v>0</v>
      </c>
      <c r="AV2229" s="259" t="str">
        <f t="shared" si="465"/>
        <v>-</v>
      </c>
    </row>
    <row r="2230" spans="41:48">
      <c r="AO2230" s="824" t="str">
        <f t="shared" si="462"/>
        <v>No</v>
      </c>
      <c r="AP2230" s="259" t="str">
        <f t="shared" si="467"/>
        <v>blank</v>
      </c>
      <c r="AQ2230" s="542" t="str">
        <f t="shared" si="466"/>
        <v>无定金+无預留客戶</v>
      </c>
      <c r="AR2230" s="259" t="str">
        <f t="shared" si="460"/>
        <v/>
      </c>
      <c r="AS2230" s="259" t="str">
        <f t="shared" si="461"/>
        <v/>
      </c>
      <c r="AT2230" s="259" t="b">
        <f t="shared" si="463"/>
        <v>0</v>
      </c>
      <c r="AU2230" s="259" t="b">
        <f t="shared" si="464"/>
        <v>0</v>
      </c>
      <c r="AV2230" s="259" t="str">
        <f t="shared" si="465"/>
        <v>-</v>
      </c>
    </row>
    <row r="2231" spans="41:48">
      <c r="AO2231" s="824" t="str">
        <f t="shared" si="462"/>
        <v>No</v>
      </c>
      <c r="AP2231" s="259" t="str">
        <f t="shared" si="467"/>
        <v>blank</v>
      </c>
      <c r="AQ2231" s="542" t="str">
        <f t="shared" si="466"/>
        <v>无定金+无預留客戶</v>
      </c>
      <c r="AR2231" s="259" t="str">
        <f t="shared" si="460"/>
        <v/>
      </c>
      <c r="AS2231" s="259" t="str">
        <f t="shared" si="461"/>
        <v/>
      </c>
      <c r="AT2231" s="259" t="b">
        <f t="shared" si="463"/>
        <v>0</v>
      </c>
      <c r="AU2231" s="259" t="b">
        <f t="shared" si="464"/>
        <v>0</v>
      </c>
      <c r="AV2231" s="259" t="str">
        <f t="shared" si="465"/>
        <v>-</v>
      </c>
    </row>
    <row r="2232" spans="41:48">
      <c r="AO2232" s="824" t="str">
        <f t="shared" si="462"/>
        <v>No</v>
      </c>
      <c r="AP2232" s="259" t="str">
        <f t="shared" si="467"/>
        <v>blank</v>
      </c>
      <c r="AQ2232" s="542" t="str">
        <f t="shared" si="466"/>
        <v>无定金+无預留客戶</v>
      </c>
      <c r="AR2232" s="259" t="str">
        <f t="shared" si="460"/>
        <v/>
      </c>
      <c r="AS2232" s="259" t="str">
        <f t="shared" si="461"/>
        <v/>
      </c>
      <c r="AT2232" s="259" t="b">
        <f t="shared" si="463"/>
        <v>0</v>
      </c>
      <c r="AU2232" s="259" t="b">
        <f t="shared" si="464"/>
        <v>0</v>
      </c>
      <c r="AV2232" s="259" t="str">
        <f t="shared" si="465"/>
        <v>-</v>
      </c>
    </row>
    <row r="2233" spans="41:48">
      <c r="AO2233" s="824" t="str">
        <f t="shared" si="462"/>
        <v>No</v>
      </c>
      <c r="AP2233" s="259" t="str">
        <f t="shared" si="467"/>
        <v>blank</v>
      </c>
      <c r="AQ2233" s="542" t="str">
        <f t="shared" si="466"/>
        <v>无定金+无預留客戶</v>
      </c>
      <c r="AR2233" s="259" t="str">
        <f t="shared" si="460"/>
        <v/>
      </c>
      <c r="AS2233" s="259" t="str">
        <f t="shared" si="461"/>
        <v/>
      </c>
      <c r="AT2233" s="259" t="b">
        <f t="shared" si="463"/>
        <v>0</v>
      </c>
      <c r="AU2233" s="259" t="b">
        <f t="shared" si="464"/>
        <v>0</v>
      </c>
      <c r="AV2233" s="259" t="str">
        <f t="shared" si="465"/>
        <v>-</v>
      </c>
    </row>
    <row r="2234" spans="41:48">
      <c r="AO2234" s="824" t="str">
        <f t="shared" si="462"/>
        <v>No</v>
      </c>
      <c r="AP2234" s="259" t="str">
        <f t="shared" si="467"/>
        <v>blank</v>
      </c>
      <c r="AQ2234" s="542" t="str">
        <f t="shared" si="466"/>
        <v>无定金+无預留客戶</v>
      </c>
      <c r="AR2234" s="259" t="str">
        <f t="shared" si="460"/>
        <v/>
      </c>
      <c r="AS2234" s="259" t="str">
        <f t="shared" si="461"/>
        <v/>
      </c>
      <c r="AT2234" s="259" t="b">
        <f t="shared" si="463"/>
        <v>0</v>
      </c>
      <c r="AU2234" s="259" t="b">
        <f t="shared" si="464"/>
        <v>0</v>
      </c>
      <c r="AV2234" s="259" t="str">
        <f t="shared" si="465"/>
        <v>-</v>
      </c>
    </row>
    <row r="2235" spans="41:48">
      <c r="AO2235" s="824" t="str">
        <f t="shared" si="462"/>
        <v>No</v>
      </c>
      <c r="AP2235" s="259" t="str">
        <f t="shared" si="467"/>
        <v>blank</v>
      </c>
      <c r="AQ2235" s="542" t="str">
        <f t="shared" si="466"/>
        <v>无定金+无預留客戶</v>
      </c>
      <c r="AR2235" s="259" t="str">
        <f t="shared" si="460"/>
        <v/>
      </c>
      <c r="AS2235" s="259" t="str">
        <f t="shared" si="461"/>
        <v/>
      </c>
      <c r="AT2235" s="259" t="b">
        <f t="shared" si="463"/>
        <v>0</v>
      </c>
      <c r="AU2235" s="259" t="b">
        <f t="shared" si="464"/>
        <v>0</v>
      </c>
      <c r="AV2235" s="259" t="str">
        <f t="shared" si="465"/>
        <v>-</v>
      </c>
    </row>
    <row r="2236" spans="41:48">
      <c r="AO2236" s="824" t="str">
        <f t="shared" si="462"/>
        <v>No</v>
      </c>
      <c r="AP2236" s="259" t="str">
        <f t="shared" si="467"/>
        <v>blank</v>
      </c>
      <c r="AQ2236" s="542" t="str">
        <f t="shared" si="466"/>
        <v>无定金+无預留客戶</v>
      </c>
      <c r="AR2236" s="259" t="str">
        <f t="shared" si="460"/>
        <v/>
      </c>
      <c r="AS2236" s="259" t="str">
        <f t="shared" si="461"/>
        <v/>
      </c>
      <c r="AT2236" s="259" t="b">
        <f t="shared" si="463"/>
        <v>0</v>
      </c>
      <c r="AU2236" s="259" t="b">
        <f t="shared" si="464"/>
        <v>0</v>
      </c>
      <c r="AV2236" s="259" t="str">
        <f t="shared" si="465"/>
        <v>-</v>
      </c>
    </row>
    <row r="2237" spans="41:48">
      <c r="AO2237" s="824" t="str">
        <f t="shared" si="462"/>
        <v>No</v>
      </c>
      <c r="AP2237" s="259" t="str">
        <f t="shared" si="467"/>
        <v>blank</v>
      </c>
      <c r="AQ2237" s="542" t="str">
        <f t="shared" si="466"/>
        <v>无定金+无預留客戶</v>
      </c>
      <c r="AR2237" s="259" t="str">
        <f t="shared" si="460"/>
        <v/>
      </c>
      <c r="AS2237" s="259" t="str">
        <f t="shared" si="461"/>
        <v/>
      </c>
      <c r="AT2237" s="259" t="b">
        <f t="shared" si="463"/>
        <v>0</v>
      </c>
      <c r="AU2237" s="259" t="b">
        <f t="shared" si="464"/>
        <v>0</v>
      </c>
      <c r="AV2237" s="259" t="str">
        <f t="shared" si="465"/>
        <v>-</v>
      </c>
    </row>
    <row r="2238" spans="41:48">
      <c r="AO2238" s="824" t="str">
        <f t="shared" si="462"/>
        <v>No</v>
      </c>
      <c r="AP2238" s="259" t="str">
        <f t="shared" si="467"/>
        <v>blank</v>
      </c>
      <c r="AQ2238" s="542" t="str">
        <f t="shared" si="466"/>
        <v>无定金+无預留客戶</v>
      </c>
      <c r="AR2238" s="259" t="str">
        <f t="shared" ref="AR2238:AR2301" si="468">IFERROR(IF(B2238="已经到货", "Instock", IF(B2238="有交期", "Incoming_Stock_With_YAMAHA_Schedule", IF(B2238="TBA.", "Incoming_Stock_No_YAMAHA_Schedule", IF(B2238="已发货", "Shipped_Stock", "")))), "")</f>
        <v/>
      </c>
      <c r="AS2238" s="259" t="str">
        <f t="shared" ref="AS2238:AS2301" si="469">IF(AND(B2238="有交期", L2238&lt;&gt;""), L2238, "")</f>
        <v/>
      </c>
      <c r="AT2238" s="259" t="b">
        <f t="shared" si="463"/>
        <v>0</v>
      </c>
      <c r="AU2238" s="259" t="b">
        <f t="shared" si="464"/>
        <v>0</v>
      </c>
      <c r="AV2238" s="259" t="str">
        <f t="shared" si="465"/>
        <v>-</v>
      </c>
    </row>
    <row r="2239" spans="41:48">
      <c r="AO2239" s="824" t="str">
        <f t="shared" si="462"/>
        <v>No</v>
      </c>
      <c r="AP2239" s="259" t="str">
        <f t="shared" si="467"/>
        <v>blank</v>
      </c>
      <c r="AQ2239" s="542" t="str">
        <f t="shared" si="466"/>
        <v>无定金+无預留客戶</v>
      </c>
      <c r="AR2239" s="259" t="str">
        <f t="shared" si="468"/>
        <v/>
      </c>
      <c r="AS2239" s="259" t="str">
        <f t="shared" si="469"/>
        <v/>
      </c>
      <c r="AT2239" s="259" t="b">
        <f t="shared" si="463"/>
        <v>0</v>
      </c>
      <c r="AU2239" s="259" t="b">
        <f t="shared" si="464"/>
        <v>0</v>
      </c>
      <c r="AV2239" s="259" t="str">
        <f t="shared" si="465"/>
        <v>-</v>
      </c>
    </row>
    <row r="2240" spans="41:48">
      <c r="AO2240" s="824" t="str">
        <f t="shared" si="462"/>
        <v>No</v>
      </c>
      <c r="AP2240" s="259" t="str">
        <f t="shared" si="467"/>
        <v>blank</v>
      </c>
      <c r="AQ2240" s="542" t="str">
        <f t="shared" si="466"/>
        <v>无定金+无預留客戶</v>
      </c>
      <c r="AR2240" s="259" t="str">
        <f t="shared" si="468"/>
        <v/>
      </c>
      <c r="AS2240" s="259" t="str">
        <f t="shared" si="469"/>
        <v/>
      </c>
      <c r="AT2240" s="259" t="b">
        <f t="shared" si="463"/>
        <v>0</v>
      </c>
      <c r="AU2240" s="259" t="b">
        <f t="shared" si="464"/>
        <v>0</v>
      </c>
      <c r="AV2240" s="259" t="str">
        <f t="shared" si="465"/>
        <v>-</v>
      </c>
    </row>
    <row r="2241" spans="41:48">
      <c r="AO2241" s="824" t="str">
        <f t="shared" si="462"/>
        <v>No</v>
      </c>
      <c r="AP2241" s="259" t="str">
        <f t="shared" si="467"/>
        <v>blank</v>
      </c>
      <c r="AQ2241" s="542" t="str">
        <f t="shared" si="466"/>
        <v>无定金+无預留客戶</v>
      </c>
      <c r="AR2241" s="259" t="str">
        <f t="shared" si="468"/>
        <v/>
      </c>
      <c r="AS2241" s="259" t="str">
        <f t="shared" si="469"/>
        <v/>
      </c>
      <c r="AT2241" s="259" t="b">
        <f t="shared" si="463"/>
        <v>0</v>
      </c>
      <c r="AU2241" s="259" t="b">
        <f t="shared" si="464"/>
        <v>0</v>
      </c>
      <c r="AV2241" s="259" t="str">
        <f t="shared" si="465"/>
        <v>-</v>
      </c>
    </row>
    <row r="2242" spans="41:48">
      <c r="AO2242" s="824" t="str">
        <f t="shared" ref="AO2242:AO2305" si="470">IFERROR(IF(Y2242&lt;&gt;"",Y2242,"No"),"No")</f>
        <v>No</v>
      </c>
      <c r="AP2242" s="259" t="str">
        <f t="shared" si="467"/>
        <v>blank</v>
      </c>
      <c r="AQ2242" s="542" t="str">
        <f t="shared" si="466"/>
        <v>无定金+无預留客戶</v>
      </c>
      <c r="AR2242" s="259" t="str">
        <f t="shared" si="468"/>
        <v/>
      </c>
      <c r="AS2242" s="259" t="str">
        <f t="shared" si="469"/>
        <v/>
      </c>
      <c r="AT2242" s="259" t="b">
        <f t="shared" ref="AT2242:AT2305" si="471">IFERROR(IF(R2242&lt;&gt;"",R2242),"-")</f>
        <v>0</v>
      </c>
      <c r="AU2242" s="259" t="b">
        <f t="shared" ref="AU2242:AU2305" si="472">IFERROR(IF(Q2242&lt;&gt;"",Q2242),"-")</f>
        <v>0</v>
      </c>
      <c r="AV2242" s="259" t="str">
        <f t="shared" ref="AV2242:AV2305" si="473">IF(L2242="","-",TEXT(L2242,"mmm-dd"))</f>
        <v>-</v>
      </c>
    </row>
    <row r="2243" spans="41:48">
      <c r="AO2243" s="824" t="str">
        <f t="shared" si="470"/>
        <v>No</v>
      </c>
      <c r="AP2243" s="259" t="str">
        <f t="shared" si="467"/>
        <v>blank</v>
      </c>
      <c r="AQ2243" s="542" t="str">
        <f t="shared" ref="AQ2243:AQ2306" si="474">IFERROR(IF(AND(AO2243="Yes", AP2243&lt;&gt;"blank"), "有定金+有預留客戶", IF(AND(AO2243="Yes", AP2243="blank"), "有定金+无客戶送貨期", IF(AND(OR(AO2243="No", ISBLANK(AO2243), AO2243="NA"), AP2243&lt;&gt;"blank"), "无定金+有預留客戶", IF(AND(OR(AO2243="No", ISBLANK(AO2243), AO2243="NA"), AP2243="blank"), "无定金+无預留客戶", "")))), "")</f>
        <v>无定金+无預留客戶</v>
      </c>
      <c r="AR2243" s="259" t="str">
        <f t="shared" si="468"/>
        <v/>
      </c>
      <c r="AS2243" s="259" t="str">
        <f t="shared" si="469"/>
        <v/>
      </c>
      <c r="AT2243" s="259" t="b">
        <f t="shared" si="471"/>
        <v>0</v>
      </c>
      <c r="AU2243" s="259" t="b">
        <f t="shared" si="472"/>
        <v>0</v>
      </c>
      <c r="AV2243" s="259" t="str">
        <f t="shared" si="473"/>
        <v>-</v>
      </c>
    </row>
    <row r="2244" spans="41:48">
      <c r="AO2244" s="824" t="str">
        <f t="shared" si="470"/>
        <v>No</v>
      </c>
      <c r="AP2244" s="259" t="str">
        <f t="shared" si="467"/>
        <v>blank</v>
      </c>
      <c r="AQ2244" s="542" t="str">
        <f t="shared" si="474"/>
        <v>无定金+无預留客戶</v>
      </c>
      <c r="AR2244" s="259" t="str">
        <f t="shared" si="468"/>
        <v/>
      </c>
      <c r="AS2244" s="259" t="str">
        <f t="shared" si="469"/>
        <v/>
      </c>
      <c r="AT2244" s="259" t="b">
        <f t="shared" si="471"/>
        <v>0</v>
      </c>
      <c r="AU2244" s="259" t="b">
        <f t="shared" si="472"/>
        <v>0</v>
      </c>
      <c r="AV2244" s="259" t="str">
        <f t="shared" si="473"/>
        <v>-</v>
      </c>
    </row>
    <row r="2245" spans="41:48">
      <c r="AO2245" s="824" t="str">
        <f t="shared" si="470"/>
        <v>No</v>
      </c>
      <c r="AP2245" s="259" t="str">
        <f t="shared" si="467"/>
        <v>blank</v>
      </c>
      <c r="AQ2245" s="542" t="str">
        <f t="shared" si="474"/>
        <v>无定金+无預留客戶</v>
      </c>
      <c r="AR2245" s="259" t="str">
        <f t="shared" si="468"/>
        <v/>
      </c>
      <c r="AS2245" s="259" t="str">
        <f t="shared" si="469"/>
        <v/>
      </c>
      <c r="AT2245" s="259" t="b">
        <f t="shared" si="471"/>
        <v>0</v>
      </c>
      <c r="AU2245" s="259" t="b">
        <f t="shared" si="472"/>
        <v>0</v>
      </c>
      <c r="AV2245" s="259" t="str">
        <f t="shared" si="473"/>
        <v>-</v>
      </c>
    </row>
    <row r="2246" spans="41:48">
      <c r="AO2246" s="824" t="str">
        <f t="shared" si="470"/>
        <v>No</v>
      </c>
      <c r="AP2246" s="259" t="str">
        <f t="shared" ref="AP2246:AP2309" si="475">IFERROR(IF(N2246&lt;&gt;"",N2246,"blank"),"NA")</f>
        <v>blank</v>
      </c>
      <c r="AQ2246" s="542" t="str">
        <f t="shared" si="474"/>
        <v>无定金+无預留客戶</v>
      </c>
      <c r="AR2246" s="259" t="str">
        <f t="shared" si="468"/>
        <v/>
      </c>
      <c r="AS2246" s="259" t="str">
        <f t="shared" si="469"/>
        <v/>
      </c>
      <c r="AT2246" s="259" t="b">
        <f t="shared" si="471"/>
        <v>0</v>
      </c>
      <c r="AU2246" s="259" t="b">
        <f t="shared" si="472"/>
        <v>0</v>
      </c>
      <c r="AV2246" s="259" t="str">
        <f t="shared" si="473"/>
        <v>-</v>
      </c>
    </row>
    <row r="2247" spans="41:48">
      <c r="AO2247" s="824" t="str">
        <f t="shared" si="470"/>
        <v>No</v>
      </c>
      <c r="AP2247" s="259" t="str">
        <f t="shared" si="475"/>
        <v>blank</v>
      </c>
      <c r="AQ2247" s="542" t="str">
        <f t="shared" si="474"/>
        <v>无定金+无預留客戶</v>
      </c>
      <c r="AR2247" s="259" t="str">
        <f t="shared" si="468"/>
        <v/>
      </c>
      <c r="AS2247" s="259" t="str">
        <f t="shared" si="469"/>
        <v/>
      </c>
      <c r="AT2247" s="259" t="b">
        <f t="shared" si="471"/>
        <v>0</v>
      </c>
      <c r="AU2247" s="259" t="b">
        <f t="shared" si="472"/>
        <v>0</v>
      </c>
      <c r="AV2247" s="259" t="str">
        <f t="shared" si="473"/>
        <v>-</v>
      </c>
    </row>
    <row r="2248" spans="41:48">
      <c r="AO2248" s="824" t="str">
        <f t="shared" si="470"/>
        <v>No</v>
      </c>
      <c r="AP2248" s="259" t="str">
        <f t="shared" si="475"/>
        <v>blank</v>
      </c>
      <c r="AQ2248" s="542" t="str">
        <f t="shared" si="474"/>
        <v>无定金+无預留客戶</v>
      </c>
      <c r="AR2248" s="259" t="str">
        <f t="shared" si="468"/>
        <v/>
      </c>
      <c r="AS2248" s="259" t="str">
        <f t="shared" si="469"/>
        <v/>
      </c>
      <c r="AT2248" s="259" t="b">
        <f t="shared" si="471"/>
        <v>0</v>
      </c>
      <c r="AU2248" s="259" t="b">
        <f t="shared" si="472"/>
        <v>0</v>
      </c>
      <c r="AV2248" s="259" t="str">
        <f t="shared" si="473"/>
        <v>-</v>
      </c>
    </row>
    <row r="2249" spans="41:48">
      <c r="AO2249" s="824" t="str">
        <f t="shared" si="470"/>
        <v>No</v>
      </c>
      <c r="AP2249" s="259" t="str">
        <f t="shared" si="475"/>
        <v>blank</v>
      </c>
      <c r="AQ2249" s="542" t="str">
        <f t="shared" si="474"/>
        <v>无定金+无預留客戶</v>
      </c>
      <c r="AR2249" s="259" t="str">
        <f t="shared" si="468"/>
        <v/>
      </c>
      <c r="AS2249" s="259" t="str">
        <f t="shared" si="469"/>
        <v/>
      </c>
      <c r="AT2249" s="259" t="b">
        <f t="shared" si="471"/>
        <v>0</v>
      </c>
      <c r="AU2249" s="259" t="b">
        <f t="shared" si="472"/>
        <v>0</v>
      </c>
      <c r="AV2249" s="259" t="str">
        <f t="shared" si="473"/>
        <v>-</v>
      </c>
    </row>
    <row r="2250" spans="41:48">
      <c r="AO2250" s="824" t="str">
        <f t="shared" si="470"/>
        <v>No</v>
      </c>
      <c r="AP2250" s="259" t="str">
        <f t="shared" si="475"/>
        <v>blank</v>
      </c>
      <c r="AQ2250" s="542" t="str">
        <f t="shared" si="474"/>
        <v>无定金+无預留客戶</v>
      </c>
      <c r="AR2250" s="259" t="str">
        <f t="shared" si="468"/>
        <v/>
      </c>
      <c r="AS2250" s="259" t="str">
        <f t="shared" si="469"/>
        <v/>
      </c>
      <c r="AT2250" s="259" t="b">
        <f t="shared" si="471"/>
        <v>0</v>
      </c>
      <c r="AU2250" s="259" t="b">
        <f t="shared" si="472"/>
        <v>0</v>
      </c>
      <c r="AV2250" s="259" t="str">
        <f t="shared" si="473"/>
        <v>-</v>
      </c>
    </row>
    <row r="2251" spans="41:48">
      <c r="AO2251" s="824" t="str">
        <f t="shared" si="470"/>
        <v>No</v>
      </c>
      <c r="AP2251" s="259" t="str">
        <f t="shared" si="475"/>
        <v>blank</v>
      </c>
      <c r="AQ2251" s="542" t="str">
        <f t="shared" si="474"/>
        <v>无定金+无預留客戶</v>
      </c>
      <c r="AR2251" s="259" t="str">
        <f t="shared" si="468"/>
        <v/>
      </c>
      <c r="AS2251" s="259" t="str">
        <f t="shared" si="469"/>
        <v/>
      </c>
      <c r="AT2251" s="259" t="b">
        <f t="shared" si="471"/>
        <v>0</v>
      </c>
      <c r="AU2251" s="259" t="b">
        <f t="shared" si="472"/>
        <v>0</v>
      </c>
      <c r="AV2251" s="259" t="str">
        <f t="shared" si="473"/>
        <v>-</v>
      </c>
    </row>
    <row r="2252" spans="41:48">
      <c r="AO2252" s="824" t="str">
        <f t="shared" si="470"/>
        <v>No</v>
      </c>
      <c r="AP2252" s="259" t="str">
        <f t="shared" si="475"/>
        <v>blank</v>
      </c>
      <c r="AQ2252" s="542" t="str">
        <f t="shared" si="474"/>
        <v>无定金+无預留客戶</v>
      </c>
      <c r="AR2252" s="259" t="str">
        <f t="shared" si="468"/>
        <v/>
      </c>
      <c r="AS2252" s="259" t="str">
        <f t="shared" si="469"/>
        <v/>
      </c>
      <c r="AT2252" s="259" t="b">
        <f t="shared" si="471"/>
        <v>0</v>
      </c>
      <c r="AU2252" s="259" t="b">
        <f t="shared" si="472"/>
        <v>0</v>
      </c>
      <c r="AV2252" s="259" t="str">
        <f t="shared" si="473"/>
        <v>-</v>
      </c>
    </row>
    <row r="2253" spans="41:48">
      <c r="AO2253" s="824" t="str">
        <f t="shared" si="470"/>
        <v>No</v>
      </c>
      <c r="AP2253" s="259" t="str">
        <f t="shared" si="475"/>
        <v>blank</v>
      </c>
      <c r="AQ2253" s="542" t="str">
        <f t="shared" si="474"/>
        <v>无定金+无預留客戶</v>
      </c>
      <c r="AR2253" s="259" t="str">
        <f t="shared" si="468"/>
        <v/>
      </c>
      <c r="AS2253" s="259" t="str">
        <f t="shared" si="469"/>
        <v/>
      </c>
      <c r="AT2253" s="259" t="b">
        <f t="shared" si="471"/>
        <v>0</v>
      </c>
      <c r="AU2253" s="259" t="b">
        <f t="shared" si="472"/>
        <v>0</v>
      </c>
      <c r="AV2253" s="259" t="str">
        <f t="shared" si="473"/>
        <v>-</v>
      </c>
    </row>
    <row r="2254" spans="41:48">
      <c r="AO2254" s="824" t="str">
        <f t="shared" si="470"/>
        <v>No</v>
      </c>
      <c r="AP2254" s="259" t="str">
        <f t="shared" si="475"/>
        <v>blank</v>
      </c>
      <c r="AQ2254" s="542" t="str">
        <f t="shared" si="474"/>
        <v>无定金+无預留客戶</v>
      </c>
      <c r="AR2254" s="259" t="str">
        <f t="shared" si="468"/>
        <v/>
      </c>
      <c r="AS2254" s="259" t="str">
        <f t="shared" si="469"/>
        <v/>
      </c>
      <c r="AT2254" s="259" t="b">
        <f t="shared" si="471"/>
        <v>0</v>
      </c>
      <c r="AU2254" s="259" t="b">
        <f t="shared" si="472"/>
        <v>0</v>
      </c>
      <c r="AV2254" s="259" t="str">
        <f t="shared" si="473"/>
        <v>-</v>
      </c>
    </row>
    <row r="2255" spans="41:48">
      <c r="AO2255" s="824" t="str">
        <f t="shared" si="470"/>
        <v>No</v>
      </c>
      <c r="AP2255" s="259" t="str">
        <f t="shared" si="475"/>
        <v>blank</v>
      </c>
      <c r="AQ2255" s="542" t="str">
        <f t="shared" si="474"/>
        <v>无定金+无預留客戶</v>
      </c>
      <c r="AR2255" s="259" t="str">
        <f t="shared" si="468"/>
        <v/>
      </c>
      <c r="AS2255" s="259" t="str">
        <f t="shared" si="469"/>
        <v/>
      </c>
      <c r="AT2255" s="259" t="b">
        <f t="shared" si="471"/>
        <v>0</v>
      </c>
      <c r="AU2255" s="259" t="b">
        <f t="shared" si="472"/>
        <v>0</v>
      </c>
      <c r="AV2255" s="259" t="str">
        <f t="shared" si="473"/>
        <v>-</v>
      </c>
    </row>
    <row r="2256" spans="41:48">
      <c r="AO2256" s="824" t="str">
        <f t="shared" si="470"/>
        <v>No</v>
      </c>
      <c r="AP2256" s="259" t="str">
        <f t="shared" si="475"/>
        <v>blank</v>
      </c>
      <c r="AQ2256" s="542" t="str">
        <f t="shared" si="474"/>
        <v>无定金+无預留客戶</v>
      </c>
      <c r="AR2256" s="259" t="str">
        <f t="shared" si="468"/>
        <v/>
      </c>
      <c r="AS2256" s="259" t="str">
        <f t="shared" si="469"/>
        <v/>
      </c>
      <c r="AT2256" s="259" t="b">
        <f t="shared" si="471"/>
        <v>0</v>
      </c>
      <c r="AU2256" s="259" t="b">
        <f t="shared" si="472"/>
        <v>0</v>
      </c>
      <c r="AV2256" s="259" t="str">
        <f t="shared" si="473"/>
        <v>-</v>
      </c>
    </row>
    <row r="2257" spans="41:48">
      <c r="AO2257" s="824" t="str">
        <f t="shared" si="470"/>
        <v>No</v>
      </c>
      <c r="AP2257" s="259" t="str">
        <f t="shared" si="475"/>
        <v>blank</v>
      </c>
      <c r="AQ2257" s="542" t="str">
        <f t="shared" si="474"/>
        <v>无定金+无預留客戶</v>
      </c>
      <c r="AR2257" s="259" t="str">
        <f t="shared" si="468"/>
        <v/>
      </c>
      <c r="AS2257" s="259" t="str">
        <f t="shared" si="469"/>
        <v/>
      </c>
      <c r="AT2257" s="259" t="b">
        <f t="shared" si="471"/>
        <v>0</v>
      </c>
      <c r="AU2257" s="259" t="b">
        <f t="shared" si="472"/>
        <v>0</v>
      </c>
      <c r="AV2257" s="259" t="str">
        <f t="shared" si="473"/>
        <v>-</v>
      </c>
    </row>
    <row r="2258" spans="41:48">
      <c r="AO2258" s="824" t="str">
        <f t="shared" si="470"/>
        <v>No</v>
      </c>
      <c r="AP2258" s="259" t="str">
        <f t="shared" si="475"/>
        <v>blank</v>
      </c>
      <c r="AQ2258" s="542" t="str">
        <f t="shared" si="474"/>
        <v>无定金+无預留客戶</v>
      </c>
      <c r="AR2258" s="259" t="str">
        <f t="shared" si="468"/>
        <v/>
      </c>
      <c r="AS2258" s="259" t="str">
        <f t="shared" si="469"/>
        <v/>
      </c>
      <c r="AT2258" s="259" t="b">
        <f t="shared" si="471"/>
        <v>0</v>
      </c>
      <c r="AU2258" s="259" t="b">
        <f t="shared" si="472"/>
        <v>0</v>
      </c>
      <c r="AV2258" s="259" t="str">
        <f t="shared" si="473"/>
        <v>-</v>
      </c>
    </row>
    <row r="2259" spans="41:48">
      <c r="AO2259" s="824" t="str">
        <f t="shared" si="470"/>
        <v>No</v>
      </c>
      <c r="AP2259" s="259" t="str">
        <f t="shared" si="475"/>
        <v>blank</v>
      </c>
      <c r="AQ2259" s="542" t="str">
        <f t="shared" si="474"/>
        <v>无定金+无預留客戶</v>
      </c>
      <c r="AR2259" s="259" t="str">
        <f t="shared" si="468"/>
        <v/>
      </c>
      <c r="AS2259" s="259" t="str">
        <f t="shared" si="469"/>
        <v/>
      </c>
      <c r="AT2259" s="259" t="b">
        <f t="shared" si="471"/>
        <v>0</v>
      </c>
      <c r="AU2259" s="259" t="b">
        <f t="shared" si="472"/>
        <v>0</v>
      </c>
      <c r="AV2259" s="259" t="str">
        <f t="shared" si="473"/>
        <v>-</v>
      </c>
    </row>
    <row r="2260" spans="41:48">
      <c r="AO2260" s="824" t="str">
        <f t="shared" si="470"/>
        <v>No</v>
      </c>
      <c r="AP2260" s="259" t="str">
        <f t="shared" si="475"/>
        <v>blank</v>
      </c>
      <c r="AQ2260" s="542" t="str">
        <f t="shared" si="474"/>
        <v>无定金+无預留客戶</v>
      </c>
      <c r="AR2260" s="259" t="str">
        <f t="shared" si="468"/>
        <v/>
      </c>
      <c r="AS2260" s="259" t="str">
        <f t="shared" si="469"/>
        <v/>
      </c>
      <c r="AT2260" s="259" t="b">
        <f t="shared" si="471"/>
        <v>0</v>
      </c>
      <c r="AU2260" s="259" t="b">
        <f t="shared" si="472"/>
        <v>0</v>
      </c>
      <c r="AV2260" s="259" t="str">
        <f t="shared" si="473"/>
        <v>-</v>
      </c>
    </row>
    <row r="2261" spans="41:48">
      <c r="AO2261" s="824" t="str">
        <f t="shared" si="470"/>
        <v>No</v>
      </c>
      <c r="AP2261" s="259" t="str">
        <f t="shared" si="475"/>
        <v>blank</v>
      </c>
      <c r="AQ2261" s="542" t="str">
        <f t="shared" si="474"/>
        <v>无定金+无預留客戶</v>
      </c>
      <c r="AR2261" s="259" t="str">
        <f t="shared" si="468"/>
        <v/>
      </c>
      <c r="AS2261" s="259" t="str">
        <f t="shared" si="469"/>
        <v/>
      </c>
      <c r="AT2261" s="259" t="b">
        <f t="shared" si="471"/>
        <v>0</v>
      </c>
      <c r="AU2261" s="259" t="b">
        <f t="shared" si="472"/>
        <v>0</v>
      </c>
      <c r="AV2261" s="259" t="str">
        <f t="shared" si="473"/>
        <v>-</v>
      </c>
    </row>
    <row r="2262" spans="41:48">
      <c r="AO2262" s="824" t="str">
        <f t="shared" si="470"/>
        <v>No</v>
      </c>
      <c r="AP2262" s="259" t="str">
        <f t="shared" si="475"/>
        <v>blank</v>
      </c>
      <c r="AQ2262" s="542" t="str">
        <f t="shared" si="474"/>
        <v>无定金+无預留客戶</v>
      </c>
      <c r="AR2262" s="259" t="str">
        <f t="shared" si="468"/>
        <v/>
      </c>
      <c r="AS2262" s="259" t="str">
        <f t="shared" si="469"/>
        <v/>
      </c>
      <c r="AT2262" s="259" t="b">
        <f t="shared" si="471"/>
        <v>0</v>
      </c>
      <c r="AU2262" s="259" t="b">
        <f t="shared" si="472"/>
        <v>0</v>
      </c>
      <c r="AV2262" s="259" t="str">
        <f t="shared" si="473"/>
        <v>-</v>
      </c>
    </row>
    <row r="2263" spans="41:48">
      <c r="AO2263" s="824" t="str">
        <f t="shared" si="470"/>
        <v>No</v>
      </c>
      <c r="AP2263" s="259" t="str">
        <f t="shared" si="475"/>
        <v>blank</v>
      </c>
      <c r="AQ2263" s="542" t="str">
        <f t="shared" si="474"/>
        <v>无定金+无預留客戶</v>
      </c>
      <c r="AR2263" s="259" t="str">
        <f t="shared" si="468"/>
        <v/>
      </c>
      <c r="AS2263" s="259" t="str">
        <f t="shared" si="469"/>
        <v/>
      </c>
      <c r="AT2263" s="259" t="b">
        <f t="shared" si="471"/>
        <v>0</v>
      </c>
      <c r="AU2263" s="259" t="b">
        <f t="shared" si="472"/>
        <v>0</v>
      </c>
      <c r="AV2263" s="259" t="str">
        <f t="shared" si="473"/>
        <v>-</v>
      </c>
    </row>
    <row r="2264" spans="41:48">
      <c r="AO2264" s="824" t="str">
        <f t="shared" si="470"/>
        <v>No</v>
      </c>
      <c r="AP2264" s="259" t="str">
        <f t="shared" si="475"/>
        <v>blank</v>
      </c>
      <c r="AQ2264" s="542" t="str">
        <f t="shared" si="474"/>
        <v>无定金+无預留客戶</v>
      </c>
      <c r="AR2264" s="259" t="str">
        <f t="shared" si="468"/>
        <v/>
      </c>
      <c r="AS2264" s="259" t="str">
        <f t="shared" si="469"/>
        <v/>
      </c>
      <c r="AT2264" s="259" t="b">
        <f t="shared" si="471"/>
        <v>0</v>
      </c>
      <c r="AU2264" s="259" t="b">
        <f t="shared" si="472"/>
        <v>0</v>
      </c>
      <c r="AV2264" s="259" t="str">
        <f t="shared" si="473"/>
        <v>-</v>
      </c>
    </row>
    <row r="2265" spans="41:48">
      <c r="AO2265" s="824" t="str">
        <f t="shared" si="470"/>
        <v>No</v>
      </c>
      <c r="AP2265" s="259" t="str">
        <f t="shared" si="475"/>
        <v>blank</v>
      </c>
      <c r="AQ2265" s="542" t="str">
        <f t="shared" si="474"/>
        <v>无定金+无預留客戶</v>
      </c>
      <c r="AR2265" s="259" t="str">
        <f t="shared" si="468"/>
        <v/>
      </c>
      <c r="AS2265" s="259" t="str">
        <f t="shared" si="469"/>
        <v/>
      </c>
      <c r="AT2265" s="259" t="b">
        <f t="shared" si="471"/>
        <v>0</v>
      </c>
      <c r="AU2265" s="259" t="b">
        <f t="shared" si="472"/>
        <v>0</v>
      </c>
      <c r="AV2265" s="259" t="str">
        <f t="shared" si="473"/>
        <v>-</v>
      </c>
    </row>
    <row r="2266" spans="41:48">
      <c r="AO2266" s="824" t="str">
        <f t="shared" si="470"/>
        <v>No</v>
      </c>
      <c r="AP2266" s="259" t="str">
        <f t="shared" si="475"/>
        <v>blank</v>
      </c>
      <c r="AQ2266" s="542" t="str">
        <f t="shared" si="474"/>
        <v>无定金+无預留客戶</v>
      </c>
      <c r="AR2266" s="259" t="str">
        <f t="shared" si="468"/>
        <v/>
      </c>
      <c r="AS2266" s="259" t="str">
        <f t="shared" si="469"/>
        <v/>
      </c>
      <c r="AT2266" s="259" t="b">
        <f t="shared" si="471"/>
        <v>0</v>
      </c>
      <c r="AU2266" s="259" t="b">
        <f t="shared" si="472"/>
        <v>0</v>
      </c>
      <c r="AV2266" s="259" t="str">
        <f t="shared" si="473"/>
        <v>-</v>
      </c>
    </row>
    <row r="2267" spans="41:48">
      <c r="AO2267" s="824" t="str">
        <f t="shared" si="470"/>
        <v>No</v>
      </c>
      <c r="AP2267" s="259" t="str">
        <f t="shared" si="475"/>
        <v>blank</v>
      </c>
      <c r="AQ2267" s="542" t="str">
        <f t="shared" si="474"/>
        <v>无定金+无預留客戶</v>
      </c>
      <c r="AR2267" s="259" t="str">
        <f t="shared" si="468"/>
        <v/>
      </c>
      <c r="AS2267" s="259" t="str">
        <f t="shared" si="469"/>
        <v/>
      </c>
      <c r="AT2267" s="259" t="b">
        <f t="shared" si="471"/>
        <v>0</v>
      </c>
      <c r="AU2267" s="259" t="b">
        <f t="shared" si="472"/>
        <v>0</v>
      </c>
      <c r="AV2267" s="259" t="str">
        <f t="shared" si="473"/>
        <v>-</v>
      </c>
    </row>
    <row r="2268" spans="41:48">
      <c r="AO2268" s="824" t="str">
        <f t="shared" si="470"/>
        <v>No</v>
      </c>
      <c r="AP2268" s="259" t="str">
        <f t="shared" si="475"/>
        <v>blank</v>
      </c>
      <c r="AQ2268" s="542" t="str">
        <f t="shared" si="474"/>
        <v>无定金+无預留客戶</v>
      </c>
      <c r="AR2268" s="259" t="str">
        <f t="shared" si="468"/>
        <v/>
      </c>
      <c r="AS2268" s="259" t="str">
        <f t="shared" si="469"/>
        <v/>
      </c>
      <c r="AT2268" s="259" t="b">
        <f t="shared" si="471"/>
        <v>0</v>
      </c>
      <c r="AU2268" s="259" t="b">
        <f t="shared" si="472"/>
        <v>0</v>
      </c>
      <c r="AV2268" s="259" t="str">
        <f t="shared" si="473"/>
        <v>-</v>
      </c>
    </row>
    <row r="2269" spans="41:48">
      <c r="AO2269" s="824" t="str">
        <f t="shared" si="470"/>
        <v>No</v>
      </c>
      <c r="AP2269" s="259" t="str">
        <f t="shared" si="475"/>
        <v>blank</v>
      </c>
      <c r="AQ2269" s="542" t="str">
        <f t="shared" si="474"/>
        <v>无定金+无預留客戶</v>
      </c>
      <c r="AR2269" s="259" t="str">
        <f t="shared" si="468"/>
        <v/>
      </c>
      <c r="AS2269" s="259" t="str">
        <f t="shared" si="469"/>
        <v/>
      </c>
      <c r="AT2269" s="259" t="b">
        <f t="shared" si="471"/>
        <v>0</v>
      </c>
      <c r="AU2269" s="259" t="b">
        <f t="shared" si="472"/>
        <v>0</v>
      </c>
      <c r="AV2269" s="259" t="str">
        <f t="shared" si="473"/>
        <v>-</v>
      </c>
    </row>
    <row r="2270" spans="41:48">
      <c r="AO2270" s="824" t="str">
        <f t="shared" si="470"/>
        <v>No</v>
      </c>
      <c r="AP2270" s="259" t="str">
        <f t="shared" si="475"/>
        <v>blank</v>
      </c>
      <c r="AQ2270" s="542" t="str">
        <f t="shared" si="474"/>
        <v>无定金+无預留客戶</v>
      </c>
      <c r="AR2270" s="259" t="str">
        <f t="shared" si="468"/>
        <v/>
      </c>
      <c r="AS2270" s="259" t="str">
        <f t="shared" si="469"/>
        <v/>
      </c>
      <c r="AT2270" s="259" t="b">
        <f t="shared" si="471"/>
        <v>0</v>
      </c>
      <c r="AU2270" s="259" t="b">
        <f t="shared" si="472"/>
        <v>0</v>
      </c>
      <c r="AV2270" s="259" t="str">
        <f t="shared" si="473"/>
        <v>-</v>
      </c>
    </row>
    <row r="2271" spans="41:48">
      <c r="AO2271" s="824" t="str">
        <f t="shared" si="470"/>
        <v>No</v>
      </c>
      <c r="AP2271" s="259" t="str">
        <f t="shared" si="475"/>
        <v>blank</v>
      </c>
      <c r="AQ2271" s="542" t="str">
        <f t="shared" si="474"/>
        <v>无定金+无預留客戶</v>
      </c>
      <c r="AR2271" s="259" t="str">
        <f t="shared" si="468"/>
        <v/>
      </c>
      <c r="AS2271" s="259" t="str">
        <f t="shared" si="469"/>
        <v/>
      </c>
      <c r="AT2271" s="259" t="b">
        <f t="shared" si="471"/>
        <v>0</v>
      </c>
      <c r="AU2271" s="259" t="b">
        <f t="shared" si="472"/>
        <v>0</v>
      </c>
      <c r="AV2271" s="259" t="str">
        <f t="shared" si="473"/>
        <v>-</v>
      </c>
    </row>
    <row r="2272" spans="41:48">
      <c r="AO2272" s="824" t="str">
        <f t="shared" si="470"/>
        <v>No</v>
      </c>
      <c r="AP2272" s="259" t="str">
        <f t="shared" si="475"/>
        <v>blank</v>
      </c>
      <c r="AQ2272" s="542" t="str">
        <f t="shared" si="474"/>
        <v>无定金+无預留客戶</v>
      </c>
      <c r="AR2272" s="259" t="str">
        <f t="shared" si="468"/>
        <v/>
      </c>
      <c r="AS2272" s="259" t="str">
        <f t="shared" si="469"/>
        <v/>
      </c>
      <c r="AT2272" s="259" t="b">
        <f t="shared" si="471"/>
        <v>0</v>
      </c>
      <c r="AU2272" s="259" t="b">
        <f t="shared" si="472"/>
        <v>0</v>
      </c>
      <c r="AV2272" s="259" t="str">
        <f t="shared" si="473"/>
        <v>-</v>
      </c>
    </row>
    <row r="2273" spans="41:48">
      <c r="AO2273" s="824" t="str">
        <f t="shared" si="470"/>
        <v>No</v>
      </c>
      <c r="AP2273" s="259" t="str">
        <f t="shared" si="475"/>
        <v>blank</v>
      </c>
      <c r="AQ2273" s="542" t="str">
        <f t="shared" si="474"/>
        <v>无定金+无預留客戶</v>
      </c>
      <c r="AR2273" s="259" t="str">
        <f t="shared" si="468"/>
        <v/>
      </c>
      <c r="AS2273" s="259" t="str">
        <f t="shared" si="469"/>
        <v/>
      </c>
      <c r="AT2273" s="259" t="b">
        <f t="shared" si="471"/>
        <v>0</v>
      </c>
      <c r="AU2273" s="259" t="b">
        <f t="shared" si="472"/>
        <v>0</v>
      </c>
      <c r="AV2273" s="259" t="str">
        <f t="shared" si="473"/>
        <v>-</v>
      </c>
    </row>
    <row r="2274" spans="41:48">
      <c r="AO2274" s="824" t="str">
        <f t="shared" si="470"/>
        <v>No</v>
      </c>
      <c r="AP2274" s="259" t="str">
        <f t="shared" si="475"/>
        <v>blank</v>
      </c>
      <c r="AQ2274" s="542" t="str">
        <f t="shared" si="474"/>
        <v>无定金+无預留客戶</v>
      </c>
      <c r="AR2274" s="259" t="str">
        <f t="shared" si="468"/>
        <v/>
      </c>
      <c r="AS2274" s="259" t="str">
        <f t="shared" si="469"/>
        <v/>
      </c>
      <c r="AT2274" s="259" t="b">
        <f t="shared" si="471"/>
        <v>0</v>
      </c>
      <c r="AU2274" s="259" t="b">
        <f t="shared" si="472"/>
        <v>0</v>
      </c>
      <c r="AV2274" s="259" t="str">
        <f t="shared" si="473"/>
        <v>-</v>
      </c>
    </row>
    <row r="2275" spans="41:48">
      <c r="AO2275" s="824" t="str">
        <f t="shared" si="470"/>
        <v>No</v>
      </c>
      <c r="AP2275" s="259" t="str">
        <f t="shared" si="475"/>
        <v>blank</v>
      </c>
      <c r="AQ2275" s="542" t="str">
        <f t="shared" si="474"/>
        <v>无定金+无預留客戶</v>
      </c>
      <c r="AR2275" s="259" t="str">
        <f t="shared" si="468"/>
        <v/>
      </c>
      <c r="AS2275" s="259" t="str">
        <f t="shared" si="469"/>
        <v/>
      </c>
      <c r="AT2275" s="259" t="b">
        <f t="shared" si="471"/>
        <v>0</v>
      </c>
      <c r="AU2275" s="259" t="b">
        <f t="shared" si="472"/>
        <v>0</v>
      </c>
      <c r="AV2275" s="259" t="str">
        <f t="shared" si="473"/>
        <v>-</v>
      </c>
    </row>
    <row r="2276" spans="41:48">
      <c r="AO2276" s="824" t="str">
        <f t="shared" si="470"/>
        <v>No</v>
      </c>
      <c r="AP2276" s="259" t="str">
        <f t="shared" si="475"/>
        <v>blank</v>
      </c>
      <c r="AQ2276" s="542" t="str">
        <f t="shared" si="474"/>
        <v>无定金+无預留客戶</v>
      </c>
      <c r="AR2276" s="259" t="str">
        <f t="shared" si="468"/>
        <v/>
      </c>
      <c r="AS2276" s="259" t="str">
        <f t="shared" si="469"/>
        <v/>
      </c>
      <c r="AT2276" s="259" t="b">
        <f t="shared" si="471"/>
        <v>0</v>
      </c>
      <c r="AU2276" s="259" t="b">
        <f t="shared" si="472"/>
        <v>0</v>
      </c>
      <c r="AV2276" s="259" t="str">
        <f t="shared" si="473"/>
        <v>-</v>
      </c>
    </row>
    <row r="2277" spans="41:48">
      <c r="AO2277" s="824" t="str">
        <f t="shared" si="470"/>
        <v>No</v>
      </c>
      <c r="AP2277" s="259" t="str">
        <f t="shared" si="475"/>
        <v>blank</v>
      </c>
      <c r="AQ2277" s="542" t="str">
        <f t="shared" si="474"/>
        <v>无定金+无預留客戶</v>
      </c>
      <c r="AR2277" s="259" t="str">
        <f t="shared" si="468"/>
        <v/>
      </c>
      <c r="AS2277" s="259" t="str">
        <f t="shared" si="469"/>
        <v/>
      </c>
      <c r="AT2277" s="259" t="b">
        <f t="shared" si="471"/>
        <v>0</v>
      </c>
      <c r="AU2277" s="259" t="b">
        <f t="shared" si="472"/>
        <v>0</v>
      </c>
      <c r="AV2277" s="259" t="str">
        <f t="shared" si="473"/>
        <v>-</v>
      </c>
    </row>
    <row r="2278" spans="41:48">
      <c r="AO2278" s="824" t="str">
        <f t="shared" si="470"/>
        <v>No</v>
      </c>
      <c r="AP2278" s="259" t="str">
        <f t="shared" si="475"/>
        <v>blank</v>
      </c>
      <c r="AQ2278" s="542" t="str">
        <f t="shared" si="474"/>
        <v>无定金+无預留客戶</v>
      </c>
      <c r="AR2278" s="259" t="str">
        <f t="shared" si="468"/>
        <v/>
      </c>
      <c r="AS2278" s="259" t="str">
        <f t="shared" si="469"/>
        <v/>
      </c>
      <c r="AT2278" s="259" t="b">
        <f t="shared" si="471"/>
        <v>0</v>
      </c>
      <c r="AU2278" s="259" t="b">
        <f t="shared" si="472"/>
        <v>0</v>
      </c>
      <c r="AV2278" s="259" t="str">
        <f t="shared" si="473"/>
        <v>-</v>
      </c>
    </row>
    <row r="2279" spans="41:48">
      <c r="AO2279" s="824" t="str">
        <f t="shared" si="470"/>
        <v>No</v>
      </c>
      <c r="AP2279" s="259" t="str">
        <f t="shared" si="475"/>
        <v>blank</v>
      </c>
      <c r="AQ2279" s="542" t="str">
        <f t="shared" si="474"/>
        <v>无定金+无預留客戶</v>
      </c>
      <c r="AR2279" s="259" t="str">
        <f t="shared" si="468"/>
        <v/>
      </c>
      <c r="AS2279" s="259" t="str">
        <f t="shared" si="469"/>
        <v/>
      </c>
      <c r="AT2279" s="259" t="b">
        <f t="shared" si="471"/>
        <v>0</v>
      </c>
      <c r="AU2279" s="259" t="b">
        <f t="shared" si="472"/>
        <v>0</v>
      </c>
      <c r="AV2279" s="259" t="str">
        <f t="shared" si="473"/>
        <v>-</v>
      </c>
    </row>
    <row r="2280" spans="41:48">
      <c r="AO2280" s="824" t="str">
        <f t="shared" si="470"/>
        <v>No</v>
      </c>
      <c r="AP2280" s="259" t="str">
        <f t="shared" si="475"/>
        <v>blank</v>
      </c>
      <c r="AQ2280" s="542" t="str">
        <f t="shared" si="474"/>
        <v>无定金+无預留客戶</v>
      </c>
      <c r="AR2280" s="259" t="str">
        <f t="shared" si="468"/>
        <v/>
      </c>
      <c r="AS2280" s="259" t="str">
        <f t="shared" si="469"/>
        <v/>
      </c>
      <c r="AT2280" s="259" t="b">
        <f t="shared" si="471"/>
        <v>0</v>
      </c>
      <c r="AU2280" s="259" t="b">
        <f t="shared" si="472"/>
        <v>0</v>
      </c>
      <c r="AV2280" s="259" t="str">
        <f t="shared" si="473"/>
        <v>-</v>
      </c>
    </row>
    <row r="2281" spans="41:48">
      <c r="AO2281" s="824" t="str">
        <f t="shared" si="470"/>
        <v>No</v>
      </c>
      <c r="AP2281" s="259" t="str">
        <f t="shared" si="475"/>
        <v>blank</v>
      </c>
      <c r="AQ2281" s="542" t="str">
        <f t="shared" si="474"/>
        <v>无定金+无預留客戶</v>
      </c>
      <c r="AR2281" s="259" t="str">
        <f t="shared" si="468"/>
        <v/>
      </c>
      <c r="AS2281" s="259" t="str">
        <f t="shared" si="469"/>
        <v/>
      </c>
      <c r="AT2281" s="259" t="b">
        <f t="shared" si="471"/>
        <v>0</v>
      </c>
      <c r="AU2281" s="259" t="b">
        <f t="shared" si="472"/>
        <v>0</v>
      </c>
      <c r="AV2281" s="259" t="str">
        <f t="shared" si="473"/>
        <v>-</v>
      </c>
    </row>
    <row r="2282" spans="41:48">
      <c r="AO2282" s="824" t="str">
        <f t="shared" si="470"/>
        <v>No</v>
      </c>
      <c r="AP2282" s="259" t="str">
        <f t="shared" si="475"/>
        <v>blank</v>
      </c>
      <c r="AQ2282" s="542" t="str">
        <f t="shared" si="474"/>
        <v>无定金+无預留客戶</v>
      </c>
      <c r="AR2282" s="259" t="str">
        <f t="shared" si="468"/>
        <v/>
      </c>
      <c r="AS2282" s="259" t="str">
        <f t="shared" si="469"/>
        <v/>
      </c>
      <c r="AT2282" s="259" t="b">
        <f t="shared" si="471"/>
        <v>0</v>
      </c>
      <c r="AU2282" s="259" t="b">
        <f t="shared" si="472"/>
        <v>0</v>
      </c>
      <c r="AV2282" s="259" t="str">
        <f t="shared" si="473"/>
        <v>-</v>
      </c>
    </row>
    <row r="2283" spans="41:48">
      <c r="AO2283" s="824" t="str">
        <f t="shared" si="470"/>
        <v>No</v>
      </c>
      <c r="AP2283" s="259" t="str">
        <f t="shared" si="475"/>
        <v>blank</v>
      </c>
      <c r="AQ2283" s="542" t="str">
        <f t="shared" si="474"/>
        <v>无定金+无預留客戶</v>
      </c>
      <c r="AR2283" s="259" t="str">
        <f t="shared" si="468"/>
        <v/>
      </c>
      <c r="AS2283" s="259" t="str">
        <f t="shared" si="469"/>
        <v/>
      </c>
      <c r="AT2283" s="259" t="b">
        <f t="shared" si="471"/>
        <v>0</v>
      </c>
      <c r="AU2283" s="259" t="b">
        <f t="shared" si="472"/>
        <v>0</v>
      </c>
      <c r="AV2283" s="259" t="str">
        <f t="shared" si="473"/>
        <v>-</v>
      </c>
    </row>
    <row r="2284" spans="41:48">
      <c r="AO2284" s="824" t="str">
        <f t="shared" si="470"/>
        <v>No</v>
      </c>
      <c r="AP2284" s="259" t="str">
        <f t="shared" si="475"/>
        <v>blank</v>
      </c>
      <c r="AQ2284" s="542" t="str">
        <f t="shared" si="474"/>
        <v>无定金+无預留客戶</v>
      </c>
      <c r="AR2284" s="259" t="str">
        <f t="shared" si="468"/>
        <v/>
      </c>
      <c r="AS2284" s="259" t="str">
        <f t="shared" si="469"/>
        <v/>
      </c>
      <c r="AT2284" s="259" t="b">
        <f t="shared" si="471"/>
        <v>0</v>
      </c>
      <c r="AU2284" s="259" t="b">
        <f t="shared" si="472"/>
        <v>0</v>
      </c>
      <c r="AV2284" s="259" t="str">
        <f t="shared" si="473"/>
        <v>-</v>
      </c>
    </row>
    <row r="2285" spans="41:48">
      <c r="AO2285" s="824" t="str">
        <f t="shared" si="470"/>
        <v>No</v>
      </c>
      <c r="AP2285" s="259" t="str">
        <f t="shared" si="475"/>
        <v>blank</v>
      </c>
      <c r="AQ2285" s="542" t="str">
        <f t="shared" si="474"/>
        <v>无定金+无預留客戶</v>
      </c>
      <c r="AR2285" s="259" t="str">
        <f t="shared" si="468"/>
        <v/>
      </c>
      <c r="AS2285" s="259" t="str">
        <f t="shared" si="469"/>
        <v/>
      </c>
      <c r="AT2285" s="259" t="b">
        <f t="shared" si="471"/>
        <v>0</v>
      </c>
      <c r="AU2285" s="259" t="b">
        <f t="shared" si="472"/>
        <v>0</v>
      </c>
      <c r="AV2285" s="259" t="str">
        <f t="shared" si="473"/>
        <v>-</v>
      </c>
    </row>
    <row r="2286" spans="41:48">
      <c r="AO2286" s="824" t="str">
        <f t="shared" si="470"/>
        <v>No</v>
      </c>
      <c r="AP2286" s="259" t="str">
        <f t="shared" si="475"/>
        <v>blank</v>
      </c>
      <c r="AQ2286" s="542" t="str">
        <f t="shared" si="474"/>
        <v>无定金+无預留客戶</v>
      </c>
      <c r="AR2286" s="259" t="str">
        <f t="shared" si="468"/>
        <v/>
      </c>
      <c r="AS2286" s="259" t="str">
        <f t="shared" si="469"/>
        <v/>
      </c>
      <c r="AT2286" s="259" t="b">
        <f t="shared" si="471"/>
        <v>0</v>
      </c>
      <c r="AU2286" s="259" t="b">
        <f t="shared" si="472"/>
        <v>0</v>
      </c>
      <c r="AV2286" s="259" t="str">
        <f t="shared" si="473"/>
        <v>-</v>
      </c>
    </row>
    <row r="2287" spans="41:48">
      <c r="AO2287" s="824" t="str">
        <f t="shared" si="470"/>
        <v>No</v>
      </c>
      <c r="AP2287" s="259" t="str">
        <f t="shared" si="475"/>
        <v>blank</v>
      </c>
      <c r="AQ2287" s="542" t="str">
        <f t="shared" si="474"/>
        <v>无定金+无預留客戶</v>
      </c>
      <c r="AR2287" s="259" t="str">
        <f t="shared" si="468"/>
        <v/>
      </c>
      <c r="AS2287" s="259" t="str">
        <f t="shared" si="469"/>
        <v/>
      </c>
      <c r="AT2287" s="259" t="b">
        <f t="shared" si="471"/>
        <v>0</v>
      </c>
      <c r="AU2287" s="259" t="b">
        <f t="shared" si="472"/>
        <v>0</v>
      </c>
      <c r="AV2287" s="259" t="str">
        <f t="shared" si="473"/>
        <v>-</v>
      </c>
    </row>
    <row r="2288" spans="41:48">
      <c r="AO2288" s="824" t="str">
        <f t="shared" si="470"/>
        <v>No</v>
      </c>
      <c r="AP2288" s="259" t="str">
        <f t="shared" si="475"/>
        <v>blank</v>
      </c>
      <c r="AQ2288" s="542" t="str">
        <f t="shared" si="474"/>
        <v>无定金+无預留客戶</v>
      </c>
      <c r="AR2288" s="259" t="str">
        <f t="shared" si="468"/>
        <v/>
      </c>
      <c r="AS2288" s="259" t="str">
        <f t="shared" si="469"/>
        <v/>
      </c>
      <c r="AT2288" s="259" t="b">
        <f t="shared" si="471"/>
        <v>0</v>
      </c>
      <c r="AU2288" s="259" t="b">
        <f t="shared" si="472"/>
        <v>0</v>
      </c>
      <c r="AV2288" s="259" t="str">
        <f t="shared" si="473"/>
        <v>-</v>
      </c>
    </row>
    <row r="2289" spans="41:48">
      <c r="AO2289" s="824" t="str">
        <f t="shared" si="470"/>
        <v>No</v>
      </c>
      <c r="AP2289" s="259" t="str">
        <f t="shared" si="475"/>
        <v>blank</v>
      </c>
      <c r="AQ2289" s="542" t="str">
        <f t="shared" si="474"/>
        <v>无定金+无預留客戶</v>
      </c>
      <c r="AR2289" s="259" t="str">
        <f t="shared" si="468"/>
        <v/>
      </c>
      <c r="AS2289" s="259" t="str">
        <f t="shared" si="469"/>
        <v/>
      </c>
      <c r="AT2289" s="259" t="b">
        <f t="shared" si="471"/>
        <v>0</v>
      </c>
      <c r="AU2289" s="259" t="b">
        <f t="shared" si="472"/>
        <v>0</v>
      </c>
      <c r="AV2289" s="259" t="str">
        <f t="shared" si="473"/>
        <v>-</v>
      </c>
    </row>
    <row r="2290" spans="41:48">
      <c r="AO2290" s="824" t="str">
        <f t="shared" si="470"/>
        <v>No</v>
      </c>
      <c r="AP2290" s="259" t="str">
        <f t="shared" si="475"/>
        <v>blank</v>
      </c>
      <c r="AQ2290" s="542" t="str">
        <f t="shared" si="474"/>
        <v>无定金+无預留客戶</v>
      </c>
      <c r="AR2290" s="259" t="str">
        <f t="shared" si="468"/>
        <v/>
      </c>
      <c r="AS2290" s="259" t="str">
        <f t="shared" si="469"/>
        <v/>
      </c>
      <c r="AT2290" s="259" t="b">
        <f t="shared" si="471"/>
        <v>0</v>
      </c>
      <c r="AU2290" s="259" t="b">
        <f t="shared" si="472"/>
        <v>0</v>
      </c>
      <c r="AV2290" s="259" t="str">
        <f t="shared" si="473"/>
        <v>-</v>
      </c>
    </row>
    <row r="2291" spans="41:48">
      <c r="AO2291" s="824" t="str">
        <f t="shared" si="470"/>
        <v>No</v>
      </c>
      <c r="AP2291" s="259" t="str">
        <f t="shared" si="475"/>
        <v>blank</v>
      </c>
      <c r="AQ2291" s="542" t="str">
        <f t="shared" si="474"/>
        <v>无定金+无預留客戶</v>
      </c>
      <c r="AR2291" s="259" t="str">
        <f t="shared" si="468"/>
        <v/>
      </c>
      <c r="AS2291" s="259" t="str">
        <f t="shared" si="469"/>
        <v/>
      </c>
      <c r="AT2291" s="259" t="b">
        <f t="shared" si="471"/>
        <v>0</v>
      </c>
      <c r="AU2291" s="259" t="b">
        <f t="shared" si="472"/>
        <v>0</v>
      </c>
      <c r="AV2291" s="259" t="str">
        <f t="shared" si="473"/>
        <v>-</v>
      </c>
    </row>
    <row r="2292" spans="41:48">
      <c r="AO2292" s="824" t="str">
        <f t="shared" si="470"/>
        <v>No</v>
      </c>
      <c r="AP2292" s="259" t="str">
        <f t="shared" si="475"/>
        <v>blank</v>
      </c>
      <c r="AQ2292" s="542" t="str">
        <f t="shared" si="474"/>
        <v>无定金+无預留客戶</v>
      </c>
      <c r="AR2292" s="259" t="str">
        <f t="shared" si="468"/>
        <v/>
      </c>
      <c r="AS2292" s="259" t="str">
        <f t="shared" si="469"/>
        <v/>
      </c>
      <c r="AT2292" s="259" t="b">
        <f t="shared" si="471"/>
        <v>0</v>
      </c>
      <c r="AU2292" s="259" t="b">
        <f t="shared" si="472"/>
        <v>0</v>
      </c>
      <c r="AV2292" s="259" t="str">
        <f t="shared" si="473"/>
        <v>-</v>
      </c>
    </row>
    <row r="2293" spans="41:48">
      <c r="AO2293" s="824" t="str">
        <f t="shared" si="470"/>
        <v>No</v>
      </c>
      <c r="AP2293" s="259" t="str">
        <f t="shared" si="475"/>
        <v>blank</v>
      </c>
      <c r="AQ2293" s="542" t="str">
        <f t="shared" si="474"/>
        <v>无定金+无預留客戶</v>
      </c>
      <c r="AR2293" s="259" t="str">
        <f t="shared" si="468"/>
        <v/>
      </c>
      <c r="AS2293" s="259" t="str">
        <f t="shared" si="469"/>
        <v/>
      </c>
      <c r="AT2293" s="259" t="b">
        <f t="shared" si="471"/>
        <v>0</v>
      </c>
      <c r="AU2293" s="259" t="b">
        <f t="shared" si="472"/>
        <v>0</v>
      </c>
      <c r="AV2293" s="259" t="str">
        <f t="shared" si="473"/>
        <v>-</v>
      </c>
    </row>
    <row r="2294" spans="41:48">
      <c r="AO2294" s="824" t="str">
        <f t="shared" si="470"/>
        <v>No</v>
      </c>
      <c r="AP2294" s="259" t="str">
        <f t="shared" si="475"/>
        <v>blank</v>
      </c>
      <c r="AQ2294" s="542" t="str">
        <f t="shared" si="474"/>
        <v>无定金+无預留客戶</v>
      </c>
      <c r="AR2294" s="259" t="str">
        <f t="shared" si="468"/>
        <v/>
      </c>
      <c r="AS2294" s="259" t="str">
        <f t="shared" si="469"/>
        <v/>
      </c>
      <c r="AT2294" s="259" t="b">
        <f t="shared" si="471"/>
        <v>0</v>
      </c>
      <c r="AU2294" s="259" t="b">
        <f t="shared" si="472"/>
        <v>0</v>
      </c>
      <c r="AV2294" s="259" t="str">
        <f t="shared" si="473"/>
        <v>-</v>
      </c>
    </row>
    <row r="2295" spans="41:48">
      <c r="AO2295" s="824" t="str">
        <f t="shared" si="470"/>
        <v>No</v>
      </c>
      <c r="AP2295" s="259" t="str">
        <f t="shared" si="475"/>
        <v>blank</v>
      </c>
      <c r="AQ2295" s="542" t="str">
        <f t="shared" si="474"/>
        <v>无定金+无預留客戶</v>
      </c>
      <c r="AR2295" s="259" t="str">
        <f t="shared" si="468"/>
        <v/>
      </c>
      <c r="AS2295" s="259" t="str">
        <f t="shared" si="469"/>
        <v/>
      </c>
      <c r="AT2295" s="259" t="b">
        <f t="shared" si="471"/>
        <v>0</v>
      </c>
      <c r="AU2295" s="259" t="b">
        <f t="shared" si="472"/>
        <v>0</v>
      </c>
      <c r="AV2295" s="259" t="str">
        <f t="shared" si="473"/>
        <v>-</v>
      </c>
    </row>
    <row r="2296" spans="41:48">
      <c r="AO2296" s="824" t="str">
        <f t="shared" si="470"/>
        <v>No</v>
      </c>
      <c r="AP2296" s="259" t="str">
        <f t="shared" si="475"/>
        <v>blank</v>
      </c>
      <c r="AQ2296" s="542" t="str">
        <f t="shared" si="474"/>
        <v>无定金+无預留客戶</v>
      </c>
      <c r="AR2296" s="259" t="str">
        <f t="shared" si="468"/>
        <v/>
      </c>
      <c r="AS2296" s="259" t="str">
        <f t="shared" si="469"/>
        <v/>
      </c>
      <c r="AT2296" s="259" t="b">
        <f t="shared" si="471"/>
        <v>0</v>
      </c>
      <c r="AU2296" s="259" t="b">
        <f t="shared" si="472"/>
        <v>0</v>
      </c>
      <c r="AV2296" s="259" t="str">
        <f t="shared" si="473"/>
        <v>-</v>
      </c>
    </row>
    <row r="2297" spans="41:48">
      <c r="AO2297" s="824" t="str">
        <f t="shared" si="470"/>
        <v>No</v>
      </c>
      <c r="AP2297" s="259" t="str">
        <f t="shared" si="475"/>
        <v>blank</v>
      </c>
      <c r="AQ2297" s="542" t="str">
        <f t="shared" si="474"/>
        <v>无定金+无預留客戶</v>
      </c>
      <c r="AR2297" s="259" t="str">
        <f t="shared" si="468"/>
        <v/>
      </c>
      <c r="AS2297" s="259" t="str">
        <f t="shared" si="469"/>
        <v/>
      </c>
      <c r="AT2297" s="259" t="b">
        <f t="shared" si="471"/>
        <v>0</v>
      </c>
      <c r="AU2297" s="259" t="b">
        <f t="shared" si="472"/>
        <v>0</v>
      </c>
      <c r="AV2297" s="259" t="str">
        <f t="shared" si="473"/>
        <v>-</v>
      </c>
    </row>
    <row r="2298" spans="41:48">
      <c r="AO2298" s="824" t="str">
        <f t="shared" si="470"/>
        <v>No</v>
      </c>
      <c r="AP2298" s="259" t="str">
        <f t="shared" si="475"/>
        <v>blank</v>
      </c>
      <c r="AQ2298" s="542" t="str">
        <f t="shared" si="474"/>
        <v>无定金+无預留客戶</v>
      </c>
      <c r="AR2298" s="259" t="str">
        <f t="shared" si="468"/>
        <v/>
      </c>
      <c r="AS2298" s="259" t="str">
        <f t="shared" si="469"/>
        <v/>
      </c>
      <c r="AT2298" s="259" t="b">
        <f t="shared" si="471"/>
        <v>0</v>
      </c>
      <c r="AU2298" s="259" t="b">
        <f t="shared" si="472"/>
        <v>0</v>
      </c>
      <c r="AV2298" s="259" t="str">
        <f t="shared" si="473"/>
        <v>-</v>
      </c>
    </row>
    <row r="2299" spans="41:48">
      <c r="AO2299" s="824" t="str">
        <f t="shared" si="470"/>
        <v>No</v>
      </c>
      <c r="AP2299" s="259" t="str">
        <f t="shared" si="475"/>
        <v>blank</v>
      </c>
      <c r="AQ2299" s="542" t="str">
        <f t="shared" si="474"/>
        <v>无定金+无預留客戶</v>
      </c>
      <c r="AR2299" s="259" t="str">
        <f t="shared" si="468"/>
        <v/>
      </c>
      <c r="AS2299" s="259" t="str">
        <f t="shared" si="469"/>
        <v/>
      </c>
      <c r="AT2299" s="259" t="b">
        <f t="shared" si="471"/>
        <v>0</v>
      </c>
      <c r="AU2299" s="259" t="b">
        <f t="shared" si="472"/>
        <v>0</v>
      </c>
      <c r="AV2299" s="259" t="str">
        <f t="shared" si="473"/>
        <v>-</v>
      </c>
    </row>
    <row r="2300" spans="41:48">
      <c r="AO2300" s="824" t="str">
        <f t="shared" si="470"/>
        <v>No</v>
      </c>
      <c r="AP2300" s="259" t="str">
        <f t="shared" si="475"/>
        <v>blank</v>
      </c>
      <c r="AQ2300" s="542" t="str">
        <f t="shared" si="474"/>
        <v>无定金+无預留客戶</v>
      </c>
      <c r="AR2300" s="259" t="str">
        <f t="shared" si="468"/>
        <v/>
      </c>
      <c r="AS2300" s="259" t="str">
        <f t="shared" si="469"/>
        <v/>
      </c>
      <c r="AT2300" s="259" t="b">
        <f t="shared" si="471"/>
        <v>0</v>
      </c>
      <c r="AU2300" s="259" t="b">
        <f t="shared" si="472"/>
        <v>0</v>
      </c>
      <c r="AV2300" s="259" t="str">
        <f t="shared" si="473"/>
        <v>-</v>
      </c>
    </row>
    <row r="2301" spans="41:48">
      <c r="AO2301" s="824" t="str">
        <f t="shared" si="470"/>
        <v>No</v>
      </c>
      <c r="AP2301" s="259" t="str">
        <f t="shared" si="475"/>
        <v>blank</v>
      </c>
      <c r="AQ2301" s="542" t="str">
        <f t="shared" si="474"/>
        <v>无定金+无預留客戶</v>
      </c>
      <c r="AR2301" s="259" t="str">
        <f t="shared" si="468"/>
        <v/>
      </c>
      <c r="AS2301" s="259" t="str">
        <f t="shared" si="469"/>
        <v/>
      </c>
      <c r="AT2301" s="259" t="b">
        <f t="shared" si="471"/>
        <v>0</v>
      </c>
      <c r="AU2301" s="259" t="b">
        <f t="shared" si="472"/>
        <v>0</v>
      </c>
      <c r="AV2301" s="259" t="str">
        <f t="shared" si="473"/>
        <v>-</v>
      </c>
    </row>
    <row r="2302" spans="41:48">
      <c r="AO2302" s="824" t="str">
        <f t="shared" si="470"/>
        <v>No</v>
      </c>
      <c r="AP2302" s="259" t="str">
        <f t="shared" si="475"/>
        <v>blank</v>
      </c>
      <c r="AQ2302" s="542" t="str">
        <f t="shared" si="474"/>
        <v>无定金+无預留客戶</v>
      </c>
      <c r="AR2302" s="259" t="str">
        <f t="shared" ref="AR2302:AR2365" si="476">IFERROR(IF(B2302="已经到货", "Instock", IF(B2302="有交期", "Incoming_Stock_With_YAMAHA_Schedule", IF(B2302="TBA.", "Incoming_Stock_No_YAMAHA_Schedule", IF(B2302="已发货", "Shipped_Stock", "")))), "")</f>
        <v/>
      </c>
      <c r="AS2302" s="259" t="str">
        <f t="shared" ref="AS2302:AS2365" si="477">IF(AND(B2302="有交期", L2302&lt;&gt;""), L2302, "")</f>
        <v/>
      </c>
      <c r="AT2302" s="259" t="b">
        <f t="shared" si="471"/>
        <v>0</v>
      </c>
      <c r="AU2302" s="259" t="b">
        <f t="shared" si="472"/>
        <v>0</v>
      </c>
      <c r="AV2302" s="259" t="str">
        <f t="shared" si="473"/>
        <v>-</v>
      </c>
    </row>
    <row r="2303" spans="41:48">
      <c r="AO2303" s="824" t="str">
        <f t="shared" si="470"/>
        <v>No</v>
      </c>
      <c r="AP2303" s="259" t="str">
        <f t="shared" si="475"/>
        <v>blank</v>
      </c>
      <c r="AQ2303" s="542" t="str">
        <f t="shared" si="474"/>
        <v>无定金+无預留客戶</v>
      </c>
      <c r="AR2303" s="259" t="str">
        <f t="shared" si="476"/>
        <v/>
      </c>
      <c r="AS2303" s="259" t="str">
        <f t="shared" si="477"/>
        <v/>
      </c>
      <c r="AT2303" s="259" t="b">
        <f t="shared" si="471"/>
        <v>0</v>
      </c>
      <c r="AU2303" s="259" t="b">
        <f t="shared" si="472"/>
        <v>0</v>
      </c>
      <c r="AV2303" s="259" t="str">
        <f t="shared" si="473"/>
        <v>-</v>
      </c>
    </row>
    <row r="2304" spans="41:48">
      <c r="AO2304" s="824" t="str">
        <f t="shared" si="470"/>
        <v>No</v>
      </c>
      <c r="AP2304" s="259" t="str">
        <f t="shared" si="475"/>
        <v>blank</v>
      </c>
      <c r="AQ2304" s="542" t="str">
        <f t="shared" si="474"/>
        <v>无定金+无預留客戶</v>
      </c>
      <c r="AR2304" s="259" t="str">
        <f t="shared" si="476"/>
        <v/>
      </c>
      <c r="AS2304" s="259" t="str">
        <f t="shared" si="477"/>
        <v/>
      </c>
      <c r="AT2304" s="259" t="b">
        <f t="shared" si="471"/>
        <v>0</v>
      </c>
      <c r="AU2304" s="259" t="b">
        <f t="shared" si="472"/>
        <v>0</v>
      </c>
      <c r="AV2304" s="259" t="str">
        <f t="shared" si="473"/>
        <v>-</v>
      </c>
    </row>
    <row r="2305" spans="41:48">
      <c r="AO2305" s="824" t="str">
        <f t="shared" si="470"/>
        <v>No</v>
      </c>
      <c r="AP2305" s="259" t="str">
        <f t="shared" si="475"/>
        <v>blank</v>
      </c>
      <c r="AQ2305" s="542" t="str">
        <f t="shared" si="474"/>
        <v>无定金+无預留客戶</v>
      </c>
      <c r="AR2305" s="259" t="str">
        <f t="shared" si="476"/>
        <v/>
      </c>
      <c r="AS2305" s="259" t="str">
        <f t="shared" si="477"/>
        <v/>
      </c>
      <c r="AT2305" s="259" t="b">
        <f t="shared" si="471"/>
        <v>0</v>
      </c>
      <c r="AU2305" s="259" t="b">
        <f t="shared" si="472"/>
        <v>0</v>
      </c>
      <c r="AV2305" s="259" t="str">
        <f t="shared" si="473"/>
        <v>-</v>
      </c>
    </row>
    <row r="2306" spans="41:48">
      <c r="AO2306" s="824" t="str">
        <f t="shared" ref="AO2306:AO2369" si="478">IFERROR(IF(Y2306&lt;&gt;"",Y2306,"No"),"No")</f>
        <v>No</v>
      </c>
      <c r="AP2306" s="259" t="str">
        <f t="shared" si="475"/>
        <v>blank</v>
      </c>
      <c r="AQ2306" s="542" t="str">
        <f t="shared" si="474"/>
        <v>无定金+无預留客戶</v>
      </c>
      <c r="AR2306" s="259" t="str">
        <f t="shared" si="476"/>
        <v/>
      </c>
      <c r="AS2306" s="259" t="str">
        <f t="shared" si="477"/>
        <v/>
      </c>
      <c r="AT2306" s="259" t="b">
        <f t="shared" ref="AT2306:AT2369" si="479">IFERROR(IF(R2306&lt;&gt;"",R2306),"-")</f>
        <v>0</v>
      </c>
      <c r="AU2306" s="259" t="b">
        <f t="shared" ref="AU2306:AU2369" si="480">IFERROR(IF(Q2306&lt;&gt;"",Q2306),"-")</f>
        <v>0</v>
      </c>
      <c r="AV2306" s="259" t="str">
        <f t="shared" ref="AV2306:AV2369" si="481">IF(L2306="","-",TEXT(L2306,"mmm-dd"))</f>
        <v>-</v>
      </c>
    </row>
    <row r="2307" spans="41:48">
      <c r="AO2307" s="824" t="str">
        <f t="shared" si="478"/>
        <v>No</v>
      </c>
      <c r="AP2307" s="259" t="str">
        <f t="shared" si="475"/>
        <v>blank</v>
      </c>
      <c r="AQ2307" s="542" t="str">
        <f t="shared" ref="AQ2307:AQ2370" si="482">IFERROR(IF(AND(AO2307="Yes", AP2307&lt;&gt;"blank"), "有定金+有預留客戶", IF(AND(AO2307="Yes", AP2307="blank"), "有定金+无客戶送貨期", IF(AND(OR(AO2307="No", ISBLANK(AO2307), AO2307="NA"), AP2307&lt;&gt;"blank"), "无定金+有預留客戶", IF(AND(OR(AO2307="No", ISBLANK(AO2307), AO2307="NA"), AP2307="blank"), "无定金+无預留客戶", "")))), "")</f>
        <v>无定金+无預留客戶</v>
      </c>
      <c r="AR2307" s="259" t="str">
        <f t="shared" si="476"/>
        <v/>
      </c>
      <c r="AS2307" s="259" t="str">
        <f t="shared" si="477"/>
        <v/>
      </c>
      <c r="AT2307" s="259" t="b">
        <f t="shared" si="479"/>
        <v>0</v>
      </c>
      <c r="AU2307" s="259" t="b">
        <f t="shared" si="480"/>
        <v>0</v>
      </c>
      <c r="AV2307" s="259" t="str">
        <f t="shared" si="481"/>
        <v>-</v>
      </c>
    </row>
    <row r="2308" spans="41:48">
      <c r="AO2308" s="824" t="str">
        <f t="shared" si="478"/>
        <v>No</v>
      </c>
      <c r="AP2308" s="259" t="str">
        <f t="shared" si="475"/>
        <v>blank</v>
      </c>
      <c r="AQ2308" s="542" t="str">
        <f t="shared" si="482"/>
        <v>无定金+无預留客戶</v>
      </c>
      <c r="AR2308" s="259" t="str">
        <f t="shared" si="476"/>
        <v/>
      </c>
      <c r="AS2308" s="259" t="str">
        <f t="shared" si="477"/>
        <v/>
      </c>
      <c r="AT2308" s="259" t="b">
        <f t="shared" si="479"/>
        <v>0</v>
      </c>
      <c r="AU2308" s="259" t="b">
        <f t="shared" si="480"/>
        <v>0</v>
      </c>
      <c r="AV2308" s="259" t="str">
        <f t="shared" si="481"/>
        <v>-</v>
      </c>
    </row>
    <row r="2309" spans="41:48">
      <c r="AO2309" s="824" t="str">
        <f t="shared" si="478"/>
        <v>No</v>
      </c>
      <c r="AP2309" s="259" t="str">
        <f t="shared" si="475"/>
        <v>blank</v>
      </c>
      <c r="AQ2309" s="542" t="str">
        <f t="shared" si="482"/>
        <v>无定金+无預留客戶</v>
      </c>
      <c r="AR2309" s="259" t="str">
        <f t="shared" si="476"/>
        <v/>
      </c>
      <c r="AS2309" s="259" t="str">
        <f t="shared" si="477"/>
        <v/>
      </c>
      <c r="AT2309" s="259" t="b">
        <f t="shared" si="479"/>
        <v>0</v>
      </c>
      <c r="AU2309" s="259" t="b">
        <f t="shared" si="480"/>
        <v>0</v>
      </c>
      <c r="AV2309" s="259" t="str">
        <f t="shared" si="481"/>
        <v>-</v>
      </c>
    </row>
    <row r="2310" spans="41:48">
      <c r="AO2310" s="824" t="str">
        <f t="shared" si="478"/>
        <v>No</v>
      </c>
      <c r="AP2310" s="259" t="str">
        <f t="shared" ref="AP2310:AP2373" si="483">IFERROR(IF(N2310&lt;&gt;"",N2310,"blank"),"NA")</f>
        <v>blank</v>
      </c>
      <c r="AQ2310" s="542" t="str">
        <f t="shared" si="482"/>
        <v>无定金+无預留客戶</v>
      </c>
      <c r="AR2310" s="259" t="str">
        <f t="shared" si="476"/>
        <v/>
      </c>
      <c r="AS2310" s="259" t="str">
        <f t="shared" si="477"/>
        <v/>
      </c>
      <c r="AT2310" s="259" t="b">
        <f t="shared" si="479"/>
        <v>0</v>
      </c>
      <c r="AU2310" s="259" t="b">
        <f t="shared" si="480"/>
        <v>0</v>
      </c>
      <c r="AV2310" s="259" t="str">
        <f t="shared" si="481"/>
        <v>-</v>
      </c>
    </row>
    <row r="2311" spans="41:48">
      <c r="AO2311" s="824" t="str">
        <f t="shared" si="478"/>
        <v>No</v>
      </c>
      <c r="AP2311" s="259" t="str">
        <f t="shared" si="483"/>
        <v>blank</v>
      </c>
      <c r="AQ2311" s="542" t="str">
        <f t="shared" si="482"/>
        <v>无定金+无預留客戶</v>
      </c>
      <c r="AR2311" s="259" t="str">
        <f t="shared" si="476"/>
        <v/>
      </c>
      <c r="AS2311" s="259" t="str">
        <f t="shared" si="477"/>
        <v/>
      </c>
      <c r="AT2311" s="259" t="b">
        <f t="shared" si="479"/>
        <v>0</v>
      </c>
      <c r="AU2311" s="259" t="b">
        <f t="shared" si="480"/>
        <v>0</v>
      </c>
      <c r="AV2311" s="259" t="str">
        <f t="shared" si="481"/>
        <v>-</v>
      </c>
    </row>
    <row r="2312" spans="41:48">
      <c r="AO2312" s="824" t="str">
        <f t="shared" si="478"/>
        <v>No</v>
      </c>
      <c r="AP2312" s="259" t="str">
        <f t="shared" si="483"/>
        <v>blank</v>
      </c>
      <c r="AQ2312" s="542" t="str">
        <f t="shared" si="482"/>
        <v>无定金+无預留客戶</v>
      </c>
      <c r="AR2312" s="259" t="str">
        <f t="shared" si="476"/>
        <v/>
      </c>
      <c r="AS2312" s="259" t="str">
        <f t="shared" si="477"/>
        <v/>
      </c>
      <c r="AT2312" s="259" t="b">
        <f t="shared" si="479"/>
        <v>0</v>
      </c>
      <c r="AU2312" s="259" t="b">
        <f t="shared" si="480"/>
        <v>0</v>
      </c>
      <c r="AV2312" s="259" t="str">
        <f t="shared" si="481"/>
        <v>-</v>
      </c>
    </row>
    <row r="2313" spans="41:48">
      <c r="AO2313" s="824" t="str">
        <f t="shared" si="478"/>
        <v>No</v>
      </c>
      <c r="AP2313" s="259" t="str">
        <f t="shared" si="483"/>
        <v>blank</v>
      </c>
      <c r="AQ2313" s="542" t="str">
        <f t="shared" si="482"/>
        <v>无定金+无預留客戶</v>
      </c>
      <c r="AR2313" s="259" t="str">
        <f t="shared" si="476"/>
        <v/>
      </c>
      <c r="AS2313" s="259" t="str">
        <f t="shared" si="477"/>
        <v/>
      </c>
      <c r="AT2313" s="259" t="b">
        <f t="shared" si="479"/>
        <v>0</v>
      </c>
      <c r="AU2313" s="259" t="b">
        <f t="shared" si="480"/>
        <v>0</v>
      </c>
      <c r="AV2313" s="259" t="str">
        <f t="shared" si="481"/>
        <v>-</v>
      </c>
    </row>
    <row r="2314" spans="41:48">
      <c r="AO2314" s="824" t="str">
        <f t="shared" si="478"/>
        <v>No</v>
      </c>
      <c r="AP2314" s="259" t="str">
        <f t="shared" si="483"/>
        <v>blank</v>
      </c>
      <c r="AQ2314" s="542" t="str">
        <f t="shared" si="482"/>
        <v>无定金+无預留客戶</v>
      </c>
      <c r="AR2314" s="259" t="str">
        <f t="shared" si="476"/>
        <v/>
      </c>
      <c r="AS2314" s="259" t="str">
        <f t="shared" si="477"/>
        <v/>
      </c>
      <c r="AT2314" s="259" t="b">
        <f t="shared" si="479"/>
        <v>0</v>
      </c>
      <c r="AU2314" s="259" t="b">
        <f t="shared" si="480"/>
        <v>0</v>
      </c>
      <c r="AV2314" s="259" t="str">
        <f t="shared" si="481"/>
        <v>-</v>
      </c>
    </row>
    <row r="2315" spans="41:48">
      <c r="AO2315" s="824" t="str">
        <f t="shared" si="478"/>
        <v>No</v>
      </c>
      <c r="AP2315" s="259" t="str">
        <f t="shared" si="483"/>
        <v>blank</v>
      </c>
      <c r="AQ2315" s="542" t="str">
        <f t="shared" si="482"/>
        <v>无定金+无預留客戶</v>
      </c>
      <c r="AR2315" s="259" t="str">
        <f t="shared" si="476"/>
        <v/>
      </c>
      <c r="AS2315" s="259" t="str">
        <f t="shared" si="477"/>
        <v/>
      </c>
      <c r="AT2315" s="259" t="b">
        <f t="shared" si="479"/>
        <v>0</v>
      </c>
      <c r="AU2315" s="259" t="b">
        <f t="shared" si="480"/>
        <v>0</v>
      </c>
      <c r="AV2315" s="259" t="str">
        <f t="shared" si="481"/>
        <v>-</v>
      </c>
    </row>
    <row r="2316" spans="41:48">
      <c r="AO2316" s="824" t="str">
        <f t="shared" si="478"/>
        <v>No</v>
      </c>
      <c r="AP2316" s="259" t="str">
        <f t="shared" si="483"/>
        <v>blank</v>
      </c>
      <c r="AQ2316" s="542" t="str">
        <f t="shared" si="482"/>
        <v>无定金+无預留客戶</v>
      </c>
      <c r="AR2316" s="259" t="str">
        <f t="shared" si="476"/>
        <v/>
      </c>
      <c r="AS2316" s="259" t="str">
        <f t="shared" si="477"/>
        <v/>
      </c>
      <c r="AT2316" s="259" t="b">
        <f t="shared" si="479"/>
        <v>0</v>
      </c>
      <c r="AU2316" s="259" t="b">
        <f t="shared" si="480"/>
        <v>0</v>
      </c>
      <c r="AV2316" s="259" t="str">
        <f t="shared" si="481"/>
        <v>-</v>
      </c>
    </row>
    <row r="2317" spans="41:48">
      <c r="AO2317" s="824" t="str">
        <f t="shared" si="478"/>
        <v>No</v>
      </c>
      <c r="AP2317" s="259" t="str">
        <f t="shared" si="483"/>
        <v>blank</v>
      </c>
      <c r="AQ2317" s="542" t="str">
        <f t="shared" si="482"/>
        <v>无定金+无預留客戶</v>
      </c>
      <c r="AR2317" s="259" t="str">
        <f t="shared" si="476"/>
        <v/>
      </c>
      <c r="AS2317" s="259" t="str">
        <f t="shared" si="477"/>
        <v/>
      </c>
      <c r="AT2317" s="259" t="b">
        <f t="shared" si="479"/>
        <v>0</v>
      </c>
      <c r="AU2317" s="259" t="b">
        <f t="shared" si="480"/>
        <v>0</v>
      </c>
      <c r="AV2317" s="259" t="str">
        <f t="shared" si="481"/>
        <v>-</v>
      </c>
    </row>
    <row r="2318" spans="41:48">
      <c r="AO2318" s="824" t="str">
        <f t="shared" si="478"/>
        <v>No</v>
      </c>
      <c r="AP2318" s="259" t="str">
        <f t="shared" si="483"/>
        <v>blank</v>
      </c>
      <c r="AQ2318" s="542" t="str">
        <f t="shared" si="482"/>
        <v>无定金+无預留客戶</v>
      </c>
      <c r="AR2318" s="259" t="str">
        <f t="shared" si="476"/>
        <v/>
      </c>
      <c r="AS2318" s="259" t="str">
        <f t="shared" si="477"/>
        <v/>
      </c>
      <c r="AT2318" s="259" t="b">
        <f t="shared" si="479"/>
        <v>0</v>
      </c>
      <c r="AU2318" s="259" t="b">
        <f t="shared" si="480"/>
        <v>0</v>
      </c>
      <c r="AV2318" s="259" t="str">
        <f t="shared" si="481"/>
        <v>-</v>
      </c>
    </row>
    <row r="2319" spans="41:48">
      <c r="AO2319" s="824" t="str">
        <f t="shared" si="478"/>
        <v>No</v>
      </c>
      <c r="AP2319" s="259" t="str">
        <f t="shared" si="483"/>
        <v>blank</v>
      </c>
      <c r="AQ2319" s="542" t="str">
        <f t="shared" si="482"/>
        <v>无定金+无預留客戶</v>
      </c>
      <c r="AR2319" s="259" t="str">
        <f t="shared" si="476"/>
        <v/>
      </c>
      <c r="AS2319" s="259" t="str">
        <f t="shared" si="477"/>
        <v/>
      </c>
      <c r="AT2319" s="259" t="b">
        <f t="shared" si="479"/>
        <v>0</v>
      </c>
      <c r="AU2319" s="259" t="b">
        <f t="shared" si="480"/>
        <v>0</v>
      </c>
      <c r="AV2319" s="259" t="str">
        <f t="shared" si="481"/>
        <v>-</v>
      </c>
    </row>
    <row r="2320" spans="41:48">
      <c r="AO2320" s="824" t="str">
        <f t="shared" si="478"/>
        <v>No</v>
      </c>
      <c r="AP2320" s="259" t="str">
        <f t="shared" si="483"/>
        <v>blank</v>
      </c>
      <c r="AQ2320" s="542" t="str">
        <f t="shared" si="482"/>
        <v>无定金+无預留客戶</v>
      </c>
      <c r="AR2320" s="259" t="str">
        <f t="shared" si="476"/>
        <v/>
      </c>
      <c r="AS2320" s="259" t="str">
        <f t="shared" si="477"/>
        <v/>
      </c>
      <c r="AT2320" s="259" t="b">
        <f t="shared" si="479"/>
        <v>0</v>
      </c>
      <c r="AU2320" s="259" t="b">
        <f t="shared" si="480"/>
        <v>0</v>
      </c>
      <c r="AV2320" s="259" t="str">
        <f t="shared" si="481"/>
        <v>-</v>
      </c>
    </row>
    <row r="2321" spans="41:48">
      <c r="AO2321" s="824" t="str">
        <f t="shared" si="478"/>
        <v>No</v>
      </c>
      <c r="AP2321" s="259" t="str">
        <f t="shared" si="483"/>
        <v>blank</v>
      </c>
      <c r="AQ2321" s="542" t="str">
        <f t="shared" si="482"/>
        <v>无定金+无預留客戶</v>
      </c>
      <c r="AR2321" s="259" t="str">
        <f t="shared" si="476"/>
        <v/>
      </c>
      <c r="AS2321" s="259" t="str">
        <f t="shared" si="477"/>
        <v/>
      </c>
      <c r="AT2321" s="259" t="b">
        <f t="shared" si="479"/>
        <v>0</v>
      </c>
      <c r="AU2321" s="259" t="b">
        <f t="shared" si="480"/>
        <v>0</v>
      </c>
      <c r="AV2321" s="259" t="str">
        <f t="shared" si="481"/>
        <v>-</v>
      </c>
    </row>
    <row r="2322" spans="41:48">
      <c r="AO2322" s="824" t="str">
        <f t="shared" si="478"/>
        <v>No</v>
      </c>
      <c r="AP2322" s="259" t="str">
        <f t="shared" si="483"/>
        <v>blank</v>
      </c>
      <c r="AQ2322" s="542" t="str">
        <f t="shared" si="482"/>
        <v>无定金+无預留客戶</v>
      </c>
      <c r="AR2322" s="259" t="str">
        <f t="shared" si="476"/>
        <v/>
      </c>
      <c r="AS2322" s="259" t="str">
        <f t="shared" si="477"/>
        <v/>
      </c>
      <c r="AT2322" s="259" t="b">
        <f t="shared" si="479"/>
        <v>0</v>
      </c>
      <c r="AU2322" s="259" t="b">
        <f t="shared" si="480"/>
        <v>0</v>
      </c>
      <c r="AV2322" s="259" t="str">
        <f t="shared" si="481"/>
        <v>-</v>
      </c>
    </row>
    <row r="2323" spans="41:48">
      <c r="AO2323" s="824" t="str">
        <f t="shared" si="478"/>
        <v>No</v>
      </c>
      <c r="AP2323" s="259" t="str">
        <f t="shared" si="483"/>
        <v>blank</v>
      </c>
      <c r="AQ2323" s="542" t="str">
        <f t="shared" si="482"/>
        <v>无定金+无預留客戶</v>
      </c>
      <c r="AR2323" s="259" t="str">
        <f t="shared" si="476"/>
        <v/>
      </c>
      <c r="AS2323" s="259" t="str">
        <f t="shared" si="477"/>
        <v/>
      </c>
      <c r="AT2323" s="259" t="b">
        <f t="shared" si="479"/>
        <v>0</v>
      </c>
      <c r="AU2323" s="259" t="b">
        <f t="shared" si="480"/>
        <v>0</v>
      </c>
      <c r="AV2323" s="259" t="str">
        <f t="shared" si="481"/>
        <v>-</v>
      </c>
    </row>
    <row r="2324" spans="41:48">
      <c r="AO2324" s="824" t="str">
        <f t="shared" si="478"/>
        <v>No</v>
      </c>
      <c r="AP2324" s="259" t="str">
        <f t="shared" si="483"/>
        <v>blank</v>
      </c>
      <c r="AQ2324" s="542" t="str">
        <f t="shared" si="482"/>
        <v>无定金+无預留客戶</v>
      </c>
      <c r="AR2324" s="259" t="str">
        <f t="shared" si="476"/>
        <v/>
      </c>
      <c r="AS2324" s="259" t="str">
        <f t="shared" si="477"/>
        <v/>
      </c>
      <c r="AT2324" s="259" t="b">
        <f t="shared" si="479"/>
        <v>0</v>
      </c>
      <c r="AU2324" s="259" t="b">
        <f t="shared" si="480"/>
        <v>0</v>
      </c>
      <c r="AV2324" s="259" t="str">
        <f t="shared" si="481"/>
        <v>-</v>
      </c>
    </row>
    <row r="2325" spans="41:48">
      <c r="AO2325" s="824" t="str">
        <f t="shared" si="478"/>
        <v>No</v>
      </c>
      <c r="AP2325" s="259" t="str">
        <f t="shared" si="483"/>
        <v>blank</v>
      </c>
      <c r="AQ2325" s="542" t="str">
        <f t="shared" si="482"/>
        <v>无定金+无預留客戶</v>
      </c>
      <c r="AR2325" s="259" t="str">
        <f t="shared" si="476"/>
        <v/>
      </c>
      <c r="AS2325" s="259" t="str">
        <f t="shared" si="477"/>
        <v/>
      </c>
      <c r="AT2325" s="259" t="b">
        <f t="shared" si="479"/>
        <v>0</v>
      </c>
      <c r="AU2325" s="259" t="b">
        <f t="shared" si="480"/>
        <v>0</v>
      </c>
      <c r="AV2325" s="259" t="str">
        <f t="shared" si="481"/>
        <v>-</v>
      </c>
    </row>
    <row r="2326" spans="41:48">
      <c r="AO2326" s="824" t="str">
        <f t="shared" si="478"/>
        <v>No</v>
      </c>
      <c r="AP2326" s="259" t="str">
        <f t="shared" si="483"/>
        <v>blank</v>
      </c>
      <c r="AQ2326" s="542" t="str">
        <f t="shared" si="482"/>
        <v>无定金+无預留客戶</v>
      </c>
      <c r="AR2326" s="259" t="str">
        <f t="shared" si="476"/>
        <v/>
      </c>
      <c r="AS2326" s="259" t="str">
        <f t="shared" si="477"/>
        <v/>
      </c>
      <c r="AT2326" s="259" t="b">
        <f t="shared" si="479"/>
        <v>0</v>
      </c>
      <c r="AU2326" s="259" t="b">
        <f t="shared" si="480"/>
        <v>0</v>
      </c>
      <c r="AV2326" s="259" t="str">
        <f t="shared" si="481"/>
        <v>-</v>
      </c>
    </row>
    <row r="2327" spans="41:48">
      <c r="AO2327" s="824" t="str">
        <f t="shared" si="478"/>
        <v>No</v>
      </c>
      <c r="AP2327" s="259" t="str">
        <f t="shared" si="483"/>
        <v>blank</v>
      </c>
      <c r="AQ2327" s="542" t="str">
        <f t="shared" si="482"/>
        <v>无定金+无預留客戶</v>
      </c>
      <c r="AR2327" s="259" t="str">
        <f t="shared" si="476"/>
        <v/>
      </c>
      <c r="AS2327" s="259" t="str">
        <f t="shared" si="477"/>
        <v/>
      </c>
      <c r="AT2327" s="259" t="b">
        <f t="shared" si="479"/>
        <v>0</v>
      </c>
      <c r="AU2327" s="259" t="b">
        <f t="shared" si="480"/>
        <v>0</v>
      </c>
      <c r="AV2327" s="259" t="str">
        <f t="shared" si="481"/>
        <v>-</v>
      </c>
    </row>
    <row r="2328" spans="41:48">
      <c r="AO2328" s="824" t="str">
        <f t="shared" si="478"/>
        <v>No</v>
      </c>
      <c r="AP2328" s="259" t="str">
        <f t="shared" si="483"/>
        <v>blank</v>
      </c>
      <c r="AQ2328" s="542" t="str">
        <f t="shared" si="482"/>
        <v>无定金+无預留客戶</v>
      </c>
      <c r="AR2328" s="259" t="str">
        <f t="shared" si="476"/>
        <v/>
      </c>
      <c r="AS2328" s="259" t="str">
        <f t="shared" si="477"/>
        <v/>
      </c>
      <c r="AT2328" s="259" t="b">
        <f t="shared" si="479"/>
        <v>0</v>
      </c>
      <c r="AU2328" s="259" t="b">
        <f t="shared" si="480"/>
        <v>0</v>
      </c>
      <c r="AV2328" s="259" t="str">
        <f t="shared" si="481"/>
        <v>-</v>
      </c>
    </row>
    <row r="2329" spans="41:48">
      <c r="AO2329" s="824" t="str">
        <f t="shared" si="478"/>
        <v>No</v>
      </c>
      <c r="AP2329" s="259" t="str">
        <f t="shared" si="483"/>
        <v>blank</v>
      </c>
      <c r="AQ2329" s="542" t="str">
        <f t="shared" si="482"/>
        <v>无定金+无預留客戶</v>
      </c>
      <c r="AR2329" s="259" t="str">
        <f t="shared" si="476"/>
        <v/>
      </c>
      <c r="AS2329" s="259" t="str">
        <f t="shared" si="477"/>
        <v/>
      </c>
      <c r="AT2329" s="259" t="b">
        <f t="shared" si="479"/>
        <v>0</v>
      </c>
      <c r="AU2329" s="259" t="b">
        <f t="shared" si="480"/>
        <v>0</v>
      </c>
      <c r="AV2329" s="259" t="str">
        <f t="shared" si="481"/>
        <v>-</v>
      </c>
    </row>
    <row r="2330" spans="41:48">
      <c r="AO2330" s="824" t="str">
        <f t="shared" si="478"/>
        <v>No</v>
      </c>
      <c r="AP2330" s="259" t="str">
        <f t="shared" si="483"/>
        <v>blank</v>
      </c>
      <c r="AQ2330" s="542" t="str">
        <f t="shared" si="482"/>
        <v>无定金+无預留客戶</v>
      </c>
      <c r="AR2330" s="259" t="str">
        <f t="shared" si="476"/>
        <v/>
      </c>
      <c r="AS2330" s="259" t="str">
        <f t="shared" si="477"/>
        <v/>
      </c>
      <c r="AT2330" s="259" t="b">
        <f t="shared" si="479"/>
        <v>0</v>
      </c>
      <c r="AU2330" s="259" t="b">
        <f t="shared" si="480"/>
        <v>0</v>
      </c>
      <c r="AV2330" s="259" t="str">
        <f t="shared" si="481"/>
        <v>-</v>
      </c>
    </row>
    <row r="2331" spans="41:48">
      <c r="AO2331" s="824" t="str">
        <f t="shared" si="478"/>
        <v>No</v>
      </c>
      <c r="AP2331" s="259" t="str">
        <f t="shared" si="483"/>
        <v>blank</v>
      </c>
      <c r="AQ2331" s="542" t="str">
        <f t="shared" si="482"/>
        <v>无定金+无預留客戶</v>
      </c>
      <c r="AR2331" s="259" t="str">
        <f t="shared" si="476"/>
        <v/>
      </c>
      <c r="AS2331" s="259" t="str">
        <f t="shared" si="477"/>
        <v/>
      </c>
      <c r="AT2331" s="259" t="b">
        <f t="shared" si="479"/>
        <v>0</v>
      </c>
      <c r="AU2331" s="259" t="b">
        <f t="shared" si="480"/>
        <v>0</v>
      </c>
      <c r="AV2331" s="259" t="str">
        <f t="shared" si="481"/>
        <v>-</v>
      </c>
    </row>
    <row r="2332" spans="41:48">
      <c r="AO2332" s="824" t="str">
        <f t="shared" si="478"/>
        <v>No</v>
      </c>
      <c r="AP2332" s="259" t="str">
        <f t="shared" si="483"/>
        <v>blank</v>
      </c>
      <c r="AQ2332" s="542" t="str">
        <f t="shared" si="482"/>
        <v>无定金+无預留客戶</v>
      </c>
      <c r="AR2332" s="259" t="str">
        <f t="shared" si="476"/>
        <v/>
      </c>
      <c r="AS2332" s="259" t="str">
        <f t="shared" si="477"/>
        <v/>
      </c>
      <c r="AT2332" s="259" t="b">
        <f t="shared" si="479"/>
        <v>0</v>
      </c>
      <c r="AU2332" s="259" t="b">
        <f t="shared" si="480"/>
        <v>0</v>
      </c>
      <c r="AV2332" s="259" t="str">
        <f t="shared" si="481"/>
        <v>-</v>
      </c>
    </row>
    <row r="2333" spans="41:48">
      <c r="AO2333" s="824" t="str">
        <f t="shared" si="478"/>
        <v>No</v>
      </c>
      <c r="AP2333" s="259" t="str">
        <f t="shared" si="483"/>
        <v>blank</v>
      </c>
      <c r="AQ2333" s="542" t="str">
        <f t="shared" si="482"/>
        <v>无定金+无預留客戶</v>
      </c>
      <c r="AR2333" s="259" t="str">
        <f t="shared" si="476"/>
        <v/>
      </c>
      <c r="AS2333" s="259" t="str">
        <f t="shared" si="477"/>
        <v/>
      </c>
      <c r="AT2333" s="259" t="b">
        <f t="shared" si="479"/>
        <v>0</v>
      </c>
      <c r="AU2333" s="259" t="b">
        <f t="shared" si="480"/>
        <v>0</v>
      </c>
      <c r="AV2333" s="259" t="str">
        <f t="shared" si="481"/>
        <v>-</v>
      </c>
    </row>
    <row r="2334" spans="41:48">
      <c r="AO2334" s="824" t="str">
        <f t="shared" si="478"/>
        <v>No</v>
      </c>
      <c r="AP2334" s="259" t="str">
        <f t="shared" si="483"/>
        <v>blank</v>
      </c>
      <c r="AQ2334" s="542" t="str">
        <f t="shared" si="482"/>
        <v>无定金+无預留客戶</v>
      </c>
      <c r="AR2334" s="259" t="str">
        <f t="shared" si="476"/>
        <v/>
      </c>
      <c r="AS2334" s="259" t="str">
        <f t="shared" si="477"/>
        <v/>
      </c>
      <c r="AT2334" s="259" t="b">
        <f t="shared" si="479"/>
        <v>0</v>
      </c>
      <c r="AU2334" s="259" t="b">
        <f t="shared" si="480"/>
        <v>0</v>
      </c>
      <c r="AV2334" s="259" t="str">
        <f t="shared" si="481"/>
        <v>-</v>
      </c>
    </row>
    <row r="2335" spans="41:48">
      <c r="AO2335" s="824" t="str">
        <f t="shared" si="478"/>
        <v>No</v>
      </c>
      <c r="AP2335" s="259" t="str">
        <f t="shared" si="483"/>
        <v>blank</v>
      </c>
      <c r="AQ2335" s="542" t="str">
        <f t="shared" si="482"/>
        <v>无定金+无預留客戶</v>
      </c>
      <c r="AR2335" s="259" t="str">
        <f t="shared" si="476"/>
        <v/>
      </c>
      <c r="AS2335" s="259" t="str">
        <f t="shared" si="477"/>
        <v/>
      </c>
      <c r="AT2335" s="259" t="b">
        <f t="shared" si="479"/>
        <v>0</v>
      </c>
      <c r="AU2335" s="259" t="b">
        <f t="shared" si="480"/>
        <v>0</v>
      </c>
      <c r="AV2335" s="259" t="str">
        <f t="shared" si="481"/>
        <v>-</v>
      </c>
    </row>
    <row r="2336" spans="41:48">
      <c r="AO2336" s="824" t="str">
        <f t="shared" si="478"/>
        <v>No</v>
      </c>
      <c r="AP2336" s="259" t="str">
        <f t="shared" si="483"/>
        <v>blank</v>
      </c>
      <c r="AQ2336" s="542" t="str">
        <f t="shared" si="482"/>
        <v>无定金+无預留客戶</v>
      </c>
      <c r="AR2336" s="259" t="str">
        <f t="shared" si="476"/>
        <v/>
      </c>
      <c r="AS2336" s="259" t="str">
        <f t="shared" si="477"/>
        <v/>
      </c>
      <c r="AT2336" s="259" t="b">
        <f t="shared" si="479"/>
        <v>0</v>
      </c>
      <c r="AU2336" s="259" t="b">
        <f t="shared" si="480"/>
        <v>0</v>
      </c>
      <c r="AV2336" s="259" t="str">
        <f t="shared" si="481"/>
        <v>-</v>
      </c>
    </row>
    <row r="2337" spans="41:48">
      <c r="AO2337" s="824" t="str">
        <f t="shared" si="478"/>
        <v>No</v>
      </c>
      <c r="AP2337" s="259" t="str">
        <f t="shared" si="483"/>
        <v>blank</v>
      </c>
      <c r="AQ2337" s="542" t="str">
        <f t="shared" si="482"/>
        <v>无定金+无預留客戶</v>
      </c>
      <c r="AR2337" s="259" t="str">
        <f t="shared" si="476"/>
        <v/>
      </c>
      <c r="AS2337" s="259" t="str">
        <f t="shared" si="477"/>
        <v/>
      </c>
      <c r="AT2337" s="259" t="b">
        <f t="shared" si="479"/>
        <v>0</v>
      </c>
      <c r="AU2337" s="259" t="b">
        <f t="shared" si="480"/>
        <v>0</v>
      </c>
      <c r="AV2337" s="259" t="str">
        <f t="shared" si="481"/>
        <v>-</v>
      </c>
    </row>
    <row r="2338" spans="41:48">
      <c r="AO2338" s="824" t="str">
        <f t="shared" si="478"/>
        <v>No</v>
      </c>
      <c r="AP2338" s="259" t="str">
        <f t="shared" si="483"/>
        <v>blank</v>
      </c>
      <c r="AQ2338" s="542" t="str">
        <f t="shared" si="482"/>
        <v>无定金+无預留客戶</v>
      </c>
      <c r="AR2338" s="259" t="str">
        <f t="shared" si="476"/>
        <v/>
      </c>
      <c r="AS2338" s="259" t="str">
        <f t="shared" si="477"/>
        <v/>
      </c>
      <c r="AT2338" s="259" t="b">
        <f t="shared" si="479"/>
        <v>0</v>
      </c>
      <c r="AU2338" s="259" t="b">
        <f t="shared" si="480"/>
        <v>0</v>
      </c>
      <c r="AV2338" s="259" t="str">
        <f t="shared" si="481"/>
        <v>-</v>
      </c>
    </row>
    <row r="2339" spans="41:48">
      <c r="AO2339" s="824" t="str">
        <f t="shared" si="478"/>
        <v>No</v>
      </c>
      <c r="AP2339" s="259" t="str">
        <f t="shared" si="483"/>
        <v>blank</v>
      </c>
      <c r="AQ2339" s="542" t="str">
        <f t="shared" si="482"/>
        <v>无定金+无預留客戶</v>
      </c>
      <c r="AR2339" s="259" t="str">
        <f t="shared" si="476"/>
        <v/>
      </c>
      <c r="AS2339" s="259" t="str">
        <f t="shared" si="477"/>
        <v/>
      </c>
      <c r="AT2339" s="259" t="b">
        <f t="shared" si="479"/>
        <v>0</v>
      </c>
      <c r="AU2339" s="259" t="b">
        <f t="shared" si="480"/>
        <v>0</v>
      </c>
      <c r="AV2339" s="259" t="str">
        <f t="shared" si="481"/>
        <v>-</v>
      </c>
    </row>
    <row r="2340" spans="41:48">
      <c r="AO2340" s="824" t="str">
        <f t="shared" si="478"/>
        <v>No</v>
      </c>
      <c r="AP2340" s="259" t="str">
        <f t="shared" si="483"/>
        <v>blank</v>
      </c>
      <c r="AQ2340" s="542" t="str">
        <f t="shared" si="482"/>
        <v>无定金+无預留客戶</v>
      </c>
      <c r="AR2340" s="259" t="str">
        <f t="shared" si="476"/>
        <v/>
      </c>
      <c r="AS2340" s="259" t="str">
        <f t="shared" si="477"/>
        <v/>
      </c>
      <c r="AT2340" s="259" t="b">
        <f t="shared" si="479"/>
        <v>0</v>
      </c>
      <c r="AU2340" s="259" t="b">
        <f t="shared" si="480"/>
        <v>0</v>
      </c>
      <c r="AV2340" s="259" t="str">
        <f t="shared" si="481"/>
        <v>-</v>
      </c>
    </row>
    <row r="2341" spans="41:48">
      <c r="AO2341" s="824" t="str">
        <f t="shared" si="478"/>
        <v>No</v>
      </c>
      <c r="AP2341" s="259" t="str">
        <f t="shared" si="483"/>
        <v>blank</v>
      </c>
      <c r="AQ2341" s="542" t="str">
        <f t="shared" si="482"/>
        <v>无定金+无預留客戶</v>
      </c>
      <c r="AR2341" s="259" t="str">
        <f t="shared" si="476"/>
        <v/>
      </c>
      <c r="AS2341" s="259" t="str">
        <f t="shared" si="477"/>
        <v/>
      </c>
      <c r="AT2341" s="259" t="b">
        <f t="shared" si="479"/>
        <v>0</v>
      </c>
      <c r="AU2341" s="259" t="b">
        <f t="shared" si="480"/>
        <v>0</v>
      </c>
      <c r="AV2341" s="259" t="str">
        <f t="shared" si="481"/>
        <v>-</v>
      </c>
    </row>
    <row r="2342" spans="41:48">
      <c r="AO2342" s="824" t="str">
        <f t="shared" si="478"/>
        <v>No</v>
      </c>
      <c r="AP2342" s="259" t="str">
        <f t="shared" si="483"/>
        <v>blank</v>
      </c>
      <c r="AQ2342" s="542" t="str">
        <f t="shared" si="482"/>
        <v>无定金+无預留客戶</v>
      </c>
      <c r="AR2342" s="259" t="str">
        <f t="shared" si="476"/>
        <v/>
      </c>
      <c r="AS2342" s="259" t="str">
        <f t="shared" si="477"/>
        <v/>
      </c>
      <c r="AT2342" s="259" t="b">
        <f t="shared" si="479"/>
        <v>0</v>
      </c>
      <c r="AU2342" s="259" t="b">
        <f t="shared" si="480"/>
        <v>0</v>
      </c>
      <c r="AV2342" s="259" t="str">
        <f t="shared" si="481"/>
        <v>-</v>
      </c>
    </row>
    <row r="2343" spans="41:48">
      <c r="AO2343" s="824" t="str">
        <f t="shared" si="478"/>
        <v>No</v>
      </c>
      <c r="AP2343" s="259" t="str">
        <f t="shared" si="483"/>
        <v>blank</v>
      </c>
      <c r="AQ2343" s="542" t="str">
        <f t="shared" si="482"/>
        <v>无定金+无預留客戶</v>
      </c>
      <c r="AR2343" s="259" t="str">
        <f t="shared" si="476"/>
        <v/>
      </c>
      <c r="AS2343" s="259" t="str">
        <f t="shared" si="477"/>
        <v/>
      </c>
      <c r="AT2343" s="259" t="b">
        <f t="shared" si="479"/>
        <v>0</v>
      </c>
      <c r="AU2343" s="259" t="b">
        <f t="shared" si="480"/>
        <v>0</v>
      </c>
      <c r="AV2343" s="259" t="str">
        <f t="shared" si="481"/>
        <v>-</v>
      </c>
    </row>
    <row r="2344" spans="41:48">
      <c r="AO2344" s="824" t="str">
        <f t="shared" si="478"/>
        <v>No</v>
      </c>
      <c r="AP2344" s="259" t="str">
        <f t="shared" si="483"/>
        <v>blank</v>
      </c>
      <c r="AQ2344" s="542" t="str">
        <f t="shared" si="482"/>
        <v>无定金+无預留客戶</v>
      </c>
      <c r="AR2344" s="259" t="str">
        <f t="shared" si="476"/>
        <v/>
      </c>
      <c r="AS2344" s="259" t="str">
        <f t="shared" si="477"/>
        <v/>
      </c>
      <c r="AT2344" s="259" t="b">
        <f t="shared" si="479"/>
        <v>0</v>
      </c>
      <c r="AU2344" s="259" t="b">
        <f t="shared" si="480"/>
        <v>0</v>
      </c>
      <c r="AV2344" s="259" t="str">
        <f t="shared" si="481"/>
        <v>-</v>
      </c>
    </row>
    <row r="2345" spans="41:48">
      <c r="AO2345" s="824" t="str">
        <f t="shared" si="478"/>
        <v>No</v>
      </c>
      <c r="AP2345" s="259" t="str">
        <f t="shared" si="483"/>
        <v>blank</v>
      </c>
      <c r="AQ2345" s="542" t="str">
        <f t="shared" si="482"/>
        <v>无定金+无預留客戶</v>
      </c>
      <c r="AR2345" s="259" t="str">
        <f t="shared" si="476"/>
        <v/>
      </c>
      <c r="AS2345" s="259" t="str">
        <f t="shared" si="477"/>
        <v/>
      </c>
      <c r="AT2345" s="259" t="b">
        <f t="shared" si="479"/>
        <v>0</v>
      </c>
      <c r="AU2345" s="259" t="b">
        <f t="shared" si="480"/>
        <v>0</v>
      </c>
      <c r="AV2345" s="259" t="str">
        <f t="shared" si="481"/>
        <v>-</v>
      </c>
    </row>
    <row r="2346" spans="41:48">
      <c r="AO2346" s="824" t="str">
        <f t="shared" si="478"/>
        <v>No</v>
      </c>
      <c r="AP2346" s="259" t="str">
        <f t="shared" si="483"/>
        <v>blank</v>
      </c>
      <c r="AQ2346" s="542" t="str">
        <f t="shared" si="482"/>
        <v>无定金+无預留客戶</v>
      </c>
      <c r="AR2346" s="259" t="str">
        <f t="shared" si="476"/>
        <v/>
      </c>
      <c r="AS2346" s="259" t="str">
        <f t="shared" si="477"/>
        <v/>
      </c>
      <c r="AT2346" s="259" t="b">
        <f t="shared" si="479"/>
        <v>0</v>
      </c>
      <c r="AU2346" s="259" t="b">
        <f t="shared" si="480"/>
        <v>0</v>
      </c>
      <c r="AV2346" s="259" t="str">
        <f t="shared" si="481"/>
        <v>-</v>
      </c>
    </row>
    <row r="2347" spans="41:48">
      <c r="AO2347" s="824" t="str">
        <f t="shared" si="478"/>
        <v>No</v>
      </c>
      <c r="AP2347" s="259" t="str">
        <f t="shared" si="483"/>
        <v>blank</v>
      </c>
      <c r="AQ2347" s="542" t="str">
        <f t="shared" si="482"/>
        <v>无定金+无預留客戶</v>
      </c>
      <c r="AR2347" s="259" t="str">
        <f t="shared" si="476"/>
        <v/>
      </c>
      <c r="AS2347" s="259" t="str">
        <f t="shared" si="477"/>
        <v/>
      </c>
      <c r="AT2347" s="259" t="b">
        <f t="shared" si="479"/>
        <v>0</v>
      </c>
      <c r="AU2347" s="259" t="b">
        <f t="shared" si="480"/>
        <v>0</v>
      </c>
      <c r="AV2347" s="259" t="str">
        <f t="shared" si="481"/>
        <v>-</v>
      </c>
    </row>
    <row r="2348" spans="41:48">
      <c r="AO2348" s="824" t="str">
        <f t="shared" si="478"/>
        <v>No</v>
      </c>
      <c r="AP2348" s="259" t="str">
        <f t="shared" si="483"/>
        <v>blank</v>
      </c>
      <c r="AQ2348" s="542" t="str">
        <f t="shared" si="482"/>
        <v>无定金+无預留客戶</v>
      </c>
      <c r="AR2348" s="259" t="str">
        <f t="shared" si="476"/>
        <v/>
      </c>
      <c r="AS2348" s="259" t="str">
        <f t="shared" si="477"/>
        <v/>
      </c>
      <c r="AT2348" s="259" t="b">
        <f t="shared" si="479"/>
        <v>0</v>
      </c>
      <c r="AU2348" s="259" t="b">
        <f t="shared" si="480"/>
        <v>0</v>
      </c>
      <c r="AV2348" s="259" t="str">
        <f t="shared" si="481"/>
        <v>-</v>
      </c>
    </row>
    <row r="2349" spans="41:48">
      <c r="AO2349" s="824" t="str">
        <f t="shared" si="478"/>
        <v>No</v>
      </c>
      <c r="AP2349" s="259" t="str">
        <f t="shared" si="483"/>
        <v>blank</v>
      </c>
      <c r="AQ2349" s="542" t="str">
        <f t="shared" si="482"/>
        <v>无定金+无預留客戶</v>
      </c>
      <c r="AR2349" s="259" t="str">
        <f t="shared" si="476"/>
        <v/>
      </c>
      <c r="AS2349" s="259" t="str">
        <f t="shared" si="477"/>
        <v/>
      </c>
      <c r="AT2349" s="259" t="b">
        <f t="shared" si="479"/>
        <v>0</v>
      </c>
      <c r="AU2349" s="259" t="b">
        <f t="shared" si="480"/>
        <v>0</v>
      </c>
      <c r="AV2349" s="259" t="str">
        <f t="shared" si="481"/>
        <v>-</v>
      </c>
    </row>
    <row r="2350" spans="41:48">
      <c r="AO2350" s="824" t="str">
        <f t="shared" si="478"/>
        <v>No</v>
      </c>
      <c r="AP2350" s="259" t="str">
        <f t="shared" si="483"/>
        <v>blank</v>
      </c>
      <c r="AQ2350" s="542" t="str">
        <f t="shared" si="482"/>
        <v>无定金+无預留客戶</v>
      </c>
      <c r="AR2350" s="259" t="str">
        <f t="shared" si="476"/>
        <v/>
      </c>
      <c r="AS2350" s="259" t="str">
        <f t="shared" si="477"/>
        <v/>
      </c>
      <c r="AT2350" s="259" t="b">
        <f t="shared" si="479"/>
        <v>0</v>
      </c>
      <c r="AU2350" s="259" t="b">
        <f t="shared" si="480"/>
        <v>0</v>
      </c>
      <c r="AV2350" s="259" t="str">
        <f t="shared" si="481"/>
        <v>-</v>
      </c>
    </row>
    <row r="2351" spans="41:48">
      <c r="AO2351" s="824" t="str">
        <f t="shared" si="478"/>
        <v>No</v>
      </c>
      <c r="AP2351" s="259" t="str">
        <f t="shared" si="483"/>
        <v>blank</v>
      </c>
      <c r="AQ2351" s="542" t="str">
        <f t="shared" si="482"/>
        <v>无定金+无預留客戶</v>
      </c>
      <c r="AR2351" s="259" t="str">
        <f t="shared" si="476"/>
        <v/>
      </c>
      <c r="AS2351" s="259" t="str">
        <f t="shared" si="477"/>
        <v/>
      </c>
      <c r="AT2351" s="259" t="b">
        <f t="shared" si="479"/>
        <v>0</v>
      </c>
      <c r="AU2351" s="259" t="b">
        <f t="shared" si="480"/>
        <v>0</v>
      </c>
      <c r="AV2351" s="259" t="str">
        <f t="shared" si="481"/>
        <v>-</v>
      </c>
    </row>
    <row r="2352" spans="41:48">
      <c r="AO2352" s="824" t="str">
        <f t="shared" si="478"/>
        <v>No</v>
      </c>
      <c r="AP2352" s="259" t="str">
        <f t="shared" si="483"/>
        <v>blank</v>
      </c>
      <c r="AQ2352" s="542" t="str">
        <f t="shared" si="482"/>
        <v>无定金+无預留客戶</v>
      </c>
      <c r="AR2352" s="259" t="str">
        <f t="shared" si="476"/>
        <v/>
      </c>
      <c r="AS2352" s="259" t="str">
        <f t="shared" si="477"/>
        <v/>
      </c>
      <c r="AT2352" s="259" t="b">
        <f t="shared" si="479"/>
        <v>0</v>
      </c>
      <c r="AU2352" s="259" t="b">
        <f t="shared" si="480"/>
        <v>0</v>
      </c>
      <c r="AV2352" s="259" t="str">
        <f t="shared" si="481"/>
        <v>-</v>
      </c>
    </row>
    <row r="2353" spans="41:48">
      <c r="AO2353" s="824" t="str">
        <f t="shared" si="478"/>
        <v>No</v>
      </c>
      <c r="AP2353" s="259" t="str">
        <f t="shared" si="483"/>
        <v>blank</v>
      </c>
      <c r="AQ2353" s="542" t="str">
        <f t="shared" si="482"/>
        <v>无定金+无預留客戶</v>
      </c>
      <c r="AR2353" s="259" t="str">
        <f t="shared" si="476"/>
        <v/>
      </c>
      <c r="AS2353" s="259" t="str">
        <f t="shared" si="477"/>
        <v/>
      </c>
      <c r="AT2353" s="259" t="b">
        <f t="shared" si="479"/>
        <v>0</v>
      </c>
      <c r="AU2353" s="259" t="b">
        <f t="shared" si="480"/>
        <v>0</v>
      </c>
      <c r="AV2353" s="259" t="str">
        <f t="shared" si="481"/>
        <v>-</v>
      </c>
    </row>
    <row r="2354" spans="41:48">
      <c r="AO2354" s="824" t="str">
        <f t="shared" si="478"/>
        <v>No</v>
      </c>
      <c r="AP2354" s="259" t="str">
        <f t="shared" si="483"/>
        <v>blank</v>
      </c>
      <c r="AQ2354" s="542" t="str">
        <f t="shared" si="482"/>
        <v>无定金+无預留客戶</v>
      </c>
      <c r="AR2354" s="259" t="str">
        <f t="shared" si="476"/>
        <v/>
      </c>
      <c r="AS2354" s="259" t="str">
        <f t="shared" si="477"/>
        <v/>
      </c>
      <c r="AT2354" s="259" t="b">
        <f t="shared" si="479"/>
        <v>0</v>
      </c>
      <c r="AU2354" s="259" t="b">
        <f t="shared" si="480"/>
        <v>0</v>
      </c>
      <c r="AV2354" s="259" t="str">
        <f t="shared" si="481"/>
        <v>-</v>
      </c>
    </row>
    <row r="2355" spans="41:48">
      <c r="AO2355" s="824" t="str">
        <f t="shared" si="478"/>
        <v>No</v>
      </c>
      <c r="AP2355" s="259" t="str">
        <f t="shared" si="483"/>
        <v>blank</v>
      </c>
      <c r="AQ2355" s="542" t="str">
        <f t="shared" si="482"/>
        <v>无定金+无預留客戶</v>
      </c>
      <c r="AR2355" s="259" t="str">
        <f t="shared" si="476"/>
        <v/>
      </c>
      <c r="AS2355" s="259" t="str">
        <f t="shared" si="477"/>
        <v/>
      </c>
      <c r="AT2355" s="259" t="b">
        <f t="shared" si="479"/>
        <v>0</v>
      </c>
      <c r="AU2355" s="259" t="b">
        <f t="shared" si="480"/>
        <v>0</v>
      </c>
      <c r="AV2355" s="259" t="str">
        <f t="shared" si="481"/>
        <v>-</v>
      </c>
    </row>
    <row r="2356" spans="41:48">
      <c r="AO2356" s="824" t="str">
        <f t="shared" si="478"/>
        <v>No</v>
      </c>
      <c r="AP2356" s="259" t="str">
        <f t="shared" si="483"/>
        <v>blank</v>
      </c>
      <c r="AQ2356" s="542" t="str">
        <f t="shared" si="482"/>
        <v>无定金+无預留客戶</v>
      </c>
      <c r="AR2356" s="259" t="str">
        <f t="shared" si="476"/>
        <v/>
      </c>
      <c r="AS2356" s="259" t="str">
        <f t="shared" si="477"/>
        <v/>
      </c>
      <c r="AT2356" s="259" t="b">
        <f t="shared" si="479"/>
        <v>0</v>
      </c>
      <c r="AU2356" s="259" t="b">
        <f t="shared" si="480"/>
        <v>0</v>
      </c>
      <c r="AV2356" s="259" t="str">
        <f t="shared" si="481"/>
        <v>-</v>
      </c>
    </row>
    <row r="2357" spans="41:48">
      <c r="AO2357" s="824" t="str">
        <f t="shared" si="478"/>
        <v>No</v>
      </c>
      <c r="AP2357" s="259" t="str">
        <f t="shared" si="483"/>
        <v>blank</v>
      </c>
      <c r="AQ2357" s="542" t="str">
        <f t="shared" si="482"/>
        <v>无定金+无預留客戶</v>
      </c>
      <c r="AR2357" s="259" t="str">
        <f t="shared" si="476"/>
        <v/>
      </c>
      <c r="AS2357" s="259" t="str">
        <f t="shared" si="477"/>
        <v/>
      </c>
      <c r="AT2357" s="259" t="b">
        <f t="shared" si="479"/>
        <v>0</v>
      </c>
      <c r="AU2357" s="259" t="b">
        <f t="shared" si="480"/>
        <v>0</v>
      </c>
      <c r="AV2357" s="259" t="str">
        <f t="shared" si="481"/>
        <v>-</v>
      </c>
    </row>
    <row r="2358" spans="41:48">
      <c r="AO2358" s="824" t="str">
        <f t="shared" si="478"/>
        <v>No</v>
      </c>
      <c r="AP2358" s="259" t="str">
        <f t="shared" si="483"/>
        <v>blank</v>
      </c>
      <c r="AQ2358" s="542" t="str">
        <f t="shared" si="482"/>
        <v>无定金+无預留客戶</v>
      </c>
      <c r="AR2358" s="259" t="str">
        <f t="shared" si="476"/>
        <v/>
      </c>
      <c r="AS2358" s="259" t="str">
        <f t="shared" si="477"/>
        <v/>
      </c>
      <c r="AT2358" s="259" t="b">
        <f t="shared" si="479"/>
        <v>0</v>
      </c>
      <c r="AU2358" s="259" t="b">
        <f t="shared" si="480"/>
        <v>0</v>
      </c>
      <c r="AV2358" s="259" t="str">
        <f t="shared" si="481"/>
        <v>-</v>
      </c>
    </row>
    <row r="2359" spans="41:48">
      <c r="AO2359" s="824" t="str">
        <f t="shared" si="478"/>
        <v>No</v>
      </c>
      <c r="AP2359" s="259" t="str">
        <f t="shared" si="483"/>
        <v>blank</v>
      </c>
      <c r="AQ2359" s="542" t="str">
        <f t="shared" si="482"/>
        <v>无定金+无預留客戶</v>
      </c>
      <c r="AR2359" s="259" t="str">
        <f t="shared" si="476"/>
        <v/>
      </c>
      <c r="AS2359" s="259" t="str">
        <f t="shared" si="477"/>
        <v/>
      </c>
      <c r="AT2359" s="259" t="b">
        <f t="shared" si="479"/>
        <v>0</v>
      </c>
      <c r="AU2359" s="259" t="b">
        <f t="shared" si="480"/>
        <v>0</v>
      </c>
      <c r="AV2359" s="259" t="str">
        <f t="shared" si="481"/>
        <v>-</v>
      </c>
    </row>
    <row r="2360" spans="41:48">
      <c r="AO2360" s="824" t="str">
        <f t="shared" si="478"/>
        <v>No</v>
      </c>
      <c r="AP2360" s="259" t="str">
        <f t="shared" si="483"/>
        <v>blank</v>
      </c>
      <c r="AQ2360" s="542" t="str">
        <f t="shared" si="482"/>
        <v>无定金+无預留客戶</v>
      </c>
      <c r="AR2360" s="259" t="str">
        <f t="shared" si="476"/>
        <v/>
      </c>
      <c r="AS2360" s="259" t="str">
        <f t="shared" si="477"/>
        <v/>
      </c>
      <c r="AT2360" s="259" t="b">
        <f t="shared" si="479"/>
        <v>0</v>
      </c>
      <c r="AU2360" s="259" t="b">
        <f t="shared" si="480"/>
        <v>0</v>
      </c>
      <c r="AV2360" s="259" t="str">
        <f t="shared" si="481"/>
        <v>-</v>
      </c>
    </row>
    <row r="2361" spans="41:48">
      <c r="AO2361" s="824" t="str">
        <f t="shared" si="478"/>
        <v>No</v>
      </c>
      <c r="AP2361" s="259" t="str">
        <f t="shared" si="483"/>
        <v>blank</v>
      </c>
      <c r="AQ2361" s="542" t="str">
        <f t="shared" si="482"/>
        <v>无定金+无預留客戶</v>
      </c>
      <c r="AR2361" s="259" t="str">
        <f t="shared" si="476"/>
        <v/>
      </c>
      <c r="AS2361" s="259" t="str">
        <f t="shared" si="477"/>
        <v/>
      </c>
      <c r="AT2361" s="259" t="b">
        <f t="shared" si="479"/>
        <v>0</v>
      </c>
      <c r="AU2361" s="259" t="b">
        <f t="shared" si="480"/>
        <v>0</v>
      </c>
      <c r="AV2361" s="259" t="str">
        <f t="shared" si="481"/>
        <v>-</v>
      </c>
    </row>
    <row r="2362" spans="41:48">
      <c r="AO2362" s="824" t="str">
        <f t="shared" si="478"/>
        <v>No</v>
      </c>
      <c r="AP2362" s="259" t="str">
        <f t="shared" si="483"/>
        <v>blank</v>
      </c>
      <c r="AQ2362" s="542" t="str">
        <f t="shared" si="482"/>
        <v>无定金+无預留客戶</v>
      </c>
      <c r="AR2362" s="259" t="str">
        <f t="shared" si="476"/>
        <v/>
      </c>
      <c r="AS2362" s="259" t="str">
        <f t="shared" si="477"/>
        <v/>
      </c>
      <c r="AT2362" s="259" t="b">
        <f t="shared" si="479"/>
        <v>0</v>
      </c>
      <c r="AU2362" s="259" t="b">
        <f t="shared" si="480"/>
        <v>0</v>
      </c>
      <c r="AV2362" s="259" t="str">
        <f t="shared" si="481"/>
        <v>-</v>
      </c>
    </row>
    <row r="2363" spans="41:48">
      <c r="AO2363" s="824" t="str">
        <f t="shared" si="478"/>
        <v>No</v>
      </c>
      <c r="AP2363" s="259" t="str">
        <f t="shared" si="483"/>
        <v>blank</v>
      </c>
      <c r="AQ2363" s="542" t="str">
        <f t="shared" si="482"/>
        <v>无定金+无預留客戶</v>
      </c>
      <c r="AR2363" s="259" t="str">
        <f t="shared" si="476"/>
        <v/>
      </c>
      <c r="AS2363" s="259" t="str">
        <f t="shared" si="477"/>
        <v/>
      </c>
      <c r="AT2363" s="259" t="b">
        <f t="shared" si="479"/>
        <v>0</v>
      </c>
      <c r="AU2363" s="259" t="b">
        <f t="shared" si="480"/>
        <v>0</v>
      </c>
      <c r="AV2363" s="259" t="str">
        <f t="shared" si="481"/>
        <v>-</v>
      </c>
    </row>
    <row r="2364" spans="41:48">
      <c r="AO2364" s="824" t="str">
        <f t="shared" si="478"/>
        <v>No</v>
      </c>
      <c r="AP2364" s="259" t="str">
        <f t="shared" si="483"/>
        <v>blank</v>
      </c>
      <c r="AQ2364" s="542" t="str">
        <f t="shared" si="482"/>
        <v>无定金+无預留客戶</v>
      </c>
      <c r="AR2364" s="259" t="str">
        <f t="shared" si="476"/>
        <v/>
      </c>
      <c r="AS2364" s="259" t="str">
        <f t="shared" si="477"/>
        <v/>
      </c>
      <c r="AT2364" s="259" t="b">
        <f t="shared" si="479"/>
        <v>0</v>
      </c>
      <c r="AU2364" s="259" t="b">
        <f t="shared" si="480"/>
        <v>0</v>
      </c>
      <c r="AV2364" s="259" t="str">
        <f t="shared" si="481"/>
        <v>-</v>
      </c>
    </row>
    <row r="2365" spans="41:48">
      <c r="AO2365" s="824" t="str">
        <f t="shared" si="478"/>
        <v>No</v>
      </c>
      <c r="AP2365" s="259" t="str">
        <f t="shared" si="483"/>
        <v>blank</v>
      </c>
      <c r="AQ2365" s="542" t="str">
        <f t="shared" si="482"/>
        <v>无定金+无預留客戶</v>
      </c>
      <c r="AR2365" s="259" t="str">
        <f t="shared" si="476"/>
        <v/>
      </c>
      <c r="AS2365" s="259" t="str">
        <f t="shared" si="477"/>
        <v/>
      </c>
      <c r="AT2365" s="259" t="b">
        <f t="shared" si="479"/>
        <v>0</v>
      </c>
      <c r="AU2365" s="259" t="b">
        <f t="shared" si="480"/>
        <v>0</v>
      </c>
      <c r="AV2365" s="259" t="str">
        <f t="shared" si="481"/>
        <v>-</v>
      </c>
    </row>
    <row r="2366" spans="41:48">
      <c r="AO2366" s="824" t="str">
        <f t="shared" si="478"/>
        <v>No</v>
      </c>
      <c r="AP2366" s="259" t="str">
        <f t="shared" si="483"/>
        <v>blank</v>
      </c>
      <c r="AQ2366" s="542" t="str">
        <f t="shared" si="482"/>
        <v>无定金+无預留客戶</v>
      </c>
      <c r="AR2366" s="259" t="str">
        <f t="shared" ref="AR2366:AR2429" si="484">IFERROR(IF(B2366="已经到货", "Instock", IF(B2366="有交期", "Incoming_Stock_With_YAMAHA_Schedule", IF(B2366="TBA.", "Incoming_Stock_No_YAMAHA_Schedule", IF(B2366="已发货", "Shipped_Stock", "")))), "")</f>
        <v/>
      </c>
      <c r="AS2366" s="259" t="str">
        <f t="shared" ref="AS2366:AS2429" si="485">IF(AND(B2366="有交期", L2366&lt;&gt;""), L2366, "")</f>
        <v/>
      </c>
      <c r="AT2366" s="259" t="b">
        <f t="shared" si="479"/>
        <v>0</v>
      </c>
      <c r="AU2366" s="259" t="b">
        <f t="shared" si="480"/>
        <v>0</v>
      </c>
      <c r="AV2366" s="259" t="str">
        <f t="shared" si="481"/>
        <v>-</v>
      </c>
    </row>
    <row r="2367" spans="41:48">
      <c r="AO2367" s="824" t="str">
        <f t="shared" si="478"/>
        <v>No</v>
      </c>
      <c r="AP2367" s="259" t="str">
        <f t="shared" si="483"/>
        <v>blank</v>
      </c>
      <c r="AQ2367" s="542" t="str">
        <f t="shared" si="482"/>
        <v>无定金+无預留客戶</v>
      </c>
      <c r="AR2367" s="259" t="str">
        <f t="shared" si="484"/>
        <v/>
      </c>
      <c r="AS2367" s="259" t="str">
        <f t="shared" si="485"/>
        <v/>
      </c>
      <c r="AT2367" s="259" t="b">
        <f t="shared" si="479"/>
        <v>0</v>
      </c>
      <c r="AU2367" s="259" t="b">
        <f t="shared" si="480"/>
        <v>0</v>
      </c>
      <c r="AV2367" s="259" t="str">
        <f t="shared" si="481"/>
        <v>-</v>
      </c>
    </row>
    <row r="2368" spans="41:48">
      <c r="AO2368" s="824" t="str">
        <f t="shared" si="478"/>
        <v>No</v>
      </c>
      <c r="AP2368" s="259" t="str">
        <f t="shared" si="483"/>
        <v>blank</v>
      </c>
      <c r="AQ2368" s="542" t="str">
        <f t="shared" si="482"/>
        <v>无定金+无預留客戶</v>
      </c>
      <c r="AR2368" s="259" t="str">
        <f t="shared" si="484"/>
        <v/>
      </c>
      <c r="AS2368" s="259" t="str">
        <f t="shared" si="485"/>
        <v/>
      </c>
      <c r="AT2368" s="259" t="b">
        <f t="shared" si="479"/>
        <v>0</v>
      </c>
      <c r="AU2368" s="259" t="b">
        <f t="shared" si="480"/>
        <v>0</v>
      </c>
      <c r="AV2368" s="259" t="str">
        <f t="shared" si="481"/>
        <v>-</v>
      </c>
    </row>
    <row r="2369" spans="41:48">
      <c r="AO2369" s="824" t="str">
        <f t="shared" si="478"/>
        <v>No</v>
      </c>
      <c r="AP2369" s="259" t="str">
        <f t="shared" si="483"/>
        <v>blank</v>
      </c>
      <c r="AQ2369" s="542" t="str">
        <f t="shared" si="482"/>
        <v>无定金+无預留客戶</v>
      </c>
      <c r="AR2369" s="259" t="str">
        <f t="shared" si="484"/>
        <v/>
      </c>
      <c r="AS2369" s="259" t="str">
        <f t="shared" si="485"/>
        <v/>
      </c>
      <c r="AT2369" s="259" t="b">
        <f t="shared" si="479"/>
        <v>0</v>
      </c>
      <c r="AU2369" s="259" t="b">
        <f t="shared" si="480"/>
        <v>0</v>
      </c>
      <c r="AV2369" s="259" t="str">
        <f t="shared" si="481"/>
        <v>-</v>
      </c>
    </row>
    <row r="2370" spans="41:48">
      <c r="AO2370" s="824" t="str">
        <f t="shared" ref="AO2370:AO2433" si="486">IFERROR(IF(Y2370&lt;&gt;"",Y2370,"No"),"No")</f>
        <v>No</v>
      </c>
      <c r="AP2370" s="259" t="str">
        <f t="shared" si="483"/>
        <v>blank</v>
      </c>
      <c r="AQ2370" s="542" t="str">
        <f t="shared" si="482"/>
        <v>无定金+无預留客戶</v>
      </c>
      <c r="AR2370" s="259" t="str">
        <f t="shared" si="484"/>
        <v/>
      </c>
      <c r="AS2370" s="259" t="str">
        <f t="shared" si="485"/>
        <v/>
      </c>
      <c r="AT2370" s="259" t="b">
        <f t="shared" ref="AT2370:AT2433" si="487">IFERROR(IF(R2370&lt;&gt;"",R2370),"-")</f>
        <v>0</v>
      </c>
      <c r="AU2370" s="259" t="b">
        <f t="shared" ref="AU2370:AU2433" si="488">IFERROR(IF(Q2370&lt;&gt;"",Q2370),"-")</f>
        <v>0</v>
      </c>
      <c r="AV2370" s="259" t="str">
        <f t="shared" ref="AV2370:AV2433" si="489">IF(L2370="","-",TEXT(L2370,"mmm-dd"))</f>
        <v>-</v>
      </c>
    </row>
    <row r="2371" spans="41:48">
      <c r="AO2371" s="824" t="str">
        <f t="shared" si="486"/>
        <v>No</v>
      </c>
      <c r="AP2371" s="259" t="str">
        <f t="shared" si="483"/>
        <v>blank</v>
      </c>
      <c r="AQ2371" s="542" t="str">
        <f t="shared" ref="AQ2371:AQ2434" si="490">IFERROR(IF(AND(AO2371="Yes", AP2371&lt;&gt;"blank"), "有定金+有預留客戶", IF(AND(AO2371="Yes", AP2371="blank"), "有定金+无客戶送貨期", IF(AND(OR(AO2371="No", ISBLANK(AO2371), AO2371="NA"), AP2371&lt;&gt;"blank"), "无定金+有預留客戶", IF(AND(OR(AO2371="No", ISBLANK(AO2371), AO2371="NA"), AP2371="blank"), "无定金+无預留客戶", "")))), "")</f>
        <v>无定金+无預留客戶</v>
      </c>
      <c r="AR2371" s="259" t="str">
        <f t="shared" si="484"/>
        <v/>
      </c>
      <c r="AS2371" s="259" t="str">
        <f t="shared" si="485"/>
        <v/>
      </c>
      <c r="AT2371" s="259" t="b">
        <f t="shared" si="487"/>
        <v>0</v>
      </c>
      <c r="AU2371" s="259" t="b">
        <f t="shared" si="488"/>
        <v>0</v>
      </c>
      <c r="AV2371" s="259" t="str">
        <f t="shared" si="489"/>
        <v>-</v>
      </c>
    </row>
    <row r="2372" spans="41:48">
      <c r="AO2372" s="824" t="str">
        <f t="shared" si="486"/>
        <v>No</v>
      </c>
      <c r="AP2372" s="259" t="str">
        <f t="shared" si="483"/>
        <v>blank</v>
      </c>
      <c r="AQ2372" s="542" t="str">
        <f t="shared" si="490"/>
        <v>无定金+无預留客戶</v>
      </c>
      <c r="AR2372" s="259" t="str">
        <f t="shared" si="484"/>
        <v/>
      </c>
      <c r="AS2372" s="259" t="str">
        <f t="shared" si="485"/>
        <v/>
      </c>
      <c r="AT2372" s="259" t="b">
        <f t="shared" si="487"/>
        <v>0</v>
      </c>
      <c r="AU2372" s="259" t="b">
        <f t="shared" si="488"/>
        <v>0</v>
      </c>
      <c r="AV2372" s="259" t="str">
        <f t="shared" si="489"/>
        <v>-</v>
      </c>
    </row>
    <row r="2373" spans="41:48">
      <c r="AO2373" s="824" t="str">
        <f t="shared" si="486"/>
        <v>No</v>
      </c>
      <c r="AP2373" s="259" t="str">
        <f t="shared" si="483"/>
        <v>blank</v>
      </c>
      <c r="AQ2373" s="542" t="str">
        <f t="shared" si="490"/>
        <v>无定金+无預留客戶</v>
      </c>
      <c r="AR2373" s="259" t="str">
        <f t="shared" si="484"/>
        <v/>
      </c>
      <c r="AS2373" s="259" t="str">
        <f t="shared" si="485"/>
        <v/>
      </c>
      <c r="AT2373" s="259" t="b">
        <f t="shared" si="487"/>
        <v>0</v>
      </c>
      <c r="AU2373" s="259" t="b">
        <f t="shared" si="488"/>
        <v>0</v>
      </c>
      <c r="AV2373" s="259" t="str">
        <f t="shared" si="489"/>
        <v>-</v>
      </c>
    </row>
    <row r="2374" spans="41:48">
      <c r="AO2374" s="824" t="str">
        <f t="shared" si="486"/>
        <v>No</v>
      </c>
      <c r="AP2374" s="259" t="str">
        <f t="shared" ref="AP2374:AP2437" si="491">IFERROR(IF(N2374&lt;&gt;"",N2374,"blank"),"NA")</f>
        <v>blank</v>
      </c>
      <c r="AQ2374" s="542" t="str">
        <f t="shared" si="490"/>
        <v>无定金+无預留客戶</v>
      </c>
      <c r="AR2374" s="259" t="str">
        <f t="shared" si="484"/>
        <v/>
      </c>
      <c r="AS2374" s="259" t="str">
        <f t="shared" si="485"/>
        <v/>
      </c>
      <c r="AT2374" s="259" t="b">
        <f t="shared" si="487"/>
        <v>0</v>
      </c>
      <c r="AU2374" s="259" t="b">
        <f t="shared" si="488"/>
        <v>0</v>
      </c>
      <c r="AV2374" s="259" t="str">
        <f t="shared" si="489"/>
        <v>-</v>
      </c>
    </row>
    <row r="2375" spans="41:48">
      <c r="AO2375" s="824" t="str">
        <f t="shared" si="486"/>
        <v>No</v>
      </c>
      <c r="AP2375" s="259" t="str">
        <f t="shared" si="491"/>
        <v>blank</v>
      </c>
      <c r="AQ2375" s="542" t="str">
        <f t="shared" si="490"/>
        <v>无定金+无預留客戶</v>
      </c>
      <c r="AR2375" s="259" t="str">
        <f t="shared" si="484"/>
        <v/>
      </c>
      <c r="AS2375" s="259" t="str">
        <f t="shared" si="485"/>
        <v/>
      </c>
      <c r="AT2375" s="259" t="b">
        <f t="shared" si="487"/>
        <v>0</v>
      </c>
      <c r="AU2375" s="259" t="b">
        <f t="shared" si="488"/>
        <v>0</v>
      </c>
      <c r="AV2375" s="259" t="str">
        <f t="shared" si="489"/>
        <v>-</v>
      </c>
    </row>
    <row r="2376" spans="41:48">
      <c r="AO2376" s="824" t="str">
        <f t="shared" si="486"/>
        <v>No</v>
      </c>
      <c r="AP2376" s="259" t="str">
        <f t="shared" si="491"/>
        <v>blank</v>
      </c>
      <c r="AQ2376" s="542" t="str">
        <f t="shared" si="490"/>
        <v>无定金+无預留客戶</v>
      </c>
      <c r="AR2376" s="259" t="str">
        <f t="shared" si="484"/>
        <v/>
      </c>
      <c r="AS2376" s="259" t="str">
        <f t="shared" si="485"/>
        <v/>
      </c>
      <c r="AT2376" s="259" t="b">
        <f t="shared" si="487"/>
        <v>0</v>
      </c>
      <c r="AU2376" s="259" t="b">
        <f t="shared" si="488"/>
        <v>0</v>
      </c>
      <c r="AV2376" s="259" t="str">
        <f t="shared" si="489"/>
        <v>-</v>
      </c>
    </row>
    <row r="2377" spans="41:48">
      <c r="AO2377" s="824" t="str">
        <f t="shared" si="486"/>
        <v>No</v>
      </c>
      <c r="AP2377" s="259" t="str">
        <f t="shared" si="491"/>
        <v>blank</v>
      </c>
      <c r="AQ2377" s="542" t="str">
        <f t="shared" si="490"/>
        <v>无定金+无預留客戶</v>
      </c>
      <c r="AR2377" s="259" t="str">
        <f t="shared" si="484"/>
        <v/>
      </c>
      <c r="AS2377" s="259" t="str">
        <f t="shared" si="485"/>
        <v/>
      </c>
      <c r="AT2377" s="259" t="b">
        <f t="shared" si="487"/>
        <v>0</v>
      </c>
      <c r="AU2377" s="259" t="b">
        <f t="shared" si="488"/>
        <v>0</v>
      </c>
      <c r="AV2377" s="259" t="str">
        <f t="shared" si="489"/>
        <v>-</v>
      </c>
    </row>
    <row r="2378" spans="41:48">
      <c r="AO2378" s="824" t="str">
        <f t="shared" si="486"/>
        <v>No</v>
      </c>
      <c r="AP2378" s="259" t="str">
        <f t="shared" si="491"/>
        <v>blank</v>
      </c>
      <c r="AQ2378" s="542" t="str">
        <f t="shared" si="490"/>
        <v>无定金+无預留客戶</v>
      </c>
      <c r="AR2378" s="259" t="str">
        <f t="shared" si="484"/>
        <v/>
      </c>
      <c r="AS2378" s="259" t="str">
        <f t="shared" si="485"/>
        <v/>
      </c>
      <c r="AT2378" s="259" t="b">
        <f t="shared" si="487"/>
        <v>0</v>
      </c>
      <c r="AU2378" s="259" t="b">
        <f t="shared" si="488"/>
        <v>0</v>
      </c>
      <c r="AV2378" s="259" t="str">
        <f t="shared" si="489"/>
        <v>-</v>
      </c>
    </row>
    <row r="2379" spans="41:48">
      <c r="AO2379" s="824" t="str">
        <f t="shared" si="486"/>
        <v>No</v>
      </c>
      <c r="AP2379" s="259" t="str">
        <f t="shared" si="491"/>
        <v>blank</v>
      </c>
      <c r="AQ2379" s="542" t="str">
        <f t="shared" si="490"/>
        <v>无定金+无預留客戶</v>
      </c>
      <c r="AR2379" s="259" t="str">
        <f t="shared" si="484"/>
        <v/>
      </c>
      <c r="AS2379" s="259" t="str">
        <f t="shared" si="485"/>
        <v/>
      </c>
      <c r="AT2379" s="259" t="b">
        <f t="shared" si="487"/>
        <v>0</v>
      </c>
      <c r="AU2379" s="259" t="b">
        <f t="shared" si="488"/>
        <v>0</v>
      </c>
      <c r="AV2379" s="259" t="str">
        <f t="shared" si="489"/>
        <v>-</v>
      </c>
    </row>
    <row r="2380" spans="41:48">
      <c r="AO2380" s="824" t="str">
        <f t="shared" si="486"/>
        <v>No</v>
      </c>
      <c r="AP2380" s="259" t="str">
        <f t="shared" si="491"/>
        <v>blank</v>
      </c>
      <c r="AQ2380" s="542" t="str">
        <f t="shared" si="490"/>
        <v>无定金+无預留客戶</v>
      </c>
      <c r="AR2380" s="259" t="str">
        <f t="shared" si="484"/>
        <v/>
      </c>
      <c r="AS2380" s="259" t="str">
        <f t="shared" si="485"/>
        <v/>
      </c>
      <c r="AT2380" s="259" t="b">
        <f t="shared" si="487"/>
        <v>0</v>
      </c>
      <c r="AU2380" s="259" t="b">
        <f t="shared" si="488"/>
        <v>0</v>
      </c>
      <c r="AV2380" s="259" t="str">
        <f t="shared" si="489"/>
        <v>-</v>
      </c>
    </row>
    <row r="2381" spans="41:48">
      <c r="AO2381" s="824" t="str">
        <f t="shared" si="486"/>
        <v>No</v>
      </c>
      <c r="AP2381" s="259" t="str">
        <f t="shared" si="491"/>
        <v>blank</v>
      </c>
      <c r="AQ2381" s="542" t="str">
        <f t="shared" si="490"/>
        <v>无定金+无預留客戶</v>
      </c>
      <c r="AR2381" s="259" t="str">
        <f t="shared" si="484"/>
        <v/>
      </c>
      <c r="AS2381" s="259" t="str">
        <f t="shared" si="485"/>
        <v/>
      </c>
      <c r="AT2381" s="259" t="b">
        <f t="shared" si="487"/>
        <v>0</v>
      </c>
      <c r="AU2381" s="259" t="b">
        <f t="shared" si="488"/>
        <v>0</v>
      </c>
      <c r="AV2381" s="259" t="str">
        <f t="shared" si="489"/>
        <v>-</v>
      </c>
    </row>
    <row r="2382" spans="41:48">
      <c r="AO2382" s="824" t="str">
        <f t="shared" si="486"/>
        <v>No</v>
      </c>
      <c r="AP2382" s="259" t="str">
        <f t="shared" si="491"/>
        <v>blank</v>
      </c>
      <c r="AQ2382" s="542" t="str">
        <f t="shared" si="490"/>
        <v>无定金+无預留客戶</v>
      </c>
      <c r="AR2382" s="259" t="str">
        <f t="shared" si="484"/>
        <v/>
      </c>
      <c r="AS2382" s="259" t="str">
        <f t="shared" si="485"/>
        <v/>
      </c>
      <c r="AT2382" s="259" t="b">
        <f t="shared" si="487"/>
        <v>0</v>
      </c>
      <c r="AU2382" s="259" t="b">
        <f t="shared" si="488"/>
        <v>0</v>
      </c>
      <c r="AV2382" s="259" t="str">
        <f t="shared" si="489"/>
        <v>-</v>
      </c>
    </row>
    <row r="2383" spans="41:48">
      <c r="AO2383" s="824" t="str">
        <f t="shared" si="486"/>
        <v>No</v>
      </c>
      <c r="AP2383" s="259" t="str">
        <f t="shared" si="491"/>
        <v>blank</v>
      </c>
      <c r="AQ2383" s="542" t="str">
        <f t="shared" si="490"/>
        <v>无定金+无預留客戶</v>
      </c>
      <c r="AR2383" s="259" t="str">
        <f t="shared" si="484"/>
        <v/>
      </c>
      <c r="AS2383" s="259" t="str">
        <f t="shared" si="485"/>
        <v/>
      </c>
      <c r="AT2383" s="259" t="b">
        <f t="shared" si="487"/>
        <v>0</v>
      </c>
      <c r="AU2383" s="259" t="b">
        <f t="shared" si="488"/>
        <v>0</v>
      </c>
      <c r="AV2383" s="259" t="str">
        <f t="shared" si="489"/>
        <v>-</v>
      </c>
    </row>
    <row r="2384" spans="41:48">
      <c r="AO2384" s="824" t="str">
        <f t="shared" si="486"/>
        <v>No</v>
      </c>
      <c r="AP2384" s="259" t="str">
        <f t="shared" si="491"/>
        <v>blank</v>
      </c>
      <c r="AQ2384" s="542" t="str">
        <f t="shared" si="490"/>
        <v>无定金+无預留客戶</v>
      </c>
      <c r="AR2384" s="259" t="str">
        <f t="shared" si="484"/>
        <v/>
      </c>
      <c r="AS2384" s="259" t="str">
        <f t="shared" si="485"/>
        <v/>
      </c>
      <c r="AT2384" s="259" t="b">
        <f t="shared" si="487"/>
        <v>0</v>
      </c>
      <c r="AU2384" s="259" t="b">
        <f t="shared" si="488"/>
        <v>0</v>
      </c>
      <c r="AV2384" s="259" t="str">
        <f t="shared" si="489"/>
        <v>-</v>
      </c>
    </row>
    <row r="2385" spans="41:48">
      <c r="AO2385" s="824" t="str">
        <f t="shared" si="486"/>
        <v>No</v>
      </c>
      <c r="AP2385" s="259" t="str">
        <f t="shared" si="491"/>
        <v>blank</v>
      </c>
      <c r="AQ2385" s="542" t="str">
        <f t="shared" si="490"/>
        <v>无定金+无預留客戶</v>
      </c>
      <c r="AR2385" s="259" t="str">
        <f t="shared" si="484"/>
        <v/>
      </c>
      <c r="AS2385" s="259" t="str">
        <f t="shared" si="485"/>
        <v/>
      </c>
      <c r="AT2385" s="259" t="b">
        <f t="shared" si="487"/>
        <v>0</v>
      </c>
      <c r="AU2385" s="259" t="b">
        <f t="shared" si="488"/>
        <v>0</v>
      </c>
      <c r="AV2385" s="259" t="str">
        <f t="shared" si="489"/>
        <v>-</v>
      </c>
    </row>
    <row r="2386" spans="41:48">
      <c r="AO2386" s="824" t="str">
        <f t="shared" si="486"/>
        <v>No</v>
      </c>
      <c r="AP2386" s="259" t="str">
        <f t="shared" si="491"/>
        <v>blank</v>
      </c>
      <c r="AQ2386" s="542" t="str">
        <f t="shared" si="490"/>
        <v>无定金+无預留客戶</v>
      </c>
      <c r="AR2386" s="259" t="str">
        <f t="shared" si="484"/>
        <v/>
      </c>
      <c r="AS2386" s="259" t="str">
        <f t="shared" si="485"/>
        <v/>
      </c>
      <c r="AT2386" s="259" t="b">
        <f t="shared" si="487"/>
        <v>0</v>
      </c>
      <c r="AU2386" s="259" t="b">
        <f t="shared" si="488"/>
        <v>0</v>
      </c>
      <c r="AV2386" s="259" t="str">
        <f t="shared" si="489"/>
        <v>-</v>
      </c>
    </row>
    <row r="2387" spans="41:48">
      <c r="AO2387" s="824" t="str">
        <f t="shared" si="486"/>
        <v>No</v>
      </c>
      <c r="AP2387" s="259" t="str">
        <f t="shared" si="491"/>
        <v>blank</v>
      </c>
      <c r="AQ2387" s="542" t="str">
        <f t="shared" si="490"/>
        <v>无定金+无預留客戶</v>
      </c>
      <c r="AR2387" s="259" t="str">
        <f t="shared" si="484"/>
        <v/>
      </c>
      <c r="AS2387" s="259" t="str">
        <f t="shared" si="485"/>
        <v/>
      </c>
      <c r="AT2387" s="259" t="b">
        <f t="shared" si="487"/>
        <v>0</v>
      </c>
      <c r="AU2387" s="259" t="b">
        <f t="shared" si="488"/>
        <v>0</v>
      </c>
      <c r="AV2387" s="259" t="str">
        <f t="shared" si="489"/>
        <v>-</v>
      </c>
    </row>
    <row r="2388" spans="41:48">
      <c r="AO2388" s="824" t="str">
        <f t="shared" si="486"/>
        <v>No</v>
      </c>
      <c r="AP2388" s="259" t="str">
        <f t="shared" si="491"/>
        <v>blank</v>
      </c>
      <c r="AQ2388" s="542" t="str">
        <f t="shared" si="490"/>
        <v>无定金+无預留客戶</v>
      </c>
      <c r="AR2388" s="259" t="str">
        <f t="shared" si="484"/>
        <v/>
      </c>
      <c r="AS2388" s="259" t="str">
        <f t="shared" si="485"/>
        <v/>
      </c>
      <c r="AT2388" s="259" t="b">
        <f t="shared" si="487"/>
        <v>0</v>
      </c>
      <c r="AU2388" s="259" t="b">
        <f t="shared" si="488"/>
        <v>0</v>
      </c>
      <c r="AV2388" s="259" t="str">
        <f t="shared" si="489"/>
        <v>-</v>
      </c>
    </row>
    <row r="2389" spans="41:48">
      <c r="AO2389" s="824" t="str">
        <f t="shared" si="486"/>
        <v>No</v>
      </c>
      <c r="AP2389" s="259" t="str">
        <f t="shared" si="491"/>
        <v>blank</v>
      </c>
      <c r="AQ2389" s="542" t="str">
        <f t="shared" si="490"/>
        <v>无定金+无預留客戶</v>
      </c>
      <c r="AR2389" s="259" t="str">
        <f t="shared" si="484"/>
        <v/>
      </c>
      <c r="AS2389" s="259" t="str">
        <f t="shared" si="485"/>
        <v/>
      </c>
      <c r="AT2389" s="259" t="b">
        <f t="shared" si="487"/>
        <v>0</v>
      </c>
      <c r="AU2389" s="259" t="b">
        <f t="shared" si="488"/>
        <v>0</v>
      </c>
      <c r="AV2389" s="259" t="str">
        <f t="shared" si="489"/>
        <v>-</v>
      </c>
    </row>
    <row r="2390" spans="41:48">
      <c r="AO2390" s="824" t="str">
        <f t="shared" si="486"/>
        <v>No</v>
      </c>
      <c r="AP2390" s="259" t="str">
        <f t="shared" si="491"/>
        <v>blank</v>
      </c>
      <c r="AQ2390" s="542" t="str">
        <f t="shared" si="490"/>
        <v>无定金+无預留客戶</v>
      </c>
      <c r="AR2390" s="259" t="str">
        <f t="shared" si="484"/>
        <v/>
      </c>
      <c r="AS2390" s="259" t="str">
        <f t="shared" si="485"/>
        <v/>
      </c>
      <c r="AT2390" s="259" t="b">
        <f t="shared" si="487"/>
        <v>0</v>
      </c>
      <c r="AU2390" s="259" t="b">
        <f t="shared" si="488"/>
        <v>0</v>
      </c>
      <c r="AV2390" s="259" t="str">
        <f t="shared" si="489"/>
        <v>-</v>
      </c>
    </row>
    <row r="2391" spans="41:48">
      <c r="AO2391" s="824" t="str">
        <f t="shared" si="486"/>
        <v>No</v>
      </c>
      <c r="AP2391" s="259" t="str">
        <f t="shared" si="491"/>
        <v>blank</v>
      </c>
      <c r="AQ2391" s="542" t="str">
        <f t="shared" si="490"/>
        <v>无定金+无預留客戶</v>
      </c>
      <c r="AR2391" s="259" t="str">
        <f t="shared" si="484"/>
        <v/>
      </c>
      <c r="AS2391" s="259" t="str">
        <f t="shared" si="485"/>
        <v/>
      </c>
      <c r="AT2391" s="259" t="b">
        <f t="shared" si="487"/>
        <v>0</v>
      </c>
      <c r="AU2391" s="259" t="b">
        <f t="shared" si="488"/>
        <v>0</v>
      </c>
      <c r="AV2391" s="259" t="str">
        <f t="shared" si="489"/>
        <v>-</v>
      </c>
    </row>
    <row r="2392" spans="41:48">
      <c r="AO2392" s="824" t="str">
        <f t="shared" si="486"/>
        <v>No</v>
      </c>
      <c r="AP2392" s="259" t="str">
        <f t="shared" si="491"/>
        <v>blank</v>
      </c>
      <c r="AQ2392" s="542" t="str">
        <f t="shared" si="490"/>
        <v>无定金+无預留客戶</v>
      </c>
      <c r="AR2392" s="259" t="str">
        <f t="shared" si="484"/>
        <v/>
      </c>
      <c r="AS2392" s="259" t="str">
        <f t="shared" si="485"/>
        <v/>
      </c>
      <c r="AT2392" s="259" t="b">
        <f t="shared" si="487"/>
        <v>0</v>
      </c>
      <c r="AU2392" s="259" t="b">
        <f t="shared" si="488"/>
        <v>0</v>
      </c>
      <c r="AV2392" s="259" t="str">
        <f t="shared" si="489"/>
        <v>-</v>
      </c>
    </row>
    <row r="2393" spans="41:48">
      <c r="AO2393" s="824" t="str">
        <f t="shared" si="486"/>
        <v>No</v>
      </c>
      <c r="AP2393" s="259" t="str">
        <f t="shared" si="491"/>
        <v>blank</v>
      </c>
      <c r="AQ2393" s="542" t="str">
        <f t="shared" si="490"/>
        <v>无定金+无預留客戶</v>
      </c>
      <c r="AR2393" s="259" t="str">
        <f t="shared" si="484"/>
        <v/>
      </c>
      <c r="AS2393" s="259" t="str">
        <f t="shared" si="485"/>
        <v/>
      </c>
      <c r="AT2393" s="259" t="b">
        <f t="shared" si="487"/>
        <v>0</v>
      </c>
      <c r="AU2393" s="259" t="b">
        <f t="shared" si="488"/>
        <v>0</v>
      </c>
      <c r="AV2393" s="259" t="str">
        <f t="shared" si="489"/>
        <v>-</v>
      </c>
    </row>
    <row r="2394" spans="41:48">
      <c r="AO2394" s="824" t="str">
        <f t="shared" si="486"/>
        <v>No</v>
      </c>
      <c r="AP2394" s="259" t="str">
        <f t="shared" si="491"/>
        <v>blank</v>
      </c>
      <c r="AQ2394" s="542" t="str">
        <f t="shared" si="490"/>
        <v>无定金+无預留客戶</v>
      </c>
      <c r="AR2394" s="259" t="str">
        <f t="shared" si="484"/>
        <v/>
      </c>
      <c r="AS2394" s="259" t="str">
        <f t="shared" si="485"/>
        <v/>
      </c>
      <c r="AT2394" s="259" t="b">
        <f t="shared" si="487"/>
        <v>0</v>
      </c>
      <c r="AU2394" s="259" t="b">
        <f t="shared" si="488"/>
        <v>0</v>
      </c>
      <c r="AV2394" s="259" t="str">
        <f t="shared" si="489"/>
        <v>-</v>
      </c>
    </row>
    <row r="2395" spans="41:48">
      <c r="AO2395" s="824" t="str">
        <f t="shared" si="486"/>
        <v>No</v>
      </c>
      <c r="AP2395" s="259" t="str">
        <f t="shared" si="491"/>
        <v>blank</v>
      </c>
      <c r="AQ2395" s="542" t="str">
        <f t="shared" si="490"/>
        <v>无定金+无預留客戶</v>
      </c>
      <c r="AR2395" s="259" t="str">
        <f t="shared" si="484"/>
        <v/>
      </c>
      <c r="AS2395" s="259" t="str">
        <f t="shared" si="485"/>
        <v/>
      </c>
      <c r="AT2395" s="259" t="b">
        <f t="shared" si="487"/>
        <v>0</v>
      </c>
      <c r="AU2395" s="259" t="b">
        <f t="shared" si="488"/>
        <v>0</v>
      </c>
      <c r="AV2395" s="259" t="str">
        <f t="shared" si="489"/>
        <v>-</v>
      </c>
    </row>
    <row r="2396" spans="41:48">
      <c r="AO2396" s="824" t="str">
        <f t="shared" si="486"/>
        <v>No</v>
      </c>
      <c r="AP2396" s="259" t="str">
        <f t="shared" si="491"/>
        <v>blank</v>
      </c>
      <c r="AQ2396" s="542" t="str">
        <f t="shared" si="490"/>
        <v>无定金+无預留客戶</v>
      </c>
      <c r="AR2396" s="259" t="str">
        <f t="shared" si="484"/>
        <v/>
      </c>
      <c r="AS2396" s="259" t="str">
        <f t="shared" si="485"/>
        <v/>
      </c>
      <c r="AT2396" s="259" t="b">
        <f t="shared" si="487"/>
        <v>0</v>
      </c>
      <c r="AU2396" s="259" t="b">
        <f t="shared" si="488"/>
        <v>0</v>
      </c>
      <c r="AV2396" s="259" t="str">
        <f t="shared" si="489"/>
        <v>-</v>
      </c>
    </row>
    <row r="2397" spans="41:48">
      <c r="AO2397" s="824" t="str">
        <f t="shared" si="486"/>
        <v>No</v>
      </c>
      <c r="AP2397" s="259" t="str">
        <f t="shared" si="491"/>
        <v>blank</v>
      </c>
      <c r="AQ2397" s="542" t="str">
        <f t="shared" si="490"/>
        <v>无定金+无預留客戶</v>
      </c>
      <c r="AR2397" s="259" t="str">
        <f t="shared" si="484"/>
        <v/>
      </c>
      <c r="AS2397" s="259" t="str">
        <f t="shared" si="485"/>
        <v/>
      </c>
      <c r="AT2397" s="259" t="b">
        <f t="shared" si="487"/>
        <v>0</v>
      </c>
      <c r="AU2397" s="259" t="b">
        <f t="shared" si="488"/>
        <v>0</v>
      </c>
      <c r="AV2397" s="259" t="str">
        <f t="shared" si="489"/>
        <v>-</v>
      </c>
    </row>
    <row r="2398" spans="41:48">
      <c r="AO2398" s="824" t="str">
        <f t="shared" si="486"/>
        <v>No</v>
      </c>
      <c r="AP2398" s="259" t="str">
        <f t="shared" si="491"/>
        <v>blank</v>
      </c>
      <c r="AQ2398" s="542" t="str">
        <f t="shared" si="490"/>
        <v>无定金+无預留客戶</v>
      </c>
      <c r="AR2398" s="259" t="str">
        <f t="shared" si="484"/>
        <v/>
      </c>
      <c r="AS2398" s="259" t="str">
        <f t="shared" si="485"/>
        <v/>
      </c>
      <c r="AT2398" s="259" t="b">
        <f t="shared" si="487"/>
        <v>0</v>
      </c>
      <c r="AU2398" s="259" t="b">
        <f t="shared" si="488"/>
        <v>0</v>
      </c>
      <c r="AV2398" s="259" t="str">
        <f t="shared" si="489"/>
        <v>-</v>
      </c>
    </row>
    <row r="2399" spans="41:48">
      <c r="AO2399" s="824" t="str">
        <f t="shared" si="486"/>
        <v>No</v>
      </c>
      <c r="AP2399" s="259" t="str">
        <f t="shared" si="491"/>
        <v>blank</v>
      </c>
      <c r="AQ2399" s="542" t="str">
        <f t="shared" si="490"/>
        <v>无定金+无預留客戶</v>
      </c>
      <c r="AR2399" s="259" t="str">
        <f t="shared" si="484"/>
        <v/>
      </c>
      <c r="AS2399" s="259" t="str">
        <f t="shared" si="485"/>
        <v/>
      </c>
      <c r="AT2399" s="259" t="b">
        <f t="shared" si="487"/>
        <v>0</v>
      </c>
      <c r="AU2399" s="259" t="b">
        <f t="shared" si="488"/>
        <v>0</v>
      </c>
      <c r="AV2399" s="259" t="str">
        <f t="shared" si="489"/>
        <v>-</v>
      </c>
    </row>
    <row r="2400" spans="41:48">
      <c r="AO2400" s="824" t="str">
        <f t="shared" si="486"/>
        <v>No</v>
      </c>
      <c r="AP2400" s="259" t="str">
        <f t="shared" si="491"/>
        <v>blank</v>
      </c>
      <c r="AQ2400" s="542" t="str">
        <f t="shared" si="490"/>
        <v>无定金+无預留客戶</v>
      </c>
      <c r="AR2400" s="259" t="str">
        <f t="shared" si="484"/>
        <v/>
      </c>
      <c r="AS2400" s="259" t="str">
        <f t="shared" si="485"/>
        <v/>
      </c>
      <c r="AT2400" s="259" t="b">
        <f t="shared" si="487"/>
        <v>0</v>
      </c>
      <c r="AU2400" s="259" t="b">
        <f t="shared" si="488"/>
        <v>0</v>
      </c>
      <c r="AV2400" s="259" t="str">
        <f t="shared" si="489"/>
        <v>-</v>
      </c>
    </row>
    <row r="2401" spans="41:48">
      <c r="AO2401" s="824" t="str">
        <f t="shared" si="486"/>
        <v>No</v>
      </c>
      <c r="AP2401" s="259" t="str">
        <f t="shared" si="491"/>
        <v>blank</v>
      </c>
      <c r="AQ2401" s="542" t="str">
        <f t="shared" si="490"/>
        <v>无定金+无預留客戶</v>
      </c>
      <c r="AR2401" s="259" t="str">
        <f t="shared" si="484"/>
        <v/>
      </c>
      <c r="AS2401" s="259" t="str">
        <f t="shared" si="485"/>
        <v/>
      </c>
      <c r="AT2401" s="259" t="b">
        <f t="shared" si="487"/>
        <v>0</v>
      </c>
      <c r="AU2401" s="259" t="b">
        <f t="shared" si="488"/>
        <v>0</v>
      </c>
      <c r="AV2401" s="259" t="str">
        <f t="shared" si="489"/>
        <v>-</v>
      </c>
    </row>
    <row r="2402" spans="41:48">
      <c r="AO2402" s="824" t="str">
        <f t="shared" si="486"/>
        <v>No</v>
      </c>
      <c r="AP2402" s="259" t="str">
        <f t="shared" si="491"/>
        <v>blank</v>
      </c>
      <c r="AQ2402" s="542" t="str">
        <f t="shared" si="490"/>
        <v>无定金+无預留客戶</v>
      </c>
      <c r="AR2402" s="259" t="str">
        <f t="shared" si="484"/>
        <v/>
      </c>
      <c r="AS2402" s="259" t="str">
        <f t="shared" si="485"/>
        <v/>
      </c>
      <c r="AT2402" s="259" t="b">
        <f t="shared" si="487"/>
        <v>0</v>
      </c>
      <c r="AU2402" s="259" t="b">
        <f t="shared" si="488"/>
        <v>0</v>
      </c>
      <c r="AV2402" s="259" t="str">
        <f t="shared" si="489"/>
        <v>-</v>
      </c>
    </row>
    <row r="2403" spans="41:48">
      <c r="AO2403" s="824" t="str">
        <f t="shared" si="486"/>
        <v>No</v>
      </c>
      <c r="AP2403" s="259" t="str">
        <f t="shared" si="491"/>
        <v>blank</v>
      </c>
      <c r="AQ2403" s="542" t="str">
        <f t="shared" si="490"/>
        <v>无定金+无預留客戶</v>
      </c>
      <c r="AR2403" s="259" t="str">
        <f t="shared" si="484"/>
        <v/>
      </c>
      <c r="AS2403" s="259" t="str">
        <f t="shared" si="485"/>
        <v/>
      </c>
      <c r="AT2403" s="259" t="b">
        <f t="shared" si="487"/>
        <v>0</v>
      </c>
      <c r="AU2403" s="259" t="b">
        <f t="shared" si="488"/>
        <v>0</v>
      </c>
      <c r="AV2403" s="259" t="str">
        <f t="shared" si="489"/>
        <v>-</v>
      </c>
    </row>
    <row r="2404" spans="41:48">
      <c r="AO2404" s="824" t="str">
        <f t="shared" si="486"/>
        <v>No</v>
      </c>
      <c r="AP2404" s="259" t="str">
        <f t="shared" si="491"/>
        <v>blank</v>
      </c>
      <c r="AQ2404" s="542" t="str">
        <f t="shared" si="490"/>
        <v>无定金+无預留客戶</v>
      </c>
      <c r="AR2404" s="259" t="str">
        <f t="shared" si="484"/>
        <v/>
      </c>
      <c r="AS2404" s="259" t="str">
        <f t="shared" si="485"/>
        <v/>
      </c>
      <c r="AT2404" s="259" t="b">
        <f t="shared" si="487"/>
        <v>0</v>
      </c>
      <c r="AU2404" s="259" t="b">
        <f t="shared" si="488"/>
        <v>0</v>
      </c>
      <c r="AV2404" s="259" t="str">
        <f t="shared" si="489"/>
        <v>-</v>
      </c>
    </row>
    <row r="2405" spans="41:48">
      <c r="AO2405" s="824" t="str">
        <f t="shared" si="486"/>
        <v>No</v>
      </c>
      <c r="AP2405" s="259" t="str">
        <f t="shared" si="491"/>
        <v>blank</v>
      </c>
      <c r="AQ2405" s="542" t="str">
        <f t="shared" si="490"/>
        <v>无定金+无預留客戶</v>
      </c>
      <c r="AR2405" s="259" t="str">
        <f t="shared" si="484"/>
        <v/>
      </c>
      <c r="AS2405" s="259" t="str">
        <f t="shared" si="485"/>
        <v/>
      </c>
      <c r="AT2405" s="259" t="b">
        <f t="shared" si="487"/>
        <v>0</v>
      </c>
      <c r="AU2405" s="259" t="b">
        <f t="shared" si="488"/>
        <v>0</v>
      </c>
      <c r="AV2405" s="259" t="str">
        <f t="shared" si="489"/>
        <v>-</v>
      </c>
    </row>
    <row r="2406" spans="41:48">
      <c r="AO2406" s="824" t="str">
        <f t="shared" si="486"/>
        <v>No</v>
      </c>
      <c r="AP2406" s="259" t="str">
        <f t="shared" si="491"/>
        <v>blank</v>
      </c>
      <c r="AQ2406" s="542" t="str">
        <f t="shared" si="490"/>
        <v>无定金+无預留客戶</v>
      </c>
      <c r="AR2406" s="259" t="str">
        <f t="shared" si="484"/>
        <v/>
      </c>
      <c r="AS2406" s="259" t="str">
        <f t="shared" si="485"/>
        <v/>
      </c>
      <c r="AT2406" s="259" t="b">
        <f t="shared" si="487"/>
        <v>0</v>
      </c>
      <c r="AU2406" s="259" t="b">
        <f t="shared" si="488"/>
        <v>0</v>
      </c>
      <c r="AV2406" s="259" t="str">
        <f t="shared" si="489"/>
        <v>-</v>
      </c>
    </row>
    <row r="2407" spans="41:48">
      <c r="AO2407" s="824" t="str">
        <f t="shared" si="486"/>
        <v>No</v>
      </c>
      <c r="AP2407" s="259" t="str">
        <f t="shared" si="491"/>
        <v>blank</v>
      </c>
      <c r="AQ2407" s="542" t="str">
        <f t="shared" si="490"/>
        <v>无定金+无預留客戶</v>
      </c>
      <c r="AR2407" s="259" t="str">
        <f t="shared" si="484"/>
        <v/>
      </c>
      <c r="AS2407" s="259" t="str">
        <f t="shared" si="485"/>
        <v/>
      </c>
      <c r="AT2407" s="259" t="b">
        <f t="shared" si="487"/>
        <v>0</v>
      </c>
      <c r="AU2407" s="259" t="b">
        <f t="shared" si="488"/>
        <v>0</v>
      </c>
      <c r="AV2407" s="259" t="str">
        <f t="shared" si="489"/>
        <v>-</v>
      </c>
    </row>
    <row r="2408" spans="41:48">
      <c r="AO2408" s="824" t="str">
        <f t="shared" si="486"/>
        <v>No</v>
      </c>
      <c r="AP2408" s="259" t="str">
        <f t="shared" si="491"/>
        <v>blank</v>
      </c>
      <c r="AQ2408" s="542" t="str">
        <f t="shared" si="490"/>
        <v>无定金+无預留客戶</v>
      </c>
      <c r="AR2408" s="259" t="str">
        <f t="shared" si="484"/>
        <v/>
      </c>
      <c r="AS2408" s="259" t="str">
        <f t="shared" si="485"/>
        <v/>
      </c>
      <c r="AT2408" s="259" t="b">
        <f t="shared" si="487"/>
        <v>0</v>
      </c>
      <c r="AU2408" s="259" t="b">
        <f t="shared" si="488"/>
        <v>0</v>
      </c>
      <c r="AV2408" s="259" t="str">
        <f t="shared" si="489"/>
        <v>-</v>
      </c>
    </row>
    <row r="2409" spans="41:48">
      <c r="AO2409" s="824" t="str">
        <f t="shared" si="486"/>
        <v>No</v>
      </c>
      <c r="AP2409" s="259" t="str">
        <f t="shared" si="491"/>
        <v>blank</v>
      </c>
      <c r="AQ2409" s="542" t="str">
        <f t="shared" si="490"/>
        <v>无定金+无預留客戶</v>
      </c>
      <c r="AR2409" s="259" t="str">
        <f t="shared" si="484"/>
        <v/>
      </c>
      <c r="AS2409" s="259" t="str">
        <f t="shared" si="485"/>
        <v/>
      </c>
      <c r="AT2409" s="259" t="b">
        <f t="shared" si="487"/>
        <v>0</v>
      </c>
      <c r="AU2409" s="259" t="b">
        <f t="shared" si="488"/>
        <v>0</v>
      </c>
      <c r="AV2409" s="259" t="str">
        <f t="shared" si="489"/>
        <v>-</v>
      </c>
    </row>
    <row r="2410" spans="41:48">
      <c r="AO2410" s="824" t="str">
        <f t="shared" si="486"/>
        <v>No</v>
      </c>
      <c r="AP2410" s="259" t="str">
        <f t="shared" si="491"/>
        <v>blank</v>
      </c>
      <c r="AQ2410" s="542" t="str">
        <f t="shared" si="490"/>
        <v>无定金+无預留客戶</v>
      </c>
      <c r="AR2410" s="259" t="str">
        <f t="shared" si="484"/>
        <v/>
      </c>
      <c r="AS2410" s="259" t="str">
        <f t="shared" si="485"/>
        <v/>
      </c>
      <c r="AT2410" s="259" t="b">
        <f t="shared" si="487"/>
        <v>0</v>
      </c>
      <c r="AU2410" s="259" t="b">
        <f t="shared" si="488"/>
        <v>0</v>
      </c>
      <c r="AV2410" s="259" t="str">
        <f t="shared" si="489"/>
        <v>-</v>
      </c>
    </row>
    <row r="2411" spans="41:48">
      <c r="AO2411" s="824" t="str">
        <f t="shared" si="486"/>
        <v>No</v>
      </c>
      <c r="AP2411" s="259" t="str">
        <f t="shared" si="491"/>
        <v>blank</v>
      </c>
      <c r="AQ2411" s="542" t="str">
        <f t="shared" si="490"/>
        <v>无定金+无預留客戶</v>
      </c>
      <c r="AR2411" s="259" t="str">
        <f t="shared" si="484"/>
        <v/>
      </c>
      <c r="AS2411" s="259" t="str">
        <f t="shared" si="485"/>
        <v/>
      </c>
      <c r="AT2411" s="259" t="b">
        <f t="shared" si="487"/>
        <v>0</v>
      </c>
      <c r="AU2411" s="259" t="b">
        <f t="shared" si="488"/>
        <v>0</v>
      </c>
      <c r="AV2411" s="259" t="str">
        <f t="shared" si="489"/>
        <v>-</v>
      </c>
    </row>
    <row r="2412" spans="41:48">
      <c r="AO2412" s="824" t="str">
        <f t="shared" si="486"/>
        <v>No</v>
      </c>
      <c r="AP2412" s="259" t="str">
        <f t="shared" si="491"/>
        <v>blank</v>
      </c>
      <c r="AQ2412" s="542" t="str">
        <f t="shared" si="490"/>
        <v>无定金+无預留客戶</v>
      </c>
      <c r="AR2412" s="259" t="str">
        <f t="shared" si="484"/>
        <v/>
      </c>
      <c r="AS2412" s="259" t="str">
        <f t="shared" si="485"/>
        <v/>
      </c>
      <c r="AT2412" s="259" t="b">
        <f t="shared" si="487"/>
        <v>0</v>
      </c>
      <c r="AU2412" s="259" t="b">
        <f t="shared" si="488"/>
        <v>0</v>
      </c>
      <c r="AV2412" s="259" t="str">
        <f t="shared" si="489"/>
        <v>-</v>
      </c>
    </row>
    <row r="2413" spans="41:48">
      <c r="AO2413" s="824" t="str">
        <f t="shared" si="486"/>
        <v>No</v>
      </c>
      <c r="AP2413" s="259" t="str">
        <f t="shared" si="491"/>
        <v>blank</v>
      </c>
      <c r="AQ2413" s="542" t="str">
        <f t="shared" si="490"/>
        <v>无定金+无預留客戶</v>
      </c>
      <c r="AR2413" s="259" t="str">
        <f t="shared" si="484"/>
        <v/>
      </c>
      <c r="AS2413" s="259" t="str">
        <f t="shared" si="485"/>
        <v/>
      </c>
      <c r="AT2413" s="259" t="b">
        <f t="shared" si="487"/>
        <v>0</v>
      </c>
      <c r="AU2413" s="259" t="b">
        <f t="shared" si="488"/>
        <v>0</v>
      </c>
      <c r="AV2413" s="259" t="str">
        <f t="shared" si="489"/>
        <v>-</v>
      </c>
    </row>
    <row r="2414" spans="41:48">
      <c r="AO2414" s="824" t="str">
        <f t="shared" si="486"/>
        <v>No</v>
      </c>
      <c r="AP2414" s="259" t="str">
        <f t="shared" si="491"/>
        <v>blank</v>
      </c>
      <c r="AQ2414" s="542" t="str">
        <f t="shared" si="490"/>
        <v>无定金+无預留客戶</v>
      </c>
      <c r="AR2414" s="259" t="str">
        <f t="shared" si="484"/>
        <v/>
      </c>
      <c r="AS2414" s="259" t="str">
        <f t="shared" si="485"/>
        <v/>
      </c>
      <c r="AT2414" s="259" t="b">
        <f t="shared" si="487"/>
        <v>0</v>
      </c>
      <c r="AU2414" s="259" t="b">
        <f t="shared" si="488"/>
        <v>0</v>
      </c>
      <c r="AV2414" s="259" t="str">
        <f t="shared" si="489"/>
        <v>-</v>
      </c>
    </row>
    <row r="2415" spans="41:48">
      <c r="AO2415" s="824" t="str">
        <f t="shared" si="486"/>
        <v>No</v>
      </c>
      <c r="AP2415" s="259" t="str">
        <f t="shared" si="491"/>
        <v>blank</v>
      </c>
      <c r="AQ2415" s="542" t="str">
        <f t="shared" si="490"/>
        <v>无定金+无預留客戶</v>
      </c>
      <c r="AR2415" s="259" t="str">
        <f t="shared" si="484"/>
        <v/>
      </c>
      <c r="AS2415" s="259" t="str">
        <f t="shared" si="485"/>
        <v/>
      </c>
      <c r="AT2415" s="259" t="b">
        <f t="shared" si="487"/>
        <v>0</v>
      </c>
      <c r="AU2415" s="259" t="b">
        <f t="shared" si="488"/>
        <v>0</v>
      </c>
      <c r="AV2415" s="259" t="str">
        <f t="shared" si="489"/>
        <v>-</v>
      </c>
    </row>
    <row r="2416" spans="41:48">
      <c r="AO2416" s="824" t="str">
        <f t="shared" si="486"/>
        <v>No</v>
      </c>
      <c r="AP2416" s="259" t="str">
        <f t="shared" si="491"/>
        <v>blank</v>
      </c>
      <c r="AQ2416" s="542" t="str">
        <f t="shared" si="490"/>
        <v>无定金+无預留客戶</v>
      </c>
      <c r="AR2416" s="259" t="str">
        <f t="shared" si="484"/>
        <v/>
      </c>
      <c r="AS2416" s="259" t="str">
        <f t="shared" si="485"/>
        <v/>
      </c>
      <c r="AT2416" s="259" t="b">
        <f t="shared" si="487"/>
        <v>0</v>
      </c>
      <c r="AU2416" s="259" t="b">
        <f t="shared" si="488"/>
        <v>0</v>
      </c>
      <c r="AV2416" s="259" t="str">
        <f t="shared" si="489"/>
        <v>-</v>
      </c>
    </row>
    <row r="2417" spans="41:48">
      <c r="AO2417" s="824" t="str">
        <f t="shared" si="486"/>
        <v>No</v>
      </c>
      <c r="AP2417" s="259" t="str">
        <f t="shared" si="491"/>
        <v>blank</v>
      </c>
      <c r="AQ2417" s="542" t="str">
        <f t="shared" si="490"/>
        <v>无定金+无預留客戶</v>
      </c>
      <c r="AR2417" s="259" t="str">
        <f t="shared" si="484"/>
        <v/>
      </c>
      <c r="AS2417" s="259" t="str">
        <f t="shared" si="485"/>
        <v/>
      </c>
      <c r="AT2417" s="259" t="b">
        <f t="shared" si="487"/>
        <v>0</v>
      </c>
      <c r="AU2417" s="259" t="b">
        <f t="shared" si="488"/>
        <v>0</v>
      </c>
      <c r="AV2417" s="259" t="str">
        <f t="shared" si="489"/>
        <v>-</v>
      </c>
    </row>
    <row r="2418" spans="41:48">
      <c r="AO2418" s="824" t="str">
        <f t="shared" si="486"/>
        <v>No</v>
      </c>
      <c r="AP2418" s="259" t="str">
        <f t="shared" si="491"/>
        <v>blank</v>
      </c>
      <c r="AQ2418" s="542" t="str">
        <f t="shared" si="490"/>
        <v>无定金+无預留客戶</v>
      </c>
      <c r="AR2418" s="259" t="str">
        <f t="shared" si="484"/>
        <v/>
      </c>
      <c r="AS2418" s="259" t="str">
        <f t="shared" si="485"/>
        <v/>
      </c>
      <c r="AT2418" s="259" t="b">
        <f t="shared" si="487"/>
        <v>0</v>
      </c>
      <c r="AU2418" s="259" t="b">
        <f t="shared" si="488"/>
        <v>0</v>
      </c>
      <c r="AV2418" s="259" t="str">
        <f t="shared" si="489"/>
        <v>-</v>
      </c>
    </row>
    <row r="2419" spans="41:48">
      <c r="AO2419" s="824" t="str">
        <f t="shared" si="486"/>
        <v>No</v>
      </c>
      <c r="AP2419" s="259" t="str">
        <f t="shared" si="491"/>
        <v>blank</v>
      </c>
      <c r="AQ2419" s="542" t="str">
        <f t="shared" si="490"/>
        <v>无定金+无預留客戶</v>
      </c>
      <c r="AR2419" s="259" t="str">
        <f t="shared" si="484"/>
        <v/>
      </c>
      <c r="AS2419" s="259" t="str">
        <f t="shared" si="485"/>
        <v/>
      </c>
      <c r="AT2419" s="259" t="b">
        <f t="shared" si="487"/>
        <v>0</v>
      </c>
      <c r="AU2419" s="259" t="b">
        <f t="shared" si="488"/>
        <v>0</v>
      </c>
      <c r="AV2419" s="259" t="str">
        <f t="shared" si="489"/>
        <v>-</v>
      </c>
    </row>
    <row r="2420" spans="41:48">
      <c r="AO2420" s="824" t="str">
        <f t="shared" si="486"/>
        <v>No</v>
      </c>
      <c r="AP2420" s="259" t="str">
        <f t="shared" si="491"/>
        <v>blank</v>
      </c>
      <c r="AQ2420" s="542" t="str">
        <f t="shared" si="490"/>
        <v>无定金+无預留客戶</v>
      </c>
      <c r="AR2420" s="259" t="str">
        <f t="shared" si="484"/>
        <v/>
      </c>
      <c r="AS2420" s="259" t="str">
        <f t="shared" si="485"/>
        <v/>
      </c>
      <c r="AT2420" s="259" t="b">
        <f t="shared" si="487"/>
        <v>0</v>
      </c>
      <c r="AU2420" s="259" t="b">
        <f t="shared" si="488"/>
        <v>0</v>
      </c>
      <c r="AV2420" s="259" t="str">
        <f t="shared" si="489"/>
        <v>-</v>
      </c>
    </row>
    <row r="2421" spans="41:48">
      <c r="AO2421" s="824" t="str">
        <f t="shared" si="486"/>
        <v>No</v>
      </c>
      <c r="AP2421" s="259" t="str">
        <f t="shared" si="491"/>
        <v>blank</v>
      </c>
      <c r="AQ2421" s="542" t="str">
        <f t="shared" si="490"/>
        <v>无定金+无預留客戶</v>
      </c>
      <c r="AR2421" s="259" t="str">
        <f t="shared" si="484"/>
        <v/>
      </c>
      <c r="AS2421" s="259" t="str">
        <f t="shared" si="485"/>
        <v/>
      </c>
      <c r="AT2421" s="259" t="b">
        <f t="shared" si="487"/>
        <v>0</v>
      </c>
      <c r="AU2421" s="259" t="b">
        <f t="shared" si="488"/>
        <v>0</v>
      </c>
      <c r="AV2421" s="259" t="str">
        <f t="shared" si="489"/>
        <v>-</v>
      </c>
    </row>
    <row r="2422" spans="41:48">
      <c r="AO2422" s="824" t="str">
        <f t="shared" si="486"/>
        <v>No</v>
      </c>
      <c r="AP2422" s="259" t="str">
        <f t="shared" si="491"/>
        <v>blank</v>
      </c>
      <c r="AQ2422" s="542" t="str">
        <f t="shared" si="490"/>
        <v>无定金+无預留客戶</v>
      </c>
      <c r="AR2422" s="259" t="str">
        <f t="shared" si="484"/>
        <v/>
      </c>
      <c r="AS2422" s="259" t="str">
        <f t="shared" si="485"/>
        <v/>
      </c>
      <c r="AT2422" s="259" t="b">
        <f t="shared" si="487"/>
        <v>0</v>
      </c>
      <c r="AU2422" s="259" t="b">
        <f t="shared" si="488"/>
        <v>0</v>
      </c>
      <c r="AV2422" s="259" t="str">
        <f t="shared" si="489"/>
        <v>-</v>
      </c>
    </row>
    <row r="2423" spans="41:48">
      <c r="AO2423" s="824" t="str">
        <f t="shared" si="486"/>
        <v>No</v>
      </c>
      <c r="AP2423" s="259" t="str">
        <f t="shared" si="491"/>
        <v>blank</v>
      </c>
      <c r="AQ2423" s="542" t="str">
        <f t="shared" si="490"/>
        <v>无定金+无預留客戶</v>
      </c>
      <c r="AR2423" s="259" t="str">
        <f t="shared" si="484"/>
        <v/>
      </c>
      <c r="AS2423" s="259" t="str">
        <f t="shared" si="485"/>
        <v/>
      </c>
      <c r="AT2423" s="259" t="b">
        <f t="shared" si="487"/>
        <v>0</v>
      </c>
      <c r="AU2423" s="259" t="b">
        <f t="shared" si="488"/>
        <v>0</v>
      </c>
      <c r="AV2423" s="259" t="str">
        <f t="shared" si="489"/>
        <v>-</v>
      </c>
    </row>
    <row r="2424" spans="41:48">
      <c r="AO2424" s="824" t="str">
        <f t="shared" si="486"/>
        <v>No</v>
      </c>
      <c r="AP2424" s="259" t="str">
        <f t="shared" si="491"/>
        <v>blank</v>
      </c>
      <c r="AQ2424" s="542" t="str">
        <f t="shared" si="490"/>
        <v>无定金+无預留客戶</v>
      </c>
      <c r="AR2424" s="259" t="str">
        <f t="shared" si="484"/>
        <v/>
      </c>
      <c r="AS2424" s="259" t="str">
        <f t="shared" si="485"/>
        <v/>
      </c>
      <c r="AT2424" s="259" t="b">
        <f t="shared" si="487"/>
        <v>0</v>
      </c>
      <c r="AU2424" s="259" t="b">
        <f t="shared" si="488"/>
        <v>0</v>
      </c>
      <c r="AV2424" s="259" t="str">
        <f t="shared" si="489"/>
        <v>-</v>
      </c>
    </row>
    <row r="2425" spans="41:48">
      <c r="AO2425" s="824" t="str">
        <f t="shared" si="486"/>
        <v>No</v>
      </c>
      <c r="AP2425" s="259" t="str">
        <f t="shared" si="491"/>
        <v>blank</v>
      </c>
      <c r="AQ2425" s="542" t="str">
        <f t="shared" si="490"/>
        <v>无定金+无預留客戶</v>
      </c>
      <c r="AR2425" s="259" t="str">
        <f t="shared" si="484"/>
        <v/>
      </c>
      <c r="AS2425" s="259" t="str">
        <f t="shared" si="485"/>
        <v/>
      </c>
      <c r="AT2425" s="259" t="b">
        <f t="shared" si="487"/>
        <v>0</v>
      </c>
      <c r="AU2425" s="259" t="b">
        <f t="shared" si="488"/>
        <v>0</v>
      </c>
      <c r="AV2425" s="259" t="str">
        <f t="shared" si="489"/>
        <v>-</v>
      </c>
    </row>
    <row r="2426" spans="41:48">
      <c r="AO2426" s="824" t="str">
        <f t="shared" si="486"/>
        <v>No</v>
      </c>
      <c r="AP2426" s="259" t="str">
        <f t="shared" si="491"/>
        <v>blank</v>
      </c>
      <c r="AQ2426" s="542" t="str">
        <f t="shared" si="490"/>
        <v>无定金+无預留客戶</v>
      </c>
      <c r="AR2426" s="259" t="str">
        <f t="shared" si="484"/>
        <v/>
      </c>
      <c r="AS2426" s="259" t="str">
        <f t="shared" si="485"/>
        <v/>
      </c>
      <c r="AT2426" s="259" t="b">
        <f t="shared" si="487"/>
        <v>0</v>
      </c>
      <c r="AU2426" s="259" t="b">
        <f t="shared" si="488"/>
        <v>0</v>
      </c>
      <c r="AV2426" s="259" t="str">
        <f t="shared" si="489"/>
        <v>-</v>
      </c>
    </row>
    <row r="2427" spans="41:48">
      <c r="AO2427" s="824" t="str">
        <f t="shared" si="486"/>
        <v>No</v>
      </c>
      <c r="AP2427" s="259" t="str">
        <f t="shared" si="491"/>
        <v>blank</v>
      </c>
      <c r="AQ2427" s="542" t="str">
        <f t="shared" si="490"/>
        <v>无定金+无預留客戶</v>
      </c>
      <c r="AR2427" s="259" t="str">
        <f t="shared" si="484"/>
        <v/>
      </c>
      <c r="AS2427" s="259" t="str">
        <f t="shared" si="485"/>
        <v/>
      </c>
      <c r="AT2427" s="259" t="b">
        <f t="shared" si="487"/>
        <v>0</v>
      </c>
      <c r="AU2427" s="259" t="b">
        <f t="shared" si="488"/>
        <v>0</v>
      </c>
      <c r="AV2427" s="259" t="str">
        <f t="shared" si="489"/>
        <v>-</v>
      </c>
    </row>
    <row r="2428" spans="41:48">
      <c r="AO2428" s="824" t="str">
        <f t="shared" si="486"/>
        <v>No</v>
      </c>
      <c r="AP2428" s="259" t="str">
        <f t="shared" si="491"/>
        <v>blank</v>
      </c>
      <c r="AQ2428" s="542" t="str">
        <f t="shared" si="490"/>
        <v>无定金+无預留客戶</v>
      </c>
      <c r="AR2428" s="259" t="str">
        <f t="shared" si="484"/>
        <v/>
      </c>
      <c r="AS2428" s="259" t="str">
        <f t="shared" si="485"/>
        <v/>
      </c>
      <c r="AT2428" s="259" t="b">
        <f t="shared" si="487"/>
        <v>0</v>
      </c>
      <c r="AU2428" s="259" t="b">
        <f t="shared" si="488"/>
        <v>0</v>
      </c>
      <c r="AV2428" s="259" t="str">
        <f t="shared" si="489"/>
        <v>-</v>
      </c>
    </row>
    <row r="2429" spans="41:48">
      <c r="AO2429" s="824" t="str">
        <f t="shared" si="486"/>
        <v>No</v>
      </c>
      <c r="AP2429" s="259" t="str">
        <f t="shared" si="491"/>
        <v>blank</v>
      </c>
      <c r="AQ2429" s="542" t="str">
        <f t="shared" si="490"/>
        <v>无定金+无預留客戶</v>
      </c>
      <c r="AR2429" s="259" t="str">
        <f t="shared" si="484"/>
        <v/>
      </c>
      <c r="AS2429" s="259" t="str">
        <f t="shared" si="485"/>
        <v/>
      </c>
      <c r="AT2429" s="259" t="b">
        <f t="shared" si="487"/>
        <v>0</v>
      </c>
      <c r="AU2429" s="259" t="b">
        <f t="shared" si="488"/>
        <v>0</v>
      </c>
      <c r="AV2429" s="259" t="str">
        <f t="shared" si="489"/>
        <v>-</v>
      </c>
    </row>
    <row r="2430" spans="41:48">
      <c r="AO2430" s="824" t="str">
        <f t="shared" si="486"/>
        <v>No</v>
      </c>
      <c r="AP2430" s="259" t="str">
        <f t="shared" si="491"/>
        <v>blank</v>
      </c>
      <c r="AQ2430" s="542" t="str">
        <f t="shared" si="490"/>
        <v>无定金+无預留客戶</v>
      </c>
      <c r="AR2430" s="259" t="str">
        <f t="shared" ref="AR2430:AR2493" si="492">IFERROR(IF(B2430="已经到货", "Instock", IF(B2430="有交期", "Incoming_Stock_With_YAMAHA_Schedule", IF(B2430="TBA.", "Incoming_Stock_No_YAMAHA_Schedule", IF(B2430="已发货", "Shipped_Stock", "")))), "")</f>
        <v/>
      </c>
      <c r="AS2430" s="259" t="str">
        <f t="shared" ref="AS2430:AS2493" si="493">IF(AND(B2430="有交期", L2430&lt;&gt;""), L2430, "")</f>
        <v/>
      </c>
      <c r="AT2430" s="259" t="b">
        <f t="shared" si="487"/>
        <v>0</v>
      </c>
      <c r="AU2430" s="259" t="b">
        <f t="shared" si="488"/>
        <v>0</v>
      </c>
      <c r="AV2430" s="259" t="str">
        <f t="shared" si="489"/>
        <v>-</v>
      </c>
    </row>
    <row r="2431" spans="41:48">
      <c r="AO2431" s="824" t="str">
        <f t="shared" si="486"/>
        <v>No</v>
      </c>
      <c r="AP2431" s="259" t="str">
        <f t="shared" si="491"/>
        <v>blank</v>
      </c>
      <c r="AQ2431" s="542" t="str">
        <f t="shared" si="490"/>
        <v>无定金+无預留客戶</v>
      </c>
      <c r="AR2431" s="259" t="str">
        <f t="shared" si="492"/>
        <v/>
      </c>
      <c r="AS2431" s="259" t="str">
        <f t="shared" si="493"/>
        <v/>
      </c>
      <c r="AT2431" s="259" t="b">
        <f t="shared" si="487"/>
        <v>0</v>
      </c>
      <c r="AU2431" s="259" t="b">
        <f t="shared" si="488"/>
        <v>0</v>
      </c>
      <c r="AV2431" s="259" t="str">
        <f t="shared" si="489"/>
        <v>-</v>
      </c>
    </row>
    <row r="2432" spans="41:48">
      <c r="AO2432" s="824" t="str">
        <f t="shared" si="486"/>
        <v>No</v>
      </c>
      <c r="AP2432" s="259" t="str">
        <f t="shared" si="491"/>
        <v>blank</v>
      </c>
      <c r="AQ2432" s="542" t="str">
        <f t="shared" si="490"/>
        <v>无定金+无預留客戶</v>
      </c>
      <c r="AR2432" s="259" t="str">
        <f t="shared" si="492"/>
        <v/>
      </c>
      <c r="AS2432" s="259" t="str">
        <f t="shared" si="493"/>
        <v/>
      </c>
      <c r="AT2432" s="259" t="b">
        <f t="shared" si="487"/>
        <v>0</v>
      </c>
      <c r="AU2432" s="259" t="b">
        <f t="shared" si="488"/>
        <v>0</v>
      </c>
      <c r="AV2432" s="259" t="str">
        <f t="shared" si="489"/>
        <v>-</v>
      </c>
    </row>
    <row r="2433" spans="41:48">
      <c r="AO2433" s="824" t="str">
        <f t="shared" si="486"/>
        <v>No</v>
      </c>
      <c r="AP2433" s="259" t="str">
        <f t="shared" si="491"/>
        <v>blank</v>
      </c>
      <c r="AQ2433" s="542" t="str">
        <f t="shared" si="490"/>
        <v>无定金+无預留客戶</v>
      </c>
      <c r="AR2433" s="259" t="str">
        <f t="shared" si="492"/>
        <v/>
      </c>
      <c r="AS2433" s="259" t="str">
        <f t="shared" si="493"/>
        <v/>
      </c>
      <c r="AT2433" s="259" t="b">
        <f t="shared" si="487"/>
        <v>0</v>
      </c>
      <c r="AU2433" s="259" t="b">
        <f t="shared" si="488"/>
        <v>0</v>
      </c>
      <c r="AV2433" s="259" t="str">
        <f t="shared" si="489"/>
        <v>-</v>
      </c>
    </row>
    <row r="2434" spans="41:48">
      <c r="AO2434" s="824" t="str">
        <f t="shared" ref="AO2434:AO2497" si="494">IFERROR(IF(Y2434&lt;&gt;"",Y2434,"No"),"No")</f>
        <v>No</v>
      </c>
      <c r="AP2434" s="259" t="str">
        <f t="shared" si="491"/>
        <v>blank</v>
      </c>
      <c r="AQ2434" s="542" t="str">
        <f t="shared" si="490"/>
        <v>无定金+无預留客戶</v>
      </c>
      <c r="AR2434" s="259" t="str">
        <f t="shared" si="492"/>
        <v/>
      </c>
      <c r="AS2434" s="259" t="str">
        <f t="shared" si="493"/>
        <v/>
      </c>
      <c r="AT2434" s="259" t="b">
        <f t="shared" ref="AT2434:AT2497" si="495">IFERROR(IF(R2434&lt;&gt;"",R2434),"-")</f>
        <v>0</v>
      </c>
      <c r="AU2434" s="259" t="b">
        <f t="shared" ref="AU2434:AU2497" si="496">IFERROR(IF(Q2434&lt;&gt;"",Q2434),"-")</f>
        <v>0</v>
      </c>
      <c r="AV2434" s="259" t="str">
        <f t="shared" ref="AV2434:AV2497" si="497">IF(L2434="","-",TEXT(L2434,"mmm-dd"))</f>
        <v>-</v>
      </c>
    </row>
    <row r="2435" spans="41:48">
      <c r="AO2435" s="824" t="str">
        <f t="shared" si="494"/>
        <v>No</v>
      </c>
      <c r="AP2435" s="259" t="str">
        <f t="shared" si="491"/>
        <v>blank</v>
      </c>
      <c r="AQ2435" s="542" t="str">
        <f t="shared" ref="AQ2435:AQ2498" si="498">IFERROR(IF(AND(AO2435="Yes", AP2435&lt;&gt;"blank"), "有定金+有預留客戶", IF(AND(AO2435="Yes", AP2435="blank"), "有定金+无客戶送貨期", IF(AND(OR(AO2435="No", ISBLANK(AO2435), AO2435="NA"), AP2435&lt;&gt;"blank"), "无定金+有預留客戶", IF(AND(OR(AO2435="No", ISBLANK(AO2435), AO2435="NA"), AP2435="blank"), "无定金+无預留客戶", "")))), "")</f>
        <v>无定金+无預留客戶</v>
      </c>
      <c r="AR2435" s="259" t="str">
        <f t="shared" si="492"/>
        <v/>
      </c>
      <c r="AS2435" s="259" t="str">
        <f t="shared" si="493"/>
        <v/>
      </c>
      <c r="AT2435" s="259" t="b">
        <f t="shared" si="495"/>
        <v>0</v>
      </c>
      <c r="AU2435" s="259" t="b">
        <f t="shared" si="496"/>
        <v>0</v>
      </c>
      <c r="AV2435" s="259" t="str">
        <f t="shared" si="497"/>
        <v>-</v>
      </c>
    </row>
    <row r="2436" spans="41:48">
      <c r="AO2436" s="824" t="str">
        <f t="shared" si="494"/>
        <v>No</v>
      </c>
      <c r="AP2436" s="259" t="str">
        <f t="shared" si="491"/>
        <v>blank</v>
      </c>
      <c r="AQ2436" s="542" t="str">
        <f t="shared" si="498"/>
        <v>无定金+无預留客戶</v>
      </c>
      <c r="AR2436" s="259" t="str">
        <f t="shared" si="492"/>
        <v/>
      </c>
      <c r="AS2436" s="259" t="str">
        <f t="shared" si="493"/>
        <v/>
      </c>
      <c r="AT2436" s="259" t="b">
        <f t="shared" si="495"/>
        <v>0</v>
      </c>
      <c r="AU2436" s="259" t="b">
        <f t="shared" si="496"/>
        <v>0</v>
      </c>
      <c r="AV2436" s="259" t="str">
        <f t="shared" si="497"/>
        <v>-</v>
      </c>
    </row>
    <row r="2437" spans="41:48">
      <c r="AO2437" s="824" t="str">
        <f t="shared" si="494"/>
        <v>No</v>
      </c>
      <c r="AP2437" s="259" t="str">
        <f t="shared" si="491"/>
        <v>blank</v>
      </c>
      <c r="AQ2437" s="542" t="str">
        <f t="shared" si="498"/>
        <v>无定金+无預留客戶</v>
      </c>
      <c r="AR2437" s="259" t="str">
        <f t="shared" si="492"/>
        <v/>
      </c>
      <c r="AS2437" s="259" t="str">
        <f t="shared" si="493"/>
        <v/>
      </c>
      <c r="AT2437" s="259" t="b">
        <f t="shared" si="495"/>
        <v>0</v>
      </c>
      <c r="AU2437" s="259" t="b">
        <f t="shared" si="496"/>
        <v>0</v>
      </c>
      <c r="AV2437" s="259" t="str">
        <f t="shared" si="497"/>
        <v>-</v>
      </c>
    </row>
    <row r="2438" spans="41:48">
      <c r="AO2438" s="824" t="str">
        <f t="shared" si="494"/>
        <v>No</v>
      </c>
      <c r="AP2438" s="259" t="str">
        <f t="shared" ref="AP2438:AP2501" si="499">IFERROR(IF(N2438&lt;&gt;"",N2438,"blank"),"NA")</f>
        <v>blank</v>
      </c>
      <c r="AQ2438" s="542" t="str">
        <f t="shared" si="498"/>
        <v>无定金+无預留客戶</v>
      </c>
      <c r="AR2438" s="259" t="str">
        <f t="shared" si="492"/>
        <v/>
      </c>
      <c r="AS2438" s="259" t="str">
        <f t="shared" si="493"/>
        <v/>
      </c>
      <c r="AT2438" s="259" t="b">
        <f t="shared" si="495"/>
        <v>0</v>
      </c>
      <c r="AU2438" s="259" t="b">
        <f t="shared" si="496"/>
        <v>0</v>
      </c>
      <c r="AV2438" s="259" t="str">
        <f t="shared" si="497"/>
        <v>-</v>
      </c>
    </row>
    <row r="2439" spans="41:48">
      <c r="AO2439" s="824" t="str">
        <f t="shared" si="494"/>
        <v>No</v>
      </c>
      <c r="AP2439" s="259" t="str">
        <f t="shared" si="499"/>
        <v>blank</v>
      </c>
      <c r="AQ2439" s="542" t="str">
        <f t="shared" si="498"/>
        <v>无定金+无預留客戶</v>
      </c>
      <c r="AR2439" s="259" t="str">
        <f t="shared" si="492"/>
        <v/>
      </c>
      <c r="AS2439" s="259" t="str">
        <f t="shared" si="493"/>
        <v/>
      </c>
      <c r="AT2439" s="259" t="b">
        <f t="shared" si="495"/>
        <v>0</v>
      </c>
      <c r="AU2439" s="259" t="b">
        <f t="shared" si="496"/>
        <v>0</v>
      </c>
      <c r="AV2439" s="259" t="str">
        <f t="shared" si="497"/>
        <v>-</v>
      </c>
    </row>
    <row r="2440" spans="41:48">
      <c r="AO2440" s="824" t="str">
        <f t="shared" si="494"/>
        <v>No</v>
      </c>
      <c r="AP2440" s="259" t="str">
        <f t="shared" si="499"/>
        <v>blank</v>
      </c>
      <c r="AQ2440" s="542" t="str">
        <f t="shared" si="498"/>
        <v>无定金+无預留客戶</v>
      </c>
      <c r="AR2440" s="259" t="str">
        <f t="shared" si="492"/>
        <v/>
      </c>
      <c r="AS2440" s="259" t="str">
        <f t="shared" si="493"/>
        <v/>
      </c>
      <c r="AT2440" s="259" t="b">
        <f t="shared" si="495"/>
        <v>0</v>
      </c>
      <c r="AU2440" s="259" t="b">
        <f t="shared" si="496"/>
        <v>0</v>
      </c>
      <c r="AV2440" s="259" t="str">
        <f t="shared" si="497"/>
        <v>-</v>
      </c>
    </row>
    <row r="2441" spans="41:48">
      <c r="AO2441" s="824" t="str">
        <f t="shared" si="494"/>
        <v>No</v>
      </c>
      <c r="AP2441" s="259" t="str">
        <f t="shared" si="499"/>
        <v>blank</v>
      </c>
      <c r="AQ2441" s="542" t="str">
        <f t="shared" si="498"/>
        <v>无定金+无預留客戶</v>
      </c>
      <c r="AR2441" s="259" t="str">
        <f t="shared" si="492"/>
        <v/>
      </c>
      <c r="AS2441" s="259" t="str">
        <f t="shared" si="493"/>
        <v/>
      </c>
      <c r="AT2441" s="259" t="b">
        <f t="shared" si="495"/>
        <v>0</v>
      </c>
      <c r="AU2441" s="259" t="b">
        <f t="shared" si="496"/>
        <v>0</v>
      </c>
      <c r="AV2441" s="259" t="str">
        <f t="shared" si="497"/>
        <v>-</v>
      </c>
    </row>
    <row r="2442" spans="41:48">
      <c r="AO2442" s="824" t="str">
        <f t="shared" si="494"/>
        <v>No</v>
      </c>
      <c r="AP2442" s="259" t="str">
        <f t="shared" si="499"/>
        <v>blank</v>
      </c>
      <c r="AQ2442" s="542" t="str">
        <f t="shared" si="498"/>
        <v>无定金+无預留客戶</v>
      </c>
      <c r="AR2442" s="259" t="str">
        <f t="shared" si="492"/>
        <v/>
      </c>
      <c r="AS2442" s="259" t="str">
        <f t="shared" si="493"/>
        <v/>
      </c>
      <c r="AT2442" s="259" t="b">
        <f t="shared" si="495"/>
        <v>0</v>
      </c>
      <c r="AU2442" s="259" t="b">
        <f t="shared" si="496"/>
        <v>0</v>
      </c>
      <c r="AV2442" s="259" t="str">
        <f t="shared" si="497"/>
        <v>-</v>
      </c>
    </row>
    <row r="2443" spans="41:48">
      <c r="AO2443" s="824" t="str">
        <f t="shared" si="494"/>
        <v>No</v>
      </c>
      <c r="AP2443" s="259" t="str">
        <f t="shared" si="499"/>
        <v>blank</v>
      </c>
      <c r="AQ2443" s="542" t="str">
        <f t="shared" si="498"/>
        <v>无定金+无預留客戶</v>
      </c>
      <c r="AR2443" s="259" t="str">
        <f t="shared" si="492"/>
        <v/>
      </c>
      <c r="AS2443" s="259" t="str">
        <f t="shared" si="493"/>
        <v/>
      </c>
      <c r="AT2443" s="259" t="b">
        <f t="shared" si="495"/>
        <v>0</v>
      </c>
      <c r="AU2443" s="259" t="b">
        <f t="shared" si="496"/>
        <v>0</v>
      </c>
      <c r="AV2443" s="259" t="str">
        <f t="shared" si="497"/>
        <v>-</v>
      </c>
    </row>
    <row r="2444" spans="41:48">
      <c r="AO2444" s="824" t="str">
        <f t="shared" si="494"/>
        <v>No</v>
      </c>
      <c r="AP2444" s="259" t="str">
        <f t="shared" si="499"/>
        <v>blank</v>
      </c>
      <c r="AQ2444" s="542" t="str">
        <f t="shared" si="498"/>
        <v>无定金+无預留客戶</v>
      </c>
      <c r="AR2444" s="259" t="str">
        <f t="shared" si="492"/>
        <v/>
      </c>
      <c r="AS2444" s="259" t="str">
        <f t="shared" si="493"/>
        <v/>
      </c>
      <c r="AT2444" s="259" t="b">
        <f t="shared" si="495"/>
        <v>0</v>
      </c>
      <c r="AU2444" s="259" t="b">
        <f t="shared" si="496"/>
        <v>0</v>
      </c>
      <c r="AV2444" s="259" t="str">
        <f t="shared" si="497"/>
        <v>-</v>
      </c>
    </row>
    <row r="2445" spans="41:48">
      <c r="AO2445" s="824" t="str">
        <f t="shared" si="494"/>
        <v>No</v>
      </c>
      <c r="AP2445" s="259" t="str">
        <f t="shared" si="499"/>
        <v>blank</v>
      </c>
      <c r="AQ2445" s="542" t="str">
        <f t="shared" si="498"/>
        <v>无定金+无預留客戶</v>
      </c>
      <c r="AR2445" s="259" t="str">
        <f t="shared" si="492"/>
        <v/>
      </c>
      <c r="AS2445" s="259" t="str">
        <f t="shared" si="493"/>
        <v/>
      </c>
      <c r="AT2445" s="259" t="b">
        <f t="shared" si="495"/>
        <v>0</v>
      </c>
      <c r="AU2445" s="259" t="b">
        <f t="shared" si="496"/>
        <v>0</v>
      </c>
      <c r="AV2445" s="259" t="str">
        <f t="shared" si="497"/>
        <v>-</v>
      </c>
    </row>
    <row r="2446" spans="41:48">
      <c r="AO2446" s="824" t="str">
        <f t="shared" si="494"/>
        <v>No</v>
      </c>
      <c r="AP2446" s="259" t="str">
        <f t="shared" si="499"/>
        <v>blank</v>
      </c>
      <c r="AQ2446" s="542" t="str">
        <f t="shared" si="498"/>
        <v>无定金+无預留客戶</v>
      </c>
      <c r="AR2446" s="259" t="str">
        <f t="shared" si="492"/>
        <v/>
      </c>
      <c r="AS2446" s="259" t="str">
        <f t="shared" si="493"/>
        <v/>
      </c>
      <c r="AT2446" s="259" t="b">
        <f t="shared" si="495"/>
        <v>0</v>
      </c>
      <c r="AU2446" s="259" t="b">
        <f t="shared" si="496"/>
        <v>0</v>
      </c>
      <c r="AV2446" s="259" t="str">
        <f t="shared" si="497"/>
        <v>-</v>
      </c>
    </row>
    <row r="2447" spans="41:48">
      <c r="AO2447" s="824" t="str">
        <f t="shared" si="494"/>
        <v>No</v>
      </c>
      <c r="AP2447" s="259" t="str">
        <f t="shared" si="499"/>
        <v>blank</v>
      </c>
      <c r="AQ2447" s="542" t="str">
        <f t="shared" si="498"/>
        <v>无定金+无預留客戶</v>
      </c>
      <c r="AR2447" s="259" t="str">
        <f t="shared" si="492"/>
        <v/>
      </c>
      <c r="AS2447" s="259" t="str">
        <f t="shared" si="493"/>
        <v/>
      </c>
      <c r="AT2447" s="259" t="b">
        <f t="shared" si="495"/>
        <v>0</v>
      </c>
      <c r="AU2447" s="259" t="b">
        <f t="shared" si="496"/>
        <v>0</v>
      </c>
      <c r="AV2447" s="259" t="str">
        <f t="shared" si="497"/>
        <v>-</v>
      </c>
    </row>
    <row r="2448" spans="41:48">
      <c r="AO2448" s="824" t="str">
        <f t="shared" si="494"/>
        <v>No</v>
      </c>
      <c r="AP2448" s="259" t="str">
        <f t="shared" si="499"/>
        <v>blank</v>
      </c>
      <c r="AQ2448" s="542" t="str">
        <f t="shared" si="498"/>
        <v>无定金+无預留客戶</v>
      </c>
      <c r="AR2448" s="259" t="str">
        <f t="shared" si="492"/>
        <v/>
      </c>
      <c r="AS2448" s="259" t="str">
        <f t="shared" si="493"/>
        <v/>
      </c>
      <c r="AT2448" s="259" t="b">
        <f t="shared" si="495"/>
        <v>0</v>
      </c>
      <c r="AU2448" s="259" t="b">
        <f t="shared" si="496"/>
        <v>0</v>
      </c>
      <c r="AV2448" s="259" t="str">
        <f t="shared" si="497"/>
        <v>-</v>
      </c>
    </row>
    <row r="2449" spans="41:48">
      <c r="AO2449" s="824" t="str">
        <f t="shared" si="494"/>
        <v>No</v>
      </c>
      <c r="AP2449" s="259" t="str">
        <f t="shared" si="499"/>
        <v>blank</v>
      </c>
      <c r="AQ2449" s="542" t="str">
        <f t="shared" si="498"/>
        <v>无定金+无預留客戶</v>
      </c>
      <c r="AR2449" s="259" t="str">
        <f t="shared" si="492"/>
        <v/>
      </c>
      <c r="AS2449" s="259" t="str">
        <f t="shared" si="493"/>
        <v/>
      </c>
      <c r="AT2449" s="259" t="b">
        <f t="shared" si="495"/>
        <v>0</v>
      </c>
      <c r="AU2449" s="259" t="b">
        <f t="shared" si="496"/>
        <v>0</v>
      </c>
      <c r="AV2449" s="259" t="str">
        <f t="shared" si="497"/>
        <v>-</v>
      </c>
    </row>
    <row r="2450" spans="41:48">
      <c r="AO2450" s="824" t="str">
        <f t="shared" si="494"/>
        <v>No</v>
      </c>
      <c r="AP2450" s="259" t="str">
        <f t="shared" si="499"/>
        <v>blank</v>
      </c>
      <c r="AQ2450" s="542" t="str">
        <f t="shared" si="498"/>
        <v>无定金+无預留客戶</v>
      </c>
      <c r="AR2450" s="259" t="str">
        <f t="shared" si="492"/>
        <v/>
      </c>
      <c r="AS2450" s="259" t="str">
        <f t="shared" si="493"/>
        <v/>
      </c>
      <c r="AT2450" s="259" t="b">
        <f t="shared" si="495"/>
        <v>0</v>
      </c>
      <c r="AU2450" s="259" t="b">
        <f t="shared" si="496"/>
        <v>0</v>
      </c>
      <c r="AV2450" s="259" t="str">
        <f t="shared" si="497"/>
        <v>-</v>
      </c>
    </row>
    <row r="2451" spans="41:48">
      <c r="AO2451" s="824" t="str">
        <f t="shared" si="494"/>
        <v>No</v>
      </c>
      <c r="AP2451" s="259" t="str">
        <f t="shared" si="499"/>
        <v>blank</v>
      </c>
      <c r="AQ2451" s="542" t="str">
        <f t="shared" si="498"/>
        <v>无定金+无預留客戶</v>
      </c>
      <c r="AR2451" s="259" t="str">
        <f t="shared" si="492"/>
        <v/>
      </c>
      <c r="AS2451" s="259" t="str">
        <f t="shared" si="493"/>
        <v/>
      </c>
      <c r="AT2451" s="259" t="b">
        <f t="shared" si="495"/>
        <v>0</v>
      </c>
      <c r="AU2451" s="259" t="b">
        <f t="shared" si="496"/>
        <v>0</v>
      </c>
      <c r="AV2451" s="259" t="str">
        <f t="shared" si="497"/>
        <v>-</v>
      </c>
    </row>
    <row r="2452" spans="41:48">
      <c r="AO2452" s="824" t="str">
        <f t="shared" si="494"/>
        <v>No</v>
      </c>
      <c r="AP2452" s="259" t="str">
        <f t="shared" si="499"/>
        <v>blank</v>
      </c>
      <c r="AQ2452" s="542" t="str">
        <f t="shared" si="498"/>
        <v>无定金+无預留客戶</v>
      </c>
      <c r="AR2452" s="259" t="str">
        <f t="shared" si="492"/>
        <v/>
      </c>
      <c r="AS2452" s="259" t="str">
        <f t="shared" si="493"/>
        <v/>
      </c>
      <c r="AT2452" s="259" t="b">
        <f t="shared" si="495"/>
        <v>0</v>
      </c>
      <c r="AU2452" s="259" t="b">
        <f t="shared" si="496"/>
        <v>0</v>
      </c>
      <c r="AV2452" s="259" t="str">
        <f t="shared" si="497"/>
        <v>-</v>
      </c>
    </row>
    <row r="2453" spans="41:48">
      <c r="AO2453" s="824" t="str">
        <f t="shared" si="494"/>
        <v>No</v>
      </c>
      <c r="AP2453" s="259" t="str">
        <f t="shared" si="499"/>
        <v>blank</v>
      </c>
      <c r="AQ2453" s="542" t="str">
        <f t="shared" si="498"/>
        <v>无定金+无預留客戶</v>
      </c>
      <c r="AR2453" s="259" t="str">
        <f t="shared" si="492"/>
        <v/>
      </c>
      <c r="AS2453" s="259" t="str">
        <f t="shared" si="493"/>
        <v/>
      </c>
      <c r="AT2453" s="259" t="b">
        <f t="shared" si="495"/>
        <v>0</v>
      </c>
      <c r="AU2453" s="259" t="b">
        <f t="shared" si="496"/>
        <v>0</v>
      </c>
      <c r="AV2453" s="259" t="str">
        <f t="shared" si="497"/>
        <v>-</v>
      </c>
    </row>
    <row r="2454" spans="41:48">
      <c r="AO2454" s="824" t="str">
        <f t="shared" si="494"/>
        <v>No</v>
      </c>
      <c r="AP2454" s="259" t="str">
        <f t="shared" si="499"/>
        <v>blank</v>
      </c>
      <c r="AQ2454" s="542" t="str">
        <f t="shared" si="498"/>
        <v>无定金+无預留客戶</v>
      </c>
      <c r="AR2454" s="259" t="str">
        <f t="shared" si="492"/>
        <v/>
      </c>
      <c r="AS2454" s="259" t="str">
        <f t="shared" si="493"/>
        <v/>
      </c>
      <c r="AT2454" s="259" t="b">
        <f t="shared" si="495"/>
        <v>0</v>
      </c>
      <c r="AU2454" s="259" t="b">
        <f t="shared" si="496"/>
        <v>0</v>
      </c>
      <c r="AV2454" s="259" t="str">
        <f t="shared" si="497"/>
        <v>-</v>
      </c>
    </row>
    <row r="2455" spans="41:48">
      <c r="AO2455" s="824" t="str">
        <f t="shared" si="494"/>
        <v>No</v>
      </c>
      <c r="AP2455" s="259" t="str">
        <f t="shared" si="499"/>
        <v>blank</v>
      </c>
      <c r="AQ2455" s="542" t="str">
        <f t="shared" si="498"/>
        <v>无定金+无預留客戶</v>
      </c>
      <c r="AR2455" s="259" t="str">
        <f t="shared" si="492"/>
        <v/>
      </c>
      <c r="AS2455" s="259" t="str">
        <f t="shared" si="493"/>
        <v/>
      </c>
      <c r="AT2455" s="259" t="b">
        <f t="shared" si="495"/>
        <v>0</v>
      </c>
      <c r="AU2455" s="259" t="b">
        <f t="shared" si="496"/>
        <v>0</v>
      </c>
      <c r="AV2455" s="259" t="str">
        <f t="shared" si="497"/>
        <v>-</v>
      </c>
    </row>
    <row r="2456" spans="41:48">
      <c r="AO2456" s="824" t="str">
        <f t="shared" si="494"/>
        <v>No</v>
      </c>
      <c r="AP2456" s="259" t="str">
        <f t="shared" si="499"/>
        <v>blank</v>
      </c>
      <c r="AQ2456" s="542" t="str">
        <f t="shared" si="498"/>
        <v>无定金+无預留客戶</v>
      </c>
      <c r="AR2456" s="259" t="str">
        <f t="shared" si="492"/>
        <v/>
      </c>
      <c r="AS2456" s="259" t="str">
        <f t="shared" si="493"/>
        <v/>
      </c>
      <c r="AT2456" s="259" t="b">
        <f t="shared" si="495"/>
        <v>0</v>
      </c>
      <c r="AU2456" s="259" t="b">
        <f t="shared" si="496"/>
        <v>0</v>
      </c>
      <c r="AV2456" s="259" t="str">
        <f t="shared" si="497"/>
        <v>-</v>
      </c>
    </row>
    <row r="2457" spans="41:48">
      <c r="AO2457" s="824" t="str">
        <f t="shared" si="494"/>
        <v>No</v>
      </c>
      <c r="AP2457" s="259" t="str">
        <f t="shared" si="499"/>
        <v>blank</v>
      </c>
      <c r="AQ2457" s="542" t="str">
        <f t="shared" si="498"/>
        <v>无定金+无預留客戶</v>
      </c>
      <c r="AR2457" s="259" t="str">
        <f t="shared" si="492"/>
        <v/>
      </c>
      <c r="AS2457" s="259" t="str">
        <f t="shared" si="493"/>
        <v/>
      </c>
      <c r="AT2457" s="259" t="b">
        <f t="shared" si="495"/>
        <v>0</v>
      </c>
      <c r="AU2457" s="259" t="b">
        <f t="shared" si="496"/>
        <v>0</v>
      </c>
      <c r="AV2457" s="259" t="str">
        <f t="shared" si="497"/>
        <v>-</v>
      </c>
    </row>
    <row r="2458" spans="41:48">
      <c r="AO2458" s="824" t="str">
        <f t="shared" si="494"/>
        <v>No</v>
      </c>
      <c r="AP2458" s="259" t="str">
        <f t="shared" si="499"/>
        <v>blank</v>
      </c>
      <c r="AQ2458" s="542" t="str">
        <f t="shared" si="498"/>
        <v>无定金+无預留客戶</v>
      </c>
      <c r="AR2458" s="259" t="str">
        <f t="shared" si="492"/>
        <v/>
      </c>
      <c r="AS2458" s="259" t="str">
        <f t="shared" si="493"/>
        <v/>
      </c>
      <c r="AT2458" s="259" t="b">
        <f t="shared" si="495"/>
        <v>0</v>
      </c>
      <c r="AU2458" s="259" t="b">
        <f t="shared" si="496"/>
        <v>0</v>
      </c>
      <c r="AV2458" s="259" t="str">
        <f t="shared" si="497"/>
        <v>-</v>
      </c>
    </row>
    <row r="2459" spans="41:48">
      <c r="AO2459" s="824" t="str">
        <f t="shared" si="494"/>
        <v>No</v>
      </c>
      <c r="AP2459" s="259" t="str">
        <f t="shared" si="499"/>
        <v>blank</v>
      </c>
      <c r="AQ2459" s="542" t="str">
        <f t="shared" si="498"/>
        <v>无定金+无預留客戶</v>
      </c>
      <c r="AR2459" s="259" t="str">
        <f t="shared" si="492"/>
        <v/>
      </c>
      <c r="AS2459" s="259" t="str">
        <f t="shared" si="493"/>
        <v/>
      </c>
      <c r="AT2459" s="259" t="b">
        <f t="shared" si="495"/>
        <v>0</v>
      </c>
      <c r="AU2459" s="259" t="b">
        <f t="shared" si="496"/>
        <v>0</v>
      </c>
      <c r="AV2459" s="259" t="str">
        <f t="shared" si="497"/>
        <v>-</v>
      </c>
    </row>
    <row r="2460" spans="41:48">
      <c r="AO2460" s="824" t="str">
        <f t="shared" si="494"/>
        <v>No</v>
      </c>
      <c r="AP2460" s="259" t="str">
        <f t="shared" si="499"/>
        <v>blank</v>
      </c>
      <c r="AQ2460" s="542" t="str">
        <f t="shared" si="498"/>
        <v>无定金+无預留客戶</v>
      </c>
      <c r="AR2460" s="259" t="str">
        <f t="shared" si="492"/>
        <v/>
      </c>
      <c r="AS2460" s="259" t="str">
        <f t="shared" si="493"/>
        <v/>
      </c>
      <c r="AT2460" s="259" t="b">
        <f t="shared" si="495"/>
        <v>0</v>
      </c>
      <c r="AU2460" s="259" t="b">
        <f t="shared" si="496"/>
        <v>0</v>
      </c>
      <c r="AV2460" s="259" t="str">
        <f t="shared" si="497"/>
        <v>-</v>
      </c>
    </row>
    <row r="2461" spans="41:48">
      <c r="AO2461" s="824" t="str">
        <f t="shared" si="494"/>
        <v>No</v>
      </c>
      <c r="AP2461" s="259" t="str">
        <f t="shared" si="499"/>
        <v>blank</v>
      </c>
      <c r="AQ2461" s="542" t="str">
        <f t="shared" si="498"/>
        <v>无定金+无預留客戶</v>
      </c>
      <c r="AR2461" s="259" t="str">
        <f t="shared" si="492"/>
        <v/>
      </c>
      <c r="AS2461" s="259" t="str">
        <f t="shared" si="493"/>
        <v/>
      </c>
      <c r="AT2461" s="259" t="b">
        <f t="shared" si="495"/>
        <v>0</v>
      </c>
      <c r="AU2461" s="259" t="b">
        <f t="shared" si="496"/>
        <v>0</v>
      </c>
      <c r="AV2461" s="259" t="str">
        <f t="shared" si="497"/>
        <v>-</v>
      </c>
    </row>
    <row r="2462" spans="41:48">
      <c r="AO2462" s="824" t="str">
        <f t="shared" si="494"/>
        <v>No</v>
      </c>
      <c r="AP2462" s="259" t="str">
        <f t="shared" si="499"/>
        <v>blank</v>
      </c>
      <c r="AQ2462" s="542" t="str">
        <f t="shared" si="498"/>
        <v>无定金+无預留客戶</v>
      </c>
      <c r="AR2462" s="259" t="str">
        <f t="shared" si="492"/>
        <v/>
      </c>
      <c r="AS2462" s="259" t="str">
        <f t="shared" si="493"/>
        <v/>
      </c>
      <c r="AT2462" s="259" t="b">
        <f t="shared" si="495"/>
        <v>0</v>
      </c>
      <c r="AU2462" s="259" t="b">
        <f t="shared" si="496"/>
        <v>0</v>
      </c>
      <c r="AV2462" s="259" t="str">
        <f t="shared" si="497"/>
        <v>-</v>
      </c>
    </row>
    <row r="2463" spans="41:48">
      <c r="AO2463" s="824" t="str">
        <f t="shared" si="494"/>
        <v>No</v>
      </c>
      <c r="AP2463" s="259" t="str">
        <f t="shared" si="499"/>
        <v>blank</v>
      </c>
      <c r="AQ2463" s="542" t="str">
        <f t="shared" si="498"/>
        <v>无定金+无預留客戶</v>
      </c>
      <c r="AR2463" s="259" t="str">
        <f t="shared" si="492"/>
        <v/>
      </c>
      <c r="AS2463" s="259" t="str">
        <f t="shared" si="493"/>
        <v/>
      </c>
      <c r="AT2463" s="259" t="b">
        <f t="shared" si="495"/>
        <v>0</v>
      </c>
      <c r="AU2463" s="259" t="b">
        <f t="shared" si="496"/>
        <v>0</v>
      </c>
      <c r="AV2463" s="259" t="str">
        <f t="shared" si="497"/>
        <v>-</v>
      </c>
    </row>
    <row r="2464" spans="41:48">
      <c r="AO2464" s="824" t="str">
        <f t="shared" si="494"/>
        <v>No</v>
      </c>
      <c r="AP2464" s="259" t="str">
        <f t="shared" si="499"/>
        <v>blank</v>
      </c>
      <c r="AQ2464" s="542" t="str">
        <f t="shared" si="498"/>
        <v>无定金+无預留客戶</v>
      </c>
      <c r="AR2464" s="259" t="str">
        <f t="shared" si="492"/>
        <v/>
      </c>
      <c r="AS2464" s="259" t="str">
        <f t="shared" si="493"/>
        <v/>
      </c>
      <c r="AT2464" s="259" t="b">
        <f t="shared" si="495"/>
        <v>0</v>
      </c>
      <c r="AU2464" s="259" t="b">
        <f t="shared" si="496"/>
        <v>0</v>
      </c>
      <c r="AV2464" s="259" t="str">
        <f t="shared" si="497"/>
        <v>-</v>
      </c>
    </row>
    <row r="2465" spans="41:48">
      <c r="AO2465" s="824" t="str">
        <f t="shared" si="494"/>
        <v>No</v>
      </c>
      <c r="AP2465" s="259" t="str">
        <f t="shared" si="499"/>
        <v>blank</v>
      </c>
      <c r="AQ2465" s="542" t="str">
        <f t="shared" si="498"/>
        <v>无定金+无預留客戶</v>
      </c>
      <c r="AR2465" s="259" t="str">
        <f t="shared" si="492"/>
        <v/>
      </c>
      <c r="AS2465" s="259" t="str">
        <f t="shared" si="493"/>
        <v/>
      </c>
      <c r="AT2465" s="259" t="b">
        <f t="shared" si="495"/>
        <v>0</v>
      </c>
      <c r="AU2465" s="259" t="b">
        <f t="shared" si="496"/>
        <v>0</v>
      </c>
      <c r="AV2465" s="259" t="str">
        <f t="shared" si="497"/>
        <v>-</v>
      </c>
    </row>
    <row r="2466" spans="41:48">
      <c r="AO2466" s="824" t="str">
        <f t="shared" si="494"/>
        <v>No</v>
      </c>
      <c r="AP2466" s="259" t="str">
        <f t="shared" si="499"/>
        <v>blank</v>
      </c>
      <c r="AQ2466" s="542" t="str">
        <f t="shared" si="498"/>
        <v>无定金+无預留客戶</v>
      </c>
      <c r="AR2466" s="259" t="str">
        <f t="shared" si="492"/>
        <v/>
      </c>
      <c r="AS2466" s="259" t="str">
        <f t="shared" si="493"/>
        <v/>
      </c>
      <c r="AT2466" s="259" t="b">
        <f t="shared" si="495"/>
        <v>0</v>
      </c>
      <c r="AU2466" s="259" t="b">
        <f t="shared" si="496"/>
        <v>0</v>
      </c>
      <c r="AV2466" s="259" t="str">
        <f t="shared" si="497"/>
        <v>-</v>
      </c>
    </row>
    <row r="2467" spans="41:48">
      <c r="AO2467" s="824" t="str">
        <f t="shared" si="494"/>
        <v>No</v>
      </c>
      <c r="AP2467" s="259" t="str">
        <f t="shared" si="499"/>
        <v>blank</v>
      </c>
      <c r="AQ2467" s="542" t="str">
        <f t="shared" si="498"/>
        <v>无定金+无預留客戶</v>
      </c>
      <c r="AR2467" s="259" t="str">
        <f t="shared" si="492"/>
        <v/>
      </c>
      <c r="AS2467" s="259" t="str">
        <f t="shared" si="493"/>
        <v/>
      </c>
      <c r="AT2467" s="259" t="b">
        <f t="shared" si="495"/>
        <v>0</v>
      </c>
      <c r="AU2467" s="259" t="b">
        <f t="shared" si="496"/>
        <v>0</v>
      </c>
      <c r="AV2467" s="259" t="str">
        <f t="shared" si="497"/>
        <v>-</v>
      </c>
    </row>
    <row r="2468" spans="41:48">
      <c r="AO2468" s="824" t="str">
        <f t="shared" si="494"/>
        <v>No</v>
      </c>
      <c r="AP2468" s="259" t="str">
        <f t="shared" si="499"/>
        <v>blank</v>
      </c>
      <c r="AQ2468" s="542" t="str">
        <f t="shared" si="498"/>
        <v>无定金+无預留客戶</v>
      </c>
      <c r="AR2468" s="259" t="str">
        <f t="shared" si="492"/>
        <v/>
      </c>
      <c r="AS2468" s="259" t="str">
        <f t="shared" si="493"/>
        <v/>
      </c>
      <c r="AT2468" s="259" t="b">
        <f t="shared" si="495"/>
        <v>0</v>
      </c>
      <c r="AU2468" s="259" t="b">
        <f t="shared" si="496"/>
        <v>0</v>
      </c>
      <c r="AV2468" s="259" t="str">
        <f t="shared" si="497"/>
        <v>-</v>
      </c>
    </row>
    <row r="2469" spans="41:48">
      <c r="AO2469" s="824" t="str">
        <f t="shared" si="494"/>
        <v>No</v>
      </c>
      <c r="AP2469" s="259" t="str">
        <f t="shared" si="499"/>
        <v>blank</v>
      </c>
      <c r="AQ2469" s="542" t="str">
        <f t="shared" si="498"/>
        <v>无定金+无預留客戶</v>
      </c>
      <c r="AR2469" s="259" t="str">
        <f t="shared" si="492"/>
        <v/>
      </c>
      <c r="AS2469" s="259" t="str">
        <f t="shared" si="493"/>
        <v/>
      </c>
      <c r="AT2469" s="259" t="b">
        <f t="shared" si="495"/>
        <v>0</v>
      </c>
      <c r="AU2469" s="259" t="b">
        <f t="shared" si="496"/>
        <v>0</v>
      </c>
      <c r="AV2469" s="259" t="str">
        <f t="shared" si="497"/>
        <v>-</v>
      </c>
    </row>
    <row r="2470" spans="41:48">
      <c r="AO2470" s="824" t="str">
        <f t="shared" si="494"/>
        <v>No</v>
      </c>
      <c r="AP2470" s="259" t="str">
        <f t="shared" si="499"/>
        <v>blank</v>
      </c>
      <c r="AQ2470" s="542" t="str">
        <f t="shared" si="498"/>
        <v>无定金+无預留客戶</v>
      </c>
      <c r="AR2470" s="259" t="str">
        <f t="shared" si="492"/>
        <v/>
      </c>
      <c r="AS2470" s="259" t="str">
        <f t="shared" si="493"/>
        <v/>
      </c>
      <c r="AT2470" s="259" t="b">
        <f t="shared" si="495"/>
        <v>0</v>
      </c>
      <c r="AU2470" s="259" t="b">
        <f t="shared" si="496"/>
        <v>0</v>
      </c>
      <c r="AV2470" s="259" t="str">
        <f t="shared" si="497"/>
        <v>-</v>
      </c>
    </row>
    <row r="2471" spans="41:48">
      <c r="AO2471" s="824" t="str">
        <f t="shared" si="494"/>
        <v>No</v>
      </c>
      <c r="AP2471" s="259" t="str">
        <f t="shared" si="499"/>
        <v>blank</v>
      </c>
      <c r="AQ2471" s="542" t="str">
        <f t="shared" si="498"/>
        <v>无定金+无預留客戶</v>
      </c>
      <c r="AR2471" s="259" t="str">
        <f t="shared" si="492"/>
        <v/>
      </c>
      <c r="AS2471" s="259" t="str">
        <f t="shared" si="493"/>
        <v/>
      </c>
      <c r="AT2471" s="259" t="b">
        <f t="shared" si="495"/>
        <v>0</v>
      </c>
      <c r="AU2471" s="259" t="b">
        <f t="shared" si="496"/>
        <v>0</v>
      </c>
      <c r="AV2471" s="259" t="str">
        <f t="shared" si="497"/>
        <v>-</v>
      </c>
    </row>
    <row r="2472" spans="41:48">
      <c r="AO2472" s="824" t="str">
        <f t="shared" si="494"/>
        <v>No</v>
      </c>
      <c r="AP2472" s="259" t="str">
        <f t="shared" si="499"/>
        <v>blank</v>
      </c>
      <c r="AQ2472" s="542" t="str">
        <f t="shared" si="498"/>
        <v>无定金+无預留客戶</v>
      </c>
      <c r="AR2472" s="259" t="str">
        <f t="shared" si="492"/>
        <v/>
      </c>
      <c r="AS2472" s="259" t="str">
        <f t="shared" si="493"/>
        <v/>
      </c>
      <c r="AT2472" s="259" t="b">
        <f t="shared" si="495"/>
        <v>0</v>
      </c>
      <c r="AU2472" s="259" t="b">
        <f t="shared" si="496"/>
        <v>0</v>
      </c>
      <c r="AV2472" s="259" t="str">
        <f t="shared" si="497"/>
        <v>-</v>
      </c>
    </row>
    <row r="2473" spans="41:48">
      <c r="AO2473" s="824" t="str">
        <f t="shared" si="494"/>
        <v>No</v>
      </c>
      <c r="AP2473" s="259" t="str">
        <f t="shared" si="499"/>
        <v>blank</v>
      </c>
      <c r="AQ2473" s="542" t="str">
        <f t="shared" si="498"/>
        <v>无定金+无預留客戶</v>
      </c>
      <c r="AR2473" s="259" t="str">
        <f t="shared" si="492"/>
        <v/>
      </c>
      <c r="AS2473" s="259" t="str">
        <f t="shared" si="493"/>
        <v/>
      </c>
      <c r="AT2473" s="259" t="b">
        <f t="shared" si="495"/>
        <v>0</v>
      </c>
      <c r="AU2473" s="259" t="b">
        <f t="shared" si="496"/>
        <v>0</v>
      </c>
      <c r="AV2473" s="259" t="str">
        <f t="shared" si="497"/>
        <v>-</v>
      </c>
    </row>
    <row r="2474" spans="41:48">
      <c r="AO2474" s="824" t="str">
        <f t="shared" si="494"/>
        <v>No</v>
      </c>
      <c r="AP2474" s="259" t="str">
        <f t="shared" si="499"/>
        <v>blank</v>
      </c>
      <c r="AQ2474" s="542" t="str">
        <f t="shared" si="498"/>
        <v>无定金+无預留客戶</v>
      </c>
      <c r="AR2474" s="259" t="str">
        <f t="shared" si="492"/>
        <v/>
      </c>
      <c r="AS2474" s="259" t="str">
        <f t="shared" si="493"/>
        <v/>
      </c>
      <c r="AT2474" s="259" t="b">
        <f t="shared" si="495"/>
        <v>0</v>
      </c>
      <c r="AU2474" s="259" t="b">
        <f t="shared" si="496"/>
        <v>0</v>
      </c>
      <c r="AV2474" s="259" t="str">
        <f t="shared" si="497"/>
        <v>-</v>
      </c>
    </row>
    <row r="2475" spans="41:48">
      <c r="AO2475" s="824" t="str">
        <f t="shared" si="494"/>
        <v>No</v>
      </c>
      <c r="AP2475" s="259" t="str">
        <f t="shared" si="499"/>
        <v>blank</v>
      </c>
      <c r="AQ2475" s="542" t="str">
        <f t="shared" si="498"/>
        <v>无定金+无預留客戶</v>
      </c>
      <c r="AR2475" s="259" t="str">
        <f t="shared" si="492"/>
        <v/>
      </c>
      <c r="AS2475" s="259" t="str">
        <f t="shared" si="493"/>
        <v/>
      </c>
      <c r="AT2475" s="259" t="b">
        <f t="shared" si="495"/>
        <v>0</v>
      </c>
      <c r="AU2475" s="259" t="b">
        <f t="shared" si="496"/>
        <v>0</v>
      </c>
      <c r="AV2475" s="259" t="str">
        <f t="shared" si="497"/>
        <v>-</v>
      </c>
    </row>
    <row r="2476" spans="41:48">
      <c r="AO2476" s="824" t="str">
        <f t="shared" si="494"/>
        <v>No</v>
      </c>
      <c r="AP2476" s="259" t="str">
        <f t="shared" si="499"/>
        <v>blank</v>
      </c>
      <c r="AQ2476" s="542" t="str">
        <f t="shared" si="498"/>
        <v>无定金+无預留客戶</v>
      </c>
      <c r="AR2476" s="259" t="str">
        <f t="shared" si="492"/>
        <v/>
      </c>
      <c r="AS2476" s="259" t="str">
        <f t="shared" si="493"/>
        <v/>
      </c>
      <c r="AT2476" s="259" t="b">
        <f t="shared" si="495"/>
        <v>0</v>
      </c>
      <c r="AU2476" s="259" t="b">
        <f t="shared" si="496"/>
        <v>0</v>
      </c>
      <c r="AV2476" s="259" t="str">
        <f t="shared" si="497"/>
        <v>-</v>
      </c>
    </row>
    <row r="2477" spans="41:48">
      <c r="AO2477" s="824" t="str">
        <f t="shared" si="494"/>
        <v>No</v>
      </c>
      <c r="AP2477" s="259" t="str">
        <f t="shared" si="499"/>
        <v>blank</v>
      </c>
      <c r="AQ2477" s="542" t="str">
        <f t="shared" si="498"/>
        <v>无定金+无預留客戶</v>
      </c>
      <c r="AR2477" s="259" t="str">
        <f t="shared" si="492"/>
        <v/>
      </c>
      <c r="AS2477" s="259" t="str">
        <f t="shared" si="493"/>
        <v/>
      </c>
      <c r="AT2477" s="259" t="b">
        <f t="shared" si="495"/>
        <v>0</v>
      </c>
      <c r="AU2477" s="259" t="b">
        <f t="shared" si="496"/>
        <v>0</v>
      </c>
      <c r="AV2477" s="259" t="str">
        <f t="shared" si="497"/>
        <v>-</v>
      </c>
    </row>
    <row r="2478" spans="41:48">
      <c r="AO2478" s="824" t="str">
        <f t="shared" si="494"/>
        <v>No</v>
      </c>
      <c r="AP2478" s="259" t="str">
        <f t="shared" si="499"/>
        <v>blank</v>
      </c>
      <c r="AQ2478" s="542" t="str">
        <f t="shared" si="498"/>
        <v>无定金+无預留客戶</v>
      </c>
      <c r="AR2478" s="259" t="str">
        <f t="shared" si="492"/>
        <v/>
      </c>
      <c r="AS2478" s="259" t="str">
        <f t="shared" si="493"/>
        <v/>
      </c>
      <c r="AT2478" s="259" t="b">
        <f t="shared" si="495"/>
        <v>0</v>
      </c>
      <c r="AU2478" s="259" t="b">
        <f t="shared" si="496"/>
        <v>0</v>
      </c>
      <c r="AV2478" s="259" t="str">
        <f t="shared" si="497"/>
        <v>-</v>
      </c>
    </row>
    <row r="2479" spans="41:48">
      <c r="AO2479" s="824" t="str">
        <f t="shared" si="494"/>
        <v>No</v>
      </c>
      <c r="AP2479" s="259" t="str">
        <f t="shared" si="499"/>
        <v>blank</v>
      </c>
      <c r="AQ2479" s="542" t="str">
        <f t="shared" si="498"/>
        <v>无定金+无預留客戶</v>
      </c>
      <c r="AR2479" s="259" t="str">
        <f t="shared" si="492"/>
        <v/>
      </c>
      <c r="AS2479" s="259" t="str">
        <f t="shared" si="493"/>
        <v/>
      </c>
      <c r="AT2479" s="259" t="b">
        <f t="shared" si="495"/>
        <v>0</v>
      </c>
      <c r="AU2479" s="259" t="b">
        <f t="shared" si="496"/>
        <v>0</v>
      </c>
      <c r="AV2479" s="259" t="str">
        <f t="shared" si="497"/>
        <v>-</v>
      </c>
    </row>
    <row r="2480" spans="41:48">
      <c r="AO2480" s="824" t="str">
        <f t="shared" si="494"/>
        <v>No</v>
      </c>
      <c r="AP2480" s="259" t="str">
        <f t="shared" si="499"/>
        <v>blank</v>
      </c>
      <c r="AQ2480" s="542" t="str">
        <f t="shared" si="498"/>
        <v>无定金+无預留客戶</v>
      </c>
      <c r="AR2480" s="259" t="str">
        <f t="shared" si="492"/>
        <v/>
      </c>
      <c r="AS2480" s="259" t="str">
        <f t="shared" si="493"/>
        <v/>
      </c>
      <c r="AT2480" s="259" t="b">
        <f t="shared" si="495"/>
        <v>0</v>
      </c>
      <c r="AU2480" s="259" t="b">
        <f t="shared" si="496"/>
        <v>0</v>
      </c>
      <c r="AV2480" s="259" t="str">
        <f t="shared" si="497"/>
        <v>-</v>
      </c>
    </row>
    <row r="2481" spans="41:48">
      <c r="AO2481" s="824" t="str">
        <f t="shared" si="494"/>
        <v>No</v>
      </c>
      <c r="AP2481" s="259" t="str">
        <f t="shared" si="499"/>
        <v>blank</v>
      </c>
      <c r="AQ2481" s="542" t="str">
        <f t="shared" si="498"/>
        <v>无定金+无預留客戶</v>
      </c>
      <c r="AR2481" s="259" t="str">
        <f t="shared" si="492"/>
        <v/>
      </c>
      <c r="AS2481" s="259" t="str">
        <f t="shared" si="493"/>
        <v/>
      </c>
      <c r="AT2481" s="259" t="b">
        <f t="shared" si="495"/>
        <v>0</v>
      </c>
      <c r="AU2481" s="259" t="b">
        <f t="shared" si="496"/>
        <v>0</v>
      </c>
      <c r="AV2481" s="259" t="str">
        <f t="shared" si="497"/>
        <v>-</v>
      </c>
    </row>
    <row r="2482" spans="41:48">
      <c r="AO2482" s="824" t="str">
        <f t="shared" si="494"/>
        <v>No</v>
      </c>
      <c r="AP2482" s="259" t="str">
        <f t="shared" si="499"/>
        <v>blank</v>
      </c>
      <c r="AQ2482" s="542" t="str">
        <f t="shared" si="498"/>
        <v>无定金+无預留客戶</v>
      </c>
      <c r="AR2482" s="259" t="str">
        <f t="shared" si="492"/>
        <v/>
      </c>
      <c r="AS2482" s="259" t="str">
        <f t="shared" si="493"/>
        <v/>
      </c>
      <c r="AT2482" s="259" t="b">
        <f t="shared" si="495"/>
        <v>0</v>
      </c>
      <c r="AU2482" s="259" t="b">
        <f t="shared" si="496"/>
        <v>0</v>
      </c>
      <c r="AV2482" s="259" t="str">
        <f t="shared" si="497"/>
        <v>-</v>
      </c>
    </row>
    <row r="2483" spans="41:48">
      <c r="AO2483" s="824" t="str">
        <f t="shared" si="494"/>
        <v>No</v>
      </c>
      <c r="AP2483" s="259" t="str">
        <f t="shared" si="499"/>
        <v>blank</v>
      </c>
      <c r="AQ2483" s="542" t="str">
        <f t="shared" si="498"/>
        <v>无定金+无預留客戶</v>
      </c>
      <c r="AR2483" s="259" t="str">
        <f t="shared" si="492"/>
        <v/>
      </c>
      <c r="AS2483" s="259" t="str">
        <f t="shared" si="493"/>
        <v/>
      </c>
      <c r="AT2483" s="259" t="b">
        <f t="shared" si="495"/>
        <v>0</v>
      </c>
      <c r="AU2483" s="259" t="b">
        <f t="shared" si="496"/>
        <v>0</v>
      </c>
      <c r="AV2483" s="259" t="str">
        <f t="shared" si="497"/>
        <v>-</v>
      </c>
    </row>
    <row r="2484" spans="41:48">
      <c r="AO2484" s="824" t="str">
        <f t="shared" si="494"/>
        <v>No</v>
      </c>
      <c r="AP2484" s="259" t="str">
        <f t="shared" si="499"/>
        <v>blank</v>
      </c>
      <c r="AQ2484" s="542" t="str">
        <f t="shared" si="498"/>
        <v>无定金+无預留客戶</v>
      </c>
      <c r="AR2484" s="259" t="str">
        <f t="shared" si="492"/>
        <v/>
      </c>
      <c r="AS2484" s="259" t="str">
        <f t="shared" si="493"/>
        <v/>
      </c>
      <c r="AT2484" s="259" t="b">
        <f t="shared" si="495"/>
        <v>0</v>
      </c>
      <c r="AU2484" s="259" t="b">
        <f t="shared" si="496"/>
        <v>0</v>
      </c>
      <c r="AV2484" s="259" t="str">
        <f t="shared" si="497"/>
        <v>-</v>
      </c>
    </row>
    <row r="2485" spans="41:48">
      <c r="AO2485" s="824" t="str">
        <f t="shared" si="494"/>
        <v>No</v>
      </c>
      <c r="AP2485" s="259" t="str">
        <f t="shared" si="499"/>
        <v>blank</v>
      </c>
      <c r="AQ2485" s="542" t="str">
        <f t="shared" si="498"/>
        <v>无定金+无預留客戶</v>
      </c>
      <c r="AR2485" s="259" t="str">
        <f t="shared" si="492"/>
        <v/>
      </c>
      <c r="AS2485" s="259" t="str">
        <f t="shared" si="493"/>
        <v/>
      </c>
      <c r="AT2485" s="259" t="b">
        <f t="shared" si="495"/>
        <v>0</v>
      </c>
      <c r="AU2485" s="259" t="b">
        <f t="shared" si="496"/>
        <v>0</v>
      </c>
      <c r="AV2485" s="259" t="str">
        <f t="shared" si="497"/>
        <v>-</v>
      </c>
    </row>
    <row r="2486" spans="41:48">
      <c r="AO2486" s="824" t="str">
        <f t="shared" si="494"/>
        <v>No</v>
      </c>
      <c r="AP2486" s="259" t="str">
        <f t="shared" si="499"/>
        <v>blank</v>
      </c>
      <c r="AQ2486" s="542" t="str">
        <f t="shared" si="498"/>
        <v>无定金+无預留客戶</v>
      </c>
      <c r="AR2486" s="259" t="str">
        <f t="shared" si="492"/>
        <v/>
      </c>
      <c r="AS2486" s="259" t="str">
        <f t="shared" si="493"/>
        <v/>
      </c>
      <c r="AT2486" s="259" t="b">
        <f t="shared" si="495"/>
        <v>0</v>
      </c>
      <c r="AU2486" s="259" t="b">
        <f t="shared" si="496"/>
        <v>0</v>
      </c>
      <c r="AV2486" s="259" t="str">
        <f t="shared" si="497"/>
        <v>-</v>
      </c>
    </row>
    <row r="2487" spans="41:48">
      <c r="AO2487" s="824" t="str">
        <f t="shared" si="494"/>
        <v>No</v>
      </c>
      <c r="AP2487" s="259" t="str">
        <f t="shared" si="499"/>
        <v>blank</v>
      </c>
      <c r="AQ2487" s="542" t="str">
        <f t="shared" si="498"/>
        <v>无定金+无預留客戶</v>
      </c>
      <c r="AR2487" s="259" t="str">
        <f t="shared" si="492"/>
        <v/>
      </c>
      <c r="AS2487" s="259" t="str">
        <f t="shared" si="493"/>
        <v/>
      </c>
      <c r="AT2487" s="259" t="b">
        <f t="shared" si="495"/>
        <v>0</v>
      </c>
      <c r="AU2487" s="259" t="b">
        <f t="shared" si="496"/>
        <v>0</v>
      </c>
      <c r="AV2487" s="259" t="str">
        <f t="shared" si="497"/>
        <v>-</v>
      </c>
    </row>
    <row r="2488" spans="41:48">
      <c r="AO2488" s="824" t="str">
        <f t="shared" si="494"/>
        <v>No</v>
      </c>
      <c r="AP2488" s="259" t="str">
        <f t="shared" si="499"/>
        <v>blank</v>
      </c>
      <c r="AQ2488" s="542" t="str">
        <f t="shared" si="498"/>
        <v>无定金+无預留客戶</v>
      </c>
      <c r="AR2488" s="259" t="str">
        <f t="shared" si="492"/>
        <v/>
      </c>
      <c r="AS2488" s="259" t="str">
        <f t="shared" si="493"/>
        <v/>
      </c>
      <c r="AT2488" s="259" t="b">
        <f t="shared" si="495"/>
        <v>0</v>
      </c>
      <c r="AU2488" s="259" t="b">
        <f t="shared" si="496"/>
        <v>0</v>
      </c>
      <c r="AV2488" s="259" t="str">
        <f t="shared" si="497"/>
        <v>-</v>
      </c>
    </row>
    <row r="2489" spans="41:48">
      <c r="AO2489" s="824" t="str">
        <f t="shared" si="494"/>
        <v>No</v>
      </c>
      <c r="AP2489" s="259" t="str">
        <f t="shared" si="499"/>
        <v>blank</v>
      </c>
      <c r="AQ2489" s="542" t="str">
        <f t="shared" si="498"/>
        <v>无定金+无預留客戶</v>
      </c>
      <c r="AR2489" s="259" t="str">
        <f t="shared" si="492"/>
        <v/>
      </c>
      <c r="AS2489" s="259" t="str">
        <f t="shared" si="493"/>
        <v/>
      </c>
      <c r="AT2489" s="259" t="b">
        <f t="shared" si="495"/>
        <v>0</v>
      </c>
      <c r="AU2489" s="259" t="b">
        <f t="shared" si="496"/>
        <v>0</v>
      </c>
      <c r="AV2489" s="259" t="str">
        <f t="shared" si="497"/>
        <v>-</v>
      </c>
    </row>
    <row r="2490" spans="41:48">
      <c r="AO2490" s="824" t="str">
        <f t="shared" si="494"/>
        <v>No</v>
      </c>
      <c r="AP2490" s="259" t="str">
        <f t="shared" si="499"/>
        <v>blank</v>
      </c>
      <c r="AQ2490" s="542" t="str">
        <f t="shared" si="498"/>
        <v>无定金+无預留客戶</v>
      </c>
      <c r="AR2490" s="259" t="str">
        <f t="shared" si="492"/>
        <v/>
      </c>
      <c r="AS2490" s="259" t="str">
        <f t="shared" si="493"/>
        <v/>
      </c>
      <c r="AT2490" s="259" t="b">
        <f t="shared" si="495"/>
        <v>0</v>
      </c>
      <c r="AU2490" s="259" t="b">
        <f t="shared" si="496"/>
        <v>0</v>
      </c>
      <c r="AV2490" s="259" t="str">
        <f t="shared" si="497"/>
        <v>-</v>
      </c>
    </row>
    <row r="2491" spans="41:48">
      <c r="AO2491" s="824" t="str">
        <f t="shared" si="494"/>
        <v>No</v>
      </c>
      <c r="AP2491" s="259" t="str">
        <f t="shared" si="499"/>
        <v>blank</v>
      </c>
      <c r="AQ2491" s="542" t="str">
        <f t="shared" si="498"/>
        <v>无定金+无預留客戶</v>
      </c>
      <c r="AR2491" s="259" t="str">
        <f t="shared" si="492"/>
        <v/>
      </c>
      <c r="AS2491" s="259" t="str">
        <f t="shared" si="493"/>
        <v/>
      </c>
      <c r="AT2491" s="259" t="b">
        <f t="shared" si="495"/>
        <v>0</v>
      </c>
      <c r="AU2491" s="259" t="b">
        <f t="shared" si="496"/>
        <v>0</v>
      </c>
      <c r="AV2491" s="259" t="str">
        <f t="shared" si="497"/>
        <v>-</v>
      </c>
    </row>
    <row r="2492" spans="41:48">
      <c r="AO2492" s="824" t="str">
        <f t="shared" si="494"/>
        <v>No</v>
      </c>
      <c r="AP2492" s="259" t="str">
        <f t="shared" si="499"/>
        <v>blank</v>
      </c>
      <c r="AQ2492" s="542" t="str">
        <f t="shared" si="498"/>
        <v>无定金+无預留客戶</v>
      </c>
      <c r="AR2492" s="259" t="str">
        <f t="shared" si="492"/>
        <v/>
      </c>
      <c r="AS2492" s="259" t="str">
        <f t="shared" si="493"/>
        <v/>
      </c>
      <c r="AT2492" s="259" t="b">
        <f t="shared" si="495"/>
        <v>0</v>
      </c>
      <c r="AU2492" s="259" t="b">
        <f t="shared" si="496"/>
        <v>0</v>
      </c>
      <c r="AV2492" s="259" t="str">
        <f t="shared" si="497"/>
        <v>-</v>
      </c>
    </row>
    <row r="2493" spans="41:48">
      <c r="AO2493" s="824" t="str">
        <f t="shared" si="494"/>
        <v>No</v>
      </c>
      <c r="AP2493" s="259" t="str">
        <f t="shared" si="499"/>
        <v>blank</v>
      </c>
      <c r="AQ2493" s="542" t="str">
        <f t="shared" si="498"/>
        <v>无定金+无預留客戶</v>
      </c>
      <c r="AR2493" s="259" t="str">
        <f t="shared" si="492"/>
        <v/>
      </c>
      <c r="AS2493" s="259" t="str">
        <f t="shared" si="493"/>
        <v/>
      </c>
      <c r="AT2493" s="259" t="b">
        <f t="shared" si="495"/>
        <v>0</v>
      </c>
      <c r="AU2493" s="259" t="b">
        <f t="shared" si="496"/>
        <v>0</v>
      </c>
      <c r="AV2493" s="259" t="str">
        <f t="shared" si="497"/>
        <v>-</v>
      </c>
    </row>
    <row r="2494" spans="41:48">
      <c r="AO2494" s="824" t="str">
        <f t="shared" si="494"/>
        <v>No</v>
      </c>
      <c r="AP2494" s="259" t="str">
        <f t="shared" si="499"/>
        <v>blank</v>
      </c>
      <c r="AQ2494" s="542" t="str">
        <f t="shared" si="498"/>
        <v>无定金+无預留客戶</v>
      </c>
      <c r="AR2494" s="259" t="str">
        <f t="shared" ref="AR2494:AR2532" si="500">IFERROR(IF(B2494="已经到货", "Instock", IF(B2494="有交期", "Incoming_Stock_With_YAMAHA_Schedule", IF(B2494="TBA.", "Incoming_Stock_No_YAMAHA_Schedule", IF(B2494="已发货", "Shipped_Stock", "")))), "")</f>
        <v/>
      </c>
      <c r="AS2494" s="259" t="str">
        <f t="shared" ref="AS2494:AS2532" si="501">IF(AND(B2494="有交期", L2494&lt;&gt;""), L2494, "")</f>
        <v/>
      </c>
      <c r="AT2494" s="259" t="b">
        <f t="shared" si="495"/>
        <v>0</v>
      </c>
      <c r="AU2494" s="259" t="b">
        <f t="shared" si="496"/>
        <v>0</v>
      </c>
      <c r="AV2494" s="259" t="str">
        <f t="shared" si="497"/>
        <v>-</v>
      </c>
    </row>
    <row r="2495" spans="41:48">
      <c r="AO2495" s="824" t="str">
        <f t="shared" si="494"/>
        <v>No</v>
      </c>
      <c r="AP2495" s="259" t="str">
        <f t="shared" si="499"/>
        <v>blank</v>
      </c>
      <c r="AQ2495" s="542" t="str">
        <f t="shared" si="498"/>
        <v>无定金+无預留客戶</v>
      </c>
      <c r="AR2495" s="259" t="str">
        <f t="shared" si="500"/>
        <v/>
      </c>
      <c r="AS2495" s="259" t="str">
        <f t="shared" si="501"/>
        <v/>
      </c>
      <c r="AT2495" s="259" t="b">
        <f t="shared" si="495"/>
        <v>0</v>
      </c>
      <c r="AU2495" s="259" t="b">
        <f t="shared" si="496"/>
        <v>0</v>
      </c>
      <c r="AV2495" s="259" t="str">
        <f t="shared" si="497"/>
        <v>-</v>
      </c>
    </row>
    <row r="2496" spans="41:48">
      <c r="AO2496" s="824" t="str">
        <f t="shared" si="494"/>
        <v>No</v>
      </c>
      <c r="AP2496" s="259" t="str">
        <f t="shared" si="499"/>
        <v>blank</v>
      </c>
      <c r="AQ2496" s="542" t="str">
        <f t="shared" si="498"/>
        <v>无定金+无預留客戶</v>
      </c>
      <c r="AR2496" s="259" t="str">
        <f t="shared" si="500"/>
        <v/>
      </c>
      <c r="AS2496" s="259" t="str">
        <f t="shared" si="501"/>
        <v/>
      </c>
      <c r="AT2496" s="259" t="b">
        <f t="shared" si="495"/>
        <v>0</v>
      </c>
      <c r="AU2496" s="259" t="b">
        <f t="shared" si="496"/>
        <v>0</v>
      </c>
      <c r="AV2496" s="259" t="str">
        <f t="shared" si="497"/>
        <v>-</v>
      </c>
    </row>
    <row r="2497" spans="41:48">
      <c r="AO2497" s="824" t="str">
        <f t="shared" si="494"/>
        <v>No</v>
      </c>
      <c r="AP2497" s="259" t="str">
        <f t="shared" si="499"/>
        <v>blank</v>
      </c>
      <c r="AQ2497" s="542" t="str">
        <f t="shared" si="498"/>
        <v>无定金+无預留客戶</v>
      </c>
      <c r="AR2497" s="259" t="str">
        <f t="shared" si="500"/>
        <v/>
      </c>
      <c r="AS2497" s="259" t="str">
        <f t="shared" si="501"/>
        <v/>
      </c>
      <c r="AT2497" s="259" t="b">
        <f t="shared" si="495"/>
        <v>0</v>
      </c>
      <c r="AU2497" s="259" t="b">
        <f t="shared" si="496"/>
        <v>0</v>
      </c>
      <c r="AV2497" s="259" t="str">
        <f t="shared" si="497"/>
        <v>-</v>
      </c>
    </row>
    <row r="2498" spans="41:48">
      <c r="AO2498" s="824" t="str">
        <f t="shared" ref="AO2498:AO2532" si="502">IFERROR(IF(Y2498&lt;&gt;"",Y2498,"No"),"No")</f>
        <v>No</v>
      </c>
      <c r="AP2498" s="259" t="str">
        <f t="shared" si="499"/>
        <v>blank</v>
      </c>
      <c r="AQ2498" s="542" t="str">
        <f t="shared" si="498"/>
        <v>无定金+无預留客戶</v>
      </c>
      <c r="AR2498" s="259" t="str">
        <f t="shared" si="500"/>
        <v/>
      </c>
      <c r="AS2498" s="259" t="str">
        <f t="shared" si="501"/>
        <v/>
      </c>
      <c r="AT2498" s="259" t="b">
        <f t="shared" ref="AT2498:AT2532" si="503">IFERROR(IF(R2498&lt;&gt;"",R2498),"-")</f>
        <v>0</v>
      </c>
      <c r="AU2498" s="259" t="b">
        <f t="shared" ref="AU2498:AU2532" si="504">IFERROR(IF(Q2498&lt;&gt;"",Q2498),"-")</f>
        <v>0</v>
      </c>
      <c r="AV2498" s="259" t="str">
        <f t="shared" ref="AV2498:AV2532" si="505">IF(L2498="","-",TEXT(L2498,"mmm-dd"))</f>
        <v>-</v>
      </c>
    </row>
    <row r="2499" spans="41:48">
      <c r="AO2499" s="824" t="str">
        <f t="shared" si="502"/>
        <v>No</v>
      </c>
      <c r="AP2499" s="259" t="str">
        <f t="shared" si="499"/>
        <v>blank</v>
      </c>
      <c r="AQ2499" s="542" t="str">
        <f t="shared" ref="AQ2499:AQ2532" si="506">IFERROR(IF(AND(AO2499="Yes", AP2499&lt;&gt;"blank"), "有定金+有預留客戶", IF(AND(AO2499="Yes", AP2499="blank"), "有定金+无客戶送貨期", IF(AND(OR(AO2499="No", ISBLANK(AO2499), AO2499="NA"), AP2499&lt;&gt;"blank"), "无定金+有預留客戶", IF(AND(OR(AO2499="No", ISBLANK(AO2499), AO2499="NA"), AP2499="blank"), "无定金+无預留客戶", "")))), "")</f>
        <v>无定金+无預留客戶</v>
      </c>
      <c r="AR2499" s="259" t="str">
        <f t="shared" si="500"/>
        <v/>
      </c>
      <c r="AS2499" s="259" t="str">
        <f t="shared" si="501"/>
        <v/>
      </c>
      <c r="AT2499" s="259" t="b">
        <f t="shared" si="503"/>
        <v>0</v>
      </c>
      <c r="AU2499" s="259" t="b">
        <f t="shared" si="504"/>
        <v>0</v>
      </c>
      <c r="AV2499" s="259" t="str">
        <f t="shared" si="505"/>
        <v>-</v>
      </c>
    </row>
    <row r="2500" spans="41:48">
      <c r="AO2500" s="824" t="str">
        <f t="shared" si="502"/>
        <v>No</v>
      </c>
      <c r="AP2500" s="259" t="str">
        <f t="shared" si="499"/>
        <v>blank</v>
      </c>
      <c r="AQ2500" s="542" t="str">
        <f t="shared" si="506"/>
        <v>无定金+无預留客戶</v>
      </c>
      <c r="AR2500" s="259" t="str">
        <f t="shared" si="500"/>
        <v/>
      </c>
      <c r="AS2500" s="259" t="str">
        <f t="shared" si="501"/>
        <v/>
      </c>
      <c r="AT2500" s="259" t="b">
        <f t="shared" si="503"/>
        <v>0</v>
      </c>
      <c r="AU2500" s="259" t="b">
        <f t="shared" si="504"/>
        <v>0</v>
      </c>
      <c r="AV2500" s="259" t="str">
        <f t="shared" si="505"/>
        <v>-</v>
      </c>
    </row>
    <row r="2501" spans="41:48">
      <c r="AO2501" s="824" t="str">
        <f t="shared" si="502"/>
        <v>No</v>
      </c>
      <c r="AP2501" s="259" t="str">
        <f t="shared" si="499"/>
        <v>blank</v>
      </c>
      <c r="AQ2501" s="542" t="str">
        <f t="shared" si="506"/>
        <v>无定金+无預留客戶</v>
      </c>
      <c r="AR2501" s="259" t="str">
        <f t="shared" si="500"/>
        <v/>
      </c>
      <c r="AS2501" s="259" t="str">
        <f t="shared" si="501"/>
        <v/>
      </c>
      <c r="AT2501" s="259" t="b">
        <f t="shared" si="503"/>
        <v>0</v>
      </c>
      <c r="AU2501" s="259" t="b">
        <f t="shared" si="504"/>
        <v>0</v>
      </c>
      <c r="AV2501" s="259" t="str">
        <f t="shared" si="505"/>
        <v>-</v>
      </c>
    </row>
    <row r="2502" spans="41:48">
      <c r="AO2502" s="824" t="str">
        <f t="shared" si="502"/>
        <v>No</v>
      </c>
      <c r="AP2502" s="259" t="str">
        <f t="shared" ref="AP2502:AP2503" si="507">IFERROR(IF(N2502&lt;&gt;"",N2502,"blank"),"NA")</f>
        <v>blank</v>
      </c>
      <c r="AQ2502" s="542" t="str">
        <f t="shared" si="506"/>
        <v>无定金+无預留客戶</v>
      </c>
      <c r="AR2502" s="259" t="str">
        <f t="shared" si="500"/>
        <v/>
      </c>
      <c r="AS2502" s="259" t="str">
        <f t="shared" si="501"/>
        <v/>
      </c>
      <c r="AT2502" s="259" t="b">
        <f t="shared" si="503"/>
        <v>0</v>
      </c>
      <c r="AU2502" s="259" t="b">
        <f t="shared" si="504"/>
        <v>0</v>
      </c>
      <c r="AV2502" s="259" t="str">
        <f t="shared" si="505"/>
        <v>-</v>
      </c>
    </row>
    <row r="2503" spans="41:48">
      <c r="AO2503" s="824" t="str">
        <f t="shared" si="502"/>
        <v>No</v>
      </c>
      <c r="AP2503" s="259" t="str">
        <f t="shared" si="507"/>
        <v>blank</v>
      </c>
      <c r="AQ2503" s="542" t="str">
        <f t="shared" si="506"/>
        <v>无定金+无預留客戶</v>
      </c>
      <c r="AR2503" s="259" t="str">
        <f t="shared" si="500"/>
        <v/>
      </c>
      <c r="AS2503" s="259" t="str">
        <f t="shared" si="501"/>
        <v/>
      </c>
      <c r="AT2503" s="259" t="b">
        <f t="shared" si="503"/>
        <v>0</v>
      </c>
      <c r="AU2503" s="259" t="b">
        <f t="shared" si="504"/>
        <v>0</v>
      </c>
      <c r="AV2503" s="259" t="str">
        <f t="shared" si="505"/>
        <v>-</v>
      </c>
    </row>
    <row r="2504" spans="41:48">
      <c r="AO2504" s="824" t="str">
        <f t="shared" si="502"/>
        <v>No</v>
      </c>
      <c r="AP2504" s="259" t="str">
        <f t="shared" ref="AP2504:AP2532" si="508">IFERROR(IF(N2504&lt;&gt;"",N2504,"blank"),"NA")</f>
        <v>blank</v>
      </c>
      <c r="AQ2504" s="542" t="str">
        <f t="shared" si="506"/>
        <v>无定金+无預留客戶</v>
      </c>
      <c r="AR2504" s="259" t="str">
        <f t="shared" si="500"/>
        <v/>
      </c>
      <c r="AS2504" s="839" t="str">
        <f t="shared" si="501"/>
        <v/>
      </c>
      <c r="AT2504" s="259" t="b">
        <f t="shared" si="503"/>
        <v>0</v>
      </c>
      <c r="AU2504" s="259" t="b">
        <f t="shared" si="504"/>
        <v>0</v>
      </c>
      <c r="AV2504" s="259" t="str">
        <f t="shared" si="505"/>
        <v>-</v>
      </c>
    </row>
    <row r="2505" spans="41:48">
      <c r="AO2505" s="824" t="str">
        <f t="shared" si="502"/>
        <v>No</v>
      </c>
      <c r="AP2505" s="259" t="str">
        <f t="shared" si="508"/>
        <v>blank</v>
      </c>
      <c r="AQ2505" s="542" t="str">
        <f t="shared" si="506"/>
        <v>无定金+无預留客戶</v>
      </c>
      <c r="AR2505" s="259" t="str">
        <f t="shared" si="500"/>
        <v/>
      </c>
      <c r="AS2505" s="839" t="str">
        <f t="shared" si="501"/>
        <v/>
      </c>
      <c r="AT2505" s="259" t="b">
        <f t="shared" si="503"/>
        <v>0</v>
      </c>
      <c r="AU2505" s="259" t="b">
        <f t="shared" si="504"/>
        <v>0</v>
      </c>
      <c r="AV2505" s="259" t="str">
        <f t="shared" si="505"/>
        <v>-</v>
      </c>
    </row>
    <row r="2506" spans="41:48">
      <c r="AO2506" s="824" t="str">
        <f t="shared" si="502"/>
        <v>No</v>
      </c>
      <c r="AP2506" s="259" t="str">
        <f t="shared" si="508"/>
        <v>blank</v>
      </c>
      <c r="AQ2506" s="542" t="str">
        <f t="shared" si="506"/>
        <v>无定金+无預留客戶</v>
      </c>
      <c r="AR2506" s="259" t="str">
        <f t="shared" si="500"/>
        <v/>
      </c>
      <c r="AS2506" s="839" t="str">
        <f t="shared" si="501"/>
        <v/>
      </c>
      <c r="AT2506" s="259" t="b">
        <f t="shared" si="503"/>
        <v>0</v>
      </c>
      <c r="AU2506" s="259" t="b">
        <f t="shared" si="504"/>
        <v>0</v>
      </c>
      <c r="AV2506" s="259" t="str">
        <f t="shared" si="505"/>
        <v>-</v>
      </c>
    </row>
    <row r="2507" spans="41:48">
      <c r="AO2507" s="824" t="str">
        <f t="shared" si="502"/>
        <v>No</v>
      </c>
      <c r="AP2507" s="259" t="str">
        <f t="shared" si="508"/>
        <v>blank</v>
      </c>
      <c r="AQ2507" s="542" t="str">
        <f t="shared" si="506"/>
        <v>无定金+无預留客戶</v>
      </c>
      <c r="AR2507" s="259" t="str">
        <f t="shared" si="500"/>
        <v/>
      </c>
      <c r="AS2507" s="839" t="str">
        <f t="shared" si="501"/>
        <v/>
      </c>
      <c r="AT2507" s="259" t="b">
        <f t="shared" si="503"/>
        <v>0</v>
      </c>
      <c r="AU2507" s="259" t="b">
        <f t="shared" si="504"/>
        <v>0</v>
      </c>
      <c r="AV2507" s="259" t="str">
        <f t="shared" si="505"/>
        <v>-</v>
      </c>
    </row>
    <row r="2508" spans="41:48">
      <c r="AO2508" s="824" t="str">
        <f t="shared" si="502"/>
        <v>No</v>
      </c>
      <c r="AP2508" s="259" t="str">
        <f t="shared" si="508"/>
        <v>blank</v>
      </c>
      <c r="AQ2508" s="542" t="str">
        <f t="shared" si="506"/>
        <v>无定金+无預留客戶</v>
      </c>
      <c r="AR2508" s="259" t="str">
        <f t="shared" si="500"/>
        <v/>
      </c>
      <c r="AS2508" s="839" t="str">
        <f t="shared" si="501"/>
        <v/>
      </c>
      <c r="AT2508" s="259" t="b">
        <f t="shared" si="503"/>
        <v>0</v>
      </c>
      <c r="AU2508" s="259" t="b">
        <f t="shared" si="504"/>
        <v>0</v>
      </c>
      <c r="AV2508" s="259" t="str">
        <f t="shared" si="505"/>
        <v>-</v>
      </c>
    </row>
    <row r="2509" spans="41:48">
      <c r="AO2509" s="824" t="str">
        <f t="shared" si="502"/>
        <v>No</v>
      </c>
      <c r="AP2509" s="259" t="str">
        <f t="shared" si="508"/>
        <v>blank</v>
      </c>
      <c r="AQ2509" s="542" t="str">
        <f t="shared" si="506"/>
        <v>无定金+无預留客戶</v>
      </c>
      <c r="AR2509" s="259" t="str">
        <f t="shared" si="500"/>
        <v/>
      </c>
      <c r="AS2509" s="839" t="str">
        <f t="shared" si="501"/>
        <v/>
      </c>
      <c r="AT2509" s="259" t="b">
        <f t="shared" si="503"/>
        <v>0</v>
      </c>
      <c r="AU2509" s="259" t="b">
        <f t="shared" si="504"/>
        <v>0</v>
      </c>
      <c r="AV2509" s="259" t="str">
        <f t="shared" si="505"/>
        <v>-</v>
      </c>
    </row>
    <row r="2510" spans="41:48">
      <c r="AO2510" s="824" t="str">
        <f t="shared" si="502"/>
        <v>No</v>
      </c>
      <c r="AP2510" s="259" t="str">
        <f t="shared" si="508"/>
        <v>blank</v>
      </c>
      <c r="AQ2510" s="542" t="str">
        <f t="shared" si="506"/>
        <v>无定金+无預留客戶</v>
      </c>
      <c r="AR2510" s="259" t="str">
        <f t="shared" si="500"/>
        <v/>
      </c>
      <c r="AS2510" s="839" t="str">
        <f t="shared" si="501"/>
        <v/>
      </c>
      <c r="AT2510" s="259" t="b">
        <f t="shared" si="503"/>
        <v>0</v>
      </c>
      <c r="AU2510" s="259" t="b">
        <f t="shared" si="504"/>
        <v>0</v>
      </c>
      <c r="AV2510" s="259" t="str">
        <f t="shared" si="505"/>
        <v>-</v>
      </c>
    </row>
    <row r="2511" spans="41:48">
      <c r="AO2511" s="824" t="str">
        <f t="shared" si="502"/>
        <v>No</v>
      </c>
      <c r="AP2511" s="259" t="str">
        <f t="shared" si="508"/>
        <v>blank</v>
      </c>
      <c r="AQ2511" s="542" t="str">
        <f t="shared" si="506"/>
        <v>无定金+无預留客戶</v>
      </c>
      <c r="AR2511" s="259" t="str">
        <f t="shared" si="500"/>
        <v/>
      </c>
      <c r="AS2511" s="839" t="str">
        <f t="shared" si="501"/>
        <v/>
      </c>
      <c r="AT2511" s="259" t="b">
        <f t="shared" si="503"/>
        <v>0</v>
      </c>
      <c r="AU2511" s="259" t="b">
        <f t="shared" si="504"/>
        <v>0</v>
      </c>
      <c r="AV2511" s="259" t="str">
        <f t="shared" si="505"/>
        <v>-</v>
      </c>
    </row>
    <row r="2512" spans="41:48">
      <c r="AO2512" s="824" t="str">
        <f t="shared" si="502"/>
        <v>No</v>
      </c>
      <c r="AP2512" s="259" t="str">
        <f t="shared" si="508"/>
        <v>blank</v>
      </c>
      <c r="AQ2512" s="542" t="str">
        <f t="shared" si="506"/>
        <v>无定金+无預留客戶</v>
      </c>
      <c r="AR2512" s="259" t="str">
        <f t="shared" si="500"/>
        <v/>
      </c>
      <c r="AS2512" s="839" t="str">
        <f t="shared" si="501"/>
        <v/>
      </c>
      <c r="AT2512" s="259" t="b">
        <f t="shared" si="503"/>
        <v>0</v>
      </c>
      <c r="AU2512" s="259" t="b">
        <f t="shared" si="504"/>
        <v>0</v>
      </c>
      <c r="AV2512" s="259" t="str">
        <f t="shared" si="505"/>
        <v>-</v>
      </c>
    </row>
    <row r="2513" spans="41:48">
      <c r="AO2513" s="824" t="str">
        <f t="shared" si="502"/>
        <v>No</v>
      </c>
      <c r="AP2513" s="259" t="str">
        <f t="shared" si="508"/>
        <v>blank</v>
      </c>
      <c r="AQ2513" s="542" t="str">
        <f t="shared" si="506"/>
        <v>无定金+无預留客戶</v>
      </c>
      <c r="AR2513" s="259" t="str">
        <f t="shared" si="500"/>
        <v/>
      </c>
      <c r="AS2513" s="839" t="str">
        <f t="shared" si="501"/>
        <v/>
      </c>
      <c r="AT2513" s="259" t="b">
        <f t="shared" si="503"/>
        <v>0</v>
      </c>
      <c r="AU2513" s="259" t="b">
        <f t="shared" si="504"/>
        <v>0</v>
      </c>
      <c r="AV2513" s="259" t="str">
        <f t="shared" si="505"/>
        <v>-</v>
      </c>
    </row>
    <row r="2514" spans="41:48">
      <c r="AO2514" s="824" t="str">
        <f t="shared" si="502"/>
        <v>No</v>
      </c>
      <c r="AP2514" s="259" t="str">
        <f t="shared" si="508"/>
        <v>blank</v>
      </c>
      <c r="AQ2514" s="542" t="str">
        <f t="shared" si="506"/>
        <v>无定金+无預留客戶</v>
      </c>
      <c r="AR2514" s="259" t="str">
        <f t="shared" si="500"/>
        <v/>
      </c>
      <c r="AS2514" s="839" t="str">
        <f t="shared" si="501"/>
        <v/>
      </c>
      <c r="AT2514" s="259" t="b">
        <f t="shared" si="503"/>
        <v>0</v>
      </c>
      <c r="AU2514" s="259" t="b">
        <f t="shared" si="504"/>
        <v>0</v>
      </c>
      <c r="AV2514" s="259" t="str">
        <f t="shared" si="505"/>
        <v>-</v>
      </c>
    </row>
    <row r="2515" spans="41:48">
      <c r="AO2515" s="824" t="str">
        <f t="shared" si="502"/>
        <v>No</v>
      </c>
      <c r="AP2515" s="259" t="str">
        <f t="shared" si="508"/>
        <v>blank</v>
      </c>
      <c r="AQ2515" s="542" t="str">
        <f t="shared" si="506"/>
        <v>无定金+无預留客戶</v>
      </c>
      <c r="AR2515" s="259" t="str">
        <f t="shared" si="500"/>
        <v/>
      </c>
      <c r="AS2515" s="839" t="str">
        <f t="shared" si="501"/>
        <v/>
      </c>
      <c r="AT2515" s="259" t="b">
        <f t="shared" si="503"/>
        <v>0</v>
      </c>
      <c r="AU2515" s="259" t="b">
        <f t="shared" si="504"/>
        <v>0</v>
      </c>
      <c r="AV2515" s="259" t="str">
        <f t="shared" si="505"/>
        <v>-</v>
      </c>
    </row>
    <row r="2516" spans="41:48">
      <c r="AO2516" s="824" t="str">
        <f t="shared" si="502"/>
        <v>No</v>
      </c>
      <c r="AP2516" s="259" t="str">
        <f t="shared" si="508"/>
        <v>blank</v>
      </c>
      <c r="AQ2516" s="542" t="str">
        <f t="shared" si="506"/>
        <v>无定金+无預留客戶</v>
      </c>
      <c r="AR2516" s="259" t="str">
        <f t="shared" si="500"/>
        <v/>
      </c>
      <c r="AS2516" s="839" t="str">
        <f t="shared" si="501"/>
        <v/>
      </c>
      <c r="AT2516" s="259" t="b">
        <f t="shared" si="503"/>
        <v>0</v>
      </c>
      <c r="AU2516" s="259" t="b">
        <f t="shared" si="504"/>
        <v>0</v>
      </c>
      <c r="AV2516" s="259" t="str">
        <f t="shared" si="505"/>
        <v>-</v>
      </c>
    </row>
    <row r="2517" spans="41:48">
      <c r="AO2517" s="824" t="str">
        <f t="shared" si="502"/>
        <v>No</v>
      </c>
      <c r="AP2517" s="259" t="str">
        <f t="shared" si="508"/>
        <v>blank</v>
      </c>
      <c r="AQ2517" s="542" t="str">
        <f t="shared" si="506"/>
        <v>无定金+无預留客戶</v>
      </c>
      <c r="AR2517" s="259" t="str">
        <f t="shared" si="500"/>
        <v/>
      </c>
      <c r="AS2517" s="839" t="str">
        <f t="shared" si="501"/>
        <v/>
      </c>
      <c r="AT2517" s="259" t="b">
        <f t="shared" si="503"/>
        <v>0</v>
      </c>
      <c r="AU2517" s="259" t="b">
        <f t="shared" si="504"/>
        <v>0</v>
      </c>
      <c r="AV2517" s="259" t="str">
        <f t="shared" si="505"/>
        <v>-</v>
      </c>
    </row>
    <row r="2518" spans="41:48">
      <c r="AO2518" s="824" t="str">
        <f t="shared" si="502"/>
        <v>No</v>
      </c>
      <c r="AP2518" s="259" t="str">
        <f t="shared" si="508"/>
        <v>blank</v>
      </c>
      <c r="AQ2518" s="542" t="str">
        <f t="shared" si="506"/>
        <v>无定金+无預留客戶</v>
      </c>
      <c r="AR2518" s="259" t="str">
        <f t="shared" si="500"/>
        <v/>
      </c>
      <c r="AS2518" s="839" t="str">
        <f t="shared" si="501"/>
        <v/>
      </c>
      <c r="AT2518" s="259" t="b">
        <f t="shared" si="503"/>
        <v>0</v>
      </c>
      <c r="AU2518" s="259" t="b">
        <f t="shared" si="504"/>
        <v>0</v>
      </c>
      <c r="AV2518" s="259" t="str">
        <f t="shared" si="505"/>
        <v>-</v>
      </c>
    </row>
    <row r="2519" spans="41:48">
      <c r="AO2519" s="824" t="str">
        <f t="shared" si="502"/>
        <v>No</v>
      </c>
      <c r="AP2519" s="259" t="str">
        <f t="shared" si="508"/>
        <v>blank</v>
      </c>
      <c r="AQ2519" s="542" t="str">
        <f t="shared" si="506"/>
        <v>无定金+无預留客戶</v>
      </c>
      <c r="AR2519" s="259" t="str">
        <f t="shared" si="500"/>
        <v/>
      </c>
      <c r="AS2519" s="839" t="str">
        <f t="shared" si="501"/>
        <v/>
      </c>
      <c r="AT2519" s="259" t="b">
        <f t="shared" si="503"/>
        <v>0</v>
      </c>
      <c r="AU2519" s="259" t="b">
        <f t="shared" si="504"/>
        <v>0</v>
      </c>
      <c r="AV2519" s="259" t="str">
        <f t="shared" si="505"/>
        <v>-</v>
      </c>
    </row>
    <row r="2520" spans="41:48">
      <c r="AO2520" s="824" t="str">
        <f t="shared" si="502"/>
        <v>No</v>
      </c>
      <c r="AP2520" s="259" t="str">
        <f t="shared" si="508"/>
        <v>blank</v>
      </c>
      <c r="AQ2520" s="542" t="str">
        <f t="shared" si="506"/>
        <v>无定金+无預留客戶</v>
      </c>
      <c r="AR2520" s="259" t="str">
        <f t="shared" si="500"/>
        <v/>
      </c>
      <c r="AS2520" s="839" t="str">
        <f t="shared" si="501"/>
        <v/>
      </c>
      <c r="AT2520" s="259" t="b">
        <f t="shared" si="503"/>
        <v>0</v>
      </c>
      <c r="AU2520" s="259" t="b">
        <f t="shared" si="504"/>
        <v>0</v>
      </c>
      <c r="AV2520" s="259" t="str">
        <f t="shared" si="505"/>
        <v>-</v>
      </c>
    </row>
    <row r="2521" spans="41:48">
      <c r="AO2521" s="824" t="str">
        <f t="shared" si="502"/>
        <v>No</v>
      </c>
      <c r="AP2521" s="259" t="str">
        <f t="shared" si="508"/>
        <v>blank</v>
      </c>
      <c r="AQ2521" s="542" t="str">
        <f t="shared" si="506"/>
        <v>无定金+无預留客戶</v>
      </c>
      <c r="AR2521" s="259" t="str">
        <f t="shared" si="500"/>
        <v/>
      </c>
      <c r="AS2521" s="839" t="str">
        <f t="shared" si="501"/>
        <v/>
      </c>
      <c r="AT2521" s="259" t="b">
        <f t="shared" si="503"/>
        <v>0</v>
      </c>
      <c r="AU2521" s="259" t="b">
        <f t="shared" si="504"/>
        <v>0</v>
      </c>
      <c r="AV2521" s="259" t="str">
        <f t="shared" si="505"/>
        <v>-</v>
      </c>
    </row>
    <row r="2522" spans="41:48">
      <c r="AO2522" s="824" t="str">
        <f t="shared" si="502"/>
        <v>No</v>
      </c>
      <c r="AP2522" s="259" t="str">
        <f t="shared" si="508"/>
        <v>blank</v>
      </c>
      <c r="AQ2522" s="542" t="str">
        <f t="shared" si="506"/>
        <v>无定金+无預留客戶</v>
      </c>
      <c r="AR2522" s="259" t="str">
        <f t="shared" si="500"/>
        <v/>
      </c>
      <c r="AS2522" s="839" t="str">
        <f t="shared" si="501"/>
        <v/>
      </c>
      <c r="AT2522" s="259" t="b">
        <f t="shared" si="503"/>
        <v>0</v>
      </c>
      <c r="AU2522" s="259" t="b">
        <f t="shared" si="504"/>
        <v>0</v>
      </c>
      <c r="AV2522" s="259" t="str">
        <f t="shared" si="505"/>
        <v>-</v>
      </c>
    </row>
    <row r="2523" spans="41:48">
      <c r="AO2523" s="824" t="str">
        <f t="shared" si="502"/>
        <v>No</v>
      </c>
      <c r="AP2523" s="259" t="str">
        <f t="shared" si="508"/>
        <v>blank</v>
      </c>
      <c r="AQ2523" s="542" t="str">
        <f t="shared" si="506"/>
        <v>无定金+无預留客戶</v>
      </c>
      <c r="AR2523" s="259" t="str">
        <f t="shared" si="500"/>
        <v/>
      </c>
      <c r="AS2523" s="839" t="str">
        <f t="shared" si="501"/>
        <v/>
      </c>
      <c r="AT2523" s="259" t="b">
        <f t="shared" si="503"/>
        <v>0</v>
      </c>
      <c r="AU2523" s="259" t="b">
        <f t="shared" si="504"/>
        <v>0</v>
      </c>
      <c r="AV2523" s="259" t="str">
        <f t="shared" si="505"/>
        <v>-</v>
      </c>
    </row>
    <row r="2524" spans="41:48">
      <c r="AO2524" s="824" t="str">
        <f t="shared" si="502"/>
        <v>No</v>
      </c>
      <c r="AP2524" s="259" t="str">
        <f t="shared" si="508"/>
        <v>blank</v>
      </c>
      <c r="AQ2524" s="542" t="str">
        <f t="shared" si="506"/>
        <v>无定金+无預留客戶</v>
      </c>
      <c r="AR2524" s="259" t="str">
        <f t="shared" si="500"/>
        <v/>
      </c>
      <c r="AS2524" s="839" t="str">
        <f t="shared" si="501"/>
        <v/>
      </c>
      <c r="AT2524" s="259" t="b">
        <f t="shared" si="503"/>
        <v>0</v>
      </c>
      <c r="AU2524" s="259" t="b">
        <f t="shared" si="504"/>
        <v>0</v>
      </c>
      <c r="AV2524" s="259" t="str">
        <f t="shared" si="505"/>
        <v>-</v>
      </c>
    </row>
    <row r="2525" spans="41:48">
      <c r="AO2525" s="824" t="str">
        <f t="shared" si="502"/>
        <v>No</v>
      </c>
      <c r="AP2525" s="259" t="str">
        <f t="shared" si="508"/>
        <v>blank</v>
      </c>
      <c r="AQ2525" s="542" t="str">
        <f t="shared" si="506"/>
        <v>无定金+无預留客戶</v>
      </c>
      <c r="AR2525" s="259" t="str">
        <f t="shared" si="500"/>
        <v/>
      </c>
      <c r="AS2525" s="839" t="str">
        <f t="shared" si="501"/>
        <v/>
      </c>
      <c r="AT2525" s="259" t="b">
        <f t="shared" si="503"/>
        <v>0</v>
      </c>
      <c r="AU2525" s="259" t="b">
        <f t="shared" si="504"/>
        <v>0</v>
      </c>
      <c r="AV2525" s="259" t="str">
        <f t="shared" si="505"/>
        <v>-</v>
      </c>
    </row>
    <row r="2526" spans="41:48">
      <c r="AO2526" s="824" t="str">
        <f t="shared" si="502"/>
        <v>No</v>
      </c>
      <c r="AP2526" s="259" t="str">
        <f t="shared" si="508"/>
        <v>blank</v>
      </c>
      <c r="AQ2526" s="542" t="str">
        <f t="shared" si="506"/>
        <v>无定金+无預留客戶</v>
      </c>
      <c r="AR2526" s="259" t="str">
        <f t="shared" si="500"/>
        <v/>
      </c>
      <c r="AS2526" s="839" t="str">
        <f t="shared" si="501"/>
        <v/>
      </c>
      <c r="AT2526" s="259" t="b">
        <f t="shared" si="503"/>
        <v>0</v>
      </c>
      <c r="AU2526" s="259" t="b">
        <f t="shared" si="504"/>
        <v>0</v>
      </c>
      <c r="AV2526" s="259" t="str">
        <f t="shared" si="505"/>
        <v>-</v>
      </c>
    </row>
    <row r="2527" spans="41:48">
      <c r="AO2527" s="824" t="str">
        <f t="shared" si="502"/>
        <v>No</v>
      </c>
      <c r="AP2527" s="259" t="str">
        <f t="shared" si="508"/>
        <v>blank</v>
      </c>
      <c r="AQ2527" s="542" t="str">
        <f t="shared" si="506"/>
        <v>无定金+无預留客戶</v>
      </c>
      <c r="AR2527" s="259" t="str">
        <f t="shared" si="500"/>
        <v/>
      </c>
      <c r="AS2527" s="839" t="str">
        <f t="shared" si="501"/>
        <v/>
      </c>
      <c r="AT2527" s="259" t="b">
        <f t="shared" si="503"/>
        <v>0</v>
      </c>
      <c r="AU2527" s="259" t="b">
        <f t="shared" si="504"/>
        <v>0</v>
      </c>
      <c r="AV2527" s="259" t="str">
        <f t="shared" si="505"/>
        <v>-</v>
      </c>
    </row>
    <row r="2528" spans="41:48">
      <c r="AO2528" s="824" t="str">
        <f t="shared" si="502"/>
        <v>No</v>
      </c>
      <c r="AP2528" s="259" t="str">
        <f t="shared" si="508"/>
        <v>blank</v>
      </c>
      <c r="AQ2528" s="542" t="str">
        <f t="shared" si="506"/>
        <v>无定金+无預留客戶</v>
      </c>
      <c r="AR2528" s="259" t="str">
        <f t="shared" si="500"/>
        <v/>
      </c>
      <c r="AS2528" s="839" t="str">
        <f t="shared" si="501"/>
        <v/>
      </c>
      <c r="AT2528" s="259" t="b">
        <f t="shared" si="503"/>
        <v>0</v>
      </c>
      <c r="AU2528" s="259" t="b">
        <f t="shared" si="504"/>
        <v>0</v>
      </c>
      <c r="AV2528" s="259" t="str">
        <f t="shared" si="505"/>
        <v>-</v>
      </c>
    </row>
    <row r="2529" spans="41:48">
      <c r="AO2529" s="824" t="str">
        <f t="shared" si="502"/>
        <v>No</v>
      </c>
      <c r="AP2529" s="259" t="str">
        <f t="shared" si="508"/>
        <v>blank</v>
      </c>
      <c r="AQ2529" s="542" t="str">
        <f t="shared" si="506"/>
        <v>无定金+无預留客戶</v>
      </c>
      <c r="AR2529" s="259" t="str">
        <f t="shared" si="500"/>
        <v/>
      </c>
      <c r="AS2529" s="839" t="str">
        <f t="shared" si="501"/>
        <v/>
      </c>
      <c r="AT2529" s="259" t="b">
        <f t="shared" si="503"/>
        <v>0</v>
      </c>
      <c r="AU2529" s="259" t="b">
        <f t="shared" si="504"/>
        <v>0</v>
      </c>
      <c r="AV2529" s="259" t="str">
        <f t="shared" si="505"/>
        <v>-</v>
      </c>
    </row>
    <row r="2530" spans="41:48">
      <c r="AO2530" s="824" t="str">
        <f t="shared" si="502"/>
        <v>No</v>
      </c>
      <c r="AP2530" s="259" t="str">
        <f t="shared" si="508"/>
        <v>blank</v>
      </c>
      <c r="AQ2530" s="542" t="str">
        <f t="shared" si="506"/>
        <v>无定金+无預留客戶</v>
      </c>
      <c r="AR2530" s="259" t="str">
        <f t="shared" si="500"/>
        <v/>
      </c>
      <c r="AS2530" s="839" t="str">
        <f t="shared" si="501"/>
        <v/>
      </c>
      <c r="AT2530" s="259" t="b">
        <f t="shared" si="503"/>
        <v>0</v>
      </c>
      <c r="AU2530" s="259" t="b">
        <f t="shared" si="504"/>
        <v>0</v>
      </c>
      <c r="AV2530" s="259" t="str">
        <f t="shared" si="505"/>
        <v>-</v>
      </c>
    </row>
    <row r="2531" spans="41:48">
      <c r="AO2531" s="824" t="str">
        <f t="shared" si="502"/>
        <v>No</v>
      </c>
      <c r="AP2531" s="259" t="str">
        <f t="shared" si="508"/>
        <v>blank</v>
      </c>
      <c r="AQ2531" s="542" t="str">
        <f t="shared" si="506"/>
        <v>无定金+无預留客戶</v>
      </c>
      <c r="AR2531" s="259" t="str">
        <f t="shared" si="500"/>
        <v/>
      </c>
      <c r="AS2531" s="839" t="str">
        <f t="shared" si="501"/>
        <v/>
      </c>
      <c r="AT2531" s="259" t="b">
        <f t="shared" si="503"/>
        <v>0</v>
      </c>
      <c r="AU2531" s="259" t="b">
        <f t="shared" si="504"/>
        <v>0</v>
      </c>
      <c r="AV2531" s="259" t="str">
        <f t="shared" si="505"/>
        <v>-</v>
      </c>
    </row>
    <row r="2532" spans="41:48">
      <c r="AO2532" s="824" t="str">
        <f t="shared" si="502"/>
        <v>No</v>
      </c>
      <c r="AP2532" s="259" t="str">
        <f t="shared" si="508"/>
        <v>blank</v>
      </c>
      <c r="AQ2532" s="542" t="str">
        <f t="shared" si="506"/>
        <v>无定金+无預留客戶</v>
      </c>
      <c r="AR2532" s="259" t="str">
        <f t="shared" si="500"/>
        <v/>
      </c>
      <c r="AS2532" s="839" t="str">
        <f t="shared" si="501"/>
        <v/>
      </c>
      <c r="AT2532" s="259" t="b">
        <f t="shared" si="503"/>
        <v>0</v>
      </c>
      <c r="AU2532" s="259" t="b">
        <f t="shared" si="504"/>
        <v>0</v>
      </c>
      <c r="AV2532" s="259" t="str">
        <f t="shared" si="505"/>
        <v>-</v>
      </c>
    </row>
  </sheetData>
  <sheetProtection formatCells="0" formatColumns="0" formatRows="0" insertColumns="0" insertRows="0" insertHyperlinks="0" deleteColumns="0" deleteRows="0" selectLockedCells="1" sort="0" autoFilter="0" pivotTables="0"/>
  <autoFilter ref="A1:BQ2532" xr:uid="{00000000-0001-0000-0100-000000000000}">
    <filterColumn colId="1">
      <filters blank="1">
        <filter val="TBA."/>
        <filter val="已经到货"/>
        <filter val="有交期"/>
      </filters>
    </filterColumn>
  </autoFilter>
  <sortState xmlns:xlrd2="http://schemas.microsoft.com/office/spreadsheetml/2017/richdata2" ref="A2:BR418">
    <sortCondition ref="L2:L418"/>
  </sortState>
  <phoneticPr fontId="3" type="noConversion"/>
  <conditionalFormatting sqref="V245 V274 V263:V264 V322:V324 V327:V329 V334:V335 V348:V349 V337:V338 V340 V346 V312:V317 V373 V379 V384:V387 V1:V233 V425 V391:V419 V471:V493 V514:V521 V504:V506 V500 V540:V555 V574:V576 V561:V571 V582:V601 V580 V603:V604 V606:V610 V612:V652 V657:V662 V664:V676 V678:V986 V988:V1015 V1069:V1070 V1067 V1045:V1064 V1074:V1088 V1090:V1176 V1178 V1180:V1250 V1254:V1258 V1272:V1330 V1339:V1342 V1017:V1043 V1402:V1404 V1345:V1349 V1352:V1384 V1513:V1522 V1431:V1508 V1568:V1570 V1524:V1546 V1601:V1048576">
    <cfRule type="cellIs" dxfId="2300" priority="4857" operator="equal">
      <formula>"WRONG"</formula>
    </cfRule>
  </conditionalFormatting>
  <conditionalFormatting sqref="AA89:AA101 AA136 AA103:AA113 AA116:AA134 AA150:AA168 AA175:AA180 AA186:AA188 AA79:AA86 AA204:AA218 AA245 AA183 AA274 AA263:AA264 AA222:AA230 AA195:AA201 AA220 AA192:AA193 AA138:AA147 AA322:AA324 AA329 AA348 AA334 AA340 AA317 AA319 AA379 AA384:AA387 AA5:AA77 AA391:AA419 AA479:AA480 AA514:AA521 AA504:AA506 AA500 AA540:AA555 AA574:AA576 AA561:AA571 AA582:AA601 AA580 AA603:AA604 AA606:AA610 AA612:AA652 AA657:AA662 AA664:AA676 AA678:AA986 AA988:AA1015 AA1069:AA1070 AA1067 AA1045:AA1064 AA1074:AA1088 AA1090:AA1176 AA1178 AA1180:AA1250 AA1254:AA1258 AA1272:AA1330 AA1339:AA1342 AA1017:AA1043 AA1402:AA1404 AA1345:AA1349 AA1352:AA1384 AA1518:AA1521 AA1529:AA1531 AA1534:AA1538 AA1432:AA1508 AA1568:AA1570 AA1543:AA1546 AA1601:AA1048576">
    <cfRule type="cellIs" dxfId="2299" priority="4849" operator="lessThan">
      <formula>TODAY()</formula>
    </cfRule>
    <cfRule type="cellIs" dxfId="2298" priority="4850" operator="lessThan">
      <formula>TODAY()</formula>
    </cfRule>
  </conditionalFormatting>
  <conditionalFormatting sqref="AA87:AA88">
    <cfRule type="cellIs" dxfId="2297" priority="4798" operator="lessThan">
      <formula>TODAY()</formula>
    </cfRule>
    <cfRule type="cellIs" dxfId="2296" priority="4799" operator="lessThan">
      <formula>TODAY()</formula>
    </cfRule>
  </conditionalFormatting>
  <conditionalFormatting sqref="AA102">
    <cfRule type="cellIs" dxfId="2295" priority="4796" operator="lessThan">
      <formula>TODAY()</formula>
    </cfRule>
    <cfRule type="cellIs" dxfId="2294" priority="4797" operator="lessThan">
      <formula>TODAY()</formula>
    </cfRule>
  </conditionalFormatting>
  <conditionalFormatting sqref="AA114">
    <cfRule type="cellIs" dxfId="2293" priority="4794" operator="lessThan">
      <formula>TODAY()</formula>
    </cfRule>
    <cfRule type="cellIs" dxfId="2292" priority="4795" operator="lessThan">
      <formula>TODAY()</formula>
    </cfRule>
  </conditionalFormatting>
  <conditionalFormatting sqref="AA115">
    <cfRule type="cellIs" dxfId="2291" priority="4792" operator="lessThan">
      <formula>TODAY()</formula>
    </cfRule>
    <cfRule type="cellIs" dxfId="2290" priority="4793" operator="lessThan">
      <formula>TODAY()</formula>
    </cfRule>
  </conditionalFormatting>
  <conditionalFormatting sqref="AA137 AA135">
    <cfRule type="cellIs" dxfId="2289" priority="4790" operator="lessThan">
      <formula>TODAY()</formula>
    </cfRule>
    <cfRule type="cellIs" dxfId="2288" priority="4791" operator="lessThan">
      <formula>TODAY()</formula>
    </cfRule>
  </conditionalFormatting>
  <conditionalFormatting sqref="AA184:AA185 AA148:AA149 AA169:AA172">
    <cfRule type="cellIs" dxfId="2287" priority="4788" operator="lessThan">
      <formula>TODAY()</formula>
    </cfRule>
    <cfRule type="cellIs" dxfId="2286" priority="4789" operator="lessThan">
      <formula>TODAY()</formula>
    </cfRule>
  </conditionalFormatting>
  <conditionalFormatting sqref="V254">
    <cfRule type="cellIs" dxfId="2285" priority="4759" operator="equal">
      <formula>"WRONG"</formula>
    </cfRule>
  </conditionalFormatting>
  <conditionalFormatting sqref="AA254">
    <cfRule type="cellIs" dxfId="2284" priority="4757" operator="lessThan">
      <formula>TODAY()</formula>
    </cfRule>
    <cfRule type="cellIs" dxfId="2283" priority="4758" operator="lessThan">
      <formula>TODAY()</formula>
    </cfRule>
  </conditionalFormatting>
  <conditionalFormatting sqref="V255">
    <cfRule type="cellIs" dxfId="2282" priority="4747" operator="equal">
      <formula>"WRONG"</formula>
    </cfRule>
  </conditionalFormatting>
  <conditionalFormatting sqref="AA255">
    <cfRule type="cellIs" dxfId="2281" priority="4745" operator="lessThan">
      <formula>TODAY()</formula>
    </cfRule>
    <cfRule type="cellIs" dxfId="2280" priority="4746" operator="lessThan">
      <formula>TODAY()</formula>
    </cfRule>
  </conditionalFormatting>
  <conditionalFormatting sqref="V256">
    <cfRule type="cellIs" dxfId="2279" priority="4742" operator="equal">
      <formula>"WRONG"</formula>
    </cfRule>
  </conditionalFormatting>
  <conditionalFormatting sqref="AA256">
    <cfRule type="cellIs" dxfId="2278" priority="4740" operator="lessThan">
      <formula>TODAY()</formula>
    </cfRule>
    <cfRule type="cellIs" dxfId="2277" priority="4741" operator="lessThan">
      <formula>TODAY()</formula>
    </cfRule>
  </conditionalFormatting>
  <conditionalFormatting sqref="V257">
    <cfRule type="cellIs" dxfId="2276" priority="4737" operator="equal">
      <formula>"WRONG"</formula>
    </cfRule>
  </conditionalFormatting>
  <conditionalFormatting sqref="AA257">
    <cfRule type="cellIs" dxfId="2275" priority="4735" operator="lessThan">
      <formula>TODAY()</formula>
    </cfRule>
    <cfRule type="cellIs" dxfId="2274" priority="4736" operator="lessThan">
      <formula>TODAY()</formula>
    </cfRule>
  </conditionalFormatting>
  <conditionalFormatting sqref="V258">
    <cfRule type="cellIs" dxfId="2273" priority="4732" operator="equal">
      <formula>"WRONG"</formula>
    </cfRule>
  </conditionalFormatting>
  <conditionalFormatting sqref="AA258">
    <cfRule type="cellIs" dxfId="2272" priority="4730" operator="lessThan">
      <formula>TODAY()</formula>
    </cfRule>
    <cfRule type="cellIs" dxfId="2271" priority="4731" operator="lessThan">
      <formula>TODAY()</formula>
    </cfRule>
  </conditionalFormatting>
  <conditionalFormatting sqref="V259">
    <cfRule type="cellIs" dxfId="2270" priority="4727" operator="equal">
      <formula>"WRONG"</formula>
    </cfRule>
  </conditionalFormatting>
  <conditionalFormatting sqref="AA259">
    <cfRule type="cellIs" dxfId="2269" priority="4725" operator="lessThan">
      <formula>TODAY()</formula>
    </cfRule>
    <cfRule type="cellIs" dxfId="2268" priority="4726" operator="lessThan">
      <formula>TODAY()</formula>
    </cfRule>
  </conditionalFormatting>
  <conditionalFormatting sqref="V260:V262">
    <cfRule type="cellIs" dxfId="2267" priority="4702" operator="equal">
      <formula>"WRONG"</formula>
    </cfRule>
  </conditionalFormatting>
  <conditionalFormatting sqref="AA260 AA262">
    <cfRule type="cellIs" dxfId="2266" priority="4700" operator="lessThan">
      <formula>TODAY()</formula>
    </cfRule>
    <cfRule type="cellIs" dxfId="2265" priority="4701" operator="lessThan">
      <formula>TODAY()</formula>
    </cfRule>
  </conditionalFormatting>
  <conditionalFormatting sqref="AA202:AA203 AA78">
    <cfRule type="cellIs" dxfId="2264" priority="4688" operator="lessThan">
      <formula>TODAY()</formula>
    </cfRule>
    <cfRule type="cellIs" dxfId="2263" priority="4689" operator="lessThan">
      <formula>TODAY()</formula>
    </cfRule>
  </conditionalFormatting>
  <conditionalFormatting sqref="V242">
    <cfRule type="cellIs" dxfId="2262" priority="4683" operator="equal">
      <formula>"WRONG"</formula>
    </cfRule>
  </conditionalFormatting>
  <conditionalFormatting sqref="AA242">
    <cfRule type="cellIs" dxfId="2261" priority="4681" operator="lessThan">
      <formula>TODAY()</formula>
    </cfRule>
    <cfRule type="cellIs" dxfId="2260" priority="4682" operator="lessThan">
      <formula>TODAY()</formula>
    </cfRule>
  </conditionalFormatting>
  <conditionalFormatting sqref="V243">
    <cfRule type="cellIs" dxfId="2259" priority="4678" operator="equal">
      <formula>"WRONG"</formula>
    </cfRule>
  </conditionalFormatting>
  <conditionalFormatting sqref="AA243">
    <cfRule type="cellIs" dxfId="2258" priority="4676" operator="lessThan">
      <formula>TODAY()</formula>
    </cfRule>
    <cfRule type="cellIs" dxfId="2257" priority="4677" operator="lessThan">
      <formula>TODAY()</formula>
    </cfRule>
  </conditionalFormatting>
  <conditionalFormatting sqref="V244">
    <cfRule type="cellIs" dxfId="2256" priority="4673" operator="equal">
      <formula>"WRONG"</formula>
    </cfRule>
  </conditionalFormatting>
  <conditionalFormatting sqref="AA244">
    <cfRule type="cellIs" dxfId="2255" priority="4671" operator="lessThan">
      <formula>TODAY()</formula>
    </cfRule>
    <cfRule type="cellIs" dxfId="2254" priority="4672" operator="lessThan">
      <formula>TODAY()</formula>
    </cfRule>
  </conditionalFormatting>
  <conditionalFormatting sqref="V234">
    <cfRule type="cellIs" dxfId="2253" priority="4668" operator="equal">
      <formula>"WRONG"</formula>
    </cfRule>
  </conditionalFormatting>
  <conditionalFormatting sqref="AA234">
    <cfRule type="cellIs" dxfId="2252" priority="4666" operator="lessThan">
      <formula>TODAY()</formula>
    </cfRule>
    <cfRule type="cellIs" dxfId="2251" priority="4667" operator="lessThan">
      <formula>TODAY()</formula>
    </cfRule>
  </conditionalFormatting>
  <conditionalFormatting sqref="V235:V237">
    <cfRule type="cellIs" dxfId="2250" priority="4658" operator="equal">
      <formula>"WRONG"</formula>
    </cfRule>
  </conditionalFormatting>
  <conditionalFormatting sqref="AA236:AA237">
    <cfRule type="cellIs" dxfId="2249" priority="4656" operator="lessThan">
      <formula>TODAY()</formula>
    </cfRule>
    <cfRule type="cellIs" dxfId="2248" priority="4657" operator="lessThan">
      <formula>TODAY()</formula>
    </cfRule>
  </conditionalFormatting>
  <conditionalFormatting sqref="V246">
    <cfRule type="cellIs" dxfId="2247" priority="4651" operator="equal">
      <formula>"WRONG"</formula>
    </cfRule>
  </conditionalFormatting>
  <conditionalFormatting sqref="AA246">
    <cfRule type="cellIs" dxfId="2246" priority="4649" operator="lessThan">
      <formula>TODAY()</formula>
    </cfRule>
    <cfRule type="cellIs" dxfId="2245" priority="4650" operator="lessThan">
      <formula>TODAY()</formula>
    </cfRule>
  </conditionalFormatting>
  <conditionalFormatting sqref="V247">
    <cfRule type="cellIs" dxfId="2244" priority="4646" operator="equal">
      <formula>"WRONG"</formula>
    </cfRule>
  </conditionalFormatting>
  <conditionalFormatting sqref="AA247">
    <cfRule type="cellIs" dxfId="2243" priority="4644" operator="lessThan">
      <formula>TODAY()</formula>
    </cfRule>
    <cfRule type="cellIs" dxfId="2242" priority="4645" operator="lessThan">
      <formula>TODAY()</formula>
    </cfRule>
  </conditionalFormatting>
  <conditionalFormatting sqref="V248">
    <cfRule type="cellIs" dxfId="2241" priority="4641" operator="equal">
      <formula>"WRONG"</formula>
    </cfRule>
  </conditionalFormatting>
  <conditionalFormatting sqref="AA248">
    <cfRule type="cellIs" dxfId="2240" priority="4639" operator="lessThan">
      <formula>TODAY()</formula>
    </cfRule>
    <cfRule type="cellIs" dxfId="2239" priority="4640" operator="lessThan">
      <formula>TODAY()</formula>
    </cfRule>
  </conditionalFormatting>
  <conditionalFormatting sqref="V249">
    <cfRule type="cellIs" dxfId="2238" priority="4636" operator="equal">
      <formula>"WRONG"</formula>
    </cfRule>
  </conditionalFormatting>
  <conditionalFormatting sqref="AA249">
    <cfRule type="cellIs" dxfId="2237" priority="4634" operator="lessThan">
      <formula>TODAY()</formula>
    </cfRule>
    <cfRule type="cellIs" dxfId="2236" priority="4635" operator="lessThan">
      <formula>TODAY()</formula>
    </cfRule>
  </conditionalFormatting>
  <conditionalFormatting sqref="V241">
    <cfRule type="cellIs" dxfId="2235" priority="4631" operator="equal">
      <formula>"WRONG"</formula>
    </cfRule>
  </conditionalFormatting>
  <conditionalFormatting sqref="AA241">
    <cfRule type="cellIs" dxfId="2234" priority="4629" operator="lessThan">
      <formula>TODAY()</formula>
    </cfRule>
    <cfRule type="cellIs" dxfId="2233" priority="4630" operator="lessThan">
      <formula>TODAY()</formula>
    </cfRule>
  </conditionalFormatting>
  <conditionalFormatting sqref="V238:V240">
    <cfRule type="cellIs" dxfId="2232" priority="4626" operator="equal">
      <formula>"WRONG"</formula>
    </cfRule>
  </conditionalFormatting>
  <conditionalFormatting sqref="AA238:AA240">
    <cfRule type="cellIs" dxfId="2231" priority="4624" operator="lessThan">
      <formula>TODAY()</formula>
    </cfRule>
    <cfRule type="cellIs" dxfId="2230" priority="4625" operator="lessThan">
      <formula>TODAY()</formula>
    </cfRule>
  </conditionalFormatting>
  <conditionalFormatting sqref="AA190 AA181:AA182">
    <cfRule type="cellIs" dxfId="2229" priority="4606" operator="lessThan">
      <formula>TODAY()</formula>
    </cfRule>
    <cfRule type="cellIs" dxfId="2228" priority="4607" operator="lessThan">
      <formula>TODAY()</formula>
    </cfRule>
  </conditionalFormatting>
  <conditionalFormatting sqref="V252">
    <cfRule type="cellIs" dxfId="2227" priority="4603" operator="equal">
      <formula>"WRONG"</formula>
    </cfRule>
  </conditionalFormatting>
  <conditionalFormatting sqref="AA252">
    <cfRule type="cellIs" dxfId="2226" priority="4601" operator="lessThan">
      <formula>TODAY()</formula>
    </cfRule>
    <cfRule type="cellIs" dxfId="2225" priority="4602" operator="lessThan">
      <formula>TODAY()</formula>
    </cfRule>
  </conditionalFormatting>
  <conditionalFormatting sqref="V253">
    <cfRule type="cellIs" dxfId="2224" priority="4596" operator="equal">
      <formula>"WRONG"</formula>
    </cfRule>
  </conditionalFormatting>
  <conditionalFormatting sqref="AA253">
    <cfRule type="cellIs" dxfId="2223" priority="4594" operator="lessThan">
      <formula>TODAY()</formula>
    </cfRule>
    <cfRule type="cellIs" dxfId="2222" priority="4595" operator="lessThan">
      <formula>TODAY()</formula>
    </cfRule>
  </conditionalFormatting>
  <conditionalFormatting sqref="V265">
    <cfRule type="cellIs" dxfId="2221" priority="4589" operator="equal">
      <formula>"WRONG"</formula>
    </cfRule>
  </conditionalFormatting>
  <conditionalFormatting sqref="AA265">
    <cfRule type="cellIs" dxfId="2220" priority="4587" operator="lessThan">
      <formula>TODAY()</formula>
    </cfRule>
    <cfRule type="cellIs" dxfId="2219" priority="4588" operator="lessThan">
      <formula>TODAY()</formula>
    </cfRule>
  </conditionalFormatting>
  <conditionalFormatting sqref="V266:V268">
    <cfRule type="cellIs" dxfId="2218" priority="4561" operator="equal">
      <formula>"WRONG"</formula>
    </cfRule>
  </conditionalFormatting>
  <conditionalFormatting sqref="AA266:AA268">
    <cfRule type="cellIs" dxfId="2217" priority="4559" operator="lessThan">
      <formula>TODAY()</formula>
    </cfRule>
    <cfRule type="cellIs" dxfId="2216" priority="4560" operator="lessThan">
      <formula>TODAY()</formula>
    </cfRule>
  </conditionalFormatting>
  <conditionalFormatting sqref="V269:V270">
    <cfRule type="cellIs" dxfId="2215" priority="4554" operator="equal">
      <formula>"WRONG"</formula>
    </cfRule>
  </conditionalFormatting>
  <conditionalFormatting sqref="AA269:AA270">
    <cfRule type="cellIs" dxfId="2214" priority="4552" operator="lessThan">
      <formula>TODAY()</formula>
    </cfRule>
    <cfRule type="cellIs" dxfId="2213" priority="4553" operator="lessThan">
      <formula>TODAY()</formula>
    </cfRule>
  </conditionalFormatting>
  <conditionalFormatting sqref="V271">
    <cfRule type="cellIs" dxfId="2212" priority="4547" operator="equal">
      <formula>"WRONG"</formula>
    </cfRule>
  </conditionalFormatting>
  <conditionalFormatting sqref="AA271">
    <cfRule type="cellIs" dxfId="2211" priority="4545" operator="lessThan">
      <formula>TODAY()</formula>
    </cfRule>
    <cfRule type="cellIs" dxfId="2210" priority="4546" operator="lessThan">
      <formula>TODAY()</formula>
    </cfRule>
  </conditionalFormatting>
  <conditionalFormatting sqref="V272">
    <cfRule type="cellIs" dxfId="2209" priority="4540" operator="equal">
      <formula>"WRONG"</formula>
    </cfRule>
  </conditionalFormatting>
  <conditionalFormatting sqref="AA272">
    <cfRule type="cellIs" dxfId="2208" priority="4538" operator="lessThan">
      <formula>TODAY()</formula>
    </cfRule>
    <cfRule type="cellIs" dxfId="2207" priority="4539" operator="lessThan">
      <formula>TODAY()</formula>
    </cfRule>
  </conditionalFormatting>
  <conditionalFormatting sqref="V273">
    <cfRule type="cellIs" dxfId="2206" priority="4533" operator="equal">
      <formula>"WRONG"</formula>
    </cfRule>
  </conditionalFormatting>
  <conditionalFormatting sqref="AA273">
    <cfRule type="cellIs" dxfId="2205" priority="4531" operator="lessThan">
      <formula>TODAY()</formula>
    </cfRule>
    <cfRule type="cellIs" dxfId="2204" priority="4532" operator="lessThan">
      <formula>TODAY()</formula>
    </cfRule>
  </conditionalFormatting>
  <conditionalFormatting sqref="V250">
    <cfRule type="cellIs" dxfId="2203" priority="4519" operator="equal">
      <formula>"WRONG"</formula>
    </cfRule>
  </conditionalFormatting>
  <conditionalFormatting sqref="AA250">
    <cfRule type="cellIs" dxfId="2202" priority="4517" operator="lessThan">
      <formula>TODAY()</formula>
    </cfRule>
    <cfRule type="cellIs" dxfId="2201" priority="4518" operator="lessThan">
      <formula>TODAY()</formula>
    </cfRule>
  </conditionalFormatting>
  <conditionalFormatting sqref="V251">
    <cfRule type="cellIs" dxfId="2200" priority="4512" operator="equal">
      <formula>"WRONG"</formula>
    </cfRule>
  </conditionalFormatting>
  <conditionalFormatting sqref="AA251">
    <cfRule type="cellIs" dxfId="2199" priority="4510" operator="lessThan">
      <formula>TODAY()</formula>
    </cfRule>
    <cfRule type="cellIs" dxfId="2198" priority="4511" operator="lessThan">
      <formula>TODAY()</formula>
    </cfRule>
  </conditionalFormatting>
  <conditionalFormatting sqref="AA221 AA189 AA173">
    <cfRule type="cellIs" dxfId="2197" priority="4500" operator="lessThan">
      <formula>TODAY()</formula>
    </cfRule>
    <cfRule type="cellIs" dxfId="2196" priority="4501" operator="lessThan">
      <formula>TODAY()</formula>
    </cfRule>
  </conditionalFormatting>
  <conditionalFormatting sqref="V282">
    <cfRule type="cellIs" dxfId="2195" priority="4497" operator="equal">
      <formula>"WRONG"</formula>
    </cfRule>
  </conditionalFormatting>
  <conditionalFormatting sqref="AA282">
    <cfRule type="cellIs" dxfId="2194" priority="4495" operator="lessThan">
      <formula>TODAY()</formula>
    </cfRule>
    <cfRule type="cellIs" dxfId="2193" priority="4496" operator="lessThan">
      <formula>TODAY()</formula>
    </cfRule>
  </conditionalFormatting>
  <conditionalFormatting sqref="V281">
    <cfRule type="cellIs" dxfId="2192" priority="4492" operator="equal">
      <formula>"WRONG"</formula>
    </cfRule>
  </conditionalFormatting>
  <conditionalFormatting sqref="AA281">
    <cfRule type="cellIs" dxfId="2191" priority="4490" operator="lessThan">
      <formula>TODAY()</formula>
    </cfRule>
    <cfRule type="cellIs" dxfId="2190" priority="4491" operator="lessThan">
      <formula>TODAY()</formula>
    </cfRule>
  </conditionalFormatting>
  <conditionalFormatting sqref="V298">
    <cfRule type="cellIs" dxfId="2189" priority="4486" operator="equal">
      <formula>"WRONG"</formula>
    </cfRule>
  </conditionalFormatting>
  <conditionalFormatting sqref="AA298">
    <cfRule type="cellIs" dxfId="2188" priority="4484" operator="lessThan">
      <formula>TODAY()</formula>
    </cfRule>
    <cfRule type="cellIs" dxfId="2187" priority="4485" operator="lessThan">
      <formula>TODAY()</formula>
    </cfRule>
  </conditionalFormatting>
  <conditionalFormatting sqref="V299:V301">
    <cfRule type="cellIs" dxfId="2186" priority="4483" operator="equal">
      <formula>"WRONG"</formula>
    </cfRule>
  </conditionalFormatting>
  <conditionalFormatting sqref="AA299:AA301">
    <cfRule type="cellIs" dxfId="2185" priority="4481" operator="lessThan">
      <formula>TODAY()</formula>
    </cfRule>
    <cfRule type="cellIs" dxfId="2184" priority="4482" operator="lessThan">
      <formula>TODAY()</formula>
    </cfRule>
  </conditionalFormatting>
  <conditionalFormatting sqref="V302:V303">
    <cfRule type="cellIs" dxfId="2183" priority="4480" operator="equal">
      <formula>"WRONG"</formula>
    </cfRule>
  </conditionalFormatting>
  <conditionalFormatting sqref="AA302:AA303">
    <cfRule type="cellIs" dxfId="2182" priority="4478" operator="lessThan">
      <formula>TODAY()</formula>
    </cfRule>
    <cfRule type="cellIs" dxfId="2181" priority="4479" operator="lessThan">
      <formula>TODAY()</formula>
    </cfRule>
  </conditionalFormatting>
  <conditionalFormatting sqref="V277">
    <cfRule type="cellIs" dxfId="2180" priority="4477" operator="equal">
      <formula>"WRONG"</formula>
    </cfRule>
  </conditionalFormatting>
  <conditionalFormatting sqref="AA277">
    <cfRule type="cellIs" dxfId="2179" priority="4475" operator="lessThan">
      <formula>TODAY()</formula>
    </cfRule>
    <cfRule type="cellIs" dxfId="2178" priority="4476" operator="lessThan">
      <formula>TODAY()</formula>
    </cfRule>
  </conditionalFormatting>
  <conditionalFormatting sqref="V278">
    <cfRule type="cellIs" dxfId="2177" priority="4474" operator="equal">
      <formula>"WRONG"</formula>
    </cfRule>
  </conditionalFormatting>
  <conditionalFormatting sqref="AA278">
    <cfRule type="cellIs" dxfId="2176" priority="4472" operator="lessThan">
      <formula>TODAY()</formula>
    </cfRule>
    <cfRule type="cellIs" dxfId="2175" priority="4473" operator="lessThan">
      <formula>TODAY()</formula>
    </cfRule>
  </conditionalFormatting>
  <conditionalFormatting sqref="V279">
    <cfRule type="cellIs" dxfId="2174" priority="4471" operator="equal">
      <formula>"WRONG"</formula>
    </cfRule>
  </conditionalFormatting>
  <conditionalFormatting sqref="AA279">
    <cfRule type="cellIs" dxfId="2173" priority="4469" operator="lessThan">
      <formula>TODAY()</formula>
    </cfRule>
    <cfRule type="cellIs" dxfId="2172" priority="4470" operator="lessThan">
      <formula>TODAY()</formula>
    </cfRule>
  </conditionalFormatting>
  <conditionalFormatting sqref="V280">
    <cfRule type="cellIs" dxfId="2171" priority="4468" operator="equal">
      <formula>"WRONG"</formula>
    </cfRule>
  </conditionalFormatting>
  <conditionalFormatting sqref="AA280">
    <cfRule type="cellIs" dxfId="2170" priority="4466" operator="lessThan">
      <formula>TODAY()</formula>
    </cfRule>
    <cfRule type="cellIs" dxfId="2169" priority="4467" operator="lessThan">
      <formula>TODAY()</formula>
    </cfRule>
  </conditionalFormatting>
  <conditionalFormatting sqref="V285">
    <cfRule type="cellIs" dxfId="2168" priority="4461" operator="equal">
      <formula>"WRONG"</formula>
    </cfRule>
  </conditionalFormatting>
  <conditionalFormatting sqref="AA285">
    <cfRule type="cellIs" dxfId="2167" priority="4459" operator="lessThan">
      <formula>TODAY()</formula>
    </cfRule>
    <cfRule type="cellIs" dxfId="2166" priority="4460" operator="lessThan">
      <formula>TODAY()</formula>
    </cfRule>
  </conditionalFormatting>
  <conditionalFormatting sqref="V297">
    <cfRule type="cellIs" dxfId="2165" priority="4458" operator="equal">
      <formula>"WRONG"</formula>
    </cfRule>
  </conditionalFormatting>
  <conditionalFormatting sqref="AA297">
    <cfRule type="cellIs" dxfId="2164" priority="4456" operator="lessThan">
      <formula>TODAY()</formula>
    </cfRule>
    <cfRule type="cellIs" dxfId="2163" priority="4457" operator="lessThan">
      <formula>TODAY()</formula>
    </cfRule>
  </conditionalFormatting>
  <conditionalFormatting sqref="V283">
    <cfRule type="cellIs" dxfId="2162" priority="4455" operator="equal">
      <formula>"WRONG"</formula>
    </cfRule>
  </conditionalFormatting>
  <conditionalFormatting sqref="AA283">
    <cfRule type="cellIs" dxfId="2161" priority="4453" operator="lessThan">
      <formula>TODAY()</formula>
    </cfRule>
    <cfRule type="cellIs" dxfId="2160" priority="4454" operator="lessThan">
      <formula>TODAY()</formula>
    </cfRule>
  </conditionalFormatting>
  <conditionalFormatting sqref="V284">
    <cfRule type="cellIs" dxfId="2159" priority="4452" operator="equal">
      <formula>"WRONG"</formula>
    </cfRule>
  </conditionalFormatting>
  <conditionalFormatting sqref="AA284">
    <cfRule type="cellIs" dxfId="2158" priority="4450" operator="lessThan">
      <formula>TODAY()</formula>
    </cfRule>
    <cfRule type="cellIs" dxfId="2157" priority="4451" operator="lessThan">
      <formula>TODAY()</formula>
    </cfRule>
  </conditionalFormatting>
  <conditionalFormatting sqref="V296">
    <cfRule type="cellIs" dxfId="2156" priority="4444" operator="equal">
      <formula>"WRONG"</formula>
    </cfRule>
  </conditionalFormatting>
  <conditionalFormatting sqref="AA296">
    <cfRule type="cellIs" dxfId="2155" priority="4442" operator="lessThan">
      <formula>TODAY()</formula>
    </cfRule>
    <cfRule type="cellIs" dxfId="2154" priority="4443" operator="lessThan">
      <formula>TODAY()</formula>
    </cfRule>
  </conditionalFormatting>
  <conditionalFormatting sqref="V293">
    <cfRule type="cellIs" dxfId="2153" priority="4441" operator="equal">
      <formula>"WRONG"</formula>
    </cfRule>
  </conditionalFormatting>
  <conditionalFormatting sqref="AA293">
    <cfRule type="cellIs" dxfId="2152" priority="4439" operator="lessThan">
      <formula>TODAY()</formula>
    </cfRule>
    <cfRule type="cellIs" dxfId="2151" priority="4440" operator="lessThan">
      <formula>TODAY()</formula>
    </cfRule>
  </conditionalFormatting>
  <conditionalFormatting sqref="V294">
    <cfRule type="cellIs" dxfId="2150" priority="4438" operator="equal">
      <formula>"WRONG"</formula>
    </cfRule>
  </conditionalFormatting>
  <conditionalFormatting sqref="AA294">
    <cfRule type="cellIs" dxfId="2149" priority="4436" operator="lessThan">
      <formula>TODAY()</formula>
    </cfRule>
    <cfRule type="cellIs" dxfId="2148" priority="4437" operator="lessThan">
      <formula>TODAY()</formula>
    </cfRule>
  </conditionalFormatting>
  <conditionalFormatting sqref="V295">
    <cfRule type="cellIs" dxfId="2147" priority="4435" operator="equal">
      <formula>"WRONG"</formula>
    </cfRule>
  </conditionalFormatting>
  <conditionalFormatting sqref="AA295">
    <cfRule type="cellIs" dxfId="2146" priority="4433" operator="lessThan">
      <formula>TODAY()</formula>
    </cfRule>
    <cfRule type="cellIs" dxfId="2145" priority="4434" operator="lessThan">
      <formula>TODAY()</formula>
    </cfRule>
  </conditionalFormatting>
  <conditionalFormatting sqref="V288">
    <cfRule type="cellIs" dxfId="2144" priority="4427" operator="equal">
      <formula>"WRONG"</formula>
    </cfRule>
  </conditionalFormatting>
  <conditionalFormatting sqref="AA288">
    <cfRule type="cellIs" dxfId="2143" priority="4425" operator="lessThan">
      <formula>TODAY()</formula>
    </cfRule>
    <cfRule type="cellIs" dxfId="2142" priority="4426" operator="lessThan">
      <formula>TODAY()</formula>
    </cfRule>
  </conditionalFormatting>
  <conditionalFormatting sqref="V286">
    <cfRule type="cellIs" dxfId="2141" priority="4424" operator="equal">
      <formula>"WRONG"</formula>
    </cfRule>
  </conditionalFormatting>
  <conditionalFormatting sqref="AA286">
    <cfRule type="cellIs" dxfId="2140" priority="4422" operator="lessThan">
      <formula>TODAY()</formula>
    </cfRule>
    <cfRule type="cellIs" dxfId="2139" priority="4423" operator="lessThan">
      <formula>TODAY()</formula>
    </cfRule>
  </conditionalFormatting>
  <conditionalFormatting sqref="V287">
    <cfRule type="cellIs" dxfId="2138" priority="4421" operator="equal">
      <formula>"WRONG"</formula>
    </cfRule>
  </conditionalFormatting>
  <conditionalFormatting sqref="AA287">
    <cfRule type="cellIs" dxfId="2137" priority="4419" operator="lessThan">
      <formula>TODAY()</formula>
    </cfRule>
    <cfRule type="cellIs" dxfId="2136" priority="4420" operator="lessThan">
      <formula>TODAY()</formula>
    </cfRule>
  </conditionalFormatting>
  <conditionalFormatting sqref="V307">
    <cfRule type="cellIs" dxfId="2135" priority="4413" operator="equal">
      <formula>"WRONG"</formula>
    </cfRule>
  </conditionalFormatting>
  <conditionalFormatting sqref="AA307">
    <cfRule type="cellIs" dxfId="2134" priority="4411" operator="lessThan">
      <formula>TODAY()</formula>
    </cfRule>
    <cfRule type="cellIs" dxfId="2133" priority="4412" operator="lessThan">
      <formula>TODAY()</formula>
    </cfRule>
  </conditionalFormatting>
  <conditionalFormatting sqref="V304">
    <cfRule type="cellIs" dxfId="2132" priority="4410" operator="equal">
      <formula>"WRONG"</formula>
    </cfRule>
  </conditionalFormatting>
  <conditionalFormatting sqref="AA304">
    <cfRule type="cellIs" dxfId="2131" priority="4408" operator="lessThan">
      <formula>TODAY()</formula>
    </cfRule>
    <cfRule type="cellIs" dxfId="2130" priority="4409" operator="lessThan">
      <formula>TODAY()</formula>
    </cfRule>
  </conditionalFormatting>
  <conditionalFormatting sqref="V305">
    <cfRule type="cellIs" dxfId="2129" priority="4407" operator="equal">
      <formula>"WRONG"</formula>
    </cfRule>
  </conditionalFormatting>
  <conditionalFormatting sqref="AA305">
    <cfRule type="cellIs" dxfId="2128" priority="4405" operator="lessThan">
      <formula>TODAY()</formula>
    </cfRule>
    <cfRule type="cellIs" dxfId="2127" priority="4406" operator="lessThan">
      <formula>TODAY()</formula>
    </cfRule>
  </conditionalFormatting>
  <conditionalFormatting sqref="V306">
    <cfRule type="cellIs" dxfId="2126" priority="4404" operator="equal">
      <formula>"WRONG"</formula>
    </cfRule>
  </conditionalFormatting>
  <conditionalFormatting sqref="AA306">
    <cfRule type="cellIs" dxfId="2125" priority="4402" operator="lessThan">
      <formula>TODAY()</formula>
    </cfRule>
    <cfRule type="cellIs" dxfId="2124" priority="4403" operator="lessThan">
      <formula>TODAY()</formula>
    </cfRule>
  </conditionalFormatting>
  <conditionalFormatting sqref="V275">
    <cfRule type="cellIs" dxfId="2123" priority="4397" operator="equal">
      <formula>"WRONG"</formula>
    </cfRule>
  </conditionalFormatting>
  <conditionalFormatting sqref="AA275">
    <cfRule type="cellIs" dxfId="2122" priority="4395" operator="lessThan">
      <formula>TODAY()</formula>
    </cfRule>
    <cfRule type="cellIs" dxfId="2121" priority="4396" operator="lessThan">
      <formula>TODAY()</formula>
    </cfRule>
  </conditionalFormatting>
  <conditionalFormatting sqref="V276">
    <cfRule type="cellIs" dxfId="2120" priority="4394" operator="equal">
      <formula>"WRONG"</formula>
    </cfRule>
  </conditionalFormatting>
  <conditionalFormatting sqref="AA276">
    <cfRule type="cellIs" dxfId="2119" priority="4392" operator="lessThan">
      <formula>TODAY()</formula>
    </cfRule>
    <cfRule type="cellIs" dxfId="2118" priority="4393" operator="lessThan">
      <formula>TODAY()</formula>
    </cfRule>
  </conditionalFormatting>
  <conditionalFormatting sqref="AA261 AA235 AA231:AA233 AA219 AA194">
    <cfRule type="cellIs" dxfId="2117" priority="4390" operator="lessThan">
      <formula>TODAY()</formula>
    </cfRule>
    <cfRule type="cellIs" dxfId="2116" priority="4391" operator="lessThan">
      <formula>TODAY()</formula>
    </cfRule>
  </conditionalFormatting>
  <conditionalFormatting sqref="V308">
    <cfRule type="cellIs" dxfId="2115" priority="4385" operator="equal">
      <formula>"WRONG"</formula>
    </cfRule>
  </conditionalFormatting>
  <conditionalFormatting sqref="AA308">
    <cfRule type="cellIs" dxfId="2114" priority="4383" operator="lessThan">
      <formula>TODAY()</formula>
    </cfRule>
    <cfRule type="cellIs" dxfId="2113" priority="4384" operator="lessThan">
      <formula>TODAY()</formula>
    </cfRule>
  </conditionalFormatting>
  <conditionalFormatting sqref="V309:V311">
    <cfRule type="cellIs" dxfId="2112" priority="4382" operator="equal">
      <formula>"WRONG"</formula>
    </cfRule>
  </conditionalFormatting>
  <conditionalFormatting sqref="AA309:AA311">
    <cfRule type="cellIs" dxfId="2111" priority="4380" operator="lessThan">
      <formula>TODAY()</formula>
    </cfRule>
    <cfRule type="cellIs" dxfId="2110" priority="4381" operator="lessThan">
      <formula>TODAY()</formula>
    </cfRule>
  </conditionalFormatting>
  <conditionalFormatting sqref="AA373 AA314:AA316">
    <cfRule type="cellIs" dxfId="2109" priority="4103" operator="lessThan">
      <formula>TODAY()</formula>
    </cfRule>
    <cfRule type="cellIs" dxfId="2108" priority="4104" operator="lessThan">
      <formula>TODAY()</formula>
    </cfRule>
  </conditionalFormatting>
  <conditionalFormatting sqref="V290">
    <cfRule type="cellIs" dxfId="2107" priority="4095" operator="equal">
      <formula>"WRONG"</formula>
    </cfRule>
  </conditionalFormatting>
  <conditionalFormatting sqref="AA290">
    <cfRule type="cellIs" dxfId="2106" priority="4093" operator="lessThan">
      <formula>TODAY()</formula>
    </cfRule>
    <cfRule type="cellIs" dxfId="2105" priority="4094" operator="lessThan">
      <formula>TODAY()</formula>
    </cfRule>
  </conditionalFormatting>
  <conditionalFormatting sqref="V291">
    <cfRule type="cellIs" dxfId="2104" priority="4090" operator="equal">
      <formula>"WRONG"</formula>
    </cfRule>
  </conditionalFormatting>
  <conditionalFormatting sqref="AA291">
    <cfRule type="cellIs" dxfId="2103" priority="4088" operator="lessThan">
      <formula>TODAY()</formula>
    </cfRule>
    <cfRule type="cellIs" dxfId="2102" priority="4089" operator="lessThan">
      <formula>TODAY()</formula>
    </cfRule>
  </conditionalFormatting>
  <conditionalFormatting sqref="V292">
    <cfRule type="cellIs" dxfId="2101" priority="4085" operator="equal">
      <formula>"WRONG"</formula>
    </cfRule>
  </conditionalFormatting>
  <conditionalFormatting sqref="AA292">
    <cfRule type="cellIs" dxfId="2100" priority="4083" operator="lessThan">
      <formula>TODAY()</formula>
    </cfRule>
    <cfRule type="cellIs" dxfId="2099" priority="4084" operator="lessThan">
      <formula>TODAY()</formula>
    </cfRule>
  </conditionalFormatting>
  <conditionalFormatting sqref="AA312:AA313">
    <cfRule type="cellIs" dxfId="2098" priority="4078" operator="lessThan">
      <formula>TODAY()</formula>
    </cfRule>
    <cfRule type="cellIs" dxfId="2097" priority="4079" operator="lessThan">
      <formula>TODAY()</formula>
    </cfRule>
  </conditionalFormatting>
  <conditionalFormatting sqref="AA321">
    <cfRule type="cellIs" dxfId="2096" priority="4073" operator="lessThan">
      <formula>TODAY()</formula>
    </cfRule>
    <cfRule type="cellIs" dxfId="2095" priority="4074" operator="lessThan">
      <formula>TODAY()</formula>
    </cfRule>
  </conditionalFormatting>
  <conditionalFormatting sqref="V318">
    <cfRule type="cellIs" dxfId="2094" priority="4072" operator="equal">
      <formula>"WRONG"</formula>
    </cfRule>
  </conditionalFormatting>
  <conditionalFormatting sqref="AA318">
    <cfRule type="cellIs" dxfId="2093" priority="4070" operator="lessThan">
      <formula>TODAY()</formula>
    </cfRule>
    <cfRule type="cellIs" dxfId="2092" priority="4071" operator="lessThan">
      <formula>TODAY()</formula>
    </cfRule>
  </conditionalFormatting>
  <conditionalFormatting sqref="V319:V321">
    <cfRule type="cellIs" dxfId="2091" priority="4069" operator="equal">
      <formula>"WRONG"</formula>
    </cfRule>
  </conditionalFormatting>
  <conditionalFormatting sqref="AA320">
    <cfRule type="cellIs" dxfId="2090" priority="4064" operator="lessThan">
      <formula>TODAY()</formula>
    </cfRule>
    <cfRule type="cellIs" dxfId="2089" priority="4065" operator="lessThan">
      <formula>TODAY()</formula>
    </cfRule>
  </conditionalFormatting>
  <conditionalFormatting sqref="AA327:AA328">
    <cfRule type="cellIs" dxfId="2088" priority="4057" operator="lessThan">
      <formula>TODAY()</formula>
    </cfRule>
    <cfRule type="cellIs" dxfId="2087" priority="4058" operator="lessThan">
      <formula>TODAY()</formula>
    </cfRule>
  </conditionalFormatting>
  <conditionalFormatting sqref="V325:V326">
    <cfRule type="cellIs" dxfId="2086" priority="4054" operator="equal">
      <formula>"WRONG"</formula>
    </cfRule>
  </conditionalFormatting>
  <conditionalFormatting sqref="AA325:AA326">
    <cfRule type="cellIs" dxfId="2085" priority="4052" operator="lessThan">
      <formula>TODAY()</formula>
    </cfRule>
    <cfRule type="cellIs" dxfId="2084" priority="4053" operator="lessThan">
      <formula>TODAY()</formula>
    </cfRule>
  </conditionalFormatting>
  <conditionalFormatting sqref="AA346">
    <cfRule type="cellIs" dxfId="2083" priority="4047" operator="lessThan">
      <formula>TODAY()</formula>
    </cfRule>
    <cfRule type="cellIs" dxfId="2082" priority="4048" operator="lessThan">
      <formula>TODAY()</formula>
    </cfRule>
  </conditionalFormatting>
  <conditionalFormatting sqref="V339">
    <cfRule type="cellIs" dxfId="2081" priority="4044" operator="equal">
      <formula>"WRONG"</formula>
    </cfRule>
  </conditionalFormatting>
  <conditionalFormatting sqref="AA339">
    <cfRule type="cellIs" dxfId="2080" priority="4042" operator="lessThan">
      <formula>TODAY()</formula>
    </cfRule>
    <cfRule type="cellIs" dxfId="2079" priority="4043" operator="lessThan">
      <formula>TODAY()</formula>
    </cfRule>
  </conditionalFormatting>
  <conditionalFormatting sqref="V331 V333">
    <cfRule type="cellIs" dxfId="2078" priority="4039" operator="equal">
      <formula>"WRONG"</formula>
    </cfRule>
  </conditionalFormatting>
  <conditionalFormatting sqref="AA333">
    <cfRule type="cellIs" dxfId="2077" priority="4037" operator="lessThan">
      <formula>TODAY()</formula>
    </cfRule>
    <cfRule type="cellIs" dxfId="2076" priority="4038" operator="lessThan">
      <formula>TODAY()</formula>
    </cfRule>
  </conditionalFormatting>
  <conditionalFormatting sqref="AA331">
    <cfRule type="cellIs" dxfId="2075" priority="4035" operator="lessThan">
      <formula>TODAY()</formula>
    </cfRule>
    <cfRule type="cellIs" dxfId="2074" priority="4036" operator="lessThan">
      <formula>TODAY()</formula>
    </cfRule>
  </conditionalFormatting>
  <conditionalFormatting sqref="V330">
    <cfRule type="cellIs" dxfId="2073" priority="4034" operator="equal">
      <formula>"WRONG"</formula>
    </cfRule>
  </conditionalFormatting>
  <conditionalFormatting sqref="AA330">
    <cfRule type="cellIs" dxfId="2072" priority="4032" operator="lessThan">
      <formula>TODAY()</formula>
    </cfRule>
    <cfRule type="cellIs" dxfId="2071" priority="4033" operator="lessThan">
      <formula>TODAY()</formula>
    </cfRule>
  </conditionalFormatting>
  <conditionalFormatting sqref="AA335">
    <cfRule type="cellIs" dxfId="2070" priority="4027" operator="lessThan">
      <formula>TODAY()</formula>
    </cfRule>
    <cfRule type="cellIs" dxfId="2069" priority="4028" operator="lessThan">
      <formula>TODAY()</formula>
    </cfRule>
  </conditionalFormatting>
  <conditionalFormatting sqref="V347">
    <cfRule type="cellIs" dxfId="2068" priority="4024" operator="equal">
      <formula>"WRONG"</formula>
    </cfRule>
  </conditionalFormatting>
  <conditionalFormatting sqref="AA347">
    <cfRule type="cellIs" dxfId="2067" priority="4022" operator="lessThan">
      <formula>TODAY()</formula>
    </cfRule>
    <cfRule type="cellIs" dxfId="2066" priority="4023" operator="lessThan">
      <formula>TODAY()</formula>
    </cfRule>
  </conditionalFormatting>
  <conditionalFormatting sqref="V342:V344">
    <cfRule type="cellIs" dxfId="2065" priority="4021" operator="equal">
      <formula>"WRONG"</formula>
    </cfRule>
  </conditionalFormatting>
  <conditionalFormatting sqref="AA344">
    <cfRule type="cellIs" dxfId="2064" priority="4019" operator="lessThan">
      <formula>TODAY()</formula>
    </cfRule>
    <cfRule type="cellIs" dxfId="2063" priority="4020" operator="lessThan">
      <formula>TODAY()</formula>
    </cfRule>
  </conditionalFormatting>
  <conditionalFormatting sqref="AA342:AA343">
    <cfRule type="cellIs" dxfId="2062" priority="4017" operator="lessThan">
      <formula>TODAY()</formula>
    </cfRule>
    <cfRule type="cellIs" dxfId="2061" priority="4018" operator="lessThan">
      <formula>TODAY()</formula>
    </cfRule>
  </conditionalFormatting>
  <conditionalFormatting sqref="V341">
    <cfRule type="cellIs" dxfId="2060" priority="4016" operator="equal">
      <formula>"WRONG"</formula>
    </cfRule>
  </conditionalFormatting>
  <conditionalFormatting sqref="AA341">
    <cfRule type="cellIs" dxfId="2059" priority="4014" operator="lessThan">
      <formula>TODAY()</formula>
    </cfRule>
    <cfRule type="cellIs" dxfId="2058" priority="4015" operator="lessThan">
      <formula>TODAY()</formula>
    </cfRule>
  </conditionalFormatting>
  <conditionalFormatting sqref="AA349">
    <cfRule type="cellIs" dxfId="2057" priority="4009" operator="lessThan">
      <formula>TODAY()</formula>
    </cfRule>
    <cfRule type="cellIs" dxfId="2056" priority="4010" operator="lessThan">
      <formula>TODAY()</formula>
    </cfRule>
  </conditionalFormatting>
  <conditionalFormatting sqref="AA337:AA338">
    <cfRule type="cellIs" dxfId="2055" priority="4007" operator="lessThan">
      <formula>TODAY()</formula>
    </cfRule>
    <cfRule type="cellIs" dxfId="2054" priority="4008" operator="lessThan">
      <formula>TODAY()</formula>
    </cfRule>
  </conditionalFormatting>
  <conditionalFormatting sqref="V336">
    <cfRule type="cellIs" dxfId="2053" priority="4006" operator="equal">
      <formula>"WRONG"</formula>
    </cfRule>
  </conditionalFormatting>
  <conditionalFormatting sqref="AA336">
    <cfRule type="cellIs" dxfId="2052" priority="4004" operator="lessThan">
      <formula>TODAY()</formula>
    </cfRule>
    <cfRule type="cellIs" dxfId="2051" priority="4005" operator="lessThan">
      <formula>TODAY()</formula>
    </cfRule>
  </conditionalFormatting>
  <conditionalFormatting sqref="V351:V353">
    <cfRule type="cellIs" dxfId="2050" priority="4003" operator="equal">
      <formula>"WRONG"</formula>
    </cfRule>
  </conditionalFormatting>
  <conditionalFormatting sqref="AA353">
    <cfRule type="cellIs" dxfId="2049" priority="4001" operator="lessThan">
      <formula>TODAY()</formula>
    </cfRule>
    <cfRule type="cellIs" dxfId="2048" priority="4002" operator="lessThan">
      <formula>TODAY()</formula>
    </cfRule>
  </conditionalFormatting>
  <conditionalFormatting sqref="AA351:AA352">
    <cfRule type="cellIs" dxfId="2047" priority="3999" operator="lessThan">
      <formula>TODAY()</formula>
    </cfRule>
    <cfRule type="cellIs" dxfId="2046" priority="4000" operator="lessThan">
      <formula>TODAY()</formula>
    </cfRule>
  </conditionalFormatting>
  <conditionalFormatting sqref="V350">
    <cfRule type="cellIs" dxfId="2045" priority="3998" operator="equal">
      <formula>"WRONG"</formula>
    </cfRule>
  </conditionalFormatting>
  <conditionalFormatting sqref="AA350">
    <cfRule type="cellIs" dxfId="2044" priority="3996" operator="lessThan">
      <formula>TODAY()</formula>
    </cfRule>
    <cfRule type="cellIs" dxfId="2043" priority="3997" operator="lessThan">
      <formula>TODAY()</formula>
    </cfRule>
  </conditionalFormatting>
  <conditionalFormatting sqref="V354">
    <cfRule type="cellIs" dxfId="2042" priority="3993" operator="equal">
      <formula>"WRONG"</formula>
    </cfRule>
  </conditionalFormatting>
  <conditionalFormatting sqref="AA354">
    <cfRule type="cellIs" dxfId="2041" priority="3989" operator="lessThan">
      <formula>TODAY()</formula>
    </cfRule>
    <cfRule type="cellIs" dxfId="2040" priority="3990" operator="lessThan">
      <formula>TODAY()</formula>
    </cfRule>
  </conditionalFormatting>
  <conditionalFormatting sqref="V355:V359">
    <cfRule type="cellIs" dxfId="2039" priority="3978" operator="equal">
      <formula>"WRONG"</formula>
    </cfRule>
  </conditionalFormatting>
  <conditionalFormatting sqref="AA355:AA359">
    <cfRule type="cellIs" dxfId="2038" priority="3976" operator="lessThan">
      <formula>TODAY()</formula>
    </cfRule>
    <cfRule type="cellIs" dxfId="2037" priority="3977" operator="lessThan">
      <formula>TODAY()</formula>
    </cfRule>
  </conditionalFormatting>
  <conditionalFormatting sqref="V360:V362">
    <cfRule type="cellIs" dxfId="2036" priority="3973" operator="equal">
      <formula>"WRONG"</formula>
    </cfRule>
  </conditionalFormatting>
  <conditionalFormatting sqref="AA360:AA362">
    <cfRule type="cellIs" dxfId="2035" priority="3971" operator="lessThan">
      <formula>TODAY()</formula>
    </cfRule>
    <cfRule type="cellIs" dxfId="2034" priority="3972" operator="lessThan">
      <formula>TODAY()</formula>
    </cfRule>
  </conditionalFormatting>
  <conditionalFormatting sqref="AA174">
    <cfRule type="cellIs" dxfId="2033" priority="3969" operator="lessThan">
      <formula>TODAY()</formula>
    </cfRule>
    <cfRule type="cellIs" dxfId="2032" priority="3970" operator="lessThan">
      <formula>TODAY()</formula>
    </cfRule>
  </conditionalFormatting>
  <conditionalFormatting sqref="V363">
    <cfRule type="cellIs" dxfId="2031" priority="3966" operator="equal">
      <formula>"WRONG"</formula>
    </cfRule>
  </conditionalFormatting>
  <conditionalFormatting sqref="AA363">
    <cfRule type="cellIs" dxfId="2030" priority="3964" operator="lessThan">
      <formula>TODAY()</formula>
    </cfRule>
    <cfRule type="cellIs" dxfId="2029" priority="3965" operator="lessThan">
      <formula>TODAY()</formula>
    </cfRule>
  </conditionalFormatting>
  <conditionalFormatting sqref="V364">
    <cfRule type="cellIs" dxfId="2028" priority="3963" operator="equal">
      <formula>"WRONG"</formula>
    </cfRule>
  </conditionalFormatting>
  <conditionalFormatting sqref="AA364">
    <cfRule type="cellIs" dxfId="2027" priority="3961" operator="lessThan">
      <formula>TODAY()</formula>
    </cfRule>
    <cfRule type="cellIs" dxfId="2026" priority="3962" operator="lessThan">
      <formula>TODAY()</formula>
    </cfRule>
  </conditionalFormatting>
  <conditionalFormatting sqref="V365">
    <cfRule type="cellIs" dxfId="2025" priority="3958" operator="equal">
      <formula>"WRONG"</formula>
    </cfRule>
  </conditionalFormatting>
  <conditionalFormatting sqref="AA365">
    <cfRule type="cellIs" dxfId="2024" priority="3956" operator="lessThan">
      <formula>TODAY()</formula>
    </cfRule>
    <cfRule type="cellIs" dxfId="2023" priority="3957" operator="lessThan">
      <formula>TODAY()</formula>
    </cfRule>
  </conditionalFormatting>
  <conditionalFormatting sqref="V366">
    <cfRule type="cellIs" dxfId="2022" priority="3955" operator="equal">
      <formula>"WRONG"</formula>
    </cfRule>
  </conditionalFormatting>
  <conditionalFormatting sqref="AA366">
    <cfRule type="cellIs" dxfId="2021" priority="3953" operator="lessThan">
      <formula>TODAY()</formula>
    </cfRule>
    <cfRule type="cellIs" dxfId="2020" priority="3954" operator="lessThan">
      <formula>TODAY()</formula>
    </cfRule>
  </conditionalFormatting>
  <conditionalFormatting sqref="V367">
    <cfRule type="cellIs" dxfId="2019" priority="3950" operator="equal">
      <formula>"WRONG"</formula>
    </cfRule>
  </conditionalFormatting>
  <conditionalFormatting sqref="AA367">
    <cfRule type="cellIs" dxfId="2018" priority="3948" operator="lessThan">
      <formula>TODAY()</formula>
    </cfRule>
    <cfRule type="cellIs" dxfId="2017" priority="3949" operator="lessThan">
      <formula>TODAY()</formula>
    </cfRule>
  </conditionalFormatting>
  <conditionalFormatting sqref="V368">
    <cfRule type="cellIs" dxfId="2016" priority="3947" operator="equal">
      <formula>"WRONG"</formula>
    </cfRule>
  </conditionalFormatting>
  <conditionalFormatting sqref="AA368">
    <cfRule type="cellIs" dxfId="2015" priority="3945" operator="lessThan">
      <formula>TODAY()</formula>
    </cfRule>
    <cfRule type="cellIs" dxfId="2014" priority="3946" operator="lessThan">
      <formula>TODAY()</formula>
    </cfRule>
  </conditionalFormatting>
  <conditionalFormatting sqref="V369">
    <cfRule type="cellIs" dxfId="2013" priority="3942" operator="equal">
      <formula>"WRONG"</formula>
    </cfRule>
  </conditionalFormatting>
  <conditionalFormatting sqref="AA369">
    <cfRule type="cellIs" dxfId="2012" priority="3940" operator="lessThan">
      <formula>TODAY()</formula>
    </cfRule>
    <cfRule type="cellIs" dxfId="2011" priority="3941" operator="lessThan">
      <formula>TODAY()</formula>
    </cfRule>
  </conditionalFormatting>
  <conditionalFormatting sqref="V370">
    <cfRule type="cellIs" dxfId="2010" priority="3939" operator="equal">
      <formula>"WRONG"</formula>
    </cfRule>
  </conditionalFormatting>
  <conditionalFormatting sqref="AA370">
    <cfRule type="cellIs" dxfId="2009" priority="3937" operator="lessThan">
      <formula>TODAY()</formula>
    </cfRule>
    <cfRule type="cellIs" dxfId="2008" priority="3938" operator="lessThan">
      <formula>TODAY()</formula>
    </cfRule>
  </conditionalFormatting>
  <conditionalFormatting sqref="V371">
    <cfRule type="cellIs" dxfId="2007" priority="3934" operator="equal">
      <formula>"WRONG"</formula>
    </cfRule>
  </conditionalFormatting>
  <conditionalFormatting sqref="AA371">
    <cfRule type="cellIs" dxfId="2006" priority="3932" operator="lessThan">
      <formula>TODAY()</formula>
    </cfRule>
    <cfRule type="cellIs" dxfId="2005" priority="3933" operator="lessThan">
      <formula>TODAY()</formula>
    </cfRule>
  </conditionalFormatting>
  <conditionalFormatting sqref="V372">
    <cfRule type="cellIs" dxfId="2004" priority="3931" operator="equal">
      <formula>"WRONG"</formula>
    </cfRule>
  </conditionalFormatting>
  <conditionalFormatting sqref="AA372">
    <cfRule type="cellIs" dxfId="2003" priority="3929" operator="lessThan">
      <formula>TODAY()</formula>
    </cfRule>
    <cfRule type="cellIs" dxfId="2002" priority="3930" operator="lessThan">
      <formula>TODAY()</formula>
    </cfRule>
  </conditionalFormatting>
  <conditionalFormatting sqref="V289">
    <cfRule type="cellIs" dxfId="2001" priority="3926" operator="equal">
      <formula>"WRONG"</formula>
    </cfRule>
  </conditionalFormatting>
  <conditionalFormatting sqref="AA289">
    <cfRule type="cellIs" dxfId="2000" priority="3924" operator="lessThan">
      <formula>TODAY()</formula>
    </cfRule>
    <cfRule type="cellIs" dxfId="1999" priority="3925" operator="lessThan">
      <formula>TODAY()</formula>
    </cfRule>
  </conditionalFormatting>
  <conditionalFormatting sqref="V374">
    <cfRule type="cellIs" dxfId="1998" priority="3921" operator="equal">
      <formula>"WRONG"</formula>
    </cfRule>
  </conditionalFormatting>
  <conditionalFormatting sqref="AA374">
    <cfRule type="cellIs" dxfId="1997" priority="3919" operator="lessThan">
      <formula>TODAY()</formula>
    </cfRule>
    <cfRule type="cellIs" dxfId="1996" priority="3920" operator="lessThan">
      <formula>TODAY()</formula>
    </cfRule>
  </conditionalFormatting>
  <conditionalFormatting sqref="V375">
    <cfRule type="cellIs" dxfId="1995" priority="3918" operator="equal">
      <formula>"WRONG"</formula>
    </cfRule>
  </conditionalFormatting>
  <conditionalFormatting sqref="AA375">
    <cfRule type="cellIs" dxfId="1994" priority="3916" operator="lessThan">
      <formula>TODAY()</formula>
    </cfRule>
    <cfRule type="cellIs" dxfId="1993" priority="3917" operator="lessThan">
      <formula>TODAY()</formula>
    </cfRule>
  </conditionalFormatting>
  <conditionalFormatting sqref="V376">
    <cfRule type="cellIs" dxfId="1992" priority="3915" operator="equal">
      <formula>"WRONG"</formula>
    </cfRule>
  </conditionalFormatting>
  <conditionalFormatting sqref="AA376">
    <cfRule type="cellIs" dxfId="1991" priority="3913" operator="lessThan">
      <formula>TODAY()</formula>
    </cfRule>
    <cfRule type="cellIs" dxfId="1990" priority="3914" operator="lessThan">
      <formula>TODAY()</formula>
    </cfRule>
  </conditionalFormatting>
  <conditionalFormatting sqref="V377">
    <cfRule type="cellIs" dxfId="1989" priority="3912" operator="equal">
      <formula>"WRONG"</formula>
    </cfRule>
  </conditionalFormatting>
  <conditionalFormatting sqref="AA377">
    <cfRule type="cellIs" dxfId="1988" priority="3910" operator="lessThan">
      <formula>TODAY()</formula>
    </cfRule>
    <cfRule type="cellIs" dxfId="1987" priority="3911" operator="lessThan">
      <formula>TODAY()</formula>
    </cfRule>
  </conditionalFormatting>
  <conditionalFormatting sqref="V378">
    <cfRule type="cellIs" dxfId="1986" priority="3907" operator="equal">
      <formula>"WRONG"</formula>
    </cfRule>
  </conditionalFormatting>
  <conditionalFormatting sqref="AA378">
    <cfRule type="cellIs" dxfId="1985" priority="3905" operator="lessThan">
      <formula>TODAY()</formula>
    </cfRule>
    <cfRule type="cellIs" dxfId="1984" priority="3906" operator="lessThan">
      <formula>TODAY()</formula>
    </cfRule>
  </conditionalFormatting>
  <conditionalFormatting sqref="V388:V390">
    <cfRule type="cellIs" dxfId="1983" priority="3902" operator="equal">
      <formula>"WRONG"</formula>
    </cfRule>
  </conditionalFormatting>
  <conditionalFormatting sqref="AA388:AA390">
    <cfRule type="cellIs" dxfId="1982" priority="3900" operator="lessThan">
      <formula>TODAY()</formula>
    </cfRule>
    <cfRule type="cellIs" dxfId="1981" priority="3901" operator="lessThan">
      <formula>TODAY()</formula>
    </cfRule>
  </conditionalFormatting>
  <conditionalFormatting sqref="V380">
    <cfRule type="cellIs" dxfId="1980" priority="3894" operator="equal">
      <formula>"WRONG"</formula>
    </cfRule>
  </conditionalFormatting>
  <conditionalFormatting sqref="AA380">
    <cfRule type="cellIs" dxfId="1979" priority="3892" operator="lessThan">
      <formula>TODAY()</formula>
    </cfRule>
    <cfRule type="cellIs" dxfId="1978" priority="3893" operator="lessThan">
      <formula>TODAY()</formula>
    </cfRule>
  </conditionalFormatting>
  <conditionalFormatting sqref="AA2:AA4">
    <cfRule type="cellIs" dxfId="1977" priority="3865" operator="lessThan">
      <formula>TODAY()</formula>
    </cfRule>
    <cfRule type="cellIs" dxfId="1976" priority="3866" operator="lessThan">
      <formula>TODAY()</formula>
    </cfRule>
  </conditionalFormatting>
  <conditionalFormatting sqref="V381:V383">
    <cfRule type="cellIs" dxfId="1975" priority="3852" operator="equal">
      <formula>"WRONG"</formula>
    </cfRule>
  </conditionalFormatting>
  <conditionalFormatting sqref="AA381:AA383">
    <cfRule type="cellIs" dxfId="1974" priority="3850" operator="lessThan">
      <formula>TODAY()</formula>
    </cfRule>
    <cfRule type="cellIs" dxfId="1973" priority="3851" operator="lessThan">
      <formula>TODAY()</formula>
    </cfRule>
  </conditionalFormatting>
  <conditionalFormatting sqref="Z345">
    <cfRule type="cellIs" dxfId="1972" priority="3837" operator="lessThan">
      <formula>TODAY()</formula>
    </cfRule>
    <cfRule type="cellIs" dxfId="1971" priority="3838" operator="lessThan">
      <formula>TODAY()</formula>
    </cfRule>
  </conditionalFormatting>
  <conditionalFormatting sqref="Z332">
    <cfRule type="cellIs" dxfId="1970" priority="3832" operator="lessThan">
      <formula>TODAY()</formula>
    </cfRule>
    <cfRule type="cellIs" dxfId="1969" priority="3833" operator="lessThan">
      <formula>TODAY()</formula>
    </cfRule>
  </conditionalFormatting>
  <conditionalFormatting sqref="V424">
    <cfRule type="cellIs" dxfId="1968" priority="3815" operator="equal">
      <formula>"WRONG"</formula>
    </cfRule>
  </conditionalFormatting>
  <conditionalFormatting sqref="AA424">
    <cfRule type="cellIs" dxfId="1967" priority="3813" operator="lessThan">
      <formula>TODAY()</formula>
    </cfRule>
    <cfRule type="cellIs" dxfId="1966" priority="3814" operator="lessThan">
      <formula>TODAY()</formula>
    </cfRule>
  </conditionalFormatting>
  <conditionalFormatting sqref="V421">
    <cfRule type="cellIs" dxfId="1965" priority="3812" operator="equal">
      <formula>"WRONG"</formula>
    </cfRule>
  </conditionalFormatting>
  <conditionalFormatting sqref="AA421">
    <cfRule type="cellIs" dxfId="1964" priority="3810" operator="lessThan">
      <formula>TODAY()</formula>
    </cfRule>
    <cfRule type="cellIs" dxfId="1963" priority="3811" operator="lessThan">
      <formula>TODAY()</formula>
    </cfRule>
  </conditionalFormatting>
  <conditionalFormatting sqref="V422">
    <cfRule type="cellIs" dxfId="1962" priority="3809" operator="equal">
      <formula>"WRONG"</formula>
    </cfRule>
  </conditionalFormatting>
  <conditionalFormatting sqref="AA422">
    <cfRule type="cellIs" dxfId="1961" priority="3807" operator="lessThan">
      <formula>TODAY()</formula>
    </cfRule>
    <cfRule type="cellIs" dxfId="1960" priority="3808" operator="lessThan">
      <formula>TODAY()</formula>
    </cfRule>
  </conditionalFormatting>
  <conditionalFormatting sqref="V423">
    <cfRule type="cellIs" dxfId="1959" priority="3806" operator="equal">
      <formula>"WRONG"</formula>
    </cfRule>
  </conditionalFormatting>
  <conditionalFormatting sqref="AA423">
    <cfRule type="cellIs" dxfId="1958" priority="3804" operator="lessThan">
      <formula>TODAY()</formula>
    </cfRule>
    <cfRule type="cellIs" dxfId="1957" priority="3805" operator="lessThan">
      <formula>TODAY()</formula>
    </cfRule>
  </conditionalFormatting>
  <conditionalFormatting sqref="V420">
    <cfRule type="cellIs" dxfId="1956" priority="3803" operator="equal">
      <formula>"WRONG"</formula>
    </cfRule>
  </conditionalFormatting>
  <conditionalFormatting sqref="AA420">
    <cfRule type="cellIs" dxfId="1955" priority="3801" operator="lessThan">
      <formula>TODAY()</formula>
    </cfRule>
    <cfRule type="cellIs" dxfId="1954" priority="3802" operator="lessThan">
      <formula>TODAY()</formula>
    </cfRule>
  </conditionalFormatting>
  <conditionalFormatting sqref="AA425">
    <cfRule type="cellIs" dxfId="1953" priority="3798" operator="lessThan">
      <formula>TODAY()</formula>
    </cfRule>
    <cfRule type="cellIs" dxfId="1952" priority="3799" operator="lessThan">
      <formula>TODAY()</formula>
    </cfRule>
  </conditionalFormatting>
  <conditionalFormatting sqref="AA471:AA478 AA481:AA485">
    <cfRule type="cellIs" dxfId="1951" priority="3794" operator="lessThan">
      <formula>TODAY()</formula>
    </cfRule>
    <cfRule type="cellIs" dxfId="1950" priority="3795" operator="lessThan">
      <formula>TODAY()</formula>
    </cfRule>
  </conditionalFormatting>
  <conditionalFormatting sqref="AA436">
    <cfRule type="cellIs" dxfId="1949" priority="3784" operator="lessThan">
      <formula>TODAY()</formula>
    </cfRule>
    <cfRule type="cellIs" dxfId="1948" priority="3785" operator="lessThan">
      <formula>TODAY()</formula>
    </cfRule>
  </conditionalFormatting>
  <conditionalFormatting sqref="V436">
    <cfRule type="cellIs" dxfId="1947" priority="3783" operator="equal">
      <formula>"WRONG"</formula>
    </cfRule>
  </conditionalFormatting>
  <conditionalFormatting sqref="V440">
    <cfRule type="cellIs" dxfId="1946" priority="3765" operator="equal">
      <formula>"WRONG"</formula>
    </cfRule>
  </conditionalFormatting>
  <conditionalFormatting sqref="AA440">
    <cfRule type="cellIs" dxfId="1945" priority="3763" operator="lessThan">
      <formula>TODAY()</formula>
    </cfRule>
    <cfRule type="cellIs" dxfId="1944" priority="3764" operator="lessThan">
      <formula>TODAY()</formula>
    </cfRule>
  </conditionalFormatting>
  <conditionalFormatting sqref="V437">
    <cfRule type="cellIs" dxfId="1943" priority="3762" operator="equal">
      <formula>"WRONG"</formula>
    </cfRule>
  </conditionalFormatting>
  <conditionalFormatting sqref="AA437">
    <cfRule type="cellIs" dxfId="1942" priority="3760" operator="lessThan">
      <formula>TODAY()</formula>
    </cfRule>
    <cfRule type="cellIs" dxfId="1941" priority="3761" operator="lessThan">
      <formula>TODAY()</formula>
    </cfRule>
  </conditionalFormatting>
  <conditionalFormatting sqref="V438">
    <cfRule type="cellIs" dxfId="1940" priority="3759" operator="equal">
      <formula>"WRONG"</formula>
    </cfRule>
  </conditionalFormatting>
  <conditionalFormatting sqref="AA438">
    <cfRule type="cellIs" dxfId="1939" priority="3757" operator="lessThan">
      <formula>TODAY()</formula>
    </cfRule>
    <cfRule type="cellIs" dxfId="1938" priority="3758" operator="lessThan">
      <formula>TODAY()</formula>
    </cfRule>
  </conditionalFormatting>
  <conditionalFormatting sqref="V439">
    <cfRule type="cellIs" dxfId="1937" priority="3756" operator="equal">
      <formula>"WRONG"</formula>
    </cfRule>
  </conditionalFormatting>
  <conditionalFormatting sqref="AA439">
    <cfRule type="cellIs" dxfId="1936" priority="3754" operator="lessThan">
      <formula>TODAY()</formula>
    </cfRule>
    <cfRule type="cellIs" dxfId="1935" priority="3755" operator="lessThan">
      <formula>TODAY()</formula>
    </cfRule>
  </conditionalFormatting>
  <conditionalFormatting sqref="V441">
    <cfRule type="cellIs" dxfId="1934" priority="3753" operator="equal">
      <formula>"WRONG"</formula>
    </cfRule>
  </conditionalFormatting>
  <conditionalFormatting sqref="AA441">
    <cfRule type="cellIs" dxfId="1933" priority="3751" operator="lessThan">
      <formula>TODAY()</formula>
    </cfRule>
    <cfRule type="cellIs" dxfId="1932" priority="3752" operator="lessThan">
      <formula>TODAY()</formula>
    </cfRule>
  </conditionalFormatting>
  <conditionalFormatting sqref="V445">
    <cfRule type="cellIs" dxfId="1931" priority="3748" operator="equal">
      <formula>"WRONG"</formula>
    </cfRule>
  </conditionalFormatting>
  <conditionalFormatting sqref="AA445">
    <cfRule type="cellIs" dxfId="1930" priority="3746" operator="lessThan">
      <formula>TODAY()</formula>
    </cfRule>
    <cfRule type="cellIs" dxfId="1929" priority="3747" operator="lessThan">
      <formula>TODAY()</formula>
    </cfRule>
  </conditionalFormatting>
  <conditionalFormatting sqref="V442">
    <cfRule type="cellIs" dxfId="1928" priority="3745" operator="equal">
      <formula>"WRONG"</formula>
    </cfRule>
  </conditionalFormatting>
  <conditionalFormatting sqref="AA442">
    <cfRule type="cellIs" dxfId="1927" priority="3743" operator="lessThan">
      <formula>TODAY()</formula>
    </cfRule>
    <cfRule type="cellIs" dxfId="1926" priority="3744" operator="lessThan">
      <formula>TODAY()</formula>
    </cfRule>
  </conditionalFormatting>
  <conditionalFormatting sqref="V443">
    <cfRule type="cellIs" dxfId="1925" priority="3742" operator="equal">
      <formula>"WRONG"</formula>
    </cfRule>
  </conditionalFormatting>
  <conditionalFormatting sqref="AA443">
    <cfRule type="cellIs" dxfId="1924" priority="3740" operator="lessThan">
      <formula>TODAY()</formula>
    </cfRule>
    <cfRule type="cellIs" dxfId="1923" priority="3741" operator="lessThan">
      <formula>TODAY()</formula>
    </cfRule>
  </conditionalFormatting>
  <conditionalFormatting sqref="V444">
    <cfRule type="cellIs" dxfId="1922" priority="3739" operator="equal">
      <formula>"WRONG"</formula>
    </cfRule>
  </conditionalFormatting>
  <conditionalFormatting sqref="AA444">
    <cfRule type="cellIs" dxfId="1921" priority="3737" operator="lessThan">
      <formula>TODAY()</formula>
    </cfRule>
    <cfRule type="cellIs" dxfId="1920" priority="3738" operator="lessThan">
      <formula>TODAY()</formula>
    </cfRule>
  </conditionalFormatting>
  <conditionalFormatting sqref="V446:V452">
    <cfRule type="cellIs" dxfId="1919" priority="3736" operator="equal">
      <formula>"WRONG"</formula>
    </cfRule>
  </conditionalFormatting>
  <conditionalFormatting sqref="AA446:AA452">
    <cfRule type="cellIs" dxfId="1918" priority="3734" operator="lessThan">
      <formula>TODAY()</formula>
    </cfRule>
    <cfRule type="cellIs" dxfId="1917" priority="3735" operator="lessThan">
      <formula>TODAY()</formula>
    </cfRule>
  </conditionalFormatting>
  <conditionalFormatting sqref="AA433:AA435">
    <cfRule type="cellIs" dxfId="1916" priority="3730" operator="lessThan">
      <formula>TODAY()</formula>
    </cfRule>
    <cfRule type="cellIs" dxfId="1915" priority="3731" operator="lessThan">
      <formula>TODAY()</formula>
    </cfRule>
  </conditionalFormatting>
  <conditionalFormatting sqref="V433:V435">
    <cfRule type="cellIs" dxfId="1914" priority="3729" operator="equal">
      <formula>"WRONG"</formula>
    </cfRule>
  </conditionalFormatting>
  <conditionalFormatting sqref="AA430:AA432">
    <cfRule type="cellIs" dxfId="1913" priority="3727" operator="lessThan">
      <formula>TODAY()</formula>
    </cfRule>
    <cfRule type="cellIs" dxfId="1912" priority="3728" operator="lessThan">
      <formula>TODAY()</formula>
    </cfRule>
  </conditionalFormatting>
  <conditionalFormatting sqref="V430:V432">
    <cfRule type="cellIs" dxfId="1911" priority="3726" operator="equal">
      <formula>"WRONG"</formula>
    </cfRule>
  </conditionalFormatting>
  <conditionalFormatting sqref="AA428:AA429">
    <cfRule type="cellIs" dxfId="1910" priority="3724" operator="lessThan">
      <formula>TODAY()</formula>
    </cfRule>
    <cfRule type="cellIs" dxfId="1909" priority="3725" operator="lessThan">
      <formula>TODAY()</formula>
    </cfRule>
  </conditionalFormatting>
  <conditionalFormatting sqref="V428:V429">
    <cfRule type="cellIs" dxfId="1908" priority="3723" operator="equal">
      <formula>"WRONG"</formula>
    </cfRule>
  </conditionalFormatting>
  <conditionalFormatting sqref="AA427">
    <cfRule type="cellIs" dxfId="1907" priority="3721" operator="lessThan">
      <formula>TODAY()</formula>
    </cfRule>
    <cfRule type="cellIs" dxfId="1906" priority="3722" operator="lessThan">
      <formula>TODAY()</formula>
    </cfRule>
  </conditionalFormatting>
  <conditionalFormatting sqref="V427">
    <cfRule type="cellIs" dxfId="1905" priority="3720" operator="equal">
      <formula>"WRONG"</formula>
    </cfRule>
  </conditionalFormatting>
  <conditionalFormatting sqref="AA426">
    <cfRule type="cellIs" dxfId="1904" priority="3716" operator="lessThan">
      <formula>TODAY()</formula>
    </cfRule>
    <cfRule type="cellIs" dxfId="1903" priority="3717" operator="lessThan">
      <formula>TODAY()</formula>
    </cfRule>
  </conditionalFormatting>
  <conditionalFormatting sqref="V426">
    <cfRule type="cellIs" dxfId="1902" priority="3715" operator="equal">
      <formula>"WRONG"</formula>
    </cfRule>
  </conditionalFormatting>
  <conditionalFormatting sqref="AA493">
    <cfRule type="cellIs" dxfId="1901" priority="3711" operator="lessThan">
      <formula>TODAY()</formula>
    </cfRule>
    <cfRule type="cellIs" dxfId="1900" priority="3712" operator="lessThan">
      <formula>TODAY()</formula>
    </cfRule>
  </conditionalFormatting>
  <conditionalFormatting sqref="AA459:AA460 AA491:AA492">
    <cfRule type="cellIs" dxfId="1899" priority="3706" operator="lessThan">
      <formula>TODAY()</formula>
    </cfRule>
    <cfRule type="cellIs" dxfId="1898" priority="3707" operator="lessThan">
      <formula>TODAY()</formula>
    </cfRule>
  </conditionalFormatting>
  <conditionalFormatting sqref="V459:V460">
    <cfRule type="cellIs" dxfId="1897" priority="3705" operator="equal">
      <formula>"WRONG"</formula>
    </cfRule>
  </conditionalFormatting>
  <conditionalFormatting sqref="AA456:AA458">
    <cfRule type="cellIs" dxfId="1896" priority="3703" operator="lessThan">
      <formula>TODAY()</formula>
    </cfRule>
    <cfRule type="cellIs" dxfId="1895" priority="3704" operator="lessThan">
      <formula>TODAY()</formula>
    </cfRule>
  </conditionalFormatting>
  <conditionalFormatting sqref="V456:V458">
    <cfRule type="cellIs" dxfId="1894" priority="3702" operator="equal">
      <formula>"WRONG"</formula>
    </cfRule>
  </conditionalFormatting>
  <conditionalFormatting sqref="AA454:AA455">
    <cfRule type="cellIs" dxfId="1893" priority="3700" operator="lessThan">
      <formula>TODAY()</formula>
    </cfRule>
    <cfRule type="cellIs" dxfId="1892" priority="3701" operator="lessThan">
      <formula>TODAY()</formula>
    </cfRule>
  </conditionalFormatting>
  <conditionalFormatting sqref="V454:V455">
    <cfRule type="cellIs" dxfId="1891" priority="3699" operator="equal">
      <formula>"WRONG"</formula>
    </cfRule>
  </conditionalFormatting>
  <conditionalFormatting sqref="AA453">
    <cfRule type="cellIs" dxfId="1890" priority="3697" operator="lessThan">
      <formula>TODAY()</formula>
    </cfRule>
    <cfRule type="cellIs" dxfId="1889" priority="3698" operator="lessThan">
      <formula>TODAY()</formula>
    </cfRule>
  </conditionalFormatting>
  <conditionalFormatting sqref="V453">
    <cfRule type="cellIs" dxfId="1888" priority="3696" operator="equal">
      <formula>"WRONG"</formula>
    </cfRule>
  </conditionalFormatting>
  <conditionalFormatting sqref="AA488:AA490">
    <cfRule type="cellIs" dxfId="1887" priority="3692" operator="lessThan">
      <formula>TODAY()</formula>
    </cfRule>
    <cfRule type="cellIs" dxfId="1886" priority="3693" operator="lessThan">
      <formula>TODAY()</formula>
    </cfRule>
  </conditionalFormatting>
  <conditionalFormatting sqref="AA486:AA487">
    <cfRule type="cellIs" dxfId="1885" priority="3689" operator="lessThan">
      <formula>TODAY()</formula>
    </cfRule>
    <cfRule type="cellIs" dxfId="1884" priority="3690" operator="lessThan">
      <formula>TODAY()</formula>
    </cfRule>
  </conditionalFormatting>
  <conditionalFormatting sqref="AA463:AA464">
    <cfRule type="cellIs" dxfId="1883" priority="3664" operator="lessThan">
      <formula>TODAY()</formula>
    </cfRule>
    <cfRule type="cellIs" dxfId="1882" priority="3665" operator="lessThan">
      <formula>TODAY()</formula>
    </cfRule>
  </conditionalFormatting>
  <conditionalFormatting sqref="V463:V464">
    <cfRule type="cellIs" dxfId="1881" priority="3663" operator="equal">
      <formula>"WRONG"</formula>
    </cfRule>
  </conditionalFormatting>
  <conditionalFormatting sqref="AA462">
    <cfRule type="cellIs" dxfId="1880" priority="3661" operator="lessThan">
      <formula>TODAY()</formula>
    </cfRule>
    <cfRule type="cellIs" dxfId="1879" priority="3662" operator="lessThan">
      <formula>TODAY()</formula>
    </cfRule>
  </conditionalFormatting>
  <conditionalFormatting sqref="V462">
    <cfRule type="cellIs" dxfId="1878" priority="3660" operator="equal">
      <formula>"WRONG"</formula>
    </cfRule>
  </conditionalFormatting>
  <conditionalFormatting sqref="V465:V468">
    <cfRule type="cellIs" dxfId="1877" priority="3657" operator="equal">
      <formula>"WRONG"</formula>
    </cfRule>
  </conditionalFormatting>
  <conditionalFormatting sqref="AA465:AA468">
    <cfRule type="cellIs" dxfId="1876" priority="3655" operator="lessThan">
      <formula>TODAY()</formula>
    </cfRule>
    <cfRule type="cellIs" dxfId="1875" priority="3656" operator="lessThan">
      <formula>TODAY()</formula>
    </cfRule>
  </conditionalFormatting>
  <conditionalFormatting sqref="V469:V470">
    <cfRule type="cellIs" dxfId="1874" priority="3652" operator="equal">
      <formula>"WRONG"</formula>
    </cfRule>
  </conditionalFormatting>
  <conditionalFormatting sqref="AA469:AA470">
    <cfRule type="cellIs" dxfId="1873" priority="3650" operator="lessThan">
      <formula>TODAY()</formula>
    </cfRule>
    <cfRule type="cellIs" dxfId="1872" priority="3651" operator="lessThan">
      <formula>TODAY()</formula>
    </cfRule>
  </conditionalFormatting>
  <conditionalFormatting sqref="AA494:AA498 AA507:AA513">
    <cfRule type="cellIs" dxfId="1871" priority="3639" operator="lessThan">
      <formula>TODAY()</formula>
    </cfRule>
    <cfRule type="cellIs" dxfId="1870" priority="3640" operator="lessThan">
      <formula>TODAY()</formula>
    </cfRule>
  </conditionalFormatting>
  <conditionalFormatting sqref="V494:V498 V507:V513">
    <cfRule type="cellIs" dxfId="1869" priority="3638" operator="equal">
      <formula>"WRONG"</formula>
    </cfRule>
  </conditionalFormatting>
  <conditionalFormatting sqref="AA499 AA501:AA503">
    <cfRule type="cellIs" dxfId="1868" priority="3634" operator="lessThan">
      <formula>TODAY()</formula>
    </cfRule>
    <cfRule type="cellIs" dxfId="1867" priority="3635" operator="lessThan">
      <formula>TODAY()</formula>
    </cfRule>
  </conditionalFormatting>
  <conditionalFormatting sqref="V499 V501:V503">
    <cfRule type="cellIs" dxfId="1866" priority="3633" operator="equal">
      <formula>"WRONG"</formula>
    </cfRule>
  </conditionalFormatting>
  <conditionalFormatting sqref="AA524 AA539">
    <cfRule type="cellIs" dxfId="1865" priority="3624" operator="lessThan">
      <formula>TODAY()</formula>
    </cfRule>
    <cfRule type="cellIs" dxfId="1864" priority="3625" operator="lessThan">
      <formula>TODAY()</formula>
    </cfRule>
  </conditionalFormatting>
  <conditionalFormatting sqref="V524 V539">
    <cfRule type="cellIs" dxfId="1863" priority="3623" operator="equal">
      <formula>"WRONG"</formula>
    </cfRule>
  </conditionalFormatting>
  <conditionalFormatting sqref="AA522:AA523">
    <cfRule type="cellIs" dxfId="1862" priority="3619" operator="lessThan">
      <formula>TODAY()</formula>
    </cfRule>
    <cfRule type="cellIs" dxfId="1861" priority="3620" operator="lessThan">
      <formula>TODAY()</formula>
    </cfRule>
  </conditionalFormatting>
  <conditionalFormatting sqref="V522:V523">
    <cfRule type="cellIs" dxfId="1860" priority="3618" operator="equal">
      <formula>"WRONG"</formula>
    </cfRule>
  </conditionalFormatting>
  <conditionalFormatting sqref="AA538">
    <cfRule type="cellIs" dxfId="1859" priority="3614" operator="lessThan">
      <formula>TODAY()</formula>
    </cfRule>
    <cfRule type="cellIs" dxfId="1858" priority="3615" operator="lessThan">
      <formula>TODAY()</formula>
    </cfRule>
  </conditionalFormatting>
  <conditionalFormatting sqref="V538">
    <cfRule type="cellIs" dxfId="1857" priority="3613" operator="equal">
      <formula>"WRONG"</formula>
    </cfRule>
  </conditionalFormatting>
  <conditionalFormatting sqref="AA536:AA537">
    <cfRule type="cellIs" dxfId="1856" priority="3611" operator="lessThan">
      <formula>TODAY()</formula>
    </cfRule>
    <cfRule type="cellIs" dxfId="1855" priority="3612" operator="lessThan">
      <formula>TODAY()</formula>
    </cfRule>
  </conditionalFormatting>
  <conditionalFormatting sqref="V536:V537">
    <cfRule type="cellIs" dxfId="1854" priority="3610" operator="equal">
      <formula>"WRONG"</formula>
    </cfRule>
  </conditionalFormatting>
  <conditionalFormatting sqref="AA535">
    <cfRule type="cellIs" dxfId="1853" priority="3608" operator="lessThan">
      <formula>TODAY()</formula>
    </cfRule>
    <cfRule type="cellIs" dxfId="1852" priority="3609" operator="lessThan">
      <formula>TODAY()</formula>
    </cfRule>
  </conditionalFormatting>
  <conditionalFormatting sqref="V535">
    <cfRule type="cellIs" dxfId="1851" priority="3607" operator="equal">
      <formula>"WRONG"</formula>
    </cfRule>
  </conditionalFormatting>
  <conditionalFormatting sqref="AA461">
    <cfRule type="cellIs" dxfId="1850" priority="3602" operator="lessThan">
      <formula>TODAY()</formula>
    </cfRule>
    <cfRule type="cellIs" dxfId="1849" priority="3603" operator="lessThan">
      <formula>TODAY()</formula>
    </cfRule>
  </conditionalFormatting>
  <conditionalFormatting sqref="V461">
    <cfRule type="cellIs" dxfId="1848" priority="3604" operator="equal">
      <formula>"WRONG"</formula>
    </cfRule>
  </conditionalFormatting>
  <conditionalFormatting sqref="AA534 AA602">
    <cfRule type="cellIs" dxfId="1847" priority="3598" operator="lessThan">
      <formula>TODAY()</formula>
    </cfRule>
    <cfRule type="cellIs" dxfId="1846" priority="3599" operator="lessThan">
      <formula>TODAY()</formula>
    </cfRule>
  </conditionalFormatting>
  <conditionalFormatting sqref="V534 V602">
    <cfRule type="cellIs" dxfId="1845" priority="3597" operator="equal">
      <formula>"WRONG"</formula>
    </cfRule>
  </conditionalFormatting>
  <conditionalFormatting sqref="AA532:AA533">
    <cfRule type="cellIs" dxfId="1844" priority="3593" operator="lessThan">
      <formula>TODAY()</formula>
    </cfRule>
    <cfRule type="cellIs" dxfId="1843" priority="3594" operator="lessThan">
      <formula>TODAY()</formula>
    </cfRule>
  </conditionalFormatting>
  <conditionalFormatting sqref="V532:V533">
    <cfRule type="cellIs" dxfId="1842" priority="3592" operator="equal">
      <formula>"WRONG"</formula>
    </cfRule>
  </conditionalFormatting>
  <conditionalFormatting sqref="AA530:AA531">
    <cfRule type="cellIs" dxfId="1841" priority="3588" operator="lessThan">
      <formula>TODAY()</formula>
    </cfRule>
    <cfRule type="cellIs" dxfId="1840" priority="3589" operator="lessThan">
      <formula>TODAY()</formula>
    </cfRule>
  </conditionalFormatting>
  <conditionalFormatting sqref="V530:V531">
    <cfRule type="cellIs" dxfId="1839" priority="3587" operator="equal">
      <formula>"WRONG"</formula>
    </cfRule>
  </conditionalFormatting>
  <conditionalFormatting sqref="AA529">
    <cfRule type="cellIs" dxfId="1838" priority="3583" operator="lessThan">
      <formula>TODAY()</formula>
    </cfRule>
    <cfRule type="cellIs" dxfId="1837" priority="3584" operator="lessThan">
      <formula>TODAY()</formula>
    </cfRule>
  </conditionalFormatting>
  <conditionalFormatting sqref="V529">
    <cfRule type="cellIs" dxfId="1836" priority="3582" operator="equal">
      <formula>"WRONG"</formula>
    </cfRule>
  </conditionalFormatting>
  <conditionalFormatting sqref="AA527:AA528">
    <cfRule type="cellIs" dxfId="1835" priority="3578" operator="lessThan">
      <formula>TODAY()</formula>
    </cfRule>
    <cfRule type="cellIs" dxfId="1834" priority="3579" operator="lessThan">
      <formula>TODAY()</formula>
    </cfRule>
  </conditionalFormatting>
  <conditionalFormatting sqref="V527:V528">
    <cfRule type="cellIs" dxfId="1833" priority="3577" operator="equal">
      <formula>"WRONG"</formula>
    </cfRule>
  </conditionalFormatting>
  <conditionalFormatting sqref="AA525:AA526">
    <cfRule type="cellIs" dxfId="1832" priority="3573" operator="lessThan">
      <formula>TODAY()</formula>
    </cfRule>
    <cfRule type="cellIs" dxfId="1831" priority="3574" operator="lessThan">
      <formula>TODAY()</formula>
    </cfRule>
  </conditionalFormatting>
  <conditionalFormatting sqref="V525:V526">
    <cfRule type="cellIs" dxfId="1830" priority="3572" operator="equal">
      <formula>"WRONG"</formula>
    </cfRule>
  </conditionalFormatting>
  <conditionalFormatting sqref="AA573">
    <cfRule type="cellIs" dxfId="1829" priority="3563" operator="lessThan">
      <formula>TODAY()</formula>
    </cfRule>
    <cfRule type="cellIs" dxfId="1828" priority="3564" operator="lessThan">
      <formula>TODAY()</formula>
    </cfRule>
  </conditionalFormatting>
  <conditionalFormatting sqref="V573">
    <cfRule type="cellIs" dxfId="1827" priority="3562" operator="equal">
      <formula>"WRONG"</formula>
    </cfRule>
  </conditionalFormatting>
  <conditionalFormatting sqref="AA560">
    <cfRule type="cellIs" dxfId="1826" priority="3553" operator="lessThan">
      <formula>TODAY()</formula>
    </cfRule>
    <cfRule type="cellIs" dxfId="1825" priority="3554" operator="lessThan">
      <formula>TODAY()</formula>
    </cfRule>
  </conditionalFormatting>
  <conditionalFormatting sqref="V560">
    <cfRule type="cellIs" dxfId="1824" priority="3552" operator="equal">
      <formula>"WRONG"</formula>
    </cfRule>
  </conditionalFormatting>
  <conditionalFormatting sqref="AA558:AA559">
    <cfRule type="cellIs" dxfId="1823" priority="3548" operator="lessThan">
      <formula>TODAY()</formula>
    </cfRule>
    <cfRule type="cellIs" dxfId="1822" priority="3549" operator="lessThan">
      <formula>TODAY()</formula>
    </cfRule>
  </conditionalFormatting>
  <conditionalFormatting sqref="V558:V559">
    <cfRule type="cellIs" dxfId="1821" priority="3547" operator="equal">
      <formula>"WRONG"</formula>
    </cfRule>
  </conditionalFormatting>
  <conditionalFormatting sqref="AA557">
    <cfRule type="cellIs" dxfId="1820" priority="3543" operator="lessThan">
      <formula>TODAY()</formula>
    </cfRule>
    <cfRule type="cellIs" dxfId="1819" priority="3544" operator="lessThan">
      <formula>TODAY()</formula>
    </cfRule>
  </conditionalFormatting>
  <conditionalFormatting sqref="V557">
    <cfRule type="cellIs" dxfId="1818" priority="3542" operator="equal">
      <formula>"WRONG"</formula>
    </cfRule>
  </conditionalFormatting>
  <conditionalFormatting sqref="AA556">
    <cfRule type="cellIs" dxfId="1817" priority="3536" operator="lessThan">
      <formula>TODAY()</formula>
    </cfRule>
    <cfRule type="cellIs" dxfId="1816" priority="3537" operator="lessThan">
      <formula>TODAY()</formula>
    </cfRule>
  </conditionalFormatting>
  <conditionalFormatting sqref="V556">
    <cfRule type="cellIs" dxfId="1815" priority="3535" operator="equal">
      <formula>"WRONG"</formula>
    </cfRule>
  </conditionalFormatting>
  <conditionalFormatting sqref="V653:V656">
    <cfRule type="cellIs" dxfId="1814" priority="3532" operator="equal">
      <formula>"WRONG"</formula>
    </cfRule>
  </conditionalFormatting>
  <conditionalFormatting sqref="AA653:AA656">
    <cfRule type="cellIs" dxfId="1813" priority="3530" operator="lessThan">
      <formula>TODAY()</formula>
    </cfRule>
    <cfRule type="cellIs" dxfId="1812" priority="3531" operator="lessThan">
      <formula>TODAY()</formula>
    </cfRule>
  </conditionalFormatting>
  <conditionalFormatting sqref="V572">
    <cfRule type="cellIs" dxfId="1811" priority="3517" operator="equal">
      <formula>"WRONG"</formula>
    </cfRule>
  </conditionalFormatting>
  <conditionalFormatting sqref="V581">
    <cfRule type="cellIs" dxfId="1810" priority="3514" operator="equal">
      <formula>"WRONG"</formula>
    </cfRule>
  </conditionalFormatting>
  <conditionalFormatting sqref="V577">
    <cfRule type="cellIs" dxfId="1809" priority="3511" operator="equal">
      <formula>"WRONG"</formula>
    </cfRule>
  </conditionalFormatting>
  <conditionalFormatting sqref="V578">
    <cfRule type="cellIs" dxfId="1808" priority="3508" operator="equal">
      <formula>"WRONG"</formula>
    </cfRule>
  </conditionalFormatting>
  <conditionalFormatting sqref="V579">
    <cfRule type="cellIs" dxfId="1807" priority="3505" operator="equal">
      <formula>"WRONG"</formula>
    </cfRule>
  </conditionalFormatting>
  <conditionalFormatting sqref="V822:V831">
    <cfRule type="cellIs" dxfId="1806" priority="3497" operator="equal">
      <formula>"WRONG"</formula>
    </cfRule>
  </conditionalFormatting>
  <conditionalFormatting sqref="AA822:AA831">
    <cfRule type="cellIs" dxfId="1805" priority="3495" operator="lessThan">
      <formula>TODAY()</formula>
    </cfRule>
    <cfRule type="cellIs" dxfId="1804" priority="3496" operator="lessThan">
      <formula>TODAY()</formula>
    </cfRule>
  </conditionalFormatting>
  <conditionalFormatting sqref="AA784">
    <cfRule type="cellIs" dxfId="1803" priority="3470" operator="lessThan">
      <formula>TODAY()</formula>
    </cfRule>
    <cfRule type="cellIs" dxfId="1802" priority="3471" operator="lessThan">
      <formula>TODAY()</formula>
    </cfRule>
  </conditionalFormatting>
  <conditionalFormatting sqref="AA783">
    <cfRule type="cellIs" dxfId="1801" priority="3459" operator="lessThan">
      <formula>TODAY()</formula>
    </cfRule>
    <cfRule type="cellIs" dxfId="1800" priority="3460" operator="lessThan">
      <formula>TODAY()</formula>
    </cfRule>
  </conditionalFormatting>
  <conditionalFormatting sqref="AA782">
    <cfRule type="cellIs" dxfId="1799" priority="3457" operator="lessThan">
      <formula>TODAY()</formula>
    </cfRule>
    <cfRule type="cellIs" dxfId="1798" priority="3458" operator="lessThan">
      <formula>TODAY()</formula>
    </cfRule>
  </conditionalFormatting>
  <conditionalFormatting sqref="V782:V783">
    <cfRule type="cellIs" dxfId="1797" priority="3456" operator="equal">
      <formula>"WRONG"</formula>
    </cfRule>
  </conditionalFormatting>
  <conditionalFormatting sqref="AA864:AA869">
    <cfRule type="cellIs" dxfId="1796" priority="3266" operator="lessThan">
      <formula>TODAY()</formula>
    </cfRule>
    <cfRule type="cellIs" dxfId="1795" priority="3267" operator="lessThan">
      <formula>TODAY()</formula>
    </cfRule>
  </conditionalFormatting>
  <conditionalFormatting sqref="V864:V869">
    <cfRule type="cellIs" dxfId="1794" priority="3268" operator="equal">
      <formula>"WRONG"</formula>
    </cfRule>
  </conditionalFormatting>
  <conditionalFormatting sqref="AA727">
    <cfRule type="cellIs" dxfId="1793" priority="3258" operator="lessThan">
      <formula>TODAY()</formula>
    </cfRule>
    <cfRule type="cellIs" dxfId="1792" priority="3259" operator="lessThan">
      <formula>TODAY()</formula>
    </cfRule>
  </conditionalFormatting>
  <conditionalFormatting sqref="V727">
    <cfRule type="cellIs" dxfId="1791" priority="3260" operator="equal">
      <formula>"WRONG"</formula>
    </cfRule>
  </conditionalFormatting>
  <conditionalFormatting sqref="AA744">
    <cfRule type="cellIs" dxfId="1790" priority="3250" operator="lessThan">
      <formula>TODAY()</formula>
    </cfRule>
    <cfRule type="cellIs" dxfId="1789" priority="3251" operator="lessThan">
      <formula>TODAY()</formula>
    </cfRule>
  </conditionalFormatting>
  <conditionalFormatting sqref="V744">
    <cfRule type="cellIs" dxfId="1788" priority="3252" operator="equal">
      <formula>"WRONG"</formula>
    </cfRule>
  </conditionalFormatting>
  <conditionalFormatting sqref="AA787">
    <cfRule type="cellIs" dxfId="1787" priority="3220" operator="lessThan">
      <formula>TODAY()</formula>
    </cfRule>
    <cfRule type="cellIs" dxfId="1786" priority="3221" operator="lessThan">
      <formula>TODAY()</formula>
    </cfRule>
  </conditionalFormatting>
  <conditionalFormatting sqref="V787">
    <cfRule type="cellIs" dxfId="1785" priority="3217" operator="equal">
      <formula>"WRONG"</formula>
    </cfRule>
  </conditionalFormatting>
  <conditionalFormatting sqref="AA817:AA820">
    <cfRule type="cellIs" dxfId="1784" priority="3200" operator="lessThan">
      <formula>TODAY()</formula>
    </cfRule>
    <cfRule type="cellIs" dxfId="1783" priority="3201" operator="lessThan">
      <formula>TODAY()</formula>
    </cfRule>
  </conditionalFormatting>
  <conditionalFormatting sqref="V817:V820">
    <cfRule type="cellIs" dxfId="1782" priority="3202" operator="equal">
      <formula>"WRONG"</formula>
    </cfRule>
  </conditionalFormatting>
  <conditionalFormatting sqref="V846">
    <cfRule type="cellIs" dxfId="1781" priority="2995" operator="equal">
      <formula>"WRONG"</formula>
    </cfRule>
  </conditionalFormatting>
  <conditionalFormatting sqref="AA846">
    <cfRule type="cellIs" dxfId="1780" priority="2993" operator="lessThan">
      <formula>TODAY()</formula>
    </cfRule>
    <cfRule type="cellIs" dxfId="1779" priority="2994" operator="lessThan">
      <formula>TODAY()</formula>
    </cfRule>
  </conditionalFormatting>
  <conditionalFormatting sqref="AA1001">
    <cfRule type="cellIs" dxfId="1778" priority="2986" operator="lessThan">
      <formula>TODAY()</formula>
    </cfRule>
    <cfRule type="cellIs" dxfId="1777" priority="2987" operator="lessThan">
      <formula>TODAY()</formula>
    </cfRule>
  </conditionalFormatting>
  <conditionalFormatting sqref="V1001">
    <cfRule type="cellIs" dxfId="1776" priority="2985" operator="equal">
      <formula>"WRONG"</formula>
    </cfRule>
  </conditionalFormatting>
  <conditionalFormatting sqref="AA952">
    <cfRule type="cellIs" dxfId="1775" priority="2889" operator="lessThan">
      <formula>TODAY()</formula>
    </cfRule>
    <cfRule type="cellIs" dxfId="1774" priority="2890" operator="lessThan">
      <formula>TODAY()</formula>
    </cfRule>
  </conditionalFormatting>
  <conditionalFormatting sqref="V952">
    <cfRule type="cellIs" dxfId="1773" priority="2888" operator="equal">
      <formula>"WRONG"</formula>
    </cfRule>
  </conditionalFormatting>
  <conditionalFormatting sqref="V605">
    <cfRule type="cellIs" dxfId="1772" priority="2859" operator="equal">
      <formula>"WRONG"</formula>
    </cfRule>
  </conditionalFormatting>
  <conditionalFormatting sqref="V611">
    <cfRule type="cellIs" dxfId="1771" priority="2856" operator="equal">
      <formula>"WRONG"</formula>
    </cfRule>
  </conditionalFormatting>
  <conditionalFormatting sqref="V858:V859">
    <cfRule type="cellIs" dxfId="1770" priority="2848" operator="equal">
      <formula>"WRONG"</formula>
    </cfRule>
  </conditionalFormatting>
  <conditionalFormatting sqref="AA910">
    <cfRule type="cellIs" dxfId="1769" priority="2839" operator="lessThan">
      <formula>TODAY()</formula>
    </cfRule>
    <cfRule type="cellIs" dxfId="1768" priority="2840" operator="lessThan">
      <formula>TODAY()</formula>
    </cfRule>
  </conditionalFormatting>
  <conditionalFormatting sqref="AA898">
    <cfRule type="cellIs" dxfId="1767" priority="2832" operator="lessThan">
      <formula>TODAY()</formula>
    </cfRule>
    <cfRule type="cellIs" dxfId="1766" priority="2833" operator="lessThan">
      <formula>TODAY()</formula>
    </cfRule>
  </conditionalFormatting>
  <conditionalFormatting sqref="AA882">
    <cfRule type="cellIs" dxfId="1765" priority="2429" operator="lessThan">
      <formula>TODAY()</formula>
    </cfRule>
    <cfRule type="cellIs" dxfId="1764" priority="2430" operator="lessThan">
      <formula>TODAY()</formula>
    </cfRule>
  </conditionalFormatting>
  <conditionalFormatting sqref="V882">
    <cfRule type="cellIs" dxfId="1763" priority="2428" operator="equal">
      <formula>"WRONG"</formula>
    </cfRule>
  </conditionalFormatting>
  <conditionalFormatting sqref="AA881">
    <cfRule type="cellIs" dxfId="1762" priority="2424" operator="lessThan">
      <formula>TODAY()</formula>
    </cfRule>
    <cfRule type="cellIs" dxfId="1761" priority="2425" operator="lessThan">
      <formula>TODAY()</formula>
    </cfRule>
  </conditionalFormatting>
  <conditionalFormatting sqref="V881">
    <cfRule type="cellIs" dxfId="1760" priority="2423" operator="equal">
      <formula>"WRONG"</formula>
    </cfRule>
  </conditionalFormatting>
  <conditionalFormatting sqref="AA885">
    <cfRule type="cellIs" dxfId="1759" priority="2388" operator="lessThan">
      <formula>TODAY()</formula>
    </cfRule>
    <cfRule type="cellIs" dxfId="1758" priority="2389" operator="lessThan">
      <formula>TODAY()</formula>
    </cfRule>
  </conditionalFormatting>
  <conditionalFormatting sqref="V885">
    <cfRule type="cellIs" dxfId="1757" priority="2387" operator="equal">
      <formula>"WRONG"</formula>
    </cfRule>
  </conditionalFormatting>
  <conditionalFormatting sqref="AA884">
    <cfRule type="cellIs" dxfId="1756" priority="2378" operator="lessThan">
      <formula>TODAY()</formula>
    </cfRule>
    <cfRule type="cellIs" dxfId="1755" priority="2379" operator="lessThan">
      <formula>TODAY()</formula>
    </cfRule>
  </conditionalFormatting>
  <conditionalFormatting sqref="AA883">
    <cfRule type="cellIs" dxfId="1754" priority="2376" operator="lessThan">
      <formula>TODAY()</formula>
    </cfRule>
    <cfRule type="cellIs" dxfId="1753" priority="2377" operator="lessThan">
      <formula>TODAY()</formula>
    </cfRule>
  </conditionalFormatting>
  <conditionalFormatting sqref="V883:V884">
    <cfRule type="cellIs" dxfId="1752" priority="2375" operator="equal">
      <formula>"WRONG"</formula>
    </cfRule>
  </conditionalFormatting>
  <conditionalFormatting sqref="AA937">
    <cfRule type="cellIs" dxfId="1751" priority="2371" operator="lessThan">
      <formula>TODAY()</formula>
    </cfRule>
    <cfRule type="cellIs" dxfId="1750" priority="2372" operator="lessThan">
      <formula>TODAY()</formula>
    </cfRule>
  </conditionalFormatting>
  <conditionalFormatting sqref="AA924">
    <cfRule type="cellIs" dxfId="1749" priority="2369" operator="lessThan">
      <formula>TODAY()</formula>
    </cfRule>
    <cfRule type="cellIs" dxfId="1748" priority="2370" operator="lessThan">
      <formula>TODAY()</formula>
    </cfRule>
  </conditionalFormatting>
  <conditionalFormatting sqref="V924 V937">
    <cfRule type="cellIs" dxfId="1747" priority="2368" operator="equal">
      <formula>"WRONG"</formula>
    </cfRule>
  </conditionalFormatting>
  <conditionalFormatting sqref="AA923">
    <cfRule type="cellIs" dxfId="1746" priority="2364" operator="lessThan">
      <formula>TODAY()</formula>
    </cfRule>
    <cfRule type="cellIs" dxfId="1745" priority="2365" operator="lessThan">
      <formula>TODAY()</formula>
    </cfRule>
  </conditionalFormatting>
  <conditionalFormatting sqref="V923">
    <cfRule type="cellIs" dxfId="1744" priority="2363" operator="equal">
      <formula>"WRONG"</formula>
    </cfRule>
  </conditionalFormatting>
  <conditionalFormatting sqref="AA921">
    <cfRule type="cellIs" dxfId="1743" priority="2359" operator="lessThan">
      <formula>TODAY()</formula>
    </cfRule>
    <cfRule type="cellIs" dxfId="1742" priority="2360" operator="lessThan">
      <formula>TODAY()</formula>
    </cfRule>
  </conditionalFormatting>
  <conditionalFormatting sqref="AA920">
    <cfRule type="cellIs" dxfId="1741" priority="2357" operator="lessThan">
      <formula>TODAY()</formula>
    </cfRule>
    <cfRule type="cellIs" dxfId="1740" priority="2358" operator="lessThan">
      <formula>TODAY()</formula>
    </cfRule>
  </conditionalFormatting>
  <conditionalFormatting sqref="V920:V921">
    <cfRule type="cellIs" dxfId="1739" priority="2356" operator="equal">
      <formula>"WRONG"</formula>
    </cfRule>
  </conditionalFormatting>
  <conditionalFormatting sqref="AA922">
    <cfRule type="cellIs" dxfId="1738" priority="2352" operator="lessThan">
      <formula>TODAY()</formula>
    </cfRule>
    <cfRule type="cellIs" dxfId="1737" priority="2353" operator="lessThan">
      <formula>TODAY()</formula>
    </cfRule>
  </conditionalFormatting>
  <conditionalFormatting sqref="V922">
    <cfRule type="cellIs" dxfId="1736" priority="2351" operator="equal">
      <formula>"WRONG"</formula>
    </cfRule>
  </conditionalFormatting>
  <conditionalFormatting sqref="AA886">
    <cfRule type="cellIs" dxfId="1735" priority="2345" operator="lessThan">
      <formula>TODAY()</formula>
    </cfRule>
    <cfRule type="cellIs" dxfId="1734" priority="2346" operator="lessThan">
      <formula>TODAY()</formula>
    </cfRule>
  </conditionalFormatting>
  <conditionalFormatting sqref="AA936">
    <cfRule type="cellIs" dxfId="1733" priority="2340" operator="lessThan">
      <formula>TODAY()</formula>
    </cfRule>
    <cfRule type="cellIs" dxfId="1732" priority="2341" operator="lessThan">
      <formula>TODAY()</formula>
    </cfRule>
  </conditionalFormatting>
  <conditionalFormatting sqref="V936">
    <cfRule type="cellIs" dxfId="1731" priority="2339" operator="equal">
      <formula>"WRONG"</formula>
    </cfRule>
  </conditionalFormatting>
  <conditionalFormatting sqref="AA945">
    <cfRule type="cellIs" dxfId="1730" priority="2328" operator="lessThan">
      <formula>TODAY()</formula>
    </cfRule>
    <cfRule type="cellIs" dxfId="1729" priority="2329" operator="lessThan">
      <formula>TODAY()</formula>
    </cfRule>
  </conditionalFormatting>
  <conditionalFormatting sqref="AA934">
    <cfRule type="cellIs" dxfId="1728" priority="2323" operator="lessThan">
      <formula>TODAY()</formula>
    </cfRule>
    <cfRule type="cellIs" dxfId="1727" priority="2324" operator="lessThan">
      <formula>TODAY()</formula>
    </cfRule>
  </conditionalFormatting>
  <conditionalFormatting sqref="V934">
    <cfRule type="cellIs" dxfId="1726" priority="2322" operator="equal">
      <formula>"WRONG"</formula>
    </cfRule>
  </conditionalFormatting>
  <conditionalFormatting sqref="AA925">
    <cfRule type="cellIs" dxfId="1725" priority="2316" operator="lessThan">
      <formula>TODAY()</formula>
    </cfRule>
    <cfRule type="cellIs" dxfId="1724" priority="2317" operator="lessThan">
      <formula>TODAY()</formula>
    </cfRule>
  </conditionalFormatting>
  <conditionalFormatting sqref="AA1232:AA1236">
    <cfRule type="cellIs" dxfId="1723" priority="2301" operator="lessThan">
      <formula>TODAY()</formula>
    </cfRule>
    <cfRule type="cellIs" dxfId="1722" priority="2302" operator="lessThan">
      <formula>TODAY()</formula>
    </cfRule>
  </conditionalFormatting>
  <conditionalFormatting sqref="AA912">
    <cfRule type="cellIs" dxfId="1721" priority="2275" operator="lessThan">
      <formula>TODAY()</formula>
    </cfRule>
    <cfRule type="cellIs" dxfId="1720" priority="2276" operator="lessThan">
      <formula>TODAY()</formula>
    </cfRule>
  </conditionalFormatting>
  <conditionalFormatting sqref="V912">
    <cfRule type="cellIs" dxfId="1719" priority="2274" operator="equal">
      <formula>"WRONG"</formula>
    </cfRule>
  </conditionalFormatting>
  <conditionalFormatting sqref="AA913">
    <cfRule type="cellIs" dxfId="1718" priority="2256" operator="lessThan">
      <formula>TODAY()</formula>
    </cfRule>
    <cfRule type="cellIs" dxfId="1717" priority="2257" operator="lessThan">
      <formula>TODAY()</formula>
    </cfRule>
  </conditionalFormatting>
  <conditionalFormatting sqref="V913">
    <cfRule type="cellIs" dxfId="1716" priority="2255" operator="equal">
      <formula>"WRONG"</formula>
    </cfRule>
  </conditionalFormatting>
  <conditionalFormatting sqref="AA879">
    <cfRule type="cellIs" dxfId="1715" priority="2251" operator="lessThan">
      <formula>TODAY()</formula>
    </cfRule>
    <cfRule type="cellIs" dxfId="1714" priority="2252" operator="lessThan">
      <formula>TODAY()</formula>
    </cfRule>
  </conditionalFormatting>
  <conditionalFormatting sqref="V879">
    <cfRule type="cellIs" dxfId="1713" priority="2250" operator="equal">
      <formula>"WRONG"</formula>
    </cfRule>
  </conditionalFormatting>
  <conditionalFormatting sqref="V663">
    <cfRule type="cellIs" dxfId="1712" priority="2217" operator="equal">
      <formula>"WRONG"</formula>
    </cfRule>
  </conditionalFormatting>
  <conditionalFormatting sqref="V677">
    <cfRule type="cellIs" dxfId="1711" priority="2214" operator="equal">
      <formula>"WRONG"</formula>
    </cfRule>
  </conditionalFormatting>
  <conditionalFormatting sqref="V928:V929">
    <cfRule type="cellIs" dxfId="1710" priority="2211" operator="equal">
      <formula>"WRONG"</formula>
    </cfRule>
  </conditionalFormatting>
  <conditionalFormatting sqref="AA928:AA929">
    <cfRule type="cellIs" dxfId="1709" priority="2209" operator="lessThan">
      <formula>TODAY()</formula>
    </cfRule>
    <cfRule type="cellIs" dxfId="1708" priority="2210" operator="lessThan">
      <formula>TODAY()</formula>
    </cfRule>
  </conditionalFormatting>
  <conditionalFormatting sqref="AA928">
    <cfRule type="cellIs" dxfId="1707" priority="2207" operator="lessThan">
      <formula>TODAY()</formula>
    </cfRule>
    <cfRule type="cellIs" dxfId="1706" priority="2208" operator="lessThan">
      <formula>TODAY()</formula>
    </cfRule>
  </conditionalFormatting>
  <conditionalFormatting sqref="V928">
    <cfRule type="cellIs" dxfId="1705" priority="2206" operator="equal">
      <formula>"WRONG"</formula>
    </cfRule>
  </conditionalFormatting>
  <conditionalFormatting sqref="AA929">
    <cfRule type="cellIs" dxfId="1704" priority="2204" operator="lessThan">
      <formula>TODAY()</formula>
    </cfRule>
    <cfRule type="cellIs" dxfId="1703" priority="2205" operator="lessThan">
      <formula>TODAY()</formula>
    </cfRule>
  </conditionalFormatting>
  <conditionalFormatting sqref="V929">
    <cfRule type="cellIs" dxfId="1702" priority="2203" operator="equal">
      <formula>"WRONG"</formula>
    </cfRule>
  </conditionalFormatting>
  <conditionalFormatting sqref="AA932">
    <cfRule type="cellIs" dxfId="1701" priority="2198" operator="lessThan">
      <formula>TODAY()</formula>
    </cfRule>
    <cfRule type="cellIs" dxfId="1700" priority="2199" operator="lessThan">
      <formula>TODAY()</formula>
    </cfRule>
  </conditionalFormatting>
  <conditionalFormatting sqref="V932">
    <cfRule type="cellIs" dxfId="1699" priority="2197" operator="equal">
      <formula>"WRONG"</formula>
    </cfRule>
  </conditionalFormatting>
  <conditionalFormatting sqref="AA930">
    <cfRule type="cellIs" dxfId="1698" priority="2195" operator="lessThan">
      <formula>TODAY()</formula>
    </cfRule>
    <cfRule type="cellIs" dxfId="1697" priority="2196" operator="lessThan">
      <formula>TODAY()</formula>
    </cfRule>
  </conditionalFormatting>
  <conditionalFormatting sqref="V930">
    <cfRule type="cellIs" dxfId="1696" priority="2194" operator="equal">
      <formula>"WRONG"</formula>
    </cfRule>
  </conditionalFormatting>
  <conditionalFormatting sqref="AA961">
    <cfRule type="cellIs" dxfId="1695" priority="2150" operator="lessThan">
      <formula>TODAY()</formula>
    </cfRule>
    <cfRule type="cellIs" dxfId="1694" priority="2151" operator="lessThan">
      <formula>TODAY()</formula>
    </cfRule>
  </conditionalFormatting>
  <conditionalFormatting sqref="V961">
    <cfRule type="cellIs" dxfId="1693" priority="2149" operator="equal">
      <formula>"WRONG"</formula>
    </cfRule>
  </conditionalFormatting>
  <conditionalFormatting sqref="AA917:AA919">
    <cfRule type="cellIs" dxfId="1692" priority="2147" operator="lessThan">
      <formula>TODAY()</formula>
    </cfRule>
    <cfRule type="cellIs" dxfId="1691" priority="2148" operator="lessThan">
      <formula>TODAY()</formula>
    </cfRule>
  </conditionalFormatting>
  <conditionalFormatting sqref="V917:V919">
    <cfRule type="cellIs" dxfId="1690" priority="2146" operator="equal">
      <formula>"WRONG"</formula>
    </cfRule>
  </conditionalFormatting>
  <conditionalFormatting sqref="AA915">
    <cfRule type="cellIs" dxfId="1689" priority="2144" operator="lessThan">
      <formula>TODAY()</formula>
    </cfRule>
    <cfRule type="cellIs" dxfId="1688" priority="2145" operator="lessThan">
      <formula>TODAY()</formula>
    </cfRule>
  </conditionalFormatting>
  <conditionalFormatting sqref="V915">
    <cfRule type="cellIs" dxfId="1687" priority="2143" operator="equal">
      <formula>"WRONG"</formula>
    </cfRule>
  </conditionalFormatting>
  <conditionalFormatting sqref="AA916">
    <cfRule type="cellIs" dxfId="1686" priority="2141" operator="lessThan">
      <formula>TODAY()</formula>
    </cfRule>
    <cfRule type="cellIs" dxfId="1685" priority="2142" operator="lessThan">
      <formula>TODAY()</formula>
    </cfRule>
  </conditionalFormatting>
  <conditionalFormatting sqref="V916">
    <cfRule type="cellIs" dxfId="1684" priority="2140" operator="equal">
      <formula>"WRONG"</formula>
    </cfRule>
  </conditionalFormatting>
  <conditionalFormatting sqref="AA999">
    <cfRule type="cellIs" dxfId="1683" priority="2133" operator="lessThan">
      <formula>TODAY()</formula>
    </cfRule>
    <cfRule type="cellIs" dxfId="1682" priority="2134" operator="lessThan">
      <formula>TODAY()</formula>
    </cfRule>
  </conditionalFormatting>
  <conditionalFormatting sqref="V999">
    <cfRule type="cellIs" dxfId="1681" priority="2132" operator="equal">
      <formula>"WRONG"</formula>
    </cfRule>
  </conditionalFormatting>
  <conditionalFormatting sqref="AA998">
    <cfRule type="cellIs" dxfId="1680" priority="2113" operator="lessThan">
      <formula>TODAY()</formula>
    </cfRule>
    <cfRule type="cellIs" dxfId="1679" priority="2114" operator="lessThan">
      <formula>TODAY()</formula>
    </cfRule>
  </conditionalFormatting>
  <conditionalFormatting sqref="V998">
    <cfRule type="cellIs" dxfId="1678" priority="2112" operator="equal">
      <formula>"WRONG"</formula>
    </cfRule>
  </conditionalFormatting>
  <conditionalFormatting sqref="AA1119">
    <cfRule type="cellIs" dxfId="1677" priority="2093" operator="lessThan">
      <formula>TODAY()</formula>
    </cfRule>
    <cfRule type="cellIs" dxfId="1676" priority="2094" operator="lessThan">
      <formula>TODAY()</formula>
    </cfRule>
  </conditionalFormatting>
  <conditionalFormatting sqref="AA1118">
    <cfRule type="cellIs" dxfId="1675" priority="2087" operator="lessThan">
      <formula>TODAY()</formula>
    </cfRule>
    <cfRule type="cellIs" dxfId="1674" priority="2088" operator="lessThan">
      <formula>TODAY()</formula>
    </cfRule>
  </conditionalFormatting>
  <conditionalFormatting sqref="V1118">
    <cfRule type="cellIs" dxfId="1673" priority="2086" operator="equal">
      <formula>"WRONG"</formula>
    </cfRule>
  </conditionalFormatting>
  <conditionalFormatting sqref="V919">
    <cfRule type="cellIs" dxfId="1672" priority="2084" operator="equal">
      <formula>"WRONG"</formula>
    </cfRule>
  </conditionalFormatting>
  <conditionalFormatting sqref="AA919">
    <cfRule type="cellIs" dxfId="1671" priority="2082" operator="lessThan">
      <formula>TODAY()</formula>
    </cfRule>
    <cfRule type="cellIs" dxfId="1670" priority="2083" operator="lessThan">
      <formula>TODAY()</formula>
    </cfRule>
  </conditionalFormatting>
  <conditionalFormatting sqref="AA919">
    <cfRule type="cellIs" dxfId="1669" priority="2080" operator="lessThan">
      <formula>TODAY()</formula>
    </cfRule>
    <cfRule type="cellIs" dxfId="1668" priority="2081" operator="lessThan">
      <formula>TODAY()</formula>
    </cfRule>
  </conditionalFormatting>
  <conditionalFormatting sqref="V919">
    <cfRule type="cellIs" dxfId="1667" priority="2079" operator="equal">
      <formula>"WRONG"</formula>
    </cfRule>
  </conditionalFormatting>
  <conditionalFormatting sqref="V959">
    <cfRule type="cellIs" dxfId="1666" priority="2066" operator="equal">
      <formula>"WRONG"</formula>
    </cfRule>
  </conditionalFormatting>
  <conditionalFormatting sqref="AA959">
    <cfRule type="cellIs" dxfId="1665" priority="2064" operator="lessThan">
      <formula>TODAY()</formula>
    </cfRule>
    <cfRule type="cellIs" dxfId="1664" priority="2065" operator="lessThan">
      <formula>TODAY()</formula>
    </cfRule>
  </conditionalFormatting>
  <conditionalFormatting sqref="AA960:AA962">
    <cfRule type="cellIs" dxfId="1663" priority="2062" operator="lessThan">
      <formula>TODAY()</formula>
    </cfRule>
    <cfRule type="cellIs" dxfId="1662" priority="2063" operator="lessThan">
      <formula>TODAY()</formula>
    </cfRule>
  </conditionalFormatting>
  <conditionalFormatting sqref="V960:V962">
    <cfRule type="cellIs" dxfId="1661" priority="2061" operator="equal">
      <formula>"WRONG"</formula>
    </cfRule>
  </conditionalFormatting>
  <conditionalFormatting sqref="AA959">
    <cfRule type="cellIs" dxfId="1660" priority="2059" operator="lessThan">
      <formula>TODAY()</formula>
    </cfRule>
    <cfRule type="cellIs" dxfId="1659" priority="2060" operator="lessThan">
      <formula>TODAY()</formula>
    </cfRule>
  </conditionalFormatting>
  <conditionalFormatting sqref="V959">
    <cfRule type="cellIs" dxfId="1658" priority="2058" operator="equal">
      <formula>"WRONG"</formula>
    </cfRule>
  </conditionalFormatting>
  <conditionalFormatting sqref="V957">
    <cfRule type="cellIs" dxfId="1657" priority="2056" operator="equal">
      <formula>"WRONG"</formula>
    </cfRule>
  </conditionalFormatting>
  <conditionalFormatting sqref="AA957">
    <cfRule type="cellIs" dxfId="1656" priority="2054" operator="lessThan">
      <formula>TODAY()</formula>
    </cfRule>
    <cfRule type="cellIs" dxfId="1655" priority="2055" operator="lessThan">
      <formula>TODAY()</formula>
    </cfRule>
  </conditionalFormatting>
  <conditionalFormatting sqref="AA958:AA962">
    <cfRule type="cellIs" dxfId="1654" priority="2052" operator="lessThan">
      <formula>TODAY()</formula>
    </cfRule>
    <cfRule type="cellIs" dxfId="1653" priority="2053" operator="lessThan">
      <formula>TODAY()</formula>
    </cfRule>
  </conditionalFormatting>
  <conditionalFormatting sqref="V958:V962">
    <cfRule type="cellIs" dxfId="1652" priority="2051" operator="equal">
      <formula>"WRONG"</formula>
    </cfRule>
  </conditionalFormatting>
  <conditionalFormatting sqref="AA957">
    <cfRule type="cellIs" dxfId="1651" priority="2049" operator="lessThan">
      <formula>TODAY()</formula>
    </cfRule>
    <cfRule type="cellIs" dxfId="1650" priority="2050" operator="lessThan">
      <formula>TODAY()</formula>
    </cfRule>
  </conditionalFormatting>
  <conditionalFormatting sqref="V957">
    <cfRule type="cellIs" dxfId="1649" priority="2048" operator="equal">
      <formula>"WRONG"</formula>
    </cfRule>
  </conditionalFormatting>
  <conditionalFormatting sqref="V955">
    <cfRule type="cellIs" dxfId="1648" priority="2046" operator="equal">
      <formula>"WRONG"</formula>
    </cfRule>
  </conditionalFormatting>
  <conditionalFormatting sqref="AA955">
    <cfRule type="cellIs" dxfId="1647" priority="2044" operator="lessThan">
      <formula>TODAY()</formula>
    </cfRule>
    <cfRule type="cellIs" dxfId="1646" priority="2045" operator="lessThan">
      <formula>TODAY()</formula>
    </cfRule>
  </conditionalFormatting>
  <conditionalFormatting sqref="AA956">
    <cfRule type="cellIs" dxfId="1645" priority="2042" operator="lessThan">
      <formula>TODAY()</formula>
    </cfRule>
    <cfRule type="cellIs" dxfId="1644" priority="2043" operator="lessThan">
      <formula>TODAY()</formula>
    </cfRule>
  </conditionalFormatting>
  <conditionalFormatting sqref="V956">
    <cfRule type="cellIs" dxfId="1643" priority="2041" operator="equal">
      <formula>"WRONG"</formula>
    </cfRule>
  </conditionalFormatting>
  <conditionalFormatting sqref="AA955">
    <cfRule type="cellIs" dxfId="1642" priority="2039" operator="lessThan">
      <formula>TODAY()</formula>
    </cfRule>
    <cfRule type="cellIs" dxfId="1641" priority="2040" operator="lessThan">
      <formula>TODAY()</formula>
    </cfRule>
  </conditionalFormatting>
  <conditionalFormatting sqref="V955">
    <cfRule type="cellIs" dxfId="1640" priority="2038" operator="equal">
      <formula>"WRONG"</formula>
    </cfRule>
  </conditionalFormatting>
  <conditionalFormatting sqref="V963">
    <cfRule type="cellIs" dxfId="1639" priority="2026" operator="equal">
      <formula>"WRONG"</formula>
    </cfRule>
  </conditionalFormatting>
  <conditionalFormatting sqref="AA963">
    <cfRule type="cellIs" dxfId="1638" priority="2024" operator="lessThan">
      <formula>TODAY()</formula>
    </cfRule>
    <cfRule type="cellIs" dxfId="1637" priority="2025" operator="lessThan">
      <formula>TODAY()</formula>
    </cfRule>
  </conditionalFormatting>
  <conditionalFormatting sqref="AA963">
    <cfRule type="cellIs" dxfId="1636" priority="2019" operator="lessThan">
      <formula>TODAY()</formula>
    </cfRule>
    <cfRule type="cellIs" dxfId="1635" priority="2020" operator="lessThan">
      <formula>TODAY()</formula>
    </cfRule>
  </conditionalFormatting>
  <conditionalFormatting sqref="V963">
    <cfRule type="cellIs" dxfId="1634" priority="2018" operator="equal">
      <formula>"WRONG"</formula>
    </cfRule>
  </conditionalFormatting>
  <conditionalFormatting sqref="V967">
    <cfRule type="cellIs" dxfId="1633" priority="2013" operator="equal">
      <formula>"WRONG"</formula>
    </cfRule>
  </conditionalFormatting>
  <conditionalFormatting sqref="AA967">
    <cfRule type="cellIs" dxfId="1632" priority="2011" operator="lessThan">
      <formula>TODAY()</formula>
    </cfRule>
    <cfRule type="cellIs" dxfId="1631" priority="2012" operator="lessThan">
      <formula>TODAY()</formula>
    </cfRule>
  </conditionalFormatting>
  <conditionalFormatting sqref="AA965">
    <cfRule type="cellIs" dxfId="1630" priority="2009" operator="lessThan">
      <formula>TODAY()</formula>
    </cfRule>
    <cfRule type="cellIs" dxfId="1629" priority="2010" operator="lessThan">
      <formula>TODAY()</formula>
    </cfRule>
  </conditionalFormatting>
  <conditionalFormatting sqref="V965">
    <cfRule type="cellIs" dxfId="1628" priority="2008" operator="equal">
      <formula>"WRONG"</formula>
    </cfRule>
  </conditionalFormatting>
  <conditionalFormatting sqref="AA967">
    <cfRule type="cellIs" dxfId="1627" priority="2006" operator="lessThan">
      <formula>TODAY()</formula>
    </cfRule>
    <cfRule type="cellIs" dxfId="1626" priority="2007" operator="lessThan">
      <formula>TODAY()</formula>
    </cfRule>
  </conditionalFormatting>
  <conditionalFormatting sqref="V967">
    <cfRule type="cellIs" dxfId="1625" priority="2005" operator="equal">
      <formula>"WRONG"</formula>
    </cfRule>
  </conditionalFormatting>
  <conditionalFormatting sqref="A965 A967">
    <cfRule type="duplicateValues" dxfId="1624" priority="2014"/>
  </conditionalFormatting>
  <conditionalFormatting sqref="V966:V967">
    <cfRule type="cellIs" dxfId="1623" priority="2003" operator="equal">
      <formula>"WRONG"</formula>
    </cfRule>
  </conditionalFormatting>
  <conditionalFormatting sqref="AA966:AA967">
    <cfRule type="cellIs" dxfId="1622" priority="2001" operator="lessThan">
      <formula>TODAY()</formula>
    </cfRule>
    <cfRule type="cellIs" dxfId="1621" priority="2002" operator="lessThan">
      <formula>TODAY()</formula>
    </cfRule>
  </conditionalFormatting>
  <conditionalFormatting sqref="AA973">
    <cfRule type="cellIs" dxfId="1620" priority="1999" operator="lessThan">
      <formula>TODAY()</formula>
    </cfRule>
    <cfRule type="cellIs" dxfId="1619" priority="2000" operator="lessThan">
      <formula>TODAY()</formula>
    </cfRule>
  </conditionalFormatting>
  <conditionalFormatting sqref="V973">
    <cfRule type="cellIs" dxfId="1618" priority="1998" operator="equal">
      <formula>"WRONG"</formula>
    </cfRule>
  </conditionalFormatting>
  <conditionalFormatting sqref="AA966:AA967">
    <cfRule type="cellIs" dxfId="1617" priority="1996" operator="lessThan">
      <formula>TODAY()</formula>
    </cfRule>
    <cfRule type="cellIs" dxfId="1616" priority="1997" operator="lessThan">
      <formula>TODAY()</formula>
    </cfRule>
  </conditionalFormatting>
  <conditionalFormatting sqref="V966:V967">
    <cfRule type="cellIs" dxfId="1615" priority="1995" operator="equal">
      <formula>"WRONG"</formula>
    </cfRule>
  </conditionalFormatting>
  <conditionalFormatting sqref="V974">
    <cfRule type="cellIs" dxfId="1614" priority="1993" operator="equal">
      <formula>"WRONG"</formula>
    </cfRule>
  </conditionalFormatting>
  <conditionalFormatting sqref="AA974">
    <cfRule type="cellIs" dxfId="1613" priority="1991" operator="lessThan">
      <formula>TODAY()</formula>
    </cfRule>
    <cfRule type="cellIs" dxfId="1612" priority="1992" operator="lessThan">
      <formula>TODAY()</formula>
    </cfRule>
  </conditionalFormatting>
  <conditionalFormatting sqref="AA975">
    <cfRule type="cellIs" dxfId="1611" priority="1989" operator="lessThan">
      <formula>TODAY()</formula>
    </cfRule>
    <cfRule type="cellIs" dxfId="1610" priority="1990" operator="lessThan">
      <formula>TODAY()</formula>
    </cfRule>
  </conditionalFormatting>
  <conditionalFormatting sqref="V975">
    <cfRule type="cellIs" dxfId="1609" priority="1988" operator="equal">
      <formula>"WRONG"</formula>
    </cfRule>
  </conditionalFormatting>
  <conditionalFormatting sqref="AA974">
    <cfRule type="cellIs" dxfId="1608" priority="1986" operator="lessThan">
      <formula>TODAY()</formula>
    </cfRule>
    <cfRule type="cellIs" dxfId="1607" priority="1987" operator="lessThan">
      <formula>TODAY()</formula>
    </cfRule>
  </conditionalFormatting>
  <conditionalFormatting sqref="V974">
    <cfRule type="cellIs" dxfId="1606" priority="1985" operator="equal">
      <formula>"WRONG"</formula>
    </cfRule>
  </conditionalFormatting>
  <conditionalFormatting sqref="A974:A975">
    <cfRule type="duplicateValues" dxfId="1605" priority="1994"/>
  </conditionalFormatting>
  <conditionalFormatting sqref="A976">
    <cfRule type="duplicateValues" dxfId="1604" priority="1984"/>
  </conditionalFormatting>
  <conditionalFormatting sqref="AA954">
    <cfRule type="cellIs" dxfId="1603" priority="1969" operator="lessThan">
      <formula>TODAY()</formula>
    </cfRule>
    <cfRule type="cellIs" dxfId="1602" priority="1970" operator="lessThan">
      <formula>TODAY()</formula>
    </cfRule>
  </conditionalFormatting>
  <conditionalFormatting sqref="V954">
    <cfRule type="cellIs" dxfId="1601" priority="1968" operator="equal">
      <formula>"WRONG"</formula>
    </cfRule>
  </conditionalFormatting>
  <conditionalFormatting sqref="V968:V972">
    <cfRule type="cellIs" dxfId="1600" priority="1963" operator="equal">
      <formula>"WRONG"</formula>
    </cfRule>
  </conditionalFormatting>
  <conditionalFormatting sqref="AA968:AA972">
    <cfRule type="cellIs" dxfId="1599" priority="1961" operator="lessThan">
      <formula>TODAY()</formula>
    </cfRule>
    <cfRule type="cellIs" dxfId="1598" priority="1962" operator="lessThan">
      <formula>TODAY()</formula>
    </cfRule>
  </conditionalFormatting>
  <conditionalFormatting sqref="AA977">
    <cfRule type="cellIs" dxfId="1597" priority="1959" operator="lessThan">
      <formula>TODAY()</formula>
    </cfRule>
    <cfRule type="cellIs" dxfId="1596" priority="1960" operator="lessThan">
      <formula>TODAY()</formula>
    </cfRule>
  </conditionalFormatting>
  <conditionalFormatting sqref="V977">
    <cfRule type="cellIs" dxfId="1595" priority="1958" operator="equal">
      <formula>"WRONG"</formula>
    </cfRule>
  </conditionalFormatting>
  <conditionalFormatting sqref="AA968:AA972">
    <cfRule type="cellIs" dxfId="1594" priority="1956" operator="lessThan">
      <formula>TODAY()</formula>
    </cfRule>
    <cfRule type="cellIs" dxfId="1593" priority="1957" operator="lessThan">
      <formula>TODAY()</formula>
    </cfRule>
  </conditionalFormatting>
  <conditionalFormatting sqref="V968:V972">
    <cfRule type="cellIs" dxfId="1592" priority="1955" operator="equal">
      <formula>"WRONG"</formula>
    </cfRule>
  </conditionalFormatting>
  <conditionalFormatting sqref="V1009">
    <cfRule type="cellIs" dxfId="1591" priority="1953" operator="equal">
      <formula>"WRONG"</formula>
    </cfRule>
  </conditionalFormatting>
  <conditionalFormatting sqref="AA1009">
    <cfRule type="cellIs" dxfId="1590" priority="1951" operator="lessThan">
      <formula>TODAY()</formula>
    </cfRule>
    <cfRule type="cellIs" dxfId="1589" priority="1952" operator="lessThan">
      <formula>TODAY()</formula>
    </cfRule>
  </conditionalFormatting>
  <conditionalFormatting sqref="AA1038">
    <cfRule type="cellIs" dxfId="1588" priority="1949" operator="lessThan">
      <formula>TODAY()</formula>
    </cfRule>
    <cfRule type="cellIs" dxfId="1587" priority="1950" operator="lessThan">
      <formula>TODAY()</formula>
    </cfRule>
  </conditionalFormatting>
  <conditionalFormatting sqref="V1038">
    <cfRule type="cellIs" dxfId="1586" priority="1948" operator="equal">
      <formula>"WRONG"</formula>
    </cfRule>
  </conditionalFormatting>
  <conditionalFormatting sqref="AA1009">
    <cfRule type="cellIs" dxfId="1585" priority="1946" operator="lessThan">
      <formula>TODAY()</formula>
    </cfRule>
    <cfRule type="cellIs" dxfId="1584" priority="1947" operator="lessThan">
      <formula>TODAY()</formula>
    </cfRule>
  </conditionalFormatting>
  <conditionalFormatting sqref="V1009">
    <cfRule type="cellIs" dxfId="1583" priority="1945" operator="equal">
      <formula>"WRONG"</formula>
    </cfRule>
  </conditionalFormatting>
  <conditionalFormatting sqref="AA989">
    <cfRule type="cellIs" dxfId="1582" priority="1939" operator="lessThan">
      <formula>TODAY()</formula>
    </cfRule>
    <cfRule type="cellIs" dxfId="1581" priority="1940" operator="lessThan">
      <formula>TODAY()</formula>
    </cfRule>
  </conditionalFormatting>
  <conditionalFormatting sqref="V989">
    <cfRule type="cellIs" dxfId="1580" priority="1938" operator="equal">
      <formula>"WRONG"</formula>
    </cfRule>
  </conditionalFormatting>
  <conditionalFormatting sqref="V990:V991">
    <cfRule type="cellIs" dxfId="1579" priority="1933" operator="equal">
      <formula>"WRONG"</formula>
    </cfRule>
  </conditionalFormatting>
  <conditionalFormatting sqref="AA990:AA991">
    <cfRule type="cellIs" dxfId="1578" priority="1931" operator="lessThan">
      <formula>TODAY()</formula>
    </cfRule>
    <cfRule type="cellIs" dxfId="1577" priority="1932" operator="lessThan">
      <formula>TODAY()</formula>
    </cfRule>
  </conditionalFormatting>
  <conditionalFormatting sqref="AA992">
    <cfRule type="cellIs" dxfId="1576" priority="1929" operator="lessThan">
      <formula>TODAY()</formula>
    </cfRule>
    <cfRule type="cellIs" dxfId="1575" priority="1930" operator="lessThan">
      <formula>TODAY()</formula>
    </cfRule>
  </conditionalFormatting>
  <conditionalFormatting sqref="V992">
    <cfRule type="cellIs" dxfId="1574" priority="1928" operator="equal">
      <formula>"WRONG"</formula>
    </cfRule>
  </conditionalFormatting>
  <conditionalFormatting sqref="AA990:AA991">
    <cfRule type="cellIs" dxfId="1573" priority="1926" operator="lessThan">
      <formula>TODAY()</formula>
    </cfRule>
    <cfRule type="cellIs" dxfId="1572" priority="1927" operator="lessThan">
      <formula>TODAY()</formula>
    </cfRule>
  </conditionalFormatting>
  <conditionalFormatting sqref="V990:V991">
    <cfRule type="cellIs" dxfId="1571" priority="1925" operator="equal">
      <formula>"WRONG"</formula>
    </cfRule>
  </conditionalFormatting>
  <conditionalFormatting sqref="A992">
    <cfRule type="duplicateValues" dxfId="1570" priority="1934"/>
  </conditionalFormatting>
  <conditionalFormatting sqref="AA991">
    <cfRule type="cellIs" dxfId="1569" priority="1919" operator="lessThan">
      <formula>TODAY()</formula>
    </cfRule>
    <cfRule type="cellIs" dxfId="1568" priority="1920" operator="lessThan">
      <formula>TODAY()</formula>
    </cfRule>
  </conditionalFormatting>
  <conditionalFormatting sqref="V991">
    <cfRule type="cellIs" dxfId="1567" priority="1918" operator="equal">
      <formula>"WRONG"</formula>
    </cfRule>
  </conditionalFormatting>
  <conditionalFormatting sqref="A993 A991">
    <cfRule type="duplicateValues" dxfId="1566" priority="1924"/>
  </conditionalFormatting>
  <conditionalFormatting sqref="A988">
    <cfRule type="duplicateValues" dxfId="1565" priority="1914"/>
  </conditionalFormatting>
  <conditionalFormatting sqref="AA971">
    <cfRule type="cellIs" dxfId="1564" priority="1899" operator="lessThan">
      <formula>TODAY()</formula>
    </cfRule>
    <cfRule type="cellIs" dxfId="1563" priority="1900" operator="lessThan">
      <formula>TODAY()</formula>
    </cfRule>
  </conditionalFormatting>
  <conditionalFormatting sqref="V971">
    <cfRule type="cellIs" dxfId="1562" priority="1898" operator="equal">
      <formula>"WRONG"</formula>
    </cfRule>
  </conditionalFormatting>
  <conditionalFormatting sqref="V972">
    <cfRule type="cellIs" dxfId="1561" priority="1893" operator="equal">
      <formula>"WRONG"</formula>
    </cfRule>
  </conditionalFormatting>
  <conditionalFormatting sqref="AA972">
    <cfRule type="cellIs" dxfId="1560" priority="1891" operator="lessThan">
      <formula>TODAY()</formula>
    </cfRule>
    <cfRule type="cellIs" dxfId="1559" priority="1892" operator="lessThan">
      <formula>TODAY()</formula>
    </cfRule>
  </conditionalFormatting>
  <conditionalFormatting sqref="AA1006">
    <cfRule type="cellIs" dxfId="1558" priority="1889" operator="lessThan">
      <formula>TODAY()</formula>
    </cfRule>
    <cfRule type="cellIs" dxfId="1557" priority="1890" operator="lessThan">
      <formula>TODAY()</formula>
    </cfRule>
  </conditionalFormatting>
  <conditionalFormatting sqref="V1006">
    <cfRule type="cellIs" dxfId="1556" priority="1888" operator="equal">
      <formula>"WRONG"</formula>
    </cfRule>
  </conditionalFormatting>
  <conditionalFormatting sqref="AA972">
    <cfRule type="cellIs" dxfId="1555" priority="1886" operator="lessThan">
      <formula>TODAY()</formula>
    </cfRule>
    <cfRule type="cellIs" dxfId="1554" priority="1887" operator="lessThan">
      <formula>TODAY()</formula>
    </cfRule>
  </conditionalFormatting>
  <conditionalFormatting sqref="V972">
    <cfRule type="cellIs" dxfId="1553" priority="1885" operator="equal">
      <formula>"WRONG"</formula>
    </cfRule>
  </conditionalFormatting>
  <conditionalFormatting sqref="V1007">
    <cfRule type="cellIs" dxfId="1552" priority="1883" operator="equal">
      <formula>"WRONG"</formula>
    </cfRule>
  </conditionalFormatting>
  <conditionalFormatting sqref="AA1007">
    <cfRule type="cellIs" dxfId="1551" priority="1881" operator="lessThan">
      <formula>TODAY()</formula>
    </cfRule>
    <cfRule type="cellIs" dxfId="1550" priority="1882" operator="lessThan">
      <formula>TODAY()</formula>
    </cfRule>
  </conditionalFormatting>
  <conditionalFormatting sqref="AA1008">
    <cfRule type="cellIs" dxfId="1549" priority="1879" operator="lessThan">
      <formula>TODAY()</formula>
    </cfRule>
    <cfRule type="cellIs" dxfId="1548" priority="1880" operator="lessThan">
      <formula>TODAY()</formula>
    </cfRule>
  </conditionalFormatting>
  <conditionalFormatting sqref="V1008">
    <cfRule type="cellIs" dxfId="1547" priority="1878" operator="equal">
      <formula>"WRONG"</formula>
    </cfRule>
  </conditionalFormatting>
  <conditionalFormatting sqref="AA1007">
    <cfRule type="cellIs" dxfId="1546" priority="1876" operator="lessThan">
      <formula>TODAY()</formula>
    </cfRule>
    <cfRule type="cellIs" dxfId="1545" priority="1877" operator="lessThan">
      <formula>TODAY()</formula>
    </cfRule>
  </conditionalFormatting>
  <conditionalFormatting sqref="V1007">
    <cfRule type="cellIs" dxfId="1544" priority="1875" operator="equal">
      <formula>"WRONG"</formula>
    </cfRule>
  </conditionalFormatting>
  <conditionalFormatting sqref="A990">
    <cfRule type="duplicateValues" dxfId="1543" priority="1874"/>
  </conditionalFormatting>
  <conditionalFormatting sqref="V969">
    <cfRule type="cellIs" dxfId="1542" priority="1872" operator="equal">
      <formula>"WRONG"</formula>
    </cfRule>
  </conditionalFormatting>
  <conditionalFormatting sqref="AA969">
    <cfRule type="cellIs" dxfId="1541" priority="1870" operator="lessThan">
      <formula>TODAY()</formula>
    </cfRule>
    <cfRule type="cellIs" dxfId="1540" priority="1871" operator="lessThan">
      <formula>TODAY()</formula>
    </cfRule>
  </conditionalFormatting>
  <conditionalFormatting sqref="AA969">
    <cfRule type="cellIs" dxfId="1539" priority="1868" operator="lessThan">
      <formula>TODAY()</formula>
    </cfRule>
    <cfRule type="cellIs" dxfId="1538" priority="1869" operator="lessThan">
      <formula>TODAY()</formula>
    </cfRule>
  </conditionalFormatting>
  <conditionalFormatting sqref="V969">
    <cfRule type="cellIs" dxfId="1537" priority="1867" operator="equal">
      <formula>"WRONG"</formula>
    </cfRule>
  </conditionalFormatting>
  <conditionalFormatting sqref="A969">
    <cfRule type="duplicateValues" dxfId="1536" priority="1873"/>
  </conditionalFormatting>
  <conditionalFormatting sqref="A970 A954">
    <cfRule type="duplicateValues" dxfId="1535" priority="6553"/>
  </conditionalFormatting>
  <conditionalFormatting sqref="A973 A966">
    <cfRule type="duplicateValues" dxfId="1534" priority="6562"/>
  </conditionalFormatting>
  <conditionalFormatting sqref="A968">
    <cfRule type="duplicateValues" dxfId="1533" priority="6565"/>
  </conditionalFormatting>
  <conditionalFormatting sqref="V981">
    <cfRule type="cellIs" dxfId="1532" priority="1864" operator="equal">
      <formula>"WRONG"</formula>
    </cfRule>
  </conditionalFormatting>
  <conditionalFormatting sqref="AA981">
    <cfRule type="cellIs" dxfId="1531" priority="1862" operator="lessThan">
      <formula>TODAY()</formula>
    </cfRule>
    <cfRule type="cellIs" dxfId="1530" priority="1863" operator="lessThan">
      <formula>TODAY()</formula>
    </cfRule>
  </conditionalFormatting>
  <conditionalFormatting sqref="AA981">
    <cfRule type="cellIs" dxfId="1529" priority="1857" operator="lessThan">
      <formula>TODAY()</formula>
    </cfRule>
    <cfRule type="cellIs" dxfId="1528" priority="1858" operator="lessThan">
      <formula>TODAY()</formula>
    </cfRule>
  </conditionalFormatting>
  <conditionalFormatting sqref="V981">
    <cfRule type="cellIs" dxfId="1527" priority="1856" operator="equal">
      <formula>"WRONG"</formula>
    </cfRule>
  </conditionalFormatting>
  <conditionalFormatting sqref="V983">
    <cfRule type="cellIs" dxfId="1526" priority="1853" operator="equal">
      <formula>"WRONG"</formula>
    </cfRule>
  </conditionalFormatting>
  <conditionalFormatting sqref="AA983">
    <cfRule type="cellIs" dxfId="1525" priority="1851" operator="lessThan">
      <formula>TODAY()</formula>
    </cfRule>
    <cfRule type="cellIs" dxfId="1524" priority="1852" operator="lessThan">
      <formula>TODAY()</formula>
    </cfRule>
  </conditionalFormatting>
  <conditionalFormatting sqref="AA984">
    <cfRule type="cellIs" dxfId="1523" priority="1849" operator="lessThan">
      <formula>TODAY()</formula>
    </cfRule>
    <cfRule type="cellIs" dxfId="1522" priority="1850" operator="lessThan">
      <formula>TODAY()</formula>
    </cfRule>
  </conditionalFormatting>
  <conditionalFormatting sqref="V984">
    <cfRule type="cellIs" dxfId="1521" priority="1848" operator="equal">
      <formula>"WRONG"</formula>
    </cfRule>
  </conditionalFormatting>
  <conditionalFormatting sqref="AA983">
    <cfRule type="cellIs" dxfId="1520" priority="1846" operator="lessThan">
      <formula>TODAY()</formula>
    </cfRule>
    <cfRule type="cellIs" dxfId="1519" priority="1847" operator="lessThan">
      <formula>TODAY()</formula>
    </cfRule>
  </conditionalFormatting>
  <conditionalFormatting sqref="V983">
    <cfRule type="cellIs" dxfId="1518" priority="1845" operator="equal">
      <formula>"WRONG"</formula>
    </cfRule>
  </conditionalFormatting>
  <conditionalFormatting sqref="V985">
    <cfRule type="cellIs" dxfId="1517" priority="1843" operator="equal">
      <formula>"WRONG"</formula>
    </cfRule>
  </conditionalFormatting>
  <conditionalFormatting sqref="AA985">
    <cfRule type="cellIs" dxfId="1516" priority="1841" operator="lessThan">
      <formula>TODAY()</formula>
    </cfRule>
    <cfRule type="cellIs" dxfId="1515" priority="1842" operator="lessThan">
      <formula>TODAY()</formula>
    </cfRule>
  </conditionalFormatting>
  <conditionalFormatting sqref="AA986 AA988:AA991">
    <cfRule type="cellIs" dxfId="1514" priority="1839" operator="lessThan">
      <formula>TODAY()</formula>
    </cfRule>
    <cfRule type="cellIs" dxfId="1513" priority="1840" operator="lessThan">
      <formula>TODAY()</formula>
    </cfRule>
  </conditionalFormatting>
  <conditionalFormatting sqref="V986 V988:V991">
    <cfRule type="cellIs" dxfId="1512" priority="1838" operator="equal">
      <formula>"WRONG"</formula>
    </cfRule>
  </conditionalFormatting>
  <conditionalFormatting sqref="AA985">
    <cfRule type="cellIs" dxfId="1511" priority="1836" operator="lessThan">
      <formula>TODAY()</formula>
    </cfRule>
    <cfRule type="cellIs" dxfId="1510" priority="1837" operator="lessThan">
      <formula>TODAY()</formula>
    </cfRule>
  </conditionalFormatting>
  <conditionalFormatting sqref="V985">
    <cfRule type="cellIs" dxfId="1509" priority="1835" operator="equal">
      <formula>"WRONG"</formula>
    </cfRule>
  </conditionalFormatting>
  <conditionalFormatting sqref="V979">
    <cfRule type="cellIs" dxfId="1508" priority="1833" operator="equal">
      <formula>"WRONG"</formula>
    </cfRule>
  </conditionalFormatting>
  <conditionalFormatting sqref="AA979">
    <cfRule type="cellIs" dxfId="1507" priority="1831" operator="lessThan">
      <formula>TODAY()</formula>
    </cfRule>
    <cfRule type="cellIs" dxfId="1506" priority="1832" operator="lessThan">
      <formula>TODAY()</formula>
    </cfRule>
  </conditionalFormatting>
  <conditionalFormatting sqref="AA980">
    <cfRule type="cellIs" dxfId="1505" priority="1829" operator="lessThan">
      <formula>TODAY()</formula>
    </cfRule>
    <cfRule type="cellIs" dxfId="1504" priority="1830" operator="lessThan">
      <formula>TODAY()</formula>
    </cfRule>
  </conditionalFormatting>
  <conditionalFormatting sqref="V980">
    <cfRule type="cellIs" dxfId="1503" priority="1828" operator="equal">
      <formula>"WRONG"</formula>
    </cfRule>
  </conditionalFormatting>
  <conditionalFormatting sqref="AA979">
    <cfRule type="cellIs" dxfId="1502" priority="1826" operator="lessThan">
      <formula>TODAY()</formula>
    </cfRule>
    <cfRule type="cellIs" dxfId="1501" priority="1827" operator="lessThan">
      <formula>TODAY()</formula>
    </cfRule>
  </conditionalFormatting>
  <conditionalFormatting sqref="V979">
    <cfRule type="cellIs" dxfId="1500" priority="1825" operator="equal">
      <formula>"WRONG"</formula>
    </cfRule>
  </conditionalFormatting>
  <conditionalFormatting sqref="A988:A993">
    <cfRule type="duplicateValues" dxfId="1499" priority="6574"/>
  </conditionalFormatting>
  <conditionalFormatting sqref="A950">
    <cfRule type="duplicateValues" dxfId="1498" priority="1824"/>
  </conditionalFormatting>
  <conditionalFormatting sqref="A949">
    <cfRule type="duplicateValues" dxfId="1497" priority="1823"/>
  </conditionalFormatting>
  <conditionalFormatting sqref="A935">
    <cfRule type="duplicateValues" dxfId="1496" priority="1822"/>
  </conditionalFormatting>
  <conditionalFormatting sqref="V1013:V1015 V1017:V1019">
    <cfRule type="cellIs" dxfId="1495" priority="1820" operator="equal">
      <formula>"WRONG"</formula>
    </cfRule>
  </conditionalFormatting>
  <conditionalFormatting sqref="AA1013:AA1015 AA1017:AA1019">
    <cfRule type="cellIs" dxfId="1494" priority="1818" operator="lessThan">
      <formula>TODAY()</formula>
    </cfRule>
    <cfRule type="cellIs" dxfId="1493" priority="1819" operator="lessThan">
      <formula>TODAY()</formula>
    </cfRule>
  </conditionalFormatting>
  <conditionalFormatting sqref="AA1013:AA1015 AA1017:AA1019">
    <cfRule type="cellIs" dxfId="1492" priority="1816" operator="lessThan">
      <formula>TODAY()</formula>
    </cfRule>
    <cfRule type="cellIs" dxfId="1491" priority="1817" operator="lessThan">
      <formula>TODAY()</formula>
    </cfRule>
  </conditionalFormatting>
  <conditionalFormatting sqref="V1013:V1015 V1017:V1019">
    <cfRule type="cellIs" dxfId="1490" priority="1815" operator="equal">
      <formula>"WRONG"</formula>
    </cfRule>
  </conditionalFormatting>
  <conditionalFormatting sqref="AA1010">
    <cfRule type="cellIs" dxfId="1489" priority="1813" operator="lessThan">
      <formula>TODAY()</formula>
    </cfRule>
    <cfRule type="cellIs" dxfId="1488" priority="1814" operator="lessThan">
      <formula>TODAY()</formula>
    </cfRule>
  </conditionalFormatting>
  <conditionalFormatting sqref="V1010">
    <cfRule type="cellIs" dxfId="1487" priority="1812" operator="equal">
      <formula>"WRONG"</formula>
    </cfRule>
  </conditionalFormatting>
  <conditionalFormatting sqref="V1011">
    <cfRule type="cellIs" dxfId="1486" priority="1811" operator="equal">
      <formula>"WRONG"</formula>
    </cfRule>
  </conditionalFormatting>
  <conditionalFormatting sqref="AA1011">
    <cfRule type="cellIs" dxfId="1485" priority="1809" operator="lessThan">
      <formula>TODAY()</formula>
    </cfRule>
    <cfRule type="cellIs" dxfId="1484" priority="1810" operator="lessThan">
      <formula>TODAY()</formula>
    </cfRule>
  </conditionalFormatting>
  <conditionalFormatting sqref="AA1012">
    <cfRule type="cellIs" dxfId="1483" priority="1807" operator="lessThan">
      <formula>TODAY()</formula>
    </cfRule>
    <cfRule type="cellIs" dxfId="1482" priority="1808" operator="lessThan">
      <formula>TODAY()</formula>
    </cfRule>
  </conditionalFormatting>
  <conditionalFormatting sqref="V1012">
    <cfRule type="cellIs" dxfId="1481" priority="1806" operator="equal">
      <formula>"WRONG"</formula>
    </cfRule>
  </conditionalFormatting>
  <conditionalFormatting sqref="AA1011">
    <cfRule type="cellIs" dxfId="1480" priority="1804" operator="lessThan">
      <formula>TODAY()</formula>
    </cfRule>
    <cfRule type="cellIs" dxfId="1479" priority="1805" operator="lessThan">
      <formula>TODAY()</formula>
    </cfRule>
  </conditionalFormatting>
  <conditionalFormatting sqref="V1011">
    <cfRule type="cellIs" dxfId="1478" priority="1803" operator="equal">
      <formula>"WRONG"</formula>
    </cfRule>
  </conditionalFormatting>
  <conditionalFormatting sqref="AA1036">
    <cfRule type="cellIs" dxfId="1477" priority="1785" operator="lessThan">
      <formula>TODAY()</formula>
    </cfRule>
    <cfRule type="cellIs" dxfId="1476" priority="1786" operator="lessThan">
      <formula>TODAY()</formula>
    </cfRule>
  </conditionalFormatting>
  <conditionalFormatting sqref="V1036">
    <cfRule type="cellIs" dxfId="1475" priority="1784" operator="equal">
      <formula>"WRONG"</formula>
    </cfRule>
  </conditionalFormatting>
  <conditionalFormatting sqref="V1074">
    <cfRule type="cellIs" dxfId="1474" priority="1779" operator="equal">
      <formula>"WRONG"</formula>
    </cfRule>
  </conditionalFormatting>
  <conditionalFormatting sqref="AA1074">
    <cfRule type="cellIs" dxfId="1473" priority="1777" operator="lessThan">
      <formula>TODAY()</formula>
    </cfRule>
    <cfRule type="cellIs" dxfId="1472" priority="1778" operator="lessThan">
      <formula>TODAY()</formula>
    </cfRule>
  </conditionalFormatting>
  <conditionalFormatting sqref="AA1074">
    <cfRule type="cellIs" dxfId="1471" priority="1775" operator="lessThan">
      <formula>TODAY()</formula>
    </cfRule>
    <cfRule type="cellIs" dxfId="1470" priority="1776" operator="lessThan">
      <formula>TODAY()</formula>
    </cfRule>
  </conditionalFormatting>
  <conditionalFormatting sqref="V1074">
    <cfRule type="cellIs" dxfId="1469" priority="1774" operator="equal">
      <formula>"WRONG"</formula>
    </cfRule>
  </conditionalFormatting>
  <conditionalFormatting sqref="V1051">
    <cfRule type="cellIs" dxfId="1468" priority="1760" operator="equal">
      <formula>"WRONG"</formula>
    </cfRule>
  </conditionalFormatting>
  <conditionalFormatting sqref="AA1051">
    <cfRule type="cellIs" dxfId="1467" priority="1758" operator="lessThan">
      <formula>TODAY()</formula>
    </cfRule>
    <cfRule type="cellIs" dxfId="1466" priority="1759" operator="lessThan">
      <formula>TODAY()</formula>
    </cfRule>
  </conditionalFormatting>
  <conditionalFormatting sqref="AA1051">
    <cfRule type="cellIs" dxfId="1465" priority="1753" operator="lessThan">
      <formula>TODAY()</formula>
    </cfRule>
    <cfRule type="cellIs" dxfId="1464" priority="1754" operator="lessThan">
      <formula>TODAY()</formula>
    </cfRule>
  </conditionalFormatting>
  <conditionalFormatting sqref="V1051">
    <cfRule type="cellIs" dxfId="1463" priority="1752" operator="equal">
      <formula>"WRONG"</formula>
    </cfRule>
  </conditionalFormatting>
  <conditionalFormatting sqref="AA1017">
    <cfRule type="cellIs" dxfId="1462" priority="1750" operator="lessThan">
      <formula>TODAY()</formula>
    </cfRule>
    <cfRule type="cellIs" dxfId="1461" priority="1751" operator="lessThan">
      <formula>TODAY()</formula>
    </cfRule>
  </conditionalFormatting>
  <conditionalFormatting sqref="V1017">
    <cfRule type="cellIs" dxfId="1460" priority="1749" operator="equal">
      <formula>"WRONG"</formula>
    </cfRule>
  </conditionalFormatting>
  <conditionalFormatting sqref="V1018">
    <cfRule type="cellIs" dxfId="1459" priority="1748" operator="equal">
      <formula>"WRONG"</formula>
    </cfRule>
  </conditionalFormatting>
  <conditionalFormatting sqref="AA1018">
    <cfRule type="cellIs" dxfId="1458" priority="1746" operator="lessThan">
      <formula>TODAY()</formula>
    </cfRule>
    <cfRule type="cellIs" dxfId="1457" priority="1747" operator="lessThan">
      <formula>TODAY()</formula>
    </cfRule>
  </conditionalFormatting>
  <conditionalFormatting sqref="AA1018">
    <cfRule type="cellIs" dxfId="1456" priority="1741" operator="lessThan">
      <formula>TODAY()</formula>
    </cfRule>
    <cfRule type="cellIs" dxfId="1455" priority="1742" operator="lessThan">
      <formula>TODAY()</formula>
    </cfRule>
  </conditionalFormatting>
  <conditionalFormatting sqref="V1018">
    <cfRule type="cellIs" dxfId="1454" priority="1740" operator="equal">
      <formula>"WRONG"</formula>
    </cfRule>
  </conditionalFormatting>
  <conditionalFormatting sqref="V1054">
    <cfRule type="cellIs" dxfId="1453" priority="1729" operator="equal">
      <formula>"WRONG"</formula>
    </cfRule>
  </conditionalFormatting>
  <conditionalFormatting sqref="AA1054">
    <cfRule type="cellIs" dxfId="1452" priority="1727" operator="lessThan">
      <formula>TODAY()</formula>
    </cfRule>
    <cfRule type="cellIs" dxfId="1451" priority="1728" operator="lessThan">
      <formula>TODAY()</formula>
    </cfRule>
  </conditionalFormatting>
  <conditionalFormatting sqref="AA1054">
    <cfRule type="cellIs" dxfId="1450" priority="1722" operator="lessThan">
      <formula>TODAY()</formula>
    </cfRule>
    <cfRule type="cellIs" dxfId="1449" priority="1723" operator="lessThan">
      <formula>TODAY()</formula>
    </cfRule>
  </conditionalFormatting>
  <conditionalFormatting sqref="V1054">
    <cfRule type="cellIs" dxfId="1448" priority="1721" operator="equal">
      <formula>"WRONG"</formula>
    </cfRule>
  </conditionalFormatting>
  <conditionalFormatting sqref="AA1047">
    <cfRule type="cellIs" dxfId="1447" priority="1718" operator="lessThan">
      <formula>TODAY()</formula>
    </cfRule>
    <cfRule type="cellIs" dxfId="1446" priority="1719" operator="lessThan">
      <formula>TODAY()</formula>
    </cfRule>
  </conditionalFormatting>
  <conditionalFormatting sqref="V987">
    <cfRule type="cellIs" dxfId="1445" priority="1708" operator="equal">
      <formula>"WRONG"</formula>
    </cfRule>
  </conditionalFormatting>
  <conditionalFormatting sqref="A987">
    <cfRule type="duplicateValues" dxfId="1444" priority="1709"/>
  </conditionalFormatting>
  <conditionalFormatting sqref="V987">
    <cfRule type="cellIs" dxfId="1443" priority="1707" operator="equal">
      <formula>"WRONG"</formula>
    </cfRule>
  </conditionalFormatting>
  <conditionalFormatting sqref="A987">
    <cfRule type="duplicateValues" dxfId="1442" priority="1706"/>
  </conditionalFormatting>
  <conditionalFormatting sqref="V1075">
    <cfRule type="cellIs" dxfId="1441" priority="1699" operator="equal">
      <formula>"WRONG"</formula>
    </cfRule>
  </conditionalFormatting>
  <conditionalFormatting sqref="AA1075">
    <cfRule type="cellIs" dxfId="1440" priority="1697" operator="lessThan">
      <formula>TODAY()</formula>
    </cfRule>
    <cfRule type="cellIs" dxfId="1439" priority="1698" operator="lessThan">
      <formula>TODAY()</formula>
    </cfRule>
  </conditionalFormatting>
  <conditionalFormatting sqref="AA1075">
    <cfRule type="cellIs" dxfId="1438" priority="1695" operator="lessThan">
      <formula>TODAY()</formula>
    </cfRule>
    <cfRule type="cellIs" dxfId="1437" priority="1696" operator="lessThan">
      <formula>TODAY()</formula>
    </cfRule>
  </conditionalFormatting>
  <conditionalFormatting sqref="V1075">
    <cfRule type="cellIs" dxfId="1436" priority="1694" operator="equal">
      <formula>"WRONG"</formula>
    </cfRule>
  </conditionalFormatting>
  <conditionalFormatting sqref="V1076">
    <cfRule type="cellIs" dxfId="1435" priority="1691" operator="equal">
      <formula>"WRONG"</formula>
    </cfRule>
  </conditionalFormatting>
  <conditionalFormatting sqref="AA1076">
    <cfRule type="cellIs" dxfId="1434" priority="1689" operator="lessThan">
      <formula>TODAY()</formula>
    </cfRule>
    <cfRule type="cellIs" dxfId="1433" priority="1690" operator="lessThan">
      <formula>TODAY()</formula>
    </cfRule>
  </conditionalFormatting>
  <conditionalFormatting sqref="AA1076">
    <cfRule type="cellIs" dxfId="1432" priority="1687" operator="lessThan">
      <formula>TODAY()</formula>
    </cfRule>
    <cfRule type="cellIs" dxfId="1431" priority="1688" operator="lessThan">
      <formula>TODAY()</formula>
    </cfRule>
  </conditionalFormatting>
  <conditionalFormatting sqref="V1076">
    <cfRule type="cellIs" dxfId="1430" priority="1686" operator="equal">
      <formula>"WRONG"</formula>
    </cfRule>
  </conditionalFormatting>
  <conditionalFormatting sqref="AA1087">
    <cfRule type="cellIs" dxfId="1429" priority="1672" operator="lessThan">
      <formula>TODAY()</formula>
    </cfRule>
    <cfRule type="cellIs" dxfId="1428" priority="1673" operator="lessThan">
      <formula>TODAY()</formula>
    </cfRule>
  </conditionalFormatting>
  <conditionalFormatting sqref="V1087">
    <cfRule type="cellIs" dxfId="1427" priority="1671" operator="equal">
      <formula>"WRONG"</formula>
    </cfRule>
  </conditionalFormatting>
  <conditionalFormatting sqref="AA1142:AA1149">
    <cfRule type="cellIs" dxfId="1426" priority="1656" operator="lessThan">
      <formula>TODAY()</formula>
    </cfRule>
    <cfRule type="cellIs" dxfId="1425" priority="1657" operator="lessThan">
      <formula>TODAY()</formula>
    </cfRule>
  </conditionalFormatting>
  <conditionalFormatting sqref="V1142:V1149">
    <cfRule type="cellIs" dxfId="1424" priority="1655" operator="equal">
      <formula>"WRONG"</formula>
    </cfRule>
  </conditionalFormatting>
  <conditionalFormatting sqref="AA1096">
    <cfRule type="cellIs" dxfId="1423" priority="1650" operator="lessThan">
      <formula>TODAY()</formula>
    </cfRule>
    <cfRule type="cellIs" dxfId="1422" priority="1651" operator="lessThan">
      <formula>TODAY()</formula>
    </cfRule>
  </conditionalFormatting>
  <conditionalFormatting sqref="AA1097">
    <cfRule type="cellIs" dxfId="1421" priority="1647" operator="lessThan">
      <formula>TODAY()</formula>
    </cfRule>
    <cfRule type="cellIs" dxfId="1420" priority="1648" operator="lessThan">
      <formula>TODAY()</formula>
    </cfRule>
  </conditionalFormatting>
  <conditionalFormatting sqref="AA1098">
    <cfRule type="cellIs" dxfId="1419" priority="1637" operator="lessThan">
      <formula>TODAY()</formula>
    </cfRule>
    <cfRule type="cellIs" dxfId="1418" priority="1638" operator="lessThan">
      <formula>TODAY()</formula>
    </cfRule>
  </conditionalFormatting>
  <conditionalFormatting sqref="AA1099">
    <cfRule type="cellIs" dxfId="1417" priority="1628" operator="lessThan">
      <formula>TODAY()</formula>
    </cfRule>
    <cfRule type="cellIs" dxfId="1416" priority="1629" operator="lessThan">
      <formula>TODAY()</formula>
    </cfRule>
  </conditionalFormatting>
  <conditionalFormatting sqref="AA1102:AA1107">
    <cfRule type="cellIs" dxfId="1415" priority="1625" operator="lessThan">
      <formula>TODAY()</formula>
    </cfRule>
    <cfRule type="cellIs" dxfId="1414" priority="1626" operator="lessThan">
      <formula>TODAY()</formula>
    </cfRule>
  </conditionalFormatting>
  <conditionalFormatting sqref="AA1100">
    <cfRule type="cellIs" dxfId="1413" priority="1617" operator="lessThan">
      <formula>TODAY()</formula>
    </cfRule>
    <cfRule type="cellIs" dxfId="1412" priority="1618" operator="lessThan">
      <formula>TODAY()</formula>
    </cfRule>
  </conditionalFormatting>
  <conditionalFormatting sqref="AA1101">
    <cfRule type="cellIs" dxfId="1411" priority="1614" operator="lessThan">
      <formula>TODAY()</formula>
    </cfRule>
    <cfRule type="cellIs" dxfId="1410" priority="1615" operator="lessThan">
      <formula>TODAY()</formula>
    </cfRule>
  </conditionalFormatting>
  <conditionalFormatting sqref="AA1106">
    <cfRule type="cellIs" dxfId="1409" priority="1601" operator="lessThan">
      <formula>TODAY()</formula>
    </cfRule>
    <cfRule type="cellIs" dxfId="1408" priority="1602" operator="lessThan">
      <formula>TODAY()</formula>
    </cfRule>
  </conditionalFormatting>
  <conditionalFormatting sqref="AA1104:AA1105">
    <cfRule type="cellIs" dxfId="1407" priority="1598" operator="lessThan">
      <formula>TODAY()</formula>
    </cfRule>
    <cfRule type="cellIs" dxfId="1406" priority="1599" operator="lessThan">
      <formula>TODAY()</formula>
    </cfRule>
  </conditionalFormatting>
  <conditionalFormatting sqref="AA1103">
    <cfRule type="cellIs" dxfId="1405" priority="1593" operator="lessThan">
      <formula>TODAY()</formula>
    </cfRule>
    <cfRule type="cellIs" dxfId="1404" priority="1594" operator="lessThan">
      <formula>TODAY()</formula>
    </cfRule>
  </conditionalFormatting>
  <conditionalFormatting sqref="AA1113:AA1114">
    <cfRule type="cellIs" dxfId="1403" priority="1590" operator="lessThan">
      <formula>TODAY()</formula>
    </cfRule>
    <cfRule type="cellIs" dxfId="1402" priority="1591" operator="lessThan">
      <formula>TODAY()</formula>
    </cfRule>
  </conditionalFormatting>
  <conditionalFormatting sqref="A1069:A1070 A1:A1015 A1067 A1045:A1064 A1074:A1088 A1017:A1043 A1090:A1178 A1180:A1349 A1352:A1048576">
    <cfRule type="duplicateValues" dxfId="1401" priority="1585"/>
    <cfRule type="duplicateValues" dxfId="1400" priority="1586"/>
  </conditionalFormatting>
  <conditionalFormatting sqref="V1138">
    <cfRule type="cellIs" dxfId="1399" priority="1570" operator="equal">
      <formula>"WRONG"</formula>
    </cfRule>
  </conditionalFormatting>
  <conditionalFormatting sqref="AA1138">
    <cfRule type="cellIs" dxfId="1398" priority="1568" operator="lessThan">
      <formula>TODAY()</formula>
    </cfRule>
    <cfRule type="cellIs" dxfId="1397" priority="1569" operator="lessThan">
      <formula>TODAY()</formula>
    </cfRule>
  </conditionalFormatting>
  <conditionalFormatting sqref="AA1139">
    <cfRule type="cellIs" dxfId="1396" priority="1566" operator="lessThan">
      <formula>TODAY()</formula>
    </cfRule>
    <cfRule type="cellIs" dxfId="1395" priority="1567" operator="lessThan">
      <formula>TODAY()</formula>
    </cfRule>
  </conditionalFormatting>
  <conditionalFormatting sqref="V1139">
    <cfRule type="cellIs" dxfId="1394" priority="1565" operator="equal">
      <formula>"WRONG"</formula>
    </cfRule>
  </conditionalFormatting>
  <conditionalFormatting sqref="V1108">
    <cfRule type="cellIs" dxfId="1393" priority="1560" operator="equal">
      <formula>"WRONG"</formula>
    </cfRule>
  </conditionalFormatting>
  <conditionalFormatting sqref="AA1108">
    <cfRule type="cellIs" dxfId="1392" priority="1558" operator="lessThan">
      <formula>TODAY()</formula>
    </cfRule>
    <cfRule type="cellIs" dxfId="1391" priority="1559" operator="lessThan">
      <formula>TODAY()</formula>
    </cfRule>
  </conditionalFormatting>
  <conditionalFormatting sqref="V1028">
    <cfRule type="cellIs" dxfId="1390" priority="1553" operator="equal">
      <formula>"WRONG"</formula>
    </cfRule>
  </conditionalFormatting>
  <conditionalFormatting sqref="AA1028">
    <cfRule type="cellIs" dxfId="1389" priority="1551" operator="lessThan">
      <formula>TODAY()</formula>
    </cfRule>
    <cfRule type="cellIs" dxfId="1388" priority="1552" operator="lessThan">
      <formula>TODAY()</formula>
    </cfRule>
  </conditionalFormatting>
  <conditionalFormatting sqref="V1027">
    <cfRule type="cellIs" dxfId="1387" priority="1543" operator="equal">
      <formula>"WRONG"</formula>
    </cfRule>
  </conditionalFormatting>
  <conditionalFormatting sqref="AA1027">
    <cfRule type="cellIs" dxfId="1386" priority="1541" operator="lessThan">
      <formula>TODAY()</formula>
    </cfRule>
    <cfRule type="cellIs" dxfId="1385" priority="1542" operator="lessThan">
      <formula>TODAY()</formula>
    </cfRule>
  </conditionalFormatting>
  <conditionalFormatting sqref="V1026">
    <cfRule type="cellIs" dxfId="1384" priority="1536" operator="equal">
      <formula>"WRONG"</formula>
    </cfRule>
  </conditionalFormatting>
  <conditionalFormatting sqref="AA1026">
    <cfRule type="cellIs" dxfId="1383" priority="1534" operator="lessThan">
      <formula>TODAY()</formula>
    </cfRule>
    <cfRule type="cellIs" dxfId="1382" priority="1535" operator="lessThan">
      <formula>TODAY()</formula>
    </cfRule>
  </conditionalFormatting>
  <conditionalFormatting sqref="V1024">
    <cfRule type="cellIs" dxfId="1381" priority="1529" operator="equal">
      <formula>"WRONG"</formula>
    </cfRule>
  </conditionalFormatting>
  <conditionalFormatting sqref="AA1024">
    <cfRule type="cellIs" dxfId="1380" priority="1527" operator="lessThan">
      <formula>TODAY()</formula>
    </cfRule>
    <cfRule type="cellIs" dxfId="1379" priority="1528" operator="lessThan">
      <formula>TODAY()</formula>
    </cfRule>
  </conditionalFormatting>
  <conditionalFormatting sqref="AA1025">
    <cfRule type="cellIs" dxfId="1378" priority="1525" operator="lessThan">
      <formula>TODAY()</formula>
    </cfRule>
    <cfRule type="cellIs" dxfId="1377" priority="1526" operator="lessThan">
      <formula>TODAY()</formula>
    </cfRule>
  </conditionalFormatting>
  <conditionalFormatting sqref="V1025">
    <cfRule type="cellIs" dxfId="1376" priority="1524" operator="equal">
      <formula>"WRONG"</formula>
    </cfRule>
  </conditionalFormatting>
  <conditionalFormatting sqref="V1030">
    <cfRule type="cellIs" dxfId="1375" priority="1505" operator="equal">
      <formula>"WRONG"</formula>
    </cfRule>
  </conditionalFormatting>
  <conditionalFormatting sqref="AA1030">
    <cfRule type="cellIs" dxfId="1374" priority="1503" operator="lessThan">
      <formula>TODAY()</formula>
    </cfRule>
    <cfRule type="cellIs" dxfId="1373" priority="1504" operator="lessThan">
      <formula>TODAY()</formula>
    </cfRule>
  </conditionalFormatting>
  <conditionalFormatting sqref="V1029">
    <cfRule type="cellIs" dxfId="1372" priority="1502" operator="equal">
      <formula>"WRONG"</formula>
    </cfRule>
  </conditionalFormatting>
  <conditionalFormatting sqref="AA1029">
    <cfRule type="cellIs" dxfId="1371" priority="1500" operator="lessThan">
      <formula>TODAY()</formula>
    </cfRule>
    <cfRule type="cellIs" dxfId="1370" priority="1501" operator="lessThan">
      <formula>TODAY()</formula>
    </cfRule>
  </conditionalFormatting>
  <conditionalFormatting sqref="V1403">
    <cfRule type="cellIs" dxfId="1369" priority="1499" operator="equal">
      <formula>"WRONG"</formula>
    </cfRule>
  </conditionalFormatting>
  <conditionalFormatting sqref="AA1403">
    <cfRule type="cellIs" dxfId="1368" priority="1497" operator="lessThan">
      <formula>TODAY()</formula>
    </cfRule>
    <cfRule type="cellIs" dxfId="1367" priority="1498" operator="lessThan">
      <formula>TODAY()</formula>
    </cfRule>
  </conditionalFormatting>
  <conditionalFormatting sqref="AA1404">
    <cfRule type="cellIs" dxfId="1366" priority="1495" operator="lessThan">
      <formula>TODAY()</formula>
    </cfRule>
    <cfRule type="cellIs" dxfId="1365" priority="1496" operator="lessThan">
      <formula>TODAY()</formula>
    </cfRule>
  </conditionalFormatting>
  <conditionalFormatting sqref="V1404">
    <cfRule type="cellIs" dxfId="1364" priority="1494" operator="equal">
      <formula>"WRONG"</formula>
    </cfRule>
  </conditionalFormatting>
  <conditionalFormatting sqref="V1109">
    <cfRule type="cellIs" dxfId="1363" priority="1489" operator="equal">
      <formula>"WRONG"</formula>
    </cfRule>
  </conditionalFormatting>
  <conditionalFormatting sqref="AA1109">
    <cfRule type="cellIs" dxfId="1362" priority="1487" operator="lessThan">
      <formula>TODAY()</formula>
    </cfRule>
    <cfRule type="cellIs" dxfId="1361" priority="1488" operator="lessThan">
      <formula>TODAY()</formula>
    </cfRule>
  </conditionalFormatting>
  <conditionalFormatting sqref="V1110">
    <cfRule type="cellIs" dxfId="1360" priority="1482" operator="equal">
      <formula>"WRONG"</formula>
    </cfRule>
  </conditionalFormatting>
  <conditionalFormatting sqref="AA1110">
    <cfRule type="cellIs" dxfId="1359" priority="1480" operator="lessThan">
      <formula>TODAY()</formula>
    </cfRule>
    <cfRule type="cellIs" dxfId="1358" priority="1481" operator="lessThan">
      <formula>TODAY()</formula>
    </cfRule>
  </conditionalFormatting>
  <conditionalFormatting sqref="V1091">
    <cfRule type="cellIs" dxfId="1357" priority="1468" operator="equal">
      <formula>"WRONG"</formula>
    </cfRule>
  </conditionalFormatting>
  <conditionalFormatting sqref="AA1091">
    <cfRule type="cellIs" dxfId="1356" priority="1466" operator="lessThan">
      <formula>TODAY()</formula>
    </cfRule>
    <cfRule type="cellIs" dxfId="1355" priority="1467" operator="lessThan">
      <formula>TODAY()</formula>
    </cfRule>
  </conditionalFormatting>
  <conditionalFormatting sqref="V1129">
    <cfRule type="cellIs" dxfId="1354" priority="1454" operator="equal">
      <formula>"WRONG"</formula>
    </cfRule>
  </conditionalFormatting>
  <conditionalFormatting sqref="AA1129">
    <cfRule type="cellIs" dxfId="1353" priority="1452" operator="lessThan">
      <formula>TODAY()</formula>
    </cfRule>
    <cfRule type="cellIs" dxfId="1352" priority="1453" operator="lessThan">
      <formula>TODAY()</formula>
    </cfRule>
  </conditionalFormatting>
  <conditionalFormatting sqref="V1130:V1149">
    <cfRule type="cellIs" dxfId="1351" priority="1447" operator="equal">
      <formula>"WRONG"</formula>
    </cfRule>
  </conditionalFormatting>
  <conditionalFormatting sqref="AA1130:AA1149">
    <cfRule type="cellIs" dxfId="1350" priority="1445" operator="lessThan">
      <formula>TODAY()</formula>
    </cfRule>
    <cfRule type="cellIs" dxfId="1349" priority="1446" operator="lessThan">
      <formula>TODAY()</formula>
    </cfRule>
  </conditionalFormatting>
  <conditionalFormatting sqref="V1111">
    <cfRule type="cellIs" dxfId="1348" priority="1440" operator="equal">
      <formula>"WRONG"</formula>
    </cfRule>
  </conditionalFormatting>
  <conditionalFormatting sqref="AA1111">
    <cfRule type="cellIs" dxfId="1347" priority="1438" operator="lessThan">
      <formula>TODAY()</formula>
    </cfRule>
    <cfRule type="cellIs" dxfId="1346" priority="1439" operator="lessThan">
      <formula>TODAY()</formula>
    </cfRule>
  </conditionalFormatting>
  <conditionalFormatting sqref="V1185">
    <cfRule type="cellIs" dxfId="1345" priority="1433" operator="equal">
      <formula>"WRONG"</formula>
    </cfRule>
  </conditionalFormatting>
  <conditionalFormatting sqref="AA1185">
    <cfRule type="cellIs" dxfId="1344" priority="1431" operator="lessThan">
      <formula>TODAY()</formula>
    </cfRule>
    <cfRule type="cellIs" dxfId="1343" priority="1432" operator="lessThan">
      <formula>TODAY()</formula>
    </cfRule>
  </conditionalFormatting>
  <conditionalFormatting sqref="V1186">
    <cfRule type="cellIs" dxfId="1342" priority="1426" operator="equal">
      <formula>"WRONG"</formula>
    </cfRule>
  </conditionalFormatting>
  <conditionalFormatting sqref="AA1186">
    <cfRule type="cellIs" dxfId="1341" priority="1424" operator="lessThan">
      <formula>TODAY()</formula>
    </cfRule>
    <cfRule type="cellIs" dxfId="1340" priority="1425" operator="lessThan">
      <formula>TODAY()</formula>
    </cfRule>
  </conditionalFormatting>
  <conditionalFormatting sqref="V1187">
    <cfRule type="cellIs" dxfId="1339" priority="1412" operator="equal">
      <formula>"WRONG"</formula>
    </cfRule>
  </conditionalFormatting>
  <conditionalFormatting sqref="AA1187">
    <cfRule type="cellIs" dxfId="1338" priority="1410" operator="lessThan">
      <formula>TODAY()</formula>
    </cfRule>
    <cfRule type="cellIs" dxfId="1337" priority="1411" operator="lessThan">
      <formula>TODAY()</formula>
    </cfRule>
  </conditionalFormatting>
  <conditionalFormatting sqref="V1188">
    <cfRule type="cellIs" dxfId="1336" priority="1405" operator="equal">
      <formula>"WRONG"</formula>
    </cfRule>
  </conditionalFormatting>
  <conditionalFormatting sqref="AA1188">
    <cfRule type="cellIs" dxfId="1335" priority="1403" operator="lessThan">
      <formula>TODAY()</formula>
    </cfRule>
    <cfRule type="cellIs" dxfId="1334" priority="1404" operator="lessThan">
      <formula>TODAY()</formula>
    </cfRule>
  </conditionalFormatting>
  <conditionalFormatting sqref="V1189">
    <cfRule type="cellIs" dxfId="1333" priority="1398" operator="equal">
      <formula>"WRONG"</formula>
    </cfRule>
  </conditionalFormatting>
  <conditionalFormatting sqref="AA1189">
    <cfRule type="cellIs" dxfId="1332" priority="1396" operator="lessThan">
      <formula>TODAY()</formula>
    </cfRule>
    <cfRule type="cellIs" dxfId="1331" priority="1397" operator="lessThan">
      <formula>TODAY()</formula>
    </cfRule>
  </conditionalFormatting>
  <conditionalFormatting sqref="V1158">
    <cfRule type="cellIs" dxfId="1330" priority="1391" operator="equal">
      <formula>"WRONG"</formula>
    </cfRule>
  </conditionalFormatting>
  <conditionalFormatting sqref="AA1158">
    <cfRule type="cellIs" dxfId="1329" priority="1389" operator="lessThan">
      <formula>TODAY()</formula>
    </cfRule>
    <cfRule type="cellIs" dxfId="1328" priority="1390" operator="lessThan">
      <formula>TODAY()</formula>
    </cfRule>
  </conditionalFormatting>
  <conditionalFormatting sqref="V1153">
    <cfRule type="cellIs" dxfId="1327" priority="1384" operator="equal">
      <formula>"WRONG"</formula>
    </cfRule>
  </conditionalFormatting>
  <conditionalFormatting sqref="AA1153">
    <cfRule type="cellIs" dxfId="1326" priority="1382" operator="lessThan">
      <formula>TODAY()</formula>
    </cfRule>
    <cfRule type="cellIs" dxfId="1325" priority="1383" operator="lessThan">
      <formula>TODAY()</formula>
    </cfRule>
  </conditionalFormatting>
  <conditionalFormatting sqref="V1154">
    <cfRule type="cellIs" dxfId="1324" priority="1377" operator="equal">
      <formula>"WRONG"</formula>
    </cfRule>
  </conditionalFormatting>
  <conditionalFormatting sqref="AA1154">
    <cfRule type="cellIs" dxfId="1323" priority="1375" operator="lessThan">
      <formula>TODAY()</formula>
    </cfRule>
    <cfRule type="cellIs" dxfId="1322" priority="1376" operator="lessThan">
      <formula>TODAY()</formula>
    </cfRule>
  </conditionalFormatting>
  <conditionalFormatting sqref="V1152">
    <cfRule type="cellIs" dxfId="1321" priority="1370" operator="equal">
      <formula>"WRONG"</formula>
    </cfRule>
  </conditionalFormatting>
  <conditionalFormatting sqref="AA1152">
    <cfRule type="cellIs" dxfId="1320" priority="1368" operator="lessThan">
      <formula>TODAY()</formula>
    </cfRule>
    <cfRule type="cellIs" dxfId="1319" priority="1369" operator="lessThan">
      <formula>TODAY()</formula>
    </cfRule>
  </conditionalFormatting>
  <conditionalFormatting sqref="V1205">
    <cfRule type="cellIs" dxfId="1318" priority="1356" operator="equal">
      <formula>"WRONG"</formula>
    </cfRule>
  </conditionalFormatting>
  <conditionalFormatting sqref="AA1205">
    <cfRule type="cellIs" dxfId="1317" priority="1354" operator="lessThan">
      <formula>TODAY()</formula>
    </cfRule>
    <cfRule type="cellIs" dxfId="1316" priority="1355" operator="lessThan">
      <formula>TODAY()</formula>
    </cfRule>
  </conditionalFormatting>
  <conditionalFormatting sqref="V1206">
    <cfRule type="cellIs" dxfId="1315" priority="1349" operator="equal">
      <formula>"WRONG"</formula>
    </cfRule>
  </conditionalFormatting>
  <conditionalFormatting sqref="AA1206">
    <cfRule type="cellIs" dxfId="1314" priority="1347" operator="lessThan">
      <formula>TODAY()</formula>
    </cfRule>
    <cfRule type="cellIs" dxfId="1313" priority="1348" operator="lessThan">
      <formula>TODAY()</formula>
    </cfRule>
  </conditionalFormatting>
  <conditionalFormatting sqref="V1150">
    <cfRule type="cellIs" dxfId="1312" priority="1335" operator="equal">
      <formula>"WRONG"</formula>
    </cfRule>
  </conditionalFormatting>
  <conditionalFormatting sqref="AA1150">
    <cfRule type="cellIs" dxfId="1311" priority="1333" operator="lessThan">
      <formula>TODAY()</formula>
    </cfRule>
    <cfRule type="cellIs" dxfId="1310" priority="1334" operator="lessThan">
      <formula>TODAY()</formula>
    </cfRule>
  </conditionalFormatting>
  <conditionalFormatting sqref="V1151:V1154">
    <cfRule type="cellIs" dxfId="1309" priority="1328" operator="equal">
      <formula>"WRONG"</formula>
    </cfRule>
  </conditionalFormatting>
  <conditionalFormatting sqref="AA1151:AA1154">
    <cfRule type="cellIs" dxfId="1308" priority="1326" operator="lessThan">
      <formula>TODAY()</formula>
    </cfRule>
    <cfRule type="cellIs" dxfId="1307" priority="1327" operator="lessThan">
      <formula>TODAY()</formula>
    </cfRule>
  </conditionalFormatting>
  <conditionalFormatting sqref="V1155">
    <cfRule type="cellIs" dxfId="1306" priority="1314" operator="equal">
      <formula>"WRONG"</formula>
    </cfRule>
  </conditionalFormatting>
  <conditionalFormatting sqref="AA1155">
    <cfRule type="cellIs" dxfId="1305" priority="1312" operator="lessThan">
      <formula>TODAY()</formula>
    </cfRule>
    <cfRule type="cellIs" dxfId="1304" priority="1313" operator="lessThan">
      <formula>TODAY()</formula>
    </cfRule>
  </conditionalFormatting>
  <conditionalFormatting sqref="V1156">
    <cfRule type="cellIs" dxfId="1303" priority="1307" operator="equal">
      <formula>"WRONG"</formula>
    </cfRule>
  </conditionalFormatting>
  <conditionalFormatting sqref="AA1156">
    <cfRule type="cellIs" dxfId="1302" priority="1305" operator="lessThan">
      <formula>TODAY()</formula>
    </cfRule>
    <cfRule type="cellIs" dxfId="1301" priority="1306" operator="lessThan">
      <formula>TODAY()</formula>
    </cfRule>
  </conditionalFormatting>
  <conditionalFormatting sqref="V1157">
    <cfRule type="cellIs" dxfId="1300" priority="1300" operator="equal">
      <formula>"WRONG"</formula>
    </cfRule>
  </conditionalFormatting>
  <conditionalFormatting sqref="AA1157">
    <cfRule type="cellIs" dxfId="1299" priority="1298" operator="lessThan">
      <formula>TODAY()</formula>
    </cfRule>
    <cfRule type="cellIs" dxfId="1298" priority="1299" operator="lessThan">
      <formula>TODAY()</formula>
    </cfRule>
  </conditionalFormatting>
  <conditionalFormatting sqref="A1035 A1031:A1032">
    <cfRule type="duplicateValues" dxfId="1297" priority="6696"/>
  </conditionalFormatting>
  <conditionalFormatting sqref="V1141">
    <cfRule type="cellIs" dxfId="1296" priority="1287" operator="equal">
      <formula>"WRONG"</formula>
    </cfRule>
  </conditionalFormatting>
  <conditionalFormatting sqref="AA1141">
    <cfRule type="cellIs" dxfId="1295" priority="1285" operator="lessThan">
      <formula>TODAY()</formula>
    </cfRule>
    <cfRule type="cellIs" dxfId="1294" priority="1286" operator="lessThan">
      <formula>TODAY()</formula>
    </cfRule>
  </conditionalFormatting>
  <conditionalFormatting sqref="V1137:V1149">
    <cfRule type="cellIs" dxfId="1293" priority="1282" operator="equal">
      <formula>"WRONG"</formula>
    </cfRule>
  </conditionalFormatting>
  <conditionalFormatting sqref="AA1137:AA1149">
    <cfRule type="cellIs" dxfId="1292" priority="1280" operator="lessThan">
      <formula>TODAY()</formula>
    </cfRule>
    <cfRule type="cellIs" dxfId="1291" priority="1281" operator="lessThan">
      <formula>TODAY()</formula>
    </cfRule>
  </conditionalFormatting>
  <conditionalFormatting sqref="AA1132:AA1149">
    <cfRule type="cellIs" dxfId="1290" priority="1278" operator="lessThan">
      <formula>TODAY()</formula>
    </cfRule>
    <cfRule type="cellIs" dxfId="1289" priority="1279" operator="lessThan">
      <formula>TODAY()</formula>
    </cfRule>
  </conditionalFormatting>
  <conditionalFormatting sqref="V1132:V1149">
    <cfRule type="cellIs" dxfId="1288" priority="1277" operator="equal">
      <formula>"WRONG"</formula>
    </cfRule>
  </conditionalFormatting>
  <conditionalFormatting sqref="V1131:V1149">
    <cfRule type="cellIs" dxfId="1287" priority="1276" operator="equal">
      <formula>"WRONG"</formula>
    </cfRule>
  </conditionalFormatting>
  <conditionalFormatting sqref="AA1131:AA1149">
    <cfRule type="cellIs" dxfId="1286" priority="1274" operator="lessThan">
      <formula>TODAY()</formula>
    </cfRule>
    <cfRule type="cellIs" dxfId="1285" priority="1275" operator="lessThan">
      <formula>TODAY()</formula>
    </cfRule>
  </conditionalFormatting>
  <conditionalFormatting sqref="V1136">
    <cfRule type="cellIs" dxfId="1284" priority="1273" operator="equal">
      <formula>"WRONG"</formula>
    </cfRule>
  </conditionalFormatting>
  <conditionalFormatting sqref="AA1136">
    <cfRule type="cellIs" dxfId="1283" priority="1271" operator="lessThan">
      <formula>TODAY()</formula>
    </cfRule>
    <cfRule type="cellIs" dxfId="1282" priority="1272" operator="lessThan">
      <formula>TODAY()</formula>
    </cfRule>
  </conditionalFormatting>
  <conditionalFormatting sqref="AA1144">
    <cfRule type="cellIs" dxfId="1281" priority="1267" operator="lessThan">
      <formula>TODAY()</formula>
    </cfRule>
    <cfRule type="cellIs" dxfId="1280" priority="1268" operator="lessThan">
      <formula>TODAY()</formula>
    </cfRule>
  </conditionalFormatting>
  <conditionalFormatting sqref="V1144">
    <cfRule type="cellIs" dxfId="1279" priority="1266" operator="equal">
      <formula>"WRONG"</formula>
    </cfRule>
  </conditionalFormatting>
  <conditionalFormatting sqref="V1148">
    <cfRule type="cellIs" dxfId="1278" priority="1263" operator="equal">
      <formula>"WRONG"</formula>
    </cfRule>
  </conditionalFormatting>
  <conditionalFormatting sqref="AA1148">
    <cfRule type="cellIs" dxfId="1277" priority="1261" operator="lessThan">
      <formula>TODAY()</formula>
    </cfRule>
    <cfRule type="cellIs" dxfId="1276" priority="1262" operator="lessThan">
      <formula>TODAY()</formula>
    </cfRule>
  </conditionalFormatting>
  <conditionalFormatting sqref="AA1143">
    <cfRule type="cellIs" dxfId="1275" priority="1259" operator="lessThan">
      <formula>TODAY()</formula>
    </cfRule>
    <cfRule type="cellIs" dxfId="1274" priority="1260" operator="lessThan">
      <formula>TODAY()</formula>
    </cfRule>
  </conditionalFormatting>
  <conditionalFormatting sqref="V1143">
    <cfRule type="cellIs" dxfId="1273" priority="1258" operator="equal">
      <formula>"WRONG"</formula>
    </cfRule>
  </conditionalFormatting>
  <conditionalFormatting sqref="AA1146">
    <cfRule type="cellIs" dxfId="1272" priority="1254" operator="lessThan">
      <formula>TODAY()</formula>
    </cfRule>
    <cfRule type="cellIs" dxfId="1271" priority="1255" operator="lessThan">
      <formula>TODAY()</formula>
    </cfRule>
  </conditionalFormatting>
  <conditionalFormatting sqref="V1146">
    <cfRule type="cellIs" dxfId="1270" priority="1253" operator="equal">
      <formula>"WRONG"</formula>
    </cfRule>
  </conditionalFormatting>
  <conditionalFormatting sqref="AA1149">
    <cfRule type="cellIs" dxfId="1269" priority="1246" operator="lessThan">
      <formula>TODAY()</formula>
    </cfRule>
    <cfRule type="cellIs" dxfId="1268" priority="1247" operator="lessThan">
      <formula>TODAY()</formula>
    </cfRule>
  </conditionalFormatting>
  <conditionalFormatting sqref="V1149">
    <cfRule type="cellIs" dxfId="1267" priority="1245" operator="equal">
      <formula>"WRONG"</formula>
    </cfRule>
  </conditionalFormatting>
  <conditionalFormatting sqref="AA1176">
    <cfRule type="cellIs" dxfId="1266" priority="1241" operator="lessThan">
      <formula>TODAY()</formula>
    </cfRule>
    <cfRule type="cellIs" dxfId="1265" priority="1242" operator="lessThan">
      <formula>TODAY()</formula>
    </cfRule>
  </conditionalFormatting>
  <conditionalFormatting sqref="V1176">
    <cfRule type="cellIs" dxfId="1264" priority="1240" operator="equal">
      <formula>"WRONG"</formula>
    </cfRule>
  </conditionalFormatting>
  <conditionalFormatting sqref="AA1147:AA1149">
    <cfRule type="cellIs" dxfId="1263" priority="1233" operator="lessThan">
      <formula>TODAY()</formula>
    </cfRule>
    <cfRule type="cellIs" dxfId="1262" priority="1234" operator="lessThan">
      <formula>TODAY()</formula>
    </cfRule>
  </conditionalFormatting>
  <conditionalFormatting sqref="V1147:V1149">
    <cfRule type="cellIs" dxfId="1261" priority="1232" operator="equal">
      <formula>"WRONG"</formula>
    </cfRule>
  </conditionalFormatting>
  <conditionalFormatting sqref="AA1192">
    <cfRule type="cellIs" dxfId="1260" priority="1226" operator="lessThan">
      <formula>TODAY()</formula>
    </cfRule>
    <cfRule type="cellIs" dxfId="1259" priority="1227" operator="lessThan">
      <formula>TODAY()</formula>
    </cfRule>
  </conditionalFormatting>
  <conditionalFormatting sqref="V1192">
    <cfRule type="cellIs" dxfId="1258" priority="1225" operator="equal">
      <formula>"WRONG"</formula>
    </cfRule>
  </conditionalFormatting>
  <conditionalFormatting sqref="AA1382 AA1600">
    <cfRule type="cellIs" dxfId="1257" priority="1223" operator="lessThan">
      <formula>TODAY()</formula>
    </cfRule>
    <cfRule type="cellIs" dxfId="1256" priority="1224" operator="lessThan">
      <formula>TODAY()</formula>
    </cfRule>
  </conditionalFormatting>
  <conditionalFormatting sqref="V1178 V1382 V1600">
    <cfRule type="cellIs" dxfId="1255" priority="1222" operator="equal">
      <formula>"WRONG"</formula>
    </cfRule>
  </conditionalFormatting>
  <conditionalFormatting sqref="AA1174">
    <cfRule type="cellIs" dxfId="1254" priority="1217" operator="lessThan">
      <formula>TODAY()</formula>
    </cfRule>
    <cfRule type="cellIs" dxfId="1253" priority="1218" operator="lessThan">
      <formula>TODAY()</formula>
    </cfRule>
  </conditionalFormatting>
  <conditionalFormatting sqref="V1174">
    <cfRule type="cellIs" dxfId="1252" priority="1216" operator="equal">
      <formula>"WRONG"</formula>
    </cfRule>
  </conditionalFormatting>
  <conditionalFormatting sqref="A1054:A1064 A1014:A1015 A1:A986 A988:A1005 A1020:A1030 A1036:A1037 A1033:A1034 A1040:A1043 A1069:A1070 A1067 A1045:A1052 A1074:A1088 A1090:A1178 A1180:A1349 A1352:A1048576">
    <cfRule type="duplicateValues" dxfId="1251" priority="6747"/>
  </conditionalFormatting>
  <conditionalFormatting sqref="A1036:A1043 A1033:A1034 A1:A986 A988:A1015 A1069:A1070 A1067 A1045:A1064 A1074:A1088 A1017:A1030 A1090:A1178 A1180:A1349 A1352:A1048576">
    <cfRule type="duplicateValues" dxfId="1250" priority="6759"/>
  </conditionalFormatting>
  <conditionalFormatting sqref="V1072">
    <cfRule type="cellIs" dxfId="1249" priority="1213" operator="equal">
      <formula>"WRONG"</formula>
    </cfRule>
  </conditionalFormatting>
  <conditionalFormatting sqref="V1072">
    <cfRule type="cellIs" dxfId="1248" priority="1212" operator="equal">
      <formula>"WRONG"</formula>
    </cfRule>
  </conditionalFormatting>
  <conditionalFormatting sqref="V1072">
    <cfRule type="cellIs" dxfId="1247" priority="1211" operator="equal">
      <formula>"WRONG"</formula>
    </cfRule>
  </conditionalFormatting>
  <conditionalFormatting sqref="A1072">
    <cfRule type="duplicateValues" dxfId="1246" priority="1209"/>
    <cfRule type="duplicateValues" dxfId="1245" priority="1210"/>
  </conditionalFormatting>
  <conditionalFormatting sqref="A1072">
    <cfRule type="duplicateValues" dxfId="1244" priority="1214"/>
  </conditionalFormatting>
  <conditionalFormatting sqref="A1072">
    <cfRule type="duplicateValues" dxfId="1243" priority="1215"/>
  </conditionalFormatting>
  <conditionalFormatting sqref="V1073">
    <cfRule type="cellIs" dxfId="1242" priority="1206" operator="equal">
      <formula>"WRONG"</formula>
    </cfRule>
  </conditionalFormatting>
  <conditionalFormatting sqref="V1073">
    <cfRule type="cellIs" dxfId="1241" priority="1205" operator="equal">
      <formula>"WRONG"</formula>
    </cfRule>
  </conditionalFormatting>
  <conditionalFormatting sqref="V1073">
    <cfRule type="cellIs" dxfId="1240" priority="1204" operator="equal">
      <formula>"WRONG"</formula>
    </cfRule>
  </conditionalFormatting>
  <conditionalFormatting sqref="A1073">
    <cfRule type="duplicateValues" dxfId="1239" priority="1202"/>
    <cfRule type="duplicateValues" dxfId="1238" priority="1203"/>
  </conditionalFormatting>
  <conditionalFormatting sqref="A1073">
    <cfRule type="duplicateValues" dxfId="1237" priority="1207"/>
  </conditionalFormatting>
  <conditionalFormatting sqref="A1073">
    <cfRule type="duplicateValues" dxfId="1236" priority="1208"/>
  </conditionalFormatting>
  <conditionalFormatting sqref="V1068">
    <cfRule type="cellIs" dxfId="1235" priority="1199" operator="equal">
      <formula>"WRONG"</formula>
    </cfRule>
  </conditionalFormatting>
  <conditionalFormatting sqref="A1068">
    <cfRule type="duplicateValues" dxfId="1234" priority="1197"/>
    <cfRule type="duplicateValues" dxfId="1233" priority="1198"/>
  </conditionalFormatting>
  <conditionalFormatting sqref="A1068">
    <cfRule type="duplicateValues" dxfId="1232" priority="1200"/>
  </conditionalFormatting>
  <conditionalFormatting sqref="A1068">
    <cfRule type="duplicateValues" dxfId="1231" priority="1201"/>
  </conditionalFormatting>
  <conditionalFormatting sqref="V1065">
    <cfRule type="cellIs" dxfId="1230" priority="1194" operator="equal">
      <formula>"WRONG"</formula>
    </cfRule>
  </conditionalFormatting>
  <conditionalFormatting sqref="A1065">
    <cfRule type="duplicateValues" dxfId="1229" priority="1192"/>
    <cfRule type="duplicateValues" dxfId="1228" priority="1193"/>
  </conditionalFormatting>
  <conditionalFormatting sqref="A1065">
    <cfRule type="duplicateValues" dxfId="1227" priority="1195"/>
  </conditionalFormatting>
  <conditionalFormatting sqref="A1065">
    <cfRule type="duplicateValues" dxfId="1226" priority="1196"/>
  </conditionalFormatting>
  <conditionalFormatting sqref="V1071">
    <cfRule type="cellIs" dxfId="1225" priority="1189" operator="equal">
      <formula>"WRONG"</formula>
    </cfRule>
  </conditionalFormatting>
  <conditionalFormatting sqref="V1071">
    <cfRule type="cellIs" dxfId="1224" priority="1188" operator="equal">
      <formula>"WRONG"</formula>
    </cfRule>
  </conditionalFormatting>
  <conditionalFormatting sqref="V1071">
    <cfRule type="cellIs" dxfId="1223" priority="1187" operator="equal">
      <formula>"WRONG"</formula>
    </cfRule>
  </conditionalFormatting>
  <conditionalFormatting sqref="A1071">
    <cfRule type="duplicateValues" dxfId="1222" priority="1185"/>
    <cfRule type="duplicateValues" dxfId="1221" priority="1186"/>
  </conditionalFormatting>
  <conditionalFormatting sqref="A1071">
    <cfRule type="duplicateValues" dxfId="1220" priority="1190"/>
  </conditionalFormatting>
  <conditionalFormatting sqref="A1071">
    <cfRule type="duplicateValues" dxfId="1219" priority="1191"/>
  </conditionalFormatting>
  <conditionalFormatting sqref="V1066">
    <cfRule type="cellIs" dxfId="1218" priority="1182" operator="equal">
      <formula>"WRONG"</formula>
    </cfRule>
  </conditionalFormatting>
  <conditionalFormatting sqref="A1066">
    <cfRule type="duplicateValues" dxfId="1217" priority="1180"/>
    <cfRule type="duplicateValues" dxfId="1216" priority="1181"/>
  </conditionalFormatting>
  <conditionalFormatting sqref="A1066">
    <cfRule type="duplicateValues" dxfId="1215" priority="1183"/>
  </conditionalFormatting>
  <conditionalFormatting sqref="A1066">
    <cfRule type="duplicateValues" dxfId="1214" priority="1184"/>
  </conditionalFormatting>
  <conditionalFormatting sqref="AA1178">
    <cfRule type="cellIs" dxfId="1213" priority="1174" operator="lessThan">
      <formula>TODAY()</formula>
    </cfRule>
    <cfRule type="cellIs" dxfId="1212" priority="1175" operator="lessThan">
      <formula>TODAY()</formula>
    </cfRule>
  </conditionalFormatting>
  <conditionalFormatting sqref="AA1193:AA1195">
    <cfRule type="cellIs" dxfId="1211" priority="1172" operator="lessThan">
      <formula>TODAY()</formula>
    </cfRule>
    <cfRule type="cellIs" dxfId="1210" priority="1173" operator="lessThan">
      <formula>TODAY()</formula>
    </cfRule>
  </conditionalFormatting>
  <conditionalFormatting sqref="V1193:V1195">
    <cfRule type="cellIs" dxfId="1209" priority="1171" operator="equal">
      <formula>"WRONG"</formula>
    </cfRule>
  </conditionalFormatting>
  <conditionalFormatting sqref="V1164">
    <cfRule type="cellIs" dxfId="1208" priority="1170" operator="equal">
      <formula>"WRONG"</formula>
    </cfRule>
  </conditionalFormatting>
  <conditionalFormatting sqref="AA1164">
    <cfRule type="cellIs" dxfId="1207" priority="1168" operator="lessThan">
      <formula>TODAY()</formula>
    </cfRule>
    <cfRule type="cellIs" dxfId="1206" priority="1169" operator="lessThan">
      <formula>TODAY()</formula>
    </cfRule>
  </conditionalFormatting>
  <conditionalFormatting sqref="AA1183">
    <cfRule type="cellIs" dxfId="1205" priority="1163" operator="lessThan">
      <formula>TODAY()</formula>
    </cfRule>
    <cfRule type="cellIs" dxfId="1204" priority="1164" operator="lessThan">
      <formula>TODAY()</formula>
    </cfRule>
  </conditionalFormatting>
  <conditionalFormatting sqref="V1183">
    <cfRule type="cellIs" dxfId="1203" priority="1162" operator="equal">
      <formula>"WRONG"</formula>
    </cfRule>
  </conditionalFormatting>
  <conditionalFormatting sqref="V1196:V1197">
    <cfRule type="cellIs" dxfId="1202" priority="1161" operator="equal">
      <formula>"WRONG"</formula>
    </cfRule>
  </conditionalFormatting>
  <conditionalFormatting sqref="AA1196:AA1197">
    <cfRule type="cellIs" dxfId="1201" priority="1159" operator="lessThan">
      <formula>TODAY()</formula>
    </cfRule>
    <cfRule type="cellIs" dxfId="1200" priority="1160" operator="lessThan">
      <formula>TODAY()</formula>
    </cfRule>
  </conditionalFormatting>
  <conditionalFormatting sqref="AA1184:AA1190">
    <cfRule type="cellIs" dxfId="1199" priority="1157" operator="lessThan">
      <formula>TODAY()</formula>
    </cfRule>
    <cfRule type="cellIs" dxfId="1198" priority="1158" operator="lessThan">
      <formula>TODAY()</formula>
    </cfRule>
  </conditionalFormatting>
  <conditionalFormatting sqref="V1184:V1190">
    <cfRule type="cellIs" dxfId="1197" priority="1156" operator="equal">
      <formula>"WRONG"</formula>
    </cfRule>
  </conditionalFormatting>
  <conditionalFormatting sqref="V1170:V1172">
    <cfRule type="cellIs" dxfId="1196" priority="1155" operator="equal">
      <formula>"WRONG"</formula>
    </cfRule>
  </conditionalFormatting>
  <conditionalFormatting sqref="AA1170:AA1172">
    <cfRule type="cellIs" dxfId="1195" priority="1153" operator="lessThan">
      <formula>TODAY()</formula>
    </cfRule>
    <cfRule type="cellIs" dxfId="1194" priority="1154" operator="lessThan">
      <formula>TODAY()</formula>
    </cfRule>
  </conditionalFormatting>
  <conditionalFormatting sqref="AA1169">
    <cfRule type="cellIs" dxfId="1193" priority="1151" operator="lessThan">
      <formula>TODAY()</formula>
    </cfRule>
    <cfRule type="cellIs" dxfId="1192" priority="1152" operator="lessThan">
      <formula>TODAY()</formula>
    </cfRule>
  </conditionalFormatting>
  <conditionalFormatting sqref="V1169">
    <cfRule type="cellIs" dxfId="1191" priority="1150" operator="equal">
      <formula>"WRONG"</formula>
    </cfRule>
  </conditionalFormatting>
  <conditionalFormatting sqref="AA1199">
    <cfRule type="cellIs" dxfId="1190" priority="1148" operator="lessThan">
      <formula>TODAY()</formula>
    </cfRule>
    <cfRule type="cellIs" dxfId="1189" priority="1149" operator="lessThan">
      <formula>TODAY()</formula>
    </cfRule>
  </conditionalFormatting>
  <conditionalFormatting sqref="V1199">
    <cfRule type="cellIs" dxfId="1188" priority="1147" operator="equal">
      <formula>"WRONG"</formula>
    </cfRule>
  </conditionalFormatting>
  <conditionalFormatting sqref="V1198">
    <cfRule type="cellIs" dxfId="1187" priority="1146" operator="equal">
      <formula>"WRONG"</formula>
    </cfRule>
  </conditionalFormatting>
  <conditionalFormatting sqref="AA1198">
    <cfRule type="cellIs" dxfId="1186" priority="1144" operator="lessThan">
      <formula>TODAY()</formula>
    </cfRule>
    <cfRule type="cellIs" dxfId="1185" priority="1145" operator="lessThan">
      <formula>TODAY()</formula>
    </cfRule>
  </conditionalFormatting>
  <conditionalFormatting sqref="AA1304 AA1231:AA1236">
    <cfRule type="cellIs" dxfId="1184" priority="1123" operator="lessThan">
      <formula>TODAY()</formula>
    </cfRule>
    <cfRule type="cellIs" dxfId="1183" priority="1124" operator="lessThan">
      <formula>TODAY()</formula>
    </cfRule>
  </conditionalFormatting>
  <conditionalFormatting sqref="AA1240">
    <cfRule type="cellIs" dxfId="1182" priority="1127" operator="lessThan">
      <formula>TODAY()</formula>
    </cfRule>
    <cfRule type="cellIs" dxfId="1181" priority="1128" operator="lessThan">
      <formula>TODAY()</formula>
    </cfRule>
  </conditionalFormatting>
  <conditionalFormatting sqref="V1240">
    <cfRule type="cellIs" dxfId="1180" priority="1126" operator="equal">
      <formula>"WRONG"</formula>
    </cfRule>
  </conditionalFormatting>
  <conditionalFormatting sqref="V1304 V1231:V1236">
    <cfRule type="cellIs" dxfId="1179" priority="1125" operator="equal">
      <formula>"WRONG"</formula>
    </cfRule>
  </conditionalFormatting>
  <conditionalFormatting sqref="AA1241">
    <cfRule type="cellIs" dxfId="1178" priority="1121" operator="lessThan">
      <formula>TODAY()</formula>
    </cfRule>
    <cfRule type="cellIs" dxfId="1177" priority="1122" operator="lessThan">
      <formula>TODAY()</formula>
    </cfRule>
  </conditionalFormatting>
  <conditionalFormatting sqref="V1241">
    <cfRule type="cellIs" dxfId="1176" priority="1120" operator="equal">
      <formula>"WRONG"</formula>
    </cfRule>
  </conditionalFormatting>
  <conditionalFormatting sqref="AA1218">
    <cfRule type="cellIs" dxfId="1175" priority="1118" operator="lessThan">
      <formula>TODAY()</formula>
    </cfRule>
    <cfRule type="cellIs" dxfId="1174" priority="1119" operator="lessThan">
      <formula>TODAY()</formula>
    </cfRule>
  </conditionalFormatting>
  <conditionalFormatting sqref="V1218">
    <cfRule type="cellIs" dxfId="1173" priority="1117" operator="equal">
      <formula>"WRONG"</formula>
    </cfRule>
  </conditionalFormatting>
  <conditionalFormatting sqref="AA1236">
    <cfRule type="cellIs" dxfId="1172" priority="1115" operator="lessThan">
      <formula>TODAY()</formula>
    </cfRule>
    <cfRule type="cellIs" dxfId="1171" priority="1116" operator="lessThan">
      <formula>TODAY()</formula>
    </cfRule>
  </conditionalFormatting>
  <conditionalFormatting sqref="V1236">
    <cfRule type="cellIs" dxfId="1170" priority="1114" operator="equal">
      <formula>"WRONG"</formula>
    </cfRule>
  </conditionalFormatting>
  <conditionalFormatting sqref="V1235">
    <cfRule type="cellIs" dxfId="1169" priority="1113" operator="equal">
      <formula>"WRONG"</formula>
    </cfRule>
  </conditionalFormatting>
  <conditionalFormatting sqref="AA1235">
    <cfRule type="cellIs" dxfId="1168" priority="1111" operator="lessThan">
      <formula>TODAY()</formula>
    </cfRule>
    <cfRule type="cellIs" dxfId="1167" priority="1112" operator="lessThan">
      <formula>TODAY()</formula>
    </cfRule>
  </conditionalFormatting>
  <conditionalFormatting sqref="AA1226">
    <cfRule type="cellIs" dxfId="1166" priority="1109" operator="lessThan">
      <formula>TODAY()</formula>
    </cfRule>
    <cfRule type="cellIs" dxfId="1165" priority="1110" operator="lessThan">
      <formula>TODAY()</formula>
    </cfRule>
  </conditionalFormatting>
  <conditionalFormatting sqref="V1226">
    <cfRule type="cellIs" dxfId="1164" priority="1108" operator="equal">
      <formula>"WRONG"</formula>
    </cfRule>
  </conditionalFormatting>
  <conditionalFormatting sqref="AA1227">
    <cfRule type="cellIs" dxfId="1163" priority="1103" operator="lessThan">
      <formula>TODAY()</formula>
    </cfRule>
    <cfRule type="cellIs" dxfId="1162" priority="1104" operator="lessThan">
      <formula>TODAY()</formula>
    </cfRule>
  </conditionalFormatting>
  <conditionalFormatting sqref="V1227">
    <cfRule type="cellIs" dxfId="1161" priority="1102" operator="equal">
      <formula>"WRONG"</formula>
    </cfRule>
  </conditionalFormatting>
  <conditionalFormatting sqref="AA1220">
    <cfRule type="cellIs" dxfId="1160" priority="1100" operator="lessThan">
      <formula>TODAY()</formula>
    </cfRule>
    <cfRule type="cellIs" dxfId="1159" priority="1101" operator="lessThan">
      <formula>TODAY()</formula>
    </cfRule>
  </conditionalFormatting>
  <conditionalFormatting sqref="V1220">
    <cfRule type="cellIs" dxfId="1158" priority="1099" operator="equal">
      <formula>"WRONG"</formula>
    </cfRule>
  </conditionalFormatting>
  <conditionalFormatting sqref="V1219">
    <cfRule type="cellIs" dxfId="1157" priority="1098" operator="equal">
      <formula>"WRONG"</formula>
    </cfRule>
  </conditionalFormatting>
  <conditionalFormatting sqref="AA1219">
    <cfRule type="cellIs" dxfId="1156" priority="1096" operator="lessThan">
      <formula>TODAY()</formula>
    </cfRule>
    <cfRule type="cellIs" dxfId="1155" priority="1097" operator="lessThan">
      <formula>TODAY()</formula>
    </cfRule>
  </conditionalFormatting>
  <conditionalFormatting sqref="AA1221">
    <cfRule type="cellIs" dxfId="1154" priority="1094" operator="lessThan">
      <formula>TODAY()</formula>
    </cfRule>
    <cfRule type="cellIs" dxfId="1153" priority="1095" operator="lessThan">
      <formula>TODAY()</formula>
    </cfRule>
  </conditionalFormatting>
  <conditionalFormatting sqref="V1221">
    <cfRule type="cellIs" dxfId="1152" priority="1093" operator="equal">
      <formula>"WRONG"</formula>
    </cfRule>
  </conditionalFormatting>
  <conditionalFormatting sqref="AA1303">
    <cfRule type="cellIs" dxfId="1151" priority="1091" operator="lessThan">
      <formula>TODAY()</formula>
    </cfRule>
    <cfRule type="cellIs" dxfId="1150" priority="1092" operator="lessThan">
      <formula>TODAY()</formula>
    </cfRule>
  </conditionalFormatting>
  <conditionalFormatting sqref="V1303">
    <cfRule type="cellIs" dxfId="1149" priority="1090" operator="equal">
      <formula>"WRONG"</formula>
    </cfRule>
  </conditionalFormatting>
  <conditionalFormatting sqref="W1">
    <cfRule type="cellIs" dxfId="1148" priority="1089" operator="equal">
      <formula>"WRONG"</formula>
    </cfRule>
  </conditionalFormatting>
  <conditionalFormatting sqref="V1222">
    <cfRule type="cellIs" dxfId="1147" priority="1081" operator="equal">
      <formula>"WRONG"</formula>
    </cfRule>
  </conditionalFormatting>
  <conditionalFormatting sqref="AA1222">
    <cfRule type="cellIs" dxfId="1146" priority="1079" operator="lessThan">
      <formula>TODAY()</formula>
    </cfRule>
    <cfRule type="cellIs" dxfId="1145" priority="1080" operator="lessThan">
      <formula>TODAY()</formula>
    </cfRule>
  </conditionalFormatting>
  <conditionalFormatting sqref="AA1210:AA1211">
    <cfRule type="cellIs" dxfId="1144" priority="1077" operator="lessThan">
      <formula>TODAY()</formula>
    </cfRule>
    <cfRule type="cellIs" dxfId="1143" priority="1078" operator="lessThan">
      <formula>TODAY()</formula>
    </cfRule>
  </conditionalFormatting>
  <conditionalFormatting sqref="V1210:V1211">
    <cfRule type="cellIs" dxfId="1142" priority="1076" operator="equal">
      <formula>"WRONG"</formula>
    </cfRule>
  </conditionalFormatting>
  <conditionalFormatting sqref="V1209">
    <cfRule type="cellIs" dxfId="1141" priority="1075" operator="equal">
      <formula>"WRONG"</formula>
    </cfRule>
  </conditionalFormatting>
  <conditionalFormatting sqref="AA1209">
    <cfRule type="cellIs" dxfId="1140" priority="1073" operator="lessThan">
      <formula>TODAY()</formula>
    </cfRule>
    <cfRule type="cellIs" dxfId="1139" priority="1074" operator="lessThan">
      <formula>TODAY()</formula>
    </cfRule>
  </conditionalFormatting>
  <conditionalFormatting sqref="AA1213">
    <cfRule type="cellIs" dxfId="1138" priority="1071" operator="lessThan">
      <formula>TODAY()</formula>
    </cfRule>
    <cfRule type="cellIs" dxfId="1137" priority="1072" operator="lessThan">
      <formula>TODAY()</formula>
    </cfRule>
  </conditionalFormatting>
  <conditionalFormatting sqref="V1213">
    <cfRule type="cellIs" dxfId="1136" priority="1070" operator="equal">
      <formula>"WRONG"</formula>
    </cfRule>
  </conditionalFormatting>
  <conditionalFormatting sqref="AA1224">
    <cfRule type="cellIs" dxfId="1135" priority="1065" operator="lessThan">
      <formula>TODAY()</formula>
    </cfRule>
    <cfRule type="cellIs" dxfId="1134" priority="1066" operator="lessThan">
      <formula>TODAY()</formula>
    </cfRule>
  </conditionalFormatting>
  <conditionalFormatting sqref="V1224">
    <cfRule type="cellIs" dxfId="1133" priority="1064" operator="equal">
      <formula>"WRONG"</formula>
    </cfRule>
  </conditionalFormatting>
  <conditionalFormatting sqref="AA1233">
    <cfRule type="cellIs" dxfId="1132" priority="1062" operator="lessThan">
      <formula>TODAY()</formula>
    </cfRule>
    <cfRule type="cellIs" dxfId="1131" priority="1063" operator="lessThan">
      <formula>TODAY()</formula>
    </cfRule>
  </conditionalFormatting>
  <conditionalFormatting sqref="V1233">
    <cfRule type="cellIs" dxfId="1130" priority="1061" operator="equal">
      <formula>"WRONG"</formula>
    </cfRule>
  </conditionalFormatting>
  <conditionalFormatting sqref="AA1215">
    <cfRule type="cellIs" dxfId="1129" priority="1059" operator="lessThan">
      <formula>TODAY()</formula>
    </cfRule>
    <cfRule type="cellIs" dxfId="1128" priority="1060" operator="lessThan">
      <formula>TODAY()</formula>
    </cfRule>
  </conditionalFormatting>
  <conditionalFormatting sqref="V1215">
    <cfRule type="cellIs" dxfId="1127" priority="1058" operator="equal">
      <formula>"WRONG"</formula>
    </cfRule>
  </conditionalFormatting>
  <conditionalFormatting sqref="V1214">
    <cfRule type="cellIs" dxfId="1126" priority="1057" operator="equal">
      <formula>"WRONG"</formula>
    </cfRule>
  </conditionalFormatting>
  <conditionalFormatting sqref="AA1214">
    <cfRule type="cellIs" dxfId="1125" priority="1055" operator="lessThan">
      <formula>TODAY()</formula>
    </cfRule>
    <cfRule type="cellIs" dxfId="1124" priority="1056" operator="lessThan">
      <formula>TODAY()</formula>
    </cfRule>
  </conditionalFormatting>
  <conditionalFormatting sqref="AA1216">
    <cfRule type="cellIs" dxfId="1123" priority="1053" operator="lessThan">
      <formula>TODAY()</formula>
    </cfRule>
    <cfRule type="cellIs" dxfId="1122" priority="1054" operator="lessThan">
      <formula>TODAY()</formula>
    </cfRule>
  </conditionalFormatting>
  <conditionalFormatting sqref="V1216">
    <cfRule type="cellIs" dxfId="1121" priority="1052" operator="equal">
      <formula>"WRONG"</formula>
    </cfRule>
  </conditionalFormatting>
  <conditionalFormatting sqref="V1211">
    <cfRule type="cellIs" dxfId="1120" priority="1051" operator="equal">
      <formula>"WRONG"</formula>
    </cfRule>
  </conditionalFormatting>
  <conditionalFormatting sqref="AA1211">
    <cfRule type="cellIs" dxfId="1119" priority="1049" operator="lessThan">
      <formula>TODAY()</formula>
    </cfRule>
    <cfRule type="cellIs" dxfId="1118" priority="1050" operator="lessThan">
      <formula>TODAY()</formula>
    </cfRule>
  </conditionalFormatting>
  <conditionalFormatting sqref="AA1217">
    <cfRule type="cellIs" dxfId="1117" priority="1047" operator="lessThan">
      <formula>TODAY()</formula>
    </cfRule>
    <cfRule type="cellIs" dxfId="1116" priority="1048" operator="lessThan">
      <formula>TODAY()</formula>
    </cfRule>
  </conditionalFormatting>
  <conditionalFormatting sqref="V1217">
    <cfRule type="cellIs" dxfId="1115" priority="1046" operator="equal">
      <formula>"WRONG"</formula>
    </cfRule>
  </conditionalFormatting>
  <conditionalFormatting sqref="AA1301">
    <cfRule type="cellIs" dxfId="1114" priority="1044" operator="lessThan">
      <formula>TODAY()</formula>
    </cfRule>
    <cfRule type="cellIs" dxfId="1113" priority="1045" operator="lessThan">
      <formula>TODAY()</formula>
    </cfRule>
  </conditionalFormatting>
  <conditionalFormatting sqref="V1301">
    <cfRule type="cellIs" dxfId="1112" priority="1043" operator="equal">
      <formula>"WRONG"</formula>
    </cfRule>
  </conditionalFormatting>
  <conditionalFormatting sqref="AA1302">
    <cfRule type="cellIs" dxfId="1111" priority="1038" operator="lessThan">
      <formula>TODAY()</formula>
    </cfRule>
    <cfRule type="cellIs" dxfId="1110" priority="1039" operator="lessThan">
      <formula>TODAY()</formula>
    </cfRule>
  </conditionalFormatting>
  <conditionalFormatting sqref="V1302">
    <cfRule type="cellIs" dxfId="1109" priority="1037" operator="equal">
      <formula>"WRONG"</formula>
    </cfRule>
  </conditionalFormatting>
  <conditionalFormatting sqref="V1044">
    <cfRule type="cellIs" dxfId="1108" priority="1024" operator="equal">
      <formula>"WRONG"</formula>
    </cfRule>
  </conditionalFormatting>
  <conditionalFormatting sqref="A1044">
    <cfRule type="duplicateValues" dxfId="1107" priority="1022"/>
    <cfRule type="duplicateValues" dxfId="1106" priority="1023"/>
  </conditionalFormatting>
  <conditionalFormatting sqref="A1044">
    <cfRule type="duplicateValues" dxfId="1105" priority="1025"/>
  </conditionalFormatting>
  <conditionalFormatting sqref="A1044">
    <cfRule type="duplicateValues" dxfId="1104" priority="1026"/>
  </conditionalFormatting>
  <conditionalFormatting sqref="V1016">
    <cfRule type="cellIs" dxfId="1103" priority="998" operator="equal">
      <formula>"WRONG"</formula>
    </cfRule>
  </conditionalFormatting>
  <conditionalFormatting sqref="A1016">
    <cfRule type="duplicateValues" dxfId="1102" priority="996"/>
    <cfRule type="duplicateValues" dxfId="1101" priority="997"/>
  </conditionalFormatting>
  <conditionalFormatting sqref="A1016">
    <cfRule type="duplicateValues" dxfId="1100" priority="999"/>
  </conditionalFormatting>
  <conditionalFormatting sqref="A1016">
    <cfRule type="duplicateValues" dxfId="1099" priority="1000"/>
  </conditionalFormatting>
  <conditionalFormatting sqref="V1089">
    <cfRule type="cellIs" dxfId="1098" priority="994" operator="equal">
      <formula>"WRONG"</formula>
    </cfRule>
  </conditionalFormatting>
  <conditionalFormatting sqref="V1089">
    <cfRule type="cellIs" dxfId="1097" priority="993" operator="equal">
      <formula>"WRONG"</formula>
    </cfRule>
  </conditionalFormatting>
  <conditionalFormatting sqref="V1089">
    <cfRule type="cellIs" dxfId="1096" priority="992" operator="equal">
      <formula>"WRONG"</formula>
    </cfRule>
  </conditionalFormatting>
  <conditionalFormatting sqref="V1089">
    <cfRule type="cellIs" dxfId="1095" priority="991" operator="equal">
      <formula>"WRONG"</formula>
    </cfRule>
  </conditionalFormatting>
  <conditionalFormatting sqref="V1089">
    <cfRule type="cellIs" dxfId="1094" priority="990" operator="equal">
      <formula>"WRONG"</formula>
    </cfRule>
  </conditionalFormatting>
  <conditionalFormatting sqref="A1089">
    <cfRule type="duplicateValues" dxfId="1093" priority="988"/>
    <cfRule type="duplicateValues" dxfId="1092" priority="989"/>
  </conditionalFormatting>
  <conditionalFormatting sqref="A1089">
    <cfRule type="duplicateValues" dxfId="1091" priority="995"/>
  </conditionalFormatting>
  <conditionalFormatting sqref="AA1285">
    <cfRule type="cellIs" dxfId="1090" priority="986" operator="lessThan">
      <formula>TODAY()</formula>
    </cfRule>
    <cfRule type="cellIs" dxfId="1089" priority="987" operator="lessThan">
      <formula>TODAY()</formula>
    </cfRule>
  </conditionalFormatting>
  <conditionalFormatting sqref="V1285">
    <cfRule type="cellIs" dxfId="1088" priority="985" operator="equal">
      <formula>"WRONG"</formula>
    </cfRule>
  </conditionalFormatting>
  <conditionalFormatting sqref="AA1283">
    <cfRule type="cellIs" dxfId="1087" priority="983" operator="lessThan">
      <formula>TODAY()</formula>
    </cfRule>
    <cfRule type="cellIs" dxfId="1086" priority="984" operator="lessThan">
      <formula>TODAY()</formula>
    </cfRule>
  </conditionalFormatting>
  <conditionalFormatting sqref="V1283">
    <cfRule type="cellIs" dxfId="1085" priority="982" operator="equal">
      <formula>"WRONG"</formula>
    </cfRule>
  </conditionalFormatting>
  <conditionalFormatting sqref="AA1284">
    <cfRule type="cellIs" dxfId="1084" priority="980" operator="lessThan">
      <formula>TODAY()</formula>
    </cfRule>
    <cfRule type="cellIs" dxfId="1083" priority="981" operator="lessThan">
      <formula>TODAY()</formula>
    </cfRule>
  </conditionalFormatting>
  <conditionalFormatting sqref="V1284">
    <cfRule type="cellIs" dxfId="1082" priority="979" operator="equal">
      <formula>"WRONG"</formula>
    </cfRule>
  </conditionalFormatting>
  <conditionalFormatting sqref="AA1230">
    <cfRule type="cellIs" dxfId="1081" priority="977" operator="lessThan">
      <formula>TODAY()</formula>
    </cfRule>
    <cfRule type="cellIs" dxfId="1080" priority="978" operator="lessThan">
      <formula>TODAY()</formula>
    </cfRule>
  </conditionalFormatting>
  <conditionalFormatting sqref="V1230">
    <cfRule type="cellIs" dxfId="1079" priority="976" operator="equal">
      <formula>"WRONG"</formula>
    </cfRule>
  </conditionalFormatting>
  <conditionalFormatting sqref="AA1229">
    <cfRule type="cellIs" dxfId="1078" priority="971" operator="lessThan">
      <formula>TODAY()</formula>
    </cfRule>
    <cfRule type="cellIs" dxfId="1077" priority="972" operator="lessThan">
      <formula>TODAY()</formula>
    </cfRule>
  </conditionalFormatting>
  <conditionalFormatting sqref="V1229">
    <cfRule type="cellIs" dxfId="1076" priority="970" operator="equal">
      <formula>"WRONG"</formula>
    </cfRule>
  </conditionalFormatting>
  <conditionalFormatting sqref="AA1297">
    <cfRule type="cellIs" dxfId="1075" priority="968" operator="lessThan">
      <formula>TODAY()</formula>
    </cfRule>
    <cfRule type="cellIs" dxfId="1074" priority="969" operator="lessThan">
      <formula>TODAY()</formula>
    </cfRule>
  </conditionalFormatting>
  <conditionalFormatting sqref="V1297">
    <cfRule type="cellIs" dxfId="1073" priority="967" operator="equal">
      <formula>"WRONG"</formula>
    </cfRule>
  </conditionalFormatting>
  <conditionalFormatting sqref="AA1237">
    <cfRule type="cellIs" dxfId="1072" priority="965" operator="lessThan">
      <formula>TODAY()</formula>
    </cfRule>
    <cfRule type="cellIs" dxfId="1071" priority="966" operator="lessThan">
      <formula>TODAY()</formula>
    </cfRule>
  </conditionalFormatting>
  <conditionalFormatting sqref="V1237">
    <cfRule type="cellIs" dxfId="1070" priority="964" operator="equal">
      <formula>"WRONG"</formula>
    </cfRule>
  </conditionalFormatting>
  <conditionalFormatting sqref="AA1299">
    <cfRule type="cellIs" dxfId="1069" priority="956" operator="lessThan">
      <formula>TODAY()</formula>
    </cfRule>
    <cfRule type="cellIs" dxfId="1068" priority="957" operator="lessThan">
      <formula>TODAY()</formula>
    </cfRule>
  </conditionalFormatting>
  <conditionalFormatting sqref="V1299">
    <cfRule type="cellIs" dxfId="1067" priority="955" operator="equal">
      <formula>"WRONG"</formula>
    </cfRule>
  </conditionalFormatting>
  <conditionalFormatting sqref="AA1292 AA1310 AA1367 AA1381">
    <cfRule type="cellIs" dxfId="1066" priority="943" operator="lessThan">
      <formula>TODAY()</formula>
    </cfRule>
    <cfRule type="cellIs" dxfId="1065" priority="944" operator="lessThan">
      <formula>TODAY()</formula>
    </cfRule>
  </conditionalFormatting>
  <conditionalFormatting sqref="V1292 V1310 V1367 V1381">
    <cfRule type="cellIs" dxfId="1064" priority="945" operator="equal">
      <formula>"WRONG"</formula>
    </cfRule>
  </conditionalFormatting>
  <conditionalFormatting sqref="AA1327 AA1323 AA1291">
    <cfRule type="cellIs" dxfId="1063" priority="941" operator="lessThan">
      <formula>TODAY()</formula>
    </cfRule>
    <cfRule type="cellIs" dxfId="1062" priority="942" operator="lessThan">
      <formula>TODAY()</formula>
    </cfRule>
  </conditionalFormatting>
  <conditionalFormatting sqref="V1327 V1323 V1291">
    <cfRule type="cellIs" dxfId="1061" priority="940" operator="equal">
      <formula>"WRONG"</formula>
    </cfRule>
  </conditionalFormatting>
  <conditionalFormatting sqref="AA1311">
    <cfRule type="cellIs" dxfId="1060" priority="938" operator="lessThan">
      <formula>TODAY()</formula>
    </cfRule>
    <cfRule type="cellIs" dxfId="1059" priority="939" operator="lessThan">
      <formula>TODAY()</formula>
    </cfRule>
  </conditionalFormatting>
  <conditionalFormatting sqref="V1311">
    <cfRule type="cellIs" dxfId="1058" priority="937" operator="equal">
      <formula>"WRONG"</formula>
    </cfRule>
  </conditionalFormatting>
  <conditionalFormatting sqref="AA1312:AA1314">
    <cfRule type="cellIs" dxfId="1057" priority="935" operator="lessThan">
      <formula>TODAY()</formula>
    </cfRule>
    <cfRule type="cellIs" dxfId="1056" priority="936" operator="lessThan">
      <formula>TODAY()</formula>
    </cfRule>
  </conditionalFormatting>
  <conditionalFormatting sqref="V1312:V1314">
    <cfRule type="cellIs" dxfId="1055" priority="934" operator="equal">
      <formula>"WRONG"</formula>
    </cfRule>
  </conditionalFormatting>
  <conditionalFormatting sqref="AA1309">
    <cfRule type="cellIs" dxfId="1054" priority="920" operator="lessThan">
      <formula>TODAY()</formula>
    </cfRule>
    <cfRule type="cellIs" dxfId="1053" priority="921" operator="lessThan">
      <formula>TODAY()</formula>
    </cfRule>
  </conditionalFormatting>
  <conditionalFormatting sqref="V1309">
    <cfRule type="cellIs" dxfId="1052" priority="919" operator="equal">
      <formula>"WRONG"</formula>
    </cfRule>
  </conditionalFormatting>
  <conditionalFormatting sqref="AA1318:AA1320">
    <cfRule type="cellIs" dxfId="1051" priority="904" operator="lessThan">
      <formula>TODAY()</formula>
    </cfRule>
    <cfRule type="cellIs" dxfId="1050" priority="905" operator="lessThan">
      <formula>TODAY()</formula>
    </cfRule>
  </conditionalFormatting>
  <conditionalFormatting sqref="V1318:V1320">
    <cfRule type="cellIs" dxfId="1049" priority="906" operator="equal">
      <formula>"WRONG"</formula>
    </cfRule>
  </conditionalFormatting>
  <conditionalFormatting sqref="AA1317">
    <cfRule type="cellIs" dxfId="1048" priority="902" operator="lessThan">
      <formula>TODAY()</formula>
    </cfRule>
    <cfRule type="cellIs" dxfId="1047" priority="903" operator="lessThan">
      <formula>TODAY()</formula>
    </cfRule>
  </conditionalFormatting>
  <conditionalFormatting sqref="V1317">
    <cfRule type="cellIs" dxfId="1046" priority="901" operator="equal">
      <formula>"WRONG"</formula>
    </cfRule>
  </conditionalFormatting>
  <conditionalFormatting sqref="AA1315">
    <cfRule type="cellIs" dxfId="1045" priority="899" operator="lessThan">
      <formula>TODAY()</formula>
    </cfRule>
    <cfRule type="cellIs" dxfId="1044" priority="900" operator="lessThan">
      <formula>TODAY()</formula>
    </cfRule>
  </conditionalFormatting>
  <conditionalFormatting sqref="V1315">
    <cfRule type="cellIs" dxfId="1043" priority="898" operator="equal">
      <formula>"WRONG"</formula>
    </cfRule>
  </conditionalFormatting>
  <conditionalFormatting sqref="AA1316">
    <cfRule type="cellIs" dxfId="1042" priority="896" operator="lessThan">
      <formula>TODAY()</formula>
    </cfRule>
    <cfRule type="cellIs" dxfId="1041" priority="897" operator="lessThan">
      <formula>TODAY()</formula>
    </cfRule>
  </conditionalFormatting>
  <conditionalFormatting sqref="V1316">
    <cfRule type="cellIs" dxfId="1040" priority="895" operator="equal">
      <formula>"WRONG"</formula>
    </cfRule>
  </conditionalFormatting>
  <conditionalFormatting sqref="AA1265">
    <cfRule type="cellIs" dxfId="1039" priority="869" operator="lessThan">
      <formula>TODAY()</formula>
    </cfRule>
    <cfRule type="cellIs" dxfId="1038" priority="870" operator="lessThan">
      <formula>TODAY()</formula>
    </cfRule>
  </conditionalFormatting>
  <conditionalFormatting sqref="V1265">
    <cfRule type="cellIs" dxfId="1037" priority="868" operator="equal">
      <formula>"WRONG"</formula>
    </cfRule>
  </conditionalFormatting>
  <conditionalFormatting sqref="AA1251 AA1244">
    <cfRule type="cellIs" dxfId="1036" priority="865" operator="lessThan">
      <formula>TODAY()</formula>
    </cfRule>
    <cfRule type="cellIs" dxfId="1035" priority="866" operator="lessThan">
      <formula>TODAY()</formula>
    </cfRule>
  </conditionalFormatting>
  <conditionalFormatting sqref="V1251 V1244">
    <cfRule type="cellIs" dxfId="1034" priority="867" operator="equal">
      <formula>"WRONG"</formula>
    </cfRule>
  </conditionalFormatting>
  <conditionalFormatting sqref="AA1243">
    <cfRule type="cellIs" dxfId="1033" priority="863" operator="lessThan">
      <formula>TODAY()</formula>
    </cfRule>
    <cfRule type="cellIs" dxfId="1032" priority="864" operator="lessThan">
      <formula>TODAY()</formula>
    </cfRule>
  </conditionalFormatting>
  <conditionalFormatting sqref="V1243">
    <cfRule type="cellIs" dxfId="1031" priority="862" operator="equal">
      <formula>"WRONG"</formula>
    </cfRule>
  </conditionalFormatting>
  <conditionalFormatting sqref="AA1252">
    <cfRule type="cellIs" dxfId="1030" priority="860" operator="lessThan">
      <formula>TODAY()</formula>
    </cfRule>
    <cfRule type="cellIs" dxfId="1029" priority="861" operator="lessThan">
      <formula>TODAY()</formula>
    </cfRule>
  </conditionalFormatting>
  <conditionalFormatting sqref="V1252">
    <cfRule type="cellIs" dxfId="1028" priority="859" operator="equal">
      <formula>"WRONG"</formula>
    </cfRule>
  </conditionalFormatting>
  <conditionalFormatting sqref="AA1253:AA1271">
    <cfRule type="cellIs" dxfId="1027" priority="857" operator="lessThan">
      <formula>TODAY()</formula>
    </cfRule>
    <cfRule type="cellIs" dxfId="1026" priority="858" operator="lessThan">
      <formula>TODAY()</formula>
    </cfRule>
  </conditionalFormatting>
  <conditionalFormatting sqref="V1253:V1271">
    <cfRule type="cellIs" dxfId="1025" priority="856" operator="equal">
      <formula>"WRONG"</formula>
    </cfRule>
  </conditionalFormatting>
  <conditionalFormatting sqref="AA1266">
    <cfRule type="cellIs" dxfId="1024" priority="853" operator="lessThan">
      <formula>TODAY()</formula>
    </cfRule>
    <cfRule type="cellIs" dxfId="1023" priority="854" operator="lessThan">
      <formula>TODAY()</formula>
    </cfRule>
  </conditionalFormatting>
  <conditionalFormatting sqref="V1266">
    <cfRule type="cellIs" dxfId="1022" priority="855" operator="equal">
      <formula>"WRONG"</formula>
    </cfRule>
  </conditionalFormatting>
  <conditionalFormatting sqref="AA1263:AA1264">
    <cfRule type="cellIs" dxfId="1021" priority="850" operator="lessThan">
      <formula>TODAY()</formula>
    </cfRule>
    <cfRule type="cellIs" dxfId="1020" priority="851" operator="lessThan">
      <formula>TODAY()</formula>
    </cfRule>
  </conditionalFormatting>
  <conditionalFormatting sqref="V1263:V1264">
    <cfRule type="cellIs" dxfId="1019" priority="852" operator="equal">
      <formula>"WRONG"</formula>
    </cfRule>
  </conditionalFormatting>
  <conditionalFormatting sqref="AA1260:AA1271">
    <cfRule type="cellIs" dxfId="1018" priority="848" operator="lessThan">
      <formula>TODAY()</formula>
    </cfRule>
    <cfRule type="cellIs" dxfId="1017" priority="849" operator="lessThan">
      <formula>TODAY()</formula>
    </cfRule>
  </conditionalFormatting>
  <conditionalFormatting sqref="V1260:V1271">
    <cfRule type="cellIs" dxfId="1016" priority="847" operator="equal">
      <formula>"WRONG"</formula>
    </cfRule>
  </conditionalFormatting>
  <conditionalFormatting sqref="AA1259">
    <cfRule type="cellIs" dxfId="1015" priority="842" operator="lessThan">
      <formula>TODAY()</formula>
    </cfRule>
    <cfRule type="cellIs" dxfId="1014" priority="843" operator="lessThan">
      <formula>TODAY()</formula>
    </cfRule>
  </conditionalFormatting>
  <conditionalFormatting sqref="V1259">
    <cfRule type="cellIs" dxfId="1013" priority="841" operator="equal">
      <formula>"WRONG"</formula>
    </cfRule>
  </conditionalFormatting>
  <conditionalFormatting sqref="AA1257">
    <cfRule type="cellIs" dxfId="1012" priority="839" operator="lessThan">
      <formula>TODAY()</formula>
    </cfRule>
    <cfRule type="cellIs" dxfId="1011" priority="840" operator="lessThan">
      <formula>TODAY()</formula>
    </cfRule>
  </conditionalFormatting>
  <conditionalFormatting sqref="V1257">
    <cfRule type="cellIs" dxfId="1010" priority="838" operator="equal">
      <formula>"WRONG"</formula>
    </cfRule>
  </conditionalFormatting>
  <conditionalFormatting sqref="AA1267 AA1271 AA1249 AA1256">
    <cfRule type="cellIs" dxfId="1009" priority="835" operator="lessThan">
      <formula>TODAY()</formula>
    </cfRule>
    <cfRule type="cellIs" dxfId="1008" priority="836" operator="lessThan">
      <formula>TODAY()</formula>
    </cfRule>
  </conditionalFormatting>
  <conditionalFormatting sqref="V1267 V1271 V1249 V1256">
    <cfRule type="cellIs" dxfId="1007" priority="837" operator="equal">
      <formula>"WRONG"</formula>
    </cfRule>
  </conditionalFormatting>
  <conditionalFormatting sqref="AA1270">
    <cfRule type="cellIs" dxfId="1006" priority="833" operator="lessThan">
      <formula>TODAY()</formula>
    </cfRule>
    <cfRule type="cellIs" dxfId="1005" priority="834" operator="lessThan">
      <formula>TODAY()</formula>
    </cfRule>
  </conditionalFormatting>
  <conditionalFormatting sqref="V1270">
    <cfRule type="cellIs" dxfId="1004" priority="832" operator="equal">
      <formula>"WRONG"</formula>
    </cfRule>
  </conditionalFormatting>
  <conditionalFormatting sqref="AA1268">
    <cfRule type="cellIs" dxfId="1003" priority="830" operator="lessThan">
      <formula>TODAY()</formula>
    </cfRule>
    <cfRule type="cellIs" dxfId="1002" priority="831" operator="lessThan">
      <formula>TODAY()</formula>
    </cfRule>
  </conditionalFormatting>
  <conditionalFormatting sqref="V1268">
    <cfRule type="cellIs" dxfId="1001" priority="829" operator="equal">
      <formula>"WRONG"</formula>
    </cfRule>
  </conditionalFormatting>
  <conditionalFormatting sqref="AA1269">
    <cfRule type="cellIs" dxfId="1000" priority="827" operator="lessThan">
      <formula>TODAY()</formula>
    </cfRule>
    <cfRule type="cellIs" dxfId="999" priority="828" operator="lessThan">
      <formula>TODAY()</formula>
    </cfRule>
  </conditionalFormatting>
  <conditionalFormatting sqref="V1269">
    <cfRule type="cellIs" dxfId="998" priority="826" operator="equal">
      <formula>"WRONG"</formula>
    </cfRule>
  </conditionalFormatting>
  <conditionalFormatting sqref="AA1247">
    <cfRule type="cellIs" dxfId="997" priority="821" operator="lessThan">
      <formula>TODAY()</formula>
    </cfRule>
    <cfRule type="cellIs" dxfId="996" priority="822" operator="lessThan">
      <formula>TODAY()</formula>
    </cfRule>
  </conditionalFormatting>
  <conditionalFormatting sqref="V1247">
    <cfRule type="cellIs" dxfId="995" priority="820" operator="equal">
      <formula>"WRONG"</formula>
    </cfRule>
  </conditionalFormatting>
  <conditionalFormatting sqref="AA1246">
    <cfRule type="cellIs" dxfId="994" priority="814" operator="lessThan">
      <formula>TODAY()</formula>
    </cfRule>
    <cfRule type="cellIs" dxfId="993" priority="815" operator="lessThan">
      <formula>TODAY()</formula>
    </cfRule>
  </conditionalFormatting>
  <conditionalFormatting sqref="V1246">
    <cfRule type="cellIs" dxfId="992" priority="816" operator="equal">
      <formula>"WRONG"</formula>
    </cfRule>
  </conditionalFormatting>
  <conditionalFormatting sqref="AA1262:AA1271">
    <cfRule type="cellIs" dxfId="991" priority="812" operator="lessThan">
      <formula>TODAY()</formula>
    </cfRule>
    <cfRule type="cellIs" dxfId="990" priority="813" operator="lessThan">
      <formula>TODAY()</formula>
    </cfRule>
  </conditionalFormatting>
  <conditionalFormatting sqref="V1262:V1271">
    <cfRule type="cellIs" dxfId="989" priority="811" operator="equal">
      <formula>"WRONG"</formula>
    </cfRule>
  </conditionalFormatting>
  <conditionalFormatting sqref="AA1261">
    <cfRule type="cellIs" dxfId="988" priority="809" operator="lessThan">
      <formula>TODAY()</formula>
    </cfRule>
    <cfRule type="cellIs" dxfId="987" priority="810" operator="lessThan">
      <formula>TODAY()</formula>
    </cfRule>
  </conditionalFormatting>
  <conditionalFormatting sqref="V1261">
    <cfRule type="cellIs" dxfId="986" priority="808" operator="equal">
      <formula>"WRONG"</formula>
    </cfRule>
  </conditionalFormatting>
  <conditionalFormatting sqref="AA1255">
    <cfRule type="cellIs" dxfId="985" priority="806" operator="lessThan">
      <formula>TODAY()</formula>
    </cfRule>
    <cfRule type="cellIs" dxfId="984" priority="807" operator="lessThan">
      <formula>TODAY()</formula>
    </cfRule>
  </conditionalFormatting>
  <conditionalFormatting sqref="V1255">
    <cfRule type="cellIs" dxfId="983" priority="805" operator="equal">
      <formula>"WRONG"</formula>
    </cfRule>
  </conditionalFormatting>
  <conditionalFormatting sqref="AA1250">
    <cfRule type="cellIs" dxfId="982" priority="803" operator="lessThan">
      <formula>TODAY()</formula>
    </cfRule>
    <cfRule type="cellIs" dxfId="981" priority="804" operator="lessThan">
      <formula>TODAY()</formula>
    </cfRule>
  </conditionalFormatting>
  <conditionalFormatting sqref="V1250">
    <cfRule type="cellIs" dxfId="980" priority="802" operator="equal">
      <formula>"WRONG"</formula>
    </cfRule>
  </conditionalFormatting>
  <conditionalFormatting sqref="AA1254">
    <cfRule type="cellIs" dxfId="979" priority="800" operator="lessThan">
      <formula>TODAY()</formula>
    </cfRule>
    <cfRule type="cellIs" dxfId="978" priority="801" operator="lessThan">
      <formula>TODAY()</formula>
    </cfRule>
  </conditionalFormatting>
  <conditionalFormatting sqref="V1254">
    <cfRule type="cellIs" dxfId="977" priority="799" operator="equal">
      <formula>"WRONG"</formula>
    </cfRule>
  </conditionalFormatting>
  <conditionalFormatting sqref="V1179">
    <cfRule type="cellIs" dxfId="976" priority="796" operator="equal">
      <formula>"WRONG"</formula>
    </cfRule>
  </conditionalFormatting>
  <conditionalFormatting sqref="A1179">
    <cfRule type="duplicateValues" dxfId="975" priority="794"/>
    <cfRule type="duplicateValues" dxfId="974" priority="795"/>
  </conditionalFormatting>
  <conditionalFormatting sqref="V1179">
    <cfRule type="cellIs" dxfId="973" priority="793" operator="equal">
      <formula>"WRONG"</formula>
    </cfRule>
  </conditionalFormatting>
  <conditionalFormatting sqref="A1179">
    <cfRule type="duplicateValues" dxfId="972" priority="797"/>
  </conditionalFormatting>
  <conditionalFormatting sqref="A1179">
    <cfRule type="duplicateValues" dxfId="971" priority="798"/>
  </conditionalFormatting>
  <conditionalFormatting sqref="V1179">
    <cfRule type="cellIs" dxfId="970" priority="792" operator="equal">
      <formula>"WRONG"</formula>
    </cfRule>
  </conditionalFormatting>
  <conditionalFormatting sqref="V1177">
    <cfRule type="cellIs" dxfId="969" priority="789" operator="equal">
      <formula>"WRONG"</formula>
    </cfRule>
  </conditionalFormatting>
  <conditionalFormatting sqref="V1177">
    <cfRule type="cellIs" dxfId="968" priority="786" operator="equal">
      <formula>"WRONG"</formula>
    </cfRule>
  </conditionalFormatting>
  <conditionalFormatting sqref="AA1326">
    <cfRule type="cellIs" dxfId="967" priority="783" operator="lessThan">
      <formula>TODAY()</formula>
    </cfRule>
    <cfRule type="cellIs" dxfId="966" priority="784" operator="lessThan">
      <formula>TODAY()</formula>
    </cfRule>
  </conditionalFormatting>
  <conditionalFormatting sqref="V1326">
    <cfRule type="cellIs" dxfId="965" priority="785" operator="equal">
      <formula>"WRONG"</formula>
    </cfRule>
  </conditionalFormatting>
  <conditionalFormatting sqref="AA1321">
    <cfRule type="cellIs" dxfId="964" priority="781" operator="lessThan">
      <formula>TODAY()</formula>
    </cfRule>
    <cfRule type="cellIs" dxfId="963" priority="782" operator="lessThan">
      <formula>TODAY()</formula>
    </cfRule>
  </conditionalFormatting>
  <conditionalFormatting sqref="V1321">
    <cfRule type="cellIs" dxfId="962" priority="780" operator="equal">
      <formula>"WRONG"</formula>
    </cfRule>
  </conditionalFormatting>
  <conditionalFormatting sqref="AA1322">
    <cfRule type="cellIs" dxfId="961" priority="778" operator="lessThan">
      <formula>TODAY()</formula>
    </cfRule>
    <cfRule type="cellIs" dxfId="960" priority="779" operator="lessThan">
      <formula>TODAY()</formula>
    </cfRule>
  </conditionalFormatting>
  <conditionalFormatting sqref="V1322">
    <cfRule type="cellIs" dxfId="959" priority="777" operator="equal">
      <formula>"WRONG"</formula>
    </cfRule>
  </conditionalFormatting>
  <conditionalFormatting sqref="AA1325">
    <cfRule type="cellIs" dxfId="958" priority="775" operator="lessThan">
      <formula>TODAY()</formula>
    </cfRule>
    <cfRule type="cellIs" dxfId="957" priority="776" operator="lessThan">
      <formula>TODAY()</formula>
    </cfRule>
  </conditionalFormatting>
  <conditionalFormatting sqref="V1325">
    <cfRule type="cellIs" dxfId="956" priority="774" operator="equal">
      <formula>"WRONG"</formula>
    </cfRule>
  </conditionalFormatting>
  <conditionalFormatting sqref="AA1329 AA1282:AA1314">
    <cfRule type="cellIs" dxfId="955" priority="771" operator="lessThan">
      <formula>TODAY()</formula>
    </cfRule>
    <cfRule type="cellIs" dxfId="954" priority="772" operator="lessThan">
      <formula>TODAY()</formula>
    </cfRule>
  </conditionalFormatting>
  <conditionalFormatting sqref="V1329 V1282:V1314">
    <cfRule type="cellIs" dxfId="953" priority="773" operator="equal">
      <formula>"WRONG"</formula>
    </cfRule>
  </conditionalFormatting>
  <conditionalFormatting sqref="AA1314">
    <cfRule type="cellIs" dxfId="952" priority="769" operator="lessThan">
      <formula>TODAY()</formula>
    </cfRule>
    <cfRule type="cellIs" dxfId="951" priority="770" operator="lessThan">
      <formula>TODAY()</formula>
    </cfRule>
  </conditionalFormatting>
  <conditionalFormatting sqref="V1314">
    <cfRule type="cellIs" dxfId="950" priority="768" operator="equal">
      <formula>"WRONG"</formula>
    </cfRule>
  </conditionalFormatting>
  <conditionalFormatting sqref="AA1328">
    <cfRule type="cellIs" dxfId="949" priority="766" operator="lessThan">
      <formula>TODAY()</formula>
    </cfRule>
    <cfRule type="cellIs" dxfId="948" priority="767" operator="lessThan">
      <formula>TODAY()</formula>
    </cfRule>
  </conditionalFormatting>
  <conditionalFormatting sqref="V1328">
    <cfRule type="cellIs" dxfId="947" priority="765" operator="equal">
      <formula>"WRONG"</formula>
    </cfRule>
  </conditionalFormatting>
  <conditionalFormatting sqref="AA1313">
    <cfRule type="cellIs" dxfId="946" priority="763" operator="lessThan">
      <formula>TODAY()</formula>
    </cfRule>
    <cfRule type="cellIs" dxfId="945" priority="764" operator="lessThan">
      <formula>TODAY()</formula>
    </cfRule>
  </conditionalFormatting>
  <conditionalFormatting sqref="V1313">
    <cfRule type="cellIs" dxfId="944" priority="762" operator="equal">
      <formula>"WRONG"</formula>
    </cfRule>
  </conditionalFormatting>
  <conditionalFormatting sqref="AA1276">
    <cfRule type="cellIs" dxfId="943" priority="757" operator="lessThan">
      <formula>TODAY()</formula>
    </cfRule>
    <cfRule type="cellIs" dxfId="942" priority="758" operator="lessThan">
      <formula>TODAY()</formula>
    </cfRule>
  </conditionalFormatting>
  <conditionalFormatting sqref="V1276">
    <cfRule type="cellIs" dxfId="941" priority="756" operator="equal">
      <formula>"WRONG"</formula>
    </cfRule>
  </conditionalFormatting>
  <conditionalFormatting sqref="AA1278">
    <cfRule type="cellIs" dxfId="940" priority="754" operator="lessThan">
      <formula>TODAY()</formula>
    </cfRule>
    <cfRule type="cellIs" dxfId="939" priority="755" operator="lessThan">
      <formula>TODAY()</formula>
    </cfRule>
  </conditionalFormatting>
  <conditionalFormatting sqref="V1278">
    <cfRule type="cellIs" dxfId="938" priority="753" operator="equal">
      <formula>"WRONG"</formula>
    </cfRule>
  </conditionalFormatting>
  <conditionalFormatting sqref="AA1279">
    <cfRule type="cellIs" dxfId="937" priority="751" operator="lessThan">
      <formula>TODAY()</formula>
    </cfRule>
    <cfRule type="cellIs" dxfId="936" priority="752" operator="lessThan">
      <formula>TODAY()</formula>
    </cfRule>
  </conditionalFormatting>
  <conditionalFormatting sqref="V1279">
    <cfRule type="cellIs" dxfId="935" priority="750" operator="equal">
      <formula>"WRONG"</formula>
    </cfRule>
  </conditionalFormatting>
  <conditionalFormatting sqref="AA1273">
    <cfRule type="cellIs" dxfId="934" priority="748" operator="lessThan">
      <formula>TODAY()</formula>
    </cfRule>
    <cfRule type="cellIs" dxfId="933" priority="749" operator="lessThan">
      <formula>TODAY()</formula>
    </cfRule>
  </conditionalFormatting>
  <conditionalFormatting sqref="V1273">
    <cfRule type="cellIs" dxfId="932" priority="747" operator="equal">
      <formula>"WRONG"</formula>
    </cfRule>
  </conditionalFormatting>
  <conditionalFormatting sqref="AA1320">
    <cfRule type="cellIs" dxfId="931" priority="744" operator="lessThan">
      <formula>TODAY()</formula>
    </cfRule>
    <cfRule type="cellIs" dxfId="930" priority="745" operator="lessThan">
      <formula>TODAY()</formula>
    </cfRule>
  </conditionalFormatting>
  <conditionalFormatting sqref="V1320">
    <cfRule type="cellIs" dxfId="929" priority="746" operator="equal">
      <formula>"WRONG"</formula>
    </cfRule>
  </conditionalFormatting>
  <conditionalFormatting sqref="AA1319">
    <cfRule type="cellIs" dxfId="928" priority="742" operator="lessThan">
      <formula>TODAY()</formula>
    </cfRule>
    <cfRule type="cellIs" dxfId="927" priority="743" operator="lessThan">
      <formula>TODAY()</formula>
    </cfRule>
  </conditionalFormatting>
  <conditionalFormatting sqref="V1319">
    <cfRule type="cellIs" dxfId="926" priority="741" operator="equal">
      <formula>"WRONG"</formula>
    </cfRule>
  </conditionalFormatting>
  <conditionalFormatting sqref="AA1330">
    <cfRule type="cellIs" dxfId="925" priority="739" operator="lessThan">
      <formula>TODAY()</formula>
    </cfRule>
    <cfRule type="cellIs" dxfId="924" priority="740" operator="lessThan">
      <formula>TODAY()</formula>
    </cfRule>
  </conditionalFormatting>
  <conditionalFormatting sqref="V1330">
    <cfRule type="cellIs" dxfId="923" priority="738" operator="equal">
      <formula>"WRONG"</formula>
    </cfRule>
  </conditionalFormatting>
  <conditionalFormatting sqref="AA1281">
    <cfRule type="cellIs" dxfId="922" priority="736" operator="lessThan">
      <formula>TODAY()</formula>
    </cfRule>
    <cfRule type="cellIs" dxfId="921" priority="737" operator="lessThan">
      <formula>TODAY()</formula>
    </cfRule>
  </conditionalFormatting>
  <conditionalFormatting sqref="V1281">
    <cfRule type="cellIs" dxfId="920" priority="735" operator="equal">
      <formula>"WRONG"</formula>
    </cfRule>
  </conditionalFormatting>
  <conditionalFormatting sqref="AA1277">
    <cfRule type="cellIs" dxfId="919" priority="733" operator="lessThan">
      <formula>TODAY()</formula>
    </cfRule>
    <cfRule type="cellIs" dxfId="918" priority="734" operator="lessThan">
      <formula>TODAY()</formula>
    </cfRule>
  </conditionalFormatting>
  <conditionalFormatting sqref="V1277">
    <cfRule type="cellIs" dxfId="917" priority="732" operator="equal">
      <formula>"WRONG"</formula>
    </cfRule>
  </conditionalFormatting>
  <conditionalFormatting sqref="AA1280">
    <cfRule type="cellIs" dxfId="916" priority="730" operator="lessThan">
      <formula>TODAY()</formula>
    </cfRule>
    <cfRule type="cellIs" dxfId="915" priority="731" operator="lessThan">
      <formula>TODAY()</formula>
    </cfRule>
  </conditionalFormatting>
  <conditionalFormatting sqref="V1280">
    <cfRule type="cellIs" dxfId="914" priority="729" operator="equal">
      <formula>"WRONG"</formula>
    </cfRule>
  </conditionalFormatting>
  <conditionalFormatting sqref="AA1288">
    <cfRule type="cellIs" dxfId="913" priority="726" operator="lessThan">
      <formula>TODAY()</formula>
    </cfRule>
    <cfRule type="cellIs" dxfId="912" priority="727" operator="lessThan">
      <formula>TODAY()</formula>
    </cfRule>
  </conditionalFormatting>
  <conditionalFormatting sqref="V1288">
    <cfRule type="cellIs" dxfId="911" priority="728" operator="equal">
      <formula>"WRONG"</formula>
    </cfRule>
  </conditionalFormatting>
  <conditionalFormatting sqref="AA1289">
    <cfRule type="cellIs" dxfId="910" priority="724" operator="lessThan">
      <formula>TODAY()</formula>
    </cfRule>
    <cfRule type="cellIs" dxfId="909" priority="725" operator="lessThan">
      <formula>TODAY()</formula>
    </cfRule>
  </conditionalFormatting>
  <conditionalFormatting sqref="V1289">
    <cfRule type="cellIs" dxfId="908" priority="723" operator="equal">
      <formula>"WRONG"</formula>
    </cfRule>
  </conditionalFormatting>
  <conditionalFormatting sqref="AA1290">
    <cfRule type="cellIs" dxfId="907" priority="721" operator="lessThan">
      <formula>TODAY()</formula>
    </cfRule>
    <cfRule type="cellIs" dxfId="906" priority="722" operator="lessThan">
      <formula>TODAY()</formula>
    </cfRule>
  </conditionalFormatting>
  <conditionalFormatting sqref="V1290">
    <cfRule type="cellIs" dxfId="905" priority="720" operator="equal">
      <formula>"WRONG"</formula>
    </cfRule>
  </conditionalFormatting>
  <conditionalFormatting sqref="AA1287">
    <cfRule type="cellIs" dxfId="904" priority="718" operator="lessThan">
      <formula>TODAY()</formula>
    </cfRule>
    <cfRule type="cellIs" dxfId="903" priority="719" operator="lessThan">
      <formula>TODAY()</formula>
    </cfRule>
  </conditionalFormatting>
  <conditionalFormatting sqref="V1287">
    <cfRule type="cellIs" dxfId="902" priority="717" operator="equal">
      <formula>"WRONG"</formula>
    </cfRule>
  </conditionalFormatting>
  <conditionalFormatting sqref="AA1306">
    <cfRule type="cellIs" dxfId="901" priority="712" operator="lessThan">
      <formula>TODAY()</formula>
    </cfRule>
    <cfRule type="cellIs" dxfId="900" priority="713" operator="lessThan">
      <formula>TODAY()</formula>
    </cfRule>
  </conditionalFormatting>
  <conditionalFormatting sqref="V1306">
    <cfRule type="cellIs" dxfId="899" priority="711" operator="equal">
      <formula>"WRONG"</formula>
    </cfRule>
  </conditionalFormatting>
  <conditionalFormatting sqref="AA1305">
    <cfRule type="cellIs" dxfId="898" priority="706" operator="lessThan">
      <formula>TODAY()</formula>
    </cfRule>
    <cfRule type="cellIs" dxfId="897" priority="707" operator="lessThan">
      <formula>TODAY()</formula>
    </cfRule>
  </conditionalFormatting>
  <conditionalFormatting sqref="V1305">
    <cfRule type="cellIs" dxfId="896" priority="705" operator="equal">
      <formula>"WRONG"</formula>
    </cfRule>
  </conditionalFormatting>
  <conditionalFormatting sqref="AA1307">
    <cfRule type="cellIs" dxfId="895" priority="700" operator="lessThan">
      <formula>TODAY()</formula>
    </cfRule>
    <cfRule type="cellIs" dxfId="894" priority="701" operator="lessThan">
      <formula>TODAY()</formula>
    </cfRule>
  </conditionalFormatting>
  <conditionalFormatting sqref="V1307">
    <cfRule type="cellIs" dxfId="893" priority="699" operator="equal">
      <formula>"WRONG"</formula>
    </cfRule>
  </conditionalFormatting>
  <conditionalFormatting sqref="AA1308:AA1314">
    <cfRule type="cellIs" dxfId="892" priority="697" operator="lessThan">
      <formula>TODAY()</formula>
    </cfRule>
    <cfRule type="cellIs" dxfId="891" priority="698" operator="lessThan">
      <formula>TODAY()</formula>
    </cfRule>
  </conditionalFormatting>
  <conditionalFormatting sqref="V1308:V1314">
    <cfRule type="cellIs" dxfId="890" priority="696" operator="equal">
      <formula>"WRONG"</formula>
    </cfRule>
  </conditionalFormatting>
  <conditionalFormatting sqref="AA1366">
    <cfRule type="cellIs" dxfId="889" priority="694" operator="lessThan">
      <formula>TODAY()</formula>
    </cfRule>
    <cfRule type="cellIs" dxfId="888" priority="695" operator="lessThan">
      <formula>TODAY()</formula>
    </cfRule>
  </conditionalFormatting>
  <conditionalFormatting sqref="V1366">
    <cfRule type="cellIs" dxfId="887" priority="693" operator="equal">
      <formula>"WRONG"</formula>
    </cfRule>
  </conditionalFormatting>
  <conditionalFormatting sqref="AA1294">
    <cfRule type="cellIs" dxfId="886" priority="690" operator="lessThan">
      <formula>TODAY()</formula>
    </cfRule>
    <cfRule type="cellIs" dxfId="885" priority="691" operator="lessThan">
      <formula>TODAY()</formula>
    </cfRule>
  </conditionalFormatting>
  <conditionalFormatting sqref="V1294">
    <cfRule type="cellIs" dxfId="884" priority="692" operator="equal">
      <formula>"WRONG"</formula>
    </cfRule>
  </conditionalFormatting>
  <conditionalFormatting sqref="AA1295">
    <cfRule type="cellIs" dxfId="883" priority="688" operator="lessThan">
      <formula>TODAY()</formula>
    </cfRule>
    <cfRule type="cellIs" dxfId="882" priority="689" operator="lessThan">
      <formula>TODAY()</formula>
    </cfRule>
  </conditionalFormatting>
  <conditionalFormatting sqref="V1295">
    <cfRule type="cellIs" dxfId="881" priority="687" operator="equal">
      <formula>"WRONG"</formula>
    </cfRule>
  </conditionalFormatting>
  <conditionalFormatting sqref="AA1296:AA1314">
    <cfRule type="cellIs" dxfId="880" priority="685" operator="lessThan">
      <formula>TODAY()</formula>
    </cfRule>
    <cfRule type="cellIs" dxfId="879" priority="686" operator="lessThan">
      <formula>TODAY()</formula>
    </cfRule>
  </conditionalFormatting>
  <conditionalFormatting sqref="V1296:V1314">
    <cfRule type="cellIs" dxfId="878" priority="684" operator="equal">
      <formula>"WRONG"</formula>
    </cfRule>
  </conditionalFormatting>
  <conditionalFormatting sqref="AA1293">
    <cfRule type="cellIs" dxfId="877" priority="682" operator="lessThan">
      <formula>TODAY()</formula>
    </cfRule>
    <cfRule type="cellIs" dxfId="876" priority="683" operator="lessThan">
      <formula>TODAY()</formula>
    </cfRule>
  </conditionalFormatting>
  <conditionalFormatting sqref="V1293">
    <cfRule type="cellIs" dxfId="875" priority="681" operator="equal">
      <formula>"WRONG"</formula>
    </cfRule>
  </conditionalFormatting>
  <conditionalFormatting sqref="AA1364">
    <cfRule type="cellIs" dxfId="874" priority="658" operator="lessThan">
      <formula>TODAY()</formula>
    </cfRule>
    <cfRule type="cellIs" dxfId="873" priority="659" operator="lessThan">
      <formula>TODAY()</formula>
    </cfRule>
  </conditionalFormatting>
  <conditionalFormatting sqref="V1364">
    <cfRule type="cellIs" dxfId="872" priority="657" operator="equal">
      <formula>"WRONG"</formula>
    </cfRule>
  </conditionalFormatting>
  <conditionalFormatting sqref="AA1365">
    <cfRule type="cellIs" dxfId="871" priority="655" operator="lessThan">
      <formula>TODAY()</formula>
    </cfRule>
    <cfRule type="cellIs" dxfId="870" priority="656" operator="lessThan">
      <formula>TODAY()</formula>
    </cfRule>
  </conditionalFormatting>
  <conditionalFormatting sqref="V1365">
    <cfRule type="cellIs" dxfId="869" priority="654" operator="equal">
      <formula>"WRONG"</formula>
    </cfRule>
  </conditionalFormatting>
  <conditionalFormatting sqref="AA1380">
    <cfRule type="cellIs" dxfId="868" priority="649" operator="lessThan">
      <formula>TODAY()</formula>
    </cfRule>
    <cfRule type="cellIs" dxfId="867" priority="650" operator="lessThan">
      <formula>TODAY()</formula>
    </cfRule>
  </conditionalFormatting>
  <conditionalFormatting sqref="V1380">
    <cfRule type="cellIs" dxfId="866" priority="648" operator="equal">
      <formula>"WRONG"</formula>
    </cfRule>
  </conditionalFormatting>
  <conditionalFormatting sqref="AA1375">
    <cfRule type="cellIs" dxfId="865" priority="645" operator="lessThan">
      <formula>TODAY()</formula>
    </cfRule>
    <cfRule type="cellIs" dxfId="864" priority="646" operator="lessThan">
      <formula>TODAY()</formula>
    </cfRule>
  </conditionalFormatting>
  <conditionalFormatting sqref="V1375">
    <cfRule type="cellIs" dxfId="863" priority="647" operator="equal">
      <formula>"WRONG"</formula>
    </cfRule>
  </conditionalFormatting>
  <conditionalFormatting sqref="AA1374">
    <cfRule type="cellIs" dxfId="862" priority="643" operator="lessThan">
      <formula>TODAY()</formula>
    </cfRule>
    <cfRule type="cellIs" dxfId="861" priority="644" operator="lessThan">
      <formula>TODAY()</formula>
    </cfRule>
  </conditionalFormatting>
  <conditionalFormatting sqref="V1374">
    <cfRule type="cellIs" dxfId="860" priority="642" operator="equal">
      <formula>"WRONG"</formula>
    </cfRule>
  </conditionalFormatting>
  <conditionalFormatting sqref="AA1341">
    <cfRule type="cellIs" dxfId="859" priority="639" operator="lessThan">
      <formula>TODAY()</formula>
    </cfRule>
    <cfRule type="cellIs" dxfId="858" priority="640" operator="lessThan">
      <formula>TODAY()</formula>
    </cfRule>
  </conditionalFormatting>
  <conditionalFormatting sqref="V1341">
    <cfRule type="cellIs" dxfId="857" priority="641" operator="equal">
      <formula>"WRONG"</formula>
    </cfRule>
  </conditionalFormatting>
  <conditionalFormatting sqref="AA1342">
    <cfRule type="cellIs" dxfId="856" priority="637" operator="lessThan">
      <formula>TODAY()</formula>
    </cfRule>
    <cfRule type="cellIs" dxfId="855" priority="638" operator="lessThan">
      <formula>TODAY()</formula>
    </cfRule>
  </conditionalFormatting>
  <conditionalFormatting sqref="V1342">
    <cfRule type="cellIs" dxfId="854" priority="636" operator="equal">
      <formula>"WRONG"</formula>
    </cfRule>
  </conditionalFormatting>
  <conditionalFormatting sqref="AA1373">
    <cfRule type="cellIs" dxfId="853" priority="634" operator="lessThan">
      <formula>TODAY()</formula>
    </cfRule>
    <cfRule type="cellIs" dxfId="852" priority="635" operator="lessThan">
      <formula>TODAY()</formula>
    </cfRule>
  </conditionalFormatting>
  <conditionalFormatting sqref="V1373">
    <cfRule type="cellIs" dxfId="851" priority="633" operator="equal">
      <formula>"WRONG"</formula>
    </cfRule>
  </conditionalFormatting>
  <conditionalFormatting sqref="AA1340">
    <cfRule type="cellIs" dxfId="850" priority="631" operator="lessThan">
      <formula>TODAY()</formula>
    </cfRule>
    <cfRule type="cellIs" dxfId="849" priority="632" operator="lessThan">
      <formula>TODAY()</formula>
    </cfRule>
  </conditionalFormatting>
  <conditionalFormatting sqref="V1340">
    <cfRule type="cellIs" dxfId="848" priority="630" operator="equal">
      <formula>"WRONG"</formula>
    </cfRule>
  </conditionalFormatting>
  <conditionalFormatting sqref="AA1377">
    <cfRule type="cellIs" dxfId="847" priority="627" operator="lessThan">
      <formula>TODAY()</formula>
    </cfRule>
    <cfRule type="cellIs" dxfId="846" priority="628" operator="lessThan">
      <formula>TODAY()</formula>
    </cfRule>
  </conditionalFormatting>
  <conditionalFormatting sqref="V1377">
    <cfRule type="cellIs" dxfId="845" priority="629" operator="equal">
      <formula>"WRONG"</formula>
    </cfRule>
  </conditionalFormatting>
  <conditionalFormatting sqref="AA1378">
    <cfRule type="cellIs" dxfId="844" priority="625" operator="lessThan">
      <formula>TODAY()</formula>
    </cfRule>
    <cfRule type="cellIs" dxfId="843" priority="626" operator="lessThan">
      <formula>TODAY()</formula>
    </cfRule>
  </conditionalFormatting>
  <conditionalFormatting sqref="V1378">
    <cfRule type="cellIs" dxfId="842" priority="624" operator="equal">
      <formula>"WRONG"</formula>
    </cfRule>
  </conditionalFormatting>
  <conditionalFormatting sqref="AA1379">
    <cfRule type="cellIs" dxfId="841" priority="622" operator="lessThan">
      <formula>TODAY()</formula>
    </cfRule>
    <cfRule type="cellIs" dxfId="840" priority="623" operator="lessThan">
      <formula>TODAY()</formula>
    </cfRule>
  </conditionalFormatting>
  <conditionalFormatting sqref="V1379">
    <cfRule type="cellIs" dxfId="839" priority="621" operator="equal">
      <formula>"WRONG"</formula>
    </cfRule>
  </conditionalFormatting>
  <conditionalFormatting sqref="AA1376">
    <cfRule type="cellIs" dxfId="838" priority="619" operator="lessThan">
      <formula>TODAY()</formula>
    </cfRule>
    <cfRule type="cellIs" dxfId="837" priority="620" operator="lessThan">
      <formula>TODAY()</formula>
    </cfRule>
  </conditionalFormatting>
  <conditionalFormatting sqref="V1376">
    <cfRule type="cellIs" dxfId="836" priority="618" operator="equal">
      <formula>"WRONG"</formula>
    </cfRule>
  </conditionalFormatting>
  <conditionalFormatting sqref="AA1331">
    <cfRule type="cellIs" dxfId="835" priority="616" operator="lessThan">
      <formula>TODAY()</formula>
    </cfRule>
    <cfRule type="cellIs" dxfId="834" priority="617" operator="lessThan">
      <formula>TODAY()</formula>
    </cfRule>
  </conditionalFormatting>
  <conditionalFormatting sqref="V1331">
    <cfRule type="cellIs" dxfId="833" priority="615" operator="equal">
      <formula>"WRONG"</formula>
    </cfRule>
  </conditionalFormatting>
  <conditionalFormatting sqref="AA1337">
    <cfRule type="cellIs" dxfId="832" priority="612" operator="lessThan">
      <formula>TODAY()</formula>
    </cfRule>
    <cfRule type="cellIs" dxfId="831" priority="613" operator="lessThan">
      <formula>TODAY()</formula>
    </cfRule>
  </conditionalFormatting>
  <conditionalFormatting sqref="V1337">
    <cfRule type="cellIs" dxfId="830" priority="614" operator="equal">
      <formula>"WRONG"</formula>
    </cfRule>
  </conditionalFormatting>
  <conditionalFormatting sqref="AA1336">
    <cfRule type="cellIs" dxfId="829" priority="610" operator="lessThan">
      <formula>TODAY()</formula>
    </cfRule>
    <cfRule type="cellIs" dxfId="828" priority="611" operator="lessThan">
      <formula>TODAY()</formula>
    </cfRule>
  </conditionalFormatting>
  <conditionalFormatting sqref="V1336">
    <cfRule type="cellIs" dxfId="827" priority="609" operator="equal">
      <formula>"WRONG"</formula>
    </cfRule>
  </conditionalFormatting>
  <conditionalFormatting sqref="AA1333">
    <cfRule type="cellIs" dxfId="826" priority="606" operator="lessThan">
      <formula>TODAY()</formula>
    </cfRule>
    <cfRule type="cellIs" dxfId="825" priority="607" operator="lessThan">
      <formula>TODAY()</formula>
    </cfRule>
  </conditionalFormatting>
  <conditionalFormatting sqref="V1333">
    <cfRule type="cellIs" dxfId="824" priority="608" operator="equal">
      <formula>"WRONG"</formula>
    </cfRule>
  </conditionalFormatting>
  <conditionalFormatting sqref="AA1334">
    <cfRule type="cellIs" dxfId="823" priority="604" operator="lessThan">
      <formula>TODAY()</formula>
    </cfRule>
    <cfRule type="cellIs" dxfId="822" priority="605" operator="lessThan">
      <formula>TODAY()</formula>
    </cfRule>
  </conditionalFormatting>
  <conditionalFormatting sqref="V1334">
    <cfRule type="cellIs" dxfId="821" priority="603" operator="equal">
      <formula>"WRONG"</formula>
    </cfRule>
  </conditionalFormatting>
  <conditionalFormatting sqref="AA1335">
    <cfRule type="cellIs" dxfId="820" priority="601" operator="lessThan">
      <formula>TODAY()</formula>
    </cfRule>
    <cfRule type="cellIs" dxfId="819" priority="602" operator="lessThan">
      <formula>TODAY()</formula>
    </cfRule>
  </conditionalFormatting>
  <conditionalFormatting sqref="V1335">
    <cfRule type="cellIs" dxfId="818" priority="600" operator="equal">
      <formula>"WRONG"</formula>
    </cfRule>
  </conditionalFormatting>
  <conditionalFormatting sqref="AA1332">
    <cfRule type="cellIs" dxfId="817" priority="598" operator="lessThan">
      <formula>TODAY()</formula>
    </cfRule>
    <cfRule type="cellIs" dxfId="816" priority="599" operator="lessThan">
      <formula>TODAY()</formula>
    </cfRule>
  </conditionalFormatting>
  <conditionalFormatting sqref="V1332">
    <cfRule type="cellIs" dxfId="815" priority="597" operator="equal">
      <formula>"WRONG"</formula>
    </cfRule>
  </conditionalFormatting>
  <conditionalFormatting sqref="AA1338">
    <cfRule type="cellIs" dxfId="814" priority="592" operator="lessThan">
      <formula>TODAY()</formula>
    </cfRule>
    <cfRule type="cellIs" dxfId="813" priority="593" operator="lessThan">
      <formula>TODAY()</formula>
    </cfRule>
  </conditionalFormatting>
  <conditionalFormatting sqref="V1338">
    <cfRule type="cellIs" dxfId="812" priority="591" operator="equal">
      <formula>"WRONG"</formula>
    </cfRule>
  </conditionalFormatting>
  <conditionalFormatting sqref="AA1348 AA1359 AA1533:AA1537">
    <cfRule type="cellIs" dxfId="811" priority="588" operator="lessThan">
      <formula>TODAY()</formula>
    </cfRule>
    <cfRule type="cellIs" dxfId="810" priority="589" operator="lessThan">
      <formula>TODAY()</formula>
    </cfRule>
  </conditionalFormatting>
  <conditionalFormatting sqref="V1348 V1359">
    <cfRule type="cellIs" dxfId="809" priority="590" operator="equal">
      <formula>"WRONG"</formula>
    </cfRule>
  </conditionalFormatting>
  <conditionalFormatting sqref="AA1349">
    <cfRule type="cellIs" dxfId="808" priority="586" operator="lessThan">
      <formula>TODAY()</formula>
    </cfRule>
    <cfRule type="cellIs" dxfId="807" priority="587" operator="lessThan">
      <formula>TODAY()</formula>
    </cfRule>
  </conditionalFormatting>
  <conditionalFormatting sqref="V1349">
    <cfRule type="cellIs" dxfId="806" priority="585" operator="equal">
      <formula>"WRONG"</formula>
    </cfRule>
  </conditionalFormatting>
  <conditionalFormatting sqref="AA1383">
    <cfRule type="cellIs" dxfId="805" priority="583" operator="lessThan">
      <formula>TODAY()</formula>
    </cfRule>
    <cfRule type="cellIs" dxfId="804" priority="584" operator="lessThan">
      <formula>TODAY()</formula>
    </cfRule>
  </conditionalFormatting>
  <conditionalFormatting sqref="V1383">
    <cfRule type="cellIs" dxfId="803" priority="582" operator="equal">
      <formula>"WRONG"</formula>
    </cfRule>
  </conditionalFormatting>
  <conditionalFormatting sqref="AA1347">
    <cfRule type="cellIs" dxfId="802" priority="577" operator="lessThan">
      <formula>TODAY()</formula>
    </cfRule>
    <cfRule type="cellIs" dxfId="801" priority="578" operator="lessThan">
      <formula>TODAY()</formula>
    </cfRule>
  </conditionalFormatting>
  <conditionalFormatting sqref="V1347">
    <cfRule type="cellIs" dxfId="800" priority="576" operator="equal">
      <formula>"WRONG"</formula>
    </cfRule>
  </conditionalFormatting>
  <conditionalFormatting sqref="AA1371">
    <cfRule type="cellIs" dxfId="799" priority="571" operator="lessThan">
      <formula>TODAY()</formula>
    </cfRule>
    <cfRule type="cellIs" dxfId="798" priority="572" operator="lessThan">
      <formula>TODAY()</formula>
    </cfRule>
  </conditionalFormatting>
  <conditionalFormatting sqref="V1371">
    <cfRule type="cellIs" dxfId="797" priority="570" operator="equal">
      <formula>"WRONG"</formula>
    </cfRule>
  </conditionalFormatting>
  <conditionalFormatting sqref="AA1369">
    <cfRule type="cellIs" dxfId="796" priority="565" operator="lessThan">
      <formula>TODAY()</formula>
    </cfRule>
    <cfRule type="cellIs" dxfId="795" priority="566" operator="lessThan">
      <formula>TODAY()</formula>
    </cfRule>
  </conditionalFormatting>
  <conditionalFormatting sqref="V1369">
    <cfRule type="cellIs" dxfId="794" priority="564" operator="equal">
      <formula>"WRONG"</formula>
    </cfRule>
  </conditionalFormatting>
  <conditionalFormatting sqref="AA1370">
    <cfRule type="cellIs" dxfId="793" priority="562" operator="lessThan">
      <formula>TODAY()</formula>
    </cfRule>
    <cfRule type="cellIs" dxfId="792" priority="563" operator="lessThan">
      <formula>TODAY()</formula>
    </cfRule>
  </conditionalFormatting>
  <conditionalFormatting sqref="V1370">
    <cfRule type="cellIs" dxfId="791" priority="561" operator="equal">
      <formula>"WRONG"</formula>
    </cfRule>
  </conditionalFormatting>
  <conditionalFormatting sqref="AA1352">
    <cfRule type="cellIs" dxfId="790" priority="559" operator="lessThan">
      <formula>TODAY()</formula>
    </cfRule>
    <cfRule type="cellIs" dxfId="789" priority="560" operator="lessThan">
      <formula>TODAY()</formula>
    </cfRule>
  </conditionalFormatting>
  <conditionalFormatting sqref="V1352">
    <cfRule type="cellIs" dxfId="788" priority="558" operator="equal">
      <formula>"WRONG"</formula>
    </cfRule>
  </conditionalFormatting>
  <conditionalFormatting sqref="AA1345">
    <cfRule type="cellIs" dxfId="787" priority="553" operator="lessThan">
      <formula>TODAY()</formula>
    </cfRule>
    <cfRule type="cellIs" dxfId="786" priority="554" operator="lessThan">
      <formula>TODAY()</formula>
    </cfRule>
  </conditionalFormatting>
  <conditionalFormatting sqref="V1345">
    <cfRule type="cellIs" dxfId="785" priority="552" operator="equal">
      <formula>"WRONG"</formula>
    </cfRule>
  </conditionalFormatting>
  <conditionalFormatting sqref="AA1346">
    <cfRule type="cellIs" dxfId="784" priority="550" operator="lessThan">
      <formula>TODAY()</formula>
    </cfRule>
    <cfRule type="cellIs" dxfId="783" priority="551" operator="lessThan">
      <formula>TODAY()</formula>
    </cfRule>
  </conditionalFormatting>
  <conditionalFormatting sqref="V1346">
    <cfRule type="cellIs" dxfId="782" priority="549" operator="equal">
      <formula>"WRONG"</formula>
    </cfRule>
  </conditionalFormatting>
  <conditionalFormatting sqref="AA1358">
    <cfRule type="cellIs" dxfId="781" priority="544" operator="lessThan">
      <formula>TODAY()</formula>
    </cfRule>
    <cfRule type="cellIs" dxfId="780" priority="545" operator="lessThan">
      <formula>TODAY()</formula>
    </cfRule>
  </conditionalFormatting>
  <conditionalFormatting sqref="V1358">
    <cfRule type="cellIs" dxfId="779" priority="543" operator="equal">
      <formula>"WRONG"</formula>
    </cfRule>
  </conditionalFormatting>
  <conditionalFormatting sqref="AA1355">
    <cfRule type="cellIs" dxfId="778" priority="540" operator="lessThan">
      <formula>TODAY()</formula>
    </cfRule>
    <cfRule type="cellIs" dxfId="777" priority="541" operator="lessThan">
      <formula>TODAY()</formula>
    </cfRule>
  </conditionalFormatting>
  <conditionalFormatting sqref="V1355">
    <cfRule type="cellIs" dxfId="776" priority="542" operator="equal">
      <formula>"WRONG"</formula>
    </cfRule>
  </conditionalFormatting>
  <conditionalFormatting sqref="AA1356">
    <cfRule type="cellIs" dxfId="775" priority="538" operator="lessThan">
      <formula>TODAY()</formula>
    </cfRule>
    <cfRule type="cellIs" dxfId="774" priority="539" operator="lessThan">
      <formula>TODAY()</formula>
    </cfRule>
  </conditionalFormatting>
  <conditionalFormatting sqref="V1356">
    <cfRule type="cellIs" dxfId="773" priority="537" operator="equal">
      <formula>"WRONG"</formula>
    </cfRule>
  </conditionalFormatting>
  <conditionalFormatting sqref="AA1357">
    <cfRule type="cellIs" dxfId="772" priority="535" operator="lessThan">
      <formula>TODAY()</formula>
    </cfRule>
    <cfRule type="cellIs" dxfId="771" priority="536" operator="lessThan">
      <formula>TODAY()</formula>
    </cfRule>
  </conditionalFormatting>
  <conditionalFormatting sqref="V1357">
    <cfRule type="cellIs" dxfId="770" priority="534" operator="equal">
      <formula>"WRONG"</formula>
    </cfRule>
  </conditionalFormatting>
  <conditionalFormatting sqref="AA1354">
    <cfRule type="cellIs" dxfId="769" priority="532" operator="lessThan">
      <formula>TODAY()</formula>
    </cfRule>
    <cfRule type="cellIs" dxfId="768" priority="533" operator="lessThan">
      <formula>TODAY()</formula>
    </cfRule>
  </conditionalFormatting>
  <conditionalFormatting sqref="V1354">
    <cfRule type="cellIs" dxfId="767" priority="531" operator="equal">
      <formula>"WRONG"</formula>
    </cfRule>
  </conditionalFormatting>
  <conditionalFormatting sqref="AA1361">
    <cfRule type="cellIs" dxfId="766" priority="525" operator="lessThan">
      <formula>TODAY()</formula>
    </cfRule>
    <cfRule type="cellIs" dxfId="765" priority="526" operator="lessThan">
      <formula>TODAY()</formula>
    </cfRule>
  </conditionalFormatting>
  <conditionalFormatting sqref="V1361">
    <cfRule type="cellIs" dxfId="764" priority="527" operator="equal">
      <formula>"WRONG"</formula>
    </cfRule>
  </conditionalFormatting>
  <conditionalFormatting sqref="AA1362">
    <cfRule type="cellIs" dxfId="763" priority="523" operator="lessThan">
      <formula>TODAY()</formula>
    </cfRule>
    <cfRule type="cellIs" dxfId="762" priority="524" operator="lessThan">
      <formula>TODAY()</formula>
    </cfRule>
  </conditionalFormatting>
  <conditionalFormatting sqref="V1362">
    <cfRule type="cellIs" dxfId="761" priority="522" operator="equal">
      <formula>"WRONG"</formula>
    </cfRule>
  </conditionalFormatting>
  <conditionalFormatting sqref="AA1360">
    <cfRule type="cellIs" dxfId="760" priority="517" operator="lessThan">
      <formula>TODAY()</formula>
    </cfRule>
    <cfRule type="cellIs" dxfId="759" priority="518" operator="lessThan">
      <formula>TODAY()</formula>
    </cfRule>
  </conditionalFormatting>
  <conditionalFormatting sqref="V1360">
    <cfRule type="cellIs" dxfId="758" priority="516" operator="equal">
      <formula>"WRONG"</formula>
    </cfRule>
  </conditionalFormatting>
  <conditionalFormatting sqref="V1385:V1389">
    <cfRule type="cellIs" dxfId="757" priority="498" operator="equal">
      <formula>"WRONG"</formula>
    </cfRule>
  </conditionalFormatting>
  <conditionalFormatting sqref="AA1385:AA1389">
    <cfRule type="cellIs" dxfId="756" priority="496" operator="lessThan">
      <formula>TODAY()</formula>
    </cfRule>
    <cfRule type="cellIs" dxfId="755" priority="497" operator="lessThan">
      <formula>TODAY()</formula>
    </cfRule>
  </conditionalFormatting>
  <conditionalFormatting sqref="AA1385:AA1389">
    <cfRule type="cellIs" dxfId="754" priority="491" operator="lessThan">
      <formula>TODAY()</formula>
    </cfRule>
    <cfRule type="cellIs" dxfId="753" priority="492" operator="lessThan">
      <formula>TODAY()</formula>
    </cfRule>
  </conditionalFormatting>
  <conditionalFormatting sqref="V1385:V1389">
    <cfRule type="cellIs" dxfId="752" priority="493" operator="equal">
      <formula>"WRONG"</formula>
    </cfRule>
  </conditionalFormatting>
  <conditionalFormatting sqref="AA1385:AA1389">
    <cfRule type="cellIs" dxfId="751" priority="489" operator="lessThan">
      <formula>TODAY()</formula>
    </cfRule>
    <cfRule type="cellIs" dxfId="750" priority="490" operator="lessThan">
      <formula>TODAY()</formula>
    </cfRule>
  </conditionalFormatting>
  <conditionalFormatting sqref="V1385:V1389">
    <cfRule type="cellIs" dxfId="749" priority="488" operator="equal">
      <formula>"WRONG"</formula>
    </cfRule>
  </conditionalFormatting>
  <conditionalFormatting sqref="AA1419">
    <cfRule type="cellIs" dxfId="748" priority="483" operator="lessThan">
      <formula>TODAY()</formula>
    </cfRule>
    <cfRule type="cellIs" dxfId="747" priority="484" operator="lessThan">
      <formula>TODAY()</formula>
    </cfRule>
  </conditionalFormatting>
  <conditionalFormatting sqref="V1419">
    <cfRule type="cellIs" dxfId="746" priority="482" operator="equal">
      <formula>"WRONG"</formula>
    </cfRule>
  </conditionalFormatting>
  <conditionalFormatting sqref="AA1418">
    <cfRule type="cellIs" dxfId="745" priority="474" operator="lessThan">
      <formula>TODAY()</formula>
    </cfRule>
    <cfRule type="cellIs" dxfId="744" priority="475" operator="lessThan">
      <formula>TODAY()</formula>
    </cfRule>
  </conditionalFormatting>
  <conditionalFormatting sqref="V1418">
    <cfRule type="cellIs" dxfId="743" priority="473" operator="equal">
      <formula>"WRONG"</formula>
    </cfRule>
  </conditionalFormatting>
  <conditionalFormatting sqref="AA1412 AA1414 AA1405:AA1406">
    <cfRule type="cellIs" dxfId="742" priority="467" operator="lessThan">
      <formula>TODAY()</formula>
    </cfRule>
    <cfRule type="cellIs" dxfId="741" priority="468" operator="lessThan">
      <formula>TODAY()</formula>
    </cfRule>
  </conditionalFormatting>
  <conditionalFormatting sqref="V1412 V1414 V1405:V1406">
    <cfRule type="cellIs" dxfId="740" priority="469" operator="equal">
      <formula>"WRONG"</formula>
    </cfRule>
  </conditionalFormatting>
  <conditionalFormatting sqref="AA1411">
    <cfRule type="cellIs" dxfId="739" priority="462" operator="lessThan">
      <formula>TODAY()</formula>
    </cfRule>
    <cfRule type="cellIs" dxfId="738" priority="463" operator="lessThan">
      <formula>TODAY()</formula>
    </cfRule>
  </conditionalFormatting>
  <conditionalFormatting sqref="V1411">
    <cfRule type="cellIs" dxfId="737" priority="461" operator="equal">
      <formula>"WRONG"</formula>
    </cfRule>
  </conditionalFormatting>
  <conditionalFormatting sqref="AA1408">
    <cfRule type="cellIs" dxfId="736" priority="458" operator="lessThan">
      <formula>TODAY()</formula>
    </cfRule>
    <cfRule type="cellIs" dxfId="735" priority="459" operator="lessThan">
      <formula>TODAY()</formula>
    </cfRule>
  </conditionalFormatting>
  <conditionalFormatting sqref="V1408">
    <cfRule type="cellIs" dxfId="734" priority="460" operator="equal">
      <formula>"WRONG"</formula>
    </cfRule>
  </conditionalFormatting>
  <conditionalFormatting sqref="AA1409">
    <cfRule type="cellIs" dxfId="733" priority="456" operator="lessThan">
      <formula>TODAY()</formula>
    </cfRule>
    <cfRule type="cellIs" dxfId="732" priority="457" operator="lessThan">
      <formula>TODAY()</formula>
    </cfRule>
  </conditionalFormatting>
  <conditionalFormatting sqref="V1409">
    <cfRule type="cellIs" dxfId="731" priority="455" operator="equal">
      <formula>"WRONG"</formula>
    </cfRule>
  </conditionalFormatting>
  <conditionalFormatting sqref="AA1410">
    <cfRule type="cellIs" dxfId="730" priority="453" operator="lessThan">
      <formula>TODAY()</formula>
    </cfRule>
    <cfRule type="cellIs" dxfId="729" priority="454" operator="lessThan">
      <formula>TODAY()</formula>
    </cfRule>
  </conditionalFormatting>
  <conditionalFormatting sqref="V1410">
    <cfRule type="cellIs" dxfId="728" priority="452" operator="equal">
      <formula>"WRONG"</formula>
    </cfRule>
  </conditionalFormatting>
  <conditionalFormatting sqref="AA1407">
    <cfRule type="cellIs" dxfId="727" priority="450" operator="lessThan">
      <formula>TODAY()</formula>
    </cfRule>
    <cfRule type="cellIs" dxfId="726" priority="451" operator="lessThan">
      <formula>TODAY()</formula>
    </cfRule>
  </conditionalFormatting>
  <conditionalFormatting sqref="V1407">
    <cfRule type="cellIs" dxfId="725" priority="449" operator="equal">
      <formula>"WRONG"</formula>
    </cfRule>
  </conditionalFormatting>
  <conditionalFormatting sqref="AA1413">
    <cfRule type="cellIs" dxfId="724" priority="447" operator="lessThan">
      <formula>TODAY()</formula>
    </cfRule>
    <cfRule type="cellIs" dxfId="723" priority="448" operator="lessThan">
      <formula>TODAY()</formula>
    </cfRule>
  </conditionalFormatting>
  <conditionalFormatting sqref="V1413">
    <cfRule type="cellIs" dxfId="722" priority="446" operator="equal">
      <formula>"WRONG"</formula>
    </cfRule>
  </conditionalFormatting>
  <conditionalFormatting sqref="AA1416">
    <cfRule type="cellIs" dxfId="721" priority="443" operator="lessThan">
      <formula>TODAY()</formula>
    </cfRule>
    <cfRule type="cellIs" dxfId="720" priority="444" operator="lessThan">
      <formula>TODAY()</formula>
    </cfRule>
  </conditionalFormatting>
  <conditionalFormatting sqref="V1416">
    <cfRule type="cellIs" dxfId="719" priority="445" operator="equal">
      <formula>"WRONG"</formula>
    </cfRule>
  </conditionalFormatting>
  <conditionalFormatting sqref="AA1417">
    <cfRule type="cellIs" dxfId="718" priority="441" operator="lessThan">
      <formula>TODAY()</formula>
    </cfRule>
    <cfRule type="cellIs" dxfId="717" priority="442" operator="lessThan">
      <formula>TODAY()</formula>
    </cfRule>
  </conditionalFormatting>
  <conditionalFormatting sqref="V1417">
    <cfRule type="cellIs" dxfId="716" priority="440" operator="equal">
      <formula>"WRONG"</formula>
    </cfRule>
  </conditionalFormatting>
  <conditionalFormatting sqref="AA1415">
    <cfRule type="cellIs" dxfId="715" priority="438" operator="lessThan">
      <formula>TODAY()</formula>
    </cfRule>
    <cfRule type="cellIs" dxfId="714" priority="439" operator="lessThan">
      <formula>TODAY()</formula>
    </cfRule>
  </conditionalFormatting>
  <conditionalFormatting sqref="V1415">
    <cfRule type="cellIs" dxfId="713" priority="437" operator="equal">
      <formula>"WRONG"</formula>
    </cfRule>
  </conditionalFormatting>
  <conditionalFormatting sqref="AA1391 AA1393 AA1395">
    <cfRule type="cellIs" dxfId="712" priority="434" operator="lessThan">
      <formula>TODAY()</formula>
    </cfRule>
    <cfRule type="cellIs" dxfId="711" priority="435" operator="lessThan">
      <formula>TODAY()</formula>
    </cfRule>
  </conditionalFormatting>
  <conditionalFormatting sqref="V1391 V1393 V1395">
    <cfRule type="cellIs" dxfId="710" priority="436" operator="equal">
      <formula>"WRONG"</formula>
    </cfRule>
  </conditionalFormatting>
  <conditionalFormatting sqref="AA1390">
    <cfRule type="cellIs" dxfId="709" priority="432" operator="lessThan">
      <formula>TODAY()</formula>
    </cfRule>
    <cfRule type="cellIs" dxfId="708" priority="433" operator="lessThan">
      <formula>TODAY()</formula>
    </cfRule>
  </conditionalFormatting>
  <conditionalFormatting sqref="V1390">
    <cfRule type="cellIs" dxfId="707" priority="431" operator="equal">
      <formula>"WRONG"</formula>
    </cfRule>
  </conditionalFormatting>
  <conditionalFormatting sqref="AA1389">
    <cfRule type="cellIs" dxfId="706" priority="429" operator="lessThan">
      <formula>TODAY()</formula>
    </cfRule>
    <cfRule type="cellIs" dxfId="705" priority="430" operator="lessThan">
      <formula>TODAY()</formula>
    </cfRule>
  </conditionalFormatting>
  <conditionalFormatting sqref="V1389">
    <cfRule type="cellIs" dxfId="704" priority="428" operator="equal">
      <formula>"WRONG"</formula>
    </cfRule>
  </conditionalFormatting>
  <conditionalFormatting sqref="AA1386">
    <cfRule type="cellIs" dxfId="703" priority="425" operator="lessThan">
      <formula>TODAY()</formula>
    </cfRule>
    <cfRule type="cellIs" dxfId="702" priority="426" operator="lessThan">
      <formula>TODAY()</formula>
    </cfRule>
  </conditionalFormatting>
  <conditionalFormatting sqref="V1386">
    <cfRule type="cellIs" dxfId="701" priority="427" operator="equal">
      <formula>"WRONG"</formula>
    </cfRule>
  </conditionalFormatting>
  <conditionalFormatting sqref="AA1387">
    <cfRule type="cellIs" dxfId="700" priority="423" operator="lessThan">
      <formula>TODAY()</formula>
    </cfRule>
    <cfRule type="cellIs" dxfId="699" priority="424" operator="lessThan">
      <formula>TODAY()</formula>
    </cfRule>
  </conditionalFormatting>
  <conditionalFormatting sqref="V1387">
    <cfRule type="cellIs" dxfId="698" priority="422" operator="equal">
      <formula>"WRONG"</formula>
    </cfRule>
  </conditionalFormatting>
  <conditionalFormatting sqref="AA1388">
    <cfRule type="cellIs" dxfId="697" priority="420" operator="lessThan">
      <formula>TODAY()</formula>
    </cfRule>
    <cfRule type="cellIs" dxfId="696" priority="421" operator="lessThan">
      <formula>TODAY()</formula>
    </cfRule>
  </conditionalFormatting>
  <conditionalFormatting sqref="V1388">
    <cfRule type="cellIs" dxfId="695" priority="419" operator="equal">
      <formula>"WRONG"</formula>
    </cfRule>
  </conditionalFormatting>
  <conditionalFormatting sqref="AA1392">
    <cfRule type="cellIs" dxfId="694" priority="417" operator="lessThan">
      <formula>TODAY()</formula>
    </cfRule>
    <cfRule type="cellIs" dxfId="693" priority="418" operator="lessThan">
      <formula>TODAY()</formula>
    </cfRule>
  </conditionalFormatting>
  <conditionalFormatting sqref="V1392">
    <cfRule type="cellIs" dxfId="692" priority="416" operator="equal">
      <formula>"WRONG"</formula>
    </cfRule>
  </conditionalFormatting>
  <conditionalFormatting sqref="AA1394">
    <cfRule type="cellIs" dxfId="691" priority="414" operator="lessThan">
      <formula>TODAY()</formula>
    </cfRule>
    <cfRule type="cellIs" dxfId="690" priority="415" operator="lessThan">
      <formula>TODAY()</formula>
    </cfRule>
  </conditionalFormatting>
  <conditionalFormatting sqref="V1394">
    <cfRule type="cellIs" dxfId="689" priority="413" operator="equal">
      <formula>"WRONG"</formula>
    </cfRule>
  </conditionalFormatting>
  <conditionalFormatting sqref="AA1397">
    <cfRule type="cellIs" dxfId="688" priority="410" operator="lessThan">
      <formula>TODAY()</formula>
    </cfRule>
    <cfRule type="cellIs" dxfId="687" priority="411" operator="lessThan">
      <formula>TODAY()</formula>
    </cfRule>
  </conditionalFormatting>
  <conditionalFormatting sqref="V1397">
    <cfRule type="cellIs" dxfId="686" priority="412" operator="equal">
      <formula>"WRONG"</formula>
    </cfRule>
  </conditionalFormatting>
  <conditionalFormatting sqref="AA1398">
    <cfRule type="cellIs" dxfId="685" priority="408" operator="lessThan">
      <formula>TODAY()</formula>
    </cfRule>
    <cfRule type="cellIs" dxfId="684" priority="409" operator="lessThan">
      <formula>TODAY()</formula>
    </cfRule>
  </conditionalFormatting>
  <conditionalFormatting sqref="V1398">
    <cfRule type="cellIs" dxfId="683" priority="407" operator="equal">
      <formula>"WRONG"</formula>
    </cfRule>
  </conditionalFormatting>
  <conditionalFormatting sqref="AA1399:AA1404">
    <cfRule type="cellIs" dxfId="682" priority="405" operator="lessThan">
      <formula>TODAY()</formula>
    </cfRule>
    <cfRule type="cellIs" dxfId="681" priority="406" operator="lessThan">
      <formula>TODAY()</formula>
    </cfRule>
  </conditionalFormatting>
  <conditionalFormatting sqref="V1399:V1404">
    <cfRule type="cellIs" dxfId="680" priority="404" operator="equal">
      <formula>"WRONG"</formula>
    </cfRule>
  </conditionalFormatting>
  <conditionalFormatting sqref="AA1396">
    <cfRule type="cellIs" dxfId="679" priority="402" operator="lessThan">
      <formula>TODAY()</formula>
    </cfRule>
    <cfRule type="cellIs" dxfId="678" priority="403" operator="lessThan">
      <formula>TODAY()</formula>
    </cfRule>
  </conditionalFormatting>
  <conditionalFormatting sqref="V1396">
    <cfRule type="cellIs" dxfId="677" priority="401" operator="equal">
      <formula>"WRONG"</formula>
    </cfRule>
  </conditionalFormatting>
  <conditionalFormatting sqref="AA1423">
    <cfRule type="cellIs" dxfId="676" priority="399" operator="lessThan">
      <formula>TODAY()</formula>
    </cfRule>
    <cfRule type="cellIs" dxfId="675" priority="400" operator="lessThan">
      <formula>TODAY()</formula>
    </cfRule>
  </conditionalFormatting>
  <conditionalFormatting sqref="V1423">
    <cfRule type="cellIs" dxfId="674" priority="398" operator="equal">
      <formula>"WRONG"</formula>
    </cfRule>
  </conditionalFormatting>
  <conditionalFormatting sqref="AA1421">
    <cfRule type="cellIs" dxfId="673" priority="395" operator="lessThan">
      <formula>TODAY()</formula>
    </cfRule>
    <cfRule type="cellIs" dxfId="672" priority="396" operator="lessThan">
      <formula>TODAY()</formula>
    </cfRule>
  </conditionalFormatting>
  <conditionalFormatting sqref="V1421">
    <cfRule type="cellIs" dxfId="671" priority="397" operator="equal">
      <formula>"WRONG"</formula>
    </cfRule>
  </conditionalFormatting>
  <conditionalFormatting sqref="AA1422">
    <cfRule type="cellIs" dxfId="670" priority="393" operator="lessThan">
      <formula>TODAY()</formula>
    </cfRule>
    <cfRule type="cellIs" dxfId="669" priority="394" operator="lessThan">
      <formula>TODAY()</formula>
    </cfRule>
  </conditionalFormatting>
  <conditionalFormatting sqref="V1422">
    <cfRule type="cellIs" dxfId="668" priority="392" operator="equal">
      <formula>"WRONG"</formula>
    </cfRule>
  </conditionalFormatting>
  <conditionalFormatting sqref="AA1420">
    <cfRule type="cellIs" dxfId="667" priority="390" operator="lessThan">
      <formula>TODAY()</formula>
    </cfRule>
    <cfRule type="cellIs" dxfId="666" priority="391" operator="lessThan">
      <formula>TODAY()</formula>
    </cfRule>
  </conditionalFormatting>
  <conditionalFormatting sqref="V1420">
    <cfRule type="cellIs" dxfId="665" priority="389" operator="equal">
      <formula>"WRONG"</formula>
    </cfRule>
  </conditionalFormatting>
  <conditionalFormatting sqref="AA1428">
    <cfRule type="cellIs" dxfId="664" priority="387" operator="lessThan">
      <formula>TODAY()</formula>
    </cfRule>
    <cfRule type="cellIs" dxfId="663" priority="388" operator="lessThan">
      <formula>TODAY()</formula>
    </cfRule>
  </conditionalFormatting>
  <conditionalFormatting sqref="V1428">
    <cfRule type="cellIs" dxfId="662" priority="386" operator="equal">
      <formula>"WRONG"</formula>
    </cfRule>
  </conditionalFormatting>
  <conditionalFormatting sqref="AA1427">
    <cfRule type="cellIs" dxfId="661" priority="384" operator="lessThan">
      <formula>TODAY()</formula>
    </cfRule>
    <cfRule type="cellIs" dxfId="660" priority="385" operator="lessThan">
      <formula>TODAY()</formula>
    </cfRule>
  </conditionalFormatting>
  <conditionalFormatting sqref="V1427">
    <cfRule type="cellIs" dxfId="659" priority="383" operator="equal">
      <formula>"WRONG"</formula>
    </cfRule>
  </conditionalFormatting>
  <conditionalFormatting sqref="AA1425">
    <cfRule type="cellIs" dxfId="658" priority="380" operator="lessThan">
      <formula>TODAY()</formula>
    </cfRule>
    <cfRule type="cellIs" dxfId="657" priority="381" operator="lessThan">
      <formula>TODAY()</formula>
    </cfRule>
  </conditionalFormatting>
  <conditionalFormatting sqref="V1425">
    <cfRule type="cellIs" dxfId="656" priority="382" operator="equal">
      <formula>"WRONG"</formula>
    </cfRule>
  </conditionalFormatting>
  <conditionalFormatting sqref="AA1426">
    <cfRule type="cellIs" dxfId="655" priority="378" operator="lessThan">
      <formula>TODAY()</formula>
    </cfRule>
    <cfRule type="cellIs" dxfId="654" priority="379" operator="lessThan">
      <formula>TODAY()</formula>
    </cfRule>
  </conditionalFormatting>
  <conditionalFormatting sqref="V1426">
    <cfRule type="cellIs" dxfId="653" priority="377" operator="equal">
      <formula>"WRONG"</formula>
    </cfRule>
  </conditionalFormatting>
  <conditionalFormatting sqref="AA1424">
    <cfRule type="cellIs" dxfId="652" priority="375" operator="lessThan">
      <formula>TODAY()</formula>
    </cfRule>
    <cfRule type="cellIs" dxfId="651" priority="376" operator="lessThan">
      <formula>TODAY()</formula>
    </cfRule>
  </conditionalFormatting>
  <conditionalFormatting sqref="V1424">
    <cfRule type="cellIs" dxfId="650" priority="374" operator="equal">
      <formula>"WRONG"</formula>
    </cfRule>
  </conditionalFormatting>
  <conditionalFormatting sqref="AA1430">
    <cfRule type="cellIs" dxfId="649" priority="371" operator="lessThan">
      <formula>TODAY()</formula>
    </cfRule>
    <cfRule type="cellIs" dxfId="648" priority="372" operator="lessThan">
      <formula>TODAY()</formula>
    </cfRule>
  </conditionalFormatting>
  <conditionalFormatting sqref="V1430">
    <cfRule type="cellIs" dxfId="647" priority="373" operator="equal">
      <formula>"WRONG"</formula>
    </cfRule>
  </conditionalFormatting>
  <conditionalFormatting sqref="AA1431:AA1461">
    <cfRule type="cellIs" dxfId="646" priority="369" operator="lessThan">
      <formula>TODAY()</formula>
    </cfRule>
    <cfRule type="cellIs" dxfId="645" priority="370" operator="lessThan">
      <formula>TODAY()</formula>
    </cfRule>
  </conditionalFormatting>
  <conditionalFormatting sqref="AA1429">
    <cfRule type="cellIs" dxfId="644" priority="366" operator="lessThan">
      <formula>TODAY()</formula>
    </cfRule>
    <cfRule type="cellIs" dxfId="643" priority="367" operator="lessThan">
      <formula>TODAY()</formula>
    </cfRule>
  </conditionalFormatting>
  <conditionalFormatting sqref="V1429">
    <cfRule type="cellIs" dxfId="642" priority="365" operator="equal">
      <formula>"WRONG"</formula>
    </cfRule>
  </conditionalFormatting>
  <conditionalFormatting sqref="V1343">
    <cfRule type="cellIs" dxfId="641" priority="360" operator="equal">
      <formula>"WRONG"</formula>
    </cfRule>
  </conditionalFormatting>
  <conditionalFormatting sqref="V1344">
    <cfRule type="cellIs" dxfId="640" priority="355" operator="equal">
      <formula>"WRONG"</formula>
    </cfRule>
  </conditionalFormatting>
  <conditionalFormatting sqref="A1350">
    <cfRule type="duplicateValues" dxfId="639" priority="351"/>
    <cfRule type="duplicateValues" dxfId="638" priority="352"/>
  </conditionalFormatting>
  <conditionalFormatting sqref="A1350">
    <cfRule type="duplicateValues" dxfId="637" priority="353"/>
  </conditionalFormatting>
  <conditionalFormatting sqref="A1350">
    <cfRule type="duplicateValues" dxfId="636" priority="354"/>
  </conditionalFormatting>
  <conditionalFormatting sqref="V1350">
    <cfRule type="cellIs" dxfId="635" priority="350" operator="equal">
      <formula>"WRONG"</formula>
    </cfRule>
  </conditionalFormatting>
  <conditionalFormatting sqref="A1351">
    <cfRule type="duplicateValues" dxfId="634" priority="346"/>
    <cfRule type="duplicateValues" dxfId="633" priority="347"/>
  </conditionalFormatting>
  <conditionalFormatting sqref="A1351">
    <cfRule type="duplicateValues" dxfId="632" priority="348"/>
  </conditionalFormatting>
  <conditionalFormatting sqref="A1351">
    <cfRule type="duplicateValues" dxfId="631" priority="349"/>
  </conditionalFormatting>
  <conditionalFormatting sqref="V1351">
    <cfRule type="cellIs" dxfId="630" priority="345" operator="equal">
      <formula>"WRONG"</formula>
    </cfRule>
  </conditionalFormatting>
  <conditionalFormatting sqref="AA1457:AA1461">
    <cfRule type="cellIs" dxfId="629" priority="340" operator="lessThan">
      <formula>TODAY()</formula>
    </cfRule>
    <cfRule type="cellIs" dxfId="628" priority="341" operator="lessThan">
      <formula>TODAY()</formula>
    </cfRule>
  </conditionalFormatting>
  <conditionalFormatting sqref="AA1522 AA1517">
    <cfRule type="cellIs" dxfId="627" priority="327" operator="lessThan">
      <formula>TODAY()</formula>
    </cfRule>
    <cfRule type="cellIs" dxfId="626" priority="328" operator="lessThan">
      <formula>TODAY()</formula>
    </cfRule>
  </conditionalFormatting>
  <conditionalFormatting sqref="V1509:V1517">
    <cfRule type="cellIs" dxfId="625" priority="313" operator="equal">
      <formula>"WRONG"</formula>
    </cfRule>
  </conditionalFormatting>
  <conditionalFormatting sqref="AA1509:AA1517">
    <cfRule type="cellIs" dxfId="624" priority="311" operator="lessThan">
      <formula>TODAY()</formula>
    </cfRule>
    <cfRule type="cellIs" dxfId="623" priority="312" operator="lessThan">
      <formula>TODAY()</formula>
    </cfRule>
  </conditionalFormatting>
  <conditionalFormatting sqref="AA1513:AA1516">
    <cfRule type="cellIs" dxfId="622" priority="302" operator="lessThan">
      <formula>TODAY()</formula>
    </cfRule>
    <cfRule type="cellIs" dxfId="621" priority="303" operator="lessThan">
      <formula>TODAY()</formula>
    </cfRule>
  </conditionalFormatting>
  <conditionalFormatting sqref="AA1524:AA1527">
    <cfRule type="cellIs" dxfId="620" priority="300" operator="lessThan">
      <formula>TODAY()</formula>
    </cfRule>
    <cfRule type="cellIs" dxfId="619" priority="301" operator="lessThan">
      <formula>TODAY()</formula>
    </cfRule>
  </conditionalFormatting>
  <conditionalFormatting sqref="AA1528:AA1537">
    <cfRule type="cellIs" dxfId="618" priority="298" operator="lessThan">
      <formula>TODAY()</formula>
    </cfRule>
    <cfRule type="cellIs" dxfId="617" priority="299" operator="lessThan">
      <formula>TODAY()</formula>
    </cfRule>
  </conditionalFormatting>
  <conditionalFormatting sqref="V1523">
    <cfRule type="cellIs" dxfId="616" priority="286" operator="equal">
      <formula>"WRONG"</formula>
    </cfRule>
  </conditionalFormatting>
  <conditionalFormatting sqref="AA1523">
    <cfRule type="cellIs" dxfId="615" priority="284" operator="lessThan">
      <formula>TODAY()</formula>
    </cfRule>
    <cfRule type="cellIs" dxfId="614" priority="285" operator="lessThan">
      <formula>TODAY()</formula>
    </cfRule>
  </conditionalFormatting>
  <conditionalFormatting sqref="AA1599">
    <cfRule type="cellIs" dxfId="613" priority="276" operator="lessThan">
      <formula>TODAY()</formula>
    </cfRule>
    <cfRule type="cellIs" dxfId="612" priority="277" operator="lessThan">
      <formula>TODAY()</formula>
    </cfRule>
  </conditionalFormatting>
  <conditionalFormatting sqref="V1599">
    <cfRule type="cellIs" dxfId="611" priority="275" operator="equal">
      <formula>"WRONG"</formula>
    </cfRule>
  </conditionalFormatting>
  <conditionalFormatting sqref="AA1598">
    <cfRule type="cellIs" dxfId="610" priority="269" operator="lessThan">
      <formula>TODAY()</formula>
    </cfRule>
    <cfRule type="cellIs" dxfId="609" priority="270" operator="lessThan">
      <formula>TODAY()</formula>
    </cfRule>
  </conditionalFormatting>
  <conditionalFormatting sqref="V1598">
    <cfRule type="cellIs" dxfId="608" priority="268" operator="equal">
      <formula>"WRONG"</formula>
    </cfRule>
  </conditionalFormatting>
  <conditionalFormatting sqref="AA1539:AA1542">
    <cfRule type="cellIs" dxfId="607" priority="226" operator="lessThan">
      <formula>TODAY()</formula>
    </cfRule>
    <cfRule type="cellIs" dxfId="606" priority="227" operator="lessThan">
      <formula>TODAY()</formula>
    </cfRule>
  </conditionalFormatting>
  <conditionalFormatting sqref="V1547:V1549">
    <cfRule type="cellIs" dxfId="605" priority="219" operator="equal">
      <formula>"WRONG"</formula>
    </cfRule>
  </conditionalFormatting>
  <conditionalFormatting sqref="AA1547:AA1549">
    <cfRule type="cellIs" dxfId="604" priority="217" operator="lessThan">
      <formula>TODAY()</formula>
    </cfRule>
    <cfRule type="cellIs" dxfId="603" priority="218" operator="lessThan">
      <formula>TODAY()</formula>
    </cfRule>
  </conditionalFormatting>
  <conditionalFormatting sqref="V1550">
    <cfRule type="cellIs" dxfId="602" priority="212" operator="equal">
      <formula>"WRONG"</formula>
    </cfRule>
  </conditionalFormatting>
  <conditionalFormatting sqref="AA1550">
    <cfRule type="cellIs" dxfId="601" priority="210" operator="lessThan">
      <formula>TODAY()</formula>
    </cfRule>
    <cfRule type="cellIs" dxfId="600" priority="211" operator="lessThan">
      <formula>TODAY()</formula>
    </cfRule>
  </conditionalFormatting>
  <conditionalFormatting sqref="V1551">
    <cfRule type="cellIs" dxfId="599" priority="205" operator="equal">
      <formula>"WRONG"</formula>
    </cfRule>
  </conditionalFormatting>
  <conditionalFormatting sqref="AA1551">
    <cfRule type="cellIs" dxfId="598" priority="203" operator="lessThan">
      <formula>TODAY()</formula>
    </cfRule>
    <cfRule type="cellIs" dxfId="597" priority="204" operator="lessThan">
      <formula>TODAY()</formula>
    </cfRule>
  </conditionalFormatting>
  <conditionalFormatting sqref="AA1561 AA1584">
    <cfRule type="cellIs" dxfId="596" priority="197" operator="lessThan">
      <formula>TODAY()</formula>
    </cfRule>
    <cfRule type="cellIs" dxfId="595" priority="198" operator="lessThan">
      <formula>TODAY()</formula>
    </cfRule>
  </conditionalFormatting>
  <conditionalFormatting sqref="V1561 V1584">
    <cfRule type="cellIs" dxfId="594" priority="196" operator="equal">
      <formula>"WRONG"</formula>
    </cfRule>
  </conditionalFormatting>
  <conditionalFormatting sqref="AA1560">
    <cfRule type="cellIs" dxfId="593" priority="194" operator="lessThan">
      <formula>TODAY()</formula>
    </cfRule>
    <cfRule type="cellIs" dxfId="592" priority="195" operator="lessThan">
      <formula>TODAY()</formula>
    </cfRule>
  </conditionalFormatting>
  <conditionalFormatting sqref="V1560">
    <cfRule type="cellIs" dxfId="591" priority="193" operator="equal">
      <formula>"WRONG"</formula>
    </cfRule>
  </conditionalFormatting>
  <conditionalFormatting sqref="AA1559">
    <cfRule type="cellIs" dxfId="590" priority="191" operator="lessThan">
      <formula>TODAY()</formula>
    </cfRule>
    <cfRule type="cellIs" dxfId="589" priority="192" operator="lessThan">
      <formula>TODAY()</formula>
    </cfRule>
  </conditionalFormatting>
  <conditionalFormatting sqref="V1559">
    <cfRule type="cellIs" dxfId="588" priority="190" operator="equal">
      <formula>"WRONG"</formula>
    </cfRule>
  </conditionalFormatting>
  <conditionalFormatting sqref="AA1558">
    <cfRule type="cellIs" dxfId="587" priority="184" operator="lessThan">
      <formula>TODAY()</formula>
    </cfRule>
    <cfRule type="cellIs" dxfId="586" priority="185" operator="lessThan">
      <formula>TODAY()</formula>
    </cfRule>
  </conditionalFormatting>
  <conditionalFormatting sqref="V1558">
    <cfRule type="cellIs" dxfId="585" priority="183" operator="equal">
      <formula>"WRONG"</formula>
    </cfRule>
  </conditionalFormatting>
  <conditionalFormatting sqref="AA1557">
    <cfRule type="cellIs" dxfId="584" priority="181" operator="lessThan">
      <formula>TODAY()</formula>
    </cfRule>
    <cfRule type="cellIs" dxfId="583" priority="182" operator="lessThan">
      <formula>TODAY()</formula>
    </cfRule>
  </conditionalFormatting>
  <conditionalFormatting sqref="V1557">
    <cfRule type="cellIs" dxfId="582" priority="180" operator="equal">
      <formula>"WRONG"</formula>
    </cfRule>
  </conditionalFormatting>
  <conditionalFormatting sqref="AA1556">
    <cfRule type="cellIs" dxfId="581" priority="174" operator="lessThan">
      <formula>TODAY()</formula>
    </cfRule>
    <cfRule type="cellIs" dxfId="580" priority="175" operator="lessThan">
      <formula>TODAY()</formula>
    </cfRule>
  </conditionalFormatting>
  <conditionalFormatting sqref="V1556">
    <cfRule type="cellIs" dxfId="579" priority="173" operator="equal">
      <formula>"WRONG"</formula>
    </cfRule>
  </conditionalFormatting>
  <conditionalFormatting sqref="AA1555">
    <cfRule type="cellIs" dxfId="578" priority="171" operator="lessThan">
      <formula>TODAY()</formula>
    </cfRule>
    <cfRule type="cellIs" dxfId="577" priority="172" operator="lessThan">
      <formula>TODAY()</formula>
    </cfRule>
  </conditionalFormatting>
  <conditionalFormatting sqref="V1555">
    <cfRule type="cellIs" dxfId="576" priority="170" operator="equal">
      <formula>"WRONG"</formula>
    </cfRule>
  </conditionalFormatting>
  <conditionalFormatting sqref="AA1554">
    <cfRule type="cellIs" dxfId="575" priority="168" operator="lessThan">
      <formula>TODAY()</formula>
    </cfRule>
    <cfRule type="cellIs" dxfId="574" priority="169" operator="lessThan">
      <formula>TODAY()</formula>
    </cfRule>
  </conditionalFormatting>
  <conditionalFormatting sqref="V1554">
    <cfRule type="cellIs" dxfId="573" priority="167" operator="equal">
      <formula>"WRONG"</formula>
    </cfRule>
  </conditionalFormatting>
  <conditionalFormatting sqref="AA1553">
    <cfRule type="cellIs" dxfId="572" priority="161" operator="lessThan">
      <formula>TODAY()</formula>
    </cfRule>
    <cfRule type="cellIs" dxfId="571" priority="162" operator="lessThan">
      <formula>TODAY()</formula>
    </cfRule>
  </conditionalFormatting>
  <conditionalFormatting sqref="V1553">
    <cfRule type="cellIs" dxfId="570" priority="160" operator="equal">
      <formula>"WRONG"</formula>
    </cfRule>
  </conditionalFormatting>
  <conditionalFormatting sqref="AA1552">
    <cfRule type="cellIs" dxfId="569" priority="154" operator="lessThan">
      <formula>TODAY()</formula>
    </cfRule>
    <cfRule type="cellIs" dxfId="568" priority="155" operator="lessThan">
      <formula>TODAY()</formula>
    </cfRule>
  </conditionalFormatting>
  <conditionalFormatting sqref="V1552">
    <cfRule type="cellIs" dxfId="567" priority="153" operator="equal">
      <formula>"WRONG"</formula>
    </cfRule>
  </conditionalFormatting>
  <conditionalFormatting sqref="AA1549">
    <cfRule type="cellIs" dxfId="566" priority="151" operator="lessThan">
      <formula>TODAY()</formula>
    </cfRule>
    <cfRule type="cellIs" dxfId="565" priority="152" operator="lessThan">
      <formula>TODAY()</formula>
    </cfRule>
  </conditionalFormatting>
  <conditionalFormatting sqref="V1549">
    <cfRule type="cellIs" dxfId="564" priority="150" operator="equal">
      <formula>"WRONG"</formula>
    </cfRule>
  </conditionalFormatting>
  <conditionalFormatting sqref="AA1548">
    <cfRule type="cellIs" dxfId="563" priority="144" operator="lessThan">
      <formula>TODAY()</formula>
    </cfRule>
    <cfRule type="cellIs" dxfId="562" priority="145" operator="lessThan">
      <formula>TODAY()</formula>
    </cfRule>
  </conditionalFormatting>
  <conditionalFormatting sqref="V1548">
    <cfRule type="cellIs" dxfId="561" priority="143" operator="equal">
      <formula>"WRONG"</formula>
    </cfRule>
  </conditionalFormatting>
  <conditionalFormatting sqref="AA1583">
    <cfRule type="cellIs" dxfId="560" priority="128" operator="lessThan">
      <formula>TODAY()</formula>
    </cfRule>
    <cfRule type="cellIs" dxfId="559" priority="129" operator="lessThan">
      <formula>TODAY()</formula>
    </cfRule>
  </conditionalFormatting>
  <conditionalFormatting sqref="V1583">
    <cfRule type="cellIs" dxfId="558" priority="127" operator="equal">
      <formula>"WRONG"</formula>
    </cfRule>
  </conditionalFormatting>
  <conditionalFormatting sqref="AA1577">
    <cfRule type="cellIs" dxfId="557" priority="125" operator="lessThan">
      <formula>TODAY()</formula>
    </cfRule>
    <cfRule type="cellIs" dxfId="556" priority="126" operator="lessThan">
      <formula>TODAY()</formula>
    </cfRule>
  </conditionalFormatting>
  <conditionalFormatting sqref="V1577">
    <cfRule type="cellIs" dxfId="555" priority="124" operator="equal">
      <formula>"WRONG"</formula>
    </cfRule>
  </conditionalFormatting>
  <conditionalFormatting sqref="AA1582">
    <cfRule type="cellIs" dxfId="554" priority="122" operator="lessThan">
      <formula>TODAY()</formula>
    </cfRule>
    <cfRule type="cellIs" dxfId="553" priority="123" operator="lessThan">
      <formula>TODAY()</formula>
    </cfRule>
  </conditionalFormatting>
  <conditionalFormatting sqref="V1582">
    <cfRule type="cellIs" dxfId="552" priority="121" operator="equal">
      <formula>"WRONG"</formula>
    </cfRule>
  </conditionalFormatting>
  <conditionalFormatting sqref="AA1567:AA1570">
    <cfRule type="cellIs" dxfId="551" priority="119" operator="lessThan">
      <formula>TODAY()</formula>
    </cfRule>
    <cfRule type="cellIs" dxfId="550" priority="120" operator="lessThan">
      <formula>TODAY()</formula>
    </cfRule>
  </conditionalFormatting>
  <conditionalFormatting sqref="V1567:V1570">
    <cfRule type="cellIs" dxfId="549" priority="118" operator="equal">
      <formula>"WRONG"</formula>
    </cfRule>
  </conditionalFormatting>
  <conditionalFormatting sqref="AA1566">
    <cfRule type="cellIs" dxfId="548" priority="116" operator="lessThan">
      <formula>TODAY()</formula>
    </cfRule>
    <cfRule type="cellIs" dxfId="547" priority="117" operator="lessThan">
      <formula>TODAY()</formula>
    </cfRule>
  </conditionalFormatting>
  <conditionalFormatting sqref="V1566">
    <cfRule type="cellIs" dxfId="546" priority="115" operator="equal">
      <formula>"WRONG"</formula>
    </cfRule>
  </conditionalFormatting>
  <conditionalFormatting sqref="AA1565">
    <cfRule type="cellIs" dxfId="545" priority="113" operator="lessThan">
      <formula>TODAY()</formula>
    </cfRule>
    <cfRule type="cellIs" dxfId="544" priority="114" operator="lessThan">
      <formula>TODAY()</formula>
    </cfRule>
  </conditionalFormatting>
  <conditionalFormatting sqref="V1565">
    <cfRule type="cellIs" dxfId="543" priority="112" operator="equal">
      <formula>"WRONG"</formula>
    </cfRule>
  </conditionalFormatting>
  <conditionalFormatting sqref="AA1564">
    <cfRule type="cellIs" dxfId="542" priority="110" operator="lessThan">
      <formula>TODAY()</formula>
    </cfRule>
    <cfRule type="cellIs" dxfId="541" priority="111" operator="lessThan">
      <formula>TODAY()</formula>
    </cfRule>
  </conditionalFormatting>
  <conditionalFormatting sqref="V1564">
    <cfRule type="cellIs" dxfId="540" priority="109" operator="equal">
      <formula>"WRONG"</formula>
    </cfRule>
  </conditionalFormatting>
  <conditionalFormatting sqref="AA1563">
    <cfRule type="cellIs" dxfId="539" priority="107" operator="lessThan">
      <formula>TODAY()</formula>
    </cfRule>
    <cfRule type="cellIs" dxfId="538" priority="108" operator="lessThan">
      <formula>TODAY()</formula>
    </cfRule>
  </conditionalFormatting>
  <conditionalFormatting sqref="V1563">
    <cfRule type="cellIs" dxfId="537" priority="106" operator="equal">
      <formula>"WRONG"</formula>
    </cfRule>
  </conditionalFormatting>
  <conditionalFormatting sqref="AA1562">
    <cfRule type="cellIs" dxfId="536" priority="104" operator="lessThan">
      <formula>TODAY()</formula>
    </cfRule>
    <cfRule type="cellIs" dxfId="535" priority="105" operator="lessThan">
      <formula>TODAY()</formula>
    </cfRule>
  </conditionalFormatting>
  <conditionalFormatting sqref="V1562">
    <cfRule type="cellIs" dxfId="534" priority="103" operator="equal">
      <formula>"WRONG"</formula>
    </cfRule>
  </conditionalFormatting>
  <conditionalFormatting sqref="AA1581">
    <cfRule type="cellIs" dxfId="533" priority="97" operator="lessThan">
      <formula>TODAY()</formula>
    </cfRule>
    <cfRule type="cellIs" dxfId="532" priority="98" operator="lessThan">
      <formula>TODAY()</formula>
    </cfRule>
  </conditionalFormatting>
  <conditionalFormatting sqref="V1581">
    <cfRule type="cellIs" dxfId="531" priority="96" operator="equal">
      <formula>"WRONG"</formula>
    </cfRule>
  </conditionalFormatting>
  <conditionalFormatting sqref="AA1580">
    <cfRule type="cellIs" dxfId="530" priority="94" operator="lessThan">
      <formula>TODAY()</formula>
    </cfRule>
    <cfRule type="cellIs" dxfId="529" priority="95" operator="lessThan">
      <formula>TODAY()</formula>
    </cfRule>
  </conditionalFormatting>
  <conditionalFormatting sqref="V1580">
    <cfRule type="cellIs" dxfId="528" priority="93" operator="equal">
      <formula>"WRONG"</formula>
    </cfRule>
  </conditionalFormatting>
  <conditionalFormatting sqref="AA1579">
    <cfRule type="cellIs" dxfId="527" priority="91" operator="lessThan">
      <formula>TODAY()</formula>
    </cfRule>
    <cfRule type="cellIs" dxfId="526" priority="92" operator="lessThan">
      <formula>TODAY()</formula>
    </cfRule>
  </conditionalFormatting>
  <conditionalFormatting sqref="V1579">
    <cfRule type="cellIs" dxfId="525" priority="90" operator="equal">
      <formula>"WRONG"</formula>
    </cfRule>
  </conditionalFormatting>
  <conditionalFormatting sqref="AA1578">
    <cfRule type="cellIs" dxfId="524" priority="88" operator="lessThan">
      <formula>TODAY()</formula>
    </cfRule>
    <cfRule type="cellIs" dxfId="523" priority="89" operator="lessThan">
      <formula>TODAY()</formula>
    </cfRule>
  </conditionalFormatting>
  <conditionalFormatting sqref="V1578">
    <cfRule type="cellIs" dxfId="522" priority="87" operator="equal">
      <formula>"WRONG"</formula>
    </cfRule>
  </conditionalFormatting>
  <conditionalFormatting sqref="AA1576:AA1577">
    <cfRule type="cellIs" dxfId="521" priority="85" operator="lessThan">
      <formula>TODAY()</formula>
    </cfRule>
    <cfRule type="cellIs" dxfId="520" priority="86" operator="lessThan">
      <formula>TODAY()</formula>
    </cfRule>
  </conditionalFormatting>
  <conditionalFormatting sqref="V1576:V1577">
    <cfRule type="cellIs" dxfId="519" priority="84" operator="equal">
      <formula>"WRONG"</formula>
    </cfRule>
  </conditionalFormatting>
  <conditionalFormatting sqref="AA1575">
    <cfRule type="cellIs" dxfId="518" priority="82" operator="lessThan">
      <formula>TODAY()</formula>
    </cfRule>
    <cfRule type="cellIs" dxfId="517" priority="83" operator="lessThan">
      <formula>TODAY()</formula>
    </cfRule>
  </conditionalFormatting>
  <conditionalFormatting sqref="V1575">
    <cfRule type="cellIs" dxfId="516" priority="81" operator="equal">
      <formula>"WRONG"</formula>
    </cfRule>
  </conditionalFormatting>
  <conditionalFormatting sqref="AA1570">
    <cfRule type="cellIs" dxfId="515" priority="75" operator="lessThan">
      <formula>TODAY()</formula>
    </cfRule>
    <cfRule type="cellIs" dxfId="514" priority="76" operator="lessThan">
      <formula>TODAY()</formula>
    </cfRule>
  </conditionalFormatting>
  <conditionalFormatting sqref="V1570">
    <cfRule type="cellIs" dxfId="513" priority="74" operator="equal">
      <formula>"WRONG"</formula>
    </cfRule>
  </conditionalFormatting>
  <conditionalFormatting sqref="AA1568">
    <cfRule type="cellIs" dxfId="512" priority="65" operator="lessThan">
      <formula>TODAY()</formula>
    </cfRule>
    <cfRule type="cellIs" dxfId="511" priority="66" operator="lessThan">
      <formula>TODAY()</formula>
    </cfRule>
  </conditionalFormatting>
  <conditionalFormatting sqref="V1568">
    <cfRule type="cellIs" dxfId="510" priority="64" operator="equal">
      <formula>"WRONG"</formula>
    </cfRule>
  </conditionalFormatting>
  <conditionalFormatting sqref="AA1574">
    <cfRule type="cellIs" dxfId="509" priority="62" operator="lessThan">
      <formula>TODAY()</formula>
    </cfRule>
    <cfRule type="cellIs" dxfId="508" priority="63" operator="lessThan">
      <formula>TODAY()</formula>
    </cfRule>
  </conditionalFormatting>
  <conditionalFormatting sqref="V1574">
    <cfRule type="cellIs" dxfId="507" priority="61" operator="equal">
      <formula>"WRONG"</formula>
    </cfRule>
  </conditionalFormatting>
  <conditionalFormatting sqref="AA1573">
    <cfRule type="cellIs" dxfId="506" priority="59" operator="lessThan">
      <formula>TODAY()</formula>
    </cfRule>
    <cfRule type="cellIs" dxfId="505" priority="60" operator="lessThan">
      <formula>TODAY()</formula>
    </cfRule>
  </conditionalFormatting>
  <conditionalFormatting sqref="V1573">
    <cfRule type="cellIs" dxfId="504" priority="58" operator="equal">
      <formula>"WRONG"</formula>
    </cfRule>
  </conditionalFormatting>
  <conditionalFormatting sqref="AA1572">
    <cfRule type="cellIs" dxfId="503" priority="56" operator="lessThan">
      <formula>TODAY()</formula>
    </cfRule>
    <cfRule type="cellIs" dxfId="502" priority="57" operator="lessThan">
      <formula>TODAY()</formula>
    </cfRule>
  </conditionalFormatting>
  <conditionalFormatting sqref="V1572">
    <cfRule type="cellIs" dxfId="501" priority="55" operator="equal">
      <formula>"WRONG"</formula>
    </cfRule>
  </conditionalFormatting>
  <conditionalFormatting sqref="AA1571">
    <cfRule type="cellIs" dxfId="500" priority="53" operator="lessThan">
      <formula>TODAY()</formula>
    </cfRule>
    <cfRule type="cellIs" dxfId="499" priority="54" operator="lessThan">
      <formula>TODAY()</formula>
    </cfRule>
  </conditionalFormatting>
  <conditionalFormatting sqref="V1571">
    <cfRule type="cellIs" dxfId="498" priority="52" operator="equal">
      <formula>"WRONG"</formula>
    </cfRule>
  </conditionalFormatting>
  <conditionalFormatting sqref="AA1597">
    <cfRule type="cellIs" dxfId="497" priority="50" operator="lessThan">
      <formula>TODAY()</formula>
    </cfRule>
    <cfRule type="cellIs" dxfId="496" priority="51" operator="lessThan">
      <formula>TODAY()</formula>
    </cfRule>
  </conditionalFormatting>
  <conditionalFormatting sqref="V1597">
    <cfRule type="cellIs" dxfId="495" priority="49" operator="equal">
      <formula>"WRONG"</formula>
    </cfRule>
  </conditionalFormatting>
  <conditionalFormatting sqref="AA1596">
    <cfRule type="cellIs" dxfId="494" priority="47" operator="lessThan">
      <formula>TODAY()</formula>
    </cfRule>
    <cfRule type="cellIs" dxfId="493" priority="48" operator="lessThan">
      <formula>TODAY()</formula>
    </cfRule>
  </conditionalFormatting>
  <conditionalFormatting sqref="V1596">
    <cfRule type="cellIs" dxfId="492" priority="46" operator="equal">
      <formula>"WRONG"</formula>
    </cfRule>
  </conditionalFormatting>
  <conditionalFormatting sqref="AA1595">
    <cfRule type="cellIs" dxfId="491" priority="44" operator="lessThan">
      <formula>TODAY()</formula>
    </cfRule>
    <cfRule type="cellIs" dxfId="490" priority="45" operator="lessThan">
      <formula>TODAY()</formula>
    </cfRule>
  </conditionalFormatting>
  <conditionalFormatting sqref="V1595">
    <cfRule type="cellIs" dxfId="489" priority="43" operator="equal">
      <formula>"WRONG"</formula>
    </cfRule>
  </conditionalFormatting>
  <conditionalFormatting sqref="AA1594">
    <cfRule type="cellIs" dxfId="488" priority="29" operator="lessThan">
      <formula>TODAY()</formula>
    </cfRule>
    <cfRule type="cellIs" dxfId="487" priority="30" operator="lessThan">
      <formula>TODAY()</formula>
    </cfRule>
  </conditionalFormatting>
  <conditionalFormatting sqref="V1594">
    <cfRule type="cellIs" dxfId="486" priority="28" operator="equal">
      <formula>"WRONG"</formula>
    </cfRule>
  </conditionalFormatting>
  <conditionalFormatting sqref="AA1593">
    <cfRule type="cellIs" dxfId="485" priority="26" operator="lessThan">
      <formula>TODAY()</formula>
    </cfRule>
    <cfRule type="cellIs" dxfId="484" priority="27" operator="lessThan">
      <formula>TODAY()</formula>
    </cfRule>
  </conditionalFormatting>
  <conditionalFormatting sqref="V1593">
    <cfRule type="cellIs" dxfId="483" priority="25" operator="equal">
      <formula>"WRONG"</formula>
    </cfRule>
  </conditionalFormatting>
  <conditionalFormatting sqref="AA1592">
    <cfRule type="cellIs" dxfId="482" priority="23" operator="lessThan">
      <formula>TODAY()</formula>
    </cfRule>
    <cfRule type="cellIs" dxfId="481" priority="24" operator="lessThan">
      <formula>TODAY()</formula>
    </cfRule>
  </conditionalFormatting>
  <conditionalFormatting sqref="V1592">
    <cfRule type="cellIs" dxfId="480" priority="22" operator="equal">
      <formula>"WRONG"</formula>
    </cfRule>
  </conditionalFormatting>
  <conditionalFormatting sqref="AA1591">
    <cfRule type="cellIs" dxfId="479" priority="20" operator="lessThan">
      <formula>TODAY()</formula>
    </cfRule>
    <cfRule type="cellIs" dxfId="478" priority="21" operator="lessThan">
      <formula>TODAY()</formula>
    </cfRule>
  </conditionalFormatting>
  <conditionalFormatting sqref="V1591">
    <cfRule type="cellIs" dxfId="477" priority="19" operator="equal">
      <formula>"WRONG"</formula>
    </cfRule>
  </conditionalFormatting>
  <conditionalFormatting sqref="AA1588">
    <cfRule type="cellIs" dxfId="476" priority="17" operator="lessThan">
      <formula>TODAY()</formula>
    </cfRule>
    <cfRule type="cellIs" dxfId="475" priority="18" operator="lessThan">
      <formula>TODAY()</formula>
    </cfRule>
  </conditionalFormatting>
  <conditionalFormatting sqref="V1588">
    <cfRule type="cellIs" dxfId="474" priority="16" operator="equal">
      <formula>"WRONG"</formula>
    </cfRule>
  </conditionalFormatting>
  <conditionalFormatting sqref="AA1587">
    <cfRule type="cellIs" dxfId="473" priority="14" operator="lessThan">
      <formula>TODAY()</formula>
    </cfRule>
    <cfRule type="cellIs" dxfId="472" priority="15" operator="lessThan">
      <formula>TODAY()</formula>
    </cfRule>
  </conditionalFormatting>
  <conditionalFormatting sqref="V1587">
    <cfRule type="cellIs" dxfId="471" priority="13" operator="equal">
      <formula>"WRONG"</formula>
    </cfRule>
  </conditionalFormatting>
  <conditionalFormatting sqref="AA1586">
    <cfRule type="cellIs" dxfId="470" priority="11" operator="lessThan">
      <formula>TODAY()</formula>
    </cfRule>
    <cfRule type="cellIs" dxfId="469" priority="12" operator="lessThan">
      <formula>TODAY()</formula>
    </cfRule>
  </conditionalFormatting>
  <conditionalFormatting sqref="V1586">
    <cfRule type="cellIs" dxfId="468" priority="10" operator="equal">
      <formula>"WRONG"</formula>
    </cfRule>
  </conditionalFormatting>
  <conditionalFormatting sqref="AA1590">
    <cfRule type="cellIs" dxfId="467" priority="8" operator="lessThan">
      <formula>TODAY()</formula>
    </cfRule>
    <cfRule type="cellIs" dxfId="466" priority="9" operator="lessThan">
      <formula>TODAY()</formula>
    </cfRule>
  </conditionalFormatting>
  <conditionalFormatting sqref="V1590">
    <cfRule type="cellIs" dxfId="465" priority="7" operator="equal">
      <formula>"WRONG"</formula>
    </cfRule>
  </conditionalFormatting>
  <conditionalFormatting sqref="AA1589">
    <cfRule type="cellIs" dxfId="464" priority="5" operator="lessThan">
      <formula>TODAY()</formula>
    </cfRule>
    <cfRule type="cellIs" dxfId="463" priority="6" operator="lessThan">
      <formula>TODAY()</formula>
    </cfRule>
  </conditionalFormatting>
  <conditionalFormatting sqref="V1589">
    <cfRule type="cellIs" dxfId="462" priority="4" operator="equal">
      <formula>"WRONG"</formula>
    </cfRule>
  </conditionalFormatting>
  <conditionalFormatting sqref="AA1585:AA1588">
    <cfRule type="cellIs" dxfId="461" priority="2" operator="lessThan">
      <formula>TODAY()</formula>
    </cfRule>
    <cfRule type="cellIs" dxfId="460" priority="3" operator="lessThan">
      <formula>TODAY()</formula>
    </cfRule>
  </conditionalFormatting>
  <conditionalFormatting sqref="V1585:V1588">
    <cfRule type="cellIs" dxfId="459" priority="1" operator="equal">
      <formula>"WRONG"</formula>
    </cfRule>
  </conditionalFormatting>
  <dataValidations count="1">
    <dataValidation type="list" allowBlank="1" showInputMessage="1" showErrorMessage="1" sqref="I113" xr:uid="{00000000-0002-0000-0100-000000000000}">
      <formula1>$D$17:$D$19</formula1>
    </dataValidation>
  </dataValidation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00000000-0002-0000-0100-000001000000}">
          <x14:formula1>
            <xm:f>'Data pick slip'!$B$1:$B$41</xm:f>
          </x14:formula1>
          <xm:sqref>AF942</xm:sqref>
        </x14:dataValidation>
        <x14:dataValidation type="list" allowBlank="1" showInputMessage="1" showErrorMessage="1" xr:uid="{00000000-0002-0000-0100-000003000000}">
          <x14:formula1>
            <xm:f>'Data pick slip'!$C$1:$C$5</xm:f>
          </x14:formula1>
          <xm:sqref>T1037 T1191 T1369 T1233 G1347:G1351 G2:G1345 G1353:G1389 G1391:G1048576</xm:sqref>
        </x14:dataValidation>
        <x14:dataValidation type="list" allowBlank="1" showInputMessage="1" showErrorMessage="1" xr:uid="{00000000-0002-0000-0100-000008000000}">
          <x14:formula1>
            <xm:f>'Data pick slip'!$B$2:$B$62</xm:f>
          </x14:formula1>
          <xm:sqref>S1037 S1369 S1191 F1:F1345 F1353:F1389 F1347:F1351 F1391:F1048576</xm:sqref>
        </x14:dataValidation>
        <x14:dataValidation type="list" allowBlank="1" showInputMessage="1" showErrorMessage="1" xr:uid="{00000000-0002-0000-0100-000005000000}">
          <x14:formula1>
            <xm:f>'Data pick slip'!$E$1:$E$30</xm:f>
          </x14:formula1>
          <xm:sqref>K1353:K1389 K1347:K1351 K1:K1345 K1391:K1048576</xm:sqref>
        </x14:dataValidation>
        <x14:dataValidation type="list" allowBlank="1" showInputMessage="1" showErrorMessage="1" xr:uid="{3F4033DF-C233-4576-85B2-B73CC32271D3}">
          <x14:formula1>
            <xm:f>'Data pick slip'!$A$2:$A$25</xm:f>
          </x14:formula1>
          <xm:sqref>N1:N1471 N1474:N1048576</xm:sqref>
        </x14:dataValidation>
        <x14:dataValidation type="list" allowBlank="1" showInputMessage="1" showErrorMessage="1" xr:uid="{00000000-0002-0000-0100-000002000000}">
          <x14:formula1>
            <xm:f>'Data pick slip'!$B:$B</xm:f>
          </x14:formula1>
          <xm:sqref>AF943:AF994 AF1:AF941 AF996:AF1048576 AJ1:AJ1048576 AL1:AL1048576 AH1:AH1048576 AD1:AD1048576</xm:sqref>
        </x14:dataValidation>
        <x14:dataValidation type="list" allowBlank="1" showInputMessage="1" showErrorMessage="1" xr:uid="{00000000-0002-0000-0100-000004000000}">
          <x14:formula1>
            <xm:f>'Data pick slip'!$D:$D</xm:f>
          </x14:formula1>
          <xm:sqref>U1037 U1191 U1369 U1233 H1347:H1351 H1:H1345 H1353:H1389 H1391:H1048576</xm:sqref>
        </x14:dataValidation>
        <x14:dataValidation type="list" allowBlank="1" showInputMessage="1" showErrorMessage="1" xr:uid="{00000000-0002-0000-0100-000006000000}">
          <x14:formula1>
            <xm:f>'Data pick slip'!$A$2:$A$63</xm:f>
          </x14:formula1>
          <xm:sqref>B2:B1048576</xm:sqref>
        </x14:dataValidation>
        <x14:dataValidation type="list" allowBlank="1" showInputMessage="1" showErrorMessage="1" xr:uid="{00000000-0002-0000-0100-000009000000}">
          <x14:formula1>
            <xm:f>'Data pick slip'!$G$2:$G$4</xm:f>
          </x14:formula1>
          <xm:sqref>C1:C1048576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U609"/>
  <sheetViews>
    <sheetView zoomScaleNormal="100" workbookViewId="0">
      <pane ySplit="1" topLeftCell="A68" activePane="bottomLeft" state="frozen"/>
      <selection activeCell="D1475" sqref="D1475"/>
      <selection pane="bottomLeft" activeCell="L20" sqref="L20"/>
    </sheetView>
  </sheetViews>
  <sheetFormatPr defaultColWidth="9" defaultRowHeight="14.25"/>
  <cols>
    <col min="1" max="1" width="12.25" style="252" customWidth="1"/>
    <col min="2" max="2" width="14.25" style="252" customWidth="1"/>
    <col min="3" max="3" width="12.25" style="156" customWidth="1"/>
    <col min="4" max="4" width="13.75" style="206" customWidth="1"/>
    <col min="5" max="5" width="16.25" style="160" customWidth="1"/>
    <col min="6" max="6" width="10.75" style="157" customWidth="1"/>
    <col min="7" max="7" width="6.25" style="132" customWidth="1"/>
    <col min="8" max="8" width="5.25" style="138" customWidth="1"/>
    <col min="9" max="9" width="24" style="140" bestFit="1" customWidth="1"/>
    <col min="10" max="10" width="19" style="139" customWidth="1"/>
    <col min="11" max="11" width="6.25" style="140" customWidth="1"/>
    <col min="12" max="12" width="10.25" style="141" customWidth="1"/>
    <col min="13" max="13" width="5.25" style="140" customWidth="1"/>
    <col min="14" max="14" width="6.25" style="132" customWidth="1"/>
    <col min="15" max="15" width="5" style="132" customWidth="1"/>
    <col min="16" max="16" width="9.75" style="142" customWidth="1"/>
    <col min="17" max="17" width="9.75" style="132" customWidth="1"/>
    <col min="18" max="18" width="9.75" style="134" customWidth="1"/>
    <col min="19" max="19" width="16.375" style="123" customWidth="1"/>
    <col min="20" max="20" width="24.75" style="123" customWidth="1"/>
    <col min="21" max="21" width="9" style="149"/>
    <col min="22" max="16384" width="9" style="146"/>
  </cols>
  <sheetData>
    <row r="1" spans="1:21" s="112" customFormat="1" ht="26.25" customHeight="1">
      <c r="A1" s="98" t="s">
        <v>235</v>
      </c>
      <c r="B1" s="99" t="s">
        <v>2728</v>
      </c>
      <c r="C1" s="100" t="s">
        <v>2729</v>
      </c>
      <c r="D1" s="100" t="s">
        <v>262</v>
      </c>
      <c r="E1" s="101" t="s">
        <v>2730</v>
      </c>
      <c r="F1" s="102" t="s">
        <v>265</v>
      </c>
      <c r="G1" s="100" t="s">
        <v>2731</v>
      </c>
      <c r="H1" s="103" t="s">
        <v>2732</v>
      </c>
      <c r="I1" s="105" t="s">
        <v>2733</v>
      </c>
      <c r="J1" s="104" t="s">
        <v>2734</v>
      </c>
      <c r="K1" s="105" t="s">
        <v>269</v>
      </c>
      <c r="L1" s="106" t="s">
        <v>2735</v>
      </c>
      <c r="M1" s="106" t="s">
        <v>2736</v>
      </c>
      <c r="N1" s="103" t="s">
        <v>2737</v>
      </c>
      <c r="O1" s="103" t="s">
        <v>2738</v>
      </c>
      <c r="P1" s="107" t="s">
        <v>2739</v>
      </c>
      <c r="Q1" s="103" t="s">
        <v>2740</v>
      </c>
      <c r="R1" s="108" t="s">
        <v>2741</v>
      </c>
      <c r="S1" s="109" t="s">
        <v>2742</v>
      </c>
      <c r="T1" s="110" t="s">
        <v>2743</v>
      </c>
      <c r="U1" s="111"/>
    </row>
    <row r="2" spans="1:21" ht="15" customHeight="1">
      <c r="A2" s="181" t="s">
        <v>2744</v>
      </c>
      <c r="B2" s="114" t="str">
        <f>VLOOKUP(A2,'Data pick slip'!B:F,5,FALSE)</f>
        <v>KHJ-MC100-00</v>
      </c>
      <c r="C2" s="169" t="s">
        <v>2745</v>
      </c>
      <c r="D2" s="311" t="s">
        <v>2746</v>
      </c>
      <c r="E2" s="281" t="s">
        <v>2745</v>
      </c>
      <c r="F2" s="170" t="s">
        <v>1381</v>
      </c>
      <c r="G2" s="171">
        <f>3276+30</f>
        <v>3306</v>
      </c>
      <c r="H2" s="172"/>
      <c r="I2" s="174"/>
      <c r="J2" s="173"/>
      <c r="K2" s="174"/>
      <c r="L2" s="175"/>
      <c r="M2" s="174"/>
      <c r="N2" s="176"/>
      <c r="O2" s="176"/>
      <c r="P2" s="173"/>
      <c r="Q2" s="177"/>
      <c r="R2" s="178"/>
      <c r="S2" s="173"/>
      <c r="T2" s="179"/>
      <c r="U2" s="145"/>
    </row>
    <row r="3" spans="1:21" ht="15" customHeight="1">
      <c r="A3" s="181" t="s">
        <v>2747</v>
      </c>
      <c r="B3" s="114" t="str">
        <f>VLOOKUP(A3,'Data pick slip'!B:F,5,FALSE)</f>
        <v>KHJ-MC200-00</v>
      </c>
      <c r="C3" s="169" t="s">
        <v>2745</v>
      </c>
      <c r="D3" s="311" t="s">
        <v>2746</v>
      </c>
      <c r="E3" s="281" t="s">
        <v>2745</v>
      </c>
      <c r="F3" s="170" t="s">
        <v>1381</v>
      </c>
      <c r="G3" s="171">
        <v>632</v>
      </c>
      <c r="H3" s="172"/>
      <c r="I3" s="174"/>
      <c r="J3" s="173"/>
      <c r="K3" s="174"/>
      <c r="L3" s="175"/>
      <c r="M3" s="174"/>
      <c r="N3" s="176"/>
      <c r="O3" s="176"/>
      <c r="P3" s="173"/>
      <c r="Q3" s="177"/>
      <c r="R3" s="178"/>
      <c r="S3" s="173"/>
      <c r="T3" s="179"/>
      <c r="U3" s="145"/>
    </row>
    <row r="4" spans="1:21" ht="15" customHeight="1">
      <c r="A4" s="181" t="s">
        <v>2748</v>
      </c>
      <c r="B4" s="114" t="str">
        <f>VLOOKUP(A4,'Data pick slip'!B:F,5,FALSE)</f>
        <v>KHJ-MC400-00</v>
      </c>
      <c r="C4" s="169" t="s">
        <v>2745</v>
      </c>
      <c r="D4" s="311" t="s">
        <v>2746</v>
      </c>
      <c r="E4" s="281" t="s">
        <v>2745</v>
      </c>
      <c r="F4" s="170" t="s">
        <v>1381</v>
      </c>
      <c r="G4" s="171">
        <v>61</v>
      </c>
      <c r="H4" s="172"/>
      <c r="I4" s="174"/>
      <c r="J4" s="173"/>
      <c r="K4" s="174"/>
      <c r="L4" s="175"/>
      <c r="M4" s="174"/>
      <c r="N4" s="176"/>
      <c r="O4" s="176"/>
      <c r="P4" s="173"/>
      <c r="Q4" s="177"/>
      <c r="R4" s="178"/>
      <c r="S4" s="173"/>
      <c r="T4" s="179"/>
      <c r="U4" s="145"/>
    </row>
    <row r="5" spans="1:21" ht="15" customHeight="1">
      <c r="A5" s="181" t="s">
        <v>2749</v>
      </c>
      <c r="B5" s="114" t="str">
        <f>VLOOKUP(A5,'Data pick slip'!B:F,5,FALSE)</f>
        <v>KHJ-MC500-00</v>
      </c>
      <c r="C5" s="169" t="s">
        <v>2745</v>
      </c>
      <c r="D5" s="311" t="s">
        <v>2746</v>
      </c>
      <c r="E5" s="281" t="s">
        <v>2745</v>
      </c>
      <c r="F5" s="170" t="s">
        <v>1381</v>
      </c>
      <c r="G5" s="171">
        <v>98</v>
      </c>
      <c r="H5" s="172"/>
      <c r="I5" s="174"/>
      <c r="J5" s="173"/>
      <c r="K5" s="174"/>
      <c r="L5" s="175"/>
      <c r="M5" s="174"/>
      <c r="N5" s="176"/>
      <c r="O5" s="176"/>
      <c r="P5" s="173"/>
      <c r="Q5" s="177"/>
      <c r="R5" s="178"/>
      <c r="S5" s="173"/>
      <c r="T5" s="179"/>
      <c r="U5" s="145"/>
    </row>
    <row r="6" spans="1:21" ht="15" customHeight="1">
      <c r="A6" s="181" t="s">
        <v>2750</v>
      </c>
      <c r="B6" s="114" t="str">
        <f>VLOOKUP(A6,'Data pick slip'!B:F,5,FALSE)</f>
        <v>KHJ-MC600-00</v>
      </c>
      <c r="C6" s="169" t="s">
        <v>2745</v>
      </c>
      <c r="D6" s="311" t="s">
        <v>2746</v>
      </c>
      <c r="E6" s="281" t="s">
        <v>2745</v>
      </c>
      <c r="F6" s="170" t="s">
        <v>1381</v>
      </c>
      <c r="G6" s="171">
        <v>17</v>
      </c>
      <c r="H6" s="172"/>
      <c r="I6" s="174"/>
      <c r="J6" s="173"/>
      <c r="K6" s="174"/>
      <c r="L6" s="175"/>
      <c r="M6" s="174"/>
      <c r="N6" s="176"/>
      <c r="O6" s="176"/>
      <c r="P6" s="173"/>
      <c r="Q6" s="177"/>
      <c r="R6" s="178"/>
      <c r="S6" s="173"/>
      <c r="T6" s="179"/>
      <c r="U6" s="145"/>
    </row>
    <row r="7" spans="1:21" ht="15" customHeight="1">
      <c r="A7" s="181" t="s">
        <v>2751</v>
      </c>
      <c r="B7" s="114" t="str">
        <f>VLOOKUP(A7,'Data pick slip'!B:F,5,FALSE)</f>
        <v>KHJ-MC700-00</v>
      </c>
      <c r="C7" s="169" t="s">
        <v>2745</v>
      </c>
      <c r="D7" s="311" t="s">
        <v>2746</v>
      </c>
      <c r="E7" s="281" t="s">
        <v>2745</v>
      </c>
      <c r="F7" s="170" t="s">
        <v>1381</v>
      </c>
      <c r="G7" s="171">
        <v>0</v>
      </c>
      <c r="H7" s="172"/>
      <c r="I7" s="174"/>
      <c r="J7" s="173"/>
      <c r="K7" s="174"/>
      <c r="L7" s="175"/>
      <c r="M7" s="174"/>
      <c r="N7" s="176"/>
      <c r="O7" s="176"/>
      <c r="P7" s="173"/>
      <c r="Q7" s="177"/>
      <c r="R7" s="178"/>
      <c r="S7" s="173"/>
      <c r="T7" s="179"/>
      <c r="U7" s="145"/>
    </row>
    <row r="8" spans="1:21" ht="15" customHeight="1">
      <c r="A8" s="181" t="s">
        <v>2752</v>
      </c>
      <c r="B8" s="114" t="str">
        <f>VLOOKUP(A8,'Data pick slip'!B:F,5,FALSE)</f>
        <v>KHJ-MC800-00</v>
      </c>
      <c r="C8" s="169" t="s">
        <v>2745</v>
      </c>
      <c r="D8" s="311" t="s">
        <v>2746</v>
      </c>
      <c r="E8" s="281" t="s">
        <v>2745</v>
      </c>
      <c r="F8" s="170" t="s">
        <v>1381</v>
      </c>
      <c r="G8" s="171">
        <v>0</v>
      </c>
      <c r="H8" s="172"/>
      <c r="I8" s="174"/>
      <c r="J8" s="173"/>
      <c r="K8" s="174"/>
      <c r="L8" s="175"/>
      <c r="M8" s="174"/>
      <c r="N8" s="176"/>
      <c r="O8" s="176"/>
      <c r="P8" s="173"/>
      <c r="Q8" s="177"/>
      <c r="R8" s="178"/>
      <c r="S8" s="173"/>
      <c r="T8" s="179"/>
      <c r="U8" s="145"/>
    </row>
    <row r="9" spans="1:21" ht="15" customHeight="1">
      <c r="A9" s="181" t="s">
        <v>2744</v>
      </c>
      <c r="B9" s="114" t="str">
        <f>VLOOKUP(A9,'Data pick slip'!B:F,5,FALSE)</f>
        <v>KHJ-MC100-00</v>
      </c>
      <c r="C9" s="169" t="s">
        <v>2745</v>
      </c>
      <c r="D9" s="311" t="s">
        <v>2746</v>
      </c>
      <c r="E9" s="281" t="s">
        <v>2745</v>
      </c>
      <c r="F9" s="170" t="s">
        <v>2753</v>
      </c>
      <c r="G9" s="171">
        <v>5489</v>
      </c>
      <c r="H9" s="172"/>
      <c r="I9" s="174"/>
      <c r="J9" s="173"/>
      <c r="K9" s="174"/>
      <c r="L9" s="175"/>
      <c r="M9" s="174"/>
      <c r="N9" s="176"/>
      <c r="O9" s="176"/>
      <c r="P9" s="173"/>
      <c r="Q9" s="177"/>
      <c r="R9" s="178"/>
      <c r="S9" s="173"/>
      <c r="T9" s="179"/>
      <c r="U9" s="145"/>
    </row>
    <row r="10" spans="1:21" ht="15" customHeight="1">
      <c r="A10" s="181" t="s">
        <v>2747</v>
      </c>
      <c r="B10" s="114" t="str">
        <f>VLOOKUP(A10,'Data pick slip'!B:F,5,FALSE)</f>
        <v>KHJ-MC200-00</v>
      </c>
      <c r="C10" s="169" t="s">
        <v>2745</v>
      </c>
      <c r="D10" s="311" t="s">
        <v>2746</v>
      </c>
      <c r="E10" s="281" t="s">
        <v>2745</v>
      </c>
      <c r="F10" s="170" t="s">
        <v>2753</v>
      </c>
      <c r="G10" s="171">
        <v>896</v>
      </c>
      <c r="H10" s="172"/>
      <c r="I10" s="174"/>
      <c r="J10" s="173"/>
      <c r="K10" s="174"/>
      <c r="L10" s="175"/>
      <c r="M10" s="174"/>
      <c r="N10" s="176"/>
      <c r="O10" s="176"/>
      <c r="P10" s="173"/>
      <c r="Q10" s="177"/>
      <c r="R10" s="178"/>
      <c r="S10" s="173"/>
      <c r="T10" s="179"/>
      <c r="U10" s="145"/>
    </row>
    <row r="11" spans="1:21" ht="15" customHeight="1">
      <c r="A11" s="181" t="s">
        <v>2748</v>
      </c>
      <c r="B11" s="114" t="str">
        <f>VLOOKUP(A11,'Data pick slip'!B:F,5,FALSE)</f>
        <v>KHJ-MC400-00</v>
      </c>
      <c r="C11" s="169" t="s">
        <v>2745</v>
      </c>
      <c r="D11" s="311" t="s">
        <v>2746</v>
      </c>
      <c r="E11" s="281" t="s">
        <v>2745</v>
      </c>
      <c r="F11" s="170" t="s">
        <v>2753</v>
      </c>
      <c r="G11" s="171">
        <v>278</v>
      </c>
      <c r="H11" s="172"/>
      <c r="I11" s="174"/>
      <c r="J11" s="173"/>
      <c r="K11" s="174"/>
      <c r="L11" s="175"/>
      <c r="M11" s="174"/>
      <c r="N11" s="176"/>
      <c r="O11" s="176"/>
      <c r="P11" s="173"/>
      <c r="Q11" s="177"/>
      <c r="R11" s="178"/>
      <c r="S11" s="173"/>
      <c r="T11" s="179"/>
      <c r="U11" s="145"/>
    </row>
    <row r="12" spans="1:21" ht="15" customHeight="1">
      <c r="A12" s="181" t="s">
        <v>2749</v>
      </c>
      <c r="B12" s="114" t="str">
        <f>VLOOKUP(A12,'Data pick slip'!B:F,5,FALSE)</f>
        <v>KHJ-MC500-00</v>
      </c>
      <c r="C12" s="169" t="s">
        <v>2745</v>
      </c>
      <c r="D12" s="311" t="s">
        <v>2746</v>
      </c>
      <c r="E12" s="281" t="s">
        <v>2745</v>
      </c>
      <c r="F12" s="170" t="s">
        <v>2753</v>
      </c>
      <c r="G12" s="171">
        <v>183</v>
      </c>
      <c r="H12" s="172"/>
      <c r="I12" s="174"/>
      <c r="J12" s="173"/>
      <c r="K12" s="174"/>
      <c r="L12" s="175"/>
      <c r="M12" s="174"/>
      <c r="N12" s="176"/>
      <c r="O12" s="176"/>
      <c r="P12" s="173"/>
      <c r="Q12" s="177"/>
      <c r="R12" s="178"/>
      <c r="S12" s="173"/>
      <c r="T12" s="179"/>
      <c r="U12" s="145"/>
    </row>
    <row r="13" spans="1:21" ht="15" customHeight="1">
      <c r="A13" s="181" t="s">
        <v>2750</v>
      </c>
      <c r="B13" s="114" t="str">
        <f>VLOOKUP(A13,'Data pick slip'!B:F,5,FALSE)</f>
        <v>KHJ-MC600-00</v>
      </c>
      <c r="C13" s="169" t="s">
        <v>2745</v>
      </c>
      <c r="D13" s="311" t="s">
        <v>2746</v>
      </c>
      <c r="E13" s="281" t="s">
        <v>2745</v>
      </c>
      <c r="F13" s="170" t="s">
        <v>2753</v>
      </c>
      <c r="G13" s="171">
        <v>92</v>
      </c>
      <c r="H13" s="172"/>
      <c r="I13" s="174"/>
      <c r="J13" s="173"/>
      <c r="K13" s="174"/>
      <c r="L13" s="175"/>
      <c r="M13" s="174"/>
      <c r="N13" s="176"/>
      <c r="O13" s="176"/>
      <c r="P13" s="173"/>
      <c r="Q13" s="177"/>
      <c r="R13" s="178"/>
      <c r="S13" s="173"/>
      <c r="T13" s="179"/>
      <c r="U13" s="145"/>
    </row>
    <row r="14" spans="1:21" ht="15" customHeight="1">
      <c r="A14" s="181" t="s">
        <v>2751</v>
      </c>
      <c r="B14" s="114" t="str">
        <f>VLOOKUP(A14,'Data pick slip'!B:F,5,FALSE)</f>
        <v>KHJ-MC700-00</v>
      </c>
      <c r="C14" s="169" t="s">
        <v>2745</v>
      </c>
      <c r="D14" s="311" t="s">
        <v>2746</v>
      </c>
      <c r="E14" s="281" t="s">
        <v>2745</v>
      </c>
      <c r="F14" s="170" t="s">
        <v>2753</v>
      </c>
      <c r="G14" s="171">
        <v>13</v>
      </c>
      <c r="H14" s="172"/>
      <c r="I14" s="174"/>
      <c r="J14" s="173"/>
      <c r="K14" s="174"/>
      <c r="L14" s="175"/>
      <c r="M14" s="174"/>
      <c r="N14" s="176"/>
      <c r="O14" s="176"/>
      <c r="P14" s="173"/>
      <c r="Q14" s="177"/>
      <c r="R14" s="178"/>
      <c r="S14" s="173"/>
      <c r="T14" s="179"/>
      <c r="U14" s="145"/>
    </row>
    <row r="15" spans="1:21" ht="15" customHeight="1">
      <c r="A15" s="181" t="s">
        <v>2752</v>
      </c>
      <c r="B15" s="114" t="str">
        <f>VLOOKUP(A15,'Data pick slip'!B:F,5,FALSE)</f>
        <v>KHJ-MC800-00</v>
      </c>
      <c r="C15" s="169" t="s">
        <v>2745</v>
      </c>
      <c r="D15" s="311" t="s">
        <v>2746</v>
      </c>
      <c r="E15" s="281" t="s">
        <v>2745</v>
      </c>
      <c r="F15" s="170" t="s">
        <v>2753</v>
      </c>
      <c r="G15" s="171">
        <v>1</v>
      </c>
      <c r="H15" s="172"/>
      <c r="I15" s="174"/>
      <c r="J15" s="173"/>
      <c r="K15" s="174"/>
      <c r="L15" s="175"/>
      <c r="M15" s="174"/>
      <c r="N15" s="176"/>
      <c r="O15" s="176"/>
      <c r="P15" s="173"/>
      <c r="Q15" s="177"/>
      <c r="R15" s="178"/>
      <c r="S15" s="173"/>
      <c r="T15" s="179"/>
      <c r="U15" s="145"/>
    </row>
    <row r="16" spans="1:21" ht="15" customHeight="1">
      <c r="A16" s="181" t="s">
        <v>2754</v>
      </c>
      <c r="B16" s="114" t="str">
        <f>VLOOKUP(A16,'Data pick slip'!B:F,5,FALSE)</f>
        <v>KLJ-MCN00-20</v>
      </c>
      <c r="C16" s="169" t="s">
        <v>2745</v>
      </c>
      <c r="D16" s="311" t="s">
        <v>2746</v>
      </c>
      <c r="E16" s="281" t="s">
        <v>2745</v>
      </c>
      <c r="F16" s="170" t="s">
        <v>1381</v>
      </c>
      <c r="G16" s="171">
        <v>2</v>
      </c>
      <c r="H16" s="172"/>
      <c r="I16" s="174"/>
      <c r="J16" s="173"/>
      <c r="K16" s="174"/>
      <c r="L16" s="175"/>
      <c r="M16" s="174"/>
      <c r="N16" s="176"/>
      <c r="O16" s="176"/>
      <c r="P16" s="173"/>
      <c r="Q16" s="177"/>
      <c r="R16" s="178"/>
      <c r="S16" s="173"/>
      <c r="T16" s="179"/>
      <c r="U16" s="145"/>
    </row>
    <row r="17" spans="1:21" ht="15" customHeight="1">
      <c r="A17" s="181" t="s">
        <v>2755</v>
      </c>
      <c r="B17" s="114" t="str">
        <f>VLOOKUP(A17,'Data pick slip'!B:F,5,FALSE)</f>
        <v>KLJ-MC100-00</v>
      </c>
      <c r="C17" s="169" t="s">
        <v>2745</v>
      </c>
      <c r="D17" s="311" t="s">
        <v>2746</v>
      </c>
      <c r="E17" s="281" t="s">
        <v>2745</v>
      </c>
      <c r="F17" s="170" t="s">
        <v>1381</v>
      </c>
      <c r="G17" s="171">
        <v>928</v>
      </c>
      <c r="H17" s="172"/>
      <c r="I17" s="174"/>
      <c r="J17" s="173"/>
      <c r="K17" s="174"/>
      <c r="L17" s="175"/>
      <c r="M17" s="174"/>
      <c r="N17" s="176"/>
      <c r="O17" s="176"/>
      <c r="P17" s="173"/>
      <c r="Q17" s="177"/>
      <c r="R17" s="178"/>
      <c r="S17" s="173"/>
      <c r="T17" s="179"/>
      <c r="U17" s="145"/>
    </row>
    <row r="18" spans="1:21" ht="15" customHeight="1">
      <c r="A18" s="181" t="s">
        <v>2756</v>
      </c>
      <c r="B18" s="114" t="str">
        <f>VLOOKUP(A18,'Data pick slip'!B:F,5,FALSE)</f>
        <v>KLJ-MC200-00</v>
      </c>
      <c r="C18" s="169" t="s">
        <v>2745</v>
      </c>
      <c r="D18" s="311" t="s">
        <v>2746</v>
      </c>
      <c r="E18" s="281" t="s">
        <v>2745</v>
      </c>
      <c r="F18" s="170" t="s">
        <v>1381</v>
      </c>
      <c r="G18" s="171">
        <v>367</v>
      </c>
      <c r="H18" s="172"/>
      <c r="I18" s="174"/>
      <c r="J18" s="173"/>
      <c r="K18" s="174"/>
      <c r="L18" s="175"/>
      <c r="M18" s="174"/>
      <c r="N18" s="176"/>
      <c r="O18" s="176"/>
      <c r="P18" s="173"/>
      <c r="Q18" s="177"/>
      <c r="R18" s="178"/>
      <c r="S18" s="173"/>
      <c r="T18" s="179"/>
      <c r="U18" s="145"/>
    </row>
    <row r="19" spans="1:21" ht="15" customHeight="1">
      <c r="A19" s="181" t="s">
        <v>2757</v>
      </c>
      <c r="B19" s="114" t="str">
        <f>VLOOKUP(A19,'Data pick slip'!B:F,5,FALSE)</f>
        <v>KLJ-MC400-00</v>
      </c>
      <c r="C19" s="169" t="s">
        <v>2745</v>
      </c>
      <c r="D19" s="311" t="s">
        <v>2746</v>
      </c>
      <c r="E19" s="281" t="s">
        <v>2745</v>
      </c>
      <c r="F19" s="170" t="s">
        <v>1381</v>
      </c>
      <c r="G19" s="171">
        <v>82</v>
      </c>
      <c r="H19" s="172"/>
      <c r="I19" s="174"/>
      <c r="J19" s="173"/>
      <c r="K19" s="174"/>
      <c r="L19" s="175"/>
      <c r="M19" s="174"/>
      <c r="N19" s="176"/>
      <c r="O19" s="176"/>
      <c r="P19" s="173"/>
      <c r="Q19" s="177"/>
      <c r="R19" s="178"/>
      <c r="S19" s="173"/>
      <c r="T19" s="179"/>
      <c r="U19" s="145"/>
    </row>
    <row r="20" spans="1:21" ht="15" customHeight="1">
      <c r="A20" s="181" t="s">
        <v>2758</v>
      </c>
      <c r="B20" s="114" t="str">
        <f>VLOOKUP(A20,'Data pick slip'!B:F,5,FALSE)</f>
        <v>KLJ-MC500-00</v>
      </c>
      <c r="C20" s="169" t="s">
        <v>2745</v>
      </c>
      <c r="D20" s="311" t="s">
        <v>2746</v>
      </c>
      <c r="E20" s="281" t="s">
        <v>2745</v>
      </c>
      <c r="F20" s="170" t="s">
        <v>1381</v>
      </c>
      <c r="G20" s="171">
        <v>23</v>
      </c>
      <c r="H20" s="172"/>
      <c r="I20" s="174"/>
      <c r="J20" s="173"/>
      <c r="K20" s="174"/>
      <c r="L20" s="175"/>
      <c r="M20" s="174"/>
      <c r="N20" s="176"/>
      <c r="O20" s="176"/>
      <c r="P20" s="173"/>
      <c r="Q20" s="177"/>
      <c r="R20" s="178"/>
      <c r="S20" s="173"/>
      <c r="T20" s="179"/>
      <c r="U20" s="145"/>
    </row>
    <row r="21" spans="1:21" ht="15" customHeight="1">
      <c r="A21" s="181" t="s">
        <v>2759</v>
      </c>
      <c r="B21" s="114" t="str">
        <f>VLOOKUP(A21,'Data pick slip'!B:F,5,FALSE)</f>
        <v>KLJ-MC600-00</v>
      </c>
      <c r="C21" s="169" t="s">
        <v>2745</v>
      </c>
      <c r="D21" s="311" t="s">
        <v>2746</v>
      </c>
      <c r="E21" s="281" t="s">
        <v>2745</v>
      </c>
      <c r="F21" s="170" t="s">
        <v>1381</v>
      </c>
      <c r="G21" s="171">
        <v>12</v>
      </c>
      <c r="H21" s="172"/>
      <c r="I21" s="174"/>
      <c r="J21" s="173"/>
      <c r="K21" s="174"/>
      <c r="L21" s="175"/>
      <c r="M21" s="174"/>
      <c r="N21" s="176"/>
      <c r="O21" s="176"/>
      <c r="P21" s="173"/>
      <c r="Q21" s="177"/>
      <c r="R21" s="178"/>
      <c r="S21" s="173"/>
      <c r="T21" s="179"/>
      <c r="U21" s="145"/>
    </row>
    <row r="22" spans="1:21" ht="15" customHeight="1">
      <c r="A22" s="181" t="s">
        <v>2760</v>
      </c>
      <c r="B22" s="114" t="str">
        <f>VLOOKUP(A22,'Data pick slip'!B:F,5,FALSE)</f>
        <v>KLJ-MC700-00</v>
      </c>
      <c r="C22" s="169" t="s">
        <v>2745</v>
      </c>
      <c r="D22" s="311" t="s">
        <v>2746</v>
      </c>
      <c r="E22" s="281" t="s">
        <v>2745</v>
      </c>
      <c r="F22" s="170" t="s">
        <v>1381</v>
      </c>
      <c r="G22" s="171">
        <v>3</v>
      </c>
      <c r="H22" s="172"/>
      <c r="I22" s="174"/>
      <c r="J22" s="173"/>
      <c r="K22" s="174"/>
      <c r="L22" s="175"/>
      <c r="M22" s="174"/>
      <c r="N22" s="176"/>
      <c r="O22" s="176"/>
      <c r="P22" s="173"/>
      <c r="Q22" s="177"/>
      <c r="R22" s="178"/>
      <c r="S22" s="173"/>
      <c r="T22" s="179"/>
      <c r="U22" s="145"/>
    </row>
    <row r="23" spans="1:21" ht="15" customHeight="1">
      <c r="A23" s="181" t="s">
        <v>2754</v>
      </c>
      <c r="B23" s="114" t="str">
        <f>VLOOKUP(A23,'Data pick slip'!B:F,5,FALSE)</f>
        <v>KLJ-MCN00-20</v>
      </c>
      <c r="C23" s="169" t="s">
        <v>2745</v>
      </c>
      <c r="D23" s="311" t="s">
        <v>2746</v>
      </c>
      <c r="E23" s="281" t="s">
        <v>2745</v>
      </c>
      <c r="F23" s="170" t="s">
        <v>2753</v>
      </c>
      <c r="G23" s="171">
        <v>1</v>
      </c>
      <c r="H23" s="172"/>
      <c r="I23" s="174"/>
      <c r="J23" s="173"/>
      <c r="K23" s="174"/>
      <c r="L23" s="175"/>
      <c r="M23" s="174"/>
      <c r="N23" s="176"/>
      <c r="O23" s="176"/>
      <c r="P23" s="173"/>
      <c r="Q23" s="177"/>
      <c r="R23" s="178"/>
      <c r="S23" s="173"/>
      <c r="T23" s="179"/>
      <c r="U23" s="145"/>
    </row>
    <row r="24" spans="1:21" ht="15" customHeight="1">
      <c r="A24" s="181" t="s">
        <v>2755</v>
      </c>
      <c r="B24" s="114" t="str">
        <f>VLOOKUP(A24,'Data pick slip'!B:F,5,FALSE)</f>
        <v>KLJ-MC100-00</v>
      </c>
      <c r="C24" s="169" t="s">
        <v>2745</v>
      </c>
      <c r="D24" s="311" t="s">
        <v>2746</v>
      </c>
      <c r="E24" s="281" t="s">
        <v>2745</v>
      </c>
      <c r="F24" s="170" t="s">
        <v>2753</v>
      </c>
      <c r="G24" s="171">
        <v>361</v>
      </c>
      <c r="H24" s="172"/>
      <c r="I24" s="174"/>
      <c r="J24" s="173"/>
      <c r="K24" s="174"/>
      <c r="L24" s="175"/>
      <c r="M24" s="174"/>
      <c r="N24" s="176"/>
      <c r="O24" s="176"/>
      <c r="P24" s="173"/>
      <c r="Q24" s="177"/>
      <c r="R24" s="178"/>
      <c r="S24" s="173"/>
      <c r="T24" s="179"/>
      <c r="U24" s="145"/>
    </row>
    <row r="25" spans="1:21" ht="15" customHeight="1">
      <c r="A25" s="181" t="s">
        <v>2756</v>
      </c>
      <c r="B25" s="114" t="str">
        <f>VLOOKUP(A25,'Data pick slip'!B:F,5,FALSE)</f>
        <v>KLJ-MC200-00</v>
      </c>
      <c r="C25" s="169" t="s">
        <v>2745</v>
      </c>
      <c r="D25" s="311" t="s">
        <v>2746</v>
      </c>
      <c r="E25" s="281" t="s">
        <v>2745</v>
      </c>
      <c r="F25" s="170" t="s">
        <v>2753</v>
      </c>
      <c r="G25" s="171">
        <v>108</v>
      </c>
      <c r="H25" s="172"/>
      <c r="I25" s="174"/>
      <c r="J25" s="173"/>
      <c r="K25" s="174"/>
      <c r="L25" s="175"/>
      <c r="M25" s="174"/>
      <c r="N25" s="176"/>
      <c r="O25" s="176"/>
      <c r="P25" s="173"/>
      <c r="Q25" s="177"/>
      <c r="R25" s="178"/>
      <c r="S25" s="173"/>
      <c r="T25" s="179"/>
      <c r="U25" s="145"/>
    </row>
    <row r="26" spans="1:21" ht="15" customHeight="1">
      <c r="A26" s="181" t="s">
        <v>2757</v>
      </c>
      <c r="B26" s="114" t="str">
        <f>VLOOKUP(A26,'Data pick slip'!B:F,5,FALSE)</f>
        <v>KLJ-MC400-00</v>
      </c>
      <c r="C26" s="169" t="s">
        <v>2745</v>
      </c>
      <c r="D26" s="311" t="s">
        <v>2746</v>
      </c>
      <c r="E26" s="281" t="s">
        <v>2745</v>
      </c>
      <c r="F26" s="170" t="s">
        <v>2753</v>
      </c>
      <c r="G26" s="171">
        <v>78</v>
      </c>
      <c r="H26" s="172"/>
      <c r="I26" s="174"/>
      <c r="J26" s="173"/>
      <c r="K26" s="174"/>
      <c r="L26" s="175"/>
      <c r="M26" s="174"/>
      <c r="N26" s="176"/>
      <c r="O26" s="176"/>
      <c r="P26" s="173"/>
      <c r="Q26" s="177"/>
      <c r="R26" s="178"/>
      <c r="S26" s="173"/>
      <c r="T26" s="179"/>
      <c r="U26" s="145"/>
    </row>
    <row r="27" spans="1:21" ht="15" customHeight="1">
      <c r="A27" s="181" t="s">
        <v>2758</v>
      </c>
      <c r="B27" s="114" t="str">
        <f>VLOOKUP(A27,'Data pick slip'!B:F,5,FALSE)</f>
        <v>KLJ-MC500-00</v>
      </c>
      <c r="C27" s="169" t="s">
        <v>2745</v>
      </c>
      <c r="D27" s="311" t="s">
        <v>2746</v>
      </c>
      <c r="E27" s="281" t="s">
        <v>2745</v>
      </c>
      <c r="F27" s="170" t="s">
        <v>2753</v>
      </c>
      <c r="G27" s="171">
        <v>32</v>
      </c>
      <c r="H27" s="172"/>
      <c r="I27" s="174"/>
      <c r="J27" s="173"/>
      <c r="K27" s="174"/>
      <c r="L27" s="175"/>
      <c r="M27" s="174"/>
      <c r="N27" s="176"/>
      <c r="O27" s="176"/>
      <c r="P27" s="173"/>
      <c r="Q27" s="177"/>
      <c r="R27" s="178"/>
      <c r="S27" s="173"/>
      <c r="T27" s="179"/>
      <c r="U27" s="145"/>
    </row>
    <row r="28" spans="1:21" ht="15" customHeight="1">
      <c r="A28" s="181" t="s">
        <v>2759</v>
      </c>
      <c r="B28" s="114" t="str">
        <f>VLOOKUP(A28,'Data pick slip'!B:F,5,FALSE)</f>
        <v>KLJ-MC600-00</v>
      </c>
      <c r="C28" s="169" t="s">
        <v>2745</v>
      </c>
      <c r="D28" s="311" t="s">
        <v>2746</v>
      </c>
      <c r="E28" s="281" t="s">
        <v>2745</v>
      </c>
      <c r="F28" s="170" t="s">
        <v>2753</v>
      </c>
      <c r="G28" s="171">
        <v>8</v>
      </c>
      <c r="H28" s="172"/>
      <c r="I28" s="174"/>
      <c r="J28" s="173"/>
      <c r="K28" s="174"/>
      <c r="L28" s="175"/>
      <c r="M28" s="174"/>
      <c r="N28" s="176"/>
      <c r="O28" s="176"/>
      <c r="P28" s="173"/>
      <c r="Q28" s="177"/>
      <c r="R28" s="178"/>
      <c r="S28" s="173"/>
      <c r="T28" s="179"/>
      <c r="U28" s="145"/>
    </row>
    <row r="29" spans="1:21" ht="15" customHeight="1">
      <c r="A29" s="181" t="s">
        <v>2760</v>
      </c>
      <c r="B29" s="114" t="str">
        <f>VLOOKUP(A29,'Data pick slip'!B:F,5,FALSE)</f>
        <v>KLJ-MC700-00</v>
      </c>
      <c r="C29" s="169" t="s">
        <v>2745</v>
      </c>
      <c r="D29" s="311" t="s">
        <v>2746</v>
      </c>
      <c r="E29" s="281" t="s">
        <v>2745</v>
      </c>
      <c r="F29" s="170" t="s">
        <v>2753</v>
      </c>
      <c r="G29" s="171">
        <v>1</v>
      </c>
      <c r="H29" s="172"/>
      <c r="I29" s="174"/>
      <c r="J29" s="173"/>
      <c r="K29" s="174"/>
      <c r="L29" s="175"/>
      <c r="M29" s="174"/>
      <c r="N29" s="176"/>
      <c r="O29" s="176"/>
      <c r="P29" s="173"/>
      <c r="Q29" s="177"/>
      <c r="R29" s="178"/>
      <c r="S29" s="173"/>
      <c r="T29" s="179"/>
      <c r="U29" s="145"/>
    </row>
    <row r="30" spans="1:21" ht="15" customHeight="1">
      <c r="A30" s="181" t="s">
        <v>2761</v>
      </c>
      <c r="B30" s="114" t="str">
        <f>VLOOKUP(A30,'Data pick slip'!B:F,5,FALSE)</f>
        <v>KLJ-MC800-00</v>
      </c>
      <c r="C30" s="169">
        <v>111247</v>
      </c>
      <c r="D30" s="169" t="str">
        <f>VLOOKUP(C30,Stock_list!D:L,2,FALSE)</f>
        <v>耕创名义下单</v>
      </c>
      <c r="E30" s="281">
        <f>VLOOKUP(C30,Stock_list!D:L,9,FALSE)</f>
        <v>45054</v>
      </c>
      <c r="F30" s="170" t="s">
        <v>2753</v>
      </c>
      <c r="G30" s="171">
        <v>1</v>
      </c>
      <c r="H30" s="172"/>
      <c r="I30" s="174"/>
      <c r="J30" s="173"/>
      <c r="K30" s="174"/>
      <c r="L30" s="175"/>
      <c r="M30" s="174"/>
      <c r="N30" s="176"/>
      <c r="O30" s="176"/>
      <c r="P30" s="173"/>
      <c r="Q30" s="177"/>
      <c r="R30" s="178"/>
      <c r="S30" s="173"/>
      <c r="T30" s="179"/>
      <c r="U30" s="145"/>
    </row>
    <row r="31" spans="1:21" ht="15" customHeight="1">
      <c r="A31" s="181" t="s">
        <v>2744</v>
      </c>
      <c r="B31" s="114" t="str">
        <f>VLOOKUP(A31,'Data pick slip'!B:F,5,FALSE)</f>
        <v>KHJ-MC100-00</v>
      </c>
      <c r="C31" s="169"/>
      <c r="D31" s="169"/>
      <c r="E31" s="281" t="s">
        <v>3858</v>
      </c>
      <c r="F31" s="170" t="s">
        <v>2753</v>
      </c>
      <c r="G31" s="171">
        <v>80</v>
      </c>
      <c r="H31" s="172"/>
      <c r="I31" s="174"/>
      <c r="J31" s="173"/>
      <c r="K31" s="174"/>
      <c r="L31" s="175"/>
      <c r="M31" s="174"/>
      <c r="N31" s="176"/>
      <c r="O31" s="176"/>
      <c r="P31" s="173"/>
      <c r="Q31" s="177"/>
      <c r="R31" s="178"/>
      <c r="S31" s="173"/>
      <c r="T31" s="179"/>
      <c r="U31" s="145"/>
    </row>
    <row r="32" spans="1:21" ht="15" customHeight="1">
      <c r="A32" s="181" t="s">
        <v>2747</v>
      </c>
      <c r="B32" s="114" t="str">
        <f>VLOOKUP(A32,'Data pick slip'!B:F,5,FALSE)</f>
        <v>KHJ-MC200-00</v>
      </c>
      <c r="C32" s="169"/>
      <c r="D32" s="169"/>
      <c r="E32" s="281" t="s">
        <v>3858</v>
      </c>
      <c r="F32" s="170" t="s">
        <v>2753</v>
      </c>
      <c r="G32" s="171">
        <v>8</v>
      </c>
      <c r="H32" s="172"/>
      <c r="I32" s="174"/>
      <c r="J32" s="173"/>
      <c r="K32" s="174"/>
      <c r="L32" s="175"/>
      <c r="M32" s="174"/>
      <c r="N32" s="176"/>
      <c r="O32" s="176"/>
      <c r="P32" s="173"/>
      <c r="Q32" s="177"/>
      <c r="R32" s="178"/>
      <c r="S32" s="173"/>
      <c r="T32" s="179"/>
      <c r="U32" s="145"/>
    </row>
    <row r="33" spans="1:21" ht="15" customHeight="1">
      <c r="A33" s="181" t="s">
        <v>2750</v>
      </c>
      <c r="B33" s="114" t="str">
        <f>VLOOKUP(A33,'Data pick slip'!B:F,5,FALSE)</f>
        <v>KHJ-MC600-00</v>
      </c>
      <c r="C33" s="169"/>
      <c r="D33" s="169"/>
      <c r="E33" s="281" t="s">
        <v>3858</v>
      </c>
      <c r="F33" s="170" t="s">
        <v>2753</v>
      </c>
      <c r="G33" s="171">
        <v>1</v>
      </c>
      <c r="H33" s="172"/>
      <c r="I33" s="174"/>
      <c r="J33" s="173"/>
      <c r="K33" s="174"/>
      <c r="L33" s="175"/>
      <c r="M33" s="174"/>
      <c r="N33" s="176"/>
      <c r="O33" s="176"/>
      <c r="P33" s="173"/>
      <c r="Q33" s="177"/>
      <c r="R33" s="178"/>
      <c r="S33" s="173"/>
      <c r="T33" s="179"/>
      <c r="U33" s="145"/>
    </row>
    <row r="34" spans="1:21" ht="15" customHeight="1">
      <c r="A34" s="181" t="s">
        <v>2744</v>
      </c>
      <c r="B34" s="114" t="str">
        <f>VLOOKUP(A34,'Data pick slip'!B:F,5,FALSE)</f>
        <v>KHJ-MC100-00</v>
      </c>
      <c r="C34" s="169"/>
      <c r="D34" s="169"/>
      <c r="E34" s="281" t="s">
        <v>3899</v>
      </c>
      <c r="F34" s="170" t="s">
        <v>2753</v>
      </c>
      <c r="G34" s="171">
        <v>167</v>
      </c>
      <c r="H34" s="172"/>
      <c r="I34" s="174"/>
      <c r="J34" s="173"/>
      <c r="K34" s="174"/>
      <c r="L34" s="175"/>
      <c r="M34" s="174"/>
      <c r="N34" s="176"/>
      <c r="O34" s="176"/>
      <c r="P34" s="173"/>
      <c r="Q34" s="177"/>
      <c r="R34" s="178"/>
      <c r="S34" s="173"/>
      <c r="T34" s="179"/>
      <c r="U34" s="145" t="e">
        <f>VLOOKUP(H34,Stock_list!A:N,14,FALSE)</f>
        <v>#N/A</v>
      </c>
    </row>
    <row r="35" spans="1:21" ht="15" customHeight="1">
      <c r="A35" s="181" t="s">
        <v>2747</v>
      </c>
      <c r="B35" s="114" t="str">
        <f>VLOOKUP(A35,'Data pick slip'!B:F,5,FALSE)</f>
        <v>KHJ-MC200-00</v>
      </c>
      <c r="C35" s="169"/>
      <c r="D35" s="169"/>
      <c r="E35" s="281" t="s">
        <v>3899</v>
      </c>
      <c r="F35" s="170" t="s">
        <v>2753</v>
      </c>
      <c r="G35" s="171">
        <v>80</v>
      </c>
      <c r="H35" s="172"/>
      <c r="I35" s="174"/>
      <c r="J35" s="173"/>
      <c r="K35" s="174"/>
      <c r="L35" s="175"/>
      <c r="M35" s="174"/>
      <c r="N35" s="176"/>
      <c r="O35" s="176"/>
      <c r="P35" s="173"/>
      <c r="Q35" s="177"/>
      <c r="R35" s="178"/>
      <c r="S35" s="173"/>
      <c r="T35" s="179"/>
      <c r="U35" s="145" t="e">
        <f>VLOOKUP(H35,Stock_list!A:N,14,FALSE)</f>
        <v>#N/A</v>
      </c>
    </row>
    <row r="36" spans="1:21" ht="15" customHeight="1">
      <c r="A36" s="181" t="s">
        <v>2748</v>
      </c>
      <c r="B36" s="114" t="str">
        <f>VLOOKUP(A36,'Data pick slip'!B:F,5,FALSE)</f>
        <v>KHJ-MC400-00</v>
      </c>
      <c r="C36" s="169"/>
      <c r="D36" s="169"/>
      <c r="E36" s="281" t="s">
        <v>3899</v>
      </c>
      <c r="F36" s="170" t="s">
        <v>2753</v>
      </c>
      <c r="G36" s="171">
        <v>23</v>
      </c>
      <c r="H36" s="172"/>
      <c r="I36" s="174"/>
      <c r="J36" s="173"/>
      <c r="K36" s="174"/>
      <c r="L36" s="175"/>
      <c r="M36" s="174"/>
      <c r="N36" s="176"/>
      <c r="O36" s="176"/>
      <c r="P36" s="173"/>
      <c r="Q36" s="177"/>
      <c r="R36" s="178"/>
      <c r="S36" s="173"/>
      <c r="T36" s="179"/>
      <c r="U36" s="145" t="e">
        <f>VLOOKUP(H36,Stock_list!A:N,14,FALSE)</f>
        <v>#N/A</v>
      </c>
    </row>
    <row r="37" spans="1:21" ht="15" customHeight="1">
      <c r="A37" s="181" t="s">
        <v>2749</v>
      </c>
      <c r="B37" s="114" t="str">
        <f>VLOOKUP(A37,'Data pick slip'!B:F,5,FALSE)</f>
        <v>KHJ-MC500-00</v>
      </c>
      <c r="C37" s="169"/>
      <c r="D37" s="169"/>
      <c r="E37" s="281" t="s">
        <v>3899</v>
      </c>
      <c r="F37" s="170" t="s">
        <v>2753</v>
      </c>
      <c r="G37" s="171">
        <v>4</v>
      </c>
      <c r="H37" s="172"/>
      <c r="I37" s="174"/>
      <c r="J37" s="173"/>
      <c r="K37" s="174"/>
      <c r="L37" s="175"/>
      <c r="M37" s="174"/>
      <c r="N37" s="176"/>
      <c r="O37" s="176"/>
      <c r="P37" s="173"/>
      <c r="Q37" s="177"/>
      <c r="R37" s="178"/>
      <c r="S37" s="173"/>
      <c r="T37" s="179"/>
      <c r="U37" s="145" t="e">
        <f>VLOOKUP(H37,Stock_list!A:N,14,FALSE)</f>
        <v>#N/A</v>
      </c>
    </row>
    <row r="38" spans="1:21" ht="15" customHeight="1">
      <c r="A38" s="181" t="s">
        <v>2744</v>
      </c>
      <c r="B38" s="114" t="str">
        <f>VLOOKUP(A38,'Data pick slip'!B:F,5,FALSE)</f>
        <v>KHJ-MC100-00</v>
      </c>
      <c r="C38" s="169"/>
      <c r="D38" s="169"/>
      <c r="E38" s="281" t="s">
        <v>3949</v>
      </c>
      <c r="F38" s="170" t="s">
        <v>2753</v>
      </c>
      <c r="G38" s="171">
        <v>82</v>
      </c>
      <c r="H38" s="172"/>
      <c r="I38" s="174"/>
      <c r="J38" s="173"/>
      <c r="K38" s="174"/>
      <c r="L38" s="175"/>
      <c r="M38" s="174"/>
      <c r="N38" s="176"/>
      <c r="O38" s="176"/>
      <c r="P38" s="173"/>
      <c r="Q38" s="177"/>
      <c r="R38" s="178"/>
      <c r="S38" s="173"/>
      <c r="T38" s="179"/>
      <c r="U38" s="145"/>
    </row>
    <row r="39" spans="1:21" ht="15" customHeight="1">
      <c r="A39" s="181" t="s">
        <v>2747</v>
      </c>
      <c r="B39" s="114" t="str">
        <f>VLOOKUP(A39,'Data pick slip'!B:F,5,FALSE)</f>
        <v>KHJ-MC200-00</v>
      </c>
      <c r="C39" s="169"/>
      <c r="D39" s="169"/>
      <c r="E39" s="281" t="s">
        <v>3949</v>
      </c>
      <c r="F39" s="170" t="s">
        <v>2753</v>
      </c>
      <c r="G39" s="171">
        <v>10</v>
      </c>
      <c r="H39" s="172"/>
      <c r="I39" s="174"/>
      <c r="J39" s="173"/>
      <c r="K39" s="174"/>
      <c r="L39" s="175"/>
      <c r="M39" s="174"/>
      <c r="N39" s="176"/>
      <c r="O39" s="176"/>
      <c r="P39" s="173"/>
      <c r="Q39" s="177"/>
      <c r="R39" s="178"/>
      <c r="S39" s="173"/>
      <c r="T39" s="179"/>
      <c r="U39" s="145"/>
    </row>
    <row r="40" spans="1:21" ht="15" customHeight="1">
      <c r="A40" s="181" t="s">
        <v>2748</v>
      </c>
      <c r="B40" s="114" t="str">
        <f>VLOOKUP(A40,'Data pick slip'!B:F,5,FALSE)</f>
        <v>KHJ-MC400-00</v>
      </c>
      <c r="C40" s="169"/>
      <c r="D40" s="169"/>
      <c r="E40" s="281" t="s">
        <v>3949</v>
      </c>
      <c r="F40" s="170" t="s">
        <v>2753</v>
      </c>
      <c r="G40" s="171">
        <v>5</v>
      </c>
      <c r="H40" s="172"/>
      <c r="I40" s="174"/>
      <c r="J40" s="173"/>
      <c r="K40" s="174"/>
      <c r="L40" s="175"/>
      <c r="M40" s="174"/>
      <c r="N40" s="176"/>
      <c r="O40" s="176"/>
      <c r="P40" s="173"/>
      <c r="Q40" s="177"/>
      <c r="R40" s="178"/>
      <c r="S40" s="173"/>
      <c r="T40" s="179"/>
      <c r="U40" s="145"/>
    </row>
    <row r="41" spans="1:21" ht="15" customHeight="1">
      <c r="A41" s="181" t="s">
        <v>2749</v>
      </c>
      <c r="B41" s="114" t="str">
        <f>VLOOKUP(A41,'Data pick slip'!B:F,5,FALSE)</f>
        <v>KHJ-MC500-00</v>
      </c>
      <c r="C41" s="169"/>
      <c r="D41" s="169"/>
      <c r="E41" s="281" t="s">
        <v>3949</v>
      </c>
      <c r="F41" s="170" t="s">
        <v>2753</v>
      </c>
      <c r="G41" s="171">
        <v>3</v>
      </c>
      <c r="H41" s="172"/>
      <c r="I41" s="174"/>
      <c r="J41" s="173"/>
      <c r="K41" s="174"/>
      <c r="L41" s="175"/>
      <c r="M41" s="174"/>
      <c r="N41" s="176"/>
      <c r="O41" s="176"/>
      <c r="P41" s="173"/>
      <c r="Q41" s="177"/>
      <c r="R41" s="178"/>
      <c r="S41" s="173"/>
      <c r="T41" s="179"/>
      <c r="U41" s="145"/>
    </row>
    <row r="42" spans="1:21" ht="16.5" customHeight="1">
      <c r="A42" s="159" t="s">
        <v>2744</v>
      </c>
      <c r="B42" s="114" t="str">
        <f>VLOOKUP(A42,'Data pick slip'!B:F,5,FALSE)</f>
        <v>KHJ-MC100-00</v>
      </c>
      <c r="E42" s="281" t="s">
        <v>3953</v>
      </c>
      <c r="F42" s="170" t="s">
        <v>2753</v>
      </c>
      <c r="G42" s="171">
        <v>200</v>
      </c>
      <c r="I42" s="387"/>
      <c r="J42" s="146"/>
      <c r="K42" s="51"/>
      <c r="L42" s="4"/>
      <c r="P42" s="4"/>
      <c r="Q42" s="143"/>
      <c r="T42" s="144"/>
      <c r="U42" s="145" t="e">
        <f>VLOOKUP(H42,Stock_list!A:N,14,FALSE)</f>
        <v>#N/A</v>
      </c>
    </row>
    <row r="43" spans="1:21" ht="16.5" customHeight="1">
      <c r="A43" s="159" t="s">
        <v>2755</v>
      </c>
      <c r="B43" s="114" t="str">
        <f>VLOOKUP(A43,'Data pick slip'!B:F,5,FALSE)</f>
        <v>KLJ-MC100-00</v>
      </c>
      <c r="E43" s="281" t="s">
        <v>3953</v>
      </c>
      <c r="F43" s="170" t="s">
        <v>2753</v>
      </c>
      <c r="G43" s="171">
        <v>200</v>
      </c>
      <c r="I43" s="387"/>
      <c r="J43" s="146"/>
      <c r="K43" s="51"/>
      <c r="L43" s="4"/>
      <c r="P43" s="4"/>
      <c r="Q43" s="143"/>
      <c r="T43" s="144"/>
      <c r="U43" s="145" t="e">
        <f>VLOOKUP(H43,Stock_list!A:N,14,FALSE)</f>
        <v>#N/A</v>
      </c>
    </row>
    <row r="44" spans="1:21" ht="16.5" customHeight="1">
      <c r="A44" s="159" t="s">
        <v>2747</v>
      </c>
      <c r="B44" s="114" t="str">
        <f>VLOOKUP(A44,'Data pick slip'!B:F,5,FALSE)</f>
        <v>KHJ-MC200-00</v>
      </c>
      <c r="E44" s="281" t="s">
        <v>3953</v>
      </c>
      <c r="F44" s="170" t="s">
        <v>2753</v>
      </c>
      <c r="G44" s="171">
        <v>50</v>
      </c>
      <c r="I44" s="387"/>
      <c r="J44" s="146"/>
      <c r="K44" s="51"/>
      <c r="L44" s="4"/>
      <c r="P44" s="4"/>
      <c r="Q44" s="143"/>
      <c r="T44" s="144"/>
      <c r="U44" s="145" t="e">
        <f>VLOOKUP(H44,Stock_list!A:N,14,FALSE)</f>
        <v>#N/A</v>
      </c>
    </row>
    <row r="45" spans="1:21" ht="16.5" customHeight="1">
      <c r="A45" s="159" t="s">
        <v>2754</v>
      </c>
      <c r="B45" s="114" t="str">
        <f>VLOOKUP(A45,'Data pick slip'!B:F,5,FALSE)</f>
        <v>KLJ-MCN00-20</v>
      </c>
      <c r="E45" s="281" t="s">
        <v>3954</v>
      </c>
      <c r="F45" s="170" t="s">
        <v>2753</v>
      </c>
      <c r="G45" s="171">
        <v>1</v>
      </c>
      <c r="I45" s="387"/>
      <c r="J45" s="146"/>
      <c r="K45" s="51"/>
      <c r="L45" s="4"/>
      <c r="P45" s="4"/>
      <c r="Q45" s="143"/>
      <c r="T45" s="144"/>
      <c r="U45" s="145" t="e">
        <f>VLOOKUP(H45,Stock_list!A:N,14,FALSE)</f>
        <v>#N/A</v>
      </c>
    </row>
    <row r="46" spans="1:21" ht="16.5" customHeight="1">
      <c r="A46" s="159" t="s">
        <v>2744</v>
      </c>
      <c r="B46" s="114" t="str">
        <f>VLOOKUP(A46,'Data pick slip'!B:F,5,FALSE)</f>
        <v>KHJ-MC100-00</v>
      </c>
      <c r="E46" s="281" t="s">
        <v>3954</v>
      </c>
      <c r="F46" s="170" t="s">
        <v>2753</v>
      </c>
      <c r="G46" s="171">
        <v>370</v>
      </c>
      <c r="I46" s="387"/>
      <c r="J46" s="146"/>
      <c r="K46" s="51"/>
      <c r="L46" s="4"/>
      <c r="P46" s="4"/>
      <c r="Q46" s="143"/>
      <c r="T46" s="144"/>
      <c r="U46" s="145" t="e">
        <f>VLOOKUP(H46,Stock_list!A:N,14,FALSE)</f>
        <v>#N/A</v>
      </c>
    </row>
    <row r="47" spans="1:21" ht="16.5" customHeight="1">
      <c r="A47" s="159" t="s">
        <v>2755</v>
      </c>
      <c r="B47" s="114" t="str">
        <f>VLOOKUP(A47,'Data pick slip'!B:F,5,FALSE)</f>
        <v>KLJ-MC100-00</v>
      </c>
      <c r="E47" s="281" t="s">
        <v>3954</v>
      </c>
      <c r="F47" s="170" t="s">
        <v>2753</v>
      </c>
      <c r="G47" s="171">
        <v>60</v>
      </c>
      <c r="I47" s="387"/>
      <c r="J47" s="146"/>
      <c r="K47" s="51"/>
      <c r="L47" s="4"/>
      <c r="P47" s="4"/>
      <c r="Q47" s="143"/>
      <c r="T47" s="144"/>
      <c r="U47" s="145" t="e">
        <f>VLOOKUP(H47,Stock_list!A:N,14,FALSE)</f>
        <v>#N/A</v>
      </c>
    </row>
    <row r="48" spans="1:21" ht="16.5" customHeight="1">
      <c r="A48" s="159" t="s">
        <v>2747</v>
      </c>
      <c r="B48" s="114" t="str">
        <f>VLOOKUP(A48,'Data pick slip'!B:F,5,FALSE)</f>
        <v>KHJ-MC200-00</v>
      </c>
      <c r="E48" s="281" t="s">
        <v>3954</v>
      </c>
      <c r="F48" s="170" t="s">
        <v>2753</v>
      </c>
      <c r="G48" s="171">
        <v>119</v>
      </c>
      <c r="I48" s="387"/>
      <c r="J48" s="146"/>
      <c r="K48" s="51"/>
      <c r="L48" s="4"/>
      <c r="P48" s="4"/>
      <c r="Q48" s="143"/>
      <c r="T48" s="144"/>
      <c r="U48" s="145" t="e">
        <f>VLOOKUP(H48,Stock_list!A:N,14,FALSE)</f>
        <v>#N/A</v>
      </c>
    </row>
    <row r="49" spans="1:21" ht="15" customHeight="1">
      <c r="A49" s="181" t="s">
        <v>2744</v>
      </c>
      <c r="B49" s="114" t="str">
        <f>VLOOKUP(A49,'Data pick slip'!B:F,5,FALSE)</f>
        <v>KHJ-MC100-00</v>
      </c>
      <c r="C49" s="169"/>
      <c r="D49" s="169" t="s">
        <v>3991</v>
      </c>
      <c r="E49" s="169" t="s">
        <v>3991</v>
      </c>
      <c r="F49" s="170" t="s">
        <v>2753</v>
      </c>
      <c r="G49" s="171">
        <v>250</v>
      </c>
      <c r="H49" s="172"/>
      <c r="I49" s="174"/>
      <c r="J49" s="173"/>
      <c r="K49" s="174"/>
      <c r="L49" s="175"/>
      <c r="M49" s="174"/>
      <c r="N49" s="176"/>
      <c r="O49" s="176"/>
      <c r="P49" s="173"/>
      <c r="Q49" s="177"/>
      <c r="R49" s="178"/>
      <c r="S49" s="173"/>
      <c r="T49" s="179"/>
      <c r="U49" s="145"/>
    </row>
    <row r="50" spans="1:21" ht="15" customHeight="1">
      <c r="A50" s="181" t="s">
        <v>2747</v>
      </c>
      <c r="B50" s="114" t="str">
        <f>VLOOKUP(A50,'Data pick slip'!B:F,5,FALSE)</f>
        <v>KHJ-MC200-00</v>
      </c>
      <c r="C50" s="169"/>
      <c r="D50" s="169" t="s">
        <v>3991</v>
      </c>
      <c r="E50" s="169" t="s">
        <v>3991</v>
      </c>
      <c r="F50" s="170" t="s">
        <v>2753</v>
      </c>
      <c r="G50" s="171">
        <v>142</v>
      </c>
      <c r="H50" s="172"/>
      <c r="I50" s="174"/>
      <c r="J50" s="173"/>
      <c r="K50" s="174"/>
      <c r="L50" s="175"/>
      <c r="M50" s="174"/>
      <c r="N50" s="176"/>
      <c r="O50" s="176"/>
      <c r="P50" s="173"/>
      <c r="Q50" s="177"/>
      <c r="R50" s="178"/>
      <c r="S50" s="173"/>
      <c r="T50" s="179"/>
      <c r="U50" s="145"/>
    </row>
    <row r="51" spans="1:21" ht="15" customHeight="1">
      <c r="A51" s="181" t="s">
        <v>2748</v>
      </c>
      <c r="B51" s="114" t="str">
        <f>VLOOKUP(A51,'Data pick slip'!B:F,5,FALSE)</f>
        <v>KHJ-MC400-00</v>
      </c>
      <c r="C51" s="169"/>
      <c r="D51" s="169" t="s">
        <v>3991</v>
      </c>
      <c r="E51" s="169" t="s">
        <v>3991</v>
      </c>
      <c r="F51" s="170" t="s">
        <v>2753</v>
      </c>
      <c r="G51" s="171">
        <v>22</v>
      </c>
      <c r="H51" s="172"/>
      <c r="I51" s="174"/>
      <c r="J51" s="173"/>
      <c r="K51" s="174"/>
      <c r="L51" s="175"/>
      <c r="M51" s="174"/>
      <c r="N51" s="176"/>
      <c r="O51" s="176"/>
      <c r="P51" s="173"/>
      <c r="Q51" s="177"/>
      <c r="R51" s="178"/>
      <c r="S51" s="173"/>
      <c r="T51" s="179"/>
      <c r="U51" s="145"/>
    </row>
    <row r="52" spans="1:21" ht="15" customHeight="1">
      <c r="A52" s="181" t="s">
        <v>2750</v>
      </c>
      <c r="B52" s="114" t="str">
        <f>VLOOKUP(A52,'Data pick slip'!B:F,5,FALSE)</f>
        <v>KHJ-MC600-00</v>
      </c>
      <c r="C52" s="169"/>
      <c r="D52" s="169" t="s">
        <v>3991</v>
      </c>
      <c r="E52" s="169" t="s">
        <v>3991</v>
      </c>
      <c r="F52" s="170" t="s">
        <v>2753</v>
      </c>
      <c r="G52" s="171">
        <v>13</v>
      </c>
      <c r="H52" s="172"/>
      <c r="I52" s="174"/>
      <c r="J52" s="173"/>
      <c r="K52" s="174"/>
      <c r="L52" s="175"/>
      <c r="M52" s="174"/>
      <c r="N52" s="176"/>
      <c r="O52" s="176"/>
      <c r="P52" s="173"/>
      <c r="Q52" s="177"/>
      <c r="R52" s="178"/>
      <c r="S52" s="173"/>
      <c r="T52" s="179"/>
      <c r="U52" s="145"/>
    </row>
    <row r="53" spans="1:21" ht="15" customHeight="1">
      <c r="A53" s="181" t="s">
        <v>2751</v>
      </c>
      <c r="B53" s="114" t="str">
        <f>VLOOKUP(A53,'Data pick slip'!B:F,5,FALSE)</f>
        <v>KHJ-MC700-00</v>
      </c>
      <c r="C53" s="169"/>
      <c r="D53" s="169" t="s">
        <v>3991</v>
      </c>
      <c r="E53" s="169" t="s">
        <v>3991</v>
      </c>
      <c r="F53" s="170" t="s">
        <v>2753</v>
      </c>
      <c r="G53" s="171">
        <v>5</v>
      </c>
      <c r="H53" s="172"/>
      <c r="I53" s="174"/>
      <c r="J53" s="173"/>
      <c r="K53" s="174"/>
      <c r="L53" s="175"/>
      <c r="M53" s="174"/>
      <c r="N53" s="176"/>
      <c r="O53" s="176"/>
      <c r="P53" s="173"/>
      <c r="Q53" s="177"/>
      <c r="R53" s="178"/>
      <c r="S53" s="173"/>
      <c r="T53" s="179"/>
      <c r="U53" s="145"/>
    </row>
    <row r="54" spans="1:21" ht="15" customHeight="1">
      <c r="A54" s="181" t="s">
        <v>2756</v>
      </c>
      <c r="B54" s="114" t="str">
        <f>VLOOKUP(A54,'Data pick slip'!B:F,5,FALSE)</f>
        <v>KLJ-MC200-00</v>
      </c>
      <c r="C54" s="169"/>
      <c r="D54" s="169" t="s">
        <v>3991</v>
      </c>
      <c r="E54" s="169" t="s">
        <v>3991</v>
      </c>
      <c r="F54" s="170" t="s">
        <v>2753</v>
      </c>
      <c r="G54" s="171">
        <v>10</v>
      </c>
      <c r="H54" s="172"/>
      <c r="I54" s="174"/>
      <c r="J54" s="173"/>
      <c r="K54" s="174"/>
      <c r="L54" s="175"/>
      <c r="M54" s="174"/>
      <c r="N54" s="176"/>
      <c r="O54" s="176"/>
      <c r="P54" s="173"/>
      <c r="Q54" s="177"/>
      <c r="R54" s="178"/>
      <c r="S54" s="173"/>
      <c r="T54" s="179"/>
      <c r="U54" s="145"/>
    </row>
    <row r="55" spans="1:21" ht="15" customHeight="1">
      <c r="A55" s="181" t="s">
        <v>2744</v>
      </c>
      <c r="B55" s="114" t="s">
        <v>2763</v>
      </c>
      <c r="C55" s="169"/>
      <c r="D55" s="169"/>
      <c r="E55" s="281" t="s">
        <v>4007</v>
      </c>
      <c r="F55" s="170" t="s">
        <v>2753</v>
      </c>
      <c r="G55" s="171">
        <v>109</v>
      </c>
      <c r="H55" s="172"/>
      <c r="I55" s="174"/>
      <c r="K55" s="174"/>
      <c r="L55" s="175"/>
      <c r="M55" s="174"/>
      <c r="N55" s="176"/>
      <c r="O55" s="176"/>
      <c r="P55" s="173"/>
      <c r="Q55" s="177"/>
      <c r="R55" s="178"/>
      <c r="S55" s="173"/>
      <c r="T55" s="179"/>
      <c r="U55" s="145" t="e">
        <v>#N/A</v>
      </c>
    </row>
    <row r="56" spans="1:21" ht="15" customHeight="1">
      <c r="A56" s="181" t="s">
        <v>2747</v>
      </c>
      <c r="B56" s="114" t="s">
        <v>2764</v>
      </c>
      <c r="C56" s="169"/>
      <c r="D56" s="169"/>
      <c r="E56" s="281" t="s">
        <v>4007</v>
      </c>
      <c r="F56" s="170" t="s">
        <v>2753</v>
      </c>
      <c r="G56" s="171">
        <v>14</v>
      </c>
      <c r="H56" s="172"/>
      <c r="I56" s="174"/>
      <c r="K56" s="174"/>
      <c r="L56" s="175"/>
      <c r="M56" s="174"/>
      <c r="N56" s="176"/>
      <c r="O56" s="176"/>
      <c r="P56" s="173"/>
      <c r="Q56" s="177"/>
      <c r="R56" s="178"/>
      <c r="S56" s="173"/>
      <c r="T56" s="179"/>
      <c r="U56" s="145" t="e">
        <v>#N/A</v>
      </c>
    </row>
    <row r="57" spans="1:21" ht="15" customHeight="1">
      <c r="A57" s="181" t="s">
        <v>2748</v>
      </c>
      <c r="B57" s="114" t="s">
        <v>2765</v>
      </c>
      <c r="C57" s="169"/>
      <c r="D57" s="169"/>
      <c r="E57" s="281" t="s">
        <v>4007</v>
      </c>
      <c r="F57" s="170" t="s">
        <v>2753</v>
      </c>
      <c r="G57" s="171">
        <v>7</v>
      </c>
      <c r="H57" s="172"/>
      <c r="I57" s="174"/>
      <c r="K57" s="174"/>
      <c r="L57" s="175"/>
      <c r="M57" s="174"/>
      <c r="N57" s="176"/>
      <c r="O57" s="176"/>
      <c r="P57" s="173"/>
      <c r="Q57" s="177"/>
      <c r="R57" s="178"/>
      <c r="S57" s="173"/>
      <c r="T57" s="179"/>
      <c r="U57" s="145" t="e">
        <v>#N/A</v>
      </c>
    </row>
    <row r="58" spans="1:21" ht="15" customHeight="1">
      <c r="A58" s="181" t="s">
        <v>2749</v>
      </c>
      <c r="B58" s="114" t="s">
        <v>2769</v>
      </c>
      <c r="C58" s="169"/>
      <c r="D58" s="169"/>
      <c r="E58" s="281" t="s">
        <v>4007</v>
      </c>
      <c r="F58" s="170" t="s">
        <v>2753</v>
      </c>
      <c r="G58" s="171">
        <v>3</v>
      </c>
      <c r="H58" s="172"/>
      <c r="I58" s="174"/>
      <c r="K58" s="174"/>
      <c r="L58" s="175"/>
      <c r="M58" s="174"/>
      <c r="N58" s="176"/>
      <c r="O58" s="176"/>
      <c r="P58" s="173"/>
      <c r="Q58" s="177"/>
      <c r="R58" s="178"/>
      <c r="S58" s="173"/>
      <c r="T58" s="179"/>
      <c r="U58" s="145" t="e">
        <v>#N/A</v>
      </c>
    </row>
    <row r="59" spans="1:21" ht="15" customHeight="1">
      <c r="A59" s="181" t="s">
        <v>2755</v>
      </c>
      <c r="B59" s="114" t="s">
        <v>2770</v>
      </c>
      <c r="C59" s="169"/>
      <c r="D59" s="169"/>
      <c r="E59" s="281" t="s">
        <v>4007</v>
      </c>
      <c r="F59" s="170" t="s">
        <v>2753</v>
      </c>
      <c r="G59" s="171">
        <v>1</v>
      </c>
      <c r="H59" s="172"/>
      <c r="I59" s="174"/>
      <c r="K59" s="174"/>
      <c r="L59" s="175"/>
      <c r="M59" s="174"/>
      <c r="N59" s="176"/>
      <c r="O59" s="176"/>
      <c r="P59" s="173"/>
      <c r="Q59" s="177"/>
      <c r="R59" s="178"/>
      <c r="S59" s="173"/>
      <c r="T59" s="179"/>
      <c r="U59" s="145" t="e">
        <v>#N/A</v>
      </c>
    </row>
    <row r="60" spans="1:21" ht="15" customHeight="1">
      <c r="A60" s="181" t="s">
        <v>2754</v>
      </c>
      <c r="B60" s="114" t="str">
        <f>VLOOKUP(A60,'Data pick slip'!B:F,5,FALSE)</f>
        <v>KLJ-MCN00-20</v>
      </c>
      <c r="C60" s="169">
        <v>111362</v>
      </c>
      <c r="D60" s="169" t="str">
        <f>VLOOKUP(C60,Stock_list!D:L,2,FALSE)</f>
        <v>STK</v>
      </c>
      <c r="E60" s="281">
        <f>VLOOKUP(C60,Stock_list!D:L,9,FALSE)</f>
        <v>45205</v>
      </c>
      <c r="F60" s="170" t="s">
        <v>1381</v>
      </c>
      <c r="G60" s="171">
        <v>1</v>
      </c>
      <c r="H60" s="172"/>
      <c r="I60" s="174"/>
      <c r="J60" s="173"/>
      <c r="K60" s="174"/>
      <c r="L60" s="175"/>
      <c r="M60" s="174"/>
      <c r="N60" s="176"/>
      <c r="O60" s="176"/>
      <c r="P60" s="173"/>
      <c r="Q60" s="177"/>
      <c r="R60" s="178"/>
      <c r="S60" s="173"/>
      <c r="T60" s="179"/>
      <c r="U60" s="145"/>
    </row>
    <row r="61" spans="1:21" ht="15" customHeight="1">
      <c r="A61" s="181" t="s">
        <v>2744</v>
      </c>
      <c r="B61" s="114" t="str">
        <f>VLOOKUP(A61,'Data pick slip'!B:F,5,FALSE)</f>
        <v>KHJ-MC100-00</v>
      </c>
      <c r="C61" s="169"/>
      <c r="D61" s="169"/>
      <c r="E61" s="281" t="s">
        <v>4034</v>
      </c>
      <c r="F61" s="170" t="s">
        <v>2753</v>
      </c>
      <c r="G61" s="171">
        <v>5</v>
      </c>
      <c r="H61" s="172"/>
      <c r="I61" s="174"/>
      <c r="J61" s="173"/>
      <c r="K61" s="174"/>
      <c r="L61" s="175"/>
      <c r="M61" s="174"/>
      <c r="N61" s="176"/>
      <c r="O61" s="176"/>
      <c r="P61" s="173"/>
      <c r="Q61" s="177"/>
      <c r="R61" s="178"/>
      <c r="S61" s="173"/>
      <c r="T61" s="179"/>
      <c r="U61" s="145"/>
    </row>
    <row r="62" spans="1:21" ht="16.5" customHeight="1">
      <c r="A62" s="159" t="s">
        <v>2744</v>
      </c>
      <c r="B62" s="114" t="str">
        <f>VLOOKUP(A62,'Data pick slip'!B:F,5,FALSE)</f>
        <v>KHJ-MC100-00</v>
      </c>
      <c r="D62" s="393" t="s">
        <v>4050</v>
      </c>
      <c r="E62" s="390" t="s">
        <v>4036</v>
      </c>
      <c r="F62" s="391" t="s">
        <v>2753</v>
      </c>
      <c r="G62" s="392">
        <v>110</v>
      </c>
      <c r="K62" s="51"/>
      <c r="L62" s="4"/>
      <c r="P62" s="4"/>
      <c r="Q62" s="143"/>
      <c r="T62" s="144"/>
      <c r="U62" s="145" t="e">
        <f>VLOOKUP(H62,Stock_list!A:N,14,FALSE)</f>
        <v>#N/A</v>
      </c>
    </row>
    <row r="63" spans="1:21" ht="16.5" customHeight="1">
      <c r="A63" s="159" t="s">
        <v>2747</v>
      </c>
      <c r="B63" s="114" t="str">
        <f>VLOOKUP(A63,'Data pick slip'!B:F,5,FALSE)</f>
        <v>KHJ-MC200-00</v>
      </c>
      <c r="D63" s="393" t="s">
        <v>4050</v>
      </c>
      <c r="E63" s="390" t="s">
        <v>4036</v>
      </c>
      <c r="F63" s="391" t="s">
        <v>2753</v>
      </c>
      <c r="G63" s="392">
        <v>25</v>
      </c>
      <c r="K63" s="51"/>
      <c r="L63" s="4"/>
      <c r="P63" s="4"/>
      <c r="Q63" s="143"/>
      <c r="T63" s="144"/>
      <c r="U63" s="145" t="e">
        <f>VLOOKUP(H63,Stock_list!A:N,14,FALSE)</f>
        <v>#N/A</v>
      </c>
    </row>
    <row r="64" spans="1:21" ht="16.5" customHeight="1">
      <c r="A64" s="159" t="s">
        <v>2749</v>
      </c>
      <c r="B64" s="114" t="str">
        <f>VLOOKUP(A64,'Data pick slip'!B:F,5,FALSE)</f>
        <v>KHJ-MC500-00</v>
      </c>
      <c r="D64" s="393" t="s">
        <v>4050</v>
      </c>
      <c r="E64" s="390" t="s">
        <v>4036</v>
      </c>
      <c r="F64" s="391" t="s">
        <v>2753</v>
      </c>
      <c r="G64" s="392">
        <v>2</v>
      </c>
      <c r="K64" s="51"/>
      <c r="L64" s="4"/>
      <c r="P64" s="4"/>
      <c r="Q64" s="143"/>
      <c r="T64" s="144"/>
      <c r="U64" s="145" t="e">
        <f>VLOOKUP(H64,Stock_list!A:N,14,FALSE)</f>
        <v>#N/A</v>
      </c>
    </row>
    <row r="65" spans="1:21" ht="16.5" customHeight="1">
      <c r="A65" s="159" t="s">
        <v>2750</v>
      </c>
      <c r="B65" s="114" t="str">
        <f>VLOOKUP(A65,'Data pick slip'!B:F,5,FALSE)</f>
        <v>KHJ-MC600-00</v>
      </c>
      <c r="D65" s="393" t="s">
        <v>4050</v>
      </c>
      <c r="E65" s="390" t="s">
        <v>4036</v>
      </c>
      <c r="F65" s="391" t="s">
        <v>2753</v>
      </c>
      <c r="G65" s="392">
        <v>2</v>
      </c>
      <c r="K65" s="51"/>
      <c r="L65" s="4"/>
      <c r="P65" s="4"/>
      <c r="Q65" s="143"/>
      <c r="T65" s="144"/>
      <c r="U65" s="145" t="e">
        <f>VLOOKUP(H65,Stock_list!A:N,14,FALSE)</f>
        <v>#N/A</v>
      </c>
    </row>
    <row r="66" spans="1:21" ht="16.5" customHeight="1">
      <c r="A66" s="159" t="s">
        <v>2755</v>
      </c>
      <c r="B66" s="114" t="str">
        <f>VLOOKUP(A66,'Data pick slip'!B:F,5,FALSE)</f>
        <v>KLJ-MC100-00</v>
      </c>
      <c r="D66" s="393" t="s">
        <v>4050</v>
      </c>
      <c r="E66" s="390" t="s">
        <v>4036</v>
      </c>
      <c r="F66" s="391" t="s">
        <v>2753</v>
      </c>
      <c r="G66" s="392">
        <v>40</v>
      </c>
      <c r="K66" s="51"/>
      <c r="L66" s="4"/>
      <c r="P66" s="4"/>
      <c r="Q66" s="143"/>
      <c r="T66" s="144"/>
      <c r="U66" s="145" t="e">
        <f>VLOOKUP(H66,Stock_list!A:N,14,FALSE)</f>
        <v>#N/A</v>
      </c>
    </row>
    <row r="67" spans="1:21" ht="16.5" customHeight="1">
      <c r="A67" s="159" t="s">
        <v>2760</v>
      </c>
      <c r="B67" s="114" t="str">
        <f>VLOOKUP(A67,'Data pick slip'!B:F,5,FALSE)</f>
        <v>KLJ-MC700-00</v>
      </c>
      <c r="D67" s="393" t="s">
        <v>4050</v>
      </c>
      <c r="E67" s="390" t="s">
        <v>4036</v>
      </c>
      <c r="F67" s="391" t="s">
        <v>2753</v>
      </c>
      <c r="G67" s="392">
        <v>1</v>
      </c>
      <c r="K67" s="51"/>
      <c r="L67" s="4"/>
      <c r="P67" s="4"/>
      <c r="Q67" s="143"/>
      <c r="T67" s="144"/>
      <c r="U67" s="145" t="e">
        <f>VLOOKUP(H67,Stock_list!A:N,14,FALSE)</f>
        <v>#N/A</v>
      </c>
    </row>
    <row r="68" spans="1:21" ht="18" customHeight="1">
      <c r="A68" s="159" t="s">
        <v>2755</v>
      </c>
      <c r="B68" s="114" t="str">
        <f>VLOOKUP(A68,'Data pick slip'!B:F,5,FALSE)</f>
        <v>KLJ-MC100-00</v>
      </c>
      <c r="E68" s="402" t="s">
        <v>4086</v>
      </c>
      <c r="F68" s="170" t="s">
        <v>2753</v>
      </c>
      <c r="G68" s="171">
        <v>3</v>
      </c>
      <c r="I68" s="387"/>
      <c r="K68" s="51"/>
      <c r="L68" s="4"/>
      <c r="P68" s="4"/>
      <c r="Q68" s="143"/>
      <c r="T68" s="144"/>
      <c r="U68" s="145" t="e">
        <f>VLOOKUP(H68,Stock_list!A:N,14,FALSE)</f>
        <v>#N/A</v>
      </c>
    </row>
    <row r="69" spans="1:21" ht="18" customHeight="1">
      <c r="A69" s="159" t="s">
        <v>2744</v>
      </c>
      <c r="B69" s="114" t="str">
        <f>VLOOKUP(A69,'Data pick slip'!B:F,5,FALSE)</f>
        <v>KHJ-MC100-00</v>
      </c>
      <c r="E69" s="402" t="s">
        <v>4086</v>
      </c>
      <c r="F69" s="170" t="s">
        <v>2753</v>
      </c>
      <c r="G69" s="171">
        <v>6</v>
      </c>
      <c r="I69" s="387"/>
      <c r="K69" s="51"/>
      <c r="L69" s="4"/>
      <c r="P69" s="4"/>
      <c r="Q69" s="143"/>
      <c r="T69" s="144"/>
      <c r="U69" s="145" t="e">
        <f>VLOOKUP(H69,Stock_list!A:N,14,FALSE)</f>
        <v>#N/A</v>
      </c>
    </row>
    <row r="70" spans="1:21" ht="16.5" customHeight="1">
      <c r="A70" s="159" t="s">
        <v>2744</v>
      </c>
      <c r="B70" s="114" t="str">
        <f>VLOOKUP(A70,'Data pick slip'!B:F,5,FALSE)</f>
        <v>KHJ-MC100-00</v>
      </c>
      <c r="E70" s="402" t="s">
        <v>4115</v>
      </c>
      <c r="F70" s="170" t="s">
        <v>2753</v>
      </c>
      <c r="G70" s="171">
        <v>150</v>
      </c>
      <c r="I70" s="387"/>
      <c r="K70" s="51"/>
      <c r="L70" s="4"/>
      <c r="P70" s="4"/>
      <c r="Q70" s="143"/>
      <c r="T70" s="144"/>
      <c r="U70" s="145" t="e">
        <f>VLOOKUP(H70,Stock_list!A:N,14,FALSE)</f>
        <v>#N/A</v>
      </c>
    </row>
    <row r="71" spans="1:21" ht="16.5" customHeight="1">
      <c r="A71" s="159" t="s">
        <v>2747</v>
      </c>
      <c r="B71" s="114" t="str">
        <f>VLOOKUP(A71,'Data pick slip'!B:F,5,FALSE)</f>
        <v>KHJ-MC200-00</v>
      </c>
      <c r="E71" s="402" t="s">
        <v>4115</v>
      </c>
      <c r="F71" s="170" t="s">
        <v>2753</v>
      </c>
      <c r="G71" s="171">
        <v>54</v>
      </c>
      <c r="I71" s="387"/>
      <c r="K71" s="51"/>
      <c r="L71" s="4"/>
      <c r="P71" s="4"/>
      <c r="Q71" s="143"/>
      <c r="T71" s="144"/>
      <c r="U71" s="145" t="e">
        <f>VLOOKUP(H71,Stock_list!A:N,14,FALSE)</f>
        <v>#N/A</v>
      </c>
    </row>
    <row r="72" spans="1:21" ht="16.5" customHeight="1">
      <c r="A72" s="159" t="s">
        <v>2748</v>
      </c>
      <c r="B72" s="114" t="str">
        <f>VLOOKUP(A72,'Data pick slip'!B:F,5,FALSE)</f>
        <v>KHJ-MC400-00</v>
      </c>
      <c r="E72" s="402" t="s">
        <v>4115</v>
      </c>
      <c r="F72" s="170" t="s">
        <v>2753</v>
      </c>
      <c r="G72" s="171">
        <v>7</v>
      </c>
      <c r="I72" s="387"/>
      <c r="K72" s="51"/>
      <c r="L72" s="4"/>
      <c r="P72" s="4"/>
      <c r="Q72" s="143"/>
      <c r="T72" s="144"/>
      <c r="U72" s="145" t="e">
        <f>VLOOKUP(H72,Stock_list!A:N,14,FALSE)</f>
        <v>#N/A</v>
      </c>
    </row>
    <row r="73" spans="1:21" ht="16.5" customHeight="1">
      <c r="A73" s="159" t="s">
        <v>2749</v>
      </c>
      <c r="B73" s="114" t="str">
        <f>VLOOKUP(A73,'Data pick slip'!B:F,5,FALSE)</f>
        <v>KHJ-MC500-00</v>
      </c>
      <c r="E73" s="402" t="s">
        <v>4115</v>
      </c>
      <c r="F73" s="170" t="s">
        <v>2753</v>
      </c>
      <c r="G73" s="171">
        <v>2</v>
      </c>
      <c r="I73" s="387"/>
      <c r="K73" s="51"/>
      <c r="L73" s="4"/>
      <c r="P73" s="4"/>
      <c r="Q73" s="143"/>
      <c r="T73" s="144"/>
      <c r="U73" s="145" t="e">
        <f>VLOOKUP(H73,Stock_list!A:N,14,FALSE)</f>
        <v>#N/A</v>
      </c>
    </row>
    <row r="74" spans="1:21" ht="16.5" customHeight="1">
      <c r="A74" s="159" t="s">
        <v>2760</v>
      </c>
      <c r="B74" s="114" t="str">
        <f>VLOOKUP(A74,'Data pick slip'!B:F,5,FALSE)</f>
        <v>KLJ-MC700-00</v>
      </c>
      <c r="E74" s="402" t="s">
        <v>4156</v>
      </c>
      <c r="F74" s="157" t="s">
        <v>2753</v>
      </c>
      <c r="G74" s="158">
        <v>1</v>
      </c>
      <c r="J74" s="267"/>
      <c r="K74" s="51"/>
      <c r="L74" s="4"/>
      <c r="P74" s="4"/>
      <c r="Q74" s="143"/>
      <c r="T74" s="144"/>
      <c r="U74" s="145" t="e">
        <f>VLOOKUP(H74,Stock_list!A:N,14,FALSE)</f>
        <v>#N/A</v>
      </c>
    </row>
    <row r="75" spans="1:21" ht="16.5" customHeight="1">
      <c r="A75" s="159" t="s">
        <v>2755</v>
      </c>
      <c r="B75" s="114" t="str">
        <f>VLOOKUP(A75,'Data pick slip'!B:F,5,FALSE)</f>
        <v>KLJ-MC100-00</v>
      </c>
      <c r="D75" s="387" t="s">
        <v>3951</v>
      </c>
      <c r="E75" s="139" t="s">
        <v>4156</v>
      </c>
      <c r="F75" s="157" t="s">
        <v>2753</v>
      </c>
      <c r="G75" s="321">
        <v>9</v>
      </c>
      <c r="I75" s="146"/>
      <c r="J75" s="146"/>
      <c r="K75" s="51"/>
      <c r="L75" s="4"/>
      <c r="M75" s="146"/>
      <c r="P75" s="4"/>
      <c r="Q75" s="143"/>
      <c r="T75" s="144"/>
      <c r="U75" s="145" t="e">
        <f>VLOOKUP(H75,Stock_list!A:N,14,FALSE)</f>
        <v>#N/A</v>
      </c>
    </row>
    <row r="76" spans="1:21" ht="16.5" customHeight="1">
      <c r="A76" s="159" t="s">
        <v>2757</v>
      </c>
      <c r="B76" s="114" t="str">
        <f>VLOOKUP(A76,'Data pick slip'!B:F,5,FALSE)</f>
        <v>KLJ-MC400-00</v>
      </c>
      <c r="D76" s="387" t="s">
        <v>3951</v>
      </c>
      <c r="E76" s="139" t="s">
        <v>4156</v>
      </c>
      <c r="F76" s="157" t="s">
        <v>2753</v>
      </c>
      <c r="G76" s="321">
        <v>5</v>
      </c>
      <c r="I76" s="146"/>
      <c r="J76" s="146"/>
      <c r="K76" s="51"/>
      <c r="L76" s="4"/>
      <c r="M76" s="146"/>
      <c r="P76" s="4"/>
      <c r="Q76" s="143"/>
      <c r="T76" s="144"/>
      <c r="U76" s="145" t="e">
        <f>VLOOKUP(H76,Stock_list!A:N,14,FALSE)</f>
        <v>#N/A</v>
      </c>
    </row>
    <row r="77" spans="1:21" ht="16.5" customHeight="1">
      <c r="A77" s="159" t="s">
        <v>2756</v>
      </c>
      <c r="B77" s="114" t="str">
        <f>VLOOKUP(A77,'Data pick slip'!B:F,5,FALSE)</f>
        <v>KLJ-MC200-00</v>
      </c>
      <c r="D77" s="387" t="s">
        <v>3951</v>
      </c>
      <c r="E77" s="139" t="s">
        <v>4156</v>
      </c>
      <c r="F77" s="157" t="s">
        <v>2753</v>
      </c>
      <c r="G77" s="321">
        <v>5</v>
      </c>
      <c r="I77" s="146"/>
      <c r="J77" s="146"/>
      <c r="K77" s="51"/>
      <c r="L77" s="4"/>
      <c r="M77" s="146"/>
      <c r="P77" s="4"/>
      <c r="Q77" s="143"/>
      <c r="T77" s="144"/>
      <c r="U77" s="145" t="e">
        <f>VLOOKUP(H77,Stock_list!A:N,14,FALSE)</f>
        <v>#N/A</v>
      </c>
    </row>
    <row r="78" spans="1:21" ht="16.5" customHeight="1">
      <c r="A78" s="159" t="s">
        <v>2757</v>
      </c>
      <c r="B78" s="114" t="str">
        <f>VLOOKUP(A78,'Data pick slip'!B:F,5,FALSE)</f>
        <v>KLJ-MC400-00</v>
      </c>
      <c r="D78" s="387" t="s">
        <v>3951</v>
      </c>
      <c r="E78" s="269" t="s">
        <v>4284</v>
      </c>
      <c r="F78" s="157" t="s">
        <v>2753</v>
      </c>
      <c r="G78" s="158">
        <v>6</v>
      </c>
      <c r="I78" s="387"/>
      <c r="J78" s="269"/>
      <c r="K78" s="51"/>
      <c r="L78" s="4"/>
      <c r="M78" s="132"/>
      <c r="P78" s="4"/>
      <c r="Q78" s="143"/>
      <c r="T78" s="144"/>
      <c r="U78" s="145" t="e">
        <f>VLOOKUP(H78,Stock_list!A:N,14,FALSE)</f>
        <v>#N/A</v>
      </c>
    </row>
    <row r="79" spans="1:21" ht="16.5" customHeight="1">
      <c r="A79" s="159" t="s">
        <v>2759</v>
      </c>
      <c r="B79" s="114" t="str">
        <f>VLOOKUP(A79,'Data pick slip'!B:F,5,FALSE)</f>
        <v>KLJ-MC600-00</v>
      </c>
      <c r="D79" s="387" t="s">
        <v>3951</v>
      </c>
      <c r="E79" s="269" t="s">
        <v>4284</v>
      </c>
      <c r="F79" s="157" t="s">
        <v>2753</v>
      </c>
      <c r="G79" s="158">
        <v>1</v>
      </c>
      <c r="I79" s="387"/>
      <c r="J79" s="269"/>
      <c r="K79" s="51"/>
      <c r="L79" s="4"/>
      <c r="M79" s="132"/>
      <c r="P79" s="4"/>
      <c r="Q79" s="143"/>
      <c r="T79" s="144"/>
      <c r="U79" s="145" t="e">
        <f>VLOOKUP(H79,Stock_list!A:N,14,FALSE)</f>
        <v>#N/A</v>
      </c>
    </row>
    <row r="80" spans="1:21" ht="15" customHeight="1">
      <c r="A80" s="159" t="s">
        <v>2755</v>
      </c>
      <c r="B80" s="114" t="str">
        <f>VLOOKUP(A80,'Data pick slip'!B:F,5,FALSE)</f>
        <v>KLJ-MC100-00</v>
      </c>
      <c r="C80" s="169"/>
      <c r="D80" s="387" t="s">
        <v>3951</v>
      </c>
      <c r="E80" s="269" t="s">
        <v>4324</v>
      </c>
      <c r="F80" s="170" t="s">
        <v>2753</v>
      </c>
      <c r="G80" s="171">
        <v>15</v>
      </c>
      <c r="H80" s="172"/>
      <c r="I80" s="174"/>
      <c r="J80" s="173"/>
      <c r="K80" s="174"/>
      <c r="L80" s="175"/>
      <c r="M80" s="174"/>
      <c r="N80" s="176"/>
      <c r="O80" s="176"/>
      <c r="P80" s="173"/>
      <c r="Q80" s="177"/>
      <c r="R80" s="178"/>
      <c r="S80" s="173"/>
      <c r="T80" s="179"/>
      <c r="U80" s="145"/>
    </row>
    <row r="81" spans="1:21" ht="15" customHeight="1">
      <c r="A81" s="181" t="s">
        <v>2744</v>
      </c>
      <c r="B81" s="114" t="str">
        <f>VLOOKUP(A81,'Data pick slip'!B:F,5,FALSE)</f>
        <v>KHJ-MC100-00</v>
      </c>
      <c r="C81" s="169">
        <v>111556</v>
      </c>
      <c r="D81" s="169" t="s">
        <v>236</v>
      </c>
      <c r="E81" s="281">
        <v>45351</v>
      </c>
      <c r="F81" s="170" t="s">
        <v>1381</v>
      </c>
      <c r="G81" s="171">
        <v>165</v>
      </c>
      <c r="H81" s="172"/>
      <c r="I81" s="174"/>
      <c r="J81" s="173"/>
      <c r="K81" s="174"/>
      <c r="L81" s="175"/>
      <c r="M81" s="174"/>
      <c r="N81" s="176"/>
      <c r="O81" s="176"/>
      <c r="P81" s="173"/>
      <c r="Q81" s="177"/>
      <c r="R81" s="178"/>
      <c r="S81" s="173"/>
      <c r="T81" s="179"/>
      <c r="U81" s="145"/>
    </row>
    <row r="82" spans="1:21" ht="15" customHeight="1">
      <c r="A82" s="181" t="s">
        <v>2755</v>
      </c>
      <c r="B82" s="114" t="str">
        <f>VLOOKUP(A82,'Data pick slip'!B:F,5,FALSE)</f>
        <v>KLJ-MC100-00</v>
      </c>
      <c r="C82" s="169"/>
      <c r="D82" s="169" t="s">
        <v>4425</v>
      </c>
      <c r="E82" s="169" t="s">
        <v>4425</v>
      </c>
      <c r="F82" s="170" t="s">
        <v>2753</v>
      </c>
      <c r="G82" s="171">
        <v>20</v>
      </c>
      <c r="H82" s="172"/>
      <c r="I82" s="174"/>
      <c r="J82" s="173"/>
      <c r="K82" s="174"/>
      <c r="L82" s="175"/>
      <c r="M82" s="174"/>
      <c r="N82" s="176"/>
      <c r="O82" s="176"/>
      <c r="P82" s="173"/>
      <c r="Q82" s="177"/>
      <c r="R82" s="178"/>
      <c r="S82" s="173"/>
      <c r="T82" s="179"/>
      <c r="U82" s="145"/>
    </row>
    <row r="83" spans="1:21" ht="15" customHeight="1">
      <c r="A83" s="181"/>
      <c r="B83" s="114" t="e">
        <f>VLOOKUP(A83,'Data pick slip'!B:F,5,FALSE)</f>
        <v>#N/A</v>
      </c>
      <c r="C83" s="169"/>
      <c r="D83" s="169" t="e">
        <f>VLOOKUP(C83,Stock_list!D:L,2,FALSE)</f>
        <v>#N/A</v>
      </c>
      <c r="E83" s="281" t="e">
        <f>VLOOKUP(C83,Stock_list!D:L,9,FALSE)</f>
        <v>#N/A</v>
      </c>
      <c r="F83" s="170"/>
      <c r="G83" s="171"/>
      <c r="H83" s="172"/>
      <c r="I83" s="174"/>
      <c r="J83" s="173"/>
      <c r="K83" s="174"/>
      <c r="L83" s="175"/>
      <c r="M83" s="174"/>
      <c r="N83" s="176"/>
      <c r="O83" s="176"/>
      <c r="P83" s="173"/>
      <c r="Q83" s="177"/>
      <c r="R83" s="178"/>
      <c r="S83" s="173"/>
      <c r="T83" s="179"/>
      <c r="U83" s="145"/>
    </row>
    <row r="84" spans="1:21" ht="15" customHeight="1">
      <c r="A84" s="181"/>
      <c r="B84" s="114" t="e">
        <f>VLOOKUP(A84,'Data pick slip'!B:F,5,FALSE)</f>
        <v>#N/A</v>
      </c>
      <c r="C84" s="169"/>
      <c r="D84" s="169" t="e">
        <f>VLOOKUP(C84,Stock_list!D:L,2,FALSE)</f>
        <v>#N/A</v>
      </c>
      <c r="E84" s="281" t="e">
        <f>VLOOKUP(C84,Stock_list!D:L,9,FALSE)</f>
        <v>#N/A</v>
      </c>
      <c r="F84" s="170"/>
      <c r="G84" s="171"/>
      <c r="H84" s="172"/>
      <c r="I84" s="174"/>
      <c r="J84" s="173"/>
      <c r="K84" s="174"/>
      <c r="L84" s="175"/>
      <c r="M84" s="174"/>
      <c r="N84" s="176"/>
      <c r="O84" s="176"/>
      <c r="P84" s="173"/>
      <c r="Q84" s="177"/>
      <c r="R84" s="178"/>
      <c r="S84" s="173"/>
      <c r="T84" s="179"/>
      <c r="U84" s="145"/>
    </row>
    <row r="85" spans="1:21" ht="15" customHeight="1">
      <c r="A85" s="181"/>
      <c r="B85" s="114" t="e">
        <f>VLOOKUP(A85,'Data pick slip'!B:F,5,FALSE)</f>
        <v>#N/A</v>
      </c>
      <c r="C85" s="169"/>
      <c r="D85" s="169" t="e">
        <f>VLOOKUP(C85,Stock_list!D:L,2,FALSE)</f>
        <v>#N/A</v>
      </c>
      <c r="E85" s="281" t="e">
        <f>VLOOKUP(C85,Stock_list!D:L,9,FALSE)</f>
        <v>#N/A</v>
      </c>
      <c r="F85" s="170"/>
      <c r="G85" s="171"/>
      <c r="H85" s="172"/>
      <c r="I85" s="174"/>
      <c r="J85" s="173"/>
      <c r="K85" s="174"/>
      <c r="L85" s="175"/>
      <c r="M85" s="174"/>
      <c r="N85" s="176"/>
      <c r="O85" s="176"/>
      <c r="P85" s="173"/>
      <c r="Q85" s="177"/>
      <c r="R85" s="178"/>
      <c r="S85" s="173"/>
      <c r="T85" s="179"/>
      <c r="U85" s="145"/>
    </row>
    <row r="86" spans="1:21" ht="15" customHeight="1">
      <c r="A86" s="181"/>
      <c r="B86" s="114" t="e">
        <f>VLOOKUP(A86,'Data pick slip'!B:F,5,FALSE)</f>
        <v>#N/A</v>
      </c>
      <c r="C86" s="169"/>
      <c r="D86" s="169" t="e">
        <f>VLOOKUP(C86,Stock_list!D:L,2,FALSE)</f>
        <v>#N/A</v>
      </c>
      <c r="E86" s="281" t="e">
        <f>VLOOKUP(C86,Stock_list!D:L,9,FALSE)</f>
        <v>#N/A</v>
      </c>
      <c r="F86" s="170"/>
      <c r="G86" s="171"/>
      <c r="H86" s="172"/>
      <c r="I86" s="174"/>
      <c r="J86" s="173"/>
      <c r="K86" s="174"/>
      <c r="L86" s="175"/>
      <c r="M86" s="174"/>
      <c r="N86" s="176"/>
      <c r="O86" s="176"/>
      <c r="P86" s="173"/>
      <c r="Q86" s="177"/>
      <c r="R86" s="178"/>
      <c r="S86" s="173"/>
      <c r="T86" s="179"/>
      <c r="U86" s="145"/>
    </row>
    <row r="87" spans="1:21" ht="15" customHeight="1">
      <c r="A87" s="181"/>
      <c r="B87" s="114" t="e">
        <f>VLOOKUP(A87,'Data pick slip'!B:F,5,FALSE)</f>
        <v>#N/A</v>
      </c>
      <c r="C87" s="169"/>
      <c r="D87" s="169" t="e">
        <f>VLOOKUP(C87,Stock_list!D:L,2,FALSE)</f>
        <v>#N/A</v>
      </c>
      <c r="E87" s="281" t="e">
        <f>VLOOKUP(C87,Stock_list!D:L,9,FALSE)</f>
        <v>#N/A</v>
      </c>
      <c r="F87" s="170"/>
      <c r="G87" s="171"/>
      <c r="H87" s="172"/>
      <c r="I87" s="174"/>
      <c r="J87" s="173"/>
      <c r="K87" s="174"/>
      <c r="L87" s="175"/>
      <c r="M87" s="174"/>
      <c r="N87" s="176"/>
      <c r="O87" s="176"/>
      <c r="P87" s="173"/>
      <c r="Q87" s="177"/>
      <c r="R87" s="178"/>
      <c r="S87" s="173"/>
      <c r="T87" s="179"/>
      <c r="U87" s="145"/>
    </row>
    <row r="88" spans="1:21" ht="15" customHeight="1">
      <c r="A88" s="181"/>
      <c r="B88" s="114" t="e">
        <f>VLOOKUP(A88,'Data pick slip'!B:F,5,FALSE)</f>
        <v>#N/A</v>
      </c>
      <c r="C88" s="169"/>
      <c r="D88" s="169" t="e">
        <f>VLOOKUP(C88,Stock_list!D:L,2,FALSE)</f>
        <v>#N/A</v>
      </c>
      <c r="E88" s="281" t="e">
        <f>VLOOKUP(C88,Stock_list!D:L,9,FALSE)</f>
        <v>#N/A</v>
      </c>
      <c r="F88" s="170"/>
      <c r="G88" s="171"/>
      <c r="H88" s="172"/>
      <c r="I88" s="174"/>
      <c r="J88" s="173"/>
      <c r="K88" s="174"/>
      <c r="L88" s="175"/>
      <c r="M88" s="174"/>
      <c r="N88" s="176"/>
      <c r="O88" s="176"/>
      <c r="P88" s="173"/>
      <c r="Q88" s="177"/>
      <c r="R88" s="178"/>
      <c r="S88" s="173"/>
      <c r="T88" s="179"/>
      <c r="U88" s="145"/>
    </row>
    <row r="89" spans="1:21" ht="15" customHeight="1">
      <c r="A89" s="181"/>
      <c r="B89" s="114" t="e">
        <f>VLOOKUP(A89,'Data pick slip'!B:F,5,FALSE)</f>
        <v>#N/A</v>
      </c>
      <c r="C89" s="169"/>
      <c r="D89" s="169" t="e">
        <f>VLOOKUP(C89,Stock_list!D:L,2,FALSE)</f>
        <v>#N/A</v>
      </c>
      <c r="E89" s="281" t="e">
        <f>VLOOKUP(C89,Stock_list!D:L,9,FALSE)</f>
        <v>#N/A</v>
      </c>
      <c r="F89" s="170"/>
      <c r="G89" s="171"/>
      <c r="H89" s="172"/>
      <c r="I89" s="174"/>
      <c r="J89" s="173"/>
      <c r="K89" s="174"/>
      <c r="L89" s="175"/>
      <c r="M89" s="174"/>
      <c r="N89" s="176"/>
      <c r="O89" s="176"/>
      <c r="P89" s="173"/>
      <c r="Q89" s="177"/>
      <c r="R89" s="178"/>
      <c r="S89" s="173"/>
      <c r="T89" s="179"/>
      <c r="U89" s="145"/>
    </row>
    <row r="90" spans="1:21" ht="15" customHeight="1">
      <c r="A90" s="181"/>
      <c r="B90" s="114" t="e">
        <f>VLOOKUP(A90,'Data pick slip'!B:F,5,FALSE)</f>
        <v>#N/A</v>
      </c>
      <c r="C90" s="169"/>
      <c r="D90" s="169" t="e">
        <f>VLOOKUP(C90,Stock_list!D:L,2,FALSE)</f>
        <v>#N/A</v>
      </c>
      <c r="E90" s="281" t="e">
        <f>VLOOKUP(C90,Stock_list!D:L,9,FALSE)</f>
        <v>#N/A</v>
      </c>
      <c r="F90" s="170"/>
      <c r="G90" s="171"/>
      <c r="H90" s="172"/>
      <c r="I90" s="174"/>
      <c r="J90" s="173"/>
      <c r="K90" s="174"/>
      <c r="L90" s="175"/>
      <c r="M90" s="174"/>
      <c r="N90" s="176"/>
      <c r="O90" s="176"/>
      <c r="P90" s="173"/>
      <c r="Q90" s="177"/>
      <c r="R90" s="178"/>
      <c r="S90" s="173"/>
      <c r="T90" s="179"/>
      <c r="U90" s="145"/>
    </row>
    <row r="91" spans="1:21" ht="15" customHeight="1" thickBot="1">
      <c r="A91" s="182"/>
      <c r="B91" s="183" t="e">
        <f>VLOOKUP(A91,'Data pick slip'!B:F,5,FALSE)</f>
        <v>#N/A</v>
      </c>
      <c r="C91" s="184"/>
      <c r="D91" s="184" t="e">
        <f>VLOOKUP(C91,Stock_list!D:L,2,FALSE)</f>
        <v>#N/A</v>
      </c>
      <c r="E91" s="304" t="e">
        <f>VLOOKUP(C91,Stock_list!D:L,9,FALSE)</f>
        <v>#N/A</v>
      </c>
      <c r="F91" s="185"/>
      <c r="G91" s="186"/>
      <c r="H91" s="187"/>
      <c r="I91" s="189"/>
      <c r="J91" s="188"/>
      <c r="K91" s="189"/>
      <c r="L91" s="190"/>
      <c r="M91" s="189"/>
      <c r="N91" s="191"/>
      <c r="O91" s="191"/>
      <c r="P91" s="188"/>
      <c r="Q91" s="192"/>
      <c r="R91" s="193"/>
      <c r="S91" s="188"/>
      <c r="T91" s="194"/>
      <c r="U91" s="145"/>
    </row>
    <row r="92" spans="1:21" ht="16.5" customHeight="1">
      <c r="A92" s="159" t="s">
        <v>2744</v>
      </c>
      <c r="B92" s="114" t="str">
        <f>VLOOKUP(A92,'Data pick slip'!B:F,5,FALSE)</f>
        <v>KHJ-MC100-00</v>
      </c>
      <c r="F92" s="157" t="s">
        <v>2753</v>
      </c>
      <c r="H92" s="138">
        <v>1427</v>
      </c>
      <c r="I92" s="140" t="s">
        <v>124</v>
      </c>
      <c r="J92" s="139" t="s">
        <v>213</v>
      </c>
      <c r="K92" s="51" t="s">
        <v>21</v>
      </c>
      <c r="L92" s="4">
        <v>44454</v>
      </c>
      <c r="O92" s="132">
        <v>40</v>
      </c>
      <c r="P92" s="4" t="s">
        <v>25</v>
      </c>
      <c r="Q92" s="143"/>
      <c r="T92" s="144"/>
      <c r="U92" s="145">
        <f>VLOOKUP(H92,Stock_list!A:N,14,FALSE)</f>
        <v>0</v>
      </c>
    </row>
    <row r="93" spans="1:21" ht="16.5" customHeight="1">
      <c r="A93" s="159" t="s">
        <v>2744</v>
      </c>
      <c r="B93" s="114" t="str">
        <f>VLOOKUP(A93,'Data pick slip'!B:F,5,FALSE)</f>
        <v>KHJ-MC100-00</v>
      </c>
      <c r="F93" s="157" t="s">
        <v>2753</v>
      </c>
      <c r="H93" s="138">
        <v>1764</v>
      </c>
      <c r="I93" s="140" t="str">
        <f>VLOOKUP(H93,Stock_list!A:R,18,FALSE)</f>
        <v>乐迪泰</v>
      </c>
      <c r="J93" s="139" t="str">
        <f>VLOOKUP(H93,Stock_list!A:S,17,FALSE)</f>
        <v>C49SZX20220125RZ</v>
      </c>
      <c r="K93" s="51" t="str">
        <f>VLOOKUP(H93,Stock_list!A:T,16,FALSE)</f>
        <v>RMB</v>
      </c>
      <c r="L93" s="4">
        <v>44904</v>
      </c>
      <c r="M93" s="140">
        <v>10</v>
      </c>
      <c r="P93" s="4" t="str">
        <f>VLOOKUP(H93,Stock_list!A:Y,25,FALSE)</f>
        <v>Yes</v>
      </c>
      <c r="Q93" s="143"/>
      <c r="T93" s="144"/>
      <c r="U93" s="145" t="str">
        <f>VLOOKUP(H93,Stock_list!A:N,14,FALSE)</f>
        <v>DEC 22</v>
      </c>
    </row>
    <row r="94" spans="1:21" ht="16.5" customHeight="1">
      <c r="A94" s="159" t="s">
        <v>2747</v>
      </c>
      <c r="B94" s="114" t="str">
        <f>VLOOKUP(A94,'Data pick slip'!B:F,5,FALSE)</f>
        <v>KHJ-MC200-00</v>
      </c>
      <c r="F94" s="157" t="s">
        <v>2753</v>
      </c>
      <c r="H94" s="138">
        <v>1764</v>
      </c>
      <c r="I94" s="140" t="str">
        <f>VLOOKUP(H94,Stock_list!A:R,18,FALSE)</f>
        <v>乐迪泰</v>
      </c>
      <c r="J94" s="139" t="str">
        <f>VLOOKUP(H94,Stock_list!A:S,17,FALSE)</f>
        <v>C49SZX20220125RZ</v>
      </c>
      <c r="K94" s="51" t="str">
        <f>VLOOKUP(H94,Stock_list!A:T,16,FALSE)</f>
        <v>RMB</v>
      </c>
      <c r="L94" s="4">
        <v>44904</v>
      </c>
      <c r="M94" s="140">
        <v>10</v>
      </c>
      <c r="P94" s="4" t="str">
        <f>VLOOKUP(H94,Stock_list!A:Y,25,FALSE)</f>
        <v>Yes</v>
      </c>
      <c r="Q94" s="143"/>
      <c r="T94" s="144"/>
      <c r="U94" s="145" t="str">
        <f>VLOOKUP(H94,Stock_list!A:N,14,FALSE)</f>
        <v>DEC 22</v>
      </c>
    </row>
    <row r="95" spans="1:21" ht="16.5" customHeight="1">
      <c r="A95" s="159" t="s">
        <v>2744</v>
      </c>
      <c r="B95" s="114" t="str">
        <f>VLOOKUP(A95,'Data pick slip'!B:F,5,FALSE)</f>
        <v>KHJ-MC100-00</v>
      </c>
      <c r="F95" s="157" t="s">
        <v>2753</v>
      </c>
      <c r="H95" s="138">
        <v>1763</v>
      </c>
      <c r="I95" s="140" t="str">
        <f>VLOOKUP(H95,Stock_list!A:R,18,FALSE)</f>
        <v>莫思特</v>
      </c>
      <c r="J95" s="139" t="str">
        <f>VLOOKUP(H95,Stock_list!A:S,17,FALSE)</f>
        <v>C49SZX20220122SX</v>
      </c>
      <c r="K95" s="51" t="str">
        <f>VLOOKUP(H95,Stock_list!A:T,16,FALSE)</f>
        <v>RMB</v>
      </c>
      <c r="L95" s="4">
        <v>44900</v>
      </c>
      <c r="M95" s="140">
        <v>30</v>
      </c>
      <c r="P95" s="4" t="str">
        <f>VLOOKUP(H95,Stock_list!A:Y,25,FALSE)</f>
        <v>Yes</v>
      </c>
      <c r="Q95" s="143"/>
      <c r="T95" s="144"/>
      <c r="U95" s="145" t="str">
        <f>VLOOKUP(H95,Stock_list!A:N,14,FALSE)</f>
        <v>DEC 22</v>
      </c>
    </row>
    <row r="96" spans="1:21" ht="16.5" customHeight="1">
      <c r="A96" s="159" t="s">
        <v>2747</v>
      </c>
      <c r="B96" s="114" t="str">
        <f>VLOOKUP(A96,'Data pick slip'!B:F,5,FALSE)</f>
        <v>KHJ-MC200-00</v>
      </c>
      <c r="F96" s="157" t="s">
        <v>2753</v>
      </c>
      <c r="H96" s="138">
        <v>1763</v>
      </c>
      <c r="I96" s="140" t="str">
        <f>VLOOKUP(H96,Stock_list!A:R,18,FALSE)</f>
        <v>莫思特</v>
      </c>
      <c r="J96" s="139" t="str">
        <f>VLOOKUP(H96,Stock_list!A:S,17,FALSE)</f>
        <v>C49SZX20220122SX</v>
      </c>
      <c r="K96" s="51" t="str">
        <f>VLOOKUP(H96,Stock_list!A:T,16,FALSE)</f>
        <v>RMB</v>
      </c>
      <c r="L96" s="4">
        <v>44900</v>
      </c>
      <c r="M96" s="140">
        <v>10</v>
      </c>
      <c r="P96" s="4" t="str">
        <f>VLOOKUP(H96,Stock_list!A:Y,25,FALSE)</f>
        <v>Yes</v>
      </c>
      <c r="Q96" s="143"/>
      <c r="T96" s="144"/>
      <c r="U96" s="145" t="str">
        <f>VLOOKUP(H96,Stock_list!A:N,14,FALSE)</f>
        <v>DEC 22</v>
      </c>
    </row>
    <row r="97" spans="1:21" ht="16.5" customHeight="1">
      <c r="A97" s="159" t="s">
        <v>2748</v>
      </c>
      <c r="B97" s="114" t="str">
        <f>VLOOKUP(A97,'Data pick slip'!B:F,5,FALSE)</f>
        <v>KHJ-MC400-00</v>
      </c>
      <c r="F97" s="157" t="s">
        <v>2753</v>
      </c>
      <c r="H97" s="138">
        <v>1763</v>
      </c>
      <c r="I97" s="140" t="str">
        <f>VLOOKUP(H97,Stock_list!A:R,18,FALSE)</f>
        <v>莫思特</v>
      </c>
      <c r="J97" s="139" t="str">
        <f>VLOOKUP(H97,Stock_list!A:S,17,FALSE)</f>
        <v>C49SZX20220122SX</v>
      </c>
      <c r="K97" s="51" t="str">
        <f>VLOOKUP(H97,Stock_list!A:T,16,FALSE)</f>
        <v>RMB</v>
      </c>
      <c r="L97" s="4">
        <v>44900</v>
      </c>
      <c r="M97" s="140">
        <v>5</v>
      </c>
      <c r="P97" s="4" t="str">
        <f>VLOOKUP(H97,Stock_list!A:Y,25,FALSE)</f>
        <v>Yes</v>
      </c>
      <c r="Q97" s="143"/>
      <c r="T97" s="144"/>
      <c r="U97" s="145" t="str">
        <f>VLOOKUP(H97,Stock_list!A:N,14,FALSE)</f>
        <v>DEC 22</v>
      </c>
    </row>
    <row r="98" spans="1:21" ht="16.5" customHeight="1">
      <c r="A98" s="159" t="s">
        <v>2744</v>
      </c>
      <c r="B98" s="114" t="s">
        <v>2763</v>
      </c>
      <c r="F98" s="157" t="s">
        <v>1381</v>
      </c>
      <c r="H98" s="138">
        <v>1130</v>
      </c>
      <c r="I98" s="140" t="s">
        <v>119</v>
      </c>
      <c r="J98" s="139" t="s">
        <v>118</v>
      </c>
      <c r="K98" s="51" t="s">
        <v>21</v>
      </c>
      <c r="L98" s="4"/>
      <c r="N98" s="132">
        <v>20</v>
      </c>
      <c r="P98" s="4" t="s">
        <v>25</v>
      </c>
      <c r="Q98" s="143"/>
      <c r="T98" s="144"/>
      <c r="U98" s="145">
        <f>VLOOKUP(H98,Stock_list!A:N,14,FALSE)</f>
        <v>0</v>
      </c>
    </row>
    <row r="99" spans="1:21" ht="16.5" customHeight="1">
      <c r="A99" s="159" t="s">
        <v>2747</v>
      </c>
      <c r="B99" s="114" t="s">
        <v>2764</v>
      </c>
      <c r="F99" s="157" t="s">
        <v>1381</v>
      </c>
      <c r="H99" s="138">
        <v>1130</v>
      </c>
      <c r="I99" s="140" t="s">
        <v>119</v>
      </c>
      <c r="J99" s="139" t="s">
        <v>118</v>
      </c>
      <c r="K99" s="51" t="s">
        <v>21</v>
      </c>
      <c r="L99" s="4"/>
      <c r="N99" s="132">
        <v>10</v>
      </c>
      <c r="P99" s="4" t="s">
        <v>25</v>
      </c>
      <c r="Q99" s="143"/>
      <c r="T99" s="144"/>
      <c r="U99" s="145">
        <f>VLOOKUP(H99,Stock_list!A:N,14,FALSE)</f>
        <v>0</v>
      </c>
    </row>
    <row r="100" spans="1:21" ht="16.5" customHeight="1">
      <c r="A100" s="159" t="s">
        <v>2748</v>
      </c>
      <c r="B100" s="114" t="s">
        <v>2765</v>
      </c>
      <c r="F100" s="157" t="s">
        <v>1381</v>
      </c>
      <c r="H100" s="138">
        <v>1130</v>
      </c>
      <c r="I100" s="140" t="s">
        <v>119</v>
      </c>
      <c r="J100" s="139" t="s">
        <v>118</v>
      </c>
      <c r="K100" s="51" t="s">
        <v>21</v>
      </c>
      <c r="L100" s="4"/>
      <c r="N100" s="132">
        <v>1</v>
      </c>
      <c r="P100" s="4" t="s">
        <v>25</v>
      </c>
      <c r="Q100" s="143"/>
      <c r="T100" s="144"/>
      <c r="U100" s="145">
        <f>VLOOKUP(H100,Stock_list!A:N,14,FALSE)</f>
        <v>0</v>
      </c>
    </row>
    <row r="101" spans="1:21" ht="16.5" customHeight="1">
      <c r="A101" s="159" t="s">
        <v>2744</v>
      </c>
      <c r="B101" s="114" t="s">
        <v>2763</v>
      </c>
      <c r="F101" s="157" t="s">
        <v>1381</v>
      </c>
      <c r="H101" s="138">
        <v>1294</v>
      </c>
      <c r="I101" s="140" t="s">
        <v>2766</v>
      </c>
      <c r="J101" s="139" t="s">
        <v>2767</v>
      </c>
      <c r="K101" s="51" t="s">
        <v>21</v>
      </c>
      <c r="L101" s="4"/>
      <c r="N101" s="132">
        <v>45</v>
      </c>
      <c r="P101" s="4" t="s">
        <v>25</v>
      </c>
      <c r="Q101" s="143"/>
      <c r="T101" s="144"/>
      <c r="U101" s="145">
        <f>VLOOKUP(H101,Stock_list!A:N,14,FALSE)</f>
        <v>0</v>
      </c>
    </row>
    <row r="102" spans="1:21" ht="16.5" customHeight="1">
      <c r="A102" s="159" t="s">
        <v>2747</v>
      </c>
      <c r="B102" s="114" t="s">
        <v>2764</v>
      </c>
      <c r="F102" s="157" t="s">
        <v>1381</v>
      </c>
      <c r="H102" s="138">
        <v>1294</v>
      </c>
      <c r="I102" s="140" t="s">
        <v>2766</v>
      </c>
      <c r="J102" s="139" t="s">
        <v>2767</v>
      </c>
      <c r="K102" s="51" t="s">
        <v>21</v>
      </c>
      <c r="L102" s="4"/>
      <c r="N102" s="132">
        <v>5</v>
      </c>
      <c r="P102" s="4" t="s">
        <v>25</v>
      </c>
      <c r="Q102" s="143"/>
      <c r="T102" s="144"/>
      <c r="U102" s="145">
        <f>VLOOKUP(H102,Stock_list!A:N,14,FALSE)</f>
        <v>0</v>
      </c>
    </row>
    <row r="103" spans="1:21" ht="16.5" customHeight="1">
      <c r="A103" s="159" t="s">
        <v>2768</v>
      </c>
      <c r="B103" s="114" t="s">
        <v>2763</v>
      </c>
      <c r="F103" s="157" t="s">
        <v>1381</v>
      </c>
      <c r="H103" s="138">
        <v>1427</v>
      </c>
      <c r="I103" s="140" t="s">
        <v>124</v>
      </c>
      <c r="J103" s="139" t="s">
        <v>213</v>
      </c>
      <c r="K103" s="51" t="s">
        <v>21</v>
      </c>
      <c r="L103" s="4"/>
      <c r="N103" s="132">
        <v>70</v>
      </c>
      <c r="P103" s="4" t="s">
        <v>25</v>
      </c>
      <c r="Q103" s="143"/>
      <c r="T103" s="144"/>
      <c r="U103" s="145">
        <f>VLOOKUP(H103,Stock_list!A:N,14,FALSE)</f>
        <v>0</v>
      </c>
    </row>
    <row r="104" spans="1:21" ht="16.5" customHeight="1">
      <c r="A104" s="159" t="s">
        <v>2747</v>
      </c>
      <c r="B104" s="114" t="s">
        <v>2764</v>
      </c>
      <c r="F104" s="157" t="s">
        <v>1381</v>
      </c>
      <c r="H104" s="138">
        <v>1427</v>
      </c>
      <c r="I104" s="140" t="s">
        <v>124</v>
      </c>
      <c r="J104" s="139" t="s">
        <v>213</v>
      </c>
      <c r="K104" s="51" t="s">
        <v>21</v>
      </c>
      <c r="L104" s="4"/>
      <c r="N104" s="132">
        <v>20</v>
      </c>
      <c r="P104" s="4" t="s">
        <v>25</v>
      </c>
      <c r="Q104" s="143"/>
      <c r="T104" s="144"/>
      <c r="U104" s="145">
        <f>VLOOKUP(H104,Stock_list!A:N,14,FALSE)</f>
        <v>0</v>
      </c>
    </row>
    <row r="105" spans="1:21" ht="16.5" customHeight="1">
      <c r="A105" s="159" t="s">
        <v>2748</v>
      </c>
      <c r="B105" s="114" t="s">
        <v>2765</v>
      </c>
      <c r="F105" s="157" t="s">
        <v>1381</v>
      </c>
      <c r="H105" s="138">
        <v>1427</v>
      </c>
      <c r="I105" s="140" t="s">
        <v>124</v>
      </c>
      <c r="J105" s="139" t="s">
        <v>213</v>
      </c>
      <c r="K105" s="51" t="s">
        <v>21</v>
      </c>
      <c r="L105" s="4"/>
      <c r="N105" s="132">
        <v>4</v>
      </c>
      <c r="P105" s="4" t="s">
        <v>25</v>
      </c>
      <c r="Q105" s="143"/>
      <c r="T105" s="144"/>
      <c r="U105" s="145">
        <f>VLOOKUP(H105,Stock_list!A:N,14,FALSE)</f>
        <v>0</v>
      </c>
    </row>
    <row r="106" spans="1:21" ht="16.5" customHeight="1">
      <c r="A106" s="159" t="s">
        <v>2768</v>
      </c>
      <c r="B106" s="114" t="s">
        <v>2763</v>
      </c>
      <c r="F106" s="157" t="s">
        <v>1381</v>
      </c>
      <c r="H106" s="138">
        <v>1480</v>
      </c>
      <c r="I106" s="140" t="s">
        <v>225</v>
      </c>
      <c r="J106" s="139" t="s">
        <v>224</v>
      </c>
      <c r="K106" s="51" t="s">
        <v>21</v>
      </c>
      <c r="L106" s="4">
        <v>45068</v>
      </c>
      <c r="M106" s="143">
        <v>70</v>
      </c>
      <c r="P106" s="4" t="s">
        <v>25</v>
      </c>
      <c r="Q106" s="143"/>
      <c r="T106" s="144"/>
      <c r="U106" s="145" t="str">
        <f>VLOOKUP(H106,Stock_list!A:N,14,FALSE)</f>
        <v>MAY 23</v>
      </c>
    </row>
    <row r="107" spans="1:21" ht="16.5" customHeight="1">
      <c r="A107" s="159" t="s">
        <v>2747</v>
      </c>
      <c r="B107" s="114" t="s">
        <v>2764</v>
      </c>
      <c r="F107" s="157" t="s">
        <v>1381</v>
      </c>
      <c r="H107" s="138">
        <v>1480</v>
      </c>
      <c r="I107" s="140" t="s">
        <v>225</v>
      </c>
      <c r="J107" s="139" t="s">
        <v>224</v>
      </c>
      <c r="K107" s="51" t="s">
        <v>21</v>
      </c>
      <c r="L107" s="4">
        <v>45068</v>
      </c>
      <c r="M107" s="143">
        <v>11</v>
      </c>
      <c r="P107" s="4" t="s">
        <v>25</v>
      </c>
      <c r="Q107" s="143"/>
      <c r="T107" s="144"/>
      <c r="U107" s="145" t="str">
        <f>VLOOKUP(H107,Stock_list!A:N,14,FALSE)</f>
        <v>MAY 23</v>
      </c>
    </row>
    <row r="108" spans="1:21" ht="16.5" customHeight="1">
      <c r="A108" s="159" t="s">
        <v>2748</v>
      </c>
      <c r="B108" s="114" t="s">
        <v>2765</v>
      </c>
      <c r="F108" s="157" t="s">
        <v>1381</v>
      </c>
      <c r="H108" s="138">
        <v>1480</v>
      </c>
      <c r="I108" s="140" t="s">
        <v>225</v>
      </c>
      <c r="J108" s="139" t="s">
        <v>224</v>
      </c>
      <c r="K108" s="51" t="s">
        <v>21</v>
      </c>
      <c r="L108" s="4">
        <v>45068</v>
      </c>
      <c r="M108" s="143">
        <v>4</v>
      </c>
      <c r="P108" s="4" t="s">
        <v>25</v>
      </c>
      <c r="Q108" s="143"/>
      <c r="T108" s="144"/>
      <c r="U108" s="145" t="str">
        <f>VLOOKUP(H108,Stock_list!A:N,14,FALSE)</f>
        <v>MAY 23</v>
      </c>
    </row>
    <row r="109" spans="1:21" ht="16.5" customHeight="1">
      <c r="A109" s="159" t="s">
        <v>2749</v>
      </c>
      <c r="B109" s="114" t="s">
        <v>2769</v>
      </c>
      <c r="F109" s="157" t="s">
        <v>1381</v>
      </c>
      <c r="H109" s="138">
        <v>1480</v>
      </c>
      <c r="I109" s="140" t="s">
        <v>225</v>
      </c>
      <c r="J109" s="139" t="s">
        <v>224</v>
      </c>
      <c r="K109" s="51" t="s">
        <v>21</v>
      </c>
      <c r="L109" s="4">
        <v>45068</v>
      </c>
      <c r="M109" s="143">
        <v>1</v>
      </c>
      <c r="P109" s="4" t="s">
        <v>25</v>
      </c>
      <c r="Q109" s="143"/>
      <c r="T109" s="144"/>
      <c r="U109" s="145" t="str">
        <f>VLOOKUP(H109,Stock_list!A:N,14,FALSE)</f>
        <v>MAY 23</v>
      </c>
    </row>
    <row r="110" spans="1:21" ht="16.5" customHeight="1">
      <c r="A110" s="159" t="s">
        <v>2755</v>
      </c>
      <c r="B110" s="114" t="s">
        <v>2770</v>
      </c>
      <c r="F110" s="157" t="s">
        <v>1381</v>
      </c>
      <c r="H110" s="138">
        <v>1532</v>
      </c>
      <c r="I110" s="140" t="s">
        <v>209</v>
      </c>
      <c r="J110" s="139" t="s">
        <v>210</v>
      </c>
      <c r="K110" s="51" t="s">
        <v>21</v>
      </c>
      <c r="L110" s="290">
        <v>45138</v>
      </c>
      <c r="M110" s="132">
        <v>50</v>
      </c>
      <c r="P110" s="4" t="s">
        <v>25</v>
      </c>
      <c r="Q110" s="143"/>
      <c r="T110" s="144"/>
      <c r="U110" s="145" t="str">
        <f>VLOOKUP(H110,Stock_list!A:N,14,FALSE)</f>
        <v>JUL 23</v>
      </c>
    </row>
    <row r="111" spans="1:21" ht="16.5" customHeight="1">
      <c r="A111" s="159" t="s">
        <v>2744</v>
      </c>
      <c r="B111" s="114" t="s">
        <v>2763</v>
      </c>
      <c r="F111" s="157" t="s">
        <v>1381</v>
      </c>
      <c r="H111" s="138">
        <v>1652</v>
      </c>
      <c r="I111" s="140" t="s">
        <v>211</v>
      </c>
      <c r="J111" s="139" t="s">
        <v>212</v>
      </c>
      <c r="K111" s="51" t="s">
        <v>21</v>
      </c>
      <c r="L111" s="4">
        <v>44789</v>
      </c>
      <c r="M111" s="331">
        <v>30</v>
      </c>
      <c r="N111" s="132">
        <v>50</v>
      </c>
      <c r="P111" s="4" t="s">
        <v>25</v>
      </c>
      <c r="Q111" s="143"/>
      <c r="T111" s="144"/>
      <c r="U111" s="145">
        <f>VLOOKUP(H111,Stock_list!A:N,14,FALSE)</f>
        <v>0</v>
      </c>
    </row>
    <row r="112" spans="1:21" ht="16.5" customHeight="1">
      <c r="A112" s="159" t="s">
        <v>2754</v>
      </c>
      <c r="B112" s="114" t="s">
        <v>2772</v>
      </c>
      <c r="F112" s="157" t="s">
        <v>2773</v>
      </c>
      <c r="H112" s="138">
        <v>1656</v>
      </c>
      <c r="I112" s="140" t="s">
        <v>230</v>
      </c>
      <c r="J112" s="139" t="s">
        <v>229</v>
      </c>
      <c r="K112" s="51" t="s">
        <v>36</v>
      </c>
      <c r="L112" s="4">
        <v>45156</v>
      </c>
      <c r="M112" s="132">
        <v>2</v>
      </c>
      <c r="P112" s="4" t="s">
        <v>25</v>
      </c>
      <c r="Q112" s="143"/>
      <c r="T112" s="144"/>
      <c r="U112" s="145" t="str">
        <f>VLOOKUP(H112,Stock_list!A:N,14,FALSE)</f>
        <v>AUG 23</v>
      </c>
    </row>
    <row r="113" spans="1:21" ht="16.5" customHeight="1">
      <c r="A113" s="159" t="s">
        <v>2744</v>
      </c>
      <c r="B113" s="114" t="s">
        <v>2763</v>
      </c>
      <c r="F113" s="157" t="s">
        <v>2773</v>
      </c>
      <c r="H113" s="138">
        <v>1656</v>
      </c>
      <c r="I113" s="140" t="s">
        <v>230</v>
      </c>
      <c r="J113" s="139" t="s">
        <v>229</v>
      </c>
      <c r="K113" s="51" t="s">
        <v>36</v>
      </c>
      <c r="L113" s="4">
        <v>45156</v>
      </c>
      <c r="M113" s="132">
        <v>80</v>
      </c>
      <c r="P113" s="4" t="s">
        <v>25</v>
      </c>
      <c r="Q113" s="143"/>
      <c r="T113" s="144"/>
      <c r="U113" s="145" t="str">
        <f>VLOOKUP(H113,Stock_list!A:N,14,FALSE)</f>
        <v>AUG 23</v>
      </c>
    </row>
    <row r="114" spans="1:21" ht="16.5" customHeight="1">
      <c r="A114" s="159" t="s">
        <v>2747</v>
      </c>
      <c r="B114" s="114" t="s">
        <v>2764</v>
      </c>
      <c r="F114" s="157" t="s">
        <v>2773</v>
      </c>
      <c r="H114" s="138">
        <v>1656</v>
      </c>
      <c r="I114" s="140" t="s">
        <v>230</v>
      </c>
      <c r="J114" s="139" t="s">
        <v>229</v>
      </c>
      <c r="K114" s="51" t="s">
        <v>36</v>
      </c>
      <c r="L114" s="4">
        <v>45156</v>
      </c>
      <c r="M114" s="132">
        <v>20</v>
      </c>
      <c r="P114" s="4" t="s">
        <v>25</v>
      </c>
      <c r="Q114" s="143"/>
      <c r="T114" s="144"/>
      <c r="U114" s="145" t="str">
        <f>VLOOKUP(H114,Stock_list!A:N,14,FALSE)</f>
        <v>AUG 23</v>
      </c>
    </row>
    <row r="115" spans="1:21" ht="16.5" customHeight="1">
      <c r="A115" s="159" t="s">
        <v>2748</v>
      </c>
      <c r="B115" s="114" t="s">
        <v>2765</v>
      </c>
      <c r="F115" s="157" t="s">
        <v>2773</v>
      </c>
      <c r="H115" s="138">
        <v>1656</v>
      </c>
      <c r="I115" s="140" t="s">
        <v>230</v>
      </c>
      <c r="J115" s="139" t="s">
        <v>229</v>
      </c>
      <c r="K115" s="51" t="s">
        <v>36</v>
      </c>
      <c r="L115" s="4">
        <v>45156</v>
      </c>
      <c r="M115" s="132">
        <v>10</v>
      </c>
      <c r="P115" s="4" t="s">
        <v>25</v>
      </c>
      <c r="Q115" s="143"/>
      <c r="T115" s="144"/>
      <c r="U115" s="145" t="str">
        <f>VLOOKUP(H115,Stock_list!A:N,14,FALSE)</f>
        <v>AUG 23</v>
      </c>
    </row>
    <row r="116" spans="1:21" ht="16.5" customHeight="1">
      <c r="A116" s="159" t="s">
        <v>2749</v>
      </c>
      <c r="B116" s="114" t="s">
        <v>2769</v>
      </c>
      <c r="F116" s="157" t="s">
        <v>2773</v>
      </c>
      <c r="H116" s="138">
        <v>1656</v>
      </c>
      <c r="I116" s="140" t="s">
        <v>230</v>
      </c>
      <c r="J116" s="139" t="s">
        <v>229</v>
      </c>
      <c r="K116" s="51" t="s">
        <v>36</v>
      </c>
      <c r="L116" s="4">
        <v>45156</v>
      </c>
      <c r="M116" s="132">
        <v>2</v>
      </c>
      <c r="P116" s="4" t="s">
        <v>25</v>
      </c>
      <c r="Q116" s="143"/>
      <c r="T116" s="144"/>
      <c r="U116" s="145" t="str">
        <f>VLOOKUP(H116,Stock_list!A:N,14,FALSE)</f>
        <v>AUG 23</v>
      </c>
    </row>
    <row r="117" spans="1:21" ht="16.5" customHeight="1">
      <c r="A117" s="159" t="s">
        <v>2750</v>
      </c>
      <c r="B117" s="114" t="s">
        <v>2774</v>
      </c>
      <c r="F117" s="157" t="s">
        <v>2773</v>
      </c>
      <c r="H117" s="138">
        <v>1656</v>
      </c>
      <c r="I117" s="140" t="s">
        <v>230</v>
      </c>
      <c r="J117" s="139" t="s">
        <v>229</v>
      </c>
      <c r="K117" s="51" t="s">
        <v>36</v>
      </c>
      <c r="L117" s="4">
        <v>45156</v>
      </c>
      <c r="M117" s="132">
        <v>1</v>
      </c>
      <c r="P117" s="4" t="s">
        <v>25</v>
      </c>
      <c r="Q117" s="143"/>
      <c r="T117" s="144"/>
      <c r="U117" s="145" t="str">
        <f>VLOOKUP(H117,Stock_list!A:N,14,FALSE)</f>
        <v>AUG 23</v>
      </c>
    </row>
    <row r="118" spans="1:21" ht="16.5" customHeight="1">
      <c r="A118" s="159" t="s">
        <v>2751</v>
      </c>
      <c r="B118" s="114" t="s">
        <v>2775</v>
      </c>
      <c r="F118" s="157" t="s">
        <v>2773</v>
      </c>
      <c r="H118" s="138">
        <v>1656</v>
      </c>
      <c r="I118" s="140" t="s">
        <v>230</v>
      </c>
      <c r="J118" s="139" t="s">
        <v>229</v>
      </c>
      <c r="K118" s="51" t="s">
        <v>36</v>
      </c>
      <c r="L118" s="4">
        <v>45156</v>
      </c>
      <c r="M118" s="132">
        <v>1</v>
      </c>
      <c r="P118" s="4" t="s">
        <v>25</v>
      </c>
      <c r="Q118" s="143"/>
      <c r="T118" s="144"/>
      <c r="U118" s="145" t="str">
        <f>VLOOKUP(H118,Stock_list!A:N,14,FALSE)</f>
        <v>AUG 23</v>
      </c>
    </row>
    <row r="119" spans="1:21" ht="16.5" customHeight="1">
      <c r="A119" s="159" t="s">
        <v>2744</v>
      </c>
      <c r="B119" s="114" t="s">
        <v>2763</v>
      </c>
      <c r="F119" s="157" t="s">
        <v>2753</v>
      </c>
      <c r="H119" s="138">
        <v>1719</v>
      </c>
      <c r="I119" s="140" t="s">
        <v>228</v>
      </c>
      <c r="J119" s="139" t="s">
        <v>227</v>
      </c>
      <c r="K119" s="51" t="s">
        <v>36</v>
      </c>
      <c r="L119" s="4">
        <v>45121</v>
      </c>
      <c r="M119" s="132">
        <v>32</v>
      </c>
      <c r="P119" s="4" t="s">
        <v>25</v>
      </c>
      <c r="Q119" s="143"/>
      <c r="T119" s="144"/>
      <c r="U119" s="145" t="str">
        <f>VLOOKUP(H119,Stock_list!A:N,14,FALSE)</f>
        <v>JUL 23</v>
      </c>
    </row>
    <row r="120" spans="1:21" ht="16.5" customHeight="1">
      <c r="A120" s="159" t="s">
        <v>2747</v>
      </c>
      <c r="B120" s="114" t="s">
        <v>2764</v>
      </c>
      <c r="F120" s="157" t="s">
        <v>2753</v>
      </c>
      <c r="H120" s="138">
        <v>1719</v>
      </c>
      <c r="I120" s="140" t="s">
        <v>228</v>
      </c>
      <c r="J120" s="139" t="s">
        <v>227</v>
      </c>
      <c r="K120" s="51" t="s">
        <v>36</v>
      </c>
      <c r="L120" s="4">
        <v>45121</v>
      </c>
      <c r="M120" s="132">
        <v>7</v>
      </c>
      <c r="P120" s="4" t="s">
        <v>25</v>
      </c>
      <c r="Q120" s="143"/>
      <c r="T120" s="144"/>
      <c r="U120" s="145" t="str">
        <f>VLOOKUP(H120,Stock_list!A:N,14,FALSE)</f>
        <v>JUL 23</v>
      </c>
    </row>
    <row r="121" spans="1:21" ht="16.5" customHeight="1">
      <c r="A121" s="159" t="s">
        <v>2748</v>
      </c>
      <c r="B121" s="114" t="s">
        <v>2765</v>
      </c>
      <c r="F121" s="157" t="s">
        <v>2753</v>
      </c>
      <c r="H121" s="138">
        <v>1719</v>
      </c>
      <c r="I121" s="140" t="s">
        <v>228</v>
      </c>
      <c r="J121" s="139" t="s">
        <v>227</v>
      </c>
      <c r="K121" s="51" t="s">
        <v>36</v>
      </c>
      <c r="L121" s="4">
        <v>45121</v>
      </c>
      <c r="M121" s="132">
        <v>2</v>
      </c>
      <c r="P121" s="4" t="s">
        <v>25</v>
      </c>
      <c r="Q121" s="143"/>
      <c r="T121" s="144"/>
      <c r="U121" s="145" t="str">
        <f>VLOOKUP(H121,Stock_list!A:N,14,FALSE)</f>
        <v>JUL 23</v>
      </c>
    </row>
    <row r="122" spans="1:21" ht="16.5" customHeight="1">
      <c r="A122" s="159" t="s">
        <v>2755</v>
      </c>
      <c r="B122" s="114" t="s">
        <v>2770</v>
      </c>
      <c r="F122" s="157" t="s">
        <v>2753</v>
      </c>
      <c r="H122" s="138">
        <v>1767</v>
      </c>
      <c r="I122" s="140" t="s">
        <v>150</v>
      </c>
      <c r="J122" s="139" t="s">
        <v>2776</v>
      </c>
      <c r="K122" s="51" t="s">
        <v>36</v>
      </c>
      <c r="L122" s="4">
        <v>44910</v>
      </c>
      <c r="M122" s="140">
        <v>6</v>
      </c>
      <c r="P122" s="4" t="s">
        <v>25</v>
      </c>
      <c r="Q122" s="143"/>
      <c r="T122" s="144"/>
      <c r="U122" s="145" t="str">
        <f>VLOOKUP(H122,Stock_list!A:N,14,FALSE)</f>
        <v>DEC 22</v>
      </c>
    </row>
    <row r="123" spans="1:21" ht="16.5" customHeight="1">
      <c r="A123" s="159" t="s">
        <v>2744</v>
      </c>
      <c r="B123" s="114" t="s">
        <v>2763</v>
      </c>
      <c r="F123" s="157" t="s">
        <v>2753</v>
      </c>
      <c r="H123" s="138">
        <v>1770</v>
      </c>
      <c r="I123" s="140" t="s">
        <v>129</v>
      </c>
      <c r="J123" s="139" t="s">
        <v>218</v>
      </c>
      <c r="K123" s="51" t="s">
        <v>36</v>
      </c>
      <c r="L123" s="4">
        <v>44973</v>
      </c>
      <c r="M123" s="143">
        <v>113</v>
      </c>
      <c r="P123" s="4" t="str">
        <f>VLOOKUP(H123,Stock_list!A:Y,25,FALSE)</f>
        <v>Yes</v>
      </c>
      <c r="T123" s="144"/>
      <c r="U123" s="145" t="str">
        <f>VLOOKUP(H123,Stock_list!A:N,14,FALSE)</f>
        <v>FEB 23</v>
      </c>
    </row>
    <row r="124" spans="1:21" ht="16.5" customHeight="1">
      <c r="A124" s="159" t="s">
        <v>2747</v>
      </c>
      <c r="B124" s="114" t="s">
        <v>2764</v>
      </c>
      <c r="F124" s="157" t="s">
        <v>2753</v>
      </c>
      <c r="H124" s="138">
        <v>1770</v>
      </c>
      <c r="I124" s="140" t="s">
        <v>129</v>
      </c>
      <c r="J124" s="139" t="s">
        <v>218</v>
      </c>
      <c r="K124" s="51" t="s">
        <v>36</v>
      </c>
      <c r="L124" s="4">
        <v>44973</v>
      </c>
      <c r="M124" s="143">
        <v>10</v>
      </c>
      <c r="P124" s="4" t="str">
        <f>VLOOKUP(H124,Stock_list!A:Y,25,FALSE)</f>
        <v>Yes</v>
      </c>
      <c r="T124" s="144"/>
      <c r="U124" s="145" t="str">
        <f>VLOOKUP(H124,Stock_list!A:N,14,FALSE)</f>
        <v>FEB 23</v>
      </c>
    </row>
    <row r="125" spans="1:21" ht="16.5" customHeight="1">
      <c r="A125" s="159" t="s">
        <v>2748</v>
      </c>
      <c r="B125" s="114" t="s">
        <v>2765</v>
      </c>
      <c r="F125" s="157" t="s">
        <v>2753</v>
      </c>
      <c r="H125" s="138">
        <v>1770</v>
      </c>
      <c r="I125" s="140" t="s">
        <v>129</v>
      </c>
      <c r="J125" s="139" t="s">
        <v>218</v>
      </c>
      <c r="K125" s="51" t="s">
        <v>36</v>
      </c>
      <c r="L125" s="4">
        <v>44973</v>
      </c>
      <c r="M125" s="143">
        <v>5</v>
      </c>
      <c r="P125" s="4" t="str">
        <f>VLOOKUP(H125,Stock_list!A:Y,25,FALSE)</f>
        <v>Yes</v>
      </c>
      <c r="T125" s="144"/>
      <c r="U125" s="145" t="str">
        <f>VLOOKUP(H125,Stock_list!A:N,14,FALSE)</f>
        <v>FEB 23</v>
      </c>
    </row>
    <row r="126" spans="1:21" ht="16.5" customHeight="1">
      <c r="A126" s="159" t="s">
        <v>2744</v>
      </c>
      <c r="B126" s="114" t="str">
        <f>VLOOKUP(A126,'Data pick slip'!B:F,5,FALSE)</f>
        <v>KHJ-MC100-00</v>
      </c>
      <c r="F126" s="157" t="s">
        <v>2753</v>
      </c>
      <c r="H126" s="138">
        <v>1783</v>
      </c>
      <c r="I126" s="140" t="str">
        <f>VLOOKUP(H126,Stock_list!A:R,18,FALSE)</f>
        <v>海红天远</v>
      </c>
      <c r="J126" s="139" t="str">
        <f>VLOOKUP(H126,Stock_list!A:S,17,FALSE)</f>
        <v>C49SZX20220127EC</v>
      </c>
      <c r="K126" s="51" t="str">
        <f>VLOOKUP(H126,Stock_list!A:T,16,FALSE)</f>
        <v>RMB</v>
      </c>
      <c r="L126" s="4">
        <v>44925</v>
      </c>
      <c r="M126" s="143">
        <v>210</v>
      </c>
      <c r="P126" s="4" t="str">
        <f>VLOOKUP(H126,Stock_list!A:Y,25,FALSE)</f>
        <v>Yes</v>
      </c>
      <c r="T126" s="144"/>
      <c r="U126" s="145" t="str">
        <f>VLOOKUP(H126,Stock_list!A:N,14,FALSE)</f>
        <v>DEC 22</v>
      </c>
    </row>
    <row r="127" spans="1:21" ht="16.5" customHeight="1">
      <c r="A127" s="159" t="s">
        <v>2747</v>
      </c>
      <c r="B127" s="114" t="str">
        <f>VLOOKUP(A127,'Data pick slip'!B:F,5,FALSE)</f>
        <v>KHJ-MC200-00</v>
      </c>
      <c r="F127" s="157" t="s">
        <v>2753</v>
      </c>
      <c r="H127" s="138">
        <v>1783</v>
      </c>
      <c r="I127" s="140" t="str">
        <f>VLOOKUP(H127,Stock_list!A:R,18,FALSE)</f>
        <v>海红天远</v>
      </c>
      <c r="J127" s="139" t="str">
        <f>VLOOKUP(H127,Stock_list!A:S,17,FALSE)</f>
        <v>C49SZX20220127EC</v>
      </c>
      <c r="K127" s="51" t="str">
        <f>VLOOKUP(H127,Stock_list!A:T,16,FALSE)</f>
        <v>RMB</v>
      </c>
      <c r="L127" s="4">
        <v>44925</v>
      </c>
      <c r="M127" s="143">
        <v>60</v>
      </c>
      <c r="P127" s="4" t="str">
        <f>VLOOKUP(H127,Stock_list!A:Y,25,FALSE)</f>
        <v>Yes</v>
      </c>
      <c r="T127" s="144"/>
      <c r="U127" s="145" t="str">
        <f>VLOOKUP(H127,Stock_list!A:N,14,FALSE)</f>
        <v>DEC 22</v>
      </c>
    </row>
    <row r="128" spans="1:21" ht="16.5" customHeight="1">
      <c r="A128" s="159" t="s">
        <v>2748</v>
      </c>
      <c r="B128" s="114" t="str">
        <f>VLOOKUP(A128,'Data pick slip'!B:F,5,FALSE)</f>
        <v>KHJ-MC400-00</v>
      </c>
      <c r="F128" s="157" t="s">
        <v>2753</v>
      </c>
      <c r="H128" s="138">
        <v>1783</v>
      </c>
      <c r="I128" s="140" t="str">
        <f>VLOOKUP(H128,Stock_list!A:R,18,FALSE)</f>
        <v>海红天远</v>
      </c>
      <c r="J128" s="139" t="str">
        <f>VLOOKUP(H128,Stock_list!A:S,17,FALSE)</f>
        <v>C49SZX20220127EC</v>
      </c>
      <c r="K128" s="51" t="str">
        <f>VLOOKUP(H128,Stock_list!A:T,16,FALSE)</f>
        <v>RMB</v>
      </c>
      <c r="L128" s="4">
        <v>44925</v>
      </c>
      <c r="M128" s="143">
        <v>8</v>
      </c>
      <c r="P128" s="4" t="str">
        <f>VLOOKUP(H128,Stock_list!A:Y,25,FALSE)</f>
        <v>Yes</v>
      </c>
      <c r="T128" s="144"/>
      <c r="U128" s="145" t="str">
        <f>VLOOKUP(H128,Stock_list!A:N,14,FALSE)</f>
        <v>DEC 22</v>
      </c>
    </row>
    <row r="129" spans="1:21" ht="16.5" customHeight="1">
      <c r="A129" s="159" t="s">
        <v>2749</v>
      </c>
      <c r="B129" s="114" t="str">
        <f>VLOOKUP(A129,'Data pick slip'!B:F,5,FALSE)</f>
        <v>KHJ-MC500-00</v>
      </c>
      <c r="F129" s="157" t="s">
        <v>2753</v>
      </c>
      <c r="H129" s="138">
        <v>1783</v>
      </c>
      <c r="I129" s="140" t="str">
        <f>VLOOKUP(H129,Stock_list!A:R,18,FALSE)</f>
        <v>海红天远</v>
      </c>
      <c r="J129" s="139" t="str">
        <f>VLOOKUP(H129,Stock_list!A:S,17,FALSE)</f>
        <v>C49SZX20220127EC</v>
      </c>
      <c r="K129" s="51" t="str">
        <f>VLOOKUP(H129,Stock_list!A:T,16,FALSE)</f>
        <v>RMB</v>
      </c>
      <c r="L129" s="4">
        <v>44925</v>
      </c>
      <c r="M129" s="143">
        <v>5</v>
      </c>
      <c r="P129" s="4" t="str">
        <f>VLOOKUP(H129,Stock_list!A:Y,25,FALSE)</f>
        <v>Yes</v>
      </c>
      <c r="T129" s="144"/>
      <c r="U129" s="145" t="str">
        <f>VLOOKUP(H129,Stock_list!A:N,14,FALSE)</f>
        <v>DEC 22</v>
      </c>
    </row>
    <row r="130" spans="1:21" ht="16.5" customHeight="1">
      <c r="A130" s="159" t="s">
        <v>2750</v>
      </c>
      <c r="B130" s="114" t="str">
        <f>VLOOKUP(A130,'Data pick slip'!B:F,5,FALSE)</f>
        <v>KHJ-MC600-00</v>
      </c>
      <c r="F130" s="157" t="s">
        <v>2753</v>
      </c>
      <c r="H130" s="138">
        <v>1783</v>
      </c>
      <c r="I130" s="140" t="str">
        <f>VLOOKUP(H130,Stock_list!A:R,18,FALSE)</f>
        <v>海红天远</v>
      </c>
      <c r="J130" s="139" t="str">
        <f>VLOOKUP(H130,Stock_list!A:S,17,FALSE)</f>
        <v>C49SZX20220127EC</v>
      </c>
      <c r="K130" s="51" t="str">
        <f>VLOOKUP(H130,Stock_list!A:T,16,FALSE)</f>
        <v>RMB</v>
      </c>
      <c r="L130" s="4">
        <v>44925</v>
      </c>
      <c r="M130" s="143">
        <v>2</v>
      </c>
      <c r="P130" s="4" t="str">
        <f>VLOOKUP(H130,Stock_list!A:Y,25,FALSE)</f>
        <v>Yes</v>
      </c>
      <c r="T130" s="144"/>
      <c r="U130" s="145" t="str">
        <f>VLOOKUP(H130,Stock_list!A:N,14,FALSE)</f>
        <v>DEC 22</v>
      </c>
    </row>
    <row r="131" spans="1:21" ht="16.5" customHeight="1">
      <c r="A131" s="159" t="s">
        <v>2751</v>
      </c>
      <c r="B131" s="114" t="str">
        <f>VLOOKUP(A131,'Data pick slip'!B:F,5,FALSE)</f>
        <v>KHJ-MC700-00</v>
      </c>
      <c r="F131" s="157" t="s">
        <v>2753</v>
      </c>
      <c r="H131" s="138">
        <v>1783</v>
      </c>
      <c r="I131" s="140" t="str">
        <f>VLOOKUP(H131,Stock_list!A:R,18,FALSE)</f>
        <v>海红天远</v>
      </c>
      <c r="J131" s="139" t="str">
        <f>VLOOKUP(H131,Stock_list!A:S,17,FALSE)</f>
        <v>C49SZX20220127EC</v>
      </c>
      <c r="K131" s="51" t="str">
        <f>VLOOKUP(H131,Stock_list!A:T,16,FALSE)</f>
        <v>RMB</v>
      </c>
      <c r="L131" s="4">
        <v>44925</v>
      </c>
      <c r="M131" s="143">
        <v>3</v>
      </c>
      <c r="P131" s="4" t="str">
        <f>VLOOKUP(H131,Stock_list!A:Y,25,FALSE)</f>
        <v>Yes</v>
      </c>
      <c r="T131" s="144"/>
      <c r="U131" s="145" t="str">
        <f>VLOOKUP(H131,Stock_list!A:N,14,FALSE)</f>
        <v>DEC 22</v>
      </c>
    </row>
    <row r="132" spans="1:21" ht="16.5" customHeight="1">
      <c r="A132" s="159" t="s">
        <v>2744</v>
      </c>
      <c r="B132" s="114" t="str">
        <f>VLOOKUP(A132,'Data pick slip'!B:F,5,FALSE)</f>
        <v>KHJ-MC100-00</v>
      </c>
      <c r="F132" s="157" t="s">
        <v>1381</v>
      </c>
      <c r="H132" s="138">
        <v>1788</v>
      </c>
      <c r="I132" s="140" t="str">
        <f>VLOOKUP(H132,Stock_list!A:R,18,FALSE)</f>
        <v>海红天远</v>
      </c>
      <c r="J132" s="139" t="str">
        <f>VLOOKUP(H132,Stock_list!A:S,17,FALSE)</f>
        <v>C49SZX20220128EC</v>
      </c>
      <c r="K132" s="51" t="str">
        <f>VLOOKUP(H132,Stock_list!A:T,16,FALSE)</f>
        <v>JPY</v>
      </c>
      <c r="L132" s="4">
        <v>45013</v>
      </c>
      <c r="M132" s="140">
        <v>235</v>
      </c>
      <c r="N132" s="143"/>
      <c r="P132" s="4" t="str">
        <f>VLOOKUP(H132,Stock_list!A:Y,25,FALSE)</f>
        <v>Yes</v>
      </c>
      <c r="T132" s="144"/>
      <c r="U132" s="145" t="str">
        <f>VLOOKUP(H132,Stock_list!A:N,14,FALSE)</f>
        <v>MAR 23</v>
      </c>
    </row>
    <row r="133" spans="1:21" ht="16.5" customHeight="1">
      <c r="A133" s="159" t="s">
        <v>2747</v>
      </c>
      <c r="B133" s="114" t="str">
        <f>VLOOKUP(A133,'Data pick slip'!B:F,5,FALSE)</f>
        <v>KHJ-MC200-00</v>
      </c>
      <c r="F133" s="157" t="s">
        <v>1381</v>
      </c>
      <c r="H133" s="138">
        <v>1788</v>
      </c>
      <c r="I133" s="140" t="str">
        <f>VLOOKUP(H133,Stock_list!A:R,18,FALSE)</f>
        <v>海红天远</v>
      </c>
      <c r="J133" s="139" t="str">
        <f>VLOOKUP(H133,Stock_list!A:S,17,FALSE)</f>
        <v>C49SZX20220128EC</v>
      </c>
      <c r="K133" s="51" t="str">
        <f>VLOOKUP(H133,Stock_list!A:T,16,FALSE)</f>
        <v>JPY</v>
      </c>
      <c r="L133" s="4">
        <v>45013</v>
      </c>
      <c r="M133" s="140">
        <v>50</v>
      </c>
      <c r="N133" s="143"/>
      <c r="P133" s="4" t="str">
        <f>VLOOKUP(H133,Stock_list!A:Y,25,FALSE)</f>
        <v>Yes</v>
      </c>
      <c r="T133" s="144"/>
      <c r="U133" s="145" t="str">
        <f>VLOOKUP(H133,Stock_list!A:N,14,FALSE)</f>
        <v>MAR 23</v>
      </c>
    </row>
    <row r="134" spans="1:21" ht="16.5" customHeight="1">
      <c r="A134" s="159" t="s">
        <v>2748</v>
      </c>
      <c r="B134" s="114" t="str">
        <f>VLOOKUP(A134,'Data pick slip'!B:F,5,FALSE)</f>
        <v>KHJ-MC400-00</v>
      </c>
      <c r="F134" s="157" t="s">
        <v>1381</v>
      </c>
      <c r="H134" s="138">
        <v>1788</v>
      </c>
      <c r="I134" s="140" t="str">
        <f>VLOOKUP(H134,Stock_list!A:R,18,FALSE)</f>
        <v>海红天远</v>
      </c>
      <c r="J134" s="139" t="str">
        <f>VLOOKUP(H134,Stock_list!A:S,17,FALSE)</f>
        <v>C49SZX20220128EC</v>
      </c>
      <c r="K134" s="51" t="str">
        <f>VLOOKUP(H134,Stock_list!A:T,16,FALSE)</f>
        <v>JPY</v>
      </c>
      <c r="L134" s="4">
        <v>45013</v>
      </c>
      <c r="M134" s="140">
        <v>5</v>
      </c>
      <c r="N134" s="143"/>
      <c r="P134" s="4" t="str">
        <f>VLOOKUP(H134,Stock_list!A:Y,25,FALSE)</f>
        <v>Yes</v>
      </c>
      <c r="T134" s="144"/>
      <c r="U134" s="145" t="str">
        <f>VLOOKUP(H134,Stock_list!A:N,14,FALSE)</f>
        <v>MAR 23</v>
      </c>
    </row>
    <row r="135" spans="1:21" ht="16.5" customHeight="1">
      <c r="A135" s="159" t="s">
        <v>2749</v>
      </c>
      <c r="B135" s="114" t="str">
        <f>VLOOKUP(A135,'Data pick slip'!B:F,5,FALSE)</f>
        <v>KHJ-MC500-00</v>
      </c>
      <c r="F135" s="157" t="s">
        <v>1381</v>
      </c>
      <c r="H135" s="138">
        <v>1788</v>
      </c>
      <c r="I135" s="140" t="str">
        <f>VLOOKUP(H135,Stock_list!A:R,18,FALSE)</f>
        <v>海红天远</v>
      </c>
      <c r="J135" s="139" t="str">
        <f>VLOOKUP(H135,Stock_list!A:S,17,FALSE)</f>
        <v>C49SZX20220128EC</v>
      </c>
      <c r="K135" s="51" t="str">
        <f>VLOOKUP(H135,Stock_list!A:T,16,FALSE)</f>
        <v>JPY</v>
      </c>
      <c r="L135" s="4">
        <v>45013</v>
      </c>
      <c r="M135" s="140">
        <v>5</v>
      </c>
      <c r="N135" s="143"/>
      <c r="P135" s="4" t="str">
        <f>VLOOKUP(H135,Stock_list!A:Y,25,FALSE)</f>
        <v>Yes</v>
      </c>
      <c r="T135" s="144"/>
      <c r="U135" s="145" t="str">
        <f>VLOOKUP(H135,Stock_list!A:N,14,FALSE)</f>
        <v>MAR 23</v>
      </c>
    </row>
    <row r="136" spans="1:21" ht="16.5" customHeight="1">
      <c r="A136" s="159" t="s">
        <v>2750</v>
      </c>
      <c r="B136" s="114" t="str">
        <f>VLOOKUP(A136,'Data pick slip'!B:F,5,FALSE)</f>
        <v>KHJ-MC600-00</v>
      </c>
      <c r="F136" s="157" t="s">
        <v>1381</v>
      </c>
      <c r="H136" s="138">
        <v>1788</v>
      </c>
      <c r="I136" s="140" t="str">
        <f>VLOOKUP(H136,Stock_list!A:R,18,FALSE)</f>
        <v>海红天远</v>
      </c>
      <c r="J136" s="139" t="str">
        <f>VLOOKUP(H136,Stock_list!A:S,17,FALSE)</f>
        <v>C49SZX20220128EC</v>
      </c>
      <c r="K136" s="51" t="str">
        <f>VLOOKUP(H136,Stock_list!A:T,16,FALSE)</f>
        <v>JPY</v>
      </c>
      <c r="L136" s="4">
        <v>45013</v>
      </c>
      <c r="M136" s="140">
        <v>2</v>
      </c>
      <c r="N136" s="143"/>
      <c r="P136" s="4" t="str">
        <f>VLOOKUP(H136,Stock_list!A:Y,25,FALSE)</f>
        <v>Yes</v>
      </c>
      <c r="T136" s="144"/>
      <c r="U136" s="145" t="str">
        <f>VLOOKUP(H136,Stock_list!A:N,14,FALSE)</f>
        <v>MAR 23</v>
      </c>
    </row>
    <row r="137" spans="1:21" ht="16.5" customHeight="1">
      <c r="A137" s="159" t="s">
        <v>2751</v>
      </c>
      <c r="B137" s="114" t="str">
        <f>VLOOKUP(A137,'Data pick slip'!B:F,5,FALSE)</f>
        <v>KHJ-MC700-00</v>
      </c>
      <c r="F137" s="157" t="s">
        <v>2753</v>
      </c>
      <c r="H137" s="138">
        <v>1788</v>
      </c>
      <c r="I137" s="140" t="str">
        <f>VLOOKUP(H137,Stock_list!A:R,18,FALSE)</f>
        <v>海红天远</v>
      </c>
      <c r="J137" s="139" t="str">
        <f>VLOOKUP(H137,Stock_list!A:S,17,FALSE)</f>
        <v>C49SZX20220128EC</v>
      </c>
      <c r="K137" s="51" t="str">
        <f>VLOOKUP(H137,Stock_list!A:T,16,FALSE)</f>
        <v>JPY</v>
      </c>
      <c r="L137" s="4">
        <v>45013</v>
      </c>
      <c r="M137" s="140">
        <v>2</v>
      </c>
      <c r="N137" s="143"/>
      <c r="P137" s="4" t="str">
        <f>VLOOKUP(H137,Stock_list!A:Y,25,FALSE)</f>
        <v>Yes</v>
      </c>
      <c r="S137" s="268" t="s">
        <v>2778</v>
      </c>
      <c r="T137" s="266" t="s">
        <v>2779</v>
      </c>
      <c r="U137" s="145" t="str">
        <f>VLOOKUP(H137,Stock_list!A:N,14,FALSE)</f>
        <v>MAR 23</v>
      </c>
    </row>
    <row r="138" spans="1:21" ht="16.5" customHeight="1">
      <c r="A138" s="159" t="s">
        <v>2744</v>
      </c>
      <c r="B138" s="114" t="str">
        <f>VLOOKUP(A138,'Data pick slip'!B:F,5,FALSE)</f>
        <v>KHJ-MC100-00</v>
      </c>
      <c r="F138" s="157" t="s">
        <v>2753</v>
      </c>
      <c r="H138" s="138">
        <v>1790</v>
      </c>
      <c r="I138" s="140" t="str">
        <f>VLOOKUP(H138,Stock_list!A:R,18,FALSE)</f>
        <v>福瑞康</v>
      </c>
      <c r="J138" s="139" t="str">
        <f>VLOOKUP(H138,Stock_list!A:S,17,FALSE)</f>
        <v>C49SZX20220135EC</v>
      </c>
      <c r="K138" s="51" t="str">
        <f>VLOOKUP(H138,Stock_list!A:T,16,FALSE)</f>
        <v>RMB</v>
      </c>
      <c r="L138" s="4">
        <v>44918</v>
      </c>
      <c r="M138" s="143">
        <v>30</v>
      </c>
      <c r="P138" s="4" t="str">
        <f>VLOOKUP(H138,Stock_list!A:Y,25,FALSE)</f>
        <v>Yes</v>
      </c>
      <c r="T138" s="144"/>
      <c r="U138" s="145" t="str">
        <f>VLOOKUP(H138,Stock_list!A:N,14,FALSE)</f>
        <v>DEC 22</v>
      </c>
    </row>
    <row r="139" spans="1:21" ht="16.5" customHeight="1">
      <c r="A139" s="159" t="s">
        <v>2747</v>
      </c>
      <c r="B139" s="114" t="str">
        <f>VLOOKUP(A139,'Data pick slip'!B:F,5,FALSE)</f>
        <v>KHJ-MC200-00</v>
      </c>
      <c r="F139" s="157" t="s">
        <v>2753</v>
      </c>
      <c r="H139" s="138">
        <v>1790</v>
      </c>
      <c r="I139" s="140" t="str">
        <f>VLOOKUP(H139,Stock_list!A:R,18,FALSE)</f>
        <v>福瑞康</v>
      </c>
      <c r="J139" s="139" t="str">
        <f>VLOOKUP(H139,Stock_list!A:S,17,FALSE)</f>
        <v>C49SZX20220135EC</v>
      </c>
      <c r="K139" s="51" t="str">
        <f>VLOOKUP(H139,Stock_list!A:T,16,FALSE)</f>
        <v>RMB</v>
      </c>
      <c r="L139" s="4">
        <v>44918</v>
      </c>
      <c r="M139" s="143">
        <v>13</v>
      </c>
      <c r="P139" s="4" t="str">
        <f>VLOOKUP(H139,Stock_list!A:Y,25,FALSE)</f>
        <v>Yes</v>
      </c>
      <c r="T139" s="144"/>
      <c r="U139" s="145" t="str">
        <f>VLOOKUP(H139,Stock_list!A:N,14,FALSE)</f>
        <v>DEC 22</v>
      </c>
    </row>
    <row r="140" spans="1:21" ht="16.5" customHeight="1">
      <c r="A140" s="159" t="s">
        <v>2748</v>
      </c>
      <c r="B140" s="114" t="str">
        <f>VLOOKUP(A140,'Data pick slip'!B:F,5,FALSE)</f>
        <v>KHJ-MC400-00</v>
      </c>
      <c r="F140" s="157" t="s">
        <v>2753</v>
      </c>
      <c r="H140" s="138">
        <v>1790</v>
      </c>
      <c r="I140" s="140" t="str">
        <f>VLOOKUP(H140,Stock_list!A:R,18,FALSE)</f>
        <v>福瑞康</v>
      </c>
      <c r="J140" s="139" t="str">
        <f>VLOOKUP(H140,Stock_list!A:S,17,FALSE)</f>
        <v>C49SZX20220135EC</v>
      </c>
      <c r="K140" s="51" t="str">
        <f>VLOOKUP(H140,Stock_list!A:T,16,FALSE)</f>
        <v>RMB</v>
      </c>
      <c r="L140" s="4">
        <v>44918</v>
      </c>
      <c r="M140" s="143">
        <v>4</v>
      </c>
      <c r="P140" s="4" t="str">
        <f>VLOOKUP(H140,Stock_list!A:Y,25,FALSE)</f>
        <v>Yes</v>
      </c>
      <c r="T140" s="144"/>
      <c r="U140" s="145" t="str">
        <f>VLOOKUP(H140,Stock_list!A:N,14,FALSE)</f>
        <v>DEC 22</v>
      </c>
    </row>
    <row r="141" spans="1:21" ht="16.5" customHeight="1">
      <c r="A141" s="159" t="s">
        <v>2749</v>
      </c>
      <c r="B141" s="114" t="str">
        <f>VLOOKUP(A141,'Data pick slip'!B:F,5,FALSE)</f>
        <v>KHJ-MC500-00</v>
      </c>
      <c r="F141" s="157" t="s">
        <v>2753</v>
      </c>
      <c r="H141" s="138">
        <v>1790</v>
      </c>
      <c r="I141" s="140" t="str">
        <f>VLOOKUP(H141,Stock_list!A:R,18,FALSE)</f>
        <v>福瑞康</v>
      </c>
      <c r="J141" s="139" t="str">
        <f>VLOOKUP(H141,Stock_list!A:S,17,FALSE)</f>
        <v>C49SZX20220135EC</v>
      </c>
      <c r="K141" s="51" t="str">
        <f>VLOOKUP(H141,Stock_list!A:T,16,FALSE)</f>
        <v>RMB</v>
      </c>
      <c r="L141" s="4">
        <v>44918</v>
      </c>
      <c r="M141" s="143">
        <v>2</v>
      </c>
      <c r="P141" s="4" t="str">
        <f>VLOOKUP(H141,Stock_list!A:Y,25,FALSE)</f>
        <v>Yes</v>
      </c>
      <c r="T141" s="144"/>
      <c r="U141" s="145" t="str">
        <f>VLOOKUP(H141,Stock_list!A:N,14,FALSE)</f>
        <v>DEC 22</v>
      </c>
    </row>
    <row r="142" spans="1:21" ht="16.5" customHeight="1">
      <c r="A142" s="159" t="s">
        <v>2750</v>
      </c>
      <c r="B142" s="114" t="str">
        <f>VLOOKUP(A142,'Data pick slip'!B:F,5,FALSE)</f>
        <v>KHJ-MC600-00</v>
      </c>
      <c r="F142" s="157" t="s">
        <v>2753</v>
      </c>
      <c r="H142" s="138">
        <v>1790</v>
      </c>
      <c r="I142" s="140" t="str">
        <f>VLOOKUP(H142,Stock_list!A:R,18,FALSE)</f>
        <v>福瑞康</v>
      </c>
      <c r="J142" s="139" t="str">
        <f>VLOOKUP(H142,Stock_list!A:S,17,FALSE)</f>
        <v>C49SZX20220135EC</v>
      </c>
      <c r="K142" s="51" t="str">
        <f>VLOOKUP(H142,Stock_list!A:T,16,FALSE)</f>
        <v>RMB</v>
      </c>
      <c r="L142" s="4">
        <v>44918</v>
      </c>
      <c r="M142" s="143">
        <v>1</v>
      </c>
      <c r="P142" s="4" t="str">
        <f>VLOOKUP(H142,Stock_list!A:Y,25,FALSE)</f>
        <v>Yes</v>
      </c>
      <c r="T142" s="144"/>
      <c r="U142" s="145" t="str">
        <f>VLOOKUP(H142,Stock_list!A:N,14,FALSE)</f>
        <v>DEC 22</v>
      </c>
    </row>
    <row r="143" spans="1:21" ht="16.5" customHeight="1">
      <c r="A143" s="159" t="s">
        <v>2744</v>
      </c>
      <c r="B143" s="114" t="str">
        <f>VLOOKUP(A143,'Data pick slip'!B:F,5,FALSE)</f>
        <v>KHJ-MC100-00</v>
      </c>
      <c r="F143" s="157" t="s">
        <v>2753</v>
      </c>
      <c r="H143" s="138">
        <v>1791</v>
      </c>
      <c r="I143" s="140" t="str">
        <f>VLOOKUP(H143,Stock_list!A:R,18,FALSE)</f>
        <v>乐凡</v>
      </c>
      <c r="J143" s="139" t="str">
        <f>VLOOKUP(H143,Stock_list!A:S,17,FALSE)</f>
        <v>C49SZX20220141SS</v>
      </c>
      <c r="K143" s="51" t="str">
        <f>VLOOKUP(H143,Stock_list!A:T,16,FALSE)</f>
        <v>RMB</v>
      </c>
      <c r="L143" s="4">
        <v>44932</v>
      </c>
      <c r="M143" s="143">
        <v>45</v>
      </c>
      <c r="P143" s="4" t="str">
        <f>VLOOKUP(H143,Stock_list!A:Y,25,FALSE)</f>
        <v>Yes</v>
      </c>
      <c r="T143" s="144"/>
      <c r="U143" s="145" t="str">
        <f>VLOOKUP(H143,Stock_list!A:N,14,FALSE)</f>
        <v>JAN 23</v>
      </c>
    </row>
    <row r="144" spans="1:21" ht="16.5" customHeight="1">
      <c r="A144" s="159" t="s">
        <v>2747</v>
      </c>
      <c r="B144" s="114" t="str">
        <f>VLOOKUP(A144,'Data pick slip'!B:F,5,FALSE)</f>
        <v>KHJ-MC200-00</v>
      </c>
      <c r="F144" s="157" t="s">
        <v>2753</v>
      </c>
      <c r="H144" s="138">
        <v>1791</v>
      </c>
      <c r="I144" s="140" t="str">
        <f>VLOOKUP(H144,Stock_list!A:R,18,FALSE)</f>
        <v>乐凡</v>
      </c>
      <c r="J144" s="139" t="str">
        <f>VLOOKUP(H144,Stock_list!A:S,17,FALSE)</f>
        <v>C49SZX20220141SS</v>
      </c>
      <c r="K144" s="51" t="str">
        <f>VLOOKUP(H144,Stock_list!A:T,16,FALSE)</f>
        <v>RMB</v>
      </c>
      <c r="L144" s="4">
        <v>44932</v>
      </c>
      <c r="M144" s="143">
        <v>10</v>
      </c>
      <c r="P144" s="4" t="str">
        <f>VLOOKUP(H144,Stock_list!A:Y,25,FALSE)</f>
        <v>Yes</v>
      </c>
      <c r="T144" s="144"/>
      <c r="U144" s="145" t="str">
        <f>VLOOKUP(H144,Stock_list!A:N,14,FALSE)</f>
        <v>JAN 23</v>
      </c>
    </row>
    <row r="145" spans="1:21" ht="16.5" customHeight="1">
      <c r="A145" s="159" t="s">
        <v>2748</v>
      </c>
      <c r="B145" s="114" t="str">
        <f>VLOOKUP(A145,'Data pick slip'!B:F,5,FALSE)</f>
        <v>KHJ-MC400-00</v>
      </c>
      <c r="F145" s="157" t="s">
        <v>2753</v>
      </c>
      <c r="H145" s="138">
        <v>1791</v>
      </c>
      <c r="I145" s="140" t="str">
        <f>VLOOKUP(H145,Stock_list!A:R,18,FALSE)</f>
        <v>乐凡</v>
      </c>
      <c r="J145" s="139" t="str">
        <f>VLOOKUP(H145,Stock_list!A:S,17,FALSE)</f>
        <v>C49SZX20220141SS</v>
      </c>
      <c r="K145" s="51" t="str">
        <f>VLOOKUP(H145,Stock_list!A:T,16,FALSE)</f>
        <v>RMB</v>
      </c>
      <c r="L145" s="4">
        <v>44932</v>
      </c>
      <c r="M145" s="143">
        <v>5</v>
      </c>
      <c r="P145" s="4" t="str">
        <f>VLOOKUP(H145,Stock_list!A:Y,25,FALSE)</f>
        <v>Yes</v>
      </c>
      <c r="T145" s="144"/>
      <c r="U145" s="145" t="str">
        <f>VLOOKUP(H145,Stock_list!A:N,14,FALSE)</f>
        <v>JAN 23</v>
      </c>
    </row>
    <row r="146" spans="1:21" ht="16.5" customHeight="1">
      <c r="A146" s="159" t="s">
        <v>2744</v>
      </c>
      <c r="B146" s="114" t="str">
        <f>VLOOKUP(A146,'Data pick slip'!B:F,5,FALSE)</f>
        <v>KHJ-MC100-00</v>
      </c>
      <c r="F146" s="157" t="s">
        <v>2753</v>
      </c>
      <c r="H146" s="138">
        <v>1795</v>
      </c>
      <c r="I146" s="140" t="str">
        <f>VLOOKUP(H146,Stock_list!A:R,18,FALSE)</f>
        <v>蓝极光</v>
      </c>
      <c r="J146" s="139" t="str">
        <f>VLOOKUP(H146,Stock_list!A:S,17,FALSE)</f>
        <v>C49SZX20230008SS</v>
      </c>
      <c r="K146" s="51" t="str">
        <f>VLOOKUP(H146,Stock_list!A:T,16,FALSE)</f>
        <v>RMB</v>
      </c>
      <c r="L146" s="4">
        <v>44959</v>
      </c>
      <c r="M146" s="140">
        <v>80</v>
      </c>
      <c r="N146" s="143"/>
      <c r="P146" s="4" t="str">
        <f>VLOOKUP(H146,Stock_list!A:Y,25,FALSE)</f>
        <v>Yes</v>
      </c>
      <c r="T146" s="144"/>
      <c r="U146" s="145" t="str">
        <f>VLOOKUP(H146,Stock_list!A:N,14,FALSE)</f>
        <v>FEB 23</v>
      </c>
    </row>
    <row r="147" spans="1:21" ht="16.5" customHeight="1">
      <c r="A147" s="159" t="s">
        <v>2744</v>
      </c>
      <c r="B147" s="114" t="str">
        <f>VLOOKUP(A147,'Data pick slip'!B:F,5,FALSE)</f>
        <v>KHJ-MC100-00</v>
      </c>
      <c r="F147" s="157" t="s">
        <v>2753</v>
      </c>
      <c r="H147" s="138">
        <v>1813</v>
      </c>
      <c r="I147" s="140" t="str">
        <f>VLOOKUP(H147,Stock_list!A:R,18,FALSE)</f>
        <v>利速达</v>
      </c>
      <c r="J147" s="139" t="str">
        <f>VLOOKUP(H147,Stock_list!A:S,17,FALSE)</f>
        <v>C49SZX20230009SX</v>
      </c>
      <c r="K147" s="51" t="str">
        <f>VLOOKUP(H147,Stock_list!A:T,16,FALSE)</f>
        <v>RMB</v>
      </c>
      <c r="L147" s="4">
        <v>44995</v>
      </c>
      <c r="M147" s="140">
        <v>10</v>
      </c>
      <c r="P147" s="4" t="str">
        <f>VLOOKUP(H147,Stock_list!A:Y,25,FALSE)</f>
        <v>Yes</v>
      </c>
      <c r="Q147" s="143"/>
      <c r="T147" s="144"/>
      <c r="U147" s="145" t="str">
        <f>VLOOKUP(H147,Stock_list!A:N,14,FALSE)</f>
        <v>MAR 23</v>
      </c>
    </row>
    <row r="148" spans="1:21" ht="16.5" customHeight="1">
      <c r="A148" s="159" t="s">
        <v>2744</v>
      </c>
      <c r="B148" s="114" t="str">
        <f>VLOOKUP(A148,'Data pick slip'!B:F,5,FALSE)</f>
        <v>KHJ-MC100-00</v>
      </c>
      <c r="F148" s="157" t="s">
        <v>2753</v>
      </c>
      <c r="H148" s="138">
        <v>1815</v>
      </c>
      <c r="I148" s="140" t="str">
        <f>VLOOKUP(H148,Stock_list!A:R,18,FALSE)</f>
        <v>嘉普达</v>
      </c>
      <c r="J148" s="139" t="str">
        <f>VLOOKUP(H148,Stock_list!A:S,17,FALSE)</f>
        <v>C49SZX20230010SX</v>
      </c>
      <c r="K148" s="51" t="str">
        <f>VLOOKUP(H148,Stock_list!A:T,16,FALSE)</f>
        <v>RMB</v>
      </c>
      <c r="L148" s="4">
        <v>44939</v>
      </c>
      <c r="M148" s="143">
        <v>53</v>
      </c>
      <c r="P148" s="4" t="str">
        <f>VLOOKUP(H148,Stock_list!A:Y,25,FALSE)</f>
        <v>Yes</v>
      </c>
      <c r="T148" s="144"/>
      <c r="U148" s="145" t="str">
        <f>VLOOKUP(H148,Stock_list!A:N,14,FALSE)</f>
        <v>JAN 23</v>
      </c>
    </row>
    <row r="149" spans="1:21" ht="16.5" customHeight="1">
      <c r="A149" s="159" t="s">
        <v>2747</v>
      </c>
      <c r="B149" s="114" t="str">
        <f>VLOOKUP(A149,'Data pick slip'!B:F,5,FALSE)</f>
        <v>KHJ-MC200-00</v>
      </c>
      <c r="F149" s="157" t="s">
        <v>2753</v>
      </c>
      <c r="H149" s="138">
        <v>1815</v>
      </c>
      <c r="I149" s="140" t="str">
        <f>VLOOKUP(H149,Stock_list!A:R,18,FALSE)</f>
        <v>嘉普达</v>
      </c>
      <c r="J149" s="139" t="str">
        <f>VLOOKUP(H149,Stock_list!A:S,17,FALSE)</f>
        <v>C49SZX20230010SX</v>
      </c>
      <c r="K149" s="51" t="str">
        <f>VLOOKUP(H149,Stock_list!A:T,16,FALSE)</f>
        <v>RMB</v>
      </c>
      <c r="L149" s="4">
        <v>44939</v>
      </c>
      <c r="M149" s="143">
        <v>20</v>
      </c>
      <c r="P149" s="4" t="str">
        <f>VLOOKUP(H149,Stock_list!A:Y,25,FALSE)</f>
        <v>Yes</v>
      </c>
      <c r="T149" s="144"/>
      <c r="U149" s="145" t="str">
        <f>VLOOKUP(H149,Stock_list!A:N,14,FALSE)</f>
        <v>JAN 23</v>
      </c>
    </row>
    <row r="150" spans="1:21" ht="16.5" customHeight="1">
      <c r="A150" s="159" t="s">
        <v>2744</v>
      </c>
      <c r="B150" s="114" t="str">
        <f>VLOOKUP(A150,'Data pick slip'!B:F,5,FALSE)</f>
        <v>KHJ-MC100-00</v>
      </c>
      <c r="F150" s="157" t="s">
        <v>2753</v>
      </c>
      <c r="H150" s="138">
        <v>1816</v>
      </c>
      <c r="I150" s="140" t="str">
        <f>VLOOKUP(H150,Stock_list!A:R,18,FALSE)</f>
        <v>德润通</v>
      </c>
      <c r="J150" s="139" t="str">
        <f>VLOOKUP(H150,Stock_list!A:S,17,FALSE)</f>
        <v>C49SZX20230005SQ</v>
      </c>
      <c r="K150" s="51" t="str">
        <f>VLOOKUP(H150,Stock_list!A:T,16,FALSE)</f>
        <v>RMB</v>
      </c>
      <c r="L150" s="4">
        <v>44999</v>
      </c>
      <c r="M150" s="140">
        <v>12</v>
      </c>
      <c r="N150" s="143"/>
      <c r="P150" s="4" t="str">
        <f>VLOOKUP(H150,Stock_list!A:Y,25,FALSE)</f>
        <v>Yes</v>
      </c>
      <c r="T150" s="144"/>
      <c r="U150" s="145" t="str">
        <f>VLOOKUP(H150,Stock_list!A:N,14,FALSE)</f>
        <v>MAR 23</v>
      </c>
    </row>
    <row r="151" spans="1:21" ht="16.5" customHeight="1">
      <c r="A151" s="159" t="s">
        <v>2747</v>
      </c>
      <c r="B151" s="114" t="str">
        <f>VLOOKUP(A151,'Data pick slip'!B:F,5,FALSE)</f>
        <v>KHJ-MC200-00</v>
      </c>
      <c r="F151" s="157" t="s">
        <v>2753</v>
      </c>
      <c r="H151" s="138">
        <v>1816</v>
      </c>
      <c r="I151" s="140" t="str">
        <f>VLOOKUP(H151,Stock_list!A:R,18,FALSE)</f>
        <v>德润通</v>
      </c>
      <c r="J151" s="139" t="str">
        <f>VLOOKUP(H151,Stock_list!A:S,17,FALSE)</f>
        <v>C49SZX20230005SQ</v>
      </c>
      <c r="K151" s="51" t="str">
        <f>VLOOKUP(H151,Stock_list!A:T,16,FALSE)</f>
        <v>RMB</v>
      </c>
      <c r="L151" s="4">
        <v>44999</v>
      </c>
      <c r="M151" s="140">
        <v>4</v>
      </c>
      <c r="N151" s="143"/>
      <c r="P151" s="4" t="str">
        <f>VLOOKUP(H151,Stock_list!A:Y,25,FALSE)</f>
        <v>Yes</v>
      </c>
      <c r="T151" s="144"/>
      <c r="U151" s="145" t="str">
        <f>VLOOKUP(H151,Stock_list!A:N,14,FALSE)</f>
        <v>MAR 23</v>
      </c>
    </row>
    <row r="152" spans="1:21" ht="16.5" customHeight="1">
      <c r="A152" s="159" t="s">
        <v>2744</v>
      </c>
      <c r="B152" s="114" t="str">
        <f>VLOOKUP(A152,'Data pick slip'!B:F,5,FALSE)</f>
        <v>KHJ-MC100-00</v>
      </c>
      <c r="F152" s="157" t="s">
        <v>2753</v>
      </c>
      <c r="H152" s="138">
        <v>1820</v>
      </c>
      <c r="I152" s="140" t="str">
        <f>VLOOKUP(H152,Stock_list!A:R,18,FALSE)</f>
        <v>雷特</v>
      </c>
      <c r="J152" s="139" t="str">
        <f>VLOOKUP(H152,Stock_list!A:S,17,FALSE)</f>
        <v>C49SZX20230007SX</v>
      </c>
      <c r="K152" s="51" t="str">
        <f>VLOOKUP(H152,Stock_list!A:T,16,FALSE)</f>
        <v>RMB</v>
      </c>
      <c r="L152" s="4">
        <v>45001</v>
      </c>
      <c r="M152" s="140">
        <f>150+48</f>
        <v>198</v>
      </c>
      <c r="N152" s="143"/>
      <c r="P152" s="4" t="str">
        <f>VLOOKUP(H152,Stock_list!A:Y,25,FALSE)</f>
        <v>Yes</v>
      </c>
      <c r="T152" s="144"/>
      <c r="U152" s="145" t="str">
        <f>VLOOKUP(H152,Stock_list!A:N,14,FALSE)</f>
        <v>MAR 23</v>
      </c>
    </row>
    <row r="153" spans="1:21" ht="16.5" customHeight="1">
      <c r="A153" s="159" t="s">
        <v>2747</v>
      </c>
      <c r="B153" s="114" t="str">
        <f>VLOOKUP(A153,'Data pick slip'!B:F,5,FALSE)</f>
        <v>KHJ-MC200-00</v>
      </c>
      <c r="F153" s="157" t="s">
        <v>2753</v>
      </c>
      <c r="H153" s="138">
        <v>1820</v>
      </c>
      <c r="I153" s="140" t="str">
        <f>VLOOKUP(H153,Stock_list!A:R,18,FALSE)</f>
        <v>雷特</v>
      </c>
      <c r="J153" s="139" t="str">
        <f>VLOOKUP(H153,Stock_list!A:S,17,FALSE)</f>
        <v>C49SZX20230007SX</v>
      </c>
      <c r="K153" s="51" t="str">
        <f>VLOOKUP(H153,Stock_list!A:T,16,FALSE)</f>
        <v>RMB</v>
      </c>
      <c r="L153" s="4">
        <v>45001</v>
      </c>
      <c r="M153" s="140">
        <f>40+20</f>
        <v>60</v>
      </c>
      <c r="N153" s="143"/>
      <c r="P153" s="4" t="str">
        <f>VLOOKUP(H153,Stock_list!A:Y,25,FALSE)</f>
        <v>Yes</v>
      </c>
      <c r="T153" s="144"/>
      <c r="U153" s="145" t="str">
        <f>VLOOKUP(H153,Stock_list!A:N,14,FALSE)</f>
        <v>MAR 23</v>
      </c>
    </row>
    <row r="154" spans="1:21" ht="16.5" customHeight="1">
      <c r="A154" s="159" t="s">
        <v>2748</v>
      </c>
      <c r="B154" s="114" t="str">
        <f>VLOOKUP(A154,'Data pick slip'!B:F,5,FALSE)</f>
        <v>KHJ-MC400-00</v>
      </c>
      <c r="F154" s="157" t="s">
        <v>2753</v>
      </c>
      <c r="H154" s="138">
        <v>1820</v>
      </c>
      <c r="I154" s="140" t="str">
        <f>VLOOKUP(H154,Stock_list!A:R,18,FALSE)</f>
        <v>雷特</v>
      </c>
      <c r="J154" s="139" t="str">
        <f>VLOOKUP(H154,Stock_list!A:S,17,FALSE)</f>
        <v>C49SZX20230007SX</v>
      </c>
      <c r="K154" s="51" t="str">
        <f>VLOOKUP(H154,Stock_list!A:T,16,FALSE)</f>
        <v>RMB</v>
      </c>
      <c r="L154" s="4">
        <v>45001</v>
      </c>
      <c r="M154" s="140">
        <f>5+1</f>
        <v>6</v>
      </c>
      <c r="N154" s="143"/>
      <c r="P154" s="4" t="str">
        <f>VLOOKUP(H154,Stock_list!A:Y,25,FALSE)</f>
        <v>Yes</v>
      </c>
      <c r="T154" s="144"/>
      <c r="U154" s="145" t="str">
        <f>VLOOKUP(H154,Stock_list!A:N,14,FALSE)</f>
        <v>MAR 23</v>
      </c>
    </row>
    <row r="155" spans="1:21" ht="16.5" customHeight="1">
      <c r="A155" s="159" t="s">
        <v>2749</v>
      </c>
      <c r="B155" s="114" t="str">
        <f>VLOOKUP(A155,'Data pick slip'!B:F,5,FALSE)</f>
        <v>KHJ-MC500-00</v>
      </c>
      <c r="F155" s="157" t="s">
        <v>2753</v>
      </c>
      <c r="H155" s="138">
        <v>1820</v>
      </c>
      <c r="I155" s="140" t="str">
        <f>VLOOKUP(H155,Stock_list!A:R,18,FALSE)</f>
        <v>雷特</v>
      </c>
      <c r="J155" s="139" t="str">
        <f>VLOOKUP(H155,Stock_list!A:S,17,FALSE)</f>
        <v>C49SZX20230007SX</v>
      </c>
      <c r="K155" s="51" t="str">
        <f>VLOOKUP(H155,Stock_list!A:T,16,FALSE)</f>
        <v>RMB</v>
      </c>
      <c r="L155" s="4">
        <v>45001</v>
      </c>
      <c r="M155" s="140">
        <f>5+1</f>
        <v>6</v>
      </c>
      <c r="N155" s="143"/>
      <c r="P155" s="4" t="str">
        <f>VLOOKUP(H155,Stock_list!A:Y,25,FALSE)</f>
        <v>Yes</v>
      </c>
      <c r="T155" s="144"/>
      <c r="U155" s="145" t="str">
        <f>VLOOKUP(H155,Stock_list!A:N,14,FALSE)</f>
        <v>MAR 23</v>
      </c>
    </row>
    <row r="156" spans="1:21" ht="16.5" customHeight="1">
      <c r="A156" s="159" t="s">
        <v>2750</v>
      </c>
      <c r="B156" s="114" t="str">
        <f>VLOOKUP(A156,'Data pick slip'!B:F,5,FALSE)</f>
        <v>KHJ-MC600-00</v>
      </c>
      <c r="F156" s="157" t="s">
        <v>2753</v>
      </c>
      <c r="H156" s="138">
        <v>1820</v>
      </c>
      <c r="I156" s="140" t="str">
        <f>VLOOKUP(H156,Stock_list!A:R,18,FALSE)</f>
        <v>雷特</v>
      </c>
      <c r="J156" s="139" t="str">
        <f>VLOOKUP(H156,Stock_list!A:S,17,FALSE)</f>
        <v>C49SZX20230007SX</v>
      </c>
      <c r="K156" s="51" t="str">
        <f>VLOOKUP(H156,Stock_list!A:T,16,FALSE)</f>
        <v>RMB</v>
      </c>
      <c r="L156" s="4">
        <v>45001</v>
      </c>
      <c r="M156" s="140">
        <v>2</v>
      </c>
      <c r="N156" s="143"/>
      <c r="P156" s="4" t="str">
        <f>VLOOKUP(H156,Stock_list!A:Y,25,FALSE)</f>
        <v>Yes</v>
      </c>
      <c r="T156" s="144"/>
      <c r="U156" s="145" t="str">
        <f>VLOOKUP(H156,Stock_list!A:N,14,FALSE)</f>
        <v>MAR 23</v>
      </c>
    </row>
    <row r="157" spans="1:21" ht="16.5" customHeight="1">
      <c r="A157" s="159" t="s">
        <v>2751</v>
      </c>
      <c r="B157" s="114" t="str">
        <f>VLOOKUP(A157,'Data pick slip'!B:F,5,FALSE)</f>
        <v>KHJ-MC700-00</v>
      </c>
      <c r="F157" s="157" t="s">
        <v>2753</v>
      </c>
      <c r="H157" s="138">
        <v>1820</v>
      </c>
      <c r="I157" s="140" t="str">
        <f>VLOOKUP(H157,Stock_list!A:R,18,FALSE)</f>
        <v>雷特</v>
      </c>
      <c r="J157" s="139" t="str">
        <f>VLOOKUP(H157,Stock_list!A:S,17,FALSE)</f>
        <v>C49SZX20230007SX</v>
      </c>
      <c r="K157" s="51" t="str">
        <f>VLOOKUP(H157,Stock_list!A:T,16,FALSE)</f>
        <v>RMB</v>
      </c>
      <c r="L157" s="4">
        <v>45001</v>
      </c>
      <c r="M157" s="140">
        <v>2</v>
      </c>
      <c r="N157" s="143"/>
      <c r="P157" s="4" t="str">
        <f>VLOOKUP(H157,Stock_list!A:Y,25,FALSE)</f>
        <v>Yes</v>
      </c>
      <c r="T157" s="144"/>
      <c r="U157" s="145" t="str">
        <f>VLOOKUP(H157,Stock_list!A:N,14,FALSE)</f>
        <v>MAR 23</v>
      </c>
    </row>
    <row r="158" spans="1:21" ht="16.5" customHeight="1">
      <c r="A158" s="159" t="s">
        <v>2744</v>
      </c>
      <c r="B158" s="114" t="str">
        <f>VLOOKUP(A158,'Data pick slip'!B:F,5,FALSE)</f>
        <v>KHJ-MC100-00</v>
      </c>
      <c r="F158" s="157" t="s">
        <v>2753</v>
      </c>
      <c r="H158" s="138">
        <v>1821</v>
      </c>
      <c r="I158" s="140" t="str">
        <f>VLOOKUP(H158,Stock_list!A:R,18,FALSE)</f>
        <v>益田科技</v>
      </c>
      <c r="J158" s="139" t="str">
        <f>VLOOKUP(H158,Stock_list!A:S,17,FALSE)</f>
        <v>C49SZX202300011SX</v>
      </c>
      <c r="K158" s="51" t="str">
        <f>VLOOKUP(H158,Stock_list!A:T,16,FALSE)</f>
        <v>RMB</v>
      </c>
      <c r="L158" s="4">
        <v>44980</v>
      </c>
      <c r="M158" s="140">
        <v>242</v>
      </c>
      <c r="N158" s="143"/>
      <c r="P158" s="4" t="str">
        <f>VLOOKUP(H158,Stock_list!A:Y,25,FALSE)</f>
        <v>Yes</v>
      </c>
      <c r="T158" s="144"/>
      <c r="U158" s="145" t="str">
        <f>VLOOKUP(H158,Stock_list!A:N,14,FALSE)</f>
        <v>FEB 23</v>
      </c>
    </row>
    <row r="159" spans="1:21" ht="16.5" customHeight="1">
      <c r="A159" s="159" t="s">
        <v>2747</v>
      </c>
      <c r="B159" s="114" t="str">
        <f>VLOOKUP(A159,'Data pick slip'!B:F,5,FALSE)</f>
        <v>KHJ-MC200-00</v>
      </c>
      <c r="F159" s="157" t="s">
        <v>2753</v>
      </c>
      <c r="H159" s="138">
        <v>1821</v>
      </c>
      <c r="I159" s="140" t="str">
        <f>VLOOKUP(H159,Stock_list!A:R,18,FALSE)</f>
        <v>益田科技</v>
      </c>
      <c r="J159" s="139" t="str">
        <f>VLOOKUP(H159,Stock_list!A:S,17,FALSE)</f>
        <v>C49SZX202300011SX</v>
      </c>
      <c r="K159" s="51" t="str">
        <f>VLOOKUP(H159,Stock_list!A:T,16,FALSE)</f>
        <v>RMB</v>
      </c>
      <c r="L159" s="4">
        <v>44980</v>
      </c>
      <c r="M159" s="140">
        <v>5</v>
      </c>
      <c r="N159" s="143"/>
      <c r="P159" s="4" t="str">
        <f>VLOOKUP(H159,Stock_list!A:Y,25,FALSE)</f>
        <v>Yes</v>
      </c>
      <c r="T159" s="144"/>
      <c r="U159" s="145" t="str">
        <f>VLOOKUP(H159,Stock_list!A:N,14,FALSE)</f>
        <v>FEB 23</v>
      </c>
    </row>
    <row r="160" spans="1:21" ht="16.5" customHeight="1">
      <c r="A160" s="159" t="s">
        <v>2744</v>
      </c>
      <c r="B160" s="114" t="str">
        <f>VLOOKUP(A160,'Data pick slip'!B:F,5,FALSE)</f>
        <v>KHJ-MC100-00</v>
      </c>
      <c r="F160" s="157" t="s">
        <v>2753</v>
      </c>
      <c r="H160" s="138">
        <v>1835</v>
      </c>
      <c r="I160" s="140" t="str">
        <f>VLOOKUP(H160,Stock_list!A:R,18,FALSE)</f>
        <v>德天伟</v>
      </c>
      <c r="J160" s="139" t="str">
        <f>VLOOKUP(H160,Stock_list!A:S,17,FALSE)</f>
        <v>C49SZX20230013JY</v>
      </c>
      <c r="K160" s="51" t="str">
        <f>VLOOKUP(H160,Stock_list!A:T,16,FALSE)</f>
        <v>RMB</v>
      </c>
      <c r="L160" s="4">
        <v>44978</v>
      </c>
      <c r="M160" s="143">
        <v>20</v>
      </c>
      <c r="P160" s="4" t="str">
        <f>VLOOKUP(H160,Stock_list!A:Y,25,FALSE)</f>
        <v>Yes</v>
      </c>
      <c r="T160" s="144"/>
      <c r="U160" s="145" t="str">
        <f>VLOOKUP(H160,Stock_list!A:N,14,FALSE)</f>
        <v>FEB 23</v>
      </c>
    </row>
    <row r="161" spans="1:21" ht="16.5" customHeight="1">
      <c r="A161" s="159" t="s">
        <v>2747</v>
      </c>
      <c r="B161" s="114" t="str">
        <f>VLOOKUP(A161,'Data pick slip'!B:F,5,FALSE)</f>
        <v>KHJ-MC200-00</v>
      </c>
      <c r="F161" s="157" t="s">
        <v>2753</v>
      </c>
      <c r="H161" s="138">
        <v>1835</v>
      </c>
      <c r="I161" s="140" t="str">
        <f>VLOOKUP(H161,Stock_list!A:R,18,FALSE)</f>
        <v>德天伟</v>
      </c>
      <c r="J161" s="139" t="str">
        <f>VLOOKUP(H161,Stock_list!A:S,17,FALSE)</f>
        <v>C49SZX20230013JY</v>
      </c>
      <c r="K161" s="51" t="str">
        <f>VLOOKUP(H161,Stock_list!A:T,16,FALSE)</f>
        <v>RMB</v>
      </c>
      <c r="L161" s="4">
        <v>44978</v>
      </c>
      <c r="M161" s="143">
        <v>2</v>
      </c>
      <c r="P161" s="4" t="str">
        <f>VLOOKUP(H161,Stock_list!A:Y,25,FALSE)</f>
        <v>Yes</v>
      </c>
      <c r="T161" s="144"/>
      <c r="U161" s="145" t="str">
        <f>VLOOKUP(H161,Stock_list!A:N,14,FALSE)</f>
        <v>FEB 23</v>
      </c>
    </row>
    <row r="162" spans="1:21" ht="16.5" customHeight="1">
      <c r="A162" s="159" t="s">
        <v>2748</v>
      </c>
      <c r="B162" s="114" t="str">
        <f>VLOOKUP(A162,'Data pick slip'!B:F,5,FALSE)</f>
        <v>KHJ-MC400-00</v>
      </c>
      <c r="F162" s="157" t="s">
        <v>2753</v>
      </c>
      <c r="H162" s="138">
        <v>1835</v>
      </c>
      <c r="I162" s="140" t="str">
        <f>VLOOKUP(H162,Stock_list!A:R,18,FALSE)</f>
        <v>德天伟</v>
      </c>
      <c r="J162" s="139" t="str">
        <f>VLOOKUP(H162,Stock_list!A:S,17,FALSE)</f>
        <v>C49SZX20230013JY</v>
      </c>
      <c r="K162" s="51" t="str">
        <f>VLOOKUP(H162,Stock_list!A:T,16,FALSE)</f>
        <v>RMB</v>
      </c>
      <c r="L162" s="4">
        <v>44978</v>
      </c>
      <c r="M162" s="143">
        <v>1</v>
      </c>
      <c r="P162" s="4" t="str">
        <f>VLOOKUP(H162,Stock_list!A:Y,25,FALSE)</f>
        <v>Yes</v>
      </c>
      <c r="T162" s="144"/>
      <c r="U162" s="145" t="str">
        <f>VLOOKUP(H162,Stock_list!A:N,14,FALSE)</f>
        <v>FEB 23</v>
      </c>
    </row>
    <row r="163" spans="1:21" ht="16.5" customHeight="1">
      <c r="A163" s="159" t="s">
        <v>2744</v>
      </c>
      <c r="B163" s="114" t="str">
        <f>VLOOKUP(A163,'Data pick slip'!B:F,5,FALSE)</f>
        <v>KHJ-MC100-00</v>
      </c>
      <c r="F163" s="157" t="s">
        <v>2753</v>
      </c>
      <c r="H163" s="138">
        <v>1839</v>
      </c>
      <c r="I163" s="140" t="str">
        <f>VLOOKUP(H163,Stock_list!A:R,18,FALSE)</f>
        <v>锐诚</v>
      </c>
      <c r="J163" s="139" t="str">
        <f>VLOOKUP(H163,Stock_list!A:S,17,FALSE)</f>
        <v>C49SZX20230022SX</v>
      </c>
      <c r="K163" s="51" t="str">
        <f>VLOOKUP(H163,Stock_list!A:T,16,FALSE)</f>
        <v>RMB</v>
      </c>
      <c r="L163" s="4">
        <v>44991</v>
      </c>
      <c r="M163" s="140">
        <v>30</v>
      </c>
      <c r="P163" s="4" t="str">
        <f>VLOOKUP(H163,Stock_list!A:Y,25,FALSE)</f>
        <v>Yes</v>
      </c>
      <c r="Q163" s="143"/>
      <c r="T163" s="144"/>
      <c r="U163" s="145" t="str">
        <f>VLOOKUP(H163,Stock_list!A:N,14,FALSE)</f>
        <v>MAR 23</v>
      </c>
    </row>
    <row r="164" spans="1:21" ht="16.5" customHeight="1">
      <c r="A164" s="159" t="s">
        <v>2744</v>
      </c>
      <c r="B164" s="114" t="str">
        <f>VLOOKUP(A164,'Data pick slip'!B:F,5,FALSE)</f>
        <v>KHJ-MC100-00</v>
      </c>
      <c r="F164" s="157" t="s">
        <v>1381</v>
      </c>
      <c r="H164" s="138">
        <v>1840</v>
      </c>
      <c r="I164" s="386" t="str">
        <f>VLOOKUP(H164,Stock_list!A:R,18,FALSE)</f>
        <v>SUPERIOR丰卓</v>
      </c>
      <c r="J164" s="139" t="str">
        <f>VLOOKUP(H164,Stock_list!A:S,17,FALSE)</f>
        <v>SUESE#001/23</v>
      </c>
      <c r="K164" s="51" t="str">
        <f>VLOOKUP(H164,Stock_list!A:T,16,FALSE)</f>
        <v>USD</v>
      </c>
      <c r="L164" s="4">
        <v>45001</v>
      </c>
      <c r="M164" s="140">
        <v>83</v>
      </c>
      <c r="N164" s="143"/>
      <c r="P164" s="4" t="str">
        <f>VLOOKUP(H164,Stock_list!A:Y,25,FALSE)</f>
        <v>Yes</v>
      </c>
      <c r="T164" s="144"/>
      <c r="U164" s="145" t="str">
        <f>VLOOKUP(H164,Stock_list!A:N,14,FALSE)</f>
        <v>MAR 23</v>
      </c>
    </row>
    <row r="165" spans="1:21" ht="16.5" customHeight="1">
      <c r="A165" s="159" t="s">
        <v>2747</v>
      </c>
      <c r="B165" s="114" t="str">
        <f>VLOOKUP(A165,'Data pick slip'!B:F,5,FALSE)</f>
        <v>KHJ-MC200-00</v>
      </c>
      <c r="F165" s="157" t="s">
        <v>1381</v>
      </c>
      <c r="H165" s="138">
        <v>1840</v>
      </c>
      <c r="I165" s="140" t="str">
        <f>VLOOKUP(H165,Stock_list!A:R,18,FALSE)</f>
        <v>SUPERIOR丰卓</v>
      </c>
      <c r="J165" s="139" t="str">
        <f>VLOOKUP(H165,Stock_list!A:S,17,FALSE)</f>
        <v>SUESE#001/23</v>
      </c>
      <c r="K165" s="51" t="str">
        <f>VLOOKUP(H165,Stock_list!A:T,16,FALSE)</f>
        <v>USD</v>
      </c>
      <c r="L165" s="4">
        <v>45001</v>
      </c>
      <c r="M165" s="140">
        <v>10</v>
      </c>
      <c r="N165" s="143"/>
      <c r="P165" s="4" t="str">
        <f>VLOOKUP(H165,Stock_list!A:Y,25,FALSE)</f>
        <v>Yes</v>
      </c>
      <c r="T165" s="144"/>
      <c r="U165" s="145" t="str">
        <f>VLOOKUP(H165,Stock_list!A:N,14,FALSE)</f>
        <v>MAR 23</v>
      </c>
    </row>
    <row r="166" spans="1:21" ht="16.5" customHeight="1">
      <c r="A166" s="159" t="s">
        <v>2748</v>
      </c>
      <c r="B166" s="114" t="str">
        <f>VLOOKUP(A166,'Data pick slip'!B:F,5,FALSE)</f>
        <v>KHJ-MC400-00</v>
      </c>
      <c r="F166" s="157" t="s">
        <v>1381</v>
      </c>
      <c r="H166" s="138">
        <v>1840</v>
      </c>
      <c r="I166" s="140" t="str">
        <f>VLOOKUP(H166,Stock_list!A:R,18,FALSE)</f>
        <v>SUPERIOR丰卓</v>
      </c>
      <c r="J166" s="139" t="str">
        <f>VLOOKUP(H166,Stock_list!A:S,17,FALSE)</f>
        <v>SUESE#001/23</v>
      </c>
      <c r="K166" s="51" t="str">
        <f>VLOOKUP(H166,Stock_list!A:T,16,FALSE)</f>
        <v>USD</v>
      </c>
      <c r="L166" s="4">
        <v>45001</v>
      </c>
      <c r="M166" s="140">
        <v>5</v>
      </c>
      <c r="N166" s="143"/>
      <c r="P166" s="4" t="str">
        <f>VLOOKUP(H166,Stock_list!A:Y,25,FALSE)</f>
        <v>Yes</v>
      </c>
      <c r="T166" s="144"/>
      <c r="U166" s="145" t="str">
        <f>VLOOKUP(H166,Stock_list!A:N,14,FALSE)</f>
        <v>MAR 23</v>
      </c>
    </row>
    <row r="167" spans="1:21" ht="16.5" customHeight="1">
      <c r="A167" s="159" t="s">
        <v>2749</v>
      </c>
      <c r="B167" s="114" t="str">
        <f>VLOOKUP(A167,'Data pick slip'!B:F,5,FALSE)</f>
        <v>KHJ-MC500-00</v>
      </c>
      <c r="F167" s="157" t="s">
        <v>1381</v>
      </c>
      <c r="H167" s="138">
        <v>1840</v>
      </c>
      <c r="I167" s="140" t="str">
        <f>VLOOKUP(H167,Stock_list!A:R,18,FALSE)</f>
        <v>SUPERIOR丰卓</v>
      </c>
      <c r="J167" s="139" t="str">
        <f>VLOOKUP(H167,Stock_list!A:S,17,FALSE)</f>
        <v>SUESE#001/23</v>
      </c>
      <c r="K167" s="51" t="str">
        <f>VLOOKUP(H167,Stock_list!A:T,16,FALSE)</f>
        <v>USD</v>
      </c>
      <c r="L167" s="4">
        <v>45001</v>
      </c>
      <c r="M167" s="140">
        <v>2</v>
      </c>
      <c r="N167" s="143"/>
      <c r="P167" s="4" t="str">
        <f>VLOOKUP(H167,Stock_list!A:Y,25,FALSE)</f>
        <v>Yes</v>
      </c>
      <c r="T167" s="144"/>
      <c r="U167" s="145" t="str">
        <f>VLOOKUP(H167,Stock_list!A:N,14,FALSE)</f>
        <v>MAR 23</v>
      </c>
    </row>
    <row r="168" spans="1:21" ht="16.5" customHeight="1">
      <c r="A168" s="159" t="s">
        <v>2755</v>
      </c>
      <c r="B168" s="114" t="str">
        <f>VLOOKUP(A168,'Data pick slip'!B:F,5,FALSE)</f>
        <v>KLJ-MC100-00</v>
      </c>
      <c r="F168" s="157" t="s">
        <v>2753</v>
      </c>
      <c r="H168" s="138">
        <v>1842</v>
      </c>
      <c r="I168" s="140" t="str">
        <f>VLOOKUP(H168,Stock_list!A:R,18,FALSE)</f>
        <v>深圳耕创</v>
      </c>
      <c r="J168" s="139" t="str">
        <f>VLOOKUP(H168,Stock_list!A:S,17,FALSE)</f>
        <v>C49SZX20230015DZ</v>
      </c>
      <c r="K168" s="51" t="str">
        <f>VLOOKUP(H168,Stock_list!A:T,16,FALSE)</f>
        <v>RMB</v>
      </c>
      <c r="L168" s="4">
        <v>45058</v>
      </c>
      <c r="M168" s="140">
        <v>10</v>
      </c>
      <c r="P168" s="4" t="str">
        <f>VLOOKUP(H168,Stock_list!A:Y,25,FALSE)</f>
        <v>Yes</v>
      </c>
      <c r="Q168" s="143"/>
      <c r="T168" s="144"/>
      <c r="U168" s="145" t="str">
        <f>VLOOKUP(H168,Stock_list!A:N,14,FALSE)</f>
        <v>MAY 23</v>
      </c>
    </row>
    <row r="169" spans="1:21" ht="16.5" customHeight="1">
      <c r="A169" s="159" t="s">
        <v>2755</v>
      </c>
      <c r="B169" s="114" t="str">
        <f>VLOOKUP(A169,'Data pick slip'!B:F,5,FALSE)</f>
        <v>KLJ-MC100-00</v>
      </c>
      <c r="F169" s="157" t="s">
        <v>2753</v>
      </c>
      <c r="H169" s="138">
        <v>1843</v>
      </c>
      <c r="I169" s="140" t="str">
        <f>VLOOKUP(H169,Stock_list!A:R,18,FALSE)</f>
        <v>惠州耕创</v>
      </c>
      <c r="J169" s="139" t="str">
        <f>VLOOKUP(H169,Stock_list!A:S,17,FALSE)</f>
        <v>C49SZX20230016DZ</v>
      </c>
      <c r="K169" s="51" t="str">
        <f>VLOOKUP(H169,Stock_list!A:T,16,FALSE)</f>
        <v>RMB</v>
      </c>
      <c r="L169" s="4">
        <v>45058</v>
      </c>
      <c r="M169" s="140">
        <v>60</v>
      </c>
      <c r="P169" s="4" t="str">
        <f>VLOOKUP(H169,Stock_list!A:Y,25,FALSE)</f>
        <v>Yes</v>
      </c>
      <c r="Q169" s="143"/>
      <c r="T169" s="144"/>
      <c r="U169" s="145" t="str">
        <f>VLOOKUP(H169,Stock_list!A:N,14,FALSE)</f>
        <v>MAY 23</v>
      </c>
    </row>
    <row r="170" spans="1:21" ht="16.5" customHeight="1">
      <c r="A170" s="159" t="s">
        <v>2744</v>
      </c>
      <c r="B170" s="114" t="str">
        <f>VLOOKUP(A170,'Data pick slip'!B:F,5,FALSE)</f>
        <v>KHJ-MC100-00</v>
      </c>
      <c r="F170" s="157" t="s">
        <v>2753</v>
      </c>
      <c r="H170" s="138">
        <v>1846</v>
      </c>
      <c r="I170" s="140" t="str">
        <f>VLOOKUP(H170,Stock_list!A:R,18,FALSE)</f>
        <v>裕达盛</v>
      </c>
      <c r="J170" s="139" t="str">
        <f>VLOOKUP(H170,Stock_list!A:S,17,FALSE)</f>
        <v>C49SZX20230023R1SX</v>
      </c>
      <c r="K170" s="51" t="str">
        <f>VLOOKUP(H170,Stock_list!A:T,16,FALSE)</f>
        <v>RMB</v>
      </c>
      <c r="L170" s="4">
        <v>45007</v>
      </c>
      <c r="M170" s="140">
        <v>10</v>
      </c>
      <c r="P170" s="4" t="str">
        <f>VLOOKUP(H170,Stock_list!A:Y,25,FALSE)</f>
        <v>Yes</v>
      </c>
      <c r="Q170" s="143"/>
      <c r="T170" s="144"/>
      <c r="U170" s="145" t="str">
        <f>VLOOKUP(H170,Stock_list!A:N,14,FALSE)</f>
        <v>MAR 23</v>
      </c>
    </row>
    <row r="171" spans="1:21" ht="16.5" customHeight="1">
      <c r="A171" s="159" t="s">
        <v>2748</v>
      </c>
      <c r="B171" s="114" t="str">
        <f>VLOOKUP(A171,'Data pick slip'!B:F,5,FALSE)</f>
        <v>KHJ-MC400-00</v>
      </c>
      <c r="F171" s="157" t="s">
        <v>2753</v>
      </c>
      <c r="H171" s="138">
        <v>1846</v>
      </c>
      <c r="I171" s="140" t="str">
        <f>VLOOKUP(H171,Stock_list!A:R,18,FALSE)</f>
        <v>裕达盛</v>
      </c>
      <c r="J171" s="139" t="str">
        <f>VLOOKUP(H171,Stock_list!A:S,17,FALSE)</f>
        <v>C49SZX20230023R1SX</v>
      </c>
      <c r="K171" s="51" t="str">
        <f>VLOOKUP(H171,Stock_list!A:T,16,FALSE)</f>
        <v>RMB</v>
      </c>
      <c r="L171" s="4">
        <v>45007</v>
      </c>
      <c r="M171" s="140">
        <v>1</v>
      </c>
      <c r="P171" s="4" t="str">
        <f>VLOOKUP(H171,Stock_list!A:Y,25,FALSE)</f>
        <v>Yes</v>
      </c>
      <c r="Q171" s="143"/>
      <c r="T171" s="144"/>
      <c r="U171" s="145" t="str">
        <f>VLOOKUP(H171,Stock_list!A:N,14,FALSE)</f>
        <v>MAR 23</v>
      </c>
    </row>
    <row r="172" spans="1:21" ht="16.5" customHeight="1">
      <c r="A172" s="159" t="s">
        <v>2744</v>
      </c>
      <c r="B172" s="114" t="str">
        <f>VLOOKUP(A172,'Data pick slip'!B:F,5,FALSE)</f>
        <v>KHJ-MC100-00</v>
      </c>
      <c r="F172" s="157" t="s">
        <v>2753</v>
      </c>
      <c r="H172" s="138">
        <v>1849</v>
      </c>
      <c r="I172" s="140" t="str">
        <f>VLOOKUP(H172,Stock_list!A:R,18,FALSE)</f>
        <v>建航</v>
      </c>
      <c r="J172" s="139" t="str">
        <f>VLOOKUP(H172,Stock_list!A:S,17,FALSE)</f>
        <v>C49SZX20230028JY</v>
      </c>
      <c r="K172" s="51" t="str">
        <f>VLOOKUP(H172,Stock_list!A:T,16,FALSE)</f>
        <v>RMB</v>
      </c>
      <c r="L172" s="4">
        <v>45031</v>
      </c>
      <c r="M172" s="132">
        <v>100</v>
      </c>
      <c r="P172" s="4" t="str">
        <f>VLOOKUP(H172,Stock_list!A:Y,25,FALSE)</f>
        <v>Yes</v>
      </c>
      <c r="Q172" s="143"/>
      <c r="T172" s="144"/>
      <c r="U172" s="145" t="str">
        <f>VLOOKUP(H172,Stock_list!A:N,14,FALSE)</f>
        <v>APR 23</v>
      </c>
    </row>
    <row r="173" spans="1:21" ht="16.5" customHeight="1">
      <c r="A173" s="159" t="s">
        <v>2747</v>
      </c>
      <c r="B173" s="114" t="str">
        <f>VLOOKUP(A173,'Data pick slip'!B:F,5,FALSE)</f>
        <v>KHJ-MC200-00</v>
      </c>
      <c r="F173" s="157" t="s">
        <v>2753</v>
      </c>
      <c r="H173" s="138">
        <v>1849</v>
      </c>
      <c r="I173" s="140" t="str">
        <f>VLOOKUP(H173,Stock_list!A:R,18,FALSE)</f>
        <v>建航</v>
      </c>
      <c r="J173" s="139" t="str">
        <f>VLOOKUP(H173,Stock_list!A:S,17,FALSE)</f>
        <v>C49SZX20230028JY</v>
      </c>
      <c r="K173" s="51" t="str">
        <f>VLOOKUP(H173,Stock_list!A:T,16,FALSE)</f>
        <v>RMB</v>
      </c>
      <c r="L173" s="4">
        <v>45031</v>
      </c>
      <c r="M173" s="132">
        <v>15</v>
      </c>
      <c r="P173" s="4" t="str">
        <f>VLOOKUP(H173,Stock_list!A:Y,25,FALSE)</f>
        <v>Yes</v>
      </c>
      <c r="Q173" s="143"/>
      <c r="T173" s="144"/>
      <c r="U173" s="145" t="str">
        <f>VLOOKUP(H173,Stock_list!A:N,14,FALSE)</f>
        <v>APR 23</v>
      </c>
    </row>
    <row r="174" spans="1:21" ht="16.5" customHeight="1">
      <c r="A174" s="159" t="s">
        <v>2748</v>
      </c>
      <c r="B174" s="114" t="str">
        <f>VLOOKUP(A174,'Data pick slip'!B:F,5,FALSE)</f>
        <v>KHJ-MC400-00</v>
      </c>
      <c r="F174" s="157" t="s">
        <v>2753</v>
      </c>
      <c r="H174" s="138">
        <v>1849</v>
      </c>
      <c r="I174" s="140" t="str">
        <f>VLOOKUP(H174,Stock_list!A:R,18,FALSE)</f>
        <v>建航</v>
      </c>
      <c r="J174" s="139" t="str">
        <f>VLOOKUP(H174,Stock_list!A:S,17,FALSE)</f>
        <v>C49SZX20230028JY</v>
      </c>
      <c r="K174" s="51" t="str">
        <f>VLOOKUP(H174,Stock_list!A:T,16,FALSE)</f>
        <v>RMB</v>
      </c>
      <c r="L174" s="4">
        <v>45031</v>
      </c>
      <c r="M174" s="132">
        <v>2</v>
      </c>
      <c r="P174" s="4" t="str">
        <f>VLOOKUP(H174,Stock_list!A:Y,25,FALSE)</f>
        <v>Yes</v>
      </c>
      <c r="Q174" s="143"/>
      <c r="T174" s="144"/>
      <c r="U174" s="145" t="str">
        <f>VLOOKUP(H174,Stock_list!A:N,14,FALSE)</f>
        <v>APR 23</v>
      </c>
    </row>
    <row r="175" spans="1:21" ht="16.5" customHeight="1">
      <c r="A175" s="159" t="s">
        <v>2749</v>
      </c>
      <c r="B175" s="114" t="str">
        <f>VLOOKUP(A175,'Data pick slip'!B:F,5,FALSE)</f>
        <v>KHJ-MC500-00</v>
      </c>
      <c r="F175" s="157" t="s">
        <v>2753</v>
      </c>
      <c r="H175" s="138">
        <v>1849</v>
      </c>
      <c r="I175" s="140" t="str">
        <f>VLOOKUP(H175,Stock_list!A:R,18,FALSE)</f>
        <v>建航</v>
      </c>
      <c r="J175" s="139" t="str">
        <f>VLOOKUP(H175,Stock_list!A:S,17,FALSE)</f>
        <v>C49SZX20230028JY</v>
      </c>
      <c r="K175" s="51" t="str">
        <f>VLOOKUP(H175,Stock_list!A:T,16,FALSE)</f>
        <v>RMB</v>
      </c>
      <c r="L175" s="4">
        <v>45031</v>
      </c>
      <c r="M175" s="132">
        <v>2</v>
      </c>
      <c r="P175" s="4" t="str">
        <f>VLOOKUP(H175,Stock_list!A:Y,25,FALSE)</f>
        <v>Yes</v>
      </c>
      <c r="Q175" s="143"/>
      <c r="T175" s="144"/>
      <c r="U175" s="145" t="str">
        <f>VLOOKUP(H175,Stock_list!A:N,14,FALSE)</f>
        <v>APR 23</v>
      </c>
    </row>
    <row r="176" spans="1:21" ht="16.5" customHeight="1">
      <c r="A176" s="159" t="s">
        <v>2750</v>
      </c>
      <c r="B176" s="114" t="str">
        <f>VLOOKUP(A176,'Data pick slip'!B:F,5,FALSE)</f>
        <v>KHJ-MC600-00</v>
      </c>
      <c r="F176" s="157" t="s">
        <v>2753</v>
      </c>
      <c r="H176" s="138">
        <v>1850</v>
      </c>
      <c r="I176" s="140" t="str">
        <f>VLOOKUP(H176,Stock_list!A:R,18,FALSE)</f>
        <v>兆晖</v>
      </c>
      <c r="J176" s="139" t="str">
        <f>VLOOKUP(H176,Stock_list!A:S,17,FALSE)</f>
        <v>C49SZX20230025DZ</v>
      </c>
      <c r="K176" s="51" t="str">
        <f>VLOOKUP(H176,Stock_list!A:T,16,FALSE)</f>
        <v>RMB</v>
      </c>
      <c r="L176" s="4">
        <v>44999</v>
      </c>
      <c r="M176" s="140">
        <v>1</v>
      </c>
      <c r="P176" s="4" t="str">
        <f>VLOOKUP(H176,Stock_list!A:Y,25,FALSE)</f>
        <v>Yes</v>
      </c>
      <c r="Q176" s="143"/>
      <c r="T176" s="144"/>
      <c r="U176" s="145" t="str">
        <f>VLOOKUP(H176,Stock_list!A:N,14,FALSE)</f>
        <v>MAR 23</v>
      </c>
    </row>
    <row r="177" spans="1:21" ht="16.5" customHeight="1">
      <c r="A177" s="159" t="s">
        <v>2744</v>
      </c>
      <c r="B177" s="114" t="str">
        <f>VLOOKUP(A177,'Data pick slip'!B:F,5,FALSE)</f>
        <v>KHJ-MC100-00</v>
      </c>
      <c r="F177" s="157" t="s">
        <v>2753</v>
      </c>
      <c r="H177" s="138">
        <v>1852</v>
      </c>
      <c r="I177" s="140" t="str">
        <f>VLOOKUP(H177,Stock_list!A:R,18,FALSE)</f>
        <v>乐福源</v>
      </c>
      <c r="J177" s="139" t="str">
        <f>VLOOKUP(H177,Stock_list!A:S,17,FALSE)</f>
        <v>C49SZX20230026EC</v>
      </c>
      <c r="K177" s="51" t="str">
        <f>VLOOKUP(H177,Stock_list!A:T,16,FALSE)</f>
        <v>RMB</v>
      </c>
      <c r="L177" s="4">
        <v>45028</v>
      </c>
      <c r="M177" s="132">
        <v>100</v>
      </c>
      <c r="P177" s="4" t="str">
        <f>VLOOKUP(H177,Stock_list!A:Y,25,FALSE)</f>
        <v>Yes</v>
      </c>
      <c r="Q177" s="143"/>
      <c r="T177" s="144"/>
      <c r="U177" s="145" t="str">
        <f>VLOOKUP(H177,Stock_list!A:N,14,FALSE)</f>
        <v>APR 23</v>
      </c>
    </row>
    <row r="178" spans="1:21" ht="16.5" customHeight="1">
      <c r="A178" s="159" t="s">
        <v>2747</v>
      </c>
      <c r="B178" s="114" t="str">
        <f>VLOOKUP(A178,'Data pick slip'!B:F,5,FALSE)</f>
        <v>KHJ-MC200-00</v>
      </c>
      <c r="F178" s="157" t="s">
        <v>2753</v>
      </c>
      <c r="H178" s="138">
        <v>1852</v>
      </c>
      <c r="I178" s="140" t="str">
        <f>VLOOKUP(H178,Stock_list!A:R,18,FALSE)</f>
        <v>乐福源</v>
      </c>
      <c r="J178" s="139" t="str">
        <f>VLOOKUP(H178,Stock_list!A:S,17,FALSE)</f>
        <v>C49SZX20230026EC</v>
      </c>
      <c r="K178" s="51" t="str">
        <f>VLOOKUP(H178,Stock_list!A:T,16,FALSE)</f>
        <v>RMB</v>
      </c>
      <c r="L178" s="4">
        <v>45028</v>
      </c>
      <c r="M178" s="132">
        <v>8</v>
      </c>
      <c r="P178" s="4" t="str">
        <f>VLOOKUP(H178,Stock_list!A:Y,25,FALSE)</f>
        <v>Yes</v>
      </c>
      <c r="Q178" s="143"/>
      <c r="T178" s="144"/>
      <c r="U178" s="145" t="str">
        <f>VLOOKUP(H178,Stock_list!A:N,14,FALSE)</f>
        <v>APR 23</v>
      </c>
    </row>
    <row r="179" spans="1:21" ht="16.5" customHeight="1">
      <c r="A179" s="159" t="s">
        <v>2748</v>
      </c>
      <c r="B179" s="114" t="str">
        <f>VLOOKUP(A179,'Data pick slip'!B:F,5,FALSE)</f>
        <v>KHJ-MC400-00</v>
      </c>
      <c r="F179" s="157" t="s">
        <v>2753</v>
      </c>
      <c r="H179" s="138">
        <v>1852</v>
      </c>
      <c r="I179" s="140" t="str">
        <f>VLOOKUP(H179,Stock_list!A:R,18,FALSE)</f>
        <v>乐福源</v>
      </c>
      <c r="J179" s="139" t="str">
        <f>VLOOKUP(H179,Stock_list!A:S,17,FALSE)</f>
        <v>C49SZX20230026EC</v>
      </c>
      <c r="K179" s="51" t="str">
        <f>VLOOKUP(H179,Stock_list!A:T,16,FALSE)</f>
        <v>RMB</v>
      </c>
      <c r="L179" s="4">
        <v>45028</v>
      </c>
      <c r="M179" s="132">
        <v>2</v>
      </c>
      <c r="P179" s="4" t="str">
        <f>VLOOKUP(H179,Stock_list!A:Y,25,FALSE)</f>
        <v>Yes</v>
      </c>
      <c r="Q179" s="143"/>
      <c r="T179" s="144"/>
      <c r="U179" s="145" t="str">
        <f>VLOOKUP(H179,Stock_list!A:N,14,FALSE)</f>
        <v>APR 23</v>
      </c>
    </row>
    <row r="180" spans="1:21" ht="16.5" customHeight="1">
      <c r="A180" s="159" t="s">
        <v>2744</v>
      </c>
      <c r="B180" s="114" t="str">
        <f>VLOOKUP(A180,'Data pick slip'!B:F,5,FALSE)</f>
        <v>KHJ-MC100-00</v>
      </c>
      <c r="F180" s="157" t="s">
        <v>2753</v>
      </c>
      <c r="H180" s="138">
        <v>1854</v>
      </c>
      <c r="I180" s="140" t="str">
        <f>VLOOKUP(H180,Stock_list!A:R,18,FALSE)</f>
        <v>和创永泰</v>
      </c>
      <c r="J180" s="139" t="str">
        <f>VLOOKUP(H180,Stock_list!A:S,17,FALSE)</f>
        <v>C49SZX20230030JY</v>
      </c>
      <c r="K180" s="51" t="str">
        <f>VLOOKUP(H180,Stock_list!A:T,16,FALSE)</f>
        <v>RMB</v>
      </c>
      <c r="L180" s="4">
        <v>44987</v>
      </c>
      <c r="M180" s="140">
        <v>20</v>
      </c>
      <c r="P180" s="4" t="str">
        <f>VLOOKUP(H180,Stock_list!A:Y,25,FALSE)</f>
        <v>Yes</v>
      </c>
      <c r="Q180" s="143"/>
      <c r="T180" s="144"/>
      <c r="U180" s="145" t="str">
        <f>VLOOKUP(H180,Stock_list!A:N,14,FALSE)</f>
        <v>MAR 23</v>
      </c>
    </row>
    <row r="181" spans="1:21" ht="16.5" customHeight="1">
      <c r="A181" s="159" t="s">
        <v>2747</v>
      </c>
      <c r="B181" s="114" t="str">
        <f>VLOOKUP(A181,'Data pick slip'!B:F,5,FALSE)</f>
        <v>KHJ-MC200-00</v>
      </c>
      <c r="F181" s="157" t="s">
        <v>2753</v>
      </c>
      <c r="H181" s="138">
        <v>1854</v>
      </c>
      <c r="I181" s="140" t="str">
        <f>VLOOKUP(H181,Stock_list!A:R,18,FALSE)</f>
        <v>和创永泰</v>
      </c>
      <c r="J181" s="139" t="str">
        <f>VLOOKUP(H181,Stock_list!A:S,17,FALSE)</f>
        <v>C49SZX20230030JY</v>
      </c>
      <c r="K181" s="51" t="str">
        <f>VLOOKUP(H181,Stock_list!A:T,16,FALSE)</f>
        <v>RMB</v>
      </c>
      <c r="L181" s="4">
        <v>44987</v>
      </c>
      <c r="M181" s="140">
        <v>8</v>
      </c>
      <c r="P181" s="4" t="str">
        <f>VLOOKUP(H181,Stock_list!A:Y,25,FALSE)</f>
        <v>Yes</v>
      </c>
      <c r="Q181" s="143"/>
      <c r="T181" s="144"/>
      <c r="U181" s="145" t="str">
        <f>VLOOKUP(H181,Stock_list!A:N,14,FALSE)</f>
        <v>MAR 23</v>
      </c>
    </row>
    <row r="182" spans="1:21" ht="16.5" customHeight="1">
      <c r="A182" s="159" t="s">
        <v>2748</v>
      </c>
      <c r="B182" s="114" t="str">
        <f>VLOOKUP(A182,'Data pick slip'!B:F,5,FALSE)</f>
        <v>KHJ-MC400-00</v>
      </c>
      <c r="F182" s="157" t="s">
        <v>2753</v>
      </c>
      <c r="H182" s="138">
        <v>1854</v>
      </c>
      <c r="I182" s="140" t="str">
        <f>VLOOKUP(H182,Stock_list!A:R,18,FALSE)</f>
        <v>和创永泰</v>
      </c>
      <c r="J182" s="139" t="str">
        <f>VLOOKUP(H182,Stock_list!A:S,17,FALSE)</f>
        <v>C49SZX20230030JY</v>
      </c>
      <c r="K182" s="51" t="str">
        <f>VLOOKUP(H182,Stock_list!A:T,16,FALSE)</f>
        <v>RMB</v>
      </c>
      <c r="L182" s="4">
        <v>44987</v>
      </c>
      <c r="M182" s="140">
        <v>4</v>
      </c>
      <c r="P182" s="4" t="str">
        <f>VLOOKUP(H182,Stock_list!A:Y,25,FALSE)</f>
        <v>Yes</v>
      </c>
      <c r="Q182" s="143"/>
      <c r="T182" s="144"/>
      <c r="U182" s="145" t="str">
        <f>VLOOKUP(H182,Stock_list!A:N,14,FALSE)</f>
        <v>MAR 23</v>
      </c>
    </row>
    <row r="183" spans="1:21" ht="16.5" customHeight="1">
      <c r="A183" s="159" t="s">
        <v>2751</v>
      </c>
      <c r="B183" s="114" t="str">
        <f>VLOOKUP(A183,'Data pick slip'!B:F,5,FALSE)</f>
        <v>KHJ-MC700-00</v>
      </c>
      <c r="F183" s="157" t="s">
        <v>2753</v>
      </c>
      <c r="H183" s="138">
        <v>1788</v>
      </c>
      <c r="I183" s="140" t="str">
        <f>VLOOKUP(H183,Stock_list!A:R,18,FALSE)</f>
        <v>海红天远</v>
      </c>
      <c r="J183" s="139" t="str">
        <f>VLOOKUP(H183,Stock_list!A:S,17,FALSE)</f>
        <v>C49SZX20220128EC</v>
      </c>
      <c r="K183" s="51" t="str">
        <f>VLOOKUP(H183,Stock_list!A:T,16,FALSE)</f>
        <v>JPY</v>
      </c>
      <c r="L183" s="290">
        <v>45013</v>
      </c>
      <c r="M183" s="140">
        <v>1</v>
      </c>
      <c r="P183" s="4" t="str">
        <f>VLOOKUP(H183,Stock_list!A:Y,25,FALSE)</f>
        <v>Yes</v>
      </c>
      <c r="Q183" s="143"/>
      <c r="S183" s="268" t="s">
        <v>2778</v>
      </c>
      <c r="T183" s="266" t="s">
        <v>2780</v>
      </c>
      <c r="U183" s="145"/>
    </row>
    <row r="184" spans="1:21" ht="16.5" customHeight="1">
      <c r="A184" s="159" t="s">
        <v>2758</v>
      </c>
      <c r="B184" s="114" t="str">
        <f>VLOOKUP(A184,'Data pick slip'!B:F,5,FALSE)</f>
        <v>KLJ-MC500-00</v>
      </c>
      <c r="F184" s="157" t="s">
        <v>2753</v>
      </c>
      <c r="H184" s="138">
        <v>1854</v>
      </c>
      <c r="I184" s="335" t="str">
        <f>VLOOKUP(H184,Stock_list!A:R,18,FALSE)</f>
        <v>和创永泰</v>
      </c>
      <c r="J184" s="332" t="str">
        <f>VLOOKUP(H184,Stock_list!A:S,17,FALSE)</f>
        <v>C49SZX20230030JY</v>
      </c>
      <c r="K184" s="333" t="str">
        <f>VLOOKUP(H184,Stock_list!A:T,16,FALSE)</f>
        <v>RMB</v>
      </c>
      <c r="L184" s="334" t="s">
        <v>2781</v>
      </c>
      <c r="M184" s="335">
        <v>4</v>
      </c>
      <c r="P184" s="4" t="str">
        <f>VLOOKUP(H184,Stock_list!A:Y,25,FALSE)</f>
        <v>Yes</v>
      </c>
      <c r="Q184" s="143"/>
      <c r="T184" s="144"/>
      <c r="U184" s="145"/>
    </row>
    <row r="185" spans="1:21" ht="16.5" customHeight="1">
      <c r="A185" s="159" t="s">
        <v>2759</v>
      </c>
      <c r="B185" s="114" t="str">
        <f>VLOOKUP(A185,'Data pick slip'!B:F,5,FALSE)</f>
        <v>KLJ-MC600-00</v>
      </c>
      <c r="F185" s="157" t="s">
        <v>2753</v>
      </c>
      <c r="H185" s="138">
        <v>1854</v>
      </c>
      <c r="I185" s="335" t="str">
        <f>VLOOKUP(H185,Stock_list!A:R,18,FALSE)</f>
        <v>和创永泰</v>
      </c>
      <c r="J185" s="332" t="str">
        <f>VLOOKUP(H185,Stock_list!A:S,17,FALSE)</f>
        <v>C49SZX20230030JY</v>
      </c>
      <c r="K185" s="333" t="str">
        <f>VLOOKUP(H185,Stock_list!A:T,16,FALSE)</f>
        <v>RMB</v>
      </c>
      <c r="L185" s="334" t="s">
        <v>2781</v>
      </c>
      <c r="M185" s="335">
        <v>3</v>
      </c>
      <c r="P185" s="4" t="str">
        <f>VLOOKUP(H185,Stock_list!A:Y,25,FALSE)</f>
        <v>Yes</v>
      </c>
      <c r="Q185" s="143"/>
      <c r="T185" s="144"/>
      <c r="U185" s="145"/>
    </row>
    <row r="186" spans="1:21" ht="16.5" customHeight="1">
      <c r="A186" s="159" t="s">
        <v>2744</v>
      </c>
      <c r="B186" s="114" t="str">
        <f>VLOOKUP(A186,'Data pick slip'!B:F,5,FALSE)</f>
        <v>KHJ-MC100-00</v>
      </c>
      <c r="F186" s="157" t="s">
        <v>2753</v>
      </c>
      <c r="H186" s="138">
        <v>1855</v>
      </c>
      <c r="I186" s="140" t="str">
        <f>VLOOKUP(H186,Stock_list!A:R,18,FALSE)</f>
        <v>奕东</v>
      </c>
      <c r="J186" s="139" t="str">
        <f>VLOOKUP(H186,Stock_list!A:S,17,FALSE)</f>
        <v>C49SZX20230020SX</v>
      </c>
      <c r="K186" s="51" t="str">
        <f>VLOOKUP(H186,Stock_list!A:T,16,FALSE)</f>
        <v>RMB</v>
      </c>
      <c r="L186" s="4">
        <v>45089</v>
      </c>
      <c r="M186" s="143">
        <v>9</v>
      </c>
      <c r="P186" s="4" t="str">
        <f>VLOOKUP(H186,Stock_list!A:Y,25,FALSE)</f>
        <v>Yes</v>
      </c>
      <c r="T186" s="144"/>
      <c r="U186" s="145" t="str">
        <f>VLOOKUP(H186,Stock_list!A:N,14,FALSE)</f>
        <v>JUN 23</v>
      </c>
    </row>
    <row r="187" spans="1:21" ht="16.5" customHeight="1">
      <c r="A187" s="159" t="s">
        <v>2747</v>
      </c>
      <c r="B187" s="114" t="str">
        <f>VLOOKUP(A187,'Data pick slip'!B:F,5,FALSE)</f>
        <v>KHJ-MC200-00</v>
      </c>
      <c r="F187" s="157" t="s">
        <v>2753</v>
      </c>
      <c r="H187" s="138">
        <v>1855</v>
      </c>
      <c r="I187" s="140" t="str">
        <f>VLOOKUP(H187,Stock_list!A:R,18,FALSE)</f>
        <v>奕东</v>
      </c>
      <c r="J187" s="139" t="str">
        <f>VLOOKUP(H187,Stock_list!A:S,17,FALSE)</f>
        <v>C49SZX20230020SX</v>
      </c>
      <c r="K187" s="51" t="str">
        <f>VLOOKUP(H187,Stock_list!A:T,16,FALSE)</f>
        <v>RMB</v>
      </c>
      <c r="L187" s="4">
        <v>45089</v>
      </c>
      <c r="M187" s="143">
        <v>4</v>
      </c>
      <c r="P187" s="4" t="str">
        <f>VLOOKUP(H187,Stock_list!A:Y,25,FALSE)</f>
        <v>Yes</v>
      </c>
      <c r="T187" s="144"/>
      <c r="U187" s="145" t="str">
        <f>VLOOKUP(H187,Stock_list!A:N,14,FALSE)</f>
        <v>JUN 23</v>
      </c>
    </row>
    <row r="188" spans="1:21" ht="16.5" customHeight="1">
      <c r="A188" s="159" t="s">
        <v>2748</v>
      </c>
      <c r="B188" s="114" t="str">
        <f>VLOOKUP(A188,'Data pick slip'!B:F,5,FALSE)</f>
        <v>KHJ-MC400-00</v>
      </c>
      <c r="F188" s="157" t="s">
        <v>2753</v>
      </c>
      <c r="H188" s="138">
        <v>1855</v>
      </c>
      <c r="I188" s="140" t="str">
        <f>VLOOKUP(H188,Stock_list!A:R,18,FALSE)</f>
        <v>奕东</v>
      </c>
      <c r="J188" s="139" t="str">
        <f>VLOOKUP(H188,Stock_list!A:S,17,FALSE)</f>
        <v>C49SZX20230020SX</v>
      </c>
      <c r="K188" s="51" t="str">
        <f>VLOOKUP(H188,Stock_list!A:T,16,FALSE)</f>
        <v>RMB</v>
      </c>
      <c r="L188" s="4">
        <v>45089</v>
      </c>
      <c r="M188" s="143">
        <v>3</v>
      </c>
      <c r="P188" s="4" t="str">
        <f>VLOOKUP(H188,Stock_list!A:Y,25,FALSE)</f>
        <v>Yes</v>
      </c>
      <c r="T188" s="144"/>
      <c r="U188" s="145" t="str">
        <f>VLOOKUP(H188,Stock_list!A:N,14,FALSE)</f>
        <v>JUN 23</v>
      </c>
    </row>
    <row r="189" spans="1:21" ht="16.5" customHeight="1">
      <c r="A189" s="159" t="s">
        <v>2749</v>
      </c>
      <c r="B189" s="114" t="str">
        <f>VLOOKUP(A189,'Data pick slip'!B:F,5,FALSE)</f>
        <v>KHJ-MC500-00</v>
      </c>
      <c r="F189" s="157" t="s">
        <v>2753</v>
      </c>
      <c r="H189" s="138">
        <v>1855</v>
      </c>
      <c r="I189" s="140" t="str">
        <f>VLOOKUP(H189,Stock_list!A:R,18,FALSE)</f>
        <v>奕东</v>
      </c>
      <c r="J189" s="139" t="str">
        <f>VLOOKUP(H189,Stock_list!A:S,17,FALSE)</f>
        <v>C49SZX20230020SX</v>
      </c>
      <c r="K189" s="51" t="str">
        <f>VLOOKUP(H189,Stock_list!A:T,16,FALSE)</f>
        <v>RMB</v>
      </c>
      <c r="L189" s="4">
        <v>45089</v>
      </c>
      <c r="M189" s="143">
        <v>3</v>
      </c>
      <c r="P189" s="4" t="str">
        <f>VLOOKUP(H189,Stock_list!A:Y,25,FALSE)</f>
        <v>Yes</v>
      </c>
      <c r="T189" s="144"/>
      <c r="U189" s="145" t="str">
        <f>VLOOKUP(H189,Stock_list!A:N,14,FALSE)</f>
        <v>JUN 23</v>
      </c>
    </row>
    <row r="190" spans="1:21" ht="16.5" customHeight="1">
      <c r="A190" s="159" t="s">
        <v>2750</v>
      </c>
      <c r="B190" s="114" t="str">
        <f>VLOOKUP(A190,'Data pick slip'!B:F,5,FALSE)</f>
        <v>KHJ-MC600-00</v>
      </c>
      <c r="F190" s="157" t="s">
        <v>2753</v>
      </c>
      <c r="H190" s="138">
        <v>1855</v>
      </c>
      <c r="I190" s="140" t="str">
        <f>VLOOKUP(H190,Stock_list!A:R,18,FALSE)</f>
        <v>奕东</v>
      </c>
      <c r="J190" s="139" t="str">
        <f>VLOOKUP(H190,Stock_list!A:S,17,FALSE)</f>
        <v>C49SZX20230020SX</v>
      </c>
      <c r="K190" s="51" t="str">
        <f>VLOOKUP(H190,Stock_list!A:T,16,FALSE)</f>
        <v>RMB</v>
      </c>
      <c r="L190" s="4">
        <v>45089</v>
      </c>
      <c r="M190" s="143">
        <v>2</v>
      </c>
      <c r="P190" s="4" t="str">
        <f>VLOOKUP(H190,Stock_list!A:Y,25,FALSE)</f>
        <v>Yes</v>
      </c>
      <c r="T190" s="144"/>
      <c r="U190" s="145" t="str">
        <f>VLOOKUP(H190,Stock_list!A:N,14,FALSE)</f>
        <v>JUN 23</v>
      </c>
    </row>
    <row r="191" spans="1:21" ht="16.5" customHeight="1">
      <c r="A191" s="159" t="s">
        <v>2751</v>
      </c>
      <c r="B191" s="114" t="str">
        <f>VLOOKUP(A191,'Data pick slip'!B:F,5,FALSE)</f>
        <v>KHJ-MC700-00</v>
      </c>
      <c r="F191" s="157" t="s">
        <v>2753</v>
      </c>
      <c r="H191" s="138">
        <v>1855</v>
      </c>
      <c r="I191" s="140" t="str">
        <f>VLOOKUP(H191,Stock_list!A:R,18,FALSE)</f>
        <v>奕东</v>
      </c>
      <c r="J191" s="139" t="str">
        <f>VLOOKUP(H191,Stock_list!A:S,17,FALSE)</f>
        <v>C49SZX20230020SX</v>
      </c>
      <c r="K191" s="51" t="str">
        <f>VLOOKUP(H191,Stock_list!A:T,16,FALSE)</f>
        <v>RMB</v>
      </c>
      <c r="L191" s="4">
        <v>45089</v>
      </c>
      <c r="M191" s="143">
        <v>2</v>
      </c>
      <c r="P191" s="4" t="str">
        <f>VLOOKUP(H191,Stock_list!A:Y,25,FALSE)</f>
        <v>Yes</v>
      </c>
      <c r="T191" s="144"/>
      <c r="U191" s="145" t="str">
        <f>VLOOKUP(H191,Stock_list!A:N,14,FALSE)</f>
        <v>JUN 23</v>
      </c>
    </row>
    <row r="192" spans="1:21" ht="16.5" customHeight="1">
      <c r="A192" s="159" t="s">
        <v>2752</v>
      </c>
      <c r="B192" s="114" t="str">
        <f>VLOOKUP(A192,'Data pick slip'!B:F,5,FALSE)</f>
        <v>KHJ-MC800-00</v>
      </c>
      <c r="F192" s="157" t="s">
        <v>2753</v>
      </c>
      <c r="H192" s="138">
        <v>1855</v>
      </c>
      <c r="I192" s="140" t="str">
        <f>VLOOKUP(H192,Stock_list!A:R,18,FALSE)</f>
        <v>奕东</v>
      </c>
      <c r="J192" s="139" t="str">
        <f>VLOOKUP(H192,Stock_list!A:S,17,FALSE)</f>
        <v>C49SZX20230020SX</v>
      </c>
      <c r="K192" s="51" t="str">
        <f>VLOOKUP(H192,Stock_list!A:T,16,FALSE)</f>
        <v>RMB</v>
      </c>
      <c r="L192" s="4">
        <v>45089</v>
      </c>
      <c r="M192" s="143">
        <v>1</v>
      </c>
      <c r="P192" s="4" t="str">
        <f>VLOOKUP(H192,Stock_list!A:Y,25,FALSE)</f>
        <v>Yes</v>
      </c>
      <c r="T192" s="144"/>
      <c r="U192" s="145" t="str">
        <f>VLOOKUP(H192,Stock_list!A:N,14,FALSE)</f>
        <v>JUN 23</v>
      </c>
    </row>
    <row r="193" spans="1:21" ht="16.5" customHeight="1">
      <c r="A193" s="159" t="s">
        <v>2761</v>
      </c>
      <c r="B193" s="114" t="str">
        <f>VLOOKUP(A193,'Data pick slip'!B:F,5,FALSE)</f>
        <v>KLJ-MC800-00</v>
      </c>
      <c r="F193" s="157" t="s">
        <v>2753</v>
      </c>
      <c r="H193" s="138">
        <v>1855</v>
      </c>
      <c r="I193" s="140" t="str">
        <f>VLOOKUP(H193,Stock_list!A:R,18,FALSE)</f>
        <v>奕东</v>
      </c>
      <c r="J193" s="139" t="str">
        <f>VLOOKUP(H193,Stock_list!A:S,17,FALSE)</f>
        <v>C49SZX20230020SX</v>
      </c>
      <c r="K193" s="51" t="str">
        <f>VLOOKUP(H193,Stock_list!A:T,16,FALSE)</f>
        <v>RMB</v>
      </c>
      <c r="L193" s="4">
        <v>45089</v>
      </c>
      <c r="M193" s="143">
        <v>1</v>
      </c>
      <c r="P193" s="4" t="str">
        <f>VLOOKUP(H193,Stock_list!A:Y,25,FALSE)</f>
        <v>Yes</v>
      </c>
      <c r="T193" s="144"/>
      <c r="U193" s="145" t="str">
        <f>VLOOKUP(H193,Stock_list!A:N,14,FALSE)</f>
        <v>JUN 23</v>
      </c>
    </row>
    <row r="194" spans="1:21" ht="16.5" customHeight="1">
      <c r="A194" s="159" t="s">
        <v>2755</v>
      </c>
      <c r="B194" s="114" t="str">
        <f>VLOOKUP(A194,'Data pick slip'!B:F,5,FALSE)</f>
        <v>KLJ-MC100-00</v>
      </c>
      <c r="F194" s="157" t="s">
        <v>2753</v>
      </c>
      <c r="H194" s="138">
        <v>1856</v>
      </c>
      <c r="I194" s="140" t="str">
        <f>VLOOKUP(H194,Stock_list!A:R,18,FALSE)</f>
        <v>龙大光电</v>
      </c>
      <c r="J194" s="139" t="str">
        <f>VLOOKUP(H194,Stock_list!A:S,17,FALSE)</f>
        <v>C49SZX20230029SS</v>
      </c>
      <c r="K194" s="51" t="str">
        <f>VLOOKUP(H194,Stock_list!A:T,16,FALSE)</f>
        <v>RMB</v>
      </c>
      <c r="L194" s="4">
        <v>45042</v>
      </c>
      <c r="M194" s="140">
        <v>80</v>
      </c>
      <c r="P194" s="4" t="str">
        <f>VLOOKUP(H194,Stock_list!A:Y,25,FALSE)</f>
        <v>Yes</v>
      </c>
      <c r="Q194" s="143"/>
      <c r="T194" s="144"/>
      <c r="U194" s="145" t="str">
        <f>VLOOKUP(H194,Stock_list!A:N,14,FALSE)</f>
        <v>APR 23</v>
      </c>
    </row>
    <row r="195" spans="1:21" ht="16.5" customHeight="1">
      <c r="A195" s="159" t="s">
        <v>2744</v>
      </c>
      <c r="B195" s="114" t="str">
        <f>VLOOKUP(A195,'Data pick slip'!B:F,5,FALSE)</f>
        <v>KHJ-MC100-00</v>
      </c>
      <c r="F195" s="157" t="s">
        <v>2753</v>
      </c>
      <c r="H195" s="138">
        <v>1866</v>
      </c>
      <c r="I195" s="140" t="str">
        <f>VLOOKUP(H195,Stock_list!A:R,18,FALSE)</f>
        <v>博祯</v>
      </c>
      <c r="J195" s="139" t="str">
        <f>VLOOKUP(H195,Stock_list!A:S,17,FALSE)</f>
        <v>C49SZX20230035SX</v>
      </c>
      <c r="K195" s="51" t="str">
        <f>VLOOKUP(H195,Stock_list!A:T,16,FALSE)</f>
        <v>RMB</v>
      </c>
      <c r="L195" s="4">
        <v>45003</v>
      </c>
      <c r="M195" s="140">
        <v>90</v>
      </c>
      <c r="P195" s="4" t="str">
        <f>VLOOKUP(H195,Stock_list!A:Y,25,FALSE)</f>
        <v>Yes</v>
      </c>
      <c r="Q195" s="143"/>
      <c r="T195" s="144"/>
      <c r="U195" s="145" t="str">
        <f>VLOOKUP(H195,Stock_list!A:N,14,FALSE)</f>
        <v>MAR 23</v>
      </c>
    </row>
    <row r="196" spans="1:21" ht="16.5" customHeight="1">
      <c r="A196" s="159" t="s">
        <v>2747</v>
      </c>
      <c r="B196" s="114" t="str">
        <f>VLOOKUP(A196,'Data pick slip'!B:F,5,FALSE)</f>
        <v>KHJ-MC200-00</v>
      </c>
      <c r="F196" s="157" t="s">
        <v>2753</v>
      </c>
      <c r="H196" s="138">
        <v>1866</v>
      </c>
      <c r="I196" s="140" t="str">
        <f>VLOOKUP(H196,Stock_list!A:R,18,FALSE)</f>
        <v>博祯</v>
      </c>
      <c r="J196" s="139" t="str">
        <f>VLOOKUP(H196,Stock_list!A:S,17,FALSE)</f>
        <v>C49SZX20230035SX</v>
      </c>
      <c r="K196" s="51" t="str">
        <f>VLOOKUP(H196,Stock_list!A:T,16,FALSE)</f>
        <v>RMB</v>
      </c>
      <c r="L196" s="4">
        <v>45003</v>
      </c>
      <c r="M196" s="140">
        <v>10</v>
      </c>
      <c r="P196" s="4" t="str">
        <f>VLOOKUP(H196,Stock_list!A:Y,25,FALSE)</f>
        <v>Yes</v>
      </c>
      <c r="Q196" s="143"/>
      <c r="T196" s="144"/>
      <c r="U196" s="145" t="str">
        <f>VLOOKUP(H196,Stock_list!A:N,14,FALSE)</f>
        <v>MAR 23</v>
      </c>
    </row>
    <row r="197" spans="1:21" ht="16.5" customHeight="1">
      <c r="A197" s="159" t="s">
        <v>2748</v>
      </c>
      <c r="B197" s="114" t="str">
        <f>VLOOKUP(A197,'Data pick slip'!B:F,5,FALSE)</f>
        <v>KHJ-MC400-00</v>
      </c>
      <c r="F197" s="157" t="s">
        <v>2753</v>
      </c>
      <c r="H197" s="138">
        <v>1866</v>
      </c>
      <c r="I197" s="140" t="str">
        <f>VLOOKUP(H197,Stock_list!A:R,18,FALSE)</f>
        <v>博祯</v>
      </c>
      <c r="J197" s="139" t="str">
        <f>VLOOKUP(H197,Stock_list!A:S,17,FALSE)</f>
        <v>C49SZX20230035SX</v>
      </c>
      <c r="K197" s="51" t="str">
        <f>VLOOKUP(H197,Stock_list!A:T,16,FALSE)</f>
        <v>RMB</v>
      </c>
      <c r="L197" s="4">
        <v>45003</v>
      </c>
      <c r="M197" s="140">
        <v>5</v>
      </c>
      <c r="P197" s="4" t="str">
        <f>VLOOKUP(H197,Stock_list!A:Y,25,FALSE)</f>
        <v>Yes</v>
      </c>
      <c r="Q197" s="143"/>
      <c r="T197" s="144"/>
      <c r="U197" s="145" t="str">
        <f>VLOOKUP(H197,Stock_list!A:N,14,FALSE)</f>
        <v>MAR 23</v>
      </c>
    </row>
    <row r="198" spans="1:21" ht="16.5" customHeight="1">
      <c r="A198" s="159" t="s">
        <v>2749</v>
      </c>
      <c r="B198" s="114" t="str">
        <f>VLOOKUP(A198,'Data pick slip'!B:F,5,FALSE)</f>
        <v>KHJ-MC500-00</v>
      </c>
      <c r="F198" s="157" t="s">
        <v>2753</v>
      </c>
      <c r="H198" s="138">
        <v>1866</v>
      </c>
      <c r="I198" s="140" t="str">
        <f>VLOOKUP(H198,Stock_list!A:R,18,FALSE)</f>
        <v>博祯</v>
      </c>
      <c r="J198" s="139" t="str">
        <f>VLOOKUP(H198,Stock_list!A:S,17,FALSE)</f>
        <v>C49SZX20230035SX</v>
      </c>
      <c r="K198" s="51" t="str">
        <f>VLOOKUP(H198,Stock_list!A:T,16,FALSE)</f>
        <v>RMB</v>
      </c>
      <c r="L198" s="4">
        <v>45003</v>
      </c>
      <c r="M198" s="140">
        <v>5</v>
      </c>
      <c r="P198" s="4" t="str">
        <f>VLOOKUP(H198,Stock_list!A:Y,25,FALSE)</f>
        <v>Yes</v>
      </c>
      <c r="Q198" s="143"/>
      <c r="T198" s="144"/>
      <c r="U198" s="145" t="str">
        <f>VLOOKUP(H198,Stock_list!A:N,14,FALSE)</f>
        <v>MAR 23</v>
      </c>
    </row>
    <row r="199" spans="1:21" ht="16.5" customHeight="1">
      <c r="A199" s="159" t="s">
        <v>2750</v>
      </c>
      <c r="B199" s="114" t="str">
        <f>VLOOKUP(A199,'Data pick slip'!B:F,5,FALSE)</f>
        <v>KHJ-MC600-00</v>
      </c>
      <c r="F199" s="157" t="s">
        <v>2753</v>
      </c>
      <c r="H199" s="138">
        <v>1866</v>
      </c>
      <c r="I199" s="140" t="str">
        <f>VLOOKUP(H199,Stock_list!A:R,18,FALSE)</f>
        <v>博祯</v>
      </c>
      <c r="J199" s="139" t="str">
        <f>VLOOKUP(H199,Stock_list!A:S,17,FALSE)</f>
        <v>C49SZX20230035SX</v>
      </c>
      <c r="K199" s="51" t="str">
        <f>VLOOKUP(H199,Stock_list!A:T,16,FALSE)</f>
        <v>RMB</v>
      </c>
      <c r="L199" s="4">
        <v>45003</v>
      </c>
      <c r="M199" s="140">
        <v>3</v>
      </c>
      <c r="P199" s="4" t="str">
        <f>VLOOKUP(H199,Stock_list!A:Y,25,FALSE)</f>
        <v>Yes</v>
      </c>
      <c r="Q199" s="143"/>
      <c r="T199" s="144"/>
      <c r="U199" s="145" t="str">
        <f>VLOOKUP(H199,Stock_list!A:N,14,FALSE)</f>
        <v>MAR 23</v>
      </c>
    </row>
    <row r="200" spans="1:21" ht="16.5" customHeight="1">
      <c r="A200" s="159" t="s">
        <v>2744</v>
      </c>
      <c r="B200" s="114" t="str">
        <f>VLOOKUP(A200,'Data pick slip'!B:F,5,FALSE)</f>
        <v>KHJ-MC100-00</v>
      </c>
      <c r="F200" s="157" t="s">
        <v>2753</v>
      </c>
      <c r="H200" s="138">
        <v>1866</v>
      </c>
      <c r="I200" s="140" t="str">
        <f>VLOOKUP(H200,Stock_list!A:R,18,FALSE)</f>
        <v>博祯</v>
      </c>
      <c r="J200" s="139" t="str">
        <f>VLOOKUP(H200,Stock_list!A:S,17,FALSE)</f>
        <v>C49SZX20230035SX</v>
      </c>
      <c r="K200" s="51" t="str">
        <f>VLOOKUP(H200,Stock_list!A:T,16,FALSE)</f>
        <v>RMB</v>
      </c>
      <c r="L200" s="290">
        <v>45142</v>
      </c>
      <c r="M200" s="140">
        <v>89</v>
      </c>
      <c r="P200" s="4" t="str">
        <f>VLOOKUP(H200,Stock_list!A:Y,25,FALSE)</f>
        <v>Yes</v>
      </c>
      <c r="Q200" s="143"/>
      <c r="T200" s="144"/>
      <c r="U200" s="145" t="str">
        <f>VLOOKUP(H200,Stock_list!A:N,14,FALSE)</f>
        <v>MAR 23</v>
      </c>
    </row>
    <row r="201" spans="1:21" ht="16.5" customHeight="1">
      <c r="A201" s="159" t="s">
        <v>2747</v>
      </c>
      <c r="B201" s="114" t="str">
        <f>VLOOKUP(A201,'Data pick slip'!B:F,5,FALSE)</f>
        <v>KHJ-MC200-00</v>
      </c>
      <c r="F201" s="157" t="s">
        <v>2753</v>
      </c>
      <c r="H201" s="138">
        <v>1866</v>
      </c>
      <c r="I201" s="140" t="str">
        <f>VLOOKUP(H201,Stock_list!A:R,18,FALSE)</f>
        <v>博祯</v>
      </c>
      <c r="J201" s="139" t="str">
        <f>VLOOKUP(H201,Stock_list!A:S,17,FALSE)</f>
        <v>C49SZX20230035SX</v>
      </c>
      <c r="K201" s="51" t="str">
        <f>VLOOKUP(H201,Stock_list!A:T,16,FALSE)</f>
        <v>RMB</v>
      </c>
      <c r="L201" s="290">
        <v>45142</v>
      </c>
      <c r="M201" s="140">
        <v>20</v>
      </c>
      <c r="P201" s="4" t="str">
        <f>VLOOKUP(H201,Stock_list!A:Y,25,FALSE)</f>
        <v>Yes</v>
      </c>
      <c r="Q201" s="143"/>
      <c r="T201" s="144"/>
      <c r="U201" s="145" t="str">
        <f>VLOOKUP(H201,Stock_list!A:N,14,FALSE)</f>
        <v>MAR 23</v>
      </c>
    </row>
    <row r="202" spans="1:21" ht="16.5" customHeight="1">
      <c r="A202" s="159" t="s">
        <v>2748</v>
      </c>
      <c r="B202" s="114" t="str">
        <f>VLOOKUP(A202,'Data pick slip'!B:F,5,FALSE)</f>
        <v>KHJ-MC400-00</v>
      </c>
      <c r="F202" s="157" t="s">
        <v>2753</v>
      </c>
      <c r="H202" s="138">
        <v>1866</v>
      </c>
      <c r="I202" s="140" t="str">
        <f>VLOOKUP(H202,Stock_list!A:R,18,FALSE)</f>
        <v>博祯</v>
      </c>
      <c r="J202" s="139" t="str">
        <f>VLOOKUP(H202,Stock_list!A:S,17,FALSE)</f>
        <v>C49SZX20230035SX</v>
      </c>
      <c r="K202" s="51" t="str">
        <f>VLOOKUP(H202,Stock_list!A:T,16,FALSE)</f>
        <v>RMB</v>
      </c>
      <c r="L202" s="290">
        <v>45142</v>
      </c>
      <c r="M202" s="140">
        <v>2</v>
      </c>
      <c r="P202" s="4" t="str">
        <f>VLOOKUP(H202,Stock_list!A:Y,25,FALSE)</f>
        <v>Yes</v>
      </c>
      <c r="Q202" s="143"/>
      <c r="T202" s="144"/>
      <c r="U202" s="145" t="str">
        <f>VLOOKUP(H202,Stock_list!A:N,14,FALSE)</f>
        <v>MAR 23</v>
      </c>
    </row>
    <row r="203" spans="1:21" ht="16.5" customHeight="1">
      <c r="A203" s="159" t="s">
        <v>2749</v>
      </c>
      <c r="B203" s="114" t="str">
        <f>VLOOKUP(A203,'Data pick slip'!B:F,5,FALSE)</f>
        <v>KHJ-MC500-00</v>
      </c>
      <c r="F203" s="157" t="s">
        <v>2753</v>
      </c>
      <c r="H203" s="138">
        <v>1866</v>
      </c>
      <c r="I203" s="140" t="str">
        <f>VLOOKUP(H203,Stock_list!A:R,18,FALSE)</f>
        <v>博祯</v>
      </c>
      <c r="J203" s="139" t="str">
        <f>VLOOKUP(H203,Stock_list!A:S,17,FALSE)</f>
        <v>C49SZX20230035SX</v>
      </c>
      <c r="K203" s="51" t="str">
        <f>VLOOKUP(H203,Stock_list!A:T,16,FALSE)</f>
        <v>RMB</v>
      </c>
      <c r="L203" s="290">
        <v>45142</v>
      </c>
      <c r="M203" s="140">
        <v>2</v>
      </c>
      <c r="P203" s="4" t="str">
        <f>VLOOKUP(H203,Stock_list!A:Y,25,FALSE)</f>
        <v>Yes</v>
      </c>
      <c r="Q203" s="143"/>
      <c r="T203" s="144"/>
      <c r="U203" s="145" t="str">
        <f>VLOOKUP(H203,Stock_list!A:N,14,FALSE)</f>
        <v>MAR 23</v>
      </c>
    </row>
    <row r="204" spans="1:21" ht="16.5" customHeight="1">
      <c r="A204" s="159" t="s">
        <v>2750</v>
      </c>
      <c r="B204" s="114" t="str">
        <f>VLOOKUP(A204,'Data pick slip'!B:F,5,FALSE)</f>
        <v>KHJ-MC600-00</v>
      </c>
      <c r="F204" s="157" t="s">
        <v>2753</v>
      </c>
      <c r="H204" s="138">
        <v>1866</v>
      </c>
      <c r="I204" s="140" t="str">
        <f>VLOOKUP(H204,Stock_list!A:R,18,FALSE)</f>
        <v>博祯</v>
      </c>
      <c r="J204" s="139" t="str">
        <f>VLOOKUP(H204,Stock_list!A:S,17,FALSE)</f>
        <v>C49SZX20230035SX</v>
      </c>
      <c r="K204" s="51" t="str">
        <f>VLOOKUP(H204,Stock_list!A:T,16,FALSE)</f>
        <v>RMB</v>
      </c>
      <c r="L204" s="290">
        <v>45142</v>
      </c>
      <c r="M204" s="140">
        <v>2</v>
      </c>
      <c r="P204" s="4" t="str">
        <f>VLOOKUP(H204,Stock_list!A:Y,25,FALSE)</f>
        <v>Yes</v>
      </c>
      <c r="Q204" s="143"/>
      <c r="T204" s="144"/>
      <c r="U204" s="145" t="str">
        <f>VLOOKUP(H204,Stock_list!A:N,14,FALSE)</f>
        <v>MAR 23</v>
      </c>
    </row>
    <row r="205" spans="1:21" ht="16.5" customHeight="1">
      <c r="A205" s="159" t="s">
        <v>2755</v>
      </c>
      <c r="B205" s="114" t="str">
        <f>VLOOKUP(A205,'Data pick slip'!B:F,5,FALSE)</f>
        <v>KLJ-MC100-00</v>
      </c>
      <c r="F205" s="157" t="s">
        <v>2753</v>
      </c>
      <c r="H205" s="138">
        <v>1867</v>
      </c>
      <c r="I205" s="140" t="str">
        <f>VLOOKUP(H205,Stock_list!A:R,18,FALSE)</f>
        <v>龙大光电</v>
      </c>
      <c r="J205" s="139" t="str">
        <f>VLOOKUP(H205,Stock_list!A:S,17,FALSE)</f>
        <v>C49SZX20230036SS</v>
      </c>
      <c r="K205" s="51" t="str">
        <f>VLOOKUP(H205,Stock_list!A:T,16,FALSE)</f>
        <v>RMB</v>
      </c>
      <c r="L205" s="4">
        <v>45057</v>
      </c>
      <c r="M205" s="140">
        <v>20</v>
      </c>
      <c r="P205" s="4" t="str">
        <f>VLOOKUP(H205,Stock_list!A:Y,25,FALSE)</f>
        <v>Yes</v>
      </c>
      <c r="Q205" s="143"/>
      <c r="T205" s="144"/>
      <c r="U205" s="145" t="str">
        <f>VLOOKUP(H205,Stock_list!A:N,14,FALSE)</f>
        <v>MAY 23</v>
      </c>
    </row>
    <row r="206" spans="1:21" ht="16.5" customHeight="1">
      <c r="A206" s="159" t="s">
        <v>2744</v>
      </c>
      <c r="B206" s="114" t="str">
        <f>VLOOKUP(A206,'Data pick slip'!B:F,5,FALSE)</f>
        <v>KHJ-MC100-00</v>
      </c>
      <c r="F206" s="157" t="s">
        <v>2753</v>
      </c>
      <c r="H206" s="138">
        <v>1788</v>
      </c>
      <c r="I206" s="140" t="str">
        <f>VLOOKUP(H206,Stock_list!A:R,18,FALSE)</f>
        <v>海红天远</v>
      </c>
      <c r="J206" s="139" t="str">
        <f>VLOOKUP(H206,Stock_list!A:S,17,FALSE)</f>
        <v>C49SZX20220128EC</v>
      </c>
      <c r="K206" s="51" t="str">
        <f>VLOOKUP(H206,Stock_list!A:T,16,FALSE)</f>
        <v>JPY</v>
      </c>
      <c r="L206" s="290">
        <v>45013</v>
      </c>
      <c r="M206" s="140">
        <v>5</v>
      </c>
      <c r="P206" s="4" t="str">
        <f>VLOOKUP(H206,Stock_list!A:Y,25,FALSE)</f>
        <v>Yes</v>
      </c>
      <c r="Q206" s="143"/>
      <c r="S206" s="268" t="s">
        <v>2778</v>
      </c>
      <c r="T206" s="266" t="s">
        <v>2782</v>
      </c>
      <c r="U206" s="145" t="str">
        <f>VLOOKUP(H206,Stock_list!A:N,14,FALSE)</f>
        <v>MAR 23</v>
      </c>
    </row>
    <row r="207" spans="1:21" ht="16.5" customHeight="1">
      <c r="A207" s="159" t="s">
        <v>2744</v>
      </c>
      <c r="B207" s="114" t="str">
        <f>VLOOKUP(A207,'Data pick slip'!B:F,5,FALSE)</f>
        <v>KHJ-MC100-00</v>
      </c>
      <c r="F207" s="157" t="s">
        <v>2753</v>
      </c>
      <c r="H207" s="138">
        <v>1869</v>
      </c>
      <c r="I207" s="140" t="str">
        <f>VLOOKUP(H207,Stock_list!A:R,18,FALSE)</f>
        <v>清禾实业</v>
      </c>
      <c r="J207" s="139" t="str">
        <f>VLOOKUP(H207,Stock_list!A:S,17,FALSE)</f>
        <v>C49SZX20230037SS</v>
      </c>
      <c r="K207" s="51" t="str">
        <f>VLOOKUP(H207,Stock_list!A:T,16,FALSE)</f>
        <v>RMB</v>
      </c>
      <c r="L207" s="4">
        <v>45008</v>
      </c>
      <c r="M207" s="140">
        <v>31</v>
      </c>
      <c r="P207" s="4" t="str">
        <f>VLOOKUP(H207,Stock_list!A:Y,25,FALSE)</f>
        <v>Yes</v>
      </c>
      <c r="Q207" s="143"/>
      <c r="T207" s="144"/>
      <c r="U207" s="145" t="str">
        <f>VLOOKUP(H207,Stock_list!A:N,14,FALSE)</f>
        <v>MAR 23</v>
      </c>
    </row>
    <row r="208" spans="1:21" ht="16.5" customHeight="1">
      <c r="A208" s="159" t="s">
        <v>2747</v>
      </c>
      <c r="B208" s="114" t="str">
        <f>VLOOKUP(A208,'Data pick slip'!B:F,5,FALSE)</f>
        <v>KHJ-MC200-00</v>
      </c>
      <c r="F208" s="157" t="s">
        <v>2753</v>
      </c>
      <c r="H208" s="138">
        <v>1869</v>
      </c>
      <c r="I208" s="140" t="str">
        <f>VLOOKUP(H208,Stock_list!A:R,18,FALSE)</f>
        <v>清禾实业</v>
      </c>
      <c r="J208" s="139" t="str">
        <f>VLOOKUP(H208,Stock_list!A:S,17,FALSE)</f>
        <v>C49SZX20230037SS</v>
      </c>
      <c r="K208" s="51" t="str">
        <f>VLOOKUP(H208,Stock_list!A:T,16,FALSE)</f>
        <v>RMB</v>
      </c>
      <c r="L208" s="4">
        <v>45008</v>
      </c>
      <c r="M208" s="140">
        <v>2</v>
      </c>
      <c r="P208" s="4" t="str">
        <f>VLOOKUP(H208,Stock_list!A:Y,25,FALSE)</f>
        <v>Yes</v>
      </c>
      <c r="Q208" s="143"/>
      <c r="T208" s="144"/>
      <c r="U208" s="145" t="str">
        <f>VLOOKUP(H208,Stock_list!A:N,14,FALSE)</f>
        <v>MAR 23</v>
      </c>
    </row>
    <row r="209" spans="1:21" ht="16.5" customHeight="1">
      <c r="A209" s="159" t="s">
        <v>2744</v>
      </c>
      <c r="B209" s="114" t="str">
        <f>VLOOKUP(A209,'Data pick slip'!B:F,5,FALSE)</f>
        <v>KHJ-MC100-00</v>
      </c>
      <c r="F209" s="157" t="s">
        <v>2753</v>
      </c>
      <c r="H209" s="138">
        <v>1870</v>
      </c>
      <c r="I209" s="140" t="str">
        <f>VLOOKUP(H209,Stock_list!A:R,18,FALSE)</f>
        <v>清禾电路</v>
      </c>
      <c r="J209" s="139" t="str">
        <f>VLOOKUP(H209,Stock_list!A:S,17,FALSE)</f>
        <v>C49SZX20230038SS</v>
      </c>
      <c r="K209" s="51" t="str">
        <f>VLOOKUP(H209,Stock_list!A:T,16,FALSE)</f>
        <v>RMB</v>
      </c>
      <c r="L209" s="4">
        <v>45000</v>
      </c>
      <c r="M209" s="140">
        <v>14</v>
      </c>
      <c r="P209" s="4" t="str">
        <f>VLOOKUP(H209,Stock_list!A:Y,25,FALSE)</f>
        <v>Yes</v>
      </c>
      <c r="Q209" s="143"/>
      <c r="T209" s="144"/>
      <c r="U209" s="145" t="str">
        <f>VLOOKUP(H209,Stock_list!A:N,14,FALSE)</f>
        <v>MAR 23</v>
      </c>
    </row>
    <row r="210" spans="1:21" ht="16.5" customHeight="1">
      <c r="A210" s="159" t="s">
        <v>2744</v>
      </c>
      <c r="B210" s="114" t="str">
        <f>VLOOKUP(A210,'Data pick slip'!B:F,5,FALSE)</f>
        <v>KHJ-MC100-00</v>
      </c>
      <c r="F210" s="157" t="s">
        <v>2753</v>
      </c>
      <c r="H210" s="138">
        <v>1860</v>
      </c>
      <c r="I210" s="140" t="str">
        <f>VLOOKUP(H210,Stock_list!A:R,18,FALSE)</f>
        <v>四川三创（End use:阿姆斯特）</v>
      </c>
      <c r="J210" s="139" t="str">
        <f>VLOOKUP(H210,Stock_list!A:S,17,FALSE)</f>
        <v>C49SZX20230032R1SS</v>
      </c>
      <c r="K210" s="51" t="str">
        <f>VLOOKUP(H210,Stock_list!A:T,16,FALSE)</f>
        <v>RMB</v>
      </c>
      <c r="L210" s="4">
        <v>44987</v>
      </c>
      <c r="M210" s="140">
        <v>2</v>
      </c>
      <c r="P210" s="4" t="str">
        <f>VLOOKUP(H210,Stock_list!A:Y,25,FALSE)</f>
        <v>Yes</v>
      </c>
      <c r="Q210" s="143"/>
      <c r="T210" s="144"/>
      <c r="U210" s="145" t="str">
        <f>VLOOKUP(H210,Stock_list!A:N,14,FALSE)</f>
        <v>MAR 23</v>
      </c>
    </row>
    <row r="211" spans="1:21" ht="16.5" customHeight="1">
      <c r="A211" s="159" t="s">
        <v>2744</v>
      </c>
      <c r="B211" s="114" t="str">
        <f>VLOOKUP(A211,'Data pick slip'!B:F,5,FALSE)</f>
        <v>KHJ-MC100-00</v>
      </c>
      <c r="F211" s="157" t="s">
        <v>2753</v>
      </c>
      <c r="H211" s="138">
        <v>1871</v>
      </c>
      <c r="I211" s="140" t="str">
        <f>VLOOKUP(H211,Stock_list!A:R,18,FALSE)</f>
        <v>百纳海</v>
      </c>
      <c r="J211" s="139" t="str">
        <f>VLOOKUP(H211,Stock_list!A:S,17,FALSE)</f>
        <v>C49SZX20230040JY</v>
      </c>
      <c r="K211" s="51" t="str">
        <f>VLOOKUP(H211,Stock_list!A:T,16,FALSE)</f>
        <v>RMB</v>
      </c>
      <c r="L211" s="4">
        <v>45007</v>
      </c>
      <c r="M211" s="140">
        <v>100</v>
      </c>
      <c r="P211" s="4" t="str">
        <f>VLOOKUP(H211,Stock_list!A:Y,25,FALSE)</f>
        <v>Yes</v>
      </c>
      <c r="Q211" s="143"/>
      <c r="T211" s="144"/>
      <c r="U211" s="145" t="str">
        <f>VLOOKUP(H211,Stock_list!A:N,14,FALSE)</f>
        <v>MAR 23</v>
      </c>
    </row>
    <row r="212" spans="1:21" ht="16.5" customHeight="1">
      <c r="A212" s="159" t="s">
        <v>2747</v>
      </c>
      <c r="B212" s="114" t="str">
        <f>VLOOKUP(A212,'Data pick slip'!B:F,5,FALSE)</f>
        <v>KHJ-MC200-00</v>
      </c>
      <c r="F212" s="157" t="s">
        <v>2753</v>
      </c>
      <c r="H212" s="138">
        <v>1871</v>
      </c>
      <c r="I212" s="140" t="str">
        <f>VLOOKUP(H212,Stock_list!A:R,18,FALSE)</f>
        <v>百纳海</v>
      </c>
      <c r="J212" s="139" t="str">
        <f>VLOOKUP(H212,Stock_list!A:S,17,FALSE)</f>
        <v>C49SZX20230040JY</v>
      </c>
      <c r="K212" s="51" t="str">
        <f>VLOOKUP(H212,Stock_list!A:T,16,FALSE)</f>
        <v>RMB</v>
      </c>
      <c r="L212" s="4">
        <v>45007</v>
      </c>
      <c r="M212" s="140">
        <v>10</v>
      </c>
      <c r="P212" s="4" t="str">
        <f>VLOOKUP(H212,Stock_list!A:Y,25,FALSE)</f>
        <v>Yes</v>
      </c>
      <c r="Q212" s="143"/>
      <c r="T212" s="144"/>
      <c r="U212" s="145" t="str">
        <f>VLOOKUP(H212,Stock_list!A:N,14,FALSE)</f>
        <v>MAR 23</v>
      </c>
    </row>
    <row r="213" spans="1:21" ht="16.5" customHeight="1">
      <c r="A213" s="159" t="s">
        <v>2744</v>
      </c>
      <c r="B213" s="114" t="str">
        <f>VLOOKUP(A213,'Data pick slip'!B:F,5,FALSE)</f>
        <v>KHJ-MC100-00</v>
      </c>
      <c r="F213" s="157" t="s">
        <v>2753</v>
      </c>
      <c r="H213" s="138">
        <v>1873</v>
      </c>
      <c r="I213" s="140" t="str">
        <f>VLOOKUP(H213,Stock_list!A:R,18,FALSE)</f>
        <v>徕芬</v>
      </c>
      <c r="J213" s="139" t="str">
        <f>VLOOKUP(H213,Stock_list!A:S,17,FALSE)</f>
        <v>C49SZX20230018MX</v>
      </c>
      <c r="K213" s="51" t="str">
        <f>VLOOKUP(H213,Stock_list!A:T,16,FALSE)</f>
        <v>RMB</v>
      </c>
      <c r="L213" s="4">
        <v>45012</v>
      </c>
      <c r="M213" s="140">
        <v>22</v>
      </c>
      <c r="P213" s="4" t="str">
        <f>VLOOKUP(H213,Stock_list!A:Y,25,FALSE)</f>
        <v>Yes</v>
      </c>
      <c r="Q213" s="143"/>
      <c r="T213" s="144"/>
      <c r="U213" s="145" t="str">
        <f>VLOOKUP(H213,Stock_list!A:N,14,FALSE)</f>
        <v>MAR 23</v>
      </c>
    </row>
    <row r="214" spans="1:21" ht="16.5" customHeight="1">
      <c r="A214" s="159" t="s">
        <v>2747</v>
      </c>
      <c r="B214" s="114" t="str">
        <f>VLOOKUP(A214,'Data pick slip'!B:F,5,FALSE)</f>
        <v>KHJ-MC200-00</v>
      </c>
      <c r="F214" s="157" t="s">
        <v>2753</v>
      </c>
      <c r="H214" s="138">
        <v>1873</v>
      </c>
      <c r="I214" s="140" t="str">
        <f>VLOOKUP(H214,Stock_list!A:R,18,FALSE)</f>
        <v>徕芬</v>
      </c>
      <c r="J214" s="139" t="str">
        <f>VLOOKUP(H214,Stock_list!A:S,17,FALSE)</f>
        <v>C49SZX20230018MX</v>
      </c>
      <c r="K214" s="51" t="str">
        <f>VLOOKUP(H214,Stock_list!A:T,16,FALSE)</f>
        <v>RMB</v>
      </c>
      <c r="L214" s="4">
        <v>45012</v>
      </c>
      <c r="M214" s="140">
        <v>6</v>
      </c>
      <c r="P214" s="4" t="str">
        <f>VLOOKUP(H214,Stock_list!A:Y,25,FALSE)</f>
        <v>Yes</v>
      </c>
      <c r="Q214" s="143"/>
      <c r="T214" s="144"/>
      <c r="U214" s="145" t="str">
        <f>VLOOKUP(H214,Stock_list!A:N,14,FALSE)</f>
        <v>MAR 23</v>
      </c>
    </row>
    <row r="215" spans="1:21" ht="16.5" customHeight="1">
      <c r="A215" s="159" t="s">
        <v>2744</v>
      </c>
      <c r="B215" s="114" t="str">
        <f>VLOOKUP(A215,'Data pick slip'!B:F,5,FALSE)</f>
        <v>KHJ-MC100-00</v>
      </c>
      <c r="F215" s="157" t="s">
        <v>2753</v>
      </c>
      <c r="H215" s="138">
        <v>1892</v>
      </c>
      <c r="I215" s="140" t="str">
        <f>VLOOKUP(H215,Stock_list!A:R,18,FALSE)</f>
        <v>安林</v>
      </c>
      <c r="J215" s="139" t="str">
        <f>VLOOKUP(H215,Stock_list!A:S,17,FALSE)</f>
        <v>C49SZX20230045RSX</v>
      </c>
      <c r="K215" s="51" t="str">
        <f>VLOOKUP(H215,Stock_list!A:T,16,FALSE)</f>
        <v>RMB</v>
      </c>
      <c r="L215" s="4">
        <v>45008</v>
      </c>
      <c r="M215" s="140">
        <v>108</v>
      </c>
      <c r="P215" s="4" t="str">
        <f>VLOOKUP(H215,Stock_list!A:Y,25,FALSE)</f>
        <v>Yes</v>
      </c>
      <c r="Q215" s="143"/>
      <c r="T215" s="144"/>
      <c r="U215" s="145" t="str">
        <f>VLOOKUP(H215,Stock_list!A:N,14,FALSE)</f>
        <v>MAR 23</v>
      </c>
    </row>
    <row r="216" spans="1:21" ht="16.5" customHeight="1">
      <c r="A216" s="159" t="s">
        <v>2748</v>
      </c>
      <c r="B216" s="114" t="str">
        <f>VLOOKUP(A216,'Data pick slip'!B:F,5,FALSE)</f>
        <v>KHJ-MC400-00</v>
      </c>
      <c r="F216" s="157" t="s">
        <v>2753</v>
      </c>
      <c r="H216" s="138">
        <v>1892</v>
      </c>
      <c r="I216" s="140" t="str">
        <f>VLOOKUP(H216,Stock_list!A:R,18,FALSE)</f>
        <v>安林</v>
      </c>
      <c r="J216" s="139" t="str">
        <f>VLOOKUP(H216,Stock_list!A:S,17,FALSE)</f>
        <v>C49SZX20230045RSX</v>
      </c>
      <c r="K216" s="51" t="str">
        <f>VLOOKUP(H216,Stock_list!A:T,16,FALSE)</f>
        <v>RMB</v>
      </c>
      <c r="L216" s="4">
        <v>45008</v>
      </c>
      <c r="M216" s="140">
        <v>10</v>
      </c>
      <c r="P216" s="4" t="str">
        <f>VLOOKUP(H216,Stock_list!A:Y,25,FALSE)</f>
        <v>Yes</v>
      </c>
      <c r="Q216" s="143"/>
      <c r="T216" s="144"/>
      <c r="U216" s="145" t="str">
        <f>VLOOKUP(H216,Stock_list!A:N,14,FALSE)</f>
        <v>MAR 23</v>
      </c>
    </row>
    <row r="217" spans="1:21" ht="16.5" customHeight="1">
      <c r="A217" s="159" t="s">
        <v>2749</v>
      </c>
      <c r="B217" s="114" t="str">
        <f>VLOOKUP(A217,'Data pick slip'!B:F,5,FALSE)</f>
        <v>KHJ-MC500-00</v>
      </c>
      <c r="F217" s="157" t="s">
        <v>2753</v>
      </c>
      <c r="H217" s="138">
        <v>1892</v>
      </c>
      <c r="I217" s="140" t="str">
        <f>VLOOKUP(H217,Stock_list!A:R,18,FALSE)</f>
        <v>安林</v>
      </c>
      <c r="J217" s="139" t="str">
        <f>VLOOKUP(H217,Stock_list!A:S,17,FALSE)</f>
        <v>C49SZX20230045RSX</v>
      </c>
      <c r="K217" s="51" t="str">
        <f>VLOOKUP(H217,Stock_list!A:T,16,FALSE)</f>
        <v>RMB</v>
      </c>
      <c r="L217" s="4">
        <v>45008</v>
      </c>
      <c r="M217" s="140">
        <v>2</v>
      </c>
      <c r="P217" s="4" t="str">
        <f>VLOOKUP(H217,Stock_list!A:Y,25,FALSE)</f>
        <v>Yes</v>
      </c>
      <c r="Q217" s="143"/>
      <c r="T217" s="144"/>
      <c r="U217" s="145" t="str">
        <f>VLOOKUP(H217,Stock_list!A:N,14,FALSE)</f>
        <v>MAR 23</v>
      </c>
    </row>
    <row r="218" spans="1:21" ht="16.5" customHeight="1">
      <c r="A218" s="159" t="s">
        <v>2744</v>
      </c>
      <c r="B218" s="114" t="str">
        <f>VLOOKUP(A218,'Data pick slip'!B:F,5,FALSE)</f>
        <v>KHJ-MC100-00</v>
      </c>
      <c r="F218" s="157" t="s">
        <v>2753</v>
      </c>
      <c r="H218" s="138">
        <v>1893</v>
      </c>
      <c r="I218" s="140" t="str">
        <f>VLOOKUP(H218,Stock_list!A:R,18,FALSE)</f>
        <v>菲帆</v>
      </c>
      <c r="J218" s="139" t="str">
        <f>VLOOKUP(H218,Stock_list!A:S,17,FALSE)</f>
        <v>C49SZX20230046DM</v>
      </c>
      <c r="K218" s="51" t="str">
        <f>VLOOKUP(H218,Stock_list!A:T,16,FALSE)</f>
        <v>RMB</v>
      </c>
      <c r="L218" s="4">
        <v>45037</v>
      </c>
      <c r="M218" s="132">
        <v>158</v>
      </c>
      <c r="P218" s="4" t="str">
        <f>VLOOKUP(H218,Stock_list!A:Y,25,FALSE)</f>
        <v>Yes</v>
      </c>
      <c r="Q218" s="143"/>
      <c r="T218" s="144"/>
      <c r="U218" s="145" t="str">
        <f>VLOOKUP(H218,Stock_list!A:N,14,FALSE)</f>
        <v>APR 23</v>
      </c>
    </row>
    <row r="219" spans="1:21" ht="16.5" customHeight="1">
      <c r="A219" s="159" t="s">
        <v>2747</v>
      </c>
      <c r="B219" s="114" t="str">
        <f>VLOOKUP(A219,'Data pick slip'!B:F,5,FALSE)</f>
        <v>KHJ-MC200-00</v>
      </c>
      <c r="F219" s="157" t="s">
        <v>2753</v>
      </c>
      <c r="H219" s="138">
        <v>1893</v>
      </c>
      <c r="I219" s="140" t="str">
        <f>VLOOKUP(H219,Stock_list!A:R,18,FALSE)</f>
        <v>菲帆</v>
      </c>
      <c r="J219" s="139" t="str">
        <f>VLOOKUP(H219,Stock_list!A:S,17,FALSE)</f>
        <v>C49SZX20230046DM</v>
      </c>
      <c r="K219" s="51" t="str">
        <f>VLOOKUP(H219,Stock_list!A:T,16,FALSE)</f>
        <v>RMB</v>
      </c>
      <c r="L219" s="4">
        <v>45037</v>
      </c>
      <c r="M219" s="132">
        <v>30</v>
      </c>
      <c r="P219" s="4" t="str">
        <f>VLOOKUP(H219,Stock_list!A:Y,25,FALSE)</f>
        <v>Yes</v>
      </c>
      <c r="Q219" s="143"/>
      <c r="T219" s="144"/>
      <c r="U219" s="145" t="str">
        <f>VLOOKUP(H219,Stock_list!A:N,14,FALSE)</f>
        <v>APR 23</v>
      </c>
    </row>
    <row r="220" spans="1:21" ht="16.5" customHeight="1">
      <c r="A220" s="159" t="s">
        <v>2748</v>
      </c>
      <c r="B220" s="114" t="str">
        <f>VLOOKUP(A220,'Data pick slip'!B:F,5,FALSE)</f>
        <v>KHJ-MC400-00</v>
      </c>
      <c r="F220" s="157" t="s">
        <v>2753</v>
      </c>
      <c r="H220" s="138">
        <v>1893</v>
      </c>
      <c r="I220" s="140" t="str">
        <f>VLOOKUP(H220,Stock_list!A:R,18,FALSE)</f>
        <v>菲帆</v>
      </c>
      <c r="J220" s="139" t="str">
        <f>VLOOKUP(H220,Stock_list!A:S,17,FALSE)</f>
        <v>C49SZX20230046DM</v>
      </c>
      <c r="K220" s="51" t="str">
        <f>VLOOKUP(H220,Stock_list!A:T,16,FALSE)</f>
        <v>RMB</v>
      </c>
      <c r="L220" s="4">
        <v>45037</v>
      </c>
      <c r="M220" s="132">
        <v>5</v>
      </c>
      <c r="P220" s="4" t="str">
        <f>VLOOKUP(H220,Stock_list!A:Y,25,FALSE)</f>
        <v>Yes</v>
      </c>
      <c r="Q220" s="143"/>
      <c r="T220" s="144"/>
      <c r="U220" s="145" t="str">
        <f>VLOOKUP(H220,Stock_list!A:N,14,FALSE)</f>
        <v>APR 23</v>
      </c>
    </row>
    <row r="221" spans="1:21" ht="16.5" customHeight="1">
      <c r="A221" s="159" t="s">
        <v>2749</v>
      </c>
      <c r="B221" s="114" t="str">
        <f>VLOOKUP(A221,'Data pick slip'!B:F,5,FALSE)</f>
        <v>KHJ-MC500-00</v>
      </c>
      <c r="F221" s="157" t="s">
        <v>2753</v>
      </c>
      <c r="H221" s="138">
        <v>1893</v>
      </c>
      <c r="I221" s="140" t="str">
        <f>VLOOKUP(H221,Stock_list!A:R,18,FALSE)</f>
        <v>菲帆</v>
      </c>
      <c r="J221" s="139" t="str">
        <f>VLOOKUP(H221,Stock_list!A:S,17,FALSE)</f>
        <v>C49SZX20230046DM</v>
      </c>
      <c r="K221" s="51" t="str">
        <f>VLOOKUP(H221,Stock_list!A:T,16,FALSE)</f>
        <v>RMB</v>
      </c>
      <c r="L221" s="4">
        <v>45037</v>
      </c>
      <c r="M221" s="132">
        <v>2</v>
      </c>
      <c r="P221" s="4" t="str">
        <f>VLOOKUP(H221,Stock_list!A:Y,25,FALSE)</f>
        <v>Yes</v>
      </c>
      <c r="Q221" s="143"/>
      <c r="T221" s="144"/>
      <c r="U221" s="145" t="str">
        <f>VLOOKUP(H221,Stock_list!A:N,14,FALSE)</f>
        <v>APR 23</v>
      </c>
    </row>
    <row r="222" spans="1:21" ht="16.5" customHeight="1">
      <c r="A222" s="159" t="s">
        <v>2750</v>
      </c>
      <c r="B222" s="114" t="str">
        <f>VLOOKUP(A222,'Data pick slip'!B:F,5,FALSE)</f>
        <v>KHJ-MC600-00</v>
      </c>
      <c r="F222" s="157" t="s">
        <v>2753</v>
      </c>
      <c r="H222" s="138">
        <v>1893</v>
      </c>
      <c r="I222" s="140" t="str">
        <f>VLOOKUP(H222,Stock_list!A:R,18,FALSE)</f>
        <v>菲帆</v>
      </c>
      <c r="J222" s="139" t="str">
        <f>VLOOKUP(H222,Stock_list!A:S,17,FALSE)</f>
        <v>C49SZX20230046DM</v>
      </c>
      <c r="K222" s="51" t="str">
        <f>VLOOKUP(H222,Stock_list!A:T,16,FALSE)</f>
        <v>RMB</v>
      </c>
      <c r="L222" s="4">
        <v>45037</v>
      </c>
      <c r="M222" s="132">
        <v>2</v>
      </c>
      <c r="P222" s="4" t="str">
        <f>VLOOKUP(H222,Stock_list!A:Y,25,FALSE)</f>
        <v>Yes</v>
      </c>
      <c r="Q222" s="143"/>
      <c r="T222" s="144"/>
      <c r="U222" s="145" t="str">
        <f>VLOOKUP(H222,Stock_list!A:N,14,FALSE)</f>
        <v>APR 23</v>
      </c>
    </row>
    <row r="223" spans="1:21" ht="16.5" customHeight="1">
      <c r="A223" s="159" t="s">
        <v>2747</v>
      </c>
      <c r="B223" s="114" t="str">
        <f>VLOOKUP(A223,'Data pick slip'!B:F,5,FALSE)</f>
        <v>KHJ-MC200-00</v>
      </c>
      <c r="F223" s="157" t="s">
        <v>2753</v>
      </c>
      <c r="H223" s="138">
        <v>1895</v>
      </c>
      <c r="I223" s="140" t="str">
        <f>VLOOKUP(H223,Stock_list!A:R,18,FALSE)</f>
        <v>阿姆斯特</v>
      </c>
      <c r="J223" s="139" t="str">
        <f>VLOOKUP(H223,Stock_list!A:S,17,FALSE)</f>
        <v>C49SZX20230047R1SS</v>
      </c>
      <c r="K223" s="51" t="str">
        <f>VLOOKUP(H223,Stock_list!A:T,16,FALSE)</f>
        <v>RMB</v>
      </c>
      <c r="L223" s="4">
        <v>45013</v>
      </c>
      <c r="M223" s="140">
        <v>3</v>
      </c>
      <c r="P223" s="4" t="str">
        <f>VLOOKUP(H223,Stock_list!A:Y,25,FALSE)</f>
        <v>Yes</v>
      </c>
      <c r="Q223" s="143"/>
      <c r="T223" s="144"/>
      <c r="U223" s="145" t="str">
        <f>VLOOKUP(H223,Stock_list!A:N,14,FALSE)</f>
        <v>MAR 23</v>
      </c>
    </row>
    <row r="224" spans="1:21" ht="16.5" customHeight="1">
      <c r="A224" s="159" t="s">
        <v>2744</v>
      </c>
      <c r="B224" s="114" t="str">
        <f>VLOOKUP(A224,'Data pick slip'!B:F,5,FALSE)</f>
        <v>KHJ-MC100-00</v>
      </c>
      <c r="F224" s="157" t="s">
        <v>2753</v>
      </c>
      <c r="H224" s="138">
        <v>1890</v>
      </c>
      <c r="I224" s="140" t="str">
        <f>VLOOKUP(H224,Stock_list!A:R,18,FALSE)</f>
        <v>力通威</v>
      </c>
      <c r="J224" s="139" t="str">
        <f>VLOOKUP(H224,Stock_list!A:S,17,FALSE)</f>
        <v>C49SZX20230033JL</v>
      </c>
      <c r="K224" s="51" t="str">
        <f>VLOOKUP(H224,Stock_list!A:T,16,FALSE)</f>
        <v>RMB</v>
      </c>
      <c r="L224" s="4">
        <v>45010</v>
      </c>
      <c r="M224" s="132">
        <v>30</v>
      </c>
      <c r="P224" s="4" t="str">
        <f>VLOOKUP(H224,Stock_list!A:Y,25,FALSE)</f>
        <v>Yes</v>
      </c>
      <c r="Q224" s="143"/>
      <c r="T224" s="144"/>
      <c r="U224" s="145" t="str">
        <f>VLOOKUP(H224,Stock_list!A:N,14,FALSE)</f>
        <v>MAR 23</v>
      </c>
    </row>
    <row r="225" spans="1:21" ht="16.5" customHeight="1">
      <c r="A225" s="159" t="s">
        <v>2747</v>
      </c>
      <c r="B225" s="114" t="str">
        <f>VLOOKUP(A225,'Data pick slip'!B:F,5,FALSE)</f>
        <v>KHJ-MC200-00</v>
      </c>
      <c r="F225" s="157" t="s">
        <v>2753</v>
      </c>
      <c r="H225" s="138">
        <v>1890</v>
      </c>
      <c r="I225" s="140" t="str">
        <f>VLOOKUP(H225,Stock_list!A:R,18,FALSE)</f>
        <v>力通威</v>
      </c>
      <c r="J225" s="139" t="str">
        <f>VLOOKUP(H225,Stock_list!A:S,17,FALSE)</f>
        <v>C49SZX20230033JL</v>
      </c>
      <c r="K225" s="51" t="str">
        <f>VLOOKUP(H225,Stock_list!A:T,16,FALSE)</f>
        <v>RMB</v>
      </c>
      <c r="L225" s="4">
        <v>45010</v>
      </c>
      <c r="M225" s="132">
        <v>8</v>
      </c>
      <c r="P225" s="4" t="str">
        <f>VLOOKUP(H225,Stock_list!A:Y,25,FALSE)</f>
        <v>Yes</v>
      </c>
      <c r="Q225" s="143"/>
      <c r="T225" s="144"/>
      <c r="U225" s="145" t="str">
        <f>VLOOKUP(H225,Stock_list!A:N,14,FALSE)</f>
        <v>MAR 23</v>
      </c>
    </row>
    <row r="226" spans="1:21" ht="16.5" customHeight="1">
      <c r="A226" s="159" t="s">
        <v>2750</v>
      </c>
      <c r="B226" s="114" t="str">
        <f>VLOOKUP(A226,'Data pick slip'!B:F,5,FALSE)</f>
        <v>KHJ-MC600-00</v>
      </c>
      <c r="F226" s="157" t="s">
        <v>2753</v>
      </c>
      <c r="H226" s="138">
        <v>1890</v>
      </c>
      <c r="I226" s="140" t="str">
        <f>VLOOKUP(H226,Stock_list!A:R,18,FALSE)</f>
        <v>力通威</v>
      </c>
      <c r="J226" s="139" t="str">
        <f>VLOOKUP(H226,Stock_list!A:S,17,FALSE)</f>
        <v>C49SZX20230033JL</v>
      </c>
      <c r="K226" s="51" t="str">
        <f>VLOOKUP(H226,Stock_list!A:T,16,FALSE)</f>
        <v>RMB</v>
      </c>
      <c r="L226" s="4">
        <v>45010</v>
      </c>
      <c r="M226" s="132">
        <v>1</v>
      </c>
      <c r="P226" s="4" t="str">
        <f>VLOOKUP(H226,Stock_list!A:Y,25,FALSE)</f>
        <v>Yes</v>
      </c>
      <c r="Q226" s="143"/>
      <c r="T226" s="144"/>
      <c r="U226" s="145" t="str">
        <f>VLOOKUP(H226,Stock_list!A:N,14,FALSE)</f>
        <v>MAR 23</v>
      </c>
    </row>
    <row r="227" spans="1:21" ht="24.75" customHeight="1">
      <c r="A227" s="159" t="s">
        <v>2744</v>
      </c>
      <c r="B227" s="114" t="str">
        <f>VLOOKUP(A227,'Data pick slip'!B:F,5,FALSE)</f>
        <v>KHJ-MC100-00</v>
      </c>
      <c r="F227" s="157" t="s">
        <v>2753</v>
      </c>
      <c r="I227" s="140" t="s">
        <v>3115</v>
      </c>
      <c r="J227" s="267" t="s">
        <v>3859</v>
      </c>
      <c r="K227" s="51" t="s">
        <v>1246</v>
      </c>
      <c r="L227" s="4">
        <v>45013</v>
      </c>
      <c r="M227" s="140">
        <v>50</v>
      </c>
      <c r="P227" s="4" t="s">
        <v>291</v>
      </c>
      <c r="Q227" s="143"/>
      <c r="T227" s="144"/>
      <c r="U227" s="145" t="e">
        <f>VLOOKUP(H227,Stock_list!A:N,14,FALSE)</f>
        <v>#N/A</v>
      </c>
    </row>
    <row r="228" spans="1:21" ht="16.5" customHeight="1">
      <c r="A228" s="159" t="s">
        <v>2744</v>
      </c>
      <c r="B228" s="114" t="str">
        <f>VLOOKUP(A228,'Data pick slip'!B:F,5,FALSE)</f>
        <v>KHJ-MC100-00</v>
      </c>
      <c r="F228" s="157" t="s">
        <v>2935</v>
      </c>
      <c r="I228" s="387" t="s">
        <v>3951</v>
      </c>
      <c r="J228" s="139" t="s">
        <v>3860</v>
      </c>
      <c r="K228" s="51" t="s">
        <v>3002</v>
      </c>
      <c r="L228" s="4">
        <v>45007</v>
      </c>
      <c r="M228" s="140">
        <v>80</v>
      </c>
      <c r="P228" s="4" t="s">
        <v>291</v>
      </c>
      <c r="Q228" s="143"/>
      <c r="T228" s="144"/>
      <c r="U228" s="145" t="e">
        <f>VLOOKUP(H228,Stock_list!A:N,14,FALSE)</f>
        <v>#N/A</v>
      </c>
    </row>
    <row r="229" spans="1:21" ht="16.5" customHeight="1">
      <c r="A229" s="159" t="s">
        <v>2747</v>
      </c>
      <c r="B229" s="114" t="str">
        <f>VLOOKUP(A229,'Data pick slip'!B:F,5,FALSE)</f>
        <v>KHJ-MC200-00</v>
      </c>
      <c r="F229" s="157" t="s">
        <v>2935</v>
      </c>
      <c r="I229" s="387" t="s">
        <v>3951</v>
      </c>
      <c r="J229" s="139" t="s">
        <v>3860</v>
      </c>
      <c r="K229" s="51" t="s">
        <v>3002</v>
      </c>
      <c r="L229" s="4">
        <v>45007</v>
      </c>
      <c r="M229" s="140">
        <v>8</v>
      </c>
      <c r="P229" s="4" t="s">
        <v>291</v>
      </c>
      <c r="Q229" s="143"/>
      <c r="T229" s="144"/>
      <c r="U229" s="145" t="e">
        <f>VLOOKUP(H229,Stock_list!A:N,14,FALSE)</f>
        <v>#N/A</v>
      </c>
    </row>
    <row r="230" spans="1:21" ht="16.5" customHeight="1">
      <c r="A230" s="159" t="s">
        <v>2750</v>
      </c>
      <c r="B230" s="114" t="str">
        <f>VLOOKUP(A230,'Data pick slip'!B:F,5,FALSE)</f>
        <v>KHJ-MC600-00</v>
      </c>
      <c r="F230" s="157" t="s">
        <v>2935</v>
      </c>
      <c r="I230" s="387" t="s">
        <v>3951</v>
      </c>
      <c r="J230" s="139" t="s">
        <v>3860</v>
      </c>
      <c r="K230" s="51" t="s">
        <v>3002</v>
      </c>
      <c r="L230" s="4">
        <v>45007</v>
      </c>
      <c r="M230" s="140">
        <v>1</v>
      </c>
      <c r="P230" s="4" t="s">
        <v>291</v>
      </c>
      <c r="Q230" s="143"/>
      <c r="T230" s="144"/>
      <c r="U230" s="145" t="e">
        <f>VLOOKUP(H230,Stock_list!A:N,14,FALSE)</f>
        <v>#N/A</v>
      </c>
    </row>
    <row r="231" spans="1:21" ht="21.75" customHeight="1">
      <c r="A231" s="159" t="s">
        <v>2744</v>
      </c>
      <c r="B231" s="114" t="str">
        <f>VLOOKUP(A231,'Data pick slip'!B:F,5,FALSE)</f>
        <v>KHJ-MC100-00</v>
      </c>
      <c r="F231" s="157" t="s">
        <v>2753</v>
      </c>
      <c r="I231" s="140" t="s">
        <v>3286</v>
      </c>
      <c r="J231" s="267" t="s">
        <v>3864</v>
      </c>
      <c r="K231" s="51" t="s">
        <v>1246</v>
      </c>
      <c r="L231" s="4">
        <v>45026</v>
      </c>
      <c r="M231" s="140">
        <v>167</v>
      </c>
      <c r="N231" s="146"/>
      <c r="P231" s="4" t="s">
        <v>291</v>
      </c>
      <c r="Q231" s="143"/>
      <c r="T231" s="144"/>
      <c r="U231" s="145" t="e">
        <f>VLOOKUP(H231,Stock_list!A:N,14,FALSE)</f>
        <v>#N/A</v>
      </c>
    </row>
    <row r="232" spans="1:21" ht="23.25" customHeight="1">
      <c r="A232" s="159" t="s">
        <v>2747</v>
      </c>
      <c r="B232" s="114" t="str">
        <f>VLOOKUP(A232,'Data pick slip'!B:F,5,FALSE)</f>
        <v>KHJ-MC200-00</v>
      </c>
      <c r="F232" s="157" t="s">
        <v>2753</v>
      </c>
      <c r="I232" s="140" t="s">
        <v>3286</v>
      </c>
      <c r="J232" s="267" t="s">
        <v>3864</v>
      </c>
      <c r="K232" s="51" t="s">
        <v>1246</v>
      </c>
      <c r="L232" s="4">
        <v>45026</v>
      </c>
      <c r="M232" s="140">
        <v>80</v>
      </c>
      <c r="N232" s="146"/>
      <c r="P232" s="4" t="s">
        <v>291</v>
      </c>
      <c r="Q232" s="143"/>
      <c r="T232" s="144"/>
      <c r="U232" s="145" t="e">
        <f>VLOOKUP(H232,Stock_list!A:N,14,FALSE)</f>
        <v>#N/A</v>
      </c>
    </row>
    <row r="233" spans="1:21" ht="23.25" customHeight="1">
      <c r="A233" s="159" t="s">
        <v>2748</v>
      </c>
      <c r="B233" s="114" t="str">
        <f>VLOOKUP(A233,'Data pick slip'!B:F,5,FALSE)</f>
        <v>KHJ-MC400-00</v>
      </c>
      <c r="F233" s="157" t="s">
        <v>2753</v>
      </c>
      <c r="I233" s="140" t="s">
        <v>3286</v>
      </c>
      <c r="J233" s="267" t="s">
        <v>3864</v>
      </c>
      <c r="K233" s="51" t="s">
        <v>1246</v>
      </c>
      <c r="L233" s="4">
        <v>45026</v>
      </c>
      <c r="M233" s="140">
        <v>21</v>
      </c>
      <c r="N233" s="146"/>
      <c r="P233" s="4" t="s">
        <v>291</v>
      </c>
      <c r="Q233" s="143"/>
      <c r="T233" s="144"/>
      <c r="U233" s="145" t="e">
        <f>VLOOKUP(H233,Stock_list!A:N,14,FALSE)</f>
        <v>#N/A</v>
      </c>
    </row>
    <row r="234" spans="1:21" ht="22.5" customHeight="1">
      <c r="A234" s="159" t="s">
        <v>2749</v>
      </c>
      <c r="B234" s="114" t="str">
        <f>VLOOKUP(A234,'Data pick slip'!B:F,5,FALSE)</f>
        <v>KHJ-MC500-00</v>
      </c>
      <c r="F234" s="157" t="s">
        <v>2753</v>
      </c>
      <c r="I234" s="140" t="s">
        <v>3286</v>
      </c>
      <c r="J234" s="267" t="s">
        <v>3864</v>
      </c>
      <c r="K234" s="51" t="s">
        <v>1246</v>
      </c>
      <c r="L234" s="4">
        <v>45026</v>
      </c>
      <c r="M234" s="140">
        <v>4</v>
      </c>
      <c r="N234" s="146"/>
      <c r="P234" s="4" t="s">
        <v>291</v>
      </c>
      <c r="Q234" s="143"/>
      <c r="T234" s="144"/>
      <c r="U234" s="145" t="e">
        <f>VLOOKUP(H234,Stock_list!A:N,14,FALSE)</f>
        <v>#N/A</v>
      </c>
    </row>
    <row r="235" spans="1:21" ht="24.75" customHeight="1">
      <c r="A235" s="159" t="s">
        <v>2750</v>
      </c>
      <c r="B235" s="114" t="str">
        <f>VLOOKUP(A235,'Data pick slip'!B:F,5,FALSE)</f>
        <v>KHJ-MC600-00</v>
      </c>
      <c r="F235" s="157" t="s">
        <v>2753</v>
      </c>
      <c r="I235" s="140" t="s">
        <v>3286</v>
      </c>
      <c r="J235" s="267" t="s">
        <v>3864</v>
      </c>
      <c r="K235" s="51" t="s">
        <v>1246</v>
      </c>
      <c r="L235" s="4">
        <v>45026</v>
      </c>
      <c r="M235" s="140">
        <v>14</v>
      </c>
      <c r="N235" s="146"/>
      <c r="P235" s="4" t="s">
        <v>291</v>
      </c>
      <c r="Q235" s="143"/>
      <c r="T235" s="144"/>
      <c r="U235" s="145" t="e">
        <f>VLOOKUP(H235,Stock_list!A:N,14,FALSE)</f>
        <v>#N/A</v>
      </c>
    </row>
    <row r="236" spans="1:21" ht="27" customHeight="1">
      <c r="A236" s="159" t="s">
        <v>2751</v>
      </c>
      <c r="B236" s="114" t="str">
        <f>VLOOKUP(A236,'Data pick slip'!B:F,5,FALSE)</f>
        <v>KHJ-MC700-00</v>
      </c>
      <c r="F236" s="157" t="s">
        <v>2753</v>
      </c>
      <c r="I236" s="140" t="s">
        <v>3286</v>
      </c>
      <c r="J236" s="267" t="s">
        <v>3864</v>
      </c>
      <c r="K236" s="51" t="s">
        <v>1246</v>
      </c>
      <c r="L236" s="4">
        <v>45026</v>
      </c>
      <c r="M236" s="140">
        <v>1</v>
      </c>
      <c r="P236" s="4" t="s">
        <v>291</v>
      </c>
      <c r="Q236" s="143"/>
      <c r="T236" s="144"/>
      <c r="U236" s="145" t="e">
        <f>VLOOKUP(H236,Stock_list!A:N,14,FALSE)</f>
        <v>#N/A</v>
      </c>
    </row>
    <row r="237" spans="1:21" ht="24" customHeight="1">
      <c r="A237" s="159" t="s">
        <v>2750</v>
      </c>
      <c r="B237" s="114" t="str">
        <f>VLOOKUP(A237,'Data pick slip'!B:F,5,FALSE)</f>
        <v>KHJ-MC600-00</v>
      </c>
      <c r="F237" s="157" t="s">
        <v>2753</v>
      </c>
      <c r="I237" s="140" t="s">
        <v>3286</v>
      </c>
      <c r="J237" s="267" t="s">
        <v>3864</v>
      </c>
      <c r="K237" s="51" t="s">
        <v>1246</v>
      </c>
      <c r="L237" s="4">
        <v>45026</v>
      </c>
      <c r="M237" s="140">
        <v>9</v>
      </c>
      <c r="P237" s="4" t="s">
        <v>291</v>
      </c>
      <c r="Q237" s="143"/>
      <c r="T237" s="144"/>
      <c r="U237" s="145" t="e">
        <f>VLOOKUP(H237,Stock_list!A:N,14,FALSE)</f>
        <v>#N/A</v>
      </c>
    </row>
    <row r="238" spans="1:21" ht="23.25" customHeight="1">
      <c r="A238" s="159" t="s">
        <v>2744</v>
      </c>
      <c r="B238" s="114" t="str">
        <f>VLOOKUP(A238,'Data pick slip'!B:F,5,FALSE)</f>
        <v>KHJ-MC100-00</v>
      </c>
      <c r="F238" s="157" t="s">
        <v>2753</v>
      </c>
      <c r="H238" s="138">
        <v>1777</v>
      </c>
      <c r="I238" s="140" t="str">
        <f>VLOOKUP(H238,Stock_list!A:R,18,FALSE)</f>
        <v>海星</v>
      </c>
      <c r="J238" s="139" t="str">
        <f>VLOOKUP(H238,Stock_list!A:S,17,FALSE)</f>
        <v>C49SZX20220132R1ZX(H207006-BET-221214 ESE)</v>
      </c>
      <c r="K238" s="51" t="str">
        <f>VLOOKUP(H238,Stock_list!A:T,16,FALSE)</f>
        <v>RMB</v>
      </c>
      <c r="L238" s="4">
        <v>45027</v>
      </c>
      <c r="M238" s="143">
        <v>69</v>
      </c>
      <c r="P238" s="4" t="str">
        <f>VLOOKUP(H238,Stock_list!A:Y,25,FALSE)</f>
        <v>Yes</v>
      </c>
      <c r="T238" s="144"/>
      <c r="U238" s="145" t="str">
        <f>VLOOKUP(H238,Stock_list!A:N,14,FALSE)</f>
        <v>APR 23</v>
      </c>
    </row>
    <row r="239" spans="1:21" ht="28.5" customHeight="1">
      <c r="A239" s="159" t="s">
        <v>2747</v>
      </c>
      <c r="B239" s="114" t="str">
        <f>VLOOKUP(A239,'Data pick slip'!B:F,5,FALSE)</f>
        <v>KHJ-MC200-00</v>
      </c>
      <c r="F239" s="157" t="s">
        <v>2753</v>
      </c>
      <c r="H239" s="138">
        <v>1777</v>
      </c>
      <c r="I239" s="140" t="str">
        <f>VLOOKUP(H239,Stock_list!A:R,18,FALSE)</f>
        <v>海星</v>
      </c>
      <c r="J239" s="139" t="str">
        <f>VLOOKUP(H239,Stock_list!A:S,17,FALSE)</f>
        <v>C49SZX20220132R1ZX(H207006-BET-221214 ESE)</v>
      </c>
      <c r="K239" s="51" t="str">
        <f>VLOOKUP(H239,Stock_list!A:T,16,FALSE)</f>
        <v>RMB</v>
      </c>
      <c r="L239" s="4">
        <v>45027</v>
      </c>
      <c r="M239" s="143">
        <v>8</v>
      </c>
      <c r="P239" s="4" t="str">
        <f>VLOOKUP(H239,Stock_list!A:Y,25,FALSE)</f>
        <v>Yes</v>
      </c>
      <c r="T239" s="144"/>
      <c r="U239" s="145" t="str">
        <f>VLOOKUP(H239,Stock_list!A:N,14,FALSE)</f>
        <v>APR 23</v>
      </c>
    </row>
    <row r="240" spans="1:21" ht="20.25" customHeight="1">
      <c r="A240" s="159" t="s">
        <v>2748</v>
      </c>
      <c r="B240" s="114" t="str">
        <f>VLOOKUP(A240,'Data pick slip'!B:F,5,FALSE)</f>
        <v>KHJ-MC400-00</v>
      </c>
      <c r="F240" s="157" t="s">
        <v>2753</v>
      </c>
      <c r="H240" s="138">
        <v>1777</v>
      </c>
      <c r="I240" s="140" t="str">
        <f>VLOOKUP(H240,Stock_list!A:R,18,FALSE)</f>
        <v>海星</v>
      </c>
      <c r="J240" s="139" t="str">
        <f>VLOOKUP(H240,Stock_list!A:S,17,FALSE)</f>
        <v>C49SZX20220132R1ZX(H207006-BET-221214 ESE)</v>
      </c>
      <c r="K240" s="51" t="str">
        <f>VLOOKUP(H240,Stock_list!A:T,16,FALSE)</f>
        <v>RMB</v>
      </c>
      <c r="L240" s="4">
        <v>45027</v>
      </c>
      <c r="M240" s="143">
        <v>4</v>
      </c>
      <c r="P240" s="4" t="str">
        <f>VLOOKUP(H240,Stock_list!A:Y,25,FALSE)</f>
        <v>Yes</v>
      </c>
      <c r="T240" s="144"/>
      <c r="U240" s="145" t="str">
        <f>VLOOKUP(H240,Stock_list!A:N,14,FALSE)</f>
        <v>APR 23</v>
      </c>
    </row>
    <row r="241" spans="1:21" ht="22.5" customHeight="1">
      <c r="A241" s="159" t="s">
        <v>2749</v>
      </c>
      <c r="B241" s="114" t="str">
        <f>VLOOKUP(A241,'Data pick slip'!B:F,5,FALSE)</f>
        <v>KHJ-MC500-00</v>
      </c>
      <c r="F241" s="157" t="s">
        <v>2753</v>
      </c>
      <c r="H241" s="138">
        <v>1777</v>
      </c>
      <c r="I241" s="140" t="str">
        <f>VLOOKUP(H241,Stock_list!A:R,18,FALSE)</f>
        <v>海星</v>
      </c>
      <c r="J241" s="139" t="str">
        <f>VLOOKUP(H241,Stock_list!A:S,17,FALSE)</f>
        <v>C49SZX20220132R1ZX(H207006-BET-221214 ESE)</v>
      </c>
      <c r="K241" s="51" t="str">
        <f>VLOOKUP(H241,Stock_list!A:T,16,FALSE)</f>
        <v>RMB</v>
      </c>
      <c r="L241" s="4">
        <v>45027</v>
      </c>
      <c r="M241" s="143">
        <v>1</v>
      </c>
      <c r="P241" s="4" t="str">
        <f>VLOOKUP(H241,Stock_list!A:Y,25,FALSE)</f>
        <v>Yes</v>
      </c>
      <c r="T241" s="144"/>
      <c r="U241" s="145" t="str">
        <f>VLOOKUP(H241,Stock_list!A:N,14,FALSE)</f>
        <v>APR 23</v>
      </c>
    </row>
    <row r="242" spans="1:21" ht="20.25" customHeight="1">
      <c r="A242" s="159" t="s">
        <v>2755</v>
      </c>
      <c r="B242" s="114" t="str">
        <f>VLOOKUP(A242,'Data pick slip'!B:F,5,FALSE)</f>
        <v>KLJ-MC100-00</v>
      </c>
      <c r="F242" s="157" t="s">
        <v>2753</v>
      </c>
      <c r="H242" s="138">
        <v>1898</v>
      </c>
      <c r="I242" s="140" t="str">
        <f>VLOOKUP(H242,Stock_list!A:R,18,FALSE)</f>
        <v>清水湾（End use:呈承）</v>
      </c>
      <c r="J242" s="139" t="str">
        <f>VLOOKUP(H242,Stock_list!A:S,17,FALSE)</f>
        <v>YJY-2023040701</v>
      </c>
      <c r="K242" s="51" t="str">
        <f>VLOOKUP(H242,Stock_list!A:T,16,FALSE)</f>
        <v>RMB</v>
      </c>
      <c r="L242" s="4">
        <v>45035</v>
      </c>
      <c r="M242" s="143">
        <v>120</v>
      </c>
      <c r="P242" s="4" t="str">
        <f>VLOOKUP(H242,Stock_list!A:Y,25,FALSE)</f>
        <v>Yes</v>
      </c>
      <c r="T242" s="144"/>
      <c r="U242" s="145" t="str">
        <f>VLOOKUP(H242,Stock_list!A:N,14,FALSE)</f>
        <v>APR 23</v>
      </c>
    </row>
    <row r="243" spans="1:21" ht="23.25" customHeight="1">
      <c r="A243" s="159" t="s">
        <v>2756</v>
      </c>
      <c r="B243" s="114" t="str">
        <f>VLOOKUP(A243,'Data pick slip'!B:F,5,FALSE)</f>
        <v>KLJ-MC200-00</v>
      </c>
      <c r="F243" s="157" t="s">
        <v>2753</v>
      </c>
      <c r="H243" s="138">
        <v>1898</v>
      </c>
      <c r="I243" s="140" t="str">
        <f>VLOOKUP(H243,Stock_list!A:R,18,FALSE)</f>
        <v>清水湾（End use:呈承）</v>
      </c>
      <c r="J243" s="139" t="str">
        <f>VLOOKUP(H243,Stock_list!A:S,17,FALSE)</f>
        <v>YJY-2023040701</v>
      </c>
      <c r="K243" s="51" t="str">
        <f>VLOOKUP(H243,Stock_list!A:T,16,FALSE)</f>
        <v>RMB</v>
      </c>
      <c r="L243" s="4">
        <v>45035</v>
      </c>
      <c r="M243" s="143">
        <v>30</v>
      </c>
      <c r="P243" s="4" t="str">
        <f>VLOOKUP(H243,Stock_list!A:Y,25,FALSE)</f>
        <v>Yes</v>
      </c>
      <c r="T243" s="144"/>
      <c r="U243" s="145" t="str">
        <f>VLOOKUP(H243,Stock_list!A:N,14,FALSE)</f>
        <v>APR 23</v>
      </c>
    </row>
    <row r="244" spans="1:21" ht="18" customHeight="1">
      <c r="A244" s="159" t="s">
        <v>2757</v>
      </c>
      <c r="B244" s="114" t="str">
        <f>VLOOKUP(A244,'Data pick slip'!B:F,5,FALSE)</f>
        <v>KLJ-MC400-00</v>
      </c>
      <c r="F244" s="157" t="s">
        <v>2753</v>
      </c>
      <c r="H244" s="138">
        <v>1898</v>
      </c>
      <c r="I244" s="140" t="str">
        <f>VLOOKUP(H244,Stock_list!A:R,18,FALSE)</f>
        <v>清水湾（End use:呈承）</v>
      </c>
      <c r="J244" s="139" t="str">
        <f>VLOOKUP(H244,Stock_list!A:S,17,FALSE)</f>
        <v>YJY-2023040701</v>
      </c>
      <c r="K244" s="51" t="str">
        <f>VLOOKUP(H244,Stock_list!A:T,16,FALSE)</f>
        <v>RMB</v>
      </c>
      <c r="L244" s="4">
        <v>45035</v>
      </c>
      <c r="M244" s="143">
        <v>12</v>
      </c>
      <c r="P244" s="4" t="str">
        <f>VLOOKUP(H244,Stock_list!A:Y,25,FALSE)</f>
        <v>Yes</v>
      </c>
      <c r="T244" s="144"/>
      <c r="U244" s="145" t="str">
        <f>VLOOKUP(H244,Stock_list!A:N,14,FALSE)</f>
        <v>APR 23</v>
      </c>
    </row>
    <row r="245" spans="1:21" ht="16.5" customHeight="1">
      <c r="A245" s="159" t="s">
        <v>2758</v>
      </c>
      <c r="B245" s="114" t="str">
        <f>VLOOKUP(A245,'Data pick slip'!B:F,5,FALSE)</f>
        <v>KLJ-MC500-00</v>
      </c>
      <c r="F245" s="157" t="s">
        <v>2753</v>
      </c>
      <c r="H245" s="138">
        <v>1898</v>
      </c>
      <c r="I245" s="140" t="str">
        <f>VLOOKUP(H245,Stock_list!A:R,18,FALSE)</f>
        <v>清水湾（End use:呈承）</v>
      </c>
      <c r="J245" s="139" t="str">
        <f>VLOOKUP(H245,Stock_list!A:S,17,FALSE)</f>
        <v>YJY-2023040701</v>
      </c>
      <c r="K245" s="51" t="str">
        <f>VLOOKUP(H245,Stock_list!A:T,16,FALSE)</f>
        <v>RMB</v>
      </c>
      <c r="L245" s="4">
        <v>45035</v>
      </c>
      <c r="M245" s="143">
        <v>3</v>
      </c>
      <c r="P245" s="4" t="str">
        <f>VLOOKUP(H245,Stock_list!A:Y,25,FALSE)</f>
        <v>Yes</v>
      </c>
      <c r="T245" s="144"/>
      <c r="U245" s="145" t="str">
        <f>VLOOKUP(H245,Stock_list!A:N,14,FALSE)</f>
        <v>APR 23</v>
      </c>
    </row>
    <row r="246" spans="1:21" ht="16.5" customHeight="1">
      <c r="A246" s="159" t="s">
        <v>2759</v>
      </c>
      <c r="B246" s="114" t="str">
        <f>VLOOKUP(A246,'Data pick slip'!B:F,5,FALSE)</f>
        <v>KLJ-MC600-00</v>
      </c>
      <c r="F246" s="157" t="s">
        <v>2753</v>
      </c>
      <c r="H246" s="138">
        <v>1898</v>
      </c>
      <c r="I246" s="140" t="str">
        <f>VLOOKUP(H246,Stock_list!A:R,18,FALSE)</f>
        <v>清水湾（End use:呈承）</v>
      </c>
      <c r="J246" s="139" t="str">
        <f>VLOOKUP(H246,Stock_list!A:S,17,FALSE)</f>
        <v>YJY-2023040701</v>
      </c>
      <c r="K246" s="51" t="str">
        <f>VLOOKUP(H246,Stock_list!A:T,16,FALSE)</f>
        <v>RMB</v>
      </c>
      <c r="L246" s="4">
        <v>45035</v>
      </c>
      <c r="M246" s="143">
        <v>1</v>
      </c>
      <c r="P246" s="4" t="str">
        <f>VLOOKUP(H246,Stock_list!A:Y,25,FALSE)</f>
        <v>Yes</v>
      </c>
      <c r="T246" s="144"/>
      <c r="U246" s="145" t="str">
        <f>VLOOKUP(H246,Stock_list!A:N,14,FALSE)</f>
        <v>APR 23</v>
      </c>
    </row>
    <row r="247" spans="1:21" ht="16.5" customHeight="1">
      <c r="A247" s="159" t="s">
        <v>2760</v>
      </c>
      <c r="B247" s="114" t="str">
        <f>VLOOKUP(A247,'Data pick slip'!B:F,5,FALSE)</f>
        <v>KLJ-MC700-00</v>
      </c>
      <c r="F247" s="157" t="s">
        <v>2753</v>
      </c>
      <c r="H247" s="138">
        <v>1898</v>
      </c>
      <c r="I247" s="140" t="str">
        <f>VLOOKUP(H247,Stock_list!A:R,18,FALSE)</f>
        <v>清水湾（End use:呈承）</v>
      </c>
      <c r="J247" s="139" t="str">
        <f>VLOOKUP(H247,Stock_list!A:S,17,FALSE)</f>
        <v>YJY-2023040701</v>
      </c>
      <c r="K247" s="51" t="str">
        <f>VLOOKUP(H247,Stock_list!A:T,16,FALSE)</f>
        <v>RMB</v>
      </c>
      <c r="L247" s="4">
        <v>45035</v>
      </c>
      <c r="M247" s="143">
        <v>1</v>
      </c>
      <c r="P247" s="4" t="str">
        <f>VLOOKUP(H247,Stock_list!A:Y,25,FALSE)</f>
        <v>Yes</v>
      </c>
      <c r="T247" s="144"/>
      <c r="U247" s="145" t="str">
        <f>VLOOKUP(H247,Stock_list!A:N,14,FALSE)</f>
        <v>APR 23</v>
      </c>
    </row>
    <row r="248" spans="1:21" ht="21.75" customHeight="1">
      <c r="A248" s="159" t="s">
        <v>2744</v>
      </c>
      <c r="B248" s="114" t="str">
        <f>VLOOKUP(A248,'Data pick slip'!B:F,5,FALSE)</f>
        <v>KHJ-MC100-00</v>
      </c>
      <c r="F248" s="157" t="s">
        <v>2935</v>
      </c>
      <c r="I248" s="387" t="s">
        <v>3951</v>
      </c>
      <c r="J248" s="269" t="s">
        <v>3899</v>
      </c>
      <c r="K248" s="51" t="s">
        <v>3002</v>
      </c>
      <c r="L248" s="4">
        <v>45034</v>
      </c>
      <c r="M248" s="140">
        <v>167</v>
      </c>
      <c r="N248" s="146"/>
      <c r="P248" s="4" t="s">
        <v>291</v>
      </c>
      <c r="Q248" s="143"/>
      <c r="T248" s="144"/>
      <c r="U248" s="145" t="e">
        <f>VLOOKUP(H248,Stock_list!A:N,14,FALSE)</f>
        <v>#N/A</v>
      </c>
    </row>
    <row r="249" spans="1:21" ht="23.25" customHeight="1">
      <c r="A249" s="159" t="s">
        <v>2747</v>
      </c>
      <c r="B249" s="114" t="str">
        <f>VLOOKUP(A249,'Data pick slip'!B:F,5,FALSE)</f>
        <v>KHJ-MC200-00</v>
      </c>
      <c r="F249" s="157" t="s">
        <v>2935</v>
      </c>
      <c r="I249" s="387" t="s">
        <v>3951</v>
      </c>
      <c r="J249" s="269" t="s">
        <v>3899</v>
      </c>
      <c r="K249" s="51" t="s">
        <v>3002</v>
      </c>
      <c r="L249" s="4">
        <v>45034</v>
      </c>
      <c r="M249" s="140">
        <v>80</v>
      </c>
      <c r="N249" s="146"/>
      <c r="P249" s="4" t="s">
        <v>291</v>
      </c>
      <c r="Q249" s="143"/>
      <c r="T249" s="144"/>
      <c r="U249" s="145" t="e">
        <f>VLOOKUP(H249,Stock_list!A:N,14,FALSE)</f>
        <v>#N/A</v>
      </c>
    </row>
    <row r="250" spans="1:21" ht="23.25" customHeight="1">
      <c r="A250" s="159" t="s">
        <v>2748</v>
      </c>
      <c r="B250" s="114" t="str">
        <f>VLOOKUP(A250,'Data pick slip'!B:F,5,FALSE)</f>
        <v>KHJ-MC400-00</v>
      </c>
      <c r="F250" s="157" t="s">
        <v>2935</v>
      </c>
      <c r="I250" s="387" t="s">
        <v>3951</v>
      </c>
      <c r="J250" s="269" t="s">
        <v>3899</v>
      </c>
      <c r="K250" s="51" t="s">
        <v>3002</v>
      </c>
      <c r="L250" s="4">
        <v>45034</v>
      </c>
      <c r="M250" s="140">
        <v>23</v>
      </c>
      <c r="N250" s="146"/>
      <c r="P250" s="4" t="s">
        <v>291</v>
      </c>
      <c r="Q250" s="143"/>
      <c r="T250" s="144"/>
      <c r="U250" s="145" t="e">
        <f>VLOOKUP(H250,Stock_list!A:N,14,FALSE)</f>
        <v>#N/A</v>
      </c>
    </row>
    <row r="251" spans="1:21" ht="22.5" customHeight="1">
      <c r="A251" s="159" t="s">
        <v>2749</v>
      </c>
      <c r="B251" s="114" t="str">
        <f>VLOOKUP(A251,'Data pick slip'!B:F,5,FALSE)</f>
        <v>KHJ-MC500-00</v>
      </c>
      <c r="F251" s="157" t="s">
        <v>2935</v>
      </c>
      <c r="I251" s="387" t="s">
        <v>3951</v>
      </c>
      <c r="J251" s="269" t="s">
        <v>3899</v>
      </c>
      <c r="K251" s="51" t="s">
        <v>3002</v>
      </c>
      <c r="L251" s="4">
        <v>45034</v>
      </c>
      <c r="M251" s="140">
        <v>4</v>
      </c>
      <c r="N251" s="146"/>
      <c r="P251" s="4" t="s">
        <v>291</v>
      </c>
      <c r="Q251" s="143"/>
      <c r="T251" s="144"/>
      <c r="U251" s="145" t="e">
        <f>VLOOKUP(H251,Stock_list!A:N,14,FALSE)</f>
        <v>#N/A</v>
      </c>
    </row>
    <row r="252" spans="1:21" ht="22.5" customHeight="1">
      <c r="A252" s="159" t="s">
        <v>2755</v>
      </c>
      <c r="B252" s="114" t="str">
        <f>VLOOKUP(A252,'Data pick slip'!B:F,5,FALSE)</f>
        <v>KLJ-MC100-00</v>
      </c>
      <c r="F252" s="157" t="s">
        <v>2935</v>
      </c>
      <c r="I252" s="140" t="s">
        <v>2853</v>
      </c>
      <c r="J252" s="270" t="s">
        <v>3896</v>
      </c>
      <c r="K252" s="51" t="s">
        <v>3002</v>
      </c>
      <c r="L252" s="4">
        <v>45034</v>
      </c>
      <c r="M252" s="140">
        <v>10</v>
      </c>
      <c r="P252" s="4" t="s">
        <v>291</v>
      </c>
      <c r="Q252" s="143"/>
      <c r="T252" s="144"/>
      <c r="U252" s="145" t="e">
        <f>VLOOKUP(H252,Stock_list!A:N,14,FALSE)</f>
        <v>#N/A</v>
      </c>
    </row>
    <row r="253" spans="1:21" ht="23.25" customHeight="1">
      <c r="A253" s="159" t="s">
        <v>2756</v>
      </c>
      <c r="B253" s="114" t="str">
        <f>VLOOKUP(A253,'Data pick slip'!B:F,5,FALSE)</f>
        <v>KLJ-MC200-00</v>
      </c>
      <c r="F253" s="157" t="s">
        <v>2935</v>
      </c>
      <c r="I253" s="140" t="s">
        <v>2853</v>
      </c>
      <c r="J253" s="270" t="s">
        <v>3896</v>
      </c>
      <c r="K253" s="51" t="s">
        <v>3002</v>
      </c>
      <c r="L253" s="4">
        <v>45034</v>
      </c>
      <c r="M253" s="140">
        <v>1</v>
      </c>
      <c r="P253" s="4" t="s">
        <v>291</v>
      </c>
      <c r="Q253" s="143"/>
      <c r="T253" s="144"/>
      <c r="U253" s="145" t="e">
        <f>VLOOKUP(H253,Stock_list!A:N,14,FALSE)</f>
        <v>#N/A</v>
      </c>
    </row>
    <row r="254" spans="1:21" ht="16.5" customHeight="1">
      <c r="A254" s="159" t="s">
        <v>2744</v>
      </c>
      <c r="B254" s="114" t="str">
        <f>VLOOKUP(A254,'Data pick slip'!B:F,5,FALSE)</f>
        <v>KHJ-MC100-00</v>
      </c>
      <c r="F254" s="157" t="s">
        <v>2753</v>
      </c>
      <c r="H254" s="138">
        <v>1900</v>
      </c>
      <c r="I254" s="140" t="str">
        <f>VLOOKUP(H254,Stock_list!A:R,18,FALSE)</f>
        <v>旭宇盛翔</v>
      </c>
      <c r="J254" s="139" t="str">
        <f>VLOOKUP(H254,Stock_list!A:S,17,FALSE)</f>
        <v>C49SZX20230048SQ</v>
      </c>
      <c r="K254" s="51" t="str">
        <f>VLOOKUP(H254,Stock_list!A:T,16,FALSE)</f>
        <v>RMB</v>
      </c>
      <c r="L254" s="4">
        <v>45156</v>
      </c>
      <c r="M254" s="140">
        <v>22</v>
      </c>
      <c r="N254" s="143"/>
      <c r="P254" s="4" t="str">
        <f>VLOOKUP(H254,Stock_list!A:Y,25,FALSE)</f>
        <v>Yes</v>
      </c>
      <c r="T254" s="144"/>
      <c r="U254" s="145" t="str">
        <f>VLOOKUP(H254,Stock_list!A:N,14,FALSE)</f>
        <v>AUG 23</v>
      </c>
    </row>
    <row r="255" spans="1:21" ht="16.5" customHeight="1">
      <c r="A255" s="159" t="s">
        <v>2747</v>
      </c>
      <c r="B255" s="114" t="str">
        <f>VLOOKUP(A255,'Data pick slip'!B:F,5,FALSE)</f>
        <v>KHJ-MC200-00</v>
      </c>
      <c r="F255" s="157" t="s">
        <v>2753</v>
      </c>
      <c r="H255" s="138">
        <v>1900</v>
      </c>
      <c r="I255" s="140" t="str">
        <f>VLOOKUP(H255,Stock_list!A:R,18,FALSE)</f>
        <v>旭宇盛翔</v>
      </c>
      <c r="J255" s="139" t="str">
        <f>VLOOKUP(H255,Stock_list!A:S,17,FALSE)</f>
        <v>C49SZX20230048SQ</v>
      </c>
      <c r="K255" s="51" t="str">
        <f>VLOOKUP(H255,Stock_list!A:T,16,FALSE)</f>
        <v>RMB</v>
      </c>
      <c r="L255" s="4">
        <v>45156</v>
      </c>
      <c r="M255" s="140">
        <v>2</v>
      </c>
      <c r="N255" s="143"/>
      <c r="P255" s="4" t="str">
        <f>VLOOKUP(H255,Stock_list!A:Y,25,FALSE)</f>
        <v>Yes</v>
      </c>
      <c r="T255" s="144"/>
      <c r="U255" s="145" t="str">
        <f>VLOOKUP(H255,Stock_list!A:N,14,FALSE)</f>
        <v>AUG 23</v>
      </c>
    </row>
    <row r="256" spans="1:21" ht="16.5" customHeight="1">
      <c r="A256" s="159" t="s">
        <v>2744</v>
      </c>
      <c r="B256" s="114" t="str">
        <f>VLOOKUP(A256,'Data pick slip'!B:F,5,FALSE)</f>
        <v>KHJ-MC100-00</v>
      </c>
      <c r="F256" s="157" t="s">
        <v>2753</v>
      </c>
      <c r="H256" s="138">
        <v>1902</v>
      </c>
      <c r="I256" s="140" t="str">
        <f>VLOOKUP(H256,Stock_list!A:R,18,FALSE)</f>
        <v>和创永泰</v>
      </c>
      <c r="J256" s="139" t="str">
        <f>VLOOKUP(H256,Stock_list!A:S,17,FALSE)</f>
        <v>C49SZX20230049JY</v>
      </c>
      <c r="K256" s="51" t="str">
        <f>VLOOKUP(H256,Stock_list!A:T,16,FALSE)</f>
        <v>RMB</v>
      </c>
      <c r="L256" s="4">
        <v>45042</v>
      </c>
      <c r="M256" s="143">
        <v>120</v>
      </c>
      <c r="P256" s="4" t="str">
        <f>VLOOKUP(H256,Stock_list!A:Y,25,FALSE)</f>
        <v>Yes</v>
      </c>
      <c r="T256" s="144"/>
      <c r="U256" s="145" t="str">
        <f>VLOOKUP(H256,Stock_list!A:N,14,FALSE)</f>
        <v>APR 23</v>
      </c>
    </row>
    <row r="257" spans="1:21" ht="16.5" customHeight="1">
      <c r="A257" s="159" t="s">
        <v>2747</v>
      </c>
      <c r="B257" s="114" t="str">
        <f>VLOOKUP(A257,'Data pick slip'!B:F,5,FALSE)</f>
        <v>KHJ-MC200-00</v>
      </c>
      <c r="F257" s="157" t="s">
        <v>2753</v>
      </c>
      <c r="H257" s="138">
        <v>1902</v>
      </c>
      <c r="I257" s="140" t="str">
        <f>VLOOKUP(H257,Stock_list!A:R,18,FALSE)</f>
        <v>和创永泰</v>
      </c>
      <c r="J257" s="139" t="str">
        <f>VLOOKUP(H257,Stock_list!A:S,17,FALSE)</f>
        <v>C49SZX20230049JY</v>
      </c>
      <c r="K257" s="51" t="str">
        <f>VLOOKUP(H257,Stock_list!A:T,16,FALSE)</f>
        <v>RMB</v>
      </c>
      <c r="L257" s="4">
        <v>45042</v>
      </c>
      <c r="M257" s="143">
        <v>25</v>
      </c>
      <c r="P257" s="4" t="str">
        <f>VLOOKUP(H257,Stock_list!A:Y,25,FALSE)</f>
        <v>Yes</v>
      </c>
      <c r="T257" s="144"/>
      <c r="U257" s="145" t="str">
        <f>VLOOKUP(H257,Stock_list!A:N,14,FALSE)</f>
        <v>APR 23</v>
      </c>
    </row>
    <row r="258" spans="1:21" ht="16.5" customHeight="1">
      <c r="A258" s="159" t="s">
        <v>2748</v>
      </c>
      <c r="B258" s="114" t="str">
        <f>VLOOKUP(A258,'Data pick slip'!B:F,5,FALSE)</f>
        <v>KHJ-MC400-00</v>
      </c>
      <c r="F258" s="157" t="s">
        <v>2753</v>
      </c>
      <c r="H258" s="138">
        <v>1902</v>
      </c>
      <c r="I258" s="140" t="str">
        <f>VLOOKUP(H258,Stock_list!A:R,18,FALSE)</f>
        <v>和创永泰</v>
      </c>
      <c r="J258" s="139" t="str">
        <f>VLOOKUP(H258,Stock_list!A:S,17,FALSE)</f>
        <v>C49SZX20230049JY</v>
      </c>
      <c r="K258" s="51" t="str">
        <f>VLOOKUP(H258,Stock_list!A:T,16,FALSE)</f>
        <v>RMB</v>
      </c>
      <c r="L258" s="4">
        <v>45042</v>
      </c>
      <c r="M258" s="143">
        <v>8</v>
      </c>
      <c r="P258" s="4" t="str">
        <f>VLOOKUP(H258,Stock_list!A:Y,25,FALSE)</f>
        <v>Yes</v>
      </c>
      <c r="T258" s="144"/>
      <c r="U258" s="145" t="str">
        <f>VLOOKUP(H258,Stock_list!A:N,14,FALSE)</f>
        <v>APR 23</v>
      </c>
    </row>
    <row r="259" spans="1:21" ht="16.5" customHeight="1">
      <c r="A259" s="159" t="s">
        <v>2749</v>
      </c>
      <c r="B259" s="114" t="str">
        <f>VLOOKUP(A259,'Data pick slip'!B:F,5,FALSE)</f>
        <v>KHJ-MC500-00</v>
      </c>
      <c r="F259" s="157" t="s">
        <v>2753</v>
      </c>
      <c r="H259" s="138">
        <v>1902</v>
      </c>
      <c r="I259" s="140" t="str">
        <f>VLOOKUP(H259,Stock_list!A:R,18,FALSE)</f>
        <v>和创永泰</v>
      </c>
      <c r="J259" s="139" t="str">
        <f>VLOOKUP(H259,Stock_list!A:S,17,FALSE)</f>
        <v>C49SZX20230049JY</v>
      </c>
      <c r="K259" s="51" t="str">
        <f>VLOOKUP(H259,Stock_list!A:T,16,FALSE)</f>
        <v>RMB</v>
      </c>
      <c r="L259" s="4">
        <v>45042</v>
      </c>
      <c r="M259" s="143">
        <v>5</v>
      </c>
      <c r="P259" s="4" t="str">
        <f>VLOOKUP(H259,Stock_list!A:Y,25,FALSE)</f>
        <v>Yes</v>
      </c>
      <c r="T259" s="144"/>
      <c r="U259" s="145" t="str">
        <f>VLOOKUP(H259,Stock_list!A:N,14,FALSE)</f>
        <v>APR 23</v>
      </c>
    </row>
    <row r="260" spans="1:21" ht="16.5" customHeight="1">
      <c r="A260" s="159" t="s">
        <v>2750</v>
      </c>
      <c r="B260" s="114" t="str">
        <f>VLOOKUP(A260,'Data pick slip'!B:F,5,FALSE)</f>
        <v>KHJ-MC600-00</v>
      </c>
      <c r="F260" s="157" t="s">
        <v>2753</v>
      </c>
      <c r="H260" s="138">
        <v>1902</v>
      </c>
      <c r="I260" s="140" t="str">
        <f>VLOOKUP(H260,Stock_list!A:R,18,FALSE)</f>
        <v>和创永泰</v>
      </c>
      <c r="J260" s="139" t="str">
        <f>VLOOKUP(H260,Stock_list!A:S,17,FALSE)</f>
        <v>C49SZX20230049JY</v>
      </c>
      <c r="K260" s="51" t="str">
        <f>VLOOKUP(H260,Stock_list!A:T,16,FALSE)</f>
        <v>RMB</v>
      </c>
      <c r="L260" s="4">
        <v>45042</v>
      </c>
      <c r="M260" s="143">
        <v>1</v>
      </c>
      <c r="P260" s="4" t="str">
        <f>VLOOKUP(H260,Stock_list!A:Y,25,FALSE)</f>
        <v>Yes</v>
      </c>
      <c r="T260" s="144"/>
      <c r="U260" s="145" t="str">
        <f>VLOOKUP(H260,Stock_list!A:N,14,FALSE)</f>
        <v>APR 23</v>
      </c>
    </row>
    <row r="261" spans="1:21" ht="16.5" customHeight="1">
      <c r="A261" s="159" t="s">
        <v>2744</v>
      </c>
      <c r="B261" s="114" t="str">
        <f>VLOOKUP(A261,'Data pick slip'!B:F,5,FALSE)</f>
        <v>KHJ-MC100-00</v>
      </c>
      <c r="F261" s="157" t="s">
        <v>1381</v>
      </c>
      <c r="H261" s="138">
        <v>1905</v>
      </c>
      <c r="I261" s="140" t="str">
        <f>VLOOKUP(H261,Stock_list!A:R,18,FALSE)</f>
        <v>格第</v>
      </c>
      <c r="J261" s="139" t="str">
        <f>VLOOKUP(H261,Stock_list!A:S,17,FALSE)</f>
        <v>C49SZX20230054SQ</v>
      </c>
      <c r="K261" s="51" t="str">
        <f>VLOOKUP(H261,Stock_list!A:T,16,FALSE)</f>
        <v>JPY</v>
      </c>
      <c r="L261" s="4">
        <v>45044</v>
      </c>
      <c r="M261" s="143">
        <v>60</v>
      </c>
      <c r="P261" s="4" t="str">
        <f>VLOOKUP(H261,Stock_list!A:Y,25,FALSE)</f>
        <v>Yes</v>
      </c>
      <c r="T261" s="144"/>
      <c r="U261" s="145" t="str">
        <f>VLOOKUP(H261,Stock_list!A:N,14,FALSE)</f>
        <v>APR 23</v>
      </c>
    </row>
    <row r="262" spans="1:21" ht="16.5" customHeight="1">
      <c r="A262" s="159" t="s">
        <v>2747</v>
      </c>
      <c r="B262" s="114" t="str">
        <f>VLOOKUP(A262,'Data pick slip'!B:F,5,FALSE)</f>
        <v>KHJ-MC200-00</v>
      </c>
      <c r="F262" s="157" t="s">
        <v>1381</v>
      </c>
      <c r="H262" s="138">
        <v>1905</v>
      </c>
      <c r="I262" s="140" t="str">
        <f>VLOOKUP(H262,Stock_list!A:R,18,FALSE)</f>
        <v>格第</v>
      </c>
      <c r="J262" s="139" t="str">
        <f>VLOOKUP(H262,Stock_list!A:S,17,FALSE)</f>
        <v>C49SZX20230054SQ</v>
      </c>
      <c r="K262" s="51" t="str">
        <f>VLOOKUP(H262,Stock_list!A:T,16,FALSE)</f>
        <v>JPY</v>
      </c>
      <c r="L262" s="4">
        <v>45044</v>
      </c>
      <c r="M262" s="143">
        <v>12</v>
      </c>
      <c r="P262" s="4" t="str">
        <f>VLOOKUP(H262,Stock_list!A:Y,25,FALSE)</f>
        <v>Yes</v>
      </c>
      <c r="T262" s="144"/>
      <c r="U262" s="145" t="str">
        <f>VLOOKUP(H262,Stock_list!A:N,14,FALSE)</f>
        <v>APR 23</v>
      </c>
    </row>
    <row r="263" spans="1:21" ht="16.5" customHeight="1">
      <c r="A263" s="159" t="s">
        <v>2748</v>
      </c>
      <c r="B263" s="114" t="str">
        <f>VLOOKUP(A263,'Data pick slip'!B:F,5,FALSE)</f>
        <v>KHJ-MC400-00</v>
      </c>
      <c r="F263" s="157" t="s">
        <v>1381</v>
      </c>
      <c r="H263" s="138">
        <v>1905</v>
      </c>
      <c r="I263" s="140" t="str">
        <f>VLOOKUP(H263,Stock_list!A:R,18,FALSE)</f>
        <v>格第</v>
      </c>
      <c r="J263" s="139" t="str">
        <f>VLOOKUP(H263,Stock_list!A:S,17,FALSE)</f>
        <v>C49SZX20230054SQ</v>
      </c>
      <c r="K263" s="51" t="str">
        <f>VLOOKUP(H263,Stock_list!A:T,16,FALSE)</f>
        <v>JPY</v>
      </c>
      <c r="L263" s="4">
        <v>45044</v>
      </c>
      <c r="M263" s="143">
        <v>5</v>
      </c>
      <c r="P263" s="4" t="str">
        <f>VLOOKUP(H263,Stock_list!A:Y,25,FALSE)</f>
        <v>Yes</v>
      </c>
      <c r="T263" s="144"/>
      <c r="U263" s="145" t="str">
        <f>VLOOKUP(H263,Stock_list!A:N,14,FALSE)</f>
        <v>APR 23</v>
      </c>
    </row>
    <row r="264" spans="1:21" ht="16.5" customHeight="1">
      <c r="A264" s="159" t="s">
        <v>2749</v>
      </c>
      <c r="B264" s="114" t="str">
        <f>VLOOKUP(A264,'Data pick slip'!B:F,5,FALSE)</f>
        <v>KHJ-MC500-00</v>
      </c>
      <c r="F264" s="157" t="s">
        <v>1381</v>
      </c>
      <c r="H264" s="138">
        <v>1905</v>
      </c>
      <c r="I264" s="140" t="str">
        <f>VLOOKUP(H264,Stock_list!A:R,18,FALSE)</f>
        <v>格第</v>
      </c>
      <c r="J264" s="139" t="str">
        <f>VLOOKUP(H264,Stock_list!A:S,17,FALSE)</f>
        <v>C49SZX20230054SQ</v>
      </c>
      <c r="K264" s="51" t="str">
        <f>VLOOKUP(H264,Stock_list!A:T,16,FALSE)</f>
        <v>JPY</v>
      </c>
      <c r="L264" s="4">
        <v>45044</v>
      </c>
      <c r="M264" s="143">
        <v>3</v>
      </c>
      <c r="P264" s="4" t="str">
        <f>VLOOKUP(H264,Stock_list!A:Y,25,FALSE)</f>
        <v>Yes</v>
      </c>
      <c r="T264" s="144"/>
      <c r="U264" s="145" t="str">
        <f>VLOOKUP(H264,Stock_list!A:N,14,FALSE)</f>
        <v>APR 23</v>
      </c>
    </row>
    <row r="265" spans="1:21" ht="16.5" customHeight="1">
      <c r="A265" s="159" t="s">
        <v>2750</v>
      </c>
      <c r="B265" s="114" t="str">
        <f>VLOOKUP(A265,'Data pick slip'!B:F,5,FALSE)</f>
        <v>KHJ-MC600-00</v>
      </c>
      <c r="F265" s="157" t="s">
        <v>1381</v>
      </c>
      <c r="H265" s="138">
        <v>1905</v>
      </c>
      <c r="I265" s="140" t="str">
        <f>VLOOKUP(H265,Stock_list!A:R,18,FALSE)</f>
        <v>格第</v>
      </c>
      <c r="J265" s="139" t="str">
        <f>VLOOKUP(H265,Stock_list!A:S,17,FALSE)</f>
        <v>C49SZX20230054SQ</v>
      </c>
      <c r="K265" s="51" t="str">
        <f>VLOOKUP(H265,Stock_list!A:T,16,FALSE)</f>
        <v>JPY</v>
      </c>
      <c r="L265" s="4">
        <v>45044</v>
      </c>
      <c r="M265" s="143">
        <v>2</v>
      </c>
      <c r="P265" s="4" t="str">
        <f>VLOOKUP(H265,Stock_list!A:Y,25,FALSE)</f>
        <v>Yes</v>
      </c>
      <c r="T265" s="144"/>
      <c r="U265" s="145" t="str">
        <f>VLOOKUP(H265,Stock_list!A:N,14,FALSE)</f>
        <v>APR 23</v>
      </c>
    </row>
    <row r="266" spans="1:21" ht="16.5" customHeight="1">
      <c r="A266" s="159" t="s">
        <v>2744</v>
      </c>
      <c r="B266" s="114" t="str">
        <f>VLOOKUP(A266,'Data pick slip'!B:F,5,FALSE)</f>
        <v>KHJ-MC100-00</v>
      </c>
      <c r="F266" s="157" t="s">
        <v>2753</v>
      </c>
      <c r="H266" s="138">
        <v>1909</v>
      </c>
      <c r="I266" s="140" t="str">
        <f>VLOOKUP(H266,Stock_list!A:R,18,FALSE)</f>
        <v>佳润</v>
      </c>
      <c r="J266" s="139" t="str">
        <f>VLOOKUP(H266,Stock_list!A:S,17,FALSE)</f>
        <v>C49SZX20230052MZ</v>
      </c>
      <c r="K266" s="51" t="str">
        <f>VLOOKUP(H266,Stock_list!A:T,16,FALSE)</f>
        <v>RMB</v>
      </c>
      <c r="L266" s="4">
        <v>45054</v>
      </c>
      <c r="M266" s="143">
        <v>145</v>
      </c>
      <c r="P266" s="4" t="str">
        <f>VLOOKUP(H266,Stock_list!A:Y,25,FALSE)</f>
        <v>Yes</v>
      </c>
      <c r="T266" s="144"/>
      <c r="U266" s="145" t="str">
        <f>VLOOKUP(H266,Stock_list!A:N,14,FALSE)</f>
        <v>MAY 23</v>
      </c>
    </row>
    <row r="267" spans="1:21" ht="16.5" customHeight="1">
      <c r="A267" s="159" t="s">
        <v>2747</v>
      </c>
      <c r="B267" s="114" t="str">
        <f>VLOOKUP(A267,'Data pick slip'!B:F,5,FALSE)</f>
        <v>KHJ-MC200-00</v>
      </c>
      <c r="F267" s="157" t="s">
        <v>2753</v>
      </c>
      <c r="H267" s="138">
        <v>1909</v>
      </c>
      <c r="I267" s="140" t="str">
        <f>VLOOKUP(H267,Stock_list!A:R,18,FALSE)</f>
        <v>佳润</v>
      </c>
      <c r="J267" s="139" t="str">
        <f>VLOOKUP(H267,Stock_list!A:S,17,FALSE)</f>
        <v>C49SZX20230052MZ</v>
      </c>
      <c r="K267" s="51" t="str">
        <f>VLOOKUP(H267,Stock_list!A:T,16,FALSE)</f>
        <v>RMB</v>
      </c>
      <c r="L267" s="4">
        <v>45054</v>
      </c>
      <c r="M267" s="143">
        <v>5</v>
      </c>
      <c r="P267" s="4" t="str">
        <f>VLOOKUP(H267,Stock_list!A:Y,25,FALSE)</f>
        <v>Yes</v>
      </c>
      <c r="T267" s="144"/>
      <c r="U267" s="145" t="str">
        <f>VLOOKUP(H267,Stock_list!A:N,14,FALSE)</f>
        <v>MAY 23</v>
      </c>
    </row>
    <row r="268" spans="1:21" ht="16.5" customHeight="1">
      <c r="A268" s="159" t="s">
        <v>2750</v>
      </c>
      <c r="B268" s="114" t="str">
        <f>VLOOKUP(A268,'Data pick slip'!B:F,5,FALSE)</f>
        <v>KHJ-MC600-00</v>
      </c>
      <c r="F268" s="157" t="s">
        <v>2753</v>
      </c>
      <c r="H268" s="138">
        <v>1909</v>
      </c>
      <c r="I268" s="140" t="str">
        <f>VLOOKUP(H268,Stock_list!A:R,18,FALSE)</f>
        <v>佳润</v>
      </c>
      <c r="J268" s="139" t="str">
        <f>VLOOKUP(H268,Stock_list!A:S,17,FALSE)</f>
        <v>C49SZX20230052MZ</v>
      </c>
      <c r="K268" s="51" t="str">
        <f>VLOOKUP(H268,Stock_list!A:T,16,FALSE)</f>
        <v>RMB</v>
      </c>
      <c r="L268" s="4">
        <v>45054</v>
      </c>
      <c r="M268" s="143">
        <v>2</v>
      </c>
      <c r="P268" s="4" t="str">
        <f>VLOOKUP(H268,Stock_list!A:Y,25,FALSE)</f>
        <v>Yes</v>
      </c>
      <c r="T268" s="144"/>
      <c r="U268" s="145" t="str">
        <f>VLOOKUP(H268,Stock_list!A:N,14,FALSE)</f>
        <v>MAY 23</v>
      </c>
    </row>
    <row r="269" spans="1:21" ht="16.5" customHeight="1">
      <c r="A269" s="159" t="s">
        <v>2744</v>
      </c>
      <c r="B269" s="114" t="str">
        <f>VLOOKUP(A269,'Data pick slip'!B:F,5,FALSE)</f>
        <v>KHJ-MC100-00</v>
      </c>
      <c r="F269" s="157" t="s">
        <v>2753</v>
      </c>
      <c r="H269" s="138">
        <v>1910</v>
      </c>
      <c r="I269" s="140" t="str">
        <f>VLOOKUP(H269,Stock_list!A:R,18,FALSE)</f>
        <v>佳润</v>
      </c>
      <c r="J269" s="139" t="str">
        <f>VLOOKUP(H269,Stock_list!A:S,17,FALSE)</f>
        <v>C49SZX20230053MZ</v>
      </c>
      <c r="K269" s="51" t="str">
        <f>VLOOKUP(H269,Stock_list!A:T,16,FALSE)</f>
        <v>RMB</v>
      </c>
      <c r="L269" s="4">
        <v>45069</v>
      </c>
      <c r="M269" s="140">
        <v>160</v>
      </c>
      <c r="N269" s="143"/>
      <c r="P269" s="4" t="str">
        <f>VLOOKUP(H269,Stock_list!A:Y,25,FALSE)</f>
        <v>Yes</v>
      </c>
      <c r="T269" s="144"/>
      <c r="U269" s="145" t="str">
        <f>VLOOKUP(H269,Stock_list!A:N,14,FALSE)</f>
        <v>MAY 23</v>
      </c>
    </row>
    <row r="270" spans="1:21" ht="16.5" customHeight="1">
      <c r="A270" s="159" t="s">
        <v>2744</v>
      </c>
      <c r="B270" s="114" t="str">
        <f>VLOOKUP(A270,'Data pick slip'!B:F,5,FALSE)</f>
        <v>KHJ-MC100-00</v>
      </c>
      <c r="F270" s="157" t="s">
        <v>2753</v>
      </c>
      <c r="H270" s="138">
        <v>1911</v>
      </c>
      <c r="I270" s="140" t="str">
        <f>VLOOKUP(H270,Stock_list!A:R,18,FALSE)</f>
        <v>圣亨</v>
      </c>
      <c r="J270" s="139" t="str">
        <f>VLOOKUP(H270,Stock_list!A:S,17,FALSE)</f>
        <v>C49SZX20230058EC</v>
      </c>
      <c r="K270" s="51" t="str">
        <f>VLOOKUP(H270,Stock_list!A:T,16,FALSE)</f>
        <v>RMB</v>
      </c>
      <c r="L270" s="4">
        <v>45054</v>
      </c>
      <c r="M270" s="140">
        <v>40</v>
      </c>
      <c r="P270" s="4" t="str">
        <f>VLOOKUP(H270,Stock_list!A:Y,25,FALSE)</f>
        <v>Yes</v>
      </c>
      <c r="Q270" s="143"/>
      <c r="T270" s="144"/>
      <c r="U270" s="145" t="str">
        <f>VLOOKUP(H270,Stock_list!A:N,14,FALSE)</f>
        <v>MAY 23</v>
      </c>
    </row>
    <row r="271" spans="1:21" ht="16.5" customHeight="1">
      <c r="A271" s="159" t="s">
        <v>2744</v>
      </c>
      <c r="B271" s="114" t="str">
        <f>VLOOKUP(A271,'Data pick slip'!B:F,5,FALSE)</f>
        <v>KHJ-MC100-00</v>
      </c>
      <c r="F271" s="157" t="s">
        <v>2753</v>
      </c>
      <c r="H271" s="138">
        <v>1912</v>
      </c>
      <c r="I271" s="140" t="str">
        <f>VLOOKUP(H271,Stock_list!A:R,18,FALSE)</f>
        <v>台山新欣</v>
      </c>
      <c r="J271" s="139" t="str">
        <f>VLOOKUP(H271,Stock_list!A:S,17,FALSE)</f>
        <v>C49SZX20230056SX</v>
      </c>
      <c r="K271" s="51" t="str">
        <f>VLOOKUP(H271,Stock_list!A:T,16,FALSE)</f>
        <v>RMB</v>
      </c>
      <c r="L271" s="4">
        <v>45096</v>
      </c>
      <c r="M271" s="140">
        <v>20</v>
      </c>
      <c r="P271" s="4" t="str">
        <f>VLOOKUP(H271,Stock_list!A:Y,25,FALSE)</f>
        <v>Yes</v>
      </c>
      <c r="Q271" s="143"/>
      <c r="T271" s="144"/>
      <c r="U271" s="145" t="str">
        <f>VLOOKUP(H271,Stock_list!A:N,14,FALSE)</f>
        <v>JUN 23</v>
      </c>
    </row>
    <row r="272" spans="1:21" ht="16.5" customHeight="1">
      <c r="A272" s="159" t="s">
        <v>2747</v>
      </c>
      <c r="B272" s="114" t="str">
        <f>VLOOKUP(A272,'Data pick slip'!B:F,5,FALSE)</f>
        <v>KHJ-MC200-00</v>
      </c>
      <c r="F272" s="157" t="s">
        <v>2753</v>
      </c>
      <c r="H272" s="138">
        <v>1912</v>
      </c>
      <c r="I272" s="140" t="str">
        <f>VLOOKUP(H272,Stock_list!A:R,18,FALSE)</f>
        <v>台山新欣</v>
      </c>
      <c r="J272" s="139" t="str">
        <f>VLOOKUP(H272,Stock_list!A:S,17,FALSE)</f>
        <v>C49SZX20230056SX</v>
      </c>
      <c r="K272" s="51" t="str">
        <f>VLOOKUP(H272,Stock_list!A:T,16,FALSE)</f>
        <v>RMB</v>
      </c>
      <c r="L272" s="4">
        <v>45096</v>
      </c>
      <c r="M272" s="140">
        <v>5</v>
      </c>
      <c r="P272" s="4" t="str">
        <f>VLOOKUP(H272,Stock_list!A:Y,25,FALSE)</f>
        <v>Yes</v>
      </c>
      <c r="Q272" s="143"/>
      <c r="T272" s="144"/>
      <c r="U272" s="145" t="str">
        <f>VLOOKUP(H272,Stock_list!A:N,14,FALSE)</f>
        <v>JUN 23</v>
      </c>
    </row>
    <row r="273" spans="1:21" ht="16.5" customHeight="1">
      <c r="A273" s="159" t="s">
        <v>2744</v>
      </c>
      <c r="B273" s="114" t="str">
        <f>VLOOKUP(A273,'Data pick slip'!B:F,5,FALSE)</f>
        <v>KHJ-MC100-00</v>
      </c>
      <c r="F273" s="157" t="s">
        <v>2753</v>
      </c>
      <c r="H273" s="138">
        <v>1914</v>
      </c>
      <c r="I273" s="140" t="str">
        <f>VLOOKUP(H273,Stock_list!A:R,18,FALSE)</f>
        <v>艾为康</v>
      </c>
      <c r="J273" s="139" t="str">
        <f>VLOOKUP(H273,Stock_list!A:S,17,FALSE)</f>
        <v>C49SZX20230060RZ</v>
      </c>
      <c r="K273" s="51" t="str">
        <f>VLOOKUP(H273,Stock_list!A:T,16,FALSE)</f>
        <v>RMB</v>
      </c>
      <c r="L273" s="4">
        <v>45058</v>
      </c>
      <c r="M273" s="140">
        <v>97</v>
      </c>
      <c r="P273" s="4" t="str">
        <f>VLOOKUP(H273,Stock_list!A:Y,25,FALSE)</f>
        <v>Yes</v>
      </c>
      <c r="Q273" s="143"/>
      <c r="T273" s="144"/>
      <c r="U273" s="145" t="str">
        <f>VLOOKUP(H273,Stock_list!A:N,14,FALSE)</f>
        <v>MAY 23</v>
      </c>
    </row>
    <row r="274" spans="1:21" ht="16.5" customHeight="1">
      <c r="A274" s="159" t="s">
        <v>2747</v>
      </c>
      <c r="B274" s="114" t="str">
        <f>VLOOKUP(A274,'Data pick slip'!B:F,5,FALSE)</f>
        <v>KHJ-MC200-00</v>
      </c>
      <c r="F274" s="157" t="s">
        <v>2753</v>
      </c>
      <c r="H274" s="138">
        <v>1914</v>
      </c>
      <c r="I274" s="140" t="str">
        <f>VLOOKUP(H274,Stock_list!A:R,18,FALSE)</f>
        <v>艾为康</v>
      </c>
      <c r="J274" s="139" t="str">
        <f>VLOOKUP(H274,Stock_list!A:S,17,FALSE)</f>
        <v>C49SZX20230060RZ</v>
      </c>
      <c r="K274" s="51" t="str">
        <f>VLOOKUP(H274,Stock_list!A:T,16,FALSE)</f>
        <v>RMB</v>
      </c>
      <c r="L274" s="4">
        <v>45058</v>
      </c>
      <c r="M274" s="140">
        <v>3</v>
      </c>
      <c r="P274" s="4" t="str">
        <f>VLOOKUP(H274,Stock_list!A:Y,25,FALSE)</f>
        <v>Yes</v>
      </c>
      <c r="Q274" s="143"/>
      <c r="T274" s="144"/>
      <c r="U274" s="145" t="str">
        <f>VLOOKUP(H274,Stock_list!A:N,14,FALSE)</f>
        <v>MAY 23</v>
      </c>
    </row>
    <row r="275" spans="1:21" ht="21.75" customHeight="1">
      <c r="A275" s="159" t="s">
        <v>2744</v>
      </c>
      <c r="B275" s="114" t="str">
        <f>VLOOKUP(A275,'Data pick slip'!B:F,5,FALSE)</f>
        <v>KHJ-MC100-00</v>
      </c>
      <c r="F275" s="157" t="s">
        <v>2753</v>
      </c>
      <c r="I275" s="140" t="s">
        <v>3912</v>
      </c>
      <c r="J275" s="379" t="s">
        <v>3988</v>
      </c>
      <c r="K275" s="51" t="s">
        <v>1246</v>
      </c>
      <c r="L275" s="4">
        <v>45077</v>
      </c>
      <c r="M275" s="132">
        <v>15</v>
      </c>
      <c r="P275" s="4" t="s">
        <v>291</v>
      </c>
      <c r="Q275" s="143"/>
      <c r="T275" s="144"/>
      <c r="U275" s="145" t="e">
        <f>VLOOKUP(H275,Stock_list!A:N,14,FALSE)</f>
        <v>#N/A</v>
      </c>
    </row>
    <row r="276" spans="1:21" ht="23.25" customHeight="1">
      <c r="A276" s="159" t="s">
        <v>2747</v>
      </c>
      <c r="B276" s="114" t="str">
        <f>VLOOKUP(A276,'Data pick slip'!B:F,5,FALSE)</f>
        <v>KHJ-MC200-00</v>
      </c>
      <c r="F276" s="157" t="s">
        <v>2753</v>
      </c>
      <c r="I276" s="140" t="s">
        <v>3912</v>
      </c>
      <c r="J276" s="139" t="s">
        <v>3911</v>
      </c>
      <c r="K276" s="51" t="s">
        <v>1246</v>
      </c>
      <c r="L276" s="4">
        <v>45077</v>
      </c>
      <c r="M276" s="132">
        <v>5</v>
      </c>
      <c r="P276" s="4" t="s">
        <v>291</v>
      </c>
      <c r="Q276" s="143"/>
      <c r="T276" s="144"/>
      <c r="U276" s="145" t="e">
        <f>VLOOKUP(H276,Stock_list!A:N,14,FALSE)</f>
        <v>#N/A</v>
      </c>
    </row>
    <row r="277" spans="1:21" ht="21.75" customHeight="1">
      <c r="A277" s="159" t="s">
        <v>2750</v>
      </c>
      <c r="B277" s="114" t="str">
        <f>VLOOKUP(A277,'Data pick slip'!B:F,5,FALSE)</f>
        <v>KHJ-MC600-00</v>
      </c>
      <c r="F277" s="157" t="s">
        <v>2753</v>
      </c>
      <c r="I277" s="140" t="s">
        <v>3912</v>
      </c>
      <c r="J277" s="139" t="s">
        <v>3911</v>
      </c>
      <c r="K277" s="51" t="s">
        <v>1246</v>
      </c>
      <c r="L277" s="4">
        <v>45077</v>
      </c>
      <c r="M277" s="132">
        <v>2</v>
      </c>
      <c r="P277" s="4" t="s">
        <v>291</v>
      </c>
      <c r="Q277" s="143"/>
      <c r="T277" s="144"/>
      <c r="U277" s="145" t="e">
        <f>VLOOKUP(H277,Stock_list!A:N,14,FALSE)</f>
        <v>#N/A</v>
      </c>
    </row>
    <row r="278" spans="1:21" ht="16.5" customHeight="1">
      <c r="A278" s="159" t="s">
        <v>2756</v>
      </c>
      <c r="B278" s="114" t="str">
        <f>VLOOKUP(A278,'Data pick slip'!B:F,5,FALSE)</f>
        <v>KLJ-MC200-00</v>
      </c>
      <c r="F278" s="157" t="s">
        <v>1381</v>
      </c>
      <c r="I278" s="140" t="s">
        <v>2853</v>
      </c>
      <c r="J278" s="267" t="s">
        <v>3913</v>
      </c>
      <c r="K278" s="51" t="s">
        <v>3002</v>
      </c>
      <c r="L278" s="4">
        <v>45071</v>
      </c>
      <c r="M278" s="140">
        <v>1</v>
      </c>
      <c r="P278" s="4" t="s">
        <v>291</v>
      </c>
      <c r="Q278" s="143"/>
      <c r="T278" s="144"/>
      <c r="U278" s="145" t="e">
        <f>VLOOKUP(H278,Stock_list!A:N,14,FALSE)</f>
        <v>#N/A</v>
      </c>
    </row>
    <row r="279" spans="1:21" ht="24" customHeight="1">
      <c r="A279" s="159" t="s">
        <v>2749</v>
      </c>
      <c r="B279" s="114" t="str">
        <f>VLOOKUP(A279,'Data pick slip'!B:F,5,FALSE)</f>
        <v>KHJ-MC500-00</v>
      </c>
      <c r="F279" s="157" t="s">
        <v>2753</v>
      </c>
      <c r="I279" s="140" t="s">
        <v>3099</v>
      </c>
      <c r="J279" s="267" t="s">
        <v>3914</v>
      </c>
      <c r="K279" s="51" t="s">
        <v>1246</v>
      </c>
      <c r="L279" s="4">
        <v>45050</v>
      </c>
      <c r="M279" s="140">
        <v>3</v>
      </c>
      <c r="P279" s="4" t="s">
        <v>291</v>
      </c>
      <c r="Q279" s="143"/>
      <c r="T279" s="144"/>
      <c r="U279" s="145" t="e">
        <f>VLOOKUP(H279,Stock_list!A:N,14,FALSE)</f>
        <v>#N/A</v>
      </c>
    </row>
    <row r="280" spans="1:21" ht="16.5" customHeight="1">
      <c r="A280" s="159" t="s">
        <v>2744</v>
      </c>
      <c r="B280" s="114" t="str">
        <f>VLOOKUP(A280,'Data pick slip'!B:F,5,FALSE)</f>
        <v>KHJ-MC100-00</v>
      </c>
      <c r="F280" s="157" t="s">
        <v>1381</v>
      </c>
      <c r="H280" s="138">
        <v>1916</v>
      </c>
      <c r="I280" s="140" t="str">
        <f>VLOOKUP(H280,Stock_list!A:R,18,FALSE)</f>
        <v>TBS</v>
      </c>
      <c r="J280" s="139" t="str">
        <f>VLOOKUP(H280,Stock_list!A:S,17,FALSE)</f>
        <v>C49SZX20230063TS</v>
      </c>
      <c r="K280" s="51" t="str">
        <f>VLOOKUP(H280,Stock_list!A:T,16,FALSE)</f>
        <v>HKD</v>
      </c>
      <c r="L280" s="4">
        <v>45069</v>
      </c>
      <c r="M280" s="143">
        <v>65</v>
      </c>
      <c r="P280" s="4" t="str">
        <f>VLOOKUP(H280,Stock_list!A:Y,25,FALSE)</f>
        <v>Yes</v>
      </c>
      <c r="T280" s="144"/>
      <c r="U280" s="145" t="str">
        <f>VLOOKUP(H280,Stock_list!A:N,14,FALSE)</f>
        <v>MAY 23</v>
      </c>
    </row>
    <row r="281" spans="1:21" ht="16.5" customHeight="1">
      <c r="A281" s="159" t="s">
        <v>2747</v>
      </c>
      <c r="B281" s="114" t="str">
        <f>VLOOKUP(A281,'Data pick slip'!B:F,5,FALSE)</f>
        <v>KHJ-MC200-00</v>
      </c>
      <c r="F281" s="157" t="s">
        <v>1381</v>
      </c>
      <c r="H281" s="138">
        <v>1916</v>
      </c>
      <c r="I281" s="140" t="str">
        <f>VLOOKUP(H281,Stock_list!A:R,18,FALSE)</f>
        <v>TBS</v>
      </c>
      <c r="J281" s="139" t="str">
        <f>VLOOKUP(H281,Stock_list!A:S,17,FALSE)</f>
        <v>C49SZX20230063TS</v>
      </c>
      <c r="K281" s="51" t="str">
        <f>VLOOKUP(H281,Stock_list!A:T,16,FALSE)</f>
        <v>HKD</v>
      </c>
      <c r="L281" s="4">
        <v>45069</v>
      </c>
      <c r="M281" s="143">
        <v>14</v>
      </c>
      <c r="P281" s="4" t="str">
        <f>VLOOKUP(H281,Stock_list!A:Y,25,FALSE)</f>
        <v>Yes</v>
      </c>
      <c r="T281" s="144"/>
      <c r="U281" s="145" t="str">
        <f>VLOOKUP(H281,Stock_list!A:N,14,FALSE)</f>
        <v>MAY 23</v>
      </c>
    </row>
    <row r="282" spans="1:21" ht="24" customHeight="1">
      <c r="A282" s="159" t="s">
        <v>2744</v>
      </c>
      <c r="B282" s="114" t="str">
        <f>VLOOKUP(A282,'Data pick slip'!B:F,5,FALSE)</f>
        <v>KHJ-MC100-00</v>
      </c>
      <c r="F282" s="157" t="s">
        <v>2753</v>
      </c>
      <c r="I282" s="140" t="s">
        <v>3099</v>
      </c>
      <c r="J282" s="267" t="s">
        <v>3946</v>
      </c>
      <c r="K282" s="51" t="s">
        <v>1246</v>
      </c>
      <c r="L282" s="4">
        <v>45063</v>
      </c>
      <c r="M282" s="132">
        <v>82</v>
      </c>
      <c r="P282" s="4" t="s">
        <v>291</v>
      </c>
      <c r="Q282" s="143"/>
      <c r="T282" s="144"/>
      <c r="U282" s="145" t="e">
        <f>VLOOKUP(H282,Stock_list!A:N,14,FALSE)</f>
        <v>#N/A</v>
      </c>
    </row>
    <row r="283" spans="1:21" ht="23.25" customHeight="1">
      <c r="A283" s="159" t="s">
        <v>2747</v>
      </c>
      <c r="B283" s="114" t="str">
        <f>VLOOKUP(A283,'Data pick slip'!B:F,5,FALSE)</f>
        <v>KHJ-MC200-00</v>
      </c>
      <c r="F283" s="157" t="s">
        <v>2753</v>
      </c>
      <c r="I283" s="140" t="s">
        <v>3099</v>
      </c>
      <c r="J283" s="267" t="s">
        <v>3946</v>
      </c>
      <c r="K283" s="51" t="s">
        <v>1246</v>
      </c>
      <c r="L283" s="4">
        <v>45063</v>
      </c>
      <c r="M283" s="132">
        <v>10</v>
      </c>
      <c r="P283" s="4" t="s">
        <v>291</v>
      </c>
      <c r="Q283" s="143"/>
      <c r="T283" s="144"/>
      <c r="U283" s="145" t="e">
        <f>VLOOKUP(H283,Stock_list!A:N,14,FALSE)</f>
        <v>#N/A</v>
      </c>
    </row>
    <row r="284" spans="1:21" ht="27.75" customHeight="1">
      <c r="A284" s="159" t="s">
        <v>2748</v>
      </c>
      <c r="B284" s="114" t="str">
        <f>VLOOKUP(A284,'Data pick slip'!B:F,5,FALSE)</f>
        <v>KHJ-MC400-00</v>
      </c>
      <c r="F284" s="157" t="s">
        <v>2753</v>
      </c>
      <c r="I284" s="140" t="s">
        <v>3099</v>
      </c>
      <c r="J284" s="267" t="s">
        <v>3946</v>
      </c>
      <c r="K284" s="51" t="s">
        <v>1246</v>
      </c>
      <c r="L284" s="4">
        <v>45063</v>
      </c>
      <c r="M284" s="132">
        <v>5</v>
      </c>
      <c r="P284" s="4" t="s">
        <v>291</v>
      </c>
      <c r="Q284" s="143"/>
      <c r="T284" s="144"/>
      <c r="U284" s="145" t="e">
        <f>VLOOKUP(H284,Stock_list!A:N,14,FALSE)</f>
        <v>#N/A</v>
      </c>
    </row>
    <row r="285" spans="1:21" ht="16.5" customHeight="1">
      <c r="A285" s="159" t="s">
        <v>2744</v>
      </c>
      <c r="B285" s="114" t="str">
        <f>VLOOKUP(A285,'Data pick slip'!B:F,5,FALSE)</f>
        <v>KHJ-MC100-00</v>
      </c>
      <c r="F285" s="157" t="s">
        <v>1381</v>
      </c>
      <c r="I285" s="387" t="s">
        <v>3951</v>
      </c>
      <c r="J285" s="139" t="s">
        <v>3950</v>
      </c>
      <c r="K285" s="51" t="s">
        <v>3002</v>
      </c>
      <c r="L285" s="4">
        <v>45057</v>
      </c>
      <c r="M285" s="140">
        <v>82</v>
      </c>
      <c r="P285" s="4" t="s">
        <v>291</v>
      </c>
      <c r="Q285" s="143"/>
      <c r="T285" s="144"/>
      <c r="U285" s="145" t="e">
        <f>VLOOKUP(H285,Stock_list!A:N,14,FALSE)</f>
        <v>#N/A</v>
      </c>
    </row>
    <row r="286" spans="1:21" ht="16.5" customHeight="1">
      <c r="A286" s="159" t="s">
        <v>2747</v>
      </c>
      <c r="B286" s="114" t="str">
        <f>VLOOKUP(A286,'Data pick slip'!B:F,5,FALSE)</f>
        <v>KHJ-MC200-00</v>
      </c>
      <c r="F286" s="157" t="s">
        <v>1381</v>
      </c>
      <c r="I286" s="387" t="s">
        <v>3951</v>
      </c>
      <c r="J286" s="139" t="s">
        <v>3950</v>
      </c>
      <c r="K286" s="51" t="s">
        <v>3002</v>
      </c>
      <c r="L286" s="4">
        <v>45057</v>
      </c>
      <c r="M286" s="140">
        <v>10</v>
      </c>
      <c r="P286" s="4" t="s">
        <v>291</v>
      </c>
      <c r="Q286" s="143"/>
      <c r="T286" s="144"/>
      <c r="U286" s="145" t="e">
        <f>VLOOKUP(H286,Stock_list!A:N,14,FALSE)</f>
        <v>#N/A</v>
      </c>
    </row>
    <row r="287" spans="1:21" ht="16.5" customHeight="1">
      <c r="A287" s="159" t="s">
        <v>2748</v>
      </c>
      <c r="B287" s="114" t="str">
        <f>VLOOKUP(A287,'Data pick slip'!B:F,5,FALSE)</f>
        <v>KHJ-MC400-00</v>
      </c>
      <c r="F287" s="157" t="s">
        <v>1381</v>
      </c>
      <c r="I287" s="387" t="s">
        <v>3951</v>
      </c>
      <c r="J287" s="139" t="s">
        <v>3950</v>
      </c>
      <c r="K287" s="51" t="s">
        <v>3002</v>
      </c>
      <c r="L287" s="4">
        <v>45057</v>
      </c>
      <c r="M287" s="140">
        <v>5</v>
      </c>
      <c r="P287" s="4" t="s">
        <v>291</v>
      </c>
      <c r="Q287" s="143"/>
      <c r="T287" s="144"/>
      <c r="U287" s="145" t="e">
        <f>VLOOKUP(H287,Stock_list!A:N,14,FALSE)</f>
        <v>#N/A</v>
      </c>
    </row>
    <row r="288" spans="1:21" ht="16.5" customHeight="1">
      <c r="A288" s="159" t="s">
        <v>2749</v>
      </c>
      <c r="B288" s="114" t="str">
        <f>VLOOKUP(A288,'Data pick slip'!B:F,5,FALSE)</f>
        <v>KHJ-MC500-00</v>
      </c>
      <c r="F288" s="157" t="s">
        <v>1381</v>
      </c>
      <c r="I288" s="387" t="s">
        <v>3951</v>
      </c>
      <c r="J288" s="139" t="s">
        <v>3950</v>
      </c>
      <c r="K288" s="51" t="s">
        <v>3002</v>
      </c>
      <c r="L288" s="4">
        <v>45057</v>
      </c>
      <c r="M288" s="140">
        <v>3</v>
      </c>
      <c r="P288" s="4" t="s">
        <v>291</v>
      </c>
      <c r="Q288" s="143"/>
      <c r="T288" s="144"/>
      <c r="U288" s="145" t="e">
        <f>VLOOKUP(H288,Stock_list!A:N,14,FALSE)</f>
        <v>#N/A</v>
      </c>
    </row>
    <row r="289" spans="1:21" ht="16.5" customHeight="1">
      <c r="A289" s="159" t="s">
        <v>2744</v>
      </c>
      <c r="B289" s="114" t="str">
        <f>VLOOKUP(A289,'Data pick slip'!B:F,5,FALSE)</f>
        <v>KHJ-MC100-00</v>
      </c>
      <c r="F289" s="157" t="s">
        <v>1381</v>
      </c>
      <c r="I289" s="387" t="s">
        <v>3413</v>
      </c>
      <c r="J289" s="139" t="s">
        <v>3953</v>
      </c>
      <c r="K289" s="51" t="s">
        <v>1246</v>
      </c>
      <c r="L289" s="4">
        <v>45057</v>
      </c>
      <c r="M289" s="140">
        <v>200</v>
      </c>
      <c r="P289" s="4" t="s">
        <v>291</v>
      </c>
      <c r="Q289" s="143"/>
      <c r="T289" s="144"/>
      <c r="U289" s="145" t="e">
        <f>VLOOKUP(H289,Stock_list!A:N,14,FALSE)</f>
        <v>#N/A</v>
      </c>
    </row>
    <row r="290" spans="1:21" ht="16.5" customHeight="1">
      <c r="A290" s="159" t="s">
        <v>2755</v>
      </c>
      <c r="B290" s="114" t="str">
        <f>VLOOKUP(A290,'Data pick slip'!B:F,5,FALSE)</f>
        <v>KLJ-MC100-00</v>
      </c>
      <c r="F290" s="157" t="s">
        <v>1381</v>
      </c>
      <c r="I290" s="387" t="s">
        <v>3413</v>
      </c>
      <c r="J290" s="139" t="s">
        <v>3953</v>
      </c>
      <c r="K290" s="51" t="s">
        <v>1246</v>
      </c>
      <c r="L290" s="4">
        <v>45057</v>
      </c>
      <c r="M290" s="140">
        <v>200</v>
      </c>
      <c r="P290" s="4" t="s">
        <v>291</v>
      </c>
      <c r="Q290" s="143"/>
      <c r="T290" s="144"/>
      <c r="U290" s="145" t="e">
        <f>VLOOKUP(H290,Stock_list!A:N,14,FALSE)</f>
        <v>#N/A</v>
      </c>
    </row>
    <row r="291" spans="1:21" ht="16.5" customHeight="1">
      <c r="A291" s="159" t="s">
        <v>2747</v>
      </c>
      <c r="B291" s="114" t="str">
        <f>VLOOKUP(A291,'Data pick slip'!B:F,5,FALSE)</f>
        <v>KHJ-MC200-00</v>
      </c>
      <c r="F291" s="157" t="s">
        <v>1381</v>
      </c>
      <c r="I291" s="387" t="s">
        <v>3413</v>
      </c>
      <c r="J291" s="139" t="s">
        <v>3953</v>
      </c>
      <c r="K291" s="51" t="s">
        <v>1246</v>
      </c>
      <c r="L291" s="4">
        <v>45057</v>
      </c>
      <c r="M291" s="140">
        <v>50</v>
      </c>
      <c r="P291" s="4" t="s">
        <v>291</v>
      </c>
      <c r="Q291" s="143"/>
      <c r="T291" s="144"/>
      <c r="U291" s="145" t="e">
        <f>VLOOKUP(H291,Stock_list!A:N,14,FALSE)</f>
        <v>#N/A</v>
      </c>
    </row>
    <row r="292" spans="1:21" ht="16.5" customHeight="1">
      <c r="A292" s="159" t="s">
        <v>2754</v>
      </c>
      <c r="B292" s="114" t="str">
        <f>VLOOKUP(A292,'Data pick slip'!B:F,5,FALSE)</f>
        <v>KLJ-MCN00-20</v>
      </c>
      <c r="F292" s="157" t="s">
        <v>1381</v>
      </c>
      <c r="I292" s="387" t="s">
        <v>3413</v>
      </c>
      <c r="J292" s="139" t="s">
        <v>3954</v>
      </c>
      <c r="K292" s="51" t="s">
        <v>1246</v>
      </c>
      <c r="L292" s="4">
        <v>45061</v>
      </c>
      <c r="M292" s="140">
        <v>1</v>
      </c>
      <c r="P292" s="4" t="s">
        <v>291</v>
      </c>
      <c r="Q292" s="143"/>
      <c r="T292" s="144"/>
      <c r="U292" s="145" t="e">
        <f>VLOOKUP(H292,Stock_list!A:N,14,FALSE)</f>
        <v>#N/A</v>
      </c>
    </row>
    <row r="293" spans="1:21" ht="16.5" customHeight="1">
      <c r="A293" s="159" t="s">
        <v>2744</v>
      </c>
      <c r="B293" s="114" t="str">
        <f>VLOOKUP(A293,'Data pick slip'!B:F,5,FALSE)</f>
        <v>KHJ-MC100-00</v>
      </c>
      <c r="F293" s="157" t="s">
        <v>1381</v>
      </c>
      <c r="I293" s="387" t="s">
        <v>3413</v>
      </c>
      <c r="J293" s="139" t="s">
        <v>3954</v>
      </c>
      <c r="K293" s="51" t="s">
        <v>1246</v>
      </c>
      <c r="L293" s="4">
        <v>45061</v>
      </c>
      <c r="M293" s="140">
        <v>370</v>
      </c>
      <c r="P293" s="4" t="s">
        <v>291</v>
      </c>
      <c r="Q293" s="143"/>
      <c r="T293" s="144"/>
      <c r="U293" s="145" t="e">
        <f>VLOOKUP(H293,Stock_list!A:N,14,FALSE)</f>
        <v>#N/A</v>
      </c>
    </row>
    <row r="294" spans="1:21" ht="16.5" customHeight="1">
      <c r="A294" s="159" t="s">
        <v>2755</v>
      </c>
      <c r="B294" s="114" t="str">
        <f>VLOOKUP(A294,'Data pick slip'!B:F,5,FALSE)</f>
        <v>KLJ-MC100-00</v>
      </c>
      <c r="F294" s="157" t="s">
        <v>1381</v>
      </c>
      <c r="I294" s="387" t="s">
        <v>3413</v>
      </c>
      <c r="J294" s="139" t="s">
        <v>3954</v>
      </c>
      <c r="K294" s="51" t="s">
        <v>1246</v>
      </c>
      <c r="L294" s="4">
        <v>45061</v>
      </c>
      <c r="M294" s="140">
        <v>60</v>
      </c>
      <c r="P294" s="4" t="s">
        <v>291</v>
      </c>
      <c r="Q294" s="143"/>
      <c r="T294" s="144"/>
      <c r="U294" s="145" t="e">
        <f>VLOOKUP(H294,Stock_list!A:N,14,FALSE)</f>
        <v>#N/A</v>
      </c>
    </row>
    <row r="295" spans="1:21" ht="16.5" customHeight="1">
      <c r="A295" s="159" t="s">
        <v>2747</v>
      </c>
      <c r="B295" s="114" t="str">
        <f>VLOOKUP(A295,'Data pick slip'!B:F,5,FALSE)</f>
        <v>KHJ-MC200-00</v>
      </c>
      <c r="F295" s="157" t="s">
        <v>1381</v>
      </c>
      <c r="I295" s="387" t="s">
        <v>3413</v>
      </c>
      <c r="J295" s="139" t="s">
        <v>3954</v>
      </c>
      <c r="K295" s="51" t="s">
        <v>1246</v>
      </c>
      <c r="L295" s="4">
        <v>45061</v>
      </c>
      <c r="M295" s="140">
        <v>119</v>
      </c>
      <c r="P295" s="4" t="s">
        <v>291</v>
      </c>
      <c r="Q295" s="143"/>
      <c r="T295" s="144"/>
      <c r="U295" s="145" t="e">
        <f>VLOOKUP(H295,Stock_list!A:N,14,FALSE)</f>
        <v>#N/A</v>
      </c>
    </row>
    <row r="296" spans="1:21" ht="16.5" customHeight="1">
      <c r="A296" s="159" t="s">
        <v>2744</v>
      </c>
      <c r="B296" s="114" t="str">
        <f>VLOOKUP(A296,'Data pick slip'!B:F,5,FALSE)</f>
        <v>KHJ-MC100-00</v>
      </c>
      <c r="F296" s="157" t="s">
        <v>2753</v>
      </c>
      <c r="H296" s="138">
        <v>1918</v>
      </c>
      <c r="I296" s="140" t="str">
        <f>VLOOKUP(H296,Stock_list!A:R,18,FALSE)</f>
        <v>聚合信</v>
      </c>
      <c r="J296" s="139" t="str">
        <f>VLOOKUP(H296,Stock_list!A:S,17,FALSE)</f>
        <v>C49SZX20230065EC</v>
      </c>
      <c r="K296" s="51" t="str">
        <f>VLOOKUP(H296,Stock_list!A:T,16,FALSE)</f>
        <v>RMB</v>
      </c>
      <c r="L296" s="4">
        <v>45085</v>
      </c>
      <c r="M296" s="140">
        <v>20</v>
      </c>
      <c r="N296" s="143"/>
      <c r="P296" s="4" t="str">
        <f>VLOOKUP(H296,Stock_list!A:Y,25,FALSE)</f>
        <v>Yes</v>
      </c>
      <c r="Q296" s="143"/>
      <c r="T296" s="144"/>
      <c r="U296" s="145" t="str">
        <f>VLOOKUP(H296,Stock_list!A:N,14,FALSE)</f>
        <v>JUN 23</v>
      </c>
    </row>
    <row r="297" spans="1:21" ht="21" customHeight="1">
      <c r="A297" s="159" t="s">
        <v>2744</v>
      </c>
      <c r="B297" s="114" t="str">
        <f>VLOOKUP(A297,'Data pick slip'!B:F,5,FALSE)</f>
        <v>KHJ-MC100-00</v>
      </c>
      <c r="F297" s="157" t="s">
        <v>2753</v>
      </c>
      <c r="H297" s="138">
        <v>1919</v>
      </c>
      <c r="I297" s="140" t="str">
        <f>VLOOKUP(H297,Stock_list!A:R,18,FALSE)</f>
        <v>皓吉达</v>
      </c>
      <c r="J297" s="139" t="str">
        <f>VLOOKUP(H297,Stock_list!A:S,17,FALSE)</f>
        <v>C49SZX20230066JL/HJD23050525</v>
      </c>
      <c r="K297" s="51" t="str">
        <f>VLOOKUP(H297,Stock_list!A:T,16,FALSE)</f>
        <v>RMB</v>
      </c>
      <c r="L297" s="4">
        <v>45082</v>
      </c>
      <c r="M297" s="140">
        <v>3</v>
      </c>
      <c r="N297" s="143"/>
      <c r="P297" s="4" t="str">
        <f>VLOOKUP(H297,Stock_list!A:Y,25,FALSE)</f>
        <v>Yes</v>
      </c>
      <c r="Q297" s="143"/>
      <c r="T297" s="144"/>
      <c r="U297" s="145" t="str">
        <f>VLOOKUP(H297,Stock_list!A:N,14,FALSE)</f>
        <v>JUN 23</v>
      </c>
    </row>
    <row r="298" spans="1:21" ht="16.5" customHeight="1">
      <c r="A298" s="159" t="s">
        <v>2755</v>
      </c>
      <c r="B298" s="114" t="str">
        <f>VLOOKUP(A298,'Data pick slip'!B:F,5,FALSE)</f>
        <v>KLJ-MC100-00</v>
      </c>
      <c r="F298" s="157" t="s">
        <v>2753</v>
      </c>
      <c r="I298" s="140" t="s">
        <v>3099</v>
      </c>
      <c r="J298" s="269" t="s">
        <v>4001</v>
      </c>
      <c r="K298" s="51" t="s">
        <v>1246</v>
      </c>
      <c r="L298" s="4">
        <v>45097</v>
      </c>
      <c r="M298" s="140">
        <v>1</v>
      </c>
      <c r="P298" s="4" t="s">
        <v>291</v>
      </c>
      <c r="Q298" s="143"/>
      <c r="T298" s="144"/>
      <c r="U298" s="145" t="e">
        <f>VLOOKUP(H298,Stock_list!A:N,14,FALSE)</f>
        <v>#N/A</v>
      </c>
    </row>
    <row r="299" spans="1:21" ht="16.5" customHeight="1">
      <c r="A299" s="159" t="s">
        <v>2744</v>
      </c>
      <c r="B299" s="114" t="str">
        <f>VLOOKUP(A299,'Data pick slip'!B:F,5,FALSE)</f>
        <v>KHJ-MC100-00</v>
      </c>
      <c r="F299" s="157" t="s">
        <v>2753</v>
      </c>
      <c r="I299" s="140" t="s">
        <v>3093</v>
      </c>
      <c r="J299" s="267" t="s">
        <v>3989</v>
      </c>
      <c r="K299" s="51" t="s">
        <v>1246</v>
      </c>
      <c r="L299" s="4">
        <v>45077</v>
      </c>
      <c r="M299" s="140">
        <v>3</v>
      </c>
      <c r="P299" s="4" t="s">
        <v>291</v>
      </c>
      <c r="Q299" s="143"/>
      <c r="T299" s="144"/>
      <c r="U299" s="145" t="e">
        <f>VLOOKUP(H299,Stock_list!A:N,14,FALSE)</f>
        <v>#N/A</v>
      </c>
    </row>
    <row r="300" spans="1:21" ht="16.5" customHeight="1">
      <c r="A300" s="159" t="s">
        <v>2747</v>
      </c>
      <c r="B300" s="114" t="str">
        <f>VLOOKUP(A300,'Data pick slip'!B:F,5,FALSE)</f>
        <v>KHJ-MC200-00</v>
      </c>
      <c r="F300" s="157" t="s">
        <v>2753</v>
      </c>
      <c r="I300" s="140" t="s">
        <v>3093</v>
      </c>
      <c r="J300" s="267" t="s">
        <v>3989</v>
      </c>
      <c r="K300" s="51" t="s">
        <v>1246</v>
      </c>
      <c r="L300" s="4">
        <v>45077</v>
      </c>
      <c r="M300" s="140">
        <v>2</v>
      </c>
      <c r="P300" s="4" t="s">
        <v>291</v>
      </c>
      <c r="Q300" s="143"/>
      <c r="T300" s="144"/>
      <c r="U300" s="145" t="e">
        <f>VLOOKUP(H300,Stock_list!A:N,14,FALSE)</f>
        <v>#N/A</v>
      </c>
    </row>
    <row r="301" spans="1:21" ht="16.5" customHeight="1">
      <c r="A301" s="159" t="s">
        <v>2748</v>
      </c>
      <c r="B301" s="114" t="str">
        <f>VLOOKUP(A301,'Data pick slip'!B:F,5,FALSE)</f>
        <v>KHJ-MC400-00</v>
      </c>
      <c r="F301" s="157" t="s">
        <v>2753</v>
      </c>
      <c r="I301" s="140" t="s">
        <v>3093</v>
      </c>
      <c r="J301" s="267" t="s">
        <v>3989</v>
      </c>
      <c r="K301" s="51" t="s">
        <v>1246</v>
      </c>
      <c r="L301" s="4">
        <v>45077</v>
      </c>
      <c r="M301" s="140">
        <v>1</v>
      </c>
      <c r="P301" s="4" t="s">
        <v>291</v>
      </c>
      <c r="Q301" s="143"/>
      <c r="T301" s="144"/>
      <c r="U301" s="145" t="e">
        <f>VLOOKUP(H301,Stock_list!A:N,14,FALSE)</f>
        <v>#N/A</v>
      </c>
    </row>
    <row r="302" spans="1:21" ht="16.5" customHeight="1">
      <c r="A302" s="159" t="s">
        <v>2748</v>
      </c>
      <c r="B302" s="114" t="str">
        <f>VLOOKUP(A302,'Data pick slip'!B:F,5,FALSE)</f>
        <v>KHJ-MC400-00</v>
      </c>
      <c r="F302" s="157" t="s">
        <v>2753</v>
      </c>
      <c r="I302" s="140" t="s">
        <v>3093</v>
      </c>
      <c r="J302" s="267" t="s">
        <v>3990</v>
      </c>
      <c r="K302" s="51" t="s">
        <v>1246</v>
      </c>
      <c r="L302" s="4">
        <v>45078</v>
      </c>
      <c r="M302" s="140">
        <v>1</v>
      </c>
      <c r="P302" s="4" t="s">
        <v>291</v>
      </c>
      <c r="Q302" s="143"/>
      <c r="T302" s="144"/>
      <c r="U302" s="145" t="e">
        <f>VLOOKUP(H302,Stock_list!A:N,14,FALSE)</f>
        <v>#N/A</v>
      </c>
    </row>
    <row r="303" spans="1:21" ht="16.5" customHeight="1">
      <c r="A303" s="159" t="s">
        <v>2748</v>
      </c>
      <c r="B303" s="114" t="str">
        <f>VLOOKUP(A303,'Data pick slip'!B:F,5,FALSE)</f>
        <v>KHJ-MC400-00</v>
      </c>
      <c r="F303" s="157" t="s">
        <v>2753</v>
      </c>
      <c r="I303" s="140" t="s">
        <v>3093</v>
      </c>
      <c r="J303" s="267" t="s">
        <v>4010</v>
      </c>
      <c r="K303" s="51" t="s">
        <v>1246</v>
      </c>
      <c r="L303" s="4">
        <v>45039</v>
      </c>
      <c r="M303" s="140">
        <v>2</v>
      </c>
      <c r="P303" s="4" t="s">
        <v>291</v>
      </c>
      <c r="Q303" s="143"/>
      <c r="T303" s="144"/>
      <c r="U303" s="145" t="e">
        <f>VLOOKUP(H303,Stock_list!A:N,14,FALSE)</f>
        <v>#N/A</v>
      </c>
    </row>
    <row r="304" spans="1:21" ht="16.5" customHeight="1">
      <c r="A304" s="159" t="s">
        <v>2744</v>
      </c>
      <c r="B304" s="114" t="str">
        <f>VLOOKUP(A304,'Data pick slip'!B:F,5,FALSE)</f>
        <v>KHJ-MC100-00</v>
      </c>
      <c r="F304" s="157" t="s">
        <v>2753</v>
      </c>
      <c r="H304" s="138">
        <v>1921</v>
      </c>
      <c r="I304" s="140" t="str">
        <f>VLOOKUP(H304,Stock_list!A:R,18,FALSE)</f>
        <v>恒鑫（End user:开普）</v>
      </c>
      <c r="J304" s="139" t="str">
        <f>VLOOKUP(H304,Stock_list!A:S,17,FALSE)</f>
        <v>HX20230601A</v>
      </c>
      <c r="K304" s="51" t="str">
        <f>VLOOKUP(H304,Stock_list!A:T,16,FALSE)</f>
        <v>RMB</v>
      </c>
      <c r="L304" s="290">
        <v>45153</v>
      </c>
      <c r="M304" s="140">
        <v>20</v>
      </c>
      <c r="P304" s="4" t="str">
        <f>VLOOKUP(H304,Stock_list!A:Y,25,FALSE)</f>
        <v>Yes</v>
      </c>
      <c r="Q304" s="143"/>
      <c r="T304" s="144"/>
      <c r="U304" s="145" t="str">
        <f>VLOOKUP(H304,Stock_list!A:N,14,FALSE)</f>
        <v>AUG 23</v>
      </c>
    </row>
    <row r="305" spans="1:21" ht="16.5" customHeight="1">
      <c r="A305" s="159" t="s">
        <v>2747</v>
      </c>
      <c r="B305" s="114" t="str">
        <f>VLOOKUP(A305,'Data pick slip'!B:F,5,FALSE)</f>
        <v>KHJ-MC200-00</v>
      </c>
      <c r="F305" s="157" t="s">
        <v>2753</v>
      </c>
      <c r="H305" s="138">
        <v>1921</v>
      </c>
      <c r="I305" s="140" t="str">
        <f>VLOOKUP(H305,Stock_list!A:R,18,FALSE)</f>
        <v>恒鑫（End user:开普）</v>
      </c>
      <c r="J305" s="139" t="str">
        <f>VLOOKUP(H305,Stock_list!A:S,17,FALSE)</f>
        <v>HX20230601A</v>
      </c>
      <c r="K305" s="51" t="str">
        <f>VLOOKUP(H305,Stock_list!A:T,16,FALSE)</f>
        <v>RMB</v>
      </c>
      <c r="L305" s="290">
        <v>45153</v>
      </c>
      <c r="M305" s="140">
        <v>3</v>
      </c>
      <c r="P305" s="4" t="str">
        <f>VLOOKUP(H305,Stock_list!A:Y,25,FALSE)</f>
        <v>Yes</v>
      </c>
      <c r="Q305" s="143"/>
      <c r="T305" s="144"/>
      <c r="U305" s="145" t="str">
        <f>VLOOKUP(H305,Stock_list!A:N,14,FALSE)</f>
        <v>AUG 23</v>
      </c>
    </row>
    <row r="306" spans="1:21" ht="20.25" customHeight="1">
      <c r="A306" s="159" t="s">
        <v>2749</v>
      </c>
      <c r="B306" s="114" t="str">
        <f>VLOOKUP(A306,'Data pick slip'!B:F,5,FALSE)</f>
        <v>KHJ-MC500-00</v>
      </c>
      <c r="F306" s="157" t="s">
        <v>2753</v>
      </c>
      <c r="I306" s="140" t="s">
        <v>3093</v>
      </c>
      <c r="J306" s="267" t="s">
        <v>3994</v>
      </c>
      <c r="K306" s="51" t="s">
        <v>1246</v>
      </c>
      <c r="L306" s="4">
        <v>45086</v>
      </c>
      <c r="M306" s="140">
        <v>3</v>
      </c>
      <c r="P306" s="4" t="s">
        <v>291</v>
      </c>
      <c r="Q306" s="143"/>
      <c r="T306" s="144"/>
      <c r="U306" s="145" t="e">
        <f>VLOOKUP(H306,Stock_list!A:N,14,FALSE)</f>
        <v>#N/A</v>
      </c>
    </row>
    <row r="307" spans="1:21" ht="16.5" customHeight="1">
      <c r="A307" s="159" t="s">
        <v>2744</v>
      </c>
      <c r="B307" s="114" t="str">
        <f>VLOOKUP(A307,'Data pick slip'!B:F,5,FALSE)</f>
        <v>KHJ-MC100-00</v>
      </c>
      <c r="F307" s="157" t="s">
        <v>1381</v>
      </c>
      <c r="H307" s="138">
        <v>1922</v>
      </c>
      <c r="I307" s="140" t="str">
        <f>VLOOKUP(H307,Stock_list!A:R,18,FALSE)</f>
        <v>海凌科</v>
      </c>
      <c r="J307" s="139" t="str">
        <f>VLOOKUP(H307,Stock_list!A:S,17,FALSE)</f>
        <v>C49SZX20230068JY</v>
      </c>
      <c r="K307" s="51" t="str">
        <f>VLOOKUP(H307,Stock_list!A:T,16,FALSE)</f>
        <v>JPY</v>
      </c>
      <c r="L307" s="4"/>
      <c r="N307" s="143">
        <v>60</v>
      </c>
      <c r="P307" s="4" t="str">
        <f>VLOOKUP(H307,Stock_list!A:Y,25,FALSE)</f>
        <v>Yes</v>
      </c>
      <c r="T307" s="144"/>
      <c r="U307" s="145" t="str">
        <f>VLOOKUP(H307,Stock_list!A:N,14,FALSE)</f>
        <v>MAR 24</v>
      </c>
    </row>
    <row r="308" spans="1:21" ht="16.5" customHeight="1">
      <c r="A308" s="159" t="s">
        <v>2747</v>
      </c>
      <c r="B308" s="114" t="str">
        <f>VLOOKUP(A308,'Data pick slip'!B:F,5,FALSE)</f>
        <v>KHJ-MC200-00</v>
      </c>
      <c r="F308" s="157" t="s">
        <v>1381</v>
      </c>
      <c r="H308" s="138">
        <v>1922</v>
      </c>
      <c r="I308" s="140" t="str">
        <f>VLOOKUP(H308,Stock_list!A:R,18,FALSE)</f>
        <v>海凌科</v>
      </c>
      <c r="J308" s="139" t="str">
        <f>VLOOKUP(H308,Stock_list!A:S,17,FALSE)</f>
        <v>C49SZX20230068JY</v>
      </c>
      <c r="K308" s="51" t="str">
        <f>VLOOKUP(H308,Stock_list!A:T,16,FALSE)</f>
        <v>JPY</v>
      </c>
      <c r="L308" s="4"/>
      <c r="N308" s="143">
        <v>12</v>
      </c>
      <c r="P308" s="4" t="str">
        <f>VLOOKUP(H308,Stock_list!A:Y,25,FALSE)</f>
        <v>Yes</v>
      </c>
      <c r="T308" s="144"/>
      <c r="U308" s="145" t="str">
        <f>VLOOKUP(H308,Stock_list!A:N,14,FALSE)</f>
        <v>MAR 24</v>
      </c>
    </row>
    <row r="309" spans="1:21" ht="16.5" customHeight="1">
      <c r="A309" s="159" t="s">
        <v>2748</v>
      </c>
      <c r="B309" s="114" t="str">
        <f>VLOOKUP(A309,'Data pick slip'!B:F,5,FALSE)</f>
        <v>KHJ-MC400-00</v>
      </c>
      <c r="F309" s="157" t="s">
        <v>1381</v>
      </c>
      <c r="H309" s="138">
        <v>1922</v>
      </c>
      <c r="I309" s="140" t="str">
        <f>VLOOKUP(H309,Stock_list!A:R,18,FALSE)</f>
        <v>海凌科</v>
      </c>
      <c r="J309" s="139" t="str">
        <f>VLOOKUP(H309,Stock_list!A:S,17,FALSE)</f>
        <v>C49SZX20230068JY</v>
      </c>
      <c r="K309" s="51" t="str">
        <f>VLOOKUP(H309,Stock_list!A:T,16,FALSE)</f>
        <v>JPY</v>
      </c>
      <c r="L309" s="4"/>
      <c r="N309" s="143">
        <v>3</v>
      </c>
      <c r="P309" s="4" t="str">
        <f>VLOOKUP(H309,Stock_list!A:Y,25,FALSE)</f>
        <v>Yes</v>
      </c>
      <c r="T309" s="144"/>
      <c r="U309" s="145" t="str">
        <f>VLOOKUP(H309,Stock_list!A:N,14,FALSE)</f>
        <v>MAR 24</v>
      </c>
    </row>
    <row r="310" spans="1:21" ht="16.5" customHeight="1">
      <c r="A310" s="159" t="s">
        <v>2754</v>
      </c>
      <c r="B310" s="114" t="str">
        <f>VLOOKUP(A310,'Data pick slip'!B:F,5,FALSE)</f>
        <v>KLJ-MCN00-20</v>
      </c>
      <c r="F310" s="157" t="s">
        <v>1381</v>
      </c>
      <c r="H310" s="138">
        <v>1922</v>
      </c>
      <c r="I310" s="140" t="str">
        <f>VLOOKUP(H310,Stock_list!A:R,18,FALSE)</f>
        <v>海凌科</v>
      </c>
      <c r="J310" s="139" t="str">
        <f>VLOOKUP(H310,Stock_list!A:S,17,FALSE)</f>
        <v>C49SZX20230068JY</v>
      </c>
      <c r="K310" s="51" t="str">
        <f>VLOOKUP(H310,Stock_list!A:T,16,FALSE)</f>
        <v>JPY</v>
      </c>
      <c r="L310" s="4"/>
      <c r="N310" s="143">
        <v>2</v>
      </c>
      <c r="P310" s="4" t="str">
        <f>VLOOKUP(H310,Stock_list!A:Y,25,FALSE)</f>
        <v>Yes</v>
      </c>
      <c r="T310" s="144"/>
      <c r="U310" s="145" t="str">
        <f>VLOOKUP(H310,Stock_list!A:N,14,FALSE)</f>
        <v>MAR 24</v>
      </c>
    </row>
    <row r="311" spans="1:21" ht="16.5" customHeight="1">
      <c r="A311" s="159" t="s">
        <v>2744</v>
      </c>
      <c r="B311" s="114" t="str">
        <f>VLOOKUP(A311,'Data pick slip'!B:F,5,FALSE)</f>
        <v>KHJ-MC100-00</v>
      </c>
      <c r="F311" s="157" t="s">
        <v>2753</v>
      </c>
      <c r="I311" s="140" t="s">
        <v>3093</v>
      </c>
      <c r="J311" s="270" t="s">
        <v>3995</v>
      </c>
      <c r="K311" s="51" t="s">
        <v>1246</v>
      </c>
      <c r="L311" s="4">
        <v>45107</v>
      </c>
      <c r="M311" s="132">
        <v>105</v>
      </c>
      <c r="P311" s="4" t="s">
        <v>291</v>
      </c>
      <c r="Q311" s="143"/>
      <c r="T311" s="144"/>
      <c r="U311" s="145" t="e">
        <f>VLOOKUP(H311,Stock_list!A:N,14,FALSE)</f>
        <v>#N/A</v>
      </c>
    </row>
    <row r="312" spans="1:21" ht="16.5" customHeight="1">
      <c r="A312" s="159" t="s">
        <v>2747</v>
      </c>
      <c r="B312" s="114" t="str">
        <f>VLOOKUP(A312,'Data pick slip'!B:F,5,FALSE)</f>
        <v>KHJ-MC200-00</v>
      </c>
      <c r="F312" s="157" t="s">
        <v>2753</v>
      </c>
      <c r="I312" s="140" t="s">
        <v>3093</v>
      </c>
      <c r="J312" s="270" t="s">
        <v>3995</v>
      </c>
      <c r="K312" s="51" t="s">
        <v>1246</v>
      </c>
      <c r="L312" s="4">
        <v>45107</v>
      </c>
      <c r="M312" s="132">
        <v>12</v>
      </c>
      <c r="P312" s="4" t="s">
        <v>291</v>
      </c>
      <c r="Q312" s="143"/>
      <c r="T312" s="144"/>
      <c r="U312" s="145" t="e">
        <f>VLOOKUP(H312,Stock_list!A:N,14,FALSE)</f>
        <v>#N/A</v>
      </c>
    </row>
    <row r="313" spans="1:21" ht="16.5" customHeight="1">
      <c r="A313" s="159" t="s">
        <v>2748</v>
      </c>
      <c r="B313" s="114" t="str">
        <f>VLOOKUP(A313,'Data pick slip'!B:F,5,FALSE)</f>
        <v>KHJ-MC400-00</v>
      </c>
      <c r="F313" s="157" t="s">
        <v>2753</v>
      </c>
      <c r="I313" s="140" t="s">
        <v>3093</v>
      </c>
      <c r="J313" s="270" t="s">
        <v>3995</v>
      </c>
      <c r="K313" s="51" t="s">
        <v>1246</v>
      </c>
      <c r="L313" s="4">
        <v>45107</v>
      </c>
      <c r="M313" s="132">
        <v>5</v>
      </c>
      <c r="P313" s="4" t="s">
        <v>291</v>
      </c>
      <c r="Q313" s="143"/>
      <c r="T313" s="144"/>
      <c r="U313" s="145" t="e">
        <f>VLOOKUP(H313,Stock_list!A:N,14,FALSE)</f>
        <v>#N/A</v>
      </c>
    </row>
    <row r="314" spans="1:21" ht="16.5" customHeight="1">
      <c r="A314" s="159" t="s">
        <v>2747</v>
      </c>
      <c r="B314" s="114" t="str">
        <f>VLOOKUP(A314,'Data pick slip'!B:F,5,FALSE)</f>
        <v>KHJ-MC200-00</v>
      </c>
      <c r="F314" s="157" t="s">
        <v>1381</v>
      </c>
      <c r="I314" s="140" t="s">
        <v>2853</v>
      </c>
      <c r="J314" s="267" t="s">
        <v>4002</v>
      </c>
      <c r="K314" s="51" t="s">
        <v>3002</v>
      </c>
      <c r="L314" s="4">
        <v>45097</v>
      </c>
      <c r="M314" s="140">
        <v>2</v>
      </c>
      <c r="P314" s="4" t="s">
        <v>291</v>
      </c>
      <c r="Q314" s="143"/>
      <c r="T314" s="144"/>
      <c r="U314" s="145" t="e">
        <f>VLOOKUP(H314,Stock_list!A:N,14,FALSE)</f>
        <v>#N/A</v>
      </c>
    </row>
    <row r="315" spans="1:21" ht="16.5" customHeight="1">
      <c r="A315" s="159" t="s">
        <v>2744</v>
      </c>
      <c r="B315" s="114" t="str">
        <f>VLOOKUP(A315,'Data pick slip'!B:F,5,FALSE)</f>
        <v>KHJ-MC100-00</v>
      </c>
      <c r="F315" s="157" t="s">
        <v>1381</v>
      </c>
      <c r="H315" s="138">
        <v>1928</v>
      </c>
      <c r="I315" s="140" t="str">
        <f>VLOOKUP(H315,Stock_list!A:R,18,FALSE)</f>
        <v>方案集（End user:陆巡）</v>
      </c>
      <c r="J315" s="139" t="str">
        <f>VLOOKUP(H315,Stock_list!A:S,17,FALSE)</f>
        <v>C49SZX20230073MZ</v>
      </c>
      <c r="K315" s="51" t="str">
        <f>VLOOKUP(H315,Stock_list!A:T,16,FALSE)</f>
        <v>JPY</v>
      </c>
      <c r="L315" s="4">
        <v>45152</v>
      </c>
      <c r="M315" s="143">
        <v>100</v>
      </c>
      <c r="P315" s="4" t="str">
        <f>VLOOKUP(H315,Stock_list!A:Y,25,FALSE)</f>
        <v>Yes</v>
      </c>
      <c r="T315" s="144"/>
      <c r="U315" s="145" t="str">
        <f>VLOOKUP(H315,Stock_list!A:N,14,FALSE)</f>
        <v>AUG 23</v>
      </c>
    </row>
    <row r="316" spans="1:21" ht="16.5" customHeight="1">
      <c r="A316" s="159" t="s">
        <v>2747</v>
      </c>
      <c r="B316" s="114" t="str">
        <f>VLOOKUP(A316,'Data pick slip'!B:F,5,FALSE)</f>
        <v>KHJ-MC200-00</v>
      </c>
      <c r="F316" s="157" t="s">
        <v>1381</v>
      </c>
      <c r="H316" s="138">
        <v>1928</v>
      </c>
      <c r="I316" s="140" t="str">
        <f>VLOOKUP(H316,Stock_list!A:R,18,FALSE)</f>
        <v>方案集（End user:陆巡）</v>
      </c>
      <c r="J316" s="139" t="str">
        <f>VLOOKUP(H316,Stock_list!A:S,17,FALSE)</f>
        <v>C49SZX20230073MZ</v>
      </c>
      <c r="K316" s="51" t="str">
        <f>VLOOKUP(H316,Stock_list!A:T,16,FALSE)</f>
        <v>JPY</v>
      </c>
      <c r="L316" s="4">
        <v>45152</v>
      </c>
      <c r="M316" s="143">
        <v>10</v>
      </c>
      <c r="P316" s="4" t="str">
        <f>VLOOKUP(H316,Stock_list!A:Y,25,FALSE)</f>
        <v>Yes</v>
      </c>
      <c r="T316" s="144"/>
      <c r="U316" s="145" t="str">
        <f>VLOOKUP(H316,Stock_list!A:N,14,FALSE)</f>
        <v>AUG 23</v>
      </c>
    </row>
    <row r="317" spans="1:21" ht="16.5" customHeight="1">
      <c r="A317" s="159" t="s">
        <v>2749</v>
      </c>
      <c r="B317" s="114" t="str">
        <f>VLOOKUP(A317,'Data pick slip'!B:F,5,FALSE)</f>
        <v>KHJ-MC500-00</v>
      </c>
      <c r="F317" s="157" t="s">
        <v>1381</v>
      </c>
      <c r="H317" s="138">
        <v>1928</v>
      </c>
      <c r="I317" s="140" t="str">
        <f>VLOOKUP(H317,Stock_list!A:R,18,FALSE)</f>
        <v>方案集（End user:陆巡）</v>
      </c>
      <c r="J317" s="139" t="str">
        <f>VLOOKUP(H317,Stock_list!A:S,17,FALSE)</f>
        <v>C49SZX20230073MZ</v>
      </c>
      <c r="K317" s="51" t="str">
        <f>VLOOKUP(H317,Stock_list!A:T,16,FALSE)</f>
        <v>JPY</v>
      </c>
      <c r="L317" s="4">
        <v>45152</v>
      </c>
      <c r="M317" s="143">
        <v>1</v>
      </c>
      <c r="P317" s="4" t="str">
        <f>VLOOKUP(H317,Stock_list!A:Y,25,FALSE)</f>
        <v>Yes</v>
      </c>
      <c r="T317" s="144"/>
      <c r="U317" s="145" t="str">
        <f>VLOOKUP(H317,Stock_list!A:N,14,FALSE)</f>
        <v>AUG 23</v>
      </c>
    </row>
    <row r="318" spans="1:21" ht="16.5" customHeight="1">
      <c r="A318" s="159" t="s">
        <v>2750</v>
      </c>
      <c r="B318" s="114" t="str">
        <f>VLOOKUP(A318,'Data pick slip'!B:F,5,FALSE)</f>
        <v>KHJ-MC600-00</v>
      </c>
      <c r="F318" s="157" t="s">
        <v>1381</v>
      </c>
      <c r="H318" s="138">
        <v>1928</v>
      </c>
      <c r="I318" s="140" t="str">
        <f>VLOOKUP(H318,Stock_list!A:R,18,FALSE)</f>
        <v>方案集（End user:陆巡）</v>
      </c>
      <c r="J318" s="139" t="str">
        <f>VLOOKUP(H318,Stock_list!A:S,17,FALSE)</f>
        <v>C49SZX20230073MZ</v>
      </c>
      <c r="K318" s="51" t="str">
        <f>VLOOKUP(H318,Stock_list!A:T,16,FALSE)</f>
        <v>JPY</v>
      </c>
      <c r="L318" s="4">
        <v>45152</v>
      </c>
      <c r="M318" s="143">
        <v>2</v>
      </c>
      <c r="P318" s="4" t="str">
        <f>VLOOKUP(H318,Stock_list!A:Y,25,FALSE)</f>
        <v>Yes</v>
      </c>
      <c r="T318" s="144"/>
      <c r="U318" s="145" t="str">
        <f>VLOOKUP(H318,Stock_list!A:N,14,FALSE)</f>
        <v>AUG 23</v>
      </c>
    </row>
    <row r="319" spans="1:21" ht="21" customHeight="1">
      <c r="A319" s="159" t="s">
        <v>2744</v>
      </c>
      <c r="B319" s="114" t="str">
        <f>VLOOKUP(A319,'Data pick slip'!B:F,5,FALSE)</f>
        <v>KHJ-MC100-00</v>
      </c>
      <c r="F319" s="157" t="s">
        <v>1381</v>
      </c>
      <c r="I319" s="140" t="s">
        <v>3286</v>
      </c>
      <c r="J319" s="270" t="s">
        <v>4003</v>
      </c>
      <c r="K319" s="51" t="s">
        <v>3002</v>
      </c>
      <c r="L319" s="4">
        <v>45127</v>
      </c>
      <c r="M319" s="132">
        <v>500</v>
      </c>
      <c r="P319" s="4" t="s">
        <v>291</v>
      </c>
      <c r="Q319" s="143"/>
      <c r="T319" s="144"/>
      <c r="U319" s="145" t="e">
        <f>VLOOKUP(H319,Stock_list!A:N,14,FALSE)</f>
        <v>#N/A</v>
      </c>
    </row>
    <row r="320" spans="1:21" ht="16.5" customHeight="1">
      <c r="A320" s="159" t="s">
        <v>2744</v>
      </c>
      <c r="B320" s="114" t="str">
        <f>VLOOKUP(A320,'Data pick slip'!B:F,5,FALSE)</f>
        <v>KHJ-MC100-00</v>
      </c>
      <c r="F320" s="157" t="s">
        <v>2753</v>
      </c>
      <c r="I320" s="140" t="s">
        <v>3093</v>
      </c>
      <c r="J320" s="139" t="s">
        <v>4005</v>
      </c>
      <c r="K320" s="51" t="s">
        <v>1246</v>
      </c>
      <c r="L320" s="4">
        <v>45103</v>
      </c>
      <c r="M320" s="140">
        <v>1</v>
      </c>
      <c r="P320" s="4" t="s">
        <v>291</v>
      </c>
      <c r="Q320" s="143"/>
      <c r="T320" s="144"/>
      <c r="U320" s="145" t="e">
        <f>VLOOKUP(H320,Stock_list!A:N,14,FALSE)</f>
        <v>#N/A</v>
      </c>
    </row>
    <row r="321" spans="1:21" ht="16.5" customHeight="1">
      <c r="A321" s="159" t="s">
        <v>2744</v>
      </c>
      <c r="B321" s="114" t="str">
        <f>VLOOKUP(A321,'Data pick slip'!B:F,5,FALSE)</f>
        <v>KHJ-MC100-00</v>
      </c>
      <c r="F321" s="157" t="s">
        <v>1381</v>
      </c>
      <c r="I321" s="387" t="s">
        <v>3951</v>
      </c>
      <c r="J321" s="139" t="s">
        <v>4006</v>
      </c>
      <c r="K321" s="51" t="s">
        <v>1246</v>
      </c>
      <c r="L321" s="4">
        <v>45103</v>
      </c>
      <c r="M321" s="140">
        <v>109</v>
      </c>
      <c r="P321" s="4" t="s">
        <v>291</v>
      </c>
      <c r="Q321" s="143"/>
      <c r="T321" s="144"/>
      <c r="U321" s="145" t="e">
        <f>VLOOKUP(H321,Stock_list!A:N,14,FALSE)</f>
        <v>#N/A</v>
      </c>
    </row>
    <row r="322" spans="1:21" ht="16.5" customHeight="1">
      <c r="A322" s="159" t="s">
        <v>2747</v>
      </c>
      <c r="B322" s="114" t="str">
        <f>VLOOKUP(A322,'Data pick slip'!B:F,5,FALSE)</f>
        <v>KHJ-MC200-00</v>
      </c>
      <c r="F322" s="157" t="s">
        <v>1381</v>
      </c>
      <c r="I322" s="387" t="s">
        <v>3951</v>
      </c>
      <c r="J322" s="139" t="s">
        <v>4006</v>
      </c>
      <c r="K322" s="51" t="s">
        <v>1246</v>
      </c>
      <c r="L322" s="4">
        <v>45103</v>
      </c>
      <c r="M322" s="140">
        <v>14</v>
      </c>
      <c r="P322" s="4" t="s">
        <v>291</v>
      </c>
      <c r="Q322" s="143"/>
      <c r="T322" s="144"/>
      <c r="U322" s="145" t="e">
        <f>VLOOKUP(H322,Stock_list!A:N,14,FALSE)</f>
        <v>#N/A</v>
      </c>
    </row>
    <row r="323" spans="1:21" ht="16.5" customHeight="1">
      <c r="A323" s="159" t="s">
        <v>2748</v>
      </c>
      <c r="B323" s="114" t="str">
        <f>VLOOKUP(A323,'Data pick slip'!B:F,5,FALSE)</f>
        <v>KHJ-MC400-00</v>
      </c>
      <c r="F323" s="157" t="s">
        <v>1381</v>
      </c>
      <c r="I323" s="387" t="s">
        <v>3951</v>
      </c>
      <c r="J323" s="139" t="s">
        <v>4006</v>
      </c>
      <c r="K323" s="51" t="s">
        <v>1246</v>
      </c>
      <c r="L323" s="4">
        <v>45103</v>
      </c>
      <c r="M323" s="140">
        <v>7</v>
      </c>
      <c r="P323" s="4" t="s">
        <v>291</v>
      </c>
      <c r="Q323" s="143"/>
      <c r="T323" s="144"/>
      <c r="U323" s="145" t="e">
        <f>VLOOKUP(H323,Stock_list!A:N,14,FALSE)</f>
        <v>#N/A</v>
      </c>
    </row>
    <row r="324" spans="1:21" ht="16.5" customHeight="1">
      <c r="A324" s="159" t="s">
        <v>2749</v>
      </c>
      <c r="B324" s="114" t="str">
        <f>VLOOKUP(A324,'Data pick slip'!B:F,5,FALSE)</f>
        <v>KHJ-MC500-00</v>
      </c>
      <c r="F324" s="157" t="s">
        <v>1381</v>
      </c>
      <c r="I324" s="387" t="s">
        <v>3951</v>
      </c>
      <c r="J324" s="139" t="s">
        <v>4006</v>
      </c>
      <c r="K324" s="51" t="s">
        <v>1246</v>
      </c>
      <c r="L324" s="4">
        <v>45103</v>
      </c>
      <c r="M324" s="140">
        <v>3</v>
      </c>
      <c r="P324" s="4" t="s">
        <v>291</v>
      </c>
      <c r="Q324" s="143"/>
      <c r="T324" s="144"/>
      <c r="U324" s="145" t="e">
        <f>VLOOKUP(H324,Stock_list!A:N,14,FALSE)</f>
        <v>#N/A</v>
      </c>
    </row>
    <row r="325" spans="1:21" ht="16.5" customHeight="1">
      <c r="A325" s="159" t="s">
        <v>2755</v>
      </c>
      <c r="B325" s="114" t="str">
        <f>VLOOKUP(A325,'Data pick slip'!B:F,5,FALSE)</f>
        <v>KLJ-MC100-00</v>
      </c>
      <c r="F325" s="157" t="s">
        <v>1381</v>
      </c>
      <c r="I325" s="387" t="s">
        <v>3951</v>
      </c>
      <c r="J325" s="139" t="s">
        <v>4006</v>
      </c>
      <c r="K325" s="51" t="s">
        <v>1246</v>
      </c>
      <c r="L325" s="4">
        <v>45103</v>
      </c>
      <c r="M325" s="140">
        <v>1</v>
      </c>
      <c r="P325" s="4" t="s">
        <v>291</v>
      </c>
      <c r="Q325" s="143"/>
      <c r="T325" s="144"/>
      <c r="U325" s="145" t="e">
        <f>VLOOKUP(H325,Stock_list!A:N,14,FALSE)</f>
        <v>#N/A</v>
      </c>
    </row>
    <row r="326" spans="1:21" ht="16.5" customHeight="1">
      <c r="A326" s="159" t="s">
        <v>2744</v>
      </c>
      <c r="B326" s="114" t="str">
        <f>VLOOKUP(A326,'Data pick slip'!B:F,5,FALSE)</f>
        <v>KHJ-MC100-00</v>
      </c>
      <c r="F326" s="157" t="s">
        <v>2753</v>
      </c>
      <c r="H326" s="138" t="s">
        <v>4071</v>
      </c>
      <c r="I326" s="140">
        <v>66</v>
      </c>
      <c r="J326" s="267" t="s">
        <v>4024</v>
      </c>
      <c r="K326" s="51" t="s">
        <v>1246</v>
      </c>
      <c r="L326" s="4">
        <v>45113</v>
      </c>
      <c r="M326" s="140">
        <v>5</v>
      </c>
      <c r="P326" s="4" t="s">
        <v>4082</v>
      </c>
      <c r="Q326" s="143"/>
      <c r="T326" s="144"/>
      <c r="U326" s="145" t="e">
        <f>VLOOKUP(H326,Stock_list!A:N,14,FALSE)</f>
        <v>#N/A</v>
      </c>
    </row>
    <row r="327" spans="1:21" ht="16.5" customHeight="1">
      <c r="A327" s="159" t="s">
        <v>2744</v>
      </c>
      <c r="B327" s="114" t="str">
        <f>VLOOKUP(A327,'Data pick slip'!B:F,5,FALSE)</f>
        <v>KHJ-MC100-00</v>
      </c>
      <c r="F327" s="157" t="s">
        <v>2753</v>
      </c>
      <c r="H327" s="138">
        <v>1933</v>
      </c>
      <c r="I327" s="140" t="str">
        <f>VLOOKUP(H327,Stock_list!A:R,18,FALSE)</f>
        <v>兴原星</v>
      </c>
      <c r="J327" s="139" t="str">
        <f>VLOOKUP(H327,Stock_list!A:S,17,FALSE)</f>
        <v>C49SZX20230083LC</v>
      </c>
      <c r="K327" s="51" t="str">
        <f>VLOOKUP(H327,Stock_list!A:T,16,FALSE)</f>
        <v>RMB</v>
      </c>
      <c r="L327" s="4">
        <v>45152</v>
      </c>
      <c r="M327" s="140">
        <v>30</v>
      </c>
      <c r="P327" s="4" t="str">
        <f>VLOOKUP(H327,Stock_list!A:Y,25,FALSE)</f>
        <v>Yes</v>
      </c>
      <c r="Q327" s="143"/>
      <c r="T327" s="144"/>
      <c r="U327" s="145" t="str">
        <f>VLOOKUP(H327,Stock_list!A:N,14,FALSE)</f>
        <v>AUG 23</v>
      </c>
    </row>
    <row r="328" spans="1:21" ht="16.5" customHeight="1">
      <c r="A328" s="159" t="s">
        <v>2747</v>
      </c>
      <c r="B328" s="114" t="str">
        <f>VLOOKUP(A328,'Data pick slip'!B:F,5,FALSE)</f>
        <v>KHJ-MC200-00</v>
      </c>
      <c r="F328" s="157" t="s">
        <v>2753</v>
      </c>
      <c r="H328" s="138">
        <v>1933</v>
      </c>
      <c r="I328" s="140" t="str">
        <f>VLOOKUP(H328,Stock_list!A:R,18,FALSE)</f>
        <v>兴原星</v>
      </c>
      <c r="J328" s="139" t="str">
        <f>VLOOKUP(H328,Stock_list!A:S,17,FALSE)</f>
        <v>C49SZX20230083LC</v>
      </c>
      <c r="K328" s="51" t="str">
        <f>VLOOKUP(H328,Stock_list!A:T,16,FALSE)</f>
        <v>RMB</v>
      </c>
      <c r="L328" s="4">
        <v>45152</v>
      </c>
      <c r="M328" s="140">
        <v>3</v>
      </c>
      <c r="P328" s="4" t="str">
        <f>VLOOKUP(H328,Stock_list!A:Y,25,FALSE)</f>
        <v>Yes</v>
      </c>
      <c r="Q328" s="143"/>
      <c r="T328" s="144"/>
      <c r="U328" s="145" t="str">
        <f>VLOOKUP(H328,Stock_list!A:N,14,FALSE)</f>
        <v>AUG 23</v>
      </c>
    </row>
    <row r="329" spans="1:21" ht="16.5" customHeight="1">
      <c r="A329" s="159" t="s">
        <v>2744</v>
      </c>
      <c r="B329" s="114" t="str">
        <f>VLOOKUP(A329,'Data pick slip'!B:F,5,FALSE)</f>
        <v>KHJ-MC100-00</v>
      </c>
      <c r="F329" s="157" t="s">
        <v>2753</v>
      </c>
      <c r="H329" s="138">
        <v>1934</v>
      </c>
      <c r="I329" s="140" t="str">
        <f>VLOOKUP(H329,Stock_list!A:R,18,FALSE)</f>
        <v>铣米</v>
      </c>
      <c r="J329" s="139" t="str">
        <f>VLOOKUP(H329,Stock_list!A:S,17,FALSE)</f>
        <v>C49SZX20230086SS</v>
      </c>
      <c r="K329" s="51" t="str">
        <f>VLOOKUP(H329,Stock_list!A:T,16,FALSE)</f>
        <v>RMB</v>
      </c>
      <c r="L329" s="4">
        <v>45148</v>
      </c>
      <c r="M329" s="140">
        <v>2</v>
      </c>
      <c r="N329" s="143"/>
      <c r="P329" s="4" t="str">
        <f>VLOOKUP(H329,Stock_list!A:Y,25,FALSE)</f>
        <v>Yes</v>
      </c>
      <c r="T329" s="144"/>
      <c r="U329" s="145" t="str">
        <f>VLOOKUP(H329,Stock_list!A:N,14,FALSE)</f>
        <v>AUG 23</v>
      </c>
    </row>
    <row r="330" spans="1:21" ht="23.25" customHeight="1">
      <c r="A330" s="159" t="s">
        <v>2744</v>
      </c>
      <c r="B330" s="114" t="str">
        <f>VLOOKUP(A330,'Data pick slip'!B:F,5,FALSE)</f>
        <v>KHJ-MC100-00</v>
      </c>
      <c r="F330" s="157" t="s">
        <v>2753</v>
      </c>
      <c r="I330" s="140" t="s">
        <v>3290</v>
      </c>
      <c r="J330" s="267" t="s">
        <v>4030</v>
      </c>
      <c r="K330" s="51" t="s">
        <v>1246</v>
      </c>
      <c r="L330" s="4">
        <v>45156</v>
      </c>
      <c r="M330" s="132">
        <v>110</v>
      </c>
      <c r="P330" s="4" t="s">
        <v>291</v>
      </c>
      <c r="Q330" s="143"/>
      <c r="T330" s="144"/>
      <c r="U330" s="145" t="e">
        <f>VLOOKUP(H330,Stock_list!A:N,14,FALSE)</f>
        <v>#N/A</v>
      </c>
    </row>
    <row r="331" spans="1:21" ht="23.25" customHeight="1">
      <c r="A331" s="159" t="s">
        <v>2747</v>
      </c>
      <c r="B331" s="114" t="str">
        <f>VLOOKUP(A331,'Data pick slip'!B:F,5,FALSE)</f>
        <v>KHJ-MC200-00</v>
      </c>
      <c r="F331" s="157" t="s">
        <v>2753</v>
      </c>
      <c r="I331" s="140" t="s">
        <v>3290</v>
      </c>
      <c r="J331" s="267" t="s">
        <v>4030</v>
      </c>
      <c r="K331" s="51" t="s">
        <v>1246</v>
      </c>
      <c r="L331" s="4">
        <v>45156</v>
      </c>
      <c r="M331" s="132">
        <v>25</v>
      </c>
      <c r="P331" s="4" t="s">
        <v>291</v>
      </c>
      <c r="Q331" s="143"/>
      <c r="T331" s="144"/>
      <c r="U331" s="145" t="e">
        <f>VLOOKUP(H331,Stock_list!A:N,14,FALSE)</f>
        <v>#N/A</v>
      </c>
    </row>
    <row r="332" spans="1:21" ht="23.25" customHeight="1">
      <c r="A332" s="159" t="s">
        <v>2749</v>
      </c>
      <c r="B332" s="114" t="str">
        <f>VLOOKUP(A332,'Data pick slip'!B:F,5,FALSE)</f>
        <v>KHJ-MC500-00</v>
      </c>
      <c r="F332" s="157" t="s">
        <v>2753</v>
      </c>
      <c r="I332" s="140" t="s">
        <v>3290</v>
      </c>
      <c r="J332" s="267" t="s">
        <v>4030</v>
      </c>
      <c r="K332" s="51" t="s">
        <v>1246</v>
      </c>
      <c r="L332" s="4">
        <v>45156</v>
      </c>
      <c r="M332" s="132">
        <v>2</v>
      </c>
      <c r="P332" s="4" t="s">
        <v>291</v>
      </c>
      <c r="Q332" s="143"/>
      <c r="T332" s="144"/>
      <c r="U332" s="145" t="e">
        <f>VLOOKUP(H332,Stock_list!A:N,14,FALSE)</f>
        <v>#N/A</v>
      </c>
    </row>
    <row r="333" spans="1:21" ht="23.25" customHeight="1">
      <c r="A333" s="159" t="s">
        <v>2750</v>
      </c>
      <c r="B333" s="114" t="str">
        <f>VLOOKUP(A333,'Data pick slip'!B:F,5,FALSE)</f>
        <v>KHJ-MC600-00</v>
      </c>
      <c r="F333" s="157" t="s">
        <v>2753</v>
      </c>
      <c r="I333" s="140" t="s">
        <v>3290</v>
      </c>
      <c r="J333" s="267" t="s">
        <v>4030</v>
      </c>
      <c r="K333" s="51" t="s">
        <v>1246</v>
      </c>
      <c r="L333" s="4">
        <v>45156</v>
      </c>
      <c r="M333" s="132">
        <v>2</v>
      </c>
      <c r="P333" s="4" t="s">
        <v>291</v>
      </c>
      <c r="Q333" s="143"/>
      <c r="T333" s="144"/>
      <c r="U333" s="145" t="e">
        <f>VLOOKUP(H333,Stock_list!A:N,14,FALSE)</f>
        <v>#N/A</v>
      </c>
    </row>
    <row r="334" spans="1:21" ht="23.25" customHeight="1">
      <c r="A334" s="159" t="s">
        <v>2755</v>
      </c>
      <c r="B334" s="114" t="str">
        <f>VLOOKUP(A334,'Data pick slip'!B:F,5,FALSE)</f>
        <v>KLJ-MC100-00</v>
      </c>
      <c r="F334" s="157" t="s">
        <v>2753</v>
      </c>
      <c r="I334" s="140" t="s">
        <v>3286</v>
      </c>
      <c r="J334" s="267" t="s">
        <v>4031</v>
      </c>
      <c r="K334" s="51" t="s">
        <v>1246</v>
      </c>
      <c r="L334" s="4">
        <v>45177</v>
      </c>
      <c r="M334" s="140">
        <v>40</v>
      </c>
      <c r="P334" s="4" t="s">
        <v>291</v>
      </c>
      <c r="Q334" s="143"/>
      <c r="T334" s="144"/>
      <c r="U334" s="145" t="e">
        <f>VLOOKUP(H334,Stock_list!A:N,14,FALSE)</f>
        <v>#N/A</v>
      </c>
    </row>
    <row r="335" spans="1:21" ht="16.5" customHeight="1">
      <c r="A335" s="159" t="s">
        <v>2760</v>
      </c>
      <c r="B335" s="114" t="str">
        <f>VLOOKUP(A335,'Data pick slip'!B:F,5,FALSE)</f>
        <v>KLJ-MC700-00</v>
      </c>
      <c r="F335" s="157" t="s">
        <v>2753</v>
      </c>
      <c r="I335" s="140" t="s">
        <v>3286</v>
      </c>
      <c r="J335" s="269" t="s">
        <v>4032</v>
      </c>
      <c r="K335" s="51" t="s">
        <v>1246</v>
      </c>
      <c r="L335" s="4">
        <v>45149</v>
      </c>
      <c r="M335" s="140">
        <v>1</v>
      </c>
      <c r="P335" s="4" t="s">
        <v>291</v>
      </c>
      <c r="Q335" s="143"/>
      <c r="T335" s="144"/>
      <c r="U335" s="145" t="e">
        <f>VLOOKUP(H335,Stock_list!A:N,14,FALSE)</f>
        <v>#N/A</v>
      </c>
    </row>
    <row r="336" spans="1:21" ht="16.5" customHeight="1">
      <c r="A336" s="159" t="s">
        <v>2744</v>
      </c>
      <c r="B336" s="114" t="str">
        <f>VLOOKUP(A336,'Data pick slip'!B:F,5,FALSE)</f>
        <v>KHJ-MC100-00</v>
      </c>
      <c r="F336" s="157" t="s">
        <v>2753</v>
      </c>
      <c r="H336" s="138">
        <v>1938</v>
      </c>
      <c r="I336" s="140" t="str">
        <f>VLOOKUP(H336,Stock_list!A:R,18,FALSE)</f>
        <v>万赢丰</v>
      </c>
      <c r="J336" s="139" t="str">
        <f>VLOOKUP(H336,Stock_list!A:S,17,FALSE)</f>
        <v>C49SZX20230091SX</v>
      </c>
      <c r="K336" s="51" t="str">
        <f>VLOOKUP(H336,Stock_list!A:T,16,FALSE)</f>
        <v>RMB</v>
      </c>
      <c r="L336" s="4">
        <v>45250</v>
      </c>
      <c r="M336" s="140">
        <v>34</v>
      </c>
      <c r="P336" s="4" t="str">
        <f>VLOOKUP(H336,Stock_list!A:Y,25,FALSE)</f>
        <v>Yes</v>
      </c>
      <c r="Q336" s="143"/>
      <c r="T336" s="144"/>
      <c r="U336" s="145" t="str">
        <f>VLOOKUP(H336,Stock_list!A:N,14,FALSE)</f>
        <v>NOV 23</v>
      </c>
    </row>
    <row r="337" spans="1:21" ht="16.5" customHeight="1">
      <c r="A337" s="159" t="s">
        <v>2747</v>
      </c>
      <c r="B337" s="114" t="str">
        <f>VLOOKUP(A337,'Data pick slip'!B:F,5,FALSE)</f>
        <v>KHJ-MC200-00</v>
      </c>
      <c r="F337" s="157" t="s">
        <v>2753</v>
      </c>
      <c r="H337" s="138">
        <v>1938</v>
      </c>
      <c r="I337" s="140" t="str">
        <f>VLOOKUP(H337,Stock_list!A:R,18,FALSE)</f>
        <v>万赢丰</v>
      </c>
      <c r="J337" s="139" t="str">
        <f>VLOOKUP(H337,Stock_list!A:S,17,FALSE)</f>
        <v>C49SZX20230091SX</v>
      </c>
      <c r="K337" s="51" t="str">
        <f>VLOOKUP(H337,Stock_list!A:T,16,FALSE)</f>
        <v>RMB</v>
      </c>
      <c r="L337" s="4">
        <v>45250</v>
      </c>
      <c r="M337" s="140">
        <v>10</v>
      </c>
      <c r="P337" s="4" t="str">
        <f>VLOOKUP(H337,Stock_list!A:Y,25,FALSE)</f>
        <v>Yes</v>
      </c>
      <c r="Q337" s="143"/>
      <c r="T337" s="144"/>
      <c r="U337" s="145" t="str">
        <f>VLOOKUP(H337,Stock_list!A:N,14,FALSE)</f>
        <v>NOV 23</v>
      </c>
    </row>
    <row r="338" spans="1:21" ht="16.5" customHeight="1">
      <c r="A338" s="159" t="s">
        <v>2744</v>
      </c>
      <c r="B338" s="114" t="str">
        <f>VLOOKUP(A338,'Data pick slip'!B:F,5,FALSE)</f>
        <v>KHJ-MC100-00</v>
      </c>
      <c r="F338" s="157" t="s">
        <v>1381</v>
      </c>
      <c r="H338" s="138">
        <v>1940</v>
      </c>
      <c r="I338" s="140" t="str">
        <f>VLOOKUP(H338,Stock_list!A:R,18,FALSE)</f>
        <v>领德创</v>
      </c>
      <c r="J338" s="139" t="str">
        <f>VLOOKUP(H338,Stock_list!A:S,17,FALSE)</f>
        <v>C49SZX20230089EC</v>
      </c>
      <c r="K338" s="51" t="str">
        <f>VLOOKUP(H338,Stock_list!A:T,16,FALSE)</f>
        <v>JPY</v>
      </c>
      <c r="L338" s="4">
        <v>45247</v>
      </c>
      <c r="M338" s="132">
        <v>100</v>
      </c>
      <c r="P338" s="4" t="str">
        <f>VLOOKUP(H338,Stock_list!A:Y,25,FALSE)</f>
        <v>Yes</v>
      </c>
      <c r="Q338" s="143"/>
      <c r="T338" s="144"/>
      <c r="U338" s="145" t="str">
        <f>VLOOKUP(H338,Stock_list!A:N,14,FALSE)</f>
        <v>NOV 23</v>
      </c>
    </row>
    <row r="339" spans="1:21" ht="16.5" customHeight="1">
      <c r="A339" s="159" t="s">
        <v>2747</v>
      </c>
      <c r="B339" s="114" t="str">
        <f>VLOOKUP(A339,'Data pick slip'!B:F,5,FALSE)</f>
        <v>KHJ-MC200-00</v>
      </c>
      <c r="F339" s="157" t="s">
        <v>1381</v>
      </c>
      <c r="H339" s="138">
        <v>1940</v>
      </c>
      <c r="I339" s="140" t="str">
        <f>VLOOKUP(H339,Stock_list!A:R,18,FALSE)</f>
        <v>领德创</v>
      </c>
      <c r="J339" s="139" t="str">
        <f>VLOOKUP(H339,Stock_list!A:S,17,FALSE)</f>
        <v>C49SZX20230089EC</v>
      </c>
      <c r="K339" s="51" t="str">
        <f>VLOOKUP(H339,Stock_list!A:T,16,FALSE)</f>
        <v>JPY</v>
      </c>
      <c r="L339" s="4">
        <v>45247</v>
      </c>
      <c r="M339" s="132">
        <v>10</v>
      </c>
      <c r="P339" s="4" t="str">
        <f>VLOOKUP(H339,Stock_list!A:Y,25,FALSE)</f>
        <v>Yes</v>
      </c>
      <c r="Q339" s="143"/>
      <c r="T339" s="144"/>
      <c r="U339" s="145" t="str">
        <f>VLOOKUP(H339,Stock_list!A:N,14,FALSE)</f>
        <v>NOV 23</v>
      </c>
    </row>
    <row r="340" spans="1:21" ht="16.5" customHeight="1">
      <c r="A340" s="159" t="s">
        <v>2748</v>
      </c>
      <c r="B340" s="114" t="str">
        <f>VLOOKUP(A340,'Data pick slip'!B:F,5,FALSE)</f>
        <v>KHJ-MC400-00</v>
      </c>
      <c r="F340" s="157" t="s">
        <v>2753</v>
      </c>
      <c r="H340" s="138">
        <v>1940</v>
      </c>
      <c r="I340" s="140" t="str">
        <f>VLOOKUP(H340,Stock_list!A:R,18,FALSE)</f>
        <v>领德创</v>
      </c>
      <c r="J340" s="139" t="str">
        <f>VLOOKUP(H340,Stock_list!A:S,17,FALSE)</f>
        <v>C49SZX20230089EC</v>
      </c>
      <c r="K340" s="51" t="str">
        <f>VLOOKUP(H340,Stock_list!A:T,16,FALSE)</f>
        <v>JPY</v>
      </c>
      <c r="L340" s="4">
        <v>45247</v>
      </c>
      <c r="M340" s="132">
        <v>3</v>
      </c>
      <c r="P340" s="4" t="str">
        <f>VLOOKUP(H340,Stock_list!A:Y,25,FALSE)</f>
        <v>Yes</v>
      </c>
      <c r="Q340" s="143"/>
      <c r="T340" s="144"/>
      <c r="U340" s="145" t="str">
        <f>VLOOKUP(H340,Stock_list!A:N,14,FALSE)</f>
        <v>NOV 23</v>
      </c>
    </row>
    <row r="341" spans="1:21" ht="16.5" customHeight="1">
      <c r="A341" s="159" t="s">
        <v>2749</v>
      </c>
      <c r="B341" s="114" t="str">
        <f>VLOOKUP(A341,'Data pick slip'!B:F,5,FALSE)</f>
        <v>KHJ-MC500-00</v>
      </c>
      <c r="F341" s="157" t="s">
        <v>1381</v>
      </c>
      <c r="H341" s="138">
        <v>1940</v>
      </c>
      <c r="I341" s="140" t="str">
        <f>VLOOKUP(H341,Stock_list!A:R,18,FALSE)</f>
        <v>领德创</v>
      </c>
      <c r="J341" s="139" t="str">
        <f>VLOOKUP(H341,Stock_list!A:S,17,FALSE)</f>
        <v>C49SZX20230089EC</v>
      </c>
      <c r="K341" s="51" t="str">
        <f>VLOOKUP(H341,Stock_list!A:T,16,FALSE)</f>
        <v>JPY</v>
      </c>
      <c r="L341" s="4">
        <v>45247</v>
      </c>
      <c r="M341" s="132">
        <v>2</v>
      </c>
      <c r="P341" s="4" t="str">
        <f>VLOOKUP(H341,Stock_list!A:Y,25,FALSE)</f>
        <v>Yes</v>
      </c>
      <c r="Q341" s="143"/>
      <c r="T341" s="144"/>
      <c r="U341" s="145" t="str">
        <f>VLOOKUP(H341,Stock_list!A:N,14,FALSE)</f>
        <v>NOV 23</v>
      </c>
    </row>
    <row r="342" spans="1:21" ht="16.5" customHeight="1">
      <c r="A342" s="159" t="s">
        <v>2744</v>
      </c>
      <c r="B342" s="114" t="str">
        <f>VLOOKUP(A342,'Data pick slip'!B:F,5,FALSE)</f>
        <v>KHJ-MC100-00</v>
      </c>
      <c r="F342" s="157" t="s">
        <v>1381</v>
      </c>
      <c r="I342" s="387" t="s">
        <v>3951</v>
      </c>
      <c r="J342" s="139" t="s">
        <v>4033</v>
      </c>
      <c r="K342" s="51" t="s">
        <v>3002</v>
      </c>
      <c r="L342" s="4">
        <v>45132</v>
      </c>
      <c r="M342" s="140">
        <v>5</v>
      </c>
      <c r="P342" s="4" t="s">
        <v>291</v>
      </c>
      <c r="Q342" s="143"/>
      <c r="T342" s="144"/>
      <c r="U342" s="145" t="e">
        <f>VLOOKUP(H342,Stock_list!A:N,14,FALSE)</f>
        <v>#N/A</v>
      </c>
    </row>
    <row r="343" spans="1:21" ht="16.5" customHeight="1">
      <c r="A343" s="159" t="s">
        <v>2744</v>
      </c>
      <c r="B343" s="114" t="str">
        <f>VLOOKUP(A343,'Data pick slip'!B:F,5,FALSE)</f>
        <v>KHJ-MC100-00</v>
      </c>
      <c r="F343" s="157" t="s">
        <v>2753</v>
      </c>
      <c r="H343" s="138">
        <v>1946</v>
      </c>
      <c r="I343" s="140" t="str">
        <f>VLOOKUP(H343,Stock_list!A:R,18,FALSE)</f>
        <v>益田科技(End uer:泓裕）</v>
      </c>
      <c r="J343" s="139" t="str">
        <f>VLOOKUP(H343,Stock_list!A:S,17,FALSE)</f>
        <v>C49SZX20230093SX</v>
      </c>
      <c r="K343" s="51" t="str">
        <f>VLOOKUP(H343,Stock_list!A:T,16,FALSE)</f>
        <v>RMB</v>
      </c>
      <c r="L343" s="4">
        <v>45190</v>
      </c>
      <c r="M343" s="140">
        <v>210</v>
      </c>
      <c r="N343" s="143"/>
      <c r="P343" s="4" t="str">
        <f>VLOOKUP(H343,Stock_list!A:Y,25,FALSE)</f>
        <v>Yes</v>
      </c>
      <c r="T343" s="144"/>
      <c r="U343" s="145" t="str">
        <f>VLOOKUP(H343,Stock_list!A:N,14,FALSE)</f>
        <v>SEP 23</v>
      </c>
    </row>
    <row r="344" spans="1:21" ht="16.5" customHeight="1">
      <c r="A344" s="159" t="s">
        <v>2747</v>
      </c>
      <c r="B344" s="114" t="str">
        <f>VLOOKUP(A344,'Data pick slip'!B:F,5,FALSE)</f>
        <v>KHJ-MC200-00</v>
      </c>
      <c r="F344" s="157" t="s">
        <v>2753</v>
      </c>
      <c r="H344" s="138">
        <v>1946</v>
      </c>
      <c r="I344" s="140" t="str">
        <f>VLOOKUP(H344,Stock_list!A:R,18,FALSE)</f>
        <v>益田科技(End uer:泓裕）</v>
      </c>
      <c r="J344" s="139" t="str">
        <f>VLOOKUP(H344,Stock_list!A:S,17,FALSE)</f>
        <v>C49SZX20230093SX</v>
      </c>
      <c r="K344" s="51" t="str">
        <f>VLOOKUP(H344,Stock_list!A:T,16,FALSE)</f>
        <v>RMB</v>
      </c>
      <c r="L344" s="4">
        <v>45190</v>
      </c>
      <c r="M344" s="140">
        <v>10</v>
      </c>
      <c r="N344" s="143"/>
      <c r="P344" s="4" t="str">
        <f>VLOOKUP(H344,Stock_list!A:Y,25,FALSE)</f>
        <v>Yes</v>
      </c>
      <c r="T344" s="144"/>
      <c r="U344" s="145" t="str">
        <f>VLOOKUP(H344,Stock_list!A:N,14,FALSE)</f>
        <v>SEP 23</v>
      </c>
    </row>
    <row r="345" spans="1:21" ht="16.5" customHeight="1">
      <c r="A345" s="159" t="s">
        <v>2748</v>
      </c>
      <c r="B345" s="114" t="str">
        <f>VLOOKUP(A345,'Data pick slip'!B:F,5,FALSE)</f>
        <v>KHJ-MC400-00</v>
      </c>
      <c r="F345" s="157" t="s">
        <v>2753</v>
      </c>
      <c r="H345" s="138">
        <v>1946</v>
      </c>
      <c r="I345" s="140" t="str">
        <f>VLOOKUP(H345,Stock_list!A:R,18,FALSE)</f>
        <v>益田科技(End uer:泓裕）</v>
      </c>
      <c r="J345" s="139" t="str">
        <f>VLOOKUP(H345,Stock_list!A:S,17,FALSE)</f>
        <v>C49SZX20230093SX</v>
      </c>
      <c r="K345" s="51" t="str">
        <f>VLOOKUP(H345,Stock_list!A:T,16,FALSE)</f>
        <v>RMB</v>
      </c>
      <c r="L345" s="4">
        <v>45190</v>
      </c>
      <c r="M345" s="140">
        <v>6</v>
      </c>
      <c r="N345" s="143"/>
      <c r="P345" s="4" t="str">
        <f>VLOOKUP(H345,Stock_list!A:Y,25,FALSE)</f>
        <v>Yes</v>
      </c>
      <c r="T345" s="144"/>
      <c r="U345" s="145" t="str">
        <f>VLOOKUP(H345,Stock_list!A:N,14,FALSE)</f>
        <v>SEP 23</v>
      </c>
    </row>
    <row r="346" spans="1:21" ht="16.5" customHeight="1">
      <c r="A346" s="159" t="s">
        <v>2749</v>
      </c>
      <c r="B346" s="114" t="str">
        <f>VLOOKUP(A346,'Data pick slip'!B:F,5,FALSE)</f>
        <v>KHJ-MC500-00</v>
      </c>
      <c r="F346" s="157" t="s">
        <v>2753</v>
      </c>
      <c r="H346" s="138">
        <v>1946</v>
      </c>
      <c r="I346" s="140" t="str">
        <f>VLOOKUP(H346,Stock_list!A:R,18,FALSE)</f>
        <v>益田科技(End uer:泓裕）</v>
      </c>
      <c r="J346" s="139" t="str">
        <f>VLOOKUP(H346,Stock_list!A:S,17,FALSE)</f>
        <v>C49SZX20230093SX</v>
      </c>
      <c r="K346" s="51" t="str">
        <f>VLOOKUP(H346,Stock_list!A:T,16,FALSE)</f>
        <v>RMB</v>
      </c>
      <c r="L346" s="4">
        <v>45190</v>
      </c>
      <c r="M346" s="140">
        <v>2</v>
      </c>
      <c r="N346" s="143"/>
      <c r="P346" s="4" t="str">
        <f>VLOOKUP(H346,Stock_list!A:Y,25,FALSE)</f>
        <v>Yes</v>
      </c>
      <c r="T346" s="144"/>
      <c r="U346" s="145" t="str">
        <f>VLOOKUP(H346,Stock_list!A:N,14,FALSE)</f>
        <v>SEP 23</v>
      </c>
    </row>
    <row r="347" spans="1:21" ht="16.5" customHeight="1">
      <c r="A347" s="159" t="s">
        <v>2744</v>
      </c>
      <c r="B347" s="114" t="str">
        <f>VLOOKUP(A347,'Data pick slip'!B:F,5,FALSE)</f>
        <v>KHJ-MC100-00</v>
      </c>
      <c r="F347" s="157" t="s">
        <v>2753</v>
      </c>
      <c r="H347" s="138">
        <v>1954</v>
      </c>
      <c r="I347" s="140" t="str">
        <f>VLOOKUP(H347,Stock_list!A:R,18,FALSE)</f>
        <v>莱帝亚</v>
      </c>
      <c r="J347" s="139" t="str">
        <f>VLOOKUP(H347,Stock_list!A:S,17,FALSE)</f>
        <v>LDY-2023071801</v>
      </c>
      <c r="K347" s="51" t="str">
        <f>VLOOKUP(H347,Stock_list!A:T,16,FALSE)</f>
        <v>RMB</v>
      </c>
      <c r="L347" s="4">
        <v>45168</v>
      </c>
      <c r="M347" s="143">
        <v>40</v>
      </c>
      <c r="P347" s="4" t="str">
        <f>VLOOKUP(H347,Stock_list!A:Y,25,FALSE)</f>
        <v>Yes</v>
      </c>
      <c r="T347" s="144"/>
      <c r="U347" s="145" t="str">
        <f>VLOOKUP(H347,Stock_list!A:N,14,FALSE)</f>
        <v>AUG 23</v>
      </c>
    </row>
    <row r="348" spans="1:21" ht="16.5" customHeight="1">
      <c r="A348" s="159" t="s">
        <v>2747</v>
      </c>
      <c r="B348" s="114" t="str">
        <f>VLOOKUP(A348,'Data pick slip'!B:F,5,FALSE)</f>
        <v>KHJ-MC200-00</v>
      </c>
      <c r="F348" s="157" t="s">
        <v>2753</v>
      </c>
      <c r="H348" s="138">
        <v>1954</v>
      </c>
      <c r="I348" s="140" t="str">
        <f>VLOOKUP(H348,Stock_list!A:R,18,FALSE)</f>
        <v>莱帝亚</v>
      </c>
      <c r="J348" s="139" t="str">
        <f>VLOOKUP(H348,Stock_list!A:S,17,FALSE)</f>
        <v>LDY-2023071801</v>
      </c>
      <c r="K348" s="51" t="str">
        <f>VLOOKUP(H348,Stock_list!A:T,16,FALSE)</f>
        <v>RMB</v>
      </c>
      <c r="L348" s="4">
        <v>45168</v>
      </c>
      <c r="M348" s="143">
        <v>10</v>
      </c>
      <c r="P348" s="4" t="str">
        <f>VLOOKUP(H348,Stock_list!A:Y,25,FALSE)</f>
        <v>Yes</v>
      </c>
      <c r="T348" s="144"/>
      <c r="U348" s="145" t="str">
        <f>VLOOKUP(H348,Stock_list!A:N,14,FALSE)</f>
        <v>AUG 23</v>
      </c>
    </row>
    <row r="349" spans="1:21" ht="16.5" customHeight="1">
      <c r="A349" s="159" t="s">
        <v>2748</v>
      </c>
      <c r="B349" s="114" t="str">
        <f>VLOOKUP(A349,'Data pick slip'!B:F,5,FALSE)</f>
        <v>KHJ-MC400-00</v>
      </c>
      <c r="F349" s="157" t="s">
        <v>2753</v>
      </c>
      <c r="H349" s="138">
        <v>1954</v>
      </c>
      <c r="I349" s="140" t="str">
        <f>VLOOKUP(H349,Stock_list!A:R,18,FALSE)</f>
        <v>莱帝亚</v>
      </c>
      <c r="J349" s="139" t="str">
        <f>VLOOKUP(H349,Stock_list!A:S,17,FALSE)</f>
        <v>LDY-2023071801</v>
      </c>
      <c r="K349" s="51" t="str">
        <f>VLOOKUP(H349,Stock_list!A:T,16,FALSE)</f>
        <v>RMB</v>
      </c>
      <c r="L349" s="4">
        <v>45168</v>
      </c>
      <c r="M349" s="143">
        <v>3</v>
      </c>
      <c r="P349" s="4" t="str">
        <f>VLOOKUP(H349,Stock_list!A:Y,25,FALSE)</f>
        <v>Yes</v>
      </c>
      <c r="T349" s="144"/>
      <c r="U349" s="145" t="str">
        <f>VLOOKUP(H349,Stock_list!A:N,14,FALSE)</f>
        <v>AUG 23</v>
      </c>
    </row>
    <row r="350" spans="1:21" ht="16.5" customHeight="1">
      <c r="A350" s="159" t="s">
        <v>2744</v>
      </c>
      <c r="B350" s="114" t="str">
        <f>VLOOKUP(A350,'Data pick slip'!B:F,5,FALSE)</f>
        <v>KHJ-MC100-00</v>
      </c>
      <c r="F350" s="157" t="s">
        <v>1381</v>
      </c>
      <c r="I350" s="140" t="s">
        <v>4035</v>
      </c>
      <c r="J350" s="139" t="s">
        <v>4036</v>
      </c>
      <c r="K350" s="51" t="s">
        <v>1246</v>
      </c>
      <c r="L350" s="4">
        <v>45138</v>
      </c>
      <c r="M350" s="140">
        <v>110</v>
      </c>
      <c r="P350" s="4" t="s">
        <v>291</v>
      </c>
      <c r="Q350" s="143"/>
      <c r="T350" s="144"/>
      <c r="U350" s="145" t="e">
        <f>VLOOKUP(H350,Stock_list!A:N,14,FALSE)</f>
        <v>#N/A</v>
      </c>
    </row>
    <row r="351" spans="1:21" ht="16.5" customHeight="1">
      <c r="A351" s="159" t="s">
        <v>2747</v>
      </c>
      <c r="B351" s="114" t="str">
        <f>VLOOKUP(A351,'Data pick slip'!B:F,5,FALSE)</f>
        <v>KHJ-MC200-00</v>
      </c>
      <c r="F351" s="157" t="s">
        <v>1381</v>
      </c>
      <c r="I351" s="140" t="s">
        <v>4035</v>
      </c>
      <c r="J351" s="139" t="s">
        <v>4036</v>
      </c>
      <c r="K351" s="51" t="s">
        <v>1246</v>
      </c>
      <c r="L351" s="4">
        <v>45138</v>
      </c>
      <c r="M351" s="140">
        <v>25</v>
      </c>
      <c r="P351" s="4" t="s">
        <v>291</v>
      </c>
      <c r="Q351" s="143"/>
      <c r="T351" s="144"/>
      <c r="U351" s="145" t="e">
        <f>VLOOKUP(H351,Stock_list!A:N,14,FALSE)</f>
        <v>#N/A</v>
      </c>
    </row>
    <row r="352" spans="1:21" ht="16.5" customHeight="1">
      <c r="A352" s="159" t="s">
        <v>2749</v>
      </c>
      <c r="B352" s="114" t="str">
        <f>VLOOKUP(A352,'Data pick slip'!B:F,5,FALSE)</f>
        <v>KHJ-MC500-00</v>
      </c>
      <c r="F352" s="157" t="s">
        <v>1381</v>
      </c>
      <c r="I352" s="140" t="s">
        <v>4035</v>
      </c>
      <c r="J352" s="139" t="s">
        <v>4036</v>
      </c>
      <c r="K352" s="51" t="s">
        <v>1246</v>
      </c>
      <c r="L352" s="4">
        <v>45138</v>
      </c>
      <c r="M352" s="140">
        <v>2</v>
      </c>
      <c r="P352" s="4" t="s">
        <v>291</v>
      </c>
      <c r="Q352" s="143"/>
      <c r="T352" s="144"/>
      <c r="U352" s="145" t="e">
        <f>VLOOKUP(H352,Stock_list!A:N,14,FALSE)</f>
        <v>#N/A</v>
      </c>
    </row>
    <row r="353" spans="1:21" ht="16.5" customHeight="1">
      <c r="A353" s="159" t="s">
        <v>2750</v>
      </c>
      <c r="B353" s="114" t="str">
        <f>VLOOKUP(A353,'Data pick slip'!B:F,5,FALSE)</f>
        <v>KHJ-MC600-00</v>
      </c>
      <c r="F353" s="157" t="s">
        <v>1381</v>
      </c>
      <c r="I353" s="140" t="s">
        <v>4035</v>
      </c>
      <c r="J353" s="139" t="s">
        <v>4036</v>
      </c>
      <c r="K353" s="51" t="s">
        <v>1246</v>
      </c>
      <c r="L353" s="4">
        <v>45138</v>
      </c>
      <c r="M353" s="140">
        <v>2</v>
      </c>
      <c r="P353" s="4" t="s">
        <v>291</v>
      </c>
      <c r="Q353" s="143"/>
      <c r="T353" s="144"/>
      <c r="U353" s="145" t="e">
        <f>VLOOKUP(H353,Stock_list!A:N,14,FALSE)</f>
        <v>#N/A</v>
      </c>
    </row>
    <row r="354" spans="1:21" ht="16.5" customHeight="1">
      <c r="A354" s="159" t="s">
        <v>2755</v>
      </c>
      <c r="B354" s="114" t="str">
        <f>VLOOKUP(A354,'Data pick slip'!B:F,5,FALSE)</f>
        <v>KLJ-MC100-00</v>
      </c>
      <c r="F354" s="157" t="s">
        <v>1381</v>
      </c>
      <c r="I354" s="140" t="s">
        <v>4035</v>
      </c>
      <c r="J354" s="139" t="s">
        <v>4036</v>
      </c>
      <c r="K354" s="51" t="s">
        <v>1246</v>
      </c>
      <c r="L354" s="4">
        <v>45138</v>
      </c>
      <c r="M354" s="140">
        <v>40</v>
      </c>
      <c r="P354" s="4" t="s">
        <v>291</v>
      </c>
      <c r="Q354" s="143"/>
      <c r="T354" s="144"/>
      <c r="U354" s="145" t="e">
        <f>VLOOKUP(H354,Stock_list!A:N,14,FALSE)</f>
        <v>#N/A</v>
      </c>
    </row>
    <row r="355" spans="1:21" ht="16.5" customHeight="1">
      <c r="A355" s="159" t="s">
        <v>2760</v>
      </c>
      <c r="B355" s="114" t="str">
        <f>VLOOKUP(A355,'Data pick slip'!B:F,5,FALSE)</f>
        <v>KLJ-MC700-00</v>
      </c>
      <c r="F355" s="157" t="s">
        <v>1381</v>
      </c>
      <c r="I355" s="140" t="s">
        <v>4035</v>
      </c>
      <c r="J355" s="139" t="s">
        <v>4036</v>
      </c>
      <c r="K355" s="51" t="s">
        <v>1246</v>
      </c>
      <c r="L355" s="4">
        <v>45138</v>
      </c>
      <c r="M355" s="140">
        <v>1</v>
      </c>
      <c r="P355" s="4" t="s">
        <v>291</v>
      </c>
      <c r="Q355" s="143"/>
      <c r="T355" s="144"/>
      <c r="U355" s="145" t="e">
        <f>VLOOKUP(H355,Stock_list!A:N,14,FALSE)</f>
        <v>#N/A</v>
      </c>
    </row>
    <row r="356" spans="1:21" ht="16.5" customHeight="1">
      <c r="A356" s="159" t="s">
        <v>2748</v>
      </c>
      <c r="B356" s="114" t="str">
        <f>VLOOKUP(A356,'Data pick slip'!B:F,5,FALSE)</f>
        <v>KHJ-MC400-00</v>
      </c>
      <c r="F356" s="157" t="s">
        <v>2753</v>
      </c>
      <c r="H356" s="138" t="s">
        <v>4071</v>
      </c>
      <c r="I356" s="140">
        <v>66</v>
      </c>
      <c r="J356" s="270" t="s">
        <v>4060</v>
      </c>
      <c r="K356" s="51" t="s">
        <v>1246</v>
      </c>
      <c r="L356" s="4">
        <v>45146</v>
      </c>
      <c r="M356" s="140">
        <v>1</v>
      </c>
      <c r="P356" s="4" t="s">
        <v>4081</v>
      </c>
      <c r="Q356" s="143"/>
      <c r="S356" s="123" t="s">
        <v>4070</v>
      </c>
      <c r="T356" s="144"/>
      <c r="U356" s="145" t="e">
        <f>VLOOKUP(H356,Stock_list!A:N,14,FALSE)</f>
        <v>#N/A</v>
      </c>
    </row>
    <row r="357" spans="1:21" ht="18" customHeight="1">
      <c r="A357" s="159" t="s">
        <v>2755</v>
      </c>
      <c r="B357" s="114" t="str">
        <f>VLOOKUP(A357,'Data pick slip'!B:F,5,FALSE)</f>
        <v>KLJ-MC100-00</v>
      </c>
      <c r="F357" s="157" t="s">
        <v>2753</v>
      </c>
      <c r="H357" s="138" t="s">
        <v>4072</v>
      </c>
      <c r="I357" s="140">
        <v>66</v>
      </c>
      <c r="J357" s="401" t="s">
        <v>4073</v>
      </c>
      <c r="K357" s="51" t="s">
        <v>1246</v>
      </c>
      <c r="L357" s="4">
        <v>45148</v>
      </c>
      <c r="M357" s="140">
        <v>3</v>
      </c>
      <c r="P357" s="4" t="s">
        <v>4082</v>
      </c>
      <c r="Q357" s="143"/>
      <c r="T357" s="144"/>
      <c r="U357" s="145" t="e">
        <f>VLOOKUP(H357,Stock_list!A:N,14,FALSE)</f>
        <v>#N/A</v>
      </c>
    </row>
    <row r="358" spans="1:21" ht="18" customHeight="1">
      <c r="A358" s="159" t="s">
        <v>2744</v>
      </c>
      <c r="B358" s="114" t="str">
        <f>VLOOKUP(A358,'Data pick slip'!B:F,5,FALSE)</f>
        <v>KHJ-MC100-00</v>
      </c>
      <c r="F358" s="157" t="s">
        <v>2753</v>
      </c>
      <c r="I358" s="140" t="s">
        <v>3290</v>
      </c>
      <c r="J358" s="270" t="s">
        <v>4078</v>
      </c>
      <c r="K358" s="51" t="s">
        <v>1246</v>
      </c>
      <c r="L358" s="4">
        <v>45173</v>
      </c>
      <c r="M358" s="140">
        <v>70</v>
      </c>
      <c r="P358" s="4" t="s">
        <v>291</v>
      </c>
      <c r="Q358" s="143"/>
      <c r="T358" s="144"/>
      <c r="U358" s="145" t="e">
        <f>VLOOKUP(H358,Stock_list!A:N,14,FALSE)</f>
        <v>#N/A</v>
      </c>
    </row>
    <row r="359" spans="1:21" ht="18" customHeight="1">
      <c r="A359" s="159" t="s">
        <v>2747</v>
      </c>
      <c r="B359" s="114" t="str">
        <f>VLOOKUP(A359,'Data pick slip'!B:F,5,FALSE)</f>
        <v>KHJ-MC200-00</v>
      </c>
      <c r="F359" s="157" t="s">
        <v>2753</v>
      </c>
      <c r="I359" s="140" t="s">
        <v>3290</v>
      </c>
      <c r="J359" s="270" t="s">
        <v>4078</v>
      </c>
      <c r="K359" s="51" t="s">
        <v>1246</v>
      </c>
      <c r="L359" s="4">
        <v>45173</v>
      </c>
      <c r="M359" s="140">
        <v>9</v>
      </c>
      <c r="P359" s="4" t="s">
        <v>291</v>
      </c>
      <c r="Q359" s="143"/>
      <c r="T359" s="144"/>
      <c r="U359" s="145" t="e">
        <f>VLOOKUP(H359,Stock_list!A:N,14,FALSE)</f>
        <v>#N/A</v>
      </c>
    </row>
    <row r="360" spans="1:21" ht="18" customHeight="1">
      <c r="A360" s="159" t="s">
        <v>2747</v>
      </c>
      <c r="B360" s="114" t="str">
        <f>VLOOKUP(A360,'Data pick slip'!B:F,5,FALSE)</f>
        <v>KHJ-MC200-00</v>
      </c>
      <c r="F360" s="157" t="s">
        <v>2753</v>
      </c>
      <c r="H360" s="138" t="s">
        <v>4071</v>
      </c>
      <c r="I360" s="140">
        <v>66</v>
      </c>
      <c r="J360" s="267" t="s">
        <v>4080</v>
      </c>
      <c r="K360" s="51" t="s">
        <v>1246</v>
      </c>
      <c r="L360" s="4">
        <v>45156</v>
      </c>
      <c r="M360" s="140">
        <v>5</v>
      </c>
      <c r="P360" s="4" t="s">
        <v>4248</v>
      </c>
      <c r="Q360" s="143"/>
      <c r="T360" s="144"/>
      <c r="U360" s="145" t="e">
        <f>VLOOKUP(H360,Stock_list!A:N,14,FALSE)</f>
        <v>#N/A</v>
      </c>
    </row>
    <row r="361" spans="1:21" ht="18" customHeight="1">
      <c r="A361" s="159" t="s">
        <v>2744</v>
      </c>
      <c r="B361" s="114" t="str">
        <f>VLOOKUP(A361,'Data pick slip'!B:F,5,FALSE)</f>
        <v>KHJ-MC100-00</v>
      </c>
      <c r="F361" s="157" t="s">
        <v>2753</v>
      </c>
      <c r="H361" s="138" t="s">
        <v>4071</v>
      </c>
      <c r="I361" s="140">
        <v>66</v>
      </c>
      <c r="J361" s="269" t="s">
        <v>4083</v>
      </c>
      <c r="K361" s="51" t="s">
        <v>3002</v>
      </c>
      <c r="L361" s="4">
        <v>45156</v>
      </c>
      <c r="M361" s="140">
        <v>2</v>
      </c>
      <c r="P361" s="4" t="s">
        <v>4081</v>
      </c>
      <c r="Q361" s="143"/>
      <c r="S361" s="123" t="s">
        <v>4070</v>
      </c>
      <c r="T361" s="144"/>
      <c r="U361" s="145" t="e">
        <f>VLOOKUP(H361,Stock_list!A:N,14,FALSE)</f>
        <v>#N/A</v>
      </c>
    </row>
    <row r="362" spans="1:21" ht="16.5" customHeight="1">
      <c r="A362" s="159" t="s">
        <v>2744</v>
      </c>
      <c r="B362" s="114" t="str">
        <f>VLOOKUP(A362,'Data pick slip'!B:F,5,FALSE)</f>
        <v>KHJ-MC100-00</v>
      </c>
      <c r="F362" s="157" t="s">
        <v>2753</v>
      </c>
      <c r="H362" s="138" t="s">
        <v>4071</v>
      </c>
      <c r="I362" s="140">
        <v>66</v>
      </c>
      <c r="J362" s="267" t="s">
        <v>4084</v>
      </c>
      <c r="K362" s="51" t="s">
        <v>1246</v>
      </c>
      <c r="L362" s="4">
        <v>45159</v>
      </c>
      <c r="M362" s="140">
        <v>6</v>
      </c>
      <c r="P362" s="4" t="s">
        <v>4082</v>
      </c>
      <c r="Q362" s="143"/>
      <c r="T362" s="144"/>
      <c r="U362" s="145" t="e">
        <f>VLOOKUP(H362,Stock_list!A:N,14,FALSE)</f>
        <v>#N/A</v>
      </c>
    </row>
    <row r="363" spans="1:21" ht="18" customHeight="1">
      <c r="A363" s="159" t="s">
        <v>2755</v>
      </c>
      <c r="B363" s="114" t="str">
        <f>VLOOKUP(A363,'Data pick slip'!B:F,5,FALSE)</f>
        <v>KLJ-MC100-00</v>
      </c>
      <c r="F363" s="157" t="s">
        <v>1381</v>
      </c>
      <c r="I363" s="387" t="s">
        <v>3951</v>
      </c>
      <c r="J363" s="139" t="s">
        <v>4086</v>
      </c>
      <c r="K363" s="51" t="s">
        <v>1246</v>
      </c>
      <c r="L363" s="4">
        <v>45162</v>
      </c>
      <c r="M363" s="140">
        <v>3</v>
      </c>
      <c r="P363" s="4" t="s">
        <v>291</v>
      </c>
      <c r="Q363" s="143"/>
      <c r="T363" s="144"/>
      <c r="U363" s="145" t="e">
        <f>VLOOKUP(H363,Stock_list!A:N,14,FALSE)</f>
        <v>#N/A</v>
      </c>
    </row>
    <row r="364" spans="1:21" ht="18" customHeight="1">
      <c r="A364" s="159" t="s">
        <v>2744</v>
      </c>
      <c r="B364" s="114" t="str">
        <f>VLOOKUP(A364,'Data pick slip'!B:F,5,FALSE)</f>
        <v>KHJ-MC100-00</v>
      </c>
      <c r="F364" s="157" t="s">
        <v>1381</v>
      </c>
      <c r="I364" s="387" t="s">
        <v>3951</v>
      </c>
      <c r="J364" s="139" t="s">
        <v>4086</v>
      </c>
      <c r="K364" s="51" t="s">
        <v>1246</v>
      </c>
      <c r="L364" s="4">
        <v>45162</v>
      </c>
      <c r="M364" s="140">
        <v>6</v>
      </c>
      <c r="P364" s="4" t="s">
        <v>291</v>
      </c>
      <c r="Q364" s="143"/>
      <c r="T364" s="144"/>
      <c r="U364" s="145" t="e">
        <f>VLOOKUP(H364,Stock_list!A:N,14,FALSE)</f>
        <v>#N/A</v>
      </c>
    </row>
    <row r="365" spans="1:21" ht="18" customHeight="1">
      <c r="A365" s="159" t="s">
        <v>2748</v>
      </c>
      <c r="B365" s="114" t="str">
        <f>VLOOKUP(A365,'Data pick slip'!B:F,5,FALSE)</f>
        <v>KHJ-MC400-00</v>
      </c>
      <c r="F365" s="157" t="s">
        <v>2753</v>
      </c>
      <c r="H365" s="138" t="s">
        <v>4071</v>
      </c>
      <c r="I365" s="140">
        <v>66</v>
      </c>
      <c r="J365" s="267" t="s">
        <v>4088</v>
      </c>
      <c r="K365" s="51" t="s">
        <v>1246</v>
      </c>
      <c r="L365" s="4">
        <v>45163</v>
      </c>
      <c r="M365" s="140">
        <v>1</v>
      </c>
      <c r="P365" s="4" t="s">
        <v>4082</v>
      </c>
      <c r="Q365" s="143"/>
      <c r="T365" s="144"/>
      <c r="U365" s="145" t="e">
        <f>VLOOKUP(H365,Stock_list!A:N,14,FALSE)</f>
        <v>#N/A</v>
      </c>
    </row>
    <row r="366" spans="1:21" ht="16.5" customHeight="1">
      <c r="A366" s="159" t="s">
        <v>2748</v>
      </c>
      <c r="B366" s="114" t="str">
        <f>VLOOKUP(A366,'Data pick slip'!B:F,5,FALSE)</f>
        <v>KHJ-MC400-00</v>
      </c>
      <c r="F366" s="157" t="s">
        <v>2753</v>
      </c>
      <c r="H366" s="138" t="s">
        <v>4071</v>
      </c>
      <c r="I366" s="140">
        <v>66</v>
      </c>
      <c r="J366" s="267" t="s">
        <v>4089</v>
      </c>
      <c r="K366" s="51" t="s">
        <v>1246</v>
      </c>
      <c r="L366" s="4">
        <v>45167</v>
      </c>
      <c r="M366" s="140">
        <v>1</v>
      </c>
      <c r="P366" s="4" t="s">
        <v>4082</v>
      </c>
      <c r="Q366" s="143"/>
      <c r="T366" s="144"/>
      <c r="U366" s="145" t="e">
        <f>VLOOKUP(H366,Stock_list!A:N,14,FALSE)</f>
        <v>#N/A</v>
      </c>
    </row>
    <row r="367" spans="1:21" ht="16.5" customHeight="1">
      <c r="A367" s="159" t="s">
        <v>2747</v>
      </c>
      <c r="B367" s="114" t="str">
        <f>VLOOKUP(A367,'Data pick slip'!B:F,5,FALSE)</f>
        <v>KHJ-MC200-00</v>
      </c>
      <c r="F367" s="157" t="s">
        <v>2753</v>
      </c>
      <c r="H367" s="138" t="s">
        <v>4072</v>
      </c>
      <c r="I367" s="140">
        <v>66</v>
      </c>
      <c r="J367" s="267" t="s">
        <v>4099</v>
      </c>
      <c r="K367" s="51" t="s">
        <v>1246</v>
      </c>
      <c r="L367" s="4">
        <v>45169</v>
      </c>
      <c r="M367" s="140">
        <v>4</v>
      </c>
      <c r="P367" s="4" t="s">
        <v>4082</v>
      </c>
      <c r="Q367" s="143"/>
      <c r="T367" s="144"/>
      <c r="U367" s="145" t="e">
        <f>VLOOKUP(H367,Stock_list!A:N,14,FALSE)</f>
        <v>#N/A</v>
      </c>
    </row>
    <row r="368" spans="1:21" ht="16.5" customHeight="1">
      <c r="A368" s="159" t="s">
        <v>2744</v>
      </c>
      <c r="B368" s="114" t="str">
        <f>VLOOKUP(A368,'Data pick slip'!B:F,5,FALSE)</f>
        <v>KHJ-MC100-00</v>
      </c>
      <c r="F368" s="157" t="s">
        <v>2753</v>
      </c>
      <c r="H368" s="138">
        <v>1971</v>
      </c>
      <c r="I368" s="140" t="str">
        <f>VLOOKUP(H368,Stock_list!A:R,18,FALSE)</f>
        <v>和兴美成</v>
      </c>
      <c r="J368" s="139" t="str">
        <f>VLOOKUP(H368,Stock_list!A:S,17,FALSE)</f>
        <v>C49SZX20230099EC</v>
      </c>
      <c r="K368" s="51" t="str">
        <f>VLOOKUP(H368,Stock_list!A:T,16,FALSE)</f>
        <v>RMB</v>
      </c>
      <c r="L368" s="4">
        <v>45207</v>
      </c>
      <c r="M368" s="140">
        <v>30</v>
      </c>
      <c r="P368" s="4" t="str">
        <f>VLOOKUP(H368,Stock_list!A:Y,25,FALSE)</f>
        <v>Yes</v>
      </c>
      <c r="Q368" s="143"/>
      <c r="T368" s="144"/>
      <c r="U368" s="145" t="str">
        <f>VLOOKUP(H368,Stock_list!A:N,14,FALSE)</f>
        <v>OCT 23</v>
      </c>
    </row>
    <row r="369" spans="1:21" ht="16.5" customHeight="1">
      <c r="A369" s="159" t="s">
        <v>2755</v>
      </c>
      <c r="B369" s="114" t="str">
        <f>VLOOKUP(A369,'Data pick slip'!B:F,5,FALSE)</f>
        <v>KLJ-MC100-00</v>
      </c>
      <c r="F369" s="157" t="s">
        <v>1381</v>
      </c>
      <c r="H369" s="138" t="s">
        <v>4071</v>
      </c>
      <c r="I369" s="140">
        <v>66</v>
      </c>
      <c r="J369" s="267" t="s">
        <v>4106</v>
      </c>
      <c r="K369" s="51" t="s">
        <v>3002</v>
      </c>
      <c r="L369" s="4">
        <v>45173</v>
      </c>
      <c r="M369" s="140">
        <v>10</v>
      </c>
      <c r="P369" s="4" t="s">
        <v>4081</v>
      </c>
      <c r="Q369" s="143"/>
      <c r="S369" s="538" t="s">
        <v>4270</v>
      </c>
      <c r="T369" s="144"/>
      <c r="U369" s="145" t="e">
        <f>VLOOKUP(H369,Stock_list!A:N,14,FALSE)</f>
        <v>#N/A</v>
      </c>
    </row>
    <row r="370" spans="1:21" ht="16.5" customHeight="1">
      <c r="A370" s="159" t="s">
        <v>2744</v>
      </c>
      <c r="B370" s="114" t="str">
        <f>VLOOKUP(A370,'Data pick slip'!B:F,5,FALSE)</f>
        <v>KHJ-MC100-00</v>
      </c>
      <c r="F370" s="157" t="s">
        <v>2753</v>
      </c>
      <c r="I370" s="140" t="s">
        <v>3290</v>
      </c>
      <c r="J370" s="269" t="s">
        <v>4107</v>
      </c>
      <c r="K370" s="51" t="s">
        <v>1246</v>
      </c>
      <c r="L370" s="4">
        <v>45194</v>
      </c>
      <c r="M370" s="132">
        <v>150</v>
      </c>
      <c r="P370" s="4" t="s">
        <v>291</v>
      </c>
      <c r="Q370" s="143"/>
      <c r="T370" s="144"/>
      <c r="U370" s="145" t="e">
        <f>VLOOKUP(H370,Stock_list!A:N,14,FALSE)</f>
        <v>#N/A</v>
      </c>
    </row>
    <row r="371" spans="1:21" ht="16.5" customHeight="1">
      <c r="A371" s="159" t="s">
        <v>2747</v>
      </c>
      <c r="B371" s="114" t="str">
        <f>VLOOKUP(A371,'Data pick slip'!B:F,5,FALSE)</f>
        <v>KHJ-MC200-00</v>
      </c>
      <c r="F371" s="157" t="s">
        <v>2753</v>
      </c>
      <c r="I371" s="140" t="s">
        <v>3290</v>
      </c>
      <c r="J371" s="269" t="s">
        <v>4107</v>
      </c>
      <c r="K371" s="51" t="s">
        <v>1246</v>
      </c>
      <c r="L371" s="4">
        <v>45194</v>
      </c>
      <c r="M371" s="132">
        <v>50</v>
      </c>
      <c r="P371" s="4" t="s">
        <v>291</v>
      </c>
      <c r="Q371" s="143"/>
      <c r="T371" s="144"/>
      <c r="U371" s="145" t="e">
        <f>VLOOKUP(H371,Stock_list!A:N,14,FALSE)</f>
        <v>#N/A</v>
      </c>
    </row>
    <row r="372" spans="1:21" ht="16.5" customHeight="1">
      <c r="A372" s="159" t="s">
        <v>2748</v>
      </c>
      <c r="B372" s="114" t="str">
        <f>VLOOKUP(A372,'Data pick slip'!B:F,5,FALSE)</f>
        <v>KHJ-MC400-00</v>
      </c>
      <c r="F372" s="157" t="s">
        <v>2753</v>
      </c>
      <c r="I372" s="140" t="s">
        <v>3290</v>
      </c>
      <c r="J372" s="269" t="s">
        <v>4107</v>
      </c>
      <c r="K372" s="51" t="s">
        <v>1246</v>
      </c>
      <c r="L372" s="4">
        <v>45194</v>
      </c>
      <c r="M372" s="132">
        <v>5</v>
      </c>
      <c r="P372" s="4" t="s">
        <v>291</v>
      </c>
      <c r="Q372" s="143"/>
      <c r="T372" s="144"/>
      <c r="U372" s="145" t="e">
        <f>VLOOKUP(H372,Stock_list!A:N,14,FALSE)</f>
        <v>#N/A</v>
      </c>
    </row>
    <row r="373" spans="1:21" ht="16.5" customHeight="1">
      <c r="A373" s="159" t="s">
        <v>2749</v>
      </c>
      <c r="B373" s="114" t="str">
        <f>VLOOKUP(A373,'Data pick slip'!B:F,5,FALSE)</f>
        <v>KHJ-MC500-00</v>
      </c>
      <c r="F373" s="157" t="s">
        <v>2753</v>
      </c>
      <c r="I373" s="140" t="s">
        <v>3290</v>
      </c>
      <c r="J373" s="269" t="s">
        <v>4107</v>
      </c>
      <c r="K373" s="51" t="s">
        <v>1246</v>
      </c>
      <c r="L373" s="4">
        <v>45194</v>
      </c>
      <c r="M373" s="132">
        <v>2</v>
      </c>
      <c r="P373" s="4" t="s">
        <v>291</v>
      </c>
      <c r="Q373" s="143"/>
      <c r="T373" s="144"/>
      <c r="U373" s="145" t="e">
        <f>VLOOKUP(H373,Stock_list!A:N,14,FALSE)</f>
        <v>#N/A</v>
      </c>
    </row>
    <row r="374" spans="1:21" ht="16.5" customHeight="1">
      <c r="A374" s="159" t="s">
        <v>2744</v>
      </c>
      <c r="B374" s="114" t="str">
        <f>VLOOKUP(A374,'Data pick slip'!B:F,5,FALSE)</f>
        <v>KHJ-MC100-00</v>
      </c>
      <c r="F374" s="157" t="s">
        <v>2753</v>
      </c>
      <c r="H374" s="138">
        <v>1955</v>
      </c>
      <c r="I374" s="140" t="str">
        <f>VLOOKUP(H374,Stock_list!A:R,18,FALSE)</f>
        <v>泰永</v>
      </c>
      <c r="J374" s="139" t="str">
        <f>VLOOKUP(H374,Stock_list!A:S,17,FALSE)</f>
        <v>GD-20230250</v>
      </c>
      <c r="K374" s="51" t="str">
        <f>VLOOKUP(H374,Stock_list!A:T,16,FALSE)</f>
        <v>RMB</v>
      </c>
      <c r="L374" s="4">
        <v>45182</v>
      </c>
      <c r="M374" s="143">
        <v>50</v>
      </c>
      <c r="P374" s="4" t="str">
        <f>VLOOKUP(H374,Stock_list!A:Y,25,FALSE)</f>
        <v>Yes</v>
      </c>
      <c r="T374" s="144"/>
      <c r="U374" s="145" t="str">
        <f>VLOOKUP(H374,Stock_list!A:N,14,FALSE)</f>
        <v>SEP 23</v>
      </c>
    </row>
    <row r="375" spans="1:21" ht="16.5" customHeight="1">
      <c r="A375" s="159" t="s">
        <v>2747</v>
      </c>
      <c r="B375" s="114" t="str">
        <f>VLOOKUP(A375,'Data pick slip'!B:F,5,FALSE)</f>
        <v>KHJ-MC200-00</v>
      </c>
      <c r="F375" s="157" t="s">
        <v>2753</v>
      </c>
      <c r="H375" s="138">
        <v>1955</v>
      </c>
      <c r="I375" s="140" t="str">
        <f>VLOOKUP(H375,Stock_list!A:R,18,FALSE)</f>
        <v>泰永</v>
      </c>
      <c r="J375" s="139" t="str">
        <f>VLOOKUP(H375,Stock_list!A:S,17,FALSE)</f>
        <v>GD-20230250</v>
      </c>
      <c r="K375" s="51" t="str">
        <f>VLOOKUP(H375,Stock_list!A:T,16,FALSE)</f>
        <v>RMB</v>
      </c>
      <c r="L375" s="4">
        <v>45182</v>
      </c>
      <c r="M375" s="143">
        <v>14</v>
      </c>
      <c r="P375" s="4" t="str">
        <f>VLOOKUP(H375,Stock_list!A:Y,25,FALSE)</f>
        <v>Yes</v>
      </c>
      <c r="T375" s="144"/>
      <c r="U375" s="145" t="str">
        <f>VLOOKUP(H375,Stock_list!A:N,14,FALSE)</f>
        <v>SEP 23</v>
      </c>
    </row>
    <row r="376" spans="1:21" ht="16.5" customHeight="1">
      <c r="A376" s="159" t="s">
        <v>2748</v>
      </c>
      <c r="B376" s="114" t="str">
        <f>VLOOKUP(A376,'Data pick slip'!B:F,5,FALSE)</f>
        <v>KHJ-MC400-00</v>
      </c>
      <c r="F376" s="157" t="s">
        <v>2753</v>
      </c>
      <c r="H376" s="138">
        <v>1955</v>
      </c>
      <c r="I376" s="140" t="str">
        <f>VLOOKUP(H376,Stock_list!A:R,18,FALSE)</f>
        <v>泰永</v>
      </c>
      <c r="J376" s="139" t="str">
        <f>VLOOKUP(H376,Stock_list!A:S,17,FALSE)</f>
        <v>GD-20230250</v>
      </c>
      <c r="K376" s="51" t="str">
        <f>VLOOKUP(H376,Stock_list!A:T,16,FALSE)</f>
        <v>RMB</v>
      </c>
      <c r="L376" s="4">
        <v>45182</v>
      </c>
      <c r="M376" s="143">
        <v>1</v>
      </c>
      <c r="P376" s="4" t="str">
        <f>VLOOKUP(H376,Stock_list!A:Y,25,FALSE)</f>
        <v>Yes</v>
      </c>
      <c r="T376" s="144"/>
      <c r="U376" s="145" t="str">
        <f>VLOOKUP(H376,Stock_list!A:N,14,FALSE)</f>
        <v>SEP 23</v>
      </c>
    </row>
    <row r="377" spans="1:21" ht="16.5" customHeight="1">
      <c r="A377" s="159" t="s">
        <v>2747</v>
      </c>
      <c r="B377" s="114" t="str">
        <f>VLOOKUP(A377,'Data pick slip'!B:F,5,FALSE)</f>
        <v>KHJ-MC200-00</v>
      </c>
      <c r="F377" s="157" t="s">
        <v>2753</v>
      </c>
      <c r="H377" s="138">
        <v>1974</v>
      </c>
      <c r="I377" s="140" t="str">
        <f>VLOOKUP(H377,Stock_list!A:R,18,FALSE)</f>
        <v>海龙智通</v>
      </c>
      <c r="J377" s="139" t="str">
        <f>VLOOKUP(H377,Stock_list!A:S,17,FALSE)</f>
        <v>C49SZX20230100JL</v>
      </c>
      <c r="K377" s="51" t="str">
        <f>VLOOKUP(H377,Stock_list!A:T,16,FALSE)</f>
        <v>JPY</v>
      </c>
      <c r="L377" s="4">
        <v>45190</v>
      </c>
      <c r="M377" s="140">
        <v>5</v>
      </c>
      <c r="P377" s="4" t="str">
        <f>VLOOKUP(H377,Stock_list!A:Y,25,FALSE)</f>
        <v>Yes</v>
      </c>
      <c r="Q377" s="143"/>
      <c r="S377" s="268" t="s">
        <v>2778</v>
      </c>
      <c r="T377" s="284" t="s">
        <v>4157</v>
      </c>
      <c r="U377" s="145" t="str">
        <f>VLOOKUP(H377,Stock_list!A:N,14,FALSE)</f>
        <v>SEP 23</v>
      </c>
    </row>
    <row r="378" spans="1:21" ht="16.5" customHeight="1">
      <c r="A378" s="159" t="s">
        <v>2744</v>
      </c>
      <c r="B378" s="114" t="str">
        <f>VLOOKUP(A378,'Data pick slip'!B:F,5,FALSE)</f>
        <v>KHJ-MC100-00</v>
      </c>
      <c r="F378" s="157" t="s">
        <v>1381</v>
      </c>
      <c r="I378" s="387" t="s">
        <v>3951</v>
      </c>
      <c r="J378" s="139" t="s">
        <v>4115</v>
      </c>
      <c r="K378" s="51" t="s">
        <v>1246</v>
      </c>
      <c r="L378" s="4">
        <v>45184</v>
      </c>
      <c r="M378" s="140">
        <v>150</v>
      </c>
      <c r="P378" s="4" t="s">
        <v>291</v>
      </c>
      <c r="Q378" s="143"/>
      <c r="T378" s="144"/>
      <c r="U378" s="145" t="e">
        <f>VLOOKUP(H378,Stock_list!A:N,14,FALSE)</f>
        <v>#N/A</v>
      </c>
    </row>
    <row r="379" spans="1:21" ht="16.5" customHeight="1">
      <c r="A379" s="159" t="s">
        <v>2747</v>
      </c>
      <c r="B379" s="114" t="str">
        <f>VLOOKUP(A379,'Data pick slip'!B:F,5,FALSE)</f>
        <v>KHJ-MC200-00</v>
      </c>
      <c r="F379" s="157" t="s">
        <v>1381</v>
      </c>
      <c r="I379" s="387" t="s">
        <v>3951</v>
      </c>
      <c r="J379" s="139" t="s">
        <v>4115</v>
      </c>
      <c r="K379" s="51" t="s">
        <v>1246</v>
      </c>
      <c r="L379" s="4">
        <v>45184</v>
      </c>
      <c r="M379" s="140">
        <v>54</v>
      </c>
      <c r="P379" s="4" t="s">
        <v>291</v>
      </c>
      <c r="Q379" s="143"/>
      <c r="T379" s="144"/>
      <c r="U379" s="145" t="e">
        <f>VLOOKUP(H379,Stock_list!A:N,14,FALSE)</f>
        <v>#N/A</v>
      </c>
    </row>
    <row r="380" spans="1:21" ht="16.5" customHeight="1">
      <c r="A380" s="159" t="s">
        <v>2748</v>
      </c>
      <c r="B380" s="114" t="str">
        <f>VLOOKUP(A380,'Data pick slip'!B:F,5,FALSE)</f>
        <v>KHJ-MC400-00</v>
      </c>
      <c r="F380" s="157" t="s">
        <v>1381</v>
      </c>
      <c r="I380" s="387" t="s">
        <v>3951</v>
      </c>
      <c r="J380" s="139" t="s">
        <v>4115</v>
      </c>
      <c r="K380" s="51" t="s">
        <v>1246</v>
      </c>
      <c r="L380" s="4">
        <v>45184</v>
      </c>
      <c r="M380" s="140">
        <v>7</v>
      </c>
      <c r="P380" s="4" t="s">
        <v>291</v>
      </c>
      <c r="Q380" s="143"/>
      <c r="T380" s="144"/>
      <c r="U380" s="145" t="e">
        <f>VLOOKUP(H380,Stock_list!A:N,14,FALSE)</f>
        <v>#N/A</v>
      </c>
    </row>
    <row r="381" spans="1:21" ht="16.5" customHeight="1">
      <c r="A381" s="159" t="s">
        <v>2749</v>
      </c>
      <c r="B381" s="114" t="str">
        <f>VLOOKUP(A381,'Data pick slip'!B:F,5,FALSE)</f>
        <v>KHJ-MC500-00</v>
      </c>
      <c r="F381" s="157" t="s">
        <v>1381</v>
      </c>
      <c r="I381" s="387" t="s">
        <v>3951</v>
      </c>
      <c r="J381" s="139" t="s">
        <v>4115</v>
      </c>
      <c r="K381" s="51" t="s">
        <v>1246</v>
      </c>
      <c r="L381" s="4">
        <v>45184</v>
      </c>
      <c r="M381" s="140">
        <v>2</v>
      </c>
      <c r="P381" s="4" t="s">
        <v>291</v>
      </c>
      <c r="Q381" s="143"/>
      <c r="T381" s="144"/>
      <c r="U381" s="145" t="e">
        <f>VLOOKUP(H381,Stock_list!A:N,14,FALSE)</f>
        <v>#N/A</v>
      </c>
    </row>
    <row r="382" spans="1:21" ht="16.5" customHeight="1">
      <c r="A382" s="159" t="s">
        <v>2744</v>
      </c>
      <c r="B382" s="114" t="str">
        <f>VLOOKUP(A382,'Data pick slip'!B:F,5,FALSE)</f>
        <v>KHJ-MC100-00</v>
      </c>
      <c r="F382" s="157" t="s">
        <v>1381</v>
      </c>
      <c r="H382" s="138">
        <v>1976</v>
      </c>
      <c r="I382" s="140" t="str">
        <f>VLOOKUP(H382,Stock_list!A:R,18,FALSE)</f>
        <v>太美亚</v>
      </c>
      <c r="J382" s="139" t="str">
        <f>VLOOKUP(H382,Stock_list!A:S,17,FALSE)</f>
        <v>C49SZX20230102SX</v>
      </c>
      <c r="K382" s="51" t="str">
        <f>VLOOKUP(H382,Stock_list!A:T,16,FALSE)</f>
        <v>JPY</v>
      </c>
      <c r="L382" s="4">
        <v>45189</v>
      </c>
      <c r="M382" s="132">
        <v>300</v>
      </c>
      <c r="P382" s="4" t="str">
        <f>VLOOKUP(H382,Stock_list!A:Y,25,FALSE)</f>
        <v>Yes</v>
      </c>
      <c r="Q382" s="143"/>
      <c r="T382" s="144"/>
      <c r="U382" s="145" t="str">
        <f>VLOOKUP(H382,Stock_list!A:N,14,FALSE)</f>
        <v>SEP 23</v>
      </c>
    </row>
    <row r="383" spans="1:21" ht="16.5" customHeight="1">
      <c r="A383" s="159" t="s">
        <v>2747</v>
      </c>
      <c r="B383" s="114" t="str">
        <f>VLOOKUP(A383,'Data pick slip'!B:F,5,FALSE)</f>
        <v>KHJ-MC200-00</v>
      </c>
      <c r="F383" s="157" t="s">
        <v>1381</v>
      </c>
      <c r="H383" s="138">
        <v>1976</v>
      </c>
      <c r="I383" s="140" t="str">
        <f>VLOOKUP(H383,Stock_list!A:R,18,FALSE)</f>
        <v>太美亚</v>
      </c>
      <c r="J383" s="139" t="str">
        <f>VLOOKUP(H383,Stock_list!A:S,17,FALSE)</f>
        <v>C49SZX20230102SX</v>
      </c>
      <c r="K383" s="51" t="str">
        <f>VLOOKUP(H383,Stock_list!A:T,16,FALSE)</f>
        <v>JPY</v>
      </c>
      <c r="L383" s="4">
        <v>45189</v>
      </c>
      <c r="M383" s="132">
        <v>70</v>
      </c>
      <c r="P383" s="4" t="str">
        <f>VLOOKUP(H383,Stock_list!A:Y,25,FALSE)</f>
        <v>Yes</v>
      </c>
      <c r="Q383" s="143"/>
      <c r="T383" s="144"/>
      <c r="U383" s="145" t="str">
        <f>VLOOKUP(H383,Stock_list!A:N,14,FALSE)</f>
        <v>SEP 23</v>
      </c>
    </row>
    <row r="384" spans="1:21" ht="16.5" customHeight="1">
      <c r="A384" s="159" t="s">
        <v>2748</v>
      </c>
      <c r="B384" s="114" t="str">
        <f>VLOOKUP(A384,'Data pick slip'!B:F,5,FALSE)</f>
        <v>KHJ-MC400-00</v>
      </c>
      <c r="F384" s="157" t="s">
        <v>2753</v>
      </c>
      <c r="H384" s="138">
        <v>1976</v>
      </c>
      <c r="I384" s="140" t="str">
        <f>VLOOKUP(H384,Stock_list!A:R,18,FALSE)</f>
        <v>太美亚</v>
      </c>
      <c r="J384" s="139" t="str">
        <f>VLOOKUP(H384,Stock_list!A:S,17,FALSE)</f>
        <v>C49SZX20230102SX</v>
      </c>
      <c r="K384" s="51" t="str">
        <f>VLOOKUP(H384,Stock_list!A:T,16,FALSE)</f>
        <v>JPY</v>
      </c>
      <c r="L384" s="4">
        <v>45189</v>
      </c>
      <c r="M384" s="132">
        <v>10</v>
      </c>
      <c r="P384" s="4" t="str">
        <f>VLOOKUP(H384,Stock_list!A:Y,25,FALSE)</f>
        <v>Yes</v>
      </c>
      <c r="Q384" s="143"/>
      <c r="S384" s="268" t="s">
        <v>2778</v>
      </c>
      <c r="T384" s="284" t="s">
        <v>4157</v>
      </c>
      <c r="U384" s="145" t="str">
        <f>VLOOKUP(H384,Stock_list!A:N,14,FALSE)</f>
        <v>SEP 23</v>
      </c>
    </row>
    <row r="385" spans="1:21" ht="16.5" customHeight="1">
      <c r="A385" s="159" t="s">
        <v>2749</v>
      </c>
      <c r="B385" s="114" t="str">
        <f>VLOOKUP(A385,'Data pick slip'!B:F,5,FALSE)</f>
        <v>KHJ-MC500-00</v>
      </c>
      <c r="F385" s="157" t="s">
        <v>1381</v>
      </c>
      <c r="H385" s="138">
        <v>1976</v>
      </c>
      <c r="I385" s="140" t="str">
        <f>VLOOKUP(H385,Stock_list!A:R,18,FALSE)</f>
        <v>太美亚</v>
      </c>
      <c r="J385" s="139" t="str">
        <f>VLOOKUP(H385,Stock_list!A:S,17,FALSE)</f>
        <v>C49SZX20230102SX</v>
      </c>
      <c r="K385" s="51" t="str">
        <f>VLOOKUP(H385,Stock_list!A:T,16,FALSE)</f>
        <v>JPY</v>
      </c>
      <c r="L385" s="4">
        <v>45189</v>
      </c>
      <c r="M385" s="132">
        <v>2</v>
      </c>
      <c r="P385" s="4" t="str">
        <f>VLOOKUP(H385,Stock_list!A:Y,25,FALSE)</f>
        <v>Yes</v>
      </c>
      <c r="Q385" s="143"/>
      <c r="T385" s="144"/>
      <c r="U385" s="145" t="str">
        <f>VLOOKUP(H385,Stock_list!A:N,14,FALSE)</f>
        <v>SEP 23</v>
      </c>
    </row>
    <row r="386" spans="1:21" ht="16.5" customHeight="1">
      <c r="A386" s="159" t="s">
        <v>2750</v>
      </c>
      <c r="B386" s="114" t="str">
        <f>VLOOKUP(A386,'Data pick slip'!B:F,5,FALSE)</f>
        <v>KHJ-MC600-00</v>
      </c>
      <c r="F386" s="157" t="s">
        <v>1381</v>
      </c>
      <c r="H386" s="138">
        <v>1976</v>
      </c>
      <c r="I386" s="140" t="str">
        <f>VLOOKUP(H386,Stock_list!A:R,18,FALSE)</f>
        <v>太美亚</v>
      </c>
      <c r="J386" s="139" t="str">
        <f>VLOOKUP(H386,Stock_list!A:S,17,FALSE)</f>
        <v>C49SZX20230102SX</v>
      </c>
      <c r="K386" s="51" t="str">
        <f>VLOOKUP(H386,Stock_list!A:T,16,FALSE)</f>
        <v>JPY</v>
      </c>
      <c r="L386" s="4">
        <v>45189</v>
      </c>
      <c r="M386" s="132">
        <v>1</v>
      </c>
      <c r="P386" s="4" t="str">
        <f>VLOOKUP(H386,Stock_list!A:Y,25,FALSE)</f>
        <v>Yes</v>
      </c>
      <c r="Q386" s="143"/>
      <c r="T386" s="144"/>
      <c r="U386" s="145" t="str">
        <f>VLOOKUP(H386,Stock_list!A:N,14,FALSE)</f>
        <v>SEP 23</v>
      </c>
    </row>
    <row r="387" spans="1:21" ht="16.5" customHeight="1">
      <c r="A387" s="159" t="s">
        <v>2760</v>
      </c>
      <c r="B387" s="114" t="str">
        <f>VLOOKUP(A387,'Data pick slip'!B:F,5,FALSE)</f>
        <v>KLJ-MC700-00</v>
      </c>
      <c r="F387" s="157" t="s">
        <v>2753</v>
      </c>
      <c r="H387" s="138" t="s">
        <v>4071</v>
      </c>
      <c r="I387" s="140">
        <v>66</v>
      </c>
      <c r="J387" s="267" t="s">
        <v>4155</v>
      </c>
      <c r="K387" s="51" t="s">
        <v>1246</v>
      </c>
      <c r="L387" s="4">
        <v>45189</v>
      </c>
      <c r="M387" s="140">
        <v>1</v>
      </c>
      <c r="P387" s="4" t="s">
        <v>4082</v>
      </c>
      <c r="Q387" s="143"/>
      <c r="T387" s="144"/>
      <c r="U387" s="145" t="e">
        <f>VLOOKUP(H387,Stock_list!A:N,14,FALSE)</f>
        <v>#N/A</v>
      </c>
    </row>
    <row r="388" spans="1:21" ht="16.5" customHeight="1">
      <c r="A388" s="159" t="s">
        <v>2760</v>
      </c>
      <c r="B388" s="114" t="str">
        <f>VLOOKUP(A388,'Data pick slip'!B:F,5,FALSE)</f>
        <v>KLJ-MC700-00</v>
      </c>
      <c r="F388" s="157" t="s">
        <v>1381</v>
      </c>
      <c r="H388" s="138" t="s">
        <v>4071</v>
      </c>
      <c r="I388" s="387" t="s">
        <v>3951</v>
      </c>
      <c r="J388" s="139" t="s">
        <v>4156</v>
      </c>
      <c r="K388" s="51" t="s">
        <v>1246</v>
      </c>
      <c r="L388" s="4">
        <v>45188</v>
      </c>
      <c r="M388" s="140">
        <v>1</v>
      </c>
      <c r="P388" s="4" t="s">
        <v>291</v>
      </c>
      <c r="Q388" s="143"/>
      <c r="T388" s="144"/>
      <c r="U388" s="145" t="e">
        <f>VLOOKUP(H388,Stock_list!A:N,14,FALSE)</f>
        <v>#N/A</v>
      </c>
    </row>
    <row r="389" spans="1:21" ht="16.5" customHeight="1">
      <c r="A389" s="159" t="s">
        <v>2744</v>
      </c>
      <c r="B389" s="114" t="str">
        <f>VLOOKUP(A389,'Data pick slip'!B:F,5,FALSE)</f>
        <v>KHJ-MC100-00</v>
      </c>
      <c r="F389" s="157" t="s">
        <v>1381</v>
      </c>
      <c r="H389" s="138">
        <v>1981</v>
      </c>
      <c r="I389" s="140" t="str">
        <f>VLOOKUP(H389,Stock_list!A:R,18,FALSE)</f>
        <v>菲帆</v>
      </c>
      <c r="J389" s="139" t="str">
        <f>VLOOKUP(H389,Stock_list!A:S,17,FALSE)</f>
        <v>C49SZX20230101R1DM</v>
      </c>
      <c r="K389" s="51" t="str">
        <f>VLOOKUP(H389,Stock_list!A:T,16,FALSE)</f>
        <v>JPY</v>
      </c>
      <c r="L389" s="4">
        <v>45225</v>
      </c>
      <c r="M389" s="140">
        <v>14</v>
      </c>
      <c r="P389" s="4" t="str">
        <f>VLOOKUP(H389,Stock_list!A:Y,25,FALSE)</f>
        <v>Yes</v>
      </c>
      <c r="Q389" s="143"/>
      <c r="T389" s="144"/>
      <c r="U389" s="145" t="str">
        <f>VLOOKUP(H389,Stock_list!A:N,14,FALSE)</f>
        <v>OCT 23</v>
      </c>
    </row>
    <row r="390" spans="1:21" ht="16.5" customHeight="1">
      <c r="A390" s="159" t="s">
        <v>2749</v>
      </c>
      <c r="B390" s="114" t="str">
        <f>VLOOKUP(A390,'Data pick slip'!B:F,5,FALSE)</f>
        <v>KHJ-MC500-00</v>
      </c>
      <c r="F390" s="157" t="s">
        <v>1381</v>
      </c>
      <c r="H390" s="138">
        <v>1981</v>
      </c>
      <c r="I390" s="140" t="str">
        <f>VLOOKUP(H390,Stock_list!A:R,18,FALSE)</f>
        <v>菲帆</v>
      </c>
      <c r="J390" s="139" t="str">
        <f>VLOOKUP(H390,Stock_list!A:S,17,FALSE)</f>
        <v>C49SZX20230101R1DM</v>
      </c>
      <c r="K390" s="51" t="str">
        <f>VLOOKUP(H390,Stock_list!A:T,16,FALSE)</f>
        <v>JPY</v>
      </c>
      <c r="L390" s="4">
        <v>45225</v>
      </c>
      <c r="M390" s="140">
        <v>2</v>
      </c>
      <c r="P390" s="4" t="str">
        <f>VLOOKUP(H390,Stock_list!A:Y,25,FALSE)</f>
        <v>Yes</v>
      </c>
      <c r="Q390" s="143"/>
      <c r="T390" s="144"/>
      <c r="U390" s="145" t="str">
        <f>VLOOKUP(H390,Stock_list!A:N,14,FALSE)</f>
        <v>OCT 23</v>
      </c>
    </row>
    <row r="391" spans="1:21" ht="16.5" customHeight="1">
      <c r="A391" s="159" t="s">
        <v>2756</v>
      </c>
      <c r="B391" s="114" t="str">
        <f>VLOOKUP(A391,'Data pick slip'!B:F,5,FALSE)</f>
        <v>KLJ-MC200-00</v>
      </c>
      <c r="F391" s="157" t="s">
        <v>1381</v>
      </c>
      <c r="H391" s="138" t="s">
        <v>4071</v>
      </c>
      <c r="I391" s="140">
        <v>66</v>
      </c>
      <c r="J391" s="267" t="s">
        <v>4160</v>
      </c>
      <c r="K391" s="51" t="s">
        <v>3002</v>
      </c>
      <c r="L391" s="4">
        <v>45191</v>
      </c>
      <c r="M391" s="140">
        <v>1</v>
      </c>
      <c r="P391" s="4" t="s">
        <v>4081</v>
      </c>
      <c r="Q391" s="143"/>
      <c r="S391" s="538" t="s">
        <v>4270</v>
      </c>
      <c r="T391" s="144"/>
      <c r="U391" s="145" t="e">
        <f>VLOOKUP(H391,Stock_list!A:N,14,FALSE)</f>
        <v>#N/A</v>
      </c>
    </row>
    <row r="392" spans="1:21" ht="16.5" customHeight="1">
      <c r="A392" s="159" t="s">
        <v>2744</v>
      </c>
      <c r="B392" s="114" t="str">
        <f>VLOOKUP(A392,'Data pick slip'!B:F,5,FALSE)</f>
        <v>KHJ-MC100-00</v>
      </c>
      <c r="F392" s="157" t="s">
        <v>2753</v>
      </c>
      <c r="H392" s="138">
        <v>1969</v>
      </c>
      <c r="I392" s="140" t="str">
        <f>VLOOKUP(H392,Stock_list!A:R,18,FALSE)</f>
        <v xml:space="preserve">康佳 </v>
      </c>
      <c r="J392" s="139" t="str">
        <f>VLOOKUP(H392,Stock_list!A:S,17,FALSE)</f>
        <v>SNFPC-CG-2023-006</v>
      </c>
      <c r="K392" s="51" t="str">
        <f>VLOOKUP(H392,Stock_list!A:T,16,FALSE)</f>
        <v>RMB</v>
      </c>
      <c r="L392" s="4"/>
      <c r="N392" s="132">
        <v>2</v>
      </c>
      <c r="P392" s="4" t="str">
        <f>VLOOKUP(H392,Stock_list!A:Y,25,FALSE)</f>
        <v>Yes</v>
      </c>
      <c r="Q392" s="143"/>
      <c r="T392" s="144"/>
      <c r="U392" s="145">
        <f>VLOOKUP(H392,Stock_list!A:N,14,FALSE)</f>
        <v>0</v>
      </c>
    </row>
    <row r="393" spans="1:21" ht="16.5" customHeight="1">
      <c r="A393" s="159" t="s">
        <v>2747</v>
      </c>
      <c r="B393" s="114" t="str">
        <f>VLOOKUP(A393,'Data pick slip'!B:F,5,FALSE)</f>
        <v>KHJ-MC200-00</v>
      </c>
      <c r="F393" s="157" t="s">
        <v>2753</v>
      </c>
      <c r="H393" s="138">
        <v>1969</v>
      </c>
      <c r="I393" s="140" t="str">
        <f>VLOOKUP(H393,Stock_list!A:R,18,FALSE)</f>
        <v xml:space="preserve">康佳 </v>
      </c>
      <c r="J393" s="139" t="str">
        <f>VLOOKUP(H393,Stock_list!A:S,17,FALSE)</f>
        <v>SNFPC-CG-2023-006</v>
      </c>
      <c r="K393" s="51" t="str">
        <f>VLOOKUP(H393,Stock_list!A:T,16,FALSE)</f>
        <v>RMB</v>
      </c>
      <c r="L393" s="4"/>
      <c r="N393" s="132">
        <v>2</v>
      </c>
      <c r="P393" s="4" t="str">
        <f>VLOOKUP(H393,Stock_list!A:Y,25,FALSE)</f>
        <v>Yes</v>
      </c>
      <c r="Q393" s="143"/>
      <c r="T393" s="144"/>
      <c r="U393" s="145">
        <f>VLOOKUP(H393,Stock_list!A:N,14,FALSE)</f>
        <v>0</v>
      </c>
    </row>
    <row r="394" spans="1:21" ht="16.5" customHeight="1">
      <c r="A394" s="159" t="s">
        <v>2748</v>
      </c>
      <c r="B394" s="114" t="str">
        <f>VLOOKUP(A394,'Data pick slip'!B:F,5,FALSE)</f>
        <v>KHJ-MC400-00</v>
      </c>
      <c r="F394" s="157" t="s">
        <v>2753</v>
      </c>
      <c r="H394" s="138">
        <v>1969</v>
      </c>
      <c r="I394" s="140" t="str">
        <f>VLOOKUP(H394,Stock_list!A:R,18,FALSE)</f>
        <v xml:space="preserve">康佳 </v>
      </c>
      <c r="J394" s="139" t="str">
        <f>VLOOKUP(H394,Stock_list!A:S,17,FALSE)</f>
        <v>SNFPC-CG-2023-006</v>
      </c>
      <c r="K394" s="51" t="str">
        <f>VLOOKUP(H394,Stock_list!A:T,16,FALSE)</f>
        <v>RMB</v>
      </c>
      <c r="L394" s="4"/>
      <c r="N394" s="132">
        <v>2</v>
      </c>
      <c r="P394" s="4" t="str">
        <f>VLOOKUP(H394,Stock_list!A:Y,25,FALSE)</f>
        <v>Yes</v>
      </c>
      <c r="Q394" s="143"/>
      <c r="T394" s="144"/>
      <c r="U394" s="145">
        <f>VLOOKUP(H394,Stock_list!A:N,14,FALSE)</f>
        <v>0</v>
      </c>
    </row>
    <row r="395" spans="1:21" ht="16.5" customHeight="1">
      <c r="A395" s="159" t="s">
        <v>2749</v>
      </c>
      <c r="B395" s="114" t="str">
        <f>VLOOKUP(A395,'Data pick slip'!B:F,5,FALSE)</f>
        <v>KHJ-MC500-00</v>
      </c>
      <c r="F395" s="157" t="s">
        <v>2753</v>
      </c>
      <c r="H395" s="138">
        <v>1969</v>
      </c>
      <c r="I395" s="140" t="str">
        <f>VLOOKUP(H395,Stock_list!A:R,18,FALSE)</f>
        <v xml:space="preserve">康佳 </v>
      </c>
      <c r="J395" s="139" t="str">
        <f>VLOOKUP(H395,Stock_list!A:S,17,FALSE)</f>
        <v>SNFPC-CG-2023-006</v>
      </c>
      <c r="K395" s="51" t="str">
        <f>VLOOKUP(H395,Stock_list!A:T,16,FALSE)</f>
        <v>RMB</v>
      </c>
      <c r="L395" s="4"/>
      <c r="N395" s="132">
        <v>3</v>
      </c>
      <c r="P395" s="4" t="str">
        <f>VLOOKUP(H395,Stock_list!A:Y,25,FALSE)</f>
        <v>Yes</v>
      </c>
      <c r="Q395" s="143"/>
      <c r="T395" s="144"/>
      <c r="U395" s="145">
        <f>VLOOKUP(H395,Stock_list!A:N,14,FALSE)</f>
        <v>0</v>
      </c>
    </row>
    <row r="396" spans="1:21" ht="16.5" customHeight="1">
      <c r="A396" s="159" t="s">
        <v>2750</v>
      </c>
      <c r="B396" s="114" t="str">
        <f>VLOOKUP(A396,'Data pick slip'!B:F,5,FALSE)</f>
        <v>KHJ-MC600-00</v>
      </c>
      <c r="F396" s="157" t="s">
        <v>2753</v>
      </c>
      <c r="H396" s="138">
        <v>1969</v>
      </c>
      <c r="I396" s="140" t="str">
        <f>VLOOKUP(H396,Stock_list!A:R,18,FALSE)</f>
        <v xml:space="preserve">康佳 </v>
      </c>
      <c r="J396" s="139" t="str">
        <f>VLOOKUP(H396,Stock_list!A:S,17,FALSE)</f>
        <v>SNFPC-CG-2023-006</v>
      </c>
      <c r="K396" s="51" t="str">
        <f>VLOOKUP(H396,Stock_list!A:T,16,FALSE)</f>
        <v>RMB</v>
      </c>
      <c r="L396" s="4"/>
      <c r="N396" s="132">
        <v>3</v>
      </c>
      <c r="P396" s="4" t="str">
        <f>VLOOKUP(H396,Stock_list!A:Y,25,FALSE)</f>
        <v>Yes</v>
      </c>
      <c r="Q396" s="143"/>
      <c r="T396" s="144"/>
      <c r="U396" s="145">
        <f>VLOOKUP(H396,Stock_list!A:N,14,FALSE)</f>
        <v>0</v>
      </c>
    </row>
    <row r="397" spans="1:21" ht="16.5" customHeight="1">
      <c r="A397" s="159" t="s">
        <v>2751</v>
      </c>
      <c r="B397" s="114" t="str">
        <f>VLOOKUP(A397,'Data pick slip'!B:F,5,FALSE)</f>
        <v>KHJ-MC700-00</v>
      </c>
      <c r="F397" s="157" t="s">
        <v>2753</v>
      </c>
      <c r="H397" s="138">
        <v>1969</v>
      </c>
      <c r="I397" s="140" t="str">
        <f>VLOOKUP(H397,Stock_list!A:R,18,FALSE)</f>
        <v xml:space="preserve">康佳 </v>
      </c>
      <c r="J397" s="139" t="str">
        <f>VLOOKUP(H397,Stock_list!A:S,17,FALSE)</f>
        <v>SNFPC-CG-2023-006</v>
      </c>
      <c r="K397" s="51" t="str">
        <f>VLOOKUP(H397,Stock_list!A:T,16,FALSE)</f>
        <v>RMB</v>
      </c>
      <c r="L397" s="4"/>
      <c r="N397" s="132">
        <v>2</v>
      </c>
      <c r="P397" s="4" t="str">
        <f>VLOOKUP(H397,Stock_list!A:Y,25,FALSE)</f>
        <v>Yes</v>
      </c>
      <c r="Q397" s="143"/>
      <c r="T397" s="144"/>
      <c r="U397" s="145">
        <f>VLOOKUP(H397,Stock_list!A:N,14,FALSE)</f>
        <v>0</v>
      </c>
    </row>
    <row r="398" spans="1:21" ht="16.5" customHeight="1">
      <c r="A398" s="159" t="s">
        <v>2757</v>
      </c>
      <c r="B398" s="114" t="str">
        <f>VLOOKUP(A398,'Data pick slip'!B:F,5,FALSE)</f>
        <v>KLJ-MC400-00</v>
      </c>
      <c r="F398" s="157" t="s">
        <v>2753</v>
      </c>
      <c r="H398" s="138" t="s">
        <v>4071</v>
      </c>
      <c r="I398" s="140">
        <v>66</v>
      </c>
      <c r="J398" s="267" t="s">
        <v>4202</v>
      </c>
      <c r="K398" s="51" t="s">
        <v>3002</v>
      </c>
      <c r="L398" s="4">
        <v>45197</v>
      </c>
      <c r="M398" s="140">
        <v>1</v>
      </c>
      <c r="P398" s="4" t="s">
        <v>4081</v>
      </c>
      <c r="Q398" s="143"/>
      <c r="S398" s="123" t="s">
        <v>4070</v>
      </c>
      <c r="T398" s="144"/>
      <c r="U398" s="145" t="e">
        <f>VLOOKUP(H398,Stock_list!A:N,14,FALSE)</f>
        <v>#N/A</v>
      </c>
    </row>
    <row r="399" spans="1:21" ht="16.5" customHeight="1">
      <c r="A399" s="159" t="s">
        <v>2755</v>
      </c>
      <c r="B399" s="114" t="str">
        <f>VLOOKUP(A399,'Data pick slip'!B:F,5,FALSE)</f>
        <v>KLJ-MC100-00</v>
      </c>
      <c r="F399" s="157" t="s">
        <v>2753</v>
      </c>
      <c r="H399" s="138" t="s">
        <v>4071</v>
      </c>
      <c r="I399" s="140">
        <v>66</v>
      </c>
      <c r="J399" s="139" t="s">
        <v>4203</v>
      </c>
      <c r="K399" s="51" t="s">
        <v>1246</v>
      </c>
      <c r="L399" s="4">
        <v>45206</v>
      </c>
      <c r="M399" s="140">
        <v>30</v>
      </c>
      <c r="P399" s="4" t="s">
        <v>4248</v>
      </c>
      <c r="Q399" s="143"/>
      <c r="T399" s="144"/>
      <c r="U399" s="145" t="e">
        <f>VLOOKUP(H399,Stock_list!A:N,14,FALSE)</f>
        <v>#N/A</v>
      </c>
    </row>
    <row r="400" spans="1:21" ht="16.5" customHeight="1">
      <c r="A400" s="159" t="s">
        <v>2756</v>
      </c>
      <c r="B400" s="114" t="str">
        <f>VLOOKUP(A400,'Data pick slip'!B:F,5,FALSE)</f>
        <v>KLJ-MC200-00</v>
      </c>
      <c r="F400" s="157" t="s">
        <v>2753</v>
      </c>
      <c r="H400" s="138" t="s">
        <v>4071</v>
      </c>
      <c r="I400" s="140">
        <v>66</v>
      </c>
      <c r="J400" s="139" t="s">
        <v>4203</v>
      </c>
      <c r="K400" s="51" t="s">
        <v>1246</v>
      </c>
      <c r="L400" s="4">
        <v>45206</v>
      </c>
      <c r="M400" s="140">
        <v>3</v>
      </c>
      <c r="P400" s="4" t="s">
        <v>4248</v>
      </c>
      <c r="Q400" s="143"/>
      <c r="T400" s="144"/>
      <c r="U400" s="145" t="e">
        <f>VLOOKUP(H400,Stock_list!A:N,14,FALSE)</f>
        <v>#N/A</v>
      </c>
    </row>
    <row r="401" spans="1:21" ht="16.5" customHeight="1">
      <c r="A401" s="159" t="s">
        <v>2757</v>
      </c>
      <c r="B401" s="114" t="str">
        <f>VLOOKUP(A401,'Data pick slip'!B:F,5,FALSE)</f>
        <v>KLJ-MC400-00</v>
      </c>
      <c r="F401" s="157" t="s">
        <v>2753</v>
      </c>
      <c r="H401" s="138" t="s">
        <v>4071</v>
      </c>
      <c r="I401" s="140">
        <v>66</v>
      </c>
      <c r="J401" s="139" t="s">
        <v>4203</v>
      </c>
      <c r="K401" s="51" t="s">
        <v>1246</v>
      </c>
      <c r="L401" s="4">
        <v>45206</v>
      </c>
      <c r="M401" s="140">
        <v>3</v>
      </c>
      <c r="P401" s="4" t="s">
        <v>4248</v>
      </c>
      <c r="Q401" s="143"/>
      <c r="T401" s="144"/>
      <c r="U401" s="145" t="e">
        <f>VLOOKUP(H401,Stock_list!A:N,14,FALSE)</f>
        <v>#N/A</v>
      </c>
    </row>
    <row r="402" spans="1:21" ht="16.5" customHeight="1">
      <c r="A402" s="159" t="s">
        <v>2755</v>
      </c>
      <c r="B402" s="114" t="str">
        <f>VLOOKUP(A402,'Data pick slip'!B:F,5,FALSE)</f>
        <v>KLJ-MC100-00</v>
      </c>
      <c r="F402" s="157" t="s">
        <v>2753</v>
      </c>
      <c r="H402" s="138" t="s">
        <v>4071</v>
      </c>
      <c r="I402" s="140">
        <v>66</v>
      </c>
      <c r="J402" s="270" t="s">
        <v>4225</v>
      </c>
      <c r="K402" s="51" t="s">
        <v>1246</v>
      </c>
      <c r="L402" s="4">
        <v>45208</v>
      </c>
      <c r="M402" s="140">
        <v>9</v>
      </c>
      <c r="P402" s="4" t="s">
        <v>4082</v>
      </c>
      <c r="Q402" s="143"/>
      <c r="T402" s="144"/>
      <c r="U402" s="145" t="e">
        <f>VLOOKUP(H402,Stock_list!A:N,14,FALSE)</f>
        <v>#N/A</v>
      </c>
    </row>
    <row r="403" spans="1:21" ht="16.5" customHeight="1">
      <c r="A403" s="159" t="s">
        <v>2757</v>
      </c>
      <c r="B403" s="114" t="str">
        <f>VLOOKUP(A403,'Data pick slip'!B:F,5,FALSE)</f>
        <v>KLJ-MC400-00</v>
      </c>
      <c r="F403" s="157" t="s">
        <v>2753</v>
      </c>
      <c r="H403" s="138" t="s">
        <v>4071</v>
      </c>
      <c r="I403" s="140">
        <v>66</v>
      </c>
      <c r="J403" s="270" t="s">
        <v>4225</v>
      </c>
      <c r="K403" s="51" t="s">
        <v>1246</v>
      </c>
      <c r="L403" s="4">
        <v>45208</v>
      </c>
      <c r="M403" s="140">
        <v>1</v>
      </c>
      <c r="P403" s="4" t="s">
        <v>4082</v>
      </c>
      <c r="Q403" s="143"/>
      <c r="T403" s="144"/>
      <c r="U403" s="145" t="e">
        <f>VLOOKUP(H403,Stock_list!A:N,14,FALSE)</f>
        <v>#N/A</v>
      </c>
    </row>
    <row r="404" spans="1:21" ht="16.5" customHeight="1">
      <c r="A404" s="159" t="s">
        <v>2756</v>
      </c>
      <c r="B404" s="114" t="str">
        <f>VLOOKUP(A404,'Data pick slip'!B:F,5,FALSE)</f>
        <v>KLJ-MC200-00</v>
      </c>
      <c r="F404" s="157" t="s">
        <v>2753</v>
      </c>
      <c r="H404" s="138" t="s">
        <v>4071</v>
      </c>
      <c r="I404" s="140">
        <v>66</v>
      </c>
      <c r="J404" t="s">
        <v>4227</v>
      </c>
      <c r="K404" s="51" t="s">
        <v>1246</v>
      </c>
      <c r="L404" s="4">
        <v>45209</v>
      </c>
      <c r="M404" s="140">
        <v>5</v>
      </c>
      <c r="P404" s="4" t="s">
        <v>4082</v>
      </c>
      <c r="Q404" s="143"/>
      <c r="T404" s="144"/>
      <c r="U404" s="145" t="e">
        <f>VLOOKUP(H404,Stock_list!A:N,14,FALSE)</f>
        <v>#N/A</v>
      </c>
    </row>
    <row r="405" spans="1:21" ht="16.5" customHeight="1">
      <c r="A405" s="159" t="s">
        <v>2755</v>
      </c>
      <c r="B405" s="280" t="str">
        <f>VLOOKUP(A405,'Data pick slip'!B:F,5,FALSE)</f>
        <v>KLJ-MC100-00</v>
      </c>
      <c r="F405" s="157" t="s">
        <v>1381</v>
      </c>
      <c r="I405" s="387" t="s">
        <v>3951</v>
      </c>
      <c r="J405" s="139" t="s">
        <v>4156</v>
      </c>
      <c r="K405" s="51" t="s">
        <v>1246</v>
      </c>
      <c r="L405" s="4">
        <v>45222</v>
      </c>
      <c r="M405" s="140">
        <v>9</v>
      </c>
      <c r="P405" s="4" t="s">
        <v>291</v>
      </c>
      <c r="Q405" s="143"/>
      <c r="T405" s="144"/>
      <c r="U405" s="145" t="e">
        <f>VLOOKUP(H405,Stock_list!A:N,14,FALSE)</f>
        <v>#N/A</v>
      </c>
    </row>
    <row r="406" spans="1:21" ht="16.5" customHeight="1">
      <c r="A406" s="159" t="s">
        <v>2757</v>
      </c>
      <c r="B406" s="280" t="str">
        <f>VLOOKUP(A406,'Data pick slip'!B:F,5,FALSE)</f>
        <v>KLJ-MC400-00</v>
      </c>
      <c r="F406" s="157" t="s">
        <v>1381</v>
      </c>
      <c r="I406" s="387" t="s">
        <v>3951</v>
      </c>
      <c r="J406" s="139" t="s">
        <v>4156</v>
      </c>
      <c r="K406" s="51" t="s">
        <v>1246</v>
      </c>
      <c r="L406" s="4">
        <v>45222</v>
      </c>
      <c r="M406" s="140">
        <f>1+4</f>
        <v>5</v>
      </c>
      <c r="P406" s="4" t="s">
        <v>291</v>
      </c>
      <c r="Q406" s="143"/>
      <c r="T406" s="144"/>
      <c r="U406" s="145" t="e">
        <f>VLOOKUP(H406,Stock_list!A:N,14,FALSE)</f>
        <v>#N/A</v>
      </c>
    </row>
    <row r="407" spans="1:21" ht="16.5" customHeight="1">
      <c r="A407" s="159" t="s">
        <v>2756</v>
      </c>
      <c r="B407" s="280" t="str">
        <f>VLOOKUP(A407,'Data pick slip'!B:F,5,FALSE)</f>
        <v>KLJ-MC200-00</v>
      </c>
      <c r="F407" s="157" t="s">
        <v>1381</v>
      </c>
      <c r="I407" s="387" t="s">
        <v>3951</v>
      </c>
      <c r="J407" s="139" t="s">
        <v>4156</v>
      </c>
      <c r="K407" s="51" t="s">
        <v>1246</v>
      </c>
      <c r="L407" s="4">
        <v>45222</v>
      </c>
      <c r="M407" s="140">
        <v>5</v>
      </c>
      <c r="P407" s="4" t="s">
        <v>291</v>
      </c>
      <c r="Q407" s="143"/>
      <c r="T407" s="144"/>
      <c r="U407" s="145" t="e">
        <f>VLOOKUP(H407,Stock_list!A:N,14,FALSE)</f>
        <v>#N/A</v>
      </c>
    </row>
    <row r="408" spans="1:21" ht="16.5" customHeight="1">
      <c r="A408" s="159" t="s">
        <v>2757</v>
      </c>
      <c r="B408" s="114" t="str">
        <f>VLOOKUP(A408,'Data pick slip'!B:F,5,FALSE)</f>
        <v>KLJ-MC400-00</v>
      </c>
      <c r="F408" s="157" t="s">
        <v>2753</v>
      </c>
      <c r="H408" s="138" t="s">
        <v>4072</v>
      </c>
      <c r="I408" s="140">
        <v>66</v>
      </c>
      <c r="J408" s="267" t="s">
        <v>4238</v>
      </c>
      <c r="K408" s="51" t="s">
        <v>1246</v>
      </c>
      <c r="L408" s="4">
        <v>45215</v>
      </c>
      <c r="M408" s="140">
        <v>4</v>
      </c>
      <c r="P408" s="4" t="s">
        <v>4082</v>
      </c>
      <c r="Q408" s="143"/>
      <c r="T408" s="144"/>
      <c r="U408" s="145" t="e">
        <f>VLOOKUP(H408,Stock_list!A:N,14,FALSE)</f>
        <v>#N/A</v>
      </c>
    </row>
    <row r="409" spans="1:21" ht="26.25" customHeight="1">
      <c r="A409" s="159" t="s">
        <v>2744</v>
      </c>
      <c r="B409" s="114" t="str">
        <f>VLOOKUP(A409,'Data pick slip'!B:F,5,FALSE)</f>
        <v>KHJ-MC100-00</v>
      </c>
      <c r="F409" s="157" t="s">
        <v>1381</v>
      </c>
      <c r="H409" s="138" t="s">
        <v>4071</v>
      </c>
      <c r="I409" s="140">
        <v>66</v>
      </c>
      <c r="J409" s="267" t="s">
        <v>4242</v>
      </c>
      <c r="K409" s="51" t="s">
        <v>3002</v>
      </c>
      <c r="L409" s="4">
        <v>45223</v>
      </c>
      <c r="M409" s="140">
        <v>2</v>
      </c>
      <c r="P409" s="4" t="s">
        <v>4081</v>
      </c>
      <c r="Q409" s="143"/>
      <c r="S409" s="538" t="s">
        <v>4270</v>
      </c>
      <c r="T409" s="144"/>
      <c r="U409" s="145" t="e">
        <f>VLOOKUP(H409,Stock_list!A:N,14,FALSE)</f>
        <v>#N/A</v>
      </c>
    </row>
    <row r="410" spans="1:21" ht="16.5" customHeight="1">
      <c r="A410" s="159" t="s">
        <v>2744</v>
      </c>
      <c r="B410" s="114" t="str">
        <f>VLOOKUP(A410,'Data pick slip'!B:F,5,FALSE)</f>
        <v>KHJ-MC100-00</v>
      </c>
      <c r="F410" s="157" t="s">
        <v>1381</v>
      </c>
      <c r="H410" s="138">
        <v>1998</v>
      </c>
      <c r="I410" s="140" t="str">
        <f>VLOOKUP(H410,Stock_list!A:R,18,FALSE)</f>
        <v>骏孚</v>
      </c>
      <c r="J410" s="139" t="str">
        <f>VLOOKUP(H410,Stock_list!A:S,17,FALSE)</f>
        <v>C49SZX20230113EC</v>
      </c>
      <c r="K410" s="51" t="str">
        <f>VLOOKUP(H410,Stock_list!A:T,16,FALSE)</f>
        <v>JPY</v>
      </c>
      <c r="L410" s="290">
        <v>45236</v>
      </c>
      <c r="M410" s="143">
        <v>60</v>
      </c>
      <c r="P410" s="4" t="str">
        <f>VLOOKUP(H410,Stock_list!A:Y,25,FALSE)</f>
        <v>Yes</v>
      </c>
      <c r="T410" s="144"/>
      <c r="U410" s="145" t="str">
        <f>VLOOKUP(H410,Stock_list!A:N,14,FALSE)</f>
        <v>NOV 23</v>
      </c>
    </row>
    <row r="411" spans="1:21" ht="16.5" customHeight="1">
      <c r="A411" s="159" t="s">
        <v>2747</v>
      </c>
      <c r="B411" s="114" t="str">
        <f>VLOOKUP(A411,'Data pick slip'!B:F,5,FALSE)</f>
        <v>KHJ-MC200-00</v>
      </c>
      <c r="F411" s="157" t="s">
        <v>1381</v>
      </c>
      <c r="H411" s="138">
        <v>1998</v>
      </c>
      <c r="I411" s="140" t="str">
        <f>VLOOKUP(H411,Stock_list!A:R,18,FALSE)</f>
        <v>骏孚</v>
      </c>
      <c r="J411" s="139" t="str">
        <f>VLOOKUP(H411,Stock_list!A:S,17,FALSE)</f>
        <v>C49SZX20230113EC</v>
      </c>
      <c r="K411" s="51" t="str">
        <f>VLOOKUP(H411,Stock_list!A:T,16,FALSE)</f>
        <v>JPY</v>
      </c>
      <c r="L411" s="290">
        <v>45236</v>
      </c>
      <c r="M411" s="143">
        <v>10</v>
      </c>
      <c r="P411" s="4" t="str">
        <f>VLOOKUP(H411,Stock_list!A:Y,25,FALSE)</f>
        <v>Yes</v>
      </c>
      <c r="T411" s="144"/>
      <c r="U411" s="145" t="str">
        <f>VLOOKUP(H411,Stock_list!A:N,14,FALSE)</f>
        <v>NOV 23</v>
      </c>
    </row>
    <row r="412" spans="1:21" ht="16.5" customHeight="1">
      <c r="A412" s="159" t="s">
        <v>2749</v>
      </c>
      <c r="B412" s="114" t="str">
        <f>VLOOKUP(A412,'Data pick slip'!B:F,5,FALSE)</f>
        <v>KHJ-MC500-00</v>
      </c>
      <c r="F412" s="157" t="s">
        <v>1381</v>
      </c>
      <c r="H412" s="138">
        <v>1998</v>
      </c>
      <c r="I412" s="140" t="str">
        <f>VLOOKUP(H412,Stock_list!A:R,18,FALSE)</f>
        <v>骏孚</v>
      </c>
      <c r="J412" s="139" t="str">
        <f>VLOOKUP(H412,Stock_list!A:S,17,FALSE)</f>
        <v>C49SZX20230113EC</v>
      </c>
      <c r="K412" s="51" t="str">
        <f>VLOOKUP(H412,Stock_list!A:T,16,FALSE)</f>
        <v>JPY</v>
      </c>
      <c r="L412" s="290">
        <v>45236</v>
      </c>
      <c r="M412" s="143">
        <v>1</v>
      </c>
      <c r="P412" s="4" t="str">
        <f>VLOOKUP(H412,Stock_list!A:Y,25,FALSE)</f>
        <v>Yes</v>
      </c>
      <c r="T412" s="144"/>
      <c r="U412" s="145" t="str">
        <f>VLOOKUP(H412,Stock_list!A:N,14,FALSE)</f>
        <v>NOV 23</v>
      </c>
    </row>
    <row r="413" spans="1:21" ht="16.5" customHeight="1">
      <c r="A413" s="159" t="s">
        <v>2750</v>
      </c>
      <c r="B413" s="114" t="str">
        <f>VLOOKUP(A413,'Data pick slip'!B:F,5,FALSE)</f>
        <v>KHJ-MC600-00</v>
      </c>
      <c r="F413" s="157" t="s">
        <v>1381</v>
      </c>
      <c r="H413" s="138">
        <v>1998</v>
      </c>
      <c r="I413" s="140" t="str">
        <f>VLOOKUP(H413,Stock_list!A:R,18,FALSE)</f>
        <v>骏孚</v>
      </c>
      <c r="J413" s="139" t="str">
        <f>VLOOKUP(H413,Stock_list!A:S,17,FALSE)</f>
        <v>C49SZX20230113EC</v>
      </c>
      <c r="K413" s="51" t="str">
        <f>VLOOKUP(H413,Stock_list!A:T,16,FALSE)</f>
        <v>JPY</v>
      </c>
      <c r="L413" s="290">
        <v>45236</v>
      </c>
      <c r="M413" s="143">
        <v>1</v>
      </c>
      <c r="P413" s="4" t="str">
        <f>VLOOKUP(H413,Stock_list!A:Y,25,FALSE)</f>
        <v>Yes</v>
      </c>
      <c r="T413" s="144"/>
      <c r="U413" s="145" t="str">
        <f>VLOOKUP(H413,Stock_list!A:N,14,FALSE)</f>
        <v>NOV 23</v>
      </c>
    </row>
    <row r="414" spans="1:21" ht="16.5" customHeight="1">
      <c r="A414" s="159" t="s">
        <v>2755</v>
      </c>
      <c r="B414" s="114" t="str">
        <f>VLOOKUP(A414,'Data pick slip'!B:F,5,FALSE)</f>
        <v>KLJ-MC100-00</v>
      </c>
      <c r="F414" s="157" t="s">
        <v>2753</v>
      </c>
      <c r="H414" s="138" t="s">
        <v>4071</v>
      </c>
      <c r="I414" s="140">
        <v>66</v>
      </c>
      <c r="J414" s="267" t="s">
        <v>4247</v>
      </c>
      <c r="K414" s="51" t="s">
        <v>1246</v>
      </c>
      <c r="L414" s="4">
        <v>45229</v>
      </c>
      <c r="M414" s="140">
        <v>20</v>
      </c>
      <c r="P414" s="4" t="s">
        <v>4248</v>
      </c>
      <c r="Q414" s="143"/>
      <c r="T414" s="144"/>
      <c r="U414" s="145" t="e">
        <f>VLOOKUP(H414,Stock_list!A:N,14,FALSE)</f>
        <v>#N/A</v>
      </c>
    </row>
    <row r="415" spans="1:21" ht="16.5" customHeight="1">
      <c r="A415" s="159" t="s">
        <v>2756</v>
      </c>
      <c r="B415" s="114" t="str">
        <f>VLOOKUP(A415,'Data pick slip'!B:F,5,FALSE)</f>
        <v>KLJ-MC200-00</v>
      </c>
      <c r="F415" s="157" t="s">
        <v>2753</v>
      </c>
      <c r="H415" s="138" t="s">
        <v>4071</v>
      </c>
      <c r="I415" s="140">
        <v>66</v>
      </c>
      <c r="J415" s="267" t="s">
        <v>4247</v>
      </c>
      <c r="K415" s="51" t="s">
        <v>1246</v>
      </c>
      <c r="L415" s="4">
        <v>45229</v>
      </c>
      <c r="M415" s="140">
        <v>8</v>
      </c>
      <c r="P415" s="4" t="s">
        <v>4248</v>
      </c>
      <c r="Q415" s="143"/>
      <c r="T415" s="144"/>
      <c r="U415" s="145" t="e">
        <f>VLOOKUP(H415,Stock_list!A:N,14,FALSE)</f>
        <v>#N/A</v>
      </c>
    </row>
    <row r="416" spans="1:21" ht="16.5" customHeight="1">
      <c r="A416" s="159" t="s">
        <v>2757</v>
      </c>
      <c r="B416" s="114" t="str">
        <f>VLOOKUP(A416,'Data pick slip'!B:F,5,FALSE)</f>
        <v>KLJ-MC400-00</v>
      </c>
      <c r="F416" s="157" t="s">
        <v>2753</v>
      </c>
      <c r="H416" s="138" t="s">
        <v>4071</v>
      </c>
      <c r="I416" s="140">
        <v>66</v>
      </c>
      <c r="J416" s="267" t="s">
        <v>4247</v>
      </c>
      <c r="K416" s="51" t="s">
        <v>1246</v>
      </c>
      <c r="L416" s="4">
        <v>45229</v>
      </c>
      <c r="M416" s="140">
        <v>4</v>
      </c>
      <c r="P416" s="4" t="s">
        <v>4248</v>
      </c>
      <c r="Q416" s="143"/>
      <c r="T416" s="144"/>
      <c r="U416" s="145" t="e">
        <f>VLOOKUP(H416,Stock_list!A:N,14,FALSE)</f>
        <v>#N/A</v>
      </c>
    </row>
    <row r="417" spans="1:21" ht="16.5" customHeight="1">
      <c r="A417" s="159" t="s">
        <v>2744</v>
      </c>
      <c r="B417" s="114" t="str">
        <f>VLOOKUP(A417,'Data pick slip'!B:F,5,FALSE)</f>
        <v>KHJ-MC100-00</v>
      </c>
      <c r="F417" s="157" t="s">
        <v>2753</v>
      </c>
      <c r="I417" s="140" t="s">
        <v>4249</v>
      </c>
      <c r="J417" s="269" t="s">
        <v>4250</v>
      </c>
      <c r="K417" s="51" t="s">
        <v>1246</v>
      </c>
      <c r="L417" s="4">
        <v>45229</v>
      </c>
      <c r="O417" s="132">
        <f>1-1</f>
        <v>0</v>
      </c>
      <c r="P417" s="4" t="s">
        <v>291</v>
      </c>
      <c r="Q417" s="143"/>
      <c r="T417" s="144"/>
      <c r="U417" s="145" t="e">
        <f>VLOOKUP(H417,Stock_list!A:N,14,FALSE)</f>
        <v>#N/A</v>
      </c>
    </row>
    <row r="418" spans="1:21" ht="16.5" customHeight="1">
      <c r="A418" s="159" t="s">
        <v>2755</v>
      </c>
      <c r="B418" s="114" t="str">
        <f>VLOOKUP(A418,'Data pick slip'!B:F,5,FALSE)</f>
        <v>KLJ-MC100-00</v>
      </c>
      <c r="F418" s="157" t="s">
        <v>2753</v>
      </c>
      <c r="I418" s="140" t="s">
        <v>4249</v>
      </c>
      <c r="J418" s="269" t="s">
        <v>4250</v>
      </c>
      <c r="K418" s="51" t="s">
        <v>1246</v>
      </c>
      <c r="L418" s="4">
        <v>45229</v>
      </c>
      <c r="O418" s="132">
        <f>30-30</f>
        <v>0</v>
      </c>
      <c r="P418" s="4" t="s">
        <v>291</v>
      </c>
      <c r="Q418" s="143"/>
      <c r="T418" s="144"/>
      <c r="U418" s="145" t="e">
        <f>VLOOKUP(H418,Stock_list!A:N,14,FALSE)</f>
        <v>#N/A</v>
      </c>
    </row>
    <row r="419" spans="1:21" ht="16.5" customHeight="1">
      <c r="A419" s="159" t="s">
        <v>2757</v>
      </c>
      <c r="B419" s="114" t="str">
        <f>VLOOKUP(A419,'Data pick slip'!B:F,5,FALSE)</f>
        <v>KLJ-MC400-00</v>
      </c>
      <c r="F419" s="157" t="s">
        <v>2753</v>
      </c>
      <c r="H419" s="138" t="s">
        <v>4071</v>
      </c>
      <c r="I419" s="140">
        <v>66</v>
      </c>
      <c r="J419" s="267" t="s">
        <v>4251</v>
      </c>
      <c r="K419" s="51" t="s">
        <v>1246</v>
      </c>
      <c r="L419" s="4">
        <v>45231</v>
      </c>
      <c r="M419" s="140">
        <v>1</v>
      </c>
      <c r="P419" s="4" t="s">
        <v>4082</v>
      </c>
      <c r="Q419" s="143"/>
      <c r="T419" s="144"/>
      <c r="U419" s="145" t="e">
        <f>VLOOKUP(H419,Stock_list!A:N,14,FALSE)</f>
        <v>#N/A</v>
      </c>
    </row>
    <row r="420" spans="1:21" ht="20.25" customHeight="1">
      <c r="A420" s="159" t="s">
        <v>2744</v>
      </c>
      <c r="B420" s="114" t="str">
        <f>VLOOKUP(A420,'Data pick slip'!B:F,5,FALSE)</f>
        <v>KHJ-MC100-00</v>
      </c>
      <c r="F420" s="157" t="s">
        <v>2753</v>
      </c>
      <c r="H420" s="138" t="s">
        <v>4252</v>
      </c>
      <c r="I420" s="140">
        <v>66</v>
      </c>
      <c r="J420" s="139" t="s">
        <v>4253</v>
      </c>
      <c r="K420" s="51" t="s">
        <v>1246</v>
      </c>
      <c r="L420" s="4">
        <v>45233</v>
      </c>
      <c r="M420" s="140">
        <v>30</v>
      </c>
      <c r="P420" s="4" t="s">
        <v>4248</v>
      </c>
      <c r="Q420" s="143"/>
      <c r="T420" s="144"/>
      <c r="U420" s="145" t="e">
        <f>VLOOKUP(H420,Stock_list!A:N,14,FALSE)</f>
        <v>#N/A</v>
      </c>
    </row>
    <row r="421" spans="1:21" ht="20.25" customHeight="1">
      <c r="A421" s="159" t="s">
        <v>2750</v>
      </c>
      <c r="B421" s="114" t="str">
        <f>VLOOKUP(A421,'Data pick slip'!B:F,5,FALSE)</f>
        <v>KHJ-MC600-00</v>
      </c>
      <c r="F421" s="157" t="s">
        <v>2753</v>
      </c>
      <c r="H421" s="138" t="s">
        <v>4252</v>
      </c>
      <c r="I421" s="140">
        <v>66</v>
      </c>
      <c r="J421" s="139" t="s">
        <v>4253</v>
      </c>
      <c r="K421" s="51" t="s">
        <v>1246</v>
      </c>
      <c r="L421" s="4">
        <v>45233</v>
      </c>
      <c r="M421" s="140">
        <v>1</v>
      </c>
      <c r="P421" s="4" t="s">
        <v>4248</v>
      </c>
      <c r="Q421" s="143"/>
      <c r="T421" s="144"/>
      <c r="U421" s="145" t="e">
        <f>VLOOKUP(H421,Stock_list!A:N,14,FALSE)</f>
        <v>#N/A</v>
      </c>
    </row>
    <row r="422" spans="1:21" ht="16.5" customHeight="1">
      <c r="A422" s="159" t="s">
        <v>2747</v>
      </c>
      <c r="B422" s="114" t="str">
        <f>VLOOKUP(A422,'Data pick slip'!B:F,5,FALSE)</f>
        <v>KHJ-MC200-00</v>
      </c>
      <c r="F422" s="157" t="s">
        <v>2753</v>
      </c>
      <c r="H422" s="138" t="s">
        <v>4071</v>
      </c>
      <c r="I422" s="140">
        <v>66</v>
      </c>
      <c r="J422" s="139" t="s">
        <v>4254</v>
      </c>
      <c r="K422" s="51" t="s">
        <v>1246</v>
      </c>
      <c r="L422" s="4">
        <v>45232</v>
      </c>
      <c r="M422" s="140">
        <v>5</v>
      </c>
      <c r="P422" s="4" t="s">
        <v>4248</v>
      </c>
      <c r="Q422" s="143"/>
      <c r="T422" s="144"/>
      <c r="U422" s="145" t="e">
        <f>VLOOKUP(H422,Stock_list!A:N,14,FALSE)</f>
        <v>#N/A</v>
      </c>
    </row>
    <row r="423" spans="1:21" ht="16.5" customHeight="1">
      <c r="A423" s="159" t="s">
        <v>2748</v>
      </c>
      <c r="B423" s="114" t="str">
        <f>VLOOKUP(A423,'Data pick slip'!B:F,5,FALSE)</f>
        <v>KHJ-MC400-00</v>
      </c>
      <c r="F423" s="157" t="s">
        <v>2753</v>
      </c>
      <c r="H423" s="138" t="s">
        <v>4071</v>
      </c>
      <c r="I423" s="140">
        <v>66</v>
      </c>
      <c r="J423" s="139" t="s">
        <v>4254</v>
      </c>
      <c r="K423" s="51" t="s">
        <v>1246</v>
      </c>
      <c r="L423" s="4">
        <v>45232</v>
      </c>
      <c r="M423" s="140">
        <v>5</v>
      </c>
      <c r="P423" s="4" t="s">
        <v>4248</v>
      </c>
      <c r="Q423" s="143"/>
      <c r="T423" s="144"/>
      <c r="U423" s="145" t="e">
        <f>VLOOKUP(H423,Stock_list!A:N,14,FALSE)</f>
        <v>#N/A</v>
      </c>
    </row>
    <row r="424" spans="1:21" ht="16.5" customHeight="1">
      <c r="A424" s="159" t="s">
        <v>2744</v>
      </c>
      <c r="B424" s="114" t="str">
        <f>VLOOKUP(A424,'Data pick slip'!B:F,5,FALSE)</f>
        <v>KHJ-MC100-00</v>
      </c>
      <c r="F424" s="157" t="s">
        <v>2753</v>
      </c>
      <c r="H424" s="138">
        <v>1999</v>
      </c>
      <c r="I424" s="140" t="str">
        <f>VLOOKUP(H424,Stock_list!A:R,18,FALSE)</f>
        <v>易通</v>
      </c>
      <c r="J424" s="139" t="str">
        <f>VLOOKUP(H424,Stock_list!A:S,17,FALSE)</f>
        <v>C49SZX20230118SS</v>
      </c>
      <c r="K424" s="51" t="str">
        <f>VLOOKUP(H424,Stock_list!A:T,16,FALSE)</f>
        <v>RMB</v>
      </c>
      <c r="L424" s="4">
        <v>45251</v>
      </c>
      <c r="M424" s="140">
        <v>10</v>
      </c>
      <c r="P424" s="4" t="str">
        <f>VLOOKUP(H424,Stock_list!A:Y,25,FALSE)</f>
        <v>Yes</v>
      </c>
      <c r="Q424" s="143"/>
      <c r="T424" s="144"/>
      <c r="U424" s="145" t="str">
        <f>VLOOKUP(H424,Stock_list!A:N,14,FALSE)</f>
        <v>NOV 23</v>
      </c>
    </row>
    <row r="425" spans="1:21" ht="16.5" customHeight="1">
      <c r="A425" s="159" t="s">
        <v>2744</v>
      </c>
      <c r="B425" s="114" t="str">
        <f>VLOOKUP(A425,'Data pick slip'!B:F,5,FALSE)</f>
        <v>KHJ-MC100-00</v>
      </c>
      <c r="F425" s="157" t="s">
        <v>1381</v>
      </c>
      <c r="H425" s="138">
        <v>2017</v>
      </c>
      <c r="I425" s="140" t="str">
        <f>VLOOKUP(H425,Stock_list!A:R,18,FALSE)</f>
        <v>兴开泰（end user:兴连）</v>
      </c>
      <c r="J425" s="139" t="str">
        <f>VLOOKUP(H425,Stock_list!A:S,17,FALSE)</f>
        <v>C49SZX20230111SX</v>
      </c>
      <c r="K425" s="51" t="str">
        <f>VLOOKUP(H425,Stock_list!A:T,16,FALSE)</f>
        <v>JPY</v>
      </c>
      <c r="L425" s="4">
        <v>45323</v>
      </c>
      <c r="M425" s="143">
        <v>120</v>
      </c>
      <c r="P425" s="4" t="str">
        <f>VLOOKUP(H425,Stock_list!A:Y,25,FALSE)</f>
        <v>Yes</v>
      </c>
      <c r="T425" s="144"/>
      <c r="U425" s="145" t="str">
        <f>VLOOKUP(H425,Stock_list!A:N,14,FALSE)</f>
        <v>JAN 24</v>
      </c>
    </row>
    <row r="426" spans="1:21" ht="16.5" customHeight="1">
      <c r="A426" s="159" t="s">
        <v>2747</v>
      </c>
      <c r="B426" s="114" t="str">
        <f>VLOOKUP(A426,'Data pick slip'!B:F,5,FALSE)</f>
        <v>KHJ-MC200-00</v>
      </c>
      <c r="F426" s="157" t="s">
        <v>1381</v>
      </c>
      <c r="H426" s="138">
        <v>2017</v>
      </c>
      <c r="I426" s="140" t="str">
        <f>VLOOKUP(H426,Stock_list!A:R,18,FALSE)</f>
        <v>兴开泰（end user:兴连）</v>
      </c>
      <c r="J426" s="139" t="str">
        <f>VLOOKUP(H426,Stock_list!A:S,17,FALSE)</f>
        <v>C49SZX20230111SX</v>
      </c>
      <c r="K426" s="51" t="str">
        <f>VLOOKUP(H426,Stock_list!A:T,16,FALSE)</f>
        <v>JPY</v>
      </c>
      <c r="L426" s="4">
        <v>45323</v>
      </c>
      <c r="M426" s="143">
        <v>11</v>
      </c>
      <c r="N426" s="146"/>
      <c r="P426" s="4" t="str">
        <f>VLOOKUP(H426,Stock_list!A:Y,25,FALSE)</f>
        <v>Yes</v>
      </c>
      <c r="T426" s="144"/>
      <c r="U426" s="145" t="str">
        <f>VLOOKUP(H426,Stock_list!A:N,14,FALSE)</f>
        <v>JAN 24</v>
      </c>
    </row>
    <row r="427" spans="1:21" ht="16.5" customHeight="1">
      <c r="A427" s="159" t="s">
        <v>2747</v>
      </c>
      <c r="B427" s="114" t="str">
        <f>VLOOKUP(A427,'Data pick slip'!B:F,5,FALSE)</f>
        <v>KHJ-MC200-00</v>
      </c>
      <c r="F427" s="157" t="s">
        <v>2753</v>
      </c>
      <c r="H427" s="138">
        <v>2017</v>
      </c>
      <c r="I427" s="827" t="str">
        <f>VLOOKUP(H427,Stock_list!A:R,18,FALSE)</f>
        <v>兴开泰（end user:兴连）</v>
      </c>
      <c r="J427" s="828" t="str">
        <f>VLOOKUP(H427,Stock_list!A:S,17,FALSE)</f>
        <v>C49SZX20230111SX</v>
      </c>
      <c r="K427" s="829" t="str">
        <f>VLOOKUP(H427,Stock_list!A:T,16,FALSE)</f>
        <v>JPY</v>
      </c>
      <c r="L427" s="830">
        <v>45323</v>
      </c>
      <c r="M427" s="831">
        <v>69</v>
      </c>
      <c r="N427" s="832"/>
      <c r="O427" s="833"/>
      <c r="P427" s="830" t="str">
        <f>VLOOKUP(H427,Stock_list!A:Y,25,FALSE)</f>
        <v>Yes</v>
      </c>
      <c r="Q427" s="833"/>
      <c r="R427" s="834"/>
      <c r="S427" s="835" t="s">
        <v>4374</v>
      </c>
      <c r="T427" s="144"/>
      <c r="U427" s="145" t="str">
        <f>VLOOKUP(H427,Stock_list!A:N,14,FALSE)</f>
        <v>JAN 24</v>
      </c>
    </row>
    <row r="428" spans="1:21" ht="16.5" customHeight="1">
      <c r="A428" s="159" t="s">
        <v>2748</v>
      </c>
      <c r="B428" s="114" t="str">
        <f>VLOOKUP(A428,'Data pick slip'!B:F,5,FALSE)</f>
        <v>KHJ-MC400-00</v>
      </c>
      <c r="F428" s="157" t="s">
        <v>2753</v>
      </c>
      <c r="H428" s="138">
        <v>2017</v>
      </c>
      <c r="I428" s="140" t="str">
        <f>VLOOKUP(H428,Stock_list!A:R,18,FALSE)</f>
        <v>兴开泰（end user:兴连）</v>
      </c>
      <c r="J428" s="139" t="str">
        <f>VLOOKUP(H428,Stock_list!A:S,17,FALSE)</f>
        <v>C49SZX20230111SX</v>
      </c>
      <c r="K428" s="51" t="str">
        <f>VLOOKUP(H428,Stock_list!A:T,16,FALSE)</f>
        <v>JPY</v>
      </c>
      <c r="L428" s="4">
        <v>45323</v>
      </c>
      <c r="M428" s="143">
        <v>20</v>
      </c>
      <c r="N428" s="146"/>
      <c r="P428" s="4" t="str">
        <f>VLOOKUP(H428,Stock_list!A:Y,25,FALSE)</f>
        <v>Yes</v>
      </c>
      <c r="S428" s="123" t="s">
        <v>4444</v>
      </c>
      <c r="T428" s="144"/>
      <c r="U428" s="145" t="str">
        <f>VLOOKUP(H428,Stock_list!A:N,14,FALSE)</f>
        <v>JAN 24</v>
      </c>
    </row>
    <row r="429" spans="1:21" ht="16.5" customHeight="1">
      <c r="A429" s="159" t="s">
        <v>2749</v>
      </c>
      <c r="B429" s="114" t="str">
        <f>VLOOKUP(A429,'Data pick slip'!B:F,5,FALSE)</f>
        <v>KHJ-MC500-00</v>
      </c>
      <c r="F429" s="157" t="s">
        <v>1381</v>
      </c>
      <c r="H429" s="138">
        <v>2017</v>
      </c>
      <c r="I429" s="140" t="str">
        <f>VLOOKUP(H429,Stock_list!A:R,18,FALSE)</f>
        <v>兴开泰（end user:兴连）</v>
      </c>
      <c r="J429" s="139" t="str">
        <f>VLOOKUP(H429,Stock_list!A:S,17,FALSE)</f>
        <v>C49SZX20230111SX</v>
      </c>
      <c r="K429" s="51" t="str">
        <f>VLOOKUP(H429,Stock_list!A:T,16,FALSE)</f>
        <v>JPY</v>
      </c>
      <c r="L429" s="4">
        <v>45323</v>
      </c>
      <c r="M429" s="143">
        <v>4</v>
      </c>
      <c r="N429" s="146"/>
      <c r="P429" s="4" t="str">
        <f>VLOOKUP(H429,Stock_list!A:Y,25,FALSE)</f>
        <v>Yes</v>
      </c>
      <c r="T429" s="144"/>
      <c r="U429" s="145" t="str">
        <f>VLOOKUP(H429,Stock_list!A:N,14,FALSE)</f>
        <v>JAN 24</v>
      </c>
    </row>
    <row r="430" spans="1:21" ht="16.5" customHeight="1">
      <c r="A430" s="159" t="s">
        <v>2750</v>
      </c>
      <c r="B430" s="114" t="str">
        <f>VLOOKUP(A430,'Data pick slip'!B:F,5,FALSE)</f>
        <v>KHJ-MC600-00</v>
      </c>
      <c r="F430" s="157" t="s">
        <v>1381</v>
      </c>
      <c r="H430" s="138">
        <v>2017</v>
      </c>
      <c r="I430" s="140" t="str">
        <f>VLOOKUP(H430,Stock_list!A:R,18,FALSE)</f>
        <v>兴开泰（end user:兴连）</v>
      </c>
      <c r="J430" s="139" t="str">
        <f>VLOOKUP(H430,Stock_list!A:S,17,FALSE)</f>
        <v>C49SZX20230111SX</v>
      </c>
      <c r="K430" s="51" t="str">
        <f>VLOOKUP(H430,Stock_list!A:T,16,FALSE)</f>
        <v>JPY</v>
      </c>
      <c r="L430" s="4">
        <v>45323</v>
      </c>
      <c r="M430" s="143">
        <v>2</v>
      </c>
      <c r="N430" s="146"/>
      <c r="P430" s="4" t="str">
        <f>VLOOKUP(H430,Stock_list!A:Y,25,FALSE)</f>
        <v>Yes</v>
      </c>
      <c r="T430" s="144"/>
      <c r="U430" s="145" t="str">
        <f>VLOOKUP(H430,Stock_list!A:N,14,FALSE)</f>
        <v>JAN 24</v>
      </c>
    </row>
    <row r="431" spans="1:21" ht="16.5" customHeight="1">
      <c r="A431" s="159" t="s">
        <v>2744</v>
      </c>
      <c r="B431" s="114" t="str">
        <f>VLOOKUP(A431,'Data pick slip'!B:F,5,FALSE)</f>
        <v>KHJ-MC100-00</v>
      </c>
      <c r="F431" s="157" t="s">
        <v>1381</v>
      </c>
      <c r="H431" s="138">
        <v>2018</v>
      </c>
      <c r="I431" s="140" t="str">
        <f>VLOOKUP(H431,Stock_list!A:R,18,FALSE)</f>
        <v>永顺创</v>
      </c>
      <c r="J431" s="139" t="str">
        <f>VLOOKUP(H431,Stock_list!A:S,17,FALSE)</f>
        <v>C49SZX20230123SX</v>
      </c>
      <c r="K431" s="51" t="str">
        <f>VLOOKUP(H431,Stock_list!A:T,16,FALSE)</f>
        <v>JPY</v>
      </c>
      <c r="L431" s="4">
        <v>45257</v>
      </c>
      <c r="M431" s="140">
        <v>5</v>
      </c>
      <c r="P431" s="4" t="str">
        <f>VLOOKUP(H431,Stock_list!A:Y,25,FALSE)</f>
        <v>Yes</v>
      </c>
      <c r="Q431" s="143"/>
      <c r="T431" s="144"/>
      <c r="U431" s="145" t="str">
        <f>VLOOKUP(H431,Stock_list!A:N,14,FALSE)</f>
        <v>NOV 23</v>
      </c>
    </row>
    <row r="432" spans="1:21" ht="16.5" customHeight="1">
      <c r="A432" s="159" t="s">
        <v>2755</v>
      </c>
      <c r="B432" s="114" t="str">
        <f>VLOOKUP(A432,'Data pick slip'!B:F,5,FALSE)</f>
        <v>KLJ-MC100-00</v>
      </c>
      <c r="F432" s="157" t="s">
        <v>2753</v>
      </c>
      <c r="H432" s="138" t="s">
        <v>4071</v>
      </c>
      <c r="I432" s="140">
        <v>66</v>
      </c>
      <c r="J432" s="267" t="s">
        <v>4269</v>
      </c>
      <c r="K432" s="51" t="s">
        <v>1246</v>
      </c>
      <c r="L432" s="4">
        <v>45246</v>
      </c>
      <c r="M432" s="140">
        <v>200</v>
      </c>
      <c r="P432" s="4" t="s">
        <v>4248</v>
      </c>
      <c r="Q432" s="143"/>
      <c r="T432" s="144"/>
      <c r="U432" s="145" t="e">
        <f>VLOOKUP(H432,Stock_list!A:N,14,FALSE)</f>
        <v>#N/A</v>
      </c>
    </row>
    <row r="433" spans="1:21" ht="16.5" customHeight="1">
      <c r="A433" s="159" t="s">
        <v>2755</v>
      </c>
      <c r="B433" s="114" t="str">
        <f>VLOOKUP(A433,'Data pick slip'!B:F,5,FALSE)</f>
        <v>KLJ-MC100-00</v>
      </c>
      <c r="F433" s="157" t="s">
        <v>2753</v>
      </c>
      <c r="H433" s="138" t="s">
        <v>4071</v>
      </c>
      <c r="I433" s="140">
        <v>66</v>
      </c>
      <c r="J433" s="267" t="s">
        <v>4271</v>
      </c>
      <c r="K433" s="51" t="s">
        <v>1246</v>
      </c>
      <c r="L433" s="4">
        <v>45246</v>
      </c>
      <c r="M433" s="140">
        <v>45</v>
      </c>
      <c r="P433" s="4" t="s">
        <v>4081</v>
      </c>
      <c r="Q433" s="143"/>
      <c r="S433" s="538" t="s">
        <v>4278</v>
      </c>
      <c r="T433" s="144"/>
      <c r="U433" s="145" t="e">
        <f>VLOOKUP(H433,Stock_list!A:N,14,FALSE)</f>
        <v>#N/A</v>
      </c>
    </row>
    <row r="434" spans="1:21" ht="16.5" customHeight="1">
      <c r="A434" s="159" t="s">
        <v>2755</v>
      </c>
      <c r="B434" s="114" t="str">
        <f>VLOOKUP(A434,'Data pick slip'!B:F,5,FALSE)</f>
        <v>KLJ-MC100-00</v>
      </c>
      <c r="F434" s="157" t="s">
        <v>1381</v>
      </c>
      <c r="H434" s="138" t="s">
        <v>4071</v>
      </c>
      <c r="I434" s="140">
        <v>66</v>
      </c>
      <c r="J434" s="267" t="s">
        <v>4271</v>
      </c>
      <c r="K434" s="51" t="s">
        <v>1246</v>
      </c>
      <c r="L434" s="4">
        <v>45246</v>
      </c>
      <c r="M434" s="140">
        <v>55</v>
      </c>
      <c r="P434" s="4" t="s">
        <v>4081</v>
      </c>
      <c r="Q434" s="143"/>
      <c r="S434" s="538" t="s">
        <v>4270</v>
      </c>
      <c r="T434" s="144"/>
      <c r="U434" s="145" t="e">
        <f>VLOOKUP(H434,Stock_list!A:N,14,FALSE)</f>
        <v>#N/A</v>
      </c>
    </row>
    <row r="435" spans="1:21" ht="16.5" customHeight="1">
      <c r="A435" s="159" t="s">
        <v>2744</v>
      </c>
      <c r="B435" s="114" t="str">
        <f>VLOOKUP(A435,'Data pick slip'!B:F,5,FALSE)</f>
        <v>KHJ-MC100-00</v>
      </c>
      <c r="F435" s="157" t="s">
        <v>1381</v>
      </c>
      <c r="H435" s="138">
        <v>2023</v>
      </c>
      <c r="I435" s="140" t="str">
        <f>VLOOKUP(H435,Stock_list!A:R,18,FALSE)</f>
        <v>江西奕东</v>
      </c>
      <c r="J435" s="139" t="str">
        <f>VLOOKUP(H435,Stock_list!A:S,17,FALSE)</f>
        <v>C49SZX20230128SX</v>
      </c>
      <c r="K435" s="51" t="str">
        <f>VLOOKUP(H435,Stock_list!A:T,16,FALSE)</f>
        <v>JPY</v>
      </c>
      <c r="L435" s="4">
        <v>45254</v>
      </c>
      <c r="M435" s="140">
        <v>24</v>
      </c>
      <c r="P435" s="4" t="str">
        <f>VLOOKUP(H435,Stock_list!A:Y,25,FALSE)</f>
        <v>Yes</v>
      </c>
      <c r="Q435" s="143"/>
      <c r="T435" s="144"/>
      <c r="U435" s="145" t="str">
        <f>VLOOKUP(H435,Stock_list!A:N,14,FALSE)</f>
        <v>NOV 23</v>
      </c>
    </row>
    <row r="436" spans="1:21" ht="16.5" customHeight="1">
      <c r="A436" s="159" t="s">
        <v>2747</v>
      </c>
      <c r="B436" s="114" t="str">
        <f>VLOOKUP(A436,'Data pick slip'!B:F,5,FALSE)</f>
        <v>KHJ-MC200-00</v>
      </c>
      <c r="F436" s="157" t="s">
        <v>1381</v>
      </c>
      <c r="H436" s="138">
        <v>2023</v>
      </c>
      <c r="I436" s="140" t="str">
        <f>VLOOKUP(H436,Stock_list!A:R,18,FALSE)</f>
        <v>江西奕东</v>
      </c>
      <c r="J436" s="139" t="str">
        <f>VLOOKUP(H436,Stock_list!A:S,17,FALSE)</f>
        <v>C49SZX20230128SX</v>
      </c>
      <c r="K436" s="51" t="str">
        <f>VLOOKUP(H436,Stock_list!A:T,16,FALSE)</f>
        <v>JPY</v>
      </c>
      <c r="L436" s="4">
        <v>45254</v>
      </c>
      <c r="M436" s="140">
        <v>20</v>
      </c>
      <c r="P436" s="4" t="str">
        <f>VLOOKUP(H436,Stock_list!A:Y,25,FALSE)</f>
        <v>Yes</v>
      </c>
      <c r="Q436" s="143"/>
      <c r="T436" s="144"/>
      <c r="U436" s="145" t="str">
        <f>VLOOKUP(H436,Stock_list!A:N,14,FALSE)</f>
        <v>NOV 23</v>
      </c>
    </row>
    <row r="437" spans="1:21" ht="16.5" customHeight="1">
      <c r="A437" s="159" t="s">
        <v>2748</v>
      </c>
      <c r="B437" s="114" t="str">
        <f>VLOOKUP(A437,'Data pick slip'!B:F,5,FALSE)</f>
        <v>KHJ-MC400-00</v>
      </c>
      <c r="F437" s="157" t="s">
        <v>2753</v>
      </c>
      <c r="H437" s="138">
        <v>2023</v>
      </c>
      <c r="I437" s="140" t="str">
        <f>VLOOKUP(H437,Stock_list!A:R,18,FALSE)</f>
        <v>江西奕东</v>
      </c>
      <c r="J437" s="139" t="str">
        <f>VLOOKUP(H437,Stock_list!A:S,17,FALSE)</f>
        <v>C49SZX20230128SX</v>
      </c>
      <c r="K437" s="51" t="str">
        <f>VLOOKUP(H437,Stock_list!A:T,16,FALSE)</f>
        <v>JPY</v>
      </c>
      <c r="L437" s="4">
        <v>45254</v>
      </c>
      <c r="M437" s="140">
        <v>8</v>
      </c>
      <c r="P437" s="4" t="str">
        <f>VLOOKUP(H437,Stock_list!A:Y,25,FALSE)</f>
        <v>Yes</v>
      </c>
      <c r="Q437" s="143"/>
      <c r="S437" s="123" t="s">
        <v>4279</v>
      </c>
      <c r="T437" s="144"/>
      <c r="U437" s="145" t="str">
        <f>VLOOKUP(H437,Stock_list!A:N,14,FALSE)</f>
        <v>NOV 23</v>
      </c>
    </row>
    <row r="438" spans="1:21" ht="16.5" customHeight="1">
      <c r="A438" s="159" t="s">
        <v>2749</v>
      </c>
      <c r="B438" s="114" t="str">
        <f>VLOOKUP(A438,'Data pick slip'!B:F,5,FALSE)</f>
        <v>KHJ-MC500-00</v>
      </c>
      <c r="F438" s="157" t="s">
        <v>1381</v>
      </c>
      <c r="H438" s="138">
        <v>2023</v>
      </c>
      <c r="I438" s="140" t="str">
        <f>VLOOKUP(H438,Stock_list!A:R,18,FALSE)</f>
        <v>江西奕东</v>
      </c>
      <c r="J438" s="139" t="str">
        <f>VLOOKUP(H438,Stock_list!A:S,17,FALSE)</f>
        <v>C49SZX20230128SX</v>
      </c>
      <c r="K438" s="51" t="str">
        <f>VLOOKUP(H438,Stock_list!A:T,16,FALSE)</f>
        <v>JPY</v>
      </c>
      <c r="L438" s="4">
        <v>45254</v>
      </c>
      <c r="M438" s="140">
        <v>4</v>
      </c>
      <c r="P438" s="4" t="str">
        <f>VLOOKUP(H438,Stock_list!A:Y,25,FALSE)</f>
        <v>Yes</v>
      </c>
      <c r="Q438" s="143"/>
      <c r="T438" s="144"/>
      <c r="U438" s="145" t="str">
        <f>VLOOKUP(H438,Stock_list!A:N,14,FALSE)</f>
        <v>NOV 23</v>
      </c>
    </row>
    <row r="439" spans="1:21" ht="16.5" customHeight="1">
      <c r="A439" s="159" t="s">
        <v>2757</v>
      </c>
      <c r="B439" s="114" t="str">
        <f>VLOOKUP(A439,'Data pick slip'!B:F,5,FALSE)</f>
        <v>KLJ-MC400-00</v>
      </c>
      <c r="F439" s="157" t="s">
        <v>2753</v>
      </c>
      <c r="H439" s="138" t="s">
        <v>4072</v>
      </c>
      <c r="I439" s="140">
        <v>66</v>
      </c>
      <c r="J439" s="267" t="s">
        <v>4280</v>
      </c>
      <c r="K439" s="51" t="s">
        <v>1246</v>
      </c>
      <c r="L439" s="4">
        <v>45253</v>
      </c>
      <c r="M439" s="140">
        <v>5</v>
      </c>
      <c r="P439" s="4" t="s">
        <v>291</v>
      </c>
      <c r="Q439" s="143"/>
      <c r="T439" s="144"/>
      <c r="U439" s="145" t="e">
        <f>VLOOKUP(H439,Stock_list!A:N,14,FALSE)</f>
        <v>#N/A</v>
      </c>
    </row>
    <row r="440" spans="1:21" ht="16.5" customHeight="1">
      <c r="A440" s="159" t="s">
        <v>2759</v>
      </c>
      <c r="B440" s="114" t="str">
        <f>VLOOKUP(A440,'Data pick slip'!B:F,5,FALSE)</f>
        <v>KLJ-MC600-00</v>
      </c>
      <c r="F440" s="157" t="s">
        <v>2753</v>
      </c>
      <c r="H440" s="138" t="s">
        <v>4072</v>
      </c>
      <c r="I440" s="140">
        <v>66</v>
      </c>
      <c r="J440" s="267" t="s">
        <v>4280</v>
      </c>
      <c r="K440" s="51" t="s">
        <v>1246</v>
      </c>
      <c r="L440" s="4">
        <v>45253</v>
      </c>
      <c r="M440" s="140">
        <v>1</v>
      </c>
      <c r="P440" s="4" t="s">
        <v>291</v>
      </c>
      <c r="Q440" s="143"/>
      <c r="T440" s="144"/>
      <c r="U440" s="145" t="e">
        <f>VLOOKUP(H440,Stock_list!A:N,14,FALSE)</f>
        <v>#N/A</v>
      </c>
    </row>
    <row r="441" spans="1:21" ht="16.5" customHeight="1">
      <c r="A441" s="159" t="s">
        <v>2757</v>
      </c>
      <c r="B441" s="114" t="str">
        <f>VLOOKUP(A441,'Data pick slip'!B:F,5,FALSE)</f>
        <v>KLJ-MC400-00</v>
      </c>
      <c r="F441" s="157" t="s">
        <v>1381</v>
      </c>
      <c r="I441" s="387" t="s">
        <v>3951</v>
      </c>
      <c r="J441" s="269" t="s">
        <v>4284</v>
      </c>
      <c r="K441" s="51" t="s">
        <v>1246</v>
      </c>
      <c r="L441" s="4">
        <v>45260</v>
      </c>
      <c r="M441" s="132">
        <v>6</v>
      </c>
      <c r="P441" s="4" t="s">
        <v>291</v>
      </c>
      <c r="Q441" s="143"/>
      <c r="T441" s="144"/>
      <c r="U441" s="145" t="e">
        <f>VLOOKUP(H441,Stock_list!A:N,14,FALSE)</f>
        <v>#N/A</v>
      </c>
    </row>
    <row r="442" spans="1:21" ht="16.5" customHeight="1">
      <c r="A442" s="159" t="s">
        <v>2759</v>
      </c>
      <c r="B442" s="114" t="str">
        <f>VLOOKUP(A442,'Data pick slip'!B:F,5,FALSE)</f>
        <v>KLJ-MC600-00</v>
      </c>
      <c r="F442" s="157" t="s">
        <v>1381</v>
      </c>
      <c r="I442" s="387" t="s">
        <v>3951</v>
      </c>
      <c r="J442" s="269" t="s">
        <v>4284</v>
      </c>
      <c r="K442" s="51" t="s">
        <v>1246</v>
      </c>
      <c r="L442" s="4">
        <v>45260</v>
      </c>
      <c r="M442" s="132">
        <v>1</v>
      </c>
      <c r="P442" s="4" t="s">
        <v>291</v>
      </c>
      <c r="Q442" s="143"/>
      <c r="T442" s="144"/>
      <c r="U442" s="145" t="e">
        <f>VLOOKUP(H442,Stock_list!A:N,14,FALSE)</f>
        <v>#N/A</v>
      </c>
    </row>
    <row r="443" spans="1:21" ht="16.5" customHeight="1">
      <c r="A443" s="159" t="s">
        <v>2744</v>
      </c>
      <c r="B443" s="114" t="str">
        <f>VLOOKUP(A443,'Data pick slip'!B:F,5,FALSE)</f>
        <v>KHJ-MC100-00</v>
      </c>
      <c r="F443" s="157" t="s">
        <v>1381</v>
      </c>
      <c r="H443" s="138">
        <v>2027</v>
      </c>
      <c r="I443" s="140" t="str">
        <f>VLOOKUP(H443,Stock_list!A:R,18,FALSE)</f>
        <v>精莞盈</v>
      </c>
      <c r="J443" s="139" t="str">
        <f>VLOOKUP(H443,Stock_list!A:S,17,FALSE)</f>
        <v>C49SZX20230130JY</v>
      </c>
      <c r="K443" s="51" t="str">
        <f>VLOOKUP(H443,Stock_list!A:T,16,FALSE)</f>
        <v>JPY</v>
      </c>
      <c r="L443" s="4">
        <v>45275</v>
      </c>
      <c r="M443" s="143">
        <v>40</v>
      </c>
      <c r="P443" s="4" t="str">
        <f>VLOOKUP(H443,Stock_list!A:Y,25,FALSE)</f>
        <v>Yes</v>
      </c>
      <c r="T443" s="144"/>
      <c r="U443" s="145" t="str">
        <f>VLOOKUP(H443,Stock_list!A:N,14,FALSE)</f>
        <v>DEC 23</v>
      </c>
    </row>
    <row r="444" spans="1:21" ht="16.5" customHeight="1">
      <c r="A444" s="159" t="s">
        <v>2747</v>
      </c>
      <c r="B444" s="114" t="str">
        <f>VLOOKUP(A444,'Data pick slip'!B:F,5,FALSE)</f>
        <v>KHJ-MC200-00</v>
      </c>
      <c r="F444" s="157" t="s">
        <v>1381</v>
      </c>
      <c r="H444" s="138">
        <v>2027</v>
      </c>
      <c r="I444" s="140" t="str">
        <f>VLOOKUP(H444,Stock_list!A:R,18,FALSE)</f>
        <v>精莞盈</v>
      </c>
      <c r="J444" s="139" t="str">
        <f>VLOOKUP(H444,Stock_list!A:S,17,FALSE)</f>
        <v>C49SZX20230130JY</v>
      </c>
      <c r="K444" s="51" t="str">
        <f>VLOOKUP(H444,Stock_list!A:T,16,FALSE)</f>
        <v>JPY</v>
      </c>
      <c r="L444" s="4">
        <v>45275</v>
      </c>
      <c r="M444" s="143">
        <v>4</v>
      </c>
      <c r="P444" s="4" t="str">
        <f>VLOOKUP(H444,Stock_list!A:Y,25,FALSE)</f>
        <v>Yes</v>
      </c>
      <c r="T444" s="144"/>
      <c r="U444" s="145" t="str">
        <f>VLOOKUP(H444,Stock_list!A:N,14,FALSE)</f>
        <v>DEC 23</v>
      </c>
    </row>
    <row r="445" spans="1:21" ht="16.5" customHeight="1">
      <c r="A445" s="159" t="s">
        <v>2748</v>
      </c>
      <c r="B445" s="114" t="str">
        <f>VLOOKUP(A445,'Data pick slip'!B:F,5,FALSE)</f>
        <v>KHJ-MC400-00</v>
      </c>
      <c r="F445" s="157" t="s">
        <v>2753</v>
      </c>
      <c r="H445" s="138">
        <v>2027</v>
      </c>
      <c r="I445" s="140" t="str">
        <f>VLOOKUP(H445,Stock_list!A:R,18,FALSE)</f>
        <v>精莞盈</v>
      </c>
      <c r="J445" s="139" t="str">
        <f>VLOOKUP(H445,Stock_list!A:S,17,FALSE)</f>
        <v>C49SZX20230130JY</v>
      </c>
      <c r="K445" s="51" t="str">
        <f>VLOOKUP(H445,Stock_list!A:T,16,FALSE)</f>
        <v>JPY</v>
      </c>
      <c r="L445" s="4">
        <v>45275</v>
      </c>
      <c r="M445" s="143">
        <v>2</v>
      </c>
      <c r="P445" s="4" t="str">
        <f>VLOOKUP(H445,Stock_list!A:Y,25,FALSE)</f>
        <v>Yes</v>
      </c>
      <c r="S445" s="268" t="s">
        <v>2778</v>
      </c>
      <c r="T445" s="266" t="s">
        <v>4311</v>
      </c>
      <c r="U445" s="145" t="str">
        <f>VLOOKUP(H445,Stock_list!A:N,14,FALSE)</f>
        <v>DEC 23</v>
      </c>
    </row>
    <row r="446" spans="1:21" ht="16.5" customHeight="1">
      <c r="A446" s="159" t="s">
        <v>2755</v>
      </c>
      <c r="B446" s="114" t="str">
        <f>VLOOKUP(A446,'Data pick slip'!B:F,5,FALSE)</f>
        <v>KLJ-MC100-00</v>
      </c>
      <c r="F446" s="157" t="s">
        <v>1381</v>
      </c>
      <c r="H446" s="138">
        <v>2030</v>
      </c>
      <c r="I446" s="140" t="str">
        <f>VLOOKUP(H446,Stock_list!A:R,18,FALSE)</f>
        <v>声韵</v>
      </c>
      <c r="J446" s="139" t="str">
        <f>VLOOKUP(H446,Stock_list!A:S,17,FALSE)</f>
        <v>C49SZX20230132LC</v>
      </c>
      <c r="K446" s="51" t="str">
        <f>VLOOKUP(H446,Stock_list!A:T,16,FALSE)</f>
        <v>JPY</v>
      </c>
      <c r="L446" s="4">
        <v>45287</v>
      </c>
      <c r="M446" s="140">
        <v>35</v>
      </c>
      <c r="N446" s="143"/>
      <c r="P446" s="4" t="str">
        <f>VLOOKUP(H446,Stock_list!A:Y,25,FALSE)</f>
        <v>Yes</v>
      </c>
      <c r="T446" s="144"/>
      <c r="U446" s="145" t="str">
        <f>VLOOKUP(H446,Stock_list!A:N,14,FALSE)</f>
        <v>DEC 23</v>
      </c>
    </row>
    <row r="447" spans="1:21" ht="16.5" customHeight="1">
      <c r="A447" s="159" t="s">
        <v>2756</v>
      </c>
      <c r="B447" s="114" t="str">
        <f>VLOOKUP(A447,'Data pick slip'!B:F,5,FALSE)</f>
        <v>KLJ-MC200-00</v>
      </c>
      <c r="F447" s="157" t="s">
        <v>1381</v>
      </c>
      <c r="H447" s="138">
        <v>2030</v>
      </c>
      <c r="I447" s="140" t="str">
        <f>VLOOKUP(H447,Stock_list!A:R,18,FALSE)</f>
        <v>声韵</v>
      </c>
      <c r="J447" s="139" t="str">
        <f>VLOOKUP(H447,Stock_list!A:S,17,FALSE)</f>
        <v>C49SZX20230132LC</v>
      </c>
      <c r="K447" s="51" t="str">
        <f>VLOOKUP(H447,Stock_list!A:T,16,FALSE)</f>
        <v>JPY</v>
      </c>
      <c r="L447" s="4">
        <v>45287</v>
      </c>
      <c r="M447" s="140">
        <v>10</v>
      </c>
      <c r="N447" s="143"/>
      <c r="P447" s="4" t="str">
        <f>VLOOKUP(H447,Stock_list!A:Y,25,FALSE)</f>
        <v>Yes</v>
      </c>
      <c r="T447" s="144"/>
      <c r="U447" s="145" t="str">
        <f>VLOOKUP(H447,Stock_list!A:N,14,FALSE)</f>
        <v>DEC 23</v>
      </c>
    </row>
    <row r="448" spans="1:21" ht="16.5" customHeight="1">
      <c r="A448" s="159" t="s">
        <v>2755</v>
      </c>
      <c r="B448" s="114" t="str">
        <f>VLOOKUP(A448,'Data pick slip'!B:F,5,FALSE)</f>
        <v>KLJ-MC100-00</v>
      </c>
      <c r="F448" s="157" t="s">
        <v>1381</v>
      </c>
      <c r="H448" s="138">
        <v>2031</v>
      </c>
      <c r="I448" s="140" t="str">
        <f>VLOOKUP(H448,Stock_list!A:R,18,FALSE)</f>
        <v>福瑞康</v>
      </c>
      <c r="J448" s="139" t="str">
        <f>VLOOKUP(H448,Stock_list!A:S,17,FALSE)</f>
        <v>C49SZX20230131EC</v>
      </c>
      <c r="K448" s="51" t="str">
        <f>VLOOKUP(H448,Stock_list!A:T,16,FALSE)</f>
        <v>JPY</v>
      </c>
      <c r="L448" s="4">
        <v>45272</v>
      </c>
      <c r="M448" s="143">
        <v>26</v>
      </c>
      <c r="P448" s="4" t="str">
        <f>VLOOKUP(H448,Stock_list!A:Y,25,FALSE)</f>
        <v>Yes</v>
      </c>
      <c r="T448" s="144"/>
      <c r="U448" s="145" t="str">
        <f>VLOOKUP(H448,Stock_list!A:N,14,FALSE)</f>
        <v>DEC 23</v>
      </c>
    </row>
    <row r="449" spans="1:21" ht="16.5" customHeight="1">
      <c r="A449" s="159" t="s">
        <v>2756</v>
      </c>
      <c r="B449" s="114" t="str">
        <f>VLOOKUP(A449,'Data pick slip'!B:F,5,FALSE)</f>
        <v>KLJ-MC200-00</v>
      </c>
      <c r="F449" s="157" t="s">
        <v>1381</v>
      </c>
      <c r="H449" s="138">
        <v>2031</v>
      </c>
      <c r="I449" s="140" t="str">
        <f>VLOOKUP(H449,Stock_list!A:R,18,FALSE)</f>
        <v>福瑞康</v>
      </c>
      <c r="J449" s="139" t="str">
        <f>VLOOKUP(H449,Stock_list!A:S,17,FALSE)</f>
        <v>C49SZX20230131EC</v>
      </c>
      <c r="K449" s="51" t="str">
        <f>VLOOKUP(H449,Stock_list!A:T,16,FALSE)</f>
        <v>JPY</v>
      </c>
      <c r="L449" s="4">
        <v>45272</v>
      </c>
      <c r="M449" s="143">
        <v>3</v>
      </c>
      <c r="P449" s="4" t="str">
        <f>VLOOKUP(H449,Stock_list!A:Y,25,FALSE)</f>
        <v>Yes</v>
      </c>
      <c r="T449" s="144"/>
      <c r="U449" s="145" t="str">
        <f>VLOOKUP(H449,Stock_list!A:N,14,FALSE)</f>
        <v>DEC 23</v>
      </c>
    </row>
    <row r="450" spans="1:21" ht="16.5" customHeight="1">
      <c r="A450" s="159" t="s">
        <v>2757</v>
      </c>
      <c r="B450" s="114" t="str">
        <f>VLOOKUP(A450,'Data pick slip'!B:F,5,FALSE)</f>
        <v>KLJ-MC400-00</v>
      </c>
      <c r="F450" s="157" t="s">
        <v>1381</v>
      </c>
      <c r="H450" s="138">
        <v>2031</v>
      </c>
      <c r="I450" s="140" t="str">
        <f>VLOOKUP(H450,Stock_list!A:R,18,FALSE)</f>
        <v>福瑞康</v>
      </c>
      <c r="J450" s="139" t="str">
        <f>VLOOKUP(H450,Stock_list!A:S,17,FALSE)</f>
        <v>C49SZX20230131EC</v>
      </c>
      <c r="K450" s="51" t="str">
        <f>VLOOKUP(H450,Stock_list!A:T,16,FALSE)</f>
        <v>JPY</v>
      </c>
      <c r="L450" s="4">
        <v>45272</v>
      </c>
      <c r="M450" s="143">
        <v>3</v>
      </c>
      <c r="P450" s="4" t="str">
        <f>VLOOKUP(H450,Stock_list!A:Y,25,FALSE)</f>
        <v>Yes</v>
      </c>
      <c r="T450" s="144"/>
      <c r="U450" s="145" t="str">
        <f>VLOOKUP(H450,Stock_list!A:N,14,FALSE)</f>
        <v>DEC 23</v>
      </c>
    </row>
    <row r="451" spans="1:21" ht="16.5" customHeight="1">
      <c r="A451" s="159" t="s">
        <v>2744</v>
      </c>
      <c r="B451" s="114" t="str">
        <f>VLOOKUP(A451,'Data pick slip'!B:F,5,FALSE)</f>
        <v>KHJ-MC100-00</v>
      </c>
      <c r="F451" s="157" t="s">
        <v>2753</v>
      </c>
      <c r="H451" s="138">
        <v>2034</v>
      </c>
      <c r="I451" s="140" t="str">
        <f>VLOOKUP(H451,Stock_list!A:R,18,FALSE)</f>
        <v>徕芬</v>
      </c>
      <c r="J451" s="139" t="str">
        <f>VLOOKUP(H451,Stock_list!A:S,17,FALSE)</f>
        <v>CG20231204009</v>
      </c>
      <c r="K451" s="51" t="str">
        <f>VLOOKUP(H451,Stock_list!A:T,16,FALSE)</f>
        <v>RMB</v>
      </c>
      <c r="L451" s="4">
        <v>45296</v>
      </c>
      <c r="M451" s="140">
        <v>68</v>
      </c>
      <c r="N451" s="143"/>
      <c r="P451" s="4" t="str">
        <f>VLOOKUP(H451,Stock_list!A:Y,25,FALSE)</f>
        <v>Yes</v>
      </c>
      <c r="T451" s="144"/>
      <c r="U451" s="145" t="str">
        <f>VLOOKUP(H451,Stock_list!A:N,14,FALSE)</f>
        <v>JAN 24</v>
      </c>
    </row>
    <row r="452" spans="1:21" ht="16.5" customHeight="1">
      <c r="A452" s="159" t="s">
        <v>2747</v>
      </c>
      <c r="B452" s="114" t="str">
        <f>VLOOKUP(A452,'Data pick slip'!B:F,5,FALSE)</f>
        <v>KHJ-MC200-00</v>
      </c>
      <c r="F452" s="157" t="s">
        <v>2753</v>
      </c>
      <c r="H452" s="138">
        <v>2034</v>
      </c>
      <c r="I452" s="140" t="str">
        <f>VLOOKUP(H452,Stock_list!A:R,18,FALSE)</f>
        <v>徕芬</v>
      </c>
      <c r="J452" s="139" t="str">
        <f>VLOOKUP(H452,Stock_list!A:S,17,FALSE)</f>
        <v>CG20231204009</v>
      </c>
      <c r="K452" s="51" t="str">
        <f>VLOOKUP(H452,Stock_list!A:T,16,FALSE)</f>
        <v>RMB</v>
      </c>
      <c r="L452" s="4">
        <v>45296</v>
      </c>
      <c r="M452" s="140">
        <v>11</v>
      </c>
      <c r="N452" s="143"/>
      <c r="P452" s="4" t="str">
        <f>VLOOKUP(H452,Stock_list!A:Y,25,FALSE)</f>
        <v>Yes</v>
      </c>
      <c r="T452" s="144"/>
      <c r="U452" s="145" t="str">
        <f>VLOOKUP(H452,Stock_list!A:N,14,FALSE)</f>
        <v>JAN 24</v>
      </c>
    </row>
    <row r="453" spans="1:21" ht="16.5" customHeight="1">
      <c r="A453" s="159" t="s">
        <v>2748</v>
      </c>
      <c r="B453" s="114" t="str">
        <f>VLOOKUP(A453,'Data pick slip'!B:F,5,FALSE)</f>
        <v>KHJ-MC400-00</v>
      </c>
      <c r="F453" s="157" t="s">
        <v>2753</v>
      </c>
      <c r="H453" s="138">
        <v>2034</v>
      </c>
      <c r="I453" s="140" t="str">
        <f>VLOOKUP(H453,Stock_list!A:R,18,FALSE)</f>
        <v>徕芬</v>
      </c>
      <c r="J453" s="139" t="str">
        <f>VLOOKUP(H453,Stock_list!A:S,17,FALSE)</f>
        <v>CG20231204009</v>
      </c>
      <c r="K453" s="51" t="str">
        <f>VLOOKUP(H453,Stock_list!A:T,16,FALSE)</f>
        <v>RMB</v>
      </c>
      <c r="L453" s="4">
        <v>45296</v>
      </c>
      <c r="M453" s="140">
        <v>3</v>
      </c>
      <c r="N453" s="143"/>
      <c r="P453" s="4" t="str">
        <f>VLOOKUP(H453,Stock_list!A:Y,25,FALSE)</f>
        <v>Yes</v>
      </c>
      <c r="T453" s="144"/>
      <c r="U453" s="145" t="str">
        <f>VLOOKUP(H453,Stock_list!A:N,14,FALSE)</f>
        <v>JAN 24</v>
      </c>
    </row>
    <row r="454" spans="1:21" ht="16.5" customHeight="1">
      <c r="A454" s="159" t="s">
        <v>2744</v>
      </c>
      <c r="B454" s="114" t="str">
        <f>VLOOKUP(A454,'Data pick slip'!B:F,5,FALSE)</f>
        <v>KHJ-MC100-00</v>
      </c>
      <c r="F454" s="157" t="s">
        <v>2753</v>
      </c>
      <c r="H454" s="138">
        <v>2035</v>
      </c>
      <c r="I454" s="140" t="str">
        <f>VLOOKUP(H454,Stock_list!A:R,18,FALSE)</f>
        <v>徕芬</v>
      </c>
      <c r="J454" s="139" t="str">
        <f>VLOOKUP(H454,Stock_list!A:S,17,FALSE)</f>
        <v>CG20231204009</v>
      </c>
      <c r="K454" s="51" t="str">
        <f>VLOOKUP(H454,Stock_list!A:T,16,FALSE)</f>
        <v>RMB</v>
      </c>
      <c r="L454" s="4">
        <v>45356</v>
      </c>
      <c r="M454" s="143">
        <v>52</v>
      </c>
      <c r="P454" s="4" t="str">
        <f>VLOOKUP(H454,Stock_list!A:Y,25,FALSE)</f>
        <v>Yes</v>
      </c>
      <c r="T454" s="144"/>
      <c r="U454" s="145" t="str">
        <f>VLOOKUP(H454,Stock_list!A:N,14,FALSE)</f>
        <v>JAN 24</v>
      </c>
    </row>
    <row r="455" spans="1:21" ht="16.5" customHeight="1">
      <c r="A455" s="159" t="s">
        <v>2747</v>
      </c>
      <c r="B455" s="114" t="str">
        <f>VLOOKUP(A455,'Data pick slip'!B:F,5,FALSE)</f>
        <v>KHJ-MC200-00</v>
      </c>
      <c r="F455" s="157" t="s">
        <v>2753</v>
      </c>
      <c r="H455" s="138">
        <v>2035</v>
      </c>
      <c r="I455" s="140" t="str">
        <f>VLOOKUP(H455,Stock_list!A:R,18,FALSE)</f>
        <v>徕芬</v>
      </c>
      <c r="J455" s="139" t="str">
        <f>VLOOKUP(H455,Stock_list!A:S,17,FALSE)</f>
        <v>CG20231204009</v>
      </c>
      <c r="K455" s="51" t="str">
        <f>VLOOKUP(H455,Stock_list!A:T,16,FALSE)</f>
        <v>RMB</v>
      </c>
      <c r="L455" s="4">
        <v>45356</v>
      </c>
      <c r="M455" s="143">
        <v>4</v>
      </c>
      <c r="P455" s="4" t="str">
        <f>VLOOKUP(H455,Stock_list!A:Y,25,FALSE)</f>
        <v>Yes</v>
      </c>
      <c r="T455" s="144"/>
      <c r="U455" s="145" t="str">
        <f>VLOOKUP(H455,Stock_list!A:N,14,FALSE)</f>
        <v>JAN 24</v>
      </c>
    </row>
    <row r="456" spans="1:21" ht="16.5" customHeight="1">
      <c r="A456" s="159" t="s">
        <v>2748</v>
      </c>
      <c r="B456" s="114" t="str">
        <f>VLOOKUP(A456,'Data pick slip'!B:F,5,FALSE)</f>
        <v>KHJ-MC400-00</v>
      </c>
      <c r="F456" s="157" t="s">
        <v>2753</v>
      </c>
      <c r="H456" s="138">
        <v>2035</v>
      </c>
      <c r="I456" s="140" t="str">
        <f>VLOOKUP(H456,Stock_list!A:R,18,FALSE)</f>
        <v>徕芬</v>
      </c>
      <c r="J456" s="139" t="str">
        <f>VLOOKUP(H456,Stock_list!A:S,17,FALSE)</f>
        <v>CG20231204009</v>
      </c>
      <c r="K456" s="51" t="str">
        <f>VLOOKUP(H456,Stock_list!A:T,16,FALSE)</f>
        <v>RMB</v>
      </c>
      <c r="L456" s="4">
        <v>45356</v>
      </c>
      <c r="M456" s="143">
        <v>2</v>
      </c>
      <c r="P456" s="4" t="str">
        <f>VLOOKUP(H456,Stock_list!A:Y,25,FALSE)</f>
        <v>Yes</v>
      </c>
      <c r="T456" s="144"/>
      <c r="U456" s="145" t="str">
        <f>VLOOKUP(H456,Stock_list!A:N,14,FALSE)</f>
        <v>JAN 24</v>
      </c>
    </row>
    <row r="457" spans="1:21" ht="16.5" customHeight="1">
      <c r="A457" s="159" t="s">
        <v>2744</v>
      </c>
      <c r="B457" s="114" t="str">
        <f>VLOOKUP(A457,'Data pick slip'!B:F,5,FALSE)</f>
        <v>KHJ-MC100-00</v>
      </c>
      <c r="F457" s="157" t="s">
        <v>1381</v>
      </c>
      <c r="H457" s="138">
        <v>2040</v>
      </c>
      <c r="I457" s="140" t="str">
        <f>VLOOKUP(H457,Stock_list!A:R,18,FALSE)</f>
        <v>TBS</v>
      </c>
      <c r="J457" s="139" t="str">
        <f>VLOOKUP(H457,Stock_list!A:S,17,FALSE)</f>
        <v>C49SZX20230136JAL</v>
      </c>
      <c r="K457" s="51" t="str">
        <f>VLOOKUP(H457,Stock_list!A:T,16,FALSE)</f>
        <v>USD</v>
      </c>
      <c r="L457" s="4">
        <v>45355</v>
      </c>
      <c r="M457" s="143">
        <v>60</v>
      </c>
      <c r="P457" s="4" t="str">
        <f>VLOOKUP(H457,Stock_list!A:Y,25,FALSE)</f>
        <v>Yes</v>
      </c>
      <c r="T457" s="144"/>
      <c r="U457" s="145" t="str">
        <f>VLOOKUP(H457,Stock_list!A:N,14,FALSE)</f>
        <v>MAR 24</v>
      </c>
    </row>
    <row r="458" spans="1:21" ht="16.5" customHeight="1">
      <c r="A458" s="159" t="s">
        <v>2757</v>
      </c>
      <c r="B458" s="114" t="str">
        <f>VLOOKUP(A458,'Data pick slip'!B:F,5,FALSE)</f>
        <v>KLJ-MC400-00</v>
      </c>
      <c r="F458" s="157" t="s">
        <v>1381</v>
      </c>
      <c r="H458" s="138">
        <v>2040</v>
      </c>
      <c r="I458" s="140" t="str">
        <f>VLOOKUP(H458,Stock_list!A:R,18,FALSE)</f>
        <v>TBS</v>
      </c>
      <c r="J458" s="139" t="str">
        <f>VLOOKUP(H458,Stock_list!A:S,17,FALSE)</f>
        <v>C49SZX20230136JAL</v>
      </c>
      <c r="K458" s="51" t="str">
        <f>VLOOKUP(H458,Stock_list!A:T,16,FALSE)</f>
        <v>USD</v>
      </c>
      <c r="L458" s="4">
        <v>45355</v>
      </c>
      <c r="M458" s="143">
        <v>5</v>
      </c>
      <c r="P458" s="4" t="str">
        <f>VLOOKUP(H458,Stock_list!A:Y,25,FALSE)</f>
        <v>Yes</v>
      </c>
      <c r="T458" s="144"/>
      <c r="U458" s="145" t="str">
        <f>VLOOKUP(H458,Stock_list!A:N,14,FALSE)</f>
        <v>MAR 24</v>
      </c>
    </row>
    <row r="459" spans="1:21" ht="16.5" customHeight="1">
      <c r="A459" s="159" t="s">
        <v>2758</v>
      </c>
      <c r="B459" s="114" t="str">
        <f>VLOOKUP(A459,'Data pick slip'!B:F,5,FALSE)</f>
        <v>KLJ-MC500-00</v>
      </c>
      <c r="F459" s="157" t="s">
        <v>1381</v>
      </c>
      <c r="H459" s="138">
        <v>2040</v>
      </c>
      <c r="I459" s="140" t="str">
        <f>VLOOKUP(H459,Stock_list!A:R,18,FALSE)</f>
        <v>TBS</v>
      </c>
      <c r="J459" s="139" t="str">
        <f>VLOOKUP(H459,Stock_list!A:S,17,FALSE)</f>
        <v>C49SZX20230136JAL</v>
      </c>
      <c r="K459" s="51" t="str">
        <f>VLOOKUP(H459,Stock_list!A:T,16,FALSE)</f>
        <v>USD</v>
      </c>
      <c r="L459" s="4">
        <v>45355</v>
      </c>
      <c r="M459" s="143">
        <v>5</v>
      </c>
      <c r="P459" s="4" t="str">
        <f>VLOOKUP(H459,Stock_list!A:Y,25,FALSE)</f>
        <v>Yes</v>
      </c>
      <c r="T459" s="144"/>
      <c r="U459" s="145" t="str">
        <f>VLOOKUP(H459,Stock_list!A:N,14,FALSE)</f>
        <v>MAR 24</v>
      </c>
    </row>
    <row r="460" spans="1:21" ht="16.5" customHeight="1">
      <c r="A460" s="159" t="s">
        <v>2759</v>
      </c>
      <c r="B460" s="114" t="str">
        <f>VLOOKUP(A460,'Data pick slip'!B:F,5,FALSE)</f>
        <v>KLJ-MC600-00</v>
      </c>
      <c r="F460" s="157" t="s">
        <v>1381</v>
      </c>
      <c r="H460" s="138">
        <v>2040</v>
      </c>
      <c r="I460" s="140" t="str">
        <f>VLOOKUP(H460,Stock_list!A:R,18,FALSE)</f>
        <v>TBS</v>
      </c>
      <c r="J460" s="139" t="str">
        <f>VLOOKUP(H460,Stock_list!A:S,17,FALSE)</f>
        <v>C49SZX20230136JAL</v>
      </c>
      <c r="K460" s="51" t="str">
        <f>VLOOKUP(H460,Stock_list!A:T,16,FALSE)</f>
        <v>USD</v>
      </c>
      <c r="L460" s="4">
        <v>45355</v>
      </c>
      <c r="M460" s="143">
        <v>2</v>
      </c>
      <c r="P460" s="4" t="str">
        <f>VLOOKUP(H460,Stock_list!A:Y,25,FALSE)</f>
        <v>Yes</v>
      </c>
      <c r="T460" s="144"/>
      <c r="U460" s="145" t="str">
        <f>VLOOKUP(H460,Stock_list!A:N,14,FALSE)</f>
        <v>MAR 24</v>
      </c>
    </row>
    <row r="461" spans="1:21" ht="16.5" customHeight="1">
      <c r="A461" s="159" t="s">
        <v>2744</v>
      </c>
      <c r="B461" s="114" t="str">
        <f>VLOOKUP(A461,'Data pick slip'!B:F,5,FALSE)</f>
        <v>KHJ-MC100-00</v>
      </c>
      <c r="F461" s="157" t="s">
        <v>1381</v>
      </c>
      <c r="H461" s="138">
        <v>2044</v>
      </c>
      <c r="I461" s="140" t="str">
        <f>VLOOKUP(H461,Stock_list!A:R,18,FALSE)</f>
        <v>派勤</v>
      </c>
      <c r="J461" s="139" t="str">
        <f>VLOOKUP(H461,Stock_list!A:S,17,FALSE)</f>
        <v>C49SZX202300141SS</v>
      </c>
      <c r="K461" s="51" t="str">
        <f>VLOOKUP(H461,Stock_list!A:T,16,FALSE)</f>
        <v>JPY</v>
      </c>
      <c r="L461" s="4">
        <v>45285</v>
      </c>
      <c r="M461" s="140">
        <v>54</v>
      </c>
      <c r="P461" s="4" t="str">
        <f>VLOOKUP(H461,Stock_list!A:Y,25,FALSE)</f>
        <v>Yes</v>
      </c>
      <c r="Q461" s="143"/>
      <c r="T461" s="144"/>
      <c r="U461" s="145" t="str">
        <f>VLOOKUP(H461,Stock_list!A:N,14,FALSE)</f>
        <v>DEC 23</v>
      </c>
    </row>
    <row r="462" spans="1:21" ht="16.5" customHeight="1">
      <c r="A462" s="159" t="s">
        <v>2755</v>
      </c>
      <c r="B462" s="114" t="str">
        <f>VLOOKUP(A462,'Data pick slip'!B:F,5,FALSE)</f>
        <v>KLJ-MC100-00</v>
      </c>
      <c r="F462" s="157" t="s">
        <v>1381</v>
      </c>
      <c r="H462" s="138" t="s">
        <v>4071</v>
      </c>
      <c r="I462" s="140">
        <v>66</v>
      </c>
      <c r="J462" s="267" t="s">
        <v>4303</v>
      </c>
      <c r="K462" s="51" t="s">
        <v>3002</v>
      </c>
      <c r="L462" s="4">
        <v>45274</v>
      </c>
      <c r="M462" s="140">
        <v>6</v>
      </c>
      <c r="P462" s="4" t="s">
        <v>4081</v>
      </c>
      <c r="Q462" s="143"/>
      <c r="T462" s="144"/>
      <c r="U462" s="145" t="e">
        <f>VLOOKUP(H462,Stock_list!A:N,14,FALSE)</f>
        <v>#N/A</v>
      </c>
    </row>
    <row r="463" spans="1:21" ht="16.5" customHeight="1">
      <c r="A463" s="159" t="s">
        <v>2756</v>
      </c>
      <c r="B463" s="114" t="str">
        <f>VLOOKUP(A463,'Data pick slip'!B:F,5,FALSE)</f>
        <v>KLJ-MC200-00</v>
      </c>
      <c r="F463" s="157" t="s">
        <v>1381</v>
      </c>
      <c r="H463" s="138" t="s">
        <v>4071</v>
      </c>
      <c r="I463" s="140">
        <v>66</v>
      </c>
      <c r="J463" s="267" t="s">
        <v>4303</v>
      </c>
      <c r="K463" s="51" t="s">
        <v>3002</v>
      </c>
      <c r="L463" s="4">
        <v>45274</v>
      </c>
      <c r="M463" s="140">
        <v>2</v>
      </c>
      <c r="P463" s="4" t="s">
        <v>4081</v>
      </c>
      <c r="Q463" s="143"/>
      <c r="T463" s="144"/>
      <c r="U463" s="145" t="e">
        <f>VLOOKUP(H463,Stock_list!A:N,14,FALSE)</f>
        <v>#N/A</v>
      </c>
    </row>
    <row r="464" spans="1:21" ht="16.5" customHeight="1">
      <c r="A464" s="159" t="s">
        <v>2758</v>
      </c>
      <c r="B464" s="114" t="str">
        <f>VLOOKUP(A464,'Data pick slip'!B:F,5,FALSE)</f>
        <v>KLJ-MC500-00</v>
      </c>
      <c r="F464" s="157" t="s">
        <v>1381</v>
      </c>
      <c r="H464" s="138" t="s">
        <v>4071</v>
      </c>
      <c r="I464" s="140">
        <v>66</v>
      </c>
      <c r="J464" s="267" t="s">
        <v>4303</v>
      </c>
      <c r="K464" s="51" t="s">
        <v>3002</v>
      </c>
      <c r="L464" s="4">
        <v>45274</v>
      </c>
      <c r="M464" s="140">
        <v>1</v>
      </c>
      <c r="P464" s="4" t="s">
        <v>4081</v>
      </c>
      <c r="Q464" s="143"/>
      <c r="T464" s="144"/>
      <c r="U464" s="145" t="e">
        <f>VLOOKUP(H464,Stock_list!A:N,14,FALSE)</f>
        <v>#N/A</v>
      </c>
    </row>
    <row r="465" spans="1:21" ht="16.5" customHeight="1">
      <c r="A465" s="159" t="s">
        <v>3074</v>
      </c>
      <c r="B465" s="114" t="str">
        <f>VLOOKUP(A465,'Data pick slip'!B:F,5,FALSE)</f>
        <v>KLJ-MC100-00</v>
      </c>
      <c r="F465" s="157" t="s">
        <v>1381</v>
      </c>
      <c r="H465" s="138" t="s">
        <v>4071</v>
      </c>
      <c r="I465" s="140">
        <v>66</v>
      </c>
      <c r="J465" s="267" t="s">
        <v>4306</v>
      </c>
      <c r="K465" s="51" t="s">
        <v>3002</v>
      </c>
      <c r="L465" s="290">
        <v>45275</v>
      </c>
      <c r="M465" s="140">
        <v>125</v>
      </c>
      <c r="P465" s="4" t="s">
        <v>4081</v>
      </c>
      <c r="Q465" s="143"/>
      <c r="S465" s="538" t="s">
        <v>4270</v>
      </c>
      <c r="T465" s="144"/>
      <c r="U465" s="145" t="e">
        <f>VLOOKUP(H465,Stock_list!A:N,14,FALSE)</f>
        <v>#N/A</v>
      </c>
    </row>
    <row r="466" spans="1:21" ht="16.5" customHeight="1">
      <c r="A466" s="159" t="s">
        <v>2744</v>
      </c>
      <c r="B466" s="114" t="str">
        <f>VLOOKUP(A466,'Data pick slip'!B:F,5,FALSE)</f>
        <v>KHJ-MC100-00</v>
      </c>
      <c r="F466" s="157" t="s">
        <v>2753</v>
      </c>
      <c r="H466" s="138" t="s">
        <v>4072</v>
      </c>
      <c r="I466" s="140">
        <v>66</v>
      </c>
      <c r="J466" s="267" t="s">
        <v>4308</v>
      </c>
      <c r="K466" s="51" t="s">
        <v>1246</v>
      </c>
      <c r="L466" s="4">
        <v>45274</v>
      </c>
      <c r="M466" s="140">
        <v>5</v>
      </c>
      <c r="P466" s="4" t="s">
        <v>4248</v>
      </c>
      <c r="Q466" s="143"/>
      <c r="T466" s="144"/>
      <c r="U466" s="145" t="e">
        <f>VLOOKUP(H466,Stock_list!A:N,14,FALSE)</f>
        <v>#N/A</v>
      </c>
    </row>
    <row r="467" spans="1:21" ht="16.5" customHeight="1">
      <c r="A467" s="159" t="s">
        <v>3074</v>
      </c>
      <c r="B467" s="114" t="str">
        <f>VLOOKUP(A467,'Data pick slip'!B:F,5,FALSE)</f>
        <v>KLJ-MC100-00</v>
      </c>
      <c r="F467" s="157" t="s">
        <v>2753</v>
      </c>
      <c r="H467" s="138" t="s">
        <v>4071</v>
      </c>
      <c r="I467" s="140">
        <v>66</v>
      </c>
      <c r="J467" s="267" t="s">
        <v>4309</v>
      </c>
      <c r="K467" s="51" t="s">
        <v>1246</v>
      </c>
      <c r="L467" s="4">
        <v>45275</v>
      </c>
      <c r="M467" s="140">
        <v>15</v>
      </c>
      <c r="P467" s="4" t="s">
        <v>4082</v>
      </c>
      <c r="Q467" s="143"/>
      <c r="T467" s="144"/>
      <c r="U467" s="145" t="e">
        <f>VLOOKUP(H467,Stock_list!A:N,14,FALSE)</f>
        <v>#N/A</v>
      </c>
    </row>
    <row r="468" spans="1:21" ht="16.5" customHeight="1">
      <c r="A468" s="159" t="s">
        <v>3074</v>
      </c>
      <c r="B468" s="114" t="str">
        <f>VLOOKUP(A468,'Data pick slip'!B:F,5,FALSE)</f>
        <v>KLJ-MC100-00</v>
      </c>
      <c r="F468" s="157" t="s">
        <v>1381</v>
      </c>
      <c r="I468" s="387" t="s">
        <v>3951</v>
      </c>
      <c r="J468" s="269" t="s">
        <v>4324</v>
      </c>
      <c r="K468" s="51" t="s">
        <v>1246</v>
      </c>
      <c r="L468" s="4">
        <v>45280</v>
      </c>
      <c r="M468" s="140">
        <v>15</v>
      </c>
      <c r="P468" s="4" t="s">
        <v>291</v>
      </c>
      <c r="Q468" s="143"/>
      <c r="T468" s="144"/>
      <c r="U468" s="145" t="e">
        <f>VLOOKUP(H468,Stock_list!A:N,14,FALSE)</f>
        <v>#N/A</v>
      </c>
    </row>
    <row r="469" spans="1:21" ht="16.5" customHeight="1">
      <c r="A469" s="159" t="s">
        <v>2744</v>
      </c>
      <c r="B469" s="114" t="str">
        <f>VLOOKUP(A469,'Data pick slip'!B:F,5,FALSE)</f>
        <v>KHJ-MC100-00</v>
      </c>
      <c r="F469" s="157" t="s">
        <v>1381</v>
      </c>
      <c r="H469" s="138">
        <v>2045</v>
      </c>
      <c r="I469" s="140" t="str">
        <f>VLOOKUP(H469,Stock_list!A:R,18,FALSE)</f>
        <v>朗格邦定</v>
      </c>
      <c r="J469" s="139" t="str">
        <f>VLOOKUP(H469,Stock_list!A:S,17,FALSE)</f>
        <v>C49SZX20230142MZ</v>
      </c>
      <c r="K469" s="51" t="str">
        <f>VLOOKUP(H469,Stock_list!A:T,16,FALSE)</f>
        <v>JPY</v>
      </c>
      <c r="L469" s="4">
        <v>45315</v>
      </c>
      <c r="M469" s="140">
        <v>40</v>
      </c>
      <c r="P469" s="4" t="str">
        <f>VLOOKUP(H469,Stock_list!A:Y,25,FALSE)</f>
        <v>Yes</v>
      </c>
      <c r="Q469" s="143"/>
      <c r="T469" s="144"/>
      <c r="U469" s="145" t="str">
        <f>VLOOKUP(H469,Stock_list!A:N,14,FALSE)</f>
        <v>JAN 24</v>
      </c>
    </row>
    <row r="470" spans="1:21" ht="16.5" customHeight="1">
      <c r="A470" s="159" t="s">
        <v>2747</v>
      </c>
      <c r="B470" s="114" t="str">
        <f>VLOOKUP(A470,'Data pick slip'!B:F,5,FALSE)</f>
        <v>KHJ-MC200-00</v>
      </c>
      <c r="F470" s="157" t="s">
        <v>1381</v>
      </c>
      <c r="H470" s="138">
        <v>2045</v>
      </c>
      <c r="I470" s="140" t="str">
        <f>VLOOKUP(H470,Stock_list!A:R,18,FALSE)</f>
        <v>朗格邦定</v>
      </c>
      <c r="J470" s="139" t="str">
        <f>VLOOKUP(H470,Stock_list!A:S,17,FALSE)</f>
        <v>C49SZX20230142MZ</v>
      </c>
      <c r="K470" s="51" t="str">
        <f>VLOOKUP(H470,Stock_list!A:T,16,FALSE)</f>
        <v>JPY</v>
      </c>
      <c r="L470" s="4">
        <v>45315</v>
      </c>
      <c r="M470" s="140">
        <v>4</v>
      </c>
      <c r="P470" s="4" t="str">
        <f>VLOOKUP(H470,Stock_list!A:Y,25,FALSE)</f>
        <v>Yes</v>
      </c>
      <c r="Q470" s="143"/>
      <c r="T470" s="144"/>
      <c r="U470" s="145" t="str">
        <f>VLOOKUP(H470,Stock_list!A:N,14,FALSE)</f>
        <v>JAN 24</v>
      </c>
    </row>
    <row r="471" spans="1:21" ht="16.5" customHeight="1">
      <c r="A471" s="159" t="s">
        <v>2744</v>
      </c>
      <c r="B471" s="114" t="str">
        <f>VLOOKUP(A471,'Data pick slip'!B:F,5,FALSE)</f>
        <v>KHJ-MC100-00</v>
      </c>
      <c r="F471" s="157" t="s">
        <v>1381</v>
      </c>
      <c r="H471" s="138">
        <v>2047</v>
      </c>
      <c r="I471" s="140" t="str">
        <f>VLOOKUP(H471,Stock_list!A:R,18,FALSE)</f>
        <v>联鸿精密（end user:倍美斯）</v>
      </c>
      <c r="J471" s="139" t="str">
        <f>VLOOKUP(H471,Stock_list!A:S,17,FALSE)</f>
        <v>C49SZX20230139DX</v>
      </c>
      <c r="K471" s="51" t="str">
        <f>VLOOKUP(H471,Stock_list!A:T,16,FALSE)</f>
        <v>JPY</v>
      </c>
      <c r="L471" s="4">
        <v>45281</v>
      </c>
      <c r="M471" s="143">
        <v>50</v>
      </c>
      <c r="P471" s="4" t="str">
        <f>VLOOKUP(H471,Stock_list!A:Y,25,FALSE)</f>
        <v>Yes</v>
      </c>
      <c r="T471" s="144"/>
      <c r="U471" s="145" t="str">
        <f>VLOOKUP(H471,Stock_list!A:N,14,FALSE)</f>
        <v>DEC 23</v>
      </c>
    </row>
    <row r="472" spans="1:21" ht="16.5" customHeight="1">
      <c r="A472" s="159" t="s">
        <v>2747</v>
      </c>
      <c r="B472" s="114" t="str">
        <f>VLOOKUP(A472,'Data pick slip'!B:F,5,FALSE)</f>
        <v>KHJ-MC200-00</v>
      </c>
      <c r="F472" s="157" t="s">
        <v>1381</v>
      </c>
      <c r="H472" s="138">
        <v>2047</v>
      </c>
      <c r="I472" s="140" t="str">
        <f>VLOOKUP(H472,Stock_list!A:R,18,FALSE)</f>
        <v>联鸿精密（end user:倍美斯）</v>
      </c>
      <c r="J472" s="139" t="str">
        <f>VLOOKUP(H472,Stock_list!A:S,17,FALSE)</f>
        <v>C49SZX20230139DX</v>
      </c>
      <c r="K472" s="51" t="str">
        <f>VLOOKUP(H472,Stock_list!A:T,16,FALSE)</f>
        <v>JPY</v>
      </c>
      <c r="L472" s="4">
        <v>45281</v>
      </c>
      <c r="M472" s="143">
        <v>8</v>
      </c>
      <c r="P472" s="4" t="str">
        <f>VLOOKUP(H472,Stock_list!A:Y,25,FALSE)</f>
        <v>Yes</v>
      </c>
      <c r="T472" s="144"/>
      <c r="U472" s="145" t="str">
        <f>VLOOKUP(H472,Stock_list!A:N,14,FALSE)</f>
        <v>DEC 23</v>
      </c>
    </row>
    <row r="473" spans="1:21" ht="16.5" customHeight="1">
      <c r="A473" s="159" t="s">
        <v>2748</v>
      </c>
      <c r="B473" s="114" t="str">
        <f>VLOOKUP(A473,'Data pick slip'!B:F,5,FALSE)</f>
        <v>KHJ-MC400-00</v>
      </c>
      <c r="F473" s="157" t="s">
        <v>2753</v>
      </c>
      <c r="H473" s="138">
        <v>2047</v>
      </c>
      <c r="I473" s="140" t="str">
        <f>VLOOKUP(H473,Stock_list!A:R,18,FALSE)</f>
        <v>联鸿精密（end user:倍美斯）</v>
      </c>
      <c r="J473" s="139" t="str">
        <f>VLOOKUP(H473,Stock_list!A:S,17,FALSE)</f>
        <v>C49SZX20230139DX</v>
      </c>
      <c r="K473" s="51" t="str">
        <f>VLOOKUP(H473,Stock_list!A:T,16,FALSE)</f>
        <v>JPY</v>
      </c>
      <c r="L473" s="4">
        <v>45281</v>
      </c>
      <c r="M473" s="143">
        <v>2</v>
      </c>
      <c r="P473" s="4" t="str">
        <f>VLOOKUP(H473,Stock_list!A:Y,25,FALSE)</f>
        <v>Yes</v>
      </c>
      <c r="S473" s="268" t="s">
        <v>2778</v>
      </c>
      <c r="T473" s="266" t="s">
        <v>4311</v>
      </c>
      <c r="U473" s="145" t="str">
        <f>VLOOKUP(H473,Stock_list!A:N,14,FALSE)</f>
        <v>DEC 23</v>
      </c>
    </row>
    <row r="474" spans="1:21" ht="16.5" customHeight="1">
      <c r="A474" s="159" t="s">
        <v>2744</v>
      </c>
      <c r="B474" s="114" t="str">
        <f>VLOOKUP(A474,'Data pick slip'!B:F,5,FALSE)</f>
        <v>KHJ-MC100-00</v>
      </c>
      <c r="F474" s="157" t="s">
        <v>1381</v>
      </c>
      <c r="H474" s="138">
        <v>2050</v>
      </c>
      <c r="I474" s="140" t="str">
        <f>VLOOKUP(H474,Stock_list!A:R,18,FALSE)</f>
        <v>盈通恒翼</v>
      </c>
      <c r="J474" s="139" t="str">
        <f>VLOOKUP(H474,Stock_list!A:S,17,FALSE)</f>
        <v>C49SZX20230142SS</v>
      </c>
      <c r="K474" s="51" t="str">
        <f>VLOOKUP(H474,Stock_list!A:T,16,FALSE)</f>
        <v>JPY</v>
      </c>
      <c r="L474" s="4">
        <v>45314</v>
      </c>
      <c r="M474" s="140">
        <v>44</v>
      </c>
      <c r="N474" s="143"/>
      <c r="P474" s="4" t="str">
        <f>VLOOKUP(H474,Stock_list!A:Y,25,FALSE)</f>
        <v>Yes</v>
      </c>
      <c r="T474" s="144"/>
      <c r="U474" s="145" t="str">
        <f>VLOOKUP(H474,Stock_list!A:N,14,FALSE)</f>
        <v>JAN 24</v>
      </c>
    </row>
    <row r="475" spans="1:21" ht="16.5" customHeight="1">
      <c r="A475" s="159" t="s">
        <v>2747</v>
      </c>
      <c r="B475" s="114" t="str">
        <f>VLOOKUP(A475,'Data pick slip'!B:F,5,FALSE)</f>
        <v>KHJ-MC200-00</v>
      </c>
      <c r="F475" s="157" t="s">
        <v>1381</v>
      </c>
      <c r="H475" s="138">
        <v>2050</v>
      </c>
      <c r="I475" s="140" t="str">
        <f>VLOOKUP(H475,Stock_list!A:R,18,FALSE)</f>
        <v>盈通恒翼</v>
      </c>
      <c r="J475" s="139" t="str">
        <f>VLOOKUP(H475,Stock_list!A:S,17,FALSE)</f>
        <v>C49SZX20230142SS</v>
      </c>
      <c r="K475" s="51" t="str">
        <f>VLOOKUP(H475,Stock_list!A:T,16,FALSE)</f>
        <v>JPY</v>
      </c>
      <c r="L475" s="4">
        <v>45314</v>
      </c>
      <c r="M475" s="140">
        <v>16</v>
      </c>
      <c r="N475" s="143"/>
      <c r="P475" s="4" t="str">
        <f>VLOOKUP(H475,Stock_list!A:Y,25,FALSE)</f>
        <v>Yes</v>
      </c>
      <c r="T475" s="144"/>
      <c r="U475" s="145" t="str">
        <f>VLOOKUP(H475,Stock_list!A:N,14,FALSE)</f>
        <v>JAN 24</v>
      </c>
    </row>
    <row r="476" spans="1:21" ht="16.5" customHeight="1">
      <c r="A476" s="159" t="s">
        <v>2744</v>
      </c>
      <c r="B476" s="114" t="str">
        <f>VLOOKUP(A476,'Data pick slip'!B:F,5,FALSE)</f>
        <v>KHJ-MC100-00</v>
      </c>
      <c r="F476" s="157" t="s">
        <v>1381</v>
      </c>
      <c r="H476" s="138">
        <v>2058</v>
      </c>
      <c r="I476" s="140" t="str">
        <f>VLOOKUP(H476,Stock_list!A:R,18,FALSE)</f>
        <v>柏星</v>
      </c>
      <c r="J476" s="139" t="str">
        <f>VLOOKUP(H476,Stock_list!A:S,17,FALSE)</f>
        <v>C49SZX20230143SX</v>
      </c>
      <c r="K476" s="51" t="str">
        <f>VLOOKUP(H476,Stock_list!A:T,16,FALSE)</f>
        <v>JPY</v>
      </c>
      <c r="L476" s="4">
        <v>45306</v>
      </c>
      <c r="M476" s="143">
        <v>30</v>
      </c>
      <c r="P476" s="4" t="str">
        <f>VLOOKUP(H476,Stock_list!A:Y,25,FALSE)</f>
        <v>Yes</v>
      </c>
      <c r="T476" s="144"/>
      <c r="U476" s="145" t="str">
        <f>VLOOKUP(H476,Stock_list!A:N,14,FALSE)</f>
        <v>JAN 24</v>
      </c>
    </row>
    <row r="477" spans="1:21" ht="16.5" customHeight="1">
      <c r="A477" s="159" t="s">
        <v>2747</v>
      </c>
      <c r="B477" s="114" t="str">
        <f>VLOOKUP(A477,'Data pick slip'!B:F,5,FALSE)</f>
        <v>KHJ-MC200-00</v>
      </c>
      <c r="F477" s="157" t="s">
        <v>1381</v>
      </c>
      <c r="H477" s="138">
        <v>2058</v>
      </c>
      <c r="I477" s="140" t="str">
        <f>VLOOKUP(H477,Stock_list!A:R,18,FALSE)</f>
        <v>柏星</v>
      </c>
      <c r="J477" s="139" t="str">
        <f>VLOOKUP(H477,Stock_list!A:S,17,FALSE)</f>
        <v>C49SZX20230143SX</v>
      </c>
      <c r="K477" s="51" t="str">
        <f>VLOOKUP(H477,Stock_list!A:T,16,FALSE)</f>
        <v>JPY</v>
      </c>
      <c r="L477" s="4">
        <v>45306</v>
      </c>
      <c r="M477" s="143">
        <v>10</v>
      </c>
      <c r="P477" s="4" t="str">
        <f>VLOOKUP(H477,Stock_list!A:Y,25,FALSE)</f>
        <v>Yes</v>
      </c>
      <c r="T477" s="144"/>
      <c r="U477" s="145" t="str">
        <f>VLOOKUP(H477,Stock_list!A:N,14,FALSE)</f>
        <v>JAN 24</v>
      </c>
    </row>
    <row r="478" spans="1:21" ht="28.5" customHeight="1">
      <c r="A478" s="159" t="s">
        <v>2744</v>
      </c>
      <c r="B478" s="114" t="str">
        <f>VLOOKUP(A478,'Data pick slip'!B:F,5,FALSE)</f>
        <v>KHJ-MC100-00</v>
      </c>
      <c r="F478" s="157" t="s">
        <v>2753</v>
      </c>
      <c r="H478" s="138" t="s">
        <v>4072</v>
      </c>
      <c r="I478" s="140">
        <v>66</v>
      </c>
      <c r="J478" s="379" t="s">
        <v>4342</v>
      </c>
      <c r="K478" s="51" t="s">
        <v>1246</v>
      </c>
      <c r="L478" s="4">
        <v>45294</v>
      </c>
      <c r="M478" s="140">
        <v>10</v>
      </c>
      <c r="P478" s="4" t="s">
        <v>4248</v>
      </c>
      <c r="Q478" s="143"/>
      <c r="T478" s="144"/>
      <c r="U478" s="145" t="e">
        <f>VLOOKUP(H478,Stock_list!A:N,14,FALSE)</f>
        <v>#N/A</v>
      </c>
    </row>
    <row r="479" spans="1:21" ht="16.5" customHeight="1">
      <c r="A479" s="159" t="s">
        <v>2751</v>
      </c>
      <c r="B479" s="114" t="str">
        <f>VLOOKUP(A479,'Data pick slip'!B:F,5,FALSE)</f>
        <v>KHJ-MC700-00</v>
      </c>
      <c r="F479" s="157" t="s">
        <v>2753</v>
      </c>
      <c r="H479" s="138" t="s">
        <v>4072</v>
      </c>
      <c r="I479" s="140">
        <v>66</v>
      </c>
      <c r="J479" s="269" t="s">
        <v>4343</v>
      </c>
      <c r="K479" s="51" t="s">
        <v>1246</v>
      </c>
      <c r="L479" s="4">
        <v>45294</v>
      </c>
      <c r="M479" s="140">
        <v>1</v>
      </c>
      <c r="P479" s="4" t="s">
        <v>4248</v>
      </c>
      <c r="Q479" s="143"/>
      <c r="T479" s="144"/>
      <c r="U479" s="145" t="e">
        <f>VLOOKUP(H479,Stock_list!A:N,14,FALSE)</f>
        <v>#N/A</v>
      </c>
    </row>
    <row r="480" spans="1:21" ht="16.5" customHeight="1">
      <c r="A480" s="159" t="s">
        <v>2755</v>
      </c>
      <c r="B480" s="114" t="str">
        <f>VLOOKUP(A480,'Data pick slip'!B:F,5,FALSE)</f>
        <v>KLJ-MC100-00</v>
      </c>
      <c r="F480" s="157" t="s">
        <v>1381</v>
      </c>
      <c r="H480" s="138" t="s">
        <v>4071</v>
      </c>
      <c r="I480" s="140">
        <v>66</v>
      </c>
      <c r="J480" s="267" t="s">
        <v>4348</v>
      </c>
      <c r="K480" s="51" t="s">
        <v>1246</v>
      </c>
      <c r="L480" s="290">
        <v>45316</v>
      </c>
      <c r="M480" s="132">
        <v>120</v>
      </c>
      <c r="P480" s="4" t="s">
        <v>4082</v>
      </c>
      <c r="Q480" s="143"/>
      <c r="T480" s="144"/>
      <c r="U480" s="145" t="e">
        <f>VLOOKUP(H480,Stock_list!A:N,14,FALSE)</f>
        <v>#N/A</v>
      </c>
    </row>
    <row r="481" spans="1:21" ht="16.5" customHeight="1">
      <c r="A481" s="159" t="s">
        <v>2756</v>
      </c>
      <c r="B481" s="114" t="str">
        <f>VLOOKUP(A481,'Data pick slip'!B:F,5,FALSE)</f>
        <v>KLJ-MC200-00</v>
      </c>
      <c r="F481" s="157" t="s">
        <v>1381</v>
      </c>
      <c r="H481" s="138" t="s">
        <v>4071</v>
      </c>
      <c r="I481" s="140">
        <v>66</v>
      </c>
      <c r="J481" s="267" t="s">
        <v>4348</v>
      </c>
      <c r="K481" s="51" t="s">
        <v>1246</v>
      </c>
      <c r="L481" s="290">
        <v>45316</v>
      </c>
      <c r="M481" s="132">
        <v>14</v>
      </c>
      <c r="P481" s="4" t="s">
        <v>4082</v>
      </c>
      <c r="Q481" s="143"/>
      <c r="T481" s="144"/>
      <c r="U481" s="145" t="e">
        <f>VLOOKUP(H481,Stock_list!A:N,14,FALSE)</f>
        <v>#N/A</v>
      </c>
    </row>
    <row r="482" spans="1:21" ht="16.5" customHeight="1">
      <c r="A482" s="159" t="s">
        <v>2757</v>
      </c>
      <c r="B482" s="114" t="str">
        <f>VLOOKUP(A482,'Data pick slip'!B:F,5,FALSE)</f>
        <v>KLJ-MC400-00</v>
      </c>
      <c r="F482" s="157" t="s">
        <v>1381</v>
      </c>
      <c r="H482" s="138" t="s">
        <v>4071</v>
      </c>
      <c r="I482" s="140">
        <v>66</v>
      </c>
      <c r="J482" s="267" t="s">
        <v>4348</v>
      </c>
      <c r="K482" s="51" t="s">
        <v>1246</v>
      </c>
      <c r="L482" s="290">
        <v>45316</v>
      </c>
      <c r="M482" s="132">
        <v>5</v>
      </c>
      <c r="P482" s="4" t="s">
        <v>4082</v>
      </c>
      <c r="Q482" s="143"/>
      <c r="T482" s="144"/>
      <c r="U482" s="145" t="e">
        <f>VLOOKUP(H482,Stock_list!A:N,14,FALSE)</f>
        <v>#N/A</v>
      </c>
    </row>
    <row r="483" spans="1:21" ht="16.5" customHeight="1">
      <c r="A483" s="159" t="s">
        <v>2758</v>
      </c>
      <c r="B483" s="114" t="str">
        <f>VLOOKUP(A483,'Data pick slip'!B:F,5,FALSE)</f>
        <v>KLJ-MC500-00</v>
      </c>
      <c r="F483" s="157" t="s">
        <v>1381</v>
      </c>
      <c r="H483" s="138" t="s">
        <v>4071</v>
      </c>
      <c r="I483" s="140">
        <v>66</v>
      </c>
      <c r="J483" s="267" t="s">
        <v>4348</v>
      </c>
      <c r="K483" s="51" t="s">
        <v>1246</v>
      </c>
      <c r="L483" s="290">
        <v>45316</v>
      </c>
      <c r="M483" s="132">
        <v>3</v>
      </c>
      <c r="P483" s="4" t="s">
        <v>4082</v>
      </c>
      <c r="Q483" s="143"/>
      <c r="T483" s="144"/>
      <c r="U483" s="145" t="e">
        <f>VLOOKUP(H483,Stock_list!A:N,14,FALSE)</f>
        <v>#N/A</v>
      </c>
    </row>
    <row r="484" spans="1:21" ht="16.5" customHeight="1">
      <c r="A484" s="159" t="s">
        <v>2759</v>
      </c>
      <c r="B484" s="114" t="str">
        <f>VLOOKUP(A484,'Data pick slip'!B:F,5,FALSE)</f>
        <v>KLJ-MC600-00</v>
      </c>
      <c r="F484" s="157" t="s">
        <v>1381</v>
      </c>
      <c r="H484" s="138" t="s">
        <v>4071</v>
      </c>
      <c r="I484" s="140">
        <v>66</v>
      </c>
      <c r="J484" s="267" t="s">
        <v>4348</v>
      </c>
      <c r="K484" s="51" t="s">
        <v>1246</v>
      </c>
      <c r="L484" s="290">
        <v>45316</v>
      </c>
      <c r="M484" s="132">
        <v>2</v>
      </c>
      <c r="P484" s="4" t="s">
        <v>4082</v>
      </c>
      <c r="Q484" s="143"/>
      <c r="T484" s="144"/>
      <c r="U484" s="145" t="e">
        <f>VLOOKUP(H484,Stock_list!A:N,14,FALSE)</f>
        <v>#N/A</v>
      </c>
    </row>
    <row r="485" spans="1:21" ht="16.5" customHeight="1">
      <c r="A485" s="159" t="s">
        <v>2744</v>
      </c>
      <c r="B485" s="114" t="str">
        <f>VLOOKUP(A485,'Data pick slip'!B:F,5,FALSE)</f>
        <v>KHJ-MC100-00</v>
      </c>
      <c r="F485" s="157" t="s">
        <v>2753</v>
      </c>
      <c r="H485" s="138">
        <v>2061</v>
      </c>
      <c r="I485" s="827" t="str">
        <f>VLOOKUP(H485,Stock_list!A:R,18,FALSE)</f>
        <v>豫龙辉</v>
      </c>
      <c r="J485" s="828" t="str">
        <f>VLOOKUP(H485,Stock_list!A:S,17,FALSE)</f>
        <v>C49SZX20240001JY</v>
      </c>
      <c r="K485" s="829" t="str">
        <f>VLOOKUP(H485,Stock_list!A:T,16,FALSE)</f>
        <v>JPY</v>
      </c>
      <c r="L485" s="830">
        <v>45349</v>
      </c>
      <c r="M485" s="827">
        <v>20</v>
      </c>
      <c r="N485" s="833"/>
      <c r="O485" s="833"/>
      <c r="P485" s="830" t="str">
        <f>VLOOKUP(H485,Stock_list!A:Y,25,FALSE)</f>
        <v>Yes</v>
      </c>
      <c r="Q485" s="831"/>
      <c r="R485" s="834"/>
      <c r="S485" s="835" t="s">
        <v>4374</v>
      </c>
      <c r="T485" s="144"/>
      <c r="U485" s="145" t="str">
        <f>VLOOKUP(H485,Stock_list!A:N,14,FALSE)</f>
        <v>FEB 24</v>
      </c>
    </row>
    <row r="486" spans="1:21" ht="16.5" customHeight="1">
      <c r="A486" s="159" t="s">
        <v>2747</v>
      </c>
      <c r="B486" s="114" t="str">
        <f>VLOOKUP(A486,'Data pick slip'!B:F,5,FALSE)</f>
        <v>KHJ-MC200-00</v>
      </c>
      <c r="F486" s="157" t="s">
        <v>2753</v>
      </c>
      <c r="H486" s="138">
        <v>2061</v>
      </c>
      <c r="I486" s="140" t="str">
        <f>VLOOKUP(H486,Stock_list!A:R,18,FALSE)</f>
        <v>豫龙辉</v>
      </c>
      <c r="J486" s="139" t="str">
        <f>VLOOKUP(H486,Stock_list!A:S,17,FALSE)</f>
        <v>C49SZX20240001JY</v>
      </c>
      <c r="K486" s="51" t="str">
        <f>VLOOKUP(H486,Stock_list!A:T,16,FALSE)</f>
        <v>JPY</v>
      </c>
      <c r="L486" s="4">
        <v>45349</v>
      </c>
      <c r="M486" s="140">
        <v>3</v>
      </c>
      <c r="P486" s="4" t="str">
        <f>VLOOKUP(H486,Stock_list!A:Y,25,FALSE)</f>
        <v>Yes</v>
      </c>
      <c r="Q486" s="143"/>
      <c r="S486" s="123" t="s">
        <v>4279</v>
      </c>
      <c r="T486" s="144"/>
      <c r="U486" s="145" t="str">
        <f>VLOOKUP(H486,Stock_list!A:N,14,FALSE)</f>
        <v>FEB 24</v>
      </c>
    </row>
    <row r="487" spans="1:21" ht="16.5" customHeight="1">
      <c r="A487" s="159" t="s">
        <v>2744</v>
      </c>
      <c r="B487" s="114" t="str">
        <f>VLOOKUP(A487,'Data pick slip'!B:F,5,FALSE)</f>
        <v>KHJ-MC100-00</v>
      </c>
      <c r="F487" s="157" t="s">
        <v>2753</v>
      </c>
      <c r="H487" s="138" t="s">
        <v>4071</v>
      </c>
      <c r="I487" s="140">
        <v>66</v>
      </c>
      <c r="J487" s="139" t="s">
        <v>4358</v>
      </c>
      <c r="K487" s="51" t="s">
        <v>1246</v>
      </c>
      <c r="L487" s="4">
        <v>45303</v>
      </c>
      <c r="M487" s="140">
        <v>20</v>
      </c>
      <c r="P487" s="4" t="s">
        <v>4248</v>
      </c>
      <c r="Q487" s="143"/>
      <c r="T487" s="144"/>
      <c r="U487" s="145" t="e">
        <f>VLOOKUP(H487,Stock_list!A:N,14,FALSE)</f>
        <v>#N/A</v>
      </c>
    </row>
    <row r="488" spans="1:21" ht="16.5" customHeight="1">
      <c r="A488" s="159" t="s">
        <v>2750</v>
      </c>
      <c r="B488" s="114" t="str">
        <f>VLOOKUP(A488,'Data pick slip'!B:F,5,FALSE)</f>
        <v>KHJ-MC600-00</v>
      </c>
      <c r="F488" s="157" t="s">
        <v>2753</v>
      </c>
      <c r="H488" s="138" t="s">
        <v>4071</v>
      </c>
      <c r="I488" s="140">
        <v>66</v>
      </c>
      <c r="J488" s="139" t="s">
        <v>4358</v>
      </c>
      <c r="K488" s="51" t="s">
        <v>1246</v>
      </c>
      <c r="L488" s="4">
        <v>45303</v>
      </c>
      <c r="M488" s="140">
        <v>1</v>
      </c>
      <c r="P488" s="4" t="s">
        <v>4248</v>
      </c>
      <c r="Q488" s="143"/>
      <c r="T488" s="144"/>
      <c r="U488" s="145" t="e">
        <f>VLOOKUP(H488,Stock_list!A:N,14,FALSE)</f>
        <v>#N/A</v>
      </c>
    </row>
    <row r="489" spans="1:21" ht="16.5" customHeight="1">
      <c r="A489" s="159" t="s">
        <v>2751</v>
      </c>
      <c r="B489" s="114" t="str">
        <f>VLOOKUP(A489,'Data pick slip'!B:F,5,FALSE)</f>
        <v>KHJ-MC700-00</v>
      </c>
      <c r="F489" s="157" t="s">
        <v>2753</v>
      </c>
      <c r="H489" s="138" t="s">
        <v>4071</v>
      </c>
      <c r="I489" s="140">
        <v>66</v>
      </c>
      <c r="J489" s="139" t="s">
        <v>4358</v>
      </c>
      <c r="K489" s="51" t="s">
        <v>1246</v>
      </c>
      <c r="L489" s="4">
        <v>45303</v>
      </c>
      <c r="M489" s="140">
        <v>1</v>
      </c>
      <c r="P489" s="4" t="s">
        <v>4248</v>
      </c>
      <c r="Q489" s="143"/>
      <c r="T489" s="144"/>
      <c r="U489" s="145" t="e">
        <f>VLOOKUP(H489,Stock_list!A:N,14,FALSE)</f>
        <v>#N/A</v>
      </c>
    </row>
    <row r="490" spans="1:21" ht="24.75" customHeight="1">
      <c r="A490" s="159" t="s">
        <v>2757</v>
      </c>
      <c r="B490" s="114" t="str">
        <f>VLOOKUP(A490,'Data pick slip'!B:F,5,FALSE)</f>
        <v>KLJ-MC400-00</v>
      </c>
      <c r="F490" s="157" t="s">
        <v>1381</v>
      </c>
      <c r="H490" s="138" t="s">
        <v>4072</v>
      </c>
      <c r="I490" s="140">
        <v>66</v>
      </c>
      <c r="J490" s="139" t="s">
        <v>4361</v>
      </c>
      <c r="K490" s="51" t="s">
        <v>1246</v>
      </c>
      <c r="L490" s="290">
        <v>45316</v>
      </c>
      <c r="M490" s="140">
        <v>3</v>
      </c>
      <c r="N490" s="140"/>
      <c r="P490" s="4" t="s">
        <v>4082</v>
      </c>
      <c r="Q490" s="143"/>
      <c r="T490" s="144"/>
      <c r="U490" s="145" t="e">
        <f>VLOOKUP(H490,Stock_list!A:N,14,FALSE)</f>
        <v>#N/A</v>
      </c>
    </row>
    <row r="491" spans="1:21" ht="24" customHeight="1">
      <c r="A491" s="159" t="s">
        <v>2758</v>
      </c>
      <c r="B491" s="114" t="str">
        <f>VLOOKUP(A491,'Data pick slip'!B:F,5,FALSE)</f>
        <v>KLJ-MC500-00</v>
      </c>
      <c r="F491" s="157" t="s">
        <v>1381</v>
      </c>
      <c r="H491" s="138" t="s">
        <v>4072</v>
      </c>
      <c r="I491" s="140">
        <v>66</v>
      </c>
      <c r="J491" s="139" t="s">
        <v>4361</v>
      </c>
      <c r="K491" s="51" t="s">
        <v>1246</v>
      </c>
      <c r="L491" s="290">
        <v>45316</v>
      </c>
      <c r="M491" s="140">
        <v>2</v>
      </c>
      <c r="N491" s="140"/>
      <c r="P491" s="4" t="s">
        <v>4082</v>
      </c>
      <c r="Q491" s="143"/>
      <c r="T491" s="144"/>
      <c r="U491" s="145" t="e">
        <f>VLOOKUP(H491,Stock_list!A:N,14,FALSE)</f>
        <v>#N/A</v>
      </c>
    </row>
    <row r="492" spans="1:21" ht="16.5" customHeight="1">
      <c r="A492" s="159" t="s">
        <v>2744</v>
      </c>
      <c r="B492" s="114" t="str">
        <f>VLOOKUP(A492,'Data pick slip'!B:F,5,FALSE)</f>
        <v>KHJ-MC100-00</v>
      </c>
      <c r="F492" s="157" t="s">
        <v>2753</v>
      </c>
      <c r="H492" s="138">
        <v>2062</v>
      </c>
      <c r="I492" s="140" t="str">
        <f>VLOOKUP(H492,Stock_list!A:R,18,FALSE)</f>
        <v>中孟</v>
      </c>
      <c r="J492" s="139" t="str">
        <f>VLOOKUP(H492,Stock_list!A:S,17,FALSE)</f>
        <v>C49SZX20240006SQ</v>
      </c>
      <c r="K492" s="51" t="str">
        <f>VLOOKUP(H492,Stock_list!A:T,16,FALSE)</f>
        <v>RMB</v>
      </c>
      <c r="L492" s="4"/>
      <c r="N492" s="143">
        <v>40</v>
      </c>
      <c r="P492" s="4" t="str">
        <f>VLOOKUP(H492,Stock_list!A:Y,25,FALSE)</f>
        <v>Yes</v>
      </c>
      <c r="T492" s="144"/>
      <c r="U492" s="145" t="str">
        <f>VLOOKUP(H492,Stock_list!A:N,14,FALSE)</f>
        <v>MAR 24</v>
      </c>
    </row>
    <row r="493" spans="1:21" ht="16.5" customHeight="1">
      <c r="A493" s="159" t="s">
        <v>2747</v>
      </c>
      <c r="B493" s="114" t="str">
        <f>VLOOKUP(A493,'Data pick slip'!B:F,5,FALSE)</f>
        <v>KHJ-MC200-00</v>
      </c>
      <c r="F493" s="157" t="s">
        <v>2753</v>
      </c>
      <c r="H493" s="138">
        <v>2062</v>
      </c>
      <c r="I493" s="140" t="str">
        <f>VLOOKUP(H493,Stock_list!A:R,18,FALSE)</f>
        <v>中孟</v>
      </c>
      <c r="J493" s="139" t="str">
        <f>VLOOKUP(H493,Stock_list!A:S,17,FALSE)</f>
        <v>C49SZX20240006SQ</v>
      </c>
      <c r="K493" s="51" t="str">
        <f>VLOOKUP(H493,Stock_list!A:T,16,FALSE)</f>
        <v>RMB</v>
      </c>
      <c r="L493" s="4"/>
      <c r="N493" s="143">
        <v>10</v>
      </c>
      <c r="P493" s="4" t="str">
        <f>VLOOKUP(H493,Stock_list!A:Y,25,FALSE)</f>
        <v>Yes</v>
      </c>
      <c r="T493" s="144"/>
      <c r="U493" s="145" t="str">
        <f>VLOOKUP(H493,Stock_list!A:N,14,FALSE)</f>
        <v>MAR 24</v>
      </c>
    </row>
    <row r="494" spans="1:21" ht="16.5" customHeight="1">
      <c r="A494" s="159" t="s">
        <v>2748</v>
      </c>
      <c r="B494" s="114" t="str">
        <f>VLOOKUP(A494,'Data pick slip'!B:F,5,FALSE)</f>
        <v>KHJ-MC400-00</v>
      </c>
      <c r="F494" s="157" t="s">
        <v>2753</v>
      </c>
      <c r="H494" s="138">
        <v>2062</v>
      </c>
      <c r="I494" s="140" t="str">
        <f>VLOOKUP(H494,Stock_list!A:R,18,FALSE)</f>
        <v>中孟</v>
      </c>
      <c r="J494" s="139" t="str">
        <f>VLOOKUP(H494,Stock_list!A:S,17,FALSE)</f>
        <v>C49SZX20240006SQ</v>
      </c>
      <c r="K494" s="51" t="str">
        <f>VLOOKUP(H494,Stock_list!A:T,16,FALSE)</f>
        <v>RMB</v>
      </c>
      <c r="L494" s="4"/>
      <c r="N494" s="143">
        <v>2</v>
      </c>
      <c r="P494" s="4" t="str">
        <f>VLOOKUP(H494,Stock_list!A:Y,25,FALSE)</f>
        <v>Yes</v>
      </c>
      <c r="T494" s="144"/>
      <c r="U494" s="145" t="str">
        <f>VLOOKUP(H494,Stock_list!A:N,14,FALSE)</f>
        <v>MAR 24</v>
      </c>
    </row>
    <row r="495" spans="1:21" ht="16.5" customHeight="1">
      <c r="A495" s="159" t="s">
        <v>2749</v>
      </c>
      <c r="B495" s="114" t="str">
        <f>VLOOKUP(A495,'Data pick slip'!B:F,5,FALSE)</f>
        <v>KHJ-MC500-00</v>
      </c>
      <c r="F495" s="157" t="s">
        <v>2753</v>
      </c>
      <c r="H495" s="138">
        <v>2062</v>
      </c>
      <c r="I495" s="140" t="str">
        <f>VLOOKUP(H495,Stock_list!A:R,18,FALSE)</f>
        <v>中孟</v>
      </c>
      <c r="J495" s="139" t="str">
        <f>VLOOKUP(H495,Stock_list!A:S,17,FALSE)</f>
        <v>C49SZX20240006SQ</v>
      </c>
      <c r="K495" s="51" t="str">
        <f>VLOOKUP(H495,Stock_list!A:T,16,FALSE)</f>
        <v>RMB</v>
      </c>
      <c r="L495" s="4"/>
      <c r="N495" s="143">
        <v>1</v>
      </c>
      <c r="P495" s="4" t="str">
        <f>VLOOKUP(H495,Stock_list!A:Y,25,FALSE)</f>
        <v>Yes</v>
      </c>
      <c r="T495" s="144"/>
      <c r="U495" s="145" t="str">
        <f>VLOOKUP(H495,Stock_list!A:N,14,FALSE)</f>
        <v>MAR 24</v>
      </c>
    </row>
    <row r="496" spans="1:21" ht="16.5" customHeight="1">
      <c r="A496" s="159" t="s">
        <v>2750</v>
      </c>
      <c r="B496" s="114" t="str">
        <f>VLOOKUP(A496,'Data pick slip'!B:F,5,FALSE)</f>
        <v>KHJ-MC600-00</v>
      </c>
      <c r="F496" s="157" t="s">
        <v>2753</v>
      </c>
      <c r="H496" s="138">
        <v>2062</v>
      </c>
      <c r="I496" s="140" t="str">
        <f>VLOOKUP(H496,Stock_list!A:R,18,FALSE)</f>
        <v>中孟</v>
      </c>
      <c r="J496" s="139" t="str">
        <f>VLOOKUP(H496,Stock_list!A:S,17,FALSE)</f>
        <v>C49SZX20240006SQ</v>
      </c>
      <c r="K496" s="51" t="str">
        <f>VLOOKUP(H496,Stock_list!A:T,16,FALSE)</f>
        <v>RMB</v>
      </c>
      <c r="L496" s="4"/>
      <c r="N496" s="143">
        <v>1</v>
      </c>
      <c r="P496" s="4" t="str">
        <f>VLOOKUP(H496,Stock_list!A:Y,25,FALSE)</f>
        <v>Yes</v>
      </c>
      <c r="T496" s="144"/>
      <c r="U496" s="145" t="str">
        <f>VLOOKUP(H496,Stock_list!A:N,14,FALSE)</f>
        <v>MAR 24</v>
      </c>
    </row>
    <row r="497" spans="1:21" ht="16.5" customHeight="1">
      <c r="A497" s="159" t="s">
        <v>2744</v>
      </c>
      <c r="B497" s="114" t="str">
        <f>VLOOKUP(A497,'Data pick slip'!B:F,5,FALSE)</f>
        <v>KHJ-MC100-00</v>
      </c>
      <c r="F497" s="157" t="s">
        <v>2753</v>
      </c>
      <c r="H497" s="138">
        <v>2063</v>
      </c>
      <c r="I497" s="140" t="str">
        <f>VLOOKUP(H497,Stock_list!A:R,18,FALSE)</f>
        <v>诺亚兴</v>
      </c>
      <c r="J497" s="139" t="str">
        <f>VLOOKUP(H497,Stock_list!A:S,17,FALSE)</f>
        <v>C49SZX20240005EC</v>
      </c>
      <c r="K497" s="51" t="str">
        <f>VLOOKUP(H497,Stock_list!A:T,16,FALSE)</f>
        <v>JPY</v>
      </c>
      <c r="L497" s="4">
        <v>45320</v>
      </c>
      <c r="M497" s="140">
        <v>2</v>
      </c>
      <c r="N497" s="143"/>
      <c r="P497" s="4" t="str">
        <f>VLOOKUP(H497,Stock_list!A:Y,25,FALSE)</f>
        <v>Yes</v>
      </c>
      <c r="S497" s="538" t="s">
        <v>4431</v>
      </c>
      <c r="T497" s="144"/>
      <c r="U497" s="145" t="str">
        <f>VLOOKUP(H497,Stock_list!A:N,14,FALSE)</f>
        <v>JAN 24</v>
      </c>
    </row>
    <row r="498" spans="1:21" ht="16.5" customHeight="1">
      <c r="A498" s="159" t="s">
        <v>2748</v>
      </c>
      <c r="B498" s="114" t="str">
        <f>VLOOKUP(A498,'Data pick slip'!B:F,5,FALSE)</f>
        <v>KHJ-MC400-00</v>
      </c>
      <c r="F498" s="157" t="s">
        <v>2753</v>
      </c>
      <c r="H498" s="138" t="s">
        <v>4071</v>
      </c>
      <c r="I498" s="140">
        <v>66</v>
      </c>
      <c r="J498" s="267" t="s">
        <v>4366</v>
      </c>
      <c r="K498" s="51" t="s">
        <v>1246</v>
      </c>
      <c r="L498" s="4">
        <v>45313</v>
      </c>
      <c r="M498" s="140">
        <v>2</v>
      </c>
      <c r="P498" s="4" t="s">
        <v>4248</v>
      </c>
      <c r="Q498" s="143"/>
      <c r="T498" s="144"/>
      <c r="U498" s="145" t="e">
        <f>VLOOKUP(H498,Stock_list!A:N,14,FALSE)</f>
        <v>#N/A</v>
      </c>
    </row>
    <row r="499" spans="1:21" ht="16.5" customHeight="1">
      <c r="A499" s="159" t="s">
        <v>2748</v>
      </c>
      <c r="B499" s="114" t="str">
        <f>VLOOKUP(A499,'Data pick slip'!B:F,5,FALSE)</f>
        <v>KHJ-MC400-00</v>
      </c>
      <c r="F499" s="157" t="s">
        <v>2753</v>
      </c>
      <c r="H499" s="138" t="s">
        <v>4071</v>
      </c>
      <c r="I499" s="140">
        <v>66</v>
      </c>
      <c r="J499" s="267" t="s">
        <v>4367</v>
      </c>
      <c r="K499" s="51" t="s">
        <v>1246</v>
      </c>
      <c r="L499" s="4">
        <v>45313</v>
      </c>
      <c r="M499" s="140">
        <v>1</v>
      </c>
      <c r="P499" s="4" t="s">
        <v>4248</v>
      </c>
      <c r="Q499" s="143"/>
      <c r="T499" s="144"/>
      <c r="U499" s="145" t="e">
        <f>VLOOKUP(H499,Stock_list!A:N,14,FALSE)</f>
        <v>#N/A</v>
      </c>
    </row>
    <row r="500" spans="1:21" ht="16.5" customHeight="1">
      <c r="A500" s="159" t="s">
        <v>2750</v>
      </c>
      <c r="B500" s="114" t="str">
        <f>VLOOKUP(A500,'Data pick slip'!B:F,5,FALSE)</f>
        <v>KHJ-MC600-00</v>
      </c>
      <c r="F500" s="157" t="s">
        <v>2753</v>
      </c>
      <c r="H500" s="138" t="s">
        <v>4071</v>
      </c>
      <c r="I500" s="140">
        <v>66</v>
      </c>
      <c r="J500" s="267" t="s">
        <v>4367</v>
      </c>
      <c r="K500" s="51" t="s">
        <v>1246</v>
      </c>
      <c r="L500" s="4"/>
      <c r="M500" s="140">
        <v>1</v>
      </c>
      <c r="P500" s="4" t="s">
        <v>4248</v>
      </c>
      <c r="Q500" s="143"/>
      <c r="T500" s="144"/>
      <c r="U500" s="145" t="e">
        <f>VLOOKUP(H500,Stock_list!A:N,14,FALSE)</f>
        <v>#N/A</v>
      </c>
    </row>
    <row r="501" spans="1:21" ht="16.5" customHeight="1">
      <c r="A501" s="159" t="s">
        <v>2755</v>
      </c>
      <c r="B501" s="114" t="str">
        <f>VLOOKUP(A501,'Data pick slip'!B:F,5,FALSE)</f>
        <v>KLJ-MC100-00</v>
      </c>
      <c r="F501" s="157" t="s">
        <v>1381</v>
      </c>
      <c r="H501" s="138">
        <v>2068</v>
      </c>
      <c r="I501" s="140" t="str">
        <f>VLOOKUP(H501,Stock_list!A:R,18,FALSE)</f>
        <v>鸿楠</v>
      </c>
      <c r="J501" s="139" t="str">
        <f>VLOOKUP(H501,Stock_list!A:S,17,FALSE)</f>
        <v>C49SZX20240009MZ</v>
      </c>
      <c r="K501" s="51" t="str">
        <f>VLOOKUP(H501,Stock_list!A:T,16,FALSE)</f>
        <v>JPY</v>
      </c>
      <c r="L501" s="4"/>
      <c r="N501" s="132">
        <v>100</v>
      </c>
      <c r="P501" s="4" t="str">
        <f>VLOOKUP(H501,Stock_list!A:Y,25,FALSE)</f>
        <v>Yes</v>
      </c>
      <c r="Q501" s="143"/>
      <c r="T501" s="144"/>
      <c r="U501" s="145" t="str">
        <f>VLOOKUP(H501,Stock_list!A:N,14,FALSE)</f>
        <v>MAR 24</v>
      </c>
    </row>
    <row r="502" spans="1:21" ht="17.25" customHeight="1">
      <c r="A502" s="159" t="s">
        <v>2755</v>
      </c>
      <c r="B502" s="114" t="str">
        <f>VLOOKUP(A502,'Data pick slip'!B:F,5,FALSE)</f>
        <v>KLJ-MC100-00</v>
      </c>
      <c r="F502" s="157" t="s">
        <v>2762</v>
      </c>
      <c r="H502" s="138">
        <v>2073</v>
      </c>
      <c r="I502" s="140" t="str">
        <f>VLOOKUP(H502,Stock_list!A:R,18,FALSE)</f>
        <v>鸿楠</v>
      </c>
      <c r="J502" s="139" t="str">
        <f>VLOOKUP(H502,Stock_list!A:S,17,FALSE)</f>
        <v>C49SZX20240010MZ</v>
      </c>
      <c r="K502" s="51" t="str">
        <f>VLOOKUP(H502,Stock_list!A:T,16,FALSE)</f>
        <v>JPY</v>
      </c>
      <c r="L502" s="4"/>
      <c r="P502" s="4" t="str">
        <f>VLOOKUP(H502,Stock_list!A:Y,25,FALSE)</f>
        <v>No</v>
      </c>
      <c r="Q502" s="143">
        <v>100</v>
      </c>
      <c r="T502" s="144"/>
      <c r="U502" s="145">
        <f>VLOOKUP(H502,Stock_list!A:N,14,FALSE)</f>
        <v>0</v>
      </c>
    </row>
    <row r="503" spans="1:21" ht="16.5" customHeight="1">
      <c r="A503" s="159" t="s">
        <v>2755</v>
      </c>
      <c r="B503" s="114" t="str">
        <f>VLOOKUP(A503,'Data pick slip'!B:F,5,FALSE)</f>
        <v>KLJ-MC100-00</v>
      </c>
      <c r="F503" s="157" t="s">
        <v>2753</v>
      </c>
      <c r="H503" s="138">
        <v>2079</v>
      </c>
      <c r="I503" s="140" t="str">
        <f>VLOOKUP(H503,Stock_list!A:R,18,FALSE)</f>
        <v>盟思拓</v>
      </c>
      <c r="J503" s="139" t="str">
        <f>VLOOKUP(H503,Stock_list!A:S,17,FALSE)</f>
        <v>C49SZX20240015DX</v>
      </c>
      <c r="K503" s="51" t="str">
        <f>VLOOKUP(H503,Stock_list!A:T,16,FALSE)</f>
        <v>RMB</v>
      </c>
      <c r="L503" s="4">
        <v>45348</v>
      </c>
      <c r="M503" s="140">
        <v>20</v>
      </c>
      <c r="P503" s="4" t="str">
        <f>VLOOKUP(H503,Stock_list!A:Y,25,FALSE)</f>
        <v>Yes</v>
      </c>
      <c r="Q503" s="143"/>
      <c r="T503" s="144"/>
      <c r="U503" s="145" t="str">
        <f>VLOOKUP(H503,Stock_list!A:N,14,FALSE)</f>
        <v>FEB 24</v>
      </c>
    </row>
    <row r="504" spans="1:21" ht="16.5" customHeight="1">
      <c r="A504" s="159" t="s">
        <v>2744</v>
      </c>
      <c r="B504" s="114" t="str">
        <f>VLOOKUP(A504,'Data pick slip'!B:F,5,FALSE)</f>
        <v>KHJ-MC100-00</v>
      </c>
      <c r="F504" s="157" t="s">
        <v>2753</v>
      </c>
      <c r="H504" s="138">
        <v>2081</v>
      </c>
      <c r="I504" s="827" t="str">
        <f>VLOOKUP(H504,Stock_list!A:R,18,FALSE)</f>
        <v>斯迈</v>
      </c>
      <c r="J504" s="828" t="str">
        <f>VLOOKUP(H504,Stock_list!A:S,17,FALSE)</f>
        <v>C49SZX20240018DZ</v>
      </c>
      <c r="K504" s="829" t="str">
        <f>VLOOKUP(H504,Stock_list!A:T,16,FALSE)</f>
        <v>JPY</v>
      </c>
      <c r="L504" s="830">
        <v>45323</v>
      </c>
      <c r="M504" s="831">
        <v>123</v>
      </c>
      <c r="N504" s="833"/>
      <c r="O504" s="833"/>
      <c r="P504" s="830" t="str">
        <f>VLOOKUP(H504,Stock_list!A:Y,25,FALSE)</f>
        <v>Yes</v>
      </c>
      <c r="Q504" s="833"/>
      <c r="R504" s="834"/>
      <c r="S504" s="835" t="s">
        <v>4374</v>
      </c>
      <c r="T504" s="144"/>
      <c r="U504" s="145" t="str">
        <f>VLOOKUP(H504,Stock_list!A:N,14,FALSE)</f>
        <v>FEB 24</v>
      </c>
    </row>
    <row r="505" spans="1:21" ht="16.5" customHeight="1">
      <c r="A505" s="159" t="s">
        <v>2744</v>
      </c>
      <c r="B505" s="114" t="str">
        <f>VLOOKUP(A505,'Data pick slip'!B:F,5,FALSE)</f>
        <v>KHJ-MC100-00</v>
      </c>
      <c r="F505" s="157" t="s">
        <v>1381</v>
      </c>
      <c r="H505" s="138">
        <v>2081</v>
      </c>
      <c r="I505" s="140" t="str">
        <f>VLOOKUP(H505,Stock_list!A:R,18,FALSE)</f>
        <v>斯迈</v>
      </c>
      <c r="J505" s="139" t="str">
        <f>VLOOKUP(H505,Stock_list!A:S,17,FALSE)</f>
        <v>C49SZX20240018DZ</v>
      </c>
      <c r="K505" s="51" t="str">
        <f>VLOOKUP(H505,Stock_list!A:T,16,FALSE)</f>
        <v>JPY</v>
      </c>
      <c r="L505" s="4">
        <v>45323</v>
      </c>
      <c r="M505" s="143">
        <v>1</v>
      </c>
      <c r="P505" s="4" t="str">
        <f>VLOOKUP(H505,Stock_list!A:Y,25,FALSE)</f>
        <v>Yes</v>
      </c>
      <c r="S505" s="538"/>
      <c r="T505" s="144"/>
      <c r="U505" s="145" t="str">
        <f>VLOOKUP(H505,Stock_list!A:N,14,FALSE)</f>
        <v>FEB 24</v>
      </c>
    </row>
    <row r="506" spans="1:21" ht="16.5" customHeight="1">
      <c r="A506" s="159" t="s">
        <v>2749</v>
      </c>
      <c r="B506" s="114" t="str">
        <f>VLOOKUP(A506,'Data pick slip'!B:F,5,FALSE)</f>
        <v>KHJ-MC500-00</v>
      </c>
      <c r="F506" s="157" t="s">
        <v>1381</v>
      </c>
      <c r="H506" s="138">
        <v>2081</v>
      </c>
      <c r="I506" s="140" t="str">
        <f>VLOOKUP(H506,Stock_list!A:R,18,FALSE)</f>
        <v>斯迈</v>
      </c>
      <c r="J506" s="139" t="str">
        <f>VLOOKUP(H506,Stock_list!A:S,17,FALSE)</f>
        <v>C49SZX20240018DZ</v>
      </c>
      <c r="K506" s="51" t="str">
        <f>VLOOKUP(H506,Stock_list!A:T,16,FALSE)</f>
        <v>JPY</v>
      </c>
      <c r="L506" s="4">
        <v>45323</v>
      </c>
      <c r="M506" s="143">
        <v>1</v>
      </c>
      <c r="P506" s="4" t="str">
        <f>VLOOKUP(H506,Stock_list!A:Y,25,FALSE)</f>
        <v>Yes</v>
      </c>
      <c r="T506" s="144"/>
      <c r="U506" s="145" t="str">
        <f>VLOOKUP(H506,Stock_list!A:N,14,FALSE)</f>
        <v>FEB 24</v>
      </c>
    </row>
    <row r="507" spans="1:21" ht="16.5" customHeight="1">
      <c r="A507" s="159" t="s">
        <v>2744</v>
      </c>
      <c r="B507" s="114" t="str">
        <f>VLOOKUP(A507,'Data pick slip'!B:F,5,FALSE)</f>
        <v>KHJ-MC100-00</v>
      </c>
      <c r="F507" s="157" t="s">
        <v>2753</v>
      </c>
      <c r="H507" s="138">
        <v>2085</v>
      </c>
      <c r="I507" s="827" t="str">
        <f>VLOOKUP(H507,Stock_list!A:R,18,FALSE)</f>
        <v>江西优控</v>
      </c>
      <c r="J507" s="828" t="str">
        <f>VLOOKUP(H507,Stock_list!A:S,17,FALSE)</f>
        <v>C49SZX20240013SX</v>
      </c>
      <c r="K507" s="829" t="str">
        <f>VLOOKUP(H507,Stock_list!A:T,16,FALSE)</f>
        <v>JPY</v>
      </c>
      <c r="L507" s="830">
        <v>45346</v>
      </c>
      <c r="M507" s="827">
        <v>20</v>
      </c>
      <c r="N507" s="833"/>
      <c r="O507" s="833"/>
      <c r="P507" s="830" t="str">
        <f>VLOOKUP(H507,Stock_list!A:Y,25,FALSE)</f>
        <v>Yes</v>
      </c>
      <c r="Q507" s="831"/>
      <c r="R507" s="834"/>
      <c r="S507" s="835" t="s">
        <v>4374</v>
      </c>
      <c r="T507" s="144"/>
      <c r="U507" s="145" t="str">
        <f>VLOOKUP(H507,Stock_list!A:N,14,FALSE)</f>
        <v>FEB 24</v>
      </c>
    </row>
    <row r="508" spans="1:21" ht="16.5" customHeight="1">
      <c r="A508" s="159" t="s">
        <v>2744</v>
      </c>
      <c r="B508" s="114" t="str">
        <f>VLOOKUP(A508,'Data pick slip'!B:F,5,FALSE)</f>
        <v>KHJ-MC100-00</v>
      </c>
      <c r="F508" s="157" t="s">
        <v>1381</v>
      </c>
      <c r="H508" s="138">
        <v>2087</v>
      </c>
      <c r="I508" s="140" t="str">
        <f>VLOOKUP(H508,Stock_list!A:R,18,FALSE)</f>
        <v>广基达</v>
      </c>
      <c r="J508" s="139" t="str">
        <f>VLOOKUP(H508,Stock_list!A:S,17,FALSE)</f>
        <v>C49SZX20240030SX</v>
      </c>
      <c r="K508" s="51" t="str">
        <f>VLOOKUP(H508,Stock_list!A:T,16,FALSE)</f>
        <v>USD</v>
      </c>
      <c r="L508" s="4"/>
      <c r="N508" s="143">
        <v>105</v>
      </c>
      <c r="P508" s="4" t="str">
        <f>VLOOKUP(H508,Stock_list!A:Y,25,FALSE)</f>
        <v>Yes</v>
      </c>
      <c r="T508" s="144"/>
      <c r="U508" s="145" t="str">
        <f>VLOOKUP(H508,Stock_list!A:N,14,FALSE)</f>
        <v>MAR 24</v>
      </c>
    </row>
    <row r="509" spans="1:21" ht="16.5" customHeight="1">
      <c r="A509" s="159" t="s">
        <v>2756</v>
      </c>
      <c r="B509" s="114" t="str">
        <f>VLOOKUP(A509,'Data pick slip'!B:F,5,FALSE)</f>
        <v>KLJ-MC200-00</v>
      </c>
      <c r="F509" s="157" t="s">
        <v>1381</v>
      </c>
      <c r="H509" s="138">
        <v>2087</v>
      </c>
      <c r="I509" s="140" t="str">
        <f>VLOOKUP(H509,Stock_list!A:R,18,FALSE)</f>
        <v>广基达</v>
      </c>
      <c r="J509" s="139" t="str">
        <f>VLOOKUP(H509,Stock_list!A:S,17,FALSE)</f>
        <v>C49SZX20240030SX</v>
      </c>
      <c r="K509" s="51" t="str">
        <f>VLOOKUP(H509,Stock_list!A:T,16,FALSE)</f>
        <v>USD</v>
      </c>
      <c r="L509" s="4"/>
      <c r="N509" s="143">
        <v>20</v>
      </c>
      <c r="P509" s="4" t="str">
        <f>VLOOKUP(H509,Stock_list!A:Y,25,FALSE)</f>
        <v>Yes</v>
      </c>
      <c r="T509" s="144"/>
      <c r="U509" s="145" t="str">
        <f>VLOOKUP(H509,Stock_list!A:N,14,FALSE)</f>
        <v>MAR 24</v>
      </c>
    </row>
    <row r="510" spans="1:21" ht="16.5" customHeight="1">
      <c r="A510" s="159" t="s">
        <v>2757</v>
      </c>
      <c r="B510" s="114" t="str">
        <f>VLOOKUP(A510,'Data pick slip'!B:F,5,FALSE)</f>
        <v>KLJ-MC400-00</v>
      </c>
      <c r="F510" s="157" t="s">
        <v>1381</v>
      </c>
      <c r="H510" s="138">
        <v>2087</v>
      </c>
      <c r="I510" s="140" t="str">
        <f>VLOOKUP(H510,Stock_list!A:R,18,FALSE)</f>
        <v>广基达</v>
      </c>
      <c r="J510" s="139" t="str">
        <f>VLOOKUP(H510,Stock_list!A:S,17,FALSE)</f>
        <v>C49SZX20240030SX</v>
      </c>
      <c r="K510" s="51" t="str">
        <f>VLOOKUP(H510,Stock_list!A:T,16,FALSE)</f>
        <v>USD</v>
      </c>
      <c r="L510" s="4"/>
      <c r="N510" s="143">
        <v>5</v>
      </c>
      <c r="P510" s="4" t="str">
        <f>VLOOKUP(H510,Stock_list!A:Y,25,FALSE)</f>
        <v>Yes</v>
      </c>
      <c r="T510" s="144"/>
      <c r="U510" s="145" t="str">
        <f>VLOOKUP(H510,Stock_list!A:N,14,FALSE)</f>
        <v>MAR 24</v>
      </c>
    </row>
    <row r="511" spans="1:21" ht="16.5" customHeight="1">
      <c r="A511" s="159" t="s">
        <v>2758</v>
      </c>
      <c r="B511" s="114" t="str">
        <f>VLOOKUP(A511,'Data pick slip'!B:F,5,FALSE)</f>
        <v>KLJ-MC500-00</v>
      </c>
      <c r="F511" s="157" t="s">
        <v>1381</v>
      </c>
      <c r="H511" s="138">
        <v>2087</v>
      </c>
      <c r="I511" s="140" t="str">
        <f>VLOOKUP(H511,Stock_list!A:R,18,FALSE)</f>
        <v>广基达</v>
      </c>
      <c r="J511" s="139" t="str">
        <f>VLOOKUP(H511,Stock_list!A:S,17,FALSE)</f>
        <v>C49SZX20240030SX</v>
      </c>
      <c r="K511" s="51" t="str">
        <f>VLOOKUP(H511,Stock_list!A:T,16,FALSE)</f>
        <v>USD</v>
      </c>
      <c r="L511" s="4"/>
      <c r="N511" s="143">
        <v>2</v>
      </c>
      <c r="P511" s="4" t="str">
        <f>VLOOKUP(H511,Stock_list!A:Y,25,FALSE)</f>
        <v>Yes</v>
      </c>
      <c r="T511" s="144"/>
      <c r="U511" s="145" t="str">
        <f>VLOOKUP(H511,Stock_list!A:N,14,FALSE)</f>
        <v>MAR 24</v>
      </c>
    </row>
    <row r="512" spans="1:21" ht="16.5" customHeight="1">
      <c r="A512" s="159" t="s">
        <v>2744</v>
      </c>
      <c r="B512" s="114" t="str">
        <f>VLOOKUP(A512,'Data pick slip'!B:F,5,FALSE)</f>
        <v>KHJ-MC100-00</v>
      </c>
      <c r="F512" s="157" t="s">
        <v>2753</v>
      </c>
      <c r="H512" s="138">
        <v>2090</v>
      </c>
      <c r="I512" s="140" t="str">
        <f>VLOOKUP(H512,Stock_list!A:R,18,FALSE)</f>
        <v>格美通</v>
      </c>
      <c r="J512" s="139" t="str">
        <f>VLOOKUP(H512,Stock_list!A:S,17,FALSE)</f>
        <v>C49SZX20240021EC</v>
      </c>
      <c r="K512" s="51" t="str">
        <f>VLOOKUP(H512,Stock_list!A:T,16,FALSE)</f>
        <v>JPY</v>
      </c>
      <c r="L512" s="4">
        <v>45341</v>
      </c>
      <c r="M512" s="140">
        <v>28</v>
      </c>
      <c r="N512" s="143"/>
      <c r="P512" s="4" t="str">
        <f>VLOOKUP(H512,Stock_list!A:Y,25,FALSE)</f>
        <v>Yes</v>
      </c>
      <c r="S512" s="538" t="s">
        <v>4431</v>
      </c>
      <c r="T512" s="144"/>
      <c r="U512" s="145" t="str">
        <f>VLOOKUP(H512,Stock_list!A:N,14,FALSE)</f>
        <v>FEB 24</v>
      </c>
    </row>
    <row r="513" spans="1:21" ht="16.5" customHeight="1">
      <c r="A513" s="159" t="s">
        <v>2744</v>
      </c>
      <c r="B513" s="114" t="str">
        <f>VLOOKUP(A513,'Data pick slip'!B:F,5,FALSE)</f>
        <v>KHJ-MC100-00</v>
      </c>
      <c r="F513" s="157" t="s">
        <v>2762</v>
      </c>
      <c r="H513" s="138">
        <v>2091</v>
      </c>
      <c r="I513" s="140" t="str">
        <f>VLOOKUP(H513,Stock_list!A:R,18,FALSE)</f>
        <v>益友新鑫</v>
      </c>
      <c r="J513" s="139" t="str">
        <f>VLOOKUP(H513,Stock_list!A:S,17,FALSE)</f>
        <v>C49SZX20240023SQ</v>
      </c>
      <c r="K513" s="51" t="str">
        <f>VLOOKUP(H513,Stock_list!A:T,16,FALSE)</f>
        <v>RMB</v>
      </c>
      <c r="L513" s="4"/>
      <c r="P513" s="4" t="str">
        <f>VLOOKUP(H513,Stock_list!A:Y,25,FALSE)</f>
        <v>No</v>
      </c>
      <c r="Q513" s="143">
        <v>50</v>
      </c>
      <c r="T513" s="144"/>
      <c r="U513" s="145">
        <f>VLOOKUP(H513,Stock_list!A:N,14,FALSE)</f>
        <v>0</v>
      </c>
    </row>
    <row r="514" spans="1:21" ht="16.5" customHeight="1">
      <c r="A514" s="159" t="s">
        <v>2747</v>
      </c>
      <c r="B514" s="114" t="str">
        <f>VLOOKUP(A514,'Data pick slip'!B:F,5,FALSE)</f>
        <v>KHJ-MC200-00</v>
      </c>
      <c r="F514" s="157" t="s">
        <v>2762</v>
      </c>
      <c r="H514" s="138">
        <v>2091</v>
      </c>
      <c r="I514" s="140" t="str">
        <f>VLOOKUP(H514,Stock_list!A:R,18,FALSE)</f>
        <v>益友新鑫</v>
      </c>
      <c r="J514" s="139" t="str">
        <f>VLOOKUP(H514,Stock_list!A:S,17,FALSE)</f>
        <v>C49SZX20240023SQ</v>
      </c>
      <c r="K514" s="51" t="str">
        <f>VLOOKUP(H514,Stock_list!A:T,16,FALSE)</f>
        <v>RMB</v>
      </c>
      <c r="L514" s="4"/>
      <c r="P514" s="4" t="str">
        <f>VLOOKUP(H514,Stock_list!A:Y,25,FALSE)</f>
        <v>No</v>
      </c>
      <c r="Q514" s="143">
        <v>20</v>
      </c>
      <c r="T514" s="144"/>
      <c r="U514" s="145">
        <f>VLOOKUP(H514,Stock_list!A:N,14,FALSE)</f>
        <v>0</v>
      </c>
    </row>
    <row r="515" spans="1:21" ht="16.5" customHeight="1">
      <c r="A515" s="159" t="s">
        <v>2748</v>
      </c>
      <c r="B515" s="114" t="str">
        <f>VLOOKUP(A515,'Data pick slip'!B:F,5,FALSE)</f>
        <v>KHJ-MC400-00</v>
      </c>
      <c r="F515" s="157" t="s">
        <v>2762</v>
      </c>
      <c r="H515" s="138">
        <v>2091</v>
      </c>
      <c r="I515" s="140" t="str">
        <f>VLOOKUP(H515,Stock_list!A:R,18,FALSE)</f>
        <v>益友新鑫</v>
      </c>
      <c r="J515" s="139" t="str">
        <f>VLOOKUP(H515,Stock_list!A:S,17,FALSE)</f>
        <v>C49SZX20240023SQ</v>
      </c>
      <c r="K515" s="51" t="str">
        <f>VLOOKUP(H515,Stock_list!A:T,16,FALSE)</f>
        <v>RMB</v>
      </c>
      <c r="L515" s="4"/>
      <c r="P515" s="4" t="str">
        <f>VLOOKUP(H515,Stock_list!A:Y,25,FALSE)</f>
        <v>No</v>
      </c>
      <c r="Q515" s="143">
        <v>5</v>
      </c>
      <c r="T515" s="144"/>
      <c r="U515" s="145">
        <f>VLOOKUP(H515,Stock_list!A:N,14,FALSE)</f>
        <v>0</v>
      </c>
    </row>
    <row r="516" spans="1:21" ht="16.5" customHeight="1">
      <c r="A516" s="159" t="s">
        <v>2759</v>
      </c>
      <c r="B516" s="114" t="str">
        <f>VLOOKUP(A516,'Data pick slip'!B:F,5,FALSE)</f>
        <v>KLJ-MC600-00</v>
      </c>
      <c r="F516" s="157" t="s">
        <v>1381</v>
      </c>
      <c r="H516" s="138" t="s">
        <v>4252</v>
      </c>
      <c r="I516" s="140">
        <v>66</v>
      </c>
      <c r="J516" s="139" t="s">
        <v>4385</v>
      </c>
      <c r="K516" s="51" t="s">
        <v>1246</v>
      </c>
      <c r="L516" s="4">
        <v>45296</v>
      </c>
      <c r="M516" s="140">
        <v>1</v>
      </c>
      <c r="P516" s="4" t="s">
        <v>291</v>
      </c>
      <c r="Q516" s="143"/>
      <c r="T516" s="144"/>
      <c r="U516" s="145" t="e">
        <f>VLOOKUP(H516,Stock_list!A:N,14,FALSE)</f>
        <v>#N/A</v>
      </c>
    </row>
    <row r="517" spans="1:21" ht="16.5" customHeight="1">
      <c r="A517" s="159" t="s">
        <v>2759</v>
      </c>
      <c r="B517" s="114" t="str">
        <f>VLOOKUP(A517,'Data pick slip'!B:F,5,FALSE)</f>
        <v>KLJ-MC600-00</v>
      </c>
      <c r="F517" s="157" t="s">
        <v>1381</v>
      </c>
      <c r="H517" s="138" t="s">
        <v>4252</v>
      </c>
      <c r="I517" s="140">
        <v>66</v>
      </c>
      <c r="J517" s="139" t="s">
        <v>4386</v>
      </c>
      <c r="K517" s="51" t="s">
        <v>1246</v>
      </c>
      <c r="L517" s="4">
        <v>45308</v>
      </c>
      <c r="M517" s="140">
        <v>1</v>
      </c>
      <c r="P517" s="4" t="s">
        <v>291</v>
      </c>
      <c r="Q517" s="143"/>
      <c r="T517" s="144"/>
      <c r="U517" s="145" t="e">
        <f>VLOOKUP(H517,Stock_list!A:N,14,FALSE)</f>
        <v>#N/A</v>
      </c>
    </row>
    <row r="518" spans="1:21" ht="16.5" customHeight="1">
      <c r="A518" s="159" t="s">
        <v>2747</v>
      </c>
      <c r="B518" s="114" t="str">
        <f>VLOOKUP(A518,'Data pick slip'!B:F,5,FALSE)</f>
        <v>KHJ-MC200-00</v>
      </c>
      <c r="F518" s="157" t="s">
        <v>1381</v>
      </c>
      <c r="H518" s="138">
        <v>2098</v>
      </c>
      <c r="I518" s="140" t="str">
        <f>VLOOKUP(H518,Stock_list!A:R,18,FALSE)</f>
        <v>建航</v>
      </c>
      <c r="J518" s="139" t="str">
        <f>VLOOKUP(H518,Stock_list!A:S,17,FALSE)</f>
        <v>C49SZX20240029JY</v>
      </c>
      <c r="K518" s="51" t="str">
        <f>VLOOKUP(H518,Stock_list!A:T,16,FALSE)</f>
        <v>JPY</v>
      </c>
      <c r="L518" s="4"/>
      <c r="N518" s="132">
        <v>15</v>
      </c>
      <c r="P518" s="4" t="str">
        <f>VLOOKUP(H518,Stock_list!A:Y,25,FALSE)</f>
        <v>Yes</v>
      </c>
      <c r="Q518" s="143"/>
      <c r="T518" s="144"/>
      <c r="U518" s="145" t="str">
        <f>VLOOKUP(H518,Stock_list!A:N,14,FALSE)</f>
        <v>MAR 24</v>
      </c>
    </row>
    <row r="519" spans="1:21" ht="16.5" customHeight="1">
      <c r="A519" s="159" t="s">
        <v>2748</v>
      </c>
      <c r="B519" s="114" t="str">
        <f>VLOOKUP(A519,'Data pick slip'!B:F,5,FALSE)</f>
        <v>KHJ-MC400-00</v>
      </c>
      <c r="F519" s="157" t="s">
        <v>1381</v>
      </c>
      <c r="H519" s="138">
        <v>2098</v>
      </c>
      <c r="I519" s="140" t="str">
        <f>VLOOKUP(H519,Stock_list!A:R,18,FALSE)</f>
        <v>建航</v>
      </c>
      <c r="J519" s="139" t="str">
        <f>VLOOKUP(H519,Stock_list!A:S,17,FALSE)</f>
        <v>C49SZX20240029JY</v>
      </c>
      <c r="K519" s="51" t="str">
        <f>VLOOKUP(H519,Stock_list!A:T,16,FALSE)</f>
        <v>JPY</v>
      </c>
      <c r="L519" s="4"/>
      <c r="N519" s="132">
        <v>4</v>
      </c>
      <c r="P519" s="4" t="str">
        <f>VLOOKUP(H519,Stock_list!A:Y,25,FALSE)</f>
        <v>Yes</v>
      </c>
      <c r="Q519" s="143"/>
      <c r="T519" s="144"/>
      <c r="U519" s="145" t="str">
        <f>VLOOKUP(H519,Stock_list!A:N,14,FALSE)</f>
        <v>MAR 24</v>
      </c>
    </row>
    <row r="520" spans="1:21" ht="16.5" customHeight="1">
      <c r="A520" s="159" t="s">
        <v>2755</v>
      </c>
      <c r="B520" s="114" t="str">
        <f>VLOOKUP(A520,'Data pick slip'!B:F,5,FALSE)</f>
        <v>KLJ-MC100-00</v>
      </c>
      <c r="F520" s="157" t="s">
        <v>1381</v>
      </c>
      <c r="I520" s="140" t="s">
        <v>236</v>
      </c>
      <c r="J520" s="139" t="s">
        <v>4424</v>
      </c>
      <c r="K520" s="51" t="s">
        <v>1246</v>
      </c>
      <c r="L520" s="4">
        <v>45345</v>
      </c>
      <c r="M520" s="140">
        <v>20</v>
      </c>
      <c r="P520" s="4" t="s">
        <v>291</v>
      </c>
      <c r="Q520" s="143"/>
      <c r="T520" s="144"/>
      <c r="U520" s="145" t="e">
        <f>VLOOKUP(H520,Stock_list!A:N,14,FALSE)</f>
        <v>#N/A</v>
      </c>
    </row>
    <row r="521" spans="1:21" ht="16.5" customHeight="1">
      <c r="A521" s="159" t="s">
        <v>2744</v>
      </c>
      <c r="B521" s="114" t="str">
        <f>VLOOKUP(A521,'Data pick slip'!B:F,5,FALSE)</f>
        <v>KHJ-MC100-00</v>
      </c>
      <c r="F521" s="157" t="s">
        <v>2753</v>
      </c>
      <c r="I521" s="140">
        <v>66</v>
      </c>
      <c r="J521" s="270" t="s">
        <v>4428</v>
      </c>
      <c r="K521" s="51" t="s">
        <v>1246</v>
      </c>
      <c r="L521" s="4">
        <v>45349</v>
      </c>
      <c r="M521" s="140">
        <v>30</v>
      </c>
      <c r="P521" s="4" t="s">
        <v>4248</v>
      </c>
      <c r="Q521" s="143"/>
      <c r="T521" s="144"/>
      <c r="U521" s="145" t="e">
        <f>VLOOKUP(H521,Stock_list!A:N,14,FALSE)</f>
        <v>#N/A</v>
      </c>
    </row>
    <row r="522" spans="1:21" ht="16.5" customHeight="1">
      <c r="A522" s="159" t="s">
        <v>2755</v>
      </c>
      <c r="B522" s="114" t="str">
        <f>VLOOKUP(A522,'Data pick slip'!B:F,5,FALSE)</f>
        <v>KLJ-MC100-00</v>
      </c>
      <c r="F522" s="157" t="s">
        <v>2762</v>
      </c>
      <c r="H522" s="138">
        <v>2099</v>
      </c>
      <c r="I522" s="140" t="str">
        <f>VLOOKUP(H522,Stock_list!A:R,18,FALSE)</f>
        <v>越南皓吉达</v>
      </c>
      <c r="J522" s="139" t="str">
        <f>VLOOKUP(H522,Stock_list!A:S,17,FALSE)</f>
        <v>VNHJD20230226</v>
      </c>
      <c r="K522" s="51" t="str">
        <f>VLOOKUP(H522,Stock_list!A:T,16,FALSE)</f>
        <v>USD</v>
      </c>
      <c r="L522" s="4"/>
      <c r="P522" s="4" t="str">
        <f>VLOOKUP(H522,Stock_list!A:Y,25,FALSE)</f>
        <v>Yes</v>
      </c>
      <c r="Q522" s="143">
        <v>6</v>
      </c>
      <c r="T522" s="144"/>
      <c r="U522" s="145" t="str">
        <f>VLOOKUP(H522,Stock_list!A:N,14,FALSE)</f>
        <v>MAR 24</v>
      </c>
    </row>
    <row r="523" spans="1:21" ht="16.5" customHeight="1">
      <c r="A523" s="159" t="s">
        <v>2756</v>
      </c>
      <c r="B523" s="114" t="str">
        <f>VLOOKUP(A523,'Data pick slip'!B:F,5,FALSE)</f>
        <v>KLJ-MC200-00</v>
      </c>
      <c r="F523" s="157" t="s">
        <v>2762</v>
      </c>
      <c r="H523" s="138">
        <v>2099</v>
      </c>
      <c r="I523" s="140" t="str">
        <f>VLOOKUP(H523,Stock_list!A:R,18,FALSE)</f>
        <v>越南皓吉达</v>
      </c>
      <c r="J523" s="139" t="str">
        <f>VLOOKUP(H523,Stock_list!A:S,17,FALSE)</f>
        <v>VNHJD20230226</v>
      </c>
      <c r="K523" s="51" t="str">
        <f>VLOOKUP(H523,Stock_list!A:T,16,FALSE)</f>
        <v>USD</v>
      </c>
      <c r="L523" s="4"/>
      <c r="P523" s="4" t="str">
        <f>VLOOKUP(H523,Stock_list!A:Y,25,FALSE)</f>
        <v>Yes</v>
      </c>
      <c r="Q523" s="143">
        <v>2</v>
      </c>
      <c r="T523" s="144"/>
      <c r="U523" s="145" t="str">
        <f>VLOOKUP(H523,Stock_list!A:N,14,FALSE)</f>
        <v>MAR 24</v>
      </c>
    </row>
    <row r="524" spans="1:21" ht="16.5" customHeight="1">
      <c r="A524" s="159" t="s">
        <v>2758</v>
      </c>
      <c r="B524" s="114" t="str">
        <f>VLOOKUP(A524,'Data pick slip'!B:F,5,FALSE)</f>
        <v>KLJ-MC500-00</v>
      </c>
      <c r="F524" s="157" t="s">
        <v>2762</v>
      </c>
      <c r="H524" s="138">
        <v>2099</v>
      </c>
      <c r="I524" s="140" t="str">
        <f>VLOOKUP(H524,Stock_list!A:R,18,FALSE)</f>
        <v>越南皓吉达</v>
      </c>
      <c r="J524" s="139" t="str">
        <f>VLOOKUP(H524,Stock_list!A:S,17,FALSE)</f>
        <v>VNHJD20230226</v>
      </c>
      <c r="K524" s="51" t="str">
        <f>VLOOKUP(H524,Stock_list!A:T,16,FALSE)</f>
        <v>USD</v>
      </c>
      <c r="L524" s="4"/>
      <c r="P524" s="4" t="str">
        <f>VLOOKUP(H524,Stock_list!A:Y,25,FALSE)</f>
        <v>Yes</v>
      </c>
      <c r="Q524" s="143">
        <v>1</v>
      </c>
      <c r="T524" s="144"/>
      <c r="U524" s="145" t="str">
        <f>VLOOKUP(H524,Stock_list!A:N,14,FALSE)</f>
        <v>MAR 24</v>
      </c>
    </row>
    <row r="525" spans="1:21" ht="16.5" customHeight="1">
      <c r="A525" s="159"/>
      <c r="B525" s="114" t="e">
        <f>VLOOKUP(A525,'Data pick slip'!B:F,5,FALSE)</f>
        <v>#N/A</v>
      </c>
      <c r="I525" s="140" t="e">
        <f>VLOOKUP(H525,Stock_list!A:R,18,FALSE)</f>
        <v>#N/A</v>
      </c>
      <c r="J525" s="139" t="e">
        <f>VLOOKUP(H525,Stock_list!A:S,17,FALSE)</f>
        <v>#N/A</v>
      </c>
      <c r="K525" s="51" t="e">
        <f>VLOOKUP(H525,Stock_list!A:T,16,FALSE)</f>
        <v>#N/A</v>
      </c>
      <c r="L525" s="4"/>
      <c r="P525" s="4" t="e">
        <f>VLOOKUP(H525,Stock_list!A:Y,25,FALSE)</f>
        <v>#N/A</v>
      </c>
      <c r="Q525" s="143"/>
      <c r="T525" s="144"/>
      <c r="U525" s="145" t="e">
        <f>VLOOKUP(H525,Stock_list!A:N,14,FALSE)</f>
        <v>#N/A</v>
      </c>
    </row>
    <row r="526" spans="1:21" ht="16.5" customHeight="1">
      <c r="A526" s="159"/>
      <c r="B526" s="114" t="e">
        <f>VLOOKUP(A526,'Data pick slip'!B:F,5,FALSE)</f>
        <v>#N/A</v>
      </c>
      <c r="I526" s="140" t="e">
        <f>VLOOKUP(H526,Stock_list!A:R,18,FALSE)</f>
        <v>#N/A</v>
      </c>
      <c r="J526" s="139" t="e">
        <f>VLOOKUP(H526,Stock_list!A:S,17,FALSE)</f>
        <v>#N/A</v>
      </c>
      <c r="K526" s="51" t="e">
        <f>VLOOKUP(H526,Stock_list!A:T,16,FALSE)</f>
        <v>#N/A</v>
      </c>
      <c r="L526" s="4"/>
      <c r="P526" s="4" t="e">
        <f>VLOOKUP(H526,Stock_list!A:Y,25,FALSE)</f>
        <v>#N/A</v>
      </c>
      <c r="Q526" s="143"/>
      <c r="T526" s="144"/>
      <c r="U526" s="145" t="e">
        <f>VLOOKUP(H526,Stock_list!A:N,14,FALSE)</f>
        <v>#N/A</v>
      </c>
    </row>
    <row r="527" spans="1:21" ht="16.5" customHeight="1">
      <c r="A527" s="159"/>
      <c r="B527" s="114" t="e">
        <f>VLOOKUP(A527,'Data pick slip'!B:F,5,FALSE)</f>
        <v>#N/A</v>
      </c>
      <c r="I527" s="140" t="e">
        <f>VLOOKUP(H527,Stock_list!A:R,18,FALSE)</f>
        <v>#N/A</v>
      </c>
      <c r="J527" s="139" t="e">
        <f>VLOOKUP(H527,Stock_list!A:S,17,FALSE)</f>
        <v>#N/A</v>
      </c>
      <c r="K527" s="51" t="e">
        <f>VLOOKUP(H527,Stock_list!A:T,16,FALSE)</f>
        <v>#N/A</v>
      </c>
      <c r="L527" s="4"/>
      <c r="P527" s="4" t="e">
        <f>VLOOKUP(H527,Stock_list!A:Y,25,FALSE)</f>
        <v>#N/A</v>
      </c>
      <c r="Q527" s="143"/>
      <c r="T527" s="144"/>
      <c r="U527" s="145" t="e">
        <f>VLOOKUP(H527,Stock_list!A:N,14,FALSE)</f>
        <v>#N/A</v>
      </c>
    </row>
    <row r="528" spans="1:21" ht="16.5" customHeight="1">
      <c r="A528" s="210" t="s">
        <v>2744</v>
      </c>
      <c r="B528" s="114" t="str">
        <f>VLOOKUP(A528,'Data pick slip'!B:F,5,FALSE)</f>
        <v>KHJ-MC100-00</v>
      </c>
      <c r="C528" s="211"/>
      <c r="D528" s="212"/>
      <c r="E528" s="306"/>
      <c r="F528" s="213" t="s">
        <v>3868</v>
      </c>
      <c r="G528" s="214"/>
      <c r="H528" s="215"/>
      <c r="I528" s="217" t="s">
        <v>2784</v>
      </c>
      <c r="J528" s="216" t="s">
        <v>2784</v>
      </c>
      <c r="K528" s="93"/>
      <c r="L528" s="9"/>
      <c r="M528" s="217"/>
      <c r="N528" s="340">
        <f>500</f>
        <v>500</v>
      </c>
      <c r="P528" s="4"/>
      <c r="Q528" s="143"/>
      <c r="T528" s="144"/>
      <c r="U528" s="145" t="e">
        <f>VLOOKUP(H528,Stock_list!A:N,14,FALSE)</f>
        <v>#N/A</v>
      </c>
    </row>
    <row r="529" spans="1:21" ht="16.5" customHeight="1">
      <c r="A529" s="210" t="s">
        <v>2747</v>
      </c>
      <c r="B529" s="114" t="str">
        <f>VLOOKUP(A529,'Data pick slip'!B:F,5,FALSE)</f>
        <v>KHJ-MC200-00</v>
      </c>
      <c r="C529" s="211"/>
      <c r="D529" s="212"/>
      <c r="E529" s="306"/>
      <c r="F529" s="213" t="s">
        <v>3868</v>
      </c>
      <c r="G529" s="214"/>
      <c r="H529" s="215"/>
      <c r="I529" s="217" t="s">
        <v>2784</v>
      </c>
      <c r="J529" s="216" t="s">
        <v>2784</v>
      </c>
      <c r="K529" s="93"/>
      <c r="L529" s="9"/>
      <c r="M529" s="217"/>
      <c r="N529" s="340">
        <f>100</f>
        <v>100</v>
      </c>
      <c r="P529" s="4"/>
      <c r="Q529" s="143"/>
      <c r="T529" s="144"/>
      <c r="U529" s="145" t="e">
        <f>VLOOKUP(H529,Stock_list!A:N,14,FALSE)</f>
        <v>#N/A</v>
      </c>
    </row>
    <row r="530" spans="1:21" ht="16.5" customHeight="1">
      <c r="A530" s="210" t="s">
        <v>2748</v>
      </c>
      <c r="B530" s="114" t="str">
        <f>VLOOKUP(A530,'Data pick slip'!B:F,5,FALSE)</f>
        <v>KHJ-MC400-00</v>
      </c>
      <c r="C530" s="211"/>
      <c r="D530" s="212"/>
      <c r="E530" s="306"/>
      <c r="F530" s="213" t="s">
        <v>3868</v>
      </c>
      <c r="G530" s="214"/>
      <c r="H530" s="215"/>
      <c r="I530" s="217" t="s">
        <v>2784</v>
      </c>
      <c r="J530" s="216" t="s">
        <v>2784</v>
      </c>
      <c r="K530" s="93"/>
      <c r="L530" s="9"/>
      <c r="M530" s="217"/>
      <c r="N530" s="340">
        <f>30</f>
        <v>30</v>
      </c>
      <c r="P530" s="4"/>
      <c r="Q530" s="143"/>
      <c r="T530" s="144"/>
      <c r="U530" s="145"/>
    </row>
    <row r="531" spans="1:21" ht="16.5" customHeight="1">
      <c r="A531" s="210" t="s">
        <v>2749</v>
      </c>
      <c r="B531" s="114" t="str">
        <f>VLOOKUP(A531,'Data pick slip'!B:F,5,FALSE)</f>
        <v>KHJ-MC500-00</v>
      </c>
      <c r="C531" s="211"/>
      <c r="D531" s="212"/>
      <c r="E531" s="306"/>
      <c r="F531" s="213" t="s">
        <v>3868</v>
      </c>
      <c r="G531" s="214"/>
      <c r="H531" s="215"/>
      <c r="I531" s="217" t="s">
        <v>2784</v>
      </c>
      <c r="J531" s="216" t="s">
        <v>2784</v>
      </c>
      <c r="K531" s="93"/>
      <c r="L531" s="9"/>
      <c r="M531" s="217"/>
      <c r="N531" s="340">
        <f>15</f>
        <v>15</v>
      </c>
      <c r="P531" s="4"/>
      <c r="Q531" s="143"/>
      <c r="T531" s="144"/>
      <c r="U531" s="145"/>
    </row>
    <row r="532" spans="1:21" ht="16.5" customHeight="1">
      <c r="A532" s="210" t="s">
        <v>2750</v>
      </c>
      <c r="B532" s="114" t="str">
        <f>VLOOKUP(A532,'Data pick slip'!B:F,5,FALSE)</f>
        <v>KHJ-MC600-00</v>
      </c>
      <c r="C532" s="211"/>
      <c r="D532" s="212"/>
      <c r="E532" s="306"/>
      <c r="F532" s="213" t="s">
        <v>3868</v>
      </c>
      <c r="G532" s="214"/>
      <c r="H532" s="215"/>
      <c r="I532" s="217" t="s">
        <v>2784</v>
      </c>
      <c r="J532" s="216" t="s">
        <v>2784</v>
      </c>
      <c r="K532" s="93"/>
      <c r="L532" s="9"/>
      <c r="M532" s="217"/>
      <c r="N532" s="340">
        <f>6</f>
        <v>6</v>
      </c>
      <c r="P532" s="4"/>
      <c r="Q532" s="143"/>
      <c r="T532" s="144"/>
      <c r="U532" s="145"/>
    </row>
    <row r="533" spans="1:21" ht="16.5" customHeight="1">
      <c r="A533" s="210" t="s">
        <v>2751</v>
      </c>
      <c r="B533" s="114" t="str">
        <f>VLOOKUP(A533,'Data pick slip'!B:F,5,FALSE)</f>
        <v>KHJ-MC700-00</v>
      </c>
      <c r="C533" s="211"/>
      <c r="D533" s="212"/>
      <c r="E533" s="306"/>
      <c r="F533" s="213" t="s">
        <v>3868</v>
      </c>
      <c r="G533" s="214"/>
      <c r="H533" s="215"/>
      <c r="I533" s="217" t="s">
        <v>2784</v>
      </c>
      <c r="J533" s="216" t="s">
        <v>2784</v>
      </c>
      <c r="K533" s="93"/>
      <c r="L533" s="9"/>
      <c r="M533" s="217"/>
      <c r="N533" s="340">
        <f>2</f>
        <v>2</v>
      </c>
      <c r="P533" s="4"/>
      <c r="Q533" s="143"/>
      <c r="T533" s="144"/>
      <c r="U533" s="145"/>
    </row>
    <row r="534" spans="1:21" ht="16.5" customHeight="1">
      <c r="A534" s="210" t="s">
        <v>2752</v>
      </c>
      <c r="B534" s="114" t="str">
        <f>VLOOKUP(A534,'Data pick slip'!B:F,5,FALSE)</f>
        <v>KHJ-MC800-00</v>
      </c>
      <c r="C534" s="211"/>
      <c r="D534" s="212"/>
      <c r="E534" s="306"/>
      <c r="F534" s="213" t="s">
        <v>3868</v>
      </c>
      <c r="G534" s="214"/>
      <c r="H534" s="215"/>
      <c r="I534" s="217" t="s">
        <v>2784</v>
      </c>
      <c r="J534" s="216" t="s">
        <v>2784</v>
      </c>
      <c r="K534" s="93"/>
      <c r="L534" s="9"/>
      <c r="M534" s="217"/>
      <c r="N534" s="340">
        <v>0</v>
      </c>
      <c r="P534" s="4"/>
      <c r="Q534" s="143"/>
      <c r="T534" s="144"/>
      <c r="U534" s="145"/>
    </row>
    <row r="535" spans="1:21" ht="16.5" customHeight="1">
      <c r="A535" s="210" t="s">
        <v>2755</v>
      </c>
      <c r="B535" s="114" t="str">
        <f>VLOOKUP(A535,'Data pick slip'!B:F,5,FALSE)</f>
        <v>KLJ-MC100-00</v>
      </c>
      <c r="C535" s="211"/>
      <c r="D535" s="212"/>
      <c r="E535" s="306"/>
      <c r="F535" s="213" t="s">
        <v>3868</v>
      </c>
      <c r="G535" s="214"/>
      <c r="H535" s="215"/>
      <c r="I535" s="217" t="s">
        <v>2784</v>
      </c>
      <c r="J535" s="216" t="s">
        <v>2784</v>
      </c>
      <c r="K535" s="93"/>
      <c r="L535" s="9"/>
      <c r="M535" s="217"/>
      <c r="N535" s="340">
        <v>200</v>
      </c>
      <c r="P535" s="4"/>
      <c r="Q535" s="143"/>
      <c r="T535" s="144"/>
      <c r="U535" s="145"/>
    </row>
    <row r="536" spans="1:21" ht="16.5" customHeight="1">
      <c r="A536" s="210" t="s">
        <v>2756</v>
      </c>
      <c r="B536" s="114" t="str">
        <f>VLOOKUP(A536,'Data pick slip'!B:F,5,FALSE)</f>
        <v>KLJ-MC200-00</v>
      </c>
      <c r="C536" s="211"/>
      <c r="D536" s="212"/>
      <c r="E536" s="306"/>
      <c r="F536" s="213" t="s">
        <v>3868</v>
      </c>
      <c r="G536" s="214"/>
      <c r="H536" s="215"/>
      <c r="I536" s="217" t="s">
        <v>2784</v>
      </c>
      <c r="J536" s="216" t="s">
        <v>2784</v>
      </c>
      <c r="K536" s="93"/>
      <c r="L536" s="9"/>
      <c r="M536" s="217"/>
      <c r="N536" s="340">
        <v>30</v>
      </c>
      <c r="P536" s="4"/>
      <c r="T536" s="144"/>
      <c r="U536" s="145"/>
    </row>
    <row r="537" spans="1:21" ht="16.5" customHeight="1">
      <c r="A537" s="210" t="s">
        <v>2757</v>
      </c>
      <c r="B537" s="114" t="str">
        <f>VLOOKUP(A537,'Data pick slip'!B:F,5,FALSE)</f>
        <v>KLJ-MC400-00</v>
      </c>
      <c r="C537" s="211"/>
      <c r="D537" s="212"/>
      <c r="E537" s="306"/>
      <c r="F537" s="213" t="s">
        <v>3868</v>
      </c>
      <c r="G537" s="214"/>
      <c r="H537" s="215"/>
      <c r="I537" s="217" t="s">
        <v>2784</v>
      </c>
      <c r="J537" s="216" t="s">
        <v>2784</v>
      </c>
      <c r="K537" s="93"/>
      <c r="L537" s="9"/>
      <c r="M537" s="217"/>
      <c r="N537" s="340">
        <v>10</v>
      </c>
      <c r="P537" s="4"/>
      <c r="Q537" s="143"/>
      <c r="T537" s="144"/>
      <c r="U537" s="145"/>
    </row>
    <row r="538" spans="1:21" ht="16.5" customHeight="1">
      <c r="A538" s="210" t="s">
        <v>2758</v>
      </c>
      <c r="B538" s="114" t="str">
        <f>VLOOKUP(A538,'Data pick slip'!B:F,5,FALSE)</f>
        <v>KLJ-MC500-00</v>
      </c>
      <c r="C538" s="211"/>
      <c r="D538" s="212"/>
      <c r="E538" s="306"/>
      <c r="F538" s="213" t="s">
        <v>3868</v>
      </c>
      <c r="G538" s="214"/>
      <c r="H538" s="215"/>
      <c r="I538" s="217" t="s">
        <v>2784</v>
      </c>
      <c r="J538" s="216" t="s">
        <v>2784</v>
      </c>
      <c r="K538" s="93"/>
      <c r="L538" s="9"/>
      <c r="M538" s="217"/>
      <c r="N538" s="340">
        <v>5</v>
      </c>
      <c r="P538" s="4"/>
      <c r="Q538" s="143"/>
      <c r="T538" s="144"/>
      <c r="U538" s="145"/>
    </row>
    <row r="539" spans="1:21" ht="16.5" customHeight="1">
      <c r="A539" s="210" t="s">
        <v>2759</v>
      </c>
      <c r="B539" s="114" t="str">
        <f>VLOOKUP(A539,'Data pick slip'!B:F,5,FALSE)</f>
        <v>KLJ-MC600-00</v>
      </c>
      <c r="C539" s="211"/>
      <c r="D539" s="212"/>
      <c r="E539" s="306"/>
      <c r="F539" s="213" t="s">
        <v>3868</v>
      </c>
      <c r="G539" s="214"/>
      <c r="H539" s="215"/>
      <c r="I539" s="217" t="s">
        <v>2784</v>
      </c>
      <c r="J539" s="216" t="s">
        <v>2784</v>
      </c>
      <c r="K539" s="93"/>
      <c r="L539" s="9"/>
      <c r="M539" s="217"/>
      <c r="N539" s="340">
        <v>0</v>
      </c>
      <c r="P539" s="4"/>
      <c r="Q539" s="143"/>
      <c r="T539" s="144"/>
      <c r="U539" s="145"/>
    </row>
    <row r="540" spans="1:21" ht="16.5" customHeight="1">
      <c r="A540" s="210" t="s">
        <v>2760</v>
      </c>
      <c r="B540" s="114" t="str">
        <f>VLOOKUP(A540,'Data pick slip'!B:F,5,FALSE)</f>
        <v>KLJ-MC700-00</v>
      </c>
      <c r="C540" s="211"/>
      <c r="D540" s="212"/>
      <c r="E540" s="306"/>
      <c r="F540" s="213" t="s">
        <v>3868</v>
      </c>
      <c r="G540" s="214"/>
      <c r="H540" s="215"/>
      <c r="I540" s="217" t="s">
        <v>2784</v>
      </c>
      <c r="J540" s="216" t="s">
        <v>2784</v>
      </c>
      <c r="K540" s="93"/>
      <c r="L540" s="9"/>
      <c r="M540" s="217"/>
      <c r="N540" s="340">
        <v>0</v>
      </c>
      <c r="P540" s="4"/>
      <c r="Q540" s="143"/>
      <c r="T540" s="144"/>
      <c r="U540" s="145"/>
    </row>
    <row r="541" spans="1:21" ht="16.5" customHeight="1">
      <c r="A541" s="210" t="s">
        <v>2761</v>
      </c>
      <c r="B541" s="114" t="str">
        <f>VLOOKUP(A541,'Data pick slip'!B:F,5,FALSE)</f>
        <v>KLJ-MC800-00</v>
      </c>
      <c r="C541" s="211"/>
      <c r="D541" s="212"/>
      <c r="E541" s="306"/>
      <c r="F541" s="213" t="s">
        <v>3868</v>
      </c>
      <c r="G541" s="214"/>
      <c r="H541" s="215"/>
      <c r="I541" s="217" t="s">
        <v>2784</v>
      </c>
      <c r="J541" s="216" t="s">
        <v>2784</v>
      </c>
      <c r="K541" s="93"/>
      <c r="L541" s="9"/>
      <c r="M541" s="217"/>
      <c r="N541" s="340">
        <v>0</v>
      </c>
      <c r="P541" s="4"/>
      <c r="Q541" s="143"/>
      <c r="T541" s="144"/>
      <c r="U541" s="145"/>
    </row>
    <row r="542" spans="1:21" ht="16.5" customHeight="1">
      <c r="A542" s="218" t="s">
        <v>2744</v>
      </c>
      <c r="B542" s="114" t="str">
        <f>VLOOKUP(A542,'Data pick slip'!B:F,5,FALSE)</f>
        <v>KHJ-MC100-00</v>
      </c>
      <c r="C542" s="219"/>
      <c r="D542" s="220"/>
      <c r="E542" s="255"/>
      <c r="F542" s="213" t="s">
        <v>3868</v>
      </c>
      <c r="G542" s="222"/>
      <c r="H542" s="223"/>
      <c r="I542" s="225" t="s">
        <v>2786</v>
      </c>
      <c r="J542" s="224" t="s">
        <v>2786</v>
      </c>
      <c r="K542" s="94"/>
      <c r="L542" s="10"/>
      <c r="M542" s="225"/>
      <c r="N542" s="341">
        <f>300</f>
        <v>300</v>
      </c>
      <c r="P542" s="4"/>
      <c r="Q542" s="143"/>
      <c r="T542" s="144"/>
      <c r="U542" s="145"/>
    </row>
    <row r="543" spans="1:21" ht="16.5" customHeight="1">
      <c r="A543" s="218" t="s">
        <v>2747</v>
      </c>
      <c r="B543" s="114" t="str">
        <f>VLOOKUP(A543,'Data pick slip'!B:F,5,FALSE)</f>
        <v>KHJ-MC200-00</v>
      </c>
      <c r="C543" s="219"/>
      <c r="D543" s="220"/>
      <c r="E543" s="255"/>
      <c r="F543" s="213" t="s">
        <v>3868</v>
      </c>
      <c r="G543" s="222"/>
      <c r="H543" s="223"/>
      <c r="I543" s="225" t="s">
        <v>2786</v>
      </c>
      <c r="J543" s="224" t="s">
        <v>2786</v>
      </c>
      <c r="K543" s="94"/>
      <c r="L543" s="10"/>
      <c r="M543" s="225"/>
      <c r="N543" s="341">
        <f>150</f>
        <v>150</v>
      </c>
      <c r="P543" s="4"/>
      <c r="Q543" s="143"/>
      <c r="T543" s="144"/>
      <c r="U543" s="145"/>
    </row>
    <row r="544" spans="1:21" ht="16.5" customHeight="1">
      <c r="A544" s="218" t="s">
        <v>2748</v>
      </c>
      <c r="B544" s="114" t="str">
        <f>VLOOKUP(A544,'Data pick slip'!B:F,5,FALSE)</f>
        <v>KHJ-MC400-00</v>
      </c>
      <c r="C544" s="219"/>
      <c r="D544" s="220"/>
      <c r="E544" s="255"/>
      <c r="F544" s="213" t="s">
        <v>3868</v>
      </c>
      <c r="G544" s="222"/>
      <c r="H544" s="223"/>
      <c r="I544" s="225" t="s">
        <v>2786</v>
      </c>
      <c r="J544" s="224" t="s">
        <v>2786</v>
      </c>
      <c r="K544" s="94"/>
      <c r="L544" s="10"/>
      <c r="M544" s="225"/>
      <c r="N544" s="341">
        <f>25</f>
        <v>25</v>
      </c>
      <c r="P544" s="4"/>
      <c r="Q544" s="143"/>
      <c r="T544" s="144"/>
      <c r="U544" s="145"/>
    </row>
    <row r="545" spans="1:21" ht="16.5" customHeight="1">
      <c r="A545" s="218" t="s">
        <v>2749</v>
      </c>
      <c r="B545" s="114" t="str">
        <f>VLOOKUP(A545,'Data pick slip'!B:F,5,FALSE)</f>
        <v>KHJ-MC500-00</v>
      </c>
      <c r="C545" s="219"/>
      <c r="D545" s="220"/>
      <c r="E545" s="255"/>
      <c r="F545" s="213" t="s">
        <v>3868</v>
      </c>
      <c r="G545" s="222"/>
      <c r="H545" s="223"/>
      <c r="I545" s="225" t="s">
        <v>2786</v>
      </c>
      <c r="J545" s="224" t="s">
        <v>2786</v>
      </c>
      <c r="K545" s="94"/>
      <c r="L545" s="10"/>
      <c r="M545" s="225"/>
      <c r="N545" s="341">
        <f>15</f>
        <v>15</v>
      </c>
      <c r="P545" s="4"/>
      <c r="Q545" s="143"/>
      <c r="T545" s="144"/>
      <c r="U545" s="145"/>
    </row>
    <row r="546" spans="1:21" ht="16.5" customHeight="1">
      <c r="A546" s="218" t="s">
        <v>2750</v>
      </c>
      <c r="B546" s="114" t="str">
        <f>VLOOKUP(A546,'Data pick slip'!B:F,5,FALSE)</f>
        <v>KHJ-MC600-00</v>
      </c>
      <c r="C546" s="219"/>
      <c r="D546" s="220"/>
      <c r="E546" s="255"/>
      <c r="F546" s="213" t="s">
        <v>3868</v>
      </c>
      <c r="G546" s="222"/>
      <c r="H546" s="223"/>
      <c r="I546" s="225" t="s">
        <v>2786</v>
      </c>
      <c r="J546" s="224" t="s">
        <v>2786</v>
      </c>
      <c r="K546" s="94"/>
      <c r="L546" s="10"/>
      <c r="M546" s="225"/>
      <c r="N546" s="341">
        <f>12</f>
        <v>12</v>
      </c>
      <c r="P546" s="4"/>
      <c r="Q546" s="143"/>
      <c r="T546" s="144"/>
      <c r="U546" s="145"/>
    </row>
    <row r="547" spans="1:21" ht="16.5" customHeight="1">
      <c r="A547" s="218" t="s">
        <v>2751</v>
      </c>
      <c r="B547" s="114" t="str">
        <f>VLOOKUP(A547,'Data pick slip'!B:F,5,FALSE)</f>
        <v>KHJ-MC700-00</v>
      </c>
      <c r="C547" s="219"/>
      <c r="D547" s="220"/>
      <c r="E547" s="255"/>
      <c r="F547" s="213" t="s">
        <v>3868</v>
      </c>
      <c r="G547" s="222"/>
      <c r="H547" s="223"/>
      <c r="I547" s="225" t="s">
        <v>2786</v>
      </c>
      <c r="J547" s="224" t="s">
        <v>2786</v>
      </c>
      <c r="K547" s="94"/>
      <c r="L547" s="10"/>
      <c r="M547" s="225"/>
      <c r="N547" s="341">
        <v>1</v>
      </c>
      <c r="P547" s="4"/>
      <c r="Q547" s="143"/>
      <c r="T547" s="144"/>
      <c r="U547" s="145"/>
    </row>
    <row r="548" spans="1:21" ht="16.5" customHeight="1">
      <c r="A548" s="218" t="s">
        <v>2752</v>
      </c>
      <c r="B548" s="114" t="str">
        <f>VLOOKUP(A548,'Data pick slip'!B:F,5,FALSE)</f>
        <v>KHJ-MC800-00</v>
      </c>
      <c r="C548" s="219"/>
      <c r="D548" s="220"/>
      <c r="E548" s="255"/>
      <c r="F548" s="213" t="s">
        <v>3868</v>
      </c>
      <c r="G548" s="222"/>
      <c r="H548" s="223"/>
      <c r="I548" s="225" t="s">
        <v>2786</v>
      </c>
      <c r="J548" s="224" t="s">
        <v>2786</v>
      </c>
      <c r="K548" s="94"/>
      <c r="L548" s="10"/>
      <c r="M548" s="225"/>
      <c r="N548" s="341">
        <v>0</v>
      </c>
      <c r="P548" s="4"/>
      <c r="Q548" s="143"/>
      <c r="T548" s="144"/>
      <c r="U548" s="145"/>
    </row>
    <row r="549" spans="1:21" ht="16.5" customHeight="1">
      <c r="A549" s="218" t="s">
        <v>2755</v>
      </c>
      <c r="B549" s="114" t="str">
        <f>VLOOKUP(A549,'Data pick slip'!B:F,5,FALSE)</f>
        <v>KLJ-MC100-00</v>
      </c>
      <c r="C549" s="219"/>
      <c r="D549" s="220"/>
      <c r="E549" s="255"/>
      <c r="F549" s="213" t="s">
        <v>3868</v>
      </c>
      <c r="G549" s="222"/>
      <c r="H549" s="223"/>
      <c r="I549" s="225" t="s">
        <v>2786</v>
      </c>
      <c r="J549" s="224" t="s">
        <v>2786</v>
      </c>
      <c r="K549" s="94"/>
      <c r="L549" s="10"/>
      <c r="M549" s="225"/>
      <c r="N549" s="341">
        <v>100</v>
      </c>
      <c r="P549" s="4"/>
      <c r="Q549" s="143"/>
      <c r="T549" s="144"/>
      <c r="U549" s="145"/>
    </row>
    <row r="550" spans="1:21" ht="16.5" customHeight="1">
      <c r="A550" s="218" t="s">
        <v>2756</v>
      </c>
      <c r="B550" s="114" t="str">
        <f>VLOOKUP(A550,'Data pick slip'!B:F,5,FALSE)</f>
        <v>KLJ-MC200-00</v>
      </c>
      <c r="C550" s="219"/>
      <c r="D550" s="220"/>
      <c r="E550" s="255"/>
      <c r="F550" s="213" t="s">
        <v>3868</v>
      </c>
      <c r="G550" s="222"/>
      <c r="H550" s="223"/>
      <c r="I550" s="225" t="s">
        <v>2786</v>
      </c>
      <c r="J550" s="224" t="s">
        <v>2786</v>
      </c>
      <c r="K550" s="94"/>
      <c r="L550" s="10"/>
      <c r="M550" s="225"/>
      <c r="N550" s="341">
        <v>10</v>
      </c>
      <c r="P550" s="4"/>
      <c r="T550" s="144"/>
      <c r="U550" s="145"/>
    </row>
    <row r="551" spans="1:21" ht="16.5" customHeight="1">
      <c r="A551" s="218" t="s">
        <v>2757</v>
      </c>
      <c r="B551" s="114" t="str">
        <f>VLOOKUP(A551,'Data pick slip'!B:F,5,FALSE)</f>
        <v>KLJ-MC400-00</v>
      </c>
      <c r="C551" s="219"/>
      <c r="D551" s="220"/>
      <c r="E551" s="255"/>
      <c r="F551" s="213" t="s">
        <v>3868</v>
      </c>
      <c r="G551" s="222"/>
      <c r="H551" s="223"/>
      <c r="I551" s="225" t="s">
        <v>2786</v>
      </c>
      <c r="J551" s="224" t="s">
        <v>2786</v>
      </c>
      <c r="K551" s="94"/>
      <c r="L551" s="10"/>
      <c r="M551" s="225"/>
      <c r="N551" s="222">
        <v>0</v>
      </c>
      <c r="P551" s="4"/>
      <c r="Q551" s="143"/>
      <c r="T551" s="144"/>
      <c r="U551" s="145"/>
    </row>
    <row r="552" spans="1:21" ht="16.5" customHeight="1">
      <c r="A552" s="218" t="s">
        <v>2758</v>
      </c>
      <c r="B552" s="114" t="str">
        <f>VLOOKUP(A552,'Data pick slip'!B:F,5,FALSE)</f>
        <v>KLJ-MC500-00</v>
      </c>
      <c r="C552" s="219"/>
      <c r="D552" s="220"/>
      <c r="E552" s="255"/>
      <c r="F552" s="213" t="s">
        <v>3868</v>
      </c>
      <c r="G552" s="222"/>
      <c r="H552" s="223"/>
      <c r="I552" s="225" t="s">
        <v>2786</v>
      </c>
      <c r="J552" s="224" t="s">
        <v>2786</v>
      </c>
      <c r="K552" s="94"/>
      <c r="L552" s="10"/>
      <c r="M552" s="225"/>
      <c r="N552" s="222">
        <v>0</v>
      </c>
      <c r="P552" s="4"/>
      <c r="Q552" s="143"/>
      <c r="T552" s="144"/>
      <c r="U552" s="145"/>
    </row>
    <row r="553" spans="1:21" ht="16.5" customHeight="1">
      <c r="A553" s="218" t="s">
        <v>2759</v>
      </c>
      <c r="B553" s="114" t="str">
        <f>VLOOKUP(A553,'Data pick slip'!B:F,5,FALSE)</f>
        <v>KLJ-MC600-00</v>
      </c>
      <c r="C553" s="219"/>
      <c r="D553" s="220"/>
      <c r="E553" s="255"/>
      <c r="F553" s="213" t="s">
        <v>3868</v>
      </c>
      <c r="G553" s="222"/>
      <c r="H553" s="223"/>
      <c r="I553" s="225" t="s">
        <v>2786</v>
      </c>
      <c r="J553" s="224" t="s">
        <v>2786</v>
      </c>
      <c r="K553" s="94"/>
      <c r="L553" s="10"/>
      <c r="M553" s="225"/>
      <c r="N553" s="222">
        <v>0</v>
      </c>
      <c r="P553" s="4"/>
      <c r="Q553" s="143"/>
      <c r="T553" s="144"/>
      <c r="U553" s="145"/>
    </row>
    <row r="554" spans="1:21" ht="16.5" customHeight="1">
      <c r="A554" s="218" t="s">
        <v>2760</v>
      </c>
      <c r="B554" s="114" t="str">
        <f>VLOOKUP(A554,'Data pick slip'!B:F,5,FALSE)</f>
        <v>KLJ-MC700-00</v>
      </c>
      <c r="C554" s="219"/>
      <c r="D554" s="220"/>
      <c r="E554" s="255"/>
      <c r="F554" s="213" t="s">
        <v>3868</v>
      </c>
      <c r="G554" s="222"/>
      <c r="H554" s="223"/>
      <c r="I554" s="225" t="s">
        <v>2786</v>
      </c>
      <c r="J554" s="224" t="s">
        <v>2786</v>
      </c>
      <c r="K554" s="94"/>
      <c r="L554" s="10"/>
      <c r="M554" s="225"/>
      <c r="N554" s="222">
        <v>0</v>
      </c>
      <c r="P554" s="4"/>
      <c r="Q554" s="143"/>
      <c r="T554" s="144"/>
      <c r="U554" s="145"/>
    </row>
    <row r="555" spans="1:21" ht="16.5" customHeight="1">
      <c r="A555" s="218" t="s">
        <v>2761</v>
      </c>
      <c r="B555" s="114" t="str">
        <f>VLOOKUP(A555,'Data pick slip'!B:F,5,FALSE)</f>
        <v>KLJ-MC800-00</v>
      </c>
      <c r="C555" s="219"/>
      <c r="D555" s="220"/>
      <c r="E555" s="255"/>
      <c r="F555" s="213" t="s">
        <v>3868</v>
      </c>
      <c r="G555" s="222"/>
      <c r="H555" s="223"/>
      <c r="I555" s="225" t="s">
        <v>2786</v>
      </c>
      <c r="J555" s="224" t="s">
        <v>2786</v>
      </c>
      <c r="K555" s="94"/>
      <c r="L555" s="10"/>
      <c r="M555" s="225"/>
      <c r="N555" s="222">
        <v>0</v>
      </c>
      <c r="P555" s="4"/>
      <c r="Q555" s="143"/>
      <c r="T555" s="144"/>
      <c r="U555" s="145"/>
    </row>
    <row r="556" spans="1:21" ht="16.5" customHeight="1">
      <c r="A556" s="218"/>
      <c r="B556" s="114"/>
      <c r="C556" s="219"/>
      <c r="D556" s="220"/>
      <c r="E556" s="255"/>
      <c r="F556" s="213"/>
      <c r="G556" s="222"/>
      <c r="H556" s="223"/>
      <c r="I556" s="225"/>
      <c r="J556" s="224"/>
      <c r="K556" s="94"/>
      <c r="L556" s="10"/>
      <c r="M556" s="225"/>
      <c r="N556" s="222"/>
      <c r="P556" s="4"/>
      <c r="Q556" s="143"/>
      <c r="T556" s="418"/>
      <c r="U556" s="145"/>
    </row>
    <row r="557" spans="1:21" ht="16.5" customHeight="1">
      <c r="A557" s="210" t="s">
        <v>2744</v>
      </c>
      <c r="B557" s="114" t="str">
        <f>VLOOKUP(A557,'Data pick slip'!B:F,5,FALSE)</f>
        <v>KHJ-MC100-00</v>
      </c>
      <c r="C557" s="219"/>
      <c r="D557" s="212">
        <v>2</v>
      </c>
      <c r="E557" s="306" t="e">
        <f>VLOOKUP(C557,Stock_list!D:L,9,FALSE)</f>
        <v>#N/A</v>
      </c>
      <c r="F557" s="213" t="s">
        <v>20</v>
      </c>
      <c r="G557" s="214"/>
      <c r="H557" s="215"/>
      <c r="I557" s="388" t="s">
        <v>3863</v>
      </c>
      <c r="J557" s="419" t="s">
        <v>4161</v>
      </c>
      <c r="K557" s="93">
        <f>SUMIFS(Stock_list!$J$1:$J$1601,Stock_list!$F$1:$F$1601,"S20",Stock_list!$B$1:$B$1601,"TBA.",Stock_list!$P$1:$P$1601,"#N/A")</f>
        <v>0</v>
      </c>
      <c r="L557" s="10"/>
      <c r="M557" s="225"/>
      <c r="N557" s="214">
        <f>D557*K557</f>
        <v>0</v>
      </c>
      <c r="P557" s="4"/>
      <c r="Q557" s="143"/>
      <c r="T557" s="418"/>
      <c r="U557" s="145"/>
    </row>
    <row r="558" spans="1:21" ht="16.5" customHeight="1">
      <c r="A558" s="210" t="s">
        <v>2744</v>
      </c>
      <c r="B558" s="114" t="str">
        <f>VLOOKUP(A558,'Data pick slip'!B:F,5,FALSE)</f>
        <v>KHJ-MC100-00</v>
      </c>
      <c r="C558" s="219"/>
      <c r="D558" s="212">
        <v>2</v>
      </c>
      <c r="E558" s="306" t="e">
        <f>VLOOKUP(C558,Stock_list!D:L,9,FALSE)</f>
        <v>#N/A</v>
      </c>
      <c r="F558" s="213" t="s">
        <v>75</v>
      </c>
      <c r="G558" s="214"/>
      <c r="H558" s="215"/>
      <c r="I558" s="388" t="s">
        <v>3863</v>
      </c>
      <c r="J558" s="419" t="s">
        <v>4161</v>
      </c>
      <c r="K558" s="93">
        <f>SUMIFS(Stock_list!$J$1:$J$1601,Stock_list!$F$1:$F$1601,"S20",Stock_list!$B$1:$B$1601,"已经到货",Stock_list!$P$1:$P$1601,"#N/A")</f>
        <v>0</v>
      </c>
      <c r="L558" s="10"/>
      <c r="M558" s="225"/>
      <c r="N558" s="214">
        <f>D558*K558</f>
        <v>0</v>
      </c>
      <c r="P558" s="4"/>
      <c r="Q558" s="143"/>
      <c r="T558" s="418"/>
      <c r="U558" s="145"/>
    </row>
    <row r="559" spans="1:21" ht="15">
      <c r="A559" s="210" t="s">
        <v>2744</v>
      </c>
      <c r="B559" s="114" t="str">
        <f>VLOOKUP(A559,'Data pick slip'!B:F,5,FALSE)</f>
        <v>KHJ-MC100-00</v>
      </c>
      <c r="C559" s="211"/>
      <c r="D559" s="212">
        <v>2</v>
      </c>
      <c r="E559" s="306" t="e">
        <f>VLOOKUP(C559,Stock_list!D:L,9,FALSE)</f>
        <v>#N/A</v>
      </c>
      <c r="F559" s="213" t="s">
        <v>2979</v>
      </c>
      <c r="G559" s="214"/>
      <c r="H559" s="215"/>
      <c r="I559" s="388" t="s">
        <v>3863</v>
      </c>
      <c r="J559" s="419" t="s">
        <v>4161</v>
      </c>
      <c r="K559" s="93">
        <f>SUMIFS(Stock_list!$J$1:$J$1601,Stock_list!$F$1:$F$1601,"S20",Stock_list!$B$1:$B$1601,"有交期",Stock_list!$P$1:$P$1601,"#N/A")</f>
        <v>0</v>
      </c>
      <c r="L559" s="9"/>
      <c r="M559" s="217"/>
      <c r="N559" s="214">
        <f t="shared" ref="N559" si="0">D559*K559</f>
        <v>0</v>
      </c>
      <c r="O559" s="122"/>
      <c r="P559" s="4"/>
      <c r="Q559" s="143"/>
      <c r="S559" s="278" t="s">
        <v>17</v>
      </c>
      <c r="T559" s="329">
        <v>35</v>
      </c>
      <c r="U559" s="145"/>
    </row>
    <row r="560" spans="1:21" ht="16.5" customHeight="1">
      <c r="A560" s="210" t="s">
        <v>2744</v>
      </c>
      <c r="B560" s="114" t="str">
        <f>VLOOKUP(A560,'Data pick slip'!B:F,5,FALSE)</f>
        <v>KHJ-MC100-00</v>
      </c>
      <c r="C560" s="211"/>
      <c r="D560" s="212">
        <v>25</v>
      </c>
      <c r="E560" s="306" t="e">
        <f>VLOOKUP(C560,Stock_list!D:L,9,FALSE)</f>
        <v>#N/A</v>
      </c>
      <c r="F560" s="213" t="s">
        <v>20</v>
      </c>
      <c r="G560" s="214"/>
      <c r="H560" s="215"/>
      <c r="I560" s="217" t="s">
        <v>2787</v>
      </c>
      <c r="J560" s="420" t="s">
        <v>2788</v>
      </c>
      <c r="K560" s="93">
        <f>SUMIFS(Stock_list!$J$1:$J$1601,Stock_list!$F$1:$F$1601,"YSM10",Stock_list!$B$1:$B$1601,"TBA.",Stock_list!$P$1:$P$1601,"#N/A")</f>
        <v>10</v>
      </c>
      <c r="L560" s="9"/>
      <c r="M560" s="217"/>
      <c r="N560" s="214">
        <f>D560*K560</f>
        <v>250</v>
      </c>
      <c r="O560" s="122"/>
      <c r="P560" s="4"/>
      <c r="Q560" s="344"/>
      <c r="R560" s="344"/>
      <c r="S560" s="344"/>
      <c r="U560" s="145"/>
    </row>
    <row r="561" spans="1:21" ht="16.5" customHeight="1">
      <c r="A561" s="210" t="s">
        <v>2747</v>
      </c>
      <c r="B561" s="114" t="str">
        <f>VLOOKUP(A561,'Data pick slip'!B:F,5,FALSE)</f>
        <v>KHJ-MC200-00</v>
      </c>
      <c r="C561" s="211"/>
      <c r="D561" s="212">
        <v>10</v>
      </c>
      <c r="E561" s="306" t="e">
        <f>VLOOKUP(C561,Stock_list!D:L,9,FALSE)</f>
        <v>#N/A</v>
      </c>
      <c r="F561" s="213" t="s">
        <v>20</v>
      </c>
      <c r="G561" s="214"/>
      <c r="H561" s="215"/>
      <c r="I561" s="217" t="s">
        <v>2787</v>
      </c>
      <c r="J561" s="420" t="s">
        <v>2788</v>
      </c>
      <c r="K561" s="93">
        <f>SUMIFS(Stock_list!$J$1:$J$1601,Stock_list!$F$1:$F$1601,"YSM10",Stock_list!$B$1:$B$1601,"TBA.",Stock_list!$P$1:$P$1601,"#N/A")</f>
        <v>10</v>
      </c>
      <c r="L561" s="9"/>
      <c r="M561" s="217"/>
      <c r="N561" s="214">
        <f>D561*K561</f>
        <v>100</v>
      </c>
      <c r="O561" s="122"/>
      <c r="P561" s="4"/>
      <c r="Q561" s="344"/>
      <c r="R561" s="344"/>
      <c r="S561" s="344"/>
      <c r="U561" s="145"/>
    </row>
    <row r="562" spans="1:21" ht="16.5" customHeight="1">
      <c r="A562" s="210" t="s">
        <v>2748</v>
      </c>
      <c r="B562" s="114" t="str">
        <f>VLOOKUP(A562,'Data pick slip'!B:F,5,FALSE)</f>
        <v>KHJ-MC400-00</v>
      </c>
      <c r="C562" s="211"/>
      <c r="D562" s="212">
        <v>2</v>
      </c>
      <c r="E562" s="306" t="e">
        <f>VLOOKUP(C562,Stock_list!D:L,9,FALSE)</f>
        <v>#N/A</v>
      </c>
      <c r="F562" s="213" t="s">
        <v>20</v>
      </c>
      <c r="G562" s="214"/>
      <c r="H562" s="215"/>
      <c r="I562" s="217" t="s">
        <v>2787</v>
      </c>
      <c r="J562" s="420" t="s">
        <v>2788</v>
      </c>
      <c r="K562" s="93">
        <f>SUMIFS(Stock_list!$J$1:$J$1601,Stock_list!$F$1:$F$1601,"YSM10",Stock_list!$B$1:$B$1601,"TBA.",Stock_list!$P$1:$P$1601,"#N/A")</f>
        <v>10</v>
      </c>
      <c r="L562" s="9"/>
      <c r="M562" s="217"/>
      <c r="N562" s="214">
        <f t="shared" ref="N562:N565" si="1">D562*K562</f>
        <v>20</v>
      </c>
      <c r="O562" s="122"/>
      <c r="P562" s="4"/>
      <c r="Q562" s="344"/>
      <c r="R562" s="344"/>
      <c r="S562" s="344"/>
      <c r="U562" s="145"/>
    </row>
    <row r="563" spans="1:21" ht="15">
      <c r="A563" s="210" t="s">
        <v>2744</v>
      </c>
      <c r="B563" s="114" t="str">
        <f>VLOOKUP(A563,'Data pick slip'!B:F,5,FALSE)</f>
        <v>KHJ-MC100-00</v>
      </c>
      <c r="C563" s="211"/>
      <c r="D563" s="212">
        <v>25</v>
      </c>
      <c r="E563" s="306" t="e">
        <f>VLOOKUP(C563,Stock_list!D:L,9,FALSE)</f>
        <v>#N/A</v>
      </c>
      <c r="F563" s="213" t="s">
        <v>75</v>
      </c>
      <c r="G563" s="214"/>
      <c r="H563" s="215"/>
      <c r="I563" s="217" t="s">
        <v>2787</v>
      </c>
      <c r="J563" s="420" t="s">
        <v>2788</v>
      </c>
      <c r="K563" s="93">
        <f>SUMIFS(Stock_list!$J$1:$J$1601,Stock_list!$F$1:$F$1601,"YSM10",Stock_list!$B$1:$B$1601,"已经到货",Stock_list!$P$1:$P$1601,"#N/A")</f>
        <v>0</v>
      </c>
      <c r="L563" s="9"/>
      <c r="M563" s="217"/>
      <c r="N563" s="214">
        <f t="shared" si="1"/>
        <v>0</v>
      </c>
      <c r="O563" s="122"/>
      <c r="P563" s="4"/>
      <c r="Q563" s="344"/>
      <c r="R563" s="344"/>
      <c r="S563" s="328" t="s">
        <v>9</v>
      </c>
      <c r="T563" s="48" t="s">
        <v>231</v>
      </c>
      <c r="U563" s="145"/>
    </row>
    <row r="564" spans="1:21" ht="16.5" customHeight="1">
      <c r="A564" s="210" t="s">
        <v>2747</v>
      </c>
      <c r="B564" s="114" t="str">
        <f>VLOOKUP(A564,'Data pick slip'!B:F,5,FALSE)</f>
        <v>KHJ-MC200-00</v>
      </c>
      <c r="C564" s="211"/>
      <c r="D564" s="212">
        <v>10</v>
      </c>
      <c r="E564" s="306" t="e">
        <f>VLOOKUP(C564,Stock_list!D:L,9,FALSE)</f>
        <v>#N/A</v>
      </c>
      <c r="F564" s="213" t="s">
        <v>75</v>
      </c>
      <c r="G564" s="214"/>
      <c r="H564" s="215"/>
      <c r="I564" s="217" t="s">
        <v>2787</v>
      </c>
      <c r="J564" s="420" t="s">
        <v>2788</v>
      </c>
      <c r="K564" s="93">
        <f>SUMIFS(Stock_list!$J$1:$J$1601,Stock_list!$F$1:$F$1601,"YSM10",Stock_list!$B$1:$B$1601,"已经到货",Stock_list!$P$1:$P$1601,"#N/A")</f>
        <v>0</v>
      </c>
      <c r="L564" s="9"/>
      <c r="M564" s="217"/>
      <c r="N564" s="214">
        <f t="shared" si="1"/>
        <v>0</v>
      </c>
      <c r="O564" s="122"/>
      <c r="P564" s="4"/>
      <c r="Q564" s="344"/>
      <c r="R564" s="344"/>
      <c r="S564" s="1"/>
      <c r="T564" s="48"/>
      <c r="U564" s="145"/>
    </row>
    <row r="565" spans="1:21" ht="15">
      <c r="A565" s="210" t="s">
        <v>2748</v>
      </c>
      <c r="B565" s="114" t="str">
        <f>VLOOKUP(A565,'Data pick slip'!B:F,5,FALSE)</f>
        <v>KHJ-MC400-00</v>
      </c>
      <c r="C565" s="211"/>
      <c r="D565" s="212">
        <v>2</v>
      </c>
      <c r="E565" s="306" t="e">
        <f>VLOOKUP(C565,Stock_list!D:L,9,FALSE)</f>
        <v>#N/A</v>
      </c>
      <c r="F565" s="213" t="s">
        <v>75</v>
      </c>
      <c r="G565" s="214"/>
      <c r="H565" s="215"/>
      <c r="I565" s="217" t="s">
        <v>2787</v>
      </c>
      <c r="J565" s="420" t="s">
        <v>2788</v>
      </c>
      <c r="K565" s="421">
        <f>SUMIFS(Stock_list!$J$1:$J$1601,Stock_list!$F$1:$F$1601,"YSM10",Stock_list!$B$1:$B$1601,"已经到货",Stock_list!$P$1:$P$1601,"#N/A")</f>
        <v>0</v>
      </c>
      <c r="L565" s="9"/>
      <c r="M565" s="217"/>
      <c r="N565" s="214">
        <f t="shared" si="1"/>
        <v>0</v>
      </c>
      <c r="O565" s="122"/>
      <c r="P565" s="4"/>
      <c r="Q565" s="344"/>
      <c r="R565" s="344"/>
      <c r="S565" s="328" t="s">
        <v>234</v>
      </c>
      <c r="T565" s="48" t="s">
        <v>232</v>
      </c>
      <c r="U565" s="145"/>
    </row>
    <row r="566" spans="1:21" ht="15">
      <c r="A566" s="210" t="s">
        <v>2744</v>
      </c>
      <c r="B566" s="114" t="str">
        <f>VLOOKUP(A566,'Data pick slip'!B:F,5,FALSE)</f>
        <v>KHJ-MC100-00</v>
      </c>
      <c r="C566" s="211"/>
      <c r="D566" s="212">
        <v>25</v>
      </c>
      <c r="E566" s="306" t="e">
        <f>VLOOKUP(C566,Stock_list!D:L,9,FALSE)</f>
        <v>#N/A</v>
      </c>
      <c r="F566" s="213" t="s">
        <v>2979</v>
      </c>
      <c r="G566" s="214"/>
      <c r="H566" s="215"/>
      <c r="I566" s="388" t="s">
        <v>3863</v>
      </c>
      <c r="J566" s="420" t="s">
        <v>2788</v>
      </c>
      <c r="K566" s="93">
        <f>SUMIFS(Stock_list!$J$1:$J$1601,Stock_list!$F$1:$F$1601,"YSM10",Stock_list!$B$1:$B$1601,"有交期",Stock_list!$P$1:$P$1601,"#N/A")</f>
        <v>2</v>
      </c>
      <c r="L566" s="9"/>
      <c r="M566" s="217"/>
      <c r="N566" s="214">
        <f t="shared" ref="N566:N567" si="2">D566*K566</f>
        <v>50</v>
      </c>
      <c r="O566" s="122"/>
      <c r="P566" s="4"/>
      <c r="Q566" s="143"/>
      <c r="S566" s="278" t="s">
        <v>17</v>
      </c>
      <c r="T566" s="329">
        <v>35</v>
      </c>
      <c r="U566" s="145"/>
    </row>
    <row r="567" spans="1:21" ht="15">
      <c r="A567" s="210" t="s">
        <v>2747</v>
      </c>
      <c r="B567" s="114" t="str">
        <f>VLOOKUP(A567,'Data pick slip'!B:F,5,FALSE)</f>
        <v>KHJ-MC200-00</v>
      </c>
      <c r="C567" s="211"/>
      <c r="D567" s="212">
        <v>10</v>
      </c>
      <c r="E567" s="306" t="e">
        <f>VLOOKUP(C567,Stock_list!D:L,9,FALSE)</f>
        <v>#N/A</v>
      </c>
      <c r="F567" s="213" t="s">
        <v>2979</v>
      </c>
      <c r="G567" s="214"/>
      <c r="H567" s="215"/>
      <c r="I567" s="217" t="s">
        <v>2787</v>
      </c>
      <c r="J567" s="420" t="s">
        <v>2788</v>
      </c>
      <c r="K567" s="93">
        <f>SUMIFS(Stock_list!$J$1:$J$1601,Stock_list!$F$1:$F$1601,"YSM10",Stock_list!$B$1:$B$1601,"有交期",Stock_list!$P$1:$P$1601,"#N/A")</f>
        <v>2</v>
      </c>
      <c r="L567" s="9"/>
      <c r="M567" s="217"/>
      <c r="N567" s="214">
        <f t="shared" si="2"/>
        <v>20</v>
      </c>
      <c r="O567" s="122"/>
      <c r="P567" s="4"/>
      <c r="Q567" s="143"/>
      <c r="S567" s="279" t="s">
        <v>206</v>
      </c>
      <c r="T567" s="48">
        <v>35</v>
      </c>
      <c r="U567" s="145"/>
    </row>
    <row r="568" spans="1:21" ht="15">
      <c r="A568" s="210" t="s">
        <v>2748</v>
      </c>
      <c r="B568" s="114" t="str">
        <f>VLOOKUP(A568,'Data pick slip'!B:F,5,FALSE)</f>
        <v>KHJ-MC400-00</v>
      </c>
      <c r="C568" s="211"/>
      <c r="D568" s="212">
        <v>2</v>
      </c>
      <c r="E568" s="306" t="e">
        <f>VLOOKUP(C568,Stock_list!D:L,9,FALSE)</f>
        <v>#N/A</v>
      </c>
      <c r="F568" s="213" t="s">
        <v>2979</v>
      </c>
      <c r="G568" s="214"/>
      <c r="H568" s="215"/>
      <c r="I568" s="217" t="s">
        <v>2787</v>
      </c>
      <c r="J568" s="420" t="s">
        <v>2788</v>
      </c>
      <c r="K568" s="93">
        <f>SUMIFS(Stock_list!$J$1:$J$1601,Stock_list!$F$1:$F$1601,"YSM10",Stock_list!$B$1:$B$1601,"有交期",Stock_list!$P$1:$P$1601,"#N/A")</f>
        <v>2</v>
      </c>
      <c r="L568" s="9"/>
      <c r="M568" s="217"/>
      <c r="N568" s="214">
        <f>D568*K568</f>
        <v>4</v>
      </c>
      <c r="O568" s="122"/>
      <c r="P568" s="4"/>
      <c r="Q568" s="47"/>
      <c r="R568" s="343"/>
      <c r="S568" s="336" t="s">
        <v>20</v>
      </c>
      <c r="T568" s="48">
        <v>10</v>
      </c>
      <c r="U568" s="145"/>
    </row>
    <row r="569" spans="1:21" ht="15">
      <c r="A569" s="210" t="s">
        <v>2744</v>
      </c>
      <c r="B569" s="114" t="str">
        <f>VLOOKUP(A569,'Data pick slip'!B:F,5,FALSE)</f>
        <v>KHJ-MC100-00</v>
      </c>
      <c r="C569" s="211"/>
      <c r="D569" s="212">
        <v>50</v>
      </c>
      <c r="E569" s="306" t="e">
        <f>VLOOKUP(C569,Stock_list!D:L,9,FALSE)</f>
        <v>#N/A</v>
      </c>
      <c r="F569" s="213" t="s">
        <v>20</v>
      </c>
      <c r="G569" s="214"/>
      <c r="H569" s="215"/>
      <c r="I569" s="217" t="s">
        <v>2787</v>
      </c>
      <c r="J569" s="216" t="s">
        <v>2790</v>
      </c>
      <c r="K569" s="93">
        <f>SUMIFS(Stock_list!$J$1:$J$1601,Stock_list!$F$1:$F$1601,"YSM20R-2",Stock_list!$B$1:$B$1601,"TBA.",Stock_list!$P$1:$P$1601,"#N/A")</f>
        <v>9</v>
      </c>
      <c r="L569" s="9"/>
      <c r="M569" s="217"/>
      <c r="N569" s="214">
        <f>D569*K569</f>
        <v>450</v>
      </c>
      <c r="O569" s="122"/>
      <c r="P569" s="4"/>
      <c r="Q569" s="143"/>
      <c r="S569" s="336" t="s">
        <v>75</v>
      </c>
      <c r="T569" s="48">
        <v>17</v>
      </c>
      <c r="U569" s="145"/>
    </row>
    <row r="570" spans="1:21" ht="15">
      <c r="A570" s="210" t="s">
        <v>2747</v>
      </c>
      <c r="B570" s="114" t="str">
        <f>VLOOKUP(A570,'Data pick slip'!B:F,5,FALSE)</f>
        <v>KHJ-MC200-00</v>
      </c>
      <c r="C570" s="211"/>
      <c r="D570" s="212">
        <v>5</v>
      </c>
      <c r="E570" s="306" t="e">
        <f>VLOOKUP(C570,Stock_list!D:L,9,FALSE)</f>
        <v>#N/A</v>
      </c>
      <c r="F570" s="213" t="s">
        <v>20</v>
      </c>
      <c r="G570" s="214"/>
      <c r="H570" s="215"/>
      <c r="I570" s="217" t="s">
        <v>2787</v>
      </c>
      <c r="J570" s="216" t="s">
        <v>2790</v>
      </c>
      <c r="K570" s="93">
        <f>SUMIFS(Stock_list!$J$1:$J$1601,Stock_list!$F$1:$F$1601,"YSM20R-2",Stock_list!$B$1:$B$1601,"TBA.",Stock_list!$P$1:$P$1601,"#N/A")</f>
        <v>9</v>
      </c>
      <c r="L570" s="9"/>
      <c r="M570" s="217"/>
      <c r="N570" s="214">
        <f t="shared" ref="N570" si="3">D570*K570</f>
        <v>45</v>
      </c>
      <c r="O570" s="122"/>
      <c r="P570" s="4"/>
      <c r="Q570" s="143"/>
      <c r="S570" s="336" t="s">
        <v>2979</v>
      </c>
      <c r="T570" s="48">
        <v>8</v>
      </c>
      <c r="U570" s="145"/>
    </row>
    <row r="571" spans="1:21" ht="15">
      <c r="A571" s="375" t="s">
        <v>2748</v>
      </c>
      <c r="B571" s="114" t="str">
        <f>VLOOKUP(A571,'Data pick slip'!B:F,5,FALSE)</f>
        <v>KHJ-MC400-00</v>
      </c>
      <c r="C571" s="211"/>
      <c r="D571" s="212">
        <v>1</v>
      </c>
      <c r="E571" s="306" t="e">
        <f>VLOOKUP(C571,Stock_list!D:L,9,FALSE)</f>
        <v>#N/A</v>
      </c>
      <c r="F571" s="213" t="s">
        <v>20</v>
      </c>
      <c r="G571" s="214"/>
      <c r="H571" s="215"/>
      <c r="I571" s="217" t="s">
        <v>2787</v>
      </c>
      <c r="J571" s="216" t="s">
        <v>2790</v>
      </c>
      <c r="K571" s="93">
        <f>SUMIFS(Stock_list!$J$1:$J$1601,Stock_list!$F$1:$F$1601,"YSM20R-2",Stock_list!$B$1:$B$1601,"TBA.",Stock_list!$P$1:$P$1601,"#N/A")</f>
        <v>9</v>
      </c>
      <c r="L571" s="9"/>
      <c r="M571" s="217"/>
      <c r="N571" s="214">
        <f t="shared" ref="N571:N576" si="4">D571*K571</f>
        <v>9</v>
      </c>
      <c r="O571" s="122"/>
      <c r="P571" s="4"/>
      <c r="Q571" s="143"/>
      <c r="S571" s="278" t="s">
        <v>58</v>
      </c>
      <c r="T571" s="329">
        <v>31</v>
      </c>
    </row>
    <row r="572" spans="1:21" ht="15">
      <c r="A572" s="210" t="s">
        <v>2744</v>
      </c>
      <c r="B572" s="114" t="str">
        <f>VLOOKUP(A572,'Data pick slip'!B:F,5,FALSE)</f>
        <v>KHJ-MC100-00</v>
      </c>
      <c r="C572" s="211"/>
      <c r="D572" s="212">
        <v>50</v>
      </c>
      <c r="E572" s="306" t="e">
        <f>VLOOKUP(C572,Stock_list!D:L,9,FALSE)</f>
        <v>#N/A</v>
      </c>
      <c r="F572" s="213" t="s">
        <v>75</v>
      </c>
      <c r="G572" s="214"/>
      <c r="H572" s="215"/>
      <c r="I572" s="217" t="s">
        <v>2787</v>
      </c>
      <c r="J572" s="216" t="s">
        <v>2790</v>
      </c>
      <c r="K572" s="421">
        <f>SUMIFS(Stock_list!$J$1:$J$1601,Stock_list!$F$1:$F$1601,"YSM20R-2",Stock_list!$B$1:$B$1601,"已经到货",Stock_list!$P$1:$P$1601,"#N/A")</f>
        <v>3</v>
      </c>
      <c r="L572" s="9"/>
      <c r="M572" s="217"/>
      <c r="N572" s="214">
        <f t="shared" si="4"/>
        <v>150</v>
      </c>
      <c r="O572" s="122"/>
      <c r="P572" s="4"/>
      <c r="Q572" s="344"/>
      <c r="R572" s="344"/>
      <c r="S572" s="279" t="s">
        <v>206</v>
      </c>
      <c r="T572" s="48">
        <v>31</v>
      </c>
      <c r="U572" s="145"/>
    </row>
    <row r="573" spans="1:21" ht="15">
      <c r="A573" s="210" t="s">
        <v>2747</v>
      </c>
      <c r="B573" s="114" t="str">
        <f>VLOOKUP(A573,'Data pick slip'!B:F,5,FALSE)</f>
        <v>KHJ-MC200-00</v>
      </c>
      <c r="C573" s="211"/>
      <c r="D573" s="212">
        <v>5</v>
      </c>
      <c r="E573" s="306" t="e">
        <f>VLOOKUP(C573,Stock_list!D:L,9,FALSE)</f>
        <v>#N/A</v>
      </c>
      <c r="F573" s="213" t="s">
        <v>75</v>
      </c>
      <c r="G573" s="214"/>
      <c r="H573" s="215"/>
      <c r="I573" s="217" t="s">
        <v>2787</v>
      </c>
      <c r="J573" s="216" t="s">
        <v>2790</v>
      </c>
      <c r="K573" s="93">
        <f>SUMIFS(Stock_list!$J$1:$J$1601,Stock_list!$F$1:$F$1601,"YSM20R-2",Stock_list!$B$1:$B$1601,"已经到货",Stock_list!$P$1:$P$1601,"#N/A")</f>
        <v>3</v>
      </c>
      <c r="L573" s="9"/>
      <c r="M573" s="217"/>
      <c r="N573" s="214">
        <f t="shared" si="4"/>
        <v>15</v>
      </c>
      <c r="O573" s="122"/>
      <c r="P573" s="4"/>
      <c r="Q573" s="344"/>
      <c r="R573" s="344"/>
      <c r="S573" s="336" t="s">
        <v>20</v>
      </c>
      <c r="T573" s="48">
        <v>10</v>
      </c>
      <c r="U573" s="145"/>
    </row>
    <row r="574" spans="1:21" ht="15">
      <c r="A574" s="375" t="s">
        <v>2748</v>
      </c>
      <c r="B574" s="378" t="str">
        <f>VLOOKUP(A574,'Data pick slip'!B:F,5,FALSE)</f>
        <v>KHJ-MC400-00</v>
      </c>
      <c r="C574" s="211"/>
      <c r="D574" s="212">
        <v>1</v>
      </c>
      <c r="E574" s="306" t="e">
        <f>VLOOKUP(C574,Stock_list!D:L,9,FALSE)</f>
        <v>#N/A</v>
      </c>
      <c r="F574" s="213" t="s">
        <v>75</v>
      </c>
      <c r="G574" s="214"/>
      <c r="H574" s="215"/>
      <c r="I574" s="217" t="s">
        <v>2787</v>
      </c>
      <c r="J574" s="216" t="s">
        <v>2790</v>
      </c>
      <c r="K574" s="93">
        <f>SUMIFS(Stock_list!$J$1:$J$1601,Stock_list!$F$1:$F$1601,"YSM20R-2",Stock_list!$B$1:$B$1601,"已经到货",Stock_list!$P$1:$P$1601,"#N/A")</f>
        <v>3</v>
      </c>
      <c r="L574" s="9"/>
      <c r="M574" s="217"/>
      <c r="N574" s="214">
        <f t="shared" si="4"/>
        <v>3</v>
      </c>
      <c r="O574" s="122"/>
      <c r="P574" s="4"/>
      <c r="Q574" s="344"/>
      <c r="R574" s="344"/>
      <c r="S574" s="336" t="s">
        <v>75</v>
      </c>
      <c r="T574" s="48">
        <v>15</v>
      </c>
    </row>
    <row r="575" spans="1:21" s="251" customFormat="1" ht="15">
      <c r="A575" s="361" t="s">
        <v>2744</v>
      </c>
      <c r="B575" s="196" t="str">
        <f>VLOOKUP(A575,'Data pick slip'!B:F,5,FALSE)</f>
        <v>KHJ-MC100-00</v>
      </c>
      <c r="C575" s="362"/>
      <c r="D575" s="363">
        <v>50</v>
      </c>
      <c r="E575" s="364" t="e">
        <f>VLOOKUP(C575,Stock_list!D:L,9,FALSE)</f>
        <v>#N/A</v>
      </c>
      <c r="F575" s="365" t="s">
        <v>2979</v>
      </c>
      <c r="G575" s="366"/>
      <c r="H575" s="367"/>
      <c r="I575" s="371" t="s">
        <v>2787</v>
      </c>
      <c r="J575" s="368" t="s">
        <v>2790</v>
      </c>
      <c r="K575" s="369">
        <f>SUMIFS(Stock_list!$J$1:$J$1601,Stock_list!$F$1:$F$1601,"YSM20R-2",Stock_list!$B$1:$B$1601,"有交期",Stock_list!$P$1:$P$1601,"#N/A")</f>
        <v>1</v>
      </c>
      <c r="L575" s="370"/>
      <c r="M575" s="371"/>
      <c r="N575" s="366">
        <f t="shared" si="4"/>
        <v>50</v>
      </c>
      <c r="O575" s="372"/>
      <c r="P575" s="12"/>
      <c r="Q575" s="373"/>
      <c r="R575" s="373"/>
      <c r="S575" s="336" t="s">
        <v>2979</v>
      </c>
      <c r="T575" s="48">
        <v>6</v>
      </c>
      <c r="U575" s="374"/>
    </row>
    <row r="576" spans="1:21" ht="15">
      <c r="A576" s="210" t="s">
        <v>2747</v>
      </c>
      <c r="B576" s="114" t="str">
        <f>VLOOKUP(A576,'Data pick slip'!B:F,5,FALSE)</f>
        <v>KHJ-MC200-00</v>
      </c>
      <c r="C576" s="211"/>
      <c r="D576" s="212">
        <v>5</v>
      </c>
      <c r="E576" s="306" t="e">
        <f>VLOOKUP(C576,Stock_list!D:L,9,FALSE)</f>
        <v>#N/A</v>
      </c>
      <c r="F576" s="213" t="s">
        <v>2979</v>
      </c>
      <c r="G576" s="214"/>
      <c r="H576" s="215"/>
      <c r="I576" s="217" t="s">
        <v>2787</v>
      </c>
      <c r="J576" s="216" t="s">
        <v>2790</v>
      </c>
      <c r="K576" s="93">
        <f>SUMIFS(Stock_list!$J$1:$J$1601,Stock_list!$F$1:$F$1601,"YSM20R-2",Stock_list!$B$1:$B$1601,"有交期",Stock_list!$P$1:$P$1601,"#N/A")</f>
        <v>1</v>
      </c>
      <c r="L576" s="9"/>
      <c r="M576" s="217"/>
      <c r="N576" s="214">
        <f t="shared" si="4"/>
        <v>5</v>
      </c>
      <c r="O576" s="122"/>
      <c r="P576" s="4"/>
      <c r="Q576" s="47"/>
      <c r="R576" s="343"/>
      <c r="S576" s="49" t="s">
        <v>214</v>
      </c>
      <c r="T576" s="48">
        <v>66</v>
      </c>
      <c r="U576" s="145"/>
    </row>
    <row r="577" spans="1:21" s="241" customFormat="1" ht="16.5" customHeight="1" thickBot="1">
      <c r="A577" s="226" t="s">
        <v>2748</v>
      </c>
      <c r="B577" s="376" t="str">
        <f>VLOOKUP(A577,'Data pick slip'!B:F,5,FALSE)</f>
        <v>KHJ-MC400-00</v>
      </c>
      <c r="C577" s="228"/>
      <c r="D577" s="229">
        <v>1</v>
      </c>
      <c r="E577" s="307" t="e">
        <f>VLOOKUP(C577,Stock_list!D:L,9,FALSE)</f>
        <v>#N/A</v>
      </c>
      <c r="F577" s="230" t="s">
        <v>2979</v>
      </c>
      <c r="G577" s="231"/>
      <c r="H577" s="232"/>
      <c r="I577" s="234" t="s">
        <v>2787</v>
      </c>
      <c r="J577" s="233" t="s">
        <v>2790</v>
      </c>
      <c r="K577" s="95">
        <f>SUMIFS(Stock_list!$J$1:$J$1601,Stock_list!$F$1:$F$1601,"YSM20R-2",Stock_list!$B$1:$B$1601,"有交期",Stock_list!$P$1:$P$1601,"#N/A")</f>
        <v>1</v>
      </c>
      <c r="L577" s="11"/>
      <c r="M577" s="234"/>
      <c r="N577" s="231">
        <f t="shared" ref="N577" si="5">D577*K577</f>
        <v>1</v>
      </c>
      <c r="O577" s="235"/>
      <c r="P577" s="8"/>
      <c r="Q577" s="377"/>
      <c r="R577" s="377"/>
      <c r="S577" s="377"/>
      <c r="T577" s="238"/>
      <c r="U577" s="240"/>
    </row>
    <row r="578" spans="1:21" s="251" customFormat="1" ht="16.5" customHeight="1">
      <c r="A578" s="242"/>
      <c r="B578" s="242"/>
      <c r="C578" s="197"/>
      <c r="D578" s="243"/>
      <c r="E578" s="305"/>
      <c r="F578" s="198"/>
      <c r="G578" s="244">
        <f>SUM(G11:G577)</f>
        <v>5248</v>
      </c>
      <c r="H578" s="200"/>
      <c r="I578" s="245"/>
      <c r="J578" s="201"/>
      <c r="K578" s="247">
        <f>K577+K568+K565+K572+K562+K569</f>
        <v>25</v>
      </c>
      <c r="L578" s="246"/>
      <c r="M578" s="247">
        <f>SUM(M11:M577)</f>
        <v>11210</v>
      </c>
      <c r="N578" s="244">
        <f>SUM(N11:N577)</f>
        <v>3304</v>
      </c>
      <c r="O578" s="244">
        <f>SUM(O11:O577)</f>
        <v>40</v>
      </c>
      <c r="P578" s="248"/>
      <c r="Q578" s="202"/>
      <c r="R578" s="249"/>
      <c r="S578" s="203"/>
      <c r="T578" s="203"/>
      <c r="U578" s="250"/>
    </row>
    <row r="579" spans="1:21" s="251" customFormat="1" ht="16.5" customHeight="1">
      <c r="A579" s="242"/>
      <c r="B579" s="345"/>
      <c r="C579" s="197"/>
      <c r="D579" s="243"/>
      <c r="E579" s="305"/>
      <c r="F579" s="198"/>
      <c r="G579" s="244"/>
      <c r="H579" s="200"/>
      <c r="I579" s="245"/>
      <c r="J579" s="201"/>
      <c r="K579" s="247"/>
      <c r="L579" s="246"/>
      <c r="M579" s="247"/>
      <c r="N579" s="244"/>
      <c r="O579" s="244"/>
      <c r="P579" s="248"/>
      <c r="Q579" s="202"/>
      <c r="R579" s="249"/>
      <c r="S579" s="203"/>
      <c r="T579" s="203"/>
      <c r="U579" s="250"/>
    </row>
    <row r="580" spans="1:21" ht="16.5" customHeight="1">
      <c r="B580" s="114"/>
      <c r="P580" s="4"/>
      <c r="Q580" s="143"/>
    </row>
    <row r="581" spans="1:21" ht="16.5" customHeight="1">
      <c r="B581" s="114"/>
      <c r="P581" s="4"/>
      <c r="Q581" s="143"/>
    </row>
    <row r="582" spans="1:21" ht="16.5" customHeight="1">
      <c r="B582" s="114"/>
      <c r="M582" s="253"/>
      <c r="P582" s="4"/>
      <c r="Q582" s="143"/>
    </row>
    <row r="583" spans="1:21">
      <c r="B583" s="114"/>
      <c r="I583" s="343"/>
      <c r="J583" s="343"/>
      <c r="K583" s="47"/>
      <c r="P583" s="4"/>
      <c r="Q583" s="143"/>
    </row>
    <row r="584" spans="1:21" ht="16.5" customHeight="1">
      <c r="B584" s="114"/>
      <c r="I584" s="343"/>
      <c r="J584" s="343"/>
      <c r="K584" s="47"/>
      <c r="M584" s="253"/>
      <c r="P584" s="4"/>
      <c r="Q584" s="143"/>
    </row>
    <row r="585" spans="1:21">
      <c r="B585" s="114"/>
      <c r="I585" s="313"/>
      <c r="J585" s="344"/>
      <c r="K585" s="344"/>
      <c r="Q585" s="143"/>
    </row>
    <row r="586" spans="1:21">
      <c r="I586" s="313"/>
      <c r="J586" s="344"/>
      <c r="K586" s="344"/>
      <c r="M586" s="253"/>
      <c r="Q586" s="143"/>
    </row>
    <row r="587" spans="1:21">
      <c r="I587" s="313"/>
      <c r="J587" s="344"/>
      <c r="K587" s="344"/>
      <c r="Q587" s="133"/>
    </row>
    <row r="588" spans="1:21" ht="15">
      <c r="A588" s="218"/>
      <c r="B588" s="254"/>
      <c r="C588" s="219"/>
      <c r="D588" s="220"/>
      <c r="E588" s="255"/>
      <c r="F588" s="221"/>
      <c r="G588" s="222"/>
      <c r="H588" s="223"/>
      <c r="I588" s="313"/>
      <c r="J588" s="344"/>
      <c r="K588" s="344"/>
      <c r="L588" s="10"/>
      <c r="M588" s="225"/>
      <c r="N588" s="222"/>
      <c r="P588" s="4"/>
      <c r="Q588" s="133"/>
      <c r="T588" s="144"/>
      <c r="U588" s="145"/>
    </row>
    <row r="589" spans="1:21">
      <c r="B589" s="114"/>
      <c r="F589" s="221"/>
      <c r="G589" s="222"/>
      <c r="H589" s="223"/>
      <c r="I589" s="313"/>
      <c r="J589" s="344"/>
      <c r="K589" s="344"/>
      <c r="P589" s="4"/>
    </row>
    <row r="590" spans="1:21">
      <c r="B590" s="114"/>
      <c r="F590" s="221"/>
      <c r="G590" s="222"/>
      <c r="H590" s="223"/>
      <c r="I590" s="313"/>
      <c r="J590" s="344"/>
      <c r="K590" s="344"/>
      <c r="P590" s="4"/>
    </row>
    <row r="591" spans="1:21">
      <c r="I591" s="313"/>
      <c r="J591" s="344"/>
      <c r="K591" s="344"/>
    </row>
    <row r="592" spans="1:21">
      <c r="I592" s="313"/>
      <c r="J592" s="344"/>
      <c r="K592" s="344"/>
    </row>
    <row r="593" spans="9:11">
      <c r="I593" s="313"/>
      <c r="J593" s="344"/>
      <c r="K593" s="344"/>
    </row>
    <row r="594" spans="9:11">
      <c r="I594" s="313"/>
      <c r="J594" s="344"/>
      <c r="K594" s="344"/>
    </row>
    <row r="595" spans="9:11">
      <c r="I595" s="313"/>
      <c r="J595" s="344"/>
    </row>
    <row r="596" spans="9:11">
      <c r="I596" s="313"/>
      <c r="J596" s="344"/>
    </row>
    <row r="609" spans="4:4">
      <c r="D609" s="206" t="s">
        <v>2795</v>
      </c>
    </row>
  </sheetData>
  <autoFilter ref="A1:U590" xr:uid="{00000000-0009-0000-0000-000002000000}"/>
  <phoneticPr fontId="3" type="noConversion"/>
  <pageMargins left="0.7" right="0.7" top="0.75" bottom="0.75" header="0.3" footer="0.3"/>
  <pageSetup paperSize="9" orientation="portrait"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'Data pick slip'!$B$1:$B$72</xm:f>
          </x14:formula1>
          <xm:sqref>A1:A1048576</xm:sqref>
        </x14:dataValidation>
        <x14:dataValidation type="list" allowBlank="1" showInputMessage="1" showErrorMessage="1" xr:uid="{00000000-0002-0000-0200-000002000000}">
          <x14:formula1>
            <xm:f>'Data pick slip'!$E$1:$E$41</xm:f>
          </x14:formula1>
          <xm:sqref>F1:F1048576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U162"/>
  <sheetViews>
    <sheetView topLeftCell="A69" workbookViewId="0">
      <selection activeCell="F93" sqref="F93"/>
    </sheetView>
  </sheetViews>
  <sheetFormatPr defaultColWidth="9" defaultRowHeight="14.25"/>
  <cols>
    <col min="1" max="1" width="20.5" style="1" customWidth="1"/>
    <col min="2" max="2" width="11.25" style="48" customWidth="1"/>
    <col min="3" max="3" width="10.375" style="48" customWidth="1"/>
    <col min="4" max="4" width="10.25" style="48" customWidth="1"/>
    <col min="5" max="5" width="13.375" style="48" customWidth="1"/>
    <col min="6" max="6" width="16" style="48" customWidth="1"/>
    <col min="7" max="7" width="13" style="66" customWidth="1"/>
    <col min="8" max="8" width="11.625" style="48" customWidth="1"/>
    <col min="9" max="9" width="11.375" style="48" customWidth="1"/>
    <col min="10" max="10" width="14.75" style="48" customWidth="1"/>
    <col min="11" max="11" width="12.25" style="65" customWidth="1"/>
    <col min="12" max="12" width="11.375" style="48" customWidth="1"/>
    <col min="13" max="13" width="9.375" style="48" customWidth="1"/>
    <col min="14" max="14" width="11.125" style="48" customWidth="1"/>
    <col min="15" max="15" width="8.5" style="48" customWidth="1"/>
    <col min="16" max="16" width="11.5" style="1" customWidth="1"/>
    <col min="17" max="17" width="15.25" style="1" customWidth="1"/>
    <col min="18" max="16384" width="9" style="1"/>
  </cols>
  <sheetData>
    <row r="1" spans="1:15" hidden="1"/>
    <row r="2" spans="1:15" ht="17.25" hidden="1" customHeight="1">
      <c r="A2" s="2" t="s">
        <v>235</v>
      </c>
      <c r="B2" s="52" t="s">
        <v>265</v>
      </c>
      <c r="C2" s="52" t="s">
        <v>2796</v>
      </c>
      <c r="D2" s="52" t="s">
        <v>2797</v>
      </c>
      <c r="E2" s="53" t="s">
        <v>2798</v>
      </c>
      <c r="F2" s="52" t="s">
        <v>2799</v>
      </c>
      <c r="G2" s="52" t="s">
        <v>2800</v>
      </c>
      <c r="H2" s="67" t="s">
        <v>2801</v>
      </c>
      <c r="I2" s="67" t="s">
        <v>2802</v>
      </c>
      <c r="J2" s="67" t="s">
        <v>2803</v>
      </c>
      <c r="K2" s="83"/>
      <c r="L2" s="52" t="s">
        <v>2804</v>
      </c>
      <c r="M2" s="52" t="s">
        <v>2805</v>
      </c>
      <c r="N2" s="52" t="s">
        <v>2804</v>
      </c>
      <c r="O2" s="80" t="s">
        <v>2806</v>
      </c>
    </row>
    <row r="3" spans="1:15" hidden="1">
      <c r="A3" s="1" t="s">
        <v>2807</v>
      </c>
      <c r="B3" s="48" t="s">
        <v>2753</v>
      </c>
      <c r="C3" s="48">
        <f>SUMIFS('NEW Feeder Reserved'!$G$1:$G$577,'NEW Feeder Reserved'!$A$1:$A$577,"SS 8mm",'NEW Feeder Reserved'!$F$1:$F$577,"深圳仓库")</f>
        <v>7018</v>
      </c>
      <c r="F3" s="48">
        <f>SUMIFS('NEW Feeder Reserved'!$M$1:$M$577,'NEW Feeder Reserved'!$A$1:$A$577,"SS 8mm",'NEW Feeder Reserved'!$F$1:$F$577,"深圳仓库")</f>
        <v>4379</v>
      </c>
      <c r="G3" s="66">
        <f>SUMIFS('NEW Feeder Reserved'!$O$1:$O$577,'NEW Feeder Reserved'!$A$1:$A$577,"SS 8mm",'NEW Feeder Reserved'!$F$1:$F$577,"深圳仓库")</f>
        <v>40</v>
      </c>
      <c r="H3" s="48">
        <f>SUMIFS('NEW Feeder Reserved'!$N$1:$N$577,'NEW Feeder Reserved'!$A$1:$A$577,"SS 8mm",'NEW Feeder Reserved'!$F$1:$F$577,"深圳仓库")</f>
        <v>42</v>
      </c>
      <c r="L3" s="48">
        <f>C3-F3-H3</f>
        <v>2597</v>
      </c>
      <c r="O3" s="48">
        <f>G3+H3+L3</f>
        <v>2679</v>
      </c>
    </row>
    <row r="4" spans="1:15" s="7" customFormat="1" hidden="1">
      <c r="A4" s="1" t="s">
        <v>2807</v>
      </c>
      <c r="B4" s="54" t="s">
        <v>1381</v>
      </c>
      <c r="C4" s="54">
        <f>SUMIFS('NEW Feeder Reserved'!$G$1:$G$577,'NEW Feeder Reserved'!$A$1:$A$577,"SS 8mm",'NEW Feeder Reserved'!$F$1:$F$577,"HK 仓库")</f>
        <v>3471</v>
      </c>
      <c r="D4" s="54"/>
      <c r="E4" s="54"/>
      <c r="F4" s="54">
        <f>SUMIFS('NEW Feeder Reserved'!$M$1:$M$577,'NEW Feeder Reserved'!$A$1:$A$577,"SS 8mm",'NEW Feeder Reserved'!$F$1:$F$577,"HK 仓库")</f>
        <v>3366</v>
      </c>
      <c r="G4" s="66">
        <f>SUMIFS('NEW Feeder Reserved'!$O$1:$O$577,'NEW Feeder Reserved'!$A$1:$A$577,"SS 8mm",'NEW Feeder Reserved'!$F$1:$F$577,"HK 仓库")</f>
        <v>0</v>
      </c>
      <c r="H4" s="54">
        <f>SUMIFS('NEW Feeder Reserved'!$N$1:$N$577,'NEW Feeder Reserved'!$A$1:$A$577,"SS 8mm",'NEW Feeder Reserved'!$F$1:$F$577,"HK 仓库")</f>
        <v>350</v>
      </c>
      <c r="I4" s="54"/>
      <c r="J4" s="54"/>
      <c r="K4" s="84"/>
      <c r="L4" s="54">
        <f>C4-F4-H4</f>
        <v>-245</v>
      </c>
      <c r="M4" s="54"/>
      <c r="N4" s="54"/>
      <c r="O4" s="54">
        <f>G4+H4+L4</f>
        <v>105</v>
      </c>
    </row>
    <row r="5" spans="1:15" hidden="1">
      <c r="A5" s="1" t="s">
        <v>2807</v>
      </c>
      <c r="B5" s="48" t="s">
        <v>2797</v>
      </c>
      <c r="D5" s="48">
        <f>SUMIFS('NEW Feeder Reserved'!$G$1:$G$577,'NEW Feeder Reserved'!$A$1:$A$577,"SS 8mm",'NEW Feeder Reserved'!$F$1:$F$577,"Incoming")</f>
        <v>0</v>
      </c>
      <c r="E5" s="48">
        <f>SUMIFS('NEW Feeder Reserved'!$G$1:$G$577,'NEW Feeder Reserved'!$A$1:$A$577,"SS 8mm",'NEW Feeder Reserved'!$F$1:$F$577,"有交期")</f>
        <v>0</v>
      </c>
      <c r="I5" s="48">
        <f>SUMIFS('NEW Feeder Reserved'!$N$1:$N$577,'NEW Feeder Reserved'!$A$1:$A$577,"SS 8mm",'NEW Feeder Reserved'!$F$1:$F$577,"Incoming")</f>
        <v>0</v>
      </c>
      <c r="J5" s="48">
        <f>SUMIFS('NEW Feeder Reserved'!$N$1:$N$577,'NEW Feeder Reserved'!$A$1:$A$577,"SS 8mm",'NEW Feeder Reserved'!$F$1:$F$577,"有交期")</f>
        <v>100</v>
      </c>
      <c r="M5" s="48">
        <f>D5+E5-I5-J5</f>
        <v>-100</v>
      </c>
      <c r="N5" s="48">
        <f>SUM(L3:L4)</f>
        <v>2352</v>
      </c>
    </row>
    <row r="6" spans="1:15" ht="15" hidden="1">
      <c r="A6" s="45"/>
      <c r="B6" s="55"/>
      <c r="C6" s="55"/>
      <c r="D6" s="55"/>
      <c r="E6" s="55"/>
      <c r="F6" s="55"/>
      <c r="G6" s="68"/>
      <c r="H6" s="55"/>
      <c r="I6" s="55"/>
      <c r="J6" s="55"/>
      <c r="K6" s="85" t="s">
        <v>2808</v>
      </c>
      <c r="L6" s="90">
        <f>SUM(M5:N5)</f>
        <v>2252</v>
      </c>
      <c r="M6" s="90"/>
      <c r="N6" s="90"/>
    </row>
    <row r="7" spans="1:15" hidden="1">
      <c r="A7" s="1" t="s">
        <v>2809</v>
      </c>
      <c r="B7" s="48" t="s">
        <v>2753</v>
      </c>
      <c r="C7" s="48">
        <f>SUMIFS('NEW Feeder Reserved'!$G$1:$G$577,'NEW Feeder Reserved'!$A$1:$A$577,"SS 12/16mm",'NEW Feeder Reserved'!$F$1:$F$577,"深圳仓库")</f>
        <v>1398</v>
      </c>
      <c r="F7" s="48">
        <f>SUMIFS('NEW Feeder Reserved'!$M$1:$M$577,'NEW Feeder Reserved'!$A$1:$A$577,"SS 12/16mm",'NEW Feeder Reserved'!$F$1:$F$577,"深圳仓库")</f>
        <v>752</v>
      </c>
      <c r="G7" s="66">
        <f>SUMIFS('NEW Feeder Reserved'!$O$1:$O$577,'NEW Feeder Reserved'!$A$1:$A$577,"SS 12/16mm",'NEW Feeder Reserved'!$F$1:$F$577,"深圳仓库")</f>
        <v>0</v>
      </c>
      <c r="H7" s="48">
        <f>SUMIFS('NEW Feeder Reserved'!$N$1:$N$577,'NEW Feeder Reserved'!$A$1:$A$577,"SS 12/16mm",'NEW Feeder Reserved'!$F$1:$F$577,"深圳仓库")</f>
        <v>12</v>
      </c>
      <c r="L7" s="48">
        <f>C7-F7-H7</f>
        <v>634</v>
      </c>
      <c r="O7" s="48">
        <f>G7+H7+L7</f>
        <v>646</v>
      </c>
    </row>
    <row r="8" spans="1:15" s="7" customFormat="1" hidden="1">
      <c r="A8" s="1" t="s">
        <v>2809</v>
      </c>
      <c r="B8" s="54" t="s">
        <v>1381</v>
      </c>
      <c r="C8" s="54">
        <f>SUMIFS('NEW Feeder Reserved'!$G$1:$G$577,'NEW Feeder Reserved'!$A$1:$A$577,"SS 12/16mm",'NEW Feeder Reserved'!$F$1:$F$577,"HK 仓库")</f>
        <v>632</v>
      </c>
      <c r="D8" s="54"/>
      <c r="E8" s="54"/>
      <c r="F8" s="54">
        <f>SUMIFS('NEW Feeder Reserved'!$M$1:$M$577,'NEW Feeder Reserved'!$A$1:$A$577,"SS 12/16mm",'NEW Feeder Reserved'!$F$1:$F$577,"HK 仓库")</f>
        <v>632</v>
      </c>
      <c r="G8" s="66">
        <f>SUMIFS('NEW Feeder Reserved'!$O$1:$O$577,'NEW Feeder Reserved'!$A$1:$A$577,"SS 12/16mm",'NEW Feeder Reserved'!$F$1:$F$577,"HK 仓库")</f>
        <v>0</v>
      </c>
      <c r="H8" s="54">
        <f>SUMIFS('NEW Feeder Reserved'!$N$1:$N$577,'NEW Feeder Reserved'!$A$1:$A$577,"SS 12/16mm",'NEW Feeder Reserved'!$F$1:$F$577,"HK 仓库")</f>
        <v>62</v>
      </c>
      <c r="I8" s="54"/>
      <c r="J8" s="54"/>
      <c r="K8" s="84"/>
      <c r="L8" s="54">
        <f>C8-F8-H8</f>
        <v>-62</v>
      </c>
      <c r="M8" s="54"/>
      <c r="N8" s="54"/>
      <c r="O8" s="54">
        <f>G8+H8+L8</f>
        <v>0</v>
      </c>
    </row>
    <row r="9" spans="1:15" hidden="1">
      <c r="A9" s="1" t="s">
        <v>2809</v>
      </c>
      <c r="B9" s="48" t="s">
        <v>2762</v>
      </c>
      <c r="D9" s="48">
        <f>SUMIFS('NEW Feeder Reserved'!$G$1:$G$577,'NEW Feeder Reserved'!$A$1:$A$577,"SS 12/16mm",'NEW Feeder Reserved'!$F$1:$F$577,"Incoming")</f>
        <v>0</v>
      </c>
      <c r="E9" s="48">
        <f>SUMIFS('NEW Feeder Reserved'!$G$1:$G$577,'NEW Feeder Reserved'!$A$1:$A$577,"SS 12/16mm",'NEW Feeder Reserved'!$F$1:$F$577,"有交期")</f>
        <v>0</v>
      </c>
      <c r="I9" s="48">
        <f>SUMIFS('NEW Feeder Reserved'!$N$1:$N$577,'NEW Feeder Reserved'!$A$1:$A$577,"SS 12/16mm",'NEW Feeder Reserved'!$F$1:$F$577,"Incoming")</f>
        <v>0</v>
      </c>
      <c r="J9" s="48">
        <f>SUMIFS('NEW Feeder Reserved'!$N$1:$N$577,'NEW Feeder Reserved'!$A$1:$A$577,"SS 12/16mm",'NEW Feeder Reserved'!$F$1:$F$577,"有交期")</f>
        <v>25</v>
      </c>
      <c r="M9" s="48">
        <f>D9+E9-I9-J9</f>
        <v>-25</v>
      </c>
      <c r="N9" s="48">
        <f>SUM(L7:L8)</f>
        <v>572</v>
      </c>
    </row>
    <row r="10" spans="1:15" ht="15" hidden="1">
      <c r="A10" s="45"/>
      <c r="B10" s="55"/>
      <c r="C10" s="55"/>
      <c r="D10" s="55"/>
      <c r="E10" s="55"/>
      <c r="F10" s="55"/>
      <c r="G10" s="68"/>
      <c r="H10" s="55"/>
      <c r="I10" s="55"/>
      <c r="J10" s="55"/>
      <c r="K10" s="85" t="s">
        <v>2810</v>
      </c>
      <c r="L10" s="90">
        <f>SUM(M9:N9)</f>
        <v>547</v>
      </c>
      <c r="M10" s="90"/>
      <c r="N10" s="90"/>
    </row>
    <row r="11" spans="1:15" hidden="1">
      <c r="A11" s="1" t="s">
        <v>2777</v>
      </c>
      <c r="B11" s="48" t="s">
        <v>2753</v>
      </c>
      <c r="C11" s="48">
        <f>SUMIFS('NEW Feeder Reserved'!$G$1:$G$577,'NEW Feeder Reserved'!$A$1:$A$577,"SS 24mm",'NEW Feeder Reserved'!$F$1:$F$577,"深圳仓库")</f>
        <v>342</v>
      </c>
      <c r="F11" s="48">
        <f>SUMIFS('NEW Feeder Reserved'!$M$1:$M$577,'NEW Feeder Reserved'!$A$1:$A$577,"SS 24mm",'NEW Feeder Reserved'!$F$1:$F$577,"深圳仓库")</f>
        <v>203</v>
      </c>
      <c r="G11" s="66">
        <f>SUMIFS('NEW Feeder Reserved'!$O$1:$O$577,'NEW Feeder Reserved'!$A$1:$A$577,"SS 24mm",'NEW Feeder Reserved'!$F$1:$F$577,"深圳仓库")</f>
        <v>0</v>
      </c>
      <c r="H11" s="48">
        <f>SUMIFS('NEW Feeder Reserved'!$N$1:$N$577,'NEW Feeder Reserved'!$A$1:$A$577,"SS 24mm",'NEW Feeder Reserved'!$F$1:$F$577,"深圳仓库")</f>
        <v>4</v>
      </c>
      <c r="L11" s="48">
        <f>C11-F11-H11</f>
        <v>135</v>
      </c>
      <c r="O11" s="48">
        <f>G11+H11+L11</f>
        <v>139</v>
      </c>
    </row>
    <row r="12" spans="1:15" s="7" customFormat="1" hidden="1">
      <c r="A12" s="1" t="s">
        <v>2777</v>
      </c>
      <c r="B12" s="54" t="s">
        <v>1381</v>
      </c>
      <c r="C12" s="54">
        <f>SUMIFS('NEW Feeder Reserved'!$G$1:$G$577,'NEW Feeder Reserved'!$A$1:$A$577,"SS 24mm",'NEW Feeder Reserved'!$F$1:$F$577,"HK 仓库")</f>
        <v>61</v>
      </c>
      <c r="D12" s="54"/>
      <c r="E12" s="54"/>
      <c r="F12" s="54">
        <f>SUMIFS('NEW Feeder Reserved'!$M$1:$M$577,'NEW Feeder Reserved'!$A$1:$A$577,"SS 24mm",'NEW Feeder Reserved'!$F$1:$F$577,"HK 仓库")</f>
        <v>61</v>
      </c>
      <c r="G12" s="66">
        <f>SUMIFS('NEW Feeder Reserved'!$O$1:$O$577,'NEW Feeder Reserved'!$A$1:$A$577,"SS 24mm",'NEW Feeder Reserved'!$F$1:$F$577,"HK 仓库")</f>
        <v>0</v>
      </c>
      <c r="H12" s="54">
        <f>SUMIFS('NEW Feeder Reserved'!$N$1:$N$577,'NEW Feeder Reserved'!$A$1:$A$577,"SS 24mm",'NEW Feeder Reserved'!$F$1:$F$577,"HK 仓库")</f>
        <v>12</v>
      </c>
      <c r="I12" s="54"/>
      <c r="J12" s="54"/>
      <c r="K12" s="84"/>
      <c r="L12" s="54">
        <f>C12-F12-H12</f>
        <v>-12</v>
      </c>
      <c r="M12" s="54"/>
      <c r="N12" s="54"/>
      <c r="O12" s="54">
        <f>G12+H12+L12</f>
        <v>0</v>
      </c>
    </row>
    <row r="13" spans="1:15" hidden="1">
      <c r="A13" s="1" t="s">
        <v>2777</v>
      </c>
      <c r="B13" s="48" t="s">
        <v>2762</v>
      </c>
      <c r="D13" s="48">
        <f>SUMIFS('NEW Feeder Reserved'!$G$1:$G$577,'NEW Feeder Reserved'!$A$1:$A$577,"SS 24mm",'NEW Feeder Reserved'!$F$1:$F$577,"Incoming")</f>
        <v>0</v>
      </c>
      <c r="E13" s="48">
        <f>SUMIFS('NEW Feeder Reserved'!$G$1:$G$577,'NEW Feeder Reserved'!$A$1:$A$577,"SS 24mm",'NEW Feeder Reserved'!$F$1:$F$577,"有交期")</f>
        <v>0</v>
      </c>
      <c r="I13" s="48">
        <f>SUMIFS('NEW Feeder Reserved'!$N$1:$N$577,'NEW Feeder Reserved'!$A$1:$A$577,"SS 24mm",'NEW Feeder Reserved'!$F$1:$F$577,"Incoming")</f>
        <v>0</v>
      </c>
      <c r="J13" s="48">
        <f>SUMIFS('NEW Feeder Reserved'!$N$1:$N$577,'NEW Feeder Reserved'!$A$1:$A$577,"SS 24mm",'NEW Feeder Reserved'!$F$1:$F$577,"有交期")</f>
        <v>5</v>
      </c>
      <c r="M13" s="48">
        <f>D13+E13-I13-J13</f>
        <v>-5</v>
      </c>
      <c r="N13" s="48">
        <f>SUM(L11:L12)</f>
        <v>123</v>
      </c>
    </row>
    <row r="14" spans="1:15" ht="15" hidden="1">
      <c r="A14" s="45"/>
      <c r="B14" s="55"/>
      <c r="C14" s="55"/>
      <c r="D14" s="55"/>
      <c r="E14" s="55"/>
      <c r="F14" s="55"/>
      <c r="G14" s="68"/>
      <c r="H14" s="55"/>
      <c r="I14" s="55"/>
      <c r="J14" s="55"/>
      <c r="K14" s="85" t="s">
        <v>2811</v>
      </c>
      <c r="L14" s="90">
        <f>SUM(M13:N13)</f>
        <v>118</v>
      </c>
      <c r="M14" s="90"/>
      <c r="N14" s="90"/>
    </row>
    <row r="15" spans="1:15" ht="15" hidden="1" customHeight="1">
      <c r="A15" s="1" t="s">
        <v>2812</v>
      </c>
      <c r="B15" s="48" t="s">
        <v>2753</v>
      </c>
      <c r="C15" s="48">
        <f>SUMIFS('NEW Feeder Reserved'!$G$1:$G$577,'NEW Feeder Reserved'!$A$1:$A$577,"SS 32mm",'NEW Feeder Reserved'!$F$1:$F$577,"深圳仓库")</f>
        <v>197</v>
      </c>
      <c r="F15" s="48">
        <f>SUMIFS('NEW Feeder Reserved'!$M$1:$M$577,'NEW Feeder Reserved'!$A$1:$A$577,"SS 32mm",'NEW Feeder Reserved'!$F$1:$F$577,"深圳仓库")</f>
        <v>53</v>
      </c>
      <c r="G15" s="66">
        <f>SUMIFS('NEW Feeder Reserved'!$O$1:$O$577,'NEW Feeder Reserved'!$A$1:$A$577,"SS 32mm",'NEW Feeder Reserved'!$F$1:$F$577,"深圳仓库")</f>
        <v>0</v>
      </c>
      <c r="H15" s="48">
        <f>SUMIFS('NEW Feeder Reserved'!$N$1:$N$577,'NEW Feeder Reserved'!$A$1:$A$577,"SS 32mm",'NEW Feeder Reserved'!$F$1:$F$577,"深圳仓库")</f>
        <v>4</v>
      </c>
      <c r="L15" s="48">
        <f>C15-F15-H15</f>
        <v>140</v>
      </c>
      <c r="O15" s="48">
        <f>G15+H15+L15</f>
        <v>144</v>
      </c>
    </row>
    <row r="16" spans="1:15" s="7" customFormat="1" hidden="1">
      <c r="A16" s="1" t="s">
        <v>2812</v>
      </c>
      <c r="B16" s="54" t="s">
        <v>1381</v>
      </c>
      <c r="C16" s="54">
        <f>SUMIFS('NEW Feeder Reserved'!$G$1:$G$577,'NEW Feeder Reserved'!$A$1:$A$577,"SS 32mm",'NEW Feeder Reserved'!$F$1:$F$577,"HK 仓库")</f>
        <v>98</v>
      </c>
      <c r="D16" s="54"/>
      <c r="E16" s="54"/>
      <c r="F16" s="54">
        <f>SUMIFS('NEW Feeder Reserved'!$M$1:$M$577,'NEW Feeder Reserved'!$A$1:$A$577,"SS 32mm",'NEW Feeder Reserved'!$F$1:$F$577,"HK 仓库")</f>
        <v>42</v>
      </c>
      <c r="G16" s="66">
        <f>SUMIFS('NEW Feeder Reserved'!$O$1:$O$577,'NEW Feeder Reserved'!$A$1:$A$577,"SS 32mm",'NEW Feeder Reserved'!$F$1:$F$577,"HK 仓库")</f>
        <v>0</v>
      </c>
      <c r="H16" s="54">
        <f>SUMIFS('NEW Feeder Reserved'!$N$1:$N$577,'NEW Feeder Reserved'!$A$1:$A$577,"SS 32mm",'NEW Feeder Reserved'!$F$1:$F$577,"HK 仓库")</f>
        <v>0</v>
      </c>
      <c r="I16" s="54"/>
      <c r="J16" s="54"/>
      <c r="K16" s="84"/>
      <c r="L16" s="54">
        <f>C16-F16-H16</f>
        <v>56</v>
      </c>
      <c r="M16" s="54"/>
      <c r="N16" s="54"/>
      <c r="O16" s="54">
        <f>G16+H16+L16</f>
        <v>56</v>
      </c>
    </row>
    <row r="17" spans="1:15" hidden="1">
      <c r="A17" s="1" t="s">
        <v>2812</v>
      </c>
      <c r="B17" s="48" t="s">
        <v>2762</v>
      </c>
      <c r="D17" s="48">
        <f>SUMIFS('NEW Feeder Reserved'!$G$1:$G$577,'NEW Feeder Reserved'!$A$1:$A$577,"SS 32mm",'NEW Feeder Reserved'!$F$1:$F$577,"Incoming")</f>
        <v>0</v>
      </c>
      <c r="E17" s="48">
        <f>SUMIFS('NEW Feeder Reserved'!$G$1:$G$577,'NEW Feeder Reserved'!$A$1:$A$577,"SS 32mm",'NEW Feeder Reserved'!$F$1:$F$577,"有交期")</f>
        <v>0</v>
      </c>
      <c r="I17" s="48">
        <f>SUMIFS('NEW Feeder Reserved'!$N$1:$N$577,'NEW Feeder Reserved'!$A$1:$A$577,"SS 32mm",'NEW Feeder Reserved'!$F$1:$F$577,"Incoming")</f>
        <v>0</v>
      </c>
      <c r="J17" s="48">
        <f>SUMIFS('NEW Feeder Reserved'!$N$1:$N$577,'NEW Feeder Reserved'!$A$1:$A$577,"SS 32mm",'NEW Feeder Reserved'!$F$1:$F$577,"有交期")</f>
        <v>0</v>
      </c>
      <c r="M17" s="48">
        <f>D17+E17-I17-J17</f>
        <v>0</v>
      </c>
      <c r="N17" s="48">
        <f>SUM(L15:L16)</f>
        <v>196</v>
      </c>
    </row>
    <row r="18" spans="1:15" ht="15" hidden="1">
      <c r="A18" s="45"/>
      <c r="B18" s="55"/>
      <c r="C18" s="55"/>
      <c r="D18" s="55"/>
      <c r="E18" s="55"/>
      <c r="F18" s="55"/>
      <c r="G18" s="68"/>
      <c r="H18" s="55"/>
      <c r="I18" s="55"/>
      <c r="J18" s="55"/>
      <c r="K18" s="85" t="s">
        <v>2813</v>
      </c>
      <c r="L18" s="90">
        <f>SUM(M17:N17)</f>
        <v>196</v>
      </c>
      <c r="M18" s="90"/>
      <c r="N18" s="90"/>
    </row>
    <row r="19" spans="1:15" hidden="1">
      <c r="A19" s="1" t="s">
        <v>2814</v>
      </c>
      <c r="B19" s="48" t="s">
        <v>2753</v>
      </c>
      <c r="C19" s="48">
        <f>SUMIFS('NEW Feeder Reserved'!$G$1:$G$577,'NEW Feeder Reserved'!$A$1:$A$577,"SS 44mm",'NEW Feeder Reserved'!$F$1:$F$577,"深圳仓库")</f>
        <v>108</v>
      </c>
      <c r="F19" s="48">
        <f>SUMIFS('NEW Feeder Reserved'!$M$1:$M$577,'NEW Feeder Reserved'!$A$1:$A$577,"SS 44mm",'NEW Feeder Reserved'!$F$1:$F$577,"深圳仓库")</f>
        <v>50</v>
      </c>
      <c r="G19" s="66">
        <f>SUMIFS('NEW Feeder Reserved'!$O$1:$O$577,'NEW Feeder Reserved'!$A$1:$A$577,"SS 44mm",'NEW Feeder Reserved'!$F$1:$F$577,"深圳仓库")</f>
        <v>0</v>
      </c>
      <c r="H19" s="48">
        <f>SUMIFS('NEW Feeder Reserved'!$N$1:$N$577,'NEW Feeder Reserved'!$A$1:$A$577,"SS 44mm",'NEW Feeder Reserved'!$F$1:$F$577,"深圳仓库")</f>
        <v>4</v>
      </c>
      <c r="L19" s="48">
        <f>C19-F19-H19</f>
        <v>54</v>
      </c>
      <c r="O19" s="48">
        <f>G19+H19+L19</f>
        <v>58</v>
      </c>
    </row>
    <row r="20" spans="1:15" s="7" customFormat="1" hidden="1">
      <c r="A20" s="1" t="s">
        <v>2814</v>
      </c>
      <c r="B20" s="54" t="s">
        <v>1381</v>
      </c>
      <c r="C20" s="54">
        <f>SUMIFS('NEW Feeder Reserved'!$G$1:$G$577,'NEW Feeder Reserved'!$A$1:$A$577,"SS 44mm",'NEW Feeder Reserved'!$F$1:$F$577,"HK 仓库")</f>
        <v>17</v>
      </c>
      <c r="D20" s="54"/>
      <c r="E20" s="54"/>
      <c r="F20" s="54">
        <f>SUMIFS('NEW Feeder Reserved'!$M$1:$M$577,'NEW Feeder Reserved'!$A$1:$A$577,"SS 44mm",'NEW Feeder Reserved'!$F$1:$F$577,"HK 仓库")</f>
        <v>13</v>
      </c>
      <c r="G20" s="66">
        <f>SUMIFS('NEW Feeder Reserved'!$O$1:$O$577,'NEW Feeder Reserved'!$A$1:$A$577,"SS 44mm",'NEW Feeder Reserved'!$F$1:$F$577,"HK 仓库")</f>
        <v>0</v>
      </c>
      <c r="H20" s="54">
        <f>SUMIFS('NEW Feeder Reserved'!$N$1:$N$577,'NEW Feeder Reserved'!$A$1:$A$577,"SS 44mm",'NEW Feeder Reserved'!$F$1:$F$577,"HK 仓库")</f>
        <v>0</v>
      </c>
      <c r="I20" s="54"/>
      <c r="J20" s="54"/>
      <c r="K20" s="84"/>
      <c r="L20" s="54">
        <f>C20-F20-H20</f>
        <v>4</v>
      </c>
      <c r="M20" s="54"/>
      <c r="N20" s="54"/>
      <c r="O20" s="54">
        <f>G20+H20+L20</f>
        <v>4</v>
      </c>
    </row>
    <row r="21" spans="1:15" hidden="1">
      <c r="A21" s="1" t="s">
        <v>2814</v>
      </c>
      <c r="B21" s="48" t="s">
        <v>2762</v>
      </c>
      <c r="D21" s="48">
        <f>SUMIFS('NEW Feeder Reserved'!$G$1:$G$577,'NEW Feeder Reserved'!$A$1:$A$577,"SS 44mm",'NEW Feeder Reserved'!$F$1:$F$577,"Incoming")</f>
        <v>0</v>
      </c>
      <c r="E21" s="48">
        <f>SUMIFS('NEW Feeder Reserved'!$G$1:$G$577,'NEW Feeder Reserved'!$A$1:$A$577,"SS 44mm",'NEW Feeder Reserved'!$F$1:$F$577,"有交期")</f>
        <v>0</v>
      </c>
      <c r="I21" s="48">
        <f>SUMIFS('NEW Feeder Reserved'!$N$1:$N$577,'NEW Feeder Reserved'!$A$1:$A$577,"SS 44mm",'NEW Feeder Reserved'!$F$1:$F$577,"Incoming")</f>
        <v>0</v>
      </c>
      <c r="J21" s="48">
        <f>SUMIFS('NEW Feeder Reserved'!$N$1:$N$577,'NEW Feeder Reserved'!$A$1:$A$577,"SS 44mm",'NEW Feeder Reserved'!$F$1:$F$577,"有交期")</f>
        <v>0</v>
      </c>
      <c r="M21" s="48">
        <f>D21+E21-I21-J21</f>
        <v>0</v>
      </c>
      <c r="N21" s="48">
        <f>SUM(L19:L20)</f>
        <v>58</v>
      </c>
    </row>
    <row r="22" spans="1:15" ht="15" hidden="1">
      <c r="A22" s="45"/>
      <c r="B22" s="55"/>
      <c r="C22" s="55"/>
      <c r="D22" s="55"/>
      <c r="E22" s="55"/>
      <c r="F22" s="55"/>
      <c r="G22" s="68"/>
      <c r="H22" s="55"/>
      <c r="I22" s="55"/>
      <c r="J22" s="55"/>
      <c r="K22" s="85" t="s">
        <v>2815</v>
      </c>
      <c r="L22" s="90">
        <f>SUM(M21:N21)</f>
        <v>58</v>
      </c>
      <c r="M22" s="90"/>
      <c r="N22" s="90"/>
    </row>
    <row r="23" spans="1:15" hidden="1">
      <c r="A23" s="1" t="s">
        <v>2816</v>
      </c>
      <c r="B23" s="48" t="s">
        <v>2753</v>
      </c>
      <c r="C23" s="48">
        <f>SUMIFS('NEW Feeder Reserved'!$G$1:$G$577,'NEW Feeder Reserved'!$A$1:$A$577,"SS 56mm",'NEW Feeder Reserved'!$F$1:$F$577,"深圳仓库")</f>
        <v>18</v>
      </c>
      <c r="F23" s="48">
        <f>SUMIFS('NEW Feeder Reserved'!$M$1:$M$577,'NEW Feeder Reserved'!$A$1:$A$577,"SS 56mm",'NEW Feeder Reserved'!$F$1:$F$577,"深圳仓库")</f>
        <v>14</v>
      </c>
      <c r="G23" s="66">
        <f>SUMIFS('NEW Feeder Reserved'!$O$1:$O$577,'NEW Feeder Reserved'!$A$1:$A$577,"SS 56mm",'NEW Feeder Reserved'!$F$1:$F$577,"深圳仓库")</f>
        <v>0</v>
      </c>
      <c r="H23" s="48">
        <f>SUMIFS('NEW Feeder Reserved'!$N$1:$N$577,'NEW Feeder Reserved'!$A$1:$A$577,"SS 56mm",'NEW Feeder Reserved'!$F$1:$F$577,"深圳仓库")</f>
        <v>2</v>
      </c>
      <c r="L23" s="48">
        <f>C23-F23-H23</f>
        <v>2</v>
      </c>
      <c r="O23" s="48">
        <f>G23+H23+L23</f>
        <v>4</v>
      </c>
    </row>
    <row r="24" spans="1:15" s="7" customFormat="1" hidden="1">
      <c r="A24" s="1" t="s">
        <v>2816</v>
      </c>
      <c r="B24" s="54" t="s">
        <v>1381</v>
      </c>
      <c r="C24" s="54">
        <f>SUMIFS('NEW Feeder Reserved'!$G$1:$G$577,'NEW Feeder Reserved'!$A$1:$A$577,"SS 56mm",'NEW Feeder Reserved'!$F$1:$F$577,"HK 仓库")</f>
        <v>0</v>
      </c>
      <c r="D24" s="54"/>
      <c r="E24" s="54"/>
      <c r="F24" s="54">
        <f>SUMIFS('NEW Feeder Reserved'!$M$1:$M$577,'NEW Feeder Reserved'!$A$1:$A$577,"SS 56mm",'NEW Feeder Reserved'!$F$1:$F$577,"HK 仓库")</f>
        <v>0</v>
      </c>
      <c r="G24" s="66">
        <f>SUMIFS('NEW Feeder Reserved'!$O$1:$O$577,'NEW Feeder Reserved'!$A$1:$A$577,"SS 56mm",'NEW Feeder Reserved'!$F$1:$F$577,"HK 仓库")</f>
        <v>0</v>
      </c>
      <c r="H24" s="54">
        <f>SUMIFS('NEW Feeder Reserved'!$N$1:$N$577,'NEW Feeder Reserved'!$A$1:$A$577,"SS 56mm",'NEW Feeder Reserved'!$F$1:$F$577,"HK 仓库")</f>
        <v>0</v>
      </c>
      <c r="I24" s="54"/>
      <c r="J24" s="54"/>
      <c r="K24" s="84"/>
      <c r="L24" s="54">
        <f>C24-F24-H24</f>
        <v>0</v>
      </c>
      <c r="M24" s="54"/>
      <c r="N24" s="54"/>
      <c r="O24" s="54">
        <f>G24+H24+L24</f>
        <v>0</v>
      </c>
    </row>
    <row r="25" spans="1:15" hidden="1">
      <c r="A25" s="1" t="s">
        <v>2816</v>
      </c>
      <c r="B25" s="48" t="s">
        <v>2762</v>
      </c>
      <c r="D25" s="48">
        <f>SUMIFS('NEW Feeder Reserved'!$G$1:$G$577,'NEW Feeder Reserved'!$A$1:$A$577,"SS 56mm",'NEW Feeder Reserved'!$F$1:$F$577,"Incoming")</f>
        <v>0</v>
      </c>
      <c r="E25" s="48">
        <f>SUMIFS('NEW Feeder Reserved'!$G$1:$G$577,'NEW Feeder Reserved'!$A$1:$A$577,"SS 56mm",'NEW Feeder Reserved'!$F$1:$F$577,"有交期")</f>
        <v>0</v>
      </c>
      <c r="I25" s="48">
        <f>SUMIFS('NEW Feeder Reserved'!$N$1:$N$577,'NEW Feeder Reserved'!$A$1:$A$577,"SS 56mm",'NEW Feeder Reserved'!$F$1:$F$577,"Incoming")</f>
        <v>0</v>
      </c>
      <c r="J25" s="48">
        <f>SUMIFS('NEW Feeder Reserved'!$N$1:$N$577,'NEW Feeder Reserved'!$A$1:$A$577,"SS 56mm",'NEW Feeder Reserved'!$F$1:$F$577,"有交期")</f>
        <v>0</v>
      </c>
      <c r="M25" s="48">
        <f>D25+E25-I25-J25</f>
        <v>0</v>
      </c>
      <c r="N25" s="48">
        <f>SUM(L23:L24)</f>
        <v>2</v>
      </c>
    </row>
    <row r="26" spans="1:15" ht="15" hidden="1">
      <c r="A26" s="45"/>
      <c r="B26" s="55"/>
      <c r="C26" s="55"/>
      <c r="D26" s="55"/>
      <c r="E26" s="55"/>
      <c r="F26" s="55"/>
      <c r="G26" s="68"/>
      <c r="H26" s="55"/>
      <c r="I26" s="55"/>
      <c r="J26" s="55"/>
      <c r="K26" s="85" t="s">
        <v>2817</v>
      </c>
      <c r="L26" s="90">
        <f>SUM(M25:N25)</f>
        <v>2</v>
      </c>
      <c r="M26" s="90"/>
      <c r="N26" s="90"/>
    </row>
    <row r="27" spans="1:15" hidden="1">
      <c r="A27" s="1" t="s">
        <v>2818</v>
      </c>
      <c r="B27" s="48" t="s">
        <v>2753</v>
      </c>
      <c r="C27" s="48">
        <f>SUMIFS('NEW Feeder Reserved'!$G$1:$G$577,'NEW Feeder Reserved'!$A$1:$A$577,"SS 72mm",'NEW Feeder Reserved'!$F$1:$F$577,"深圳仓库")</f>
        <v>1</v>
      </c>
      <c r="F27" s="48">
        <f>SUMIFS('NEW Feeder Reserved'!$M$1:$M$577,'NEW Feeder Reserved'!$A$1:$A$577,"SS 72mm",'NEW Feeder Reserved'!$F$1:$F$577,"深圳仓库")</f>
        <v>1</v>
      </c>
      <c r="G27" s="66">
        <f>SUMIFS('NEW Feeder Reserved'!$O$1:$O$577,'NEW Feeder Reserved'!$A$1:$A$577,"SS 72mm",'NEW Feeder Reserved'!$F$1:$F$577,"深圳仓库")</f>
        <v>0</v>
      </c>
      <c r="H27" s="48">
        <f>SUMIFS('NEW Feeder Reserved'!$N$1:$N$577,'NEW Feeder Reserved'!$A$1:$A$577,"SS 72mm",'NEW Feeder Reserved'!$F$1:$F$577,"深圳仓库")</f>
        <v>0</v>
      </c>
      <c r="L27" s="48">
        <f>C27-F27-H27</f>
        <v>0</v>
      </c>
      <c r="O27" s="48">
        <f>G27+H27+L27</f>
        <v>0</v>
      </c>
    </row>
    <row r="28" spans="1:15" s="7" customFormat="1" hidden="1">
      <c r="A28" s="1" t="s">
        <v>2818</v>
      </c>
      <c r="B28" s="54" t="s">
        <v>1381</v>
      </c>
      <c r="C28" s="54">
        <f>SUMIFS('NEW Feeder Reserved'!$G$1:$G$577,'NEW Feeder Reserved'!$A$1:$A$577,"SS 72mm",'NEW Feeder Reserved'!$F$1:$F$577,"HK 仓库")</f>
        <v>0</v>
      </c>
      <c r="D28" s="54"/>
      <c r="E28" s="54"/>
      <c r="F28" s="54">
        <f>SUMIFS('NEW Feeder Reserved'!$M$1:$M$577,'NEW Feeder Reserved'!$A$1:$A$577,"SS 72mm",'NEW Feeder Reserved'!$F$1:$F$577,"HK 仓库")</f>
        <v>0</v>
      </c>
      <c r="G28" s="66">
        <f>SUMIFS('NEW Feeder Reserved'!$O$1:$O$577,'NEW Feeder Reserved'!$A$1:$A$577,"SS 72mm",'NEW Feeder Reserved'!$F$1:$F$577,"HK 仓库")</f>
        <v>0</v>
      </c>
      <c r="H28" s="54">
        <f>SUMIFS('NEW Feeder Reserved'!$N$1:$N$577,'NEW Feeder Reserved'!$A$1:$A$577,"SS 72mm",'NEW Feeder Reserved'!$F$1:$F$577,"HK 仓库")</f>
        <v>0</v>
      </c>
      <c r="I28" s="54"/>
      <c r="J28" s="54"/>
      <c r="K28" s="84"/>
      <c r="L28" s="54">
        <f>C28-F28-H28</f>
        <v>0</v>
      </c>
      <c r="M28" s="54"/>
      <c r="N28" s="54"/>
      <c r="O28" s="54">
        <f>G28+H28+L28</f>
        <v>0</v>
      </c>
    </row>
    <row r="29" spans="1:15" hidden="1">
      <c r="A29" s="1" t="s">
        <v>2818</v>
      </c>
      <c r="B29" s="48" t="s">
        <v>2762</v>
      </c>
      <c r="D29" s="48">
        <f>SUMIFS('NEW Feeder Reserved'!$G$1:$G$577,'NEW Feeder Reserved'!$A$1:$A$577,"SS 72mm",'NEW Feeder Reserved'!$F$1:$F$577,"Incoming")</f>
        <v>0</v>
      </c>
      <c r="E29" s="48">
        <f>SUMIFS('NEW Feeder Reserved'!$G$1:$G$577,'NEW Feeder Reserved'!$A$1:$A$577,"SS 72mm",'NEW Feeder Reserved'!$F$1:$F$577,"有交期")</f>
        <v>0</v>
      </c>
      <c r="I29" s="48">
        <f>SUMIFS('NEW Feeder Reserved'!$N$1:$N$577,'NEW Feeder Reserved'!$A$1:$A$577,"SS 72mm",'NEW Feeder Reserved'!$F$1:$F$577,"Incoming")</f>
        <v>0</v>
      </c>
      <c r="J29" s="48">
        <f>SUMIFS('NEW Feeder Reserved'!$N$1:$N$577,'NEW Feeder Reserved'!$A$1:$A$577,"SS 72mm",'NEW Feeder Reserved'!$F$1:$F$577,"有交期")</f>
        <v>0</v>
      </c>
      <c r="M29" s="48">
        <f>D29+E29-I29-J29</f>
        <v>0</v>
      </c>
      <c r="N29" s="48">
        <f>SUM(L27:L28)</f>
        <v>0</v>
      </c>
    </row>
    <row r="30" spans="1:15" ht="15" hidden="1">
      <c r="A30" s="45"/>
      <c r="B30" s="55"/>
      <c r="C30" s="55"/>
      <c r="D30" s="55"/>
      <c r="E30" s="55"/>
      <c r="F30" s="55"/>
      <c r="G30" s="68"/>
      <c r="H30" s="55"/>
      <c r="I30" s="55"/>
      <c r="J30" s="55"/>
      <c r="K30" s="85" t="s">
        <v>2819</v>
      </c>
      <c r="L30" s="90">
        <f>SUM(M29:N29)</f>
        <v>0</v>
      </c>
      <c r="M30" s="90"/>
      <c r="N30" s="90"/>
    </row>
    <row r="31" spans="1:15" hidden="1">
      <c r="A31" s="46"/>
      <c r="B31" s="56"/>
      <c r="C31" s="56"/>
      <c r="D31" s="56"/>
      <c r="E31" s="56"/>
      <c r="F31" s="56"/>
      <c r="G31" s="69"/>
      <c r="H31" s="56"/>
      <c r="I31" s="56"/>
      <c r="J31" s="56"/>
      <c r="K31" s="86"/>
      <c r="L31" s="56"/>
      <c r="M31" s="56"/>
      <c r="N31" s="56"/>
    </row>
    <row r="32" spans="1:15" hidden="1">
      <c r="A32" s="1" t="s">
        <v>2820</v>
      </c>
      <c r="B32" s="48" t="s">
        <v>2753</v>
      </c>
      <c r="C32" s="48">
        <f>SUMIFS('NEW Feeder Reserved'!$G$1:$G$577,'NEW Feeder Reserved'!$A$1:$A$577,"ZS 4mm",'NEW Feeder Reserved'!$F$1:$F$577,"深圳仓库")</f>
        <v>2</v>
      </c>
      <c r="F32" s="48">
        <f>SUMIFS('NEW Feeder Reserved'!$M$1:$M$577,'NEW Feeder Reserved'!$A$1:$A$577,"ZS 4mm",'NEW Feeder Reserved'!$F$1:$F$577,"深圳仓库")</f>
        <v>2</v>
      </c>
      <c r="G32" s="66">
        <f>SUMIFS('NEW Feeder Reserved'!$O$1:$O$577,'NEW Feeder Reserved'!$A$1:$A$577,"ZS 4mm",'NEW Feeder Reserved'!$F$1:$F$577,"深圳仓库")</f>
        <v>0</v>
      </c>
      <c r="H32" s="48">
        <f>SUMIFS('NEW Feeder Reserved'!$N$1:$N$577,'NEW Feeder Reserved'!$A$1:$A$577,"ZS 4mm",'NEW Feeder Reserved'!$F$1:$F$577,"深圳仓库")</f>
        <v>0</v>
      </c>
      <c r="L32" s="48">
        <f>C32-F32-H32</f>
        <v>0</v>
      </c>
      <c r="O32" s="48">
        <f>G32+H32+L32</f>
        <v>0</v>
      </c>
    </row>
    <row r="33" spans="1:15" s="7" customFormat="1" hidden="1">
      <c r="A33" s="1" t="s">
        <v>2820</v>
      </c>
      <c r="B33" s="54" t="s">
        <v>1381</v>
      </c>
      <c r="C33" s="54">
        <f>SUMIFS('NEW Feeder Reserved'!$G$1:$G$577,'NEW Feeder Reserved'!$A$1:$A$577,"ZS 4mm",'NEW Feeder Reserved'!$F$1:$F$577,"HK 仓库")</f>
        <v>3</v>
      </c>
      <c r="D33" s="54"/>
      <c r="E33" s="54"/>
      <c r="F33" s="54">
        <f>SUMIFS('NEW Feeder Reserved'!$M$1:$M$577,'NEW Feeder Reserved'!$A$1:$A$577,"ZS 4mm",'NEW Feeder Reserved'!$F$1:$F$577,"HK 仓库")</f>
        <v>1</v>
      </c>
      <c r="G33" s="66">
        <f>SUMIFS('NEW Feeder Reserved'!$O$1:$O$577,'NEW Feeder Reserved'!$A$1:$A$577,"ZS 4mm",'NEW Feeder Reserved'!$F$1:$F$577,"HK 仓库")</f>
        <v>0</v>
      </c>
      <c r="H33" s="54">
        <f>SUMIFS('NEW Feeder Reserved'!$N$1:$N$577,'NEW Feeder Reserved'!$A$1:$A$577,"ZS 4mm",'NEW Feeder Reserved'!$F$1:$F$577,"HK 仓库")</f>
        <v>2</v>
      </c>
      <c r="I33" s="54"/>
      <c r="J33" s="54"/>
      <c r="K33" s="84"/>
      <c r="L33" s="54">
        <f>C33-F33-H33</f>
        <v>0</v>
      </c>
      <c r="M33" s="54"/>
      <c r="N33" s="54"/>
      <c r="O33" s="54">
        <f>G33+H33+L33</f>
        <v>2</v>
      </c>
    </row>
    <row r="34" spans="1:15" hidden="1">
      <c r="A34" s="1" t="s">
        <v>2820</v>
      </c>
      <c r="B34" s="48" t="s">
        <v>2762</v>
      </c>
      <c r="D34" s="48">
        <f>SUMIFS('NEW Feeder Reserved'!$G$1:$G$577,'NEW Feeder Reserved'!$A$1:$A$577,"ZS 4mm",'NEW Feeder Reserved'!$F$1:$F$577,"Incoming")</f>
        <v>0</v>
      </c>
      <c r="E34" s="48">
        <f>SUMIFS('NEW Feeder Reserved'!$G$1:$G$577,'NEW Feeder Reserved'!$A$1:$A$577,"ZS 4mm",'NEW Feeder Reserved'!$F$1:$F$577,"有交期")</f>
        <v>0</v>
      </c>
      <c r="I34" s="48">
        <f>SUMIFS('NEW Feeder Reserved'!$N$1:$N$577,'NEW Feeder Reserved'!$A$1:$A$577,"ZS 4mm",'NEW Feeder Reserved'!$F$1:$F$577,"Incoming")</f>
        <v>0</v>
      </c>
      <c r="J34" s="48">
        <f>SUMIFS('NEW Feeder Reserved'!$N$1:$N$577,'NEW Feeder Reserved'!$A$1:$A$577,"ZS 4mm",'NEW Feeder Reserved'!$F$1:$F$577,"有交期")</f>
        <v>0</v>
      </c>
      <c r="M34" s="48">
        <f>D34+E34-I34-J34</f>
        <v>0</v>
      </c>
      <c r="N34" s="48">
        <f>SUM(L32:L33)</f>
        <v>0</v>
      </c>
    </row>
    <row r="35" spans="1:15" ht="15" hidden="1">
      <c r="A35" s="44"/>
      <c r="B35" s="57"/>
      <c r="C35" s="57"/>
      <c r="D35" s="57"/>
      <c r="E35" s="57"/>
      <c r="F35" s="57"/>
      <c r="G35" s="70"/>
      <c r="H35" s="57"/>
      <c r="I35" s="57"/>
      <c r="J35" s="57"/>
      <c r="K35" s="85" t="s">
        <v>2821</v>
      </c>
      <c r="L35" s="57">
        <f>SUM(M34:N34)</f>
        <v>0</v>
      </c>
      <c r="M35" s="57"/>
      <c r="N35" s="57"/>
    </row>
    <row r="36" spans="1:15" hidden="1">
      <c r="A36" s="1" t="s">
        <v>2822</v>
      </c>
      <c r="B36" s="48" t="s">
        <v>2753</v>
      </c>
      <c r="C36" s="48">
        <f>SUMIFS('NEW Feeder Reserved'!$G$1:$G$577,'NEW Feeder Reserved'!$A$1:$A$577,"ZS 8mm",'NEW Feeder Reserved'!$F$1:$F$577,"深圳仓库")</f>
        <v>709</v>
      </c>
      <c r="F36" s="48">
        <f>SUMIFS('NEW Feeder Reserved'!$M$1:$M$577,'NEW Feeder Reserved'!$A$1:$A$577,"ZS 8mm",'NEW Feeder Reserved'!$F$1:$F$577,"深圳仓库")</f>
        <v>679</v>
      </c>
      <c r="G36" s="66">
        <f>SUMIFS('NEW Feeder Reserved'!$O$1:$O$577,'NEW Feeder Reserved'!$A$1:$A$577,"ZS 8mm",'NEW Feeder Reserved'!$F$1:$F$577,"深圳仓库")</f>
        <v>0</v>
      </c>
      <c r="H36" s="48">
        <f>SUMIFS('NEW Feeder Reserved'!$N$1:$N$577,'NEW Feeder Reserved'!$A$1:$A$577,"ZS 8mm",'NEW Feeder Reserved'!$F$1:$F$577,"深圳仓库")</f>
        <v>0</v>
      </c>
      <c r="L36" s="48">
        <f>C36-F36-H36</f>
        <v>30</v>
      </c>
      <c r="O36" s="48">
        <f>G36+H36+L36</f>
        <v>30</v>
      </c>
    </row>
    <row r="37" spans="1:15" s="7" customFormat="1" hidden="1">
      <c r="A37" s="1" t="s">
        <v>2822</v>
      </c>
      <c r="B37" s="54" t="s">
        <v>1381</v>
      </c>
      <c r="C37" s="54">
        <f>SUMIFS('NEW Feeder Reserved'!$G$1:$G$577,'NEW Feeder Reserved'!$A$1:$A$577,"ZS 8mm",'NEW Feeder Reserved'!$F$1:$F$577,"HK 仓库")</f>
        <v>928</v>
      </c>
      <c r="D37" s="54"/>
      <c r="E37" s="54"/>
      <c r="F37" s="54">
        <f>SUMIFS('NEW Feeder Reserved'!$M$1:$M$577,'NEW Feeder Reserved'!$A$1:$A$577,"ZS 8mm",'NEW Feeder Reserved'!$F$1:$F$577,"HK 仓库")</f>
        <v>785</v>
      </c>
      <c r="G37" s="66">
        <f>SUMIFS('NEW Feeder Reserved'!$O$1:$O$577,'NEW Feeder Reserved'!$A$1:$A$577,"ZS 8mm",'NEW Feeder Reserved'!$F$1:$F$577,"HK 仓库")</f>
        <v>0</v>
      </c>
      <c r="H37" s="54">
        <f>SUMIFS('NEW Feeder Reserved'!$N$1:$N$577,'NEW Feeder Reserved'!$A$1:$A$577,"ZS 8mm",'NEW Feeder Reserved'!$F$1:$F$577,"HK 仓库")</f>
        <v>100</v>
      </c>
      <c r="I37" s="54"/>
      <c r="J37" s="54"/>
      <c r="K37" s="84"/>
      <c r="L37" s="54">
        <f>C37-F37-H37</f>
        <v>43</v>
      </c>
      <c r="M37" s="54"/>
      <c r="N37" s="54"/>
      <c r="O37" s="54">
        <f>G37+H37+L37</f>
        <v>143</v>
      </c>
    </row>
    <row r="38" spans="1:15" hidden="1">
      <c r="A38" s="1" t="s">
        <v>2822</v>
      </c>
      <c r="B38" s="48" t="s">
        <v>2762</v>
      </c>
      <c r="D38" s="48">
        <f>SUMIFS('NEW Feeder Reserved'!$G$1:$G$577,'NEW Feeder Reserved'!$A$1:$A$577,"ZS 8mm",'NEW Feeder Reserved'!$F$1:$F$577,"Incoming")</f>
        <v>0</v>
      </c>
      <c r="E38" s="48">
        <f>SUMIFS('NEW Feeder Reserved'!$G$1:$G$577,'NEW Feeder Reserved'!$A$1:$A$577,"ZS 8mm",'NEW Feeder Reserved'!$F$1:$F$577,"有交期")</f>
        <v>0</v>
      </c>
      <c r="I38" s="48">
        <f>SUMIFS('NEW Feeder Reserved'!$N$1:$N$577,'NEW Feeder Reserved'!$A$1:$A$577,"ZS 8mm",'NEW Feeder Reserved'!$F$1:$F$577,"Incoming")</f>
        <v>0</v>
      </c>
      <c r="J38" s="48">
        <f>SUMIFS('NEW Feeder Reserved'!$N$1:$N$577,'NEW Feeder Reserved'!$A$1:$A$577,"ZS 8mm",'NEW Feeder Reserved'!$F$1:$F$577,"有交期")</f>
        <v>0</v>
      </c>
      <c r="M38" s="48">
        <f>D38+E38-I38-J38</f>
        <v>0</v>
      </c>
      <c r="N38" s="48">
        <f>SUM(L36:L37)</f>
        <v>73</v>
      </c>
    </row>
    <row r="39" spans="1:15" ht="15" hidden="1">
      <c r="A39" s="45"/>
      <c r="B39" s="55"/>
      <c r="C39" s="55"/>
      <c r="D39" s="55"/>
      <c r="E39" s="55"/>
      <c r="F39" s="55"/>
      <c r="G39" s="68"/>
      <c r="H39" s="55"/>
      <c r="I39" s="55"/>
      <c r="J39" s="55"/>
      <c r="K39" s="85" t="s">
        <v>2823</v>
      </c>
      <c r="L39" s="90">
        <f>SUM(M38:N38)</f>
        <v>73</v>
      </c>
      <c r="M39" s="90"/>
      <c r="N39" s="90"/>
    </row>
    <row r="40" spans="1:15" hidden="1">
      <c r="A40" s="1" t="s">
        <v>2824</v>
      </c>
      <c r="B40" s="48" t="s">
        <v>2753</v>
      </c>
      <c r="C40" s="48">
        <f>SUMIFS('NEW Feeder Reserved'!$G$1:$G$577,'NEW Feeder Reserved'!$A$1:$A$577,"ZS 12/16mm",'NEW Feeder Reserved'!$F$1:$F$577,"深圳仓库")</f>
        <v>123</v>
      </c>
      <c r="F40" s="48">
        <f>SUMIFS('NEW Feeder Reserved'!$M$1:$M$577,'NEW Feeder Reserved'!$A$1:$A$577,"ZS 12/16mm",'NEW Feeder Reserved'!$F$1:$F$577,"深圳仓库")</f>
        <v>46</v>
      </c>
      <c r="G40" s="66">
        <f>SUMIFS('NEW Feeder Reserved'!$O$1:$O$577,'NEW Feeder Reserved'!$A$1:$A$577,"ZS 12/16mm",'NEW Feeder Reserved'!$F$1:$F$577,"深圳仓库")</f>
        <v>0</v>
      </c>
      <c r="H40" s="48">
        <f>SUMIFS('NEW Feeder Reserved'!$N$1:$N$577,'NEW Feeder Reserved'!$A$1:$A$577,"ZS 12/16mm",'NEW Feeder Reserved'!$F$1:$F$577,"深圳仓库")</f>
        <v>0</v>
      </c>
      <c r="L40" s="48">
        <f>C40-F40-H40</f>
        <v>77</v>
      </c>
      <c r="O40" s="48">
        <f>G40+H40+L40</f>
        <v>77</v>
      </c>
    </row>
    <row r="41" spans="1:15" s="7" customFormat="1" hidden="1">
      <c r="A41" s="1" t="s">
        <v>2824</v>
      </c>
      <c r="B41" s="54" t="s">
        <v>1381</v>
      </c>
      <c r="C41" s="54">
        <f>SUMIFS('NEW Feeder Reserved'!$G$1:$G$577,'NEW Feeder Reserved'!$A$1:$A$577,"ZS 12/16mm",'NEW Feeder Reserved'!$F$1:$F$577,"HK 仓库")</f>
        <v>367</v>
      </c>
      <c r="D41" s="54"/>
      <c r="E41" s="54"/>
      <c r="F41" s="54">
        <f>SUMIFS('NEW Feeder Reserved'!$M$1:$M$577,'NEW Feeder Reserved'!$A$1:$A$577,"ZS 12/16mm",'NEW Feeder Reserved'!$F$1:$F$577,"HK 仓库")</f>
        <v>37</v>
      </c>
      <c r="G41" s="66">
        <f>SUMIFS('NEW Feeder Reserved'!$O$1:$O$577,'NEW Feeder Reserved'!$A$1:$A$577,"ZS 12/16mm",'NEW Feeder Reserved'!$F$1:$F$577,"HK 仓库")</f>
        <v>0</v>
      </c>
      <c r="H41" s="54">
        <f>SUMIFS('NEW Feeder Reserved'!$N$1:$N$577,'NEW Feeder Reserved'!$A$1:$A$577,"ZS 12/16mm",'NEW Feeder Reserved'!$F$1:$F$577,"HK 仓库")</f>
        <v>20</v>
      </c>
      <c r="I41" s="54"/>
      <c r="J41" s="54"/>
      <c r="K41" s="84"/>
      <c r="L41" s="54">
        <f>C41-F41-H41</f>
        <v>310</v>
      </c>
      <c r="M41" s="54"/>
      <c r="N41" s="54"/>
      <c r="O41" s="54">
        <f>G41+H41+L41</f>
        <v>330</v>
      </c>
    </row>
    <row r="42" spans="1:15" hidden="1">
      <c r="A42" s="1" t="s">
        <v>2824</v>
      </c>
      <c r="B42" s="48" t="s">
        <v>2762</v>
      </c>
      <c r="D42" s="48">
        <f>SUMIFS('NEW Feeder Reserved'!$G$1:$G$577,'NEW Feeder Reserved'!$A$1:$A$577,"ZS 12/16mm",'NEW Feeder Reserved'!$F$1:$F$577,"Incoming")</f>
        <v>0</v>
      </c>
      <c r="E42" s="48">
        <f>SUMIFS('NEW Feeder Reserved'!$G$1:$G$577,'NEW Feeder Reserved'!$A$1:$A$577,"ZS 12/16mm",'NEW Feeder Reserved'!$F$1:$F$577,"有交期")</f>
        <v>0</v>
      </c>
      <c r="I42" s="48">
        <f>SUMIFS('NEW Feeder Reserved'!$N$1:$N$577,'NEW Feeder Reserved'!$A$1:$A$577,"ZS 12/16mm",'NEW Feeder Reserved'!$F$1:$F$577,"Incoming")</f>
        <v>0</v>
      </c>
      <c r="J42" s="48">
        <f>SUMIFS('NEW Feeder Reserved'!$N$1:$N$577,'NEW Feeder Reserved'!$A$1:$A$577,"ZS 12/16mm",'NEW Feeder Reserved'!$F$1:$F$577,"有交期")</f>
        <v>0</v>
      </c>
      <c r="M42" s="48">
        <f>D42+E42-I42-J42</f>
        <v>0</v>
      </c>
      <c r="N42" s="48">
        <f>SUM(L40:L41)</f>
        <v>387</v>
      </c>
    </row>
    <row r="43" spans="1:15" ht="15" hidden="1">
      <c r="A43" s="45"/>
      <c r="B43" s="55"/>
      <c r="C43" s="55"/>
      <c r="D43" s="55"/>
      <c r="E43" s="55"/>
      <c r="F43" s="55"/>
      <c r="G43" s="68"/>
      <c r="H43" s="55"/>
      <c r="I43" s="55"/>
      <c r="J43" s="55"/>
      <c r="K43" s="85" t="s">
        <v>2825</v>
      </c>
      <c r="L43" s="90">
        <f>SUM(M42:N42)</f>
        <v>387</v>
      </c>
      <c r="M43" s="90"/>
      <c r="N43" s="90"/>
    </row>
    <row r="44" spans="1:15" hidden="1">
      <c r="A44" s="1" t="s">
        <v>2826</v>
      </c>
      <c r="B44" s="48" t="s">
        <v>2753</v>
      </c>
      <c r="C44" s="48">
        <f>SUMIFS('NEW Feeder Reserved'!$G$1:$G$577,'NEW Feeder Reserved'!$A$1:$A$577,"ZS 24mm",'NEW Feeder Reserved'!$F$1:$F$577,"深圳仓库")</f>
        <v>89</v>
      </c>
      <c r="F44" s="48">
        <f>SUMIFS('NEW Feeder Reserved'!$M$1:$M$577,'NEW Feeder Reserved'!$A$1:$A$577,"ZS 24mm",'NEW Feeder Reserved'!$F$1:$F$577,"深圳仓库")</f>
        <v>31</v>
      </c>
      <c r="G44" s="66">
        <f>SUMIFS('NEW Feeder Reserved'!$O$1:$O$577,'NEW Feeder Reserved'!$A$1:$A$577,"ZS 24mm",'NEW Feeder Reserved'!$F$1:$F$577,"深圳仓库")</f>
        <v>0</v>
      </c>
      <c r="H44" s="48">
        <f>SUMIFS('NEW Feeder Reserved'!$N$1:$N$577,'NEW Feeder Reserved'!$A$1:$A$577,"ZS 24mm",'NEW Feeder Reserved'!$F$1:$F$577,"深圳仓库")</f>
        <v>0</v>
      </c>
      <c r="L44" s="48">
        <f>C44-F44-H44</f>
        <v>58</v>
      </c>
      <c r="O44" s="48">
        <f>G44+H44+L44</f>
        <v>58</v>
      </c>
    </row>
    <row r="45" spans="1:15" s="7" customFormat="1" hidden="1">
      <c r="A45" s="1" t="s">
        <v>2826</v>
      </c>
      <c r="B45" s="54" t="s">
        <v>1381</v>
      </c>
      <c r="C45" s="54">
        <f>SUMIFS('NEW Feeder Reserved'!$G$1:$G$577,'NEW Feeder Reserved'!$A$1:$A$577,"ZS 24mm",'NEW Feeder Reserved'!$F$1:$F$577,"HK 仓库")</f>
        <v>82</v>
      </c>
      <c r="D45" s="54"/>
      <c r="E45" s="54"/>
      <c r="F45" s="54">
        <f>SUMIFS('NEW Feeder Reserved'!$M$1:$M$577,'NEW Feeder Reserved'!$A$1:$A$577,"ZS 24mm",'NEW Feeder Reserved'!$F$1:$F$577,"HK 仓库")</f>
        <v>27</v>
      </c>
      <c r="G45" s="66">
        <f>SUMIFS('NEW Feeder Reserved'!$O$1:$O$577,'NEW Feeder Reserved'!$A$1:$A$577,"ZS 24mm",'NEW Feeder Reserved'!$F$1:$F$577,"HK 仓库")</f>
        <v>0</v>
      </c>
      <c r="H45" s="54">
        <f>SUMIFS('NEW Feeder Reserved'!$N$1:$N$577,'NEW Feeder Reserved'!$A$1:$A$577,"ZS 24mm",'NEW Feeder Reserved'!$F$1:$F$577,"HK 仓库")</f>
        <v>5</v>
      </c>
      <c r="I45" s="54"/>
      <c r="J45" s="54"/>
      <c r="K45" s="84"/>
      <c r="L45" s="54">
        <f>C45-F45-H45</f>
        <v>50</v>
      </c>
      <c r="M45" s="54"/>
      <c r="N45" s="54"/>
      <c r="O45" s="54">
        <f>G45+H45+L45</f>
        <v>55</v>
      </c>
    </row>
    <row r="46" spans="1:15" hidden="1">
      <c r="A46" s="1" t="s">
        <v>2826</v>
      </c>
      <c r="B46" s="48" t="s">
        <v>2762</v>
      </c>
      <c r="D46" s="48">
        <f>SUMIFS('NEW Feeder Reserved'!$G$1:$G$577,'NEW Feeder Reserved'!$A$1:$A$577,"ZS 24mm",'NEW Feeder Reserved'!$F$1:$F$577,"Incoming")</f>
        <v>0</v>
      </c>
      <c r="E46" s="48">
        <f>SUMIFS('NEW Feeder Reserved'!$G$1:$G$577,'NEW Feeder Reserved'!$A$1:$A$577,"ZS 24mm",'NEW Feeder Reserved'!$F$1:$F$577,"有交期")</f>
        <v>0</v>
      </c>
      <c r="I46" s="48">
        <f>SUMIFS('NEW Feeder Reserved'!$N$1:$N$577,'NEW Feeder Reserved'!$A$1:$A$577,"ZS 24mm",'NEW Feeder Reserved'!$F$1:$F$577,"Incoming")</f>
        <v>0</v>
      </c>
      <c r="J46" s="48">
        <f>SUMIFS('NEW Feeder Reserved'!$N$1:$N$577,'NEW Feeder Reserved'!$A$1:$A$577,"ZS 24mm",'NEW Feeder Reserved'!$F$1:$F$577,"有交期")</f>
        <v>0</v>
      </c>
      <c r="M46" s="48">
        <f>D46+E46-I46-J46</f>
        <v>0</v>
      </c>
      <c r="N46" s="48">
        <f>SUM(L44:L45)</f>
        <v>108</v>
      </c>
    </row>
    <row r="47" spans="1:15" ht="15" hidden="1">
      <c r="A47" s="45"/>
      <c r="B47" s="55"/>
      <c r="C47" s="55"/>
      <c r="D47" s="55"/>
      <c r="E47" s="55"/>
      <c r="F47" s="55"/>
      <c r="G47" s="68"/>
      <c r="H47" s="55"/>
      <c r="I47" s="55"/>
      <c r="J47" s="55"/>
      <c r="K47" s="85" t="s">
        <v>2827</v>
      </c>
      <c r="L47" s="90">
        <f>SUM(M46:N46)</f>
        <v>108</v>
      </c>
      <c r="M47" s="90"/>
      <c r="N47" s="90"/>
    </row>
    <row r="48" spans="1:15" hidden="1">
      <c r="A48" s="1" t="s">
        <v>2828</v>
      </c>
      <c r="B48" s="48" t="s">
        <v>2753</v>
      </c>
      <c r="C48" s="48">
        <f>SUMIFS('NEW Feeder Reserved'!$G$1:$G$577,'NEW Feeder Reserved'!$A$1:$A$577,"ZS 32mm",'NEW Feeder Reserved'!$F$1:$F$577,"深圳仓库")</f>
        <v>32</v>
      </c>
      <c r="F48" s="48">
        <f>SUMIFS('NEW Feeder Reserved'!$M$1:$M$577,'NEW Feeder Reserved'!$A$1:$A$577,"ZS 32mm",'NEW Feeder Reserved'!$F$1:$F$577,"深圳仓库")</f>
        <v>7</v>
      </c>
      <c r="G48" s="66">
        <f>SUMIFS('NEW Feeder Reserved'!$O$1:$O$577,'NEW Feeder Reserved'!$A$1:$A$577,"ZS 32mm",'NEW Feeder Reserved'!$F$1:$F$577,"深圳仓库")</f>
        <v>0</v>
      </c>
      <c r="H48" s="48">
        <f>SUMIFS('NEW Feeder Reserved'!$N$1:$N$577,'NEW Feeder Reserved'!$A$1:$A$577,"ZS 32mm",'NEW Feeder Reserved'!$F$1:$F$577,"深圳仓库")</f>
        <v>0</v>
      </c>
      <c r="L48" s="48">
        <f>C48-F48-H48</f>
        <v>25</v>
      </c>
      <c r="O48" s="48">
        <f>G48+H48+L48</f>
        <v>25</v>
      </c>
    </row>
    <row r="49" spans="1:15" s="7" customFormat="1" hidden="1">
      <c r="A49" s="1" t="s">
        <v>2828</v>
      </c>
      <c r="B49" s="54" t="s">
        <v>1381</v>
      </c>
      <c r="C49" s="54">
        <f>SUMIFS('NEW Feeder Reserved'!$G$1:$G$577,'NEW Feeder Reserved'!$A$1:$A$577,"ZS 32mm",'NEW Feeder Reserved'!$F$1:$F$577,"HK 仓库")</f>
        <v>23</v>
      </c>
      <c r="D49" s="54"/>
      <c r="E49" s="54"/>
      <c r="F49" s="54">
        <f>SUMIFS('NEW Feeder Reserved'!$M$1:$M$577,'NEW Feeder Reserved'!$A$1:$A$577,"ZS 32mm",'NEW Feeder Reserved'!$F$1:$F$577,"HK 仓库")</f>
        <v>11</v>
      </c>
      <c r="G49" s="66">
        <f>SUMIFS('NEW Feeder Reserved'!$O$1:$O$577,'NEW Feeder Reserved'!$A$1:$A$577,"ZS 32mm",'NEW Feeder Reserved'!$F$1:$F$577,"HK 仓库")</f>
        <v>0</v>
      </c>
      <c r="H49" s="54">
        <f>SUMIFS('NEW Feeder Reserved'!$N$1:$N$577,'NEW Feeder Reserved'!$A$1:$A$577,"ZS 32mm",'NEW Feeder Reserved'!$F$1:$F$577,"HK 仓库")</f>
        <v>2</v>
      </c>
      <c r="I49" s="54"/>
      <c r="J49" s="54"/>
      <c r="K49" s="84"/>
      <c r="L49" s="54">
        <f>C49-F49-H49</f>
        <v>10</v>
      </c>
      <c r="M49" s="54"/>
      <c r="N49" s="54"/>
      <c r="O49" s="54">
        <f>G49+H49+L49</f>
        <v>12</v>
      </c>
    </row>
    <row r="50" spans="1:15" hidden="1">
      <c r="A50" s="1" t="s">
        <v>2828</v>
      </c>
      <c r="B50" s="48" t="s">
        <v>2762</v>
      </c>
      <c r="D50" s="48">
        <f>SUMIFS('NEW Feeder Reserved'!$G$1:$G$577,'NEW Feeder Reserved'!$A$1:$A$577,"ZS 32mm",'NEW Feeder Reserved'!$F$1:$F$577,"Incoming")</f>
        <v>0</v>
      </c>
      <c r="E50" s="48">
        <f>SUMIFS('NEW Feeder Reserved'!$G$1:$G$577,'NEW Feeder Reserved'!$A$1:$A$577,"ZS 32mm",'NEW Feeder Reserved'!$F$1:$F$577,"有交期")</f>
        <v>0</v>
      </c>
      <c r="I50" s="48">
        <f>SUMIFS('NEW Feeder Reserved'!$N$1:$N$577,'NEW Feeder Reserved'!$A$1:$A$577,"ZS 32mm",'NEW Feeder Reserved'!$F$1:$F$577,"Incoming")</f>
        <v>0</v>
      </c>
      <c r="J50" s="48">
        <f>SUMIFS('NEW Feeder Reserved'!$N$1:$N$577,'NEW Feeder Reserved'!$A$1:$A$577,"ZS 32mm",'NEW Feeder Reserved'!$F$1:$F$577,"有交期")</f>
        <v>0</v>
      </c>
      <c r="M50" s="48">
        <f>D50+E50-I50-J50</f>
        <v>0</v>
      </c>
      <c r="N50" s="48">
        <f>SUM(L48:L49)</f>
        <v>35</v>
      </c>
    </row>
    <row r="51" spans="1:15" ht="15" hidden="1">
      <c r="A51" s="45"/>
      <c r="B51" s="55"/>
      <c r="C51" s="55"/>
      <c r="D51" s="55"/>
      <c r="E51" s="55"/>
      <c r="F51" s="55"/>
      <c r="G51" s="68"/>
      <c r="H51" s="55"/>
      <c r="I51" s="55"/>
      <c r="J51" s="55"/>
      <c r="K51" s="85" t="s">
        <v>2829</v>
      </c>
      <c r="L51" s="90">
        <f>SUM(M50:N50)</f>
        <v>35</v>
      </c>
      <c r="M51" s="90"/>
      <c r="N51" s="90"/>
    </row>
    <row r="52" spans="1:15" hidden="1">
      <c r="A52" s="1" t="s">
        <v>2830</v>
      </c>
      <c r="B52" s="48" t="s">
        <v>2753</v>
      </c>
      <c r="C52" s="48">
        <f>SUMIFS('NEW Feeder Reserved'!$G$1:$G$577,'NEW Feeder Reserved'!$A$1:$A$577,"ZS 44mm",'NEW Feeder Reserved'!$F$1:$F$577,"深圳仓库")</f>
        <v>9</v>
      </c>
      <c r="F52" s="48">
        <f>SUMIFS('NEW Feeder Reserved'!$M$1:$M$577,'NEW Feeder Reserved'!$A$1:$A$577,"ZS 44mm",'NEW Feeder Reserved'!$F$1:$F$577,"深圳仓库")</f>
        <v>5</v>
      </c>
      <c r="G52" s="66">
        <f>SUMIFS('NEW Feeder Reserved'!$O$1:$O$577,'NEW Feeder Reserved'!$A$1:$A$577,"ZS 44mm",'NEW Feeder Reserved'!$F$1:$F$577,"深圳仓库")</f>
        <v>0</v>
      </c>
      <c r="H52" s="48">
        <f>SUMIFS('NEW Feeder Reserved'!$N$1:$N$577,'NEW Feeder Reserved'!$A$1:$A$577,"ZS 44mm",'NEW Feeder Reserved'!$F$1:$F$577,"深圳仓库")</f>
        <v>0</v>
      </c>
      <c r="L52" s="48">
        <f>C52-F52-H52</f>
        <v>4</v>
      </c>
      <c r="O52" s="48">
        <f>G52+H52+L52</f>
        <v>4</v>
      </c>
    </row>
    <row r="53" spans="1:15" s="7" customFormat="1" hidden="1">
      <c r="A53" s="1" t="s">
        <v>2830</v>
      </c>
      <c r="B53" s="54" t="s">
        <v>1381</v>
      </c>
      <c r="C53" s="54">
        <f>SUMIFS('NEW Feeder Reserved'!$G$1:$G$577,'NEW Feeder Reserved'!$A$1:$A$577,"ZS 44mm",'NEW Feeder Reserved'!$F$1:$F$577,"HK 仓库")</f>
        <v>12</v>
      </c>
      <c r="D53" s="54"/>
      <c r="E53" s="54"/>
      <c r="F53" s="54">
        <f>SUMIFS('NEW Feeder Reserved'!$M$1:$M$577,'NEW Feeder Reserved'!$A$1:$A$577,"ZS 44mm",'NEW Feeder Reserved'!$F$1:$F$577,"HK 仓库")</f>
        <v>7</v>
      </c>
      <c r="G53" s="66">
        <f>SUMIFS('NEW Feeder Reserved'!$O$1:$O$577,'NEW Feeder Reserved'!$A$1:$A$577,"ZS 44mm",'NEW Feeder Reserved'!$F$1:$F$577,"HK 仓库")</f>
        <v>0</v>
      </c>
      <c r="H53" s="54">
        <f>SUMIFS('NEW Feeder Reserved'!$N$1:$N$577,'NEW Feeder Reserved'!$A$1:$A$577,"ZS 44mm",'NEW Feeder Reserved'!$F$1:$F$577,"HK 仓库")</f>
        <v>0</v>
      </c>
      <c r="I53" s="54"/>
      <c r="J53" s="54"/>
      <c r="K53" s="84"/>
      <c r="L53" s="54">
        <f>C53-F53-H53</f>
        <v>5</v>
      </c>
      <c r="M53" s="54"/>
      <c r="N53" s="54"/>
      <c r="O53" s="54">
        <f>G53+H53+L53</f>
        <v>5</v>
      </c>
    </row>
    <row r="54" spans="1:15" hidden="1">
      <c r="A54" s="1" t="s">
        <v>2830</v>
      </c>
      <c r="B54" s="48" t="s">
        <v>2762</v>
      </c>
      <c r="D54" s="48">
        <f>SUMIFS('NEW Feeder Reserved'!$G$1:$G$577,'NEW Feeder Reserved'!$A$1:$A$577,"ZS 44mm",'NEW Feeder Reserved'!$F$1:$F$577,"Incoming")</f>
        <v>0</v>
      </c>
      <c r="E54" s="48">
        <f>SUMIFS('NEW Feeder Reserved'!$G$1:$G$577,'NEW Feeder Reserved'!$A$1:$A$577,"ZS 44mm",'NEW Feeder Reserved'!$F$1:$F$577,"有交期")</f>
        <v>0</v>
      </c>
      <c r="I54" s="48">
        <f>SUMIFS('NEW Feeder Reserved'!$N$1:$N$577,'NEW Feeder Reserved'!$A$1:$A$577,"ZS 44mm",'NEW Feeder Reserved'!$F$1:$F$577,"Incoming")</f>
        <v>0</v>
      </c>
      <c r="J54" s="48">
        <f>SUMIFS('NEW Feeder Reserved'!$N$1:$N$577,'NEW Feeder Reserved'!$A$1:$A$577,"ZS 44mm",'NEW Feeder Reserved'!$F$1:$F$577,"有交期")</f>
        <v>0</v>
      </c>
      <c r="M54" s="48">
        <f>D54+E54-I54-J54</f>
        <v>0</v>
      </c>
      <c r="N54" s="48">
        <f>SUM(L52:L53)</f>
        <v>9</v>
      </c>
    </row>
    <row r="55" spans="1:15" ht="15" hidden="1">
      <c r="A55" s="45"/>
      <c r="B55" s="55"/>
      <c r="C55" s="55"/>
      <c r="D55" s="55"/>
      <c r="E55" s="55"/>
      <c r="F55" s="55"/>
      <c r="G55" s="68"/>
      <c r="H55" s="55"/>
      <c r="I55" s="55"/>
      <c r="J55" s="55"/>
      <c r="K55" s="85" t="s">
        <v>2831</v>
      </c>
      <c r="L55" s="90">
        <f>SUM(M54:N54)</f>
        <v>9</v>
      </c>
      <c r="M55" s="90"/>
      <c r="N55" s="90"/>
    </row>
    <row r="56" spans="1:15" hidden="1">
      <c r="A56" s="1" t="s">
        <v>2832</v>
      </c>
      <c r="B56" s="48" t="s">
        <v>2753</v>
      </c>
      <c r="C56" s="48">
        <f>SUMIFS('NEW Feeder Reserved'!$G$1:$G$577,'NEW Feeder Reserved'!$A$1:$A$577,"ZS 56mm",'NEW Feeder Reserved'!$F$1:$F$577,"深圳仓库")</f>
        <v>3</v>
      </c>
      <c r="F56" s="48">
        <f>SUMIFS('NEW Feeder Reserved'!$M$1:$M$577,'NEW Feeder Reserved'!$A$1:$A$577,"ZS 56mm",'NEW Feeder Reserved'!$F$1:$F$577,"深圳仓库")</f>
        <v>3</v>
      </c>
      <c r="G56" s="66">
        <f>SUMIFS('NEW Feeder Reserved'!$O$1:$O$577,'NEW Feeder Reserved'!$A$1:$A$577,"ZS 56mm",'NEW Feeder Reserved'!$F$1:$F$577,"深圳仓库")</f>
        <v>0</v>
      </c>
      <c r="H56" s="48">
        <f>SUMIFS('NEW Feeder Reserved'!$N$1:$N$577,'NEW Feeder Reserved'!$A$1:$A$577,"ZS 56mm",'NEW Feeder Reserved'!$F$1:$F$577,"深圳仓库")</f>
        <v>0</v>
      </c>
      <c r="L56" s="48">
        <f>C56-F56-H56</f>
        <v>0</v>
      </c>
      <c r="O56" s="48">
        <f>G56+H56+L56</f>
        <v>0</v>
      </c>
    </row>
    <row r="57" spans="1:15" s="7" customFormat="1" hidden="1">
      <c r="A57" s="1" t="s">
        <v>2832</v>
      </c>
      <c r="B57" s="54" t="s">
        <v>1381</v>
      </c>
      <c r="C57" s="54">
        <f>SUMIFS('NEW Feeder Reserved'!$G$1:$G$577,'NEW Feeder Reserved'!$A$1:$A$577,"ZS 56mm",'NEW Feeder Reserved'!$F$1:$F$577,"HK 仓库")</f>
        <v>3</v>
      </c>
      <c r="D57" s="54"/>
      <c r="E57" s="54"/>
      <c r="F57" s="54">
        <f>SUMIFS('NEW Feeder Reserved'!$M$1:$M$577,'NEW Feeder Reserved'!$A$1:$A$577,"ZS 56mm",'NEW Feeder Reserved'!$F$1:$F$577,"HK 仓库")</f>
        <v>2</v>
      </c>
      <c r="G57" s="66">
        <f>SUMIFS('NEW Feeder Reserved'!$O$1:$O$577,'NEW Feeder Reserved'!$A$1:$A$577,"ZS 56mm",'NEW Feeder Reserved'!$F$1:$F$577,"HK 仓库")</f>
        <v>0</v>
      </c>
      <c r="H57" s="54">
        <f>SUMIFS('NEW Feeder Reserved'!$N$1:$N$577,'NEW Feeder Reserved'!$A$1:$A$577,"ZS 56mm",'NEW Feeder Reserved'!$F$1:$F$577,"HK 仓库")</f>
        <v>0</v>
      </c>
      <c r="I57" s="54"/>
      <c r="J57" s="54"/>
      <c r="K57" s="84"/>
      <c r="L57" s="54">
        <f>C57-F57-H57</f>
        <v>1</v>
      </c>
      <c r="M57" s="54"/>
      <c r="N57" s="54"/>
      <c r="O57" s="54">
        <f>G57+H57+L57</f>
        <v>1</v>
      </c>
    </row>
    <row r="58" spans="1:15" hidden="1">
      <c r="A58" s="1" t="s">
        <v>2832</v>
      </c>
      <c r="B58" s="48" t="s">
        <v>2762</v>
      </c>
      <c r="D58" s="48">
        <f>SUMIFS('NEW Feeder Reserved'!$G$1:$G$577,'NEW Feeder Reserved'!$A$1:$A$577,"ZS 56mm",'NEW Feeder Reserved'!$F$1:$F$577,"Incoming")</f>
        <v>0</v>
      </c>
      <c r="E58" s="48">
        <f>SUMIFS('NEW Feeder Reserved'!$G$1:$G$577,'NEW Feeder Reserved'!$A$1:$A$577,"ZS 56mm",'NEW Feeder Reserved'!$F$1:$F$577,"有交期")</f>
        <v>0</v>
      </c>
      <c r="I58" s="48">
        <f>SUMIFS('NEW Feeder Reserved'!$N$1:$N$577,'NEW Feeder Reserved'!$A$1:$A$577,"ZS 56mm",'NEW Feeder Reserved'!$F$1:$F$577,"Incoming")</f>
        <v>0</v>
      </c>
      <c r="J58" s="48">
        <f>SUMIFS('NEW Feeder Reserved'!$N$1:$N$577,'NEW Feeder Reserved'!$A$1:$A$577,"ZS 56mm",'NEW Feeder Reserved'!$F$1:$F$577,"有交期")</f>
        <v>0</v>
      </c>
      <c r="M58" s="48">
        <f>D58+E58-I58-J58</f>
        <v>0</v>
      </c>
      <c r="N58" s="48">
        <f>SUM(L56:L57)</f>
        <v>1</v>
      </c>
    </row>
    <row r="59" spans="1:15" ht="15" hidden="1">
      <c r="A59" s="45"/>
      <c r="B59" s="55"/>
      <c r="C59" s="55"/>
      <c r="D59" s="55"/>
      <c r="E59" s="55"/>
      <c r="F59" s="55"/>
      <c r="G59" s="68"/>
      <c r="H59" s="55"/>
      <c r="I59" s="55"/>
      <c r="J59" s="55"/>
      <c r="K59" s="85" t="s">
        <v>2833</v>
      </c>
      <c r="L59" s="90">
        <f>SUM(M58:N58)</f>
        <v>1</v>
      </c>
      <c r="M59" s="90"/>
      <c r="N59" s="90"/>
    </row>
    <row r="60" spans="1:15" hidden="1">
      <c r="A60" s="1" t="s">
        <v>2834</v>
      </c>
      <c r="B60" s="48" t="s">
        <v>2753</v>
      </c>
      <c r="C60" s="48">
        <f>SUMIFS('NEW Feeder Reserved'!$G$1:$G$577,'NEW Feeder Reserved'!$A$1:$A$577,"ZS 72mm",'NEW Feeder Reserved'!$F$1:$F$577,"深圳仓库")</f>
        <v>1</v>
      </c>
      <c r="F60" s="48">
        <f>SUMIFS('NEW Feeder Reserved'!$M$1:$M$577,'NEW Feeder Reserved'!$A$1:$A$577,"ZS 72mm",'NEW Feeder Reserved'!$F$1:$F$577,"深圳仓库")</f>
        <v>1</v>
      </c>
      <c r="G60" s="66">
        <f>SUMIFS('NEW Feeder Reserved'!$O$1:$O$577,'NEW Feeder Reserved'!$A$1:$A$577,"ZS 72mm",'NEW Feeder Reserved'!$F$1:$F$577,"深圳仓库")</f>
        <v>0</v>
      </c>
      <c r="H60" s="48">
        <f>SUMIFS('NEW Feeder Reserved'!$N$1:$N$577,'NEW Feeder Reserved'!$A$1:$A$577,"ZS 72mm",'NEW Feeder Reserved'!$F$1:$F$577,"深圳仓库")</f>
        <v>0</v>
      </c>
      <c r="L60" s="48">
        <f>C60-F60-H60</f>
        <v>0</v>
      </c>
      <c r="O60" s="48">
        <f>G60+H60+L60</f>
        <v>0</v>
      </c>
    </row>
    <row r="61" spans="1:15" s="7" customFormat="1" hidden="1">
      <c r="A61" s="1" t="s">
        <v>2834</v>
      </c>
      <c r="B61" s="54" t="s">
        <v>1381</v>
      </c>
      <c r="C61" s="54">
        <f>SUMIFS('NEW Feeder Reserved'!$G$1:$G$577,'NEW Feeder Reserved'!$A$1:$A$577,"ZS 72mm",'NEW Feeder Reserved'!$F$1:$F$577,"HK 仓库")</f>
        <v>0</v>
      </c>
      <c r="D61" s="54"/>
      <c r="E61" s="54"/>
      <c r="F61" s="54">
        <f>SUMIFS('NEW Feeder Reserved'!$M$1:$M$577,'NEW Feeder Reserved'!$A$1:$A$577,"ZS 72mm",'NEW Feeder Reserved'!$F$1:$F$577,"HK 仓库")</f>
        <v>0</v>
      </c>
      <c r="G61" s="66">
        <f>SUMIFS('NEW Feeder Reserved'!$O$1:$O$577,'NEW Feeder Reserved'!$A$1:$A$577,"ZS 72mm",'NEW Feeder Reserved'!$F$1:$F$577,"HK 仓库")</f>
        <v>0</v>
      </c>
      <c r="H61" s="54">
        <f>SUMIFS('NEW Feeder Reserved'!$N$1:$N$577,'NEW Feeder Reserved'!$A$1:$A$577,"ZS 72mm",'NEW Feeder Reserved'!$F$1:$F$577,"HK 仓库")</f>
        <v>0</v>
      </c>
      <c r="I61" s="54"/>
      <c r="J61" s="54"/>
      <c r="K61" s="84"/>
      <c r="L61" s="54">
        <f>C61-F61-H61</f>
        <v>0</v>
      </c>
      <c r="M61" s="54"/>
      <c r="N61" s="54"/>
      <c r="O61" s="54">
        <f>G61+H61+L61</f>
        <v>0</v>
      </c>
    </row>
    <row r="62" spans="1:15" hidden="1">
      <c r="A62" s="1" t="s">
        <v>2834</v>
      </c>
      <c r="B62" s="48" t="s">
        <v>2762</v>
      </c>
      <c r="D62" s="48">
        <f>SUMIFS('NEW Feeder Reserved'!$G$1:$G$577,'NEW Feeder Reserved'!$A$1:$A$577,"ZS 72mm",'NEW Feeder Reserved'!$F$1:$F$577,"Incoming")</f>
        <v>0</v>
      </c>
      <c r="E62" s="48">
        <f>SUMIFS('NEW Feeder Reserved'!$G$1:$G$577,'NEW Feeder Reserved'!$A$1:$A$577,"ZS 72mm",'NEW Feeder Reserved'!$F$1:$F$577,"有交期")</f>
        <v>0</v>
      </c>
      <c r="I62" s="48">
        <f>SUMIFS('NEW Feeder Reserved'!$N$1:$N$577,'NEW Feeder Reserved'!$A$1:$A$577,"ZS 72mm",'NEW Feeder Reserved'!$F$1:$F$577,"Incoming")</f>
        <v>0</v>
      </c>
      <c r="J62" s="48">
        <f>SUMIFS('NEW Feeder Reserved'!$N$1:$N$577,'NEW Feeder Reserved'!$A$1:$A$577,"ZS 72mm",'NEW Feeder Reserved'!$F$1:$F$577,"有交期")</f>
        <v>0</v>
      </c>
      <c r="M62" s="48">
        <f>D62+E62-I62-J62</f>
        <v>0</v>
      </c>
      <c r="N62" s="48">
        <f>SUM(L60:L61)</f>
        <v>0</v>
      </c>
    </row>
    <row r="63" spans="1:15" ht="15" hidden="1">
      <c r="A63" s="45"/>
      <c r="B63" s="55"/>
      <c r="C63" s="55"/>
      <c r="D63" s="55"/>
      <c r="E63" s="55"/>
      <c r="F63" s="55"/>
      <c r="G63" s="68"/>
      <c r="H63" s="55"/>
      <c r="I63" s="55"/>
      <c r="J63" s="55"/>
      <c r="K63" s="85" t="s">
        <v>2835</v>
      </c>
      <c r="L63" s="90">
        <f>SUM(M62:N62)</f>
        <v>0</v>
      </c>
      <c r="M63" s="90"/>
      <c r="N63" s="90"/>
    </row>
    <row r="64" spans="1:15" hidden="1">
      <c r="A64" s="46"/>
      <c r="B64" s="56"/>
      <c r="C64" s="56"/>
      <c r="D64" s="56"/>
      <c r="E64" s="56"/>
      <c r="F64" s="56"/>
      <c r="G64" s="69"/>
      <c r="H64" s="56"/>
      <c r="I64" s="56"/>
      <c r="J64" s="56"/>
      <c r="K64" s="86"/>
      <c r="L64" s="56"/>
      <c r="M64" s="56"/>
      <c r="N64" s="56"/>
    </row>
    <row r="65" spans="1:15" ht="15" hidden="1">
      <c r="C65" s="58">
        <f>SUM(C3:C64)</f>
        <v>15747</v>
      </c>
      <c r="D65" s="58">
        <f>SUM(D3:D63)</f>
        <v>0</v>
      </c>
      <c r="E65" s="58">
        <f>SUM(E3:E63)</f>
        <v>0</v>
      </c>
      <c r="F65" s="71">
        <f>SUM(F3:F63)+2+2+1+1</f>
        <v>11216</v>
      </c>
      <c r="G65" s="72">
        <f>SUM(G3:G64)</f>
        <v>40</v>
      </c>
      <c r="H65" s="58">
        <f>SUM(H3:H64)</f>
        <v>621</v>
      </c>
      <c r="I65" s="58">
        <f>SUM(I3:I64)</f>
        <v>0</v>
      </c>
      <c r="J65" s="58">
        <f>SUM(J3:J63)</f>
        <v>130</v>
      </c>
      <c r="K65" s="87"/>
      <c r="L65" s="71">
        <f>SUM(L63,L59,L55,L51,L47,L43,L39,L30,L26,L22,L18,L14,L10,L6)</f>
        <v>3786</v>
      </c>
      <c r="M65" s="71">
        <f>SUM(M4:M64)</f>
        <v>-130</v>
      </c>
      <c r="N65" s="71">
        <f>SUM(N5:N64)</f>
        <v>3916</v>
      </c>
    </row>
    <row r="66" spans="1:15" hidden="1">
      <c r="D66" s="48">
        <f>SUM(C65:E65)</f>
        <v>15747</v>
      </c>
      <c r="I66" s="48">
        <f>SUM(H65:J65)</f>
        <v>751</v>
      </c>
      <c r="O66" s="48">
        <f>SUM(O3:O65)</f>
        <v>4577</v>
      </c>
    </row>
    <row r="67" spans="1:15" hidden="1"/>
    <row r="68" spans="1:15" hidden="1"/>
    <row r="69" spans="1:15" ht="18.75">
      <c r="A69" s="868" t="s">
        <v>4445</v>
      </c>
      <c r="B69" s="870" t="s">
        <v>236</v>
      </c>
      <c r="C69" s="870"/>
      <c r="D69" s="870"/>
      <c r="E69" s="870"/>
      <c r="F69" s="871" t="s">
        <v>2798</v>
      </c>
      <c r="G69" s="871"/>
      <c r="H69" s="871"/>
      <c r="I69" s="872" t="s">
        <v>258</v>
      </c>
      <c r="J69" s="872"/>
      <c r="K69" s="872"/>
    </row>
    <row r="70" spans="1:15" ht="15">
      <c r="A70" s="868"/>
      <c r="B70" s="59" t="s">
        <v>236</v>
      </c>
      <c r="C70" s="59" t="s">
        <v>2836</v>
      </c>
      <c r="D70" s="59" t="s">
        <v>2837</v>
      </c>
      <c r="E70" s="59" t="s">
        <v>2838</v>
      </c>
      <c r="F70" s="73" t="s">
        <v>2839</v>
      </c>
      <c r="G70" s="74" t="s">
        <v>2840</v>
      </c>
      <c r="H70" s="75" t="s">
        <v>2841</v>
      </c>
      <c r="I70" s="76" t="s">
        <v>2842</v>
      </c>
      <c r="J70" s="76" t="s">
        <v>2843</v>
      </c>
      <c r="K70" s="76" t="s">
        <v>2844</v>
      </c>
    </row>
    <row r="71" spans="1:15" ht="15">
      <c r="A71" s="417" t="s">
        <v>2807</v>
      </c>
      <c r="B71" s="540">
        <f>C4-F4</f>
        <v>105</v>
      </c>
      <c r="C71" s="488">
        <f>G4</f>
        <v>0</v>
      </c>
      <c r="D71" s="488">
        <f>H4</f>
        <v>350</v>
      </c>
      <c r="E71" s="488">
        <f>B71+C71-D71</f>
        <v>-245</v>
      </c>
      <c r="F71" s="489">
        <f>E5</f>
        <v>0</v>
      </c>
      <c r="G71" s="489">
        <f>J5</f>
        <v>100</v>
      </c>
      <c r="H71" s="490">
        <f>F71-G71</f>
        <v>-100</v>
      </c>
      <c r="I71" s="491">
        <f>D5</f>
        <v>0</v>
      </c>
      <c r="J71" s="491">
        <f>I5</f>
        <v>0</v>
      </c>
      <c r="K71" s="491">
        <f>I71-J71</f>
        <v>0</v>
      </c>
      <c r="M71" s="48">
        <f>E71+F71+B90-D90-G71-J71</f>
        <v>2212</v>
      </c>
    </row>
    <row r="72" spans="1:15" ht="15">
      <c r="A72" s="417" t="s">
        <v>2809</v>
      </c>
      <c r="B72" s="540">
        <f>C8-F8</f>
        <v>0</v>
      </c>
      <c r="C72" s="488">
        <f>G8</f>
        <v>0</v>
      </c>
      <c r="D72" s="488">
        <f>H8</f>
        <v>62</v>
      </c>
      <c r="E72" s="488">
        <f t="shared" ref="E72:E85" si="0">B72+C72-D72</f>
        <v>-62</v>
      </c>
      <c r="F72" s="489">
        <f>E9</f>
        <v>0</v>
      </c>
      <c r="G72" s="489">
        <f>J9</f>
        <v>25</v>
      </c>
      <c r="H72" s="490">
        <f t="shared" ref="H72:H85" si="1">F72-G72</f>
        <v>-25</v>
      </c>
      <c r="I72" s="491">
        <f>D9</f>
        <v>0</v>
      </c>
      <c r="J72" s="491">
        <f>I9</f>
        <v>0</v>
      </c>
      <c r="K72" s="491">
        <f t="shared" ref="K72:K85" si="2">I72-J72</f>
        <v>0</v>
      </c>
      <c r="M72" s="48">
        <f t="shared" ref="M72:M85" si="3">E72+F72+B91-D91-G72-J72</f>
        <v>547</v>
      </c>
    </row>
    <row r="73" spans="1:15" ht="15">
      <c r="A73" s="417" t="s">
        <v>2777</v>
      </c>
      <c r="B73" s="540">
        <f>C12-F12</f>
        <v>0</v>
      </c>
      <c r="C73" s="488">
        <f>G12</f>
        <v>0</v>
      </c>
      <c r="D73" s="488">
        <f>H12</f>
        <v>12</v>
      </c>
      <c r="E73" s="488">
        <f t="shared" si="0"/>
        <v>-12</v>
      </c>
      <c r="F73" s="489">
        <f>E13</f>
        <v>0</v>
      </c>
      <c r="G73" s="489">
        <f>J13</f>
        <v>5</v>
      </c>
      <c r="H73" s="490">
        <f t="shared" si="1"/>
        <v>-5</v>
      </c>
      <c r="I73" s="491">
        <f>D13</f>
        <v>0</v>
      </c>
      <c r="J73" s="491">
        <f>I13</f>
        <v>0</v>
      </c>
      <c r="K73" s="491">
        <f t="shared" si="2"/>
        <v>0</v>
      </c>
      <c r="M73" s="48">
        <f t="shared" si="3"/>
        <v>118</v>
      </c>
    </row>
    <row r="74" spans="1:15" ht="15">
      <c r="A74" s="47" t="s">
        <v>2812</v>
      </c>
      <c r="B74" s="540">
        <f>C16-F16</f>
        <v>56</v>
      </c>
      <c r="C74" s="488">
        <f>G16</f>
        <v>0</v>
      </c>
      <c r="D74" s="488">
        <f>H16</f>
        <v>0</v>
      </c>
      <c r="E74" s="488">
        <f>B74+C74-D74</f>
        <v>56</v>
      </c>
      <c r="F74" s="489">
        <f>E17</f>
        <v>0</v>
      </c>
      <c r="G74" s="489">
        <f>J17</f>
        <v>0</v>
      </c>
      <c r="H74" s="490">
        <f t="shared" si="1"/>
        <v>0</v>
      </c>
      <c r="I74" s="491">
        <f>D17</f>
        <v>0</v>
      </c>
      <c r="J74" s="491">
        <f>I17</f>
        <v>0</v>
      </c>
      <c r="K74" s="491">
        <f t="shared" si="2"/>
        <v>0</v>
      </c>
      <c r="M74" s="48">
        <f t="shared" si="3"/>
        <v>196</v>
      </c>
    </row>
    <row r="75" spans="1:15" ht="15">
      <c r="A75" s="47" t="s">
        <v>2814</v>
      </c>
      <c r="B75" s="540">
        <f>C20-F20</f>
        <v>4</v>
      </c>
      <c r="C75" s="488">
        <f>G20</f>
        <v>0</v>
      </c>
      <c r="D75" s="488">
        <f>H20</f>
        <v>0</v>
      </c>
      <c r="E75" s="488">
        <f t="shared" si="0"/>
        <v>4</v>
      </c>
      <c r="F75" s="489">
        <f>E21</f>
        <v>0</v>
      </c>
      <c r="G75" s="489">
        <f>J21</f>
        <v>0</v>
      </c>
      <c r="H75" s="490">
        <f t="shared" si="1"/>
        <v>0</v>
      </c>
      <c r="I75" s="491">
        <f>D21</f>
        <v>0</v>
      </c>
      <c r="J75" s="491">
        <f>I21</f>
        <v>0</v>
      </c>
      <c r="K75" s="491">
        <f t="shared" si="2"/>
        <v>0</v>
      </c>
      <c r="M75" s="48">
        <f t="shared" si="3"/>
        <v>58</v>
      </c>
    </row>
    <row r="76" spans="1:15" ht="15">
      <c r="A76" s="417" t="s">
        <v>2816</v>
      </c>
      <c r="B76" s="540">
        <f>C24-F24</f>
        <v>0</v>
      </c>
      <c r="C76" s="488">
        <f>G24</f>
        <v>0</v>
      </c>
      <c r="D76" s="488">
        <f>H24</f>
        <v>0</v>
      </c>
      <c r="E76" s="488">
        <f t="shared" si="0"/>
        <v>0</v>
      </c>
      <c r="F76" s="489">
        <f>E25</f>
        <v>0</v>
      </c>
      <c r="G76" s="489">
        <f>J25</f>
        <v>0</v>
      </c>
      <c r="H76" s="490">
        <f t="shared" si="1"/>
        <v>0</v>
      </c>
      <c r="I76" s="491">
        <f>D25</f>
        <v>0</v>
      </c>
      <c r="J76" s="491">
        <f>I25</f>
        <v>0</v>
      </c>
      <c r="K76" s="491">
        <f t="shared" si="2"/>
        <v>0</v>
      </c>
      <c r="M76" s="48">
        <f t="shared" si="3"/>
        <v>2</v>
      </c>
    </row>
    <row r="77" spans="1:15" ht="15">
      <c r="A77" s="417" t="s">
        <v>2818</v>
      </c>
      <c r="B77" s="540">
        <f>C28-F28</f>
        <v>0</v>
      </c>
      <c r="C77" s="488">
        <f>G28</f>
        <v>0</v>
      </c>
      <c r="D77" s="488">
        <f>H28</f>
        <v>0</v>
      </c>
      <c r="E77" s="488">
        <f t="shared" si="0"/>
        <v>0</v>
      </c>
      <c r="F77" s="489">
        <f>E29</f>
        <v>0</v>
      </c>
      <c r="G77" s="489">
        <f>J29</f>
        <v>0</v>
      </c>
      <c r="H77" s="490">
        <f t="shared" si="1"/>
        <v>0</v>
      </c>
      <c r="I77" s="491">
        <f>D29</f>
        <v>0</v>
      </c>
      <c r="J77" s="491">
        <f>I29</f>
        <v>0</v>
      </c>
      <c r="K77" s="491">
        <f t="shared" si="2"/>
        <v>0</v>
      </c>
      <c r="M77" s="48">
        <f t="shared" si="3"/>
        <v>0</v>
      </c>
    </row>
    <row r="78" spans="1:15" ht="15">
      <c r="A78" s="417" t="s">
        <v>2845</v>
      </c>
      <c r="B78" s="540">
        <f>C33-F33</f>
        <v>2</v>
      </c>
      <c r="C78" s="488">
        <f>G33</f>
        <v>0</v>
      </c>
      <c r="D78" s="488">
        <f>H33</f>
        <v>2</v>
      </c>
      <c r="E78" s="488">
        <f>B78+C78-D78</f>
        <v>0</v>
      </c>
      <c r="F78" s="489">
        <f>E34</f>
        <v>0</v>
      </c>
      <c r="G78" s="489">
        <f>J34</f>
        <v>0</v>
      </c>
      <c r="H78" s="490">
        <f>F78-G78</f>
        <v>0</v>
      </c>
      <c r="I78" s="491">
        <f>D34</f>
        <v>0</v>
      </c>
      <c r="J78" s="491">
        <f>I34</f>
        <v>0</v>
      </c>
      <c r="K78" s="491">
        <f>I78-J78</f>
        <v>0</v>
      </c>
      <c r="M78" s="48">
        <f t="shared" si="3"/>
        <v>0</v>
      </c>
    </row>
    <row r="79" spans="1:15" ht="15">
      <c r="A79" s="417" t="s">
        <v>2846</v>
      </c>
      <c r="B79" s="540">
        <f>C37-F37</f>
        <v>143</v>
      </c>
      <c r="C79" s="488">
        <f>G37</f>
        <v>0</v>
      </c>
      <c r="D79" s="488">
        <f>H37</f>
        <v>100</v>
      </c>
      <c r="E79" s="488">
        <f>B79+C79-D79</f>
        <v>43</v>
      </c>
      <c r="F79" s="489">
        <f>E38</f>
        <v>0</v>
      </c>
      <c r="G79" s="489">
        <f>J38</f>
        <v>0</v>
      </c>
      <c r="H79" s="490">
        <f>F79-G79</f>
        <v>0</v>
      </c>
      <c r="I79" s="491">
        <f>D38</f>
        <v>0</v>
      </c>
      <c r="J79" s="491">
        <f>I38</f>
        <v>0</v>
      </c>
      <c r="K79" s="491">
        <f>I79-J79</f>
        <v>0</v>
      </c>
      <c r="M79" s="48">
        <f t="shared" si="3"/>
        <v>73</v>
      </c>
    </row>
    <row r="80" spans="1:15" ht="15">
      <c r="A80" s="47" t="s">
        <v>2824</v>
      </c>
      <c r="B80" s="540">
        <f>C41-F41</f>
        <v>330</v>
      </c>
      <c r="C80" s="488">
        <f>G41</f>
        <v>0</v>
      </c>
      <c r="D80" s="488">
        <f>H41</f>
        <v>20</v>
      </c>
      <c r="E80" s="488">
        <f t="shared" si="0"/>
        <v>310</v>
      </c>
      <c r="F80" s="489">
        <f>E42</f>
        <v>0</v>
      </c>
      <c r="G80" s="489">
        <f>J42</f>
        <v>0</v>
      </c>
      <c r="H80" s="490">
        <f t="shared" si="1"/>
        <v>0</v>
      </c>
      <c r="I80" s="491">
        <f>D42</f>
        <v>0</v>
      </c>
      <c r="J80" s="491">
        <f>I42</f>
        <v>0</v>
      </c>
      <c r="K80" s="491">
        <f t="shared" si="2"/>
        <v>0</v>
      </c>
      <c r="M80" s="48">
        <f t="shared" si="3"/>
        <v>387</v>
      </c>
    </row>
    <row r="81" spans="1:13" ht="15">
      <c r="A81" s="417" t="s">
        <v>2826</v>
      </c>
      <c r="B81" s="540">
        <f>C45-F45</f>
        <v>55</v>
      </c>
      <c r="C81" s="488">
        <f>G45</f>
        <v>0</v>
      </c>
      <c r="D81" s="488">
        <f>H45</f>
        <v>5</v>
      </c>
      <c r="E81" s="488">
        <f t="shared" si="0"/>
        <v>50</v>
      </c>
      <c r="F81" s="489">
        <f>E46</f>
        <v>0</v>
      </c>
      <c r="G81" s="489">
        <f>J46</f>
        <v>0</v>
      </c>
      <c r="H81" s="490">
        <f t="shared" si="1"/>
        <v>0</v>
      </c>
      <c r="I81" s="491">
        <f>D46</f>
        <v>0</v>
      </c>
      <c r="J81" s="491">
        <f>I46</f>
        <v>0</v>
      </c>
      <c r="K81" s="491">
        <f t="shared" si="2"/>
        <v>0</v>
      </c>
      <c r="M81" s="48">
        <f t="shared" si="3"/>
        <v>108</v>
      </c>
    </row>
    <row r="82" spans="1:13" ht="15">
      <c r="A82" s="47" t="s">
        <v>2828</v>
      </c>
      <c r="B82" s="540">
        <f>C49-F49</f>
        <v>12</v>
      </c>
      <c r="C82" s="488">
        <f>G49</f>
        <v>0</v>
      </c>
      <c r="D82" s="488">
        <f>H49</f>
        <v>2</v>
      </c>
      <c r="E82" s="488">
        <f t="shared" si="0"/>
        <v>10</v>
      </c>
      <c r="F82" s="489">
        <f>E50</f>
        <v>0</v>
      </c>
      <c r="G82" s="489">
        <f>J50</f>
        <v>0</v>
      </c>
      <c r="H82" s="490">
        <f t="shared" si="1"/>
        <v>0</v>
      </c>
      <c r="I82" s="491">
        <f>D50</f>
        <v>0</v>
      </c>
      <c r="J82" s="491">
        <f>I50</f>
        <v>0</v>
      </c>
      <c r="K82" s="491">
        <f t="shared" si="2"/>
        <v>0</v>
      </c>
      <c r="M82" s="48">
        <f t="shared" si="3"/>
        <v>35</v>
      </c>
    </row>
    <row r="83" spans="1:13" ht="15">
      <c r="A83" s="47" t="s">
        <v>2830</v>
      </c>
      <c r="B83" s="540">
        <f>C53-F53</f>
        <v>5</v>
      </c>
      <c r="C83" s="488">
        <f>G53</f>
        <v>0</v>
      </c>
      <c r="D83" s="488">
        <f>H53</f>
        <v>0</v>
      </c>
      <c r="E83" s="488">
        <f t="shared" si="0"/>
        <v>5</v>
      </c>
      <c r="F83" s="489">
        <f>E54</f>
        <v>0</v>
      </c>
      <c r="G83" s="489">
        <f>J54</f>
        <v>0</v>
      </c>
      <c r="H83" s="490">
        <f t="shared" si="1"/>
        <v>0</v>
      </c>
      <c r="I83" s="491">
        <f>D54</f>
        <v>0</v>
      </c>
      <c r="J83" s="491">
        <f>I54</f>
        <v>0</v>
      </c>
      <c r="K83" s="491">
        <f t="shared" si="2"/>
        <v>0</v>
      </c>
      <c r="M83" s="48">
        <f t="shared" si="3"/>
        <v>9</v>
      </c>
    </row>
    <row r="84" spans="1:13" ht="15">
      <c r="A84" s="417" t="s">
        <v>2832</v>
      </c>
      <c r="B84" s="540">
        <f>C57-F57</f>
        <v>1</v>
      </c>
      <c r="C84" s="488">
        <f>G57</f>
        <v>0</v>
      </c>
      <c r="D84" s="488">
        <f>H57</f>
        <v>0</v>
      </c>
      <c r="E84" s="488">
        <f t="shared" si="0"/>
        <v>1</v>
      </c>
      <c r="F84" s="489">
        <f>E58</f>
        <v>0</v>
      </c>
      <c r="G84" s="489">
        <f>J58</f>
        <v>0</v>
      </c>
      <c r="H84" s="490">
        <f t="shared" si="1"/>
        <v>0</v>
      </c>
      <c r="I84" s="491">
        <f>D58</f>
        <v>0</v>
      </c>
      <c r="J84" s="491">
        <f>I58</f>
        <v>0</v>
      </c>
      <c r="K84" s="491">
        <f t="shared" si="2"/>
        <v>0</v>
      </c>
      <c r="M84" s="48">
        <f t="shared" si="3"/>
        <v>1</v>
      </c>
    </row>
    <row r="85" spans="1:13" ht="15">
      <c r="A85" s="417" t="s">
        <v>2834</v>
      </c>
      <c r="B85" s="540">
        <f>C61-F61</f>
        <v>0</v>
      </c>
      <c r="C85" s="488">
        <f>G61</f>
        <v>0</v>
      </c>
      <c r="D85" s="488">
        <f>H61</f>
        <v>0</v>
      </c>
      <c r="E85" s="488">
        <f t="shared" si="0"/>
        <v>0</v>
      </c>
      <c r="F85" s="489">
        <f>E62</f>
        <v>0</v>
      </c>
      <c r="G85" s="489">
        <f>J62</f>
        <v>0</v>
      </c>
      <c r="H85" s="490">
        <f t="shared" si="1"/>
        <v>0</v>
      </c>
      <c r="I85" s="491">
        <f>D62</f>
        <v>0</v>
      </c>
      <c r="J85" s="491">
        <f>I62</f>
        <v>0</v>
      </c>
      <c r="K85" s="491">
        <f t="shared" si="2"/>
        <v>0</v>
      </c>
      <c r="M85" s="48">
        <f t="shared" si="3"/>
        <v>0</v>
      </c>
    </row>
    <row r="86" spans="1:13" ht="15.75" thickBot="1">
      <c r="B86" s="61">
        <f t="shared" ref="B86:K86" si="4">SUBTOTAL(9,B71:B85)</f>
        <v>713</v>
      </c>
      <c r="C86" s="61">
        <f t="shared" si="4"/>
        <v>0</v>
      </c>
      <c r="D86" s="61">
        <f t="shared" si="4"/>
        <v>553</v>
      </c>
      <c r="E86" s="61">
        <f t="shared" si="4"/>
        <v>160</v>
      </c>
      <c r="F86" s="77">
        <f t="shared" si="4"/>
        <v>0</v>
      </c>
      <c r="G86" s="78">
        <f t="shared" si="4"/>
        <v>130</v>
      </c>
      <c r="H86" s="77">
        <f t="shared" si="4"/>
        <v>-130</v>
      </c>
      <c r="I86" s="79">
        <f t="shared" si="4"/>
        <v>0</v>
      </c>
      <c r="J86" s="79">
        <f t="shared" si="4"/>
        <v>0</v>
      </c>
      <c r="K86" s="88">
        <f t="shared" si="4"/>
        <v>0</v>
      </c>
    </row>
    <row r="87" spans="1:13" ht="15" thickTop="1"/>
    <row r="88" spans="1:13" ht="18">
      <c r="A88" s="868" t="s">
        <v>2847</v>
      </c>
      <c r="B88" s="873" t="s">
        <v>2848</v>
      </c>
      <c r="C88" s="873"/>
      <c r="D88" s="873"/>
      <c r="E88" s="873"/>
    </row>
    <row r="89" spans="1:13">
      <c r="A89" s="868"/>
      <c r="B89" s="60" t="s">
        <v>236</v>
      </c>
      <c r="C89" s="62" t="s">
        <v>2836</v>
      </c>
      <c r="D89" s="60" t="s">
        <v>2837</v>
      </c>
      <c r="E89" s="60" t="s">
        <v>2838</v>
      </c>
      <c r="F89" s="80"/>
      <c r="G89" s="48"/>
      <c r="H89" s="81"/>
      <c r="K89" s="48"/>
    </row>
    <row r="90" spans="1:13" ht="15">
      <c r="A90" s="417" t="s">
        <v>2807</v>
      </c>
      <c r="B90" s="540">
        <f>C3-F3-G3</f>
        <v>2599</v>
      </c>
      <c r="C90" s="492">
        <f>G3</f>
        <v>40</v>
      </c>
      <c r="D90" s="488">
        <f>H3</f>
        <v>42</v>
      </c>
      <c r="E90" s="488">
        <f>B90+C90-D90</f>
        <v>2597</v>
      </c>
      <c r="G90" s="48" t="s">
        <v>236</v>
      </c>
      <c r="H90" s="81" t="s">
        <v>2798</v>
      </c>
      <c r="I90" s="48" t="s">
        <v>258</v>
      </c>
    </row>
    <row r="91" spans="1:13" ht="15">
      <c r="A91" s="417" t="s">
        <v>2809</v>
      </c>
      <c r="B91" s="540">
        <f>C7-F7-G7</f>
        <v>646</v>
      </c>
      <c r="C91" s="492">
        <f>G7</f>
        <v>0</v>
      </c>
      <c r="D91" s="488">
        <f>H7</f>
        <v>12</v>
      </c>
      <c r="E91" s="488">
        <f>B91+C91-D91</f>
        <v>634</v>
      </c>
      <c r="G91" s="48"/>
      <c r="H91" s="82"/>
    </row>
    <row r="92" spans="1:13" ht="15">
      <c r="A92" s="417" t="s">
        <v>2777</v>
      </c>
      <c r="B92" s="540">
        <f>C11-F11-G11</f>
        <v>139</v>
      </c>
      <c r="C92" s="492">
        <f>G11</f>
        <v>0</v>
      </c>
      <c r="D92" s="488">
        <f>H11</f>
        <v>4</v>
      </c>
      <c r="E92" s="488">
        <f t="shared" ref="E92:E104" si="5">B92+C92-D92</f>
        <v>135</v>
      </c>
      <c r="G92" s="48"/>
      <c r="H92" s="82"/>
      <c r="K92" s="65" t="s">
        <v>2768</v>
      </c>
      <c r="L92" s="48">
        <f>L6</f>
        <v>2252</v>
      </c>
      <c r="M92" s="48">
        <f>B123-E123</f>
        <v>2312</v>
      </c>
    </row>
    <row r="93" spans="1:13" ht="15">
      <c r="A93" s="47" t="s">
        <v>2812</v>
      </c>
      <c r="B93" s="540">
        <f>C15-F15-G15</f>
        <v>144</v>
      </c>
      <c r="C93" s="492">
        <f>G15</f>
        <v>0</v>
      </c>
      <c r="D93" s="488">
        <f>H15</f>
        <v>4</v>
      </c>
      <c r="E93" s="488">
        <f t="shared" si="5"/>
        <v>140</v>
      </c>
      <c r="G93" s="48"/>
      <c r="H93" s="82"/>
      <c r="K93" s="65" t="s">
        <v>2849</v>
      </c>
      <c r="L93" s="48">
        <f>L10</f>
        <v>547</v>
      </c>
      <c r="M93" s="48">
        <f t="shared" ref="M93:M106" si="6">B124-E124</f>
        <v>572</v>
      </c>
    </row>
    <row r="94" spans="1:13" ht="15">
      <c r="A94" s="47" t="s">
        <v>2814</v>
      </c>
      <c r="B94" s="540">
        <f>C19-F19-G19</f>
        <v>58</v>
      </c>
      <c r="C94" s="492">
        <f>G19</f>
        <v>0</v>
      </c>
      <c r="D94" s="488">
        <f>H19</f>
        <v>4</v>
      </c>
      <c r="E94" s="488">
        <f t="shared" si="5"/>
        <v>54</v>
      </c>
      <c r="G94" s="48"/>
      <c r="H94" s="82"/>
      <c r="K94" s="65" t="s">
        <v>2777</v>
      </c>
      <c r="L94" s="48">
        <f>L14</f>
        <v>118</v>
      </c>
      <c r="M94" s="48">
        <f t="shared" si="6"/>
        <v>123</v>
      </c>
    </row>
    <row r="95" spans="1:13" ht="15">
      <c r="A95" s="417" t="s">
        <v>2816</v>
      </c>
      <c r="B95" s="540">
        <f>C23-F23-G23</f>
        <v>4</v>
      </c>
      <c r="C95" s="492">
        <f>G23</f>
        <v>0</v>
      </c>
      <c r="D95" s="488">
        <f>H23</f>
        <v>2</v>
      </c>
      <c r="E95" s="493">
        <f t="shared" si="5"/>
        <v>2</v>
      </c>
      <c r="G95" s="48"/>
      <c r="H95" s="82"/>
      <c r="K95" s="65" t="s">
        <v>2812</v>
      </c>
      <c r="L95" s="48">
        <f>L18</f>
        <v>196</v>
      </c>
      <c r="M95" s="48">
        <f t="shared" si="6"/>
        <v>196</v>
      </c>
    </row>
    <row r="96" spans="1:13" ht="15">
      <c r="A96" s="417" t="s">
        <v>2818</v>
      </c>
      <c r="B96" s="540">
        <f>C27-F27-G27</f>
        <v>0</v>
      </c>
      <c r="C96" s="492">
        <f>G27</f>
        <v>0</v>
      </c>
      <c r="D96" s="488">
        <f>H27</f>
        <v>0</v>
      </c>
      <c r="E96" s="493">
        <f>B96+C96-D96</f>
        <v>0</v>
      </c>
      <c r="G96" s="48"/>
      <c r="H96" s="82"/>
      <c r="K96" s="65" t="s">
        <v>2814</v>
      </c>
      <c r="L96" s="48">
        <f>L22</f>
        <v>58</v>
      </c>
      <c r="M96" s="48">
        <f t="shared" si="6"/>
        <v>58</v>
      </c>
    </row>
    <row r="97" spans="1:15" ht="15">
      <c r="A97" s="417" t="s">
        <v>2845</v>
      </c>
      <c r="B97" s="540">
        <f>C32-F32-G32</f>
        <v>0</v>
      </c>
      <c r="C97" s="492">
        <f>G32</f>
        <v>0</v>
      </c>
      <c r="D97" s="488">
        <f>H32</f>
        <v>0</v>
      </c>
      <c r="E97" s="488">
        <f>B97+C97-D97</f>
        <v>0</v>
      </c>
      <c r="G97" s="48"/>
      <c r="H97" s="82"/>
      <c r="K97" s="65" t="s">
        <v>2816</v>
      </c>
      <c r="L97" s="48">
        <f>L26</f>
        <v>2</v>
      </c>
      <c r="M97" s="48">
        <f t="shared" si="6"/>
        <v>2</v>
      </c>
    </row>
    <row r="98" spans="1:15" ht="15">
      <c r="A98" s="417" t="s">
        <v>2822</v>
      </c>
      <c r="B98" s="540">
        <f>C36-F36-G36</f>
        <v>30</v>
      </c>
      <c r="C98" s="492">
        <f>G36</f>
        <v>0</v>
      </c>
      <c r="D98" s="488">
        <f>H36</f>
        <v>0</v>
      </c>
      <c r="E98" s="488">
        <f>B98+C98-D98</f>
        <v>30</v>
      </c>
      <c r="G98" s="48"/>
      <c r="H98" s="82"/>
      <c r="K98" s="89" t="s">
        <v>2818</v>
      </c>
      <c r="L98" s="91">
        <f>L30</f>
        <v>0</v>
      </c>
      <c r="M98" s="48">
        <f t="shared" si="6"/>
        <v>0</v>
      </c>
    </row>
    <row r="99" spans="1:15" ht="15">
      <c r="A99" s="47" t="s">
        <v>2824</v>
      </c>
      <c r="B99" s="540">
        <f>C40-F40-G40</f>
        <v>77</v>
      </c>
      <c r="C99" s="492">
        <f>G40</f>
        <v>0</v>
      </c>
      <c r="D99" s="488">
        <f>H40</f>
        <v>0</v>
      </c>
      <c r="E99" s="488">
        <f t="shared" si="5"/>
        <v>77</v>
      </c>
      <c r="G99" s="48"/>
      <c r="H99" s="82"/>
      <c r="K99" s="65" t="s">
        <v>2845</v>
      </c>
      <c r="L99" s="48">
        <f>L35</f>
        <v>0</v>
      </c>
      <c r="M99" s="48">
        <f t="shared" si="6"/>
        <v>0</v>
      </c>
    </row>
    <row r="100" spans="1:15" ht="15">
      <c r="A100" s="417" t="s">
        <v>2826</v>
      </c>
      <c r="B100" s="540">
        <f>C44-F44-G44</f>
        <v>58</v>
      </c>
      <c r="C100" s="492">
        <f>G44</f>
        <v>0</v>
      </c>
      <c r="D100" s="488">
        <f>H44</f>
        <v>0</v>
      </c>
      <c r="E100" s="488">
        <f>B100+C100-D100</f>
        <v>58</v>
      </c>
      <c r="G100" s="48"/>
      <c r="H100" s="82"/>
      <c r="K100" s="65" t="s">
        <v>2846</v>
      </c>
      <c r="L100" s="48">
        <f>L39</f>
        <v>73</v>
      </c>
      <c r="M100" s="48">
        <f t="shared" si="6"/>
        <v>73</v>
      </c>
    </row>
    <row r="101" spans="1:15" ht="15">
      <c r="A101" s="417" t="s">
        <v>2828</v>
      </c>
      <c r="B101" s="540">
        <f>C48-F48-G48</f>
        <v>25</v>
      </c>
      <c r="C101" s="492">
        <f>G48</f>
        <v>0</v>
      </c>
      <c r="D101" s="488">
        <f>H48</f>
        <v>0</v>
      </c>
      <c r="E101" s="488">
        <f t="shared" si="5"/>
        <v>25</v>
      </c>
      <c r="G101" s="48"/>
      <c r="H101" s="82"/>
      <c r="K101" s="65" t="s">
        <v>2850</v>
      </c>
      <c r="L101" s="48">
        <f>L43</f>
        <v>387</v>
      </c>
      <c r="M101" s="48">
        <f t="shared" si="6"/>
        <v>387</v>
      </c>
    </row>
    <row r="102" spans="1:15" ht="15">
      <c r="A102" s="417" t="s">
        <v>2830</v>
      </c>
      <c r="B102" s="540">
        <f>C52-F52-G52</f>
        <v>4</v>
      </c>
      <c r="C102" s="492">
        <f>G52</f>
        <v>0</v>
      </c>
      <c r="D102" s="488">
        <f>H52</f>
        <v>0</v>
      </c>
      <c r="E102" s="488">
        <f t="shared" si="5"/>
        <v>4</v>
      </c>
      <c r="G102" s="48"/>
      <c r="I102"/>
      <c r="K102" s="65" t="s">
        <v>2851</v>
      </c>
      <c r="L102" s="48">
        <f>L47</f>
        <v>108</v>
      </c>
      <c r="M102" s="48">
        <f t="shared" si="6"/>
        <v>108</v>
      </c>
    </row>
    <row r="103" spans="1:15" ht="15">
      <c r="A103" s="417" t="s">
        <v>2832</v>
      </c>
      <c r="B103" s="540">
        <f>C56-F56-G56</f>
        <v>0</v>
      </c>
      <c r="C103" s="492">
        <f>G56</f>
        <v>0</v>
      </c>
      <c r="D103" s="488">
        <f>H56</f>
        <v>0</v>
      </c>
      <c r="E103" s="488">
        <f t="shared" si="5"/>
        <v>0</v>
      </c>
      <c r="G103" s="49"/>
      <c r="I103"/>
      <c r="K103" s="65" t="s">
        <v>2828</v>
      </c>
      <c r="L103" s="48">
        <f>L51</f>
        <v>35</v>
      </c>
      <c r="M103" s="48">
        <f t="shared" si="6"/>
        <v>35</v>
      </c>
    </row>
    <row r="104" spans="1:15" ht="15">
      <c r="A104" s="417" t="s">
        <v>2834</v>
      </c>
      <c r="B104" s="540">
        <f>C60-F60-G60</f>
        <v>0</v>
      </c>
      <c r="C104" s="492">
        <f>G60</f>
        <v>0</v>
      </c>
      <c r="D104" s="488">
        <f>H60</f>
        <v>0</v>
      </c>
      <c r="E104" s="488">
        <f t="shared" si="5"/>
        <v>0</v>
      </c>
      <c r="G104" s="279"/>
      <c r="I104"/>
      <c r="K104" s="65" t="s">
        <v>2830</v>
      </c>
      <c r="L104" s="48">
        <f>L55</f>
        <v>9</v>
      </c>
      <c r="M104" s="48">
        <f t="shared" si="6"/>
        <v>9</v>
      </c>
    </row>
    <row r="105" spans="1:15" ht="15.75" thickBot="1">
      <c r="B105" s="63">
        <f>SUBTOTAL(9,B90:B104)</f>
        <v>3784</v>
      </c>
      <c r="C105" s="64">
        <f>SUBTOTAL(9,C90:C104)</f>
        <v>40</v>
      </c>
      <c r="D105" s="63">
        <f>SUBTOTAL(9,D90:D104)</f>
        <v>68</v>
      </c>
      <c r="E105" s="63">
        <f>SUBTOTAL(9,E90:E104)</f>
        <v>3756</v>
      </c>
      <c r="G105" s="336"/>
      <c r="I105"/>
      <c r="K105" s="65" t="s">
        <v>2832</v>
      </c>
      <c r="L105" s="48">
        <f>L59</f>
        <v>1</v>
      </c>
      <c r="M105" s="48">
        <f t="shared" si="6"/>
        <v>1</v>
      </c>
    </row>
    <row r="106" spans="1:15" ht="15" thickTop="1">
      <c r="G106" s="336"/>
      <c r="I106"/>
      <c r="K106" s="89" t="s">
        <v>2834</v>
      </c>
      <c r="L106" s="91">
        <f>L63</f>
        <v>0</v>
      </c>
      <c r="M106" s="48">
        <f t="shared" si="6"/>
        <v>0</v>
      </c>
    </row>
    <row r="107" spans="1:15" ht="27.75" thickBot="1">
      <c r="A107" s="847" t="s">
        <v>4446</v>
      </c>
      <c r="B107" s="848">
        <f>B105+B86</f>
        <v>4497</v>
      </c>
      <c r="C107" s="849"/>
      <c r="D107" s="849">
        <f>D86+D105+J86+G86</f>
        <v>751</v>
      </c>
      <c r="E107" s="849">
        <f>E86+E105</f>
        <v>3916</v>
      </c>
      <c r="G107" s="49"/>
      <c r="I107"/>
      <c r="K107" s="89"/>
      <c r="L107" s="48">
        <f>SUM(L92:L106)</f>
        <v>3786</v>
      </c>
      <c r="M107" s="48">
        <f>SUM(M92:M106)</f>
        <v>3876</v>
      </c>
    </row>
    <row r="108" spans="1:15">
      <c r="A108" s="846"/>
      <c r="G108" s="279"/>
      <c r="I108"/>
      <c r="K108" s="48"/>
      <c r="L108" s="1"/>
      <c r="M108" s="1"/>
      <c r="N108" s="1"/>
      <c r="O108" s="1"/>
    </row>
    <row r="109" spans="1:15">
      <c r="G109" s="336"/>
      <c r="I109"/>
      <c r="K109" s="48"/>
      <c r="L109" s="1"/>
      <c r="M109" s="1"/>
      <c r="N109" s="1"/>
      <c r="O109" s="1"/>
    </row>
    <row r="110" spans="1:15">
      <c r="G110" s="336"/>
      <c r="I110"/>
      <c r="K110" s="48"/>
      <c r="L110" s="1"/>
      <c r="M110" s="1"/>
      <c r="N110" s="1"/>
      <c r="O110" s="1"/>
    </row>
    <row r="111" spans="1:15">
      <c r="G111" s="49"/>
      <c r="I111"/>
      <c r="K111" s="48"/>
      <c r="L111" s="1"/>
      <c r="M111" s="1"/>
      <c r="N111" s="1"/>
      <c r="O111" s="1"/>
    </row>
    <row r="112" spans="1:15">
      <c r="K112" s="48"/>
      <c r="L112" s="1"/>
      <c r="M112" s="1"/>
      <c r="N112" s="1"/>
      <c r="O112" s="1"/>
    </row>
    <row r="113" spans="1:20">
      <c r="K113" s="48"/>
      <c r="L113" s="1"/>
      <c r="M113" s="1"/>
      <c r="N113" s="1"/>
      <c r="O113" s="1"/>
    </row>
    <row r="114" spans="1:20">
      <c r="K114" s="48"/>
      <c r="L114" s="1"/>
      <c r="M114" s="1"/>
      <c r="N114" s="1"/>
      <c r="O114" s="1"/>
    </row>
    <row r="115" spans="1:20">
      <c r="D115" s="339" t="s">
        <v>2798</v>
      </c>
      <c r="E115" s="48">
        <f>SUMIFS(Stock_list!$J$1:$J$1601,Stock_list!$B$1:$B$1601,"有交期",Stock_list!$Y$1:$Y$1601,"Yes")</f>
        <v>15</v>
      </c>
      <c r="F115" s="48">
        <f>SUMIFS(Stock_list!$J$1:$J$1601,Stock_list!$B$1:$B$1601,"有交期",Stock_list!$Y$1:$Y$1601,"No")</f>
        <v>3</v>
      </c>
      <c r="H115" s="48">
        <f>'NEW Feeder Reserved'!K568+'NEW Feeder Reserved'!K575+'NEW Feeder Reserved'!K559</f>
        <v>3</v>
      </c>
      <c r="K115" s="48"/>
      <c r="L115" s="1"/>
      <c r="M115" s="1"/>
      <c r="N115" s="1"/>
      <c r="O115" s="1"/>
    </row>
    <row r="116" spans="1:20" ht="16.5" customHeight="1">
      <c r="D116" s="48" t="s">
        <v>258</v>
      </c>
      <c r="E116" s="48">
        <f>SUMIFS(Stock_list!$J$1:$J$1601,Stock_list!$B$1:$B$1601,"TBA.",Stock_list!$Y$1:$Y$1601,"Yes")</f>
        <v>0</v>
      </c>
      <c r="F116" s="48">
        <f>SUMIFS(Stock_list!$J$1:$J$1601,Stock_list!$B$1:$B$1601,"TBA.",Stock_list!$Y$1:$Y$1601,"No")</f>
        <v>1</v>
      </c>
      <c r="I116" s="48">
        <f>'NEW Feeder Reserved'!K562+'NEW Feeder Reserved'!K569+'NEW Feeder Reserved'!K557</f>
        <v>19</v>
      </c>
      <c r="K116" s="48"/>
      <c r="L116" s="1"/>
      <c r="M116" s="1"/>
      <c r="N116" s="1"/>
      <c r="O116" s="1"/>
    </row>
    <row r="117" spans="1:20" ht="19.5" customHeight="1">
      <c r="D117" s="339" t="s">
        <v>3871</v>
      </c>
      <c r="E117" s="48">
        <f>SUMIFS(Stock_list!$J$1:$J$1601,Stock_list!$B$1:$B$1601,"已经到货",Stock_list!$Y$1:$Y$1601,"Yes")</f>
        <v>13</v>
      </c>
      <c r="F117" s="48">
        <f>SUMIFS(Stock_list!$J$1:$J$1601,Stock_list!$B$1:$B$1601,"已经到货",Stock_list!$Y$1:$Y$1601,"No")</f>
        <v>0</v>
      </c>
      <c r="G117" s="66">
        <f>'NEW Feeder Reserved'!K565+'NEW Feeder Reserved'!K572+'NEW Feeder Reserved'!K558</f>
        <v>3</v>
      </c>
      <c r="K117" s="48"/>
      <c r="L117" s="1"/>
      <c r="M117" s="1"/>
      <c r="N117" s="1"/>
      <c r="O117" s="1"/>
    </row>
    <row r="118" spans="1:20" ht="19.5" customHeight="1">
      <c r="D118" s="48" t="s">
        <v>3872</v>
      </c>
      <c r="K118" s="48"/>
      <c r="L118" s="1"/>
      <c r="M118" s="1"/>
      <c r="N118" s="1"/>
      <c r="O118" s="1"/>
    </row>
    <row r="119" spans="1:20" ht="19.5" customHeight="1">
      <c r="A119" s="347"/>
      <c r="B119" s="346"/>
      <c r="C119" s="346"/>
      <c r="D119" s="355"/>
      <c r="E119" s="874" t="s">
        <v>3881</v>
      </c>
      <c r="F119" s="874"/>
      <c r="G119" s="875" t="s">
        <v>3882</v>
      </c>
      <c r="H119" s="875"/>
      <c r="I119" s="875"/>
      <c r="J119" s="346"/>
      <c r="K119" s="346"/>
      <c r="L119" s="347"/>
      <c r="M119" s="1"/>
      <c r="N119" s="1"/>
      <c r="O119" s="1"/>
    </row>
    <row r="120" spans="1:20" ht="19.5" customHeight="1">
      <c r="A120" s="347"/>
      <c r="B120" s="346"/>
      <c r="C120" s="346"/>
      <c r="D120" s="355"/>
      <c r="E120" s="357" t="s">
        <v>3877</v>
      </c>
      <c r="F120" s="357" t="s">
        <v>3878</v>
      </c>
      <c r="G120" s="358" t="s">
        <v>3879</v>
      </c>
      <c r="H120" s="358" t="s">
        <v>3880</v>
      </c>
      <c r="I120" s="358" t="s">
        <v>258</v>
      </c>
      <c r="J120" s="359" t="s">
        <v>244</v>
      </c>
      <c r="K120" s="346"/>
      <c r="L120" s="347"/>
      <c r="M120" s="1"/>
      <c r="N120" s="1"/>
      <c r="O120" s="1"/>
    </row>
    <row r="121" spans="1:20" ht="19.5" customHeight="1">
      <c r="A121" s="347"/>
      <c r="B121" s="346"/>
      <c r="C121" s="346"/>
      <c r="D121" s="356"/>
      <c r="E121" s="357">
        <f>E115+E116+E117</f>
        <v>28</v>
      </c>
      <c r="F121" s="357">
        <f>F115+F116+F117</f>
        <v>4</v>
      </c>
      <c r="G121" s="358">
        <f>G117</f>
        <v>3</v>
      </c>
      <c r="H121" s="358">
        <f>H115</f>
        <v>3</v>
      </c>
      <c r="I121" s="358">
        <f>I116</f>
        <v>19</v>
      </c>
      <c r="J121" s="359">
        <f>SUM(E121:I121)</f>
        <v>57</v>
      </c>
      <c r="K121" s="346"/>
      <c r="L121" s="347"/>
      <c r="M121" s="1"/>
      <c r="N121" s="1"/>
      <c r="O121" s="1"/>
    </row>
    <row r="122" spans="1:20" ht="33" customHeight="1">
      <c r="A122" s="349" t="s">
        <v>235</v>
      </c>
      <c r="B122" s="348" t="s">
        <v>2854</v>
      </c>
      <c r="C122" s="350" t="s">
        <v>3866</v>
      </c>
      <c r="D122" s="350" t="s">
        <v>3867</v>
      </c>
      <c r="E122" s="350" t="s">
        <v>3873</v>
      </c>
      <c r="F122" s="350" t="s">
        <v>3874</v>
      </c>
      <c r="G122" s="350" t="s">
        <v>3875</v>
      </c>
      <c r="H122" s="350" t="s">
        <v>237</v>
      </c>
      <c r="I122" s="350" t="s">
        <v>3876</v>
      </c>
      <c r="J122" s="350" t="s">
        <v>3861</v>
      </c>
      <c r="K122" s="350" t="s">
        <v>3862</v>
      </c>
      <c r="L122" s="502" t="s">
        <v>2855</v>
      </c>
      <c r="P122" s="48"/>
    </row>
    <row r="123" spans="1:20" ht="15">
      <c r="A123" s="360" t="s">
        <v>2807</v>
      </c>
      <c r="B123" s="494">
        <f>B71+B90</f>
        <v>2704</v>
      </c>
      <c r="C123" s="495">
        <f>SUMIFS('NEW Feeder Reserved'!$G$1:$G$577,'NEW Feeder Reserved'!$A$1:$A$577,"SS 8mm",'NEW Feeder Reserved'!$F$1:$F$577,"有交期")</f>
        <v>0</v>
      </c>
      <c r="D123" s="495">
        <f>SUMIFS('NEW Feeder Reserved'!$G$1:$G$577,'NEW Feeder Reserved'!$A$1:$A$577,"SS 8mm",'NEW Feeder Reserved'!$F$1:$F$577,"Incoming")</f>
        <v>0</v>
      </c>
      <c r="E123" s="496">
        <f>D71+D90</f>
        <v>392</v>
      </c>
      <c r="F123" s="496">
        <f>SUMIFS('NEW Feeder Reserved'!$Q$1:$Q$577,'NEW Feeder Reserved'!$A$1:$A$577,"SS 8mm",'NEW Feeder Reserved'!$F$1:$F$577,"Incoming")</f>
        <v>50</v>
      </c>
      <c r="G123" s="497">
        <f>SUMIFS('NEW Feeder Reserved'!$N$1:$N$577,'NEW Feeder Reserved'!$A$1:$A$577,"SS 8mm",'NEW Feeder Reserved'!$F$1:$F$577,"已经到货",'NEW Feeder Reserved'!$I$1:$I$577,"没有预留机器")</f>
        <v>150</v>
      </c>
      <c r="H123" s="497">
        <f>SUMIFS('NEW Feeder Reserved'!$N$1:$N$577,'NEW Feeder Reserved'!$A$1:$A$577,"SS 8mm",'NEW Feeder Reserved'!$F$1:$F$577,"有交期",'NEW Feeder Reserved'!$I$1:$I$577,"没有预留机器")</f>
        <v>100</v>
      </c>
      <c r="I123" s="497">
        <f>SUMIFS('NEW Feeder Reserved'!$N$1:$N$577,'NEW Feeder Reserved'!$A$1:$A$577,"SS 8mm",'NEW Feeder Reserved'!$F$1:$F$577,"TBA",'NEW Feeder Reserved'!$I$1:$I$577,"没有预留机器")</f>
        <v>700</v>
      </c>
      <c r="J123" s="498">
        <v>500</v>
      </c>
      <c r="K123" s="498">
        <f>300</f>
        <v>300</v>
      </c>
      <c r="L123" s="503">
        <f>B123+C123+D123-E123-G123-H123-I123-K123-(J123-F123)</f>
        <v>612</v>
      </c>
      <c r="P123" s="48"/>
    </row>
    <row r="124" spans="1:20" ht="15">
      <c r="A124" s="360" t="s">
        <v>2809</v>
      </c>
      <c r="B124" s="494">
        <f t="shared" ref="B124:B135" si="7">B72+B91</f>
        <v>646</v>
      </c>
      <c r="C124" s="495">
        <f>SUMIFS('NEW Feeder Reserved'!$G$1:$G$577,'NEW Feeder Reserved'!$A$1:$A$577,"SS 12/16mm",'NEW Feeder Reserved'!$F$1:$F$577,"有交期")</f>
        <v>0</v>
      </c>
      <c r="D124" s="495">
        <f>SUMIFS('NEW Feeder Reserved'!$G$1:$G$577,'NEW Feeder Reserved'!$A$1:$A$577,"SS 12/16mm",'NEW Feeder Reserved'!$F$1:$F$577,"Incoming")</f>
        <v>0</v>
      </c>
      <c r="E124" s="496">
        <f t="shared" ref="E124:E137" si="8">D72+D91</f>
        <v>74</v>
      </c>
      <c r="F124" s="496">
        <f>SUMIFS('NEW Feeder Reserved'!$Q$1:$Q$577,'NEW Feeder Reserved'!$A$1:$A$577,"SS 12/16mm",'NEW Feeder Reserved'!$F$1:$F$577,"Incoming")</f>
        <v>20</v>
      </c>
      <c r="G124" s="499">
        <f>SUMIFS('NEW Feeder Reserved'!$N$1:$N$577,'NEW Feeder Reserved'!$A$1:$A$577,"SS 12/16mm",'NEW Feeder Reserved'!$F$1:$F$577,"已经到货",'NEW Feeder Reserved'!$I$1:$I$577,"没有预留机器")</f>
        <v>15</v>
      </c>
      <c r="H124" s="499">
        <f>SUMIFS('NEW Feeder Reserved'!$N$1:$N$577,'NEW Feeder Reserved'!$A$1:$A$577,"SS 12/16mm",'NEW Feeder Reserved'!$F$1:$F$577,"有交期",'NEW Feeder Reserved'!$I$1:$I$577,"没有预留机器")</f>
        <v>25</v>
      </c>
      <c r="I124" s="499">
        <f>SUMIFS('NEW Feeder Reserved'!$N$1:$N$577,'NEW Feeder Reserved'!$A$1:$A$577,"SS 12/16mm",'NEW Feeder Reserved'!$F$1:$F$577,"TBA",'NEW Feeder Reserved'!$I$1:$I$577,"没有预留机器")</f>
        <v>145</v>
      </c>
      <c r="J124" s="498">
        <v>0</v>
      </c>
      <c r="K124" s="498">
        <v>0</v>
      </c>
      <c r="L124" s="503">
        <f t="shared" ref="L124:L137" si="9">B124+C124+D124-E124-G124-H124-I124-K124-(J124-F124)</f>
        <v>407</v>
      </c>
      <c r="P124" s="48"/>
    </row>
    <row r="125" spans="1:20" ht="15">
      <c r="A125" s="360" t="s">
        <v>2777</v>
      </c>
      <c r="B125" s="494">
        <f t="shared" si="7"/>
        <v>139</v>
      </c>
      <c r="C125" s="495">
        <f>SUMIFS('NEW Feeder Reserved'!$G$1:$G$577,'NEW Feeder Reserved'!$A$1:$A$577,"SS 24mm",'NEW Feeder Reserved'!$F$1:$F$577,"有交期")</f>
        <v>0</v>
      </c>
      <c r="D125" s="495">
        <f>SUMIFS('NEW Feeder Reserved'!$G$1:$G$577,'NEW Feeder Reserved'!$A$1:$A$577,"SS 24mm",'NEW Feeder Reserved'!$F$1:$F$577,"Incoming")</f>
        <v>0</v>
      </c>
      <c r="E125" s="496">
        <f t="shared" si="8"/>
        <v>16</v>
      </c>
      <c r="F125" s="496">
        <f>SUMIFS('NEW Feeder Reserved'!$Q$1:$Q$577,'NEW Feeder Reserved'!$A$1:$A$577,"SS 24mm",'NEW Feeder Reserved'!$F$1:$F$577,"Incoming")</f>
        <v>5</v>
      </c>
      <c r="G125" s="499">
        <f>SUMIFS('NEW Feeder Reserved'!$N$1:$N$577,'NEW Feeder Reserved'!$A$1:$A$577,"SS 24mm",'NEW Feeder Reserved'!$F$1:$F$577,"已经到货",'NEW Feeder Reserved'!$I$1:$I$577,"没有预留机器")</f>
        <v>3</v>
      </c>
      <c r="H125" s="499">
        <f>SUMIFS('NEW Feeder Reserved'!$N$1:$N$577,'NEW Feeder Reserved'!$A$1:$A$577,"SS 24mm",'NEW Feeder Reserved'!$F$1:$F$577,"有交期",'NEW Feeder Reserved'!$I$1:$I$577,"没有预留机器")</f>
        <v>5</v>
      </c>
      <c r="I125" s="499">
        <f>SUMIFS('NEW Feeder Reserved'!$N$1:$N$577,'NEW Feeder Reserved'!$A$1:$A$577,"SS 24mm",'NEW Feeder Reserved'!$F$1:$F$577,"TBA",'NEW Feeder Reserved'!$I$1:$I$577,"没有预留机器")</f>
        <v>29</v>
      </c>
      <c r="J125" s="498">
        <v>0</v>
      </c>
      <c r="K125" s="498">
        <v>0</v>
      </c>
      <c r="L125" s="503">
        <f t="shared" si="9"/>
        <v>91</v>
      </c>
      <c r="P125" s="48"/>
    </row>
    <row r="126" spans="1:20" ht="15">
      <c r="A126" s="360" t="s">
        <v>2812</v>
      </c>
      <c r="B126" s="494">
        <f t="shared" si="7"/>
        <v>200</v>
      </c>
      <c r="C126" s="495">
        <f>SUMIFS('NEW Feeder Reserved'!$G$1:$G$577,'NEW Feeder Reserved'!$A$1:$A$577,"SS 32mm",'NEW Feeder Reserved'!$F$1:$F$577,"有交期")</f>
        <v>0</v>
      </c>
      <c r="D126" s="495">
        <f>SUMIFS('NEW Feeder Reserved'!$G$1:$G$577,'NEW Feeder Reserved'!$A$1:$A$577,"SS 32mm",'NEW Feeder Reserved'!$F$1:$F$577,"Incoming")</f>
        <v>0</v>
      </c>
      <c r="E126" s="496">
        <f t="shared" si="8"/>
        <v>4</v>
      </c>
      <c r="F126" s="496">
        <f>SUMIFS('NEW Feeder Reserved'!$Q$1:$Q$577,'NEW Feeder Reserved'!$A$1:$A$577,"SS 32mm",'NEW Feeder Reserved'!$F$1:$F$577,"Incoming")</f>
        <v>0</v>
      </c>
      <c r="G126" s="499">
        <f>SUMIFS('NEW Feeder Reserved'!$N$1:$N$577,'NEW Feeder Reserved'!$A$1:$A$577,"SS 32mm",'NEW Feeder Reserved'!$F$1:$F$577,"已经到货",'NEW Feeder Reserved'!$I$1:$I$577,"没有预留机器")</f>
        <v>0</v>
      </c>
      <c r="H126" s="499">
        <f>SUMIFS('NEW Feeder Reserved'!$N$1:$N$577,'NEW Feeder Reserved'!$A$1:$A$577,"SS 32mm",'NEW Feeder Reserved'!$F$1:$F$577,"有交期",'NEW Feeder Reserved'!$I$1:$I$577,"没有预留机器")</f>
        <v>0</v>
      </c>
      <c r="I126" s="499">
        <f>SUMIFS('NEW Feeder Reserved'!$N$1:$N$577,'NEW Feeder Reserved'!$A$1:$A$577,"SS 32mm",'NEW Feeder Reserved'!$F$1:$F$577,"TBA",'NEW Feeder Reserved'!$I$1:$I$577,"没有预留机器")</f>
        <v>0</v>
      </c>
      <c r="J126" s="498">
        <v>0</v>
      </c>
      <c r="K126" s="498">
        <v>0</v>
      </c>
      <c r="L126" s="503">
        <f t="shared" si="9"/>
        <v>196</v>
      </c>
      <c r="M126" s="66"/>
      <c r="P126" s="65"/>
      <c r="Q126" s="48"/>
      <c r="R126" s="48"/>
      <c r="S126" s="48"/>
      <c r="T126" s="48"/>
    </row>
    <row r="127" spans="1:20" ht="15">
      <c r="A127" s="360" t="s">
        <v>2814</v>
      </c>
      <c r="B127" s="494">
        <f t="shared" si="7"/>
        <v>62</v>
      </c>
      <c r="C127" s="495">
        <f>SUMIFS('NEW Feeder Reserved'!$G$1:$G$577,'NEW Feeder Reserved'!$A$1:$A$577,"SS 44mm",'NEW Feeder Reserved'!$F$1:$F$577,"有交期")</f>
        <v>0</v>
      </c>
      <c r="D127" s="495">
        <f>SUMIFS('NEW Feeder Reserved'!$G$1:$G$577,'NEW Feeder Reserved'!$A$1:$A$577,"SS 44mm",'NEW Feeder Reserved'!$F$1:$F$577,"Incoming")</f>
        <v>0</v>
      </c>
      <c r="E127" s="496">
        <f>D75+D94</f>
        <v>4</v>
      </c>
      <c r="F127" s="496">
        <f>SUMIFS('NEW Feeder Reserved'!$Q$1:$Q$577,'NEW Feeder Reserved'!$A$1:$A$577,"SS 44mm",'NEW Feeder Reserved'!$F$1:$F$577,"Incoming")</f>
        <v>0</v>
      </c>
      <c r="G127" s="499">
        <f>SUMIFS('NEW Feeder Reserved'!$N$1:$N$577,'NEW Feeder Reserved'!$A$1:$A$577,"SS 44mm",'NEW Feeder Reserved'!$F$1:$F$577,"已经到货",'NEW Feeder Reserved'!$I$1:$I$577,"没有预留机器")</f>
        <v>0</v>
      </c>
      <c r="H127" s="499">
        <f>SUMIFS('NEW Feeder Reserved'!$N$1:$N$577,'NEW Feeder Reserved'!$A$1:$A$577,"SS 44mm",'NEW Feeder Reserved'!$F$1:$F$577,"有交期",'NEW Feeder Reserved'!$I$1:$I$577,"没有预留机器")</f>
        <v>0</v>
      </c>
      <c r="I127" s="499">
        <f>SUMIFS('NEW Feeder Reserved'!$N$1:$N$577,'NEW Feeder Reserved'!$A$1:$A$577,"SS 44mm",'NEW Feeder Reserved'!$F$1:$F$577,"TBA",'NEW Feeder Reserved'!$I$1:$I$577,"没有预留机器")</f>
        <v>0</v>
      </c>
      <c r="J127" s="498">
        <v>0</v>
      </c>
      <c r="K127" s="498">
        <v>0</v>
      </c>
      <c r="L127" s="503">
        <f t="shared" si="9"/>
        <v>58</v>
      </c>
      <c r="M127" s="66"/>
      <c r="P127" s="65"/>
      <c r="Q127" s="48"/>
      <c r="R127" s="48"/>
      <c r="S127" s="48"/>
      <c r="T127" s="48"/>
    </row>
    <row r="128" spans="1:20" ht="15">
      <c r="A128" s="360" t="s">
        <v>2816</v>
      </c>
      <c r="B128" s="494">
        <f t="shared" si="7"/>
        <v>4</v>
      </c>
      <c r="C128" s="495">
        <f>SUMIFS('NEW Feeder Reserved'!$G$1:$G$577,'NEW Feeder Reserved'!$A$1:$A$577,"SS 56mm",'NEW Feeder Reserved'!$F$1:$F$577,"有交期")</f>
        <v>0</v>
      </c>
      <c r="D128" s="495">
        <f>SUMIFS('NEW Feeder Reserved'!$G$1:$G$577,'NEW Feeder Reserved'!$A$1:$A$577,"SS 56mm",'NEW Feeder Reserved'!$F$1:$F$577,"Incoming")</f>
        <v>0</v>
      </c>
      <c r="E128" s="496">
        <f t="shared" si="8"/>
        <v>2</v>
      </c>
      <c r="F128" s="496">
        <f>SUMIFS('NEW Feeder Reserved'!$Q$1:$Q$577,'NEW Feeder Reserved'!$A$1:$A$577,"SS 56mm",'NEW Feeder Reserved'!$F$1:$F$577,"Incoming")</f>
        <v>0</v>
      </c>
      <c r="G128" s="499">
        <f>SUMIFS('NEW Feeder Reserved'!$N$1:$N$577,'NEW Feeder Reserved'!$A$1:$A$577,"SS 56mm",'NEW Feeder Reserved'!$F$1:$F$577,"已经到货",'NEW Feeder Reserved'!$I$1:$I$577,"没有预留机器")</f>
        <v>0</v>
      </c>
      <c r="H128" s="499">
        <f>SUMIFS('NEW Feeder Reserved'!$N$1:$N$577,'NEW Feeder Reserved'!$A$1:$A$577,"SS 56mm",'NEW Feeder Reserved'!$F$1:$F$577,"有交期",'NEW Feeder Reserved'!$I$1:$I$577,"没有预留机器")</f>
        <v>0</v>
      </c>
      <c r="I128" s="499">
        <f>SUMIFS('NEW Feeder Reserved'!$N$1:$N$577,'NEW Feeder Reserved'!$A$1:$A$577,"SS 56mm",'NEW Feeder Reserved'!$F$1:$F$577,"TBA",'NEW Feeder Reserved'!$I$1:$I$577,"没有预留机器")</f>
        <v>0</v>
      </c>
      <c r="J128" s="498">
        <v>0</v>
      </c>
      <c r="K128" s="498">
        <v>0</v>
      </c>
      <c r="L128" s="503">
        <f t="shared" si="9"/>
        <v>2</v>
      </c>
      <c r="M128" s="66"/>
      <c r="P128" s="65"/>
      <c r="Q128" s="48"/>
      <c r="R128" s="48"/>
      <c r="S128" s="48"/>
      <c r="T128" s="48"/>
    </row>
    <row r="129" spans="1:21" ht="15">
      <c r="A129" s="360" t="s">
        <v>2818</v>
      </c>
      <c r="B129" s="494">
        <f t="shared" si="7"/>
        <v>0</v>
      </c>
      <c r="C129" s="495">
        <f>SUMIFS('NEW Feeder Reserved'!$G$1:$G$577,'NEW Feeder Reserved'!$A$1:$A$577,"SS 72mm",'NEW Feeder Reserved'!$F$1:$F$577,"有交期")</f>
        <v>0</v>
      </c>
      <c r="D129" s="495">
        <f>SUMIFS('NEW Feeder Reserved'!$G$1:$G$577,'NEW Feeder Reserved'!$A$1:$A$577,"SS 72mm",'NEW Feeder Reserved'!$F$1:$F$577,"Incoming")</f>
        <v>0</v>
      </c>
      <c r="E129" s="496">
        <f t="shared" si="8"/>
        <v>0</v>
      </c>
      <c r="F129" s="496">
        <f>SUMIFS('NEW Feeder Reserved'!$Q$1:$Q$577,'NEW Feeder Reserved'!$A$1:$A$577,"SS 72mm",'NEW Feeder Reserved'!$F$1:$F$577,"Incoming")</f>
        <v>0</v>
      </c>
      <c r="G129" s="499">
        <f>SUMIFS('NEW Feeder Reserved'!$N$1:$N$577,'NEW Feeder Reserved'!$A$1:$A$577,"SS 72mm",'NEW Feeder Reserved'!$F$1:$F$577,"已经到货",'NEW Feeder Reserved'!$I$1:$I$577,"没有预留机器")</f>
        <v>0</v>
      </c>
      <c r="H129" s="499">
        <f>SUMIFS('NEW Feeder Reserved'!$N$1:$N$577,'NEW Feeder Reserved'!$A$1:$A$577,"SS 72mm",'NEW Feeder Reserved'!$F$1:$F$577,"有交期",'NEW Feeder Reserved'!$I$1:$I$577,"没有预留机器")</f>
        <v>0</v>
      </c>
      <c r="I129" s="499">
        <f>SUMIFS('NEW Feeder Reserved'!$N$1:$N$577,'NEW Feeder Reserved'!$A$1:$A$577,"SS 72mm",'NEW Feeder Reserved'!$F$1:$F$577,"TBA",'NEW Feeder Reserved'!$I$1:$I$577,"没有预留机器")</f>
        <v>0</v>
      </c>
      <c r="J129" s="498">
        <v>0</v>
      </c>
      <c r="K129" s="498">
        <v>0</v>
      </c>
      <c r="L129" s="503">
        <f t="shared" si="9"/>
        <v>0</v>
      </c>
      <c r="M129" s="66"/>
      <c r="N129" s="80"/>
      <c r="P129" s="87"/>
      <c r="Q129" s="869"/>
      <c r="R129" s="869"/>
      <c r="S129" s="48"/>
      <c r="T129" s="48"/>
    </row>
    <row r="130" spans="1:21" ht="15">
      <c r="A130" s="360" t="s">
        <v>2845</v>
      </c>
      <c r="B130" s="494">
        <f t="shared" si="7"/>
        <v>2</v>
      </c>
      <c r="C130" s="495">
        <f>SUMIFS('NEW Feeder Reserved'!$G$1:$G$577,'NEW Feeder Reserved'!$A$1:$A$577,"ZS 4mm",'NEW Feeder Reserved'!$F$1:$F$577,"有交期")</f>
        <v>0</v>
      </c>
      <c r="D130" s="495">
        <f>SUMIFS('NEW Feeder Reserved'!$G$1:$G$577,'NEW Feeder Reserved'!$A$1:$A$577,"ZS 4mm",'NEW Feeder Reserved'!$F$1:$F$577,"Incoming")</f>
        <v>0</v>
      </c>
      <c r="E130" s="496">
        <f t="shared" si="8"/>
        <v>2</v>
      </c>
      <c r="F130" s="496">
        <f>SUMIFS('NEW Feeder Reserved'!$Q$1:$Q$577,'NEW Feeder Reserved'!$A$1:$A$577,"ZS 4mm",'NEW Feeder Reserved'!$F$1:$F$577,"Incoming")</f>
        <v>0</v>
      </c>
      <c r="G130" s="499">
        <f>SUMIFS('NEW Feeder Reserved'!$N$1:$N$577,'NEW Feeder Reserved'!$A$1:$A$577,"ZS 4mm",'NEW Feeder Reserved'!$F$1:$F$577,"已经到货",'NEW Feeder Reserved'!$I$1:$I$577,"没有预留机器")</f>
        <v>0</v>
      </c>
      <c r="H130" s="499">
        <f>SUMIFS('NEW Feeder Reserved'!$N$1:$N$577,'NEW Feeder Reserved'!$A$1:$A$577,"ZS 4mm",'NEW Feeder Reserved'!$F$1:$F$577,"有交期",'NEW Feeder Reserved'!$I$1:$I$577,"没有预留机器")</f>
        <v>0</v>
      </c>
      <c r="I130" s="499">
        <f>SUMIFS('NEW Feeder Reserved'!$N$1:$N$577,'NEW Feeder Reserved'!$A$1:$A$577,"ZS 4mm",'NEW Feeder Reserved'!$F$1:$F$577,"TBA",'NEW Feeder Reserved'!$I$1:$I$577,"没有预留机器")</f>
        <v>0</v>
      </c>
      <c r="J130" s="498">
        <v>0</v>
      </c>
      <c r="K130" s="498">
        <v>0</v>
      </c>
      <c r="L130" s="503">
        <f t="shared" si="9"/>
        <v>0</v>
      </c>
      <c r="M130" s="66"/>
      <c r="N130" s="80"/>
      <c r="P130" s="87"/>
      <c r="Q130" s="337"/>
      <c r="R130" s="337"/>
      <c r="S130" s="48"/>
      <c r="T130" s="48"/>
    </row>
    <row r="131" spans="1:21" ht="15">
      <c r="A131" s="360" t="s">
        <v>2846</v>
      </c>
      <c r="B131" s="494">
        <f t="shared" si="7"/>
        <v>173</v>
      </c>
      <c r="C131" s="495">
        <f>SUMIFS('NEW Feeder Reserved'!$G$1:$G$577,'NEW Feeder Reserved'!$A$1:$A$577,"ZS 8mm",'NEW Feeder Reserved'!$F$1:$F$577,"有交期")</f>
        <v>0</v>
      </c>
      <c r="D131" s="495">
        <f>SUMIFS('NEW Feeder Reserved'!$G$1:$G$577,'NEW Feeder Reserved'!$A$1:$A$577,"ZS 8mm",'NEW Feeder Reserved'!$F$1:$F$577,"Incoming")</f>
        <v>0</v>
      </c>
      <c r="E131" s="496">
        <f t="shared" si="8"/>
        <v>100</v>
      </c>
      <c r="F131" s="496">
        <f>SUMIFS('NEW Feeder Reserved'!$Q$1:$Q$577,'NEW Feeder Reserved'!$A$1:$A$577,"ZS 8mm",'NEW Feeder Reserved'!$F$1:$F$577,"Incoming")</f>
        <v>106</v>
      </c>
      <c r="G131" s="499">
        <f>SUMIFS('NEW Feeder Reserved'!$N$1:$N$577,'NEW Feeder Reserved'!$A$1:$A$577,"ZS 8mm",'NEW Feeder Reserved'!$F$1:$F$577,"已经到货",'NEW Feeder Reserved'!$I$1:$I$577,"没有预留机器")</f>
        <v>0</v>
      </c>
      <c r="H131" s="499">
        <f>SUMIFS('NEW Feeder Reserved'!$N$1:$N$577,'NEW Feeder Reserved'!$A$1:$A$577,"ZS 8mm",'NEW Feeder Reserved'!$F$1:$F$577,"有交期",'NEW Feeder Reserved'!$I$1:$I$577,"没有预留机器")</f>
        <v>0</v>
      </c>
      <c r="I131" s="499">
        <f>SUMIFS('NEW Feeder Reserved'!$N$1:$N$577,'NEW Feeder Reserved'!$A$1:$A$577,"ZS 8mm",'NEW Feeder Reserved'!$F$1:$F$577,"TBA",'NEW Feeder Reserved'!$I$1:$I$577,"没有预留机器")</f>
        <v>0</v>
      </c>
      <c r="J131" s="498">
        <v>0</v>
      </c>
      <c r="K131" s="498">
        <v>0</v>
      </c>
      <c r="L131" s="503">
        <f t="shared" si="9"/>
        <v>179</v>
      </c>
      <c r="M131" s="66"/>
      <c r="P131" s="65"/>
      <c r="Q131" s="48"/>
      <c r="R131" s="338"/>
      <c r="S131" s="338"/>
      <c r="T131" s="48"/>
    </row>
    <row r="132" spans="1:21" ht="15">
      <c r="A132" s="360" t="s">
        <v>2824</v>
      </c>
      <c r="B132" s="494">
        <f t="shared" si="7"/>
        <v>407</v>
      </c>
      <c r="C132" s="495">
        <f>SUMIFS('NEW Feeder Reserved'!$G$1:$G$577,'NEW Feeder Reserved'!$A$1:$A$577,"ZS 12/16mm",'NEW Feeder Reserved'!$F$1:$F$577,"有交期")</f>
        <v>0</v>
      </c>
      <c r="D132" s="495">
        <f>SUMIFS('NEW Feeder Reserved'!$G$1:$G$577,'NEW Feeder Reserved'!$A$1:$A$577,"ZS 12/16mm",'NEW Feeder Reserved'!$F$1:$F$577,"Incoming")</f>
        <v>0</v>
      </c>
      <c r="E132" s="496">
        <f t="shared" si="8"/>
        <v>20</v>
      </c>
      <c r="F132" s="496">
        <f>SUMIFS('NEW Feeder Reserved'!$Q$1:$Q$577,'NEW Feeder Reserved'!$A$1:$A$577,"ZS 12/16mm",'NEW Feeder Reserved'!$F$1:$F$577,"Incoming")</f>
        <v>2</v>
      </c>
      <c r="G132" s="499">
        <f>SUMIFS('NEW Feeder Reserved'!$N$1:$N$577,'NEW Feeder Reserved'!$A$1:$A$577,"ZS 12/16mm",'NEW Feeder Reserved'!$F$1:$F$577,"已经到货",'NEW Feeder Reserved'!$I$1:$I$577,"没有预留机器")</f>
        <v>0</v>
      </c>
      <c r="H132" s="499">
        <f>SUMIFS('NEW Feeder Reserved'!$N$1:$N$577,'NEW Feeder Reserved'!$A$1:$A$577,"ZS 12/16mm",'NEW Feeder Reserved'!$F$1:$F$577,"有交期",'NEW Feeder Reserved'!$I$1:$I$577,"没有预留机器")</f>
        <v>0</v>
      </c>
      <c r="I132" s="499">
        <f>SUMIFS('NEW Feeder Reserved'!$N$1:$N$577,'NEW Feeder Reserved'!$A$1:$A$577,"ZS 12/16mm",'NEW Feeder Reserved'!$F$1:$F$577,"TBA",'NEW Feeder Reserved'!$I$1:$I$577,"没有预留机器")</f>
        <v>0</v>
      </c>
      <c r="J132" s="498">
        <v>30</v>
      </c>
      <c r="K132" s="498">
        <v>10</v>
      </c>
      <c r="L132" s="503">
        <f t="shared" si="9"/>
        <v>349</v>
      </c>
      <c r="M132" s="66"/>
      <c r="P132" s="65"/>
      <c r="Q132" s="48"/>
      <c r="R132" s="338"/>
      <c r="S132" s="338"/>
      <c r="T132" s="48"/>
    </row>
    <row r="133" spans="1:21" ht="15">
      <c r="A133" s="360" t="s">
        <v>2826</v>
      </c>
      <c r="B133" s="494">
        <f t="shared" si="7"/>
        <v>113</v>
      </c>
      <c r="C133" s="495">
        <f>SUMIFS('NEW Feeder Reserved'!$G$1:$G$577,'NEW Feeder Reserved'!$A$1:$A$577,"ZS 24mm",'NEW Feeder Reserved'!$F$1:$F$577,"有交期")</f>
        <v>0</v>
      </c>
      <c r="D133" s="495">
        <f>SUMIFS('NEW Feeder Reserved'!$G$1:$G$577,'NEW Feeder Reserved'!$A$1:$A$577,"ZS 24mm",'NEW Feeder Reserved'!$F$1:$F$577,"Incoming")</f>
        <v>0</v>
      </c>
      <c r="E133" s="496">
        <f t="shared" si="8"/>
        <v>5</v>
      </c>
      <c r="F133" s="496">
        <f>SUMIFS('NEW Feeder Reserved'!$Q$1:$Q$577,'NEW Feeder Reserved'!$A$1:$A$577,"ZS 24mm",'NEW Feeder Reserved'!$F$1:$F$577,"Incoming")</f>
        <v>0</v>
      </c>
      <c r="G133" s="499">
        <f>SUMIFS('NEW Feeder Reserved'!$N$1:$N$577,'NEW Feeder Reserved'!$A$1:$A$577,"ZS 24mm",'NEW Feeder Reserved'!$F$1:$F$577,"已经到货",'NEW Feeder Reserved'!$I$1:$I$577,"没有预留机器")</f>
        <v>0</v>
      </c>
      <c r="H133" s="499">
        <f>SUMIFS('NEW Feeder Reserved'!$N$1:$N$577,'NEW Feeder Reserved'!$A$1:$A$577,"ZS 24mm",'NEW Feeder Reserved'!$F$1:$F$577,"有交期",'NEW Feeder Reserved'!$I$1:$I$577,"没有预留机器")</f>
        <v>0</v>
      </c>
      <c r="I133" s="499">
        <f>SUMIFS('NEW Feeder Reserved'!$N$1:$N$577,'NEW Feeder Reserved'!$A$1:$A$577,"ZS 24mm",'NEW Feeder Reserved'!$F$1:$F$577,"TBA",'NEW Feeder Reserved'!$I$1:$I$577,"没有预留机器")</f>
        <v>0</v>
      </c>
      <c r="J133" s="498">
        <v>10</v>
      </c>
      <c r="K133" s="498">
        <v>0</v>
      </c>
      <c r="L133" s="503">
        <f t="shared" si="9"/>
        <v>98</v>
      </c>
      <c r="M133" s="66"/>
      <c r="P133" s="65"/>
      <c r="Q133" s="48"/>
      <c r="R133" s="338"/>
      <c r="S133" s="338"/>
      <c r="T133" s="48"/>
    </row>
    <row r="134" spans="1:21" ht="15">
      <c r="A134" s="360" t="s">
        <v>2828</v>
      </c>
      <c r="B134" s="494">
        <f t="shared" si="7"/>
        <v>37</v>
      </c>
      <c r="C134" s="495">
        <f>SUMIFS('NEW Feeder Reserved'!$G$1:$G$577,'NEW Feeder Reserved'!$A$1:$A$577,"ZS 32mm",'NEW Feeder Reserved'!$F$1:$F$577,"有交期")</f>
        <v>0</v>
      </c>
      <c r="D134" s="495">
        <f>SUMIFS('NEW Feeder Reserved'!$G$1:$G$577,'NEW Feeder Reserved'!$A$1:$A$577,"ZS 32mm",'NEW Feeder Reserved'!$F$1:$F$577,"Incoming")</f>
        <v>0</v>
      </c>
      <c r="E134" s="496">
        <f t="shared" si="8"/>
        <v>2</v>
      </c>
      <c r="F134" s="496">
        <f>SUMIFS('NEW Feeder Reserved'!$Q$1:$Q$577,'NEW Feeder Reserved'!$A$1:$A$577,"ZS 32mm",'NEW Feeder Reserved'!$F$1:$F$577,"Incoming")</f>
        <v>1</v>
      </c>
      <c r="G134" s="499">
        <f>SUMIFS('NEW Feeder Reserved'!$N$1:$N$577,'NEW Feeder Reserved'!$A$1:$A$577,"ZS 32mm",'NEW Feeder Reserved'!$F$1:$F$577,"已经到货",'NEW Feeder Reserved'!$I$1:$I$577,"没有预留机器")</f>
        <v>0</v>
      </c>
      <c r="H134" s="499">
        <f>SUMIFS('NEW Feeder Reserved'!$N$1:$N$577,'NEW Feeder Reserved'!$A$1:$A$577,"ZS 32mm",'NEW Feeder Reserved'!$F$1:$F$577,"有交期",'NEW Feeder Reserved'!$I$1:$I$577,"没有预留机器")</f>
        <v>0</v>
      </c>
      <c r="I134" s="499">
        <f>SUMIFS('NEW Feeder Reserved'!$N$1:$N$577,'NEW Feeder Reserved'!$A$1:$A$577,"ZS 32mm",'NEW Feeder Reserved'!$F$1:$F$577,"TBA",'NEW Feeder Reserved'!$I$1:$I$577,"没有预留机器")</f>
        <v>0</v>
      </c>
      <c r="J134" s="498">
        <v>5</v>
      </c>
      <c r="K134" s="498">
        <v>0</v>
      </c>
      <c r="L134" s="503">
        <f t="shared" si="9"/>
        <v>31</v>
      </c>
      <c r="M134" s="66"/>
      <c r="P134" s="65"/>
      <c r="Q134" s="48"/>
      <c r="R134" s="338"/>
      <c r="S134" s="338"/>
      <c r="T134" s="48"/>
    </row>
    <row r="135" spans="1:21" ht="15">
      <c r="A135" s="360" t="s">
        <v>2830</v>
      </c>
      <c r="B135" s="494">
        <f t="shared" si="7"/>
        <v>9</v>
      </c>
      <c r="C135" s="495">
        <f>SUMIFS('NEW Feeder Reserved'!$G$1:$G$577,'NEW Feeder Reserved'!$A$1:$A$577,"ZS 44mm",'NEW Feeder Reserved'!$F$1:$F$577,"有交期")</f>
        <v>0</v>
      </c>
      <c r="D135" s="495">
        <f>SUMIFS('NEW Feeder Reserved'!$G$1:$G$577,'NEW Feeder Reserved'!$A$1:$A$577,"ZS 44mm",'NEW Feeder Reserved'!$F$1:$F$577,"Incoming")</f>
        <v>0</v>
      </c>
      <c r="E135" s="496">
        <f t="shared" si="8"/>
        <v>0</v>
      </c>
      <c r="F135" s="496">
        <f>SUMIFS('NEW Feeder Reserved'!$Q$1:$Q$577,'NEW Feeder Reserved'!$A$1:$A$577,"ZS 44mm",'NEW Feeder Reserved'!$F$1:$F$577,"Incoming")</f>
        <v>0</v>
      </c>
      <c r="G135" s="499">
        <f>SUMIFS('NEW Feeder Reserved'!$N$1:$N$577,'NEW Feeder Reserved'!$A$1:$A$577,"ZS 44mm",'NEW Feeder Reserved'!$F$1:$F$577,"已经到货",'NEW Feeder Reserved'!$I$1:$I$577,"没有预留机器")</f>
        <v>0</v>
      </c>
      <c r="H135" s="499">
        <f>SUMIFS('NEW Feeder Reserved'!$N$1:$N$577,'NEW Feeder Reserved'!$A$1:$A$577,"ZS 44mm",'NEW Feeder Reserved'!$F$1:$F$577,"有交期",'NEW Feeder Reserved'!$I$1:$I$577,"没有预留机器")</f>
        <v>0</v>
      </c>
      <c r="I135" s="499">
        <f>SUMIFS('NEW Feeder Reserved'!$N$1:$N$577,'NEW Feeder Reserved'!$A$1:$A$577,"ZS 44mm",'NEW Feeder Reserved'!$F$1:$F$577,"TBA",'NEW Feeder Reserved'!$I$1:$I$577,"没有预留机器")</f>
        <v>0</v>
      </c>
      <c r="J135" s="498">
        <v>0</v>
      </c>
      <c r="K135" s="498">
        <v>0</v>
      </c>
      <c r="L135" s="503">
        <f t="shared" si="9"/>
        <v>9</v>
      </c>
      <c r="M135" s="66"/>
      <c r="P135" s="65"/>
      <c r="Q135" s="48"/>
      <c r="R135" s="338"/>
      <c r="S135" s="338"/>
      <c r="T135" s="48"/>
    </row>
    <row r="136" spans="1:21" ht="15">
      <c r="A136" s="360" t="s">
        <v>2832</v>
      </c>
      <c r="B136" s="494">
        <f>B103+B84</f>
        <v>1</v>
      </c>
      <c r="C136" s="495">
        <f>SUMIFS('NEW Feeder Reserved'!$G$1:$G$577,'NEW Feeder Reserved'!$A$1:$A$577,"ZS 56mm",'NEW Feeder Reserved'!$F$1:$F$577,"有交期")</f>
        <v>0</v>
      </c>
      <c r="D136" s="495">
        <f>SUMIFS('NEW Feeder Reserved'!$G$1:$G$577,'NEW Feeder Reserved'!$A$1:$A$577,"ZS 56mm",'NEW Feeder Reserved'!$F$1:$F$577,"Incoming")</f>
        <v>0</v>
      </c>
      <c r="E136" s="496">
        <f t="shared" si="8"/>
        <v>0</v>
      </c>
      <c r="F136" s="496">
        <f>SUMIFS('NEW Feeder Reserved'!$Q$1:$Q$577,'NEW Feeder Reserved'!$A$1:$A$577,"ZS 56mm",'NEW Feeder Reserved'!$F$1:$F$577,"Incoming")</f>
        <v>0</v>
      </c>
      <c r="G136" s="499">
        <f>SUMIFS('NEW Feeder Reserved'!$N$1:$N$577,'NEW Feeder Reserved'!$A$1:$A$577,"ZS 56mm",'NEW Feeder Reserved'!$F$1:$F$577,"已经到货",'NEW Feeder Reserved'!$I$1:$I$577,"没有预留机器")</f>
        <v>0</v>
      </c>
      <c r="H136" s="499">
        <f>SUMIFS('NEW Feeder Reserved'!$N$1:$N$577,'NEW Feeder Reserved'!$A$1:$A$577,"ZS 56mm",'NEW Feeder Reserved'!$F$1:$F$577,"有交期",'NEW Feeder Reserved'!$I$1:$I$577,"没有预留机器")</f>
        <v>0</v>
      </c>
      <c r="I136" s="499">
        <f>SUMIFS('NEW Feeder Reserved'!$N$1:$N$577,'NEW Feeder Reserved'!$A$1:$A$577,"ZS 56mm",'NEW Feeder Reserved'!$F$1:$F$577,"TBA",'NEW Feeder Reserved'!$I$1:$I$577,"没有预留机器")</f>
        <v>0</v>
      </c>
      <c r="J136" s="498">
        <v>0</v>
      </c>
      <c r="K136" s="498">
        <v>0</v>
      </c>
      <c r="L136" s="503">
        <f t="shared" si="9"/>
        <v>1</v>
      </c>
      <c r="M136" s="66"/>
      <c r="P136" s="65"/>
      <c r="Q136" s="48"/>
      <c r="R136" s="338"/>
      <c r="S136" s="338"/>
      <c r="T136" s="48"/>
    </row>
    <row r="137" spans="1:21" ht="15">
      <c r="A137" s="360" t="s">
        <v>2834</v>
      </c>
      <c r="B137" s="494">
        <f>B104+B85</f>
        <v>0</v>
      </c>
      <c r="C137" s="495">
        <f>SUMIFS('NEW Feeder Reserved'!$G$1:$G$577,'NEW Feeder Reserved'!$A$1:$A$577,"ZS 72mm",'NEW Feeder Reserved'!$F$1:$F$577,"有交期")</f>
        <v>0</v>
      </c>
      <c r="D137" s="495">
        <f>SUMIFS('NEW Feeder Reserved'!$G$1:$G$577,'NEW Feeder Reserved'!$A$1:$A$577,"ZS 72mm",'NEW Feeder Reserved'!$F$1:$F$577,"Incoming")</f>
        <v>0</v>
      </c>
      <c r="E137" s="496">
        <f t="shared" si="8"/>
        <v>0</v>
      </c>
      <c r="F137" s="496">
        <f>SUMIFS('NEW Feeder Reserved'!$Q$1:$Q$577,'NEW Feeder Reserved'!$A$1:$A$577,"ZS 72mm",'NEW Feeder Reserved'!$F$1:$F$577,"Incoming")</f>
        <v>0</v>
      </c>
      <c r="G137" s="499">
        <f>SUMIFS('NEW Feeder Reserved'!$N$1:$N$577,'NEW Feeder Reserved'!$A$1:$A$577,"ZS 72mm",'NEW Feeder Reserved'!$F$1:$F$577,"已经到货",'NEW Feeder Reserved'!$I$1:$I$577,"没有预留机器")</f>
        <v>0</v>
      </c>
      <c r="H137" s="499">
        <f>SUMIFS('NEW Feeder Reserved'!$N$1:$N$577,'NEW Feeder Reserved'!$A$1:$A$577,"ZS 72mm",'NEW Feeder Reserved'!$F$1:$F$577,"有交期",'NEW Feeder Reserved'!$I$1:$I$577,"没有预留机器")</f>
        <v>0</v>
      </c>
      <c r="I137" s="499">
        <f>SUMIFS('NEW Feeder Reserved'!$N$1:$N$577,'NEW Feeder Reserved'!$A$1:$A$577,"ZS 72mm",'NEW Feeder Reserved'!$F$1:$F$577,"TBA",'NEW Feeder Reserved'!$I$1:$I$577,"没有预留机器")</f>
        <v>0</v>
      </c>
      <c r="J137" s="498">
        <v>0</v>
      </c>
      <c r="K137" s="498">
        <v>0</v>
      </c>
      <c r="L137" s="503">
        <f t="shared" si="9"/>
        <v>0</v>
      </c>
      <c r="M137" s="66"/>
      <c r="P137" s="65"/>
      <c r="Q137" s="48"/>
      <c r="R137" s="338"/>
      <c r="S137" s="338"/>
      <c r="T137" s="48"/>
    </row>
    <row r="138" spans="1:21" ht="21" thickBot="1">
      <c r="A138" s="346"/>
      <c r="B138" s="354">
        <f t="shared" ref="B138:F138" si="10">SUM(B123:B137)</f>
        <v>4497</v>
      </c>
      <c r="C138" s="354">
        <f t="shared" si="10"/>
        <v>0</v>
      </c>
      <c r="D138" s="354">
        <f t="shared" si="10"/>
        <v>0</v>
      </c>
      <c r="E138" s="354">
        <f t="shared" si="10"/>
        <v>621</v>
      </c>
      <c r="F138" s="354">
        <f t="shared" si="10"/>
        <v>184</v>
      </c>
      <c r="G138" s="354">
        <f t="shared" ref="G138:L138" si="11">SUM(G123:G137)</f>
        <v>168</v>
      </c>
      <c r="H138" s="354">
        <f t="shared" si="11"/>
        <v>130</v>
      </c>
      <c r="I138" s="354">
        <f t="shared" si="11"/>
        <v>874</v>
      </c>
      <c r="J138" s="354">
        <f t="shared" si="11"/>
        <v>545</v>
      </c>
      <c r="K138" s="354">
        <f t="shared" si="11"/>
        <v>310</v>
      </c>
      <c r="L138" s="354">
        <f t="shared" si="11"/>
        <v>2033</v>
      </c>
      <c r="M138" s="338"/>
      <c r="N138" s="338"/>
    </row>
    <row r="139" spans="1:21" ht="15" thickTop="1">
      <c r="A139" s="48"/>
      <c r="H139" s="66"/>
      <c r="M139" s="338"/>
      <c r="N139" s="338"/>
    </row>
    <row r="140" spans="1:21">
      <c r="H140" s="66"/>
      <c r="I140" s="48">
        <f>SUM(G138:I138)</f>
        <v>1172</v>
      </c>
      <c r="M140" s="338"/>
      <c r="N140" s="338"/>
    </row>
    <row r="141" spans="1:21">
      <c r="H141" s="66"/>
      <c r="M141" s="65"/>
      <c r="N141" s="338"/>
    </row>
    <row r="144" spans="1:21" ht="20.25" customHeight="1">
      <c r="A144" s="1" t="s">
        <v>4151</v>
      </c>
      <c r="I144" s="1" t="s">
        <v>4426</v>
      </c>
      <c r="K144" s="48"/>
      <c r="P144" s="1" t="s">
        <v>4427</v>
      </c>
      <c r="Q144" s="48"/>
      <c r="R144" s="48"/>
      <c r="S144" s="48"/>
      <c r="T144" s="48"/>
      <c r="U144" s="48"/>
    </row>
    <row r="145" spans="1:21" ht="27">
      <c r="A145" s="349" t="s">
        <v>235</v>
      </c>
      <c r="B145" s="350" t="s">
        <v>3862</v>
      </c>
      <c r="C145" s="350" t="s">
        <v>3866</v>
      </c>
      <c r="D145" s="350" t="s">
        <v>258</v>
      </c>
      <c r="E145" s="350" t="s">
        <v>2030</v>
      </c>
      <c r="F145" s="389" t="s">
        <v>4025</v>
      </c>
      <c r="G145" s="48"/>
      <c r="I145" s="349" t="s">
        <v>235</v>
      </c>
      <c r="J145" s="350" t="s">
        <v>3862</v>
      </c>
      <c r="K145" s="350" t="s">
        <v>3866</v>
      </c>
      <c r="L145" s="350" t="s">
        <v>258</v>
      </c>
      <c r="M145" s="350" t="s">
        <v>2030</v>
      </c>
      <c r="N145" s="389" t="s">
        <v>4025</v>
      </c>
      <c r="O145" s="1"/>
      <c r="P145" s="349" t="s">
        <v>235</v>
      </c>
      <c r="Q145" s="350" t="s">
        <v>3862</v>
      </c>
      <c r="R145" s="350" t="s">
        <v>3866</v>
      </c>
      <c r="S145" s="350" t="s">
        <v>258</v>
      </c>
      <c r="T145" s="350" t="s">
        <v>2030</v>
      </c>
      <c r="U145" s="389" t="s">
        <v>4025</v>
      </c>
    </row>
    <row r="146" spans="1:21" ht="15">
      <c r="A146" s="360" t="s">
        <v>2807</v>
      </c>
      <c r="B146" s="353">
        <f>300</f>
        <v>300</v>
      </c>
      <c r="C146" s="351">
        <f>SUMIFS('NEW Feeder Reserved'!$G$1:$G$577,'NEW Feeder Reserved'!$A$1:$A$577,"SS 8mm",'NEW Feeder Reserved'!$F$1:$F$577,"C66 SZX 有交期")</f>
        <v>0</v>
      </c>
      <c r="D146" s="351">
        <f>SUMIFS('NEW Feeder Reserved'!$G$1:$G$577,'NEW Feeder Reserved'!$A$1:$A$577,"SS 8mm",'NEW Feeder Reserved'!$F$1:$F$577,"C66 SZX TBA")</f>
        <v>0</v>
      </c>
      <c r="E146" s="352">
        <f>SUMIFS('NEW Feeder Reserved'!$M$1:$M$577,'NEW Feeder Reserved'!$A$1:$A$577,"SS 8mm",'NEW Feeder Reserved'!$I$1:$I$577,"66",'NEW Feeder Reserved'!$H$1:$H$577,"SZX")</f>
        <v>35</v>
      </c>
      <c r="F146" s="504">
        <f t="shared" ref="F146:F160" si="12">B146-E146</f>
        <v>265</v>
      </c>
      <c r="G146" s="48"/>
      <c r="I146" s="360" t="s">
        <v>2807</v>
      </c>
      <c r="J146" s="353">
        <v>0</v>
      </c>
      <c r="K146" s="351">
        <f>SUMIFS('NEW Feeder Reserved'!$G$1:$G$577,'NEW Feeder Reserved'!$A$1:$A$577,"SS 8mm",'NEW Feeder Reserved'!$F$1:$F$577,"C66 SZX 有交期")</f>
        <v>0</v>
      </c>
      <c r="L146" s="351">
        <f>SUMIFS('NEW Feeder Reserved'!$G$1:$G$577,'NEW Feeder Reserved'!$A$1:$A$577,"SS 8mm",'NEW Feeder Reserved'!$F$1:$F$577,"C66 SZX TBA")</f>
        <v>0</v>
      </c>
      <c r="M146" s="352">
        <f>SUMIFS('NEW Feeder Reserved'!$M$1:$M$577,'NEW Feeder Reserved'!$A$1:$A$577,"SS 8mm",'NEW Feeder Reserved'!$I$1:$I$577,"66",'NEW Feeder Reserved'!$H$1:$H$577,"SHA")</f>
        <v>15</v>
      </c>
      <c r="N146" s="504">
        <f t="shared" ref="N146:N160" si="13">J146-M146</f>
        <v>-15</v>
      </c>
      <c r="O146" s="1"/>
      <c r="P146" s="360" t="s">
        <v>2807</v>
      </c>
      <c r="Q146" s="353">
        <v>0</v>
      </c>
      <c r="R146" s="351">
        <f>SUMIFS('NEW Feeder Reserved'!$G$1:$G$577,'NEW Feeder Reserved'!$A$1:$A$577,"SS 8mm",'NEW Feeder Reserved'!$F$1:$F$577,"C66 SZX 有交期")</f>
        <v>0</v>
      </c>
      <c r="S146" s="351">
        <f>SUMIFS('NEW Feeder Reserved'!$G$1:$G$577,'NEW Feeder Reserved'!$A$1:$A$577,"SS 8mm",'NEW Feeder Reserved'!$F$1:$F$577,"C66 SZX TBA")</f>
        <v>0</v>
      </c>
      <c r="T146" s="352">
        <f>SUMIFS('NEW Feeder Reserved'!$M$1:$M$577,'NEW Feeder Reserved'!$A$1:$A$577,"SS 8mm",'NEW Feeder Reserved'!$I$1:$I$577,"66",'NEW Feeder Reserved'!$H$1:$H$577,"BJS")</f>
        <v>30</v>
      </c>
      <c r="U146" s="504">
        <f t="shared" ref="U146:U160" si="14">Q146-T146</f>
        <v>-30</v>
      </c>
    </row>
    <row r="147" spans="1:21" ht="15">
      <c r="A147" s="360" t="s">
        <v>2809</v>
      </c>
      <c r="B147" s="353">
        <v>0</v>
      </c>
      <c r="C147" s="351">
        <f>SUMIFS('NEW Feeder Reserved'!$G$1:$G$577,'NEW Feeder Reserved'!$A$1:$A$577,"SS 12/16mm",'NEW Feeder Reserved'!$F$1:$F$577,"C66 SZX 有交期")</f>
        <v>0</v>
      </c>
      <c r="D147" s="351">
        <f>SUMIFS('NEW Feeder Reserved'!$G$1:$G$577,'NEW Feeder Reserved'!$A$1:$A$577,"SS 12/16mm",'NEW Feeder Reserved'!$F$1:$F$577,"C66 SZX TBA")</f>
        <v>0</v>
      </c>
      <c r="E147" s="352">
        <f>SUMIFS('NEW Feeder Reserved'!$M$1:$M$577,'NEW Feeder Reserved'!$A$1:$A$577,"SS 12/16mm",'NEW Feeder Reserved'!$I$1:$I$577,"66",'NEW Feeder Reserved'!$H$1:$H$577,"SZX")</f>
        <v>10</v>
      </c>
      <c r="F147" s="504">
        <f t="shared" si="12"/>
        <v>-10</v>
      </c>
      <c r="G147" s="48"/>
      <c r="I147" s="360" t="s">
        <v>2809</v>
      </c>
      <c r="J147" s="353">
        <v>0</v>
      </c>
      <c r="K147" s="351">
        <f>SUMIFS('NEW Feeder Reserved'!$G$1:$G$577,'NEW Feeder Reserved'!$A$1:$A$577,"SS 12/16mm",'NEW Feeder Reserved'!$F$1:$F$577,"C66 SZX 有交期")</f>
        <v>0</v>
      </c>
      <c r="L147" s="351">
        <f>SUMIFS('NEW Feeder Reserved'!$G$1:$G$577,'NEW Feeder Reserved'!$A$1:$A$577,"SS 12/16mm",'NEW Feeder Reserved'!$F$1:$F$577,"C66 SZX TBA")</f>
        <v>0</v>
      </c>
      <c r="M147" s="352">
        <f>SUMIFS('NEW Feeder Reserved'!$M$1:$M$577,'NEW Feeder Reserved'!$A$1:$A$577,"SS 12/16mm",'NEW Feeder Reserved'!$I$1:$I$577,"66",'NEW Feeder Reserved'!$H$1:$H$577,"SHA")</f>
        <v>4</v>
      </c>
      <c r="N147" s="504">
        <f t="shared" si="13"/>
        <v>-4</v>
      </c>
      <c r="O147" s="1"/>
      <c r="P147" s="360" t="s">
        <v>2809</v>
      </c>
      <c r="Q147" s="353">
        <v>0</v>
      </c>
      <c r="R147" s="351">
        <f>SUMIFS('NEW Feeder Reserved'!$G$1:$G$577,'NEW Feeder Reserved'!$A$1:$A$577,"SS 12/16mm",'NEW Feeder Reserved'!$F$1:$F$577,"C66 SZX 有交期")</f>
        <v>0</v>
      </c>
      <c r="S147" s="351">
        <f>SUMIFS('NEW Feeder Reserved'!$G$1:$G$577,'NEW Feeder Reserved'!$A$1:$A$577,"SS 12/16mm",'NEW Feeder Reserved'!$F$1:$F$577,"C66 SZX TBA")</f>
        <v>0</v>
      </c>
      <c r="T147" s="352">
        <f>SUMIFS('NEW Feeder Reserved'!$M$1:$M$577,'NEW Feeder Reserved'!$A$1:$A$577,"SS 12/16mm",'NEW Feeder Reserved'!$I$1:$I$577,"66",'NEW Feeder Reserved'!$H$1:$H$577,"BJS")</f>
        <v>0</v>
      </c>
      <c r="U147" s="504">
        <f t="shared" si="14"/>
        <v>0</v>
      </c>
    </row>
    <row r="148" spans="1:21" ht="15">
      <c r="A148" s="360" t="s">
        <v>2777</v>
      </c>
      <c r="B148" s="353">
        <v>0</v>
      </c>
      <c r="C148" s="351">
        <f>SUMIFS('NEW Feeder Reserved'!$G$1:$G$577,'NEW Feeder Reserved'!$A$1:$A$577,"SS 24mm",'NEW Feeder Reserved'!$F$1:$F$577,"C66 SZX 有交期")</f>
        <v>0</v>
      </c>
      <c r="D148" s="351">
        <f>SUMIFS('NEW Feeder Reserved'!$G$1:$G$577,'NEW Feeder Reserved'!$A$1:$A$577,"SS 24mm",'NEW Feeder Reserved'!$F$1:$F$577,"C66 SZX TBA")</f>
        <v>0</v>
      </c>
      <c r="E148" s="352">
        <f>SUMIFS('NEW Feeder Reserved'!$M$1:$M$577,'NEW Feeder Reserved'!$A$1:$A$577,"SS 24mm",'NEW Feeder Reserved'!$I$1:$I$577,"66",'NEW Feeder Reserved'!$H$1:$H$577,"SZX")</f>
        <v>11</v>
      </c>
      <c r="F148" s="504">
        <f t="shared" si="12"/>
        <v>-11</v>
      </c>
      <c r="G148" s="48"/>
      <c r="I148" s="360" t="s">
        <v>2777</v>
      </c>
      <c r="J148" s="353">
        <v>0</v>
      </c>
      <c r="K148" s="351">
        <f>SUMIFS('NEW Feeder Reserved'!$G$1:$G$577,'NEW Feeder Reserved'!$A$1:$A$577,"SS 24mm",'NEW Feeder Reserved'!$F$1:$F$577,"C66 SZX 有交期")</f>
        <v>0</v>
      </c>
      <c r="L148" s="351">
        <f>SUMIFS('NEW Feeder Reserved'!$G$1:$G$577,'NEW Feeder Reserved'!$A$1:$A$577,"SS 24mm",'NEW Feeder Reserved'!$F$1:$F$577,"C66 SZX TBA")</f>
        <v>0</v>
      </c>
      <c r="M148" s="352">
        <f>SUMIFS('NEW Feeder Reserved'!$M$1:$M$577,'NEW Feeder Reserved'!$A$1:$A$577,"SS 24mm",'NEW Feeder Reserved'!$I$1:$I$577,"66",'NEW Feeder Reserved'!$H$1:$H$577,"SHA")</f>
        <v>0</v>
      </c>
      <c r="N148" s="504">
        <f t="shared" si="13"/>
        <v>0</v>
      </c>
      <c r="O148" s="1"/>
      <c r="P148" s="360" t="s">
        <v>2777</v>
      </c>
      <c r="Q148" s="353">
        <v>0</v>
      </c>
      <c r="R148" s="351">
        <f>SUMIFS('NEW Feeder Reserved'!$G$1:$G$577,'NEW Feeder Reserved'!$A$1:$A$577,"SS 24mm",'NEW Feeder Reserved'!$F$1:$F$577,"C66 SZX 有交期")</f>
        <v>0</v>
      </c>
      <c r="S148" s="351">
        <f>SUMIFS('NEW Feeder Reserved'!$G$1:$G$577,'NEW Feeder Reserved'!$A$1:$A$577,"SS 24mm",'NEW Feeder Reserved'!$F$1:$F$577,"C66 SZX TBA")</f>
        <v>0</v>
      </c>
      <c r="T148" s="352">
        <f>SUMIFS('NEW Feeder Reserved'!$M$1:$M$577,'NEW Feeder Reserved'!$A$1:$A$577,"SS 24mm",'NEW Feeder Reserved'!$I$1:$I$577,"66",'NEW Feeder Reserved'!$H$1:$H$577,"BJS")</f>
        <v>0</v>
      </c>
      <c r="U148" s="504">
        <f t="shared" si="14"/>
        <v>0</v>
      </c>
    </row>
    <row r="149" spans="1:21" ht="15">
      <c r="A149" s="360" t="s">
        <v>2812</v>
      </c>
      <c r="B149" s="353">
        <v>0</v>
      </c>
      <c r="C149" s="351">
        <f>SUMIFS('NEW Feeder Reserved'!$G$1:$G$577,'NEW Feeder Reserved'!$A$1:$A$577,"SS 32mm",'NEW Feeder Reserved'!$F$1:$F$577,"C66 SZX 有交期")</f>
        <v>0</v>
      </c>
      <c r="D149" s="351">
        <f>SUMIFS('NEW Feeder Reserved'!$G$1:$G$577,'NEW Feeder Reserved'!$A$1:$A$577,"SS 32mm",'NEW Feeder Reserved'!$F$1:$F$577,"C66 SZX TBA")</f>
        <v>0</v>
      </c>
      <c r="E149" s="352">
        <f>SUMIFS('NEW Feeder Reserved'!$M$1:$M$577,'NEW Feeder Reserved'!$A$1:$A$577,"SS 32mm",'NEW Feeder Reserved'!$I$1:$I$577,"66",'NEW Feeder Reserved'!$H$1:$H$577,"SZX")</f>
        <v>0</v>
      </c>
      <c r="F149" s="504">
        <f t="shared" si="12"/>
        <v>0</v>
      </c>
      <c r="I149" s="360" t="s">
        <v>2812</v>
      </c>
      <c r="J149" s="353">
        <v>0</v>
      </c>
      <c r="K149" s="351">
        <f>SUMIFS('NEW Feeder Reserved'!$G$1:$G$577,'NEW Feeder Reserved'!$A$1:$A$577,"SS 32mm",'NEW Feeder Reserved'!$F$1:$F$577,"C66 SZX 有交期")</f>
        <v>0</v>
      </c>
      <c r="L149" s="351">
        <f>SUMIFS('NEW Feeder Reserved'!$G$1:$G$577,'NEW Feeder Reserved'!$A$1:$A$577,"SS 32mm",'NEW Feeder Reserved'!$F$1:$F$577,"C66 SZX TBA")</f>
        <v>0</v>
      </c>
      <c r="M149" s="352">
        <f>SUMIFS('NEW Feeder Reserved'!$M$1:$M$577,'NEW Feeder Reserved'!$A$1:$A$577,"SS 32mm",'NEW Feeder Reserved'!$I$1:$I$577,"66",'NEW Feeder Reserved'!$H$1:$H$577,"SHA")</f>
        <v>0</v>
      </c>
      <c r="N149" s="504">
        <f t="shared" si="13"/>
        <v>0</v>
      </c>
      <c r="O149" s="1"/>
      <c r="P149" s="360" t="s">
        <v>2812</v>
      </c>
      <c r="Q149" s="353">
        <v>0</v>
      </c>
      <c r="R149" s="351">
        <f>SUMIFS('NEW Feeder Reserved'!$G$1:$G$577,'NEW Feeder Reserved'!$A$1:$A$577,"SS 32mm",'NEW Feeder Reserved'!$F$1:$F$577,"C66 SZX 有交期")</f>
        <v>0</v>
      </c>
      <c r="S149" s="351">
        <f>SUMIFS('NEW Feeder Reserved'!$G$1:$G$577,'NEW Feeder Reserved'!$A$1:$A$577,"SS 32mm",'NEW Feeder Reserved'!$F$1:$F$577,"C66 SZX TBA")</f>
        <v>0</v>
      </c>
      <c r="T149" s="352">
        <f>SUMIFS('NEW Feeder Reserved'!$M$1:$M$577,'NEW Feeder Reserved'!$A$1:$A$577,"SS 32mm",'NEW Feeder Reserved'!$I$1:$I$577,"66",'NEW Feeder Reserved'!$H$1:$H$577,"BJS")</f>
        <v>0</v>
      </c>
      <c r="U149" s="504">
        <f t="shared" si="14"/>
        <v>0</v>
      </c>
    </row>
    <row r="150" spans="1:21" ht="15">
      <c r="A150" s="360" t="s">
        <v>2814</v>
      </c>
      <c r="B150" s="353">
        <v>0</v>
      </c>
      <c r="C150" s="351">
        <f>SUMIFS('NEW Feeder Reserved'!$G$1:$G$577,'NEW Feeder Reserved'!$A$1:$A$577,"SS 44mm",'NEW Feeder Reserved'!$F$1:$F$577,"C66 SZX 有交期")</f>
        <v>0</v>
      </c>
      <c r="D150" s="351">
        <f>SUMIFS('NEW Feeder Reserved'!$G$1:$G$577,'NEW Feeder Reserved'!$A$1:$A$577,"SS 44mm",'NEW Feeder Reserved'!$F$1:$F$577,"C66 SZX TBA")</f>
        <v>0</v>
      </c>
      <c r="E150" s="352">
        <f>SUMIFS('NEW Feeder Reserved'!$M$1:$M$577,'NEW Feeder Reserved'!$A$1:$A$577,"SS 44mm",'NEW Feeder Reserved'!$I$1:$I$577,"66",'NEW Feeder Reserved'!$H$1:$H$577,"SZX")</f>
        <v>2</v>
      </c>
      <c r="F150" s="504">
        <f t="shared" si="12"/>
        <v>-2</v>
      </c>
      <c r="I150" s="360" t="s">
        <v>2814</v>
      </c>
      <c r="J150" s="353">
        <v>0</v>
      </c>
      <c r="K150" s="351">
        <f>SUMIFS('NEW Feeder Reserved'!$G$1:$G$577,'NEW Feeder Reserved'!$A$1:$A$577,"SS 44mm",'NEW Feeder Reserved'!$F$1:$F$577,"C66 SZX 有交期")</f>
        <v>0</v>
      </c>
      <c r="L150" s="351">
        <f>SUMIFS('NEW Feeder Reserved'!$G$1:$G$577,'NEW Feeder Reserved'!$A$1:$A$577,"SS 44mm",'NEW Feeder Reserved'!$F$1:$F$577,"C66 SZX TBA")</f>
        <v>0</v>
      </c>
      <c r="M150" s="352">
        <f>SUMIFS('NEW Feeder Reserved'!$M$1:$M$577,'NEW Feeder Reserved'!$A$1:$A$577,"SS 44mm",'NEW Feeder Reserved'!$I$1:$I$577,"66",'NEW Feeder Reserved'!$H$1:$H$577,"SHA")</f>
        <v>0</v>
      </c>
      <c r="N150" s="504">
        <f t="shared" si="13"/>
        <v>0</v>
      </c>
      <c r="O150" s="1"/>
      <c r="P150" s="360" t="s">
        <v>2814</v>
      </c>
      <c r="Q150" s="353">
        <v>0</v>
      </c>
      <c r="R150" s="351">
        <f>SUMIFS('NEW Feeder Reserved'!$G$1:$G$577,'NEW Feeder Reserved'!$A$1:$A$577,"SS 44mm",'NEW Feeder Reserved'!$F$1:$F$577,"C66 SZX 有交期")</f>
        <v>0</v>
      </c>
      <c r="S150" s="351">
        <f>SUMIFS('NEW Feeder Reserved'!$G$1:$G$577,'NEW Feeder Reserved'!$A$1:$A$577,"SS 44mm",'NEW Feeder Reserved'!$F$1:$F$577,"C66 SZX TBA")</f>
        <v>0</v>
      </c>
      <c r="T150" s="352">
        <f>SUMIFS('NEW Feeder Reserved'!$M$1:$M$577,'NEW Feeder Reserved'!$A$1:$A$577,"SS 44mm",'NEW Feeder Reserved'!$I$1:$I$577,"66",'NEW Feeder Reserved'!$H$1:$H$577,"BJS")</f>
        <v>1</v>
      </c>
      <c r="U150" s="504">
        <f t="shared" si="14"/>
        <v>-1</v>
      </c>
    </row>
    <row r="151" spans="1:21" ht="15">
      <c r="A151" s="360" t="s">
        <v>2816</v>
      </c>
      <c r="B151" s="353">
        <v>0</v>
      </c>
      <c r="C151" s="351">
        <f>SUMIFS('NEW Feeder Reserved'!$G$1:$G$577,'NEW Feeder Reserved'!$A$1:$A$577,"SS 56mm",'NEW Feeder Reserved'!$F$1:$F$577,"C66 SZX 有交期")</f>
        <v>0</v>
      </c>
      <c r="D151" s="351">
        <f>SUMIFS('NEW Feeder Reserved'!$G$1:$G$577,'NEW Feeder Reserved'!$A$1:$A$577,"SS 56mm",'NEW Feeder Reserved'!$F$1:$F$577,"C66 SZX TBA")</f>
        <v>0</v>
      </c>
      <c r="E151" s="352">
        <f>SUMIFS('NEW Feeder Reserved'!$M$1:$M$577,'NEW Feeder Reserved'!$A$1:$A$577,"SS 56mm",'NEW Feeder Reserved'!$I$1:$I$577,"66",'NEW Feeder Reserved'!$H$1:$H$577,"SZX")</f>
        <v>1</v>
      </c>
      <c r="F151" s="504">
        <f t="shared" si="12"/>
        <v>-1</v>
      </c>
      <c r="I151" s="360" t="s">
        <v>2816</v>
      </c>
      <c r="J151" s="353">
        <v>0</v>
      </c>
      <c r="K151" s="351">
        <f>SUMIFS('NEW Feeder Reserved'!$G$1:$G$577,'NEW Feeder Reserved'!$A$1:$A$577,"SS 56mm",'NEW Feeder Reserved'!$F$1:$F$577,"C66 SZX 有交期")</f>
        <v>0</v>
      </c>
      <c r="L151" s="351">
        <f>SUMIFS('NEW Feeder Reserved'!$G$1:$G$577,'NEW Feeder Reserved'!$A$1:$A$577,"SS 56mm",'NEW Feeder Reserved'!$F$1:$F$577,"C66 SZX TBA")</f>
        <v>0</v>
      </c>
      <c r="M151" s="352">
        <f>SUMIFS('NEW Feeder Reserved'!$M$1:$M$577,'NEW Feeder Reserved'!$A$1:$A$577,"SS 56mm",'NEW Feeder Reserved'!$I$1:$I$577,"66",'NEW Feeder Reserved'!$H$1:$H$577,"SHA")</f>
        <v>1</v>
      </c>
      <c r="N151" s="504">
        <f t="shared" si="13"/>
        <v>-1</v>
      </c>
      <c r="O151" s="1"/>
      <c r="P151" s="360" t="s">
        <v>2816</v>
      </c>
      <c r="Q151" s="353">
        <v>0</v>
      </c>
      <c r="R151" s="351">
        <f>SUMIFS('NEW Feeder Reserved'!$G$1:$G$577,'NEW Feeder Reserved'!$A$1:$A$577,"SS 56mm",'NEW Feeder Reserved'!$F$1:$F$577,"C66 SZX 有交期")</f>
        <v>0</v>
      </c>
      <c r="S151" s="351">
        <f>SUMIFS('NEW Feeder Reserved'!$G$1:$G$577,'NEW Feeder Reserved'!$A$1:$A$577,"SS 56mm",'NEW Feeder Reserved'!$F$1:$F$577,"C66 SZX TBA")</f>
        <v>0</v>
      </c>
      <c r="T151" s="352">
        <f>SUMIFS('NEW Feeder Reserved'!$M$1:$M$577,'NEW Feeder Reserved'!$A$1:$A$577,"SS 56mm",'NEW Feeder Reserved'!$I$1:$I$577,"66",'NEW Feeder Reserved'!$H$1:$H$577,"BJS")</f>
        <v>0</v>
      </c>
      <c r="U151" s="504">
        <f t="shared" si="14"/>
        <v>0</v>
      </c>
    </row>
    <row r="152" spans="1:21" ht="15">
      <c r="A152" s="360" t="s">
        <v>2818</v>
      </c>
      <c r="B152" s="353">
        <v>0</v>
      </c>
      <c r="C152" s="351">
        <f>SUMIFS('NEW Feeder Reserved'!$G$1:$G$577,'NEW Feeder Reserved'!$A$1:$A$577,"SS 72mm",'NEW Feeder Reserved'!$F$1:$F$577,"C66 SZX 有交期")</f>
        <v>0</v>
      </c>
      <c r="D152" s="351">
        <f>SUMIFS('NEW Feeder Reserved'!$G$1:$G$577,'NEW Feeder Reserved'!$A$1:$A$577,"SS 72mm",'NEW Feeder Reserved'!$F$1:$F$577,"C66 SZX TBA")</f>
        <v>0</v>
      </c>
      <c r="E152" s="352">
        <f>SUMIFS('NEW Feeder Reserved'!$M$1:$M$577,'NEW Feeder Reserved'!$A$1:$A$577,"SS 72mm",'NEW Feeder Reserved'!$I$1:$I$577,"66",'NEW Feeder Reserved'!$H$1:$H$577,"SZX")</f>
        <v>0</v>
      </c>
      <c r="F152" s="504">
        <f t="shared" si="12"/>
        <v>0</v>
      </c>
      <c r="H152" s="384"/>
      <c r="I152" s="360" t="s">
        <v>2818</v>
      </c>
      <c r="J152" s="353">
        <v>0</v>
      </c>
      <c r="K152" s="351">
        <f>SUMIFS('NEW Feeder Reserved'!$G$1:$G$577,'NEW Feeder Reserved'!$A$1:$A$577,"SS 72mm",'NEW Feeder Reserved'!$F$1:$F$577,"C66 SZX 有交期")</f>
        <v>0</v>
      </c>
      <c r="L152" s="351">
        <f>SUMIFS('NEW Feeder Reserved'!$G$1:$G$577,'NEW Feeder Reserved'!$A$1:$A$577,"SS 72mm",'NEW Feeder Reserved'!$F$1:$F$577,"C66 SZX TBA")</f>
        <v>0</v>
      </c>
      <c r="M152" s="352">
        <f>SUMIFS('NEW Feeder Reserved'!$M$1:$M$577,'NEW Feeder Reserved'!$A$1:$A$577,"SS 72mm",'NEW Feeder Reserved'!$I$1:$I$577,"66",'NEW Feeder Reserved'!$H$1:$H$577,"SHA")</f>
        <v>0</v>
      </c>
      <c r="N152" s="504">
        <f t="shared" si="13"/>
        <v>0</v>
      </c>
      <c r="O152" s="1"/>
      <c r="P152" s="360" t="s">
        <v>2818</v>
      </c>
      <c r="Q152" s="353">
        <v>0</v>
      </c>
      <c r="R152" s="351">
        <f>SUMIFS('NEW Feeder Reserved'!$G$1:$G$577,'NEW Feeder Reserved'!$A$1:$A$577,"SS 72mm",'NEW Feeder Reserved'!$F$1:$F$577,"C66 SZX 有交期")</f>
        <v>0</v>
      </c>
      <c r="S152" s="351">
        <f>SUMIFS('NEW Feeder Reserved'!$G$1:$G$577,'NEW Feeder Reserved'!$A$1:$A$577,"SS 72mm",'NEW Feeder Reserved'!$F$1:$F$577,"C66 SZX TBA")</f>
        <v>0</v>
      </c>
      <c r="T152" s="352">
        <f>SUMIFS('NEW Feeder Reserved'!$M$1:$M$577,'NEW Feeder Reserved'!$A$1:$A$577,"SS 72mm",'NEW Feeder Reserved'!$I$1:$I$577,"66",'NEW Feeder Reserved'!$H$1:$H$577,"BJS")</f>
        <v>0</v>
      </c>
      <c r="U152" s="504">
        <f t="shared" si="14"/>
        <v>0</v>
      </c>
    </row>
    <row r="153" spans="1:21" ht="15">
      <c r="A153" s="360" t="s">
        <v>2845</v>
      </c>
      <c r="B153" s="353">
        <v>0</v>
      </c>
      <c r="C153" s="351">
        <f>SUMIFS('NEW Feeder Reserved'!$G$1:$G$577,'NEW Feeder Reserved'!$A$1:$A$577,"ZS 4mm",'NEW Feeder Reserved'!$F$1:$F$577,"C66 SZX 有交期")</f>
        <v>0</v>
      </c>
      <c r="D153" s="351">
        <f>SUMIFS('NEW Feeder Reserved'!$G$1:$G$577,'NEW Feeder Reserved'!$A$1:$A$577,"ZS 4mm",'NEW Feeder Reserved'!$F$1:$F$577,"C66 SZX TBA")</f>
        <v>0</v>
      </c>
      <c r="E153" s="352">
        <f>SUMIFS('NEW Feeder Reserved'!$M$1:$M$577,'NEW Feeder Reserved'!$A$1:$A$577,"ZS 4mm",'NEW Feeder Reserved'!$I$1:$I$577,"66",'NEW Feeder Reserved'!$H$1:$H$577,"SZX")</f>
        <v>0</v>
      </c>
      <c r="F153" s="504">
        <f t="shared" si="12"/>
        <v>0</v>
      </c>
      <c r="H153" s="384"/>
      <c r="I153" s="360" t="s">
        <v>2845</v>
      </c>
      <c r="J153" s="353">
        <v>0</v>
      </c>
      <c r="K153" s="351">
        <f>SUMIFS('NEW Feeder Reserved'!$G$1:$G$577,'NEW Feeder Reserved'!$A$1:$A$577,"ZS 4mm",'NEW Feeder Reserved'!$F$1:$F$577,"C66 SZX 有交期")</f>
        <v>0</v>
      </c>
      <c r="L153" s="351">
        <f>SUMIFS('NEW Feeder Reserved'!$G$1:$G$577,'NEW Feeder Reserved'!$A$1:$A$577,"ZS 4mm",'NEW Feeder Reserved'!$F$1:$F$577,"C66 SZX TBA")</f>
        <v>0</v>
      </c>
      <c r="M153" s="352">
        <f>SUMIFS('NEW Feeder Reserved'!$M$1:$M$577,'NEW Feeder Reserved'!$A$1:$A$577,"ZS 4mm",'NEW Feeder Reserved'!$I$1:$I$577,"66",'NEW Feeder Reserved'!$H$1:$H$577,"SHA")</f>
        <v>0</v>
      </c>
      <c r="N153" s="504">
        <f t="shared" si="13"/>
        <v>0</v>
      </c>
      <c r="O153" s="1"/>
      <c r="P153" s="360" t="s">
        <v>2845</v>
      </c>
      <c r="Q153" s="353">
        <v>0</v>
      </c>
      <c r="R153" s="351">
        <f>SUMIFS('NEW Feeder Reserved'!$G$1:$G$577,'NEW Feeder Reserved'!$A$1:$A$577,"ZS 4mm",'NEW Feeder Reserved'!$F$1:$F$577,"C66 SZX 有交期")</f>
        <v>0</v>
      </c>
      <c r="S153" s="351">
        <f>SUMIFS('NEW Feeder Reserved'!$G$1:$G$577,'NEW Feeder Reserved'!$A$1:$A$577,"ZS 4mm",'NEW Feeder Reserved'!$F$1:$F$577,"C66 SZX TBA")</f>
        <v>0</v>
      </c>
      <c r="T153" s="352">
        <f>SUMIFS('NEW Feeder Reserved'!$M$1:$M$577,'NEW Feeder Reserved'!$A$1:$A$577,"ZS 4mm",'NEW Feeder Reserved'!$I$1:$I$577,"66",'NEW Feeder Reserved'!$H$1:$H$577,"BJS")</f>
        <v>0</v>
      </c>
      <c r="U153" s="504">
        <f t="shared" si="14"/>
        <v>0</v>
      </c>
    </row>
    <row r="154" spans="1:21" ht="15">
      <c r="A154" s="360" t="s">
        <v>2846</v>
      </c>
      <c r="B154" s="353">
        <v>0</v>
      </c>
      <c r="C154" s="351">
        <f>SUMIFS('NEW Feeder Reserved'!$G$1:$G$577,'NEW Feeder Reserved'!$A$1:$A$577,"ZS 8mm",'NEW Feeder Reserved'!$F$1:$F$577,"C66 SZX 有交期")</f>
        <v>0</v>
      </c>
      <c r="D154" s="351">
        <f>SUMIFS('NEW Feeder Reserved'!$G$1:$G$577,'NEW Feeder Reserved'!$A$1:$A$577,"ZS 8mm",'NEW Feeder Reserved'!$F$1:$F$577,"C66 SZX TBA")</f>
        <v>0</v>
      </c>
      <c r="E154" s="352">
        <f>SUMIFS('NEW Feeder Reserved'!$M$1:$M$577,'NEW Feeder Reserved'!$A$1:$A$577,"ZS 8mm",'NEW Feeder Reserved'!$I$1:$I$577,"66",'NEW Feeder Reserved'!$H$1:$H$577,"SZX")</f>
        <v>635</v>
      </c>
      <c r="F154" s="504">
        <f t="shared" si="12"/>
        <v>-635</v>
      </c>
      <c r="I154" s="360" t="s">
        <v>2846</v>
      </c>
      <c r="J154" s="353">
        <v>0</v>
      </c>
      <c r="K154" s="351">
        <f>SUMIFS('NEW Feeder Reserved'!$G$1:$G$577,'NEW Feeder Reserved'!$A$1:$A$577,"ZS 8mm",'NEW Feeder Reserved'!$F$1:$F$577,"C66 SZX 有交期")</f>
        <v>0</v>
      </c>
      <c r="L154" s="351">
        <f>SUMIFS('NEW Feeder Reserved'!$G$1:$G$577,'NEW Feeder Reserved'!$A$1:$A$577,"ZS 8mm",'NEW Feeder Reserved'!$F$1:$F$577,"C66 SZX TBA")</f>
        <v>0</v>
      </c>
      <c r="M154" s="352">
        <f>SUMIFS('NEW Feeder Reserved'!$M$1:$M$577,'NEW Feeder Reserved'!$A$1:$A$577,"ZS 8mm",'NEW Feeder Reserved'!$I$1:$I$577,"66",'NEW Feeder Reserved'!$H$1:$H$577,"SHA")</f>
        <v>3</v>
      </c>
      <c r="N154" s="504">
        <f t="shared" si="13"/>
        <v>-3</v>
      </c>
      <c r="O154" s="1"/>
      <c r="P154" s="360" t="s">
        <v>2846</v>
      </c>
      <c r="Q154" s="353">
        <v>0</v>
      </c>
      <c r="R154" s="351">
        <f>SUMIFS('NEW Feeder Reserved'!$G$1:$G$577,'NEW Feeder Reserved'!$A$1:$A$577,"ZS 8mm",'NEW Feeder Reserved'!$F$1:$F$577,"C66 SZX 有交期")</f>
        <v>0</v>
      </c>
      <c r="S154" s="351">
        <f>SUMIFS('NEW Feeder Reserved'!$G$1:$G$577,'NEW Feeder Reserved'!$A$1:$A$577,"ZS 8mm",'NEW Feeder Reserved'!$F$1:$F$577,"C66 SZX TBA")</f>
        <v>0</v>
      </c>
      <c r="T154" s="352">
        <f>SUMIFS('NEW Feeder Reserved'!$M$1:$M$577,'NEW Feeder Reserved'!$A$1:$A$577,"ZS 8mm",'NEW Feeder Reserved'!$I$1:$I$577,"66",'NEW Feeder Reserved'!$H$1:$H$577,"BJS")</f>
        <v>0</v>
      </c>
      <c r="U154" s="504">
        <f t="shared" si="14"/>
        <v>0</v>
      </c>
    </row>
    <row r="155" spans="1:21" ht="15">
      <c r="A155" s="360" t="s">
        <v>2824</v>
      </c>
      <c r="B155" s="353">
        <v>10</v>
      </c>
      <c r="C155" s="351">
        <f>SUMIFS('NEW Feeder Reserved'!$G$1:$G$577,'NEW Feeder Reserved'!$A$1:$A$577,"ZS 12/16mm",'NEW Feeder Reserved'!$F$1:$F$577,"C66 SZX 有交期")</f>
        <v>0</v>
      </c>
      <c r="D155" s="351">
        <f>SUMIFS('NEW Feeder Reserved'!$G$1:$G$577,'NEW Feeder Reserved'!$A$1:$A$577,"ZS 12/16mm",'NEW Feeder Reserved'!$F$1:$F$577,"C66 SZX TBA")</f>
        <v>0</v>
      </c>
      <c r="E155" s="352">
        <f>SUMIFS('NEW Feeder Reserved'!$M$1:$M$577,'NEW Feeder Reserved'!$A$1:$A$577,"ZS 12/16mm",'NEW Feeder Reserved'!$I$1:$I$577,"66",'NEW Feeder Reserved'!$H$1:$H$577,"SZX")</f>
        <v>33</v>
      </c>
      <c r="F155" s="504">
        <f t="shared" si="12"/>
        <v>-23</v>
      </c>
      <c r="I155" s="360" t="s">
        <v>2824</v>
      </c>
      <c r="J155" s="353">
        <v>10</v>
      </c>
      <c r="K155" s="351">
        <f>SUMIFS('NEW Feeder Reserved'!$G$1:$G$577,'NEW Feeder Reserved'!$A$1:$A$577,"ZS 12/16mm",'NEW Feeder Reserved'!$F$1:$F$577,"C66 SZX 有交期")</f>
        <v>0</v>
      </c>
      <c r="L155" s="351">
        <f>SUMIFS('NEW Feeder Reserved'!$G$1:$G$577,'NEW Feeder Reserved'!$A$1:$A$577,"ZS 12/16mm",'NEW Feeder Reserved'!$F$1:$F$577,"C66 SZX TBA")</f>
        <v>0</v>
      </c>
      <c r="M155" s="352">
        <f>SUMIFS('NEW Feeder Reserved'!$M$1:$M$577,'NEW Feeder Reserved'!$A$1:$A$577,"ZS 12/16mm",'NEW Feeder Reserved'!$I$1:$I$577,"66",'NEW Feeder Reserved'!$H$1:$H$577,"SHA")</f>
        <v>0</v>
      </c>
      <c r="N155" s="504">
        <f t="shared" si="13"/>
        <v>10</v>
      </c>
      <c r="O155" s="1"/>
      <c r="P155" s="360" t="s">
        <v>2824</v>
      </c>
      <c r="Q155" s="353">
        <v>10</v>
      </c>
      <c r="R155" s="351">
        <f>SUMIFS('NEW Feeder Reserved'!$G$1:$G$577,'NEW Feeder Reserved'!$A$1:$A$577,"ZS 12/16mm",'NEW Feeder Reserved'!$F$1:$F$577,"C66 SZX 有交期")</f>
        <v>0</v>
      </c>
      <c r="S155" s="351">
        <f>SUMIFS('NEW Feeder Reserved'!$G$1:$G$577,'NEW Feeder Reserved'!$A$1:$A$577,"ZS 12/16mm",'NEW Feeder Reserved'!$F$1:$F$577,"C66 SZX TBA")</f>
        <v>0</v>
      </c>
      <c r="T155" s="352">
        <f>SUMIFS('NEW Feeder Reserved'!$M$1:$M$577,'NEW Feeder Reserved'!$A$1:$A$577,"ZS 12/16mm",'NEW Feeder Reserved'!$I$1:$I$577,"66",'NEW Feeder Reserved'!$H$1:$H$577,"BJS")</f>
        <v>0</v>
      </c>
      <c r="U155" s="504">
        <f t="shared" si="14"/>
        <v>10</v>
      </c>
    </row>
    <row r="156" spans="1:21" ht="15">
      <c r="A156" s="360" t="s">
        <v>2826</v>
      </c>
      <c r="B156" s="353">
        <v>0</v>
      </c>
      <c r="C156" s="351">
        <f>SUMIFS('NEW Feeder Reserved'!$G$1:$G$577,'NEW Feeder Reserved'!$A$1:$A$577,"ZS 24mm",'NEW Feeder Reserved'!$F$1:$F$577,"C66 SZX 有交期")</f>
        <v>0</v>
      </c>
      <c r="D156" s="351">
        <f>SUMIFS('NEW Feeder Reserved'!$G$1:$G$577,'NEW Feeder Reserved'!$A$1:$A$577,"ZS 24mm",'NEW Feeder Reserved'!$F$1:$F$577,"C66 SZX TBA")</f>
        <v>0</v>
      </c>
      <c r="E156" s="352">
        <f>SUMIFS('NEW Feeder Reserved'!$M$1:$M$577,'NEW Feeder Reserved'!$A$1:$A$577,"ZS 24mm",'NEW Feeder Reserved'!$I$1:$I$577,"66",'NEW Feeder Reserved'!$H$1:$H$577,"SZX")</f>
        <v>15</v>
      </c>
      <c r="F156" s="504">
        <f t="shared" si="12"/>
        <v>-15</v>
      </c>
      <c r="I156" s="360" t="s">
        <v>2826</v>
      </c>
      <c r="J156" s="353">
        <v>0</v>
      </c>
      <c r="K156" s="351">
        <f>SUMIFS('NEW Feeder Reserved'!$G$1:$G$577,'NEW Feeder Reserved'!$A$1:$A$577,"ZS 24mm",'NEW Feeder Reserved'!$F$1:$F$577,"C66 SZX 有交期")</f>
        <v>0</v>
      </c>
      <c r="L156" s="351">
        <f>SUMIFS('NEW Feeder Reserved'!$G$1:$G$577,'NEW Feeder Reserved'!$A$1:$A$577,"ZS 24mm",'NEW Feeder Reserved'!$F$1:$F$577,"C66 SZX TBA")</f>
        <v>0</v>
      </c>
      <c r="M156" s="352">
        <f>SUMIFS('NEW Feeder Reserved'!$M$1:$M$577,'NEW Feeder Reserved'!$A$1:$A$577,"ZS 24mm",'NEW Feeder Reserved'!$I$1:$I$577,"66",'NEW Feeder Reserved'!$H$1:$H$577,"SHA")</f>
        <v>12</v>
      </c>
      <c r="N156" s="504">
        <f t="shared" si="13"/>
        <v>-12</v>
      </c>
      <c r="O156" s="1"/>
      <c r="P156" s="360" t="s">
        <v>2826</v>
      </c>
      <c r="Q156" s="353">
        <v>0</v>
      </c>
      <c r="R156" s="351">
        <f>SUMIFS('NEW Feeder Reserved'!$G$1:$G$577,'NEW Feeder Reserved'!$A$1:$A$577,"ZS 24mm",'NEW Feeder Reserved'!$F$1:$F$577,"C66 SZX 有交期")</f>
        <v>0</v>
      </c>
      <c r="S156" s="351">
        <f>SUMIFS('NEW Feeder Reserved'!$G$1:$G$577,'NEW Feeder Reserved'!$A$1:$A$577,"ZS 24mm",'NEW Feeder Reserved'!$F$1:$F$577,"C66 SZX TBA")</f>
        <v>0</v>
      </c>
      <c r="T156" s="352">
        <f>SUMIFS('NEW Feeder Reserved'!$M$1:$M$577,'NEW Feeder Reserved'!$A$1:$A$577,"ZS 24mm",'NEW Feeder Reserved'!$I$1:$I$577,"66",'NEW Feeder Reserved'!$H$1:$H$577,"BJS")</f>
        <v>0</v>
      </c>
      <c r="U156" s="504">
        <f t="shared" si="14"/>
        <v>0</v>
      </c>
    </row>
    <row r="157" spans="1:21" ht="15">
      <c r="A157" s="360" t="s">
        <v>2828</v>
      </c>
      <c r="B157" s="353">
        <v>0</v>
      </c>
      <c r="C157" s="351">
        <f>SUMIFS('NEW Feeder Reserved'!$G$1:$G$577,'NEW Feeder Reserved'!$A$1:$A$577,"ZS 32mm",'NEW Feeder Reserved'!$F$1:$F$577,"C66 SZX 有交期")</f>
        <v>0</v>
      </c>
      <c r="D157" s="351">
        <f>SUMIFS('NEW Feeder Reserved'!$G$1:$G$577,'NEW Feeder Reserved'!$A$1:$A$577,"ZS 32mm",'NEW Feeder Reserved'!$F$1:$F$577,"C66 SZX TBA")</f>
        <v>0</v>
      </c>
      <c r="E157" s="352">
        <f>SUMIFS('NEW Feeder Reserved'!$M$1:$M$577,'NEW Feeder Reserved'!$A$1:$A$577,"ZS 32mm",'NEW Feeder Reserved'!$I$1:$I$577,"66",'NEW Feeder Reserved'!$H$1:$H$577,"SZX")</f>
        <v>4</v>
      </c>
      <c r="F157" s="504">
        <f t="shared" si="12"/>
        <v>-4</v>
      </c>
      <c r="I157" s="360" t="s">
        <v>2828</v>
      </c>
      <c r="J157" s="353">
        <v>0</v>
      </c>
      <c r="K157" s="351">
        <f>SUMIFS('NEW Feeder Reserved'!$G$1:$G$577,'NEW Feeder Reserved'!$A$1:$A$577,"ZS 32mm",'NEW Feeder Reserved'!$F$1:$F$577,"C66 SZX 有交期")</f>
        <v>0</v>
      </c>
      <c r="L157" s="351">
        <f>SUMIFS('NEW Feeder Reserved'!$G$1:$G$577,'NEW Feeder Reserved'!$A$1:$A$577,"ZS 32mm",'NEW Feeder Reserved'!$F$1:$F$577,"C66 SZX TBA")</f>
        <v>0</v>
      </c>
      <c r="M157" s="352">
        <f>SUMIFS('NEW Feeder Reserved'!$M$1:$M$577,'NEW Feeder Reserved'!$A$1:$A$577,"ZS 32mm",'NEW Feeder Reserved'!$I$1:$I$577,"66",'NEW Feeder Reserved'!$H$1:$H$577,"SHA")</f>
        <v>2</v>
      </c>
      <c r="N157" s="504">
        <f t="shared" si="13"/>
        <v>-2</v>
      </c>
      <c r="O157" s="1"/>
      <c r="P157" s="360" t="s">
        <v>2828</v>
      </c>
      <c r="Q157" s="353">
        <v>0</v>
      </c>
      <c r="R157" s="351">
        <f>SUMIFS('NEW Feeder Reserved'!$G$1:$G$577,'NEW Feeder Reserved'!$A$1:$A$577,"ZS 32mm",'NEW Feeder Reserved'!$F$1:$F$577,"C66 SZX 有交期")</f>
        <v>0</v>
      </c>
      <c r="S157" s="351">
        <f>SUMIFS('NEW Feeder Reserved'!$G$1:$G$577,'NEW Feeder Reserved'!$A$1:$A$577,"ZS 32mm",'NEW Feeder Reserved'!$F$1:$F$577,"C66 SZX TBA")</f>
        <v>0</v>
      </c>
      <c r="T157" s="352">
        <f>SUMIFS('NEW Feeder Reserved'!$M$1:$M$577,'NEW Feeder Reserved'!$A$1:$A$577,"ZS 32mm",'NEW Feeder Reserved'!$I$1:$I$577,"66",'NEW Feeder Reserved'!$H$1:$H$577,"BJS")</f>
        <v>0</v>
      </c>
      <c r="U157" s="504">
        <f t="shared" si="14"/>
        <v>0</v>
      </c>
    </row>
    <row r="158" spans="1:21" ht="15">
      <c r="A158" s="360" t="s">
        <v>2830</v>
      </c>
      <c r="B158" s="353">
        <v>0</v>
      </c>
      <c r="C158" s="351">
        <f>SUMIFS('NEW Feeder Reserved'!$G$1:$G$577,'NEW Feeder Reserved'!$A$1:$A$577,"ZS 44mm",'NEW Feeder Reserved'!$F$1:$F$577,"C66 SZX 有交期")</f>
        <v>0</v>
      </c>
      <c r="D158" s="351">
        <f>SUMIFS('NEW Feeder Reserved'!$G$1:$G$577,'NEW Feeder Reserved'!$A$1:$A$577,"ZS 44mm",'NEW Feeder Reserved'!$F$1:$F$577,"C66 SZX TBA")</f>
        <v>0</v>
      </c>
      <c r="E158" s="352">
        <f>SUMIFS('NEW Feeder Reserved'!$M$1:$M$577,'NEW Feeder Reserved'!$A$1:$A$577,"ZS 44mm",'NEW Feeder Reserved'!$I$1:$I$577,"66",'NEW Feeder Reserved'!$H$1:$H$577,"SZX")</f>
        <v>2</v>
      </c>
      <c r="F158" s="504">
        <f t="shared" si="12"/>
        <v>-2</v>
      </c>
      <c r="I158" s="360" t="s">
        <v>2830</v>
      </c>
      <c r="J158" s="353">
        <v>0</v>
      </c>
      <c r="K158" s="351">
        <f>SUMIFS('NEW Feeder Reserved'!$G$1:$G$577,'NEW Feeder Reserved'!$A$1:$A$577,"ZS 44mm",'NEW Feeder Reserved'!$F$1:$F$577,"C66 SZX 有交期")</f>
        <v>0</v>
      </c>
      <c r="L158" s="351">
        <f>SUMIFS('NEW Feeder Reserved'!$G$1:$G$577,'NEW Feeder Reserved'!$A$1:$A$577,"ZS 44mm",'NEW Feeder Reserved'!$F$1:$F$577,"C66 SZX TBA")</f>
        <v>0</v>
      </c>
      <c r="M158" s="352">
        <f>SUMIFS('NEW Feeder Reserved'!$M$1:$M$577,'NEW Feeder Reserved'!$A$1:$A$577,"ZS 44mm",'NEW Feeder Reserved'!$I$1:$I$577,"66",'NEW Feeder Reserved'!$H$1:$H$577,"SHA")</f>
        <v>1</v>
      </c>
      <c r="N158" s="504">
        <f t="shared" si="13"/>
        <v>-1</v>
      </c>
      <c r="O158" s="1"/>
      <c r="P158" s="360" t="s">
        <v>2830</v>
      </c>
      <c r="Q158" s="353">
        <v>0</v>
      </c>
      <c r="R158" s="351">
        <f>SUMIFS('NEW Feeder Reserved'!$G$1:$G$577,'NEW Feeder Reserved'!$A$1:$A$577,"ZS 44mm",'NEW Feeder Reserved'!$F$1:$F$577,"C66 SZX 有交期")</f>
        <v>0</v>
      </c>
      <c r="S158" s="351">
        <f>SUMIFS('NEW Feeder Reserved'!$G$1:$G$577,'NEW Feeder Reserved'!$A$1:$A$577,"ZS 44mm",'NEW Feeder Reserved'!$F$1:$F$577,"C66 SZX TBA")</f>
        <v>0</v>
      </c>
      <c r="T158" s="352">
        <f>SUMIFS('NEW Feeder Reserved'!$M$1:$M$577,'NEW Feeder Reserved'!$A$1:$A$577,"ZS 44mm",'NEW Feeder Reserved'!$I$1:$I$577,"66",'NEW Feeder Reserved'!$H$1:$H$577,"BJS")</f>
        <v>2</v>
      </c>
      <c r="U158" s="504">
        <f t="shared" si="14"/>
        <v>-2</v>
      </c>
    </row>
    <row r="159" spans="1:21" ht="15">
      <c r="A159" s="360" t="s">
        <v>2832</v>
      </c>
      <c r="B159" s="353">
        <v>0</v>
      </c>
      <c r="C159" s="351">
        <f>SUMIFS('NEW Feeder Reserved'!$G$1:$G$577,'NEW Feeder Reserved'!$A$1:$A$577,"ZS 56mm",'NEW Feeder Reserved'!$F$1:$F$577,"C66 SZX 有交期")</f>
        <v>0</v>
      </c>
      <c r="D159" s="351">
        <f>SUMIFS('NEW Feeder Reserved'!$G$1:$G$577,'NEW Feeder Reserved'!$A$1:$A$577,"ZS 56mm",'NEW Feeder Reserved'!$F$1:$F$577,"C66 SZX TBA")</f>
        <v>0</v>
      </c>
      <c r="E159" s="352">
        <f>SUMIFS('NEW Feeder Reserved'!$M$1:$M$577,'NEW Feeder Reserved'!$A$1:$A$577,"ZS 56mm",'NEW Feeder Reserved'!$I$1:$I$577,"66",'NEW Feeder Reserved'!$H$1:$H$577,"SZX")</f>
        <v>1</v>
      </c>
      <c r="F159" s="504">
        <f t="shared" si="12"/>
        <v>-1</v>
      </c>
      <c r="I159" s="360" t="s">
        <v>2832</v>
      </c>
      <c r="J159" s="353">
        <v>0</v>
      </c>
      <c r="K159" s="351">
        <f>SUMIFS('NEW Feeder Reserved'!$G$1:$G$577,'NEW Feeder Reserved'!$A$1:$A$577,"ZS 56mm",'NEW Feeder Reserved'!$F$1:$F$577,"C66 SZX 有交期")</f>
        <v>0</v>
      </c>
      <c r="L159" s="351">
        <f>SUMIFS('NEW Feeder Reserved'!$G$1:$G$577,'NEW Feeder Reserved'!$A$1:$A$577,"ZS 56mm",'NEW Feeder Reserved'!$F$1:$F$577,"C66 SZX TBA")</f>
        <v>0</v>
      </c>
      <c r="M159" s="352">
        <f>SUMIFS('NEW Feeder Reserved'!$M$1:$M$577,'NEW Feeder Reserved'!$A$1:$A$577,"ZS 56mm",'NEW Feeder Reserved'!$I$1:$I$577,"66",'NEW Feeder Reserved'!$H$1:$H$577,"SHA")</f>
        <v>0</v>
      </c>
      <c r="N159" s="504">
        <f t="shared" si="13"/>
        <v>0</v>
      </c>
      <c r="O159" s="1"/>
      <c r="P159" s="360" t="s">
        <v>2832</v>
      </c>
      <c r="Q159" s="353">
        <v>0</v>
      </c>
      <c r="R159" s="351">
        <f>SUMIFS('NEW Feeder Reserved'!$G$1:$G$577,'NEW Feeder Reserved'!$A$1:$A$577,"ZS 56mm",'NEW Feeder Reserved'!$F$1:$F$577,"C66 SZX 有交期")</f>
        <v>0</v>
      </c>
      <c r="S159" s="351">
        <f>SUMIFS('NEW Feeder Reserved'!$G$1:$G$577,'NEW Feeder Reserved'!$A$1:$A$577,"ZS 56mm",'NEW Feeder Reserved'!$F$1:$F$577,"C66 SZX TBA")</f>
        <v>0</v>
      </c>
      <c r="T159" s="352">
        <f>SUMIFS('NEW Feeder Reserved'!$M$1:$M$577,'NEW Feeder Reserved'!$A$1:$A$577,"ZS 56mm",'NEW Feeder Reserved'!$I$1:$I$577,"66",'NEW Feeder Reserved'!$H$1:$H$577,"BJS")</f>
        <v>0</v>
      </c>
      <c r="U159" s="504">
        <f t="shared" si="14"/>
        <v>0</v>
      </c>
    </row>
    <row r="160" spans="1:21" ht="15">
      <c r="A160" s="360" t="s">
        <v>2834</v>
      </c>
      <c r="B160" s="353">
        <v>0</v>
      </c>
      <c r="C160" s="351">
        <f>SUMIFS('NEW Feeder Reserved'!$G$1:$G$577,'NEW Feeder Reserved'!$A$1:$A$577,"ZS 72mm",'NEW Feeder Reserved'!$F$1:$F$577,"C66 SZX 有交期")</f>
        <v>0</v>
      </c>
      <c r="D160" s="351">
        <f>SUMIFS('NEW Feeder Reserved'!$G$1:$G$577,'NEW Feeder Reserved'!$A$1:$A$577,"ZS 72mm",'NEW Feeder Reserved'!$F$1:$F$577,"C66 SZX TBA")</f>
        <v>0</v>
      </c>
      <c r="E160" s="352">
        <f>SUMIFS('NEW Feeder Reserved'!$M$1:$M$577,'NEW Feeder Reserved'!$A$1:$A$577,"ZS 72mm",'NEW Feeder Reserved'!$I$1:$I$577,"66",'NEW Feeder Reserved'!$H$1:$H$577,"SZX")</f>
        <v>0</v>
      </c>
      <c r="F160" s="504">
        <f t="shared" si="12"/>
        <v>0</v>
      </c>
      <c r="I160" s="360" t="s">
        <v>2834</v>
      </c>
      <c r="J160" s="353">
        <v>0</v>
      </c>
      <c r="K160" s="351">
        <f>SUMIFS('NEW Feeder Reserved'!$G$1:$G$577,'NEW Feeder Reserved'!$A$1:$A$577,"ZS 72mm",'NEW Feeder Reserved'!$F$1:$F$577,"C66 SZX 有交期")</f>
        <v>0</v>
      </c>
      <c r="L160" s="351">
        <f>SUMIFS('NEW Feeder Reserved'!$G$1:$G$577,'NEW Feeder Reserved'!$A$1:$A$577,"ZS 72mm",'NEW Feeder Reserved'!$F$1:$F$577,"C66 SZX TBA")</f>
        <v>0</v>
      </c>
      <c r="M160" s="352">
        <f>SUMIFS('NEW Feeder Reserved'!$M$1:$M$577,'NEW Feeder Reserved'!$A$1:$A$577,"ZS 72mm",'NEW Feeder Reserved'!$I$1:$I$577,"66",'NEW Feeder Reserved'!$H$1:$H$577,"SHA")</f>
        <v>0</v>
      </c>
      <c r="N160" s="504">
        <f t="shared" si="13"/>
        <v>0</v>
      </c>
      <c r="O160" s="1"/>
      <c r="P160" s="360" t="s">
        <v>2834</v>
      </c>
      <c r="Q160" s="353">
        <v>0</v>
      </c>
      <c r="R160" s="351">
        <f>SUMIFS('NEW Feeder Reserved'!$G$1:$G$577,'NEW Feeder Reserved'!$A$1:$A$577,"ZS 72mm",'NEW Feeder Reserved'!$F$1:$F$577,"C66 SZX 有交期")</f>
        <v>0</v>
      </c>
      <c r="S160" s="351">
        <f>SUMIFS('NEW Feeder Reserved'!$G$1:$G$577,'NEW Feeder Reserved'!$A$1:$A$577,"ZS 72mm",'NEW Feeder Reserved'!$F$1:$F$577,"C66 SZX TBA")</f>
        <v>0</v>
      </c>
      <c r="T160" s="352">
        <f>SUMIFS('NEW Feeder Reserved'!$M$1:$M$577,'NEW Feeder Reserved'!$A$1:$A$577,"ZS 72mm",'NEW Feeder Reserved'!$I$1:$I$577,"66",'NEW Feeder Reserved'!$H$1:$H$577,"BJS")</f>
        <v>0</v>
      </c>
      <c r="U160" s="504">
        <f t="shared" si="14"/>
        <v>0</v>
      </c>
    </row>
    <row r="161" spans="1:21" ht="21" thickBot="1">
      <c r="A161" s="346"/>
      <c r="B161" s="354">
        <f>SUM(B146:B160)</f>
        <v>310</v>
      </c>
      <c r="C161" s="354"/>
      <c r="D161" s="354"/>
      <c r="E161" s="354">
        <f>SUM(E146:E160)</f>
        <v>749</v>
      </c>
      <c r="F161" s="354">
        <f>SUM(F146:F160)</f>
        <v>-439</v>
      </c>
      <c r="G161" s="354"/>
      <c r="H161" s="385"/>
      <c r="I161" s="346"/>
      <c r="J161" s="354">
        <f>SUM(J146:J160)</f>
        <v>10</v>
      </c>
      <c r="K161" s="354"/>
      <c r="L161" s="354"/>
      <c r="M161" s="354">
        <f>SUM(M146:M160)</f>
        <v>38</v>
      </c>
      <c r="N161" s="354">
        <f>SUM(N146:N160)</f>
        <v>-28</v>
      </c>
      <c r="O161" s="1"/>
      <c r="P161" s="346"/>
      <c r="Q161" s="354">
        <f>SUM(Q146:Q160)</f>
        <v>10</v>
      </c>
      <c r="R161" s="354"/>
      <c r="S161" s="354"/>
      <c r="T161" s="354">
        <f>SUM(T146:T160)</f>
        <v>33</v>
      </c>
      <c r="U161" s="354">
        <f>SUM(U146:U160)</f>
        <v>-23</v>
      </c>
    </row>
    <row r="162" spans="1:21" ht="15" thickTop="1"/>
  </sheetData>
  <autoFilter ref="A2:M66" xr:uid="{00000000-0009-0000-0000-000003000000}"/>
  <mergeCells count="9">
    <mergeCell ref="A69:A70"/>
    <mergeCell ref="A88:A89"/>
    <mergeCell ref="Q129:R129"/>
    <mergeCell ref="B69:E69"/>
    <mergeCell ref="F69:H69"/>
    <mergeCell ref="I69:K69"/>
    <mergeCell ref="B88:E88"/>
    <mergeCell ref="E119:F119"/>
    <mergeCell ref="G119:I119"/>
  </mergeCells>
  <phoneticPr fontId="3" type="noConversion"/>
  <conditionalFormatting sqref="E71:E85">
    <cfRule type="cellIs" dxfId="107" priority="7" operator="lessThan">
      <formula>0</formula>
    </cfRule>
  </conditionalFormatting>
  <conditionalFormatting sqref="E90:E104">
    <cfRule type="cellIs" dxfId="106" priority="6" operator="lessThan">
      <formula>0</formula>
    </cfRule>
  </conditionalFormatting>
  <conditionalFormatting sqref="F146:F160">
    <cfRule type="cellIs" dxfId="105" priority="3" operator="lessThan">
      <formula>0</formula>
    </cfRule>
    <cfRule type="cellIs" dxfId="104" priority="4" operator="lessThan">
      <formula>-135</formula>
    </cfRule>
  </conditionalFormatting>
  <conditionalFormatting sqref="L123:L137">
    <cfRule type="cellIs" dxfId="103" priority="5" operator="lessThan">
      <formula>0</formula>
    </cfRule>
  </conditionalFormatting>
  <conditionalFormatting sqref="N146:N160">
    <cfRule type="cellIs" dxfId="102" priority="2" operator="lessThan">
      <formula>0</formula>
    </cfRule>
  </conditionalFormatting>
  <conditionalFormatting sqref="U146:U160">
    <cfRule type="cellIs" dxfId="101" priority="1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E28A-D884-4652-905A-C9494E881EBF}">
  <sheetPr codeName="Sheet6"/>
  <dimension ref="A1:W210"/>
  <sheetViews>
    <sheetView zoomScale="99" zoomScaleNormal="99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K20" sqref="K20"/>
    </sheetView>
  </sheetViews>
  <sheetFormatPr defaultColWidth="9" defaultRowHeight="14.25"/>
  <cols>
    <col min="1" max="1" width="7.25" style="472" customWidth="1"/>
    <col min="2" max="2" width="12.25" style="436" customWidth="1"/>
    <col min="3" max="3" width="14.25" style="429" customWidth="1"/>
    <col min="4" max="4" width="12.25" style="156" customWidth="1"/>
    <col min="5" max="5" width="16.25" style="160" customWidth="1"/>
    <col min="6" max="6" width="10.75" style="157" customWidth="1"/>
    <col min="7" max="8" width="10.25" style="146" customWidth="1"/>
    <col min="9" max="9" width="6.25" style="158" customWidth="1"/>
    <col min="10" max="10" width="5.25" style="138" customWidth="1"/>
    <col min="11" max="11" width="16.375" style="140" bestFit="1" customWidth="1"/>
    <col min="12" max="12" width="19" style="139" customWidth="1"/>
    <col min="13" max="13" width="6.25" style="140" customWidth="1"/>
    <col min="14" max="14" width="10.25" style="141" customWidth="1"/>
    <col min="15" max="15" width="5.25" style="140" customWidth="1"/>
    <col min="16" max="16" width="7.375" style="132" customWidth="1"/>
    <col min="17" max="17" width="5.75" style="132" hidden="1" customWidth="1"/>
    <col min="18" max="18" width="9.75" style="142" customWidth="1"/>
    <col min="19" max="19" width="9.75" style="132" customWidth="1"/>
    <col min="20" max="20" width="9.75" style="134" customWidth="1"/>
    <col min="21" max="21" width="16.375" style="123" customWidth="1"/>
    <col min="22" max="22" width="24.75" style="123" customWidth="1"/>
    <col min="23" max="23" width="9" style="149"/>
    <col min="24" max="16384" width="9" style="146"/>
  </cols>
  <sheetData>
    <row r="1" spans="1:23" s="112" customFormat="1" ht="26.25" customHeight="1">
      <c r="A1" s="471" t="s">
        <v>2852</v>
      </c>
      <c r="B1" s="422" t="s">
        <v>235</v>
      </c>
      <c r="C1" s="422" t="s">
        <v>2728</v>
      </c>
      <c r="D1" s="100" t="s">
        <v>2729</v>
      </c>
      <c r="E1" s="101" t="s">
        <v>2730</v>
      </c>
      <c r="F1" s="102" t="s">
        <v>4190</v>
      </c>
      <c r="G1" s="437" t="s">
        <v>4185</v>
      </c>
      <c r="H1" s="102" t="s">
        <v>4195</v>
      </c>
      <c r="I1" s="100" t="s">
        <v>2731</v>
      </c>
      <c r="J1" s="103" t="s">
        <v>2732</v>
      </c>
      <c r="K1" s="105" t="s">
        <v>2733</v>
      </c>
      <c r="L1" s="104" t="s">
        <v>2734</v>
      </c>
      <c r="M1" s="105" t="s">
        <v>269</v>
      </c>
      <c r="N1" s="106" t="s">
        <v>2735</v>
      </c>
      <c r="O1" s="106" t="s">
        <v>2736</v>
      </c>
      <c r="P1" s="433" t="s">
        <v>4259</v>
      </c>
      <c r="Q1" s="103" t="s">
        <v>2738</v>
      </c>
      <c r="R1" s="107" t="s">
        <v>2739</v>
      </c>
      <c r="S1" s="103" t="s">
        <v>2740</v>
      </c>
      <c r="T1" s="108" t="s">
        <v>2741</v>
      </c>
      <c r="U1" s="109" t="s">
        <v>2742</v>
      </c>
      <c r="V1" s="110" t="s">
        <v>2743</v>
      </c>
      <c r="W1" s="111"/>
    </row>
    <row r="2" spans="1:23" ht="15" customHeight="1">
      <c r="A2" s="472" t="s">
        <v>15</v>
      </c>
      <c r="B2" s="434">
        <v>309</v>
      </c>
      <c r="C2" s="423">
        <f>VLOOKUP(B2,'Data pick slip'!B:F,5,FALSE)</f>
        <v>0</v>
      </c>
      <c r="D2" s="169" t="s">
        <v>4307</v>
      </c>
      <c r="E2" s="169" t="s">
        <v>4307</v>
      </c>
      <c r="F2" s="170" t="s">
        <v>4191</v>
      </c>
      <c r="G2" s="146" t="s">
        <v>4188</v>
      </c>
      <c r="H2" s="173" t="s">
        <v>76</v>
      </c>
      <c r="I2" s="171">
        <v>5</v>
      </c>
      <c r="J2" s="172"/>
      <c r="K2" s="174"/>
      <c r="L2" s="173"/>
      <c r="M2" s="174"/>
      <c r="N2" s="175"/>
      <c r="O2" s="174"/>
      <c r="P2" s="176"/>
      <c r="Q2" s="176"/>
      <c r="R2" s="173"/>
      <c r="S2" s="177"/>
      <c r="T2" s="178"/>
      <c r="U2" s="173"/>
      <c r="V2" s="179"/>
      <c r="W2" s="145"/>
    </row>
    <row r="3" spans="1:23" ht="16.5" customHeight="1">
      <c r="A3" s="472" t="s">
        <v>15</v>
      </c>
      <c r="B3" s="434">
        <v>311</v>
      </c>
      <c r="C3" s="423" t="str">
        <f>VLOOKUP(B3,'Data pick slip'!B:F,5,FALSE)</f>
        <v>KHY-M7710-A4</v>
      </c>
      <c r="D3" s="169" t="s">
        <v>4307</v>
      </c>
      <c r="E3" s="169" t="s">
        <v>4307</v>
      </c>
      <c r="F3" s="170" t="s">
        <v>4191</v>
      </c>
      <c r="G3" s="146" t="s">
        <v>4188</v>
      </c>
      <c r="H3" s="173" t="s">
        <v>76</v>
      </c>
      <c r="I3" s="171">
        <v>325</v>
      </c>
      <c r="J3" s="404"/>
      <c r="K3" s="405"/>
      <c r="L3" s="406"/>
      <c r="M3" s="164"/>
      <c r="N3" s="407"/>
      <c r="O3" s="408"/>
      <c r="P3" s="409"/>
      <c r="Q3" s="409"/>
      <c r="R3" s="407"/>
      <c r="S3" s="410"/>
      <c r="T3" s="411"/>
      <c r="U3" s="412"/>
      <c r="V3" s="413"/>
      <c r="W3" s="145"/>
    </row>
    <row r="4" spans="1:23" ht="16.5" customHeight="1">
      <c r="A4" s="472" t="s">
        <v>15</v>
      </c>
      <c r="B4" s="434">
        <v>312</v>
      </c>
      <c r="C4" s="423" t="str">
        <f>VLOOKUP(B4,'Data pick slip'!B:F,5,FALSE)</f>
        <v>KHY-M7720-A3</v>
      </c>
      <c r="D4" s="169" t="s">
        <v>4307</v>
      </c>
      <c r="E4" s="169" t="s">
        <v>4307</v>
      </c>
      <c r="F4" s="170" t="s">
        <v>4191</v>
      </c>
      <c r="G4" s="146" t="s">
        <v>4188</v>
      </c>
      <c r="H4" s="173" t="s">
        <v>76</v>
      </c>
      <c r="I4" s="171">
        <v>148</v>
      </c>
      <c r="J4" s="404"/>
      <c r="K4" s="405"/>
      <c r="L4" s="406"/>
      <c r="M4" s="164"/>
      <c r="N4" s="407"/>
      <c r="O4" s="408"/>
      <c r="P4" s="409"/>
      <c r="Q4" s="409"/>
      <c r="R4" s="407"/>
      <c r="S4" s="410"/>
      <c r="T4" s="411"/>
      <c r="U4" s="412"/>
      <c r="V4" s="413"/>
      <c r="W4" s="145"/>
    </row>
    <row r="5" spans="1:23" ht="16.5" customHeight="1">
      <c r="A5" s="472" t="s">
        <v>15</v>
      </c>
      <c r="B5" s="434">
        <v>313</v>
      </c>
      <c r="C5" s="423" t="str">
        <f>VLOOKUP(B5,'Data pick slip'!B:F,5,FALSE)</f>
        <v>KHY-M7730-A2</v>
      </c>
      <c r="D5" s="169" t="s">
        <v>4307</v>
      </c>
      <c r="E5" s="169" t="s">
        <v>4307</v>
      </c>
      <c r="F5" s="170" t="s">
        <v>4191</v>
      </c>
      <c r="G5" s="146" t="s">
        <v>4188</v>
      </c>
      <c r="H5" s="173" t="s">
        <v>76</v>
      </c>
      <c r="I5" s="171">
        <v>151</v>
      </c>
      <c r="J5" s="404"/>
      <c r="K5" s="405"/>
      <c r="L5" s="406"/>
      <c r="M5" s="164"/>
      <c r="N5" s="407"/>
      <c r="O5" s="408"/>
      <c r="P5" s="409"/>
      <c r="Q5" s="409"/>
      <c r="R5" s="407"/>
      <c r="S5" s="410"/>
      <c r="T5" s="411"/>
      <c r="U5" s="412"/>
      <c r="V5" s="413"/>
      <c r="W5" s="145"/>
    </row>
    <row r="6" spans="1:23" ht="16.5" customHeight="1">
      <c r="A6" s="472" t="s">
        <v>15</v>
      </c>
      <c r="B6" s="434">
        <v>303</v>
      </c>
      <c r="C6" s="423" t="str">
        <f>VLOOKUP(B6,'Data pick slip'!B:F,5,FALSE)</f>
        <v>KHY-M7740-A0</v>
      </c>
      <c r="D6" s="169" t="s">
        <v>4307</v>
      </c>
      <c r="E6" s="169" t="s">
        <v>4307</v>
      </c>
      <c r="F6" s="170" t="s">
        <v>4191</v>
      </c>
      <c r="G6" s="146" t="s">
        <v>4188</v>
      </c>
      <c r="H6" s="173" t="s">
        <v>76</v>
      </c>
      <c r="I6" s="171">
        <v>20</v>
      </c>
      <c r="J6" s="404"/>
      <c r="K6" s="405"/>
      <c r="L6" s="406"/>
      <c r="M6" s="164"/>
      <c r="N6" s="407"/>
      <c r="O6" s="408"/>
      <c r="P6" s="409"/>
      <c r="Q6" s="409"/>
      <c r="R6" s="407"/>
      <c r="S6" s="410"/>
      <c r="T6" s="411"/>
      <c r="U6" s="412"/>
      <c r="V6" s="413"/>
      <c r="W6" s="145"/>
    </row>
    <row r="7" spans="1:23" ht="16.5" customHeight="1">
      <c r="A7" s="472" t="s">
        <v>15</v>
      </c>
      <c r="B7" s="434">
        <v>304</v>
      </c>
      <c r="C7" s="423" t="str">
        <f>VLOOKUP(B7,'Data pick slip'!B:F,5,FALSE)</f>
        <v>KHY-M7750-A0</v>
      </c>
      <c r="D7" s="169" t="s">
        <v>4307</v>
      </c>
      <c r="E7" s="169" t="s">
        <v>4307</v>
      </c>
      <c r="F7" s="170" t="s">
        <v>4191</v>
      </c>
      <c r="G7" s="146" t="s">
        <v>4188</v>
      </c>
      <c r="H7" s="173" t="s">
        <v>76</v>
      </c>
      <c r="I7" s="171">
        <v>211</v>
      </c>
      <c r="J7" s="404"/>
      <c r="K7" s="405"/>
      <c r="L7" s="406"/>
      <c r="M7" s="164"/>
      <c r="N7" s="407"/>
      <c r="O7" s="408"/>
      <c r="P7" s="409"/>
      <c r="Q7" s="409"/>
      <c r="R7" s="407"/>
      <c r="S7" s="410"/>
      <c r="T7" s="411"/>
      <c r="U7" s="412"/>
      <c r="V7" s="413"/>
      <c r="W7" s="145"/>
    </row>
    <row r="8" spans="1:23" ht="16.5" customHeight="1">
      <c r="A8" s="472" t="s">
        <v>15</v>
      </c>
      <c r="B8" s="434">
        <v>305</v>
      </c>
      <c r="C8" s="423" t="str">
        <f>VLOOKUP(B8,'Data pick slip'!B:F,5,FALSE)</f>
        <v>KHY-M7760-A0</v>
      </c>
      <c r="D8" s="169" t="s">
        <v>4307</v>
      </c>
      <c r="E8" s="169" t="s">
        <v>4307</v>
      </c>
      <c r="F8" s="170" t="s">
        <v>4191</v>
      </c>
      <c r="G8" s="146" t="s">
        <v>4188</v>
      </c>
      <c r="H8" s="173" t="s">
        <v>76</v>
      </c>
      <c r="I8" s="171">
        <v>7</v>
      </c>
      <c r="J8" s="404"/>
      <c r="K8" s="405"/>
      <c r="L8" s="406"/>
      <c r="M8" s="164"/>
      <c r="N8" s="407"/>
      <c r="O8" s="408"/>
      <c r="P8" s="409"/>
      <c r="Q8" s="409"/>
      <c r="R8" s="407"/>
      <c r="S8" s="410"/>
      <c r="T8" s="411"/>
      <c r="U8" s="412"/>
      <c r="V8" s="413"/>
      <c r="W8" s="145"/>
    </row>
    <row r="9" spans="1:23" ht="16.5" customHeight="1">
      <c r="A9" s="472" t="s">
        <v>15</v>
      </c>
      <c r="B9" s="434">
        <v>310</v>
      </c>
      <c r="C9" s="423" t="str">
        <f>VLOOKUP(B9,'Data pick slip'!B:F,5,FALSE)</f>
        <v>KHY-M77A0-A0</v>
      </c>
      <c r="D9" s="169" t="s">
        <v>4307</v>
      </c>
      <c r="E9" s="169" t="s">
        <v>4307</v>
      </c>
      <c r="F9" s="170" t="s">
        <v>4191</v>
      </c>
      <c r="G9" s="146" t="s">
        <v>4188</v>
      </c>
      <c r="H9" s="173" t="s">
        <v>76</v>
      </c>
      <c r="I9" s="171">
        <v>240</v>
      </c>
      <c r="J9" s="404"/>
      <c r="K9" s="405"/>
      <c r="L9" s="406"/>
      <c r="M9" s="164"/>
      <c r="N9" s="407"/>
      <c r="O9" s="408"/>
      <c r="P9" s="409"/>
      <c r="Q9" s="409"/>
      <c r="R9" s="407"/>
      <c r="S9" s="410"/>
      <c r="T9" s="411"/>
      <c r="U9" s="412"/>
      <c r="V9" s="413"/>
      <c r="W9" s="145"/>
    </row>
    <row r="10" spans="1:23" ht="16.5" customHeight="1">
      <c r="A10" s="472" t="s">
        <v>15</v>
      </c>
      <c r="B10" s="434">
        <v>301</v>
      </c>
      <c r="C10" s="423" t="str">
        <f>VLOOKUP(B10,'Data pick slip'!B:F,5,FALSE)</f>
        <v>KHN-M7710-A4</v>
      </c>
      <c r="D10" s="169" t="s">
        <v>4307</v>
      </c>
      <c r="E10" s="169" t="s">
        <v>4307</v>
      </c>
      <c r="F10" s="170" t="s">
        <v>4191</v>
      </c>
      <c r="G10" s="146" t="s">
        <v>4186</v>
      </c>
      <c r="H10" s="173" t="s">
        <v>76</v>
      </c>
      <c r="I10" s="171">
        <v>30</v>
      </c>
      <c r="J10" s="404"/>
      <c r="K10" s="405"/>
      <c r="L10" s="406"/>
      <c r="M10" s="164"/>
      <c r="N10" s="407"/>
      <c r="O10" s="408"/>
      <c r="P10" s="409"/>
      <c r="Q10" s="409"/>
      <c r="R10" s="407"/>
      <c r="S10" s="410"/>
      <c r="T10" s="411"/>
      <c r="U10" s="412"/>
      <c r="V10" s="413"/>
      <c r="W10" s="145"/>
    </row>
    <row r="11" spans="1:23" ht="16.5" customHeight="1">
      <c r="A11" s="472" t="s">
        <v>281</v>
      </c>
      <c r="B11" s="434">
        <v>301</v>
      </c>
      <c r="C11" s="423" t="str">
        <f>VLOOKUP(B11,'Data pick slip'!B:F,5,FALSE)</f>
        <v>KHN-M7710-A4</v>
      </c>
      <c r="D11" s="169" t="s">
        <v>4307</v>
      </c>
      <c r="E11" s="169" t="s">
        <v>4307</v>
      </c>
      <c r="F11" s="170" t="s">
        <v>4201</v>
      </c>
      <c r="G11" s="146" t="s">
        <v>4188</v>
      </c>
      <c r="H11" s="173" t="s">
        <v>76</v>
      </c>
      <c r="I11" s="171">
        <v>150</v>
      </c>
      <c r="J11" s="404"/>
      <c r="K11" s="405"/>
      <c r="L11" s="406"/>
      <c r="M11" s="164"/>
      <c r="N11" s="407"/>
      <c r="O11" s="408"/>
      <c r="P11" s="409"/>
      <c r="Q11" s="409"/>
      <c r="R11" s="407"/>
      <c r="S11" s="410"/>
      <c r="T11" s="411"/>
      <c r="U11" s="412"/>
      <c r="V11" s="413"/>
      <c r="W11" s="145"/>
    </row>
    <row r="12" spans="1:23" ht="16.5" customHeight="1">
      <c r="A12" s="472" t="s">
        <v>281</v>
      </c>
      <c r="B12" s="434">
        <v>302</v>
      </c>
      <c r="C12" s="423" t="str">
        <f>VLOOKUP(B12,'Data pick slip'!B:F,5,FALSE)</f>
        <v>KHN-M7720-A3</v>
      </c>
      <c r="D12" s="169" t="s">
        <v>4307</v>
      </c>
      <c r="E12" s="169" t="s">
        <v>4307</v>
      </c>
      <c r="F12" s="170" t="s">
        <v>4201</v>
      </c>
      <c r="G12" s="146" t="s">
        <v>4188</v>
      </c>
      <c r="H12" s="173" t="s">
        <v>76</v>
      </c>
      <c r="I12" s="171">
        <v>203</v>
      </c>
      <c r="J12" s="404"/>
      <c r="K12" s="405"/>
      <c r="L12" s="406"/>
      <c r="M12" s="164"/>
      <c r="N12" s="407"/>
      <c r="O12" s="408"/>
      <c r="P12" s="409"/>
      <c r="Q12" s="409"/>
      <c r="R12" s="407"/>
      <c r="S12" s="410"/>
      <c r="T12" s="411"/>
      <c r="U12" s="412"/>
      <c r="V12" s="413"/>
      <c r="W12" s="145"/>
    </row>
    <row r="13" spans="1:23" ht="15" customHeight="1">
      <c r="A13" s="472" t="s">
        <v>15</v>
      </c>
      <c r="B13" s="434">
        <v>309</v>
      </c>
      <c r="C13" s="423">
        <f>VLOOKUP(B13,'Data pick slip'!B:F,5,FALSE)</f>
        <v>0</v>
      </c>
      <c r="D13" s="169" t="s">
        <v>4307</v>
      </c>
      <c r="E13" s="169" t="s">
        <v>4307</v>
      </c>
      <c r="F13" s="170" t="s">
        <v>4201</v>
      </c>
      <c r="G13" s="146" t="s">
        <v>4188</v>
      </c>
      <c r="H13" s="173" t="s">
        <v>76</v>
      </c>
      <c r="I13" s="171">
        <v>3</v>
      </c>
      <c r="J13" s="172"/>
      <c r="K13" s="174"/>
      <c r="L13" s="173"/>
      <c r="M13" s="174"/>
      <c r="N13" s="175"/>
      <c r="O13" s="174"/>
      <c r="P13" s="176"/>
      <c r="Q13" s="176"/>
      <c r="R13" s="173"/>
      <c r="S13" s="177"/>
      <c r="T13" s="178"/>
      <c r="U13" s="173"/>
      <c r="V13" s="179"/>
      <c r="W13" s="145"/>
    </row>
    <row r="14" spans="1:23" ht="15" customHeight="1">
      <c r="A14" s="472" t="s">
        <v>15</v>
      </c>
      <c r="B14" s="434">
        <v>311</v>
      </c>
      <c r="C14" s="423" t="str">
        <f>VLOOKUP(B14,'Data pick slip'!B:F,5,FALSE)</f>
        <v>KHY-M7710-A4</v>
      </c>
      <c r="D14" s="169" t="s">
        <v>4307</v>
      </c>
      <c r="E14" s="169" t="s">
        <v>4307</v>
      </c>
      <c r="F14" s="170" t="s">
        <v>4201</v>
      </c>
      <c r="G14" s="146" t="s">
        <v>4188</v>
      </c>
      <c r="H14" s="173" t="s">
        <v>76</v>
      </c>
      <c r="I14" s="171">
        <v>16</v>
      </c>
      <c r="J14" s="172"/>
      <c r="K14" s="174"/>
      <c r="L14" s="173"/>
      <c r="M14" s="174"/>
      <c r="N14" s="175"/>
      <c r="O14" s="174"/>
      <c r="P14" s="176"/>
      <c r="Q14" s="176"/>
      <c r="R14" s="173"/>
      <c r="S14" s="177"/>
      <c r="T14" s="178"/>
      <c r="U14" s="173"/>
      <c r="V14" s="179"/>
      <c r="W14" s="145"/>
    </row>
    <row r="15" spans="1:23" ht="16.5" customHeight="1">
      <c r="A15" s="472" t="s">
        <v>15</v>
      </c>
      <c r="B15" s="434">
        <v>312</v>
      </c>
      <c r="C15" s="423" t="str">
        <f>VLOOKUP(B15,'Data pick slip'!B:F,5,FALSE)</f>
        <v>KHY-M7720-A3</v>
      </c>
      <c r="D15" s="169" t="s">
        <v>4307</v>
      </c>
      <c r="E15" s="169" t="s">
        <v>4307</v>
      </c>
      <c r="F15" s="170" t="s">
        <v>4201</v>
      </c>
      <c r="G15" s="146" t="s">
        <v>4188</v>
      </c>
      <c r="H15" s="173" t="s">
        <v>76</v>
      </c>
      <c r="I15" s="171">
        <v>173</v>
      </c>
      <c r="J15" s="404"/>
      <c r="K15" s="405"/>
      <c r="L15" s="406"/>
      <c r="M15" s="164"/>
      <c r="N15" s="407"/>
      <c r="O15" s="408"/>
      <c r="P15" s="409"/>
      <c r="Q15" s="409"/>
      <c r="R15" s="407"/>
      <c r="S15" s="410"/>
      <c r="T15" s="411"/>
      <c r="U15" s="412"/>
      <c r="V15" s="413"/>
      <c r="W15" s="145"/>
    </row>
    <row r="16" spans="1:23" ht="16.5" customHeight="1">
      <c r="A16" s="472" t="s">
        <v>15</v>
      </c>
      <c r="B16" s="434">
        <v>303</v>
      </c>
      <c r="C16" s="423" t="str">
        <f>VLOOKUP(B16,'Data pick slip'!B:F,5,FALSE)</f>
        <v>KHY-M7740-A0</v>
      </c>
      <c r="D16" s="169" t="s">
        <v>4307</v>
      </c>
      <c r="E16" s="169" t="s">
        <v>4307</v>
      </c>
      <c r="F16" s="170" t="s">
        <v>4201</v>
      </c>
      <c r="G16" s="146" t="s">
        <v>4188</v>
      </c>
      <c r="H16" s="173" t="s">
        <v>76</v>
      </c>
      <c r="I16" s="171">
        <v>31</v>
      </c>
      <c r="J16" s="404"/>
      <c r="K16" s="405"/>
      <c r="L16" s="406"/>
      <c r="M16" s="164"/>
      <c r="N16" s="407"/>
      <c r="O16" s="408"/>
      <c r="P16" s="409"/>
      <c r="Q16" s="409"/>
      <c r="R16" s="407"/>
      <c r="S16" s="410"/>
      <c r="T16" s="411"/>
      <c r="U16" s="412"/>
      <c r="V16" s="413"/>
      <c r="W16" s="145"/>
    </row>
    <row r="17" spans="1:23" ht="15" customHeight="1">
      <c r="A17" s="472" t="s">
        <v>15</v>
      </c>
      <c r="B17" s="434">
        <v>304</v>
      </c>
      <c r="C17" s="423" t="str">
        <f>VLOOKUP(B17,'Data pick slip'!B:F,5,FALSE)</f>
        <v>KHY-M7750-A0</v>
      </c>
      <c r="D17" s="169" t="s">
        <v>4307</v>
      </c>
      <c r="E17" s="169" t="s">
        <v>4307</v>
      </c>
      <c r="F17" s="170" t="s">
        <v>4201</v>
      </c>
      <c r="G17" s="146" t="s">
        <v>4188</v>
      </c>
      <c r="H17" s="173" t="s">
        <v>76</v>
      </c>
      <c r="I17" s="171">
        <v>60</v>
      </c>
      <c r="J17" s="172"/>
      <c r="K17" s="174"/>
      <c r="L17" s="173"/>
      <c r="M17" s="174"/>
      <c r="N17" s="175"/>
      <c r="O17" s="174"/>
      <c r="P17" s="176"/>
      <c r="Q17" s="176"/>
      <c r="R17" s="173"/>
      <c r="S17" s="177"/>
      <c r="T17" s="178"/>
      <c r="U17" s="173"/>
      <c r="V17" s="179"/>
      <c r="W17" s="145"/>
    </row>
    <row r="18" spans="1:23" ht="16.5" customHeight="1">
      <c r="A18" s="472" t="s">
        <v>15</v>
      </c>
      <c r="B18" s="434">
        <v>305</v>
      </c>
      <c r="C18" s="423" t="str">
        <f>VLOOKUP(B18,'Data pick slip'!B:F,5,FALSE)</f>
        <v>KHY-M7760-A0</v>
      </c>
      <c r="D18" s="169" t="s">
        <v>4307</v>
      </c>
      <c r="E18" s="169" t="s">
        <v>4307</v>
      </c>
      <c r="F18" s="170" t="s">
        <v>4201</v>
      </c>
      <c r="G18" s="146" t="s">
        <v>4188</v>
      </c>
      <c r="H18" s="173" t="s">
        <v>76</v>
      </c>
      <c r="I18" s="171">
        <v>18</v>
      </c>
      <c r="J18" s="404"/>
      <c r="K18" s="405"/>
      <c r="L18" s="406"/>
      <c r="M18" s="164"/>
      <c r="N18" s="407"/>
      <c r="O18" s="408"/>
      <c r="P18" s="409"/>
      <c r="Q18" s="409"/>
      <c r="R18" s="407"/>
      <c r="S18" s="410"/>
      <c r="T18" s="411"/>
      <c r="U18" s="412"/>
      <c r="V18" s="413"/>
      <c r="W18" s="145"/>
    </row>
    <row r="19" spans="1:23" ht="15" customHeight="1">
      <c r="A19" s="472" t="s">
        <v>15</v>
      </c>
      <c r="B19" s="434">
        <v>306</v>
      </c>
      <c r="C19" s="423" t="str">
        <f>VLOOKUP(B19,'Data pick slip'!B:F,5,FALSE)</f>
        <v>KHY-M7770-A0</v>
      </c>
      <c r="D19" s="169" t="s">
        <v>4307</v>
      </c>
      <c r="E19" s="169" t="s">
        <v>4307</v>
      </c>
      <c r="F19" s="170" t="s">
        <v>4201</v>
      </c>
      <c r="G19" s="146" t="s">
        <v>4188</v>
      </c>
      <c r="H19" s="173" t="s">
        <v>76</v>
      </c>
      <c r="I19" s="171">
        <v>9</v>
      </c>
      <c r="J19" s="172"/>
      <c r="K19" s="174"/>
      <c r="L19" s="173"/>
      <c r="M19" s="174"/>
      <c r="N19" s="175"/>
      <c r="O19" s="174"/>
      <c r="P19" s="176"/>
      <c r="Q19" s="176"/>
      <c r="R19" s="173"/>
      <c r="S19" s="177"/>
      <c r="T19" s="178"/>
      <c r="U19" s="173"/>
      <c r="V19" s="179"/>
      <c r="W19" s="145"/>
    </row>
    <row r="20" spans="1:23" ht="15" customHeight="1">
      <c r="A20" s="472" t="s">
        <v>15</v>
      </c>
      <c r="B20" s="434">
        <v>307</v>
      </c>
      <c r="C20" s="423">
        <f>VLOOKUP(B20,'Data pick slip'!B:F,5,FALSE)</f>
        <v>0</v>
      </c>
      <c r="D20" s="169" t="s">
        <v>4307</v>
      </c>
      <c r="E20" s="169" t="s">
        <v>4307</v>
      </c>
      <c r="F20" s="170" t="s">
        <v>4201</v>
      </c>
      <c r="G20" s="146" t="s">
        <v>4188</v>
      </c>
      <c r="H20" s="173" t="s">
        <v>76</v>
      </c>
      <c r="I20" s="171">
        <v>16</v>
      </c>
      <c r="J20" s="172"/>
      <c r="K20" s="174"/>
      <c r="L20" s="173"/>
      <c r="M20" s="174"/>
      <c r="N20" s="175"/>
      <c r="O20" s="174"/>
      <c r="P20" s="176"/>
      <c r="Q20" s="176"/>
      <c r="R20" s="173"/>
      <c r="S20" s="177"/>
      <c r="T20" s="178"/>
      <c r="U20" s="173"/>
      <c r="V20" s="179"/>
      <c r="W20" s="145"/>
    </row>
    <row r="21" spans="1:23" ht="15" customHeight="1">
      <c r="A21" s="472" t="s">
        <v>15</v>
      </c>
      <c r="B21" s="434">
        <v>310</v>
      </c>
      <c r="C21" s="423" t="str">
        <f>VLOOKUP(B21,'Data pick slip'!B:F,5,FALSE)</f>
        <v>KHY-M77A0-A0</v>
      </c>
      <c r="D21" s="169" t="s">
        <v>4307</v>
      </c>
      <c r="E21" s="169" t="s">
        <v>4307</v>
      </c>
      <c r="F21" s="170" t="s">
        <v>4201</v>
      </c>
      <c r="G21" s="146" t="s">
        <v>4188</v>
      </c>
      <c r="H21" s="173" t="s">
        <v>76</v>
      </c>
      <c r="I21" s="171">
        <v>7</v>
      </c>
      <c r="J21" s="172"/>
      <c r="K21" s="174"/>
      <c r="L21" s="173"/>
      <c r="M21" s="174"/>
      <c r="N21" s="175"/>
      <c r="O21" s="174"/>
      <c r="P21" s="176"/>
      <c r="Q21" s="176"/>
      <c r="R21" s="173"/>
      <c r="S21" s="177"/>
      <c r="T21" s="178"/>
      <c r="U21" s="173"/>
      <c r="V21" s="179"/>
      <c r="W21" s="145"/>
    </row>
    <row r="22" spans="1:23" ht="16.5" customHeight="1">
      <c r="A22" s="472" t="s">
        <v>15</v>
      </c>
      <c r="B22" s="434">
        <v>7202</v>
      </c>
      <c r="C22" s="423">
        <f>VLOOKUP(B22,'Data pick slip'!B:F,5,FALSE)</f>
        <v>0</v>
      </c>
      <c r="D22" s="169" t="s">
        <v>4307</v>
      </c>
      <c r="E22" s="169" t="s">
        <v>4307</v>
      </c>
      <c r="F22" s="170" t="s">
        <v>4201</v>
      </c>
      <c r="G22" s="146" t="s">
        <v>4188</v>
      </c>
      <c r="H22" s="173" t="s">
        <v>76</v>
      </c>
      <c r="I22" s="171">
        <v>26</v>
      </c>
      <c r="J22" s="404"/>
      <c r="K22" s="405"/>
      <c r="L22" s="406"/>
      <c r="M22" s="164"/>
      <c r="N22" s="407"/>
      <c r="O22" s="408"/>
      <c r="P22" s="409"/>
      <c r="Q22" s="409"/>
      <c r="R22" s="407"/>
      <c r="S22" s="410"/>
      <c r="T22" s="411"/>
      <c r="U22" s="412"/>
      <c r="V22" s="413"/>
      <c r="W22" s="145"/>
    </row>
    <row r="23" spans="1:23" ht="16.5" customHeight="1">
      <c r="A23" s="472" t="s">
        <v>15</v>
      </c>
      <c r="B23" s="434">
        <v>7203</v>
      </c>
      <c r="C23" s="423">
        <f>VLOOKUP(B23,'Data pick slip'!B:F,5,FALSE)</f>
        <v>0</v>
      </c>
      <c r="D23" s="169" t="s">
        <v>4307</v>
      </c>
      <c r="E23" s="169" t="s">
        <v>4307</v>
      </c>
      <c r="F23" s="170" t="s">
        <v>4201</v>
      </c>
      <c r="G23" s="146" t="s">
        <v>4188</v>
      </c>
      <c r="H23" s="173" t="s">
        <v>76</v>
      </c>
      <c r="I23" s="171">
        <v>5</v>
      </c>
      <c r="J23" s="404"/>
      <c r="K23" s="405"/>
      <c r="L23" s="406"/>
      <c r="M23" s="164"/>
      <c r="N23" s="407"/>
      <c r="O23" s="408"/>
      <c r="P23" s="409"/>
      <c r="Q23" s="409"/>
      <c r="R23" s="407"/>
      <c r="S23" s="410"/>
      <c r="T23" s="411"/>
      <c r="U23" s="412"/>
      <c r="V23" s="413"/>
      <c r="W23" s="145"/>
    </row>
    <row r="24" spans="1:23" ht="15" customHeight="1">
      <c r="A24" s="472" t="s">
        <v>15</v>
      </c>
      <c r="B24" s="434">
        <v>7204</v>
      </c>
      <c r="C24" s="423">
        <f>VLOOKUP(B24,'Data pick slip'!B:F,5,FALSE)</f>
        <v>0</v>
      </c>
      <c r="D24" s="169" t="s">
        <v>4307</v>
      </c>
      <c r="E24" s="169" t="s">
        <v>4307</v>
      </c>
      <c r="F24" s="170" t="s">
        <v>4201</v>
      </c>
      <c r="G24" s="146" t="s">
        <v>4188</v>
      </c>
      <c r="H24" s="173" t="s">
        <v>76</v>
      </c>
      <c r="I24" s="171">
        <v>6</v>
      </c>
      <c r="J24" s="172"/>
      <c r="K24" s="174"/>
      <c r="L24" s="173"/>
      <c r="M24" s="174"/>
      <c r="N24" s="175"/>
      <c r="O24" s="174"/>
      <c r="P24" s="176"/>
      <c r="Q24" s="176"/>
      <c r="R24" s="173"/>
      <c r="S24" s="177"/>
      <c r="T24" s="178"/>
      <c r="U24" s="173"/>
      <c r="V24" s="179"/>
      <c r="W24" s="145"/>
    </row>
    <row r="25" spans="1:23" ht="16.5" customHeight="1">
      <c r="A25" s="472" t="s">
        <v>15</v>
      </c>
      <c r="B25" s="434">
        <v>7205</v>
      </c>
      <c r="C25" s="423">
        <f>VLOOKUP(B25,'Data pick slip'!B:F,5,FALSE)</f>
        <v>0</v>
      </c>
      <c r="D25" s="169" t="s">
        <v>4307</v>
      </c>
      <c r="E25" s="169" t="s">
        <v>4307</v>
      </c>
      <c r="F25" s="170" t="s">
        <v>4201</v>
      </c>
      <c r="G25" s="146" t="s">
        <v>4188</v>
      </c>
      <c r="H25" s="173" t="s">
        <v>76</v>
      </c>
      <c r="I25" s="171">
        <v>54</v>
      </c>
      <c r="J25" s="404"/>
      <c r="K25" s="405"/>
      <c r="L25" s="406"/>
      <c r="M25" s="164"/>
      <c r="N25" s="407"/>
      <c r="O25" s="408"/>
      <c r="P25" s="409"/>
      <c r="Q25" s="409"/>
      <c r="R25" s="407"/>
      <c r="S25" s="410"/>
      <c r="T25" s="411"/>
      <c r="U25" s="412"/>
      <c r="V25" s="413"/>
      <c r="W25" s="145"/>
    </row>
    <row r="26" spans="1:23" ht="16.5" customHeight="1">
      <c r="A26" s="472" t="s">
        <v>15</v>
      </c>
      <c r="B26" s="434">
        <v>7206</v>
      </c>
      <c r="C26" s="423">
        <f>VLOOKUP(B26,'Data pick slip'!B:F,5,FALSE)</f>
        <v>0</v>
      </c>
      <c r="D26" s="169" t="s">
        <v>4307</v>
      </c>
      <c r="E26" s="169" t="s">
        <v>4307</v>
      </c>
      <c r="F26" s="170" t="s">
        <v>4201</v>
      </c>
      <c r="G26" s="146" t="s">
        <v>4188</v>
      </c>
      <c r="H26" s="173" t="s">
        <v>76</v>
      </c>
      <c r="I26" s="171">
        <v>226</v>
      </c>
      <c r="J26" s="404"/>
      <c r="K26" s="405"/>
      <c r="L26" s="406"/>
      <c r="M26" s="164"/>
      <c r="N26" s="407"/>
      <c r="O26" s="408"/>
      <c r="P26" s="409"/>
      <c r="Q26" s="409"/>
      <c r="R26" s="407"/>
      <c r="S26" s="410"/>
      <c r="T26" s="411"/>
      <c r="U26" s="412"/>
      <c r="V26" s="413"/>
      <c r="W26" s="145"/>
    </row>
    <row r="27" spans="1:23" ht="16.5" customHeight="1">
      <c r="A27" s="472" t="s">
        <v>15</v>
      </c>
      <c r="B27" s="434" t="s">
        <v>4051</v>
      </c>
      <c r="C27" s="423">
        <f>VLOOKUP(B27,'Data pick slip'!B:F,5,FALSE)</f>
        <v>0</v>
      </c>
      <c r="D27" s="169" t="s">
        <v>4307</v>
      </c>
      <c r="E27" s="169" t="s">
        <v>4307</v>
      </c>
      <c r="F27" s="170" t="s">
        <v>4201</v>
      </c>
      <c r="G27" s="146" t="s">
        <v>4188</v>
      </c>
      <c r="H27" s="173" t="s">
        <v>76</v>
      </c>
      <c r="I27" s="171">
        <v>144</v>
      </c>
      <c r="J27" s="404"/>
      <c r="K27" s="405"/>
      <c r="L27" s="406"/>
      <c r="M27" s="164"/>
      <c r="N27" s="407"/>
      <c r="O27" s="408"/>
      <c r="P27" s="409"/>
      <c r="Q27" s="409"/>
      <c r="R27" s="407"/>
      <c r="S27" s="410"/>
      <c r="T27" s="411"/>
      <c r="U27" s="412"/>
      <c r="V27" s="413"/>
      <c r="W27" s="145"/>
    </row>
    <row r="28" spans="1:23" ht="16.5" customHeight="1">
      <c r="A28" s="472" t="s">
        <v>15</v>
      </c>
      <c r="B28" s="434" t="s">
        <v>3777</v>
      </c>
      <c r="C28" s="423">
        <f>VLOOKUP(B28,'Data pick slip'!B:F,5,FALSE)</f>
        <v>0</v>
      </c>
      <c r="D28" s="169" t="s">
        <v>4307</v>
      </c>
      <c r="E28" s="169" t="s">
        <v>4307</v>
      </c>
      <c r="F28" s="170" t="s">
        <v>4201</v>
      </c>
      <c r="G28" s="146" t="s">
        <v>4188</v>
      </c>
      <c r="H28" s="173" t="s">
        <v>76</v>
      </c>
      <c r="I28" s="171">
        <v>54</v>
      </c>
      <c r="J28" s="404"/>
      <c r="K28" s="405"/>
      <c r="L28" s="406"/>
      <c r="M28" s="164"/>
      <c r="N28" s="407"/>
      <c r="O28" s="408"/>
      <c r="P28" s="409"/>
      <c r="Q28" s="409"/>
      <c r="R28" s="407"/>
      <c r="S28" s="410"/>
      <c r="T28" s="411"/>
      <c r="U28" s="412"/>
      <c r="V28" s="413"/>
      <c r="W28" s="145"/>
    </row>
    <row r="29" spans="1:23" ht="15" customHeight="1">
      <c r="A29" s="472" t="s">
        <v>15</v>
      </c>
      <c r="B29" s="434">
        <v>301</v>
      </c>
      <c r="C29" s="423" t="str">
        <f>VLOOKUP(B29,'Data pick slip'!B:F,5,FALSE)</f>
        <v>KHN-M7710-A4</v>
      </c>
      <c r="D29" s="169" t="s">
        <v>4307</v>
      </c>
      <c r="E29" s="169" t="s">
        <v>4307</v>
      </c>
      <c r="F29" s="170" t="s">
        <v>4201</v>
      </c>
      <c r="G29" s="146" t="s">
        <v>4186</v>
      </c>
      <c r="H29" s="173" t="s">
        <v>76</v>
      </c>
      <c r="I29" s="171">
        <v>465</v>
      </c>
      <c r="J29" s="172"/>
      <c r="K29" s="174"/>
      <c r="L29" s="173"/>
      <c r="M29" s="174"/>
      <c r="N29" s="175"/>
      <c r="O29" s="174"/>
      <c r="P29" s="176"/>
      <c r="Q29" s="176"/>
      <c r="R29" s="173"/>
      <c r="S29" s="177"/>
      <c r="T29" s="178"/>
      <c r="U29" s="173"/>
      <c r="V29" s="179"/>
      <c r="W29" s="145"/>
    </row>
    <row r="30" spans="1:23" ht="15" customHeight="1">
      <c r="A30" s="472" t="s">
        <v>15</v>
      </c>
      <c r="B30" s="434">
        <v>302</v>
      </c>
      <c r="C30" s="423" t="str">
        <f>VLOOKUP(B30,'Data pick slip'!B:F,5,FALSE)</f>
        <v>KHN-M7720-A3</v>
      </c>
      <c r="D30" s="169" t="s">
        <v>4307</v>
      </c>
      <c r="E30" s="169" t="s">
        <v>4307</v>
      </c>
      <c r="F30" s="170" t="s">
        <v>4201</v>
      </c>
      <c r="G30" s="146" t="s">
        <v>4186</v>
      </c>
      <c r="H30" s="173" t="s">
        <v>76</v>
      </c>
      <c r="I30" s="171">
        <v>115</v>
      </c>
      <c r="J30" s="172"/>
      <c r="K30" s="174"/>
      <c r="L30" s="173"/>
      <c r="M30" s="174"/>
      <c r="N30" s="175"/>
      <c r="O30" s="174"/>
      <c r="P30" s="176"/>
      <c r="Q30" s="176"/>
      <c r="R30" s="173"/>
      <c r="S30" s="177"/>
      <c r="T30" s="178"/>
      <c r="U30" s="173"/>
      <c r="V30" s="179"/>
      <c r="W30" s="145"/>
    </row>
    <row r="31" spans="1:23" ht="16.5" customHeight="1">
      <c r="A31" s="472" t="s">
        <v>15</v>
      </c>
      <c r="B31" s="434">
        <v>313</v>
      </c>
      <c r="C31" s="423" t="str">
        <f>VLOOKUP(B31,'Data pick slip'!B:F,5,FALSE)</f>
        <v>KHY-M7730-A2</v>
      </c>
      <c r="D31" s="169" t="s">
        <v>4307</v>
      </c>
      <c r="E31" s="169" t="s">
        <v>4307</v>
      </c>
      <c r="F31" s="170" t="s">
        <v>4201</v>
      </c>
      <c r="G31" s="146" t="s">
        <v>4186</v>
      </c>
      <c r="H31" s="173" t="s">
        <v>76</v>
      </c>
      <c r="I31" s="171">
        <v>30</v>
      </c>
      <c r="J31" s="404"/>
      <c r="K31" s="405"/>
      <c r="L31" s="406"/>
      <c r="M31" s="164"/>
      <c r="N31" s="407"/>
      <c r="O31" s="408"/>
      <c r="P31" s="409"/>
      <c r="Q31" s="409"/>
      <c r="R31" s="407"/>
      <c r="S31" s="410"/>
      <c r="T31" s="411"/>
      <c r="U31" s="412"/>
      <c r="V31" s="413"/>
      <c r="W31" s="145"/>
    </row>
    <row r="32" spans="1:23" ht="16.5" customHeight="1">
      <c r="A32" s="472" t="s">
        <v>15</v>
      </c>
      <c r="B32" s="434">
        <v>303</v>
      </c>
      <c r="C32" s="423" t="str">
        <f>VLOOKUP(B32,'Data pick slip'!B:F,5,FALSE)</f>
        <v>KHY-M7740-A0</v>
      </c>
      <c r="D32" s="169" t="s">
        <v>4307</v>
      </c>
      <c r="E32" s="169" t="s">
        <v>4307</v>
      </c>
      <c r="F32" s="170" t="s">
        <v>4201</v>
      </c>
      <c r="G32" s="146" t="s">
        <v>4186</v>
      </c>
      <c r="H32" s="173" t="s">
        <v>76</v>
      </c>
      <c r="I32" s="171">
        <v>50</v>
      </c>
      <c r="J32" s="404"/>
      <c r="K32" s="405"/>
      <c r="L32" s="406"/>
      <c r="M32" s="164"/>
      <c r="N32" s="407"/>
      <c r="O32" s="408"/>
      <c r="P32" s="409"/>
      <c r="Q32" s="409"/>
      <c r="R32" s="407"/>
      <c r="S32" s="410"/>
      <c r="T32" s="411"/>
      <c r="U32" s="412"/>
      <c r="V32" s="413"/>
      <c r="W32" s="145"/>
    </row>
    <row r="33" spans="1:23" ht="15" customHeight="1">
      <c r="A33" s="472" t="s">
        <v>15</v>
      </c>
      <c r="B33" s="434">
        <v>303</v>
      </c>
      <c r="C33" s="423" t="str">
        <f>VLOOKUP(B33,'Data pick slip'!B:F,5,FALSE)</f>
        <v>KHY-M7740-A0</v>
      </c>
      <c r="D33" s="169">
        <v>111421</v>
      </c>
      <c r="E33" s="281">
        <f>VLOOKUP(D33,Stock_list!D:L,9,FALSE)</f>
        <v>45261</v>
      </c>
      <c r="F33" s="170" t="s">
        <v>4201</v>
      </c>
      <c r="G33" s="146" t="s">
        <v>4186</v>
      </c>
      <c r="H33" s="173" t="s">
        <v>76</v>
      </c>
      <c r="I33" s="171">
        <v>15</v>
      </c>
      <c r="J33" s="172"/>
      <c r="K33" s="174"/>
      <c r="L33" s="173"/>
      <c r="M33" s="174"/>
      <c r="N33" s="175"/>
      <c r="O33" s="174"/>
      <c r="P33" s="176"/>
      <c r="Q33" s="176"/>
      <c r="R33" s="173"/>
      <c r="S33" s="177"/>
      <c r="T33" s="178"/>
      <c r="U33" s="173"/>
      <c r="V33" s="179"/>
      <c r="W33" s="145"/>
    </row>
    <row r="34" spans="1:23" ht="15" customHeight="1">
      <c r="A34" s="472" t="s">
        <v>15</v>
      </c>
      <c r="B34" s="434">
        <v>301</v>
      </c>
      <c r="C34" s="423" t="str">
        <f>VLOOKUP(B34,'Data pick slip'!B:F,5,FALSE)</f>
        <v>KHN-M7710-A4</v>
      </c>
      <c r="D34" s="169">
        <v>111421</v>
      </c>
      <c r="E34" s="281">
        <f>VLOOKUP(D34,Stock_list!D:L,9,FALSE)</f>
        <v>45261</v>
      </c>
      <c r="F34" s="170" t="s">
        <v>4201</v>
      </c>
      <c r="G34" s="146" t="s">
        <v>4186</v>
      </c>
      <c r="H34" s="173" t="s">
        <v>76</v>
      </c>
      <c r="I34" s="171">
        <v>5</v>
      </c>
      <c r="J34" s="172"/>
      <c r="K34" s="174"/>
      <c r="L34" s="173"/>
      <c r="M34" s="174"/>
      <c r="N34" s="175"/>
      <c r="O34" s="174"/>
      <c r="P34" s="176"/>
      <c r="Q34" s="176"/>
      <c r="R34" s="173"/>
      <c r="S34" s="177"/>
      <c r="T34" s="178"/>
      <c r="U34" s="173"/>
      <c r="V34" s="179"/>
      <c r="W34" s="145"/>
    </row>
    <row r="35" spans="1:23" ht="16.5" customHeight="1">
      <c r="A35" s="472" t="s">
        <v>15</v>
      </c>
      <c r="B35" s="434">
        <v>302</v>
      </c>
      <c r="C35" s="423" t="str">
        <f>VLOOKUP(B35,'Data pick slip'!B:F,5,FALSE)</f>
        <v>KHN-M7720-A3</v>
      </c>
      <c r="D35" s="169">
        <v>111421</v>
      </c>
      <c r="E35" s="281">
        <f>VLOOKUP(D35,Stock_list!D:L,9,FALSE)</f>
        <v>45261</v>
      </c>
      <c r="F35" s="170" t="s">
        <v>4201</v>
      </c>
      <c r="G35" s="146" t="s">
        <v>4186</v>
      </c>
      <c r="H35" s="173" t="s">
        <v>76</v>
      </c>
      <c r="I35" s="171">
        <v>20</v>
      </c>
      <c r="J35" s="404"/>
      <c r="K35" s="405"/>
      <c r="L35" s="406"/>
      <c r="M35" s="164"/>
      <c r="N35" s="407"/>
      <c r="O35" s="408"/>
      <c r="P35" s="409"/>
      <c r="Q35" s="409"/>
      <c r="R35" s="407"/>
      <c r="S35" s="410"/>
      <c r="T35" s="411"/>
      <c r="U35" s="412"/>
      <c r="V35" s="413"/>
      <c r="W35" s="145"/>
    </row>
    <row r="36" spans="1:23" ht="15" customHeight="1">
      <c r="A36" s="472" t="s">
        <v>15</v>
      </c>
      <c r="B36" s="434">
        <v>301</v>
      </c>
      <c r="C36" s="423" t="str">
        <f>VLOOKUP(B36,'Data pick slip'!B:F,5,FALSE)</f>
        <v>KHN-M7710-A4</v>
      </c>
      <c r="D36" s="169">
        <v>111452</v>
      </c>
      <c r="E36" s="281">
        <f>VLOOKUP(D36,Stock_list!D:L,9,FALSE)</f>
        <v>45268</v>
      </c>
      <c r="F36" s="170" t="s">
        <v>4201</v>
      </c>
      <c r="G36" s="146" t="s">
        <v>4186</v>
      </c>
      <c r="H36" s="173" t="s">
        <v>76</v>
      </c>
      <c r="I36" s="171">
        <v>100</v>
      </c>
      <c r="J36" s="172"/>
      <c r="K36" s="174"/>
      <c r="L36" s="173"/>
      <c r="M36" s="174"/>
      <c r="N36" s="175"/>
      <c r="O36" s="174"/>
      <c r="P36" s="176"/>
      <c r="Q36" s="176"/>
      <c r="R36" s="173"/>
      <c r="S36" s="177"/>
      <c r="T36" s="178"/>
      <c r="U36" s="173"/>
      <c r="V36" s="179"/>
      <c r="W36" s="145"/>
    </row>
    <row r="37" spans="1:23" ht="15" customHeight="1">
      <c r="A37" s="472" t="s">
        <v>15</v>
      </c>
      <c r="B37" s="434">
        <v>311</v>
      </c>
      <c r="C37" s="423" t="str">
        <f>VLOOKUP(B37,'Data pick slip'!B:F,5,FALSE)</f>
        <v>KHY-M7710-A4</v>
      </c>
      <c r="D37" s="169">
        <v>111464</v>
      </c>
      <c r="E37" s="281">
        <f>VLOOKUP(D37,Stock_list!D:L,9,FALSE)</f>
        <v>45296</v>
      </c>
      <c r="F37" s="170" t="s">
        <v>4201</v>
      </c>
      <c r="G37" s="146" t="s">
        <v>4186</v>
      </c>
      <c r="H37" s="173" t="s">
        <v>76</v>
      </c>
      <c r="I37" s="171">
        <v>40</v>
      </c>
      <c r="J37" s="172"/>
      <c r="K37" s="536" t="e">
        <f>VLOOKUP(J37,Stock_list!A:R,18,FALSE)</f>
        <v>#N/A</v>
      </c>
      <c r="L37" s="537" t="e">
        <f>VLOOKUP(J37,Stock_list!A:S,17,FALSE)</f>
        <v>#N/A</v>
      </c>
      <c r="M37" s="536" t="e">
        <f>VLOOKUP(J37,Stock_list!A:T,16,FALSE)</f>
        <v>#N/A</v>
      </c>
      <c r="N37" s="175"/>
      <c r="O37" s="174"/>
      <c r="P37" s="176"/>
      <c r="Q37" s="176"/>
      <c r="R37" s="173"/>
      <c r="S37" s="177"/>
      <c r="T37" s="178"/>
      <c r="U37" s="173"/>
      <c r="V37" s="179"/>
      <c r="W37" s="145"/>
    </row>
    <row r="38" spans="1:23" ht="15" customHeight="1">
      <c r="A38" s="472" t="s">
        <v>15</v>
      </c>
      <c r="B38" s="434">
        <v>301</v>
      </c>
      <c r="C38" s="423" t="str">
        <f>VLOOKUP(B38,'Data pick slip'!B:F,5,FALSE)</f>
        <v>KHN-M7710-A4</v>
      </c>
      <c r="D38" s="169">
        <v>111464</v>
      </c>
      <c r="E38" s="281">
        <f>VLOOKUP(D38,Stock_list!D:L,9,FALSE)</f>
        <v>45296</v>
      </c>
      <c r="F38" s="170" t="s">
        <v>4201</v>
      </c>
      <c r="G38" s="146" t="s">
        <v>4186</v>
      </c>
      <c r="H38" s="173" t="s">
        <v>76</v>
      </c>
      <c r="I38" s="171">
        <v>10</v>
      </c>
      <c r="J38" s="172"/>
      <c r="K38" s="536" t="e">
        <f>VLOOKUP(J38,Stock_list!A:R,18,FALSE)</f>
        <v>#N/A</v>
      </c>
      <c r="L38" s="537" t="e">
        <f>VLOOKUP(J38,Stock_list!A:S,17,FALSE)</f>
        <v>#N/A</v>
      </c>
      <c r="M38" s="536" t="e">
        <f>VLOOKUP(J38,Stock_list!A:T,16,FALSE)</f>
        <v>#N/A</v>
      </c>
      <c r="N38" s="175"/>
      <c r="O38" s="174"/>
      <c r="P38" s="176"/>
      <c r="Q38" s="176"/>
      <c r="R38" s="173"/>
      <c r="S38" s="177"/>
      <c r="T38" s="178"/>
      <c r="U38" s="173"/>
      <c r="V38" s="179"/>
      <c r="W38" s="145"/>
    </row>
    <row r="39" spans="1:23" ht="15" customHeight="1">
      <c r="A39" s="472" t="s">
        <v>15</v>
      </c>
      <c r="B39" s="434">
        <v>302</v>
      </c>
      <c r="C39" s="423" t="str">
        <f>VLOOKUP(B39,'Data pick slip'!B:F,5,FALSE)</f>
        <v>KHN-M7720-A3</v>
      </c>
      <c r="D39" s="169">
        <v>111464</v>
      </c>
      <c r="E39" s="281">
        <f>VLOOKUP(D39,Stock_list!D:L,9,FALSE)</f>
        <v>45296</v>
      </c>
      <c r="F39" s="170" t="s">
        <v>4201</v>
      </c>
      <c r="G39" s="146" t="s">
        <v>4186</v>
      </c>
      <c r="H39" s="173" t="s">
        <v>76</v>
      </c>
      <c r="I39" s="171">
        <v>15</v>
      </c>
      <c r="J39" s="172"/>
      <c r="K39" s="536" t="e">
        <f>VLOOKUP(J39,Stock_list!A:R,18,FALSE)</f>
        <v>#N/A</v>
      </c>
      <c r="L39" s="537" t="e">
        <f>VLOOKUP(J39,Stock_list!A:S,17,FALSE)</f>
        <v>#N/A</v>
      </c>
      <c r="M39" s="536" t="e">
        <f>VLOOKUP(J39,Stock_list!A:T,16,FALSE)</f>
        <v>#N/A</v>
      </c>
      <c r="N39" s="175"/>
      <c r="O39" s="174"/>
      <c r="P39" s="176"/>
      <c r="Q39" s="176"/>
      <c r="R39" s="173"/>
      <c r="S39" s="177"/>
      <c r="T39" s="178"/>
      <c r="U39" s="173"/>
      <c r="V39" s="179"/>
      <c r="W39" s="145"/>
    </row>
    <row r="40" spans="1:23" ht="15" customHeight="1">
      <c r="A40" s="472" t="s">
        <v>15</v>
      </c>
      <c r="B40" s="434">
        <v>303</v>
      </c>
      <c r="C40" s="423" t="str">
        <f>VLOOKUP(B40,'Data pick slip'!B:F,5,FALSE)</f>
        <v>KHY-M7740-A0</v>
      </c>
      <c r="D40" s="169">
        <v>111464</v>
      </c>
      <c r="E40" s="281">
        <f>VLOOKUP(D40,Stock_list!D:L,9,FALSE)</f>
        <v>45296</v>
      </c>
      <c r="F40" s="170" t="s">
        <v>4201</v>
      </c>
      <c r="G40" s="146" t="s">
        <v>4186</v>
      </c>
      <c r="H40" s="173" t="s">
        <v>76</v>
      </c>
      <c r="I40" s="171">
        <v>15</v>
      </c>
      <c r="J40" s="172"/>
      <c r="K40" s="536" t="e">
        <f>VLOOKUP(J40,Stock_list!A:R,18,FALSE)</f>
        <v>#N/A</v>
      </c>
      <c r="L40" s="537" t="e">
        <f>VLOOKUP(J40,Stock_list!A:S,17,FALSE)</f>
        <v>#N/A</v>
      </c>
      <c r="M40" s="536" t="e">
        <f>VLOOKUP(J40,Stock_list!A:T,16,FALSE)</f>
        <v>#N/A</v>
      </c>
      <c r="N40" s="175"/>
      <c r="O40" s="174"/>
      <c r="P40" s="176"/>
      <c r="Q40" s="176"/>
      <c r="R40" s="173"/>
      <c r="S40" s="177"/>
      <c r="T40" s="178"/>
      <c r="U40" s="173"/>
      <c r="V40" s="179"/>
      <c r="W40" s="145"/>
    </row>
    <row r="41" spans="1:23" ht="15" customHeight="1">
      <c r="A41" s="472" t="s">
        <v>15</v>
      </c>
      <c r="B41" s="434">
        <v>301</v>
      </c>
      <c r="C41" s="423" t="str">
        <f>VLOOKUP(B41,'Data pick slip'!B:F,5,FALSE)</f>
        <v>KHN-M7710-A4</v>
      </c>
      <c r="D41" s="169">
        <v>111465</v>
      </c>
      <c r="E41" s="281">
        <f>VLOOKUP(D41,Stock_list!D:L,9,FALSE)</f>
        <v>45296</v>
      </c>
      <c r="F41" s="170" t="s">
        <v>4201</v>
      </c>
      <c r="G41" s="146" t="s">
        <v>4186</v>
      </c>
      <c r="H41" s="173" t="s">
        <v>76</v>
      </c>
      <c r="I41" s="171">
        <v>40</v>
      </c>
      <c r="J41" s="172"/>
      <c r="K41" s="536" t="e">
        <f>VLOOKUP(J41,Stock_list!A:R,18,FALSE)</f>
        <v>#N/A</v>
      </c>
      <c r="L41" s="537" t="e">
        <f>VLOOKUP(J41,Stock_list!A:S,17,FALSE)</f>
        <v>#N/A</v>
      </c>
      <c r="M41" s="536" t="e">
        <f>VLOOKUP(J41,Stock_list!A:T,16,FALSE)</f>
        <v>#N/A</v>
      </c>
      <c r="N41" s="175"/>
      <c r="O41" s="174"/>
      <c r="P41" s="176"/>
      <c r="Q41" s="176"/>
      <c r="R41" s="173"/>
      <c r="S41" s="177"/>
      <c r="T41" s="178"/>
      <c r="U41" s="173"/>
      <c r="V41" s="179"/>
      <c r="W41" s="145"/>
    </row>
    <row r="42" spans="1:23" ht="15" customHeight="1">
      <c r="A42" s="472" t="s">
        <v>15</v>
      </c>
      <c r="B42" s="434">
        <v>301</v>
      </c>
      <c r="C42" s="423" t="str">
        <f>VLOOKUP(B42,'Data pick slip'!B:F,5,FALSE)</f>
        <v>KHN-M7710-A4</v>
      </c>
      <c r="D42" s="169">
        <v>111482</v>
      </c>
      <c r="E42" s="281">
        <f>VLOOKUP(D42,Stock_list!D:L,9,FALSE)</f>
        <v>45349</v>
      </c>
      <c r="F42" s="170" t="s">
        <v>4201</v>
      </c>
      <c r="G42" s="146" t="s">
        <v>4186</v>
      </c>
      <c r="H42" s="173" t="s">
        <v>76</v>
      </c>
      <c r="I42" s="171">
        <v>20</v>
      </c>
      <c r="J42" s="172"/>
      <c r="K42" s="536" t="e">
        <f>VLOOKUP(J42,Stock_list!A:R,18,FALSE)</f>
        <v>#N/A</v>
      </c>
      <c r="L42" s="537" t="e">
        <f>VLOOKUP(J42,Stock_list!A:S,17,FALSE)</f>
        <v>#N/A</v>
      </c>
      <c r="M42" s="536" t="e">
        <f>VLOOKUP(J42,Stock_list!A:T,16,FALSE)</f>
        <v>#N/A</v>
      </c>
      <c r="N42" s="175"/>
      <c r="O42" s="174"/>
      <c r="P42" s="176"/>
      <c r="Q42" s="176"/>
      <c r="R42" s="173"/>
      <c r="S42" s="177"/>
      <c r="T42" s="178"/>
      <c r="U42" s="173"/>
      <c r="V42" s="179"/>
      <c r="W42" s="145"/>
    </row>
    <row r="43" spans="1:23" ht="15" customHeight="1">
      <c r="A43" s="472" t="s">
        <v>15</v>
      </c>
      <c r="B43" s="434">
        <v>301</v>
      </c>
      <c r="C43" s="423" t="str">
        <f>VLOOKUP(B43,'Data pick slip'!B:F,5,FALSE)</f>
        <v>KHN-M7710-A4</v>
      </c>
      <c r="D43" s="169">
        <v>111501</v>
      </c>
      <c r="E43" s="281">
        <f>VLOOKUP(D43,Stock_list!D:L,9,FALSE)</f>
        <v>45324</v>
      </c>
      <c r="F43" s="170" t="s">
        <v>4201</v>
      </c>
      <c r="G43" s="146" t="s">
        <v>4186</v>
      </c>
      <c r="H43" s="173" t="s">
        <v>76</v>
      </c>
      <c r="I43" s="171">
        <v>10</v>
      </c>
      <c r="J43" s="172"/>
      <c r="K43" s="536" t="e">
        <f>VLOOKUP(J43,Stock_list!A:R,18,FALSE)</f>
        <v>#N/A</v>
      </c>
      <c r="L43" s="537" t="e">
        <f>VLOOKUP(J43,Stock_list!A:S,17,FALSE)</f>
        <v>#N/A</v>
      </c>
      <c r="M43" s="536" t="e">
        <f>VLOOKUP(J43,Stock_list!A:T,16,FALSE)</f>
        <v>#N/A</v>
      </c>
      <c r="N43" s="175"/>
      <c r="O43" s="174"/>
      <c r="P43" s="176"/>
      <c r="Q43" s="176"/>
      <c r="R43" s="173"/>
      <c r="S43" s="177"/>
      <c r="T43" s="178"/>
      <c r="U43" s="173"/>
      <c r="V43" s="179"/>
      <c r="W43" s="145"/>
    </row>
    <row r="44" spans="1:23" ht="15" customHeight="1">
      <c r="A44" s="472" t="s">
        <v>15</v>
      </c>
      <c r="B44" s="434">
        <v>301</v>
      </c>
      <c r="C44" s="423" t="str">
        <f>VLOOKUP(B44,'Data pick slip'!B:F,5,FALSE)</f>
        <v>KHN-M7710-A4</v>
      </c>
      <c r="D44" s="169">
        <v>111503</v>
      </c>
      <c r="E44" s="281">
        <f>VLOOKUP(D44,Stock_list!D:L,9,FALSE)</f>
        <v>45348</v>
      </c>
      <c r="F44" s="170" t="s">
        <v>4201</v>
      </c>
      <c r="G44" s="146" t="s">
        <v>4186</v>
      </c>
      <c r="H44" s="173" t="s">
        <v>76</v>
      </c>
      <c r="I44" s="171">
        <v>20</v>
      </c>
      <c r="J44" s="172"/>
      <c r="K44" s="536" t="e">
        <f>VLOOKUP(J44,Stock_list!A:R,18,FALSE)</f>
        <v>#N/A</v>
      </c>
      <c r="L44" s="537" t="e">
        <f>VLOOKUP(J44,Stock_list!A:S,17,FALSE)</f>
        <v>#N/A</v>
      </c>
      <c r="M44" s="536" t="e">
        <f>VLOOKUP(J44,Stock_list!A:T,16,FALSE)</f>
        <v>#N/A</v>
      </c>
      <c r="N44" s="175"/>
      <c r="O44" s="174"/>
      <c r="P44" s="176"/>
      <c r="Q44" s="176"/>
      <c r="R44" s="173"/>
      <c r="S44" s="177"/>
      <c r="T44" s="178"/>
      <c r="U44" s="173"/>
      <c r="V44" s="179"/>
      <c r="W44" s="145"/>
    </row>
    <row r="45" spans="1:23" ht="15" customHeight="1">
      <c r="A45" s="472" t="s">
        <v>15</v>
      </c>
      <c r="B45" s="434">
        <v>303</v>
      </c>
      <c r="C45" s="423" t="str">
        <f>VLOOKUP(B45,'Data pick slip'!B:F,5,FALSE)</f>
        <v>KHY-M7740-A0</v>
      </c>
      <c r="D45" s="169">
        <v>111503</v>
      </c>
      <c r="E45" s="281">
        <f>VLOOKUP(D45,Stock_list!D:L,9,FALSE)</f>
        <v>45348</v>
      </c>
      <c r="F45" s="170" t="s">
        <v>4201</v>
      </c>
      <c r="G45" s="146" t="s">
        <v>4186</v>
      </c>
      <c r="H45" s="173" t="s">
        <v>76</v>
      </c>
      <c r="I45" s="171">
        <v>20</v>
      </c>
      <c r="J45" s="172"/>
      <c r="K45" s="536" t="e">
        <f>VLOOKUP(J45,Stock_list!A:R,18,FALSE)</f>
        <v>#N/A</v>
      </c>
      <c r="L45" s="537" t="e">
        <f>VLOOKUP(J45,Stock_list!A:S,17,FALSE)</f>
        <v>#N/A</v>
      </c>
      <c r="M45" s="536" t="e">
        <f>VLOOKUP(J45,Stock_list!A:T,16,FALSE)</f>
        <v>#N/A</v>
      </c>
      <c r="N45" s="175"/>
      <c r="O45" s="174"/>
      <c r="P45" s="176"/>
      <c r="Q45" s="176"/>
      <c r="R45" s="173"/>
      <c r="S45" s="177"/>
      <c r="T45" s="178"/>
      <c r="U45" s="173"/>
      <c r="V45" s="179"/>
      <c r="W45" s="145"/>
    </row>
    <row r="46" spans="1:23" ht="15" customHeight="1">
      <c r="A46" s="472" t="s">
        <v>281</v>
      </c>
      <c r="B46" s="434">
        <v>302</v>
      </c>
      <c r="C46" s="423" t="str">
        <f>VLOOKUP(B46,'Data pick slip'!B:F,5,FALSE)</f>
        <v>KHN-M7720-A3</v>
      </c>
      <c r="D46" s="311" t="s">
        <v>4204</v>
      </c>
      <c r="E46" s="281"/>
      <c r="F46" s="170" t="s">
        <v>4201</v>
      </c>
      <c r="G46" s="146" t="s">
        <v>4188</v>
      </c>
      <c r="H46" s="173" t="s">
        <v>76</v>
      </c>
      <c r="I46" s="171">
        <v>10</v>
      </c>
      <c r="J46" s="172">
        <v>2027</v>
      </c>
      <c r="K46" s="536" t="str">
        <f>VLOOKUP(J46,Stock_list!A:R,18,FALSE)</f>
        <v>精莞盈</v>
      </c>
      <c r="L46" s="537" t="str">
        <f>VLOOKUP(J46,Stock_list!A:S,17,FALSE)</f>
        <v>C49SZX20230130JY</v>
      </c>
      <c r="M46" s="536" t="str">
        <f>VLOOKUP(J46,Stock_list!A:T,16,FALSE)</f>
        <v>JPY</v>
      </c>
      <c r="N46" s="175"/>
      <c r="O46" s="174"/>
      <c r="P46" s="176"/>
      <c r="Q46" s="176"/>
      <c r="R46" s="173"/>
      <c r="S46" s="177"/>
      <c r="T46" s="178"/>
      <c r="U46" s="173"/>
      <c r="V46" s="179"/>
      <c r="W46" s="145"/>
    </row>
    <row r="47" spans="1:23" ht="15" customHeight="1">
      <c r="A47" s="472" t="s">
        <v>281</v>
      </c>
      <c r="B47" s="434">
        <v>302</v>
      </c>
      <c r="C47" s="423" t="str">
        <f>VLOOKUP(B47,'Data pick slip'!B:F,5,FALSE)</f>
        <v>KHN-M7720-A3</v>
      </c>
      <c r="D47" s="311" t="s">
        <v>4204</v>
      </c>
      <c r="E47" s="281"/>
      <c r="F47" s="170" t="s">
        <v>4201</v>
      </c>
      <c r="G47" s="146" t="s">
        <v>4188</v>
      </c>
      <c r="H47" s="173" t="s">
        <v>76</v>
      </c>
      <c r="I47" s="171">
        <v>10</v>
      </c>
      <c r="J47" s="172">
        <v>2043</v>
      </c>
      <c r="K47" s="536" t="str">
        <f>VLOOKUP(J47,Stock_list!A:R,18,FALSE)</f>
        <v>莫思特</v>
      </c>
      <c r="L47" s="537" t="str">
        <f>VLOOKUP(J47,Stock_list!A:S,17,FALSE)</f>
        <v>C49SZX20230140SX</v>
      </c>
      <c r="M47" s="536" t="str">
        <f>VLOOKUP(J47,Stock_list!A:T,16,FALSE)</f>
        <v>RMB</v>
      </c>
      <c r="N47" s="175"/>
      <c r="O47" s="174"/>
      <c r="P47" s="176"/>
      <c r="Q47" s="176"/>
      <c r="R47" s="173"/>
      <c r="S47" s="177"/>
      <c r="T47" s="178"/>
      <c r="U47" s="173"/>
      <c r="V47" s="179"/>
      <c r="W47" s="145"/>
    </row>
    <row r="48" spans="1:23" ht="15" customHeight="1">
      <c r="A48" s="472" t="s">
        <v>281</v>
      </c>
      <c r="B48" s="436">
        <v>301</v>
      </c>
      <c r="C48" s="423" t="str">
        <f>VLOOKUP(B48,'Data pick slip'!B:F,5,FALSE)</f>
        <v>KHN-M7710-A4</v>
      </c>
      <c r="D48" s="169"/>
      <c r="E48" s="281" t="s">
        <v>4341</v>
      </c>
      <c r="F48" s="170" t="s">
        <v>4191</v>
      </c>
      <c r="G48" s="146" t="s">
        <v>4186</v>
      </c>
      <c r="H48" s="173" t="s">
        <v>76</v>
      </c>
      <c r="I48" s="171">
        <v>40</v>
      </c>
      <c r="J48" s="172"/>
      <c r="K48" s="387" t="s">
        <v>3413</v>
      </c>
      <c r="L48" s="281" t="s">
        <v>4341</v>
      </c>
      <c r="M48" s="51" t="s">
        <v>1246</v>
      </c>
      <c r="N48" s="175"/>
      <c r="O48" s="174"/>
      <c r="P48" s="176"/>
      <c r="Q48" s="176"/>
      <c r="R48" s="173"/>
      <c r="S48" s="177"/>
      <c r="T48" s="178"/>
      <c r="U48" s="173"/>
      <c r="V48" s="179"/>
      <c r="W48" s="145"/>
    </row>
    <row r="49" spans="1:23" ht="15" customHeight="1">
      <c r="A49" s="472" t="s">
        <v>281</v>
      </c>
      <c r="B49" s="436">
        <v>302</v>
      </c>
      <c r="C49" s="423" t="str">
        <f>VLOOKUP(B49,'Data pick slip'!B:F,5,FALSE)</f>
        <v>KHN-M7720-A3</v>
      </c>
      <c r="D49" s="169"/>
      <c r="E49" s="281" t="s">
        <v>4341</v>
      </c>
      <c r="F49" s="170" t="s">
        <v>4191</v>
      </c>
      <c r="G49" s="146" t="s">
        <v>4186</v>
      </c>
      <c r="H49" s="173" t="s">
        <v>76</v>
      </c>
      <c r="I49" s="171">
        <v>10</v>
      </c>
      <c r="J49" s="172"/>
      <c r="K49" s="387" t="s">
        <v>3413</v>
      </c>
      <c r="L49" s="281" t="s">
        <v>4341</v>
      </c>
      <c r="M49" s="51" t="s">
        <v>1246</v>
      </c>
      <c r="N49" s="175"/>
      <c r="O49" s="174"/>
      <c r="P49" s="176"/>
      <c r="Q49" s="176"/>
      <c r="R49" s="173"/>
      <c r="S49" s="177"/>
      <c r="T49" s="178"/>
      <c r="U49" s="173"/>
      <c r="V49" s="179"/>
      <c r="W49" s="145"/>
    </row>
    <row r="50" spans="1:23" ht="15" customHeight="1">
      <c r="A50" s="472" t="s">
        <v>15</v>
      </c>
      <c r="B50" s="434">
        <v>301</v>
      </c>
      <c r="C50" s="423" t="str">
        <f>VLOOKUP(B50,'Data pick slip'!B:F,5,FALSE)</f>
        <v>KHN-M7710-A4</v>
      </c>
      <c r="D50" s="169" t="s">
        <v>4331</v>
      </c>
      <c r="E50" s="281"/>
      <c r="F50" s="170" t="s">
        <v>4201</v>
      </c>
      <c r="G50" s="146" t="s">
        <v>4188</v>
      </c>
      <c r="H50" s="173" t="s">
        <v>76</v>
      </c>
      <c r="I50" s="171">
        <v>10</v>
      </c>
      <c r="J50" s="172"/>
      <c r="K50" s="536"/>
      <c r="L50" s="537"/>
      <c r="M50" s="536"/>
      <c r="N50" s="175"/>
      <c r="O50" s="174"/>
      <c r="P50" s="176"/>
      <c r="Q50" s="176"/>
      <c r="R50" s="173"/>
      <c r="S50" s="177"/>
      <c r="T50" s="178"/>
      <c r="U50" s="173"/>
      <c r="V50" s="179"/>
      <c r="W50" s="145"/>
    </row>
    <row r="51" spans="1:23" ht="15" customHeight="1">
      <c r="A51" s="472" t="s">
        <v>15</v>
      </c>
      <c r="B51" s="434">
        <v>301</v>
      </c>
      <c r="C51" s="423" t="str">
        <f>VLOOKUP(B51,'Data pick slip'!B:F,5,FALSE)</f>
        <v>KHN-M7710-A4</v>
      </c>
      <c r="D51" s="169" t="s">
        <v>4331</v>
      </c>
      <c r="E51" s="281"/>
      <c r="F51" s="170" t="s">
        <v>4201</v>
      </c>
      <c r="G51" s="146" t="s">
        <v>4186</v>
      </c>
      <c r="H51" s="173" t="s">
        <v>76</v>
      </c>
      <c r="I51" s="171">
        <v>10</v>
      </c>
      <c r="J51" s="172"/>
      <c r="K51" s="536"/>
      <c r="L51" s="537"/>
      <c r="M51" s="536"/>
      <c r="N51" s="175"/>
      <c r="O51" s="174"/>
      <c r="P51" s="176"/>
      <c r="Q51" s="176"/>
      <c r="R51" s="173"/>
      <c r="S51" s="177"/>
      <c r="T51" s="178"/>
      <c r="U51" s="173"/>
      <c r="V51" s="179"/>
      <c r="W51" s="145"/>
    </row>
    <row r="52" spans="1:23" ht="15" customHeight="1">
      <c r="A52" s="472" t="s">
        <v>15</v>
      </c>
      <c r="B52" s="434">
        <v>301</v>
      </c>
      <c r="C52" s="423" t="str">
        <f>VLOOKUP(B52,'Data pick slip'!B:F,5,FALSE)</f>
        <v>KHN-M7710-A4</v>
      </c>
      <c r="D52" s="169">
        <v>111521</v>
      </c>
      <c r="E52" s="281">
        <f>VLOOKUP(D52,Stock_list!D:L,9,FALSE)</f>
        <v>45355</v>
      </c>
      <c r="F52" s="170" t="s">
        <v>4201</v>
      </c>
      <c r="G52" s="146" t="s">
        <v>4186</v>
      </c>
      <c r="H52" s="173" t="s">
        <v>2762</v>
      </c>
      <c r="I52" s="171">
        <v>75</v>
      </c>
      <c r="J52" s="172"/>
      <c r="K52" s="536"/>
      <c r="L52" s="537"/>
      <c r="M52" s="536"/>
      <c r="N52" s="175"/>
      <c r="O52" s="174"/>
      <c r="P52" s="176"/>
      <c r="Q52" s="176"/>
      <c r="R52" s="173"/>
      <c r="S52" s="177"/>
      <c r="T52" s="178"/>
      <c r="U52" s="173"/>
      <c r="V52" s="179"/>
      <c r="W52" s="145"/>
    </row>
    <row r="53" spans="1:23" ht="15" customHeight="1">
      <c r="A53" s="472" t="s">
        <v>15</v>
      </c>
      <c r="B53" s="434">
        <v>303</v>
      </c>
      <c r="C53" s="423" t="str">
        <f>VLOOKUP(B53,'Data pick slip'!B:F,5,FALSE)</f>
        <v>KHY-M7740-A0</v>
      </c>
      <c r="D53" s="169">
        <v>111521</v>
      </c>
      <c r="E53" s="281">
        <f>VLOOKUP(D53,Stock_list!D:L,9,FALSE)</f>
        <v>45355</v>
      </c>
      <c r="F53" s="170" t="s">
        <v>4201</v>
      </c>
      <c r="G53" s="146" t="s">
        <v>4186</v>
      </c>
      <c r="H53" s="173" t="s">
        <v>2762</v>
      </c>
      <c r="I53" s="171">
        <v>20</v>
      </c>
      <c r="J53" s="172"/>
      <c r="K53" s="536"/>
      <c r="L53" s="537"/>
      <c r="M53" s="536"/>
      <c r="N53" s="175"/>
      <c r="O53" s="174"/>
      <c r="P53" s="176"/>
      <c r="Q53" s="176"/>
      <c r="R53" s="173"/>
      <c r="S53" s="177"/>
      <c r="T53" s="178"/>
      <c r="U53" s="173"/>
      <c r="V53" s="179"/>
      <c r="W53" s="145"/>
    </row>
    <row r="54" spans="1:23" ht="15" customHeight="1">
      <c r="A54" s="472" t="s">
        <v>15</v>
      </c>
      <c r="B54" s="434">
        <v>302</v>
      </c>
      <c r="C54" s="423" t="str">
        <f>VLOOKUP(B54,'Data pick slip'!B:F,5,FALSE)</f>
        <v>KHN-M7720-A3</v>
      </c>
      <c r="D54" s="169">
        <v>111521</v>
      </c>
      <c r="E54" s="281">
        <f>VLOOKUP(D54,Stock_list!D:L,9,FALSE)</f>
        <v>45355</v>
      </c>
      <c r="F54" s="170" t="s">
        <v>4201</v>
      </c>
      <c r="G54" s="146" t="s">
        <v>4186</v>
      </c>
      <c r="H54" s="173" t="s">
        <v>2762</v>
      </c>
      <c r="I54" s="171">
        <v>25</v>
      </c>
      <c r="J54" s="172"/>
      <c r="K54" s="536"/>
      <c r="L54" s="537"/>
      <c r="M54" s="536"/>
      <c r="N54" s="175"/>
      <c r="O54" s="174"/>
      <c r="P54" s="176"/>
      <c r="Q54" s="176"/>
      <c r="R54" s="173"/>
      <c r="S54" s="177"/>
      <c r="T54" s="178"/>
      <c r="U54" s="173"/>
      <c r="V54" s="179"/>
      <c r="W54" s="145"/>
    </row>
    <row r="55" spans="1:23" ht="15" customHeight="1">
      <c r="A55" s="472" t="s">
        <v>15</v>
      </c>
      <c r="B55" s="434">
        <v>301</v>
      </c>
      <c r="C55" s="423" t="str">
        <f>VLOOKUP(B55,'Data pick slip'!B:F,5,FALSE)</f>
        <v>KHN-M7710-A4</v>
      </c>
      <c r="D55" s="169">
        <v>111522</v>
      </c>
      <c r="E55" s="281">
        <f>VLOOKUP(D55,Stock_list!D:L,9,FALSE)</f>
        <v>45354</v>
      </c>
      <c r="F55" s="170" t="s">
        <v>4201</v>
      </c>
      <c r="G55" s="146" t="s">
        <v>4186</v>
      </c>
      <c r="H55" s="173" t="s">
        <v>2762</v>
      </c>
      <c r="I55" s="171">
        <v>60</v>
      </c>
      <c r="J55" s="172"/>
      <c r="K55" s="536"/>
      <c r="L55" s="537"/>
      <c r="M55" s="536"/>
      <c r="N55" s="175"/>
      <c r="O55" s="174"/>
      <c r="P55" s="176"/>
      <c r="Q55" s="176"/>
      <c r="R55" s="173"/>
      <c r="S55" s="177"/>
      <c r="T55" s="178"/>
      <c r="U55" s="173"/>
      <c r="V55" s="179"/>
      <c r="W55" s="145"/>
    </row>
    <row r="56" spans="1:23" ht="15" customHeight="1">
      <c r="A56" s="472" t="s">
        <v>15</v>
      </c>
      <c r="B56" s="434">
        <v>303</v>
      </c>
      <c r="C56" s="423" t="str">
        <f>VLOOKUP(B56,'Data pick slip'!B:F,5,FALSE)</f>
        <v>KHY-M7740-A0</v>
      </c>
      <c r="D56" s="169">
        <v>111522</v>
      </c>
      <c r="E56" s="281">
        <f>VLOOKUP(D56,Stock_list!D:L,9,FALSE)</f>
        <v>45354</v>
      </c>
      <c r="F56" s="170" t="s">
        <v>4201</v>
      </c>
      <c r="G56" s="146" t="s">
        <v>4186</v>
      </c>
      <c r="H56" s="173" t="s">
        <v>2762</v>
      </c>
      <c r="I56" s="171">
        <v>20</v>
      </c>
      <c r="J56" s="172"/>
      <c r="K56" s="536"/>
      <c r="L56" s="537"/>
      <c r="M56" s="536"/>
      <c r="N56" s="175"/>
      <c r="O56" s="174"/>
      <c r="P56" s="176"/>
      <c r="Q56" s="176"/>
      <c r="R56" s="173"/>
      <c r="S56" s="177"/>
      <c r="T56" s="178"/>
      <c r="U56" s="173"/>
      <c r="V56" s="179"/>
      <c r="W56" s="145"/>
    </row>
    <row r="57" spans="1:23" ht="15" customHeight="1">
      <c r="A57" s="472" t="s">
        <v>15</v>
      </c>
      <c r="B57" s="434">
        <v>301</v>
      </c>
      <c r="C57" s="423" t="str">
        <f>VLOOKUP(B57,'Data pick slip'!B:F,5,FALSE)</f>
        <v>KHN-M7710-A4</v>
      </c>
      <c r="D57" s="311" t="s">
        <v>4204</v>
      </c>
      <c r="E57" s="281"/>
      <c r="F57" s="170" t="s">
        <v>4191</v>
      </c>
      <c r="G57" s="146" t="s">
        <v>4188</v>
      </c>
      <c r="H57" s="173" t="s">
        <v>76</v>
      </c>
      <c r="I57" s="171">
        <v>9</v>
      </c>
      <c r="J57" s="172">
        <v>2034</v>
      </c>
      <c r="K57" s="536" t="str">
        <f>VLOOKUP(J57,Stock_list!A:R,18,FALSE)</f>
        <v>徕芬</v>
      </c>
      <c r="L57" s="537" t="str">
        <f>VLOOKUP(J57,Stock_list!A:S,17,FALSE)</f>
        <v>CG20231204009</v>
      </c>
      <c r="M57" s="536" t="str">
        <f>VLOOKUP(J57,Stock_list!A:T,16,FALSE)</f>
        <v>RMB</v>
      </c>
      <c r="N57" s="175"/>
      <c r="O57" s="174"/>
      <c r="P57" s="176"/>
      <c r="Q57" s="176"/>
      <c r="R57" s="173"/>
      <c r="S57" s="177"/>
      <c r="T57" s="178"/>
      <c r="U57" s="173"/>
      <c r="V57" s="179"/>
      <c r="W57" s="145"/>
    </row>
    <row r="58" spans="1:23" ht="15" customHeight="1">
      <c r="A58" s="472" t="s">
        <v>281</v>
      </c>
      <c r="B58" s="434">
        <v>301</v>
      </c>
      <c r="C58" s="423" t="str">
        <f>VLOOKUP(B58,'Data pick slip'!B:F,5,FALSE)</f>
        <v>KHN-M7710-A4</v>
      </c>
      <c r="D58" s="311" t="s">
        <v>4204</v>
      </c>
      <c r="E58" s="281"/>
      <c r="F58" s="170" t="s">
        <v>4201</v>
      </c>
      <c r="G58" s="146" t="s">
        <v>4188</v>
      </c>
      <c r="H58" s="173" t="s">
        <v>76</v>
      </c>
      <c r="I58" s="171">
        <v>50</v>
      </c>
      <c r="J58" s="172">
        <v>2057</v>
      </c>
      <c r="K58" s="536" t="str">
        <f>VLOOKUP(J58,Stock_list!A:R,18,FALSE)</f>
        <v>世纪佳柔</v>
      </c>
      <c r="L58" s="537" t="str">
        <f>VLOOKUP(J58,Stock_list!A:S,17,FALSE)</f>
        <v>C49SZX20230145BH</v>
      </c>
      <c r="M58" s="536" t="str">
        <f>VLOOKUP(J58,Stock_list!A:T,16,FALSE)</f>
        <v>JPY</v>
      </c>
      <c r="N58" s="175"/>
      <c r="O58" s="174"/>
      <c r="P58" s="176"/>
      <c r="Q58" s="176"/>
      <c r="R58" s="173"/>
      <c r="S58" s="177"/>
      <c r="T58" s="178"/>
      <c r="U58" s="173"/>
      <c r="V58" s="179"/>
      <c r="W58" s="145"/>
    </row>
    <row r="59" spans="1:23" ht="15" customHeight="1">
      <c r="A59" s="472" t="s">
        <v>281</v>
      </c>
      <c r="B59" s="434">
        <v>301</v>
      </c>
      <c r="C59" s="423" t="str">
        <f>VLOOKUP(B59,'Data pick slip'!B:F,5,FALSE)</f>
        <v>KHN-M7710-A4</v>
      </c>
      <c r="D59" s="311" t="s">
        <v>4204</v>
      </c>
      <c r="E59" s="281"/>
      <c r="F59" s="170" t="s">
        <v>4201</v>
      </c>
      <c r="G59" s="146" t="s">
        <v>4188</v>
      </c>
      <c r="H59" s="173" t="s">
        <v>76</v>
      </c>
      <c r="I59" s="171">
        <v>48</v>
      </c>
      <c r="J59" s="172">
        <v>2050</v>
      </c>
      <c r="K59" s="536" t="str">
        <f>VLOOKUP(J59,Stock_list!A:R,18,FALSE)</f>
        <v>盈通恒翼</v>
      </c>
      <c r="L59" s="537" t="str">
        <f>VLOOKUP(J59,Stock_list!A:S,17,FALSE)</f>
        <v>C49SZX20230142SS</v>
      </c>
      <c r="M59" s="536" t="str">
        <f>VLOOKUP(J59,Stock_list!A:T,16,FALSE)</f>
        <v>JPY</v>
      </c>
      <c r="N59" s="175"/>
      <c r="O59" s="174"/>
      <c r="P59" s="176"/>
      <c r="Q59" s="176"/>
      <c r="R59" s="173"/>
      <c r="S59" s="177"/>
      <c r="T59" s="178"/>
      <c r="U59" s="173"/>
      <c r="V59" s="179"/>
      <c r="W59" s="145"/>
    </row>
    <row r="60" spans="1:23" ht="15" customHeight="1">
      <c r="A60" s="472" t="s">
        <v>281</v>
      </c>
      <c r="B60" s="436">
        <v>301</v>
      </c>
      <c r="C60" s="423" t="str">
        <f>VLOOKUP(B60,'Data pick slip'!B:F,5,FALSE)</f>
        <v>KHN-M7710-A4</v>
      </c>
      <c r="D60" s="539" t="s">
        <v>4204</v>
      </c>
      <c r="F60" s="170" t="s">
        <v>4201</v>
      </c>
      <c r="G60" s="146" t="s">
        <v>4188</v>
      </c>
      <c r="H60" s="146" t="s">
        <v>76</v>
      </c>
      <c r="I60" s="171">
        <v>20</v>
      </c>
      <c r="J60" s="172">
        <v>2063</v>
      </c>
      <c r="K60" s="536" t="str">
        <f>VLOOKUP(J60,Stock_list!A:R,18,FALSE)</f>
        <v>诺亚兴</v>
      </c>
      <c r="L60" s="537" t="str">
        <f>VLOOKUP(J60,Stock_list!A:S,17,FALSE)</f>
        <v>C49SZX20240005EC</v>
      </c>
      <c r="M60" s="536" t="str">
        <f>VLOOKUP(J60,Stock_list!A:T,16,FALSE)</f>
        <v>JPY</v>
      </c>
      <c r="N60" s="175"/>
      <c r="O60" s="174"/>
      <c r="P60" s="176"/>
      <c r="Q60" s="176"/>
      <c r="R60" s="173"/>
      <c r="S60" s="177"/>
      <c r="T60" s="178"/>
      <c r="U60" s="173"/>
      <c r="V60" s="179"/>
      <c r="W60" s="145"/>
    </row>
    <row r="61" spans="1:23" ht="15" customHeight="1">
      <c r="A61" s="472" t="s">
        <v>281</v>
      </c>
      <c r="B61" s="436">
        <v>302</v>
      </c>
      <c r="C61" s="423" t="str">
        <f>VLOOKUP(B61,'Data pick slip'!B:F,5,FALSE)</f>
        <v>KHN-M7720-A3</v>
      </c>
      <c r="D61" s="539" t="s">
        <v>4204</v>
      </c>
      <c r="F61" s="170" t="s">
        <v>4193</v>
      </c>
      <c r="G61" s="146" t="s">
        <v>4188</v>
      </c>
      <c r="H61" s="146" t="s">
        <v>76</v>
      </c>
      <c r="I61" s="171">
        <v>15</v>
      </c>
      <c r="J61" s="172">
        <v>2045</v>
      </c>
      <c r="K61" s="536" t="str">
        <f>VLOOKUP(J61,Stock_list!A:R,18,FALSE)</f>
        <v>朗格邦定</v>
      </c>
      <c r="L61" s="537" t="str">
        <f>VLOOKUP(J61,Stock_list!A:S,17,FALSE)</f>
        <v>C49SZX20230142MZ</v>
      </c>
      <c r="M61" s="536" t="str">
        <f>VLOOKUP(J61,Stock_list!A:T,16,FALSE)</f>
        <v>JPY</v>
      </c>
      <c r="N61" s="175"/>
      <c r="O61" s="174"/>
      <c r="P61" s="176"/>
      <c r="Q61" s="176"/>
      <c r="R61" s="173"/>
      <c r="S61" s="177"/>
      <c r="T61" s="178"/>
      <c r="U61" s="173"/>
      <c r="V61" s="179"/>
      <c r="W61" s="145"/>
    </row>
    <row r="62" spans="1:23" ht="15" customHeight="1">
      <c r="A62" s="472" t="s">
        <v>281</v>
      </c>
      <c r="B62" s="436">
        <v>302</v>
      </c>
      <c r="C62" s="423" t="str">
        <f>VLOOKUP(B62,'Data pick slip'!B:F,5,FALSE)</f>
        <v>KHN-M7720-A3</v>
      </c>
      <c r="D62" s="539" t="s">
        <v>4204</v>
      </c>
      <c r="F62" s="170" t="s">
        <v>4193</v>
      </c>
      <c r="G62" s="146" t="s">
        <v>4188</v>
      </c>
      <c r="H62" s="146" t="s">
        <v>76</v>
      </c>
      <c r="I62" s="171">
        <v>40</v>
      </c>
      <c r="J62" s="172">
        <v>2081</v>
      </c>
      <c r="K62" s="536" t="str">
        <f>VLOOKUP(J62,Stock_list!A:R,18,FALSE)</f>
        <v>斯迈</v>
      </c>
      <c r="L62" s="537" t="str">
        <f>VLOOKUP(J62,Stock_list!A:S,17,FALSE)</f>
        <v>C49SZX20240018DZ</v>
      </c>
      <c r="M62" s="536" t="str">
        <f>VLOOKUP(J62,Stock_list!A:T,16,FALSE)</f>
        <v>JPY</v>
      </c>
      <c r="N62" s="175"/>
      <c r="O62" s="174"/>
      <c r="P62" s="176"/>
      <c r="Q62" s="176"/>
      <c r="R62" s="173"/>
      <c r="S62" s="177"/>
      <c r="T62" s="178"/>
      <c r="U62" s="173"/>
      <c r="V62" s="179"/>
      <c r="W62" s="145"/>
    </row>
    <row r="63" spans="1:23" ht="15" customHeight="1">
      <c r="A63" s="472" t="s">
        <v>281</v>
      </c>
      <c r="B63" s="436">
        <v>301</v>
      </c>
      <c r="C63" s="423" t="str">
        <f>VLOOKUP(B63,'Data pick slip'!B:F,5,FALSE)</f>
        <v>KHN-M7710-A4</v>
      </c>
      <c r="D63" s="539" t="s">
        <v>4204</v>
      </c>
      <c r="F63" s="170" t="s">
        <v>4201</v>
      </c>
      <c r="G63" s="146" t="s">
        <v>4188</v>
      </c>
      <c r="H63" s="146" t="s">
        <v>76</v>
      </c>
      <c r="I63" s="171">
        <v>40</v>
      </c>
      <c r="J63" s="172">
        <v>2081</v>
      </c>
      <c r="K63" s="536" t="str">
        <f>VLOOKUP(J63,Stock_list!A:R,18,FALSE)</f>
        <v>斯迈</v>
      </c>
      <c r="L63" s="537" t="str">
        <f>VLOOKUP(J63,Stock_list!A:S,17,FALSE)</f>
        <v>C49SZX20240018DZ</v>
      </c>
      <c r="M63" s="536" t="str">
        <f>VLOOKUP(J63,Stock_list!A:T,16,FALSE)</f>
        <v>JPY</v>
      </c>
      <c r="N63" s="175"/>
      <c r="O63" s="174"/>
      <c r="P63" s="176"/>
      <c r="Q63" s="176"/>
      <c r="R63" s="173"/>
      <c r="S63" s="177"/>
      <c r="T63" s="178"/>
      <c r="U63" s="173"/>
      <c r="V63" s="179"/>
      <c r="W63" s="145"/>
    </row>
    <row r="64" spans="1:23" ht="15" customHeight="1">
      <c r="A64" s="472" t="s">
        <v>281</v>
      </c>
      <c r="B64" s="434">
        <v>303</v>
      </c>
      <c r="C64" s="423" t="str">
        <f>VLOOKUP(B64,'Data pick slip'!B:F,5,FALSE)</f>
        <v>KHY-M7740-A0</v>
      </c>
      <c r="D64" s="169">
        <v>111536</v>
      </c>
      <c r="E64" s="281">
        <f>VLOOKUP(D64,Stock_list!D:L,9,FALSE)</f>
        <v>45380</v>
      </c>
      <c r="F64" s="170" t="s">
        <v>4201</v>
      </c>
      <c r="G64" s="146" t="s">
        <v>4186</v>
      </c>
      <c r="H64" s="173" t="s">
        <v>20</v>
      </c>
      <c r="I64" s="171">
        <v>30</v>
      </c>
      <c r="J64" s="172"/>
      <c r="K64" s="536"/>
      <c r="L64" s="537"/>
      <c r="M64" s="536"/>
      <c r="N64" s="175"/>
      <c r="O64" s="174"/>
      <c r="P64" s="176"/>
      <c r="Q64" s="176"/>
      <c r="R64" s="173"/>
      <c r="S64" s="177"/>
      <c r="T64" s="178"/>
      <c r="U64" s="173"/>
      <c r="V64" s="179"/>
      <c r="W64" s="145"/>
    </row>
    <row r="65" spans="1:23" ht="15" customHeight="1">
      <c r="A65" s="472" t="s">
        <v>281</v>
      </c>
      <c r="B65" s="436">
        <v>301</v>
      </c>
      <c r="C65" s="423" t="str">
        <f>VLOOKUP(B65,'Data pick slip'!B:F,5,FALSE)</f>
        <v>KHN-M7710-A4</v>
      </c>
      <c r="D65" s="539" t="s">
        <v>4204</v>
      </c>
      <c r="F65" s="170" t="s">
        <v>4193</v>
      </c>
      <c r="G65" s="146" t="s">
        <v>4188</v>
      </c>
      <c r="H65" s="146" t="s">
        <v>76</v>
      </c>
      <c r="I65" s="171">
        <v>65</v>
      </c>
      <c r="J65" s="172">
        <v>2017</v>
      </c>
      <c r="K65" s="536" t="str">
        <f>VLOOKUP(J65,Stock_list!A:R,18,FALSE)</f>
        <v>兴开泰（end user:兴连）</v>
      </c>
      <c r="L65" s="537" t="str">
        <f>VLOOKUP(J65,Stock_list!A:S,17,FALSE)</f>
        <v>C49SZX20230111SX</v>
      </c>
      <c r="M65" s="536" t="str">
        <f>VLOOKUP(J65,Stock_list!A:T,16,FALSE)</f>
        <v>JPY</v>
      </c>
      <c r="N65" s="175"/>
      <c r="O65" s="174"/>
      <c r="P65" s="176"/>
      <c r="Q65" s="176"/>
      <c r="R65" s="173"/>
      <c r="S65" s="177"/>
      <c r="T65" s="178"/>
      <c r="U65" s="173"/>
      <c r="V65" s="179"/>
      <c r="W65" s="145"/>
    </row>
    <row r="66" spans="1:23" ht="15" customHeight="1">
      <c r="A66" s="472" t="s">
        <v>281</v>
      </c>
      <c r="B66" s="436">
        <v>302</v>
      </c>
      <c r="C66" s="423" t="str">
        <f>VLOOKUP(B66,'Data pick slip'!B:F,5,FALSE)</f>
        <v>KHN-M7720-A3</v>
      </c>
      <c r="D66" s="539" t="s">
        <v>3468</v>
      </c>
      <c r="F66" s="170" t="s">
        <v>4201</v>
      </c>
      <c r="G66" s="146" t="s">
        <v>4188</v>
      </c>
      <c r="H66" s="146" t="s">
        <v>76</v>
      </c>
      <c r="I66" s="171">
        <v>25</v>
      </c>
      <c r="J66" s="172"/>
      <c r="K66" s="536" t="s">
        <v>4391</v>
      </c>
      <c r="L66" s="537" t="s">
        <v>4392</v>
      </c>
      <c r="M66" s="536" t="s">
        <v>21</v>
      </c>
      <c r="N66" s="175"/>
      <c r="O66" s="174"/>
      <c r="P66" s="176"/>
      <c r="Q66" s="176"/>
      <c r="R66" s="173"/>
      <c r="S66" s="177"/>
      <c r="T66" s="178"/>
      <c r="U66" s="173"/>
      <c r="V66" s="179"/>
      <c r="W66" s="145"/>
    </row>
    <row r="67" spans="1:23" ht="15" customHeight="1">
      <c r="A67" s="472" t="s">
        <v>281</v>
      </c>
      <c r="B67" s="436">
        <v>303</v>
      </c>
      <c r="C67" s="423" t="str">
        <f>VLOOKUP(B67,'Data pick slip'!B:F,5,FALSE)</f>
        <v>KHY-M7740-A0</v>
      </c>
      <c r="D67" s="539" t="s">
        <v>3468</v>
      </c>
      <c r="F67" s="170" t="s">
        <v>4201</v>
      </c>
      <c r="G67" s="146" t="s">
        <v>4188</v>
      </c>
      <c r="H67" s="146" t="s">
        <v>76</v>
      </c>
      <c r="I67" s="171">
        <v>23</v>
      </c>
      <c r="J67" s="172"/>
      <c r="K67" s="536" t="s">
        <v>4391</v>
      </c>
      <c r="L67" s="537" t="s">
        <v>4392</v>
      </c>
      <c r="M67" s="536" t="s">
        <v>21</v>
      </c>
      <c r="N67" s="175"/>
      <c r="O67" s="174"/>
      <c r="P67" s="176"/>
      <c r="Q67" s="176"/>
      <c r="R67" s="173"/>
      <c r="S67" s="177"/>
      <c r="T67" s="178"/>
      <c r="U67" s="173"/>
      <c r="V67" s="179"/>
      <c r="W67" s="145"/>
    </row>
    <row r="68" spans="1:23" ht="15" customHeight="1">
      <c r="A68" s="472" t="s">
        <v>281</v>
      </c>
      <c r="B68" s="436">
        <v>302</v>
      </c>
      <c r="C68" s="423" t="str">
        <f>VLOOKUP(B68,'Data pick slip'!B:F,5,FALSE)</f>
        <v>KHN-M7720-A3</v>
      </c>
      <c r="D68" s="539" t="s">
        <v>4204</v>
      </c>
      <c r="E68" s="281"/>
      <c r="F68" s="170" t="s">
        <v>4201</v>
      </c>
      <c r="G68" s="146" t="s">
        <v>4188</v>
      </c>
      <c r="H68" s="146" t="s">
        <v>76</v>
      </c>
      <c r="I68" s="171">
        <v>20</v>
      </c>
      <c r="J68" s="172">
        <v>2090</v>
      </c>
      <c r="K68" s="536" t="str">
        <f>VLOOKUP(J68,Stock_list!A:R,18,FALSE)</f>
        <v>格美通</v>
      </c>
      <c r="L68" s="537" t="str">
        <f>VLOOKUP(J68,Stock_list!A:S,17,FALSE)</f>
        <v>C49SZX20240021EC</v>
      </c>
      <c r="M68" s="536" t="str">
        <f>VLOOKUP(J68,Stock_list!A:T,16,FALSE)</f>
        <v>JPY</v>
      </c>
      <c r="N68" s="175"/>
      <c r="O68" s="174"/>
      <c r="P68" s="176"/>
      <c r="Q68" s="176"/>
      <c r="R68" s="173"/>
      <c r="S68" s="177"/>
      <c r="T68" s="178"/>
      <c r="U68" s="173"/>
      <c r="V68" s="179"/>
      <c r="W68" s="145"/>
    </row>
    <row r="69" spans="1:23" ht="15" customHeight="1">
      <c r="A69" s="472" t="s">
        <v>281</v>
      </c>
      <c r="B69" s="436">
        <v>301</v>
      </c>
      <c r="C69" s="423" t="str">
        <f>VLOOKUP(B69,'Data pick slip'!B:F,5,FALSE)</f>
        <v>KHN-M7710-A4</v>
      </c>
      <c r="D69" s="311">
        <v>111547</v>
      </c>
      <c r="E69" s="281" t="str">
        <f>VLOOKUP(D69,Stock_list!D:L,9,FALSE)</f>
        <v>ex-work 24年3月</v>
      </c>
      <c r="F69" s="170" t="s">
        <v>4201</v>
      </c>
      <c r="G69" s="146" t="s">
        <v>4186</v>
      </c>
      <c r="H69" s="173" t="s">
        <v>20</v>
      </c>
      <c r="I69" s="171">
        <v>100</v>
      </c>
      <c r="J69" s="172"/>
      <c r="K69" s="536" t="e">
        <f>VLOOKUP(J69,Stock_list!A:R,18,FALSE)</f>
        <v>#N/A</v>
      </c>
      <c r="L69" s="537" t="e">
        <f>VLOOKUP(J69,Stock_list!A:S,17,FALSE)</f>
        <v>#N/A</v>
      </c>
      <c r="M69" s="536" t="e">
        <f>VLOOKUP(J69,Stock_list!A:T,16,FALSE)</f>
        <v>#N/A</v>
      </c>
      <c r="N69" s="175"/>
      <c r="O69" s="174"/>
      <c r="P69" s="176"/>
      <c r="Q69" s="176"/>
      <c r="R69" s="173"/>
      <c r="S69" s="177"/>
      <c r="T69" s="178"/>
      <c r="U69" s="173"/>
      <c r="V69" s="179"/>
      <c r="W69" s="145"/>
    </row>
    <row r="70" spans="1:23" ht="15" customHeight="1">
      <c r="A70" s="472" t="s">
        <v>281</v>
      </c>
      <c r="B70" s="436">
        <v>302</v>
      </c>
      <c r="C70" s="423" t="str">
        <f>VLOOKUP(B70,'Data pick slip'!B:F,5,FALSE)</f>
        <v>KHN-M7720-A3</v>
      </c>
      <c r="D70" s="311">
        <v>111547</v>
      </c>
      <c r="E70" s="281" t="str">
        <f>VLOOKUP(D70,Stock_list!D:L,9,FALSE)</f>
        <v>ex-work 24年3月</v>
      </c>
      <c r="F70" s="170" t="s">
        <v>4201</v>
      </c>
      <c r="G70" s="146" t="s">
        <v>4186</v>
      </c>
      <c r="H70" s="173" t="s">
        <v>20</v>
      </c>
      <c r="I70" s="171">
        <v>40</v>
      </c>
      <c r="J70" s="172"/>
      <c r="K70" s="536" t="e">
        <f>VLOOKUP(J70,Stock_list!A:R,18,FALSE)</f>
        <v>#N/A</v>
      </c>
      <c r="L70" s="537" t="e">
        <f>VLOOKUP(J70,Stock_list!A:S,17,FALSE)</f>
        <v>#N/A</v>
      </c>
      <c r="M70" s="536" t="e">
        <f>VLOOKUP(J70,Stock_list!A:T,16,FALSE)</f>
        <v>#N/A</v>
      </c>
      <c r="N70" s="175"/>
      <c r="O70" s="174"/>
      <c r="P70" s="176"/>
      <c r="Q70" s="176"/>
      <c r="R70" s="173"/>
      <c r="S70" s="177"/>
      <c r="T70" s="178"/>
      <c r="U70" s="173"/>
      <c r="V70" s="179"/>
      <c r="W70" s="145"/>
    </row>
    <row r="71" spans="1:23" ht="15" customHeight="1">
      <c r="A71" s="472" t="s">
        <v>281</v>
      </c>
      <c r="B71" s="436">
        <v>303</v>
      </c>
      <c r="C71" s="423" t="str">
        <f>VLOOKUP(B71,'Data pick slip'!B:F,5,FALSE)</f>
        <v>KHY-M7740-A0</v>
      </c>
      <c r="D71" s="311">
        <v>111547</v>
      </c>
      <c r="E71" s="281" t="str">
        <f>VLOOKUP(D71,Stock_list!D:L,9,FALSE)</f>
        <v>ex-work 24年3月</v>
      </c>
      <c r="F71" s="170" t="s">
        <v>4201</v>
      </c>
      <c r="G71" s="146" t="s">
        <v>4186</v>
      </c>
      <c r="H71" s="173" t="s">
        <v>20</v>
      </c>
      <c r="I71" s="171">
        <v>30</v>
      </c>
      <c r="J71" s="172"/>
      <c r="K71" s="536" t="e">
        <f>VLOOKUP(J71,Stock_list!A:R,18,FALSE)</f>
        <v>#N/A</v>
      </c>
      <c r="L71" s="537" t="e">
        <f>VLOOKUP(J71,Stock_list!A:S,17,FALSE)</f>
        <v>#N/A</v>
      </c>
      <c r="M71" s="536" t="e">
        <f>VLOOKUP(J71,Stock_list!A:T,16,FALSE)</f>
        <v>#N/A</v>
      </c>
      <c r="N71" s="175"/>
      <c r="O71" s="174"/>
      <c r="P71" s="176"/>
      <c r="Q71" s="176"/>
      <c r="R71" s="173"/>
      <c r="S71" s="177"/>
      <c r="T71" s="178"/>
      <c r="U71" s="173"/>
      <c r="V71" s="179"/>
      <c r="W71" s="145"/>
    </row>
    <row r="72" spans="1:23" ht="15" customHeight="1">
      <c r="A72" s="472" t="s">
        <v>281</v>
      </c>
      <c r="B72" s="434">
        <v>311</v>
      </c>
      <c r="C72" s="423" t="str">
        <f>VLOOKUP(B72,'Data pick slip'!B:F,5,FALSE)</f>
        <v>KHY-M7710-A4</v>
      </c>
      <c r="D72" s="311">
        <v>111547</v>
      </c>
      <c r="E72" s="281" t="str">
        <f>VLOOKUP(D72,Stock_list!D:L,9,FALSE)</f>
        <v>ex-work 24年3月</v>
      </c>
      <c r="F72" s="170" t="s">
        <v>4201</v>
      </c>
      <c r="G72" s="146" t="s">
        <v>4186</v>
      </c>
      <c r="H72" s="173" t="s">
        <v>20</v>
      </c>
      <c r="I72" s="171">
        <v>30</v>
      </c>
      <c r="J72" s="172"/>
      <c r="K72" s="536" t="e">
        <f>VLOOKUP(J72,Stock_list!A:R,18,FALSE)</f>
        <v>#N/A</v>
      </c>
      <c r="L72" s="537" t="e">
        <f>VLOOKUP(J72,Stock_list!A:S,17,FALSE)</f>
        <v>#N/A</v>
      </c>
      <c r="M72" s="536" t="e">
        <f>VLOOKUP(J72,Stock_list!A:T,16,FALSE)</f>
        <v>#N/A</v>
      </c>
      <c r="N72" s="175"/>
      <c r="O72" s="174"/>
      <c r="P72" s="176"/>
      <c r="Q72" s="176"/>
      <c r="R72" s="173"/>
      <c r="S72" s="177"/>
      <c r="T72" s="178"/>
      <c r="U72" s="173"/>
      <c r="V72" s="179"/>
      <c r="W72" s="145"/>
    </row>
    <row r="73" spans="1:23" ht="15" customHeight="1">
      <c r="A73" s="472" t="s">
        <v>281</v>
      </c>
      <c r="B73" s="436">
        <v>301</v>
      </c>
      <c r="C73" s="423" t="str">
        <f>VLOOKUP(B73,'Data pick slip'!B:F,5,FALSE)</f>
        <v>KHN-M7710-A4</v>
      </c>
      <c r="D73" s="169">
        <v>111546</v>
      </c>
      <c r="E73" s="281" t="str">
        <f>VLOOKUP(D73,Stock_list!D:L,9,FALSE)</f>
        <v>ex-work 24年3月</v>
      </c>
      <c r="F73" s="170" t="s">
        <v>4201</v>
      </c>
      <c r="G73" s="146" t="s">
        <v>4186</v>
      </c>
      <c r="H73" s="173" t="s">
        <v>20</v>
      </c>
      <c r="I73" s="171">
        <v>50</v>
      </c>
      <c r="J73" s="172"/>
      <c r="K73" s="536" t="e">
        <f>VLOOKUP(J73,Stock_list!A:R,18,FALSE)</f>
        <v>#N/A</v>
      </c>
      <c r="L73" s="537" t="e">
        <f>VLOOKUP(J73,Stock_list!A:S,17,FALSE)</f>
        <v>#N/A</v>
      </c>
      <c r="M73" s="536" t="e">
        <f>VLOOKUP(J73,Stock_list!A:T,16,FALSE)</f>
        <v>#N/A</v>
      </c>
      <c r="N73" s="175"/>
      <c r="O73" s="174"/>
      <c r="P73" s="176"/>
      <c r="Q73" s="176"/>
      <c r="R73" s="173"/>
      <c r="S73" s="177"/>
      <c r="T73" s="178"/>
      <c r="U73" s="173"/>
      <c r="V73" s="179"/>
      <c r="W73" s="145"/>
    </row>
    <row r="74" spans="1:23" ht="15" customHeight="1">
      <c r="A74" s="472" t="s">
        <v>281</v>
      </c>
      <c r="B74" s="436">
        <v>302</v>
      </c>
      <c r="C74" s="423" t="str">
        <f>VLOOKUP(B74,'Data pick slip'!B:F,5,FALSE)</f>
        <v>KHN-M7720-A3</v>
      </c>
      <c r="D74" s="169">
        <v>111546</v>
      </c>
      <c r="E74" s="281" t="str">
        <f>VLOOKUP(D74,Stock_list!D:L,9,FALSE)</f>
        <v>ex-work 24年3月</v>
      </c>
      <c r="F74" s="170" t="s">
        <v>4201</v>
      </c>
      <c r="G74" s="146" t="s">
        <v>4186</v>
      </c>
      <c r="H74" s="173" t="s">
        <v>20</v>
      </c>
      <c r="I74" s="171">
        <v>25</v>
      </c>
      <c r="J74" s="172"/>
      <c r="K74" s="536" t="e">
        <f>VLOOKUP(J74,Stock_list!A:R,18,FALSE)</f>
        <v>#N/A</v>
      </c>
      <c r="L74" s="537" t="e">
        <f>VLOOKUP(J74,Stock_list!A:S,17,FALSE)</f>
        <v>#N/A</v>
      </c>
      <c r="M74" s="536" t="e">
        <f>VLOOKUP(J74,Stock_list!A:T,16,FALSE)</f>
        <v>#N/A</v>
      </c>
      <c r="N74" s="175"/>
      <c r="O74" s="174"/>
      <c r="P74" s="176"/>
      <c r="Q74" s="176"/>
      <c r="R74" s="173"/>
      <c r="S74" s="177"/>
      <c r="T74" s="178"/>
      <c r="U74" s="173"/>
      <c r="V74" s="179"/>
      <c r="W74" s="145"/>
    </row>
    <row r="75" spans="1:23" ht="15" customHeight="1">
      <c r="A75" s="472" t="s">
        <v>281</v>
      </c>
      <c r="B75" s="436">
        <v>303</v>
      </c>
      <c r="C75" s="423" t="str">
        <f>VLOOKUP(B75,'Data pick slip'!B:F,5,FALSE)</f>
        <v>KHY-M7740-A0</v>
      </c>
      <c r="D75" s="169">
        <v>111546</v>
      </c>
      <c r="E75" s="281" t="str">
        <f>VLOOKUP(D75,Stock_list!D:L,9,FALSE)</f>
        <v>ex-work 24年3月</v>
      </c>
      <c r="F75" s="170" t="s">
        <v>4201</v>
      </c>
      <c r="G75" s="146" t="s">
        <v>4186</v>
      </c>
      <c r="H75" s="173" t="s">
        <v>20</v>
      </c>
      <c r="I75" s="171">
        <v>25</v>
      </c>
      <c r="J75" s="172"/>
      <c r="K75" s="536" t="e">
        <f>VLOOKUP(J75,Stock_list!A:R,18,FALSE)</f>
        <v>#N/A</v>
      </c>
      <c r="L75" s="537" t="e">
        <f>VLOOKUP(J75,Stock_list!A:S,17,FALSE)</f>
        <v>#N/A</v>
      </c>
      <c r="M75" s="536" t="e">
        <f>VLOOKUP(J75,Stock_list!A:T,16,FALSE)</f>
        <v>#N/A</v>
      </c>
      <c r="N75" s="175"/>
      <c r="O75" s="174"/>
      <c r="P75" s="176"/>
      <c r="Q75" s="176"/>
      <c r="R75" s="173"/>
      <c r="S75" s="177"/>
      <c r="T75" s="178"/>
      <c r="U75" s="173"/>
      <c r="V75" s="179"/>
      <c r="W75" s="145"/>
    </row>
    <row r="76" spans="1:23" ht="15" customHeight="1">
      <c r="A76" s="472" t="s">
        <v>15</v>
      </c>
      <c r="B76" s="436">
        <v>301</v>
      </c>
      <c r="C76" s="423" t="str">
        <f>VLOOKUP(B76,'Data pick slip'!B:F,5,FALSE)</f>
        <v>KHN-M7710-A4</v>
      </c>
      <c r="D76" s="539" t="s">
        <v>4204</v>
      </c>
      <c r="F76" s="170" t="s">
        <v>4193</v>
      </c>
      <c r="G76" s="146" t="s">
        <v>4188</v>
      </c>
      <c r="H76" s="146" t="s">
        <v>76</v>
      </c>
      <c r="I76" s="171">
        <v>5</v>
      </c>
      <c r="J76" s="172">
        <v>2040</v>
      </c>
      <c r="K76" s="536" t="str">
        <f>VLOOKUP(J76,Stock_list!A:R,18,FALSE)</f>
        <v>TBS</v>
      </c>
      <c r="L76" s="537" t="str">
        <f>VLOOKUP(J76,Stock_list!A:S,17,FALSE)</f>
        <v>C49SZX20230136JAL</v>
      </c>
      <c r="M76" s="536" t="str">
        <f>VLOOKUP(J76,Stock_list!A:T,16,FALSE)</f>
        <v>USD</v>
      </c>
      <c r="N76" s="175"/>
      <c r="O76" s="174"/>
      <c r="P76" s="176"/>
      <c r="Q76" s="176"/>
      <c r="R76" s="173"/>
      <c r="S76" s="177"/>
      <c r="T76" s="178"/>
      <c r="U76" s="173"/>
      <c r="V76" s="179"/>
      <c r="W76" s="145"/>
    </row>
    <row r="77" spans="1:23" ht="15" customHeight="1">
      <c r="A77" s="472" t="s">
        <v>15</v>
      </c>
      <c r="B77" s="436">
        <v>302</v>
      </c>
      <c r="C77" s="423" t="str">
        <f>VLOOKUP(B77,'Data pick slip'!B:F,5,FALSE)</f>
        <v>KHN-M7720-A3</v>
      </c>
      <c r="D77" s="539" t="s">
        <v>4204</v>
      </c>
      <c r="E77" s="281"/>
      <c r="F77" s="170" t="s">
        <v>4193</v>
      </c>
      <c r="G77" s="146" t="s">
        <v>4188</v>
      </c>
      <c r="H77" s="146" t="s">
        <v>76</v>
      </c>
      <c r="I77" s="171">
        <v>10</v>
      </c>
      <c r="J77" s="172">
        <v>2085</v>
      </c>
      <c r="K77" s="536" t="str">
        <f>VLOOKUP(J77,Stock_list!A:R,18,FALSE)</f>
        <v>江西优控</v>
      </c>
      <c r="L77" s="537" t="str">
        <f>VLOOKUP(J77,Stock_list!A:S,17,FALSE)</f>
        <v>C49SZX20240013SX</v>
      </c>
      <c r="M77" s="536" t="str">
        <f>VLOOKUP(J77,Stock_list!A:T,16,FALSE)</f>
        <v>JPY</v>
      </c>
      <c r="N77" s="175"/>
      <c r="O77" s="174"/>
      <c r="P77" s="176"/>
      <c r="Q77" s="176"/>
      <c r="R77" s="173"/>
      <c r="S77" s="177"/>
      <c r="T77" s="178"/>
      <c r="U77" s="173"/>
      <c r="V77" s="179"/>
      <c r="W77" s="145"/>
    </row>
    <row r="78" spans="1:23" ht="15" customHeight="1">
      <c r="A78" s="472" t="s">
        <v>15</v>
      </c>
      <c r="B78" s="436">
        <v>303</v>
      </c>
      <c r="C78" s="423" t="str">
        <f>VLOOKUP(B78,'Data pick slip'!B:F,5,FALSE)</f>
        <v>KHY-M7740-A0</v>
      </c>
      <c r="D78" s="539" t="s">
        <v>4204</v>
      </c>
      <c r="E78" s="281"/>
      <c r="F78" s="170" t="s">
        <v>4193</v>
      </c>
      <c r="G78" s="146" t="s">
        <v>4188</v>
      </c>
      <c r="H78" s="146" t="s">
        <v>76</v>
      </c>
      <c r="I78" s="171">
        <v>10</v>
      </c>
      <c r="J78" s="172">
        <v>2085</v>
      </c>
      <c r="K78" s="536" t="str">
        <f>VLOOKUP(J78,Stock_list!A:R,18,FALSE)</f>
        <v>江西优控</v>
      </c>
      <c r="L78" s="537" t="str">
        <f>VLOOKUP(J78,Stock_list!A:S,17,FALSE)</f>
        <v>C49SZX20240013SX</v>
      </c>
      <c r="M78" s="536" t="str">
        <f>VLOOKUP(J78,Stock_list!A:T,16,FALSE)</f>
        <v>JPY</v>
      </c>
      <c r="N78" s="175"/>
      <c r="O78" s="174"/>
      <c r="P78" s="176"/>
      <c r="Q78" s="176"/>
      <c r="R78" s="173"/>
      <c r="S78" s="177"/>
      <c r="T78" s="178"/>
      <c r="U78" s="173"/>
      <c r="V78" s="179"/>
      <c r="W78" s="145"/>
    </row>
    <row r="79" spans="1:23" ht="15" customHeight="1">
      <c r="A79" s="472" t="s">
        <v>15</v>
      </c>
      <c r="B79" s="436">
        <v>313</v>
      </c>
      <c r="C79" s="423" t="str">
        <f>VLOOKUP(B79,'Data pick slip'!B:F,5,FALSE)</f>
        <v>KHY-M7730-A2</v>
      </c>
      <c r="D79" s="539" t="s">
        <v>4204</v>
      </c>
      <c r="E79" s="281"/>
      <c r="F79" s="170" t="s">
        <v>4193</v>
      </c>
      <c r="G79" s="146" t="s">
        <v>4188</v>
      </c>
      <c r="H79" s="146" t="s">
        <v>76</v>
      </c>
      <c r="I79" s="171">
        <v>5</v>
      </c>
      <c r="J79" s="172">
        <v>2085</v>
      </c>
      <c r="K79" s="536" t="str">
        <f>VLOOKUP(J79,Stock_list!A:R,18,FALSE)</f>
        <v>江西优控</v>
      </c>
      <c r="L79" s="537" t="str">
        <f>VLOOKUP(J79,Stock_list!A:S,17,FALSE)</f>
        <v>C49SZX20240013SX</v>
      </c>
      <c r="M79" s="536" t="str">
        <f>VLOOKUP(J79,Stock_list!A:T,16,FALSE)</f>
        <v>JPY</v>
      </c>
      <c r="N79" s="175"/>
      <c r="O79" s="174"/>
      <c r="P79" s="176"/>
      <c r="Q79" s="176"/>
      <c r="R79" s="173"/>
      <c r="S79" s="177"/>
      <c r="T79" s="178"/>
      <c r="U79" s="173"/>
      <c r="V79" s="179"/>
      <c r="W79" s="145"/>
    </row>
    <row r="80" spans="1:23" ht="15" customHeight="1">
      <c r="A80" s="472" t="s">
        <v>281</v>
      </c>
      <c r="B80" s="436">
        <v>301</v>
      </c>
      <c r="C80" s="423" t="str">
        <f>VLOOKUP(B80,'Data pick slip'!B:F,5,FALSE)</f>
        <v>KHN-M7710-A4</v>
      </c>
      <c r="D80" s="169"/>
      <c r="E80" s="281" t="s">
        <v>4423</v>
      </c>
      <c r="F80" s="170" t="s">
        <v>4191</v>
      </c>
      <c r="G80" s="146" t="s">
        <v>4186</v>
      </c>
      <c r="H80" s="173" t="s">
        <v>76</v>
      </c>
      <c r="I80" s="171">
        <v>20</v>
      </c>
      <c r="J80" s="172"/>
      <c r="K80" s="387" t="s">
        <v>3413</v>
      </c>
      <c r="L80" s="281" t="s">
        <v>4423</v>
      </c>
      <c r="M80" s="51" t="s">
        <v>1246</v>
      </c>
      <c r="N80" s="175"/>
      <c r="O80" s="174"/>
      <c r="P80" s="176"/>
      <c r="Q80" s="176"/>
      <c r="R80" s="173"/>
      <c r="S80" s="177"/>
      <c r="T80" s="178"/>
      <c r="U80" s="173"/>
      <c r="V80" s="179"/>
      <c r="W80" s="145"/>
    </row>
    <row r="81" spans="1:23" ht="15" customHeight="1">
      <c r="A81" s="472" t="s">
        <v>281</v>
      </c>
      <c r="B81" s="436">
        <v>303</v>
      </c>
      <c r="C81" s="423" t="str">
        <f>VLOOKUP(B81,'Data pick slip'!B:F,5,FALSE)</f>
        <v>KHY-M7740-A0</v>
      </c>
      <c r="D81" s="169"/>
      <c r="E81" s="281" t="s">
        <v>4423</v>
      </c>
      <c r="F81" s="170" t="s">
        <v>4191</v>
      </c>
      <c r="G81" s="146" t="s">
        <v>4186</v>
      </c>
      <c r="H81" s="173" t="s">
        <v>76</v>
      </c>
      <c r="I81" s="171">
        <v>20</v>
      </c>
      <c r="J81" s="172"/>
      <c r="K81" s="387" t="s">
        <v>3413</v>
      </c>
      <c r="L81" s="281" t="s">
        <v>4423</v>
      </c>
      <c r="M81" s="51" t="s">
        <v>1246</v>
      </c>
      <c r="N81" s="175"/>
      <c r="O81" s="174"/>
      <c r="P81" s="176"/>
      <c r="Q81" s="176"/>
      <c r="R81" s="173"/>
      <c r="S81" s="177"/>
      <c r="T81" s="178"/>
      <c r="U81" s="173"/>
      <c r="V81" s="179"/>
      <c r="W81" s="145"/>
    </row>
    <row r="82" spans="1:23" ht="15" customHeight="1">
      <c r="A82" s="472" t="s">
        <v>15</v>
      </c>
      <c r="B82" s="436">
        <v>302</v>
      </c>
      <c r="C82" s="423" t="str">
        <f>VLOOKUP(B82,'Data pick slip'!B:F,5,FALSE)</f>
        <v>KHN-M7720-A3</v>
      </c>
      <c r="D82" s="539" t="s">
        <v>4204</v>
      </c>
      <c r="E82" s="281"/>
      <c r="F82" s="170" t="s">
        <v>4193</v>
      </c>
      <c r="G82" s="146" t="s">
        <v>4188</v>
      </c>
      <c r="H82" s="146" t="s">
        <v>76</v>
      </c>
      <c r="I82" s="171">
        <v>5</v>
      </c>
      <c r="J82" s="172">
        <v>2061</v>
      </c>
      <c r="K82" s="536" t="str">
        <f>VLOOKUP(J82,Stock_list!A:R,18,FALSE)</f>
        <v>豫龙辉</v>
      </c>
      <c r="L82" s="537" t="str">
        <f>VLOOKUP(J82,Stock_list!A:S,17,FALSE)</f>
        <v>C49SZX20240001JY</v>
      </c>
      <c r="M82" s="536" t="str">
        <f>VLOOKUP(J82,Stock_list!A:T,16,FALSE)</f>
        <v>JPY</v>
      </c>
      <c r="N82" s="175"/>
      <c r="O82" s="174"/>
      <c r="P82" s="176"/>
      <c r="Q82" s="176"/>
      <c r="R82" s="173"/>
      <c r="S82" s="177"/>
      <c r="T82" s="178"/>
      <c r="U82" s="173"/>
      <c r="V82" s="179"/>
      <c r="W82" s="145"/>
    </row>
    <row r="83" spans="1:23" ht="15" customHeight="1">
      <c r="A83" s="472" t="s">
        <v>15</v>
      </c>
      <c r="B83" s="436">
        <v>303</v>
      </c>
      <c r="C83" s="423" t="str">
        <f>VLOOKUP(B83,'Data pick slip'!B:F,5,FALSE)</f>
        <v>KHY-M7740-A0</v>
      </c>
      <c r="D83" s="539" t="s">
        <v>4204</v>
      </c>
      <c r="E83" s="281"/>
      <c r="F83" s="170" t="s">
        <v>4193</v>
      </c>
      <c r="G83" s="146" t="s">
        <v>4188</v>
      </c>
      <c r="H83" s="146" t="s">
        <v>76</v>
      </c>
      <c r="I83" s="171">
        <v>10</v>
      </c>
      <c r="J83" s="172">
        <v>2061</v>
      </c>
      <c r="K83" s="536" t="str">
        <f>VLOOKUP(J83,Stock_list!A:R,18,FALSE)</f>
        <v>豫龙辉</v>
      </c>
      <c r="L83" s="537" t="str">
        <f>VLOOKUP(J83,Stock_list!A:S,17,FALSE)</f>
        <v>C49SZX20240001JY</v>
      </c>
      <c r="M83" s="536" t="str">
        <f>VLOOKUP(J83,Stock_list!A:T,16,FALSE)</f>
        <v>JPY</v>
      </c>
      <c r="N83" s="175"/>
      <c r="O83" s="174"/>
      <c r="P83" s="176"/>
      <c r="Q83" s="176"/>
      <c r="R83" s="173"/>
      <c r="S83" s="177"/>
      <c r="T83" s="178"/>
      <c r="U83" s="173"/>
      <c r="V83" s="179"/>
      <c r="W83" s="145"/>
    </row>
    <row r="84" spans="1:23" ht="15" customHeight="1">
      <c r="A84" s="472" t="s">
        <v>15</v>
      </c>
      <c r="B84" s="436">
        <v>313</v>
      </c>
      <c r="C84" s="423" t="str">
        <f>VLOOKUP(B84,'Data pick slip'!B:F,5,FALSE)</f>
        <v>KHY-M7730-A2</v>
      </c>
      <c r="D84" s="539" t="s">
        <v>4204</v>
      </c>
      <c r="E84" s="281"/>
      <c r="F84" s="170" t="s">
        <v>4193</v>
      </c>
      <c r="G84" s="146" t="s">
        <v>4188</v>
      </c>
      <c r="H84" s="146" t="s">
        <v>76</v>
      </c>
      <c r="I84" s="171">
        <v>5</v>
      </c>
      <c r="J84" s="172">
        <v>2061</v>
      </c>
      <c r="K84" s="536" t="str">
        <f>VLOOKUP(J84,Stock_list!A:R,18,FALSE)</f>
        <v>豫龙辉</v>
      </c>
      <c r="L84" s="537" t="str">
        <f>VLOOKUP(J84,Stock_list!A:S,17,FALSE)</f>
        <v>C49SZX20240001JY</v>
      </c>
      <c r="M84" s="536" t="str">
        <f>VLOOKUP(J84,Stock_list!A:T,16,FALSE)</f>
        <v>JPY</v>
      </c>
      <c r="N84" s="175"/>
      <c r="O84" s="174"/>
      <c r="P84" s="176"/>
      <c r="Q84" s="176"/>
      <c r="R84" s="173"/>
      <c r="S84" s="177"/>
      <c r="T84" s="178"/>
      <c r="U84" s="173"/>
      <c r="V84" s="179"/>
      <c r="W84" s="145"/>
    </row>
    <row r="85" spans="1:23" ht="15" customHeight="1">
      <c r="B85" s="434"/>
      <c r="C85" s="423" t="e">
        <f>VLOOKUP(B85,'Data pick slip'!B:F,5,FALSE)</f>
        <v>#N/A</v>
      </c>
      <c r="D85" s="169"/>
      <c r="E85" s="281" t="e">
        <f>VLOOKUP(D85,Stock_list!D:L,9,FALSE)</f>
        <v>#N/A</v>
      </c>
      <c r="F85" s="170"/>
      <c r="H85" s="173"/>
      <c r="I85" s="171"/>
      <c r="J85" s="172"/>
      <c r="K85" s="174"/>
      <c r="L85" s="173"/>
      <c r="M85" s="174"/>
      <c r="N85" s="175"/>
      <c r="O85" s="174"/>
      <c r="P85" s="176"/>
      <c r="Q85" s="176"/>
      <c r="R85" s="173"/>
      <c r="S85" s="177"/>
      <c r="T85" s="178"/>
      <c r="U85" s="173"/>
      <c r="V85" s="179"/>
      <c r="W85" s="145"/>
    </row>
    <row r="86" spans="1:23" ht="15" customHeight="1">
      <c r="B86" s="434"/>
      <c r="C86" s="423" t="e">
        <f>VLOOKUP(B86,'Data pick slip'!B:F,5,FALSE)</f>
        <v>#N/A</v>
      </c>
      <c r="D86" s="169"/>
      <c r="E86" s="281" t="e">
        <f>VLOOKUP(D86,Stock_list!D:L,9,FALSE)</f>
        <v>#N/A</v>
      </c>
      <c r="F86" s="170"/>
      <c r="H86" s="173"/>
      <c r="I86" s="171"/>
      <c r="J86" s="172"/>
      <c r="K86" s="174"/>
      <c r="L86" s="173"/>
      <c r="M86" s="174"/>
      <c r="N86" s="175"/>
      <c r="O86" s="174"/>
      <c r="P86" s="176"/>
      <c r="Q86" s="176"/>
      <c r="R86" s="173"/>
      <c r="S86" s="177"/>
      <c r="T86" s="178"/>
      <c r="U86" s="173"/>
      <c r="V86" s="179"/>
      <c r="W86" s="145"/>
    </row>
    <row r="87" spans="1:23" ht="15" customHeight="1">
      <c r="B87" s="434"/>
      <c r="C87" s="423" t="e">
        <f>VLOOKUP(B87,'Data pick slip'!B:F,5,FALSE)</f>
        <v>#N/A</v>
      </c>
      <c r="D87" s="169"/>
      <c r="E87" s="281" t="e">
        <f>VLOOKUP(D87,Stock_list!D:L,9,FALSE)</f>
        <v>#N/A</v>
      </c>
      <c r="F87" s="170"/>
      <c r="H87" s="173"/>
      <c r="I87" s="171"/>
      <c r="J87" s="172"/>
      <c r="K87" s="174"/>
      <c r="L87" s="173"/>
      <c r="M87" s="174"/>
      <c r="N87" s="175"/>
      <c r="O87" s="174"/>
      <c r="P87" s="176"/>
      <c r="Q87" s="176"/>
      <c r="R87" s="173"/>
      <c r="S87" s="177"/>
      <c r="T87" s="178"/>
      <c r="U87" s="173"/>
      <c r="V87" s="179"/>
      <c r="W87" s="145"/>
    </row>
    <row r="88" spans="1:23" ht="15" customHeight="1">
      <c r="B88" s="434"/>
      <c r="C88" s="423" t="e">
        <f>VLOOKUP(B88,'Data pick slip'!B:F,5,FALSE)</f>
        <v>#N/A</v>
      </c>
      <c r="D88" s="169"/>
      <c r="E88" s="281" t="e">
        <f>VLOOKUP(D88,Stock_list!D:L,9,FALSE)</f>
        <v>#N/A</v>
      </c>
      <c r="F88" s="170"/>
      <c r="H88" s="173"/>
      <c r="I88" s="171"/>
      <c r="J88" s="172"/>
      <c r="K88" s="174"/>
      <c r="L88" s="173"/>
      <c r="M88" s="174"/>
      <c r="N88" s="175"/>
      <c r="O88" s="174"/>
      <c r="P88" s="176"/>
      <c r="Q88" s="176"/>
      <c r="R88" s="173"/>
      <c r="S88" s="177"/>
      <c r="T88" s="178"/>
      <c r="U88" s="173"/>
      <c r="V88" s="179"/>
      <c r="W88" s="145"/>
    </row>
    <row r="89" spans="1:23" ht="15" customHeight="1">
      <c r="B89" s="434"/>
      <c r="C89" s="423" t="e">
        <f>VLOOKUP(B89,'Data pick slip'!B:F,5,FALSE)</f>
        <v>#N/A</v>
      </c>
      <c r="D89" s="169"/>
      <c r="E89" s="281" t="e">
        <f>VLOOKUP(D89,Stock_list!D:L,9,FALSE)</f>
        <v>#N/A</v>
      </c>
      <c r="F89" s="170"/>
      <c r="H89" s="173"/>
      <c r="I89" s="171"/>
      <c r="J89" s="172"/>
      <c r="K89" s="174"/>
      <c r="L89" s="173"/>
      <c r="M89" s="174"/>
      <c r="N89" s="175"/>
      <c r="O89" s="174"/>
      <c r="P89" s="176"/>
      <c r="Q89" s="176"/>
      <c r="R89" s="173"/>
      <c r="S89" s="177"/>
      <c r="T89" s="178"/>
      <c r="U89" s="173"/>
      <c r="V89" s="179"/>
      <c r="W89" s="145"/>
    </row>
    <row r="90" spans="1:23" ht="15" customHeight="1">
      <c r="B90" s="434"/>
      <c r="C90" s="423" t="e">
        <f>VLOOKUP(B90,'Data pick slip'!B:F,5,FALSE)</f>
        <v>#N/A</v>
      </c>
      <c r="D90" s="169"/>
      <c r="E90" s="281" t="e">
        <f>VLOOKUP(D90,Stock_list!D:L,9,FALSE)</f>
        <v>#N/A</v>
      </c>
      <c r="F90" s="170"/>
      <c r="H90" s="173"/>
      <c r="I90" s="171"/>
      <c r="J90" s="172"/>
      <c r="K90" s="174"/>
      <c r="L90" s="173"/>
      <c r="M90" s="174"/>
      <c r="N90" s="175"/>
      <c r="O90" s="174"/>
      <c r="P90" s="176"/>
      <c r="Q90" s="176"/>
      <c r="R90" s="173"/>
      <c r="S90" s="177"/>
      <c r="T90" s="178"/>
      <c r="U90" s="173"/>
      <c r="V90" s="179"/>
      <c r="W90" s="145"/>
    </row>
    <row r="91" spans="1:23" ht="15" customHeight="1">
      <c r="B91" s="434"/>
      <c r="C91" s="423" t="e">
        <f>VLOOKUP(B91,'Data pick slip'!B:F,5,FALSE)</f>
        <v>#N/A</v>
      </c>
      <c r="D91" s="169"/>
      <c r="E91" s="281" t="e">
        <f>VLOOKUP(D91,Stock_list!D:L,9,FALSE)</f>
        <v>#N/A</v>
      </c>
      <c r="F91" s="170"/>
      <c r="H91" s="173"/>
      <c r="I91" s="171"/>
      <c r="J91" s="172"/>
      <c r="K91" s="174"/>
      <c r="L91" s="173"/>
      <c r="M91" s="174"/>
      <c r="N91" s="175"/>
      <c r="O91" s="174"/>
      <c r="P91" s="176"/>
      <c r="Q91" s="176"/>
      <c r="R91" s="173"/>
      <c r="S91" s="177"/>
      <c r="T91" s="178"/>
      <c r="U91" s="173"/>
      <c r="V91" s="179"/>
      <c r="W91" s="145"/>
    </row>
    <row r="92" spans="1:23" ht="15" customHeight="1">
      <c r="B92" s="434"/>
      <c r="C92" s="423" t="e">
        <f>VLOOKUP(B92,'Data pick slip'!B:F,5,FALSE)</f>
        <v>#N/A</v>
      </c>
      <c r="D92" s="169"/>
      <c r="E92" s="281" t="e">
        <f>VLOOKUP(D92,Stock_list!D:L,9,FALSE)</f>
        <v>#N/A</v>
      </c>
      <c r="F92" s="170"/>
      <c r="H92" s="173"/>
      <c r="I92" s="171"/>
      <c r="J92" s="172"/>
      <c r="K92" s="174"/>
      <c r="L92" s="173"/>
      <c r="M92" s="174"/>
      <c r="N92" s="175"/>
      <c r="O92" s="174"/>
      <c r="P92" s="176"/>
      <c r="Q92" s="176"/>
      <c r="R92" s="173"/>
      <c r="S92" s="177"/>
      <c r="T92" s="178"/>
      <c r="U92" s="173"/>
      <c r="V92" s="179"/>
      <c r="W92" s="145"/>
    </row>
    <row r="93" spans="1:23" ht="15" customHeight="1" thickBot="1">
      <c r="A93" s="435"/>
      <c r="B93" s="435"/>
      <c r="C93" s="424" t="e">
        <f>VLOOKUP(B93,'Data pick slip'!B:F,5,FALSE)</f>
        <v>#N/A</v>
      </c>
      <c r="D93" s="184"/>
      <c r="E93" s="304" t="e">
        <f>VLOOKUP(D93,Stock_list!D:L,9,FALSE)</f>
        <v>#N/A</v>
      </c>
      <c r="F93" s="185"/>
      <c r="G93" s="184"/>
      <c r="H93" s="184"/>
      <c r="I93" s="186"/>
      <c r="J93" s="187"/>
      <c r="K93" s="189"/>
      <c r="L93" s="188"/>
      <c r="M93" s="189"/>
      <c r="N93" s="190"/>
      <c r="O93" s="189"/>
      <c r="P93" s="191"/>
      <c r="Q93" s="191"/>
      <c r="R93" s="188"/>
      <c r="S93" s="192"/>
      <c r="T93" s="193"/>
      <c r="U93" s="188"/>
      <c r="V93" s="194"/>
      <c r="W93" s="145"/>
    </row>
    <row r="94" spans="1:23" ht="16.5" customHeight="1">
      <c r="A94" s="472" t="s">
        <v>15</v>
      </c>
      <c r="B94" s="434">
        <v>301</v>
      </c>
      <c r="C94" s="423" t="str">
        <f>VLOOKUP(B94,'Data pick slip'!B:F,5,FALSE)</f>
        <v>KHN-M7710-A4</v>
      </c>
      <c r="F94" s="170" t="s">
        <v>4201</v>
      </c>
      <c r="G94" s="146" t="s">
        <v>4188</v>
      </c>
      <c r="H94" s="146" t="s">
        <v>76</v>
      </c>
      <c r="J94" s="138" t="s">
        <v>4302</v>
      </c>
      <c r="K94" s="140">
        <v>66</v>
      </c>
      <c r="L94" s="269" t="s">
        <v>4304</v>
      </c>
      <c r="M94" s="51" t="s">
        <v>21</v>
      </c>
      <c r="N94" s="4">
        <v>45274</v>
      </c>
      <c r="O94" s="132">
        <v>8</v>
      </c>
      <c r="P94" s="146"/>
      <c r="R94" s="4" t="s">
        <v>4305</v>
      </c>
      <c r="S94" s="143"/>
      <c r="V94" s="144"/>
      <c r="W94" s="145" t="e">
        <f>VLOOKUP(J94,Stock_list!A:N,14,FALSE)</f>
        <v>#N/A</v>
      </c>
    </row>
    <row r="95" spans="1:23" ht="16.5" customHeight="1">
      <c r="A95" s="472" t="s">
        <v>15</v>
      </c>
      <c r="B95" s="434">
        <v>302</v>
      </c>
      <c r="C95" s="423" t="str">
        <f>VLOOKUP(B95,'Data pick slip'!B:F,5,FALSE)</f>
        <v>KHN-M7720-A3</v>
      </c>
      <c r="F95" s="170" t="s">
        <v>4201</v>
      </c>
      <c r="G95" s="146" t="s">
        <v>4188</v>
      </c>
      <c r="H95" s="146" t="s">
        <v>76</v>
      </c>
      <c r="J95" s="138" t="s">
        <v>4302</v>
      </c>
      <c r="K95" s="140">
        <v>66</v>
      </c>
      <c r="L95" s="269" t="s">
        <v>4304</v>
      </c>
      <c r="M95" s="51" t="s">
        <v>21</v>
      </c>
      <c r="N95" s="4">
        <v>45274</v>
      </c>
      <c r="O95" s="132">
        <v>8</v>
      </c>
      <c r="P95" s="146"/>
      <c r="R95" s="4" t="s">
        <v>4305</v>
      </c>
      <c r="S95" s="143"/>
      <c r="V95" s="144"/>
      <c r="W95" s="145" t="e">
        <f>VLOOKUP(J95,Stock_list!A:N,14,FALSE)</f>
        <v>#N/A</v>
      </c>
    </row>
    <row r="96" spans="1:23" ht="16.5" customHeight="1">
      <c r="A96" s="472" t="s">
        <v>15</v>
      </c>
      <c r="B96" s="434">
        <v>303</v>
      </c>
      <c r="C96" s="423" t="str">
        <f>VLOOKUP(B96,'Data pick slip'!B:F,5,FALSE)</f>
        <v>KHY-M7740-A0</v>
      </c>
      <c r="F96" s="170" t="s">
        <v>4201</v>
      </c>
      <c r="G96" s="146" t="s">
        <v>4188</v>
      </c>
      <c r="H96" s="146" t="s">
        <v>76</v>
      </c>
      <c r="J96" s="138" t="s">
        <v>4302</v>
      </c>
      <c r="K96" s="140">
        <v>66</v>
      </c>
      <c r="L96" s="269" t="s">
        <v>4304</v>
      </c>
      <c r="M96" s="51" t="s">
        <v>21</v>
      </c>
      <c r="N96" s="4">
        <v>45274</v>
      </c>
      <c r="O96" s="132">
        <v>3</v>
      </c>
      <c r="P96" s="146"/>
      <c r="R96" s="4" t="s">
        <v>4305</v>
      </c>
      <c r="S96" s="143"/>
      <c r="V96" s="144"/>
      <c r="W96" s="145" t="e">
        <f>VLOOKUP(J96,Stock_list!A:N,14,FALSE)</f>
        <v>#N/A</v>
      </c>
    </row>
    <row r="97" spans="1:23" ht="16.5" customHeight="1">
      <c r="A97" s="472" t="s">
        <v>281</v>
      </c>
      <c r="B97" s="436">
        <v>301</v>
      </c>
      <c r="C97" s="423" t="str">
        <f>VLOOKUP(B97,'Data pick slip'!B:F,5,FALSE)</f>
        <v>KHN-M7710-A4</v>
      </c>
      <c r="F97" s="170" t="s">
        <v>4191</v>
      </c>
      <c r="G97" s="146" t="s">
        <v>4186</v>
      </c>
      <c r="H97" s="146" t="s">
        <v>76</v>
      </c>
      <c r="J97" s="138">
        <v>2022</v>
      </c>
      <c r="K97" s="536" t="str">
        <f>VLOOKUP(J97,Stock_list!A:R,18,FALSE)</f>
        <v>皓吉达</v>
      </c>
      <c r="L97" s="537" t="str">
        <f>VLOOKUP(J97,Stock_list!A:S,17,FALSE)</f>
        <v>C49SZX20230129JL/HJD23110851</v>
      </c>
      <c r="M97" s="536" t="str">
        <f>VLOOKUP(J97,Stock_list!A:T,16,FALSE)</f>
        <v>RMB</v>
      </c>
      <c r="N97" s="4">
        <v>45261</v>
      </c>
      <c r="O97" s="140">
        <v>10</v>
      </c>
      <c r="R97" s="4" t="str">
        <f>VLOOKUP(J97,Stock_list!A:Y,25,FALSE)</f>
        <v>Yes</v>
      </c>
      <c r="S97" s="143"/>
      <c r="V97" s="144"/>
      <c r="W97" s="145" t="str">
        <f>VLOOKUP(J97,Stock_list!A:N,14,FALSE)</f>
        <v>DEC 23</v>
      </c>
    </row>
    <row r="98" spans="1:23" ht="16.5" customHeight="1">
      <c r="A98" s="472" t="s">
        <v>281</v>
      </c>
      <c r="B98" s="436">
        <v>301</v>
      </c>
      <c r="C98" s="423" t="str">
        <f>VLOOKUP(B98,'Data pick slip'!B:F,5,FALSE)</f>
        <v>KHN-M7710-A4</v>
      </c>
      <c r="F98" s="170" t="s">
        <v>4201</v>
      </c>
      <c r="G98" s="146" t="s">
        <v>4186</v>
      </c>
      <c r="H98" s="146" t="s">
        <v>76</v>
      </c>
      <c r="J98" s="138">
        <v>2000</v>
      </c>
      <c r="K98" s="536" t="str">
        <f>VLOOKUP(J98,Stock_list!A:R,18,FALSE)</f>
        <v>高伟</v>
      </c>
      <c r="L98" s="537" t="str">
        <f>VLOOKUP(J98,Stock_list!A:S,17,FALSE)</f>
        <v>C49SZX20230119JL/4600003615</v>
      </c>
      <c r="M98" s="536" t="str">
        <f>VLOOKUP(J98,Stock_list!A:T,16,FALSE)</f>
        <v>USD</v>
      </c>
      <c r="N98" s="4">
        <v>45265</v>
      </c>
      <c r="O98" s="140">
        <v>5</v>
      </c>
      <c r="R98" s="4" t="str">
        <f>VLOOKUP(J98,Stock_list!A:Y,25,FALSE)</f>
        <v>Yes</v>
      </c>
      <c r="S98" s="143"/>
      <c r="V98" s="144"/>
      <c r="W98" s="145" t="str">
        <f>VLOOKUP(J98,Stock_list!A:N,14,FALSE)</f>
        <v>JAN 24</v>
      </c>
    </row>
    <row r="99" spans="1:23" ht="16.5" customHeight="1">
      <c r="A99" s="472" t="s">
        <v>281</v>
      </c>
      <c r="B99" s="436">
        <v>303</v>
      </c>
      <c r="C99" s="423" t="str">
        <f>VLOOKUP(B99,'Data pick slip'!B:F,5,FALSE)</f>
        <v>KHY-M7740-A0</v>
      </c>
      <c r="F99" s="170" t="s">
        <v>4201</v>
      </c>
      <c r="G99" s="146" t="s">
        <v>4186</v>
      </c>
      <c r="H99" s="146" t="s">
        <v>76</v>
      </c>
      <c r="J99" s="138">
        <v>2000</v>
      </c>
      <c r="K99" s="536" t="str">
        <f>VLOOKUP(J99,Stock_list!A:R,18,FALSE)</f>
        <v>高伟</v>
      </c>
      <c r="L99" s="537" t="str">
        <f>VLOOKUP(J99,Stock_list!A:S,17,FALSE)</f>
        <v>C49SZX20230119JL/4600003615</v>
      </c>
      <c r="M99" s="536" t="str">
        <f>VLOOKUP(J99,Stock_list!A:T,16,FALSE)</f>
        <v>USD</v>
      </c>
      <c r="N99" s="4">
        <v>45265</v>
      </c>
      <c r="O99" s="140">
        <v>5</v>
      </c>
      <c r="R99" s="4" t="str">
        <f>VLOOKUP(J99,Stock_list!A:Y,25,FALSE)</f>
        <v>Yes</v>
      </c>
      <c r="S99" s="143"/>
      <c r="V99" s="144"/>
      <c r="W99" s="145" t="str">
        <f>VLOOKUP(J99,Stock_list!A:N,14,FALSE)</f>
        <v>JAN 24</v>
      </c>
    </row>
    <row r="100" spans="1:23" ht="16.5" customHeight="1">
      <c r="A100" s="472" t="s">
        <v>281</v>
      </c>
      <c r="B100" s="436">
        <v>301</v>
      </c>
      <c r="C100" s="423" t="str">
        <f>VLOOKUP(B100,'Data pick slip'!B:F,5,FALSE)</f>
        <v>KHN-M7710-A4</v>
      </c>
      <c r="F100" s="170" t="s">
        <v>4201</v>
      </c>
      <c r="G100" s="146" t="s">
        <v>4186</v>
      </c>
      <c r="H100" s="146" t="s">
        <v>76</v>
      </c>
      <c r="J100" s="138">
        <v>2031</v>
      </c>
      <c r="K100" s="536" t="str">
        <f>VLOOKUP(J100,Stock_list!A:R,18,FALSE)</f>
        <v>福瑞康</v>
      </c>
      <c r="L100" s="537" t="str">
        <f>VLOOKUP(J100,Stock_list!A:S,17,FALSE)</f>
        <v>C49SZX20230131EC</v>
      </c>
      <c r="M100" s="536" t="str">
        <f>VLOOKUP(J100,Stock_list!A:T,16,FALSE)</f>
        <v>JPY</v>
      </c>
      <c r="N100" s="4">
        <v>45272</v>
      </c>
      <c r="O100" s="140">
        <v>10</v>
      </c>
      <c r="R100" s="4" t="str">
        <f>VLOOKUP(J100,Stock_list!A:Y,25,FALSE)</f>
        <v>Yes</v>
      </c>
      <c r="S100" s="143"/>
      <c r="V100" s="144"/>
      <c r="W100" s="145" t="str">
        <f>VLOOKUP(J100,Stock_list!A:N,14,FALSE)</f>
        <v>DEC 23</v>
      </c>
    </row>
    <row r="101" spans="1:23" ht="16.5" customHeight="1">
      <c r="A101" s="472" t="s">
        <v>281</v>
      </c>
      <c r="B101" s="436">
        <v>301</v>
      </c>
      <c r="C101" s="423" t="str">
        <f>VLOOKUP(B101,'Data pick slip'!B:F,5,FALSE)</f>
        <v>KHN-M7710-A4</v>
      </c>
      <c r="F101" s="170" t="s">
        <v>4193</v>
      </c>
      <c r="G101" s="146" t="s">
        <v>4186</v>
      </c>
      <c r="H101" s="146" t="s">
        <v>76</v>
      </c>
      <c r="J101" s="138">
        <v>2027</v>
      </c>
      <c r="K101" s="536" t="str">
        <f>VLOOKUP(J101,Stock_list!A:R,18,FALSE)</f>
        <v>精莞盈</v>
      </c>
      <c r="L101" s="537" t="str">
        <f>VLOOKUP(J101,Stock_list!A:S,17,FALSE)</f>
        <v>C49SZX20230130JY</v>
      </c>
      <c r="M101" s="536" t="str">
        <f>VLOOKUP(J101,Stock_list!A:T,16,FALSE)</f>
        <v>JPY</v>
      </c>
      <c r="N101" s="4">
        <v>45275</v>
      </c>
      <c r="O101" s="140">
        <v>30</v>
      </c>
      <c r="R101" s="4" t="str">
        <f>VLOOKUP(J101,Stock_list!A:Y,25,FALSE)</f>
        <v>Yes</v>
      </c>
      <c r="S101" s="143"/>
      <c r="V101" s="144"/>
      <c r="W101" s="145"/>
    </row>
    <row r="102" spans="1:23" ht="16.5" customHeight="1">
      <c r="A102" s="472" t="s">
        <v>281</v>
      </c>
      <c r="B102" s="436">
        <v>301</v>
      </c>
      <c r="C102" s="423" t="str">
        <f>VLOOKUP(B102,'Data pick slip'!B:F,5,FALSE)</f>
        <v>KHN-M7710-A4</v>
      </c>
      <c r="F102" s="170" t="s">
        <v>4193</v>
      </c>
      <c r="G102" s="146" t="s">
        <v>4188</v>
      </c>
      <c r="H102" s="146" t="s">
        <v>76</v>
      </c>
      <c r="J102" s="138">
        <v>2027</v>
      </c>
      <c r="K102" s="536" t="str">
        <f>VLOOKUP(J102,Stock_list!A:R,18,FALSE)</f>
        <v>精莞盈</v>
      </c>
      <c r="L102" s="537" t="str">
        <f>VLOOKUP(J102,Stock_list!A:S,17,FALSE)</f>
        <v>C49SZX20230130JY</v>
      </c>
      <c r="M102" s="536" t="str">
        <f>VLOOKUP(J102,Stock_list!A:T,16,FALSE)</f>
        <v>JPY</v>
      </c>
      <c r="N102" s="4">
        <v>45275</v>
      </c>
      <c r="O102" s="140">
        <v>10</v>
      </c>
      <c r="R102" s="4" t="str">
        <f>VLOOKUP(J102,Stock_list!A:Y,25,FALSE)</f>
        <v>Yes</v>
      </c>
      <c r="S102" s="143"/>
      <c r="V102" s="144"/>
      <c r="W102" s="145"/>
    </row>
    <row r="103" spans="1:23" ht="18" customHeight="1">
      <c r="A103" s="472" t="s">
        <v>281</v>
      </c>
      <c r="B103" s="436">
        <v>301</v>
      </c>
      <c r="C103" s="423" t="str">
        <f>VLOOKUP(B103,'Data pick slip'!B:F,5,FALSE)</f>
        <v>KHN-M7710-A4</v>
      </c>
      <c r="D103" s="539" t="s">
        <v>4204</v>
      </c>
      <c r="F103" s="170" t="s">
        <v>4193</v>
      </c>
      <c r="G103" s="146" t="s">
        <v>4186</v>
      </c>
      <c r="H103" s="146" t="s">
        <v>76</v>
      </c>
      <c r="J103" s="138">
        <v>2027</v>
      </c>
      <c r="K103" s="536" t="str">
        <f>VLOOKUP(J103,Stock_list!A:R,18,FALSE)</f>
        <v>精莞盈</v>
      </c>
      <c r="L103" s="537" t="str">
        <f>VLOOKUP(J103,Stock_list!A:S,17,FALSE)</f>
        <v>C49SZX20230130JY</v>
      </c>
      <c r="M103" s="536" t="str">
        <f>VLOOKUP(J103,Stock_list!A:T,16,FALSE)</f>
        <v>JPY</v>
      </c>
      <c r="N103" s="4">
        <v>45275</v>
      </c>
      <c r="O103" s="140">
        <v>10</v>
      </c>
      <c r="R103" s="4" t="str">
        <f>VLOOKUP(J103,Stock_list!A:Y,25,FALSE)</f>
        <v>Yes</v>
      </c>
      <c r="S103" s="143"/>
      <c r="V103" s="144"/>
      <c r="W103" s="145"/>
    </row>
    <row r="104" spans="1:23" ht="21.75" customHeight="1">
      <c r="A104" s="472" t="s">
        <v>281</v>
      </c>
      <c r="B104" s="436">
        <v>301</v>
      </c>
      <c r="C104" s="423" t="str">
        <f>VLOOKUP(B104,'Data pick slip'!B:F,5,FALSE)</f>
        <v>KHN-M7710-A4</v>
      </c>
      <c r="F104" s="170" t="s">
        <v>4193</v>
      </c>
      <c r="G104" s="146" t="s">
        <v>4186</v>
      </c>
      <c r="H104" s="146" t="s">
        <v>76</v>
      </c>
      <c r="J104" s="138">
        <v>2047</v>
      </c>
      <c r="K104" s="536" t="str">
        <f>VLOOKUP(J104,Stock_list!A:R,18,FALSE)</f>
        <v>联鸿精密（end user:倍美斯）</v>
      </c>
      <c r="L104" s="537" t="str">
        <f>VLOOKUP(J104,Stock_list!A:S,17,FALSE)</f>
        <v>C49SZX20230139DX</v>
      </c>
      <c r="M104" s="536" t="str">
        <f>VLOOKUP(J104,Stock_list!A:T,16,FALSE)</f>
        <v>JPY</v>
      </c>
      <c r="N104" s="4">
        <v>45281</v>
      </c>
      <c r="O104" s="140">
        <v>20</v>
      </c>
      <c r="R104" s="4" t="str">
        <f>VLOOKUP(J104,Stock_list!A:Y,25,FALSE)</f>
        <v>Yes</v>
      </c>
      <c r="S104" s="143"/>
      <c r="V104" s="144"/>
      <c r="W104" s="145"/>
    </row>
    <row r="105" spans="1:23" ht="16.5" customHeight="1">
      <c r="A105" s="472" t="s">
        <v>281</v>
      </c>
      <c r="B105" s="436">
        <v>301</v>
      </c>
      <c r="C105" s="423" t="str">
        <f>VLOOKUP(B105,'Data pick slip'!B:F,5,FALSE)</f>
        <v>KHN-M7710-A4</v>
      </c>
      <c r="F105" s="170" t="s">
        <v>4201</v>
      </c>
      <c r="G105" s="146" t="s">
        <v>4186</v>
      </c>
      <c r="H105" s="146" t="s">
        <v>76</v>
      </c>
      <c r="J105" s="138">
        <v>2043</v>
      </c>
      <c r="K105" s="536" t="str">
        <f>VLOOKUP(J105,Stock_list!A:R,18,FALSE)</f>
        <v>莫思特</v>
      </c>
      <c r="L105" s="537" t="str">
        <f>VLOOKUP(J105,Stock_list!A:S,17,FALSE)</f>
        <v>C49SZX20230140SX</v>
      </c>
      <c r="M105" s="536" t="str">
        <f>VLOOKUP(J105,Stock_list!A:T,16,FALSE)</f>
        <v>RMB</v>
      </c>
      <c r="N105" s="4">
        <v>45278</v>
      </c>
      <c r="O105" s="140">
        <v>10</v>
      </c>
      <c r="R105" s="4" t="str">
        <f>VLOOKUP(J105,Stock_list!A:Y,25,FALSE)</f>
        <v>Yes</v>
      </c>
      <c r="S105" s="143"/>
      <c r="V105" s="144"/>
      <c r="W105" s="145"/>
    </row>
    <row r="106" spans="1:23" ht="16.5" customHeight="1">
      <c r="A106" s="472" t="s">
        <v>281</v>
      </c>
      <c r="B106" s="436">
        <v>302</v>
      </c>
      <c r="C106" s="423" t="str">
        <f>VLOOKUP(B106,'Data pick slip'!B:F,5,FALSE)</f>
        <v>KHN-M7720-A3</v>
      </c>
      <c r="F106" s="170" t="s">
        <v>4201</v>
      </c>
      <c r="G106" s="146" t="s">
        <v>4188</v>
      </c>
      <c r="H106" s="146" t="s">
        <v>76</v>
      </c>
      <c r="J106" s="138">
        <v>2043</v>
      </c>
      <c r="K106" s="536" t="str">
        <f>VLOOKUP(J106,Stock_list!A:R,18,FALSE)</f>
        <v>莫思特</v>
      </c>
      <c r="L106" s="537" t="str">
        <f>VLOOKUP(J106,Stock_list!A:S,17,FALSE)</f>
        <v>C49SZX20230140SX</v>
      </c>
      <c r="M106" s="536" t="str">
        <f>VLOOKUP(J106,Stock_list!A:T,16,FALSE)</f>
        <v>RMB</v>
      </c>
      <c r="N106" s="290">
        <v>45278</v>
      </c>
      <c r="O106" s="140">
        <v>10</v>
      </c>
      <c r="R106" s="4" t="str">
        <f>VLOOKUP(J106,Stock_list!A:Y,25,FALSE)</f>
        <v>Yes</v>
      </c>
      <c r="S106" s="143"/>
      <c r="V106" s="144"/>
      <c r="W106" s="145"/>
    </row>
    <row r="107" spans="1:23" ht="16.5" customHeight="1">
      <c r="A107" s="472" t="s">
        <v>281</v>
      </c>
      <c r="B107" s="436">
        <v>301</v>
      </c>
      <c r="C107" s="423" t="str">
        <f>VLOOKUP(B107,'Data pick slip'!B:F,5,FALSE)</f>
        <v>KHN-M7710-A4</v>
      </c>
      <c r="D107" s="539" t="s">
        <v>4204</v>
      </c>
      <c r="E107" s="535"/>
      <c r="F107" s="170" t="s">
        <v>4201</v>
      </c>
      <c r="G107" s="146" t="s">
        <v>4186</v>
      </c>
      <c r="H107" s="146" t="s">
        <v>76</v>
      </c>
      <c r="J107" s="138">
        <v>2043</v>
      </c>
      <c r="K107" s="140" t="str">
        <f>VLOOKUP(J107,Stock_list!A:R,18,FALSE)</f>
        <v>莫思特</v>
      </c>
      <c r="L107" s="139" t="str">
        <f>VLOOKUP(J107,Stock_list!A:S,17,FALSE)</f>
        <v>C49SZX20230140SX</v>
      </c>
      <c r="M107" s="51" t="str">
        <f>VLOOKUP(J107,Stock_list!A:T,16,FALSE)</f>
        <v>RMB</v>
      </c>
      <c r="N107" s="4">
        <v>45278</v>
      </c>
      <c r="O107" s="140">
        <v>10</v>
      </c>
      <c r="R107" s="4" t="str">
        <f>VLOOKUP(J107,Stock_list!A:Y,25,FALSE)</f>
        <v>Yes</v>
      </c>
      <c r="S107" s="143"/>
      <c r="V107" s="144"/>
      <c r="W107" s="145"/>
    </row>
    <row r="108" spans="1:23" ht="16.5" customHeight="1">
      <c r="A108" s="472" t="s">
        <v>281</v>
      </c>
      <c r="B108" s="436">
        <v>301</v>
      </c>
      <c r="C108" s="423" t="str">
        <f>VLOOKUP(B108,'Data pick slip'!B:F,5,FALSE)</f>
        <v>KHN-M7710-A4</v>
      </c>
      <c r="F108" s="170" t="s">
        <v>4201</v>
      </c>
      <c r="G108" s="146" t="s">
        <v>4186</v>
      </c>
      <c r="H108" s="146" t="s">
        <v>76</v>
      </c>
      <c r="K108" s="387" t="s">
        <v>3413</v>
      </c>
      <c r="L108" s="139" t="s">
        <v>4344</v>
      </c>
      <c r="M108" s="51" t="s">
        <v>1246</v>
      </c>
      <c r="N108" s="4">
        <v>45294</v>
      </c>
      <c r="O108" s="140">
        <v>40</v>
      </c>
      <c r="R108" s="4" t="s">
        <v>291</v>
      </c>
      <c r="S108" s="143"/>
      <c r="V108" s="144"/>
      <c r="W108" s="145"/>
    </row>
    <row r="109" spans="1:23" ht="16.5" customHeight="1">
      <c r="A109" s="472" t="s">
        <v>281</v>
      </c>
      <c r="B109" s="436">
        <v>302</v>
      </c>
      <c r="C109" s="423" t="str">
        <f>VLOOKUP(B109,'Data pick slip'!B:F,5,FALSE)</f>
        <v>KHN-M7720-A3</v>
      </c>
      <c r="F109" s="170" t="s">
        <v>4201</v>
      </c>
      <c r="G109" s="146" t="s">
        <v>4186</v>
      </c>
      <c r="H109" s="146" t="s">
        <v>76</v>
      </c>
      <c r="K109" s="387" t="s">
        <v>3413</v>
      </c>
      <c r="L109" s="139" t="s">
        <v>4344</v>
      </c>
      <c r="M109" s="51" t="s">
        <v>1246</v>
      </c>
      <c r="N109" s="4">
        <v>45294</v>
      </c>
      <c r="O109" s="140">
        <v>10</v>
      </c>
      <c r="R109" s="4" t="s">
        <v>291</v>
      </c>
      <c r="S109" s="143"/>
      <c r="V109" s="144"/>
      <c r="W109" s="145"/>
    </row>
    <row r="110" spans="1:23" ht="16.5" customHeight="1">
      <c r="A110" s="472" t="s">
        <v>281</v>
      </c>
      <c r="B110" s="436">
        <v>301</v>
      </c>
      <c r="C110" s="423" t="str">
        <f>VLOOKUP(B110,'Data pick slip'!B:F,5,FALSE)</f>
        <v>KHN-M7710-A4</v>
      </c>
      <c r="F110" s="170" t="s">
        <v>4201</v>
      </c>
      <c r="G110" s="146" t="s">
        <v>4186</v>
      </c>
      <c r="H110" s="146" t="s">
        <v>76</v>
      </c>
      <c r="J110" s="138">
        <v>2044</v>
      </c>
      <c r="K110" s="140" t="str">
        <f>VLOOKUP(J110,Stock_list!A:R,18,FALSE)</f>
        <v>派勤</v>
      </c>
      <c r="L110" s="139" t="str">
        <f>VLOOKUP(J110,Stock_list!A:S,17,FALSE)</f>
        <v>C49SZX202300141SS</v>
      </c>
      <c r="M110" s="51" t="str">
        <f>VLOOKUP(J110,Stock_list!A:T,16,FALSE)</f>
        <v>JPY</v>
      </c>
      <c r="N110" s="4">
        <v>45285</v>
      </c>
      <c r="O110" s="140">
        <v>20</v>
      </c>
      <c r="R110" s="4" t="str">
        <f>VLOOKUP(J110,Stock_list!A:Y,25,FALSE)</f>
        <v>Yes</v>
      </c>
      <c r="S110" s="143"/>
      <c r="V110" s="144"/>
      <c r="W110" s="145"/>
    </row>
    <row r="111" spans="1:23" ht="16.5" customHeight="1">
      <c r="A111" s="472" t="s">
        <v>4325</v>
      </c>
      <c r="B111" s="436">
        <v>301</v>
      </c>
      <c r="C111" s="423" t="str">
        <f>VLOOKUP(B111,'Data pick slip'!B:F,5,FALSE)</f>
        <v>KHN-M7710-A4</v>
      </c>
      <c r="F111" s="170" t="s">
        <v>4201</v>
      </c>
      <c r="G111" s="146" t="s">
        <v>4188</v>
      </c>
      <c r="H111" s="146" t="s">
        <v>76</v>
      </c>
      <c r="J111" s="138" t="s">
        <v>4346</v>
      </c>
      <c r="K111" s="387">
        <v>66</v>
      </c>
      <c r="L111" s="379" t="s">
        <v>4326</v>
      </c>
      <c r="M111" s="51" t="s">
        <v>1246</v>
      </c>
      <c r="N111" s="4">
        <v>45280</v>
      </c>
      <c r="O111" s="140">
        <v>1</v>
      </c>
      <c r="R111" s="4" t="s">
        <v>291</v>
      </c>
      <c r="S111" s="143"/>
      <c r="V111" s="144"/>
      <c r="W111" s="145"/>
    </row>
    <row r="112" spans="1:23" ht="16.5" customHeight="1">
      <c r="A112" s="472" t="s">
        <v>4325</v>
      </c>
      <c r="B112" s="436">
        <v>302</v>
      </c>
      <c r="C112" s="423" t="str">
        <f>VLOOKUP(B112,'Data pick slip'!B:F,5,FALSE)</f>
        <v>KHN-M7720-A3</v>
      </c>
      <c r="F112" s="170" t="s">
        <v>4201</v>
      </c>
      <c r="G112" s="146" t="s">
        <v>4188</v>
      </c>
      <c r="H112" s="146" t="s">
        <v>76</v>
      </c>
      <c r="J112" s="138" t="s">
        <v>4346</v>
      </c>
      <c r="K112" s="387">
        <v>66</v>
      </c>
      <c r="L112" s="379" t="s">
        <v>4326</v>
      </c>
      <c r="M112" s="51" t="s">
        <v>1246</v>
      </c>
      <c r="N112" s="4">
        <v>45280</v>
      </c>
      <c r="O112" s="140">
        <v>1</v>
      </c>
      <c r="R112" s="4" t="s">
        <v>291</v>
      </c>
      <c r="S112" s="143"/>
      <c r="V112" s="144"/>
      <c r="W112" s="145"/>
    </row>
    <row r="113" spans="1:23" ht="16.5" customHeight="1">
      <c r="A113" s="472" t="s">
        <v>4325</v>
      </c>
      <c r="B113" s="436">
        <v>303</v>
      </c>
      <c r="C113" s="423" t="str">
        <f>VLOOKUP(B113,'Data pick slip'!B:F,5,FALSE)</f>
        <v>KHY-M7740-A0</v>
      </c>
      <c r="F113" s="170" t="s">
        <v>4201</v>
      </c>
      <c r="G113" s="146" t="s">
        <v>4188</v>
      </c>
      <c r="H113" s="146" t="s">
        <v>76</v>
      </c>
      <c r="J113" s="138" t="s">
        <v>4346</v>
      </c>
      <c r="K113" s="387">
        <v>66</v>
      </c>
      <c r="L113" s="379" t="s">
        <v>4326</v>
      </c>
      <c r="M113" s="51" t="s">
        <v>1246</v>
      </c>
      <c r="N113" s="4">
        <v>45280</v>
      </c>
      <c r="O113" s="140">
        <v>3</v>
      </c>
      <c r="R113" s="4" t="s">
        <v>291</v>
      </c>
      <c r="S113" s="143"/>
      <c r="V113" s="144"/>
      <c r="W113" s="145"/>
    </row>
    <row r="114" spans="1:23" ht="16.5" customHeight="1">
      <c r="A114" s="472" t="s">
        <v>4325</v>
      </c>
      <c r="B114" s="436">
        <v>304</v>
      </c>
      <c r="C114" s="423" t="str">
        <f>VLOOKUP(B114,'Data pick slip'!B:F,5,FALSE)</f>
        <v>KHY-M7750-A0</v>
      </c>
      <c r="F114" s="170" t="s">
        <v>4201</v>
      </c>
      <c r="G114" s="146" t="s">
        <v>4188</v>
      </c>
      <c r="H114" s="146" t="s">
        <v>76</v>
      </c>
      <c r="J114" s="138" t="s">
        <v>4346</v>
      </c>
      <c r="K114" s="387">
        <v>66</v>
      </c>
      <c r="L114" s="379" t="s">
        <v>4326</v>
      </c>
      <c r="M114" s="51" t="s">
        <v>1246</v>
      </c>
      <c r="N114" s="4">
        <v>45280</v>
      </c>
      <c r="O114" s="140">
        <v>2</v>
      </c>
      <c r="R114" s="4" t="s">
        <v>291</v>
      </c>
      <c r="S114" s="143"/>
      <c r="V114" s="144"/>
      <c r="W114" s="145"/>
    </row>
    <row r="115" spans="1:23" ht="16.5" customHeight="1">
      <c r="A115" s="472" t="s">
        <v>281</v>
      </c>
      <c r="B115" s="436">
        <v>301</v>
      </c>
      <c r="C115" s="423" t="str">
        <f>VLOOKUP(B115,'Data pick slip'!B:F,5,FALSE)</f>
        <v>KHN-M7710-A4</v>
      </c>
      <c r="F115" s="170" t="s">
        <v>4201</v>
      </c>
      <c r="G115" s="146" t="s">
        <v>4186</v>
      </c>
      <c r="H115" s="146" t="s">
        <v>76</v>
      </c>
      <c r="J115" s="138">
        <v>2030</v>
      </c>
      <c r="K115" s="140" t="str">
        <f>VLOOKUP(J115,Stock_list!A:R,18,FALSE)</f>
        <v>声韵</v>
      </c>
      <c r="L115" s="139" t="str">
        <f>VLOOKUP(J115,Stock_list!A:S,17,FALSE)</f>
        <v>C49SZX20230132LC</v>
      </c>
      <c r="M115" s="51" t="str">
        <f>VLOOKUP(J115,Stock_list!A:T,16,FALSE)</f>
        <v>JPY</v>
      </c>
      <c r="N115" s="4">
        <v>45287</v>
      </c>
      <c r="O115" s="140">
        <v>30</v>
      </c>
      <c r="R115" s="4" t="str">
        <f>VLOOKUP(J115,Stock_list!A:Y,25,FALSE)</f>
        <v>Yes</v>
      </c>
      <c r="S115" s="143"/>
      <c r="V115" s="144"/>
      <c r="W115" s="145"/>
    </row>
    <row r="116" spans="1:23" ht="23.25" customHeight="1">
      <c r="A116" s="472" t="s">
        <v>4325</v>
      </c>
      <c r="B116" s="436">
        <v>303</v>
      </c>
      <c r="C116" s="423" t="str">
        <f>VLOOKUP(B116,'Data pick slip'!B:F,5,FALSE)</f>
        <v>KHY-M7740-A0</v>
      </c>
      <c r="F116" s="170" t="s">
        <v>4201</v>
      </c>
      <c r="G116" s="146" t="s">
        <v>4188</v>
      </c>
      <c r="H116" s="146" t="s">
        <v>76</v>
      </c>
      <c r="J116" s="138" t="s">
        <v>4072</v>
      </c>
      <c r="K116" s="387">
        <v>66</v>
      </c>
      <c r="L116" s="267" t="s">
        <v>4330</v>
      </c>
      <c r="M116" s="51" t="s">
        <v>1246</v>
      </c>
      <c r="N116" s="290">
        <v>45317</v>
      </c>
      <c r="O116" s="140">
        <v>2</v>
      </c>
      <c r="R116" s="4" t="s">
        <v>291</v>
      </c>
      <c r="S116" s="143"/>
      <c r="V116" s="144"/>
      <c r="W116" s="145"/>
    </row>
    <row r="117" spans="1:23" ht="16.5" customHeight="1">
      <c r="A117" s="472" t="s">
        <v>281</v>
      </c>
      <c r="B117" s="436">
        <v>301</v>
      </c>
      <c r="C117" s="423" t="str">
        <f>VLOOKUP(B117,'Data pick slip'!B:F,5,FALSE)</f>
        <v>KHN-M7710-A4</v>
      </c>
      <c r="F117" s="170" t="s">
        <v>4191</v>
      </c>
      <c r="G117" s="146" t="s">
        <v>4186</v>
      </c>
      <c r="H117" s="146" t="s">
        <v>76</v>
      </c>
      <c r="J117" s="138">
        <v>2034</v>
      </c>
      <c r="K117" s="140" t="str">
        <f>VLOOKUP(J117,Stock_list!A:R,18,FALSE)</f>
        <v>徕芬</v>
      </c>
      <c r="L117" s="139" t="str">
        <f>VLOOKUP(J117,Stock_list!A:S,17,FALSE)</f>
        <v>CG20231204009</v>
      </c>
      <c r="M117" s="51" t="str">
        <f>VLOOKUP(J117,Stock_list!A:T,16,FALSE)</f>
        <v>RMB</v>
      </c>
      <c r="N117" s="4">
        <v>45296</v>
      </c>
      <c r="O117" s="140">
        <v>31</v>
      </c>
      <c r="R117" s="4" t="str">
        <f>VLOOKUP(J117,Stock_list!A:Y,25,FALSE)</f>
        <v>Yes</v>
      </c>
      <c r="S117" s="143"/>
      <c r="V117" s="144"/>
      <c r="W117" s="145"/>
    </row>
    <row r="118" spans="1:23" ht="16.5" customHeight="1">
      <c r="A118" s="472" t="s">
        <v>281</v>
      </c>
      <c r="B118" s="436">
        <v>302</v>
      </c>
      <c r="C118" s="423" t="str">
        <f>VLOOKUP(B118,'Data pick slip'!B:F,5,FALSE)</f>
        <v>KHN-M7720-A3</v>
      </c>
      <c r="F118" s="170" t="s">
        <v>4191</v>
      </c>
      <c r="G118" s="146" t="s">
        <v>4186</v>
      </c>
      <c r="H118" s="146" t="s">
        <v>76</v>
      </c>
      <c r="J118" s="138">
        <v>2034</v>
      </c>
      <c r="K118" s="140" t="str">
        <f>VLOOKUP(J118,Stock_list!A:R,18,FALSE)</f>
        <v>徕芬</v>
      </c>
      <c r="L118" s="139" t="str">
        <f>VLOOKUP(J118,Stock_list!A:S,17,FALSE)</f>
        <v>CG20231204009</v>
      </c>
      <c r="M118" s="51" t="str">
        <f>VLOOKUP(J118,Stock_list!A:T,16,FALSE)</f>
        <v>RMB</v>
      </c>
      <c r="N118" s="4">
        <v>45296</v>
      </c>
      <c r="O118" s="140">
        <v>10</v>
      </c>
      <c r="R118" s="4" t="str">
        <f>VLOOKUP(J118,Stock_list!A:Y,25,FALSE)</f>
        <v>Yes</v>
      </c>
      <c r="S118" s="143"/>
      <c r="V118" s="144"/>
      <c r="W118" s="145"/>
    </row>
    <row r="119" spans="1:23" ht="18" customHeight="1">
      <c r="A119" s="472" t="s">
        <v>281</v>
      </c>
      <c r="B119" s="436">
        <v>302</v>
      </c>
      <c r="C119" s="423" t="str">
        <f>VLOOKUP(B119,'Data pick slip'!B:F,5,FALSE)</f>
        <v>KHN-M7720-A3</v>
      </c>
      <c r="D119" s="156" t="s">
        <v>4331</v>
      </c>
      <c r="F119" s="170" t="s">
        <v>4201</v>
      </c>
      <c r="G119" s="146" t="s">
        <v>4188</v>
      </c>
      <c r="H119" s="146" t="s">
        <v>76</v>
      </c>
      <c r="K119" s="140" t="s">
        <v>4332</v>
      </c>
      <c r="L119" s="139" t="s">
        <v>4332</v>
      </c>
      <c r="M119" s="51" t="s">
        <v>3002</v>
      </c>
      <c r="N119" s="4">
        <v>45288</v>
      </c>
      <c r="O119" s="140">
        <v>10</v>
      </c>
      <c r="R119" s="4" t="s">
        <v>291</v>
      </c>
      <c r="S119" s="143"/>
      <c r="V119" s="144"/>
      <c r="W119" s="145"/>
    </row>
    <row r="120" spans="1:23" ht="16.5" customHeight="1">
      <c r="A120" s="472" t="s">
        <v>15</v>
      </c>
      <c r="B120" s="436">
        <v>302</v>
      </c>
      <c r="C120" s="423" t="str">
        <f>VLOOKUP(B120,'Data pick slip'!B:F,5,FALSE)</f>
        <v>KHN-M7720-A3</v>
      </c>
      <c r="D120" s="156" t="s">
        <v>4331</v>
      </c>
      <c r="F120" s="170" t="s">
        <v>4201</v>
      </c>
      <c r="G120" s="146" t="s">
        <v>4186</v>
      </c>
      <c r="H120" s="146" t="s">
        <v>76</v>
      </c>
      <c r="K120" s="140" t="s">
        <v>4332</v>
      </c>
      <c r="L120" s="139" t="s">
        <v>4332</v>
      </c>
      <c r="M120" s="51" t="s">
        <v>3002</v>
      </c>
      <c r="N120" s="4">
        <v>45288</v>
      </c>
      <c r="O120" s="140">
        <v>10</v>
      </c>
      <c r="R120" s="4" t="s">
        <v>291</v>
      </c>
      <c r="S120" s="143"/>
      <c r="V120" s="144"/>
      <c r="W120" s="145"/>
    </row>
    <row r="121" spans="1:23" ht="16.5" customHeight="1">
      <c r="A121" s="472" t="s">
        <v>281</v>
      </c>
      <c r="B121" s="436">
        <v>302</v>
      </c>
      <c r="C121" s="423" t="str">
        <f>VLOOKUP(B121,'Data pick slip'!B:F,5,FALSE)</f>
        <v>KHN-M7720-A3</v>
      </c>
      <c r="D121" s="539"/>
      <c r="F121" s="170" t="s">
        <v>4201</v>
      </c>
      <c r="G121" s="146" t="s">
        <v>4188</v>
      </c>
      <c r="H121" s="146" t="s">
        <v>76</v>
      </c>
      <c r="J121" s="138">
        <v>2034</v>
      </c>
      <c r="K121" s="140" t="str">
        <f>VLOOKUP(J121,Stock_list!A:R,18,FALSE)</f>
        <v>徕芬</v>
      </c>
      <c r="L121" s="139" t="str">
        <f>VLOOKUP(J121,Stock_list!A:S,17,FALSE)</f>
        <v>CG20231204009</v>
      </c>
      <c r="M121" s="51" t="str">
        <f>VLOOKUP(J121,Stock_list!A:T,16,FALSE)</f>
        <v>RMB</v>
      </c>
      <c r="N121" s="4">
        <v>45296</v>
      </c>
      <c r="O121" s="140">
        <v>3</v>
      </c>
      <c r="R121" s="4" t="str">
        <f>VLOOKUP(J121,Stock_list!A:Y,25,FALSE)</f>
        <v>Yes</v>
      </c>
      <c r="S121" s="143"/>
      <c r="U121" s="123" t="s">
        <v>4279</v>
      </c>
      <c r="V121" s="144"/>
      <c r="W121" s="145"/>
    </row>
    <row r="122" spans="1:23" ht="16.5" customHeight="1">
      <c r="A122" s="472" t="s">
        <v>15</v>
      </c>
      <c r="B122" s="436">
        <v>303</v>
      </c>
      <c r="C122" s="423" t="str">
        <f>VLOOKUP(B122,'Data pick slip'!B:F,5,FALSE)</f>
        <v>KHY-M7740-A0</v>
      </c>
      <c r="D122" s="539"/>
      <c r="F122" s="170" t="s">
        <v>4191</v>
      </c>
      <c r="G122" s="146" t="s">
        <v>4188</v>
      </c>
      <c r="H122" s="146" t="s">
        <v>76</v>
      </c>
      <c r="J122" s="138">
        <v>2034</v>
      </c>
      <c r="K122" s="140" t="str">
        <f>VLOOKUP(J122,Stock_list!A:R,18,FALSE)</f>
        <v>徕芬</v>
      </c>
      <c r="L122" s="139" t="str">
        <f>VLOOKUP(J122,Stock_list!A:S,17,FALSE)</f>
        <v>CG20231204009</v>
      </c>
      <c r="M122" s="51" t="str">
        <f>VLOOKUP(J122,Stock_list!A:T,16,FALSE)</f>
        <v>RMB</v>
      </c>
      <c r="N122" s="4">
        <v>45296</v>
      </c>
      <c r="O122" s="140">
        <v>6</v>
      </c>
      <c r="R122" s="4" t="str">
        <f>VLOOKUP(J122,Stock_list!A:Y,25,FALSE)</f>
        <v>Yes</v>
      </c>
      <c r="S122" s="143"/>
      <c r="V122" s="144"/>
      <c r="W122" s="145"/>
    </row>
    <row r="123" spans="1:23" ht="16.5" customHeight="1">
      <c r="A123" s="472" t="s">
        <v>281</v>
      </c>
      <c r="B123" s="436">
        <v>301</v>
      </c>
      <c r="C123" s="423" t="str">
        <f>VLOOKUP(B123,'Data pick slip'!B:F,5,FALSE)</f>
        <v>KHN-M7710-A4</v>
      </c>
      <c r="D123" s="539" t="s">
        <v>4204</v>
      </c>
      <c r="F123" s="170" t="s">
        <v>4191</v>
      </c>
      <c r="G123" s="146" t="s">
        <v>4186</v>
      </c>
      <c r="H123" s="146" t="s">
        <v>76</v>
      </c>
      <c r="J123" s="138">
        <v>2034</v>
      </c>
      <c r="K123" s="140" t="str">
        <f>VLOOKUP(J123,Stock_list!A:R,18,FALSE)</f>
        <v>徕芬</v>
      </c>
      <c r="L123" s="139" t="str">
        <f>VLOOKUP(J123,Stock_list!A:S,17,FALSE)</f>
        <v>CG20231204009</v>
      </c>
      <c r="M123" s="51" t="str">
        <f>VLOOKUP(J123,Stock_list!A:T,16,FALSE)</f>
        <v>RMB</v>
      </c>
      <c r="N123" s="4">
        <v>45296</v>
      </c>
      <c r="O123" s="140">
        <v>9</v>
      </c>
      <c r="R123" s="4" t="str">
        <f>VLOOKUP(J123,Stock_list!A:Y,25,FALSE)</f>
        <v>Yes</v>
      </c>
      <c r="S123" s="143"/>
      <c r="V123" s="144"/>
      <c r="W123" s="145"/>
    </row>
    <row r="124" spans="1:23" ht="16.5" customHeight="1">
      <c r="A124" s="472" t="s">
        <v>4347</v>
      </c>
      <c r="B124" s="436">
        <v>301</v>
      </c>
      <c r="C124" s="423" t="str">
        <f>VLOOKUP(B124,'Data pick slip'!B:F,5,FALSE)</f>
        <v>KHN-M7710-A4</v>
      </c>
      <c r="F124" s="170" t="s">
        <v>4201</v>
      </c>
      <c r="G124" s="146" t="s">
        <v>4188</v>
      </c>
      <c r="H124" s="146" t="s">
        <v>76</v>
      </c>
      <c r="J124" s="138" t="s">
        <v>4071</v>
      </c>
      <c r="K124" s="140">
        <v>66</v>
      </c>
      <c r="L124" s="267" t="s">
        <v>4348</v>
      </c>
      <c r="M124" s="51" t="s">
        <v>1246</v>
      </c>
      <c r="N124" s="290">
        <v>45317</v>
      </c>
      <c r="O124" s="140">
        <v>20</v>
      </c>
      <c r="R124" s="4" t="s">
        <v>291</v>
      </c>
      <c r="S124" s="143"/>
      <c r="V124" s="144"/>
      <c r="W124" s="145"/>
    </row>
    <row r="125" spans="1:23" ht="16.5" customHeight="1">
      <c r="A125" s="472" t="s">
        <v>4347</v>
      </c>
      <c r="B125" s="436">
        <v>311</v>
      </c>
      <c r="C125" s="423" t="str">
        <f>VLOOKUP(B125,'Data pick slip'!B:F,5,FALSE)</f>
        <v>KHY-M7710-A4</v>
      </c>
      <c r="F125" s="170" t="s">
        <v>4201</v>
      </c>
      <c r="G125" s="146" t="s">
        <v>4188</v>
      </c>
      <c r="H125" s="146" t="s">
        <v>76</v>
      </c>
      <c r="J125" s="138" t="s">
        <v>4071</v>
      </c>
      <c r="K125" s="140">
        <v>66</v>
      </c>
      <c r="L125" s="267" t="s">
        <v>4348</v>
      </c>
      <c r="M125" s="51" t="s">
        <v>1246</v>
      </c>
      <c r="N125" s="290">
        <v>45317</v>
      </c>
      <c r="O125" s="140">
        <v>10</v>
      </c>
      <c r="R125" s="4" t="s">
        <v>291</v>
      </c>
      <c r="S125" s="143"/>
      <c r="V125" s="144"/>
      <c r="W125" s="145"/>
    </row>
    <row r="126" spans="1:23" ht="16.5" customHeight="1">
      <c r="A126" s="472" t="s">
        <v>4347</v>
      </c>
      <c r="B126" s="436">
        <v>302</v>
      </c>
      <c r="C126" s="423" t="str">
        <f>VLOOKUP(B126,'Data pick slip'!B:F,5,FALSE)</f>
        <v>KHN-M7720-A3</v>
      </c>
      <c r="F126" s="170" t="s">
        <v>4201</v>
      </c>
      <c r="G126" s="146" t="s">
        <v>4188</v>
      </c>
      <c r="H126" s="146" t="s">
        <v>76</v>
      </c>
      <c r="J126" s="138" t="s">
        <v>4071</v>
      </c>
      <c r="K126" s="140">
        <v>66</v>
      </c>
      <c r="L126" s="267" t="s">
        <v>4348</v>
      </c>
      <c r="M126" s="51" t="s">
        <v>1246</v>
      </c>
      <c r="N126" s="290">
        <v>45317</v>
      </c>
      <c r="O126" s="140">
        <v>30</v>
      </c>
      <c r="R126" s="4" t="s">
        <v>291</v>
      </c>
      <c r="S126" s="143"/>
      <c r="V126" s="144"/>
      <c r="W126" s="145"/>
    </row>
    <row r="127" spans="1:23" ht="16.5" customHeight="1">
      <c r="A127" s="472" t="s">
        <v>4347</v>
      </c>
      <c r="B127" s="436">
        <v>303</v>
      </c>
      <c r="C127" s="423" t="str">
        <f>VLOOKUP(B127,'Data pick slip'!B:F,5,FALSE)</f>
        <v>KHY-M7740-A0</v>
      </c>
      <c r="F127" s="170" t="s">
        <v>4201</v>
      </c>
      <c r="G127" s="146" t="s">
        <v>4188</v>
      </c>
      <c r="H127" s="146" t="s">
        <v>76</v>
      </c>
      <c r="J127" s="138" t="s">
        <v>4071</v>
      </c>
      <c r="K127" s="140">
        <v>66</v>
      </c>
      <c r="L127" s="267" t="s">
        <v>4348</v>
      </c>
      <c r="M127" s="51" t="s">
        <v>1246</v>
      </c>
      <c r="N127" s="290">
        <v>45317</v>
      </c>
      <c r="O127" s="140">
        <v>15</v>
      </c>
      <c r="R127" s="4" t="s">
        <v>291</v>
      </c>
      <c r="S127" s="143"/>
      <c r="V127" s="144"/>
      <c r="W127" s="145"/>
    </row>
    <row r="128" spans="1:23" ht="16.5" customHeight="1">
      <c r="A128" s="472" t="s">
        <v>4347</v>
      </c>
      <c r="B128" s="436">
        <v>304</v>
      </c>
      <c r="C128" s="423" t="str">
        <f>VLOOKUP(B128,'Data pick slip'!B:F,5,FALSE)</f>
        <v>KHY-M7750-A0</v>
      </c>
      <c r="F128" s="170" t="s">
        <v>4201</v>
      </c>
      <c r="G128" s="146" t="s">
        <v>4188</v>
      </c>
      <c r="H128" s="146" t="s">
        <v>76</v>
      </c>
      <c r="J128" s="138" t="s">
        <v>4071</v>
      </c>
      <c r="K128" s="140">
        <v>66</v>
      </c>
      <c r="L128" s="267" t="s">
        <v>4348</v>
      </c>
      <c r="M128" s="51" t="s">
        <v>1246</v>
      </c>
      <c r="N128" s="290">
        <v>45317</v>
      </c>
      <c r="O128" s="140">
        <v>5</v>
      </c>
      <c r="R128" s="4" t="s">
        <v>291</v>
      </c>
      <c r="S128" s="143"/>
      <c r="V128" s="144"/>
      <c r="W128" s="145"/>
    </row>
    <row r="129" spans="1:23" ht="16.5" customHeight="1">
      <c r="A129" s="472" t="s">
        <v>15</v>
      </c>
      <c r="B129" s="436">
        <v>301</v>
      </c>
      <c r="C129" s="423" t="str">
        <f>VLOOKUP(B129,'Data pick slip'!B:F,5,FALSE)</f>
        <v>KHN-M7710-A4</v>
      </c>
      <c r="F129" s="170" t="s">
        <v>4201</v>
      </c>
      <c r="G129" s="146" t="s">
        <v>4186</v>
      </c>
      <c r="H129" s="146" t="s">
        <v>76</v>
      </c>
      <c r="J129" s="138">
        <v>2058</v>
      </c>
      <c r="K129" s="140" t="str">
        <f>VLOOKUP(J129,Stock_list!A:R,18,FALSE)</f>
        <v>柏星</v>
      </c>
      <c r="L129" s="139" t="str">
        <f>VLOOKUP(J129,Stock_list!A:S,17,FALSE)</f>
        <v>C49SZX20230143SX</v>
      </c>
      <c r="M129" s="51" t="str">
        <f>VLOOKUP(J129,Stock_list!A:T,16,FALSE)</f>
        <v>JPY</v>
      </c>
      <c r="N129" s="4">
        <v>45306</v>
      </c>
      <c r="O129" s="140">
        <v>10</v>
      </c>
      <c r="R129" s="4" t="str">
        <f>VLOOKUP(J129,Stock_list!A:Y,25,FALSE)</f>
        <v>Yes</v>
      </c>
      <c r="S129" s="143"/>
      <c r="V129" s="144"/>
      <c r="W129" s="145"/>
    </row>
    <row r="130" spans="1:23" ht="16.5" customHeight="1">
      <c r="A130" s="472" t="s">
        <v>15</v>
      </c>
      <c r="B130" s="436">
        <v>301</v>
      </c>
      <c r="C130" s="423" t="str">
        <f>VLOOKUP(B130,'Data pick slip'!B:F,5,FALSE)</f>
        <v>KHN-M7710-A4</v>
      </c>
      <c r="F130" s="170" t="s">
        <v>4201</v>
      </c>
      <c r="G130" s="146" t="s">
        <v>4186</v>
      </c>
      <c r="H130" s="146" t="s">
        <v>76</v>
      </c>
      <c r="J130" s="138">
        <v>2059</v>
      </c>
      <c r="K130" s="140" t="str">
        <f>VLOOKUP(J130,Stock_list!A:R,18,FALSE)</f>
        <v>悦之彩</v>
      </c>
      <c r="L130" s="139" t="str">
        <f>VLOOKUP(J130,Stock_list!A:S,17,FALSE)</f>
        <v>C49SZX20240002SX</v>
      </c>
      <c r="M130" s="51" t="str">
        <f>VLOOKUP(J130,Stock_list!A:T,16,FALSE)</f>
        <v>JPY</v>
      </c>
      <c r="N130" s="4">
        <v>45307</v>
      </c>
      <c r="O130" s="140">
        <v>20</v>
      </c>
      <c r="R130" s="4" t="str">
        <f>VLOOKUP(J130,Stock_list!A:Y,25,FALSE)</f>
        <v>Yes</v>
      </c>
      <c r="S130" s="143"/>
      <c r="V130" s="144"/>
      <c r="W130" s="145"/>
    </row>
    <row r="131" spans="1:23" ht="16.5" customHeight="1">
      <c r="A131" s="472" t="s">
        <v>15</v>
      </c>
      <c r="B131" s="436">
        <v>311</v>
      </c>
      <c r="C131" s="423" t="str">
        <f>VLOOKUP(B131,'Data pick slip'!B:F,5,FALSE)</f>
        <v>KHY-M7710-A4</v>
      </c>
      <c r="F131" s="170" t="s">
        <v>4201</v>
      </c>
      <c r="G131" s="146" t="s">
        <v>4188</v>
      </c>
      <c r="H131" s="146" t="s">
        <v>76</v>
      </c>
      <c r="J131" s="138">
        <v>2057</v>
      </c>
      <c r="K131" s="140" t="str">
        <f>VLOOKUP(J131,Stock_list!A:R,18,FALSE)</f>
        <v>世纪佳柔</v>
      </c>
      <c r="L131" s="139" t="str">
        <f>VLOOKUP(J131,Stock_list!A:S,17,FALSE)</f>
        <v>C49SZX20230145BH</v>
      </c>
      <c r="M131" s="51" t="str">
        <f>VLOOKUP(J131,Stock_list!A:T,16,FALSE)</f>
        <v>JPY</v>
      </c>
      <c r="N131" s="4">
        <v>45313</v>
      </c>
      <c r="O131" s="140">
        <v>6</v>
      </c>
      <c r="R131" s="4" t="str">
        <f>VLOOKUP(J131,Stock_list!A:Y,25,FALSE)</f>
        <v>Yes</v>
      </c>
      <c r="S131" s="143"/>
      <c r="V131" s="144"/>
      <c r="W131" s="145"/>
    </row>
    <row r="132" spans="1:23" ht="16.5" customHeight="1">
      <c r="A132" s="472" t="s">
        <v>15</v>
      </c>
      <c r="B132" s="436">
        <v>311</v>
      </c>
      <c r="C132" s="423" t="str">
        <f>VLOOKUP(B132,'Data pick slip'!B:F,5,FALSE)</f>
        <v>KHY-M7710-A4</v>
      </c>
      <c r="F132" s="170" t="s">
        <v>4191</v>
      </c>
      <c r="G132" s="146" t="s">
        <v>4188</v>
      </c>
      <c r="H132" s="146" t="s">
        <v>76</v>
      </c>
      <c r="J132" s="138">
        <v>2057</v>
      </c>
      <c r="K132" s="140" t="str">
        <f>VLOOKUP(J132,Stock_list!A:R,18,FALSE)</f>
        <v>世纪佳柔</v>
      </c>
      <c r="L132" s="139" t="str">
        <f>VLOOKUP(J132,Stock_list!A:S,17,FALSE)</f>
        <v>C49SZX20230145BH</v>
      </c>
      <c r="M132" s="51" t="str">
        <f>VLOOKUP(J132,Stock_list!A:T,16,FALSE)</f>
        <v>JPY</v>
      </c>
      <c r="N132" s="4">
        <v>45313</v>
      </c>
      <c r="O132" s="140">
        <v>44</v>
      </c>
      <c r="R132" s="4" t="str">
        <f>VLOOKUP(J132,Stock_list!A:Y,25,FALSE)</f>
        <v>Yes</v>
      </c>
      <c r="S132" s="143"/>
      <c r="U132" s="123" t="s">
        <v>4279</v>
      </c>
      <c r="V132" s="144"/>
      <c r="W132" s="145"/>
    </row>
    <row r="133" spans="1:23" ht="16.5" customHeight="1">
      <c r="A133" s="472" t="s">
        <v>281</v>
      </c>
      <c r="B133" s="436">
        <v>301</v>
      </c>
      <c r="C133" s="423" t="str">
        <f>VLOOKUP(B133,'Data pick slip'!B:F,5,FALSE)</f>
        <v>KHN-M7710-A4</v>
      </c>
      <c r="D133" s="539" t="s">
        <v>4204</v>
      </c>
      <c r="F133" s="170" t="s">
        <v>4201</v>
      </c>
      <c r="G133" s="146" t="s">
        <v>4186</v>
      </c>
      <c r="H133" s="146" t="s">
        <v>76</v>
      </c>
      <c r="J133" s="138">
        <v>2057</v>
      </c>
      <c r="K133" s="140" t="str">
        <f>VLOOKUP(J133,Stock_list!A:R,18,FALSE)</f>
        <v>世纪佳柔</v>
      </c>
      <c r="L133" s="139" t="str">
        <f>VLOOKUP(J133,Stock_list!A:S,17,FALSE)</f>
        <v>C49SZX20230145BH</v>
      </c>
      <c r="M133" s="51" t="str">
        <f>VLOOKUP(J133,Stock_list!A:T,16,FALSE)</f>
        <v>JPY</v>
      </c>
      <c r="N133" s="4">
        <v>45313</v>
      </c>
      <c r="O133" s="140">
        <v>50</v>
      </c>
      <c r="R133" s="4" t="str">
        <f>VLOOKUP(J133,Stock_list!A:Y,25,FALSE)</f>
        <v>Yes</v>
      </c>
      <c r="S133" s="143"/>
      <c r="V133" s="144"/>
      <c r="W133" s="145"/>
    </row>
    <row r="134" spans="1:23" ht="16.5" customHeight="1">
      <c r="A134" s="472" t="s">
        <v>15</v>
      </c>
      <c r="B134" s="436">
        <v>301</v>
      </c>
      <c r="C134" s="423" t="str">
        <f>VLOOKUP(B134,'Data pick slip'!B:F,5,FALSE)</f>
        <v>KHN-M7710-A4</v>
      </c>
      <c r="F134" s="170" t="s">
        <v>4201</v>
      </c>
      <c r="G134" s="146" t="s">
        <v>4186</v>
      </c>
      <c r="H134" s="146" t="s">
        <v>76</v>
      </c>
      <c r="J134" s="138">
        <v>2050</v>
      </c>
      <c r="K134" s="140" t="str">
        <f>VLOOKUP(J134,Stock_list!A:R,18,FALSE)</f>
        <v>盈通恒翼</v>
      </c>
      <c r="L134" s="139" t="str">
        <f>VLOOKUP(J134,Stock_list!A:S,17,FALSE)</f>
        <v>C49SZX20230142SS</v>
      </c>
      <c r="M134" s="51" t="str">
        <f>VLOOKUP(J134,Stock_list!A:T,16,FALSE)</f>
        <v>JPY</v>
      </c>
      <c r="N134" s="4">
        <v>45346</v>
      </c>
      <c r="O134" s="140">
        <v>32</v>
      </c>
      <c r="R134" s="4" t="str">
        <f>VLOOKUP(J134,Stock_list!A:Y,25,FALSE)</f>
        <v>Yes</v>
      </c>
      <c r="S134" s="143"/>
      <c r="V134" s="144"/>
      <c r="W134" s="145"/>
    </row>
    <row r="135" spans="1:23" ht="16.5" customHeight="1">
      <c r="A135" s="472" t="s">
        <v>15</v>
      </c>
      <c r="B135" s="436">
        <v>302</v>
      </c>
      <c r="C135" s="423" t="str">
        <f>VLOOKUP(B135,'Data pick slip'!B:F,5,FALSE)</f>
        <v>KHN-M7720-A3</v>
      </c>
      <c r="F135" s="170" t="s">
        <v>4201</v>
      </c>
      <c r="G135" s="146" t="s">
        <v>4188</v>
      </c>
      <c r="H135" s="146" t="s">
        <v>76</v>
      </c>
      <c r="J135" s="138">
        <v>2050</v>
      </c>
      <c r="K135" s="140" t="str">
        <f>VLOOKUP(J135,Stock_list!A:R,18,FALSE)</f>
        <v>盈通恒翼</v>
      </c>
      <c r="L135" s="139" t="str">
        <f>VLOOKUP(J135,Stock_list!A:S,17,FALSE)</f>
        <v>C49SZX20230142SS</v>
      </c>
      <c r="M135" s="51" t="str">
        <f>VLOOKUP(J135,Stock_list!A:T,16,FALSE)</f>
        <v>JPY</v>
      </c>
      <c r="N135" s="4"/>
      <c r="O135" s="140">
        <v>12</v>
      </c>
      <c r="R135" s="4" t="str">
        <f>VLOOKUP(J135,Stock_list!A:Y,25,FALSE)</f>
        <v>Yes</v>
      </c>
      <c r="S135" s="143"/>
      <c r="V135" s="144"/>
      <c r="W135" s="145"/>
    </row>
    <row r="136" spans="1:23" ht="16.5" customHeight="1">
      <c r="A136" s="472" t="s">
        <v>15</v>
      </c>
      <c r="B136" s="436">
        <v>304</v>
      </c>
      <c r="C136" s="423" t="str">
        <f>VLOOKUP(B136,'Data pick slip'!B:F,5,FALSE)</f>
        <v>KHY-M7750-A0</v>
      </c>
      <c r="F136" s="170" t="s">
        <v>4201</v>
      </c>
      <c r="G136" s="146" t="s">
        <v>4188</v>
      </c>
      <c r="H136" s="146" t="s">
        <v>76</v>
      </c>
      <c r="J136" s="138">
        <v>2050</v>
      </c>
      <c r="K136" s="140" t="str">
        <f>VLOOKUP(J136,Stock_list!A:R,18,FALSE)</f>
        <v>盈通恒翼</v>
      </c>
      <c r="L136" s="139" t="str">
        <f>VLOOKUP(J136,Stock_list!A:S,17,FALSE)</f>
        <v>C49SZX20230142SS</v>
      </c>
      <c r="M136" s="51" t="str">
        <f>VLOOKUP(J136,Stock_list!A:T,16,FALSE)</f>
        <v>JPY</v>
      </c>
      <c r="N136" s="4"/>
      <c r="O136" s="140">
        <v>6</v>
      </c>
      <c r="R136" s="4" t="str">
        <f>VLOOKUP(J136,Stock_list!A:Y,25,FALSE)</f>
        <v>Yes</v>
      </c>
      <c r="S136" s="143"/>
      <c r="V136" s="144"/>
      <c r="W136" s="145"/>
    </row>
    <row r="137" spans="1:23" ht="16.5" customHeight="1">
      <c r="A137" s="472" t="s">
        <v>15</v>
      </c>
      <c r="B137" s="436">
        <v>311</v>
      </c>
      <c r="C137" s="423" t="str">
        <f>VLOOKUP(B137,'Data pick slip'!B:F,5,FALSE)</f>
        <v>KHY-M7710-A4</v>
      </c>
      <c r="F137" s="170" t="s">
        <v>4191</v>
      </c>
      <c r="G137" s="146" t="s">
        <v>4188</v>
      </c>
      <c r="H137" s="146" t="s">
        <v>76</v>
      </c>
      <c r="J137" s="138">
        <v>2050</v>
      </c>
      <c r="K137" s="140" t="str">
        <f>VLOOKUP(J137,Stock_list!A:R,18,FALSE)</f>
        <v>盈通恒翼</v>
      </c>
      <c r="L137" s="139" t="str">
        <f>VLOOKUP(J137,Stock_list!A:S,17,FALSE)</f>
        <v>C49SZX20230142SS</v>
      </c>
      <c r="M137" s="51" t="str">
        <f>VLOOKUP(J137,Stock_list!A:T,16,FALSE)</f>
        <v>JPY</v>
      </c>
      <c r="N137" s="4">
        <v>45314</v>
      </c>
      <c r="O137" s="140">
        <v>30</v>
      </c>
      <c r="R137" s="4" t="str">
        <f>VLOOKUP(J137,Stock_list!A:Y,25,FALSE)</f>
        <v>Yes</v>
      </c>
      <c r="S137" s="143"/>
      <c r="U137" s="123" t="s">
        <v>4279</v>
      </c>
      <c r="V137" s="144"/>
      <c r="W137" s="145"/>
    </row>
    <row r="138" spans="1:23" ht="16.5" customHeight="1">
      <c r="A138" s="472" t="s">
        <v>281</v>
      </c>
      <c r="B138" s="436">
        <v>301</v>
      </c>
      <c r="C138" s="423" t="str">
        <f>VLOOKUP(B138,'Data pick slip'!B:F,5,FALSE)</f>
        <v>KHN-M7710-A4</v>
      </c>
      <c r="D138" s="539" t="s">
        <v>4204</v>
      </c>
      <c r="F138" s="170" t="s">
        <v>4201</v>
      </c>
      <c r="G138" s="146" t="s">
        <v>4186</v>
      </c>
      <c r="H138" s="146" t="s">
        <v>76</v>
      </c>
      <c r="J138" s="138">
        <v>2050</v>
      </c>
      <c r="K138" s="140" t="str">
        <f>VLOOKUP(J138,Stock_list!A:R,18,FALSE)</f>
        <v>盈通恒翼</v>
      </c>
      <c r="L138" s="139" t="str">
        <f>VLOOKUP(J138,Stock_list!A:S,17,FALSE)</f>
        <v>C49SZX20230142SS</v>
      </c>
      <c r="M138" s="51" t="str">
        <f>VLOOKUP(J138,Stock_list!A:T,16,FALSE)</f>
        <v>JPY</v>
      </c>
      <c r="N138" s="4">
        <v>45346</v>
      </c>
      <c r="O138" s="140">
        <v>48</v>
      </c>
      <c r="R138" s="4" t="str">
        <f>VLOOKUP(J138,Stock_list!A:Y,25,FALSE)</f>
        <v>Yes</v>
      </c>
      <c r="S138" s="143"/>
      <c r="V138" s="144"/>
      <c r="W138" s="145"/>
    </row>
    <row r="139" spans="1:23" ht="16.5" customHeight="1">
      <c r="A139" s="472" t="s">
        <v>15</v>
      </c>
      <c r="B139" s="436">
        <v>311</v>
      </c>
      <c r="C139" s="423" t="str">
        <f>VLOOKUP(B139,'Data pick slip'!B:F,5,FALSE)</f>
        <v>KHY-M7710-A4</v>
      </c>
      <c r="F139" s="170" t="s">
        <v>4191</v>
      </c>
      <c r="G139" s="146" t="s">
        <v>4188</v>
      </c>
      <c r="H139" s="146" t="s">
        <v>76</v>
      </c>
      <c r="J139" s="138">
        <v>2063</v>
      </c>
      <c r="K139" s="140" t="str">
        <f>VLOOKUP(J139,Stock_list!A:R,18,FALSE)</f>
        <v>诺亚兴</v>
      </c>
      <c r="L139" s="139" t="str">
        <f>VLOOKUP(J139,Stock_list!A:S,17,FALSE)</f>
        <v>C49SZX20240005EC</v>
      </c>
      <c r="M139" s="51" t="str">
        <f>VLOOKUP(J139,Stock_list!A:T,16,FALSE)</f>
        <v>JPY</v>
      </c>
      <c r="N139" s="4">
        <v>45320</v>
      </c>
      <c r="O139" s="140">
        <v>20</v>
      </c>
      <c r="R139" s="4" t="str">
        <f>VLOOKUP(J139,Stock_list!A:Y,25,FALSE)</f>
        <v>Yes</v>
      </c>
      <c r="S139" s="143"/>
      <c r="U139" s="123" t="s">
        <v>4279</v>
      </c>
      <c r="V139" s="144"/>
      <c r="W139" s="145"/>
    </row>
    <row r="140" spans="1:23" ht="16.5" customHeight="1">
      <c r="A140" s="472" t="s">
        <v>281</v>
      </c>
      <c r="B140" s="436">
        <v>301</v>
      </c>
      <c r="C140" s="423" t="str">
        <f>VLOOKUP(B140,'Data pick slip'!B:F,5,FALSE)</f>
        <v>KHN-M7710-A4</v>
      </c>
      <c r="D140" s="539" t="s">
        <v>4204</v>
      </c>
      <c r="F140" s="170" t="s">
        <v>4201</v>
      </c>
      <c r="G140" s="146" t="s">
        <v>4186</v>
      </c>
      <c r="H140" s="146" t="s">
        <v>76</v>
      </c>
      <c r="J140" s="138">
        <v>2063</v>
      </c>
      <c r="K140" s="140" t="str">
        <f>VLOOKUP(J140,Stock_list!A:R,18,FALSE)</f>
        <v>诺亚兴</v>
      </c>
      <c r="L140" s="139" t="str">
        <f>VLOOKUP(J140,Stock_list!A:S,17,FALSE)</f>
        <v>C49SZX20240005EC</v>
      </c>
      <c r="M140" s="51" t="str">
        <f>VLOOKUP(J140,Stock_list!A:T,16,FALSE)</f>
        <v>JPY</v>
      </c>
      <c r="N140" s="4">
        <v>45320</v>
      </c>
      <c r="O140" s="140">
        <v>20</v>
      </c>
      <c r="R140" s="4" t="str">
        <f>VLOOKUP(J140,Stock_list!A:Y,25,FALSE)</f>
        <v>Yes</v>
      </c>
      <c r="S140" s="143"/>
      <c r="V140" s="144"/>
      <c r="W140" s="145"/>
    </row>
    <row r="141" spans="1:23" ht="16.5" customHeight="1">
      <c r="A141" s="472" t="s">
        <v>15</v>
      </c>
      <c r="B141" s="436">
        <v>311</v>
      </c>
      <c r="C141" s="423" t="str">
        <f>VLOOKUP(B141,'Data pick slip'!B:F,5,FALSE)</f>
        <v>KHY-M7710-A4</v>
      </c>
      <c r="F141" s="170" t="s">
        <v>4191</v>
      </c>
      <c r="G141" s="146" t="s">
        <v>4188</v>
      </c>
      <c r="H141" s="146" t="s">
        <v>76</v>
      </c>
      <c r="J141" s="138">
        <v>2045</v>
      </c>
      <c r="K141" s="140" t="str">
        <f>VLOOKUP(J141,Stock_list!A:R,18,FALSE)</f>
        <v>朗格邦定</v>
      </c>
      <c r="L141" s="139" t="str">
        <f>VLOOKUP(J141,Stock_list!A:S,17,FALSE)</f>
        <v>C49SZX20230142MZ</v>
      </c>
      <c r="M141" s="51" t="str">
        <f>VLOOKUP(J141,Stock_list!A:T,16,FALSE)</f>
        <v>JPY</v>
      </c>
      <c r="N141" s="4">
        <v>45315</v>
      </c>
      <c r="O141" s="140">
        <v>10</v>
      </c>
      <c r="R141" s="4" t="str">
        <f>VLOOKUP(J141,Stock_list!A:Y,25,FALSE)</f>
        <v>Yes</v>
      </c>
      <c r="S141" s="143"/>
      <c r="U141" s="123" t="s">
        <v>4279</v>
      </c>
      <c r="V141" s="144"/>
      <c r="W141" s="145"/>
    </row>
    <row r="142" spans="1:23" ht="16.5" customHeight="1">
      <c r="A142" s="472" t="s">
        <v>281</v>
      </c>
      <c r="B142" s="436">
        <v>301</v>
      </c>
      <c r="C142" s="423" t="str">
        <f>VLOOKUP(B142,'Data pick slip'!B:F,5,FALSE)</f>
        <v>KHN-M7710-A4</v>
      </c>
      <c r="F142" s="170" t="s">
        <v>4193</v>
      </c>
      <c r="G142" s="146" t="s">
        <v>4186</v>
      </c>
      <c r="H142" s="146" t="s">
        <v>76</v>
      </c>
      <c r="J142" s="138">
        <v>2045</v>
      </c>
      <c r="K142" s="140" t="str">
        <f>VLOOKUP(J142,Stock_list!A:R,18,FALSE)</f>
        <v>朗格邦定</v>
      </c>
      <c r="L142" s="139" t="str">
        <f>VLOOKUP(J142,Stock_list!A:S,17,FALSE)</f>
        <v>C49SZX20230142MZ</v>
      </c>
      <c r="M142" s="51" t="str">
        <f>VLOOKUP(J142,Stock_list!A:T,16,FALSE)</f>
        <v>JPY</v>
      </c>
      <c r="N142" s="4">
        <v>45345</v>
      </c>
      <c r="O142" s="140">
        <v>15</v>
      </c>
      <c r="R142" s="4" t="str">
        <f>VLOOKUP(J142,Stock_list!A:Y,25,FALSE)</f>
        <v>Yes</v>
      </c>
      <c r="S142" s="143"/>
      <c r="V142" s="144"/>
      <c r="W142" s="145"/>
    </row>
    <row r="143" spans="1:23" ht="16.5" customHeight="1">
      <c r="A143" s="472" t="s">
        <v>281</v>
      </c>
      <c r="B143" s="436">
        <v>301</v>
      </c>
      <c r="C143" s="423" t="str">
        <f>VLOOKUP(B143,'Data pick slip'!B:F,5,FALSE)</f>
        <v>KHN-M7710-A4</v>
      </c>
      <c r="F143" s="170" t="s">
        <v>4193</v>
      </c>
      <c r="G143" s="146" t="s">
        <v>4188</v>
      </c>
      <c r="H143" s="146" t="s">
        <v>76</v>
      </c>
      <c r="J143" s="138">
        <v>2045</v>
      </c>
      <c r="K143" s="140" t="str">
        <f>VLOOKUP(J143,Stock_list!A:R,18,FALSE)</f>
        <v>朗格邦定</v>
      </c>
      <c r="L143" s="139" t="str">
        <f>VLOOKUP(J143,Stock_list!A:S,17,FALSE)</f>
        <v>C49SZX20230142MZ</v>
      </c>
      <c r="M143" s="51" t="str">
        <f>VLOOKUP(J143,Stock_list!A:T,16,FALSE)</f>
        <v>JPY</v>
      </c>
      <c r="N143" s="4">
        <v>45345</v>
      </c>
      <c r="O143" s="140">
        <v>5</v>
      </c>
      <c r="R143" s="4" t="str">
        <f>VLOOKUP(J143,Stock_list!A:Y,25,FALSE)</f>
        <v>Yes</v>
      </c>
      <c r="S143" s="143"/>
      <c r="V143" s="144"/>
      <c r="W143" s="145"/>
    </row>
    <row r="144" spans="1:23" ht="16.5" customHeight="1">
      <c r="A144" s="472" t="s">
        <v>281</v>
      </c>
      <c r="B144" s="436">
        <v>302</v>
      </c>
      <c r="C144" s="423" t="str">
        <f>VLOOKUP(B144,'Data pick slip'!B:F,5,FALSE)</f>
        <v>KHN-M7720-A3</v>
      </c>
      <c r="D144" s="539" t="s">
        <v>4204</v>
      </c>
      <c r="F144" s="170" t="s">
        <v>4193</v>
      </c>
      <c r="G144" s="146" t="s">
        <v>4186</v>
      </c>
      <c r="H144" s="146" t="s">
        <v>76</v>
      </c>
      <c r="J144" s="138">
        <v>2045</v>
      </c>
      <c r="K144" s="140" t="str">
        <f>VLOOKUP(J144,Stock_list!A:R,18,FALSE)</f>
        <v>朗格邦定</v>
      </c>
      <c r="L144" s="139" t="str">
        <f>VLOOKUP(J144,Stock_list!A:S,17,FALSE)</f>
        <v>C49SZX20230142MZ</v>
      </c>
      <c r="M144" s="51" t="str">
        <f>VLOOKUP(J144,Stock_list!A:T,16,FALSE)</f>
        <v>JPY</v>
      </c>
      <c r="N144" s="4"/>
      <c r="O144" s="140">
        <v>15</v>
      </c>
      <c r="R144" s="4" t="str">
        <f>VLOOKUP(J144,Stock_list!A:Y,25,FALSE)</f>
        <v>Yes</v>
      </c>
      <c r="S144" s="143"/>
      <c r="V144" s="144"/>
      <c r="W144" s="145"/>
    </row>
    <row r="145" spans="1:23" ht="16.5" customHeight="1">
      <c r="A145" s="472" t="s">
        <v>281</v>
      </c>
      <c r="B145" s="436">
        <v>312</v>
      </c>
      <c r="C145" s="423" t="str">
        <f>VLOOKUP(B145,'Data pick slip'!B:F,5,FALSE)</f>
        <v>KHY-M7720-A3</v>
      </c>
      <c r="F145" s="170" t="s">
        <v>4193</v>
      </c>
      <c r="G145" s="146" t="s">
        <v>4188</v>
      </c>
      <c r="H145" s="146" t="s">
        <v>76</v>
      </c>
      <c r="J145" s="138">
        <v>2081</v>
      </c>
      <c r="K145" s="140" t="str">
        <f>VLOOKUP(J145,Stock_list!A:R,18,FALSE)</f>
        <v>斯迈</v>
      </c>
      <c r="L145" s="139" t="str">
        <f>VLOOKUP(J145,Stock_list!A:S,17,FALSE)</f>
        <v>C49SZX20240018DZ</v>
      </c>
      <c r="M145" s="51" t="str">
        <f>VLOOKUP(J145,Stock_list!A:T,16,FALSE)</f>
        <v>JPY</v>
      </c>
      <c r="N145" s="4"/>
      <c r="O145" s="140">
        <v>80</v>
      </c>
      <c r="R145" s="4" t="str">
        <f>VLOOKUP(J145,Stock_list!A:Y,25,FALSE)</f>
        <v>Yes</v>
      </c>
      <c r="S145" s="143"/>
      <c r="V145" s="144"/>
      <c r="W145" s="145"/>
    </row>
    <row r="146" spans="1:23" ht="16.5" customHeight="1">
      <c r="A146" s="472" t="s">
        <v>281</v>
      </c>
      <c r="B146" s="436">
        <v>302</v>
      </c>
      <c r="C146" s="423" t="str">
        <f>VLOOKUP(B146,'Data pick slip'!B:F,5,FALSE)</f>
        <v>KHN-M7720-A3</v>
      </c>
      <c r="D146" s="539" t="s">
        <v>4204</v>
      </c>
      <c r="F146" s="170" t="s">
        <v>4193</v>
      </c>
      <c r="G146" s="146" t="s">
        <v>4186</v>
      </c>
      <c r="H146" s="146" t="s">
        <v>76</v>
      </c>
      <c r="J146" s="138">
        <v>2081</v>
      </c>
      <c r="K146" s="140" t="str">
        <f>VLOOKUP(J146,Stock_list!A:R,18,FALSE)</f>
        <v>斯迈</v>
      </c>
      <c r="L146" s="139" t="str">
        <f>VLOOKUP(J146,Stock_list!A:S,17,FALSE)</f>
        <v>C49SZX20240018DZ</v>
      </c>
      <c r="M146" s="51" t="str">
        <f>VLOOKUP(J146,Stock_list!A:T,16,FALSE)</f>
        <v>JPY</v>
      </c>
      <c r="N146" s="4"/>
      <c r="O146" s="140">
        <v>40</v>
      </c>
      <c r="R146" s="4" t="str">
        <f>VLOOKUP(J146,Stock_list!A:Y,25,FALSE)</f>
        <v>Yes</v>
      </c>
      <c r="S146" s="143"/>
      <c r="V146" s="144"/>
      <c r="W146" s="145"/>
    </row>
    <row r="147" spans="1:23" ht="16.5" customHeight="1">
      <c r="A147" s="472" t="s">
        <v>281</v>
      </c>
      <c r="B147" s="436">
        <v>301</v>
      </c>
      <c r="C147" s="423" t="str">
        <f>VLOOKUP(B147,'Data pick slip'!B:F,5,FALSE)</f>
        <v>KHN-M7710-A4</v>
      </c>
      <c r="D147" s="539" t="s">
        <v>4204</v>
      </c>
      <c r="F147" s="170" t="s">
        <v>4201</v>
      </c>
      <c r="G147" s="146" t="s">
        <v>4186</v>
      </c>
      <c r="H147" s="146" t="s">
        <v>76</v>
      </c>
      <c r="J147" s="138">
        <v>2081</v>
      </c>
      <c r="K147" s="140" t="str">
        <f>VLOOKUP(J147,Stock_list!A:R,18,FALSE)</f>
        <v>斯迈</v>
      </c>
      <c r="L147" s="139" t="str">
        <f>VLOOKUP(J147,Stock_list!A:S,17,FALSE)</f>
        <v>C49SZX20240018DZ</v>
      </c>
      <c r="M147" s="51" t="str">
        <f>VLOOKUP(J147,Stock_list!A:T,16,FALSE)</f>
        <v>JPY</v>
      </c>
      <c r="N147" s="4">
        <v>45323</v>
      </c>
      <c r="O147" s="140">
        <v>40</v>
      </c>
      <c r="R147" s="4" t="str">
        <f>VLOOKUP(J147,Stock_list!A:Y,25,FALSE)</f>
        <v>Yes</v>
      </c>
      <c r="S147" s="143"/>
      <c r="V147" s="144"/>
      <c r="W147" s="145"/>
    </row>
    <row r="148" spans="1:23" ht="16.5" customHeight="1">
      <c r="A148" s="472" t="s">
        <v>281</v>
      </c>
      <c r="B148" s="436">
        <v>301</v>
      </c>
      <c r="C148" s="423" t="str">
        <f>VLOOKUP(B148,'Data pick slip'!B:F,5,FALSE)</f>
        <v>KHN-M7710-A4</v>
      </c>
      <c r="F148" s="170" t="s">
        <v>4193</v>
      </c>
      <c r="G148" s="146" t="s">
        <v>4186</v>
      </c>
      <c r="H148" s="146" t="s">
        <v>76</v>
      </c>
      <c r="J148" s="138">
        <v>2017</v>
      </c>
      <c r="K148" s="140" t="str">
        <f>VLOOKUP(J148,Stock_list!A:R,18,FALSE)</f>
        <v>兴开泰（end user:兴连）</v>
      </c>
      <c r="L148" s="139" t="str">
        <f>VLOOKUP(J148,Stock_list!A:S,17,FALSE)</f>
        <v>C49SZX20230111SX</v>
      </c>
      <c r="M148" s="51" t="str">
        <f>VLOOKUP(J148,Stock_list!A:T,16,FALSE)</f>
        <v>JPY</v>
      </c>
      <c r="N148" s="4">
        <v>45324</v>
      </c>
      <c r="O148" s="140">
        <v>95</v>
      </c>
      <c r="R148" s="4" t="str">
        <f>VLOOKUP(J148,Stock_list!A:Y,25,FALSE)</f>
        <v>Yes</v>
      </c>
      <c r="S148" s="143"/>
      <c r="V148" s="144"/>
      <c r="W148" s="145"/>
    </row>
    <row r="149" spans="1:23" ht="16.5" customHeight="1">
      <c r="A149" s="472" t="s">
        <v>281</v>
      </c>
      <c r="B149" s="436">
        <v>301</v>
      </c>
      <c r="C149" s="423" t="str">
        <f>VLOOKUP(B149,'Data pick slip'!B:F,5,FALSE)</f>
        <v>KHN-M7710-A4</v>
      </c>
      <c r="D149" s="539" t="s">
        <v>4204</v>
      </c>
      <c r="F149" s="170" t="s">
        <v>4193</v>
      </c>
      <c r="G149" s="146" t="s">
        <v>4186</v>
      </c>
      <c r="H149" s="146" t="s">
        <v>76</v>
      </c>
      <c r="J149" s="138">
        <v>2017</v>
      </c>
      <c r="K149" s="140" t="str">
        <f>VLOOKUP(J149,Stock_list!A:R,18,FALSE)</f>
        <v>兴开泰（end user:兴连）</v>
      </c>
      <c r="L149" s="139" t="str">
        <f>VLOOKUP(J149,Stock_list!A:S,17,FALSE)</f>
        <v>C49SZX20230111SX</v>
      </c>
      <c r="M149" s="51" t="str">
        <f>VLOOKUP(J149,Stock_list!A:T,16,FALSE)</f>
        <v>JPY</v>
      </c>
      <c r="N149" s="4">
        <v>45324</v>
      </c>
      <c r="O149" s="140">
        <v>65</v>
      </c>
      <c r="R149" s="4" t="str">
        <f>VLOOKUP(J149,Stock_list!A:Y,25,FALSE)</f>
        <v>Yes</v>
      </c>
      <c r="S149" s="143"/>
      <c r="V149" s="144"/>
      <c r="W149" s="145"/>
    </row>
    <row r="150" spans="1:23" ht="16.5" customHeight="1">
      <c r="A150" s="472" t="s">
        <v>281</v>
      </c>
      <c r="B150" s="436">
        <v>302</v>
      </c>
      <c r="C150" s="423" t="str">
        <f>VLOOKUP(B150,'Data pick slip'!B:F,5,FALSE)</f>
        <v>KHN-M7720-A3</v>
      </c>
      <c r="F150" s="170" t="s">
        <v>4193</v>
      </c>
      <c r="G150" s="146" t="s">
        <v>4188</v>
      </c>
      <c r="H150" s="146" t="s">
        <v>76</v>
      </c>
      <c r="J150" s="138">
        <v>2017</v>
      </c>
      <c r="K150" s="140" t="str">
        <f>VLOOKUP(J150,Stock_list!A:R,18,FALSE)</f>
        <v>兴开泰（end user:兴连）</v>
      </c>
      <c r="L150" s="139" t="str">
        <f>VLOOKUP(J150,Stock_list!A:S,17,FALSE)</f>
        <v>C49SZX20230111SX</v>
      </c>
      <c r="M150" s="51" t="str">
        <f>VLOOKUP(J150,Stock_list!A:T,16,FALSE)</f>
        <v>JPY</v>
      </c>
      <c r="N150" s="4"/>
      <c r="O150" s="140">
        <v>95</v>
      </c>
      <c r="R150" s="4" t="str">
        <f>VLOOKUP(J150,Stock_list!A:Y,25,FALSE)</f>
        <v>Yes</v>
      </c>
      <c r="S150" s="143"/>
      <c r="V150" s="144"/>
      <c r="W150" s="145"/>
    </row>
    <row r="151" spans="1:23" ht="16.5" customHeight="1">
      <c r="A151" s="472" t="s">
        <v>281</v>
      </c>
      <c r="B151" s="436">
        <v>303</v>
      </c>
      <c r="C151" s="423" t="str">
        <f>VLOOKUP(B151,'Data pick slip'!B:F,5,FALSE)</f>
        <v>KHY-M7740-A0</v>
      </c>
      <c r="F151" s="170" t="s">
        <v>4193</v>
      </c>
      <c r="G151" s="146" t="s">
        <v>4188</v>
      </c>
      <c r="H151" s="146" t="s">
        <v>76</v>
      </c>
      <c r="J151" s="138">
        <v>2017</v>
      </c>
      <c r="K151" s="140" t="str">
        <f>VLOOKUP(J151,Stock_list!A:R,18,FALSE)</f>
        <v>兴开泰（end user:兴连）</v>
      </c>
      <c r="L151" s="139" t="str">
        <f>VLOOKUP(J151,Stock_list!A:S,17,FALSE)</f>
        <v>C49SZX20230111SX</v>
      </c>
      <c r="M151" s="51" t="str">
        <f>VLOOKUP(J151,Stock_list!A:T,16,FALSE)</f>
        <v>JPY</v>
      </c>
      <c r="N151" s="4"/>
      <c r="O151" s="140">
        <v>8</v>
      </c>
      <c r="R151" s="4" t="str">
        <f>VLOOKUP(J151,Stock_list!A:Y,25,FALSE)</f>
        <v>Yes</v>
      </c>
      <c r="S151" s="143"/>
      <c r="V151" s="144"/>
      <c r="W151" s="145"/>
    </row>
    <row r="152" spans="1:23" ht="16.5" customHeight="1">
      <c r="A152" s="472" t="s">
        <v>281</v>
      </c>
      <c r="B152" s="436">
        <v>303</v>
      </c>
      <c r="C152" s="423" t="str">
        <f>VLOOKUP(B152,'Data pick slip'!B:F,5,FALSE)</f>
        <v>KHY-M7740-A0</v>
      </c>
      <c r="F152" s="170" t="s">
        <v>4191</v>
      </c>
      <c r="G152" s="146" t="s">
        <v>4188</v>
      </c>
      <c r="H152" s="146" t="s">
        <v>76</v>
      </c>
      <c r="J152" s="138">
        <v>2017</v>
      </c>
      <c r="K152" s="140" t="str">
        <f>VLOOKUP(J152,Stock_list!A:R,18,FALSE)</f>
        <v>兴开泰（end user:兴连）</v>
      </c>
      <c r="L152" s="139" t="str">
        <f>VLOOKUP(J152,Stock_list!A:S,17,FALSE)</f>
        <v>C49SZX20230111SX</v>
      </c>
      <c r="M152" s="51" t="str">
        <f>VLOOKUP(J152,Stock_list!A:T,16,FALSE)</f>
        <v>JPY</v>
      </c>
      <c r="N152" s="4"/>
      <c r="O152" s="140">
        <v>14</v>
      </c>
      <c r="R152" s="4" t="str">
        <f>VLOOKUP(J152,Stock_list!A:Y,25,FALSE)</f>
        <v>Yes</v>
      </c>
      <c r="S152" s="143"/>
      <c r="U152" s="123" t="s">
        <v>4279</v>
      </c>
      <c r="V152" s="144"/>
      <c r="W152" s="145"/>
    </row>
    <row r="153" spans="1:23" ht="16.5" customHeight="1">
      <c r="A153" s="472" t="s">
        <v>281</v>
      </c>
      <c r="B153" s="436">
        <v>304</v>
      </c>
      <c r="C153" s="423" t="str">
        <f>VLOOKUP(B153,'Data pick slip'!B:F,5,FALSE)</f>
        <v>KHY-M7750-A0</v>
      </c>
      <c r="F153" s="170" t="s">
        <v>4193</v>
      </c>
      <c r="G153" s="146" t="s">
        <v>4188</v>
      </c>
      <c r="H153" s="146" t="s">
        <v>76</v>
      </c>
      <c r="J153" s="138">
        <v>2017</v>
      </c>
      <c r="K153" s="140" t="str">
        <f>VLOOKUP(J153,Stock_list!A:R,18,FALSE)</f>
        <v>兴开泰（end user:兴连）</v>
      </c>
      <c r="L153" s="139" t="str">
        <f>VLOOKUP(J153,Stock_list!A:S,17,FALSE)</f>
        <v>C49SZX20230111SX</v>
      </c>
      <c r="M153" s="51" t="str">
        <f>VLOOKUP(J153,Stock_list!A:T,16,FALSE)</f>
        <v>JPY</v>
      </c>
      <c r="N153" s="4"/>
      <c r="O153" s="140">
        <v>30</v>
      </c>
      <c r="R153" s="4" t="str">
        <f>VLOOKUP(J153,Stock_list!A:Y,25,FALSE)</f>
        <v>Yes</v>
      </c>
      <c r="S153" s="143"/>
      <c r="V153" s="144"/>
      <c r="W153" s="145"/>
    </row>
    <row r="154" spans="1:23" ht="16.5" customHeight="1">
      <c r="A154" s="472" t="s">
        <v>15</v>
      </c>
      <c r="B154" s="436">
        <v>311</v>
      </c>
      <c r="C154" s="423" t="str">
        <f>VLOOKUP(B154,'Data pick slip'!B:F,5,FALSE)</f>
        <v>KHY-M7710-A4</v>
      </c>
      <c r="F154" s="170" t="s">
        <v>4191</v>
      </c>
      <c r="G154" s="146" t="s">
        <v>4188</v>
      </c>
      <c r="H154" s="146" t="s">
        <v>76</v>
      </c>
      <c r="J154" s="138">
        <v>2017</v>
      </c>
      <c r="K154" s="140" t="str">
        <f>VLOOKUP(J154,Stock_list!A:R,18,FALSE)</f>
        <v>兴开泰（end user:兴连）</v>
      </c>
      <c r="L154" s="139" t="str">
        <f>VLOOKUP(J154,Stock_list!A:S,17,FALSE)</f>
        <v>C49SZX20230111SX</v>
      </c>
      <c r="M154" s="51" t="str">
        <f>VLOOKUP(J154,Stock_list!A:T,16,FALSE)</f>
        <v>JPY</v>
      </c>
      <c r="N154" s="4">
        <v>45323</v>
      </c>
      <c r="O154" s="140">
        <v>95</v>
      </c>
      <c r="R154" s="4" t="str">
        <f>VLOOKUP(J154,Stock_list!A:Y,25,FALSE)</f>
        <v>Yes</v>
      </c>
      <c r="S154" s="143"/>
      <c r="U154" s="123" t="s">
        <v>4279</v>
      </c>
      <c r="V154" s="144"/>
      <c r="W154" s="145"/>
    </row>
    <row r="155" spans="1:23" ht="16.5" customHeight="1">
      <c r="A155" s="472" t="s">
        <v>15</v>
      </c>
      <c r="B155" s="436">
        <v>312</v>
      </c>
      <c r="C155" s="423" t="str">
        <f>VLOOKUP(B155,'Data pick slip'!B:F,5,FALSE)</f>
        <v>KHY-M7720-A3</v>
      </c>
      <c r="F155" s="170" t="s">
        <v>4201</v>
      </c>
      <c r="G155" s="146" t="s">
        <v>4188</v>
      </c>
      <c r="H155" s="146" t="s">
        <v>76</v>
      </c>
      <c r="J155" s="138">
        <v>2017</v>
      </c>
      <c r="K155" s="140" t="str">
        <f>VLOOKUP(J155,Stock_list!A:R,18,FALSE)</f>
        <v>兴开泰（end user:兴连）</v>
      </c>
      <c r="L155" s="139" t="str">
        <f>VLOOKUP(J155,Stock_list!A:S,17,FALSE)</f>
        <v>C49SZX20230111SX</v>
      </c>
      <c r="M155" s="51" t="str">
        <f>VLOOKUP(J155,Stock_list!A:T,16,FALSE)</f>
        <v>JPY</v>
      </c>
      <c r="N155" s="4"/>
      <c r="O155" s="140">
        <v>23</v>
      </c>
      <c r="R155" s="4" t="str">
        <f>VLOOKUP(J155,Stock_list!A:Y,25,FALSE)</f>
        <v>Yes</v>
      </c>
      <c r="S155" s="143"/>
      <c r="V155" s="144"/>
      <c r="W155" s="145"/>
    </row>
    <row r="156" spans="1:23" ht="17.25" customHeight="1">
      <c r="A156" s="472" t="s">
        <v>281</v>
      </c>
      <c r="B156" s="436">
        <v>301</v>
      </c>
      <c r="C156" s="423" t="str">
        <f>VLOOKUP(B156,'Data pick slip'!B:F,5,FALSE)</f>
        <v>KHN-M7710-A4</v>
      </c>
      <c r="F156" s="170" t="s">
        <v>4193</v>
      </c>
      <c r="G156" s="146" t="s">
        <v>4186</v>
      </c>
      <c r="H156" s="146" t="s">
        <v>76</v>
      </c>
      <c r="J156" s="138">
        <v>2000</v>
      </c>
      <c r="K156" s="140" t="str">
        <f>VLOOKUP(J156,Stock_list!A:R,18,FALSE)</f>
        <v>高伟</v>
      </c>
      <c r="L156" s="139" t="str">
        <f>VLOOKUP(J156,Stock_list!A:S,17,FALSE)</f>
        <v>C49SZX20230119JL/4600003615</v>
      </c>
      <c r="M156" s="51" t="str">
        <f>VLOOKUP(J156,Stock_list!A:T,16,FALSE)</f>
        <v>USD</v>
      </c>
      <c r="N156" s="4">
        <v>45300</v>
      </c>
      <c r="O156" s="140">
        <v>10</v>
      </c>
      <c r="R156" s="4" t="str">
        <f>VLOOKUP(J156,Stock_list!A:Y,25,FALSE)</f>
        <v>Yes</v>
      </c>
      <c r="S156" s="143"/>
      <c r="V156" s="144"/>
      <c r="W156" s="145"/>
    </row>
    <row r="157" spans="1:23" ht="16.5" customHeight="1">
      <c r="A157" s="472" t="s">
        <v>15</v>
      </c>
      <c r="B157" s="436">
        <v>301</v>
      </c>
      <c r="C157" s="423" t="str">
        <f>VLOOKUP(B157,'Data pick slip'!B:F,5,FALSE)</f>
        <v>KHN-M7710-A4</v>
      </c>
      <c r="D157" s="539" t="s">
        <v>3468</v>
      </c>
      <c r="F157" s="170" t="s">
        <v>4201</v>
      </c>
      <c r="G157" s="146" t="s">
        <v>4188</v>
      </c>
      <c r="H157" s="146" t="s">
        <v>76</v>
      </c>
      <c r="K157" s="387" t="s">
        <v>3468</v>
      </c>
      <c r="L157" s="269" t="s">
        <v>4388</v>
      </c>
      <c r="M157" s="51" t="s">
        <v>3002</v>
      </c>
      <c r="N157" s="4"/>
      <c r="O157" s="140">
        <v>45</v>
      </c>
      <c r="R157" s="4" t="e">
        <f>VLOOKUP(J157,Stock_list!A:Y,25,FALSE)</f>
        <v>#N/A</v>
      </c>
      <c r="S157" s="143"/>
      <c r="V157" s="144"/>
      <c r="W157" s="145"/>
    </row>
    <row r="158" spans="1:23" ht="16.5" customHeight="1">
      <c r="A158" s="472" t="s">
        <v>15</v>
      </c>
      <c r="B158" s="436">
        <v>312</v>
      </c>
      <c r="C158" s="423" t="str">
        <f>VLOOKUP(B158,'Data pick slip'!B:F,5,FALSE)</f>
        <v>KHY-M7720-A3</v>
      </c>
      <c r="D158" s="539" t="s">
        <v>3468</v>
      </c>
      <c r="F158" s="170" t="s">
        <v>4201</v>
      </c>
      <c r="G158" s="146" t="s">
        <v>4188</v>
      </c>
      <c r="H158" s="146" t="s">
        <v>76</v>
      </c>
      <c r="K158" s="387" t="s">
        <v>3468</v>
      </c>
      <c r="L158" s="269" t="s">
        <v>4388</v>
      </c>
      <c r="M158" s="51" t="s">
        <v>3002</v>
      </c>
      <c r="N158" s="4"/>
      <c r="O158" s="140">
        <v>3</v>
      </c>
      <c r="R158" s="4" t="e">
        <f>VLOOKUP(J158,Stock_list!A:Y,25,FALSE)</f>
        <v>#N/A</v>
      </c>
      <c r="S158" s="143"/>
      <c r="V158" s="144"/>
      <c r="W158" s="145"/>
    </row>
    <row r="159" spans="1:23" ht="16.5" customHeight="1">
      <c r="A159" s="472" t="s">
        <v>15</v>
      </c>
      <c r="B159" s="436">
        <v>301</v>
      </c>
      <c r="C159" s="423" t="str">
        <f>VLOOKUP(B159,'Data pick slip'!B:F,5,FALSE)</f>
        <v>KHN-M7710-A4</v>
      </c>
      <c r="F159" s="170" t="s">
        <v>4201</v>
      </c>
      <c r="G159" s="146" t="s">
        <v>4188</v>
      </c>
      <c r="H159" s="146" t="s">
        <v>76</v>
      </c>
      <c r="J159" s="138">
        <v>2090</v>
      </c>
      <c r="K159" s="140" t="str">
        <f>VLOOKUP(J159,Stock_list!A:R,18,FALSE)</f>
        <v>格美通</v>
      </c>
      <c r="L159" s="139" t="str">
        <f>VLOOKUP(J159,Stock_list!A:S,17,FALSE)</f>
        <v>C49SZX20240021EC</v>
      </c>
      <c r="M159" s="51" t="str">
        <f>VLOOKUP(J159,Stock_list!A:T,16,FALSE)</f>
        <v>JPY</v>
      </c>
      <c r="N159" s="4"/>
      <c r="O159" s="140">
        <v>20</v>
      </c>
      <c r="R159" s="4" t="str">
        <f>VLOOKUP(J159,Stock_list!A:Y,25,FALSE)</f>
        <v>Yes</v>
      </c>
      <c r="S159" s="143"/>
      <c r="V159" s="144"/>
      <c r="W159" s="145"/>
    </row>
    <row r="160" spans="1:23" ht="16.5" customHeight="1">
      <c r="A160" s="472" t="s">
        <v>281</v>
      </c>
      <c r="B160" s="436">
        <v>302</v>
      </c>
      <c r="C160" s="423" t="str">
        <f>VLOOKUP(B160,'Data pick slip'!B:F,5,FALSE)</f>
        <v>KHN-M7720-A3</v>
      </c>
      <c r="D160" s="539" t="s">
        <v>4204</v>
      </c>
      <c r="F160" s="170" t="s">
        <v>4193</v>
      </c>
      <c r="G160" s="146" t="s">
        <v>4186</v>
      </c>
      <c r="H160" s="146" t="s">
        <v>76</v>
      </c>
      <c r="J160" s="138">
        <v>2090</v>
      </c>
      <c r="K160" s="140" t="str">
        <f>VLOOKUP(J160,Stock_list!A:R,18,FALSE)</f>
        <v>格美通</v>
      </c>
      <c r="L160" s="139" t="str">
        <f>VLOOKUP(J160,Stock_list!A:S,17,FALSE)</f>
        <v>C49SZX20240021EC</v>
      </c>
      <c r="M160" s="51" t="str">
        <f>VLOOKUP(J160,Stock_list!A:T,16,FALSE)</f>
        <v>JPY</v>
      </c>
      <c r="N160" s="4"/>
      <c r="O160" s="140">
        <v>20</v>
      </c>
      <c r="R160" s="4" t="str">
        <f>VLOOKUP(J160,Stock_list!A:Y,25,FALSE)</f>
        <v>Yes</v>
      </c>
      <c r="S160" s="143"/>
      <c r="V160" s="144"/>
      <c r="W160" s="145"/>
    </row>
    <row r="161" spans="1:23" ht="16.5" customHeight="1">
      <c r="A161" s="472" t="s">
        <v>281</v>
      </c>
      <c r="B161" s="436">
        <v>302</v>
      </c>
      <c r="C161" s="423" t="str">
        <f>VLOOKUP(B161,'Data pick slip'!B:F,5,FALSE)</f>
        <v>KHN-M7720-A3</v>
      </c>
      <c r="F161" s="170" t="s">
        <v>4201</v>
      </c>
      <c r="G161" s="146" t="s">
        <v>4188</v>
      </c>
      <c r="H161" s="146" t="s">
        <v>76</v>
      </c>
      <c r="J161" s="138">
        <v>2040</v>
      </c>
      <c r="K161" s="140" t="str">
        <f>VLOOKUP(J161,Stock_list!A:R,18,FALSE)</f>
        <v>TBS</v>
      </c>
      <c r="L161" s="139" t="str">
        <f>VLOOKUP(J161,Stock_list!A:S,17,FALSE)</f>
        <v>C49SZX20230136JAL</v>
      </c>
      <c r="M161" s="51" t="str">
        <f>VLOOKUP(J161,Stock_list!A:T,16,FALSE)</f>
        <v>USD</v>
      </c>
      <c r="N161" s="4">
        <v>45344</v>
      </c>
      <c r="O161" s="140">
        <v>15</v>
      </c>
      <c r="R161" s="4" t="str">
        <f>VLOOKUP(J161,Stock_list!A:Y,25,FALSE)</f>
        <v>Yes</v>
      </c>
      <c r="S161" s="143"/>
      <c r="V161" s="144"/>
      <c r="W161" s="145"/>
    </row>
    <row r="162" spans="1:23" ht="16.5" customHeight="1">
      <c r="A162" s="472" t="s">
        <v>281</v>
      </c>
      <c r="B162" s="436">
        <v>303</v>
      </c>
      <c r="C162" s="423" t="str">
        <f>VLOOKUP(B162,'Data pick slip'!B:F,5,FALSE)</f>
        <v>KHY-M7740-A0</v>
      </c>
      <c r="F162" s="170" t="s">
        <v>4201</v>
      </c>
      <c r="G162" s="146" t="s">
        <v>4188</v>
      </c>
      <c r="H162" s="146" t="s">
        <v>76</v>
      </c>
      <c r="J162" s="138">
        <v>2040</v>
      </c>
      <c r="K162" s="140" t="str">
        <f>VLOOKUP(J162,Stock_list!A:R,18,FALSE)</f>
        <v>TBS</v>
      </c>
      <c r="L162" s="139" t="str">
        <f>VLOOKUP(J162,Stock_list!A:S,17,FALSE)</f>
        <v>C49SZX20230136JAL</v>
      </c>
      <c r="M162" s="51" t="str">
        <f>VLOOKUP(J162,Stock_list!A:T,16,FALSE)</f>
        <v>USD</v>
      </c>
      <c r="N162" s="4">
        <v>45344</v>
      </c>
      <c r="O162" s="140">
        <v>8</v>
      </c>
      <c r="R162" s="4" t="str">
        <f>VLOOKUP(J162,Stock_list!A:Y,25,FALSE)</f>
        <v>Yes</v>
      </c>
      <c r="S162" s="143"/>
      <c r="V162" s="144"/>
      <c r="W162" s="145"/>
    </row>
    <row r="163" spans="1:23" ht="16.5" customHeight="1">
      <c r="A163" s="472" t="s">
        <v>15</v>
      </c>
      <c r="B163" s="436">
        <v>301</v>
      </c>
      <c r="C163" s="423" t="str">
        <f>VLOOKUP(B163,'Data pick slip'!B:F,5,FALSE)</f>
        <v>KHN-M7710-A4</v>
      </c>
      <c r="F163" s="170" t="s">
        <v>4193</v>
      </c>
      <c r="G163" s="146" t="s">
        <v>4186</v>
      </c>
      <c r="H163" s="146" t="s">
        <v>76</v>
      </c>
      <c r="J163" s="138">
        <v>2040</v>
      </c>
      <c r="K163" s="140" t="str">
        <f>VLOOKUP(J163,Stock_list!A:R,18,FALSE)</f>
        <v>TBS</v>
      </c>
      <c r="L163" s="139" t="str">
        <f>VLOOKUP(J163,Stock_list!A:S,17,FALSE)</f>
        <v>C49SZX20230136JAL</v>
      </c>
      <c r="M163" s="51" t="str">
        <f>VLOOKUP(J163,Stock_list!A:T,16,FALSE)</f>
        <v>USD</v>
      </c>
      <c r="N163" s="4">
        <v>45344</v>
      </c>
      <c r="O163" s="140">
        <v>15</v>
      </c>
      <c r="R163" s="4" t="str">
        <f>VLOOKUP(J163,Stock_list!A:Y,25,FALSE)</f>
        <v>Yes</v>
      </c>
      <c r="S163" s="143"/>
      <c r="V163" s="144"/>
      <c r="W163" s="145"/>
    </row>
    <row r="164" spans="1:23" ht="16.5" customHeight="1">
      <c r="A164" s="472" t="s">
        <v>281</v>
      </c>
      <c r="B164" s="436">
        <v>304</v>
      </c>
      <c r="C164" s="423" t="str">
        <f>VLOOKUP(B164,'Data pick slip'!B:F,5,FALSE)</f>
        <v>KHY-M7750-A0</v>
      </c>
      <c r="F164" s="170" t="s">
        <v>4193</v>
      </c>
      <c r="G164" s="146" t="s">
        <v>4188</v>
      </c>
      <c r="H164" s="146" t="s">
        <v>76</v>
      </c>
      <c r="J164" s="138">
        <v>2040</v>
      </c>
      <c r="K164" s="140" t="str">
        <f>VLOOKUP(J164,Stock_list!A:R,18,FALSE)</f>
        <v>TBS</v>
      </c>
      <c r="L164" s="139" t="str">
        <f>VLOOKUP(J164,Stock_list!A:S,17,FALSE)</f>
        <v>C49SZX20230136JAL</v>
      </c>
      <c r="M164" s="51" t="str">
        <f>VLOOKUP(J164,Stock_list!A:T,16,FALSE)</f>
        <v>USD</v>
      </c>
      <c r="N164" s="4">
        <v>45344</v>
      </c>
      <c r="O164" s="140">
        <v>5</v>
      </c>
      <c r="R164" s="4" t="str">
        <f>VLOOKUP(J164,Stock_list!A:Y,25,FALSE)</f>
        <v>Yes</v>
      </c>
      <c r="S164" s="143"/>
      <c r="V164" s="144"/>
      <c r="W164" s="145"/>
    </row>
    <row r="165" spans="1:23" ht="16.5" customHeight="1">
      <c r="A165" s="472" t="s">
        <v>15</v>
      </c>
      <c r="B165" s="436">
        <v>301</v>
      </c>
      <c r="C165" s="423" t="str">
        <f>VLOOKUP(B165,'Data pick slip'!B:F,5,FALSE)</f>
        <v>KHN-M7710-A4</v>
      </c>
      <c r="D165" s="539" t="s">
        <v>4204</v>
      </c>
      <c r="F165" s="170" t="s">
        <v>4193</v>
      </c>
      <c r="G165" s="146" t="s">
        <v>4186</v>
      </c>
      <c r="H165" s="146" t="s">
        <v>76</v>
      </c>
      <c r="J165" s="138">
        <v>2040</v>
      </c>
      <c r="K165" s="140" t="str">
        <f>VLOOKUP(J165,Stock_list!A:R,18,FALSE)</f>
        <v>TBS</v>
      </c>
      <c r="L165" s="139" t="str">
        <f>VLOOKUP(J165,Stock_list!A:S,17,FALSE)</f>
        <v>C49SZX20230136JAL</v>
      </c>
      <c r="M165" s="51" t="str">
        <f>VLOOKUP(J165,Stock_list!A:T,16,FALSE)</f>
        <v>USD</v>
      </c>
      <c r="N165" s="4">
        <v>45344</v>
      </c>
      <c r="O165" s="140">
        <v>5</v>
      </c>
      <c r="R165" s="4" t="str">
        <f>VLOOKUP(J165,Stock_list!A:Y,25,FALSE)</f>
        <v>Yes</v>
      </c>
      <c r="S165" s="143"/>
      <c r="V165" s="144"/>
      <c r="W165" s="145"/>
    </row>
    <row r="166" spans="1:23" ht="16.5" customHeight="1">
      <c r="A166" s="472" t="s">
        <v>15</v>
      </c>
      <c r="B166" s="436">
        <v>301</v>
      </c>
      <c r="C166" s="423" t="str">
        <f>VLOOKUP(B166,'Data pick slip'!B:F,5,FALSE)</f>
        <v>KHN-M7710-A4</v>
      </c>
      <c r="F166" s="170" t="s">
        <v>4193</v>
      </c>
      <c r="G166" s="146" t="s">
        <v>4186</v>
      </c>
      <c r="H166" s="146" t="s">
        <v>76</v>
      </c>
      <c r="J166" s="138">
        <v>2085</v>
      </c>
      <c r="K166" s="140" t="str">
        <f>VLOOKUP(J166,Stock_list!A:R,18,FALSE)</f>
        <v>江西优控</v>
      </c>
      <c r="L166" s="139" t="str">
        <f>VLOOKUP(J166,Stock_list!A:S,17,FALSE)</f>
        <v>C49SZX20240013SX</v>
      </c>
      <c r="M166" s="51" t="str">
        <f>VLOOKUP(J166,Stock_list!A:T,16,FALSE)</f>
        <v>JPY</v>
      </c>
      <c r="N166" s="4">
        <v>45346</v>
      </c>
      <c r="O166" s="140">
        <v>5</v>
      </c>
      <c r="R166" s="4" t="str">
        <f>VLOOKUP(J166,Stock_list!A:Y,25,FALSE)</f>
        <v>Yes</v>
      </c>
      <c r="S166" s="143"/>
      <c r="V166" s="144"/>
      <c r="W166" s="145"/>
    </row>
    <row r="167" spans="1:23" ht="16.5" customHeight="1">
      <c r="A167" s="472" t="s">
        <v>15</v>
      </c>
      <c r="B167" s="436">
        <v>301</v>
      </c>
      <c r="C167" s="423" t="str">
        <f>VLOOKUP(B167,'Data pick slip'!B:F,5,FALSE)</f>
        <v>KHN-M7710-A4</v>
      </c>
      <c r="F167" s="170" t="s">
        <v>4193</v>
      </c>
      <c r="G167" s="146" t="s">
        <v>4188</v>
      </c>
      <c r="H167" s="146" t="s">
        <v>76</v>
      </c>
      <c r="J167" s="138">
        <v>2085</v>
      </c>
      <c r="K167" s="140" t="str">
        <f>VLOOKUP(J167,Stock_list!A:R,18,FALSE)</f>
        <v>江西优控</v>
      </c>
      <c r="L167" s="139" t="str">
        <f>VLOOKUP(J167,Stock_list!A:S,17,FALSE)</f>
        <v>C49SZX20240013SX</v>
      </c>
      <c r="M167" s="51" t="str">
        <f>VLOOKUP(J167,Stock_list!A:T,16,FALSE)</f>
        <v>JPY</v>
      </c>
      <c r="N167" s="4">
        <v>45346</v>
      </c>
      <c r="O167" s="140">
        <v>25</v>
      </c>
      <c r="R167" s="4" t="str">
        <f>VLOOKUP(J167,Stock_list!A:Y,25,FALSE)</f>
        <v>Yes</v>
      </c>
      <c r="S167" s="143"/>
      <c r="V167" s="144"/>
      <c r="W167" s="145"/>
    </row>
    <row r="168" spans="1:23" ht="16.5" customHeight="1">
      <c r="A168" s="472" t="s">
        <v>15</v>
      </c>
      <c r="B168" s="436">
        <v>302</v>
      </c>
      <c r="C168" s="423" t="str">
        <f>VLOOKUP(B168,'Data pick slip'!B:F,5,FALSE)</f>
        <v>KHN-M7720-A3</v>
      </c>
      <c r="D168" s="539" t="s">
        <v>4204</v>
      </c>
      <c r="F168" s="170" t="s">
        <v>4193</v>
      </c>
      <c r="G168" s="146" t="s">
        <v>4186</v>
      </c>
      <c r="H168" s="146" t="s">
        <v>76</v>
      </c>
      <c r="J168" s="138">
        <v>2085</v>
      </c>
      <c r="K168" s="140" t="str">
        <f>VLOOKUP(J168,Stock_list!A:R,18,FALSE)</f>
        <v>江西优控</v>
      </c>
      <c r="L168" s="139" t="str">
        <f>VLOOKUP(J168,Stock_list!A:S,17,FALSE)</f>
        <v>C49SZX20240013SX</v>
      </c>
      <c r="M168" s="51" t="str">
        <f>VLOOKUP(J168,Stock_list!A:T,16,FALSE)</f>
        <v>JPY</v>
      </c>
      <c r="N168" s="4">
        <v>45346</v>
      </c>
      <c r="O168" s="140">
        <v>10</v>
      </c>
      <c r="R168" s="4" t="str">
        <f>VLOOKUP(J168,Stock_list!A:Y,25,FALSE)</f>
        <v>Yes</v>
      </c>
      <c r="S168" s="143"/>
      <c r="V168" s="144"/>
      <c r="W168" s="145"/>
    </row>
    <row r="169" spans="1:23" ht="16.5" customHeight="1">
      <c r="A169" s="472" t="s">
        <v>15</v>
      </c>
      <c r="B169" s="436">
        <v>303</v>
      </c>
      <c r="C169" s="423" t="str">
        <f>VLOOKUP(B169,'Data pick slip'!B:F,5,FALSE)</f>
        <v>KHY-M7740-A0</v>
      </c>
      <c r="D169" s="539" t="s">
        <v>4204</v>
      </c>
      <c r="F169" s="170" t="s">
        <v>4193</v>
      </c>
      <c r="G169" s="146" t="s">
        <v>4186</v>
      </c>
      <c r="H169" s="146" t="s">
        <v>76</v>
      </c>
      <c r="J169" s="138">
        <v>2085</v>
      </c>
      <c r="K169" s="140" t="str">
        <f>VLOOKUP(J169,Stock_list!A:R,18,FALSE)</f>
        <v>江西优控</v>
      </c>
      <c r="L169" s="139" t="str">
        <f>VLOOKUP(J169,Stock_list!A:S,17,FALSE)</f>
        <v>C49SZX20240013SX</v>
      </c>
      <c r="M169" s="51" t="str">
        <f>VLOOKUP(J169,Stock_list!A:T,16,FALSE)</f>
        <v>JPY</v>
      </c>
      <c r="N169" s="4">
        <v>45346</v>
      </c>
      <c r="O169" s="140">
        <v>10</v>
      </c>
      <c r="R169" s="4" t="str">
        <f>VLOOKUP(J169,Stock_list!A:Y,25,FALSE)</f>
        <v>Yes</v>
      </c>
      <c r="S169" s="143"/>
      <c r="V169" s="144"/>
      <c r="W169" s="145"/>
    </row>
    <row r="170" spans="1:23" ht="16.5" customHeight="1">
      <c r="A170" s="472" t="s">
        <v>15</v>
      </c>
      <c r="B170" s="436">
        <v>313</v>
      </c>
      <c r="C170" s="423" t="str">
        <f>VLOOKUP(B170,'Data pick slip'!B:F,5,FALSE)</f>
        <v>KHY-M7730-A2</v>
      </c>
      <c r="D170" s="539" t="s">
        <v>4204</v>
      </c>
      <c r="F170" s="170" t="s">
        <v>4193</v>
      </c>
      <c r="G170" s="146" t="s">
        <v>4186</v>
      </c>
      <c r="H170" s="146" t="s">
        <v>76</v>
      </c>
      <c r="J170" s="138">
        <v>2085</v>
      </c>
      <c r="K170" s="140" t="str">
        <f>VLOOKUP(J170,Stock_list!A:R,18,FALSE)</f>
        <v>江西优控</v>
      </c>
      <c r="L170" s="139" t="str">
        <f>VLOOKUP(J170,Stock_list!A:S,17,FALSE)</f>
        <v>C49SZX20240013SX</v>
      </c>
      <c r="M170" s="51" t="str">
        <f>VLOOKUP(J170,Stock_list!A:T,16,FALSE)</f>
        <v>JPY</v>
      </c>
      <c r="N170" s="4">
        <v>45346</v>
      </c>
      <c r="O170" s="140">
        <v>5</v>
      </c>
      <c r="R170" s="4" t="str">
        <f>VLOOKUP(J170,Stock_list!A:Y,25,FALSE)</f>
        <v>Yes</v>
      </c>
      <c r="S170" s="143"/>
      <c r="V170" s="144"/>
      <c r="W170" s="145"/>
    </row>
    <row r="171" spans="1:23" ht="16.5" customHeight="1">
      <c r="A171" s="472" t="s">
        <v>281</v>
      </c>
      <c r="B171" s="436">
        <v>301</v>
      </c>
      <c r="C171" s="423" t="str">
        <f>VLOOKUP(B171,'Data pick slip'!B:F,5,FALSE)</f>
        <v>KHN-M7710-A4</v>
      </c>
      <c r="F171" s="170" t="s">
        <v>4201</v>
      </c>
      <c r="G171" s="146" t="s">
        <v>4186</v>
      </c>
      <c r="H171" s="146" t="s">
        <v>76</v>
      </c>
      <c r="K171" s="387" t="s">
        <v>3413</v>
      </c>
      <c r="L171" s="139" t="s">
        <v>4422</v>
      </c>
      <c r="M171" s="51" t="s">
        <v>1246</v>
      </c>
      <c r="N171" s="4">
        <v>45352</v>
      </c>
      <c r="O171" s="140">
        <v>20</v>
      </c>
      <c r="R171" s="4" t="s">
        <v>291</v>
      </c>
      <c r="S171" s="143"/>
      <c r="V171" s="144"/>
      <c r="W171" s="145"/>
    </row>
    <row r="172" spans="1:23" ht="16.5" customHeight="1">
      <c r="A172" s="472" t="s">
        <v>281</v>
      </c>
      <c r="B172" s="436">
        <v>303</v>
      </c>
      <c r="C172" s="423" t="str">
        <f>VLOOKUP(B172,'Data pick slip'!B:F,5,FALSE)</f>
        <v>KHY-M7740-A0</v>
      </c>
      <c r="F172" s="170" t="s">
        <v>4201</v>
      </c>
      <c r="G172" s="146" t="s">
        <v>4186</v>
      </c>
      <c r="H172" s="146" t="s">
        <v>76</v>
      </c>
      <c r="K172" s="387" t="s">
        <v>3413</v>
      </c>
      <c r="L172" s="139" t="s">
        <v>4422</v>
      </c>
      <c r="M172" s="51" t="s">
        <v>1246</v>
      </c>
      <c r="N172" s="4">
        <v>45352</v>
      </c>
      <c r="O172" s="140">
        <v>20</v>
      </c>
      <c r="R172" s="4" t="s">
        <v>291</v>
      </c>
      <c r="S172" s="143"/>
      <c r="V172" s="144"/>
      <c r="W172" s="145"/>
    </row>
    <row r="173" spans="1:23" ht="16.5" customHeight="1">
      <c r="A173" s="472" t="s">
        <v>281</v>
      </c>
      <c r="B173" s="436">
        <v>311</v>
      </c>
      <c r="C173" s="423" t="str">
        <f>VLOOKUP(B173,'Data pick slip'!B:F,5,FALSE)</f>
        <v>KHY-M7710-A4</v>
      </c>
      <c r="F173" s="170" t="s">
        <v>4192</v>
      </c>
      <c r="G173" s="146" t="s">
        <v>4188</v>
      </c>
      <c r="H173" s="146" t="s">
        <v>236</v>
      </c>
      <c r="J173" s="138">
        <v>2061</v>
      </c>
      <c r="K173" s="140" t="str">
        <f>VLOOKUP(J173,Stock_list!A:R,18,FALSE)</f>
        <v>豫龙辉</v>
      </c>
      <c r="L173" s="139" t="str">
        <f>VLOOKUP(J173,Stock_list!A:S,17,FALSE)</f>
        <v>C49SZX20240001JY</v>
      </c>
      <c r="M173" s="51" t="str">
        <f>VLOOKUP(J173,Stock_list!A:T,16,FALSE)</f>
        <v>JPY</v>
      </c>
      <c r="N173" s="4">
        <v>45349</v>
      </c>
      <c r="O173" s="140">
        <v>20</v>
      </c>
      <c r="R173" s="4" t="str">
        <f>VLOOKUP(J173,Stock_list!A:Y,25,FALSE)</f>
        <v>Yes</v>
      </c>
      <c r="S173" s="143"/>
      <c r="V173" s="144"/>
      <c r="W173" s="145"/>
    </row>
    <row r="174" spans="1:23" ht="16.5" customHeight="1">
      <c r="A174" s="472" t="s">
        <v>15</v>
      </c>
      <c r="B174" s="436">
        <v>302</v>
      </c>
      <c r="C174" s="423" t="str">
        <f>VLOOKUP(B174,'Data pick slip'!B:F,5,FALSE)</f>
        <v>KHN-M7720-A3</v>
      </c>
      <c r="D174" s="539" t="s">
        <v>4204</v>
      </c>
      <c r="F174" s="170" t="s">
        <v>4201</v>
      </c>
      <c r="G174" s="146" t="s">
        <v>4186</v>
      </c>
      <c r="H174" s="146" t="s">
        <v>76</v>
      </c>
      <c r="J174" s="138">
        <v>2061</v>
      </c>
      <c r="K174" s="140" t="str">
        <f>VLOOKUP(J174,Stock_list!A:R,18,FALSE)</f>
        <v>豫龙辉</v>
      </c>
      <c r="L174" s="139" t="str">
        <f>VLOOKUP(J174,Stock_list!A:S,17,FALSE)</f>
        <v>C49SZX20240001JY</v>
      </c>
      <c r="M174" s="51" t="str">
        <f>VLOOKUP(J174,Stock_list!A:T,16,FALSE)</f>
        <v>JPY</v>
      </c>
      <c r="N174" s="4">
        <v>45349</v>
      </c>
      <c r="O174" s="140">
        <v>5</v>
      </c>
      <c r="R174" s="4" t="str">
        <f>VLOOKUP(J174,Stock_list!A:Y,25,FALSE)</f>
        <v>Yes</v>
      </c>
      <c r="S174" s="143"/>
      <c r="V174" s="144"/>
      <c r="W174" s="145"/>
    </row>
    <row r="175" spans="1:23" ht="16.5" customHeight="1">
      <c r="A175" s="472" t="s">
        <v>15</v>
      </c>
      <c r="B175" s="436">
        <v>303</v>
      </c>
      <c r="C175" s="423" t="str">
        <f>VLOOKUP(B175,'Data pick slip'!B:F,5,FALSE)</f>
        <v>KHY-M7740-A0</v>
      </c>
      <c r="D175" s="539" t="s">
        <v>4204</v>
      </c>
      <c r="F175" s="170" t="s">
        <v>4201</v>
      </c>
      <c r="G175" s="146" t="s">
        <v>4186</v>
      </c>
      <c r="H175" s="146" t="s">
        <v>76</v>
      </c>
      <c r="J175" s="138">
        <v>2061</v>
      </c>
      <c r="K175" s="140" t="str">
        <f>VLOOKUP(J175,Stock_list!A:R,18,FALSE)</f>
        <v>豫龙辉</v>
      </c>
      <c r="L175" s="139" t="str">
        <f>VLOOKUP(J175,Stock_list!A:S,17,FALSE)</f>
        <v>C49SZX20240001JY</v>
      </c>
      <c r="M175" s="51" t="str">
        <f>VLOOKUP(J175,Stock_list!A:T,16,FALSE)</f>
        <v>JPY</v>
      </c>
      <c r="N175" s="4">
        <v>45349</v>
      </c>
      <c r="O175" s="140">
        <v>10</v>
      </c>
      <c r="R175" s="4" t="str">
        <f>VLOOKUP(J175,Stock_list!A:Y,25,FALSE)</f>
        <v>Yes</v>
      </c>
      <c r="S175" s="143"/>
      <c r="V175" s="144"/>
      <c r="W175" s="145"/>
    </row>
    <row r="176" spans="1:23" ht="16.5" customHeight="1">
      <c r="A176" s="472" t="s">
        <v>15</v>
      </c>
      <c r="B176" s="436">
        <v>313</v>
      </c>
      <c r="C176" s="423" t="str">
        <f>VLOOKUP(B176,'Data pick slip'!B:F,5,FALSE)</f>
        <v>KHY-M7730-A2</v>
      </c>
      <c r="D176" s="539" t="s">
        <v>4204</v>
      </c>
      <c r="F176" s="170" t="s">
        <v>4201</v>
      </c>
      <c r="G176" s="146" t="s">
        <v>4186</v>
      </c>
      <c r="H176" s="146" t="s">
        <v>76</v>
      </c>
      <c r="J176" s="138">
        <v>2061</v>
      </c>
      <c r="K176" s="140" t="str">
        <f>VLOOKUP(J176,Stock_list!A:R,18,FALSE)</f>
        <v>豫龙辉</v>
      </c>
      <c r="L176" s="139" t="str">
        <f>VLOOKUP(J176,Stock_list!A:S,17,FALSE)</f>
        <v>C49SZX20240001JY</v>
      </c>
      <c r="M176" s="51" t="str">
        <f>VLOOKUP(J176,Stock_list!A:T,16,FALSE)</f>
        <v>JPY</v>
      </c>
      <c r="N176" s="4">
        <v>45349</v>
      </c>
      <c r="O176" s="140">
        <v>5</v>
      </c>
      <c r="R176" s="4" t="str">
        <f>VLOOKUP(J176,Stock_list!A:Y,25,FALSE)</f>
        <v>Yes</v>
      </c>
      <c r="S176" s="143"/>
      <c r="V176" s="144"/>
      <c r="W176" s="145"/>
    </row>
    <row r="177" spans="1:23" ht="16.5" customHeight="1">
      <c r="A177" s="472" t="s">
        <v>15</v>
      </c>
      <c r="B177" s="436">
        <v>302</v>
      </c>
      <c r="C177" s="423" t="str">
        <f>VLOOKUP(B177,'Data pick slip'!B:F,5,FALSE)</f>
        <v>KHN-M7720-A3</v>
      </c>
      <c r="F177" s="170" t="s">
        <v>4193</v>
      </c>
      <c r="G177" s="146" t="s">
        <v>4188</v>
      </c>
      <c r="H177" s="146" t="s">
        <v>76</v>
      </c>
      <c r="K177" s="843">
        <v>66</v>
      </c>
      <c r="L177" s="844" t="s">
        <v>4429</v>
      </c>
      <c r="M177" s="845" t="s">
        <v>1246</v>
      </c>
      <c r="N177" s="842" t="s">
        <v>4430</v>
      </c>
      <c r="O177" s="843">
        <v>20</v>
      </c>
      <c r="R177" s="4" t="s">
        <v>291</v>
      </c>
      <c r="S177" s="143"/>
      <c r="V177" s="144"/>
      <c r="W177" s="145"/>
    </row>
    <row r="178" spans="1:23" ht="16.5" customHeight="1">
      <c r="A178" s="472" t="s">
        <v>15</v>
      </c>
      <c r="B178" s="436">
        <v>301</v>
      </c>
      <c r="C178" s="423" t="str">
        <f>VLOOKUP(B178,'Data pick slip'!B:F,5,FALSE)</f>
        <v>KHN-M7710-A4</v>
      </c>
      <c r="F178" s="170" t="s">
        <v>4191</v>
      </c>
      <c r="G178" s="146" t="s">
        <v>4186</v>
      </c>
      <c r="H178" s="146" t="s">
        <v>76</v>
      </c>
      <c r="J178" s="138">
        <v>2034</v>
      </c>
      <c r="K178" s="140" t="str">
        <f>VLOOKUP(J178,Stock_list!A:R,18,FALSE)</f>
        <v>徕芬</v>
      </c>
      <c r="L178" s="139" t="str">
        <f>VLOOKUP(J178,Stock_list!A:S,17,FALSE)</f>
        <v>CG20231204009</v>
      </c>
      <c r="M178" s="51" t="str">
        <f>VLOOKUP(J178,Stock_list!A:T,16,FALSE)</f>
        <v>RMB</v>
      </c>
      <c r="N178" s="4">
        <v>45356</v>
      </c>
      <c r="O178" s="140">
        <v>20</v>
      </c>
      <c r="R178" s="4" t="str">
        <f>VLOOKUP(J178,Stock_list!A:Y,25,FALSE)</f>
        <v>Yes</v>
      </c>
      <c r="S178" s="143"/>
      <c r="V178" s="144"/>
      <c r="W178" s="145"/>
    </row>
    <row r="179" spans="1:23" ht="16.5" customHeight="1">
      <c r="A179" s="472" t="s">
        <v>15</v>
      </c>
      <c r="B179" s="436">
        <v>303</v>
      </c>
      <c r="C179" s="423" t="str">
        <f>VLOOKUP(B179,'Data pick slip'!B:F,5,FALSE)</f>
        <v>KHY-M7740-A0</v>
      </c>
      <c r="F179" s="170" t="s">
        <v>4191</v>
      </c>
      <c r="G179" s="146" t="s">
        <v>4186</v>
      </c>
      <c r="H179" s="146" t="s">
        <v>76</v>
      </c>
      <c r="J179" s="138">
        <v>2034</v>
      </c>
      <c r="K179" s="140" t="str">
        <f>VLOOKUP(J179,Stock_list!A:R,18,FALSE)</f>
        <v>徕芬</v>
      </c>
      <c r="L179" s="139" t="str">
        <f>VLOOKUP(J179,Stock_list!A:S,17,FALSE)</f>
        <v>CG20231204009</v>
      </c>
      <c r="M179" s="51" t="str">
        <f>VLOOKUP(J179,Stock_list!A:T,16,FALSE)</f>
        <v>RMB</v>
      </c>
      <c r="N179" s="4">
        <v>45356</v>
      </c>
      <c r="O179" s="140">
        <v>20</v>
      </c>
      <c r="R179" s="4" t="str">
        <f>VLOOKUP(J179,Stock_list!A:Y,25,FALSE)</f>
        <v>Yes</v>
      </c>
      <c r="S179" s="143"/>
      <c r="V179" s="144"/>
      <c r="W179" s="145"/>
    </row>
    <row r="180" spans="1:23" ht="16.5" customHeight="1">
      <c r="A180" s="472" t="s">
        <v>15</v>
      </c>
      <c r="B180" s="436">
        <v>301</v>
      </c>
      <c r="C180" s="423" t="str">
        <f>VLOOKUP(B180,'Data pick slip'!B:F,5,FALSE)</f>
        <v>KHN-M7710-A4</v>
      </c>
      <c r="F180" s="170" t="s">
        <v>4191</v>
      </c>
      <c r="G180" s="146" t="s">
        <v>4188</v>
      </c>
      <c r="H180" s="146" t="s">
        <v>76</v>
      </c>
      <c r="J180" s="138">
        <v>2034</v>
      </c>
      <c r="K180" s="140" t="str">
        <f>VLOOKUP(J180,Stock_list!A:R,18,FALSE)</f>
        <v>徕芬</v>
      </c>
      <c r="L180" s="139" t="str">
        <f>VLOOKUP(J180,Stock_list!A:S,17,FALSE)</f>
        <v>CG20231204009</v>
      </c>
      <c r="M180" s="51" t="str">
        <f>VLOOKUP(J180,Stock_list!A:T,16,FALSE)</f>
        <v>RMB</v>
      </c>
      <c r="N180" s="4">
        <v>45356</v>
      </c>
      <c r="O180" s="140">
        <v>9</v>
      </c>
      <c r="R180" s="4" t="str">
        <f>VLOOKUP(J180,Stock_list!A:Y,25,FALSE)</f>
        <v>Yes</v>
      </c>
      <c r="S180" s="143"/>
      <c r="V180" s="144"/>
      <c r="W180" s="145"/>
    </row>
    <row r="181" spans="1:23" ht="16.5" customHeight="1">
      <c r="A181" s="472" t="s">
        <v>15</v>
      </c>
      <c r="B181" s="436">
        <v>301</v>
      </c>
      <c r="C181" s="423" t="str">
        <f>VLOOKUP(B181,'Data pick slip'!B:F,5,FALSE)</f>
        <v>KHN-M7710-A4</v>
      </c>
      <c r="F181" s="170" t="s">
        <v>4201</v>
      </c>
      <c r="G181" s="146" t="s">
        <v>4188</v>
      </c>
      <c r="H181" s="146" t="s">
        <v>76</v>
      </c>
      <c r="J181" s="138">
        <v>2034</v>
      </c>
      <c r="K181" s="140" t="str">
        <f>VLOOKUP(J181,Stock_list!A:R,18,FALSE)</f>
        <v>徕芬</v>
      </c>
      <c r="L181" s="139" t="str">
        <f>VLOOKUP(J181,Stock_list!A:S,17,FALSE)</f>
        <v>CG20231204009</v>
      </c>
      <c r="M181" s="51" t="str">
        <f>VLOOKUP(J181,Stock_list!A:T,16,FALSE)</f>
        <v>RMB</v>
      </c>
      <c r="N181" s="4">
        <v>45356</v>
      </c>
      <c r="O181" s="140">
        <v>2</v>
      </c>
      <c r="R181" s="4" t="str">
        <f>VLOOKUP(J181,Stock_list!A:Y,25,FALSE)</f>
        <v>Yes</v>
      </c>
      <c r="S181" s="143"/>
      <c r="V181" s="144"/>
      <c r="W181" s="145"/>
    </row>
    <row r="182" spans="1:23" ht="16.5" customHeight="1">
      <c r="A182" s="472" t="s">
        <v>15</v>
      </c>
      <c r="B182" s="436">
        <v>304</v>
      </c>
      <c r="C182" s="423" t="str">
        <f>VLOOKUP(B182,'Data pick slip'!B:F,5,FALSE)</f>
        <v>KHY-M7750-A0</v>
      </c>
      <c r="F182" s="170" t="s">
        <v>4191</v>
      </c>
      <c r="G182" s="146" t="s">
        <v>4188</v>
      </c>
      <c r="H182" s="146" t="s">
        <v>76</v>
      </c>
      <c r="J182" s="138">
        <v>2034</v>
      </c>
      <c r="K182" s="140" t="str">
        <f>VLOOKUP(J182,Stock_list!A:R,18,FALSE)</f>
        <v>徕芬</v>
      </c>
      <c r="L182" s="139" t="str">
        <f>VLOOKUP(J182,Stock_list!A:S,17,FALSE)</f>
        <v>CG20231204009</v>
      </c>
      <c r="M182" s="51" t="str">
        <f>VLOOKUP(J182,Stock_list!A:T,16,FALSE)</f>
        <v>RMB</v>
      </c>
      <c r="N182" s="4">
        <v>45356</v>
      </c>
      <c r="O182" s="140">
        <v>1</v>
      </c>
      <c r="R182" s="4" t="str">
        <f>VLOOKUP(J182,Stock_list!A:Y,25,FALSE)</f>
        <v>Yes</v>
      </c>
      <c r="S182" s="143"/>
      <c r="V182" s="144"/>
      <c r="W182" s="145"/>
    </row>
    <row r="183" spans="1:23" ht="16.5" customHeight="1">
      <c r="A183" s="472" t="s">
        <v>15</v>
      </c>
      <c r="B183" s="436">
        <v>302</v>
      </c>
      <c r="C183" s="423" t="str">
        <f>VLOOKUP(B183,'Data pick slip'!B:F,5,FALSE)</f>
        <v>KHN-M7720-A3</v>
      </c>
      <c r="F183" s="170" t="s">
        <v>4201</v>
      </c>
      <c r="G183" s="146" t="s">
        <v>4188</v>
      </c>
      <c r="H183" s="146" t="s">
        <v>76</v>
      </c>
      <c r="J183" s="138">
        <v>2034</v>
      </c>
      <c r="K183" s="140" t="str">
        <f>VLOOKUP(J183,Stock_list!A:R,18,FALSE)</f>
        <v>徕芬</v>
      </c>
      <c r="L183" s="139" t="str">
        <f>VLOOKUP(J183,Stock_list!A:S,17,FALSE)</f>
        <v>CG20231204009</v>
      </c>
      <c r="M183" s="51" t="str">
        <f>VLOOKUP(J183,Stock_list!A:T,16,FALSE)</f>
        <v>RMB</v>
      </c>
      <c r="N183" s="4">
        <v>45356</v>
      </c>
      <c r="O183" s="140">
        <v>9</v>
      </c>
      <c r="R183" s="4" t="str">
        <f>VLOOKUP(J183,Stock_list!A:Y,25,FALSE)</f>
        <v>Yes</v>
      </c>
      <c r="S183" s="143"/>
      <c r="V183" s="144"/>
      <c r="W183" s="145"/>
    </row>
    <row r="184" spans="1:23" ht="16.5" customHeight="1">
      <c r="C184" s="423" t="e">
        <f>VLOOKUP(B184,'Data pick slip'!B:F,5,FALSE)</f>
        <v>#N/A</v>
      </c>
      <c r="F184" s="170"/>
      <c r="K184" s="140" t="e">
        <f>VLOOKUP(J184,Stock_list!A:R,18,FALSE)</f>
        <v>#N/A</v>
      </c>
      <c r="L184" s="139" t="e">
        <f>VLOOKUP(J184,Stock_list!A:S,17,FALSE)</f>
        <v>#N/A</v>
      </c>
      <c r="M184" s="51" t="e">
        <f>VLOOKUP(J184,Stock_list!A:T,16,FALSE)</f>
        <v>#N/A</v>
      </c>
      <c r="N184" s="4"/>
      <c r="R184" s="4" t="e">
        <f>VLOOKUP(J184,Stock_list!A:Y,25,FALSE)</f>
        <v>#N/A</v>
      </c>
      <c r="S184" s="143"/>
      <c r="V184" s="144"/>
      <c r="W184" s="145"/>
    </row>
    <row r="185" spans="1:23" ht="16.5" customHeight="1">
      <c r="C185" s="423" t="e">
        <f>VLOOKUP(B185,'Data pick slip'!B:F,5,FALSE)</f>
        <v>#N/A</v>
      </c>
      <c r="F185" s="170"/>
      <c r="K185" s="140" t="e">
        <f>VLOOKUP(J185,Stock_list!A:R,18,FALSE)</f>
        <v>#N/A</v>
      </c>
      <c r="L185" s="139" t="e">
        <f>VLOOKUP(J185,Stock_list!A:S,17,FALSE)</f>
        <v>#N/A</v>
      </c>
      <c r="M185" s="51" t="e">
        <f>VLOOKUP(J185,Stock_list!A:T,16,FALSE)</f>
        <v>#N/A</v>
      </c>
      <c r="N185" s="4"/>
      <c r="R185" s="4" t="e">
        <f>VLOOKUP(J185,Stock_list!A:Y,25,FALSE)</f>
        <v>#N/A</v>
      </c>
      <c r="S185" s="143"/>
      <c r="V185" s="144"/>
      <c r="W185" s="145"/>
    </row>
    <row r="186" spans="1:23" ht="16.5" customHeight="1">
      <c r="C186" s="423" t="e">
        <f>VLOOKUP(B186,'Data pick slip'!B:F,5,FALSE)</f>
        <v>#N/A</v>
      </c>
      <c r="F186" s="170"/>
      <c r="K186" s="140" t="e">
        <f>VLOOKUP(J186,Stock_list!A:R,18,FALSE)</f>
        <v>#N/A</v>
      </c>
      <c r="L186" s="139" t="e">
        <f>VLOOKUP(J186,Stock_list!A:S,17,FALSE)</f>
        <v>#N/A</v>
      </c>
      <c r="M186" s="51" t="e">
        <f>VLOOKUP(J186,Stock_list!A:T,16,FALSE)</f>
        <v>#N/A</v>
      </c>
      <c r="N186" s="4"/>
      <c r="R186" s="4" t="e">
        <f>VLOOKUP(J186,Stock_list!A:Y,25,FALSE)</f>
        <v>#N/A</v>
      </c>
      <c r="S186" s="143"/>
      <c r="V186" s="144"/>
      <c r="W186" s="145"/>
    </row>
    <row r="187" spans="1:23" ht="16.5" customHeight="1">
      <c r="C187" s="423" t="e">
        <f>VLOOKUP(B187,'Data pick slip'!B:F,5,FALSE)</f>
        <v>#N/A</v>
      </c>
      <c r="F187" s="170"/>
      <c r="K187" s="140" t="e">
        <f>VLOOKUP(J187,Stock_list!A:R,18,FALSE)</f>
        <v>#N/A</v>
      </c>
      <c r="L187" s="139" t="e">
        <f>VLOOKUP(J187,Stock_list!A:S,17,FALSE)</f>
        <v>#N/A</v>
      </c>
      <c r="M187" s="51" t="e">
        <f>VLOOKUP(J187,Stock_list!A:T,16,FALSE)</f>
        <v>#N/A</v>
      </c>
      <c r="N187" s="4"/>
      <c r="R187" s="4" t="e">
        <f>VLOOKUP(J187,Stock_list!A:Y,25,FALSE)</f>
        <v>#N/A</v>
      </c>
      <c r="S187" s="143"/>
      <c r="V187" s="144"/>
      <c r="W187" s="145"/>
    </row>
    <row r="188" spans="1:23" ht="16.5" customHeight="1">
      <c r="C188" s="423" t="e">
        <f>VLOOKUP(B188,'Data pick slip'!B:F,5,FALSE)</f>
        <v>#N/A</v>
      </c>
      <c r="F188" s="170"/>
      <c r="L188" s="269"/>
      <c r="M188" s="51"/>
      <c r="N188" s="4"/>
      <c r="R188" s="4"/>
      <c r="S188" s="143"/>
      <c r="V188" s="144"/>
      <c r="W188" s="145"/>
    </row>
    <row r="189" spans="1:23" ht="16.5" customHeight="1">
      <c r="C189" s="423" t="e">
        <f>VLOOKUP(B189,'Data pick slip'!B:F,5,FALSE)</f>
        <v>#N/A</v>
      </c>
      <c r="F189" s="170"/>
      <c r="L189" s="269"/>
      <c r="M189" s="51"/>
      <c r="N189" s="4"/>
      <c r="R189" s="4"/>
      <c r="S189" s="143"/>
      <c r="V189" s="144"/>
      <c r="W189" s="145"/>
    </row>
    <row r="190" spans="1:23" s="241" customFormat="1" ht="16.5" customHeight="1" thickBot="1">
      <c r="A190" s="473"/>
      <c r="B190" s="449"/>
      <c r="C190" s="426" t="e">
        <f>VLOOKUP(B190,'Data pick slip'!B:F,5,FALSE)</f>
        <v>#N/A</v>
      </c>
      <c r="D190" s="450"/>
      <c r="E190" s="451"/>
      <c r="F190" s="230"/>
      <c r="I190" s="476"/>
      <c r="J190" s="453"/>
      <c r="K190" s="455"/>
      <c r="L190" s="456"/>
      <c r="M190" s="457"/>
      <c r="N190" s="458"/>
      <c r="O190" s="455"/>
      <c r="P190" s="452"/>
      <c r="Q190" s="454"/>
      <c r="R190" s="8"/>
      <c r="S190" s="236"/>
      <c r="T190" s="237"/>
      <c r="U190" s="238"/>
      <c r="V190" s="239"/>
      <c r="W190" s="240"/>
    </row>
    <row r="191" spans="1:23" s="251" customFormat="1" ht="16.5" customHeight="1">
      <c r="A191" s="474"/>
      <c r="B191" s="439"/>
      <c r="C191" s="425"/>
      <c r="D191" s="440"/>
      <c r="E191" s="441"/>
      <c r="F191" s="365"/>
      <c r="I191" s="477"/>
      <c r="J191" s="443"/>
      <c r="K191" s="444"/>
      <c r="L191" s="445"/>
      <c r="M191" s="446"/>
      <c r="N191" s="447"/>
      <c r="O191" s="444"/>
      <c r="P191" s="442"/>
      <c r="Q191" s="199"/>
      <c r="R191" s="12"/>
      <c r="S191" s="202"/>
      <c r="T191" s="249"/>
      <c r="U191" s="203"/>
      <c r="V191" s="448"/>
      <c r="W191" s="374"/>
    </row>
    <row r="192" spans="1:23" s="251" customFormat="1" ht="16.5" customHeight="1">
      <c r="A192" s="472"/>
      <c r="B192" s="428"/>
      <c r="C192" s="427"/>
      <c r="D192" s="197"/>
      <c r="E192" s="305"/>
      <c r="F192" s="198"/>
      <c r="G192" s="146"/>
      <c r="I192" s="478">
        <f>SUM(I13:I191)</f>
        <v>2903</v>
      </c>
      <c r="J192" s="200"/>
      <c r="K192" s="245"/>
      <c r="L192" s="201"/>
      <c r="M192" s="247" t="e">
        <f>#REF!+#REF!+#REF!+#REF!+#REF!+#REF!</f>
        <v>#REF!</v>
      </c>
      <c r="N192" s="246"/>
      <c r="O192" s="247">
        <f>SUM(O13:O191)</f>
        <v>1707</v>
      </c>
      <c r="P192" s="244">
        <f>SUM(P13:P191)</f>
        <v>0</v>
      </c>
      <c r="Q192" s="244">
        <f>SUM(Q13:Q191)</f>
        <v>0</v>
      </c>
      <c r="R192" s="248"/>
      <c r="S192" s="202"/>
      <c r="T192" s="249"/>
      <c r="U192" s="203"/>
      <c r="V192" s="203"/>
      <c r="W192" s="250"/>
    </row>
    <row r="193" spans="1:23" s="251" customFormat="1" ht="16.5" customHeight="1">
      <c r="A193" s="472"/>
      <c r="B193" s="428"/>
      <c r="C193" s="428"/>
      <c r="D193" s="197"/>
      <c r="E193" s="305"/>
      <c r="F193" s="198"/>
      <c r="G193" s="146"/>
      <c r="I193" s="478"/>
      <c r="J193" s="200"/>
      <c r="K193" s="245"/>
      <c r="L193" s="201"/>
      <c r="M193" s="247"/>
      <c r="N193" s="246"/>
      <c r="O193" s="247"/>
      <c r="P193" s="244"/>
      <c r="Q193" s="244"/>
      <c r="R193" s="248"/>
      <c r="S193" s="202"/>
      <c r="T193" s="249"/>
      <c r="U193" s="203"/>
      <c r="V193" s="203"/>
      <c r="W193" s="250"/>
    </row>
    <row r="194" spans="1:23" ht="16.5" customHeight="1">
      <c r="C194" s="423"/>
      <c r="R194" s="4"/>
      <c r="S194" s="143"/>
    </row>
    <row r="195" spans="1:23" ht="16.5" customHeight="1">
      <c r="C195" s="423"/>
      <c r="R195" s="4"/>
      <c r="S195" s="143"/>
    </row>
    <row r="196" spans="1:23" ht="16.5" customHeight="1">
      <c r="C196" s="423"/>
      <c r="O196" s="253"/>
      <c r="R196" s="4"/>
      <c r="S196" s="143"/>
    </row>
    <row r="197" spans="1:23">
      <c r="C197" s="423"/>
      <c r="K197" s="343"/>
      <c r="L197" s="343"/>
      <c r="M197" s="47"/>
      <c r="R197" s="4"/>
      <c r="S197" s="143"/>
    </row>
    <row r="198" spans="1:23" ht="16.5" customHeight="1">
      <c r="C198" s="423"/>
      <c r="K198" s="343"/>
      <c r="L198" s="343"/>
      <c r="M198" s="47"/>
      <c r="O198" s="253"/>
      <c r="R198" s="4"/>
      <c r="S198" s="143"/>
    </row>
    <row r="199" spans="1:23">
      <c r="C199" s="423"/>
      <c r="K199" s="313"/>
      <c r="L199" s="344"/>
      <c r="M199" s="344"/>
      <c r="S199" s="143"/>
    </row>
    <row r="200" spans="1:23">
      <c r="K200" s="313"/>
      <c r="L200" s="344"/>
      <c r="M200" s="344"/>
      <c r="O200" s="253"/>
      <c r="S200" s="143"/>
    </row>
    <row r="201" spans="1:23">
      <c r="K201" s="313"/>
      <c r="L201" s="344"/>
      <c r="M201" s="344"/>
      <c r="S201" s="133"/>
    </row>
    <row r="202" spans="1:23">
      <c r="B202" s="430"/>
      <c r="C202" s="430"/>
      <c r="D202" s="219"/>
      <c r="E202" s="255"/>
      <c r="F202" s="221"/>
      <c r="I202" s="475"/>
      <c r="J202" s="223"/>
      <c r="K202" s="313"/>
      <c r="L202" s="344"/>
      <c r="M202" s="344"/>
      <c r="N202" s="10"/>
      <c r="O202" s="225"/>
      <c r="P202" s="222"/>
      <c r="R202" s="4"/>
      <c r="S202" s="133"/>
      <c r="V202" s="144"/>
      <c r="W202" s="145"/>
    </row>
    <row r="203" spans="1:23">
      <c r="C203" s="423"/>
      <c r="F203" s="221"/>
      <c r="I203" s="475"/>
      <c r="J203" s="223"/>
      <c r="K203" s="313"/>
      <c r="L203" s="344"/>
      <c r="M203" s="344"/>
      <c r="R203" s="4"/>
    </row>
    <row r="204" spans="1:23">
      <c r="C204" s="423"/>
      <c r="F204" s="221"/>
      <c r="I204" s="475"/>
      <c r="J204" s="223"/>
      <c r="K204" s="313"/>
      <c r="L204" s="344"/>
      <c r="M204" s="344"/>
      <c r="R204" s="4"/>
    </row>
    <row r="205" spans="1:23">
      <c r="K205" s="313"/>
      <c r="L205" s="344"/>
      <c r="M205" s="344"/>
    </row>
    <row r="206" spans="1:23">
      <c r="K206" s="313"/>
      <c r="L206" s="344"/>
      <c r="M206" s="344"/>
    </row>
    <row r="207" spans="1:23">
      <c r="K207" s="313"/>
      <c r="L207" s="344"/>
      <c r="M207" s="344"/>
    </row>
    <row r="208" spans="1:23">
      <c r="K208" s="313"/>
      <c r="L208" s="344"/>
      <c r="M208" s="344"/>
    </row>
    <row r="209" spans="11:12">
      <c r="K209" s="313"/>
      <c r="L209" s="344"/>
    </row>
    <row r="210" spans="11:12">
      <c r="K210" s="313"/>
      <c r="L210" s="344"/>
    </row>
  </sheetData>
  <autoFilter ref="A1:V210" xr:uid="{1E24E28A-D884-4652-905A-C9494E881EBF}"/>
  <phoneticPr fontId="3" type="noConversion"/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52A0C8C8-89B4-4DAC-985A-03AF281EA59B}">
          <x14:formula1>
            <xm:f>'Data pick slip'!$B$1:$B$72</xm:f>
          </x14:formula1>
          <xm:sqref>B1:B1048576</xm:sqref>
        </x14:dataValidation>
        <x14:dataValidation type="list" allowBlank="1" showInputMessage="1" showErrorMessage="1" xr:uid="{610D58BF-FD57-4A45-A0D9-51D88B2171BF}">
          <x14:formula1>
            <xm:f>'Data pick slip'!$I$2:$I$3</xm:f>
          </x14:formula1>
          <xm:sqref>F1:F1048576</xm:sqref>
        </x14:dataValidation>
        <x14:dataValidation type="list" allowBlank="1" showInputMessage="1" showErrorMessage="1" xr:uid="{08B03452-DACF-4B86-A51E-D6F07D28D114}">
          <x14:formula1>
            <xm:f>'Data pick slip'!$H$2:$H$7</xm:f>
          </x14:formula1>
          <xm:sqref>G1:G1048576</xm:sqref>
        </x14:dataValidation>
        <x14:dataValidation type="list" allowBlank="1" showInputMessage="1" showErrorMessage="1" xr:uid="{7834E2B0-0922-4B8E-BE71-D6B41094775F}">
          <x14:formula1>
            <xm:f>'Data pick slip'!$J$2:$J$6</xm:f>
          </x14:formula1>
          <xm:sqref>H1:H1048576</xm:sqref>
        </x14:dataValidation>
        <x14:dataValidation type="list" allowBlank="1" showInputMessage="1" showErrorMessage="1" xr:uid="{910BBAB3-4321-4E9E-829A-F424424B8984}">
          <x14:formula1>
            <xm:f>'Data pick slip'!$G$2:$G$10</xm:f>
          </x14:formula1>
          <xm:sqref>A1:A1048576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10752-3451-4252-B233-951C98189482}">
  <sheetPr codeName="Sheet7"/>
  <dimension ref="A2:AN5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15" sqref="A15:XFD15"/>
    </sheetView>
  </sheetViews>
  <sheetFormatPr defaultColWidth="9" defaultRowHeight="14.25"/>
  <cols>
    <col min="1" max="1" width="12.25" style="65" customWidth="1"/>
    <col min="2" max="2" width="9.375" style="65" customWidth="1"/>
    <col min="3" max="3" width="7.25" style="65" customWidth="1"/>
    <col min="4" max="4" width="8.5" style="65" customWidth="1"/>
    <col min="5" max="5" width="7" style="65" customWidth="1"/>
    <col min="6" max="7" width="7.375" style="65" customWidth="1"/>
    <col min="8" max="9" width="7.25" style="65" customWidth="1"/>
    <col min="10" max="10" width="7.375" style="65" customWidth="1"/>
    <col min="11" max="11" width="8" style="65" customWidth="1"/>
    <col min="12" max="12" width="7.375" style="65" customWidth="1"/>
    <col min="13" max="13" width="8" style="65" customWidth="1"/>
    <col min="14" max="14" width="7.75" style="65" customWidth="1"/>
    <col min="15" max="16" width="7.25" style="65" customWidth="1"/>
    <col min="17" max="17" width="8.5" style="65" customWidth="1"/>
    <col min="18" max="18" width="9.375" style="65" customWidth="1"/>
    <col min="19" max="23" width="8" style="65" customWidth="1"/>
    <col min="24" max="24" width="9.75" style="65" customWidth="1"/>
    <col min="25" max="25" width="7.75" style="65" customWidth="1"/>
    <col min="26" max="26" width="10" style="65" customWidth="1"/>
    <col min="27" max="27" width="7.375" style="65" customWidth="1"/>
    <col min="28" max="29" width="6.375" style="65" customWidth="1"/>
    <col min="30" max="30" width="8.5" style="65" customWidth="1"/>
    <col min="31" max="31" width="7.25" style="65" customWidth="1"/>
    <col min="32" max="32" width="6.25" style="65" customWidth="1"/>
    <col min="33" max="33" width="6" style="65" customWidth="1"/>
    <col min="34" max="34" width="7.375" style="18" customWidth="1"/>
    <col min="35" max="35" width="6.25" style="18" customWidth="1"/>
    <col min="36" max="36" width="6.375" style="18" customWidth="1"/>
    <col min="37" max="37" width="5.75" style="18" customWidth="1"/>
    <col min="38" max="38" width="9.375" style="18" customWidth="1"/>
    <col min="39" max="40" width="9" style="18"/>
    <col min="41" max="41" width="7.375" style="1" customWidth="1"/>
    <col min="42" max="16384" width="9" style="1"/>
  </cols>
  <sheetData>
    <row r="2" spans="1:40" ht="18" customHeight="1" thickBot="1">
      <c r="A2" s="878" t="s">
        <v>4219</v>
      </c>
      <c r="B2" s="883" t="s">
        <v>4213</v>
      </c>
      <c r="C2" s="884"/>
      <c r="D2" s="885"/>
      <c r="E2" s="881" t="s">
        <v>4207</v>
      </c>
      <c r="F2" s="882"/>
      <c r="G2" s="881" t="s">
        <v>4208</v>
      </c>
      <c r="H2" s="882"/>
      <c r="I2" s="876" t="s">
        <v>2797</v>
      </c>
      <c r="J2" s="877"/>
      <c r="K2" s="876" t="s">
        <v>258</v>
      </c>
      <c r="L2" s="877"/>
      <c r="M2" s="528"/>
      <c r="N2" s="528"/>
      <c r="O2" s="529"/>
      <c r="P2" s="511"/>
      <c r="Q2" s="534" t="s">
        <v>4234</v>
      </c>
      <c r="R2" s="534" t="s">
        <v>4234</v>
      </c>
      <c r="S2" s="462"/>
      <c r="T2" s="462"/>
      <c r="U2" s="462"/>
      <c r="V2" s="462"/>
      <c r="W2" s="534" t="s">
        <v>4234</v>
      </c>
      <c r="X2" s="534" t="s">
        <v>4234</v>
      </c>
      <c r="Y2" s="534" t="s">
        <v>4234</v>
      </c>
      <c r="Z2" s="879" t="s">
        <v>4220</v>
      </c>
      <c r="AA2" s="883" t="s">
        <v>4213</v>
      </c>
      <c r="AB2" s="884"/>
      <c r="AC2" s="885"/>
      <c r="AD2" s="881" t="s">
        <v>4207</v>
      </c>
      <c r="AE2" s="882"/>
      <c r="AF2" s="881" t="s">
        <v>4208</v>
      </c>
      <c r="AG2" s="882"/>
      <c r="AH2" s="876" t="s">
        <v>2797</v>
      </c>
      <c r="AI2" s="877"/>
      <c r="AJ2" s="876" t="s">
        <v>258</v>
      </c>
      <c r="AK2" s="877"/>
      <c r="AL2" s="466"/>
      <c r="AM2" s="466"/>
      <c r="AN2" s="467"/>
    </row>
    <row r="3" spans="1:40" s="461" customFormat="1" ht="54">
      <c r="A3" s="878"/>
      <c r="B3" s="463" t="s">
        <v>4214</v>
      </c>
      <c r="C3" s="464" t="s">
        <v>4187</v>
      </c>
      <c r="D3" s="463" t="s">
        <v>4189</v>
      </c>
      <c r="E3" s="464" t="s">
        <v>4187</v>
      </c>
      <c r="F3" s="464" t="s">
        <v>4189</v>
      </c>
      <c r="G3" s="464" t="s">
        <v>4205</v>
      </c>
      <c r="H3" s="464" t="s">
        <v>4206</v>
      </c>
      <c r="I3" s="463" t="s">
        <v>4209</v>
      </c>
      <c r="J3" s="463" t="s">
        <v>4210</v>
      </c>
      <c r="K3" s="463" t="s">
        <v>4211</v>
      </c>
      <c r="L3" s="463" t="s">
        <v>4210</v>
      </c>
      <c r="M3" s="463" t="s">
        <v>239</v>
      </c>
      <c r="N3" s="463" t="s">
        <v>4194</v>
      </c>
      <c r="O3" s="505" t="s">
        <v>2838</v>
      </c>
      <c r="P3" s="512" t="s">
        <v>235</v>
      </c>
      <c r="Q3" s="513" t="s">
        <v>4240</v>
      </c>
      <c r="R3" s="513" t="s">
        <v>4239</v>
      </c>
      <c r="S3" s="514" t="s">
        <v>4228</v>
      </c>
      <c r="T3" s="514" t="s">
        <v>4229</v>
      </c>
      <c r="U3" s="514" t="s">
        <v>4230</v>
      </c>
      <c r="V3" s="514" t="s">
        <v>4231</v>
      </c>
      <c r="W3" s="513" t="s">
        <v>4232</v>
      </c>
      <c r="X3" s="513" t="s">
        <v>4233</v>
      </c>
      <c r="Y3" s="515" t="s">
        <v>4236</v>
      </c>
      <c r="Z3" s="880"/>
      <c r="AA3" s="463" t="s">
        <v>4214</v>
      </c>
      <c r="AB3" s="464" t="s">
        <v>4187</v>
      </c>
      <c r="AC3" s="463" t="s">
        <v>4189</v>
      </c>
      <c r="AD3" s="464" t="s">
        <v>4187</v>
      </c>
      <c r="AE3" s="464" t="s">
        <v>4189</v>
      </c>
      <c r="AF3" s="464" t="s">
        <v>4205</v>
      </c>
      <c r="AG3" s="464" t="s">
        <v>4206</v>
      </c>
      <c r="AH3" s="463" t="s">
        <v>4209</v>
      </c>
      <c r="AI3" s="463" t="s">
        <v>4210</v>
      </c>
      <c r="AJ3" s="463" t="s">
        <v>4212</v>
      </c>
      <c r="AK3" s="463" t="s">
        <v>4210</v>
      </c>
      <c r="AL3" s="463" t="s">
        <v>4260</v>
      </c>
      <c r="AM3" s="463" t="s">
        <v>4194</v>
      </c>
      <c r="AN3" s="463" t="s">
        <v>2838</v>
      </c>
    </row>
    <row r="4" spans="1:40" ht="18">
      <c r="A4" s="468">
        <v>301</v>
      </c>
      <c r="B4" s="487">
        <f>C4+D4</f>
        <v>318</v>
      </c>
      <c r="C4" s="487">
        <f>E4-G4</f>
        <v>45</v>
      </c>
      <c r="D4" s="487">
        <f>F4-H4</f>
        <v>273</v>
      </c>
      <c r="E4" s="482">
        <f>SUMIFS(Nozzle!$I$1:$I93,Nozzle!$A$1:$A$93,"C49",Nozzle!$B$1:$B$93,"301",Nozzle!$F$1:$F$93,"ESEL",Nozzle!$H$1:$H$93,"STK",Nozzle!$G$1:$G$93,"随机")</f>
        <v>680</v>
      </c>
      <c r="F4" s="482">
        <f>SUMIFS(Nozzle!$I$1:$I93,Nozzle!$A$1:$A$93,"C49",Nozzle!$B$1:$B$93,"301",Nozzle!$F$1:$F$93,"ESEL",Nozzle!$H$1:$H$93,"STK",Nozzle!$G$1:$G$93,"additional")</f>
        <v>388</v>
      </c>
      <c r="G4" s="482">
        <f>SUMIFS(Nozzle!$O$94:$O$190,Nozzle!$A$94:$A$190,"C49",Nozzle!$B$94:$B$190,"301",Nozzle!$F$94:$F$190,"ESEL",Nozzle!$G$94:$G$190,"随机")</f>
        <v>635</v>
      </c>
      <c r="H4" s="482">
        <f>SUMIFS(Nozzle!$O$94:$O$190,Nozzle!$A$94:$A$190,"C49",Nozzle!$B$94:$B$190,"301",Nozzle!$F$94:$F$190,"ESEL",Nozzle!$G$94:$G$190,"additional")</f>
        <v>115</v>
      </c>
      <c r="I4" s="483">
        <f>SUMIFS(Nozzle!$I$1:$I93,Nozzle!$A$1:$A$93,"C49",Nozzle!$B$1:$B$93,"301",Nozzle!$F$1:$F$93,"ESEL",Nozzle!$H$1:$H$93,"Incoming",Nozzle!$G$1:$G$93,"随机")</f>
        <v>135</v>
      </c>
      <c r="J4" s="483">
        <f>SUMIFS(Nozzle!$I$1:$I93,Nozzle!$A$1:$A$93,"C49",Nozzle!$B$1:$B$93,"301",Nozzle!$F$1:$F$93,"ESEL",Nozzle!$H$1:$H$93,"Incoming",Nozzle!$G$1:$G$93,"additional")</f>
        <v>0</v>
      </c>
      <c r="K4" s="483">
        <f>SUMIFS(Nozzle!$I$1:$I93,Nozzle!$A$1:$A$93,"C49",Nozzle!$B$1:$B$93,"301",Nozzle!$F$1:$F$93,"ESEL",Nozzle!$H$1:$H$93,"TBA",Nozzle!$G$1:$G$93,"随机")</f>
        <v>150</v>
      </c>
      <c r="L4" s="483">
        <f>SUMIFS(Nozzle!$I$1:$I93,Nozzle!$A$1:$A$93,"C49",Nozzle!$B$1:$B$93,"301",Nozzle!$F$1:$F$93,"ESEL",Nozzle!$H$1:$H$93,"TBA",Nozzle!$G$1:$G$93,"additional")</f>
        <v>0</v>
      </c>
      <c r="M4" s="484">
        <f>SUMIFS(Nozzle!$P$94:$P$190,Nozzle!$A$94:$A$190,"C49",Nozzle!$B$94:$B$190,"301",Nozzle!$F$94:$F$190,"ESEL")</f>
        <v>0</v>
      </c>
      <c r="N4" s="485">
        <v>0</v>
      </c>
      <c r="O4" s="506">
        <f>B4+I4+J4+K4+L4-M4-N4</f>
        <v>603</v>
      </c>
      <c r="P4" s="526">
        <v>301</v>
      </c>
      <c r="Q4" s="524">
        <f>O4+AN4+I33+S33+AC33</f>
        <v>562</v>
      </c>
      <c r="R4" s="524">
        <f t="shared" ref="R4:R25" si="0">O4+AN4+I33+S33+AC33-C4-AB4</f>
        <v>497</v>
      </c>
      <c r="S4" s="519">
        <f t="shared" ref="S4:S25" si="1">D4+B33+L33+V33</f>
        <v>252</v>
      </c>
      <c r="T4" s="519">
        <f>AC4</f>
        <v>0</v>
      </c>
      <c r="U4" s="519">
        <f>C4</f>
        <v>45</v>
      </c>
      <c r="V4" s="519">
        <f>AB4</f>
        <v>20</v>
      </c>
      <c r="W4" s="523">
        <f>S4+U4</f>
        <v>297</v>
      </c>
      <c r="X4" s="523">
        <f>T4+V4</f>
        <v>20</v>
      </c>
      <c r="Y4" s="530">
        <f>D4+AC4+B33+L33+V33-AL4-M4-G33-Q33-AA33</f>
        <v>252</v>
      </c>
      <c r="Z4" s="507">
        <v>301</v>
      </c>
      <c r="AA4" s="487">
        <f>AB4+AC4</f>
        <v>20</v>
      </c>
      <c r="AB4" s="487">
        <f>AD4-AF4</f>
        <v>20</v>
      </c>
      <c r="AC4" s="487">
        <f>AE4-AG4</f>
        <v>0</v>
      </c>
      <c r="AD4" s="482">
        <f>SUMIFS(Nozzle!$I$1:$I93,Nozzle!$A$1:$A$93,"C49",Nozzle!$B$1:$B$93,"301",Nozzle!$F$1:$F$93,"ESSZ",Nozzle!$H$1:$H$93,"STK",Nozzle!$G$1:$G$93,"随机")</f>
        <v>90</v>
      </c>
      <c r="AE4" s="482">
        <f>SUMIFS(Nozzle!$I$1:$I93,Nozzle!$A$1:$A$93,"C49",Nozzle!$B$1:$B$93,"301",Nozzle!$F$1:$F$93,"ESSZ",Nozzle!$H$1:$H$93,"STK",Nozzle!$G$1:$G$93,"additional")</f>
        <v>9</v>
      </c>
      <c r="AF4" s="482">
        <f>SUMIFS(Nozzle!$O$94:$O$190,Nozzle!$A$94:$A$190,"C49",Nozzle!$B$94:$B$190,"301",Nozzle!$F$94:$F$190,"ESSZ",Nozzle!$G$94:$G$190,"随机")</f>
        <v>70</v>
      </c>
      <c r="AG4" s="482">
        <f>SUMIFS(Nozzle!$O$94:$O$190,Nozzle!$A$94:$A$190,"C49",Nozzle!$B$94:$B$190,"301",Nozzle!$F$94:$F$190,"ESSZ",Nozzle!$G$94:$G$190,"additional")</f>
        <v>9</v>
      </c>
      <c r="AH4" s="483">
        <f>SUMIFS(Nozzle!$I$1:$I93,Nozzle!$A$1:$A$93,"C49",Nozzle!$B$1:$B$93,"301",Nozzle!$F$1:$F$93,"ESSZ",Nozzle!$H$1:$H$93,"Incoming",Nozzle!$G$1:$G$93,"随机")</f>
        <v>0</v>
      </c>
      <c r="AI4" s="483">
        <f>SUMIFS(Nozzle!$I$1:$I93,Nozzle!$A$1:$A$93,"C49",Nozzle!$B$1:$B$93,"301",Nozzle!$F$1:$F$93,"ESSZ",Nozzle!$H$1:$H$93,"Incoming",Nozzle!$G$1:$G$93,"additional")</f>
        <v>0</v>
      </c>
      <c r="AJ4" s="483">
        <f>SUMIFS(Nozzle!$I$1:$I93,Nozzle!$A$1:$A$93,"C49",Nozzle!$B$1:$B$93,"301",Nozzle!$F$1:$F$93,"ESSZ",Nozzle!$H$1:$H$93,"TBA",Nozzle!$G$1:$G$93,"随机")</f>
        <v>0</v>
      </c>
      <c r="AK4" s="483">
        <f>SUMIFS(Nozzle!$I$1:$I93,Nozzle!$A$1:$A$93,"C49",Nozzle!$B$1:$B$93,"301",Nozzle!$F$1:$F$93,"ESSZ",Nozzle!$H$1:$H$93,"TBA",Nozzle!$G$1:$G$93,"additional")</f>
        <v>0</v>
      </c>
      <c r="AL4" s="484">
        <f>SUMIFS(Nozzle!$P$94:$P$190,Nozzle!$A$94:$A$190,"C49",Nozzle!$B$94:$B$190,"301",Nozzle!$F$94:$F$190,"ESSZ")</f>
        <v>0</v>
      </c>
      <c r="AM4" s="485">
        <v>0</v>
      </c>
      <c r="AN4" s="486">
        <f>AA4+AH4+AI4+AJ4+AK4-AL4-AM4</f>
        <v>20</v>
      </c>
    </row>
    <row r="5" spans="1:40" ht="18">
      <c r="A5" s="468">
        <v>302</v>
      </c>
      <c r="B5" s="487">
        <f t="shared" ref="B5:B22" si="2">C5+D5</f>
        <v>196</v>
      </c>
      <c r="C5" s="487">
        <f t="shared" ref="C5:C22" si="3">E5-G5</f>
        <v>40</v>
      </c>
      <c r="D5" s="487">
        <f t="shared" ref="D5:D22" si="4">F5-H5</f>
        <v>156</v>
      </c>
      <c r="E5" s="482">
        <f>SUMIFS(Nozzle!$I$1:$I93,Nozzle!$A$1:$A$93,"C49",Nozzle!$B$1:$B$93,"302",Nozzle!$F$1:$F$93,"ESEL",Nozzle!$H$1:$H$93,"STK",Nozzle!$G$1:$G$93,"随机")</f>
        <v>150</v>
      </c>
      <c r="F5" s="482">
        <f>SUMIFS(Nozzle!$I$1:$I93,Nozzle!$A$1:$A$93,"C49",Nozzle!$B$1:$B$93,"302",Nozzle!$F$1:$F$93,"ESEL",Nozzle!$H$1:$H$93,"STK",Nozzle!$G$1:$G$93,"additional")</f>
        <v>338</v>
      </c>
      <c r="G5" s="482">
        <f>SUMIFS(Nozzle!$O$94:$O$190,Nozzle!$A$94:$A$190,"C49",Nozzle!$B$94:$B$190,"302",Nozzle!$F$94:$F$190,"ESEL",Nozzle!$G$94:$G$190,"随机")</f>
        <v>110</v>
      </c>
      <c r="H5" s="482">
        <f>SUMIFS(Nozzle!$O$94:$O$190,Nozzle!$A$94:$A$190,"C49",Nozzle!$B$94:$B$190,"302",Nozzle!$F$94:$F$190,"ESEL",Nozzle!$G$94:$G$190,"additional")</f>
        <v>182</v>
      </c>
      <c r="I5" s="483">
        <f>SUMIFS(Nozzle!$I$1:$I93,Nozzle!$A$1:$A$93,"C49",Nozzle!$B$1:$B$93,"302",Nozzle!$F$1:$F$93,"ESEL",Nozzle!$H$1:$H$93,"Incoming",Nozzle!$G$1:$G$93,"随机")</f>
        <v>25</v>
      </c>
      <c r="J5" s="483">
        <f>SUMIFS(Nozzle!$I$1:$I93,Nozzle!$A$1:$A$93,"C49",Nozzle!$B$1:$B$93,"302",Nozzle!$F$1:$F$93,"ESEL",Nozzle!$H$1:$H$93,"Incoming",Nozzle!$G$1:$G$93,"additional")</f>
        <v>0</v>
      </c>
      <c r="K5" s="483">
        <f>SUMIFS(Nozzle!$I$1:$I93,Nozzle!$A$1:$A$93,"C49",Nozzle!$B$1:$B$93,"302",Nozzle!$F$1:$F$93,"ESEL",Nozzle!$H$1:$H$93,"TBA",Nozzle!$G$1:$G$93,"随机")</f>
        <v>65</v>
      </c>
      <c r="L5" s="483">
        <f>SUMIFS(Nozzle!$I$1:$I93,Nozzle!$A$1:$A$93,"C49",Nozzle!$B$1:$B$93,"302",Nozzle!$F$1:$F$93,"ESEL",Nozzle!$H$1:$H$93,"TBA",Nozzle!$G$1:$G$93,"additional")</f>
        <v>0</v>
      </c>
      <c r="M5" s="484">
        <f>SUMIFS(Nozzle!$P$94:$P$190,Nozzle!$A$94:$A$190,"C49",Nozzle!$B$94:$B$190,"302",Nozzle!$F$94:$F$190,"ESEL")</f>
        <v>0</v>
      </c>
      <c r="N5" s="485">
        <v>0</v>
      </c>
      <c r="O5" s="506">
        <f>B5+I5+J5+K5+L5-M5-N5</f>
        <v>286</v>
      </c>
      <c r="P5" s="526">
        <v>302</v>
      </c>
      <c r="Q5" s="524">
        <f>O5+AN5+I34+S34+AC34</f>
        <v>215</v>
      </c>
      <c r="R5" s="524">
        <f t="shared" si="0"/>
        <v>175</v>
      </c>
      <c r="S5" s="519">
        <f t="shared" si="1"/>
        <v>125</v>
      </c>
      <c r="T5" s="519">
        <f t="shared" ref="T5:T25" si="5">AC5</f>
        <v>0</v>
      </c>
      <c r="U5" s="519">
        <f t="shared" ref="U5:U25" si="6">C5</f>
        <v>40</v>
      </c>
      <c r="V5" s="519">
        <f t="shared" ref="V5:V25" si="7">AB5</f>
        <v>0</v>
      </c>
      <c r="W5" s="523">
        <f t="shared" ref="W5:W25" si="8">S5+U5</f>
        <v>165</v>
      </c>
      <c r="X5" s="523">
        <f t="shared" ref="X5:X25" si="9">T5+V5</f>
        <v>0</v>
      </c>
      <c r="Y5" s="530">
        <f t="shared" ref="Y5:Y25" si="10">D5+AC5+B34+L34+V34-AL5-M5-G34-Q34-AA34</f>
        <v>125</v>
      </c>
      <c r="Z5" s="507">
        <v>302</v>
      </c>
      <c r="AA5" s="487">
        <f t="shared" ref="AA5:AA22" si="11">AB5+AC5</f>
        <v>0</v>
      </c>
      <c r="AB5" s="487">
        <f t="shared" ref="AB5:AB22" si="12">AD5-AF5</f>
        <v>0</v>
      </c>
      <c r="AC5" s="487">
        <f t="shared" ref="AC5:AC22" si="13">AE5-AG5</f>
        <v>0</v>
      </c>
      <c r="AD5" s="482">
        <f>SUMIFS(Nozzle!$I$1:$I93,Nozzle!$A$1:$A$93,"C49",Nozzle!$B$1:$B$93,"302",Nozzle!$F$1:$F$93,"ESSZ",Nozzle!$H$1:$H$93,"STK",Nozzle!$G$1:$G$93,"随机")</f>
        <v>10</v>
      </c>
      <c r="AE5" s="482">
        <f>SUMIFS(Nozzle!$I$1:$I93,Nozzle!$A$1:$A$93,"C49",Nozzle!$B$1:$B$93,"302",Nozzle!$F$1:$F$93,"ESSZ",Nozzle!$H$1:$H$93,"STK",Nozzle!$G$1:$G$93,"additional")</f>
        <v>0</v>
      </c>
      <c r="AF5" s="482">
        <f>SUMIFS(Nozzle!$O$94:$O$190,Nozzle!$A$94:$A$190,"C49",Nozzle!$B$94:$B$190,"302",Nozzle!$F$94:$F$190,"ESSZ",Nozzle!$G$94:$G$190,"随机")</f>
        <v>10</v>
      </c>
      <c r="AG5" s="482">
        <f>SUMIFS(Nozzle!$O$94:$O$190,Nozzle!$A$94:$A$190,"C49",Nozzle!$B$94:$B$190,"302",Nozzle!$F$94:$F$190,"ESSZ",Nozzle!$G$94:$G$190,"additional")</f>
        <v>0</v>
      </c>
      <c r="AH5" s="483">
        <f>SUMIFS(Nozzle!$I$1:$I93,Nozzle!$A$1:$A$93,"C49",Nozzle!$B$1:$B$93,"302",Nozzle!$F$1:$F$93,"ESSZ",Nozzle!$H$1:$H$93,"Incoming",Nozzle!$G$1:$G$93,"随机")</f>
        <v>0</v>
      </c>
      <c r="AI5" s="483">
        <f>SUMIFS(Nozzle!$I$1:$I93,Nozzle!$A$1:$A$93,"C49",Nozzle!$B$1:$B$93,"302",Nozzle!$F$1:$F$93,"ESSZ",Nozzle!$H$1:$H$93,"Incoming",Nozzle!$G$1:$G$93,"additional")</f>
        <v>0</v>
      </c>
      <c r="AJ5" s="483">
        <f>SUMIFS(Nozzle!$I$1:$I93,Nozzle!$A$1:$A$93,"C49",Nozzle!$B$1:$B$93,"302",Nozzle!$F$1:$F$93,"ESSZ",Nozzle!$H$1:$H$93,"TBA",Nozzle!$G$1:$G$93,"随机")</f>
        <v>0</v>
      </c>
      <c r="AK5" s="483">
        <f>SUMIFS(Nozzle!$I$1:$I93,Nozzle!$A$1:$A$93,"C49",Nozzle!$B$1:$B$93,"302",Nozzle!$F$1:$F$93,"ESSZ",Nozzle!$H$1:$H$93,"TBA",Nozzle!$G$1:$G$93,"additional")</f>
        <v>0</v>
      </c>
      <c r="AL5" s="484">
        <f>SUMIFS(Nozzle!$P$94:$P$190,Nozzle!$A$94:$A$190,"C49",Nozzle!$B$94:$B$190,"302",Nozzle!$F$94:$F$190,"ESSZ")</f>
        <v>0</v>
      </c>
      <c r="AM5" s="485">
        <v>0</v>
      </c>
      <c r="AN5" s="486">
        <f t="shared" ref="AN5:AN22" si="14">AA5+AH5+AI5+AJ5+AK5-AL5-AM5</f>
        <v>0</v>
      </c>
    </row>
    <row r="6" spans="1:40" ht="18">
      <c r="A6" s="468">
        <v>303</v>
      </c>
      <c r="B6" s="487">
        <f t="shared" si="2"/>
        <v>110</v>
      </c>
      <c r="C6" s="487">
        <f t="shared" si="3"/>
        <v>55</v>
      </c>
      <c r="D6" s="487">
        <f t="shared" si="4"/>
        <v>55</v>
      </c>
      <c r="E6" s="482">
        <f>SUMIFS(Nozzle!$I$1:$I93,Nozzle!$A$1:$A$93,"C49",Nozzle!$B$1:$B$93,"303",Nozzle!$F$1:$F$93,"ESEL",Nozzle!$H$1:$H$93,"STK",Nozzle!$G$1:$G$93,"随机")</f>
        <v>100</v>
      </c>
      <c r="F6" s="482">
        <f>SUMIFS(Nozzle!$I$1:$I93,Nozzle!$A$1:$A$93,"C49",Nozzle!$B$1:$B$93,"303",Nozzle!$F$1:$F$93,"ESEL",Nozzle!$H$1:$H$93,"STK",Nozzle!$G$1:$G$93,"additional")</f>
        <v>74</v>
      </c>
      <c r="G6" s="482">
        <f>SUMIFS(Nozzle!$O$94:$O$190,Nozzle!$A$94:$A$190,"C49",Nozzle!$B$94:$B$190,"303",Nozzle!$F$94:$F$190,"ESEL",Nozzle!$G$94:$G$190,"随机")</f>
        <v>45</v>
      </c>
      <c r="H6" s="482">
        <f>SUMIFS(Nozzle!$O$94:$O$190,Nozzle!$A$94:$A$190,"C49",Nozzle!$B$94:$B$190,"303",Nozzle!$F$94:$F$190,"ESEL",Nozzle!$G$94:$G$190,"additional")</f>
        <v>19</v>
      </c>
      <c r="I6" s="483">
        <f>SUMIFS(Nozzle!$I$1:$I93,Nozzle!$A$1:$A$93,"C49",Nozzle!$B$1:$B$93,"303",Nozzle!$F$1:$F$93,"ESEL",Nozzle!$H$1:$H$93,"Incoming",Nozzle!$G$1:$G$93,"随机")</f>
        <v>40</v>
      </c>
      <c r="J6" s="483">
        <f>SUMIFS(Nozzle!$I$1:$I93,Nozzle!$A$1:$A$93,"C49",Nozzle!$B$1:$B$93,"303",Nozzle!$F$1:$F$93,"ESEL",Nozzle!$H$1:$H$93,"Incoming",Nozzle!$G$1:$G$93,"additional")</f>
        <v>0</v>
      </c>
      <c r="K6" s="483">
        <f>SUMIFS(Nozzle!$I$1:$I93,Nozzle!$A$1:$A$93,"C49",Nozzle!$B$1:$B$93,"303",Nozzle!$F$1:$F$93,"ESEL",Nozzle!$H$1:$H$93,"TBA",Nozzle!$G$1:$G$93,"随机")</f>
        <v>85</v>
      </c>
      <c r="L6" s="483">
        <f>SUMIFS(Nozzle!$I$1:$I93,Nozzle!$A$1:$A$93,"C49",Nozzle!$B$1:$B$93,"303",Nozzle!$F$1:$F$93,"ESEL",Nozzle!$H$1:$H$93,"TBA",Nozzle!$G$1:$G$93,"additional")</f>
        <v>0</v>
      </c>
      <c r="M6" s="484">
        <f>SUMIFS(Nozzle!$P$94:$P$190,Nozzle!$A$94:$A$190,"C49",Nozzle!$B$94:$B$190,"303",Nozzle!$F$94:$F$190,"ESEL")</f>
        <v>0</v>
      </c>
      <c r="N6" s="485">
        <v>0</v>
      </c>
      <c r="O6" s="506">
        <f t="shared" ref="O6:O22" si="15">B6+I6+J6+K6+L6-M6-N6</f>
        <v>235</v>
      </c>
      <c r="P6" s="526">
        <v>303</v>
      </c>
      <c r="Q6" s="524">
        <f t="shared" ref="Q6:Q24" si="16">O6+AN6+I35+S35+AC35</f>
        <v>210</v>
      </c>
      <c r="R6" s="524">
        <f t="shared" si="0"/>
        <v>155</v>
      </c>
      <c r="S6" s="519">
        <f t="shared" si="1"/>
        <v>35</v>
      </c>
      <c r="T6" s="519">
        <f t="shared" si="5"/>
        <v>0</v>
      </c>
      <c r="U6" s="519">
        <f t="shared" si="6"/>
        <v>55</v>
      </c>
      <c r="V6" s="519">
        <f>AB6</f>
        <v>0</v>
      </c>
      <c r="W6" s="523">
        <f t="shared" si="8"/>
        <v>90</v>
      </c>
      <c r="X6" s="523">
        <f t="shared" si="9"/>
        <v>0</v>
      </c>
      <c r="Y6" s="530">
        <f t="shared" si="10"/>
        <v>35</v>
      </c>
      <c r="Z6" s="507">
        <v>303</v>
      </c>
      <c r="AA6" s="487">
        <f t="shared" si="11"/>
        <v>0</v>
      </c>
      <c r="AB6" s="487">
        <f t="shared" si="12"/>
        <v>0</v>
      </c>
      <c r="AC6" s="487">
        <f t="shared" si="13"/>
        <v>0</v>
      </c>
      <c r="AD6" s="482">
        <f>SUMIFS(Nozzle!$I$1:$I93,Nozzle!$A$1:$A$93,"C49",Nozzle!$B$1:$B$93,"303",Nozzle!$F$1:$F$93,"ESSZ",Nozzle!$H$1:$H$93,"STK",Nozzle!$G$1:$G$93,"随机")</f>
        <v>20</v>
      </c>
      <c r="AE6" s="482">
        <f>SUMIFS(Nozzle!$I$1:$I93,Nozzle!$A$1:$A$93,"C49",Nozzle!$B$1:$B$93,"303",Nozzle!$F$1:$F$93,"ESSZ",Nozzle!$H$1:$H$93,"STK",Nozzle!$G$1:$G$93,"additional")</f>
        <v>20</v>
      </c>
      <c r="AF6" s="482">
        <f>SUMIFS(Nozzle!$O$94:$O$190,Nozzle!$A$94:$A$190,"C49",Nozzle!$B$94:$B$190,"303",Nozzle!$F$94:$F$190,"ESSZ",Nozzle!$G$94:$G$190,"随机")</f>
        <v>20</v>
      </c>
      <c r="AG6" s="482">
        <f>SUMIFS(Nozzle!$O$94:$O$190,Nozzle!$A$94:$A$190,"C49",Nozzle!$B$94:$B$190,"303",Nozzle!$F$94:$F$190,"ESSZ",Nozzle!$G$94:$G$190,"additional")</f>
        <v>20</v>
      </c>
      <c r="AH6" s="483">
        <f>SUMIFS(Nozzle!$I$1:$I93,Nozzle!$A$1:$A$93,"C49",Nozzle!$B$1:$B$93,"303",Nozzle!$F$1:$F$93,"ESSZ",Nozzle!$H$1:$H$93,"Incoming",Nozzle!$G$1:$G$93,"随机")</f>
        <v>0</v>
      </c>
      <c r="AI6" s="483">
        <f>SUMIFS(Nozzle!$I$1:$I93,Nozzle!$A$1:$A$93,"C49",Nozzle!$B$1:$B$93,"303",Nozzle!$F$1:$F$93,"ESSZ",Nozzle!$H$1:$H$93,"Incoming",Nozzle!$G$1:$G$93,"additional")</f>
        <v>0</v>
      </c>
      <c r="AJ6" s="483">
        <f>SUMIFS(Nozzle!$I$1:$I93,Nozzle!$A$1:$A$93,"C49",Nozzle!$B$1:$B$93,"303",Nozzle!$F$1:$F$93,"ESSZ",Nozzle!$H$1:$H$93,"TBA",Nozzle!$G$1:$G$93,"随机")</f>
        <v>0</v>
      </c>
      <c r="AK6" s="483">
        <f>SUMIFS(Nozzle!$I$1:$I93,Nozzle!$A$1:$A$93,"C49",Nozzle!$B$1:$B$93,"303",Nozzle!$F$1:$F$93,"ESSZ",Nozzle!$H$1:$H$93,"TBA",Nozzle!$G$1:$G$93,"additional")</f>
        <v>0</v>
      </c>
      <c r="AL6" s="484">
        <f>SUMIFS(Nozzle!$P$94:$P$190,Nozzle!$A$94:$A$190,"C49",Nozzle!$B$94:$B$190,"303",Nozzle!$F$94:$F$190,"ESSZ")</f>
        <v>0</v>
      </c>
      <c r="AM6" s="485">
        <v>0</v>
      </c>
      <c r="AN6" s="486">
        <f t="shared" si="14"/>
        <v>0</v>
      </c>
    </row>
    <row r="7" spans="1:40" ht="18">
      <c r="A7" s="468">
        <v>304</v>
      </c>
      <c r="B7" s="487">
        <f t="shared" si="2"/>
        <v>19</v>
      </c>
      <c r="C7" s="487">
        <f t="shared" si="3"/>
        <v>0</v>
      </c>
      <c r="D7" s="487">
        <f t="shared" si="4"/>
        <v>19</v>
      </c>
      <c r="E7" s="482">
        <f>SUMIFS(Nozzle!$I$1:$I93,Nozzle!$A$1:$A$93,"C49",Nozzle!$B$1:$B$93,"304",Nozzle!$F$1:$F$93,"ESEL",Nozzle!$H$1:$H$93,"STK",Nozzle!$G$1:$G$93,"随机")</f>
        <v>0</v>
      </c>
      <c r="F7" s="482">
        <f>SUMIFS(Nozzle!$I$1:$I93,Nozzle!$A$1:$A$93,"C49",Nozzle!$B$1:$B$93,"304",Nozzle!$F$1:$F$93,"ESEL",Nozzle!$H$1:$H$93,"STK",Nozzle!$G$1:$G$93,"additional")</f>
        <v>60</v>
      </c>
      <c r="G7" s="482">
        <f>SUMIFS(Nozzle!$O$94:$O$190,Nozzle!$A$94:$A$190,"C49",Nozzle!$B$94:$B$190,"304",Nozzle!$F$94:$F$190,"ESEL",Nozzle!$G$94:$G$190,"随机")</f>
        <v>0</v>
      </c>
      <c r="H7" s="482">
        <f>SUMIFS(Nozzle!$O$94:$O$190,Nozzle!$A$94:$A$190,"C49",Nozzle!$B$94:$B$190,"304",Nozzle!$F$94:$F$190,"ESEL",Nozzle!$G$94:$G$190,"additional")</f>
        <v>41</v>
      </c>
      <c r="I7" s="483">
        <f>SUMIFS(Nozzle!$I$1:$I93,Nozzle!$A$1:$A$93,"C49",Nozzle!$B$1:$B$93,"304",Nozzle!$F$1:$F$93,"ESEL",Nozzle!$H$1:$H$93,"Incoming",Nozzle!$G$1:$G$93,"随机")</f>
        <v>0</v>
      </c>
      <c r="J7" s="483">
        <f>SUMIFS(Nozzle!$I$1:$I93,Nozzle!$A$1:$A$93,"C49",Nozzle!$B$1:$B$93,"304",Nozzle!$F$1:$F$93,"ESEL",Nozzle!$H$1:$H$93,"Incoming",Nozzle!$G$1:$G$93,"additional")</f>
        <v>0</v>
      </c>
      <c r="K7" s="483">
        <f>SUMIFS(Nozzle!$I$1:$I93,Nozzle!$A$1:$A$93,"C49",Nozzle!$B$1:$B$93,"304",Nozzle!$F$1:$F$93,"ESEL",Nozzle!$H$1:$H$93,"TBA",Nozzle!$G$1:$G$93,"随机")</f>
        <v>0</v>
      </c>
      <c r="L7" s="483">
        <f>SUMIFS(Nozzle!$I$1:$I93,Nozzle!$A$1:$A$93,"C49",Nozzle!$B$1:$B$93,"304",Nozzle!$F$1:$F$93,"ESEL",Nozzle!$H$1:$H$93,"TBA",Nozzle!$G$1:$G$93,"additional")</f>
        <v>0</v>
      </c>
      <c r="M7" s="484">
        <f>SUMIFS(Nozzle!$P$94:$P$190,Nozzle!$A$94:$A$190,"C49",Nozzle!$B$94:$B$190,"304",Nozzle!$F$94:$F$190,"ESEL")</f>
        <v>0</v>
      </c>
      <c r="N7" s="485"/>
      <c r="O7" s="506">
        <f t="shared" si="15"/>
        <v>19</v>
      </c>
      <c r="P7" s="526">
        <v>304</v>
      </c>
      <c r="Q7" s="524">
        <f t="shared" si="16"/>
        <v>220</v>
      </c>
      <c r="R7" s="524">
        <f t="shared" si="0"/>
        <v>220</v>
      </c>
      <c r="S7" s="519">
        <f t="shared" si="1"/>
        <v>12</v>
      </c>
      <c r="T7" s="519">
        <f t="shared" si="5"/>
        <v>210</v>
      </c>
      <c r="U7" s="519">
        <f t="shared" si="6"/>
        <v>0</v>
      </c>
      <c r="V7" s="519">
        <f t="shared" si="7"/>
        <v>0</v>
      </c>
      <c r="W7" s="523">
        <f t="shared" si="8"/>
        <v>12</v>
      </c>
      <c r="X7" s="523">
        <f t="shared" si="9"/>
        <v>210</v>
      </c>
      <c r="Y7" s="530">
        <f t="shared" si="10"/>
        <v>222</v>
      </c>
      <c r="Z7" s="507">
        <v>304</v>
      </c>
      <c r="AA7" s="487">
        <f t="shared" si="11"/>
        <v>210</v>
      </c>
      <c r="AB7" s="487">
        <f t="shared" si="12"/>
        <v>0</v>
      </c>
      <c r="AC7" s="487">
        <f t="shared" si="13"/>
        <v>210</v>
      </c>
      <c r="AD7" s="482">
        <f>SUMIFS(Nozzle!$I$1:$I93,Nozzle!$A$1:$A$93,"C49",Nozzle!$B$1:$B$93,"304",Nozzle!$F$1:$F$93,"ESSZ",Nozzle!$H$1:$H$93,"STK",Nozzle!$G$1:$G$93,"随机")</f>
        <v>0</v>
      </c>
      <c r="AE7" s="482">
        <f>SUMIFS(Nozzle!$I$1:$I93,Nozzle!$A$1:$A$93,"C49",Nozzle!$B$1:$B$93,"304",Nozzle!$F$1:$F$93,"ESSZ",Nozzle!$H$1:$H$93,"STK",Nozzle!$G$1:$G$93,"additional")</f>
        <v>211</v>
      </c>
      <c r="AF7" s="482">
        <f>SUMIFS(Nozzle!$O$94:$O$190,Nozzle!$A$94:$A$190,"C49",Nozzle!$B$94:$B$190,"304",Nozzle!$F$94:$F$190,"ESSZ",Nozzle!$G$94:$G$190,"随机")</f>
        <v>0</v>
      </c>
      <c r="AG7" s="482">
        <f>SUMIFS(Nozzle!$O$94:$O$190,Nozzle!$A$94:$A$190,"C49",Nozzle!$B$94:$B$190,"304",Nozzle!$F$94:$F$190,"ESSZ",Nozzle!$G$94:$G$190,"additional")</f>
        <v>1</v>
      </c>
      <c r="AH7" s="483">
        <f>SUMIFS(Nozzle!$I$1:$I93,Nozzle!$A$1:$A$93,"C49",Nozzle!$B$1:$B$93,"304",Nozzle!$F$1:$F$93,"ESSZ",Nozzle!$H$1:$H$93,"Incoming",Nozzle!$G$1:$G$93,"随机")</f>
        <v>0</v>
      </c>
      <c r="AI7" s="483">
        <f>SUMIFS(Nozzle!$I$1:$I93,Nozzle!$A$1:$A$93,"C49",Nozzle!$B$1:$B$93,"304",Nozzle!$F$1:$F$93,"ESSZ",Nozzle!$H$1:$H$93,"Incoming",Nozzle!$G$1:$G$93,"additional")</f>
        <v>0</v>
      </c>
      <c r="AJ7" s="483">
        <f>SUMIFS(Nozzle!$I$1:$I93,Nozzle!$A$1:$A$93,"C49",Nozzle!$B$1:$B$93,"304",Nozzle!$F$1:$F$93,"ESSZ",Nozzle!$H$1:$H$93,"TBA",Nozzle!$G$1:$G$93,"随机")</f>
        <v>0</v>
      </c>
      <c r="AK7" s="483">
        <f>SUMIFS(Nozzle!$I$1:$I93,Nozzle!$A$1:$A$93,"C49",Nozzle!$B$1:$B$93,"304",Nozzle!$F$1:$F$93,"ESSZ",Nozzle!$H$1:$H$93,"TBA",Nozzle!$G$1:$G$93,"additional")</f>
        <v>0</v>
      </c>
      <c r="AL7" s="484">
        <f>SUMIFS(Nozzle!$P$94:$P$190,Nozzle!$A$94:$A$190,"C49",Nozzle!$B$94:$B$190,"304",Nozzle!$F$94:$F$190,"ESSZ")</f>
        <v>0</v>
      </c>
      <c r="AM7" s="485"/>
      <c r="AN7" s="486">
        <f t="shared" si="14"/>
        <v>210</v>
      </c>
    </row>
    <row r="8" spans="1:40" ht="18">
      <c r="A8" s="468">
        <v>305</v>
      </c>
      <c r="B8" s="487">
        <f t="shared" si="2"/>
        <v>18</v>
      </c>
      <c r="C8" s="487">
        <f t="shared" si="3"/>
        <v>0</v>
      </c>
      <c r="D8" s="487">
        <f t="shared" si="4"/>
        <v>18</v>
      </c>
      <c r="E8" s="482">
        <f>SUMIFS(Nozzle!$I$1:$I93,Nozzle!$A$1:$A$93,"C49",Nozzle!$B$1:$B$93,"305",Nozzle!$F$1:$F$93,"ESEL",Nozzle!$H$1:$H$93,"STK",Nozzle!$G$1:$G$93,"随机")</f>
        <v>0</v>
      </c>
      <c r="F8" s="482">
        <f>SUMIFS(Nozzle!$I$1:$I93,Nozzle!$A$1:$A$93,"C49",Nozzle!$B$1:$B$93,"305",Nozzle!$F$1:$F$93,"ESEL",Nozzle!$H$1:$H$93,"STK",Nozzle!$G$1:$G$93,"additional")</f>
        <v>18</v>
      </c>
      <c r="G8" s="482">
        <f>SUMIFS(Nozzle!$O$94:$O$190,Nozzle!$A$94:$A$190,"C49",Nozzle!$B$94:$B$190,"305",Nozzle!$F$94:$F$190,"ESEL",Nozzle!$G$94:$G$190,"随机")</f>
        <v>0</v>
      </c>
      <c r="H8" s="482">
        <f>SUMIFS(Nozzle!$O$94:$O$190,Nozzle!$A$94:$A$190,"C49",Nozzle!$B$94:$B$190,"305",Nozzle!$F$94:$F$190,"ESEL",Nozzle!$G$94:$G$190,"additional")</f>
        <v>0</v>
      </c>
      <c r="I8" s="483">
        <f>SUMIFS(Nozzle!$I$1:$I93,Nozzle!$A$1:$A$93,"C49",Nozzle!$B$1:$B$93,"305",Nozzle!$F$1:$F$93,"ESEL",Nozzle!$H$1:$H$93,"Incoming",Nozzle!$G$1:$G$93,"随机")</f>
        <v>0</v>
      </c>
      <c r="J8" s="483">
        <f>SUMIFS(Nozzle!$I$1:$I93,Nozzle!$A$1:$A$93,"C49",Nozzle!$B$1:$B$93,"305",Nozzle!$F$1:$F$93,"ESEL",Nozzle!$H$1:$H$93,"Incoming",Nozzle!$G$1:$G$93,"additional")</f>
        <v>0</v>
      </c>
      <c r="K8" s="483">
        <f>SUMIFS(Nozzle!$I$1:$I93,Nozzle!$A$1:$A$93,"C49",Nozzle!$B$1:$B$93,"305",Nozzle!$F$1:$F$93,"ESEL",Nozzle!$H$1:$H$93,"TBA",Nozzle!$G$1:$G$93,"随机")</f>
        <v>0</v>
      </c>
      <c r="L8" s="483">
        <f>SUMIFS(Nozzle!$I$1:$I93,Nozzle!$A$1:$A$93,"C49",Nozzle!$B$1:$B$93,"305",Nozzle!$F$1:$F$93,"ESEL",Nozzle!$H$1:$H$93,"TBA",Nozzle!$G$1:$G$93,"additional")</f>
        <v>0</v>
      </c>
      <c r="M8" s="484">
        <f>SUMIFS(Nozzle!$P$94:$P$190,Nozzle!$A$94:$A$190,"C49",Nozzle!$B$94:$B$190,"305",Nozzle!$F$94:$F$190,"ESEL")</f>
        <v>0</v>
      </c>
      <c r="N8" s="485"/>
      <c r="O8" s="506">
        <f t="shared" si="15"/>
        <v>18</v>
      </c>
      <c r="P8" s="526">
        <v>305</v>
      </c>
      <c r="Q8" s="524">
        <f t="shared" si="16"/>
        <v>25</v>
      </c>
      <c r="R8" s="524">
        <f t="shared" si="0"/>
        <v>25</v>
      </c>
      <c r="S8" s="519">
        <f t="shared" si="1"/>
        <v>18</v>
      </c>
      <c r="T8" s="519">
        <f t="shared" si="5"/>
        <v>7</v>
      </c>
      <c r="U8" s="519">
        <f t="shared" si="6"/>
        <v>0</v>
      </c>
      <c r="V8" s="519">
        <f t="shared" si="7"/>
        <v>0</v>
      </c>
      <c r="W8" s="523">
        <f t="shared" si="8"/>
        <v>18</v>
      </c>
      <c r="X8" s="523">
        <f t="shared" si="9"/>
        <v>7</v>
      </c>
      <c r="Y8" s="530">
        <f t="shared" si="10"/>
        <v>25</v>
      </c>
      <c r="Z8" s="507">
        <v>305</v>
      </c>
      <c r="AA8" s="487">
        <f t="shared" si="11"/>
        <v>7</v>
      </c>
      <c r="AB8" s="487">
        <f t="shared" si="12"/>
        <v>0</v>
      </c>
      <c r="AC8" s="487">
        <f t="shared" si="13"/>
        <v>7</v>
      </c>
      <c r="AD8" s="482">
        <f>SUMIFS(Nozzle!$I$1:$I93,Nozzle!$A$1:$A$93,"C49",Nozzle!$B$1:$B$93,"305",Nozzle!$F$1:$F$93,"ESSZ",Nozzle!$H$1:$H$93,"STK",Nozzle!$G$1:$G$93,"随机")</f>
        <v>0</v>
      </c>
      <c r="AE8" s="482">
        <f>SUMIFS(Nozzle!$I$1:$I93,Nozzle!$A$1:$A$93,"C49",Nozzle!$B$1:$B$93,"305",Nozzle!$F$1:$F$93,"ESSZ",Nozzle!$H$1:$H$93,"STK",Nozzle!$G$1:$G$93,"additional")</f>
        <v>7</v>
      </c>
      <c r="AF8" s="482">
        <f>SUMIFS(Nozzle!$O$94:$O$190,Nozzle!$A$94:$A$190,"C49",Nozzle!$B$94:$B$190,"305",Nozzle!$F$94:$F$190,"ESSZ",Nozzle!$G$94:$G$190,"随机")</f>
        <v>0</v>
      </c>
      <c r="AG8" s="482">
        <f>SUMIFS(Nozzle!$O$94:$O$190,Nozzle!$A$94:$A$190,"C49",Nozzle!$B$94:$B$190,"305",Nozzle!$F$94:$F$190,"ESSZ",Nozzle!$G$94:$G$190,"additional")</f>
        <v>0</v>
      </c>
      <c r="AH8" s="483">
        <f>SUMIFS(Nozzle!$I$1:$I93,Nozzle!$A$1:$A$93,"C49",Nozzle!$B$1:$B$93,"305",Nozzle!$F$1:$F$93,"ESSZ",Nozzle!$H$1:$H$93,"Incoming",Nozzle!$G$1:$G$93,"随机")</f>
        <v>0</v>
      </c>
      <c r="AI8" s="483">
        <f>SUMIFS(Nozzle!$I$1:$I93,Nozzle!$A$1:$A$93,"C49",Nozzle!$B$1:$B$93,"305",Nozzle!$F$1:$F$93,"ESSZ",Nozzle!$H$1:$H$93,"Incoming",Nozzle!$G$1:$G$93,"additional")</f>
        <v>0</v>
      </c>
      <c r="AJ8" s="483">
        <f>SUMIFS(Nozzle!$I$1:$I93,Nozzle!$A$1:$A$93,"C49",Nozzle!$B$1:$B$93,"305",Nozzle!$F$1:$F$93,"ESSZ",Nozzle!$H$1:$H$93,"TBA",Nozzle!$G$1:$G$93,"随机")</f>
        <v>0</v>
      </c>
      <c r="AK8" s="483">
        <f>SUMIFS(Nozzle!$I$1:$I93,Nozzle!$A$1:$A$93,"C49",Nozzle!$B$1:$B$93,"305",Nozzle!$F$1:$F$93,"ESSZ",Nozzle!$H$1:$H$93,"TBA",Nozzle!$G$1:$G$93,"additional")</f>
        <v>0</v>
      </c>
      <c r="AL8" s="484">
        <f>SUMIFS(Nozzle!$P$94:$P$190,Nozzle!$A$94:$A$190,"C49",Nozzle!$B$94:$B$190,"305",Nozzle!$F$94:$F$190,"ESSZ")</f>
        <v>0</v>
      </c>
      <c r="AM8" s="485"/>
      <c r="AN8" s="486">
        <f t="shared" si="14"/>
        <v>7</v>
      </c>
    </row>
    <row r="9" spans="1:40" ht="18">
      <c r="A9" s="468">
        <v>306</v>
      </c>
      <c r="B9" s="487">
        <f t="shared" si="2"/>
        <v>9</v>
      </c>
      <c r="C9" s="487">
        <f t="shared" si="3"/>
        <v>0</v>
      </c>
      <c r="D9" s="487">
        <f t="shared" si="4"/>
        <v>9</v>
      </c>
      <c r="E9" s="482">
        <f>SUMIFS(Nozzle!$I$1:$I93,Nozzle!$A$1:$A$93,"C49",Nozzle!$B$1:$B$93,"306",Nozzle!$F$1:$F$93,"ESEL",Nozzle!$H$1:$H$93,"STK",Nozzle!$G$1:$G$93,"随机")</f>
        <v>0</v>
      </c>
      <c r="F9" s="482">
        <f>SUMIFS(Nozzle!$I$1:$I93,Nozzle!$A$1:$A$93,"C49",Nozzle!$B$1:$B$93,"306",Nozzle!$F$1:$F$93,"ESEL",Nozzle!$H$1:$H$93,"STK",Nozzle!$G$1:$G$93,"additional")</f>
        <v>9</v>
      </c>
      <c r="G9" s="482">
        <f>SUMIFS(Nozzle!$O$94:$O$190,Nozzle!$A$94:$A$190,"C49",Nozzle!$B$94:$B$190,"306",Nozzle!$F$94:$F$190,"ESEL",Nozzle!$G$94:$G$190,"随机")</f>
        <v>0</v>
      </c>
      <c r="H9" s="482">
        <f>SUMIFS(Nozzle!$O$94:$O$190,Nozzle!$A$94:$A$190,"C49",Nozzle!$B$94:$B$190,"306",Nozzle!$F$94:$F$190,"ESEL",Nozzle!$G$94:$G$190,"additional")</f>
        <v>0</v>
      </c>
      <c r="I9" s="483">
        <f>SUMIFS(Nozzle!$I$1:$I93,Nozzle!$A$1:$A$93,"C49",Nozzle!$B$1:$B$93,"306",Nozzle!$F$1:$F$93,"ESEL",Nozzle!$H$1:$H$93,"Incoming",Nozzle!$G$1:$G$93,"随机")</f>
        <v>0</v>
      </c>
      <c r="J9" s="483">
        <f>SUMIFS(Nozzle!$I$1:$I93,Nozzle!$A$1:$A$93,"C49",Nozzle!$B$1:$B$93,"306",Nozzle!$F$1:$F$93,"ESEL",Nozzle!$H$1:$H$93,"Incoming",Nozzle!$G$1:$G$93,"additional")</f>
        <v>0</v>
      </c>
      <c r="K9" s="483">
        <f>SUMIFS(Nozzle!$I$1:$I93,Nozzle!$A$1:$A$93,"C49",Nozzle!$B$1:$B$93,"306",Nozzle!$F$1:$F$93,"ESEL",Nozzle!$H$1:$H$93,"TBA",Nozzle!$G$1:$G$93,"随机")</f>
        <v>0</v>
      </c>
      <c r="L9" s="483">
        <f>SUMIFS(Nozzle!$I$1:$I93,Nozzle!$A$1:$A$93,"C49",Nozzle!$B$1:$B$93,"306",Nozzle!$F$1:$F$93,"ESEL",Nozzle!$H$1:$H$93,"TBA",Nozzle!$G$1:$G$93,"additional")</f>
        <v>0</v>
      </c>
      <c r="M9" s="484">
        <f>SUMIFS(Nozzle!$P$94:$P$190,Nozzle!$A$94:$A$190,"C49",Nozzle!$B$94:$B$190,"306",Nozzle!$F$94:$F$190,"ESEL")</f>
        <v>0</v>
      </c>
      <c r="N9" s="485"/>
      <c r="O9" s="506">
        <f t="shared" si="15"/>
        <v>9</v>
      </c>
      <c r="P9" s="526">
        <v>306</v>
      </c>
      <c r="Q9" s="524">
        <f t="shared" si="16"/>
        <v>9</v>
      </c>
      <c r="R9" s="524">
        <f t="shared" si="0"/>
        <v>9</v>
      </c>
      <c r="S9" s="519">
        <f t="shared" si="1"/>
        <v>9</v>
      </c>
      <c r="T9" s="519">
        <f t="shared" si="5"/>
        <v>0</v>
      </c>
      <c r="U9" s="519">
        <f t="shared" si="6"/>
        <v>0</v>
      </c>
      <c r="V9" s="519">
        <f t="shared" si="7"/>
        <v>0</v>
      </c>
      <c r="W9" s="523">
        <f t="shared" si="8"/>
        <v>9</v>
      </c>
      <c r="X9" s="523">
        <f t="shared" si="9"/>
        <v>0</v>
      </c>
      <c r="Y9" s="530">
        <f t="shared" si="10"/>
        <v>9</v>
      </c>
      <c r="Z9" s="507">
        <v>306</v>
      </c>
      <c r="AA9" s="487">
        <f t="shared" si="11"/>
        <v>0</v>
      </c>
      <c r="AB9" s="487">
        <f t="shared" si="12"/>
        <v>0</v>
      </c>
      <c r="AC9" s="487">
        <f t="shared" si="13"/>
        <v>0</v>
      </c>
      <c r="AD9" s="482">
        <f>SUMIFS(Nozzle!$I$1:$I93,Nozzle!$A$1:$A$93,"C49",Nozzle!$B$1:$B$93,"306",Nozzle!$F$1:$F$93,"ESSZ",Nozzle!$H$1:$H$93,"STK",Nozzle!$G$1:$G$93,"随机")</f>
        <v>0</v>
      </c>
      <c r="AE9" s="482">
        <f>SUMIFS(Nozzle!$I$1:$I93,Nozzle!$A$1:$A$93,"C49",Nozzle!$B$1:$B$93,"306",Nozzle!$F$1:$F$93,"ESSZ",Nozzle!$H$1:$H$93,"STK",Nozzle!$G$1:$G$93,"additional")</f>
        <v>0</v>
      </c>
      <c r="AF9" s="482">
        <f>SUMIFS(Nozzle!$O$94:$O$190,Nozzle!$A$94:$A$190,"C49",Nozzle!$B$94:$B$190,"306",Nozzle!$F$94:$F$190,"ESSZ",Nozzle!$G$94:$G$190,"随机")</f>
        <v>0</v>
      </c>
      <c r="AG9" s="482">
        <f>SUMIFS(Nozzle!$O$94:$O$190,Nozzle!$A$94:$A$190,"C49",Nozzle!$B$94:$B$190,"306",Nozzle!$F$94:$F$190,"ESSZ",Nozzle!$G$94:$G$190,"additional")</f>
        <v>0</v>
      </c>
      <c r="AH9" s="483">
        <f>SUMIFS(Nozzle!$I$1:$I93,Nozzle!$A$1:$A$93,"C49",Nozzle!$B$1:$B$93,"306",Nozzle!$F$1:$F$93,"ESSZ",Nozzle!$H$1:$H$93,"Incoming",Nozzle!$G$1:$G$93,"随机")</f>
        <v>0</v>
      </c>
      <c r="AI9" s="483">
        <f>SUMIFS(Nozzle!$I$1:$I93,Nozzle!$A$1:$A$93,"C49",Nozzle!$B$1:$B$93,"306",Nozzle!$F$1:$F$93,"ESSZ",Nozzle!$H$1:$H$93,"Incoming",Nozzle!$G$1:$G$93,"additional")</f>
        <v>0</v>
      </c>
      <c r="AJ9" s="483">
        <f>SUMIFS(Nozzle!$I$1:$I93,Nozzle!$A$1:$A$93,"C49",Nozzle!$B$1:$B$93,"306",Nozzle!$F$1:$F$93,"ESSZ",Nozzle!$H$1:$H$93,"TBA",Nozzle!$G$1:$G$93,"随机")</f>
        <v>0</v>
      </c>
      <c r="AK9" s="483">
        <f>SUMIFS(Nozzle!$I$1:$I93,Nozzle!$A$1:$A$93,"C49",Nozzle!$B$1:$B$93,"306",Nozzle!$F$1:$F$93,"ESSZ",Nozzle!$H$1:$H$93,"TBA",Nozzle!$G$1:$G$93,"additional")</f>
        <v>0</v>
      </c>
      <c r="AL9" s="484">
        <f>SUMIFS(Nozzle!$P$94:$P$190,Nozzle!$A$94:$A$190,"C49",Nozzle!$B$94:$B$190,"306",Nozzle!$F$94:$F$190,"ESSZ")</f>
        <v>0</v>
      </c>
      <c r="AM9" s="485"/>
      <c r="AN9" s="486">
        <f t="shared" si="14"/>
        <v>0</v>
      </c>
    </row>
    <row r="10" spans="1:40" ht="18">
      <c r="A10" s="468">
        <v>307</v>
      </c>
      <c r="B10" s="487">
        <f t="shared" si="2"/>
        <v>16</v>
      </c>
      <c r="C10" s="487">
        <f t="shared" si="3"/>
        <v>0</v>
      </c>
      <c r="D10" s="487">
        <f t="shared" si="4"/>
        <v>16</v>
      </c>
      <c r="E10" s="482">
        <f>SUMIFS(Nozzle!$I$1:$I93,Nozzle!$A$1:$A$93,"C49",Nozzle!$B$1:$B$93,"307",Nozzle!$F$1:$F$93,"ESEL",Nozzle!$H$1:$H$93,"STK",Nozzle!$G$1:$G$93,"随机")</f>
        <v>0</v>
      </c>
      <c r="F10" s="482">
        <f>SUMIFS(Nozzle!$I$1:$I93,Nozzle!$A$1:$A$93,"C49",Nozzle!$B$1:$B$93,"307",Nozzle!$F$1:$F$93,"ESEL",Nozzle!$H$1:$H$93,"STK",Nozzle!$G$1:$G$93,"additional")</f>
        <v>16</v>
      </c>
      <c r="G10" s="482">
        <f>SUMIFS(Nozzle!$O$94:$O$190,Nozzle!$A$94:$A$190,"C49",Nozzle!$B$94:$B$190,"307",Nozzle!$F$94:$F$190,"ESEL",Nozzle!$G$94:$G$190,"随机")</f>
        <v>0</v>
      </c>
      <c r="H10" s="482">
        <f>SUMIFS(Nozzle!$O$94:$O$190,Nozzle!$A$94:$A$190,"C49",Nozzle!$B$94:$B$190,"307",Nozzle!$F$94:$F$190,"ESEL",Nozzle!$G$94:$G$190,"additional")</f>
        <v>0</v>
      </c>
      <c r="I10" s="483">
        <f>SUMIFS(Nozzle!$I$1:$I93,Nozzle!$A$1:$A$93,"C49",Nozzle!$B$1:$B$93,"307",Nozzle!$F$1:$F$93,"ESEL",Nozzle!$H$1:$H$93,"Incoming",Nozzle!$G$1:$G$93,"随机")</f>
        <v>0</v>
      </c>
      <c r="J10" s="483">
        <f>SUMIFS(Nozzle!$I$1:$I93,Nozzle!$A$1:$A$93,"C49",Nozzle!$B$1:$B$93,"307",Nozzle!$F$1:$F$93,"ESEL",Nozzle!$H$1:$H$93,"Incoming",Nozzle!$G$1:$G$93,"additional")</f>
        <v>0</v>
      </c>
      <c r="K10" s="483">
        <f>SUMIFS(Nozzle!$I$1:$I93,Nozzle!$A$1:$A$93,"C49",Nozzle!$B$1:$B$93,"307",Nozzle!$F$1:$F$93,"ESEL",Nozzle!$H$1:$H$93,"TBA",Nozzle!$G$1:$G$93,"随机")</f>
        <v>0</v>
      </c>
      <c r="L10" s="483">
        <f>SUMIFS(Nozzle!$I$1:$I93,Nozzle!$A$1:$A$93,"C49",Nozzle!$B$1:$B$93,"307",Nozzle!$F$1:$F$93,"ESEL",Nozzle!$H$1:$H$93,"TBA",Nozzle!$G$1:$G$93,"additional")</f>
        <v>0</v>
      </c>
      <c r="M10" s="484">
        <f>SUMIFS(Nozzle!$P$94:$P$190,Nozzle!$A$94:$A$190,"C49",Nozzle!$B$94:$B$190,"307",Nozzle!$F$94:$F$190,"ESEL")</f>
        <v>0</v>
      </c>
      <c r="N10" s="485"/>
      <c r="O10" s="506">
        <f t="shared" si="15"/>
        <v>16</v>
      </c>
      <c r="P10" s="526">
        <v>307</v>
      </c>
      <c r="Q10" s="524">
        <f t="shared" si="16"/>
        <v>16</v>
      </c>
      <c r="R10" s="524">
        <f t="shared" si="0"/>
        <v>16</v>
      </c>
      <c r="S10" s="519">
        <f t="shared" si="1"/>
        <v>16</v>
      </c>
      <c r="T10" s="519">
        <f t="shared" si="5"/>
        <v>0</v>
      </c>
      <c r="U10" s="519">
        <f t="shared" si="6"/>
        <v>0</v>
      </c>
      <c r="V10" s="519">
        <f t="shared" si="7"/>
        <v>0</v>
      </c>
      <c r="W10" s="523">
        <f t="shared" si="8"/>
        <v>16</v>
      </c>
      <c r="X10" s="523">
        <f t="shared" si="9"/>
        <v>0</v>
      </c>
      <c r="Y10" s="530">
        <f t="shared" si="10"/>
        <v>16</v>
      </c>
      <c r="Z10" s="507">
        <v>307</v>
      </c>
      <c r="AA10" s="487">
        <f t="shared" si="11"/>
        <v>0</v>
      </c>
      <c r="AB10" s="487">
        <f t="shared" si="12"/>
        <v>0</v>
      </c>
      <c r="AC10" s="487">
        <f t="shared" si="13"/>
        <v>0</v>
      </c>
      <c r="AD10" s="482">
        <f>SUMIFS(Nozzle!$I$1:$I93,Nozzle!$A$1:$A$93,"C49",Nozzle!$B$1:$B$93,"307",Nozzle!$F$1:$F$93,"ESSZ",Nozzle!$H$1:$H$93,"STK",Nozzle!$G$1:$G$93,"随机")</f>
        <v>0</v>
      </c>
      <c r="AE10" s="482">
        <f>SUMIFS(Nozzle!$I$1:$I93,Nozzle!$A$1:$A$93,"C49",Nozzle!$B$1:$B$93,"307",Nozzle!$F$1:$F$93,"ESSZ",Nozzle!$H$1:$H$93,"STK",Nozzle!$G$1:$G$93,"additional")</f>
        <v>0</v>
      </c>
      <c r="AF10" s="482">
        <f>SUMIFS(Nozzle!$O$94:$O$190,Nozzle!$A$94:$A$190,"C49",Nozzle!$B$94:$B$190,"307",Nozzle!$F$94:$F$190,"ESSZ",Nozzle!$G$94:$G$190,"随机")</f>
        <v>0</v>
      </c>
      <c r="AG10" s="482">
        <f>SUMIFS(Nozzle!$O$94:$O$190,Nozzle!$A$94:$A$190,"C49",Nozzle!$B$94:$B$190,"307",Nozzle!$F$94:$F$190,"ESSZ",Nozzle!$G$94:$G$190,"additional")</f>
        <v>0</v>
      </c>
      <c r="AH10" s="483">
        <f>SUMIFS(Nozzle!$I$1:$I93,Nozzle!$A$1:$A$93,"C49",Nozzle!$B$1:$B$93,"307",Nozzle!$F$1:$F$93,"ESSZ",Nozzle!$H$1:$H$93,"Incoming",Nozzle!$G$1:$G$93,"随机")</f>
        <v>0</v>
      </c>
      <c r="AI10" s="483">
        <f>SUMIFS(Nozzle!$I$1:$I93,Nozzle!$A$1:$A$93,"C49",Nozzle!$B$1:$B$93,"307",Nozzle!$F$1:$F$93,"ESSZ",Nozzle!$H$1:$H$93,"Incoming",Nozzle!$G$1:$G$93,"additional")</f>
        <v>0</v>
      </c>
      <c r="AJ10" s="483">
        <f>SUMIFS(Nozzle!$I$1:$I93,Nozzle!$A$1:$A$93,"C49",Nozzle!$B$1:$B$93,"307",Nozzle!$F$1:$F$93,"ESSZ",Nozzle!$H$1:$H$93,"TBA",Nozzle!$G$1:$G$93,"随机")</f>
        <v>0</v>
      </c>
      <c r="AK10" s="483">
        <f>SUMIFS(Nozzle!$I$1:$I93,Nozzle!$A$1:$A$93,"C49",Nozzle!$B$1:$B$93,"307",Nozzle!$F$1:$F$93,"ESSZ",Nozzle!$H$1:$H$93,"TBA",Nozzle!$G$1:$G$93,"additional")</f>
        <v>0</v>
      </c>
      <c r="AL10" s="484">
        <f>SUMIFS(Nozzle!$P$94:$P$190,Nozzle!$A$94:$A$190,"C49",Nozzle!$B$94:$B$190,"307",Nozzle!$F$94:$F$190,"ESSZ")</f>
        <v>0</v>
      </c>
      <c r="AM10" s="485"/>
      <c r="AN10" s="486">
        <f t="shared" si="14"/>
        <v>0</v>
      </c>
    </row>
    <row r="11" spans="1:40" ht="18">
      <c r="A11" s="468">
        <v>309</v>
      </c>
      <c r="B11" s="487">
        <f t="shared" si="2"/>
        <v>3</v>
      </c>
      <c r="C11" s="487">
        <f t="shared" si="3"/>
        <v>0</v>
      </c>
      <c r="D11" s="487">
        <f t="shared" si="4"/>
        <v>3</v>
      </c>
      <c r="E11" s="482">
        <f>SUMIFS(Nozzle!$I$1:$I93,Nozzle!$A$1:$A$93,"C49",Nozzle!$B$1:$B$93,"309",Nozzle!$F$1:$F$93,"ESEL",Nozzle!$H$1:$H$93,"STK",Nozzle!$G$1:$G$93,"随机")</f>
        <v>0</v>
      </c>
      <c r="F11" s="482">
        <f>SUMIFS(Nozzle!$I$1:$I93,Nozzle!$A$1:$A$93,"C49",Nozzle!$B$1:$B$93,"309",Nozzle!$F$1:$F$93,"ESEL",Nozzle!$H$1:$H$93,"STK",Nozzle!$G$1:$G$93,"additional")</f>
        <v>3</v>
      </c>
      <c r="G11" s="482">
        <f>SUMIFS(Nozzle!$O$94:$O$190,Nozzle!$A$94:$A$190,"C49",Nozzle!$B$94:$B$190,"309",Nozzle!$F$94:$F$190,"ESEL",Nozzle!$G$94:$G$190,"随机")</f>
        <v>0</v>
      </c>
      <c r="H11" s="482">
        <f>SUMIFS(Nozzle!$O$94:$O$190,Nozzle!$A$94:$A$190,"C49",Nozzle!$B$94:$B$190,"309",Nozzle!$F$94:$F$190,"ESEL",Nozzle!$G$94:$G$190,"additional")</f>
        <v>0</v>
      </c>
      <c r="I11" s="483">
        <f>SUMIFS(Nozzle!$I$1:$I93,Nozzle!$A$1:$A$93,"C49",Nozzle!$B$1:$B$93,"309",Nozzle!$F$1:$F$93,"ESEL",Nozzle!$H$1:$H$93,"Incoming",Nozzle!$G$1:$G$93,"随机")</f>
        <v>0</v>
      </c>
      <c r="J11" s="483">
        <f>SUMIFS(Nozzle!$I$1:$I93,Nozzle!$A$1:$A$93,"C49",Nozzle!$B$1:$B$93,"309",Nozzle!$F$1:$F$93,"ESEL",Nozzle!$H$1:$H$93,"Incoming",Nozzle!$G$1:$G$93,"additional")</f>
        <v>0</v>
      </c>
      <c r="K11" s="483">
        <f>SUMIFS(Nozzle!$I$1:$I93,Nozzle!$A$1:$A$93,"C49",Nozzle!$B$1:$B$93,"309",Nozzle!$F$1:$F$93,"ESEL",Nozzle!$H$1:$H$93,"TBA",Nozzle!$G$1:$G$93,"随机")</f>
        <v>0</v>
      </c>
      <c r="L11" s="483">
        <f>SUMIFS(Nozzle!$I$1:$I93,Nozzle!$A$1:$A$93,"C49",Nozzle!$B$1:$B$93,"309",Nozzle!$F$1:$F$93,"ESEL",Nozzle!$H$1:$H$93,"TBA",Nozzle!$G$1:$G$93,"additional")</f>
        <v>0</v>
      </c>
      <c r="M11" s="484">
        <f>SUMIFS(Nozzle!$P$94:$P$190,Nozzle!$A$94:$A$190,"C49",Nozzle!$B$94:$B$190,"309",Nozzle!$F$94:$F$190,"ESEL")</f>
        <v>0</v>
      </c>
      <c r="N11" s="485"/>
      <c r="O11" s="506">
        <f t="shared" si="15"/>
        <v>3</v>
      </c>
      <c r="P11" s="526">
        <v>309</v>
      </c>
      <c r="Q11" s="524">
        <f t="shared" si="16"/>
        <v>8</v>
      </c>
      <c r="R11" s="524">
        <f t="shared" si="0"/>
        <v>8</v>
      </c>
      <c r="S11" s="519">
        <f t="shared" si="1"/>
        <v>3</v>
      </c>
      <c r="T11" s="519">
        <f t="shared" si="5"/>
        <v>5</v>
      </c>
      <c r="U11" s="519">
        <f t="shared" si="6"/>
        <v>0</v>
      </c>
      <c r="V11" s="519">
        <f t="shared" si="7"/>
        <v>0</v>
      </c>
      <c r="W11" s="523">
        <f t="shared" si="8"/>
        <v>3</v>
      </c>
      <c r="X11" s="523">
        <f t="shared" si="9"/>
        <v>5</v>
      </c>
      <c r="Y11" s="530">
        <f t="shared" si="10"/>
        <v>8</v>
      </c>
      <c r="Z11" s="507">
        <v>309</v>
      </c>
      <c r="AA11" s="487">
        <f t="shared" si="11"/>
        <v>5</v>
      </c>
      <c r="AB11" s="487">
        <f t="shared" si="12"/>
        <v>0</v>
      </c>
      <c r="AC11" s="487">
        <f t="shared" si="13"/>
        <v>5</v>
      </c>
      <c r="AD11" s="482">
        <f>SUMIFS(Nozzle!$I$1:$I93,Nozzle!$A$1:$A$93,"C49",Nozzle!$B$1:$B$93,"309",Nozzle!$F$1:$F$93,"ESSZ",Nozzle!$H$1:$H$93,"STK",Nozzle!$G$1:$G$93,"随机")</f>
        <v>0</v>
      </c>
      <c r="AE11" s="482">
        <f>SUMIFS(Nozzle!$I$1:$I93,Nozzle!$A$1:$A$93,"C49",Nozzle!$B$1:$B$93,"309",Nozzle!$F$1:$F$93,"ESSZ",Nozzle!$H$1:$H$93,"STK",Nozzle!$G$1:$G$93,"additional")</f>
        <v>5</v>
      </c>
      <c r="AF11" s="482">
        <f>SUMIFS(Nozzle!$O$94:$O$190,Nozzle!$A$94:$A$190,"C49",Nozzle!$B$94:$B$190,"309",Nozzle!$F$94:$F$190,"ESSZ",Nozzle!$G$94:$G$190,"随机")</f>
        <v>0</v>
      </c>
      <c r="AG11" s="482">
        <f>SUMIFS(Nozzle!$O$94:$O$190,Nozzle!$A$94:$A$190,"C49",Nozzle!$B$94:$B$190,"309",Nozzle!$F$94:$F$190,"ESSZ",Nozzle!$G$94:$G$190,"additional")</f>
        <v>0</v>
      </c>
      <c r="AH11" s="483">
        <f>SUMIFS(Nozzle!$I$1:$I93,Nozzle!$A$1:$A$93,"C49",Nozzle!$B$1:$B$93,"309",Nozzle!$F$1:$F$93,"ESSZ",Nozzle!$H$1:$H$93,"Incoming",Nozzle!$G$1:$G$93,"随机")</f>
        <v>0</v>
      </c>
      <c r="AI11" s="483">
        <f>SUMIFS(Nozzle!$I$1:$I93,Nozzle!$A$1:$A$93,"C49",Nozzle!$B$1:$B$93,"309",Nozzle!$F$1:$F$93,"ESSZ",Nozzle!$H$1:$H$93,"Incoming",Nozzle!$G$1:$G$93,"additional")</f>
        <v>0</v>
      </c>
      <c r="AJ11" s="483">
        <f>SUMIFS(Nozzle!$I$1:$I93,Nozzle!$A$1:$A$93,"C49",Nozzle!$B$1:$B$93,"309",Nozzle!$F$1:$F$93,"ESSZ",Nozzle!$H$1:$H$93,"TBA",Nozzle!$G$1:$G$93,"随机")</f>
        <v>0</v>
      </c>
      <c r="AK11" s="483">
        <f>SUMIFS(Nozzle!$I$1:$I93,Nozzle!$A$1:$A$93,"C49",Nozzle!$B$1:$B$93,"309",Nozzle!$F$1:$F$93,"ESSZ",Nozzle!$H$1:$H$93,"TBA",Nozzle!$G$1:$G$93,"additional")</f>
        <v>0</v>
      </c>
      <c r="AL11" s="484">
        <f>SUMIFS(Nozzle!$P$94:$P$190,Nozzle!$A$94:$A$190,"C49",Nozzle!$B$94:$B$190,"309",Nozzle!$F$94:$F$190,"ESSZ")</f>
        <v>0</v>
      </c>
      <c r="AM11" s="485"/>
      <c r="AN11" s="486">
        <f t="shared" si="14"/>
        <v>5</v>
      </c>
    </row>
    <row r="12" spans="1:40" ht="18">
      <c r="A12" s="468">
        <v>310</v>
      </c>
      <c r="B12" s="487">
        <f t="shared" si="2"/>
        <v>7</v>
      </c>
      <c r="C12" s="487">
        <f t="shared" si="3"/>
        <v>0</v>
      </c>
      <c r="D12" s="487">
        <f t="shared" si="4"/>
        <v>7</v>
      </c>
      <c r="E12" s="482">
        <f>SUMIFS(Nozzle!$I$1:$I93,Nozzle!$A$1:$A$93,"C49",Nozzle!$B$1:$B$93,"310",Nozzle!$F$1:$F$93,"ESEL",Nozzle!$H$1:$H$93,"STK",Nozzle!$G$1:$G$93,"随机")</f>
        <v>0</v>
      </c>
      <c r="F12" s="482">
        <f>SUMIFS(Nozzle!$I$1:$I93,Nozzle!$A$1:$A$93,"C49",Nozzle!$B$1:$B$93,"310",Nozzle!$F$1:$F$93,"ESEL",Nozzle!$H$1:$H$93,"STK",Nozzle!$G$1:$G$93,"additional")</f>
        <v>7</v>
      </c>
      <c r="G12" s="482">
        <f>SUMIFS(Nozzle!$O$94:$O$190,Nozzle!$A$94:$A$190,"C49",Nozzle!$B$94:$B$190,"310",Nozzle!$F$94:$F$190,"ESEL",Nozzle!$G$94:$G$190,"随机")</f>
        <v>0</v>
      </c>
      <c r="H12" s="482">
        <f>SUMIFS(Nozzle!$O$94:$O$190,Nozzle!$A$94:$A$190,"C49",Nozzle!$B$94:$B$190,"310",Nozzle!$F$94:$F$190,"ESEL",Nozzle!$G$94:$G$190,"additional")</f>
        <v>0</v>
      </c>
      <c r="I12" s="483">
        <f>SUMIFS(Nozzle!$I$1:$I93,Nozzle!$A$1:$A$93,"C49",Nozzle!$B$1:$B$93,"310",Nozzle!$F$1:$F$93,"ESEL",Nozzle!$H$1:$H$93,"Incoming",Nozzle!$G$1:$G$93,"随机")</f>
        <v>0</v>
      </c>
      <c r="J12" s="483">
        <f>SUMIFS(Nozzle!$I$1:$I93,Nozzle!$A$1:$A$93,"C49",Nozzle!$B$1:$B$93,"310",Nozzle!$F$1:$F$93,"ESEL",Nozzle!$H$1:$H$93,"Incoming",Nozzle!$G$1:$G$93,"additional")</f>
        <v>0</v>
      </c>
      <c r="K12" s="483">
        <f>SUMIFS(Nozzle!$I$1:$I93,Nozzle!$A$1:$A$93,"C49",Nozzle!$B$1:$B$93,"310",Nozzle!$F$1:$F$93,"ESEL",Nozzle!$H$1:$H$93,"TBA",Nozzle!$G$1:$G$93,"随机")</f>
        <v>0</v>
      </c>
      <c r="L12" s="483">
        <f>SUMIFS(Nozzle!$I$1:$I93,Nozzle!$A$1:$A$93,"C49",Nozzle!$B$1:$B$93,"310",Nozzle!$F$1:$F$93,"ESEL",Nozzle!$H$1:$H$93,"TBA",Nozzle!$G$1:$G$93,"additional")</f>
        <v>0</v>
      </c>
      <c r="M12" s="484">
        <f>SUMIFS(Nozzle!$P$94:$P$190,Nozzle!$A$94:$A$190,"C49",Nozzle!$B$94:$B$190,"310",Nozzle!$F$94:$F$190,"ESEL")</f>
        <v>0</v>
      </c>
      <c r="N12" s="485"/>
      <c r="O12" s="506">
        <f t="shared" si="15"/>
        <v>7</v>
      </c>
      <c r="P12" s="526">
        <v>310</v>
      </c>
      <c r="Q12" s="524">
        <f t="shared" si="16"/>
        <v>247</v>
      </c>
      <c r="R12" s="524">
        <f t="shared" si="0"/>
        <v>247</v>
      </c>
      <c r="S12" s="519">
        <f t="shared" si="1"/>
        <v>7</v>
      </c>
      <c r="T12" s="519">
        <f t="shared" si="5"/>
        <v>240</v>
      </c>
      <c r="U12" s="519">
        <f t="shared" si="6"/>
        <v>0</v>
      </c>
      <c r="V12" s="519">
        <f t="shared" si="7"/>
        <v>0</v>
      </c>
      <c r="W12" s="523">
        <f t="shared" si="8"/>
        <v>7</v>
      </c>
      <c r="X12" s="523">
        <f t="shared" si="9"/>
        <v>240</v>
      </c>
      <c r="Y12" s="530">
        <f t="shared" si="10"/>
        <v>247</v>
      </c>
      <c r="Z12" s="507">
        <v>310</v>
      </c>
      <c r="AA12" s="487">
        <f t="shared" si="11"/>
        <v>240</v>
      </c>
      <c r="AB12" s="487">
        <f t="shared" si="12"/>
        <v>0</v>
      </c>
      <c r="AC12" s="487">
        <f t="shared" si="13"/>
        <v>240</v>
      </c>
      <c r="AD12" s="482">
        <f>SUMIFS(Nozzle!$I$1:$I93,Nozzle!$A$1:$A$93,"C49",Nozzle!$B$1:$B$93,"310",Nozzle!$F$1:$F$93,"ESSZ",Nozzle!$H$1:$H$93,"STK",Nozzle!$G$1:$G$93,"随机")</f>
        <v>0</v>
      </c>
      <c r="AE12" s="482">
        <f>SUMIFS(Nozzle!$I$1:$I93,Nozzle!$A$1:$A$93,"C49",Nozzle!$B$1:$B$93,"310",Nozzle!$F$1:$F$93,"ESSZ",Nozzle!$H$1:$H$93,"STK",Nozzle!$G$1:$G$93,"additional")</f>
        <v>240</v>
      </c>
      <c r="AF12" s="482">
        <f>SUMIFS(Nozzle!$O$94:$O$190,Nozzle!$A$94:$A$190,"C49",Nozzle!$B$94:$B$190,"310",Nozzle!$F$94:$F$190,"ESSZ",Nozzle!$G$94:$G$190,"随机")</f>
        <v>0</v>
      </c>
      <c r="AG12" s="482">
        <f>SUMIFS(Nozzle!$O$94:$O$190,Nozzle!$A$94:$A$190,"C49",Nozzle!$B$94:$B$190,"310",Nozzle!$F$94:$F$190,"ESSZ",Nozzle!$G$94:$G$190,"additional")</f>
        <v>0</v>
      </c>
      <c r="AH12" s="483">
        <f>SUMIFS(Nozzle!$I$1:$I93,Nozzle!$A$1:$A$93,"C49",Nozzle!$B$1:$B$93,"310",Nozzle!$F$1:$F$93,"ESSZ",Nozzle!$H$1:$H$93,"Incoming",Nozzle!$G$1:$G$93,"随机")</f>
        <v>0</v>
      </c>
      <c r="AI12" s="483">
        <f>SUMIFS(Nozzle!$I$1:$I93,Nozzle!$A$1:$A$93,"C49",Nozzle!$B$1:$B$93,"310",Nozzle!$F$1:$F$93,"ESSZ",Nozzle!$H$1:$H$93,"Incoming",Nozzle!$G$1:$G$93,"additional")</f>
        <v>0</v>
      </c>
      <c r="AJ12" s="483">
        <f>SUMIFS(Nozzle!$I$1:$I93,Nozzle!$A$1:$A$93,"C49",Nozzle!$B$1:$B$93,"310",Nozzle!$F$1:$F$93,"ESSZ",Nozzle!$H$1:$H$93,"TBA",Nozzle!$G$1:$G$93,"随机")</f>
        <v>0</v>
      </c>
      <c r="AK12" s="483">
        <f>SUMIFS(Nozzle!$I$1:$I93,Nozzle!$A$1:$A$93,"C49",Nozzle!$B$1:$B$93,"310",Nozzle!$F$1:$F$93,"ESSZ",Nozzle!$H$1:$H$93,"TBA",Nozzle!$G$1:$G$93,"additional")</f>
        <v>0</v>
      </c>
      <c r="AL12" s="484">
        <f>SUMIFS(Nozzle!$P$94:$P$190,Nozzle!$A$94:$A$190,"C49",Nozzle!$B$94:$B$190,"310",Nozzle!$F$94:$F$190,"ESSZ")</f>
        <v>0</v>
      </c>
      <c r="AM12" s="485"/>
      <c r="AN12" s="486">
        <f t="shared" si="14"/>
        <v>240</v>
      </c>
    </row>
    <row r="13" spans="1:40" ht="18">
      <c r="A13" s="468">
        <v>311</v>
      </c>
      <c r="B13" s="487">
        <f t="shared" si="2"/>
        <v>50</v>
      </c>
      <c r="C13" s="487">
        <f t="shared" si="3"/>
        <v>40</v>
      </c>
      <c r="D13" s="487">
        <f t="shared" si="4"/>
        <v>10</v>
      </c>
      <c r="E13" s="482">
        <f>SUMIFS(Nozzle!$I$1:$I93,Nozzle!$A$1:$A$93,"C49",Nozzle!$B$1:$B$93,"311",Nozzle!$F$1:$F$93,"ESEL",Nozzle!$H$1:$H$93,"STK",Nozzle!$G$1:$G$93,"随机")</f>
        <v>40</v>
      </c>
      <c r="F13" s="482">
        <f>SUMIFS(Nozzle!$I$1:$I93,Nozzle!$A$1:$A$93,"C49",Nozzle!$B$1:$B$93,"311",Nozzle!$F$1:$F$93,"ESEL",Nozzle!$H$1:$H$93,"STK",Nozzle!$G$1:$G$93,"additional")</f>
        <v>16</v>
      </c>
      <c r="G13" s="482">
        <f>SUMIFS(Nozzle!$O$94:$O$190,Nozzle!$A$94:$A$190,"C49",Nozzle!$B$94:$B$190,"311",Nozzle!$F$94:$F$190,"ESEL",Nozzle!$G$94:$G$190,"随机")</f>
        <v>0</v>
      </c>
      <c r="H13" s="482">
        <f>SUMIFS(Nozzle!$O$94:$O$190,Nozzle!$A$94:$A$190,"C49",Nozzle!$B$94:$B$190,"311",Nozzle!$F$94:$F$190,"ESEL",Nozzle!$G$94:$G$190,"additional")</f>
        <v>6</v>
      </c>
      <c r="I13" s="483">
        <f>SUMIFS(Nozzle!$I$1:$I93,Nozzle!$A$1:$A$93,"C49",Nozzle!$B$1:$B$93,"311",Nozzle!$F$1:$F$93,"ESEL",Nozzle!$H$1:$H$93,"Incoming",Nozzle!$G$1:$G$93,"随机")</f>
        <v>0</v>
      </c>
      <c r="J13" s="483">
        <f>SUMIFS(Nozzle!$I$1:$I93,Nozzle!$A$1:$A$93,"C49",Nozzle!$B$1:$B$93,"311",Nozzle!$F$1:$F$93,"ESEL",Nozzle!$H$1:$H$93,"Incoming",Nozzle!$G$1:$G$93,"additional")</f>
        <v>0</v>
      </c>
      <c r="K13" s="483">
        <f>SUMIFS(Nozzle!$I$1:$I93,Nozzle!$A$1:$A$93,"C49",Nozzle!$B$1:$B$93,"311",Nozzle!$F$1:$F$93,"ESEL",Nozzle!$H$1:$H$93,"TBA",Nozzle!$G$1:$G$93,"随机")</f>
        <v>30</v>
      </c>
      <c r="L13" s="483">
        <f>SUMIFS(Nozzle!$I$1:$I93,Nozzle!$A$1:$A$93,"C49",Nozzle!$B$1:$B$93,"311",Nozzle!$F$1:$F$93,"ESEL",Nozzle!$H$1:$H$93,"TBA",Nozzle!$G$1:$G$93,"additional")</f>
        <v>0</v>
      </c>
      <c r="M13" s="484">
        <f>SUMIFS(Nozzle!$P$94:$P$190,Nozzle!$A$94:$A$190,"C49",Nozzle!$B$94:$B$190,"311",Nozzle!$F$94:$F$190,"ESEL")</f>
        <v>0</v>
      </c>
      <c r="N13" s="485"/>
      <c r="O13" s="506">
        <f>B13+I13+J13+K13+L13-M13-N13</f>
        <v>80</v>
      </c>
      <c r="P13" s="526">
        <v>311</v>
      </c>
      <c r="Q13" s="524">
        <f t="shared" si="16"/>
        <v>166</v>
      </c>
      <c r="R13" s="524">
        <f t="shared" si="0"/>
        <v>126</v>
      </c>
      <c r="S13" s="519">
        <f t="shared" si="1"/>
        <v>0</v>
      </c>
      <c r="T13" s="519">
        <f t="shared" si="5"/>
        <v>106</v>
      </c>
      <c r="U13" s="519">
        <f t="shared" si="6"/>
        <v>40</v>
      </c>
      <c r="V13" s="519">
        <f t="shared" si="7"/>
        <v>0</v>
      </c>
      <c r="W13" s="523">
        <f t="shared" si="8"/>
        <v>40</v>
      </c>
      <c r="X13" s="523">
        <f t="shared" si="9"/>
        <v>106</v>
      </c>
      <c r="Y13" s="530">
        <f t="shared" si="10"/>
        <v>106</v>
      </c>
      <c r="Z13" s="507">
        <v>311</v>
      </c>
      <c r="AA13" s="487">
        <f t="shared" si="11"/>
        <v>106</v>
      </c>
      <c r="AB13" s="487">
        <f t="shared" si="12"/>
        <v>0</v>
      </c>
      <c r="AC13" s="487">
        <f>AE13-AG13</f>
        <v>106</v>
      </c>
      <c r="AD13" s="482">
        <f>SUMIFS(Nozzle!$I$1:$I93,Nozzle!$A$1:$A$93,"C49",Nozzle!$B$1:$B$93,"311",Nozzle!$F$1:$F$93,"ESSZ",Nozzle!$H$1:$H$93,"STK",Nozzle!$G$1:$G$93,"随机")</f>
        <v>0</v>
      </c>
      <c r="AE13" s="482">
        <f>SUMIFS(Nozzle!$I$1:$I93,Nozzle!$A$1:$A$93,"C49",Nozzle!$B$1:$B$93,"311",Nozzle!$F$1:$F$93,"ESSZ",Nozzle!$H$1:$H$93,"STK",Nozzle!$G$1:$G$93,"additional")</f>
        <v>325</v>
      </c>
      <c r="AF13" s="482">
        <f>SUMIFS(Nozzle!$O$94:$O$190,Nozzle!$A$94:$A$190,"C49",Nozzle!$B$94:$B$190,"311",Nozzle!$F$94:$F$190,"ESSZ",Nozzle!$G$94:$G$190,"随机")</f>
        <v>0</v>
      </c>
      <c r="AG13" s="482">
        <f>SUMIFS(Nozzle!$O$94:$O$190,Nozzle!$A$94:$A$190,"C49",Nozzle!$B$94:$B$190,"311",Nozzle!$F$94:$F$190,"ESSZ",Nozzle!$G$94:$G$190,"additional")</f>
        <v>219</v>
      </c>
      <c r="AH13" s="483">
        <f>SUMIFS(Nozzle!$I$1:$I93,Nozzle!$A$1:$A$93,"C49",Nozzle!$B$1:$B$93,"311",Nozzle!$F$1:$F$93,"ESSZ",Nozzle!$H$1:$H$93,"Incoming",Nozzle!$G$1:$G$93,"随机")</f>
        <v>0</v>
      </c>
      <c r="AI13" s="483">
        <f>SUMIFS(Nozzle!$I$1:$I93,Nozzle!$A$1:$A$93,"C49",Nozzle!$B$1:$B$93,"311",Nozzle!$F$1:$F$93,"ESSZ",Nozzle!$H$1:$H$93,"Incoming",Nozzle!$G$1:$G$93,"additional")</f>
        <v>0</v>
      </c>
      <c r="AJ13" s="483">
        <f>SUMIFS(Nozzle!$I$1:$I93,Nozzle!$A$1:$A$93,"C49",Nozzle!$B$1:$B$93,"311",Nozzle!$F$1:$F$93,"ESSZ",Nozzle!$H$1:$H$93,"TBA",Nozzle!$G$1:$G$93,"随机")</f>
        <v>0</v>
      </c>
      <c r="AK13" s="483">
        <f>SUMIFS(Nozzle!$I$1:$I93,Nozzle!$A$1:$A$93,"C49",Nozzle!$B$1:$B$93,"311",Nozzle!$F$1:$F$93,"ESSZ",Nozzle!$H$1:$H$93,"TBA",Nozzle!$G$1:$G$93,"additional")</f>
        <v>0</v>
      </c>
      <c r="AL13" s="484">
        <f>SUMIFS(Nozzle!$P$94:$P$190,Nozzle!$A$94:$A$190,"C49",Nozzle!$B$94:$B$190,"311",Nozzle!$F$94:$F$190,"ESSZ")</f>
        <v>0</v>
      </c>
      <c r="AM13" s="485"/>
      <c r="AN13" s="486">
        <f t="shared" si="14"/>
        <v>106</v>
      </c>
    </row>
    <row r="14" spans="1:40" s="48" customFormat="1" ht="18">
      <c r="A14" s="468">
        <v>312</v>
      </c>
      <c r="B14" s="487">
        <f t="shared" si="2"/>
        <v>67</v>
      </c>
      <c r="C14" s="487">
        <f t="shared" si="3"/>
        <v>0</v>
      </c>
      <c r="D14" s="487">
        <f t="shared" si="4"/>
        <v>67</v>
      </c>
      <c r="E14" s="482">
        <f>SUMIFS(Nozzle!$I$1:$I93,Nozzle!$A$1:$A$93,"C49",Nozzle!$B$1:$B$93,"312",Nozzle!$F$1:$F$93,"ESEL",Nozzle!$H$1:$H$93,"STK",Nozzle!$G$1:$G$93,"随机")</f>
        <v>0</v>
      </c>
      <c r="F14" s="482">
        <f>SUMIFS(Nozzle!$I$1:$I93,Nozzle!$A$1:$A$93,"C49",Nozzle!$B$1:$B$93,"312",Nozzle!$F$1:$F$93,"ESEL",Nozzle!$H$1:$H$93,"STK",Nozzle!$G$1:$G$93,"additional")</f>
        <v>173</v>
      </c>
      <c r="G14" s="482">
        <f>SUMIFS(Nozzle!$O$94:$O$190,Nozzle!$A$94:$A$190,"C49",Nozzle!$B$94:$B$190,"312",Nozzle!$F$94:$F$190,"ESEL",Nozzle!$G$94:$G$190,"随机")</f>
        <v>0</v>
      </c>
      <c r="H14" s="482">
        <f>SUMIFS(Nozzle!$O$94:$O$190,Nozzle!$A$94:$A$190,"C49",Nozzle!$B$94:$B$190,"312",Nozzle!$F$94:$F$190,"ESEL",Nozzle!$G$94:$G$190,"additional")</f>
        <v>106</v>
      </c>
      <c r="I14" s="483">
        <f>SUMIFS(Nozzle!$I$1:$I93,Nozzle!$A$1:$A$93,"C49",Nozzle!$B$1:$B$93,"312",Nozzle!$F$1:$F$93,"ESEL",Nozzle!$H$1:$H$93,"Incoming",Nozzle!$G$1:$G$93,"随机")</f>
        <v>0</v>
      </c>
      <c r="J14" s="483">
        <f>SUMIFS(Nozzle!$I$1:$I93,Nozzle!$A$1:$A$93,"C49",Nozzle!$B$1:$B$93,"312",Nozzle!$F$1:$F$93,"ESEL",Nozzle!$H$1:$H$93,"Incoming",Nozzle!$G$1:$G$93,"additional")</f>
        <v>0</v>
      </c>
      <c r="K14" s="483">
        <f>SUMIFS(Nozzle!$I$1:$I93,Nozzle!$A$1:$A$93,"C49",Nozzle!$B$1:$B$93,"312",Nozzle!$F$1:$F$93,"ESEL",Nozzle!$H$1:$H$93,"TBA",Nozzle!$G$1:$G$93,"随机")</f>
        <v>0</v>
      </c>
      <c r="L14" s="483">
        <f>SUMIFS(Nozzle!$I$1:$I93,Nozzle!$A$1:$A$93,"C49",Nozzle!$B$1:$B$93,"312",Nozzle!$F$1:$F$93,"ESEL",Nozzle!$H$1:$H$93,"TBA",Nozzle!$G$1:$G$93,"additional")</f>
        <v>0</v>
      </c>
      <c r="M14" s="484">
        <f>SUMIFS(Nozzle!$P$94:$P$190,Nozzle!$A$94:$A$190,"C49",Nozzle!$B$94:$B$190,"312",Nozzle!$F$94:$F$190,"ESEL")</f>
        <v>0</v>
      </c>
      <c r="N14" s="485"/>
      <c r="O14" s="506">
        <f t="shared" si="15"/>
        <v>67</v>
      </c>
      <c r="P14" s="526">
        <v>312</v>
      </c>
      <c r="Q14" s="524">
        <f t="shared" si="16"/>
        <v>205</v>
      </c>
      <c r="R14" s="524">
        <f t="shared" si="0"/>
        <v>205</v>
      </c>
      <c r="S14" s="519">
        <f t="shared" si="1"/>
        <v>67</v>
      </c>
      <c r="T14" s="519">
        <f t="shared" si="5"/>
        <v>148</v>
      </c>
      <c r="U14" s="519">
        <f t="shared" si="6"/>
        <v>0</v>
      </c>
      <c r="V14" s="519">
        <f t="shared" si="7"/>
        <v>0</v>
      </c>
      <c r="W14" s="523">
        <f t="shared" si="8"/>
        <v>67</v>
      </c>
      <c r="X14" s="523">
        <f t="shared" si="9"/>
        <v>148</v>
      </c>
      <c r="Y14" s="530">
        <f t="shared" si="10"/>
        <v>215</v>
      </c>
      <c r="Z14" s="507">
        <v>312</v>
      </c>
      <c r="AA14" s="487">
        <f t="shared" si="11"/>
        <v>148</v>
      </c>
      <c r="AB14" s="487">
        <f t="shared" si="12"/>
        <v>0</v>
      </c>
      <c r="AC14" s="487">
        <f t="shared" si="13"/>
        <v>148</v>
      </c>
      <c r="AD14" s="482">
        <f>SUMIFS(Nozzle!$I$1:$I93,Nozzle!$A$1:$A$93,"C49",Nozzle!$B$1:$B$93,"312",Nozzle!$F$1:$F$93,"ESSZ",Nozzle!$H$1:$H$93,"STK",Nozzle!$G$1:$G$93,"随机")</f>
        <v>0</v>
      </c>
      <c r="AE14" s="482">
        <f>SUMIFS(Nozzle!$I$1:$I93,Nozzle!$A$1:$A$93,"C49",Nozzle!$B$1:$B$93,"312",Nozzle!$F$1:$F$93,"ESSZ",Nozzle!$H$1:$H$93,"STK",Nozzle!$G$1:$G$93,"additional")</f>
        <v>148</v>
      </c>
      <c r="AF14" s="482">
        <f>SUMIFS(Nozzle!$O$94:$O$190,Nozzle!$A$94:$A$190,"C49",Nozzle!$B$94:$B$190,"312",Nozzle!$F$94:$F$190,"ESSZ",Nozzle!$G$94:$G$190,"随机")</f>
        <v>0</v>
      </c>
      <c r="AG14" s="482">
        <f>SUMIFS(Nozzle!$O$94:$O$190,Nozzle!$A$94:$A$190,"C49",Nozzle!$B$94:$B$190,"312",Nozzle!$F$94:$F$190,"ESSZ",Nozzle!$G$94:$G$190,"additional")</f>
        <v>0</v>
      </c>
      <c r="AH14" s="483">
        <f>SUMIFS(Nozzle!$I$1:$I93,Nozzle!$A$1:$A$93,"C49",Nozzle!$B$1:$B$93,"312",Nozzle!$F$1:$F$93,"ESSZ",Nozzle!$H$1:$H$93,"Incoming",Nozzle!$G$1:$G$93,"随机")</f>
        <v>0</v>
      </c>
      <c r="AI14" s="483">
        <f>SUMIFS(Nozzle!$I$1:$I93,Nozzle!$A$1:$A$93,"C49",Nozzle!$B$1:$B$93,"312",Nozzle!$F$1:$F$93,"ESSZ",Nozzle!$H$1:$H$93,"Incoming",Nozzle!$G$1:$G$93,"additional")</f>
        <v>0</v>
      </c>
      <c r="AJ14" s="483">
        <f>SUMIFS(Nozzle!$I$1:$I93,Nozzle!$A$1:$A$93,"C49",Nozzle!$B$1:$B$93,"312",Nozzle!$F$1:$F$93,"ESSZ",Nozzle!$H$1:$H$93,"TBA",Nozzle!$G$1:$G$93,"随机")</f>
        <v>0</v>
      </c>
      <c r="AK14" s="483">
        <f>SUMIFS(Nozzle!$I$1:$I93,Nozzle!$A$1:$A$93,"C49",Nozzle!$B$1:$B$93,"312",Nozzle!$F$1:$F$93,"ESSZ",Nozzle!$H$1:$H$93,"TBA",Nozzle!$G$1:$G$93,"additional")</f>
        <v>0</v>
      </c>
      <c r="AL14" s="484">
        <f>SUMIFS(Nozzle!$P$94:$P$190,Nozzle!$A$94:$A$190,"C49",Nozzle!$B$94:$B$190,"312",Nozzle!$F$94:$F$190,"ESSZ")</f>
        <v>0</v>
      </c>
      <c r="AM14" s="485"/>
      <c r="AN14" s="486">
        <f t="shared" si="14"/>
        <v>148</v>
      </c>
    </row>
    <row r="15" spans="1:40" s="48" customFormat="1" ht="18">
      <c r="A15" s="468">
        <v>313</v>
      </c>
      <c r="B15" s="487">
        <f t="shared" si="2"/>
        <v>30</v>
      </c>
      <c r="C15" s="487">
        <f t="shared" si="3"/>
        <v>20</v>
      </c>
      <c r="D15" s="487">
        <f t="shared" si="4"/>
        <v>10</v>
      </c>
      <c r="E15" s="482">
        <f>SUMIFS(Nozzle!$I$1:$I93,Nozzle!$A$1:$A$93,"C49",Nozzle!$B$1:$B$93,"313",Nozzle!$F$1:$F$93,"ESEL",Nozzle!$H$1:$H$93,"STK",Nozzle!$G$1:$G$93,"随机")</f>
        <v>30</v>
      </c>
      <c r="F15" s="482">
        <f>SUMIFS(Nozzle!$I$1:$I93,Nozzle!$A$1:$A$93,"C49",Nozzle!$B$1:$B$93,"313",Nozzle!$F$1:$F$93,"ESEL",Nozzle!$H$1:$H$93,"STK",Nozzle!$G$1:$G$93,"additional")</f>
        <v>10</v>
      </c>
      <c r="G15" s="482">
        <f>SUMIFS(Nozzle!$O$94:$O$190,Nozzle!$A$94:$A$190,"C49",Nozzle!$B$94:$B$190,"313",Nozzle!$F$94:$F$190,"ESEL",Nozzle!$G$94:$G$190,"随机")</f>
        <v>10</v>
      </c>
      <c r="H15" s="482">
        <f>SUMIFS(Nozzle!$O$94:$O$190,Nozzle!$A$94:$A$190,"C49",Nozzle!$B$94:$B$190,"313",Nozzle!$F$94:$F$190,"ESEL",Nozzle!$G$94:$G$190,"additional")</f>
        <v>0</v>
      </c>
      <c r="I15" s="483">
        <f>SUMIFS(Nozzle!$I$1:$I93,Nozzle!$A$1:$A$93,"C49",Nozzle!$B$1:$B$93,"313",Nozzle!$F$1:$F$93,"ESEL",Nozzle!$H$1:$H$93,"Incoming",Nozzle!$G$1:$G$93,"随机")</f>
        <v>0</v>
      </c>
      <c r="J15" s="483">
        <f>SUMIFS(Nozzle!$I$1:$I93,Nozzle!$A$1:$A$93,"C49",Nozzle!$B$1:$B$93,"313",Nozzle!$F$1:$F$93,"ESEL",Nozzle!$H$1:$H$93,"Incoming",Nozzle!$G$1:$G$93,"additional")</f>
        <v>0</v>
      </c>
      <c r="K15" s="483">
        <f>SUMIFS(Nozzle!$I$1:$I93,Nozzle!$A$1:$A$93,"C49",Nozzle!$B$1:$B$93,"313",Nozzle!$F$1:$F$93,"ESEL",Nozzle!$H$1:$H$93,"TBA",Nozzle!$G$1:$G$93,"随机")</f>
        <v>0</v>
      </c>
      <c r="L15" s="483">
        <f>SUMIFS(Nozzle!$I$1:$I93,Nozzle!$A$1:$A$93,"C49",Nozzle!$B$1:$B$93,"313",Nozzle!$F$1:$F$93,"ESEL",Nozzle!$H$1:$H$93,"TBA",Nozzle!$G$1:$G$93,"additional")</f>
        <v>0</v>
      </c>
      <c r="M15" s="484">
        <f>SUMIFS(Nozzle!$P$94:$P$190,Nozzle!$A$94:$A$190,"C49",Nozzle!$B$94:$B$190,"313",Nozzle!$F$94:$F$190,"ESEL")</f>
        <v>0</v>
      </c>
      <c r="N15" s="485"/>
      <c r="O15" s="506">
        <f t="shared" si="15"/>
        <v>30</v>
      </c>
      <c r="P15" s="526">
        <v>313</v>
      </c>
      <c r="Q15" s="524">
        <f t="shared" si="16"/>
        <v>176</v>
      </c>
      <c r="R15" s="524">
        <f t="shared" si="0"/>
        <v>156</v>
      </c>
      <c r="S15" s="519">
        <f t="shared" si="1"/>
        <v>10</v>
      </c>
      <c r="T15" s="519">
        <f t="shared" si="5"/>
        <v>151</v>
      </c>
      <c r="U15" s="519">
        <f t="shared" si="6"/>
        <v>20</v>
      </c>
      <c r="V15" s="519">
        <f t="shared" si="7"/>
        <v>0</v>
      </c>
      <c r="W15" s="523">
        <f t="shared" si="8"/>
        <v>30</v>
      </c>
      <c r="X15" s="523">
        <f t="shared" si="9"/>
        <v>151</v>
      </c>
      <c r="Y15" s="530">
        <f t="shared" si="10"/>
        <v>161</v>
      </c>
      <c r="Z15" s="507">
        <v>313</v>
      </c>
      <c r="AA15" s="487">
        <f t="shared" si="11"/>
        <v>151</v>
      </c>
      <c r="AB15" s="487">
        <f t="shared" si="12"/>
        <v>0</v>
      </c>
      <c r="AC15" s="487">
        <f t="shared" si="13"/>
        <v>151</v>
      </c>
      <c r="AD15" s="482">
        <f>SUMIFS(Nozzle!$I$1:$I93,Nozzle!$A$1:$A$93,"C49",Nozzle!$B$1:$B$93,"313",Nozzle!$F$1:$F$93,"ESSZ",Nozzle!$H$1:$H$93,"STK",Nozzle!$G$1:$G$93,"随机")</f>
        <v>0</v>
      </c>
      <c r="AE15" s="482">
        <f>SUMIFS(Nozzle!$I$1:$I93,Nozzle!$A$1:$A$93,"C49",Nozzle!$B$1:$B$93,"313",Nozzle!$F$1:$F$93,"ESSZ",Nozzle!$H$1:$H$93,"STK",Nozzle!$G$1:$G$93,"additional")</f>
        <v>151</v>
      </c>
      <c r="AF15" s="482">
        <f>SUMIFS(Nozzle!$O$94:$O$190,Nozzle!$A$94:$A$190,"C49",Nozzle!$B$94:$B$190,"313",Nozzle!$F$94:$F$190,"ESSZ",Nozzle!$G$94:$G$190,"随机")</f>
        <v>0</v>
      </c>
      <c r="AG15" s="482">
        <f>SUMIFS(Nozzle!$O$94:$O$190,Nozzle!$A$94:$A$190,"C49",Nozzle!$B$94:$B$190,"313",Nozzle!$F$94:$F$190,"ESSZ",Nozzle!$G$94:$G$190,"additional")</f>
        <v>0</v>
      </c>
      <c r="AH15" s="483">
        <f>SUMIFS(Nozzle!$I$1:$I93,Nozzle!$A$1:$A$93,"C49",Nozzle!$B$1:$B$93,"313",Nozzle!$F$1:$F$93,"ESSZ",Nozzle!$H$1:$H$93,"Incoming",Nozzle!$G$1:$G$93,"随机")</f>
        <v>0</v>
      </c>
      <c r="AI15" s="483">
        <f>SUMIFS(Nozzle!$I$1:$I93,Nozzle!$A$1:$A$93,"C49",Nozzle!$B$1:$B$93,"313",Nozzle!$F$1:$F$93,"ESSZ",Nozzle!$H$1:$H$93,"Incoming",Nozzle!$G$1:$G$93,"additional")</f>
        <v>0</v>
      </c>
      <c r="AJ15" s="483">
        <f>SUMIFS(Nozzle!$I$1:$I93,Nozzle!$A$1:$A$93,"C49",Nozzle!$B$1:$B$93,"313",Nozzle!$F$1:$F$93,"ESSZ",Nozzle!$H$1:$H$93,"TBA",Nozzle!$G$1:$G$93,"随机")</f>
        <v>0</v>
      </c>
      <c r="AK15" s="483">
        <f>SUMIFS(Nozzle!$I$1:$I93,Nozzle!$A$1:$A$93,"C49",Nozzle!$B$1:$B$93,"313",Nozzle!$F$1:$F$93,"ESSZ",Nozzle!$H$1:$H$93,"TBA",Nozzle!$G$1:$G$93,"additional")</f>
        <v>0</v>
      </c>
      <c r="AL15" s="484">
        <f>SUMIFS(Nozzle!$P$94:$P$190,Nozzle!$A$94:$A$190,"C49",Nozzle!$B$94:$B$190,"313",Nozzle!$F$94:$F$190,"ESSZ")</f>
        <v>0</v>
      </c>
      <c r="AM15" s="485"/>
      <c r="AN15" s="486">
        <f t="shared" si="14"/>
        <v>151</v>
      </c>
    </row>
    <row r="16" spans="1:40" s="48" customFormat="1" ht="18">
      <c r="A16" s="468">
        <v>7202</v>
      </c>
      <c r="B16" s="487">
        <f t="shared" si="2"/>
        <v>26</v>
      </c>
      <c r="C16" s="487">
        <f t="shared" si="3"/>
        <v>0</v>
      </c>
      <c r="D16" s="487">
        <f t="shared" si="4"/>
        <v>26</v>
      </c>
      <c r="E16" s="482">
        <f>SUMIFS(Nozzle!$I$1:$I93,Nozzle!$A$1:$A$93,"C49",Nozzle!$B$1:$B$93,"7202",Nozzle!$F$1:$F$93,"ESEL",Nozzle!$H$1:$H$93,"STK",Nozzle!$G$1:$G$93,"随机")</f>
        <v>0</v>
      </c>
      <c r="F16" s="482">
        <f>SUMIFS(Nozzle!$I$1:$I93,Nozzle!$A$1:$A$93,"C49",Nozzle!$B$1:$B$93,"7202",Nozzle!$F$1:$F$93,"ESEL",Nozzle!$H$1:$H$93,"STK",Nozzle!$G$1:$G$93,"additional")</f>
        <v>26</v>
      </c>
      <c r="G16" s="482">
        <f>SUMIFS(Nozzle!$O$94:$O$190,Nozzle!$A$94:$A$190,"C49",Nozzle!$B$94:$B$190,"7202",Nozzle!$F$94:$F$190,"ESEL",Nozzle!$G$94:$G$190,"随机")</f>
        <v>0</v>
      </c>
      <c r="H16" s="482">
        <f>SUMIFS(Nozzle!$O$94:$O$190,Nozzle!$A$94:$A$190,"C49",Nozzle!$B$94:$B$190,"7202",Nozzle!$F$94:$F$190,"ESEL",Nozzle!$G$94:$G$190,"additional")</f>
        <v>0</v>
      </c>
      <c r="I16" s="483">
        <f>SUMIFS(Nozzle!$I$1:$I93,Nozzle!$A$1:$A$93,"C49",Nozzle!$B$1:$B$93,"7202",Nozzle!$F$1:$F$93,"ESEL",Nozzle!$H$1:$H$93,"Incoming",Nozzle!$G$1:$G$93,"随机")</f>
        <v>0</v>
      </c>
      <c r="J16" s="483">
        <f>SUMIFS(Nozzle!$I$1:$I93,Nozzle!$A$1:$A$93,"C49",Nozzle!$B$1:$B$93,"7202",Nozzle!$F$1:$F$93,"ESEL",Nozzle!$H$1:$H$93,"Incoming",Nozzle!$G$1:$G$93,"additional")</f>
        <v>0</v>
      </c>
      <c r="K16" s="483">
        <f>SUMIFS(Nozzle!$I$1:$I93,Nozzle!$A$1:$A$93,"C49",Nozzle!$B$1:$B$93,"7202",Nozzle!$F$1:$F$93,"ESEL",Nozzle!$H$1:$H$93,"TBA",Nozzle!$G$1:$G$93,"随机")</f>
        <v>0</v>
      </c>
      <c r="L16" s="483">
        <f>SUMIFS(Nozzle!$I$1:$I93,Nozzle!$A$1:$A$93,"C49",Nozzle!$B$1:$B$93,"7202",Nozzle!$F$1:$F$93,"ESEL",Nozzle!$H$1:$H$93,"TBA",Nozzle!$G$1:$G$93,"additional")</f>
        <v>0</v>
      </c>
      <c r="M16" s="484">
        <f>SUMIFS(Nozzle!$P$94:$P$190,Nozzle!$A$94:$A$190,"C49",Nozzle!$B$94:$B$190,"7202",Nozzle!$F$94:$F$190,"ESEL")</f>
        <v>0</v>
      </c>
      <c r="N16" s="485"/>
      <c r="O16" s="506">
        <f t="shared" si="15"/>
        <v>26</v>
      </c>
      <c r="P16" s="526">
        <v>7202</v>
      </c>
      <c r="Q16" s="524">
        <f t="shared" si="16"/>
        <v>26</v>
      </c>
      <c r="R16" s="524">
        <f t="shared" si="0"/>
        <v>26</v>
      </c>
      <c r="S16" s="519">
        <f t="shared" si="1"/>
        <v>26</v>
      </c>
      <c r="T16" s="519">
        <f t="shared" si="5"/>
        <v>0</v>
      </c>
      <c r="U16" s="519">
        <f t="shared" si="6"/>
        <v>0</v>
      </c>
      <c r="V16" s="519">
        <f t="shared" si="7"/>
        <v>0</v>
      </c>
      <c r="W16" s="523">
        <f t="shared" si="8"/>
        <v>26</v>
      </c>
      <c r="X16" s="523">
        <f t="shared" si="9"/>
        <v>0</v>
      </c>
      <c r="Y16" s="530">
        <f t="shared" si="10"/>
        <v>26</v>
      </c>
      <c r="Z16" s="507">
        <v>7202</v>
      </c>
      <c r="AA16" s="487">
        <f t="shared" si="11"/>
        <v>0</v>
      </c>
      <c r="AB16" s="487">
        <f t="shared" si="12"/>
        <v>0</v>
      </c>
      <c r="AC16" s="487">
        <f t="shared" si="13"/>
        <v>0</v>
      </c>
      <c r="AD16" s="482">
        <f>SUMIFS(Nozzle!$I$1:$I93,Nozzle!$A$1:$A$93,"C49",Nozzle!$B$1:$B$93,"7202",Nozzle!$F$1:$F$93,"ESSZ",Nozzle!$H$1:$H$93,"STK",Nozzle!$G$1:$G$93,"随机")</f>
        <v>0</v>
      </c>
      <c r="AE16" s="482">
        <f>SUMIFS(Nozzle!$I$1:$I93,Nozzle!$A$1:$A$93,"C49",Nozzle!$B$1:$B$93,"7202",Nozzle!$F$1:$F$93,"ESSZ",Nozzle!$H$1:$H$93,"STK",Nozzle!$G$1:$G$93,"additional")</f>
        <v>0</v>
      </c>
      <c r="AF16" s="482">
        <f>SUMIFS(Nozzle!$O$94:$O$190,Nozzle!$A$94:$A$190,"C49",Nozzle!$B$94:$B$190,"7202",Nozzle!$F$94:$F$190,"ESSZ",Nozzle!$G$94:$G$190,"随机")</f>
        <v>0</v>
      </c>
      <c r="AG16" s="482">
        <f>SUMIFS(Nozzle!$O$94:$O$190,Nozzle!$A$94:$A$190,"C49",Nozzle!$B$94:$B$190,"7202",Nozzle!$F$94:$F$190,"ESSZ",Nozzle!$G$94:$G$190,"additional")</f>
        <v>0</v>
      </c>
      <c r="AH16" s="483">
        <f>SUMIFS(Nozzle!$I$1:$I93,Nozzle!$A$1:$A$93,"C49",Nozzle!$B$1:$B$93,"7202",Nozzle!$F$1:$F$93,"ESSZ",Nozzle!$H$1:$H$93,"Incoming",Nozzle!$G$1:$G$93,"随机")</f>
        <v>0</v>
      </c>
      <c r="AI16" s="483">
        <f>SUMIFS(Nozzle!$I$1:$I93,Nozzle!$A$1:$A$93,"C49",Nozzle!$B$1:$B$93,"7202",Nozzle!$F$1:$F$93,"ESSZ",Nozzle!$H$1:$H$93,"Incoming",Nozzle!$G$1:$G$93,"additional")</f>
        <v>0</v>
      </c>
      <c r="AJ16" s="483">
        <f>SUMIFS(Nozzle!$I$1:$I93,Nozzle!$A$1:$A$93,"C49",Nozzle!$B$1:$B$93,"7202",Nozzle!$F$1:$F$93,"ESSZ",Nozzle!$H$1:$H$93,"TBA",Nozzle!$G$1:$G$93,"随机")</f>
        <v>0</v>
      </c>
      <c r="AK16" s="483">
        <f>SUMIFS(Nozzle!$I$1:$I93,Nozzle!$A$1:$A$93,"C49",Nozzle!$B$1:$B$93,"7202",Nozzle!$F$1:$F$93,"ESSZ",Nozzle!$H$1:$H$93,"TBA",Nozzle!$G$1:$G$93,"additional")</f>
        <v>0</v>
      </c>
      <c r="AL16" s="484">
        <f>SUMIFS(Nozzle!$P$94:$P$190,Nozzle!$A$94:$A$190,"C49",Nozzle!$B$94:$B$190,"7202",Nozzle!$F$94:$F$190,"ESSZ")</f>
        <v>0</v>
      </c>
      <c r="AM16" s="485"/>
      <c r="AN16" s="486">
        <f t="shared" si="14"/>
        <v>0</v>
      </c>
    </row>
    <row r="17" spans="1:40" s="48" customFormat="1" ht="18">
      <c r="A17" s="468">
        <v>7203</v>
      </c>
      <c r="B17" s="487">
        <f t="shared" si="2"/>
        <v>5</v>
      </c>
      <c r="C17" s="487">
        <f t="shared" si="3"/>
        <v>0</v>
      </c>
      <c r="D17" s="487">
        <f t="shared" si="4"/>
        <v>5</v>
      </c>
      <c r="E17" s="482">
        <f>SUMIFS(Nozzle!$I$1:$I93,Nozzle!$A$1:$A$93,"C49",Nozzle!$B$1:$B$93,"7203",Nozzle!$F$1:$F$93,"ESEL",Nozzle!$H$1:$H$93,"STK",Nozzle!$G$1:$G$93,"随机")</f>
        <v>0</v>
      </c>
      <c r="F17" s="482">
        <f>SUMIFS(Nozzle!$I$1:$I93,Nozzle!$A$1:$A$93,"C49",Nozzle!$B$1:$B$93,"7203",Nozzle!$F$1:$F$93,"ESEL",Nozzle!$H$1:$H$93,"STK",Nozzle!$G$1:$G$93,"additional")</f>
        <v>5</v>
      </c>
      <c r="G17" s="482">
        <f>SUMIFS(Nozzle!$O$94:$O$190,Nozzle!$A$94:$A$190,"C49",Nozzle!$B$94:$B$190,"7203",Nozzle!$F$94:$F$190,"ESEL",Nozzle!$G$94:$G$190,"随机")</f>
        <v>0</v>
      </c>
      <c r="H17" s="482">
        <f>SUMIFS(Nozzle!$O$94:$O$190,Nozzle!$A$94:$A$190,"C49",Nozzle!$B$94:$B$190,"7203",Nozzle!$F$94:$F$190,"ESEL",Nozzle!$G$94:$G$190,"additional")</f>
        <v>0</v>
      </c>
      <c r="I17" s="483">
        <f>SUMIFS(Nozzle!$I$1:$I93,Nozzle!$A$1:$A$93,"C49",Nozzle!$B$1:$B$93,"7203",Nozzle!$F$1:$F$93,"ESEL",Nozzle!$H$1:$H$93,"Incoming",Nozzle!$G$1:$G$93,"随机")</f>
        <v>0</v>
      </c>
      <c r="J17" s="483">
        <f>SUMIFS(Nozzle!$I$1:$I93,Nozzle!$A$1:$A$93,"C49",Nozzle!$B$1:$B$93,"7203",Nozzle!$F$1:$F$93,"ESEL",Nozzle!$H$1:$H$93,"Incoming",Nozzle!$G$1:$G$93,"additional")</f>
        <v>0</v>
      </c>
      <c r="K17" s="483">
        <f>SUMIFS(Nozzle!$I$1:$I93,Nozzle!$A$1:$A$93,"C49",Nozzle!$B$1:$B$93,"7203",Nozzle!$F$1:$F$93,"ESEL",Nozzle!$H$1:$H$93,"TBA",Nozzle!$G$1:$G$93,"随机")</f>
        <v>0</v>
      </c>
      <c r="L17" s="483">
        <f>SUMIFS(Nozzle!$I$1:$I93,Nozzle!$A$1:$A$93,"C49",Nozzle!$B$1:$B$93,"7203",Nozzle!$F$1:$F$93,"ESEL",Nozzle!$H$1:$H$93,"TBA",Nozzle!$G$1:$G$93,"additional")</f>
        <v>0</v>
      </c>
      <c r="M17" s="484">
        <f>SUMIFS(Nozzle!$P$94:$P$190,Nozzle!$A$94:$A$190,"C49",Nozzle!$B$94:$B$190,"7203",Nozzle!$F$94:$F$190,"ESEL")</f>
        <v>0</v>
      </c>
      <c r="N17" s="485"/>
      <c r="O17" s="506">
        <f t="shared" si="15"/>
        <v>5</v>
      </c>
      <c r="P17" s="526">
        <v>7203</v>
      </c>
      <c r="Q17" s="524">
        <f t="shared" si="16"/>
        <v>5</v>
      </c>
      <c r="R17" s="524">
        <f t="shared" si="0"/>
        <v>5</v>
      </c>
      <c r="S17" s="519">
        <f t="shared" si="1"/>
        <v>5</v>
      </c>
      <c r="T17" s="519">
        <f t="shared" si="5"/>
        <v>0</v>
      </c>
      <c r="U17" s="519">
        <f t="shared" si="6"/>
        <v>0</v>
      </c>
      <c r="V17" s="519">
        <f t="shared" si="7"/>
        <v>0</v>
      </c>
      <c r="W17" s="523">
        <f t="shared" si="8"/>
        <v>5</v>
      </c>
      <c r="X17" s="523">
        <f t="shared" si="9"/>
        <v>0</v>
      </c>
      <c r="Y17" s="530">
        <f t="shared" si="10"/>
        <v>5</v>
      </c>
      <c r="Z17" s="507">
        <v>7203</v>
      </c>
      <c r="AA17" s="487">
        <f t="shared" si="11"/>
        <v>0</v>
      </c>
      <c r="AB17" s="487">
        <f t="shared" si="12"/>
        <v>0</v>
      </c>
      <c r="AC17" s="487">
        <f t="shared" si="13"/>
        <v>0</v>
      </c>
      <c r="AD17" s="482">
        <f>SUMIFS(Nozzle!$I$1:$I93,Nozzle!$A$1:$A$93,"C49",Nozzle!$B$1:$B$93,"7203",Nozzle!$F$1:$F$93,"ESSZ",Nozzle!$H$1:$H$93,"STK",Nozzle!$G$1:$G$93,"随机")</f>
        <v>0</v>
      </c>
      <c r="AE17" s="482">
        <f>SUMIFS(Nozzle!$I$1:$I93,Nozzle!$A$1:$A$93,"C49",Nozzle!$B$1:$B$93,"7203",Nozzle!$F$1:$F$93,"ESSZ",Nozzle!$H$1:$H$93,"STK",Nozzle!$G$1:$G$93,"additional")</f>
        <v>0</v>
      </c>
      <c r="AF17" s="482">
        <f>SUMIFS(Nozzle!$O$94:$O$190,Nozzle!$A$94:$A$190,"C49",Nozzle!$B$94:$B$190,"7203",Nozzle!$F$94:$F$190,"ESSZ",Nozzle!$G$94:$G$190,"随机")</f>
        <v>0</v>
      </c>
      <c r="AG17" s="482">
        <f>SUMIFS(Nozzle!$O$94:$O$190,Nozzle!$A$94:$A$190,"C49",Nozzle!$B$94:$B$190,"7203",Nozzle!$F$94:$F$190,"ESSZ",Nozzle!$G$94:$G$190,"additional")</f>
        <v>0</v>
      </c>
      <c r="AH17" s="483">
        <f>SUMIFS(Nozzle!$I$1:$I93,Nozzle!$A$1:$A$93,"C49",Nozzle!$B$1:$B$93,"7203",Nozzle!$F$1:$F$93,"ESSZ",Nozzle!$H$1:$H$93,"Incoming",Nozzle!$G$1:$G$93,"随机")</f>
        <v>0</v>
      </c>
      <c r="AI17" s="483">
        <f>SUMIFS(Nozzle!$I$1:$I93,Nozzle!$A$1:$A$93,"C49",Nozzle!$B$1:$B$93,"7203",Nozzle!$F$1:$F$93,"ESSZ",Nozzle!$H$1:$H$93,"Incoming",Nozzle!$G$1:$G$93,"additional")</f>
        <v>0</v>
      </c>
      <c r="AJ17" s="483">
        <f>SUMIFS(Nozzle!$I$1:$I93,Nozzle!$A$1:$A$93,"C49",Nozzle!$B$1:$B$93,"7203",Nozzle!$F$1:$F$93,"ESSZ",Nozzle!$H$1:$H$93,"TBA",Nozzle!$G$1:$G$93,"随机")</f>
        <v>0</v>
      </c>
      <c r="AK17" s="483">
        <f>SUMIFS(Nozzle!$I$1:$I93,Nozzle!$A$1:$A$93,"C49",Nozzle!$B$1:$B$93,"7203",Nozzle!$F$1:$F$93,"ESSZ",Nozzle!$H$1:$H$93,"TBA",Nozzle!$G$1:$G$93,"additional")</f>
        <v>0</v>
      </c>
      <c r="AL17" s="484">
        <f>SUMIFS(Nozzle!$P$94:$P$190,Nozzle!$A$94:$A$190,"C49",Nozzle!$B$94:$B$190,"7203",Nozzle!$F$94:$F$190,"ESSZ")</f>
        <v>0</v>
      </c>
      <c r="AM17" s="485"/>
      <c r="AN17" s="486">
        <f t="shared" si="14"/>
        <v>0</v>
      </c>
    </row>
    <row r="18" spans="1:40" s="48" customFormat="1" ht="18">
      <c r="A18" s="468">
        <v>7204</v>
      </c>
      <c r="B18" s="487">
        <f t="shared" si="2"/>
        <v>6</v>
      </c>
      <c r="C18" s="487">
        <f t="shared" si="3"/>
        <v>0</v>
      </c>
      <c r="D18" s="487">
        <f t="shared" si="4"/>
        <v>6</v>
      </c>
      <c r="E18" s="482">
        <f>SUMIFS(Nozzle!$I$1:$I93,Nozzle!$A$1:$A$93,"C49",Nozzle!$B$1:$B$93,"7204",Nozzle!$F$1:$F$93,"ESEL",Nozzle!$H$1:$H$93,"STK",Nozzle!$G$1:$G$93,"随机")</f>
        <v>0</v>
      </c>
      <c r="F18" s="482">
        <f>SUMIFS(Nozzle!$I$1:$I93,Nozzle!$A$1:$A$93,"C49",Nozzle!$B$1:$B$93,"7204",Nozzle!$F$1:$F$93,"ESEL",Nozzle!$H$1:$H$93,"STK",Nozzle!$G$1:$G$93,"additional")</f>
        <v>6</v>
      </c>
      <c r="G18" s="482">
        <f>SUMIFS(Nozzle!$O$94:$O$190,Nozzle!$A$94:$A$190,"C49",Nozzle!$B$94:$B$190,"7204",Nozzle!$F$94:$F$190,"ESEL",Nozzle!$G$94:$G$190,"随机")</f>
        <v>0</v>
      </c>
      <c r="H18" s="482">
        <f>SUMIFS(Nozzle!$O$94:$O$190,Nozzle!$A$94:$A$190,"C49",Nozzle!$B$94:$B$190,"7204",Nozzle!$F$94:$F$190,"ESEL",Nozzle!$G$94:$G$190,"additional")</f>
        <v>0</v>
      </c>
      <c r="I18" s="483">
        <f>SUMIFS(Nozzle!$I$1:$I93,Nozzle!$A$1:$A$93,"C49",Nozzle!$B$1:$B$93,"7204",Nozzle!$F$1:$F$93,"ESEL",Nozzle!$H$1:$H$93,"Incoming",Nozzle!$G$1:$G$93,"随机")</f>
        <v>0</v>
      </c>
      <c r="J18" s="483">
        <f>SUMIFS(Nozzle!$I$1:$I93,Nozzle!$A$1:$A$93,"C49",Nozzle!$B$1:$B$93,"7204",Nozzle!$F$1:$F$93,"ESEL",Nozzle!$H$1:$H$93,"Incoming",Nozzle!$G$1:$G$93,"additional")</f>
        <v>0</v>
      </c>
      <c r="K18" s="483">
        <f>SUMIFS(Nozzle!$I$1:$I93,Nozzle!$A$1:$A$93,"C49",Nozzle!$B$1:$B$93,"7204",Nozzle!$F$1:$F$93,"ESEL",Nozzle!$H$1:$H$93,"TBA",Nozzle!$G$1:$G$93,"随机")</f>
        <v>0</v>
      </c>
      <c r="L18" s="483">
        <f>SUMIFS(Nozzle!$I$1:$I93,Nozzle!$A$1:$A$93,"C49",Nozzle!$B$1:$B$93,"7204",Nozzle!$F$1:$F$93,"ESEL",Nozzle!$H$1:$H$93,"TBA",Nozzle!$G$1:$G$93,"additional")</f>
        <v>0</v>
      </c>
      <c r="M18" s="484">
        <f>SUMIFS(Nozzle!$P$94:$P$190,Nozzle!$A$94:$A$190,"C49",Nozzle!$B$94:$B$190,"7204",Nozzle!$F$94:$F$190,"ESEL")</f>
        <v>0</v>
      </c>
      <c r="N18" s="485"/>
      <c r="O18" s="506">
        <f t="shared" si="15"/>
        <v>6</v>
      </c>
      <c r="P18" s="526">
        <v>7204</v>
      </c>
      <c r="Q18" s="524">
        <f t="shared" si="16"/>
        <v>6</v>
      </c>
      <c r="R18" s="525">
        <f t="shared" si="0"/>
        <v>6</v>
      </c>
      <c r="S18" s="519">
        <f t="shared" si="1"/>
        <v>6</v>
      </c>
      <c r="T18" s="519">
        <f t="shared" si="5"/>
        <v>0</v>
      </c>
      <c r="U18" s="519">
        <f t="shared" si="6"/>
        <v>0</v>
      </c>
      <c r="V18" s="519">
        <f t="shared" si="7"/>
        <v>0</v>
      </c>
      <c r="W18" s="523">
        <f t="shared" si="8"/>
        <v>6</v>
      </c>
      <c r="X18" s="523">
        <f t="shared" si="9"/>
        <v>0</v>
      </c>
      <c r="Y18" s="530">
        <f t="shared" si="10"/>
        <v>6</v>
      </c>
      <c r="Z18" s="507">
        <v>7204</v>
      </c>
      <c r="AA18" s="487">
        <f t="shared" si="11"/>
        <v>0</v>
      </c>
      <c r="AB18" s="487">
        <f t="shared" si="12"/>
        <v>0</v>
      </c>
      <c r="AC18" s="487">
        <f t="shared" si="13"/>
        <v>0</v>
      </c>
      <c r="AD18" s="482">
        <f>SUMIFS(Nozzle!$I$1:$I93,Nozzle!$A$1:$A$93,"C49",Nozzle!$B$1:$B$93,"7204",Nozzle!$F$1:$F$93,"ESSZ",Nozzle!$H$1:$H$93,"STK",Nozzle!$G$1:$G$93,"随机")</f>
        <v>0</v>
      </c>
      <c r="AE18" s="482">
        <f>SUMIFS(Nozzle!$I$1:$I93,Nozzle!$A$1:$A$93,"C49",Nozzle!$B$1:$B$93,"7204",Nozzle!$F$1:$F$93,"ESSZ",Nozzle!$H$1:$H$93,"STK",Nozzle!$G$1:$G$93,"additional")</f>
        <v>0</v>
      </c>
      <c r="AF18" s="482">
        <f>SUMIFS(Nozzle!$O$94:$O$190,Nozzle!$A$94:$A$190,"C49",Nozzle!$B$94:$B$190,"7204",Nozzle!$F$94:$F$190,"ESSZ",Nozzle!$G$94:$G$190,"随机")</f>
        <v>0</v>
      </c>
      <c r="AG18" s="482">
        <f>SUMIFS(Nozzle!$O$94:$O$190,Nozzle!$A$94:$A$190,"C49",Nozzle!$B$94:$B$190,"7204",Nozzle!$F$94:$F$190,"ESSZ",Nozzle!$G$94:$G$190,"additional")</f>
        <v>0</v>
      </c>
      <c r="AH18" s="483">
        <f>SUMIFS(Nozzle!$I$1:$I93,Nozzle!$A$1:$A$93,"C49",Nozzle!$B$1:$B$93,"7204",Nozzle!$F$1:$F$93,"ESSZ",Nozzle!$H$1:$H$93,"Incoming",Nozzle!$G$1:$G$93,"随机")</f>
        <v>0</v>
      </c>
      <c r="AI18" s="483">
        <f>SUMIFS(Nozzle!$I$1:$I93,Nozzle!$A$1:$A$93,"C49",Nozzle!$B$1:$B$93,"7204",Nozzle!$F$1:$F$93,"ESSZ",Nozzle!$H$1:$H$93,"Incoming",Nozzle!$G$1:$G$93,"additional")</f>
        <v>0</v>
      </c>
      <c r="AJ18" s="483">
        <f>SUMIFS(Nozzle!$I$1:$I93,Nozzle!$A$1:$A$93,"C49",Nozzle!$B$1:$B$93,"7204",Nozzle!$F$1:$F$93,"ESSZ",Nozzle!$H$1:$H$93,"TBA",Nozzle!$G$1:$G$93,"随机")</f>
        <v>0</v>
      </c>
      <c r="AK18" s="483">
        <f>SUMIFS(Nozzle!$I$1:$I93,Nozzle!$A$1:$A$93,"C49",Nozzle!$B$1:$B$93,"7204",Nozzle!$F$1:$F$93,"ESSZ",Nozzle!$H$1:$H$93,"TBA",Nozzle!$G$1:$G$93,"additional")</f>
        <v>0</v>
      </c>
      <c r="AL18" s="484">
        <f>SUMIFS(Nozzle!$P$94:$P$190,Nozzle!$A$94:$A$190,"C49",Nozzle!$B$94:$B$190,"7204",Nozzle!$F$94:$F$190,"ESSZ")</f>
        <v>0</v>
      </c>
      <c r="AM18" s="485"/>
      <c r="AN18" s="486">
        <f t="shared" si="14"/>
        <v>0</v>
      </c>
    </row>
    <row r="19" spans="1:40" ht="18">
      <c r="A19" s="468">
        <v>7205</v>
      </c>
      <c r="B19" s="487">
        <f t="shared" si="2"/>
        <v>54</v>
      </c>
      <c r="C19" s="487">
        <f t="shared" si="3"/>
        <v>0</v>
      </c>
      <c r="D19" s="487">
        <f t="shared" si="4"/>
        <v>54</v>
      </c>
      <c r="E19" s="482">
        <f>SUMIFS(Nozzle!$I$1:$I93,Nozzle!$A$1:$A$93,"C49",Nozzle!$B$1:$B$93,"7205",Nozzle!$F$1:$F$93,"ESEL",Nozzle!$H$1:$H$93,"STK",Nozzle!$G$1:$G$93,"随机")</f>
        <v>0</v>
      </c>
      <c r="F19" s="482">
        <f>SUMIFS(Nozzle!$I$1:$I93,Nozzle!$A$1:$A$93,"C49",Nozzle!$B$1:$B$93,"7205",Nozzle!$F$1:$F$93,"ESEL",Nozzle!$H$1:$H$93,"STK",Nozzle!$G$1:$G$93,"additional")</f>
        <v>54</v>
      </c>
      <c r="G19" s="482">
        <f>SUMIFS(Nozzle!$O$94:$O$190,Nozzle!$A$94:$A$190,"C49",Nozzle!$B$94:$B$190,"7205",Nozzle!$F$94:$F$190,"ESEL",Nozzle!$G$94:$G$190,"随机")</f>
        <v>0</v>
      </c>
      <c r="H19" s="482">
        <f>SUMIFS(Nozzle!$O$94:$O$190,Nozzle!$A$94:$A$190,"C49",Nozzle!$B$94:$B$190,"7205",Nozzle!$F$94:$F$190,"ESEL",Nozzle!$G$94:$G$190,"additional")</f>
        <v>0</v>
      </c>
      <c r="I19" s="483">
        <f>SUMIFS(Nozzle!$I$1:$I93,Nozzle!$A$1:$A$93,"C49",Nozzle!$B$1:$B$93,"7205",Nozzle!$F$1:$F$93,"ESEL",Nozzle!$H$1:$H$93,"Incoming",Nozzle!$G$1:$G$93,"随机")</f>
        <v>0</v>
      </c>
      <c r="J19" s="483">
        <f>SUMIFS(Nozzle!$I$1:$I93,Nozzle!$A$1:$A$93,"C49",Nozzle!$B$1:$B$93,"7205",Nozzle!$F$1:$F$93,"ESEL",Nozzle!$H$1:$H$93,"Incoming",Nozzle!$G$1:$G$93,"additional")</f>
        <v>0</v>
      </c>
      <c r="K19" s="483">
        <f>SUMIFS(Nozzle!$I$1:$I93,Nozzle!$A$1:$A$93,"C49",Nozzle!$B$1:$B$93,"7205",Nozzle!$F$1:$F$93,"ESEL",Nozzle!$H$1:$H$93,"TBA",Nozzle!$G$1:$G$93,"随机")</f>
        <v>0</v>
      </c>
      <c r="L19" s="483">
        <f>SUMIFS(Nozzle!$I$1:$I93,Nozzle!$A$1:$A$93,"C49",Nozzle!$B$1:$B$93,"7205",Nozzle!$F$1:$F$93,"ESEL",Nozzle!$H$1:$H$93,"TBA",Nozzle!$G$1:$G$93,"additional")</f>
        <v>0</v>
      </c>
      <c r="M19" s="484">
        <f>SUMIFS(Nozzle!$P$94:$P$190,Nozzle!$A$94:$A$190,"C49",Nozzle!$B$94:$B$190,"7205",Nozzle!$F$94:$F$190,"ESEL")</f>
        <v>0</v>
      </c>
      <c r="N19" s="485"/>
      <c r="O19" s="506">
        <f t="shared" si="15"/>
        <v>54</v>
      </c>
      <c r="P19" s="526">
        <v>7205</v>
      </c>
      <c r="Q19" s="524">
        <f t="shared" si="16"/>
        <v>54</v>
      </c>
      <c r="R19" s="524">
        <f t="shared" si="0"/>
        <v>54</v>
      </c>
      <c r="S19" s="519">
        <f t="shared" si="1"/>
        <v>54</v>
      </c>
      <c r="T19" s="519">
        <f t="shared" si="5"/>
        <v>0</v>
      </c>
      <c r="U19" s="519">
        <f t="shared" si="6"/>
        <v>0</v>
      </c>
      <c r="V19" s="519">
        <f t="shared" si="7"/>
        <v>0</v>
      </c>
      <c r="W19" s="523">
        <f t="shared" si="8"/>
        <v>54</v>
      </c>
      <c r="X19" s="523">
        <f t="shared" si="9"/>
        <v>0</v>
      </c>
      <c r="Y19" s="530">
        <f t="shared" si="10"/>
        <v>54</v>
      </c>
      <c r="Z19" s="507">
        <v>7205</v>
      </c>
      <c r="AA19" s="487">
        <f t="shared" si="11"/>
        <v>0</v>
      </c>
      <c r="AB19" s="487">
        <f t="shared" si="12"/>
        <v>0</v>
      </c>
      <c r="AC19" s="487">
        <f t="shared" si="13"/>
        <v>0</v>
      </c>
      <c r="AD19" s="482">
        <f>SUMIFS(Nozzle!$I$1:$I93,Nozzle!$A$1:$A$93,"C49",Nozzle!$B$1:$B$93,"7205",Nozzle!$F$1:$F$93,"ESSZ",Nozzle!$H$1:$H$93,"STK",Nozzle!$G$1:$G$93,"随机")</f>
        <v>0</v>
      </c>
      <c r="AE19" s="482">
        <f>SUMIFS(Nozzle!$I$1:$I93,Nozzle!$A$1:$A$93,"C49",Nozzle!$B$1:$B$93,"7205",Nozzle!$F$1:$F$93,"ESSZ",Nozzle!$H$1:$H$93,"STK",Nozzle!$G$1:$G$93,"additional")</f>
        <v>0</v>
      </c>
      <c r="AF19" s="482">
        <f>SUMIFS(Nozzle!$O$94:$O$190,Nozzle!$A$94:$A$190,"C49",Nozzle!$B$94:$B$190,"7205",Nozzle!$F$94:$F$190,"ESSZ",Nozzle!$G$94:$G$190,"随机")</f>
        <v>0</v>
      </c>
      <c r="AG19" s="482">
        <f>SUMIFS(Nozzle!$O$94:$O$190,Nozzle!$A$94:$A$190,"C49",Nozzle!$B$94:$B$190,"7205",Nozzle!$F$94:$F$190,"ESSZ",Nozzle!$G$94:$G$190,"additional")</f>
        <v>0</v>
      </c>
      <c r="AH19" s="483">
        <f>SUMIFS(Nozzle!$I$1:$I93,Nozzle!$A$1:$A$93,"C49",Nozzle!$B$1:$B$93,"7205",Nozzle!$F$1:$F$93,"ESSZ",Nozzle!$H$1:$H$93,"Incoming",Nozzle!$G$1:$G$93,"随机")</f>
        <v>0</v>
      </c>
      <c r="AI19" s="483">
        <f>SUMIFS(Nozzle!$I$1:$I93,Nozzle!$A$1:$A$93,"C49",Nozzle!$B$1:$B$93,"7205",Nozzle!$F$1:$F$93,"ESSZ",Nozzle!$H$1:$H$93,"Incoming",Nozzle!$G$1:$G$93,"additional")</f>
        <v>0</v>
      </c>
      <c r="AJ19" s="483">
        <f>SUMIFS(Nozzle!$I$1:$I93,Nozzle!$A$1:$A$93,"C49",Nozzle!$B$1:$B$93,"7205",Nozzle!$F$1:$F$93,"ESSZ",Nozzle!$H$1:$H$93,"TBA",Nozzle!$G$1:$G$93,"随机")</f>
        <v>0</v>
      </c>
      <c r="AK19" s="483">
        <f>SUMIFS(Nozzle!$I$1:$I93,Nozzle!$A$1:$A$93,"C49",Nozzle!$B$1:$B$93,"7205",Nozzle!$F$1:$F$93,"ESSZ",Nozzle!$H$1:$H$93,"TBA",Nozzle!$G$1:$G$93,"additional")</f>
        <v>0</v>
      </c>
      <c r="AL19" s="484">
        <f>SUMIFS(Nozzle!$P$94:$P$190,Nozzle!$A$94:$A$190,"C49",Nozzle!$B$94:$B$190,"7205",Nozzle!$F$94:$F$190,"ESSZ")</f>
        <v>0</v>
      </c>
      <c r="AM19" s="485"/>
      <c r="AN19" s="486">
        <f t="shared" si="14"/>
        <v>0</v>
      </c>
    </row>
    <row r="20" spans="1:40" ht="18">
      <c r="A20" s="468">
        <v>7206</v>
      </c>
      <c r="B20" s="487">
        <f t="shared" si="2"/>
        <v>226</v>
      </c>
      <c r="C20" s="487">
        <f t="shared" si="3"/>
        <v>0</v>
      </c>
      <c r="D20" s="487">
        <f t="shared" si="4"/>
        <v>226</v>
      </c>
      <c r="E20" s="482">
        <f>SUMIFS(Nozzle!$I$1:$I93,Nozzle!$A$1:$A$93,"C49",Nozzle!$B$1:$B$93,"7206",Nozzle!$F$1:$F$93,"ESEL",Nozzle!$H$1:$H$93,"STK",Nozzle!$G$1:$G$93,"随机")</f>
        <v>0</v>
      </c>
      <c r="F20" s="482">
        <f>SUMIFS(Nozzle!$I$1:$I93,Nozzle!$A$1:$A$93,"C49",Nozzle!$B$1:$B$93,"7206",Nozzle!$F$1:$F$93,"ESEL",Nozzle!$H$1:$H$93,"STK",Nozzle!$G$1:$G$93,"additional")</f>
        <v>226</v>
      </c>
      <c r="G20" s="482">
        <f>SUMIFS(Nozzle!$O$94:$O$190,Nozzle!$A$94:$A$190,"C49",Nozzle!$B$94:$B$190,"7206",Nozzle!$F$94:$F$190,"ESEL",Nozzle!$G$94:$G$190,"随机")</f>
        <v>0</v>
      </c>
      <c r="H20" s="482">
        <f>SUMIFS(Nozzle!$O$94:$O$190,Nozzle!$A$94:$A$190,"C49",Nozzle!$B$94:$B$190,"7206",Nozzle!$F$94:$F$190,"ESEL",Nozzle!$G$94:$G$190,"additional")</f>
        <v>0</v>
      </c>
      <c r="I20" s="483">
        <f>SUMIFS(Nozzle!$I$1:$I93,Nozzle!$A$1:$A$93,"C49",Nozzle!$B$1:$B$93,"7206",Nozzle!$F$1:$F$93,"ESEL",Nozzle!$H$1:$H$93,"Incoming",Nozzle!$G$1:$G$93,"随机")</f>
        <v>0</v>
      </c>
      <c r="J20" s="483">
        <f>SUMIFS(Nozzle!$I$1:$I93,Nozzle!$A$1:$A$93,"C49",Nozzle!$B$1:$B$93,"7206",Nozzle!$F$1:$F$93,"ESEL",Nozzle!$H$1:$H$93,"Incoming",Nozzle!$G$1:$G$93,"additional")</f>
        <v>0</v>
      </c>
      <c r="K20" s="483">
        <f>SUMIFS(Nozzle!$I$1:$I93,Nozzle!$A$1:$A$93,"C49",Nozzle!$B$1:$B$93,"7206",Nozzle!$F$1:$F$93,"ESEL",Nozzle!$H$1:$H$93,"TBA",Nozzle!$G$1:$G$93,"随机")</f>
        <v>0</v>
      </c>
      <c r="L20" s="483">
        <f>SUMIFS(Nozzle!$I$1:$I93,Nozzle!$A$1:$A$93,"C49",Nozzle!$B$1:$B$93,"7206",Nozzle!$F$1:$F$93,"ESEL",Nozzle!$H$1:$H$93,"TBA",Nozzle!$G$1:$G$93,"additional")</f>
        <v>0</v>
      </c>
      <c r="M20" s="484">
        <f>SUMIFS(Nozzle!$P$94:$P$190,Nozzle!$A$94:$A$190,"C49",Nozzle!$B$94:$B$190,"7206",Nozzle!$F$94:$F$190,"ESEL")</f>
        <v>0</v>
      </c>
      <c r="N20" s="485"/>
      <c r="O20" s="506">
        <f t="shared" si="15"/>
        <v>226</v>
      </c>
      <c r="P20" s="526">
        <v>7206</v>
      </c>
      <c r="Q20" s="524">
        <f t="shared" si="16"/>
        <v>226</v>
      </c>
      <c r="R20" s="524">
        <f t="shared" si="0"/>
        <v>226</v>
      </c>
      <c r="S20" s="519">
        <f t="shared" si="1"/>
        <v>226</v>
      </c>
      <c r="T20" s="519">
        <f t="shared" si="5"/>
        <v>0</v>
      </c>
      <c r="U20" s="519">
        <f t="shared" si="6"/>
        <v>0</v>
      </c>
      <c r="V20" s="519">
        <f t="shared" si="7"/>
        <v>0</v>
      </c>
      <c r="W20" s="523">
        <f t="shared" si="8"/>
        <v>226</v>
      </c>
      <c r="X20" s="523">
        <f t="shared" si="9"/>
        <v>0</v>
      </c>
      <c r="Y20" s="530">
        <f t="shared" si="10"/>
        <v>226</v>
      </c>
      <c r="Z20" s="507">
        <v>7206</v>
      </c>
      <c r="AA20" s="487">
        <f t="shared" si="11"/>
        <v>0</v>
      </c>
      <c r="AB20" s="487">
        <f t="shared" si="12"/>
        <v>0</v>
      </c>
      <c r="AC20" s="487">
        <f t="shared" si="13"/>
        <v>0</v>
      </c>
      <c r="AD20" s="482">
        <f>SUMIFS(Nozzle!$I$1:$I93,Nozzle!$A$1:$A$93,"C49",Nozzle!$B$1:$B$93,"7206",Nozzle!$F$1:$F$93,"ESSZ",Nozzle!$H$1:$H$93,"STK",Nozzle!$G$1:$G$93,"随机")</f>
        <v>0</v>
      </c>
      <c r="AE20" s="482">
        <f>SUMIFS(Nozzle!$I$1:$I93,Nozzle!$A$1:$A$93,"C49",Nozzle!$B$1:$B$93,"7206",Nozzle!$F$1:$F$93,"ESSZ",Nozzle!$H$1:$H$93,"STK",Nozzle!$G$1:$G$93,"additional")</f>
        <v>0</v>
      </c>
      <c r="AF20" s="482">
        <f>SUMIFS(Nozzle!$O$94:$O$190,Nozzle!$A$94:$A$190,"C49",Nozzle!$B$94:$B$190,"7206",Nozzle!$F$94:$F$190,"ESSZ",Nozzle!$G$94:$G$190,"随机")</f>
        <v>0</v>
      </c>
      <c r="AG20" s="482">
        <f>SUMIFS(Nozzle!$O$94:$O$190,Nozzle!$A$94:$A$190,"C49",Nozzle!$B$94:$B$190,"7206",Nozzle!$F$94:$F$190,"ESSZ",Nozzle!$G$94:$G$190,"additional")</f>
        <v>0</v>
      </c>
      <c r="AH20" s="483">
        <f>SUMIFS(Nozzle!$I$1:$I93,Nozzle!$A$1:$A$93,"C49",Nozzle!$B$1:$B$93,"7206",Nozzle!$F$1:$F$93,"ESSZ",Nozzle!$H$1:$H$93,"Incoming",Nozzle!$G$1:$G$93,"随机")</f>
        <v>0</v>
      </c>
      <c r="AI20" s="483">
        <f>SUMIFS(Nozzle!$I$1:$I93,Nozzle!$A$1:$A$93,"C49",Nozzle!$B$1:$B$93,"7206",Nozzle!$F$1:$F$93,"ESSZ",Nozzle!$H$1:$H$93,"Incoming",Nozzle!$G$1:$G$93,"additional")</f>
        <v>0</v>
      </c>
      <c r="AJ20" s="483">
        <f>SUMIFS(Nozzle!$I$1:$I93,Nozzle!$A$1:$A$93,"C49",Nozzle!$B$1:$B$93,"7206",Nozzle!$F$1:$F$93,"ESSZ",Nozzle!$H$1:$H$93,"TBA",Nozzle!$G$1:$G$93,"随机")</f>
        <v>0</v>
      </c>
      <c r="AK20" s="483">
        <f>SUMIFS(Nozzle!$I$1:$I93,Nozzle!$A$1:$A$93,"C49",Nozzle!$B$1:$B$93,"7206",Nozzle!$F$1:$F$93,"ESSZ",Nozzle!$H$1:$H$93,"TBA",Nozzle!$G$1:$G$93,"additional")</f>
        <v>0</v>
      </c>
      <c r="AL20" s="484">
        <f>SUMIFS(Nozzle!$P$94:$P$190,Nozzle!$A$94:$A$190,"C49",Nozzle!$B$94:$B$190,"7206",Nozzle!$F$94:$F$190,"ESSZ")</f>
        <v>0</v>
      </c>
      <c r="AM20" s="485"/>
      <c r="AN20" s="486">
        <f t="shared" si="14"/>
        <v>0</v>
      </c>
    </row>
    <row r="21" spans="1:40" s="48" customFormat="1" ht="18">
      <c r="A21" s="468" t="s">
        <v>4051</v>
      </c>
      <c r="B21" s="487">
        <f t="shared" si="2"/>
        <v>144</v>
      </c>
      <c r="C21" s="487">
        <f t="shared" si="3"/>
        <v>0</v>
      </c>
      <c r="D21" s="487">
        <f t="shared" si="4"/>
        <v>144</v>
      </c>
      <c r="E21" s="482">
        <f>SUMIFS(Nozzle!$I$1:$I93,Nozzle!$A$1:$A$93,"C49",Nozzle!$B$1:$B$93,"72GC",Nozzle!$F$1:$F$93,"ESEL",Nozzle!$H$1:$H$93,"STK",Nozzle!$G$1:$G$93,"随机")</f>
        <v>0</v>
      </c>
      <c r="F21" s="482">
        <f>SUMIFS(Nozzle!$I$1:$I93,Nozzle!$A$1:$A$93,"C49",Nozzle!$B$1:$B$93,"72GC",Nozzle!$F$1:$F$93,"ESEL",Nozzle!$H$1:$H$93,"STK",Nozzle!$G$1:$G$93,"additional")</f>
        <v>144</v>
      </c>
      <c r="G21" s="482">
        <f>SUMIFS(Nozzle!$O$94:$O$190,Nozzle!$A$94:$A$190,"C49",Nozzle!$B$94:$B$190,"72GC",Nozzle!$F$94:$F$190,"ESEL",Nozzle!$G$94:$G$190,"随机")</f>
        <v>0</v>
      </c>
      <c r="H21" s="482">
        <f>SUMIFS(Nozzle!$O$94:$O$190,Nozzle!$A$94:$A$190,"C49",Nozzle!$B$94:$B$190,"72GC",Nozzle!$F$94:$F$190,"ESEL",Nozzle!$G$94:$G$190,"additional")</f>
        <v>0</v>
      </c>
      <c r="I21" s="483">
        <f>SUMIFS(Nozzle!$I$1:$I93,Nozzle!$A$1:$A$93,"C49",Nozzle!$B$1:$B$93,"72GC",Nozzle!$F$1:$F$93,"ESEL",Nozzle!$H$1:$H$93,"Incoming",Nozzle!$G$1:$G$93,"随机")</f>
        <v>0</v>
      </c>
      <c r="J21" s="483">
        <f>SUMIFS(Nozzle!$I$1:$I93,Nozzle!$A$1:$A$93,"C49",Nozzle!$B$1:$B$93,"72GC",Nozzle!$F$1:$F$93,"ESEL",Nozzle!$H$1:$H$93,"Incoming",Nozzle!$G$1:$G$93,"additional")</f>
        <v>0</v>
      </c>
      <c r="K21" s="483">
        <f>SUMIFS(Nozzle!$I$1:$I93,Nozzle!$A$1:$A$93,"C49",Nozzle!$B$1:$B$93,"72GC",Nozzle!$F$1:$F$93,"ESEL",Nozzle!$H$1:$H$93,"TBA",Nozzle!$G$1:$G$93,"随机")</f>
        <v>0</v>
      </c>
      <c r="L21" s="483">
        <f>SUMIFS(Nozzle!$I$1:$I93,Nozzle!$A$1:$A$93,"C49",Nozzle!$B$1:$B$93,"72GC",Nozzle!$F$1:$F$93,"ESEL",Nozzle!$H$1:$H$93,"TBA",Nozzle!$G$1:$G$93,"additional")</f>
        <v>0</v>
      </c>
      <c r="M21" s="484">
        <f>SUMIFS(Nozzle!$P$94:$P$190,Nozzle!$A$94:$A$190,"C49",Nozzle!$B$94:$B$190,"72GC",Nozzle!$F$94:$F$190,"ESEL")</f>
        <v>0</v>
      </c>
      <c r="N21" s="485"/>
      <c r="O21" s="506">
        <f t="shared" si="15"/>
        <v>144</v>
      </c>
      <c r="P21" s="526" t="s">
        <v>4051</v>
      </c>
      <c r="Q21" s="524">
        <f t="shared" si="16"/>
        <v>144</v>
      </c>
      <c r="R21" s="524">
        <f t="shared" si="0"/>
        <v>144</v>
      </c>
      <c r="S21" s="519">
        <f t="shared" si="1"/>
        <v>144</v>
      </c>
      <c r="T21" s="519">
        <f t="shared" si="5"/>
        <v>0</v>
      </c>
      <c r="U21" s="519">
        <f t="shared" si="6"/>
        <v>0</v>
      </c>
      <c r="V21" s="519">
        <f t="shared" si="7"/>
        <v>0</v>
      </c>
      <c r="W21" s="523">
        <f t="shared" si="8"/>
        <v>144</v>
      </c>
      <c r="X21" s="523">
        <f t="shared" si="9"/>
        <v>0</v>
      </c>
      <c r="Y21" s="530">
        <f t="shared" si="10"/>
        <v>144</v>
      </c>
      <c r="Z21" s="507" t="s">
        <v>4051</v>
      </c>
      <c r="AA21" s="487">
        <f t="shared" si="11"/>
        <v>0</v>
      </c>
      <c r="AB21" s="487">
        <f t="shared" si="12"/>
        <v>0</v>
      </c>
      <c r="AC21" s="487">
        <f t="shared" si="13"/>
        <v>0</v>
      </c>
      <c r="AD21" s="482">
        <f>SUMIFS(Nozzle!$I$1:$I93,Nozzle!$A$1:$A$93,"C49",Nozzle!$B$1:$B$93,"72GC",Nozzle!$F$1:$F$93,"ESSZ",Nozzle!$H$1:$H$93,"STK",Nozzle!$G$1:$G$93,"随机")</f>
        <v>0</v>
      </c>
      <c r="AE21" s="482">
        <f>SUMIFS(Nozzle!$I$1:$I93,Nozzle!$A$1:$A$93,"C49",Nozzle!$B$1:$B$93,"72GC",Nozzle!$F$1:$F$93,"ESSZ",Nozzle!$H$1:$H$93,"STK",Nozzle!$G$1:$G$93,"additional")</f>
        <v>0</v>
      </c>
      <c r="AF21" s="482">
        <f>SUMIFS(Nozzle!$O$94:$O$190,Nozzle!$A$94:$A$190,"C49",Nozzle!$B$94:$B$190,"72GC",Nozzle!$F$94:$F$190,"ESSZ",Nozzle!$G$94:$G$190,"随机")</f>
        <v>0</v>
      </c>
      <c r="AG21" s="482">
        <f>SUMIFS(Nozzle!$O$94:$O$190,Nozzle!$A$94:$A$190,"C49",Nozzle!$B$94:$B$190,"72GC",Nozzle!$F$94:$F$190,"ESSZ",Nozzle!$G$94:$G$190,"additional")</f>
        <v>0</v>
      </c>
      <c r="AH21" s="483">
        <f>SUMIFS(Nozzle!$I$1:$I93,Nozzle!$A$1:$A$93,"C49",Nozzle!$B$1:$B$93,"72GC",Nozzle!$F$1:$F$93,"ESSZ",Nozzle!$H$1:$H$93,"Incoming",Nozzle!$G$1:$G$93,"随机")</f>
        <v>0</v>
      </c>
      <c r="AI21" s="483">
        <f>SUMIFS(Nozzle!$I$1:$I93,Nozzle!$A$1:$A$93,"C49",Nozzle!$B$1:$B$93,"72GC",Nozzle!$F$1:$F$93,"ESSZ",Nozzle!$H$1:$H$93,"Incoming",Nozzle!$G$1:$G$93,"additional")</f>
        <v>0</v>
      </c>
      <c r="AJ21" s="483">
        <f>SUMIFS(Nozzle!$I$1:$I93,Nozzle!$A$1:$A$93,"C49",Nozzle!$B$1:$B$93,"72GC",Nozzle!$F$1:$F$93,"ESSZ",Nozzle!$H$1:$H$93,"TBA",Nozzle!$G$1:$G$93,"随机")</f>
        <v>0</v>
      </c>
      <c r="AK21" s="483">
        <f>SUMIFS(Nozzle!$I$1:$I93,Nozzle!$A$1:$A$93,"C49",Nozzle!$B$1:$B$93,"72GC",Nozzle!$F$1:$F$93,"ESSZ",Nozzle!$H$1:$H$93,"TBA",Nozzle!$G$1:$G$93,"additional")</f>
        <v>0</v>
      </c>
      <c r="AL21" s="484">
        <f>SUMIFS(Nozzle!$P$94:$P$190,Nozzle!$A$94:$A$190,"C49",Nozzle!$B$94:$B$190,"72GC",Nozzle!$F$94:$F$190,"ESSZ")</f>
        <v>0</v>
      </c>
      <c r="AM21" s="485"/>
      <c r="AN21" s="486">
        <f t="shared" si="14"/>
        <v>0</v>
      </c>
    </row>
    <row r="22" spans="1:40" s="48" customFormat="1" ht="18">
      <c r="A22" s="468" t="s">
        <v>3777</v>
      </c>
      <c r="B22" s="487">
        <f t="shared" si="2"/>
        <v>54</v>
      </c>
      <c r="C22" s="487">
        <f t="shared" si="3"/>
        <v>0</v>
      </c>
      <c r="D22" s="487">
        <f t="shared" si="4"/>
        <v>54</v>
      </c>
      <c r="E22" s="482">
        <f>SUMIFS(Nozzle!$I$1:$I93,Nozzle!$A$1:$A$93,"C49",Nozzle!$B$1:$B$93,"72GD",Nozzle!$F$1:$F$93,"ESEL",Nozzle!$H$1:$H$93,"STK",Nozzle!$G$1:$G$93,"随机")</f>
        <v>0</v>
      </c>
      <c r="F22" s="482">
        <f>SUMIFS(Nozzle!$I$1:$I93,Nozzle!$A$1:$A$93,"C49",Nozzle!$B$1:$B$93,"72GD",Nozzle!$F$1:$F$93,"ESEL",Nozzle!$H$1:$H$93,"STK",Nozzle!$G$1:$G$93,"additional")</f>
        <v>54</v>
      </c>
      <c r="G22" s="482">
        <f>SUMIFS(Nozzle!$O$94:$O$190,Nozzle!$A$94:$A$190,"C49",Nozzle!$B$94:$B$190,"72GD",Nozzle!$F$94:$F$190,"ESEL",Nozzle!$G$94:$G$190,"随机")</f>
        <v>0</v>
      </c>
      <c r="H22" s="482">
        <f>SUMIFS(Nozzle!$O$94:$O$190,Nozzle!$A$94:$A$190,"C49",Nozzle!$B$94:$B$190,"72GD",Nozzle!$F$94:$F$190,"ESEL",Nozzle!$G$94:$G$190,"additional")</f>
        <v>0</v>
      </c>
      <c r="I22" s="483">
        <f>SUMIFS(Nozzle!$I$1:$I93,Nozzle!$A$1:$A$93,"C49",Nozzle!$B$1:$B$93,"72GD",Nozzle!$F$1:$F$93,"ESEL",Nozzle!$H$1:$H$93,"Incoming",Nozzle!$G$1:$G$93,"随机")</f>
        <v>0</v>
      </c>
      <c r="J22" s="483">
        <f>SUMIFS(Nozzle!$I$1:$I93,Nozzle!$A$1:$A$93,"C49",Nozzle!$B$1:$B$93,"72GD",Nozzle!$F$1:$F$93,"ESEL",Nozzle!$H$1:$H$93,"Incoming",Nozzle!$G$1:$G$93,"additional")</f>
        <v>0</v>
      </c>
      <c r="K22" s="483">
        <f>SUMIFS(Nozzle!$I$1:$I93,Nozzle!$A$1:$A$93,"C49",Nozzle!$B$1:$B$93,"72GD",Nozzle!$F$1:$F$93,"ESEL",Nozzle!$H$1:$H$93,"TBA",Nozzle!$G$1:$G$93,"随机")</f>
        <v>0</v>
      </c>
      <c r="L22" s="483">
        <f>SUMIFS(Nozzle!$I$1:$I93,Nozzle!$A$1:$A$93,"C49",Nozzle!$B$1:$B$93,"72GD",Nozzle!$F$1:$F$93,"ESEL",Nozzle!$H$1:$H$93,"TBA",Nozzle!$G$1:$G$93,"additional")</f>
        <v>0</v>
      </c>
      <c r="M22" s="484">
        <f>SUMIFS(Nozzle!$P$94:$P$190,Nozzle!$A$94:$A$190,"C49",Nozzle!$B$94:$B$190,"72GD",Nozzle!$F$94:$F$190,"ESEL")</f>
        <v>0</v>
      </c>
      <c r="N22" s="485"/>
      <c r="O22" s="506">
        <f t="shared" si="15"/>
        <v>54</v>
      </c>
      <c r="P22" s="526" t="s">
        <v>3777</v>
      </c>
      <c r="Q22" s="524">
        <f t="shared" si="16"/>
        <v>54</v>
      </c>
      <c r="R22" s="524">
        <f t="shared" si="0"/>
        <v>54</v>
      </c>
      <c r="S22" s="519">
        <f t="shared" si="1"/>
        <v>54</v>
      </c>
      <c r="T22" s="519">
        <f t="shared" si="5"/>
        <v>0</v>
      </c>
      <c r="U22" s="519">
        <f t="shared" si="6"/>
        <v>0</v>
      </c>
      <c r="V22" s="519">
        <f t="shared" si="7"/>
        <v>0</v>
      </c>
      <c r="W22" s="523">
        <f t="shared" si="8"/>
        <v>54</v>
      </c>
      <c r="X22" s="523">
        <f t="shared" si="9"/>
        <v>0</v>
      </c>
      <c r="Y22" s="530">
        <f t="shared" si="10"/>
        <v>54</v>
      </c>
      <c r="Z22" s="507" t="s">
        <v>3777</v>
      </c>
      <c r="AA22" s="487">
        <f t="shared" si="11"/>
        <v>0</v>
      </c>
      <c r="AB22" s="487">
        <f t="shared" si="12"/>
        <v>0</v>
      </c>
      <c r="AC22" s="487">
        <f t="shared" si="13"/>
        <v>0</v>
      </c>
      <c r="AD22" s="482">
        <f>SUMIFS(Nozzle!$I$1:$I93,Nozzle!$A$1:$A$93,"C49",Nozzle!$B$1:$B$93,"72GD",Nozzle!$F$1:$F$93,"ESSZ",Nozzle!$H$1:$H$93,"STK",Nozzle!$G$1:$G$93,"随机")</f>
        <v>0</v>
      </c>
      <c r="AE22" s="482">
        <f>SUMIFS(Nozzle!$I$1:$I93,Nozzle!$A$1:$A$93,"C49",Nozzle!$B$1:$B$93,"72GD",Nozzle!$F$1:$F$93,"ESSZ",Nozzle!$H$1:$H$93,"STK",Nozzle!$G$1:$G$93,"additional")</f>
        <v>0</v>
      </c>
      <c r="AF22" s="482">
        <f>SUMIFS(Nozzle!$O$94:$O$190,Nozzle!$A$94:$A$190,"C49",Nozzle!$B$94:$B$190,"72GD",Nozzle!$F$94:$F$190,"ESSZ",Nozzle!$G$94:$G$190,"随机")</f>
        <v>0</v>
      </c>
      <c r="AG22" s="482">
        <f>SUMIFS(Nozzle!$O$94:$O$190,Nozzle!$A$94:$A$190,"C49",Nozzle!$B$94:$B$190,"72GD",Nozzle!$F$94:$F$190,"ESSZ",Nozzle!$G$94:$G$190,"additional")</f>
        <v>0</v>
      </c>
      <c r="AH22" s="483">
        <f>SUMIFS(Nozzle!$I$1:$I93,Nozzle!$A$1:$A$93,"C49",Nozzle!$B$1:$B$93,"72GD",Nozzle!$F$1:$F$93,"ESSZ",Nozzle!$H$1:$H$93,"Incoming",Nozzle!$G$1:$G$93,"随机")</f>
        <v>0</v>
      </c>
      <c r="AI22" s="483">
        <f>SUMIFS(Nozzle!$I$1:$I93,Nozzle!$A$1:$A$93,"C49",Nozzle!$B$1:$B$93,"72GD",Nozzle!$F$1:$F$93,"ESSZ",Nozzle!$H$1:$H$93,"Incoming",Nozzle!$G$1:$G$93,"additional")</f>
        <v>0</v>
      </c>
      <c r="AJ22" s="483">
        <f>SUMIFS(Nozzle!$I$1:$I93,Nozzle!$A$1:$A$93,"C49",Nozzle!$B$1:$B$93,"72GD",Nozzle!$F$1:$F$93,"ESSZ",Nozzle!$H$1:$H$93,"TBA",Nozzle!$G$1:$G$93,"随机")</f>
        <v>0</v>
      </c>
      <c r="AK22" s="483">
        <f>SUMIFS(Nozzle!$I$1:$I93,Nozzle!$A$1:$A$93,"C49",Nozzle!$B$1:$B$93,"72GD",Nozzle!$F$1:$F$93,"ESSZ",Nozzle!$H$1:$H$93,"TBA",Nozzle!$G$1:$G$93,"additional")</f>
        <v>0</v>
      </c>
      <c r="AL22" s="484">
        <f>SUMIFS(Nozzle!$P$94:$P$190,Nozzle!$A$94:$A$190,"C49",Nozzle!$B$94:$B$190,"72GD",Nozzle!$F$94:$F$190,"ESSZ")</f>
        <v>0</v>
      </c>
      <c r="AM22" s="485"/>
      <c r="AN22" s="486">
        <f t="shared" si="14"/>
        <v>0</v>
      </c>
    </row>
    <row r="23" spans="1:40" s="48" customFormat="1" ht="15">
      <c r="A23" s="438"/>
      <c r="B23" s="487"/>
      <c r="C23" s="487"/>
      <c r="D23" s="487"/>
      <c r="E23" s="482"/>
      <c r="F23" s="482"/>
      <c r="G23" s="482"/>
      <c r="H23" s="482"/>
      <c r="I23" s="483"/>
      <c r="J23" s="483"/>
      <c r="K23" s="483"/>
      <c r="L23" s="483"/>
      <c r="M23" s="484"/>
      <c r="N23" s="485"/>
      <c r="O23" s="506"/>
      <c r="P23" s="527"/>
      <c r="Q23" s="524">
        <f t="shared" si="16"/>
        <v>0</v>
      </c>
      <c r="R23" s="524">
        <f t="shared" si="0"/>
        <v>0</v>
      </c>
      <c r="S23" s="519">
        <f t="shared" si="1"/>
        <v>0</v>
      </c>
      <c r="T23" s="519">
        <f t="shared" si="5"/>
        <v>0</v>
      </c>
      <c r="U23" s="519">
        <f t="shared" si="6"/>
        <v>0</v>
      </c>
      <c r="V23" s="519">
        <f t="shared" si="7"/>
        <v>0</v>
      </c>
      <c r="W23" s="523">
        <f t="shared" si="8"/>
        <v>0</v>
      </c>
      <c r="X23" s="523">
        <f t="shared" si="9"/>
        <v>0</v>
      </c>
      <c r="Y23" s="530">
        <f t="shared" si="10"/>
        <v>0</v>
      </c>
      <c r="Z23" s="508"/>
      <c r="AA23" s="487"/>
      <c r="AB23" s="487"/>
      <c r="AC23" s="487"/>
      <c r="AD23" s="482"/>
      <c r="AE23" s="482"/>
      <c r="AF23" s="482"/>
      <c r="AG23" s="482"/>
      <c r="AH23" s="483"/>
      <c r="AI23" s="483"/>
      <c r="AJ23" s="483"/>
      <c r="AK23" s="483"/>
      <c r="AL23" s="484"/>
      <c r="AM23" s="485"/>
      <c r="AN23" s="486"/>
    </row>
    <row r="24" spans="1:40" s="48" customFormat="1" ht="15">
      <c r="A24" s="438"/>
      <c r="B24" s="487"/>
      <c r="C24" s="487"/>
      <c r="D24" s="487"/>
      <c r="E24" s="482"/>
      <c r="F24" s="482"/>
      <c r="G24" s="482"/>
      <c r="H24" s="482"/>
      <c r="I24" s="483"/>
      <c r="J24" s="483"/>
      <c r="K24" s="483"/>
      <c r="L24" s="483"/>
      <c r="M24" s="484"/>
      <c r="N24" s="485"/>
      <c r="O24" s="506"/>
      <c r="P24" s="527"/>
      <c r="Q24" s="524">
        <f t="shared" si="16"/>
        <v>0</v>
      </c>
      <c r="R24" s="524">
        <f t="shared" si="0"/>
        <v>0</v>
      </c>
      <c r="S24" s="519">
        <f t="shared" si="1"/>
        <v>0</v>
      </c>
      <c r="T24" s="519">
        <f t="shared" si="5"/>
        <v>0</v>
      </c>
      <c r="U24" s="519">
        <f t="shared" si="6"/>
        <v>0</v>
      </c>
      <c r="V24" s="519">
        <f t="shared" si="7"/>
        <v>0</v>
      </c>
      <c r="W24" s="523">
        <f t="shared" si="8"/>
        <v>0</v>
      </c>
      <c r="X24" s="523">
        <f t="shared" si="9"/>
        <v>0</v>
      </c>
      <c r="Y24" s="530">
        <f t="shared" si="10"/>
        <v>0</v>
      </c>
      <c r="Z24" s="508"/>
      <c r="AA24" s="487"/>
      <c r="AB24" s="487"/>
      <c r="AC24" s="487"/>
      <c r="AD24" s="482"/>
      <c r="AE24" s="482"/>
      <c r="AF24" s="482"/>
      <c r="AG24" s="482"/>
      <c r="AH24" s="483"/>
      <c r="AI24" s="483"/>
      <c r="AJ24" s="483"/>
      <c r="AK24" s="483"/>
      <c r="AL24" s="484"/>
      <c r="AM24" s="485"/>
      <c r="AN24" s="486"/>
    </row>
    <row r="25" spans="1:40" s="48" customFormat="1" ht="15">
      <c r="A25" s="438"/>
      <c r="B25" s="487"/>
      <c r="C25" s="487"/>
      <c r="D25" s="487"/>
      <c r="E25" s="482"/>
      <c r="F25" s="482"/>
      <c r="G25" s="482"/>
      <c r="H25" s="482"/>
      <c r="I25" s="483"/>
      <c r="J25" s="483"/>
      <c r="K25" s="483"/>
      <c r="L25" s="483"/>
      <c r="M25" s="484"/>
      <c r="N25" s="485"/>
      <c r="O25" s="506"/>
      <c r="P25" s="527"/>
      <c r="Q25" s="524"/>
      <c r="R25" s="524">
        <f t="shared" si="0"/>
        <v>0</v>
      </c>
      <c r="S25" s="519">
        <f t="shared" si="1"/>
        <v>0</v>
      </c>
      <c r="T25" s="519">
        <f t="shared" si="5"/>
        <v>0</v>
      </c>
      <c r="U25" s="519">
        <f t="shared" si="6"/>
        <v>0</v>
      </c>
      <c r="V25" s="519">
        <f t="shared" si="7"/>
        <v>0</v>
      </c>
      <c r="W25" s="523">
        <f t="shared" si="8"/>
        <v>0</v>
      </c>
      <c r="X25" s="523">
        <f t="shared" si="9"/>
        <v>0</v>
      </c>
      <c r="Y25" s="530">
        <f t="shared" si="10"/>
        <v>0</v>
      </c>
      <c r="Z25" s="508"/>
      <c r="AA25" s="487"/>
      <c r="AB25" s="487"/>
      <c r="AC25" s="487"/>
      <c r="AD25" s="482"/>
      <c r="AE25" s="482"/>
      <c r="AF25" s="482"/>
      <c r="AG25" s="482"/>
      <c r="AH25" s="483"/>
      <c r="AI25" s="483"/>
      <c r="AJ25" s="483"/>
      <c r="AK25" s="483"/>
      <c r="AL25" s="484"/>
      <c r="AM25" s="485"/>
      <c r="AN25" s="486"/>
    </row>
    <row r="26" spans="1:40" s="48" customFormat="1" ht="15.75" thickBot="1">
      <c r="A26" s="65"/>
      <c r="B26" s="465">
        <f t="shared" ref="B26:O26" si="17">SUBTOTAL(9,B4:B25)</f>
        <v>1358</v>
      </c>
      <c r="C26" s="465">
        <f>SUM(C4:C25)</f>
        <v>200</v>
      </c>
      <c r="D26" s="465">
        <f>SUM(D4:D25)</f>
        <v>1158</v>
      </c>
      <c r="E26" s="465"/>
      <c r="F26" s="500">
        <f>SUM(F4:F25)</f>
        <v>1627</v>
      </c>
      <c r="G26" s="465"/>
      <c r="H26" s="465"/>
      <c r="I26" s="465">
        <f t="shared" si="17"/>
        <v>200</v>
      </c>
      <c r="J26" s="465">
        <f t="shared" si="17"/>
        <v>0</v>
      </c>
      <c r="K26" s="500">
        <f>SUM(K4:K25)</f>
        <v>330</v>
      </c>
      <c r="L26" s="500">
        <f>SUM(L4:L25)</f>
        <v>0</v>
      </c>
      <c r="M26" s="500">
        <f>SUM(M4:M25)</f>
        <v>0</v>
      </c>
      <c r="N26" s="465"/>
      <c r="O26" s="465">
        <f t="shared" si="17"/>
        <v>1888</v>
      </c>
      <c r="P26" s="520"/>
      <c r="Q26" s="521"/>
      <c r="R26" s="521"/>
      <c r="S26" s="522">
        <f t="shared" ref="S26:Y26" si="18">SUM(S4:S25)</f>
        <v>1069</v>
      </c>
      <c r="T26" s="522">
        <f t="shared" si="18"/>
        <v>867</v>
      </c>
      <c r="U26" s="522">
        <f t="shared" si="18"/>
        <v>200</v>
      </c>
      <c r="V26" s="522">
        <f t="shared" si="18"/>
        <v>20</v>
      </c>
      <c r="W26" s="533">
        <f t="shared" si="18"/>
        <v>1269</v>
      </c>
      <c r="X26" s="533">
        <f t="shared" si="18"/>
        <v>887</v>
      </c>
      <c r="Y26" s="531">
        <f t="shared" si="18"/>
        <v>1936</v>
      </c>
      <c r="Z26" s="65"/>
      <c r="AA26" s="465">
        <f t="shared" ref="AA26" si="19">SUBTOTAL(9,AA4:AA25)</f>
        <v>887</v>
      </c>
      <c r="AB26" s="465">
        <f>SUM(AB4:AB25)</f>
        <v>20</v>
      </c>
      <c r="AC26" s="465">
        <f>SUM(AC4:AC25)</f>
        <v>867</v>
      </c>
      <c r="AD26" s="465"/>
      <c r="AE26" s="500">
        <f>SUM(AE4:AE25)</f>
        <v>1116</v>
      </c>
      <c r="AF26" s="465"/>
      <c r="AG26" s="465"/>
      <c r="AH26" s="465">
        <f t="shared" ref="AH26:AI26" si="20">SUBTOTAL(9,AH4:AH25)</f>
        <v>0</v>
      </c>
      <c r="AI26" s="465">
        <f t="shared" si="20"/>
        <v>0</v>
      </c>
      <c r="AJ26" s="465"/>
      <c r="AK26" s="465"/>
      <c r="AL26" s="500">
        <f>SUM(AL4:AL25)</f>
        <v>0</v>
      </c>
      <c r="AM26" s="465"/>
      <c r="AN26" s="465">
        <f t="shared" ref="AN26" si="21">SUBTOTAL(9,AN4:AN25)</f>
        <v>887</v>
      </c>
    </row>
    <row r="27" spans="1:40" s="48" customFormat="1" ht="16.5" thickTop="1" thickBot="1">
      <c r="A27" s="65"/>
      <c r="B27" s="65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509"/>
      <c r="Q27" s="510"/>
      <c r="R27" s="510"/>
      <c r="S27" s="516">
        <f>S26+T26-AL26</f>
        <v>1936</v>
      </c>
      <c r="T27" s="517"/>
      <c r="U27" s="516">
        <f>U26+V26</f>
        <v>220</v>
      </c>
      <c r="V27" s="517"/>
      <c r="W27" s="516">
        <f>W26+X26</f>
        <v>2156</v>
      </c>
      <c r="X27" s="532"/>
      <c r="Y27" s="518"/>
      <c r="Z27" s="65"/>
      <c r="AA27" s="65"/>
      <c r="AB27" s="65"/>
      <c r="AC27" s="65"/>
      <c r="AD27" s="65"/>
      <c r="AE27" s="65"/>
      <c r="AF27" s="65"/>
      <c r="AG27" s="65"/>
      <c r="AH27" s="18"/>
      <c r="AI27" s="18"/>
      <c r="AJ27" s="18"/>
      <c r="AK27" s="18"/>
      <c r="AL27" s="18"/>
      <c r="AM27" s="65"/>
      <c r="AN27" s="65"/>
    </row>
    <row r="28" spans="1:40" ht="34.5" customHeight="1" thickBot="1">
      <c r="A28" s="479" t="s">
        <v>4224</v>
      </c>
      <c r="B28" s="501"/>
      <c r="C28" s="480">
        <f>AB26+C26</f>
        <v>220</v>
      </c>
      <c r="D28" s="501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65">
        <f>S27+U27</f>
        <v>2156</v>
      </c>
      <c r="T28" s="18"/>
      <c r="U28" s="18"/>
      <c r="V28" s="18"/>
      <c r="W28" s="18"/>
      <c r="X28" s="18"/>
      <c r="Y28" s="18"/>
    </row>
    <row r="29" spans="1:40" ht="15" thickTop="1"/>
    <row r="32" spans="1:40" ht="40.5" customHeight="1">
      <c r="A32" s="481" t="s">
        <v>4221</v>
      </c>
      <c r="B32" s="459" t="s">
        <v>4213</v>
      </c>
      <c r="C32" s="459" t="s">
        <v>4218</v>
      </c>
      <c r="D32" s="469" t="s">
        <v>2030</v>
      </c>
      <c r="E32" s="470" t="s">
        <v>4215</v>
      </c>
      <c r="F32" s="470" t="s">
        <v>258</v>
      </c>
      <c r="G32" s="469" t="s">
        <v>4216</v>
      </c>
      <c r="H32" s="460" t="s">
        <v>4217</v>
      </c>
      <c r="I32" s="459" t="s">
        <v>2838</v>
      </c>
      <c r="K32" s="481" t="s">
        <v>4222</v>
      </c>
      <c r="L32" s="459" t="s">
        <v>4213</v>
      </c>
      <c r="M32" s="459" t="s">
        <v>4218</v>
      </c>
      <c r="N32" s="469" t="s">
        <v>2030</v>
      </c>
      <c r="O32" s="470" t="s">
        <v>4215</v>
      </c>
      <c r="P32" s="470" t="s">
        <v>258</v>
      </c>
      <c r="Q32" s="469" t="s">
        <v>4216</v>
      </c>
      <c r="R32" s="460" t="s">
        <v>4217</v>
      </c>
      <c r="S32" s="459" t="s">
        <v>2838</v>
      </c>
      <c r="T32" s="18"/>
      <c r="U32" s="481" t="s">
        <v>4226</v>
      </c>
      <c r="V32" s="459" t="s">
        <v>4213</v>
      </c>
      <c r="W32" s="459" t="s">
        <v>4218</v>
      </c>
      <c r="X32" s="469" t="s">
        <v>2030</v>
      </c>
      <c r="Y32" s="470" t="s">
        <v>4215</v>
      </c>
      <c r="Z32" s="470" t="s">
        <v>258</v>
      </c>
      <c r="AA32" s="469" t="s">
        <v>4216</v>
      </c>
      <c r="AB32" s="460" t="s">
        <v>4217</v>
      </c>
      <c r="AC32" s="459" t="s">
        <v>2838</v>
      </c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</row>
    <row r="33" spans="1:40" ht="18">
      <c r="A33" s="468">
        <v>301</v>
      </c>
      <c r="B33" s="487">
        <f>C33-D33</f>
        <v>-20</v>
      </c>
      <c r="C33" s="482">
        <f>SUMIFS(Nozzle!$I$1:$I93,Nozzle!$A$1:$A$93,"C66SZX",Nozzle!$B$1:$B$93,"301",Nozzle!$F$1:$F$93,"ESEL",Nozzle!$H$1:$H$93,"STK",Nozzle!$G$1:$G$93,"additional")</f>
        <v>0</v>
      </c>
      <c r="D33" s="482">
        <f>SUMIFS(Nozzle!$O$94:$O$190,Nozzle!$A$94:$A$190,"C66SZX",Nozzle!$B$94:$B$190,"301",Nozzle!$F$94:$F$190,"ESEL",Nozzle!$G$94:$G$190,"additional")</f>
        <v>20</v>
      </c>
      <c r="E33" s="483">
        <f>SUMIFS(Nozzle!$I$1:$I93,Nozzle!$A$1:$A$93,"C66SZX",Nozzle!$B$1:$B$93,"301",Nozzle!$F$1:$F$93,"ESEL",Nozzle!$H$1:$H$93,"Incoming",Nozzle!$G$1:$G$93,"additional")</f>
        <v>0</v>
      </c>
      <c r="F33" s="483">
        <f>SUMIFS(Nozzle!$I$1:$I93,Nozzle!$A$1:$A$93,"C66SZX",Nozzle!$B$1:$B$93,"301",Nozzle!$F$1:$F$93,"ESEL",Nozzle!$H$1:$H$93,"TBA",Nozzle!$G$1:$G$93,"additional")</f>
        <v>0</v>
      </c>
      <c r="G33" s="484">
        <f>SUMIFS(Nozzle!$P$94:$P$190,Nozzle!$A$94:$A$190,"C66SZX",Nozzle!$B$94:$B$190,"301",Nozzle!$F$94:$F$190,"ESEL")</f>
        <v>0</v>
      </c>
      <c r="H33" s="485">
        <v>40</v>
      </c>
      <c r="I33" s="486">
        <f>B33+E33+F33-G33-H33</f>
        <v>-60</v>
      </c>
      <c r="K33" s="468">
        <v>301</v>
      </c>
      <c r="L33" s="487">
        <f>M33-N33</f>
        <v>-1</v>
      </c>
      <c r="M33" s="482">
        <f>SUMIFS(Nozzle!$I$1:$I93,Nozzle!$A$1:$A$93,"C66SHA",Nozzle!$B$1:$B$93,"301",Nozzle!$F$1:$F$93,"ESEL",Nozzle!$H$1:$H$93,"STK",Nozzle!$G$1:$G$93,"additional")</f>
        <v>0</v>
      </c>
      <c r="N33" s="482">
        <f>SUMIFS(Nozzle!$O$94:$O$190,Nozzle!$A$94:$A$190,"C66SHA",Nozzle!$B$94:$B$190,"301",Nozzle!$F$94:$F$190,"ESEL",Nozzle!$G$94:$G$190,"additional")</f>
        <v>1</v>
      </c>
      <c r="O33" s="483">
        <f>SUMIFS(Nozzle!$I$1:$I93,Nozzle!$A$1:$A$93,"C66SHA",Nozzle!$B$1:$B$93,"301",Nozzle!$F$1:$F$93,"ESEL",Nozzle!$H$1:$H$93,"Incoming",Nozzle!$G$1:$G$93,"additional")</f>
        <v>0</v>
      </c>
      <c r="P33" s="483">
        <f>SUMIFS(Nozzle!$I$1:$I93,Nozzle!$A$1:$A$93,"C66SHA",Nozzle!$B$1:$B$93,"301",Nozzle!$F$1:$F$93,"ESEL",Nozzle!$H$1:$H$93,"TBA",Nozzle!$G$1:$G$93,"additional")</f>
        <v>0</v>
      </c>
      <c r="Q33" s="484">
        <f>SUMIFS(Nozzle!$P$94:$P$190,Nozzle!$A$94:$A$190,"C66SHA",Nozzle!$B$94:$B$190,"301",Nozzle!$F$94:$F$190,"ESEL")</f>
        <v>0</v>
      </c>
      <c r="R33" s="485">
        <v>0</v>
      </c>
      <c r="S33" s="486">
        <f t="shared" ref="S33:S51" si="22">L33+O33+P33-Q33-R33</f>
        <v>-1</v>
      </c>
      <c r="T33" s="18"/>
      <c r="U33" s="468">
        <v>301</v>
      </c>
      <c r="V33" s="487">
        <f>W33-X33</f>
        <v>0</v>
      </c>
      <c r="W33" s="482">
        <f>SUMIFS(Nozzle!$I$1:$I93,Nozzle!$A$1:$A$93,"C66BJS",Nozzle!$B$1:$B$93,"301",Nozzle!$F$1:$F$93,"ESEL",Nozzle!$H$1:$H$93,"STK",Nozzle!$G$1:$G$93,"additional")</f>
        <v>0</v>
      </c>
      <c r="X33" s="482">
        <f>SUMIFS(Nozzle!$O$94:$O$190,Nozzle!$A$94:$A$190,"C66BJS",Nozzle!$B$94:$B$190,"301",Nozzle!$F$94:$F$190,"ESEL",Nozzle!$G$94:$G$190,"additional")</f>
        <v>0</v>
      </c>
      <c r="Y33" s="483">
        <f>SUMIFS(Nozzle!$I$1:$I93,Nozzle!$A$1:$A$93,"C66BJS",Nozzle!$B$1:$B$93,"301",Nozzle!$F$1:$F$93,"ESEL",Nozzle!$H$1:$H$93,"Incoming",Nozzle!$G$1:$G$93,"additional")</f>
        <v>0</v>
      </c>
      <c r="Z33" s="483">
        <f>SUMIFS(Nozzle!$I$1:$I93,Nozzle!$A$1:$A$93,"C66BJS",Nozzle!$B$1:$B$93,"301",Nozzle!$F$1:$F$93,"ESEL",Nozzle!$H$1:$H$93,"TBA",Nozzle!$G$1:$G$93,"additional")</f>
        <v>0</v>
      </c>
      <c r="AA33" s="484">
        <f>SUMIFS(Nozzle!$P$94:$P$190,Nozzle!$A$94:$A$190,"C66BJS",Nozzle!$B$94:$B$190,"301",Nozzle!$F$94:$F$190,"ESEL")</f>
        <v>0</v>
      </c>
      <c r="AB33" s="485">
        <v>0</v>
      </c>
      <c r="AC33" s="486">
        <f>V33+Y33+Z33-AA33-AB33</f>
        <v>0</v>
      </c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</row>
    <row r="34" spans="1:40" ht="18">
      <c r="A34" s="468">
        <v>302</v>
      </c>
      <c r="B34" s="487">
        <f t="shared" ref="B34:B51" si="23">C34-D34</f>
        <v>-30</v>
      </c>
      <c r="C34" s="482">
        <f>SUMIFS(Nozzle!$I$1:$I93,Nozzle!$A$1:$A$93,"C66SZX",Nozzle!$B$1:$B$93,"302",Nozzle!$F$1:$F$93,"ESEL",Nozzle!$H$1:$H$93,"STK",Nozzle!$G$1:$G$93,"additional")</f>
        <v>0</v>
      </c>
      <c r="D34" s="482">
        <f>SUMIFS(Nozzle!$O$94:$O$190,Nozzle!$A$94:$A$190,"C66SZX",Nozzle!$B$94:$B$190,"302",Nozzle!$F$94:$F$190,"ESEL",Nozzle!$G$94:$G$190,"additional")</f>
        <v>30</v>
      </c>
      <c r="E34" s="483">
        <f>SUMIFS(Nozzle!$I$1:$I93,Nozzle!$A$1:$A$93,"C66SZX",Nozzle!$B$1:$B$93,"302",Nozzle!$F$1:$F$93,"ESEL",Nozzle!$H$1:$H$93,"Incoming",Nozzle!$G$1:$G$93,"additional")</f>
        <v>0</v>
      </c>
      <c r="F34" s="483">
        <f>SUMIFS(Nozzle!$I$1:$I93,Nozzle!$A$1:$A$93,"C66SZX",Nozzle!$B$1:$B$93,"302",Nozzle!$F$1:$F$93,"ESEL",Nozzle!$H$1:$H$93,"TBA",Nozzle!$G$1:$G$93,"additional")</f>
        <v>0</v>
      </c>
      <c r="G34" s="484">
        <f>SUMIFS(Nozzle!$P$94:$P$190,Nozzle!$A$94:$A$190,"C66SZX",Nozzle!$B$94:$B$190,"302",Nozzle!$F$94:$F$190,"ESEL")</f>
        <v>0</v>
      </c>
      <c r="H34" s="485">
        <v>40</v>
      </c>
      <c r="I34" s="486">
        <f t="shared" ref="I34:I51" si="24">B34+E34+F34-G34-H34</f>
        <v>-70</v>
      </c>
      <c r="K34" s="468">
        <v>302</v>
      </c>
      <c r="L34" s="487">
        <f t="shared" ref="L34:L51" si="25">M34-N34</f>
        <v>-1</v>
      </c>
      <c r="M34" s="482">
        <f>SUMIFS(Nozzle!$I$1:$I93,Nozzle!$A$1:$A$93,"C66SHA",Nozzle!$B$1:$B$93,"302",Nozzle!$F$1:$F$93,"ESEL",Nozzle!$H$1:$H$93,"STK",Nozzle!$G$1:$G$93,"additional")</f>
        <v>0</v>
      </c>
      <c r="N34" s="482">
        <f>SUMIFS(Nozzle!$O$94:$O$190,Nozzle!$A$94:$A$190,"C66SHA",Nozzle!$B$94:$B$190,"302",Nozzle!$F$94:$F$190,"ESEL",Nozzle!$G$94:$G$190,"additional")</f>
        <v>1</v>
      </c>
      <c r="O34" s="483">
        <f>SUMIFS(Nozzle!$I$1:$I93,Nozzle!$A$1:$A$93,"C66SHA",Nozzle!$B$1:$B$93,"302",Nozzle!$F$1:$F$93,"ESEL",Nozzle!$H$1:$H$93,"Incoming",Nozzle!$G$1:$G$93,"additional")</f>
        <v>0</v>
      </c>
      <c r="P34" s="483">
        <f>SUMIFS(Nozzle!$I$1:$I93,Nozzle!$A$1:$A$93,"C66SHA",Nozzle!$B$1:$B$93,"302",Nozzle!$F$1:$F$93,"ESEL",Nozzle!$H$1:$H$93,"TBA",Nozzle!$G$1:$G$93,"additional")</f>
        <v>0</v>
      </c>
      <c r="Q34" s="484">
        <f>SUMIFS(Nozzle!$P$94:$P$190,Nozzle!$A$94:$A$190,"C66SHA",Nozzle!$B$94:$B$190,"302",Nozzle!$F$94:$F$190,"ESEL")</f>
        <v>0</v>
      </c>
      <c r="R34" s="485">
        <v>0</v>
      </c>
      <c r="S34" s="486">
        <f t="shared" si="22"/>
        <v>-1</v>
      </c>
      <c r="T34" s="18"/>
      <c r="U34" s="468">
        <v>302</v>
      </c>
      <c r="V34" s="487">
        <f t="shared" ref="V34:V51" si="26">W34-X34</f>
        <v>0</v>
      </c>
      <c r="W34" s="482">
        <f>SUMIFS(Nozzle!$I$1:$I93,Nozzle!$A$1:$A$93,"C66BJS",Nozzle!$B$1:$B$93,"302",Nozzle!$F$1:$F$93,"ESEL",Nozzle!$H$1:$H$93,"STK",Nozzle!$G$1:$G$93,"additional")</f>
        <v>0</v>
      </c>
      <c r="X34" s="482">
        <f>SUMIFS(Nozzle!$O$94:$O$190,Nozzle!$A$94:$A$190,"C66BJS",Nozzle!$B$94:$B$190,"302",Nozzle!$F$94:$F$190,"ESEL",Nozzle!$G$94:$G$190,"additional")</f>
        <v>0</v>
      </c>
      <c r="Y34" s="483">
        <f>SUMIFS(Nozzle!$I$1:$I93,Nozzle!$A$1:$A$93,"C66BJS",Nozzle!$B$1:$B$93,"302",Nozzle!$F$1:$F$93,"ESEL",Nozzle!$H$1:$H$93,"Incoming",Nozzle!$G$1:$G$93,"additional")</f>
        <v>0</v>
      </c>
      <c r="Z34" s="483">
        <f>SUMIFS(Nozzle!$I$1:$I93,Nozzle!$A$1:$A$93,"C66BJS",Nozzle!$B$1:$B$93,"302",Nozzle!$F$1:$F$93,"ESEL",Nozzle!$H$1:$H$93,"TBA",Nozzle!$G$1:$G$93,"additional")</f>
        <v>0</v>
      </c>
      <c r="AA34" s="484">
        <f>SUMIFS(Nozzle!$P$94:$P$190,Nozzle!$A$94:$A$190,"C66BJS",Nozzle!$B$94:$B$190,"302",Nozzle!$F$94:$F$190,"ESEL")</f>
        <v>0</v>
      </c>
      <c r="AB34" s="485">
        <v>0</v>
      </c>
      <c r="AC34" s="486">
        <f t="shared" ref="AC34:AC51" si="27">V34+Y34+Z34-AA34-AB34</f>
        <v>0</v>
      </c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</row>
    <row r="35" spans="1:40" ht="18">
      <c r="A35" s="468">
        <v>303</v>
      </c>
      <c r="B35" s="487">
        <f t="shared" si="23"/>
        <v>-15</v>
      </c>
      <c r="C35" s="482">
        <f>SUMIFS(Nozzle!$I$1:$I93,Nozzle!$A$1:$A$93,"C66SZX",Nozzle!$B$1:$B$93,"303",Nozzle!$F$1:$F$93,"ESEL",Nozzle!$H$1:$H$93,"STK",Nozzle!$G$1:$G$93,"additional")</f>
        <v>0</v>
      </c>
      <c r="D35" s="482">
        <f>SUMIFS(Nozzle!$O$94:$O$190,Nozzle!$A$94:$A$190,"C66SZX",Nozzle!$B$94:$B$190,"303",Nozzle!$F$94:$F$190,"ESEL",Nozzle!$G$94:$G$190,"additional")</f>
        <v>15</v>
      </c>
      <c r="E35" s="483">
        <f>SUMIFS(Nozzle!$I$1:$I93,Nozzle!$A$1:$A$93,"C66SZX",Nozzle!$B$1:$B$93,"303",Nozzle!$F$1:$F$93,"ESEL",Nozzle!$H$1:$H$93,"Incoming",Nozzle!$G$1:$G$93,"additional")</f>
        <v>0</v>
      </c>
      <c r="F35" s="483">
        <f>SUMIFS(Nozzle!$I$1:$I93,Nozzle!$A$1:$A$93,"C66SZX",Nozzle!$B$1:$B$93,"303",Nozzle!$F$1:$F$93,"ESEL",Nozzle!$H$1:$H$93,"TBA",Nozzle!$G$1:$G$93,"additional")</f>
        <v>0</v>
      </c>
      <c r="G35" s="484">
        <f>SUMIFS(Nozzle!$P$94:$P$190,Nozzle!$A$94:$A$190,"C66SZX",Nozzle!$B$94:$B$190,"303",Nozzle!$F$94:$F$190,"ESEL")</f>
        <v>0</v>
      </c>
      <c r="H35" s="485">
        <v>5</v>
      </c>
      <c r="I35" s="486">
        <f t="shared" si="24"/>
        <v>-20</v>
      </c>
      <c r="K35" s="468">
        <v>303</v>
      </c>
      <c r="L35" s="487">
        <f t="shared" si="25"/>
        <v>-5</v>
      </c>
      <c r="M35" s="482">
        <f>SUMIFS(Nozzle!$I$1:$I93,Nozzle!$A$1:$A$93,"C66SHA",Nozzle!$B$1:$B$93,"303",Nozzle!$F$1:$F$93,"ESEL",Nozzle!$H$1:$H$93,"STK",Nozzle!$G$1:$G$93,"additional")</f>
        <v>0</v>
      </c>
      <c r="N35" s="482">
        <f>SUMIFS(Nozzle!$O$94:$O$190,Nozzle!$A$94:$A$190,"C66SHA",Nozzle!$B$94:$B$190,"303",Nozzle!$F$94:$F$190,"ESEL",Nozzle!$G$94:$G$190,"additional")</f>
        <v>5</v>
      </c>
      <c r="O35" s="483">
        <f>SUMIFS(Nozzle!$I$1:$I93,Nozzle!$A$1:$A$93,"C66SHA",Nozzle!$B$1:$B$93,"303",Nozzle!$F$1:$F$93,"ESEL",Nozzle!$H$1:$H$93,"Incoming",Nozzle!$G$1:$G$93,"additional")</f>
        <v>0</v>
      </c>
      <c r="P35" s="483">
        <f>SUMIFS(Nozzle!$I$1:$I93,Nozzle!$A$1:$A$93,"C66SHA",Nozzle!$B$1:$B$93,"303",Nozzle!$F$1:$F$93,"ESEL",Nozzle!$H$1:$H$93,"TBA",Nozzle!$G$1:$G$93,"additional")</f>
        <v>0</v>
      </c>
      <c r="Q35" s="484">
        <f>SUMIFS(Nozzle!$P$94:$P$190,Nozzle!$A$94:$A$190,"C66SHA",Nozzle!$B$94:$B$190,"303",Nozzle!$F$94:$F$190,"ESEL")</f>
        <v>0</v>
      </c>
      <c r="R35" s="485">
        <v>0</v>
      </c>
      <c r="S35" s="486">
        <f t="shared" si="22"/>
        <v>-5</v>
      </c>
      <c r="T35" s="18"/>
      <c r="U35" s="468">
        <v>303</v>
      </c>
      <c r="V35" s="487">
        <f t="shared" si="26"/>
        <v>0</v>
      </c>
      <c r="W35" s="482">
        <f>SUMIFS(Nozzle!$I$1:$I93,Nozzle!$A$1:$A$93,"C66BJS",Nozzle!$B$1:$B$93,"303",Nozzle!$F$1:$F$93,"ESEL",Nozzle!$H$1:$H$93,"STK",Nozzle!$G$1:$G$93,"additional")</f>
        <v>0</v>
      </c>
      <c r="X35" s="482">
        <f>SUMIFS(Nozzle!$O$94:$O$190,Nozzle!$A$94:$A$190,"C66BJS",Nozzle!$B$94:$B$190,"303",Nozzle!$F$94:$F$190,"ESEL",Nozzle!$G$94:$G$190,"additional")</f>
        <v>0</v>
      </c>
      <c r="Y35" s="483">
        <f>SUMIFS(Nozzle!$I$1:$I93,Nozzle!$A$1:$A$93,"C66BJS",Nozzle!$B$1:$B$93,"303",Nozzle!$F$1:$F$93,"ESEL",Nozzle!$H$1:$H$93,"Incoming",Nozzle!$G$1:$G$93,"additional")</f>
        <v>0</v>
      </c>
      <c r="Z35" s="483">
        <f>SUMIFS(Nozzle!$I$1:$I93,Nozzle!$A$1:$A$93,"C66BJS",Nozzle!$B$1:$B$93,"303",Nozzle!$F$1:$F$93,"ESEL",Nozzle!$H$1:$H$93,"TBA",Nozzle!$G$1:$G$93,"additional")</f>
        <v>0</v>
      </c>
      <c r="AA35" s="484">
        <f>SUMIFS(Nozzle!$P$94:$P$190,Nozzle!$A$94:$A$190,"C66BJS",Nozzle!$B$94:$B$190,"303",Nozzle!$F$94:$F$190,"ESEL")</f>
        <v>0</v>
      </c>
      <c r="AB35" s="485">
        <v>0</v>
      </c>
      <c r="AC35" s="486">
        <f t="shared" si="27"/>
        <v>0</v>
      </c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</row>
    <row r="36" spans="1:40" ht="18">
      <c r="A36" s="468">
        <v>304</v>
      </c>
      <c r="B36" s="487">
        <f t="shared" si="23"/>
        <v>-5</v>
      </c>
      <c r="C36" s="482">
        <f>SUMIFS(Nozzle!$I$1:$I93,Nozzle!$A$1:$A$93,"C66SZX",Nozzle!$B$1:$B$93,"304",Nozzle!$F$1:$F$93,"ESEL",Nozzle!$H$1:$H$93,"STK",Nozzle!$G$1:$G$93,"additional")</f>
        <v>0</v>
      </c>
      <c r="D36" s="482">
        <f>SUMIFS(Nozzle!$O$94:$O$190,Nozzle!$A$94:$A$190,"C66SZX",Nozzle!$B$94:$B$190,"304",Nozzle!$F$94:$F$190,"ESEL",Nozzle!$G$94:$G$190,"additional")</f>
        <v>5</v>
      </c>
      <c r="E36" s="483">
        <f>SUMIFS(Nozzle!$I$1:$I93,Nozzle!$A$1:$A$93,"C66SZX",Nozzle!$B$1:$B$93,"304",Nozzle!$F$1:$F$93,"ESEL",Nozzle!$H$1:$H$93,"Incoming",Nozzle!$G$1:$G$93,"additional")</f>
        <v>0</v>
      </c>
      <c r="F36" s="483">
        <f>SUMIFS(Nozzle!$I$1:$I93,Nozzle!$A$1:$A$93,"C66SZX",Nozzle!$B$1:$B$93,"304",Nozzle!$F$1:$F$93,"ESEL",Nozzle!$H$1:$H$93,"TBA",Nozzle!$G$1:$G$93,"additional")</f>
        <v>0</v>
      </c>
      <c r="G36" s="484">
        <f>SUMIFS(Nozzle!$P$94:$P$190,Nozzle!$A$94:$A$190,"C66SZX",Nozzle!$B$94:$B$190,"304",Nozzle!$F$94:$F$190,"ESEL")</f>
        <v>0</v>
      </c>
      <c r="H36" s="485">
        <v>2</v>
      </c>
      <c r="I36" s="486">
        <f t="shared" si="24"/>
        <v>-7</v>
      </c>
      <c r="K36" s="468">
        <v>304</v>
      </c>
      <c r="L36" s="487">
        <f t="shared" si="25"/>
        <v>-2</v>
      </c>
      <c r="M36" s="482">
        <f>SUMIFS(Nozzle!$I$1:$I93,Nozzle!$A$1:$A$93,"C66SHA",Nozzle!$B$1:$B$93,"304",Nozzle!$F$1:$F$93,"ESEL",Nozzle!$H$1:$H$93,"STK",Nozzle!$G$1:$G$93,"additional")</f>
        <v>0</v>
      </c>
      <c r="N36" s="482">
        <f>SUMIFS(Nozzle!$O$94:$O$190,Nozzle!$A$94:$A$190,"C66SHA",Nozzle!$B$94:$B$190,"304",Nozzle!$F$94:$F$190,"ESEL",Nozzle!$G$94:$G$190,"additional")</f>
        <v>2</v>
      </c>
      <c r="O36" s="483">
        <f>SUMIFS(Nozzle!$I$1:$I93,Nozzle!$A$1:$A$93,"C66SHA",Nozzle!$B$1:$B$93,"304",Nozzle!$F$1:$F$93,"ESEL",Nozzle!$H$1:$H$93,"Incoming",Nozzle!$G$1:$G$93,"additional")</f>
        <v>0</v>
      </c>
      <c r="P36" s="483">
        <f>SUMIFS(Nozzle!$I$1:$I93,Nozzle!$A$1:$A$93,"C66SHA",Nozzle!$B$1:$B$93,"304",Nozzle!$F$1:$F$93,"ESEL",Nozzle!$H$1:$H$93,"TBA",Nozzle!$G$1:$G$93,"additional")</f>
        <v>0</v>
      </c>
      <c r="Q36" s="484">
        <f>SUMIFS(Nozzle!$P$94:$P$190,Nozzle!$A$94:$A$190,"C66SHA",Nozzle!$B$94:$B$190,"304",Nozzle!$F$94:$F$190,"ESEL")</f>
        <v>0</v>
      </c>
      <c r="R36" s="485">
        <v>0</v>
      </c>
      <c r="S36" s="486">
        <f t="shared" si="22"/>
        <v>-2</v>
      </c>
      <c r="T36" s="18"/>
      <c r="U36" s="468">
        <v>304</v>
      </c>
      <c r="V36" s="487">
        <f t="shared" si="26"/>
        <v>0</v>
      </c>
      <c r="W36" s="482">
        <f>SUMIFS(Nozzle!$I$1:$I93,Nozzle!$A$1:$A$93,"C66BJS",Nozzle!$B$1:$B$93,"304",Nozzle!$F$1:$F$93,"ESEL",Nozzle!$H$1:$H$93,"STK",Nozzle!$G$1:$G$93,"additional")</f>
        <v>0</v>
      </c>
      <c r="X36" s="482">
        <f>SUMIFS(Nozzle!$O$94:$O$190,Nozzle!$A$94:$A$190,"C66BJS",Nozzle!$B$94:$B$190,"304",Nozzle!$F$94:$F$190,"ESEL",Nozzle!$G$94:$G$190,"additional")</f>
        <v>0</v>
      </c>
      <c r="Y36" s="483">
        <f>SUMIFS(Nozzle!$I$1:$I93,Nozzle!$A$1:$A$93,"C66BJS",Nozzle!$B$1:$B$93,"304",Nozzle!$F$1:$F$93,"ESEL",Nozzle!$H$1:$H$93,"Incoming",Nozzle!$G$1:$G$93,"additional")</f>
        <v>0</v>
      </c>
      <c r="Z36" s="483">
        <f>SUMIFS(Nozzle!$I$1:$I93,Nozzle!$A$1:$A$93,"C66BJS",Nozzle!$B$1:$B$93,"304",Nozzle!$F$1:$F$93,"ESEL",Nozzle!$H$1:$H$93,"TBA",Nozzle!$G$1:$G$93,"additional")</f>
        <v>0</v>
      </c>
      <c r="AA36" s="484">
        <f>SUMIFS(Nozzle!$P$94:$P$190,Nozzle!$A$94:$A$190,"C66BJS",Nozzle!$B$94:$B$190,"304",Nozzle!$F$94:$F$190,"ESEL")</f>
        <v>0</v>
      </c>
      <c r="AB36" s="485">
        <v>0</v>
      </c>
      <c r="AC36" s="486">
        <f t="shared" si="27"/>
        <v>0</v>
      </c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</row>
    <row r="37" spans="1:40" ht="18">
      <c r="A37" s="468">
        <v>305</v>
      </c>
      <c r="B37" s="487">
        <f t="shared" si="23"/>
        <v>0</v>
      </c>
      <c r="C37" s="482">
        <f>SUMIFS(Nozzle!$I$1:$I93,Nozzle!$A$1:$A$93,"C66SZX",Nozzle!$B$1:$B$93,"305",Nozzle!$F$1:$F$93,"ESEL",Nozzle!$H$1:$H$93,"STK",Nozzle!$G$1:$G$93,"additional")</f>
        <v>0</v>
      </c>
      <c r="D37" s="482">
        <f>SUMIFS(Nozzle!$O$94:$O$190,Nozzle!$A$94:$A$190,"C66SZX",Nozzle!$B$94:$B$190,"305",Nozzle!$F$94:$F$190,"ESEL",Nozzle!$G$94:$G$190,"additional")</f>
        <v>0</v>
      </c>
      <c r="E37" s="483">
        <f>SUMIFS(Nozzle!$I$1:$I93,Nozzle!$A$1:$A$93,"C66SZX",Nozzle!$B$1:$B$93,"305",Nozzle!$F$1:$F$93,"ESEL",Nozzle!$H$1:$H$93,"Incoming",Nozzle!$G$1:$G$93,"additional")</f>
        <v>0</v>
      </c>
      <c r="F37" s="483">
        <f>SUMIFS(Nozzle!$I$1:$I93,Nozzle!$A$1:$A$93,"C66SZX",Nozzle!$B$1:$B$93,"305",Nozzle!$F$1:$F$93,"ESEL",Nozzle!$H$1:$H$93,"TBA",Nozzle!$G$1:$G$93,"additional")</f>
        <v>0</v>
      </c>
      <c r="G37" s="484">
        <f>SUMIFS(Nozzle!$P$94:$P$190,Nozzle!$A$94:$A$190,"C66SZX",Nozzle!$B$94:$B$190,"305",Nozzle!$F$94:$F$190,"ESEL")</f>
        <v>0</v>
      </c>
      <c r="H37" s="485">
        <v>0</v>
      </c>
      <c r="I37" s="486">
        <f t="shared" si="24"/>
        <v>0</v>
      </c>
      <c r="K37" s="468">
        <v>305</v>
      </c>
      <c r="L37" s="487">
        <f t="shared" si="25"/>
        <v>0</v>
      </c>
      <c r="M37" s="482">
        <f>SUMIFS(Nozzle!$I$1:$I93,Nozzle!$A$1:$A$93,"C66SHA",Nozzle!$B$1:$B$93,"305",Nozzle!$F$1:$F$93,"ESEL",Nozzle!$H$1:$H$93,"STK",Nozzle!$G$1:$G$93,"additional")</f>
        <v>0</v>
      </c>
      <c r="N37" s="482">
        <f>SUMIFS(Nozzle!$O$94:$O$190,Nozzle!$A$94:$A$190,"C66SHA",Nozzle!$B$94:$B$190,"305",Nozzle!$F$94:$F$190,"ESEL",Nozzle!$G$94:$G$190,"additional")</f>
        <v>0</v>
      </c>
      <c r="O37" s="483">
        <f>SUMIFS(Nozzle!$I$1:$I93,Nozzle!$A$1:$A$93,"C66SHA",Nozzle!$B$1:$B$93,"305",Nozzle!$F$1:$F$93,"ESEL",Nozzle!$H$1:$H$93,"Incoming",Nozzle!$G$1:$G$93,"additional")</f>
        <v>0</v>
      </c>
      <c r="P37" s="483">
        <f>SUMIFS(Nozzle!$I$1:$I93,Nozzle!$A$1:$A$93,"C66SHA",Nozzle!$B$1:$B$93,"305",Nozzle!$F$1:$F$93,"ESEL",Nozzle!$H$1:$H$93,"TBA",Nozzle!$G$1:$G$93,"additional")</f>
        <v>0</v>
      </c>
      <c r="Q37" s="484">
        <f>SUMIFS(Nozzle!$P$94:$P$190,Nozzle!$A$94:$A$190,"C66SHA",Nozzle!$B$94:$B$190,"305",Nozzle!$F$94:$F$190,"ESEL")</f>
        <v>0</v>
      </c>
      <c r="R37" s="485">
        <v>0</v>
      </c>
      <c r="S37" s="486">
        <f t="shared" si="22"/>
        <v>0</v>
      </c>
      <c r="T37" s="18"/>
      <c r="U37" s="468">
        <v>305</v>
      </c>
      <c r="V37" s="487">
        <f t="shared" si="26"/>
        <v>0</v>
      </c>
      <c r="W37" s="482">
        <f>SUMIFS(Nozzle!$I$1:$I93,Nozzle!$A$1:$A$93,"C66BJS",Nozzle!$B$1:$B$93,"305",Nozzle!$F$1:$F$93,"ESEL",Nozzle!$H$1:$H$93,"STK",Nozzle!$G$1:$G$93,"additional")</f>
        <v>0</v>
      </c>
      <c r="X37" s="482">
        <f>SUMIFS(Nozzle!$O$94:$O$190,Nozzle!$A$94:$A$190,"C66BJS",Nozzle!$B$94:$B$190,"305",Nozzle!$F$94:$F$190,"ESEL",Nozzle!$G$94:$G$190,"additional")</f>
        <v>0</v>
      </c>
      <c r="Y37" s="483">
        <f>SUMIFS(Nozzle!$I$1:$I93,Nozzle!$A$1:$A$93,"C66BJS",Nozzle!$B$1:$B$93,"305",Nozzle!$F$1:$F$93,"ESEL",Nozzle!$H$1:$H$93,"Incoming",Nozzle!$G$1:$G$93,"additional")</f>
        <v>0</v>
      </c>
      <c r="Z37" s="483">
        <f>SUMIFS(Nozzle!$I$1:$I93,Nozzle!$A$1:$A$93,"C66BJS",Nozzle!$B$1:$B$93,"305",Nozzle!$F$1:$F$93,"ESEL",Nozzle!$H$1:$H$93,"TBA",Nozzle!$G$1:$G$93,"additional")</f>
        <v>0</v>
      </c>
      <c r="AA37" s="484">
        <f>SUMIFS(Nozzle!$P$94:$P$190,Nozzle!$A$94:$A$190,"C66BJS",Nozzle!$B$94:$B$190,"305",Nozzle!$F$94:$F$190,"ESEL")</f>
        <v>0</v>
      </c>
      <c r="AB37" s="485">
        <v>0</v>
      </c>
      <c r="AC37" s="486">
        <f t="shared" si="27"/>
        <v>0</v>
      </c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</row>
    <row r="38" spans="1:40" ht="18">
      <c r="A38" s="468">
        <v>306</v>
      </c>
      <c r="B38" s="487">
        <f t="shared" si="23"/>
        <v>0</v>
      </c>
      <c r="C38" s="482">
        <f>SUMIFS(Nozzle!$I$1:$I93,Nozzle!$A$1:$A$93,"C66SZX",Nozzle!$B$1:$B$93,"306",Nozzle!$F$1:$F$93,"ESEL",Nozzle!$H$1:$H$93,"STK",Nozzle!$G$1:$G$93,"additional")</f>
        <v>0</v>
      </c>
      <c r="D38" s="482">
        <f>SUMIFS(Nozzle!$O$94:$O$190,Nozzle!$A$94:$A$190,"C66SZX",Nozzle!$B$94:$B$190,"306",Nozzle!$F$94:$F$190,"ESEL",Nozzle!$G$94:$G$190,"additional")</f>
        <v>0</v>
      </c>
      <c r="E38" s="483">
        <f>SUMIFS(Nozzle!$I$1:$I93,Nozzle!$A$1:$A$93,"C66SZX",Nozzle!$B$1:$B$93,"306",Nozzle!$F$1:$F$93,"ESEL",Nozzle!$H$1:$H$93,"Incoming",Nozzle!$G$1:$G$93,"additional")</f>
        <v>0</v>
      </c>
      <c r="F38" s="483">
        <f>SUMIFS(Nozzle!$I$1:$I93,Nozzle!$A$1:$A$93,"C66SZX",Nozzle!$B$1:$B$93,"306",Nozzle!$F$1:$F$93,"ESEL",Nozzle!$H$1:$H$93,"TBA",Nozzle!$G$1:$G$93,"additional")</f>
        <v>0</v>
      </c>
      <c r="G38" s="484">
        <f>SUMIFS(Nozzle!$P$94:$P$190,Nozzle!$A$94:$A$190,"C66SZX",Nozzle!$B$94:$B$190,"306",Nozzle!$F$94:$F$190,"ESEL")</f>
        <v>0</v>
      </c>
      <c r="H38" s="485">
        <v>0</v>
      </c>
      <c r="I38" s="486">
        <f t="shared" si="24"/>
        <v>0</v>
      </c>
      <c r="K38" s="468">
        <v>306</v>
      </c>
      <c r="L38" s="487">
        <f t="shared" si="25"/>
        <v>0</v>
      </c>
      <c r="M38" s="482">
        <f>SUMIFS(Nozzle!$I$1:$I93,Nozzle!$A$1:$A$93,"C66SHA",Nozzle!$B$1:$B$93,"306",Nozzle!$F$1:$F$93,"ESEL",Nozzle!$H$1:$H$93,"STK",Nozzle!$G$1:$G$93,"additional")</f>
        <v>0</v>
      </c>
      <c r="N38" s="482">
        <f>SUMIFS(Nozzle!$O$94:$O$190,Nozzle!$A$94:$A$190,"C66SHA",Nozzle!$B$94:$B$190,"306",Nozzle!$F$94:$F$190,"ESEL",Nozzle!$G$94:$G$190,"additional")</f>
        <v>0</v>
      </c>
      <c r="O38" s="483">
        <f>SUMIFS(Nozzle!$I$1:$I93,Nozzle!$A$1:$A$93,"C66SHA",Nozzle!$B$1:$B$93,"306",Nozzle!$F$1:$F$93,"ESEL",Nozzle!$H$1:$H$93,"Incoming",Nozzle!$G$1:$G$93,"additional")</f>
        <v>0</v>
      </c>
      <c r="P38" s="483">
        <f>SUMIFS(Nozzle!$I$1:$I93,Nozzle!$A$1:$A$93,"C66SHA",Nozzle!$B$1:$B$93,"306",Nozzle!$F$1:$F$93,"ESEL",Nozzle!$H$1:$H$93,"TBA",Nozzle!$G$1:$G$93,"additional")</f>
        <v>0</v>
      </c>
      <c r="Q38" s="484">
        <f>SUMIFS(Nozzle!$P$94:$P$190,Nozzle!$A$94:$A$190,"C66SHA",Nozzle!$B$94:$B$190,"306",Nozzle!$F$94:$F$190,"ESEL")</f>
        <v>0</v>
      </c>
      <c r="R38" s="485">
        <v>0</v>
      </c>
      <c r="S38" s="486">
        <f t="shared" si="22"/>
        <v>0</v>
      </c>
      <c r="T38" s="18"/>
      <c r="U38" s="468">
        <v>306</v>
      </c>
      <c r="V38" s="487">
        <f t="shared" si="26"/>
        <v>0</v>
      </c>
      <c r="W38" s="482">
        <f>SUMIFS(Nozzle!$I$1:$I93,Nozzle!$A$1:$A$93,"C66BJS",Nozzle!$B$1:$B$93,"306",Nozzle!$F$1:$F$93,"ESEL",Nozzle!$H$1:$H$93,"STK",Nozzle!$G$1:$G$93,"additional")</f>
        <v>0</v>
      </c>
      <c r="X38" s="482">
        <f>SUMIFS(Nozzle!$O$94:$O$190,Nozzle!$A$94:$A$190,"C66BJS",Nozzle!$B$94:$B$190,"306",Nozzle!$F$94:$F$190,"ESEL",Nozzle!$G$94:$G$190,"additional")</f>
        <v>0</v>
      </c>
      <c r="Y38" s="483">
        <f>SUMIFS(Nozzle!$I$1:$I93,Nozzle!$A$1:$A$93,"C66BJS",Nozzle!$B$1:$B$93,"306",Nozzle!$F$1:$F$93,"ESEL",Nozzle!$H$1:$H$93,"Incoming",Nozzle!$G$1:$G$93,"additional")</f>
        <v>0</v>
      </c>
      <c r="Z38" s="483">
        <f>SUMIFS(Nozzle!$I$1:$I93,Nozzle!$A$1:$A$93,"C66BJS",Nozzle!$B$1:$B$93,"306",Nozzle!$F$1:$F$93,"ESEL",Nozzle!$H$1:$H$93,"TBA",Nozzle!$G$1:$G$93,"additional")</f>
        <v>0</v>
      </c>
      <c r="AA38" s="484">
        <f>SUMIFS(Nozzle!$P$94:$P$190,Nozzle!$A$94:$A$190,"C66BJS",Nozzle!$B$94:$B$190,"306",Nozzle!$F$94:$F$190,"ESEL")</f>
        <v>0</v>
      </c>
      <c r="AB38" s="485">
        <v>0</v>
      </c>
      <c r="AC38" s="486">
        <f t="shared" si="27"/>
        <v>0</v>
      </c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</row>
    <row r="39" spans="1:40" ht="18">
      <c r="A39" s="468">
        <v>307</v>
      </c>
      <c r="B39" s="487">
        <f t="shared" si="23"/>
        <v>0</v>
      </c>
      <c r="C39" s="482">
        <f>SUMIFS(Nozzle!$I$1:$I93,Nozzle!$A$1:$A$93,"C66SZX",Nozzle!$B$1:$B$93,"307",Nozzle!$F$1:$F$93,"ESEL",Nozzle!$H$1:$H$93,"STK",Nozzle!$G$1:$G$93,"additional")</f>
        <v>0</v>
      </c>
      <c r="D39" s="482">
        <f>SUMIFS(Nozzle!$O$94:$O$190,Nozzle!$A$94:$A$190,"C66SZX",Nozzle!$B$94:$B$190,"307",Nozzle!$F$94:$F$190,"ESEL",Nozzle!$G$94:$G$190,"additional")</f>
        <v>0</v>
      </c>
      <c r="E39" s="483">
        <f>SUMIFS(Nozzle!$I$1:$I93,Nozzle!$A$1:$A$93,"C66SZX",Nozzle!$B$1:$B$93,"307",Nozzle!$F$1:$F$93,"ESEL",Nozzle!$H$1:$H$93,"Incoming",Nozzle!$G$1:$G$93,"additional")</f>
        <v>0</v>
      </c>
      <c r="F39" s="483">
        <f>SUMIFS(Nozzle!$I$1:$I93,Nozzle!$A$1:$A$93,"C66SZX",Nozzle!$B$1:$B$93,"307",Nozzle!$F$1:$F$93,"ESEL",Nozzle!$H$1:$H$93,"TBA",Nozzle!$G$1:$G$93,"additional")</f>
        <v>0</v>
      </c>
      <c r="G39" s="484">
        <f>SUMIFS(Nozzle!$P$94:$P$190,Nozzle!$A$94:$A$190,"C66SZX",Nozzle!$B$94:$B$190,"307",Nozzle!$F$94:$F$190,"ESEL")</f>
        <v>0</v>
      </c>
      <c r="H39" s="485">
        <v>0</v>
      </c>
      <c r="I39" s="486">
        <f t="shared" si="24"/>
        <v>0</v>
      </c>
      <c r="K39" s="468">
        <v>307</v>
      </c>
      <c r="L39" s="487">
        <f t="shared" si="25"/>
        <v>0</v>
      </c>
      <c r="M39" s="482">
        <f>SUMIFS(Nozzle!$I$1:$I93,Nozzle!$A$1:$A$93,"C66SHA",Nozzle!$B$1:$B$93,"307",Nozzle!$F$1:$F$93,"ESEL",Nozzle!$H$1:$H$93,"STK",Nozzle!$G$1:$G$93,"additional")</f>
        <v>0</v>
      </c>
      <c r="N39" s="482">
        <f>SUMIFS(Nozzle!$O$94:$O$190,Nozzle!$A$94:$A$190,"C66SHA",Nozzle!$B$94:$B$190,"307",Nozzle!$F$94:$F$190,"ESEL",Nozzle!$G$94:$G$190,"additional")</f>
        <v>0</v>
      </c>
      <c r="O39" s="483">
        <f>SUMIFS(Nozzle!$I$1:$I93,Nozzle!$A$1:$A$93,"C66SHA",Nozzle!$B$1:$B$93,"307",Nozzle!$F$1:$F$93,"ESEL",Nozzle!$H$1:$H$93,"Incoming",Nozzle!$G$1:$G$93,"additional")</f>
        <v>0</v>
      </c>
      <c r="P39" s="483">
        <f>SUMIFS(Nozzle!$I$1:$I93,Nozzle!$A$1:$A$93,"C66SHA",Nozzle!$B$1:$B$93,"307",Nozzle!$F$1:$F$93,"ESEL",Nozzle!$H$1:$H$93,"TBA",Nozzle!$G$1:$G$93,"additional")</f>
        <v>0</v>
      </c>
      <c r="Q39" s="484">
        <f>SUMIFS(Nozzle!$P$94:$P$190,Nozzle!$A$94:$A$190,"C66SHA",Nozzle!$B$94:$B$190,"307",Nozzle!$F$94:$F$190,"ESEL")</f>
        <v>0</v>
      </c>
      <c r="R39" s="485">
        <v>0</v>
      </c>
      <c r="S39" s="486">
        <f t="shared" si="22"/>
        <v>0</v>
      </c>
      <c r="T39" s="18"/>
      <c r="U39" s="468">
        <v>307</v>
      </c>
      <c r="V39" s="487">
        <f t="shared" si="26"/>
        <v>0</v>
      </c>
      <c r="W39" s="482">
        <f>SUMIFS(Nozzle!$I$1:$I93,Nozzle!$A$1:$A$93,"C66BJS",Nozzle!$B$1:$B$93,"307",Nozzle!$F$1:$F$93,"ESEL",Nozzle!$H$1:$H$93,"STK",Nozzle!$G$1:$G$93,"additional")</f>
        <v>0</v>
      </c>
      <c r="X39" s="482">
        <f>SUMIFS(Nozzle!$O$94:$O$190,Nozzle!$A$94:$A$190,"C66BJS",Nozzle!$B$94:$B$190,"307",Nozzle!$F$94:$F$190,"ESEL",Nozzle!$G$94:$G$190,"additional")</f>
        <v>0</v>
      </c>
      <c r="Y39" s="483">
        <f>SUMIFS(Nozzle!$I$1:$I93,Nozzle!$A$1:$A$93,"C66BJS",Nozzle!$B$1:$B$93,"307",Nozzle!$F$1:$F$93,"ESEL",Nozzle!$H$1:$H$93,"Incoming",Nozzle!$G$1:$G$93,"additional")</f>
        <v>0</v>
      </c>
      <c r="Z39" s="483">
        <f>SUMIFS(Nozzle!$I$1:$I93,Nozzle!$A$1:$A$93,"C66BJS",Nozzle!$B$1:$B$93,"307",Nozzle!$F$1:$F$93,"ESEL",Nozzle!$H$1:$H$93,"TBA",Nozzle!$G$1:$G$93,"additional")</f>
        <v>0</v>
      </c>
      <c r="AA39" s="484">
        <f>SUMIFS(Nozzle!$P$94:$P$190,Nozzle!$A$94:$A$190,"C66BJS",Nozzle!$B$94:$B$190,"307",Nozzle!$F$94:$F$190,"ESEL")</f>
        <v>0</v>
      </c>
      <c r="AB39" s="485">
        <v>0</v>
      </c>
      <c r="AC39" s="486">
        <f t="shared" si="27"/>
        <v>0</v>
      </c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</row>
    <row r="40" spans="1:40" ht="18">
      <c r="A40" s="468">
        <v>309</v>
      </c>
      <c r="B40" s="487">
        <f t="shared" si="23"/>
        <v>0</v>
      </c>
      <c r="C40" s="482">
        <f>SUMIFS(Nozzle!$I$1:$I93,Nozzle!$A$1:$A$93,"C66SZX",Nozzle!$B$1:$B$93,"309",Nozzle!$F$1:$F$93,"ESEL",Nozzle!$H$1:$H$93,"STK",Nozzle!$G$1:$G$93,"additional")</f>
        <v>0</v>
      </c>
      <c r="D40" s="482">
        <f>SUMIFS(Nozzle!$O$94:$O$190,Nozzle!$A$94:$A$190,"C66SZX",Nozzle!$B$94:$B$190,"309",Nozzle!$F$94:$F$190,"ESEL",Nozzle!$G$94:$G$190,"additional")</f>
        <v>0</v>
      </c>
      <c r="E40" s="483">
        <f>SUMIFS(Nozzle!$I$1:$I93,Nozzle!$A$1:$A$93,"C66SZX",Nozzle!$B$1:$B$93,"309",Nozzle!$F$1:$F$93,"ESEL",Nozzle!$H$1:$H$93,"Incoming",Nozzle!$G$1:$G$93,"additional")</f>
        <v>0</v>
      </c>
      <c r="F40" s="483">
        <f>SUMIFS(Nozzle!$I$1:$I93,Nozzle!$A$1:$A$93,"C66SZX",Nozzle!$B$1:$B$93,"309",Nozzle!$F$1:$F$93,"ESEL",Nozzle!$H$1:$H$93,"TBA",Nozzle!$G$1:$G$93,"additional")</f>
        <v>0</v>
      </c>
      <c r="G40" s="484">
        <f>SUMIFS(Nozzle!$P$94:$P$190,Nozzle!$A$94:$A$190,"C66SZX",Nozzle!$B$94:$B$190,"309",Nozzle!$F$94:$F$190,"ESEL")</f>
        <v>0</v>
      </c>
      <c r="H40" s="485">
        <v>0</v>
      </c>
      <c r="I40" s="486">
        <f t="shared" si="24"/>
        <v>0</v>
      </c>
      <c r="K40" s="468">
        <v>309</v>
      </c>
      <c r="L40" s="487">
        <f t="shared" si="25"/>
        <v>0</v>
      </c>
      <c r="M40" s="482">
        <f>SUMIFS(Nozzle!$I$1:$I93,Nozzle!$A$1:$A$93,"C66SHA",Nozzle!$B$1:$B$93,"309",Nozzle!$F$1:$F$93,"ESEL",Nozzle!$H$1:$H$93,"STK",Nozzle!$G$1:$G$93,"additional")</f>
        <v>0</v>
      </c>
      <c r="N40" s="482">
        <f>SUMIFS(Nozzle!$O$94:$O$190,Nozzle!$A$94:$A$190,"C66SHA",Nozzle!$B$94:$B$190,"309",Nozzle!$F$94:$F$190,"ESEL",Nozzle!$G$94:$G$190,"additional")</f>
        <v>0</v>
      </c>
      <c r="O40" s="483">
        <f>SUMIFS(Nozzle!$I$1:$I93,Nozzle!$A$1:$A$93,"C66SHA",Nozzle!$B$1:$B$93,"309",Nozzle!$F$1:$F$93,"ESEL",Nozzle!$H$1:$H$93,"Incoming",Nozzle!$G$1:$G$93,"additional")</f>
        <v>0</v>
      </c>
      <c r="P40" s="483">
        <f>SUMIFS(Nozzle!$I$1:$I93,Nozzle!$A$1:$A$93,"C66SHA",Nozzle!$B$1:$B$93,"309",Nozzle!$F$1:$F$93,"ESEL",Nozzle!$H$1:$H$93,"TBA",Nozzle!$G$1:$G$93,"additional")</f>
        <v>0</v>
      </c>
      <c r="Q40" s="484">
        <f>SUMIFS(Nozzle!$P$94:$P$190,Nozzle!$A$94:$A$190,"C66SHA",Nozzle!$B$94:$B$190,"309",Nozzle!$F$94:$F$190,"ESEL")</f>
        <v>0</v>
      </c>
      <c r="R40" s="485">
        <v>0</v>
      </c>
      <c r="S40" s="486">
        <f t="shared" si="22"/>
        <v>0</v>
      </c>
      <c r="T40" s="18"/>
      <c r="U40" s="468">
        <v>309</v>
      </c>
      <c r="V40" s="487">
        <f t="shared" si="26"/>
        <v>0</v>
      </c>
      <c r="W40" s="482">
        <f>SUMIFS(Nozzle!$I$1:$I93,Nozzle!$A$1:$A$93,"C66BJS",Nozzle!$B$1:$B$93,"309",Nozzle!$F$1:$F$93,"ESEL",Nozzle!$H$1:$H$93,"STK",Nozzle!$G$1:$G$93,"additional")</f>
        <v>0</v>
      </c>
      <c r="X40" s="482">
        <f>SUMIFS(Nozzle!$O$94:$O$190,Nozzle!$A$94:$A$190,"C66BJS",Nozzle!$B$94:$B$190,"309",Nozzle!$F$94:$F$190,"ESEL",Nozzle!$G$94:$G$190,"additional")</f>
        <v>0</v>
      </c>
      <c r="Y40" s="483">
        <f>SUMIFS(Nozzle!$I$1:$I93,Nozzle!$A$1:$A$93,"C66BJS",Nozzle!$B$1:$B$93,"309",Nozzle!$F$1:$F$93,"ESEL",Nozzle!$H$1:$H$93,"Incoming",Nozzle!$G$1:$G$93,"additional")</f>
        <v>0</v>
      </c>
      <c r="Z40" s="483">
        <f>SUMIFS(Nozzle!$I$1:$I93,Nozzle!$A$1:$A$93,"C66BJS",Nozzle!$B$1:$B$93,"309",Nozzle!$F$1:$F$93,"ESEL",Nozzle!$H$1:$H$93,"TBA",Nozzle!$G$1:$G$93,"additional")</f>
        <v>0</v>
      </c>
      <c r="AA40" s="484">
        <f>SUMIFS(Nozzle!$P$94:$P$190,Nozzle!$A$94:$A$190,"C66BJS",Nozzle!$B$94:$B$190,"309",Nozzle!$F$94:$F$190,"ESEL")</f>
        <v>0</v>
      </c>
      <c r="AB40" s="485">
        <v>0</v>
      </c>
      <c r="AC40" s="486">
        <f t="shared" si="27"/>
        <v>0</v>
      </c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</row>
    <row r="41" spans="1:40" ht="18">
      <c r="A41" s="468">
        <v>310</v>
      </c>
      <c r="B41" s="487">
        <f t="shared" si="23"/>
        <v>0</v>
      </c>
      <c r="C41" s="482">
        <f>SUMIFS(Nozzle!$I$1:$I93,Nozzle!$A$1:$A$93,"C66SZX",Nozzle!$B$1:$B$93,"310",Nozzle!$F$1:$F$93,"ESEL",Nozzle!$H$1:$H$93,"STK",Nozzle!$G$1:$G$93,"additional")</f>
        <v>0</v>
      </c>
      <c r="D41" s="482">
        <f>SUMIFS(Nozzle!$O$94:$O$190,Nozzle!$A$94:$A$190,"C66SZX",Nozzle!$B$94:$B$190,"310",Nozzle!$F$94:$F$190,"ESEL",Nozzle!$G$94:$G$190,"additional")</f>
        <v>0</v>
      </c>
      <c r="E41" s="483">
        <f>SUMIFS(Nozzle!$I$1:$I93,Nozzle!$A$1:$A$93,"C66SZX",Nozzle!$B$1:$B$93,"310",Nozzle!$F$1:$F$93,"ESEL",Nozzle!$H$1:$H$93,"Incoming",Nozzle!$G$1:$G$93,"additional")</f>
        <v>0</v>
      </c>
      <c r="F41" s="483">
        <f>SUMIFS(Nozzle!$I$1:$I93,Nozzle!$A$1:$A$93,"C66SZX",Nozzle!$B$1:$B$93,"310",Nozzle!$F$1:$F$93,"ESEL",Nozzle!$H$1:$H$93,"TBA",Nozzle!$G$1:$G$93,"additional")</f>
        <v>0</v>
      </c>
      <c r="G41" s="484">
        <f>SUMIFS(Nozzle!$P$94:$P$190,Nozzle!$A$94:$A$190,"C66SZX",Nozzle!$B$94:$B$190,"310",Nozzle!$F$94:$F$190,"ESEL")</f>
        <v>0</v>
      </c>
      <c r="H41" s="485">
        <v>0</v>
      </c>
      <c r="I41" s="486">
        <f t="shared" si="24"/>
        <v>0</v>
      </c>
      <c r="K41" s="468">
        <v>310</v>
      </c>
      <c r="L41" s="487">
        <f t="shared" si="25"/>
        <v>0</v>
      </c>
      <c r="M41" s="482">
        <f>SUMIFS(Nozzle!$I$1:$I93,Nozzle!$A$1:$A$93,"C66SHA",Nozzle!$B$1:$B$93,"310",Nozzle!$F$1:$F$93,"ESEL",Nozzle!$H$1:$H$93,"STK",Nozzle!$G$1:$G$93,"additional")</f>
        <v>0</v>
      </c>
      <c r="N41" s="482">
        <f>SUMIFS(Nozzle!$O$94:$O$190,Nozzle!$A$94:$A$190,"C66SHA",Nozzle!$B$94:$B$190,"310",Nozzle!$F$94:$F$190,"ESEL",Nozzle!$G$94:$G$190,"additional")</f>
        <v>0</v>
      </c>
      <c r="O41" s="483">
        <f>SUMIFS(Nozzle!$I$1:$I93,Nozzle!$A$1:$A$93,"C66SHA",Nozzle!$B$1:$B$93,"310",Nozzle!$F$1:$F$93,"ESEL",Nozzle!$H$1:$H$93,"Incoming",Nozzle!$G$1:$G$93,"additional")</f>
        <v>0</v>
      </c>
      <c r="P41" s="483">
        <f>SUMIFS(Nozzle!$I$1:$I93,Nozzle!$A$1:$A$93,"C66SHA",Nozzle!$B$1:$B$93,"310",Nozzle!$F$1:$F$93,"ESEL",Nozzle!$H$1:$H$93,"TBA",Nozzle!$G$1:$G$93,"additional")</f>
        <v>0</v>
      </c>
      <c r="Q41" s="484">
        <f>SUMIFS(Nozzle!$P$94:$P$190,Nozzle!$A$94:$A$190,"C66SHA",Nozzle!$B$94:$B$190,"310",Nozzle!$F$94:$F$190,"ESEL")</f>
        <v>0</v>
      </c>
      <c r="R41" s="485">
        <v>0</v>
      </c>
      <c r="S41" s="486">
        <f t="shared" si="22"/>
        <v>0</v>
      </c>
      <c r="T41" s="18"/>
      <c r="U41" s="468">
        <v>310</v>
      </c>
      <c r="V41" s="487">
        <f t="shared" si="26"/>
        <v>0</v>
      </c>
      <c r="W41" s="482">
        <f>SUMIFS(Nozzle!$I$1:$I93,Nozzle!$A$1:$A$93,"C66BJS",Nozzle!$B$1:$B$93,"310",Nozzle!$F$1:$F$93,"ESEL",Nozzle!$H$1:$H$93,"STK",Nozzle!$G$1:$G$93,"additional")</f>
        <v>0</v>
      </c>
      <c r="X41" s="482">
        <f>SUMIFS(Nozzle!$O$94:$O$190,Nozzle!$A$94:$A$190,"C66BJS",Nozzle!$B$94:$B$190,"310",Nozzle!$F$94:$F$190,"ESEL",Nozzle!$G$94:$G$190,"additional")</f>
        <v>0</v>
      </c>
      <c r="Y41" s="483">
        <f>SUMIFS(Nozzle!$I$1:$I93,Nozzle!$A$1:$A$93,"C66BJS",Nozzle!$B$1:$B$93,"310",Nozzle!$F$1:$F$93,"ESEL",Nozzle!$H$1:$H$93,"Incoming",Nozzle!$G$1:$G$93,"additional")</f>
        <v>0</v>
      </c>
      <c r="Z41" s="483">
        <f>SUMIFS(Nozzle!$I$1:$I93,Nozzle!$A$1:$A$93,"C66BJS",Nozzle!$B$1:$B$93,"310",Nozzle!$F$1:$F$93,"ESEL",Nozzle!$H$1:$H$93,"TBA",Nozzle!$G$1:$G$93,"additional")</f>
        <v>0</v>
      </c>
      <c r="AA41" s="484">
        <f>SUMIFS(Nozzle!$P$94:$P$190,Nozzle!$A$94:$A$190,"C66BJS",Nozzle!$B$94:$B$190,"310",Nozzle!$F$94:$F$190,"ESEL")</f>
        <v>0</v>
      </c>
      <c r="AB41" s="485">
        <v>0</v>
      </c>
      <c r="AC41" s="486">
        <f t="shared" si="27"/>
        <v>0</v>
      </c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</row>
    <row r="42" spans="1:40" ht="18">
      <c r="A42" s="468">
        <v>311</v>
      </c>
      <c r="B42" s="487">
        <f t="shared" si="23"/>
        <v>-10</v>
      </c>
      <c r="C42" s="482">
        <f>SUMIFS(Nozzle!$I$1:$I93,Nozzle!$A$1:$A$93,"C66SZX",Nozzle!$B$1:$B$93,"311",Nozzle!$F$1:$F$93,"ESEL",Nozzle!$H$1:$H$93,"STK",Nozzle!$G$1:$G$93,"additional")</f>
        <v>0</v>
      </c>
      <c r="D42" s="482">
        <f>SUMIFS(Nozzle!$O$94:$O$190,Nozzle!$A$94:$A$190,"C66SZX",Nozzle!$B$94:$B$190,"311",Nozzle!$F$94:$F$190,"ESEL",Nozzle!$G$94:$G$190,"additional")</f>
        <v>10</v>
      </c>
      <c r="E42" s="483">
        <f>SUMIFS(Nozzle!$I$1:$I93,Nozzle!$A$1:$A$93,"C66SZX",Nozzle!$B$1:$B$93,"311",Nozzle!$F$1:$F$93,"ESEL",Nozzle!$H$1:$H$93,"Incoming",Nozzle!$G$1:$G$93,"additional")</f>
        <v>0</v>
      </c>
      <c r="F42" s="483">
        <f>SUMIFS(Nozzle!$I$1:$I93,Nozzle!$A$1:$A$93,"C66SZX",Nozzle!$B$1:$B$93,"311",Nozzle!$F$1:$F$93,"ESEL",Nozzle!$H$1:$H$93,"TBA",Nozzle!$G$1:$G$93,"additional")</f>
        <v>0</v>
      </c>
      <c r="G42" s="484">
        <f>SUMIFS(Nozzle!$P$94:$P$190,Nozzle!$A$94:$A$190,"C66SZX",Nozzle!$B$94:$B$190,"311",Nozzle!$F$94:$F$190,"ESEL")</f>
        <v>0</v>
      </c>
      <c r="H42" s="485">
        <v>10</v>
      </c>
      <c r="I42" s="486">
        <f t="shared" si="24"/>
        <v>-20</v>
      </c>
      <c r="K42" s="468">
        <v>311</v>
      </c>
      <c r="L42" s="487">
        <f t="shared" si="25"/>
        <v>0</v>
      </c>
      <c r="M42" s="482">
        <f>SUMIFS(Nozzle!$I$1:$I93,Nozzle!$A$1:$A$93,"C66SHA",Nozzle!$B$1:$B$93,"311",Nozzle!$F$1:$F$93,"ESEL",Nozzle!$H$1:$H$93,"STK",Nozzle!$G$1:$G$93,"additional")</f>
        <v>0</v>
      </c>
      <c r="N42" s="482">
        <f>SUMIFS(Nozzle!$O$94:$O$190,Nozzle!$A$94:$A$190,"C66SHA",Nozzle!$B$94:$B$190,"311",Nozzle!$F$94:$F$190,"ESEL",Nozzle!$G$94:$G$190,"additional")</f>
        <v>0</v>
      </c>
      <c r="O42" s="483">
        <f>SUMIFS(Nozzle!$I$1:$I93,Nozzle!$A$1:$A$93,"C66SHA",Nozzle!$B$1:$B$93,"311",Nozzle!$F$1:$F$93,"ESEL",Nozzle!$H$1:$H$93,"Incoming",Nozzle!$G$1:$G$93,"additional")</f>
        <v>0</v>
      </c>
      <c r="P42" s="483">
        <f>SUMIFS(Nozzle!$I$1:$I93,Nozzle!$A$1:$A$93,"C66SHA",Nozzle!$B$1:$B$93,"311",Nozzle!$F$1:$F$93,"ESEL",Nozzle!$H$1:$H$93,"TBA",Nozzle!$G$1:$G$93,"additional")</f>
        <v>0</v>
      </c>
      <c r="Q42" s="484">
        <f>SUMIFS(Nozzle!$P$94:$P$190,Nozzle!$A$94:$A$190,"C66SHA",Nozzle!$B$94:$B$190,"311",Nozzle!$F$94:$F$190,"ESEL")</f>
        <v>0</v>
      </c>
      <c r="R42" s="485">
        <v>0</v>
      </c>
      <c r="S42" s="486">
        <f t="shared" si="22"/>
        <v>0</v>
      </c>
      <c r="T42" s="18"/>
      <c r="U42" s="468">
        <v>311</v>
      </c>
      <c r="V42" s="487">
        <f t="shared" si="26"/>
        <v>0</v>
      </c>
      <c r="W42" s="482">
        <f>SUMIFS(Nozzle!$I$1:$I93,Nozzle!$A$1:$A$93,"C66BJS",Nozzle!$B$1:$B$93,"311",Nozzle!$F$1:$F$93,"ESEL",Nozzle!$H$1:$H$93,"STK",Nozzle!$G$1:$G$93,"additional")</f>
        <v>0</v>
      </c>
      <c r="X42" s="482">
        <f>SUMIFS(Nozzle!$O$94:$O$190,Nozzle!$A$94:$A$190,"C66BJS",Nozzle!$B$94:$B$190,"311",Nozzle!$F$94:$F$190,"ESEL",Nozzle!$G$94:$G$190,"additional")</f>
        <v>0</v>
      </c>
      <c r="Y42" s="483">
        <f>SUMIFS(Nozzle!$I$1:$I93,Nozzle!$A$1:$A$93,"C66BJS",Nozzle!$B$1:$B$93,"311",Nozzle!$F$1:$F$93,"ESEL",Nozzle!$H$1:$H$93,"Incoming",Nozzle!$G$1:$G$93,"additional")</f>
        <v>0</v>
      </c>
      <c r="Z42" s="483">
        <f>SUMIFS(Nozzle!$I$1:$I93,Nozzle!$A$1:$A$93,"C66BJS",Nozzle!$B$1:$B$93,"311",Nozzle!$F$1:$F$93,"ESEL",Nozzle!$H$1:$H$93,"TBA",Nozzle!$G$1:$G$93,"additional")</f>
        <v>0</v>
      </c>
      <c r="AA42" s="484">
        <f>SUMIFS(Nozzle!$P$94:$P$190,Nozzle!$A$94:$A$190,"C66BJS",Nozzle!$B$94:$B$190,"311",Nozzle!$F$94:$F$190,"ESEL")</f>
        <v>0</v>
      </c>
      <c r="AB42" s="485">
        <v>0</v>
      </c>
      <c r="AC42" s="486">
        <f t="shared" si="27"/>
        <v>0</v>
      </c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</row>
    <row r="43" spans="1:40" ht="18">
      <c r="A43" s="468">
        <v>312</v>
      </c>
      <c r="B43" s="487">
        <f t="shared" si="23"/>
        <v>0</v>
      </c>
      <c r="C43" s="482">
        <f>SUMIFS(Nozzle!$I$1:$I93,Nozzle!$A$1:$A$93,"C66SZX",Nozzle!$B$1:$B$93,"312",Nozzle!$F$1:$F$93,"ESEL",Nozzle!$H$1:$H$93,"STK",Nozzle!$G$1:$G$93,"additional")</f>
        <v>0</v>
      </c>
      <c r="D43" s="482">
        <f>SUMIFS(Nozzle!$O$94:$O$190,Nozzle!$A$94:$A$190,"C66SZX",Nozzle!$B$94:$B$190,"312",Nozzle!$F$94:$F$190,"ESEL",Nozzle!$G$94:$G$190,"additional")</f>
        <v>0</v>
      </c>
      <c r="E43" s="483">
        <f>SUMIFS(Nozzle!$I$1:$I93,Nozzle!$A$1:$A$93,"C66SZX",Nozzle!$B$1:$B$93,"312",Nozzle!$F$1:$F$93,"ESEL",Nozzle!$H$1:$H$93,"Incoming",Nozzle!$G$1:$G$93,"additional")</f>
        <v>0</v>
      </c>
      <c r="F43" s="483">
        <f>SUMIFS(Nozzle!$I$1:$I93,Nozzle!$A$1:$A$93,"C66SZX",Nozzle!$B$1:$B$93,"312",Nozzle!$F$1:$F$93,"ESEL",Nozzle!$H$1:$H$93,"TBA",Nozzle!$G$1:$G$93,"additional")</f>
        <v>0</v>
      </c>
      <c r="G43" s="484">
        <f>SUMIFS(Nozzle!$P$94:$P$190,Nozzle!$A$94:$A$190,"C66SZX",Nozzle!$B$94:$B$190,"312",Nozzle!$F$94:$F$190,"ESEL")</f>
        <v>0</v>
      </c>
      <c r="H43" s="485">
        <v>10</v>
      </c>
      <c r="I43" s="486">
        <f t="shared" si="24"/>
        <v>-10</v>
      </c>
      <c r="K43" s="468">
        <v>312</v>
      </c>
      <c r="L43" s="487">
        <f t="shared" si="25"/>
        <v>0</v>
      </c>
      <c r="M43" s="482">
        <f>SUMIFS(Nozzle!$I$1:$I93,Nozzle!$A$1:$A$93,"C66SHA",Nozzle!$B$1:$B$93,"312",Nozzle!$F$1:$F$93,"ESEL",Nozzle!$H$1:$H$93,"STK",Nozzle!$G$1:$G$93,"additional")</f>
        <v>0</v>
      </c>
      <c r="N43" s="482">
        <f>SUMIFS(Nozzle!$O$94:$O$190,Nozzle!$A$94:$A$190,"C66SHA",Nozzle!$B$94:$B$190,"312",Nozzle!$F$94:$F$190,"ESEL",Nozzle!$G$94:$G$190,"additional")</f>
        <v>0</v>
      </c>
      <c r="O43" s="483">
        <f>SUMIFS(Nozzle!$I$1:$I93,Nozzle!$A$1:$A$93,"C66SHA",Nozzle!$B$1:$B$93,"312",Nozzle!$F$1:$F$93,"ESEL",Nozzle!$H$1:$H$93,"Incoming",Nozzle!$G$1:$G$93,"additional")</f>
        <v>0</v>
      </c>
      <c r="P43" s="483">
        <f>SUMIFS(Nozzle!$I$1:$I93,Nozzle!$A$1:$A$93,"C66SHA",Nozzle!$B$1:$B$93,"312",Nozzle!$F$1:$F$93,"ESEL",Nozzle!$H$1:$H$93,"TBA",Nozzle!$G$1:$G$93,"additional")</f>
        <v>0</v>
      </c>
      <c r="Q43" s="484">
        <f>SUMIFS(Nozzle!$P$94:$P$190,Nozzle!$A$94:$A$190,"C66SHA",Nozzle!$B$94:$B$190,"312",Nozzle!$F$94:$F$190,"ESEL")</f>
        <v>0</v>
      </c>
      <c r="R43" s="485">
        <v>0</v>
      </c>
      <c r="S43" s="486">
        <f t="shared" si="22"/>
        <v>0</v>
      </c>
      <c r="T43" s="18"/>
      <c r="U43" s="468">
        <v>312</v>
      </c>
      <c r="V43" s="487">
        <f t="shared" si="26"/>
        <v>0</v>
      </c>
      <c r="W43" s="482">
        <f>SUMIFS(Nozzle!$I$1:$I93,Nozzle!$A$1:$A$93,"C66BJS",Nozzle!$B$1:$B$93,"312",Nozzle!$F$1:$F$93,"ESEL",Nozzle!$H$1:$H$93,"STK",Nozzle!$G$1:$G$93,"additional")</f>
        <v>0</v>
      </c>
      <c r="X43" s="482">
        <f>SUMIFS(Nozzle!$O$94:$O$190,Nozzle!$A$94:$A$190,"C66BJS",Nozzle!$B$94:$B$190,"312",Nozzle!$F$94:$F$190,"ESEL",Nozzle!$G$94:$G$190,"additional")</f>
        <v>0</v>
      </c>
      <c r="Y43" s="483">
        <f>SUMIFS(Nozzle!$I$1:$I93,Nozzle!$A$1:$A$93,"C66BJS",Nozzle!$B$1:$B$93,"312",Nozzle!$F$1:$F$93,"ESEL",Nozzle!$H$1:$H$93,"Incoming",Nozzle!$G$1:$G$93,"additional")</f>
        <v>0</v>
      </c>
      <c r="Z43" s="483">
        <f>SUMIFS(Nozzle!$I$1:$I93,Nozzle!$A$1:$A$93,"C66BJS",Nozzle!$B$1:$B$93,"312",Nozzle!$F$1:$F$93,"ESEL",Nozzle!$H$1:$H$93,"TBA",Nozzle!$G$1:$G$93,"additional")</f>
        <v>0</v>
      </c>
      <c r="AA43" s="484">
        <f>SUMIFS(Nozzle!$P$94:$P$190,Nozzle!$A$94:$A$190,"C66BJS",Nozzle!$B$94:$B$190,"312",Nozzle!$F$94:$F$190,"ESEL")</f>
        <v>0</v>
      </c>
      <c r="AB43" s="485">
        <v>0</v>
      </c>
      <c r="AC43" s="486">
        <f t="shared" si="27"/>
        <v>0</v>
      </c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</row>
    <row r="44" spans="1:40" ht="18">
      <c r="A44" s="468">
        <v>313</v>
      </c>
      <c r="B44" s="487">
        <f t="shared" si="23"/>
        <v>0</v>
      </c>
      <c r="C44" s="482">
        <f>SUMIFS(Nozzle!$I$1:$I93,Nozzle!$A$1:$A$93,"C66SZX",Nozzle!$B$1:$B$93,"313",Nozzle!$F$1:$F$93,"ESEL",Nozzle!$H$1:$H$93,"STK",Nozzle!$G$1:$G$93,"additional")</f>
        <v>0</v>
      </c>
      <c r="D44" s="482">
        <f>SUMIFS(Nozzle!$O$94:$O$190,Nozzle!$A$94:$A$190,"C66SZX",Nozzle!$B$94:$B$190,"313",Nozzle!$F$94:$F$190,"ESEL",Nozzle!$G$94:$G$190,"additional")</f>
        <v>0</v>
      </c>
      <c r="E44" s="483">
        <f>SUMIFS(Nozzle!$I$1:$I93,Nozzle!$A$1:$A$93,"C66SZX",Nozzle!$B$1:$B$93,"313",Nozzle!$F$1:$F$93,"ESEL",Nozzle!$H$1:$H$93,"Incoming",Nozzle!$G$1:$G$93,"additional")</f>
        <v>0</v>
      </c>
      <c r="F44" s="483">
        <f>SUMIFS(Nozzle!$I$1:$I93,Nozzle!$A$1:$A$93,"C66SZX",Nozzle!$B$1:$B$93,"313",Nozzle!$F$1:$F$93,"ESEL",Nozzle!$H$1:$H$93,"TBA",Nozzle!$G$1:$G$93,"additional")</f>
        <v>0</v>
      </c>
      <c r="G44" s="484">
        <f>SUMIFS(Nozzle!$P$94:$P$190,Nozzle!$A$94:$A$190,"C66SZX",Nozzle!$B$94:$B$190,"313",Nozzle!$F$94:$F$190,"ESEL")</f>
        <v>0</v>
      </c>
      <c r="H44" s="485">
        <v>5</v>
      </c>
      <c r="I44" s="486">
        <f t="shared" si="24"/>
        <v>-5</v>
      </c>
      <c r="K44" s="468">
        <v>313</v>
      </c>
      <c r="L44" s="487">
        <f t="shared" si="25"/>
        <v>0</v>
      </c>
      <c r="M44" s="482">
        <f>SUMIFS(Nozzle!$I$1:$I93,Nozzle!$A$1:$A$93,"C66SHA",Nozzle!$B$1:$B$93,"313",Nozzle!$F$1:$F$93,"ESEL",Nozzle!$H$1:$H$93,"STK",Nozzle!$G$1:$G$93,"additional")</f>
        <v>0</v>
      </c>
      <c r="N44" s="482">
        <f>SUMIFS(Nozzle!$O$94:$O$190,Nozzle!$A$94:$A$190,"C66SHA",Nozzle!$B$94:$B$190,"313",Nozzle!$F$94:$F$190,"ESEL",Nozzle!$G$94:$G$190,"additional")</f>
        <v>0</v>
      </c>
      <c r="O44" s="483">
        <f>SUMIFS(Nozzle!$I$1:$I93,Nozzle!$A$1:$A$93,"C66SHA",Nozzle!$B$1:$B$93,"313",Nozzle!$F$1:$F$93,"ESEL",Nozzle!$H$1:$H$93,"Incoming",Nozzle!$G$1:$G$93,"additional")</f>
        <v>0</v>
      </c>
      <c r="P44" s="483">
        <f>SUMIFS(Nozzle!$I$1:$I93,Nozzle!$A$1:$A$93,"C66SHA",Nozzle!$B$1:$B$93,"313",Nozzle!$F$1:$F$93,"ESEL",Nozzle!$H$1:$H$93,"TBA",Nozzle!$G$1:$G$93,"additional")</f>
        <v>0</v>
      </c>
      <c r="Q44" s="484">
        <f>SUMIFS(Nozzle!$P$94:$P$190,Nozzle!$A$94:$A$190,"C66SHA",Nozzle!$B$94:$B$190,"313",Nozzle!$F$94:$F$190,"ESEL")</f>
        <v>0</v>
      </c>
      <c r="R44" s="485">
        <v>0</v>
      </c>
      <c r="S44" s="486">
        <f t="shared" si="22"/>
        <v>0</v>
      </c>
      <c r="T44" s="18"/>
      <c r="U44" s="468">
        <v>313</v>
      </c>
      <c r="V44" s="487">
        <f t="shared" si="26"/>
        <v>0</v>
      </c>
      <c r="W44" s="482">
        <f>SUMIFS(Nozzle!$I$1:$I93,Nozzle!$A$1:$A$93,"C66BJS",Nozzle!$B$1:$B$93,"313",Nozzle!$F$1:$F$93,"ESEL",Nozzle!$H$1:$H$93,"STK",Nozzle!$G$1:$G$93,"additional")</f>
        <v>0</v>
      </c>
      <c r="X44" s="482">
        <f>SUMIFS(Nozzle!$O$94:$O$190,Nozzle!$A$94:$A$190,"C66BJS",Nozzle!$B$94:$B$190,"313",Nozzle!$F$94:$F$190,"ESEL",Nozzle!$G$94:$G$190,"additional")</f>
        <v>0</v>
      </c>
      <c r="Y44" s="483">
        <f>SUMIFS(Nozzle!$I$1:$I93,Nozzle!$A$1:$A$93,"C66BJS",Nozzle!$B$1:$B$93,"313",Nozzle!$F$1:$F$93,"ESEL",Nozzle!$H$1:$H$93,"Incoming",Nozzle!$G$1:$G$93,"additional")</f>
        <v>0</v>
      </c>
      <c r="Z44" s="483">
        <f>SUMIFS(Nozzle!$I$1:$I93,Nozzle!$A$1:$A$93,"C66BJS",Nozzle!$B$1:$B$93,"313",Nozzle!$F$1:$F$93,"ESEL",Nozzle!$H$1:$H$93,"TBA",Nozzle!$G$1:$G$93,"additional")</f>
        <v>0</v>
      </c>
      <c r="AA44" s="484">
        <f>SUMIFS(Nozzle!$P$94:$P$190,Nozzle!$A$94:$A$190,"C66BJS",Nozzle!$B$94:$B$190,"313",Nozzle!$F$94:$F$190,"ESEL")</f>
        <v>0</v>
      </c>
      <c r="AB44" s="485">
        <v>0</v>
      </c>
      <c r="AC44" s="486">
        <f t="shared" si="27"/>
        <v>0</v>
      </c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</row>
    <row r="45" spans="1:40" ht="18">
      <c r="A45" s="468">
        <v>7202</v>
      </c>
      <c r="B45" s="487">
        <f t="shared" si="23"/>
        <v>0</v>
      </c>
      <c r="C45" s="482">
        <f>SUMIFS(Nozzle!$I$1:$I93,Nozzle!$A$1:$A$93,"C66SZX",Nozzle!$B$1:$B$93,"7202",Nozzle!$F$1:$F$93,"ESEL",Nozzle!$H$1:$H$93,"STK",Nozzle!$G$1:$G$93,"additional")</f>
        <v>0</v>
      </c>
      <c r="D45" s="482">
        <f>SUMIFS(Nozzle!$O$94:$O$190,Nozzle!$A$94:$A$190,"C66SZX",Nozzle!$B$94:$B$190,"7202",Nozzle!$F$94:$F$190,"ESEL",Nozzle!$G$94:$G$190,"additional")</f>
        <v>0</v>
      </c>
      <c r="E45" s="483">
        <f>SUMIFS(Nozzle!$I$1:$I93,Nozzle!$A$1:$A$93,"C66SZX",Nozzle!$B$1:$B$93,"7202",Nozzle!$F$1:$F$93,"ESEL",Nozzle!$H$1:$H$93,"Incoming",Nozzle!$G$1:$G$93,"additional")</f>
        <v>0</v>
      </c>
      <c r="F45" s="483">
        <f>SUMIFS(Nozzle!$I$1:$I93,Nozzle!$A$1:$A$93,"C66SZX",Nozzle!$B$1:$B$93,"7202",Nozzle!$F$1:$F$93,"ESEL",Nozzle!$H$1:$H$93,"TBA",Nozzle!$G$1:$G$93,"additional")</f>
        <v>0</v>
      </c>
      <c r="G45" s="484">
        <f>SUMIFS(Nozzle!$P$94:$P$190,Nozzle!$A$94:$A$190,"C66SZX",Nozzle!$B$94:$B$190,"7202",Nozzle!$F$94:$F$190,"ESEL")</f>
        <v>0</v>
      </c>
      <c r="H45" s="485">
        <v>0</v>
      </c>
      <c r="I45" s="486">
        <f t="shared" si="24"/>
        <v>0</v>
      </c>
      <c r="K45" s="468">
        <v>7202</v>
      </c>
      <c r="L45" s="487">
        <f t="shared" si="25"/>
        <v>0</v>
      </c>
      <c r="M45" s="482">
        <f>SUMIFS(Nozzle!$I$1:$I93,Nozzle!$A$1:$A$93,"C66SHA",Nozzle!$B$1:$B$93,"7202",Nozzle!$F$1:$F$93,"ESEL",Nozzle!$H$1:$H$93,"STK",Nozzle!$G$1:$G$93,"additional")</f>
        <v>0</v>
      </c>
      <c r="N45" s="482">
        <f>SUMIFS(Nozzle!$O$94:$O$190,Nozzle!$A$94:$A$190,"C66SHA",Nozzle!$B$94:$B$190,"7202",Nozzle!$F$94:$F$190,"ESEL",Nozzle!$G$94:$G$190,"additional")</f>
        <v>0</v>
      </c>
      <c r="O45" s="483">
        <f>SUMIFS(Nozzle!$I$1:$I93,Nozzle!$A$1:$A$93,"C66SHA",Nozzle!$B$1:$B$93,"7202",Nozzle!$F$1:$F$93,"ESEL",Nozzle!$H$1:$H$93,"Incoming",Nozzle!$G$1:$G$93,"additional")</f>
        <v>0</v>
      </c>
      <c r="P45" s="483">
        <f>SUMIFS(Nozzle!$I$1:$I93,Nozzle!$A$1:$A$93,"C66SHA",Nozzle!$B$1:$B$93,"7202",Nozzle!$F$1:$F$93,"ESEL",Nozzle!$H$1:$H$93,"TBA",Nozzle!$G$1:$G$93,"additional")</f>
        <v>0</v>
      </c>
      <c r="Q45" s="484">
        <f>SUMIFS(Nozzle!$P$94:$P$190,Nozzle!$A$94:$A$190,"C66SHA",Nozzle!$B$94:$B$190,"7202",Nozzle!$F$94:$F$190,"ESEL")</f>
        <v>0</v>
      </c>
      <c r="R45" s="485">
        <v>0</v>
      </c>
      <c r="S45" s="486">
        <f t="shared" si="22"/>
        <v>0</v>
      </c>
      <c r="T45" s="18"/>
      <c r="U45" s="468">
        <v>7202</v>
      </c>
      <c r="V45" s="487">
        <f t="shared" si="26"/>
        <v>0</v>
      </c>
      <c r="W45" s="482">
        <f>SUMIFS(Nozzle!$I$1:$I93,Nozzle!$A$1:$A$93,"C66BJS",Nozzle!$B$1:$B$93,"7202",Nozzle!$F$1:$F$93,"ESEL",Nozzle!$H$1:$H$93,"STK",Nozzle!$G$1:$G$93,"additional")</f>
        <v>0</v>
      </c>
      <c r="X45" s="482">
        <f>SUMIFS(Nozzle!$O$94:$O$190,Nozzle!$A$94:$A$190,"C66BJS",Nozzle!$B$94:$B$190,"7202",Nozzle!$F$94:$F$190,"ESEL",Nozzle!$G$94:$G$190,"additional")</f>
        <v>0</v>
      </c>
      <c r="Y45" s="483">
        <f>SUMIFS(Nozzle!$I$1:$I93,Nozzle!$A$1:$A$93,"C66BJS",Nozzle!$B$1:$B$93,"7202",Nozzle!$F$1:$F$93,"ESEL",Nozzle!$H$1:$H$93,"Incoming",Nozzle!$G$1:$G$93,"additional")</f>
        <v>0</v>
      </c>
      <c r="Z45" s="483">
        <f>SUMIFS(Nozzle!$I$1:$I93,Nozzle!$A$1:$A$93,"C66BJS",Nozzle!$B$1:$B$93,"7202",Nozzle!$F$1:$F$93,"ESEL",Nozzle!$H$1:$H$93,"TBA",Nozzle!$G$1:$G$93,"additional")</f>
        <v>0</v>
      </c>
      <c r="AA45" s="484">
        <f>SUMIFS(Nozzle!$P$94:$P$190,Nozzle!$A$94:$A$190,"C66BJS",Nozzle!$B$94:$B$190,"7202",Nozzle!$F$94:$F$190,"ESEL")</f>
        <v>0</v>
      </c>
      <c r="AB45" s="485">
        <v>0</v>
      </c>
      <c r="AC45" s="486">
        <f t="shared" si="27"/>
        <v>0</v>
      </c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</row>
    <row r="46" spans="1:40" ht="18">
      <c r="A46" s="468">
        <v>7203</v>
      </c>
      <c r="B46" s="487">
        <f t="shared" si="23"/>
        <v>0</v>
      </c>
      <c r="C46" s="482">
        <f>SUMIFS(Nozzle!$I$1:$I93,Nozzle!$A$1:$A$93,"C66SZX",Nozzle!$B$1:$B$93,"7203",Nozzle!$F$1:$F$93,"ESEL",Nozzle!$H$1:$H$93,"STK",Nozzle!$G$1:$G$93,"additional")</f>
        <v>0</v>
      </c>
      <c r="D46" s="482">
        <f>SUMIFS(Nozzle!$O$94:$O$190,Nozzle!$A$94:$A$190,"C66SZX",Nozzle!$B$94:$B$190,"7203",Nozzle!$F$94:$F$190,"ESEL",Nozzle!$G$94:$G$190,"additional")</f>
        <v>0</v>
      </c>
      <c r="E46" s="483">
        <f>SUMIFS(Nozzle!$I$1:$I93,Nozzle!$A$1:$A$93,"C66SZX",Nozzle!$B$1:$B$93,"7203",Nozzle!$F$1:$F$93,"ESEL",Nozzle!$H$1:$H$93,"Incoming",Nozzle!$G$1:$G$93,"additional")</f>
        <v>0</v>
      </c>
      <c r="F46" s="483">
        <f>SUMIFS(Nozzle!$I$1:$I93,Nozzle!$A$1:$A$93,"C66SZX",Nozzle!$B$1:$B$93,"7203",Nozzle!$F$1:$F$93,"ESEL",Nozzle!$H$1:$H$93,"TBA",Nozzle!$G$1:$G$93,"additional")</f>
        <v>0</v>
      </c>
      <c r="G46" s="484">
        <f>SUMIFS(Nozzle!$P$94:$P$190,Nozzle!$A$94:$A$190,"C66SZX",Nozzle!$B$94:$B$190,"7203",Nozzle!$F$94:$F$190,"ESEL")</f>
        <v>0</v>
      </c>
      <c r="H46" s="485">
        <v>0</v>
      </c>
      <c r="I46" s="486">
        <f t="shared" si="24"/>
        <v>0</v>
      </c>
      <c r="K46" s="468">
        <v>7203</v>
      </c>
      <c r="L46" s="487">
        <f t="shared" si="25"/>
        <v>0</v>
      </c>
      <c r="M46" s="482">
        <f>SUMIFS(Nozzle!$I$1:$I93,Nozzle!$A$1:$A$93,"C66SHA",Nozzle!$B$1:$B$93,"7203",Nozzle!$F$1:$F$93,"ESEL",Nozzle!$H$1:$H$93,"STK",Nozzle!$G$1:$G$93,"additional")</f>
        <v>0</v>
      </c>
      <c r="N46" s="482">
        <f>SUMIFS(Nozzle!$O$94:$O$190,Nozzle!$A$94:$A$190,"C66SHA",Nozzle!$B$94:$B$190,"7203",Nozzle!$F$94:$F$190,"ESEL",Nozzle!$G$94:$G$190,"additional")</f>
        <v>0</v>
      </c>
      <c r="O46" s="483">
        <f>SUMIFS(Nozzle!$I$1:$I93,Nozzle!$A$1:$A$93,"C66SHA",Nozzle!$B$1:$B$93,"7203",Nozzle!$F$1:$F$93,"ESEL",Nozzle!$H$1:$H$93,"Incoming",Nozzle!$G$1:$G$93,"additional")</f>
        <v>0</v>
      </c>
      <c r="P46" s="483">
        <f>SUMIFS(Nozzle!$I$1:$I93,Nozzle!$A$1:$A$93,"C66SHA",Nozzle!$B$1:$B$93,"7203",Nozzle!$F$1:$F$93,"ESEL",Nozzle!$H$1:$H$93,"TBA",Nozzle!$G$1:$G$93,"additional")</f>
        <v>0</v>
      </c>
      <c r="Q46" s="484">
        <f>SUMIFS(Nozzle!$P$94:$P$190,Nozzle!$A$94:$A$190,"C66SHA",Nozzle!$B$94:$B$190,"7203",Nozzle!$F$94:$F$190,"ESEL")</f>
        <v>0</v>
      </c>
      <c r="R46" s="485">
        <v>0</v>
      </c>
      <c r="S46" s="486">
        <f t="shared" si="22"/>
        <v>0</v>
      </c>
      <c r="T46" s="18"/>
      <c r="U46" s="468">
        <v>7203</v>
      </c>
      <c r="V46" s="487">
        <f t="shared" si="26"/>
        <v>0</v>
      </c>
      <c r="W46" s="482">
        <f>SUMIFS(Nozzle!$I$1:$I93,Nozzle!$A$1:$A$93,"C66BJS",Nozzle!$B$1:$B$93,"7203",Nozzle!$F$1:$F$93,"ESEL",Nozzle!$H$1:$H$93,"STK",Nozzle!$G$1:$G$93,"additional")</f>
        <v>0</v>
      </c>
      <c r="X46" s="482">
        <f>SUMIFS(Nozzle!$O$94:$O$190,Nozzle!$A$94:$A$190,"C66BJS",Nozzle!$B$94:$B$190,"7203",Nozzle!$F$94:$F$190,"ESEL",Nozzle!$G$94:$G$190,"additional")</f>
        <v>0</v>
      </c>
      <c r="Y46" s="483">
        <f>SUMIFS(Nozzle!$I$1:$I93,Nozzle!$A$1:$A$93,"C66BJS",Nozzle!$B$1:$B$93,"7203",Nozzle!$F$1:$F$93,"ESEL",Nozzle!$H$1:$H$93,"Incoming",Nozzle!$G$1:$G$93,"additional")</f>
        <v>0</v>
      </c>
      <c r="Z46" s="483">
        <f>SUMIFS(Nozzle!$I$1:$I93,Nozzle!$A$1:$A$93,"C66BJS",Nozzle!$B$1:$B$93,"7203",Nozzle!$F$1:$F$93,"ESEL",Nozzle!$H$1:$H$93,"TBA",Nozzle!$G$1:$G$93,"additional")</f>
        <v>0</v>
      </c>
      <c r="AA46" s="484">
        <f>SUMIFS(Nozzle!$P$94:$P$190,Nozzle!$A$94:$A$190,"C66BJS",Nozzle!$B$94:$B$190,"7203",Nozzle!$F$94:$F$190,"ESEL")</f>
        <v>0</v>
      </c>
      <c r="AB46" s="485">
        <v>0</v>
      </c>
      <c r="AC46" s="486">
        <f t="shared" si="27"/>
        <v>0</v>
      </c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</row>
    <row r="47" spans="1:40" ht="18">
      <c r="A47" s="468">
        <v>7204</v>
      </c>
      <c r="B47" s="487">
        <f t="shared" si="23"/>
        <v>0</v>
      </c>
      <c r="C47" s="482">
        <f>SUMIFS(Nozzle!$I$1:$I93,Nozzle!$A$1:$A$93,"C66SZX",Nozzle!$B$1:$B$93,"7204",Nozzle!$F$1:$F$93,"ESEL",Nozzle!$H$1:$H$93,"STK",Nozzle!$G$1:$G$93,"additional")</f>
        <v>0</v>
      </c>
      <c r="D47" s="482">
        <f>SUMIFS(Nozzle!$O$94:$O$190,Nozzle!$A$94:$A$190,"C66SZX",Nozzle!$B$94:$B$190,"7204",Nozzle!$F$94:$F$190,"ESEL",Nozzle!$G$94:$G$190,"additional")</f>
        <v>0</v>
      </c>
      <c r="E47" s="483">
        <f>SUMIFS(Nozzle!$I$1:$I93,Nozzle!$A$1:$A$93,"C66SZX",Nozzle!$B$1:$B$93,"7204",Nozzle!$F$1:$F$93,"ESEL",Nozzle!$H$1:$H$93,"Incoming",Nozzle!$G$1:$G$93,"additional")</f>
        <v>0</v>
      </c>
      <c r="F47" s="483">
        <f>SUMIFS(Nozzle!$I$1:$I93,Nozzle!$A$1:$A$93,"C66SZX",Nozzle!$B$1:$B$93,"7204",Nozzle!$F$1:$F$93,"ESEL",Nozzle!$H$1:$H$93,"TBA",Nozzle!$G$1:$G$93,"additional")</f>
        <v>0</v>
      </c>
      <c r="G47" s="484">
        <f>SUMIFS(Nozzle!$P$94:$P$190,Nozzle!$A$94:$A$190,"C66SZX",Nozzle!$B$94:$B$190,"7204",Nozzle!$F$94:$F$190,"ESEL")</f>
        <v>0</v>
      </c>
      <c r="H47" s="485">
        <v>0</v>
      </c>
      <c r="I47" s="486">
        <f t="shared" si="24"/>
        <v>0</v>
      </c>
      <c r="K47" s="468">
        <v>7204</v>
      </c>
      <c r="L47" s="487">
        <f t="shared" si="25"/>
        <v>0</v>
      </c>
      <c r="M47" s="482">
        <f>SUMIFS(Nozzle!$I$1:$I93,Nozzle!$A$1:$A$93,"C66SHA",Nozzle!$B$1:$B$93,"7204",Nozzle!$F$1:$F$93,"ESEL",Nozzle!$H$1:$H$93,"STK",Nozzle!$G$1:$G$93,"additional")</f>
        <v>0</v>
      </c>
      <c r="N47" s="482">
        <f>SUMIFS(Nozzle!$O$94:$O$190,Nozzle!$A$94:$A$190,"C66SHA",Nozzle!$B$94:$B$190,"7204",Nozzle!$F$94:$F$190,"ESEL",Nozzle!$G$94:$G$190,"additional")</f>
        <v>0</v>
      </c>
      <c r="O47" s="483">
        <f>SUMIFS(Nozzle!$I$1:$I93,Nozzle!$A$1:$A$93,"C66SHA",Nozzle!$B$1:$B$93,"7204",Nozzle!$F$1:$F$93,"ESEL",Nozzle!$H$1:$H$93,"Incoming",Nozzle!$G$1:$G$93,"additional")</f>
        <v>0</v>
      </c>
      <c r="P47" s="483">
        <f>SUMIFS(Nozzle!$I$1:$I93,Nozzle!$A$1:$A$93,"C66SHA",Nozzle!$B$1:$B$93,"7204",Nozzle!$F$1:$F$93,"ESEL",Nozzle!$H$1:$H$93,"TBA",Nozzle!$G$1:$G$93,"additional")</f>
        <v>0</v>
      </c>
      <c r="Q47" s="484">
        <f>SUMIFS(Nozzle!$P$94:$P$190,Nozzle!$A$94:$A$190,"C66SHA",Nozzle!$B$94:$B$190,"7204",Nozzle!$F$94:$F$190,"ESEL")</f>
        <v>0</v>
      </c>
      <c r="R47" s="485">
        <v>0</v>
      </c>
      <c r="S47" s="486">
        <f t="shared" si="22"/>
        <v>0</v>
      </c>
      <c r="T47" s="18"/>
      <c r="U47" s="468">
        <v>7204</v>
      </c>
      <c r="V47" s="487">
        <f t="shared" si="26"/>
        <v>0</v>
      </c>
      <c r="W47" s="482">
        <f>SUMIFS(Nozzle!$I$1:$I93,Nozzle!$A$1:$A$93,"C66BJS",Nozzle!$B$1:$B$93,"7204",Nozzle!$F$1:$F$93,"ESEL",Nozzle!$H$1:$H$93,"STK",Nozzle!$G$1:$G$93,"additional")</f>
        <v>0</v>
      </c>
      <c r="X47" s="482">
        <f>SUMIFS(Nozzle!$O$94:$O$190,Nozzle!$A$94:$A$190,"C66BJS",Nozzle!$B$94:$B$190,"7204",Nozzle!$F$94:$F$190,"ESEL",Nozzle!$G$94:$G$190,"additional")</f>
        <v>0</v>
      </c>
      <c r="Y47" s="483">
        <f>SUMIFS(Nozzle!$I$1:$I93,Nozzle!$A$1:$A$93,"C66BJS",Nozzle!$B$1:$B$93,"7204",Nozzle!$F$1:$F$93,"ESEL",Nozzle!$H$1:$H$93,"Incoming",Nozzle!$G$1:$G$93,"additional")</f>
        <v>0</v>
      </c>
      <c r="Z47" s="483">
        <f>SUMIFS(Nozzle!$I$1:$I93,Nozzle!$A$1:$A$93,"C66BJS",Nozzle!$B$1:$B$93,"7204",Nozzle!$F$1:$F$93,"ESEL",Nozzle!$H$1:$H$93,"TBA",Nozzle!$G$1:$G$93,"additional")</f>
        <v>0</v>
      </c>
      <c r="AA47" s="484">
        <f>SUMIFS(Nozzle!$P$94:$P$190,Nozzle!$A$94:$A$190,"C66BJS",Nozzle!$B$94:$B$190,"7204",Nozzle!$F$94:$F$190,"ESEL")</f>
        <v>0</v>
      </c>
      <c r="AB47" s="485">
        <v>0</v>
      </c>
      <c r="AC47" s="486">
        <f t="shared" si="27"/>
        <v>0</v>
      </c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</row>
    <row r="48" spans="1:40" ht="18">
      <c r="A48" s="468">
        <v>7205</v>
      </c>
      <c r="B48" s="487">
        <f t="shared" si="23"/>
        <v>0</v>
      </c>
      <c r="C48" s="482">
        <f>SUMIFS(Nozzle!$I$1:$I93,Nozzle!$A$1:$A$93,"C66SZX",Nozzle!$B$1:$B$93,"7205",Nozzle!$F$1:$F$93,"ESEL",Nozzle!$H$1:$H$93,"STK",Nozzle!$G$1:$G$93,"additional")</f>
        <v>0</v>
      </c>
      <c r="D48" s="482">
        <f>SUMIFS(Nozzle!$O$94:$O$190,Nozzle!$A$94:$A$190,"C66SZX",Nozzle!$B$94:$B$190,"7205",Nozzle!$F$94:$F$190,"ESEL",Nozzle!$G$94:$G$190,"additional")</f>
        <v>0</v>
      </c>
      <c r="E48" s="483">
        <f>SUMIFS(Nozzle!$I$1:$I93,Nozzle!$A$1:$A$93,"C66SZX",Nozzle!$B$1:$B$93,"7205",Nozzle!$F$1:$F$93,"ESEL",Nozzle!$H$1:$H$93,"Incoming",Nozzle!$G$1:$G$93,"additional")</f>
        <v>0</v>
      </c>
      <c r="F48" s="483">
        <f>SUMIFS(Nozzle!$I$1:$I93,Nozzle!$A$1:$A$93,"C66SZX",Nozzle!$B$1:$B$93,"7205",Nozzle!$F$1:$F$93,"ESEL",Nozzle!$H$1:$H$93,"TBA",Nozzle!$G$1:$G$93,"additional")</f>
        <v>0</v>
      </c>
      <c r="G48" s="484">
        <f>SUMIFS(Nozzle!$P$94:$P$190,Nozzle!$A$94:$A$190,"C66SZX",Nozzle!$B$94:$B$190,"7205",Nozzle!$F$94:$F$190,"ESEL")</f>
        <v>0</v>
      </c>
      <c r="H48" s="485">
        <v>0</v>
      </c>
      <c r="I48" s="486">
        <f t="shared" si="24"/>
        <v>0</v>
      </c>
      <c r="K48" s="468">
        <v>7205</v>
      </c>
      <c r="L48" s="487">
        <f t="shared" si="25"/>
        <v>0</v>
      </c>
      <c r="M48" s="482">
        <f>SUMIFS(Nozzle!$I$1:$I93,Nozzle!$A$1:$A$93,"C66SHA",Nozzle!$B$1:$B$93,"7205",Nozzle!$F$1:$F$93,"ESEL",Nozzle!$H$1:$H$93,"STK",Nozzle!$G$1:$G$93,"additional")</f>
        <v>0</v>
      </c>
      <c r="N48" s="482">
        <f>SUMIFS(Nozzle!$O$94:$O$190,Nozzle!$A$94:$A$190,"C66SHA",Nozzle!$B$94:$B$190,"7205",Nozzle!$F$94:$F$190,"ESEL",Nozzle!$G$94:$G$190,"additional")</f>
        <v>0</v>
      </c>
      <c r="O48" s="483">
        <f>SUMIFS(Nozzle!$I$1:$I93,Nozzle!$A$1:$A$93,"C66SHA",Nozzle!$B$1:$B$93,"7205",Nozzle!$F$1:$F$93,"ESEL",Nozzle!$H$1:$H$93,"Incoming",Nozzle!$G$1:$G$93,"additional")</f>
        <v>0</v>
      </c>
      <c r="P48" s="483">
        <f>SUMIFS(Nozzle!$I$1:$I93,Nozzle!$A$1:$A$93,"C66SHA",Nozzle!$B$1:$B$93,"7205",Nozzle!$F$1:$F$93,"ESEL",Nozzle!$H$1:$H$93,"TBA",Nozzle!$G$1:$G$93,"additional")</f>
        <v>0</v>
      </c>
      <c r="Q48" s="484">
        <f>SUMIFS(Nozzle!$P$94:$P$190,Nozzle!$A$94:$A$190,"C66SHA",Nozzle!$B$94:$B$190,"7205",Nozzle!$F$94:$F$190,"ESEL")</f>
        <v>0</v>
      </c>
      <c r="R48" s="485">
        <v>0</v>
      </c>
      <c r="S48" s="486">
        <f t="shared" si="22"/>
        <v>0</v>
      </c>
      <c r="T48" s="18"/>
      <c r="U48" s="468">
        <v>7205</v>
      </c>
      <c r="V48" s="487">
        <f t="shared" si="26"/>
        <v>0</v>
      </c>
      <c r="W48" s="482">
        <f>SUMIFS(Nozzle!$I$1:$I93,Nozzle!$A$1:$A$93,"C66BJS",Nozzle!$B$1:$B$93,"7205",Nozzle!$F$1:$F$93,"ESEL",Nozzle!$H$1:$H$93,"STK",Nozzle!$G$1:$G$93,"additional")</f>
        <v>0</v>
      </c>
      <c r="X48" s="482">
        <f>SUMIFS(Nozzle!$O$94:$O$190,Nozzle!$A$94:$A$190,"C66BJS",Nozzle!$B$94:$B$190,"7205",Nozzle!$F$94:$F$190,"ESEL",Nozzle!$G$94:$G$190,"additional")</f>
        <v>0</v>
      </c>
      <c r="Y48" s="483">
        <f>SUMIFS(Nozzle!$I$1:$I93,Nozzle!$A$1:$A$93,"C66BJS",Nozzle!$B$1:$B$93,"7205",Nozzle!$F$1:$F$93,"ESEL",Nozzle!$H$1:$H$93,"Incoming",Nozzle!$G$1:$G$93,"additional")</f>
        <v>0</v>
      </c>
      <c r="Z48" s="483">
        <f>SUMIFS(Nozzle!$I$1:$I93,Nozzle!$A$1:$A$93,"C66BJS",Nozzle!$B$1:$B$93,"7205",Nozzle!$F$1:$F$93,"ESEL",Nozzle!$H$1:$H$93,"TBA",Nozzle!$G$1:$G$93,"additional")</f>
        <v>0</v>
      </c>
      <c r="AA48" s="484">
        <f>SUMIFS(Nozzle!$P$94:$P$190,Nozzle!$A$94:$A$190,"C66BJS",Nozzle!$B$94:$B$190,"7205",Nozzle!$F$94:$F$190,"ESEL")</f>
        <v>0</v>
      </c>
      <c r="AB48" s="485">
        <v>0</v>
      </c>
      <c r="AC48" s="486">
        <f t="shared" si="27"/>
        <v>0</v>
      </c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</row>
    <row r="49" spans="1:40" ht="18">
      <c r="A49" s="468">
        <v>7206</v>
      </c>
      <c r="B49" s="487">
        <f t="shared" si="23"/>
        <v>0</v>
      </c>
      <c r="C49" s="482">
        <f>SUMIFS(Nozzle!$I$1:$I93,Nozzle!$A$1:$A$93,"C66SZX",Nozzle!$B$1:$B$93,"7206",Nozzle!$F$1:$F$93,"ESEL",Nozzle!$H$1:$H$93,"STK",Nozzle!$G$1:$G$93,"additional")</f>
        <v>0</v>
      </c>
      <c r="D49" s="482">
        <f>SUMIFS(Nozzle!$O$94:$O$190,Nozzle!$A$94:$A$190,"C66SZX",Nozzle!$B$94:$B$190,"7206",Nozzle!$F$94:$F$190,"ESEL",Nozzle!$G$94:$G$190,"additional")</f>
        <v>0</v>
      </c>
      <c r="E49" s="483">
        <f>SUMIFS(Nozzle!$I$1:$I93,Nozzle!$A$1:$A$93,"C66SZX",Nozzle!$B$1:$B$93,"7206",Nozzle!$F$1:$F$93,"ESEL",Nozzle!$H$1:$H$93,"Incoming",Nozzle!$G$1:$G$93,"additional")</f>
        <v>0</v>
      </c>
      <c r="F49" s="483">
        <f>SUMIFS(Nozzle!$I$1:$I93,Nozzle!$A$1:$A$93,"C66SZX",Nozzle!$B$1:$B$93,"7206",Nozzle!$F$1:$F$93,"ESEL",Nozzle!$H$1:$H$93,"TBA",Nozzle!$G$1:$G$93,"additional")</f>
        <v>0</v>
      </c>
      <c r="G49" s="484">
        <f>SUMIFS(Nozzle!$P$94:$P$190,Nozzle!$A$94:$A$190,"C66SZX",Nozzle!$B$94:$B$190,"7206",Nozzle!$F$94:$F$190,"ESEL")</f>
        <v>0</v>
      </c>
      <c r="H49" s="485">
        <v>0</v>
      </c>
      <c r="I49" s="486">
        <f t="shared" si="24"/>
        <v>0</v>
      </c>
      <c r="K49" s="468">
        <v>7206</v>
      </c>
      <c r="L49" s="487">
        <f t="shared" si="25"/>
        <v>0</v>
      </c>
      <c r="M49" s="482">
        <f>SUMIFS(Nozzle!$I$1:$I93,Nozzle!$A$1:$A$93,"C66SHA",Nozzle!$B$1:$B$93,"7206",Nozzle!$F$1:$F$93,"ESEL",Nozzle!$H$1:$H$93,"STK",Nozzle!$G$1:$G$93,"additional")</f>
        <v>0</v>
      </c>
      <c r="N49" s="482">
        <f>SUMIFS(Nozzle!$O$94:$O$190,Nozzle!$A$94:$A$190,"C66SHA",Nozzle!$B$94:$B$190,"7206",Nozzle!$F$94:$F$190,"ESEL",Nozzle!$G$94:$G$190,"additional")</f>
        <v>0</v>
      </c>
      <c r="O49" s="483">
        <f>SUMIFS(Nozzle!$I$1:$I93,Nozzle!$A$1:$A$93,"C66SHA",Nozzle!$B$1:$B$93,"7206",Nozzle!$F$1:$F$93,"ESEL",Nozzle!$H$1:$H$93,"Incoming",Nozzle!$G$1:$G$93,"additional")</f>
        <v>0</v>
      </c>
      <c r="P49" s="483">
        <f>SUMIFS(Nozzle!$I$1:$I93,Nozzle!$A$1:$A$93,"C66SHA",Nozzle!$B$1:$B$93,"7206",Nozzle!$F$1:$F$93,"ESEL",Nozzle!$H$1:$H$93,"TBA",Nozzle!$G$1:$G$93,"additional")</f>
        <v>0</v>
      </c>
      <c r="Q49" s="484">
        <f>SUMIFS(Nozzle!$P$94:$P$190,Nozzle!$A$94:$A$190,"C66SHA",Nozzle!$B$94:$B$190,"7206",Nozzle!$F$94:$F$190,"ESEL")</f>
        <v>0</v>
      </c>
      <c r="R49" s="485">
        <v>0</v>
      </c>
      <c r="S49" s="486">
        <f t="shared" si="22"/>
        <v>0</v>
      </c>
      <c r="T49" s="18"/>
      <c r="U49" s="468">
        <v>7206</v>
      </c>
      <c r="V49" s="487">
        <f t="shared" si="26"/>
        <v>0</v>
      </c>
      <c r="W49" s="482">
        <f>SUMIFS(Nozzle!$I$1:$I93,Nozzle!$A$1:$A$93,"C66BJS",Nozzle!$B$1:$B$93,"7206",Nozzle!$F$1:$F$93,"ESEL",Nozzle!$H$1:$H$93,"STK",Nozzle!$G$1:$G$93,"additional")</f>
        <v>0</v>
      </c>
      <c r="X49" s="482">
        <f>SUMIFS(Nozzle!$O$94:$O$190,Nozzle!$A$94:$A$190,"C66BJS",Nozzle!$B$94:$B$190,"7206",Nozzle!$F$94:$F$190,"ESEL",Nozzle!$G$94:$G$190,"additional")</f>
        <v>0</v>
      </c>
      <c r="Y49" s="483">
        <f>SUMIFS(Nozzle!$I$1:$I93,Nozzle!$A$1:$A$93,"C66BJS",Nozzle!$B$1:$B$93,"7206",Nozzle!$F$1:$F$93,"ESEL",Nozzle!$H$1:$H$93,"Incoming",Nozzle!$G$1:$G$93,"additional")</f>
        <v>0</v>
      </c>
      <c r="Z49" s="483">
        <f>SUMIFS(Nozzle!$I$1:$I93,Nozzle!$A$1:$A$93,"C66BJS",Nozzle!$B$1:$B$93,"7206",Nozzle!$F$1:$F$93,"ESEL",Nozzle!$H$1:$H$93,"TBA",Nozzle!$G$1:$G$93,"additional")</f>
        <v>0</v>
      </c>
      <c r="AA49" s="484">
        <f>SUMIFS(Nozzle!$P$94:$P$190,Nozzle!$A$94:$A$190,"C66BJS",Nozzle!$B$94:$B$190,"7206",Nozzle!$F$94:$F$190,"ESEL")</f>
        <v>0</v>
      </c>
      <c r="AB49" s="485">
        <v>0</v>
      </c>
      <c r="AC49" s="486">
        <f t="shared" si="27"/>
        <v>0</v>
      </c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</row>
    <row r="50" spans="1:40" ht="18">
      <c r="A50" s="468" t="s">
        <v>4051</v>
      </c>
      <c r="B50" s="487">
        <f t="shared" si="23"/>
        <v>0</v>
      </c>
      <c r="C50" s="482">
        <f>SUMIFS(Nozzle!$I$1:$I93,Nozzle!$A$1:$A$93,"C66SZX",Nozzle!$B$1:$B$93,"72GC",Nozzle!$F$1:$F$93,"ESEL",Nozzle!$H$1:$H$93,"STK",Nozzle!$G$1:$G$93,"additional")</f>
        <v>0</v>
      </c>
      <c r="D50" s="482">
        <f>SUMIFS(Nozzle!$O$94:$O$190,Nozzle!$A$94:$A$190,"C66SZX",Nozzle!$B$94:$B$190,"72GC",Nozzle!$F$94:$F$190,"ESEL",Nozzle!$G$94:$G$190,"additional")</f>
        <v>0</v>
      </c>
      <c r="E50" s="483">
        <f>SUMIFS(Nozzle!$I$1:$I93,Nozzle!$A$1:$A$93,"C66SZX",Nozzle!$B$1:$B$93,"72GC",Nozzle!$F$1:$F$93,"ESEL",Nozzle!$H$1:$H$93,"Incoming",Nozzle!$G$1:$G$93,"additional")</f>
        <v>0</v>
      </c>
      <c r="F50" s="483">
        <f>SUMIFS(Nozzle!$I$1:$I93,Nozzle!$A$1:$A$93,"C66SZX",Nozzle!$B$1:$B$93,"72GC",Nozzle!$F$1:$F$93,"ESEL",Nozzle!$H$1:$H$93,"TBA",Nozzle!$G$1:$G$93,"additional")</f>
        <v>0</v>
      </c>
      <c r="G50" s="484">
        <f>SUMIFS(Nozzle!$P$94:$P$190,Nozzle!$A$94:$A$190,"C66SZX",Nozzle!$B$94:$B$190,"72GC",Nozzle!$F$94:$F$190,"ESEL")</f>
        <v>0</v>
      </c>
      <c r="H50" s="485">
        <v>0</v>
      </c>
      <c r="I50" s="486">
        <f t="shared" si="24"/>
        <v>0</v>
      </c>
      <c r="K50" s="468" t="s">
        <v>4051</v>
      </c>
      <c r="L50" s="487">
        <f t="shared" si="25"/>
        <v>0</v>
      </c>
      <c r="M50" s="482">
        <f>SUMIFS(Nozzle!$I$1:$I93,Nozzle!$A$1:$A$93,"C66SHA",Nozzle!$B$1:$B$93,"72GC",Nozzle!$F$1:$F$93,"ESEL",Nozzle!$H$1:$H$93,"STK",Nozzle!$G$1:$G$93,"additional")</f>
        <v>0</v>
      </c>
      <c r="N50" s="482">
        <f>SUMIFS(Nozzle!$O$94:$O$190,Nozzle!$A$94:$A$190,"C66SHA",Nozzle!$B$94:$B$190,"72GC",Nozzle!$F$94:$F$190,"ESEL",Nozzle!$G$94:$G$190,"additional")</f>
        <v>0</v>
      </c>
      <c r="O50" s="483">
        <f>SUMIFS(Nozzle!$I$1:$I93,Nozzle!$A$1:$A$93,"C66SHA",Nozzle!$B$1:$B$93,"72GC",Nozzle!$F$1:$F$93,"ESEL",Nozzle!$H$1:$H$93,"Incoming",Nozzle!$G$1:$G$93,"additional")</f>
        <v>0</v>
      </c>
      <c r="P50" s="483">
        <f>SUMIFS(Nozzle!$I$1:$I93,Nozzle!$A$1:$A$93,"C66SHA",Nozzle!$B$1:$B$93,"72GC",Nozzle!$F$1:$F$93,"ESEL",Nozzle!$H$1:$H$93,"TBA",Nozzle!$G$1:$G$93,"additional")</f>
        <v>0</v>
      </c>
      <c r="Q50" s="484">
        <f>SUMIFS(Nozzle!$P$94:$P$190,Nozzle!$A$94:$A$190,"C66SHA",Nozzle!$B$94:$B$190,"72GC",Nozzle!$F$94:$F$190,"ESEL")</f>
        <v>0</v>
      </c>
      <c r="R50" s="485">
        <v>0</v>
      </c>
      <c r="S50" s="486">
        <f t="shared" si="22"/>
        <v>0</v>
      </c>
      <c r="T50" s="1"/>
      <c r="U50" s="468" t="s">
        <v>4051</v>
      </c>
      <c r="V50" s="487">
        <f t="shared" si="26"/>
        <v>0</v>
      </c>
      <c r="W50" s="482">
        <f>SUMIFS(Nozzle!$I$1:$I93,Nozzle!$A$1:$A$93,"C66BJS",Nozzle!$B$1:$B$93,"72GC",Nozzle!$F$1:$F$93,"ESEL",Nozzle!$H$1:$H$93,"STK",Nozzle!$G$1:$G$93,"additional")</f>
        <v>0</v>
      </c>
      <c r="X50" s="482">
        <f>SUMIFS(Nozzle!$O$94:$O$190,Nozzle!$A$94:$A$190,"C66BJS",Nozzle!$B$94:$B$190,"72GC",Nozzle!$F$94:$F$190,"ESEL",Nozzle!$G$94:$G$190,"additional")</f>
        <v>0</v>
      </c>
      <c r="Y50" s="483">
        <f>SUMIFS(Nozzle!$I$1:$I93,Nozzle!$A$1:$A$93,"C66BJS",Nozzle!$B$1:$B$93,"72GC",Nozzle!$F$1:$F$93,"ESEL",Nozzle!$H$1:$H$93,"Incoming",Nozzle!$G$1:$G$93,"additional")</f>
        <v>0</v>
      </c>
      <c r="Z50" s="483">
        <f>SUMIFS(Nozzle!$I$1:$I93,Nozzle!$A$1:$A$93,"C66BJS",Nozzle!$B$1:$B$93,"72GC",Nozzle!$F$1:$F$93,"ESEL",Nozzle!$H$1:$H$93,"TBA",Nozzle!$G$1:$G$93,"additional")</f>
        <v>0</v>
      </c>
      <c r="AA50" s="484">
        <f>SUMIFS(Nozzle!$P$94:$P$190,Nozzle!$A$94:$A$190,"C66BJS",Nozzle!$B$94:$B$190,"72GC",Nozzle!$F$94:$F$190,"ESEL")</f>
        <v>0</v>
      </c>
      <c r="AB50" s="485">
        <v>0</v>
      </c>
      <c r="AC50" s="486">
        <f t="shared" si="27"/>
        <v>0</v>
      </c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</row>
    <row r="51" spans="1:40" ht="18">
      <c r="A51" s="468" t="s">
        <v>3777</v>
      </c>
      <c r="B51" s="487">
        <f t="shared" si="23"/>
        <v>0</v>
      </c>
      <c r="C51" s="482">
        <f>SUMIFS(Nozzle!$I$1:$I93,Nozzle!$A$1:$A$93,"C66SZX",Nozzle!$B$1:$B$93,"72GD",Nozzle!$F$1:$F$93,"ESEL",Nozzle!$H$1:$H$93,"STK",Nozzle!$G$1:$G$93,"additional")</f>
        <v>0</v>
      </c>
      <c r="D51" s="482">
        <f>SUMIFS(Nozzle!$O$94:$O$190,Nozzle!$A$94:$A$190,"C66SZX",Nozzle!$B$94:$B$190,"72GD",Nozzle!$F$94:$F$190,"ESEL",Nozzle!$G$94:$G$190,"additional")</f>
        <v>0</v>
      </c>
      <c r="E51" s="483">
        <f>SUMIFS(Nozzle!$I$1:$I93,Nozzle!$A$1:$A$93,"C66SZX",Nozzle!$B$1:$B$93,"72GD",Nozzle!$F$1:$F$93,"ESEL",Nozzle!$H$1:$H$93,"Incoming",Nozzle!$G$1:$G$93,"additional")</f>
        <v>0</v>
      </c>
      <c r="F51" s="483">
        <f>SUMIFS(Nozzle!$I$1:$I93,Nozzle!$A$1:$A$93,"C66SZX",Nozzle!$B$1:$B$93,"72GD",Nozzle!$F$1:$F$93,"ESEL",Nozzle!$H$1:$H$93,"TBA",Nozzle!$G$1:$G$93,"additional")</f>
        <v>0</v>
      </c>
      <c r="G51" s="484">
        <f>SUMIFS(Nozzle!$P$94:$P$190,Nozzle!$A$94:$A$190,"C66SZX",Nozzle!$B$94:$B$190,"72GD",Nozzle!$F$94:$F$190,"ESEL")</f>
        <v>0</v>
      </c>
      <c r="H51" s="485">
        <v>0</v>
      </c>
      <c r="I51" s="486">
        <f t="shared" si="24"/>
        <v>0</v>
      </c>
      <c r="K51" s="468" t="s">
        <v>3777</v>
      </c>
      <c r="L51" s="487">
        <f t="shared" si="25"/>
        <v>0</v>
      </c>
      <c r="M51" s="482">
        <f>SUMIFS(Nozzle!$I$1:$I93,Nozzle!$A$1:$A$93,"C66SHA",Nozzle!$B$1:$B$93,"72GD",Nozzle!$F$1:$F$93,"ESEL",Nozzle!$H$1:$H$93,"STK",Nozzle!$G$1:$G$93,"additional")</f>
        <v>0</v>
      </c>
      <c r="N51" s="482">
        <f>SUMIFS(Nozzle!$O$94:$O$190,Nozzle!$A$94:$A$190,"C66SHA",Nozzle!$B$94:$B$190,"72GD",Nozzle!$F$94:$F$190,"ESEL",Nozzle!$G$94:$G$190,"additional")</f>
        <v>0</v>
      </c>
      <c r="O51" s="483">
        <f>SUMIFS(Nozzle!$I$1:$I93,Nozzle!$A$1:$A$93,"C66SHA",Nozzle!$B$1:$B$93,"72GD",Nozzle!$F$1:$F$93,"ESEL",Nozzle!$H$1:$H$93,"Incoming",Nozzle!$G$1:$G$93,"additional")</f>
        <v>0</v>
      </c>
      <c r="P51" s="483">
        <f>SUMIFS(Nozzle!$I$1:$I93,Nozzle!$A$1:$A$93,"C66SHA",Nozzle!$B$1:$B$93,"72GD",Nozzle!$F$1:$F$93,"ESEL",Nozzle!$H$1:$H$93,"TBA",Nozzle!$G$1:$G$93,"additional")</f>
        <v>0</v>
      </c>
      <c r="Q51" s="484">
        <f>SUMIFS(Nozzle!$P$94:$P$190,Nozzle!$A$94:$A$190,"C66SHA",Nozzle!$B$94:$B$190,"72GD",Nozzle!$F$94:$F$190,"ESEL")</f>
        <v>0</v>
      </c>
      <c r="R51" s="485">
        <v>0</v>
      </c>
      <c r="S51" s="486">
        <f t="shared" si="22"/>
        <v>0</v>
      </c>
      <c r="T51" s="1"/>
      <c r="U51" s="468" t="s">
        <v>3777</v>
      </c>
      <c r="V51" s="487">
        <f t="shared" si="26"/>
        <v>0</v>
      </c>
      <c r="W51" s="482">
        <f>SUMIFS(Nozzle!$I$1:$I93,Nozzle!$A$1:$A$93,"C66BJS",Nozzle!$B$1:$B$93,"72GD",Nozzle!$F$1:$F$93,"ESEL",Nozzle!$H$1:$H$93,"STK",Nozzle!$G$1:$G$93,"additional")</f>
        <v>0</v>
      </c>
      <c r="X51" s="482">
        <f>SUMIFS(Nozzle!$O$94:$O$190,Nozzle!$A$94:$A$190,"C66BJS",Nozzle!$B$94:$B$190,"72GD",Nozzle!$F$94:$F$190,"ESEL",Nozzle!$G$94:$G$190,"additional")</f>
        <v>0</v>
      </c>
      <c r="Y51" s="483">
        <f>SUMIFS(Nozzle!$I$1:$I93,Nozzle!$A$1:$A$93,"C66BJS",Nozzle!$B$1:$B$93,"72GD",Nozzle!$F$1:$F$93,"ESEL",Nozzle!$H$1:$H$93,"Incoming",Nozzle!$G$1:$G$93,"additional")</f>
        <v>0</v>
      </c>
      <c r="Z51" s="483">
        <f>SUMIFS(Nozzle!$I$1:$I93,Nozzle!$A$1:$A$93,"C66BJS",Nozzle!$B$1:$B$93,"72GD",Nozzle!$F$1:$F$93,"ESEL",Nozzle!$H$1:$H$93,"TBA",Nozzle!$G$1:$G$93,"additional")</f>
        <v>0</v>
      </c>
      <c r="AA51" s="484">
        <f>SUMIFS(Nozzle!$P$94:$P$190,Nozzle!$A$94:$A$190,"C66BJS",Nozzle!$B$94:$B$190,"72GD",Nozzle!$F$94:$F$190,"ESEL")</f>
        <v>0</v>
      </c>
      <c r="AB51" s="485">
        <v>0</v>
      </c>
      <c r="AC51" s="486">
        <f t="shared" si="27"/>
        <v>0</v>
      </c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</row>
    <row r="52" spans="1:40" ht="18">
      <c r="A52" s="468"/>
      <c r="B52" s="487"/>
      <c r="C52" s="482"/>
      <c r="D52" s="482"/>
      <c r="E52" s="483"/>
      <c r="F52" s="483"/>
      <c r="G52" s="484"/>
      <c r="H52" s="485"/>
      <c r="I52" s="486"/>
      <c r="K52" s="468"/>
      <c r="L52" s="487"/>
      <c r="M52" s="482"/>
      <c r="N52" s="482"/>
      <c r="O52" s="483"/>
      <c r="P52" s="483"/>
      <c r="Q52" s="484"/>
      <c r="R52" s="485"/>
      <c r="S52" s="486"/>
      <c r="T52" s="1"/>
      <c r="U52" s="468"/>
      <c r="V52" s="487"/>
      <c r="W52" s="482"/>
      <c r="X52" s="482"/>
      <c r="Y52" s="483"/>
      <c r="Z52" s="483"/>
      <c r="AA52" s="484"/>
      <c r="AB52" s="485"/>
      <c r="AC52" s="486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</row>
    <row r="53" spans="1:40" ht="18">
      <c r="A53" s="468"/>
      <c r="B53" s="487"/>
      <c r="C53" s="482"/>
      <c r="D53" s="482"/>
      <c r="E53" s="483"/>
      <c r="F53" s="483"/>
      <c r="G53" s="484"/>
      <c r="H53" s="485"/>
      <c r="I53" s="486"/>
      <c r="K53" s="468"/>
      <c r="L53" s="487"/>
      <c r="M53" s="482"/>
      <c r="N53" s="482"/>
      <c r="O53" s="483"/>
      <c r="P53" s="483"/>
      <c r="Q53" s="484"/>
      <c r="R53" s="485"/>
      <c r="S53" s="486"/>
      <c r="T53" s="1"/>
      <c r="U53" s="468"/>
      <c r="V53" s="487"/>
      <c r="W53" s="482"/>
      <c r="X53" s="482"/>
      <c r="Y53" s="483"/>
      <c r="Z53" s="483"/>
      <c r="AA53" s="484"/>
      <c r="AB53" s="485"/>
      <c r="AC53" s="486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</row>
    <row r="54" spans="1:40" ht="18">
      <c r="A54" s="468"/>
      <c r="B54" s="487"/>
      <c r="C54" s="482"/>
      <c r="D54" s="482"/>
      <c r="E54" s="483"/>
      <c r="F54" s="483"/>
      <c r="G54" s="484"/>
      <c r="H54" s="485"/>
      <c r="I54" s="486"/>
      <c r="K54" s="468"/>
      <c r="L54" s="487"/>
      <c r="M54" s="482"/>
      <c r="N54" s="482"/>
      <c r="O54" s="483"/>
      <c r="P54" s="483"/>
      <c r="Q54" s="484"/>
      <c r="R54" s="485"/>
      <c r="S54" s="486"/>
      <c r="T54" s="1"/>
      <c r="U54" s="468"/>
      <c r="V54" s="487"/>
      <c r="W54" s="482"/>
      <c r="X54" s="482"/>
      <c r="Y54" s="483"/>
      <c r="Z54" s="483"/>
      <c r="AA54" s="484"/>
      <c r="AB54" s="485"/>
      <c r="AC54" s="486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</row>
    <row r="55" spans="1:40" ht="15.75" thickBot="1">
      <c r="B55" s="500">
        <f>SUM(B33:B54)</f>
        <v>-80</v>
      </c>
      <c r="C55" s="500">
        <f>SUM(C33:C54)</f>
        <v>0</v>
      </c>
      <c r="D55" s="500">
        <f>SUM(D33:D54)</f>
        <v>80</v>
      </c>
      <c r="E55" s="465"/>
      <c r="F55" s="465"/>
      <c r="G55" s="500">
        <f>SUM(G33:G54)</f>
        <v>0</v>
      </c>
      <c r="H55" s="465"/>
      <c r="I55" s="465">
        <f>SUM(I33:I51)</f>
        <v>-192</v>
      </c>
      <c r="L55" s="500">
        <f ca="1">SUM(L33:L55)</f>
        <v>0</v>
      </c>
      <c r="M55" s="500">
        <f>SUM(M33:M54)</f>
        <v>0</v>
      </c>
      <c r="N55" s="500">
        <f>SUM(N33:N54)</f>
        <v>9</v>
      </c>
      <c r="O55" s="465"/>
      <c r="P55" s="465"/>
      <c r="Q55" s="500">
        <f>SUM(Q33:Q54)</f>
        <v>0</v>
      </c>
      <c r="R55" s="465"/>
      <c r="S55" s="465">
        <f>SUM(S33:S51)</f>
        <v>-9</v>
      </c>
      <c r="T55" s="18"/>
      <c r="V55" s="500">
        <f>SUM(V33:V54)</f>
        <v>0</v>
      </c>
      <c r="W55" s="500">
        <f>SUM(W33:W54)</f>
        <v>0</v>
      </c>
      <c r="X55" s="500">
        <f>SUM(X33:X54)</f>
        <v>0</v>
      </c>
      <c r="Y55" s="465"/>
      <c r="Z55" s="465"/>
      <c r="AA55" s="500">
        <f>SUM(AA33:AA54)</f>
        <v>0</v>
      </c>
      <c r="AB55" s="465"/>
      <c r="AC55" s="465">
        <f>SUM(AC33:AC51)</f>
        <v>0</v>
      </c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</row>
    <row r="56" spans="1:40" ht="15" thickTop="1"/>
  </sheetData>
  <mergeCells count="12">
    <mergeCell ref="AJ2:AK2"/>
    <mergeCell ref="A2:A3"/>
    <mergeCell ref="Z2:Z3"/>
    <mergeCell ref="E2:F2"/>
    <mergeCell ref="G2:H2"/>
    <mergeCell ref="I2:J2"/>
    <mergeCell ref="K2:L2"/>
    <mergeCell ref="B2:D2"/>
    <mergeCell ref="AA2:AC2"/>
    <mergeCell ref="AD2:AE2"/>
    <mergeCell ref="AF2:AG2"/>
    <mergeCell ref="AH2:AI2"/>
  </mergeCells>
  <phoneticPr fontId="3" type="noConversion"/>
  <conditionalFormatting sqref="I33:I54">
    <cfRule type="cellIs" dxfId="100" priority="5" operator="lessThan">
      <formula>0</formula>
    </cfRule>
    <cfRule type="cellIs" dxfId="99" priority="9" operator="lessThan">
      <formula>0</formula>
    </cfRule>
  </conditionalFormatting>
  <conditionalFormatting sqref="O4:O25">
    <cfRule type="cellIs" dxfId="98" priority="4" operator="lessThan">
      <formula>0</formula>
    </cfRule>
  </conditionalFormatting>
  <conditionalFormatting sqref="Q4:R25">
    <cfRule type="cellIs" dxfId="97" priority="1" operator="lessThan">
      <formula>0</formula>
    </cfRule>
  </conditionalFormatting>
  <conditionalFormatting sqref="S33:S54">
    <cfRule type="cellIs" dxfId="96" priority="8" operator="lessThan">
      <formula>0</formula>
    </cfRule>
  </conditionalFormatting>
  <conditionalFormatting sqref="AC33:AC54">
    <cfRule type="cellIs" dxfId="95" priority="7" operator="lessThan">
      <formula>0</formula>
    </cfRule>
  </conditionalFormatting>
  <conditionalFormatting sqref="AN4:AO25">
    <cfRule type="cellIs" dxfId="94" priority="3" operator="lessThan">
      <formula>0</formula>
    </cfRule>
  </conditionalFormatting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84FAA-C12A-45B2-9691-FAB3D916EB34}">
  <sheetPr codeName="Sheet8"/>
  <dimension ref="A1:P18"/>
  <sheetViews>
    <sheetView workbookViewId="0">
      <selection activeCell="E21" sqref="E21"/>
    </sheetView>
  </sheetViews>
  <sheetFormatPr defaultColWidth="9" defaultRowHeight="13.5"/>
  <cols>
    <col min="1" max="1" width="12.5" bestFit="1" customWidth="1"/>
    <col min="2" max="2" width="9.25" bestFit="1" customWidth="1"/>
    <col min="3" max="3" width="13.25" bestFit="1" customWidth="1"/>
    <col min="4" max="8" width="9.625" bestFit="1" customWidth="1"/>
    <col min="9" max="9" width="8.5" bestFit="1" customWidth="1"/>
    <col min="10" max="10" width="13.25" bestFit="1" customWidth="1"/>
    <col min="11" max="13" width="9.625" bestFit="1" customWidth="1"/>
    <col min="14" max="14" width="8.5" bestFit="1" customWidth="1"/>
    <col min="15" max="16" width="9.625" bestFit="1" customWidth="1"/>
    <col min="17" max="17" width="5.375" bestFit="1" customWidth="1"/>
    <col min="18" max="18" width="14.375" bestFit="1" customWidth="1"/>
    <col min="19" max="19" width="9.25" bestFit="1" customWidth="1"/>
    <col min="20" max="32" width="14.375" bestFit="1" customWidth="1"/>
    <col min="33" max="33" width="15.25" bestFit="1" customWidth="1"/>
    <col min="34" max="48" width="14.375" bestFit="1" customWidth="1"/>
    <col min="49" max="49" width="15.25" bestFit="1" customWidth="1"/>
    <col min="50" max="64" width="14.375" bestFit="1" customWidth="1"/>
    <col min="65" max="65" width="15.25" bestFit="1" customWidth="1"/>
    <col min="66" max="80" width="14.375" bestFit="1" customWidth="1"/>
    <col min="81" max="81" width="15.25" bestFit="1" customWidth="1"/>
    <col min="82" max="96" width="14.375" bestFit="1" customWidth="1"/>
    <col min="97" max="97" width="15.25" bestFit="1" customWidth="1"/>
    <col min="98" max="112" width="14.375" bestFit="1" customWidth="1"/>
    <col min="113" max="113" width="15.25" bestFit="1" customWidth="1"/>
    <col min="114" max="128" width="14.375" bestFit="1" customWidth="1"/>
    <col min="129" max="129" width="15.25" bestFit="1" customWidth="1"/>
    <col min="130" max="144" width="14.375" bestFit="1" customWidth="1"/>
    <col min="145" max="145" width="15.25" bestFit="1" customWidth="1"/>
    <col min="146" max="160" width="14.375" bestFit="1" customWidth="1"/>
    <col min="161" max="161" width="15.25" bestFit="1" customWidth="1"/>
    <col min="162" max="176" width="14.375" bestFit="1" customWidth="1"/>
    <col min="177" max="177" width="15.25" bestFit="1" customWidth="1"/>
    <col min="178" max="178" width="9.25" bestFit="1" customWidth="1"/>
  </cols>
  <sheetData>
    <row r="1" spans="1:16">
      <c r="A1" s="262" t="s">
        <v>4101</v>
      </c>
      <c r="B1" t="s">
        <v>3534</v>
      </c>
    </row>
    <row r="3" spans="1:16">
      <c r="A3" s="262" t="s">
        <v>4100</v>
      </c>
      <c r="B3" s="262" t="s">
        <v>2</v>
      </c>
    </row>
    <row r="4" spans="1:16">
      <c r="A4" s="262" t="s">
        <v>4102</v>
      </c>
      <c r="B4" t="s">
        <v>2744</v>
      </c>
      <c r="C4" t="s">
        <v>2747</v>
      </c>
      <c r="D4" t="s">
        <v>2748</v>
      </c>
      <c r="E4" t="s">
        <v>2749</v>
      </c>
      <c r="F4" t="s">
        <v>2750</v>
      </c>
      <c r="G4" t="s">
        <v>2751</v>
      </c>
      <c r="H4" t="s">
        <v>2752</v>
      </c>
      <c r="I4" t="s">
        <v>2755</v>
      </c>
      <c r="J4" t="s">
        <v>2756</v>
      </c>
      <c r="K4" t="s">
        <v>2757</v>
      </c>
      <c r="L4" t="s">
        <v>2758</v>
      </c>
      <c r="M4" t="s">
        <v>2759</v>
      </c>
      <c r="N4" t="s">
        <v>2754</v>
      </c>
      <c r="O4" t="s">
        <v>2760</v>
      </c>
      <c r="P4" t="s">
        <v>2761</v>
      </c>
    </row>
    <row r="5" spans="1:16">
      <c r="A5" t="s">
        <v>215</v>
      </c>
      <c r="B5">
        <v>8575</v>
      </c>
      <c r="C5">
        <v>1456</v>
      </c>
      <c r="D5">
        <v>330</v>
      </c>
      <c r="E5">
        <v>276</v>
      </c>
      <c r="F5">
        <v>107</v>
      </c>
      <c r="G5">
        <v>13</v>
      </c>
      <c r="H5">
        <v>1</v>
      </c>
      <c r="I5">
        <v>1283</v>
      </c>
      <c r="J5">
        <v>475</v>
      </c>
      <c r="K5">
        <v>160</v>
      </c>
      <c r="L5">
        <v>55</v>
      </c>
      <c r="M5">
        <v>20</v>
      </c>
      <c r="N5">
        <v>3</v>
      </c>
      <c r="O5">
        <v>4</v>
      </c>
      <c r="P5">
        <v>0</v>
      </c>
    </row>
    <row r="6" spans="1:16">
      <c r="A6" t="s">
        <v>217</v>
      </c>
      <c r="B6">
        <v>8347</v>
      </c>
      <c r="C6">
        <v>1405</v>
      </c>
      <c r="D6">
        <v>317</v>
      </c>
      <c r="E6">
        <v>274</v>
      </c>
      <c r="F6">
        <v>106</v>
      </c>
      <c r="G6">
        <v>7</v>
      </c>
      <c r="H6">
        <v>1</v>
      </c>
      <c r="I6">
        <v>1283</v>
      </c>
      <c r="J6">
        <v>475</v>
      </c>
      <c r="K6">
        <v>160</v>
      </c>
      <c r="L6">
        <v>55</v>
      </c>
      <c r="M6">
        <v>20</v>
      </c>
      <c r="N6">
        <v>3</v>
      </c>
      <c r="O6">
        <v>4</v>
      </c>
      <c r="P6">
        <v>0</v>
      </c>
    </row>
    <row r="7" spans="1:16">
      <c r="A7" t="s">
        <v>216</v>
      </c>
      <c r="B7">
        <v>7622</v>
      </c>
      <c r="C7">
        <v>1338</v>
      </c>
      <c r="D7">
        <v>306</v>
      </c>
      <c r="E7">
        <v>269</v>
      </c>
      <c r="F7">
        <v>104</v>
      </c>
      <c r="G7">
        <v>10</v>
      </c>
      <c r="H7">
        <v>1</v>
      </c>
      <c r="I7">
        <v>1283</v>
      </c>
      <c r="J7">
        <v>475</v>
      </c>
      <c r="K7">
        <v>160</v>
      </c>
      <c r="L7">
        <v>55</v>
      </c>
      <c r="M7">
        <v>20</v>
      </c>
      <c r="N7">
        <v>3</v>
      </c>
      <c r="O7">
        <v>4</v>
      </c>
      <c r="P7">
        <v>0</v>
      </c>
    </row>
    <row r="8" spans="1:16">
      <c r="A8" t="s">
        <v>226</v>
      </c>
      <c r="B8">
        <v>6890</v>
      </c>
      <c r="C8">
        <v>1237</v>
      </c>
      <c r="D8">
        <v>276</v>
      </c>
      <c r="E8">
        <v>255</v>
      </c>
      <c r="F8">
        <v>97</v>
      </c>
      <c r="G8">
        <v>5</v>
      </c>
      <c r="H8">
        <v>1</v>
      </c>
      <c r="I8">
        <v>1283</v>
      </c>
      <c r="J8">
        <v>475</v>
      </c>
      <c r="K8">
        <v>160</v>
      </c>
      <c r="L8">
        <v>51</v>
      </c>
      <c r="M8">
        <v>17</v>
      </c>
      <c r="N8">
        <v>3</v>
      </c>
      <c r="O8">
        <v>4</v>
      </c>
      <c r="P8">
        <v>0</v>
      </c>
    </row>
    <row r="9" spans="1:16">
      <c r="A9" t="s">
        <v>2502</v>
      </c>
      <c r="B9">
        <v>6068</v>
      </c>
      <c r="C9">
        <v>1039</v>
      </c>
      <c r="D9">
        <v>228</v>
      </c>
      <c r="E9">
        <v>234</v>
      </c>
      <c r="F9">
        <v>69</v>
      </c>
      <c r="G9">
        <v>4</v>
      </c>
      <c r="H9">
        <v>1</v>
      </c>
      <c r="I9">
        <v>1073</v>
      </c>
      <c r="J9">
        <v>443</v>
      </c>
      <c r="K9">
        <v>148</v>
      </c>
      <c r="L9">
        <v>48</v>
      </c>
      <c r="M9">
        <v>16</v>
      </c>
      <c r="N9">
        <v>3</v>
      </c>
      <c r="O9">
        <v>3</v>
      </c>
      <c r="P9">
        <v>0</v>
      </c>
    </row>
    <row r="10" spans="1:16">
      <c r="A10" t="s">
        <v>3968</v>
      </c>
      <c r="B10">
        <v>5451</v>
      </c>
      <c r="C10">
        <v>1101</v>
      </c>
      <c r="D10">
        <v>227</v>
      </c>
      <c r="E10">
        <v>227</v>
      </c>
      <c r="F10">
        <v>76</v>
      </c>
      <c r="G10">
        <v>7</v>
      </c>
      <c r="H10">
        <v>0</v>
      </c>
      <c r="I10">
        <v>982</v>
      </c>
      <c r="J10">
        <v>453</v>
      </c>
      <c r="K10">
        <v>148</v>
      </c>
      <c r="L10">
        <v>48</v>
      </c>
      <c r="M10">
        <v>16</v>
      </c>
      <c r="N10">
        <v>3</v>
      </c>
      <c r="O10">
        <v>3</v>
      </c>
      <c r="P10">
        <v>0</v>
      </c>
    </row>
    <row r="11" spans="1:16" ht="15" customHeight="1">
      <c r="A11" t="s">
        <v>3993</v>
      </c>
      <c r="B11">
        <v>4737</v>
      </c>
      <c r="C11">
        <v>1068</v>
      </c>
      <c r="D11">
        <v>225</v>
      </c>
      <c r="E11">
        <v>224</v>
      </c>
      <c r="F11">
        <v>72</v>
      </c>
      <c r="G11">
        <v>7</v>
      </c>
      <c r="H11">
        <v>0</v>
      </c>
      <c r="I11">
        <v>932</v>
      </c>
      <c r="J11">
        <v>453</v>
      </c>
      <c r="K11">
        <v>148</v>
      </c>
      <c r="L11">
        <v>48</v>
      </c>
      <c r="M11">
        <v>16</v>
      </c>
      <c r="N11">
        <v>3</v>
      </c>
      <c r="O11">
        <v>3</v>
      </c>
      <c r="P11">
        <v>0</v>
      </c>
    </row>
    <row r="12" spans="1:16">
      <c r="A12" t="s">
        <v>4004</v>
      </c>
      <c r="B12">
        <v>4445</v>
      </c>
      <c r="C12">
        <v>1003</v>
      </c>
      <c r="D12">
        <v>209</v>
      </c>
      <c r="E12">
        <v>220</v>
      </c>
      <c r="F12">
        <v>69</v>
      </c>
      <c r="G12">
        <v>6</v>
      </c>
      <c r="H12">
        <v>0</v>
      </c>
      <c r="I12">
        <v>929</v>
      </c>
      <c r="J12">
        <v>453</v>
      </c>
      <c r="K12">
        <v>148</v>
      </c>
      <c r="L12">
        <v>48</v>
      </c>
      <c r="M12">
        <v>16</v>
      </c>
      <c r="N12">
        <v>1</v>
      </c>
      <c r="O12">
        <v>2</v>
      </c>
      <c r="P12">
        <v>0</v>
      </c>
    </row>
    <row r="13" spans="1:16">
      <c r="A13" t="s">
        <v>4105</v>
      </c>
      <c r="B13">
        <v>3665</v>
      </c>
      <c r="C13">
        <v>841</v>
      </c>
      <c r="D13">
        <v>187</v>
      </c>
      <c r="E13">
        <v>214</v>
      </c>
      <c r="F13">
        <v>68</v>
      </c>
      <c r="G13">
        <v>6</v>
      </c>
      <c r="H13">
        <v>0</v>
      </c>
      <c r="I13">
        <v>879</v>
      </c>
      <c r="J13">
        <v>452</v>
      </c>
      <c r="K13">
        <v>148</v>
      </c>
      <c r="L13">
        <v>48</v>
      </c>
      <c r="M13">
        <v>16</v>
      </c>
      <c r="N13">
        <v>1</v>
      </c>
      <c r="O13">
        <v>1</v>
      </c>
      <c r="P13">
        <v>0</v>
      </c>
    </row>
    <row r="14" spans="1:16">
      <c r="A14" t="s">
        <v>4117</v>
      </c>
      <c r="B14">
        <v>3558</v>
      </c>
      <c r="C14">
        <v>831</v>
      </c>
      <c r="D14">
        <v>187</v>
      </c>
      <c r="E14">
        <v>211</v>
      </c>
      <c r="F14">
        <v>67</v>
      </c>
      <c r="G14">
        <v>6</v>
      </c>
      <c r="H14">
        <v>0</v>
      </c>
      <c r="I14">
        <v>820</v>
      </c>
      <c r="J14">
        <v>436</v>
      </c>
      <c r="K14">
        <v>135</v>
      </c>
      <c r="L14">
        <v>48</v>
      </c>
      <c r="M14">
        <v>16</v>
      </c>
      <c r="N14">
        <v>2</v>
      </c>
      <c r="O14">
        <v>1</v>
      </c>
      <c r="P14">
        <v>0</v>
      </c>
    </row>
    <row r="15" spans="1:16">
      <c r="A15" t="s">
        <v>4241</v>
      </c>
      <c r="B15">
        <v>3356</v>
      </c>
      <c r="C15">
        <v>786</v>
      </c>
      <c r="D15">
        <v>171</v>
      </c>
      <c r="E15">
        <v>205</v>
      </c>
      <c r="F15">
        <v>66</v>
      </c>
      <c r="G15">
        <v>6</v>
      </c>
      <c r="H15">
        <v>0</v>
      </c>
      <c r="I15">
        <v>490</v>
      </c>
      <c r="J15">
        <v>436</v>
      </c>
      <c r="K15">
        <v>129</v>
      </c>
      <c r="L15">
        <v>48</v>
      </c>
      <c r="M15">
        <v>15</v>
      </c>
      <c r="N15">
        <v>2</v>
      </c>
      <c r="O15">
        <v>1</v>
      </c>
      <c r="P15">
        <v>0</v>
      </c>
    </row>
    <row r="16" spans="1:16">
      <c r="A16" t="s">
        <v>4282</v>
      </c>
      <c r="B16">
        <v>3207</v>
      </c>
      <c r="C16">
        <v>774</v>
      </c>
      <c r="D16">
        <v>167</v>
      </c>
      <c r="E16">
        <v>205</v>
      </c>
      <c r="F16">
        <v>66</v>
      </c>
      <c r="G16">
        <v>6</v>
      </c>
      <c r="H16">
        <v>0</v>
      </c>
      <c r="I16">
        <v>313</v>
      </c>
      <c r="J16">
        <v>421</v>
      </c>
      <c r="K16">
        <v>126</v>
      </c>
      <c r="L16">
        <v>47</v>
      </c>
      <c r="M16">
        <v>15</v>
      </c>
      <c r="N16">
        <v>2</v>
      </c>
      <c r="O16">
        <v>1</v>
      </c>
      <c r="P16">
        <v>0</v>
      </c>
    </row>
    <row r="17" spans="1:16">
      <c r="A17" t="s">
        <v>4258</v>
      </c>
      <c r="B17">
        <v>2749</v>
      </c>
      <c r="C17">
        <v>653</v>
      </c>
      <c r="D17">
        <v>141</v>
      </c>
      <c r="E17">
        <v>200</v>
      </c>
      <c r="F17">
        <v>62</v>
      </c>
      <c r="G17">
        <v>4</v>
      </c>
      <c r="H17">
        <v>0</v>
      </c>
      <c r="I17">
        <v>193</v>
      </c>
      <c r="J17">
        <v>407</v>
      </c>
      <c r="K17">
        <v>118</v>
      </c>
      <c r="L17">
        <v>42</v>
      </c>
      <c r="M17">
        <v>11</v>
      </c>
      <c r="N17">
        <v>2</v>
      </c>
      <c r="O17">
        <v>1</v>
      </c>
      <c r="P17">
        <v>0</v>
      </c>
    </row>
    <row r="18" spans="1:16">
      <c r="A18" t="s">
        <v>4295</v>
      </c>
      <c r="B18">
        <v>2704</v>
      </c>
      <c r="C18">
        <v>646</v>
      </c>
      <c r="D18">
        <v>139</v>
      </c>
      <c r="E18">
        <v>200</v>
      </c>
      <c r="F18">
        <v>62</v>
      </c>
      <c r="G18">
        <v>4</v>
      </c>
      <c r="H18">
        <v>0</v>
      </c>
      <c r="I18">
        <v>173</v>
      </c>
      <c r="J18">
        <v>407</v>
      </c>
      <c r="K18">
        <v>113</v>
      </c>
      <c r="L18">
        <v>37</v>
      </c>
      <c r="M18">
        <v>9</v>
      </c>
      <c r="N18">
        <v>2</v>
      </c>
      <c r="O18">
        <v>1</v>
      </c>
      <c r="P18">
        <v>0</v>
      </c>
    </row>
  </sheetData>
  <phoneticPr fontId="3" type="noConversion"/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24D82-19AE-464A-99AA-F5ABE642A759}">
  <sheetPr codeName="Sheet13"/>
  <dimension ref="A1:S421"/>
  <sheetViews>
    <sheetView topLeftCell="A398" workbookViewId="0">
      <selection activeCell="H412" sqref="H412"/>
    </sheetView>
  </sheetViews>
  <sheetFormatPr defaultColWidth="9" defaultRowHeight="13.5"/>
  <cols>
    <col min="1" max="2" width="13.375" style="382" customWidth="1"/>
    <col min="3" max="3" width="11.25" style="382" customWidth="1"/>
    <col min="4" max="4" width="10.375" style="382" customWidth="1"/>
    <col min="5" max="5" width="12.75" style="403" customWidth="1"/>
    <col min="6" max="6" width="15.375" style="382" bestFit="1" customWidth="1"/>
    <col min="7" max="7" width="9" style="382"/>
    <col min="8" max="8" width="12.375" style="382" bestFit="1" customWidth="1"/>
    <col min="9" max="9" width="13.375" style="382" bestFit="1" customWidth="1"/>
    <col min="10" max="14" width="9.375" style="382" bestFit="1" customWidth="1"/>
    <col min="15" max="15" width="8.5" style="382" bestFit="1" customWidth="1"/>
    <col min="16" max="16" width="13.375" style="382" bestFit="1" customWidth="1"/>
    <col min="17" max="19" width="9.375" style="382" bestFit="1" customWidth="1"/>
    <col min="20" max="20" width="8.5" style="382" bestFit="1" customWidth="1"/>
    <col min="21" max="22" width="9.375" style="382" bestFit="1" customWidth="1"/>
    <col min="23" max="23" width="8.5" style="382" bestFit="1" customWidth="1"/>
    <col min="24" max="24" width="13.375" style="382" bestFit="1" customWidth="1"/>
    <col min="25" max="29" width="9.375" style="382" bestFit="1" customWidth="1"/>
    <col min="30" max="30" width="8.5" style="382" bestFit="1" customWidth="1"/>
    <col min="31" max="31" width="13.375" style="382" bestFit="1" customWidth="1"/>
    <col min="32" max="34" width="9.375" style="382" bestFit="1" customWidth="1"/>
    <col min="35" max="35" width="8.5" style="382" bestFit="1" customWidth="1"/>
    <col min="36" max="37" width="9.375" style="382" bestFit="1" customWidth="1"/>
    <col min="38" max="38" width="8.5" style="382" bestFit="1" customWidth="1"/>
    <col min="39" max="16384" width="9" style="382"/>
  </cols>
  <sheetData>
    <row r="1" spans="1:19" ht="18.75" customHeight="1">
      <c r="A1" s="382" t="s">
        <v>265</v>
      </c>
      <c r="B1" s="382" t="s">
        <v>4019</v>
      </c>
      <c r="C1" s="382" t="s">
        <v>235</v>
      </c>
      <c r="D1" s="382" t="s">
        <v>4016</v>
      </c>
      <c r="E1" s="403" t="s">
        <v>4017</v>
      </c>
      <c r="H1"/>
      <c r="I1"/>
      <c r="J1"/>
      <c r="K1"/>
      <c r="L1"/>
      <c r="M1"/>
      <c r="N1"/>
      <c r="O1"/>
      <c r="P1"/>
      <c r="Q1"/>
      <c r="R1"/>
      <c r="S1"/>
    </row>
    <row r="2" spans="1:19">
      <c r="A2" s="382" t="s">
        <v>1381</v>
      </c>
      <c r="B2" s="382" t="s">
        <v>4020</v>
      </c>
      <c r="C2" s="382" t="s">
        <v>2744</v>
      </c>
      <c r="D2" s="382">
        <v>3376</v>
      </c>
      <c r="E2" s="403" t="s">
        <v>215</v>
      </c>
      <c r="H2"/>
      <c r="I2"/>
      <c r="J2"/>
      <c r="K2"/>
      <c r="L2"/>
    </row>
    <row r="3" spans="1:19">
      <c r="A3" s="382" t="s">
        <v>1381</v>
      </c>
      <c r="B3" s="382" t="s">
        <v>4020</v>
      </c>
      <c r="C3" s="382" t="s">
        <v>2747</v>
      </c>
      <c r="D3" s="382">
        <v>640</v>
      </c>
      <c r="E3" s="403" t="s">
        <v>215</v>
      </c>
      <c r="H3"/>
      <c r="I3"/>
      <c r="J3"/>
      <c r="K3"/>
      <c r="L3"/>
    </row>
    <row r="4" spans="1:19">
      <c r="A4" s="382" t="s">
        <v>1381</v>
      </c>
      <c r="B4" s="382" t="s">
        <v>4020</v>
      </c>
      <c r="C4" s="382" t="s">
        <v>2748</v>
      </c>
      <c r="D4" s="382">
        <v>65</v>
      </c>
      <c r="E4" s="403" t="s">
        <v>215</v>
      </c>
      <c r="H4"/>
      <c r="I4"/>
      <c r="J4"/>
      <c r="K4"/>
      <c r="L4"/>
    </row>
    <row r="5" spans="1:19">
      <c r="A5" s="382" t="s">
        <v>1381</v>
      </c>
      <c r="B5" s="382" t="s">
        <v>4020</v>
      </c>
      <c r="C5" s="382" t="s">
        <v>2749</v>
      </c>
      <c r="D5" s="382">
        <v>98</v>
      </c>
      <c r="E5" s="403" t="s">
        <v>215</v>
      </c>
      <c r="H5"/>
      <c r="I5"/>
      <c r="J5"/>
      <c r="K5"/>
      <c r="L5"/>
    </row>
    <row r="6" spans="1:19">
      <c r="A6" s="382" t="s">
        <v>1381</v>
      </c>
      <c r="B6" s="382" t="s">
        <v>4020</v>
      </c>
      <c r="C6" s="382" t="s">
        <v>2750</v>
      </c>
      <c r="D6" s="382">
        <v>17</v>
      </c>
      <c r="E6" s="403" t="s">
        <v>215</v>
      </c>
      <c r="H6"/>
      <c r="I6"/>
      <c r="J6"/>
      <c r="K6"/>
      <c r="L6"/>
    </row>
    <row r="7" spans="1:19">
      <c r="A7" s="382" t="s">
        <v>1381</v>
      </c>
      <c r="B7" s="382" t="s">
        <v>4020</v>
      </c>
      <c r="C7" s="382" t="s">
        <v>2751</v>
      </c>
      <c r="D7" s="382">
        <v>3</v>
      </c>
      <c r="E7" s="403" t="s">
        <v>215</v>
      </c>
      <c r="H7"/>
      <c r="I7"/>
      <c r="J7"/>
      <c r="K7"/>
      <c r="L7"/>
    </row>
    <row r="8" spans="1:19">
      <c r="A8" s="382" t="s">
        <v>1381</v>
      </c>
      <c r="B8" s="382" t="s">
        <v>4020</v>
      </c>
      <c r="C8" s="382" t="s">
        <v>2752</v>
      </c>
      <c r="D8" s="382">
        <v>0</v>
      </c>
      <c r="E8" s="403" t="s">
        <v>215</v>
      </c>
      <c r="H8"/>
      <c r="I8"/>
      <c r="J8"/>
      <c r="K8"/>
      <c r="L8"/>
    </row>
    <row r="9" spans="1:19">
      <c r="A9" s="382" t="s">
        <v>2753</v>
      </c>
      <c r="B9" s="382" t="s">
        <v>4020</v>
      </c>
      <c r="C9" s="382" t="s">
        <v>2744</v>
      </c>
      <c r="D9" s="382">
        <v>5199</v>
      </c>
      <c r="E9" s="403" t="s">
        <v>215</v>
      </c>
      <c r="H9"/>
      <c r="I9"/>
      <c r="J9"/>
      <c r="K9"/>
      <c r="L9"/>
    </row>
    <row r="10" spans="1:19">
      <c r="A10" s="382" t="s">
        <v>2753</v>
      </c>
      <c r="B10" s="382" t="s">
        <v>4020</v>
      </c>
      <c r="C10" s="382" t="s">
        <v>2747</v>
      </c>
      <c r="D10" s="382">
        <v>816</v>
      </c>
      <c r="E10" s="403" t="s">
        <v>215</v>
      </c>
      <c r="H10"/>
      <c r="I10"/>
      <c r="J10"/>
      <c r="K10"/>
      <c r="L10"/>
    </row>
    <row r="11" spans="1:19">
      <c r="A11" s="382" t="s">
        <v>2753</v>
      </c>
      <c r="B11" s="382" t="s">
        <v>4020</v>
      </c>
      <c r="C11" s="382" t="s">
        <v>2748</v>
      </c>
      <c r="D11" s="382">
        <v>265</v>
      </c>
      <c r="E11" s="403" t="s">
        <v>215</v>
      </c>
      <c r="H11"/>
      <c r="I11"/>
      <c r="J11"/>
      <c r="K11"/>
      <c r="L11"/>
    </row>
    <row r="12" spans="1:19">
      <c r="A12" s="382" t="s">
        <v>2753</v>
      </c>
      <c r="B12" s="382" t="s">
        <v>4020</v>
      </c>
      <c r="C12" s="382" t="s">
        <v>2749</v>
      </c>
      <c r="D12" s="382">
        <v>178</v>
      </c>
      <c r="E12" s="403" t="s">
        <v>215</v>
      </c>
      <c r="H12"/>
      <c r="I12"/>
      <c r="J12"/>
      <c r="K12"/>
      <c r="L12"/>
    </row>
    <row r="13" spans="1:19">
      <c r="A13" s="382" t="s">
        <v>2753</v>
      </c>
      <c r="B13" s="382" t="s">
        <v>4020</v>
      </c>
      <c r="C13" s="382" t="s">
        <v>2750</v>
      </c>
      <c r="D13" s="382">
        <v>90</v>
      </c>
      <c r="E13" s="403" t="s">
        <v>215</v>
      </c>
      <c r="H13"/>
      <c r="I13"/>
      <c r="J13"/>
      <c r="K13"/>
      <c r="L13"/>
    </row>
    <row r="14" spans="1:19">
      <c r="A14" s="382" t="s">
        <v>2753</v>
      </c>
      <c r="B14" s="382" t="s">
        <v>4020</v>
      </c>
      <c r="C14" s="382" t="s">
        <v>2751</v>
      </c>
      <c r="D14" s="382">
        <v>10</v>
      </c>
      <c r="E14" s="403" t="s">
        <v>215</v>
      </c>
      <c r="H14"/>
      <c r="I14"/>
      <c r="J14"/>
      <c r="K14"/>
      <c r="L14"/>
    </row>
    <row r="15" spans="1:19">
      <c r="A15" s="382" t="s">
        <v>2753</v>
      </c>
      <c r="B15" s="382" t="s">
        <v>4020</v>
      </c>
      <c r="C15" s="382" t="s">
        <v>2752</v>
      </c>
      <c r="D15" s="382">
        <v>1</v>
      </c>
      <c r="E15" s="403" t="s">
        <v>215</v>
      </c>
      <c r="H15"/>
      <c r="I15"/>
      <c r="J15"/>
      <c r="K15"/>
      <c r="L15"/>
    </row>
    <row r="16" spans="1:19">
      <c r="A16" s="382" t="s">
        <v>1381</v>
      </c>
      <c r="B16" s="382" t="s">
        <v>4021</v>
      </c>
      <c r="C16" s="382" t="s">
        <v>2754</v>
      </c>
      <c r="D16" s="382">
        <v>2</v>
      </c>
      <c r="E16" s="403" t="s">
        <v>215</v>
      </c>
      <c r="H16"/>
      <c r="I16"/>
      <c r="J16"/>
      <c r="K16"/>
      <c r="L16"/>
    </row>
    <row r="17" spans="1:12">
      <c r="A17" s="382" t="s">
        <v>1381</v>
      </c>
      <c r="B17" s="382" t="s">
        <v>4021</v>
      </c>
      <c r="C17" s="382" t="s">
        <v>2755</v>
      </c>
      <c r="D17" s="382">
        <v>928</v>
      </c>
      <c r="E17" s="403" t="s">
        <v>215</v>
      </c>
      <c r="H17"/>
      <c r="I17"/>
      <c r="J17"/>
      <c r="K17"/>
      <c r="L17"/>
    </row>
    <row r="18" spans="1:12">
      <c r="A18" s="382" t="s">
        <v>1381</v>
      </c>
      <c r="B18" s="382" t="s">
        <v>4021</v>
      </c>
      <c r="C18" s="382" t="s">
        <v>2756</v>
      </c>
      <c r="D18" s="382">
        <v>367</v>
      </c>
      <c r="E18" s="403" t="s">
        <v>215</v>
      </c>
      <c r="H18"/>
      <c r="I18"/>
      <c r="J18"/>
      <c r="K18"/>
      <c r="L18"/>
    </row>
    <row r="19" spans="1:12">
      <c r="A19" s="382" t="s">
        <v>1381</v>
      </c>
      <c r="B19" s="382" t="s">
        <v>4021</v>
      </c>
      <c r="C19" s="382" t="s">
        <v>2757</v>
      </c>
      <c r="D19" s="382">
        <v>82</v>
      </c>
      <c r="E19" s="403" t="s">
        <v>215</v>
      </c>
      <c r="H19"/>
      <c r="I19"/>
      <c r="J19"/>
      <c r="K19"/>
      <c r="L19"/>
    </row>
    <row r="20" spans="1:12">
      <c r="A20" s="382" t="s">
        <v>1381</v>
      </c>
      <c r="B20" s="382" t="s">
        <v>4021</v>
      </c>
      <c r="C20" s="382" t="s">
        <v>2758</v>
      </c>
      <c r="D20" s="382">
        <v>23</v>
      </c>
      <c r="E20" s="403" t="s">
        <v>215</v>
      </c>
      <c r="H20"/>
      <c r="I20"/>
      <c r="J20"/>
      <c r="K20"/>
      <c r="L20"/>
    </row>
    <row r="21" spans="1:12">
      <c r="A21" s="382" t="s">
        <v>1381</v>
      </c>
      <c r="B21" s="382" t="s">
        <v>4021</v>
      </c>
      <c r="C21" s="382" t="s">
        <v>2759</v>
      </c>
      <c r="D21" s="382">
        <v>12</v>
      </c>
      <c r="E21" s="403" t="s">
        <v>215</v>
      </c>
      <c r="H21"/>
      <c r="I21"/>
      <c r="J21"/>
      <c r="K21"/>
      <c r="L21"/>
    </row>
    <row r="22" spans="1:12">
      <c r="A22" s="382" t="s">
        <v>1381</v>
      </c>
      <c r="B22" s="382" t="s">
        <v>4021</v>
      </c>
      <c r="C22" s="382" t="s">
        <v>2760</v>
      </c>
      <c r="D22" s="382">
        <v>3</v>
      </c>
      <c r="E22" s="403" t="s">
        <v>215</v>
      </c>
      <c r="H22"/>
      <c r="I22"/>
      <c r="J22"/>
      <c r="K22"/>
      <c r="L22"/>
    </row>
    <row r="23" spans="1:12">
      <c r="A23" s="382" t="s">
        <v>1381</v>
      </c>
      <c r="B23" s="382" t="s">
        <v>4021</v>
      </c>
      <c r="C23" s="382" t="s">
        <v>2761</v>
      </c>
      <c r="D23" s="382">
        <v>0</v>
      </c>
      <c r="E23" s="403" t="s">
        <v>215</v>
      </c>
      <c r="H23"/>
      <c r="I23"/>
      <c r="J23"/>
      <c r="K23"/>
      <c r="L23"/>
    </row>
    <row r="24" spans="1:12">
      <c r="A24" s="382" t="s">
        <v>2753</v>
      </c>
      <c r="B24" s="382" t="s">
        <v>4021</v>
      </c>
      <c r="C24" s="382" t="s">
        <v>2754</v>
      </c>
      <c r="D24" s="382">
        <v>1</v>
      </c>
      <c r="E24" s="403" t="s">
        <v>215</v>
      </c>
      <c r="H24"/>
      <c r="I24"/>
      <c r="J24"/>
      <c r="K24"/>
      <c r="L24"/>
    </row>
    <row r="25" spans="1:12">
      <c r="A25" s="382" t="s">
        <v>2753</v>
      </c>
      <c r="B25" s="382" t="s">
        <v>4021</v>
      </c>
      <c r="C25" s="382" t="s">
        <v>2755</v>
      </c>
      <c r="D25" s="382">
        <v>355</v>
      </c>
      <c r="E25" s="403" t="s">
        <v>215</v>
      </c>
      <c r="H25"/>
      <c r="I25"/>
      <c r="J25"/>
      <c r="K25"/>
      <c r="L25"/>
    </row>
    <row r="26" spans="1:12">
      <c r="A26" s="382" t="s">
        <v>2753</v>
      </c>
      <c r="B26" s="382" t="s">
        <v>4021</v>
      </c>
      <c r="C26" s="382" t="s">
        <v>2756</v>
      </c>
      <c r="D26" s="382">
        <v>108</v>
      </c>
      <c r="E26" s="403" t="s">
        <v>215</v>
      </c>
      <c r="H26"/>
      <c r="I26"/>
      <c r="J26"/>
      <c r="K26"/>
      <c r="L26"/>
    </row>
    <row r="27" spans="1:12">
      <c r="A27" s="382" t="s">
        <v>2753</v>
      </c>
      <c r="B27" s="382" t="s">
        <v>4021</v>
      </c>
      <c r="C27" s="382" t="s">
        <v>2757</v>
      </c>
      <c r="D27" s="382">
        <v>78</v>
      </c>
      <c r="E27" s="403" t="s">
        <v>215</v>
      </c>
      <c r="H27"/>
      <c r="I27"/>
      <c r="J27"/>
      <c r="K27"/>
      <c r="L27"/>
    </row>
    <row r="28" spans="1:12">
      <c r="A28" s="382" t="s">
        <v>2753</v>
      </c>
      <c r="B28" s="382" t="s">
        <v>4021</v>
      </c>
      <c r="C28" s="382" t="s">
        <v>2758</v>
      </c>
      <c r="D28" s="382">
        <v>32</v>
      </c>
      <c r="E28" s="403" t="s">
        <v>215</v>
      </c>
      <c r="H28"/>
      <c r="I28"/>
      <c r="J28"/>
      <c r="K28"/>
      <c r="L28"/>
    </row>
    <row r="29" spans="1:12">
      <c r="A29" s="382" t="s">
        <v>2753</v>
      </c>
      <c r="B29" s="382" t="s">
        <v>4021</v>
      </c>
      <c r="C29" s="382" t="s">
        <v>2759</v>
      </c>
      <c r="D29" s="382">
        <v>8</v>
      </c>
      <c r="E29" s="403" t="s">
        <v>215</v>
      </c>
      <c r="H29"/>
      <c r="I29"/>
      <c r="J29"/>
      <c r="K29"/>
      <c r="L29"/>
    </row>
    <row r="30" spans="1:12">
      <c r="A30" s="382" t="s">
        <v>2753</v>
      </c>
      <c r="B30" s="382" t="s">
        <v>4021</v>
      </c>
      <c r="C30" s="382" t="s">
        <v>2760</v>
      </c>
      <c r="D30" s="382">
        <v>1</v>
      </c>
      <c r="E30" s="403" t="s">
        <v>215</v>
      </c>
      <c r="H30"/>
      <c r="I30"/>
      <c r="J30"/>
      <c r="K30"/>
      <c r="L30"/>
    </row>
    <row r="31" spans="1:12">
      <c r="A31" s="382" t="s">
        <v>2753</v>
      </c>
      <c r="B31" s="382" t="s">
        <v>4021</v>
      </c>
      <c r="C31" s="382" t="s">
        <v>2761</v>
      </c>
      <c r="D31" s="382">
        <v>0</v>
      </c>
      <c r="E31" s="403" t="s">
        <v>215</v>
      </c>
      <c r="H31"/>
      <c r="I31"/>
      <c r="J31"/>
      <c r="K31"/>
      <c r="L31"/>
    </row>
    <row r="32" spans="1:12">
      <c r="A32" s="382" t="s">
        <v>1381</v>
      </c>
      <c r="B32" s="382" t="s">
        <v>4020</v>
      </c>
      <c r="C32" s="382" t="s">
        <v>2744</v>
      </c>
      <c r="D32" s="382">
        <v>3276</v>
      </c>
      <c r="E32" s="403" t="s">
        <v>217</v>
      </c>
      <c r="H32"/>
      <c r="I32"/>
      <c r="J32"/>
      <c r="K32"/>
      <c r="L32"/>
    </row>
    <row r="33" spans="1:12">
      <c r="A33" s="382" t="s">
        <v>1381</v>
      </c>
      <c r="B33" s="382" t="s">
        <v>4020</v>
      </c>
      <c r="C33" s="382" t="s">
        <v>2747</v>
      </c>
      <c r="D33" s="382">
        <v>632</v>
      </c>
      <c r="E33" s="403" t="s">
        <v>217</v>
      </c>
      <c r="H33"/>
      <c r="I33"/>
      <c r="J33"/>
      <c r="K33"/>
      <c r="L33"/>
    </row>
    <row r="34" spans="1:12">
      <c r="A34" s="382" t="s">
        <v>1381</v>
      </c>
      <c r="B34" s="382" t="s">
        <v>4020</v>
      </c>
      <c r="C34" s="382" t="s">
        <v>2748</v>
      </c>
      <c r="D34" s="382">
        <v>61</v>
      </c>
      <c r="E34" s="403" t="s">
        <v>217</v>
      </c>
      <c r="H34"/>
      <c r="I34"/>
      <c r="J34"/>
      <c r="K34"/>
      <c r="L34"/>
    </row>
    <row r="35" spans="1:12">
      <c r="A35" s="382" t="s">
        <v>1381</v>
      </c>
      <c r="B35" s="382" t="s">
        <v>4020</v>
      </c>
      <c r="C35" s="382" t="s">
        <v>2749</v>
      </c>
      <c r="D35" s="382">
        <v>98</v>
      </c>
      <c r="E35" s="403" t="s">
        <v>217</v>
      </c>
      <c r="H35"/>
      <c r="I35"/>
      <c r="J35"/>
      <c r="K35"/>
      <c r="L35"/>
    </row>
    <row r="36" spans="1:12">
      <c r="A36" s="382" t="s">
        <v>1381</v>
      </c>
      <c r="B36" s="382" t="s">
        <v>4020</v>
      </c>
      <c r="C36" s="382" t="s">
        <v>2750</v>
      </c>
      <c r="D36" s="382">
        <v>17</v>
      </c>
      <c r="E36" s="403" t="s">
        <v>217</v>
      </c>
      <c r="H36"/>
      <c r="I36"/>
      <c r="J36"/>
      <c r="K36"/>
      <c r="L36"/>
    </row>
    <row r="37" spans="1:12">
      <c r="A37" s="382" t="s">
        <v>1381</v>
      </c>
      <c r="B37" s="382" t="s">
        <v>4020</v>
      </c>
      <c r="C37" s="382" t="s">
        <v>2751</v>
      </c>
      <c r="D37" s="382">
        <v>0</v>
      </c>
      <c r="E37" s="403" t="s">
        <v>217</v>
      </c>
      <c r="H37"/>
      <c r="I37"/>
      <c r="J37"/>
      <c r="K37"/>
      <c r="L37"/>
    </row>
    <row r="38" spans="1:12">
      <c r="A38" s="382" t="s">
        <v>1381</v>
      </c>
      <c r="B38" s="382" t="s">
        <v>4020</v>
      </c>
      <c r="C38" s="382" t="s">
        <v>2752</v>
      </c>
      <c r="D38" s="382">
        <v>0</v>
      </c>
      <c r="E38" s="403" t="s">
        <v>217</v>
      </c>
      <c r="H38"/>
      <c r="I38"/>
      <c r="J38"/>
      <c r="K38"/>
      <c r="L38"/>
    </row>
    <row r="39" spans="1:12">
      <c r="A39" s="382" t="s">
        <v>2753</v>
      </c>
      <c r="B39" s="382" t="s">
        <v>4020</v>
      </c>
      <c r="C39" s="382" t="s">
        <v>2744</v>
      </c>
      <c r="D39" s="382">
        <v>5071</v>
      </c>
      <c r="E39" s="403" t="s">
        <v>217</v>
      </c>
      <c r="H39"/>
      <c r="I39"/>
      <c r="J39"/>
      <c r="K39"/>
      <c r="L39"/>
    </row>
    <row r="40" spans="1:12">
      <c r="A40" s="382" t="s">
        <v>2753</v>
      </c>
      <c r="B40" s="382" t="s">
        <v>4020</v>
      </c>
      <c r="C40" s="382" t="s">
        <v>2747</v>
      </c>
      <c r="D40" s="382">
        <v>773</v>
      </c>
      <c r="E40" s="403" t="s">
        <v>217</v>
      </c>
      <c r="H40"/>
      <c r="I40"/>
      <c r="J40"/>
      <c r="K40"/>
      <c r="L40"/>
    </row>
    <row r="41" spans="1:12">
      <c r="A41" s="382" t="s">
        <v>2753</v>
      </c>
      <c r="B41" s="382" t="s">
        <v>4020</v>
      </c>
      <c r="C41" s="382" t="s">
        <v>2748</v>
      </c>
      <c r="D41" s="382">
        <v>256</v>
      </c>
      <c r="E41" s="403" t="s">
        <v>217</v>
      </c>
      <c r="H41"/>
      <c r="I41"/>
      <c r="J41"/>
      <c r="K41"/>
      <c r="L41"/>
    </row>
    <row r="42" spans="1:12">
      <c r="A42" s="382" t="s">
        <v>2753</v>
      </c>
      <c r="B42" s="382" t="s">
        <v>4020</v>
      </c>
      <c r="C42" s="382" t="s">
        <v>2749</v>
      </c>
      <c r="D42" s="382">
        <v>176</v>
      </c>
      <c r="E42" s="403" t="s">
        <v>217</v>
      </c>
      <c r="H42"/>
      <c r="I42"/>
      <c r="J42"/>
      <c r="K42"/>
      <c r="L42"/>
    </row>
    <row r="43" spans="1:12">
      <c r="A43" s="382" t="s">
        <v>2753</v>
      </c>
      <c r="B43" s="382" t="s">
        <v>4020</v>
      </c>
      <c r="C43" s="382" t="s">
        <v>2750</v>
      </c>
      <c r="D43" s="382">
        <v>89</v>
      </c>
      <c r="E43" s="403" t="s">
        <v>217</v>
      </c>
      <c r="H43"/>
      <c r="I43"/>
      <c r="J43"/>
      <c r="K43"/>
      <c r="L43"/>
    </row>
    <row r="44" spans="1:12">
      <c r="A44" s="382" t="s">
        <v>2753</v>
      </c>
      <c r="B44" s="382" t="s">
        <v>4020</v>
      </c>
      <c r="C44" s="382" t="s">
        <v>2751</v>
      </c>
      <c r="D44" s="382">
        <v>7</v>
      </c>
      <c r="E44" s="403" t="s">
        <v>217</v>
      </c>
      <c r="H44"/>
      <c r="I44"/>
      <c r="J44"/>
      <c r="K44"/>
      <c r="L44"/>
    </row>
    <row r="45" spans="1:12">
      <c r="A45" s="382" t="s">
        <v>2753</v>
      </c>
      <c r="B45" s="382" t="s">
        <v>4020</v>
      </c>
      <c r="C45" s="382" t="s">
        <v>2752</v>
      </c>
      <c r="D45" s="382">
        <v>1</v>
      </c>
      <c r="E45" s="403" t="s">
        <v>217</v>
      </c>
      <c r="H45"/>
      <c r="I45"/>
      <c r="J45"/>
      <c r="K45"/>
      <c r="L45"/>
    </row>
    <row r="46" spans="1:12">
      <c r="A46" s="382" t="s">
        <v>1381</v>
      </c>
      <c r="B46" s="382" t="s">
        <v>4021</v>
      </c>
      <c r="C46" s="382" t="s">
        <v>2754</v>
      </c>
      <c r="D46" s="382">
        <v>2</v>
      </c>
      <c r="E46" s="403" t="s">
        <v>217</v>
      </c>
      <c r="H46"/>
      <c r="I46"/>
      <c r="J46"/>
      <c r="K46"/>
      <c r="L46"/>
    </row>
    <row r="47" spans="1:12">
      <c r="A47" s="382" t="s">
        <v>1381</v>
      </c>
      <c r="B47" s="382" t="s">
        <v>4021</v>
      </c>
      <c r="C47" s="382" t="s">
        <v>2755</v>
      </c>
      <c r="D47" s="382">
        <v>928</v>
      </c>
      <c r="E47" s="403" t="s">
        <v>217</v>
      </c>
      <c r="H47"/>
      <c r="I47"/>
      <c r="J47"/>
      <c r="K47"/>
      <c r="L47"/>
    </row>
    <row r="48" spans="1:12">
      <c r="A48" s="382" t="s">
        <v>1381</v>
      </c>
      <c r="B48" s="382" t="s">
        <v>4021</v>
      </c>
      <c r="C48" s="382" t="s">
        <v>2756</v>
      </c>
      <c r="D48" s="382">
        <v>367</v>
      </c>
      <c r="E48" s="403" t="s">
        <v>217</v>
      </c>
      <c r="H48"/>
      <c r="I48"/>
      <c r="J48"/>
      <c r="K48"/>
      <c r="L48"/>
    </row>
    <row r="49" spans="1:12">
      <c r="A49" s="382" t="s">
        <v>1381</v>
      </c>
      <c r="B49" s="382" t="s">
        <v>4021</v>
      </c>
      <c r="C49" s="382" t="s">
        <v>2757</v>
      </c>
      <c r="D49" s="382">
        <v>82</v>
      </c>
      <c r="E49" s="403" t="s">
        <v>217</v>
      </c>
      <c r="H49"/>
      <c r="I49"/>
      <c r="J49"/>
      <c r="K49"/>
      <c r="L49"/>
    </row>
    <row r="50" spans="1:12">
      <c r="A50" s="382" t="s">
        <v>1381</v>
      </c>
      <c r="B50" s="382" t="s">
        <v>4021</v>
      </c>
      <c r="C50" s="382" t="s">
        <v>2758</v>
      </c>
      <c r="D50" s="382">
        <v>23</v>
      </c>
      <c r="E50" s="403" t="s">
        <v>217</v>
      </c>
      <c r="H50"/>
      <c r="I50"/>
      <c r="J50"/>
      <c r="K50"/>
      <c r="L50"/>
    </row>
    <row r="51" spans="1:12">
      <c r="A51" s="382" t="s">
        <v>1381</v>
      </c>
      <c r="B51" s="382" t="s">
        <v>4021</v>
      </c>
      <c r="C51" s="382" t="s">
        <v>2759</v>
      </c>
      <c r="D51" s="382">
        <v>12</v>
      </c>
      <c r="E51" s="403" t="s">
        <v>217</v>
      </c>
      <c r="H51"/>
      <c r="I51"/>
      <c r="J51"/>
      <c r="K51"/>
      <c r="L51"/>
    </row>
    <row r="52" spans="1:12">
      <c r="A52" s="382" t="s">
        <v>1381</v>
      </c>
      <c r="B52" s="382" t="s">
        <v>4021</v>
      </c>
      <c r="C52" s="382" t="s">
        <v>2760</v>
      </c>
      <c r="D52" s="382">
        <v>3</v>
      </c>
      <c r="E52" s="403" t="s">
        <v>217</v>
      </c>
      <c r="H52"/>
      <c r="I52"/>
      <c r="J52"/>
      <c r="K52"/>
      <c r="L52"/>
    </row>
    <row r="53" spans="1:12">
      <c r="A53" s="382" t="s">
        <v>1381</v>
      </c>
      <c r="B53" s="382" t="s">
        <v>4021</v>
      </c>
      <c r="C53" s="382" t="s">
        <v>2761</v>
      </c>
      <c r="D53" s="382">
        <v>0</v>
      </c>
      <c r="E53" s="403" t="s">
        <v>217</v>
      </c>
      <c r="H53"/>
      <c r="I53"/>
      <c r="J53"/>
      <c r="K53"/>
      <c r="L53"/>
    </row>
    <row r="54" spans="1:12">
      <c r="A54" s="382" t="s">
        <v>2753</v>
      </c>
      <c r="B54" s="382" t="s">
        <v>4021</v>
      </c>
      <c r="C54" s="382" t="s">
        <v>2754</v>
      </c>
      <c r="D54" s="382">
        <v>1</v>
      </c>
      <c r="E54" s="403" t="s">
        <v>217</v>
      </c>
      <c r="H54"/>
      <c r="I54"/>
      <c r="J54"/>
      <c r="K54"/>
      <c r="L54"/>
    </row>
    <row r="55" spans="1:12">
      <c r="A55" s="382" t="s">
        <v>2753</v>
      </c>
      <c r="B55" s="382" t="s">
        <v>4021</v>
      </c>
      <c r="C55" s="382" t="s">
        <v>2755</v>
      </c>
      <c r="D55" s="382">
        <v>355</v>
      </c>
      <c r="E55" s="403" t="s">
        <v>217</v>
      </c>
      <c r="H55"/>
      <c r="I55"/>
      <c r="J55"/>
      <c r="K55"/>
      <c r="L55"/>
    </row>
    <row r="56" spans="1:12">
      <c r="A56" s="382" t="s">
        <v>2753</v>
      </c>
      <c r="B56" s="382" t="s">
        <v>4021</v>
      </c>
      <c r="C56" s="382" t="s">
        <v>2756</v>
      </c>
      <c r="D56" s="382">
        <v>108</v>
      </c>
      <c r="E56" s="403" t="s">
        <v>217</v>
      </c>
      <c r="H56"/>
      <c r="I56"/>
      <c r="J56"/>
      <c r="K56"/>
      <c r="L56"/>
    </row>
    <row r="57" spans="1:12">
      <c r="A57" s="382" t="s">
        <v>2753</v>
      </c>
      <c r="B57" s="382" t="s">
        <v>4021</v>
      </c>
      <c r="C57" s="382" t="s">
        <v>2757</v>
      </c>
      <c r="D57" s="382">
        <v>78</v>
      </c>
      <c r="E57" s="403" t="s">
        <v>217</v>
      </c>
      <c r="H57"/>
      <c r="I57"/>
      <c r="J57"/>
      <c r="K57"/>
      <c r="L57"/>
    </row>
    <row r="58" spans="1:12">
      <c r="A58" s="382" t="s">
        <v>2753</v>
      </c>
      <c r="B58" s="382" t="s">
        <v>4021</v>
      </c>
      <c r="C58" s="382" t="s">
        <v>2758</v>
      </c>
      <c r="D58" s="382">
        <v>32</v>
      </c>
      <c r="E58" s="403" t="s">
        <v>217</v>
      </c>
      <c r="H58"/>
      <c r="I58"/>
      <c r="J58"/>
      <c r="K58"/>
      <c r="L58"/>
    </row>
    <row r="59" spans="1:12">
      <c r="A59" s="382" t="s">
        <v>2753</v>
      </c>
      <c r="B59" s="382" t="s">
        <v>4021</v>
      </c>
      <c r="C59" s="382" t="s">
        <v>2759</v>
      </c>
      <c r="D59" s="382">
        <v>8</v>
      </c>
      <c r="E59" s="403" t="s">
        <v>217</v>
      </c>
      <c r="H59"/>
      <c r="I59"/>
      <c r="J59"/>
      <c r="K59"/>
      <c r="L59"/>
    </row>
    <row r="60" spans="1:12">
      <c r="A60" s="382" t="s">
        <v>2753</v>
      </c>
      <c r="B60" s="382" t="s">
        <v>4021</v>
      </c>
      <c r="C60" s="382" t="s">
        <v>2760</v>
      </c>
      <c r="D60" s="382">
        <v>1</v>
      </c>
      <c r="E60" s="403" t="s">
        <v>217</v>
      </c>
      <c r="H60"/>
      <c r="I60"/>
      <c r="J60"/>
      <c r="K60"/>
      <c r="L60"/>
    </row>
    <row r="61" spans="1:12">
      <c r="A61" s="382" t="s">
        <v>2753</v>
      </c>
      <c r="B61" s="382" t="s">
        <v>4021</v>
      </c>
      <c r="C61" s="382" t="s">
        <v>2761</v>
      </c>
      <c r="D61" s="382">
        <v>0</v>
      </c>
      <c r="E61" s="403" t="s">
        <v>217</v>
      </c>
      <c r="H61"/>
      <c r="I61"/>
      <c r="J61"/>
      <c r="K61"/>
      <c r="L61"/>
    </row>
    <row r="62" spans="1:12">
      <c r="A62" s="382" t="s">
        <v>1381</v>
      </c>
      <c r="B62" s="382" t="s">
        <v>4020</v>
      </c>
      <c r="C62" s="382" t="s">
        <v>2744</v>
      </c>
      <c r="D62" s="382">
        <v>3006</v>
      </c>
      <c r="E62" s="403" t="s">
        <v>216</v>
      </c>
      <c r="H62"/>
      <c r="I62"/>
      <c r="J62"/>
      <c r="K62"/>
      <c r="L62"/>
    </row>
    <row r="63" spans="1:12">
      <c r="A63" s="382" t="s">
        <v>1381</v>
      </c>
      <c r="B63" s="382" t="s">
        <v>4020</v>
      </c>
      <c r="C63" s="382" t="s">
        <v>2747</v>
      </c>
      <c r="D63" s="382">
        <v>582</v>
      </c>
      <c r="E63" s="403" t="s">
        <v>216</v>
      </c>
      <c r="H63"/>
      <c r="I63"/>
      <c r="J63"/>
      <c r="K63"/>
      <c r="L63"/>
    </row>
    <row r="64" spans="1:12">
      <c r="A64" s="382" t="s">
        <v>1381</v>
      </c>
      <c r="B64" s="382" t="s">
        <v>4020</v>
      </c>
      <c r="C64" s="382" t="s">
        <v>2748</v>
      </c>
      <c r="D64" s="382">
        <v>56</v>
      </c>
      <c r="E64" s="403" t="s">
        <v>216</v>
      </c>
      <c r="H64"/>
      <c r="I64"/>
      <c r="J64"/>
      <c r="K64"/>
      <c r="L64"/>
    </row>
    <row r="65" spans="1:12">
      <c r="A65" s="382" t="s">
        <v>1381</v>
      </c>
      <c r="B65" s="382" t="s">
        <v>4020</v>
      </c>
      <c r="C65" s="382" t="s">
        <v>2749</v>
      </c>
      <c r="D65" s="382">
        <v>93</v>
      </c>
      <c r="E65" s="403" t="s">
        <v>216</v>
      </c>
      <c r="H65"/>
      <c r="I65"/>
      <c r="J65"/>
      <c r="K65"/>
      <c r="L65"/>
    </row>
    <row r="66" spans="1:12">
      <c r="A66" s="382" t="s">
        <v>1381</v>
      </c>
      <c r="B66" s="382" t="s">
        <v>4020</v>
      </c>
      <c r="C66" s="382" t="s">
        <v>2750</v>
      </c>
      <c r="D66" s="382">
        <v>15</v>
      </c>
      <c r="E66" s="403" t="s">
        <v>216</v>
      </c>
      <c r="H66"/>
      <c r="I66"/>
      <c r="J66"/>
      <c r="K66"/>
      <c r="L66"/>
    </row>
    <row r="67" spans="1:12">
      <c r="A67" s="382" t="s">
        <v>1381</v>
      </c>
      <c r="B67" s="382" t="s">
        <v>4020</v>
      </c>
      <c r="C67" s="382" t="s">
        <v>2751</v>
      </c>
      <c r="D67" s="382">
        <v>0</v>
      </c>
      <c r="E67" s="403" t="s">
        <v>216</v>
      </c>
      <c r="H67"/>
      <c r="I67"/>
      <c r="J67"/>
      <c r="K67"/>
      <c r="L67"/>
    </row>
    <row r="68" spans="1:12">
      <c r="A68" s="382" t="s">
        <v>1381</v>
      </c>
      <c r="B68" s="382" t="s">
        <v>4020</v>
      </c>
      <c r="C68" s="382" t="s">
        <v>2752</v>
      </c>
      <c r="D68" s="382">
        <v>0</v>
      </c>
      <c r="E68" s="403" t="s">
        <v>216</v>
      </c>
      <c r="H68"/>
      <c r="I68"/>
      <c r="J68"/>
      <c r="K68"/>
      <c r="L68"/>
    </row>
    <row r="69" spans="1:12">
      <c r="A69" s="382" t="s">
        <v>2753</v>
      </c>
      <c r="B69" s="382" t="s">
        <v>4020</v>
      </c>
      <c r="C69" s="382" t="s">
        <v>2744</v>
      </c>
      <c r="D69" s="382">
        <v>4616</v>
      </c>
      <c r="E69" s="403" t="s">
        <v>216</v>
      </c>
      <c r="H69"/>
      <c r="I69"/>
      <c r="J69"/>
      <c r="K69"/>
      <c r="L69"/>
    </row>
    <row r="70" spans="1:12">
      <c r="A70" s="382" t="s">
        <v>2753</v>
      </c>
      <c r="B70" s="382" t="s">
        <v>4020</v>
      </c>
      <c r="C70" s="382" t="s">
        <v>2747</v>
      </c>
      <c r="D70" s="382">
        <v>756</v>
      </c>
      <c r="E70" s="403" t="s">
        <v>216</v>
      </c>
      <c r="H70"/>
      <c r="I70"/>
      <c r="J70"/>
      <c r="K70"/>
      <c r="L70"/>
    </row>
    <row r="71" spans="1:12">
      <c r="A71" s="382" t="s">
        <v>2753</v>
      </c>
      <c r="B71" s="382" t="s">
        <v>4020</v>
      </c>
      <c r="C71" s="382" t="s">
        <v>2748</v>
      </c>
      <c r="D71" s="382">
        <v>250</v>
      </c>
      <c r="E71" s="403" t="s">
        <v>216</v>
      </c>
      <c r="H71"/>
      <c r="I71"/>
      <c r="J71"/>
      <c r="K71"/>
      <c r="L71"/>
    </row>
    <row r="72" spans="1:12">
      <c r="A72" s="382" t="s">
        <v>2753</v>
      </c>
      <c r="B72" s="382" t="s">
        <v>4020</v>
      </c>
      <c r="C72" s="382" t="s">
        <v>2749</v>
      </c>
      <c r="D72" s="382">
        <v>176</v>
      </c>
      <c r="E72" s="403" t="s">
        <v>216</v>
      </c>
      <c r="H72"/>
      <c r="I72"/>
      <c r="J72"/>
      <c r="K72"/>
      <c r="L72"/>
    </row>
    <row r="73" spans="1:12">
      <c r="A73" s="382" t="s">
        <v>2753</v>
      </c>
      <c r="B73" s="382" t="s">
        <v>4020</v>
      </c>
      <c r="C73" s="382" t="s">
        <v>2750</v>
      </c>
      <c r="D73" s="382">
        <v>89</v>
      </c>
      <c r="E73" s="403" t="s">
        <v>216</v>
      </c>
      <c r="H73"/>
      <c r="I73"/>
      <c r="J73"/>
      <c r="K73"/>
      <c r="L73"/>
    </row>
    <row r="74" spans="1:12">
      <c r="A74" s="382" t="s">
        <v>2753</v>
      </c>
      <c r="B74" s="382" t="s">
        <v>4020</v>
      </c>
      <c r="C74" s="382" t="s">
        <v>2751</v>
      </c>
      <c r="D74" s="382">
        <v>10</v>
      </c>
      <c r="E74" s="403" t="s">
        <v>216</v>
      </c>
      <c r="H74"/>
      <c r="I74"/>
      <c r="J74"/>
      <c r="K74"/>
      <c r="L74"/>
    </row>
    <row r="75" spans="1:12">
      <c r="A75" s="382" t="s">
        <v>2753</v>
      </c>
      <c r="B75" s="382" t="s">
        <v>4020</v>
      </c>
      <c r="C75" s="382" t="s">
        <v>2752</v>
      </c>
      <c r="D75" s="382">
        <v>1</v>
      </c>
      <c r="E75" s="403" t="s">
        <v>216</v>
      </c>
      <c r="H75"/>
      <c r="I75"/>
      <c r="J75"/>
      <c r="K75"/>
      <c r="L75"/>
    </row>
    <row r="76" spans="1:12">
      <c r="A76" s="382" t="s">
        <v>1381</v>
      </c>
      <c r="B76" s="382" t="s">
        <v>4021</v>
      </c>
      <c r="C76" s="382" t="s">
        <v>2754</v>
      </c>
      <c r="D76" s="382">
        <v>2</v>
      </c>
      <c r="E76" s="403" t="s">
        <v>216</v>
      </c>
      <c r="H76"/>
      <c r="I76"/>
      <c r="J76"/>
      <c r="K76"/>
      <c r="L76"/>
    </row>
    <row r="77" spans="1:12">
      <c r="A77" s="382" t="s">
        <v>1381</v>
      </c>
      <c r="B77" s="382" t="s">
        <v>4021</v>
      </c>
      <c r="C77" s="382" t="s">
        <v>2755</v>
      </c>
      <c r="D77" s="382">
        <v>928</v>
      </c>
      <c r="E77" s="403" t="s">
        <v>216</v>
      </c>
      <c r="H77"/>
      <c r="I77"/>
      <c r="J77"/>
      <c r="K77"/>
      <c r="L77"/>
    </row>
    <row r="78" spans="1:12">
      <c r="A78" s="382" t="s">
        <v>1381</v>
      </c>
      <c r="B78" s="382" t="s">
        <v>4021</v>
      </c>
      <c r="C78" s="382" t="s">
        <v>2756</v>
      </c>
      <c r="D78" s="382">
        <v>367</v>
      </c>
      <c r="E78" s="403" t="s">
        <v>216</v>
      </c>
      <c r="H78"/>
      <c r="I78"/>
      <c r="J78"/>
      <c r="K78"/>
      <c r="L78"/>
    </row>
    <row r="79" spans="1:12">
      <c r="A79" s="382" t="s">
        <v>1381</v>
      </c>
      <c r="B79" s="382" t="s">
        <v>4021</v>
      </c>
      <c r="C79" s="382" t="s">
        <v>2757</v>
      </c>
      <c r="D79" s="382">
        <v>82</v>
      </c>
      <c r="E79" s="403" t="s">
        <v>216</v>
      </c>
      <c r="H79"/>
      <c r="I79"/>
      <c r="J79"/>
      <c r="K79"/>
      <c r="L79"/>
    </row>
    <row r="80" spans="1:12">
      <c r="A80" s="382" t="s">
        <v>1381</v>
      </c>
      <c r="B80" s="382" t="s">
        <v>4021</v>
      </c>
      <c r="C80" s="382" t="s">
        <v>2758</v>
      </c>
      <c r="D80" s="382">
        <v>23</v>
      </c>
      <c r="E80" s="403" t="s">
        <v>216</v>
      </c>
      <c r="H80"/>
      <c r="I80"/>
      <c r="J80"/>
      <c r="K80"/>
      <c r="L80"/>
    </row>
    <row r="81" spans="1:12">
      <c r="A81" s="382" t="s">
        <v>1381</v>
      </c>
      <c r="B81" s="382" t="s">
        <v>4021</v>
      </c>
      <c r="C81" s="382" t="s">
        <v>2759</v>
      </c>
      <c r="D81" s="382">
        <v>12</v>
      </c>
      <c r="E81" s="403" t="s">
        <v>216</v>
      </c>
      <c r="H81"/>
      <c r="I81"/>
      <c r="J81"/>
      <c r="K81"/>
      <c r="L81"/>
    </row>
    <row r="82" spans="1:12">
      <c r="A82" s="382" t="s">
        <v>1381</v>
      </c>
      <c r="B82" s="382" t="s">
        <v>4021</v>
      </c>
      <c r="C82" s="382" t="s">
        <v>2760</v>
      </c>
      <c r="D82" s="382">
        <v>3</v>
      </c>
      <c r="E82" s="403" t="s">
        <v>216</v>
      </c>
      <c r="H82"/>
      <c r="I82"/>
      <c r="J82"/>
      <c r="K82"/>
      <c r="L82"/>
    </row>
    <row r="83" spans="1:12">
      <c r="A83" s="382" t="s">
        <v>1381</v>
      </c>
      <c r="B83" s="382" t="s">
        <v>4021</v>
      </c>
      <c r="C83" s="382" t="s">
        <v>2761</v>
      </c>
      <c r="D83" s="382">
        <v>0</v>
      </c>
      <c r="E83" s="403" t="s">
        <v>216</v>
      </c>
      <c r="H83"/>
      <c r="I83"/>
      <c r="J83"/>
      <c r="K83"/>
      <c r="L83"/>
    </row>
    <row r="84" spans="1:12">
      <c r="A84" s="382" t="s">
        <v>2753</v>
      </c>
      <c r="B84" s="382" t="s">
        <v>4021</v>
      </c>
      <c r="C84" s="382" t="s">
        <v>2754</v>
      </c>
      <c r="D84" s="382">
        <v>1</v>
      </c>
      <c r="E84" s="403" t="s">
        <v>216</v>
      </c>
      <c r="H84"/>
      <c r="I84"/>
      <c r="J84"/>
      <c r="K84"/>
      <c r="L84"/>
    </row>
    <row r="85" spans="1:12">
      <c r="A85" s="382" t="s">
        <v>2753</v>
      </c>
      <c r="B85" s="382" t="s">
        <v>4021</v>
      </c>
      <c r="C85" s="382" t="s">
        <v>2755</v>
      </c>
      <c r="D85" s="382">
        <v>355</v>
      </c>
      <c r="E85" s="403" t="s">
        <v>216</v>
      </c>
      <c r="H85"/>
      <c r="I85"/>
      <c r="J85"/>
      <c r="K85"/>
      <c r="L85"/>
    </row>
    <row r="86" spans="1:12">
      <c r="A86" s="382" t="s">
        <v>2753</v>
      </c>
      <c r="B86" s="382" t="s">
        <v>4021</v>
      </c>
      <c r="C86" s="382" t="s">
        <v>2756</v>
      </c>
      <c r="D86" s="382">
        <v>108</v>
      </c>
      <c r="E86" s="403" t="s">
        <v>216</v>
      </c>
      <c r="H86"/>
      <c r="I86"/>
      <c r="J86"/>
      <c r="K86"/>
      <c r="L86"/>
    </row>
    <row r="87" spans="1:12">
      <c r="A87" s="382" t="s">
        <v>2753</v>
      </c>
      <c r="B87" s="382" t="s">
        <v>4021</v>
      </c>
      <c r="C87" s="382" t="s">
        <v>2757</v>
      </c>
      <c r="D87" s="382">
        <v>78</v>
      </c>
      <c r="E87" s="403" t="s">
        <v>216</v>
      </c>
      <c r="H87"/>
      <c r="I87"/>
      <c r="J87"/>
      <c r="K87"/>
      <c r="L87"/>
    </row>
    <row r="88" spans="1:12">
      <c r="A88" s="382" t="s">
        <v>2753</v>
      </c>
      <c r="B88" s="382" t="s">
        <v>4021</v>
      </c>
      <c r="C88" s="382" t="s">
        <v>2758</v>
      </c>
      <c r="D88" s="382">
        <v>32</v>
      </c>
      <c r="E88" s="403" t="s">
        <v>216</v>
      </c>
    </row>
    <row r="89" spans="1:12">
      <c r="A89" s="382" t="s">
        <v>2753</v>
      </c>
      <c r="B89" s="382" t="s">
        <v>4021</v>
      </c>
      <c r="C89" s="382" t="s">
        <v>2759</v>
      </c>
      <c r="D89" s="382">
        <v>8</v>
      </c>
      <c r="E89" s="403" t="s">
        <v>216</v>
      </c>
    </row>
    <row r="90" spans="1:12">
      <c r="A90" s="382" t="s">
        <v>2753</v>
      </c>
      <c r="B90" s="382" t="s">
        <v>4021</v>
      </c>
      <c r="C90" s="382" t="s">
        <v>2760</v>
      </c>
      <c r="D90" s="382">
        <v>1</v>
      </c>
      <c r="E90" s="403" t="s">
        <v>216</v>
      </c>
    </row>
    <row r="91" spans="1:12">
      <c r="A91" s="382" t="s">
        <v>2753</v>
      </c>
      <c r="B91" s="382" t="s">
        <v>4021</v>
      </c>
      <c r="C91" s="382" t="s">
        <v>2761</v>
      </c>
      <c r="D91" s="382">
        <v>0</v>
      </c>
      <c r="E91" s="403" t="s">
        <v>216</v>
      </c>
    </row>
    <row r="92" spans="1:12">
      <c r="A92" s="382" t="s">
        <v>1381</v>
      </c>
      <c r="B92" s="382" t="s">
        <v>4020</v>
      </c>
      <c r="C92" s="382" t="s">
        <v>2744</v>
      </c>
      <c r="D92" s="382">
        <v>2878</v>
      </c>
      <c r="E92" s="403" t="s">
        <v>226</v>
      </c>
    </row>
    <row r="93" spans="1:12">
      <c r="A93" s="382" t="s">
        <v>1381</v>
      </c>
      <c r="B93" s="382" t="s">
        <v>4020</v>
      </c>
      <c r="C93" s="382" t="s">
        <v>2747</v>
      </c>
      <c r="D93" s="382">
        <v>564</v>
      </c>
      <c r="E93" s="403" t="s">
        <v>226</v>
      </c>
    </row>
    <row r="94" spans="1:12">
      <c r="A94" s="382" t="s">
        <v>1381</v>
      </c>
      <c r="B94" s="382" t="s">
        <v>4020</v>
      </c>
      <c r="C94" s="382" t="s">
        <v>2748</v>
      </c>
      <c r="D94" s="382">
        <v>51</v>
      </c>
      <c r="E94" s="403" t="s">
        <v>226</v>
      </c>
    </row>
    <row r="95" spans="1:12">
      <c r="A95" s="382" t="s">
        <v>1381</v>
      </c>
      <c r="B95" s="382" t="s">
        <v>4020</v>
      </c>
      <c r="C95" s="382" t="s">
        <v>2749</v>
      </c>
      <c r="D95" s="382">
        <v>91</v>
      </c>
      <c r="E95" s="403" t="s">
        <v>226</v>
      </c>
    </row>
    <row r="96" spans="1:12">
      <c r="A96" s="382" t="s">
        <v>1381</v>
      </c>
      <c r="B96" s="382" t="s">
        <v>4020</v>
      </c>
      <c r="C96" s="382" t="s">
        <v>2750</v>
      </c>
      <c r="D96" s="382">
        <v>14</v>
      </c>
      <c r="E96" s="403" t="s">
        <v>226</v>
      </c>
    </row>
    <row r="97" spans="1:5">
      <c r="A97" s="382" t="s">
        <v>1381</v>
      </c>
      <c r="B97" s="382" t="s">
        <v>4020</v>
      </c>
      <c r="C97" s="382" t="s">
        <v>2751</v>
      </c>
      <c r="D97" s="382">
        <v>0</v>
      </c>
      <c r="E97" s="403" t="s">
        <v>226</v>
      </c>
    </row>
    <row r="98" spans="1:5">
      <c r="A98" s="382" t="s">
        <v>1381</v>
      </c>
      <c r="B98" s="382" t="s">
        <v>4020</v>
      </c>
      <c r="C98" s="382" t="s">
        <v>2752</v>
      </c>
      <c r="D98" s="382">
        <v>0</v>
      </c>
      <c r="E98" s="403" t="s">
        <v>226</v>
      </c>
    </row>
    <row r="99" spans="1:5">
      <c r="A99" s="382" t="s">
        <v>2753</v>
      </c>
      <c r="B99" s="382" t="s">
        <v>4020</v>
      </c>
      <c r="C99" s="382" t="s">
        <v>2744</v>
      </c>
      <c r="D99" s="382">
        <v>4012</v>
      </c>
      <c r="E99" s="403" t="s">
        <v>226</v>
      </c>
    </row>
    <row r="100" spans="1:5">
      <c r="A100" s="382" t="s">
        <v>2753</v>
      </c>
      <c r="B100" s="382" t="s">
        <v>4020</v>
      </c>
      <c r="C100" s="382" t="s">
        <v>2747</v>
      </c>
      <c r="D100" s="382">
        <v>673</v>
      </c>
      <c r="E100" s="403" t="s">
        <v>226</v>
      </c>
    </row>
    <row r="101" spans="1:5">
      <c r="A101" s="382" t="s">
        <v>2753</v>
      </c>
      <c r="B101" s="382" t="s">
        <v>4020</v>
      </c>
      <c r="C101" s="382" t="s">
        <v>2748</v>
      </c>
      <c r="D101" s="382">
        <v>225</v>
      </c>
      <c r="E101" s="403" t="s">
        <v>226</v>
      </c>
    </row>
    <row r="102" spans="1:5">
      <c r="A102" s="382" t="s">
        <v>2753</v>
      </c>
      <c r="B102" s="382" t="s">
        <v>4020</v>
      </c>
      <c r="C102" s="382" t="s">
        <v>2749</v>
      </c>
      <c r="D102" s="382">
        <v>164</v>
      </c>
      <c r="E102" s="403" t="s">
        <v>226</v>
      </c>
    </row>
    <row r="103" spans="1:5">
      <c r="A103" s="382" t="s">
        <v>2753</v>
      </c>
      <c r="B103" s="382" t="s">
        <v>4020</v>
      </c>
      <c r="C103" s="382" t="s">
        <v>2750</v>
      </c>
      <c r="D103" s="382">
        <v>83</v>
      </c>
      <c r="E103" s="403" t="s">
        <v>226</v>
      </c>
    </row>
    <row r="104" spans="1:5">
      <c r="A104" s="382" t="s">
        <v>2753</v>
      </c>
      <c r="B104" s="382" t="s">
        <v>4020</v>
      </c>
      <c r="C104" s="382" t="s">
        <v>2751</v>
      </c>
      <c r="D104" s="382">
        <v>5</v>
      </c>
      <c r="E104" s="403" t="s">
        <v>226</v>
      </c>
    </row>
    <row r="105" spans="1:5">
      <c r="A105" s="382" t="s">
        <v>2753</v>
      </c>
      <c r="B105" s="382" t="s">
        <v>4020</v>
      </c>
      <c r="C105" s="382" t="s">
        <v>2752</v>
      </c>
      <c r="D105" s="382">
        <v>1</v>
      </c>
      <c r="E105" s="403" t="s">
        <v>226</v>
      </c>
    </row>
    <row r="106" spans="1:5">
      <c r="A106" s="382" t="s">
        <v>1381</v>
      </c>
      <c r="B106" s="382" t="s">
        <v>4021</v>
      </c>
      <c r="C106" s="382" t="s">
        <v>2754</v>
      </c>
      <c r="D106" s="382">
        <v>2</v>
      </c>
      <c r="E106" s="403" t="s">
        <v>226</v>
      </c>
    </row>
    <row r="107" spans="1:5">
      <c r="A107" s="382" t="s">
        <v>1381</v>
      </c>
      <c r="B107" s="382" t="s">
        <v>4021</v>
      </c>
      <c r="C107" s="382" t="s">
        <v>2755</v>
      </c>
      <c r="D107" s="382">
        <v>928</v>
      </c>
      <c r="E107" s="403" t="s">
        <v>226</v>
      </c>
    </row>
    <row r="108" spans="1:5">
      <c r="A108" s="382" t="s">
        <v>1381</v>
      </c>
      <c r="B108" s="382" t="s">
        <v>4021</v>
      </c>
      <c r="C108" s="382" t="s">
        <v>2756</v>
      </c>
      <c r="D108" s="382">
        <v>367</v>
      </c>
      <c r="E108" s="403" t="s">
        <v>226</v>
      </c>
    </row>
    <row r="109" spans="1:5">
      <c r="A109" s="382" t="s">
        <v>1381</v>
      </c>
      <c r="B109" s="382" t="s">
        <v>4021</v>
      </c>
      <c r="C109" s="382" t="s">
        <v>2757</v>
      </c>
      <c r="D109" s="382">
        <v>82</v>
      </c>
      <c r="E109" s="403" t="s">
        <v>226</v>
      </c>
    </row>
    <row r="110" spans="1:5">
      <c r="A110" s="382" t="s">
        <v>1381</v>
      </c>
      <c r="B110" s="382" t="s">
        <v>4021</v>
      </c>
      <c r="C110" s="382" t="s">
        <v>2758</v>
      </c>
      <c r="D110" s="382">
        <v>23</v>
      </c>
      <c r="E110" s="403" t="s">
        <v>226</v>
      </c>
    </row>
    <row r="111" spans="1:5">
      <c r="A111" s="382" t="s">
        <v>1381</v>
      </c>
      <c r="B111" s="382" t="s">
        <v>4021</v>
      </c>
      <c r="C111" s="382" t="s">
        <v>2759</v>
      </c>
      <c r="D111" s="382">
        <v>12</v>
      </c>
      <c r="E111" s="403" t="s">
        <v>226</v>
      </c>
    </row>
    <row r="112" spans="1:5">
      <c r="A112" s="382" t="s">
        <v>1381</v>
      </c>
      <c r="B112" s="382" t="s">
        <v>4021</v>
      </c>
      <c r="C112" s="382" t="s">
        <v>2760</v>
      </c>
      <c r="D112" s="382">
        <v>3</v>
      </c>
      <c r="E112" s="403" t="s">
        <v>226</v>
      </c>
    </row>
    <row r="113" spans="1:5">
      <c r="A113" s="382" t="s">
        <v>1381</v>
      </c>
      <c r="B113" s="382" t="s">
        <v>4021</v>
      </c>
      <c r="C113" s="382" t="s">
        <v>2761</v>
      </c>
      <c r="D113" s="382">
        <v>0</v>
      </c>
      <c r="E113" s="403" t="s">
        <v>226</v>
      </c>
    </row>
    <row r="114" spans="1:5">
      <c r="A114" s="382" t="s">
        <v>2753</v>
      </c>
      <c r="B114" s="382" t="s">
        <v>4021</v>
      </c>
      <c r="C114" s="382" t="s">
        <v>2754</v>
      </c>
      <c r="D114" s="382">
        <v>1</v>
      </c>
      <c r="E114" s="403" t="s">
        <v>226</v>
      </c>
    </row>
    <row r="115" spans="1:5">
      <c r="A115" s="382" t="s">
        <v>2753</v>
      </c>
      <c r="B115" s="382" t="s">
        <v>4021</v>
      </c>
      <c r="C115" s="382" t="s">
        <v>2755</v>
      </c>
      <c r="D115" s="382">
        <v>355</v>
      </c>
      <c r="E115" s="403" t="s">
        <v>226</v>
      </c>
    </row>
    <row r="116" spans="1:5">
      <c r="A116" s="382" t="s">
        <v>2753</v>
      </c>
      <c r="B116" s="382" t="s">
        <v>4021</v>
      </c>
      <c r="C116" s="382" t="s">
        <v>2756</v>
      </c>
      <c r="D116" s="382">
        <v>108</v>
      </c>
      <c r="E116" s="403" t="s">
        <v>226</v>
      </c>
    </row>
    <row r="117" spans="1:5">
      <c r="A117" s="382" t="s">
        <v>2753</v>
      </c>
      <c r="B117" s="382" t="s">
        <v>4021</v>
      </c>
      <c r="C117" s="382" t="s">
        <v>2757</v>
      </c>
      <c r="D117" s="382">
        <v>78</v>
      </c>
      <c r="E117" s="403" t="s">
        <v>226</v>
      </c>
    </row>
    <row r="118" spans="1:5">
      <c r="A118" s="382" t="s">
        <v>2753</v>
      </c>
      <c r="B118" s="382" t="s">
        <v>4021</v>
      </c>
      <c r="C118" s="382" t="s">
        <v>2758</v>
      </c>
      <c r="D118" s="382">
        <v>28</v>
      </c>
      <c r="E118" s="403" t="s">
        <v>226</v>
      </c>
    </row>
    <row r="119" spans="1:5">
      <c r="A119" s="382" t="s">
        <v>2753</v>
      </c>
      <c r="B119" s="382" t="s">
        <v>4021</v>
      </c>
      <c r="C119" s="382" t="s">
        <v>2759</v>
      </c>
      <c r="D119" s="382">
        <v>5</v>
      </c>
      <c r="E119" s="403" t="s">
        <v>226</v>
      </c>
    </row>
    <row r="120" spans="1:5">
      <c r="A120" s="382" t="s">
        <v>2753</v>
      </c>
      <c r="B120" s="382" t="s">
        <v>4021</v>
      </c>
      <c r="C120" s="382" t="s">
        <v>2760</v>
      </c>
      <c r="D120" s="382">
        <v>1</v>
      </c>
      <c r="E120" s="403" t="s">
        <v>226</v>
      </c>
    </row>
    <row r="121" spans="1:5">
      <c r="A121" s="382" t="s">
        <v>2753</v>
      </c>
      <c r="B121" s="382" t="s">
        <v>4021</v>
      </c>
      <c r="C121" s="382" t="s">
        <v>2761</v>
      </c>
      <c r="D121" s="382">
        <v>0</v>
      </c>
      <c r="E121" s="403" t="s">
        <v>226</v>
      </c>
    </row>
    <row r="122" spans="1:5">
      <c r="A122" s="382" t="s">
        <v>1381</v>
      </c>
      <c r="B122" s="382" t="s">
        <v>4020</v>
      </c>
      <c r="C122" s="382" t="s">
        <v>2744</v>
      </c>
      <c r="D122" s="382">
        <v>2651</v>
      </c>
      <c r="E122" s="403" t="s">
        <v>2502</v>
      </c>
    </row>
    <row r="123" spans="1:5">
      <c r="A123" s="382" t="s">
        <v>1381</v>
      </c>
      <c r="B123" s="382" t="s">
        <v>4020</v>
      </c>
      <c r="C123" s="382" t="s">
        <v>2747</v>
      </c>
      <c r="D123" s="382">
        <v>472</v>
      </c>
      <c r="E123" s="403" t="s">
        <v>2502</v>
      </c>
    </row>
    <row r="124" spans="1:5">
      <c r="A124" s="382" t="s">
        <v>1381</v>
      </c>
      <c r="B124" s="382" t="s">
        <v>4020</v>
      </c>
      <c r="C124" s="382" t="s">
        <v>2748</v>
      </c>
      <c r="D124" s="382">
        <v>23</v>
      </c>
      <c r="E124" s="403" t="s">
        <v>2502</v>
      </c>
    </row>
    <row r="125" spans="1:5">
      <c r="A125" s="382" t="s">
        <v>1381</v>
      </c>
      <c r="B125" s="382" t="s">
        <v>4020</v>
      </c>
      <c r="C125" s="382" t="s">
        <v>2749</v>
      </c>
      <c r="D125" s="382">
        <v>84</v>
      </c>
      <c r="E125" s="403" t="s">
        <v>2502</v>
      </c>
    </row>
    <row r="126" spans="1:5">
      <c r="A126" s="382" t="s">
        <v>1381</v>
      </c>
      <c r="B126" s="382" t="s">
        <v>4020</v>
      </c>
      <c r="C126" s="382" t="s">
        <v>2750</v>
      </c>
      <c r="D126" s="382">
        <v>12</v>
      </c>
      <c r="E126" s="403" t="s">
        <v>2502</v>
      </c>
    </row>
    <row r="127" spans="1:5">
      <c r="A127" s="382" t="s">
        <v>1381</v>
      </c>
      <c r="B127" s="382" t="s">
        <v>4020</v>
      </c>
      <c r="C127" s="382" t="s">
        <v>2751</v>
      </c>
      <c r="D127" s="382">
        <v>0</v>
      </c>
      <c r="E127" s="403" t="s">
        <v>2502</v>
      </c>
    </row>
    <row r="128" spans="1:5">
      <c r="A128" s="382" t="s">
        <v>1381</v>
      </c>
      <c r="B128" s="382" t="s">
        <v>4020</v>
      </c>
      <c r="C128" s="382" t="s">
        <v>2752</v>
      </c>
      <c r="D128" s="382">
        <v>0</v>
      </c>
      <c r="E128" s="403" t="s">
        <v>2502</v>
      </c>
    </row>
    <row r="129" spans="1:5">
      <c r="A129" s="382" t="s">
        <v>2753</v>
      </c>
      <c r="B129" s="382" t="s">
        <v>4020</v>
      </c>
      <c r="C129" s="382" t="s">
        <v>2744</v>
      </c>
      <c r="D129" s="382">
        <v>3417</v>
      </c>
      <c r="E129" s="403" t="s">
        <v>2502</v>
      </c>
    </row>
    <row r="130" spans="1:5">
      <c r="A130" s="382" t="s">
        <v>2753</v>
      </c>
      <c r="B130" s="382" t="s">
        <v>4020</v>
      </c>
      <c r="C130" s="382" t="s">
        <v>2747</v>
      </c>
      <c r="D130" s="382">
        <v>567</v>
      </c>
      <c r="E130" s="403" t="s">
        <v>2502</v>
      </c>
    </row>
    <row r="131" spans="1:5">
      <c r="A131" s="382" t="s">
        <v>2753</v>
      </c>
      <c r="B131" s="382" t="s">
        <v>4020</v>
      </c>
      <c r="C131" s="382" t="s">
        <v>2748</v>
      </c>
      <c r="D131" s="382">
        <v>205</v>
      </c>
      <c r="E131" s="403" t="s">
        <v>2502</v>
      </c>
    </row>
    <row r="132" spans="1:5">
      <c r="A132" s="382" t="s">
        <v>2753</v>
      </c>
      <c r="B132" s="382" t="s">
        <v>4020</v>
      </c>
      <c r="C132" s="382" t="s">
        <v>2749</v>
      </c>
      <c r="D132" s="382">
        <v>150</v>
      </c>
      <c r="E132" s="403" t="s">
        <v>2502</v>
      </c>
    </row>
    <row r="133" spans="1:5">
      <c r="A133" s="382" t="s">
        <v>2753</v>
      </c>
      <c r="B133" s="382" t="s">
        <v>4020</v>
      </c>
      <c r="C133" s="382" t="s">
        <v>2750</v>
      </c>
      <c r="D133" s="382">
        <v>57</v>
      </c>
      <c r="E133" s="403" t="s">
        <v>2502</v>
      </c>
    </row>
    <row r="134" spans="1:5">
      <c r="A134" s="382" t="s">
        <v>2753</v>
      </c>
      <c r="B134" s="382" t="s">
        <v>4020</v>
      </c>
      <c r="C134" s="382" t="s">
        <v>2751</v>
      </c>
      <c r="D134" s="382">
        <v>4</v>
      </c>
      <c r="E134" s="403" t="s">
        <v>2502</v>
      </c>
    </row>
    <row r="135" spans="1:5">
      <c r="A135" s="382" t="s">
        <v>2753</v>
      </c>
      <c r="B135" s="382" t="s">
        <v>4020</v>
      </c>
      <c r="C135" s="382" t="s">
        <v>2752</v>
      </c>
      <c r="D135" s="382">
        <v>1</v>
      </c>
      <c r="E135" s="403" t="s">
        <v>2502</v>
      </c>
    </row>
    <row r="136" spans="1:5">
      <c r="A136" s="382" t="s">
        <v>1381</v>
      </c>
      <c r="B136" s="382" t="s">
        <v>4021</v>
      </c>
      <c r="C136" s="382" t="s">
        <v>2754</v>
      </c>
      <c r="D136" s="382">
        <v>2</v>
      </c>
      <c r="E136" s="403" t="s">
        <v>2502</v>
      </c>
    </row>
    <row r="137" spans="1:5">
      <c r="A137" s="382" t="s">
        <v>1381</v>
      </c>
      <c r="B137" s="382" t="s">
        <v>4021</v>
      </c>
      <c r="C137" s="382" t="s">
        <v>2755</v>
      </c>
      <c r="D137" s="382">
        <v>918</v>
      </c>
      <c r="E137" s="403" t="s">
        <v>2502</v>
      </c>
    </row>
    <row r="138" spans="1:5">
      <c r="A138" s="382" t="s">
        <v>1381</v>
      </c>
      <c r="B138" s="382" t="s">
        <v>4021</v>
      </c>
      <c r="C138" s="382" t="s">
        <v>2756</v>
      </c>
      <c r="D138" s="382">
        <v>365</v>
      </c>
      <c r="E138" s="403" t="s">
        <v>2502</v>
      </c>
    </row>
    <row r="139" spans="1:5">
      <c r="A139" s="382" t="s">
        <v>1381</v>
      </c>
      <c r="B139" s="382" t="s">
        <v>4021</v>
      </c>
      <c r="C139" s="382" t="s">
        <v>2757</v>
      </c>
      <c r="D139" s="382">
        <v>82</v>
      </c>
      <c r="E139" s="403" t="s">
        <v>2502</v>
      </c>
    </row>
    <row r="140" spans="1:5">
      <c r="A140" s="382" t="s">
        <v>1381</v>
      </c>
      <c r="B140" s="382" t="s">
        <v>4021</v>
      </c>
      <c r="C140" s="382" t="s">
        <v>2758</v>
      </c>
      <c r="D140" s="382">
        <v>23</v>
      </c>
      <c r="E140" s="403" t="s">
        <v>2502</v>
      </c>
    </row>
    <row r="141" spans="1:5">
      <c r="A141" s="382" t="s">
        <v>1381</v>
      </c>
      <c r="B141" s="382" t="s">
        <v>4021</v>
      </c>
      <c r="C141" s="382" t="s">
        <v>2759</v>
      </c>
      <c r="D141" s="382">
        <v>12</v>
      </c>
      <c r="E141" s="403" t="s">
        <v>2502</v>
      </c>
    </row>
    <row r="142" spans="1:5">
      <c r="A142" s="382" t="s">
        <v>1381</v>
      </c>
      <c r="B142" s="382" t="s">
        <v>4021</v>
      </c>
      <c r="C142" s="382" t="s">
        <v>2760</v>
      </c>
      <c r="D142" s="382">
        <v>3</v>
      </c>
      <c r="E142" s="403" t="s">
        <v>2502</v>
      </c>
    </row>
    <row r="143" spans="1:5">
      <c r="A143" s="382" t="s">
        <v>1381</v>
      </c>
      <c r="B143" s="382" t="s">
        <v>4021</v>
      </c>
      <c r="C143" s="382" t="s">
        <v>2761</v>
      </c>
      <c r="D143" s="382">
        <v>0</v>
      </c>
      <c r="E143" s="403" t="s">
        <v>2502</v>
      </c>
    </row>
    <row r="144" spans="1:5">
      <c r="A144" s="382" t="s">
        <v>2753</v>
      </c>
      <c r="B144" s="382" t="s">
        <v>4021</v>
      </c>
      <c r="C144" s="382" t="s">
        <v>2754</v>
      </c>
      <c r="D144" s="382">
        <v>1</v>
      </c>
      <c r="E144" s="403" t="s">
        <v>2502</v>
      </c>
    </row>
    <row r="145" spans="1:5">
      <c r="A145" s="382" t="s">
        <v>2753</v>
      </c>
      <c r="B145" s="382" t="s">
        <v>4021</v>
      </c>
      <c r="C145" s="382" t="s">
        <v>2755</v>
      </c>
      <c r="D145" s="382">
        <v>155</v>
      </c>
      <c r="E145" s="403" t="s">
        <v>2502</v>
      </c>
    </row>
    <row r="146" spans="1:5">
      <c r="A146" s="382" t="s">
        <v>2753</v>
      </c>
      <c r="B146" s="382" t="s">
        <v>4021</v>
      </c>
      <c r="C146" s="382" t="s">
        <v>2756</v>
      </c>
      <c r="D146" s="382">
        <v>78</v>
      </c>
      <c r="E146" s="403" t="s">
        <v>2502</v>
      </c>
    </row>
    <row r="147" spans="1:5">
      <c r="A147" s="382" t="s">
        <v>2753</v>
      </c>
      <c r="B147" s="382" t="s">
        <v>4021</v>
      </c>
      <c r="C147" s="382" t="s">
        <v>2757</v>
      </c>
      <c r="D147" s="382">
        <v>66</v>
      </c>
      <c r="E147" s="403" t="s">
        <v>2502</v>
      </c>
    </row>
    <row r="148" spans="1:5">
      <c r="A148" s="382" t="s">
        <v>2753</v>
      </c>
      <c r="B148" s="382" t="s">
        <v>4021</v>
      </c>
      <c r="C148" s="382" t="s">
        <v>2758</v>
      </c>
      <c r="D148" s="382">
        <v>25</v>
      </c>
      <c r="E148" s="403" t="s">
        <v>2502</v>
      </c>
    </row>
    <row r="149" spans="1:5">
      <c r="A149" s="382" t="s">
        <v>2753</v>
      </c>
      <c r="B149" s="382" t="s">
        <v>4021</v>
      </c>
      <c r="C149" s="382" t="s">
        <v>2759</v>
      </c>
      <c r="D149" s="382">
        <v>4</v>
      </c>
      <c r="E149" s="403" t="s">
        <v>2502</v>
      </c>
    </row>
    <row r="150" spans="1:5">
      <c r="A150" s="382" t="s">
        <v>2753</v>
      </c>
      <c r="B150" s="382" t="s">
        <v>4021</v>
      </c>
      <c r="C150" s="382" t="s">
        <v>2760</v>
      </c>
      <c r="D150" s="382">
        <v>0</v>
      </c>
      <c r="E150" s="403" t="s">
        <v>2502</v>
      </c>
    </row>
    <row r="151" spans="1:5">
      <c r="A151" s="382" t="s">
        <v>2753</v>
      </c>
      <c r="B151" s="382" t="s">
        <v>4021</v>
      </c>
      <c r="C151" s="382" t="s">
        <v>2761</v>
      </c>
      <c r="D151" s="382">
        <v>0</v>
      </c>
      <c r="E151" s="403" t="s">
        <v>2502</v>
      </c>
    </row>
    <row r="152" spans="1:5">
      <c r="A152" s="382" t="s">
        <v>1381</v>
      </c>
      <c r="B152" s="382" t="s">
        <v>4020</v>
      </c>
      <c r="C152" s="382" t="s">
        <v>2744</v>
      </c>
      <c r="D152" s="382">
        <v>1755</v>
      </c>
      <c r="E152" s="403" t="s">
        <v>3968</v>
      </c>
    </row>
    <row r="153" spans="1:5">
      <c r="A153" s="382" t="s">
        <v>1381</v>
      </c>
      <c r="B153" s="382" t="s">
        <v>4020</v>
      </c>
      <c r="C153" s="382" t="s">
        <v>2747</v>
      </c>
      <c r="D153" s="382">
        <v>252</v>
      </c>
      <c r="E153" s="403" t="s">
        <v>3968</v>
      </c>
    </row>
    <row r="154" spans="1:5">
      <c r="A154" s="382" t="s">
        <v>1381</v>
      </c>
      <c r="B154" s="382" t="s">
        <v>4020</v>
      </c>
      <c r="C154" s="382" t="s">
        <v>2748</v>
      </c>
      <c r="D154" s="382">
        <v>7</v>
      </c>
      <c r="E154" s="403" t="s">
        <v>3968</v>
      </c>
    </row>
    <row r="155" spans="1:5">
      <c r="A155" s="382" t="s">
        <v>1381</v>
      </c>
      <c r="B155" s="382" t="s">
        <v>4020</v>
      </c>
      <c r="C155" s="382" t="s">
        <v>2749</v>
      </c>
      <c r="D155" s="382">
        <v>77</v>
      </c>
      <c r="E155" s="403" t="s">
        <v>3968</v>
      </c>
    </row>
    <row r="156" spans="1:5">
      <c r="A156" s="382" t="s">
        <v>1381</v>
      </c>
      <c r="B156" s="382" t="s">
        <v>4020</v>
      </c>
      <c r="C156" s="382" t="s">
        <v>2750</v>
      </c>
      <c r="D156" s="382">
        <v>12</v>
      </c>
      <c r="E156" s="403" t="s">
        <v>3968</v>
      </c>
    </row>
    <row r="157" spans="1:5">
      <c r="A157" s="382" t="s">
        <v>1381</v>
      </c>
      <c r="B157" s="382" t="s">
        <v>4020</v>
      </c>
      <c r="C157" s="382" t="s">
        <v>2751</v>
      </c>
      <c r="D157" s="382">
        <v>0</v>
      </c>
      <c r="E157" s="403" t="s">
        <v>3968</v>
      </c>
    </row>
    <row r="158" spans="1:5">
      <c r="A158" s="382" t="s">
        <v>1381</v>
      </c>
      <c r="B158" s="382" t="s">
        <v>4020</v>
      </c>
      <c r="C158" s="382" t="s">
        <v>2752</v>
      </c>
      <c r="D158" s="382">
        <v>0</v>
      </c>
      <c r="E158" s="403" t="s">
        <v>3968</v>
      </c>
    </row>
    <row r="159" spans="1:5">
      <c r="A159" s="382" t="s">
        <v>2753</v>
      </c>
      <c r="B159" s="382" t="s">
        <v>4020</v>
      </c>
      <c r="C159" s="382" t="s">
        <v>2744</v>
      </c>
      <c r="D159" s="382">
        <v>3696</v>
      </c>
      <c r="E159" s="403" t="s">
        <v>3968</v>
      </c>
    </row>
    <row r="160" spans="1:5">
      <c r="A160" s="382" t="s">
        <v>2753</v>
      </c>
      <c r="B160" s="382" t="s">
        <v>4020</v>
      </c>
      <c r="C160" s="382" t="s">
        <v>2747</v>
      </c>
      <c r="D160" s="382">
        <v>849</v>
      </c>
      <c r="E160" s="403" t="s">
        <v>3968</v>
      </c>
    </row>
    <row r="161" spans="1:5">
      <c r="A161" s="382" t="s">
        <v>2753</v>
      </c>
      <c r="B161" s="382" t="s">
        <v>4020</v>
      </c>
      <c r="C161" s="382" t="s">
        <v>2748</v>
      </c>
      <c r="D161" s="382">
        <v>220</v>
      </c>
      <c r="E161" s="403" t="s">
        <v>3968</v>
      </c>
    </row>
    <row r="162" spans="1:5">
      <c r="A162" s="382" t="s">
        <v>2753</v>
      </c>
      <c r="B162" s="382" t="s">
        <v>4020</v>
      </c>
      <c r="C162" s="382" t="s">
        <v>2749</v>
      </c>
      <c r="D162" s="382">
        <v>150</v>
      </c>
      <c r="E162" s="403" t="s">
        <v>3968</v>
      </c>
    </row>
    <row r="163" spans="1:5">
      <c r="A163" s="382" t="s">
        <v>2753</v>
      </c>
      <c r="B163" s="382" t="s">
        <v>4020</v>
      </c>
      <c r="C163" s="382" t="s">
        <v>2750</v>
      </c>
      <c r="D163" s="382">
        <v>64</v>
      </c>
      <c r="E163" s="403" t="s">
        <v>3968</v>
      </c>
    </row>
    <row r="164" spans="1:5">
      <c r="A164" s="382" t="s">
        <v>2753</v>
      </c>
      <c r="B164" s="382" t="s">
        <v>4020</v>
      </c>
      <c r="C164" s="382" t="s">
        <v>2751</v>
      </c>
      <c r="D164" s="382">
        <v>7</v>
      </c>
      <c r="E164" s="403" t="s">
        <v>3968</v>
      </c>
    </row>
    <row r="165" spans="1:5">
      <c r="A165" s="382" t="s">
        <v>2753</v>
      </c>
      <c r="B165" s="382" t="s">
        <v>4020</v>
      </c>
      <c r="C165" s="382" t="s">
        <v>2752</v>
      </c>
      <c r="D165" s="382">
        <v>0</v>
      </c>
      <c r="E165" s="403" t="s">
        <v>3968</v>
      </c>
    </row>
    <row r="166" spans="1:5">
      <c r="A166" s="382" t="s">
        <v>1381</v>
      </c>
      <c r="B166" s="382" t="s">
        <v>4021</v>
      </c>
      <c r="C166" s="382" t="s">
        <v>2754</v>
      </c>
      <c r="D166" s="382">
        <v>1</v>
      </c>
      <c r="E166" s="403" t="s">
        <v>3968</v>
      </c>
    </row>
    <row r="167" spans="1:5">
      <c r="A167" s="382" t="s">
        <v>1381</v>
      </c>
      <c r="B167" s="382" t="s">
        <v>4021</v>
      </c>
      <c r="C167" s="382" t="s">
        <v>2755</v>
      </c>
      <c r="D167" s="382">
        <v>657</v>
      </c>
      <c r="E167" s="403" t="s">
        <v>3968</v>
      </c>
    </row>
    <row r="168" spans="1:5">
      <c r="A168" s="382" t="s">
        <v>1381</v>
      </c>
      <c r="B168" s="382" t="s">
        <v>4021</v>
      </c>
      <c r="C168" s="382" t="s">
        <v>2756</v>
      </c>
      <c r="D168" s="382">
        <v>365</v>
      </c>
      <c r="E168" s="403" t="s">
        <v>3968</v>
      </c>
    </row>
    <row r="169" spans="1:5">
      <c r="A169" s="382" t="s">
        <v>1381</v>
      </c>
      <c r="B169" s="382" t="s">
        <v>4021</v>
      </c>
      <c r="C169" s="382" t="s">
        <v>2757</v>
      </c>
      <c r="D169" s="382">
        <v>82</v>
      </c>
      <c r="E169" s="403" t="s">
        <v>3968</v>
      </c>
    </row>
    <row r="170" spans="1:5">
      <c r="A170" s="382" t="s">
        <v>1381</v>
      </c>
      <c r="B170" s="382" t="s">
        <v>4021</v>
      </c>
      <c r="C170" s="382" t="s">
        <v>2758</v>
      </c>
      <c r="D170" s="382">
        <v>23</v>
      </c>
      <c r="E170" s="403" t="s">
        <v>3968</v>
      </c>
    </row>
    <row r="171" spans="1:5">
      <c r="A171" s="382" t="s">
        <v>1381</v>
      </c>
      <c r="B171" s="382" t="s">
        <v>4021</v>
      </c>
      <c r="C171" s="382" t="s">
        <v>2759</v>
      </c>
      <c r="D171" s="382">
        <v>12</v>
      </c>
      <c r="E171" s="403" t="s">
        <v>3968</v>
      </c>
    </row>
    <row r="172" spans="1:5">
      <c r="A172" s="382" t="s">
        <v>1381</v>
      </c>
      <c r="B172" s="382" t="s">
        <v>4021</v>
      </c>
      <c r="C172" s="382" t="s">
        <v>2760</v>
      </c>
      <c r="D172" s="382">
        <v>3</v>
      </c>
      <c r="E172" s="403" t="s">
        <v>3968</v>
      </c>
    </row>
    <row r="173" spans="1:5">
      <c r="A173" s="382" t="s">
        <v>1381</v>
      </c>
      <c r="B173" s="382" t="s">
        <v>4021</v>
      </c>
      <c r="C173" s="382" t="s">
        <v>2761</v>
      </c>
      <c r="D173" s="382">
        <v>0</v>
      </c>
      <c r="E173" s="403" t="s">
        <v>3968</v>
      </c>
    </row>
    <row r="174" spans="1:5">
      <c r="A174" s="382" t="s">
        <v>2753</v>
      </c>
      <c r="B174" s="382" t="s">
        <v>4021</v>
      </c>
      <c r="C174" s="382" t="s">
        <v>2754</v>
      </c>
      <c r="D174" s="382">
        <v>2</v>
      </c>
      <c r="E174" s="403" t="s">
        <v>3968</v>
      </c>
    </row>
    <row r="175" spans="1:5">
      <c r="A175" s="382" t="s">
        <v>2753</v>
      </c>
      <c r="B175" s="382" t="s">
        <v>4021</v>
      </c>
      <c r="C175" s="382" t="s">
        <v>2755</v>
      </c>
      <c r="D175" s="382">
        <v>325</v>
      </c>
      <c r="E175" s="403" t="s">
        <v>3968</v>
      </c>
    </row>
    <row r="176" spans="1:5">
      <c r="A176" s="382" t="s">
        <v>2753</v>
      </c>
      <c r="B176" s="382" t="s">
        <v>4021</v>
      </c>
      <c r="C176" s="382" t="s">
        <v>2756</v>
      </c>
      <c r="D176" s="382">
        <v>88</v>
      </c>
      <c r="E176" s="403" t="s">
        <v>3968</v>
      </c>
    </row>
    <row r="177" spans="1:5">
      <c r="A177" s="382" t="s">
        <v>2753</v>
      </c>
      <c r="B177" s="382" t="s">
        <v>4021</v>
      </c>
      <c r="C177" s="382" t="s">
        <v>2757</v>
      </c>
      <c r="D177" s="382">
        <v>66</v>
      </c>
      <c r="E177" s="403" t="s">
        <v>3968</v>
      </c>
    </row>
    <row r="178" spans="1:5">
      <c r="A178" s="382" t="s">
        <v>2753</v>
      </c>
      <c r="B178" s="382" t="s">
        <v>4021</v>
      </c>
      <c r="C178" s="382" t="s">
        <v>2758</v>
      </c>
      <c r="D178" s="382">
        <v>25</v>
      </c>
      <c r="E178" s="403" t="s">
        <v>3968</v>
      </c>
    </row>
    <row r="179" spans="1:5">
      <c r="A179" s="382" t="s">
        <v>2753</v>
      </c>
      <c r="B179" s="382" t="s">
        <v>4021</v>
      </c>
      <c r="C179" s="382" t="s">
        <v>2759</v>
      </c>
      <c r="D179" s="382">
        <v>4</v>
      </c>
      <c r="E179" s="403" t="s">
        <v>3968</v>
      </c>
    </row>
    <row r="180" spans="1:5">
      <c r="A180" s="382" t="s">
        <v>2753</v>
      </c>
      <c r="B180" s="382" t="s">
        <v>4021</v>
      </c>
      <c r="C180" s="382" t="s">
        <v>2760</v>
      </c>
      <c r="D180" s="382">
        <v>0</v>
      </c>
      <c r="E180" s="403" t="s">
        <v>3968</v>
      </c>
    </row>
    <row r="181" spans="1:5">
      <c r="A181" s="382" t="s">
        <v>2753</v>
      </c>
      <c r="B181" s="382" t="s">
        <v>4021</v>
      </c>
      <c r="C181" s="382" t="s">
        <v>2761</v>
      </c>
      <c r="D181" s="382">
        <v>0</v>
      </c>
      <c r="E181" s="403" t="s">
        <v>3968</v>
      </c>
    </row>
    <row r="182" spans="1:5">
      <c r="A182" s="382" t="s">
        <v>1381</v>
      </c>
      <c r="B182" s="382" t="s">
        <v>4020</v>
      </c>
      <c r="C182" s="382" t="s">
        <v>2744</v>
      </c>
      <c r="D182" s="382">
        <v>1040</v>
      </c>
      <c r="E182" s="403" t="s">
        <v>3993</v>
      </c>
    </row>
    <row r="183" spans="1:5">
      <c r="A183" s="382" t="s">
        <v>1381</v>
      </c>
      <c r="B183" s="382" t="s">
        <v>4020</v>
      </c>
      <c r="C183" s="382" t="s">
        <v>2747</v>
      </c>
      <c r="D183" s="382">
        <v>217</v>
      </c>
      <c r="E183" s="403" t="s">
        <v>3993</v>
      </c>
    </row>
    <row r="184" spans="1:5">
      <c r="A184" s="382" t="s">
        <v>1381</v>
      </c>
      <c r="B184" s="382" t="s">
        <v>4020</v>
      </c>
      <c r="C184" s="382" t="s">
        <v>2748</v>
      </c>
      <c r="D184" s="382">
        <v>7</v>
      </c>
      <c r="E184" s="403" t="s">
        <v>3993</v>
      </c>
    </row>
    <row r="185" spans="1:5">
      <c r="A185" s="382" t="s">
        <v>1381</v>
      </c>
      <c r="B185" s="382" t="s">
        <v>4020</v>
      </c>
      <c r="C185" s="382" t="s">
        <v>2749</v>
      </c>
      <c r="D185" s="382">
        <v>74</v>
      </c>
      <c r="E185" s="403" t="s">
        <v>3993</v>
      </c>
    </row>
    <row r="186" spans="1:5">
      <c r="A186" s="382" t="s">
        <v>1381</v>
      </c>
      <c r="B186" s="382" t="s">
        <v>4020</v>
      </c>
      <c r="C186" s="382" t="s">
        <v>2750</v>
      </c>
      <c r="D186" s="382">
        <v>8</v>
      </c>
      <c r="E186" s="403" t="s">
        <v>3993</v>
      </c>
    </row>
    <row r="187" spans="1:5">
      <c r="A187" s="382" t="s">
        <v>1381</v>
      </c>
      <c r="B187" s="382" t="s">
        <v>4020</v>
      </c>
      <c r="C187" s="382" t="s">
        <v>2751</v>
      </c>
      <c r="D187" s="382">
        <v>0</v>
      </c>
      <c r="E187" s="403" t="s">
        <v>3993</v>
      </c>
    </row>
    <row r="188" spans="1:5">
      <c r="A188" s="382" t="s">
        <v>1381</v>
      </c>
      <c r="B188" s="382" t="s">
        <v>4020</v>
      </c>
      <c r="C188" s="382" t="s">
        <v>2752</v>
      </c>
      <c r="D188" s="382">
        <v>0</v>
      </c>
      <c r="E188" s="403" t="s">
        <v>3993</v>
      </c>
    </row>
    <row r="189" spans="1:5">
      <c r="A189" s="382" t="s">
        <v>1381</v>
      </c>
      <c r="B189" s="382" t="s">
        <v>4021</v>
      </c>
      <c r="C189" s="382" t="s">
        <v>2754</v>
      </c>
      <c r="D189" s="382">
        <v>1</v>
      </c>
      <c r="E189" s="403" t="s">
        <v>3993</v>
      </c>
    </row>
    <row r="190" spans="1:5">
      <c r="A190" s="382" t="s">
        <v>1381</v>
      </c>
      <c r="B190" s="382" t="s">
        <v>4021</v>
      </c>
      <c r="C190" s="382" t="s">
        <v>2755</v>
      </c>
      <c r="D190" s="382">
        <v>567</v>
      </c>
      <c r="E190" s="403" t="s">
        <v>3993</v>
      </c>
    </row>
    <row r="191" spans="1:5">
      <c r="A191" s="382" t="s">
        <v>1381</v>
      </c>
      <c r="B191" s="382" t="s">
        <v>4021</v>
      </c>
      <c r="C191" s="382" t="s">
        <v>2756</v>
      </c>
      <c r="D191" s="382">
        <v>365</v>
      </c>
      <c r="E191" s="403" t="s">
        <v>3993</v>
      </c>
    </row>
    <row r="192" spans="1:5">
      <c r="A192" s="382" t="s">
        <v>1381</v>
      </c>
      <c r="B192" s="382" t="s">
        <v>4021</v>
      </c>
      <c r="C192" s="382" t="s">
        <v>2757</v>
      </c>
      <c r="D192" s="382">
        <v>82</v>
      </c>
      <c r="E192" s="403" t="s">
        <v>3993</v>
      </c>
    </row>
    <row r="193" spans="1:5">
      <c r="A193" s="382" t="s">
        <v>1381</v>
      </c>
      <c r="B193" s="382" t="s">
        <v>4021</v>
      </c>
      <c r="C193" s="382" t="s">
        <v>2758</v>
      </c>
      <c r="D193" s="382">
        <v>23</v>
      </c>
      <c r="E193" s="403" t="s">
        <v>3993</v>
      </c>
    </row>
    <row r="194" spans="1:5">
      <c r="A194" s="382" t="s">
        <v>1381</v>
      </c>
      <c r="B194" s="382" t="s">
        <v>4021</v>
      </c>
      <c r="C194" s="382" t="s">
        <v>2759</v>
      </c>
      <c r="D194" s="382">
        <v>12</v>
      </c>
      <c r="E194" s="403" t="s">
        <v>3993</v>
      </c>
    </row>
    <row r="195" spans="1:5">
      <c r="A195" s="382" t="s">
        <v>1381</v>
      </c>
      <c r="B195" s="382" t="s">
        <v>4021</v>
      </c>
      <c r="C195" s="382" t="s">
        <v>2760</v>
      </c>
      <c r="D195" s="382">
        <v>2</v>
      </c>
      <c r="E195" s="403" t="s">
        <v>3993</v>
      </c>
    </row>
    <row r="196" spans="1:5">
      <c r="A196" s="382" t="s">
        <v>1381</v>
      </c>
      <c r="B196" s="382" t="s">
        <v>4021</v>
      </c>
      <c r="C196" s="382" t="s">
        <v>2761</v>
      </c>
      <c r="D196" s="382">
        <v>0</v>
      </c>
      <c r="E196" s="403" t="s">
        <v>3993</v>
      </c>
    </row>
    <row r="197" spans="1:5">
      <c r="A197" s="382" t="s">
        <v>2753</v>
      </c>
      <c r="B197" s="382" t="s">
        <v>4020</v>
      </c>
      <c r="C197" s="382" t="s">
        <v>2744</v>
      </c>
      <c r="D197" s="382">
        <v>3697</v>
      </c>
      <c r="E197" s="403" t="s">
        <v>3993</v>
      </c>
    </row>
    <row r="198" spans="1:5">
      <c r="A198" s="382" t="s">
        <v>2753</v>
      </c>
      <c r="B198" s="382" t="s">
        <v>4020</v>
      </c>
      <c r="C198" s="382" t="s">
        <v>2747</v>
      </c>
      <c r="D198" s="382">
        <v>851</v>
      </c>
      <c r="E198" s="403" t="s">
        <v>3993</v>
      </c>
    </row>
    <row r="199" spans="1:5">
      <c r="A199" s="382" t="s">
        <v>2753</v>
      </c>
      <c r="B199" s="382" t="s">
        <v>4020</v>
      </c>
      <c r="C199" s="382" t="s">
        <v>2748</v>
      </c>
      <c r="D199" s="382">
        <v>218</v>
      </c>
      <c r="E199" s="403" t="s">
        <v>3993</v>
      </c>
    </row>
    <row r="200" spans="1:5">
      <c r="A200" s="382" t="s">
        <v>2753</v>
      </c>
      <c r="B200" s="382" t="s">
        <v>4020</v>
      </c>
      <c r="C200" s="382" t="s">
        <v>2749</v>
      </c>
      <c r="D200" s="382">
        <v>150</v>
      </c>
      <c r="E200" s="403" t="s">
        <v>3993</v>
      </c>
    </row>
    <row r="201" spans="1:5">
      <c r="A201" s="382" t="s">
        <v>2753</v>
      </c>
      <c r="B201" s="382" t="s">
        <v>4020</v>
      </c>
      <c r="C201" s="382" t="s">
        <v>2750</v>
      </c>
      <c r="D201" s="382">
        <v>64</v>
      </c>
      <c r="E201" s="403" t="s">
        <v>3993</v>
      </c>
    </row>
    <row r="202" spans="1:5">
      <c r="A202" s="382" t="s">
        <v>2753</v>
      </c>
      <c r="B202" s="382" t="s">
        <v>4020</v>
      </c>
      <c r="C202" s="382" t="s">
        <v>2751</v>
      </c>
      <c r="D202" s="382">
        <v>7</v>
      </c>
      <c r="E202" s="403" t="s">
        <v>3993</v>
      </c>
    </row>
    <row r="203" spans="1:5">
      <c r="A203" s="382" t="s">
        <v>2753</v>
      </c>
      <c r="B203" s="382" t="s">
        <v>4020</v>
      </c>
      <c r="C203" s="382" t="s">
        <v>2752</v>
      </c>
      <c r="D203" s="382">
        <v>0</v>
      </c>
      <c r="E203" s="403" t="s">
        <v>3993</v>
      </c>
    </row>
    <row r="204" spans="1:5">
      <c r="A204" s="382" t="s">
        <v>2753</v>
      </c>
      <c r="B204" s="382" t="s">
        <v>4021</v>
      </c>
      <c r="C204" s="382" t="s">
        <v>2754</v>
      </c>
      <c r="D204" s="382">
        <v>2</v>
      </c>
      <c r="E204" s="403" t="s">
        <v>3993</v>
      </c>
    </row>
    <row r="205" spans="1:5">
      <c r="A205" s="382" t="s">
        <v>2753</v>
      </c>
      <c r="B205" s="382" t="s">
        <v>4021</v>
      </c>
      <c r="C205" s="382" t="s">
        <v>2755</v>
      </c>
      <c r="D205" s="382">
        <v>365</v>
      </c>
      <c r="E205" s="403" t="s">
        <v>3993</v>
      </c>
    </row>
    <row r="206" spans="1:5">
      <c r="A206" s="382" t="s">
        <v>2753</v>
      </c>
      <c r="B206" s="382" t="s">
        <v>4021</v>
      </c>
      <c r="C206" s="382" t="s">
        <v>2756</v>
      </c>
      <c r="D206" s="382">
        <v>88</v>
      </c>
      <c r="E206" s="403" t="s">
        <v>3993</v>
      </c>
    </row>
    <row r="207" spans="1:5">
      <c r="A207" s="382" t="s">
        <v>2753</v>
      </c>
      <c r="B207" s="382" t="s">
        <v>4021</v>
      </c>
      <c r="C207" s="382" t="s">
        <v>2757</v>
      </c>
      <c r="D207" s="382">
        <v>66</v>
      </c>
      <c r="E207" s="403" t="s">
        <v>3993</v>
      </c>
    </row>
    <row r="208" spans="1:5">
      <c r="A208" s="382" t="s">
        <v>2753</v>
      </c>
      <c r="B208" s="382" t="s">
        <v>4021</v>
      </c>
      <c r="C208" s="382" t="s">
        <v>2758</v>
      </c>
      <c r="D208" s="382">
        <v>25</v>
      </c>
      <c r="E208" s="403" t="s">
        <v>3993</v>
      </c>
    </row>
    <row r="209" spans="1:5">
      <c r="A209" s="382" t="s">
        <v>2753</v>
      </c>
      <c r="B209" s="382" t="s">
        <v>4021</v>
      </c>
      <c r="C209" s="382" t="s">
        <v>2759</v>
      </c>
      <c r="D209" s="382">
        <v>4</v>
      </c>
      <c r="E209" s="403" t="s">
        <v>3993</v>
      </c>
    </row>
    <row r="210" spans="1:5">
      <c r="A210" s="382" t="s">
        <v>2753</v>
      </c>
      <c r="B210" s="382" t="s">
        <v>4021</v>
      </c>
      <c r="C210" s="382" t="s">
        <v>2760</v>
      </c>
      <c r="D210" s="382">
        <v>1</v>
      </c>
      <c r="E210" s="403" t="s">
        <v>3993</v>
      </c>
    </row>
    <row r="211" spans="1:5">
      <c r="A211" s="382" t="s">
        <v>2753</v>
      </c>
      <c r="B211" s="382" t="s">
        <v>4021</v>
      </c>
      <c r="C211" s="382" t="s">
        <v>2761</v>
      </c>
      <c r="D211" s="382">
        <v>0</v>
      </c>
      <c r="E211" s="403" t="s">
        <v>3993</v>
      </c>
    </row>
    <row r="212" spans="1:5">
      <c r="A212" s="382" t="s">
        <v>1381</v>
      </c>
      <c r="B212" s="382" t="s">
        <v>4020</v>
      </c>
      <c r="C212" s="382" t="s">
        <v>2744</v>
      </c>
      <c r="D212" s="382">
        <v>1034</v>
      </c>
      <c r="E212" s="403" t="s">
        <v>4004</v>
      </c>
    </row>
    <row r="213" spans="1:5">
      <c r="A213" s="382" t="s">
        <v>1381</v>
      </c>
      <c r="B213" s="382" t="s">
        <v>4020</v>
      </c>
      <c r="C213" s="382" t="s">
        <v>2747</v>
      </c>
      <c r="D213" s="382">
        <v>217</v>
      </c>
      <c r="E213" s="403" t="s">
        <v>4004</v>
      </c>
    </row>
    <row r="214" spans="1:5">
      <c r="A214" s="382" t="s">
        <v>1381</v>
      </c>
      <c r="B214" s="382" t="s">
        <v>4020</v>
      </c>
      <c r="C214" s="382" t="s">
        <v>2748</v>
      </c>
      <c r="D214" s="382">
        <v>7</v>
      </c>
      <c r="E214" s="403" t="s">
        <v>4004</v>
      </c>
    </row>
    <row r="215" spans="1:5">
      <c r="A215" s="382" t="s">
        <v>1381</v>
      </c>
      <c r="B215" s="382" t="s">
        <v>4020</v>
      </c>
      <c r="C215" s="382" t="s">
        <v>2749</v>
      </c>
      <c r="D215" s="382">
        <v>74</v>
      </c>
      <c r="E215" s="403" t="s">
        <v>4004</v>
      </c>
    </row>
    <row r="216" spans="1:5">
      <c r="A216" s="382" t="s">
        <v>1381</v>
      </c>
      <c r="B216" s="382" t="s">
        <v>4020</v>
      </c>
      <c r="C216" s="382" t="s">
        <v>2750</v>
      </c>
      <c r="D216" s="382">
        <v>8</v>
      </c>
      <c r="E216" s="403" t="s">
        <v>4004</v>
      </c>
    </row>
    <row r="217" spans="1:5">
      <c r="A217" s="382" t="s">
        <v>1381</v>
      </c>
      <c r="B217" s="382" t="s">
        <v>4020</v>
      </c>
      <c r="C217" s="382" t="s">
        <v>2751</v>
      </c>
      <c r="D217" s="382">
        <v>0</v>
      </c>
      <c r="E217" s="403" t="s">
        <v>4004</v>
      </c>
    </row>
    <row r="218" spans="1:5">
      <c r="A218" s="382" t="s">
        <v>1381</v>
      </c>
      <c r="B218" s="382" t="s">
        <v>4020</v>
      </c>
      <c r="C218" s="382" t="s">
        <v>2752</v>
      </c>
      <c r="D218" s="382">
        <v>0</v>
      </c>
      <c r="E218" s="403" t="s">
        <v>4004</v>
      </c>
    </row>
    <row r="219" spans="1:5">
      <c r="A219" s="382" t="s">
        <v>1381</v>
      </c>
      <c r="B219" s="382" t="s">
        <v>4021</v>
      </c>
      <c r="C219" s="382" t="s">
        <v>2754</v>
      </c>
      <c r="D219" s="382">
        <v>1</v>
      </c>
      <c r="E219" s="403" t="s">
        <v>4004</v>
      </c>
    </row>
    <row r="220" spans="1:5">
      <c r="A220" s="382" t="s">
        <v>1381</v>
      </c>
      <c r="B220" s="382" t="s">
        <v>4021</v>
      </c>
      <c r="C220" s="382" t="s">
        <v>2755</v>
      </c>
      <c r="D220" s="382">
        <v>564</v>
      </c>
      <c r="E220" s="403" t="s">
        <v>4004</v>
      </c>
    </row>
    <row r="221" spans="1:5">
      <c r="A221" s="382" t="s">
        <v>1381</v>
      </c>
      <c r="B221" s="382" t="s">
        <v>4021</v>
      </c>
      <c r="C221" s="382" t="s">
        <v>2756</v>
      </c>
      <c r="D221" s="382">
        <v>365</v>
      </c>
      <c r="E221" s="403" t="s">
        <v>4004</v>
      </c>
    </row>
    <row r="222" spans="1:5">
      <c r="A222" s="382" t="s">
        <v>1381</v>
      </c>
      <c r="B222" s="382" t="s">
        <v>4021</v>
      </c>
      <c r="C222" s="382" t="s">
        <v>2757</v>
      </c>
      <c r="D222" s="382">
        <v>82</v>
      </c>
      <c r="E222" s="403" t="s">
        <v>4004</v>
      </c>
    </row>
    <row r="223" spans="1:5">
      <c r="A223" s="382" t="s">
        <v>1381</v>
      </c>
      <c r="B223" s="382" t="s">
        <v>4021</v>
      </c>
      <c r="C223" s="382" t="s">
        <v>2758</v>
      </c>
      <c r="D223" s="382">
        <v>23</v>
      </c>
      <c r="E223" s="403" t="s">
        <v>4004</v>
      </c>
    </row>
    <row r="224" spans="1:5">
      <c r="A224" s="382" t="s">
        <v>1381</v>
      </c>
      <c r="B224" s="382" t="s">
        <v>4021</v>
      </c>
      <c r="C224" s="382" t="s">
        <v>2759</v>
      </c>
      <c r="D224" s="382">
        <v>12</v>
      </c>
      <c r="E224" s="403" t="s">
        <v>4004</v>
      </c>
    </row>
    <row r="225" spans="1:5">
      <c r="A225" s="382" t="s">
        <v>1381</v>
      </c>
      <c r="B225" s="382" t="s">
        <v>4021</v>
      </c>
      <c r="C225" s="382" t="s">
        <v>2760</v>
      </c>
      <c r="D225" s="382">
        <v>2</v>
      </c>
      <c r="E225" s="403" t="s">
        <v>4004</v>
      </c>
    </row>
    <row r="226" spans="1:5">
      <c r="A226" s="382" t="s">
        <v>1381</v>
      </c>
      <c r="B226" s="382" t="s">
        <v>4021</v>
      </c>
      <c r="C226" s="382" t="s">
        <v>2761</v>
      </c>
      <c r="D226" s="382">
        <v>0</v>
      </c>
      <c r="E226" s="403" t="s">
        <v>4004</v>
      </c>
    </row>
    <row r="227" spans="1:5">
      <c r="A227" s="382" t="s">
        <v>2753</v>
      </c>
      <c r="B227" s="382" t="s">
        <v>4020</v>
      </c>
      <c r="C227" s="382" t="s">
        <v>2744</v>
      </c>
      <c r="D227" s="382">
        <v>3411</v>
      </c>
      <c r="E227" s="403" t="s">
        <v>4004</v>
      </c>
    </row>
    <row r="228" spans="1:5">
      <c r="A228" s="382" t="s">
        <v>2753</v>
      </c>
      <c r="B228" s="382" t="s">
        <v>4020</v>
      </c>
      <c r="C228" s="382" t="s">
        <v>2747</v>
      </c>
      <c r="D228" s="382">
        <v>786</v>
      </c>
      <c r="E228" s="403" t="s">
        <v>4004</v>
      </c>
    </row>
    <row r="229" spans="1:5">
      <c r="A229" s="382" t="s">
        <v>2753</v>
      </c>
      <c r="B229" s="382" t="s">
        <v>4020</v>
      </c>
      <c r="C229" s="382" t="s">
        <v>2748</v>
      </c>
      <c r="D229" s="382">
        <v>202</v>
      </c>
      <c r="E229" s="403" t="s">
        <v>4004</v>
      </c>
    </row>
    <row r="230" spans="1:5">
      <c r="A230" s="382" t="s">
        <v>2753</v>
      </c>
      <c r="B230" s="382" t="s">
        <v>4020</v>
      </c>
      <c r="C230" s="382" t="s">
        <v>2749</v>
      </c>
      <c r="D230" s="382">
        <v>146</v>
      </c>
      <c r="E230" s="403" t="s">
        <v>4004</v>
      </c>
    </row>
    <row r="231" spans="1:5">
      <c r="A231" s="382" t="s">
        <v>2753</v>
      </c>
      <c r="B231" s="382" t="s">
        <v>4020</v>
      </c>
      <c r="C231" s="382" t="s">
        <v>2750</v>
      </c>
      <c r="D231" s="382">
        <v>61</v>
      </c>
      <c r="E231" s="403" t="s">
        <v>4004</v>
      </c>
    </row>
    <row r="232" spans="1:5">
      <c r="A232" s="382" t="s">
        <v>2753</v>
      </c>
      <c r="B232" s="382" t="s">
        <v>4020</v>
      </c>
      <c r="C232" s="382" t="s">
        <v>2751</v>
      </c>
      <c r="D232" s="382">
        <v>6</v>
      </c>
      <c r="E232" s="403" t="s">
        <v>4004</v>
      </c>
    </row>
    <row r="233" spans="1:5">
      <c r="A233" s="382" t="s">
        <v>2753</v>
      </c>
      <c r="B233" s="382" t="s">
        <v>4020</v>
      </c>
      <c r="C233" s="382" t="s">
        <v>2752</v>
      </c>
      <c r="D233" s="382">
        <v>0</v>
      </c>
      <c r="E233" s="403" t="s">
        <v>4004</v>
      </c>
    </row>
    <row r="234" spans="1:5">
      <c r="A234" s="382" t="s">
        <v>2753</v>
      </c>
      <c r="B234" s="382" t="s">
        <v>4021</v>
      </c>
      <c r="C234" s="382" t="s">
        <v>2754</v>
      </c>
      <c r="D234" s="382">
        <v>0</v>
      </c>
      <c r="E234" s="403" t="s">
        <v>4004</v>
      </c>
    </row>
    <row r="235" spans="1:5">
      <c r="A235" s="382" t="s">
        <v>2753</v>
      </c>
      <c r="B235" s="382" t="s">
        <v>4021</v>
      </c>
      <c r="C235" s="382" t="s">
        <v>2755</v>
      </c>
      <c r="D235" s="382">
        <v>365</v>
      </c>
      <c r="E235" s="403" t="s">
        <v>4004</v>
      </c>
    </row>
    <row r="236" spans="1:5">
      <c r="A236" s="382" t="s">
        <v>2753</v>
      </c>
      <c r="B236" s="382" t="s">
        <v>4021</v>
      </c>
      <c r="C236" s="382" t="s">
        <v>2756</v>
      </c>
      <c r="D236" s="382">
        <v>88</v>
      </c>
      <c r="E236" s="403" t="s">
        <v>4004</v>
      </c>
    </row>
    <row r="237" spans="1:5">
      <c r="A237" s="382" t="s">
        <v>2753</v>
      </c>
      <c r="B237" s="382" t="s">
        <v>4021</v>
      </c>
      <c r="C237" s="382" t="s">
        <v>2757</v>
      </c>
      <c r="D237" s="382">
        <v>66</v>
      </c>
      <c r="E237" s="403" t="s">
        <v>4004</v>
      </c>
    </row>
    <row r="238" spans="1:5">
      <c r="A238" s="382" t="s">
        <v>2753</v>
      </c>
      <c r="B238" s="382" t="s">
        <v>4021</v>
      </c>
      <c r="C238" s="382" t="s">
        <v>2758</v>
      </c>
      <c r="D238" s="382">
        <v>25</v>
      </c>
      <c r="E238" s="403" t="s">
        <v>4004</v>
      </c>
    </row>
    <row r="239" spans="1:5">
      <c r="A239" s="382" t="s">
        <v>2753</v>
      </c>
      <c r="B239" s="382" t="s">
        <v>4021</v>
      </c>
      <c r="C239" s="382" t="s">
        <v>2759</v>
      </c>
      <c r="D239" s="382">
        <v>4</v>
      </c>
      <c r="E239" s="403" t="s">
        <v>4004</v>
      </c>
    </row>
    <row r="240" spans="1:5">
      <c r="A240" s="382" t="s">
        <v>2753</v>
      </c>
      <c r="B240" s="382" t="s">
        <v>4021</v>
      </c>
      <c r="C240" s="382" t="s">
        <v>2760</v>
      </c>
      <c r="D240" s="382">
        <v>0</v>
      </c>
      <c r="E240" s="403" t="s">
        <v>4004</v>
      </c>
    </row>
    <row r="241" spans="1:5">
      <c r="A241" s="382" t="s">
        <v>2753</v>
      </c>
      <c r="B241" s="382" t="s">
        <v>4021</v>
      </c>
      <c r="C241" s="382" t="s">
        <v>2761</v>
      </c>
      <c r="D241" s="382">
        <v>0</v>
      </c>
      <c r="E241" s="403" t="s">
        <v>4004</v>
      </c>
    </row>
    <row r="242" spans="1:5">
      <c r="A242" s="382" t="s">
        <v>1381</v>
      </c>
      <c r="B242" s="382" t="s">
        <v>4020</v>
      </c>
      <c r="C242" s="382" t="s">
        <v>2744</v>
      </c>
      <c r="D242" s="382">
        <v>584</v>
      </c>
      <c r="E242" s="403" t="s">
        <v>4105</v>
      </c>
    </row>
    <row r="243" spans="1:5">
      <c r="A243" s="382" t="s">
        <v>1381</v>
      </c>
      <c r="B243" s="382" t="s">
        <v>4020</v>
      </c>
      <c r="C243" s="382" t="s">
        <v>2747</v>
      </c>
      <c r="D243" s="382">
        <v>93</v>
      </c>
      <c r="E243" s="403" t="s">
        <v>4105</v>
      </c>
    </row>
    <row r="244" spans="1:5">
      <c r="A244" s="382" t="s">
        <v>1381</v>
      </c>
      <c r="B244" s="382" t="s">
        <v>4020</v>
      </c>
      <c r="C244" s="382" t="s">
        <v>2748</v>
      </c>
      <c r="D244" s="382">
        <v>0</v>
      </c>
      <c r="E244" s="403" t="s">
        <v>4105</v>
      </c>
    </row>
    <row r="245" spans="1:5">
      <c r="A245" s="382" t="s">
        <v>1381</v>
      </c>
      <c r="B245" s="382" t="s">
        <v>4020</v>
      </c>
      <c r="C245" s="382" t="s">
        <v>2749</v>
      </c>
      <c r="D245" s="382">
        <v>70</v>
      </c>
      <c r="E245" s="403" t="s">
        <v>4105</v>
      </c>
    </row>
    <row r="246" spans="1:5">
      <c r="A246" s="382" t="s">
        <v>1381</v>
      </c>
      <c r="B246" s="382" t="s">
        <v>4020</v>
      </c>
      <c r="C246" s="382" t="s">
        <v>2750</v>
      </c>
      <c r="D246" s="382">
        <v>7</v>
      </c>
      <c r="E246" s="403" t="s">
        <v>4105</v>
      </c>
    </row>
    <row r="247" spans="1:5">
      <c r="A247" s="382" t="s">
        <v>1381</v>
      </c>
      <c r="B247" s="382" t="s">
        <v>4020</v>
      </c>
      <c r="C247" s="382" t="s">
        <v>2751</v>
      </c>
      <c r="D247" s="382">
        <v>0</v>
      </c>
      <c r="E247" s="403" t="s">
        <v>4105</v>
      </c>
    </row>
    <row r="248" spans="1:5">
      <c r="A248" s="382" t="s">
        <v>1381</v>
      </c>
      <c r="B248" s="382" t="s">
        <v>4020</v>
      </c>
      <c r="C248" s="382" t="s">
        <v>2752</v>
      </c>
      <c r="D248" s="382">
        <v>0</v>
      </c>
      <c r="E248" s="403" t="s">
        <v>4105</v>
      </c>
    </row>
    <row r="249" spans="1:5">
      <c r="A249" s="382" t="s">
        <v>1381</v>
      </c>
      <c r="B249" s="382" t="s">
        <v>4021</v>
      </c>
      <c r="C249" s="382" t="s">
        <v>2754</v>
      </c>
      <c r="D249" s="382">
        <v>1</v>
      </c>
      <c r="E249" s="403" t="s">
        <v>4105</v>
      </c>
    </row>
    <row r="250" spans="1:5">
      <c r="A250" s="382" t="s">
        <v>1381</v>
      </c>
      <c r="B250" s="382" t="s">
        <v>4021</v>
      </c>
      <c r="C250" s="382" t="s">
        <v>2755</v>
      </c>
      <c r="D250" s="382">
        <v>554</v>
      </c>
      <c r="E250" s="403" t="s">
        <v>4105</v>
      </c>
    </row>
    <row r="251" spans="1:5">
      <c r="A251" s="382" t="s">
        <v>1381</v>
      </c>
      <c r="B251" s="382" t="s">
        <v>4021</v>
      </c>
      <c r="C251" s="382" t="s">
        <v>2756</v>
      </c>
      <c r="D251" s="382">
        <v>364</v>
      </c>
      <c r="E251" s="403" t="s">
        <v>4105</v>
      </c>
    </row>
    <row r="252" spans="1:5">
      <c r="A252" s="382" t="s">
        <v>1381</v>
      </c>
      <c r="B252" s="382" t="s">
        <v>4021</v>
      </c>
      <c r="C252" s="382" t="s">
        <v>2757</v>
      </c>
      <c r="D252" s="382">
        <v>82</v>
      </c>
      <c r="E252" s="403" t="s">
        <v>4105</v>
      </c>
    </row>
    <row r="253" spans="1:5">
      <c r="A253" s="382" t="s">
        <v>1381</v>
      </c>
      <c r="B253" s="382" t="s">
        <v>4021</v>
      </c>
      <c r="C253" s="382" t="s">
        <v>2758</v>
      </c>
      <c r="D253" s="382">
        <v>23</v>
      </c>
      <c r="E253" s="403" t="s">
        <v>4105</v>
      </c>
    </row>
    <row r="254" spans="1:5">
      <c r="A254" s="382" t="s">
        <v>1381</v>
      </c>
      <c r="B254" s="382" t="s">
        <v>4021</v>
      </c>
      <c r="C254" s="382" t="s">
        <v>2759</v>
      </c>
      <c r="D254" s="382">
        <v>12</v>
      </c>
      <c r="E254" s="403" t="s">
        <v>4105</v>
      </c>
    </row>
    <row r="255" spans="1:5">
      <c r="A255" s="382" t="s">
        <v>1381</v>
      </c>
      <c r="B255" s="382" t="s">
        <v>4021</v>
      </c>
      <c r="C255" s="382" t="s">
        <v>2760</v>
      </c>
      <c r="D255" s="382">
        <v>1</v>
      </c>
      <c r="E255" s="403" t="s">
        <v>4105</v>
      </c>
    </row>
    <row r="256" spans="1:5">
      <c r="A256" s="382" t="s">
        <v>1381</v>
      </c>
      <c r="B256" s="382" t="s">
        <v>4021</v>
      </c>
      <c r="C256" s="382" t="s">
        <v>2761</v>
      </c>
      <c r="D256" s="382">
        <v>0</v>
      </c>
      <c r="E256" s="403" t="s">
        <v>4105</v>
      </c>
    </row>
    <row r="257" spans="1:5">
      <c r="A257" s="382" t="s">
        <v>2753</v>
      </c>
      <c r="B257" s="382" t="s">
        <v>4020</v>
      </c>
      <c r="C257" s="382" t="s">
        <v>2744</v>
      </c>
      <c r="D257" s="382">
        <v>3081</v>
      </c>
      <c r="E257" s="403" t="s">
        <v>4105</v>
      </c>
    </row>
    <row r="258" spans="1:5">
      <c r="A258" s="382" t="s">
        <v>2753</v>
      </c>
      <c r="B258" s="382" t="s">
        <v>4020</v>
      </c>
      <c r="C258" s="382" t="s">
        <v>2747</v>
      </c>
      <c r="D258" s="382">
        <v>748</v>
      </c>
      <c r="E258" s="403" t="s">
        <v>4105</v>
      </c>
    </row>
    <row r="259" spans="1:5">
      <c r="A259" s="382" t="s">
        <v>2753</v>
      </c>
      <c r="B259" s="382" t="s">
        <v>4020</v>
      </c>
      <c r="C259" s="382" t="s">
        <v>2748</v>
      </c>
      <c r="D259" s="382">
        <v>187</v>
      </c>
      <c r="E259" s="403" t="s">
        <v>4105</v>
      </c>
    </row>
    <row r="260" spans="1:5">
      <c r="A260" s="382" t="s">
        <v>2753</v>
      </c>
      <c r="B260" s="382" t="s">
        <v>4020</v>
      </c>
      <c r="C260" s="382" t="s">
        <v>2749</v>
      </c>
      <c r="D260" s="382">
        <v>144</v>
      </c>
      <c r="E260" s="403" t="s">
        <v>4105</v>
      </c>
    </row>
    <row r="261" spans="1:5">
      <c r="A261" s="382" t="s">
        <v>2753</v>
      </c>
      <c r="B261" s="382" t="s">
        <v>4020</v>
      </c>
      <c r="C261" s="382" t="s">
        <v>2750</v>
      </c>
      <c r="D261" s="382">
        <v>61</v>
      </c>
      <c r="E261" s="403" t="s">
        <v>4105</v>
      </c>
    </row>
    <row r="262" spans="1:5">
      <c r="A262" s="382" t="s">
        <v>2753</v>
      </c>
      <c r="B262" s="382" t="s">
        <v>4020</v>
      </c>
      <c r="C262" s="382" t="s">
        <v>2751</v>
      </c>
      <c r="D262" s="382">
        <v>6</v>
      </c>
      <c r="E262" s="403" t="s">
        <v>4105</v>
      </c>
    </row>
    <row r="263" spans="1:5">
      <c r="A263" s="382" t="s">
        <v>2753</v>
      </c>
      <c r="B263" s="382" t="s">
        <v>4020</v>
      </c>
      <c r="C263" s="382" t="s">
        <v>2752</v>
      </c>
      <c r="D263" s="382">
        <v>0</v>
      </c>
      <c r="E263" s="403" t="s">
        <v>4105</v>
      </c>
    </row>
    <row r="264" spans="1:5">
      <c r="A264" s="382" t="s">
        <v>2753</v>
      </c>
      <c r="B264" s="382" t="s">
        <v>4021</v>
      </c>
      <c r="C264" s="382" t="s">
        <v>2754</v>
      </c>
      <c r="D264" s="382">
        <v>0</v>
      </c>
      <c r="E264" s="403" t="s">
        <v>4105</v>
      </c>
    </row>
    <row r="265" spans="1:5">
      <c r="A265" s="382" t="s">
        <v>2753</v>
      </c>
      <c r="B265" s="382" t="s">
        <v>4021</v>
      </c>
      <c r="C265" s="382" t="s">
        <v>2755</v>
      </c>
      <c r="D265" s="382">
        <v>325</v>
      </c>
      <c r="E265" s="403" t="s">
        <v>4105</v>
      </c>
    </row>
    <row r="266" spans="1:5">
      <c r="A266" s="382" t="s">
        <v>2753</v>
      </c>
      <c r="B266" s="382" t="s">
        <v>4021</v>
      </c>
      <c r="C266" s="382" t="s">
        <v>2756</v>
      </c>
      <c r="D266" s="382">
        <v>88</v>
      </c>
      <c r="E266" s="403" t="s">
        <v>4105</v>
      </c>
    </row>
    <row r="267" spans="1:5">
      <c r="A267" s="382" t="s">
        <v>2753</v>
      </c>
      <c r="B267" s="382" t="s">
        <v>4021</v>
      </c>
      <c r="C267" s="382" t="s">
        <v>2757</v>
      </c>
      <c r="D267" s="382">
        <v>66</v>
      </c>
      <c r="E267" s="403" t="s">
        <v>4105</v>
      </c>
    </row>
    <row r="268" spans="1:5">
      <c r="A268" s="382" t="s">
        <v>2753</v>
      </c>
      <c r="B268" s="382" t="s">
        <v>4021</v>
      </c>
      <c r="C268" s="382" t="s">
        <v>2758</v>
      </c>
      <c r="D268" s="382">
        <v>25</v>
      </c>
      <c r="E268" s="403" t="s">
        <v>4105</v>
      </c>
    </row>
    <row r="269" spans="1:5">
      <c r="A269" s="382" t="s">
        <v>2753</v>
      </c>
      <c r="B269" s="382" t="s">
        <v>4021</v>
      </c>
      <c r="C269" s="382" t="s">
        <v>2759</v>
      </c>
      <c r="D269" s="382">
        <v>4</v>
      </c>
      <c r="E269" s="403" t="s">
        <v>4105</v>
      </c>
    </row>
    <row r="270" spans="1:5">
      <c r="A270" s="382" t="s">
        <v>2753</v>
      </c>
      <c r="B270" s="382" t="s">
        <v>4021</v>
      </c>
      <c r="C270" s="382" t="s">
        <v>2760</v>
      </c>
      <c r="D270" s="382">
        <v>0</v>
      </c>
      <c r="E270" s="403" t="s">
        <v>4105</v>
      </c>
    </row>
    <row r="271" spans="1:5">
      <c r="A271" s="382" t="s">
        <v>2753</v>
      </c>
      <c r="B271" s="382" t="s">
        <v>4021</v>
      </c>
      <c r="C271" s="382" t="s">
        <v>2761</v>
      </c>
      <c r="D271" s="382">
        <v>0</v>
      </c>
      <c r="E271" s="403" t="s">
        <v>4105</v>
      </c>
    </row>
    <row r="272" spans="1:5">
      <c r="A272" s="382" t="s">
        <v>1381</v>
      </c>
      <c r="B272" s="382" t="s">
        <v>4020</v>
      </c>
      <c r="C272" s="382" t="s">
        <v>2744</v>
      </c>
      <c r="D272" s="382">
        <v>508</v>
      </c>
      <c r="E272" s="403" t="s">
        <v>4117</v>
      </c>
    </row>
    <row r="273" spans="1:5">
      <c r="A273" s="382" t="s">
        <v>1381</v>
      </c>
      <c r="B273" s="382" t="s">
        <v>4020</v>
      </c>
      <c r="C273" s="382" t="s">
        <v>2747</v>
      </c>
      <c r="D273" s="382">
        <v>83</v>
      </c>
      <c r="E273" s="403" t="s">
        <v>4117</v>
      </c>
    </row>
    <row r="274" spans="1:5">
      <c r="A274" s="382" t="s">
        <v>1381</v>
      </c>
      <c r="B274" s="382" t="s">
        <v>4020</v>
      </c>
      <c r="C274" s="382" t="s">
        <v>2748</v>
      </c>
      <c r="D274" s="382">
        <v>0</v>
      </c>
      <c r="E274" s="403" t="s">
        <v>4117</v>
      </c>
    </row>
    <row r="275" spans="1:5">
      <c r="A275" s="382" t="s">
        <v>1381</v>
      </c>
      <c r="B275" s="382" t="s">
        <v>4020</v>
      </c>
      <c r="C275" s="382" t="s">
        <v>2749</v>
      </c>
      <c r="D275" s="382">
        <v>67</v>
      </c>
      <c r="E275" s="403" t="s">
        <v>4117</v>
      </c>
    </row>
    <row r="276" spans="1:5">
      <c r="A276" s="382" t="s">
        <v>1381</v>
      </c>
      <c r="B276" s="382" t="s">
        <v>4020</v>
      </c>
      <c r="C276" s="382" t="s">
        <v>2750</v>
      </c>
      <c r="D276" s="382">
        <v>6</v>
      </c>
      <c r="E276" s="403" t="s">
        <v>4117</v>
      </c>
    </row>
    <row r="277" spans="1:5">
      <c r="A277" s="382" t="s">
        <v>1381</v>
      </c>
      <c r="B277" s="382" t="s">
        <v>4020</v>
      </c>
      <c r="C277" s="382" t="s">
        <v>2751</v>
      </c>
      <c r="D277" s="382">
        <v>0</v>
      </c>
      <c r="E277" s="403" t="s">
        <v>4117</v>
      </c>
    </row>
    <row r="278" spans="1:5">
      <c r="A278" s="382" t="s">
        <v>1381</v>
      </c>
      <c r="B278" s="382" t="s">
        <v>4020</v>
      </c>
      <c r="C278" s="382" t="s">
        <v>2752</v>
      </c>
      <c r="D278" s="382">
        <v>0</v>
      </c>
      <c r="E278" s="403" t="s">
        <v>4117</v>
      </c>
    </row>
    <row r="279" spans="1:5">
      <c r="A279" s="382" t="s">
        <v>1381</v>
      </c>
      <c r="B279" s="382" t="s">
        <v>4021</v>
      </c>
      <c r="C279" s="382" t="s">
        <v>2754</v>
      </c>
      <c r="D279" s="382">
        <v>2</v>
      </c>
      <c r="E279" s="403" t="s">
        <v>4117</v>
      </c>
    </row>
    <row r="280" spans="1:5">
      <c r="A280" s="382" t="s">
        <v>1381</v>
      </c>
      <c r="B280" s="382" t="s">
        <v>4021</v>
      </c>
      <c r="C280" s="382" t="s">
        <v>2755</v>
      </c>
      <c r="D280" s="382">
        <v>545</v>
      </c>
      <c r="E280" s="403" t="s">
        <v>4117</v>
      </c>
    </row>
    <row r="281" spans="1:5">
      <c r="A281" s="382" t="s">
        <v>1381</v>
      </c>
      <c r="B281" s="382" t="s">
        <v>4021</v>
      </c>
      <c r="C281" s="382" t="s">
        <v>2756</v>
      </c>
      <c r="D281" s="382">
        <v>359</v>
      </c>
      <c r="E281" s="403" t="s">
        <v>4117</v>
      </c>
    </row>
    <row r="282" spans="1:5">
      <c r="A282" s="382" t="s">
        <v>1381</v>
      </c>
      <c r="B282" s="382" t="s">
        <v>4021</v>
      </c>
      <c r="C282" s="382" t="s">
        <v>2757</v>
      </c>
      <c r="D282" s="382">
        <v>77</v>
      </c>
      <c r="E282" s="403" t="s">
        <v>4117</v>
      </c>
    </row>
    <row r="283" spans="1:5">
      <c r="A283" s="382" t="s">
        <v>1381</v>
      </c>
      <c r="B283" s="382" t="s">
        <v>4021</v>
      </c>
      <c r="C283" s="382" t="s">
        <v>2758</v>
      </c>
      <c r="D283" s="382">
        <v>23</v>
      </c>
      <c r="E283" s="403" t="s">
        <v>4117</v>
      </c>
    </row>
    <row r="284" spans="1:5">
      <c r="A284" s="382" t="s">
        <v>1381</v>
      </c>
      <c r="B284" s="382" t="s">
        <v>4021</v>
      </c>
      <c r="C284" s="382" t="s">
        <v>2759</v>
      </c>
      <c r="D284" s="382">
        <v>12</v>
      </c>
      <c r="E284" s="403" t="s">
        <v>4117</v>
      </c>
    </row>
    <row r="285" spans="1:5">
      <c r="A285" s="382" t="s">
        <v>1381</v>
      </c>
      <c r="B285" s="382" t="s">
        <v>4021</v>
      </c>
      <c r="C285" s="382" t="s">
        <v>2760</v>
      </c>
      <c r="D285" s="382">
        <v>1</v>
      </c>
      <c r="E285" s="403" t="s">
        <v>4117</v>
      </c>
    </row>
    <row r="286" spans="1:5">
      <c r="A286" s="382" t="s">
        <v>1381</v>
      </c>
      <c r="B286" s="382" t="s">
        <v>4021</v>
      </c>
      <c r="C286" s="382" t="s">
        <v>2761</v>
      </c>
      <c r="D286" s="382">
        <v>0</v>
      </c>
      <c r="E286" s="403" t="s">
        <v>4117</v>
      </c>
    </row>
    <row r="287" spans="1:5">
      <c r="A287" s="382" t="s">
        <v>2753</v>
      </c>
      <c r="B287" s="382" t="s">
        <v>4020</v>
      </c>
      <c r="C287" s="382" t="s">
        <v>2744</v>
      </c>
      <c r="D287" s="382">
        <v>3050</v>
      </c>
      <c r="E287" s="403" t="s">
        <v>4117</v>
      </c>
    </row>
    <row r="288" spans="1:5">
      <c r="A288" s="382" t="s">
        <v>2753</v>
      </c>
      <c r="B288" s="382" t="s">
        <v>4020</v>
      </c>
      <c r="C288" s="382" t="s">
        <v>2747</v>
      </c>
      <c r="D288" s="382">
        <v>748</v>
      </c>
      <c r="E288" s="403" t="s">
        <v>4117</v>
      </c>
    </row>
    <row r="289" spans="1:5">
      <c r="A289" s="382" t="s">
        <v>2753</v>
      </c>
      <c r="B289" s="382" t="s">
        <v>4020</v>
      </c>
      <c r="C289" s="382" t="s">
        <v>2748</v>
      </c>
      <c r="D289" s="382">
        <v>187</v>
      </c>
      <c r="E289" s="403" t="s">
        <v>4117</v>
      </c>
    </row>
    <row r="290" spans="1:5">
      <c r="A290" s="382" t="s">
        <v>2753</v>
      </c>
      <c r="B290" s="382" t="s">
        <v>4020</v>
      </c>
      <c r="C290" s="382" t="s">
        <v>2749</v>
      </c>
      <c r="D290" s="382">
        <v>144</v>
      </c>
      <c r="E290" s="403" t="s">
        <v>4117</v>
      </c>
    </row>
    <row r="291" spans="1:5">
      <c r="A291" s="382" t="s">
        <v>2753</v>
      </c>
      <c r="B291" s="382" t="s">
        <v>4020</v>
      </c>
      <c r="C291" s="382" t="s">
        <v>2750</v>
      </c>
      <c r="D291" s="382">
        <v>61</v>
      </c>
      <c r="E291" s="403" t="s">
        <v>4117</v>
      </c>
    </row>
    <row r="292" spans="1:5">
      <c r="A292" s="382" t="s">
        <v>2753</v>
      </c>
      <c r="B292" s="382" t="s">
        <v>4020</v>
      </c>
      <c r="C292" s="382" t="s">
        <v>2751</v>
      </c>
      <c r="D292" s="382">
        <v>6</v>
      </c>
      <c r="E292" s="403" t="s">
        <v>4117</v>
      </c>
    </row>
    <row r="293" spans="1:5">
      <c r="A293" s="382" t="s">
        <v>2753</v>
      </c>
      <c r="B293" s="382" t="s">
        <v>4020</v>
      </c>
      <c r="C293" s="382" t="s">
        <v>2752</v>
      </c>
      <c r="D293" s="382">
        <v>0</v>
      </c>
      <c r="E293" s="403" t="s">
        <v>4117</v>
      </c>
    </row>
    <row r="294" spans="1:5">
      <c r="A294" s="382" t="s">
        <v>2753</v>
      </c>
      <c r="B294" s="382" t="s">
        <v>4021</v>
      </c>
      <c r="C294" s="382" t="s">
        <v>2754</v>
      </c>
      <c r="D294" s="382">
        <v>0</v>
      </c>
      <c r="E294" s="403" t="s">
        <v>4117</v>
      </c>
    </row>
    <row r="295" spans="1:5">
      <c r="A295" s="382" t="s">
        <v>2753</v>
      </c>
      <c r="B295" s="382" t="s">
        <v>4021</v>
      </c>
      <c r="C295" s="382" t="s">
        <v>2755</v>
      </c>
      <c r="D295" s="382">
        <v>275</v>
      </c>
      <c r="E295" s="403" t="s">
        <v>4117</v>
      </c>
    </row>
    <row r="296" spans="1:5">
      <c r="A296" s="382" t="s">
        <v>2753</v>
      </c>
      <c r="B296" s="382" t="s">
        <v>4021</v>
      </c>
      <c r="C296" s="382" t="s">
        <v>2756</v>
      </c>
      <c r="D296" s="382">
        <v>77</v>
      </c>
      <c r="E296" s="403" t="s">
        <v>4117</v>
      </c>
    </row>
    <row r="297" spans="1:5">
      <c r="A297" s="382" t="s">
        <v>2753</v>
      </c>
      <c r="B297" s="382" t="s">
        <v>4021</v>
      </c>
      <c r="C297" s="382" t="s">
        <v>2757</v>
      </c>
      <c r="D297" s="382">
        <v>58</v>
      </c>
      <c r="E297" s="403" t="s">
        <v>4117</v>
      </c>
    </row>
    <row r="298" spans="1:5">
      <c r="A298" s="382" t="s">
        <v>2753</v>
      </c>
      <c r="B298" s="382" t="s">
        <v>4021</v>
      </c>
      <c r="C298" s="382" t="s">
        <v>2758</v>
      </c>
      <c r="D298" s="382">
        <v>25</v>
      </c>
      <c r="E298" s="403" t="s">
        <v>4117</v>
      </c>
    </row>
    <row r="299" spans="1:5">
      <c r="A299" s="382" t="s">
        <v>2753</v>
      </c>
      <c r="B299" s="382" t="s">
        <v>4021</v>
      </c>
      <c r="C299" s="382" t="s">
        <v>2759</v>
      </c>
      <c r="D299" s="382">
        <v>4</v>
      </c>
      <c r="E299" s="403" t="s">
        <v>4117</v>
      </c>
    </row>
    <row r="300" spans="1:5">
      <c r="A300" s="382" t="s">
        <v>2753</v>
      </c>
      <c r="B300" s="382" t="s">
        <v>4021</v>
      </c>
      <c r="C300" s="382" t="s">
        <v>2760</v>
      </c>
      <c r="D300" s="382">
        <v>0</v>
      </c>
      <c r="E300" s="403" t="s">
        <v>4117</v>
      </c>
    </row>
    <row r="301" spans="1:5">
      <c r="A301" s="382" t="s">
        <v>2753</v>
      </c>
      <c r="B301" s="382" t="s">
        <v>4021</v>
      </c>
      <c r="C301" s="382" t="s">
        <v>2761</v>
      </c>
      <c r="D301" s="382">
        <v>0</v>
      </c>
      <c r="E301" s="403" t="s">
        <v>4117</v>
      </c>
    </row>
    <row r="302" spans="1:5">
      <c r="A302" s="382" t="s">
        <v>1381</v>
      </c>
      <c r="B302" s="382" t="s">
        <v>4020</v>
      </c>
      <c r="C302" s="382" t="s">
        <v>2744</v>
      </c>
      <c r="D302" s="382">
        <v>379</v>
      </c>
      <c r="E302" s="403" t="s">
        <v>4241</v>
      </c>
    </row>
    <row r="303" spans="1:5">
      <c r="A303" s="382" t="s">
        <v>1381</v>
      </c>
      <c r="B303" s="382" t="s">
        <v>4020</v>
      </c>
      <c r="C303" s="382" t="s">
        <v>2747</v>
      </c>
      <c r="D303" s="382">
        <v>53</v>
      </c>
      <c r="E303" s="403" t="s">
        <v>4241</v>
      </c>
    </row>
    <row r="304" spans="1:5">
      <c r="A304" s="382" t="s">
        <v>1381</v>
      </c>
      <c r="B304" s="382" t="s">
        <v>4020</v>
      </c>
      <c r="C304" s="382" t="s">
        <v>2748</v>
      </c>
      <c r="D304" s="382">
        <v>0</v>
      </c>
      <c r="E304" s="403" t="s">
        <v>4241</v>
      </c>
    </row>
    <row r="305" spans="1:5">
      <c r="A305" s="382" t="s">
        <v>1381</v>
      </c>
      <c r="B305" s="382" t="s">
        <v>4020</v>
      </c>
      <c r="C305" s="382" t="s">
        <v>2749</v>
      </c>
      <c r="D305" s="382">
        <v>61</v>
      </c>
      <c r="E305" s="403" t="s">
        <v>4241</v>
      </c>
    </row>
    <row r="306" spans="1:5">
      <c r="A306" s="382" t="s">
        <v>1381</v>
      </c>
      <c r="B306" s="382" t="s">
        <v>4020</v>
      </c>
      <c r="C306" s="382" t="s">
        <v>2750</v>
      </c>
      <c r="D306" s="382">
        <v>6</v>
      </c>
      <c r="E306" s="403" t="s">
        <v>4241</v>
      </c>
    </row>
    <row r="307" spans="1:5">
      <c r="A307" s="382" t="s">
        <v>1381</v>
      </c>
      <c r="B307" s="382" t="s">
        <v>4020</v>
      </c>
      <c r="C307" s="382" t="s">
        <v>2751</v>
      </c>
      <c r="D307" s="382">
        <v>0</v>
      </c>
      <c r="E307" s="403" t="s">
        <v>4241</v>
      </c>
    </row>
    <row r="308" spans="1:5">
      <c r="A308" s="382" t="s">
        <v>1381</v>
      </c>
      <c r="B308" s="382" t="s">
        <v>4020</v>
      </c>
      <c r="C308" s="382" t="s">
        <v>2752</v>
      </c>
      <c r="D308" s="382">
        <v>0</v>
      </c>
      <c r="E308" s="403" t="s">
        <v>4241</v>
      </c>
    </row>
    <row r="309" spans="1:5">
      <c r="A309" s="382" t="s">
        <v>1381</v>
      </c>
      <c r="B309" s="382" t="s">
        <v>4021</v>
      </c>
      <c r="C309" s="382" t="s">
        <v>2754</v>
      </c>
      <c r="D309" s="382">
        <v>2</v>
      </c>
      <c r="E309" s="403" t="s">
        <v>4241</v>
      </c>
    </row>
    <row r="310" spans="1:5">
      <c r="A310" s="382" t="s">
        <v>1381</v>
      </c>
      <c r="B310" s="382" t="s">
        <v>4021</v>
      </c>
      <c r="C310" s="382" t="s">
        <v>2755</v>
      </c>
      <c r="D310" s="382">
        <v>490</v>
      </c>
      <c r="E310" s="403" t="s">
        <v>4241</v>
      </c>
    </row>
    <row r="311" spans="1:5">
      <c r="A311" s="382" t="s">
        <v>1381</v>
      </c>
      <c r="B311" s="382" t="s">
        <v>4021</v>
      </c>
      <c r="C311" s="382" t="s">
        <v>2756</v>
      </c>
      <c r="D311" s="382">
        <v>359</v>
      </c>
      <c r="E311" s="403" t="s">
        <v>4241</v>
      </c>
    </row>
    <row r="312" spans="1:5">
      <c r="A312" s="382" t="s">
        <v>1381</v>
      </c>
      <c r="B312" s="382" t="s">
        <v>4021</v>
      </c>
      <c r="C312" s="382" t="s">
        <v>2757</v>
      </c>
      <c r="D312" s="382">
        <v>71</v>
      </c>
      <c r="E312" s="403" t="s">
        <v>4241</v>
      </c>
    </row>
    <row r="313" spans="1:5">
      <c r="A313" s="382" t="s">
        <v>1381</v>
      </c>
      <c r="B313" s="382" t="s">
        <v>4021</v>
      </c>
      <c r="C313" s="382" t="s">
        <v>2758</v>
      </c>
      <c r="D313" s="382">
        <v>23</v>
      </c>
      <c r="E313" s="403" t="s">
        <v>4241</v>
      </c>
    </row>
    <row r="314" spans="1:5">
      <c r="A314" s="382" t="s">
        <v>1381</v>
      </c>
      <c r="B314" s="382" t="s">
        <v>4021</v>
      </c>
      <c r="C314" s="382" t="s">
        <v>2759</v>
      </c>
      <c r="D314" s="382">
        <v>11</v>
      </c>
      <c r="E314" s="403" t="s">
        <v>4241</v>
      </c>
    </row>
    <row r="315" spans="1:5">
      <c r="A315" s="382" t="s">
        <v>1381</v>
      </c>
      <c r="B315" s="382" t="s">
        <v>4021</v>
      </c>
      <c r="C315" s="382" t="s">
        <v>2760</v>
      </c>
      <c r="D315" s="382">
        <v>1</v>
      </c>
      <c r="E315" s="403" t="s">
        <v>4241</v>
      </c>
    </row>
    <row r="316" spans="1:5">
      <c r="A316" s="382" t="s">
        <v>1381</v>
      </c>
      <c r="B316" s="382" t="s">
        <v>4021</v>
      </c>
      <c r="C316" s="382" t="s">
        <v>2761</v>
      </c>
      <c r="D316" s="382">
        <v>0</v>
      </c>
      <c r="E316" s="403" t="s">
        <v>4241</v>
      </c>
    </row>
    <row r="317" spans="1:5">
      <c r="A317" s="382" t="s">
        <v>2753</v>
      </c>
      <c r="B317" s="382" t="s">
        <v>4020</v>
      </c>
      <c r="C317" s="382" t="s">
        <v>2744</v>
      </c>
      <c r="D317" s="382">
        <v>2977</v>
      </c>
      <c r="E317" s="403" t="s">
        <v>4241</v>
      </c>
    </row>
    <row r="318" spans="1:5">
      <c r="A318" s="382" t="s">
        <v>2753</v>
      </c>
      <c r="B318" s="382" t="s">
        <v>4020</v>
      </c>
      <c r="C318" s="382" t="s">
        <v>2747</v>
      </c>
      <c r="D318" s="382">
        <v>733</v>
      </c>
      <c r="E318" s="403" t="s">
        <v>4241</v>
      </c>
    </row>
    <row r="319" spans="1:5">
      <c r="A319" s="382" t="s">
        <v>2753</v>
      </c>
      <c r="B319" s="382" t="s">
        <v>4020</v>
      </c>
      <c r="C319" s="382" t="s">
        <v>2748</v>
      </c>
      <c r="D319" s="382">
        <v>171</v>
      </c>
      <c r="E319" s="403" t="s">
        <v>4241</v>
      </c>
    </row>
    <row r="320" spans="1:5">
      <c r="A320" s="382" t="s">
        <v>2753</v>
      </c>
      <c r="B320" s="382" t="s">
        <v>4020</v>
      </c>
      <c r="C320" s="382" t="s">
        <v>2749</v>
      </c>
      <c r="D320" s="382">
        <v>144</v>
      </c>
      <c r="E320" s="403" t="s">
        <v>4241</v>
      </c>
    </row>
    <row r="321" spans="1:5">
      <c r="A321" s="382" t="s">
        <v>2753</v>
      </c>
      <c r="B321" s="382" t="s">
        <v>4020</v>
      </c>
      <c r="C321" s="382" t="s">
        <v>2750</v>
      </c>
      <c r="D321" s="382">
        <v>60</v>
      </c>
      <c r="E321" s="403" t="s">
        <v>4241</v>
      </c>
    </row>
    <row r="322" spans="1:5">
      <c r="A322" s="382" t="s">
        <v>2753</v>
      </c>
      <c r="B322" s="382" t="s">
        <v>4020</v>
      </c>
      <c r="C322" s="382" t="s">
        <v>2751</v>
      </c>
      <c r="D322" s="382">
        <v>6</v>
      </c>
      <c r="E322" s="403" t="s">
        <v>4241</v>
      </c>
    </row>
    <row r="323" spans="1:5">
      <c r="A323" s="382" t="s">
        <v>2753</v>
      </c>
      <c r="B323" s="382" t="s">
        <v>4020</v>
      </c>
      <c r="C323" s="382" t="s">
        <v>2752</v>
      </c>
      <c r="D323" s="382">
        <v>0</v>
      </c>
      <c r="E323" s="403" t="s">
        <v>4241</v>
      </c>
    </row>
    <row r="324" spans="1:5">
      <c r="A324" s="382" t="s">
        <v>2753</v>
      </c>
      <c r="B324" s="382" t="s">
        <v>4021</v>
      </c>
      <c r="C324" s="382" t="s">
        <v>2754</v>
      </c>
      <c r="D324" s="382">
        <v>0</v>
      </c>
      <c r="E324" s="403" t="s">
        <v>4241</v>
      </c>
    </row>
    <row r="325" spans="1:5">
      <c r="A325" s="382" t="s">
        <v>2753</v>
      </c>
      <c r="B325" s="382" t="s">
        <v>4021</v>
      </c>
      <c r="C325" s="382" t="s">
        <v>2755</v>
      </c>
      <c r="D325" s="382">
        <v>0</v>
      </c>
      <c r="E325" s="403" t="s">
        <v>4241</v>
      </c>
    </row>
    <row r="326" spans="1:5">
      <c r="A326" s="382" t="s">
        <v>2753</v>
      </c>
      <c r="B326" s="382" t="s">
        <v>4021</v>
      </c>
      <c r="C326" s="382" t="s">
        <v>2756</v>
      </c>
      <c r="D326" s="382">
        <v>77</v>
      </c>
      <c r="E326" s="403" t="s">
        <v>4241</v>
      </c>
    </row>
    <row r="327" spans="1:5">
      <c r="A327" s="382" t="s">
        <v>2753</v>
      </c>
      <c r="B327" s="382" t="s">
        <v>4021</v>
      </c>
      <c r="C327" s="382" t="s">
        <v>2757</v>
      </c>
      <c r="D327" s="382">
        <v>58</v>
      </c>
      <c r="E327" s="403" t="s">
        <v>4241</v>
      </c>
    </row>
    <row r="328" spans="1:5">
      <c r="A328" s="382" t="s">
        <v>2753</v>
      </c>
      <c r="B328" s="382" t="s">
        <v>4021</v>
      </c>
      <c r="C328" s="382" t="s">
        <v>2758</v>
      </c>
      <c r="D328" s="382">
        <v>25</v>
      </c>
      <c r="E328" s="403" t="s">
        <v>4241</v>
      </c>
    </row>
    <row r="329" spans="1:5">
      <c r="A329" s="382" t="s">
        <v>2753</v>
      </c>
      <c r="B329" s="382" t="s">
        <v>4021</v>
      </c>
      <c r="C329" s="382" t="s">
        <v>2759</v>
      </c>
      <c r="D329" s="382">
        <v>4</v>
      </c>
      <c r="E329" s="403" t="s">
        <v>4241</v>
      </c>
    </row>
    <row r="330" spans="1:5">
      <c r="A330" s="382" t="s">
        <v>2753</v>
      </c>
      <c r="B330" s="382" t="s">
        <v>4021</v>
      </c>
      <c r="C330" s="382" t="s">
        <v>2760</v>
      </c>
      <c r="D330" s="382">
        <v>0</v>
      </c>
      <c r="E330" s="403" t="s">
        <v>4241</v>
      </c>
    </row>
    <row r="331" spans="1:5">
      <c r="A331" s="382" t="s">
        <v>2753</v>
      </c>
      <c r="B331" s="382" t="s">
        <v>4021</v>
      </c>
      <c r="C331" s="382" t="s">
        <v>2761</v>
      </c>
      <c r="D331" s="382">
        <v>0</v>
      </c>
      <c r="E331" s="403" t="s">
        <v>4241</v>
      </c>
    </row>
    <row r="332" spans="1:5">
      <c r="A332" s="382" t="s">
        <v>1381</v>
      </c>
      <c r="B332" s="382" t="s">
        <v>4020</v>
      </c>
      <c r="C332" s="382" t="s">
        <v>2744</v>
      </c>
      <c r="D332" s="382">
        <v>235</v>
      </c>
      <c r="E332" s="403" t="s">
        <v>4282</v>
      </c>
    </row>
    <row r="333" spans="1:5">
      <c r="A333" s="382" t="s">
        <v>1381</v>
      </c>
      <c r="B333" s="382" t="s">
        <v>4020</v>
      </c>
      <c r="C333" s="382" t="s">
        <v>2747</v>
      </c>
      <c r="D333" s="382">
        <v>41</v>
      </c>
      <c r="E333" s="403" t="s">
        <v>4282</v>
      </c>
    </row>
    <row r="334" spans="1:5">
      <c r="A334" s="382" t="s">
        <v>1381</v>
      </c>
      <c r="B334" s="382" t="s">
        <v>4020</v>
      </c>
      <c r="C334" s="382" t="s">
        <v>2748</v>
      </c>
      <c r="D334" s="382">
        <v>0</v>
      </c>
      <c r="E334" s="403" t="s">
        <v>4282</v>
      </c>
    </row>
    <row r="335" spans="1:5">
      <c r="A335" s="382" t="s">
        <v>1381</v>
      </c>
      <c r="B335" s="382" t="s">
        <v>4020</v>
      </c>
      <c r="C335" s="382" t="s">
        <v>2749</v>
      </c>
      <c r="D335" s="382">
        <v>61</v>
      </c>
      <c r="E335" s="403" t="s">
        <v>4282</v>
      </c>
    </row>
    <row r="336" spans="1:5">
      <c r="A336" s="382" t="s">
        <v>1381</v>
      </c>
      <c r="B336" s="382" t="s">
        <v>4020</v>
      </c>
      <c r="C336" s="382" t="s">
        <v>2750</v>
      </c>
      <c r="D336" s="382">
        <v>6</v>
      </c>
      <c r="E336" s="403" t="s">
        <v>4282</v>
      </c>
    </row>
    <row r="337" spans="1:5">
      <c r="A337" s="382" t="s">
        <v>1381</v>
      </c>
      <c r="B337" s="382" t="s">
        <v>4020</v>
      </c>
      <c r="C337" s="382" t="s">
        <v>2751</v>
      </c>
      <c r="D337" s="382">
        <v>0</v>
      </c>
      <c r="E337" s="403" t="s">
        <v>4282</v>
      </c>
    </row>
    <row r="338" spans="1:5">
      <c r="A338" s="382" t="s">
        <v>1381</v>
      </c>
      <c r="B338" s="382" t="s">
        <v>4020</v>
      </c>
      <c r="C338" s="382" t="s">
        <v>2752</v>
      </c>
      <c r="D338" s="382">
        <v>0</v>
      </c>
      <c r="E338" s="403" t="s">
        <v>4282</v>
      </c>
    </row>
    <row r="339" spans="1:5">
      <c r="A339" s="382" t="s">
        <v>1381</v>
      </c>
      <c r="B339" s="382" t="s">
        <v>4021</v>
      </c>
      <c r="C339" s="382" t="s">
        <v>2754</v>
      </c>
      <c r="D339" s="382">
        <v>2</v>
      </c>
      <c r="E339" s="403" t="s">
        <v>4282</v>
      </c>
    </row>
    <row r="340" spans="1:5">
      <c r="A340" s="382" t="s">
        <v>1381</v>
      </c>
      <c r="B340" s="382" t="s">
        <v>4021</v>
      </c>
      <c r="C340" s="382" t="s">
        <v>2755</v>
      </c>
      <c r="D340" s="382">
        <v>283</v>
      </c>
      <c r="E340" s="403" t="s">
        <v>4282</v>
      </c>
    </row>
    <row r="341" spans="1:5">
      <c r="A341" s="382" t="s">
        <v>1381</v>
      </c>
      <c r="B341" s="382" t="s">
        <v>4021</v>
      </c>
      <c r="C341" s="382" t="s">
        <v>2756</v>
      </c>
      <c r="D341" s="382">
        <v>344</v>
      </c>
      <c r="E341" s="403" t="s">
        <v>4282</v>
      </c>
    </row>
    <row r="342" spans="1:5">
      <c r="A342" s="382" t="s">
        <v>1381</v>
      </c>
      <c r="B342" s="382" t="s">
        <v>4021</v>
      </c>
      <c r="C342" s="382" t="s">
        <v>2757</v>
      </c>
      <c r="D342" s="382">
        <v>68</v>
      </c>
      <c r="E342" s="403" t="s">
        <v>4282</v>
      </c>
    </row>
    <row r="343" spans="1:5">
      <c r="A343" s="382" t="s">
        <v>1381</v>
      </c>
      <c r="B343" s="382" t="s">
        <v>4021</v>
      </c>
      <c r="C343" s="382" t="s">
        <v>2758</v>
      </c>
      <c r="D343" s="382">
        <v>22</v>
      </c>
      <c r="E343" s="403" t="s">
        <v>4282</v>
      </c>
    </row>
    <row r="344" spans="1:5">
      <c r="A344" s="382" t="s">
        <v>1381</v>
      </c>
      <c r="B344" s="382" t="s">
        <v>4021</v>
      </c>
      <c r="C344" s="382" t="s">
        <v>2759</v>
      </c>
      <c r="D344" s="382">
        <v>11</v>
      </c>
      <c r="E344" s="403" t="s">
        <v>4282</v>
      </c>
    </row>
    <row r="345" spans="1:5">
      <c r="A345" s="382" t="s">
        <v>1381</v>
      </c>
      <c r="B345" s="382" t="s">
        <v>4021</v>
      </c>
      <c r="C345" s="382" t="s">
        <v>2760</v>
      </c>
      <c r="D345" s="382">
        <v>1</v>
      </c>
      <c r="E345" s="403" t="s">
        <v>4282</v>
      </c>
    </row>
    <row r="346" spans="1:5">
      <c r="A346" s="382" t="s">
        <v>1381</v>
      </c>
      <c r="B346" s="382" t="s">
        <v>4021</v>
      </c>
      <c r="C346" s="382" t="s">
        <v>2761</v>
      </c>
      <c r="D346" s="382">
        <v>0</v>
      </c>
      <c r="E346" s="403" t="s">
        <v>4282</v>
      </c>
    </row>
    <row r="347" spans="1:5">
      <c r="A347" s="382" t="s">
        <v>2753</v>
      </c>
      <c r="B347" s="382" t="s">
        <v>4020</v>
      </c>
      <c r="C347" s="382" t="s">
        <v>2744</v>
      </c>
      <c r="D347" s="382">
        <v>2972</v>
      </c>
      <c r="E347" s="403" t="s">
        <v>4282</v>
      </c>
    </row>
    <row r="348" spans="1:5">
      <c r="A348" s="382" t="s">
        <v>2753</v>
      </c>
      <c r="B348" s="382" t="s">
        <v>4020</v>
      </c>
      <c r="C348" s="382" t="s">
        <v>2747</v>
      </c>
      <c r="D348" s="382">
        <v>733</v>
      </c>
      <c r="E348" s="403" t="s">
        <v>4282</v>
      </c>
    </row>
    <row r="349" spans="1:5">
      <c r="A349" s="382" t="s">
        <v>2753</v>
      </c>
      <c r="B349" s="382" t="s">
        <v>4020</v>
      </c>
      <c r="C349" s="382" t="s">
        <v>2748</v>
      </c>
      <c r="D349" s="382">
        <v>167</v>
      </c>
      <c r="E349" s="403" t="s">
        <v>4282</v>
      </c>
    </row>
    <row r="350" spans="1:5">
      <c r="A350" s="382" t="s">
        <v>2753</v>
      </c>
      <c r="B350" s="382" t="s">
        <v>4020</v>
      </c>
      <c r="C350" s="382" t="s">
        <v>2749</v>
      </c>
      <c r="D350" s="382">
        <v>144</v>
      </c>
      <c r="E350" s="403" t="s">
        <v>4282</v>
      </c>
    </row>
    <row r="351" spans="1:5">
      <c r="A351" s="382" t="s">
        <v>2753</v>
      </c>
      <c r="B351" s="382" t="s">
        <v>4020</v>
      </c>
      <c r="C351" s="382" t="s">
        <v>2750</v>
      </c>
      <c r="D351" s="382">
        <v>60</v>
      </c>
      <c r="E351" s="403" t="s">
        <v>4282</v>
      </c>
    </row>
    <row r="352" spans="1:5">
      <c r="A352" s="382" t="s">
        <v>2753</v>
      </c>
      <c r="B352" s="382" t="s">
        <v>4020</v>
      </c>
      <c r="C352" s="382" t="s">
        <v>2751</v>
      </c>
      <c r="D352" s="382">
        <v>6</v>
      </c>
      <c r="E352" s="403" t="s">
        <v>4282</v>
      </c>
    </row>
    <row r="353" spans="1:5">
      <c r="A353" s="382" t="s">
        <v>2753</v>
      </c>
      <c r="B353" s="382" t="s">
        <v>4020</v>
      </c>
      <c r="C353" s="382" t="s">
        <v>2752</v>
      </c>
      <c r="D353" s="382">
        <v>0</v>
      </c>
      <c r="E353" s="403" t="s">
        <v>4282</v>
      </c>
    </row>
    <row r="354" spans="1:5">
      <c r="A354" s="382" t="s">
        <v>2753</v>
      </c>
      <c r="B354" s="382" t="s">
        <v>4021</v>
      </c>
      <c r="C354" s="382" t="s">
        <v>2754</v>
      </c>
      <c r="D354" s="382">
        <v>0</v>
      </c>
      <c r="E354" s="403" t="s">
        <v>4282</v>
      </c>
    </row>
    <row r="355" spans="1:5">
      <c r="A355" s="382" t="s">
        <v>2753</v>
      </c>
      <c r="B355" s="382" t="s">
        <v>4021</v>
      </c>
      <c r="C355" s="382" t="s">
        <v>2755</v>
      </c>
      <c r="D355" s="382">
        <v>30</v>
      </c>
      <c r="E355" s="403" t="s">
        <v>4282</v>
      </c>
    </row>
    <row r="356" spans="1:5">
      <c r="A356" s="382" t="s">
        <v>2753</v>
      </c>
      <c r="B356" s="382" t="s">
        <v>4021</v>
      </c>
      <c r="C356" s="382" t="s">
        <v>2756</v>
      </c>
      <c r="D356" s="382">
        <v>77</v>
      </c>
      <c r="E356" s="403" t="s">
        <v>4282</v>
      </c>
    </row>
    <row r="357" spans="1:5">
      <c r="A357" s="382" t="s">
        <v>2753</v>
      </c>
      <c r="B357" s="382" t="s">
        <v>4021</v>
      </c>
      <c r="C357" s="382" t="s">
        <v>2757</v>
      </c>
      <c r="D357" s="382">
        <v>58</v>
      </c>
      <c r="E357" s="403" t="s">
        <v>4282</v>
      </c>
    </row>
    <row r="358" spans="1:5">
      <c r="A358" s="382" t="s">
        <v>2753</v>
      </c>
      <c r="B358" s="382" t="s">
        <v>4021</v>
      </c>
      <c r="C358" s="382" t="s">
        <v>2758</v>
      </c>
      <c r="D358" s="382">
        <v>25</v>
      </c>
      <c r="E358" s="403" t="s">
        <v>4282</v>
      </c>
    </row>
    <row r="359" spans="1:5">
      <c r="A359" s="382" t="s">
        <v>2753</v>
      </c>
      <c r="B359" s="382" t="s">
        <v>4021</v>
      </c>
      <c r="C359" s="382" t="s">
        <v>2759</v>
      </c>
      <c r="D359" s="382">
        <v>4</v>
      </c>
      <c r="E359" s="403" t="s">
        <v>4282</v>
      </c>
    </row>
    <row r="360" spans="1:5">
      <c r="A360" s="382" t="s">
        <v>2753</v>
      </c>
      <c r="B360" s="382" t="s">
        <v>4021</v>
      </c>
      <c r="C360" s="382" t="s">
        <v>2760</v>
      </c>
      <c r="D360" s="382">
        <v>0</v>
      </c>
      <c r="E360" s="403" t="s">
        <v>4282</v>
      </c>
    </row>
    <row r="361" spans="1:5">
      <c r="A361" s="382" t="s">
        <v>2753</v>
      </c>
      <c r="B361" s="382" t="s">
        <v>4021</v>
      </c>
      <c r="C361" s="382" t="s">
        <v>2761</v>
      </c>
      <c r="D361" s="382">
        <v>0</v>
      </c>
      <c r="E361" s="403" t="s">
        <v>4282</v>
      </c>
    </row>
    <row r="362" spans="1:5">
      <c r="A362" s="382" t="s">
        <v>1381</v>
      </c>
      <c r="B362" s="382" t="s">
        <v>4020</v>
      </c>
      <c r="C362" s="382" t="s">
        <v>2744</v>
      </c>
      <c r="D362" s="382">
        <v>0</v>
      </c>
      <c r="E362" s="403" t="s">
        <v>4258</v>
      </c>
    </row>
    <row r="363" spans="1:5">
      <c r="A363" s="382" t="s">
        <v>1381</v>
      </c>
      <c r="B363" s="382" t="s">
        <v>4020</v>
      </c>
      <c r="C363" s="382" t="s">
        <v>2747</v>
      </c>
      <c r="D363" s="382">
        <v>0</v>
      </c>
      <c r="E363" s="403" t="s">
        <v>4258</v>
      </c>
    </row>
    <row r="364" spans="1:5">
      <c r="A364" s="382" t="s">
        <v>1381</v>
      </c>
      <c r="B364" s="382" t="s">
        <v>4020</v>
      </c>
      <c r="C364" s="382" t="s">
        <v>2748</v>
      </c>
      <c r="D364" s="382">
        <v>0</v>
      </c>
      <c r="E364" s="403" t="s">
        <v>4258</v>
      </c>
    </row>
    <row r="365" spans="1:5">
      <c r="A365" s="382" t="s">
        <v>1381</v>
      </c>
      <c r="B365" s="382" t="s">
        <v>4020</v>
      </c>
      <c r="C365" s="382" t="s">
        <v>2749</v>
      </c>
      <c r="D365" s="382">
        <v>56</v>
      </c>
      <c r="E365" s="403" t="s">
        <v>4258</v>
      </c>
    </row>
    <row r="366" spans="1:5">
      <c r="A366" s="382" t="s">
        <v>1381</v>
      </c>
      <c r="B366" s="382" t="s">
        <v>4020</v>
      </c>
      <c r="C366" s="382" t="s">
        <v>2750</v>
      </c>
      <c r="D366" s="382">
        <v>4</v>
      </c>
      <c r="E366" s="403" t="s">
        <v>4258</v>
      </c>
    </row>
    <row r="367" spans="1:5">
      <c r="A367" s="382" t="s">
        <v>1381</v>
      </c>
      <c r="B367" s="382" t="s">
        <v>4020</v>
      </c>
      <c r="C367" s="382" t="s">
        <v>2751</v>
      </c>
      <c r="D367" s="382">
        <v>0</v>
      </c>
      <c r="E367" s="403" t="s">
        <v>4258</v>
      </c>
    </row>
    <row r="368" spans="1:5">
      <c r="A368" s="382" t="s">
        <v>1381</v>
      </c>
      <c r="B368" s="382" t="s">
        <v>4020</v>
      </c>
      <c r="C368" s="382" t="s">
        <v>2752</v>
      </c>
      <c r="D368" s="382">
        <v>0</v>
      </c>
      <c r="E368" s="403" t="s">
        <v>4258</v>
      </c>
    </row>
    <row r="369" spans="1:5">
      <c r="A369" s="382" t="s">
        <v>1381</v>
      </c>
      <c r="B369" s="382" t="s">
        <v>4021</v>
      </c>
      <c r="C369" s="382" t="s">
        <v>2754</v>
      </c>
      <c r="D369" s="382">
        <v>2</v>
      </c>
      <c r="E369" s="403" t="s">
        <v>4258</v>
      </c>
    </row>
    <row r="370" spans="1:5">
      <c r="A370" s="382" t="s">
        <v>1381</v>
      </c>
      <c r="B370" s="382" t="s">
        <v>4021</v>
      </c>
      <c r="C370" s="382" t="s">
        <v>2755</v>
      </c>
      <c r="D370" s="382">
        <v>163</v>
      </c>
      <c r="E370" s="403" t="s">
        <v>4258</v>
      </c>
    </row>
    <row r="371" spans="1:5">
      <c r="A371" s="382" t="s">
        <v>1381</v>
      </c>
      <c r="B371" s="382" t="s">
        <v>4021</v>
      </c>
      <c r="C371" s="382" t="s">
        <v>2756</v>
      </c>
      <c r="D371" s="382">
        <v>330</v>
      </c>
      <c r="E371" s="403" t="s">
        <v>4258</v>
      </c>
    </row>
    <row r="372" spans="1:5">
      <c r="A372" s="382" t="s">
        <v>1381</v>
      </c>
      <c r="B372" s="382" t="s">
        <v>4021</v>
      </c>
      <c r="C372" s="382" t="s">
        <v>2757</v>
      </c>
      <c r="D372" s="382">
        <v>60</v>
      </c>
      <c r="E372" s="403" t="s">
        <v>4258</v>
      </c>
    </row>
    <row r="373" spans="1:5">
      <c r="A373" s="382" t="s">
        <v>1381</v>
      </c>
      <c r="B373" s="382" t="s">
        <v>4021</v>
      </c>
      <c r="C373" s="382" t="s">
        <v>2758</v>
      </c>
      <c r="D373" s="382">
        <v>17</v>
      </c>
      <c r="E373" s="403" t="s">
        <v>4258</v>
      </c>
    </row>
    <row r="374" spans="1:5">
      <c r="A374" s="382" t="s">
        <v>1381</v>
      </c>
      <c r="B374" s="382" t="s">
        <v>4021</v>
      </c>
      <c r="C374" s="382" t="s">
        <v>2759</v>
      </c>
      <c r="D374" s="382">
        <v>7</v>
      </c>
      <c r="E374" s="403" t="s">
        <v>4258</v>
      </c>
    </row>
    <row r="375" spans="1:5">
      <c r="A375" s="382" t="s">
        <v>1381</v>
      </c>
      <c r="B375" s="382" t="s">
        <v>4021</v>
      </c>
      <c r="C375" s="382" t="s">
        <v>2760</v>
      </c>
      <c r="D375" s="382">
        <v>1</v>
      </c>
      <c r="E375" s="403" t="s">
        <v>4258</v>
      </c>
    </row>
    <row r="376" spans="1:5">
      <c r="A376" s="382" t="s">
        <v>1381</v>
      </c>
      <c r="B376" s="382" t="s">
        <v>4021</v>
      </c>
      <c r="C376" s="382" t="s">
        <v>2761</v>
      </c>
      <c r="D376" s="382">
        <v>0</v>
      </c>
      <c r="E376" s="403" t="s">
        <v>4258</v>
      </c>
    </row>
    <row r="377" spans="1:5">
      <c r="A377" s="382" t="s">
        <v>2753</v>
      </c>
      <c r="B377" s="382" t="s">
        <v>4020</v>
      </c>
      <c r="C377" s="382" t="s">
        <v>2744</v>
      </c>
      <c r="D377" s="382">
        <v>2749</v>
      </c>
      <c r="E377" s="403" t="s">
        <v>4258</v>
      </c>
    </row>
    <row r="378" spans="1:5">
      <c r="A378" s="382" t="s">
        <v>2753</v>
      </c>
      <c r="B378" s="382" t="s">
        <v>4020</v>
      </c>
      <c r="C378" s="382" t="s">
        <v>2747</v>
      </c>
      <c r="D378" s="382">
        <v>653</v>
      </c>
      <c r="E378" s="403" t="s">
        <v>4258</v>
      </c>
    </row>
    <row r="379" spans="1:5">
      <c r="A379" s="382" t="s">
        <v>2753</v>
      </c>
      <c r="B379" s="382" t="s">
        <v>4020</v>
      </c>
      <c r="C379" s="382" t="s">
        <v>2748</v>
      </c>
      <c r="D379" s="382">
        <v>141</v>
      </c>
      <c r="E379" s="403" t="s">
        <v>4258</v>
      </c>
    </row>
    <row r="380" spans="1:5">
      <c r="A380" s="382" t="s">
        <v>2753</v>
      </c>
      <c r="B380" s="382" t="s">
        <v>4020</v>
      </c>
      <c r="C380" s="382" t="s">
        <v>2749</v>
      </c>
      <c r="D380" s="382">
        <v>144</v>
      </c>
      <c r="E380" s="403" t="s">
        <v>4258</v>
      </c>
    </row>
    <row r="381" spans="1:5">
      <c r="A381" s="382" t="s">
        <v>2753</v>
      </c>
      <c r="B381" s="382" t="s">
        <v>4020</v>
      </c>
      <c r="C381" s="382" t="s">
        <v>2750</v>
      </c>
      <c r="D381" s="382">
        <v>58</v>
      </c>
      <c r="E381" s="403" t="s">
        <v>4258</v>
      </c>
    </row>
    <row r="382" spans="1:5">
      <c r="A382" s="382" t="s">
        <v>2753</v>
      </c>
      <c r="B382" s="382" t="s">
        <v>4020</v>
      </c>
      <c r="C382" s="382" t="s">
        <v>2751</v>
      </c>
      <c r="D382" s="382">
        <v>4</v>
      </c>
      <c r="E382" s="403" t="s">
        <v>4258</v>
      </c>
    </row>
    <row r="383" spans="1:5">
      <c r="A383" s="382" t="s">
        <v>2753</v>
      </c>
      <c r="B383" s="382" t="s">
        <v>4020</v>
      </c>
      <c r="C383" s="382" t="s">
        <v>2752</v>
      </c>
      <c r="D383" s="382">
        <v>0</v>
      </c>
      <c r="E383" s="403" t="s">
        <v>4258</v>
      </c>
    </row>
    <row r="384" spans="1:5">
      <c r="A384" s="382" t="s">
        <v>2753</v>
      </c>
      <c r="B384" s="382" t="s">
        <v>4021</v>
      </c>
      <c r="C384" s="382" t="s">
        <v>2754</v>
      </c>
      <c r="D384" s="382">
        <v>0</v>
      </c>
      <c r="E384" s="403" t="s">
        <v>4258</v>
      </c>
    </row>
    <row r="385" spans="1:5">
      <c r="A385" s="382" t="s">
        <v>2753</v>
      </c>
      <c r="B385" s="382" t="s">
        <v>4021</v>
      </c>
      <c r="C385" s="382" t="s">
        <v>2755</v>
      </c>
      <c r="D385" s="382">
        <v>30</v>
      </c>
      <c r="E385" s="403" t="s">
        <v>4258</v>
      </c>
    </row>
    <row r="386" spans="1:5">
      <c r="A386" s="382" t="s">
        <v>2753</v>
      </c>
      <c r="B386" s="382" t="s">
        <v>4021</v>
      </c>
      <c r="C386" s="382" t="s">
        <v>2756</v>
      </c>
      <c r="D386" s="382">
        <v>77</v>
      </c>
      <c r="E386" s="403" t="s">
        <v>4258</v>
      </c>
    </row>
    <row r="387" spans="1:5">
      <c r="A387" s="382" t="s">
        <v>2753</v>
      </c>
      <c r="B387" s="382" t="s">
        <v>4021</v>
      </c>
      <c r="C387" s="382" t="s">
        <v>2757</v>
      </c>
      <c r="D387" s="382">
        <v>58</v>
      </c>
      <c r="E387" s="403" t="s">
        <v>4258</v>
      </c>
    </row>
    <row r="388" spans="1:5">
      <c r="A388" s="382" t="s">
        <v>2753</v>
      </c>
      <c r="B388" s="382" t="s">
        <v>4021</v>
      </c>
      <c r="C388" s="382" t="s">
        <v>2758</v>
      </c>
      <c r="D388" s="382">
        <v>25</v>
      </c>
      <c r="E388" s="403" t="s">
        <v>4258</v>
      </c>
    </row>
    <row r="389" spans="1:5">
      <c r="A389" s="382" t="s">
        <v>2753</v>
      </c>
      <c r="B389" s="382" t="s">
        <v>4021</v>
      </c>
      <c r="C389" s="382" t="s">
        <v>2759</v>
      </c>
      <c r="D389" s="382">
        <v>4</v>
      </c>
      <c r="E389" s="403" t="s">
        <v>4258</v>
      </c>
    </row>
    <row r="390" spans="1:5">
      <c r="A390" s="382" t="s">
        <v>2753</v>
      </c>
      <c r="B390" s="382" t="s">
        <v>4021</v>
      </c>
      <c r="C390" s="382" t="s">
        <v>2760</v>
      </c>
      <c r="D390" s="382">
        <v>0</v>
      </c>
      <c r="E390" s="403" t="s">
        <v>4258</v>
      </c>
    </row>
    <row r="391" spans="1:5">
      <c r="A391" s="382" t="s">
        <v>2753</v>
      </c>
      <c r="B391" s="382" t="s">
        <v>4021</v>
      </c>
      <c r="C391" s="382" t="s">
        <v>2761</v>
      </c>
      <c r="D391" s="382">
        <v>0</v>
      </c>
      <c r="E391" s="403" t="s">
        <v>4258</v>
      </c>
    </row>
    <row r="392" spans="1:5">
      <c r="A392" s="382" t="s">
        <v>1381</v>
      </c>
      <c r="B392" s="382" t="s">
        <v>4020</v>
      </c>
      <c r="C392" s="382" t="s">
        <v>2744</v>
      </c>
      <c r="D392" s="382">
        <v>105</v>
      </c>
      <c r="E392" s="403" t="s">
        <v>4295</v>
      </c>
    </row>
    <row r="393" spans="1:5">
      <c r="A393" s="382" t="s">
        <v>1381</v>
      </c>
      <c r="B393" s="382" t="s">
        <v>4020</v>
      </c>
      <c r="C393" s="382" t="s">
        <v>2747</v>
      </c>
      <c r="D393" s="382">
        <v>0</v>
      </c>
      <c r="E393" s="403" t="s">
        <v>4295</v>
      </c>
    </row>
    <row r="394" spans="1:5">
      <c r="A394" s="382" t="s">
        <v>1381</v>
      </c>
      <c r="B394" s="382" t="s">
        <v>4020</v>
      </c>
      <c r="C394" s="382" t="s">
        <v>2748</v>
      </c>
      <c r="D394" s="382">
        <v>0</v>
      </c>
      <c r="E394" s="403" t="s">
        <v>4295</v>
      </c>
    </row>
    <row r="395" spans="1:5">
      <c r="A395" s="382" t="s">
        <v>1381</v>
      </c>
      <c r="B395" s="382" t="s">
        <v>4020</v>
      </c>
      <c r="C395" s="382" t="s">
        <v>2749</v>
      </c>
      <c r="D395" s="382">
        <v>56</v>
      </c>
      <c r="E395" s="403" t="s">
        <v>4295</v>
      </c>
    </row>
    <row r="396" spans="1:5">
      <c r="A396" s="382" t="s">
        <v>1381</v>
      </c>
      <c r="B396" s="382" t="s">
        <v>4020</v>
      </c>
      <c r="C396" s="382" t="s">
        <v>2750</v>
      </c>
      <c r="D396" s="382">
        <v>4</v>
      </c>
      <c r="E396" s="403" t="s">
        <v>4295</v>
      </c>
    </row>
    <row r="397" spans="1:5">
      <c r="A397" s="382" t="s">
        <v>1381</v>
      </c>
      <c r="B397" s="382" t="s">
        <v>4020</v>
      </c>
      <c r="C397" s="382" t="s">
        <v>2751</v>
      </c>
      <c r="D397" s="382">
        <v>0</v>
      </c>
      <c r="E397" s="403" t="s">
        <v>4295</v>
      </c>
    </row>
    <row r="398" spans="1:5">
      <c r="A398" s="382" t="s">
        <v>1381</v>
      </c>
      <c r="B398" s="382" t="s">
        <v>4020</v>
      </c>
      <c r="C398" s="382" t="s">
        <v>2752</v>
      </c>
      <c r="D398" s="382">
        <v>0</v>
      </c>
      <c r="E398" s="403" t="s">
        <v>4295</v>
      </c>
    </row>
    <row r="399" spans="1:5">
      <c r="A399" s="382" t="s">
        <v>1381</v>
      </c>
      <c r="B399" s="382" t="s">
        <v>4021</v>
      </c>
      <c r="C399" s="382" t="s">
        <v>2754</v>
      </c>
      <c r="D399" s="382">
        <v>2</v>
      </c>
      <c r="E399" s="403" t="s">
        <v>4295</v>
      </c>
    </row>
    <row r="400" spans="1:5">
      <c r="A400" s="382" t="s">
        <v>1381</v>
      </c>
      <c r="B400" s="382" t="s">
        <v>4021</v>
      </c>
      <c r="C400" s="382" t="s">
        <v>2755</v>
      </c>
      <c r="D400" s="382">
        <v>143</v>
      </c>
      <c r="E400" s="403" t="s">
        <v>4295</v>
      </c>
    </row>
    <row r="401" spans="1:5">
      <c r="A401" s="382" t="s">
        <v>1381</v>
      </c>
      <c r="B401" s="382" t="s">
        <v>4021</v>
      </c>
      <c r="C401" s="382" t="s">
        <v>2756</v>
      </c>
      <c r="D401" s="382">
        <v>330</v>
      </c>
      <c r="E401" s="403" t="s">
        <v>4295</v>
      </c>
    </row>
    <row r="402" spans="1:5">
      <c r="A402" s="382" t="s">
        <v>1381</v>
      </c>
      <c r="B402" s="382" t="s">
        <v>4021</v>
      </c>
      <c r="C402" s="382" t="s">
        <v>2757</v>
      </c>
      <c r="D402" s="382">
        <v>55</v>
      </c>
      <c r="E402" s="403" t="s">
        <v>4295</v>
      </c>
    </row>
    <row r="403" spans="1:5">
      <c r="A403" s="382" t="s">
        <v>1381</v>
      </c>
      <c r="B403" s="382" t="s">
        <v>4021</v>
      </c>
      <c r="C403" s="382" t="s">
        <v>2758</v>
      </c>
      <c r="D403" s="382">
        <v>12</v>
      </c>
      <c r="E403" s="403" t="s">
        <v>4295</v>
      </c>
    </row>
    <row r="404" spans="1:5">
      <c r="A404" s="382" t="s">
        <v>1381</v>
      </c>
      <c r="B404" s="382" t="s">
        <v>4021</v>
      </c>
      <c r="C404" s="382" t="s">
        <v>2759</v>
      </c>
      <c r="D404" s="382">
        <v>5</v>
      </c>
      <c r="E404" s="403" t="s">
        <v>4295</v>
      </c>
    </row>
    <row r="405" spans="1:5">
      <c r="A405" s="382" t="s">
        <v>1381</v>
      </c>
      <c r="B405" s="382" t="s">
        <v>4021</v>
      </c>
      <c r="C405" s="382" t="s">
        <v>2760</v>
      </c>
      <c r="D405" s="382">
        <v>1</v>
      </c>
      <c r="E405" s="403" t="s">
        <v>4295</v>
      </c>
    </row>
    <row r="406" spans="1:5">
      <c r="A406" s="382" t="s">
        <v>1381</v>
      </c>
      <c r="B406" s="382" t="s">
        <v>4021</v>
      </c>
      <c r="C406" s="382" t="s">
        <v>2761</v>
      </c>
      <c r="D406" s="382">
        <v>0</v>
      </c>
      <c r="E406" s="403" t="s">
        <v>4295</v>
      </c>
    </row>
    <row r="407" spans="1:5">
      <c r="A407" s="382" t="s">
        <v>2753</v>
      </c>
      <c r="B407" s="382" t="s">
        <v>4020</v>
      </c>
      <c r="C407" s="382" t="s">
        <v>2744</v>
      </c>
      <c r="D407" s="382">
        <v>2599</v>
      </c>
      <c r="E407" s="403" t="s">
        <v>4295</v>
      </c>
    </row>
    <row r="408" spans="1:5">
      <c r="A408" s="382" t="s">
        <v>2753</v>
      </c>
      <c r="B408" s="382" t="s">
        <v>4020</v>
      </c>
      <c r="C408" s="382" t="s">
        <v>2747</v>
      </c>
      <c r="D408" s="382">
        <v>646</v>
      </c>
      <c r="E408" s="403" t="s">
        <v>4295</v>
      </c>
    </row>
    <row r="409" spans="1:5">
      <c r="A409" s="382" t="s">
        <v>2753</v>
      </c>
      <c r="B409" s="382" t="s">
        <v>4020</v>
      </c>
      <c r="C409" s="382" t="s">
        <v>2748</v>
      </c>
      <c r="D409" s="382">
        <v>139</v>
      </c>
      <c r="E409" s="403" t="s">
        <v>4295</v>
      </c>
    </row>
    <row r="410" spans="1:5">
      <c r="A410" s="382" t="s">
        <v>2753</v>
      </c>
      <c r="B410" s="382" t="s">
        <v>4020</v>
      </c>
      <c r="C410" s="382" t="s">
        <v>2749</v>
      </c>
      <c r="D410" s="382">
        <v>144</v>
      </c>
      <c r="E410" s="403" t="s">
        <v>4295</v>
      </c>
    </row>
    <row r="411" spans="1:5">
      <c r="A411" s="382" t="s">
        <v>2753</v>
      </c>
      <c r="B411" s="382" t="s">
        <v>4020</v>
      </c>
      <c r="C411" s="382" t="s">
        <v>2750</v>
      </c>
      <c r="D411" s="382">
        <v>58</v>
      </c>
      <c r="E411" s="403" t="s">
        <v>4295</v>
      </c>
    </row>
    <row r="412" spans="1:5">
      <c r="A412" s="382" t="s">
        <v>2753</v>
      </c>
      <c r="B412" s="382" t="s">
        <v>4020</v>
      </c>
      <c r="C412" s="382" t="s">
        <v>2751</v>
      </c>
      <c r="D412" s="382">
        <v>4</v>
      </c>
      <c r="E412" s="403" t="s">
        <v>4295</v>
      </c>
    </row>
    <row r="413" spans="1:5">
      <c r="A413" s="382" t="s">
        <v>2753</v>
      </c>
      <c r="B413" s="382" t="s">
        <v>4020</v>
      </c>
      <c r="C413" s="382" t="s">
        <v>2752</v>
      </c>
      <c r="D413" s="382">
        <v>0</v>
      </c>
      <c r="E413" s="403" t="s">
        <v>4295</v>
      </c>
    </row>
    <row r="414" spans="1:5">
      <c r="A414" s="382" t="s">
        <v>2753</v>
      </c>
      <c r="B414" s="382" t="s">
        <v>4021</v>
      </c>
      <c r="C414" s="382" t="s">
        <v>2754</v>
      </c>
      <c r="D414" s="382">
        <v>0</v>
      </c>
      <c r="E414" s="403" t="s">
        <v>4295</v>
      </c>
    </row>
    <row r="415" spans="1:5">
      <c r="A415" s="382" t="s">
        <v>2753</v>
      </c>
      <c r="B415" s="382" t="s">
        <v>4021</v>
      </c>
      <c r="C415" s="382" t="s">
        <v>2755</v>
      </c>
      <c r="D415" s="382">
        <v>30</v>
      </c>
      <c r="E415" s="403" t="s">
        <v>4295</v>
      </c>
    </row>
    <row r="416" spans="1:5">
      <c r="A416" s="382" t="s">
        <v>2753</v>
      </c>
      <c r="B416" s="382" t="s">
        <v>4021</v>
      </c>
      <c r="C416" s="382" t="s">
        <v>2756</v>
      </c>
      <c r="D416" s="382">
        <v>77</v>
      </c>
      <c r="E416" s="403" t="s">
        <v>4295</v>
      </c>
    </row>
    <row r="417" spans="1:5">
      <c r="A417" s="382" t="s">
        <v>2753</v>
      </c>
      <c r="B417" s="382" t="s">
        <v>4021</v>
      </c>
      <c r="C417" s="382" t="s">
        <v>2757</v>
      </c>
      <c r="D417" s="382">
        <v>58</v>
      </c>
      <c r="E417" s="403" t="s">
        <v>4295</v>
      </c>
    </row>
    <row r="418" spans="1:5">
      <c r="A418" s="382" t="s">
        <v>2753</v>
      </c>
      <c r="B418" s="382" t="s">
        <v>4021</v>
      </c>
      <c r="C418" s="382" t="s">
        <v>2758</v>
      </c>
      <c r="D418" s="382">
        <v>25</v>
      </c>
      <c r="E418" s="403" t="s">
        <v>4295</v>
      </c>
    </row>
    <row r="419" spans="1:5">
      <c r="A419" s="382" t="s">
        <v>2753</v>
      </c>
      <c r="B419" s="382" t="s">
        <v>4021</v>
      </c>
      <c r="C419" s="382" t="s">
        <v>2759</v>
      </c>
      <c r="D419" s="382">
        <v>4</v>
      </c>
      <c r="E419" s="403" t="s">
        <v>4295</v>
      </c>
    </row>
    <row r="420" spans="1:5">
      <c r="A420" s="382" t="s">
        <v>2753</v>
      </c>
      <c r="B420" s="382" t="s">
        <v>4021</v>
      </c>
      <c r="C420" s="382" t="s">
        <v>2760</v>
      </c>
      <c r="D420" s="382">
        <v>0</v>
      </c>
      <c r="E420" s="403" t="s">
        <v>4295</v>
      </c>
    </row>
    <row r="421" spans="1:5">
      <c r="A421" s="382" t="s">
        <v>2753</v>
      </c>
      <c r="B421" s="382" t="s">
        <v>4021</v>
      </c>
      <c r="C421" s="382" t="s">
        <v>2761</v>
      </c>
      <c r="D421" s="382">
        <v>0</v>
      </c>
      <c r="E421" s="403" t="s">
        <v>4295</v>
      </c>
    </row>
  </sheetData>
  <autoFilter ref="A1:E241" xr:uid="{8F924D82-19AE-464A-99AA-F5ABE642A759}"/>
  <phoneticPr fontId="3" type="noConversion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C0E70F39-504A-4D89-9E49-6040A748E94E}">
          <x14:formula1>
            <xm:f>'Data pick slip'!$B$2:$B$22</xm:f>
          </x14:formula1>
          <xm:sqref>C1:C1048576</xm:sqref>
        </x14:dataValidation>
        <x14:dataValidation type="list" allowBlank="1" showInputMessage="1" showErrorMessage="1" xr:uid="{E2A0F16C-0834-4567-8629-288829177013}">
          <x14:formula1>
            <xm:f>'Data pick slip'!$A$2:$A$19</xm:f>
          </x14:formula1>
          <xm:sqref>E1:E1048576</xm:sqref>
        </x14:dataValidation>
        <x14:dataValidation type="list" allowBlank="1" showInputMessage="1" showErrorMessage="1" xr:uid="{2BE905DD-381A-4CDB-BBEF-FE41A53229EF}">
          <x14:formula1>
            <xm:f>'Data pick slip'!$C$2:$C$6</xm:f>
          </x14:formula1>
          <xm:sqref>B1:B1048576</xm:sqref>
        </x14:dataValidation>
        <x14:dataValidation type="list" allowBlank="1" showInputMessage="1" showErrorMessage="1" xr:uid="{49A1D587-55C7-4E92-93B1-E28EEDE3515F}">
          <x14:formula1>
            <xm:f>'Data pick slip'!$E$2:$E$11</xm:f>
          </x14:formula1>
          <xm:sqref>A1:A1048576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929F7-C1DF-4D5D-B823-EC0944D32819}">
  <sheetPr codeName="Sheet15"/>
  <dimension ref="A1:U3745"/>
  <sheetViews>
    <sheetView zoomScale="110" zoomScaleNormal="110" workbookViewId="0">
      <pane ySplit="1" topLeftCell="A2" activePane="bottomLeft" state="frozen"/>
      <selection activeCell="D1475" sqref="D1475"/>
      <selection pane="bottomLeft" activeCell="E29" sqref="E29"/>
    </sheetView>
  </sheetViews>
  <sheetFormatPr defaultColWidth="9" defaultRowHeight="14.25"/>
  <cols>
    <col min="1" max="1" width="12.25" style="252" customWidth="1"/>
    <col min="2" max="2" width="14.25" style="252" customWidth="1"/>
    <col min="3" max="3" width="12.25" style="156" customWidth="1"/>
    <col min="4" max="4" width="13.75" style="206" customWidth="1"/>
    <col min="5" max="5" width="16.25" style="160" customWidth="1"/>
    <col min="6" max="6" width="9.25" style="157" customWidth="1"/>
    <col min="7" max="7" width="6.25" style="132" customWidth="1"/>
    <col min="8" max="8" width="5.25" style="138" customWidth="1"/>
    <col min="9" max="9" width="10.75" style="139" customWidth="1"/>
    <col min="10" max="10" width="18.375" style="139" customWidth="1"/>
    <col min="11" max="11" width="6.25" style="140" customWidth="1"/>
    <col min="12" max="12" width="9.25" style="141" customWidth="1"/>
    <col min="13" max="13" width="5.25" style="140" customWidth="1"/>
    <col min="14" max="14" width="6.25" style="132" customWidth="1"/>
    <col min="15" max="15" width="5" style="132" customWidth="1"/>
    <col min="16" max="16" width="9.75" style="142" customWidth="1"/>
    <col min="17" max="17" width="9.75" style="132" customWidth="1"/>
    <col min="18" max="18" width="9.75" style="134" customWidth="1"/>
    <col min="19" max="19" width="11.25" style="123" customWidth="1"/>
    <col min="20" max="20" width="24.75" style="123" customWidth="1"/>
    <col min="21" max="21" width="9" style="149"/>
    <col min="22" max="16384" width="9" style="146"/>
  </cols>
  <sheetData>
    <row r="1" spans="1:21" s="112" customFormat="1" ht="27" customHeight="1">
      <c r="A1" s="98" t="s">
        <v>235</v>
      </c>
      <c r="B1" s="99" t="s">
        <v>2728</v>
      </c>
      <c r="C1" s="100" t="s">
        <v>2729</v>
      </c>
      <c r="D1" s="100" t="s">
        <v>262</v>
      </c>
      <c r="E1" s="101" t="s">
        <v>2730</v>
      </c>
      <c r="F1" s="102" t="s">
        <v>265</v>
      </c>
      <c r="G1" s="100" t="s">
        <v>2731</v>
      </c>
      <c r="H1" s="103" t="s">
        <v>2732</v>
      </c>
      <c r="I1" s="104" t="s">
        <v>2733</v>
      </c>
      <c r="J1" s="104" t="s">
        <v>2734</v>
      </c>
      <c r="K1" s="105" t="s">
        <v>269</v>
      </c>
      <c r="L1" s="106" t="s">
        <v>2735</v>
      </c>
      <c r="M1" s="106" t="s">
        <v>2736</v>
      </c>
      <c r="N1" s="103" t="s">
        <v>2737</v>
      </c>
      <c r="O1" s="103" t="s">
        <v>2738</v>
      </c>
      <c r="P1" s="107" t="s">
        <v>2739</v>
      </c>
      <c r="Q1" s="103" t="s">
        <v>2740</v>
      </c>
      <c r="R1" s="108" t="s">
        <v>2741</v>
      </c>
      <c r="S1" s="109" t="s">
        <v>2742</v>
      </c>
      <c r="T1" s="110" t="s">
        <v>2743</v>
      </c>
      <c r="U1" s="111"/>
    </row>
    <row r="2" spans="1:21" s="119" customFormat="1" ht="15" customHeight="1">
      <c r="A2" s="113" t="s">
        <v>2768</v>
      </c>
      <c r="B2" s="114" t="str">
        <f>VLOOKUP(A2,'Data pick slip'!B:F,5,FALSE)</f>
        <v>KHJ-MC100-00</v>
      </c>
      <c r="C2" s="115" t="s">
        <v>2856</v>
      </c>
      <c r="D2" s="115"/>
      <c r="E2" s="300"/>
      <c r="F2" s="116" t="s">
        <v>2857</v>
      </c>
      <c r="G2" s="117">
        <v>377</v>
      </c>
      <c r="H2" s="118"/>
      <c r="K2" s="120"/>
      <c r="L2" s="121"/>
      <c r="M2" s="120"/>
      <c r="N2" s="122"/>
      <c r="O2" s="122"/>
      <c r="Q2" s="123"/>
      <c r="R2" s="124"/>
      <c r="T2" s="125"/>
      <c r="U2" s="126"/>
    </row>
    <row r="3" spans="1:21" s="119" customFormat="1" ht="15" customHeight="1">
      <c r="A3" s="127" t="s">
        <v>2747</v>
      </c>
      <c r="B3" s="114" t="str">
        <f>VLOOKUP(A3,'Data pick slip'!B:F,5,FALSE)</f>
        <v>KHJ-MC200-00</v>
      </c>
      <c r="C3" s="115" t="s">
        <v>2856</v>
      </c>
      <c r="D3" s="115"/>
      <c r="E3" s="300"/>
      <c r="F3" s="116" t="s">
        <v>2857</v>
      </c>
      <c r="G3" s="117">
        <v>39</v>
      </c>
      <c r="H3" s="118"/>
      <c r="K3" s="120"/>
      <c r="L3" s="121"/>
      <c r="M3" s="120"/>
      <c r="N3" s="122"/>
      <c r="O3" s="122"/>
      <c r="Q3" s="123"/>
      <c r="R3" s="124"/>
      <c r="T3" s="125"/>
      <c r="U3" s="126"/>
    </row>
    <row r="4" spans="1:21" s="119" customFormat="1" ht="15" customHeight="1">
      <c r="A4" s="127" t="s">
        <v>2748</v>
      </c>
      <c r="B4" s="114" t="str">
        <f>VLOOKUP(A4,'Data pick slip'!B:F,5,FALSE)</f>
        <v>KHJ-MC400-00</v>
      </c>
      <c r="C4" s="115" t="s">
        <v>2856</v>
      </c>
      <c r="D4" s="115"/>
      <c r="E4" s="300"/>
      <c r="F4" s="116" t="s">
        <v>2857</v>
      </c>
      <c r="G4" s="117">
        <v>2</v>
      </c>
      <c r="H4" s="118"/>
      <c r="K4" s="120"/>
      <c r="L4" s="121"/>
      <c r="M4" s="120"/>
      <c r="N4" s="122"/>
      <c r="O4" s="122"/>
      <c r="Q4" s="123"/>
      <c r="R4" s="124"/>
      <c r="T4" s="125"/>
      <c r="U4" s="126"/>
    </row>
    <row r="5" spans="1:21" s="119" customFormat="1" ht="15" customHeight="1">
      <c r="A5" s="127" t="s">
        <v>2812</v>
      </c>
      <c r="B5" s="114" t="str">
        <f>VLOOKUP(A5,'Data pick slip'!B:F,5,FALSE)</f>
        <v>KHJ-MC500-00</v>
      </c>
      <c r="C5" s="115" t="s">
        <v>2856</v>
      </c>
      <c r="D5" s="115"/>
      <c r="E5" s="300"/>
      <c r="F5" s="116" t="s">
        <v>2857</v>
      </c>
      <c r="G5" s="117">
        <v>4</v>
      </c>
      <c r="H5" s="118"/>
      <c r="K5" s="120"/>
      <c r="L5" s="121"/>
      <c r="M5" s="120"/>
      <c r="N5" s="122"/>
      <c r="O5" s="122"/>
      <c r="Q5" s="123"/>
      <c r="R5" s="124"/>
      <c r="T5" s="125"/>
      <c r="U5" s="126"/>
    </row>
    <row r="6" spans="1:21" s="119" customFormat="1" ht="15" customHeight="1">
      <c r="A6" s="127" t="s">
        <v>2814</v>
      </c>
      <c r="B6" s="114" t="str">
        <f>VLOOKUP(A6,'Data pick slip'!B:F,5,FALSE)</f>
        <v>KHJ-MC600-00</v>
      </c>
      <c r="C6" s="115" t="s">
        <v>2856</v>
      </c>
      <c r="D6" s="115"/>
      <c r="E6" s="300"/>
      <c r="F6" s="116" t="s">
        <v>2857</v>
      </c>
      <c r="G6" s="117">
        <v>19</v>
      </c>
      <c r="H6" s="118"/>
      <c r="K6" s="120"/>
      <c r="L6" s="121"/>
      <c r="M6" s="120"/>
      <c r="N6" s="122"/>
      <c r="O6" s="122"/>
      <c r="Q6" s="123"/>
      <c r="R6" s="124"/>
      <c r="T6" s="125"/>
      <c r="U6" s="126"/>
    </row>
    <row r="7" spans="1:21" s="119" customFormat="1" ht="15" customHeight="1">
      <c r="A7" s="127" t="s">
        <v>2751</v>
      </c>
      <c r="B7" s="114" t="str">
        <f>VLOOKUP(A7,'Data pick slip'!B:F,5,FALSE)</f>
        <v>KHJ-MC700-00</v>
      </c>
      <c r="C7" s="115" t="s">
        <v>2856</v>
      </c>
      <c r="D7" s="115"/>
      <c r="E7" s="300"/>
      <c r="F7" s="116" t="s">
        <v>2857</v>
      </c>
      <c r="G7" s="117">
        <v>2</v>
      </c>
      <c r="H7" s="118"/>
      <c r="K7" s="120"/>
      <c r="L7" s="121"/>
      <c r="M7" s="120"/>
      <c r="N7" s="122"/>
      <c r="O7" s="122"/>
      <c r="Q7" s="123"/>
      <c r="R7" s="124"/>
      <c r="T7" s="125"/>
      <c r="U7" s="126"/>
    </row>
    <row r="8" spans="1:21" s="119" customFormat="1" ht="15" customHeight="1">
      <c r="A8" s="127" t="s">
        <v>2818</v>
      </c>
      <c r="B8" s="114" t="str">
        <f>VLOOKUP(A8,'Data pick slip'!B:F,5,FALSE)</f>
        <v>KHJ-MC800-00</v>
      </c>
      <c r="C8" s="115" t="s">
        <v>2856</v>
      </c>
      <c r="D8" s="115"/>
      <c r="E8" s="300"/>
      <c r="F8" s="116" t="s">
        <v>2857</v>
      </c>
      <c r="G8" s="117">
        <v>3</v>
      </c>
      <c r="H8" s="118"/>
      <c r="K8" s="120"/>
      <c r="L8" s="121"/>
      <c r="M8" s="120"/>
      <c r="N8" s="122"/>
      <c r="O8" s="122"/>
      <c r="Q8" s="123"/>
      <c r="R8" s="124"/>
      <c r="T8" s="125"/>
      <c r="U8" s="126"/>
    </row>
    <row r="9" spans="1:21" s="119" customFormat="1" ht="15" customHeight="1">
      <c r="A9" s="127" t="s">
        <v>2755</v>
      </c>
      <c r="B9" s="114" t="str">
        <f>VLOOKUP(A9,'Data pick slip'!B:F,5,FALSE)</f>
        <v>KLJ-MC100-00</v>
      </c>
      <c r="C9" s="115" t="s">
        <v>2856</v>
      </c>
      <c r="D9" s="115"/>
      <c r="E9" s="300"/>
      <c r="F9" s="116" t="s">
        <v>2857</v>
      </c>
      <c r="G9" s="117">
        <v>291</v>
      </c>
      <c r="H9" s="118"/>
      <c r="K9" s="120"/>
      <c r="L9" s="121"/>
      <c r="M9" s="120"/>
      <c r="N9" s="122"/>
      <c r="O9" s="122"/>
      <c r="Q9" s="123"/>
      <c r="R9" s="124"/>
      <c r="T9" s="125"/>
      <c r="U9" s="126"/>
    </row>
    <row r="10" spans="1:21" s="119" customFormat="1" ht="15" customHeight="1">
      <c r="A10" s="113" t="s">
        <v>2858</v>
      </c>
      <c r="B10" s="114" t="str">
        <f>VLOOKUP(A10,'Data pick slip'!B:F,5,FALSE)</f>
        <v>KLJ-MC200-00</v>
      </c>
      <c r="C10" s="115" t="s">
        <v>2856</v>
      </c>
      <c r="D10" s="115"/>
      <c r="E10" s="300"/>
      <c r="F10" s="116" t="s">
        <v>2857</v>
      </c>
      <c r="G10" s="117">
        <v>60</v>
      </c>
      <c r="H10" s="118"/>
      <c r="K10" s="120"/>
      <c r="L10" s="121"/>
      <c r="M10" s="120"/>
      <c r="N10" s="122"/>
      <c r="O10" s="122"/>
      <c r="Q10" s="122"/>
      <c r="R10" s="124"/>
      <c r="T10" s="125"/>
      <c r="U10" s="126"/>
    </row>
    <row r="11" spans="1:21" s="119" customFormat="1" ht="15" customHeight="1">
      <c r="A11" s="113" t="s">
        <v>2757</v>
      </c>
      <c r="B11" s="114" t="str">
        <f>VLOOKUP(A11,'Data pick slip'!B:F,5,FALSE)</f>
        <v>KLJ-MC400-00</v>
      </c>
      <c r="C11" s="115" t="s">
        <v>2856</v>
      </c>
      <c r="D11" s="115"/>
      <c r="E11" s="300"/>
      <c r="F11" s="116" t="s">
        <v>2857</v>
      </c>
      <c r="G11" s="117">
        <v>7</v>
      </c>
      <c r="H11" s="118"/>
      <c r="K11" s="120"/>
      <c r="L11" s="121"/>
      <c r="M11" s="120"/>
      <c r="N11" s="122"/>
      <c r="O11" s="122"/>
      <c r="Q11" s="123"/>
      <c r="R11" s="124"/>
      <c r="T11" s="125"/>
      <c r="U11" s="126"/>
    </row>
    <row r="12" spans="1:21" s="119" customFormat="1" ht="15" customHeight="1">
      <c r="A12" s="113" t="s">
        <v>2758</v>
      </c>
      <c r="B12" s="114" t="str">
        <f>VLOOKUP(A12,'Data pick slip'!B:F,5,FALSE)</f>
        <v>KLJ-MC500-00</v>
      </c>
      <c r="C12" s="115" t="s">
        <v>2856</v>
      </c>
      <c r="D12" s="115"/>
      <c r="E12" s="300"/>
      <c r="F12" s="116" t="s">
        <v>2857</v>
      </c>
      <c r="G12" s="117">
        <v>9</v>
      </c>
      <c r="H12" s="118"/>
      <c r="K12" s="120"/>
      <c r="L12" s="121"/>
      <c r="M12" s="120"/>
      <c r="N12" s="122"/>
      <c r="O12" s="122"/>
      <c r="Q12" s="123"/>
      <c r="R12" s="124"/>
      <c r="T12" s="125"/>
      <c r="U12" s="126"/>
    </row>
    <row r="13" spans="1:21" s="119" customFormat="1" ht="15" customHeight="1">
      <c r="A13" s="113" t="s">
        <v>2759</v>
      </c>
      <c r="B13" s="114" t="str">
        <f>VLOOKUP(A13,'Data pick slip'!B:F,5,FALSE)</f>
        <v>KLJ-MC600-00</v>
      </c>
      <c r="C13" s="115" t="s">
        <v>2856</v>
      </c>
      <c r="D13" s="115"/>
      <c r="E13" s="300"/>
      <c r="F13" s="116" t="s">
        <v>2857</v>
      </c>
      <c r="G13" s="117">
        <v>4</v>
      </c>
      <c r="H13" s="118"/>
      <c r="K13" s="120"/>
      <c r="L13" s="121"/>
      <c r="M13" s="120"/>
      <c r="N13" s="122"/>
      <c r="O13" s="122"/>
      <c r="Q13" s="123"/>
      <c r="R13" s="124"/>
      <c r="T13" s="125"/>
      <c r="U13" s="126"/>
    </row>
    <row r="14" spans="1:21" s="119" customFormat="1" ht="15" customHeight="1">
      <c r="A14" s="113" t="s">
        <v>2760</v>
      </c>
      <c r="B14" s="114" t="str">
        <f>VLOOKUP(A14,'Data pick slip'!B:F,5,FALSE)</f>
        <v>KLJ-MC700-00</v>
      </c>
      <c r="C14" s="115" t="s">
        <v>2856</v>
      </c>
      <c r="D14" s="115"/>
      <c r="E14" s="300"/>
      <c r="F14" s="116" t="s">
        <v>2857</v>
      </c>
      <c r="G14" s="117">
        <v>4</v>
      </c>
      <c r="H14" s="118"/>
      <c r="K14" s="120"/>
      <c r="L14" s="121"/>
      <c r="M14" s="120"/>
      <c r="N14" s="122"/>
      <c r="O14" s="122"/>
      <c r="Q14" s="123"/>
      <c r="R14" s="124"/>
      <c r="T14" s="125"/>
      <c r="U14" s="126"/>
    </row>
    <row r="15" spans="1:21" s="119" customFormat="1" ht="15" customHeight="1">
      <c r="A15" s="113" t="s">
        <v>2744</v>
      </c>
      <c r="B15" s="114" t="str">
        <f>VLOOKUP(A15,'Data pick slip'!B:F,5,FALSE)</f>
        <v>KHJ-MC100-00</v>
      </c>
      <c r="C15" s="115" t="s">
        <v>2859</v>
      </c>
      <c r="D15" s="115"/>
      <c r="E15" s="300"/>
      <c r="F15" s="116" t="s">
        <v>2857</v>
      </c>
      <c r="G15" s="117">
        <v>95</v>
      </c>
      <c r="H15" s="118"/>
      <c r="K15" s="120"/>
      <c r="L15" s="121"/>
      <c r="M15" s="120"/>
      <c r="N15" s="122"/>
      <c r="O15" s="122"/>
      <c r="Q15" s="123"/>
      <c r="R15" s="124"/>
      <c r="T15" s="125"/>
      <c r="U15" s="126"/>
    </row>
    <row r="16" spans="1:21" s="119" customFormat="1" ht="15" customHeight="1">
      <c r="A16" s="127" t="s">
        <v>2747</v>
      </c>
      <c r="B16" s="114" t="str">
        <f>VLOOKUP(A16,'Data pick slip'!B:F,5,FALSE)</f>
        <v>KHJ-MC200-00</v>
      </c>
      <c r="C16" s="115" t="s">
        <v>2859</v>
      </c>
      <c r="D16" s="115"/>
      <c r="E16" s="300"/>
      <c r="F16" s="116" t="s">
        <v>2857</v>
      </c>
      <c r="G16" s="117">
        <v>60</v>
      </c>
      <c r="H16" s="118"/>
      <c r="K16" s="120"/>
      <c r="L16" s="121"/>
      <c r="M16" s="120"/>
      <c r="N16" s="122"/>
      <c r="O16" s="122"/>
      <c r="Q16" s="123"/>
      <c r="R16" s="124"/>
      <c r="T16" s="125"/>
      <c r="U16" s="126"/>
    </row>
    <row r="17" spans="1:21" s="119" customFormat="1" ht="15" customHeight="1">
      <c r="A17" s="127" t="s">
        <v>2748</v>
      </c>
      <c r="B17" s="114" t="str">
        <f>VLOOKUP(A17,'Data pick slip'!B:F,5,FALSE)</f>
        <v>KHJ-MC400-00</v>
      </c>
      <c r="C17" s="115" t="s">
        <v>2859</v>
      </c>
      <c r="D17" s="115"/>
      <c r="E17" s="300"/>
      <c r="F17" s="116" t="s">
        <v>2857</v>
      </c>
      <c r="G17" s="117">
        <v>22</v>
      </c>
      <c r="H17" s="118"/>
      <c r="K17" s="120"/>
      <c r="L17" s="121"/>
      <c r="M17" s="120"/>
      <c r="N17" s="122"/>
      <c r="O17" s="122"/>
      <c r="Q17" s="123"/>
      <c r="R17" s="124"/>
      <c r="T17" s="125"/>
      <c r="U17" s="126"/>
    </row>
    <row r="18" spans="1:21" s="119" customFormat="1" ht="15" customHeight="1">
      <c r="A18" s="113" t="s">
        <v>2812</v>
      </c>
      <c r="B18" s="114" t="str">
        <f>VLOOKUP(A18,'Data pick slip'!B:F,5,FALSE)</f>
        <v>KHJ-MC500-00</v>
      </c>
      <c r="C18" s="115" t="s">
        <v>2859</v>
      </c>
      <c r="D18" s="115"/>
      <c r="E18" s="300"/>
      <c r="F18" s="116" t="s">
        <v>2857</v>
      </c>
      <c r="G18" s="117">
        <v>11</v>
      </c>
      <c r="H18" s="118"/>
      <c r="K18" s="120"/>
      <c r="L18" s="121"/>
      <c r="M18" s="120"/>
      <c r="N18" s="122"/>
      <c r="O18" s="122"/>
      <c r="Q18" s="123"/>
      <c r="R18" s="124"/>
      <c r="T18" s="125"/>
      <c r="U18" s="126"/>
    </row>
    <row r="19" spans="1:21" s="119" customFormat="1" ht="15" customHeight="1">
      <c r="A19" s="113" t="s">
        <v>2814</v>
      </c>
      <c r="B19" s="114" t="str">
        <f>VLOOKUP(A19,'Data pick slip'!B:F,5,FALSE)</f>
        <v>KHJ-MC600-00</v>
      </c>
      <c r="C19" s="115" t="s">
        <v>2859</v>
      </c>
      <c r="D19" s="115"/>
      <c r="E19" s="300"/>
      <c r="F19" s="116" t="s">
        <v>2857</v>
      </c>
      <c r="G19" s="117">
        <v>1</v>
      </c>
      <c r="H19" s="118"/>
      <c r="K19" s="120"/>
      <c r="L19" s="121"/>
      <c r="M19" s="120"/>
      <c r="N19" s="122"/>
      <c r="O19" s="122"/>
      <c r="Q19" s="123"/>
      <c r="R19" s="124"/>
      <c r="T19" s="125"/>
      <c r="U19" s="126"/>
    </row>
    <row r="20" spans="1:21" s="119" customFormat="1" ht="15" customHeight="1">
      <c r="A20" s="113" t="s">
        <v>2768</v>
      </c>
      <c r="B20" s="114" t="str">
        <f>VLOOKUP(A20,'Data pick slip'!B:F,5,FALSE)</f>
        <v>KHJ-MC100-00</v>
      </c>
      <c r="C20" s="115" t="s">
        <v>2856</v>
      </c>
      <c r="D20" s="115"/>
      <c r="E20" s="300"/>
      <c r="F20" s="116" t="s">
        <v>2860</v>
      </c>
      <c r="G20" s="117">
        <v>632</v>
      </c>
      <c r="H20" s="118"/>
      <c r="K20" s="120"/>
      <c r="L20" s="121"/>
      <c r="M20" s="120"/>
      <c r="N20" s="122"/>
      <c r="O20" s="122"/>
      <c r="Q20" s="123"/>
      <c r="R20" s="124"/>
      <c r="T20" s="125"/>
      <c r="U20" s="126"/>
    </row>
    <row r="21" spans="1:21" s="119" customFormat="1" ht="15" customHeight="1">
      <c r="A21" s="113" t="s">
        <v>2768</v>
      </c>
      <c r="B21" s="114" t="str">
        <f>VLOOKUP(A21,'Data pick slip'!B:F,5,FALSE)</f>
        <v>KHJ-MC100-00</v>
      </c>
      <c r="C21" s="115" t="s">
        <v>2856</v>
      </c>
      <c r="D21" s="115"/>
      <c r="E21" s="300"/>
      <c r="F21" s="116" t="s">
        <v>2860</v>
      </c>
      <c r="G21" s="117">
        <f>125+700</f>
        <v>825</v>
      </c>
      <c r="H21" s="118"/>
      <c r="K21" s="120"/>
      <c r="L21" s="121"/>
      <c r="M21" s="120"/>
      <c r="N21" s="122"/>
      <c r="O21" s="122"/>
      <c r="Q21" s="123"/>
      <c r="R21" s="124"/>
      <c r="T21" s="125"/>
      <c r="U21" s="126"/>
    </row>
    <row r="22" spans="1:21" s="119" customFormat="1" ht="15" customHeight="1">
      <c r="A22" s="113" t="s">
        <v>2768</v>
      </c>
      <c r="B22" s="114" t="str">
        <f>VLOOKUP(A22,'Data pick slip'!B:F,5,FALSE)</f>
        <v>KHJ-MC100-00</v>
      </c>
      <c r="C22" s="115" t="s">
        <v>2856</v>
      </c>
      <c r="D22" s="115"/>
      <c r="E22" s="300"/>
      <c r="F22" s="116" t="s">
        <v>2860</v>
      </c>
      <c r="G22" s="117">
        <v>200</v>
      </c>
      <c r="H22" s="118"/>
      <c r="K22" s="120"/>
      <c r="L22" s="121"/>
      <c r="M22" s="120"/>
      <c r="N22" s="122"/>
      <c r="O22" s="122"/>
      <c r="Q22" s="123"/>
      <c r="R22" s="124"/>
      <c r="T22" s="125"/>
      <c r="U22" s="126"/>
    </row>
    <row r="23" spans="1:21" s="119" customFormat="1" ht="15" customHeight="1">
      <c r="A23" s="113" t="s">
        <v>2768</v>
      </c>
      <c r="B23" s="114" t="str">
        <f>VLOOKUP(A23,'Data pick slip'!B:F,5,FALSE)</f>
        <v>KHJ-MC100-00</v>
      </c>
      <c r="C23" s="115">
        <v>109382</v>
      </c>
      <c r="D23" s="115" t="str">
        <f>VLOOKUP(C23,Stock_list!D:L,2,FALSE)</f>
        <v>易而达</v>
      </c>
      <c r="E23" s="300"/>
      <c r="F23" s="116" t="s">
        <v>2860</v>
      </c>
      <c r="G23" s="117">
        <v>60</v>
      </c>
      <c r="H23" s="118"/>
      <c r="K23" s="120"/>
      <c r="L23" s="121"/>
      <c r="M23" s="120"/>
      <c r="N23" s="122"/>
      <c r="O23" s="122"/>
      <c r="Q23" s="123"/>
      <c r="R23" s="124"/>
      <c r="T23" s="125"/>
      <c r="U23" s="126"/>
    </row>
    <row r="24" spans="1:21" s="129" customFormat="1" ht="15" customHeight="1">
      <c r="A24" s="113" t="s">
        <v>2768</v>
      </c>
      <c r="B24" s="114" t="str">
        <f>VLOOKUP(A24,'Data pick slip'!B:F,5,FALSE)</f>
        <v>KHJ-MC100-00</v>
      </c>
      <c r="C24" s="115">
        <v>109264</v>
      </c>
      <c r="D24" s="115" t="str">
        <f>VLOOKUP(C24,Stock_list!D:L,2,FALSE)</f>
        <v>立昇</v>
      </c>
      <c r="E24" s="137"/>
      <c r="F24" s="116" t="s">
        <v>2860</v>
      </c>
      <c r="G24" s="117">
        <v>105</v>
      </c>
      <c r="H24" s="128"/>
      <c r="K24" s="130"/>
      <c r="L24" s="131"/>
      <c r="M24" s="130"/>
      <c r="N24" s="132"/>
      <c r="O24" s="132"/>
      <c r="Q24" s="133"/>
      <c r="R24" s="134"/>
      <c r="T24" s="135"/>
      <c r="U24" s="136"/>
    </row>
    <row r="25" spans="1:21" s="129" customFormat="1" ht="15" customHeight="1">
      <c r="A25" s="113" t="s">
        <v>2768</v>
      </c>
      <c r="B25" s="114" t="str">
        <f>VLOOKUP(A25,'Data pick slip'!B:F,5,FALSE)</f>
        <v>KHJ-MC100-00</v>
      </c>
      <c r="C25" s="115">
        <v>109264</v>
      </c>
      <c r="D25" s="115" t="str">
        <f>VLOOKUP(C25,Stock_list!D:L,2,FALSE)</f>
        <v>立昇</v>
      </c>
      <c r="E25" s="137"/>
      <c r="F25" s="116" t="s">
        <v>2860</v>
      </c>
      <c r="G25" s="117">
        <v>10</v>
      </c>
      <c r="H25" s="128"/>
      <c r="K25" s="130"/>
      <c r="L25" s="131"/>
      <c r="M25" s="130"/>
      <c r="N25" s="132"/>
      <c r="O25" s="132"/>
      <c r="Q25" s="133"/>
      <c r="R25" s="134"/>
      <c r="T25" s="135"/>
      <c r="U25" s="136"/>
    </row>
    <row r="26" spans="1:21" s="129" customFormat="1" ht="15" customHeight="1">
      <c r="A26" s="127" t="s">
        <v>2809</v>
      </c>
      <c r="B26" s="114" t="str">
        <f>VLOOKUP(A26,'Data pick slip'!B:F,5,FALSE)</f>
        <v>KHJ-MC200-00</v>
      </c>
      <c r="C26" s="115" t="s">
        <v>2856</v>
      </c>
      <c r="D26" s="115"/>
      <c r="E26" s="137"/>
      <c r="F26" s="116" t="s">
        <v>2861</v>
      </c>
      <c r="G26" s="117">
        <v>40</v>
      </c>
      <c r="H26" s="128"/>
      <c r="K26" s="130"/>
      <c r="L26" s="131"/>
      <c r="M26" s="130"/>
      <c r="N26" s="132"/>
      <c r="O26" s="132"/>
      <c r="Q26" s="133"/>
      <c r="R26" s="134"/>
      <c r="T26" s="135"/>
      <c r="U26" s="136"/>
    </row>
    <row r="27" spans="1:21" s="129" customFormat="1" ht="15" customHeight="1">
      <c r="A27" s="127" t="s">
        <v>2747</v>
      </c>
      <c r="B27" s="114" t="str">
        <f>VLOOKUP(A27,'Data pick slip'!B:F,5,FALSE)</f>
        <v>KHJ-MC200-00</v>
      </c>
      <c r="C27" s="115" t="s">
        <v>2856</v>
      </c>
      <c r="D27" s="115"/>
      <c r="E27" s="137"/>
      <c r="F27" s="116" t="s">
        <v>2861</v>
      </c>
      <c r="G27" s="117">
        <f>60+80</f>
        <v>140</v>
      </c>
      <c r="H27" s="128"/>
      <c r="K27" s="130"/>
      <c r="L27" s="131"/>
      <c r="M27" s="130"/>
      <c r="N27" s="132"/>
      <c r="O27" s="132"/>
      <c r="Q27" s="133"/>
      <c r="R27" s="134"/>
      <c r="T27" s="135"/>
      <c r="U27" s="136"/>
    </row>
    <row r="28" spans="1:21" s="129" customFormat="1" ht="15" customHeight="1">
      <c r="A28" s="127" t="s">
        <v>2747</v>
      </c>
      <c r="B28" s="114" t="str">
        <f>VLOOKUP(A28,'Data pick slip'!B:F,5,FALSE)</f>
        <v>KHJ-MC200-00</v>
      </c>
      <c r="C28" s="115" t="s">
        <v>2856</v>
      </c>
      <c r="D28" s="115"/>
      <c r="E28" s="137"/>
      <c r="F28" s="116" t="s">
        <v>2861</v>
      </c>
      <c r="G28" s="117">
        <v>27</v>
      </c>
      <c r="H28" s="128"/>
      <c r="K28" s="130"/>
      <c r="L28" s="131"/>
      <c r="M28" s="130"/>
      <c r="N28" s="132"/>
      <c r="O28" s="132"/>
      <c r="Q28" s="133"/>
      <c r="R28" s="134"/>
      <c r="T28" s="135"/>
      <c r="U28" s="136"/>
    </row>
    <row r="29" spans="1:21" s="129" customFormat="1" ht="15" customHeight="1">
      <c r="A29" s="127" t="s">
        <v>2777</v>
      </c>
      <c r="B29" s="114" t="str">
        <f>VLOOKUP(A29,'Data pick slip'!B:F,5,FALSE)</f>
        <v>KHJ-MC400-00</v>
      </c>
      <c r="C29" s="115" t="s">
        <v>2856</v>
      </c>
      <c r="D29" s="115"/>
      <c r="E29" s="137"/>
      <c r="F29" s="116" t="s">
        <v>2860</v>
      </c>
      <c r="G29" s="117">
        <f>22+40</f>
        <v>62</v>
      </c>
      <c r="H29" s="128"/>
      <c r="K29" s="130"/>
      <c r="L29" s="131"/>
      <c r="M29" s="130"/>
      <c r="N29" s="132"/>
      <c r="O29" s="132"/>
      <c r="Q29" s="133"/>
      <c r="R29" s="134"/>
      <c r="T29" s="135"/>
      <c r="U29" s="136"/>
    </row>
    <row r="30" spans="1:21" s="129" customFormat="1" ht="15" customHeight="1">
      <c r="A30" s="127" t="s">
        <v>2748</v>
      </c>
      <c r="B30" s="114" t="str">
        <f>VLOOKUP(A30,'Data pick slip'!B:F,5,FALSE)</f>
        <v>KHJ-MC400-00</v>
      </c>
      <c r="C30" s="115" t="s">
        <v>2856</v>
      </c>
      <c r="D30" s="115"/>
      <c r="E30" s="137"/>
      <c r="F30" s="116" t="s">
        <v>2860</v>
      </c>
      <c r="G30" s="117">
        <v>23</v>
      </c>
      <c r="H30" s="128"/>
      <c r="K30" s="130"/>
      <c r="L30" s="131"/>
      <c r="M30" s="130"/>
      <c r="N30" s="132"/>
      <c r="O30" s="132"/>
      <c r="Q30" s="133"/>
      <c r="R30" s="134"/>
      <c r="T30" s="135"/>
      <c r="U30" s="136"/>
    </row>
    <row r="31" spans="1:21" ht="27" customHeight="1">
      <c r="A31" s="127" t="s">
        <v>2812</v>
      </c>
      <c r="B31" s="114" t="str">
        <f>VLOOKUP(A31,'Data pick slip'!B:F,5,FALSE)</f>
        <v>KHJ-MC500-00</v>
      </c>
      <c r="C31" s="115" t="s">
        <v>2856</v>
      </c>
      <c r="D31" s="115"/>
      <c r="E31" s="147"/>
      <c r="F31" s="116" t="s">
        <v>2861</v>
      </c>
      <c r="G31" s="117">
        <f>11+20</f>
        <v>31</v>
      </c>
      <c r="Q31" s="143"/>
      <c r="T31" s="144"/>
      <c r="U31" s="145"/>
    </row>
    <row r="32" spans="1:21" ht="27" customHeight="1">
      <c r="A32" s="127" t="s">
        <v>2812</v>
      </c>
      <c r="B32" s="114" t="str">
        <f>VLOOKUP(A32,'Data pick slip'!B:F,5,FALSE)</f>
        <v>KHJ-MC500-00</v>
      </c>
      <c r="C32" s="115" t="s">
        <v>2856</v>
      </c>
      <c r="D32" s="115"/>
      <c r="E32" s="147"/>
      <c r="F32" s="116" t="s">
        <v>2861</v>
      </c>
      <c r="G32" s="117">
        <v>19</v>
      </c>
      <c r="Q32" s="143"/>
      <c r="T32" s="144"/>
      <c r="U32" s="145"/>
    </row>
    <row r="33" spans="1:21" ht="16.5" customHeight="1">
      <c r="A33" s="127" t="s">
        <v>2814</v>
      </c>
      <c r="B33" s="114" t="str">
        <f>VLOOKUP(A33,'Data pick slip'!B:F,5,FALSE)</f>
        <v>KHJ-MC600-00</v>
      </c>
      <c r="C33" s="115" t="s">
        <v>2856</v>
      </c>
      <c r="D33" s="115"/>
      <c r="E33" s="147"/>
      <c r="F33" s="116" t="s">
        <v>2861</v>
      </c>
      <c r="G33" s="117">
        <v>1</v>
      </c>
      <c r="Q33" s="143"/>
      <c r="T33" s="144"/>
      <c r="U33" s="145"/>
    </row>
    <row r="34" spans="1:21" ht="15" customHeight="1">
      <c r="A34" s="127" t="s">
        <v>2814</v>
      </c>
      <c r="B34" s="114" t="str">
        <f>VLOOKUP(A34,'Data pick slip'!B:F,5,FALSE)</f>
        <v>KHJ-MC600-00</v>
      </c>
      <c r="C34" s="115" t="s">
        <v>2856</v>
      </c>
      <c r="D34" s="115"/>
      <c r="E34" s="147"/>
      <c r="F34" s="116" t="s">
        <v>2861</v>
      </c>
      <c r="G34" s="117">
        <v>41</v>
      </c>
      <c r="Q34" s="143"/>
      <c r="T34" s="144"/>
      <c r="U34" s="145"/>
    </row>
    <row r="35" spans="1:21" ht="15" customHeight="1">
      <c r="A35" s="127" t="s">
        <v>2755</v>
      </c>
      <c r="B35" s="114" t="str">
        <f>VLOOKUP(A35,'Data pick slip'!B:F,5,FALSE)</f>
        <v>KLJ-MC100-00</v>
      </c>
      <c r="C35" s="115" t="s">
        <v>2856</v>
      </c>
      <c r="D35" s="115"/>
      <c r="E35" s="147"/>
      <c r="F35" s="116" t="s">
        <v>2861</v>
      </c>
      <c r="G35" s="117">
        <v>380</v>
      </c>
      <c r="Q35" s="143"/>
      <c r="T35" s="144"/>
      <c r="U35" s="145"/>
    </row>
    <row r="36" spans="1:21" ht="15" customHeight="1">
      <c r="A36" s="113" t="s">
        <v>2756</v>
      </c>
      <c r="B36" s="114" t="str">
        <f>VLOOKUP(A36,'Data pick slip'!B:F,5,FALSE)</f>
        <v>KLJ-MC200-00</v>
      </c>
      <c r="C36" s="115" t="s">
        <v>2856</v>
      </c>
      <c r="D36" s="115"/>
      <c r="E36" s="147"/>
      <c r="F36" s="116" t="s">
        <v>2861</v>
      </c>
      <c r="G36" s="117">
        <v>50</v>
      </c>
      <c r="T36" s="144"/>
      <c r="U36" s="145"/>
    </row>
    <row r="37" spans="1:21" ht="15" customHeight="1">
      <c r="A37" s="113" t="s">
        <v>2757</v>
      </c>
      <c r="B37" s="114" t="str">
        <f>VLOOKUP(A37,'Data pick slip'!B:F,5,FALSE)</f>
        <v>KLJ-MC400-00</v>
      </c>
      <c r="C37" s="115" t="s">
        <v>2856</v>
      </c>
      <c r="D37" s="115"/>
      <c r="E37" s="147"/>
      <c r="F37" s="116" t="s">
        <v>2861</v>
      </c>
      <c r="G37" s="117">
        <v>25</v>
      </c>
      <c r="Q37" s="143"/>
      <c r="T37" s="144"/>
      <c r="U37" s="145"/>
    </row>
    <row r="38" spans="1:21" ht="15" customHeight="1">
      <c r="A38" s="127" t="s">
        <v>2748</v>
      </c>
      <c r="B38" s="114" t="str">
        <f>VLOOKUP(A38,'Data pick slip'!B:F,5,FALSE)</f>
        <v>KHJ-MC400-00</v>
      </c>
      <c r="C38" s="115">
        <v>109382</v>
      </c>
      <c r="D38" s="115" t="str">
        <f>VLOOKUP(C38,Stock_list!D:L,2,FALSE)</f>
        <v>易而达</v>
      </c>
      <c r="E38" s="147" t="str">
        <f>VLOOKUP(C38,Stock_list!D:L,9,FALSE)</f>
        <v>已经发货</v>
      </c>
      <c r="F38" s="116" t="s">
        <v>2860</v>
      </c>
      <c r="G38" s="117">
        <v>5</v>
      </c>
      <c r="Q38" s="143"/>
      <c r="T38" s="144"/>
      <c r="U38" s="145"/>
    </row>
    <row r="39" spans="1:21" ht="21" customHeight="1">
      <c r="A39" s="127" t="s">
        <v>2747</v>
      </c>
      <c r="B39" s="114" t="str">
        <f>VLOOKUP(A39,'Data pick slip'!B:F,5,FALSE)</f>
        <v>KHJ-MC200-00</v>
      </c>
      <c r="C39" s="115">
        <v>109382</v>
      </c>
      <c r="D39" s="115" t="str">
        <f>VLOOKUP(C39,Stock_list!D:L,2,FALSE)</f>
        <v>易而达</v>
      </c>
      <c r="E39" s="147" t="str">
        <f>VLOOKUP(C39,Stock_list!D:L,9,FALSE)</f>
        <v>已经发货</v>
      </c>
      <c r="F39" s="116" t="s">
        <v>2860</v>
      </c>
      <c r="G39" s="117">
        <v>10</v>
      </c>
      <c r="Q39" s="143"/>
      <c r="T39" s="144"/>
      <c r="U39" s="145"/>
    </row>
    <row r="40" spans="1:21" ht="15" customHeight="1">
      <c r="A40" s="127" t="s">
        <v>2748</v>
      </c>
      <c r="B40" s="114" t="str">
        <f>VLOOKUP(A40,'Data pick slip'!B:F,5,FALSE)</f>
        <v>KHJ-MC400-00</v>
      </c>
      <c r="C40" s="115">
        <v>109413</v>
      </c>
      <c r="D40" s="115" t="str">
        <f>VLOOKUP(C40,Stock_list!D:L,2,FALSE)</f>
        <v>STK</v>
      </c>
      <c r="E40" s="147">
        <f>VLOOKUP(C40,Stock_list!D:L,9,FALSE)</f>
        <v>43385</v>
      </c>
      <c r="F40" s="116" t="s">
        <v>2860</v>
      </c>
      <c r="G40" s="117">
        <v>10</v>
      </c>
      <c r="Q40" s="143"/>
      <c r="T40" s="144"/>
      <c r="U40" s="145"/>
    </row>
    <row r="41" spans="1:21" ht="21" customHeight="1">
      <c r="A41" s="127" t="s">
        <v>2747</v>
      </c>
      <c r="B41" s="114" t="str">
        <f>VLOOKUP(A41,'Data pick slip'!B:F,5,FALSE)</f>
        <v>KHJ-MC200-00</v>
      </c>
      <c r="C41" s="115">
        <v>109264</v>
      </c>
      <c r="D41" s="115" t="str">
        <f>VLOOKUP(C41,Stock_list!D:L,2,FALSE)</f>
        <v>立昇</v>
      </c>
      <c r="E41" s="147" t="str">
        <f>VLOOKUP(C41,Stock_list!D:L,9,FALSE)</f>
        <v>已经发货</v>
      </c>
      <c r="F41" s="116" t="s">
        <v>2860</v>
      </c>
      <c r="G41" s="117">
        <v>10</v>
      </c>
      <c r="Q41" s="143"/>
      <c r="T41" s="144"/>
      <c r="U41" s="145"/>
    </row>
    <row r="42" spans="1:21" ht="22.5" customHeight="1">
      <c r="A42" s="113" t="s">
        <v>2768</v>
      </c>
      <c r="B42" s="114" t="str">
        <f>VLOOKUP(A42,'Data pick slip'!B:F,5,FALSE)</f>
        <v>KHJ-MC100-00</v>
      </c>
      <c r="C42" s="115">
        <v>109331</v>
      </c>
      <c r="D42" s="115" t="str">
        <f>VLOOKUP(C42,Stock_list!D:L,2,FALSE)</f>
        <v>永顺创</v>
      </c>
      <c r="E42" s="147">
        <f>VLOOKUP(C42,Stock_list!D:L,9,FALSE)</f>
        <v>43405</v>
      </c>
      <c r="F42" s="116" t="s">
        <v>2860</v>
      </c>
      <c r="G42" s="117">
        <v>70</v>
      </c>
      <c r="Q42" s="143"/>
      <c r="T42" s="144"/>
      <c r="U42" s="145"/>
    </row>
    <row r="43" spans="1:21" ht="15" customHeight="1">
      <c r="A43" s="127" t="s">
        <v>2747</v>
      </c>
      <c r="B43" s="114" t="str">
        <f>VLOOKUP(A43,'Data pick slip'!B:F,5,FALSE)</f>
        <v>KHJ-MC200-00</v>
      </c>
      <c r="C43" s="115">
        <v>109331</v>
      </c>
      <c r="D43" s="115" t="str">
        <f>VLOOKUP(C43,Stock_list!D:L,2,FALSE)</f>
        <v>永顺创</v>
      </c>
      <c r="E43" s="147">
        <f>VLOOKUP(C43,Stock_list!D:L,9,FALSE)</f>
        <v>43405</v>
      </c>
      <c r="F43" s="116" t="s">
        <v>2860</v>
      </c>
      <c r="G43" s="117">
        <v>10</v>
      </c>
      <c r="Q43" s="143"/>
      <c r="T43" s="144"/>
      <c r="U43" s="145"/>
    </row>
    <row r="44" spans="1:21" ht="15" customHeight="1">
      <c r="A44" s="127" t="s">
        <v>2748</v>
      </c>
      <c r="B44" s="114" t="str">
        <f>VLOOKUP(A44,'Data pick slip'!B:F,5,FALSE)</f>
        <v>KHJ-MC400-00</v>
      </c>
      <c r="C44" s="115">
        <v>109331</v>
      </c>
      <c r="D44" s="115" t="str">
        <f>VLOOKUP(C44,Stock_list!D:L,2,FALSE)</f>
        <v>永顺创</v>
      </c>
      <c r="E44" s="147">
        <f>VLOOKUP(C44,Stock_list!D:L,9,FALSE)</f>
        <v>43405</v>
      </c>
      <c r="F44" s="116" t="s">
        <v>2860</v>
      </c>
      <c r="G44" s="117">
        <v>5</v>
      </c>
      <c r="Q44" s="143"/>
      <c r="T44" s="144"/>
      <c r="U44" s="145"/>
    </row>
    <row r="45" spans="1:21" ht="22.5" customHeight="1">
      <c r="A45" s="127" t="s">
        <v>2812</v>
      </c>
      <c r="B45" s="114" t="str">
        <f>VLOOKUP(A45,'Data pick slip'!B:F,5,FALSE)</f>
        <v>KHJ-MC500-00</v>
      </c>
      <c r="C45" s="115">
        <v>109331</v>
      </c>
      <c r="D45" s="115" t="str">
        <f>VLOOKUP(C45,Stock_list!D:L,2,FALSE)</f>
        <v>永顺创</v>
      </c>
      <c r="E45" s="147">
        <f>VLOOKUP(C45,Stock_list!D:L,9,FALSE)</f>
        <v>43405</v>
      </c>
      <c r="F45" s="116" t="s">
        <v>2860</v>
      </c>
      <c r="G45" s="117">
        <v>2</v>
      </c>
      <c r="Q45" s="143"/>
      <c r="T45" s="144"/>
      <c r="U45" s="145"/>
    </row>
    <row r="46" spans="1:21" ht="15" customHeight="1">
      <c r="A46" s="127" t="s">
        <v>2814</v>
      </c>
      <c r="B46" s="114" t="str">
        <f>VLOOKUP(A46,'Data pick slip'!B:F,5,FALSE)</f>
        <v>KHJ-MC600-00</v>
      </c>
      <c r="C46" s="115">
        <v>109331</v>
      </c>
      <c r="D46" s="115" t="str">
        <f>VLOOKUP(C46,Stock_list!D:L,2,FALSE)</f>
        <v>永顺创</v>
      </c>
      <c r="E46" s="147">
        <f>VLOOKUP(C46,Stock_list!D:L,9,FALSE)</f>
        <v>43405</v>
      </c>
      <c r="F46" s="116" t="s">
        <v>2860</v>
      </c>
      <c r="G46" s="117">
        <v>1</v>
      </c>
      <c r="Q46" s="143"/>
      <c r="T46" s="144"/>
      <c r="U46" s="145"/>
    </row>
    <row r="47" spans="1:21" ht="21" customHeight="1">
      <c r="A47" s="113" t="s">
        <v>2768</v>
      </c>
      <c r="B47" s="114" t="str">
        <f>VLOOKUP(A47,'Data pick slip'!B:F,5,FALSE)</f>
        <v>KHJ-MC100-00</v>
      </c>
      <c r="C47" s="115">
        <v>109288</v>
      </c>
      <c r="D47" s="115" t="str">
        <f>VLOOKUP(C47,Stock_list!D:L,2,FALSE)</f>
        <v>亿联</v>
      </c>
      <c r="E47" s="147">
        <f>VLOOKUP(C47,Stock_list!D:L,9,FALSE)</f>
        <v>43407</v>
      </c>
      <c r="F47" s="116" t="s">
        <v>2861</v>
      </c>
      <c r="G47" s="117">
        <v>150</v>
      </c>
      <c r="Q47" s="143"/>
      <c r="T47" s="144"/>
      <c r="U47" s="145"/>
    </row>
    <row r="48" spans="1:21" ht="15" customHeight="1">
      <c r="A48" s="127" t="s">
        <v>2747</v>
      </c>
      <c r="B48" s="114" t="str">
        <f>VLOOKUP(A48,'Data pick slip'!B:F,5,FALSE)</f>
        <v>KHJ-MC200-00</v>
      </c>
      <c r="C48" s="115">
        <v>109288</v>
      </c>
      <c r="D48" s="115" t="str">
        <f>VLOOKUP(C48,Stock_list!D:L,2,FALSE)</f>
        <v>亿联</v>
      </c>
      <c r="E48" s="147">
        <f>VLOOKUP(C48,Stock_list!D:L,9,FALSE)</f>
        <v>43407</v>
      </c>
      <c r="F48" s="116" t="s">
        <v>2861</v>
      </c>
      <c r="G48" s="117">
        <v>5</v>
      </c>
      <c r="Q48" s="143"/>
      <c r="T48" s="144"/>
      <c r="U48" s="145"/>
    </row>
    <row r="49" spans="1:21" ht="15" customHeight="1">
      <c r="A49" s="127" t="s">
        <v>2812</v>
      </c>
      <c r="B49" s="114" t="str">
        <f>VLOOKUP(A49,'Data pick slip'!B:F,5,FALSE)</f>
        <v>KHJ-MC500-00</v>
      </c>
      <c r="C49" s="115">
        <v>109288</v>
      </c>
      <c r="D49" s="115" t="str">
        <f>VLOOKUP(C49,Stock_list!D:L,2,FALSE)</f>
        <v>亿联</v>
      </c>
      <c r="E49" s="147">
        <f>VLOOKUP(C49,Stock_list!D:L,9,FALSE)</f>
        <v>43407</v>
      </c>
      <c r="F49" s="116" t="s">
        <v>2861</v>
      </c>
      <c r="G49" s="117">
        <v>2</v>
      </c>
      <c r="Q49" s="143"/>
      <c r="T49" s="144"/>
      <c r="U49" s="145"/>
    </row>
    <row r="50" spans="1:21" ht="15" customHeight="1">
      <c r="A50" s="113" t="s">
        <v>2768</v>
      </c>
      <c r="B50" s="114" t="str">
        <f>VLOOKUP(A50,'Data pick slip'!B:F,5,FALSE)</f>
        <v>KHJ-MC100-00</v>
      </c>
      <c r="C50" s="115">
        <v>109308</v>
      </c>
      <c r="D50" s="115" t="str">
        <f>VLOOKUP(C50,Stock_list!D:L,2,FALSE)</f>
        <v>英拓邦</v>
      </c>
      <c r="E50" s="147">
        <f>VLOOKUP(C50,Stock_list!D:L,9,FALSE)</f>
        <v>43415</v>
      </c>
      <c r="F50" s="116" t="s">
        <v>2861</v>
      </c>
      <c r="G50" s="117">
        <v>120</v>
      </c>
      <c r="Q50" s="143"/>
      <c r="T50" s="144"/>
      <c r="U50" s="145"/>
    </row>
    <row r="51" spans="1:21" ht="15" customHeight="1">
      <c r="A51" s="127" t="s">
        <v>2747</v>
      </c>
      <c r="B51" s="114" t="str">
        <f>VLOOKUP(A51,'Data pick slip'!B:F,5,FALSE)</f>
        <v>KHJ-MC200-00</v>
      </c>
      <c r="C51" s="115">
        <v>109308</v>
      </c>
      <c r="D51" s="115" t="str">
        <f>VLOOKUP(C51,Stock_list!D:L,2,FALSE)</f>
        <v>英拓邦</v>
      </c>
      <c r="E51" s="147">
        <f>VLOOKUP(C51,Stock_list!D:L,9,FALSE)</f>
        <v>43415</v>
      </c>
      <c r="F51" s="116" t="s">
        <v>2861</v>
      </c>
      <c r="G51" s="117">
        <v>60</v>
      </c>
      <c r="Q51" s="143"/>
      <c r="T51" s="144"/>
      <c r="U51" s="145"/>
    </row>
    <row r="52" spans="1:21" ht="15" customHeight="1">
      <c r="A52" s="127" t="s">
        <v>2777</v>
      </c>
      <c r="B52" s="114" t="str">
        <f>VLOOKUP(A52,'Data pick slip'!B:F,5,FALSE)</f>
        <v>KHJ-MC400-00</v>
      </c>
      <c r="C52" s="115">
        <v>109308</v>
      </c>
      <c r="D52" s="115" t="str">
        <f>VLOOKUP(C52,Stock_list!D:L,2,FALSE)</f>
        <v>英拓邦</v>
      </c>
      <c r="E52" s="147">
        <f>VLOOKUP(C52,Stock_list!D:L,9,FALSE)</f>
        <v>43415</v>
      </c>
      <c r="F52" s="116" t="s">
        <v>2861</v>
      </c>
      <c r="G52" s="117">
        <v>5</v>
      </c>
      <c r="Q52" s="143"/>
      <c r="T52" s="144"/>
      <c r="U52" s="145"/>
    </row>
    <row r="53" spans="1:21" ht="15" customHeight="1">
      <c r="A53" s="127" t="s">
        <v>2812</v>
      </c>
      <c r="B53" s="114" t="str">
        <f>VLOOKUP(A53,'Data pick slip'!B:F,5,FALSE)</f>
        <v>KHJ-MC500-00</v>
      </c>
      <c r="C53" s="115">
        <v>109308</v>
      </c>
      <c r="D53" s="115" t="str">
        <f>VLOOKUP(C53,Stock_list!D:L,2,FALSE)</f>
        <v>英拓邦</v>
      </c>
      <c r="E53" s="147">
        <f>VLOOKUP(C53,Stock_list!D:L,9,FALSE)</f>
        <v>43415</v>
      </c>
      <c r="F53" s="116" t="s">
        <v>2861</v>
      </c>
      <c r="G53" s="117">
        <v>2</v>
      </c>
      <c r="Q53" s="143"/>
      <c r="T53" s="144"/>
      <c r="U53" s="145"/>
    </row>
    <row r="54" spans="1:21" ht="15" customHeight="1">
      <c r="A54" s="113" t="s">
        <v>2768</v>
      </c>
      <c r="B54" s="114" t="str">
        <f>VLOOKUP(A54,'Data pick slip'!B:F,5,FALSE)</f>
        <v>KHJ-MC100-00</v>
      </c>
      <c r="C54" s="115">
        <v>109295</v>
      </c>
      <c r="D54" s="115" t="str">
        <f>VLOOKUP(C54,Stock_list!D:L,2,FALSE)</f>
        <v>STK</v>
      </c>
      <c r="E54" s="147">
        <f>VLOOKUP(C54,Stock_list!D:L,9,FALSE)</f>
        <v>43418</v>
      </c>
      <c r="F54" s="116" t="s">
        <v>2861</v>
      </c>
      <c r="G54" s="117">
        <v>230</v>
      </c>
      <c r="Q54" s="143"/>
      <c r="T54" s="144"/>
      <c r="U54" s="145"/>
    </row>
    <row r="55" spans="1:21" ht="15" customHeight="1">
      <c r="A55" s="127" t="s">
        <v>2747</v>
      </c>
      <c r="B55" s="114" t="str">
        <f>VLOOKUP(A55,'Data pick slip'!B:F,5,FALSE)</f>
        <v>KHJ-MC200-00</v>
      </c>
      <c r="C55" s="115">
        <v>109295</v>
      </c>
      <c r="D55" s="115" t="str">
        <f>VLOOKUP(C55,Stock_list!D:L,2,FALSE)</f>
        <v>STK</v>
      </c>
      <c r="E55" s="147">
        <f>VLOOKUP(C55,Stock_list!D:L,9,FALSE)</f>
        <v>43418</v>
      </c>
      <c r="F55" s="116" t="s">
        <v>2861</v>
      </c>
      <c r="G55" s="117">
        <v>40</v>
      </c>
      <c r="Q55" s="143"/>
      <c r="T55" s="144"/>
      <c r="U55" s="145"/>
    </row>
    <row r="56" spans="1:21" ht="15" customHeight="1">
      <c r="A56" s="127" t="s">
        <v>2777</v>
      </c>
      <c r="B56" s="114" t="str">
        <f>VLOOKUP(A56,'Data pick slip'!B:F,5,FALSE)</f>
        <v>KHJ-MC400-00</v>
      </c>
      <c r="C56" s="115">
        <v>109295</v>
      </c>
      <c r="D56" s="115" t="str">
        <f>VLOOKUP(C56,Stock_list!D:L,2,FALSE)</f>
        <v>STK</v>
      </c>
      <c r="E56" s="147">
        <f>VLOOKUP(C56,Stock_list!D:L,9,FALSE)</f>
        <v>43418</v>
      </c>
      <c r="F56" s="116" t="s">
        <v>2861</v>
      </c>
      <c r="G56" s="117">
        <v>20</v>
      </c>
      <c r="Q56" s="143"/>
      <c r="T56" s="144"/>
      <c r="U56" s="145"/>
    </row>
    <row r="57" spans="1:21" ht="15" customHeight="1">
      <c r="A57" s="127" t="s">
        <v>2812</v>
      </c>
      <c r="B57" s="114" t="str">
        <f>VLOOKUP(A57,'Data pick slip'!B:F,5,FALSE)</f>
        <v>KHJ-MC500-00</v>
      </c>
      <c r="C57" s="115">
        <v>109295</v>
      </c>
      <c r="D57" s="115" t="str">
        <f>VLOOKUP(C57,Stock_list!D:L,2,FALSE)</f>
        <v>STK</v>
      </c>
      <c r="E57" s="147">
        <f>VLOOKUP(C57,Stock_list!D:L,9,FALSE)</f>
        <v>43418</v>
      </c>
      <c r="F57" s="116" t="s">
        <v>2861</v>
      </c>
      <c r="G57" s="117">
        <v>5</v>
      </c>
      <c r="Q57" s="143"/>
      <c r="T57" s="144"/>
      <c r="U57" s="145"/>
    </row>
    <row r="58" spans="1:21" ht="15" customHeight="1">
      <c r="A58" s="127" t="s">
        <v>2747</v>
      </c>
      <c r="B58" s="114" t="str">
        <f>VLOOKUP(A58,'Data pick slip'!B:F,5,FALSE)</f>
        <v>KHJ-MC200-00</v>
      </c>
      <c r="C58" s="115" t="s">
        <v>2862</v>
      </c>
      <c r="D58" s="115"/>
      <c r="E58" s="147"/>
      <c r="F58" s="116" t="s">
        <v>2773</v>
      </c>
      <c r="G58" s="117">
        <v>5</v>
      </c>
      <c r="Q58" s="143"/>
      <c r="T58" s="144"/>
      <c r="U58" s="145"/>
    </row>
    <row r="59" spans="1:21" s="119" customFormat="1" ht="15" customHeight="1">
      <c r="A59" s="113" t="s">
        <v>2768</v>
      </c>
      <c r="B59" s="114" t="str">
        <f>VLOOKUP(A59,'Data pick slip'!B:F,5,FALSE)</f>
        <v>KHJ-MC100-00</v>
      </c>
      <c r="C59" s="115">
        <v>109421</v>
      </c>
      <c r="D59" s="115" t="str">
        <f>VLOOKUP(C59,Stock_list!D:L,2,FALSE)</f>
        <v>STK</v>
      </c>
      <c r="E59" s="147">
        <f>VLOOKUP(C59,Stock_list!D:L,9,FALSE)</f>
        <v>43435</v>
      </c>
      <c r="F59" s="116" t="s">
        <v>2861</v>
      </c>
      <c r="G59" s="117">
        <v>300</v>
      </c>
      <c r="H59" s="118"/>
      <c r="K59" s="120"/>
      <c r="L59" s="121"/>
      <c r="M59" s="120"/>
      <c r="N59" s="122"/>
      <c r="O59" s="122"/>
      <c r="Q59" s="123"/>
      <c r="R59" s="124"/>
      <c r="T59" s="125"/>
      <c r="U59" s="126"/>
    </row>
    <row r="60" spans="1:21" ht="15" customHeight="1">
      <c r="A60" s="113" t="s">
        <v>2768</v>
      </c>
      <c r="B60" s="114" t="str">
        <f>VLOOKUP(A60,'Data pick slip'!B:F,5,FALSE)</f>
        <v>KHJ-MC100-00</v>
      </c>
      <c r="C60" s="115">
        <v>109454</v>
      </c>
      <c r="D60" s="115" t="str">
        <f>VLOOKUP(C60,Stock_list!D:L,2,FALSE)</f>
        <v>STK</v>
      </c>
      <c r="E60" s="147">
        <f>VLOOKUP(C60,Stock_list!D:L,9,FALSE)</f>
        <v>43442</v>
      </c>
      <c r="F60" s="116" t="s">
        <v>2861</v>
      </c>
      <c r="G60" s="117">
        <v>420</v>
      </c>
      <c r="H60" s="148"/>
      <c r="I60" s="146"/>
      <c r="J60" s="146"/>
      <c r="K60" s="149"/>
      <c r="L60" s="150"/>
      <c r="M60" s="149"/>
      <c r="N60" s="151"/>
      <c r="O60" s="151"/>
      <c r="P60" s="146"/>
      <c r="Q60" s="152"/>
      <c r="R60" s="153"/>
      <c r="S60" s="146"/>
      <c r="T60" s="154"/>
      <c r="U60" s="145"/>
    </row>
    <row r="61" spans="1:21" ht="15" customHeight="1">
      <c r="A61" s="127" t="s">
        <v>2747</v>
      </c>
      <c r="B61" s="114" t="str">
        <f>VLOOKUP(A61,'Data pick slip'!B:F,5,FALSE)</f>
        <v>KHJ-MC200-00</v>
      </c>
      <c r="C61" s="115">
        <v>109454</v>
      </c>
      <c r="D61" s="115" t="str">
        <f>VLOOKUP(C61,Stock_list!D:L,2,FALSE)</f>
        <v>STK</v>
      </c>
      <c r="E61" s="147">
        <f>VLOOKUP(C61,Stock_list!D:L,9,FALSE)</f>
        <v>43442</v>
      </c>
      <c r="F61" s="116" t="s">
        <v>2861</v>
      </c>
      <c r="G61" s="117">
        <v>60</v>
      </c>
      <c r="H61" s="148"/>
      <c r="I61" s="146"/>
      <c r="J61" s="146"/>
      <c r="K61" s="149"/>
      <c r="L61" s="150"/>
      <c r="M61" s="149"/>
      <c r="N61" s="151"/>
      <c r="O61" s="151"/>
      <c r="P61" s="146"/>
      <c r="Q61" s="152"/>
      <c r="R61" s="153"/>
      <c r="S61" s="146"/>
      <c r="T61" s="154"/>
      <c r="U61" s="145"/>
    </row>
    <row r="62" spans="1:21" s="119" customFormat="1" ht="15" customHeight="1">
      <c r="A62" s="113" t="s">
        <v>2768</v>
      </c>
      <c r="B62" s="114" t="str">
        <f>VLOOKUP(A62,'Data pick slip'!B:F,5,FALSE)</f>
        <v>KHJ-MC100-00</v>
      </c>
      <c r="C62" s="115">
        <v>109423</v>
      </c>
      <c r="D62" s="115" t="str">
        <f>VLOOKUP(C62,Stock_list!D:L,2,FALSE)</f>
        <v>STK</v>
      </c>
      <c r="E62" s="147">
        <f>VLOOKUP(C62,Stock_list!D:L,9,FALSE)</f>
        <v>43455</v>
      </c>
      <c r="F62" s="116" t="s">
        <v>2861</v>
      </c>
      <c r="G62" s="117">
        <v>48</v>
      </c>
      <c r="H62" s="118"/>
      <c r="K62" s="120"/>
      <c r="L62" s="121"/>
      <c r="M62" s="120"/>
      <c r="N62" s="122"/>
      <c r="O62" s="122"/>
      <c r="Q62" s="123"/>
      <c r="R62" s="124"/>
      <c r="T62" s="125"/>
      <c r="U62" s="126"/>
    </row>
    <row r="63" spans="1:21" s="119" customFormat="1" ht="15" customHeight="1">
      <c r="A63" s="127" t="s">
        <v>2747</v>
      </c>
      <c r="B63" s="114" t="str">
        <f>VLOOKUP(A63,'Data pick slip'!B:F,5,FALSE)</f>
        <v>KHJ-MC200-00</v>
      </c>
      <c r="C63" s="115">
        <v>109423</v>
      </c>
      <c r="D63" s="115" t="str">
        <f>VLOOKUP(C63,Stock_list!D:L,2,FALSE)</f>
        <v>STK</v>
      </c>
      <c r="E63" s="147">
        <f>VLOOKUP(C63,Stock_list!D:L,9,FALSE)</f>
        <v>43455</v>
      </c>
      <c r="F63" s="116" t="s">
        <v>2861</v>
      </c>
      <c r="G63" s="117">
        <v>10</v>
      </c>
      <c r="H63" s="118"/>
      <c r="K63" s="120"/>
      <c r="L63" s="121"/>
      <c r="M63" s="120"/>
      <c r="N63" s="122"/>
      <c r="O63" s="122"/>
      <c r="Q63" s="123"/>
      <c r="R63" s="124"/>
      <c r="T63" s="125"/>
      <c r="U63" s="126"/>
    </row>
    <row r="64" spans="1:21" s="119" customFormat="1" ht="15" customHeight="1">
      <c r="A64" s="127" t="s">
        <v>2748</v>
      </c>
      <c r="B64" s="114" t="str">
        <f>VLOOKUP(A64,'Data pick slip'!B:F,5,FALSE)</f>
        <v>KHJ-MC400-00</v>
      </c>
      <c r="C64" s="115"/>
      <c r="D64" s="115"/>
      <c r="E64" s="147" t="s">
        <v>2863</v>
      </c>
      <c r="F64" s="116" t="s">
        <v>2773</v>
      </c>
      <c r="G64" s="117">
        <v>10</v>
      </c>
      <c r="H64" s="118"/>
      <c r="K64" s="120"/>
      <c r="L64" s="121"/>
      <c r="M64" s="120"/>
      <c r="N64" s="122"/>
      <c r="O64" s="122"/>
      <c r="Q64" s="123"/>
      <c r="R64" s="124"/>
      <c r="T64" s="125"/>
      <c r="U64" s="126"/>
    </row>
    <row r="65" spans="1:21" s="119" customFormat="1" ht="15" customHeight="1">
      <c r="A65" s="127" t="s">
        <v>2757</v>
      </c>
      <c r="B65" s="114" t="str">
        <f>VLOOKUP(A65,'Data pick slip'!B:F,5,FALSE)</f>
        <v>KLJ-MC400-00</v>
      </c>
      <c r="C65" s="115"/>
      <c r="D65" s="115"/>
      <c r="E65" s="147" t="s">
        <v>2863</v>
      </c>
      <c r="F65" s="116" t="s">
        <v>2773</v>
      </c>
      <c r="G65" s="117">
        <v>21</v>
      </c>
      <c r="H65" s="118"/>
      <c r="K65" s="120"/>
      <c r="L65" s="121"/>
      <c r="M65" s="120"/>
      <c r="N65" s="122"/>
      <c r="O65" s="122"/>
      <c r="Q65" s="123"/>
      <c r="R65" s="124"/>
      <c r="T65" s="125"/>
      <c r="U65" s="126"/>
    </row>
    <row r="66" spans="1:21" s="119" customFormat="1" ht="15" customHeight="1">
      <c r="A66" s="127" t="s">
        <v>2749</v>
      </c>
      <c r="B66" s="114" t="str">
        <f>VLOOKUP(A66,'Data pick slip'!B:F,5,FALSE)</f>
        <v>KHJ-MC500-00</v>
      </c>
      <c r="C66" s="115"/>
      <c r="D66" s="115"/>
      <c r="E66" s="147" t="s">
        <v>2863</v>
      </c>
      <c r="F66" s="116" t="s">
        <v>2773</v>
      </c>
      <c r="G66" s="117">
        <v>7</v>
      </c>
      <c r="H66" s="118"/>
      <c r="K66" s="120"/>
      <c r="L66" s="121"/>
      <c r="M66" s="120"/>
      <c r="N66" s="122"/>
      <c r="O66" s="122"/>
      <c r="Q66" s="123"/>
      <c r="R66" s="124"/>
      <c r="T66" s="125"/>
      <c r="U66" s="126"/>
    </row>
    <row r="67" spans="1:21" s="119" customFormat="1" ht="15" customHeight="1">
      <c r="A67" s="127" t="s">
        <v>2744</v>
      </c>
      <c r="B67" s="114" t="str">
        <f>VLOOKUP(A67,'Data pick slip'!B:F,5,FALSE)</f>
        <v>KHJ-MC100-00</v>
      </c>
      <c r="C67" s="115"/>
      <c r="D67" s="115"/>
      <c r="E67" s="147" t="s">
        <v>2863</v>
      </c>
      <c r="F67" s="116" t="s">
        <v>2773</v>
      </c>
      <c r="G67" s="117">
        <v>150</v>
      </c>
      <c r="H67" s="118"/>
      <c r="K67" s="120"/>
      <c r="L67" s="121"/>
      <c r="M67" s="120"/>
      <c r="N67" s="122"/>
      <c r="O67" s="122"/>
      <c r="Q67" s="123"/>
      <c r="R67" s="124"/>
      <c r="T67" s="125"/>
      <c r="U67" s="126"/>
    </row>
    <row r="68" spans="1:21" s="119" customFormat="1" ht="15" customHeight="1">
      <c r="A68" s="127" t="s">
        <v>2744</v>
      </c>
      <c r="B68" s="114" t="str">
        <f>VLOOKUP(A68,'Data pick slip'!B:F,5,FALSE)</f>
        <v>KHJ-MC100-00</v>
      </c>
      <c r="C68" s="115"/>
      <c r="D68" s="115"/>
      <c r="E68" s="147" t="s">
        <v>2864</v>
      </c>
      <c r="F68" s="116" t="s">
        <v>2773</v>
      </c>
      <c r="G68" s="117">
        <v>260</v>
      </c>
      <c r="H68" s="118"/>
      <c r="K68" s="120"/>
      <c r="L68" s="121"/>
      <c r="M68" s="120"/>
      <c r="N68" s="122"/>
      <c r="O68" s="122"/>
      <c r="Q68" s="123"/>
      <c r="R68" s="124"/>
      <c r="T68" s="125"/>
      <c r="U68" s="126"/>
    </row>
    <row r="69" spans="1:21" s="119" customFormat="1" ht="15" customHeight="1">
      <c r="A69" s="127" t="s">
        <v>2747</v>
      </c>
      <c r="B69" s="114" t="str">
        <f>VLOOKUP(A69,'Data pick slip'!B:F,5,FALSE)</f>
        <v>KHJ-MC200-00</v>
      </c>
      <c r="C69" s="115"/>
      <c r="D69" s="115"/>
      <c r="E69" s="147" t="s">
        <v>2864</v>
      </c>
      <c r="F69" s="116" t="s">
        <v>2773</v>
      </c>
      <c r="G69" s="117">
        <v>30</v>
      </c>
      <c r="H69" s="118"/>
      <c r="K69" s="120"/>
      <c r="L69" s="121"/>
      <c r="M69" s="120"/>
      <c r="N69" s="122"/>
      <c r="O69" s="122"/>
      <c r="Q69" s="123"/>
      <c r="R69" s="124"/>
      <c r="T69" s="125"/>
      <c r="U69" s="126"/>
    </row>
    <row r="70" spans="1:21" s="119" customFormat="1" ht="15" customHeight="1">
      <c r="A70" s="127" t="s">
        <v>2748</v>
      </c>
      <c r="B70" s="114" t="str">
        <f>VLOOKUP(A70,'Data pick slip'!B:F,5,FALSE)</f>
        <v>KHJ-MC400-00</v>
      </c>
      <c r="C70" s="115"/>
      <c r="D70" s="115"/>
      <c r="E70" s="147" t="s">
        <v>2864</v>
      </c>
      <c r="F70" s="116" t="s">
        <v>2773</v>
      </c>
      <c r="G70" s="117">
        <v>20</v>
      </c>
      <c r="H70" s="118"/>
      <c r="K70" s="120"/>
      <c r="L70" s="121"/>
      <c r="M70" s="120"/>
      <c r="N70" s="122"/>
      <c r="O70" s="122"/>
      <c r="Q70" s="123"/>
      <c r="R70" s="124"/>
      <c r="T70" s="125"/>
      <c r="U70" s="126"/>
    </row>
    <row r="71" spans="1:21" s="119" customFormat="1" ht="15" customHeight="1">
      <c r="A71" s="127" t="s">
        <v>2756</v>
      </c>
      <c r="B71" s="114" t="str">
        <f>VLOOKUP(A71,'Data pick slip'!B:F,5,FALSE)</f>
        <v>KLJ-MC200-00</v>
      </c>
      <c r="C71" s="115"/>
      <c r="D71" s="115"/>
      <c r="E71" s="147" t="s">
        <v>2864</v>
      </c>
      <c r="F71" s="116" t="s">
        <v>2773</v>
      </c>
      <c r="G71" s="117">
        <v>20</v>
      </c>
      <c r="H71" s="118"/>
      <c r="K71" s="120"/>
      <c r="L71" s="121"/>
      <c r="M71" s="120"/>
      <c r="N71" s="122"/>
      <c r="O71" s="122"/>
      <c r="Q71" s="122"/>
      <c r="R71" s="124"/>
      <c r="T71" s="125"/>
      <c r="U71" s="126"/>
    </row>
    <row r="72" spans="1:21" s="119" customFormat="1" ht="15" customHeight="1">
      <c r="A72" s="127" t="s">
        <v>2747</v>
      </c>
      <c r="B72" s="114" t="str">
        <f>VLOOKUP(A72,'Data pick slip'!B:F,5,FALSE)</f>
        <v>KHJ-MC200-00</v>
      </c>
      <c r="C72" s="115"/>
      <c r="D72" s="115"/>
      <c r="E72" s="147" t="s">
        <v>2865</v>
      </c>
      <c r="F72" s="116" t="s">
        <v>2773</v>
      </c>
      <c r="G72" s="117">
        <v>30</v>
      </c>
      <c r="H72" s="118"/>
      <c r="K72" s="120"/>
      <c r="L72" s="121"/>
      <c r="M72" s="120"/>
      <c r="N72" s="122"/>
      <c r="O72" s="122"/>
      <c r="Q72" s="123"/>
      <c r="R72" s="124"/>
      <c r="T72" s="125"/>
      <c r="U72" s="126"/>
    </row>
    <row r="73" spans="1:21" s="119" customFormat="1" ht="15" customHeight="1">
      <c r="A73" s="127" t="s">
        <v>2748</v>
      </c>
      <c r="B73" s="114" t="str">
        <f>VLOOKUP(A73,'Data pick slip'!B:F,5,FALSE)</f>
        <v>KHJ-MC400-00</v>
      </c>
      <c r="C73" s="115"/>
      <c r="D73" s="115"/>
      <c r="E73" s="147" t="s">
        <v>2865</v>
      </c>
      <c r="F73" s="116" t="s">
        <v>2773</v>
      </c>
      <c r="G73" s="117">
        <v>10</v>
      </c>
      <c r="H73" s="118"/>
      <c r="K73" s="120"/>
      <c r="L73" s="121"/>
      <c r="M73" s="120"/>
      <c r="N73" s="122"/>
      <c r="O73" s="122"/>
      <c r="Q73" s="123"/>
      <c r="R73" s="124"/>
      <c r="T73" s="125"/>
      <c r="U73" s="126"/>
    </row>
    <row r="74" spans="1:21" ht="15" customHeight="1">
      <c r="A74" s="113" t="s">
        <v>2768</v>
      </c>
      <c r="B74" s="114" t="str">
        <f>VLOOKUP(A74,'Data pick slip'!B:F,5,FALSE)</f>
        <v>KHJ-MC100-00</v>
      </c>
      <c r="C74" s="115">
        <v>109478</v>
      </c>
      <c r="D74" s="115" t="str">
        <f>VLOOKUP(C74,Stock_list!D:L,2,FALSE)</f>
        <v>康佳</v>
      </c>
      <c r="E74" s="147">
        <f>VLOOKUP(C74,Stock_list!D:L,9,FALSE)</f>
        <v>43512</v>
      </c>
      <c r="F74" s="116" t="s">
        <v>2861</v>
      </c>
      <c r="G74" s="117">
        <v>500</v>
      </c>
      <c r="H74" s="148"/>
      <c r="I74" s="146"/>
      <c r="J74" s="146"/>
      <c r="K74" s="149"/>
      <c r="L74" s="150"/>
      <c r="M74" s="149"/>
      <c r="N74" s="151"/>
      <c r="O74" s="151"/>
      <c r="P74" s="146"/>
      <c r="Q74" s="152"/>
      <c r="R74" s="153"/>
      <c r="S74" s="146"/>
      <c r="T74" s="154"/>
      <c r="U74" s="145"/>
    </row>
    <row r="75" spans="1:21" ht="15" customHeight="1">
      <c r="A75" s="127" t="s">
        <v>2812</v>
      </c>
      <c r="B75" s="114" t="str">
        <f>VLOOKUP(A75,'Data pick slip'!B:F,5,FALSE)</f>
        <v>KHJ-MC500-00</v>
      </c>
      <c r="C75" s="115">
        <v>109478</v>
      </c>
      <c r="D75" s="115" t="str">
        <f>VLOOKUP(C75,Stock_list!D:L,2,FALSE)</f>
        <v>康佳</v>
      </c>
      <c r="E75" s="147">
        <f>VLOOKUP(C75,Stock_list!D:L,9,FALSE)</f>
        <v>43512</v>
      </c>
      <c r="F75" s="116" t="s">
        <v>2861</v>
      </c>
      <c r="G75" s="117">
        <v>10</v>
      </c>
      <c r="H75" s="148"/>
      <c r="I75" s="146"/>
      <c r="J75" s="146"/>
      <c r="K75" s="149"/>
      <c r="L75" s="150"/>
      <c r="M75" s="149"/>
      <c r="N75" s="151"/>
      <c r="O75" s="151"/>
      <c r="P75" s="146"/>
      <c r="Q75" s="152"/>
      <c r="R75" s="153"/>
      <c r="S75" s="146"/>
      <c r="T75" s="154"/>
      <c r="U75" s="145"/>
    </row>
    <row r="76" spans="1:21" s="119" customFormat="1" ht="15" customHeight="1">
      <c r="A76" s="113" t="s">
        <v>2768</v>
      </c>
      <c r="B76" s="114" t="str">
        <f>VLOOKUP(A76,'Data pick slip'!B:F,5,FALSE)</f>
        <v>KHJ-MC100-00</v>
      </c>
      <c r="C76" s="115">
        <v>109383</v>
      </c>
      <c r="D76" s="115" t="str">
        <f>VLOOKUP(C76,Stock_list!D:L,2,FALSE)</f>
        <v>易而达名义</v>
      </c>
      <c r="E76" s="147">
        <f>VLOOKUP(C76,Stock_list!D:L,9,FALSE)</f>
        <v>43512</v>
      </c>
      <c r="F76" s="116" t="s">
        <v>2861</v>
      </c>
      <c r="G76" s="117">
        <v>60</v>
      </c>
      <c r="H76" s="118"/>
      <c r="K76" s="120"/>
      <c r="L76" s="121"/>
      <c r="M76" s="120"/>
      <c r="N76" s="122"/>
      <c r="O76" s="122"/>
      <c r="Q76" s="123"/>
      <c r="R76" s="124"/>
      <c r="T76" s="125"/>
      <c r="U76" s="126"/>
    </row>
    <row r="77" spans="1:21" ht="15" customHeight="1">
      <c r="A77" s="113" t="s">
        <v>2768</v>
      </c>
      <c r="B77" s="114" t="str">
        <f>VLOOKUP(A77,'Data pick slip'!B:F,5,FALSE)</f>
        <v>KHJ-MC100-00</v>
      </c>
      <c r="C77" s="115">
        <v>109490</v>
      </c>
      <c r="D77" s="115" t="str">
        <f>VLOOKUP(C77,Stock_list!D:L,2,FALSE)</f>
        <v>朗特名义</v>
      </c>
      <c r="E77" s="147">
        <f>VLOOKUP(C77,Stock_list!D:L,9,FALSE)</f>
        <v>43512</v>
      </c>
      <c r="F77" s="116" t="s">
        <v>2861</v>
      </c>
      <c r="G77" s="117">
        <v>30</v>
      </c>
      <c r="H77" s="148"/>
      <c r="I77" s="146"/>
      <c r="J77" s="146"/>
      <c r="K77" s="149"/>
      <c r="L77" s="150"/>
      <c r="M77" s="149"/>
      <c r="N77" s="151"/>
      <c r="O77" s="151"/>
      <c r="P77" s="146"/>
      <c r="Q77" s="152"/>
      <c r="R77" s="153"/>
      <c r="S77" s="146"/>
      <c r="T77" s="154"/>
      <c r="U77" s="145"/>
    </row>
    <row r="78" spans="1:21" ht="15" customHeight="1">
      <c r="A78" s="127" t="s">
        <v>2747</v>
      </c>
      <c r="B78" s="114" t="str">
        <f>VLOOKUP(A78,'Data pick slip'!B:F,5,FALSE)</f>
        <v>KHJ-MC200-00</v>
      </c>
      <c r="C78" s="115">
        <v>109490</v>
      </c>
      <c r="D78" s="115" t="str">
        <f>VLOOKUP(C78,Stock_list!D:L,2,FALSE)</f>
        <v>朗特名义</v>
      </c>
      <c r="E78" s="147">
        <f>VLOOKUP(C78,Stock_list!D:L,9,FALSE)</f>
        <v>43512</v>
      </c>
      <c r="F78" s="116" t="s">
        <v>2861</v>
      </c>
      <c r="G78" s="117">
        <v>40</v>
      </c>
      <c r="H78" s="148"/>
      <c r="I78" s="146"/>
      <c r="J78" s="146"/>
      <c r="K78" s="149"/>
      <c r="L78" s="150"/>
      <c r="M78" s="149"/>
      <c r="N78" s="151"/>
      <c r="O78" s="151"/>
      <c r="P78" s="146"/>
      <c r="Q78" s="152"/>
      <c r="R78" s="153"/>
      <c r="S78" s="146"/>
      <c r="T78" s="154"/>
      <c r="U78" s="145"/>
    </row>
    <row r="79" spans="1:21" ht="15" customHeight="1">
      <c r="A79" s="113" t="s">
        <v>2768</v>
      </c>
      <c r="B79" s="114" t="str">
        <f>VLOOKUP(A79,'Data pick slip'!B:F,5,FALSE)</f>
        <v>KHJ-MC100-00</v>
      </c>
      <c r="C79" s="115">
        <v>109220</v>
      </c>
      <c r="D79" s="115" t="str">
        <f>VLOOKUP(C79,Stock_list!D:L,2,FALSE)</f>
        <v>丰硕名义</v>
      </c>
      <c r="E79" s="147">
        <f>VLOOKUP(C79,Stock_list!D:L,9,FALSE)</f>
        <v>43518</v>
      </c>
      <c r="F79" s="116" t="s">
        <v>2861</v>
      </c>
      <c r="G79" s="117">
        <v>30</v>
      </c>
      <c r="H79" s="148"/>
      <c r="I79" s="146"/>
      <c r="J79" s="146"/>
      <c r="K79" s="149"/>
      <c r="L79" s="150"/>
      <c r="M79" s="149"/>
      <c r="N79" s="151"/>
      <c r="O79" s="151"/>
      <c r="P79" s="146"/>
      <c r="Q79" s="152"/>
      <c r="R79" s="153"/>
      <c r="S79" s="146"/>
      <c r="T79" s="154"/>
      <c r="U79" s="145"/>
    </row>
    <row r="80" spans="1:21" ht="21.75" customHeight="1">
      <c r="A80" s="127" t="s">
        <v>2747</v>
      </c>
      <c r="B80" s="114" t="str">
        <f>VLOOKUP(A80,'Data pick slip'!B:F,5,FALSE)</f>
        <v>KHJ-MC200-00</v>
      </c>
      <c r="C80" s="115">
        <v>109220</v>
      </c>
      <c r="D80" s="115" t="str">
        <f>VLOOKUP(C80,Stock_list!D:L,2,FALSE)</f>
        <v>丰硕名义</v>
      </c>
      <c r="E80" s="147">
        <f>VLOOKUP(C80,Stock_list!D:L,9,FALSE)</f>
        <v>43518</v>
      </c>
      <c r="F80" s="116" t="s">
        <v>2861</v>
      </c>
      <c r="G80" s="117">
        <v>10</v>
      </c>
      <c r="H80" s="148"/>
      <c r="I80" s="146"/>
      <c r="J80" s="146"/>
      <c r="K80" s="149"/>
      <c r="L80" s="150"/>
      <c r="M80" s="149"/>
      <c r="N80" s="151"/>
      <c r="O80" s="151"/>
      <c r="P80" s="146"/>
      <c r="Q80" s="152"/>
      <c r="R80" s="153"/>
      <c r="S80" s="146"/>
      <c r="T80" s="154"/>
      <c r="U80" s="145"/>
    </row>
    <row r="81" spans="1:21" ht="15" customHeight="1">
      <c r="A81" s="113" t="s">
        <v>2768</v>
      </c>
      <c r="B81" s="114" t="str">
        <f>VLOOKUP(A81,'Data pick slip'!B:F,5,FALSE)</f>
        <v>KHJ-MC100-00</v>
      </c>
      <c r="C81" s="115">
        <v>109247</v>
      </c>
      <c r="D81" s="115" t="str">
        <f>VLOOKUP(C81,Stock_list!D:L,2,FALSE)</f>
        <v>栩骊名义</v>
      </c>
      <c r="E81" s="147">
        <f>VLOOKUP(C81,Stock_list!D:L,9,FALSE)</f>
        <v>43527</v>
      </c>
      <c r="F81" s="116" t="s">
        <v>2861</v>
      </c>
      <c r="G81" s="117">
        <v>250</v>
      </c>
      <c r="H81" s="148"/>
      <c r="I81" s="146"/>
      <c r="J81" s="146"/>
      <c r="K81" s="149"/>
      <c r="L81" s="150"/>
      <c r="M81" s="149"/>
      <c r="N81" s="151"/>
      <c r="O81" s="151"/>
      <c r="P81" s="146"/>
      <c r="Q81" s="152"/>
      <c r="R81" s="153"/>
      <c r="S81" s="146"/>
      <c r="T81" s="154"/>
      <c r="U81" s="145"/>
    </row>
    <row r="82" spans="1:21" ht="15" customHeight="1">
      <c r="A82" s="127" t="s">
        <v>2747</v>
      </c>
      <c r="B82" s="114" t="str">
        <f>VLOOKUP(A82,'Data pick slip'!B:F,5,FALSE)</f>
        <v>KHJ-MC200-00</v>
      </c>
      <c r="C82" s="115">
        <v>109247</v>
      </c>
      <c r="D82" s="115" t="str">
        <f>VLOOKUP(C82,Stock_list!D:L,2,FALSE)</f>
        <v>栩骊名义</v>
      </c>
      <c r="E82" s="147">
        <f>VLOOKUP(C82,Stock_list!D:L,9,FALSE)</f>
        <v>43527</v>
      </c>
      <c r="F82" s="116" t="s">
        <v>2861</v>
      </c>
      <c r="G82" s="117">
        <v>20</v>
      </c>
      <c r="H82" s="148"/>
      <c r="I82" s="146"/>
      <c r="J82" s="146"/>
      <c r="K82" s="149"/>
      <c r="L82" s="150"/>
      <c r="M82" s="149"/>
      <c r="N82" s="151"/>
      <c r="O82" s="151"/>
      <c r="P82" s="146"/>
      <c r="Q82" s="152"/>
      <c r="R82" s="153"/>
      <c r="S82" s="146"/>
      <c r="T82" s="154"/>
      <c r="U82" s="145"/>
    </row>
    <row r="83" spans="1:21" ht="15" customHeight="1">
      <c r="A83" s="127" t="s">
        <v>2812</v>
      </c>
      <c r="B83" s="114" t="str">
        <f>VLOOKUP(A83,'Data pick slip'!B:F,5,FALSE)</f>
        <v>KHJ-MC500-00</v>
      </c>
      <c r="C83" s="115">
        <v>109247</v>
      </c>
      <c r="D83" s="115" t="str">
        <f>VLOOKUP(C83,Stock_list!D:L,2,FALSE)</f>
        <v>栩骊名义</v>
      </c>
      <c r="E83" s="147">
        <f>VLOOKUP(C83,Stock_list!D:L,9,FALSE)</f>
        <v>43527</v>
      </c>
      <c r="F83" s="116" t="s">
        <v>2861</v>
      </c>
      <c r="G83" s="117">
        <v>5</v>
      </c>
      <c r="H83" s="148"/>
      <c r="I83" s="146"/>
      <c r="J83" s="146"/>
      <c r="K83" s="149"/>
      <c r="L83" s="150"/>
      <c r="M83" s="149"/>
      <c r="N83" s="151"/>
      <c r="O83" s="151"/>
      <c r="P83" s="146"/>
      <c r="Q83" s="152"/>
      <c r="R83" s="153"/>
      <c r="S83" s="146"/>
      <c r="T83" s="154"/>
      <c r="U83" s="145"/>
    </row>
    <row r="84" spans="1:21" s="119" customFormat="1" ht="15" customHeight="1">
      <c r="A84" s="113" t="s">
        <v>2768</v>
      </c>
      <c r="B84" s="114" t="str">
        <f>VLOOKUP(A84,'Data pick slip'!B:F,5,FALSE)</f>
        <v>KHJ-MC100-00</v>
      </c>
      <c r="C84" s="115">
        <v>109431</v>
      </c>
      <c r="D84" s="115" t="str">
        <f>VLOOKUP(C84,Stock_list!D:L,2,FALSE)</f>
        <v>安嘉名义</v>
      </c>
      <c r="E84" s="147">
        <f>VLOOKUP(C84,Stock_list!D:L,9,FALSE)</f>
        <v>43527</v>
      </c>
      <c r="F84" s="116" t="s">
        <v>2861</v>
      </c>
      <c r="G84" s="117">
        <v>120</v>
      </c>
      <c r="H84" s="118"/>
      <c r="K84" s="120"/>
      <c r="L84" s="121"/>
      <c r="M84" s="120"/>
      <c r="N84" s="122"/>
      <c r="O84" s="122"/>
      <c r="Q84" s="123"/>
      <c r="R84" s="124"/>
      <c r="T84" s="125"/>
      <c r="U84" s="126"/>
    </row>
    <row r="85" spans="1:21" s="119" customFormat="1" ht="15" customHeight="1">
      <c r="A85" s="113" t="s">
        <v>2768</v>
      </c>
      <c r="B85" s="114" t="str">
        <f>VLOOKUP(A85,'Data pick slip'!B:F,5,FALSE)</f>
        <v>KHJ-MC100-00</v>
      </c>
      <c r="C85" s="115">
        <v>109430</v>
      </c>
      <c r="D85" s="115" t="str">
        <f>VLOOKUP(C85,Stock_list!D:L,2,FALSE)</f>
        <v>瑞福联名义</v>
      </c>
      <c r="E85" s="147">
        <f>VLOOKUP(C85,Stock_list!D:L,9,FALSE)</f>
        <v>43530</v>
      </c>
      <c r="F85" s="116" t="s">
        <v>2861</v>
      </c>
      <c r="G85" s="117">
        <v>100</v>
      </c>
      <c r="H85" s="118"/>
      <c r="K85" s="120"/>
      <c r="L85" s="121"/>
      <c r="M85" s="120"/>
      <c r="N85" s="122"/>
      <c r="O85" s="122"/>
      <c r="Q85" s="123"/>
      <c r="R85" s="124"/>
      <c r="T85" s="125"/>
      <c r="U85" s="126"/>
    </row>
    <row r="86" spans="1:21" s="119" customFormat="1" ht="15" customHeight="1">
      <c r="A86" s="127" t="s">
        <v>2777</v>
      </c>
      <c r="B86" s="114" t="str">
        <f>VLOOKUP(A86,'Data pick slip'!B:F,5,FALSE)</f>
        <v>KHJ-MC400-00</v>
      </c>
      <c r="C86" s="115">
        <v>109430</v>
      </c>
      <c r="D86" s="115" t="str">
        <f>VLOOKUP(C86,Stock_list!D:L,2,FALSE)</f>
        <v>瑞福联名义</v>
      </c>
      <c r="E86" s="147">
        <f>VLOOKUP(C86,Stock_list!D:L,9,FALSE)</f>
        <v>43530</v>
      </c>
      <c r="F86" s="116" t="s">
        <v>2861</v>
      </c>
      <c r="G86" s="117">
        <v>10</v>
      </c>
      <c r="H86" s="118"/>
      <c r="K86" s="120"/>
      <c r="L86" s="121"/>
      <c r="M86" s="120"/>
      <c r="N86" s="122"/>
      <c r="O86" s="122"/>
      <c r="Q86" s="123"/>
      <c r="R86" s="124"/>
      <c r="T86" s="125"/>
      <c r="U86" s="126"/>
    </row>
    <row r="87" spans="1:21" ht="15" customHeight="1">
      <c r="A87" s="113" t="s">
        <v>2755</v>
      </c>
      <c r="B87" s="114" t="str">
        <f>VLOOKUP(A87,'Data pick slip'!B:F,5,FALSE)</f>
        <v>KLJ-MC100-00</v>
      </c>
      <c r="C87" s="115">
        <v>109389</v>
      </c>
      <c r="D87" s="115" t="str">
        <f>VLOOKUP(C87,Stock_list!D:L,2,FALSE)</f>
        <v>立昇名义</v>
      </c>
      <c r="E87" s="147">
        <f>VLOOKUP(C87,Stock_list!D:L,9,FALSE)</f>
        <v>43537</v>
      </c>
      <c r="F87" s="116" t="s">
        <v>2861</v>
      </c>
      <c r="G87" s="117">
        <v>125</v>
      </c>
      <c r="H87" s="148"/>
      <c r="I87" s="146"/>
      <c r="J87" s="146"/>
      <c r="K87" s="149"/>
      <c r="L87" s="150"/>
      <c r="M87" s="149"/>
      <c r="N87" s="151"/>
      <c r="O87" s="151"/>
      <c r="P87" s="146"/>
      <c r="Q87" s="152"/>
      <c r="R87" s="153"/>
      <c r="S87" s="146"/>
      <c r="T87" s="154"/>
      <c r="U87" s="145"/>
    </row>
    <row r="88" spans="1:21" ht="15" customHeight="1">
      <c r="A88" s="127" t="s">
        <v>2756</v>
      </c>
      <c r="B88" s="114" t="str">
        <f>VLOOKUP(A88,'Data pick slip'!B:F,5,FALSE)</f>
        <v>KLJ-MC200-00</v>
      </c>
      <c r="C88" s="115">
        <v>109389</v>
      </c>
      <c r="D88" s="115" t="str">
        <f>VLOOKUP(C88,Stock_list!D:L,2,FALSE)</f>
        <v>立昇名义</v>
      </c>
      <c r="E88" s="147">
        <f>VLOOKUP(C88,Stock_list!D:L,9,FALSE)</f>
        <v>43537</v>
      </c>
      <c r="F88" s="116" t="s">
        <v>2861</v>
      </c>
      <c r="G88" s="117">
        <v>10</v>
      </c>
      <c r="H88" s="148"/>
      <c r="I88" s="146"/>
      <c r="J88" s="146"/>
      <c r="K88" s="149"/>
      <c r="L88" s="150"/>
      <c r="M88" s="149"/>
      <c r="N88" s="151"/>
      <c r="O88" s="151"/>
      <c r="P88" s="146"/>
      <c r="Q88" s="151"/>
      <c r="R88" s="153"/>
      <c r="S88" s="146"/>
      <c r="T88" s="154"/>
      <c r="U88" s="145"/>
    </row>
    <row r="89" spans="1:21" ht="15" customHeight="1">
      <c r="A89" s="113" t="s">
        <v>2768</v>
      </c>
      <c r="B89" s="114" t="str">
        <f>VLOOKUP(A89,'Data pick slip'!B:F,5,FALSE)</f>
        <v>KHJ-MC100-00</v>
      </c>
      <c r="C89" s="115">
        <v>109319</v>
      </c>
      <c r="D89" s="115" t="str">
        <f>VLOOKUP(C89,Stock_list!D:L,2,FALSE)</f>
        <v>深台名义</v>
      </c>
      <c r="E89" s="147">
        <f>VLOOKUP(C89,Stock_list!D:L,9,FALSE)</f>
        <v>43537</v>
      </c>
      <c r="F89" s="116" t="s">
        <v>2861</v>
      </c>
      <c r="G89" s="117">
        <v>85</v>
      </c>
      <c r="H89" s="148"/>
      <c r="I89" s="146"/>
      <c r="J89" s="146"/>
      <c r="K89" s="149"/>
      <c r="L89" s="150"/>
      <c r="M89" s="149"/>
      <c r="N89" s="151"/>
      <c r="O89" s="151"/>
      <c r="P89" s="146"/>
      <c r="Q89" s="152"/>
      <c r="R89" s="153"/>
      <c r="S89" s="146"/>
      <c r="T89" s="154"/>
      <c r="U89" s="145"/>
    </row>
    <row r="90" spans="1:21" ht="15" customHeight="1">
      <c r="A90" s="127" t="s">
        <v>2747</v>
      </c>
      <c r="B90" s="114" t="str">
        <f>VLOOKUP(A90,'Data pick slip'!B:F,5,FALSE)</f>
        <v>KHJ-MC200-00</v>
      </c>
      <c r="C90" s="115">
        <v>109319</v>
      </c>
      <c r="D90" s="115" t="str">
        <f>VLOOKUP(C90,Stock_list!D:L,2,FALSE)</f>
        <v>深台名义</v>
      </c>
      <c r="E90" s="147">
        <f>VLOOKUP(C90,Stock_list!D:L,9,FALSE)</f>
        <v>43537</v>
      </c>
      <c r="F90" s="116" t="s">
        <v>2861</v>
      </c>
      <c r="G90" s="117">
        <v>9</v>
      </c>
      <c r="H90" s="148"/>
      <c r="I90" s="146"/>
      <c r="J90" s="146"/>
      <c r="K90" s="149"/>
      <c r="L90" s="150"/>
      <c r="M90" s="149"/>
      <c r="N90" s="151"/>
      <c r="O90" s="151"/>
      <c r="P90" s="146"/>
      <c r="Q90" s="152"/>
      <c r="R90" s="153"/>
      <c r="S90" s="146"/>
      <c r="T90" s="154"/>
      <c r="U90" s="145"/>
    </row>
    <row r="91" spans="1:21" ht="15" customHeight="1">
      <c r="A91" s="127" t="s">
        <v>2777</v>
      </c>
      <c r="B91" s="114" t="str">
        <f>VLOOKUP(A91,'Data pick slip'!B:F,5,FALSE)</f>
        <v>KHJ-MC400-00</v>
      </c>
      <c r="C91" s="115">
        <v>109319</v>
      </c>
      <c r="D91" s="115" t="str">
        <f>VLOOKUP(C91,Stock_list!D:L,2,FALSE)</f>
        <v>深台名义</v>
      </c>
      <c r="E91" s="147">
        <f>VLOOKUP(C91,Stock_list!D:L,9,FALSE)</f>
        <v>43537</v>
      </c>
      <c r="F91" s="116" t="s">
        <v>2861</v>
      </c>
      <c r="G91" s="117">
        <v>2</v>
      </c>
      <c r="H91" s="148"/>
      <c r="I91" s="146"/>
      <c r="J91" s="146"/>
      <c r="K91" s="149"/>
      <c r="L91" s="150"/>
      <c r="M91" s="149"/>
      <c r="N91" s="151"/>
      <c r="O91" s="151"/>
      <c r="P91" s="146"/>
      <c r="Q91" s="152"/>
      <c r="R91" s="153"/>
      <c r="S91" s="146"/>
      <c r="T91" s="154"/>
      <c r="U91" s="145"/>
    </row>
    <row r="92" spans="1:21" s="119" customFormat="1" ht="15" customHeight="1">
      <c r="A92" s="113" t="s">
        <v>2768</v>
      </c>
      <c r="B92" s="114" t="str">
        <f>VLOOKUP(A92,'Data pick slip'!B:F,5,FALSE)</f>
        <v>KHJ-MC100-00</v>
      </c>
      <c r="C92" s="115">
        <v>109493</v>
      </c>
      <c r="D92" s="115" t="str">
        <f>VLOOKUP(C92,Stock_list!D:L,2,FALSE)</f>
        <v>朗特名义</v>
      </c>
      <c r="E92" s="147">
        <f>VLOOKUP(C92,Stock_list!D:L,9,FALSE)</f>
        <v>43546</v>
      </c>
      <c r="F92" s="116" t="s">
        <v>2861</v>
      </c>
      <c r="G92" s="117">
        <v>600</v>
      </c>
      <c r="H92" s="118"/>
      <c r="K92" s="120"/>
      <c r="L92" s="121"/>
      <c r="M92" s="120"/>
      <c r="N92" s="122"/>
      <c r="O92" s="122"/>
      <c r="Q92" s="123"/>
      <c r="R92" s="124"/>
      <c r="T92" s="125"/>
      <c r="U92" s="126"/>
    </row>
    <row r="93" spans="1:21" s="119" customFormat="1" ht="15" customHeight="1">
      <c r="A93" s="127" t="s">
        <v>2747</v>
      </c>
      <c r="B93" s="114" t="str">
        <f>VLOOKUP(A93,'Data pick slip'!B:F,5,FALSE)</f>
        <v>KHJ-MC200-00</v>
      </c>
      <c r="C93" s="115">
        <v>109493</v>
      </c>
      <c r="D93" s="115" t="str">
        <f>VLOOKUP(C93,Stock_list!D:L,2,FALSE)</f>
        <v>朗特名义</v>
      </c>
      <c r="E93" s="147">
        <f>VLOOKUP(C93,Stock_list!D:L,9,FALSE)</f>
        <v>43546</v>
      </c>
      <c r="F93" s="116" t="s">
        <v>2861</v>
      </c>
      <c r="G93" s="117">
        <v>80</v>
      </c>
      <c r="H93" s="118"/>
      <c r="K93" s="120"/>
      <c r="L93" s="121"/>
      <c r="M93" s="120"/>
      <c r="N93" s="122"/>
      <c r="O93" s="122"/>
      <c r="Q93" s="123"/>
      <c r="R93" s="124"/>
      <c r="T93" s="125"/>
      <c r="U93" s="126"/>
    </row>
    <row r="94" spans="1:21" s="119" customFormat="1" ht="15" customHeight="1">
      <c r="A94" s="127" t="s">
        <v>2777</v>
      </c>
      <c r="B94" s="114" t="str">
        <f>VLOOKUP(A94,'Data pick slip'!B:F,5,FALSE)</f>
        <v>KHJ-MC400-00</v>
      </c>
      <c r="C94" s="115">
        <v>109493</v>
      </c>
      <c r="D94" s="115" t="str">
        <f>VLOOKUP(C94,Stock_list!D:L,2,FALSE)</f>
        <v>朗特名义</v>
      </c>
      <c r="E94" s="147">
        <f>VLOOKUP(C94,Stock_list!D:L,9,FALSE)</f>
        <v>43546</v>
      </c>
      <c r="F94" s="116" t="s">
        <v>2861</v>
      </c>
      <c r="G94" s="117">
        <v>40</v>
      </c>
      <c r="H94" s="118"/>
      <c r="K94" s="120"/>
      <c r="L94" s="121"/>
      <c r="M94" s="120"/>
      <c r="N94" s="122"/>
      <c r="O94" s="122"/>
      <c r="Q94" s="123"/>
      <c r="R94" s="124"/>
      <c r="T94" s="125"/>
      <c r="U94" s="126"/>
    </row>
    <row r="95" spans="1:21" s="119" customFormat="1" ht="15" customHeight="1">
      <c r="A95" s="127" t="s">
        <v>2812</v>
      </c>
      <c r="B95" s="114" t="str">
        <f>VLOOKUP(A95,'Data pick slip'!B:F,5,FALSE)</f>
        <v>KHJ-MC500-00</v>
      </c>
      <c r="C95" s="115">
        <v>109493</v>
      </c>
      <c r="D95" s="115" t="str">
        <f>VLOOKUP(C95,Stock_list!D:L,2,FALSE)</f>
        <v>朗特名义</v>
      </c>
      <c r="E95" s="147">
        <f>VLOOKUP(C95,Stock_list!D:L,9,FALSE)</f>
        <v>43546</v>
      </c>
      <c r="F95" s="116" t="s">
        <v>2861</v>
      </c>
      <c r="G95" s="117">
        <v>4</v>
      </c>
      <c r="H95" s="118"/>
      <c r="K95" s="120"/>
      <c r="L95" s="121"/>
      <c r="M95" s="120"/>
      <c r="N95" s="122"/>
      <c r="O95" s="122"/>
      <c r="Q95" s="123"/>
      <c r="R95" s="124"/>
      <c r="T95" s="125"/>
      <c r="U95" s="126"/>
    </row>
    <row r="96" spans="1:21" s="119" customFormat="1" ht="15" customHeight="1">
      <c r="A96" s="127" t="s">
        <v>2751</v>
      </c>
      <c r="B96" s="114" t="str">
        <f>VLOOKUP(A96,'Data pick slip'!B:F,5,FALSE)</f>
        <v>KHJ-MC700-00</v>
      </c>
      <c r="C96" s="115">
        <v>109493</v>
      </c>
      <c r="D96" s="115" t="str">
        <f>VLOOKUP(C96,Stock_list!D:L,2,FALSE)</f>
        <v>朗特名义</v>
      </c>
      <c r="E96" s="147">
        <f>VLOOKUP(C96,Stock_list!D:L,9,FALSE)</f>
        <v>43546</v>
      </c>
      <c r="F96" s="116" t="s">
        <v>2861</v>
      </c>
      <c r="G96" s="117">
        <v>6</v>
      </c>
      <c r="H96" s="118"/>
      <c r="K96" s="120"/>
      <c r="L96" s="121"/>
      <c r="M96" s="120"/>
      <c r="N96" s="122"/>
      <c r="O96" s="122"/>
      <c r="Q96" s="123"/>
      <c r="R96" s="124"/>
      <c r="T96" s="125"/>
      <c r="U96" s="126"/>
    </row>
    <row r="97" spans="1:21" ht="15" customHeight="1">
      <c r="A97" s="155" t="s">
        <v>2768</v>
      </c>
      <c r="B97" s="114" t="str">
        <f>VLOOKUP(A97,'Data pick slip'!B:F,5,FALSE)</f>
        <v>KHJ-MC100-00</v>
      </c>
      <c r="D97" s="156"/>
      <c r="E97" s="160" t="s">
        <v>2866</v>
      </c>
      <c r="F97" s="157" t="s">
        <v>2773</v>
      </c>
      <c r="G97" s="158">
        <v>15</v>
      </c>
      <c r="H97" s="148"/>
      <c r="I97" s="146"/>
      <c r="J97" s="146"/>
      <c r="K97" s="149"/>
      <c r="L97" s="150"/>
      <c r="M97" s="149"/>
      <c r="N97" s="151"/>
      <c r="O97" s="151"/>
      <c r="P97" s="146"/>
      <c r="Q97" s="152"/>
      <c r="R97" s="153"/>
      <c r="S97" s="146"/>
      <c r="T97" s="154"/>
      <c r="U97" s="145"/>
    </row>
    <row r="98" spans="1:21" ht="15" customHeight="1">
      <c r="A98" s="159" t="s">
        <v>2747</v>
      </c>
      <c r="B98" s="114" t="str">
        <f>VLOOKUP(A98,'Data pick slip'!B:F,5,FALSE)</f>
        <v>KHJ-MC200-00</v>
      </c>
      <c r="D98" s="156"/>
      <c r="E98" s="160" t="s">
        <v>2866</v>
      </c>
      <c r="F98" s="157" t="s">
        <v>2773</v>
      </c>
      <c r="G98" s="158">
        <v>15</v>
      </c>
      <c r="H98" s="148"/>
      <c r="I98" s="146"/>
      <c r="J98" s="146"/>
      <c r="K98" s="149"/>
      <c r="L98" s="150"/>
      <c r="M98" s="149"/>
      <c r="N98" s="151"/>
      <c r="O98" s="151"/>
      <c r="P98" s="146"/>
      <c r="Q98" s="152"/>
      <c r="R98" s="153"/>
      <c r="S98" s="146"/>
      <c r="T98" s="154"/>
      <c r="U98" s="145"/>
    </row>
    <row r="99" spans="1:21" ht="15" customHeight="1">
      <c r="A99" s="155" t="s">
        <v>2749</v>
      </c>
      <c r="B99" s="114" t="str">
        <f>VLOOKUP(A99,'Data pick slip'!B:F,5,FALSE)</f>
        <v>KHJ-MC500-00</v>
      </c>
      <c r="D99" s="156"/>
      <c r="E99" s="160" t="s">
        <v>2866</v>
      </c>
      <c r="F99" s="157" t="s">
        <v>2773</v>
      </c>
      <c r="G99" s="158">
        <v>1</v>
      </c>
      <c r="H99" s="148"/>
      <c r="I99" s="146"/>
      <c r="J99" s="146"/>
      <c r="K99" s="149"/>
      <c r="L99" s="150"/>
      <c r="M99" s="149"/>
      <c r="N99" s="151"/>
      <c r="O99" s="151"/>
      <c r="P99" s="146"/>
      <c r="Q99" s="152"/>
      <c r="R99" s="153"/>
      <c r="S99" s="146"/>
      <c r="T99" s="154"/>
      <c r="U99" s="145"/>
    </row>
    <row r="100" spans="1:21" ht="15" customHeight="1">
      <c r="A100" s="155" t="s">
        <v>2751</v>
      </c>
      <c r="B100" s="114" t="str">
        <f>VLOOKUP(A100,'Data pick slip'!B:F,5,FALSE)</f>
        <v>KHJ-MC700-00</v>
      </c>
      <c r="D100" s="156"/>
      <c r="E100" s="160" t="s">
        <v>2866</v>
      </c>
      <c r="F100" s="157" t="s">
        <v>2773</v>
      </c>
      <c r="G100" s="158">
        <v>1</v>
      </c>
      <c r="H100" s="148"/>
      <c r="I100" s="146"/>
      <c r="J100" s="146"/>
      <c r="K100" s="149"/>
      <c r="L100" s="150"/>
      <c r="M100" s="149"/>
      <c r="N100" s="151"/>
      <c r="O100" s="151"/>
      <c r="P100" s="146"/>
      <c r="Q100" s="152"/>
      <c r="R100" s="153"/>
      <c r="S100" s="146"/>
      <c r="T100" s="154"/>
      <c r="U100" s="145"/>
    </row>
    <row r="101" spans="1:21" ht="15" customHeight="1">
      <c r="A101" s="155" t="s">
        <v>2744</v>
      </c>
      <c r="B101" s="114" t="str">
        <f>VLOOKUP(A101,'Data pick slip'!B:F,5,FALSE)</f>
        <v>KHJ-MC100-00</v>
      </c>
      <c r="D101" s="156"/>
      <c r="E101" s="160" t="s">
        <v>2867</v>
      </c>
      <c r="F101" s="157" t="s">
        <v>2773</v>
      </c>
      <c r="G101" s="158">
        <v>13</v>
      </c>
      <c r="H101" s="148"/>
      <c r="I101" s="146"/>
      <c r="J101" s="146"/>
      <c r="K101" s="149"/>
      <c r="L101" s="150"/>
      <c r="M101" s="149"/>
      <c r="N101" s="151"/>
      <c r="O101" s="151"/>
      <c r="P101" s="146"/>
      <c r="Q101" s="152"/>
      <c r="R101" s="153"/>
      <c r="S101" s="146"/>
      <c r="T101" s="154"/>
      <c r="U101" s="145"/>
    </row>
    <row r="102" spans="1:21" ht="15" customHeight="1">
      <c r="A102" s="155" t="s">
        <v>2747</v>
      </c>
      <c r="B102" s="114" t="str">
        <f>VLOOKUP(A102,'Data pick slip'!B:F,5,FALSE)</f>
        <v>KHJ-MC200-00</v>
      </c>
      <c r="D102" s="156"/>
      <c r="E102" s="160" t="s">
        <v>2867</v>
      </c>
      <c r="F102" s="157" t="s">
        <v>2773</v>
      </c>
      <c r="G102" s="158">
        <v>31</v>
      </c>
      <c r="H102" s="148"/>
      <c r="I102" s="146"/>
      <c r="J102" s="146"/>
      <c r="K102" s="149"/>
      <c r="L102" s="150"/>
      <c r="M102" s="149"/>
      <c r="N102" s="151"/>
      <c r="O102" s="151"/>
      <c r="P102" s="146"/>
      <c r="Q102" s="152"/>
      <c r="R102" s="153"/>
      <c r="S102" s="146"/>
      <c r="T102" s="154"/>
      <c r="U102" s="145"/>
    </row>
    <row r="103" spans="1:21" ht="15" customHeight="1">
      <c r="A103" s="155" t="s">
        <v>2748</v>
      </c>
      <c r="B103" s="114" t="str">
        <f>VLOOKUP(A103,'Data pick slip'!B:F,5,FALSE)</f>
        <v>KHJ-MC400-00</v>
      </c>
      <c r="D103" s="156"/>
      <c r="E103" s="160" t="s">
        <v>2867</v>
      </c>
      <c r="F103" s="157" t="s">
        <v>2773</v>
      </c>
      <c r="G103" s="158">
        <v>25</v>
      </c>
      <c r="H103" s="148"/>
      <c r="I103" s="146"/>
      <c r="J103" s="146"/>
      <c r="K103" s="149"/>
      <c r="L103" s="150"/>
      <c r="M103" s="149"/>
      <c r="N103" s="151"/>
      <c r="O103" s="151"/>
      <c r="P103" s="146"/>
      <c r="Q103" s="152"/>
      <c r="R103" s="153"/>
      <c r="S103" s="146"/>
      <c r="T103" s="154"/>
      <c r="U103" s="145"/>
    </row>
    <row r="104" spans="1:21" ht="15" customHeight="1">
      <c r="A104" s="155" t="s">
        <v>2768</v>
      </c>
      <c r="B104" s="114" t="str">
        <f>VLOOKUP(A104,'Data pick slip'!B:F,5,FALSE)</f>
        <v>KHJ-MC100-00</v>
      </c>
      <c r="C104" s="156">
        <v>109336</v>
      </c>
      <c r="D104" s="156" t="str">
        <f>VLOOKUP(C104,Stock_list!D:L,2,FALSE)</f>
        <v>BBS名义下单</v>
      </c>
      <c r="E104" s="160">
        <f>VLOOKUP(C104,Stock_list!D:L,9,FALSE)</f>
        <v>43558</v>
      </c>
      <c r="F104" s="157" t="s">
        <v>2861</v>
      </c>
      <c r="G104" s="158">
        <v>500</v>
      </c>
      <c r="H104" s="148"/>
      <c r="I104" s="146"/>
      <c r="J104" s="146"/>
      <c r="K104" s="149"/>
      <c r="L104" s="150"/>
      <c r="M104" s="149"/>
      <c r="N104" s="151"/>
      <c r="O104" s="151"/>
      <c r="P104" s="146"/>
      <c r="Q104" s="152"/>
      <c r="R104" s="153"/>
      <c r="S104" s="146"/>
      <c r="T104" s="154"/>
      <c r="U104" s="145"/>
    </row>
    <row r="105" spans="1:21" ht="15" customHeight="1">
      <c r="A105" s="159" t="s">
        <v>2747</v>
      </c>
      <c r="B105" s="114" t="str">
        <f>VLOOKUP(A105,'Data pick slip'!B:F,5,FALSE)</f>
        <v>KHJ-MC200-00</v>
      </c>
      <c r="C105" s="156">
        <v>109336</v>
      </c>
      <c r="D105" s="156" t="str">
        <f>VLOOKUP(C105,Stock_list!D:L,2,FALSE)</f>
        <v>BBS名义下单</v>
      </c>
      <c r="E105" s="160">
        <f>VLOOKUP(C105,Stock_list!D:L,9,FALSE)</f>
        <v>43558</v>
      </c>
      <c r="F105" s="157" t="s">
        <v>2861</v>
      </c>
      <c r="G105" s="158">
        <v>50</v>
      </c>
      <c r="H105" s="148"/>
      <c r="I105" s="146"/>
      <c r="J105" s="146"/>
      <c r="K105" s="149"/>
      <c r="L105" s="150"/>
      <c r="M105" s="149"/>
      <c r="N105" s="151"/>
      <c r="O105" s="151"/>
      <c r="P105" s="146"/>
      <c r="Q105" s="152"/>
      <c r="R105" s="153"/>
      <c r="S105" s="146"/>
      <c r="T105" s="154"/>
      <c r="U105" s="145"/>
    </row>
    <row r="106" spans="1:21" ht="15" customHeight="1">
      <c r="A106" s="159" t="s">
        <v>2777</v>
      </c>
      <c r="B106" s="114" t="str">
        <f>VLOOKUP(A106,'Data pick slip'!B:F,5,FALSE)</f>
        <v>KHJ-MC400-00</v>
      </c>
      <c r="C106" s="156">
        <v>109336</v>
      </c>
      <c r="D106" s="156" t="str">
        <f>VLOOKUP(C106,Stock_list!D:L,2,FALSE)</f>
        <v>BBS名义下单</v>
      </c>
      <c r="E106" s="160">
        <f>VLOOKUP(C106,Stock_list!D:L,9,FALSE)</f>
        <v>43558</v>
      </c>
      <c r="F106" s="157" t="s">
        <v>2861</v>
      </c>
      <c r="G106" s="158">
        <v>10</v>
      </c>
      <c r="H106" s="148"/>
      <c r="I106" s="146"/>
      <c r="J106" s="146"/>
      <c r="K106" s="149"/>
      <c r="L106" s="150"/>
      <c r="M106" s="149"/>
      <c r="N106" s="151"/>
      <c r="O106" s="151"/>
      <c r="P106" s="146"/>
      <c r="Q106" s="152"/>
      <c r="R106" s="153"/>
      <c r="S106" s="146"/>
      <c r="T106" s="154"/>
      <c r="U106" s="145"/>
    </row>
    <row r="107" spans="1:21" ht="20.25" customHeight="1">
      <c r="A107" s="155" t="s">
        <v>2768</v>
      </c>
      <c r="B107" s="114" t="str">
        <f>VLOOKUP(A107,'Data pick slip'!B:F,5,FALSE)</f>
        <v>KHJ-MC100-00</v>
      </c>
      <c r="C107" s="156">
        <v>109294</v>
      </c>
      <c r="D107" s="156" t="str">
        <f>VLOOKUP(C107,Stock_list!D:L,2,FALSE)</f>
        <v>拓普艾名义</v>
      </c>
      <c r="E107" s="160">
        <f>VLOOKUP(C107,Stock_list!D:L,9,FALSE)</f>
        <v>43560</v>
      </c>
      <c r="F107" s="157" t="s">
        <v>2861</v>
      </c>
      <c r="G107" s="158">
        <v>100</v>
      </c>
      <c r="Q107" s="143"/>
      <c r="T107" s="144"/>
      <c r="U107" s="145"/>
    </row>
    <row r="108" spans="1:21" ht="15" customHeight="1">
      <c r="A108" s="159" t="s">
        <v>2809</v>
      </c>
      <c r="B108" s="114" t="str">
        <f>VLOOKUP(A108,'Data pick slip'!B:F,5,FALSE)</f>
        <v>KHJ-MC200-00</v>
      </c>
      <c r="C108" s="156">
        <v>109294</v>
      </c>
      <c r="D108" s="156" t="str">
        <f>VLOOKUP(C108,Stock_list!D:L,2,FALSE)</f>
        <v>拓普艾名义</v>
      </c>
      <c r="E108" s="160">
        <f>VLOOKUP(C108,Stock_list!D:L,9,FALSE)</f>
        <v>43560</v>
      </c>
      <c r="F108" s="157" t="s">
        <v>2861</v>
      </c>
      <c r="G108" s="158">
        <v>30</v>
      </c>
      <c r="H108" s="148"/>
      <c r="I108" s="146"/>
      <c r="J108" s="146"/>
      <c r="K108" s="149"/>
      <c r="L108" s="150"/>
      <c r="M108" s="149"/>
      <c r="N108" s="151"/>
      <c r="O108" s="151"/>
      <c r="P108" s="146"/>
      <c r="Q108" s="152"/>
      <c r="R108" s="153"/>
      <c r="S108" s="146"/>
      <c r="T108" s="154"/>
      <c r="U108" s="145"/>
    </row>
    <row r="109" spans="1:21" ht="15" customHeight="1">
      <c r="A109" s="155" t="s">
        <v>2768</v>
      </c>
      <c r="B109" s="114" t="str">
        <f>VLOOKUP(A109,'Data pick slip'!B:F,5,FALSE)</f>
        <v>KHJ-MC100-00</v>
      </c>
      <c r="C109" s="156">
        <v>109263</v>
      </c>
      <c r="D109" s="156" t="str">
        <f>VLOOKUP(C109,Stock_list!D:L,2,FALSE)</f>
        <v>龙腾名义</v>
      </c>
      <c r="E109" s="160">
        <f>VLOOKUP(C109,Stock_list!D:L,9,FALSE)</f>
        <v>43574</v>
      </c>
      <c r="F109" s="157" t="s">
        <v>2861</v>
      </c>
      <c r="G109" s="158">
        <v>80</v>
      </c>
      <c r="H109" s="148"/>
      <c r="I109" s="146"/>
      <c r="J109" s="146"/>
      <c r="K109" s="149"/>
      <c r="L109" s="150"/>
      <c r="M109" s="149"/>
      <c r="N109" s="151"/>
      <c r="O109" s="151"/>
      <c r="P109" s="146"/>
      <c r="Q109" s="152"/>
      <c r="R109" s="153"/>
      <c r="S109" s="146"/>
      <c r="T109" s="154"/>
      <c r="U109" s="145"/>
    </row>
    <row r="110" spans="1:21" ht="15" customHeight="1">
      <c r="A110" s="159" t="s">
        <v>2747</v>
      </c>
      <c r="B110" s="114" t="str">
        <f>VLOOKUP(A110,'Data pick slip'!B:F,5,FALSE)</f>
        <v>KHJ-MC200-00</v>
      </c>
      <c r="C110" s="156">
        <v>109263</v>
      </c>
      <c r="D110" s="156" t="str">
        <f>VLOOKUP(C110,Stock_list!D:L,2,FALSE)</f>
        <v>龙腾名义</v>
      </c>
      <c r="E110" s="160">
        <f>VLOOKUP(C110,Stock_list!D:L,9,FALSE)</f>
        <v>43574</v>
      </c>
      <c r="F110" s="157" t="s">
        <v>2861</v>
      </c>
      <c r="G110" s="158">
        <v>10</v>
      </c>
      <c r="H110" s="148"/>
      <c r="I110" s="146"/>
      <c r="J110" s="146"/>
      <c r="K110" s="149"/>
      <c r="L110" s="150"/>
      <c r="M110" s="149"/>
      <c r="N110" s="151"/>
      <c r="O110" s="151"/>
      <c r="P110" s="146"/>
      <c r="Q110" s="152"/>
      <c r="R110" s="153"/>
      <c r="S110" s="146"/>
      <c r="T110" s="154"/>
      <c r="U110" s="145"/>
    </row>
    <row r="111" spans="1:21" ht="15" customHeight="1">
      <c r="A111" s="159" t="s">
        <v>2812</v>
      </c>
      <c r="B111" s="114" t="str">
        <f>VLOOKUP(A111,'Data pick slip'!B:F,5,FALSE)</f>
        <v>KHJ-MC500-00</v>
      </c>
      <c r="C111" s="156">
        <v>109263</v>
      </c>
      <c r="D111" s="156" t="str">
        <f>VLOOKUP(C111,Stock_list!D:L,2,FALSE)</f>
        <v>龙腾名义</v>
      </c>
      <c r="E111" s="160">
        <f>VLOOKUP(C111,Stock_list!D:L,9,FALSE)</f>
        <v>43574</v>
      </c>
      <c r="F111" s="157" t="s">
        <v>2861</v>
      </c>
      <c r="G111" s="158">
        <v>10</v>
      </c>
      <c r="H111" s="148"/>
      <c r="I111" s="146"/>
      <c r="J111" s="146"/>
      <c r="K111" s="149"/>
      <c r="L111" s="150"/>
      <c r="M111" s="149"/>
      <c r="N111" s="151"/>
      <c r="O111" s="151"/>
      <c r="P111" s="146"/>
      <c r="Q111" s="152"/>
      <c r="R111" s="153"/>
      <c r="S111" s="146"/>
      <c r="T111" s="154"/>
      <c r="U111" s="145"/>
    </row>
    <row r="112" spans="1:21" ht="15" customHeight="1">
      <c r="A112" s="159" t="s">
        <v>2756</v>
      </c>
      <c r="B112" s="114" t="str">
        <f>VLOOKUP(A112,'Data pick slip'!B:F,5,FALSE)</f>
        <v>KLJ-MC200-00</v>
      </c>
      <c r="C112" s="156">
        <v>109526</v>
      </c>
      <c r="D112" s="156" t="str">
        <f>VLOOKUP(C112,Stock_list!D:L,2,FALSE)</f>
        <v>上达名义</v>
      </c>
      <c r="E112" s="160">
        <f>VLOOKUP(C112,Stock_list!D:L,9,FALSE)</f>
        <v>43574</v>
      </c>
      <c r="F112" s="157" t="s">
        <v>2861</v>
      </c>
      <c r="G112" s="158">
        <v>50</v>
      </c>
      <c r="H112" s="148"/>
      <c r="I112" s="146"/>
      <c r="J112" s="146"/>
      <c r="K112" s="149"/>
      <c r="L112" s="150"/>
      <c r="M112" s="149"/>
      <c r="N112" s="151"/>
      <c r="O112" s="151"/>
      <c r="P112" s="146"/>
      <c r="Q112" s="151"/>
      <c r="R112" s="153"/>
      <c r="S112" s="146"/>
      <c r="T112" s="154"/>
      <c r="U112" s="145"/>
    </row>
    <row r="113" spans="1:21" ht="15" customHeight="1">
      <c r="A113" s="155" t="s">
        <v>2757</v>
      </c>
      <c r="B113" s="114" t="str">
        <f>VLOOKUP(A113,'Data pick slip'!B:F,5,FALSE)</f>
        <v>KLJ-MC400-00</v>
      </c>
      <c r="C113" s="156">
        <v>109526</v>
      </c>
      <c r="D113" s="156" t="str">
        <f>VLOOKUP(C113,Stock_list!D:L,2,FALSE)</f>
        <v>上达名义</v>
      </c>
      <c r="E113" s="160">
        <f>VLOOKUP(C113,Stock_list!D:L,9,FALSE)</f>
        <v>43574</v>
      </c>
      <c r="F113" s="157" t="s">
        <v>2861</v>
      </c>
      <c r="G113" s="158">
        <v>20</v>
      </c>
      <c r="H113" s="148"/>
      <c r="I113" s="146"/>
      <c r="J113" s="146"/>
      <c r="K113" s="149"/>
      <c r="L113" s="150"/>
      <c r="M113" s="149"/>
      <c r="N113" s="151"/>
      <c r="O113" s="151"/>
      <c r="P113" s="146"/>
      <c r="Q113" s="152"/>
      <c r="R113" s="153"/>
      <c r="S113" s="146"/>
      <c r="T113" s="154"/>
      <c r="U113" s="145"/>
    </row>
    <row r="114" spans="1:21" s="119" customFormat="1" ht="15" customHeight="1">
      <c r="A114" s="155" t="s">
        <v>2758</v>
      </c>
      <c r="B114" s="114" t="str">
        <f>VLOOKUP(A114,'Data pick slip'!B:F,5,FALSE)</f>
        <v>KLJ-MC500-00</v>
      </c>
      <c r="C114" s="156">
        <v>109526</v>
      </c>
      <c r="D114" s="156" t="str">
        <f>VLOOKUP(C114,Stock_list!D:L,2,FALSE)</f>
        <v>上达名义</v>
      </c>
      <c r="E114" s="160">
        <f>VLOOKUP(C114,Stock_list!D:L,9,FALSE)</f>
        <v>43574</v>
      </c>
      <c r="F114" s="157" t="s">
        <v>2861</v>
      </c>
      <c r="G114" s="158">
        <v>5</v>
      </c>
      <c r="H114" s="118"/>
      <c r="K114" s="120"/>
      <c r="L114" s="121"/>
      <c r="M114" s="120"/>
      <c r="N114" s="122"/>
      <c r="O114" s="122"/>
      <c r="Q114" s="123"/>
      <c r="R114" s="124"/>
      <c r="T114" s="125"/>
      <c r="U114" s="126"/>
    </row>
    <row r="115" spans="1:21" s="119" customFormat="1" ht="15" customHeight="1">
      <c r="A115" s="155" t="s">
        <v>2768</v>
      </c>
      <c r="B115" s="114" t="str">
        <f>VLOOKUP(A115,'Data pick slip'!B:F,5,FALSE)</f>
        <v>KHJ-MC100-00</v>
      </c>
      <c r="C115" s="156">
        <v>109344</v>
      </c>
      <c r="D115" s="156" t="str">
        <f>VLOOKUP(C115,Stock_list!D:L,2,FALSE)</f>
        <v>STK</v>
      </c>
      <c r="E115" s="160">
        <f>VLOOKUP(C115,Stock_list!D:L,9,FALSE)</f>
        <v>43565</v>
      </c>
      <c r="F115" s="157" t="s">
        <v>2861</v>
      </c>
      <c r="G115" s="158">
        <v>300</v>
      </c>
      <c r="H115" s="118"/>
      <c r="K115" s="120"/>
      <c r="L115" s="121"/>
      <c r="M115" s="120"/>
      <c r="N115" s="122"/>
      <c r="O115" s="122"/>
      <c r="Q115" s="123"/>
      <c r="R115" s="124"/>
      <c r="T115" s="125"/>
      <c r="U115" s="126"/>
    </row>
    <row r="116" spans="1:21" s="119" customFormat="1" ht="15" customHeight="1">
      <c r="A116" s="159" t="s">
        <v>2747</v>
      </c>
      <c r="B116" s="114" t="str">
        <f>VLOOKUP(A116,'Data pick slip'!B:F,5,FALSE)</f>
        <v>KHJ-MC200-00</v>
      </c>
      <c r="C116" s="156">
        <v>109344</v>
      </c>
      <c r="D116" s="156" t="str">
        <f>VLOOKUP(C116,Stock_list!D:L,2,FALSE)</f>
        <v>STK</v>
      </c>
      <c r="E116" s="160">
        <f>VLOOKUP(C116,Stock_list!D:L,9,FALSE)</f>
        <v>43565</v>
      </c>
      <c r="F116" s="157" t="s">
        <v>2861</v>
      </c>
      <c r="G116" s="158">
        <v>100</v>
      </c>
      <c r="H116" s="118"/>
      <c r="K116" s="120"/>
      <c r="L116" s="121"/>
      <c r="M116" s="120"/>
      <c r="N116" s="122"/>
      <c r="O116" s="122"/>
      <c r="Q116" s="123"/>
      <c r="R116" s="124"/>
      <c r="T116" s="125"/>
      <c r="U116" s="126"/>
    </row>
    <row r="117" spans="1:21" s="119" customFormat="1" ht="15" customHeight="1">
      <c r="A117" s="159" t="s">
        <v>2744</v>
      </c>
      <c r="B117" s="114" t="str">
        <f>VLOOKUP(A117,'Data pick slip'!B:F,5,FALSE)</f>
        <v>KHJ-MC100-00</v>
      </c>
      <c r="C117" s="156">
        <v>109497</v>
      </c>
      <c r="D117" s="156" t="str">
        <f>VLOOKUP(C117,Stock_list!D:L,2,FALSE)</f>
        <v>永顺创名义</v>
      </c>
      <c r="E117" s="160">
        <f>VLOOKUP(C117,Stock_list!D:L,9,FALSE)</f>
        <v>43593</v>
      </c>
      <c r="F117" s="157" t="s">
        <v>2861</v>
      </c>
      <c r="G117" s="158">
        <v>300</v>
      </c>
      <c r="H117" s="118"/>
      <c r="K117" s="120"/>
      <c r="L117" s="121"/>
      <c r="M117" s="120"/>
      <c r="N117" s="122"/>
      <c r="O117" s="122"/>
      <c r="Q117" s="123"/>
      <c r="R117" s="124"/>
      <c r="T117" s="125"/>
      <c r="U117" s="126"/>
    </row>
    <row r="118" spans="1:21" s="119" customFormat="1" ht="15" customHeight="1">
      <c r="A118" s="159" t="s">
        <v>2747</v>
      </c>
      <c r="B118" s="114" t="str">
        <f>VLOOKUP(A118,'Data pick slip'!B:F,5,FALSE)</f>
        <v>KHJ-MC200-00</v>
      </c>
      <c r="C118" s="156">
        <v>109497</v>
      </c>
      <c r="D118" s="156" t="str">
        <f>VLOOKUP(C118,Stock_list!D:L,2,FALSE)</f>
        <v>永顺创名义</v>
      </c>
      <c r="E118" s="160">
        <f>VLOOKUP(C118,Stock_list!D:L,9,FALSE)</f>
        <v>43593</v>
      </c>
      <c r="F118" s="157" t="s">
        <v>2861</v>
      </c>
      <c r="G118" s="158">
        <v>60</v>
      </c>
      <c r="H118" s="118"/>
      <c r="K118" s="120"/>
      <c r="L118" s="121"/>
      <c r="M118" s="120"/>
      <c r="N118" s="122"/>
      <c r="O118" s="122"/>
      <c r="Q118" s="123"/>
      <c r="R118" s="124"/>
      <c r="T118" s="125"/>
      <c r="U118" s="126"/>
    </row>
    <row r="119" spans="1:21" s="119" customFormat="1" ht="15" customHeight="1">
      <c r="A119" s="159" t="s">
        <v>2748</v>
      </c>
      <c r="B119" s="114" t="str">
        <f>VLOOKUP(A119,'Data pick slip'!B:F,5,FALSE)</f>
        <v>KHJ-MC400-00</v>
      </c>
      <c r="C119" s="156">
        <v>109497</v>
      </c>
      <c r="D119" s="156" t="str">
        <f>VLOOKUP(C119,Stock_list!D:L,2,FALSE)</f>
        <v>永顺创名义</v>
      </c>
      <c r="E119" s="160">
        <f>VLOOKUP(C119,Stock_list!D:L,9,FALSE)</f>
        <v>43593</v>
      </c>
      <c r="F119" s="157" t="s">
        <v>2861</v>
      </c>
      <c r="G119" s="158">
        <v>45</v>
      </c>
      <c r="H119" s="118"/>
      <c r="K119" s="120"/>
      <c r="L119" s="121"/>
      <c r="M119" s="120"/>
      <c r="N119" s="122"/>
      <c r="O119" s="122"/>
      <c r="Q119" s="123"/>
      <c r="R119" s="124"/>
      <c r="T119" s="125"/>
      <c r="U119" s="126"/>
    </row>
    <row r="120" spans="1:21" ht="15" customHeight="1">
      <c r="A120" s="155" t="s">
        <v>2768</v>
      </c>
      <c r="B120" s="114" t="str">
        <f>VLOOKUP(A120,'Data pick slip'!B:F,5,FALSE)</f>
        <v>KHJ-MC100-00</v>
      </c>
      <c r="C120" s="156">
        <v>109390</v>
      </c>
      <c r="D120" s="156" t="str">
        <f>VLOOKUP(C120,Stock_list!D:L,2,FALSE)</f>
        <v>亿联名义</v>
      </c>
      <c r="E120" s="160">
        <f>VLOOKUP(C120,Stock_list!D:L,9,FALSE)</f>
        <v>43588</v>
      </c>
      <c r="F120" s="157" t="s">
        <v>2861</v>
      </c>
      <c r="G120" s="158">
        <v>300</v>
      </c>
      <c r="H120" s="148"/>
      <c r="I120" s="146"/>
      <c r="J120" s="146"/>
      <c r="K120" s="149"/>
      <c r="L120" s="150"/>
      <c r="M120" s="149"/>
      <c r="N120" s="151"/>
      <c r="O120" s="151"/>
      <c r="P120" s="146"/>
      <c r="Q120" s="152"/>
      <c r="R120" s="153"/>
      <c r="S120" s="146"/>
      <c r="T120" s="154"/>
      <c r="U120" s="145"/>
    </row>
    <row r="121" spans="1:21" ht="15" customHeight="1">
      <c r="A121" s="155" t="s">
        <v>2768</v>
      </c>
      <c r="B121" s="114" t="str">
        <f>VLOOKUP(A121,'Data pick slip'!B:F,5,FALSE)</f>
        <v>KHJ-MC100-00</v>
      </c>
      <c r="C121" s="156">
        <v>109553</v>
      </c>
      <c r="D121" s="156" t="str">
        <f>VLOOKUP(C121,Stock_list!D:L,2,FALSE)</f>
        <v>STK</v>
      </c>
      <c r="E121" s="160">
        <f>VLOOKUP(C121,Stock_list!D:L,9,FALSE)</f>
        <v>43602</v>
      </c>
      <c r="F121" s="157" t="s">
        <v>2861</v>
      </c>
      <c r="G121" s="158">
        <v>85</v>
      </c>
      <c r="H121" s="148"/>
      <c r="I121" s="146"/>
      <c r="J121" s="146"/>
      <c r="K121" s="149"/>
      <c r="L121" s="150"/>
      <c r="M121" s="149"/>
      <c r="N121" s="151"/>
      <c r="O121" s="151"/>
      <c r="P121" s="146"/>
      <c r="Q121" s="152"/>
      <c r="R121" s="153"/>
      <c r="S121" s="146"/>
      <c r="T121" s="154"/>
      <c r="U121" s="145"/>
    </row>
    <row r="122" spans="1:21" ht="15" customHeight="1">
      <c r="A122" s="159" t="s">
        <v>2747</v>
      </c>
      <c r="B122" s="114" t="str">
        <f>VLOOKUP(A122,'Data pick slip'!B:F,5,FALSE)</f>
        <v>KHJ-MC200-00</v>
      </c>
      <c r="C122" s="156">
        <v>109553</v>
      </c>
      <c r="D122" s="156" t="str">
        <f>VLOOKUP(C122,Stock_list!D:L,2,FALSE)</f>
        <v>STK</v>
      </c>
      <c r="E122" s="160">
        <f>VLOOKUP(C122,Stock_list!D:L,9,FALSE)</f>
        <v>43602</v>
      </c>
      <c r="F122" s="157" t="s">
        <v>2861</v>
      </c>
      <c r="G122" s="158">
        <v>40</v>
      </c>
      <c r="H122" s="148"/>
      <c r="I122" s="146"/>
      <c r="J122" s="146"/>
      <c r="K122" s="149"/>
      <c r="L122" s="150"/>
      <c r="M122" s="149"/>
      <c r="N122" s="151"/>
      <c r="O122" s="151"/>
      <c r="P122" s="146"/>
      <c r="Q122" s="152"/>
      <c r="R122" s="153"/>
      <c r="S122" s="146"/>
      <c r="T122" s="154"/>
      <c r="U122" s="145"/>
    </row>
    <row r="123" spans="1:21" ht="15" customHeight="1">
      <c r="A123" s="159" t="s">
        <v>2777</v>
      </c>
      <c r="B123" s="114" t="str">
        <f>VLOOKUP(A123,'Data pick slip'!B:F,5,FALSE)</f>
        <v>KHJ-MC400-00</v>
      </c>
      <c r="C123" s="156">
        <v>109553</v>
      </c>
      <c r="D123" s="156" t="str">
        <f>VLOOKUP(C123,Stock_list!D:L,2,FALSE)</f>
        <v>STK</v>
      </c>
      <c r="E123" s="160">
        <f>VLOOKUP(C123,Stock_list!D:L,9,FALSE)</f>
        <v>43602</v>
      </c>
      <c r="F123" s="157" t="s">
        <v>2861</v>
      </c>
      <c r="G123" s="158">
        <v>20</v>
      </c>
      <c r="H123" s="148"/>
      <c r="I123" s="146"/>
      <c r="J123" s="146"/>
      <c r="K123" s="149"/>
      <c r="L123" s="150"/>
      <c r="M123" s="149"/>
      <c r="N123" s="151"/>
      <c r="O123" s="151"/>
      <c r="P123" s="146"/>
      <c r="Q123" s="152"/>
      <c r="R123" s="153"/>
      <c r="S123" s="146"/>
      <c r="T123" s="154"/>
      <c r="U123" s="145"/>
    </row>
    <row r="124" spans="1:21" ht="15" customHeight="1">
      <c r="A124" s="155" t="s">
        <v>2751</v>
      </c>
      <c r="B124" s="114" t="str">
        <f>VLOOKUP(A124,'Data pick slip'!B:F,5,FALSE)</f>
        <v>KHJ-MC700-00</v>
      </c>
      <c r="C124" s="156">
        <v>109553</v>
      </c>
      <c r="D124" s="156" t="str">
        <f>VLOOKUP(C124,Stock_list!D:L,2,FALSE)</f>
        <v>STK</v>
      </c>
      <c r="E124" s="160">
        <f>VLOOKUP(C124,Stock_list!D:L,9,FALSE)</f>
        <v>43602</v>
      </c>
      <c r="F124" s="157" t="s">
        <v>2861</v>
      </c>
      <c r="G124" s="158">
        <v>2</v>
      </c>
      <c r="H124" s="148"/>
      <c r="I124" s="146"/>
      <c r="J124" s="146"/>
      <c r="K124" s="149"/>
      <c r="L124" s="150"/>
      <c r="M124" s="149"/>
      <c r="N124" s="151"/>
      <c r="O124" s="151"/>
      <c r="P124" s="146"/>
      <c r="Q124" s="152"/>
      <c r="R124" s="153"/>
      <c r="S124" s="146"/>
      <c r="T124" s="154"/>
      <c r="U124" s="145"/>
    </row>
    <row r="125" spans="1:21" ht="15" customHeight="1">
      <c r="A125" s="155" t="s">
        <v>2768</v>
      </c>
      <c r="B125" s="114" t="str">
        <f>VLOOKUP(A125,'Data pick slip'!B:F,5,FALSE)</f>
        <v>KHJ-MC100-00</v>
      </c>
      <c r="C125" s="156">
        <v>109554</v>
      </c>
      <c r="D125" s="156" t="str">
        <f>VLOOKUP(C125,Stock_list!D:L,2,FALSE)</f>
        <v>STK</v>
      </c>
      <c r="E125" s="160">
        <f>VLOOKUP(C125,Stock_list!D:L,9,FALSE)</f>
        <v>43600</v>
      </c>
      <c r="F125" s="157" t="s">
        <v>2861</v>
      </c>
      <c r="G125" s="158">
        <v>100</v>
      </c>
      <c r="H125" s="148"/>
      <c r="I125" s="146"/>
      <c r="J125" s="146"/>
      <c r="K125" s="149"/>
      <c r="L125" s="150"/>
      <c r="M125" s="149"/>
      <c r="N125" s="151"/>
      <c r="O125" s="151"/>
      <c r="P125" s="146"/>
      <c r="Q125" s="152"/>
      <c r="R125" s="153"/>
      <c r="S125" s="146"/>
      <c r="T125" s="154"/>
      <c r="U125" s="145"/>
    </row>
    <row r="126" spans="1:21" ht="15" customHeight="1">
      <c r="A126" s="159" t="s">
        <v>2747</v>
      </c>
      <c r="B126" s="114" t="str">
        <f>VLOOKUP(A126,'Data pick slip'!B:F,5,FALSE)</f>
        <v>KHJ-MC200-00</v>
      </c>
      <c r="C126" s="156">
        <v>109554</v>
      </c>
      <c r="D126" s="156" t="str">
        <f>VLOOKUP(C126,Stock_list!D:L,2,FALSE)</f>
        <v>STK</v>
      </c>
      <c r="E126" s="160">
        <f>VLOOKUP(C126,Stock_list!D:L,9,FALSE)</f>
        <v>43600</v>
      </c>
      <c r="F126" s="157" t="s">
        <v>2861</v>
      </c>
      <c r="G126" s="158">
        <v>30</v>
      </c>
      <c r="H126" s="148"/>
      <c r="I126" s="146"/>
      <c r="J126" s="146"/>
      <c r="K126" s="149"/>
      <c r="L126" s="150"/>
      <c r="M126" s="149"/>
      <c r="N126" s="151"/>
      <c r="O126" s="151"/>
      <c r="P126" s="146"/>
      <c r="Q126" s="152"/>
      <c r="R126" s="153"/>
      <c r="S126" s="146"/>
      <c r="T126" s="154"/>
      <c r="U126" s="145"/>
    </row>
    <row r="127" spans="1:21" ht="15" customHeight="1">
      <c r="A127" s="159" t="s">
        <v>2777</v>
      </c>
      <c r="B127" s="114" t="str">
        <f>VLOOKUP(A127,'Data pick slip'!B:F,5,FALSE)</f>
        <v>KHJ-MC400-00</v>
      </c>
      <c r="C127" s="156">
        <v>109554</v>
      </c>
      <c r="D127" s="156" t="str">
        <f>VLOOKUP(C127,Stock_list!D:L,2,FALSE)</f>
        <v>STK</v>
      </c>
      <c r="E127" s="160">
        <f>VLOOKUP(C127,Stock_list!D:L,9,FALSE)</f>
        <v>43600</v>
      </c>
      <c r="F127" s="157" t="s">
        <v>2861</v>
      </c>
      <c r="G127" s="158">
        <v>18</v>
      </c>
      <c r="H127" s="148"/>
      <c r="I127" s="146"/>
      <c r="J127" s="146"/>
      <c r="K127" s="149"/>
      <c r="L127" s="150"/>
      <c r="M127" s="149"/>
      <c r="N127" s="151"/>
      <c r="O127" s="151"/>
      <c r="P127" s="146"/>
      <c r="Q127" s="152"/>
      <c r="R127" s="153"/>
      <c r="S127" s="146"/>
      <c r="T127" s="154"/>
      <c r="U127" s="145"/>
    </row>
    <row r="128" spans="1:21" ht="15" customHeight="1">
      <c r="A128" s="155" t="s">
        <v>2749</v>
      </c>
      <c r="B128" s="114" t="str">
        <f>VLOOKUP(A128,'Data pick slip'!B:F,5,FALSE)</f>
        <v>KHJ-MC500-00</v>
      </c>
      <c r="C128" s="156">
        <v>109554</v>
      </c>
      <c r="D128" s="156" t="str">
        <f>VLOOKUP(C128,Stock_list!D:L,2,FALSE)</f>
        <v>STK</v>
      </c>
      <c r="E128" s="160">
        <f>VLOOKUP(C128,Stock_list!D:L,9,FALSE)</f>
        <v>43600</v>
      </c>
      <c r="F128" s="157" t="s">
        <v>2861</v>
      </c>
      <c r="G128" s="158">
        <v>5</v>
      </c>
      <c r="H128" s="148"/>
      <c r="I128" s="146"/>
      <c r="J128" s="146"/>
      <c r="K128" s="149"/>
      <c r="L128" s="150"/>
      <c r="M128" s="149"/>
      <c r="N128" s="151"/>
      <c r="O128" s="151"/>
      <c r="P128" s="146"/>
      <c r="Q128" s="152"/>
      <c r="R128" s="153"/>
      <c r="S128" s="146"/>
      <c r="T128" s="154"/>
      <c r="U128" s="145"/>
    </row>
    <row r="129" spans="1:21" ht="15" customHeight="1">
      <c r="A129" s="155" t="s">
        <v>2768</v>
      </c>
      <c r="B129" s="114" t="str">
        <f>VLOOKUP(A129,'Data pick slip'!B:F,5,FALSE)</f>
        <v>KHJ-MC100-00</v>
      </c>
      <c r="C129" s="156">
        <v>109563</v>
      </c>
      <c r="D129" s="156" t="str">
        <f>VLOOKUP(C129,Stock_list!D:L,2,FALSE)</f>
        <v>Special price</v>
      </c>
      <c r="E129" s="160">
        <f>VLOOKUP(C129,Stock_list!D:L,9,FALSE)</f>
        <v>43617</v>
      </c>
      <c r="F129" s="157" t="s">
        <v>2861</v>
      </c>
      <c r="G129" s="158">
        <v>300</v>
      </c>
      <c r="H129" s="148"/>
      <c r="I129" s="146"/>
      <c r="J129" s="146"/>
      <c r="K129" s="149"/>
      <c r="L129" s="150"/>
      <c r="M129" s="149"/>
      <c r="N129" s="151"/>
      <c r="O129" s="151"/>
      <c r="P129" s="146"/>
      <c r="Q129" s="152"/>
      <c r="R129" s="153"/>
      <c r="S129" s="146"/>
      <c r="T129" s="154"/>
      <c r="U129" s="145"/>
    </row>
    <row r="130" spans="1:21" ht="15" customHeight="1">
      <c r="A130" s="159" t="s">
        <v>2747</v>
      </c>
      <c r="B130" s="114" t="str">
        <f>VLOOKUP(A130,'Data pick slip'!B:F,5,FALSE)</f>
        <v>KHJ-MC200-00</v>
      </c>
      <c r="C130" s="156">
        <v>109563</v>
      </c>
      <c r="D130" s="156" t="str">
        <f>VLOOKUP(C130,Stock_list!D:L,2,FALSE)</f>
        <v>Special price</v>
      </c>
      <c r="E130" s="160">
        <f>VLOOKUP(C130,Stock_list!D:L,9,FALSE)</f>
        <v>43617</v>
      </c>
      <c r="F130" s="157" t="s">
        <v>2861</v>
      </c>
      <c r="G130" s="158">
        <v>30</v>
      </c>
      <c r="H130" s="148"/>
      <c r="I130" s="146"/>
      <c r="J130" s="146"/>
      <c r="K130" s="149"/>
      <c r="L130" s="150"/>
      <c r="M130" s="149"/>
      <c r="N130" s="151"/>
      <c r="O130" s="151"/>
      <c r="P130" s="146"/>
      <c r="Q130" s="152"/>
      <c r="R130" s="153"/>
      <c r="S130" s="146"/>
      <c r="T130" s="154"/>
      <c r="U130" s="145"/>
    </row>
    <row r="131" spans="1:21" ht="15" customHeight="1">
      <c r="A131" s="159" t="s">
        <v>2777</v>
      </c>
      <c r="B131" s="114" t="str">
        <f>VLOOKUP(A131,'Data pick slip'!B:F,5,FALSE)</f>
        <v>KHJ-MC400-00</v>
      </c>
      <c r="C131" s="156">
        <v>109563</v>
      </c>
      <c r="D131" s="156" t="str">
        <f>VLOOKUP(C131,Stock_list!D:L,2,FALSE)</f>
        <v>Special price</v>
      </c>
      <c r="E131" s="160">
        <f>VLOOKUP(C131,Stock_list!D:L,9,FALSE)</f>
        <v>43617</v>
      </c>
      <c r="F131" s="157" t="s">
        <v>2861</v>
      </c>
      <c r="G131" s="158">
        <v>10</v>
      </c>
      <c r="H131" s="148"/>
      <c r="I131" s="146"/>
      <c r="J131" s="146"/>
      <c r="K131" s="149"/>
      <c r="L131" s="150"/>
      <c r="M131" s="149"/>
      <c r="N131" s="151"/>
      <c r="O131" s="151"/>
      <c r="P131" s="146"/>
      <c r="Q131" s="152"/>
      <c r="R131" s="153"/>
      <c r="S131" s="146"/>
      <c r="T131" s="154"/>
      <c r="U131" s="145"/>
    </row>
    <row r="132" spans="1:21" ht="15" customHeight="1">
      <c r="A132" s="155" t="s">
        <v>2755</v>
      </c>
      <c r="B132" s="114" t="str">
        <f>VLOOKUP(A132,'Data pick slip'!B:F,5,FALSE)</f>
        <v>KLJ-MC100-00</v>
      </c>
      <c r="C132" s="156">
        <v>109564</v>
      </c>
      <c r="D132" s="156" t="str">
        <f>VLOOKUP(C132,Stock_list!D:L,2,FALSE)</f>
        <v>Special price</v>
      </c>
      <c r="E132" s="160">
        <f>VLOOKUP(C132,Stock_list!D:L,9,FALSE)</f>
        <v>43617</v>
      </c>
      <c r="F132" s="157" t="s">
        <v>2861</v>
      </c>
      <c r="G132" s="158">
        <v>200</v>
      </c>
      <c r="H132" s="148"/>
      <c r="I132" s="146"/>
      <c r="J132" s="146"/>
      <c r="K132" s="149"/>
      <c r="L132" s="150"/>
      <c r="M132" s="149"/>
      <c r="N132" s="151"/>
      <c r="O132" s="151"/>
      <c r="P132" s="146"/>
      <c r="Q132" s="152"/>
      <c r="R132" s="153"/>
      <c r="S132" s="146"/>
      <c r="T132" s="154"/>
      <c r="U132" s="145"/>
    </row>
    <row r="133" spans="1:21" ht="15" customHeight="1">
      <c r="A133" s="159" t="s">
        <v>2756</v>
      </c>
      <c r="B133" s="114" t="str">
        <f>VLOOKUP(A133,'Data pick slip'!B:F,5,FALSE)</f>
        <v>KLJ-MC200-00</v>
      </c>
      <c r="C133" s="156">
        <v>109564</v>
      </c>
      <c r="D133" s="156" t="str">
        <f>VLOOKUP(C133,Stock_list!D:L,2,FALSE)</f>
        <v>Special price</v>
      </c>
      <c r="E133" s="160">
        <f>VLOOKUP(C133,Stock_list!D:L,9,FALSE)</f>
        <v>43617</v>
      </c>
      <c r="F133" s="157" t="s">
        <v>2861</v>
      </c>
      <c r="G133" s="158">
        <v>50</v>
      </c>
      <c r="H133" s="148"/>
      <c r="I133" s="146"/>
      <c r="J133" s="146"/>
      <c r="K133" s="149"/>
      <c r="L133" s="150"/>
      <c r="M133" s="149"/>
      <c r="N133" s="151"/>
      <c r="O133" s="151"/>
      <c r="P133" s="146"/>
      <c r="Q133" s="151"/>
      <c r="R133" s="153"/>
      <c r="S133" s="146"/>
      <c r="T133" s="154"/>
      <c r="U133" s="145"/>
    </row>
    <row r="134" spans="1:21" ht="15" customHeight="1">
      <c r="A134" s="159" t="s">
        <v>2757</v>
      </c>
      <c r="B134" s="114" t="str">
        <f>VLOOKUP(A134,'Data pick slip'!B:F,5,FALSE)</f>
        <v>KLJ-MC400-00</v>
      </c>
      <c r="C134" s="156">
        <v>109564</v>
      </c>
      <c r="D134" s="156" t="str">
        <f>VLOOKUP(C134,Stock_list!D:L,2,FALSE)</f>
        <v>Special price</v>
      </c>
      <c r="E134" s="160">
        <f>VLOOKUP(C134,Stock_list!D:L,9,FALSE)</f>
        <v>43617</v>
      </c>
      <c r="F134" s="157" t="s">
        <v>2861</v>
      </c>
      <c r="G134" s="158">
        <v>10</v>
      </c>
      <c r="H134" s="148"/>
      <c r="I134" s="146"/>
      <c r="J134" s="146"/>
      <c r="K134" s="149"/>
      <c r="L134" s="150"/>
      <c r="M134" s="149"/>
      <c r="N134" s="151"/>
      <c r="O134" s="151"/>
      <c r="P134" s="146"/>
      <c r="Q134" s="152"/>
      <c r="R134" s="153"/>
      <c r="S134" s="146"/>
      <c r="T134" s="154"/>
      <c r="U134" s="145"/>
    </row>
    <row r="135" spans="1:21" ht="15" customHeight="1">
      <c r="A135" s="155" t="s">
        <v>2758</v>
      </c>
      <c r="B135" s="114" t="str">
        <f>VLOOKUP(A135,'Data pick slip'!B:F,5,FALSE)</f>
        <v>KLJ-MC500-00</v>
      </c>
      <c r="C135" s="156">
        <v>109564</v>
      </c>
      <c r="D135" s="156" t="str">
        <f>VLOOKUP(C135,Stock_list!D:L,2,FALSE)</f>
        <v>Special price</v>
      </c>
      <c r="E135" s="160">
        <f>VLOOKUP(C135,Stock_list!D:L,9,FALSE)</f>
        <v>43617</v>
      </c>
      <c r="F135" s="157" t="s">
        <v>2861</v>
      </c>
      <c r="G135" s="158">
        <v>5</v>
      </c>
      <c r="H135" s="148"/>
      <c r="I135" s="146"/>
      <c r="J135" s="146"/>
      <c r="K135" s="149"/>
      <c r="L135" s="150"/>
      <c r="M135" s="149"/>
      <c r="N135" s="151"/>
      <c r="O135" s="151"/>
      <c r="P135" s="146"/>
      <c r="Q135" s="152"/>
      <c r="R135" s="153"/>
      <c r="S135" s="146"/>
      <c r="T135" s="154"/>
      <c r="U135" s="145"/>
    </row>
    <row r="136" spans="1:21" ht="15" customHeight="1">
      <c r="A136" s="155" t="s">
        <v>2755</v>
      </c>
      <c r="B136" s="114" t="str">
        <f>VLOOKUP(A136,'Data pick slip'!B:F,5,FALSE)</f>
        <v>KLJ-MC100-00</v>
      </c>
      <c r="C136" s="156">
        <v>109582</v>
      </c>
      <c r="D136" s="156" t="str">
        <f>VLOOKUP(C136,Stock_list!D:L,2,FALSE)</f>
        <v>魔乐视名义</v>
      </c>
      <c r="E136" s="160">
        <f>VLOOKUP(C136,Stock_list!D:L,9,FALSE)</f>
        <v>43617</v>
      </c>
      <c r="F136" s="157" t="s">
        <v>2861</v>
      </c>
      <c r="G136" s="158">
        <v>450</v>
      </c>
      <c r="H136" s="148"/>
      <c r="I136" s="146"/>
      <c r="J136" s="146"/>
      <c r="K136" s="149"/>
      <c r="L136" s="150"/>
      <c r="M136" s="149"/>
      <c r="N136" s="151"/>
      <c r="O136" s="151"/>
      <c r="P136" s="146"/>
      <c r="Q136" s="152"/>
      <c r="R136" s="153"/>
      <c r="S136" s="146"/>
      <c r="T136" s="154"/>
      <c r="U136" s="145"/>
    </row>
    <row r="137" spans="1:21" ht="15" customHeight="1">
      <c r="A137" s="155" t="s">
        <v>2756</v>
      </c>
      <c r="B137" s="114" t="str">
        <f>VLOOKUP(A137,'Data pick slip'!B:F,5,FALSE)</f>
        <v>KLJ-MC200-00</v>
      </c>
      <c r="C137" s="156">
        <v>109582</v>
      </c>
      <c r="D137" s="156" t="str">
        <f>VLOOKUP(C137,Stock_list!D:L,2,FALSE)</f>
        <v>魔乐视名义</v>
      </c>
      <c r="E137" s="160">
        <f>VLOOKUP(C137,Stock_list!D:L,9,FALSE)</f>
        <v>43617</v>
      </c>
      <c r="F137" s="157" t="s">
        <v>2861</v>
      </c>
      <c r="G137" s="158">
        <v>90</v>
      </c>
      <c r="H137" s="148"/>
      <c r="I137" s="146"/>
      <c r="J137" s="146"/>
      <c r="K137" s="149"/>
      <c r="L137" s="150"/>
      <c r="M137" s="149"/>
      <c r="N137" s="151"/>
      <c r="O137" s="151"/>
      <c r="P137" s="146"/>
      <c r="Q137" s="151"/>
      <c r="R137" s="153"/>
      <c r="S137" s="146"/>
      <c r="T137" s="154"/>
      <c r="U137" s="145"/>
    </row>
    <row r="138" spans="1:21" ht="15" customHeight="1">
      <c r="A138" s="155" t="s">
        <v>2757</v>
      </c>
      <c r="B138" s="114" t="str">
        <f>VLOOKUP(A138,'Data pick slip'!B:F,5,FALSE)</f>
        <v>KLJ-MC400-00</v>
      </c>
      <c r="C138" s="156">
        <v>109582</v>
      </c>
      <c r="D138" s="156" t="str">
        <f>VLOOKUP(C138,Stock_list!D:L,2,FALSE)</f>
        <v>魔乐视名义</v>
      </c>
      <c r="E138" s="160">
        <f>VLOOKUP(C138,Stock_list!D:L,9,FALSE)</f>
        <v>43617</v>
      </c>
      <c r="F138" s="157" t="s">
        <v>2861</v>
      </c>
      <c r="G138" s="158">
        <v>20</v>
      </c>
      <c r="H138" s="148"/>
      <c r="I138" s="146"/>
      <c r="J138" s="146"/>
      <c r="K138" s="149"/>
      <c r="L138" s="150"/>
      <c r="M138" s="149"/>
      <c r="N138" s="151"/>
      <c r="O138" s="151"/>
      <c r="P138" s="146"/>
      <c r="Q138" s="152"/>
      <c r="R138" s="153"/>
      <c r="S138" s="146"/>
      <c r="T138" s="154"/>
      <c r="U138" s="145"/>
    </row>
    <row r="139" spans="1:21" ht="15" customHeight="1">
      <c r="A139" s="155" t="s">
        <v>2768</v>
      </c>
      <c r="B139" s="114" t="str">
        <f>VLOOKUP(A139,'Data pick slip'!B:F,5,FALSE)</f>
        <v>KHJ-MC100-00</v>
      </c>
      <c r="C139" s="156">
        <v>109565</v>
      </c>
      <c r="D139" s="156" t="str">
        <f>VLOOKUP(C139,Stock_list!D:L,2,FALSE)</f>
        <v>Special price</v>
      </c>
      <c r="E139" s="160">
        <f>VLOOKUP(C139,Stock_list!D:L,9,FALSE)</f>
        <v>43649</v>
      </c>
      <c r="F139" s="157" t="s">
        <v>2861</v>
      </c>
      <c r="G139" s="158">
        <v>300</v>
      </c>
      <c r="H139" s="148"/>
      <c r="I139" s="146"/>
      <c r="J139" s="146"/>
      <c r="K139" s="149"/>
      <c r="L139" s="150"/>
      <c r="M139" s="149"/>
      <c r="N139" s="151"/>
      <c r="O139" s="151"/>
      <c r="P139" s="146"/>
      <c r="Q139" s="152"/>
      <c r="R139" s="153"/>
      <c r="S139" s="146"/>
      <c r="T139" s="154"/>
      <c r="U139" s="145"/>
    </row>
    <row r="140" spans="1:21" ht="15" customHeight="1">
      <c r="A140" s="159" t="s">
        <v>2747</v>
      </c>
      <c r="B140" s="114" t="str">
        <f>VLOOKUP(A140,'Data pick slip'!B:F,5,FALSE)</f>
        <v>KHJ-MC200-00</v>
      </c>
      <c r="C140" s="156">
        <v>109565</v>
      </c>
      <c r="D140" s="156" t="str">
        <f>VLOOKUP(C140,Stock_list!D:L,2,FALSE)</f>
        <v>Special price</v>
      </c>
      <c r="E140" s="160">
        <f>VLOOKUP(C140,Stock_list!D:L,9,FALSE)</f>
        <v>43649</v>
      </c>
      <c r="F140" s="157" t="s">
        <v>2861</v>
      </c>
      <c r="G140" s="158">
        <v>60</v>
      </c>
      <c r="H140" s="148"/>
      <c r="I140" s="146"/>
      <c r="J140" s="146"/>
      <c r="K140" s="149"/>
      <c r="L140" s="150"/>
      <c r="M140" s="149"/>
      <c r="N140" s="151"/>
      <c r="O140" s="151"/>
      <c r="P140" s="146"/>
      <c r="Q140" s="152"/>
      <c r="R140" s="153"/>
      <c r="S140" s="146"/>
      <c r="T140" s="154"/>
      <c r="U140" s="145"/>
    </row>
    <row r="141" spans="1:21" ht="15" customHeight="1">
      <c r="A141" s="159" t="s">
        <v>2777</v>
      </c>
      <c r="B141" s="114" t="str">
        <f>VLOOKUP(A141,'Data pick slip'!B:F,5,FALSE)</f>
        <v>KHJ-MC400-00</v>
      </c>
      <c r="C141" s="156">
        <v>109565</v>
      </c>
      <c r="D141" s="156" t="str">
        <f>VLOOKUP(C141,Stock_list!D:L,2,FALSE)</f>
        <v>Special price</v>
      </c>
      <c r="E141" s="160">
        <f>VLOOKUP(C141,Stock_list!D:L,9,FALSE)</f>
        <v>43649</v>
      </c>
      <c r="F141" s="157" t="s">
        <v>2861</v>
      </c>
      <c r="G141" s="158">
        <v>10</v>
      </c>
      <c r="H141" s="148"/>
      <c r="I141" s="146"/>
      <c r="J141" s="146"/>
      <c r="K141" s="149"/>
      <c r="L141" s="150"/>
      <c r="M141" s="149"/>
      <c r="N141" s="151"/>
      <c r="O141" s="151"/>
      <c r="P141" s="146"/>
      <c r="Q141" s="152"/>
      <c r="R141" s="153"/>
      <c r="S141" s="146"/>
      <c r="T141" s="154"/>
      <c r="U141" s="145"/>
    </row>
    <row r="142" spans="1:21" ht="15" customHeight="1">
      <c r="A142" s="155" t="s">
        <v>2751</v>
      </c>
      <c r="B142" s="114" t="str">
        <f>VLOOKUP(A142,'Data pick slip'!B:F,5,FALSE)</f>
        <v>KHJ-MC700-00</v>
      </c>
      <c r="C142" s="156">
        <v>109565</v>
      </c>
      <c r="D142" s="156" t="str">
        <f>VLOOKUP(C142,Stock_list!D:L,2,FALSE)</f>
        <v>Special price</v>
      </c>
      <c r="E142" s="160">
        <f>VLOOKUP(C142,Stock_list!D:L,9,FALSE)</f>
        <v>43649</v>
      </c>
      <c r="F142" s="157" t="s">
        <v>2861</v>
      </c>
      <c r="G142" s="158">
        <v>1</v>
      </c>
      <c r="H142" s="148"/>
      <c r="I142" s="146"/>
      <c r="J142" s="146"/>
      <c r="K142" s="149"/>
      <c r="L142" s="150"/>
      <c r="M142" s="149"/>
      <c r="N142" s="151"/>
      <c r="O142" s="151"/>
      <c r="P142" s="146"/>
      <c r="Q142" s="152"/>
      <c r="R142" s="153"/>
      <c r="S142" s="146"/>
      <c r="T142" s="154"/>
      <c r="U142" s="145"/>
    </row>
    <row r="143" spans="1:21" ht="15" customHeight="1">
      <c r="A143" s="155" t="s">
        <v>2768</v>
      </c>
      <c r="B143" s="114" t="str">
        <f>VLOOKUP(A143,'Data pick slip'!B:F,5,FALSE)</f>
        <v>KHJ-MC100-00</v>
      </c>
      <c r="C143" s="156">
        <v>109566</v>
      </c>
      <c r="D143" s="156" t="str">
        <f>VLOOKUP(C143,Stock_list!D:L,2,FALSE)</f>
        <v>Special price</v>
      </c>
      <c r="E143" s="160">
        <f>VLOOKUP(C143,Stock_list!D:L,9,FALSE)</f>
        <v>43649</v>
      </c>
      <c r="F143" s="157" t="s">
        <v>2861</v>
      </c>
      <c r="G143" s="158">
        <v>400</v>
      </c>
      <c r="H143" s="148"/>
      <c r="I143" s="146"/>
      <c r="J143" s="146"/>
      <c r="K143" s="149"/>
      <c r="L143" s="150"/>
      <c r="M143" s="149"/>
      <c r="N143" s="151"/>
      <c r="O143" s="151"/>
      <c r="P143" s="146"/>
      <c r="Q143" s="152"/>
      <c r="R143" s="153"/>
      <c r="S143" s="146"/>
      <c r="T143" s="154"/>
      <c r="U143" s="145"/>
    </row>
    <row r="144" spans="1:21" ht="15" customHeight="1">
      <c r="A144" s="159" t="s">
        <v>2747</v>
      </c>
      <c r="B144" s="114" t="str">
        <f>VLOOKUP(A144,'Data pick slip'!B:F,5,FALSE)</f>
        <v>KHJ-MC200-00</v>
      </c>
      <c r="C144" s="156">
        <v>109566</v>
      </c>
      <c r="D144" s="156" t="str">
        <f>VLOOKUP(C144,Stock_list!D:L,2,FALSE)</f>
        <v>Special price</v>
      </c>
      <c r="E144" s="160">
        <f>VLOOKUP(C144,Stock_list!D:L,9,FALSE)</f>
        <v>43649</v>
      </c>
      <c r="F144" s="157" t="s">
        <v>2861</v>
      </c>
      <c r="G144" s="158">
        <v>50</v>
      </c>
      <c r="H144" s="148"/>
      <c r="I144" s="146"/>
      <c r="J144" s="146"/>
      <c r="K144" s="149"/>
      <c r="L144" s="150"/>
      <c r="M144" s="149"/>
      <c r="N144" s="151"/>
      <c r="O144" s="151"/>
      <c r="P144" s="146"/>
      <c r="Q144" s="152"/>
      <c r="R144" s="153"/>
      <c r="S144" s="146"/>
      <c r="T144" s="154"/>
      <c r="U144" s="145"/>
    </row>
    <row r="145" spans="1:21" ht="15" customHeight="1">
      <c r="A145" s="159" t="s">
        <v>2777</v>
      </c>
      <c r="B145" s="114" t="str">
        <f>VLOOKUP(A145,'Data pick slip'!B:F,5,FALSE)</f>
        <v>KHJ-MC400-00</v>
      </c>
      <c r="C145" s="156">
        <v>109566</v>
      </c>
      <c r="D145" s="156" t="str">
        <f>VLOOKUP(C145,Stock_list!D:L,2,FALSE)</f>
        <v>Special price</v>
      </c>
      <c r="E145" s="160">
        <f>VLOOKUP(C145,Stock_list!D:L,9,FALSE)</f>
        <v>43649</v>
      </c>
      <c r="F145" s="157" t="s">
        <v>2861</v>
      </c>
      <c r="G145" s="158">
        <v>20</v>
      </c>
      <c r="H145" s="148"/>
      <c r="I145" s="146"/>
      <c r="J145" s="146"/>
      <c r="K145" s="149"/>
      <c r="L145" s="150"/>
      <c r="M145" s="149"/>
      <c r="N145" s="151"/>
      <c r="O145" s="151"/>
      <c r="P145" s="146"/>
      <c r="Q145" s="152"/>
      <c r="R145" s="153"/>
      <c r="S145" s="146"/>
      <c r="T145" s="154"/>
      <c r="U145" s="145"/>
    </row>
    <row r="146" spans="1:21" ht="15" customHeight="1">
      <c r="A146" s="155" t="s">
        <v>2749</v>
      </c>
      <c r="B146" s="114" t="str">
        <f>VLOOKUP(A146,'Data pick slip'!B:F,5,FALSE)</f>
        <v>KHJ-MC500-00</v>
      </c>
      <c r="C146" s="156">
        <v>109566</v>
      </c>
      <c r="D146" s="156" t="str">
        <f>VLOOKUP(C146,Stock_list!D:L,2,FALSE)</f>
        <v>Special price</v>
      </c>
      <c r="E146" s="160">
        <f>VLOOKUP(C146,Stock_list!D:L,9,FALSE)</f>
        <v>43649</v>
      </c>
      <c r="F146" s="157" t="s">
        <v>2861</v>
      </c>
      <c r="G146" s="158">
        <v>10</v>
      </c>
      <c r="H146" s="148"/>
      <c r="I146" s="146"/>
      <c r="J146" s="146"/>
      <c r="K146" s="149"/>
      <c r="L146" s="150"/>
      <c r="M146" s="149"/>
      <c r="N146" s="151"/>
      <c r="O146" s="151"/>
      <c r="P146" s="146"/>
      <c r="Q146" s="152"/>
      <c r="R146" s="153"/>
      <c r="S146" s="146"/>
      <c r="T146" s="154"/>
      <c r="U146" s="145"/>
    </row>
    <row r="147" spans="1:21" ht="15" customHeight="1">
      <c r="A147" s="155" t="s">
        <v>2751</v>
      </c>
      <c r="B147" s="114" t="str">
        <f>VLOOKUP(A147,'Data pick slip'!B:F,5,FALSE)</f>
        <v>KHJ-MC700-00</v>
      </c>
      <c r="C147" s="156">
        <v>109566</v>
      </c>
      <c r="D147" s="156" t="str">
        <f>VLOOKUP(C147,Stock_list!D:L,2,FALSE)</f>
        <v>Special price</v>
      </c>
      <c r="E147" s="160">
        <f>VLOOKUP(C147,Stock_list!D:L,9,FALSE)</f>
        <v>43649</v>
      </c>
      <c r="F147" s="157" t="s">
        <v>2861</v>
      </c>
      <c r="G147" s="158">
        <v>2</v>
      </c>
      <c r="H147" s="148"/>
      <c r="I147" s="146"/>
      <c r="J147" s="146"/>
      <c r="K147" s="149"/>
      <c r="L147" s="150"/>
      <c r="M147" s="149"/>
      <c r="N147" s="151"/>
      <c r="O147" s="151"/>
      <c r="P147" s="146"/>
      <c r="Q147" s="152"/>
      <c r="R147" s="153"/>
      <c r="S147" s="146"/>
      <c r="T147" s="154"/>
      <c r="U147" s="145"/>
    </row>
    <row r="148" spans="1:21" ht="15" customHeight="1">
      <c r="A148" s="155" t="s">
        <v>2755</v>
      </c>
      <c r="B148" s="114" t="str">
        <f>VLOOKUP(A148,'Data pick slip'!B:F,5,FALSE)</f>
        <v>KLJ-MC100-00</v>
      </c>
      <c r="C148" s="156">
        <v>109602</v>
      </c>
      <c r="D148" s="156" t="str">
        <f>VLOOKUP(C148,Stock_list!D:L,2,FALSE)</f>
        <v>Special package</v>
      </c>
      <c r="E148" s="160">
        <f>VLOOKUP(C148,Stock_list!D:L,9,FALSE)</f>
        <v>43663</v>
      </c>
      <c r="F148" s="157" t="s">
        <v>2861</v>
      </c>
      <c r="G148" s="158">
        <v>300</v>
      </c>
      <c r="H148" s="148"/>
      <c r="I148" s="146"/>
      <c r="J148" s="146"/>
      <c r="K148" s="149"/>
      <c r="L148" s="150"/>
      <c r="M148" s="149"/>
      <c r="N148" s="151"/>
      <c r="O148" s="151"/>
      <c r="P148" s="146"/>
      <c r="Q148" s="152"/>
      <c r="R148" s="153"/>
      <c r="S148" s="146"/>
      <c r="T148" s="154"/>
      <c r="U148" s="145"/>
    </row>
    <row r="149" spans="1:21" ht="15" customHeight="1">
      <c r="A149" s="155" t="s">
        <v>2756</v>
      </c>
      <c r="B149" s="114" t="str">
        <f>VLOOKUP(A149,'Data pick slip'!B:F,5,FALSE)</f>
        <v>KLJ-MC200-00</v>
      </c>
      <c r="C149" s="156">
        <v>109602</v>
      </c>
      <c r="D149" s="156" t="str">
        <f>VLOOKUP(C149,Stock_list!D:L,2,FALSE)</f>
        <v>Special package</v>
      </c>
      <c r="E149" s="160">
        <f>VLOOKUP(C149,Stock_list!D:L,9,FALSE)</f>
        <v>43663</v>
      </c>
      <c r="F149" s="157" t="s">
        <v>2861</v>
      </c>
      <c r="G149" s="158">
        <v>60</v>
      </c>
      <c r="H149" s="148"/>
      <c r="I149" s="146"/>
      <c r="J149" s="146"/>
      <c r="K149" s="149"/>
      <c r="L149" s="150"/>
      <c r="M149" s="149"/>
      <c r="N149" s="151"/>
      <c r="O149" s="151"/>
      <c r="P149" s="146"/>
      <c r="Q149" s="151"/>
      <c r="R149" s="153"/>
      <c r="S149" s="146"/>
      <c r="T149" s="154"/>
      <c r="U149" s="145"/>
    </row>
    <row r="150" spans="1:21" ht="15" customHeight="1">
      <c r="A150" s="155" t="s">
        <v>2757</v>
      </c>
      <c r="B150" s="114" t="str">
        <f>VLOOKUP(A150,'Data pick slip'!B:F,5,FALSE)</f>
        <v>KLJ-MC400-00</v>
      </c>
      <c r="C150" s="156">
        <v>109602</v>
      </c>
      <c r="D150" s="156" t="str">
        <f>VLOOKUP(C150,Stock_list!D:L,2,FALSE)</f>
        <v>Special package</v>
      </c>
      <c r="E150" s="160">
        <f>VLOOKUP(C150,Stock_list!D:L,9,FALSE)</f>
        <v>43663</v>
      </c>
      <c r="F150" s="157" t="s">
        <v>2861</v>
      </c>
      <c r="G150" s="158">
        <v>30</v>
      </c>
      <c r="H150" s="148"/>
      <c r="I150" s="146"/>
      <c r="J150" s="146"/>
      <c r="K150" s="149"/>
      <c r="L150" s="150"/>
      <c r="M150" s="149"/>
      <c r="N150" s="151"/>
      <c r="O150" s="151"/>
      <c r="P150" s="146"/>
      <c r="Q150" s="152"/>
      <c r="R150" s="153"/>
      <c r="S150" s="146"/>
      <c r="T150" s="154"/>
      <c r="U150" s="145"/>
    </row>
    <row r="151" spans="1:21" ht="15" customHeight="1">
      <c r="A151" s="155" t="s">
        <v>2758</v>
      </c>
      <c r="B151" s="114" t="str">
        <f>VLOOKUP(A151,'Data pick slip'!B:F,5,FALSE)</f>
        <v>KLJ-MC500-00</v>
      </c>
      <c r="C151" s="156">
        <v>109602</v>
      </c>
      <c r="D151" s="156" t="str">
        <f>VLOOKUP(C151,Stock_list!D:L,2,FALSE)</f>
        <v>Special package</v>
      </c>
      <c r="E151" s="160">
        <f>VLOOKUP(C151,Stock_list!D:L,9,FALSE)</f>
        <v>43663</v>
      </c>
      <c r="F151" s="157" t="s">
        <v>2861</v>
      </c>
      <c r="G151" s="158">
        <v>5</v>
      </c>
      <c r="H151" s="148"/>
      <c r="I151" s="146"/>
      <c r="J151" s="146"/>
      <c r="K151" s="149"/>
      <c r="L151" s="150"/>
      <c r="M151" s="149"/>
      <c r="N151" s="151"/>
      <c r="O151" s="151"/>
      <c r="P151" s="146"/>
      <c r="Q151" s="152"/>
      <c r="R151" s="153"/>
      <c r="S151" s="146"/>
      <c r="T151" s="154"/>
      <c r="U151" s="145"/>
    </row>
    <row r="152" spans="1:21" ht="15" customHeight="1">
      <c r="A152" s="155" t="s">
        <v>2747</v>
      </c>
      <c r="B152" s="114" t="str">
        <f>VLOOKUP(A152,'Data pick slip'!B:F,5,FALSE)</f>
        <v>KHJ-MC200-00</v>
      </c>
      <c r="C152" s="156">
        <v>109602</v>
      </c>
      <c r="D152" s="156" t="str">
        <f>VLOOKUP(C152,Stock_list!D:L,2,FALSE)</f>
        <v>Special package</v>
      </c>
      <c r="E152" s="160">
        <f>VLOOKUP(C152,Stock_list!D:L,9,FALSE)</f>
        <v>43663</v>
      </c>
      <c r="F152" s="157" t="s">
        <v>2861</v>
      </c>
      <c r="G152" s="158">
        <v>40</v>
      </c>
      <c r="H152" s="148"/>
      <c r="I152" s="146"/>
      <c r="J152" s="146"/>
      <c r="K152" s="149"/>
      <c r="L152" s="150"/>
      <c r="M152" s="149"/>
      <c r="N152" s="151"/>
      <c r="O152" s="151"/>
      <c r="P152" s="146"/>
      <c r="Q152" s="152"/>
      <c r="R152" s="153"/>
      <c r="S152" s="146"/>
      <c r="T152" s="154"/>
      <c r="U152" s="145"/>
    </row>
    <row r="153" spans="1:21" ht="15" customHeight="1">
      <c r="A153" s="155" t="s">
        <v>2748</v>
      </c>
      <c r="B153" s="114" t="str">
        <f>VLOOKUP(A153,'Data pick slip'!B:F,5,FALSE)</f>
        <v>KHJ-MC400-00</v>
      </c>
      <c r="C153" s="156">
        <v>109602</v>
      </c>
      <c r="D153" s="156" t="str">
        <f>VLOOKUP(C153,Stock_list!D:L,2,FALSE)</f>
        <v>Special package</v>
      </c>
      <c r="E153" s="160">
        <f>VLOOKUP(C153,Stock_list!D:L,9,FALSE)</f>
        <v>43663</v>
      </c>
      <c r="F153" s="157" t="s">
        <v>2861</v>
      </c>
      <c r="G153" s="158">
        <v>30</v>
      </c>
      <c r="H153" s="148"/>
      <c r="I153" s="146"/>
      <c r="J153" s="146"/>
      <c r="K153" s="149"/>
      <c r="L153" s="150"/>
      <c r="M153" s="149"/>
      <c r="N153" s="151"/>
      <c r="O153" s="151"/>
      <c r="P153" s="146"/>
      <c r="Q153" s="152"/>
      <c r="R153" s="153"/>
      <c r="S153" s="146"/>
      <c r="T153" s="154"/>
      <c r="U153" s="145"/>
    </row>
    <row r="154" spans="1:21" ht="15" customHeight="1">
      <c r="A154" s="155" t="s">
        <v>2749</v>
      </c>
      <c r="B154" s="114" t="str">
        <f>VLOOKUP(A154,'Data pick slip'!B:F,5,FALSE)</f>
        <v>KHJ-MC500-00</v>
      </c>
      <c r="C154" s="156">
        <v>109602</v>
      </c>
      <c r="D154" s="156" t="str">
        <f>VLOOKUP(C154,Stock_list!D:L,2,FALSE)</f>
        <v>Special package</v>
      </c>
      <c r="E154" s="160">
        <f>VLOOKUP(C154,Stock_list!D:L,9,FALSE)</f>
        <v>43663</v>
      </c>
      <c r="F154" s="157" t="s">
        <v>2861</v>
      </c>
      <c r="G154" s="158">
        <v>15</v>
      </c>
      <c r="H154" s="148"/>
      <c r="I154" s="146"/>
      <c r="J154" s="146"/>
      <c r="K154" s="149"/>
      <c r="L154" s="150"/>
      <c r="M154" s="149"/>
      <c r="N154" s="151"/>
      <c r="O154" s="151"/>
      <c r="P154" s="146"/>
      <c r="Q154" s="152"/>
      <c r="R154" s="153"/>
      <c r="S154" s="146"/>
      <c r="T154" s="154"/>
      <c r="U154" s="145"/>
    </row>
    <row r="155" spans="1:21" ht="15" customHeight="1">
      <c r="A155" s="155" t="s">
        <v>2768</v>
      </c>
      <c r="B155" s="114" t="str">
        <f>VLOOKUP(A155,'Data pick slip'!B:F,5,FALSE)</f>
        <v>KHJ-MC100-00</v>
      </c>
      <c r="C155" s="156">
        <v>109603</v>
      </c>
      <c r="D155" s="156" t="str">
        <f>VLOOKUP(C155,Stock_list!D:L,2,FALSE)</f>
        <v>Special package</v>
      </c>
      <c r="E155" s="160">
        <f>VLOOKUP(C155,Stock_list!D:L,9,FALSE)</f>
        <v>43649</v>
      </c>
      <c r="F155" s="157" t="s">
        <v>2861</v>
      </c>
      <c r="G155" s="158">
        <v>200</v>
      </c>
      <c r="H155" s="148"/>
      <c r="I155" s="146"/>
      <c r="J155" s="146"/>
      <c r="K155" s="149"/>
      <c r="L155" s="150"/>
      <c r="M155" s="149"/>
      <c r="N155" s="151"/>
      <c r="O155" s="151"/>
      <c r="P155" s="146"/>
      <c r="Q155" s="152"/>
      <c r="R155" s="153"/>
      <c r="S155" s="146"/>
      <c r="T155" s="154"/>
      <c r="U155" s="145"/>
    </row>
    <row r="156" spans="1:21" ht="15" customHeight="1">
      <c r="A156" s="159" t="s">
        <v>2747</v>
      </c>
      <c r="B156" s="114" t="str">
        <f>VLOOKUP(A156,'Data pick slip'!B:F,5,FALSE)</f>
        <v>KHJ-MC200-00</v>
      </c>
      <c r="C156" s="156">
        <v>109603</v>
      </c>
      <c r="D156" s="156" t="str">
        <f>VLOOKUP(C156,Stock_list!D:L,2,FALSE)</f>
        <v>Special package</v>
      </c>
      <c r="E156" s="160">
        <f>VLOOKUP(C156,Stock_list!D:L,9,FALSE)</f>
        <v>43649</v>
      </c>
      <c r="F156" s="157" t="s">
        <v>2861</v>
      </c>
      <c r="G156" s="158">
        <v>60</v>
      </c>
      <c r="H156" s="148"/>
      <c r="I156" s="146"/>
      <c r="J156" s="146"/>
      <c r="K156" s="149"/>
      <c r="L156" s="150"/>
      <c r="M156" s="149"/>
      <c r="N156" s="151"/>
      <c r="O156" s="151"/>
      <c r="P156" s="146"/>
      <c r="Q156" s="152"/>
      <c r="R156" s="153"/>
      <c r="S156" s="146"/>
      <c r="T156" s="154"/>
      <c r="U156" s="145"/>
    </row>
    <row r="157" spans="1:21" ht="15" customHeight="1">
      <c r="A157" s="159" t="s">
        <v>2777</v>
      </c>
      <c r="B157" s="114" t="str">
        <f>VLOOKUP(A157,'Data pick slip'!B:F,5,FALSE)</f>
        <v>KHJ-MC400-00</v>
      </c>
      <c r="C157" s="156">
        <v>109603</v>
      </c>
      <c r="D157" s="156" t="str">
        <f>VLOOKUP(C157,Stock_list!D:L,2,FALSE)</f>
        <v>Special package</v>
      </c>
      <c r="E157" s="160">
        <f>VLOOKUP(C157,Stock_list!D:L,9,FALSE)</f>
        <v>43649</v>
      </c>
      <c r="F157" s="157" t="s">
        <v>2861</v>
      </c>
      <c r="G157" s="158">
        <v>20</v>
      </c>
      <c r="H157" s="148"/>
      <c r="I157" s="146"/>
      <c r="J157" s="146"/>
      <c r="K157" s="149"/>
      <c r="L157" s="150"/>
      <c r="M157" s="149"/>
      <c r="N157" s="151"/>
      <c r="O157" s="151"/>
      <c r="P157" s="146"/>
      <c r="Q157" s="152"/>
      <c r="R157" s="153"/>
      <c r="S157" s="146"/>
      <c r="T157" s="154"/>
      <c r="U157" s="145"/>
    </row>
    <row r="158" spans="1:21" ht="15" customHeight="1">
      <c r="A158" s="155" t="s">
        <v>2751</v>
      </c>
      <c r="B158" s="114" t="str">
        <f>VLOOKUP(A158,'Data pick slip'!B:F,5,FALSE)</f>
        <v>KHJ-MC700-00</v>
      </c>
      <c r="C158" s="156">
        <v>109603</v>
      </c>
      <c r="D158" s="156" t="str">
        <f>VLOOKUP(C158,Stock_list!D:L,2,FALSE)</f>
        <v>Special package</v>
      </c>
      <c r="E158" s="160">
        <f>VLOOKUP(C158,Stock_list!D:L,9,FALSE)</f>
        <v>43649</v>
      </c>
      <c r="F158" s="157" t="s">
        <v>2861</v>
      </c>
      <c r="G158" s="158">
        <v>3</v>
      </c>
      <c r="H158" s="148"/>
      <c r="I158" s="146"/>
      <c r="J158" s="146"/>
      <c r="K158" s="149"/>
      <c r="L158" s="150"/>
      <c r="M158" s="149"/>
      <c r="N158" s="151"/>
      <c r="O158" s="151"/>
      <c r="P158" s="146"/>
      <c r="Q158" s="152"/>
      <c r="R158" s="153"/>
      <c r="S158" s="146"/>
      <c r="T158" s="154"/>
      <c r="U158" s="145"/>
    </row>
    <row r="159" spans="1:21" ht="15" customHeight="1">
      <c r="A159" s="155" t="s">
        <v>2744</v>
      </c>
      <c r="B159" s="114" t="str">
        <f>VLOOKUP(A159,'Data pick slip'!B:F,5,FALSE)</f>
        <v>KHJ-MC100-00</v>
      </c>
      <c r="C159" s="156">
        <v>109588</v>
      </c>
      <c r="D159" s="156" t="str">
        <f>VLOOKUP(C159,Stock_list!D:L,2,FALSE)</f>
        <v>Special package</v>
      </c>
      <c r="E159" s="160">
        <f>VLOOKUP(C159,Stock_list!D:L,9,FALSE)</f>
        <v>43686</v>
      </c>
      <c r="F159" s="157" t="s">
        <v>2861</v>
      </c>
      <c r="G159" s="158">
        <v>300</v>
      </c>
      <c r="H159" s="148"/>
      <c r="I159" s="146"/>
      <c r="J159" s="146"/>
      <c r="K159" s="149"/>
      <c r="L159" s="150"/>
      <c r="M159" s="149"/>
      <c r="N159" s="151"/>
      <c r="O159" s="151"/>
      <c r="P159" s="146"/>
      <c r="Q159" s="152"/>
      <c r="R159" s="153"/>
      <c r="S159" s="146"/>
      <c r="T159" s="154"/>
      <c r="U159" s="145"/>
    </row>
    <row r="160" spans="1:21" ht="15" customHeight="1">
      <c r="A160" s="155" t="s">
        <v>2747</v>
      </c>
      <c r="B160" s="114" t="str">
        <f>VLOOKUP(A160,'Data pick slip'!B:F,5,FALSE)</f>
        <v>KHJ-MC200-00</v>
      </c>
      <c r="C160" s="156">
        <v>109588</v>
      </c>
      <c r="D160" s="156" t="str">
        <f>VLOOKUP(C160,Stock_list!D:L,2,FALSE)</f>
        <v>Special package</v>
      </c>
      <c r="E160" s="160">
        <f>VLOOKUP(C160,Stock_list!D:L,9,FALSE)</f>
        <v>43686</v>
      </c>
      <c r="F160" s="157" t="s">
        <v>2861</v>
      </c>
      <c r="G160" s="158">
        <v>80</v>
      </c>
      <c r="H160" s="148"/>
      <c r="I160" s="146"/>
      <c r="J160" s="146"/>
      <c r="K160" s="149"/>
      <c r="L160" s="150"/>
      <c r="M160" s="149"/>
      <c r="N160" s="151"/>
      <c r="O160" s="151"/>
      <c r="P160" s="146"/>
      <c r="Q160" s="152"/>
      <c r="R160" s="153"/>
      <c r="S160" s="146"/>
      <c r="T160" s="154"/>
      <c r="U160" s="145"/>
    </row>
    <row r="161" spans="1:21" ht="15" customHeight="1">
      <c r="A161" s="155" t="s">
        <v>2748</v>
      </c>
      <c r="B161" s="114" t="str">
        <f>VLOOKUP(A161,'Data pick slip'!B:F,5,FALSE)</f>
        <v>KHJ-MC400-00</v>
      </c>
      <c r="C161" s="156">
        <v>109588</v>
      </c>
      <c r="D161" s="156" t="str">
        <f>VLOOKUP(C161,Stock_list!D:L,2,FALSE)</f>
        <v>Special package</v>
      </c>
      <c r="E161" s="160">
        <f>VLOOKUP(C161,Stock_list!D:L,9,FALSE)</f>
        <v>43686</v>
      </c>
      <c r="F161" s="157" t="s">
        <v>2861</v>
      </c>
      <c r="G161" s="158">
        <v>20</v>
      </c>
      <c r="H161" s="148"/>
      <c r="I161" s="146"/>
      <c r="J161" s="146"/>
      <c r="K161" s="149"/>
      <c r="L161" s="150"/>
      <c r="M161" s="149"/>
      <c r="N161" s="151"/>
      <c r="O161" s="151"/>
      <c r="P161" s="146"/>
      <c r="Q161" s="152"/>
      <c r="R161" s="153"/>
      <c r="S161" s="146"/>
      <c r="T161" s="154"/>
      <c r="U161" s="145"/>
    </row>
    <row r="162" spans="1:21" ht="15" customHeight="1">
      <c r="A162" s="155" t="s">
        <v>2749</v>
      </c>
      <c r="B162" s="114" t="str">
        <f>VLOOKUP(A162,'Data pick slip'!B:F,5,FALSE)</f>
        <v>KHJ-MC500-00</v>
      </c>
      <c r="C162" s="156">
        <v>109588</v>
      </c>
      <c r="D162" s="156" t="str">
        <f>VLOOKUP(C162,Stock_list!D:L,2,FALSE)</f>
        <v>Special package</v>
      </c>
      <c r="E162" s="160">
        <f>VLOOKUP(C162,Stock_list!D:L,9,FALSE)</f>
        <v>43686</v>
      </c>
      <c r="F162" s="157" t="s">
        <v>2861</v>
      </c>
      <c r="G162" s="158">
        <v>10</v>
      </c>
      <c r="H162" s="148"/>
      <c r="I162" s="146"/>
      <c r="J162" s="146"/>
      <c r="K162" s="149"/>
      <c r="L162" s="150"/>
      <c r="M162" s="149"/>
      <c r="N162" s="151"/>
      <c r="O162" s="151"/>
      <c r="P162" s="146"/>
      <c r="Q162" s="152"/>
      <c r="R162" s="153"/>
      <c r="S162" s="146"/>
      <c r="T162" s="154"/>
      <c r="U162" s="145"/>
    </row>
    <row r="163" spans="1:21" ht="15" customHeight="1">
      <c r="A163" s="155" t="s">
        <v>2768</v>
      </c>
      <c r="B163" s="114" t="str">
        <f>VLOOKUP(A163,'Data pick slip'!B:F,5,FALSE)</f>
        <v>KHJ-MC100-00</v>
      </c>
      <c r="D163" s="156"/>
      <c r="E163" s="160" t="s">
        <v>2868</v>
      </c>
      <c r="F163" s="157" t="s">
        <v>2773</v>
      </c>
      <c r="G163" s="158">
        <v>80</v>
      </c>
      <c r="H163" s="148"/>
      <c r="I163" s="146"/>
      <c r="J163" s="146"/>
      <c r="K163" s="149"/>
      <c r="L163" s="150"/>
      <c r="M163" s="149"/>
      <c r="N163" s="151"/>
      <c r="O163" s="151"/>
      <c r="P163" s="146"/>
      <c r="Q163" s="152"/>
      <c r="R163" s="153"/>
      <c r="S163" s="146"/>
      <c r="T163" s="154"/>
      <c r="U163" s="145"/>
    </row>
    <row r="164" spans="1:21" ht="15" customHeight="1">
      <c r="A164" s="159" t="s">
        <v>2747</v>
      </c>
      <c r="B164" s="114" t="str">
        <f>VLOOKUP(A164,'Data pick slip'!B:F,5,FALSE)</f>
        <v>KHJ-MC200-00</v>
      </c>
      <c r="D164" s="156"/>
      <c r="E164" s="160" t="s">
        <v>2868</v>
      </c>
      <c r="F164" s="157" t="s">
        <v>2773</v>
      </c>
      <c r="G164" s="158">
        <v>10</v>
      </c>
      <c r="H164" s="148"/>
      <c r="I164" s="146"/>
      <c r="J164" s="146"/>
      <c r="K164" s="149"/>
      <c r="L164" s="150"/>
      <c r="M164" s="149"/>
      <c r="N164" s="151"/>
      <c r="O164" s="151"/>
      <c r="P164" s="146"/>
      <c r="Q164" s="152"/>
      <c r="R164" s="153"/>
      <c r="S164" s="146"/>
      <c r="T164" s="154"/>
      <c r="U164" s="145"/>
    </row>
    <row r="165" spans="1:21" ht="15" customHeight="1">
      <c r="A165" s="155" t="s">
        <v>2749</v>
      </c>
      <c r="B165" s="114" t="str">
        <f>VLOOKUP(A165,'Data pick slip'!B:F,5,FALSE)</f>
        <v>KHJ-MC500-00</v>
      </c>
      <c r="D165" s="156"/>
      <c r="E165" s="160" t="s">
        <v>2868</v>
      </c>
      <c r="F165" s="157" t="s">
        <v>2773</v>
      </c>
      <c r="G165" s="158">
        <v>10</v>
      </c>
      <c r="H165" s="148"/>
      <c r="I165" s="146"/>
      <c r="J165" s="146"/>
      <c r="K165" s="149"/>
      <c r="L165" s="150"/>
      <c r="M165" s="149"/>
      <c r="N165" s="151"/>
      <c r="O165" s="151"/>
      <c r="P165" s="146"/>
      <c r="Q165" s="152"/>
      <c r="R165" s="153"/>
      <c r="S165" s="146"/>
      <c r="T165" s="154"/>
      <c r="U165" s="145"/>
    </row>
    <row r="166" spans="1:21" ht="15" customHeight="1">
      <c r="A166" s="155" t="s">
        <v>2757</v>
      </c>
      <c r="B166" s="114" t="str">
        <f>VLOOKUP(A166,'Data pick slip'!B:F,5,FALSE)</f>
        <v>KLJ-MC400-00</v>
      </c>
      <c r="D166" s="156"/>
      <c r="E166" s="160" t="s">
        <v>2868</v>
      </c>
      <c r="F166" s="157" t="s">
        <v>2773</v>
      </c>
      <c r="G166" s="158">
        <v>10</v>
      </c>
      <c r="H166" s="148"/>
      <c r="I166" s="146"/>
      <c r="J166" s="146"/>
      <c r="K166" s="149"/>
      <c r="L166" s="150"/>
      <c r="M166" s="149"/>
      <c r="N166" s="151"/>
      <c r="O166" s="151"/>
      <c r="P166" s="146"/>
      <c r="Q166" s="152"/>
      <c r="R166" s="153"/>
      <c r="S166" s="146"/>
      <c r="T166" s="154"/>
      <c r="U166" s="145"/>
    </row>
    <row r="167" spans="1:21" ht="15" customHeight="1">
      <c r="A167" s="159" t="s">
        <v>2744</v>
      </c>
      <c r="B167" s="114" t="str">
        <f>VLOOKUP(A167,'Data pick slip'!B:F,5,FALSE)</f>
        <v>KHJ-MC100-00</v>
      </c>
      <c r="D167" s="156"/>
      <c r="E167" s="160" t="s">
        <v>2869</v>
      </c>
      <c r="F167" s="157" t="s">
        <v>2773</v>
      </c>
      <c r="G167" s="158">
        <v>250</v>
      </c>
      <c r="H167" s="148"/>
      <c r="I167" s="146"/>
      <c r="J167" s="146"/>
      <c r="K167" s="149"/>
      <c r="L167" s="150"/>
      <c r="M167" s="149"/>
      <c r="N167" s="151"/>
      <c r="O167" s="151"/>
      <c r="P167" s="146"/>
      <c r="Q167" s="152"/>
      <c r="R167" s="153"/>
      <c r="S167" s="146"/>
      <c r="T167" s="154"/>
      <c r="U167" s="145"/>
    </row>
    <row r="168" spans="1:21" ht="15" customHeight="1">
      <c r="A168" s="159" t="s">
        <v>2747</v>
      </c>
      <c r="B168" s="114" t="str">
        <f>VLOOKUP(A168,'Data pick slip'!B:F,5,FALSE)</f>
        <v>KHJ-MC200-00</v>
      </c>
      <c r="D168" s="156"/>
      <c r="E168" s="160" t="s">
        <v>2869</v>
      </c>
      <c r="F168" s="157" t="s">
        <v>2773</v>
      </c>
      <c r="G168" s="158">
        <v>60</v>
      </c>
      <c r="H168" s="148"/>
      <c r="I168" s="146"/>
      <c r="J168" s="146"/>
      <c r="K168" s="149"/>
      <c r="L168" s="150"/>
      <c r="M168" s="149"/>
      <c r="N168" s="151"/>
      <c r="O168" s="151"/>
      <c r="P168" s="146"/>
      <c r="Q168" s="152"/>
      <c r="R168" s="153"/>
      <c r="S168" s="146"/>
      <c r="T168" s="154"/>
      <c r="U168" s="145"/>
    </row>
    <row r="169" spans="1:21" ht="15" customHeight="1">
      <c r="A169" s="159" t="s">
        <v>2748</v>
      </c>
      <c r="B169" s="114" t="str">
        <f>VLOOKUP(A169,'Data pick slip'!B:F,5,FALSE)</f>
        <v>KHJ-MC400-00</v>
      </c>
      <c r="D169" s="156"/>
      <c r="E169" s="160" t="s">
        <v>2869</v>
      </c>
      <c r="F169" s="157" t="s">
        <v>2773</v>
      </c>
      <c r="G169" s="158">
        <v>37</v>
      </c>
      <c r="H169" s="148"/>
      <c r="I169" s="146"/>
      <c r="J169" s="146"/>
      <c r="K169" s="149"/>
      <c r="L169" s="150"/>
      <c r="M169" s="149"/>
      <c r="N169" s="151"/>
      <c r="O169" s="151"/>
      <c r="P169" s="146"/>
      <c r="Q169" s="152"/>
      <c r="R169" s="153"/>
      <c r="S169" s="146"/>
      <c r="T169" s="154"/>
      <c r="U169" s="145"/>
    </row>
    <row r="170" spans="1:21" ht="15" customHeight="1">
      <c r="A170" s="159" t="s">
        <v>2750</v>
      </c>
      <c r="B170" s="114" t="str">
        <f>VLOOKUP(A170,'Data pick slip'!B:F,5,FALSE)</f>
        <v>KHJ-MC600-00</v>
      </c>
      <c r="D170" s="156"/>
      <c r="E170" s="160" t="s">
        <v>2869</v>
      </c>
      <c r="F170" s="157" t="s">
        <v>2773</v>
      </c>
      <c r="G170" s="158">
        <v>15</v>
      </c>
      <c r="H170" s="148"/>
      <c r="I170" s="146"/>
      <c r="J170" s="146"/>
      <c r="K170" s="149"/>
      <c r="L170" s="150"/>
      <c r="M170" s="149"/>
      <c r="N170" s="151"/>
      <c r="O170" s="151"/>
      <c r="P170" s="146"/>
      <c r="Q170" s="152"/>
      <c r="R170" s="153"/>
      <c r="S170" s="146"/>
      <c r="T170" s="154"/>
      <c r="U170" s="145"/>
    </row>
    <row r="171" spans="1:21" ht="15" customHeight="1">
      <c r="A171" s="159" t="s">
        <v>2751</v>
      </c>
      <c r="B171" s="114" t="str">
        <f>VLOOKUP(A171,'Data pick slip'!B:F,5,FALSE)</f>
        <v>KHJ-MC700-00</v>
      </c>
      <c r="D171" s="156"/>
      <c r="E171" s="160" t="s">
        <v>2869</v>
      </c>
      <c r="F171" s="157" t="s">
        <v>2773</v>
      </c>
      <c r="G171" s="158">
        <v>1</v>
      </c>
      <c r="H171" s="148"/>
      <c r="I171" s="146"/>
      <c r="J171" s="146"/>
      <c r="K171" s="149"/>
      <c r="L171" s="150"/>
      <c r="M171" s="149"/>
      <c r="N171" s="151"/>
      <c r="O171" s="151"/>
      <c r="P171" s="146"/>
      <c r="Q171" s="152"/>
      <c r="R171" s="153"/>
      <c r="S171" s="146"/>
      <c r="T171" s="154"/>
      <c r="U171" s="145"/>
    </row>
    <row r="172" spans="1:21" ht="15" customHeight="1">
      <c r="A172" s="155" t="s">
        <v>2755</v>
      </c>
      <c r="B172" s="114" t="str">
        <f>VLOOKUP(A172,'Data pick slip'!B:F,5,FALSE)</f>
        <v>KLJ-MC100-00</v>
      </c>
      <c r="C172" s="156">
        <v>109610</v>
      </c>
      <c r="D172" s="156" t="str">
        <f>VLOOKUP(C172,Stock_list!D:L,2,FALSE)</f>
        <v>长沙健科名义</v>
      </c>
      <c r="E172" s="160">
        <f>VLOOKUP(C172,Stock_list!D:L,9,FALSE)</f>
        <v>43665</v>
      </c>
      <c r="F172" s="157" t="s">
        <v>2861</v>
      </c>
      <c r="G172" s="158">
        <v>134</v>
      </c>
      <c r="H172" s="148"/>
      <c r="I172" s="146"/>
      <c r="J172" s="146"/>
      <c r="K172" s="149"/>
      <c r="L172" s="150"/>
      <c r="M172" s="149"/>
      <c r="N172" s="151"/>
      <c r="O172" s="151"/>
      <c r="P172" s="146"/>
      <c r="Q172" s="152"/>
      <c r="R172" s="153"/>
      <c r="S172" s="146"/>
      <c r="T172" s="154"/>
      <c r="U172" s="145"/>
    </row>
    <row r="173" spans="1:21" ht="15" customHeight="1">
      <c r="A173" s="155" t="s">
        <v>2756</v>
      </c>
      <c r="B173" s="114" t="str">
        <f>VLOOKUP(A173,'Data pick slip'!B:F,5,FALSE)</f>
        <v>KLJ-MC200-00</v>
      </c>
      <c r="C173" s="156">
        <v>109610</v>
      </c>
      <c r="D173" s="156" t="str">
        <f>VLOOKUP(C173,Stock_list!D:L,2,FALSE)</f>
        <v>长沙健科名义</v>
      </c>
      <c r="E173" s="160">
        <f>VLOOKUP(C173,Stock_list!D:L,9,FALSE)</f>
        <v>43665</v>
      </c>
      <c r="F173" s="157" t="s">
        <v>2861</v>
      </c>
      <c r="G173" s="158">
        <v>28</v>
      </c>
      <c r="H173" s="148"/>
      <c r="I173" s="146"/>
      <c r="J173" s="146"/>
      <c r="K173" s="149"/>
      <c r="L173" s="150"/>
      <c r="M173" s="149"/>
      <c r="N173" s="151"/>
      <c r="O173" s="151"/>
      <c r="P173" s="146"/>
      <c r="Q173" s="151"/>
      <c r="R173" s="153"/>
      <c r="S173" s="146"/>
      <c r="T173" s="154"/>
      <c r="U173" s="145"/>
    </row>
    <row r="174" spans="1:21" ht="15" customHeight="1">
      <c r="A174" s="155" t="s">
        <v>2757</v>
      </c>
      <c r="B174" s="114" t="str">
        <f>VLOOKUP(A174,'Data pick slip'!B:F,5,FALSE)</f>
        <v>KLJ-MC400-00</v>
      </c>
      <c r="C174" s="156">
        <v>109610</v>
      </c>
      <c r="D174" s="156" t="str">
        <f>VLOOKUP(C174,Stock_list!D:L,2,FALSE)</f>
        <v>长沙健科名义</v>
      </c>
      <c r="E174" s="160">
        <f>VLOOKUP(C174,Stock_list!D:L,9,FALSE)</f>
        <v>43665</v>
      </c>
      <c r="F174" s="157" t="s">
        <v>2861</v>
      </c>
      <c r="G174" s="158">
        <v>16</v>
      </c>
      <c r="H174" s="148"/>
      <c r="I174" s="146"/>
      <c r="J174" s="146"/>
      <c r="K174" s="149"/>
      <c r="L174" s="150"/>
      <c r="M174" s="149"/>
      <c r="N174" s="151"/>
      <c r="O174" s="151"/>
      <c r="P174" s="146"/>
      <c r="Q174" s="152"/>
      <c r="R174" s="153"/>
      <c r="S174" s="146"/>
      <c r="T174" s="154"/>
      <c r="U174" s="145"/>
    </row>
    <row r="175" spans="1:21" ht="15" customHeight="1">
      <c r="A175" s="155" t="s">
        <v>2744</v>
      </c>
      <c r="B175" s="114" t="str">
        <f>VLOOKUP(A175,'Data pick slip'!B:F,5,FALSE)</f>
        <v>KHJ-MC100-00</v>
      </c>
      <c r="C175" s="156">
        <v>109608</v>
      </c>
      <c r="D175" s="156" t="str">
        <f>VLOOKUP(C175,Stock_list!D:L,2,FALSE)</f>
        <v>Special package</v>
      </c>
      <c r="E175" s="160">
        <f>VLOOKUP(C175,Stock_list!D:L,9,FALSE)</f>
        <v>43665</v>
      </c>
      <c r="F175" s="157" t="s">
        <v>2861</v>
      </c>
      <c r="G175" s="158">
        <v>700</v>
      </c>
      <c r="H175" s="148"/>
      <c r="I175" s="146"/>
      <c r="J175" s="146"/>
      <c r="K175" s="149"/>
      <c r="L175" s="150"/>
      <c r="M175" s="149"/>
      <c r="N175" s="151"/>
      <c r="O175" s="151"/>
      <c r="P175" s="146"/>
      <c r="Q175" s="152"/>
      <c r="R175" s="153"/>
      <c r="S175" s="146"/>
      <c r="T175" s="154"/>
      <c r="U175" s="145"/>
    </row>
    <row r="176" spans="1:21" ht="15" customHeight="1">
      <c r="A176" s="159" t="s">
        <v>2744</v>
      </c>
      <c r="B176" s="114" t="str">
        <f>VLOOKUP(A176,'Data pick slip'!B:F,5,FALSE)</f>
        <v>KHJ-MC100-00</v>
      </c>
      <c r="D176" s="156"/>
      <c r="E176" s="160" t="s">
        <v>2870</v>
      </c>
      <c r="F176" s="157" t="s">
        <v>2773</v>
      </c>
      <c r="G176" s="158">
        <v>40</v>
      </c>
      <c r="H176" s="148"/>
      <c r="I176" s="146"/>
      <c r="J176" s="146"/>
      <c r="K176" s="149"/>
      <c r="L176" s="150"/>
      <c r="M176" s="149"/>
      <c r="N176" s="151"/>
      <c r="O176" s="151"/>
      <c r="P176" s="146"/>
      <c r="Q176" s="152"/>
      <c r="R176" s="153"/>
      <c r="S176" s="146"/>
      <c r="T176" s="154"/>
      <c r="U176" s="145"/>
    </row>
    <row r="177" spans="1:21" ht="15" customHeight="1">
      <c r="A177" s="159" t="s">
        <v>2747</v>
      </c>
      <c r="B177" s="114" t="str">
        <f>VLOOKUP(A177,'Data pick slip'!B:F,5,FALSE)</f>
        <v>KHJ-MC200-00</v>
      </c>
      <c r="D177" s="156"/>
      <c r="E177" s="160" t="s">
        <v>2870</v>
      </c>
      <c r="F177" s="157" t="s">
        <v>2773</v>
      </c>
      <c r="G177" s="158">
        <v>10</v>
      </c>
      <c r="H177" s="148"/>
      <c r="I177" s="146"/>
      <c r="J177" s="146"/>
      <c r="K177" s="149"/>
      <c r="L177" s="150"/>
      <c r="M177" s="149"/>
      <c r="N177" s="151"/>
      <c r="O177" s="151"/>
      <c r="P177" s="146"/>
      <c r="Q177" s="152"/>
      <c r="R177" s="153"/>
      <c r="S177" s="146"/>
      <c r="T177" s="154"/>
      <c r="U177" s="145"/>
    </row>
    <row r="178" spans="1:21" ht="15" customHeight="1">
      <c r="A178" s="159" t="s">
        <v>2744</v>
      </c>
      <c r="B178" s="114" t="str">
        <f>VLOOKUP(A178,'Data pick slip'!B:F,5,FALSE)</f>
        <v>KHJ-MC100-00</v>
      </c>
      <c r="D178" s="156"/>
      <c r="E178" s="160" t="s">
        <v>2871</v>
      </c>
      <c r="F178" s="157" t="s">
        <v>2773</v>
      </c>
      <c r="G178" s="158">
        <v>100</v>
      </c>
      <c r="H178" s="148"/>
      <c r="I178" s="146"/>
      <c r="J178" s="146"/>
      <c r="K178" s="149"/>
      <c r="L178" s="150"/>
      <c r="M178" s="149"/>
      <c r="N178" s="151"/>
      <c r="O178" s="151"/>
      <c r="P178" s="146"/>
      <c r="Q178" s="152"/>
      <c r="R178" s="153"/>
      <c r="S178" s="146"/>
      <c r="T178" s="154"/>
      <c r="U178" s="145"/>
    </row>
    <row r="179" spans="1:21" ht="15" customHeight="1">
      <c r="A179" s="159" t="s">
        <v>2747</v>
      </c>
      <c r="B179" s="114" t="str">
        <f>VLOOKUP(A179,'Data pick slip'!B:F,5,FALSE)</f>
        <v>KHJ-MC200-00</v>
      </c>
      <c r="D179" s="156"/>
      <c r="E179" s="160" t="s">
        <v>2871</v>
      </c>
      <c r="F179" s="157" t="s">
        <v>2773</v>
      </c>
      <c r="G179" s="158">
        <v>30</v>
      </c>
      <c r="H179" s="148"/>
      <c r="I179" s="146"/>
      <c r="J179" s="146"/>
      <c r="K179" s="149"/>
      <c r="L179" s="150"/>
      <c r="M179" s="149"/>
      <c r="N179" s="151"/>
      <c r="O179" s="151"/>
      <c r="P179" s="146"/>
      <c r="Q179" s="152"/>
      <c r="R179" s="153"/>
      <c r="S179" s="146"/>
      <c r="T179" s="154"/>
      <c r="U179" s="145"/>
    </row>
    <row r="180" spans="1:21" ht="15" customHeight="1">
      <c r="A180" s="159" t="s">
        <v>2749</v>
      </c>
      <c r="B180" s="114" t="str">
        <f>VLOOKUP(A180,'Data pick slip'!B:F,5,FALSE)</f>
        <v>KHJ-MC500-00</v>
      </c>
      <c r="D180" s="156"/>
      <c r="E180" s="160" t="s">
        <v>2871</v>
      </c>
      <c r="F180" s="157" t="s">
        <v>2773</v>
      </c>
      <c r="G180" s="158">
        <v>5</v>
      </c>
      <c r="H180" s="148"/>
      <c r="I180" s="146"/>
      <c r="J180" s="146"/>
      <c r="K180" s="149"/>
      <c r="L180" s="150"/>
      <c r="M180" s="149"/>
      <c r="N180" s="151"/>
      <c r="O180" s="151"/>
      <c r="P180" s="146"/>
      <c r="Q180" s="152"/>
      <c r="R180" s="153"/>
      <c r="S180" s="146"/>
      <c r="T180" s="154"/>
      <c r="U180" s="145"/>
    </row>
    <row r="181" spans="1:21" ht="15" customHeight="1">
      <c r="A181" s="159" t="s">
        <v>2755</v>
      </c>
      <c r="B181" s="114" t="str">
        <f>VLOOKUP(A181,'Data pick slip'!B:F,5,FALSE)</f>
        <v>KLJ-MC100-00</v>
      </c>
      <c r="D181" s="156"/>
      <c r="E181" s="160" t="s">
        <v>2871</v>
      </c>
      <c r="F181" s="157" t="s">
        <v>2773</v>
      </c>
      <c r="G181" s="158">
        <v>50</v>
      </c>
      <c r="H181" s="148"/>
      <c r="I181" s="146"/>
      <c r="J181" s="146"/>
      <c r="K181" s="149"/>
      <c r="L181" s="150"/>
      <c r="M181" s="149"/>
      <c r="N181" s="151"/>
      <c r="O181" s="151"/>
      <c r="P181" s="146"/>
      <c r="Q181" s="152"/>
      <c r="R181" s="153"/>
      <c r="S181" s="146"/>
      <c r="T181" s="154"/>
      <c r="U181" s="145"/>
    </row>
    <row r="182" spans="1:21" ht="15" customHeight="1">
      <c r="A182" s="155" t="s">
        <v>2755</v>
      </c>
      <c r="B182" s="114" t="str">
        <f>VLOOKUP(A182,'Data pick slip'!B:F,5,FALSE)</f>
        <v>KLJ-MC100-00</v>
      </c>
      <c r="D182" s="156"/>
      <c r="E182" s="160" t="s">
        <v>2872</v>
      </c>
      <c r="F182" s="157" t="s">
        <v>2773</v>
      </c>
      <c r="G182" s="158">
        <v>51</v>
      </c>
      <c r="H182" s="148"/>
      <c r="I182" s="146"/>
      <c r="J182" s="146"/>
      <c r="K182" s="149"/>
      <c r="L182" s="150"/>
      <c r="M182" s="149"/>
      <c r="N182" s="151"/>
      <c r="O182" s="151"/>
      <c r="P182" s="146"/>
      <c r="Q182" s="152"/>
      <c r="R182" s="153"/>
      <c r="S182" s="146"/>
      <c r="T182" s="154"/>
      <c r="U182" s="145"/>
    </row>
    <row r="183" spans="1:21" ht="15" customHeight="1">
      <c r="A183" s="155" t="s">
        <v>2756</v>
      </c>
      <c r="B183" s="114" t="str">
        <f>VLOOKUP(A183,'Data pick slip'!B:F,5,FALSE)</f>
        <v>KLJ-MC200-00</v>
      </c>
      <c r="D183" s="156"/>
      <c r="E183" s="160" t="s">
        <v>2872</v>
      </c>
      <c r="F183" s="157" t="s">
        <v>2773</v>
      </c>
      <c r="G183" s="158">
        <v>29</v>
      </c>
      <c r="H183" s="148"/>
      <c r="I183" s="146"/>
      <c r="J183" s="146"/>
      <c r="K183" s="149"/>
      <c r="L183" s="150"/>
      <c r="M183" s="149"/>
      <c r="N183" s="151"/>
      <c r="O183" s="151"/>
      <c r="P183" s="146"/>
      <c r="Q183" s="151"/>
      <c r="R183" s="153"/>
      <c r="S183" s="146"/>
      <c r="T183" s="154"/>
      <c r="U183" s="145"/>
    </row>
    <row r="184" spans="1:21" ht="15" customHeight="1">
      <c r="A184" s="155" t="s">
        <v>2757</v>
      </c>
      <c r="B184" s="114" t="str">
        <f>VLOOKUP(A184,'Data pick slip'!B:F,5,FALSE)</f>
        <v>KLJ-MC400-00</v>
      </c>
      <c r="D184" s="156"/>
      <c r="E184" s="160" t="s">
        <v>2872</v>
      </c>
      <c r="F184" s="157" t="s">
        <v>2773</v>
      </c>
      <c r="G184" s="158">
        <v>9</v>
      </c>
      <c r="H184" s="148"/>
      <c r="I184" s="146"/>
      <c r="J184" s="146"/>
      <c r="K184" s="149"/>
      <c r="L184" s="150"/>
      <c r="M184" s="149"/>
      <c r="N184" s="151"/>
      <c r="O184" s="151"/>
      <c r="P184" s="146"/>
      <c r="Q184" s="152"/>
      <c r="R184" s="153"/>
      <c r="S184" s="146"/>
      <c r="T184" s="154"/>
      <c r="U184" s="145"/>
    </row>
    <row r="185" spans="1:21" ht="15" customHeight="1">
      <c r="A185" s="155" t="s">
        <v>2747</v>
      </c>
      <c r="B185" s="114" t="str">
        <f>VLOOKUP(A185,'Data pick slip'!B:F,5,FALSE)</f>
        <v>KHJ-MC200-00</v>
      </c>
      <c r="D185" s="156"/>
      <c r="E185" s="160" t="s">
        <v>2872</v>
      </c>
      <c r="F185" s="157" t="s">
        <v>2773</v>
      </c>
      <c r="G185" s="158">
        <v>10</v>
      </c>
      <c r="H185" s="148"/>
      <c r="I185" s="146"/>
      <c r="J185" s="146"/>
      <c r="K185" s="149"/>
      <c r="L185" s="150"/>
      <c r="M185" s="149"/>
      <c r="N185" s="151"/>
      <c r="O185" s="151"/>
      <c r="P185" s="146"/>
      <c r="Q185" s="152"/>
      <c r="R185" s="153"/>
      <c r="S185" s="146"/>
      <c r="T185" s="154"/>
      <c r="U185" s="145"/>
    </row>
    <row r="186" spans="1:21" ht="15" customHeight="1">
      <c r="A186" s="155" t="s">
        <v>2747</v>
      </c>
      <c r="B186" s="114" t="str">
        <f>VLOOKUP(A186,'Data pick slip'!B:F,5,FALSE)</f>
        <v>KHJ-MC200-00</v>
      </c>
      <c r="D186" s="156"/>
      <c r="E186" s="160" t="s">
        <v>2873</v>
      </c>
      <c r="F186" s="157" t="s">
        <v>2773</v>
      </c>
      <c r="G186" s="158">
        <v>30</v>
      </c>
      <c r="H186" s="148"/>
      <c r="I186" s="146"/>
      <c r="J186" s="146"/>
      <c r="K186" s="149"/>
      <c r="L186" s="150"/>
      <c r="M186" s="149"/>
      <c r="N186" s="151"/>
      <c r="O186" s="151"/>
      <c r="P186" s="146"/>
      <c r="Q186" s="152"/>
      <c r="R186" s="153"/>
      <c r="S186" s="146"/>
      <c r="T186" s="154"/>
      <c r="U186" s="145"/>
    </row>
    <row r="187" spans="1:21" ht="15" customHeight="1">
      <c r="A187" s="155" t="s">
        <v>2747</v>
      </c>
      <c r="B187" s="114" t="str">
        <f>VLOOKUP(A187,'Data pick slip'!B:F,5,FALSE)</f>
        <v>KHJ-MC200-00</v>
      </c>
      <c r="D187" s="156"/>
      <c r="E187" s="160" t="s">
        <v>2874</v>
      </c>
      <c r="F187" s="157" t="s">
        <v>2773</v>
      </c>
      <c r="G187" s="158">
        <v>10</v>
      </c>
      <c r="H187" s="148"/>
      <c r="I187" s="146"/>
      <c r="J187" s="146"/>
      <c r="K187" s="149"/>
      <c r="L187" s="150"/>
      <c r="M187" s="149"/>
      <c r="N187" s="151"/>
      <c r="O187" s="151"/>
      <c r="P187" s="146"/>
      <c r="Q187" s="152"/>
      <c r="R187" s="153"/>
      <c r="S187" s="146"/>
      <c r="T187" s="154"/>
      <c r="U187" s="145"/>
    </row>
    <row r="188" spans="1:21" ht="15" customHeight="1">
      <c r="A188" s="155" t="s">
        <v>2744</v>
      </c>
      <c r="B188" s="114" t="str">
        <f>VLOOKUP(A188,'Data pick slip'!B:F,5,FALSE)</f>
        <v>KHJ-MC100-00</v>
      </c>
      <c r="D188" s="156"/>
      <c r="E188" s="160" t="s">
        <v>2875</v>
      </c>
      <c r="F188" s="157" t="s">
        <v>2857</v>
      </c>
      <c r="G188" s="158">
        <v>50</v>
      </c>
      <c r="H188" s="148"/>
      <c r="I188" s="146"/>
      <c r="J188" s="146"/>
      <c r="K188" s="149"/>
      <c r="L188" s="150"/>
      <c r="M188" s="149"/>
      <c r="N188" s="151"/>
      <c r="O188" s="151"/>
      <c r="P188" s="146"/>
      <c r="Q188" s="152"/>
      <c r="R188" s="153"/>
      <c r="S188" s="146"/>
      <c r="T188" s="154"/>
      <c r="U188" s="145"/>
    </row>
    <row r="189" spans="1:21" ht="15" customHeight="1">
      <c r="A189" s="155" t="s">
        <v>2744</v>
      </c>
      <c r="B189" s="114" t="str">
        <f>VLOOKUP(A189,'Data pick slip'!B:F,5,FALSE)</f>
        <v>KHJ-MC100-00</v>
      </c>
      <c r="C189" s="156">
        <v>109664</v>
      </c>
      <c r="D189" s="156" t="str">
        <f>VLOOKUP(C189,Stock_list!D:L,2,FALSE)</f>
        <v>Special package</v>
      </c>
      <c r="E189" s="160">
        <f>VLOOKUP(C189,Stock_list!D:L,9,FALSE)</f>
        <v>43770</v>
      </c>
      <c r="F189" s="157" t="s">
        <v>2861</v>
      </c>
      <c r="G189" s="158">
        <v>80</v>
      </c>
      <c r="H189" s="148"/>
      <c r="I189" s="146"/>
      <c r="J189" s="146"/>
      <c r="K189" s="149"/>
      <c r="L189" s="150"/>
      <c r="M189" s="149"/>
      <c r="N189" s="151"/>
      <c r="O189" s="151"/>
      <c r="P189" s="146"/>
      <c r="Q189" s="152"/>
      <c r="R189" s="153"/>
      <c r="S189" s="146"/>
      <c r="T189" s="154"/>
      <c r="U189" s="145"/>
    </row>
    <row r="190" spans="1:21" ht="15" customHeight="1">
      <c r="A190" s="155" t="s">
        <v>2747</v>
      </c>
      <c r="B190" s="114" t="str">
        <f>VLOOKUP(A190,'Data pick slip'!B:F,5,FALSE)</f>
        <v>KHJ-MC200-00</v>
      </c>
      <c r="C190" s="156">
        <v>109664</v>
      </c>
      <c r="D190" s="156" t="str">
        <f>VLOOKUP(C190,Stock_list!D:L,2,FALSE)</f>
        <v>Special package</v>
      </c>
      <c r="E190" s="160">
        <f>VLOOKUP(C190,Stock_list!D:L,9,FALSE)</f>
        <v>43770</v>
      </c>
      <c r="F190" s="157" t="s">
        <v>2861</v>
      </c>
      <c r="G190" s="158">
        <v>120</v>
      </c>
      <c r="H190" s="148"/>
      <c r="I190" s="146"/>
      <c r="J190" s="146"/>
      <c r="K190" s="149"/>
      <c r="L190" s="150"/>
      <c r="M190" s="149"/>
      <c r="N190" s="151"/>
      <c r="O190" s="151"/>
      <c r="P190" s="146"/>
      <c r="Q190" s="152"/>
      <c r="R190" s="153"/>
      <c r="S190" s="146"/>
      <c r="T190" s="154"/>
      <c r="U190" s="145"/>
    </row>
    <row r="191" spans="1:21" ht="15" customHeight="1">
      <c r="A191" s="155" t="s">
        <v>2748</v>
      </c>
      <c r="B191" s="114" t="str">
        <f>VLOOKUP(A191,'Data pick slip'!B:F,5,FALSE)</f>
        <v>KHJ-MC400-00</v>
      </c>
      <c r="C191" s="156">
        <v>109664</v>
      </c>
      <c r="D191" s="156" t="str">
        <f>VLOOKUP(C191,Stock_list!D:L,2,FALSE)</f>
        <v>Special package</v>
      </c>
      <c r="E191" s="160">
        <f>VLOOKUP(C191,Stock_list!D:L,9,FALSE)</f>
        <v>43770</v>
      </c>
      <c r="F191" s="157" t="s">
        <v>2861</v>
      </c>
      <c r="G191" s="158">
        <v>30</v>
      </c>
      <c r="H191" s="148"/>
      <c r="I191" s="146"/>
      <c r="J191" s="146"/>
      <c r="K191" s="149"/>
      <c r="L191" s="150"/>
      <c r="M191" s="149"/>
      <c r="N191" s="151"/>
      <c r="O191" s="151"/>
      <c r="P191" s="146"/>
      <c r="Q191" s="152"/>
      <c r="R191" s="153"/>
      <c r="S191" s="146"/>
      <c r="T191" s="154"/>
      <c r="U191" s="145"/>
    </row>
    <row r="192" spans="1:21" ht="15" customHeight="1">
      <c r="A192" s="155" t="s">
        <v>2749</v>
      </c>
      <c r="B192" s="114" t="str">
        <f>VLOOKUP(A192,'Data pick slip'!B:F,5,FALSE)</f>
        <v>KHJ-MC500-00</v>
      </c>
      <c r="C192" s="156">
        <v>109664</v>
      </c>
      <c r="D192" s="156" t="str">
        <f>VLOOKUP(C192,Stock_list!D:L,2,FALSE)</f>
        <v>Special package</v>
      </c>
      <c r="E192" s="160">
        <f>VLOOKUP(C192,Stock_list!D:L,9,FALSE)</f>
        <v>43770</v>
      </c>
      <c r="F192" s="157" t="s">
        <v>2861</v>
      </c>
      <c r="G192" s="158">
        <v>10</v>
      </c>
      <c r="H192" s="148"/>
      <c r="I192" s="146"/>
      <c r="J192" s="146"/>
      <c r="K192" s="149"/>
      <c r="L192" s="150"/>
      <c r="M192" s="149"/>
      <c r="N192" s="151"/>
      <c r="O192" s="151"/>
      <c r="P192" s="146"/>
      <c r="Q192" s="152"/>
      <c r="R192" s="153"/>
      <c r="S192" s="146"/>
      <c r="T192" s="154"/>
      <c r="U192" s="145"/>
    </row>
    <row r="193" spans="1:21" ht="15" customHeight="1">
      <c r="A193" s="155" t="s">
        <v>2747</v>
      </c>
      <c r="B193" s="114" t="str">
        <f>VLOOKUP(A193,'Data pick slip'!B:F,5,FALSE)</f>
        <v>KHJ-MC200-00</v>
      </c>
      <c r="C193" s="156">
        <v>109665</v>
      </c>
      <c r="D193" s="156" t="str">
        <f>VLOOKUP(C193,Stock_list!D:L,2,FALSE)</f>
        <v>Special package</v>
      </c>
      <c r="E193" s="160">
        <f>VLOOKUP(C193,Stock_list!D:L,9,FALSE)</f>
        <v>43749</v>
      </c>
      <c r="F193" s="157" t="s">
        <v>2861</v>
      </c>
      <c r="G193" s="158">
        <v>120</v>
      </c>
      <c r="H193" s="148"/>
      <c r="I193" s="146"/>
      <c r="J193" s="146"/>
      <c r="K193" s="149"/>
      <c r="L193" s="150"/>
      <c r="M193" s="149"/>
      <c r="N193" s="151"/>
      <c r="O193" s="151"/>
      <c r="P193" s="146"/>
      <c r="Q193" s="152"/>
      <c r="R193" s="153"/>
      <c r="S193" s="146"/>
      <c r="T193" s="154"/>
      <c r="U193" s="145"/>
    </row>
    <row r="194" spans="1:21" ht="15" customHeight="1">
      <c r="A194" s="155" t="s">
        <v>2747</v>
      </c>
      <c r="B194" s="114" t="str">
        <f>VLOOKUP(A194,'Data pick slip'!B:F,5,FALSE)</f>
        <v>KHJ-MC200-00</v>
      </c>
      <c r="D194" s="156"/>
      <c r="E194" s="160" t="s">
        <v>2876</v>
      </c>
      <c r="F194" s="157" t="s">
        <v>2773</v>
      </c>
      <c r="G194" s="158">
        <v>27</v>
      </c>
      <c r="H194" s="148"/>
      <c r="I194" s="146"/>
      <c r="J194" s="146"/>
      <c r="K194" s="149"/>
      <c r="L194" s="150"/>
      <c r="M194" s="149"/>
      <c r="N194" s="151"/>
      <c r="O194" s="151"/>
      <c r="P194" s="146"/>
      <c r="Q194" s="152"/>
      <c r="R194" s="153"/>
      <c r="S194" s="146"/>
      <c r="T194" s="154"/>
      <c r="U194" s="145"/>
    </row>
    <row r="195" spans="1:21" ht="15" customHeight="1">
      <c r="A195" s="155" t="s">
        <v>2749</v>
      </c>
      <c r="B195" s="114" t="str">
        <f>VLOOKUP(A195,'Data pick slip'!B:F,5,FALSE)</f>
        <v>KHJ-MC500-00</v>
      </c>
      <c r="D195" s="156"/>
      <c r="E195" s="160" t="s">
        <v>2876</v>
      </c>
      <c r="F195" s="157" t="s">
        <v>2773</v>
      </c>
      <c r="G195" s="158">
        <v>9</v>
      </c>
      <c r="H195" s="148"/>
      <c r="I195" s="146"/>
      <c r="J195" s="146"/>
      <c r="K195" s="149"/>
      <c r="L195" s="150"/>
      <c r="M195" s="149"/>
      <c r="N195" s="151"/>
      <c r="O195" s="151"/>
      <c r="P195" s="146"/>
      <c r="Q195" s="152"/>
      <c r="R195" s="153"/>
      <c r="S195" s="146"/>
      <c r="T195" s="154"/>
      <c r="U195" s="145"/>
    </row>
    <row r="196" spans="1:21" ht="15" customHeight="1">
      <c r="A196" s="155" t="s">
        <v>2750</v>
      </c>
      <c r="B196" s="114" t="str">
        <f>VLOOKUP(A196,'Data pick slip'!B:F,5,FALSE)</f>
        <v>KHJ-MC600-00</v>
      </c>
      <c r="D196" s="156"/>
      <c r="E196" s="160" t="s">
        <v>2876</v>
      </c>
      <c r="F196" s="157" t="s">
        <v>2773</v>
      </c>
      <c r="G196" s="158">
        <v>13</v>
      </c>
      <c r="H196" s="148"/>
      <c r="I196" s="146"/>
      <c r="J196" s="146"/>
      <c r="K196" s="149"/>
      <c r="L196" s="150"/>
      <c r="M196" s="149"/>
      <c r="N196" s="151"/>
      <c r="O196" s="151"/>
      <c r="P196" s="146"/>
      <c r="Q196" s="152"/>
      <c r="R196" s="153"/>
      <c r="S196" s="146"/>
      <c r="T196" s="154"/>
      <c r="U196" s="145"/>
    </row>
    <row r="197" spans="1:21" ht="15" customHeight="1">
      <c r="A197" s="155" t="s">
        <v>2747</v>
      </c>
      <c r="B197" s="114" t="str">
        <f>VLOOKUP(A197,'Data pick slip'!B:F,5,FALSE)</f>
        <v>KHJ-MC200-00</v>
      </c>
      <c r="C197" s="161"/>
      <c r="D197" s="161"/>
      <c r="E197" s="301" t="s">
        <v>2877</v>
      </c>
      <c r="F197" s="162" t="s">
        <v>2773</v>
      </c>
      <c r="G197" s="163">
        <v>10</v>
      </c>
      <c r="H197" s="148"/>
      <c r="I197" s="146"/>
      <c r="J197" s="146"/>
      <c r="K197" s="149"/>
      <c r="L197" s="150"/>
      <c r="M197" s="149"/>
      <c r="N197" s="151"/>
      <c r="O197" s="151"/>
      <c r="P197" s="146"/>
      <c r="Q197" s="152"/>
      <c r="R197" s="153"/>
      <c r="S197" s="146"/>
      <c r="T197" s="154"/>
      <c r="U197" s="145"/>
    </row>
    <row r="198" spans="1:21" ht="15" customHeight="1">
      <c r="A198" s="159" t="s">
        <v>2744</v>
      </c>
      <c r="B198" s="114" t="str">
        <f>VLOOKUP(A198,'Data pick slip'!B:F,5,FALSE)</f>
        <v>KHJ-MC100-00</v>
      </c>
      <c r="D198" s="156"/>
      <c r="E198" s="160" t="s">
        <v>2878</v>
      </c>
      <c r="F198" s="157" t="s">
        <v>2773</v>
      </c>
      <c r="G198" s="158">
        <v>50</v>
      </c>
      <c r="H198" s="148"/>
      <c r="I198" s="146"/>
      <c r="J198" s="146"/>
      <c r="K198" s="149"/>
      <c r="L198" s="150"/>
      <c r="M198" s="149"/>
      <c r="N198" s="151"/>
      <c r="O198" s="151"/>
      <c r="P198" s="146"/>
      <c r="Q198" s="152"/>
      <c r="R198" s="153"/>
      <c r="S198" s="146"/>
      <c r="T198" s="154"/>
      <c r="U198" s="145"/>
    </row>
    <row r="199" spans="1:21" ht="15" customHeight="1">
      <c r="A199" s="159" t="s">
        <v>2747</v>
      </c>
      <c r="B199" s="114" t="str">
        <f>VLOOKUP(A199,'Data pick slip'!B:F,5,FALSE)</f>
        <v>KHJ-MC200-00</v>
      </c>
      <c r="D199" s="156"/>
      <c r="E199" s="160" t="s">
        <v>2878</v>
      </c>
      <c r="F199" s="157" t="s">
        <v>2773</v>
      </c>
      <c r="G199" s="158">
        <v>20</v>
      </c>
      <c r="H199" s="148"/>
      <c r="I199" s="146"/>
      <c r="J199" s="146"/>
      <c r="K199" s="149"/>
      <c r="L199" s="150"/>
      <c r="M199" s="149"/>
      <c r="N199" s="151"/>
      <c r="O199" s="151"/>
      <c r="P199" s="146"/>
      <c r="Q199" s="152"/>
      <c r="R199" s="153"/>
      <c r="S199" s="146"/>
      <c r="T199" s="154"/>
      <c r="U199" s="145"/>
    </row>
    <row r="200" spans="1:21" ht="15" customHeight="1">
      <c r="A200" s="159" t="s">
        <v>2748</v>
      </c>
      <c r="B200" s="114" t="str">
        <f>VLOOKUP(A200,'Data pick slip'!B:F,5,FALSE)</f>
        <v>KHJ-MC400-00</v>
      </c>
      <c r="D200" s="156"/>
      <c r="E200" s="160" t="s">
        <v>2878</v>
      </c>
      <c r="F200" s="157" t="s">
        <v>2773</v>
      </c>
      <c r="G200" s="158">
        <v>5</v>
      </c>
      <c r="H200" s="148"/>
      <c r="I200" s="146"/>
      <c r="J200" s="146"/>
      <c r="K200" s="149"/>
      <c r="L200" s="150"/>
      <c r="M200" s="149"/>
      <c r="N200" s="151"/>
      <c r="O200" s="151"/>
      <c r="P200" s="146"/>
      <c r="Q200" s="152"/>
      <c r="R200" s="153"/>
      <c r="S200" s="146"/>
      <c r="T200" s="154"/>
      <c r="U200" s="145"/>
    </row>
    <row r="201" spans="1:21" ht="15" customHeight="1">
      <c r="A201" s="159" t="s">
        <v>2749</v>
      </c>
      <c r="B201" s="114" t="str">
        <f>VLOOKUP(A201,'Data pick slip'!B:F,5,FALSE)</f>
        <v>KHJ-MC500-00</v>
      </c>
      <c r="D201" s="156"/>
      <c r="E201" s="160" t="s">
        <v>2878</v>
      </c>
      <c r="F201" s="157" t="s">
        <v>2773</v>
      </c>
      <c r="G201" s="158">
        <v>10</v>
      </c>
      <c r="H201" s="148"/>
      <c r="I201" s="146"/>
      <c r="J201" s="146"/>
      <c r="K201" s="149"/>
      <c r="L201" s="150"/>
      <c r="M201" s="149"/>
      <c r="N201" s="151"/>
      <c r="O201" s="151"/>
      <c r="P201" s="146"/>
      <c r="Q201" s="152"/>
      <c r="R201" s="153"/>
      <c r="S201" s="146"/>
      <c r="T201" s="154"/>
      <c r="U201" s="145"/>
    </row>
    <row r="202" spans="1:21" ht="15" customHeight="1">
      <c r="A202" s="159" t="s">
        <v>2751</v>
      </c>
      <c r="B202" s="114" t="str">
        <f>VLOOKUP(A202,'Data pick slip'!B:F,5,FALSE)</f>
        <v>KHJ-MC700-00</v>
      </c>
      <c r="D202" s="156"/>
      <c r="E202" s="160" t="s">
        <v>2878</v>
      </c>
      <c r="F202" s="157" t="s">
        <v>2773</v>
      </c>
      <c r="G202" s="158">
        <v>3</v>
      </c>
      <c r="H202" s="148"/>
      <c r="I202" s="146"/>
      <c r="J202" s="146"/>
      <c r="K202" s="149"/>
      <c r="L202" s="150"/>
      <c r="M202" s="149"/>
      <c r="N202" s="151"/>
      <c r="O202" s="151"/>
      <c r="P202" s="146"/>
      <c r="Q202" s="152"/>
      <c r="R202" s="153"/>
      <c r="S202" s="146"/>
      <c r="T202" s="154"/>
      <c r="U202" s="145"/>
    </row>
    <row r="203" spans="1:21" ht="15" customHeight="1">
      <c r="A203" s="155" t="s">
        <v>2747</v>
      </c>
      <c r="B203" s="114" t="str">
        <f>VLOOKUP(A203,'Data pick slip'!B:F,5,FALSE)</f>
        <v>KHJ-MC200-00</v>
      </c>
      <c r="C203" s="156">
        <v>109686</v>
      </c>
      <c r="D203" s="156" t="str">
        <f>VLOOKUP(C203,Stock_list!D:L,2,FALSE)</f>
        <v>Special package</v>
      </c>
      <c r="E203" s="160">
        <f>VLOOKUP(C203,Stock_list!D:L,9,FALSE)</f>
        <v>43756</v>
      </c>
      <c r="F203" s="157" t="s">
        <v>2861</v>
      </c>
      <c r="G203" s="158">
        <v>50</v>
      </c>
      <c r="H203" s="148"/>
      <c r="I203" s="146"/>
      <c r="J203" s="146"/>
      <c r="K203" s="149"/>
      <c r="L203" s="150"/>
      <c r="M203" s="149"/>
      <c r="N203" s="151"/>
      <c r="O203" s="151"/>
      <c r="P203" s="146"/>
      <c r="Q203" s="152"/>
      <c r="R203" s="153"/>
      <c r="S203" s="146"/>
      <c r="T203" s="154"/>
      <c r="U203" s="145"/>
    </row>
    <row r="204" spans="1:21" ht="15" customHeight="1">
      <c r="A204" s="159" t="s">
        <v>2755</v>
      </c>
      <c r="B204" s="114" t="str">
        <f>VLOOKUP(A204,'Data pick slip'!B:F,5,FALSE)</f>
        <v>KLJ-MC100-00</v>
      </c>
      <c r="D204" s="156"/>
      <c r="E204" s="160" t="s">
        <v>2879</v>
      </c>
      <c r="F204" s="157" t="s">
        <v>2773</v>
      </c>
      <c r="G204" s="158">
        <v>200</v>
      </c>
      <c r="H204" s="148"/>
      <c r="I204" s="146"/>
      <c r="J204" s="146"/>
      <c r="K204" s="149"/>
      <c r="L204" s="150"/>
      <c r="M204" s="149"/>
      <c r="N204" s="151"/>
      <c r="O204" s="151"/>
      <c r="P204" s="146"/>
      <c r="Q204" s="152"/>
      <c r="R204" s="153"/>
      <c r="S204" s="146"/>
      <c r="T204" s="154"/>
      <c r="U204" s="145"/>
    </row>
    <row r="205" spans="1:21" ht="15" customHeight="1">
      <c r="A205" s="159" t="s">
        <v>2756</v>
      </c>
      <c r="B205" s="114" t="str">
        <f>VLOOKUP(A205,'Data pick slip'!B:F,5,FALSE)</f>
        <v>KLJ-MC200-00</v>
      </c>
      <c r="D205" s="156"/>
      <c r="E205" s="160" t="s">
        <v>2879</v>
      </c>
      <c r="F205" s="157" t="s">
        <v>2773</v>
      </c>
      <c r="G205" s="158">
        <v>60</v>
      </c>
      <c r="H205" s="148"/>
      <c r="I205" s="146"/>
      <c r="J205" s="146"/>
      <c r="K205" s="149"/>
      <c r="L205" s="150"/>
      <c r="M205" s="149"/>
      <c r="N205" s="151"/>
      <c r="O205" s="151"/>
      <c r="P205" s="146"/>
      <c r="Q205" s="151"/>
      <c r="R205" s="153"/>
      <c r="S205" s="146"/>
      <c r="T205" s="154"/>
      <c r="U205" s="145"/>
    </row>
    <row r="206" spans="1:21" ht="15" customHeight="1">
      <c r="A206" s="159" t="s">
        <v>2757</v>
      </c>
      <c r="B206" s="114" t="str">
        <f>VLOOKUP(A206,'Data pick slip'!B:F,5,FALSE)</f>
        <v>KLJ-MC400-00</v>
      </c>
      <c r="D206" s="156"/>
      <c r="E206" s="160" t="s">
        <v>2879</v>
      </c>
      <c r="F206" s="157" t="s">
        <v>2773</v>
      </c>
      <c r="G206" s="158">
        <v>10</v>
      </c>
      <c r="H206" s="148"/>
      <c r="I206" s="146"/>
      <c r="J206" s="146"/>
      <c r="K206" s="149"/>
      <c r="L206" s="150"/>
      <c r="M206" s="149"/>
      <c r="N206" s="151"/>
      <c r="O206" s="151"/>
      <c r="P206" s="146"/>
      <c r="Q206" s="152"/>
      <c r="R206" s="153"/>
      <c r="S206" s="146"/>
      <c r="T206" s="154"/>
      <c r="U206" s="145"/>
    </row>
    <row r="207" spans="1:21" ht="15" customHeight="1">
      <c r="A207" s="159" t="s">
        <v>2748</v>
      </c>
      <c r="B207" s="114" t="str">
        <f>VLOOKUP(A207,'Data pick slip'!B:F,5,FALSE)</f>
        <v>KHJ-MC400-00</v>
      </c>
      <c r="D207" s="156"/>
      <c r="E207" s="160" t="s">
        <v>2879</v>
      </c>
      <c r="F207" s="157" t="s">
        <v>2773</v>
      </c>
      <c r="G207" s="158">
        <v>14</v>
      </c>
      <c r="H207" s="148"/>
      <c r="I207" s="146"/>
      <c r="J207" s="146"/>
      <c r="K207" s="149"/>
      <c r="L207" s="150"/>
      <c r="M207" s="149"/>
      <c r="N207" s="151"/>
      <c r="O207" s="151"/>
      <c r="P207" s="146"/>
      <c r="Q207" s="152"/>
      <c r="R207" s="153"/>
      <c r="S207" s="146"/>
      <c r="T207" s="154"/>
      <c r="U207" s="145"/>
    </row>
    <row r="208" spans="1:21" ht="15" customHeight="1">
      <c r="A208" s="159" t="s">
        <v>2749</v>
      </c>
      <c r="B208" s="114" t="str">
        <f>VLOOKUP(A208,'Data pick slip'!B:F,5,FALSE)</f>
        <v>KHJ-MC500-00</v>
      </c>
      <c r="D208" s="156"/>
      <c r="E208" s="160" t="s">
        <v>2879</v>
      </c>
      <c r="F208" s="157" t="s">
        <v>2773</v>
      </c>
      <c r="G208" s="158">
        <v>17</v>
      </c>
      <c r="H208" s="148"/>
      <c r="I208" s="146"/>
      <c r="J208" s="146"/>
      <c r="K208" s="149"/>
      <c r="L208" s="150"/>
      <c r="M208" s="149"/>
      <c r="N208" s="151"/>
      <c r="O208" s="151"/>
      <c r="P208" s="146"/>
      <c r="Q208" s="152"/>
      <c r="R208" s="153"/>
      <c r="S208" s="146"/>
      <c r="T208" s="154"/>
      <c r="U208" s="145"/>
    </row>
    <row r="209" spans="1:21" ht="15" customHeight="1">
      <c r="A209" s="159" t="s">
        <v>2744</v>
      </c>
      <c r="B209" s="114" t="str">
        <f>VLOOKUP(A209,'Data pick slip'!B:F,5,FALSE)</f>
        <v>KHJ-MC100-00</v>
      </c>
      <c r="D209" s="156"/>
      <c r="E209" s="160" t="s">
        <v>2880</v>
      </c>
      <c r="F209" s="157" t="s">
        <v>2773</v>
      </c>
      <c r="G209" s="158">
        <v>441</v>
      </c>
      <c r="H209" s="148"/>
      <c r="I209" s="146"/>
      <c r="J209" s="146"/>
      <c r="K209" s="149"/>
      <c r="L209" s="150"/>
      <c r="M209" s="149"/>
      <c r="N209" s="151"/>
      <c r="O209" s="151"/>
      <c r="P209" s="146"/>
      <c r="Q209" s="152"/>
      <c r="R209" s="153"/>
      <c r="S209" s="146"/>
      <c r="T209" s="154"/>
      <c r="U209" s="145"/>
    </row>
    <row r="210" spans="1:21" ht="15" customHeight="1">
      <c r="A210" s="155" t="s">
        <v>2747</v>
      </c>
      <c r="B210" s="114" t="str">
        <f>VLOOKUP(A210,'Data pick slip'!B:F,5,FALSE)</f>
        <v>KHJ-MC200-00</v>
      </c>
      <c r="C210" s="161"/>
      <c r="D210" s="161"/>
      <c r="E210" s="301" t="s">
        <v>2881</v>
      </c>
      <c r="F210" s="162" t="s">
        <v>2773</v>
      </c>
      <c r="G210" s="163">
        <v>30</v>
      </c>
      <c r="H210" s="148"/>
      <c r="I210" s="146"/>
      <c r="J210" s="146"/>
      <c r="K210" s="149"/>
      <c r="L210" s="150"/>
      <c r="M210" s="149"/>
      <c r="N210" s="151"/>
      <c r="O210" s="151"/>
      <c r="P210" s="146"/>
      <c r="Q210" s="152"/>
      <c r="R210" s="153"/>
      <c r="S210" s="146"/>
      <c r="T210" s="154"/>
      <c r="U210" s="145"/>
    </row>
    <row r="211" spans="1:21" ht="15" customHeight="1">
      <c r="A211" s="155" t="s">
        <v>2744</v>
      </c>
      <c r="B211" s="114" t="str">
        <f>VLOOKUP(A211,'Data pick slip'!B:F,5,FALSE)</f>
        <v>KHJ-MC100-00</v>
      </c>
      <c r="C211" s="156">
        <v>109705</v>
      </c>
      <c r="D211" s="156" t="str">
        <f>VLOOKUP(C211,Stock_list!D:L,2,FALSE)</f>
        <v>Special package</v>
      </c>
      <c r="E211" s="160">
        <f>VLOOKUP(C211,Stock_list!D:L,9,FALSE)</f>
        <v>43770</v>
      </c>
      <c r="F211" s="157" t="s">
        <v>2861</v>
      </c>
      <c r="G211" s="158">
        <v>100</v>
      </c>
      <c r="H211" s="148"/>
      <c r="I211" s="146"/>
      <c r="J211" s="146"/>
      <c r="K211" s="149"/>
      <c r="L211" s="150"/>
      <c r="M211" s="149"/>
      <c r="N211" s="151"/>
      <c r="O211" s="151"/>
      <c r="P211" s="146"/>
      <c r="Q211" s="152"/>
      <c r="R211" s="153"/>
      <c r="S211" s="146"/>
      <c r="T211" s="154"/>
      <c r="U211" s="145"/>
    </row>
    <row r="212" spans="1:21" ht="15" customHeight="1">
      <c r="A212" s="155" t="s">
        <v>2747</v>
      </c>
      <c r="B212" s="114" t="str">
        <f>VLOOKUP(A212,'Data pick slip'!B:F,5,FALSE)</f>
        <v>KHJ-MC200-00</v>
      </c>
      <c r="C212" s="156">
        <v>109705</v>
      </c>
      <c r="D212" s="156" t="str">
        <f>VLOOKUP(C212,Stock_list!D:L,2,FALSE)</f>
        <v>Special package</v>
      </c>
      <c r="E212" s="160">
        <f>VLOOKUP(C212,Stock_list!D:L,9,FALSE)</f>
        <v>43770</v>
      </c>
      <c r="F212" s="157" t="s">
        <v>2861</v>
      </c>
      <c r="G212" s="158">
        <v>40</v>
      </c>
      <c r="H212" s="148"/>
      <c r="I212" s="146"/>
      <c r="J212" s="146"/>
      <c r="K212" s="149"/>
      <c r="L212" s="150"/>
      <c r="M212" s="149"/>
      <c r="N212" s="151"/>
      <c r="O212" s="151"/>
      <c r="P212" s="146"/>
      <c r="Q212" s="152"/>
      <c r="R212" s="153"/>
      <c r="S212" s="146"/>
      <c r="T212" s="154"/>
      <c r="U212" s="145"/>
    </row>
    <row r="213" spans="1:21" ht="15" customHeight="1">
      <c r="A213" s="155" t="s">
        <v>2744</v>
      </c>
      <c r="B213" s="114" t="str">
        <f>VLOOKUP(A213,'Data pick slip'!B:F,5,FALSE)</f>
        <v>KHJ-MC100-00</v>
      </c>
      <c r="D213" s="156"/>
      <c r="E213" s="160" t="s">
        <v>2882</v>
      </c>
      <c r="F213" s="157" t="s">
        <v>2773</v>
      </c>
      <c r="G213" s="158">
        <v>160</v>
      </c>
      <c r="H213" s="148"/>
      <c r="I213" s="146"/>
      <c r="J213" s="146"/>
      <c r="K213" s="149"/>
      <c r="L213" s="150"/>
      <c r="M213" s="149"/>
      <c r="N213" s="151"/>
      <c r="O213" s="151"/>
      <c r="P213" s="146"/>
      <c r="Q213" s="152"/>
      <c r="R213" s="153"/>
      <c r="S213" s="146"/>
      <c r="T213" s="154"/>
      <c r="U213" s="145"/>
    </row>
    <row r="214" spans="1:21" ht="15" customHeight="1">
      <c r="A214" s="155" t="s">
        <v>2747</v>
      </c>
      <c r="B214" s="114" t="str">
        <f>VLOOKUP(A214,'Data pick slip'!B:F,5,FALSE)</f>
        <v>KHJ-MC200-00</v>
      </c>
      <c r="D214" s="156"/>
      <c r="E214" s="160" t="s">
        <v>2882</v>
      </c>
      <c r="F214" s="157" t="s">
        <v>2773</v>
      </c>
      <c r="G214" s="158">
        <v>80</v>
      </c>
      <c r="H214" s="148"/>
      <c r="I214" s="146"/>
      <c r="J214" s="146"/>
      <c r="K214" s="149"/>
      <c r="L214" s="150"/>
      <c r="M214" s="149"/>
      <c r="N214" s="151"/>
      <c r="O214" s="151"/>
      <c r="P214" s="146"/>
      <c r="Q214" s="152"/>
      <c r="R214" s="153"/>
      <c r="S214" s="146"/>
      <c r="T214" s="154"/>
      <c r="U214" s="145"/>
    </row>
    <row r="215" spans="1:21" ht="15" customHeight="1">
      <c r="A215" s="155" t="s">
        <v>2748</v>
      </c>
      <c r="B215" s="114" t="str">
        <f>VLOOKUP(A215,'Data pick slip'!B:F,5,FALSE)</f>
        <v>KHJ-MC400-00</v>
      </c>
      <c r="D215" s="156"/>
      <c r="E215" s="160" t="s">
        <v>2882</v>
      </c>
      <c r="F215" s="157" t="s">
        <v>2773</v>
      </c>
      <c r="G215" s="158">
        <v>20</v>
      </c>
      <c r="H215" s="148"/>
      <c r="I215" s="146"/>
      <c r="J215" s="146"/>
      <c r="K215" s="149"/>
      <c r="L215" s="150"/>
      <c r="M215" s="149"/>
      <c r="N215" s="151"/>
      <c r="O215" s="151"/>
      <c r="P215" s="146"/>
      <c r="Q215" s="152"/>
      <c r="R215" s="153"/>
      <c r="S215" s="146"/>
      <c r="T215" s="154"/>
      <c r="U215" s="145"/>
    </row>
    <row r="216" spans="1:21" ht="15" customHeight="1">
      <c r="A216" s="155" t="s">
        <v>2744</v>
      </c>
      <c r="B216" s="114" t="str">
        <f>VLOOKUP(A216,'Data pick slip'!B:F,5,FALSE)</f>
        <v>KHJ-MC100-00</v>
      </c>
      <c r="D216" s="156"/>
      <c r="E216" s="160" t="s">
        <v>2882</v>
      </c>
      <c r="F216" s="157" t="s">
        <v>2773</v>
      </c>
      <c r="G216" s="158">
        <v>50</v>
      </c>
      <c r="H216" s="148"/>
      <c r="I216" s="146"/>
      <c r="J216" s="146"/>
      <c r="K216" s="149"/>
      <c r="L216" s="150"/>
      <c r="M216" s="149"/>
      <c r="N216" s="151"/>
      <c r="O216" s="151"/>
      <c r="P216" s="146"/>
      <c r="Q216" s="152"/>
      <c r="R216" s="153"/>
      <c r="S216" s="146"/>
      <c r="T216" s="154"/>
      <c r="U216" s="145"/>
    </row>
    <row r="217" spans="1:21" ht="15" customHeight="1">
      <c r="A217" s="159" t="s">
        <v>2744</v>
      </c>
      <c r="B217" s="114" t="str">
        <f>VLOOKUP(A217,'Data pick slip'!B:F,5,FALSE)</f>
        <v>KHJ-MC100-00</v>
      </c>
      <c r="D217" s="156"/>
      <c r="E217" s="160" t="s">
        <v>2883</v>
      </c>
      <c r="F217" s="157" t="s">
        <v>2773</v>
      </c>
      <c r="G217" s="158">
        <v>300</v>
      </c>
      <c r="H217" s="148"/>
      <c r="I217" s="146"/>
      <c r="J217" s="146"/>
      <c r="K217" s="149"/>
      <c r="L217" s="150"/>
      <c r="M217" s="149"/>
      <c r="N217" s="151"/>
      <c r="O217" s="151"/>
      <c r="P217" s="146"/>
      <c r="Q217" s="152"/>
      <c r="R217" s="153"/>
      <c r="S217" s="146"/>
      <c r="T217" s="154"/>
      <c r="U217" s="145"/>
    </row>
    <row r="218" spans="1:21" ht="15" customHeight="1">
      <c r="A218" s="159" t="s">
        <v>2758</v>
      </c>
      <c r="B218" s="114" t="str">
        <f>VLOOKUP(A218,'Data pick slip'!B:F,5,FALSE)</f>
        <v>KLJ-MC500-00</v>
      </c>
      <c r="D218" s="156"/>
      <c r="E218" s="160" t="s">
        <v>2883</v>
      </c>
      <c r="F218" s="157" t="s">
        <v>2773</v>
      </c>
      <c r="G218" s="158">
        <v>5</v>
      </c>
      <c r="H218" s="148"/>
      <c r="I218" s="146"/>
      <c r="J218" s="146"/>
      <c r="K218" s="149"/>
      <c r="L218" s="150"/>
      <c r="M218" s="149"/>
      <c r="N218" s="151"/>
      <c r="O218" s="151"/>
      <c r="P218" s="146"/>
      <c r="Q218" s="152"/>
      <c r="R218" s="153"/>
      <c r="S218" s="146"/>
      <c r="T218" s="154"/>
      <c r="U218" s="145"/>
    </row>
    <row r="219" spans="1:21" ht="15" customHeight="1">
      <c r="A219" s="159" t="s">
        <v>2748</v>
      </c>
      <c r="B219" s="114" t="str">
        <f>VLOOKUP(A219,'Data pick slip'!B:F,5,FALSE)</f>
        <v>KHJ-MC400-00</v>
      </c>
      <c r="D219" s="156"/>
      <c r="E219" s="160" t="s">
        <v>2883</v>
      </c>
      <c r="F219" s="157" t="s">
        <v>2773</v>
      </c>
      <c r="G219" s="158">
        <v>20</v>
      </c>
      <c r="H219" s="148"/>
      <c r="I219" s="146"/>
      <c r="J219" s="146"/>
      <c r="K219" s="149"/>
      <c r="L219" s="150"/>
      <c r="M219" s="149"/>
      <c r="N219" s="151"/>
      <c r="O219" s="151"/>
      <c r="P219" s="146"/>
      <c r="Q219" s="152"/>
      <c r="R219" s="153"/>
      <c r="S219" s="146"/>
      <c r="T219" s="154"/>
      <c r="U219" s="145"/>
    </row>
    <row r="220" spans="1:21" ht="15" customHeight="1">
      <c r="A220" s="155" t="s">
        <v>2744</v>
      </c>
      <c r="B220" s="114" t="str">
        <f>VLOOKUP(A220,'Data pick slip'!B:F,5,FALSE)</f>
        <v>KHJ-MC100-00</v>
      </c>
      <c r="C220" s="156">
        <v>109715</v>
      </c>
      <c r="D220" s="156" t="str">
        <f>VLOOKUP(C220,Stock_list!D:L,2,FALSE)</f>
        <v>Special package</v>
      </c>
      <c r="E220" s="160">
        <f>VLOOKUP(C220,Stock_list!D:L,9,FALSE)</f>
        <v>43763</v>
      </c>
      <c r="F220" s="157" t="s">
        <v>2861</v>
      </c>
      <c r="G220" s="158">
        <v>80</v>
      </c>
      <c r="H220" s="148"/>
      <c r="I220" s="146"/>
      <c r="J220" s="146"/>
      <c r="K220" s="149"/>
      <c r="L220" s="150"/>
      <c r="M220" s="149"/>
      <c r="N220" s="151"/>
      <c r="O220" s="151"/>
      <c r="P220" s="146"/>
      <c r="Q220" s="152"/>
      <c r="R220" s="153"/>
      <c r="S220" s="146"/>
      <c r="T220" s="154"/>
      <c r="U220" s="145"/>
    </row>
    <row r="221" spans="1:21" ht="15" customHeight="1">
      <c r="A221" s="155" t="s">
        <v>2747</v>
      </c>
      <c r="B221" s="114" t="str">
        <f>VLOOKUP(A221,'Data pick slip'!B:F,5,FALSE)</f>
        <v>KHJ-MC200-00</v>
      </c>
      <c r="C221" s="156">
        <v>109715</v>
      </c>
      <c r="D221" s="156" t="str">
        <f>VLOOKUP(C221,Stock_list!D:L,2,FALSE)</f>
        <v>Special package</v>
      </c>
      <c r="E221" s="160">
        <f>VLOOKUP(C221,Stock_list!D:L,9,FALSE)</f>
        <v>43763</v>
      </c>
      <c r="F221" s="157" t="s">
        <v>2861</v>
      </c>
      <c r="G221" s="158">
        <v>15</v>
      </c>
      <c r="H221" s="148"/>
      <c r="I221" s="146"/>
      <c r="J221" s="146"/>
      <c r="K221" s="149"/>
      <c r="L221" s="150"/>
      <c r="M221" s="149"/>
      <c r="N221" s="151"/>
      <c r="O221" s="151"/>
      <c r="P221" s="146"/>
      <c r="Q221" s="152"/>
      <c r="R221" s="153"/>
      <c r="S221" s="146"/>
      <c r="T221" s="154"/>
      <c r="U221" s="145"/>
    </row>
    <row r="222" spans="1:21" ht="15" customHeight="1">
      <c r="A222" s="155" t="s">
        <v>2748</v>
      </c>
      <c r="B222" s="114" t="str">
        <f>VLOOKUP(A222,'Data pick slip'!B:F,5,FALSE)</f>
        <v>KHJ-MC400-00</v>
      </c>
      <c r="C222" s="156">
        <v>109715</v>
      </c>
      <c r="D222" s="156" t="str">
        <f>VLOOKUP(C222,Stock_list!D:L,2,FALSE)</f>
        <v>Special package</v>
      </c>
      <c r="E222" s="160">
        <f>VLOOKUP(C222,Stock_list!D:L,9,FALSE)</f>
        <v>43763</v>
      </c>
      <c r="F222" s="157" t="s">
        <v>2861</v>
      </c>
      <c r="G222" s="158">
        <v>5</v>
      </c>
      <c r="H222" s="148"/>
      <c r="I222" s="146"/>
      <c r="J222" s="146"/>
      <c r="K222" s="149"/>
      <c r="L222" s="150"/>
      <c r="M222" s="149"/>
      <c r="N222" s="151"/>
      <c r="O222" s="151"/>
      <c r="P222" s="146"/>
      <c r="Q222" s="152"/>
      <c r="R222" s="153"/>
      <c r="S222" s="146"/>
      <c r="T222" s="154"/>
      <c r="U222" s="145"/>
    </row>
    <row r="223" spans="1:21" ht="15" customHeight="1">
      <c r="A223" s="155" t="s">
        <v>2747</v>
      </c>
      <c r="B223" s="114" t="str">
        <f>VLOOKUP(A223,'Data pick slip'!B:F,5,FALSE)</f>
        <v>KHJ-MC200-00</v>
      </c>
      <c r="C223" s="161"/>
      <c r="D223" s="161"/>
      <c r="E223" s="301" t="s">
        <v>2884</v>
      </c>
      <c r="F223" s="162" t="s">
        <v>2773</v>
      </c>
      <c r="G223" s="163">
        <v>40</v>
      </c>
      <c r="H223" s="148"/>
      <c r="I223" s="146"/>
      <c r="J223" s="146"/>
      <c r="K223" s="149"/>
      <c r="L223" s="150"/>
      <c r="M223" s="149"/>
      <c r="N223" s="151"/>
      <c r="O223" s="151"/>
      <c r="P223" s="146"/>
      <c r="Q223" s="152"/>
      <c r="R223" s="153"/>
      <c r="S223" s="146"/>
      <c r="T223" s="154"/>
      <c r="U223" s="145"/>
    </row>
    <row r="224" spans="1:21" ht="15" customHeight="1">
      <c r="A224" s="159" t="s">
        <v>2744</v>
      </c>
      <c r="B224" s="114" t="str">
        <f>VLOOKUP(A224,'Data pick slip'!B:F,5,FALSE)</f>
        <v>KHJ-MC100-00</v>
      </c>
      <c r="D224" s="156"/>
      <c r="E224" s="160" t="s">
        <v>2885</v>
      </c>
      <c r="F224" s="157" t="s">
        <v>2773</v>
      </c>
      <c r="G224" s="158">
        <v>315</v>
      </c>
      <c r="H224" s="148"/>
      <c r="I224" s="146"/>
      <c r="J224" s="146"/>
      <c r="K224" s="149"/>
      <c r="L224" s="150"/>
      <c r="M224" s="149"/>
      <c r="N224" s="151"/>
      <c r="O224" s="151"/>
      <c r="P224" s="146"/>
      <c r="Q224" s="152"/>
      <c r="R224" s="153"/>
      <c r="S224" s="146"/>
      <c r="T224" s="154"/>
      <c r="U224" s="145"/>
    </row>
    <row r="225" spans="1:21" ht="15" customHeight="1">
      <c r="A225" s="159" t="s">
        <v>2748</v>
      </c>
      <c r="B225" s="114" t="str">
        <f>VLOOKUP(A225,'Data pick slip'!B:F,5,FALSE)</f>
        <v>KHJ-MC400-00</v>
      </c>
      <c r="D225" s="156"/>
      <c r="E225" s="160" t="s">
        <v>2885</v>
      </c>
      <c r="F225" s="157" t="s">
        <v>2773</v>
      </c>
      <c r="G225" s="158">
        <v>20</v>
      </c>
      <c r="H225" s="148"/>
      <c r="I225" s="146"/>
      <c r="J225" s="146"/>
      <c r="K225" s="149"/>
      <c r="L225" s="150"/>
      <c r="M225" s="149"/>
      <c r="N225" s="151"/>
      <c r="O225" s="151"/>
      <c r="P225" s="146"/>
      <c r="Q225" s="152"/>
      <c r="R225" s="153"/>
      <c r="S225" s="146"/>
      <c r="T225" s="154"/>
      <c r="U225" s="145"/>
    </row>
    <row r="226" spans="1:21" ht="15" customHeight="1">
      <c r="A226" s="159" t="s">
        <v>2744</v>
      </c>
      <c r="B226" s="114" t="str">
        <f>VLOOKUP(A226,'Data pick slip'!B:F,5,FALSE)</f>
        <v>KHJ-MC100-00</v>
      </c>
      <c r="D226" s="156"/>
      <c r="E226" s="160" t="s">
        <v>2886</v>
      </c>
      <c r="F226" s="157" t="s">
        <v>2773</v>
      </c>
      <c r="G226" s="158">
        <v>140</v>
      </c>
      <c r="H226" s="148"/>
      <c r="I226" s="146"/>
      <c r="J226" s="146"/>
      <c r="K226" s="149"/>
      <c r="L226" s="150"/>
      <c r="M226" s="149"/>
      <c r="N226" s="151"/>
      <c r="O226" s="151"/>
      <c r="P226" s="146"/>
      <c r="Q226" s="152"/>
      <c r="R226" s="153"/>
      <c r="S226" s="146"/>
      <c r="T226" s="154"/>
      <c r="U226" s="145"/>
    </row>
    <row r="227" spans="1:21" ht="15" customHeight="1">
      <c r="A227" s="159" t="s">
        <v>2749</v>
      </c>
      <c r="B227" s="114" t="str">
        <f>VLOOKUP(A227,'Data pick slip'!B:F,5,FALSE)</f>
        <v>KHJ-MC500-00</v>
      </c>
      <c r="D227" s="156"/>
      <c r="E227" s="160" t="s">
        <v>2886</v>
      </c>
      <c r="F227" s="157" t="s">
        <v>2773</v>
      </c>
      <c r="G227" s="158">
        <v>2</v>
      </c>
      <c r="H227" s="148"/>
      <c r="I227" s="146"/>
      <c r="J227" s="146"/>
      <c r="K227" s="149"/>
      <c r="L227" s="150"/>
      <c r="M227" s="149"/>
      <c r="N227" s="151"/>
      <c r="O227" s="151"/>
      <c r="P227" s="146"/>
      <c r="Q227" s="152"/>
      <c r="R227" s="153"/>
      <c r="S227" s="146"/>
      <c r="T227" s="154"/>
      <c r="U227" s="145"/>
    </row>
    <row r="228" spans="1:21" ht="15" customHeight="1">
      <c r="A228" s="155" t="s">
        <v>2744</v>
      </c>
      <c r="B228" s="114" t="str">
        <f>VLOOKUP(A228,'Data pick slip'!B:F,5,FALSE)</f>
        <v>KHJ-MC100-00</v>
      </c>
      <c r="C228" s="156">
        <v>109721</v>
      </c>
      <c r="D228" s="156" t="str">
        <f>VLOOKUP(C228,Stock_list!D:L,2,FALSE)</f>
        <v>Special package</v>
      </c>
      <c r="E228" s="160">
        <f>VLOOKUP(C228,Stock_list!D:L,9,FALSE)</f>
        <v>43803</v>
      </c>
      <c r="F228" s="157" t="s">
        <v>2861</v>
      </c>
      <c r="G228" s="158">
        <v>100</v>
      </c>
      <c r="H228" s="148"/>
      <c r="I228" s="146"/>
      <c r="J228" s="146"/>
      <c r="K228" s="149"/>
      <c r="L228" s="150"/>
      <c r="M228" s="149"/>
      <c r="N228" s="151"/>
      <c r="O228" s="151"/>
      <c r="P228" s="146"/>
      <c r="Q228" s="152"/>
      <c r="R228" s="153"/>
      <c r="S228" s="146"/>
      <c r="T228" s="154"/>
      <c r="U228" s="145"/>
    </row>
    <row r="229" spans="1:21" ht="15" customHeight="1">
      <c r="A229" s="155" t="s">
        <v>2744</v>
      </c>
      <c r="B229" s="114" t="str">
        <f>VLOOKUP(A229,'Data pick slip'!B:F,5,FALSE)</f>
        <v>KHJ-MC100-00</v>
      </c>
      <c r="C229" s="156">
        <v>109723</v>
      </c>
      <c r="D229" s="156" t="str">
        <f>VLOOKUP(C229,Stock_list!D:L,2,FALSE)</f>
        <v>博星名义下单</v>
      </c>
      <c r="E229" s="160">
        <f>VLOOKUP(C229,Stock_list!D:L,9,FALSE)</f>
        <v>43824</v>
      </c>
      <c r="F229" s="157" t="s">
        <v>2861</v>
      </c>
      <c r="G229" s="158">
        <v>500</v>
      </c>
      <c r="H229" s="148"/>
      <c r="I229" s="146"/>
      <c r="J229" s="146"/>
      <c r="K229" s="149"/>
      <c r="L229" s="150"/>
      <c r="M229" s="149"/>
      <c r="N229" s="151"/>
      <c r="O229" s="151"/>
      <c r="P229" s="146"/>
      <c r="Q229" s="152"/>
      <c r="R229" s="153"/>
      <c r="S229" s="146"/>
      <c r="T229" s="154"/>
      <c r="U229" s="145"/>
    </row>
    <row r="230" spans="1:21" ht="15" customHeight="1">
      <c r="A230" s="155" t="s">
        <v>2747</v>
      </c>
      <c r="B230" s="114" t="str">
        <f>VLOOKUP(A230,'Data pick slip'!B:F,5,FALSE)</f>
        <v>KHJ-MC200-00</v>
      </c>
      <c r="C230" s="156">
        <v>109723</v>
      </c>
      <c r="D230" s="156" t="str">
        <f>VLOOKUP(C230,Stock_list!D:L,2,FALSE)</f>
        <v>博星名义下单</v>
      </c>
      <c r="E230" s="160">
        <f>VLOOKUP(C230,Stock_list!D:L,9,FALSE)</f>
        <v>43824</v>
      </c>
      <c r="F230" s="157" t="s">
        <v>2861</v>
      </c>
      <c r="G230" s="158">
        <v>100</v>
      </c>
      <c r="H230" s="148"/>
      <c r="I230" s="146"/>
      <c r="J230" s="146"/>
      <c r="K230" s="149"/>
      <c r="L230" s="150"/>
      <c r="M230" s="149"/>
      <c r="N230" s="151"/>
      <c r="O230" s="151"/>
      <c r="P230" s="146"/>
      <c r="Q230" s="152"/>
      <c r="R230" s="153"/>
      <c r="S230" s="146"/>
      <c r="T230" s="154"/>
      <c r="U230" s="145"/>
    </row>
    <row r="231" spans="1:21" ht="15" customHeight="1">
      <c r="A231" s="155" t="s">
        <v>2748</v>
      </c>
      <c r="B231" s="114" t="str">
        <f>VLOOKUP(A231,'Data pick slip'!B:F,5,FALSE)</f>
        <v>KHJ-MC400-00</v>
      </c>
      <c r="C231" s="156">
        <v>109723</v>
      </c>
      <c r="D231" s="156" t="str">
        <f>VLOOKUP(C231,Stock_list!D:L,2,FALSE)</f>
        <v>博星名义下单</v>
      </c>
      <c r="E231" s="160">
        <f>VLOOKUP(C231,Stock_list!D:L,9,FALSE)</f>
        <v>43824</v>
      </c>
      <c r="F231" s="157" t="s">
        <v>2861</v>
      </c>
      <c r="G231" s="158">
        <v>20</v>
      </c>
      <c r="H231" s="148"/>
      <c r="I231" s="146"/>
      <c r="J231" s="146"/>
      <c r="K231" s="149"/>
      <c r="L231" s="150"/>
      <c r="M231" s="149"/>
      <c r="N231" s="151"/>
      <c r="O231" s="151"/>
      <c r="P231" s="146"/>
      <c r="Q231" s="152"/>
      <c r="R231" s="153"/>
      <c r="S231" s="146"/>
      <c r="T231" s="154"/>
      <c r="U231" s="145"/>
    </row>
    <row r="232" spans="1:21" ht="15" customHeight="1">
      <c r="A232" s="155" t="s">
        <v>2749</v>
      </c>
      <c r="B232" s="114" t="str">
        <f>VLOOKUP(A232,'Data pick slip'!B:F,5,FALSE)</f>
        <v>KHJ-MC500-00</v>
      </c>
      <c r="C232" s="156">
        <v>109723</v>
      </c>
      <c r="D232" s="156" t="str">
        <f>VLOOKUP(C232,Stock_list!D:L,2,FALSE)</f>
        <v>博星名义下单</v>
      </c>
      <c r="E232" s="160">
        <f>VLOOKUP(C232,Stock_list!D:L,9,FALSE)</f>
        <v>43824</v>
      </c>
      <c r="F232" s="157" t="s">
        <v>2861</v>
      </c>
      <c r="G232" s="158">
        <v>20</v>
      </c>
      <c r="H232" s="148"/>
      <c r="I232" s="146"/>
      <c r="J232" s="146"/>
      <c r="K232" s="149"/>
      <c r="L232" s="150"/>
      <c r="M232" s="149"/>
      <c r="N232" s="151"/>
      <c r="O232" s="151"/>
      <c r="P232" s="146"/>
      <c r="Q232" s="152"/>
      <c r="R232" s="153"/>
      <c r="S232" s="146"/>
      <c r="T232" s="154"/>
      <c r="U232" s="145"/>
    </row>
    <row r="233" spans="1:21" ht="15" customHeight="1">
      <c r="A233" s="155" t="s">
        <v>2747</v>
      </c>
      <c r="B233" s="114" t="str">
        <f>VLOOKUP(A233,'Data pick slip'!B:F,5,FALSE)</f>
        <v>KHJ-MC200-00</v>
      </c>
      <c r="C233" s="161"/>
      <c r="D233" s="161"/>
      <c r="E233" s="301" t="s">
        <v>2887</v>
      </c>
      <c r="F233" s="162" t="s">
        <v>2773</v>
      </c>
      <c r="G233" s="163">
        <v>20</v>
      </c>
      <c r="H233" s="148"/>
      <c r="I233" s="146"/>
      <c r="J233" s="146"/>
      <c r="K233" s="149"/>
      <c r="L233" s="150"/>
      <c r="M233" s="149"/>
      <c r="N233" s="151"/>
      <c r="O233" s="151"/>
      <c r="P233" s="146"/>
      <c r="Q233" s="152"/>
      <c r="R233" s="153"/>
      <c r="S233" s="146"/>
      <c r="T233" s="154"/>
      <c r="U233" s="145"/>
    </row>
    <row r="234" spans="1:21" ht="15" customHeight="1">
      <c r="A234" s="155" t="s">
        <v>2747</v>
      </c>
      <c r="B234" s="114" t="str">
        <f>VLOOKUP(A234,'Data pick slip'!B:F,5,FALSE)</f>
        <v>KHJ-MC200-00</v>
      </c>
      <c r="D234" s="156"/>
      <c r="E234" s="160" t="s">
        <v>2888</v>
      </c>
      <c r="F234" s="157" t="s">
        <v>2773</v>
      </c>
      <c r="G234" s="158">
        <v>120</v>
      </c>
      <c r="H234" s="148"/>
      <c r="I234" s="146"/>
      <c r="J234" s="146"/>
      <c r="K234" s="149"/>
      <c r="L234" s="150"/>
      <c r="M234" s="149"/>
      <c r="N234" s="151"/>
      <c r="O234" s="151"/>
      <c r="P234" s="146"/>
      <c r="Q234" s="152"/>
      <c r="R234" s="153"/>
      <c r="S234" s="146"/>
      <c r="T234" s="154"/>
      <c r="U234" s="145"/>
    </row>
    <row r="235" spans="1:21" ht="15" customHeight="1">
      <c r="A235" s="155" t="s">
        <v>2755</v>
      </c>
      <c r="B235" s="114" t="str">
        <f>VLOOKUP(A235,'Data pick slip'!B:F,5,FALSE)</f>
        <v>KLJ-MC100-00</v>
      </c>
      <c r="C235" s="156">
        <v>109730</v>
      </c>
      <c r="D235" s="156" t="str">
        <f>VLOOKUP(C235,Stock_list!D:L,2,FALSE)</f>
        <v>博星名义下单</v>
      </c>
      <c r="E235" s="160">
        <f>VLOOKUP(C235,Stock_list!D:L,9,FALSE)</f>
        <v>43810</v>
      </c>
      <c r="F235" s="157" t="s">
        <v>2861</v>
      </c>
      <c r="G235" s="158">
        <v>400</v>
      </c>
      <c r="H235" s="148"/>
      <c r="I235" s="146"/>
      <c r="J235" s="146"/>
      <c r="K235" s="149"/>
      <c r="L235" s="150"/>
      <c r="M235" s="149"/>
      <c r="N235" s="151"/>
      <c r="O235" s="151"/>
      <c r="P235" s="146"/>
      <c r="Q235" s="152"/>
      <c r="R235" s="153"/>
      <c r="S235" s="146"/>
      <c r="T235" s="154"/>
      <c r="U235" s="145"/>
    </row>
    <row r="236" spans="1:21" ht="15" customHeight="1">
      <c r="A236" s="155" t="s">
        <v>2756</v>
      </c>
      <c r="B236" s="114" t="str">
        <f>VLOOKUP(A236,'Data pick slip'!B:F,5,FALSE)</f>
        <v>KLJ-MC200-00</v>
      </c>
      <c r="C236" s="156">
        <v>109730</v>
      </c>
      <c r="D236" s="156" t="str">
        <f>VLOOKUP(C236,Stock_list!D:L,2,FALSE)</f>
        <v>博星名义下单</v>
      </c>
      <c r="E236" s="160">
        <f>VLOOKUP(C236,Stock_list!D:L,9,FALSE)</f>
        <v>43810</v>
      </c>
      <c r="F236" s="157" t="s">
        <v>2861</v>
      </c>
      <c r="G236" s="158">
        <v>200</v>
      </c>
      <c r="H236" s="148"/>
      <c r="I236" s="146"/>
      <c r="J236" s="146"/>
      <c r="K236" s="149"/>
      <c r="L236" s="150"/>
      <c r="M236" s="149"/>
      <c r="N236" s="151"/>
      <c r="O236" s="151"/>
      <c r="P236" s="146"/>
      <c r="Q236" s="151"/>
      <c r="R236" s="153"/>
      <c r="S236" s="146"/>
      <c r="T236" s="154"/>
      <c r="U236" s="145"/>
    </row>
    <row r="237" spans="1:21" ht="15" customHeight="1">
      <c r="A237" s="155" t="s">
        <v>2757</v>
      </c>
      <c r="B237" s="114" t="str">
        <f>VLOOKUP(A237,'Data pick slip'!B:F,5,FALSE)</f>
        <v>KLJ-MC400-00</v>
      </c>
      <c r="C237" s="156">
        <v>109730</v>
      </c>
      <c r="D237" s="156" t="str">
        <f>VLOOKUP(C237,Stock_list!D:L,2,FALSE)</f>
        <v>博星名义下单</v>
      </c>
      <c r="E237" s="160">
        <f>VLOOKUP(C237,Stock_list!D:L,9,FALSE)</f>
        <v>43810</v>
      </c>
      <c r="F237" s="157" t="s">
        <v>2861</v>
      </c>
      <c r="G237" s="158">
        <v>20</v>
      </c>
      <c r="H237" s="148"/>
      <c r="I237" s="146"/>
      <c r="J237" s="146"/>
      <c r="K237" s="149"/>
      <c r="L237" s="150"/>
      <c r="M237" s="149"/>
      <c r="N237" s="151"/>
      <c r="O237" s="151"/>
      <c r="P237" s="146"/>
      <c r="Q237" s="152"/>
      <c r="R237" s="153"/>
      <c r="S237" s="146"/>
      <c r="T237" s="154"/>
      <c r="U237" s="145"/>
    </row>
    <row r="238" spans="1:21" ht="15" customHeight="1">
      <c r="A238" s="155" t="s">
        <v>2758</v>
      </c>
      <c r="B238" s="114" t="str">
        <f>VLOOKUP(A238,'Data pick slip'!B:F,5,FALSE)</f>
        <v>KLJ-MC500-00</v>
      </c>
      <c r="C238" s="156">
        <v>109730</v>
      </c>
      <c r="D238" s="156" t="str">
        <f>VLOOKUP(C238,Stock_list!D:L,2,FALSE)</f>
        <v>博星名义下单</v>
      </c>
      <c r="E238" s="160">
        <f>VLOOKUP(C238,Stock_list!D:L,9,FALSE)</f>
        <v>43810</v>
      </c>
      <c r="F238" s="157" t="s">
        <v>2861</v>
      </c>
      <c r="G238" s="158">
        <v>5</v>
      </c>
      <c r="H238" s="148"/>
      <c r="I238" s="146"/>
      <c r="J238" s="146"/>
      <c r="K238" s="149"/>
      <c r="L238" s="150"/>
      <c r="M238" s="149"/>
      <c r="N238" s="151"/>
      <c r="O238" s="151"/>
      <c r="P238" s="146"/>
      <c r="Q238" s="152"/>
      <c r="R238" s="153"/>
      <c r="S238" s="146"/>
      <c r="T238" s="154"/>
      <c r="U238" s="145"/>
    </row>
    <row r="239" spans="1:21" ht="15" customHeight="1">
      <c r="A239" s="155" t="s">
        <v>2759</v>
      </c>
      <c r="B239" s="114" t="str">
        <f>VLOOKUP(A239,'Data pick slip'!B:F,5,FALSE)</f>
        <v>KLJ-MC600-00</v>
      </c>
      <c r="C239" s="156">
        <v>109730</v>
      </c>
      <c r="D239" s="156" t="str">
        <f>VLOOKUP(C239,Stock_list!D:L,2,FALSE)</f>
        <v>博星名义下单</v>
      </c>
      <c r="E239" s="160">
        <f>VLOOKUP(C239,Stock_list!D:L,9,FALSE)</f>
        <v>43810</v>
      </c>
      <c r="F239" s="157" t="s">
        <v>2861</v>
      </c>
      <c r="G239" s="158">
        <v>3</v>
      </c>
      <c r="H239" s="148"/>
      <c r="I239" s="146"/>
      <c r="J239" s="146"/>
      <c r="K239" s="149"/>
      <c r="L239" s="150"/>
      <c r="M239" s="149"/>
      <c r="N239" s="151"/>
      <c r="O239" s="151"/>
      <c r="P239" s="146"/>
      <c r="Q239" s="152"/>
      <c r="R239" s="153"/>
      <c r="S239" s="146"/>
      <c r="T239" s="154"/>
      <c r="U239" s="145"/>
    </row>
    <row r="240" spans="1:21" ht="15" customHeight="1">
      <c r="A240" s="155" t="s">
        <v>2760</v>
      </c>
      <c r="B240" s="114" t="str">
        <f>VLOOKUP(A240,'Data pick slip'!B:F,5,FALSE)</f>
        <v>KLJ-MC700-00</v>
      </c>
      <c r="C240" s="156">
        <v>109730</v>
      </c>
      <c r="D240" s="156" t="str">
        <f>VLOOKUP(C240,Stock_list!D:L,2,FALSE)</f>
        <v>博星名义下单</v>
      </c>
      <c r="E240" s="160">
        <f>VLOOKUP(C240,Stock_list!D:L,9,FALSE)</f>
        <v>43810</v>
      </c>
      <c r="F240" s="157" t="s">
        <v>2861</v>
      </c>
      <c r="G240" s="158">
        <v>1</v>
      </c>
      <c r="H240" s="148"/>
      <c r="I240" s="146"/>
      <c r="J240" s="146"/>
      <c r="K240" s="149"/>
      <c r="L240" s="150"/>
      <c r="M240" s="149"/>
      <c r="N240" s="151"/>
      <c r="O240" s="151"/>
      <c r="P240" s="146"/>
      <c r="Q240" s="152"/>
      <c r="R240" s="153"/>
      <c r="S240" s="146"/>
      <c r="T240" s="154"/>
      <c r="U240" s="145"/>
    </row>
    <row r="241" spans="1:21" ht="15" customHeight="1">
      <c r="A241" s="155" t="s">
        <v>2747</v>
      </c>
      <c r="B241" s="114" t="str">
        <f>VLOOKUP(A241,'Data pick slip'!B:F,5,FALSE)</f>
        <v>KHJ-MC200-00</v>
      </c>
      <c r="D241" s="156"/>
      <c r="E241" s="160" t="s">
        <v>2889</v>
      </c>
      <c r="F241" s="157" t="s">
        <v>2773</v>
      </c>
      <c r="G241" s="158">
        <v>40</v>
      </c>
      <c r="H241" s="148"/>
      <c r="I241" s="146"/>
      <c r="J241" s="146"/>
      <c r="K241" s="149"/>
      <c r="L241" s="150"/>
      <c r="M241" s="149"/>
      <c r="N241" s="151"/>
      <c r="O241" s="151"/>
      <c r="P241" s="146"/>
      <c r="Q241" s="152"/>
      <c r="R241" s="153"/>
      <c r="S241" s="146"/>
      <c r="T241" s="154"/>
      <c r="U241" s="145"/>
    </row>
    <row r="242" spans="1:21" ht="15" customHeight="1">
      <c r="A242" s="155" t="s">
        <v>2744</v>
      </c>
      <c r="B242" s="114" t="str">
        <f>VLOOKUP(A242,'Data pick slip'!B:F,5,FALSE)</f>
        <v>KHJ-MC100-00</v>
      </c>
      <c r="D242" s="156"/>
      <c r="E242" s="160" t="s">
        <v>2890</v>
      </c>
      <c r="F242" s="157" t="s">
        <v>2773</v>
      </c>
      <c r="G242" s="158">
        <v>100</v>
      </c>
      <c r="H242" s="148"/>
      <c r="I242" s="146"/>
      <c r="J242" s="146"/>
      <c r="K242" s="149"/>
      <c r="L242" s="150"/>
      <c r="M242" s="149"/>
      <c r="N242" s="151"/>
      <c r="O242" s="151"/>
      <c r="P242" s="146"/>
      <c r="Q242" s="152"/>
      <c r="R242" s="153"/>
      <c r="S242" s="146"/>
      <c r="T242" s="154"/>
      <c r="U242" s="145"/>
    </row>
    <row r="243" spans="1:21" ht="15" customHeight="1">
      <c r="A243" s="155" t="s">
        <v>2747</v>
      </c>
      <c r="B243" s="114" t="str">
        <f>VLOOKUP(A243,'Data pick slip'!B:F,5,FALSE)</f>
        <v>KHJ-MC200-00</v>
      </c>
      <c r="D243" s="156"/>
      <c r="E243" s="160" t="s">
        <v>2890</v>
      </c>
      <c r="F243" s="157" t="s">
        <v>2773</v>
      </c>
      <c r="G243" s="158">
        <v>20</v>
      </c>
      <c r="H243" s="148"/>
      <c r="I243" s="146"/>
      <c r="J243" s="146"/>
      <c r="K243" s="149"/>
      <c r="L243" s="150"/>
      <c r="M243" s="149"/>
      <c r="N243" s="151"/>
      <c r="O243" s="151"/>
      <c r="P243" s="146"/>
      <c r="Q243" s="152"/>
      <c r="R243" s="153"/>
      <c r="S243" s="146"/>
      <c r="T243" s="154"/>
      <c r="U243" s="145"/>
    </row>
    <row r="244" spans="1:21" ht="15" customHeight="1">
      <c r="A244" s="155" t="s">
        <v>2744</v>
      </c>
      <c r="B244" s="114" t="str">
        <f>VLOOKUP(A244,'Data pick slip'!B:F,5,FALSE)</f>
        <v>KHJ-MC100-00</v>
      </c>
      <c r="D244" s="156"/>
      <c r="E244" s="160" t="s">
        <v>2891</v>
      </c>
      <c r="F244" s="157" t="s">
        <v>2773</v>
      </c>
      <c r="G244" s="158">
        <v>100</v>
      </c>
      <c r="H244" s="148"/>
      <c r="I244" s="146"/>
      <c r="J244" s="146"/>
      <c r="K244" s="149"/>
      <c r="L244" s="150"/>
      <c r="M244" s="149"/>
      <c r="N244" s="151"/>
      <c r="O244" s="151"/>
      <c r="P244" s="146"/>
      <c r="Q244" s="152"/>
      <c r="R244" s="153"/>
      <c r="S244" s="146"/>
      <c r="T244" s="154"/>
      <c r="U244" s="145"/>
    </row>
    <row r="245" spans="1:21" ht="15" customHeight="1">
      <c r="A245" s="155" t="s">
        <v>2747</v>
      </c>
      <c r="B245" s="114" t="str">
        <f>VLOOKUP(A245,'Data pick slip'!B:F,5,FALSE)</f>
        <v>KHJ-MC200-00</v>
      </c>
      <c r="D245" s="156"/>
      <c r="E245" s="160" t="s">
        <v>2891</v>
      </c>
      <c r="F245" s="157" t="s">
        <v>2773</v>
      </c>
      <c r="G245" s="158">
        <v>40</v>
      </c>
      <c r="H245" s="148"/>
      <c r="I245" s="146"/>
      <c r="J245" s="146"/>
      <c r="K245" s="149"/>
      <c r="L245" s="150"/>
      <c r="M245" s="149"/>
      <c r="N245" s="151"/>
      <c r="O245" s="151"/>
      <c r="P245" s="146"/>
      <c r="Q245" s="152"/>
      <c r="R245" s="153"/>
      <c r="S245" s="146"/>
      <c r="T245" s="154"/>
      <c r="U245" s="145"/>
    </row>
    <row r="246" spans="1:21" ht="15" customHeight="1">
      <c r="A246" s="155" t="s">
        <v>2744</v>
      </c>
      <c r="B246" s="114" t="str">
        <f>VLOOKUP(A246,'Data pick slip'!B:F,5,FALSE)</f>
        <v>KHJ-MC100-00</v>
      </c>
      <c r="C246" s="156">
        <v>109749</v>
      </c>
      <c r="D246" s="156" t="str">
        <f>VLOOKUP(C246,Stock_list!D:L,2,FALSE)</f>
        <v>锘铧名义下单</v>
      </c>
      <c r="E246" s="160">
        <f>VLOOKUP(C246,Stock_list!D:L,9,FALSE)</f>
        <v>43836</v>
      </c>
      <c r="F246" s="157" t="s">
        <v>2861</v>
      </c>
      <c r="G246" s="158">
        <v>450</v>
      </c>
      <c r="H246" s="148"/>
      <c r="I246" s="146"/>
      <c r="J246" s="146"/>
      <c r="K246" s="149"/>
      <c r="L246" s="150"/>
      <c r="M246" s="149"/>
      <c r="N246" s="151"/>
      <c r="O246" s="151"/>
      <c r="P246" s="146"/>
      <c r="Q246" s="152"/>
      <c r="R246" s="153"/>
      <c r="S246" s="146"/>
      <c r="T246" s="154"/>
      <c r="U246" s="145"/>
    </row>
    <row r="247" spans="1:21" ht="15" customHeight="1">
      <c r="A247" s="155" t="s">
        <v>2747</v>
      </c>
      <c r="B247" s="114" t="str">
        <f>VLOOKUP(A247,'Data pick slip'!B:F,5,FALSE)</f>
        <v>KHJ-MC200-00</v>
      </c>
      <c r="C247" s="156">
        <v>109749</v>
      </c>
      <c r="D247" s="156" t="str">
        <f>VLOOKUP(C247,Stock_list!D:L,2,FALSE)</f>
        <v>锘铧名义下单</v>
      </c>
      <c r="E247" s="160">
        <f>VLOOKUP(C247,Stock_list!D:L,9,FALSE)</f>
        <v>43836</v>
      </c>
      <c r="F247" s="157" t="s">
        <v>2861</v>
      </c>
      <c r="G247" s="158">
        <v>125</v>
      </c>
      <c r="H247" s="148"/>
      <c r="I247" s="146"/>
      <c r="J247" s="146"/>
      <c r="K247" s="149"/>
      <c r="L247" s="150"/>
      <c r="M247" s="149"/>
      <c r="N247" s="151"/>
      <c r="O247" s="151"/>
      <c r="P247" s="146"/>
      <c r="Q247" s="152"/>
      <c r="R247" s="153"/>
      <c r="S247" s="146"/>
      <c r="T247" s="154"/>
      <c r="U247" s="145"/>
    </row>
    <row r="248" spans="1:21" ht="15" customHeight="1">
      <c r="A248" s="155" t="s">
        <v>2748</v>
      </c>
      <c r="B248" s="114" t="str">
        <f>VLOOKUP(A248,'Data pick slip'!B:F,5,FALSE)</f>
        <v>KHJ-MC400-00</v>
      </c>
      <c r="C248" s="156">
        <v>109749</v>
      </c>
      <c r="D248" s="156" t="str">
        <f>VLOOKUP(C248,Stock_list!D:L,2,FALSE)</f>
        <v>锘铧名义下单</v>
      </c>
      <c r="E248" s="160">
        <f>VLOOKUP(C248,Stock_list!D:L,9,FALSE)</f>
        <v>43836</v>
      </c>
      <c r="F248" s="157" t="s">
        <v>2861</v>
      </c>
      <c r="G248" s="158">
        <v>25</v>
      </c>
      <c r="H248" s="148"/>
      <c r="I248" s="146"/>
      <c r="J248" s="146"/>
      <c r="K248" s="149"/>
      <c r="L248" s="150"/>
      <c r="M248" s="149"/>
      <c r="N248" s="151"/>
      <c r="O248" s="151"/>
      <c r="P248" s="146"/>
      <c r="Q248" s="152"/>
      <c r="R248" s="153"/>
      <c r="S248" s="146"/>
      <c r="T248" s="154"/>
      <c r="U248" s="145"/>
    </row>
    <row r="249" spans="1:21" ht="15" customHeight="1">
      <c r="A249" s="155" t="s">
        <v>2749</v>
      </c>
      <c r="B249" s="114" t="str">
        <f>VLOOKUP(A249,'Data pick slip'!B:F,5,FALSE)</f>
        <v>KHJ-MC500-00</v>
      </c>
      <c r="C249" s="156">
        <v>109749</v>
      </c>
      <c r="D249" s="156" t="str">
        <f>VLOOKUP(C249,Stock_list!D:L,2,FALSE)</f>
        <v>锘铧名义下单</v>
      </c>
      <c r="E249" s="160">
        <f>VLOOKUP(C249,Stock_list!D:L,9,FALSE)</f>
        <v>43836</v>
      </c>
      <c r="F249" s="157" t="s">
        <v>2861</v>
      </c>
      <c r="G249" s="158">
        <v>10</v>
      </c>
      <c r="H249" s="148"/>
      <c r="I249" s="146"/>
      <c r="J249" s="146"/>
      <c r="K249" s="149"/>
      <c r="L249" s="150"/>
      <c r="M249" s="149"/>
      <c r="N249" s="151"/>
      <c r="O249" s="151"/>
      <c r="P249" s="146"/>
      <c r="Q249" s="152"/>
      <c r="R249" s="153"/>
      <c r="S249" s="146"/>
      <c r="T249" s="154"/>
      <c r="U249" s="145"/>
    </row>
    <row r="250" spans="1:21" ht="15" customHeight="1">
      <c r="A250" s="155" t="s">
        <v>2750</v>
      </c>
      <c r="B250" s="114" t="str">
        <f>VLOOKUP(A250,'Data pick slip'!B:F,5,FALSE)</f>
        <v>KHJ-MC600-00</v>
      </c>
      <c r="C250" s="156">
        <v>109749</v>
      </c>
      <c r="D250" s="156" t="str">
        <f>VLOOKUP(C250,Stock_list!D:L,2,FALSE)</f>
        <v>锘铧名义下单</v>
      </c>
      <c r="E250" s="160">
        <f>VLOOKUP(C250,Stock_list!D:L,9,FALSE)</f>
        <v>43836</v>
      </c>
      <c r="F250" s="157" t="s">
        <v>2861</v>
      </c>
      <c r="G250" s="158">
        <v>5</v>
      </c>
      <c r="H250" s="148"/>
      <c r="I250" s="146"/>
      <c r="J250" s="146"/>
      <c r="K250" s="149"/>
      <c r="L250" s="150"/>
      <c r="M250" s="149"/>
      <c r="N250" s="151"/>
      <c r="O250" s="151"/>
      <c r="P250" s="146"/>
      <c r="Q250" s="152"/>
      <c r="R250" s="153"/>
      <c r="S250" s="146"/>
      <c r="T250" s="154"/>
      <c r="U250" s="145"/>
    </row>
    <row r="251" spans="1:21" ht="15" customHeight="1">
      <c r="A251" s="155" t="s">
        <v>2744</v>
      </c>
      <c r="B251" s="114" t="str">
        <f>VLOOKUP(A251,'Data pick slip'!B:F,5,FALSE)</f>
        <v>KHJ-MC100-00</v>
      </c>
      <c r="C251" s="156">
        <v>109750</v>
      </c>
      <c r="D251" s="156" t="str">
        <f>VLOOKUP(C251,Stock_list!D:L,2,FALSE)</f>
        <v>锘铧名义下单</v>
      </c>
      <c r="E251" s="160">
        <f>VLOOKUP(C251,Stock_list!D:L,9,FALSE)</f>
        <v>43836</v>
      </c>
      <c r="F251" s="157" t="s">
        <v>2861</v>
      </c>
      <c r="G251" s="158">
        <v>450</v>
      </c>
      <c r="H251" s="148"/>
      <c r="I251" s="146"/>
      <c r="J251" s="146"/>
      <c r="K251" s="149"/>
      <c r="L251" s="150"/>
      <c r="M251" s="149"/>
      <c r="N251" s="151"/>
      <c r="O251" s="151"/>
      <c r="P251" s="146"/>
      <c r="Q251" s="152"/>
      <c r="R251" s="153"/>
      <c r="S251" s="146"/>
      <c r="T251" s="154"/>
      <c r="U251" s="145"/>
    </row>
    <row r="252" spans="1:21" ht="15" customHeight="1">
      <c r="A252" s="155" t="s">
        <v>2747</v>
      </c>
      <c r="B252" s="114" t="str">
        <f>VLOOKUP(A252,'Data pick slip'!B:F,5,FALSE)</f>
        <v>KHJ-MC200-00</v>
      </c>
      <c r="C252" s="156">
        <v>109750</v>
      </c>
      <c r="D252" s="156" t="str">
        <f>VLOOKUP(C252,Stock_list!D:L,2,FALSE)</f>
        <v>锘铧名义下单</v>
      </c>
      <c r="E252" s="160">
        <f>VLOOKUP(C252,Stock_list!D:L,9,FALSE)</f>
        <v>43836</v>
      </c>
      <c r="F252" s="157" t="s">
        <v>2861</v>
      </c>
      <c r="G252" s="158">
        <v>75</v>
      </c>
      <c r="H252" s="148"/>
      <c r="I252" s="146"/>
      <c r="J252" s="146"/>
      <c r="K252" s="149"/>
      <c r="L252" s="150"/>
      <c r="M252" s="149"/>
      <c r="N252" s="151"/>
      <c r="O252" s="151"/>
      <c r="P252" s="146"/>
      <c r="Q252" s="152"/>
      <c r="R252" s="153"/>
      <c r="S252" s="146"/>
      <c r="T252" s="154"/>
      <c r="U252" s="145"/>
    </row>
    <row r="253" spans="1:21" ht="15" customHeight="1">
      <c r="A253" s="155" t="s">
        <v>2777</v>
      </c>
      <c r="B253" s="114" t="str">
        <f>VLOOKUP(A253,'Data pick slip'!B:F,5,FALSE)</f>
        <v>KHJ-MC400-00</v>
      </c>
      <c r="C253" s="156">
        <v>109750</v>
      </c>
      <c r="D253" s="156" t="str">
        <f>VLOOKUP(C253,Stock_list!D:L,2,FALSE)</f>
        <v>锘铧名义下单</v>
      </c>
      <c r="E253" s="160">
        <f>VLOOKUP(C253,Stock_list!D:L,9,FALSE)</f>
        <v>43836</v>
      </c>
      <c r="F253" s="157" t="s">
        <v>2861</v>
      </c>
      <c r="G253" s="158">
        <v>25</v>
      </c>
      <c r="H253" s="148"/>
      <c r="I253" s="146"/>
      <c r="J253" s="146"/>
      <c r="K253" s="149"/>
      <c r="L253" s="150"/>
      <c r="M253" s="149"/>
      <c r="N253" s="151"/>
      <c r="O253" s="151"/>
      <c r="P253" s="146"/>
      <c r="Q253" s="152"/>
      <c r="R253" s="153"/>
      <c r="S253" s="146"/>
      <c r="T253" s="154"/>
      <c r="U253" s="145"/>
    </row>
    <row r="254" spans="1:21" ht="15" customHeight="1">
      <c r="A254" s="155" t="s">
        <v>2744</v>
      </c>
      <c r="B254" s="114" t="str">
        <f>VLOOKUP(A254,'Data pick slip'!B:F,5,FALSE)</f>
        <v>KHJ-MC100-00</v>
      </c>
      <c r="C254" s="156">
        <v>109762</v>
      </c>
      <c r="D254" s="156" t="str">
        <f>VLOOKUP(C254,Stock_list!D:L,2,FALSE)</f>
        <v>灿明名义下单</v>
      </c>
      <c r="E254" s="160">
        <f>VLOOKUP(C254,Stock_list!D:L,9,FALSE)</f>
        <v>43862</v>
      </c>
      <c r="F254" s="157" t="s">
        <v>2861</v>
      </c>
      <c r="G254" s="158">
        <v>150</v>
      </c>
      <c r="H254" s="148"/>
      <c r="I254" s="146"/>
      <c r="J254" s="146"/>
      <c r="K254" s="149"/>
      <c r="L254" s="150"/>
      <c r="M254" s="149"/>
      <c r="N254" s="151"/>
      <c r="O254" s="151"/>
      <c r="P254" s="146"/>
      <c r="Q254" s="152"/>
      <c r="R254" s="153"/>
      <c r="S254" s="146"/>
      <c r="T254" s="154"/>
      <c r="U254" s="145"/>
    </row>
    <row r="255" spans="1:21" ht="15" customHeight="1">
      <c r="A255" s="155" t="s">
        <v>2747</v>
      </c>
      <c r="B255" s="114" t="str">
        <f>VLOOKUP(A255,'Data pick slip'!B:F,5,FALSE)</f>
        <v>KHJ-MC200-00</v>
      </c>
      <c r="C255" s="156">
        <v>109762</v>
      </c>
      <c r="D255" s="156" t="str">
        <f>VLOOKUP(C255,Stock_list!D:L,2,FALSE)</f>
        <v>灿明名义下单</v>
      </c>
      <c r="E255" s="160">
        <f>VLOOKUP(C255,Stock_list!D:L,9,FALSE)</f>
        <v>43862</v>
      </c>
      <c r="F255" s="157" t="s">
        <v>2861</v>
      </c>
      <c r="G255" s="158">
        <v>50</v>
      </c>
      <c r="H255" s="148"/>
      <c r="I255" s="146"/>
      <c r="J255" s="146"/>
      <c r="K255" s="149"/>
      <c r="L255" s="150"/>
      <c r="M255" s="149"/>
      <c r="N255" s="151"/>
      <c r="O255" s="151"/>
      <c r="P255" s="146"/>
      <c r="Q255" s="152"/>
      <c r="R255" s="153"/>
      <c r="S255" s="146"/>
      <c r="T255" s="154"/>
      <c r="U255" s="145"/>
    </row>
    <row r="256" spans="1:21" ht="15" customHeight="1">
      <c r="A256" s="155" t="s">
        <v>2748</v>
      </c>
      <c r="B256" s="114" t="str">
        <f>VLOOKUP(A256,'Data pick slip'!B:F,5,FALSE)</f>
        <v>KHJ-MC400-00</v>
      </c>
      <c r="C256" s="156">
        <v>109762</v>
      </c>
      <c r="D256" s="156" t="str">
        <f>VLOOKUP(C256,Stock_list!D:L,2,FALSE)</f>
        <v>灿明名义下单</v>
      </c>
      <c r="E256" s="160">
        <f>VLOOKUP(C256,Stock_list!D:L,9,FALSE)</f>
        <v>43862</v>
      </c>
      <c r="F256" s="157" t="s">
        <v>2861</v>
      </c>
      <c r="G256" s="158">
        <v>5</v>
      </c>
      <c r="H256" s="148"/>
      <c r="I256" s="146"/>
      <c r="J256" s="146"/>
      <c r="K256" s="149"/>
      <c r="L256" s="150"/>
      <c r="M256" s="149"/>
      <c r="N256" s="151"/>
      <c r="O256" s="151"/>
      <c r="P256" s="146"/>
      <c r="Q256" s="152"/>
      <c r="R256" s="153"/>
      <c r="S256" s="146"/>
      <c r="T256" s="154"/>
      <c r="U256" s="145"/>
    </row>
    <row r="257" spans="1:21" ht="15" customHeight="1">
      <c r="A257" s="155" t="s">
        <v>2749</v>
      </c>
      <c r="B257" s="114" t="str">
        <f>VLOOKUP(A257,'Data pick slip'!B:F,5,FALSE)</f>
        <v>KHJ-MC500-00</v>
      </c>
      <c r="C257" s="156">
        <v>109762</v>
      </c>
      <c r="D257" s="156" t="str">
        <f>VLOOKUP(C257,Stock_list!D:L,2,FALSE)</f>
        <v>灿明名义下单</v>
      </c>
      <c r="E257" s="160">
        <f>VLOOKUP(C257,Stock_list!D:L,9,FALSE)</f>
        <v>43862</v>
      </c>
      <c r="F257" s="157" t="s">
        <v>2861</v>
      </c>
      <c r="G257" s="158">
        <v>5</v>
      </c>
      <c r="H257" s="148"/>
      <c r="I257" s="146"/>
      <c r="J257" s="146"/>
      <c r="K257" s="149"/>
      <c r="L257" s="150"/>
      <c r="M257" s="149"/>
      <c r="N257" s="151"/>
      <c r="O257" s="151"/>
      <c r="P257" s="146"/>
      <c r="Q257" s="152"/>
      <c r="R257" s="153"/>
      <c r="S257" s="146"/>
      <c r="T257" s="154"/>
      <c r="U257" s="145"/>
    </row>
    <row r="258" spans="1:21" ht="15" customHeight="1">
      <c r="A258" s="155" t="s">
        <v>2744</v>
      </c>
      <c r="B258" s="114" t="str">
        <f>VLOOKUP(A258,'Data pick slip'!B:F,5,FALSE)</f>
        <v>KHJ-MC100-00</v>
      </c>
      <c r="D258" s="156"/>
      <c r="E258" s="160" t="s">
        <v>2892</v>
      </c>
      <c r="F258" s="157" t="s">
        <v>2773</v>
      </c>
      <c r="G258" s="158">
        <v>300</v>
      </c>
      <c r="H258" s="148"/>
      <c r="I258" s="146"/>
      <c r="J258" s="146"/>
      <c r="K258" s="149"/>
      <c r="L258" s="150"/>
      <c r="M258" s="149"/>
      <c r="N258" s="151"/>
      <c r="O258" s="151"/>
      <c r="P258" s="146"/>
      <c r="Q258" s="152"/>
      <c r="R258" s="153"/>
      <c r="S258" s="146"/>
      <c r="T258" s="154"/>
      <c r="U258" s="145"/>
    </row>
    <row r="259" spans="1:21" ht="15" customHeight="1">
      <c r="A259" s="155" t="s">
        <v>2747</v>
      </c>
      <c r="B259" s="114" t="str">
        <f>VLOOKUP(A259,'Data pick slip'!B:F,5,FALSE)</f>
        <v>KHJ-MC200-00</v>
      </c>
      <c r="D259" s="156"/>
      <c r="E259" s="160" t="s">
        <v>2892</v>
      </c>
      <c r="F259" s="157" t="s">
        <v>2773</v>
      </c>
      <c r="G259" s="158">
        <v>20</v>
      </c>
      <c r="H259" s="148"/>
      <c r="I259" s="146"/>
      <c r="J259" s="146"/>
      <c r="K259" s="149"/>
      <c r="L259" s="150"/>
      <c r="M259" s="149"/>
      <c r="N259" s="151"/>
      <c r="O259" s="151"/>
      <c r="P259" s="146"/>
      <c r="Q259" s="152"/>
      <c r="R259" s="153"/>
      <c r="S259" s="146"/>
      <c r="T259" s="154"/>
      <c r="U259" s="145"/>
    </row>
    <row r="260" spans="1:21" ht="15" customHeight="1">
      <c r="A260" s="155" t="s">
        <v>2748</v>
      </c>
      <c r="B260" s="114" t="str">
        <f>VLOOKUP(A260,'Data pick slip'!B:F,5,FALSE)</f>
        <v>KHJ-MC400-00</v>
      </c>
      <c r="D260" s="156"/>
      <c r="E260" s="160" t="s">
        <v>2892</v>
      </c>
      <c r="F260" s="157" t="s">
        <v>2773</v>
      </c>
      <c r="G260" s="158">
        <v>10</v>
      </c>
      <c r="H260" s="148"/>
      <c r="I260" s="146"/>
      <c r="J260" s="146"/>
      <c r="K260" s="149"/>
      <c r="L260" s="150"/>
      <c r="M260" s="149"/>
      <c r="N260" s="151"/>
      <c r="O260" s="151"/>
      <c r="P260" s="146"/>
      <c r="Q260" s="152"/>
      <c r="R260" s="153"/>
      <c r="S260" s="146"/>
      <c r="T260" s="154"/>
      <c r="U260" s="145"/>
    </row>
    <row r="261" spans="1:21" ht="15" customHeight="1">
      <c r="A261" s="155" t="s">
        <v>2749</v>
      </c>
      <c r="B261" s="114" t="str">
        <f>VLOOKUP(A261,'Data pick slip'!B:F,5,FALSE)</f>
        <v>KHJ-MC500-00</v>
      </c>
      <c r="D261" s="156"/>
      <c r="E261" s="160" t="s">
        <v>2892</v>
      </c>
      <c r="F261" s="157" t="s">
        <v>2773</v>
      </c>
      <c r="G261" s="158">
        <v>8</v>
      </c>
      <c r="H261" s="148"/>
      <c r="I261" s="146"/>
      <c r="J261" s="146"/>
      <c r="K261" s="149"/>
      <c r="L261" s="150"/>
      <c r="M261" s="149"/>
      <c r="N261" s="151"/>
      <c r="O261" s="151"/>
      <c r="P261" s="146"/>
      <c r="Q261" s="152"/>
      <c r="R261" s="153"/>
      <c r="S261" s="146"/>
      <c r="T261" s="154"/>
      <c r="U261" s="145"/>
    </row>
    <row r="262" spans="1:21" ht="15" customHeight="1">
      <c r="A262" s="155" t="s">
        <v>2744</v>
      </c>
      <c r="B262" s="114" t="str">
        <f>VLOOKUP(A262,'Data pick slip'!B:F,5,FALSE)</f>
        <v>KHJ-MC100-00</v>
      </c>
      <c r="C262" s="156">
        <v>109774</v>
      </c>
      <c r="D262" s="156" t="str">
        <f>VLOOKUP(C262,Stock_list!D:L,2,FALSE)</f>
        <v>Special package</v>
      </c>
      <c r="E262" s="160">
        <f>VLOOKUP(C262,Stock_list!D:L,9,FALSE)</f>
        <v>43866</v>
      </c>
      <c r="F262" s="157" t="s">
        <v>2861</v>
      </c>
      <c r="G262" s="158">
        <v>100</v>
      </c>
      <c r="H262" s="148"/>
      <c r="I262" s="146"/>
      <c r="J262" s="146"/>
      <c r="K262" s="149"/>
      <c r="L262" s="150"/>
      <c r="M262" s="149"/>
      <c r="N262" s="151"/>
      <c r="O262" s="151"/>
      <c r="P262" s="146"/>
      <c r="Q262" s="152"/>
      <c r="R262" s="153"/>
      <c r="S262" s="146"/>
      <c r="T262" s="154"/>
      <c r="U262" s="145"/>
    </row>
    <row r="263" spans="1:21" ht="15" customHeight="1">
      <c r="A263" s="155" t="s">
        <v>2747</v>
      </c>
      <c r="B263" s="114" t="str">
        <f>VLOOKUP(A263,'Data pick slip'!B:F,5,FALSE)</f>
        <v>KHJ-MC200-00</v>
      </c>
      <c r="D263" s="156"/>
      <c r="E263" s="160" t="s">
        <v>2893</v>
      </c>
      <c r="F263" s="157" t="s">
        <v>2773</v>
      </c>
      <c r="G263" s="158">
        <v>8</v>
      </c>
      <c r="H263" s="148"/>
      <c r="I263" s="146"/>
      <c r="J263" s="146"/>
      <c r="K263" s="149"/>
      <c r="L263" s="150"/>
      <c r="M263" s="149"/>
      <c r="N263" s="151"/>
      <c r="O263" s="151"/>
      <c r="P263" s="146"/>
      <c r="Q263" s="152"/>
      <c r="R263" s="153"/>
      <c r="S263" s="146"/>
      <c r="T263" s="154"/>
      <c r="U263" s="145"/>
    </row>
    <row r="264" spans="1:21" ht="15" customHeight="1">
      <c r="A264" s="155" t="s">
        <v>2756</v>
      </c>
      <c r="B264" s="114" t="str">
        <f>VLOOKUP(A264,'Data pick slip'!B:F,5,FALSE)</f>
        <v>KLJ-MC200-00</v>
      </c>
      <c r="D264" s="156"/>
      <c r="E264" s="160" t="s">
        <v>2893</v>
      </c>
      <c r="F264" s="157" t="s">
        <v>2773</v>
      </c>
      <c r="G264" s="158">
        <v>20</v>
      </c>
      <c r="H264" s="148"/>
      <c r="I264" s="146"/>
      <c r="J264" s="146"/>
      <c r="K264" s="149"/>
      <c r="L264" s="150"/>
      <c r="M264" s="149"/>
      <c r="N264" s="151"/>
      <c r="O264" s="151"/>
      <c r="P264" s="146"/>
      <c r="Q264" s="151"/>
      <c r="R264" s="153"/>
      <c r="S264" s="146"/>
      <c r="T264" s="154"/>
      <c r="U264" s="145"/>
    </row>
    <row r="265" spans="1:21" ht="15" customHeight="1">
      <c r="A265" s="155" t="s">
        <v>2744</v>
      </c>
      <c r="B265" s="114" t="str">
        <f>VLOOKUP(A265,'Data pick slip'!B:F,5,FALSE)</f>
        <v>KHJ-MC100-00</v>
      </c>
      <c r="C265" s="156">
        <v>109714</v>
      </c>
      <c r="D265" s="156" t="str">
        <f>VLOOKUP(C265,Stock_list!D:L,2,FALSE)</f>
        <v>Pro-tec</v>
      </c>
      <c r="E265" s="160">
        <f>VLOOKUP(C265,Stock_list!D:L,9,FALSE)</f>
        <v>43883</v>
      </c>
      <c r="F265" s="157" t="s">
        <v>2861</v>
      </c>
      <c r="G265" s="158">
        <v>35</v>
      </c>
      <c r="H265" s="148"/>
      <c r="I265" s="146"/>
      <c r="J265" s="146"/>
      <c r="K265" s="149"/>
      <c r="L265" s="150"/>
      <c r="M265" s="149"/>
      <c r="N265" s="151"/>
      <c r="O265" s="151"/>
      <c r="P265" s="146"/>
      <c r="Q265" s="152"/>
      <c r="R265" s="153"/>
      <c r="S265" s="146"/>
      <c r="T265" s="154"/>
      <c r="U265" s="145"/>
    </row>
    <row r="266" spans="1:21" ht="15" customHeight="1">
      <c r="A266" s="155" t="s">
        <v>2747</v>
      </c>
      <c r="B266" s="114" t="str">
        <f>VLOOKUP(A266,'Data pick slip'!B:F,5,FALSE)</f>
        <v>KHJ-MC200-00</v>
      </c>
      <c r="C266" s="156">
        <v>109714</v>
      </c>
      <c r="D266" s="156" t="str">
        <f>VLOOKUP(C266,Stock_list!D:L,2,FALSE)</f>
        <v>Pro-tec</v>
      </c>
      <c r="E266" s="160">
        <f>VLOOKUP(C266,Stock_list!D:L,9,FALSE)</f>
        <v>43883</v>
      </c>
      <c r="F266" s="157" t="s">
        <v>2861</v>
      </c>
      <c r="G266" s="158">
        <v>5</v>
      </c>
      <c r="H266" s="148"/>
      <c r="I266" s="146"/>
      <c r="J266" s="146"/>
      <c r="K266" s="149"/>
      <c r="L266" s="150"/>
      <c r="M266" s="149"/>
      <c r="N266" s="151"/>
      <c r="O266" s="151"/>
      <c r="P266" s="146"/>
      <c r="Q266" s="152"/>
      <c r="R266" s="153"/>
      <c r="S266" s="146"/>
      <c r="T266" s="154"/>
      <c r="U266" s="145"/>
    </row>
    <row r="267" spans="1:21" ht="15" customHeight="1">
      <c r="A267" s="155" t="s">
        <v>2748</v>
      </c>
      <c r="B267" s="114" t="str">
        <f>VLOOKUP(A267,'Data pick slip'!B:F,5,FALSE)</f>
        <v>KHJ-MC400-00</v>
      </c>
      <c r="C267" s="156">
        <v>109714</v>
      </c>
      <c r="D267" s="156" t="str">
        <f>VLOOKUP(C267,Stock_list!D:L,2,FALSE)</f>
        <v>Pro-tec</v>
      </c>
      <c r="E267" s="160">
        <f>VLOOKUP(C267,Stock_list!D:L,9,FALSE)</f>
        <v>43883</v>
      </c>
      <c r="F267" s="157" t="s">
        <v>2861</v>
      </c>
      <c r="G267" s="158">
        <v>2</v>
      </c>
      <c r="H267" s="148"/>
      <c r="I267" s="146"/>
      <c r="J267" s="146"/>
      <c r="K267" s="149"/>
      <c r="L267" s="150"/>
      <c r="M267" s="149"/>
      <c r="N267" s="151"/>
      <c r="O267" s="151"/>
      <c r="P267" s="146"/>
      <c r="Q267" s="152"/>
      <c r="R267" s="153"/>
      <c r="S267" s="146"/>
      <c r="T267" s="154"/>
      <c r="U267" s="145"/>
    </row>
    <row r="268" spans="1:21" ht="15" customHeight="1">
      <c r="A268" s="155" t="s">
        <v>2744</v>
      </c>
      <c r="B268" s="114" t="str">
        <f>VLOOKUP(A268,'Data pick slip'!B:F,5,FALSE)</f>
        <v>KHJ-MC100-00</v>
      </c>
      <c r="C268" s="156">
        <v>109783</v>
      </c>
      <c r="D268" s="156" t="str">
        <f>VLOOKUP(C268,Stock_list!D:L,2,FALSE)</f>
        <v>博睿通名义下单</v>
      </c>
      <c r="E268" s="160">
        <f>VLOOKUP(C268,Stock_list!D:L,9,FALSE)</f>
        <v>43922</v>
      </c>
      <c r="F268" s="157" t="s">
        <v>2861</v>
      </c>
      <c r="G268" s="158">
        <v>300</v>
      </c>
      <c r="H268" s="148"/>
      <c r="I268" s="146"/>
      <c r="J268" s="146"/>
      <c r="K268" s="149"/>
      <c r="L268" s="150"/>
      <c r="M268" s="149"/>
      <c r="N268" s="151"/>
      <c r="O268" s="151"/>
      <c r="P268" s="146"/>
      <c r="Q268" s="152"/>
      <c r="R268" s="153"/>
      <c r="S268" s="146"/>
      <c r="T268" s="154"/>
      <c r="U268" s="145"/>
    </row>
    <row r="269" spans="1:21" ht="15" customHeight="1">
      <c r="A269" s="155" t="s">
        <v>2747</v>
      </c>
      <c r="B269" s="114" t="str">
        <f>VLOOKUP(A269,'Data pick slip'!B:F,5,FALSE)</f>
        <v>KHJ-MC200-00</v>
      </c>
      <c r="C269" s="156">
        <v>109783</v>
      </c>
      <c r="D269" s="156" t="str">
        <f>VLOOKUP(C269,Stock_list!D:L,2,FALSE)</f>
        <v>博睿通名义下单</v>
      </c>
      <c r="E269" s="160">
        <f>VLOOKUP(C269,Stock_list!D:L,9,FALSE)</f>
        <v>43922</v>
      </c>
      <c r="F269" s="157" t="s">
        <v>2861</v>
      </c>
      <c r="G269" s="158">
        <v>60</v>
      </c>
      <c r="H269" s="148"/>
      <c r="I269" s="146"/>
      <c r="J269" s="146"/>
      <c r="K269" s="149"/>
      <c r="L269" s="150"/>
      <c r="M269" s="149"/>
      <c r="N269" s="151"/>
      <c r="O269" s="151"/>
      <c r="P269" s="146"/>
      <c r="Q269" s="152"/>
      <c r="R269" s="153"/>
      <c r="S269" s="146"/>
      <c r="T269" s="154"/>
      <c r="U269" s="145"/>
    </row>
    <row r="270" spans="1:21" ht="15" customHeight="1">
      <c r="A270" s="155" t="s">
        <v>2748</v>
      </c>
      <c r="B270" s="114" t="str">
        <f>VLOOKUP(A270,'Data pick slip'!B:F,5,FALSE)</f>
        <v>KHJ-MC400-00</v>
      </c>
      <c r="C270" s="156">
        <v>109783</v>
      </c>
      <c r="D270" s="156" t="str">
        <f>VLOOKUP(C270,Stock_list!D:L,2,FALSE)</f>
        <v>博睿通名义下单</v>
      </c>
      <c r="E270" s="160">
        <f>VLOOKUP(C270,Stock_list!D:L,9,FALSE)</f>
        <v>43922</v>
      </c>
      <c r="F270" s="157" t="s">
        <v>2861</v>
      </c>
      <c r="G270" s="158">
        <v>20</v>
      </c>
      <c r="H270" s="148"/>
      <c r="I270" s="146"/>
      <c r="J270" s="146"/>
      <c r="K270" s="149"/>
      <c r="L270" s="150"/>
      <c r="M270" s="149"/>
      <c r="N270" s="151"/>
      <c r="O270" s="151"/>
      <c r="P270" s="146"/>
      <c r="Q270" s="152"/>
      <c r="R270" s="153"/>
      <c r="S270" s="146"/>
      <c r="T270" s="154"/>
      <c r="U270" s="145"/>
    </row>
    <row r="271" spans="1:21" ht="15" customHeight="1">
      <c r="A271" s="155" t="s">
        <v>2749</v>
      </c>
      <c r="B271" s="114" t="str">
        <f>VLOOKUP(A271,'Data pick slip'!B:F,5,FALSE)</f>
        <v>KHJ-MC500-00</v>
      </c>
      <c r="C271" s="156">
        <v>109783</v>
      </c>
      <c r="D271" s="156" t="str">
        <f>VLOOKUP(C271,Stock_list!D:L,2,FALSE)</f>
        <v>博睿通名义下单</v>
      </c>
      <c r="E271" s="160">
        <f>VLOOKUP(C271,Stock_list!D:L,9,FALSE)</f>
        <v>43922</v>
      </c>
      <c r="F271" s="157" t="s">
        <v>2861</v>
      </c>
      <c r="G271" s="158">
        <v>10</v>
      </c>
      <c r="H271" s="148"/>
      <c r="I271" s="146"/>
      <c r="J271" s="146"/>
      <c r="K271" s="149"/>
      <c r="L271" s="150"/>
      <c r="M271" s="149"/>
      <c r="N271" s="151"/>
      <c r="O271" s="151"/>
      <c r="P271" s="146"/>
      <c r="Q271" s="152"/>
      <c r="R271" s="153"/>
      <c r="S271" s="146"/>
      <c r="T271" s="154"/>
      <c r="U271" s="145"/>
    </row>
    <row r="272" spans="1:21" ht="15" customHeight="1">
      <c r="A272" s="155" t="s">
        <v>2750</v>
      </c>
      <c r="B272" s="114" t="str">
        <f>VLOOKUP(A272,'Data pick slip'!B:F,5,FALSE)</f>
        <v>KHJ-MC600-00</v>
      </c>
      <c r="C272" s="156">
        <v>109783</v>
      </c>
      <c r="D272" s="156" t="str">
        <f>VLOOKUP(C272,Stock_list!D:L,2,FALSE)</f>
        <v>博睿通名义下单</v>
      </c>
      <c r="E272" s="160">
        <f>VLOOKUP(C272,Stock_list!D:L,9,FALSE)</f>
        <v>43922</v>
      </c>
      <c r="F272" s="157" t="s">
        <v>2861</v>
      </c>
      <c r="G272" s="158">
        <v>8</v>
      </c>
      <c r="H272" s="148"/>
      <c r="I272" s="146"/>
      <c r="J272" s="146"/>
      <c r="K272" s="149"/>
      <c r="L272" s="150"/>
      <c r="M272" s="149"/>
      <c r="N272" s="151"/>
      <c r="O272" s="151"/>
      <c r="P272" s="146"/>
      <c r="Q272" s="152"/>
      <c r="R272" s="153"/>
      <c r="S272" s="146"/>
      <c r="T272" s="154"/>
      <c r="U272" s="145"/>
    </row>
    <row r="273" spans="1:21" ht="15" customHeight="1">
      <c r="A273" s="155" t="s">
        <v>2751</v>
      </c>
      <c r="B273" s="114" t="str">
        <f>VLOOKUP(A273,'Data pick slip'!B:F,5,FALSE)</f>
        <v>KHJ-MC700-00</v>
      </c>
      <c r="C273" s="156">
        <v>109783</v>
      </c>
      <c r="D273" s="156" t="str">
        <f>VLOOKUP(C273,Stock_list!D:L,2,FALSE)</f>
        <v>博睿通名义下单</v>
      </c>
      <c r="E273" s="160">
        <f>VLOOKUP(C273,Stock_list!D:L,9,FALSE)</f>
        <v>43922</v>
      </c>
      <c r="F273" s="157" t="s">
        <v>2861</v>
      </c>
      <c r="G273" s="158">
        <v>1</v>
      </c>
      <c r="H273" s="148"/>
      <c r="I273" s="146"/>
      <c r="J273" s="146"/>
      <c r="K273" s="149"/>
      <c r="L273" s="150"/>
      <c r="M273" s="149"/>
      <c r="N273" s="151"/>
      <c r="O273" s="151"/>
      <c r="P273" s="146"/>
      <c r="Q273" s="152"/>
      <c r="R273" s="153"/>
      <c r="S273" s="146"/>
      <c r="T273" s="154"/>
      <c r="U273" s="145"/>
    </row>
    <row r="274" spans="1:21" ht="15" customHeight="1">
      <c r="A274" s="155" t="s">
        <v>2755</v>
      </c>
      <c r="B274" s="114" t="str">
        <f>VLOOKUP(A274,'Data pick slip'!B:F,5,FALSE)</f>
        <v>KLJ-MC100-00</v>
      </c>
      <c r="C274" s="156">
        <v>109793</v>
      </c>
      <c r="D274" s="156" t="str">
        <f>VLOOKUP(C274,Stock_list!D:L,2,FALSE)</f>
        <v>耕创名义下单</v>
      </c>
      <c r="E274" s="160">
        <f>VLOOKUP(C274,Stock_list!D:L,9,FALSE)</f>
        <v>43901</v>
      </c>
      <c r="F274" s="157" t="s">
        <v>2861</v>
      </c>
      <c r="G274" s="158">
        <v>100</v>
      </c>
      <c r="H274" s="148"/>
      <c r="I274" s="146"/>
      <c r="J274" s="146"/>
      <c r="K274" s="149"/>
      <c r="L274" s="150"/>
      <c r="M274" s="149"/>
      <c r="N274" s="151"/>
      <c r="O274" s="151"/>
      <c r="P274" s="146"/>
      <c r="Q274" s="152"/>
      <c r="R274" s="153"/>
      <c r="S274" s="146"/>
      <c r="T274" s="154"/>
      <c r="U274" s="145"/>
    </row>
    <row r="275" spans="1:21" ht="15" customHeight="1">
      <c r="A275" s="155" t="s">
        <v>2756</v>
      </c>
      <c r="B275" s="114" t="str">
        <f>VLOOKUP(A275,'Data pick slip'!B:F,5,FALSE)</f>
        <v>KLJ-MC200-00</v>
      </c>
      <c r="C275" s="156">
        <v>109793</v>
      </c>
      <c r="D275" s="156" t="str">
        <f>VLOOKUP(C275,Stock_list!D:L,2,FALSE)</f>
        <v>耕创名义下单</v>
      </c>
      <c r="E275" s="160">
        <f>VLOOKUP(C275,Stock_list!D:L,9,FALSE)</f>
        <v>43901</v>
      </c>
      <c r="F275" s="157" t="s">
        <v>2861</v>
      </c>
      <c r="G275" s="158">
        <v>20</v>
      </c>
      <c r="H275" s="148"/>
      <c r="I275" s="146"/>
      <c r="J275" s="146"/>
      <c r="K275" s="149"/>
      <c r="L275" s="150"/>
      <c r="M275" s="149"/>
      <c r="N275" s="151"/>
      <c r="O275" s="151"/>
      <c r="P275" s="146"/>
      <c r="Q275" s="151"/>
      <c r="R275" s="153"/>
      <c r="S275" s="146"/>
      <c r="T275" s="154"/>
      <c r="U275" s="145"/>
    </row>
    <row r="276" spans="1:21" ht="15" customHeight="1">
      <c r="A276" s="155" t="s">
        <v>2755</v>
      </c>
      <c r="B276" s="114" t="str">
        <f>VLOOKUP(A276,'Data pick slip'!B:F,5,FALSE)</f>
        <v>KLJ-MC100-00</v>
      </c>
      <c r="C276" s="156">
        <v>109794</v>
      </c>
      <c r="D276" s="156" t="str">
        <f>VLOOKUP(C276,Stock_list!D:L,2,FALSE)</f>
        <v>龙大名义下单</v>
      </c>
      <c r="E276" s="160">
        <f>VLOOKUP(C276,Stock_list!D:L,9,FALSE)</f>
        <v>43908</v>
      </c>
      <c r="F276" s="157" t="s">
        <v>2861</v>
      </c>
      <c r="G276" s="158">
        <v>100</v>
      </c>
      <c r="H276" s="148"/>
      <c r="I276" s="146"/>
      <c r="J276" s="146"/>
      <c r="K276" s="149"/>
      <c r="L276" s="150"/>
      <c r="M276" s="149"/>
      <c r="N276" s="151"/>
      <c r="O276" s="151"/>
      <c r="P276" s="146"/>
      <c r="Q276" s="152"/>
      <c r="R276" s="153"/>
      <c r="S276" s="146"/>
      <c r="T276" s="154"/>
      <c r="U276" s="145"/>
    </row>
    <row r="277" spans="1:21" ht="15" customHeight="1">
      <c r="A277" s="155" t="s">
        <v>2756</v>
      </c>
      <c r="B277" s="114" t="str">
        <f>VLOOKUP(A277,'Data pick slip'!B:F,5,FALSE)</f>
        <v>KLJ-MC200-00</v>
      </c>
      <c r="C277" s="156">
        <v>109794</v>
      </c>
      <c r="D277" s="156" t="str">
        <f>VLOOKUP(C277,Stock_list!D:L,2,FALSE)</f>
        <v>龙大名义下单</v>
      </c>
      <c r="E277" s="160">
        <f>VLOOKUP(C277,Stock_list!D:L,9,FALSE)</f>
        <v>43908</v>
      </c>
      <c r="F277" s="157" t="s">
        <v>2861</v>
      </c>
      <c r="G277" s="158">
        <v>20</v>
      </c>
      <c r="H277" s="148"/>
      <c r="I277" s="146"/>
      <c r="J277" s="146"/>
      <c r="K277" s="149"/>
      <c r="L277" s="150"/>
      <c r="M277" s="149"/>
      <c r="N277" s="151"/>
      <c r="O277" s="151"/>
      <c r="P277" s="146"/>
      <c r="Q277" s="151"/>
      <c r="R277" s="153"/>
      <c r="S277" s="146"/>
      <c r="T277" s="154"/>
      <c r="U277" s="145"/>
    </row>
    <row r="278" spans="1:21" ht="15" customHeight="1">
      <c r="A278" s="159" t="s">
        <v>2744</v>
      </c>
      <c r="B278" s="114" t="str">
        <f>VLOOKUP(A278,'Data pick slip'!B:F,5,FALSE)</f>
        <v>KHJ-MC100-00</v>
      </c>
      <c r="D278" s="156"/>
      <c r="E278" s="160" t="s">
        <v>2894</v>
      </c>
      <c r="F278" s="157" t="s">
        <v>2773</v>
      </c>
      <c r="G278" s="158">
        <v>50</v>
      </c>
      <c r="H278" s="148"/>
      <c r="I278" s="146"/>
      <c r="J278" s="146"/>
      <c r="K278" s="149"/>
      <c r="L278" s="150"/>
      <c r="M278" s="149"/>
      <c r="N278" s="151"/>
      <c r="O278" s="151"/>
      <c r="P278" s="146"/>
      <c r="Q278" s="152"/>
      <c r="R278" s="153"/>
      <c r="S278" s="146"/>
      <c r="T278" s="154"/>
      <c r="U278" s="145"/>
    </row>
    <row r="279" spans="1:21" ht="15" customHeight="1">
      <c r="A279" s="159" t="s">
        <v>2747</v>
      </c>
      <c r="B279" s="114" t="str">
        <f>VLOOKUP(A279,'Data pick slip'!B:F,5,FALSE)</f>
        <v>KHJ-MC200-00</v>
      </c>
      <c r="D279" s="156"/>
      <c r="E279" s="160" t="s">
        <v>2894</v>
      </c>
      <c r="F279" s="157" t="s">
        <v>2773</v>
      </c>
      <c r="G279" s="158">
        <v>80</v>
      </c>
      <c r="H279" s="148"/>
      <c r="I279" s="146"/>
      <c r="J279" s="146"/>
      <c r="K279" s="149"/>
      <c r="L279" s="150"/>
      <c r="M279" s="149"/>
      <c r="N279" s="151"/>
      <c r="O279" s="151"/>
      <c r="P279" s="146"/>
      <c r="Q279" s="152"/>
      <c r="R279" s="153"/>
      <c r="S279" s="146"/>
      <c r="T279" s="154"/>
      <c r="U279" s="145"/>
    </row>
    <row r="280" spans="1:21" ht="15" customHeight="1">
      <c r="A280" s="159" t="s">
        <v>2748</v>
      </c>
      <c r="B280" s="114" t="str">
        <f>VLOOKUP(A280,'Data pick slip'!B:F,5,FALSE)</f>
        <v>KHJ-MC400-00</v>
      </c>
      <c r="D280" s="156"/>
      <c r="E280" s="160" t="s">
        <v>2894</v>
      </c>
      <c r="F280" s="157" t="s">
        <v>2773</v>
      </c>
      <c r="G280" s="158">
        <v>14</v>
      </c>
      <c r="H280" s="148"/>
      <c r="I280" s="146"/>
      <c r="J280" s="146"/>
      <c r="K280" s="149"/>
      <c r="L280" s="150"/>
      <c r="M280" s="149"/>
      <c r="N280" s="151"/>
      <c r="O280" s="151"/>
      <c r="P280" s="146"/>
      <c r="Q280" s="152"/>
      <c r="R280" s="153"/>
      <c r="S280" s="146"/>
      <c r="T280" s="154"/>
      <c r="U280" s="145"/>
    </row>
    <row r="281" spans="1:21" ht="15" customHeight="1">
      <c r="A281" s="159" t="s">
        <v>2759</v>
      </c>
      <c r="B281" s="114" t="str">
        <f>VLOOKUP(A281,'Data pick slip'!B:F,5,FALSE)</f>
        <v>KLJ-MC600-00</v>
      </c>
      <c r="D281" s="156"/>
      <c r="E281" s="160" t="s">
        <v>2894</v>
      </c>
      <c r="F281" s="157" t="s">
        <v>2773</v>
      </c>
      <c r="G281" s="158">
        <v>3</v>
      </c>
      <c r="H281" s="148"/>
      <c r="I281" s="146"/>
      <c r="J281" s="146"/>
      <c r="K281" s="149"/>
      <c r="L281" s="150"/>
      <c r="M281" s="149"/>
      <c r="N281" s="151"/>
      <c r="O281" s="151"/>
      <c r="P281" s="146"/>
      <c r="Q281" s="152"/>
      <c r="R281" s="153"/>
      <c r="S281" s="146"/>
      <c r="T281" s="154"/>
      <c r="U281" s="145"/>
    </row>
    <row r="282" spans="1:21" ht="15" customHeight="1">
      <c r="A282" s="159" t="s">
        <v>2744</v>
      </c>
      <c r="B282" s="114" t="str">
        <f>VLOOKUP(A282,'Data pick slip'!B:F,5,FALSE)</f>
        <v>KHJ-MC100-00</v>
      </c>
      <c r="D282" s="156"/>
      <c r="E282" s="160" t="s">
        <v>2895</v>
      </c>
      <c r="F282" s="157" t="s">
        <v>2773</v>
      </c>
      <c r="G282" s="158">
        <v>150</v>
      </c>
      <c r="H282" s="148"/>
      <c r="I282" s="146"/>
      <c r="J282" s="146"/>
      <c r="K282" s="149"/>
      <c r="L282" s="150"/>
      <c r="M282" s="149"/>
      <c r="N282" s="151"/>
      <c r="O282" s="151"/>
      <c r="P282" s="146"/>
      <c r="Q282" s="152"/>
      <c r="R282" s="153"/>
      <c r="S282" s="146"/>
      <c r="T282" s="154"/>
      <c r="U282" s="145"/>
    </row>
    <row r="283" spans="1:21" ht="15" customHeight="1">
      <c r="A283" s="159" t="s">
        <v>2749</v>
      </c>
      <c r="B283" s="114" t="str">
        <f>VLOOKUP(A283,'Data pick slip'!B:F,5,FALSE)</f>
        <v>KHJ-MC500-00</v>
      </c>
      <c r="D283" s="156"/>
      <c r="E283" s="160" t="s">
        <v>2895</v>
      </c>
      <c r="F283" s="157" t="s">
        <v>2773</v>
      </c>
      <c r="G283" s="158">
        <v>5</v>
      </c>
      <c r="H283" s="148"/>
      <c r="I283" s="146"/>
      <c r="J283" s="146"/>
      <c r="K283" s="149"/>
      <c r="L283" s="150"/>
      <c r="M283" s="149"/>
      <c r="N283" s="151"/>
      <c r="O283" s="151"/>
      <c r="P283" s="146"/>
      <c r="Q283" s="152"/>
      <c r="R283" s="153"/>
      <c r="S283" s="146"/>
      <c r="T283" s="154"/>
      <c r="U283" s="145"/>
    </row>
    <row r="284" spans="1:21" ht="15" customHeight="1">
      <c r="A284" s="159" t="s">
        <v>2744</v>
      </c>
      <c r="B284" s="114" t="str">
        <f>VLOOKUP(A284,'Data pick slip'!B:F,5,FALSE)</f>
        <v>KHJ-MC100-00</v>
      </c>
      <c r="D284" s="156"/>
      <c r="E284" s="160" t="s">
        <v>2896</v>
      </c>
      <c r="F284" s="157" t="s">
        <v>2773</v>
      </c>
      <c r="G284" s="158">
        <v>50</v>
      </c>
      <c r="H284" s="148"/>
      <c r="I284" s="146"/>
      <c r="J284" s="146"/>
      <c r="K284" s="149"/>
      <c r="L284" s="150"/>
      <c r="M284" s="149"/>
      <c r="N284" s="151"/>
      <c r="O284" s="151"/>
      <c r="P284" s="146"/>
      <c r="Q284" s="152"/>
      <c r="R284" s="153"/>
      <c r="S284" s="146"/>
      <c r="T284" s="154"/>
      <c r="U284" s="145"/>
    </row>
    <row r="285" spans="1:21" ht="15" customHeight="1">
      <c r="A285" s="159" t="s">
        <v>2747</v>
      </c>
      <c r="B285" s="114" t="str">
        <f>VLOOKUP(A285,'Data pick slip'!B:F,5,FALSE)</f>
        <v>KHJ-MC200-00</v>
      </c>
      <c r="D285" s="156"/>
      <c r="E285" s="160" t="s">
        <v>2896</v>
      </c>
      <c r="F285" s="157" t="s">
        <v>2773</v>
      </c>
      <c r="G285" s="158">
        <v>20</v>
      </c>
      <c r="H285" s="148"/>
      <c r="I285" s="146"/>
      <c r="J285" s="146"/>
      <c r="K285" s="149"/>
      <c r="L285" s="150"/>
      <c r="M285" s="149"/>
      <c r="N285" s="151"/>
      <c r="O285" s="151"/>
      <c r="P285" s="146"/>
      <c r="Q285" s="152"/>
      <c r="R285" s="153"/>
      <c r="S285" s="146"/>
      <c r="T285" s="154"/>
      <c r="U285" s="145"/>
    </row>
    <row r="286" spans="1:21" ht="15" customHeight="1">
      <c r="A286" s="159" t="s">
        <v>2748</v>
      </c>
      <c r="B286" s="114" t="str">
        <f>VLOOKUP(A286,'Data pick slip'!B:F,5,FALSE)</f>
        <v>KHJ-MC400-00</v>
      </c>
      <c r="D286" s="156"/>
      <c r="E286" s="160" t="s">
        <v>2896</v>
      </c>
      <c r="F286" s="157" t="s">
        <v>2773</v>
      </c>
      <c r="G286" s="158">
        <v>10</v>
      </c>
      <c r="H286" s="148"/>
      <c r="I286" s="146"/>
      <c r="J286" s="146"/>
      <c r="K286" s="149"/>
      <c r="L286" s="150"/>
      <c r="M286" s="149"/>
      <c r="N286" s="151"/>
      <c r="O286" s="151"/>
      <c r="P286" s="146"/>
      <c r="Q286" s="152"/>
      <c r="R286" s="153"/>
      <c r="S286" s="146"/>
      <c r="T286" s="154"/>
      <c r="U286" s="145"/>
    </row>
    <row r="287" spans="1:21" ht="15" customHeight="1">
      <c r="A287" s="159" t="s">
        <v>2744</v>
      </c>
      <c r="B287" s="114" t="str">
        <f>VLOOKUP(A287,'Data pick slip'!B:F,5,FALSE)</f>
        <v>KHJ-MC100-00</v>
      </c>
      <c r="D287" s="156"/>
      <c r="E287" s="160" t="s">
        <v>2897</v>
      </c>
      <c r="F287" s="157" t="s">
        <v>2773</v>
      </c>
      <c r="G287" s="158">
        <v>120</v>
      </c>
      <c r="H287" s="148"/>
      <c r="I287" s="146"/>
      <c r="J287" s="146"/>
      <c r="K287" s="149"/>
      <c r="L287" s="150"/>
      <c r="M287" s="149"/>
      <c r="N287" s="151"/>
      <c r="O287" s="151"/>
      <c r="P287" s="146"/>
      <c r="Q287" s="152"/>
      <c r="R287" s="153"/>
      <c r="S287" s="146"/>
      <c r="T287" s="154"/>
      <c r="U287" s="145"/>
    </row>
    <row r="288" spans="1:21" ht="15" customHeight="1">
      <c r="A288" s="159" t="s">
        <v>2747</v>
      </c>
      <c r="B288" s="114" t="str">
        <f>VLOOKUP(A288,'Data pick slip'!B:F,5,FALSE)</f>
        <v>KHJ-MC200-00</v>
      </c>
      <c r="D288" s="156"/>
      <c r="E288" s="160" t="s">
        <v>2897</v>
      </c>
      <c r="F288" s="157" t="s">
        <v>2773</v>
      </c>
      <c r="G288" s="158">
        <v>20</v>
      </c>
      <c r="H288" s="148"/>
      <c r="I288" s="146"/>
      <c r="J288" s="146"/>
      <c r="K288" s="149"/>
      <c r="L288" s="150"/>
      <c r="M288" s="149"/>
      <c r="N288" s="151"/>
      <c r="O288" s="151"/>
      <c r="P288" s="146"/>
      <c r="Q288" s="152"/>
      <c r="R288" s="153"/>
      <c r="S288" s="146"/>
      <c r="T288" s="154"/>
      <c r="U288" s="145"/>
    </row>
    <row r="289" spans="1:21" ht="15" customHeight="1">
      <c r="A289" s="159" t="s">
        <v>2748</v>
      </c>
      <c r="B289" s="114" t="str">
        <f>VLOOKUP(A289,'Data pick slip'!B:F,5,FALSE)</f>
        <v>KHJ-MC400-00</v>
      </c>
      <c r="D289" s="156"/>
      <c r="E289" s="160" t="s">
        <v>2897</v>
      </c>
      <c r="F289" s="157" t="s">
        <v>2773</v>
      </c>
      <c r="G289" s="158">
        <v>5</v>
      </c>
      <c r="H289" s="148"/>
      <c r="I289" s="146"/>
      <c r="J289" s="146"/>
      <c r="K289" s="149"/>
      <c r="L289" s="150"/>
      <c r="M289" s="149"/>
      <c r="N289" s="151"/>
      <c r="O289" s="151"/>
      <c r="P289" s="146"/>
      <c r="Q289" s="152"/>
      <c r="R289" s="153"/>
      <c r="S289" s="146"/>
      <c r="T289" s="154"/>
      <c r="U289" s="145"/>
    </row>
    <row r="290" spans="1:21" ht="15" customHeight="1">
      <c r="A290" s="159" t="s">
        <v>2749</v>
      </c>
      <c r="B290" s="114" t="str">
        <f>VLOOKUP(A290,'Data pick slip'!B:F,5,FALSE)</f>
        <v>KHJ-MC500-00</v>
      </c>
      <c r="D290" s="156"/>
      <c r="E290" s="160" t="s">
        <v>2897</v>
      </c>
      <c r="F290" s="157" t="s">
        <v>2773</v>
      </c>
      <c r="G290" s="158">
        <v>4</v>
      </c>
      <c r="H290" s="148"/>
      <c r="I290" s="146"/>
      <c r="J290" s="146"/>
      <c r="K290" s="149"/>
      <c r="L290" s="150"/>
      <c r="M290" s="149"/>
      <c r="N290" s="151"/>
      <c r="O290" s="151"/>
      <c r="P290" s="146"/>
      <c r="Q290" s="152"/>
      <c r="R290" s="153"/>
      <c r="S290" s="146"/>
      <c r="T290" s="154"/>
      <c r="U290" s="145"/>
    </row>
    <row r="291" spans="1:21" ht="15" customHeight="1">
      <c r="A291" s="159" t="s">
        <v>2755</v>
      </c>
      <c r="B291" s="114" t="str">
        <f>VLOOKUP(A291,'Data pick slip'!B:F,5,FALSE)</f>
        <v>KLJ-MC100-00</v>
      </c>
      <c r="D291" s="156"/>
      <c r="E291" s="160" t="s">
        <v>2898</v>
      </c>
      <c r="F291" s="157" t="s">
        <v>2773</v>
      </c>
      <c r="G291" s="158">
        <v>100</v>
      </c>
      <c r="H291" s="148"/>
      <c r="I291" s="146"/>
      <c r="J291" s="146"/>
      <c r="K291" s="149"/>
      <c r="L291" s="150"/>
      <c r="M291" s="149"/>
      <c r="N291" s="151"/>
      <c r="O291" s="151"/>
      <c r="P291" s="146"/>
      <c r="Q291" s="152"/>
      <c r="R291" s="153"/>
      <c r="S291" s="146"/>
      <c r="T291" s="154"/>
      <c r="U291" s="145"/>
    </row>
    <row r="292" spans="1:21" ht="15" customHeight="1">
      <c r="A292" s="159" t="s">
        <v>2756</v>
      </c>
      <c r="B292" s="114" t="str">
        <f>VLOOKUP(A292,'Data pick slip'!B:F,5,FALSE)</f>
        <v>KLJ-MC200-00</v>
      </c>
      <c r="D292" s="156"/>
      <c r="E292" s="160" t="s">
        <v>2898</v>
      </c>
      <c r="F292" s="157" t="s">
        <v>2773</v>
      </c>
      <c r="G292" s="158">
        <v>20</v>
      </c>
      <c r="H292" s="148"/>
      <c r="I292" s="146"/>
      <c r="J292" s="146"/>
      <c r="K292" s="149"/>
      <c r="L292" s="150"/>
      <c r="M292" s="149"/>
      <c r="N292" s="151"/>
      <c r="O292" s="151"/>
      <c r="P292" s="146"/>
      <c r="Q292" s="151"/>
      <c r="R292" s="153"/>
      <c r="S292" s="146"/>
      <c r="T292" s="154"/>
      <c r="U292" s="145"/>
    </row>
    <row r="293" spans="1:21" ht="15" customHeight="1">
      <c r="A293" s="159" t="s">
        <v>2755</v>
      </c>
      <c r="B293" s="114" t="str">
        <f>VLOOKUP(A293,'Data pick slip'!B:F,5,FALSE)</f>
        <v>KLJ-MC100-00</v>
      </c>
      <c r="D293" s="156"/>
      <c r="E293" s="160" t="s">
        <v>2897</v>
      </c>
      <c r="F293" s="157" t="s">
        <v>2773</v>
      </c>
      <c r="G293" s="158">
        <v>100</v>
      </c>
      <c r="H293" s="148"/>
      <c r="I293" s="146"/>
      <c r="J293" s="146"/>
      <c r="K293" s="149"/>
      <c r="L293" s="150"/>
      <c r="M293" s="149"/>
      <c r="N293" s="151"/>
      <c r="O293" s="151"/>
      <c r="P293" s="146"/>
      <c r="Q293" s="152"/>
      <c r="R293" s="153"/>
      <c r="S293" s="146"/>
      <c r="T293" s="154"/>
      <c r="U293" s="145"/>
    </row>
    <row r="294" spans="1:21" ht="15" customHeight="1">
      <c r="A294" s="159" t="s">
        <v>2756</v>
      </c>
      <c r="B294" s="114" t="str">
        <f>VLOOKUP(A294,'Data pick slip'!B:F,5,FALSE)</f>
        <v>KLJ-MC200-00</v>
      </c>
      <c r="D294" s="156"/>
      <c r="E294" s="160" t="s">
        <v>2897</v>
      </c>
      <c r="F294" s="157" t="s">
        <v>2773</v>
      </c>
      <c r="G294" s="158">
        <v>20</v>
      </c>
      <c r="H294" s="148"/>
      <c r="I294" s="146"/>
      <c r="J294" s="146"/>
      <c r="K294" s="149"/>
      <c r="L294" s="150"/>
      <c r="M294" s="149"/>
      <c r="N294" s="151"/>
      <c r="O294" s="151"/>
      <c r="P294" s="146"/>
      <c r="Q294" s="151"/>
      <c r="R294" s="153"/>
      <c r="S294" s="146"/>
      <c r="T294" s="154"/>
      <c r="U294" s="145"/>
    </row>
    <row r="295" spans="1:21" ht="15" customHeight="1">
      <c r="A295" s="155" t="s">
        <v>2744</v>
      </c>
      <c r="B295" s="114" t="str">
        <f>VLOOKUP(A295,'Data pick slip'!B:F,5,FALSE)</f>
        <v>KHJ-MC100-00</v>
      </c>
      <c r="C295" s="156">
        <v>109889</v>
      </c>
      <c r="D295" s="156" t="str">
        <f>VLOOKUP(C295,Stock_list!D:L,2,FALSE)</f>
        <v>奕东名义下单</v>
      </c>
      <c r="E295" s="160">
        <f>VLOOKUP(C295,Stock_list!D:L,9,FALSE)</f>
        <v>43985</v>
      </c>
      <c r="F295" s="157" t="s">
        <v>2861</v>
      </c>
      <c r="G295" s="158">
        <v>50</v>
      </c>
      <c r="H295" s="148"/>
      <c r="I295" s="146"/>
      <c r="J295" s="146"/>
      <c r="K295" s="149"/>
      <c r="L295" s="150"/>
      <c r="M295" s="149"/>
      <c r="N295" s="151"/>
      <c r="O295" s="151"/>
      <c r="P295" s="146"/>
      <c r="Q295" s="152"/>
      <c r="R295" s="153"/>
      <c r="S295" s="146"/>
      <c r="T295" s="154"/>
      <c r="U295" s="145"/>
    </row>
    <row r="296" spans="1:21" ht="15" customHeight="1">
      <c r="A296" s="155" t="s">
        <v>2747</v>
      </c>
      <c r="B296" s="114" t="str">
        <f>VLOOKUP(A296,'Data pick slip'!B:F,5,FALSE)</f>
        <v>KHJ-MC200-00</v>
      </c>
      <c r="C296" s="156">
        <v>109889</v>
      </c>
      <c r="D296" s="156" t="str">
        <f>VLOOKUP(C296,Stock_list!D:L,2,FALSE)</f>
        <v>奕东名义下单</v>
      </c>
      <c r="E296" s="160">
        <f>VLOOKUP(C296,Stock_list!D:L,9,FALSE)</f>
        <v>43985</v>
      </c>
      <c r="F296" s="157" t="s">
        <v>2861</v>
      </c>
      <c r="G296" s="158">
        <v>10</v>
      </c>
      <c r="H296" s="148"/>
      <c r="I296" s="146"/>
      <c r="J296" s="146"/>
      <c r="K296" s="149"/>
      <c r="L296" s="150"/>
      <c r="M296" s="149"/>
      <c r="N296" s="151"/>
      <c r="O296" s="151"/>
      <c r="P296" s="146"/>
      <c r="Q296" s="152"/>
      <c r="R296" s="153"/>
      <c r="S296" s="146"/>
      <c r="T296" s="154"/>
      <c r="U296" s="145"/>
    </row>
    <row r="297" spans="1:21" ht="15" customHeight="1">
      <c r="A297" s="155" t="s">
        <v>2754</v>
      </c>
      <c r="B297" s="114" t="str">
        <f>VLOOKUP(A297,'Data pick slip'!B:F,5,FALSE)</f>
        <v>KLJ-MCN00-20</v>
      </c>
      <c r="C297" s="156">
        <v>109855</v>
      </c>
      <c r="D297" s="156" t="str">
        <f>VLOOKUP(C297,Stock_list!D:L,2,FALSE)</f>
        <v>Stock order</v>
      </c>
      <c r="E297" s="160">
        <f>VLOOKUP(C297,Stock_list!D:L,9,FALSE)</f>
        <v>43946</v>
      </c>
      <c r="F297" s="157" t="s">
        <v>2861</v>
      </c>
      <c r="G297" s="158">
        <v>5</v>
      </c>
      <c r="H297" s="148"/>
      <c r="I297" s="146"/>
      <c r="J297" s="146"/>
      <c r="K297" s="149"/>
      <c r="L297" s="150"/>
      <c r="M297" s="149"/>
      <c r="N297" s="151"/>
      <c r="O297" s="151"/>
      <c r="P297" s="146"/>
      <c r="Q297" s="152"/>
      <c r="R297" s="153"/>
      <c r="S297" s="146"/>
      <c r="T297" s="154"/>
      <c r="U297" s="145"/>
    </row>
    <row r="298" spans="1:21" ht="15" customHeight="1">
      <c r="A298" s="155" t="s">
        <v>2744</v>
      </c>
      <c r="B298" s="114" t="str">
        <f>VLOOKUP(A298,'Data pick slip'!B:F,5,FALSE)</f>
        <v>KHJ-MC100-00</v>
      </c>
      <c r="C298" s="156">
        <v>109855</v>
      </c>
      <c r="D298" s="156" t="str">
        <f>VLOOKUP(C298,Stock_list!D:L,2,FALSE)</f>
        <v>Stock order</v>
      </c>
      <c r="E298" s="160">
        <f>VLOOKUP(C298,Stock_list!D:L,9,FALSE)</f>
        <v>43946</v>
      </c>
      <c r="F298" s="157" t="s">
        <v>2861</v>
      </c>
      <c r="G298" s="158">
        <v>700</v>
      </c>
      <c r="H298" s="148"/>
      <c r="I298" s="146"/>
      <c r="J298" s="146"/>
      <c r="K298" s="149"/>
      <c r="L298" s="150"/>
      <c r="M298" s="149"/>
      <c r="N298" s="151"/>
      <c r="O298" s="151"/>
      <c r="P298" s="146"/>
      <c r="Q298" s="152"/>
      <c r="R298" s="153"/>
      <c r="S298" s="146"/>
      <c r="T298" s="154"/>
      <c r="U298" s="145"/>
    </row>
    <row r="299" spans="1:21" ht="15" customHeight="1">
      <c r="A299" s="155" t="s">
        <v>2747</v>
      </c>
      <c r="B299" s="114" t="str">
        <f>VLOOKUP(A299,'Data pick slip'!B:F,5,FALSE)</f>
        <v>KHJ-MC200-00</v>
      </c>
      <c r="C299" s="156">
        <v>109855</v>
      </c>
      <c r="D299" s="156" t="str">
        <f>VLOOKUP(C299,Stock_list!D:L,2,FALSE)</f>
        <v>Stock order</v>
      </c>
      <c r="E299" s="160">
        <f>VLOOKUP(C299,Stock_list!D:L,9,FALSE)</f>
        <v>43946</v>
      </c>
      <c r="F299" s="157" t="s">
        <v>2861</v>
      </c>
      <c r="G299" s="158">
        <v>50</v>
      </c>
      <c r="H299" s="148"/>
      <c r="I299" s="146"/>
      <c r="J299" s="146"/>
      <c r="K299" s="149"/>
      <c r="L299" s="150"/>
      <c r="M299" s="149"/>
      <c r="N299" s="151"/>
      <c r="O299" s="151"/>
      <c r="P299" s="146"/>
      <c r="Q299" s="152"/>
      <c r="R299" s="153"/>
      <c r="S299" s="146"/>
      <c r="T299" s="154"/>
      <c r="U299" s="145"/>
    </row>
    <row r="300" spans="1:21" ht="15" customHeight="1">
      <c r="A300" s="155" t="s">
        <v>2748</v>
      </c>
      <c r="B300" s="114" t="str">
        <f>VLOOKUP(A300,'Data pick slip'!B:F,5,FALSE)</f>
        <v>KHJ-MC400-00</v>
      </c>
      <c r="C300" s="156">
        <v>109855</v>
      </c>
      <c r="D300" s="156" t="str">
        <f>VLOOKUP(C300,Stock_list!D:L,2,FALSE)</f>
        <v>Stock order</v>
      </c>
      <c r="E300" s="160">
        <f>VLOOKUP(C300,Stock_list!D:L,9,FALSE)</f>
        <v>43946</v>
      </c>
      <c r="F300" s="157" t="s">
        <v>2861</v>
      </c>
      <c r="G300" s="158">
        <v>5</v>
      </c>
      <c r="H300" s="148"/>
      <c r="I300" s="146"/>
      <c r="J300" s="146"/>
      <c r="K300" s="149"/>
      <c r="L300" s="150"/>
      <c r="M300" s="149"/>
      <c r="N300" s="151"/>
      <c r="O300" s="151"/>
      <c r="P300" s="146"/>
      <c r="Q300" s="152"/>
      <c r="R300" s="153"/>
      <c r="S300" s="146"/>
      <c r="T300" s="154"/>
      <c r="U300" s="145"/>
    </row>
    <row r="301" spans="1:21" ht="15" customHeight="1">
      <c r="A301" s="155" t="s">
        <v>2750</v>
      </c>
      <c r="B301" s="114" t="str">
        <f>VLOOKUP(A301,'Data pick slip'!B:F,5,FALSE)</f>
        <v>KHJ-MC600-00</v>
      </c>
      <c r="C301" s="156">
        <v>109855</v>
      </c>
      <c r="D301" s="156" t="str">
        <f>VLOOKUP(C301,Stock_list!D:L,2,FALSE)</f>
        <v>Stock order</v>
      </c>
      <c r="E301" s="160">
        <f>VLOOKUP(C301,Stock_list!D:L,9,FALSE)</f>
        <v>43946</v>
      </c>
      <c r="F301" s="157" t="s">
        <v>2861</v>
      </c>
      <c r="G301" s="158">
        <v>5</v>
      </c>
      <c r="H301" s="148"/>
      <c r="I301" s="146"/>
      <c r="J301" s="146"/>
      <c r="K301" s="149"/>
      <c r="L301" s="150"/>
      <c r="M301" s="149"/>
      <c r="N301" s="151"/>
      <c r="O301" s="151"/>
      <c r="P301" s="146"/>
      <c r="Q301" s="152"/>
      <c r="R301" s="153"/>
      <c r="S301" s="146"/>
      <c r="T301" s="154"/>
      <c r="U301" s="145"/>
    </row>
    <row r="302" spans="1:21" ht="15" customHeight="1">
      <c r="A302" s="159" t="s">
        <v>2744</v>
      </c>
      <c r="B302" s="114" t="str">
        <f>VLOOKUP(A302,'Data pick slip'!B:F,5,FALSE)</f>
        <v>KHJ-MC100-00</v>
      </c>
      <c r="D302" s="140"/>
      <c r="E302" s="160" t="s">
        <v>2899</v>
      </c>
      <c r="F302" s="157" t="s">
        <v>2773</v>
      </c>
      <c r="G302" s="158">
        <v>80</v>
      </c>
      <c r="H302" s="148"/>
      <c r="I302" s="146"/>
      <c r="J302" s="146"/>
      <c r="K302" s="149"/>
      <c r="L302" s="150"/>
      <c r="M302" s="149"/>
      <c r="N302" s="151"/>
      <c r="O302" s="151"/>
      <c r="P302" s="146"/>
      <c r="Q302" s="152"/>
      <c r="R302" s="153"/>
      <c r="S302" s="146"/>
      <c r="T302" s="154"/>
      <c r="U302" s="145"/>
    </row>
    <row r="303" spans="1:21" ht="15" customHeight="1">
      <c r="A303" s="159" t="s">
        <v>2747</v>
      </c>
      <c r="B303" s="114" t="str">
        <f>VLOOKUP(A303,'Data pick slip'!B:F,5,FALSE)</f>
        <v>KHJ-MC200-00</v>
      </c>
      <c r="D303" s="140"/>
      <c r="E303" s="160" t="s">
        <v>2899</v>
      </c>
      <c r="F303" s="157" t="s">
        <v>2773</v>
      </c>
      <c r="G303" s="158">
        <v>10</v>
      </c>
      <c r="H303" s="148"/>
      <c r="I303" s="146"/>
      <c r="J303" s="146"/>
      <c r="K303" s="149"/>
      <c r="L303" s="150"/>
      <c r="M303" s="149"/>
      <c r="N303" s="151"/>
      <c r="O303" s="151"/>
      <c r="P303" s="146"/>
      <c r="Q303" s="152"/>
      <c r="R303" s="153"/>
      <c r="S303" s="146"/>
      <c r="T303" s="154"/>
      <c r="U303" s="145"/>
    </row>
    <row r="304" spans="1:21" ht="15" customHeight="1">
      <c r="A304" s="159" t="s">
        <v>2748</v>
      </c>
      <c r="B304" s="114" t="str">
        <f>VLOOKUP(A304,'Data pick slip'!B:F,5,FALSE)</f>
        <v>KHJ-MC400-00</v>
      </c>
      <c r="D304" s="140"/>
      <c r="E304" s="160" t="s">
        <v>2899</v>
      </c>
      <c r="F304" s="157" t="s">
        <v>2773</v>
      </c>
      <c r="G304" s="158">
        <v>6</v>
      </c>
      <c r="H304" s="148"/>
      <c r="I304" s="146"/>
      <c r="J304" s="146"/>
      <c r="K304" s="149"/>
      <c r="L304" s="150"/>
      <c r="M304" s="149"/>
      <c r="N304" s="151"/>
      <c r="O304" s="151"/>
      <c r="P304" s="146"/>
      <c r="Q304" s="152"/>
      <c r="R304" s="153"/>
      <c r="S304" s="146"/>
      <c r="T304" s="154"/>
      <c r="U304" s="145"/>
    </row>
    <row r="305" spans="1:21" ht="15" customHeight="1">
      <c r="A305" s="159" t="s">
        <v>2744</v>
      </c>
      <c r="B305" s="114" t="str">
        <f>VLOOKUP(A305,'Data pick slip'!B:F,5,FALSE)</f>
        <v>KHJ-MC100-00</v>
      </c>
      <c r="C305" s="156">
        <v>109868</v>
      </c>
      <c r="D305" s="156" t="str">
        <f>VLOOKUP(C305,Stock_list!D:L,2,FALSE)</f>
        <v>Stock order</v>
      </c>
      <c r="E305" s="160">
        <f>VLOOKUP(C305,Stock_list!D:L,9,FALSE)</f>
        <v>43992</v>
      </c>
      <c r="F305" s="157" t="s">
        <v>2861</v>
      </c>
      <c r="G305" s="158">
        <v>50</v>
      </c>
      <c r="H305" s="148"/>
      <c r="I305" s="146"/>
      <c r="J305" s="146"/>
      <c r="K305" s="149"/>
      <c r="L305" s="150"/>
      <c r="M305" s="149"/>
      <c r="N305" s="151"/>
      <c r="O305" s="151"/>
      <c r="P305" s="146"/>
      <c r="Q305" s="152"/>
      <c r="R305" s="153"/>
      <c r="S305" s="146"/>
      <c r="T305" s="154"/>
      <c r="U305" s="145"/>
    </row>
    <row r="306" spans="1:21" ht="15" customHeight="1">
      <c r="A306" s="159" t="s">
        <v>2747</v>
      </c>
      <c r="B306" s="114" t="str">
        <f>VLOOKUP(A306,'Data pick slip'!B:F,5,FALSE)</f>
        <v>KHJ-MC200-00</v>
      </c>
      <c r="C306" s="156">
        <v>109868</v>
      </c>
      <c r="D306" s="156" t="str">
        <f>VLOOKUP(C306,Stock_list!D:L,2,FALSE)</f>
        <v>Stock order</v>
      </c>
      <c r="E306" s="160">
        <f>VLOOKUP(C306,Stock_list!D:L,9,FALSE)</f>
        <v>43992</v>
      </c>
      <c r="F306" s="157" t="s">
        <v>2861</v>
      </c>
      <c r="G306" s="158">
        <v>100</v>
      </c>
      <c r="H306" s="148"/>
      <c r="I306" s="146"/>
      <c r="J306" s="146"/>
      <c r="K306" s="149"/>
      <c r="L306" s="150"/>
      <c r="M306" s="149"/>
      <c r="N306" s="151"/>
      <c r="O306" s="151"/>
      <c r="P306" s="146"/>
      <c r="Q306" s="152"/>
      <c r="R306" s="153"/>
      <c r="S306" s="146"/>
      <c r="T306" s="154"/>
      <c r="U306" s="145"/>
    </row>
    <row r="307" spans="1:21" ht="15" customHeight="1">
      <c r="A307" s="159" t="s">
        <v>2748</v>
      </c>
      <c r="B307" s="114" t="str">
        <f>VLOOKUP(A307,'Data pick slip'!B:F,5,FALSE)</f>
        <v>KHJ-MC400-00</v>
      </c>
      <c r="C307" s="156">
        <v>109868</v>
      </c>
      <c r="D307" s="156" t="str">
        <f>VLOOKUP(C307,Stock_list!D:L,2,FALSE)</f>
        <v>Stock order</v>
      </c>
      <c r="E307" s="160">
        <f>VLOOKUP(C307,Stock_list!D:L,9,FALSE)</f>
        <v>43992</v>
      </c>
      <c r="F307" s="157" t="s">
        <v>2861</v>
      </c>
      <c r="G307" s="158">
        <v>40</v>
      </c>
      <c r="H307" s="148"/>
      <c r="I307" s="146"/>
      <c r="J307" s="146"/>
      <c r="K307" s="149"/>
      <c r="L307" s="150"/>
      <c r="M307" s="149"/>
      <c r="N307" s="151"/>
      <c r="O307" s="151"/>
      <c r="P307" s="146"/>
      <c r="Q307" s="152"/>
      <c r="R307" s="153"/>
      <c r="S307" s="146"/>
      <c r="T307" s="154"/>
      <c r="U307" s="145"/>
    </row>
    <row r="308" spans="1:21" ht="15" customHeight="1">
      <c r="A308" s="155" t="s">
        <v>2750</v>
      </c>
      <c r="B308" s="114" t="str">
        <f>VLOOKUP(A308,'Data pick slip'!B:F,5,FALSE)</f>
        <v>KHJ-MC600-00</v>
      </c>
      <c r="C308" s="156">
        <v>109868</v>
      </c>
      <c r="D308" s="156" t="str">
        <f>VLOOKUP(C308,Stock_list!D:L,2,FALSE)</f>
        <v>Stock order</v>
      </c>
      <c r="E308" s="160">
        <f>VLOOKUP(C308,Stock_list!D:L,9,FALSE)</f>
        <v>43992</v>
      </c>
      <c r="F308" s="157" t="s">
        <v>2861</v>
      </c>
      <c r="G308" s="158">
        <v>5</v>
      </c>
      <c r="H308" s="148"/>
      <c r="I308" s="146"/>
      <c r="J308" s="146"/>
      <c r="K308" s="149"/>
      <c r="L308" s="150"/>
      <c r="M308" s="149"/>
      <c r="N308" s="151"/>
      <c r="O308" s="151"/>
      <c r="P308" s="146"/>
      <c r="Q308" s="152"/>
      <c r="R308" s="153"/>
      <c r="S308" s="146"/>
      <c r="T308" s="154"/>
      <c r="U308" s="145"/>
    </row>
    <row r="309" spans="1:21" ht="15" customHeight="1">
      <c r="A309" s="159" t="s">
        <v>2744</v>
      </c>
      <c r="B309" s="114" t="str">
        <f>VLOOKUP(A309,'Data pick slip'!B:F,5,FALSE)</f>
        <v>KHJ-MC100-00</v>
      </c>
      <c r="C309" s="156">
        <v>109886</v>
      </c>
      <c r="D309" s="156" t="str">
        <f>VLOOKUP(C309,Stock_list!D:L,2,FALSE)</f>
        <v>Stock order</v>
      </c>
      <c r="E309" s="160">
        <f>VLOOKUP(C309,Stock_list!D:L,9,FALSE)</f>
        <v>44006</v>
      </c>
      <c r="F309" s="157" t="s">
        <v>2861</v>
      </c>
      <c r="G309" s="158">
        <v>500</v>
      </c>
      <c r="H309" s="148"/>
      <c r="I309" s="146"/>
      <c r="J309" s="146"/>
      <c r="K309" s="149"/>
      <c r="L309" s="150"/>
      <c r="M309" s="149"/>
      <c r="N309" s="151"/>
      <c r="O309" s="151"/>
      <c r="P309" s="146"/>
      <c r="Q309" s="152"/>
      <c r="R309" s="153"/>
      <c r="S309" s="146"/>
      <c r="T309" s="154"/>
      <c r="U309" s="145"/>
    </row>
    <row r="310" spans="1:21" ht="15" customHeight="1">
      <c r="A310" s="159" t="s">
        <v>2747</v>
      </c>
      <c r="B310" s="114" t="str">
        <f>VLOOKUP(A310,'Data pick slip'!B:F,5,FALSE)</f>
        <v>KHJ-MC200-00</v>
      </c>
      <c r="C310" s="156">
        <v>109886</v>
      </c>
      <c r="D310" s="156" t="str">
        <f>VLOOKUP(C310,Stock_list!D:L,2,FALSE)</f>
        <v>Stock order</v>
      </c>
      <c r="E310" s="160">
        <f>VLOOKUP(C310,Stock_list!D:L,9,FALSE)</f>
        <v>44006</v>
      </c>
      <c r="F310" s="157" t="s">
        <v>2861</v>
      </c>
      <c r="G310" s="158">
        <v>60</v>
      </c>
      <c r="H310" s="148"/>
      <c r="I310" s="146"/>
      <c r="J310" s="146"/>
      <c r="K310" s="149"/>
      <c r="L310" s="150"/>
      <c r="M310" s="149"/>
      <c r="N310" s="151"/>
      <c r="O310" s="151"/>
      <c r="P310" s="146"/>
      <c r="Q310" s="152"/>
      <c r="R310" s="153"/>
      <c r="S310" s="146"/>
      <c r="T310" s="154"/>
      <c r="U310" s="145"/>
    </row>
    <row r="311" spans="1:21" ht="15" customHeight="1">
      <c r="A311" s="159" t="s">
        <v>2748</v>
      </c>
      <c r="B311" s="114" t="str">
        <f>VLOOKUP(A311,'Data pick slip'!B:F,5,FALSE)</f>
        <v>KHJ-MC400-00</v>
      </c>
      <c r="C311" s="156">
        <v>109886</v>
      </c>
      <c r="D311" s="156" t="str">
        <f>VLOOKUP(C311,Stock_list!D:L,2,FALSE)</f>
        <v>Stock order</v>
      </c>
      <c r="E311" s="160">
        <f>VLOOKUP(C311,Stock_list!D:L,9,FALSE)</f>
        <v>44006</v>
      </c>
      <c r="F311" s="157" t="s">
        <v>2861</v>
      </c>
      <c r="G311" s="158">
        <v>30</v>
      </c>
      <c r="H311" s="148"/>
      <c r="I311" s="146"/>
      <c r="J311" s="146"/>
      <c r="K311" s="149"/>
      <c r="L311" s="150"/>
      <c r="M311" s="149"/>
      <c r="N311" s="151"/>
      <c r="O311" s="151"/>
      <c r="P311" s="146"/>
      <c r="Q311" s="152"/>
      <c r="R311" s="153"/>
      <c r="S311" s="146"/>
      <c r="T311" s="154"/>
      <c r="U311" s="145"/>
    </row>
    <row r="312" spans="1:21" ht="15" customHeight="1">
      <c r="A312" s="155" t="s">
        <v>2749</v>
      </c>
      <c r="B312" s="114" t="str">
        <f>VLOOKUP(A312,'Data pick slip'!B:F,5,FALSE)</f>
        <v>KHJ-MC500-00</v>
      </c>
      <c r="C312" s="156">
        <v>109886</v>
      </c>
      <c r="D312" s="156" t="str">
        <f>VLOOKUP(C312,Stock_list!D:L,2,FALSE)</f>
        <v>Stock order</v>
      </c>
      <c r="E312" s="160">
        <f>VLOOKUP(C312,Stock_list!D:L,9,FALSE)</f>
        <v>44006</v>
      </c>
      <c r="F312" s="157" t="s">
        <v>2861</v>
      </c>
      <c r="G312" s="158">
        <v>10</v>
      </c>
      <c r="H312" s="148"/>
      <c r="I312" s="146"/>
      <c r="J312" s="146"/>
      <c r="K312" s="149"/>
      <c r="L312" s="150"/>
      <c r="M312" s="149"/>
      <c r="N312" s="151"/>
      <c r="O312" s="151"/>
      <c r="P312" s="146"/>
      <c r="Q312" s="152"/>
      <c r="R312" s="153"/>
      <c r="S312" s="146"/>
      <c r="T312" s="154"/>
      <c r="U312" s="145"/>
    </row>
    <row r="313" spans="1:21" ht="15" customHeight="1">
      <c r="A313" s="155" t="s">
        <v>2750</v>
      </c>
      <c r="B313" s="114" t="str">
        <f>VLOOKUP(A313,'Data pick slip'!B:F,5,FALSE)</f>
        <v>KHJ-MC600-00</v>
      </c>
      <c r="C313" s="156">
        <v>109886</v>
      </c>
      <c r="D313" s="156" t="str">
        <f>VLOOKUP(C313,Stock_list!D:L,2,FALSE)</f>
        <v>Stock order</v>
      </c>
      <c r="E313" s="160">
        <f>VLOOKUP(C313,Stock_list!D:L,9,FALSE)</f>
        <v>44006</v>
      </c>
      <c r="F313" s="157" t="s">
        <v>2861</v>
      </c>
      <c r="G313" s="158">
        <v>12</v>
      </c>
      <c r="H313" s="148"/>
      <c r="I313" s="146"/>
      <c r="J313" s="146"/>
      <c r="K313" s="149"/>
      <c r="L313" s="150"/>
      <c r="M313" s="149"/>
      <c r="N313" s="151"/>
      <c r="O313" s="151"/>
      <c r="P313" s="146"/>
      <c r="Q313" s="152"/>
      <c r="R313" s="153"/>
      <c r="S313" s="146"/>
      <c r="T313" s="154"/>
      <c r="U313" s="145"/>
    </row>
    <row r="314" spans="1:21" ht="15" customHeight="1">
      <c r="A314" s="155" t="s">
        <v>2744</v>
      </c>
      <c r="B314" s="114" t="str">
        <f>VLOOKUP(A314,'Data pick slip'!B:F,5,FALSE)</f>
        <v>KHJ-MC100-00</v>
      </c>
      <c r="D314" s="156"/>
      <c r="E314" s="301" t="s">
        <v>2900</v>
      </c>
      <c r="F314" s="162" t="s">
        <v>2773</v>
      </c>
      <c r="G314" s="163">
        <v>65</v>
      </c>
      <c r="H314" s="148"/>
      <c r="I314" s="146"/>
      <c r="J314" s="146"/>
      <c r="K314" s="149"/>
      <c r="L314" s="150"/>
      <c r="M314" s="149"/>
      <c r="N314" s="151"/>
      <c r="O314" s="151"/>
      <c r="P314" s="146"/>
      <c r="Q314" s="152"/>
      <c r="R314" s="153"/>
      <c r="S314" s="146"/>
      <c r="T314" s="154"/>
      <c r="U314" s="145"/>
    </row>
    <row r="315" spans="1:21" ht="15" customHeight="1">
      <c r="A315" s="159" t="s">
        <v>2744</v>
      </c>
      <c r="B315" s="114" t="str">
        <f>VLOOKUP(A315,'Data pick slip'!B:F,5,FALSE)</f>
        <v>KHJ-MC100-00</v>
      </c>
      <c r="D315" s="156"/>
      <c r="E315" s="160" t="s">
        <v>2900</v>
      </c>
      <c r="F315" s="157" t="s">
        <v>2773</v>
      </c>
      <c r="G315" s="158">
        <v>120</v>
      </c>
      <c r="H315" s="148"/>
      <c r="I315" s="146"/>
      <c r="J315" s="146"/>
      <c r="K315" s="149"/>
      <c r="L315" s="150"/>
      <c r="M315" s="149"/>
      <c r="N315" s="151"/>
      <c r="O315" s="151"/>
      <c r="P315" s="146"/>
      <c r="Q315" s="152"/>
      <c r="R315" s="153"/>
      <c r="S315" s="146"/>
      <c r="T315" s="154"/>
      <c r="U315" s="145"/>
    </row>
    <row r="316" spans="1:21" ht="15" customHeight="1">
      <c r="A316" s="159" t="s">
        <v>2747</v>
      </c>
      <c r="B316" s="114" t="str">
        <f>VLOOKUP(A316,'Data pick slip'!B:F,5,FALSE)</f>
        <v>KHJ-MC200-00</v>
      </c>
      <c r="D316" s="156"/>
      <c r="E316" s="160" t="s">
        <v>2900</v>
      </c>
      <c r="F316" s="157" t="s">
        <v>2773</v>
      </c>
      <c r="G316" s="158">
        <v>25</v>
      </c>
      <c r="H316" s="148"/>
      <c r="I316" s="146"/>
      <c r="J316" s="146"/>
      <c r="K316" s="149"/>
      <c r="L316" s="150"/>
      <c r="M316" s="149"/>
      <c r="N316" s="151"/>
      <c r="O316" s="151"/>
      <c r="P316" s="146"/>
      <c r="Q316" s="152"/>
      <c r="R316" s="153"/>
      <c r="S316" s="146"/>
      <c r="T316" s="154"/>
      <c r="U316" s="145"/>
    </row>
    <row r="317" spans="1:21" ht="15" customHeight="1">
      <c r="A317" s="159" t="s">
        <v>2748</v>
      </c>
      <c r="B317" s="114" t="str">
        <f>VLOOKUP(A317,'Data pick slip'!B:F,5,FALSE)</f>
        <v>KHJ-MC400-00</v>
      </c>
      <c r="D317" s="156"/>
      <c r="E317" s="160" t="s">
        <v>2900</v>
      </c>
      <c r="F317" s="157" t="s">
        <v>2773</v>
      </c>
      <c r="G317" s="158">
        <v>2</v>
      </c>
      <c r="H317" s="148"/>
      <c r="I317" s="146"/>
      <c r="J317" s="146"/>
      <c r="K317" s="149"/>
      <c r="L317" s="150"/>
      <c r="M317" s="149"/>
      <c r="N317" s="151"/>
      <c r="O317" s="151"/>
      <c r="P317" s="146"/>
      <c r="Q317" s="152"/>
      <c r="R317" s="153"/>
      <c r="S317" s="146"/>
      <c r="T317" s="154"/>
      <c r="U317" s="145"/>
    </row>
    <row r="318" spans="1:21" ht="15" customHeight="1">
      <c r="A318" s="159" t="s">
        <v>2749</v>
      </c>
      <c r="B318" s="114" t="str">
        <f>VLOOKUP(A318,'Data pick slip'!B:F,5,FALSE)</f>
        <v>KHJ-MC500-00</v>
      </c>
      <c r="D318" s="156"/>
      <c r="E318" s="160" t="s">
        <v>2900</v>
      </c>
      <c r="F318" s="157" t="s">
        <v>2773</v>
      </c>
      <c r="G318" s="158">
        <v>15</v>
      </c>
      <c r="H318" s="148"/>
      <c r="I318" s="146"/>
      <c r="J318" s="146"/>
      <c r="K318" s="149"/>
      <c r="L318" s="150"/>
      <c r="M318" s="149"/>
      <c r="N318" s="151"/>
      <c r="O318" s="151"/>
      <c r="P318" s="146"/>
      <c r="Q318" s="152"/>
      <c r="R318" s="153"/>
      <c r="S318" s="146"/>
      <c r="T318" s="154"/>
      <c r="U318" s="145"/>
    </row>
    <row r="319" spans="1:21" ht="15" customHeight="1">
      <c r="A319" s="159" t="s">
        <v>2750</v>
      </c>
      <c r="B319" s="114" t="str">
        <f>VLOOKUP(A319,'Data pick slip'!B:F,5,FALSE)</f>
        <v>KHJ-MC600-00</v>
      </c>
      <c r="D319" s="156"/>
      <c r="E319" s="160" t="s">
        <v>2900</v>
      </c>
      <c r="F319" s="157" t="s">
        <v>2773</v>
      </c>
      <c r="G319" s="158">
        <v>5</v>
      </c>
      <c r="H319" s="148"/>
      <c r="I319" s="146"/>
      <c r="J319" s="146"/>
      <c r="K319" s="149"/>
      <c r="L319" s="150"/>
      <c r="M319" s="149"/>
      <c r="N319" s="151"/>
      <c r="O319" s="151"/>
      <c r="P319" s="146"/>
      <c r="Q319" s="152"/>
      <c r="R319" s="153"/>
      <c r="S319" s="146"/>
      <c r="T319" s="154"/>
      <c r="U319" s="145"/>
    </row>
    <row r="320" spans="1:21" ht="15" customHeight="1">
      <c r="A320" s="159" t="s">
        <v>2744</v>
      </c>
      <c r="B320" s="114" t="str">
        <f>VLOOKUP(A320,'Data pick slip'!B:F,5,FALSE)</f>
        <v>KHJ-MC100-00</v>
      </c>
      <c r="C320" s="156">
        <v>109891</v>
      </c>
      <c r="D320" s="156" t="str">
        <f>VLOOKUP(C320,Stock_list!D:L,2,FALSE)</f>
        <v>Stock order</v>
      </c>
      <c r="E320" s="160">
        <f>VLOOKUP(C320,Stock_list!D:L,9,FALSE)</f>
        <v>44004</v>
      </c>
      <c r="F320" s="157" t="s">
        <v>2861</v>
      </c>
      <c r="G320" s="158">
        <v>50</v>
      </c>
      <c r="H320" s="148"/>
      <c r="I320" s="146"/>
      <c r="J320" s="146"/>
      <c r="K320" s="149"/>
      <c r="L320" s="150"/>
      <c r="M320" s="149"/>
      <c r="N320" s="151"/>
      <c r="O320" s="151"/>
      <c r="P320" s="146"/>
      <c r="Q320" s="152"/>
      <c r="R320" s="153"/>
      <c r="S320" s="146"/>
      <c r="T320" s="154"/>
      <c r="U320" s="145"/>
    </row>
    <row r="321" spans="1:21" ht="15" customHeight="1">
      <c r="A321" s="159" t="s">
        <v>2747</v>
      </c>
      <c r="B321" s="114" t="str">
        <f>VLOOKUP(A321,'Data pick slip'!B:F,5,FALSE)</f>
        <v>KHJ-MC200-00</v>
      </c>
      <c r="C321" s="156">
        <v>109891</v>
      </c>
      <c r="D321" s="156" t="str">
        <f>VLOOKUP(C321,Stock_list!D:L,2,FALSE)</f>
        <v>Stock order</v>
      </c>
      <c r="E321" s="160">
        <f>VLOOKUP(C321,Stock_list!D:L,9,FALSE)</f>
        <v>44004</v>
      </c>
      <c r="F321" s="157" t="s">
        <v>2861</v>
      </c>
      <c r="G321" s="158">
        <v>100</v>
      </c>
      <c r="H321" s="148"/>
      <c r="I321" s="146"/>
      <c r="J321" s="146"/>
      <c r="K321" s="149"/>
      <c r="L321" s="150"/>
      <c r="M321" s="149"/>
      <c r="N321" s="151"/>
      <c r="O321" s="151"/>
      <c r="P321" s="146"/>
      <c r="Q321" s="152"/>
      <c r="R321" s="153"/>
      <c r="S321" s="146"/>
      <c r="T321" s="154"/>
      <c r="U321" s="145"/>
    </row>
    <row r="322" spans="1:21" ht="15" customHeight="1">
      <c r="A322" s="159" t="s">
        <v>2748</v>
      </c>
      <c r="B322" s="114" t="str">
        <f>VLOOKUP(A322,'Data pick slip'!B:F,5,FALSE)</f>
        <v>KHJ-MC400-00</v>
      </c>
      <c r="C322" s="156">
        <v>109891</v>
      </c>
      <c r="D322" s="156" t="str">
        <f>VLOOKUP(C322,Stock_list!D:L,2,FALSE)</f>
        <v>Stock order</v>
      </c>
      <c r="E322" s="160">
        <f>VLOOKUP(C322,Stock_list!D:L,9,FALSE)</f>
        <v>44004</v>
      </c>
      <c r="F322" s="157" t="s">
        <v>2861</v>
      </c>
      <c r="G322" s="158">
        <v>35</v>
      </c>
      <c r="H322" s="148"/>
      <c r="I322" s="146"/>
      <c r="J322" s="146"/>
      <c r="K322" s="149"/>
      <c r="L322" s="150"/>
      <c r="M322" s="149"/>
      <c r="N322" s="151"/>
      <c r="O322" s="151"/>
      <c r="P322" s="146"/>
      <c r="Q322" s="152"/>
      <c r="R322" s="153"/>
      <c r="S322" s="146"/>
      <c r="T322" s="154"/>
      <c r="U322" s="145"/>
    </row>
    <row r="323" spans="1:21" ht="15" customHeight="1">
      <c r="A323" s="155" t="s">
        <v>2749</v>
      </c>
      <c r="B323" s="114" t="str">
        <f>VLOOKUP(A323,'Data pick slip'!B:F,5,FALSE)</f>
        <v>KHJ-MC500-00</v>
      </c>
      <c r="C323" s="156">
        <v>109925</v>
      </c>
      <c r="D323" s="156" t="s">
        <v>2901</v>
      </c>
      <c r="E323" s="160">
        <v>44004</v>
      </c>
      <c r="F323" s="157" t="s">
        <v>2861</v>
      </c>
      <c r="G323" s="158">
        <v>5</v>
      </c>
      <c r="H323" s="148"/>
      <c r="I323" s="146"/>
      <c r="J323" s="146"/>
      <c r="K323" s="149"/>
      <c r="L323" s="150"/>
      <c r="M323" s="149"/>
      <c r="N323" s="151"/>
      <c r="O323" s="151"/>
      <c r="P323" s="146"/>
      <c r="Q323" s="152"/>
      <c r="R323" s="153"/>
      <c r="S323" s="146"/>
      <c r="T323" s="154"/>
      <c r="U323" s="145"/>
    </row>
    <row r="324" spans="1:21" ht="15" customHeight="1">
      <c r="A324" s="155" t="s">
        <v>2750</v>
      </c>
      <c r="B324" s="114" t="str">
        <f>VLOOKUP(A324,'Data pick slip'!B:F,5,FALSE)</f>
        <v>KHJ-MC600-00</v>
      </c>
      <c r="C324" s="156">
        <v>109891</v>
      </c>
      <c r="D324" s="156" t="str">
        <f>VLOOKUP(C324,Stock_list!D:L,2,FALSE)</f>
        <v>Stock order</v>
      </c>
      <c r="E324" s="160">
        <f>VLOOKUP(C324,Stock_list!D:L,9,FALSE)</f>
        <v>44004</v>
      </c>
      <c r="F324" s="157" t="s">
        <v>2861</v>
      </c>
      <c r="G324" s="158">
        <v>8</v>
      </c>
      <c r="H324" s="148"/>
      <c r="I324" s="146"/>
      <c r="J324" s="146"/>
      <c r="K324" s="149"/>
      <c r="L324" s="150"/>
      <c r="M324" s="149"/>
      <c r="N324" s="151"/>
      <c r="O324" s="151"/>
      <c r="P324" s="146"/>
      <c r="Q324" s="152"/>
      <c r="R324" s="153"/>
      <c r="S324" s="146"/>
      <c r="T324" s="154"/>
      <c r="U324" s="145"/>
    </row>
    <row r="325" spans="1:21" ht="15" customHeight="1">
      <c r="A325" s="159" t="s">
        <v>2744</v>
      </c>
      <c r="B325" s="114" t="str">
        <f>VLOOKUP(A325,'Data pick slip'!B:F,5,FALSE)</f>
        <v>KHJ-MC100-00</v>
      </c>
      <c r="D325" s="156"/>
      <c r="E325" s="160" t="s">
        <v>2902</v>
      </c>
      <c r="F325" s="157" t="s">
        <v>2773</v>
      </c>
      <c r="G325" s="158">
        <v>100</v>
      </c>
      <c r="H325" s="148"/>
      <c r="I325" s="146"/>
      <c r="J325" s="146"/>
      <c r="K325" s="149"/>
      <c r="L325" s="150"/>
      <c r="M325" s="149"/>
      <c r="N325" s="151"/>
      <c r="O325" s="151"/>
      <c r="P325" s="146"/>
      <c r="Q325" s="152"/>
      <c r="R325" s="153"/>
      <c r="S325" s="146"/>
      <c r="T325" s="154"/>
      <c r="U325" s="145"/>
    </row>
    <row r="326" spans="1:21" ht="15" customHeight="1">
      <c r="A326" s="159" t="s">
        <v>2744</v>
      </c>
      <c r="B326" s="114" t="str">
        <f>VLOOKUP(A326,'Data pick slip'!B:F,5,FALSE)</f>
        <v>KHJ-MC100-00</v>
      </c>
      <c r="D326" s="156"/>
      <c r="E326" s="160" t="s">
        <v>2903</v>
      </c>
      <c r="F326" s="157" t="s">
        <v>2773</v>
      </c>
      <c r="G326" s="158">
        <v>155</v>
      </c>
      <c r="H326" s="148"/>
      <c r="I326" s="146"/>
      <c r="J326" s="146"/>
      <c r="K326" s="149"/>
      <c r="L326" s="150"/>
      <c r="M326" s="149"/>
      <c r="N326" s="151"/>
      <c r="O326" s="151"/>
      <c r="P326" s="146"/>
      <c r="Q326" s="152"/>
      <c r="R326" s="153"/>
      <c r="S326" s="146"/>
      <c r="T326" s="154"/>
      <c r="U326" s="145"/>
    </row>
    <row r="327" spans="1:21" ht="15" customHeight="1">
      <c r="A327" s="155" t="s">
        <v>2749</v>
      </c>
      <c r="B327" s="114" t="str">
        <f>VLOOKUP(A327,'Data pick slip'!B:F,5,FALSE)</f>
        <v>KHJ-MC500-00</v>
      </c>
      <c r="D327" s="156"/>
      <c r="E327" s="160" t="s">
        <v>2903</v>
      </c>
      <c r="F327" s="157" t="s">
        <v>2773</v>
      </c>
      <c r="G327" s="158">
        <v>4</v>
      </c>
      <c r="H327" s="148"/>
      <c r="I327" s="146"/>
      <c r="J327" s="146"/>
      <c r="K327" s="149"/>
      <c r="L327" s="150"/>
      <c r="M327" s="149"/>
      <c r="N327" s="151"/>
      <c r="O327" s="151"/>
      <c r="P327" s="146"/>
      <c r="Q327" s="152"/>
      <c r="R327" s="153"/>
      <c r="S327" s="146"/>
      <c r="T327" s="154"/>
      <c r="U327" s="145"/>
    </row>
    <row r="328" spans="1:21" ht="15" customHeight="1">
      <c r="A328" s="155" t="s">
        <v>2750</v>
      </c>
      <c r="B328" s="114" t="str">
        <f>VLOOKUP(A328,'Data pick slip'!B:F,5,FALSE)</f>
        <v>KHJ-MC600-00</v>
      </c>
      <c r="D328" s="156"/>
      <c r="E328" s="160" t="s">
        <v>2903</v>
      </c>
      <c r="F328" s="157" t="s">
        <v>2773</v>
      </c>
      <c r="G328" s="158">
        <v>2</v>
      </c>
      <c r="H328" s="148"/>
      <c r="I328" s="146"/>
      <c r="J328" s="146"/>
      <c r="K328" s="149"/>
      <c r="L328" s="150"/>
      <c r="M328" s="149"/>
      <c r="N328" s="151"/>
      <c r="O328" s="151"/>
      <c r="P328" s="146"/>
      <c r="Q328" s="152"/>
      <c r="R328" s="153"/>
      <c r="S328" s="146"/>
      <c r="T328" s="154"/>
      <c r="U328" s="145"/>
    </row>
    <row r="329" spans="1:21" ht="15" customHeight="1">
      <c r="A329" s="159" t="s">
        <v>2747</v>
      </c>
      <c r="B329" s="114" t="str">
        <f>VLOOKUP(A329,'Data pick slip'!B:F,5,FALSE)</f>
        <v>KHJ-MC200-00</v>
      </c>
      <c r="D329" s="156"/>
      <c r="E329" s="160" t="s">
        <v>2904</v>
      </c>
      <c r="F329" s="157" t="s">
        <v>2773</v>
      </c>
      <c r="G329" s="158">
        <v>28</v>
      </c>
      <c r="H329" s="148"/>
      <c r="I329" s="146"/>
      <c r="J329" s="146"/>
      <c r="K329" s="149"/>
      <c r="L329" s="150"/>
      <c r="M329" s="149"/>
      <c r="N329" s="151"/>
      <c r="O329" s="151"/>
      <c r="P329" s="146"/>
      <c r="Q329" s="152"/>
      <c r="R329" s="153"/>
      <c r="S329" s="146"/>
      <c r="T329" s="154"/>
      <c r="U329" s="145"/>
    </row>
    <row r="330" spans="1:21" ht="15" customHeight="1">
      <c r="A330" s="159" t="s">
        <v>2756</v>
      </c>
      <c r="B330" s="114" t="str">
        <f>VLOOKUP(A330,'Data pick slip'!B:F,5,FALSE)</f>
        <v>KLJ-MC200-00</v>
      </c>
      <c r="D330" s="156"/>
      <c r="E330" s="160" t="s">
        <v>2904</v>
      </c>
      <c r="F330" s="157" t="s">
        <v>2773</v>
      </c>
      <c r="G330" s="158">
        <v>80</v>
      </c>
      <c r="H330" s="148"/>
      <c r="I330" s="146"/>
      <c r="J330" s="146"/>
      <c r="K330" s="149"/>
      <c r="L330" s="150"/>
      <c r="M330" s="149"/>
      <c r="N330" s="151"/>
      <c r="O330" s="151"/>
      <c r="P330" s="146"/>
      <c r="Q330" s="151"/>
      <c r="R330" s="153"/>
      <c r="S330" s="146"/>
      <c r="T330" s="154"/>
      <c r="U330" s="145"/>
    </row>
    <row r="331" spans="1:21" ht="15" customHeight="1">
      <c r="A331" s="159" t="s">
        <v>2748</v>
      </c>
      <c r="B331" s="114" t="str">
        <f>VLOOKUP(A331,'Data pick slip'!B:F,5,FALSE)</f>
        <v>KHJ-MC400-00</v>
      </c>
      <c r="D331" s="156"/>
      <c r="E331" s="160" t="s">
        <v>2904</v>
      </c>
      <c r="F331" s="157" t="s">
        <v>2773</v>
      </c>
      <c r="G331" s="158">
        <v>7</v>
      </c>
      <c r="H331" s="148"/>
      <c r="I331" s="146"/>
      <c r="J331" s="146"/>
      <c r="K331" s="149"/>
      <c r="L331" s="150"/>
      <c r="M331" s="149"/>
      <c r="N331" s="151"/>
      <c r="O331" s="151"/>
      <c r="P331" s="146"/>
      <c r="Q331" s="152"/>
      <c r="R331" s="153"/>
      <c r="S331" s="146"/>
      <c r="T331" s="154"/>
      <c r="U331" s="145"/>
    </row>
    <row r="332" spans="1:21" ht="15" customHeight="1">
      <c r="A332" s="159" t="s">
        <v>2750</v>
      </c>
      <c r="B332" s="114" t="str">
        <f>VLOOKUP(A332,'Data pick slip'!B:F,5,FALSE)</f>
        <v>KHJ-MC600-00</v>
      </c>
      <c r="D332" s="156"/>
      <c r="E332" s="160" t="s">
        <v>2904</v>
      </c>
      <c r="F332" s="157" t="s">
        <v>2773</v>
      </c>
      <c r="G332" s="158">
        <v>5</v>
      </c>
      <c r="H332" s="148"/>
      <c r="I332" s="146"/>
      <c r="J332" s="146"/>
      <c r="K332" s="149"/>
      <c r="L332" s="150"/>
      <c r="M332" s="149"/>
      <c r="N332" s="151"/>
      <c r="O332" s="151"/>
      <c r="P332" s="146"/>
      <c r="Q332" s="152"/>
      <c r="R332" s="153"/>
      <c r="S332" s="146"/>
      <c r="T332" s="154"/>
      <c r="U332" s="145"/>
    </row>
    <row r="333" spans="1:21" ht="15" customHeight="1">
      <c r="A333" s="159" t="s">
        <v>2744</v>
      </c>
      <c r="B333" s="114" t="str">
        <f>VLOOKUP(A333,'Data pick slip'!B:F,5,FALSE)</f>
        <v>KHJ-MC100-00</v>
      </c>
      <c r="D333" s="156"/>
      <c r="E333" s="160" t="s">
        <v>2905</v>
      </c>
      <c r="F333" s="157" t="s">
        <v>2773</v>
      </c>
      <c r="G333" s="158">
        <v>160</v>
      </c>
      <c r="H333" s="148"/>
      <c r="I333" s="146"/>
      <c r="J333" s="146"/>
      <c r="K333" s="149"/>
      <c r="L333" s="150"/>
      <c r="M333" s="149"/>
      <c r="N333" s="151"/>
      <c r="O333" s="151"/>
      <c r="P333" s="146"/>
      <c r="Q333" s="152"/>
      <c r="R333" s="153"/>
      <c r="S333" s="146"/>
      <c r="T333" s="154"/>
      <c r="U333" s="145"/>
    </row>
    <row r="334" spans="1:21" ht="15" customHeight="1">
      <c r="A334" s="159" t="s">
        <v>2757</v>
      </c>
      <c r="B334" s="114" t="str">
        <f>VLOOKUP(A334,'Data pick slip'!B:F,5,FALSE)</f>
        <v>KLJ-MC400-00</v>
      </c>
      <c r="D334" s="156"/>
      <c r="E334" s="160" t="s">
        <v>2905</v>
      </c>
      <c r="F334" s="157" t="s">
        <v>2773</v>
      </c>
      <c r="G334" s="158">
        <v>12</v>
      </c>
      <c r="H334" s="148"/>
      <c r="I334" s="146"/>
      <c r="J334" s="146"/>
      <c r="K334" s="149"/>
      <c r="L334" s="150"/>
      <c r="M334" s="149"/>
      <c r="N334" s="151"/>
      <c r="O334" s="151"/>
      <c r="P334" s="146"/>
      <c r="Q334" s="152"/>
      <c r="R334" s="153"/>
      <c r="S334" s="146"/>
      <c r="T334" s="154"/>
      <c r="U334" s="145"/>
    </row>
    <row r="335" spans="1:21" ht="15" customHeight="1">
      <c r="A335" s="159" t="s">
        <v>2744</v>
      </c>
      <c r="B335" s="114" t="str">
        <f>VLOOKUP(A335,'Data pick slip'!B:F,5,FALSE)</f>
        <v>KHJ-MC100-00</v>
      </c>
      <c r="C335" s="164" t="s">
        <v>2906</v>
      </c>
      <c r="D335" s="156" t="str">
        <f>VLOOKUP(C335,Stock_list!D:L,2,FALSE)</f>
        <v>Stock order</v>
      </c>
      <c r="E335" s="160">
        <f>VLOOKUP(C335,Stock_list!D:L,9,FALSE)</f>
        <v>44034</v>
      </c>
      <c r="F335" s="157" t="s">
        <v>2861</v>
      </c>
      <c r="G335" s="158">
        <v>700</v>
      </c>
      <c r="H335" s="148"/>
      <c r="I335" s="146"/>
      <c r="J335" s="146"/>
      <c r="K335" s="149"/>
      <c r="L335" s="150"/>
      <c r="M335" s="149"/>
      <c r="N335" s="151"/>
      <c r="O335" s="151"/>
      <c r="P335" s="146"/>
      <c r="Q335" s="152"/>
      <c r="R335" s="153"/>
      <c r="S335" s="146"/>
      <c r="T335" s="154"/>
      <c r="U335" s="145"/>
    </row>
    <row r="336" spans="1:21" ht="15" customHeight="1">
      <c r="A336" s="159" t="s">
        <v>2747</v>
      </c>
      <c r="B336" s="114" t="str">
        <f>VLOOKUP(A336,'Data pick slip'!B:F,5,FALSE)</f>
        <v>KHJ-MC200-00</v>
      </c>
      <c r="C336" s="164" t="s">
        <v>2906</v>
      </c>
      <c r="D336" s="156" t="str">
        <f>VLOOKUP(C336,Stock_list!D:L,2,FALSE)</f>
        <v>Stock order</v>
      </c>
      <c r="E336" s="160">
        <f>VLOOKUP(C336,Stock_list!D:L,9,FALSE)</f>
        <v>44034</v>
      </c>
      <c r="F336" s="157" t="s">
        <v>2861</v>
      </c>
      <c r="G336" s="158">
        <v>100</v>
      </c>
      <c r="H336" s="148"/>
      <c r="I336" s="146"/>
      <c r="J336" s="146"/>
      <c r="K336" s="149"/>
      <c r="L336" s="150"/>
      <c r="M336" s="149"/>
      <c r="N336" s="151"/>
      <c r="O336" s="151"/>
      <c r="P336" s="146"/>
      <c r="Q336" s="152"/>
      <c r="R336" s="153"/>
      <c r="S336" s="146"/>
      <c r="T336" s="154"/>
      <c r="U336" s="145"/>
    </row>
    <row r="337" spans="1:21" ht="15" customHeight="1">
      <c r="A337" s="159" t="s">
        <v>2748</v>
      </c>
      <c r="B337" s="114" t="str">
        <f>VLOOKUP(A337,'Data pick slip'!B:F,5,FALSE)</f>
        <v>KHJ-MC400-00</v>
      </c>
      <c r="C337" s="164" t="s">
        <v>2906</v>
      </c>
      <c r="D337" s="156" t="str">
        <f>VLOOKUP(C337,Stock_list!D:L,2,FALSE)</f>
        <v>Stock order</v>
      </c>
      <c r="E337" s="160">
        <f>VLOOKUP(C337,Stock_list!D:L,9,FALSE)</f>
        <v>44034</v>
      </c>
      <c r="F337" s="157" t="s">
        <v>2861</v>
      </c>
      <c r="G337" s="158">
        <v>30</v>
      </c>
      <c r="H337" s="148"/>
      <c r="I337" s="146"/>
      <c r="J337" s="146"/>
      <c r="K337" s="149"/>
      <c r="L337" s="150"/>
      <c r="M337" s="149"/>
      <c r="N337" s="151"/>
      <c r="O337" s="151"/>
      <c r="P337" s="146"/>
      <c r="Q337" s="152"/>
      <c r="R337" s="153"/>
      <c r="S337" s="146"/>
      <c r="T337" s="154"/>
      <c r="U337" s="145"/>
    </row>
    <row r="338" spans="1:21" ht="15" customHeight="1">
      <c r="A338" s="159" t="s">
        <v>2749</v>
      </c>
      <c r="B338" s="114" t="str">
        <f>VLOOKUP(A338,'Data pick slip'!B:F,5,FALSE)</f>
        <v>KHJ-MC500-00</v>
      </c>
      <c r="C338" s="164" t="s">
        <v>2906</v>
      </c>
      <c r="D338" s="156" t="str">
        <f>VLOOKUP(C338,Stock_list!D:L,2,FALSE)</f>
        <v>Stock order</v>
      </c>
      <c r="E338" s="160">
        <f>VLOOKUP(C338,Stock_list!D:L,9,FALSE)</f>
        <v>44034</v>
      </c>
      <c r="F338" s="157" t="s">
        <v>2861</v>
      </c>
      <c r="G338" s="158">
        <v>15</v>
      </c>
      <c r="H338" s="148"/>
      <c r="I338" s="146"/>
      <c r="J338" s="146"/>
      <c r="K338" s="149"/>
      <c r="L338" s="150"/>
      <c r="M338" s="149"/>
      <c r="N338" s="151"/>
      <c r="O338" s="151"/>
      <c r="P338" s="146"/>
      <c r="Q338" s="152"/>
      <c r="R338" s="153"/>
      <c r="S338" s="146"/>
      <c r="T338" s="154"/>
      <c r="U338" s="145"/>
    </row>
    <row r="339" spans="1:21" ht="15" customHeight="1">
      <c r="A339" s="159" t="s">
        <v>2747</v>
      </c>
      <c r="B339" s="114" t="str">
        <f>VLOOKUP(A339,'Data pick slip'!B:F,5,FALSE)</f>
        <v>KHJ-MC200-00</v>
      </c>
      <c r="D339" s="156"/>
      <c r="E339" s="160" t="s">
        <v>2907</v>
      </c>
      <c r="F339" s="157" t="s">
        <v>2773</v>
      </c>
      <c r="G339" s="158">
        <v>4</v>
      </c>
      <c r="H339" s="148"/>
      <c r="I339" s="146"/>
      <c r="J339" s="146"/>
      <c r="K339" s="149"/>
      <c r="L339" s="150"/>
      <c r="M339" s="149"/>
      <c r="N339" s="151"/>
      <c r="O339" s="151"/>
      <c r="P339" s="146"/>
      <c r="Q339" s="152"/>
      <c r="R339" s="153"/>
      <c r="S339" s="146"/>
      <c r="T339" s="154"/>
      <c r="U339" s="145"/>
    </row>
    <row r="340" spans="1:21" ht="15" customHeight="1">
      <c r="A340" s="159" t="s">
        <v>2749</v>
      </c>
      <c r="B340" s="114" t="str">
        <f>VLOOKUP(A340,'Data pick slip'!B:F,5,FALSE)</f>
        <v>KHJ-MC500-00</v>
      </c>
      <c r="D340" s="156"/>
      <c r="E340" s="160" t="s">
        <v>2907</v>
      </c>
      <c r="F340" s="157" t="s">
        <v>2773</v>
      </c>
      <c r="G340" s="158">
        <v>4</v>
      </c>
      <c r="H340" s="148"/>
      <c r="I340" s="146"/>
      <c r="J340" s="146"/>
      <c r="K340" s="149"/>
      <c r="L340" s="150"/>
      <c r="M340" s="149"/>
      <c r="N340" s="151"/>
      <c r="O340" s="151"/>
      <c r="P340" s="146"/>
      <c r="Q340" s="152"/>
      <c r="R340" s="153"/>
      <c r="S340" s="146"/>
      <c r="T340" s="154"/>
      <c r="U340" s="145"/>
    </row>
    <row r="341" spans="1:21" ht="15" customHeight="1">
      <c r="A341" s="159" t="s">
        <v>2760</v>
      </c>
      <c r="B341" s="114" t="str">
        <f>VLOOKUP(A341,'Data pick slip'!B:F,5,FALSE)</f>
        <v>KLJ-MC700-00</v>
      </c>
      <c r="D341" s="156"/>
      <c r="E341" s="160" t="s">
        <v>2907</v>
      </c>
      <c r="F341" s="157" t="s">
        <v>2773</v>
      </c>
      <c r="G341" s="158">
        <v>1</v>
      </c>
      <c r="H341" s="148"/>
      <c r="I341" s="146"/>
      <c r="J341" s="146"/>
      <c r="K341" s="149"/>
      <c r="L341" s="150"/>
      <c r="M341" s="149"/>
      <c r="N341" s="151"/>
      <c r="O341" s="151"/>
      <c r="P341" s="146"/>
      <c r="Q341" s="152"/>
      <c r="R341" s="153"/>
      <c r="S341" s="146"/>
      <c r="T341" s="154"/>
      <c r="U341" s="145"/>
    </row>
    <row r="342" spans="1:21" ht="15" customHeight="1">
      <c r="A342" s="159" t="s">
        <v>2751</v>
      </c>
      <c r="B342" s="114" t="str">
        <f>VLOOKUP(A342,'Data pick slip'!B:F,5,FALSE)</f>
        <v>KHJ-MC700-00</v>
      </c>
      <c r="D342" s="156"/>
      <c r="E342" s="160" t="s">
        <v>2907</v>
      </c>
      <c r="F342" s="157" t="s">
        <v>2773</v>
      </c>
      <c r="G342" s="158">
        <v>3</v>
      </c>
      <c r="H342" s="148"/>
      <c r="I342" s="146"/>
      <c r="J342" s="146"/>
      <c r="K342" s="149"/>
      <c r="L342" s="150"/>
      <c r="M342" s="149"/>
      <c r="N342" s="151"/>
      <c r="O342" s="151"/>
      <c r="P342" s="146"/>
      <c r="Q342" s="152"/>
      <c r="R342" s="153"/>
      <c r="S342" s="146"/>
      <c r="T342" s="154"/>
      <c r="U342" s="145"/>
    </row>
    <row r="343" spans="1:21" ht="15" customHeight="1">
      <c r="A343" s="159" t="s">
        <v>2744</v>
      </c>
      <c r="B343" s="114" t="str">
        <f>VLOOKUP(A343,'Data pick slip'!B:F,5,FALSE)</f>
        <v>KHJ-MC100-00</v>
      </c>
      <c r="C343" s="156">
        <v>109924</v>
      </c>
      <c r="D343" s="156" t="str">
        <f>VLOOKUP(C343,Stock_list!D:L,2,FALSE)</f>
        <v>Stock order</v>
      </c>
      <c r="E343" s="160">
        <f>VLOOKUP(C343,Stock_list!D:L,9,FALSE)</f>
        <v>44034</v>
      </c>
      <c r="F343" s="157" t="s">
        <v>2861</v>
      </c>
      <c r="G343" s="158">
        <v>100</v>
      </c>
      <c r="H343" s="148"/>
      <c r="I343" s="146"/>
      <c r="J343" s="146"/>
      <c r="K343" s="149"/>
      <c r="L343" s="150"/>
      <c r="M343" s="149"/>
      <c r="N343" s="151"/>
      <c r="O343" s="151"/>
      <c r="P343" s="146"/>
      <c r="Q343" s="152"/>
      <c r="R343" s="153"/>
      <c r="S343" s="146"/>
      <c r="T343" s="154"/>
      <c r="U343" s="145"/>
    </row>
    <row r="344" spans="1:21" ht="15" customHeight="1">
      <c r="A344" s="159" t="s">
        <v>2747</v>
      </c>
      <c r="B344" s="114" t="str">
        <f>VLOOKUP(A344,'Data pick slip'!B:F,5,FALSE)</f>
        <v>KHJ-MC200-00</v>
      </c>
      <c r="C344" s="156">
        <v>109924</v>
      </c>
      <c r="D344" s="156" t="str">
        <f>VLOOKUP(C344,Stock_list!D:L,2,FALSE)</f>
        <v>Stock order</v>
      </c>
      <c r="E344" s="160">
        <f>VLOOKUP(C344,Stock_list!D:L,9,FALSE)</f>
        <v>44034</v>
      </c>
      <c r="F344" s="157" t="s">
        <v>2861</v>
      </c>
      <c r="G344" s="158">
        <v>50</v>
      </c>
      <c r="H344" s="148"/>
      <c r="I344" s="146"/>
      <c r="J344" s="146"/>
      <c r="K344" s="149"/>
      <c r="L344" s="150"/>
      <c r="M344" s="149"/>
      <c r="N344" s="151"/>
      <c r="O344" s="151"/>
      <c r="P344" s="146"/>
      <c r="Q344" s="152"/>
      <c r="R344" s="153"/>
      <c r="S344" s="146"/>
      <c r="T344" s="154"/>
      <c r="U344" s="145"/>
    </row>
    <row r="345" spans="1:21" ht="15" customHeight="1">
      <c r="A345" s="159" t="s">
        <v>2748</v>
      </c>
      <c r="B345" s="114" t="str">
        <f>VLOOKUP(A345,'Data pick slip'!B:F,5,FALSE)</f>
        <v>KHJ-MC400-00</v>
      </c>
      <c r="C345" s="156">
        <v>109924</v>
      </c>
      <c r="D345" s="156" t="str">
        <f>VLOOKUP(C345,Stock_list!D:L,2,FALSE)</f>
        <v>Stock order</v>
      </c>
      <c r="E345" s="160">
        <f>VLOOKUP(C345,Stock_list!D:L,9,FALSE)</f>
        <v>44034</v>
      </c>
      <c r="F345" s="157" t="s">
        <v>2861</v>
      </c>
      <c r="G345" s="158">
        <v>10</v>
      </c>
      <c r="H345" s="148"/>
      <c r="I345" s="146"/>
      <c r="J345" s="146"/>
      <c r="K345" s="149"/>
      <c r="L345" s="150"/>
      <c r="M345" s="149"/>
      <c r="N345" s="151"/>
      <c r="O345" s="151"/>
      <c r="P345" s="146"/>
      <c r="Q345" s="152"/>
      <c r="R345" s="153"/>
      <c r="S345" s="146"/>
      <c r="T345" s="154"/>
      <c r="U345" s="145"/>
    </row>
    <row r="346" spans="1:21" ht="15" customHeight="1">
      <c r="A346" s="159" t="s">
        <v>2749</v>
      </c>
      <c r="B346" s="114" t="str">
        <f>VLOOKUP(A346,'Data pick slip'!B:F,5,FALSE)</f>
        <v>KHJ-MC500-00</v>
      </c>
      <c r="C346" s="156">
        <v>109924</v>
      </c>
      <c r="D346" s="156" t="str">
        <f>VLOOKUP(C346,Stock_list!D:L,2,FALSE)</f>
        <v>Stock order</v>
      </c>
      <c r="E346" s="160">
        <f>VLOOKUP(C346,Stock_list!D:L,9,FALSE)</f>
        <v>44034</v>
      </c>
      <c r="F346" s="157" t="s">
        <v>2861</v>
      </c>
      <c r="G346" s="158">
        <v>5</v>
      </c>
      <c r="H346" s="148"/>
      <c r="I346" s="146"/>
      <c r="J346" s="146"/>
      <c r="K346" s="149"/>
      <c r="L346" s="150"/>
      <c r="M346" s="149"/>
      <c r="N346" s="151"/>
      <c r="O346" s="151"/>
      <c r="P346" s="146"/>
      <c r="Q346" s="152"/>
      <c r="R346" s="153"/>
      <c r="S346" s="146"/>
      <c r="T346" s="154"/>
      <c r="U346" s="145"/>
    </row>
    <row r="347" spans="1:21" ht="15" customHeight="1">
      <c r="A347" s="159" t="s">
        <v>2750</v>
      </c>
      <c r="B347" s="114" t="str">
        <f>VLOOKUP(A347,'Data pick slip'!B:F,5,FALSE)</f>
        <v>KHJ-MC600-00</v>
      </c>
      <c r="C347" s="156">
        <v>109924</v>
      </c>
      <c r="D347" s="156" t="str">
        <f>VLOOKUP(C347,Stock_list!D:L,2,FALSE)</f>
        <v>Stock order</v>
      </c>
      <c r="E347" s="160">
        <f>VLOOKUP(C347,Stock_list!D:L,9,FALSE)</f>
        <v>44034</v>
      </c>
      <c r="F347" s="157" t="s">
        <v>2861</v>
      </c>
      <c r="G347" s="158">
        <v>5</v>
      </c>
      <c r="H347" s="148"/>
      <c r="I347" s="146"/>
      <c r="J347" s="146"/>
      <c r="K347" s="149"/>
      <c r="L347" s="150"/>
      <c r="M347" s="149"/>
      <c r="N347" s="151"/>
      <c r="O347" s="151"/>
      <c r="P347" s="146"/>
      <c r="Q347" s="152"/>
      <c r="R347" s="153"/>
      <c r="S347" s="146"/>
      <c r="T347" s="154"/>
      <c r="U347" s="145"/>
    </row>
    <row r="348" spans="1:21" ht="15" customHeight="1">
      <c r="A348" s="159" t="s">
        <v>2744</v>
      </c>
      <c r="B348" s="114" t="str">
        <f>VLOOKUP(A348,'Data pick slip'!B:F,5,FALSE)</f>
        <v>KHJ-MC100-00</v>
      </c>
      <c r="C348" s="156">
        <v>109933</v>
      </c>
      <c r="D348" s="156" t="str">
        <f>VLOOKUP(C348,Stock_list!D:L,2,FALSE)</f>
        <v>智序名义下单</v>
      </c>
      <c r="E348" s="160">
        <f>VLOOKUP(C348,Stock_list!D:L,9,FALSE)</f>
        <v>44055</v>
      </c>
      <c r="F348" s="157" t="s">
        <v>2861</v>
      </c>
      <c r="G348" s="158">
        <v>150</v>
      </c>
      <c r="H348" s="148"/>
      <c r="I348" s="146"/>
      <c r="J348" s="146"/>
      <c r="K348" s="149"/>
      <c r="L348" s="150"/>
      <c r="M348" s="149"/>
      <c r="N348" s="151"/>
      <c r="O348" s="151"/>
      <c r="P348" s="146"/>
      <c r="Q348" s="152"/>
      <c r="R348" s="153"/>
      <c r="S348" s="146"/>
      <c r="T348" s="154"/>
      <c r="U348" s="145"/>
    </row>
    <row r="349" spans="1:21" ht="15" customHeight="1">
      <c r="A349" s="159" t="s">
        <v>2744</v>
      </c>
      <c r="B349" s="114" t="str">
        <f>VLOOKUP(A349,'Data pick slip'!B:F,5,FALSE)</f>
        <v>KHJ-MC100-00</v>
      </c>
      <c r="D349" s="156"/>
      <c r="E349" s="160" t="s">
        <v>2908</v>
      </c>
      <c r="F349" s="157" t="s">
        <v>2773</v>
      </c>
      <c r="G349" s="158">
        <v>50</v>
      </c>
      <c r="H349" s="148"/>
      <c r="I349" s="146"/>
      <c r="J349" s="146"/>
      <c r="K349" s="149"/>
      <c r="L349" s="150"/>
      <c r="M349" s="149"/>
      <c r="N349" s="151"/>
      <c r="O349" s="151"/>
      <c r="P349" s="146"/>
      <c r="Q349" s="152"/>
      <c r="R349" s="153"/>
      <c r="S349" s="146"/>
      <c r="T349" s="154"/>
      <c r="U349" s="145"/>
    </row>
    <row r="350" spans="1:21" ht="15" customHeight="1">
      <c r="A350" s="159" t="s">
        <v>2747</v>
      </c>
      <c r="B350" s="114" t="str">
        <f>VLOOKUP(A350,'Data pick slip'!B:F,5,FALSE)</f>
        <v>KHJ-MC200-00</v>
      </c>
      <c r="D350" s="156"/>
      <c r="E350" s="160" t="s">
        <v>2908</v>
      </c>
      <c r="F350" s="157" t="s">
        <v>2773</v>
      </c>
      <c r="G350" s="158">
        <v>100</v>
      </c>
      <c r="H350" s="148"/>
      <c r="I350" s="146"/>
      <c r="J350" s="146"/>
      <c r="K350" s="149"/>
      <c r="L350" s="150"/>
      <c r="M350" s="149"/>
      <c r="N350" s="151"/>
      <c r="O350" s="151"/>
      <c r="P350" s="146"/>
      <c r="Q350" s="152"/>
      <c r="R350" s="153"/>
      <c r="S350" s="146"/>
      <c r="T350" s="154"/>
      <c r="U350" s="145"/>
    </row>
    <row r="351" spans="1:21" ht="15" customHeight="1">
      <c r="A351" s="159" t="s">
        <v>2748</v>
      </c>
      <c r="B351" s="114" t="str">
        <f>VLOOKUP(A351,'Data pick slip'!B:F,5,FALSE)</f>
        <v>KHJ-MC400-00</v>
      </c>
      <c r="D351" s="156"/>
      <c r="E351" s="160" t="s">
        <v>2908</v>
      </c>
      <c r="F351" s="157" t="s">
        <v>2773</v>
      </c>
      <c r="G351" s="158">
        <v>40</v>
      </c>
      <c r="H351" s="148"/>
      <c r="I351" s="146"/>
      <c r="J351" s="146"/>
      <c r="K351" s="149"/>
      <c r="L351" s="150"/>
      <c r="M351" s="149"/>
      <c r="N351" s="151"/>
      <c r="O351" s="151"/>
      <c r="P351" s="146"/>
      <c r="Q351" s="152"/>
      <c r="R351" s="153"/>
      <c r="S351" s="146"/>
      <c r="T351" s="154"/>
      <c r="U351" s="145"/>
    </row>
    <row r="352" spans="1:21" ht="15" customHeight="1">
      <c r="A352" s="159" t="s">
        <v>2750</v>
      </c>
      <c r="B352" s="114" t="str">
        <f>VLOOKUP(A352,'Data pick slip'!B:F,5,FALSE)</f>
        <v>KHJ-MC600-00</v>
      </c>
      <c r="D352" s="156"/>
      <c r="E352" s="160" t="s">
        <v>2908</v>
      </c>
      <c r="F352" s="157" t="s">
        <v>2773</v>
      </c>
      <c r="G352" s="158">
        <v>5</v>
      </c>
      <c r="H352" s="148"/>
      <c r="I352" s="146"/>
      <c r="J352" s="146"/>
      <c r="K352" s="149"/>
      <c r="L352" s="150"/>
      <c r="M352" s="149"/>
      <c r="N352" s="151"/>
      <c r="O352" s="151"/>
      <c r="P352" s="146"/>
      <c r="Q352" s="152"/>
      <c r="R352" s="153"/>
      <c r="S352" s="146"/>
      <c r="T352" s="154"/>
      <c r="U352" s="145"/>
    </row>
    <row r="353" spans="1:21" ht="15" customHeight="1">
      <c r="A353" s="159" t="s">
        <v>2744</v>
      </c>
      <c r="B353" s="114" t="str">
        <f>VLOOKUP(A353,'Data pick slip'!B:F,5,FALSE)</f>
        <v>KHJ-MC100-00</v>
      </c>
      <c r="C353" s="156">
        <v>109954</v>
      </c>
      <c r="D353" s="156" t="str">
        <f>VLOOKUP(C353,Stock_list!D:L,2,FALSE)</f>
        <v>Stock order</v>
      </c>
      <c r="E353" s="160">
        <f>VLOOKUP(C353,Stock_list!D:L,9,FALSE)</f>
        <v>44090</v>
      </c>
      <c r="F353" s="157" t="s">
        <v>2861</v>
      </c>
      <c r="G353" s="158">
        <v>600</v>
      </c>
      <c r="H353" s="148"/>
      <c r="I353" s="146"/>
      <c r="J353" s="146"/>
      <c r="K353" s="149"/>
      <c r="L353" s="150"/>
      <c r="M353" s="149"/>
      <c r="N353" s="151"/>
      <c r="O353" s="151"/>
      <c r="P353" s="146"/>
      <c r="Q353" s="152"/>
      <c r="R353" s="153"/>
      <c r="S353" s="146"/>
      <c r="T353" s="154"/>
      <c r="U353" s="145"/>
    </row>
    <row r="354" spans="1:21" ht="15" customHeight="1">
      <c r="A354" s="159" t="s">
        <v>2747</v>
      </c>
      <c r="B354" s="114" t="str">
        <f>VLOOKUP(A354,'Data pick slip'!B:F,5,FALSE)</f>
        <v>KHJ-MC200-00</v>
      </c>
      <c r="C354" s="156">
        <v>109954</v>
      </c>
      <c r="D354" s="156" t="str">
        <f>VLOOKUP(C354,Stock_list!D:L,2,FALSE)</f>
        <v>Stock order</v>
      </c>
      <c r="E354" s="160">
        <f>VLOOKUP(C354,Stock_list!D:L,9,FALSE)</f>
        <v>44090</v>
      </c>
      <c r="F354" s="157" t="s">
        <v>2861</v>
      </c>
      <c r="G354" s="158">
        <v>70</v>
      </c>
      <c r="H354" s="148"/>
      <c r="I354" s="146"/>
      <c r="J354" s="146"/>
      <c r="K354" s="149"/>
      <c r="L354" s="150"/>
      <c r="M354" s="149"/>
      <c r="N354" s="151"/>
      <c r="O354" s="151"/>
      <c r="P354" s="146"/>
      <c r="Q354" s="152"/>
      <c r="R354" s="153"/>
      <c r="S354" s="146"/>
      <c r="T354" s="154"/>
      <c r="U354" s="145"/>
    </row>
    <row r="355" spans="1:21" ht="15" customHeight="1">
      <c r="A355" s="159" t="s">
        <v>2748</v>
      </c>
      <c r="B355" s="114" t="str">
        <f>VLOOKUP(A355,'Data pick slip'!B:F,5,FALSE)</f>
        <v>KHJ-MC400-00</v>
      </c>
      <c r="C355" s="156">
        <v>109954</v>
      </c>
      <c r="D355" s="156" t="str">
        <f>VLOOKUP(C355,Stock_list!D:L,2,FALSE)</f>
        <v>Stock order</v>
      </c>
      <c r="E355" s="160">
        <f>VLOOKUP(C355,Stock_list!D:L,9,FALSE)</f>
        <v>44090</v>
      </c>
      <c r="F355" s="157" t="s">
        <v>2861</v>
      </c>
      <c r="G355" s="158">
        <v>15</v>
      </c>
      <c r="H355" s="148"/>
      <c r="I355" s="146"/>
      <c r="J355" s="146"/>
      <c r="K355" s="149"/>
      <c r="L355" s="150"/>
      <c r="M355" s="149"/>
      <c r="N355" s="151"/>
      <c r="O355" s="151"/>
      <c r="P355" s="146"/>
      <c r="Q355" s="152"/>
      <c r="R355" s="153"/>
      <c r="S355" s="146"/>
      <c r="T355" s="154"/>
      <c r="U355" s="145"/>
    </row>
    <row r="356" spans="1:21" ht="15" customHeight="1">
      <c r="A356" s="159" t="s">
        <v>2749</v>
      </c>
      <c r="B356" s="114" t="str">
        <f>VLOOKUP(A356,'Data pick slip'!B:F,5,FALSE)</f>
        <v>KHJ-MC500-00</v>
      </c>
      <c r="C356" s="156">
        <v>109954</v>
      </c>
      <c r="D356" s="156" t="str">
        <f>VLOOKUP(C356,Stock_list!D:L,2,FALSE)</f>
        <v>Stock order</v>
      </c>
      <c r="E356" s="160">
        <f>VLOOKUP(C356,Stock_list!D:L,9,FALSE)</f>
        <v>44090</v>
      </c>
      <c r="F356" s="157" t="s">
        <v>2861</v>
      </c>
      <c r="G356" s="158">
        <v>5</v>
      </c>
      <c r="H356" s="148"/>
      <c r="I356" s="146"/>
      <c r="J356" s="146"/>
      <c r="K356" s="149"/>
      <c r="L356" s="150"/>
      <c r="M356" s="149"/>
      <c r="N356" s="151"/>
      <c r="O356" s="151"/>
      <c r="P356" s="146"/>
      <c r="Q356" s="152"/>
      <c r="R356" s="153"/>
      <c r="S356" s="146"/>
      <c r="T356" s="154"/>
      <c r="U356" s="145"/>
    </row>
    <row r="357" spans="1:21" ht="15" customHeight="1">
      <c r="A357" s="159" t="s">
        <v>2751</v>
      </c>
      <c r="B357" s="114" t="str">
        <f>VLOOKUP(A357,'Data pick slip'!B:F,5,FALSE)</f>
        <v>KHJ-MC700-00</v>
      </c>
      <c r="C357" s="156">
        <v>109954</v>
      </c>
      <c r="D357" s="156" t="str">
        <f>VLOOKUP(C357,Stock_list!D:L,2,FALSE)</f>
        <v>Stock order</v>
      </c>
      <c r="E357" s="160">
        <f>VLOOKUP(C357,Stock_list!D:L,9,FALSE)</f>
        <v>44090</v>
      </c>
      <c r="F357" s="157" t="s">
        <v>2861</v>
      </c>
      <c r="G357" s="158">
        <v>2</v>
      </c>
      <c r="H357" s="148"/>
      <c r="I357" s="146"/>
      <c r="J357" s="146"/>
      <c r="K357" s="149"/>
      <c r="L357" s="150"/>
      <c r="M357" s="149"/>
      <c r="N357" s="151"/>
      <c r="O357" s="151"/>
      <c r="P357" s="146"/>
      <c r="Q357" s="152"/>
      <c r="R357" s="153"/>
      <c r="S357" s="146"/>
      <c r="T357" s="154"/>
      <c r="U357" s="145"/>
    </row>
    <row r="358" spans="1:21" ht="15" customHeight="1">
      <c r="A358" s="159" t="s">
        <v>2744</v>
      </c>
      <c r="B358" s="114" t="str">
        <f>VLOOKUP(A358,'Data pick slip'!B:F,5,FALSE)</f>
        <v>KHJ-MC100-00</v>
      </c>
      <c r="D358" s="156"/>
      <c r="E358" s="160" t="s">
        <v>2909</v>
      </c>
      <c r="F358" s="157" t="s">
        <v>2773</v>
      </c>
      <c r="G358" s="158">
        <v>50</v>
      </c>
      <c r="H358" s="148"/>
      <c r="I358" s="146"/>
      <c r="J358" s="146"/>
      <c r="K358" s="149"/>
      <c r="L358" s="150"/>
      <c r="M358" s="149"/>
      <c r="N358" s="151"/>
      <c r="O358" s="151"/>
      <c r="P358" s="146"/>
      <c r="Q358" s="152"/>
      <c r="R358" s="153"/>
      <c r="S358" s="146"/>
      <c r="T358" s="154"/>
      <c r="U358" s="145"/>
    </row>
    <row r="359" spans="1:21" ht="15" customHeight="1">
      <c r="A359" s="159" t="s">
        <v>2747</v>
      </c>
      <c r="B359" s="114" t="str">
        <f>VLOOKUP(A359,'Data pick slip'!B:F,5,FALSE)</f>
        <v>KHJ-MC200-00</v>
      </c>
      <c r="D359" s="156"/>
      <c r="E359" s="160" t="s">
        <v>2909</v>
      </c>
      <c r="F359" s="157" t="s">
        <v>2773</v>
      </c>
      <c r="G359" s="158">
        <v>100</v>
      </c>
      <c r="H359" s="148"/>
      <c r="I359" s="146"/>
      <c r="J359" s="146"/>
      <c r="K359" s="149"/>
      <c r="L359" s="150"/>
      <c r="M359" s="149"/>
      <c r="N359" s="151"/>
      <c r="O359" s="151"/>
      <c r="P359" s="146"/>
      <c r="Q359" s="152"/>
      <c r="R359" s="153"/>
      <c r="S359" s="146"/>
      <c r="T359" s="154"/>
      <c r="U359" s="145"/>
    </row>
    <row r="360" spans="1:21" ht="15" customHeight="1">
      <c r="A360" s="159" t="s">
        <v>2748</v>
      </c>
      <c r="B360" s="114" t="str">
        <f>VLOOKUP(A360,'Data pick slip'!B:F,5,FALSE)</f>
        <v>KHJ-MC400-00</v>
      </c>
      <c r="D360" s="156"/>
      <c r="E360" s="160" t="s">
        <v>2909</v>
      </c>
      <c r="F360" s="157" t="s">
        <v>2773</v>
      </c>
      <c r="G360" s="158">
        <v>35</v>
      </c>
      <c r="H360" s="148"/>
      <c r="I360" s="146"/>
      <c r="J360" s="146"/>
      <c r="K360" s="149"/>
      <c r="L360" s="150"/>
      <c r="M360" s="149"/>
      <c r="N360" s="151"/>
      <c r="O360" s="151"/>
      <c r="P360" s="146"/>
      <c r="Q360" s="152"/>
      <c r="R360" s="153"/>
      <c r="S360" s="146"/>
      <c r="T360" s="154"/>
      <c r="U360" s="145"/>
    </row>
    <row r="361" spans="1:21" ht="15" customHeight="1">
      <c r="A361" s="155" t="s">
        <v>2749</v>
      </c>
      <c r="B361" s="114" t="str">
        <f>VLOOKUP(A361,'Data pick slip'!B:F,5,FALSE)</f>
        <v>KHJ-MC500-00</v>
      </c>
      <c r="D361" s="156"/>
      <c r="E361" s="160" t="s">
        <v>2909</v>
      </c>
      <c r="F361" s="157" t="s">
        <v>2773</v>
      </c>
      <c r="G361" s="158">
        <v>5</v>
      </c>
      <c r="H361" s="148"/>
      <c r="I361" s="146"/>
      <c r="J361" s="146"/>
      <c r="K361" s="149"/>
      <c r="L361" s="150"/>
      <c r="M361" s="149"/>
      <c r="N361" s="151"/>
      <c r="O361" s="151"/>
      <c r="P361" s="146"/>
      <c r="Q361" s="152"/>
      <c r="R361" s="153"/>
      <c r="S361" s="146"/>
      <c r="T361" s="154"/>
      <c r="U361" s="145"/>
    </row>
    <row r="362" spans="1:21" ht="15" customHeight="1">
      <c r="A362" s="155" t="s">
        <v>2750</v>
      </c>
      <c r="B362" s="114" t="str">
        <f>VLOOKUP(A362,'Data pick slip'!B:F,5,FALSE)</f>
        <v>KHJ-MC600-00</v>
      </c>
      <c r="D362" s="156"/>
      <c r="E362" s="160" t="s">
        <v>2909</v>
      </c>
      <c r="F362" s="157" t="s">
        <v>2773</v>
      </c>
      <c r="G362" s="158">
        <v>8</v>
      </c>
      <c r="H362" s="148"/>
      <c r="I362" s="146"/>
      <c r="J362" s="146"/>
      <c r="K362" s="149"/>
      <c r="L362" s="150"/>
      <c r="M362" s="149"/>
      <c r="N362" s="151"/>
      <c r="O362" s="151"/>
      <c r="P362" s="146"/>
      <c r="Q362" s="152"/>
      <c r="R362" s="153"/>
      <c r="S362" s="146"/>
      <c r="T362" s="154"/>
      <c r="U362" s="145"/>
    </row>
    <row r="363" spans="1:21" ht="15" customHeight="1">
      <c r="A363" s="159" t="s">
        <v>2754</v>
      </c>
      <c r="B363" s="114" t="str">
        <f>VLOOKUP(A363,'Data pick slip'!B:F,5,FALSE)</f>
        <v>KLJ-MCN00-20</v>
      </c>
      <c r="C363" s="156">
        <v>109956</v>
      </c>
      <c r="D363" s="156" t="s">
        <v>2910</v>
      </c>
      <c r="E363" s="160">
        <v>44018</v>
      </c>
      <c r="F363" s="157" t="s">
        <v>2861</v>
      </c>
      <c r="G363" s="158">
        <v>5</v>
      </c>
      <c r="H363" s="148"/>
      <c r="I363" s="146"/>
      <c r="J363" s="146"/>
      <c r="K363" s="149"/>
      <c r="L363" s="150"/>
      <c r="M363" s="149"/>
      <c r="N363" s="151"/>
      <c r="O363" s="151"/>
      <c r="P363" s="146"/>
      <c r="Q363" s="152"/>
      <c r="R363" s="153"/>
      <c r="S363" s="146"/>
      <c r="T363" s="154"/>
      <c r="U363" s="145"/>
    </row>
    <row r="364" spans="1:21" ht="15" customHeight="1">
      <c r="A364" s="159" t="s">
        <v>2755</v>
      </c>
      <c r="B364" s="114" t="str">
        <f>VLOOKUP(A364,'Data pick slip'!B:F,5,FALSE)</f>
        <v>KLJ-MC100-00</v>
      </c>
      <c r="C364" s="156">
        <v>109956</v>
      </c>
      <c r="D364" s="156" t="s">
        <v>2910</v>
      </c>
      <c r="E364" s="160">
        <v>44018</v>
      </c>
      <c r="F364" s="157" t="s">
        <v>2861</v>
      </c>
      <c r="G364" s="158">
        <v>20</v>
      </c>
      <c r="H364" s="148"/>
      <c r="I364" s="146"/>
      <c r="J364" s="146"/>
      <c r="K364" s="149"/>
      <c r="L364" s="150"/>
      <c r="M364" s="149"/>
      <c r="N364" s="151"/>
      <c r="O364" s="151"/>
      <c r="P364" s="146"/>
      <c r="Q364" s="152"/>
      <c r="R364" s="153"/>
      <c r="S364" s="146"/>
      <c r="T364" s="154"/>
      <c r="U364" s="145"/>
    </row>
    <row r="365" spans="1:21" ht="15" customHeight="1">
      <c r="A365" s="159" t="s">
        <v>2744</v>
      </c>
      <c r="B365" s="114" t="str">
        <f>VLOOKUP(A365,'Data pick slip'!B:F,5,FALSE)</f>
        <v>KHJ-MC100-00</v>
      </c>
      <c r="C365" s="156">
        <v>109957</v>
      </c>
      <c r="D365" s="156" t="str">
        <f>VLOOKUP(C365,Stock_list!D:L,2,FALSE)</f>
        <v>Stock order</v>
      </c>
      <c r="E365" s="160">
        <f>VLOOKUP(C365,Stock_list!D:L,9,FALSE)</f>
        <v>44064</v>
      </c>
      <c r="F365" s="157" t="s">
        <v>2861</v>
      </c>
      <c r="G365" s="158">
        <v>400</v>
      </c>
      <c r="H365" s="148"/>
      <c r="I365" s="146"/>
      <c r="J365" s="146"/>
      <c r="K365" s="149"/>
      <c r="L365" s="150"/>
      <c r="M365" s="149"/>
      <c r="N365" s="151"/>
      <c r="O365" s="151"/>
      <c r="P365" s="146"/>
      <c r="Q365" s="152"/>
      <c r="R365" s="153"/>
      <c r="S365" s="146"/>
      <c r="T365" s="154"/>
      <c r="U365" s="145"/>
    </row>
    <row r="366" spans="1:21" ht="15" customHeight="1">
      <c r="A366" s="159" t="s">
        <v>2747</v>
      </c>
      <c r="B366" s="114" t="str">
        <f>VLOOKUP(A366,'Data pick slip'!B:F,5,FALSE)</f>
        <v>KHJ-MC200-00</v>
      </c>
      <c r="C366" s="156">
        <v>109957</v>
      </c>
      <c r="D366" s="156" t="str">
        <f>VLOOKUP(C366,Stock_list!D:L,2,FALSE)</f>
        <v>Stock order</v>
      </c>
      <c r="E366" s="160">
        <f>VLOOKUP(C366,Stock_list!D:L,9,FALSE)</f>
        <v>44064</v>
      </c>
      <c r="F366" s="157" t="s">
        <v>2861</v>
      </c>
      <c r="G366" s="158">
        <v>100</v>
      </c>
      <c r="H366" s="148"/>
      <c r="I366" s="146"/>
      <c r="J366" s="146"/>
      <c r="K366" s="149"/>
      <c r="L366" s="150"/>
      <c r="M366" s="149"/>
      <c r="N366" s="151"/>
      <c r="O366" s="151"/>
      <c r="P366" s="146"/>
      <c r="Q366" s="152"/>
      <c r="R366" s="153"/>
      <c r="S366" s="146"/>
      <c r="T366" s="154"/>
      <c r="U366" s="145"/>
    </row>
    <row r="367" spans="1:21" ht="15" customHeight="1">
      <c r="A367" s="159" t="s">
        <v>2748</v>
      </c>
      <c r="B367" s="114" t="str">
        <f>VLOOKUP(A367,'Data pick slip'!B:F,5,FALSE)</f>
        <v>KHJ-MC400-00</v>
      </c>
      <c r="C367" s="156">
        <v>109957</v>
      </c>
      <c r="D367" s="156" t="str">
        <f>VLOOKUP(C367,Stock_list!D:L,2,FALSE)</f>
        <v>Stock order</v>
      </c>
      <c r="E367" s="160">
        <f>VLOOKUP(C367,Stock_list!D:L,9,FALSE)</f>
        <v>44064</v>
      </c>
      <c r="F367" s="157" t="s">
        <v>2861</v>
      </c>
      <c r="G367" s="158">
        <v>50</v>
      </c>
      <c r="H367" s="148"/>
      <c r="I367" s="146"/>
      <c r="J367" s="146"/>
      <c r="K367" s="149"/>
      <c r="L367" s="150"/>
      <c r="M367" s="149"/>
      <c r="N367" s="151"/>
      <c r="O367" s="151"/>
      <c r="P367" s="146"/>
      <c r="Q367" s="152"/>
      <c r="R367" s="153"/>
      <c r="S367" s="146"/>
      <c r="T367" s="154"/>
      <c r="U367" s="145"/>
    </row>
    <row r="368" spans="1:21" ht="15" customHeight="1">
      <c r="A368" s="155" t="s">
        <v>2749</v>
      </c>
      <c r="B368" s="114" t="str">
        <f>VLOOKUP(A368,'Data pick slip'!B:F,5,FALSE)</f>
        <v>KHJ-MC500-00</v>
      </c>
      <c r="C368" s="156">
        <v>109957</v>
      </c>
      <c r="D368" s="156" t="str">
        <f>VLOOKUP(C368,Stock_list!D:L,2,FALSE)</f>
        <v>Stock order</v>
      </c>
      <c r="E368" s="160">
        <f>VLOOKUP(C368,Stock_list!D:L,9,FALSE)</f>
        <v>44064</v>
      </c>
      <c r="F368" s="157" t="s">
        <v>2861</v>
      </c>
      <c r="G368" s="158">
        <v>15</v>
      </c>
      <c r="H368" s="148"/>
      <c r="I368" s="146"/>
      <c r="J368" s="146"/>
      <c r="K368" s="149"/>
      <c r="L368" s="150"/>
      <c r="M368" s="149"/>
      <c r="N368" s="151"/>
      <c r="O368" s="151"/>
      <c r="P368" s="146"/>
      <c r="Q368" s="152"/>
      <c r="R368" s="153"/>
      <c r="S368" s="146"/>
      <c r="T368" s="154"/>
      <c r="U368" s="145"/>
    </row>
    <row r="369" spans="1:21" ht="15" customHeight="1">
      <c r="A369" s="155" t="s">
        <v>2750</v>
      </c>
      <c r="B369" s="114" t="str">
        <f>VLOOKUP(A369,'Data pick slip'!B:F,5,FALSE)</f>
        <v>KHJ-MC600-00</v>
      </c>
      <c r="C369" s="156">
        <v>109957</v>
      </c>
      <c r="D369" s="156" t="str">
        <f>VLOOKUP(C369,Stock_list!D:L,2,FALSE)</f>
        <v>Stock order</v>
      </c>
      <c r="E369" s="160">
        <f>VLOOKUP(C369,Stock_list!D:L,9,FALSE)</f>
        <v>44064</v>
      </c>
      <c r="F369" s="157" t="s">
        <v>2861</v>
      </c>
      <c r="G369" s="158">
        <v>2</v>
      </c>
      <c r="H369" s="148"/>
      <c r="I369" s="146"/>
      <c r="J369" s="146"/>
      <c r="K369" s="149"/>
      <c r="L369" s="150"/>
      <c r="M369" s="149"/>
      <c r="N369" s="151"/>
      <c r="O369" s="151"/>
      <c r="P369" s="146"/>
      <c r="Q369" s="152"/>
      <c r="R369" s="153"/>
      <c r="S369" s="146"/>
      <c r="T369" s="154"/>
      <c r="U369" s="145"/>
    </row>
    <row r="370" spans="1:21" ht="15" customHeight="1">
      <c r="A370" s="159" t="s">
        <v>2744</v>
      </c>
      <c r="B370" s="114" t="str">
        <f>VLOOKUP(A370,'Data pick slip'!B:F,5,FALSE)</f>
        <v>KHJ-MC100-00</v>
      </c>
      <c r="D370" s="156"/>
      <c r="E370" s="160" t="s">
        <v>2911</v>
      </c>
      <c r="F370" s="157" t="s">
        <v>2773</v>
      </c>
      <c r="G370" s="158">
        <v>100</v>
      </c>
      <c r="H370" s="148"/>
      <c r="I370" s="146"/>
      <c r="J370" s="146"/>
      <c r="K370" s="149"/>
      <c r="L370" s="150"/>
      <c r="M370" s="149"/>
      <c r="N370" s="151"/>
      <c r="O370" s="151"/>
      <c r="P370" s="146"/>
      <c r="Q370" s="152"/>
      <c r="R370" s="153"/>
      <c r="S370" s="146"/>
      <c r="T370" s="154"/>
      <c r="U370" s="145"/>
    </row>
    <row r="371" spans="1:21" ht="15" customHeight="1">
      <c r="A371" s="159" t="s">
        <v>2749</v>
      </c>
      <c r="B371" s="114" t="str">
        <f>VLOOKUP(A371,'Data pick slip'!B:F,5,FALSE)</f>
        <v>KHJ-MC500-00</v>
      </c>
      <c r="D371" s="156"/>
      <c r="E371" s="160" t="s">
        <v>2911</v>
      </c>
      <c r="F371" s="157" t="s">
        <v>2773</v>
      </c>
      <c r="G371" s="158">
        <v>10</v>
      </c>
      <c r="H371" s="148"/>
      <c r="I371" s="146"/>
      <c r="J371" s="146"/>
      <c r="K371" s="149"/>
      <c r="L371" s="150"/>
      <c r="M371" s="149"/>
      <c r="N371" s="151"/>
      <c r="O371" s="151"/>
      <c r="P371" s="146"/>
      <c r="Q371" s="152"/>
      <c r="R371" s="153"/>
      <c r="S371" s="146"/>
      <c r="T371" s="154"/>
      <c r="U371" s="145"/>
    </row>
    <row r="372" spans="1:21" ht="15" customHeight="1">
      <c r="A372" s="159" t="s">
        <v>2744</v>
      </c>
      <c r="B372" s="114" t="str">
        <f>VLOOKUP(A372,'Data pick slip'!B:F,5,FALSE)</f>
        <v>KHJ-MC100-00</v>
      </c>
      <c r="D372" s="156"/>
      <c r="E372" s="160" t="s">
        <v>2912</v>
      </c>
      <c r="F372" s="157" t="s">
        <v>2773</v>
      </c>
      <c r="G372" s="158">
        <v>250</v>
      </c>
      <c r="H372" s="148"/>
      <c r="I372" s="146"/>
      <c r="J372" s="146"/>
      <c r="K372" s="149"/>
      <c r="L372" s="150"/>
      <c r="M372" s="149"/>
      <c r="N372" s="151"/>
      <c r="O372" s="151"/>
      <c r="P372" s="146"/>
      <c r="Q372" s="152"/>
      <c r="R372" s="153"/>
      <c r="S372" s="146"/>
      <c r="T372" s="154"/>
      <c r="U372" s="145"/>
    </row>
    <row r="373" spans="1:21" ht="15" customHeight="1">
      <c r="A373" s="159" t="s">
        <v>2744</v>
      </c>
      <c r="B373" s="114" t="str">
        <f>VLOOKUP(A373,'Data pick slip'!B:F,5,FALSE)</f>
        <v>KHJ-MC100-00</v>
      </c>
      <c r="C373" s="156">
        <v>109977</v>
      </c>
      <c r="D373" s="156" t="str">
        <f>VLOOKUP(C373,Stock_list!D:L,2,FALSE)</f>
        <v>Stock order</v>
      </c>
      <c r="E373" s="160">
        <f>VLOOKUP(C373,Stock_list!D:L,9,FALSE)</f>
        <v>44099</v>
      </c>
      <c r="F373" s="157" t="s">
        <v>2861</v>
      </c>
      <c r="G373" s="158">
        <v>100</v>
      </c>
      <c r="H373" s="148"/>
      <c r="I373" s="146"/>
      <c r="J373" s="146"/>
      <c r="K373" s="149"/>
      <c r="L373" s="150"/>
      <c r="M373" s="149"/>
      <c r="N373" s="151"/>
      <c r="O373" s="151"/>
      <c r="P373" s="146"/>
      <c r="Q373" s="152"/>
      <c r="R373" s="153"/>
      <c r="S373" s="146"/>
      <c r="T373" s="154"/>
      <c r="U373" s="145"/>
    </row>
    <row r="374" spans="1:21" ht="15" customHeight="1">
      <c r="A374" s="159" t="s">
        <v>2747</v>
      </c>
      <c r="B374" s="114" t="str">
        <f>VLOOKUP(A374,'Data pick slip'!B:F,5,FALSE)</f>
        <v>KHJ-MC200-00</v>
      </c>
      <c r="C374" s="156">
        <v>109977</v>
      </c>
      <c r="D374" s="156" t="str">
        <f>VLOOKUP(C374,Stock_list!D:L,2,FALSE)</f>
        <v>Stock order</v>
      </c>
      <c r="E374" s="160">
        <f>VLOOKUP(C374,Stock_list!D:L,9,FALSE)</f>
        <v>44099</v>
      </c>
      <c r="F374" s="157" t="s">
        <v>2861</v>
      </c>
      <c r="G374" s="158">
        <v>50</v>
      </c>
      <c r="H374" s="148"/>
      <c r="I374" s="146"/>
      <c r="J374" s="146"/>
      <c r="K374" s="149"/>
      <c r="L374" s="150"/>
      <c r="M374" s="149"/>
      <c r="N374" s="151"/>
      <c r="O374" s="151"/>
      <c r="P374" s="146"/>
      <c r="Q374" s="152"/>
      <c r="R374" s="153"/>
      <c r="S374" s="146"/>
      <c r="T374" s="154"/>
      <c r="U374" s="145"/>
    </row>
    <row r="375" spans="1:21" ht="15" customHeight="1">
      <c r="A375" s="159" t="s">
        <v>2755</v>
      </c>
      <c r="B375" s="114" t="str">
        <f>VLOOKUP(A375,'Data pick slip'!B:F,5,FALSE)</f>
        <v>KLJ-MC100-00</v>
      </c>
      <c r="C375" s="156">
        <v>109980</v>
      </c>
      <c r="D375" s="156" t="str">
        <f>VLOOKUP(C375,Stock_list!D:L,2,FALSE)</f>
        <v>德劲名义下单</v>
      </c>
      <c r="E375" s="160">
        <f>VLOOKUP(C375,Stock_list!D:L,9,FALSE)</f>
        <v>44097</v>
      </c>
      <c r="F375" s="157" t="s">
        <v>2861</v>
      </c>
      <c r="G375" s="158">
        <v>600</v>
      </c>
      <c r="H375" s="148"/>
      <c r="I375" s="146"/>
      <c r="J375" s="146"/>
      <c r="K375" s="149"/>
      <c r="L375" s="150"/>
      <c r="M375" s="149"/>
      <c r="N375" s="151"/>
      <c r="O375" s="151"/>
      <c r="P375" s="146"/>
      <c r="Q375" s="152"/>
      <c r="R375" s="153"/>
      <c r="S375" s="146"/>
      <c r="T375" s="154"/>
      <c r="U375" s="145"/>
    </row>
    <row r="376" spans="1:21" ht="15" customHeight="1">
      <c r="A376" s="159" t="s">
        <v>2748</v>
      </c>
      <c r="B376" s="114" t="str">
        <f>VLOOKUP(A376,'Data pick slip'!B:F,5,FALSE)</f>
        <v>KHJ-MC400-00</v>
      </c>
      <c r="D376" s="156"/>
      <c r="E376" s="160" t="s">
        <v>2913</v>
      </c>
      <c r="F376" s="157" t="s">
        <v>2773</v>
      </c>
      <c r="G376" s="158">
        <v>17</v>
      </c>
      <c r="H376" s="148"/>
      <c r="I376" s="146"/>
      <c r="J376" s="146"/>
      <c r="K376" s="149"/>
      <c r="L376" s="150"/>
      <c r="M376" s="149"/>
      <c r="N376" s="151"/>
      <c r="O376" s="151"/>
      <c r="P376" s="146"/>
      <c r="Q376" s="152"/>
      <c r="R376" s="153"/>
      <c r="S376" s="146"/>
      <c r="T376" s="154"/>
      <c r="U376" s="145"/>
    </row>
    <row r="377" spans="1:21" ht="15" customHeight="1">
      <c r="A377" s="159" t="s">
        <v>2754</v>
      </c>
      <c r="B377" s="114" t="str">
        <f>VLOOKUP(A377,'Data pick slip'!B:F,5,FALSE)</f>
        <v>KLJ-MCN00-20</v>
      </c>
      <c r="D377" s="156"/>
      <c r="E377" s="160" t="s">
        <v>2913</v>
      </c>
      <c r="F377" s="157" t="s">
        <v>2773</v>
      </c>
      <c r="G377" s="158">
        <v>3</v>
      </c>
      <c r="H377" s="148"/>
      <c r="I377" s="146"/>
      <c r="J377" s="146"/>
      <c r="K377" s="149"/>
      <c r="L377" s="150"/>
      <c r="M377" s="149"/>
      <c r="N377" s="151"/>
      <c r="O377" s="151"/>
      <c r="P377" s="146"/>
      <c r="Q377" s="152"/>
      <c r="R377" s="153"/>
      <c r="S377" s="146"/>
      <c r="T377" s="154"/>
      <c r="U377" s="145"/>
    </row>
    <row r="378" spans="1:21" ht="15" customHeight="1">
      <c r="A378" s="159" t="s">
        <v>2755</v>
      </c>
      <c r="B378" s="114" t="str">
        <f>VLOOKUP(A378,'Data pick slip'!B:F,5,FALSE)</f>
        <v>KLJ-MC100-00</v>
      </c>
      <c r="D378" s="156"/>
      <c r="E378" s="160" t="s">
        <v>2913</v>
      </c>
      <c r="F378" s="157" t="s">
        <v>2773</v>
      </c>
      <c r="G378" s="158">
        <v>20</v>
      </c>
      <c r="H378" s="148"/>
      <c r="I378" s="146"/>
      <c r="J378" s="146"/>
      <c r="K378" s="149"/>
      <c r="L378" s="150"/>
      <c r="M378" s="149"/>
      <c r="N378" s="151"/>
      <c r="O378" s="151"/>
      <c r="P378" s="146"/>
      <c r="Q378" s="152"/>
      <c r="R378" s="153"/>
      <c r="S378" s="146"/>
      <c r="T378" s="154"/>
      <c r="U378" s="145"/>
    </row>
    <row r="379" spans="1:21" ht="15" customHeight="1">
      <c r="A379" s="159" t="s">
        <v>2744</v>
      </c>
      <c r="B379" s="114" t="str">
        <f>VLOOKUP(A379,'Data pick slip'!B:F,5,FALSE)</f>
        <v>KHJ-MC100-00</v>
      </c>
      <c r="C379" s="156">
        <v>109992</v>
      </c>
      <c r="D379" s="156" t="str">
        <f>VLOOKUP(C379,Stock_list!D:L,2,FALSE)</f>
        <v>Stock order</v>
      </c>
      <c r="E379" s="160">
        <f>VLOOKUP(C379,Stock_list!D:L,9,FALSE)</f>
        <v>44137</v>
      </c>
      <c r="F379" s="157" t="s">
        <v>2861</v>
      </c>
      <c r="G379" s="158">
        <v>200</v>
      </c>
      <c r="H379" s="148"/>
      <c r="I379" s="146"/>
      <c r="J379" s="146"/>
      <c r="K379" s="149"/>
      <c r="L379" s="150"/>
      <c r="M379" s="149"/>
      <c r="N379" s="151"/>
      <c r="O379" s="151"/>
      <c r="P379" s="146"/>
      <c r="Q379" s="152"/>
      <c r="R379" s="153"/>
      <c r="S379" s="146"/>
      <c r="T379" s="154"/>
      <c r="U379" s="145"/>
    </row>
    <row r="380" spans="1:21" ht="15" customHeight="1">
      <c r="A380" s="159" t="s">
        <v>2747</v>
      </c>
      <c r="B380" s="114" t="str">
        <f>VLOOKUP(A380,'Data pick slip'!B:F,5,FALSE)</f>
        <v>KHJ-MC200-00</v>
      </c>
      <c r="C380" s="156">
        <v>109992</v>
      </c>
      <c r="D380" s="156" t="str">
        <f>VLOOKUP(C380,Stock_list!D:L,2,FALSE)</f>
        <v>Stock order</v>
      </c>
      <c r="E380" s="160">
        <f>VLOOKUP(C380,Stock_list!D:L,9,FALSE)</f>
        <v>44137</v>
      </c>
      <c r="F380" s="157" t="s">
        <v>2861</v>
      </c>
      <c r="G380" s="158">
        <v>60</v>
      </c>
      <c r="H380" s="148"/>
      <c r="I380" s="146"/>
      <c r="J380" s="146"/>
      <c r="K380" s="149"/>
      <c r="L380" s="150"/>
      <c r="M380" s="149"/>
      <c r="N380" s="151"/>
      <c r="O380" s="151"/>
      <c r="P380" s="146"/>
      <c r="Q380" s="152"/>
      <c r="R380" s="153"/>
      <c r="S380" s="146"/>
      <c r="T380" s="154"/>
      <c r="U380" s="145"/>
    </row>
    <row r="381" spans="1:21" ht="15" customHeight="1">
      <c r="A381" s="159" t="s">
        <v>2744</v>
      </c>
      <c r="B381" s="114" t="str">
        <f>VLOOKUP(A381,'Data pick slip'!B:F,5,FALSE)</f>
        <v>KHJ-MC100-00</v>
      </c>
      <c r="C381" s="156">
        <v>109995</v>
      </c>
      <c r="D381" s="156" t="str">
        <f>VLOOKUP(C381,Stock_list!D:L,2,FALSE)</f>
        <v>瑞福联名义</v>
      </c>
      <c r="E381" s="160">
        <f>VLOOKUP(C381,Stock_list!D:L,9,FALSE)</f>
        <v>44126</v>
      </c>
      <c r="F381" s="157" t="s">
        <v>2861</v>
      </c>
      <c r="G381" s="158">
        <v>50</v>
      </c>
      <c r="H381" s="148"/>
      <c r="I381" s="146"/>
      <c r="J381" s="146"/>
      <c r="K381" s="149"/>
      <c r="L381" s="150"/>
      <c r="M381" s="149"/>
      <c r="N381" s="151"/>
      <c r="O381" s="151"/>
      <c r="P381" s="146"/>
      <c r="Q381" s="152"/>
      <c r="R381" s="153"/>
      <c r="S381" s="146"/>
      <c r="T381" s="154"/>
      <c r="U381" s="145"/>
    </row>
    <row r="382" spans="1:21" ht="15" customHeight="1">
      <c r="A382" s="159" t="s">
        <v>2747</v>
      </c>
      <c r="B382" s="114" t="str">
        <f>VLOOKUP(A382,'Data pick slip'!B:F,5,FALSE)</f>
        <v>KHJ-MC200-00</v>
      </c>
      <c r="C382" s="156">
        <v>109995</v>
      </c>
      <c r="D382" s="156" t="str">
        <f>VLOOKUP(C382,Stock_list!D:L,2,FALSE)</f>
        <v>瑞福联名义</v>
      </c>
      <c r="E382" s="160">
        <f>VLOOKUP(C382,Stock_list!D:L,9,FALSE)</f>
        <v>44126</v>
      </c>
      <c r="F382" s="157" t="s">
        <v>2861</v>
      </c>
      <c r="G382" s="158">
        <v>60</v>
      </c>
      <c r="H382" s="148"/>
      <c r="I382" s="146"/>
      <c r="J382" s="146"/>
      <c r="K382" s="149"/>
      <c r="L382" s="150"/>
      <c r="M382" s="149"/>
      <c r="N382" s="151"/>
      <c r="O382" s="151"/>
      <c r="P382" s="146"/>
      <c r="Q382" s="152"/>
      <c r="R382" s="153"/>
      <c r="S382" s="146"/>
      <c r="T382" s="154"/>
      <c r="U382" s="145"/>
    </row>
    <row r="383" spans="1:21" ht="15" customHeight="1">
      <c r="A383" s="159" t="s">
        <v>2748</v>
      </c>
      <c r="B383" s="114" t="str">
        <f>VLOOKUP(A383,'Data pick slip'!B:F,5,FALSE)</f>
        <v>KHJ-MC400-00</v>
      </c>
      <c r="C383" s="156">
        <v>109995</v>
      </c>
      <c r="D383" s="156" t="str">
        <f>VLOOKUP(C383,Stock_list!D:L,2,FALSE)</f>
        <v>瑞福联名义</v>
      </c>
      <c r="E383" s="160">
        <f>VLOOKUP(C383,Stock_list!D:L,9,FALSE)</f>
        <v>44126</v>
      </c>
      <c r="F383" s="157" t="s">
        <v>2861</v>
      </c>
      <c r="G383" s="158">
        <v>10</v>
      </c>
      <c r="H383" s="148"/>
      <c r="I383" s="146"/>
      <c r="J383" s="146"/>
      <c r="K383" s="149"/>
      <c r="L383" s="150"/>
      <c r="M383" s="149"/>
      <c r="N383" s="151"/>
      <c r="O383" s="151"/>
      <c r="P383" s="146"/>
      <c r="Q383" s="152"/>
      <c r="R383" s="153"/>
      <c r="S383" s="146"/>
      <c r="T383" s="154"/>
      <c r="U383" s="145"/>
    </row>
    <row r="384" spans="1:21" ht="15" customHeight="1">
      <c r="A384" s="155" t="s">
        <v>2749</v>
      </c>
      <c r="B384" s="114" t="str">
        <f>VLOOKUP(A384,'Data pick slip'!B:F,5,FALSE)</f>
        <v>KHJ-MC500-00</v>
      </c>
      <c r="C384" s="165">
        <v>109995</v>
      </c>
      <c r="D384" s="165" t="str">
        <f>VLOOKUP(C384,Stock_list!D:L,2,FALSE)</f>
        <v>瑞福联名义</v>
      </c>
      <c r="E384" s="302">
        <f>VLOOKUP(C384,Stock_list!D:L,9,FALSE)</f>
        <v>44126</v>
      </c>
      <c r="F384" s="166" t="s">
        <v>2861</v>
      </c>
      <c r="G384" s="167">
        <v>5</v>
      </c>
      <c r="H384" s="148"/>
      <c r="I384" s="146"/>
      <c r="J384" s="146"/>
      <c r="K384" s="149"/>
      <c r="L384" s="150"/>
      <c r="M384" s="149"/>
      <c r="N384" s="151"/>
      <c r="O384" s="151"/>
      <c r="P384" s="146"/>
      <c r="Q384" s="152"/>
      <c r="R384" s="153"/>
      <c r="S384" s="146"/>
      <c r="T384" s="154"/>
      <c r="U384" s="145"/>
    </row>
    <row r="385" spans="1:21" ht="15" customHeight="1">
      <c r="A385" s="155" t="s">
        <v>2750</v>
      </c>
      <c r="B385" s="114" t="str">
        <f>VLOOKUP(A385,'Data pick slip'!B:F,5,FALSE)</f>
        <v>KHJ-MC600-00</v>
      </c>
      <c r="C385" s="168" t="s">
        <v>2914</v>
      </c>
      <c r="D385" s="156" t="s">
        <v>2915</v>
      </c>
      <c r="E385" s="160">
        <v>44126</v>
      </c>
      <c r="F385" s="157" t="s">
        <v>2861</v>
      </c>
      <c r="G385" s="158">
        <v>5</v>
      </c>
      <c r="H385" s="148"/>
      <c r="I385" s="146"/>
      <c r="J385" s="146"/>
      <c r="K385" s="149"/>
      <c r="L385" s="150"/>
      <c r="M385" s="149"/>
      <c r="N385" s="151"/>
      <c r="O385" s="151"/>
      <c r="P385" s="146"/>
      <c r="Q385" s="152"/>
      <c r="R385" s="153"/>
      <c r="S385" s="146"/>
      <c r="T385" s="154"/>
      <c r="U385" s="145"/>
    </row>
    <row r="386" spans="1:21" ht="15" customHeight="1">
      <c r="A386" s="159" t="s">
        <v>2744</v>
      </c>
      <c r="B386" s="114" t="str">
        <f>VLOOKUP(A386,'Data pick slip'!B:F,5,FALSE)</f>
        <v>KHJ-MC100-00</v>
      </c>
      <c r="C386" s="156">
        <v>110025</v>
      </c>
      <c r="D386" s="156" t="str">
        <f>VLOOKUP(C386,Stock_list!D:L,2,FALSE)</f>
        <v>Stock order</v>
      </c>
      <c r="E386" s="160">
        <f>VLOOKUP(C386,Stock_list!D:L,9,FALSE)</f>
        <v>44142</v>
      </c>
      <c r="F386" s="157" t="s">
        <v>2861</v>
      </c>
      <c r="G386" s="158">
        <v>50</v>
      </c>
      <c r="H386" s="148"/>
      <c r="I386" s="146"/>
      <c r="J386" s="146"/>
      <c r="K386" s="149"/>
      <c r="L386" s="150"/>
      <c r="M386" s="149"/>
      <c r="N386" s="151"/>
      <c r="O386" s="151"/>
      <c r="P386" s="146"/>
      <c r="Q386" s="152"/>
      <c r="R386" s="153"/>
      <c r="S386" s="146"/>
      <c r="T386" s="154"/>
      <c r="U386" s="145"/>
    </row>
    <row r="387" spans="1:21" ht="15" customHeight="1">
      <c r="A387" s="159" t="s">
        <v>2747</v>
      </c>
      <c r="B387" s="114" t="str">
        <f>VLOOKUP(A387,'Data pick slip'!B:F,5,FALSE)</f>
        <v>KHJ-MC200-00</v>
      </c>
      <c r="C387" s="156">
        <v>110025</v>
      </c>
      <c r="D387" s="156" t="str">
        <f>VLOOKUP(C387,Stock_list!D:L,2,FALSE)</f>
        <v>Stock order</v>
      </c>
      <c r="E387" s="160">
        <f>VLOOKUP(C387,Stock_list!D:L,9,FALSE)</f>
        <v>44142</v>
      </c>
      <c r="F387" s="157" t="s">
        <v>2861</v>
      </c>
      <c r="G387" s="158">
        <v>100</v>
      </c>
      <c r="H387" s="148"/>
      <c r="I387" s="146"/>
      <c r="J387" s="146"/>
      <c r="K387" s="149"/>
      <c r="L387" s="150"/>
      <c r="M387" s="149"/>
      <c r="N387" s="151"/>
      <c r="O387" s="151"/>
      <c r="P387" s="146"/>
      <c r="Q387" s="152"/>
      <c r="R387" s="153"/>
      <c r="S387" s="146"/>
      <c r="T387" s="154"/>
      <c r="U387" s="145"/>
    </row>
    <row r="388" spans="1:21" ht="15" customHeight="1">
      <c r="A388" s="159" t="s">
        <v>2744</v>
      </c>
      <c r="B388" s="114" t="str">
        <f>VLOOKUP(A388,'Data pick slip'!B:F,5,FALSE)</f>
        <v>KHJ-MC100-00</v>
      </c>
      <c r="C388" s="156">
        <v>110026</v>
      </c>
      <c r="D388" s="156" t="str">
        <f>VLOOKUP(C388,Stock_list!D:L,2,FALSE)</f>
        <v>Stock order</v>
      </c>
      <c r="E388" s="160">
        <f>VLOOKUP(C388,Stock_list!D:L,9,FALSE)</f>
        <v>44161</v>
      </c>
      <c r="F388" s="157" t="s">
        <v>2861</v>
      </c>
      <c r="G388" s="158">
        <v>450</v>
      </c>
      <c r="H388" s="148"/>
      <c r="I388" s="146"/>
      <c r="J388" s="146"/>
      <c r="K388" s="149"/>
      <c r="L388" s="150"/>
      <c r="M388" s="149"/>
      <c r="N388" s="151"/>
      <c r="O388" s="151"/>
      <c r="P388" s="146"/>
      <c r="Q388" s="152"/>
      <c r="R388" s="153"/>
      <c r="S388" s="146"/>
      <c r="T388" s="154"/>
      <c r="U388" s="145"/>
    </row>
    <row r="389" spans="1:21" ht="15" customHeight="1">
      <c r="A389" s="159" t="s">
        <v>2748</v>
      </c>
      <c r="B389" s="114" t="str">
        <f>VLOOKUP(A389,'Data pick slip'!B:F,5,FALSE)</f>
        <v>KHJ-MC400-00</v>
      </c>
      <c r="C389" s="156">
        <v>110026</v>
      </c>
      <c r="D389" s="156" t="str">
        <f>VLOOKUP(C389,Stock_list!D:L,2,FALSE)</f>
        <v>Stock order</v>
      </c>
      <c r="E389" s="160">
        <f>VLOOKUP(C389,Stock_list!D:L,9,FALSE)</f>
        <v>44161</v>
      </c>
      <c r="F389" s="157" t="s">
        <v>2861</v>
      </c>
      <c r="G389" s="158">
        <v>30</v>
      </c>
      <c r="H389" s="148"/>
      <c r="I389" s="146"/>
      <c r="J389" s="146"/>
      <c r="K389" s="149"/>
      <c r="L389" s="150"/>
      <c r="M389" s="149"/>
      <c r="N389" s="151"/>
      <c r="O389" s="151"/>
      <c r="P389" s="146"/>
      <c r="Q389" s="152"/>
      <c r="R389" s="153"/>
      <c r="S389" s="146"/>
      <c r="T389" s="154"/>
      <c r="U389" s="145"/>
    </row>
    <row r="390" spans="1:21" ht="15" customHeight="1">
      <c r="A390" s="155" t="s">
        <v>2749</v>
      </c>
      <c r="B390" s="114" t="str">
        <f>VLOOKUP(A390,'Data pick slip'!B:F,5,FALSE)</f>
        <v>KHJ-MC500-00</v>
      </c>
      <c r="C390" s="156">
        <v>110026</v>
      </c>
      <c r="D390" s="156" t="str">
        <f>VLOOKUP(C390,Stock_list!D:L,2,FALSE)</f>
        <v>Stock order</v>
      </c>
      <c r="E390" s="160">
        <f>VLOOKUP(C390,Stock_list!D:L,9,FALSE)</f>
        <v>44161</v>
      </c>
      <c r="F390" s="157" t="s">
        <v>2861</v>
      </c>
      <c r="G390" s="158">
        <v>10</v>
      </c>
      <c r="H390" s="148"/>
      <c r="I390" s="146"/>
      <c r="J390" s="146"/>
      <c r="K390" s="149"/>
      <c r="L390" s="150"/>
      <c r="M390" s="149"/>
      <c r="N390" s="151"/>
      <c r="O390" s="151"/>
      <c r="P390" s="146"/>
      <c r="Q390" s="152"/>
      <c r="R390" s="153"/>
      <c r="S390" s="146"/>
      <c r="T390" s="154"/>
      <c r="U390" s="145"/>
    </row>
    <row r="391" spans="1:21" ht="15" customHeight="1">
      <c r="A391" s="155" t="s">
        <v>2751</v>
      </c>
      <c r="B391" s="114" t="str">
        <f>VLOOKUP(A391,'Data pick slip'!B:F,5,FALSE)</f>
        <v>KHJ-MC700-00</v>
      </c>
      <c r="C391" s="156">
        <v>110026</v>
      </c>
      <c r="D391" s="156" t="str">
        <f>VLOOKUP(C391,Stock_list!D:L,2,FALSE)</f>
        <v>Stock order</v>
      </c>
      <c r="E391" s="160">
        <f>VLOOKUP(C391,Stock_list!D:L,9,FALSE)</f>
        <v>44161</v>
      </c>
      <c r="F391" s="157" t="s">
        <v>2861</v>
      </c>
      <c r="G391" s="158">
        <v>1</v>
      </c>
      <c r="H391" s="148"/>
      <c r="I391" s="146"/>
      <c r="J391" s="146"/>
      <c r="K391" s="149"/>
      <c r="L391" s="150"/>
      <c r="M391" s="149"/>
      <c r="N391" s="151"/>
      <c r="O391" s="151"/>
      <c r="P391" s="146"/>
      <c r="Q391" s="152"/>
      <c r="R391" s="153"/>
      <c r="S391" s="146"/>
      <c r="T391" s="154"/>
      <c r="U391" s="145"/>
    </row>
    <row r="392" spans="1:21" ht="15" customHeight="1">
      <c r="A392" s="159" t="s">
        <v>2744</v>
      </c>
      <c r="B392" s="114" t="str">
        <f>VLOOKUP(A392,'Data pick slip'!B:F,5,FALSE)</f>
        <v>KHJ-MC100-00</v>
      </c>
      <c r="D392" s="156"/>
      <c r="E392" s="160" t="s">
        <v>2916</v>
      </c>
      <c r="F392" s="157" t="s">
        <v>2773</v>
      </c>
      <c r="G392" s="158">
        <v>50</v>
      </c>
      <c r="H392" s="148"/>
      <c r="I392" s="146"/>
      <c r="J392" s="146"/>
      <c r="K392" s="149"/>
      <c r="L392" s="150"/>
      <c r="M392" s="149"/>
      <c r="N392" s="151"/>
      <c r="O392" s="151"/>
      <c r="P392" s="146"/>
      <c r="Q392" s="152"/>
      <c r="R392" s="153"/>
      <c r="S392" s="146"/>
      <c r="T392" s="154"/>
      <c r="U392" s="145"/>
    </row>
    <row r="393" spans="1:21" ht="15" customHeight="1">
      <c r="A393" s="159" t="s">
        <v>2747</v>
      </c>
      <c r="B393" s="114" t="str">
        <f>VLOOKUP(A393,'Data pick slip'!B:F,5,FALSE)</f>
        <v>KHJ-MC200-00</v>
      </c>
      <c r="D393" s="156"/>
      <c r="E393" s="160" t="s">
        <v>2916</v>
      </c>
      <c r="F393" s="157" t="s">
        <v>2773</v>
      </c>
      <c r="G393" s="158">
        <v>50</v>
      </c>
      <c r="H393" s="148"/>
      <c r="I393" s="146"/>
      <c r="J393" s="146"/>
      <c r="K393" s="149"/>
      <c r="L393" s="150"/>
      <c r="M393" s="149"/>
      <c r="N393" s="151"/>
      <c r="O393" s="151"/>
      <c r="P393" s="146"/>
      <c r="Q393" s="152"/>
      <c r="R393" s="153"/>
      <c r="S393" s="146"/>
      <c r="T393" s="154"/>
      <c r="U393" s="145"/>
    </row>
    <row r="394" spans="1:21" ht="15" customHeight="1">
      <c r="A394" s="159" t="s">
        <v>2748</v>
      </c>
      <c r="B394" s="114" t="str">
        <f>VLOOKUP(A394,'Data pick slip'!B:F,5,FALSE)</f>
        <v>KHJ-MC400-00</v>
      </c>
      <c r="D394" s="156"/>
      <c r="E394" s="160" t="s">
        <v>2916</v>
      </c>
      <c r="F394" s="157" t="s">
        <v>2773</v>
      </c>
      <c r="G394" s="158">
        <v>10</v>
      </c>
      <c r="H394" s="148"/>
      <c r="I394" s="146"/>
      <c r="J394" s="146"/>
      <c r="K394" s="149"/>
      <c r="L394" s="150"/>
      <c r="M394" s="149"/>
      <c r="N394" s="151"/>
      <c r="O394" s="151"/>
      <c r="P394" s="146"/>
      <c r="Q394" s="152"/>
      <c r="R394" s="153"/>
      <c r="S394" s="146"/>
      <c r="T394" s="154"/>
      <c r="U394" s="145"/>
    </row>
    <row r="395" spans="1:21" ht="15" customHeight="1">
      <c r="A395" s="159" t="s">
        <v>2749</v>
      </c>
      <c r="B395" s="114" t="str">
        <f>VLOOKUP(A395,'Data pick slip'!B:F,5,FALSE)</f>
        <v>KHJ-MC500-00</v>
      </c>
      <c r="D395" s="156"/>
      <c r="E395" s="160" t="s">
        <v>2916</v>
      </c>
      <c r="F395" s="157" t="s">
        <v>2773</v>
      </c>
      <c r="G395" s="158">
        <v>5</v>
      </c>
      <c r="H395" s="148"/>
      <c r="I395" s="146"/>
      <c r="J395" s="146"/>
      <c r="K395" s="149"/>
      <c r="L395" s="150"/>
      <c r="M395" s="149"/>
      <c r="N395" s="151"/>
      <c r="O395" s="151"/>
      <c r="P395" s="146"/>
      <c r="Q395" s="152"/>
      <c r="R395" s="153"/>
      <c r="S395" s="146"/>
      <c r="T395" s="154"/>
      <c r="U395" s="145"/>
    </row>
    <row r="396" spans="1:21" ht="15" customHeight="1">
      <c r="A396" s="159" t="s">
        <v>2744</v>
      </c>
      <c r="B396" s="114" t="str">
        <f>VLOOKUP(A396,'Data pick slip'!B:F,5,FALSE)</f>
        <v>KHJ-MC100-00</v>
      </c>
      <c r="D396" s="156"/>
      <c r="E396" s="160" t="s">
        <v>2917</v>
      </c>
      <c r="F396" s="157" t="s">
        <v>2773</v>
      </c>
      <c r="G396" s="158">
        <v>150</v>
      </c>
      <c r="H396" s="148"/>
      <c r="I396" s="146"/>
      <c r="J396" s="146"/>
      <c r="K396" s="149"/>
      <c r="L396" s="150"/>
      <c r="M396" s="149"/>
      <c r="N396" s="151"/>
      <c r="O396" s="151"/>
      <c r="P396" s="146"/>
      <c r="Q396" s="152"/>
      <c r="R396" s="153"/>
      <c r="S396" s="146"/>
      <c r="T396" s="154"/>
      <c r="U396" s="145"/>
    </row>
    <row r="397" spans="1:21" ht="15" customHeight="1">
      <c r="A397" s="159" t="s">
        <v>2744</v>
      </c>
      <c r="B397" s="114" t="str">
        <f>VLOOKUP(A397,'Data pick slip'!B:F,5,FALSE)</f>
        <v>KHJ-MC100-00</v>
      </c>
      <c r="C397" s="156">
        <v>110048</v>
      </c>
      <c r="D397" s="156" t="str">
        <f>VLOOKUP(C397,Stock_list!D:L,2,FALSE)</f>
        <v>斯迈名义下单</v>
      </c>
      <c r="E397" s="160">
        <f>VLOOKUP(C397,Stock_list!D:L,9,FALSE)</f>
        <v>44126</v>
      </c>
      <c r="F397" s="157" t="s">
        <v>2861</v>
      </c>
      <c r="G397" s="158">
        <v>100</v>
      </c>
      <c r="H397" s="148"/>
      <c r="I397" s="146"/>
      <c r="J397" s="146"/>
      <c r="K397" s="149"/>
      <c r="L397" s="150"/>
      <c r="M397" s="149"/>
      <c r="N397" s="151"/>
      <c r="O397" s="151"/>
      <c r="P397" s="146"/>
      <c r="Q397" s="152"/>
      <c r="R397" s="153"/>
      <c r="S397" s="146"/>
      <c r="T397" s="154"/>
      <c r="U397" s="145"/>
    </row>
    <row r="398" spans="1:21" ht="15" customHeight="1">
      <c r="A398" s="159" t="s">
        <v>2748</v>
      </c>
      <c r="B398" s="114" t="str">
        <f>VLOOKUP(A398,'Data pick slip'!B:F,5,FALSE)</f>
        <v>KHJ-MC400-00</v>
      </c>
      <c r="C398" s="156">
        <v>110048</v>
      </c>
      <c r="D398" s="156" t="str">
        <f>VLOOKUP(C398,Stock_list!D:L,2,FALSE)</f>
        <v>斯迈名义下单</v>
      </c>
      <c r="E398" s="160">
        <f>VLOOKUP(C398,Stock_list!D:L,9,FALSE)</f>
        <v>44126</v>
      </c>
      <c r="F398" s="157" t="s">
        <v>2861</v>
      </c>
      <c r="G398" s="158">
        <v>50</v>
      </c>
      <c r="H398" s="148"/>
      <c r="I398" s="146"/>
      <c r="J398" s="146"/>
      <c r="K398" s="149"/>
      <c r="L398" s="150"/>
      <c r="M398" s="149"/>
      <c r="N398" s="151"/>
      <c r="O398" s="151"/>
      <c r="P398" s="146"/>
      <c r="Q398" s="152"/>
      <c r="R398" s="153"/>
      <c r="S398" s="146"/>
      <c r="T398" s="154"/>
      <c r="U398" s="145"/>
    </row>
    <row r="399" spans="1:21" ht="15" customHeight="1">
      <c r="A399" s="159" t="s">
        <v>2751</v>
      </c>
      <c r="B399" s="114" t="str">
        <f>VLOOKUP(A399,'Data pick slip'!B:F,5,FALSE)</f>
        <v>KHJ-MC700-00</v>
      </c>
      <c r="C399" s="156">
        <v>110048</v>
      </c>
      <c r="D399" s="156" t="str">
        <f>VLOOKUP(C399,Stock_list!D:L,2,FALSE)</f>
        <v>斯迈名义下单</v>
      </c>
      <c r="E399" s="160">
        <f>VLOOKUP(C399,Stock_list!D:L,9,FALSE)</f>
        <v>44126</v>
      </c>
      <c r="F399" s="157" t="s">
        <v>2861</v>
      </c>
      <c r="G399" s="158">
        <v>1</v>
      </c>
      <c r="H399" s="148"/>
      <c r="I399" s="146"/>
      <c r="J399" s="146"/>
      <c r="K399" s="149"/>
      <c r="L399" s="150"/>
      <c r="M399" s="149"/>
      <c r="N399" s="151"/>
      <c r="O399" s="151"/>
      <c r="P399" s="146"/>
      <c r="Q399" s="152"/>
      <c r="R399" s="153"/>
      <c r="S399" s="146"/>
      <c r="T399" s="154"/>
      <c r="U399" s="145"/>
    </row>
    <row r="400" spans="1:21" ht="15" customHeight="1">
      <c r="A400" s="159" t="s">
        <v>2744</v>
      </c>
      <c r="B400" s="114" t="str">
        <f>VLOOKUP(A400,'Data pick slip'!B:F,5,FALSE)</f>
        <v>KHJ-MC100-00</v>
      </c>
      <c r="C400" s="156">
        <v>110049</v>
      </c>
      <c r="D400" s="156" t="str">
        <f>VLOOKUP(C400,Stock_list!D:L,2,FALSE)</f>
        <v>博睿通名义下单</v>
      </c>
      <c r="E400" s="160">
        <f>VLOOKUP(C400,Stock_list!D:L,9,FALSE)</f>
        <v>44142</v>
      </c>
      <c r="F400" s="157" t="s">
        <v>2861</v>
      </c>
      <c r="G400" s="158">
        <v>200</v>
      </c>
      <c r="H400" s="148"/>
      <c r="I400" s="146"/>
      <c r="J400" s="146"/>
      <c r="K400" s="149"/>
      <c r="L400" s="150"/>
      <c r="M400" s="149"/>
      <c r="N400" s="151"/>
      <c r="O400" s="151"/>
      <c r="P400" s="146"/>
      <c r="Q400" s="152"/>
      <c r="R400" s="153"/>
      <c r="S400" s="146"/>
      <c r="T400" s="154"/>
      <c r="U400" s="145"/>
    </row>
    <row r="401" spans="1:21" ht="15" customHeight="1">
      <c r="A401" s="159" t="s">
        <v>2747</v>
      </c>
      <c r="B401" s="114" t="str">
        <f>VLOOKUP(A401,'Data pick slip'!B:F,5,FALSE)</f>
        <v>KHJ-MC200-00</v>
      </c>
      <c r="C401" s="156">
        <v>110049</v>
      </c>
      <c r="D401" s="156" t="str">
        <f>VLOOKUP(C401,Stock_list!D:L,2,FALSE)</f>
        <v>博睿通名义下单</v>
      </c>
      <c r="E401" s="160">
        <f>VLOOKUP(C401,Stock_list!D:L,9,FALSE)</f>
        <v>44142</v>
      </c>
      <c r="F401" s="157" t="s">
        <v>2861</v>
      </c>
      <c r="G401" s="158">
        <v>50</v>
      </c>
      <c r="H401" s="148"/>
      <c r="I401" s="146"/>
      <c r="J401" s="146"/>
      <c r="K401" s="149"/>
      <c r="L401" s="150"/>
      <c r="M401" s="149"/>
      <c r="N401" s="151"/>
      <c r="O401" s="151"/>
      <c r="P401" s="146"/>
      <c r="Q401" s="152"/>
      <c r="R401" s="153"/>
      <c r="S401" s="146"/>
      <c r="T401" s="154"/>
      <c r="U401" s="145"/>
    </row>
    <row r="402" spans="1:21" ht="15" customHeight="1">
      <c r="A402" s="159" t="s">
        <v>2748</v>
      </c>
      <c r="B402" s="114" t="str">
        <f>VLOOKUP(A402,'Data pick slip'!B:F,5,FALSE)</f>
        <v>KHJ-MC400-00</v>
      </c>
      <c r="C402" s="156">
        <v>110049</v>
      </c>
      <c r="D402" s="156" t="str">
        <f>VLOOKUP(C402,Stock_list!D:L,2,FALSE)</f>
        <v>博睿通名义下单</v>
      </c>
      <c r="E402" s="160">
        <f>VLOOKUP(C402,Stock_list!D:L,9,FALSE)</f>
        <v>44142</v>
      </c>
      <c r="F402" s="157" t="s">
        <v>2861</v>
      </c>
      <c r="G402" s="158">
        <v>20</v>
      </c>
      <c r="H402" s="148"/>
      <c r="I402" s="146"/>
      <c r="J402" s="146"/>
      <c r="K402" s="149"/>
      <c r="L402" s="150"/>
      <c r="M402" s="149"/>
      <c r="N402" s="151"/>
      <c r="O402" s="151"/>
      <c r="P402" s="146"/>
      <c r="Q402" s="152"/>
      <c r="R402" s="153"/>
      <c r="S402" s="146"/>
      <c r="T402" s="154"/>
      <c r="U402" s="145"/>
    </row>
    <row r="403" spans="1:21" ht="15" customHeight="1">
      <c r="A403" s="155" t="s">
        <v>2749</v>
      </c>
      <c r="B403" s="114" t="str">
        <f>VLOOKUP(A403,'Data pick slip'!B:F,5,FALSE)</f>
        <v>KHJ-MC500-00</v>
      </c>
      <c r="C403" s="156">
        <v>110049</v>
      </c>
      <c r="D403" s="156" t="str">
        <f>VLOOKUP(C403,Stock_list!D:L,2,FALSE)</f>
        <v>博睿通名义下单</v>
      </c>
      <c r="E403" s="160">
        <f>VLOOKUP(C403,Stock_list!D:L,9,FALSE)</f>
        <v>44142</v>
      </c>
      <c r="F403" s="157" t="s">
        <v>2861</v>
      </c>
      <c r="G403" s="158">
        <v>10</v>
      </c>
      <c r="H403" s="148"/>
      <c r="I403" s="146"/>
      <c r="J403" s="146"/>
      <c r="K403" s="149"/>
      <c r="L403" s="150"/>
      <c r="M403" s="149"/>
      <c r="N403" s="151"/>
      <c r="O403" s="151"/>
      <c r="P403" s="146"/>
      <c r="Q403" s="152"/>
      <c r="R403" s="153"/>
      <c r="S403" s="146"/>
      <c r="T403" s="154"/>
      <c r="U403" s="145"/>
    </row>
    <row r="404" spans="1:21" ht="15" customHeight="1">
      <c r="A404" s="155" t="s">
        <v>2750</v>
      </c>
      <c r="B404" s="114" t="str">
        <f>VLOOKUP(A404,'Data pick slip'!B:F,5,FALSE)</f>
        <v>KHJ-MC600-00</v>
      </c>
      <c r="C404" s="156">
        <v>110049</v>
      </c>
      <c r="D404" s="156" t="str">
        <f>VLOOKUP(C404,Stock_list!D:L,2,FALSE)</f>
        <v>博睿通名义下单</v>
      </c>
      <c r="E404" s="160">
        <f>VLOOKUP(C404,Stock_list!D:L,9,FALSE)</f>
        <v>44142</v>
      </c>
      <c r="F404" s="157" t="s">
        <v>2861</v>
      </c>
      <c r="G404" s="158">
        <v>10</v>
      </c>
      <c r="H404" s="148"/>
      <c r="I404" s="146"/>
      <c r="J404" s="146"/>
      <c r="K404" s="149"/>
      <c r="L404" s="150"/>
      <c r="M404" s="149"/>
      <c r="N404" s="151"/>
      <c r="O404" s="151"/>
      <c r="P404" s="146"/>
      <c r="Q404" s="152"/>
      <c r="R404" s="153"/>
      <c r="S404" s="146"/>
      <c r="T404" s="154"/>
      <c r="U404" s="145"/>
    </row>
    <row r="405" spans="1:21" ht="15" customHeight="1">
      <c r="A405" s="159" t="s">
        <v>2744</v>
      </c>
      <c r="B405" s="114" t="str">
        <f>VLOOKUP(A405,'Data pick slip'!B:F,5,FALSE)</f>
        <v>KHJ-MC100-00</v>
      </c>
      <c r="C405" s="156">
        <v>110050</v>
      </c>
      <c r="D405" s="156" t="str">
        <f>VLOOKUP(C405,Stock_list!D:L,2,FALSE)</f>
        <v>博睿通名义下单</v>
      </c>
      <c r="E405" s="160">
        <f>VLOOKUP(C405,Stock_list!D:L,9,FALSE)</f>
        <v>44149</v>
      </c>
      <c r="F405" s="157" t="s">
        <v>2861</v>
      </c>
      <c r="G405" s="158">
        <v>400</v>
      </c>
      <c r="H405" s="148"/>
      <c r="I405" s="146"/>
      <c r="J405" s="146"/>
      <c r="K405" s="149"/>
      <c r="L405" s="150"/>
      <c r="M405" s="149"/>
      <c r="N405" s="151"/>
      <c r="O405" s="151"/>
      <c r="P405" s="146"/>
      <c r="Q405" s="152"/>
      <c r="R405" s="153"/>
      <c r="S405" s="146"/>
      <c r="T405" s="154"/>
      <c r="U405" s="145"/>
    </row>
    <row r="406" spans="1:21" ht="15" customHeight="1">
      <c r="A406" s="159" t="s">
        <v>2747</v>
      </c>
      <c r="B406" s="114" t="str">
        <f>VLOOKUP(A406,'Data pick slip'!B:F,5,FALSE)</f>
        <v>KHJ-MC200-00</v>
      </c>
      <c r="C406" s="156">
        <v>110050</v>
      </c>
      <c r="D406" s="156" t="str">
        <f>VLOOKUP(C406,Stock_list!D:L,2,FALSE)</f>
        <v>博睿通名义下单</v>
      </c>
      <c r="E406" s="160">
        <f>VLOOKUP(C406,Stock_list!D:L,9,FALSE)</f>
        <v>44149</v>
      </c>
      <c r="F406" s="157" t="s">
        <v>2861</v>
      </c>
      <c r="G406" s="158">
        <v>50</v>
      </c>
      <c r="H406" s="148"/>
      <c r="I406" s="146"/>
      <c r="J406" s="146"/>
      <c r="K406" s="149"/>
      <c r="L406" s="150"/>
      <c r="M406" s="149"/>
      <c r="N406" s="151"/>
      <c r="O406" s="151"/>
      <c r="P406" s="146"/>
      <c r="Q406" s="152"/>
      <c r="R406" s="153"/>
      <c r="S406" s="146"/>
      <c r="T406" s="154"/>
      <c r="U406" s="145"/>
    </row>
    <row r="407" spans="1:21" ht="15" customHeight="1">
      <c r="A407" s="159" t="s">
        <v>2748</v>
      </c>
      <c r="B407" s="114" t="str">
        <f>VLOOKUP(A407,'Data pick slip'!B:F,5,FALSE)</f>
        <v>KHJ-MC400-00</v>
      </c>
      <c r="C407" s="156">
        <v>110050</v>
      </c>
      <c r="D407" s="156" t="str">
        <f>VLOOKUP(C407,Stock_list!D:L,2,FALSE)</f>
        <v>博睿通名义下单</v>
      </c>
      <c r="E407" s="160">
        <f>VLOOKUP(C407,Stock_list!D:L,9,FALSE)</f>
        <v>44149</v>
      </c>
      <c r="F407" s="157" t="s">
        <v>2861</v>
      </c>
      <c r="G407" s="158">
        <v>20</v>
      </c>
      <c r="H407" s="148"/>
      <c r="I407" s="146"/>
      <c r="J407" s="146"/>
      <c r="K407" s="149"/>
      <c r="L407" s="150"/>
      <c r="M407" s="149"/>
      <c r="N407" s="151"/>
      <c r="O407" s="151"/>
      <c r="P407" s="146"/>
      <c r="Q407" s="152"/>
      <c r="R407" s="153"/>
      <c r="S407" s="146"/>
      <c r="T407" s="154"/>
      <c r="U407" s="145"/>
    </row>
    <row r="408" spans="1:21" ht="15" customHeight="1">
      <c r="A408" s="155" t="s">
        <v>2749</v>
      </c>
      <c r="B408" s="114" t="str">
        <f>VLOOKUP(A408,'Data pick slip'!B:F,5,FALSE)</f>
        <v>KHJ-MC500-00</v>
      </c>
      <c r="C408" s="156">
        <v>110050</v>
      </c>
      <c r="D408" s="156" t="str">
        <f>VLOOKUP(C408,Stock_list!D:L,2,FALSE)</f>
        <v>博睿通名义下单</v>
      </c>
      <c r="E408" s="160">
        <f>VLOOKUP(C408,Stock_list!D:L,9,FALSE)</f>
        <v>44149</v>
      </c>
      <c r="F408" s="157" t="s">
        <v>2861</v>
      </c>
      <c r="G408" s="158">
        <v>10</v>
      </c>
      <c r="H408" s="148"/>
      <c r="I408" s="146"/>
      <c r="J408" s="146"/>
      <c r="K408" s="149"/>
      <c r="L408" s="150"/>
      <c r="M408" s="149"/>
      <c r="N408" s="151"/>
      <c r="O408" s="151"/>
      <c r="P408" s="146"/>
      <c r="Q408" s="152"/>
      <c r="R408" s="153"/>
      <c r="S408" s="146"/>
      <c r="T408" s="154"/>
      <c r="U408" s="145"/>
    </row>
    <row r="409" spans="1:21" ht="15" customHeight="1">
      <c r="A409" s="155" t="s">
        <v>2750</v>
      </c>
      <c r="B409" s="114" t="str">
        <f>VLOOKUP(A409,'Data pick slip'!B:F,5,FALSE)</f>
        <v>KHJ-MC600-00</v>
      </c>
      <c r="C409" s="156">
        <v>110050</v>
      </c>
      <c r="D409" s="156" t="str">
        <f>VLOOKUP(C409,Stock_list!D:L,2,FALSE)</f>
        <v>博睿通名义下单</v>
      </c>
      <c r="E409" s="160">
        <f>VLOOKUP(C409,Stock_list!D:L,9,FALSE)</f>
        <v>44149</v>
      </c>
      <c r="F409" s="157" t="s">
        <v>2861</v>
      </c>
      <c r="G409" s="158">
        <v>10</v>
      </c>
      <c r="H409" s="148"/>
      <c r="I409" s="146"/>
      <c r="J409" s="146"/>
      <c r="K409" s="149"/>
      <c r="L409" s="150"/>
      <c r="M409" s="149"/>
      <c r="N409" s="151"/>
      <c r="O409" s="151"/>
      <c r="P409" s="146"/>
      <c r="Q409" s="152"/>
      <c r="R409" s="153"/>
      <c r="S409" s="146"/>
      <c r="T409" s="154"/>
      <c r="U409" s="145"/>
    </row>
    <row r="410" spans="1:21" ht="15" customHeight="1">
      <c r="A410" s="159" t="s">
        <v>2744</v>
      </c>
      <c r="B410" s="114" t="str">
        <f>VLOOKUP(A410,'Data pick slip'!B:F,5,FALSE)</f>
        <v>KHJ-MC100-00</v>
      </c>
      <c r="C410" s="169"/>
      <c r="D410" s="156"/>
      <c r="E410" s="160" t="s">
        <v>2918</v>
      </c>
      <c r="F410" s="170" t="s">
        <v>2773</v>
      </c>
      <c r="G410" s="171">
        <v>50</v>
      </c>
      <c r="H410" s="172"/>
      <c r="I410" s="173"/>
      <c r="J410" s="173"/>
      <c r="K410" s="174"/>
      <c r="L410" s="175"/>
      <c r="M410" s="174"/>
      <c r="N410" s="176"/>
      <c r="O410" s="176"/>
      <c r="P410" s="173"/>
      <c r="Q410" s="177"/>
      <c r="R410" s="178"/>
      <c r="S410" s="173"/>
      <c r="T410" s="179"/>
      <c r="U410" s="145"/>
    </row>
    <row r="411" spans="1:21" ht="15" customHeight="1">
      <c r="A411" s="159" t="s">
        <v>2747</v>
      </c>
      <c r="B411" s="114" t="str">
        <f>VLOOKUP(A411,'Data pick slip'!B:F,5,FALSE)</f>
        <v>KHJ-MC200-00</v>
      </c>
      <c r="C411" s="169"/>
      <c r="D411" s="156"/>
      <c r="E411" s="160" t="s">
        <v>2918</v>
      </c>
      <c r="F411" s="170" t="s">
        <v>2773</v>
      </c>
      <c r="G411" s="171">
        <v>20</v>
      </c>
      <c r="H411" s="172"/>
      <c r="I411" s="173"/>
      <c r="J411" s="173"/>
      <c r="K411" s="174"/>
      <c r="L411" s="175"/>
      <c r="M411" s="174"/>
      <c r="N411" s="176"/>
      <c r="O411" s="176"/>
      <c r="P411" s="173"/>
      <c r="Q411" s="177"/>
      <c r="R411" s="178"/>
      <c r="S411" s="173"/>
      <c r="T411" s="179"/>
      <c r="U411" s="145"/>
    </row>
    <row r="412" spans="1:21" ht="15" customHeight="1">
      <c r="A412" s="159" t="s">
        <v>2744</v>
      </c>
      <c r="B412" s="114" t="str">
        <f>VLOOKUP(A412,'Data pick slip'!B:F,5,FALSE)</f>
        <v>KHJ-MC100-00</v>
      </c>
      <c r="C412" s="169">
        <v>110066</v>
      </c>
      <c r="D412" s="156" t="str">
        <f>VLOOKUP(C412,Stock_list!D:L,2,FALSE)</f>
        <v>Stock order</v>
      </c>
      <c r="E412" s="160">
        <f>VLOOKUP(C412,Stock_list!D:L,9,FALSE)</f>
        <v>44200</v>
      </c>
      <c r="F412" s="157" t="s">
        <v>1381</v>
      </c>
      <c r="G412" s="171">
        <v>200</v>
      </c>
      <c r="H412" s="172"/>
      <c r="I412" s="173"/>
      <c r="J412" s="173"/>
      <c r="K412" s="174"/>
      <c r="L412" s="175"/>
      <c r="M412" s="174"/>
      <c r="N412" s="176"/>
      <c r="O412" s="176"/>
      <c r="P412" s="173"/>
      <c r="Q412" s="177"/>
      <c r="R412" s="178"/>
      <c r="S412" s="173"/>
      <c r="T412" s="179"/>
      <c r="U412" s="145"/>
    </row>
    <row r="413" spans="1:21" ht="15" customHeight="1">
      <c r="A413" s="159" t="s">
        <v>2744</v>
      </c>
      <c r="B413" s="114" t="str">
        <f>VLOOKUP(A413,'Data pick slip'!B:F,5,FALSE)</f>
        <v>KHJ-MC100-00</v>
      </c>
      <c r="C413" s="169"/>
      <c r="D413" s="156"/>
      <c r="E413" s="160" t="s">
        <v>2919</v>
      </c>
      <c r="F413" s="170" t="s">
        <v>2773</v>
      </c>
      <c r="G413" s="171">
        <v>150</v>
      </c>
      <c r="H413" s="172"/>
      <c r="I413" s="173"/>
      <c r="J413" s="173"/>
      <c r="K413" s="174"/>
      <c r="L413" s="175"/>
      <c r="M413" s="174"/>
      <c r="N413" s="176"/>
      <c r="O413" s="176"/>
      <c r="P413" s="173"/>
      <c r="Q413" s="177"/>
      <c r="R413" s="178"/>
      <c r="S413" s="173"/>
      <c r="T413" s="179"/>
      <c r="U413" s="145"/>
    </row>
    <row r="414" spans="1:21" ht="15" customHeight="1">
      <c r="A414" s="159" t="s">
        <v>2747</v>
      </c>
      <c r="B414" s="114" t="str">
        <f>VLOOKUP(A414,'Data pick slip'!B:F,5,FALSE)</f>
        <v>KHJ-MC200-00</v>
      </c>
      <c r="C414" s="169"/>
      <c r="D414" s="156"/>
      <c r="E414" s="160" t="s">
        <v>2919</v>
      </c>
      <c r="F414" s="170" t="s">
        <v>2773</v>
      </c>
      <c r="G414" s="171">
        <v>30</v>
      </c>
      <c r="H414" s="172"/>
      <c r="I414" s="173"/>
      <c r="J414" s="173"/>
      <c r="K414" s="174"/>
      <c r="L414" s="175"/>
      <c r="M414" s="174"/>
      <c r="N414" s="176"/>
      <c r="O414" s="176"/>
      <c r="P414" s="173"/>
      <c r="Q414" s="177"/>
      <c r="R414" s="178"/>
      <c r="S414" s="173"/>
      <c r="T414" s="179"/>
      <c r="U414" s="145"/>
    </row>
    <row r="415" spans="1:21" ht="15" customHeight="1">
      <c r="A415" s="159" t="s">
        <v>2748</v>
      </c>
      <c r="B415" s="114" t="str">
        <f>VLOOKUP(A415,'Data pick slip'!B:F,5,FALSE)</f>
        <v>KHJ-MC400-00</v>
      </c>
      <c r="C415" s="169"/>
      <c r="D415" s="156"/>
      <c r="E415" s="160" t="s">
        <v>2919</v>
      </c>
      <c r="F415" s="170" t="s">
        <v>2773</v>
      </c>
      <c r="G415" s="171">
        <v>10</v>
      </c>
      <c r="H415" s="172"/>
      <c r="I415" s="173"/>
      <c r="J415" s="173"/>
      <c r="K415" s="174"/>
      <c r="L415" s="175"/>
      <c r="M415" s="174"/>
      <c r="N415" s="176"/>
      <c r="O415" s="176"/>
      <c r="P415" s="173"/>
      <c r="Q415" s="177"/>
      <c r="R415" s="178"/>
      <c r="S415" s="173"/>
      <c r="T415" s="179"/>
      <c r="U415" s="145"/>
    </row>
    <row r="416" spans="1:21" ht="15" customHeight="1">
      <c r="A416" s="159" t="s">
        <v>2749</v>
      </c>
      <c r="B416" s="114" t="str">
        <f>VLOOKUP(A416,'Data pick slip'!B:F,5,FALSE)</f>
        <v>KHJ-MC500-00</v>
      </c>
      <c r="C416" s="169"/>
      <c r="D416" s="156"/>
      <c r="E416" s="160" t="s">
        <v>2919</v>
      </c>
      <c r="F416" s="170" t="s">
        <v>2773</v>
      </c>
      <c r="G416" s="171">
        <v>12</v>
      </c>
      <c r="H416" s="172"/>
      <c r="I416" s="173"/>
      <c r="J416" s="173"/>
      <c r="K416" s="174"/>
      <c r="L416" s="175"/>
      <c r="M416" s="174"/>
      <c r="N416" s="176"/>
      <c r="O416" s="176"/>
      <c r="P416" s="173"/>
      <c r="Q416" s="177"/>
      <c r="R416" s="178"/>
      <c r="S416" s="173"/>
      <c r="T416" s="179"/>
      <c r="U416" s="145"/>
    </row>
    <row r="417" spans="1:21" ht="15" customHeight="1">
      <c r="A417" s="159" t="s">
        <v>2750</v>
      </c>
      <c r="B417" s="114" t="str">
        <f>VLOOKUP(A417,'Data pick slip'!B:F,5,FALSE)</f>
        <v>KHJ-MC600-00</v>
      </c>
      <c r="C417" s="169"/>
      <c r="D417" s="156"/>
      <c r="E417" s="160" t="s">
        <v>2919</v>
      </c>
      <c r="F417" s="170" t="s">
        <v>2773</v>
      </c>
      <c r="G417" s="171">
        <v>2</v>
      </c>
      <c r="H417" s="172"/>
      <c r="I417" s="173"/>
      <c r="J417" s="173"/>
      <c r="K417" s="174"/>
      <c r="L417" s="175"/>
      <c r="M417" s="174"/>
      <c r="N417" s="176"/>
      <c r="O417" s="176"/>
      <c r="P417" s="173"/>
      <c r="Q417" s="177"/>
      <c r="R417" s="178"/>
      <c r="S417" s="173"/>
      <c r="T417" s="179"/>
      <c r="U417" s="145"/>
    </row>
    <row r="418" spans="1:21" ht="15" customHeight="1">
      <c r="A418" s="159" t="s">
        <v>2749</v>
      </c>
      <c r="B418" s="114" t="str">
        <f>VLOOKUP(A418,'Data pick slip'!B:F,5,FALSE)</f>
        <v>KHJ-MC500-00</v>
      </c>
      <c r="C418" s="169">
        <v>110101</v>
      </c>
      <c r="D418" s="156" t="s">
        <v>2920</v>
      </c>
      <c r="E418" s="160">
        <v>44119</v>
      </c>
      <c r="F418" s="170" t="s">
        <v>2861</v>
      </c>
      <c r="G418" s="171">
        <v>16</v>
      </c>
      <c r="H418" s="172"/>
      <c r="I418" s="173"/>
      <c r="J418" s="173"/>
      <c r="K418" s="174"/>
      <c r="L418" s="175"/>
      <c r="M418" s="174"/>
      <c r="N418" s="176"/>
      <c r="O418" s="176"/>
      <c r="P418" s="173"/>
      <c r="Q418" s="177"/>
      <c r="R418" s="178"/>
      <c r="S418" s="173"/>
      <c r="T418" s="179"/>
      <c r="U418" s="145"/>
    </row>
    <row r="419" spans="1:21" ht="15" customHeight="1">
      <c r="A419" s="159" t="s">
        <v>2750</v>
      </c>
      <c r="B419" s="114" t="str">
        <f>VLOOKUP(A419,'Data pick slip'!B:F,5,FALSE)</f>
        <v>KHJ-MC600-00</v>
      </c>
      <c r="C419" s="169">
        <v>110101</v>
      </c>
      <c r="D419" s="156" t="s">
        <v>2920</v>
      </c>
      <c r="E419" s="160">
        <v>44119</v>
      </c>
      <c r="F419" s="170" t="s">
        <v>2861</v>
      </c>
      <c r="G419" s="171">
        <v>16</v>
      </c>
      <c r="H419" s="172"/>
      <c r="I419" s="173"/>
      <c r="J419" s="173"/>
      <c r="K419" s="174"/>
      <c r="L419" s="175"/>
      <c r="M419" s="174"/>
      <c r="N419" s="176"/>
      <c r="O419" s="176"/>
      <c r="P419" s="173"/>
      <c r="Q419" s="177"/>
      <c r="R419" s="178"/>
      <c r="S419" s="173"/>
      <c r="T419" s="179"/>
      <c r="U419" s="145"/>
    </row>
    <row r="420" spans="1:21" ht="15" customHeight="1">
      <c r="A420" s="180" t="s">
        <v>2751</v>
      </c>
      <c r="B420" s="114" t="str">
        <f>VLOOKUP(A420,'Data pick slip'!B:F,5,FALSE)</f>
        <v>KHJ-MC700-00</v>
      </c>
      <c r="C420" s="169">
        <v>110101</v>
      </c>
      <c r="D420" s="156" t="s">
        <v>2920</v>
      </c>
      <c r="E420" s="160">
        <v>44119</v>
      </c>
      <c r="F420" s="170" t="s">
        <v>2861</v>
      </c>
      <c r="G420" s="171">
        <v>16</v>
      </c>
      <c r="H420" s="172"/>
      <c r="I420" s="173"/>
      <c r="J420" s="173"/>
      <c r="K420" s="174"/>
      <c r="L420" s="175"/>
      <c r="M420" s="174"/>
      <c r="N420" s="176"/>
      <c r="O420" s="176"/>
      <c r="P420" s="173"/>
      <c r="Q420" s="177"/>
      <c r="R420" s="178"/>
      <c r="S420" s="173"/>
      <c r="T420" s="179"/>
      <c r="U420" s="145"/>
    </row>
    <row r="421" spans="1:21" ht="15" customHeight="1">
      <c r="A421" s="180" t="s">
        <v>2752</v>
      </c>
      <c r="B421" s="114" t="str">
        <f>VLOOKUP(A421,'Data pick slip'!B:F,5,FALSE)</f>
        <v>KHJ-MC800-00</v>
      </c>
      <c r="C421" s="169">
        <v>110101</v>
      </c>
      <c r="D421" s="156" t="s">
        <v>2920</v>
      </c>
      <c r="E421" s="160">
        <v>44119</v>
      </c>
      <c r="F421" s="170" t="s">
        <v>2861</v>
      </c>
      <c r="G421" s="171">
        <v>7</v>
      </c>
      <c r="H421" s="172"/>
      <c r="I421" s="173"/>
      <c r="J421" s="173"/>
      <c r="K421" s="174"/>
      <c r="L421" s="175"/>
      <c r="M421" s="174"/>
      <c r="N421" s="176"/>
      <c r="O421" s="176"/>
      <c r="P421" s="173"/>
      <c r="Q421" s="177"/>
      <c r="R421" s="178"/>
      <c r="S421" s="173"/>
      <c r="T421" s="179"/>
      <c r="U421" s="145"/>
    </row>
    <row r="422" spans="1:21" ht="15" customHeight="1">
      <c r="A422" s="180" t="s">
        <v>2921</v>
      </c>
      <c r="B422" s="114" t="e">
        <f>VLOOKUP(A422,'Data pick slip'!B:F,5,FALSE)</f>
        <v>#N/A</v>
      </c>
      <c r="C422" s="169">
        <v>110102</v>
      </c>
      <c r="D422" s="156" t="s">
        <v>2920</v>
      </c>
      <c r="E422" s="160">
        <v>44139</v>
      </c>
      <c r="F422" s="157" t="s">
        <v>2861</v>
      </c>
      <c r="G422" s="171">
        <v>8</v>
      </c>
      <c r="H422" s="172"/>
      <c r="I422" s="173"/>
      <c r="J422" s="173"/>
      <c r="K422" s="174"/>
      <c r="L422" s="175"/>
      <c r="M422" s="174"/>
      <c r="N422" s="176"/>
      <c r="O422" s="176"/>
      <c r="P422" s="173"/>
      <c r="Q422" s="177"/>
      <c r="R422" s="178"/>
      <c r="S422" s="173"/>
      <c r="T422" s="179"/>
      <c r="U422" s="145"/>
    </row>
    <row r="423" spans="1:21" ht="15" customHeight="1">
      <c r="A423" s="159" t="s">
        <v>2744</v>
      </c>
      <c r="B423" s="114" t="str">
        <f>VLOOKUP(A423,'Data pick slip'!B:F,5,FALSE)</f>
        <v>KHJ-MC100-00</v>
      </c>
      <c r="C423" s="169">
        <v>110230</v>
      </c>
      <c r="D423" s="156" t="str">
        <f>VLOOKUP(C423,Stock_list!D:L,2,FALSE)</f>
        <v>玥芯通名义下单</v>
      </c>
      <c r="E423" s="160">
        <f>VLOOKUP(C423,Stock_list!D:L,9,FALSE)</f>
        <v>44255</v>
      </c>
      <c r="F423" s="170" t="s">
        <v>1381</v>
      </c>
      <c r="G423" s="171">
        <v>100</v>
      </c>
      <c r="H423" s="172"/>
      <c r="I423" s="173"/>
      <c r="J423" s="173"/>
      <c r="K423" s="174"/>
      <c r="L423" s="175"/>
      <c r="M423" s="174"/>
      <c r="N423" s="176"/>
      <c r="O423" s="176"/>
      <c r="P423" s="173"/>
      <c r="Q423" s="177"/>
      <c r="R423" s="178"/>
      <c r="S423" s="173"/>
      <c r="T423" s="179"/>
      <c r="U423" s="145"/>
    </row>
    <row r="424" spans="1:21" ht="15" customHeight="1">
      <c r="A424" s="159" t="s">
        <v>2747</v>
      </c>
      <c r="B424" s="114" t="str">
        <f>VLOOKUP(A424,'Data pick slip'!B:F,5,FALSE)</f>
        <v>KHJ-MC200-00</v>
      </c>
      <c r="C424" s="169">
        <v>110230</v>
      </c>
      <c r="D424" s="156" t="str">
        <f>VLOOKUP(C424,Stock_list!D:L,2,FALSE)</f>
        <v>玥芯通名义下单</v>
      </c>
      <c r="E424" s="160">
        <f>VLOOKUP(C424,Stock_list!D:L,9,FALSE)</f>
        <v>44255</v>
      </c>
      <c r="F424" s="170" t="s">
        <v>1381</v>
      </c>
      <c r="G424" s="171">
        <v>60</v>
      </c>
      <c r="H424" s="172"/>
      <c r="I424" s="173"/>
      <c r="J424" s="173"/>
      <c r="K424" s="174"/>
      <c r="L424" s="175"/>
      <c r="M424" s="174"/>
      <c r="N424" s="176"/>
      <c r="O424" s="176"/>
      <c r="P424" s="173"/>
      <c r="Q424" s="177"/>
      <c r="R424" s="178"/>
      <c r="S424" s="173"/>
      <c r="T424" s="179"/>
      <c r="U424" s="145"/>
    </row>
    <row r="425" spans="1:21" ht="15" customHeight="1">
      <c r="A425" s="159" t="s">
        <v>2748</v>
      </c>
      <c r="B425" s="114" t="str">
        <f>VLOOKUP(A425,'Data pick slip'!B:F,5,FALSE)</f>
        <v>KHJ-MC400-00</v>
      </c>
      <c r="C425" s="169">
        <v>110230</v>
      </c>
      <c r="D425" s="156" t="str">
        <f>VLOOKUP(C425,Stock_list!D:L,2,FALSE)</f>
        <v>玥芯通名义下单</v>
      </c>
      <c r="E425" s="160">
        <f>VLOOKUP(C425,Stock_list!D:L,9,FALSE)</f>
        <v>44255</v>
      </c>
      <c r="F425" s="170" t="s">
        <v>1381</v>
      </c>
      <c r="G425" s="171">
        <v>10</v>
      </c>
      <c r="H425" s="172"/>
      <c r="I425" s="173"/>
      <c r="J425" s="173"/>
      <c r="K425" s="174"/>
      <c r="L425" s="175"/>
      <c r="M425" s="174"/>
      <c r="N425" s="176"/>
      <c r="O425" s="176"/>
      <c r="P425" s="173"/>
      <c r="Q425" s="177"/>
      <c r="R425" s="178"/>
      <c r="S425" s="173"/>
      <c r="T425" s="179"/>
      <c r="U425" s="145"/>
    </row>
    <row r="426" spans="1:21" ht="15" customHeight="1">
      <c r="A426" s="159" t="s">
        <v>2749</v>
      </c>
      <c r="B426" s="114" t="str">
        <f>VLOOKUP(A426,'Data pick slip'!B:F,5,FALSE)</f>
        <v>KHJ-MC500-00</v>
      </c>
      <c r="C426" s="169">
        <v>110230</v>
      </c>
      <c r="D426" s="156" t="str">
        <f>VLOOKUP(C426,Stock_list!D:L,2,FALSE)</f>
        <v>玥芯通名义下单</v>
      </c>
      <c r="E426" s="160">
        <f>VLOOKUP(C426,Stock_list!D:L,9,FALSE)</f>
        <v>44255</v>
      </c>
      <c r="F426" s="170" t="s">
        <v>1381</v>
      </c>
      <c r="G426" s="171">
        <v>5</v>
      </c>
      <c r="H426" s="172"/>
      <c r="I426" s="173"/>
      <c r="J426" s="173"/>
      <c r="K426" s="174"/>
      <c r="L426" s="175"/>
      <c r="M426" s="174"/>
      <c r="N426" s="176"/>
      <c r="O426" s="176"/>
      <c r="P426" s="173"/>
      <c r="Q426" s="177"/>
      <c r="R426" s="178"/>
      <c r="S426" s="173"/>
      <c r="T426" s="179"/>
      <c r="U426" s="145"/>
    </row>
    <row r="427" spans="1:21" ht="15" customHeight="1">
      <c r="A427" s="159" t="s">
        <v>2744</v>
      </c>
      <c r="B427" s="114" t="str">
        <f>VLOOKUP(A427,'Data pick slip'!B:F,5,FALSE)</f>
        <v>KHJ-MC100-00</v>
      </c>
      <c r="C427" s="169">
        <v>110096</v>
      </c>
      <c r="D427" s="156" t="str">
        <f>VLOOKUP(C427,Stock_list!D:L,2,FALSE)</f>
        <v>玥芯通名义下单</v>
      </c>
      <c r="E427" s="160">
        <f>VLOOKUP(C427,Stock_list!D:L,9,FALSE)</f>
        <v>44221</v>
      </c>
      <c r="F427" s="170" t="s">
        <v>1381</v>
      </c>
      <c r="G427" s="171">
        <v>200</v>
      </c>
      <c r="H427" s="172"/>
      <c r="I427" s="173"/>
      <c r="J427" s="173"/>
      <c r="K427" s="174"/>
      <c r="L427" s="175"/>
      <c r="M427" s="174"/>
      <c r="N427" s="176"/>
      <c r="O427" s="176"/>
      <c r="P427" s="173"/>
      <c r="Q427" s="177"/>
      <c r="R427" s="178"/>
      <c r="S427" s="173"/>
      <c r="T427" s="179"/>
      <c r="U427" s="145"/>
    </row>
    <row r="428" spans="1:21" ht="15" customHeight="1">
      <c r="A428" s="159" t="s">
        <v>2747</v>
      </c>
      <c r="B428" s="114" t="str">
        <f>VLOOKUP(A428,'Data pick slip'!B:F,5,FALSE)</f>
        <v>KHJ-MC200-00</v>
      </c>
      <c r="C428" s="169">
        <v>110096</v>
      </c>
      <c r="D428" s="156" t="str">
        <f>VLOOKUP(C428,Stock_list!D:L,2,FALSE)</f>
        <v>玥芯通名义下单</v>
      </c>
      <c r="E428" s="160">
        <f>VLOOKUP(C428,Stock_list!D:L,9,FALSE)</f>
        <v>44221</v>
      </c>
      <c r="F428" s="170" t="s">
        <v>1381</v>
      </c>
      <c r="G428" s="171">
        <v>60</v>
      </c>
      <c r="H428" s="172"/>
      <c r="I428" s="173"/>
      <c r="J428" s="173"/>
      <c r="K428" s="174"/>
      <c r="L428" s="175"/>
      <c r="M428" s="174"/>
      <c r="N428" s="176"/>
      <c r="O428" s="176"/>
      <c r="P428" s="173"/>
      <c r="Q428" s="177"/>
      <c r="R428" s="178"/>
      <c r="S428" s="173"/>
      <c r="T428" s="179"/>
      <c r="U428" s="145"/>
    </row>
    <row r="429" spans="1:21" ht="15" customHeight="1">
      <c r="A429" s="159" t="s">
        <v>2744</v>
      </c>
      <c r="B429" s="114" t="str">
        <f>VLOOKUP(A429,'Data pick slip'!B:F,5,FALSE)</f>
        <v>KHJ-MC100-00</v>
      </c>
      <c r="C429" s="169">
        <v>110181</v>
      </c>
      <c r="D429" s="156" t="str">
        <f>VLOOKUP(C429,Stock_list!D:L,2,FALSE)</f>
        <v>玥芯通名义下单</v>
      </c>
      <c r="E429" s="160">
        <f>VLOOKUP(C429,Stock_list!D:L,9,FALSE)</f>
        <v>44186</v>
      </c>
      <c r="F429" s="170" t="s">
        <v>2861</v>
      </c>
      <c r="G429" s="171">
        <v>250</v>
      </c>
      <c r="H429" s="172"/>
      <c r="I429" s="173"/>
      <c r="J429" s="173"/>
      <c r="K429" s="174"/>
      <c r="L429" s="175"/>
      <c r="M429" s="174"/>
      <c r="N429" s="176"/>
      <c r="O429" s="176"/>
      <c r="P429" s="173"/>
      <c r="Q429" s="177"/>
      <c r="R429" s="178"/>
      <c r="S429" s="173"/>
      <c r="T429" s="179"/>
      <c r="U429" s="145"/>
    </row>
    <row r="430" spans="1:21" ht="15" customHeight="1">
      <c r="A430" s="180" t="s">
        <v>2755</v>
      </c>
      <c r="B430" s="114" t="str">
        <f>VLOOKUP(A430,'Data pick slip'!B:F,5,FALSE)</f>
        <v>KLJ-MC100-00</v>
      </c>
      <c r="C430" s="169"/>
      <c r="D430" s="156"/>
      <c r="E430" s="160" t="s">
        <v>2922</v>
      </c>
      <c r="F430" s="170" t="s">
        <v>2773</v>
      </c>
      <c r="G430" s="171">
        <v>20</v>
      </c>
      <c r="H430" s="172"/>
      <c r="I430" s="173"/>
      <c r="J430" s="173"/>
      <c r="K430" s="174"/>
      <c r="L430" s="175"/>
      <c r="M430" s="174"/>
      <c r="N430" s="176"/>
      <c r="O430" s="176"/>
      <c r="P430" s="173"/>
      <c r="Q430" s="177"/>
      <c r="R430" s="178"/>
      <c r="S430" s="173"/>
      <c r="T430" s="179"/>
      <c r="U430" s="145"/>
    </row>
    <row r="431" spans="1:21" ht="15" customHeight="1">
      <c r="A431" s="180" t="s">
        <v>2744</v>
      </c>
      <c r="B431" s="114" t="str">
        <f>VLOOKUP(A431,'Data pick slip'!B:F,5,FALSE)</f>
        <v>KHJ-MC100-00</v>
      </c>
      <c r="C431" s="169"/>
      <c r="D431" s="156"/>
      <c r="E431" s="160" t="s">
        <v>2923</v>
      </c>
      <c r="F431" s="170" t="s">
        <v>2773</v>
      </c>
      <c r="G431" s="171">
        <v>76</v>
      </c>
      <c r="H431" s="172"/>
      <c r="I431" s="173"/>
      <c r="J431" s="173"/>
      <c r="K431" s="174"/>
      <c r="L431" s="175"/>
      <c r="M431" s="174"/>
      <c r="N431" s="176"/>
      <c r="O431" s="176"/>
      <c r="P431" s="173"/>
      <c r="Q431" s="177"/>
      <c r="R431" s="178"/>
      <c r="S431" s="173"/>
      <c r="T431" s="179"/>
      <c r="U431" s="145"/>
    </row>
    <row r="432" spans="1:21" ht="15" customHeight="1">
      <c r="A432" s="159" t="s">
        <v>2744</v>
      </c>
      <c r="B432" s="114" t="str">
        <f>VLOOKUP(A432,'Data pick slip'!B:F,5,FALSE)</f>
        <v>KHJ-MC100-00</v>
      </c>
      <c r="C432" s="169">
        <v>110105</v>
      </c>
      <c r="D432" s="156" t="str">
        <f>VLOOKUP(C432,Stock_list!D:L,2,FALSE)</f>
        <v>益田名义下单</v>
      </c>
      <c r="E432" s="160">
        <f>VLOOKUP(C432,Stock_list!D:L,9,FALSE)</f>
        <v>44212</v>
      </c>
      <c r="F432" s="170" t="s">
        <v>1381</v>
      </c>
      <c r="G432" s="171">
        <v>300</v>
      </c>
      <c r="H432" s="172"/>
      <c r="I432" s="173"/>
      <c r="J432" s="173"/>
      <c r="K432" s="174"/>
      <c r="L432" s="175"/>
      <c r="M432" s="174"/>
      <c r="N432" s="176"/>
      <c r="O432" s="176"/>
      <c r="P432" s="173"/>
      <c r="Q432" s="177"/>
      <c r="R432" s="178"/>
      <c r="S432" s="173"/>
      <c r="T432" s="179"/>
      <c r="U432" s="145"/>
    </row>
    <row r="433" spans="1:21" ht="15" customHeight="1">
      <c r="A433" s="159" t="s">
        <v>2747</v>
      </c>
      <c r="B433" s="114" t="str">
        <f>VLOOKUP(A433,'Data pick slip'!B:F,5,FALSE)</f>
        <v>KHJ-MC200-00</v>
      </c>
      <c r="C433" s="169">
        <v>110105</v>
      </c>
      <c r="D433" s="156" t="str">
        <f>VLOOKUP(C433,Stock_list!D:L,2,FALSE)</f>
        <v>益田名义下单</v>
      </c>
      <c r="E433" s="160">
        <f>VLOOKUP(C433,Stock_list!D:L,9,FALSE)</f>
        <v>44212</v>
      </c>
      <c r="F433" s="170" t="s">
        <v>1381</v>
      </c>
      <c r="G433" s="171">
        <v>30</v>
      </c>
      <c r="H433" s="172"/>
      <c r="I433" s="173"/>
      <c r="J433" s="173"/>
      <c r="K433" s="174"/>
      <c r="L433" s="175"/>
      <c r="M433" s="174"/>
      <c r="N433" s="176"/>
      <c r="O433" s="176"/>
      <c r="P433" s="173"/>
      <c r="Q433" s="177"/>
      <c r="R433" s="178"/>
      <c r="S433" s="173"/>
      <c r="T433" s="179"/>
      <c r="U433" s="145"/>
    </row>
    <row r="434" spans="1:21" ht="15" customHeight="1">
      <c r="A434" s="159" t="s">
        <v>2748</v>
      </c>
      <c r="B434" s="114" t="str">
        <f>VLOOKUP(A434,'Data pick slip'!B:F,5,FALSE)</f>
        <v>KHJ-MC400-00</v>
      </c>
      <c r="C434" s="169">
        <v>110105</v>
      </c>
      <c r="D434" s="156" t="str">
        <f>VLOOKUP(C434,Stock_list!D:L,2,FALSE)</f>
        <v>益田名义下单</v>
      </c>
      <c r="E434" s="160">
        <f>VLOOKUP(C434,Stock_list!D:L,9,FALSE)</f>
        <v>44212</v>
      </c>
      <c r="F434" s="170" t="s">
        <v>1381</v>
      </c>
      <c r="G434" s="171">
        <v>10</v>
      </c>
      <c r="H434" s="172"/>
      <c r="I434" s="173"/>
      <c r="J434" s="173"/>
      <c r="K434" s="174"/>
      <c r="L434" s="175"/>
      <c r="M434" s="174"/>
      <c r="N434" s="176"/>
      <c r="O434" s="176"/>
      <c r="P434" s="173"/>
      <c r="Q434" s="177"/>
      <c r="R434" s="178"/>
      <c r="S434" s="173"/>
      <c r="T434" s="179"/>
      <c r="U434" s="145"/>
    </row>
    <row r="435" spans="1:21" ht="15" customHeight="1">
      <c r="A435" s="159" t="s">
        <v>2751</v>
      </c>
      <c r="B435" s="114" t="str">
        <f>VLOOKUP(A435,'Data pick slip'!B:F,5,FALSE)</f>
        <v>KHJ-MC700-00</v>
      </c>
      <c r="C435" s="169">
        <v>110105</v>
      </c>
      <c r="D435" s="156" t="str">
        <f>VLOOKUP(C435,Stock_list!D:L,2,FALSE)</f>
        <v>益田名义下单</v>
      </c>
      <c r="E435" s="160">
        <f>VLOOKUP(C435,Stock_list!D:L,9,FALSE)</f>
        <v>44212</v>
      </c>
      <c r="F435" s="170" t="s">
        <v>1381</v>
      </c>
      <c r="G435" s="171">
        <v>1</v>
      </c>
      <c r="H435" s="172"/>
      <c r="I435" s="173"/>
      <c r="J435" s="173"/>
      <c r="K435" s="174"/>
      <c r="L435" s="175"/>
      <c r="M435" s="174"/>
      <c r="N435" s="176"/>
      <c r="O435" s="176"/>
      <c r="P435" s="173"/>
      <c r="Q435" s="177"/>
      <c r="R435" s="178"/>
      <c r="S435" s="173"/>
      <c r="T435" s="179"/>
      <c r="U435" s="145"/>
    </row>
    <row r="436" spans="1:21" ht="15" customHeight="1">
      <c r="A436" s="159" t="s">
        <v>2744</v>
      </c>
      <c r="B436" s="114" t="str">
        <f>VLOOKUP(A436,'Data pick slip'!B:F,5,FALSE)</f>
        <v>KHJ-MC100-00</v>
      </c>
      <c r="C436" s="169">
        <v>110106</v>
      </c>
      <c r="D436" s="156" t="str">
        <f>VLOOKUP(C436,Stock_list!D:L,2,FALSE)</f>
        <v>益田名义下单</v>
      </c>
      <c r="E436" s="160">
        <f>VLOOKUP(C436,Stock_list!D:L,9,FALSE)</f>
        <v>44213</v>
      </c>
      <c r="F436" s="170" t="s">
        <v>1381</v>
      </c>
      <c r="G436" s="171">
        <v>300</v>
      </c>
      <c r="H436" s="172"/>
      <c r="I436" s="173"/>
      <c r="J436" s="173"/>
      <c r="K436" s="174"/>
      <c r="L436" s="175"/>
      <c r="M436" s="174"/>
      <c r="N436" s="176"/>
      <c r="O436" s="176"/>
      <c r="P436" s="173"/>
      <c r="Q436" s="177"/>
      <c r="R436" s="178"/>
      <c r="S436" s="173"/>
      <c r="T436" s="179"/>
      <c r="U436" s="145"/>
    </row>
    <row r="437" spans="1:21" ht="15" customHeight="1">
      <c r="A437" s="159" t="s">
        <v>2747</v>
      </c>
      <c r="B437" s="114" t="str">
        <f>VLOOKUP(A437,'Data pick slip'!B:F,5,FALSE)</f>
        <v>KHJ-MC200-00</v>
      </c>
      <c r="C437" s="169">
        <v>110106</v>
      </c>
      <c r="D437" s="156" t="str">
        <f>VLOOKUP(C437,Stock_list!D:L,2,FALSE)</f>
        <v>益田名义下单</v>
      </c>
      <c r="E437" s="160">
        <f>VLOOKUP(C437,Stock_list!D:L,9,FALSE)</f>
        <v>44213</v>
      </c>
      <c r="F437" s="170" t="s">
        <v>1381</v>
      </c>
      <c r="G437" s="171">
        <v>60</v>
      </c>
      <c r="H437" s="172"/>
      <c r="I437" s="173"/>
      <c r="J437" s="173"/>
      <c r="K437" s="174"/>
      <c r="L437" s="175"/>
      <c r="M437" s="174"/>
      <c r="N437" s="176"/>
      <c r="O437" s="176"/>
      <c r="P437" s="173"/>
      <c r="Q437" s="177"/>
      <c r="R437" s="178"/>
      <c r="S437" s="173"/>
      <c r="T437" s="179"/>
      <c r="U437" s="145"/>
    </row>
    <row r="438" spans="1:21" ht="15" customHeight="1">
      <c r="A438" s="159" t="s">
        <v>2744</v>
      </c>
      <c r="B438" s="114" t="str">
        <f>VLOOKUP(A438,'Data pick slip'!B:F,5,FALSE)</f>
        <v>KHJ-MC100-00</v>
      </c>
      <c r="C438" s="169">
        <v>110107</v>
      </c>
      <c r="D438" s="156" t="str">
        <f>VLOOKUP(C438,Stock_list!D:L,2,FALSE)</f>
        <v>志华鑫名义下单</v>
      </c>
      <c r="E438" s="160">
        <f>VLOOKUP(C438,Stock_list!D:L,9,FALSE)</f>
        <v>44227</v>
      </c>
      <c r="F438" s="170" t="s">
        <v>1381</v>
      </c>
      <c r="G438" s="171">
        <v>200</v>
      </c>
      <c r="H438" s="172"/>
      <c r="I438" s="173"/>
      <c r="J438" s="173"/>
      <c r="K438" s="174"/>
      <c r="L438" s="175"/>
      <c r="M438" s="174"/>
      <c r="N438" s="176"/>
      <c r="O438" s="176"/>
      <c r="P438" s="173"/>
      <c r="Q438" s="177"/>
      <c r="R438" s="178"/>
      <c r="S438" s="173"/>
      <c r="T438" s="179"/>
      <c r="U438" s="145"/>
    </row>
    <row r="439" spans="1:21" ht="15" customHeight="1">
      <c r="A439" s="159" t="s">
        <v>2747</v>
      </c>
      <c r="B439" s="114" t="str">
        <f>VLOOKUP(A439,'Data pick slip'!B:F,5,FALSE)</f>
        <v>KHJ-MC200-00</v>
      </c>
      <c r="C439" s="169">
        <v>110107</v>
      </c>
      <c r="D439" s="156" t="str">
        <f>VLOOKUP(C439,Stock_list!D:L,2,FALSE)</f>
        <v>志华鑫名义下单</v>
      </c>
      <c r="E439" s="160">
        <f>VLOOKUP(C439,Stock_list!D:L,9,FALSE)</f>
        <v>44227</v>
      </c>
      <c r="F439" s="170" t="s">
        <v>1381</v>
      </c>
      <c r="G439" s="171">
        <v>20</v>
      </c>
      <c r="H439" s="172"/>
      <c r="I439" s="173"/>
      <c r="J439" s="173"/>
      <c r="K439" s="174"/>
      <c r="L439" s="175"/>
      <c r="M439" s="174"/>
      <c r="N439" s="176"/>
      <c r="O439" s="176"/>
      <c r="P439" s="173"/>
      <c r="Q439" s="177"/>
      <c r="R439" s="178"/>
      <c r="S439" s="173"/>
      <c r="T439" s="179"/>
      <c r="U439" s="145"/>
    </row>
    <row r="440" spans="1:21" ht="15" customHeight="1">
      <c r="A440" s="159" t="s">
        <v>2748</v>
      </c>
      <c r="B440" s="114" t="str">
        <f>VLOOKUP(A440,'Data pick slip'!B:F,5,FALSE)</f>
        <v>KHJ-MC400-00</v>
      </c>
      <c r="C440" s="169">
        <v>110107</v>
      </c>
      <c r="D440" s="156" t="str">
        <f>VLOOKUP(C440,Stock_list!D:L,2,FALSE)</f>
        <v>志华鑫名义下单</v>
      </c>
      <c r="E440" s="160">
        <f>VLOOKUP(C440,Stock_list!D:L,9,FALSE)</f>
        <v>44227</v>
      </c>
      <c r="F440" s="170" t="s">
        <v>1381</v>
      </c>
      <c r="G440" s="282">
        <v>5</v>
      </c>
      <c r="H440" s="172"/>
      <c r="I440" s="173"/>
      <c r="J440" s="173"/>
      <c r="K440" s="174"/>
      <c r="L440" s="175"/>
      <c r="M440" s="174"/>
      <c r="N440" s="176"/>
      <c r="O440" s="176"/>
      <c r="P440" s="173"/>
      <c r="Q440" s="177"/>
      <c r="R440" s="178"/>
      <c r="S440" s="173"/>
      <c r="T440" s="179"/>
      <c r="U440" s="145"/>
    </row>
    <row r="441" spans="1:21" ht="15" customHeight="1">
      <c r="A441" s="159" t="s">
        <v>2744</v>
      </c>
      <c r="B441" s="114" t="str">
        <f>VLOOKUP(A441,'Data pick slip'!B:F,5,FALSE)</f>
        <v>KHJ-MC100-00</v>
      </c>
      <c r="C441" s="169">
        <v>110108</v>
      </c>
      <c r="D441" s="156" t="str">
        <f>VLOOKUP(C441,Stock_list!D:L,2,FALSE)</f>
        <v>志华鑫名义下单</v>
      </c>
      <c r="E441" s="160">
        <f>VLOOKUP(C441,Stock_list!D:L,9,FALSE)</f>
        <v>44197</v>
      </c>
      <c r="F441" s="170" t="s">
        <v>1381</v>
      </c>
      <c r="G441" s="171">
        <v>200</v>
      </c>
      <c r="H441" s="172"/>
      <c r="I441" s="173"/>
      <c r="J441" s="173"/>
      <c r="K441" s="174"/>
      <c r="L441" s="175"/>
      <c r="M441" s="174"/>
      <c r="N441" s="176"/>
      <c r="O441" s="176"/>
      <c r="P441" s="173"/>
      <c r="Q441" s="177"/>
      <c r="R441" s="178"/>
      <c r="S441" s="173"/>
      <c r="T441" s="179"/>
      <c r="U441" s="145"/>
    </row>
    <row r="442" spans="1:21" ht="15" customHeight="1">
      <c r="A442" s="159" t="s">
        <v>2747</v>
      </c>
      <c r="B442" s="114" t="str">
        <f>VLOOKUP(A442,'Data pick slip'!B:F,5,FALSE)</f>
        <v>KHJ-MC200-00</v>
      </c>
      <c r="C442" s="169">
        <v>110108</v>
      </c>
      <c r="D442" s="156" t="str">
        <f>VLOOKUP(C442,Stock_list!D:L,2,FALSE)</f>
        <v>志华鑫名义下单</v>
      </c>
      <c r="E442" s="160">
        <f>VLOOKUP(C442,Stock_list!D:L,9,FALSE)</f>
        <v>44197</v>
      </c>
      <c r="F442" s="170" t="s">
        <v>1381</v>
      </c>
      <c r="G442" s="171">
        <v>10</v>
      </c>
      <c r="H442" s="172"/>
      <c r="I442" s="173"/>
      <c r="J442" s="173"/>
      <c r="K442" s="174"/>
      <c r="L442" s="175"/>
      <c r="M442" s="174"/>
      <c r="N442" s="176"/>
      <c r="O442" s="176"/>
      <c r="P442" s="173"/>
      <c r="Q442" s="177"/>
      <c r="R442" s="178"/>
      <c r="S442" s="173"/>
      <c r="T442" s="179"/>
      <c r="U442" s="145"/>
    </row>
    <row r="443" spans="1:21" ht="15" customHeight="1">
      <c r="A443" s="159" t="s">
        <v>2744</v>
      </c>
      <c r="B443" s="114" t="str">
        <f>VLOOKUP(A443,'Data pick slip'!B:F,5,FALSE)</f>
        <v>KHJ-MC100-00</v>
      </c>
      <c r="C443" s="169"/>
      <c r="D443" s="156"/>
      <c r="E443" s="160" t="s">
        <v>2924</v>
      </c>
      <c r="F443" s="170" t="s">
        <v>2773</v>
      </c>
      <c r="G443" s="171">
        <v>100</v>
      </c>
      <c r="H443" s="172"/>
      <c r="I443" s="173"/>
      <c r="J443" s="173"/>
      <c r="K443" s="174"/>
      <c r="L443" s="175"/>
      <c r="M443" s="174"/>
      <c r="N443" s="176"/>
      <c r="O443" s="176"/>
      <c r="P443" s="173"/>
      <c r="Q443" s="177"/>
      <c r="R443" s="178"/>
      <c r="S443" s="173"/>
      <c r="T443" s="179"/>
      <c r="U443" s="145"/>
    </row>
    <row r="444" spans="1:21" ht="15" customHeight="1">
      <c r="A444" s="159" t="s">
        <v>2747</v>
      </c>
      <c r="B444" s="114" t="str">
        <f>VLOOKUP(A444,'Data pick slip'!B:F,5,FALSE)</f>
        <v>KHJ-MC200-00</v>
      </c>
      <c r="C444" s="169"/>
      <c r="D444" s="156"/>
      <c r="E444" s="160" t="s">
        <v>2924</v>
      </c>
      <c r="F444" s="170" t="s">
        <v>2773</v>
      </c>
      <c r="G444" s="171">
        <v>20</v>
      </c>
      <c r="H444" s="172"/>
      <c r="I444" s="173"/>
      <c r="J444" s="173"/>
      <c r="K444" s="174"/>
      <c r="L444" s="175"/>
      <c r="M444" s="174"/>
      <c r="N444" s="176"/>
      <c r="O444" s="176"/>
      <c r="P444" s="173"/>
      <c r="Q444" s="177"/>
      <c r="R444" s="178"/>
      <c r="S444" s="173"/>
      <c r="T444" s="179"/>
      <c r="U444" s="145"/>
    </row>
    <row r="445" spans="1:21" ht="15" customHeight="1">
      <c r="A445" s="159" t="s">
        <v>2748</v>
      </c>
      <c r="B445" s="114" t="str">
        <f>VLOOKUP(A445,'Data pick slip'!B:F,5,FALSE)</f>
        <v>KHJ-MC400-00</v>
      </c>
      <c r="C445" s="169"/>
      <c r="D445" s="156"/>
      <c r="E445" s="160" t="s">
        <v>2924</v>
      </c>
      <c r="F445" s="170" t="s">
        <v>2773</v>
      </c>
      <c r="G445" s="171">
        <v>21</v>
      </c>
      <c r="H445" s="172"/>
      <c r="I445" s="173"/>
      <c r="J445" s="173"/>
      <c r="K445" s="174"/>
      <c r="L445" s="175"/>
      <c r="M445" s="174"/>
      <c r="N445" s="176"/>
      <c r="O445" s="176"/>
      <c r="P445" s="173"/>
      <c r="Q445" s="177"/>
      <c r="R445" s="178"/>
      <c r="S445" s="173"/>
      <c r="T445" s="179"/>
      <c r="U445" s="145"/>
    </row>
    <row r="446" spans="1:21" ht="15" customHeight="1">
      <c r="A446" s="159" t="s">
        <v>2749</v>
      </c>
      <c r="B446" s="114" t="str">
        <f>VLOOKUP(A446,'Data pick slip'!B:F,5,FALSE)</f>
        <v>KHJ-MC500-00</v>
      </c>
      <c r="C446" s="169"/>
      <c r="D446" s="156"/>
      <c r="E446" s="160" t="s">
        <v>2924</v>
      </c>
      <c r="F446" s="170" t="s">
        <v>2773</v>
      </c>
      <c r="G446" s="171">
        <v>5</v>
      </c>
      <c r="H446" s="172"/>
      <c r="I446" s="173"/>
      <c r="J446" s="173"/>
      <c r="K446" s="174"/>
      <c r="L446" s="175"/>
      <c r="M446" s="174"/>
      <c r="N446" s="176"/>
      <c r="O446" s="176"/>
      <c r="P446" s="173"/>
      <c r="Q446" s="177"/>
      <c r="R446" s="178"/>
      <c r="S446" s="173"/>
      <c r="T446" s="179"/>
      <c r="U446" s="145"/>
    </row>
    <row r="447" spans="1:21" ht="15" customHeight="1">
      <c r="A447" s="159" t="s">
        <v>2750</v>
      </c>
      <c r="B447" s="114" t="str">
        <f>VLOOKUP(A447,'Data pick slip'!B:F,5,FALSE)</f>
        <v>KHJ-MC600-00</v>
      </c>
      <c r="C447" s="169"/>
      <c r="D447" s="156"/>
      <c r="E447" s="160" t="s">
        <v>2924</v>
      </c>
      <c r="F447" s="170" t="s">
        <v>2773</v>
      </c>
      <c r="G447" s="171">
        <v>9</v>
      </c>
      <c r="H447" s="172"/>
      <c r="I447" s="173"/>
      <c r="J447" s="173"/>
      <c r="K447" s="174"/>
      <c r="L447" s="175"/>
      <c r="M447" s="174"/>
      <c r="N447" s="176"/>
      <c r="O447" s="176"/>
      <c r="P447" s="173"/>
      <c r="Q447" s="177"/>
      <c r="R447" s="178"/>
      <c r="S447" s="173"/>
      <c r="T447" s="179"/>
      <c r="U447" s="145"/>
    </row>
    <row r="448" spans="1:21" ht="15" customHeight="1">
      <c r="A448" s="180" t="s">
        <v>2755</v>
      </c>
      <c r="B448" s="114" t="str">
        <f>VLOOKUP(A448,'Data pick slip'!B:F,5,FALSE)</f>
        <v>KLJ-MC100-00</v>
      </c>
      <c r="C448" s="169" t="s">
        <v>1235</v>
      </c>
      <c r="D448" s="156" t="str">
        <f>VLOOKUP(C448,Stock_list!D:L,2,FALSE)</f>
        <v>皇家显示名义下单</v>
      </c>
      <c r="E448" s="160">
        <f>VLOOKUP(C448,Stock_list!D:L,9,FALSE)</f>
        <v>44139</v>
      </c>
      <c r="F448" s="170" t="s">
        <v>2773</v>
      </c>
      <c r="G448" s="171">
        <v>20</v>
      </c>
      <c r="H448" s="172"/>
      <c r="I448" s="173"/>
      <c r="J448" s="173"/>
      <c r="K448" s="174"/>
      <c r="L448" s="175"/>
      <c r="M448" s="174"/>
      <c r="N448" s="176"/>
      <c r="O448" s="176"/>
      <c r="P448" s="173"/>
      <c r="Q448" s="177"/>
      <c r="R448" s="178"/>
      <c r="S448" s="173"/>
      <c r="T448" s="179"/>
      <c r="U448" s="145"/>
    </row>
    <row r="449" spans="1:21" ht="15" customHeight="1">
      <c r="A449" s="159" t="s">
        <v>2744</v>
      </c>
      <c r="B449" s="114" t="str">
        <f>VLOOKUP(A449,'Data pick slip'!B:F,5,FALSE)</f>
        <v>KHJ-MC100-00</v>
      </c>
      <c r="C449" s="169">
        <v>110122</v>
      </c>
      <c r="D449" s="156" t="str">
        <f>VLOOKUP(C449,Stock_list!D:L,2,FALSE)</f>
        <v>Stock order</v>
      </c>
      <c r="E449" s="160">
        <f>VLOOKUP(C449,Stock_list!D:L,9,FALSE)</f>
        <v>44193</v>
      </c>
      <c r="F449" s="170" t="s">
        <v>2861</v>
      </c>
      <c r="G449" s="171">
        <v>100</v>
      </c>
      <c r="H449" s="172"/>
      <c r="I449" s="173"/>
      <c r="J449" s="173"/>
      <c r="K449" s="174"/>
      <c r="L449" s="175"/>
      <c r="M449" s="174"/>
      <c r="N449" s="176"/>
      <c r="O449" s="176"/>
      <c r="P449" s="173"/>
      <c r="Q449" s="177"/>
      <c r="R449" s="178"/>
      <c r="S449" s="173"/>
      <c r="T449" s="179"/>
      <c r="U449" s="145"/>
    </row>
    <row r="450" spans="1:21" ht="15" customHeight="1">
      <c r="A450" s="159" t="s">
        <v>2747</v>
      </c>
      <c r="B450" s="114" t="str">
        <f>VLOOKUP(A450,'Data pick slip'!B:F,5,FALSE)</f>
        <v>KHJ-MC200-00</v>
      </c>
      <c r="C450" s="169">
        <v>110122</v>
      </c>
      <c r="D450" s="156" t="str">
        <f>VLOOKUP(C450,Stock_list!D:L,2,FALSE)</f>
        <v>Stock order</v>
      </c>
      <c r="E450" s="160">
        <f>VLOOKUP(C450,Stock_list!D:L,9,FALSE)</f>
        <v>44193</v>
      </c>
      <c r="F450" s="170" t="s">
        <v>2861</v>
      </c>
      <c r="G450" s="171">
        <v>30</v>
      </c>
      <c r="H450" s="172"/>
      <c r="I450" s="173"/>
      <c r="J450" s="173"/>
      <c r="K450" s="174"/>
      <c r="L450" s="175"/>
      <c r="M450" s="174"/>
      <c r="N450" s="176"/>
      <c r="O450" s="176"/>
      <c r="P450" s="173"/>
      <c r="Q450" s="177"/>
      <c r="R450" s="178"/>
      <c r="S450" s="173"/>
      <c r="T450" s="179"/>
      <c r="U450" s="145"/>
    </row>
    <row r="451" spans="1:21" ht="15" customHeight="1">
      <c r="A451" s="159" t="s">
        <v>2748</v>
      </c>
      <c r="B451" s="114" t="str">
        <f>VLOOKUP(A451,'Data pick slip'!B:F,5,FALSE)</f>
        <v>KHJ-MC400-00</v>
      </c>
      <c r="C451" s="169">
        <v>110122</v>
      </c>
      <c r="D451" s="156" t="str">
        <f>VLOOKUP(C451,Stock_list!D:L,2,FALSE)</f>
        <v>Stock order</v>
      </c>
      <c r="E451" s="160">
        <f>VLOOKUP(C451,Stock_list!D:L,9,FALSE)</f>
        <v>44193</v>
      </c>
      <c r="F451" s="170" t="s">
        <v>2861</v>
      </c>
      <c r="G451" s="171">
        <v>20</v>
      </c>
      <c r="H451" s="172"/>
      <c r="I451" s="173"/>
      <c r="J451" s="173"/>
      <c r="K451" s="174"/>
      <c r="L451" s="175"/>
      <c r="M451" s="174"/>
      <c r="N451" s="176"/>
      <c r="O451" s="176"/>
      <c r="P451" s="173"/>
      <c r="Q451" s="177"/>
      <c r="R451" s="178"/>
      <c r="S451" s="173"/>
      <c r="T451" s="179"/>
      <c r="U451" s="145"/>
    </row>
    <row r="452" spans="1:21" ht="15" customHeight="1">
      <c r="A452" s="180" t="s">
        <v>2752</v>
      </c>
      <c r="B452" s="114" t="str">
        <f>VLOOKUP(A452,'Data pick slip'!B:F,5,FALSE)</f>
        <v>KHJ-MC800-00</v>
      </c>
      <c r="C452" s="169">
        <v>110122</v>
      </c>
      <c r="D452" s="156" t="str">
        <f>VLOOKUP(C452,Stock_list!D:L,2,FALSE)</f>
        <v>Stock order</v>
      </c>
      <c r="E452" s="160">
        <f>VLOOKUP(C452,Stock_list!D:L,9,FALSE)</f>
        <v>44193</v>
      </c>
      <c r="F452" s="170" t="s">
        <v>2861</v>
      </c>
      <c r="G452" s="171">
        <v>1</v>
      </c>
      <c r="H452" s="172"/>
      <c r="I452" s="173"/>
      <c r="J452" s="173"/>
      <c r="K452" s="174"/>
      <c r="L452" s="175"/>
      <c r="M452" s="174"/>
      <c r="N452" s="176"/>
      <c r="O452" s="176"/>
      <c r="P452" s="173"/>
      <c r="Q452" s="177"/>
      <c r="R452" s="178"/>
      <c r="S452" s="173"/>
      <c r="T452" s="179"/>
      <c r="U452" s="145"/>
    </row>
    <row r="453" spans="1:21" ht="15" customHeight="1">
      <c r="A453" s="159" t="s">
        <v>2744</v>
      </c>
      <c r="B453" s="114" t="str">
        <f>VLOOKUP(A453,'Data pick slip'!B:F,5,FALSE)</f>
        <v>KHJ-MC100-00</v>
      </c>
      <c r="C453" s="169">
        <v>110199</v>
      </c>
      <c r="D453" s="156" t="str">
        <f>VLOOKUP(C453,Stock_list!D:L,2,FALSE)</f>
        <v>Stock order</v>
      </c>
      <c r="E453" s="160">
        <f>VLOOKUP(C453,Stock_list!D:L,9,FALSE)</f>
        <v>44221</v>
      </c>
      <c r="F453" s="170" t="s">
        <v>1381</v>
      </c>
      <c r="G453" s="171">
        <v>200</v>
      </c>
      <c r="H453" s="172"/>
      <c r="I453" s="173"/>
      <c r="J453" s="173"/>
      <c r="K453" s="174"/>
      <c r="L453" s="175"/>
      <c r="M453" s="174"/>
      <c r="N453" s="176"/>
      <c r="O453" s="176"/>
      <c r="P453" s="173"/>
      <c r="Q453" s="177"/>
      <c r="R453" s="178"/>
      <c r="S453" s="173"/>
      <c r="T453" s="179"/>
      <c r="U453" s="145"/>
    </row>
    <row r="454" spans="1:21" ht="15" customHeight="1">
      <c r="A454" s="159" t="s">
        <v>2747</v>
      </c>
      <c r="B454" s="114" t="str">
        <f>VLOOKUP(A454,'Data pick slip'!B:F,5,FALSE)</f>
        <v>KHJ-MC200-00</v>
      </c>
      <c r="C454" s="169">
        <v>110199</v>
      </c>
      <c r="D454" s="156" t="str">
        <f>VLOOKUP(C454,Stock_list!D:L,2,FALSE)</f>
        <v>Stock order</v>
      </c>
      <c r="E454" s="160">
        <f>VLOOKUP(C454,Stock_list!D:L,9,FALSE)</f>
        <v>44221</v>
      </c>
      <c r="F454" s="170" t="s">
        <v>1381</v>
      </c>
      <c r="G454" s="171">
        <v>30</v>
      </c>
      <c r="H454" s="172"/>
      <c r="I454" s="173"/>
      <c r="J454" s="173"/>
      <c r="K454" s="174"/>
      <c r="L454" s="175"/>
      <c r="M454" s="174"/>
      <c r="N454" s="176"/>
      <c r="O454" s="176"/>
      <c r="P454" s="173"/>
      <c r="Q454" s="177"/>
      <c r="R454" s="178"/>
      <c r="S454" s="173"/>
      <c r="T454" s="179"/>
      <c r="U454" s="145"/>
    </row>
    <row r="455" spans="1:21" ht="15" customHeight="1">
      <c r="A455" s="159" t="s">
        <v>2744</v>
      </c>
      <c r="B455" s="114" t="str">
        <f>VLOOKUP(A455,'Data pick slip'!B:F,5,FALSE)</f>
        <v>KHJ-MC100-00</v>
      </c>
      <c r="C455" s="169">
        <v>110130</v>
      </c>
      <c r="D455" s="156" t="str">
        <f>VLOOKUP(C455,Stock_list!D:L,2,FALSE)</f>
        <v>Stock order</v>
      </c>
      <c r="E455" s="160">
        <f>VLOOKUP(C455,Stock_list!D:L,9,FALSE)</f>
        <v>44234</v>
      </c>
      <c r="F455" s="170" t="s">
        <v>1381</v>
      </c>
      <c r="G455" s="171">
        <v>100</v>
      </c>
      <c r="H455" s="172"/>
      <c r="I455" s="173"/>
      <c r="J455" s="173"/>
      <c r="K455" s="174"/>
      <c r="L455" s="175"/>
      <c r="M455" s="174"/>
      <c r="N455" s="176"/>
      <c r="O455" s="176"/>
      <c r="P455" s="173"/>
      <c r="Q455" s="177"/>
      <c r="R455" s="178"/>
      <c r="S455" s="173"/>
      <c r="T455" s="179"/>
      <c r="U455" s="145"/>
    </row>
    <row r="456" spans="1:21" ht="15" customHeight="1">
      <c r="A456" s="159" t="s">
        <v>2747</v>
      </c>
      <c r="B456" s="114" t="str">
        <f>VLOOKUP(A456,'Data pick slip'!B:F,5,FALSE)</f>
        <v>KHJ-MC200-00</v>
      </c>
      <c r="C456" s="169">
        <v>110130</v>
      </c>
      <c r="D456" s="156" t="str">
        <f>VLOOKUP(C456,Stock_list!D:L,2,FALSE)</f>
        <v>Stock order</v>
      </c>
      <c r="E456" s="160">
        <f>VLOOKUP(C456,Stock_list!D:L,9,FALSE)</f>
        <v>44234</v>
      </c>
      <c r="F456" s="170" t="s">
        <v>1381</v>
      </c>
      <c r="G456" s="171">
        <v>100</v>
      </c>
      <c r="H456" s="172"/>
      <c r="I456" s="173"/>
      <c r="J456" s="173"/>
      <c r="K456" s="174"/>
      <c r="L456" s="175"/>
      <c r="M456" s="174"/>
      <c r="N456" s="176"/>
      <c r="O456" s="176"/>
      <c r="P456" s="173"/>
      <c r="Q456" s="177"/>
      <c r="R456" s="178"/>
      <c r="S456" s="173"/>
      <c r="T456" s="179"/>
      <c r="U456" s="145"/>
    </row>
    <row r="457" spans="1:21" ht="15" customHeight="1">
      <c r="A457" s="159" t="s">
        <v>2744</v>
      </c>
      <c r="B457" s="114" t="str">
        <f>VLOOKUP(A457,'Data pick slip'!B:F,5,FALSE)</f>
        <v>KHJ-MC100-00</v>
      </c>
      <c r="C457" s="169">
        <v>110131</v>
      </c>
      <c r="D457" s="156" t="str">
        <f>VLOOKUP(C457,Stock_list!D:L,2,FALSE)</f>
        <v>Stock order</v>
      </c>
      <c r="E457" s="160">
        <f>VLOOKUP(C457,Stock_list!D:L,9,FALSE)</f>
        <v>44252</v>
      </c>
      <c r="F457" s="170" t="s">
        <v>1381</v>
      </c>
      <c r="G457" s="171">
        <v>100</v>
      </c>
      <c r="H457" s="172"/>
      <c r="I457" s="173"/>
      <c r="J457" s="173"/>
      <c r="K457" s="174"/>
      <c r="L457" s="175"/>
      <c r="M457" s="174"/>
      <c r="N457" s="176"/>
      <c r="O457" s="176"/>
      <c r="P457" s="173"/>
      <c r="Q457" s="177"/>
      <c r="R457" s="178"/>
      <c r="S457" s="173"/>
      <c r="T457" s="179"/>
      <c r="U457" s="145"/>
    </row>
    <row r="458" spans="1:21" ht="15" customHeight="1">
      <c r="A458" s="159" t="s">
        <v>2744</v>
      </c>
      <c r="B458" s="114" t="str">
        <f>VLOOKUP(A458,'Data pick slip'!B:F,5,FALSE)</f>
        <v>KHJ-MC100-00</v>
      </c>
      <c r="C458" s="169">
        <v>110132</v>
      </c>
      <c r="D458" s="156" t="str">
        <f>VLOOKUP(C458,Stock_list!D:L,2,FALSE)</f>
        <v>Stock order</v>
      </c>
      <c r="E458" s="160">
        <f>VLOOKUP(C458,Stock_list!D:L,9,FALSE)</f>
        <v>44234</v>
      </c>
      <c r="F458" s="170" t="s">
        <v>1381</v>
      </c>
      <c r="G458" s="171">
        <v>350</v>
      </c>
      <c r="H458" s="172"/>
      <c r="I458" s="173"/>
      <c r="J458" s="173"/>
      <c r="K458" s="174"/>
      <c r="L458" s="175"/>
      <c r="M458" s="174"/>
      <c r="N458" s="176"/>
      <c r="O458" s="176"/>
      <c r="P458" s="173"/>
      <c r="Q458" s="177"/>
      <c r="R458" s="178"/>
      <c r="S458" s="173"/>
      <c r="T458" s="179"/>
      <c r="U458" s="145"/>
    </row>
    <row r="459" spans="1:21" ht="15" customHeight="1">
      <c r="A459" s="159" t="s">
        <v>2747</v>
      </c>
      <c r="B459" s="114" t="str">
        <f>VLOOKUP(A459,'Data pick slip'!B:F,5,FALSE)</f>
        <v>KHJ-MC200-00</v>
      </c>
      <c r="C459" s="169">
        <v>110132</v>
      </c>
      <c r="D459" s="156" t="str">
        <f>VLOOKUP(C459,Stock_list!D:L,2,FALSE)</f>
        <v>Stock order</v>
      </c>
      <c r="E459" s="160">
        <f>VLOOKUP(C459,Stock_list!D:L,9,FALSE)</f>
        <v>44234</v>
      </c>
      <c r="F459" s="170" t="s">
        <v>1381</v>
      </c>
      <c r="G459" s="171">
        <v>50</v>
      </c>
      <c r="H459" s="172"/>
      <c r="I459" s="173"/>
      <c r="J459" s="173"/>
      <c r="K459" s="174"/>
      <c r="L459" s="175"/>
      <c r="M459" s="174"/>
      <c r="N459" s="176"/>
      <c r="O459" s="176"/>
      <c r="P459" s="173"/>
      <c r="Q459" s="177"/>
      <c r="R459" s="178"/>
      <c r="S459" s="173"/>
      <c r="T459" s="179"/>
      <c r="U459" s="145"/>
    </row>
    <row r="460" spans="1:21" ht="15" customHeight="1">
      <c r="A460" s="159" t="s">
        <v>2748</v>
      </c>
      <c r="B460" s="114" t="str">
        <f>VLOOKUP(A460,'Data pick slip'!B:F,5,FALSE)</f>
        <v>KHJ-MC400-00</v>
      </c>
      <c r="C460" s="169">
        <v>110132</v>
      </c>
      <c r="D460" s="156" t="str">
        <f>VLOOKUP(C460,Stock_list!D:L,2,FALSE)</f>
        <v>Stock order</v>
      </c>
      <c r="E460" s="160">
        <f>VLOOKUP(C460,Stock_list!D:L,9,FALSE)</f>
        <v>44234</v>
      </c>
      <c r="F460" s="170" t="s">
        <v>1381</v>
      </c>
      <c r="G460" s="282">
        <v>5</v>
      </c>
      <c r="H460" s="172"/>
      <c r="I460" s="173"/>
      <c r="J460" s="173"/>
      <c r="K460" s="174"/>
      <c r="L460" s="175"/>
      <c r="M460" s="174"/>
      <c r="N460" s="176"/>
      <c r="O460" s="176"/>
      <c r="P460" s="173"/>
      <c r="Q460" s="177"/>
      <c r="R460" s="178"/>
      <c r="S460" s="173"/>
      <c r="T460" s="179"/>
      <c r="U460" s="145"/>
    </row>
    <row r="461" spans="1:21" ht="15" customHeight="1">
      <c r="A461" s="159" t="s">
        <v>2751</v>
      </c>
      <c r="B461" s="114" t="str">
        <f>VLOOKUP(A461,'Data pick slip'!B:F,5,FALSE)</f>
        <v>KHJ-MC700-00</v>
      </c>
      <c r="C461" s="169">
        <v>110132</v>
      </c>
      <c r="D461" s="156" t="str">
        <f>VLOOKUP(C461,Stock_list!D:L,2,FALSE)</f>
        <v>Stock order</v>
      </c>
      <c r="E461" s="160">
        <f>VLOOKUP(C461,Stock_list!D:L,9,FALSE)</f>
        <v>44234</v>
      </c>
      <c r="F461" s="170" t="s">
        <v>1381</v>
      </c>
      <c r="G461" s="171">
        <v>2</v>
      </c>
      <c r="H461" s="172"/>
      <c r="I461" s="173"/>
      <c r="J461" s="173"/>
      <c r="K461" s="174"/>
      <c r="L461" s="175"/>
      <c r="M461" s="174"/>
      <c r="N461" s="176"/>
      <c r="O461" s="176"/>
      <c r="P461" s="173"/>
      <c r="Q461" s="177"/>
      <c r="R461" s="178"/>
      <c r="S461" s="173"/>
      <c r="T461" s="179"/>
      <c r="U461" s="145"/>
    </row>
    <row r="462" spans="1:21" ht="15" customHeight="1">
      <c r="A462" s="159" t="s">
        <v>2744</v>
      </c>
      <c r="B462" s="114" t="str">
        <f>VLOOKUP(A462,'Data pick slip'!B:F,5,FALSE)</f>
        <v>KHJ-MC100-00</v>
      </c>
      <c r="C462" s="169">
        <v>110133</v>
      </c>
      <c r="D462" s="156" t="str">
        <f>VLOOKUP(C462,Stock_list!D:L,2,FALSE)</f>
        <v>Stock order</v>
      </c>
      <c r="E462" s="160">
        <f>VLOOKUP(C462,Stock_list!D:L,9,FALSE)</f>
        <v>44234</v>
      </c>
      <c r="F462" s="170" t="s">
        <v>1381</v>
      </c>
      <c r="G462" s="171">
        <v>100</v>
      </c>
      <c r="H462" s="172"/>
      <c r="I462" s="173"/>
      <c r="J462" s="173"/>
      <c r="K462" s="174"/>
      <c r="L462" s="175"/>
      <c r="M462" s="174"/>
      <c r="N462" s="176"/>
      <c r="O462" s="176"/>
      <c r="P462" s="173"/>
      <c r="Q462" s="177"/>
      <c r="R462" s="178"/>
      <c r="S462" s="173"/>
      <c r="T462" s="179"/>
      <c r="U462" s="145"/>
    </row>
    <row r="463" spans="1:21" ht="15" customHeight="1">
      <c r="A463" s="159" t="s">
        <v>2750</v>
      </c>
      <c r="B463" s="114" t="str">
        <f>VLOOKUP(A463,'Data pick slip'!B:F,5,FALSE)</f>
        <v>KHJ-MC600-00</v>
      </c>
      <c r="C463" s="169"/>
      <c r="D463" s="156"/>
      <c r="E463" s="160" t="s">
        <v>2925</v>
      </c>
      <c r="F463" s="170" t="s">
        <v>2773</v>
      </c>
      <c r="G463" s="171">
        <v>4</v>
      </c>
      <c r="H463" s="172"/>
      <c r="I463" s="173"/>
      <c r="J463" s="173"/>
      <c r="K463" s="174"/>
      <c r="L463" s="175"/>
      <c r="M463" s="174"/>
      <c r="N463" s="176"/>
      <c r="O463" s="176"/>
      <c r="P463" s="173"/>
      <c r="Q463" s="177"/>
      <c r="R463" s="178"/>
      <c r="S463" s="173"/>
      <c r="T463" s="179"/>
      <c r="U463" s="145"/>
    </row>
    <row r="464" spans="1:21" ht="15" customHeight="1">
      <c r="A464" s="159" t="s">
        <v>2747</v>
      </c>
      <c r="B464" s="114" t="str">
        <f>VLOOKUP(A464,'Data pick slip'!B:F,5,FALSE)</f>
        <v>KHJ-MC200-00</v>
      </c>
      <c r="C464" s="169"/>
      <c r="D464" s="156"/>
      <c r="E464" s="160" t="s">
        <v>2925</v>
      </c>
      <c r="F464" s="170" t="s">
        <v>2773</v>
      </c>
      <c r="G464" s="171">
        <v>13</v>
      </c>
      <c r="H464" s="172"/>
      <c r="I464" s="173"/>
      <c r="J464" s="173"/>
      <c r="K464" s="174"/>
      <c r="L464" s="175"/>
      <c r="M464" s="174"/>
      <c r="N464" s="176"/>
      <c r="O464" s="176"/>
      <c r="P464" s="173"/>
      <c r="Q464" s="177"/>
      <c r="R464" s="178"/>
      <c r="S464" s="173"/>
      <c r="T464" s="179"/>
      <c r="U464" s="145"/>
    </row>
    <row r="465" spans="1:21" ht="15" customHeight="1">
      <c r="A465" s="159" t="s">
        <v>2748</v>
      </c>
      <c r="B465" s="114" t="str">
        <f>VLOOKUP(A465,'Data pick slip'!B:F,5,FALSE)</f>
        <v>KHJ-MC400-00</v>
      </c>
      <c r="C465" s="169"/>
      <c r="D465" s="156"/>
      <c r="E465" s="160" t="s">
        <v>2925</v>
      </c>
      <c r="F465" s="170" t="s">
        <v>2773</v>
      </c>
      <c r="G465" s="171">
        <v>4</v>
      </c>
      <c r="H465" s="172"/>
      <c r="I465" s="173"/>
      <c r="J465" s="173"/>
      <c r="K465" s="174"/>
      <c r="L465" s="175"/>
      <c r="M465" s="174"/>
      <c r="N465" s="176"/>
      <c r="O465" s="176"/>
      <c r="P465" s="173"/>
      <c r="Q465" s="177"/>
      <c r="R465" s="178"/>
      <c r="S465" s="173"/>
      <c r="T465" s="179"/>
      <c r="U465" s="145"/>
    </row>
    <row r="466" spans="1:21" ht="15" customHeight="1">
      <c r="A466" s="159" t="s">
        <v>2749</v>
      </c>
      <c r="B466" s="114" t="str">
        <f>VLOOKUP(A466,'Data pick slip'!B:F,5,FALSE)</f>
        <v>KHJ-MC500-00</v>
      </c>
      <c r="C466" s="169"/>
      <c r="D466" s="156"/>
      <c r="E466" s="160" t="s">
        <v>2925</v>
      </c>
      <c r="F466" s="170" t="s">
        <v>2773</v>
      </c>
      <c r="G466" s="171">
        <v>5</v>
      </c>
      <c r="H466" s="172"/>
      <c r="I466" s="173"/>
      <c r="J466" s="173"/>
      <c r="K466" s="174"/>
      <c r="L466" s="175"/>
      <c r="M466" s="174"/>
      <c r="N466" s="176"/>
      <c r="O466" s="176"/>
      <c r="P466" s="173"/>
      <c r="Q466" s="177"/>
      <c r="R466" s="178"/>
      <c r="S466" s="173"/>
      <c r="T466" s="179"/>
      <c r="U466" s="145"/>
    </row>
    <row r="467" spans="1:21" ht="15" customHeight="1">
      <c r="A467" s="159" t="s">
        <v>2744</v>
      </c>
      <c r="B467" s="114" t="str">
        <f>VLOOKUP(A467,'Data pick slip'!B:F,5,FALSE)</f>
        <v>KHJ-MC100-00</v>
      </c>
      <c r="C467" s="169"/>
      <c r="D467" s="156"/>
      <c r="E467" s="160" t="s">
        <v>2925</v>
      </c>
      <c r="F467" s="170" t="s">
        <v>2773</v>
      </c>
      <c r="G467" s="171">
        <v>100</v>
      </c>
      <c r="H467" s="172"/>
      <c r="I467" s="173"/>
      <c r="J467" s="173"/>
      <c r="K467" s="174"/>
      <c r="L467" s="175"/>
      <c r="M467" s="174"/>
      <c r="N467" s="176"/>
      <c r="O467" s="176"/>
      <c r="P467" s="173"/>
      <c r="Q467" s="177"/>
      <c r="R467" s="178"/>
      <c r="S467" s="173"/>
      <c r="T467" s="179"/>
      <c r="U467" s="145"/>
    </row>
    <row r="468" spans="1:21" ht="15" customHeight="1">
      <c r="A468" s="159" t="s">
        <v>2748</v>
      </c>
      <c r="B468" s="114" t="str">
        <f>VLOOKUP(A468,'Data pick slip'!B:F,5,FALSE)</f>
        <v>KHJ-MC400-00</v>
      </c>
      <c r="C468" s="169"/>
      <c r="D468" s="156"/>
      <c r="E468" s="160" t="s">
        <v>2925</v>
      </c>
      <c r="F468" s="170" t="s">
        <v>2773</v>
      </c>
      <c r="G468" s="171">
        <v>50</v>
      </c>
      <c r="H468" s="172"/>
      <c r="I468" s="173"/>
      <c r="J468" s="173"/>
      <c r="K468" s="174"/>
      <c r="L468" s="175"/>
      <c r="M468" s="174"/>
      <c r="N468" s="176"/>
      <c r="O468" s="176"/>
      <c r="P468" s="173"/>
      <c r="Q468" s="177"/>
      <c r="R468" s="178"/>
      <c r="S468" s="173"/>
      <c r="T468" s="179"/>
      <c r="U468" s="145"/>
    </row>
    <row r="469" spans="1:21" ht="15" customHeight="1">
      <c r="A469" s="159" t="s">
        <v>2749</v>
      </c>
      <c r="B469" s="114" t="str">
        <f>VLOOKUP(A469,'Data pick slip'!B:F,5,FALSE)</f>
        <v>KHJ-MC500-00</v>
      </c>
      <c r="C469" s="169"/>
      <c r="D469" s="156"/>
      <c r="E469" s="160" t="s">
        <v>2925</v>
      </c>
      <c r="F469" s="170" t="s">
        <v>2773</v>
      </c>
      <c r="G469" s="171">
        <v>16</v>
      </c>
      <c r="H469" s="172"/>
      <c r="I469" s="173"/>
      <c r="J469" s="173"/>
      <c r="K469" s="174"/>
      <c r="L469" s="175"/>
      <c r="M469" s="174"/>
      <c r="N469" s="176"/>
      <c r="O469" s="176"/>
      <c r="P469" s="173"/>
      <c r="Q469" s="177"/>
      <c r="R469" s="178"/>
      <c r="S469" s="173"/>
      <c r="T469" s="179"/>
      <c r="U469" s="145"/>
    </row>
    <row r="470" spans="1:21" ht="15" customHeight="1">
      <c r="A470" s="159" t="s">
        <v>2750</v>
      </c>
      <c r="B470" s="114" t="str">
        <f>VLOOKUP(A470,'Data pick slip'!B:F,5,FALSE)</f>
        <v>KHJ-MC600-00</v>
      </c>
      <c r="C470" s="169"/>
      <c r="D470" s="156"/>
      <c r="E470" s="160" t="s">
        <v>2925</v>
      </c>
      <c r="F470" s="170" t="s">
        <v>2773</v>
      </c>
      <c r="G470" s="171">
        <v>16</v>
      </c>
      <c r="H470" s="172"/>
      <c r="I470" s="173"/>
      <c r="J470" s="173"/>
      <c r="K470" s="174"/>
      <c r="L470" s="175"/>
      <c r="M470" s="174"/>
      <c r="N470" s="176"/>
      <c r="O470" s="176"/>
      <c r="P470" s="173"/>
      <c r="Q470" s="177"/>
      <c r="R470" s="178"/>
      <c r="S470" s="173"/>
      <c r="T470" s="179"/>
      <c r="U470" s="145"/>
    </row>
    <row r="471" spans="1:21" ht="15" customHeight="1">
      <c r="A471" s="159" t="s">
        <v>2751</v>
      </c>
      <c r="B471" s="114" t="str">
        <f>VLOOKUP(A471,'Data pick slip'!B:F,5,FALSE)</f>
        <v>KHJ-MC700-00</v>
      </c>
      <c r="C471" s="169"/>
      <c r="D471" s="156"/>
      <c r="E471" s="160" t="s">
        <v>2925</v>
      </c>
      <c r="F471" s="170" t="s">
        <v>2773</v>
      </c>
      <c r="G471" s="171">
        <v>17</v>
      </c>
      <c r="H471" s="172"/>
      <c r="I471" s="173"/>
      <c r="J471" s="173"/>
      <c r="K471" s="174"/>
      <c r="L471" s="175"/>
      <c r="M471" s="174"/>
      <c r="N471" s="176"/>
      <c r="O471" s="176"/>
      <c r="P471" s="173"/>
      <c r="Q471" s="177"/>
      <c r="R471" s="178"/>
      <c r="S471" s="173"/>
      <c r="T471" s="179"/>
      <c r="U471" s="145"/>
    </row>
    <row r="472" spans="1:21" ht="15" customHeight="1">
      <c r="A472" s="159" t="s">
        <v>2752</v>
      </c>
      <c r="B472" s="114" t="str">
        <f>VLOOKUP(A472,'Data pick slip'!B:F,5,FALSE)</f>
        <v>KHJ-MC800-00</v>
      </c>
      <c r="C472" s="169"/>
      <c r="D472" s="156"/>
      <c r="E472" s="160" t="s">
        <v>2925</v>
      </c>
      <c r="F472" s="170" t="s">
        <v>2773</v>
      </c>
      <c r="G472" s="171">
        <v>7</v>
      </c>
      <c r="H472" s="172"/>
      <c r="I472" s="173"/>
      <c r="J472" s="173"/>
      <c r="K472" s="174"/>
      <c r="L472" s="175"/>
      <c r="M472" s="174"/>
      <c r="N472" s="176"/>
      <c r="O472" s="176"/>
      <c r="P472" s="173"/>
      <c r="Q472" s="177"/>
      <c r="R472" s="178"/>
      <c r="S472" s="173"/>
      <c r="T472" s="179"/>
      <c r="U472" s="145"/>
    </row>
    <row r="473" spans="1:21" ht="15" customHeight="1">
      <c r="A473" s="159" t="s">
        <v>2744</v>
      </c>
      <c r="B473" s="114" t="str">
        <f>VLOOKUP(A473,'Data pick slip'!B:F,5,FALSE)</f>
        <v>KHJ-MC100-00</v>
      </c>
      <c r="C473" s="169"/>
      <c r="D473" s="156"/>
      <c r="E473" s="160" t="s">
        <v>2926</v>
      </c>
      <c r="F473" s="170" t="s">
        <v>2773</v>
      </c>
      <c r="G473" s="171">
        <v>148</v>
      </c>
      <c r="H473" s="172"/>
      <c r="I473" s="173"/>
      <c r="J473" s="173"/>
      <c r="K473" s="174"/>
      <c r="L473" s="175"/>
      <c r="M473" s="174"/>
      <c r="N473" s="176"/>
      <c r="O473" s="176"/>
      <c r="P473" s="173"/>
      <c r="Q473" s="177"/>
      <c r="R473" s="178"/>
      <c r="S473" s="173"/>
      <c r="T473" s="179"/>
      <c r="U473" s="145"/>
    </row>
    <row r="474" spans="1:21" ht="15" customHeight="1">
      <c r="A474" s="159" t="s">
        <v>2748</v>
      </c>
      <c r="B474" s="114" t="str">
        <f>VLOOKUP(A474,'Data pick slip'!B:F,5,FALSE)</f>
        <v>KHJ-MC400-00</v>
      </c>
      <c r="C474" s="169"/>
      <c r="D474" s="156"/>
      <c r="E474" s="160" t="s">
        <v>2926</v>
      </c>
      <c r="F474" s="170" t="s">
        <v>2773</v>
      </c>
      <c r="G474" s="171">
        <v>2</v>
      </c>
      <c r="H474" s="172"/>
      <c r="I474" s="173"/>
      <c r="J474" s="173"/>
      <c r="K474" s="174"/>
      <c r="L474" s="175"/>
      <c r="M474" s="174"/>
      <c r="N474" s="176"/>
      <c r="O474" s="176"/>
      <c r="P474" s="173"/>
      <c r="Q474" s="177"/>
      <c r="R474" s="178"/>
      <c r="S474" s="173"/>
      <c r="T474" s="179"/>
      <c r="U474" s="145"/>
    </row>
    <row r="475" spans="1:21" ht="15" customHeight="1">
      <c r="A475" s="159" t="s">
        <v>2744</v>
      </c>
      <c r="B475" s="114" t="str">
        <f>VLOOKUP(A475,'Data pick slip'!B:F,5,FALSE)</f>
        <v>KHJ-MC100-00</v>
      </c>
      <c r="C475" s="169">
        <v>110150</v>
      </c>
      <c r="D475" s="156" t="str">
        <f>VLOOKUP(C475,Stock_list!D:L,2,FALSE)</f>
        <v>Stock order</v>
      </c>
      <c r="E475" s="160">
        <f>VLOOKUP(C475,Stock_list!D:L,9,FALSE)</f>
        <v>44255</v>
      </c>
      <c r="F475" s="170" t="s">
        <v>1381</v>
      </c>
      <c r="G475" s="171">
        <v>100</v>
      </c>
      <c r="H475" s="172"/>
      <c r="I475" s="173"/>
      <c r="J475" s="173"/>
      <c r="K475" s="174"/>
      <c r="L475" s="175"/>
      <c r="M475" s="174"/>
      <c r="N475" s="176"/>
      <c r="O475" s="176"/>
      <c r="P475" s="173"/>
      <c r="Q475" s="177"/>
      <c r="R475" s="178"/>
      <c r="S475" s="173"/>
      <c r="T475" s="179"/>
      <c r="U475" s="145"/>
    </row>
    <row r="476" spans="1:21" ht="15" customHeight="1">
      <c r="A476" s="159" t="s">
        <v>2747</v>
      </c>
      <c r="B476" s="114" t="str">
        <f>VLOOKUP(A476,'Data pick slip'!B:F,5,FALSE)</f>
        <v>KHJ-MC200-00</v>
      </c>
      <c r="C476" s="169">
        <v>110150</v>
      </c>
      <c r="D476" s="156" t="str">
        <f>VLOOKUP(C476,Stock_list!D:L,2,FALSE)</f>
        <v>Stock order</v>
      </c>
      <c r="E476" s="160">
        <f>VLOOKUP(C476,Stock_list!D:L,9,FALSE)</f>
        <v>44255</v>
      </c>
      <c r="F476" s="170" t="s">
        <v>1381</v>
      </c>
      <c r="G476" s="171">
        <v>30</v>
      </c>
      <c r="H476" s="172"/>
      <c r="I476" s="173"/>
      <c r="J476" s="173"/>
      <c r="K476" s="174"/>
      <c r="L476" s="175"/>
      <c r="M476" s="174"/>
      <c r="N476" s="176"/>
      <c r="O476" s="176"/>
      <c r="P476" s="173"/>
      <c r="Q476" s="177"/>
      <c r="R476" s="178"/>
      <c r="S476" s="173"/>
      <c r="T476" s="179"/>
      <c r="U476" s="145"/>
    </row>
    <row r="477" spans="1:21" ht="15" customHeight="1">
      <c r="A477" s="159" t="s">
        <v>2744</v>
      </c>
      <c r="B477" s="114" t="str">
        <f>VLOOKUP(A477,'Data pick slip'!B:F,5,FALSE)</f>
        <v>KHJ-MC100-00</v>
      </c>
      <c r="C477" s="169">
        <v>110151</v>
      </c>
      <c r="D477" s="156" t="str">
        <f>VLOOKUP(C477,Stock_list!D:L,2,FALSE)</f>
        <v>Stock order</v>
      </c>
      <c r="E477" s="160">
        <f>VLOOKUP(C477,Stock_list!D:L,9,FALSE)</f>
        <v>44259</v>
      </c>
      <c r="F477" s="170" t="s">
        <v>1381</v>
      </c>
      <c r="G477" s="171">
        <v>250</v>
      </c>
      <c r="H477" s="172"/>
      <c r="I477" s="173"/>
      <c r="J477" s="173"/>
      <c r="K477" s="174"/>
      <c r="L477" s="175"/>
      <c r="M477" s="174"/>
      <c r="N477" s="176"/>
      <c r="O477" s="176"/>
      <c r="P477" s="173"/>
      <c r="Q477" s="177"/>
      <c r="R477" s="178"/>
      <c r="S477" s="173"/>
      <c r="T477" s="179"/>
      <c r="U477" s="145"/>
    </row>
    <row r="478" spans="1:21" ht="15" customHeight="1">
      <c r="A478" s="159" t="s">
        <v>2747</v>
      </c>
      <c r="B478" s="114" t="str">
        <f>VLOOKUP(A478,'Data pick slip'!B:F,5,FALSE)</f>
        <v>KHJ-MC200-00</v>
      </c>
      <c r="C478" s="169">
        <v>110151</v>
      </c>
      <c r="D478" s="156" t="str">
        <f>VLOOKUP(C478,Stock_list!D:L,2,FALSE)</f>
        <v>Stock order</v>
      </c>
      <c r="E478" s="160">
        <f>VLOOKUP(C478,Stock_list!D:L,9,FALSE)</f>
        <v>44259</v>
      </c>
      <c r="F478" s="170" t="s">
        <v>1381</v>
      </c>
      <c r="G478" s="171">
        <v>30</v>
      </c>
      <c r="H478" s="172"/>
      <c r="I478" s="173"/>
      <c r="J478" s="173"/>
      <c r="K478" s="174"/>
      <c r="L478" s="175"/>
      <c r="M478" s="174"/>
      <c r="N478" s="176"/>
      <c r="O478" s="176"/>
      <c r="P478" s="173"/>
      <c r="Q478" s="177"/>
      <c r="R478" s="178"/>
      <c r="S478" s="173"/>
      <c r="T478" s="179"/>
      <c r="U478" s="145"/>
    </row>
    <row r="479" spans="1:21" ht="15" customHeight="1">
      <c r="A479" s="159" t="s">
        <v>2744</v>
      </c>
      <c r="B479" s="114" t="str">
        <f>VLOOKUP(A479,'Data pick slip'!B:F,5,FALSE)</f>
        <v>KHJ-MC100-00</v>
      </c>
      <c r="C479" s="169">
        <v>110153</v>
      </c>
      <c r="D479" s="156" t="str">
        <f>VLOOKUP(C479,Stock_list!D:L,2,FALSE)</f>
        <v>Stock order</v>
      </c>
      <c r="E479" s="160">
        <f>VLOOKUP(C479,Stock_list!D:L,9,FALSE)</f>
        <v>44284</v>
      </c>
      <c r="F479" s="170" t="s">
        <v>1381</v>
      </c>
      <c r="G479" s="171">
        <v>600</v>
      </c>
      <c r="H479" s="172"/>
      <c r="I479" s="173"/>
      <c r="J479" s="173"/>
      <c r="K479" s="174"/>
      <c r="L479" s="175"/>
      <c r="M479" s="174"/>
      <c r="N479" s="176"/>
      <c r="O479" s="176"/>
      <c r="P479" s="173"/>
      <c r="Q479" s="177"/>
      <c r="R479" s="178"/>
      <c r="S479" s="173"/>
      <c r="T479" s="179"/>
      <c r="U479" s="145"/>
    </row>
    <row r="480" spans="1:21" ht="15" customHeight="1">
      <c r="A480" s="159" t="s">
        <v>2747</v>
      </c>
      <c r="B480" s="114" t="str">
        <f>VLOOKUP(A480,'Data pick slip'!B:F,5,FALSE)</f>
        <v>KHJ-MC200-00</v>
      </c>
      <c r="C480" s="169">
        <v>110153</v>
      </c>
      <c r="D480" s="156" t="str">
        <f>VLOOKUP(C480,Stock_list!D:L,2,FALSE)</f>
        <v>Stock order</v>
      </c>
      <c r="E480" s="160">
        <f>VLOOKUP(C480,Stock_list!D:L,9,FALSE)</f>
        <v>44284</v>
      </c>
      <c r="F480" s="170" t="s">
        <v>1381</v>
      </c>
      <c r="G480" s="171">
        <v>30</v>
      </c>
      <c r="H480" s="172"/>
      <c r="I480" s="173"/>
      <c r="J480" s="173"/>
      <c r="K480" s="174"/>
      <c r="L480" s="175"/>
      <c r="M480" s="174"/>
      <c r="N480" s="176"/>
      <c r="O480" s="176"/>
      <c r="P480" s="173"/>
      <c r="Q480" s="177"/>
      <c r="R480" s="178"/>
      <c r="S480" s="173"/>
      <c r="T480" s="179"/>
      <c r="U480" s="145"/>
    </row>
    <row r="481" spans="1:21" ht="15" customHeight="1">
      <c r="A481" s="159" t="s">
        <v>2750</v>
      </c>
      <c r="B481" s="114" t="str">
        <f>VLOOKUP(A481,'Data pick slip'!B:F,5,FALSE)</f>
        <v>KHJ-MC600-00</v>
      </c>
      <c r="C481" s="169">
        <v>110153</v>
      </c>
      <c r="D481" s="156" t="str">
        <f>VLOOKUP(C481,Stock_list!D:L,2,FALSE)</f>
        <v>Stock order</v>
      </c>
      <c r="E481" s="160">
        <f>VLOOKUP(C481,Stock_list!D:L,9,FALSE)</f>
        <v>44284</v>
      </c>
      <c r="F481" s="170" t="s">
        <v>1381</v>
      </c>
      <c r="G481" s="171">
        <v>5</v>
      </c>
      <c r="H481" s="172"/>
      <c r="I481" s="173"/>
      <c r="J481" s="173"/>
      <c r="K481" s="174"/>
      <c r="L481" s="175"/>
      <c r="M481" s="174"/>
      <c r="N481" s="176"/>
      <c r="O481" s="176"/>
      <c r="P481" s="173"/>
      <c r="Q481" s="177"/>
      <c r="R481" s="178"/>
      <c r="S481" s="173"/>
      <c r="T481" s="179"/>
      <c r="U481" s="145"/>
    </row>
    <row r="482" spans="1:21" ht="15" customHeight="1">
      <c r="A482" s="159" t="s">
        <v>2744</v>
      </c>
      <c r="B482" s="114" t="str">
        <f>VLOOKUP(A482,'Data pick slip'!B:F,5,FALSE)</f>
        <v>KHJ-MC100-00</v>
      </c>
      <c r="C482" s="169">
        <v>110158</v>
      </c>
      <c r="D482" s="156" t="str">
        <f>VLOOKUP(C482,Stock_list!D:L,2,FALSE)</f>
        <v>捷舜诚名义</v>
      </c>
      <c r="E482" s="160">
        <f>VLOOKUP(C482,Stock_list!D:L,9,FALSE)</f>
        <v>44186</v>
      </c>
      <c r="F482" s="170" t="s">
        <v>2861</v>
      </c>
      <c r="G482" s="171">
        <v>175</v>
      </c>
      <c r="H482" s="172"/>
      <c r="I482" s="173"/>
      <c r="J482" s="173"/>
      <c r="K482" s="174"/>
      <c r="L482" s="175"/>
      <c r="M482" s="174"/>
      <c r="N482" s="176"/>
      <c r="O482" s="176"/>
      <c r="P482" s="173"/>
      <c r="Q482" s="177"/>
      <c r="R482" s="178"/>
      <c r="S482" s="173"/>
      <c r="T482" s="179"/>
      <c r="U482" s="145"/>
    </row>
    <row r="483" spans="1:21" ht="15" customHeight="1">
      <c r="A483" s="159" t="s">
        <v>2747</v>
      </c>
      <c r="B483" s="114" t="str">
        <f>VLOOKUP(A483,'Data pick slip'!B:F,5,FALSE)</f>
        <v>KHJ-MC200-00</v>
      </c>
      <c r="C483" s="169">
        <v>110158</v>
      </c>
      <c r="D483" s="156" t="str">
        <f>VLOOKUP(C483,Stock_list!D:L,2,FALSE)</f>
        <v>捷舜诚名义</v>
      </c>
      <c r="E483" s="160">
        <f>VLOOKUP(C483,Stock_list!D:L,9,FALSE)</f>
        <v>44186</v>
      </c>
      <c r="F483" s="170" t="s">
        <v>2861</v>
      </c>
      <c r="G483" s="171">
        <v>15</v>
      </c>
      <c r="H483" s="172"/>
      <c r="I483" s="173"/>
      <c r="J483" s="173"/>
      <c r="K483" s="174"/>
      <c r="L483" s="175"/>
      <c r="M483" s="174"/>
      <c r="N483" s="176"/>
      <c r="O483" s="176"/>
      <c r="P483" s="173"/>
      <c r="Q483" s="177"/>
      <c r="R483" s="178"/>
      <c r="S483" s="173"/>
      <c r="T483" s="179"/>
      <c r="U483" s="145"/>
    </row>
    <row r="484" spans="1:21" ht="15" customHeight="1">
      <c r="A484" s="159" t="s">
        <v>2749</v>
      </c>
      <c r="B484" s="114" t="str">
        <f>VLOOKUP(A484,'Data pick slip'!B:F,5,FALSE)</f>
        <v>KHJ-MC500-00</v>
      </c>
      <c r="C484" s="169">
        <v>110158</v>
      </c>
      <c r="D484" s="156" t="str">
        <f>VLOOKUP(C484,Stock_list!D:L,2,FALSE)</f>
        <v>捷舜诚名义</v>
      </c>
      <c r="E484" s="160">
        <f>VLOOKUP(C484,Stock_list!D:L,9,FALSE)</f>
        <v>44186</v>
      </c>
      <c r="F484" s="170" t="s">
        <v>2861</v>
      </c>
      <c r="G484" s="171">
        <v>5</v>
      </c>
      <c r="H484" s="172"/>
      <c r="I484" s="173"/>
      <c r="J484" s="173"/>
      <c r="K484" s="174"/>
      <c r="L484" s="175"/>
      <c r="M484" s="174"/>
      <c r="N484" s="176"/>
      <c r="O484" s="176"/>
      <c r="P484" s="173"/>
      <c r="Q484" s="177"/>
      <c r="R484" s="178"/>
      <c r="S484" s="173"/>
      <c r="T484" s="179"/>
      <c r="U484" s="145"/>
    </row>
    <row r="485" spans="1:21" ht="15" customHeight="1">
      <c r="A485" s="159" t="s">
        <v>2744</v>
      </c>
      <c r="B485" s="114" t="str">
        <f>VLOOKUP(A485,'Data pick slip'!B:F,5,FALSE)</f>
        <v>KHJ-MC100-00</v>
      </c>
      <c r="C485" s="169">
        <v>110159</v>
      </c>
      <c r="D485" s="156" t="str">
        <f>VLOOKUP(C485,Stock_list!D:L,2,FALSE)</f>
        <v>捷舜诚名义</v>
      </c>
      <c r="E485" s="160">
        <f>VLOOKUP(C485,Stock_list!D:L,9,FALSE)</f>
        <v>44193</v>
      </c>
      <c r="F485" s="170" t="s">
        <v>2861</v>
      </c>
      <c r="G485" s="171">
        <v>175</v>
      </c>
      <c r="H485" s="172"/>
      <c r="I485" s="173"/>
      <c r="J485" s="173"/>
      <c r="K485" s="174"/>
      <c r="L485" s="175"/>
      <c r="M485" s="174"/>
      <c r="N485" s="176"/>
      <c r="O485" s="176"/>
      <c r="P485" s="173"/>
      <c r="Q485" s="177"/>
      <c r="R485" s="178"/>
      <c r="S485" s="173"/>
      <c r="T485" s="179"/>
      <c r="U485" s="145"/>
    </row>
    <row r="486" spans="1:21" ht="15" customHeight="1">
      <c r="A486" s="159" t="s">
        <v>2747</v>
      </c>
      <c r="B486" s="114" t="str">
        <f>VLOOKUP(A486,'Data pick slip'!B:F,5,FALSE)</f>
        <v>KHJ-MC200-00</v>
      </c>
      <c r="C486" s="169">
        <v>110159</v>
      </c>
      <c r="D486" s="156" t="str">
        <f>VLOOKUP(C486,Stock_list!D:L,2,FALSE)</f>
        <v>捷舜诚名义</v>
      </c>
      <c r="E486" s="160">
        <f>VLOOKUP(C486,Stock_list!D:L,9,FALSE)</f>
        <v>44193</v>
      </c>
      <c r="F486" s="170" t="s">
        <v>2861</v>
      </c>
      <c r="G486" s="171">
        <v>15</v>
      </c>
      <c r="H486" s="172"/>
      <c r="I486" s="173"/>
      <c r="J486" s="173"/>
      <c r="K486" s="174"/>
      <c r="L486" s="175"/>
      <c r="M486" s="174"/>
      <c r="N486" s="176"/>
      <c r="O486" s="176"/>
      <c r="P486" s="173"/>
      <c r="Q486" s="177"/>
      <c r="R486" s="178"/>
      <c r="S486" s="173"/>
      <c r="T486" s="179"/>
      <c r="U486" s="145"/>
    </row>
    <row r="487" spans="1:21" ht="15" customHeight="1">
      <c r="A487" s="159" t="s">
        <v>2744</v>
      </c>
      <c r="B487" s="114" t="str">
        <f>VLOOKUP(A487,'Data pick slip'!B:F,5,FALSE)</f>
        <v>KHJ-MC100-00</v>
      </c>
      <c r="C487" s="169"/>
      <c r="D487" s="156"/>
      <c r="E487" s="160" t="s">
        <v>2927</v>
      </c>
      <c r="F487" s="170" t="s">
        <v>2773</v>
      </c>
      <c r="G487" s="171">
        <v>152</v>
      </c>
      <c r="H487" s="172"/>
      <c r="I487" s="173"/>
      <c r="J487" s="173"/>
      <c r="K487" s="174"/>
      <c r="L487" s="175"/>
      <c r="M487" s="174"/>
      <c r="N487" s="176"/>
      <c r="O487" s="176"/>
      <c r="P487" s="173"/>
      <c r="Q487" s="177"/>
      <c r="R487" s="178"/>
      <c r="S487" s="173"/>
      <c r="T487" s="179"/>
      <c r="U487" s="145"/>
    </row>
    <row r="488" spans="1:21" ht="15" customHeight="1">
      <c r="A488" s="159" t="s">
        <v>2747</v>
      </c>
      <c r="B488" s="114" t="str">
        <f>VLOOKUP(A488,'Data pick slip'!B:F,5,FALSE)</f>
        <v>KHJ-MC200-00</v>
      </c>
      <c r="C488" s="169"/>
      <c r="D488" s="156"/>
      <c r="E488" s="160" t="s">
        <v>2927</v>
      </c>
      <c r="F488" s="170" t="s">
        <v>2773</v>
      </c>
      <c r="G488" s="171">
        <v>31</v>
      </c>
      <c r="H488" s="172"/>
      <c r="I488" s="173"/>
      <c r="J488" s="173"/>
      <c r="K488" s="174"/>
      <c r="L488" s="175"/>
      <c r="M488" s="174"/>
      <c r="N488" s="176"/>
      <c r="O488" s="176"/>
      <c r="P488" s="173"/>
      <c r="Q488" s="177"/>
      <c r="R488" s="178"/>
      <c r="S488" s="173"/>
      <c r="T488" s="179"/>
      <c r="U488" s="145"/>
    </row>
    <row r="489" spans="1:21" ht="15" customHeight="1">
      <c r="A489" s="159" t="s">
        <v>2749</v>
      </c>
      <c r="B489" s="114" t="str">
        <f>VLOOKUP(A489,'Data pick slip'!B:F,5,FALSE)</f>
        <v>KHJ-MC500-00</v>
      </c>
      <c r="C489" s="169"/>
      <c r="D489" s="156"/>
      <c r="E489" s="160" t="s">
        <v>2927</v>
      </c>
      <c r="F489" s="170" t="s">
        <v>2773</v>
      </c>
      <c r="G489" s="171">
        <v>1</v>
      </c>
      <c r="H489" s="172"/>
      <c r="I489" s="173"/>
      <c r="J489" s="173"/>
      <c r="K489" s="174"/>
      <c r="L489" s="175"/>
      <c r="M489" s="174"/>
      <c r="N489" s="176"/>
      <c r="O489" s="176"/>
      <c r="P489" s="173"/>
      <c r="Q489" s="177"/>
      <c r="R489" s="178"/>
      <c r="S489" s="173"/>
      <c r="T489" s="179"/>
      <c r="U489" s="145"/>
    </row>
    <row r="490" spans="1:21" ht="15" customHeight="1">
      <c r="A490" s="159" t="s">
        <v>2744</v>
      </c>
      <c r="B490" s="114" t="str">
        <f>VLOOKUP(A490,'Data pick slip'!B:F,5,FALSE)</f>
        <v>KHJ-MC100-00</v>
      </c>
      <c r="C490" s="169">
        <v>110172</v>
      </c>
      <c r="D490" s="156" t="str">
        <f>VLOOKUP(C490,Stock_list!D:L,2,FALSE)</f>
        <v>Stock order(reserved by Leader Tech)</v>
      </c>
      <c r="E490" s="160">
        <f>VLOOKUP(C490,Stock_list!D:L,9,FALSE)</f>
        <v>44256</v>
      </c>
      <c r="F490" s="170" t="s">
        <v>1381</v>
      </c>
      <c r="G490" s="171">
        <v>220</v>
      </c>
      <c r="H490" s="172"/>
      <c r="I490" s="173"/>
      <c r="J490" s="173"/>
      <c r="K490" s="174"/>
      <c r="L490" s="175"/>
      <c r="M490" s="174"/>
      <c r="N490" s="176"/>
      <c r="O490" s="176"/>
      <c r="P490" s="173"/>
      <c r="Q490" s="177"/>
      <c r="R490" s="178"/>
      <c r="S490" s="173"/>
      <c r="T490" s="179"/>
      <c r="U490" s="145"/>
    </row>
    <row r="491" spans="1:21" ht="15" customHeight="1">
      <c r="A491" s="159" t="s">
        <v>2744</v>
      </c>
      <c r="B491" s="114" t="str">
        <f>VLOOKUP(A491,'Data pick slip'!B:F,5,FALSE)</f>
        <v>KHJ-MC100-00</v>
      </c>
      <c r="C491" s="169">
        <v>110173</v>
      </c>
      <c r="D491" s="156" t="str">
        <f>VLOOKUP(C491,Stock_list!D:L,2,FALSE)</f>
        <v>Stock order(reserved by Leader Tech)</v>
      </c>
      <c r="E491" s="160">
        <f>VLOOKUP(C491,Stock_list!D:L,9,FALSE)</f>
        <v>44256</v>
      </c>
      <c r="F491" s="170" t="s">
        <v>1381</v>
      </c>
      <c r="G491" s="171">
        <v>220</v>
      </c>
      <c r="H491" s="172"/>
      <c r="I491" s="173"/>
      <c r="J491" s="173"/>
      <c r="K491" s="174"/>
      <c r="L491" s="175"/>
      <c r="M491" s="174"/>
      <c r="N491" s="176"/>
      <c r="O491" s="176"/>
      <c r="P491" s="173"/>
      <c r="Q491" s="177"/>
      <c r="R491" s="178"/>
      <c r="S491" s="173"/>
      <c r="T491" s="179"/>
      <c r="U491" s="145"/>
    </row>
    <row r="492" spans="1:21" ht="15" customHeight="1">
      <c r="A492" s="159" t="s">
        <v>2744</v>
      </c>
      <c r="B492" s="114" t="str">
        <f>VLOOKUP(A492,'Data pick slip'!B:F,5,FALSE)</f>
        <v>KHJ-MC100-00</v>
      </c>
      <c r="C492" s="169">
        <v>110174</v>
      </c>
      <c r="D492" s="156" t="str">
        <f>VLOOKUP(C492,Stock_list!D:L,2,FALSE)</f>
        <v>Stock order(reserved by Leader Tech)</v>
      </c>
      <c r="E492" s="160">
        <f>VLOOKUP(C492,Stock_list!D:L,9,FALSE)</f>
        <v>44252</v>
      </c>
      <c r="F492" s="170" t="s">
        <v>1381</v>
      </c>
      <c r="G492" s="171">
        <v>220</v>
      </c>
      <c r="H492" s="172"/>
      <c r="I492" s="173"/>
      <c r="J492" s="173"/>
      <c r="K492" s="174"/>
      <c r="L492" s="175"/>
      <c r="M492" s="174"/>
      <c r="N492" s="176"/>
      <c r="O492" s="176"/>
      <c r="P492" s="173"/>
      <c r="Q492" s="177"/>
      <c r="R492" s="178"/>
      <c r="S492" s="173"/>
      <c r="T492" s="179"/>
      <c r="U492" s="145"/>
    </row>
    <row r="493" spans="1:21" ht="15" customHeight="1">
      <c r="A493" s="159" t="s">
        <v>2747</v>
      </c>
      <c r="B493" s="114" t="str">
        <f>VLOOKUP(A493,'Data pick slip'!B:F,5,FALSE)</f>
        <v>KHJ-MC200-00</v>
      </c>
      <c r="C493" s="169">
        <v>110174</v>
      </c>
      <c r="D493" s="156" t="str">
        <f>VLOOKUP(C493,Stock_list!D:L,2,FALSE)</f>
        <v>Stock order(reserved by Leader Tech)</v>
      </c>
      <c r="E493" s="160">
        <f>VLOOKUP(C493,Stock_list!D:L,9,FALSE)</f>
        <v>44252</v>
      </c>
      <c r="F493" s="170" t="s">
        <v>1381</v>
      </c>
      <c r="G493" s="171">
        <v>40</v>
      </c>
      <c r="H493" s="172"/>
      <c r="I493" s="173"/>
      <c r="J493" s="173"/>
      <c r="K493" s="174"/>
      <c r="L493" s="175"/>
      <c r="M493" s="174"/>
      <c r="N493" s="176"/>
      <c r="O493" s="176"/>
      <c r="P493" s="173"/>
      <c r="Q493" s="177"/>
      <c r="R493" s="178"/>
      <c r="S493" s="173"/>
      <c r="T493" s="179"/>
      <c r="U493" s="145"/>
    </row>
    <row r="494" spans="1:21" ht="15" customHeight="1">
      <c r="A494" s="159" t="s">
        <v>2744</v>
      </c>
      <c r="B494" s="114" t="str">
        <f>VLOOKUP(A494,'Data pick slip'!B:F,5,FALSE)</f>
        <v>KHJ-MC100-00</v>
      </c>
      <c r="C494" s="169">
        <v>110175</v>
      </c>
      <c r="D494" s="156" t="str">
        <f>VLOOKUP(C494,Stock_list!D:L,2,FALSE)</f>
        <v>Stock order(reserved by Leader Tech)</v>
      </c>
      <c r="E494" s="160" t="str">
        <f>VLOOKUP(C494,Stock_list!D:L,9,FALSE)</f>
        <v>2021-2-20</v>
      </c>
      <c r="F494" s="170" t="s">
        <v>1381</v>
      </c>
      <c r="G494" s="171">
        <v>220</v>
      </c>
      <c r="H494" s="172"/>
      <c r="I494" s="173"/>
      <c r="J494" s="173"/>
      <c r="K494" s="174"/>
      <c r="L494" s="175"/>
      <c r="M494" s="174"/>
      <c r="N494" s="176"/>
      <c r="O494" s="176"/>
      <c r="P494" s="173"/>
      <c r="Q494" s="177"/>
      <c r="R494" s="178"/>
      <c r="S494" s="173"/>
      <c r="T494" s="179"/>
      <c r="U494" s="145"/>
    </row>
    <row r="495" spans="1:21" ht="15" customHeight="1">
      <c r="A495" s="159" t="s">
        <v>2747</v>
      </c>
      <c r="B495" s="114" t="str">
        <f>VLOOKUP(A495,'Data pick slip'!B:F,5,FALSE)</f>
        <v>KHJ-MC200-00</v>
      </c>
      <c r="C495" s="169">
        <v>110175</v>
      </c>
      <c r="D495" s="156" t="str">
        <f>VLOOKUP(C495,Stock_list!D:L,2,FALSE)</f>
        <v>Stock order(reserved by Leader Tech)</v>
      </c>
      <c r="E495" s="160" t="str">
        <f>VLOOKUP(C495,Stock_list!D:L,9,FALSE)</f>
        <v>2021-2-20</v>
      </c>
      <c r="F495" s="170" t="s">
        <v>1381</v>
      </c>
      <c r="G495" s="171">
        <v>40</v>
      </c>
      <c r="H495" s="172"/>
      <c r="I495" s="173"/>
      <c r="J495" s="173"/>
      <c r="K495" s="174"/>
      <c r="L495" s="175"/>
      <c r="M495" s="174"/>
      <c r="N495" s="176"/>
      <c r="O495" s="176"/>
      <c r="P495" s="173"/>
      <c r="Q495" s="177"/>
      <c r="R495" s="178"/>
      <c r="S495" s="173"/>
      <c r="T495" s="179"/>
      <c r="U495" s="145"/>
    </row>
    <row r="496" spans="1:21" ht="15" customHeight="1">
      <c r="A496" s="159" t="s">
        <v>2744</v>
      </c>
      <c r="B496" s="114" t="str">
        <f>VLOOKUP(A496,'Data pick slip'!B:F,5,FALSE)</f>
        <v>KHJ-MC100-00</v>
      </c>
      <c r="C496" s="169">
        <v>110176</v>
      </c>
      <c r="D496" s="156" t="str">
        <f>VLOOKUP(C496,Stock_list!D:L,2,FALSE)</f>
        <v>Stock order(reserved by Leader Tech)</v>
      </c>
      <c r="E496" s="160">
        <f>VLOOKUP(C496,Stock_list!D:L,9,FALSE)</f>
        <v>44259</v>
      </c>
      <c r="F496" s="170" t="s">
        <v>1381</v>
      </c>
      <c r="G496" s="171">
        <v>220</v>
      </c>
      <c r="H496" s="172"/>
      <c r="I496" s="173"/>
      <c r="J496" s="173"/>
      <c r="K496" s="174"/>
      <c r="L496" s="175"/>
      <c r="M496" s="174"/>
      <c r="N496" s="176"/>
      <c r="O496" s="176"/>
      <c r="P496" s="173"/>
      <c r="Q496" s="177"/>
      <c r="R496" s="178"/>
      <c r="S496" s="173"/>
      <c r="T496" s="179"/>
      <c r="U496" s="145"/>
    </row>
    <row r="497" spans="1:21" ht="15" customHeight="1">
      <c r="A497" s="159" t="s">
        <v>2747</v>
      </c>
      <c r="B497" s="114" t="str">
        <f>VLOOKUP(A497,'Data pick slip'!B:F,5,FALSE)</f>
        <v>KHJ-MC200-00</v>
      </c>
      <c r="C497" s="169">
        <v>110176</v>
      </c>
      <c r="D497" s="156" t="str">
        <f>VLOOKUP(C497,Stock_list!D:L,2,FALSE)</f>
        <v>Stock order(reserved by Leader Tech)</v>
      </c>
      <c r="E497" s="160">
        <f>VLOOKUP(C497,Stock_list!D:L,9,FALSE)</f>
        <v>44259</v>
      </c>
      <c r="F497" s="170" t="s">
        <v>1381</v>
      </c>
      <c r="G497" s="171">
        <v>40</v>
      </c>
      <c r="H497" s="172"/>
      <c r="I497" s="173"/>
      <c r="J497" s="173"/>
      <c r="K497" s="174"/>
      <c r="L497" s="175"/>
      <c r="M497" s="174"/>
      <c r="N497" s="176"/>
      <c r="O497" s="176"/>
      <c r="P497" s="173"/>
      <c r="Q497" s="177"/>
      <c r="R497" s="178"/>
      <c r="S497" s="173"/>
      <c r="T497" s="179"/>
      <c r="U497" s="145"/>
    </row>
    <row r="498" spans="1:21" ht="15" customHeight="1">
      <c r="A498" s="181" t="s">
        <v>2755</v>
      </c>
      <c r="B498" s="114" t="str">
        <f>VLOOKUP(A498,'Data pick slip'!B:F,5,FALSE)</f>
        <v>KLJ-MC100-00</v>
      </c>
      <c r="C498" s="169">
        <v>110287</v>
      </c>
      <c r="D498" s="156" t="str">
        <f>VLOOKUP(C498,Stock_list!D:L,2,FALSE)</f>
        <v>众鑫科名义</v>
      </c>
      <c r="E498" s="160">
        <f>VLOOKUP(C498,Stock_list!D:L,9,FALSE)</f>
        <v>44256</v>
      </c>
      <c r="F498" s="170" t="s">
        <v>1381</v>
      </c>
      <c r="G498" s="171">
        <v>320</v>
      </c>
      <c r="H498" s="172"/>
      <c r="I498" s="173"/>
      <c r="J498" s="173"/>
      <c r="K498" s="174"/>
      <c r="L498" s="175"/>
      <c r="M498" s="174"/>
      <c r="N498" s="176"/>
      <c r="O498" s="176"/>
      <c r="P498" s="173"/>
      <c r="Q498" s="177"/>
      <c r="R498" s="178"/>
      <c r="S498" s="173"/>
      <c r="T498" s="179"/>
      <c r="U498" s="145"/>
    </row>
    <row r="499" spans="1:21" ht="15" customHeight="1">
      <c r="A499" s="181" t="s">
        <v>2756</v>
      </c>
      <c r="B499" s="114" t="str">
        <f>VLOOKUP(A499,'Data pick slip'!B:F,5,FALSE)</f>
        <v>KLJ-MC200-00</v>
      </c>
      <c r="C499" s="169">
        <v>110287</v>
      </c>
      <c r="D499" s="156" t="str">
        <f>VLOOKUP(C499,Stock_list!D:L,2,FALSE)</f>
        <v>众鑫科名义</v>
      </c>
      <c r="E499" s="160">
        <f>VLOOKUP(C499,Stock_list!D:L,9,FALSE)</f>
        <v>44256</v>
      </c>
      <c r="F499" s="170" t="s">
        <v>1381</v>
      </c>
      <c r="G499" s="171">
        <v>120</v>
      </c>
      <c r="H499" s="172"/>
      <c r="I499" s="173"/>
      <c r="J499" s="173"/>
      <c r="K499" s="174"/>
      <c r="L499" s="175"/>
      <c r="M499" s="174"/>
      <c r="N499" s="176"/>
      <c r="O499" s="176"/>
      <c r="P499" s="173"/>
      <c r="Q499" s="176"/>
      <c r="R499" s="178"/>
      <c r="S499" s="173"/>
      <c r="T499" s="179"/>
      <c r="U499" s="145"/>
    </row>
    <row r="500" spans="1:21" ht="15" customHeight="1">
      <c r="A500" s="181" t="s">
        <v>2757</v>
      </c>
      <c r="B500" s="114" t="str">
        <f>VLOOKUP(A500,'Data pick slip'!B:F,5,FALSE)</f>
        <v>KLJ-MC400-00</v>
      </c>
      <c r="C500" s="169">
        <v>110287</v>
      </c>
      <c r="D500" s="156" t="str">
        <f>VLOOKUP(C500,Stock_list!D:L,2,FALSE)</f>
        <v>众鑫科名义</v>
      </c>
      <c r="E500" s="160">
        <f>VLOOKUP(C500,Stock_list!D:L,9,FALSE)</f>
        <v>44256</v>
      </c>
      <c r="F500" s="170" t="s">
        <v>1381</v>
      </c>
      <c r="G500" s="171">
        <v>50</v>
      </c>
      <c r="H500" s="172"/>
      <c r="I500" s="173"/>
      <c r="J500" s="173"/>
      <c r="K500" s="174"/>
      <c r="L500" s="175"/>
      <c r="M500" s="174"/>
      <c r="N500" s="176"/>
      <c r="O500" s="176"/>
      <c r="P500" s="173"/>
      <c r="Q500" s="177"/>
      <c r="R500" s="178"/>
      <c r="S500" s="173"/>
      <c r="T500" s="179"/>
      <c r="U500" s="145"/>
    </row>
    <row r="501" spans="1:21" ht="15" customHeight="1">
      <c r="A501" s="181" t="s">
        <v>2758</v>
      </c>
      <c r="B501" s="114" t="str">
        <f>VLOOKUP(A501,'Data pick slip'!B:F,5,FALSE)</f>
        <v>KLJ-MC500-00</v>
      </c>
      <c r="C501" s="169">
        <v>110287</v>
      </c>
      <c r="D501" s="156" t="str">
        <f>VLOOKUP(C501,Stock_list!D:L,2,FALSE)</f>
        <v>众鑫科名义</v>
      </c>
      <c r="E501" s="160">
        <f>VLOOKUP(C501,Stock_list!D:L,9,FALSE)</f>
        <v>44256</v>
      </c>
      <c r="F501" s="170" t="s">
        <v>1381</v>
      </c>
      <c r="G501" s="171">
        <v>10</v>
      </c>
      <c r="H501" s="172"/>
      <c r="I501" s="173"/>
      <c r="J501" s="173"/>
      <c r="K501" s="174"/>
      <c r="L501" s="175"/>
      <c r="M501" s="174"/>
      <c r="N501" s="176"/>
      <c r="O501" s="176"/>
      <c r="P501" s="173"/>
      <c r="Q501" s="177"/>
      <c r="R501" s="178"/>
      <c r="S501" s="173"/>
      <c r="T501" s="179"/>
      <c r="U501" s="145"/>
    </row>
    <row r="502" spans="1:21" ht="15" customHeight="1">
      <c r="A502" s="181" t="s">
        <v>2759</v>
      </c>
      <c r="B502" s="114" t="str">
        <f>VLOOKUP(A502,'Data pick slip'!B:F,5,FALSE)</f>
        <v>KLJ-MC600-00</v>
      </c>
      <c r="C502" s="169">
        <v>110287</v>
      </c>
      <c r="D502" s="156" t="str">
        <f>VLOOKUP(C502,Stock_list!D:L,2,FALSE)</f>
        <v>众鑫科名义</v>
      </c>
      <c r="E502" s="160">
        <f>VLOOKUP(C502,Stock_list!D:L,9,FALSE)</f>
        <v>44256</v>
      </c>
      <c r="F502" s="170" t="s">
        <v>1381</v>
      </c>
      <c r="G502" s="171">
        <v>10</v>
      </c>
      <c r="H502" s="172"/>
      <c r="I502" s="173"/>
      <c r="J502" s="173"/>
      <c r="K502" s="174"/>
      <c r="L502" s="175"/>
      <c r="M502" s="174"/>
      <c r="N502" s="176"/>
      <c r="O502" s="176"/>
      <c r="P502" s="173"/>
      <c r="Q502" s="177"/>
      <c r="R502" s="178"/>
      <c r="S502" s="173"/>
      <c r="T502" s="179"/>
      <c r="U502" s="145"/>
    </row>
    <row r="503" spans="1:21" ht="15" customHeight="1">
      <c r="A503" s="159" t="s">
        <v>2744</v>
      </c>
      <c r="B503" s="114" t="str">
        <f>VLOOKUP(A503,'Data pick slip'!B:F,5,FALSE)</f>
        <v>KHJ-MC100-00</v>
      </c>
      <c r="C503" s="169">
        <v>110211</v>
      </c>
      <c r="D503" s="156" t="str">
        <f>VLOOKUP(C503,Stock_list!D:L,2,FALSE)</f>
        <v>Stock order</v>
      </c>
      <c r="E503" s="160">
        <f>VLOOKUP(C503,Stock_list!D:L,9,FALSE)</f>
        <v>44318</v>
      </c>
      <c r="F503" s="170" t="s">
        <v>1381</v>
      </c>
      <c r="G503" s="171">
        <v>300</v>
      </c>
      <c r="H503" s="172"/>
      <c r="I503" s="173"/>
      <c r="J503" s="173"/>
      <c r="K503" s="174"/>
      <c r="L503" s="175"/>
      <c r="M503" s="174"/>
      <c r="N503" s="176"/>
      <c r="O503" s="176"/>
      <c r="P503" s="173"/>
      <c r="Q503" s="177"/>
      <c r="R503" s="178"/>
      <c r="S503" s="173"/>
      <c r="T503" s="179"/>
      <c r="U503" s="145"/>
    </row>
    <row r="504" spans="1:21" ht="15" customHeight="1">
      <c r="A504" s="159" t="s">
        <v>2747</v>
      </c>
      <c r="B504" s="114" t="str">
        <f>VLOOKUP(A504,'Data pick slip'!B:F,5,FALSE)</f>
        <v>KHJ-MC200-00</v>
      </c>
      <c r="C504" s="169">
        <v>110211</v>
      </c>
      <c r="D504" s="156" t="str">
        <f>VLOOKUP(C504,Stock_list!D:L,2,FALSE)</f>
        <v>Stock order</v>
      </c>
      <c r="E504" s="160">
        <f>VLOOKUP(C504,Stock_list!D:L,9,FALSE)</f>
        <v>44318</v>
      </c>
      <c r="F504" s="170" t="s">
        <v>1381</v>
      </c>
      <c r="G504" s="171">
        <v>60</v>
      </c>
      <c r="H504" s="172"/>
      <c r="I504" s="173"/>
      <c r="J504" s="173"/>
      <c r="K504" s="174"/>
      <c r="L504" s="175"/>
      <c r="M504" s="174"/>
      <c r="N504" s="176"/>
      <c r="O504" s="176"/>
      <c r="P504" s="173"/>
      <c r="Q504" s="177"/>
      <c r="R504" s="178"/>
      <c r="S504" s="173"/>
      <c r="T504" s="179"/>
      <c r="U504" s="145"/>
    </row>
    <row r="505" spans="1:21" ht="15" customHeight="1">
      <c r="A505" s="159" t="s">
        <v>2748</v>
      </c>
      <c r="B505" s="114" t="str">
        <f>VLOOKUP(A505,'Data pick slip'!B:F,5,FALSE)</f>
        <v>KHJ-MC400-00</v>
      </c>
      <c r="C505" s="169">
        <v>110211</v>
      </c>
      <c r="D505" s="156" t="str">
        <f>VLOOKUP(C505,Stock_list!D:L,2,FALSE)</f>
        <v>Stock order</v>
      </c>
      <c r="E505" s="160">
        <f>VLOOKUP(C505,Stock_list!D:L,9,FALSE)</f>
        <v>44318</v>
      </c>
      <c r="F505" s="170" t="s">
        <v>1381</v>
      </c>
      <c r="G505" s="171">
        <v>10</v>
      </c>
      <c r="H505" s="172"/>
      <c r="I505" s="173"/>
      <c r="J505" s="173"/>
      <c r="K505" s="174"/>
      <c r="L505" s="175"/>
      <c r="M505" s="174"/>
      <c r="N505" s="176"/>
      <c r="O505" s="176"/>
      <c r="P505" s="173"/>
      <c r="Q505" s="177"/>
      <c r="R505" s="178"/>
      <c r="S505" s="173"/>
      <c r="T505" s="179"/>
      <c r="U505" s="145"/>
    </row>
    <row r="506" spans="1:21" ht="15" customHeight="1">
      <c r="A506" s="159" t="s">
        <v>2749</v>
      </c>
      <c r="B506" s="114" t="str">
        <f>VLOOKUP(A506,'Data pick slip'!B:F,5,FALSE)</f>
        <v>KHJ-MC500-00</v>
      </c>
      <c r="C506" s="169">
        <v>110211</v>
      </c>
      <c r="D506" s="156" t="str">
        <f>VLOOKUP(C506,Stock_list!D:L,2,FALSE)</f>
        <v>Stock order</v>
      </c>
      <c r="E506" s="160">
        <f>VLOOKUP(C506,Stock_list!D:L,9,FALSE)</f>
        <v>44318</v>
      </c>
      <c r="F506" s="170" t="s">
        <v>1381</v>
      </c>
      <c r="G506" s="171">
        <v>2</v>
      </c>
      <c r="H506" s="172"/>
      <c r="I506" s="173"/>
      <c r="J506" s="173"/>
      <c r="K506" s="174"/>
      <c r="L506" s="175"/>
      <c r="M506" s="174"/>
      <c r="N506" s="176"/>
      <c r="O506" s="176"/>
      <c r="P506" s="173"/>
      <c r="Q506" s="177"/>
      <c r="R506" s="178"/>
      <c r="S506" s="173"/>
      <c r="T506" s="179"/>
      <c r="U506" s="145"/>
    </row>
    <row r="507" spans="1:21" ht="15" customHeight="1">
      <c r="A507" s="159" t="s">
        <v>2750</v>
      </c>
      <c r="B507" s="114" t="str">
        <f>VLOOKUP(A507,'Data pick slip'!B:F,5,FALSE)</f>
        <v>KHJ-MC600-00</v>
      </c>
      <c r="C507" s="169">
        <v>110211</v>
      </c>
      <c r="D507" s="156" t="str">
        <f>VLOOKUP(C507,Stock_list!D:L,2,FALSE)</f>
        <v>Stock order</v>
      </c>
      <c r="E507" s="160">
        <f>VLOOKUP(C507,Stock_list!D:L,9,FALSE)</f>
        <v>44318</v>
      </c>
      <c r="F507" s="170" t="s">
        <v>1381</v>
      </c>
      <c r="G507" s="171">
        <v>1</v>
      </c>
      <c r="H507" s="172"/>
      <c r="I507" s="173"/>
      <c r="J507" s="173"/>
      <c r="K507" s="174"/>
      <c r="L507" s="175"/>
      <c r="M507" s="174"/>
      <c r="N507" s="176"/>
      <c r="O507" s="176"/>
      <c r="P507" s="173"/>
      <c r="Q507" s="177"/>
      <c r="R507" s="178"/>
      <c r="S507" s="173"/>
      <c r="T507" s="179"/>
      <c r="U507" s="145"/>
    </row>
    <row r="508" spans="1:21" ht="15" customHeight="1">
      <c r="A508" s="159" t="s">
        <v>2751</v>
      </c>
      <c r="B508" s="114" t="str">
        <f>VLOOKUP(A508,'Data pick slip'!B:F,5,FALSE)</f>
        <v>KHJ-MC700-00</v>
      </c>
      <c r="C508" s="169">
        <v>110211</v>
      </c>
      <c r="D508" s="156" t="str">
        <f>VLOOKUP(C508,Stock_list!D:L,2,FALSE)</f>
        <v>Stock order</v>
      </c>
      <c r="E508" s="160">
        <f>VLOOKUP(C508,Stock_list!D:L,9,FALSE)</f>
        <v>44318</v>
      </c>
      <c r="F508" s="170" t="s">
        <v>1381</v>
      </c>
      <c r="G508" s="171">
        <v>7</v>
      </c>
      <c r="H508" s="172"/>
      <c r="I508" s="173"/>
      <c r="J508" s="173"/>
      <c r="K508" s="174"/>
      <c r="L508" s="175"/>
      <c r="M508" s="174"/>
      <c r="N508" s="176"/>
      <c r="O508" s="176"/>
      <c r="P508" s="173"/>
      <c r="Q508" s="177"/>
      <c r="R508" s="178"/>
      <c r="S508" s="173"/>
      <c r="T508" s="179"/>
      <c r="U508" s="145"/>
    </row>
    <row r="509" spans="1:21" ht="15" customHeight="1">
      <c r="A509" s="159" t="s">
        <v>2752</v>
      </c>
      <c r="B509" s="114" t="str">
        <f>VLOOKUP(A509,'Data pick slip'!B:F,5,FALSE)</f>
        <v>KHJ-MC800-00</v>
      </c>
      <c r="C509" s="169">
        <v>110211</v>
      </c>
      <c r="D509" s="156" t="str">
        <f>VLOOKUP(C509,Stock_list!D:L,2,FALSE)</f>
        <v>Stock order</v>
      </c>
      <c r="E509" s="160">
        <f>VLOOKUP(C509,Stock_list!D:L,9,FALSE)</f>
        <v>44318</v>
      </c>
      <c r="F509" s="170" t="s">
        <v>1381</v>
      </c>
      <c r="G509" s="171">
        <v>1</v>
      </c>
      <c r="H509" s="172"/>
      <c r="I509" s="173"/>
      <c r="J509" s="173"/>
      <c r="K509" s="174"/>
      <c r="L509" s="175"/>
      <c r="M509" s="174"/>
      <c r="N509" s="176"/>
      <c r="O509" s="176"/>
      <c r="P509" s="173"/>
      <c r="Q509" s="177"/>
      <c r="R509" s="178"/>
      <c r="S509" s="173"/>
      <c r="T509" s="179"/>
      <c r="U509" s="145"/>
    </row>
    <row r="510" spans="1:21" ht="15" customHeight="1">
      <c r="A510" s="159" t="s">
        <v>2744</v>
      </c>
      <c r="B510" s="114" t="str">
        <f>VLOOKUP(A510,'Data pick slip'!B:F,5,FALSE)</f>
        <v>KHJ-MC100-00</v>
      </c>
      <c r="C510" s="169">
        <v>110212</v>
      </c>
      <c r="D510" s="156" t="str">
        <f>VLOOKUP(C510,Stock_list!D:L,2,FALSE)</f>
        <v>Stock order</v>
      </c>
      <c r="E510" s="160">
        <f>VLOOKUP(C510,Stock_list!D:L,9,FALSE)</f>
        <v>44284</v>
      </c>
      <c r="F510" s="170" t="s">
        <v>1381</v>
      </c>
      <c r="G510" s="171">
        <v>350</v>
      </c>
      <c r="H510" s="172"/>
      <c r="I510" s="173"/>
      <c r="J510" s="173"/>
      <c r="K510" s="174"/>
      <c r="L510" s="175"/>
      <c r="M510" s="174"/>
      <c r="N510" s="176"/>
      <c r="O510" s="176"/>
      <c r="P510" s="173"/>
      <c r="Q510" s="177"/>
      <c r="R510" s="178"/>
      <c r="S510" s="173"/>
      <c r="T510" s="179"/>
      <c r="U510" s="145"/>
    </row>
    <row r="511" spans="1:21" ht="15" customHeight="1">
      <c r="A511" s="159" t="s">
        <v>2747</v>
      </c>
      <c r="B511" s="114" t="str">
        <f>VLOOKUP(A511,'Data pick slip'!B:F,5,FALSE)</f>
        <v>KHJ-MC200-00</v>
      </c>
      <c r="C511" s="169">
        <v>110212</v>
      </c>
      <c r="D511" s="156" t="str">
        <f>VLOOKUP(C511,Stock_list!D:L,2,FALSE)</f>
        <v>Stock order</v>
      </c>
      <c r="E511" s="160">
        <f>VLOOKUP(C511,Stock_list!D:L,9,FALSE)</f>
        <v>44284</v>
      </c>
      <c r="F511" s="170" t="s">
        <v>1381</v>
      </c>
      <c r="G511" s="171">
        <v>80</v>
      </c>
      <c r="H511" s="172"/>
      <c r="I511" s="173"/>
      <c r="J511" s="173"/>
      <c r="K511" s="174"/>
      <c r="L511" s="175"/>
      <c r="M511" s="174"/>
      <c r="N511" s="176"/>
      <c r="O511" s="176"/>
      <c r="P511" s="173"/>
      <c r="Q511" s="177"/>
      <c r="R511" s="178"/>
      <c r="S511" s="173"/>
      <c r="T511" s="179"/>
      <c r="U511" s="145"/>
    </row>
    <row r="512" spans="1:21" ht="15" customHeight="1">
      <c r="A512" s="159" t="s">
        <v>2747</v>
      </c>
      <c r="B512" s="114" t="str">
        <f>VLOOKUP(A512,'Data pick slip'!B:F,5,FALSE)</f>
        <v>KHJ-MC200-00</v>
      </c>
      <c r="C512" s="169"/>
      <c r="D512" s="156"/>
      <c r="E512" s="141" t="s">
        <v>2928</v>
      </c>
      <c r="F512" s="170" t="s">
        <v>2773</v>
      </c>
      <c r="G512" s="171">
        <v>70</v>
      </c>
      <c r="H512" s="172"/>
      <c r="I512" s="173"/>
      <c r="J512" s="173"/>
      <c r="K512" s="174"/>
      <c r="L512" s="175"/>
      <c r="M512" s="174"/>
      <c r="N512" s="176"/>
      <c r="O512" s="176"/>
      <c r="P512" s="173"/>
      <c r="Q512" s="177"/>
      <c r="R512" s="178"/>
      <c r="S512" s="173"/>
      <c r="T512" s="179"/>
      <c r="U512" s="145"/>
    </row>
    <row r="513" spans="1:21" ht="15" customHeight="1">
      <c r="A513" s="159" t="s">
        <v>2921</v>
      </c>
      <c r="B513" s="114" t="e">
        <f>VLOOKUP(A513,'Data pick slip'!B:F,5,FALSE)</f>
        <v>#N/A</v>
      </c>
      <c r="C513" s="169"/>
      <c r="D513" s="156"/>
      <c r="E513" s="141" t="s">
        <v>2928</v>
      </c>
      <c r="F513" s="170" t="s">
        <v>2773</v>
      </c>
      <c r="G513" s="171">
        <v>2</v>
      </c>
      <c r="H513" s="172"/>
      <c r="I513" s="173"/>
      <c r="J513" s="173"/>
      <c r="K513" s="174"/>
      <c r="L513" s="175"/>
      <c r="M513" s="174"/>
      <c r="N513" s="176"/>
      <c r="O513" s="176"/>
      <c r="P513" s="173"/>
      <c r="Q513" s="177"/>
      <c r="R513" s="178"/>
      <c r="S513" s="173"/>
      <c r="T513" s="179"/>
      <c r="U513" s="145"/>
    </row>
    <row r="514" spans="1:21" ht="15" customHeight="1">
      <c r="A514" s="159" t="s">
        <v>2744</v>
      </c>
      <c r="B514" s="114" t="str">
        <f>VLOOKUP(A514,'Data pick slip'!B:F,5,FALSE)</f>
        <v>KHJ-MC100-00</v>
      </c>
      <c r="C514" s="169"/>
      <c r="D514" s="156"/>
      <c r="E514" s="141" t="s">
        <v>2929</v>
      </c>
      <c r="F514" s="170" t="s">
        <v>2773</v>
      </c>
      <c r="G514" s="171">
        <v>50</v>
      </c>
      <c r="H514" s="172"/>
      <c r="I514" s="173"/>
      <c r="J514" s="173"/>
      <c r="K514" s="174"/>
      <c r="L514" s="175"/>
      <c r="M514" s="174"/>
      <c r="N514" s="176"/>
      <c r="O514" s="176"/>
      <c r="P514" s="173"/>
      <c r="Q514" s="177"/>
      <c r="R514" s="178"/>
      <c r="S514" s="173"/>
      <c r="T514" s="179"/>
      <c r="U514" s="145"/>
    </row>
    <row r="515" spans="1:21" ht="15" customHeight="1">
      <c r="A515" s="159" t="s">
        <v>2747</v>
      </c>
      <c r="B515" s="114" t="str">
        <f>VLOOKUP(A515,'Data pick slip'!B:F,5,FALSE)</f>
        <v>KHJ-MC200-00</v>
      </c>
      <c r="C515" s="169"/>
      <c r="D515" s="156"/>
      <c r="E515" s="141" t="s">
        <v>2929</v>
      </c>
      <c r="F515" s="170" t="s">
        <v>2773</v>
      </c>
      <c r="G515" s="171">
        <v>20</v>
      </c>
      <c r="H515" s="172"/>
      <c r="I515" s="173"/>
      <c r="J515" s="173"/>
      <c r="K515" s="174"/>
      <c r="L515" s="175"/>
      <c r="M515" s="174"/>
      <c r="N515" s="176"/>
      <c r="O515" s="176"/>
      <c r="P515" s="173"/>
      <c r="Q515" s="177"/>
      <c r="R515" s="178"/>
      <c r="S515" s="173"/>
      <c r="T515" s="179"/>
      <c r="U515" s="145"/>
    </row>
    <row r="516" spans="1:21" ht="15" customHeight="1">
      <c r="A516" s="159" t="s">
        <v>2744</v>
      </c>
      <c r="B516" s="114" t="str">
        <f>VLOOKUP(A516,'Data pick slip'!B:F,5,FALSE)</f>
        <v>KHJ-MC100-00</v>
      </c>
      <c r="C516" s="169"/>
      <c r="D516" s="156"/>
      <c r="E516" s="141" t="s">
        <v>2929</v>
      </c>
      <c r="F516" s="170" t="s">
        <v>2773</v>
      </c>
      <c r="G516" s="171">
        <v>220</v>
      </c>
      <c r="H516" s="172"/>
      <c r="I516" s="173"/>
      <c r="J516" s="173"/>
      <c r="K516" s="174"/>
      <c r="L516" s="175"/>
      <c r="M516" s="174"/>
      <c r="N516" s="176"/>
      <c r="O516" s="176"/>
      <c r="P516" s="173"/>
      <c r="Q516" s="177"/>
      <c r="R516" s="178"/>
      <c r="S516" s="173"/>
      <c r="T516" s="179"/>
      <c r="U516" s="145"/>
    </row>
    <row r="517" spans="1:21" ht="15" customHeight="1">
      <c r="A517" s="159" t="s">
        <v>2747</v>
      </c>
      <c r="B517" s="114" t="str">
        <f>VLOOKUP(A517,'Data pick slip'!B:F,5,FALSE)</f>
        <v>KHJ-MC200-00</v>
      </c>
      <c r="C517" s="169"/>
      <c r="D517" s="156"/>
      <c r="E517" s="141" t="s">
        <v>2929</v>
      </c>
      <c r="F517" s="170" t="s">
        <v>2773</v>
      </c>
      <c r="G517" s="171">
        <v>20</v>
      </c>
      <c r="H517" s="172"/>
      <c r="I517" s="173"/>
      <c r="J517" s="173"/>
      <c r="K517" s="174"/>
      <c r="L517" s="175"/>
      <c r="M517" s="174"/>
      <c r="N517" s="176"/>
      <c r="O517" s="176"/>
      <c r="P517" s="173"/>
      <c r="Q517" s="177"/>
      <c r="R517" s="178"/>
      <c r="S517" s="173"/>
      <c r="T517" s="179"/>
      <c r="U517" s="145"/>
    </row>
    <row r="518" spans="1:21" ht="15" customHeight="1">
      <c r="A518" s="159" t="s">
        <v>2921</v>
      </c>
      <c r="B518" s="114" t="e">
        <f>VLOOKUP(A518,'Data pick slip'!B:F,5,FALSE)</f>
        <v>#N/A</v>
      </c>
      <c r="C518" s="169"/>
      <c r="D518" s="156"/>
      <c r="E518" s="141" t="s">
        <v>2929</v>
      </c>
      <c r="F518" s="170" t="s">
        <v>2773</v>
      </c>
      <c r="G518" s="171">
        <v>6</v>
      </c>
      <c r="H518" s="172"/>
      <c r="I518" s="173"/>
      <c r="J518" s="173"/>
      <c r="K518" s="174"/>
      <c r="L518" s="175"/>
      <c r="M518" s="174"/>
      <c r="N518" s="176"/>
      <c r="O518" s="176"/>
      <c r="P518" s="173"/>
      <c r="Q518" s="177"/>
      <c r="R518" s="178"/>
      <c r="S518" s="173"/>
      <c r="T518" s="179"/>
      <c r="U518" s="145"/>
    </row>
    <row r="519" spans="1:21" ht="15" customHeight="1">
      <c r="A519" s="159" t="s">
        <v>2744</v>
      </c>
      <c r="B519" s="114" t="str">
        <f>VLOOKUP(A519,'Data pick slip'!B:F,5,FALSE)</f>
        <v>KHJ-MC100-00</v>
      </c>
      <c r="C519" s="169"/>
      <c r="D519" s="156"/>
      <c r="E519" s="141" t="s">
        <v>2930</v>
      </c>
      <c r="F519" s="170" t="s">
        <v>2773</v>
      </c>
      <c r="G519" s="171">
        <v>170</v>
      </c>
      <c r="H519" s="172"/>
      <c r="I519" s="173"/>
      <c r="J519" s="173"/>
      <c r="K519" s="174"/>
      <c r="L519" s="175"/>
      <c r="M519" s="174"/>
      <c r="N519" s="176"/>
      <c r="O519" s="176"/>
      <c r="P519" s="173"/>
      <c r="Q519" s="177"/>
      <c r="R519" s="178"/>
      <c r="S519" s="173"/>
      <c r="T519" s="179"/>
      <c r="U519" s="145"/>
    </row>
    <row r="520" spans="1:21" ht="15" customHeight="1">
      <c r="A520" s="159" t="s">
        <v>2748</v>
      </c>
      <c r="B520" s="114" t="str">
        <f>VLOOKUP(A520,'Data pick slip'!B:F,5,FALSE)</f>
        <v>KHJ-MC400-00</v>
      </c>
      <c r="C520" s="169"/>
      <c r="D520" s="156"/>
      <c r="E520" s="141" t="s">
        <v>2930</v>
      </c>
      <c r="F520" s="170" t="s">
        <v>2773</v>
      </c>
      <c r="G520" s="171">
        <v>30</v>
      </c>
      <c r="H520" s="172"/>
      <c r="I520" s="173"/>
      <c r="J520" s="173"/>
      <c r="K520" s="174"/>
      <c r="L520" s="175"/>
      <c r="M520" s="174"/>
      <c r="N520" s="176"/>
      <c r="O520" s="176"/>
      <c r="P520" s="173"/>
      <c r="Q520" s="177"/>
      <c r="R520" s="178"/>
      <c r="S520" s="173"/>
      <c r="T520" s="179"/>
      <c r="U520" s="145"/>
    </row>
    <row r="521" spans="1:21" ht="15" customHeight="1">
      <c r="A521" s="159" t="s">
        <v>2749</v>
      </c>
      <c r="B521" s="114" t="str">
        <f>VLOOKUP(A521,'Data pick slip'!B:F,5,FALSE)</f>
        <v>KHJ-MC500-00</v>
      </c>
      <c r="C521" s="169"/>
      <c r="D521" s="156"/>
      <c r="E521" s="141" t="s">
        <v>2930</v>
      </c>
      <c r="F521" s="170" t="s">
        <v>2773</v>
      </c>
      <c r="G521" s="171">
        <v>10</v>
      </c>
      <c r="H521" s="172"/>
      <c r="I521" s="173"/>
      <c r="J521" s="173"/>
      <c r="K521" s="174"/>
      <c r="L521" s="175"/>
      <c r="M521" s="174"/>
      <c r="N521" s="176"/>
      <c r="O521" s="176"/>
      <c r="P521" s="173"/>
      <c r="Q521" s="177"/>
      <c r="R521" s="178"/>
      <c r="S521" s="173"/>
      <c r="T521" s="179"/>
      <c r="U521" s="145"/>
    </row>
    <row r="522" spans="1:21" ht="15" customHeight="1">
      <c r="A522" s="159" t="s">
        <v>2751</v>
      </c>
      <c r="B522" s="114" t="str">
        <f>VLOOKUP(A522,'Data pick slip'!B:F,5,FALSE)</f>
        <v>KHJ-MC700-00</v>
      </c>
      <c r="C522" s="169"/>
      <c r="D522" s="156"/>
      <c r="E522" s="141" t="s">
        <v>2930</v>
      </c>
      <c r="F522" s="170" t="s">
        <v>2773</v>
      </c>
      <c r="G522" s="171">
        <v>1</v>
      </c>
      <c r="H522" s="172"/>
      <c r="I522" s="173"/>
      <c r="J522" s="173"/>
      <c r="K522" s="174"/>
      <c r="L522" s="175"/>
      <c r="M522" s="174"/>
      <c r="N522" s="176"/>
      <c r="O522" s="176"/>
      <c r="P522" s="173"/>
      <c r="Q522" s="177"/>
      <c r="R522" s="178"/>
      <c r="S522" s="173"/>
      <c r="T522" s="179"/>
      <c r="U522" s="145"/>
    </row>
    <row r="523" spans="1:21" ht="15" customHeight="1">
      <c r="A523" s="159" t="s">
        <v>2744</v>
      </c>
      <c r="B523" s="114" t="str">
        <f>VLOOKUP(A523,'Data pick slip'!B:F,5,FALSE)</f>
        <v>KHJ-MC100-00</v>
      </c>
      <c r="C523" s="169">
        <v>110227</v>
      </c>
      <c r="D523" s="156" t="str">
        <f>VLOOKUP(C523,Stock_list!D:L,2,FALSE)</f>
        <v>锘铧名义下单</v>
      </c>
      <c r="E523" s="160">
        <f>VLOOKUP(C523,Stock_list!D:L,9,FALSE)</f>
        <v>44318</v>
      </c>
      <c r="F523" s="170" t="s">
        <v>1381</v>
      </c>
      <c r="G523" s="171">
        <v>200</v>
      </c>
      <c r="H523" s="172"/>
      <c r="I523" s="173"/>
      <c r="J523" s="173"/>
      <c r="K523" s="174"/>
      <c r="L523" s="175"/>
      <c r="M523" s="174"/>
      <c r="N523" s="176"/>
      <c r="O523" s="176"/>
      <c r="P523" s="173"/>
      <c r="Q523" s="177"/>
      <c r="R523" s="178"/>
      <c r="S523" s="173"/>
      <c r="T523" s="179"/>
      <c r="U523" s="145"/>
    </row>
    <row r="524" spans="1:21" ht="15" customHeight="1">
      <c r="A524" s="159" t="s">
        <v>2747</v>
      </c>
      <c r="B524" s="114" t="str">
        <f>VLOOKUP(A524,'Data pick slip'!B:F,5,FALSE)</f>
        <v>KHJ-MC200-00</v>
      </c>
      <c r="C524" s="169">
        <v>110227</v>
      </c>
      <c r="D524" s="156" t="str">
        <f>VLOOKUP(C524,Stock_list!D:L,2,FALSE)</f>
        <v>锘铧名义下单</v>
      </c>
      <c r="E524" s="160">
        <f>VLOOKUP(C524,Stock_list!D:L,9,FALSE)</f>
        <v>44318</v>
      </c>
      <c r="F524" s="170" t="s">
        <v>1381</v>
      </c>
      <c r="G524" s="171">
        <v>50</v>
      </c>
      <c r="H524" s="172"/>
      <c r="I524" s="173"/>
      <c r="J524" s="173"/>
      <c r="K524" s="174"/>
      <c r="L524" s="175"/>
      <c r="M524" s="174"/>
      <c r="N524" s="176"/>
      <c r="O524" s="176"/>
      <c r="P524" s="173"/>
      <c r="Q524" s="177"/>
      <c r="R524" s="178"/>
      <c r="S524" s="173"/>
      <c r="T524" s="179"/>
      <c r="U524" s="145"/>
    </row>
    <row r="525" spans="1:21" ht="15" customHeight="1">
      <c r="A525" s="181" t="s">
        <v>2748</v>
      </c>
      <c r="B525" s="114" t="str">
        <f>VLOOKUP(A525,'Data pick slip'!B:F,5,FALSE)</f>
        <v>KHJ-MC400-00</v>
      </c>
      <c r="C525" s="169">
        <v>110227</v>
      </c>
      <c r="D525" s="156" t="str">
        <f>VLOOKUP(C525,Stock_list!D:L,2,FALSE)</f>
        <v>锘铧名义下单</v>
      </c>
      <c r="E525" s="160">
        <f>VLOOKUP(C525,Stock_list!D:L,9,FALSE)</f>
        <v>44318</v>
      </c>
      <c r="F525" s="170" t="s">
        <v>1381</v>
      </c>
      <c r="G525" s="171">
        <v>10</v>
      </c>
      <c r="H525" s="172"/>
      <c r="I525" s="173"/>
      <c r="J525" s="173"/>
      <c r="K525" s="174"/>
      <c r="L525" s="175"/>
      <c r="M525" s="174"/>
      <c r="N525" s="176"/>
      <c r="O525" s="176"/>
      <c r="P525" s="173"/>
      <c r="Q525" s="177"/>
      <c r="R525" s="178"/>
      <c r="S525" s="173"/>
      <c r="T525" s="179"/>
      <c r="U525" s="145"/>
    </row>
    <row r="526" spans="1:21" ht="15" customHeight="1">
      <c r="A526" s="159" t="s">
        <v>2749</v>
      </c>
      <c r="B526" s="114" t="str">
        <f>VLOOKUP(A526,'Data pick slip'!B:F,5,FALSE)</f>
        <v>KHJ-MC500-00</v>
      </c>
      <c r="C526" s="169">
        <v>110227</v>
      </c>
      <c r="D526" s="156" t="str">
        <f>VLOOKUP(C526,Stock_list!D:L,2,FALSE)</f>
        <v>锘铧名义下单</v>
      </c>
      <c r="E526" s="160">
        <f>VLOOKUP(C526,Stock_list!D:L,9,FALSE)</f>
        <v>44318</v>
      </c>
      <c r="F526" s="170" t="s">
        <v>1381</v>
      </c>
      <c r="G526" s="171">
        <v>5</v>
      </c>
      <c r="H526" s="172"/>
      <c r="I526" s="173"/>
      <c r="J526" s="173"/>
      <c r="K526" s="174"/>
      <c r="L526" s="175"/>
      <c r="M526" s="174"/>
      <c r="N526" s="176"/>
      <c r="O526" s="176"/>
      <c r="P526" s="173"/>
      <c r="Q526" s="177"/>
      <c r="R526" s="178"/>
      <c r="S526" s="173"/>
      <c r="T526" s="179"/>
      <c r="U526" s="145"/>
    </row>
    <row r="527" spans="1:21" ht="15" customHeight="1">
      <c r="A527" s="159" t="s">
        <v>2750</v>
      </c>
      <c r="B527" s="114" t="str">
        <f>VLOOKUP(A527,'Data pick slip'!B:F,5,FALSE)</f>
        <v>KHJ-MC600-00</v>
      </c>
      <c r="C527" s="169">
        <v>110227</v>
      </c>
      <c r="D527" s="156" t="str">
        <f>VLOOKUP(C527,Stock_list!D:L,2,FALSE)</f>
        <v>锘铧名义下单</v>
      </c>
      <c r="E527" s="160">
        <f>VLOOKUP(C527,Stock_list!D:L,9,FALSE)</f>
        <v>44318</v>
      </c>
      <c r="F527" s="170" t="s">
        <v>1381</v>
      </c>
      <c r="G527" s="171">
        <v>5</v>
      </c>
      <c r="H527" s="172"/>
      <c r="I527" s="173"/>
      <c r="J527" s="173"/>
      <c r="K527" s="174"/>
      <c r="L527" s="175"/>
      <c r="M527" s="174"/>
      <c r="N527" s="176"/>
      <c r="O527" s="176"/>
      <c r="P527" s="173"/>
      <c r="Q527" s="177"/>
      <c r="R527" s="178"/>
      <c r="S527" s="173"/>
      <c r="T527" s="179"/>
      <c r="U527" s="145"/>
    </row>
    <row r="528" spans="1:21" ht="15" customHeight="1">
      <c r="A528" s="159" t="s">
        <v>2751</v>
      </c>
      <c r="B528" s="114" t="str">
        <f>VLOOKUP(A528,'Data pick slip'!B:F,5,FALSE)</f>
        <v>KHJ-MC700-00</v>
      </c>
      <c r="C528" s="169">
        <v>110227</v>
      </c>
      <c r="D528" s="156" t="str">
        <f>VLOOKUP(C528,Stock_list!D:L,2,FALSE)</f>
        <v>锘铧名义下单</v>
      </c>
      <c r="E528" s="160">
        <f>VLOOKUP(C528,Stock_list!D:L,9,FALSE)</f>
        <v>44318</v>
      </c>
      <c r="F528" s="170" t="s">
        <v>1381</v>
      </c>
      <c r="G528" s="171">
        <v>2</v>
      </c>
      <c r="H528" s="172"/>
      <c r="I528" s="173"/>
      <c r="J528" s="173"/>
      <c r="K528" s="174"/>
      <c r="L528" s="175"/>
      <c r="M528" s="174"/>
      <c r="N528" s="176"/>
      <c r="O528" s="176"/>
      <c r="P528" s="173"/>
      <c r="Q528" s="177"/>
      <c r="R528" s="178"/>
      <c r="S528" s="173"/>
      <c r="T528" s="179"/>
      <c r="U528" s="145"/>
    </row>
    <row r="529" spans="1:21" ht="15" customHeight="1">
      <c r="A529" s="159" t="s">
        <v>2744</v>
      </c>
      <c r="B529" s="114" t="str">
        <f>VLOOKUP(A529,'Data pick slip'!B:F,5,FALSE)</f>
        <v>KHJ-MC100-00</v>
      </c>
      <c r="C529" s="169">
        <v>110228</v>
      </c>
      <c r="D529" s="156" t="str">
        <f>VLOOKUP(C529,Stock_list!D:L,2,FALSE)</f>
        <v>锘铧名义下单</v>
      </c>
      <c r="E529" s="160">
        <f>VLOOKUP(C529,Stock_list!D:L,9,FALSE)</f>
        <v>44322</v>
      </c>
      <c r="F529" s="170" t="s">
        <v>1381</v>
      </c>
      <c r="G529" s="171">
        <v>50</v>
      </c>
      <c r="H529" s="172"/>
      <c r="I529" s="173"/>
      <c r="J529" s="173"/>
      <c r="K529" s="174"/>
      <c r="L529" s="175"/>
      <c r="M529" s="174"/>
      <c r="N529" s="176"/>
      <c r="O529" s="176"/>
      <c r="P529" s="173"/>
      <c r="Q529" s="177"/>
      <c r="R529" s="178"/>
      <c r="S529" s="173"/>
      <c r="T529" s="179"/>
      <c r="U529" s="145"/>
    </row>
    <row r="530" spans="1:21" ht="15" customHeight="1">
      <c r="A530" s="159" t="s">
        <v>2747</v>
      </c>
      <c r="B530" s="114" t="str">
        <f>VLOOKUP(A530,'Data pick slip'!B:F,5,FALSE)</f>
        <v>KHJ-MC200-00</v>
      </c>
      <c r="C530" s="169">
        <v>110228</v>
      </c>
      <c r="D530" s="156" t="str">
        <f>VLOOKUP(C530,Stock_list!D:L,2,FALSE)</f>
        <v>锘铧名义下单</v>
      </c>
      <c r="E530" s="160">
        <f>VLOOKUP(C530,Stock_list!D:L,9,FALSE)</f>
        <v>44322</v>
      </c>
      <c r="F530" s="170" t="s">
        <v>1381</v>
      </c>
      <c r="G530" s="171">
        <v>20</v>
      </c>
      <c r="H530" s="172"/>
      <c r="I530" s="173"/>
      <c r="J530" s="173"/>
      <c r="K530" s="174"/>
      <c r="L530" s="175"/>
      <c r="M530" s="174"/>
      <c r="N530" s="176"/>
      <c r="O530" s="176"/>
      <c r="P530" s="173"/>
      <c r="Q530" s="177"/>
      <c r="R530" s="178"/>
      <c r="S530" s="173"/>
      <c r="T530" s="179"/>
      <c r="U530" s="145"/>
    </row>
    <row r="531" spans="1:21" ht="15" customHeight="1">
      <c r="A531" s="159" t="s">
        <v>2744</v>
      </c>
      <c r="B531" s="114" t="str">
        <f>VLOOKUP(A531,'Data pick slip'!B:F,5,FALSE)</f>
        <v>KHJ-MC100-00</v>
      </c>
      <c r="C531" s="169">
        <v>110348</v>
      </c>
      <c r="D531" s="156" t="str">
        <f>VLOOKUP(C531,Stock_list!D:L,2,FALSE)</f>
        <v>Stock order</v>
      </c>
      <c r="E531" s="160">
        <f>VLOOKUP(C531,Stock_list!D:L,9,FALSE)</f>
        <v>44287</v>
      </c>
      <c r="F531" s="170" t="s">
        <v>1381</v>
      </c>
      <c r="G531" s="171">
        <v>300</v>
      </c>
      <c r="H531" s="172"/>
      <c r="I531" s="173"/>
      <c r="J531" s="173"/>
      <c r="K531" s="174"/>
      <c r="L531" s="175"/>
      <c r="M531" s="174"/>
      <c r="N531" s="176"/>
      <c r="O531" s="176"/>
      <c r="P531" s="173"/>
      <c r="Q531" s="177"/>
      <c r="R531" s="178"/>
      <c r="S531" s="173"/>
      <c r="T531" s="179"/>
      <c r="U531" s="145"/>
    </row>
    <row r="532" spans="1:21" ht="15" customHeight="1">
      <c r="A532" s="159" t="s">
        <v>2747</v>
      </c>
      <c r="B532" s="114" t="str">
        <f>VLOOKUP(A532,'Data pick slip'!B:F,5,FALSE)</f>
        <v>KHJ-MC200-00</v>
      </c>
      <c r="C532" s="169">
        <v>110348</v>
      </c>
      <c r="D532" s="156" t="str">
        <f>VLOOKUP(C532,Stock_list!D:L,2,FALSE)</f>
        <v>Stock order</v>
      </c>
      <c r="E532" s="160">
        <f>VLOOKUP(C532,Stock_list!D:L,9,FALSE)</f>
        <v>44287</v>
      </c>
      <c r="F532" s="170" t="s">
        <v>1381</v>
      </c>
      <c r="G532" s="171">
        <v>150</v>
      </c>
      <c r="H532" s="172"/>
      <c r="I532" s="173"/>
      <c r="J532" s="173"/>
      <c r="K532" s="174"/>
      <c r="L532" s="175"/>
      <c r="M532" s="174"/>
      <c r="N532" s="176"/>
      <c r="O532" s="176"/>
      <c r="P532" s="173"/>
      <c r="Q532" s="177"/>
      <c r="R532" s="178"/>
      <c r="S532" s="173"/>
      <c r="T532" s="179"/>
      <c r="U532" s="145"/>
    </row>
    <row r="533" spans="1:21" ht="15" customHeight="1">
      <c r="A533" s="181" t="s">
        <v>2748</v>
      </c>
      <c r="B533" s="114" t="str">
        <f>VLOOKUP(A533,'Data pick slip'!B:F,5,FALSE)</f>
        <v>KHJ-MC400-00</v>
      </c>
      <c r="C533" s="169">
        <v>110348</v>
      </c>
      <c r="D533" s="156" t="str">
        <f>VLOOKUP(C533,Stock_list!D:L,2,FALSE)</f>
        <v>Stock order</v>
      </c>
      <c r="E533" s="160">
        <f>VLOOKUP(C533,Stock_list!D:L,9,FALSE)</f>
        <v>44287</v>
      </c>
      <c r="F533" s="170" t="s">
        <v>1381</v>
      </c>
      <c r="G533" s="171">
        <v>30</v>
      </c>
      <c r="H533" s="172"/>
      <c r="I533" s="173"/>
      <c r="J533" s="173"/>
      <c r="K533" s="174"/>
      <c r="L533" s="175"/>
      <c r="M533" s="174"/>
      <c r="N533" s="176"/>
      <c r="O533" s="176"/>
      <c r="P533" s="173"/>
      <c r="Q533" s="177"/>
      <c r="R533" s="178"/>
      <c r="S533" s="173"/>
      <c r="T533" s="179"/>
      <c r="U533" s="145"/>
    </row>
    <row r="534" spans="1:21" ht="15" customHeight="1">
      <c r="A534" s="159" t="s">
        <v>2744</v>
      </c>
      <c r="B534" s="114" t="str">
        <f>VLOOKUP(A534,'Data pick slip'!B:F,5,FALSE)</f>
        <v>KHJ-MC100-00</v>
      </c>
      <c r="C534" s="169">
        <v>110236</v>
      </c>
      <c r="D534" s="156" t="str">
        <f>VLOOKUP(C534,Stock_list!D:L,2,FALSE)</f>
        <v>音品名义下单</v>
      </c>
      <c r="E534" s="160">
        <f>VLOOKUP(C534,Stock_list!D:L,9,FALSE)</f>
        <v>44338</v>
      </c>
      <c r="F534" s="170" t="s">
        <v>1381</v>
      </c>
      <c r="G534" s="171">
        <v>400</v>
      </c>
      <c r="H534" s="172"/>
      <c r="I534" s="173"/>
      <c r="J534" s="173"/>
      <c r="K534" s="174"/>
      <c r="L534" s="175"/>
      <c r="M534" s="174"/>
      <c r="N534" s="176"/>
      <c r="O534" s="176"/>
      <c r="P534" s="173"/>
      <c r="Q534" s="177"/>
      <c r="R534" s="178"/>
      <c r="S534" s="173"/>
      <c r="T534" s="179"/>
      <c r="U534" s="145"/>
    </row>
    <row r="535" spans="1:21" ht="15" customHeight="1">
      <c r="A535" s="159" t="s">
        <v>2747</v>
      </c>
      <c r="B535" s="114" t="str">
        <f>VLOOKUP(A535,'Data pick slip'!B:F,5,FALSE)</f>
        <v>KHJ-MC200-00</v>
      </c>
      <c r="C535" s="169">
        <v>110236</v>
      </c>
      <c r="D535" s="156" t="str">
        <f>VLOOKUP(C535,Stock_list!D:L,2,FALSE)</f>
        <v>音品名义下单</v>
      </c>
      <c r="E535" s="160">
        <f>VLOOKUP(C535,Stock_list!D:L,9,FALSE)</f>
        <v>44338</v>
      </c>
      <c r="F535" s="170" t="s">
        <v>1381</v>
      </c>
      <c r="G535" s="171">
        <v>50</v>
      </c>
      <c r="H535" s="172"/>
      <c r="I535" s="173"/>
      <c r="J535" s="173"/>
      <c r="K535" s="174"/>
      <c r="L535" s="175"/>
      <c r="M535" s="174"/>
      <c r="N535" s="176"/>
      <c r="O535" s="176"/>
      <c r="P535" s="173"/>
      <c r="Q535" s="177"/>
      <c r="R535" s="178"/>
      <c r="S535" s="173"/>
      <c r="T535" s="179"/>
      <c r="U535" s="145"/>
    </row>
    <row r="536" spans="1:21" ht="15" customHeight="1">
      <c r="A536" s="181" t="s">
        <v>2748</v>
      </c>
      <c r="B536" s="114" t="str">
        <f>VLOOKUP(A536,'Data pick slip'!B:F,5,FALSE)</f>
        <v>KHJ-MC400-00</v>
      </c>
      <c r="C536" s="169">
        <v>110236</v>
      </c>
      <c r="D536" s="156" t="str">
        <f>VLOOKUP(C536,Stock_list!D:L,2,FALSE)</f>
        <v>音品名义下单</v>
      </c>
      <c r="E536" s="160">
        <f>VLOOKUP(C536,Stock_list!D:L,9,FALSE)</f>
        <v>44338</v>
      </c>
      <c r="F536" s="170" t="s">
        <v>1381</v>
      </c>
      <c r="G536" s="171">
        <v>40</v>
      </c>
      <c r="H536" s="172"/>
      <c r="I536" s="173"/>
      <c r="J536" s="173"/>
      <c r="K536" s="174"/>
      <c r="L536" s="175"/>
      <c r="M536" s="174"/>
      <c r="N536" s="176"/>
      <c r="O536" s="176"/>
      <c r="P536" s="173"/>
      <c r="Q536" s="177"/>
      <c r="R536" s="178"/>
      <c r="S536" s="173"/>
      <c r="T536" s="179"/>
      <c r="U536" s="145"/>
    </row>
    <row r="537" spans="1:21" ht="15" customHeight="1">
      <c r="A537" s="159" t="s">
        <v>2744</v>
      </c>
      <c r="B537" s="114" t="str">
        <f>VLOOKUP(A537,'Data pick slip'!B:F,5,FALSE)</f>
        <v>KHJ-MC100-00</v>
      </c>
      <c r="C537" s="169">
        <v>110237</v>
      </c>
      <c r="D537" s="156" t="str">
        <f>VLOOKUP(C537,Stock_list!D:L,2,FALSE)</f>
        <v>音品名义下单</v>
      </c>
      <c r="E537" s="160">
        <f>VLOOKUP(C537,Stock_list!D:L,9,FALSE)</f>
        <v>44259</v>
      </c>
      <c r="F537" s="170" t="s">
        <v>1381</v>
      </c>
      <c r="G537" s="171">
        <v>50</v>
      </c>
      <c r="H537" s="172"/>
      <c r="I537" s="173"/>
      <c r="J537" s="173"/>
      <c r="K537" s="174"/>
      <c r="L537" s="175"/>
      <c r="M537" s="174"/>
      <c r="N537" s="176"/>
      <c r="O537" s="176"/>
      <c r="P537" s="173"/>
      <c r="Q537" s="177"/>
      <c r="R537" s="178"/>
      <c r="S537" s="173"/>
      <c r="T537" s="179"/>
      <c r="U537" s="145"/>
    </row>
    <row r="538" spans="1:21" ht="15" customHeight="1">
      <c r="A538" s="159" t="s">
        <v>2747</v>
      </c>
      <c r="B538" s="114" t="str">
        <f>VLOOKUP(A538,'Data pick slip'!B:F,5,FALSE)</f>
        <v>KHJ-MC200-00</v>
      </c>
      <c r="C538" s="169">
        <v>110237</v>
      </c>
      <c r="D538" s="156" t="str">
        <f>VLOOKUP(C538,Stock_list!D:L,2,FALSE)</f>
        <v>音品名义下单</v>
      </c>
      <c r="E538" s="160">
        <f>VLOOKUP(C538,Stock_list!D:L,9,FALSE)</f>
        <v>44259</v>
      </c>
      <c r="F538" s="170" t="s">
        <v>1381</v>
      </c>
      <c r="G538" s="171">
        <v>50</v>
      </c>
      <c r="H538" s="172"/>
      <c r="I538" s="173"/>
      <c r="J538" s="173"/>
      <c r="K538" s="174"/>
      <c r="L538" s="175"/>
      <c r="M538" s="174"/>
      <c r="N538" s="176"/>
      <c r="O538" s="176"/>
      <c r="P538" s="173"/>
      <c r="Q538" s="177"/>
      <c r="R538" s="178"/>
      <c r="S538" s="173"/>
      <c r="T538" s="179"/>
      <c r="U538" s="145"/>
    </row>
    <row r="539" spans="1:21" ht="15" customHeight="1">
      <c r="A539" s="181" t="s">
        <v>2748</v>
      </c>
      <c r="B539" s="114" t="str">
        <f>VLOOKUP(A539,'Data pick slip'!B:F,5,FALSE)</f>
        <v>KHJ-MC400-00</v>
      </c>
      <c r="C539" s="169">
        <v>110237</v>
      </c>
      <c r="D539" s="156" t="str">
        <f>VLOOKUP(C539,Stock_list!D:L,2,FALSE)</f>
        <v>音品名义下单</v>
      </c>
      <c r="E539" s="160">
        <f>VLOOKUP(C539,Stock_list!D:L,9,FALSE)</f>
        <v>44259</v>
      </c>
      <c r="F539" s="170" t="s">
        <v>1381</v>
      </c>
      <c r="G539" s="282">
        <v>10</v>
      </c>
      <c r="H539" s="172"/>
      <c r="I539" s="173"/>
      <c r="J539" s="173"/>
      <c r="K539" s="174"/>
      <c r="L539" s="175"/>
      <c r="M539" s="174"/>
      <c r="N539" s="176"/>
      <c r="O539" s="176"/>
      <c r="P539" s="173"/>
      <c r="Q539" s="177"/>
      <c r="R539" s="178"/>
      <c r="S539" s="173"/>
      <c r="T539" s="179"/>
      <c r="U539" s="145"/>
    </row>
    <row r="540" spans="1:21" ht="15" customHeight="1">
      <c r="A540" s="159" t="s">
        <v>2744</v>
      </c>
      <c r="B540" s="114" t="str">
        <f>VLOOKUP(A540,'Data pick slip'!B:F,5,FALSE)</f>
        <v>KHJ-MC100-00</v>
      </c>
      <c r="C540" s="169">
        <v>110244</v>
      </c>
      <c r="D540" s="156" t="str">
        <f>VLOOKUP(C540,Stock_list!D:L,2,FALSE)</f>
        <v>Stock order</v>
      </c>
      <c r="E540" s="160">
        <f>VLOOKUP(C540,Stock_list!D:L,9,FALSE)</f>
        <v>44322</v>
      </c>
      <c r="F540" s="170" t="s">
        <v>1381</v>
      </c>
      <c r="G540" s="171">
        <v>200</v>
      </c>
      <c r="H540" s="172"/>
      <c r="I540" s="173"/>
      <c r="J540" s="173"/>
      <c r="K540" s="174"/>
      <c r="L540" s="175"/>
      <c r="M540" s="174"/>
      <c r="N540" s="176"/>
      <c r="O540" s="176"/>
      <c r="P540" s="173"/>
      <c r="Q540" s="177"/>
      <c r="R540" s="178"/>
      <c r="S540" s="173"/>
      <c r="T540" s="179"/>
      <c r="U540" s="145"/>
    </row>
    <row r="541" spans="1:21" ht="15" customHeight="1">
      <c r="A541" s="159" t="s">
        <v>2747</v>
      </c>
      <c r="B541" s="114" t="str">
        <f>VLOOKUP(A541,'Data pick slip'!B:F,5,FALSE)</f>
        <v>KHJ-MC200-00</v>
      </c>
      <c r="C541" s="169">
        <v>110244</v>
      </c>
      <c r="D541" s="156" t="str">
        <f>VLOOKUP(C541,Stock_list!D:L,2,FALSE)</f>
        <v>Stock order</v>
      </c>
      <c r="E541" s="160">
        <f>VLOOKUP(C541,Stock_list!D:L,9,FALSE)</f>
        <v>44322</v>
      </c>
      <c r="F541" s="170" t="s">
        <v>1381</v>
      </c>
      <c r="G541" s="171">
        <v>100</v>
      </c>
      <c r="H541" s="172"/>
      <c r="I541" s="173"/>
      <c r="J541" s="173"/>
      <c r="K541" s="174"/>
      <c r="L541" s="175"/>
      <c r="M541" s="174"/>
      <c r="N541" s="176"/>
      <c r="O541" s="176"/>
      <c r="P541" s="173"/>
      <c r="Q541" s="177"/>
      <c r="R541" s="178"/>
      <c r="S541" s="173"/>
      <c r="T541" s="179"/>
      <c r="U541" s="145"/>
    </row>
    <row r="542" spans="1:21" ht="15" customHeight="1">
      <c r="A542" s="181" t="s">
        <v>2748</v>
      </c>
      <c r="B542" s="114" t="str">
        <f>VLOOKUP(A542,'Data pick slip'!B:F,5,FALSE)</f>
        <v>KHJ-MC400-00</v>
      </c>
      <c r="C542" s="169">
        <v>110244</v>
      </c>
      <c r="D542" s="156" t="str">
        <f>VLOOKUP(C542,Stock_list!D:L,2,FALSE)</f>
        <v>Stock order</v>
      </c>
      <c r="E542" s="160">
        <f>VLOOKUP(C542,Stock_list!D:L,9,FALSE)</f>
        <v>44322</v>
      </c>
      <c r="F542" s="170" t="s">
        <v>1381</v>
      </c>
      <c r="G542" s="171">
        <v>20</v>
      </c>
      <c r="H542" s="172"/>
      <c r="I542" s="173"/>
      <c r="J542" s="173"/>
      <c r="K542" s="174"/>
      <c r="L542" s="175"/>
      <c r="M542" s="174"/>
      <c r="N542" s="176"/>
      <c r="O542" s="176"/>
      <c r="P542" s="173"/>
      <c r="Q542" s="177"/>
      <c r="R542" s="178"/>
      <c r="S542" s="173"/>
      <c r="T542" s="179"/>
      <c r="U542" s="145"/>
    </row>
    <row r="543" spans="1:21" ht="15" customHeight="1">
      <c r="A543" s="181" t="s">
        <v>2749</v>
      </c>
      <c r="B543" s="114" t="str">
        <f>VLOOKUP(A543,'Data pick slip'!B:F,5,FALSE)</f>
        <v>KHJ-MC500-00</v>
      </c>
      <c r="C543" s="169">
        <v>110244</v>
      </c>
      <c r="D543" s="156" t="str">
        <f>VLOOKUP(C543,Stock_list!D:L,2,FALSE)</f>
        <v>Stock order</v>
      </c>
      <c r="E543" s="160">
        <f>VLOOKUP(C543,Stock_list!D:L,9,FALSE)</f>
        <v>44322</v>
      </c>
      <c r="F543" s="170" t="s">
        <v>1381</v>
      </c>
      <c r="G543" s="171">
        <v>10</v>
      </c>
      <c r="H543" s="172"/>
      <c r="I543" s="173"/>
      <c r="J543" s="173"/>
      <c r="K543" s="174"/>
      <c r="L543" s="175"/>
      <c r="M543" s="174"/>
      <c r="N543" s="176"/>
      <c r="O543" s="176"/>
      <c r="P543" s="173"/>
      <c r="Q543" s="177"/>
      <c r="R543" s="178"/>
      <c r="S543" s="173"/>
      <c r="T543" s="179"/>
      <c r="U543" s="145"/>
    </row>
    <row r="544" spans="1:21" ht="15" customHeight="1">
      <c r="A544" s="181" t="s">
        <v>2750</v>
      </c>
      <c r="B544" s="114" t="str">
        <f>VLOOKUP(A544,'Data pick slip'!B:F,5,FALSE)</f>
        <v>KHJ-MC600-00</v>
      </c>
      <c r="C544" s="169">
        <v>110244</v>
      </c>
      <c r="D544" s="156" t="str">
        <f>VLOOKUP(C544,Stock_list!D:L,2,FALSE)</f>
        <v>Stock order</v>
      </c>
      <c r="E544" s="160">
        <f>VLOOKUP(C544,Stock_list!D:L,9,FALSE)</f>
        <v>44322</v>
      </c>
      <c r="F544" s="170" t="s">
        <v>1381</v>
      </c>
      <c r="G544" s="171">
        <v>5</v>
      </c>
      <c r="H544" s="172"/>
      <c r="I544" s="173"/>
      <c r="J544" s="173"/>
      <c r="K544" s="174"/>
      <c r="L544" s="175"/>
      <c r="M544" s="174"/>
      <c r="N544" s="176"/>
      <c r="O544" s="176"/>
      <c r="P544" s="173"/>
      <c r="Q544" s="177"/>
      <c r="R544" s="178"/>
      <c r="S544" s="173"/>
      <c r="T544" s="179"/>
      <c r="U544" s="145"/>
    </row>
    <row r="545" spans="1:21" ht="15" customHeight="1">
      <c r="A545" s="159" t="s">
        <v>2744</v>
      </c>
      <c r="B545" s="114" t="str">
        <f>VLOOKUP(A545,'Data pick slip'!B:F,5,FALSE)</f>
        <v>KHJ-MC100-00</v>
      </c>
      <c r="C545" s="169">
        <v>110245</v>
      </c>
      <c r="D545" s="156" t="str">
        <f>VLOOKUP(C545,Stock_list!D:L,2,FALSE)</f>
        <v>Stock order</v>
      </c>
      <c r="E545" s="160">
        <f>VLOOKUP(C545,Stock_list!D:L,9,FALSE)</f>
        <v>44309</v>
      </c>
      <c r="F545" s="170" t="s">
        <v>1381</v>
      </c>
      <c r="G545" s="171">
        <v>300</v>
      </c>
      <c r="H545" s="172"/>
      <c r="I545" s="173"/>
      <c r="J545" s="173"/>
      <c r="K545" s="174"/>
      <c r="L545" s="175"/>
      <c r="M545" s="174"/>
      <c r="N545" s="176"/>
      <c r="O545" s="176"/>
      <c r="P545" s="173"/>
      <c r="Q545" s="177"/>
      <c r="R545" s="178"/>
      <c r="S545" s="173"/>
      <c r="T545" s="179"/>
      <c r="U545" s="145"/>
    </row>
    <row r="546" spans="1:21" ht="15" customHeight="1">
      <c r="A546" s="159" t="s">
        <v>2747</v>
      </c>
      <c r="B546" s="114" t="str">
        <f>VLOOKUP(A546,'Data pick slip'!B:F,5,FALSE)</f>
        <v>KHJ-MC200-00</v>
      </c>
      <c r="C546" s="169">
        <v>110245</v>
      </c>
      <c r="D546" s="156" t="str">
        <f>VLOOKUP(C546,Stock_list!D:L,2,FALSE)</f>
        <v>Stock order</v>
      </c>
      <c r="E546" s="160">
        <f>VLOOKUP(C546,Stock_list!D:L,9,FALSE)</f>
        <v>44309</v>
      </c>
      <c r="F546" s="170" t="s">
        <v>1381</v>
      </c>
      <c r="G546" s="171">
        <v>20</v>
      </c>
      <c r="H546" s="172"/>
      <c r="I546" s="173"/>
      <c r="J546" s="173"/>
      <c r="K546" s="174"/>
      <c r="L546" s="175"/>
      <c r="M546" s="174"/>
      <c r="N546" s="176"/>
      <c r="O546" s="176"/>
      <c r="P546" s="173"/>
      <c r="Q546" s="177"/>
      <c r="R546" s="178"/>
      <c r="S546" s="173"/>
      <c r="T546" s="179"/>
      <c r="U546" s="145"/>
    </row>
    <row r="547" spans="1:21" ht="15" customHeight="1">
      <c r="A547" s="159" t="s">
        <v>2744</v>
      </c>
      <c r="B547" s="114" t="str">
        <f>VLOOKUP(A547,'Data pick slip'!B:F,5,FALSE)</f>
        <v>KHJ-MC100-00</v>
      </c>
      <c r="C547" s="169">
        <v>110246</v>
      </c>
      <c r="D547" s="156" t="str">
        <f>VLOOKUP(C547,Stock_list!D:L,2,FALSE)</f>
        <v>Stock order</v>
      </c>
      <c r="E547" s="160">
        <f>VLOOKUP(C547,Stock_list!D:L,9,FALSE)</f>
        <v>44338</v>
      </c>
      <c r="F547" s="170" t="s">
        <v>1381</v>
      </c>
      <c r="G547" s="171">
        <v>300</v>
      </c>
      <c r="H547" s="172"/>
      <c r="I547" s="173"/>
      <c r="J547" s="173"/>
      <c r="K547" s="174"/>
      <c r="L547" s="175"/>
      <c r="M547" s="174"/>
      <c r="N547" s="176"/>
      <c r="O547" s="176"/>
      <c r="P547" s="173"/>
      <c r="Q547" s="177"/>
      <c r="R547" s="178"/>
      <c r="S547" s="173"/>
      <c r="T547" s="179"/>
      <c r="U547" s="145"/>
    </row>
    <row r="548" spans="1:21" ht="15" customHeight="1">
      <c r="A548" s="159" t="s">
        <v>2747</v>
      </c>
      <c r="B548" s="114" t="str">
        <f>VLOOKUP(A548,'Data pick slip'!B:F,5,FALSE)</f>
        <v>KHJ-MC200-00</v>
      </c>
      <c r="C548" s="169">
        <v>110246</v>
      </c>
      <c r="D548" s="156" t="str">
        <f>VLOOKUP(C548,Stock_list!D:L,2,FALSE)</f>
        <v>Stock order</v>
      </c>
      <c r="E548" s="160">
        <f>VLOOKUP(C548,Stock_list!D:L,9,FALSE)</f>
        <v>44338</v>
      </c>
      <c r="F548" s="170" t="s">
        <v>1381</v>
      </c>
      <c r="G548" s="171">
        <v>200</v>
      </c>
      <c r="H548" s="172"/>
      <c r="I548" s="173"/>
      <c r="J548" s="173"/>
      <c r="K548" s="174"/>
      <c r="L548" s="175"/>
      <c r="M548" s="174"/>
      <c r="N548" s="176"/>
      <c r="O548" s="176"/>
      <c r="P548" s="173"/>
      <c r="Q548" s="177"/>
      <c r="R548" s="178"/>
      <c r="S548" s="173"/>
      <c r="T548" s="179"/>
      <c r="U548" s="145"/>
    </row>
    <row r="549" spans="1:21" ht="15" customHeight="1">
      <c r="A549" s="181" t="s">
        <v>2748</v>
      </c>
      <c r="B549" s="114" t="str">
        <f>VLOOKUP(A549,'Data pick slip'!B:F,5,FALSE)</f>
        <v>KHJ-MC400-00</v>
      </c>
      <c r="C549" s="169">
        <v>110246</v>
      </c>
      <c r="D549" s="156" t="str">
        <f>VLOOKUP(C549,Stock_list!D:L,2,FALSE)</f>
        <v>Stock order</v>
      </c>
      <c r="E549" s="160">
        <f>VLOOKUP(C549,Stock_list!D:L,9,FALSE)</f>
        <v>44338</v>
      </c>
      <c r="F549" s="170" t="s">
        <v>1381</v>
      </c>
      <c r="G549" s="171">
        <v>50</v>
      </c>
      <c r="H549" s="172"/>
      <c r="I549" s="173"/>
      <c r="J549" s="173"/>
      <c r="K549" s="174"/>
      <c r="L549" s="175"/>
      <c r="M549" s="174"/>
      <c r="N549" s="176"/>
      <c r="O549" s="176"/>
      <c r="P549" s="173"/>
      <c r="Q549" s="177"/>
      <c r="R549" s="178"/>
      <c r="S549" s="173"/>
      <c r="T549" s="179"/>
      <c r="U549" s="145"/>
    </row>
    <row r="550" spans="1:21" ht="15" customHeight="1">
      <c r="A550" s="181" t="s">
        <v>2749</v>
      </c>
      <c r="B550" s="114" t="str">
        <f>VLOOKUP(A550,'Data pick slip'!B:F,5,FALSE)</f>
        <v>KHJ-MC500-00</v>
      </c>
      <c r="C550" s="169">
        <v>110246</v>
      </c>
      <c r="D550" s="156" t="str">
        <f>VLOOKUP(C550,Stock_list!D:L,2,FALSE)</f>
        <v>Stock order</v>
      </c>
      <c r="E550" s="160">
        <f>VLOOKUP(C550,Stock_list!D:L,9,FALSE)</f>
        <v>44338</v>
      </c>
      <c r="F550" s="170" t="s">
        <v>1381</v>
      </c>
      <c r="G550" s="171">
        <v>20</v>
      </c>
      <c r="H550" s="172"/>
      <c r="I550" s="173"/>
      <c r="J550" s="173"/>
      <c r="K550" s="174"/>
      <c r="L550" s="175"/>
      <c r="M550" s="174"/>
      <c r="N550" s="176"/>
      <c r="O550" s="176"/>
      <c r="P550" s="173"/>
      <c r="Q550" s="177"/>
      <c r="R550" s="178"/>
      <c r="S550" s="173"/>
      <c r="T550" s="179"/>
      <c r="U550" s="145"/>
    </row>
    <row r="551" spans="1:21" ht="15" customHeight="1">
      <c r="A551" s="181" t="s">
        <v>2750</v>
      </c>
      <c r="B551" s="114" t="str">
        <f>VLOOKUP(A551,'Data pick slip'!B:F,5,FALSE)</f>
        <v>KHJ-MC600-00</v>
      </c>
      <c r="C551" s="169">
        <v>110246</v>
      </c>
      <c r="D551" s="156" t="str">
        <f>VLOOKUP(C551,Stock_list!D:L,2,FALSE)</f>
        <v>Stock order</v>
      </c>
      <c r="E551" s="160">
        <f>VLOOKUP(C551,Stock_list!D:L,9,FALSE)</f>
        <v>44338</v>
      </c>
      <c r="F551" s="170" t="s">
        <v>1381</v>
      </c>
      <c r="G551" s="171">
        <v>10</v>
      </c>
      <c r="H551" s="172"/>
      <c r="I551" s="173"/>
      <c r="J551" s="173"/>
      <c r="K551" s="174"/>
      <c r="L551" s="175"/>
      <c r="M551" s="174"/>
      <c r="N551" s="176"/>
      <c r="O551" s="176"/>
      <c r="P551" s="173"/>
      <c r="Q551" s="177"/>
      <c r="R551" s="178"/>
      <c r="S551" s="173"/>
      <c r="T551" s="179"/>
      <c r="U551" s="145"/>
    </row>
    <row r="552" spans="1:21" ht="15" customHeight="1">
      <c r="A552" s="181" t="s">
        <v>2751</v>
      </c>
      <c r="B552" s="114" t="str">
        <f>VLOOKUP(A552,'Data pick slip'!B:F,5,FALSE)</f>
        <v>KHJ-MC700-00</v>
      </c>
      <c r="C552" s="169">
        <v>110246</v>
      </c>
      <c r="D552" s="156" t="str">
        <f>VLOOKUP(C552,Stock_list!D:L,2,FALSE)</f>
        <v>Stock order</v>
      </c>
      <c r="E552" s="160">
        <f>VLOOKUP(C552,Stock_list!D:L,9,FALSE)</f>
        <v>44338</v>
      </c>
      <c r="F552" s="170" t="s">
        <v>1381</v>
      </c>
      <c r="G552" s="171">
        <v>3</v>
      </c>
      <c r="H552" s="172"/>
      <c r="I552" s="173"/>
      <c r="J552" s="173"/>
      <c r="K552" s="174"/>
      <c r="L552" s="175"/>
      <c r="M552" s="174"/>
      <c r="N552" s="176"/>
      <c r="O552" s="176"/>
      <c r="P552" s="173"/>
      <c r="Q552" s="177"/>
      <c r="R552" s="178"/>
      <c r="S552" s="173"/>
      <c r="T552" s="179"/>
      <c r="U552" s="145"/>
    </row>
    <row r="553" spans="1:21" ht="15" customHeight="1">
      <c r="A553" s="159" t="s">
        <v>2744</v>
      </c>
      <c r="B553" s="114" t="str">
        <f>VLOOKUP(A553,'Data pick slip'!B:F,5,FALSE)</f>
        <v>KHJ-MC100-00</v>
      </c>
      <c r="C553" s="169">
        <v>110436</v>
      </c>
      <c r="D553" s="156" t="str">
        <f>VLOOKUP(C553,Stock_list!D:L,2,FALSE)</f>
        <v>Stock order</v>
      </c>
      <c r="E553" s="160">
        <f>VLOOKUP(C553,Stock_list!D:L,9,FALSE)</f>
        <v>44688</v>
      </c>
      <c r="F553" s="170" t="s">
        <v>1381</v>
      </c>
      <c r="G553" s="171">
        <v>200</v>
      </c>
      <c r="H553" s="172"/>
      <c r="I553" s="173"/>
      <c r="J553" s="173"/>
      <c r="K553" s="174"/>
      <c r="L553" s="175"/>
      <c r="M553" s="174"/>
      <c r="N553" s="176"/>
      <c r="O553" s="176"/>
      <c r="P553" s="173"/>
      <c r="Q553" s="177"/>
      <c r="R553" s="178"/>
      <c r="S553" s="173"/>
      <c r="T553" s="179"/>
      <c r="U553" s="145"/>
    </row>
    <row r="554" spans="1:21" ht="15" customHeight="1">
      <c r="A554" s="159" t="s">
        <v>2744</v>
      </c>
      <c r="B554" s="114" t="str">
        <f>VLOOKUP(A554,'Data pick slip'!B:F,5,FALSE)</f>
        <v>KHJ-MC100-00</v>
      </c>
      <c r="C554" s="169">
        <v>110416</v>
      </c>
      <c r="D554" s="156" t="str">
        <f>VLOOKUP(C554,Stock_list!D:L,2,FALSE)</f>
        <v>Stock order</v>
      </c>
      <c r="E554" s="160">
        <f>VLOOKUP(C554,Stock_list!D:L,9,FALSE)</f>
        <v>44322</v>
      </c>
      <c r="F554" s="170" t="s">
        <v>1381</v>
      </c>
      <c r="G554" s="171">
        <v>400</v>
      </c>
      <c r="H554" s="172"/>
      <c r="I554" s="173"/>
      <c r="J554" s="173"/>
      <c r="K554" s="174"/>
      <c r="L554" s="175"/>
      <c r="M554" s="174"/>
      <c r="N554" s="176"/>
      <c r="O554" s="176"/>
      <c r="P554" s="173"/>
      <c r="Q554" s="177"/>
      <c r="R554" s="178"/>
      <c r="S554" s="173"/>
      <c r="T554" s="179"/>
      <c r="U554" s="145"/>
    </row>
    <row r="555" spans="1:21" ht="15" customHeight="1">
      <c r="A555" s="159" t="s">
        <v>2747</v>
      </c>
      <c r="B555" s="114" t="str">
        <f>VLOOKUP(A555,'Data pick slip'!B:F,5,FALSE)</f>
        <v>KHJ-MC200-00</v>
      </c>
      <c r="C555" s="169">
        <v>110416</v>
      </c>
      <c r="D555" s="156" t="str">
        <f>VLOOKUP(C555,Stock_list!D:L,2,FALSE)</f>
        <v>Stock order</v>
      </c>
      <c r="E555" s="160">
        <f>VLOOKUP(C555,Stock_list!D:L,9,FALSE)</f>
        <v>44322</v>
      </c>
      <c r="F555" s="170" t="s">
        <v>1381</v>
      </c>
      <c r="G555" s="171">
        <v>120</v>
      </c>
      <c r="H555" s="172"/>
      <c r="I555" s="173"/>
      <c r="J555" s="173"/>
      <c r="K555" s="174"/>
      <c r="L555" s="175"/>
      <c r="M555" s="174"/>
      <c r="N555" s="176"/>
      <c r="O555" s="176"/>
      <c r="P555" s="173"/>
      <c r="Q555" s="177"/>
      <c r="R555" s="178"/>
      <c r="S555" s="173"/>
      <c r="T555" s="179"/>
      <c r="U555" s="145"/>
    </row>
    <row r="556" spans="1:21" ht="15" customHeight="1">
      <c r="A556" s="181" t="s">
        <v>2748</v>
      </c>
      <c r="B556" s="114" t="str">
        <f>VLOOKUP(A556,'Data pick slip'!B:F,5,FALSE)</f>
        <v>KHJ-MC400-00</v>
      </c>
      <c r="C556" s="169">
        <v>110416</v>
      </c>
      <c r="D556" s="156" t="str">
        <f>VLOOKUP(C556,Stock_list!D:L,2,FALSE)</f>
        <v>Stock order</v>
      </c>
      <c r="E556" s="160">
        <f>VLOOKUP(C556,Stock_list!D:L,9,FALSE)</f>
        <v>44322</v>
      </c>
      <c r="F556" s="170" t="s">
        <v>1381</v>
      </c>
      <c r="G556" s="171">
        <v>50</v>
      </c>
      <c r="H556" s="172"/>
      <c r="I556" s="173"/>
      <c r="J556" s="173"/>
      <c r="K556" s="174"/>
      <c r="L556" s="175"/>
      <c r="M556" s="174"/>
      <c r="N556" s="176"/>
      <c r="O556" s="176"/>
      <c r="P556" s="173"/>
      <c r="Q556" s="177"/>
      <c r="R556" s="178"/>
      <c r="S556" s="173"/>
      <c r="T556" s="179"/>
      <c r="U556" s="145"/>
    </row>
    <row r="557" spans="1:21" ht="15" customHeight="1">
      <c r="A557" s="159" t="s">
        <v>2744</v>
      </c>
      <c r="B557" s="114" t="str">
        <f>VLOOKUP(A557,'Data pick slip'!B:F,5,FALSE)</f>
        <v>KHJ-MC100-00</v>
      </c>
      <c r="C557" s="169">
        <v>110437</v>
      </c>
      <c r="D557" s="156" t="str">
        <f>VLOOKUP(C557,Stock_list!D:L,2,FALSE)</f>
        <v>Stock order</v>
      </c>
      <c r="E557" s="160">
        <f>VLOOKUP(C557,Stock_list!D:L,9,FALSE)</f>
        <v>44338</v>
      </c>
      <c r="F557" s="170" t="s">
        <v>1381</v>
      </c>
      <c r="G557" s="171">
        <v>400</v>
      </c>
      <c r="H557" s="172"/>
      <c r="I557" s="173"/>
      <c r="J557" s="173"/>
      <c r="K557" s="174"/>
      <c r="L557" s="175"/>
      <c r="M557" s="174"/>
      <c r="N557" s="176"/>
      <c r="O557" s="176"/>
      <c r="P557" s="173"/>
      <c r="Q557" s="177"/>
      <c r="R557" s="178"/>
      <c r="S557" s="173"/>
      <c r="T557" s="179"/>
      <c r="U557" s="145"/>
    </row>
    <row r="558" spans="1:21" ht="15" customHeight="1">
      <c r="A558" s="159" t="s">
        <v>2744</v>
      </c>
      <c r="B558" s="114" t="str">
        <f>VLOOKUP(A558,'Data pick slip'!B:F,5,FALSE)</f>
        <v>KHJ-MC100-00</v>
      </c>
      <c r="C558" s="169" t="s">
        <v>2931</v>
      </c>
      <c r="D558" s="156" t="e">
        <f>VLOOKUP(C558,Stock_list!D:L,2,FALSE)</f>
        <v>#N/A</v>
      </c>
      <c r="E558" s="160" t="e">
        <f>VLOOKUP(C558,Stock_list!D:L,9,FALSE)</f>
        <v>#N/A</v>
      </c>
      <c r="F558" s="170" t="s">
        <v>1381</v>
      </c>
      <c r="G558" s="171">
        <v>150</v>
      </c>
      <c r="H558" s="172"/>
      <c r="I558" s="173"/>
      <c r="J558" s="173"/>
      <c r="K558" s="174"/>
      <c r="L558" s="175"/>
      <c r="M558" s="174"/>
      <c r="N558" s="176"/>
      <c r="O558" s="176"/>
      <c r="P558" s="173"/>
      <c r="Q558" s="177"/>
      <c r="R558" s="178"/>
      <c r="S558" s="173"/>
      <c r="T558" s="179"/>
      <c r="U558" s="145"/>
    </row>
    <row r="559" spans="1:21" ht="15" customHeight="1">
      <c r="A559" s="159" t="s">
        <v>2744</v>
      </c>
      <c r="B559" s="114" t="str">
        <f>VLOOKUP(A559,'Data pick slip'!B:F,5,FALSE)</f>
        <v>KHJ-MC100-00</v>
      </c>
      <c r="C559" s="169">
        <v>110479</v>
      </c>
      <c r="D559" s="156" t="str">
        <f>VLOOKUP(C559,Stock_list!D:L,2,FALSE)</f>
        <v>Stock order</v>
      </c>
      <c r="E559" s="160">
        <f>VLOOKUP(C559,Stock_list!D:L,9,FALSE)</f>
        <v>44366</v>
      </c>
      <c r="F559" s="170" t="s">
        <v>1381</v>
      </c>
      <c r="G559" s="171">
        <v>150</v>
      </c>
      <c r="H559" s="172"/>
      <c r="I559" s="173"/>
      <c r="J559" s="173"/>
      <c r="K559" s="174"/>
      <c r="L559" s="175"/>
      <c r="M559" s="174"/>
      <c r="N559" s="176"/>
      <c r="O559" s="176"/>
      <c r="P559" s="173"/>
      <c r="Q559" s="177"/>
      <c r="R559" s="178"/>
      <c r="S559" s="173"/>
      <c r="T559" s="179"/>
      <c r="U559" s="145"/>
    </row>
    <row r="560" spans="1:21" ht="15" customHeight="1">
      <c r="A560" s="159" t="s">
        <v>2747</v>
      </c>
      <c r="B560" s="114" t="str">
        <f>VLOOKUP(A560,'Data pick slip'!B:F,5,FALSE)</f>
        <v>KHJ-MC200-00</v>
      </c>
      <c r="C560" s="169">
        <v>110248</v>
      </c>
      <c r="D560" s="156" t="str">
        <f>VLOOKUP(C560,Stock_list!D:L,2,FALSE)</f>
        <v>Stock order</v>
      </c>
      <c r="E560" s="160">
        <f>VLOOKUP(C560,Stock_list!D:L,9,FALSE)</f>
        <v>44331</v>
      </c>
      <c r="F560" s="170" t="s">
        <v>1381</v>
      </c>
      <c r="G560" s="171">
        <v>150</v>
      </c>
      <c r="H560" s="172"/>
      <c r="I560" s="173"/>
      <c r="J560" s="173"/>
      <c r="K560" s="174"/>
      <c r="L560" s="175"/>
      <c r="M560" s="174"/>
      <c r="N560" s="176"/>
      <c r="O560" s="176"/>
      <c r="P560" s="173"/>
      <c r="Q560" s="177"/>
      <c r="R560" s="178"/>
      <c r="S560" s="173"/>
      <c r="T560" s="179"/>
      <c r="U560" s="145"/>
    </row>
    <row r="561" spans="1:21" ht="15" customHeight="1">
      <c r="A561" s="181" t="s">
        <v>2748</v>
      </c>
      <c r="B561" s="114" t="str">
        <f>VLOOKUP(A561,'Data pick slip'!B:F,5,FALSE)</f>
        <v>KHJ-MC400-00</v>
      </c>
      <c r="C561" s="169">
        <v>110248</v>
      </c>
      <c r="D561" s="156" t="str">
        <f>VLOOKUP(C561,Stock_list!D:L,2,FALSE)</f>
        <v>Stock order</v>
      </c>
      <c r="E561" s="160">
        <f>VLOOKUP(C561,Stock_list!D:L,9,FALSE)</f>
        <v>44331</v>
      </c>
      <c r="F561" s="170" t="s">
        <v>1381</v>
      </c>
      <c r="G561" s="171">
        <v>25</v>
      </c>
      <c r="H561" s="172"/>
      <c r="I561" s="173"/>
      <c r="J561" s="173"/>
      <c r="K561" s="174"/>
      <c r="L561" s="175"/>
      <c r="M561" s="174"/>
      <c r="N561" s="176"/>
      <c r="O561" s="176"/>
      <c r="P561" s="173"/>
      <c r="Q561" s="177"/>
      <c r="R561" s="178"/>
      <c r="S561" s="173"/>
      <c r="T561" s="179"/>
      <c r="U561" s="145"/>
    </row>
    <row r="562" spans="1:21" ht="15" customHeight="1">
      <c r="A562" s="181" t="s">
        <v>2749</v>
      </c>
      <c r="B562" s="114" t="str">
        <f>VLOOKUP(A562,'Data pick slip'!B:F,5,FALSE)</f>
        <v>KHJ-MC500-00</v>
      </c>
      <c r="C562" s="169">
        <v>110248</v>
      </c>
      <c r="D562" s="156" t="str">
        <f>VLOOKUP(C562,Stock_list!D:L,2,FALSE)</f>
        <v>Stock order</v>
      </c>
      <c r="E562" s="160">
        <f>VLOOKUP(C562,Stock_list!D:L,9,FALSE)</f>
        <v>44331</v>
      </c>
      <c r="F562" s="170" t="s">
        <v>1381</v>
      </c>
      <c r="G562" s="171">
        <v>15</v>
      </c>
      <c r="H562" s="172"/>
      <c r="I562" s="173"/>
      <c r="J562" s="173"/>
      <c r="K562" s="174"/>
      <c r="L562" s="175"/>
      <c r="M562" s="174"/>
      <c r="N562" s="176"/>
      <c r="O562" s="176"/>
      <c r="P562" s="173"/>
      <c r="Q562" s="177"/>
      <c r="R562" s="178"/>
      <c r="S562" s="173"/>
      <c r="T562" s="179"/>
      <c r="U562" s="145"/>
    </row>
    <row r="563" spans="1:21" ht="15" customHeight="1">
      <c r="A563" s="181" t="s">
        <v>2750</v>
      </c>
      <c r="B563" s="114" t="str">
        <f>VLOOKUP(A563,'Data pick slip'!B:F,5,FALSE)</f>
        <v>KHJ-MC600-00</v>
      </c>
      <c r="C563" s="169">
        <v>110248</v>
      </c>
      <c r="D563" s="156" t="str">
        <f>VLOOKUP(C563,Stock_list!D:L,2,FALSE)</f>
        <v>Stock order</v>
      </c>
      <c r="E563" s="160">
        <f>VLOOKUP(C563,Stock_list!D:L,9,FALSE)</f>
        <v>44331</v>
      </c>
      <c r="F563" s="170" t="s">
        <v>1381</v>
      </c>
      <c r="G563" s="171">
        <v>10</v>
      </c>
      <c r="H563" s="172"/>
      <c r="I563" s="173"/>
      <c r="J563" s="173"/>
      <c r="K563" s="174"/>
      <c r="L563" s="175"/>
      <c r="M563" s="174"/>
      <c r="N563" s="176"/>
      <c r="O563" s="176"/>
      <c r="P563" s="173"/>
      <c r="Q563" s="177"/>
      <c r="R563" s="178"/>
      <c r="S563" s="173"/>
      <c r="T563" s="179"/>
      <c r="U563" s="145"/>
    </row>
    <row r="564" spans="1:21" ht="15" customHeight="1">
      <c r="A564" s="181" t="s">
        <v>2751</v>
      </c>
      <c r="B564" s="114" t="str">
        <f>VLOOKUP(A564,'Data pick slip'!B:F,5,FALSE)</f>
        <v>KHJ-MC700-00</v>
      </c>
      <c r="C564" s="169">
        <v>110248</v>
      </c>
      <c r="D564" s="156" t="str">
        <f>VLOOKUP(C564,Stock_list!D:L,2,FALSE)</f>
        <v>Stock order</v>
      </c>
      <c r="E564" s="160">
        <f>VLOOKUP(C564,Stock_list!D:L,9,FALSE)</f>
        <v>44331</v>
      </c>
      <c r="F564" s="170" t="s">
        <v>1381</v>
      </c>
      <c r="G564" s="171">
        <v>3</v>
      </c>
      <c r="H564" s="172"/>
      <c r="I564" s="173"/>
      <c r="J564" s="173"/>
      <c r="K564" s="174"/>
      <c r="L564" s="175"/>
      <c r="M564" s="174"/>
      <c r="N564" s="176"/>
      <c r="O564" s="176"/>
      <c r="P564" s="173"/>
      <c r="Q564" s="177"/>
      <c r="R564" s="178"/>
      <c r="S564" s="173"/>
      <c r="T564" s="179"/>
      <c r="U564" s="145"/>
    </row>
    <row r="565" spans="1:21" ht="15" customHeight="1">
      <c r="A565" s="159" t="s">
        <v>2744</v>
      </c>
      <c r="B565" s="114" t="str">
        <f>VLOOKUP(A565,'Data pick slip'!B:F,5,FALSE)</f>
        <v>KHJ-MC100-00</v>
      </c>
      <c r="C565" s="169" t="s">
        <v>2932</v>
      </c>
      <c r="D565" s="156" t="e">
        <f>VLOOKUP(C565,Stock_list!D:L,2,FALSE)</f>
        <v>#N/A</v>
      </c>
      <c r="E565" s="160" t="e">
        <f>VLOOKUP(C565,Stock_list!D:L,9,FALSE)</f>
        <v>#N/A</v>
      </c>
      <c r="F565" s="170" t="s">
        <v>1381</v>
      </c>
      <c r="G565" s="171">
        <v>150</v>
      </c>
      <c r="H565" s="172"/>
      <c r="I565" s="173"/>
      <c r="J565" s="173"/>
      <c r="K565" s="174"/>
      <c r="L565" s="175"/>
      <c r="M565" s="174"/>
      <c r="N565" s="176"/>
      <c r="O565" s="176"/>
      <c r="P565" s="173"/>
      <c r="Q565" s="177"/>
      <c r="R565" s="178"/>
      <c r="S565" s="173"/>
      <c r="T565" s="179"/>
      <c r="U565" s="145"/>
    </row>
    <row r="566" spans="1:21" ht="15" customHeight="1">
      <c r="A566" s="159" t="s">
        <v>2744</v>
      </c>
      <c r="B566" s="114" t="str">
        <f>VLOOKUP(A566,'Data pick slip'!B:F,5,FALSE)</f>
        <v>KHJ-MC100-00</v>
      </c>
      <c r="C566" s="169">
        <v>110452</v>
      </c>
      <c r="D566" s="156" t="str">
        <f>VLOOKUP(C566,Stock_list!D:L,2,FALSE)</f>
        <v>Stock order</v>
      </c>
      <c r="E566" s="160">
        <f>VLOOKUP(C566,Stock_list!D:L,9,FALSE)</f>
        <v>44366</v>
      </c>
      <c r="F566" s="170" t="s">
        <v>1381</v>
      </c>
      <c r="G566" s="171">
        <v>350</v>
      </c>
      <c r="H566" s="172"/>
      <c r="I566" s="173"/>
      <c r="J566" s="173"/>
      <c r="K566" s="174"/>
      <c r="L566" s="175"/>
      <c r="M566" s="174"/>
      <c r="N566" s="176"/>
      <c r="O566" s="176"/>
      <c r="P566" s="173"/>
      <c r="Q566" s="177"/>
      <c r="R566" s="178"/>
      <c r="S566" s="173"/>
      <c r="T566" s="179"/>
      <c r="U566" s="145"/>
    </row>
    <row r="567" spans="1:21" ht="15" customHeight="1">
      <c r="A567" s="159" t="s">
        <v>2747</v>
      </c>
      <c r="B567" s="114" t="str">
        <f>VLOOKUP(A567,'Data pick slip'!B:F,5,FALSE)</f>
        <v>KHJ-MC200-00</v>
      </c>
      <c r="C567" s="169">
        <v>110452</v>
      </c>
      <c r="D567" s="156" t="str">
        <f>VLOOKUP(C567,Stock_list!D:L,2,FALSE)</f>
        <v>Stock order</v>
      </c>
      <c r="E567" s="160">
        <f>VLOOKUP(C567,Stock_list!D:L,9,FALSE)</f>
        <v>44366</v>
      </c>
      <c r="F567" s="170" t="s">
        <v>1381</v>
      </c>
      <c r="G567" s="171">
        <v>300</v>
      </c>
      <c r="H567" s="172"/>
      <c r="I567" s="173"/>
      <c r="J567" s="173"/>
      <c r="K567" s="174"/>
      <c r="L567" s="175"/>
      <c r="M567" s="174"/>
      <c r="N567" s="176"/>
      <c r="O567" s="176"/>
      <c r="P567" s="173"/>
      <c r="Q567" s="177"/>
      <c r="R567" s="178"/>
      <c r="S567" s="173"/>
      <c r="T567" s="179"/>
      <c r="U567" s="145"/>
    </row>
    <row r="568" spans="1:21" ht="15" customHeight="1">
      <c r="A568" s="181" t="s">
        <v>2748</v>
      </c>
      <c r="B568" s="114" t="str">
        <f>VLOOKUP(A568,'Data pick slip'!B:F,5,FALSE)</f>
        <v>KHJ-MC400-00</v>
      </c>
      <c r="C568" s="169">
        <v>110452</v>
      </c>
      <c r="D568" s="156" t="str">
        <f>VLOOKUP(C568,Stock_list!D:L,2,FALSE)</f>
        <v>Stock order</v>
      </c>
      <c r="E568" s="160">
        <f>VLOOKUP(C568,Stock_list!D:L,9,FALSE)</f>
        <v>44366</v>
      </c>
      <c r="F568" s="170" t="s">
        <v>1381</v>
      </c>
      <c r="G568" s="171">
        <v>75</v>
      </c>
      <c r="H568" s="172"/>
      <c r="I568" s="173"/>
      <c r="J568" s="173"/>
      <c r="K568" s="174"/>
      <c r="L568" s="175"/>
      <c r="M568" s="174"/>
      <c r="N568" s="176"/>
      <c r="O568" s="176"/>
      <c r="P568" s="173"/>
      <c r="Q568" s="177"/>
      <c r="R568" s="178"/>
      <c r="S568" s="173"/>
      <c r="T568" s="179"/>
      <c r="U568" s="145"/>
    </row>
    <row r="569" spans="1:21" ht="15" customHeight="1">
      <c r="A569" s="181" t="s">
        <v>2749</v>
      </c>
      <c r="B569" s="114" t="str">
        <f>VLOOKUP(A569,'Data pick slip'!B:F,5,FALSE)</f>
        <v>KHJ-MC500-00</v>
      </c>
      <c r="C569" s="169">
        <v>110452</v>
      </c>
      <c r="D569" s="156" t="str">
        <f>VLOOKUP(C569,Stock_list!D:L,2,FALSE)</f>
        <v>Stock order</v>
      </c>
      <c r="E569" s="160">
        <f>VLOOKUP(C569,Stock_list!D:L,9,FALSE)</f>
        <v>44366</v>
      </c>
      <c r="F569" s="170" t="s">
        <v>1381</v>
      </c>
      <c r="G569" s="171">
        <v>15</v>
      </c>
      <c r="H569" s="172"/>
      <c r="I569" s="173"/>
      <c r="J569" s="173"/>
      <c r="K569" s="174"/>
      <c r="L569" s="175"/>
      <c r="M569" s="174"/>
      <c r="N569" s="176"/>
      <c r="O569" s="176"/>
      <c r="P569" s="173"/>
      <c r="Q569" s="177"/>
      <c r="R569" s="178"/>
      <c r="S569" s="173"/>
      <c r="T569" s="179"/>
      <c r="U569" s="145"/>
    </row>
    <row r="570" spans="1:21" ht="15" customHeight="1">
      <c r="A570" s="181" t="s">
        <v>2750</v>
      </c>
      <c r="B570" s="114" t="str">
        <f>VLOOKUP(A570,'Data pick slip'!B:F,5,FALSE)</f>
        <v>KHJ-MC600-00</v>
      </c>
      <c r="C570" s="169">
        <v>110452</v>
      </c>
      <c r="D570" s="156" t="str">
        <f>VLOOKUP(C570,Stock_list!D:L,2,FALSE)</f>
        <v>Stock order</v>
      </c>
      <c r="E570" s="160">
        <f>VLOOKUP(C570,Stock_list!D:L,9,FALSE)</f>
        <v>44366</v>
      </c>
      <c r="F570" s="170" t="s">
        <v>1381</v>
      </c>
      <c r="G570" s="171">
        <v>10</v>
      </c>
      <c r="H570" s="172"/>
      <c r="I570" s="173"/>
      <c r="J570" s="173"/>
      <c r="K570" s="174"/>
      <c r="L570" s="175"/>
      <c r="M570" s="174"/>
      <c r="N570" s="176"/>
      <c r="O570" s="176"/>
      <c r="P570" s="173"/>
      <c r="Q570" s="177"/>
      <c r="R570" s="178"/>
      <c r="S570" s="173"/>
      <c r="T570" s="179"/>
      <c r="U570" s="145"/>
    </row>
    <row r="571" spans="1:21" ht="15" customHeight="1">
      <c r="A571" s="159" t="s">
        <v>2744</v>
      </c>
      <c r="B571" s="114" t="str">
        <f>VLOOKUP(A571,'Data pick slip'!B:F,5,FALSE)</f>
        <v>KHJ-MC100-00</v>
      </c>
      <c r="C571" s="169">
        <v>110669</v>
      </c>
      <c r="D571" s="156" t="str">
        <f>VLOOKUP(C571,Stock_list!D:L,2,FALSE)</f>
        <v>Stock order</v>
      </c>
      <c r="E571" s="160">
        <f>VLOOKUP(C571,Stock_list!D:L,9,FALSE)</f>
        <v>44553</v>
      </c>
      <c r="F571" s="170" t="s">
        <v>1381</v>
      </c>
      <c r="G571" s="171">
        <v>200</v>
      </c>
      <c r="H571" s="172"/>
      <c r="I571" s="173"/>
      <c r="J571" s="173"/>
      <c r="K571" s="174"/>
      <c r="L571" s="175"/>
      <c r="M571" s="174"/>
      <c r="N571" s="176"/>
      <c r="O571" s="176"/>
      <c r="P571" s="173"/>
      <c r="Q571" s="177"/>
      <c r="R571" s="178"/>
      <c r="S571" s="173"/>
      <c r="T571" s="179"/>
      <c r="U571" s="145"/>
    </row>
    <row r="572" spans="1:21" ht="15" customHeight="1">
      <c r="A572" s="181" t="s">
        <v>2755</v>
      </c>
      <c r="B572" s="114" t="str">
        <f>VLOOKUP(A572,'Data pick slip'!B:F,5,FALSE)</f>
        <v>KLJ-MC100-00</v>
      </c>
      <c r="C572" s="169"/>
      <c r="D572" s="156"/>
      <c r="E572" s="160" t="s">
        <v>2933</v>
      </c>
      <c r="F572" s="170" t="s">
        <v>2773</v>
      </c>
      <c r="G572" s="171">
        <v>100</v>
      </c>
      <c r="H572" s="172"/>
      <c r="I572" s="173"/>
      <c r="J572" s="173"/>
      <c r="K572" s="174"/>
      <c r="L572" s="175"/>
      <c r="M572" s="174"/>
      <c r="N572" s="176"/>
      <c r="O572" s="176"/>
      <c r="P572" s="173"/>
      <c r="Q572" s="177"/>
      <c r="R572" s="178"/>
      <c r="S572" s="173"/>
      <c r="T572" s="179"/>
      <c r="U572" s="145"/>
    </row>
    <row r="573" spans="1:21" ht="15" customHeight="1">
      <c r="A573" s="159" t="s">
        <v>2744</v>
      </c>
      <c r="B573" s="114" t="str">
        <f>VLOOKUP(A573,'Data pick slip'!B:F,5,FALSE)</f>
        <v>KHJ-MC100-00</v>
      </c>
      <c r="C573" s="169"/>
      <c r="D573" s="156"/>
      <c r="E573" s="141" t="s">
        <v>2934</v>
      </c>
      <c r="F573" s="170" t="s">
        <v>2773</v>
      </c>
      <c r="G573" s="171">
        <v>86</v>
      </c>
      <c r="H573" s="172"/>
      <c r="I573" s="173"/>
      <c r="J573" s="173"/>
      <c r="K573" s="174"/>
      <c r="L573" s="175"/>
      <c r="M573" s="174"/>
      <c r="N573" s="176"/>
      <c r="O573" s="176"/>
      <c r="P573" s="173"/>
      <c r="Q573" s="177"/>
      <c r="R573" s="178"/>
      <c r="S573" s="173"/>
      <c r="T573" s="179"/>
      <c r="U573" s="145"/>
    </row>
    <row r="574" spans="1:21" ht="15" customHeight="1">
      <c r="A574" s="159" t="s">
        <v>2747</v>
      </c>
      <c r="B574" s="114" t="str">
        <f>VLOOKUP(A574,'Data pick slip'!B:F,5,FALSE)</f>
        <v>KHJ-MC200-00</v>
      </c>
      <c r="C574" s="169"/>
      <c r="D574" s="156"/>
      <c r="E574" s="141" t="s">
        <v>2934</v>
      </c>
      <c r="F574" s="170" t="s">
        <v>2773</v>
      </c>
      <c r="G574" s="171">
        <v>15</v>
      </c>
      <c r="H574" s="172"/>
      <c r="I574" s="173"/>
      <c r="J574" s="173"/>
      <c r="K574" s="174"/>
      <c r="L574" s="175"/>
      <c r="M574" s="174"/>
      <c r="N574" s="176"/>
      <c r="O574" s="176"/>
      <c r="P574" s="173"/>
      <c r="Q574" s="177"/>
      <c r="R574" s="178"/>
      <c r="S574" s="173"/>
      <c r="T574" s="179"/>
      <c r="U574" s="145"/>
    </row>
    <row r="575" spans="1:21" ht="15" customHeight="1">
      <c r="A575" s="181" t="s">
        <v>2749</v>
      </c>
      <c r="B575" s="114" t="str">
        <f>VLOOKUP(A575,'Data pick slip'!B:F,5,FALSE)</f>
        <v>KHJ-MC500-00</v>
      </c>
      <c r="C575" s="169"/>
      <c r="D575" s="156"/>
      <c r="E575" s="141" t="s">
        <v>2934</v>
      </c>
      <c r="F575" s="170" t="s">
        <v>2773</v>
      </c>
      <c r="G575" s="171">
        <v>5</v>
      </c>
      <c r="H575" s="172"/>
      <c r="I575" s="173"/>
      <c r="J575" s="173"/>
      <c r="K575" s="174"/>
      <c r="L575" s="175"/>
      <c r="M575" s="174"/>
      <c r="N575" s="176"/>
      <c r="O575" s="176"/>
      <c r="P575" s="173"/>
      <c r="Q575" s="177"/>
      <c r="R575" s="178"/>
      <c r="S575" s="173"/>
      <c r="T575" s="179"/>
      <c r="U575" s="145"/>
    </row>
    <row r="576" spans="1:21" ht="15" customHeight="1">
      <c r="A576" s="159" t="s">
        <v>2744</v>
      </c>
      <c r="B576" s="114" t="str">
        <f>VLOOKUP(A576,'Data pick slip'!B:F,5,FALSE)</f>
        <v>KHJ-MC100-00</v>
      </c>
      <c r="C576" s="169">
        <v>110271</v>
      </c>
      <c r="D576" s="156" t="str">
        <f>VLOOKUP(C576,Stock_list!D:L,2,FALSE)</f>
        <v>精德鸿名义下单</v>
      </c>
      <c r="E576" s="160">
        <f>VLOOKUP(C576,Stock_list!D:L,9,FALSE)</f>
        <v>44316</v>
      </c>
      <c r="F576" s="170" t="s">
        <v>1381</v>
      </c>
      <c r="G576" s="171">
        <v>100</v>
      </c>
      <c r="H576" s="172"/>
      <c r="I576" s="173"/>
      <c r="J576" s="173"/>
      <c r="K576" s="174"/>
      <c r="L576" s="175"/>
      <c r="M576" s="174"/>
      <c r="N576" s="176"/>
      <c r="O576" s="176"/>
      <c r="P576" s="173"/>
      <c r="Q576" s="177"/>
      <c r="R576" s="178"/>
      <c r="S576" s="173"/>
      <c r="T576" s="179"/>
      <c r="U576" s="145"/>
    </row>
    <row r="577" spans="1:21" ht="15" customHeight="1">
      <c r="A577" s="159" t="s">
        <v>2747</v>
      </c>
      <c r="B577" s="114" t="str">
        <f>VLOOKUP(A577,'Data pick slip'!B:F,5,FALSE)</f>
        <v>KHJ-MC200-00</v>
      </c>
      <c r="C577" s="169">
        <v>110271</v>
      </c>
      <c r="D577" s="156" t="str">
        <f>VLOOKUP(C577,Stock_list!D:L,2,FALSE)</f>
        <v>精德鸿名义下单</v>
      </c>
      <c r="E577" s="160">
        <f>VLOOKUP(C577,Stock_list!D:L,9,FALSE)</f>
        <v>44316</v>
      </c>
      <c r="F577" s="170" t="s">
        <v>1381</v>
      </c>
      <c r="G577" s="171">
        <v>30</v>
      </c>
      <c r="H577" s="172"/>
      <c r="I577" s="173"/>
      <c r="J577" s="173"/>
      <c r="K577" s="174"/>
      <c r="L577" s="175"/>
      <c r="M577" s="174"/>
      <c r="N577" s="176"/>
      <c r="O577" s="176"/>
      <c r="P577" s="173"/>
      <c r="Q577" s="177"/>
      <c r="R577" s="178"/>
      <c r="S577" s="173"/>
      <c r="T577" s="179"/>
      <c r="U577" s="145"/>
    </row>
    <row r="578" spans="1:21" ht="15" customHeight="1">
      <c r="A578" s="159" t="s">
        <v>2744</v>
      </c>
      <c r="B578" s="114" t="str">
        <f>VLOOKUP(A578,'Data pick slip'!B:F,5,FALSE)</f>
        <v>KHJ-MC100-00</v>
      </c>
      <c r="C578" s="169">
        <v>110272</v>
      </c>
      <c r="D578" s="156" t="str">
        <f>VLOOKUP(C578,Stock_list!D:L,2,FALSE)</f>
        <v>精德鸿名义下单</v>
      </c>
      <c r="E578" s="160">
        <f>VLOOKUP(C578,Stock_list!D:L,9,FALSE)</f>
        <v>44305</v>
      </c>
      <c r="F578" s="170" t="s">
        <v>1381</v>
      </c>
      <c r="G578" s="171">
        <v>200</v>
      </c>
      <c r="H578" s="172"/>
      <c r="I578" s="173"/>
      <c r="J578" s="173"/>
      <c r="K578" s="174"/>
      <c r="L578" s="175"/>
      <c r="M578" s="174"/>
      <c r="N578" s="176"/>
      <c r="O578" s="176"/>
      <c r="P578" s="173"/>
      <c r="Q578" s="177"/>
      <c r="R578" s="178"/>
      <c r="S578" s="173"/>
      <c r="T578" s="179"/>
      <c r="U578" s="145"/>
    </row>
    <row r="579" spans="1:21" ht="15" customHeight="1">
      <c r="A579" s="159" t="s">
        <v>2747</v>
      </c>
      <c r="B579" s="114" t="str">
        <f>VLOOKUP(A579,'Data pick slip'!B:F,5,FALSE)</f>
        <v>KHJ-MC200-00</v>
      </c>
      <c r="C579" s="169">
        <v>110272</v>
      </c>
      <c r="D579" s="156" t="str">
        <f>VLOOKUP(C579,Stock_list!D:L,2,FALSE)</f>
        <v>精德鸿名义下单</v>
      </c>
      <c r="E579" s="160">
        <f>VLOOKUP(C579,Stock_list!D:L,9,FALSE)</f>
        <v>44305</v>
      </c>
      <c r="F579" s="170" t="s">
        <v>1381</v>
      </c>
      <c r="G579" s="171">
        <v>50</v>
      </c>
      <c r="H579" s="172"/>
      <c r="I579" s="173"/>
      <c r="J579" s="173"/>
      <c r="K579" s="174"/>
      <c r="L579" s="175"/>
      <c r="M579" s="174"/>
      <c r="N579" s="176"/>
      <c r="O579" s="176"/>
      <c r="P579" s="173"/>
      <c r="Q579" s="177"/>
      <c r="R579" s="178"/>
      <c r="S579" s="173"/>
      <c r="T579" s="179"/>
      <c r="U579" s="145"/>
    </row>
    <row r="580" spans="1:21" ht="15" customHeight="1">
      <c r="A580" s="181" t="s">
        <v>2749</v>
      </c>
      <c r="B580" s="114" t="str">
        <f>VLOOKUP(A580,'Data pick slip'!B:F,5,FALSE)</f>
        <v>KHJ-MC500-00</v>
      </c>
      <c r="C580" s="169">
        <v>110272</v>
      </c>
      <c r="D580" s="156" t="str">
        <f>VLOOKUP(C580,Stock_list!D:L,2,FALSE)</f>
        <v>精德鸿名义下单</v>
      </c>
      <c r="E580" s="160">
        <f>VLOOKUP(C580,Stock_list!D:L,9,FALSE)</f>
        <v>44305</v>
      </c>
      <c r="F580" s="170" t="s">
        <v>1381</v>
      </c>
      <c r="G580" s="171">
        <v>15</v>
      </c>
      <c r="H580" s="172"/>
      <c r="I580" s="173"/>
      <c r="J580" s="173"/>
      <c r="K580" s="174"/>
      <c r="L580" s="175"/>
      <c r="M580" s="174"/>
      <c r="N580" s="176"/>
      <c r="O580" s="176"/>
      <c r="P580" s="173"/>
      <c r="Q580" s="177"/>
      <c r="R580" s="178"/>
      <c r="S580" s="173"/>
      <c r="T580" s="179"/>
      <c r="U580" s="145"/>
    </row>
    <row r="581" spans="1:21" ht="15" customHeight="1">
      <c r="A581" s="181" t="s">
        <v>2750</v>
      </c>
      <c r="B581" s="114" t="str">
        <f>VLOOKUP(A581,'Data pick slip'!B:F,5,FALSE)</f>
        <v>KHJ-MC600-00</v>
      </c>
      <c r="C581" s="169">
        <v>110272</v>
      </c>
      <c r="D581" s="156" t="str">
        <f>VLOOKUP(C581,Stock_list!D:L,2,FALSE)</f>
        <v>精德鸿名义下单</v>
      </c>
      <c r="E581" s="160">
        <f>VLOOKUP(C581,Stock_list!D:L,9,FALSE)</f>
        <v>44305</v>
      </c>
      <c r="F581" s="170" t="s">
        <v>1381</v>
      </c>
      <c r="G581" s="171">
        <v>10</v>
      </c>
      <c r="H581" s="172"/>
      <c r="I581" s="173"/>
      <c r="J581" s="173"/>
      <c r="K581" s="174"/>
      <c r="L581" s="175"/>
      <c r="M581" s="174"/>
      <c r="N581" s="176"/>
      <c r="O581" s="176"/>
      <c r="P581" s="173"/>
      <c r="Q581" s="177"/>
      <c r="R581" s="178"/>
      <c r="S581" s="173"/>
      <c r="T581" s="179"/>
      <c r="U581" s="145"/>
    </row>
    <row r="582" spans="1:21" ht="15" customHeight="1">
      <c r="A582" s="181" t="s">
        <v>2755</v>
      </c>
      <c r="B582" s="114" t="str">
        <f>VLOOKUP(A582,'Data pick slip'!B:F,5,FALSE)</f>
        <v>KLJ-MC100-00</v>
      </c>
      <c r="C582" s="169">
        <v>110274</v>
      </c>
      <c r="D582" s="156" t="str">
        <f>VLOOKUP(C582,Stock_list!D:L,2,FALSE)</f>
        <v>平方兆赫名义下单</v>
      </c>
      <c r="E582" s="160">
        <f>VLOOKUP(C582,Stock_list!D:L,9,FALSE)</f>
        <v>44300</v>
      </c>
      <c r="F582" s="170" t="s">
        <v>1381</v>
      </c>
      <c r="G582" s="171">
        <v>250</v>
      </c>
      <c r="H582" s="172"/>
      <c r="I582" s="173"/>
      <c r="J582" s="173"/>
      <c r="K582" s="174"/>
      <c r="L582" s="175"/>
      <c r="M582" s="174"/>
      <c r="N582" s="176"/>
      <c r="O582" s="176"/>
      <c r="P582" s="173"/>
      <c r="Q582" s="177"/>
      <c r="R582" s="178"/>
      <c r="S582" s="173"/>
      <c r="T582" s="179"/>
      <c r="U582" s="145"/>
    </row>
    <row r="583" spans="1:21" ht="15" customHeight="1">
      <c r="A583" s="181" t="s">
        <v>2756</v>
      </c>
      <c r="B583" s="114" t="str">
        <f>VLOOKUP(A583,'Data pick slip'!B:F,5,FALSE)</f>
        <v>KLJ-MC200-00</v>
      </c>
      <c r="C583" s="169">
        <v>110274</v>
      </c>
      <c r="D583" s="156" t="str">
        <f>VLOOKUP(C583,Stock_list!D:L,2,FALSE)</f>
        <v>平方兆赫名义下单</v>
      </c>
      <c r="E583" s="160">
        <f>VLOOKUP(C583,Stock_list!D:L,9,FALSE)</f>
        <v>44300</v>
      </c>
      <c r="F583" s="170" t="s">
        <v>2935</v>
      </c>
      <c r="G583" s="171">
        <v>100</v>
      </c>
      <c r="H583" s="172"/>
      <c r="I583" s="173"/>
      <c r="J583" s="173"/>
      <c r="K583" s="174"/>
      <c r="L583" s="175"/>
      <c r="M583" s="174"/>
      <c r="N583" s="176"/>
      <c r="O583" s="176"/>
      <c r="P583" s="173"/>
      <c r="Q583" s="177"/>
      <c r="R583" s="178"/>
      <c r="S583" s="173"/>
      <c r="T583" s="179"/>
      <c r="U583" s="145"/>
    </row>
    <row r="584" spans="1:21" ht="15" customHeight="1">
      <c r="A584" s="181" t="s">
        <v>2757</v>
      </c>
      <c r="B584" s="114" t="str">
        <f>VLOOKUP(A584,'Data pick slip'!B:F,5,FALSE)</f>
        <v>KLJ-MC400-00</v>
      </c>
      <c r="C584" s="169">
        <v>110274</v>
      </c>
      <c r="D584" s="156" t="str">
        <f>VLOOKUP(C584,Stock_list!D:L,2,FALSE)</f>
        <v>平方兆赫名义下单</v>
      </c>
      <c r="E584" s="160">
        <f>VLOOKUP(C584,Stock_list!D:L,9,FALSE)</f>
        <v>44300</v>
      </c>
      <c r="F584" s="170" t="s">
        <v>1381</v>
      </c>
      <c r="G584" s="171">
        <v>20</v>
      </c>
      <c r="H584" s="172"/>
      <c r="I584" s="173"/>
      <c r="J584" s="173"/>
      <c r="K584" s="174"/>
      <c r="L584" s="175"/>
      <c r="M584" s="174"/>
      <c r="N584" s="176"/>
      <c r="O584" s="176"/>
      <c r="P584" s="173"/>
      <c r="Q584" s="177"/>
      <c r="R584" s="178"/>
      <c r="S584" s="173"/>
      <c r="T584" s="179"/>
      <c r="U584" s="145"/>
    </row>
    <row r="585" spans="1:21" ht="15" customHeight="1">
      <c r="A585" s="181" t="s">
        <v>2758</v>
      </c>
      <c r="B585" s="114" t="str">
        <f>VLOOKUP(A585,'Data pick slip'!B:F,5,FALSE)</f>
        <v>KLJ-MC500-00</v>
      </c>
      <c r="C585" s="169">
        <v>110274</v>
      </c>
      <c r="D585" s="156" t="str">
        <f>VLOOKUP(C585,Stock_list!D:L,2,FALSE)</f>
        <v>平方兆赫名义下单</v>
      </c>
      <c r="E585" s="160">
        <f>VLOOKUP(C585,Stock_list!D:L,9,FALSE)</f>
        <v>44300</v>
      </c>
      <c r="F585" s="170" t="s">
        <v>1381</v>
      </c>
      <c r="G585" s="171">
        <v>10</v>
      </c>
      <c r="H585" s="172"/>
      <c r="I585" s="173"/>
      <c r="J585" s="173"/>
      <c r="K585" s="174"/>
      <c r="L585" s="175"/>
      <c r="M585" s="174"/>
      <c r="N585" s="176"/>
      <c r="O585" s="176"/>
      <c r="P585" s="173"/>
      <c r="Q585" s="177"/>
      <c r="R585" s="178"/>
      <c r="S585" s="173"/>
      <c r="T585" s="179"/>
      <c r="U585" s="145"/>
    </row>
    <row r="586" spans="1:21" ht="15" customHeight="1">
      <c r="A586" s="181" t="s">
        <v>2759</v>
      </c>
      <c r="B586" s="114" t="str">
        <f>VLOOKUP(A586,'Data pick slip'!B:F,5,FALSE)</f>
        <v>KLJ-MC600-00</v>
      </c>
      <c r="C586" s="169">
        <v>110274</v>
      </c>
      <c r="D586" s="156" t="str">
        <f>VLOOKUP(C586,Stock_list!D:L,2,FALSE)</f>
        <v>平方兆赫名义下单</v>
      </c>
      <c r="E586" s="160">
        <f>VLOOKUP(C586,Stock_list!D:L,9,FALSE)</f>
        <v>44300</v>
      </c>
      <c r="F586" s="170" t="s">
        <v>1381</v>
      </c>
      <c r="G586" s="171">
        <v>5</v>
      </c>
      <c r="H586" s="172"/>
      <c r="I586" s="173"/>
      <c r="J586" s="173"/>
      <c r="K586" s="174"/>
      <c r="L586" s="175"/>
      <c r="M586" s="174"/>
      <c r="N586" s="176"/>
      <c r="O586" s="176"/>
      <c r="P586" s="173"/>
      <c r="Q586" s="177"/>
      <c r="R586" s="178"/>
      <c r="S586" s="173"/>
      <c r="T586" s="179"/>
      <c r="U586" s="145"/>
    </row>
    <row r="587" spans="1:21" ht="26.25" customHeight="1">
      <c r="A587" s="181" t="s">
        <v>2744</v>
      </c>
      <c r="B587" s="114" t="str">
        <f>VLOOKUP(A587,'Data pick slip'!B:F,5,FALSE)</f>
        <v>KHJ-MC100-00</v>
      </c>
      <c r="C587" s="169" t="s">
        <v>2936</v>
      </c>
      <c r="D587" s="265" t="s">
        <v>2937</v>
      </c>
      <c r="E587" s="160">
        <v>44283</v>
      </c>
      <c r="F587" s="170" t="s">
        <v>1381</v>
      </c>
      <c r="G587" s="171" t="s">
        <v>2938</v>
      </c>
      <c r="H587" s="172"/>
      <c r="I587" s="173"/>
      <c r="J587" s="173"/>
      <c r="K587" s="174"/>
      <c r="L587" s="175"/>
      <c r="M587" s="174"/>
      <c r="N587" s="176"/>
      <c r="O587" s="176"/>
      <c r="P587" s="173"/>
      <c r="Q587" s="177"/>
      <c r="R587" s="178"/>
      <c r="S587" s="173"/>
      <c r="T587" s="179"/>
      <c r="U587" s="145"/>
    </row>
    <row r="588" spans="1:21" ht="23.25" customHeight="1">
      <c r="A588" s="181" t="s">
        <v>2744</v>
      </c>
      <c r="B588" s="114" t="str">
        <f>VLOOKUP(A588,'Data pick slip'!B:F,5,FALSE)</f>
        <v>KHJ-MC100-00</v>
      </c>
      <c r="C588" s="169" t="s">
        <v>2939</v>
      </c>
      <c r="D588" s="265" t="s">
        <v>2940</v>
      </c>
      <c r="E588" s="160" t="s">
        <v>258</v>
      </c>
      <c r="F588" s="170" t="s">
        <v>1381</v>
      </c>
      <c r="G588" s="171" t="s">
        <v>2941</v>
      </c>
      <c r="H588" s="172"/>
      <c r="I588" s="173"/>
      <c r="J588" s="173"/>
      <c r="K588" s="174"/>
      <c r="L588" s="175"/>
      <c r="M588" s="174"/>
      <c r="N588" s="176"/>
      <c r="O588" s="176"/>
      <c r="P588" s="173"/>
      <c r="Q588" s="177"/>
      <c r="R588" s="178"/>
      <c r="S588" s="173"/>
      <c r="T588" s="179"/>
      <c r="U588" s="145"/>
    </row>
    <row r="589" spans="1:21" ht="22.5" customHeight="1">
      <c r="A589" s="181" t="s">
        <v>2744</v>
      </c>
      <c r="B589" s="114" t="str">
        <f>VLOOKUP(A589,'Data pick slip'!B:F,5,FALSE)</f>
        <v>KHJ-MC100-00</v>
      </c>
      <c r="C589" s="169" t="s">
        <v>2942</v>
      </c>
      <c r="D589" s="265" t="s">
        <v>2943</v>
      </c>
      <c r="E589" s="160">
        <v>44283</v>
      </c>
      <c r="F589" s="170" t="s">
        <v>1381</v>
      </c>
      <c r="G589" s="171" t="s">
        <v>2938</v>
      </c>
      <c r="H589" s="172"/>
      <c r="I589" s="173"/>
      <c r="J589" s="173"/>
      <c r="K589" s="174"/>
      <c r="L589" s="175"/>
      <c r="M589" s="174"/>
      <c r="N589" s="176"/>
      <c r="O589" s="176"/>
      <c r="P589" s="173"/>
      <c r="Q589" s="177"/>
      <c r="R589" s="178"/>
      <c r="S589" s="173"/>
      <c r="T589" s="179"/>
      <c r="U589" s="145"/>
    </row>
    <row r="590" spans="1:21" ht="21" customHeight="1">
      <c r="A590" s="181" t="s">
        <v>2744</v>
      </c>
      <c r="B590" s="114" t="str">
        <f>VLOOKUP(A590,'Data pick slip'!B:F,5,FALSE)</f>
        <v>KHJ-MC100-00</v>
      </c>
      <c r="C590" s="169" t="s">
        <v>2944</v>
      </c>
      <c r="D590" s="265" t="s">
        <v>2945</v>
      </c>
      <c r="E590" s="160">
        <v>44283</v>
      </c>
      <c r="F590" s="170" t="s">
        <v>1381</v>
      </c>
      <c r="G590" s="171" t="s">
        <v>2938</v>
      </c>
      <c r="H590" s="172"/>
      <c r="I590" s="173"/>
      <c r="J590" s="173"/>
      <c r="K590" s="174"/>
      <c r="L590" s="175"/>
      <c r="M590" s="174"/>
      <c r="N590" s="176"/>
      <c r="O590" s="176"/>
      <c r="P590" s="173"/>
      <c r="Q590" s="177"/>
      <c r="R590" s="178"/>
      <c r="S590" s="173"/>
      <c r="T590" s="179"/>
      <c r="U590" s="145"/>
    </row>
    <row r="591" spans="1:21" ht="21.75" customHeight="1">
      <c r="A591" s="181" t="s">
        <v>2744</v>
      </c>
      <c r="B591" s="114" t="str">
        <f>VLOOKUP(A591,'Data pick slip'!B:F,5,FALSE)</f>
        <v>KHJ-MC100-00</v>
      </c>
      <c r="C591" s="169" t="s">
        <v>2946</v>
      </c>
      <c r="D591" s="265" t="s">
        <v>2947</v>
      </c>
      <c r="E591" s="160">
        <v>44283</v>
      </c>
      <c r="F591" s="170" t="s">
        <v>1381</v>
      </c>
      <c r="G591" s="171" t="s">
        <v>2948</v>
      </c>
      <c r="H591" s="172"/>
      <c r="I591" s="173"/>
      <c r="J591" s="173"/>
      <c r="K591" s="174"/>
      <c r="L591" s="175"/>
      <c r="M591" s="174"/>
      <c r="N591" s="176"/>
      <c r="O591" s="176"/>
      <c r="P591" s="173"/>
      <c r="Q591" s="177"/>
      <c r="R591" s="178"/>
      <c r="S591" s="173"/>
      <c r="T591" s="179"/>
      <c r="U591" s="145"/>
    </row>
    <row r="592" spans="1:21" ht="15" customHeight="1">
      <c r="A592" s="181" t="s">
        <v>2752</v>
      </c>
      <c r="B592" s="114" t="str">
        <f>VLOOKUP(A592,'Data pick slip'!B:F,5,FALSE)</f>
        <v>KHJ-MC800-00</v>
      </c>
      <c r="C592" s="169"/>
      <c r="D592" s="156"/>
      <c r="E592" s="160" t="s">
        <v>2949</v>
      </c>
      <c r="F592" s="170" t="s">
        <v>2773</v>
      </c>
      <c r="G592" s="171">
        <v>1</v>
      </c>
      <c r="H592" s="172"/>
      <c r="I592" s="173"/>
      <c r="J592" s="173"/>
      <c r="K592" s="174"/>
      <c r="L592" s="175"/>
      <c r="M592" s="174"/>
      <c r="N592" s="176"/>
      <c r="O592" s="176"/>
      <c r="P592" s="173"/>
      <c r="Q592" s="177"/>
      <c r="R592" s="178"/>
      <c r="S592" s="173"/>
      <c r="T592" s="179"/>
      <c r="U592" s="145"/>
    </row>
    <row r="593" spans="1:21" ht="15" customHeight="1">
      <c r="A593" s="159" t="s">
        <v>2744</v>
      </c>
      <c r="B593" s="114" t="str">
        <f>VLOOKUP(A593,'Data pick slip'!B:F,5,FALSE)</f>
        <v>KHJ-MC100-00</v>
      </c>
      <c r="C593" s="169" t="s">
        <v>2950</v>
      </c>
      <c r="D593" s="169" t="e">
        <f>VLOOKUP(C593,Stock_list!D:L,2,FALSE)</f>
        <v>#N/A</v>
      </c>
      <c r="E593" s="281" t="e">
        <f>VLOOKUP(C593,Stock_list!D:L,9,FALSE)</f>
        <v>#N/A</v>
      </c>
      <c r="F593" s="170" t="s">
        <v>1381</v>
      </c>
      <c r="G593" s="171">
        <v>500</v>
      </c>
      <c r="H593" s="172"/>
      <c r="I593" s="173"/>
      <c r="J593" s="173"/>
      <c r="K593" s="174"/>
      <c r="L593" s="175"/>
      <c r="M593" s="174"/>
      <c r="N593" s="176"/>
      <c r="O593" s="176"/>
      <c r="P593" s="173"/>
      <c r="Q593" s="177"/>
      <c r="R593" s="178"/>
      <c r="S593" s="173"/>
      <c r="T593" s="179"/>
      <c r="U593" s="145"/>
    </row>
    <row r="594" spans="1:21" ht="15" customHeight="1">
      <c r="A594" s="159" t="s">
        <v>2744</v>
      </c>
      <c r="B594" s="114" t="str">
        <f>VLOOKUP(A594,'Data pick slip'!B:F,5,FALSE)</f>
        <v>KHJ-MC100-00</v>
      </c>
      <c r="C594" s="169">
        <v>110314</v>
      </c>
      <c r="D594" s="169" t="str">
        <f>VLOOKUP(C594,Stock_list!D:L,2,FALSE)</f>
        <v>超思维名义下单</v>
      </c>
      <c r="E594" s="281">
        <f>VLOOKUP(C594,Stock_list!D:L,9,FALSE)</f>
        <v>44421</v>
      </c>
      <c r="F594" s="170" t="s">
        <v>1381</v>
      </c>
      <c r="G594" s="171">
        <v>100</v>
      </c>
      <c r="H594" s="172"/>
      <c r="I594" s="173"/>
      <c r="J594" s="173"/>
      <c r="K594" s="174"/>
      <c r="L594" s="175"/>
      <c r="M594" s="174"/>
      <c r="N594" s="176"/>
      <c r="O594" s="176"/>
      <c r="P594" s="173"/>
      <c r="Q594" s="177"/>
      <c r="R594" s="178"/>
      <c r="S594" s="173"/>
      <c r="T594" s="179"/>
      <c r="U594" s="145"/>
    </row>
    <row r="595" spans="1:21" ht="15" customHeight="1">
      <c r="A595" s="159" t="s">
        <v>2747</v>
      </c>
      <c r="B595" s="114" t="str">
        <f>VLOOKUP(A595,'Data pick slip'!B:F,5,FALSE)</f>
        <v>KHJ-MC200-00</v>
      </c>
      <c r="C595" s="169">
        <v>110314</v>
      </c>
      <c r="D595" s="169" t="str">
        <f>VLOOKUP(C595,Stock_list!D:L,2,FALSE)</f>
        <v>超思维名义下单</v>
      </c>
      <c r="E595" s="281">
        <f>VLOOKUP(C595,Stock_list!D:L,9,FALSE)</f>
        <v>44421</v>
      </c>
      <c r="F595" s="170" t="s">
        <v>1381</v>
      </c>
      <c r="G595" s="171">
        <v>100</v>
      </c>
      <c r="H595" s="172"/>
      <c r="I595" s="173"/>
      <c r="J595" s="173"/>
      <c r="K595" s="174"/>
      <c r="L595" s="175"/>
      <c r="M595" s="174"/>
      <c r="N595" s="176"/>
      <c r="O595" s="176"/>
      <c r="P595" s="173"/>
      <c r="Q595" s="177"/>
      <c r="R595" s="178"/>
      <c r="S595" s="173"/>
      <c r="T595" s="179"/>
      <c r="U595" s="145"/>
    </row>
    <row r="596" spans="1:21" ht="15" customHeight="1">
      <c r="A596" s="181" t="s">
        <v>2748</v>
      </c>
      <c r="B596" s="114" t="str">
        <f>VLOOKUP(A596,'Data pick slip'!B:F,5,FALSE)</f>
        <v>KHJ-MC400-00</v>
      </c>
      <c r="C596" s="169">
        <v>110314</v>
      </c>
      <c r="D596" s="169" t="str">
        <f>VLOOKUP(C596,Stock_list!D:L,2,FALSE)</f>
        <v>超思维名义下单</v>
      </c>
      <c r="E596" s="281">
        <f>VLOOKUP(C596,Stock_list!D:L,9,FALSE)</f>
        <v>44421</v>
      </c>
      <c r="F596" s="170" t="s">
        <v>1381</v>
      </c>
      <c r="G596" s="171">
        <v>50</v>
      </c>
      <c r="H596" s="172"/>
      <c r="I596" s="173"/>
      <c r="J596" s="173"/>
      <c r="K596" s="174"/>
      <c r="L596" s="175"/>
      <c r="M596" s="174"/>
      <c r="N596" s="176"/>
      <c r="O596" s="176"/>
      <c r="P596" s="173"/>
      <c r="Q596" s="177"/>
      <c r="R596" s="178"/>
      <c r="S596" s="173"/>
      <c r="T596" s="179"/>
      <c r="U596" s="145"/>
    </row>
    <row r="597" spans="1:21" ht="15" customHeight="1">
      <c r="A597" s="181" t="s">
        <v>2749</v>
      </c>
      <c r="B597" s="114" t="str">
        <f>VLOOKUP(A597,'Data pick slip'!B:F,5,FALSE)</f>
        <v>KHJ-MC500-00</v>
      </c>
      <c r="C597" s="169">
        <v>110314</v>
      </c>
      <c r="D597" s="169" t="str">
        <f>VLOOKUP(C597,Stock_list!D:L,2,FALSE)</f>
        <v>超思维名义下单</v>
      </c>
      <c r="E597" s="281">
        <f>VLOOKUP(C597,Stock_list!D:L,9,FALSE)</f>
        <v>44421</v>
      </c>
      <c r="F597" s="170" t="s">
        <v>1381</v>
      </c>
      <c r="G597" s="171">
        <v>10</v>
      </c>
      <c r="H597" s="172"/>
      <c r="I597" s="173"/>
      <c r="J597" s="173"/>
      <c r="K597" s="174"/>
      <c r="L597" s="175"/>
      <c r="M597" s="174"/>
      <c r="N597" s="176"/>
      <c r="O597" s="176"/>
      <c r="P597" s="173"/>
      <c r="Q597" s="177"/>
      <c r="R597" s="178"/>
      <c r="S597" s="173"/>
      <c r="T597" s="179"/>
      <c r="U597" s="145"/>
    </row>
    <row r="598" spans="1:21" ht="15" customHeight="1">
      <c r="A598" s="181" t="s">
        <v>2750</v>
      </c>
      <c r="B598" s="114" t="str">
        <f>VLOOKUP(A598,'Data pick slip'!B:F,5,FALSE)</f>
        <v>KHJ-MC600-00</v>
      </c>
      <c r="C598" s="169">
        <v>110314</v>
      </c>
      <c r="D598" s="169" t="str">
        <f>VLOOKUP(C598,Stock_list!D:L,2,FALSE)</f>
        <v>超思维名义下单</v>
      </c>
      <c r="E598" s="281">
        <f>VLOOKUP(C598,Stock_list!D:L,9,FALSE)</f>
        <v>44421</v>
      </c>
      <c r="F598" s="170" t="s">
        <v>1381</v>
      </c>
      <c r="G598" s="171">
        <v>10</v>
      </c>
      <c r="H598" s="172"/>
      <c r="I598" s="173"/>
      <c r="J598" s="173"/>
      <c r="K598" s="174"/>
      <c r="L598" s="175"/>
      <c r="M598" s="174"/>
      <c r="N598" s="176"/>
      <c r="O598" s="176"/>
      <c r="P598" s="173"/>
      <c r="Q598" s="177"/>
      <c r="R598" s="178"/>
      <c r="S598" s="173"/>
      <c r="T598" s="179"/>
      <c r="U598" s="145"/>
    </row>
    <row r="599" spans="1:21" ht="15" customHeight="1">
      <c r="A599" s="181" t="s">
        <v>2751</v>
      </c>
      <c r="B599" s="114" t="str">
        <f>VLOOKUP(A599,'Data pick slip'!B:F,5,FALSE)</f>
        <v>KHJ-MC700-00</v>
      </c>
      <c r="C599" s="169">
        <v>110314</v>
      </c>
      <c r="D599" s="169" t="str">
        <f>VLOOKUP(C599,Stock_list!D:L,2,FALSE)</f>
        <v>超思维名义下单</v>
      </c>
      <c r="E599" s="281">
        <f>VLOOKUP(C599,Stock_list!D:L,9,FALSE)</f>
        <v>44421</v>
      </c>
      <c r="F599" s="170" t="s">
        <v>1381</v>
      </c>
      <c r="G599" s="171">
        <v>1</v>
      </c>
      <c r="H599" s="172"/>
      <c r="I599" s="173"/>
      <c r="J599" s="173"/>
      <c r="K599" s="174"/>
      <c r="L599" s="175"/>
      <c r="M599" s="174"/>
      <c r="N599" s="176"/>
      <c r="O599" s="176"/>
      <c r="P599" s="173"/>
      <c r="Q599" s="177"/>
      <c r="R599" s="178"/>
      <c r="S599" s="173"/>
      <c r="T599" s="179"/>
      <c r="U599" s="145"/>
    </row>
    <row r="600" spans="1:21" ht="15" customHeight="1">
      <c r="A600" s="159" t="s">
        <v>2744</v>
      </c>
      <c r="B600" s="114" t="str">
        <f>VLOOKUP(A600,'Data pick slip'!B:F,5,FALSE)</f>
        <v>KHJ-MC100-00</v>
      </c>
      <c r="C600" s="169"/>
      <c r="D600" s="156"/>
      <c r="E600" s="141" t="s">
        <v>2951</v>
      </c>
      <c r="F600" s="170" t="s">
        <v>2773</v>
      </c>
      <c r="G600" s="140">
        <v>148</v>
      </c>
      <c r="H600" s="172"/>
      <c r="I600" s="173"/>
      <c r="J600" s="173"/>
      <c r="K600" s="174"/>
      <c r="L600" s="175"/>
      <c r="M600" s="174"/>
      <c r="N600" s="176"/>
      <c r="O600" s="176"/>
      <c r="P600" s="173"/>
      <c r="Q600" s="177"/>
      <c r="R600" s="178"/>
      <c r="S600" s="173"/>
      <c r="T600" s="179"/>
      <c r="U600" s="145"/>
    </row>
    <row r="601" spans="1:21" ht="15" customHeight="1">
      <c r="A601" s="159" t="s">
        <v>2747</v>
      </c>
      <c r="B601" s="114" t="str">
        <f>VLOOKUP(A601,'Data pick slip'!B:F,5,FALSE)</f>
        <v>KHJ-MC200-00</v>
      </c>
      <c r="C601" s="169"/>
      <c r="D601" s="156"/>
      <c r="E601" s="141" t="s">
        <v>2951</v>
      </c>
      <c r="F601" s="170" t="s">
        <v>2773</v>
      </c>
      <c r="G601" s="140">
        <v>46</v>
      </c>
      <c r="H601" s="172"/>
      <c r="I601" s="173"/>
      <c r="J601" s="173"/>
      <c r="K601" s="174"/>
      <c r="L601" s="175"/>
      <c r="M601" s="174"/>
      <c r="N601" s="176"/>
      <c r="O601" s="176"/>
      <c r="P601" s="173"/>
      <c r="Q601" s="177"/>
      <c r="R601" s="178"/>
      <c r="S601" s="173"/>
      <c r="T601" s="179"/>
      <c r="U601" s="145"/>
    </row>
    <row r="602" spans="1:21" ht="15" customHeight="1">
      <c r="A602" s="181" t="s">
        <v>2755</v>
      </c>
      <c r="B602" s="114" t="str">
        <f>VLOOKUP(A602,'Data pick slip'!B:F,5,FALSE)</f>
        <v>KLJ-MC100-00</v>
      </c>
      <c r="C602" s="169">
        <v>110333</v>
      </c>
      <c r="D602" s="169" t="str">
        <f>VLOOKUP(C602,Stock_list!D:L,2,FALSE)</f>
        <v>龙大名义下单</v>
      </c>
      <c r="E602" s="281">
        <f>VLOOKUP(C602,Stock_list!D:L,9,FALSE)</f>
        <v>44309</v>
      </c>
      <c r="F602" s="170" t="s">
        <v>1381</v>
      </c>
      <c r="G602" s="171">
        <v>300</v>
      </c>
      <c r="H602" s="172"/>
      <c r="I602" s="173"/>
      <c r="J602" s="173"/>
      <c r="K602" s="174"/>
      <c r="L602" s="175"/>
      <c r="M602" s="174"/>
      <c r="N602" s="176"/>
      <c r="O602" s="176"/>
      <c r="P602" s="173"/>
      <c r="Q602" s="177"/>
      <c r="R602" s="178"/>
      <c r="S602" s="173"/>
      <c r="T602" s="179"/>
      <c r="U602" s="145"/>
    </row>
    <row r="603" spans="1:21" ht="15" customHeight="1">
      <c r="A603" s="181" t="s">
        <v>2756</v>
      </c>
      <c r="B603" s="114" t="str">
        <f>VLOOKUP(A603,'Data pick slip'!B:F,5,FALSE)</f>
        <v>KLJ-MC200-00</v>
      </c>
      <c r="C603" s="169">
        <v>110333</v>
      </c>
      <c r="D603" s="169" t="str">
        <f>VLOOKUP(C603,Stock_list!D:L,2,FALSE)</f>
        <v>龙大名义下单</v>
      </c>
      <c r="E603" s="281">
        <f>VLOOKUP(C603,Stock_list!D:L,9,FALSE)</f>
        <v>44309</v>
      </c>
      <c r="F603" s="170" t="s">
        <v>1381</v>
      </c>
      <c r="G603" s="171">
        <v>30</v>
      </c>
      <c r="H603" s="172"/>
      <c r="I603" s="173"/>
      <c r="J603" s="173"/>
      <c r="K603" s="174"/>
      <c r="L603" s="175"/>
      <c r="M603" s="174"/>
      <c r="N603" s="176"/>
      <c r="O603" s="176"/>
      <c r="P603" s="173"/>
      <c r="Q603" s="177"/>
      <c r="R603" s="178"/>
      <c r="S603" s="173"/>
      <c r="T603" s="179"/>
      <c r="U603" s="145"/>
    </row>
    <row r="604" spans="1:21" ht="15" customHeight="1">
      <c r="A604" s="181" t="s">
        <v>2757</v>
      </c>
      <c r="B604" s="114" t="str">
        <f>VLOOKUP(A604,'Data pick slip'!B:F,5,FALSE)</f>
        <v>KLJ-MC400-00</v>
      </c>
      <c r="C604" s="169">
        <v>110333</v>
      </c>
      <c r="D604" s="169" t="str">
        <f>VLOOKUP(C604,Stock_list!D:L,2,FALSE)</f>
        <v>龙大名义下单</v>
      </c>
      <c r="E604" s="281">
        <f>VLOOKUP(C604,Stock_list!D:L,9,FALSE)</f>
        <v>44309</v>
      </c>
      <c r="F604" s="170" t="s">
        <v>1381</v>
      </c>
      <c r="G604" s="171">
        <v>15</v>
      </c>
      <c r="H604" s="172"/>
      <c r="I604" s="173"/>
      <c r="J604" s="173"/>
      <c r="K604" s="174"/>
      <c r="L604" s="175"/>
      <c r="M604" s="174"/>
      <c r="N604" s="176"/>
      <c r="O604" s="176"/>
      <c r="P604" s="173"/>
      <c r="Q604" s="177"/>
      <c r="R604" s="178"/>
      <c r="S604" s="173"/>
      <c r="T604" s="179"/>
      <c r="U604" s="145"/>
    </row>
    <row r="605" spans="1:21" ht="15" customHeight="1">
      <c r="A605" s="159" t="s">
        <v>2744</v>
      </c>
      <c r="B605" s="114" t="str">
        <f>VLOOKUP(A605,'Data pick slip'!B:F,5,FALSE)</f>
        <v>KHJ-MC100-00</v>
      </c>
      <c r="C605" s="169">
        <v>110383</v>
      </c>
      <c r="D605" s="169" t="str">
        <f>VLOOKUP(C605,Stock_list!D:L,2,FALSE)</f>
        <v>正创名义下单</v>
      </c>
      <c r="E605" s="281">
        <f>VLOOKUP(C605,Stock_list!D:L,9,FALSE)</f>
        <v>44400</v>
      </c>
      <c r="F605" s="170" t="s">
        <v>1381</v>
      </c>
      <c r="G605" s="171">
        <v>250</v>
      </c>
      <c r="H605" s="172"/>
      <c r="I605" s="173"/>
      <c r="J605" s="173"/>
      <c r="K605" s="174"/>
      <c r="L605" s="175"/>
      <c r="M605" s="174"/>
      <c r="N605" s="176"/>
      <c r="O605" s="176"/>
      <c r="P605" s="173"/>
      <c r="Q605" s="177"/>
      <c r="R605" s="178"/>
      <c r="S605" s="173"/>
      <c r="T605" s="179"/>
      <c r="U605" s="145"/>
    </row>
    <row r="606" spans="1:21" ht="15" customHeight="1">
      <c r="A606" s="159" t="s">
        <v>2747</v>
      </c>
      <c r="B606" s="114" t="str">
        <f>VLOOKUP(A606,'Data pick slip'!B:F,5,FALSE)</f>
        <v>KHJ-MC200-00</v>
      </c>
      <c r="C606" s="169">
        <v>110383</v>
      </c>
      <c r="D606" s="169" t="str">
        <f>VLOOKUP(C606,Stock_list!D:L,2,FALSE)</f>
        <v>正创名义下单</v>
      </c>
      <c r="E606" s="281">
        <f>VLOOKUP(C606,Stock_list!D:L,9,FALSE)</f>
        <v>44400</v>
      </c>
      <c r="F606" s="170" t="s">
        <v>1381</v>
      </c>
      <c r="G606" s="171">
        <v>100</v>
      </c>
      <c r="H606" s="172"/>
      <c r="I606" s="173"/>
      <c r="J606" s="173"/>
      <c r="K606" s="174"/>
      <c r="L606" s="175"/>
      <c r="M606" s="174"/>
      <c r="N606" s="176"/>
      <c r="O606" s="176"/>
      <c r="P606" s="173"/>
      <c r="Q606" s="177"/>
      <c r="R606" s="178"/>
      <c r="S606" s="173"/>
      <c r="T606" s="179"/>
      <c r="U606" s="145"/>
    </row>
    <row r="607" spans="1:21" ht="15" customHeight="1">
      <c r="A607" s="181" t="s">
        <v>2748</v>
      </c>
      <c r="B607" s="114" t="str">
        <f>VLOOKUP(A607,'Data pick slip'!B:F,5,FALSE)</f>
        <v>KHJ-MC400-00</v>
      </c>
      <c r="C607" s="169">
        <v>110383</v>
      </c>
      <c r="D607" s="169" t="str">
        <f>VLOOKUP(C607,Stock_list!D:L,2,FALSE)</f>
        <v>正创名义下单</v>
      </c>
      <c r="E607" s="281">
        <f>VLOOKUP(C607,Stock_list!D:L,9,FALSE)</f>
        <v>44400</v>
      </c>
      <c r="F607" s="170" t="s">
        <v>1381</v>
      </c>
      <c r="G607" s="171">
        <v>20</v>
      </c>
      <c r="H607" s="172"/>
      <c r="I607" s="173"/>
      <c r="J607" s="173"/>
      <c r="K607" s="174"/>
      <c r="L607" s="175"/>
      <c r="M607" s="174"/>
      <c r="N607" s="176"/>
      <c r="O607" s="176"/>
      <c r="P607" s="173"/>
      <c r="Q607" s="177"/>
      <c r="R607" s="178"/>
      <c r="S607" s="173"/>
      <c r="T607" s="179"/>
      <c r="U607" s="145"/>
    </row>
    <row r="608" spans="1:21" ht="15" customHeight="1">
      <c r="A608" s="181" t="s">
        <v>2752</v>
      </c>
      <c r="B608" s="114" t="str">
        <f>VLOOKUP(A608,'Data pick slip'!B:F,5,FALSE)</f>
        <v>KHJ-MC800-00</v>
      </c>
      <c r="C608" s="169">
        <v>110383</v>
      </c>
      <c r="D608" s="169" t="str">
        <f>VLOOKUP(C608,Stock_list!D:L,2,FALSE)</f>
        <v>正创名义下单</v>
      </c>
      <c r="E608" s="281">
        <f>VLOOKUP(C608,Stock_list!D:L,9,FALSE)</f>
        <v>44400</v>
      </c>
      <c r="F608" s="170" t="s">
        <v>1381</v>
      </c>
      <c r="G608" s="171">
        <v>1</v>
      </c>
      <c r="H608" s="172"/>
      <c r="I608" s="173"/>
      <c r="J608" s="173"/>
      <c r="K608" s="174"/>
      <c r="L608" s="175"/>
      <c r="M608" s="174"/>
      <c r="N608" s="176"/>
      <c r="O608" s="176"/>
      <c r="P608" s="173"/>
      <c r="Q608" s="177"/>
      <c r="R608" s="178"/>
      <c r="S608" s="173"/>
      <c r="T608" s="179"/>
      <c r="U608" s="145"/>
    </row>
    <row r="609" spans="1:21" ht="15" customHeight="1">
      <c r="A609" s="159" t="s">
        <v>2744</v>
      </c>
      <c r="B609" s="114" t="str">
        <f>VLOOKUP(A609,'Data pick slip'!B:F,5,FALSE)</f>
        <v>KHJ-MC100-00</v>
      </c>
      <c r="C609" s="169">
        <v>110384</v>
      </c>
      <c r="D609" s="169" t="str">
        <f>VLOOKUP(C609,Stock_list!D:L,2,FALSE)</f>
        <v>正创名义下单</v>
      </c>
      <c r="E609" s="160">
        <f>VLOOKUP(C609,Stock_list!D:L,9,FALSE)</f>
        <v>44346</v>
      </c>
      <c r="F609" s="170" t="s">
        <v>1381</v>
      </c>
      <c r="G609" s="171">
        <v>300</v>
      </c>
      <c r="H609" s="172"/>
      <c r="I609" s="173"/>
      <c r="J609" s="173"/>
      <c r="K609" s="174"/>
      <c r="L609" s="175"/>
      <c r="M609" s="174"/>
      <c r="N609" s="176"/>
      <c r="O609" s="176"/>
      <c r="P609" s="173"/>
      <c r="Q609" s="177"/>
      <c r="R609" s="178"/>
      <c r="S609" s="173"/>
      <c r="T609" s="179"/>
      <c r="U609" s="145"/>
    </row>
    <row r="610" spans="1:21" ht="15" customHeight="1">
      <c r="A610" s="159" t="s">
        <v>2747</v>
      </c>
      <c r="B610" s="114" t="str">
        <f>VLOOKUP(A610,'Data pick slip'!B:F,5,FALSE)</f>
        <v>KHJ-MC200-00</v>
      </c>
      <c r="C610" s="169">
        <v>110384</v>
      </c>
      <c r="D610" s="169" t="str">
        <f>VLOOKUP(C610,Stock_list!D:L,2,FALSE)</f>
        <v>正创名义下单</v>
      </c>
      <c r="E610" s="160">
        <f>VLOOKUP(C610,Stock_list!D:L,9,FALSE)</f>
        <v>44346</v>
      </c>
      <c r="F610" s="170" t="s">
        <v>1381</v>
      </c>
      <c r="G610" s="171">
        <v>50</v>
      </c>
      <c r="H610" s="172"/>
      <c r="I610" s="173"/>
      <c r="J610" s="173"/>
      <c r="K610" s="174"/>
      <c r="L610" s="175"/>
      <c r="M610" s="174"/>
      <c r="N610" s="176"/>
      <c r="O610" s="176"/>
      <c r="P610" s="173"/>
      <c r="Q610" s="177"/>
      <c r="R610" s="178"/>
      <c r="S610" s="173"/>
      <c r="T610" s="179"/>
      <c r="U610" s="145"/>
    </row>
    <row r="611" spans="1:21" ht="14.1" customHeight="1">
      <c r="A611" s="181" t="s">
        <v>2748</v>
      </c>
      <c r="B611" s="114" t="str">
        <f>VLOOKUP(A611,'Data pick slip'!B:F,5,FALSE)</f>
        <v>KHJ-MC400-00</v>
      </c>
      <c r="C611" s="169">
        <v>110384</v>
      </c>
      <c r="D611" s="169" t="str">
        <f>VLOOKUP(C611,Stock_list!D:L,2,FALSE)</f>
        <v>正创名义下单</v>
      </c>
      <c r="E611" s="160">
        <f>VLOOKUP(C611,Stock_list!D:L,9,FALSE)</f>
        <v>44346</v>
      </c>
      <c r="F611" s="170" t="s">
        <v>1381</v>
      </c>
      <c r="G611" s="171">
        <v>10</v>
      </c>
      <c r="H611" s="172"/>
      <c r="I611" s="173"/>
      <c r="J611" s="173"/>
      <c r="K611" s="174"/>
      <c r="L611" s="175"/>
      <c r="M611" s="174"/>
      <c r="N611" s="176"/>
      <c r="O611" s="176"/>
      <c r="P611" s="173"/>
      <c r="Q611" s="177"/>
      <c r="R611" s="178"/>
      <c r="S611" s="173"/>
      <c r="T611" s="179"/>
      <c r="U611" s="145"/>
    </row>
    <row r="612" spans="1:21" ht="15" customHeight="1">
      <c r="A612" s="159" t="s">
        <v>2744</v>
      </c>
      <c r="B612" s="114" t="str">
        <f>VLOOKUP(A612,'Data pick slip'!B:F,5,FALSE)</f>
        <v>KHJ-MC100-00</v>
      </c>
      <c r="C612" s="169">
        <v>110441</v>
      </c>
      <c r="D612" s="169" t="str">
        <f>VLOOKUP(C612,Stock_list!D:L,2,FALSE)</f>
        <v>正创名义下单</v>
      </c>
      <c r="E612" s="281">
        <f>VLOOKUP(C612,Stock_list!D:L,9,FALSE)</f>
        <v>44397</v>
      </c>
      <c r="F612" s="170" t="s">
        <v>1381</v>
      </c>
      <c r="G612" s="171">
        <v>200</v>
      </c>
      <c r="H612" s="172"/>
      <c r="I612" s="173"/>
      <c r="J612" s="173"/>
      <c r="K612" s="174"/>
      <c r="L612" s="175"/>
      <c r="M612" s="174"/>
      <c r="N612" s="176"/>
      <c r="O612" s="176"/>
      <c r="P612" s="173"/>
      <c r="Q612" s="177"/>
      <c r="R612" s="178"/>
      <c r="S612" s="173"/>
      <c r="T612" s="179"/>
      <c r="U612" s="145"/>
    </row>
    <row r="613" spans="1:21" ht="15" customHeight="1">
      <c r="A613" s="159" t="s">
        <v>2744</v>
      </c>
      <c r="B613" s="114" t="str">
        <f>VLOOKUP(A613,'Data pick slip'!B:F,5,FALSE)</f>
        <v>KHJ-MC100-00</v>
      </c>
      <c r="C613" s="169"/>
      <c r="D613" s="169" t="s">
        <v>242</v>
      </c>
      <c r="E613" s="141" t="s">
        <v>2952</v>
      </c>
      <c r="F613" s="170" t="s">
        <v>2773</v>
      </c>
      <c r="G613" s="171">
        <v>100</v>
      </c>
      <c r="H613" s="172"/>
      <c r="I613" s="173"/>
      <c r="J613" s="173"/>
      <c r="K613" s="174"/>
      <c r="L613" s="175"/>
      <c r="M613" s="174"/>
      <c r="N613" s="176"/>
      <c r="O613" s="176"/>
      <c r="P613" s="173"/>
      <c r="Q613" s="177"/>
      <c r="R613" s="178"/>
      <c r="S613" s="173"/>
      <c r="T613" s="179"/>
      <c r="U613" s="145"/>
    </row>
    <row r="614" spans="1:21" ht="15" customHeight="1">
      <c r="A614" s="159" t="s">
        <v>2747</v>
      </c>
      <c r="B614" s="114" t="str">
        <f>VLOOKUP(A614,'Data pick slip'!B:F,5,FALSE)</f>
        <v>KHJ-MC200-00</v>
      </c>
      <c r="C614" s="169"/>
      <c r="D614" s="169"/>
      <c r="E614" s="141" t="s">
        <v>2952</v>
      </c>
      <c r="F614" s="170" t="s">
        <v>2773</v>
      </c>
      <c r="G614" s="171">
        <v>60</v>
      </c>
      <c r="H614" s="172"/>
      <c r="I614" s="173"/>
      <c r="J614" s="173"/>
      <c r="K614" s="174"/>
      <c r="L614" s="175"/>
      <c r="M614" s="174"/>
      <c r="N614" s="176"/>
      <c r="O614" s="176"/>
      <c r="P614" s="173"/>
      <c r="Q614" s="177"/>
      <c r="R614" s="178"/>
      <c r="S614" s="173"/>
      <c r="T614" s="179"/>
      <c r="U614" s="145"/>
    </row>
    <row r="615" spans="1:21" ht="15" customHeight="1">
      <c r="A615" s="181" t="s">
        <v>2748</v>
      </c>
      <c r="B615" s="114" t="str">
        <f>VLOOKUP(A615,'Data pick slip'!B:F,5,FALSE)</f>
        <v>KHJ-MC400-00</v>
      </c>
      <c r="C615" s="169"/>
      <c r="D615" s="169"/>
      <c r="E615" s="141" t="s">
        <v>2952</v>
      </c>
      <c r="F615" s="170" t="s">
        <v>2773</v>
      </c>
      <c r="G615" s="171">
        <v>4</v>
      </c>
      <c r="H615" s="172"/>
      <c r="I615" s="173"/>
      <c r="J615" s="173"/>
      <c r="K615" s="174"/>
      <c r="L615" s="175"/>
      <c r="M615" s="174"/>
      <c r="N615" s="176"/>
      <c r="O615" s="176"/>
      <c r="P615" s="173"/>
      <c r="Q615" s="177"/>
      <c r="R615" s="178"/>
      <c r="S615" s="173"/>
      <c r="T615" s="179"/>
      <c r="U615" s="145"/>
    </row>
    <row r="616" spans="1:21" ht="15" customHeight="1">
      <c r="A616" s="181" t="s">
        <v>2749</v>
      </c>
      <c r="B616" s="114" t="str">
        <f>VLOOKUP(A616,'Data pick slip'!B:F,5,FALSE)</f>
        <v>KHJ-MC500-00</v>
      </c>
      <c r="C616" s="169"/>
      <c r="D616" s="169"/>
      <c r="E616" s="141" t="s">
        <v>2952</v>
      </c>
      <c r="F616" s="170" t="s">
        <v>2773</v>
      </c>
      <c r="G616" s="171">
        <v>1</v>
      </c>
      <c r="H616" s="172"/>
      <c r="I616" s="173"/>
      <c r="J616" s="173"/>
      <c r="K616" s="174"/>
      <c r="L616" s="175"/>
      <c r="M616" s="174"/>
      <c r="N616" s="176"/>
      <c r="O616" s="176"/>
      <c r="P616" s="173"/>
      <c r="Q616" s="177"/>
      <c r="R616" s="178"/>
      <c r="S616" s="173"/>
      <c r="T616" s="179"/>
      <c r="U616" s="145"/>
    </row>
    <row r="617" spans="1:21" ht="15" customHeight="1">
      <c r="A617" s="181" t="s">
        <v>2755</v>
      </c>
      <c r="B617" s="114" t="str">
        <f>VLOOKUP(A617,'Data pick slip'!B:F,5,FALSE)</f>
        <v>KLJ-MC100-00</v>
      </c>
      <c r="C617" s="169" t="s">
        <v>2953</v>
      </c>
      <c r="D617" s="169" t="e">
        <f>VLOOKUP(C617,Stock_list!D:L,2,FALSE)</f>
        <v>#N/A</v>
      </c>
      <c r="E617" s="281" t="e">
        <f>VLOOKUP(C617,Stock_list!D:L,9,FALSE)</f>
        <v>#N/A</v>
      </c>
      <c r="F617" s="170" t="s">
        <v>1381</v>
      </c>
      <c r="G617" s="171">
        <v>850</v>
      </c>
      <c r="H617" s="172"/>
      <c r="I617" s="173"/>
      <c r="J617" s="173"/>
      <c r="K617" s="174"/>
      <c r="L617" s="175"/>
      <c r="M617" s="174"/>
      <c r="N617" s="176"/>
      <c r="O617" s="176"/>
      <c r="P617" s="173"/>
      <c r="Q617" s="177"/>
      <c r="R617" s="178"/>
      <c r="S617" s="173"/>
      <c r="T617" s="179"/>
      <c r="U617" s="145"/>
    </row>
    <row r="618" spans="1:21" ht="15" customHeight="1">
      <c r="A618" s="181" t="s">
        <v>2756</v>
      </c>
      <c r="B618" s="114" t="str">
        <f>VLOOKUP(A618,'Data pick slip'!B:F,5,FALSE)</f>
        <v>KLJ-MC200-00</v>
      </c>
      <c r="C618" s="169">
        <v>110413</v>
      </c>
      <c r="D618" s="169" t="str">
        <f>VLOOKUP(C618,Stock_list!D:L,2,FALSE)</f>
        <v>杉川名义</v>
      </c>
      <c r="E618" s="281">
        <f>VLOOKUP(C618,Stock_list!D:L,9,FALSE)</f>
        <v>44399</v>
      </c>
      <c r="F618" s="170" t="s">
        <v>1381</v>
      </c>
      <c r="G618" s="171">
        <v>250</v>
      </c>
      <c r="H618" s="172"/>
      <c r="I618" s="173"/>
      <c r="J618" s="173"/>
      <c r="K618" s="174"/>
      <c r="L618" s="175"/>
      <c r="M618" s="174"/>
      <c r="N618" s="176"/>
      <c r="O618" s="176"/>
      <c r="P618" s="173"/>
      <c r="Q618" s="177"/>
      <c r="R618" s="178"/>
      <c r="S618" s="173"/>
      <c r="T618" s="179"/>
      <c r="U618" s="145"/>
    </row>
    <row r="619" spans="1:21" ht="15" customHeight="1">
      <c r="A619" s="181" t="s">
        <v>2757</v>
      </c>
      <c r="B619" s="114" t="str">
        <f>VLOOKUP(A619,'Data pick slip'!B:F,5,FALSE)</f>
        <v>KLJ-MC400-00</v>
      </c>
      <c r="C619" s="169">
        <v>110413</v>
      </c>
      <c r="D619" s="169" t="str">
        <f>VLOOKUP(C619,Stock_list!D:L,2,FALSE)</f>
        <v>杉川名义</v>
      </c>
      <c r="E619" s="281">
        <f>VLOOKUP(C619,Stock_list!D:L,9,FALSE)</f>
        <v>44399</v>
      </c>
      <c r="F619" s="170" t="s">
        <v>1381</v>
      </c>
      <c r="G619" s="171">
        <v>60</v>
      </c>
      <c r="H619" s="172"/>
      <c r="I619" s="173"/>
      <c r="J619" s="173"/>
      <c r="K619" s="174"/>
      <c r="L619" s="175"/>
      <c r="M619" s="174"/>
      <c r="N619" s="176"/>
      <c r="O619" s="176"/>
      <c r="P619" s="173"/>
      <c r="Q619" s="177"/>
      <c r="R619" s="178"/>
      <c r="S619" s="173"/>
      <c r="T619" s="179"/>
      <c r="U619" s="145"/>
    </row>
    <row r="620" spans="1:21" ht="15" customHeight="1">
      <c r="A620" s="181" t="s">
        <v>2758</v>
      </c>
      <c r="B620" s="114" t="str">
        <f>VLOOKUP(A620,'Data pick slip'!B:F,5,FALSE)</f>
        <v>KLJ-MC500-00</v>
      </c>
      <c r="C620" s="169">
        <v>110413</v>
      </c>
      <c r="D620" s="169" t="str">
        <f>VLOOKUP(C620,Stock_list!D:L,2,FALSE)</f>
        <v>杉川名义</v>
      </c>
      <c r="E620" s="281">
        <f>VLOOKUP(C620,Stock_list!D:L,9,FALSE)</f>
        <v>44399</v>
      </c>
      <c r="F620" s="170" t="s">
        <v>1381</v>
      </c>
      <c r="G620" s="171">
        <v>20</v>
      </c>
      <c r="H620" s="172"/>
      <c r="I620" s="173"/>
      <c r="J620" s="173"/>
      <c r="K620" s="174"/>
      <c r="L620" s="175"/>
      <c r="M620" s="174"/>
      <c r="N620" s="176"/>
      <c r="O620" s="176"/>
      <c r="P620" s="173"/>
      <c r="Q620" s="177"/>
      <c r="R620" s="178"/>
      <c r="S620" s="173"/>
      <c r="T620" s="179"/>
      <c r="U620" s="145"/>
    </row>
    <row r="621" spans="1:21" ht="15" customHeight="1">
      <c r="A621" s="181" t="s">
        <v>2759</v>
      </c>
      <c r="B621" s="114" t="str">
        <f>VLOOKUP(A621,'Data pick slip'!B:F,5,FALSE)</f>
        <v>KLJ-MC600-00</v>
      </c>
      <c r="C621" s="169">
        <v>110413</v>
      </c>
      <c r="D621" s="169" t="str">
        <f>VLOOKUP(C621,Stock_list!D:L,2,FALSE)</f>
        <v>杉川名义</v>
      </c>
      <c r="E621" s="281">
        <f>VLOOKUP(C621,Stock_list!D:L,9,FALSE)</f>
        <v>44399</v>
      </c>
      <c r="F621" s="170" t="s">
        <v>1381</v>
      </c>
      <c r="G621" s="171">
        <v>10</v>
      </c>
      <c r="H621" s="172"/>
      <c r="I621" s="173"/>
      <c r="J621" s="173"/>
      <c r="K621" s="174"/>
      <c r="L621" s="175"/>
      <c r="M621" s="174"/>
      <c r="N621" s="176"/>
      <c r="O621" s="176"/>
      <c r="P621" s="173"/>
      <c r="Q621" s="177"/>
      <c r="R621" s="178"/>
      <c r="S621" s="173"/>
      <c r="T621" s="179"/>
      <c r="U621" s="145"/>
    </row>
    <row r="622" spans="1:21" ht="15" customHeight="1">
      <c r="A622" s="181" t="s">
        <v>2755</v>
      </c>
      <c r="B622" s="114" t="str">
        <f>VLOOKUP(A622,'Data pick slip'!B:F,5,FALSE)</f>
        <v>KLJ-MC100-00</v>
      </c>
      <c r="C622" s="169">
        <v>110402</v>
      </c>
      <c r="D622" s="169" t="str">
        <f>VLOOKUP(C622,Stock_list!D:L,2,FALSE)</f>
        <v>杉川名义</v>
      </c>
      <c r="E622" s="281">
        <f>VLOOKUP(C622,Stock_list!D:L,9,FALSE)</f>
        <v>44375</v>
      </c>
      <c r="F622" s="170" t="s">
        <v>1381</v>
      </c>
      <c r="G622" s="171">
        <v>450</v>
      </c>
      <c r="H622" s="172"/>
      <c r="I622" s="173"/>
      <c r="J622" s="173"/>
      <c r="K622" s="174"/>
      <c r="L622" s="175"/>
      <c r="M622" s="174"/>
      <c r="N622" s="176"/>
      <c r="O622" s="176"/>
      <c r="P622" s="173"/>
      <c r="Q622" s="177"/>
      <c r="R622" s="178"/>
      <c r="S622" s="173"/>
      <c r="T622" s="179"/>
      <c r="U622" s="145"/>
    </row>
    <row r="623" spans="1:21" ht="15" customHeight="1">
      <c r="A623" s="181" t="s">
        <v>2756</v>
      </c>
      <c r="B623" s="114" t="str">
        <f>VLOOKUP(A623,'Data pick slip'!B:F,5,FALSE)</f>
        <v>KLJ-MC200-00</v>
      </c>
      <c r="C623" s="169">
        <v>110402</v>
      </c>
      <c r="D623" s="169" t="str">
        <f>VLOOKUP(C623,Stock_list!D:L,2,FALSE)</f>
        <v>杉川名义</v>
      </c>
      <c r="E623" s="281">
        <f>VLOOKUP(C623,Stock_list!D:L,9,FALSE)</f>
        <v>44375</v>
      </c>
      <c r="F623" s="170" t="s">
        <v>1381</v>
      </c>
      <c r="G623" s="171">
        <v>100</v>
      </c>
      <c r="H623" s="172"/>
      <c r="I623" s="173"/>
      <c r="J623" s="173"/>
      <c r="K623" s="174"/>
      <c r="L623" s="175"/>
      <c r="M623" s="174"/>
      <c r="N623" s="176"/>
      <c r="O623" s="176"/>
      <c r="P623" s="173"/>
      <c r="Q623" s="177"/>
      <c r="R623" s="178"/>
      <c r="S623" s="173"/>
      <c r="T623" s="179"/>
      <c r="U623" s="145"/>
    </row>
    <row r="624" spans="1:21" ht="15" customHeight="1">
      <c r="A624" s="181" t="s">
        <v>2757</v>
      </c>
      <c r="B624" s="114" t="str">
        <f>VLOOKUP(A624,'Data pick slip'!B:F,5,FALSE)</f>
        <v>KLJ-MC400-00</v>
      </c>
      <c r="C624" s="169">
        <v>110402</v>
      </c>
      <c r="D624" s="169" t="str">
        <f>VLOOKUP(C624,Stock_list!D:L,2,FALSE)</f>
        <v>杉川名义</v>
      </c>
      <c r="E624" s="281">
        <f>VLOOKUP(C624,Stock_list!D:L,9,FALSE)</f>
        <v>44375</v>
      </c>
      <c r="F624" s="170" t="s">
        <v>1381</v>
      </c>
      <c r="G624" s="171">
        <v>25</v>
      </c>
      <c r="H624" s="172"/>
      <c r="I624" s="173"/>
      <c r="J624" s="173"/>
      <c r="K624" s="174"/>
      <c r="L624" s="175"/>
      <c r="M624" s="174"/>
      <c r="N624" s="176"/>
      <c r="O624" s="176"/>
      <c r="P624" s="173"/>
      <c r="Q624" s="177"/>
      <c r="R624" s="178"/>
      <c r="S624" s="173"/>
      <c r="T624" s="179"/>
      <c r="U624" s="145"/>
    </row>
    <row r="625" spans="1:21" ht="15" customHeight="1">
      <c r="A625" s="181" t="s">
        <v>2758</v>
      </c>
      <c r="B625" s="114" t="str">
        <f>VLOOKUP(A625,'Data pick slip'!B:F,5,FALSE)</f>
        <v>KLJ-MC500-00</v>
      </c>
      <c r="C625" s="169">
        <v>110402</v>
      </c>
      <c r="D625" s="169" t="str">
        <f>VLOOKUP(C625,Stock_list!D:L,2,FALSE)</f>
        <v>杉川名义</v>
      </c>
      <c r="E625" s="281">
        <f>VLOOKUP(C625,Stock_list!D:L,9,FALSE)</f>
        <v>44375</v>
      </c>
      <c r="F625" s="170" t="s">
        <v>1381</v>
      </c>
      <c r="G625" s="171">
        <v>5</v>
      </c>
      <c r="H625" s="172"/>
      <c r="I625" s="173"/>
      <c r="J625" s="173"/>
      <c r="K625" s="174"/>
      <c r="L625" s="175"/>
      <c r="M625" s="174"/>
      <c r="N625" s="176"/>
      <c r="O625" s="176"/>
      <c r="P625" s="173"/>
      <c r="Q625" s="177"/>
      <c r="R625" s="178"/>
      <c r="S625" s="173"/>
      <c r="T625" s="179"/>
      <c r="U625" s="145"/>
    </row>
    <row r="626" spans="1:21" ht="15" customHeight="1">
      <c r="A626" s="181" t="s">
        <v>2759</v>
      </c>
      <c r="B626" s="114" t="str">
        <f>VLOOKUP(A626,'Data pick slip'!B:F,5,FALSE)</f>
        <v>KLJ-MC600-00</v>
      </c>
      <c r="C626" s="169">
        <v>110402</v>
      </c>
      <c r="D626" s="169" t="str">
        <f>VLOOKUP(C626,Stock_list!D:L,2,FALSE)</f>
        <v>杉川名义</v>
      </c>
      <c r="E626" s="281">
        <f>VLOOKUP(C626,Stock_list!D:L,9,FALSE)</f>
        <v>44375</v>
      </c>
      <c r="F626" s="170" t="s">
        <v>1381</v>
      </c>
      <c r="G626" s="171">
        <v>5</v>
      </c>
      <c r="H626" s="172"/>
      <c r="I626" s="173"/>
      <c r="J626" s="173"/>
      <c r="K626" s="174"/>
      <c r="L626" s="175"/>
      <c r="M626" s="174"/>
      <c r="N626" s="176"/>
      <c r="O626" s="176"/>
      <c r="P626" s="173"/>
      <c r="Q626" s="177"/>
      <c r="R626" s="178"/>
      <c r="S626" s="173"/>
      <c r="T626" s="179"/>
      <c r="U626" s="145"/>
    </row>
    <row r="627" spans="1:21" ht="15" customHeight="1">
      <c r="A627" s="181" t="s">
        <v>2760</v>
      </c>
      <c r="B627" s="114" t="str">
        <f>VLOOKUP(A627,'Data pick slip'!B:F,5,FALSE)</f>
        <v>KLJ-MC700-00</v>
      </c>
      <c r="C627" s="169">
        <v>110413</v>
      </c>
      <c r="D627" s="169" t="str">
        <f>VLOOKUP(C627,Stock_list!D:L,2,FALSE)</f>
        <v>杉川名义</v>
      </c>
      <c r="E627" s="281">
        <f>VLOOKUP(C627,Stock_list!D:L,9,FALSE)</f>
        <v>44399</v>
      </c>
      <c r="F627" s="170" t="s">
        <v>1381</v>
      </c>
      <c r="G627" s="171">
        <v>3</v>
      </c>
      <c r="H627" s="172"/>
      <c r="I627" s="173"/>
      <c r="J627" s="173"/>
      <c r="K627" s="174"/>
      <c r="L627" s="175"/>
      <c r="M627" s="174"/>
      <c r="N627" s="176"/>
      <c r="O627" s="176"/>
      <c r="P627" s="173"/>
      <c r="Q627" s="177"/>
      <c r="R627" s="178"/>
      <c r="S627" s="173"/>
      <c r="T627" s="179"/>
      <c r="U627" s="145"/>
    </row>
    <row r="628" spans="1:21" ht="15" customHeight="1">
      <c r="A628" s="159" t="s">
        <v>2744</v>
      </c>
      <c r="B628" s="114" t="str">
        <f>VLOOKUP(A628,'Data pick slip'!B:F,5,FALSE)</f>
        <v>KHJ-MC100-00</v>
      </c>
      <c r="C628" s="169"/>
      <c r="D628" s="169"/>
      <c r="E628" s="281" t="s">
        <v>2954</v>
      </c>
      <c r="F628" s="170" t="s">
        <v>2753</v>
      </c>
      <c r="G628" s="171">
        <v>100</v>
      </c>
      <c r="H628" s="172"/>
      <c r="I628" s="173"/>
      <c r="J628" s="173"/>
      <c r="K628" s="174"/>
      <c r="L628" s="175"/>
      <c r="M628" s="174"/>
      <c r="N628" s="176"/>
      <c r="O628" s="176"/>
      <c r="P628" s="173"/>
      <c r="Q628" s="177"/>
      <c r="R628" s="178"/>
      <c r="S628" s="173"/>
      <c r="T628" s="179"/>
      <c r="U628" s="145"/>
    </row>
    <row r="629" spans="1:21" ht="15" customHeight="1">
      <c r="A629" s="159" t="s">
        <v>2747</v>
      </c>
      <c r="B629" s="114" t="str">
        <f>VLOOKUP(A629,'Data pick slip'!B:F,5,FALSE)</f>
        <v>KHJ-MC200-00</v>
      </c>
      <c r="C629" s="169"/>
      <c r="D629" s="169"/>
      <c r="E629" s="281" t="s">
        <v>2954</v>
      </c>
      <c r="F629" s="170" t="s">
        <v>2753</v>
      </c>
      <c r="G629" s="171">
        <v>30</v>
      </c>
      <c r="H629" s="172"/>
      <c r="I629" s="173"/>
      <c r="J629" s="173"/>
      <c r="K629" s="174"/>
      <c r="L629" s="175"/>
      <c r="M629" s="174"/>
      <c r="N629" s="176"/>
      <c r="O629" s="176"/>
      <c r="P629" s="173"/>
      <c r="Q629" s="177"/>
      <c r="R629" s="178"/>
      <c r="S629" s="173"/>
      <c r="T629" s="179"/>
      <c r="U629" s="145"/>
    </row>
    <row r="630" spans="1:21" ht="15" customHeight="1">
      <c r="A630" s="159" t="s">
        <v>2755</v>
      </c>
      <c r="B630" s="114" t="str">
        <f>VLOOKUP(A630,'Data pick slip'!B:F,5,FALSE)</f>
        <v>KLJ-MC100-00</v>
      </c>
      <c r="C630" s="169"/>
      <c r="D630" s="169"/>
      <c r="E630" s="281" t="s">
        <v>2954</v>
      </c>
      <c r="F630" s="170" t="s">
        <v>2753</v>
      </c>
      <c r="G630" s="171">
        <v>50</v>
      </c>
      <c r="H630" s="172"/>
      <c r="I630" s="173"/>
      <c r="J630" s="173"/>
      <c r="K630" s="174"/>
      <c r="L630" s="175"/>
      <c r="M630" s="174"/>
      <c r="N630" s="176"/>
      <c r="O630" s="176"/>
      <c r="P630" s="173"/>
      <c r="Q630" s="177"/>
      <c r="R630" s="178"/>
      <c r="S630" s="173"/>
      <c r="T630" s="179"/>
      <c r="U630" s="145"/>
    </row>
    <row r="631" spans="1:21" ht="15" customHeight="1">
      <c r="A631" s="159" t="s">
        <v>2750</v>
      </c>
      <c r="B631" s="114" t="str">
        <f>VLOOKUP(A631,'Data pick slip'!B:F,5,FALSE)</f>
        <v>KHJ-MC600-00</v>
      </c>
      <c r="C631" s="169"/>
      <c r="D631" s="169"/>
      <c r="E631" s="281" t="s">
        <v>2954</v>
      </c>
      <c r="F631" s="170" t="s">
        <v>2753</v>
      </c>
      <c r="G631" s="171">
        <v>2</v>
      </c>
      <c r="H631" s="172"/>
      <c r="I631" s="173"/>
      <c r="J631" s="173"/>
      <c r="K631" s="174"/>
      <c r="L631" s="175"/>
      <c r="M631" s="174"/>
      <c r="N631" s="176"/>
      <c r="O631" s="176"/>
      <c r="P631" s="173"/>
      <c r="Q631" s="177"/>
      <c r="R631" s="178"/>
      <c r="S631" s="173"/>
      <c r="T631" s="179"/>
      <c r="U631" s="145"/>
    </row>
    <row r="632" spans="1:21" ht="15" customHeight="1">
      <c r="A632" s="159" t="s">
        <v>2744</v>
      </c>
      <c r="B632" s="114" t="str">
        <f>VLOOKUP(A632,'Data pick slip'!B:F,5,FALSE)</f>
        <v>KHJ-MC100-00</v>
      </c>
      <c r="C632" s="169"/>
      <c r="D632" s="169"/>
      <c r="E632" s="281" t="s">
        <v>2955</v>
      </c>
      <c r="F632" s="170" t="s">
        <v>2753</v>
      </c>
      <c r="G632" s="171">
        <v>100</v>
      </c>
      <c r="H632" s="172"/>
      <c r="I632" s="173"/>
      <c r="J632" s="173"/>
      <c r="K632" s="174"/>
      <c r="L632" s="175"/>
      <c r="M632" s="174"/>
      <c r="N632" s="176"/>
      <c r="O632" s="176"/>
      <c r="P632" s="173"/>
      <c r="Q632" s="177"/>
      <c r="R632" s="178"/>
      <c r="S632" s="173"/>
      <c r="T632" s="179"/>
      <c r="U632" s="145"/>
    </row>
    <row r="633" spans="1:21" ht="15" customHeight="1">
      <c r="A633" s="159" t="s">
        <v>2747</v>
      </c>
      <c r="B633" s="114" t="str">
        <f>VLOOKUP(A633,'Data pick slip'!B:F,5,FALSE)</f>
        <v>KHJ-MC200-00</v>
      </c>
      <c r="C633" s="169"/>
      <c r="D633" s="169"/>
      <c r="E633" s="281" t="s">
        <v>2955</v>
      </c>
      <c r="F633" s="170" t="s">
        <v>2753</v>
      </c>
      <c r="G633" s="171">
        <v>20</v>
      </c>
      <c r="H633" s="172"/>
      <c r="I633" s="173"/>
      <c r="J633" s="173"/>
      <c r="K633" s="174"/>
      <c r="L633" s="175"/>
      <c r="M633" s="174"/>
      <c r="N633" s="176"/>
      <c r="O633" s="176"/>
      <c r="P633" s="173"/>
      <c r="Q633" s="177"/>
      <c r="R633" s="178"/>
      <c r="S633" s="173"/>
      <c r="T633" s="179"/>
      <c r="U633" s="145"/>
    </row>
    <row r="634" spans="1:21" ht="15" customHeight="1">
      <c r="A634" s="159" t="s">
        <v>2759</v>
      </c>
      <c r="B634" s="114" t="str">
        <f>VLOOKUP(A634,'Data pick slip'!B:F,5,FALSE)</f>
        <v>KLJ-MC600-00</v>
      </c>
      <c r="C634" s="169"/>
      <c r="D634" s="169"/>
      <c r="E634" s="281" t="s">
        <v>2955</v>
      </c>
      <c r="F634" s="170" t="s">
        <v>2753</v>
      </c>
      <c r="G634" s="171">
        <v>1</v>
      </c>
      <c r="H634" s="172"/>
      <c r="I634" s="173"/>
      <c r="J634" s="173"/>
      <c r="K634" s="174"/>
      <c r="L634" s="175"/>
      <c r="M634" s="174"/>
      <c r="N634" s="176"/>
      <c r="O634" s="176"/>
      <c r="P634" s="173"/>
      <c r="Q634" s="177"/>
      <c r="R634" s="178"/>
      <c r="S634" s="173"/>
      <c r="T634" s="179"/>
      <c r="U634" s="145"/>
    </row>
    <row r="635" spans="1:21" ht="15" customHeight="1">
      <c r="A635" s="159" t="s">
        <v>2744</v>
      </c>
      <c r="B635" s="114" t="str">
        <f>VLOOKUP(A635,'Data pick slip'!B:F,5,FALSE)</f>
        <v>KHJ-MC100-00</v>
      </c>
      <c r="C635" s="169"/>
      <c r="D635" s="169"/>
      <c r="E635" s="281" t="s">
        <v>2956</v>
      </c>
      <c r="F635" s="170" t="s">
        <v>2753</v>
      </c>
      <c r="G635" s="171">
        <v>50</v>
      </c>
      <c r="H635" s="172"/>
      <c r="I635" s="173"/>
      <c r="J635" s="173"/>
      <c r="K635" s="174"/>
      <c r="L635" s="175"/>
      <c r="M635" s="174"/>
      <c r="N635" s="176"/>
      <c r="O635" s="176"/>
      <c r="P635" s="173"/>
      <c r="Q635" s="177"/>
      <c r="R635" s="178"/>
      <c r="S635" s="173"/>
      <c r="T635" s="179"/>
      <c r="U635" s="145"/>
    </row>
    <row r="636" spans="1:21" ht="15" customHeight="1">
      <c r="A636" s="159" t="s">
        <v>2747</v>
      </c>
      <c r="B636" s="114" t="str">
        <f>VLOOKUP(A636,'Data pick slip'!B:F,5,FALSE)</f>
        <v>KHJ-MC200-00</v>
      </c>
      <c r="C636" s="169"/>
      <c r="D636" s="169"/>
      <c r="E636" s="281" t="s">
        <v>2956</v>
      </c>
      <c r="F636" s="170" t="s">
        <v>2753</v>
      </c>
      <c r="G636" s="171">
        <v>30</v>
      </c>
      <c r="H636" s="172"/>
      <c r="I636" s="173"/>
      <c r="J636" s="173"/>
      <c r="K636" s="174"/>
      <c r="L636" s="175"/>
      <c r="M636" s="174"/>
      <c r="N636" s="176"/>
      <c r="O636" s="176"/>
      <c r="P636" s="173"/>
      <c r="Q636" s="177"/>
      <c r="R636" s="178"/>
      <c r="S636" s="173"/>
      <c r="T636" s="179"/>
      <c r="U636" s="145"/>
    </row>
    <row r="637" spans="1:21" ht="15" customHeight="1">
      <c r="A637" s="159" t="s">
        <v>2744</v>
      </c>
      <c r="B637" s="114" t="str">
        <f>VLOOKUP(A637,'Data pick slip'!B:F,5,FALSE)</f>
        <v>KHJ-MC100-00</v>
      </c>
      <c r="C637" s="169"/>
      <c r="D637" s="169"/>
      <c r="E637" s="281" t="s">
        <v>2957</v>
      </c>
      <c r="F637" s="170" t="s">
        <v>2753</v>
      </c>
      <c r="G637" s="171">
        <v>50</v>
      </c>
      <c r="H637" s="172"/>
      <c r="I637" s="173"/>
      <c r="J637" s="173"/>
      <c r="K637" s="174"/>
      <c r="L637" s="175"/>
      <c r="M637" s="174"/>
      <c r="N637" s="176"/>
      <c r="O637" s="176"/>
      <c r="P637" s="173"/>
      <c r="Q637" s="177"/>
      <c r="R637" s="178"/>
      <c r="S637" s="173"/>
      <c r="T637" s="179"/>
      <c r="U637" s="145"/>
    </row>
    <row r="638" spans="1:21" ht="15" customHeight="1">
      <c r="A638" s="159" t="s">
        <v>2747</v>
      </c>
      <c r="B638" s="114" t="str">
        <f>VLOOKUP(A638,'Data pick slip'!B:F,5,FALSE)</f>
        <v>KHJ-MC200-00</v>
      </c>
      <c r="C638" s="169"/>
      <c r="D638" s="169"/>
      <c r="E638" s="281" t="s">
        <v>2957</v>
      </c>
      <c r="F638" s="170" t="s">
        <v>2753</v>
      </c>
      <c r="G638" s="171">
        <v>20</v>
      </c>
      <c r="H638" s="172"/>
      <c r="I638" s="173"/>
      <c r="J638" s="173"/>
      <c r="K638" s="174"/>
      <c r="L638" s="175"/>
      <c r="M638" s="174"/>
      <c r="N638" s="176"/>
      <c r="O638" s="176"/>
      <c r="P638" s="173"/>
      <c r="Q638" s="177"/>
      <c r="R638" s="178"/>
      <c r="S638" s="173"/>
      <c r="T638" s="179"/>
      <c r="U638" s="145"/>
    </row>
    <row r="639" spans="1:21" ht="15" customHeight="1">
      <c r="A639" s="159" t="s">
        <v>2744</v>
      </c>
      <c r="B639" s="114" t="str">
        <f>VLOOKUP(A639,'Data pick slip'!B:F,5,FALSE)</f>
        <v>KHJ-MC100-00</v>
      </c>
      <c r="C639" s="169"/>
      <c r="D639" s="169"/>
      <c r="E639" s="281" t="s">
        <v>2958</v>
      </c>
      <c r="F639" s="170" t="s">
        <v>2753</v>
      </c>
      <c r="G639" s="171">
        <v>72</v>
      </c>
      <c r="H639" s="172"/>
      <c r="I639" s="173"/>
      <c r="J639" s="173"/>
      <c r="K639" s="174"/>
      <c r="L639" s="175"/>
      <c r="M639" s="174"/>
      <c r="N639" s="176"/>
      <c r="O639" s="176"/>
      <c r="P639" s="173"/>
      <c r="Q639" s="177"/>
      <c r="R639" s="178"/>
      <c r="S639" s="173"/>
      <c r="T639" s="179"/>
      <c r="U639" s="145"/>
    </row>
    <row r="640" spans="1:21" ht="15" customHeight="1">
      <c r="A640" s="159" t="s">
        <v>2747</v>
      </c>
      <c r="B640" s="114" t="str">
        <f>VLOOKUP(A640,'Data pick slip'!B:F,5,FALSE)</f>
        <v>KHJ-MC200-00</v>
      </c>
      <c r="C640" s="169"/>
      <c r="D640" s="169"/>
      <c r="E640" s="281" t="s">
        <v>2958</v>
      </c>
      <c r="F640" s="170" t="s">
        <v>2753</v>
      </c>
      <c r="G640" s="171">
        <v>34</v>
      </c>
      <c r="H640" s="172"/>
      <c r="I640" s="173"/>
      <c r="J640" s="173"/>
      <c r="K640" s="174"/>
      <c r="L640" s="175"/>
      <c r="M640" s="174"/>
      <c r="N640" s="176"/>
      <c r="O640" s="176"/>
      <c r="P640" s="173"/>
      <c r="Q640" s="177"/>
      <c r="R640" s="178"/>
      <c r="S640" s="173"/>
      <c r="T640" s="179"/>
      <c r="U640" s="145"/>
    </row>
    <row r="641" spans="1:21" ht="15" customHeight="1">
      <c r="A641" s="159" t="s">
        <v>2755</v>
      </c>
      <c r="B641" s="114" t="str">
        <f>VLOOKUP(A641,'Data pick slip'!B:F,5,FALSE)</f>
        <v>KLJ-MC100-00</v>
      </c>
      <c r="C641" s="169"/>
      <c r="D641" s="169"/>
      <c r="E641" s="281" t="s">
        <v>2958</v>
      </c>
      <c r="F641" s="170" t="s">
        <v>2753</v>
      </c>
      <c r="G641" s="171">
        <v>50</v>
      </c>
      <c r="H641" s="172"/>
      <c r="I641" s="173"/>
      <c r="J641" s="173"/>
      <c r="K641" s="174"/>
      <c r="L641" s="175"/>
      <c r="M641" s="174"/>
      <c r="N641" s="176"/>
      <c r="O641" s="176"/>
      <c r="P641" s="173"/>
      <c r="Q641" s="177"/>
      <c r="R641" s="178"/>
      <c r="S641" s="173"/>
      <c r="T641" s="179"/>
      <c r="U641" s="145"/>
    </row>
    <row r="642" spans="1:21" ht="15" customHeight="1">
      <c r="A642" s="159" t="s">
        <v>2756</v>
      </c>
      <c r="B642" s="114" t="str">
        <f>VLOOKUP(A642,'Data pick slip'!B:F,5,FALSE)</f>
        <v>KLJ-MC200-00</v>
      </c>
      <c r="C642" s="169"/>
      <c r="D642" s="169"/>
      <c r="E642" s="281" t="s">
        <v>2958</v>
      </c>
      <c r="F642" s="170" t="s">
        <v>2753</v>
      </c>
      <c r="G642" s="171">
        <v>20</v>
      </c>
      <c r="H642" s="172"/>
      <c r="I642" s="173"/>
      <c r="J642" s="173"/>
      <c r="K642" s="174"/>
      <c r="L642" s="175"/>
      <c r="M642" s="174"/>
      <c r="N642" s="176"/>
      <c r="O642" s="176"/>
      <c r="P642" s="173"/>
      <c r="Q642" s="177"/>
      <c r="R642" s="178"/>
      <c r="S642" s="173"/>
      <c r="T642" s="179"/>
      <c r="U642" s="145"/>
    </row>
    <row r="643" spans="1:21" ht="15" customHeight="1">
      <c r="A643" s="159" t="s">
        <v>2757</v>
      </c>
      <c r="B643" s="114" t="str">
        <f>VLOOKUP(A643,'Data pick slip'!B:F,5,FALSE)</f>
        <v>KLJ-MC400-00</v>
      </c>
      <c r="C643" s="169"/>
      <c r="D643" s="169"/>
      <c r="E643" s="281" t="s">
        <v>2958</v>
      </c>
      <c r="F643" s="170" t="s">
        <v>2753</v>
      </c>
      <c r="G643" s="171">
        <v>18</v>
      </c>
      <c r="H643" s="172"/>
      <c r="I643" s="173"/>
      <c r="J643" s="173"/>
      <c r="K643" s="174"/>
      <c r="L643" s="175"/>
      <c r="M643" s="174"/>
      <c r="N643" s="176"/>
      <c r="O643" s="176"/>
      <c r="P643" s="173"/>
      <c r="Q643" s="177"/>
      <c r="R643" s="178"/>
      <c r="S643" s="173"/>
      <c r="T643" s="179"/>
      <c r="U643" s="145"/>
    </row>
    <row r="644" spans="1:21" ht="15" customHeight="1">
      <c r="A644" s="159" t="s">
        <v>2758</v>
      </c>
      <c r="B644" s="114" t="str">
        <f>VLOOKUP(A644,'Data pick slip'!B:F,5,FALSE)</f>
        <v>KLJ-MC500-00</v>
      </c>
      <c r="C644" s="169"/>
      <c r="D644" s="169"/>
      <c r="E644" s="281" t="s">
        <v>2958</v>
      </c>
      <c r="F644" s="170" t="s">
        <v>2753</v>
      </c>
      <c r="G644" s="171">
        <v>10</v>
      </c>
      <c r="H644" s="172"/>
      <c r="I644" s="173"/>
      <c r="J644" s="173"/>
      <c r="K644" s="174"/>
      <c r="L644" s="175"/>
      <c r="M644" s="174"/>
      <c r="N644" s="176"/>
      <c r="O644" s="176"/>
      <c r="P644" s="173"/>
      <c r="Q644" s="177"/>
      <c r="R644" s="178"/>
      <c r="S644" s="173"/>
      <c r="T644" s="179"/>
      <c r="U644" s="145"/>
    </row>
    <row r="645" spans="1:21" ht="15" customHeight="1">
      <c r="A645" s="159" t="s">
        <v>2759</v>
      </c>
      <c r="B645" s="114" t="str">
        <f>VLOOKUP(A645,'Data pick slip'!B:F,5,FALSE)</f>
        <v>KLJ-MC600-00</v>
      </c>
      <c r="C645" s="169"/>
      <c r="D645" s="169"/>
      <c r="E645" s="281" t="s">
        <v>2958</v>
      </c>
      <c r="F645" s="170" t="s">
        <v>2753</v>
      </c>
      <c r="G645" s="171">
        <v>5</v>
      </c>
      <c r="H645" s="172"/>
      <c r="I645" s="173"/>
      <c r="J645" s="173"/>
      <c r="K645" s="174"/>
      <c r="L645" s="175"/>
      <c r="M645" s="174"/>
      <c r="N645" s="176"/>
      <c r="O645" s="176"/>
      <c r="P645" s="173"/>
      <c r="Q645" s="177"/>
      <c r="R645" s="178"/>
      <c r="S645" s="173"/>
      <c r="T645" s="179"/>
      <c r="U645" s="145"/>
    </row>
    <row r="646" spans="1:21" ht="15" customHeight="1">
      <c r="A646" s="159" t="s">
        <v>2744</v>
      </c>
      <c r="B646" s="114" t="str">
        <f>VLOOKUP(A646,'Data pick slip'!B:F,5,FALSE)</f>
        <v>KHJ-MC100-00</v>
      </c>
      <c r="C646" s="169">
        <v>110459</v>
      </c>
      <c r="D646" s="169" t="str">
        <f>VLOOKUP(C646,Stock_list!D:L,2,FALSE)</f>
        <v>海红天远名义下单</v>
      </c>
      <c r="E646" s="281">
        <f>VLOOKUP(C646,Stock_list!D:L,9,FALSE)</f>
        <v>44537</v>
      </c>
      <c r="F646" s="170" t="s">
        <v>1381</v>
      </c>
      <c r="G646" s="171">
        <v>200</v>
      </c>
      <c r="H646" s="172"/>
      <c r="I646" s="173"/>
      <c r="J646" s="173"/>
      <c r="K646" s="174"/>
      <c r="L646" s="175"/>
      <c r="M646" s="174"/>
      <c r="N646" s="176"/>
      <c r="O646" s="176"/>
      <c r="P646" s="173"/>
      <c r="Q646" s="177"/>
      <c r="R646" s="178"/>
      <c r="S646" s="173"/>
      <c r="T646" s="179"/>
      <c r="U646" s="145"/>
    </row>
    <row r="647" spans="1:21" ht="15" customHeight="1">
      <c r="A647" s="159" t="s">
        <v>2747</v>
      </c>
      <c r="B647" s="114" t="str">
        <f>VLOOKUP(A647,'Data pick slip'!B:F,5,FALSE)</f>
        <v>KHJ-MC200-00</v>
      </c>
      <c r="C647" s="169">
        <v>110459</v>
      </c>
      <c r="D647" s="169" t="str">
        <f>VLOOKUP(C647,Stock_list!D:L,2,FALSE)</f>
        <v>海红天远名义下单</v>
      </c>
      <c r="E647" s="281">
        <f>VLOOKUP(C647,Stock_list!D:L,9,FALSE)</f>
        <v>44537</v>
      </c>
      <c r="F647" s="170" t="s">
        <v>1381</v>
      </c>
      <c r="G647" s="171">
        <v>60</v>
      </c>
      <c r="H647" s="172"/>
      <c r="I647" s="173"/>
      <c r="J647" s="173"/>
      <c r="K647" s="174"/>
      <c r="L647" s="175"/>
      <c r="M647" s="174"/>
      <c r="N647" s="176"/>
      <c r="O647" s="176"/>
      <c r="P647" s="173"/>
      <c r="Q647" s="177"/>
      <c r="R647" s="178"/>
      <c r="S647" s="173"/>
      <c r="T647" s="179"/>
      <c r="U647" s="145"/>
    </row>
    <row r="648" spans="1:21" ht="15" customHeight="1">
      <c r="A648" s="181" t="s">
        <v>2748</v>
      </c>
      <c r="B648" s="114" t="str">
        <f>VLOOKUP(A648,'Data pick slip'!B:F,5,FALSE)</f>
        <v>KHJ-MC400-00</v>
      </c>
      <c r="C648" s="169">
        <v>110459</v>
      </c>
      <c r="D648" s="169" t="str">
        <f>VLOOKUP(C648,Stock_list!D:L,2,FALSE)</f>
        <v>海红天远名义下单</v>
      </c>
      <c r="E648" s="281">
        <f>VLOOKUP(C648,Stock_list!D:L,9,FALSE)</f>
        <v>44537</v>
      </c>
      <c r="F648" s="170" t="s">
        <v>1381</v>
      </c>
      <c r="G648" s="171">
        <v>10</v>
      </c>
      <c r="H648" s="172"/>
      <c r="I648" s="173"/>
      <c r="J648" s="173"/>
      <c r="K648" s="174"/>
      <c r="L648" s="175"/>
      <c r="M648" s="174"/>
      <c r="N648" s="176"/>
      <c r="O648" s="176"/>
      <c r="P648" s="173"/>
      <c r="Q648" s="177"/>
      <c r="R648" s="178"/>
      <c r="S648" s="173"/>
      <c r="T648" s="179"/>
      <c r="U648" s="145"/>
    </row>
    <row r="649" spans="1:21" ht="15" customHeight="1">
      <c r="A649" s="159" t="s">
        <v>2768</v>
      </c>
      <c r="B649" s="114" t="str">
        <f>VLOOKUP(A649,'Data pick slip'!B:F,5,FALSE)</f>
        <v>KHJ-MC100-00</v>
      </c>
      <c r="C649" s="169"/>
      <c r="D649" s="169"/>
      <c r="E649" s="281" t="s">
        <v>2959</v>
      </c>
      <c r="F649" s="170" t="s">
        <v>2753</v>
      </c>
      <c r="G649" s="171">
        <v>200</v>
      </c>
      <c r="H649" s="172"/>
      <c r="I649" s="173"/>
      <c r="J649" s="173"/>
      <c r="K649" s="174"/>
      <c r="L649" s="175"/>
      <c r="M649" s="174"/>
      <c r="N649" s="176"/>
      <c r="O649" s="176"/>
      <c r="P649" s="173"/>
      <c r="Q649" s="177"/>
      <c r="R649" s="178"/>
      <c r="S649" s="173"/>
      <c r="T649" s="179"/>
      <c r="U649" s="145"/>
    </row>
    <row r="650" spans="1:21" ht="15" customHeight="1">
      <c r="A650" s="159" t="s">
        <v>2747</v>
      </c>
      <c r="B650" s="114" t="str">
        <f>VLOOKUP(A650,'Data pick slip'!B:F,5,FALSE)</f>
        <v>KHJ-MC200-00</v>
      </c>
      <c r="C650" s="169"/>
      <c r="D650" s="169"/>
      <c r="E650" s="281" t="s">
        <v>2959</v>
      </c>
      <c r="F650" s="170" t="s">
        <v>2753</v>
      </c>
      <c r="G650" s="171">
        <v>50</v>
      </c>
      <c r="H650" s="172"/>
      <c r="I650" s="173"/>
      <c r="J650" s="173"/>
      <c r="K650" s="174"/>
      <c r="L650" s="175"/>
      <c r="M650" s="174"/>
      <c r="N650" s="176"/>
      <c r="O650" s="176"/>
      <c r="P650" s="173"/>
      <c r="Q650" s="177"/>
      <c r="R650" s="178"/>
      <c r="S650" s="173"/>
      <c r="T650" s="179"/>
      <c r="U650" s="145"/>
    </row>
    <row r="651" spans="1:21" ht="15" customHeight="1">
      <c r="A651" s="159" t="s">
        <v>2748</v>
      </c>
      <c r="B651" s="114" t="str">
        <f>VLOOKUP(A651,'Data pick slip'!B:F,5,FALSE)</f>
        <v>KHJ-MC400-00</v>
      </c>
      <c r="C651" s="169"/>
      <c r="D651" s="169"/>
      <c r="E651" s="281" t="s">
        <v>2959</v>
      </c>
      <c r="F651" s="170" t="s">
        <v>2753</v>
      </c>
      <c r="G651" s="171">
        <v>10</v>
      </c>
      <c r="H651" s="172"/>
      <c r="I651" s="173"/>
      <c r="J651" s="173"/>
      <c r="K651" s="174"/>
      <c r="L651" s="175"/>
      <c r="M651" s="174"/>
      <c r="N651" s="176"/>
      <c r="O651" s="176"/>
      <c r="P651" s="173"/>
      <c r="Q651" s="177"/>
      <c r="R651" s="178"/>
      <c r="S651" s="173"/>
      <c r="T651" s="179"/>
      <c r="U651" s="145"/>
    </row>
    <row r="652" spans="1:21" ht="15" customHeight="1">
      <c r="A652" s="159" t="s">
        <v>2749</v>
      </c>
      <c r="B652" s="114" t="str">
        <f>VLOOKUP(A652,'Data pick slip'!B:F,5,FALSE)</f>
        <v>KHJ-MC500-00</v>
      </c>
      <c r="C652" s="169"/>
      <c r="D652" s="169"/>
      <c r="E652" s="281" t="s">
        <v>2959</v>
      </c>
      <c r="F652" s="170" t="s">
        <v>2753</v>
      </c>
      <c r="G652" s="171">
        <v>5</v>
      </c>
      <c r="H652" s="172"/>
      <c r="I652" s="173"/>
      <c r="J652" s="173"/>
      <c r="K652" s="174"/>
      <c r="L652" s="175"/>
      <c r="M652" s="174"/>
      <c r="N652" s="176"/>
      <c r="O652" s="176"/>
      <c r="P652" s="173"/>
      <c r="Q652" s="177"/>
      <c r="R652" s="178"/>
      <c r="S652" s="173"/>
      <c r="T652" s="179"/>
      <c r="U652" s="145"/>
    </row>
    <row r="653" spans="1:21" ht="15" customHeight="1">
      <c r="A653" s="159" t="s">
        <v>2750</v>
      </c>
      <c r="B653" s="114" t="str">
        <f>VLOOKUP(A653,'Data pick slip'!B:F,5,FALSE)</f>
        <v>KHJ-MC600-00</v>
      </c>
      <c r="C653" s="169"/>
      <c r="D653" s="169"/>
      <c r="E653" s="281" t="s">
        <v>2959</v>
      </c>
      <c r="F653" s="170" t="s">
        <v>2753</v>
      </c>
      <c r="G653" s="171">
        <v>5</v>
      </c>
      <c r="H653" s="172"/>
      <c r="I653" s="173"/>
      <c r="J653" s="173"/>
      <c r="K653" s="174"/>
      <c r="L653" s="175"/>
      <c r="M653" s="174"/>
      <c r="N653" s="176"/>
      <c r="O653" s="176"/>
      <c r="P653" s="173"/>
      <c r="Q653" s="177"/>
      <c r="R653" s="178"/>
      <c r="S653" s="173"/>
      <c r="T653" s="179"/>
      <c r="U653" s="145"/>
    </row>
    <row r="654" spans="1:21" ht="15" customHeight="1">
      <c r="A654" s="159" t="s">
        <v>2751</v>
      </c>
      <c r="B654" s="114" t="str">
        <f>VLOOKUP(A654,'Data pick slip'!B:F,5,FALSE)</f>
        <v>KHJ-MC700-00</v>
      </c>
      <c r="C654" s="169"/>
      <c r="D654" s="169"/>
      <c r="E654" s="281" t="s">
        <v>2959</v>
      </c>
      <c r="F654" s="170" t="s">
        <v>2753</v>
      </c>
      <c r="G654" s="171">
        <v>2</v>
      </c>
      <c r="H654" s="172"/>
      <c r="I654" s="173"/>
      <c r="J654" s="173"/>
      <c r="K654" s="174"/>
      <c r="L654" s="175"/>
      <c r="M654" s="174"/>
      <c r="N654" s="176"/>
      <c r="O654" s="176"/>
      <c r="P654" s="173"/>
      <c r="Q654" s="177"/>
      <c r="R654" s="178"/>
      <c r="S654" s="173"/>
      <c r="T654" s="179"/>
      <c r="U654" s="145"/>
    </row>
    <row r="655" spans="1:21" ht="15" customHeight="1">
      <c r="A655" s="159" t="s">
        <v>2744</v>
      </c>
      <c r="B655" s="114" t="str">
        <f>VLOOKUP(A655,'Data pick slip'!B:F,5,FALSE)</f>
        <v>KHJ-MC100-00</v>
      </c>
      <c r="C655" s="169"/>
      <c r="D655" s="169"/>
      <c r="E655" s="281" t="s">
        <v>2960</v>
      </c>
      <c r="F655" s="170" t="s">
        <v>2753</v>
      </c>
      <c r="G655" s="171">
        <v>100</v>
      </c>
      <c r="H655" s="172"/>
      <c r="I655" s="173"/>
      <c r="J655" s="173"/>
      <c r="K655" s="174"/>
      <c r="L655" s="175"/>
      <c r="M655" s="174"/>
      <c r="N655" s="176"/>
      <c r="O655" s="176"/>
      <c r="P655" s="173"/>
      <c r="Q655" s="177"/>
      <c r="R655" s="178"/>
      <c r="S655" s="173"/>
      <c r="T655" s="179"/>
      <c r="U655" s="145"/>
    </row>
    <row r="656" spans="1:21" ht="15" customHeight="1">
      <c r="A656" s="159" t="s">
        <v>2747</v>
      </c>
      <c r="B656" s="114" t="str">
        <f>VLOOKUP(A656,'Data pick slip'!B:F,5,FALSE)</f>
        <v>KHJ-MC200-00</v>
      </c>
      <c r="C656" s="169"/>
      <c r="D656" s="169"/>
      <c r="E656" s="281" t="s">
        <v>2960</v>
      </c>
      <c r="F656" s="170" t="s">
        <v>2753</v>
      </c>
      <c r="G656" s="171">
        <v>30</v>
      </c>
      <c r="H656" s="172"/>
      <c r="I656" s="173"/>
      <c r="J656" s="173"/>
      <c r="K656" s="174"/>
      <c r="L656" s="175"/>
      <c r="M656" s="174"/>
      <c r="N656" s="176"/>
      <c r="O656" s="176"/>
      <c r="P656" s="173"/>
      <c r="Q656" s="177"/>
      <c r="R656" s="178"/>
      <c r="S656" s="173"/>
      <c r="T656" s="179"/>
      <c r="U656" s="145"/>
    </row>
    <row r="657" spans="1:21" ht="15" customHeight="1">
      <c r="A657" s="159" t="s">
        <v>2751</v>
      </c>
      <c r="B657" s="114" t="str">
        <f>VLOOKUP(A657,'Data pick slip'!B:F,5,FALSE)</f>
        <v>KHJ-MC700-00</v>
      </c>
      <c r="C657" s="169"/>
      <c r="D657" s="169"/>
      <c r="E657" s="281" t="s">
        <v>2960</v>
      </c>
      <c r="F657" s="170" t="s">
        <v>2753</v>
      </c>
      <c r="G657" s="171">
        <v>3</v>
      </c>
      <c r="H657" s="172"/>
      <c r="I657" s="173"/>
      <c r="J657" s="173"/>
      <c r="K657" s="174"/>
      <c r="L657" s="175"/>
      <c r="M657" s="174"/>
      <c r="N657" s="176"/>
      <c r="O657" s="176"/>
      <c r="P657" s="173"/>
      <c r="Q657" s="177"/>
      <c r="R657" s="178"/>
      <c r="S657" s="173"/>
      <c r="T657" s="179"/>
      <c r="U657" s="145"/>
    </row>
    <row r="658" spans="1:21" ht="15" customHeight="1">
      <c r="A658" s="159" t="s">
        <v>2752</v>
      </c>
      <c r="B658" s="114" t="str">
        <f>VLOOKUP(A658,'Data pick slip'!B:F,5,FALSE)</f>
        <v>KHJ-MC800-00</v>
      </c>
      <c r="C658" s="169"/>
      <c r="D658" s="169"/>
      <c r="E658" s="281" t="s">
        <v>2960</v>
      </c>
      <c r="F658" s="170" t="s">
        <v>2753</v>
      </c>
      <c r="G658" s="171">
        <v>1</v>
      </c>
      <c r="H658" s="172"/>
      <c r="I658" s="173"/>
      <c r="J658" s="173"/>
      <c r="K658" s="174"/>
      <c r="L658" s="175"/>
      <c r="M658" s="174"/>
      <c r="N658" s="176"/>
      <c r="O658" s="176"/>
      <c r="P658" s="173"/>
      <c r="Q658" s="177"/>
      <c r="R658" s="178"/>
      <c r="S658" s="173"/>
      <c r="T658" s="179"/>
      <c r="U658" s="145"/>
    </row>
    <row r="659" spans="1:21" ht="15" customHeight="1">
      <c r="A659" s="159" t="s">
        <v>2768</v>
      </c>
      <c r="B659" s="114" t="str">
        <f>VLOOKUP(A659,'Data pick slip'!B:F,5,FALSE)</f>
        <v>KHJ-MC100-00</v>
      </c>
      <c r="C659" s="169"/>
      <c r="D659" s="169"/>
      <c r="E659" s="281" t="s">
        <v>2961</v>
      </c>
      <c r="F659" s="170" t="s">
        <v>2753</v>
      </c>
      <c r="G659" s="171">
        <v>100</v>
      </c>
      <c r="H659" s="172"/>
      <c r="I659" s="173"/>
      <c r="J659" s="173"/>
      <c r="K659" s="174"/>
      <c r="L659" s="175"/>
      <c r="M659" s="174"/>
      <c r="N659" s="176"/>
      <c r="O659" s="176"/>
      <c r="P659" s="173"/>
      <c r="Q659" s="177"/>
      <c r="R659" s="178"/>
      <c r="S659" s="173"/>
      <c r="T659" s="179"/>
      <c r="U659" s="145"/>
    </row>
    <row r="660" spans="1:21" ht="15" customHeight="1">
      <c r="A660" s="159" t="s">
        <v>2747</v>
      </c>
      <c r="B660" s="114" t="str">
        <f>VLOOKUP(A660,'Data pick slip'!B:F,5,FALSE)</f>
        <v>KHJ-MC200-00</v>
      </c>
      <c r="C660" s="169"/>
      <c r="D660" s="169"/>
      <c r="E660" s="281" t="s">
        <v>2961</v>
      </c>
      <c r="F660" s="170" t="s">
        <v>2753</v>
      </c>
      <c r="G660" s="171">
        <v>45</v>
      </c>
      <c r="H660" s="172"/>
      <c r="I660" s="173"/>
      <c r="J660" s="173"/>
      <c r="K660" s="174"/>
      <c r="L660" s="175"/>
      <c r="M660" s="174"/>
      <c r="N660" s="176"/>
      <c r="O660" s="176"/>
      <c r="P660" s="173"/>
      <c r="Q660" s="177"/>
      <c r="R660" s="178"/>
      <c r="S660" s="173"/>
      <c r="T660" s="179"/>
      <c r="U660" s="145"/>
    </row>
    <row r="661" spans="1:21" ht="15" customHeight="1">
      <c r="A661" s="159" t="s">
        <v>2748</v>
      </c>
      <c r="B661" s="114" t="str">
        <f>VLOOKUP(A661,'Data pick slip'!B:F,5,FALSE)</f>
        <v>KHJ-MC400-00</v>
      </c>
      <c r="C661" s="169"/>
      <c r="D661" s="169"/>
      <c r="E661" s="281" t="s">
        <v>2961</v>
      </c>
      <c r="F661" s="170" t="s">
        <v>2753</v>
      </c>
      <c r="G661" s="171">
        <v>6</v>
      </c>
      <c r="H661" s="172"/>
      <c r="I661" s="173"/>
      <c r="J661" s="173"/>
      <c r="K661" s="174"/>
      <c r="L661" s="175"/>
      <c r="M661" s="174"/>
      <c r="N661" s="176"/>
      <c r="O661" s="176"/>
      <c r="P661" s="173"/>
      <c r="Q661" s="177"/>
      <c r="R661" s="178"/>
      <c r="S661" s="173"/>
      <c r="T661" s="179"/>
      <c r="U661" s="145"/>
    </row>
    <row r="662" spans="1:21" ht="15" customHeight="1">
      <c r="A662" s="159" t="s">
        <v>2751</v>
      </c>
      <c r="B662" s="114" t="str">
        <f>VLOOKUP(A662,'Data pick slip'!B:F,5,FALSE)</f>
        <v>KHJ-MC700-00</v>
      </c>
      <c r="C662" s="169"/>
      <c r="D662" s="169"/>
      <c r="E662" s="281" t="s">
        <v>2961</v>
      </c>
      <c r="F662" s="170" t="s">
        <v>2753</v>
      </c>
      <c r="G662" s="171">
        <v>1</v>
      </c>
      <c r="H662" s="172"/>
      <c r="I662" s="173"/>
      <c r="J662" s="173"/>
      <c r="K662" s="174"/>
      <c r="L662" s="175"/>
      <c r="M662" s="174"/>
      <c r="N662" s="176"/>
      <c r="O662" s="176"/>
      <c r="P662" s="173"/>
      <c r="Q662" s="177"/>
      <c r="R662" s="178"/>
      <c r="S662" s="173"/>
      <c r="T662" s="179"/>
      <c r="U662" s="145"/>
    </row>
    <row r="663" spans="1:21" ht="15" customHeight="1">
      <c r="A663" s="159" t="s">
        <v>2768</v>
      </c>
      <c r="B663" s="114" t="str">
        <f>VLOOKUP(A663,'Data pick slip'!B:F,5,FALSE)</f>
        <v>KHJ-MC100-00</v>
      </c>
      <c r="C663" s="169"/>
      <c r="D663" s="169"/>
      <c r="E663" s="281" t="s">
        <v>2962</v>
      </c>
      <c r="F663" s="170" t="s">
        <v>2753</v>
      </c>
      <c r="G663" s="171">
        <v>280</v>
      </c>
      <c r="H663" s="172"/>
      <c r="I663" s="173"/>
      <c r="J663" s="173"/>
      <c r="K663" s="174"/>
      <c r="L663" s="175"/>
      <c r="M663" s="174"/>
      <c r="N663" s="176"/>
      <c r="O663" s="176"/>
      <c r="P663" s="173"/>
      <c r="Q663" s="177"/>
      <c r="R663" s="178"/>
      <c r="S663" s="173"/>
      <c r="T663" s="179"/>
      <c r="U663" s="145"/>
    </row>
    <row r="664" spans="1:21" ht="15" customHeight="1">
      <c r="A664" s="159" t="s">
        <v>2749</v>
      </c>
      <c r="B664" s="114" t="str">
        <f>VLOOKUP(A664,'Data pick slip'!B:F,5,FALSE)</f>
        <v>KHJ-MC500-00</v>
      </c>
      <c r="C664" s="169"/>
      <c r="D664" s="169"/>
      <c r="E664" s="281" t="s">
        <v>2962</v>
      </c>
      <c r="F664" s="170" t="s">
        <v>2753</v>
      </c>
      <c r="G664" s="171">
        <v>10</v>
      </c>
      <c r="H664" s="172"/>
      <c r="I664" s="173"/>
      <c r="J664" s="173"/>
      <c r="K664" s="174"/>
      <c r="L664" s="175"/>
      <c r="M664" s="174"/>
      <c r="N664" s="176"/>
      <c r="O664" s="176"/>
      <c r="P664" s="173"/>
      <c r="Q664" s="177"/>
      <c r="R664" s="178"/>
      <c r="S664" s="173"/>
      <c r="T664" s="179"/>
      <c r="U664" s="145"/>
    </row>
    <row r="665" spans="1:21" ht="15" customHeight="1">
      <c r="A665" s="159" t="s">
        <v>2768</v>
      </c>
      <c r="B665" s="114" t="str">
        <f>VLOOKUP(A665,'Data pick slip'!B:F,5,FALSE)</f>
        <v>KHJ-MC100-00</v>
      </c>
      <c r="C665" s="169"/>
      <c r="D665" s="169"/>
      <c r="E665" s="281" t="s">
        <v>2963</v>
      </c>
      <c r="F665" s="170" t="s">
        <v>2753</v>
      </c>
      <c r="G665" s="171">
        <v>50</v>
      </c>
      <c r="H665" s="172"/>
      <c r="I665" s="173"/>
      <c r="J665" s="173"/>
      <c r="K665" s="174"/>
      <c r="L665" s="175"/>
      <c r="M665" s="174"/>
      <c r="N665" s="176"/>
      <c r="O665" s="176"/>
      <c r="P665" s="173"/>
      <c r="Q665" s="177"/>
      <c r="R665" s="178"/>
      <c r="S665" s="173"/>
      <c r="T665" s="179"/>
      <c r="U665" s="145"/>
    </row>
    <row r="666" spans="1:21" ht="15" customHeight="1">
      <c r="A666" s="159" t="s">
        <v>2747</v>
      </c>
      <c r="B666" s="114" t="str">
        <f>VLOOKUP(A666,'Data pick slip'!B:F,5,FALSE)</f>
        <v>KHJ-MC200-00</v>
      </c>
      <c r="C666" s="169"/>
      <c r="D666" s="169"/>
      <c r="E666" s="281" t="s">
        <v>2963</v>
      </c>
      <c r="F666" s="170" t="s">
        <v>2753</v>
      </c>
      <c r="G666" s="171">
        <v>20</v>
      </c>
      <c r="H666" s="172"/>
      <c r="I666" s="173"/>
      <c r="J666" s="173"/>
      <c r="K666" s="174"/>
      <c r="L666" s="175"/>
      <c r="M666" s="174"/>
      <c r="N666" s="176"/>
      <c r="O666" s="176"/>
      <c r="P666" s="173"/>
      <c r="Q666" s="177"/>
      <c r="R666" s="178"/>
      <c r="S666" s="173"/>
      <c r="T666" s="179"/>
      <c r="U666" s="145"/>
    </row>
    <row r="667" spans="1:21" ht="15" customHeight="1">
      <c r="A667" s="181" t="s">
        <v>2750</v>
      </c>
      <c r="B667" s="114" t="str">
        <f>VLOOKUP(A667,'Data pick slip'!B:F,5,FALSE)</f>
        <v>KHJ-MC600-00</v>
      </c>
      <c r="C667" s="169"/>
      <c r="D667" s="169"/>
      <c r="E667" s="281" t="s">
        <v>2963</v>
      </c>
      <c r="F667" s="170" t="s">
        <v>2753</v>
      </c>
      <c r="G667" s="171">
        <v>2</v>
      </c>
      <c r="H667" s="172"/>
      <c r="I667" s="173"/>
      <c r="J667" s="173"/>
      <c r="K667" s="174"/>
      <c r="L667" s="175"/>
      <c r="M667" s="174"/>
      <c r="N667" s="176"/>
      <c r="O667" s="176"/>
      <c r="P667" s="173"/>
      <c r="Q667" s="177"/>
      <c r="R667" s="178"/>
      <c r="S667" s="173"/>
      <c r="T667" s="179"/>
      <c r="U667" s="145"/>
    </row>
    <row r="668" spans="1:21" ht="15" customHeight="1">
      <c r="A668" s="159" t="s">
        <v>2768</v>
      </c>
      <c r="B668" s="114" t="str">
        <f>VLOOKUP(A668,'Data pick slip'!B:F,5,FALSE)</f>
        <v>KHJ-MC100-00</v>
      </c>
      <c r="C668" s="169"/>
      <c r="D668" s="169"/>
      <c r="E668" s="281" t="s">
        <v>2964</v>
      </c>
      <c r="F668" s="170" t="s">
        <v>2753</v>
      </c>
      <c r="G668" s="171">
        <v>60</v>
      </c>
      <c r="H668" s="172"/>
      <c r="I668" s="173"/>
      <c r="J668" s="173"/>
      <c r="K668" s="174"/>
      <c r="L668" s="175"/>
      <c r="M668" s="174"/>
      <c r="N668" s="176"/>
      <c r="O668" s="176"/>
      <c r="P668" s="173"/>
      <c r="Q668" s="177"/>
      <c r="R668" s="178"/>
      <c r="S668" s="173"/>
      <c r="T668" s="179"/>
      <c r="U668" s="145"/>
    </row>
    <row r="669" spans="1:21" ht="15" customHeight="1">
      <c r="A669" s="159" t="s">
        <v>2750</v>
      </c>
      <c r="B669" s="114" t="str">
        <f>VLOOKUP(A669,'Data pick slip'!B:F,5,FALSE)</f>
        <v>KHJ-MC600-00</v>
      </c>
      <c r="C669" s="169"/>
      <c r="D669" s="169"/>
      <c r="E669" s="281" t="s">
        <v>2964</v>
      </c>
      <c r="F669" s="170" t="s">
        <v>2753</v>
      </c>
      <c r="G669" s="171">
        <v>4</v>
      </c>
      <c r="H669" s="172"/>
      <c r="I669" s="173"/>
      <c r="J669" s="173"/>
      <c r="K669" s="174"/>
      <c r="L669" s="175"/>
      <c r="M669" s="174"/>
      <c r="N669" s="176"/>
      <c r="O669" s="176"/>
      <c r="P669" s="173"/>
      <c r="Q669" s="177"/>
      <c r="R669" s="178"/>
      <c r="S669" s="173"/>
      <c r="T669" s="179"/>
      <c r="U669" s="145"/>
    </row>
    <row r="670" spans="1:21" ht="15" customHeight="1">
      <c r="A670" s="159" t="s">
        <v>2751</v>
      </c>
      <c r="B670" s="114" t="str">
        <f>VLOOKUP(A670,'Data pick slip'!B:F,5,FALSE)</f>
        <v>KHJ-MC700-00</v>
      </c>
      <c r="C670" s="169"/>
      <c r="D670" s="169"/>
      <c r="E670" s="281" t="s">
        <v>2964</v>
      </c>
      <c r="F670" s="170" t="s">
        <v>2753</v>
      </c>
      <c r="G670" s="171">
        <v>2</v>
      </c>
      <c r="H670" s="172"/>
      <c r="I670" s="173"/>
      <c r="J670" s="173"/>
      <c r="K670" s="174"/>
      <c r="L670" s="175"/>
      <c r="M670" s="174"/>
      <c r="N670" s="176"/>
      <c r="O670" s="176"/>
      <c r="P670" s="173"/>
      <c r="Q670" s="177"/>
      <c r="R670" s="178"/>
      <c r="S670" s="173"/>
      <c r="T670" s="179"/>
      <c r="U670" s="145"/>
    </row>
    <row r="671" spans="1:21" ht="15" customHeight="1">
      <c r="A671" s="159" t="s">
        <v>2751</v>
      </c>
      <c r="B671" s="114" t="str">
        <f>VLOOKUP(A671,'Data pick slip'!B:F,5,FALSE)</f>
        <v>KHJ-MC700-00</v>
      </c>
      <c r="C671" s="169"/>
      <c r="D671" s="169"/>
      <c r="E671" s="281" t="s">
        <v>2965</v>
      </c>
      <c r="F671" s="170" t="s">
        <v>2753</v>
      </c>
      <c r="G671" s="171">
        <v>1</v>
      </c>
      <c r="H671" s="172"/>
      <c r="I671" s="173"/>
      <c r="J671" s="173"/>
      <c r="K671" s="174"/>
      <c r="L671" s="175"/>
      <c r="M671" s="174"/>
      <c r="N671" s="176"/>
      <c r="O671" s="176"/>
      <c r="P671" s="173"/>
      <c r="Q671" s="177"/>
      <c r="R671" s="178"/>
      <c r="S671" s="173"/>
      <c r="T671" s="179"/>
      <c r="U671" s="145"/>
    </row>
    <row r="672" spans="1:21" ht="15" customHeight="1">
      <c r="A672" s="181" t="s">
        <v>2744</v>
      </c>
      <c r="B672" s="114" t="str">
        <f>VLOOKUP(A672,'Data pick slip'!B:F,5,FALSE)</f>
        <v>KHJ-MC100-00</v>
      </c>
      <c r="C672" s="169">
        <v>110576</v>
      </c>
      <c r="D672" s="169" t="str">
        <f>VLOOKUP(C672,Stock_list!D:L,2,FALSE)</f>
        <v>健科名义下单</v>
      </c>
      <c r="E672" s="281">
        <f>VLOOKUP(C672,Stock_list!D:L,9,FALSE)</f>
        <v>44486</v>
      </c>
      <c r="F672" s="170" t="s">
        <v>1381</v>
      </c>
      <c r="G672" s="171">
        <v>150</v>
      </c>
      <c r="H672" s="172"/>
      <c r="I672" s="173"/>
      <c r="J672" s="173"/>
      <c r="K672" s="174"/>
      <c r="L672" s="175"/>
      <c r="M672" s="174"/>
      <c r="N672" s="176"/>
      <c r="O672" s="176"/>
      <c r="P672" s="173"/>
      <c r="Q672" s="177"/>
      <c r="R672" s="178"/>
      <c r="S672" s="173"/>
      <c r="T672" s="179"/>
      <c r="U672" s="145"/>
    </row>
    <row r="673" spans="1:21" ht="15" customHeight="1">
      <c r="A673" s="181" t="s">
        <v>2744</v>
      </c>
      <c r="B673" s="114" t="str">
        <f>VLOOKUP(A673,'Data pick slip'!B:F,5,FALSE)</f>
        <v>KHJ-MC100-00</v>
      </c>
      <c r="C673" s="169">
        <v>110578</v>
      </c>
      <c r="D673" s="169" t="str">
        <f>VLOOKUP(C673,Stock_list!D:L,2,FALSE)</f>
        <v>兴开泰名义下单</v>
      </c>
      <c r="E673" s="281">
        <f>VLOOKUP(C673,Stock_list!D:L,9,FALSE)</f>
        <v>44486</v>
      </c>
      <c r="F673" s="170" t="s">
        <v>1381</v>
      </c>
      <c r="G673" s="171">
        <v>220</v>
      </c>
      <c r="H673" s="172"/>
      <c r="I673" s="173"/>
      <c r="J673" s="173"/>
      <c r="K673" s="174"/>
      <c r="L673" s="175"/>
      <c r="M673" s="174"/>
      <c r="N673" s="176"/>
      <c r="O673" s="176"/>
      <c r="P673" s="173"/>
      <c r="Q673" s="177"/>
      <c r="R673" s="178"/>
      <c r="S673" s="173"/>
      <c r="T673" s="179"/>
      <c r="U673" s="145"/>
    </row>
    <row r="674" spans="1:21" ht="15" customHeight="1">
      <c r="A674" s="181" t="s">
        <v>2747</v>
      </c>
      <c r="B674" s="114" t="str">
        <f>VLOOKUP(A674,'Data pick slip'!B:F,5,FALSE)</f>
        <v>KHJ-MC200-00</v>
      </c>
      <c r="C674" s="169">
        <v>110578</v>
      </c>
      <c r="D674" s="169" t="str">
        <f>VLOOKUP(C674,Stock_list!D:L,2,FALSE)</f>
        <v>兴开泰名义下单</v>
      </c>
      <c r="E674" s="281">
        <f>VLOOKUP(C674,Stock_list!D:L,9,FALSE)</f>
        <v>44486</v>
      </c>
      <c r="F674" s="170" t="s">
        <v>1381</v>
      </c>
      <c r="G674" s="171">
        <v>100</v>
      </c>
      <c r="H674" s="172"/>
      <c r="I674" s="173"/>
      <c r="J674" s="173"/>
      <c r="K674" s="174"/>
      <c r="L674" s="175"/>
      <c r="M674" s="174"/>
      <c r="N674" s="176"/>
      <c r="O674" s="176"/>
      <c r="P674" s="173"/>
      <c r="Q674" s="177"/>
      <c r="R674" s="178"/>
      <c r="S674" s="173"/>
      <c r="T674" s="179"/>
      <c r="U674" s="145"/>
    </row>
    <row r="675" spans="1:21" ht="15" customHeight="1">
      <c r="A675" s="181" t="s">
        <v>2749</v>
      </c>
      <c r="B675" s="114" t="str">
        <f>VLOOKUP(A675,'Data pick slip'!B:F,5,FALSE)</f>
        <v>KHJ-MC500-00</v>
      </c>
      <c r="C675" s="169">
        <v>110578</v>
      </c>
      <c r="D675" s="169" t="str">
        <f>VLOOKUP(C675,Stock_list!D:L,2,FALSE)</f>
        <v>兴开泰名义下单</v>
      </c>
      <c r="E675" s="281">
        <f>VLOOKUP(C675,Stock_list!D:L,9,FALSE)</f>
        <v>44486</v>
      </c>
      <c r="F675" s="170" t="s">
        <v>1381</v>
      </c>
      <c r="G675" s="171">
        <v>3</v>
      </c>
      <c r="H675" s="172"/>
      <c r="I675" s="173"/>
      <c r="J675" s="173"/>
      <c r="K675" s="174"/>
      <c r="L675" s="175"/>
      <c r="M675" s="174"/>
      <c r="N675" s="176"/>
      <c r="O675" s="176"/>
      <c r="P675" s="173"/>
      <c r="Q675" s="177"/>
      <c r="R675" s="178"/>
      <c r="S675" s="173"/>
      <c r="T675" s="179"/>
      <c r="U675" s="145"/>
    </row>
    <row r="676" spans="1:21" ht="15" customHeight="1">
      <c r="A676" s="181" t="s">
        <v>2744</v>
      </c>
      <c r="B676" s="114" t="str">
        <f>VLOOKUP(A676,'Data pick slip'!B:F,5,FALSE)</f>
        <v>KHJ-MC100-00</v>
      </c>
      <c r="C676" s="169">
        <v>110579</v>
      </c>
      <c r="D676" s="169" t="str">
        <f>VLOOKUP(C676,Stock_list!D:L,2,FALSE)</f>
        <v>格隆名义下单</v>
      </c>
      <c r="E676" s="281">
        <f>VLOOKUP(C676,Stock_list!D:L,9,FALSE)</f>
        <v>44486</v>
      </c>
      <c r="F676" s="170" t="s">
        <v>1381</v>
      </c>
      <c r="G676" s="171">
        <v>220</v>
      </c>
      <c r="H676" s="172"/>
      <c r="I676" s="173"/>
      <c r="J676" s="173"/>
      <c r="K676" s="174"/>
      <c r="L676" s="175"/>
      <c r="M676" s="174"/>
      <c r="N676" s="176"/>
      <c r="O676" s="176"/>
      <c r="P676" s="173"/>
      <c r="Q676" s="177"/>
      <c r="R676" s="178"/>
      <c r="S676" s="173"/>
      <c r="T676" s="179"/>
      <c r="U676" s="145"/>
    </row>
    <row r="677" spans="1:21" ht="15" customHeight="1">
      <c r="A677" s="181" t="s">
        <v>2747</v>
      </c>
      <c r="B677" s="114" t="str">
        <f>VLOOKUP(A677,'Data pick slip'!B:F,5,FALSE)</f>
        <v>KHJ-MC200-00</v>
      </c>
      <c r="C677" s="169">
        <v>110579</v>
      </c>
      <c r="D677" s="169" t="str">
        <f>VLOOKUP(C677,Stock_list!D:L,2,FALSE)</f>
        <v>格隆名义下单</v>
      </c>
      <c r="E677" s="281">
        <f>VLOOKUP(C677,Stock_list!D:L,9,FALSE)</f>
        <v>44486</v>
      </c>
      <c r="F677" s="170" t="s">
        <v>1381</v>
      </c>
      <c r="G677" s="171">
        <v>200</v>
      </c>
      <c r="H677" s="172"/>
      <c r="I677" s="173"/>
      <c r="J677" s="173"/>
      <c r="K677" s="174"/>
      <c r="L677" s="175"/>
      <c r="M677" s="174"/>
      <c r="N677" s="176"/>
      <c r="O677" s="176"/>
      <c r="P677" s="173"/>
      <c r="Q677" s="177"/>
      <c r="R677" s="178"/>
      <c r="S677" s="173"/>
      <c r="T677" s="179"/>
      <c r="U677" s="145"/>
    </row>
    <row r="678" spans="1:21" ht="15" customHeight="1">
      <c r="A678" s="181" t="s">
        <v>2752</v>
      </c>
      <c r="B678" s="114" t="str">
        <f>VLOOKUP(A678,'Data pick slip'!B:F,5,FALSE)</f>
        <v>KHJ-MC800-00</v>
      </c>
      <c r="C678" s="169">
        <v>110579</v>
      </c>
      <c r="D678" s="169" t="str">
        <f>VLOOKUP(C678,Stock_list!D:L,2,FALSE)</f>
        <v>格隆名义下单</v>
      </c>
      <c r="E678" s="281">
        <f>VLOOKUP(C678,Stock_list!D:L,9,FALSE)</f>
        <v>44486</v>
      </c>
      <c r="F678" s="170" t="s">
        <v>1381</v>
      </c>
      <c r="G678" s="171">
        <v>1</v>
      </c>
      <c r="H678" s="172"/>
      <c r="I678" s="173"/>
      <c r="J678" s="173"/>
      <c r="K678" s="174"/>
      <c r="L678" s="175"/>
      <c r="M678" s="174"/>
      <c r="N678" s="176"/>
      <c r="O678" s="176"/>
      <c r="P678" s="173"/>
      <c r="Q678" s="177"/>
      <c r="R678" s="178"/>
      <c r="S678" s="173"/>
      <c r="T678" s="179"/>
      <c r="U678" s="145"/>
    </row>
    <row r="679" spans="1:21" ht="15" customHeight="1">
      <c r="A679" s="181" t="s">
        <v>2744</v>
      </c>
      <c r="B679" s="114" t="str">
        <f>VLOOKUP(A679,'Data pick slip'!B:F,5,FALSE)</f>
        <v>KHJ-MC100-00</v>
      </c>
      <c r="C679" s="169">
        <v>110580</v>
      </c>
      <c r="D679" s="169" t="str">
        <f>VLOOKUP(C679,Stock_list!D:L,2,FALSE)</f>
        <v>洛伦兹技术名义下单</v>
      </c>
      <c r="E679" s="281">
        <f>VLOOKUP(C679,Stock_list!D:L,9,FALSE)</f>
        <v>44486</v>
      </c>
      <c r="F679" s="170" t="s">
        <v>1381</v>
      </c>
      <c r="G679" s="171">
        <v>20</v>
      </c>
      <c r="H679" s="172"/>
      <c r="I679" s="173"/>
      <c r="J679" s="173"/>
      <c r="K679" s="174"/>
      <c r="L679" s="175"/>
      <c r="M679" s="174"/>
      <c r="N679" s="176"/>
      <c r="O679" s="176"/>
      <c r="P679" s="173"/>
      <c r="Q679" s="177"/>
      <c r="R679" s="178"/>
      <c r="S679" s="173"/>
      <c r="T679" s="179"/>
      <c r="U679" s="145"/>
    </row>
    <row r="680" spans="1:21" ht="15" customHeight="1">
      <c r="A680" s="181" t="s">
        <v>2744</v>
      </c>
      <c r="B680" s="114" t="str">
        <f>VLOOKUP(A680,'Data pick slip'!B:F,5,FALSE)</f>
        <v>KHJ-MC100-00</v>
      </c>
      <c r="C680" s="169">
        <v>110581</v>
      </c>
      <c r="D680" s="169" t="str">
        <f>VLOOKUP(C680,Stock_list!D:L,2,FALSE)</f>
        <v>深圳上达名义下单</v>
      </c>
      <c r="E680" s="281">
        <f>VLOOKUP(C680,Stock_list!D:L,9,FALSE)</f>
        <v>44504</v>
      </c>
      <c r="F680" s="170" t="s">
        <v>1381</v>
      </c>
      <c r="G680" s="171">
        <v>20</v>
      </c>
      <c r="H680" s="172"/>
      <c r="I680" s="173"/>
      <c r="J680" s="173"/>
      <c r="K680" s="174"/>
      <c r="L680" s="175"/>
      <c r="M680" s="174"/>
      <c r="N680" s="176"/>
      <c r="O680" s="176"/>
      <c r="P680" s="173"/>
      <c r="Q680" s="177"/>
      <c r="R680" s="178"/>
      <c r="S680" s="173"/>
      <c r="T680" s="179"/>
      <c r="U680" s="145"/>
    </row>
    <row r="681" spans="1:21" ht="15" customHeight="1">
      <c r="A681" s="181" t="s">
        <v>2744</v>
      </c>
      <c r="B681" s="114" t="str">
        <f>VLOOKUP(A681,'Data pick slip'!B:F,5,FALSE)</f>
        <v>KHJ-MC100-00</v>
      </c>
      <c r="C681" s="169">
        <v>110582</v>
      </c>
      <c r="D681" s="169" t="str">
        <f>VLOOKUP(C681,Stock_list!D:L,2,FALSE)</f>
        <v>新明海名义下单</v>
      </c>
      <c r="E681" s="281">
        <f>VLOOKUP(C681,Stock_list!D:L,9,FALSE)</f>
        <v>44494</v>
      </c>
      <c r="F681" s="170" t="s">
        <v>1381</v>
      </c>
      <c r="G681" s="171">
        <v>220</v>
      </c>
      <c r="H681" s="172"/>
      <c r="I681" s="173"/>
      <c r="J681" s="173"/>
      <c r="K681" s="174"/>
      <c r="L681" s="175"/>
      <c r="M681" s="174"/>
      <c r="N681" s="176"/>
      <c r="O681" s="176"/>
      <c r="P681" s="173"/>
      <c r="Q681" s="177"/>
      <c r="R681" s="178"/>
      <c r="S681" s="173"/>
      <c r="T681" s="179"/>
      <c r="U681" s="145"/>
    </row>
    <row r="682" spans="1:21" ht="15" customHeight="1">
      <c r="A682" s="181" t="s">
        <v>2747</v>
      </c>
      <c r="B682" s="114" t="str">
        <f>VLOOKUP(A682,'Data pick slip'!B:F,5,FALSE)</f>
        <v>KHJ-MC200-00</v>
      </c>
      <c r="C682" s="169">
        <v>110582</v>
      </c>
      <c r="D682" s="169" t="str">
        <f>VLOOKUP(C682,Stock_list!D:L,2,FALSE)</f>
        <v>新明海名义下单</v>
      </c>
      <c r="E682" s="281">
        <f>VLOOKUP(C682,Stock_list!D:L,9,FALSE)</f>
        <v>44494</v>
      </c>
      <c r="F682" s="170" t="s">
        <v>1381</v>
      </c>
      <c r="G682" s="171">
        <v>100</v>
      </c>
      <c r="H682" s="172"/>
      <c r="I682" s="173"/>
      <c r="J682" s="173"/>
      <c r="K682" s="174"/>
      <c r="L682" s="175"/>
      <c r="M682" s="174"/>
      <c r="N682" s="176"/>
      <c r="O682" s="176"/>
      <c r="P682" s="173"/>
      <c r="Q682" s="177"/>
      <c r="R682" s="178"/>
      <c r="S682" s="173"/>
      <c r="T682" s="179"/>
      <c r="U682" s="145"/>
    </row>
    <row r="683" spans="1:21" ht="15" customHeight="1">
      <c r="A683" s="291" t="s">
        <v>2744</v>
      </c>
      <c r="B683" s="292" t="str">
        <f>VLOOKUP(A683,'Data pick slip'!B:F,5,FALSE)</f>
        <v>KHJ-MC100-00</v>
      </c>
      <c r="C683" s="293"/>
      <c r="D683" s="293" t="s">
        <v>2966</v>
      </c>
      <c r="E683" s="303" t="e">
        <f>VLOOKUP(C683,Stock_list!D:L,9,FALSE)</f>
        <v>#N/A</v>
      </c>
      <c r="F683" s="294" t="s">
        <v>2753</v>
      </c>
      <c r="G683" s="295">
        <v>20</v>
      </c>
      <c r="H683" s="172"/>
      <c r="I683" s="173"/>
      <c r="J683" s="173"/>
      <c r="K683" s="174"/>
      <c r="L683" s="175"/>
      <c r="M683" s="174"/>
      <c r="N683" s="176"/>
      <c r="O683" s="176"/>
      <c r="P683" s="173"/>
      <c r="Q683" s="177"/>
      <c r="R683" s="178"/>
      <c r="S683" s="173"/>
      <c r="T683" s="179"/>
      <c r="U683" s="145"/>
    </row>
    <row r="684" spans="1:21" ht="15" customHeight="1">
      <c r="A684" s="291" t="s">
        <v>2744</v>
      </c>
      <c r="B684" s="292" t="str">
        <f>VLOOKUP(A684,'Data pick slip'!B:F,5,FALSE)</f>
        <v>KHJ-MC100-00</v>
      </c>
      <c r="C684" s="293"/>
      <c r="D684" s="293" t="s">
        <v>2966</v>
      </c>
      <c r="E684" s="303" t="e">
        <f>VLOOKUP(C684,Stock_list!D:L,9,FALSE)</f>
        <v>#N/A</v>
      </c>
      <c r="F684" s="294" t="s">
        <v>1381</v>
      </c>
      <c r="G684" s="295">
        <v>250</v>
      </c>
      <c r="H684" s="172"/>
      <c r="I684" s="173"/>
      <c r="J684" s="173"/>
      <c r="K684" s="174"/>
      <c r="L684" s="175"/>
      <c r="M684" s="174"/>
      <c r="N684" s="176"/>
      <c r="O684" s="176"/>
      <c r="P684" s="173"/>
      <c r="Q684" s="177"/>
      <c r="R684" s="178"/>
      <c r="S684" s="173"/>
      <c r="T684" s="179"/>
      <c r="U684" s="145"/>
    </row>
    <row r="685" spans="1:21" ht="15" customHeight="1">
      <c r="A685" s="181" t="s">
        <v>2755</v>
      </c>
      <c r="B685" s="114" t="str">
        <f>VLOOKUP(A685,'Data pick slip'!B:F,5,FALSE)</f>
        <v>KLJ-MC100-00</v>
      </c>
      <c r="C685" s="169"/>
      <c r="D685" s="169"/>
      <c r="E685" s="281" t="s">
        <v>2967</v>
      </c>
      <c r="F685" s="170" t="s">
        <v>2753</v>
      </c>
      <c r="G685" s="171">
        <v>80</v>
      </c>
      <c r="H685" s="172"/>
      <c r="I685" s="173"/>
      <c r="J685" s="173"/>
      <c r="K685" s="174"/>
      <c r="L685" s="175"/>
      <c r="M685" s="174"/>
      <c r="N685" s="176"/>
      <c r="O685" s="176"/>
      <c r="P685" s="173"/>
      <c r="Q685" s="177"/>
      <c r="R685" s="178"/>
      <c r="S685" s="173"/>
      <c r="T685" s="179"/>
      <c r="U685" s="145"/>
    </row>
    <row r="686" spans="1:21" ht="15" customHeight="1">
      <c r="A686" s="181" t="s">
        <v>2756</v>
      </c>
      <c r="B686" s="114" t="str">
        <f>VLOOKUP(A686,'Data pick slip'!B:F,5,FALSE)</f>
        <v>KLJ-MC200-00</v>
      </c>
      <c r="C686" s="169"/>
      <c r="D686" s="169"/>
      <c r="E686" s="281" t="s">
        <v>2967</v>
      </c>
      <c r="F686" s="170" t="s">
        <v>2753</v>
      </c>
      <c r="G686" s="171">
        <v>15</v>
      </c>
      <c r="H686" s="172"/>
      <c r="I686" s="173"/>
      <c r="J686" s="173"/>
      <c r="K686" s="174"/>
      <c r="L686" s="175"/>
      <c r="M686" s="174"/>
      <c r="N686" s="176"/>
      <c r="O686" s="176"/>
      <c r="P686" s="173"/>
      <c r="Q686" s="177"/>
      <c r="R686" s="178"/>
      <c r="S686" s="173"/>
      <c r="T686" s="179"/>
      <c r="U686" s="145"/>
    </row>
    <row r="687" spans="1:21" ht="15" customHeight="1">
      <c r="A687" s="181" t="s">
        <v>2757</v>
      </c>
      <c r="B687" s="114" t="str">
        <f>VLOOKUP(A687,'Data pick slip'!B:F,5,FALSE)</f>
        <v>KLJ-MC400-00</v>
      </c>
      <c r="C687" s="169"/>
      <c r="D687" s="169"/>
      <c r="E687" s="281" t="s">
        <v>2967</v>
      </c>
      <c r="F687" s="170" t="s">
        <v>2753</v>
      </c>
      <c r="G687" s="171">
        <v>5</v>
      </c>
      <c r="H687" s="172"/>
      <c r="I687" s="173"/>
      <c r="J687" s="173"/>
      <c r="K687" s="174"/>
      <c r="L687" s="175"/>
      <c r="M687" s="174"/>
      <c r="N687" s="176"/>
      <c r="O687" s="176"/>
      <c r="P687" s="173"/>
      <c r="Q687" s="177"/>
      <c r="R687" s="178"/>
      <c r="S687" s="173"/>
      <c r="T687" s="179"/>
      <c r="U687" s="145"/>
    </row>
    <row r="688" spans="1:21" ht="15" customHeight="1">
      <c r="A688" s="181" t="s">
        <v>2758</v>
      </c>
      <c r="B688" s="114" t="str">
        <f>VLOOKUP(A688,'Data pick slip'!B:F,5,FALSE)</f>
        <v>KLJ-MC500-00</v>
      </c>
      <c r="C688" s="169"/>
      <c r="D688" s="169"/>
      <c r="E688" s="281" t="s">
        <v>2967</v>
      </c>
      <c r="F688" s="170" t="s">
        <v>2753</v>
      </c>
      <c r="G688" s="171">
        <v>2</v>
      </c>
      <c r="H688" s="172"/>
      <c r="I688" s="173"/>
      <c r="J688" s="173"/>
      <c r="K688" s="174"/>
      <c r="L688" s="175"/>
      <c r="M688" s="174"/>
      <c r="N688" s="176"/>
      <c r="O688" s="176"/>
      <c r="P688" s="173"/>
      <c r="Q688" s="177"/>
      <c r="R688" s="178"/>
      <c r="S688" s="173"/>
      <c r="T688" s="179"/>
      <c r="U688" s="145"/>
    </row>
    <row r="689" spans="1:21" ht="15" customHeight="1">
      <c r="A689" s="181" t="s">
        <v>2759</v>
      </c>
      <c r="B689" s="114" t="str">
        <f>VLOOKUP(A689,'Data pick slip'!B:F,5,FALSE)</f>
        <v>KLJ-MC600-00</v>
      </c>
      <c r="C689" s="169"/>
      <c r="D689" s="169"/>
      <c r="E689" s="281" t="s">
        <v>2967</v>
      </c>
      <c r="F689" s="170" t="s">
        <v>2753</v>
      </c>
      <c r="G689" s="171">
        <v>2</v>
      </c>
      <c r="H689" s="172"/>
      <c r="I689" s="173"/>
      <c r="J689" s="173"/>
      <c r="K689" s="174"/>
      <c r="L689" s="175"/>
      <c r="M689" s="174"/>
      <c r="N689" s="176"/>
      <c r="O689" s="176"/>
      <c r="P689" s="173"/>
      <c r="Q689" s="177"/>
      <c r="R689" s="178"/>
      <c r="S689" s="173"/>
      <c r="T689" s="179"/>
      <c r="U689" s="145"/>
    </row>
    <row r="690" spans="1:21" ht="15" customHeight="1">
      <c r="A690" s="181" t="s">
        <v>2744</v>
      </c>
      <c r="B690" s="114" t="str">
        <f>VLOOKUP(A690,'Data pick slip'!B:F,5,FALSE)</f>
        <v>KHJ-MC100-00</v>
      </c>
      <c r="C690" s="169">
        <v>110593</v>
      </c>
      <c r="D690" s="169" t="str">
        <f>VLOOKUP(C690,Stock_list!D:L,2,FALSE)</f>
        <v>Cowell 名义下单</v>
      </c>
      <c r="E690" s="281">
        <f>VLOOKUP(C690,Stock_list!D:L,9,FALSE)</f>
        <v>44458</v>
      </c>
      <c r="F690" s="170" t="s">
        <v>1381</v>
      </c>
      <c r="G690" s="171">
        <v>20</v>
      </c>
      <c r="H690" s="172"/>
      <c r="I690" s="173"/>
      <c r="J690" s="173"/>
      <c r="K690" s="174"/>
      <c r="L690" s="175"/>
      <c r="M690" s="174"/>
      <c r="N690" s="176"/>
      <c r="O690" s="176"/>
      <c r="P690" s="173"/>
      <c r="Q690" s="177"/>
      <c r="R690" s="178"/>
      <c r="S690" s="173"/>
      <c r="T690" s="179"/>
      <c r="U690" s="145"/>
    </row>
    <row r="691" spans="1:21" ht="15" customHeight="1">
      <c r="A691" s="181" t="s">
        <v>2744</v>
      </c>
      <c r="B691" s="114" t="str">
        <f>VLOOKUP(A691,'Data pick slip'!B:F,5,FALSE)</f>
        <v>KHJ-MC100-00</v>
      </c>
      <c r="C691" s="169">
        <v>110594</v>
      </c>
      <c r="D691" s="169" t="str">
        <f>VLOOKUP(C691,Stock_list!D:L,2,FALSE)</f>
        <v>Cowell 名义下单</v>
      </c>
      <c r="E691" s="281">
        <f>VLOOKUP(C691,Stock_list!D:L,9,FALSE)</f>
        <v>44504</v>
      </c>
      <c r="F691" s="170" t="s">
        <v>1381</v>
      </c>
      <c r="G691" s="171">
        <v>20</v>
      </c>
      <c r="H691" s="172"/>
      <c r="I691" s="173"/>
      <c r="J691" s="173"/>
      <c r="K691" s="174"/>
      <c r="L691" s="175"/>
      <c r="M691" s="174"/>
      <c r="N691" s="176"/>
      <c r="O691" s="176"/>
      <c r="P691" s="173"/>
      <c r="Q691" s="177"/>
      <c r="R691" s="178"/>
      <c r="S691" s="173"/>
      <c r="T691" s="179"/>
      <c r="U691" s="145"/>
    </row>
    <row r="692" spans="1:21" ht="15" customHeight="1">
      <c r="A692" s="181" t="s">
        <v>2744</v>
      </c>
      <c r="B692" s="114" t="str">
        <f>VLOOKUP(A692,'Data pick slip'!B:F,5,FALSE)</f>
        <v>KHJ-MC100-00</v>
      </c>
      <c r="C692" s="169">
        <v>110617</v>
      </c>
      <c r="D692" s="169" t="str">
        <f>VLOOKUP(C692,Stock_list!D:L,2,FALSE)</f>
        <v>比泰利名义下单</v>
      </c>
      <c r="E692" s="281">
        <f>VLOOKUP(C692,Stock_list!D:L,9,FALSE)</f>
        <v>44523</v>
      </c>
      <c r="F692" s="170" t="s">
        <v>1381</v>
      </c>
      <c r="G692" s="171">
        <v>300</v>
      </c>
      <c r="H692" s="172"/>
      <c r="I692" s="173"/>
      <c r="J692" s="173"/>
      <c r="K692" s="174"/>
      <c r="L692" s="175"/>
      <c r="M692" s="174"/>
      <c r="N692" s="176"/>
      <c r="O692" s="176"/>
      <c r="P692" s="173"/>
      <c r="Q692" s="177"/>
      <c r="R692" s="178"/>
      <c r="S692" s="173"/>
      <c r="T692" s="179"/>
      <c r="U692" s="145"/>
    </row>
    <row r="693" spans="1:21" ht="15" customHeight="1">
      <c r="A693" s="181" t="s">
        <v>2749</v>
      </c>
      <c r="B693" s="114" t="str">
        <f>VLOOKUP(A693,'Data pick slip'!B:F,5,FALSE)</f>
        <v>KHJ-MC500-00</v>
      </c>
      <c r="C693" s="169">
        <v>110617</v>
      </c>
      <c r="D693" s="169" t="str">
        <f>VLOOKUP(C693,Stock_list!D:L,2,FALSE)</f>
        <v>比泰利名义下单</v>
      </c>
      <c r="E693" s="281">
        <f>VLOOKUP(C693,Stock_list!D:L,9,FALSE)</f>
        <v>44523</v>
      </c>
      <c r="F693" s="170" t="s">
        <v>1381</v>
      </c>
      <c r="G693" s="171">
        <v>30</v>
      </c>
      <c r="H693" s="172"/>
      <c r="I693" s="173"/>
      <c r="J693" s="173"/>
      <c r="K693" s="174"/>
      <c r="L693" s="175"/>
      <c r="M693" s="174"/>
      <c r="N693" s="176"/>
      <c r="O693" s="176"/>
      <c r="P693" s="173"/>
      <c r="Q693" s="177"/>
      <c r="R693" s="178"/>
      <c r="S693" s="173"/>
      <c r="T693" s="179"/>
      <c r="U693" s="145"/>
    </row>
    <row r="694" spans="1:21" ht="15" customHeight="1">
      <c r="A694" s="181" t="s">
        <v>2751</v>
      </c>
      <c r="B694" s="114" t="str">
        <f>VLOOKUP(A694,'Data pick slip'!B:F,5,FALSE)</f>
        <v>KHJ-MC700-00</v>
      </c>
      <c r="C694" s="169">
        <v>110617</v>
      </c>
      <c r="D694" s="169" t="str">
        <f>VLOOKUP(C694,Stock_list!D:L,2,FALSE)</f>
        <v>比泰利名义下单</v>
      </c>
      <c r="E694" s="281">
        <f>VLOOKUP(C694,Stock_list!D:L,9,FALSE)</f>
        <v>44523</v>
      </c>
      <c r="F694" s="170" t="s">
        <v>1381</v>
      </c>
      <c r="G694" s="171">
        <v>2</v>
      </c>
      <c r="H694" s="172"/>
      <c r="I694" s="173"/>
      <c r="J694" s="173"/>
      <c r="K694" s="174"/>
      <c r="L694" s="175"/>
      <c r="M694" s="174"/>
      <c r="N694" s="176"/>
      <c r="O694" s="176"/>
      <c r="P694" s="173"/>
      <c r="Q694" s="177"/>
      <c r="R694" s="178"/>
      <c r="S694" s="173"/>
      <c r="T694" s="179"/>
      <c r="U694" s="145"/>
    </row>
    <row r="695" spans="1:21" ht="15" customHeight="1">
      <c r="A695" s="181" t="s">
        <v>2752</v>
      </c>
      <c r="B695" s="114" t="str">
        <f>VLOOKUP(A695,'Data pick slip'!B:F,5,FALSE)</f>
        <v>KHJ-MC800-00</v>
      </c>
      <c r="C695" s="169">
        <v>110617</v>
      </c>
      <c r="D695" s="169" t="str">
        <f>VLOOKUP(C695,Stock_list!D:L,2,FALSE)</f>
        <v>比泰利名义下单</v>
      </c>
      <c r="E695" s="281">
        <f>VLOOKUP(C695,Stock_list!D:L,9,FALSE)</f>
        <v>44523</v>
      </c>
      <c r="F695" s="170" t="s">
        <v>1381</v>
      </c>
      <c r="G695" s="171">
        <v>1</v>
      </c>
      <c r="H695" s="172"/>
      <c r="I695" s="173"/>
      <c r="J695" s="173"/>
      <c r="K695" s="174"/>
      <c r="L695" s="175"/>
      <c r="M695" s="174"/>
      <c r="N695" s="176"/>
      <c r="O695" s="176"/>
      <c r="P695" s="173"/>
      <c r="Q695" s="177"/>
      <c r="R695" s="178"/>
      <c r="S695" s="173"/>
      <c r="T695" s="179"/>
      <c r="U695" s="145"/>
    </row>
    <row r="696" spans="1:21" ht="15" customHeight="1">
      <c r="A696" s="181" t="s">
        <v>2744</v>
      </c>
      <c r="B696" s="114" t="str">
        <f>VLOOKUP(A696,'Data pick slip'!B:F,5,FALSE)</f>
        <v>KHJ-MC100-00</v>
      </c>
      <c r="C696" s="169">
        <v>110618</v>
      </c>
      <c r="D696" s="169" t="str">
        <f>VLOOKUP(C696,Stock_list!D:L,2,FALSE)</f>
        <v>力通威名义下单</v>
      </c>
      <c r="E696" s="281">
        <f>VLOOKUP(C696,Stock_list!D:L,9,FALSE)</f>
        <v>44526</v>
      </c>
      <c r="F696" s="170" t="s">
        <v>1381</v>
      </c>
      <c r="G696" s="171">
        <v>100</v>
      </c>
      <c r="H696" s="172"/>
      <c r="I696" s="173"/>
      <c r="J696" s="173"/>
      <c r="K696" s="174"/>
      <c r="L696" s="175"/>
      <c r="M696" s="174"/>
      <c r="N696" s="176"/>
      <c r="O696" s="176"/>
      <c r="P696" s="173"/>
      <c r="Q696" s="177"/>
      <c r="R696" s="178"/>
      <c r="S696" s="173"/>
      <c r="T696" s="179"/>
      <c r="U696" s="145"/>
    </row>
    <row r="697" spans="1:21" ht="15" customHeight="1">
      <c r="A697" s="181" t="s">
        <v>2748</v>
      </c>
      <c r="B697" s="114" t="str">
        <f>VLOOKUP(A697,'Data pick slip'!B:F,5,FALSE)</f>
        <v>KHJ-MC400-00</v>
      </c>
      <c r="C697" s="169">
        <v>110618</v>
      </c>
      <c r="D697" s="169" t="str">
        <f>VLOOKUP(C697,Stock_list!D:L,2,FALSE)</f>
        <v>力通威名义下单</v>
      </c>
      <c r="E697" s="281">
        <f>VLOOKUP(C697,Stock_list!D:L,9,FALSE)</f>
        <v>44526</v>
      </c>
      <c r="F697" s="170" t="s">
        <v>1381</v>
      </c>
      <c r="G697" s="171">
        <v>15</v>
      </c>
      <c r="H697" s="172"/>
      <c r="I697" s="173"/>
      <c r="J697" s="173"/>
      <c r="K697" s="174"/>
      <c r="L697" s="175"/>
      <c r="M697" s="174"/>
      <c r="N697" s="176"/>
      <c r="O697" s="176"/>
      <c r="P697" s="173"/>
      <c r="Q697" s="177"/>
      <c r="R697" s="178"/>
      <c r="S697" s="173"/>
      <c r="T697" s="179"/>
      <c r="U697" s="145"/>
    </row>
    <row r="698" spans="1:21" ht="15" customHeight="1">
      <c r="A698" s="181" t="s">
        <v>2749</v>
      </c>
      <c r="B698" s="114" t="str">
        <f>VLOOKUP(A698,'Data pick slip'!B:F,5,FALSE)</f>
        <v>KHJ-MC500-00</v>
      </c>
      <c r="C698" s="169">
        <v>110618</v>
      </c>
      <c r="D698" s="169" t="str">
        <f>VLOOKUP(C698,Stock_list!D:L,2,FALSE)</f>
        <v>力通威名义下单</v>
      </c>
      <c r="E698" s="281">
        <f>VLOOKUP(C698,Stock_list!D:L,9,FALSE)</f>
        <v>44526</v>
      </c>
      <c r="F698" s="170" t="s">
        <v>1381</v>
      </c>
      <c r="G698" s="171">
        <v>15</v>
      </c>
      <c r="H698" s="172"/>
      <c r="I698" s="173"/>
      <c r="J698" s="173"/>
      <c r="K698" s="174"/>
      <c r="L698" s="175"/>
      <c r="M698" s="174"/>
      <c r="N698" s="176"/>
      <c r="O698" s="176"/>
      <c r="P698" s="173"/>
      <c r="Q698" s="177"/>
      <c r="R698" s="178"/>
      <c r="S698" s="173"/>
      <c r="T698" s="179"/>
      <c r="U698" s="145"/>
    </row>
    <row r="699" spans="1:21" ht="15" customHeight="1">
      <c r="A699" s="181" t="s">
        <v>2744</v>
      </c>
      <c r="B699" s="114" t="str">
        <f>VLOOKUP(A699,'Data pick slip'!B:F,5,FALSE)</f>
        <v>KHJ-MC100-00</v>
      </c>
      <c r="C699" s="169">
        <v>110619</v>
      </c>
      <c r="D699" s="169" t="str">
        <f>VLOOKUP(C699,Stock_list!D:L,2,FALSE)</f>
        <v>天邦达名义下单</v>
      </c>
      <c r="E699" s="281">
        <f>VLOOKUP(C699,Stock_list!D:L,9,FALSE)</f>
        <v>44523</v>
      </c>
      <c r="F699" s="170" t="s">
        <v>1381</v>
      </c>
      <c r="G699" s="171">
        <v>200</v>
      </c>
      <c r="H699" s="172"/>
      <c r="I699" s="173"/>
      <c r="J699" s="173"/>
      <c r="K699" s="174"/>
      <c r="L699" s="175"/>
      <c r="M699" s="174"/>
      <c r="N699" s="176"/>
      <c r="O699" s="176"/>
      <c r="P699" s="173"/>
      <c r="Q699" s="177"/>
      <c r="R699" s="178"/>
      <c r="S699" s="173"/>
      <c r="T699" s="179"/>
      <c r="U699" s="145"/>
    </row>
    <row r="700" spans="1:21" ht="15" customHeight="1">
      <c r="A700" s="181" t="s">
        <v>2749</v>
      </c>
      <c r="B700" s="114" t="str">
        <f>VLOOKUP(A700,'Data pick slip'!B:F,5,FALSE)</f>
        <v>KHJ-MC500-00</v>
      </c>
      <c r="C700" s="169">
        <v>110619</v>
      </c>
      <c r="D700" s="169" t="str">
        <f>VLOOKUP(C700,Stock_list!D:L,2,FALSE)</f>
        <v>天邦达名义下单</v>
      </c>
      <c r="E700" s="281">
        <f>VLOOKUP(C700,Stock_list!D:L,9,FALSE)</f>
        <v>44523</v>
      </c>
      <c r="F700" s="170" t="s">
        <v>1381</v>
      </c>
      <c r="G700" s="171">
        <v>20</v>
      </c>
      <c r="H700" s="172"/>
      <c r="I700" s="173"/>
      <c r="J700" s="173"/>
      <c r="K700" s="174"/>
      <c r="L700" s="175"/>
      <c r="M700" s="174"/>
      <c r="N700" s="176"/>
      <c r="O700" s="176"/>
      <c r="P700" s="173"/>
      <c r="Q700" s="177"/>
      <c r="R700" s="178"/>
      <c r="S700" s="173"/>
      <c r="T700" s="179"/>
      <c r="U700" s="145"/>
    </row>
    <row r="701" spans="1:21" ht="15" customHeight="1">
      <c r="A701" s="181" t="s">
        <v>2744</v>
      </c>
      <c r="B701" s="114" t="str">
        <f>VLOOKUP(A701,'Data pick slip'!B:F,5,FALSE)</f>
        <v>KHJ-MC100-00</v>
      </c>
      <c r="C701" s="169">
        <v>110620</v>
      </c>
      <c r="D701" s="169" t="str">
        <f>VLOOKUP(C701,Stock_list!D:L,2,FALSE)</f>
        <v>络鑫名义下单</v>
      </c>
      <c r="E701" s="281">
        <f>VLOOKUP(C701,Stock_list!D:L,9,FALSE)</f>
        <v>44523</v>
      </c>
      <c r="F701" s="170" t="s">
        <v>1381</v>
      </c>
      <c r="G701" s="171">
        <v>120</v>
      </c>
      <c r="H701" s="172"/>
      <c r="I701" s="173"/>
      <c r="J701" s="173"/>
      <c r="K701" s="174"/>
      <c r="L701" s="175"/>
      <c r="M701" s="174"/>
      <c r="N701" s="176"/>
      <c r="O701" s="176"/>
      <c r="P701" s="173"/>
      <c r="Q701" s="177"/>
      <c r="R701" s="178"/>
      <c r="S701" s="173"/>
      <c r="T701" s="179"/>
      <c r="U701" s="145"/>
    </row>
    <row r="702" spans="1:21" ht="15" customHeight="1">
      <c r="A702" s="159" t="s">
        <v>2768</v>
      </c>
      <c r="B702" s="114" t="str">
        <f>VLOOKUP(A702,'Data pick slip'!B:F,5,FALSE)</f>
        <v>KHJ-MC100-00</v>
      </c>
      <c r="C702" s="169">
        <v>110634</v>
      </c>
      <c r="D702" s="169" t="str">
        <f>VLOOKUP(C702,Stock_list!D:L,2,FALSE)</f>
        <v>以络鑫名义下单</v>
      </c>
      <c r="E702" s="281">
        <f>VLOOKUP(C702,Stock_list!D:L,9,FALSE)</f>
        <v>44527</v>
      </c>
      <c r="F702" s="170" t="s">
        <v>1381</v>
      </c>
      <c r="G702" s="171">
        <v>350</v>
      </c>
      <c r="H702" s="172"/>
      <c r="I702" s="173"/>
      <c r="J702" s="173"/>
      <c r="K702" s="174"/>
      <c r="L702" s="175"/>
      <c r="M702" s="174"/>
      <c r="N702" s="176"/>
      <c r="O702" s="176"/>
      <c r="P702" s="173"/>
      <c r="Q702" s="177"/>
      <c r="R702" s="178"/>
      <c r="S702" s="173"/>
      <c r="T702" s="179"/>
      <c r="U702" s="145"/>
    </row>
    <row r="703" spans="1:21" ht="15" customHeight="1">
      <c r="A703" s="159" t="s">
        <v>2747</v>
      </c>
      <c r="B703" s="114" t="str">
        <f>VLOOKUP(A703,'Data pick slip'!B:F,5,FALSE)</f>
        <v>KHJ-MC200-00</v>
      </c>
      <c r="C703" s="169">
        <v>110634</v>
      </c>
      <c r="D703" s="169" t="str">
        <f>VLOOKUP(C703,Stock_list!D:L,2,FALSE)</f>
        <v>以络鑫名义下单</v>
      </c>
      <c r="E703" s="281">
        <f>VLOOKUP(C703,Stock_list!D:L,9,FALSE)</f>
        <v>44527</v>
      </c>
      <c r="F703" s="170" t="s">
        <v>1381</v>
      </c>
      <c r="G703" s="171">
        <v>50</v>
      </c>
      <c r="H703" s="172"/>
      <c r="I703" s="173"/>
      <c r="J703" s="173"/>
      <c r="K703" s="174"/>
      <c r="L703" s="175"/>
      <c r="M703" s="174"/>
      <c r="N703" s="176"/>
      <c r="O703" s="176"/>
      <c r="P703" s="173"/>
      <c r="Q703" s="177"/>
      <c r="R703" s="178"/>
      <c r="S703" s="173"/>
      <c r="T703" s="179"/>
      <c r="U703" s="145"/>
    </row>
    <row r="704" spans="1:21" ht="15" customHeight="1">
      <c r="A704" s="159" t="s">
        <v>2748</v>
      </c>
      <c r="B704" s="114" t="str">
        <f>VLOOKUP(A704,'Data pick slip'!B:F,5,FALSE)</f>
        <v>KHJ-MC400-00</v>
      </c>
      <c r="C704" s="169">
        <v>110634</v>
      </c>
      <c r="D704" s="169" t="str">
        <f>VLOOKUP(C704,Stock_list!D:L,2,FALSE)</f>
        <v>以络鑫名义下单</v>
      </c>
      <c r="E704" s="281">
        <f>VLOOKUP(C704,Stock_list!D:L,9,FALSE)</f>
        <v>44527</v>
      </c>
      <c r="F704" s="170" t="s">
        <v>1381</v>
      </c>
      <c r="G704" s="171">
        <v>20</v>
      </c>
      <c r="H704" s="172"/>
      <c r="I704" s="173"/>
      <c r="J704" s="173"/>
      <c r="K704" s="174"/>
      <c r="L704" s="175"/>
      <c r="M704" s="174"/>
      <c r="N704" s="176"/>
      <c r="O704" s="176"/>
      <c r="P704" s="173"/>
      <c r="Q704" s="177"/>
      <c r="R704" s="178"/>
      <c r="S704" s="173"/>
      <c r="T704" s="179"/>
      <c r="U704" s="145"/>
    </row>
    <row r="705" spans="1:21" ht="15" customHeight="1">
      <c r="A705" s="159" t="s">
        <v>2749</v>
      </c>
      <c r="B705" s="114" t="str">
        <f>VLOOKUP(A705,'Data pick slip'!B:F,5,FALSE)</f>
        <v>KHJ-MC500-00</v>
      </c>
      <c r="C705" s="169">
        <v>110634</v>
      </c>
      <c r="D705" s="169" t="str">
        <f>VLOOKUP(C705,Stock_list!D:L,2,FALSE)</f>
        <v>以络鑫名义下单</v>
      </c>
      <c r="E705" s="281">
        <f>VLOOKUP(C705,Stock_list!D:L,9,FALSE)</f>
        <v>44527</v>
      </c>
      <c r="F705" s="170" t="s">
        <v>1381</v>
      </c>
      <c r="G705" s="171">
        <v>20</v>
      </c>
      <c r="H705" s="172"/>
      <c r="I705" s="173"/>
      <c r="J705" s="173"/>
      <c r="K705" s="174"/>
      <c r="L705" s="175"/>
      <c r="M705" s="174"/>
      <c r="N705" s="176"/>
      <c r="O705" s="176"/>
      <c r="P705" s="173"/>
      <c r="Q705" s="177"/>
      <c r="R705" s="178"/>
      <c r="S705" s="173"/>
      <c r="T705" s="179"/>
      <c r="U705" s="145"/>
    </row>
    <row r="706" spans="1:21" ht="15" customHeight="1">
      <c r="A706" s="159" t="s">
        <v>2750</v>
      </c>
      <c r="B706" s="114" t="str">
        <f>VLOOKUP(A706,'Data pick slip'!B:F,5,FALSE)</f>
        <v>KHJ-MC600-00</v>
      </c>
      <c r="C706" s="169">
        <v>110634</v>
      </c>
      <c r="D706" s="169" t="str">
        <f>VLOOKUP(C706,Stock_list!D:L,2,FALSE)</f>
        <v>以络鑫名义下单</v>
      </c>
      <c r="E706" s="281">
        <f>VLOOKUP(C706,Stock_list!D:L,9,FALSE)</f>
        <v>44527</v>
      </c>
      <c r="F706" s="170" t="s">
        <v>1381</v>
      </c>
      <c r="G706" s="171">
        <v>5</v>
      </c>
      <c r="H706" s="172"/>
      <c r="I706" s="173"/>
      <c r="J706" s="173"/>
      <c r="K706" s="174"/>
      <c r="L706" s="175"/>
      <c r="M706" s="174"/>
      <c r="N706" s="176"/>
      <c r="O706" s="176"/>
      <c r="P706" s="173"/>
      <c r="Q706" s="177"/>
      <c r="R706" s="178"/>
      <c r="S706" s="173"/>
      <c r="T706" s="179"/>
      <c r="U706" s="145"/>
    </row>
    <row r="707" spans="1:21" ht="15" customHeight="1">
      <c r="A707" s="159" t="s">
        <v>2751</v>
      </c>
      <c r="B707" s="114" t="str">
        <f>VLOOKUP(A707,'Data pick slip'!B:F,5,FALSE)</f>
        <v>KHJ-MC700-00</v>
      </c>
      <c r="C707" s="169">
        <v>110634</v>
      </c>
      <c r="D707" s="169" t="str">
        <f>VLOOKUP(C707,Stock_list!D:L,2,FALSE)</f>
        <v>以络鑫名义下单</v>
      </c>
      <c r="E707" s="281">
        <f>VLOOKUP(C707,Stock_list!D:L,9,FALSE)</f>
        <v>44527</v>
      </c>
      <c r="F707" s="170" t="s">
        <v>1381</v>
      </c>
      <c r="G707" s="171">
        <v>1</v>
      </c>
      <c r="H707" s="172"/>
      <c r="I707" s="173"/>
      <c r="J707" s="173"/>
      <c r="K707" s="174"/>
      <c r="L707" s="175"/>
      <c r="M707" s="174"/>
      <c r="N707" s="176"/>
      <c r="O707" s="176"/>
      <c r="P707" s="173"/>
      <c r="Q707" s="177"/>
      <c r="R707" s="178"/>
      <c r="S707" s="173"/>
      <c r="T707" s="179"/>
      <c r="U707" s="145"/>
    </row>
    <row r="708" spans="1:21" ht="15" customHeight="1">
      <c r="A708" s="181" t="s">
        <v>2752</v>
      </c>
      <c r="B708" s="114" t="str">
        <f>VLOOKUP(A708,'Data pick slip'!B:F,5,FALSE)</f>
        <v>KHJ-MC800-00</v>
      </c>
      <c r="C708" s="169">
        <v>110634</v>
      </c>
      <c r="D708" s="169" t="str">
        <f>VLOOKUP(C708,Stock_list!D:L,2,FALSE)</f>
        <v>以络鑫名义下单</v>
      </c>
      <c r="E708" s="281">
        <f>VLOOKUP(C708,Stock_list!D:L,9,FALSE)</f>
        <v>44527</v>
      </c>
      <c r="F708" s="170" t="s">
        <v>1381</v>
      </c>
      <c r="G708" s="171">
        <v>1</v>
      </c>
      <c r="H708" s="172"/>
      <c r="I708" s="173"/>
      <c r="J708" s="173"/>
      <c r="K708" s="174"/>
      <c r="L708" s="175"/>
      <c r="M708" s="174"/>
      <c r="N708" s="176"/>
      <c r="O708" s="176"/>
      <c r="P708" s="173"/>
      <c r="Q708" s="177"/>
      <c r="R708" s="178"/>
      <c r="S708" s="173"/>
      <c r="T708" s="179"/>
      <c r="U708" s="145"/>
    </row>
    <row r="709" spans="1:21" ht="15" customHeight="1">
      <c r="A709" s="159" t="s">
        <v>2768</v>
      </c>
      <c r="B709" s="114" t="str">
        <f>VLOOKUP(A709,'Data pick slip'!B:F,5,FALSE)</f>
        <v>KHJ-MC100-00</v>
      </c>
      <c r="C709" s="169">
        <v>110635</v>
      </c>
      <c r="D709" s="169" t="str">
        <f>VLOOKUP(C709,Stock_list!D:L,2,FALSE)</f>
        <v>以络鑫名义下单</v>
      </c>
      <c r="E709" s="281">
        <f>VLOOKUP(C709,Stock_list!D:L,9,FALSE)</f>
        <v>44527</v>
      </c>
      <c r="F709" s="170" t="s">
        <v>1381</v>
      </c>
      <c r="G709" s="171">
        <v>350</v>
      </c>
      <c r="H709" s="172"/>
      <c r="I709" s="173"/>
      <c r="J709" s="173"/>
      <c r="K709" s="174"/>
      <c r="L709" s="175"/>
      <c r="M709" s="174"/>
      <c r="N709" s="176"/>
      <c r="O709" s="176"/>
      <c r="P709" s="173"/>
      <c r="Q709" s="177"/>
      <c r="R709" s="178"/>
      <c r="S709" s="173"/>
      <c r="T709" s="179"/>
      <c r="U709" s="145"/>
    </row>
    <row r="710" spans="1:21" ht="15" customHeight="1">
      <c r="A710" s="159" t="s">
        <v>2749</v>
      </c>
      <c r="B710" s="114" t="str">
        <f>VLOOKUP(A710,'Data pick slip'!B:F,5,FALSE)</f>
        <v>KHJ-MC500-00</v>
      </c>
      <c r="C710" s="169">
        <v>110635</v>
      </c>
      <c r="D710" s="169" t="str">
        <f>VLOOKUP(C710,Stock_list!D:L,2,FALSE)</f>
        <v>以络鑫名义下单</v>
      </c>
      <c r="E710" s="281">
        <f>VLOOKUP(C710,Stock_list!D:L,9,FALSE)</f>
        <v>44527</v>
      </c>
      <c r="F710" s="170" t="s">
        <v>1381</v>
      </c>
      <c r="G710" s="171">
        <v>10</v>
      </c>
      <c r="H710" s="172"/>
      <c r="I710" s="173"/>
      <c r="J710" s="173"/>
      <c r="K710" s="174"/>
      <c r="L710" s="175"/>
      <c r="M710" s="174"/>
      <c r="N710" s="176"/>
      <c r="O710" s="176"/>
      <c r="P710" s="173"/>
      <c r="Q710" s="177"/>
      <c r="R710" s="178"/>
      <c r="S710" s="173"/>
      <c r="T710" s="179"/>
      <c r="U710" s="145"/>
    </row>
    <row r="711" spans="1:21" ht="15" customHeight="1">
      <c r="A711" s="159" t="s">
        <v>2750</v>
      </c>
      <c r="B711" s="114" t="str">
        <f>VLOOKUP(A711,'Data pick slip'!B:F,5,FALSE)</f>
        <v>KHJ-MC600-00</v>
      </c>
      <c r="C711" s="169">
        <v>110635</v>
      </c>
      <c r="D711" s="169" t="str">
        <f>VLOOKUP(C711,Stock_list!D:L,2,FALSE)</f>
        <v>以络鑫名义下单</v>
      </c>
      <c r="E711" s="281">
        <f>VLOOKUP(C711,Stock_list!D:L,9,FALSE)</f>
        <v>44527</v>
      </c>
      <c r="F711" s="170" t="s">
        <v>1381</v>
      </c>
      <c r="G711" s="171">
        <v>5</v>
      </c>
      <c r="H711" s="172"/>
      <c r="I711" s="173"/>
      <c r="J711" s="173"/>
      <c r="K711" s="174"/>
      <c r="L711" s="175"/>
      <c r="M711" s="174"/>
      <c r="N711" s="176"/>
      <c r="O711" s="176"/>
      <c r="P711" s="173"/>
      <c r="Q711" s="177"/>
      <c r="R711" s="178"/>
      <c r="S711" s="173"/>
      <c r="T711" s="179"/>
      <c r="U711" s="145"/>
    </row>
    <row r="712" spans="1:21" ht="15" customHeight="1">
      <c r="A712" s="159" t="s">
        <v>2744</v>
      </c>
      <c r="B712" s="114" t="str">
        <f>VLOOKUP(A712,'Data pick slip'!B:F,5,FALSE)</f>
        <v>KHJ-MC100-00</v>
      </c>
      <c r="C712" s="169"/>
      <c r="D712" s="169"/>
      <c r="E712" s="281" t="s">
        <v>2968</v>
      </c>
      <c r="F712" s="170" t="s">
        <v>2753</v>
      </c>
      <c r="G712" s="171">
        <v>50</v>
      </c>
      <c r="H712" s="172"/>
      <c r="I712" s="173"/>
      <c r="J712" s="173"/>
      <c r="K712" s="174"/>
      <c r="L712" s="175"/>
      <c r="M712" s="174"/>
      <c r="N712" s="176"/>
      <c r="O712" s="176"/>
      <c r="P712" s="173"/>
      <c r="Q712" s="177"/>
      <c r="R712" s="178"/>
      <c r="S712" s="173"/>
      <c r="T712" s="179"/>
      <c r="U712" s="145"/>
    </row>
    <row r="713" spans="1:21" ht="15" customHeight="1">
      <c r="A713" s="159" t="s">
        <v>2749</v>
      </c>
      <c r="B713" s="114" t="str">
        <f>VLOOKUP(A713,'Data pick slip'!B:F,5,FALSE)</f>
        <v>KHJ-MC500-00</v>
      </c>
      <c r="C713" s="169"/>
      <c r="D713" s="169"/>
      <c r="E713" s="281" t="s">
        <v>2968</v>
      </c>
      <c r="F713" s="170" t="s">
        <v>2753</v>
      </c>
      <c r="G713" s="171">
        <v>5</v>
      </c>
      <c r="H713" s="172"/>
      <c r="I713" s="173"/>
      <c r="J713" s="173"/>
      <c r="K713" s="174"/>
      <c r="L713" s="175"/>
      <c r="M713" s="174"/>
      <c r="N713" s="176"/>
      <c r="O713" s="176"/>
      <c r="P713" s="173"/>
      <c r="Q713" s="177"/>
      <c r="R713" s="178"/>
      <c r="S713" s="173"/>
      <c r="T713" s="179"/>
      <c r="U713" s="145"/>
    </row>
    <row r="714" spans="1:21" ht="15" customHeight="1">
      <c r="A714" s="159" t="s">
        <v>2755</v>
      </c>
      <c r="B714" s="114" t="str">
        <f>VLOOKUP(A714,'Data pick slip'!B:F,5,FALSE)</f>
        <v>KLJ-MC100-00</v>
      </c>
      <c r="C714" s="169"/>
      <c r="D714" s="169"/>
      <c r="E714" s="281" t="s">
        <v>2968</v>
      </c>
      <c r="F714" s="170" t="s">
        <v>2753</v>
      </c>
      <c r="G714" s="171">
        <v>20</v>
      </c>
      <c r="H714" s="172"/>
      <c r="I714" s="173"/>
      <c r="J714" s="173"/>
      <c r="K714" s="174"/>
      <c r="L714" s="175"/>
      <c r="M714" s="174"/>
      <c r="N714" s="176"/>
      <c r="O714" s="176"/>
      <c r="P714" s="173"/>
      <c r="Q714" s="177"/>
      <c r="R714" s="178"/>
      <c r="S714" s="173"/>
      <c r="T714" s="179"/>
      <c r="U714" s="145"/>
    </row>
    <row r="715" spans="1:21" ht="15" customHeight="1">
      <c r="A715" s="159" t="s">
        <v>2756</v>
      </c>
      <c r="B715" s="114" t="str">
        <f>VLOOKUP(A715,'Data pick slip'!B:F,5,FALSE)</f>
        <v>KLJ-MC200-00</v>
      </c>
      <c r="C715" s="169"/>
      <c r="D715" s="169"/>
      <c r="E715" s="281" t="s">
        <v>2968</v>
      </c>
      <c r="F715" s="170" t="s">
        <v>2753</v>
      </c>
      <c r="G715" s="171">
        <v>20</v>
      </c>
      <c r="H715" s="172"/>
      <c r="I715" s="173"/>
      <c r="J715" s="173"/>
      <c r="K715" s="174"/>
      <c r="L715" s="175"/>
      <c r="M715" s="174"/>
      <c r="N715" s="176"/>
      <c r="O715" s="176"/>
      <c r="P715" s="173"/>
      <c r="Q715" s="177"/>
      <c r="R715" s="178"/>
      <c r="S715" s="173"/>
      <c r="T715" s="179"/>
      <c r="U715" s="145"/>
    </row>
    <row r="716" spans="1:21" ht="15" customHeight="1">
      <c r="A716" s="181" t="s">
        <v>2744</v>
      </c>
      <c r="B716" s="114" t="str">
        <f>VLOOKUP(A716,'Data pick slip'!B:F,5,FALSE)</f>
        <v>KHJ-MC100-00</v>
      </c>
      <c r="C716" s="169">
        <v>110630</v>
      </c>
      <c r="D716" s="169" t="str">
        <f>VLOOKUP(C716,Stock_list!D:L,2,FALSE)</f>
        <v>健科名义下单</v>
      </c>
      <c r="E716" s="281">
        <f>VLOOKUP(C716,Stock_list!D:L,9,FALSE)</f>
        <v>44600</v>
      </c>
      <c r="F716" s="170" t="s">
        <v>1381</v>
      </c>
      <c r="G716" s="171">
        <v>50</v>
      </c>
      <c r="H716" s="172"/>
      <c r="I716" s="173"/>
      <c r="J716" s="173"/>
      <c r="K716" s="174"/>
      <c r="L716" s="175"/>
      <c r="M716" s="174"/>
      <c r="N716" s="176"/>
      <c r="O716" s="176"/>
      <c r="P716" s="173"/>
      <c r="Q716" s="177"/>
      <c r="R716" s="178"/>
      <c r="S716" s="173"/>
      <c r="T716" s="179"/>
      <c r="U716" s="145"/>
    </row>
    <row r="717" spans="1:21" ht="15" customHeight="1">
      <c r="A717" s="159" t="s">
        <v>2768</v>
      </c>
      <c r="B717" s="114" t="str">
        <f>VLOOKUP(A717,'Data pick slip'!B:F,5,FALSE)</f>
        <v>KHJ-MC100-00</v>
      </c>
      <c r="C717" s="169">
        <v>110664</v>
      </c>
      <c r="D717" s="169" t="str">
        <f>VLOOKUP(C717,Stock_list!D:L,2,FALSE)</f>
        <v>Stock order(54%)</v>
      </c>
      <c r="E717" s="281">
        <f>VLOOKUP(C717,Stock_list!D:L,9,FALSE)</f>
        <v>44562</v>
      </c>
      <c r="F717" s="170" t="s">
        <v>1381</v>
      </c>
      <c r="G717" s="171">
        <v>400</v>
      </c>
      <c r="H717" s="172"/>
      <c r="I717" s="173"/>
      <c r="J717" s="173"/>
      <c r="K717" s="174"/>
      <c r="L717" s="175"/>
      <c r="M717" s="174"/>
      <c r="N717" s="176"/>
      <c r="O717" s="176"/>
      <c r="P717" s="173"/>
      <c r="Q717" s="177"/>
      <c r="R717" s="178"/>
      <c r="S717" s="173"/>
      <c r="T717" s="179"/>
      <c r="U717" s="145"/>
    </row>
    <row r="718" spans="1:21" ht="15" customHeight="1">
      <c r="A718" s="159" t="s">
        <v>2747</v>
      </c>
      <c r="B718" s="114" t="str">
        <f>VLOOKUP(A718,'Data pick slip'!B:F,5,FALSE)</f>
        <v>KHJ-MC200-00</v>
      </c>
      <c r="C718" s="169">
        <v>110664</v>
      </c>
      <c r="D718" s="169" t="str">
        <f>VLOOKUP(C718,Stock_list!D:L,2,FALSE)</f>
        <v>Stock order(54%)</v>
      </c>
      <c r="E718" s="281">
        <f>VLOOKUP(C718,Stock_list!D:L,9,FALSE)</f>
        <v>44562</v>
      </c>
      <c r="F718" s="170" t="s">
        <v>1381</v>
      </c>
      <c r="G718" s="171">
        <v>50</v>
      </c>
      <c r="H718" s="172"/>
      <c r="I718" s="173"/>
      <c r="J718" s="173"/>
      <c r="K718" s="174"/>
      <c r="L718" s="175"/>
      <c r="M718" s="174"/>
      <c r="N718" s="176"/>
      <c r="O718" s="176"/>
      <c r="P718" s="173"/>
      <c r="Q718" s="177"/>
      <c r="R718" s="178"/>
      <c r="S718" s="173"/>
      <c r="T718" s="179"/>
      <c r="U718" s="145"/>
    </row>
    <row r="719" spans="1:21" ht="15" customHeight="1">
      <c r="A719" s="159" t="s">
        <v>2748</v>
      </c>
      <c r="B719" s="114" t="str">
        <f>VLOOKUP(A719,'Data pick slip'!B:F,5,FALSE)</f>
        <v>KHJ-MC400-00</v>
      </c>
      <c r="C719" s="169">
        <v>110664</v>
      </c>
      <c r="D719" s="169" t="str">
        <f>VLOOKUP(C719,Stock_list!D:L,2,FALSE)</f>
        <v>Stock order(54%)</v>
      </c>
      <c r="E719" s="281">
        <f>VLOOKUP(C719,Stock_list!D:L,9,FALSE)</f>
        <v>44562</v>
      </c>
      <c r="F719" s="170" t="s">
        <v>1381</v>
      </c>
      <c r="G719" s="171">
        <v>30</v>
      </c>
      <c r="H719" s="172"/>
      <c r="I719" s="173"/>
      <c r="J719" s="173"/>
      <c r="K719" s="174"/>
      <c r="L719" s="175"/>
      <c r="M719" s="174"/>
      <c r="N719" s="176"/>
      <c r="O719" s="176"/>
      <c r="P719" s="173"/>
      <c r="Q719" s="177"/>
      <c r="R719" s="178"/>
      <c r="S719" s="173"/>
      <c r="T719" s="179"/>
      <c r="U719" s="145"/>
    </row>
    <row r="720" spans="1:21" ht="15" customHeight="1">
      <c r="A720" s="159" t="s">
        <v>2749</v>
      </c>
      <c r="B720" s="114" t="str">
        <f>VLOOKUP(A720,'Data pick slip'!B:F,5,FALSE)</f>
        <v>KHJ-MC500-00</v>
      </c>
      <c r="C720" s="169">
        <v>110664</v>
      </c>
      <c r="D720" s="169" t="str">
        <f>VLOOKUP(C720,Stock_list!D:L,2,FALSE)</f>
        <v>Stock order(54%)</v>
      </c>
      <c r="E720" s="281">
        <f>VLOOKUP(C720,Stock_list!D:L,9,FALSE)</f>
        <v>44562</v>
      </c>
      <c r="F720" s="170" t="s">
        <v>1381</v>
      </c>
      <c r="G720" s="171">
        <v>30</v>
      </c>
      <c r="H720" s="172"/>
      <c r="I720" s="173"/>
      <c r="J720" s="173"/>
      <c r="K720" s="174"/>
      <c r="L720" s="175"/>
      <c r="M720" s="174"/>
      <c r="N720" s="176"/>
      <c r="O720" s="176"/>
      <c r="P720" s="173"/>
      <c r="Q720" s="177"/>
      <c r="R720" s="178"/>
      <c r="S720" s="173"/>
      <c r="T720" s="179"/>
      <c r="U720" s="145"/>
    </row>
    <row r="721" spans="1:21" ht="15" customHeight="1">
      <c r="A721" s="159" t="s">
        <v>2750</v>
      </c>
      <c r="B721" s="114" t="str">
        <f>VLOOKUP(A721,'Data pick slip'!B:F,5,FALSE)</f>
        <v>KHJ-MC600-00</v>
      </c>
      <c r="C721" s="169">
        <v>110664</v>
      </c>
      <c r="D721" s="169" t="str">
        <f>VLOOKUP(C721,Stock_list!D:L,2,FALSE)</f>
        <v>Stock order(54%)</v>
      </c>
      <c r="E721" s="281">
        <f>VLOOKUP(C721,Stock_list!D:L,9,FALSE)</f>
        <v>44562</v>
      </c>
      <c r="F721" s="170" t="s">
        <v>1381</v>
      </c>
      <c r="G721" s="171">
        <v>10</v>
      </c>
      <c r="H721" s="172"/>
      <c r="I721" s="173"/>
      <c r="J721" s="173"/>
      <c r="K721" s="174"/>
      <c r="L721" s="175"/>
      <c r="M721" s="174"/>
      <c r="N721" s="176"/>
      <c r="O721" s="176"/>
      <c r="P721" s="173"/>
      <c r="Q721" s="177"/>
      <c r="R721" s="178"/>
      <c r="S721" s="173"/>
      <c r="T721" s="179"/>
      <c r="U721" s="145"/>
    </row>
    <row r="722" spans="1:21" ht="15" customHeight="1">
      <c r="A722" s="159" t="s">
        <v>2751</v>
      </c>
      <c r="B722" s="114" t="str">
        <f>VLOOKUP(A722,'Data pick slip'!B:F,5,FALSE)</f>
        <v>KHJ-MC700-00</v>
      </c>
      <c r="C722" s="169">
        <v>110664</v>
      </c>
      <c r="D722" s="169" t="str">
        <f>VLOOKUP(C722,Stock_list!D:L,2,FALSE)</f>
        <v>Stock order(54%)</v>
      </c>
      <c r="E722" s="281">
        <f>VLOOKUP(C722,Stock_list!D:L,9,FALSE)</f>
        <v>44562</v>
      </c>
      <c r="F722" s="170" t="s">
        <v>1381</v>
      </c>
      <c r="G722" s="171">
        <v>5</v>
      </c>
      <c r="H722" s="172"/>
      <c r="I722" s="173"/>
      <c r="J722" s="173"/>
      <c r="K722" s="174"/>
      <c r="L722" s="175"/>
      <c r="M722" s="174"/>
      <c r="N722" s="176"/>
      <c r="O722" s="176"/>
      <c r="P722" s="173"/>
      <c r="Q722" s="177"/>
      <c r="R722" s="178"/>
      <c r="S722" s="173"/>
      <c r="T722" s="179"/>
      <c r="U722" s="145"/>
    </row>
    <row r="723" spans="1:21" ht="15" customHeight="1">
      <c r="A723" s="159" t="s">
        <v>2768</v>
      </c>
      <c r="B723" s="114" t="str">
        <f>VLOOKUP(A723,'Data pick slip'!B:F,5,FALSE)</f>
        <v>KHJ-MC100-00</v>
      </c>
      <c r="C723" s="169">
        <v>110708</v>
      </c>
      <c r="D723" s="169" t="str">
        <f>VLOOKUP(C723,Stock_list!D:L,2,FALSE)</f>
        <v>Stock order(51%)</v>
      </c>
      <c r="E723" s="281">
        <f>VLOOKUP(C723,Stock_list!D:L,9,FALSE)</f>
        <v>44573</v>
      </c>
      <c r="F723" s="170" t="s">
        <v>1381</v>
      </c>
      <c r="G723" s="171">
        <v>700</v>
      </c>
      <c r="H723" s="172"/>
      <c r="I723" s="173"/>
      <c r="J723" s="173"/>
      <c r="K723" s="174"/>
      <c r="L723" s="175"/>
      <c r="M723" s="174"/>
      <c r="N723" s="176"/>
      <c r="O723" s="176"/>
      <c r="P723" s="173"/>
      <c r="Q723" s="177"/>
      <c r="R723" s="178"/>
      <c r="S723" s="173"/>
      <c r="T723" s="179"/>
      <c r="U723" s="145"/>
    </row>
    <row r="724" spans="1:21" ht="15" customHeight="1">
      <c r="A724" s="159" t="s">
        <v>2747</v>
      </c>
      <c r="B724" s="114" t="str">
        <f>VLOOKUP(A724,'Data pick slip'!B:F,5,FALSE)</f>
        <v>KHJ-MC200-00</v>
      </c>
      <c r="C724" s="169">
        <v>110708</v>
      </c>
      <c r="D724" s="169" t="str">
        <f>VLOOKUP(C724,Stock_list!D:L,2,FALSE)</f>
        <v>Stock order(51%)</v>
      </c>
      <c r="E724" s="281">
        <f>VLOOKUP(C724,Stock_list!D:L,9,FALSE)</f>
        <v>44573</v>
      </c>
      <c r="F724" s="170" t="s">
        <v>1381</v>
      </c>
      <c r="G724" s="171">
        <v>50</v>
      </c>
      <c r="H724" s="172"/>
      <c r="I724" s="173"/>
      <c r="J724" s="173"/>
      <c r="K724" s="174"/>
      <c r="L724" s="175"/>
      <c r="M724" s="174"/>
      <c r="N724" s="176"/>
      <c r="O724" s="176"/>
      <c r="P724" s="173"/>
      <c r="Q724" s="177"/>
      <c r="R724" s="178"/>
      <c r="S724" s="173"/>
      <c r="T724" s="179"/>
      <c r="U724" s="145"/>
    </row>
    <row r="725" spans="1:21" ht="15" customHeight="1">
      <c r="A725" s="159" t="s">
        <v>2748</v>
      </c>
      <c r="B725" s="114" t="str">
        <f>VLOOKUP(A725,'Data pick slip'!B:F,5,FALSE)</f>
        <v>KHJ-MC400-00</v>
      </c>
      <c r="C725" s="169">
        <v>110708</v>
      </c>
      <c r="D725" s="169" t="str">
        <f>VLOOKUP(C725,Stock_list!D:L,2,FALSE)</f>
        <v>Stock order(51%)</v>
      </c>
      <c r="E725" s="281">
        <f>VLOOKUP(C725,Stock_list!D:L,9,FALSE)</f>
        <v>44573</v>
      </c>
      <c r="F725" s="170" t="s">
        <v>1381</v>
      </c>
      <c r="G725" s="171">
        <v>30</v>
      </c>
      <c r="H725" s="172"/>
      <c r="I725" s="173"/>
      <c r="J725" s="173"/>
      <c r="K725" s="174"/>
      <c r="L725" s="175"/>
      <c r="M725" s="174"/>
      <c r="N725" s="176"/>
      <c r="O725" s="176"/>
      <c r="P725" s="173"/>
      <c r="Q725" s="177"/>
      <c r="R725" s="178"/>
      <c r="S725" s="173"/>
      <c r="T725" s="179"/>
      <c r="U725" s="145"/>
    </row>
    <row r="726" spans="1:21" ht="15" customHeight="1">
      <c r="A726" s="159" t="s">
        <v>2749</v>
      </c>
      <c r="B726" s="114" t="str">
        <f>VLOOKUP(A726,'Data pick slip'!B:F,5,FALSE)</f>
        <v>KHJ-MC500-00</v>
      </c>
      <c r="C726" s="169">
        <v>110708</v>
      </c>
      <c r="D726" s="169" t="str">
        <f>VLOOKUP(C726,Stock_list!D:L,2,FALSE)</f>
        <v>Stock order(51%)</v>
      </c>
      <c r="E726" s="281">
        <f>VLOOKUP(C726,Stock_list!D:L,9,FALSE)</f>
        <v>44573</v>
      </c>
      <c r="F726" s="170" t="s">
        <v>1381</v>
      </c>
      <c r="G726" s="171">
        <v>20</v>
      </c>
      <c r="H726" s="172"/>
      <c r="I726" s="173"/>
      <c r="J726" s="173"/>
      <c r="K726" s="174"/>
      <c r="L726" s="175"/>
      <c r="M726" s="174"/>
      <c r="N726" s="176"/>
      <c r="O726" s="176"/>
      <c r="P726" s="173"/>
      <c r="Q726" s="177"/>
      <c r="R726" s="178"/>
      <c r="S726" s="173"/>
      <c r="T726" s="179"/>
      <c r="U726" s="145"/>
    </row>
    <row r="727" spans="1:21" ht="15" customHeight="1">
      <c r="A727" s="159" t="s">
        <v>2768</v>
      </c>
      <c r="B727" s="114" t="str">
        <f>VLOOKUP(A727,'Data pick slip'!B:F,5,FALSE)</f>
        <v>KHJ-MC100-00</v>
      </c>
      <c r="C727" s="169">
        <v>110670</v>
      </c>
      <c r="D727" s="169" t="str">
        <f>VLOOKUP(C727,Stock_list!D:L,2,FALSE)</f>
        <v>Stock order(54%)</v>
      </c>
      <c r="E727" s="281">
        <f>VLOOKUP(C727,Stock_list!D:L,9,FALSE)</f>
        <v>44562</v>
      </c>
      <c r="F727" s="170" t="s">
        <v>1381</v>
      </c>
      <c r="G727" s="171">
        <v>100</v>
      </c>
      <c r="H727" s="172"/>
      <c r="I727" s="173"/>
      <c r="J727" s="173"/>
      <c r="K727" s="174"/>
      <c r="L727" s="175"/>
      <c r="M727" s="174"/>
      <c r="N727" s="176"/>
      <c r="O727" s="176"/>
      <c r="P727" s="173"/>
      <c r="Q727" s="177"/>
      <c r="R727" s="178"/>
      <c r="S727" s="173"/>
      <c r="T727" s="179"/>
      <c r="U727" s="145"/>
    </row>
    <row r="728" spans="1:21" ht="15" customHeight="1">
      <c r="A728" s="159" t="s">
        <v>2749</v>
      </c>
      <c r="B728" s="114" t="str">
        <f>VLOOKUP(A728,'Data pick slip'!B:F,5,FALSE)</f>
        <v>KHJ-MC500-00</v>
      </c>
      <c r="C728" s="169">
        <v>110670</v>
      </c>
      <c r="D728" s="169" t="str">
        <f>VLOOKUP(C728,Stock_list!D:L,2,FALSE)</f>
        <v>Stock order(54%)</v>
      </c>
      <c r="E728" s="281">
        <f>VLOOKUP(C728,Stock_list!D:L,9,FALSE)</f>
        <v>44562</v>
      </c>
      <c r="F728" s="170" t="s">
        <v>1381</v>
      </c>
      <c r="G728" s="171">
        <v>5</v>
      </c>
      <c r="H728" s="172"/>
      <c r="I728" s="173"/>
      <c r="J728" s="173"/>
      <c r="K728" s="174"/>
      <c r="L728" s="175"/>
      <c r="M728" s="174"/>
      <c r="N728" s="176"/>
      <c r="O728" s="176"/>
      <c r="P728" s="173"/>
      <c r="Q728" s="177"/>
      <c r="R728" s="178"/>
      <c r="S728" s="173"/>
      <c r="T728" s="179"/>
      <c r="U728" s="145"/>
    </row>
    <row r="729" spans="1:21" ht="15" customHeight="1">
      <c r="A729" s="159" t="s">
        <v>2744</v>
      </c>
      <c r="B729" s="114" t="str">
        <f>VLOOKUP(A729,'Data pick slip'!B:F,5,FALSE)</f>
        <v>KHJ-MC100-00</v>
      </c>
      <c r="C729" s="169"/>
      <c r="D729" s="169"/>
      <c r="E729" s="281" t="s">
        <v>2969</v>
      </c>
      <c r="F729" s="170" t="s">
        <v>2753</v>
      </c>
      <c r="G729" s="171">
        <v>48</v>
      </c>
      <c r="H729" s="172"/>
      <c r="I729" s="173"/>
      <c r="J729" s="173"/>
      <c r="K729" s="174"/>
      <c r="L729" s="175"/>
      <c r="M729" s="174"/>
      <c r="N729" s="176"/>
      <c r="O729" s="176"/>
      <c r="P729" s="173"/>
      <c r="Q729" s="177"/>
      <c r="R729" s="178"/>
      <c r="S729" s="173"/>
      <c r="T729" s="179"/>
      <c r="U729" s="145"/>
    </row>
    <row r="730" spans="1:21" ht="15" customHeight="1">
      <c r="A730" s="159" t="s">
        <v>2747</v>
      </c>
      <c r="B730" s="114" t="str">
        <f>VLOOKUP(A730,'Data pick slip'!B:F,5,FALSE)</f>
        <v>KHJ-MC200-00</v>
      </c>
      <c r="C730" s="169"/>
      <c r="D730" s="169"/>
      <c r="E730" s="281" t="s">
        <v>2969</v>
      </c>
      <c r="F730" s="170" t="s">
        <v>2753</v>
      </c>
      <c r="G730" s="171">
        <v>10</v>
      </c>
      <c r="H730" s="172"/>
      <c r="I730" s="173"/>
      <c r="J730" s="173"/>
      <c r="K730" s="174"/>
      <c r="L730" s="175"/>
      <c r="M730" s="174"/>
      <c r="N730" s="176"/>
      <c r="O730" s="176"/>
      <c r="P730" s="173"/>
      <c r="Q730" s="177"/>
      <c r="R730" s="178"/>
      <c r="S730" s="173"/>
      <c r="T730" s="179"/>
      <c r="U730" s="145"/>
    </row>
    <row r="731" spans="1:21" ht="15" customHeight="1">
      <c r="A731" s="159" t="s">
        <v>2748</v>
      </c>
      <c r="B731" s="114" t="str">
        <f>VLOOKUP(A731,'Data pick slip'!B:F,5,FALSE)</f>
        <v>KHJ-MC400-00</v>
      </c>
      <c r="C731" s="169"/>
      <c r="D731" s="169"/>
      <c r="E731" s="281" t="s">
        <v>2969</v>
      </c>
      <c r="F731" s="170" t="s">
        <v>2753</v>
      </c>
      <c r="G731" s="171">
        <v>10</v>
      </c>
      <c r="H731" s="172"/>
      <c r="I731" s="173"/>
      <c r="J731" s="173"/>
      <c r="K731" s="174"/>
      <c r="L731" s="175"/>
      <c r="M731" s="174"/>
      <c r="N731" s="176"/>
      <c r="O731" s="176"/>
      <c r="P731" s="173"/>
      <c r="Q731" s="177"/>
      <c r="R731" s="178"/>
      <c r="S731" s="173"/>
      <c r="T731" s="179"/>
      <c r="U731" s="145"/>
    </row>
    <row r="732" spans="1:21" ht="15" customHeight="1">
      <c r="A732" s="159" t="s">
        <v>2749</v>
      </c>
      <c r="B732" s="114" t="str">
        <f>VLOOKUP(A732,'Data pick slip'!B:F,5,FALSE)</f>
        <v>KHJ-MC500-00</v>
      </c>
      <c r="C732" s="169"/>
      <c r="D732" s="169"/>
      <c r="E732" s="281" t="s">
        <v>2969</v>
      </c>
      <c r="F732" s="170" t="s">
        <v>2753</v>
      </c>
      <c r="G732" s="171">
        <v>5</v>
      </c>
      <c r="H732" s="172"/>
      <c r="I732" s="173"/>
      <c r="J732" s="173"/>
      <c r="K732" s="174"/>
      <c r="L732" s="175"/>
      <c r="M732" s="174"/>
      <c r="N732" s="176"/>
      <c r="O732" s="176"/>
      <c r="P732" s="173"/>
      <c r="Q732" s="177"/>
      <c r="R732" s="178"/>
      <c r="S732" s="173"/>
      <c r="T732" s="179"/>
      <c r="U732" s="145"/>
    </row>
    <row r="733" spans="1:21" ht="15" customHeight="1">
      <c r="A733" s="159" t="s">
        <v>2750</v>
      </c>
      <c r="B733" s="114" t="str">
        <f>VLOOKUP(A733,'Data pick slip'!B:F,5,FALSE)</f>
        <v>KHJ-MC600-00</v>
      </c>
      <c r="C733" s="169"/>
      <c r="D733" s="169"/>
      <c r="E733" s="281" t="s">
        <v>2969</v>
      </c>
      <c r="F733" s="170" t="s">
        <v>2753</v>
      </c>
      <c r="G733" s="171">
        <v>9</v>
      </c>
      <c r="H733" s="172"/>
      <c r="I733" s="173"/>
      <c r="J733" s="173"/>
      <c r="K733" s="174"/>
      <c r="L733" s="175"/>
      <c r="M733" s="174"/>
      <c r="N733" s="176"/>
      <c r="O733" s="176"/>
      <c r="P733" s="173"/>
      <c r="Q733" s="177"/>
      <c r="R733" s="178"/>
      <c r="S733" s="173"/>
      <c r="T733" s="179"/>
      <c r="U733" s="145"/>
    </row>
    <row r="734" spans="1:21" ht="15" customHeight="1">
      <c r="A734" s="159" t="s">
        <v>2751</v>
      </c>
      <c r="B734" s="114" t="str">
        <f>VLOOKUP(A734,'Data pick slip'!B:F,5,FALSE)</f>
        <v>KHJ-MC700-00</v>
      </c>
      <c r="C734" s="169"/>
      <c r="D734" s="169"/>
      <c r="E734" s="281" t="s">
        <v>2969</v>
      </c>
      <c r="F734" s="170" t="s">
        <v>2753</v>
      </c>
      <c r="G734" s="171">
        <v>1</v>
      </c>
      <c r="H734" s="172"/>
      <c r="I734" s="173"/>
      <c r="J734" s="173"/>
      <c r="K734" s="174"/>
      <c r="L734" s="175"/>
      <c r="M734" s="174"/>
      <c r="N734" s="176"/>
      <c r="O734" s="176"/>
      <c r="P734" s="173"/>
      <c r="Q734" s="177"/>
      <c r="R734" s="178"/>
      <c r="S734" s="173"/>
      <c r="T734" s="179"/>
      <c r="U734" s="145"/>
    </row>
    <row r="735" spans="1:21" ht="15" customHeight="1">
      <c r="A735" s="159" t="s">
        <v>2744</v>
      </c>
      <c r="B735" s="114" t="str">
        <f>VLOOKUP(A735,'Data pick slip'!B:F,5,FALSE)</f>
        <v>KHJ-MC100-00</v>
      </c>
      <c r="C735" s="169">
        <v>110689</v>
      </c>
      <c r="D735" s="169" t="str">
        <f>VLOOKUP(C735,Stock_list!D:L,2,FALSE)</f>
        <v>深圳领德创下单</v>
      </c>
      <c r="E735" s="281">
        <f>VLOOKUP(C735,Stock_list!D:L,9,FALSE)</f>
        <v>44600</v>
      </c>
      <c r="F735" s="170" t="s">
        <v>1381</v>
      </c>
      <c r="G735" s="171">
        <v>100</v>
      </c>
      <c r="H735" s="172"/>
      <c r="I735" s="173"/>
      <c r="J735" s="173"/>
      <c r="K735" s="174"/>
      <c r="L735" s="175"/>
      <c r="M735" s="174"/>
      <c r="N735" s="176"/>
      <c r="O735" s="176"/>
      <c r="P735" s="173"/>
      <c r="Q735" s="177"/>
      <c r="R735" s="178"/>
      <c r="S735" s="173"/>
      <c r="T735" s="179"/>
      <c r="U735" s="145"/>
    </row>
    <row r="736" spans="1:21" ht="15" customHeight="1">
      <c r="A736" s="159" t="s">
        <v>2747</v>
      </c>
      <c r="B736" s="114" t="str">
        <f>VLOOKUP(A736,'Data pick slip'!B:F,5,FALSE)</f>
        <v>KHJ-MC200-00</v>
      </c>
      <c r="C736" s="169">
        <v>110689</v>
      </c>
      <c r="D736" s="169" t="str">
        <f>VLOOKUP(C736,Stock_list!D:L,2,FALSE)</f>
        <v>深圳领德创下单</v>
      </c>
      <c r="E736" s="281">
        <f>VLOOKUP(C736,Stock_list!D:L,9,FALSE)</f>
        <v>44600</v>
      </c>
      <c r="F736" s="170" t="s">
        <v>1381</v>
      </c>
      <c r="G736" s="171">
        <v>20</v>
      </c>
      <c r="H736" s="172"/>
      <c r="I736" s="173"/>
      <c r="J736" s="173"/>
      <c r="K736" s="174"/>
      <c r="L736" s="175"/>
      <c r="M736" s="174"/>
      <c r="N736" s="176"/>
      <c r="O736" s="176"/>
      <c r="P736" s="173"/>
      <c r="Q736" s="177"/>
      <c r="R736" s="178"/>
      <c r="S736" s="173"/>
      <c r="T736" s="179"/>
      <c r="U736" s="145"/>
    </row>
    <row r="737" spans="1:21" ht="15" customHeight="1">
      <c r="A737" s="159" t="s">
        <v>2744</v>
      </c>
      <c r="B737" s="114" t="str">
        <f>VLOOKUP(A737,'Data pick slip'!B:F,5,FALSE)</f>
        <v>KHJ-MC100-00</v>
      </c>
      <c r="C737" s="169">
        <v>110690</v>
      </c>
      <c r="D737" s="169" t="str">
        <f>VLOOKUP(C737,Stock_list!D:L,2,FALSE)</f>
        <v>狂热者下单</v>
      </c>
      <c r="E737" s="281">
        <f>VLOOKUP(C737,Stock_list!D:L,9,FALSE)</f>
        <v>44600</v>
      </c>
      <c r="F737" s="170" t="s">
        <v>1381</v>
      </c>
      <c r="G737" s="171">
        <v>100</v>
      </c>
      <c r="H737" s="172"/>
      <c r="I737" s="173"/>
      <c r="J737" s="173"/>
      <c r="K737" s="174"/>
      <c r="L737" s="175"/>
      <c r="M737" s="174"/>
      <c r="N737" s="176"/>
      <c r="O737" s="176"/>
      <c r="P737" s="173"/>
      <c r="Q737" s="177"/>
      <c r="R737" s="178"/>
      <c r="S737" s="173"/>
      <c r="T737" s="179"/>
      <c r="U737" s="145"/>
    </row>
    <row r="738" spans="1:21" ht="15" customHeight="1">
      <c r="A738" s="159" t="s">
        <v>2747</v>
      </c>
      <c r="B738" s="114" t="str">
        <f>VLOOKUP(A738,'Data pick slip'!B:F,5,FALSE)</f>
        <v>KHJ-MC200-00</v>
      </c>
      <c r="C738" s="169">
        <v>110690</v>
      </c>
      <c r="D738" s="169" t="str">
        <f>VLOOKUP(C738,Stock_list!D:L,2,FALSE)</f>
        <v>狂热者下单</v>
      </c>
      <c r="E738" s="281">
        <f>VLOOKUP(C738,Stock_list!D:L,9,FALSE)</f>
        <v>44600</v>
      </c>
      <c r="F738" s="170" t="s">
        <v>1381</v>
      </c>
      <c r="G738" s="171">
        <v>20</v>
      </c>
      <c r="H738" s="172"/>
      <c r="I738" s="173"/>
      <c r="J738" s="173"/>
      <c r="K738" s="174"/>
      <c r="L738" s="175"/>
      <c r="M738" s="174"/>
      <c r="N738" s="176"/>
      <c r="O738" s="176"/>
      <c r="P738" s="173"/>
      <c r="Q738" s="177"/>
      <c r="R738" s="178"/>
      <c r="S738" s="173"/>
      <c r="T738" s="179"/>
      <c r="U738" s="145"/>
    </row>
    <row r="739" spans="1:21" ht="15" customHeight="1">
      <c r="A739" s="159" t="s">
        <v>2744</v>
      </c>
      <c r="B739" s="114" t="str">
        <f>VLOOKUP(A739,'Data pick slip'!B:F,5,FALSE)</f>
        <v>KHJ-MC100-00</v>
      </c>
      <c r="C739" s="169">
        <v>110691</v>
      </c>
      <c r="D739" s="169" t="str">
        <f>VLOOKUP(C739,Stock_list!D:L,2,FALSE)</f>
        <v>方案集下单</v>
      </c>
      <c r="E739" s="281">
        <f>VLOOKUP(C739,Stock_list!D:L,9,FALSE)</f>
        <v>44600</v>
      </c>
      <c r="F739" s="170" t="s">
        <v>1381</v>
      </c>
      <c r="G739" s="171">
        <v>100</v>
      </c>
      <c r="H739" s="172"/>
      <c r="I739" s="173"/>
      <c r="J739" s="173"/>
      <c r="K739" s="174"/>
      <c r="L739" s="175"/>
      <c r="M739" s="174"/>
      <c r="N739" s="176"/>
      <c r="O739" s="176"/>
      <c r="P739" s="173"/>
      <c r="Q739" s="177"/>
      <c r="R739" s="178"/>
      <c r="S739" s="173"/>
      <c r="T739" s="179"/>
      <c r="U739" s="145"/>
    </row>
    <row r="740" spans="1:21" ht="15" customHeight="1">
      <c r="A740" s="159" t="s">
        <v>2747</v>
      </c>
      <c r="B740" s="114" t="str">
        <f>VLOOKUP(A740,'Data pick slip'!B:F,5,FALSE)</f>
        <v>KHJ-MC200-00</v>
      </c>
      <c r="C740" s="169">
        <v>110691</v>
      </c>
      <c r="D740" s="169" t="str">
        <f>VLOOKUP(C740,Stock_list!D:L,2,FALSE)</f>
        <v>方案集下单</v>
      </c>
      <c r="E740" s="281">
        <f>VLOOKUP(C740,Stock_list!D:L,9,FALSE)</f>
        <v>44600</v>
      </c>
      <c r="F740" s="170" t="s">
        <v>1381</v>
      </c>
      <c r="G740" s="171">
        <v>20</v>
      </c>
      <c r="H740" s="172"/>
      <c r="I740" s="173"/>
      <c r="J740" s="173"/>
      <c r="K740" s="174"/>
      <c r="L740" s="175"/>
      <c r="M740" s="174"/>
      <c r="N740" s="176"/>
      <c r="O740" s="176"/>
      <c r="P740" s="173"/>
      <c r="Q740" s="177"/>
      <c r="R740" s="178"/>
      <c r="S740" s="173"/>
      <c r="T740" s="179"/>
      <c r="U740" s="145"/>
    </row>
    <row r="741" spans="1:21" ht="15" customHeight="1">
      <c r="A741" s="159" t="s">
        <v>2744</v>
      </c>
      <c r="B741" s="114" t="str">
        <f>VLOOKUP(A741,'Data pick slip'!B:F,5,FALSE)</f>
        <v>KHJ-MC100-00</v>
      </c>
      <c r="C741" s="169">
        <v>110692</v>
      </c>
      <c r="D741" s="169" t="str">
        <f>VLOOKUP(C741,Stock_list!D:L,2,FALSE)</f>
        <v>祥弘瑞下单</v>
      </c>
      <c r="E741" s="281">
        <f>VLOOKUP(C741,Stock_list!D:L,9,FALSE)</f>
        <v>44600</v>
      </c>
      <c r="F741" s="170" t="s">
        <v>1381</v>
      </c>
      <c r="G741" s="171">
        <v>100</v>
      </c>
      <c r="H741" s="172"/>
      <c r="I741" s="173"/>
      <c r="J741" s="173"/>
      <c r="K741" s="174"/>
      <c r="L741" s="175"/>
      <c r="M741" s="174"/>
      <c r="N741" s="176"/>
      <c r="O741" s="176"/>
      <c r="P741" s="173"/>
      <c r="Q741" s="177"/>
      <c r="R741" s="178"/>
      <c r="S741" s="173"/>
      <c r="T741" s="179"/>
      <c r="U741" s="145"/>
    </row>
    <row r="742" spans="1:21" ht="15" customHeight="1">
      <c r="A742" s="159" t="s">
        <v>2744</v>
      </c>
      <c r="B742" s="114" t="str">
        <f>VLOOKUP(A742,'Data pick slip'!B:F,5,FALSE)</f>
        <v>KHJ-MC100-00</v>
      </c>
      <c r="C742" s="169">
        <v>110693</v>
      </c>
      <c r="D742" s="169" t="str">
        <f>VLOOKUP(C742,Stock_list!D:L,2,FALSE)</f>
        <v>深圳领德创下单</v>
      </c>
      <c r="E742" s="281">
        <f>VLOOKUP(C742,Stock_list!D:L,9,FALSE)</f>
        <v>44596</v>
      </c>
      <c r="F742" s="170" t="s">
        <v>1381</v>
      </c>
      <c r="G742" s="171">
        <v>200</v>
      </c>
      <c r="H742" s="172"/>
      <c r="I742" s="173"/>
      <c r="J742" s="173"/>
      <c r="K742" s="174"/>
      <c r="L742" s="175"/>
      <c r="M742" s="174"/>
      <c r="N742" s="176"/>
      <c r="O742" s="176"/>
      <c r="P742" s="173"/>
      <c r="Q742" s="177"/>
      <c r="R742" s="178"/>
      <c r="S742" s="173"/>
      <c r="T742" s="179"/>
      <c r="U742" s="145"/>
    </row>
    <row r="743" spans="1:21" ht="15" customHeight="1">
      <c r="A743" s="159" t="s">
        <v>2747</v>
      </c>
      <c r="B743" s="114" t="str">
        <f>VLOOKUP(A743,'Data pick slip'!B:F,5,FALSE)</f>
        <v>KHJ-MC200-00</v>
      </c>
      <c r="C743" s="169">
        <v>110693</v>
      </c>
      <c r="D743" s="169" t="str">
        <f>VLOOKUP(C743,Stock_list!D:L,2,FALSE)</f>
        <v>深圳领德创下单</v>
      </c>
      <c r="E743" s="281">
        <f>VLOOKUP(C743,Stock_list!D:L,9,FALSE)</f>
        <v>44596</v>
      </c>
      <c r="F743" s="170" t="s">
        <v>1381</v>
      </c>
      <c r="G743" s="171">
        <v>20</v>
      </c>
      <c r="H743" s="172"/>
      <c r="I743" s="173"/>
      <c r="J743" s="173"/>
      <c r="K743" s="174"/>
      <c r="L743" s="175"/>
      <c r="M743" s="174"/>
      <c r="N743" s="176"/>
      <c r="O743" s="176"/>
      <c r="P743" s="173"/>
      <c r="Q743" s="177"/>
      <c r="R743" s="178"/>
      <c r="S743" s="173"/>
      <c r="T743" s="179"/>
      <c r="U743" s="145"/>
    </row>
    <row r="744" spans="1:21" ht="15" customHeight="1">
      <c r="A744" s="159" t="s">
        <v>2748</v>
      </c>
      <c r="B744" s="114" t="str">
        <f>VLOOKUP(A744,'Data pick slip'!B:F,5,FALSE)</f>
        <v>KHJ-MC400-00</v>
      </c>
      <c r="C744" s="169">
        <v>110693</v>
      </c>
      <c r="D744" s="169" t="str">
        <f>VLOOKUP(C744,Stock_list!D:L,2,FALSE)</f>
        <v>深圳领德创下单</v>
      </c>
      <c r="E744" s="281">
        <f>VLOOKUP(C744,Stock_list!D:L,9,FALSE)</f>
        <v>44596</v>
      </c>
      <c r="F744" s="170" t="s">
        <v>1381</v>
      </c>
      <c r="G744" s="171">
        <v>10</v>
      </c>
      <c r="H744" s="172"/>
      <c r="I744" s="173"/>
      <c r="J744" s="173"/>
      <c r="K744" s="174"/>
      <c r="L744" s="175"/>
      <c r="M744" s="174"/>
      <c r="N744" s="176"/>
      <c r="O744" s="176"/>
      <c r="P744" s="173"/>
      <c r="Q744" s="177"/>
      <c r="R744" s="178"/>
      <c r="S744" s="173"/>
      <c r="T744" s="179"/>
      <c r="U744" s="145"/>
    </row>
    <row r="745" spans="1:21" ht="15" customHeight="1">
      <c r="A745" s="159" t="s">
        <v>2749</v>
      </c>
      <c r="B745" s="114" t="str">
        <f>VLOOKUP(A745,'Data pick slip'!B:F,5,FALSE)</f>
        <v>KHJ-MC500-00</v>
      </c>
      <c r="C745" s="169">
        <v>110693</v>
      </c>
      <c r="D745" s="169" t="str">
        <f>VLOOKUP(C745,Stock_list!D:L,2,FALSE)</f>
        <v>深圳领德创下单</v>
      </c>
      <c r="E745" s="281">
        <f>VLOOKUP(C745,Stock_list!D:L,9,FALSE)</f>
        <v>44596</v>
      </c>
      <c r="F745" s="170" t="s">
        <v>1381</v>
      </c>
      <c r="G745" s="171">
        <v>10</v>
      </c>
      <c r="H745" s="172"/>
      <c r="I745" s="173"/>
      <c r="J745" s="173"/>
      <c r="K745" s="174"/>
      <c r="L745" s="175"/>
      <c r="M745" s="174"/>
      <c r="N745" s="176"/>
      <c r="O745" s="176"/>
      <c r="P745" s="173"/>
      <c r="Q745" s="177"/>
      <c r="R745" s="178"/>
      <c r="S745" s="173"/>
      <c r="T745" s="179"/>
      <c r="U745" s="145"/>
    </row>
    <row r="746" spans="1:21" ht="15" customHeight="1">
      <c r="A746" s="159" t="s">
        <v>2744</v>
      </c>
      <c r="B746" s="114" t="str">
        <f>VLOOKUP(A746,'Data pick slip'!B:F,5,FALSE)</f>
        <v>KHJ-MC100-00</v>
      </c>
      <c r="C746" s="169">
        <v>110694</v>
      </c>
      <c r="D746" s="169" t="str">
        <f>VLOOKUP(C746,Stock_list!D:L,2,FALSE)</f>
        <v>SZ 聚亮兴业</v>
      </c>
      <c r="E746" s="281">
        <f>VLOOKUP(C746,Stock_list!D:L,9,FALSE)</f>
        <v>44598</v>
      </c>
      <c r="F746" s="170" t="s">
        <v>1381</v>
      </c>
      <c r="G746" s="171">
        <v>100</v>
      </c>
      <c r="H746" s="172"/>
      <c r="I746" s="173"/>
      <c r="J746" s="173"/>
      <c r="K746" s="174"/>
      <c r="L746" s="175"/>
      <c r="M746" s="174"/>
      <c r="N746" s="176"/>
      <c r="O746" s="176"/>
      <c r="P746" s="173"/>
      <c r="Q746" s="177"/>
      <c r="R746" s="178"/>
      <c r="S746" s="173"/>
      <c r="T746" s="179"/>
      <c r="U746" s="145"/>
    </row>
    <row r="747" spans="1:21" ht="15" customHeight="1">
      <c r="A747" s="159" t="s">
        <v>2747</v>
      </c>
      <c r="B747" s="114" t="str">
        <f>VLOOKUP(A747,'Data pick slip'!B:F,5,FALSE)</f>
        <v>KHJ-MC200-00</v>
      </c>
      <c r="C747" s="169">
        <v>110694</v>
      </c>
      <c r="D747" s="169" t="str">
        <f>VLOOKUP(C747,Stock_list!D:L,2,FALSE)</f>
        <v>SZ 聚亮兴业</v>
      </c>
      <c r="E747" s="281">
        <f>VLOOKUP(C747,Stock_list!D:L,9,FALSE)</f>
        <v>44598</v>
      </c>
      <c r="F747" s="170" t="s">
        <v>1381</v>
      </c>
      <c r="G747" s="171">
        <v>20</v>
      </c>
      <c r="H747" s="172"/>
      <c r="I747" s="173"/>
      <c r="J747" s="173"/>
      <c r="K747" s="174"/>
      <c r="L747" s="175"/>
      <c r="M747" s="174"/>
      <c r="N747" s="176"/>
      <c r="O747" s="176"/>
      <c r="P747" s="173"/>
      <c r="Q747" s="177"/>
      <c r="R747" s="178"/>
      <c r="S747" s="173"/>
      <c r="T747" s="179"/>
      <c r="U747" s="145"/>
    </row>
    <row r="748" spans="1:21" ht="15" customHeight="1">
      <c r="A748" s="159" t="s">
        <v>2748</v>
      </c>
      <c r="B748" s="114" t="str">
        <f>VLOOKUP(A748,'Data pick slip'!B:F,5,FALSE)</f>
        <v>KHJ-MC400-00</v>
      </c>
      <c r="C748" s="169">
        <v>110694</v>
      </c>
      <c r="D748" s="169" t="str">
        <f>VLOOKUP(C748,Stock_list!D:L,2,FALSE)</f>
        <v>SZ 聚亮兴业</v>
      </c>
      <c r="E748" s="281">
        <f>VLOOKUP(C748,Stock_list!D:L,9,FALSE)</f>
        <v>44598</v>
      </c>
      <c r="F748" s="170" t="s">
        <v>1381</v>
      </c>
      <c r="G748" s="171">
        <v>10</v>
      </c>
      <c r="H748" s="172"/>
      <c r="I748" s="173"/>
      <c r="J748" s="173"/>
      <c r="K748" s="174"/>
      <c r="L748" s="175"/>
      <c r="M748" s="174"/>
      <c r="N748" s="176"/>
      <c r="O748" s="176"/>
      <c r="P748" s="173"/>
      <c r="Q748" s="177"/>
      <c r="R748" s="178"/>
      <c r="S748" s="173"/>
      <c r="T748" s="179"/>
      <c r="U748" s="145"/>
    </row>
    <row r="749" spans="1:21" ht="15" customHeight="1">
      <c r="A749" s="159" t="s">
        <v>2749</v>
      </c>
      <c r="B749" s="114" t="str">
        <f>VLOOKUP(A749,'Data pick slip'!B:F,5,FALSE)</f>
        <v>KHJ-MC500-00</v>
      </c>
      <c r="C749" s="169">
        <v>110694</v>
      </c>
      <c r="D749" s="169" t="str">
        <f>VLOOKUP(C749,Stock_list!D:L,2,FALSE)</f>
        <v>SZ 聚亮兴业</v>
      </c>
      <c r="E749" s="281">
        <f>VLOOKUP(C749,Stock_list!D:L,9,FALSE)</f>
        <v>44598</v>
      </c>
      <c r="F749" s="170" t="s">
        <v>1381</v>
      </c>
      <c r="G749" s="171">
        <v>10</v>
      </c>
      <c r="H749" s="172"/>
      <c r="I749" s="173"/>
      <c r="J749" s="173"/>
      <c r="K749" s="174"/>
      <c r="L749" s="175"/>
      <c r="M749" s="174"/>
      <c r="N749" s="176"/>
      <c r="O749" s="176"/>
      <c r="P749" s="173"/>
      <c r="Q749" s="177"/>
      <c r="R749" s="178"/>
      <c r="S749" s="173"/>
      <c r="T749" s="179"/>
      <c r="U749" s="145"/>
    </row>
    <row r="750" spans="1:21" ht="15" customHeight="1">
      <c r="A750" s="159" t="s">
        <v>2744</v>
      </c>
      <c r="B750" s="114" t="str">
        <f>VLOOKUP(A750,'Data pick slip'!B:F,5,FALSE)</f>
        <v>KHJ-MC100-00</v>
      </c>
      <c r="C750" s="169">
        <v>110695</v>
      </c>
      <c r="D750" s="169" t="str">
        <f>VLOOKUP(C750,Stock_list!D:L,2,FALSE)</f>
        <v>SZ 狂热者</v>
      </c>
      <c r="E750" s="281">
        <f>VLOOKUP(C750,Stock_list!D:L,9,FALSE)</f>
        <v>44598</v>
      </c>
      <c r="F750" s="170" t="s">
        <v>1381</v>
      </c>
      <c r="G750" s="171">
        <v>100</v>
      </c>
      <c r="H750" s="172"/>
      <c r="I750" s="173"/>
      <c r="J750" s="173"/>
      <c r="K750" s="174"/>
      <c r="L750" s="175"/>
      <c r="M750" s="174"/>
      <c r="N750" s="176"/>
      <c r="O750" s="176"/>
      <c r="P750" s="173"/>
      <c r="Q750" s="177"/>
      <c r="R750" s="178"/>
      <c r="S750" s="173"/>
      <c r="T750" s="179"/>
      <c r="U750" s="145"/>
    </row>
    <row r="751" spans="1:21" ht="15" customHeight="1">
      <c r="A751" s="159" t="s">
        <v>2747</v>
      </c>
      <c r="B751" s="114" t="str">
        <f>VLOOKUP(A751,'Data pick slip'!B:F,5,FALSE)</f>
        <v>KHJ-MC200-00</v>
      </c>
      <c r="C751" s="169">
        <v>110695</v>
      </c>
      <c r="D751" s="169" t="str">
        <f>VLOOKUP(C751,Stock_list!D:L,2,FALSE)</f>
        <v>SZ 狂热者</v>
      </c>
      <c r="E751" s="281">
        <f>VLOOKUP(C751,Stock_list!D:L,9,FALSE)</f>
        <v>44598</v>
      </c>
      <c r="F751" s="170" t="s">
        <v>1381</v>
      </c>
      <c r="G751" s="171">
        <v>20</v>
      </c>
      <c r="H751" s="172"/>
      <c r="I751" s="173"/>
      <c r="J751" s="173"/>
      <c r="K751" s="174"/>
      <c r="L751" s="175"/>
      <c r="M751" s="174"/>
      <c r="N751" s="176"/>
      <c r="O751" s="176"/>
      <c r="P751" s="173"/>
      <c r="Q751" s="177"/>
      <c r="R751" s="178"/>
      <c r="S751" s="173"/>
      <c r="T751" s="179"/>
      <c r="U751" s="145"/>
    </row>
    <row r="752" spans="1:21" ht="15" customHeight="1">
      <c r="A752" s="159" t="s">
        <v>2748</v>
      </c>
      <c r="B752" s="114" t="str">
        <f>VLOOKUP(A752,'Data pick slip'!B:F,5,FALSE)</f>
        <v>KHJ-MC400-00</v>
      </c>
      <c r="C752" s="169">
        <v>110695</v>
      </c>
      <c r="D752" s="169" t="str">
        <f>VLOOKUP(C752,Stock_list!D:L,2,FALSE)</f>
        <v>SZ 狂热者</v>
      </c>
      <c r="E752" s="281">
        <f>VLOOKUP(C752,Stock_list!D:L,9,FALSE)</f>
        <v>44598</v>
      </c>
      <c r="F752" s="170" t="s">
        <v>1381</v>
      </c>
      <c r="G752" s="171">
        <v>20</v>
      </c>
      <c r="H752" s="172"/>
      <c r="I752" s="173"/>
      <c r="J752" s="173"/>
      <c r="K752" s="174"/>
      <c r="L752" s="175"/>
      <c r="M752" s="174"/>
      <c r="N752" s="176"/>
      <c r="O752" s="176"/>
      <c r="P752" s="173"/>
      <c r="Q752" s="177"/>
      <c r="R752" s="178"/>
      <c r="S752" s="173"/>
      <c r="T752" s="179"/>
      <c r="U752" s="145"/>
    </row>
    <row r="753" spans="1:21" ht="15" customHeight="1">
      <c r="A753" s="159" t="s">
        <v>2749</v>
      </c>
      <c r="B753" s="114" t="str">
        <f>VLOOKUP(A753,'Data pick slip'!B:F,5,FALSE)</f>
        <v>KHJ-MC500-00</v>
      </c>
      <c r="C753" s="169">
        <v>110695</v>
      </c>
      <c r="D753" s="169" t="str">
        <f>VLOOKUP(C753,Stock_list!D:L,2,FALSE)</f>
        <v>SZ 狂热者</v>
      </c>
      <c r="E753" s="281">
        <f>VLOOKUP(C753,Stock_list!D:L,9,FALSE)</f>
        <v>44598</v>
      </c>
      <c r="F753" s="170" t="s">
        <v>1381</v>
      </c>
      <c r="G753" s="171">
        <v>10</v>
      </c>
      <c r="H753" s="172"/>
      <c r="I753" s="173"/>
      <c r="J753" s="173"/>
      <c r="K753" s="174"/>
      <c r="L753" s="175"/>
      <c r="M753" s="174"/>
      <c r="N753" s="176"/>
      <c r="O753" s="176"/>
      <c r="P753" s="173"/>
      <c r="Q753" s="177"/>
      <c r="R753" s="178"/>
      <c r="S753" s="173"/>
      <c r="T753" s="179"/>
      <c r="U753" s="145"/>
    </row>
    <row r="754" spans="1:21" ht="15" customHeight="1">
      <c r="A754" s="159" t="s">
        <v>2750</v>
      </c>
      <c r="B754" s="114" t="str">
        <f>VLOOKUP(A754,'Data pick slip'!B:F,5,FALSE)</f>
        <v>KHJ-MC600-00</v>
      </c>
      <c r="C754" s="169">
        <v>110695</v>
      </c>
      <c r="D754" s="169" t="str">
        <f>VLOOKUP(C754,Stock_list!D:L,2,FALSE)</f>
        <v>SZ 狂热者</v>
      </c>
      <c r="E754" s="281">
        <f>VLOOKUP(C754,Stock_list!D:L,9,FALSE)</f>
        <v>44598</v>
      </c>
      <c r="F754" s="170" t="s">
        <v>1381</v>
      </c>
      <c r="G754" s="171">
        <v>5</v>
      </c>
      <c r="H754" s="172"/>
      <c r="I754" s="173"/>
      <c r="J754" s="173"/>
      <c r="K754" s="174"/>
      <c r="L754" s="175"/>
      <c r="M754" s="174"/>
      <c r="N754" s="176"/>
      <c r="O754" s="176"/>
      <c r="P754" s="173"/>
      <c r="Q754" s="177"/>
      <c r="R754" s="178"/>
      <c r="S754" s="173"/>
      <c r="T754" s="179"/>
      <c r="U754" s="145"/>
    </row>
    <row r="755" spans="1:21" ht="15" customHeight="1">
      <c r="A755" s="159" t="s">
        <v>2751</v>
      </c>
      <c r="B755" s="114" t="str">
        <f>VLOOKUP(A755,'Data pick slip'!B:F,5,FALSE)</f>
        <v>KHJ-MC700-00</v>
      </c>
      <c r="C755" s="169">
        <v>110695</v>
      </c>
      <c r="D755" s="169" t="str">
        <f>VLOOKUP(C755,Stock_list!D:L,2,FALSE)</f>
        <v>SZ 狂热者</v>
      </c>
      <c r="E755" s="281">
        <f>VLOOKUP(C755,Stock_list!D:L,9,FALSE)</f>
        <v>44598</v>
      </c>
      <c r="F755" s="170" t="s">
        <v>1381</v>
      </c>
      <c r="G755" s="171">
        <v>3</v>
      </c>
      <c r="H755" s="172"/>
      <c r="I755" s="173"/>
      <c r="J755" s="173"/>
      <c r="K755" s="174"/>
      <c r="L755" s="175"/>
      <c r="M755" s="174"/>
      <c r="N755" s="176"/>
      <c r="O755" s="176"/>
      <c r="P755" s="173"/>
      <c r="Q755" s="177"/>
      <c r="R755" s="178"/>
      <c r="S755" s="173"/>
      <c r="T755" s="179"/>
      <c r="U755" s="145"/>
    </row>
    <row r="756" spans="1:21" ht="15" customHeight="1">
      <c r="A756" s="159" t="s">
        <v>2744</v>
      </c>
      <c r="B756" s="114" t="str">
        <f>VLOOKUP(A756,'Data pick slip'!B:F,5,FALSE)</f>
        <v>KHJ-MC100-00</v>
      </c>
      <c r="C756" s="169">
        <v>110696</v>
      </c>
      <c r="D756" s="169" t="str">
        <f>VLOOKUP(C756,Stock_list!D:L,2,FALSE)</f>
        <v>SZ 晨鑫达</v>
      </c>
      <c r="E756" s="281">
        <f>VLOOKUP(C756,Stock_list!D:L,9,FALSE)</f>
        <v>44597</v>
      </c>
      <c r="F756" s="170" t="s">
        <v>1381</v>
      </c>
      <c r="G756" s="171">
        <v>200</v>
      </c>
      <c r="H756" s="172"/>
      <c r="I756" s="173"/>
      <c r="J756" s="173"/>
      <c r="K756" s="174"/>
      <c r="L756" s="175"/>
      <c r="M756" s="174"/>
      <c r="N756" s="176"/>
      <c r="O756" s="176"/>
      <c r="P756" s="173"/>
      <c r="Q756" s="177"/>
      <c r="R756" s="178"/>
      <c r="S756" s="173"/>
      <c r="T756" s="179"/>
      <c r="U756" s="145"/>
    </row>
    <row r="757" spans="1:21" ht="15" customHeight="1">
      <c r="A757" s="159" t="s">
        <v>2747</v>
      </c>
      <c r="B757" s="114" t="str">
        <f>VLOOKUP(A757,'Data pick slip'!B:F,5,FALSE)</f>
        <v>KHJ-MC200-00</v>
      </c>
      <c r="C757" s="169">
        <v>110696</v>
      </c>
      <c r="D757" s="169" t="str">
        <f>VLOOKUP(C757,Stock_list!D:L,2,FALSE)</f>
        <v>SZ 晨鑫达</v>
      </c>
      <c r="E757" s="281">
        <f>VLOOKUP(C757,Stock_list!D:L,9,FALSE)</f>
        <v>44597</v>
      </c>
      <c r="F757" s="170" t="s">
        <v>1381</v>
      </c>
      <c r="G757" s="171">
        <v>20</v>
      </c>
      <c r="H757" s="172"/>
      <c r="I757" s="173"/>
      <c r="J757" s="173"/>
      <c r="K757" s="174"/>
      <c r="L757" s="175"/>
      <c r="M757" s="174"/>
      <c r="N757" s="176"/>
      <c r="O757" s="176"/>
      <c r="P757" s="173"/>
      <c r="Q757" s="177"/>
      <c r="R757" s="178"/>
      <c r="S757" s="173"/>
      <c r="T757" s="179"/>
      <c r="U757" s="145"/>
    </row>
    <row r="758" spans="1:21" ht="15" customHeight="1">
      <c r="A758" s="159" t="s">
        <v>2748</v>
      </c>
      <c r="B758" s="114" t="str">
        <f>VLOOKUP(A758,'Data pick slip'!B:F,5,FALSE)</f>
        <v>KHJ-MC400-00</v>
      </c>
      <c r="C758" s="169">
        <v>110696</v>
      </c>
      <c r="D758" s="169" t="str">
        <f>VLOOKUP(C758,Stock_list!D:L,2,FALSE)</f>
        <v>SZ 晨鑫达</v>
      </c>
      <c r="E758" s="281">
        <f>VLOOKUP(C758,Stock_list!D:L,9,FALSE)</f>
        <v>44597</v>
      </c>
      <c r="F758" s="170" t="s">
        <v>1381</v>
      </c>
      <c r="G758" s="171">
        <v>20</v>
      </c>
      <c r="H758" s="172"/>
      <c r="I758" s="173"/>
      <c r="J758" s="173"/>
      <c r="K758" s="174"/>
      <c r="L758" s="175"/>
      <c r="M758" s="174"/>
      <c r="N758" s="176"/>
      <c r="O758" s="176"/>
      <c r="P758" s="173"/>
      <c r="Q758" s="177"/>
      <c r="R758" s="178"/>
      <c r="S758" s="173"/>
      <c r="T758" s="179"/>
      <c r="U758" s="145"/>
    </row>
    <row r="759" spans="1:21" ht="15" customHeight="1">
      <c r="A759" s="159" t="s">
        <v>2749</v>
      </c>
      <c r="B759" s="114" t="str">
        <f>VLOOKUP(A759,'Data pick slip'!B:F,5,FALSE)</f>
        <v>KHJ-MC500-00</v>
      </c>
      <c r="C759" s="169">
        <v>110696</v>
      </c>
      <c r="D759" s="169" t="str">
        <f>VLOOKUP(C759,Stock_list!D:L,2,FALSE)</f>
        <v>SZ 晨鑫达</v>
      </c>
      <c r="E759" s="281">
        <f>VLOOKUP(C759,Stock_list!D:L,9,FALSE)</f>
        <v>44597</v>
      </c>
      <c r="F759" s="170" t="s">
        <v>1381</v>
      </c>
      <c r="G759" s="171">
        <v>10</v>
      </c>
      <c r="H759" s="172"/>
      <c r="I759" s="173"/>
      <c r="J759" s="173"/>
      <c r="K759" s="174"/>
      <c r="L759" s="175"/>
      <c r="M759" s="174"/>
      <c r="N759" s="176"/>
      <c r="O759" s="176"/>
      <c r="P759" s="173"/>
      <c r="Q759" s="177"/>
      <c r="R759" s="178"/>
      <c r="S759" s="173"/>
      <c r="T759" s="179"/>
      <c r="U759" s="145"/>
    </row>
    <row r="760" spans="1:21" ht="15" customHeight="1">
      <c r="A760" s="159" t="s">
        <v>2750</v>
      </c>
      <c r="B760" s="114" t="str">
        <f>VLOOKUP(A760,'Data pick slip'!B:F,5,FALSE)</f>
        <v>KHJ-MC600-00</v>
      </c>
      <c r="C760" s="169">
        <v>110696</v>
      </c>
      <c r="D760" s="169" t="str">
        <f>VLOOKUP(C760,Stock_list!D:L,2,FALSE)</f>
        <v>SZ 晨鑫达</v>
      </c>
      <c r="E760" s="281">
        <f>VLOOKUP(C760,Stock_list!D:L,9,FALSE)</f>
        <v>44597</v>
      </c>
      <c r="F760" s="170" t="s">
        <v>1381</v>
      </c>
      <c r="G760" s="171">
        <v>5</v>
      </c>
      <c r="H760" s="172"/>
      <c r="I760" s="173"/>
      <c r="J760" s="173"/>
      <c r="K760" s="174"/>
      <c r="L760" s="175"/>
      <c r="M760" s="174"/>
      <c r="N760" s="176"/>
      <c r="O760" s="176"/>
      <c r="P760" s="173"/>
      <c r="Q760" s="177"/>
      <c r="R760" s="178"/>
      <c r="S760" s="173"/>
      <c r="T760" s="179"/>
      <c r="U760" s="145"/>
    </row>
    <row r="761" spans="1:21" ht="15" customHeight="1">
      <c r="A761" s="159" t="s">
        <v>2751</v>
      </c>
      <c r="B761" s="114" t="str">
        <f>VLOOKUP(A761,'Data pick slip'!B:F,5,FALSE)</f>
        <v>KHJ-MC700-00</v>
      </c>
      <c r="C761" s="169">
        <v>110696</v>
      </c>
      <c r="D761" s="169" t="str">
        <f>VLOOKUP(C761,Stock_list!D:L,2,FALSE)</f>
        <v>SZ 晨鑫达</v>
      </c>
      <c r="E761" s="281">
        <f>VLOOKUP(C761,Stock_list!D:L,9,FALSE)</f>
        <v>44597</v>
      </c>
      <c r="F761" s="170" t="s">
        <v>1381</v>
      </c>
      <c r="G761" s="171">
        <v>2</v>
      </c>
      <c r="H761" s="172"/>
      <c r="I761" s="173"/>
      <c r="J761" s="173"/>
      <c r="K761" s="174"/>
      <c r="L761" s="175"/>
      <c r="M761" s="174"/>
      <c r="N761" s="176"/>
      <c r="O761" s="176"/>
      <c r="P761" s="173"/>
      <c r="Q761" s="177"/>
      <c r="R761" s="178"/>
      <c r="S761" s="173"/>
      <c r="T761" s="179"/>
      <c r="U761" s="145"/>
    </row>
    <row r="762" spans="1:21" ht="15" customHeight="1">
      <c r="A762" s="159" t="s">
        <v>2744</v>
      </c>
      <c r="B762" s="114" t="str">
        <f>VLOOKUP(A762,'Data pick slip'!B:F,5,FALSE)</f>
        <v>KHJ-MC100-00</v>
      </c>
      <c r="C762" s="169">
        <v>110697</v>
      </c>
      <c r="D762" s="169" t="str">
        <f>VLOOKUP(C762,Stock_list!D:L,2,FALSE)</f>
        <v>SZ 融创新合</v>
      </c>
      <c r="E762" s="281">
        <f>VLOOKUP(C762,Stock_list!D:L,9,FALSE)</f>
        <v>44598</v>
      </c>
      <c r="F762" s="170" t="s">
        <v>1381</v>
      </c>
      <c r="G762" s="171">
        <v>100</v>
      </c>
      <c r="H762" s="172"/>
      <c r="I762" s="173"/>
      <c r="J762" s="173"/>
      <c r="K762" s="174"/>
      <c r="L762" s="175"/>
      <c r="M762" s="174"/>
      <c r="N762" s="176"/>
      <c r="O762" s="176"/>
      <c r="P762" s="173"/>
      <c r="Q762" s="177"/>
      <c r="R762" s="178"/>
      <c r="S762" s="173"/>
      <c r="T762" s="179"/>
      <c r="U762" s="145"/>
    </row>
    <row r="763" spans="1:21" ht="15" customHeight="1">
      <c r="A763" s="159" t="s">
        <v>2747</v>
      </c>
      <c r="B763" s="114" t="str">
        <f>VLOOKUP(A763,'Data pick slip'!B:F,5,FALSE)</f>
        <v>KHJ-MC200-00</v>
      </c>
      <c r="C763" s="169">
        <v>110697</v>
      </c>
      <c r="D763" s="169" t="str">
        <f>VLOOKUP(C763,Stock_list!D:L,2,FALSE)</f>
        <v>SZ 融创新合</v>
      </c>
      <c r="E763" s="281">
        <f>VLOOKUP(C763,Stock_list!D:L,9,FALSE)</f>
        <v>44598</v>
      </c>
      <c r="F763" s="170" t="s">
        <v>1381</v>
      </c>
      <c r="G763" s="171">
        <v>20</v>
      </c>
      <c r="H763" s="172"/>
      <c r="I763" s="173"/>
      <c r="J763" s="173"/>
      <c r="K763" s="174"/>
      <c r="L763" s="175"/>
      <c r="M763" s="174"/>
      <c r="N763" s="176"/>
      <c r="O763" s="176"/>
      <c r="P763" s="173"/>
      <c r="Q763" s="177"/>
      <c r="R763" s="178"/>
      <c r="S763" s="173"/>
      <c r="T763" s="179"/>
      <c r="U763" s="145"/>
    </row>
    <row r="764" spans="1:21" ht="15" customHeight="1">
      <c r="A764" s="159" t="s">
        <v>2748</v>
      </c>
      <c r="B764" s="114" t="str">
        <f>VLOOKUP(A764,'Data pick slip'!B:F,5,FALSE)</f>
        <v>KHJ-MC400-00</v>
      </c>
      <c r="C764" s="169">
        <v>110697</v>
      </c>
      <c r="D764" s="169" t="str">
        <f>VLOOKUP(C764,Stock_list!D:L,2,FALSE)</f>
        <v>SZ 融创新合</v>
      </c>
      <c r="E764" s="281">
        <f>VLOOKUP(C764,Stock_list!D:L,9,FALSE)</f>
        <v>44598</v>
      </c>
      <c r="F764" s="170" t="s">
        <v>1381</v>
      </c>
      <c r="G764" s="171">
        <v>10</v>
      </c>
      <c r="H764" s="172"/>
      <c r="I764" s="173"/>
      <c r="J764" s="173"/>
      <c r="K764" s="174"/>
      <c r="L764" s="175"/>
      <c r="M764" s="174"/>
      <c r="N764" s="176"/>
      <c r="O764" s="176"/>
      <c r="P764" s="173"/>
      <c r="Q764" s="177"/>
      <c r="R764" s="178"/>
      <c r="S764" s="173"/>
      <c r="T764" s="179"/>
      <c r="U764" s="145"/>
    </row>
    <row r="765" spans="1:21" ht="15" customHeight="1">
      <c r="A765" s="159" t="s">
        <v>2749</v>
      </c>
      <c r="B765" s="114" t="str">
        <f>VLOOKUP(A765,'Data pick slip'!B:F,5,FALSE)</f>
        <v>KHJ-MC500-00</v>
      </c>
      <c r="C765" s="169">
        <v>110697</v>
      </c>
      <c r="D765" s="169" t="str">
        <f>VLOOKUP(C765,Stock_list!D:L,2,FALSE)</f>
        <v>SZ 融创新合</v>
      </c>
      <c r="E765" s="281">
        <f>VLOOKUP(C765,Stock_list!D:L,9,FALSE)</f>
        <v>44598</v>
      </c>
      <c r="F765" s="170" t="s">
        <v>1381</v>
      </c>
      <c r="G765" s="171">
        <v>10</v>
      </c>
      <c r="H765" s="172"/>
      <c r="I765" s="173"/>
      <c r="J765" s="173"/>
      <c r="K765" s="174"/>
      <c r="L765" s="175"/>
      <c r="M765" s="174"/>
      <c r="N765" s="176"/>
      <c r="O765" s="176"/>
      <c r="P765" s="173"/>
      <c r="Q765" s="177"/>
      <c r="R765" s="178"/>
      <c r="S765" s="173"/>
      <c r="T765" s="179"/>
      <c r="U765" s="145"/>
    </row>
    <row r="766" spans="1:21" ht="15" customHeight="1">
      <c r="A766" s="159" t="s">
        <v>2750</v>
      </c>
      <c r="B766" s="114" t="str">
        <f>VLOOKUP(A766,'Data pick slip'!B:F,5,FALSE)</f>
        <v>KHJ-MC600-00</v>
      </c>
      <c r="C766" s="169">
        <v>110697</v>
      </c>
      <c r="D766" s="169" t="str">
        <f>VLOOKUP(C766,Stock_list!D:L,2,FALSE)</f>
        <v>SZ 融创新合</v>
      </c>
      <c r="E766" s="281">
        <f>VLOOKUP(C766,Stock_list!D:L,9,FALSE)</f>
        <v>44598</v>
      </c>
      <c r="F766" s="170" t="s">
        <v>1381</v>
      </c>
      <c r="G766" s="171">
        <v>5</v>
      </c>
      <c r="H766" s="172"/>
      <c r="I766" s="173"/>
      <c r="J766" s="173"/>
      <c r="K766" s="174"/>
      <c r="L766" s="175"/>
      <c r="M766" s="174"/>
      <c r="N766" s="176"/>
      <c r="O766" s="176"/>
      <c r="P766" s="173"/>
      <c r="Q766" s="177"/>
      <c r="R766" s="178"/>
      <c r="S766" s="173"/>
      <c r="T766" s="179"/>
      <c r="U766" s="145"/>
    </row>
    <row r="767" spans="1:21" ht="15" customHeight="1">
      <c r="A767" s="159" t="s">
        <v>2744</v>
      </c>
      <c r="B767" s="114" t="str">
        <f>VLOOKUP(A767,'Data pick slip'!B:F,5,FALSE)</f>
        <v>KHJ-MC100-00</v>
      </c>
      <c r="C767" s="169">
        <v>110698</v>
      </c>
      <c r="D767" s="169" t="str">
        <f>VLOOKUP(C767,Stock_list!D:L,2,FALSE)</f>
        <v>SZ 魔乐视</v>
      </c>
      <c r="E767" s="281">
        <f>VLOOKUP(C767,Stock_list!D:L,9,FALSE)</f>
        <v>44597</v>
      </c>
      <c r="F767" s="170" t="s">
        <v>1381</v>
      </c>
      <c r="G767" s="171">
        <v>100</v>
      </c>
      <c r="H767" s="172"/>
      <c r="I767" s="173"/>
      <c r="J767" s="173"/>
      <c r="K767" s="174"/>
      <c r="L767" s="175"/>
      <c r="M767" s="174"/>
      <c r="N767" s="176"/>
      <c r="O767" s="176"/>
      <c r="P767" s="173"/>
      <c r="Q767" s="177"/>
      <c r="R767" s="178"/>
      <c r="S767" s="173"/>
      <c r="T767" s="179"/>
      <c r="U767" s="145"/>
    </row>
    <row r="768" spans="1:21" ht="15" customHeight="1">
      <c r="A768" s="159" t="s">
        <v>2747</v>
      </c>
      <c r="B768" s="114" t="str">
        <f>VLOOKUP(A768,'Data pick slip'!B:F,5,FALSE)</f>
        <v>KHJ-MC200-00</v>
      </c>
      <c r="C768" s="169">
        <v>110698</v>
      </c>
      <c r="D768" s="169" t="str">
        <f>VLOOKUP(C768,Stock_list!D:L,2,FALSE)</f>
        <v>SZ 魔乐视</v>
      </c>
      <c r="E768" s="281">
        <f>VLOOKUP(C768,Stock_list!D:L,9,FALSE)</f>
        <v>44597</v>
      </c>
      <c r="F768" s="170" t="s">
        <v>1381</v>
      </c>
      <c r="G768" s="171">
        <v>10</v>
      </c>
      <c r="H768" s="172"/>
      <c r="I768" s="173"/>
      <c r="J768" s="173"/>
      <c r="K768" s="174"/>
      <c r="L768" s="175"/>
      <c r="M768" s="174"/>
      <c r="N768" s="176"/>
      <c r="O768" s="176"/>
      <c r="P768" s="173"/>
      <c r="Q768" s="177"/>
      <c r="R768" s="178"/>
      <c r="S768" s="173"/>
      <c r="T768" s="179"/>
      <c r="U768" s="145"/>
    </row>
    <row r="769" spans="1:21" ht="15" customHeight="1">
      <c r="A769" s="159" t="s">
        <v>2748</v>
      </c>
      <c r="B769" s="114" t="str">
        <f>VLOOKUP(A769,'Data pick slip'!B:F,5,FALSE)</f>
        <v>KHJ-MC400-00</v>
      </c>
      <c r="C769" s="169">
        <v>110698</v>
      </c>
      <c r="D769" s="169" t="str">
        <f>VLOOKUP(C769,Stock_list!D:L,2,FALSE)</f>
        <v>SZ 魔乐视</v>
      </c>
      <c r="E769" s="281">
        <f>VLOOKUP(C769,Stock_list!D:L,9,FALSE)</f>
        <v>44597</v>
      </c>
      <c r="F769" s="170" t="s">
        <v>1381</v>
      </c>
      <c r="G769" s="171">
        <v>10</v>
      </c>
      <c r="H769" s="172"/>
      <c r="I769" s="173"/>
      <c r="J769" s="173"/>
      <c r="K769" s="174"/>
      <c r="L769" s="175"/>
      <c r="M769" s="174"/>
      <c r="N769" s="176"/>
      <c r="O769" s="176"/>
      <c r="P769" s="173"/>
      <c r="Q769" s="177"/>
      <c r="R769" s="178"/>
      <c r="S769" s="173"/>
      <c r="T769" s="179"/>
      <c r="U769" s="145"/>
    </row>
    <row r="770" spans="1:21" ht="15" customHeight="1">
      <c r="A770" s="159" t="s">
        <v>2750</v>
      </c>
      <c r="B770" s="114" t="str">
        <f>VLOOKUP(A770,'Data pick slip'!B:F,5,FALSE)</f>
        <v>KHJ-MC600-00</v>
      </c>
      <c r="C770" s="169">
        <v>110698</v>
      </c>
      <c r="D770" s="169" t="str">
        <f>VLOOKUP(C770,Stock_list!D:L,2,FALSE)</f>
        <v>SZ 魔乐视</v>
      </c>
      <c r="E770" s="281">
        <f>VLOOKUP(C770,Stock_list!D:L,9,FALSE)</f>
        <v>44597</v>
      </c>
      <c r="F770" s="170" t="s">
        <v>1381</v>
      </c>
      <c r="G770" s="171">
        <v>10</v>
      </c>
      <c r="H770" s="172"/>
      <c r="I770" s="173"/>
      <c r="J770" s="173"/>
      <c r="K770" s="174"/>
      <c r="L770" s="175"/>
      <c r="M770" s="174"/>
      <c r="N770" s="176"/>
      <c r="O770" s="176"/>
      <c r="P770" s="173"/>
      <c r="Q770" s="177"/>
      <c r="R770" s="178"/>
      <c r="S770" s="173"/>
      <c r="T770" s="179"/>
      <c r="U770" s="145"/>
    </row>
    <row r="771" spans="1:21" ht="15" customHeight="1">
      <c r="A771" s="159" t="s">
        <v>2744</v>
      </c>
      <c r="B771" s="114" t="str">
        <f>VLOOKUP(A771,'Data pick slip'!B:F,5,FALSE)</f>
        <v>KHJ-MC100-00</v>
      </c>
      <c r="C771" s="169"/>
      <c r="D771" s="169"/>
      <c r="E771" s="281" t="s">
        <v>2970</v>
      </c>
      <c r="F771" s="170" t="s">
        <v>2753</v>
      </c>
      <c r="G771" s="171">
        <v>70</v>
      </c>
      <c r="H771" s="172"/>
      <c r="I771" s="173"/>
      <c r="J771" s="173"/>
      <c r="K771" s="174"/>
      <c r="L771" s="175"/>
      <c r="M771" s="174"/>
      <c r="N771" s="176"/>
      <c r="O771" s="176"/>
      <c r="P771" s="173"/>
      <c r="Q771" s="177"/>
      <c r="R771" s="178"/>
      <c r="S771" s="173"/>
      <c r="T771" s="179"/>
      <c r="U771" s="145"/>
    </row>
    <row r="772" spans="1:21" ht="15" customHeight="1">
      <c r="A772" s="181" t="s">
        <v>2748</v>
      </c>
      <c r="B772" s="114" t="str">
        <f>VLOOKUP(A772,'Data pick slip'!B:F,5,FALSE)</f>
        <v>KHJ-MC400-00</v>
      </c>
      <c r="C772" s="169"/>
      <c r="D772" s="169"/>
      <c r="E772" s="281" t="s">
        <v>2970</v>
      </c>
      <c r="F772" s="170" t="s">
        <v>2753</v>
      </c>
      <c r="G772" s="171">
        <v>20</v>
      </c>
      <c r="H772" s="172"/>
      <c r="I772" s="173"/>
      <c r="J772" s="173"/>
      <c r="K772" s="174"/>
      <c r="L772" s="175"/>
      <c r="M772" s="174"/>
      <c r="N772" s="176"/>
      <c r="O772" s="176"/>
      <c r="P772" s="173"/>
      <c r="Q772" s="177"/>
      <c r="R772" s="178"/>
      <c r="S772" s="173"/>
      <c r="T772" s="179"/>
      <c r="U772" s="145"/>
    </row>
    <row r="773" spans="1:21" ht="15" customHeight="1">
      <c r="A773" s="181" t="s">
        <v>2749</v>
      </c>
      <c r="B773" s="114" t="str">
        <f>VLOOKUP(A773,'Data pick slip'!B:F,5,FALSE)</f>
        <v>KHJ-MC500-00</v>
      </c>
      <c r="C773" s="169"/>
      <c r="D773" s="169"/>
      <c r="E773" s="281" t="s">
        <v>2970</v>
      </c>
      <c r="F773" s="170" t="s">
        <v>2753</v>
      </c>
      <c r="G773" s="171">
        <f>20+13</f>
        <v>33</v>
      </c>
      <c r="H773" s="172"/>
      <c r="I773" s="173"/>
      <c r="J773" s="173"/>
      <c r="K773" s="174"/>
      <c r="L773" s="175"/>
      <c r="M773" s="174"/>
      <c r="N773" s="176"/>
      <c r="O773" s="176"/>
      <c r="P773" s="173"/>
      <c r="Q773" s="177"/>
      <c r="R773" s="178"/>
      <c r="S773" s="173"/>
      <c r="T773" s="179"/>
      <c r="U773" s="145"/>
    </row>
    <row r="774" spans="1:21" ht="15" customHeight="1">
      <c r="A774" s="181" t="s">
        <v>2750</v>
      </c>
      <c r="B774" s="114" t="str">
        <f>VLOOKUP(A774,'Data pick slip'!B:F,5,FALSE)</f>
        <v>KHJ-MC600-00</v>
      </c>
      <c r="C774" s="169"/>
      <c r="D774" s="169"/>
      <c r="E774" s="281" t="s">
        <v>2970</v>
      </c>
      <c r="F774" s="170" t="s">
        <v>2753</v>
      </c>
      <c r="G774" s="171">
        <v>5</v>
      </c>
      <c r="H774" s="172"/>
      <c r="I774" s="173"/>
      <c r="J774" s="173"/>
      <c r="K774" s="174"/>
      <c r="L774" s="175"/>
      <c r="M774" s="174"/>
      <c r="N774" s="176"/>
      <c r="O774" s="176"/>
      <c r="P774" s="173"/>
      <c r="Q774" s="177"/>
      <c r="R774" s="178"/>
      <c r="S774" s="173"/>
      <c r="T774" s="179"/>
      <c r="U774" s="145"/>
    </row>
    <row r="775" spans="1:21" ht="15" customHeight="1">
      <c r="A775" s="181" t="s">
        <v>2751</v>
      </c>
      <c r="B775" s="114" t="str">
        <f>VLOOKUP(A775,'Data pick slip'!B:F,5,FALSE)</f>
        <v>KHJ-MC700-00</v>
      </c>
      <c r="C775" s="169"/>
      <c r="D775" s="169"/>
      <c r="E775" s="281" t="s">
        <v>2970</v>
      </c>
      <c r="F775" s="170" t="s">
        <v>2753</v>
      </c>
      <c r="G775" s="171">
        <v>1</v>
      </c>
      <c r="H775" s="172"/>
      <c r="I775" s="173"/>
      <c r="J775" s="173"/>
      <c r="K775" s="174"/>
      <c r="L775" s="175"/>
      <c r="M775" s="174"/>
      <c r="N775" s="176"/>
      <c r="O775" s="176"/>
      <c r="P775" s="173"/>
      <c r="Q775" s="177"/>
      <c r="R775" s="178"/>
      <c r="S775" s="173"/>
      <c r="T775" s="179"/>
      <c r="U775" s="145"/>
    </row>
    <row r="776" spans="1:21" ht="15" customHeight="1">
      <c r="A776" s="181" t="s">
        <v>2752</v>
      </c>
      <c r="B776" s="114" t="str">
        <f>VLOOKUP(A776,'Data pick slip'!B:F,5,FALSE)</f>
        <v>KHJ-MC800-00</v>
      </c>
      <c r="C776" s="169"/>
      <c r="D776" s="169"/>
      <c r="E776" s="281" t="s">
        <v>2970</v>
      </c>
      <c r="F776" s="170" t="s">
        <v>2753</v>
      </c>
      <c r="G776" s="171">
        <v>1</v>
      </c>
      <c r="H776" s="172"/>
      <c r="I776" s="173"/>
      <c r="J776" s="173"/>
      <c r="K776" s="174"/>
      <c r="L776" s="175"/>
      <c r="M776" s="174"/>
      <c r="N776" s="176"/>
      <c r="O776" s="176"/>
      <c r="P776" s="173"/>
      <c r="Q776" s="177"/>
      <c r="R776" s="178"/>
      <c r="S776" s="173"/>
      <c r="T776" s="179"/>
      <c r="U776" s="145"/>
    </row>
    <row r="777" spans="1:21" ht="15" customHeight="1">
      <c r="A777" s="159" t="s">
        <v>2744</v>
      </c>
      <c r="B777" s="114" t="str">
        <f>VLOOKUP(A777,'Data pick slip'!B:F,5,FALSE)</f>
        <v>KHJ-MC100-00</v>
      </c>
      <c r="C777" s="169">
        <v>110726</v>
      </c>
      <c r="D777" s="169" t="str">
        <f>VLOOKUP(C777,Stock_list!D:L,2,FALSE)</f>
        <v>河南融创</v>
      </c>
      <c r="E777" s="281">
        <f>VLOOKUP(C777,Stock_list!D:L,9,FALSE)</f>
        <v>44613</v>
      </c>
      <c r="F777" s="170" t="s">
        <v>1381</v>
      </c>
      <c r="G777" s="171">
        <v>80</v>
      </c>
      <c r="H777" s="172"/>
      <c r="I777" s="173"/>
      <c r="J777" s="173"/>
      <c r="K777" s="174"/>
      <c r="L777" s="175"/>
      <c r="M777" s="174"/>
      <c r="N777" s="176"/>
      <c r="O777" s="176"/>
      <c r="P777" s="173"/>
      <c r="Q777" s="177"/>
      <c r="R777" s="178"/>
      <c r="S777" s="173"/>
      <c r="T777" s="179"/>
      <c r="U777" s="145"/>
    </row>
    <row r="778" spans="1:21" ht="15" customHeight="1">
      <c r="A778" s="159" t="s">
        <v>2747</v>
      </c>
      <c r="B778" s="114" t="str">
        <f>VLOOKUP(A778,'Data pick slip'!B:F,5,FALSE)</f>
        <v>KHJ-MC200-00</v>
      </c>
      <c r="C778" s="169">
        <v>110726</v>
      </c>
      <c r="D778" s="169" t="str">
        <f>VLOOKUP(C778,Stock_list!D:L,2,FALSE)</f>
        <v>河南融创</v>
      </c>
      <c r="E778" s="281">
        <f>VLOOKUP(C778,Stock_list!D:L,9,FALSE)</f>
        <v>44613</v>
      </c>
      <c r="F778" s="170" t="s">
        <v>1381</v>
      </c>
      <c r="G778" s="171">
        <v>20</v>
      </c>
      <c r="H778" s="172"/>
      <c r="I778" s="173"/>
      <c r="J778" s="173"/>
      <c r="K778" s="174"/>
      <c r="L778" s="175"/>
      <c r="M778" s="174"/>
      <c r="N778" s="176"/>
      <c r="O778" s="176"/>
      <c r="P778" s="173"/>
      <c r="Q778" s="177"/>
      <c r="R778" s="178"/>
      <c r="S778" s="173"/>
      <c r="T778" s="179"/>
      <c r="U778" s="145"/>
    </row>
    <row r="779" spans="1:21" ht="15" customHeight="1">
      <c r="A779" s="159" t="s">
        <v>2748</v>
      </c>
      <c r="B779" s="114" t="str">
        <f>VLOOKUP(A779,'Data pick slip'!B:F,5,FALSE)</f>
        <v>KHJ-MC400-00</v>
      </c>
      <c r="C779" s="169">
        <v>110726</v>
      </c>
      <c r="D779" s="169" t="str">
        <f>VLOOKUP(C779,Stock_list!D:L,2,FALSE)</f>
        <v>河南融创</v>
      </c>
      <c r="E779" s="281">
        <f>VLOOKUP(C779,Stock_list!D:L,9,FALSE)</f>
        <v>44613</v>
      </c>
      <c r="F779" s="170" t="s">
        <v>1381</v>
      </c>
      <c r="G779" s="171">
        <v>5</v>
      </c>
      <c r="H779" s="172"/>
      <c r="I779" s="173"/>
      <c r="J779" s="173"/>
      <c r="K779" s="174"/>
      <c r="L779" s="175"/>
      <c r="M779" s="174"/>
      <c r="N779" s="176"/>
      <c r="O779" s="176"/>
      <c r="P779" s="173"/>
      <c r="Q779" s="177"/>
      <c r="R779" s="178"/>
      <c r="S779" s="173"/>
      <c r="T779" s="179"/>
      <c r="U779" s="145"/>
    </row>
    <row r="780" spans="1:21" ht="15" customHeight="1">
      <c r="A780" s="159" t="s">
        <v>2744</v>
      </c>
      <c r="B780" s="114" t="str">
        <f>VLOOKUP(A780,'Data pick slip'!B:F,5,FALSE)</f>
        <v>KHJ-MC100-00</v>
      </c>
      <c r="C780" s="169">
        <v>110727</v>
      </c>
      <c r="D780" s="169" t="str">
        <f>VLOOKUP(C780,Stock_list!D:L,2,FALSE)</f>
        <v>SZ 海凌科达</v>
      </c>
      <c r="E780" s="281">
        <f>VLOOKUP(C780,Stock_list!D:L,9,FALSE)</f>
        <v>44613</v>
      </c>
      <c r="F780" s="170" t="s">
        <v>1381</v>
      </c>
      <c r="G780" s="171">
        <v>80</v>
      </c>
      <c r="H780" s="172"/>
      <c r="I780" s="173"/>
      <c r="J780" s="173"/>
      <c r="K780" s="174"/>
      <c r="L780" s="175"/>
      <c r="M780" s="174"/>
      <c r="N780" s="176"/>
      <c r="O780" s="176"/>
      <c r="P780" s="173"/>
      <c r="Q780" s="177"/>
      <c r="R780" s="178"/>
      <c r="S780" s="173"/>
      <c r="T780" s="179"/>
      <c r="U780" s="145"/>
    </row>
    <row r="781" spans="1:21" ht="15" customHeight="1">
      <c r="A781" s="159" t="s">
        <v>2747</v>
      </c>
      <c r="B781" s="114" t="str">
        <f>VLOOKUP(A781,'Data pick slip'!B:F,5,FALSE)</f>
        <v>KHJ-MC200-00</v>
      </c>
      <c r="C781" s="169">
        <v>110727</v>
      </c>
      <c r="D781" s="169" t="str">
        <f>VLOOKUP(C781,Stock_list!D:L,2,FALSE)</f>
        <v>SZ 海凌科达</v>
      </c>
      <c r="E781" s="281">
        <f>VLOOKUP(C781,Stock_list!D:L,9,FALSE)</f>
        <v>44613</v>
      </c>
      <c r="F781" s="170" t="s">
        <v>1381</v>
      </c>
      <c r="G781" s="171">
        <v>20</v>
      </c>
      <c r="H781" s="172"/>
      <c r="I781" s="173"/>
      <c r="J781" s="173"/>
      <c r="K781" s="174"/>
      <c r="L781" s="175"/>
      <c r="M781" s="174"/>
      <c r="N781" s="176"/>
      <c r="O781" s="176"/>
      <c r="P781" s="173"/>
      <c r="Q781" s="177"/>
      <c r="R781" s="178"/>
      <c r="S781" s="173"/>
      <c r="T781" s="179"/>
      <c r="U781" s="145"/>
    </row>
    <row r="782" spans="1:21" ht="15" customHeight="1">
      <c r="A782" s="159" t="s">
        <v>2748</v>
      </c>
      <c r="B782" s="114" t="str">
        <f>VLOOKUP(A782,'Data pick slip'!B:F,5,FALSE)</f>
        <v>KHJ-MC400-00</v>
      </c>
      <c r="C782" s="169">
        <v>110727</v>
      </c>
      <c r="D782" s="169" t="str">
        <f>VLOOKUP(C782,Stock_list!D:L,2,FALSE)</f>
        <v>SZ 海凌科达</v>
      </c>
      <c r="E782" s="281">
        <f>VLOOKUP(C782,Stock_list!D:L,9,FALSE)</f>
        <v>44613</v>
      </c>
      <c r="F782" s="170" t="s">
        <v>1381</v>
      </c>
      <c r="G782" s="171">
        <v>5</v>
      </c>
      <c r="H782" s="172"/>
      <c r="I782" s="173"/>
      <c r="J782" s="173"/>
      <c r="K782" s="174"/>
      <c r="L782" s="175"/>
      <c r="M782" s="174"/>
      <c r="N782" s="176"/>
      <c r="O782" s="176"/>
      <c r="P782" s="173"/>
      <c r="Q782" s="177"/>
      <c r="R782" s="178"/>
      <c r="S782" s="173"/>
      <c r="T782" s="179"/>
      <c r="U782" s="145"/>
    </row>
    <row r="783" spans="1:21" ht="15" customHeight="1">
      <c r="A783" s="181" t="s">
        <v>2750</v>
      </c>
      <c r="B783" s="114" t="str">
        <f>VLOOKUP(A783,'Data pick slip'!B:F,5,FALSE)</f>
        <v>KHJ-MC600-00</v>
      </c>
      <c r="C783" s="169">
        <v>110727</v>
      </c>
      <c r="D783" s="169" t="str">
        <f>VLOOKUP(C783,Stock_list!D:L,2,FALSE)</f>
        <v>SZ 海凌科达</v>
      </c>
      <c r="E783" s="281">
        <f>VLOOKUP(C783,Stock_list!D:L,9,FALSE)</f>
        <v>44613</v>
      </c>
      <c r="F783" s="170" t="s">
        <v>1381</v>
      </c>
      <c r="G783" s="171">
        <v>3</v>
      </c>
      <c r="H783" s="172"/>
      <c r="I783" s="173"/>
      <c r="J783" s="173"/>
      <c r="K783" s="174"/>
      <c r="L783" s="175"/>
      <c r="M783" s="174"/>
      <c r="N783" s="176"/>
      <c r="O783" s="176"/>
      <c r="P783" s="173"/>
      <c r="Q783" s="177"/>
      <c r="R783" s="178"/>
      <c r="S783" s="173"/>
      <c r="T783" s="179"/>
      <c r="U783" s="145"/>
    </row>
    <row r="784" spans="1:21" ht="15" customHeight="1">
      <c r="A784" s="181" t="s">
        <v>2751</v>
      </c>
      <c r="B784" s="114" t="str">
        <f>VLOOKUP(A784,'Data pick slip'!B:F,5,FALSE)</f>
        <v>KHJ-MC700-00</v>
      </c>
      <c r="C784" s="169">
        <v>110727</v>
      </c>
      <c r="D784" s="169" t="str">
        <f>VLOOKUP(C784,Stock_list!D:L,2,FALSE)</f>
        <v>SZ 海凌科达</v>
      </c>
      <c r="E784" s="281">
        <f>VLOOKUP(C784,Stock_list!D:L,9,FALSE)</f>
        <v>44613</v>
      </c>
      <c r="F784" s="170" t="s">
        <v>1381</v>
      </c>
      <c r="G784" s="171">
        <v>2</v>
      </c>
      <c r="H784" s="172"/>
      <c r="I784" s="173"/>
      <c r="J784" s="173"/>
      <c r="K784" s="174"/>
      <c r="L784" s="175"/>
      <c r="M784" s="174"/>
      <c r="N784" s="176"/>
      <c r="O784" s="176"/>
      <c r="P784" s="173"/>
      <c r="Q784" s="177"/>
      <c r="R784" s="178"/>
      <c r="S784" s="173"/>
      <c r="T784" s="179"/>
      <c r="U784" s="145"/>
    </row>
    <row r="785" spans="1:21" ht="15" customHeight="1">
      <c r="A785" s="159" t="s">
        <v>2744</v>
      </c>
      <c r="B785" s="114" t="str">
        <f>VLOOKUP(A785,'Data pick slip'!B:F,5,FALSE)</f>
        <v>KHJ-MC100-00</v>
      </c>
      <c r="C785" s="169">
        <v>110728</v>
      </c>
      <c r="D785" s="169" t="str">
        <f>VLOOKUP(C785,Stock_list!D:L,2,FALSE)</f>
        <v>SZ 恒泰创新</v>
      </c>
      <c r="E785" s="281">
        <f>VLOOKUP(C785,Stock_list!D:L,9,FALSE)</f>
        <v>44622</v>
      </c>
      <c r="F785" s="170" t="s">
        <v>1381</v>
      </c>
      <c r="G785" s="171">
        <v>100</v>
      </c>
      <c r="H785" s="172"/>
      <c r="I785" s="173"/>
      <c r="J785" s="173"/>
      <c r="K785" s="174"/>
      <c r="L785" s="175"/>
      <c r="M785" s="174"/>
      <c r="N785" s="176"/>
      <c r="O785" s="176"/>
      <c r="P785" s="173"/>
      <c r="Q785" s="177"/>
      <c r="R785" s="178"/>
      <c r="S785" s="173"/>
      <c r="T785" s="179"/>
      <c r="U785" s="145"/>
    </row>
    <row r="786" spans="1:21" ht="15" customHeight="1">
      <c r="A786" s="159" t="s">
        <v>2747</v>
      </c>
      <c r="B786" s="114" t="str">
        <f>VLOOKUP(A786,'Data pick slip'!B:F,5,FALSE)</f>
        <v>KHJ-MC200-00</v>
      </c>
      <c r="C786" s="169">
        <v>110728</v>
      </c>
      <c r="D786" s="169" t="str">
        <f>VLOOKUP(C786,Stock_list!D:L,2,FALSE)</f>
        <v>SZ 恒泰创新</v>
      </c>
      <c r="E786" s="281">
        <f>VLOOKUP(C786,Stock_list!D:L,9,FALSE)</f>
        <v>44622</v>
      </c>
      <c r="F786" s="170" t="s">
        <v>1381</v>
      </c>
      <c r="G786" s="171">
        <v>20</v>
      </c>
      <c r="H786" s="172"/>
      <c r="I786" s="173"/>
      <c r="J786" s="173"/>
      <c r="K786" s="174"/>
      <c r="L786" s="175"/>
      <c r="M786" s="174"/>
      <c r="N786" s="176"/>
      <c r="O786" s="176"/>
      <c r="P786" s="173"/>
      <c r="Q786" s="177"/>
      <c r="R786" s="178"/>
      <c r="S786" s="173"/>
      <c r="T786" s="179"/>
      <c r="U786" s="145"/>
    </row>
    <row r="787" spans="1:21" ht="15" customHeight="1">
      <c r="A787" s="159" t="s">
        <v>2748</v>
      </c>
      <c r="B787" s="114" t="str">
        <f>VLOOKUP(A787,'Data pick slip'!B:F,5,FALSE)</f>
        <v>KHJ-MC400-00</v>
      </c>
      <c r="C787" s="169">
        <v>110728</v>
      </c>
      <c r="D787" s="169" t="str">
        <f>VLOOKUP(C787,Stock_list!D:L,2,FALSE)</f>
        <v>SZ 恒泰创新</v>
      </c>
      <c r="E787" s="281">
        <f>VLOOKUP(C787,Stock_list!D:L,9,FALSE)</f>
        <v>44622</v>
      </c>
      <c r="F787" s="170" t="s">
        <v>1381</v>
      </c>
      <c r="G787" s="171">
        <v>5</v>
      </c>
      <c r="H787" s="172"/>
      <c r="I787" s="173"/>
      <c r="J787" s="173"/>
      <c r="K787" s="174"/>
      <c r="L787" s="175"/>
      <c r="M787" s="174"/>
      <c r="N787" s="176"/>
      <c r="O787" s="176"/>
      <c r="P787" s="173"/>
      <c r="Q787" s="177"/>
      <c r="R787" s="178"/>
      <c r="S787" s="173"/>
      <c r="T787" s="179"/>
      <c r="U787" s="145"/>
    </row>
    <row r="788" spans="1:21" ht="15" customHeight="1">
      <c r="A788" s="181" t="s">
        <v>2749</v>
      </c>
      <c r="B788" s="114" t="str">
        <f>VLOOKUP(A788,'Data pick slip'!B:F,5,FALSE)</f>
        <v>KHJ-MC500-00</v>
      </c>
      <c r="C788" s="169">
        <v>110728</v>
      </c>
      <c r="D788" s="169" t="str">
        <f>VLOOKUP(C788,Stock_list!D:L,2,FALSE)</f>
        <v>SZ 恒泰创新</v>
      </c>
      <c r="E788" s="281">
        <f>VLOOKUP(C788,Stock_list!D:L,9,FALSE)</f>
        <v>44622</v>
      </c>
      <c r="F788" s="170" t="s">
        <v>1381</v>
      </c>
      <c r="G788" s="171">
        <v>10</v>
      </c>
      <c r="H788" s="172"/>
      <c r="I788" s="173"/>
      <c r="J788" s="173"/>
      <c r="K788" s="174"/>
      <c r="L788" s="175"/>
      <c r="M788" s="174"/>
      <c r="N788" s="176"/>
      <c r="O788" s="176"/>
      <c r="P788" s="173"/>
      <c r="Q788" s="177"/>
      <c r="R788" s="178"/>
      <c r="S788" s="173"/>
      <c r="T788" s="179"/>
      <c r="U788" s="145"/>
    </row>
    <row r="789" spans="1:21" ht="15" customHeight="1">
      <c r="A789" s="159" t="s">
        <v>2744</v>
      </c>
      <c r="B789" s="114" t="str">
        <f>VLOOKUP(A789,'Data pick slip'!B:F,5,FALSE)</f>
        <v>KHJ-MC100-00</v>
      </c>
      <c r="C789" s="169">
        <v>110729</v>
      </c>
      <c r="D789" s="169" t="str">
        <f>VLOOKUP(C789,Stock_list!D:L,2,FALSE)</f>
        <v>SZ 鸿南电子</v>
      </c>
      <c r="E789" s="281">
        <f>VLOOKUP(C789,Stock_list!D:L,9,FALSE)</f>
        <v>44613</v>
      </c>
      <c r="F789" s="170" t="s">
        <v>1381</v>
      </c>
      <c r="G789" s="171">
        <v>150</v>
      </c>
      <c r="H789" s="172"/>
      <c r="I789" s="173"/>
      <c r="J789" s="173"/>
      <c r="K789" s="174"/>
      <c r="L789" s="175"/>
      <c r="M789" s="174"/>
      <c r="N789" s="176"/>
      <c r="O789" s="176"/>
      <c r="P789" s="173"/>
      <c r="Q789" s="177"/>
      <c r="R789" s="178"/>
      <c r="S789" s="173"/>
      <c r="T789" s="179"/>
      <c r="U789" s="145"/>
    </row>
    <row r="790" spans="1:21" ht="15" customHeight="1">
      <c r="A790" s="159" t="s">
        <v>2747</v>
      </c>
      <c r="B790" s="114" t="str">
        <f>VLOOKUP(A790,'Data pick slip'!B:F,5,FALSE)</f>
        <v>KHJ-MC200-00</v>
      </c>
      <c r="C790" s="169">
        <v>110729</v>
      </c>
      <c r="D790" s="169" t="str">
        <f>VLOOKUP(C790,Stock_list!D:L,2,FALSE)</f>
        <v>SZ 鸿南电子</v>
      </c>
      <c r="E790" s="281">
        <f>VLOOKUP(C790,Stock_list!D:L,9,FALSE)</f>
        <v>44613</v>
      </c>
      <c r="F790" s="170" t="s">
        <v>1381</v>
      </c>
      <c r="G790" s="171">
        <v>50</v>
      </c>
      <c r="H790" s="172"/>
      <c r="I790" s="173"/>
      <c r="J790" s="173"/>
      <c r="K790" s="174"/>
      <c r="L790" s="175"/>
      <c r="M790" s="174"/>
      <c r="N790" s="176"/>
      <c r="O790" s="176"/>
      <c r="P790" s="173"/>
      <c r="Q790" s="177"/>
      <c r="R790" s="178"/>
      <c r="S790" s="173"/>
      <c r="T790" s="179"/>
      <c r="U790" s="145"/>
    </row>
    <row r="791" spans="1:21" ht="15" customHeight="1">
      <c r="A791" s="159" t="s">
        <v>2748</v>
      </c>
      <c r="B791" s="114" t="str">
        <f>VLOOKUP(A791,'Data pick slip'!B:F,5,FALSE)</f>
        <v>KHJ-MC400-00</v>
      </c>
      <c r="C791" s="169">
        <v>110729</v>
      </c>
      <c r="D791" s="169" t="str">
        <f>VLOOKUP(C791,Stock_list!D:L,2,FALSE)</f>
        <v>SZ 鸿南电子</v>
      </c>
      <c r="E791" s="281">
        <f>VLOOKUP(C791,Stock_list!D:L,9,FALSE)</f>
        <v>44613</v>
      </c>
      <c r="F791" s="170" t="s">
        <v>1381</v>
      </c>
      <c r="G791" s="171">
        <v>10</v>
      </c>
      <c r="H791" s="172"/>
      <c r="I791" s="173"/>
      <c r="J791" s="173"/>
      <c r="K791" s="174"/>
      <c r="L791" s="175"/>
      <c r="M791" s="174"/>
      <c r="N791" s="176"/>
      <c r="O791" s="176"/>
      <c r="P791" s="173"/>
      <c r="Q791" s="177"/>
      <c r="R791" s="178"/>
      <c r="S791" s="173"/>
      <c r="T791" s="179"/>
      <c r="U791" s="145"/>
    </row>
    <row r="792" spans="1:21" ht="15" customHeight="1">
      <c r="A792" s="181" t="s">
        <v>2749</v>
      </c>
      <c r="B792" s="114" t="str">
        <f>VLOOKUP(A792,'Data pick slip'!B:F,5,FALSE)</f>
        <v>KHJ-MC500-00</v>
      </c>
      <c r="C792" s="169">
        <v>110729</v>
      </c>
      <c r="D792" s="169" t="str">
        <f>VLOOKUP(C792,Stock_list!D:L,2,FALSE)</f>
        <v>SZ 鸿南电子</v>
      </c>
      <c r="E792" s="281">
        <f>VLOOKUP(C792,Stock_list!D:L,9,FALSE)</f>
        <v>44613</v>
      </c>
      <c r="F792" s="170" t="s">
        <v>1381</v>
      </c>
      <c r="G792" s="171">
        <v>10</v>
      </c>
      <c r="H792" s="172"/>
      <c r="I792" s="173"/>
      <c r="J792" s="173"/>
      <c r="K792" s="174"/>
      <c r="L792" s="175"/>
      <c r="M792" s="174"/>
      <c r="N792" s="176"/>
      <c r="O792" s="176"/>
      <c r="P792" s="173"/>
      <c r="Q792" s="177"/>
      <c r="R792" s="178"/>
      <c r="S792" s="173"/>
      <c r="T792" s="179"/>
      <c r="U792" s="145"/>
    </row>
    <row r="793" spans="1:21" ht="15" customHeight="1">
      <c r="A793" s="181" t="s">
        <v>2750</v>
      </c>
      <c r="B793" s="114" t="str">
        <f>VLOOKUP(A793,'Data pick slip'!B:F,5,FALSE)</f>
        <v>KHJ-MC600-00</v>
      </c>
      <c r="C793" s="169">
        <v>110729</v>
      </c>
      <c r="D793" s="169" t="str">
        <f>VLOOKUP(C793,Stock_list!D:L,2,FALSE)</f>
        <v>SZ 鸿南电子</v>
      </c>
      <c r="E793" s="281">
        <f>VLOOKUP(C793,Stock_list!D:L,9,FALSE)</f>
        <v>44613</v>
      </c>
      <c r="F793" s="170" t="s">
        <v>1381</v>
      </c>
      <c r="G793" s="171">
        <v>5</v>
      </c>
      <c r="H793" s="172"/>
      <c r="I793" s="173"/>
      <c r="J793" s="173"/>
      <c r="K793" s="174"/>
      <c r="L793" s="175"/>
      <c r="M793" s="174"/>
      <c r="N793" s="176"/>
      <c r="O793" s="176"/>
      <c r="P793" s="173"/>
      <c r="Q793" s="177"/>
      <c r="R793" s="178"/>
      <c r="S793" s="173"/>
      <c r="T793" s="179"/>
      <c r="U793" s="145"/>
    </row>
    <row r="794" spans="1:21" ht="15" customHeight="1">
      <c r="A794" s="159" t="s">
        <v>2744</v>
      </c>
      <c r="B794" s="114" t="str">
        <f>VLOOKUP(A794,'Data pick slip'!B:F,5,FALSE)</f>
        <v>KHJ-MC100-00</v>
      </c>
      <c r="C794" s="169">
        <v>110730</v>
      </c>
      <c r="D794" s="169" t="str">
        <f>VLOOKUP(C794,Stock_list!D:L,2,FALSE)</f>
        <v>SZ 魔乐视</v>
      </c>
      <c r="E794" s="281">
        <f>VLOOKUP(C794,Stock_list!D:L,9,FALSE)</f>
        <v>44623</v>
      </c>
      <c r="F794" s="170" t="s">
        <v>1381</v>
      </c>
      <c r="G794" s="171">
        <v>200</v>
      </c>
      <c r="H794" s="172"/>
      <c r="I794" s="173"/>
      <c r="J794" s="173"/>
      <c r="K794" s="174"/>
      <c r="L794" s="175"/>
      <c r="M794" s="174"/>
      <c r="N794" s="176"/>
      <c r="O794" s="176"/>
      <c r="P794" s="173"/>
      <c r="Q794" s="177"/>
      <c r="R794" s="178"/>
      <c r="S794" s="173"/>
      <c r="T794" s="179"/>
      <c r="U794" s="145"/>
    </row>
    <row r="795" spans="1:21" ht="15" customHeight="1">
      <c r="A795" s="159" t="s">
        <v>2747</v>
      </c>
      <c r="B795" s="114" t="str">
        <f>VLOOKUP(A795,'Data pick slip'!B:F,5,FALSE)</f>
        <v>KHJ-MC200-00</v>
      </c>
      <c r="C795" s="169">
        <v>110730</v>
      </c>
      <c r="D795" s="169" t="str">
        <f>VLOOKUP(C795,Stock_list!D:L,2,FALSE)</f>
        <v>SZ 魔乐视</v>
      </c>
      <c r="E795" s="281">
        <f>VLOOKUP(C795,Stock_list!D:L,9,FALSE)</f>
        <v>44623</v>
      </c>
      <c r="F795" s="170" t="s">
        <v>1381</v>
      </c>
      <c r="G795" s="171">
        <v>50</v>
      </c>
      <c r="H795" s="172"/>
      <c r="I795" s="173"/>
      <c r="J795" s="173"/>
      <c r="K795" s="174"/>
      <c r="L795" s="175"/>
      <c r="M795" s="174"/>
      <c r="N795" s="176"/>
      <c r="O795" s="176"/>
      <c r="P795" s="173"/>
      <c r="Q795" s="177"/>
      <c r="R795" s="178"/>
      <c r="S795" s="173"/>
      <c r="T795" s="179"/>
      <c r="U795" s="145"/>
    </row>
    <row r="796" spans="1:21" ht="15" customHeight="1">
      <c r="A796" s="159" t="s">
        <v>2748</v>
      </c>
      <c r="B796" s="114" t="str">
        <f>VLOOKUP(A796,'Data pick slip'!B:F,5,FALSE)</f>
        <v>KHJ-MC400-00</v>
      </c>
      <c r="C796" s="169">
        <v>110730</v>
      </c>
      <c r="D796" s="169" t="str">
        <f>VLOOKUP(C796,Stock_list!D:L,2,FALSE)</f>
        <v>SZ 魔乐视</v>
      </c>
      <c r="E796" s="281">
        <f>VLOOKUP(C796,Stock_list!D:L,9,FALSE)</f>
        <v>44623</v>
      </c>
      <c r="F796" s="170" t="s">
        <v>1381</v>
      </c>
      <c r="G796" s="171">
        <v>20</v>
      </c>
      <c r="H796" s="172"/>
      <c r="I796" s="173"/>
      <c r="J796" s="173"/>
      <c r="K796" s="174"/>
      <c r="L796" s="175"/>
      <c r="M796" s="174"/>
      <c r="N796" s="176"/>
      <c r="O796" s="176"/>
      <c r="P796" s="173"/>
      <c r="Q796" s="177"/>
      <c r="R796" s="178"/>
      <c r="S796" s="173"/>
      <c r="T796" s="179"/>
      <c r="U796" s="145"/>
    </row>
    <row r="797" spans="1:21" ht="15" customHeight="1">
      <c r="A797" s="181" t="s">
        <v>2750</v>
      </c>
      <c r="B797" s="114" t="str">
        <f>VLOOKUP(A797,'Data pick slip'!B:F,5,FALSE)</f>
        <v>KHJ-MC600-00</v>
      </c>
      <c r="C797" s="169">
        <v>110730</v>
      </c>
      <c r="D797" s="169" t="str">
        <f>VLOOKUP(C797,Stock_list!D:L,2,FALSE)</f>
        <v>SZ 魔乐视</v>
      </c>
      <c r="E797" s="281">
        <f>VLOOKUP(C797,Stock_list!D:L,9,FALSE)</f>
        <v>44623</v>
      </c>
      <c r="F797" s="170" t="s">
        <v>1381</v>
      </c>
      <c r="G797" s="171">
        <v>2</v>
      </c>
      <c r="H797" s="172"/>
      <c r="I797" s="173"/>
      <c r="J797" s="173"/>
      <c r="K797" s="174"/>
      <c r="L797" s="175"/>
      <c r="M797" s="174"/>
      <c r="N797" s="176"/>
      <c r="O797" s="176"/>
      <c r="P797" s="173"/>
      <c r="Q797" s="177"/>
      <c r="R797" s="178"/>
      <c r="S797" s="173"/>
      <c r="T797" s="179"/>
      <c r="U797" s="145"/>
    </row>
    <row r="798" spans="1:21" ht="15" customHeight="1">
      <c r="A798" s="181" t="s">
        <v>2751</v>
      </c>
      <c r="B798" s="114" t="str">
        <f>VLOOKUP(A798,'Data pick slip'!B:F,5,FALSE)</f>
        <v>KHJ-MC700-00</v>
      </c>
      <c r="C798" s="169">
        <v>110730</v>
      </c>
      <c r="D798" s="169" t="str">
        <f>VLOOKUP(C798,Stock_list!D:L,2,FALSE)</f>
        <v>SZ 魔乐视</v>
      </c>
      <c r="E798" s="281">
        <f>VLOOKUP(C798,Stock_list!D:L,9,FALSE)</f>
        <v>44623</v>
      </c>
      <c r="F798" s="170" t="s">
        <v>1381</v>
      </c>
      <c r="G798" s="171">
        <v>1</v>
      </c>
      <c r="H798" s="172"/>
      <c r="I798" s="173"/>
      <c r="J798" s="173"/>
      <c r="K798" s="174"/>
      <c r="L798" s="175"/>
      <c r="M798" s="174"/>
      <c r="N798" s="176"/>
      <c r="O798" s="176"/>
      <c r="P798" s="173"/>
      <c r="Q798" s="177"/>
      <c r="R798" s="178"/>
      <c r="S798" s="173"/>
      <c r="T798" s="179"/>
      <c r="U798" s="145"/>
    </row>
    <row r="799" spans="1:21" ht="15" customHeight="1">
      <c r="A799" s="159" t="s">
        <v>2744</v>
      </c>
      <c r="B799" s="114" t="str">
        <f>VLOOKUP(A799,'Data pick slip'!B:F,5,FALSE)</f>
        <v>KHJ-MC100-00</v>
      </c>
      <c r="C799" s="169">
        <v>110731</v>
      </c>
      <c r="D799" s="169" t="str">
        <f>VLOOKUP(C799,Stock_list!D:L,2,FALSE)</f>
        <v>深圳傲尔</v>
      </c>
      <c r="E799" s="281">
        <f>VLOOKUP(C799,Stock_list!D:L,9,FALSE)</f>
        <v>44600</v>
      </c>
      <c r="F799" s="170" t="s">
        <v>1381</v>
      </c>
      <c r="G799" s="171">
        <v>100</v>
      </c>
      <c r="H799" s="172"/>
      <c r="I799" s="173"/>
      <c r="J799" s="173"/>
      <c r="K799" s="174"/>
      <c r="L799" s="175"/>
      <c r="M799" s="174"/>
      <c r="N799" s="176"/>
      <c r="O799" s="176"/>
      <c r="P799" s="173"/>
      <c r="Q799" s="177"/>
      <c r="R799" s="178"/>
      <c r="S799" s="173"/>
      <c r="T799" s="179"/>
      <c r="U799" s="145"/>
    </row>
    <row r="800" spans="1:21" ht="15" customHeight="1">
      <c r="A800" s="159" t="s">
        <v>2744</v>
      </c>
      <c r="B800" s="114" t="str">
        <f>VLOOKUP(A800,'Data pick slip'!B:F,5,FALSE)</f>
        <v>KHJ-MC100-00</v>
      </c>
      <c r="C800" s="169">
        <v>110732</v>
      </c>
      <c r="D800" s="169" t="str">
        <f>VLOOKUP(C800,Stock_list!D:L,2,FALSE)</f>
        <v>SZ 宝捷时计</v>
      </c>
      <c r="E800" s="281">
        <f>VLOOKUP(C800,Stock_list!D:L,9,FALSE)</f>
        <v>44627</v>
      </c>
      <c r="F800" s="170" t="s">
        <v>1381</v>
      </c>
      <c r="G800" s="171">
        <v>100</v>
      </c>
      <c r="H800" s="172"/>
      <c r="I800" s="173"/>
      <c r="J800" s="173"/>
      <c r="K800" s="174"/>
      <c r="L800" s="175"/>
      <c r="M800" s="174"/>
      <c r="N800" s="176"/>
      <c r="O800" s="176"/>
      <c r="P800" s="173"/>
      <c r="Q800" s="177"/>
      <c r="R800" s="178"/>
      <c r="S800" s="173"/>
      <c r="T800" s="179"/>
      <c r="U800" s="145"/>
    </row>
    <row r="801" spans="1:21" ht="15" customHeight="1">
      <c r="A801" s="159" t="s">
        <v>2747</v>
      </c>
      <c r="B801" s="114" t="str">
        <f>VLOOKUP(A801,'Data pick slip'!B:F,5,FALSE)</f>
        <v>KHJ-MC200-00</v>
      </c>
      <c r="C801" s="169">
        <v>110732</v>
      </c>
      <c r="D801" s="169" t="str">
        <f>VLOOKUP(C801,Stock_list!D:L,2,FALSE)</f>
        <v>SZ 宝捷时计</v>
      </c>
      <c r="E801" s="281">
        <f>VLOOKUP(C801,Stock_list!D:L,9,FALSE)</f>
        <v>44627</v>
      </c>
      <c r="F801" s="170" t="s">
        <v>1381</v>
      </c>
      <c r="G801" s="171">
        <v>20</v>
      </c>
      <c r="H801" s="172"/>
      <c r="I801" s="173"/>
      <c r="J801" s="173"/>
      <c r="K801" s="174"/>
      <c r="L801" s="175"/>
      <c r="M801" s="174"/>
      <c r="N801" s="176"/>
      <c r="O801" s="176"/>
      <c r="P801" s="173"/>
      <c r="Q801" s="177"/>
      <c r="R801" s="178"/>
      <c r="S801" s="173"/>
      <c r="T801" s="179"/>
      <c r="U801" s="145"/>
    </row>
    <row r="802" spans="1:21" ht="15" customHeight="1">
      <c r="A802" s="159" t="s">
        <v>2748</v>
      </c>
      <c r="B802" s="114" t="str">
        <f>VLOOKUP(A802,'Data pick slip'!B:F,5,FALSE)</f>
        <v>KHJ-MC400-00</v>
      </c>
      <c r="C802" s="169">
        <v>110732</v>
      </c>
      <c r="D802" s="169" t="str">
        <f>VLOOKUP(C802,Stock_list!D:L,2,FALSE)</f>
        <v>SZ 宝捷时计</v>
      </c>
      <c r="E802" s="281">
        <f>VLOOKUP(C802,Stock_list!D:L,9,FALSE)</f>
        <v>44627</v>
      </c>
      <c r="F802" s="170" t="s">
        <v>1381</v>
      </c>
      <c r="G802" s="171">
        <v>20</v>
      </c>
      <c r="H802" s="172"/>
      <c r="I802" s="173"/>
      <c r="J802" s="173"/>
      <c r="K802" s="174"/>
      <c r="L802" s="175"/>
      <c r="M802" s="174"/>
      <c r="N802" s="176"/>
      <c r="O802" s="176"/>
      <c r="P802" s="173"/>
      <c r="Q802" s="177"/>
      <c r="R802" s="178"/>
      <c r="S802" s="173"/>
      <c r="T802" s="179"/>
      <c r="U802" s="145"/>
    </row>
    <row r="803" spans="1:21" ht="15" customHeight="1">
      <c r="A803" s="181" t="s">
        <v>2749</v>
      </c>
      <c r="B803" s="114" t="str">
        <f>VLOOKUP(A803,'Data pick slip'!B:F,5,FALSE)</f>
        <v>KHJ-MC500-00</v>
      </c>
      <c r="C803" s="169">
        <v>110732</v>
      </c>
      <c r="D803" s="169" t="str">
        <f>VLOOKUP(C803,Stock_list!D:L,2,FALSE)</f>
        <v>SZ 宝捷时计</v>
      </c>
      <c r="E803" s="281">
        <f>VLOOKUP(C803,Stock_list!D:L,9,FALSE)</f>
        <v>44627</v>
      </c>
      <c r="F803" s="170" t="s">
        <v>1381</v>
      </c>
      <c r="G803" s="171">
        <v>30</v>
      </c>
      <c r="H803" s="172"/>
      <c r="I803" s="173"/>
      <c r="J803" s="173"/>
      <c r="K803" s="174"/>
      <c r="L803" s="175"/>
      <c r="M803" s="174"/>
      <c r="N803" s="176"/>
      <c r="O803" s="176"/>
      <c r="P803" s="173"/>
      <c r="Q803" s="177"/>
      <c r="R803" s="178"/>
      <c r="S803" s="173"/>
      <c r="T803" s="179"/>
      <c r="U803" s="145"/>
    </row>
    <row r="804" spans="1:21" ht="15" customHeight="1">
      <c r="A804" s="181" t="s">
        <v>2750</v>
      </c>
      <c r="B804" s="114" t="str">
        <f>VLOOKUP(A804,'Data pick slip'!B:F,5,FALSE)</f>
        <v>KHJ-MC600-00</v>
      </c>
      <c r="C804" s="169">
        <v>110732</v>
      </c>
      <c r="D804" s="169" t="str">
        <f>VLOOKUP(C804,Stock_list!D:L,2,FALSE)</f>
        <v>SZ 宝捷时计</v>
      </c>
      <c r="E804" s="281">
        <f>VLOOKUP(C804,Stock_list!D:L,9,FALSE)</f>
        <v>44627</v>
      </c>
      <c r="F804" s="170" t="s">
        <v>1381</v>
      </c>
      <c r="G804" s="171">
        <v>10</v>
      </c>
      <c r="H804" s="172"/>
      <c r="I804" s="173"/>
      <c r="J804" s="173"/>
      <c r="K804" s="174"/>
      <c r="L804" s="175"/>
      <c r="M804" s="174"/>
      <c r="N804" s="176"/>
      <c r="O804" s="176"/>
      <c r="P804" s="173"/>
      <c r="Q804" s="177"/>
      <c r="R804" s="178"/>
      <c r="S804" s="173"/>
      <c r="T804" s="179"/>
      <c r="U804" s="145"/>
    </row>
    <row r="805" spans="1:21" ht="15" customHeight="1">
      <c r="A805" s="159" t="s">
        <v>2744</v>
      </c>
      <c r="B805" s="114" t="str">
        <f>VLOOKUP(A805,'Data pick slip'!B:F,5,FALSE)</f>
        <v>KHJ-MC100-00</v>
      </c>
      <c r="C805" s="169">
        <v>110733</v>
      </c>
      <c r="D805" s="169" t="str">
        <f>VLOOKUP(C805,Stock_list!D:L,2,FALSE)</f>
        <v>珠海派诺</v>
      </c>
      <c r="E805" s="281">
        <f>VLOOKUP(C805,Stock_list!D:L,9,FALSE)</f>
        <v>44622</v>
      </c>
      <c r="F805" s="170" t="s">
        <v>1381</v>
      </c>
      <c r="G805" s="171">
        <v>100</v>
      </c>
      <c r="H805" s="172"/>
      <c r="I805" s="173"/>
      <c r="J805" s="173"/>
      <c r="K805" s="174"/>
      <c r="L805" s="175"/>
      <c r="M805" s="174"/>
      <c r="N805" s="176"/>
      <c r="O805" s="176"/>
      <c r="P805" s="173"/>
      <c r="Q805" s="177"/>
      <c r="R805" s="178"/>
      <c r="S805" s="173"/>
      <c r="T805" s="179"/>
      <c r="U805" s="145"/>
    </row>
    <row r="806" spans="1:21" ht="15" customHeight="1">
      <c r="A806" s="159" t="s">
        <v>2747</v>
      </c>
      <c r="B806" s="114" t="str">
        <f>VLOOKUP(A806,'Data pick slip'!B:F,5,FALSE)</f>
        <v>KHJ-MC200-00</v>
      </c>
      <c r="C806" s="169">
        <v>110733</v>
      </c>
      <c r="D806" s="169" t="str">
        <f>VLOOKUP(C806,Stock_list!D:L,2,FALSE)</f>
        <v>珠海派诺</v>
      </c>
      <c r="E806" s="281">
        <f>VLOOKUP(C806,Stock_list!D:L,9,FALSE)</f>
        <v>44622</v>
      </c>
      <c r="F806" s="170" t="s">
        <v>1381</v>
      </c>
      <c r="G806" s="171">
        <v>30</v>
      </c>
      <c r="H806" s="172"/>
      <c r="I806" s="173"/>
      <c r="J806" s="173"/>
      <c r="K806" s="174"/>
      <c r="L806" s="175"/>
      <c r="M806" s="174"/>
      <c r="N806" s="176"/>
      <c r="O806" s="176"/>
      <c r="P806" s="173"/>
      <c r="Q806" s="177"/>
      <c r="R806" s="178"/>
      <c r="S806" s="173"/>
      <c r="T806" s="179"/>
      <c r="U806" s="145"/>
    </row>
    <row r="807" spans="1:21" ht="15" customHeight="1">
      <c r="A807" s="159" t="s">
        <v>2748</v>
      </c>
      <c r="B807" s="114" t="str">
        <f>VLOOKUP(A807,'Data pick slip'!B:F,5,FALSE)</f>
        <v>KHJ-MC400-00</v>
      </c>
      <c r="C807" s="169">
        <v>110733</v>
      </c>
      <c r="D807" s="169" t="str">
        <f>VLOOKUP(C807,Stock_list!D:L,2,FALSE)</f>
        <v>珠海派诺</v>
      </c>
      <c r="E807" s="281">
        <f>VLOOKUP(C807,Stock_list!D:L,9,FALSE)</f>
        <v>44622</v>
      </c>
      <c r="F807" s="170" t="s">
        <v>1381</v>
      </c>
      <c r="G807" s="171">
        <v>10</v>
      </c>
      <c r="H807" s="172"/>
      <c r="I807" s="173"/>
      <c r="J807" s="173"/>
      <c r="K807" s="174"/>
      <c r="L807" s="175"/>
      <c r="M807" s="174"/>
      <c r="N807" s="176"/>
      <c r="O807" s="176"/>
      <c r="P807" s="173"/>
      <c r="Q807" s="177"/>
      <c r="R807" s="178"/>
      <c r="S807" s="173"/>
      <c r="T807" s="179"/>
      <c r="U807" s="145"/>
    </row>
    <row r="808" spans="1:21" ht="15" customHeight="1">
      <c r="A808" s="181" t="s">
        <v>2749</v>
      </c>
      <c r="B808" s="114" t="str">
        <f>VLOOKUP(A808,'Data pick slip'!B:F,5,FALSE)</f>
        <v>KHJ-MC500-00</v>
      </c>
      <c r="C808" s="169">
        <v>110733</v>
      </c>
      <c r="D808" s="169" t="str">
        <f>VLOOKUP(C808,Stock_list!D:L,2,FALSE)</f>
        <v>珠海派诺</v>
      </c>
      <c r="E808" s="281">
        <f>VLOOKUP(C808,Stock_list!D:L,9,FALSE)</f>
        <v>44622</v>
      </c>
      <c r="F808" s="170" t="s">
        <v>1381</v>
      </c>
      <c r="G808" s="171">
        <v>20</v>
      </c>
      <c r="H808" s="172"/>
      <c r="I808" s="173"/>
      <c r="J808" s="173"/>
      <c r="K808" s="174"/>
      <c r="L808" s="175"/>
      <c r="M808" s="174"/>
      <c r="N808" s="176"/>
      <c r="O808" s="176"/>
      <c r="P808" s="173"/>
      <c r="Q808" s="177"/>
      <c r="R808" s="178"/>
      <c r="S808" s="173"/>
      <c r="T808" s="179"/>
      <c r="U808" s="145"/>
    </row>
    <row r="809" spans="1:21" ht="15" customHeight="1">
      <c r="A809" s="181" t="s">
        <v>2750</v>
      </c>
      <c r="B809" s="114" t="str">
        <f>VLOOKUP(A809,'Data pick slip'!B:F,5,FALSE)</f>
        <v>KHJ-MC600-00</v>
      </c>
      <c r="C809" s="169">
        <v>110733</v>
      </c>
      <c r="D809" s="169" t="str">
        <f>VLOOKUP(C809,Stock_list!D:L,2,FALSE)</f>
        <v>珠海派诺</v>
      </c>
      <c r="E809" s="281">
        <f>VLOOKUP(C809,Stock_list!D:L,9,FALSE)</f>
        <v>44622</v>
      </c>
      <c r="F809" s="170" t="s">
        <v>1381</v>
      </c>
      <c r="G809" s="171">
        <v>5</v>
      </c>
      <c r="H809" s="172"/>
      <c r="I809" s="173"/>
      <c r="J809" s="173"/>
      <c r="K809" s="174"/>
      <c r="L809" s="175"/>
      <c r="M809" s="174"/>
      <c r="N809" s="176"/>
      <c r="O809" s="176"/>
      <c r="P809" s="173"/>
      <c r="Q809" s="177"/>
      <c r="R809" s="178"/>
      <c r="S809" s="173"/>
      <c r="T809" s="179"/>
      <c r="U809" s="145"/>
    </row>
    <row r="810" spans="1:21" ht="15" customHeight="1">
      <c r="A810" s="159" t="s">
        <v>2744</v>
      </c>
      <c r="B810" s="114" t="str">
        <f>VLOOKUP(A810,'Data pick slip'!B:F,5,FALSE)</f>
        <v>KHJ-MC100-00</v>
      </c>
      <c r="C810" s="169">
        <v>110734</v>
      </c>
      <c r="D810" s="169" t="str">
        <f>VLOOKUP(C810,Stock_list!D:L,2,FALSE)</f>
        <v>SZ 正讯</v>
      </c>
      <c r="E810" s="281">
        <f>VLOOKUP(C810,Stock_list!D:L,9,FALSE)</f>
        <v>44600</v>
      </c>
      <c r="F810" s="170" t="s">
        <v>1381</v>
      </c>
      <c r="G810" s="171">
        <v>100</v>
      </c>
      <c r="H810" s="172"/>
      <c r="I810" s="173"/>
      <c r="J810" s="173"/>
      <c r="K810" s="174"/>
      <c r="L810" s="175"/>
      <c r="M810" s="174"/>
      <c r="N810" s="176"/>
      <c r="O810" s="176"/>
      <c r="P810" s="173"/>
      <c r="Q810" s="177"/>
      <c r="R810" s="178"/>
      <c r="S810" s="173"/>
      <c r="T810" s="179"/>
      <c r="U810" s="145"/>
    </row>
    <row r="811" spans="1:21" ht="15" customHeight="1">
      <c r="A811" s="181" t="s">
        <v>2744</v>
      </c>
      <c r="B811" s="114" t="str">
        <f>VLOOKUP(A811,'Data pick slip'!B:F,5,FALSE)</f>
        <v>KHJ-MC100-00</v>
      </c>
      <c r="C811" s="169">
        <v>110737</v>
      </c>
      <c r="D811" s="169" t="str">
        <f>VLOOKUP(C811,Stock_list!D:L,2,FALSE)</f>
        <v>SZ 英拓邦</v>
      </c>
      <c r="E811" s="281">
        <f>VLOOKUP(C811,Stock_list!D:L,9,FALSE)</f>
        <v>44627</v>
      </c>
      <c r="F811" s="170" t="s">
        <v>1381</v>
      </c>
      <c r="G811" s="171">
        <v>50</v>
      </c>
      <c r="H811" s="172"/>
      <c r="I811" s="173"/>
      <c r="J811" s="173"/>
      <c r="K811" s="174"/>
      <c r="L811" s="175"/>
      <c r="M811" s="174"/>
      <c r="N811" s="176"/>
      <c r="O811" s="176"/>
      <c r="P811" s="173"/>
      <c r="Q811" s="177"/>
      <c r="R811" s="178"/>
      <c r="S811" s="173"/>
      <c r="T811" s="179"/>
      <c r="U811" s="145"/>
    </row>
    <row r="812" spans="1:21" ht="15" customHeight="1">
      <c r="A812" s="181" t="s">
        <v>2744</v>
      </c>
      <c r="B812" s="114" t="str">
        <f>VLOOKUP(A812,'Data pick slip'!B:F,5,FALSE)</f>
        <v>KHJ-MC100-00</v>
      </c>
      <c r="C812" s="169"/>
      <c r="D812" s="169"/>
      <c r="E812" s="281" t="s">
        <v>2971</v>
      </c>
      <c r="F812" s="170" t="s">
        <v>2753</v>
      </c>
      <c r="G812" s="171">
        <v>3</v>
      </c>
      <c r="H812" s="172"/>
      <c r="I812" s="173"/>
      <c r="J812" s="173"/>
      <c r="K812" s="174"/>
      <c r="L812" s="175"/>
      <c r="M812" s="174"/>
      <c r="N812" s="176"/>
      <c r="O812" s="176"/>
      <c r="P812" s="173"/>
      <c r="Q812" s="177"/>
      <c r="R812" s="178"/>
      <c r="S812" s="173"/>
      <c r="T812" s="179"/>
      <c r="U812" s="145"/>
    </row>
    <row r="813" spans="1:21" ht="15" customHeight="1">
      <c r="A813" s="181" t="s">
        <v>2744</v>
      </c>
      <c r="B813" s="114" t="str">
        <f>VLOOKUP(A813,'Data pick slip'!B:F,5,FALSE)</f>
        <v>KHJ-MC100-00</v>
      </c>
      <c r="C813" s="169">
        <v>110756</v>
      </c>
      <c r="D813" s="169" t="str">
        <f>VLOOKUP(C813,Stock_list!D:L,2,FALSE)</f>
        <v>HZ 朗迅</v>
      </c>
      <c r="E813" s="281">
        <f>VLOOKUP(C813,Stock_list!D:L,9,FALSE)</f>
        <v>44642</v>
      </c>
      <c r="F813" s="170" t="s">
        <v>1381</v>
      </c>
      <c r="G813" s="171">
        <v>50</v>
      </c>
      <c r="H813" s="172"/>
      <c r="I813" s="173"/>
      <c r="J813" s="173"/>
      <c r="K813" s="174"/>
      <c r="L813" s="175"/>
      <c r="M813" s="174"/>
      <c r="N813" s="176"/>
      <c r="O813" s="176"/>
      <c r="P813" s="173"/>
      <c r="Q813" s="177"/>
      <c r="R813" s="178"/>
      <c r="S813" s="173"/>
      <c r="T813" s="179"/>
      <c r="U813" s="145"/>
    </row>
    <row r="814" spans="1:21" ht="15" customHeight="1">
      <c r="A814" s="181" t="s">
        <v>2749</v>
      </c>
      <c r="B814" s="114" t="str">
        <f>VLOOKUP(A814,'Data pick slip'!B:F,5,FALSE)</f>
        <v>KHJ-MC500-00</v>
      </c>
      <c r="C814" s="169">
        <v>110756</v>
      </c>
      <c r="D814" s="169" t="str">
        <f>VLOOKUP(C814,Stock_list!D:L,2,FALSE)</f>
        <v>HZ 朗迅</v>
      </c>
      <c r="E814" s="281">
        <f>VLOOKUP(C814,Stock_list!D:L,9,FALSE)</f>
        <v>44642</v>
      </c>
      <c r="F814" s="170" t="s">
        <v>1381</v>
      </c>
      <c r="G814" s="171">
        <v>10</v>
      </c>
      <c r="H814" s="172"/>
      <c r="I814" s="173"/>
      <c r="J814" s="173"/>
      <c r="K814" s="174"/>
      <c r="L814" s="175"/>
      <c r="M814" s="174"/>
      <c r="N814" s="176"/>
      <c r="O814" s="176"/>
      <c r="P814" s="173"/>
      <c r="Q814" s="177"/>
      <c r="R814" s="178"/>
      <c r="S814" s="173"/>
      <c r="T814" s="179"/>
      <c r="U814" s="145"/>
    </row>
    <row r="815" spans="1:21" ht="15" customHeight="1">
      <c r="A815" s="181" t="s">
        <v>2744</v>
      </c>
      <c r="B815" s="114" t="str">
        <f>VLOOKUP(A815,'Data pick slip'!B:F,5,FALSE)</f>
        <v>KHJ-MC100-00</v>
      </c>
      <c r="C815" s="169">
        <v>110757</v>
      </c>
      <c r="D815" s="169" t="str">
        <f>VLOOKUP(C815,Stock_list!D:L,2,FALSE)</f>
        <v>深圳晶昌鸿业(有补差额)</v>
      </c>
      <c r="E815" s="281">
        <f>VLOOKUP(C815,Stock_list!D:L,9,FALSE)</f>
        <v>44646</v>
      </c>
      <c r="F815" s="170" t="s">
        <v>1381</v>
      </c>
      <c r="G815" s="171">
        <v>50</v>
      </c>
      <c r="H815" s="172"/>
      <c r="I815" s="173"/>
      <c r="J815" s="173"/>
      <c r="K815" s="174"/>
      <c r="L815" s="175"/>
      <c r="M815" s="174"/>
      <c r="N815" s="176"/>
      <c r="O815" s="176"/>
      <c r="P815" s="173"/>
      <c r="Q815" s="177"/>
      <c r="R815" s="178"/>
      <c r="S815" s="173"/>
      <c r="T815" s="179"/>
      <c r="U815" s="145"/>
    </row>
    <row r="816" spans="1:21" ht="15" customHeight="1">
      <c r="A816" s="159" t="s">
        <v>2747</v>
      </c>
      <c r="B816" s="114" t="str">
        <f>VLOOKUP(A816,'Data pick slip'!B:F,5,FALSE)</f>
        <v>KHJ-MC200-00</v>
      </c>
      <c r="C816" s="169">
        <v>110757</v>
      </c>
      <c r="D816" s="169" t="str">
        <f>VLOOKUP(C816,Stock_list!D:L,2,FALSE)</f>
        <v>深圳晶昌鸿业(有补差额)</v>
      </c>
      <c r="E816" s="281">
        <f>VLOOKUP(C816,Stock_list!D:L,9,FALSE)</f>
        <v>44646</v>
      </c>
      <c r="F816" s="170" t="s">
        <v>1381</v>
      </c>
      <c r="G816" s="171">
        <v>10</v>
      </c>
      <c r="H816" s="172"/>
      <c r="I816" s="173"/>
      <c r="J816" s="173"/>
      <c r="K816" s="174"/>
      <c r="L816" s="175"/>
      <c r="M816" s="174"/>
      <c r="N816" s="176"/>
      <c r="O816" s="176"/>
      <c r="P816" s="173"/>
      <c r="Q816" s="177"/>
      <c r="R816" s="178"/>
      <c r="S816" s="173"/>
      <c r="T816" s="179"/>
      <c r="U816" s="145"/>
    </row>
    <row r="817" spans="1:21" ht="15" customHeight="1">
      <c r="A817" s="181" t="s">
        <v>2744</v>
      </c>
      <c r="B817" s="114" t="str">
        <f>VLOOKUP(A817,'Data pick slip'!B:F,5,FALSE)</f>
        <v>KHJ-MC100-00</v>
      </c>
      <c r="C817" s="169">
        <v>110763</v>
      </c>
      <c r="D817" s="169" t="str">
        <f>VLOOKUP(C817,Stock_list!D:L,2,FALSE)</f>
        <v>深圳傲尔</v>
      </c>
      <c r="E817" s="281">
        <f>VLOOKUP(C817,Stock_list!D:L,9,FALSE)</f>
        <v>44645</v>
      </c>
      <c r="F817" s="170" t="s">
        <v>1381</v>
      </c>
      <c r="G817" s="171">
        <v>100</v>
      </c>
      <c r="H817" s="172"/>
      <c r="I817" s="173"/>
      <c r="J817" s="173"/>
      <c r="K817" s="174"/>
      <c r="L817" s="175"/>
      <c r="M817" s="174"/>
      <c r="N817" s="176"/>
      <c r="O817" s="176"/>
      <c r="P817" s="173"/>
      <c r="Q817" s="177"/>
      <c r="R817" s="178"/>
      <c r="S817" s="173"/>
      <c r="T817" s="179"/>
      <c r="U817" s="145"/>
    </row>
    <row r="818" spans="1:21" ht="15" customHeight="1">
      <c r="A818" s="159" t="s">
        <v>2747</v>
      </c>
      <c r="B818" s="114" t="str">
        <f>VLOOKUP(A818,'Data pick slip'!B:F,5,FALSE)</f>
        <v>KHJ-MC200-00</v>
      </c>
      <c r="C818" s="169">
        <v>110763</v>
      </c>
      <c r="D818" s="169" t="str">
        <f>VLOOKUP(C818,Stock_list!D:L,2,FALSE)</f>
        <v>深圳傲尔</v>
      </c>
      <c r="E818" s="281">
        <f>VLOOKUP(C818,Stock_list!D:L,9,FALSE)</f>
        <v>44645</v>
      </c>
      <c r="F818" s="170" t="s">
        <v>1381</v>
      </c>
      <c r="G818" s="171">
        <v>20</v>
      </c>
      <c r="H818" s="172"/>
      <c r="I818" s="173"/>
      <c r="J818" s="173"/>
      <c r="K818" s="174"/>
      <c r="L818" s="175"/>
      <c r="M818" s="174"/>
      <c r="N818" s="176"/>
      <c r="O818" s="176"/>
      <c r="P818" s="173"/>
      <c r="Q818" s="177"/>
      <c r="R818" s="178"/>
      <c r="S818" s="173"/>
      <c r="T818" s="179"/>
      <c r="U818" s="145"/>
    </row>
    <row r="819" spans="1:21" ht="15" customHeight="1">
      <c r="A819" s="181" t="s">
        <v>2744</v>
      </c>
      <c r="B819" s="114" t="str">
        <f>VLOOKUP(A819,'Data pick slip'!B:F,5,FALSE)</f>
        <v>KHJ-MC100-00</v>
      </c>
      <c r="C819" s="169">
        <v>110766</v>
      </c>
      <c r="D819" s="169" t="str">
        <f>VLOOKUP(C819,Stock_list!D:L,2,FALSE)</f>
        <v>SZ 巨能</v>
      </c>
      <c r="E819" s="281">
        <f>VLOOKUP(C819,Stock_list!D:L,9,FALSE)</f>
        <v>44648</v>
      </c>
      <c r="F819" s="170" t="s">
        <v>1381</v>
      </c>
      <c r="G819" s="171">
        <v>50</v>
      </c>
      <c r="H819" s="172"/>
      <c r="I819" s="173"/>
      <c r="J819" s="173"/>
      <c r="K819" s="174"/>
      <c r="L819" s="175"/>
      <c r="M819" s="174"/>
      <c r="N819" s="176"/>
      <c r="O819" s="176"/>
      <c r="P819" s="173"/>
      <c r="Q819" s="177"/>
      <c r="R819" s="178"/>
      <c r="S819" s="173"/>
      <c r="T819" s="179"/>
      <c r="U819" s="145"/>
    </row>
    <row r="820" spans="1:21" ht="15" customHeight="1">
      <c r="A820" s="159" t="s">
        <v>2747</v>
      </c>
      <c r="B820" s="114" t="str">
        <f>VLOOKUP(A820,'Data pick slip'!B:F,5,FALSE)</f>
        <v>KHJ-MC200-00</v>
      </c>
      <c r="C820" s="169">
        <v>110766</v>
      </c>
      <c r="D820" s="169" t="str">
        <f>VLOOKUP(C820,Stock_list!D:L,2,FALSE)</f>
        <v>SZ 巨能</v>
      </c>
      <c r="E820" s="281">
        <f>VLOOKUP(C820,Stock_list!D:L,9,FALSE)</f>
        <v>44648</v>
      </c>
      <c r="F820" s="170" t="s">
        <v>1381</v>
      </c>
      <c r="G820" s="171">
        <v>20</v>
      </c>
      <c r="H820" s="172"/>
      <c r="I820" s="173"/>
      <c r="J820" s="173"/>
      <c r="K820" s="174"/>
      <c r="L820" s="175"/>
      <c r="M820" s="174"/>
      <c r="N820" s="176"/>
      <c r="O820" s="176"/>
      <c r="P820" s="173"/>
      <c r="Q820" s="177"/>
      <c r="R820" s="178"/>
      <c r="S820" s="173"/>
      <c r="T820" s="179"/>
      <c r="U820" s="145"/>
    </row>
    <row r="821" spans="1:21" ht="15" customHeight="1">
      <c r="A821" s="181" t="s">
        <v>2744</v>
      </c>
      <c r="B821" s="114" t="str">
        <f>VLOOKUP(A821,'Data pick slip'!B:F,5,FALSE)</f>
        <v>KHJ-MC100-00</v>
      </c>
      <c r="C821" s="169" t="s">
        <v>2972</v>
      </c>
      <c r="D821" s="169" t="str">
        <f>VLOOKUP(C821,Stock_list!D:L,2,FALSE)</f>
        <v>Dongguan Yidong</v>
      </c>
      <c r="E821" s="281" t="str">
        <f>VLOOKUP(C821,Stock_list!D:L,9,FALSE)</f>
        <v>2022/4/3深圳盐田港</v>
      </c>
      <c r="F821" s="170" t="s">
        <v>2753</v>
      </c>
      <c r="G821" s="171">
        <v>50</v>
      </c>
      <c r="H821" s="172"/>
      <c r="I821" s="173"/>
      <c r="J821" s="173"/>
      <c r="K821" s="174"/>
      <c r="L821" s="175"/>
      <c r="M821" s="174"/>
      <c r="N821" s="176"/>
      <c r="O821" s="176"/>
      <c r="P821" s="173"/>
      <c r="Q821" s="177"/>
      <c r="R821" s="178"/>
      <c r="S821" s="173"/>
      <c r="T821" s="179"/>
      <c r="U821" s="145"/>
    </row>
    <row r="822" spans="1:21" ht="15" customHeight="1">
      <c r="A822" s="159" t="s">
        <v>2747</v>
      </c>
      <c r="B822" s="114" t="str">
        <f>VLOOKUP(A822,'Data pick slip'!B:F,5,FALSE)</f>
        <v>KHJ-MC200-00</v>
      </c>
      <c r="C822" s="169" t="s">
        <v>2972</v>
      </c>
      <c r="D822" s="169" t="str">
        <f>VLOOKUP(C822,Stock_list!D:L,2,FALSE)</f>
        <v>Dongguan Yidong</v>
      </c>
      <c r="E822" s="281" t="str">
        <f>VLOOKUP(C822,Stock_list!D:L,9,FALSE)</f>
        <v>2022/4/3深圳盐田港</v>
      </c>
      <c r="F822" s="170" t="s">
        <v>2753</v>
      </c>
      <c r="G822" s="171">
        <v>20</v>
      </c>
      <c r="H822" s="172"/>
      <c r="I822" s="173"/>
      <c r="J822" s="173"/>
      <c r="K822" s="174"/>
      <c r="L822" s="175"/>
      <c r="M822" s="174"/>
      <c r="N822" s="176"/>
      <c r="O822" s="176"/>
      <c r="P822" s="173"/>
      <c r="Q822" s="177"/>
      <c r="R822" s="178"/>
      <c r="S822" s="173"/>
      <c r="T822" s="179"/>
      <c r="U822" s="145"/>
    </row>
    <row r="823" spans="1:21" ht="15" customHeight="1">
      <c r="A823" s="159" t="s">
        <v>2748</v>
      </c>
      <c r="B823" s="114" t="str">
        <f>VLOOKUP(A823,'Data pick slip'!B:F,5,FALSE)</f>
        <v>KHJ-MC400-00</v>
      </c>
      <c r="C823" s="169" t="s">
        <v>2972</v>
      </c>
      <c r="D823" s="169" t="str">
        <f>VLOOKUP(C823,Stock_list!D:L,2,FALSE)</f>
        <v>Dongguan Yidong</v>
      </c>
      <c r="E823" s="281" t="str">
        <f>VLOOKUP(C823,Stock_list!D:L,9,FALSE)</f>
        <v>2022/4/3深圳盐田港</v>
      </c>
      <c r="F823" s="170" t="s">
        <v>2753</v>
      </c>
      <c r="G823" s="171">
        <v>5</v>
      </c>
      <c r="H823" s="172"/>
      <c r="I823" s="173"/>
      <c r="J823" s="173"/>
      <c r="K823" s="174"/>
      <c r="L823" s="175"/>
      <c r="M823" s="174"/>
      <c r="N823" s="176"/>
      <c r="O823" s="176"/>
      <c r="P823" s="173"/>
      <c r="Q823" s="177"/>
      <c r="R823" s="178"/>
      <c r="S823" s="173"/>
      <c r="T823" s="179"/>
      <c r="U823" s="145"/>
    </row>
    <row r="824" spans="1:21" ht="15" customHeight="1">
      <c r="A824" s="181" t="s">
        <v>2751</v>
      </c>
      <c r="B824" s="114" t="str">
        <f>VLOOKUP(A824,'Data pick slip'!B:F,5,FALSE)</f>
        <v>KHJ-MC700-00</v>
      </c>
      <c r="C824" s="169" t="s">
        <v>2972</v>
      </c>
      <c r="D824" s="169" t="str">
        <f>VLOOKUP(C824,Stock_list!D:L,2,FALSE)</f>
        <v>Dongguan Yidong</v>
      </c>
      <c r="E824" s="281" t="str">
        <f>VLOOKUP(C824,Stock_list!D:L,9,FALSE)</f>
        <v>2022/4/3深圳盐田港</v>
      </c>
      <c r="F824" s="170" t="s">
        <v>2753</v>
      </c>
      <c r="G824" s="171">
        <v>6</v>
      </c>
      <c r="H824" s="172"/>
      <c r="I824" s="173"/>
      <c r="J824" s="173"/>
      <c r="K824" s="174"/>
      <c r="L824" s="175"/>
      <c r="M824" s="174"/>
      <c r="N824" s="176"/>
      <c r="O824" s="176"/>
      <c r="P824" s="173"/>
      <c r="Q824" s="177"/>
      <c r="R824" s="178"/>
      <c r="S824" s="173"/>
      <c r="T824" s="179"/>
      <c r="U824" s="145"/>
    </row>
    <row r="825" spans="1:21" ht="15" customHeight="1">
      <c r="A825" s="181" t="s">
        <v>2752</v>
      </c>
      <c r="B825" s="114" t="str">
        <f>VLOOKUP(A825,'Data pick slip'!B:F,5,FALSE)</f>
        <v>KHJ-MC800-00</v>
      </c>
      <c r="C825" s="169" t="s">
        <v>2972</v>
      </c>
      <c r="D825" s="169" t="str">
        <f>VLOOKUP(C825,Stock_list!D:L,2,FALSE)</f>
        <v>Dongguan Yidong</v>
      </c>
      <c r="E825" s="281" t="str">
        <f>VLOOKUP(C825,Stock_list!D:L,9,FALSE)</f>
        <v>2022/4/3深圳盐田港</v>
      </c>
      <c r="F825" s="170" t="s">
        <v>2753</v>
      </c>
      <c r="G825" s="171">
        <v>8</v>
      </c>
      <c r="H825" s="172"/>
      <c r="I825" s="173"/>
      <c r="J825" s="173"/>
      <c r="K825" s="174"/>
      <c r="L825" s="175"/>
      <c r="M825" s="174"/>
      <c r="N825" s="176"/>
      <c r="O825" s="176"/>
      <c r="P825" s="173"/>
      <c r="Q825" s="177"/>
      <c r="R825" s="178"/>
      <c r="S825" s="173"/>
      <c r="T825" s="179"/>
      <c r="U825" s="145"/>
    </row>
    <row r="826" spans="1:21" ht="15" customHeight="1">
      <c r="A826" s="181" t="s">
        <v>2744</v>
      </c>
      <c r="B826" s="114" t="str">
        <f>VLOOKUP(A826,'Data pick slip'!B:F,5,FALSE)</f>
        <v>KHJ-MC100-00</v>
      </c>
      <c r="C826" s="169">
        <v>110810</v>
      </c>
      <c r="D826" s="169" t="str">
        <f>VLOOKUP(C826,Stock_list!D:L,2,FALSE)</f>
        <v>Dongguan Yidong</v>
      </c>
      <c r="E826" s="281">
        <f>VLOOKUP(C826,Stock_list!D:L,9,FALSE)</f>
        <v>44688</v>
      </c>
      <c r="F826" s="170" t="s">
        <v>1381</v>
      </c>
      <c r="G826" s="171">
        <v>100</v>
      </c>
      <c r="H826" s="172"/>
      <c r="I826" s="173"/>
      <c r="J826" s="173"/>
      <c r="K826" s="174"/>
      <c r="L826" s="175"/>
      <c r="M826" s="174"/>
      <c r="N826" s="176"/>
      <c r="O826" s="176"/>
      <c r="P826" s="173"/>
      <c r="Q826" s="177"/>
      <c r="R826" s="178"/>
      <c r="S826" s="173"/>
      <c r="T826" s="179"/>
      <c r="U826" s="145"/>
    </row>
    <row r="827" spans="1:21" ht="15" customHeight="1">
      <c r="A827" s="159" t="s">
        <v>2747</v>
      </c>
      <c r="B827" s="114" t="str">
        <f>VLOOKUP(A827,'Data pick slip'!B:F,5,FALSE)</f>
        <v>KHJ-MC200-00</v>
      </c>
      <c r="C827" s="169">
        <v>110810</v>
      </c>
      <c r="D827" s="169" t="str">
        <f>VLOOKUP(C827,Stock_list!D:L,2,FALSE)</f>
        <v>Dongguan Yidong</v>
      </c>
      <c r="E827" s="281">
        <f>VLOOKUP(C827,Stock_list!D:L,9,FALSE)</f>
        <v>44688</v>
      </c>
      <c r="F827" s="170" t="s">
        <v>1381</v>
      </c>
      <c r="G827" s="171">
        <v>30</v>
      </c>
      <c r="H827" s="172"/>
      <c r="I827" s="173"/>
      <c r="J827" s="173"/>
      <c r="K827" s="174"/>
      <c r="L827" s="175"/>
      <c r="M827" s="174"/>
      <c r="N827" s="176"/>
      <c r="O827" s="176"/>
      <c r="P827" s="173"/>
      <c r="Q827" s="177"/>
      <c r="R827" s="178"/>
      <c r="S827" s="173"/>
      <c r="T827" s="179"/>
      <c r="U827" s="145"/>
    </row>
    <row r="828" spans="1:21" ht="15" customHeight="1">
      <c r="A828" s="159" t="s">
        <v>2748</v>
      </c>
      <c r="B828" s="114" t="str">
        <f>VLOOKUP(A828,'Data pick slip'!B:F,5,FALSE)</f>
        <v>KHJ-MC400-00</v>
      </c>
      <c r="C828" s="169">
        <v>110810</v>
      </c>
      <c r="D828" s="169" t="str">
        <f>VLOOKUP(C828,Stock_list!D:L,2,FALSE)</f>
        <v>Dongguan Yidong</v>
      </c>
      <c r="E828" s="281">
        <f>VLOOKUP(C828,Stock_list!D:L,9,FALSE)</f>
        <v>44688</v>
      </c>
      <c r="F828" s="170" t="s">
        <v>1381</v>
      </c>
      <c r="G828" s="171">
        <v>5</v>
      </c>
      <c r="H828" s="172"/>
      <c r="I828" s="173"/>
      <c r="J828" s="173"/>
      <c r="K828" s="174"/>
      <c r="L828" s="175"/>
      <c r="M828" s="174"/>
      <c r="N828" s="176"/>
      <c r="O828" s="176"/>
      <c r="P828" s="173"/>
      <c r="Q828" s="177"/>
      <c r="R828" s="178"/>
      <c r="S828" s="173"/>
      <c r="T828" s="179"/>
      <c r="U828" s="145"/>
    </row>
    <row r="829" spans="1:21" ht="15" customHeight="1">
      <c r="A829" s="181" t="s">
        <v>2744</v>
      </c>
      <c r="B829" s="114" t="str">
        <f>VLOOKUP(A829,'Data pick slip'!B:F,5,FALSE)</f>
        <v>KHJ-MC100-00</v>
      </c>
      <c r="C829" s="169">
        <v>110813</v>
      </c>
      <c r="D829" s="169" t="str">
        <f>VLOOKUP(C829,Stock_list!D:L,2,FALSE)</f>
        <v>深圳晶昌鸿业</v>
      </c>
      <c r="E829" s="281">
        <f>VLOOKUP(C829,Stock_list!D:L,9,FALSE)</f>
        <v>44646</v>
      </c>
      <c r="F829" s="170" t="s">
        <v>1381</v>
      </c>
      <c r="G829" s="171">
        <v>50</v>
      </c>
      <c r="H829" s="172"/>
      <c r="I829" s="173"/>
      <c r="J829" s="173"/>
      <c r="K829" s="174"/>
      <c r="L829" s="175"/>
      <c r="M829" s="174"/>
      <c r="N829" s="176"/>
      <c r="O829" s="176"/>
      <c r="P829" s="173"/>
      <c r="Q829" s="177"/>
      <c r="R829" s="178"/>
      <c r="S829" s="173"/>
      <c r="T829" s="179"/>
      <c r="U829" s="145"/>
    </row>
    <row r="830" spans="1:21" ht="15" customHeight="1">
      <c r="A830" s="159" t="s">
        <v>2747</v>
      </c>
      <c r="B830" s="114" t="str">
        <f>VLOOKUP(A830,'Data pick slip'!B:F,5,FALSE)</f>
        <v>KHJ-MC200-00</v>
      </c>
      <c r="C830" s="169">
        <v>110813</v>
      </c>
      <c r="D830" s="169" t="str">
        <f>VLOOKUP(C830,Stock_list!D:L,2,FALSE)</f>
        <v>深圳晶昌鸿业</v>
      </c>
      <c r="E830" s="281">
        <f>VLOOKUP(C830,Stock_list!D:L,9,FALSE)</f>
        <v>44646</v>
      </c>
      <c r="F830" s="170" t="s">
        <v>1381</v>
      </c>
      <c r="G830" s="171">
        <v>20</v>
      </c>
      <c r="H830" s="172"/>
      <c r="I830" s="173"/>
      <c r="J830" s="173"/>
      <c r="K830" s="174"/>
      <c r="L830" s="175"/>
      <c r="M830" s="174"/>
      <c r="N830" s="176"/>
      <c r="O830" s="176"/>
      <c r="P830" s="173"/>
      <c r="Q830" s="177"/>
      <c r="R830" s="178"/>
      <c r="S830" s="173"/>
      <c r="T830" s="179"/>
      <c r="U830" s="145"/>
    </row>
    <row r="831" spans="1:21" ht="15" customHeight="1">
      <c r="A831" s="181" t="s">
        <v>2749</v>
      </c>
      <c r="B831" s="114" t="str">
        <f>VLOOKUP(A831,'Data pick slip'!B:F,5,FALSE)</f>
        <v>KHJ-MC500-00</v>
      </c>
      <c r="C831" s="169">
        <v>110813</v>
      </c>
      <c r="D831" s="169" t="str">
        <f>VLOOKUP(C831,Stock_list!D:L,2,FALSE)</f>
        <v>深圳晶昌鸿业</v>
      </c>
      <c r="E831" s="281">
        <f>VLOOKUP(C831,Stock_list!D:L,9,FALSE)</f>
        <v>44646</v>
      </c>
      <c r="F831" s="170" t="s">
        <v>1381</v>
      </c>
      <c r="G831" s="171">
        <v>20</v>
      </c>
      <c r="H831" s="172"/>
      <c r="I831" s="173"/>
      <c r="J831" s="173"/>
      <c r="K831" s="174"/>
      <c r="L831" s="175"/>
      <c r="M831" s="174"/>
      <c r="N831" s="176"/>
      <c r="O831" s="176"/>
      <c r="P831" s="173"/>
      <c r="Q831" s="177"/>
      <c r="R831" s="178"/>
      <c r="S831" s="173"/>
      <c r="T831" s="179"/>
      <c r="U831" s="145"/>
    </row>
    <row r="832" spans="1:21" ht="15" customHeight="1">
      <c r="A832" s="181" t="s">
        <v>2750</v>
      </c>
      <c r="B832" s="114" t="str">
        <f>VLOOKUP(A832,'Data pick slip'!B:F,5,FALSE)</f>
        <v>KHJ-MC600-00</v>
      </c>
      <c r="C832" s="169">
        <v>110813</v>
      </c>
      <c r="D832" s="169" t="str">
        <f>VLOOKUP(C832,Stock_list!D:L,2,FALSE)</f>
        <v>深圳晶昌鸿业</v>
      </c>
      <c r="E832" s="281">
        <f>VLOOKUP(C832,Stock_list!D:L,9,FALSE)</f>
        <v>44646</v>
      </c>
      <c r="F832" s="170" t="s">
        <v>1381</v>
      </c>
      <c r="G832" s="171">
        <v>10</v>
      </c>
      <c r="H832" s="172"/>
      <c r="I832" s="173"/>
      <c r="J832" s="173"/>
      <c r="K832" s="174"/>
      <c r="L832" s="175"/>
      <c r="M832" s="174"/>
      <c r="N832" s="176"/>
      <c r="O832" s="176"/>
      <c r="P832" s="173"/>
      <c r="Q832" s="177"/>
      <c r="R832" s="178"/>
      <c r="S832" s="173"/>
      <c r="T832" s="179"/>
      <c r="U832" s="145"/>
    </row>
    <row r="833" spans="1:21" ht="15" customHeight="1">
      <c r="A833" s="181" t="s">
        <v>2744</v>
      </c>
      <c r="B833" s="114" t="str">
        <f>VLOOKUP(A833,'Data pick slip'!B:F,5,FALSE)</f>
        <v>KHJ-MC100-00</v>
      </c>
      <c r="C833" s="169">
        <v>110825</v>
      </c>
      <c r="D833" s="169" t="str">
        <f>VLOOKUP(C833,Stock_list!D:L,2,FALSE)</f>
        <v>Shenzhen 力通威</v>
      </c>
      <c r="E833" s="281">
        <f>VLOOKUP(C833,Stock_list!D:L,9,FALSE)</f>
        <v>44664</v>
      </c>
      <c r="F833" s="170" t="s">
        <v>1381</v>
      </c>
      <c r="G833" s="171">
        <v>200</v>
      </c>
      <c r="H833" s="172"/>
      <c r="I833" s="173"/>
      <c r="J833" s="173"/>
      <c r="K833" s="174"/>
      <c r="L833" s="175"/>
      <c r="M833" s="174"/>
      <c r="N833" s="176"/>
      <c r="O833" s="176"/>
      <c r="P833" s="173"/>
      <c r="Q833" s="177"/>
      <c r="R833" s="178"/>
      <c r="S833" s="173"/>
      <c r="T833" s="179"/>
      <c r="U833" s="145"/>
    </row>
    <row r="834" spans="1:21" ht="15" customHeight="1">
      <c r="A834" s="159" t="s">
        <v>2747</v>
      </c>
      <c r="B834" s="114" t="str">
        <f>VLOOKUP(A834,'Data pick slip'!B:F,5,FALSE)</f>
        <v>KHJ-MC200-00</v>
      </c>
      <c r="C834" s="169">
        <v>110825</v>
      </c>
      <c r="D834" s="169" t="str">
        <f>VLOOKUP(C834,Stock_list!D:L,2,FALSE)</f>
        <v>Shenzhen 力通威</v>
      </c>
      <c r="E834" s="281">
        <f>VLOOKUP(C834,Stock_list!D:L,9,FALSE)</f>
        <v>44664</v>
      </c>
      <c r="F834" s="170" t="s">
        <v>1381</v>
      </c>
      <c r="G834" s="171">
        <v>40</v>
      </c>
      <c r="H834" s="172"/>
      <c r="I834" s="173"/>
      <c r="J834" s="173"/>
      <c r="K834" s="174"/>
      <c r="L834" s="175"/>
      <c r="M834" s="174"/>
      <c r="N834" s="176"/>
      <c r="O834" s="176"/>
      <c r="P834" s="173"/>
      <c r="Q834" s="177"/>
      <c r="R834" s="178"/>
      <c r="S834" s="173"/>
      <c r="T834" s="179"/>
      <c r="U834" s="145"/>
    </row>
    <row r="835" spans="1:21" ht="15" customHeight="1">
      <c r="A835" s="181" t="s">
        <v>2744</v>
      </c>
      <c r="B835" s="114" t="str">
        <f>VLOOKUP(A835,'Data pick slip'!B:F,5,FALSE)</f>
        <v>KHJ-MC100-00</v>
      </c>
      <c r="C835" s="169">
        <v>110826</v>
      </c>
      <c r="D835" s="169" t="str">
        <f>VLOOKUP(C835,Stock_list!D:L,2,FALSE)</f>
        <v>Guangzhou 骏孚（有补差额，折扣约55.3%)</v>
      </c>
      <c r="E835" s="281">
        <f>VLOOKUP(C835,Stock_list!D:L,9,FALSE)</f>
        <v>44667</v>
      </c>
      <c r="F835" s="170" t="s">
        <v>1381</v>
      </c>
      <c r="G835" s="171">
        <v>200</v>
      </c>
      <c r="H835" s="172"/>
      <c r="I835" s="173"/>
      <c r="J835" s="173"/>
      <c r="K835" s="174"/>
      <c r="L835" s="175"/>
      <c r="M835" s="174"/>
      <c r="N835" s="176"/>
      <c r="O835" s="176"/>
      <c r="P835" s="173"/>
      <c r="Q835" s="177"/>
      <c r="R835" s="178"/>
      <c r="S835" s="173"/>
      <c r="T835" s="179"/>
      <c r="U835" s="145"/>
    </row>
    <row r="836" spans="1:21" ht="15" customHeight="1">
      <c r="A836" s="159" t="s">
        <v>2747</v>
      </c>
      <c r="B836" s="114" t="str">
        <f>VLOOKUP(A836,'Data pick slip'!B:F,5,FALSE)</f>
        <v>KHJ-MC200-00</v>
      </c>
      <c r="C836" s="169">
        <v>110826</v>
      </c>
      <c r="D836" s="169" t="str">
        <f>VLOOKUP(C836,Stock_list!D:L,2,FALSE)</f>
        <v>Guangzhou 骏孚（有补差额，折扣约55.3%)</v>
      </c>
      <c r="E836" s="281">
        <f>VLOOKUP(C836,Stock_list!D:L,9,FALSE)</f>
        <v>44667</v>
      </c>
      <c r="F836" s="170" t="s">
        <v>1381</v>
      </c>
      <c r="G836" s="171">
        <v>40</v>
      </c>
      <c r="H836" s="172"/>
      <c r="I836" s="173"/>
      <c r="J836" s="173"/>
      <c r="K836" s="174"/>
      <c r="L836" s="175"/>
      <c r="M836" s="174"/>
      <c r="N836" s="176"/>
      <c r="O836" s="176"/>
      <c r="P836" s="173"/>
      <c r="Q836" s="177"/>
      <c r="R836" s="178"/>
      <c r="S836" s="173"/>
      <c r="T836" s="179"/>
      <c r="U836" s="145"/>
    </row>
    <row r="837" spans="1:21" ht="15" customHeight="1">
      <c r="A837" s="181" t="s">
        <v>2744</v>
      </c>
      <c r="B837" s="114" t="str">
        <f>VLOOKUP(A837,'Data pick slip'!B:F,5,FALSE)</f>
        <v>KHJ-MC100-00</v>
      </c>
      <c r="C837" s="169">
        <v>110827</v>
      </c>
      <c r="D837" s="169" t="str">
        <f>VLOOKUP(C837,Stock_list!D:L,2,FALSE)</f>
        <v>Jinxi 昌大（有补差额，折扣约55.3%)</v>
      </c>
      <c r="E837" s="281">
        <f>VLOOKUP(C837,Stock_list!D:L,9,FALSE)</f>
        <v>44667</v>
      </c>
      <c r="F837" s="170" t="s">
        <v>1381</v>
      </c>
      <c r="G837" s="171">
        <v>200</v>
      </c>
      <c r="H837" s="172"/>
      <c r="I837" s="173"/>
      <c r="J837" s="173"/>
      <c r="K837" s="174"/>
      <c r="L837" s="175"/>
      <c r="M837" s="174"/>
      <c r="N837" s="176"/>
      <c r="O837" s="176"/>
      <c r="P837" s="173"/>
      <c r="Q837" s="177"/>
      <c r="R837" s="178"/>
      <c r="S837" s="173"/>
      <c r="T837" s="179"/>
      <c r="U837" s="145"/>
    </row>
    <row r="838" spans="1:21" ht="15" customHeight="1">
      <c r="A838" s="159" t="s">
        <v>2747</v>
      </c>
      <c r="B838" s="114" t="str">
        <f>VLOOKUP(A838,'Data pick slip'!B:F,5,FALSE)</f>
        <v>KHJ-MC200-00</v>
      </c>
      <c r="C838" s="169">
        <v>110827</v>
      </c>
      <c r="D838" s="169" t="str">
        <f>VLOOKUP(C838,Stock_list!D:L,2,FALSE)</f>
        <v>Jinxi 昌大（有补差额，折扣约55.3%)</v>
      </c>
      <c r="E838" s="281">
        <f>VLOOKUP(C838,Stock_list!D:L,9,FALSE)</f>
        <v>44667</v>
      </c>
      <c r="F838" s="170" t="s">
        <v>1381</v>
      </c>
      <c r="G838" s="171">
        <v>40</v>
      </c>
      <c r="H838" s="172"/>
      <c r="I838" s="173"/>
      <c r="J838" s="173"/>
      <c r="K838" s="174"/>
      <c r="L838" s="175"/>
      <c r="M838" s="174"/>
      <c r="N838" s="176"/>
      <c r="O838" s="176"/>
      <c r="P838" s="173"/>
      <c r="Q838" s="177"/>
      <c r="R838" s="178"/>
      <c r="S838" s="173"/>
      <c r="T838" s="179"/>
      <c r="U838" s="145"/>
    </row>
    <row r="839" spans="1:21" ht="15" customHeight="1">
      <c r="A839" s="181" t="s">
        <v>2744</v>
      </c>
      <c r="B839" s="114" t="str">
        <f>VLOOKUP(A839,'Data pick slip'!B:F,5,FALSE)</f>
        <v>KHJ-MC100-00</v>
      </c>
      <c r="C839" s="169">
        <v>110828</v>
      </c>
      <c r="D839" s="169" t="str">
        <f>VLOOKUP(C839,Stock_list!D:L,2,FALSE)</f>
        <v>Shenzhen 恒泰创新（有补差额，折扣约55.3%)</v>
      </c>
      <c r="E839" s="281">
        <f>VLOOKUP(C839,Stock_list!D:L,9,FALSE)</f>
        <v>44667</v>
      </c>
      <c r="F839" s="170" t="s">
        <v>1381</v>
      </c>
      <c r="G839" s="171">
        <v>200</v>
      </c>
      <c r="H839" s="172"/>
      <c r="I839" s="173"/>
      <c r="J839" s="173"/>
      <c r="K839" s="174"/>
      <c r="L839" s="175"/>
      <c r="M839" s="174"/>
      <c r="N839" s="176"/>
      <c r="O839" s="176"/>
      <c r="P839" s="173"/>
      <c r="Q839" s="177"/>
      <c r="R839" s="178"/>
      <c r="S839" s="173"/>
      <c r="T839" s="179"/>
      <c r="U839" s="145"/>
    </row>
    <row r="840" spans="1:21" ht="15" customHeight="1">
      <c r="A840" s="159" t="s">
        <v>2747</v>
      </c>
      <c r="B840" s="114" t="str">
        <f>VLOOKUP(A840,'Data pick slip'!B:F,5,FALSE)</f>
        <v>KHJ-MC200-00</v>
      </c>
      <c r="C840" s="169">
        <v>110828</v>
      </c>
      <c r="D840" s="169" t="str">
        <f>VLOOKUP(C840,Stock_list!D:L,2,FALSE)</f>
        <v>Shenzhen 恒泰创新（有补差额，折扣约55.3%)</v>
      </c>
      <c r="E840" s="281">
        <f>VLOOKUP(C840,Stock_list!D:L,9,FALSE)</f>
        <v>44667</v>
      </c>
      <c r="F840" s="170" t="s">
        <v>1381</v>
      </c>
      <c r="G840" s="171">
        <v>40</v>
      </c>
      <c r="H840" s="172"/>
      <c r="I840" s="173"/>
      <c r="J840" s="173"/>
      <c r="K840" s="174"/>
      <c r="L840" s="175"/>
      <c r="M840" s="174"/>
      <c r="N840" s="176"/>
      <c r="O840" s="176"/>
      <c r="P840" s="173"/>
      <c r="Q840" s="177"/>
      <c r="R840" s="178"/>
      <c r="S840" s="173"/>
      <c r="T840" s="179"/>
      <c r="U840" s="145"/>
    </row>
    <row r="841" spans="1:21" ht="15" customHeight="1">
      <c r="A841" s="181" t="s">
        <v>2744</v>
      </c>
      <c r="B841" s="114" t="str">
        <f>VLOOKUP(A841,'Data pick slip'!B:F,5,FALSE)</f>
        <v>KHJ-MC100-00</v>
      </c>
      <c r="C841" s="169">
        <v>110829</v>
      </c>
      <c r="D841" s="169" t="str">
        <f>VLOOKUP(C841,Stock_list!D:L,2,FALSE)</f>
        <v>Shenzhen 清禾</v>
      </c>
      <c r="E841" s="281">
        <f>VLOOKUP(C841,Stock_list!D:L,9,FALSE)</f>
        <v>44664</v>
      </c>
      <c r="F841" s="170" t="s">
        <v>1381</v>
      </c>
      <c r="G841" s="171">
        <v>200</v>
      </c>
      <c r="H841" s="172"/>
      <c r="I841" s="173"/>
      <c r="J841" s="173"/>
      <c r="K841" s="174"/>
      <c r="L841" s="175"/>
      <c r="M841" s="174"/>
      <c r="N841" s="176"/>
      <c r="O841" s="176"/>
      <c r="P841" s="173"/>
      <c r="Q841" s="177"/>
      <c r="R841" s="178"/>
      <c r="S841" s="173"/>
      <c r="T841" s="179"/>
      <c r="U841" s="145"/>
    </row>
    <row r="842" spans="1:21" ht="15" customHeight="1">
      <c r="A842" s="159" t="s">
        <v>2747</v>
      </c>
      <c r="B842" s="114" t="str">
        <f>VLOOKUP(A842,'Data pick slip'!B:F,5,FALSE)</f>
        <v>KHJ-MC200-00</v>
      </c>
      <c r="C842" s="169">
        <v>110829</v>
      </c>
      <c r="D842" s="169" t="str">
        <f>VLOOKUP(C842,Stock_list!D:L,2,FALSE)</f>
        <v>Shenzhen 清禾</v>
      </c>
      <c r="E842" s="281">
        <f>VLOOKUP(C842,Stock_list!D:L,9,FALSE)</f>
        <v>44664</v>
      </c>
      <c r="F842" s="170" t="s">
        <v>1381</v>
      </c>
      <c r="G842" s="171">
        <v>40</v>
      </c>
      <c r="H842" s="172"/>
      <c r="I842" s="173"/>
      <c r="J842" s="173"/>
      <c r="K842" s="174"/>
      <c r="L842" s="175"/>
      <c r="M842" s="174"/>
      <c r="N842" s="176"/>
      <c r="O842" s="176"/>
      <c r="P842" s="173"/>
      <c r="Q842" s="177"/>
      <c r="R842" s="178"/>
      <c r="S842" s="173"/>
      <c r="T842" s="179"/>
      <c r="U842" s="145"/>
    </row>
    <row r="843" spans="1:21" ht="15" customHeight="1">
      <c r="A843" s="181" t="s">
        <v>2744</v>
      </c>
      <c r="B843" s="114" t="str">
        <f>VLOOKUP(A843,'Data pick slip'!B:F,5,FALSE)</f>
        <v>KHJ-MC100-00</v>
      </c>
      <c r="C843" s="169">
        <v>110830</v>
      </c>
      <c r="D843" s="169" t="str">
        <f>VLOOKUP(C843,Stock_list!D:L,2,FALSE)</f>
        <v>Shenzhen 狂热者（有补差额，折扣约55.3%)</v>
      </c>
      <c r="E843" s="281">
        <f>VLOOKUP(C843,Stock_list!D:L,9,FALSE)</f>
        <v>44667</v>
      </c>
      <c r="F843" s="170" t="s">
        <v>1381</v>
      </c>
      <c r="G843" s="171">
        <v>200</v>
      </c>
      <c r="H843" s="172"/>
      <c r="I843" s="173"/>
      <c r="J843" s="173"/>
      <c r="K843" s="174"/>
      <c r="L843" s="175"/>
      <c r="M843" s="174"/>
      <c r="N843" s="176"/>
      <c r="O843" s="176"/>
      <c r="P843" s="173"/>
      <c r="Q843" s="177"/>
      <c r="R843" s="178"/>
      <c r="S843" s="173"/>
      <c r="T843" s="179"/>
      <c r="U843" s="145"/>
    </row>
    <row r="844" spans="1:21" ht="15" customHeight="1">
      <c r="A844" s="181" t="s">
        <v>2744</v>
      </c>
      <c r="B844" s="114" t="str">
        <f>VLOOKUP(A844,'Data pick slip'!B:F,5,FALSE)</f>
        <v>KHJ-MC100-00</v>
      </c>
      <c r="C844" s="169">
        <v>110831</v>
      </c>
      <c r="D844" s="169" t="str">
        <f>VLOOKUP(C844,Stock_list!D:L,2,FALSE)</f>
        <v>Shenzhen 驰电</v>
      </c>
      <c r="E844" s="281">
        <f>VLOOKUP(C844,Stock_list!D:L,9,FALSE)</f>
        <v>44664</v>
      </c>
      <c r="F844" s="170" t="s">
        <v>1381</v>
      </c>
      <c r="G844" s="171">
        <v>200</v>
      </c>
      <c r="H844" s="172"/>
      <c r="I844" s="173"/>
      <c r="J844" s="173"/>
      <c r="K844" s="174"/>
      <c r="L844" s="175"/>
      <c r="M844" s="174"/>
      <c r="N844" s="176"/>
      <c r="O844" s="176"/>
      <c r="P844" s="173"/>
      <c r="Q844" s="177"/>
      <c r="R844" s="178"/>
      <c r="S844" s="173"/>
      <c r="T844" s="179"/>
      <c r="U844" s="145"/>
    </row>
    <row r="845" spans="1:21" ht="15" customHeight="1">
      <c r="A845" s="181" t="s">
        <v>2744</v>
      </c>
      <c r="B845" s="114" t="str">
        <f>VLOOKUP(A845,'Data pick slip'!B:F,5,FALSE)</f>
        <v>KHJ-MC100-00</v>
      </c>
      <c r="C845" s="169">
        <v>110832</v>
      </c>
      <c r="D845" s="169" t="str">
        <f>VLOOKUP(C845,Stock_list!D:L,2,FALSE)</f>
        <v>傲尔（有补差额，折扣约55.3%)</v>
      </c>
      <c r="E845" s="281">
        <f>VLOOKUP(C845,Stock_list!D:L,9,FALSE)</f>
        <v>44667</v>
      </c>
      <c r="F845" s="170" t="s">
        <v>1381</v>
      </c>
      <c r="G845" s="171">
        <v>200</v>
      </c>
      <c r="H845" s="172"/>
      <c r="I845" s="173"/>
      <c r="J845" s="173"/>
      <c r="K845" s="174"/>
      <c r="L845" s="175"/>
      <c r="M845" s="174"/>
      <c r="N845" s="176"/>
      <c r="O845" s="176"/>
      <c r="P845" s="173"/>
      <c r="Q845" s="177"/>
      <c r="R845" s="178"/>
      <c r="S845" s="173"/>
      <c r="T845" s="179"/>
      <c r="U845" s="145"/>
    </row>
    <row r="846" spans="1:21" ht="15" customHeight="1">
      <c r="A846" s="181" t="s">
        <v>2755</v>
      </c>
      <c r="B846" s="114" t="str">
        <f>VLOOKUP(A846,'Data pick slip'!B:F,5,FALSE)</f>
        <v>KLJ-MC100-00</v>
      </c>
      <c r="C846" s="169">
        <v>110833</v>
      </c>
      <c r="D846" s="169" t="str">
        <f>VLOOKUP(C846,Stock_list!D:L,2,FALSE)</f>
        <v>SZ 乐凡电子</v>
      </c>
      <c r="E846" s="281">
        <f>VLOOKUP(C846,Stock_list!D:L,9,FALSE)</f>
        <v>44680</v>
      </c>
      <c r="F846" s="170" t="s">
        <v>1381</v>
      </c>
      <c r="G846" s="171">
        <v>100</v>
      </c>
      <c r="H846" s="172"/>
      <c r="I846" s="173"/>
      <c r="J846" s="173"/>
      <c r="K846" s="174"/>
      <c r="L846" s="175"/>
      <c r="M846" s="174"/>
      <c r="N846" s="176"/>
      <c r="O846" s="176"/>
      <c r="P846" s="173"/>
      <c r="Q846" s="177"/>
      <c r="R846" s="178"/>
      <c r="S846" s="173"/>
      <c r="T846" s="179"/>
      <c r="U846" s="145"/>
    </row>
    <row r="847" spans="1:21" ht="15" customHeight="1">
      <c r="A847" s="181" t="s">
        <v>2744</v>
      </c>
      <c r="B847" s="114" t="str">
        <f>VLOOKUP(A847,'Data pick slip'!B:F,5,FALSE)</f>
        <v>KHJ-MC100-00</v>
      </c>
      <c r="C847" s="169">
        <v>110833</v>
      </c>
      <c r="D847" s="169" t="str">
        <f>VLOOKUP(C847,Stock_list!D:L,2,FALSE)</f>
        <v>SZ 乐凡电子</v>
      </c>
      <c r="E847" s="281">
        <f>VLOOKUP(C847,Stock_list!D:L,9,FALSE)</f>
        <v>44680</v>
      </c>
      <c r="F847" s="170" t="s">
        <v>1381</v>
      </c>
      <c r="G847" s="171">
        <v>100</v>
      </c>
      <c r="H847" s="172"/>
      <c r="I847" s="173"/>
      <c r="J847" s="173"/>
      <c r="K847" s="174"/>
      <c r="L847" s="175"/>
      <c r="M847" s="174"/>
      <c r="N847" s="176"/>
      <c r="O847" s="176"/>
      <c r="P847" s="173"/>
      <c r="Q847" s="177"/>
      <c r="R847" s="178"/>
      <c r="S847" s="173"/>
      <c r="T847" s="179"/>
      <c r="U847" s="145"/>
    </row>
    <row r="848" spans="1:21" ht="15" customHeight="1">
      <c r="A848" s="181" t="s">
        <v>2748</v>
      </c>
      <c r="B848" s="114" t="str">
        <f>VLOOKUP(A848,'Data pick slip'!B:F,5,FALSE)</f>
        <v>KHJ-MC400-00</v>
      </c>
      <c r="C848" s="169">
        <v>110833</v>
      </c>
      <c r="D848" s="169" t="str">
        <f>VLOOKUP(C848,Stock_list!D:L,2,FALSE)</f>
        <v>SZ 乐凡电子</v>
      </c>
      <c r="E848" s="281">
        <f>VLOOKUP(C848,Stock_list!D:L,9,FALSE)</f>
        <v>44680</v>
      </c>
      <c r="F848" s="170" t="s">
        <v>1381</v>
      </c>
      <c r="G848" s="171">
        <v>20</v>
      </c>
      <c r="H848" s="172"/>
      <c r="I848" s="173"/>
      <c r="J848" s="173"/>
      <c r="K848" s="174"/>
      <c r="L848" s="175"/>
      <c r="M848" s="174"/>
      <c r="N848" s="176"/>
      <c r="O848" s="176"/>
      <c r="P848" s="173"/>
      <c r="Q848" s="177"/>
      <c r="R848" s="178"/>
      <c r="S848" s="173"/>
      <c r="T848" s="179"/>
      <c r="U848" s="145"/>
    </row>
    <row r="849" spans="1:21" ht="15" customHeight="1">
      <c r="A849" s="181" t="s">
        <v>2750</v>
      </c>
      <c r="B849" s="114" t="str">
        <f>VLOOKUP(A849,'Data pick slip'!B:F,5,FALSE)</f>
        <v>KHJ-MC600-00</v>
      </c>
      <c r="C849" s="169">
        <v>110833</v>
      </c>
      <c r="D849" s="169" t="str">
        <f>VLOOKUP(C849,Stock_list!D:L,2,FALSE)</f>
        <v>SZ 乐凡电子</v>
      </c>
      <c r="E849" s="281">
        <f>VLOOKUP(C849,Stock_list!D:L,9,FALSE)</f>
        <v>44680</v>
      </c>
      <c r="F849" s="170" t="s">
        <v>1381</v>
      </c>
      <c r="G849" s="171">
        <v>10</v>
      </c>
      <c r="H849" s="172"/>
      <c r="I849" s="173"/>
      <c r="J849" s="173"/>
      <c r="K849" s="174"/>
      <c r="L849" s="175"/>
      <c r="M849" s="174"/>
      <c r="N849" s="176"/>
      <c r="O849" s="176"/>
      <c r="P849" s="173"/>
      <c r="Q849" s="177"/>
      <c r="R849" s="178"/>
      <c r="S849" s="173"/>
      <c r="T849" s="179"/>
      <c r="U849" s="145"/>
    </row>
    <row r="850" spans="1:21" ht="15" customHeight="1">
      <c r="A850" s="181" t="s">
        <v>2751</v>
      </c>
      <c r="B850" s="114" t="str">
        <f>VLOOKUP(A850,'Data pick slip'!B:F,5,FALSE)</f>
        <v>KHJ-MC700-00</v>
      </c>
      <c r="C850" s="169">
        <v>110833</v>
      </c>
      <c r="D850" s="169" t="str">
        <f>VLOOKUP(C850,Stock_list!D:L,2,FALSE)</f>
        <v>SZ 乐凡电子</v>
      </c>
      <c r="E850" s="281">
        <f>VLOOKUP(C850,Stock_list!D:L,9,FALSE)</f>
        <v>44680</v>
      </c>
      <c r="F850" s="170" t="s">
        <v>1381</v>
      </c>
      <c r="G850" s="171">
        <v>3</v>
      </c>
      <c r="H850" s="172"/>
      <c r="I850" s="173"/>
      <c r="J850" s="173"/>
      <c r="K850" s="174"/>
      <c r="L850" s="175"/>
      <c r="M850" s="174"/>
      <c r="N850" s="176"/>
      <c r="O850" s="176"/>
      <c r="P850" s="173"/>
      <c r="Q850" s="177"/>
      <c r="R850" s="178"/>
      <c r="S850" s="173"/>
      <c r="T850" s="179"/>
      <c r="U850" s="145"/>
    </row>
    <row r="851" spans="1:21" ht="15" customHeight="1">
      <c r="A851" s="181" t="s">
        <v>2744</v>
      </c>
      <c r="B851" s="114" t="str">
        <f>VLOOKUP(A851,'Data pick slip'!B:F,5,FALSE)</f>
        <v>KHJ-MC100-00</v>
      </c>
      <c r="C851" s="169">
        <v>110834</v>
      </c>
      <c r="D851" s="169" t="str">
        <f>VLOOKUP(C851,Stock_list!D:L,2,FALSE)</f>
        <v>SZ 博新</v>
      </c>
      <c r="E851" s="281">
        <f>VLOOKUP(C851,Stock_list!D:L,9,FALSE)</f>
        <v>44680</v>
      </c>
      <c r="F851" s="170" t="s">
        <v>1381</v>
      </c>
      <c r="G851" s="171">
        <v>100</v>
      </c>
      <c r="H851" s="172"/>
      <c r="I851" s="173"/>
      <c r="J851" s="173"/>
      <c r="K851" s="174"/>
      <c r="L851" s="175"/>
      <c r="M851" s="174"/>
      <c r="N851" s="176"/>
      <c r="O851" s="176"/>
      <c r="P851" s="173"/>
      <c r="Q851" s="177"/>
      <c r="R851" s="178"/>
      <c r="S851" s="173"/>
      <c r="T851" s="179"/>
      <c r="U851" s="145"/>
    </row>
    <row r="852" spans="1:21" ht="15" customHeight="1">
      <c r="A852" s="159" t="s">
        <v>2747</v>
      </c>
      <c r="B852" s="114" t="str">
        <f>VLOOKUP(A852,'Data pick slip'!B:F,5,FALSE)</f>
        <v>KHJ-MC200-00</v>
      </c>
      <c r="C852" s="169">
        <v>110834</v>
      </c>
      <c r="D852" s="169" t="str">
        <f>VLOOKUP(C852,Stock_list!D:L,2,FALSE)</f>
        <v>SZ 博新</v>
      </c>
      <c r="E852" s="281">
        <f>VLOOKUP(C852,Stock_list!D:L,9,FALSE)</f>
        <v>44680</v>
      </c>
      <c r="F852" s="170" t="s">
        <v>1381</v>
      </c>
      <c r="G852" s="171">
        <v>50</v>
      </c>
      <c r="H852" s="172"/>
      <c r="I852" s="173"/>
      <c r="J852" s="173"/>
      <c r="K852" s="174"/>
      <c r="L852" s="175"/>
      <c r="M852" s="174"/>
      <c r="N852" s="176"/>
      <c r="O852" s="176"/>
      <c r="P852" s="173"/>
      <c r="Q852" s="177"/>
      <c r="R852" s="178"/>
      <c r="S852" s="173"/>
      <c r="T852" s="179"/>
      <c r="U852" s="145"/>
    </row>
    <row r="853" spans="1:21" ht="15" customHeight="1">
      <c r="A853" s="181" t="s">
        <v>2748</v>
      </c>
      <c r="B853" s="114" t="str">
        <f>VLOOKUP(A853,'Data pick slip'!B:F,5,FALSE)</f>
        <v>KHJ-MC400-00</v>
      </c>
      <c r="C853" s="169">
        <v>110834</v>
      </c>
      <c r="D853" s="169" t="str">
        <f>VLOOKUP(C853,Stock_list!D:L,2,FALSE)</f>
        <v>SZ 博新</v>
      </c>
      <c r="E853" s="281">
        <f>VLOOKUP(C853,Stock_list!D:L,9,FALSE)</f>
        <v>44680</v>
      </c>
      <c r="F853" s="170" t="s">
        <v>1381</v>
      </c>
      <c r="G853" s="171">
        <v>30</v>
      </c>
      <c r="H853" s="172"/>
      <c r="I853" s="173"/>
      <c r="J853" s="173"/>
      <c r="K853" s="174"/>
      <c r="L853" s="175"/>
      <c r="M853" s="174"/>
      <c r="N853" s="176"/>
      <c r="O853" s="176"/>
      <c r="P853" s="173"/>
      <c r="Q853" s="177"/>
      <c r="R853" s="178"/>
      <c r="S853" s="173"/>
      <c r="T853" s="179"/>
      <c r="U853" s="145"/>
    </row>
    <row r="854" spans="1:21" ht="15" customHeight="1">
      <c r="A854" s="181" t="s">
        <v>2744</v>
      </c>
      <c r="B854" s="114" t="str">
        <f>VLOOKUP(A854,'Data pick slip'!B:F,5,FALSE)</f>
        <v>KHJ-MC100-00</v>
      </c>
      <c r="C854" s="169">
        <v>110835</v>
      </c>
      <c r="D854" s="169" t="str">
        <f>VLOOKUP(C854,Stock_list!D:L,2,FALSE)</f>
        <v>SZ 捷舜诚</v>
      </c>
      <c r="E854" s="281">
        <f>VLOOKUP(C854,Stock_list!D:L,9,FALSE)</f>
        <v>44680</v>
      </c>
      <c r="F854" s="170" t="s">
        <v>1381</v>
      </c>
      <c r="G854" s="171">
        <v>100</v>
      </c>
      <c r="H854" s="172"/>
      <c r="I854" s="173"/>
      <c r="J854" s="173"/>
      <c r="K854" s="174"/>
      <c r="L854" s="175"/>
      <c r="M854" s="174"/>
      <c r="N854" s="176"/>
      <c r="O854" s="176"/>
      <c r="P854" s="173"/>
      <c r="Q854" s="177"/>
      <c r="R854" s="178"/>
      <c r="S854" s="173"/>
      <c r="T854" s="179"/>
      <c r="U854" s="145"/>
    </row>
    <row r="855" spans="1:21" ht="15" customHeight="1">
      <c r="A855" s="181" t="s">
        <v>2744</v>
      </c>
      <c r="B855" s="114" t="str">
        <f>VLOOKUP(A855,'Data pick slip'!B:F,5,FALSE)</f>
        <v>KHJ-MC100-00</v>
      </c>
      <c r="C855" s="169">
        <v>110836</v>
      </c>
      <c r="D855" s="169" t="str">
        <f>VLOOKUP(C855,Stock_list!D:L,2,FALSE)</f>
        <v>SZ 易通</v>
      </c>
      <c r="E855" s="281">
        <f>VLOOKUP(C855,Stock_list!D:L,9,FALSE)</f>
        <v>44680</v>
      </c>
      <c r="F855" s="170" t="s">
        <v>1381</v>
      </c>
      <c r="G855" s="171">
        <v>50</v>
      </c>
      <c r="H855" s="172"/>
      <c r="I855" s="173"/>
      <c r="J855" s="173"/>
      <c r="K855" s="174"/>
      <c r="L855" s="175"/>
      <c r="M855" s="174"/>
      <c r="N855" s="176"/>
      <c r="O855" s="176"/>
      <c r="P855" s="173"/>
      <c r="Q855" s="177"/>
      <c r="R855" s="178"/>
      <c r="S855" s="173"/>
      <c r="T855" s="179"/>
      <c r="U855" s="145"/>
    </row>
    <row r="856" spans="1:21" ht="15" customHeight="1">
      <c r="A856" s="181" t="s">
        <v>2744</v>
      </c>
      <c r="B856" s="114" t="str">
        <f>VLOOKUP(A856,'Data pick slip'!B:F,5,FALSE)</f>
        <v>KHJ-MC100-00</v>
      </c>
      <c r="C856" s="169">
        <v>110837</v>
      </c>
      <c r="D856" s="169" t="str">
        <f>VLOOKUP(C856,Stock_list!D:L,2,FALSE)</f>
        <v>SZ 海红天远</v>
      </c>
      <c r="E856" s="281">
        <f>VLOOKUP(C856,Stock_list!D:L,9,FALSE)</f>
        <v>44680</v>
      </c>
      <c r="F856" s="170" t="s">
        <v>1381</v>
      </c>
      <c r="G856" s="171">
        <v>50</v>
      </c>
      <c r="H856" s="172"/>
      <c r="I856" s="173"/>
      <c r="J856" s="173"/>
      <c r="K856" s="174"/>
      <c r="L856" s="175"/>
      <c r="M856" s="174"/>
      <c r="N856" s="176"/>
      <c r="O856" s="176"/>
      <c r="P856" s="173"/>
      <c r="Q856" s="177"/>
      <c r="R856" s="178"/>
      <c r="S856" s="173"/>
      <c r="T856" s="179"/>
      <c r="U856" s="145"/>
    </row>
    <row r="857" spans="1:21" ht="15" customHeight="1">
      <c r="A857" s="181" t="s">
        <v>2744</v>
      </c>
      <c r="B857" s="114" t="str">
        <f>VLOOKUP(A857,'Data pick slip'!B:F,5,FALSE)</f>
        <v>KHJ-MC100-00</v>
      </c>
      <c r="C857" s="169">
        <v>110838</v>
      </c>
      <c r="D857" s="169" t="str">
        <f>VLOOKUP(C857,Stock_list!D:L,2,FALSE)</f>
        <v>SZ 蓝极光</v>
      </c>
      <c r="E857" s="281">
        <f>VLOOKUP(C857,Stock_list!D:L,9,FALSE)</f>
        <v>44680</v>
      </c>
      <c r="F857" s="170" t="s">
        <v>1381</v>
      </c>
      <c r="G857" s="171">
        <v>200</v>
      </c>
      <c r="H857" s="172"/>
      <c r="I857" s="173"/>
      <c r="J857" s="173"/>
      <c r="K857" s="174"/>
      <c r="L857" s="175"/>
      <c r="M857" s="174"/>
      <c r="N857" s="176"/>
      <c r="O857" s="176"/>
      <c r="P857" s="173"/>
      <c r="Q857" s="177"/>
      <c r="R857" s="178"/>
      <c r="S857" s="173"/>
      <c r="T857" s="179"/>
      <c r="U857" s="145"/>
    </row>
    <row r="858" spans="1:21" ht="15" customHeight="1">
      <c r="A858" s="159" t="s">
        <v>2744</v>
      </c>
      <c r="B858" s="114" t="str">
        <f>VLOOKUP(A858,'Data pick slip'!B:F,5,FALSE)</f>
        <v>KHJ-MC100-00</v>
      </c>
      <c r="C858" s="169"/>
      <c r="D858" s="169"/>
      <c r="E858" s="281" t="s">
        <v>2973</v>
      </c>
      <c r="F858" s="170" t="s">
        <v>2753</v>
      </c>
      <c r="G858" s="171">
        <v>90</v>
      </c>
      <c r="H858" s="172"/>
      <c r="I858" s="173"/>
      <c r="J858" s="173"/>
      <c r="K858" s="174"/>
      <c r="L858" s="175"/>
      <c r="M858" s="174"/>
      <c r="N858" s="176"/>
      <c r="O858" s="176"/>
      <c r="P858" s="173"/>
      <c r="Q858" s="177"/>
      <c r="R858" s="178"/>
      <c r="S858" s="173"/>
      <c r="T858" s="179"/>
      <c r="U858" s="145"/>
    </row>
    <row r="859" spans="1:21" ht="15" customHeight="1">
      <c r="A859" s="159" t="s">
        <v>2748</v>
      </c>
      <c r="B859" s="114" t="str">
        <f>VLOOKUP(A859,'Data pick slip'!B:F,5,FALSE)</f>
        <v>KHJ-MC400-00</v>
      </c>
      <c r="C859" s="169"/>
      <c r="D859" s="169"/>
      <c r="E859" s="281" t="s">
        <v>2973</v>
      </c>
      <c r="F859" s="170" t="s">
        <v>2753</v>
      </c>
      <c r="G859" s="171">
        <v>10</v>
      </c>
      <c r="H859" s="172"/>
      <c r="I859" s="173"/>
      <c r="J859" s="173"/>
      <c r="K859" s="174"/>
      <c r="L859" s="175"/>
      <c r="M859" s="174"/>
      <c r="N859" s="176"/>
      <c r="O859" s="176"/>
      <c r="P859" s="173"/>
      <c r="Q859" s="177"/>
      <c r="R859" s="178"/>
      <c r="S859" s="173"/>
      <c r="T859" s="179"/>
      <c r="U859" s="145"/>
    </row>
    <row r="860" spans="1:21" ht="15" customHeight="1">
      <c r="A860" s="159" t="s">
        <v>2755</v>
      </c>
      <c r="B860" s="114" t="str">
        <f>VLOOKUP(A860,'Data pick slip'!B:F,5,FALSE)</f>
        <v>KLJ-MC100-00</v>
      </c>
      <c r="C860" s="169"/>
      <c r="D860" s="169"/>
      <c r="E860" s="281" t="s">
        <v>2973</v>
      </c>
      <c r="F860" s="170" t="s">
        <v>2753</v>
      </c>
      <c r="G860" s="171">
        <v>60</v>
      </c>
      <c r="H860" s="172"/>
      <c r="I860" s="173"/>
      <c r="J860" s="173"/>
      <c r="K860" s="174"/>
      <c r="L860" s="175"/>
      <c r="M860" s="174"/>
      <c r="N860" s="176"/>
      <c r="O860" s="176"/>
      <c r="P860" s="173"/>
      <c r="Q860" s="177"/>
      <c r="R860" s="178"/>
      <c r="S860" s="173"/>
      <c r="T860" s="179"/>
      <c r="U860" s="145"/>
    </row>
    <row r="861" spans="1:21" ht="15" customHeight="1">
      <c r="A861" s="181" t="s">
        <v>2744</v>
      </c>
      <c r="B861" s="114" t="str">
        <f>VLOOKUP(A861,'Data pick slip'!B:F,5,FALSE)</f>
        <v>KHJ-MC100-00</v>
      </c>
      <c r="C861" s="169"/>
      <c r="D861" s="169"/>
      <c r="E861" s="281" t="s">
        <v>2974</v>
      </c>
      <c r="F861" s="170" t="s">
        <v>2753</v>
      </c>
      <c r="G861" s="171">
        <v>23</v>
      </c>
      <c r="H861" s="172"/>
      <c r="I861" s="173"/>
      <c r="J861" s="173"/>
      <c r="K861" s="174"/>
      <c r="L861" s="175"/>
      <c r="M861" s="174"/>
      <c r="N861" s="176"/>
      <c r="O861" s="176"/>
      <c r="P861" s="173"/>
      <c r="Q861" s="177"/>
      <c r="R861" s="178"/>
      <c r="S861" s="173"/>
      <c r="T861" s="179"/>
      <c r="U861" s="145"/>
    </row>
    <row r="862" spans="1:21" ht="15" customHeight="1">
      <c r="A862" s="159" t="s">
        <v>2747</v>
      </c>
      <c r="B862" s="114" t="str">
        <f>VLOOKUP(A862,'Data pick slip'!B:F,5,FALSE)</f>
        <v>KHJ-MC200-00</v>
      </c>
      <c r="C862" s="169"/>
      <c r="D862" s="169"/>
      <c r="E862" s="281" t="s">
        <v>2974</v>
      </c>
      <c r="F862" s="170" t="s">
        <v>2753</v>
      </c>
      <c r="G862" s="171">
        <v>10</v>
      </c>
      <c r="H862" s="172"/>
      <c r="I862" s="173"/>
      <c r="J862" s="173"/>
      <c r="K862" s="174"/>
      <c r="L862" s="175"/>
      <c r="M862" s="174"/>
      <c r="N862" s="176"/>
      <c r="O862" s="176"/>
      <c r="P862" s="173"/>
      <c r="Q862" s="177"/>
      <c r="R862" s="178"/>
      <c r="S862" s="173"/>
      <c r="T862" s="179"/>
      <c r="U862" s="145"/>
    </row>
    <row r="863" spans="1:21" ht="15" customHeight="1">
      <c r="A863" s="181" t="s">
        <v>2744</v>
      </c>
      <c r="B863" s="114" t="str">
        <f>VLOOKUP(A863,'Data pick slip'!B:F,5,FALSE)</f>
        <v>KHJ-MC100-00</v>
      </c>
      <c r="C863" s="169">
        <v>110863</v>
      </c>
      <c r="D863" s="169" t="str">
        <f>VLOOKUP(C863,Stock_list!D:L,2,FALSE)</f>
        <v>深圳比泰利</v>
      </c>
      <c r="E863" s="281">
        <f>VLOOKUP(C863,Stock_list!D:L,9,FALSE)</f>
        <v>44714</v>
      </c>
      <c r="F863" s="170" t="s">
        <v>1381</v>
      </c>
      <c r="G863" s="171">
        <v>100</v>
      </c>
      <c r="H863" s="172"/>
      <c r="I863" s="173"/>
      <c r="J863" s="173"/>
      <c r="K863" s="174"/>
      <c r="L863" s="175"/>
      <c r="M863" s="174"/>
      <c r="N863" s="176"/>
      <c r="O863" s="176"/>
      <c r="P863" s="173"/>
      <c r="Q863" s="177"/>
      <c r="R863" s="178"/>
      <c r="S863" s="173"/>
      <c r="T863" s="179"/>
      <c r="U863" s="145"/>
    </row>
    <row r="864" spans="1:21" ht="15" customHeight="1">
      <c r="A864" s="159" t="s">
        <v>2747</v>
      </c>
      <c r="B864" s="114" t="str">
        <f>VLOOKUP(A864,'Data pick slip'!B:F,5,FALSE)</f>
        <v>KHJ-MC200-00</v>
      </c>
      <c r="C864" s="169">
        <v>110863</v>
      </c>
      <c r="D864" s="169" t="str">
        <f>VLOOKUP(C864,Stock_list!D:L,2,FALSE)</f>
        <v>深圳比泰利</v>
      </c>
      <c r="E864" s="281">
        <f>VLOOKUP(C864,Stock_list!D:L,9,FALSE)</f>
        <v>44714</v>
      </c>
      <c r="F864" s="170" t="s">
        <v>1381</v>
      </c>
      <c r="G864" s="171">
        <v>20</v>
      </c>
      <c r="H864" s="172"/>
      <c r="I864" s="173"/>
      <c r="J864" s="173"/>
      <c r="K864" s="174"/>
      <c r="L864" s="175"/>
      <c r="M864" s="174"/>
      <c r="N864" s="176"/>
      <c r="O864" s="176"/>
      <c r="P864" s="173"/>
      <c r="Q864" s="177"/>
      <c r="R864" s="178"/>
      <c r="S864" s="173"/>
      <c r="T864" s="179"/>
      <c r="U864" s="145"/>
    </row>
    <row r="865" spans="1:21" ht="15" customHeight="1">
      <c r="A865" s="181" t="s">
        <v>2748</v>
      </c>
      <c r="B865" s="114" t="str">
        <f>VLOOKUP(A865,'Data pick slip'!B:F,5,FALSE)</f>
        <v>KHJ-MC400-00</v>
      </c>
      <c r="C865" s="169">
        <v>110863</v>
      </c>
      <c r="D865" s="169" t="str">
        <f>VLOOKUP(C865,Stock_list!D:L,2,FALSE)</f>
        <v>深圳比泰利</v>
      </c>
      <c r="E865" s="281">
        <f>VLOOKUP(C865,Stock_list!D:L,9,FALSE)</f>
        <v>44714</v>
      </c>
      <c r="F865" s="170" t="s">
        <v>1381</v>
      </c>
      <c r="G865" s="171">
        <v>10</v>
      </c>
      <c r="H865" s="172"/>
      <c r="I865" s="173"/>
      <c r="J865" s="173"/>
      <c r="K865" s="174"/>
      <c r="L865" s="175"/>
      <c r="M865" s="174"/>
      <c r="N865" s="176"/>
      <c r="O865" s="176"/>
      <c r="P865" s="173"/>
      <c r="Q865" s="177"/>
      <c r="R865" s="178"/>
      <c r="S865" s="173"/>
      <c r="T865" s="179"/>
      <c r="U865" s="145"/>
    </row>
    <row r="866" spans="1:21" ht="15" customHeight="1">
      <c r="A866" s="181" t="s">
        <v>2744</v>
      </c>
      <c r="B866" s="114" t="str">
        <f>VLOOKUP(A866,'Data pick slip'!B:F,5,FALSE)</f>
        <v>KHJ-MC100-00</v>
      </c>
      <c r="C866" s="169">
        <v>110864</v>
      </c>
      <c r="D866" s="169" t="str">
        <f>VLOOKUP(C866,Stock_list!D:L,2,FALSE)</f>
        <v>SZ 骏仁达</v>
      </c>
      <c r="E866" s="281">
        <f>VLOOKUP(C866,Stock_list!D:L,9,FALSE)</f>
        <v>44704</v>
      </c>
      <c r="F866" s="170" t="s">
        <v>1381</v>
      </c>
      <c r="G866" s="171">
        <v>100</v>
      </c>
      <c r="H866" s="172"/>
      <c r="I866" s="173"/>
      <c r="J866" s="173"/>
      <c r="K866" s="174"/>
      <c r="L866" s="175"/>
      <c r="M866" s="174"/>
      <c r="N866" s="176"/>
      <c r="O866" s="176"/>
      <c r="P866" s="173"/>
      <c r="Q866" s="177"/>
      <c r="R866" s="178"/>
      <c r="S866" s="173"/>
      <c r="T866" s="179"/>
      <c r="U866" s="145"/>
    </row>
    <row r="867" spans="1:21" ht="15" customHeight="1">
      <c r="A867" s="159" t="s">
        <v>2747</v>
      </c>
      <c r="B867" s="114" t="str">
        <f>VLOOKUP(A867,'Data pick slip'!B:F,5,FALSE)</f>
        <v>KHJ-MC200-00</v>
      </c>
      <c r="C867" s="169">
        <v>110864</v>
      </c>
      <c r="D867" s="169" t="str">
        <f>VLOOKUP(C867,Stock_list!D:L,2,FALSE)</f>
        <v>SZ 骏仁达</v>
      </c>
      <c r="E867" s="281">
        <f>VLOOKUP(C867,Stock_list!D:L,9,FALSE)</f>
        <v>44704</v>
      </c>
      <c r="F867" s="170" t="s">
        <v>1381</v>
      </c>
      <c r="G867" s="171">
        <v>20</v>
      </c>
      <c r="H867" s="172"/>
      <c r="I867" s="173"/>
      <c r="J867" s="173"/>
      <c r="K867" s="174"/>
      <c r="L867" s="175"/>
      <c r="M867" s="174"/>
      <c r="N867" s="176"/>
      <c r="O867" s="176"/>
      <c r="P867" s="173"/>
      <c r="Q867" s="177"/>
      <c r="R867" s="178"/>
      <c r="S867" s="173"/>
      <c r="T867" s="179"/>
      <c r="U867" s="145"/>
    </row>
    <row r="868" spans="1:21" ht="15" customHeight="1">
      <c r="A868" s="181" t="s">
        <v>2748</v>
      </c>
      <c r="B868" s="114" t="str">
        <f>VLOOKUP(A868,'Data pick slip'!B:F,5,FALSE)</f>
        <v>KHJ-MC400-00</v>
      </c>
      <c r="C868" s="169">
        <v>110864</v>
      </c>
      <c r="D868" s="169" t="str">
        <f>VLOOKUP(C868,Stock_list!D:L,2,FALSE)</f>
        <v>SZ 骏仁达</v>
      </c>
      <c r="E868" s="281">
        <f>VLOOKUP(C868,Stock_list!D:L,9,FALSE)</f>
        <v>44704</v>
      </c>
      <c r="F868" s="170" t="s">
        <v>1381</v>
      </c>
      <c r="G868" s="171">
        <v>10</v>
      </c>
      <c r="H868" s="172"/>
      <c r="I868" s="173"/>
      <c r="J868" s="173"/>
      <c r="K868" s="174"/>
      <c r="L868" s="175"/>
      <c r="M868" s="174"/>
      <c r="N868" s="176"/>
      <c r="O868" s="176"/>
      <c r="P868" s="173"/>
      <c r="Q868" s="177"/>
      <c r="R868" s="178"/>
      <c r="S868" s="173"/>
      <c r="T868" s="179"/>
      <c r="U868" s="145"/>
    </row>
    <row r="869" spans="1:21" ht="15" customHeight="1">
      <c r="A869" s="159" t="s">
        <v>2755</v>
      </c>
      <c r="B869" s="114" t="str">
        <f>VLOOKUP(A869,'Data pick slip'!B:F,5,FALSE)</f>
        <v>KLJ-MC100-00</v>
      </c>
      <c r="C869" s="169">
        <v>110865</v>
      </c>
      <c r="D869" s="169" t="str">
        <f>VLOOKUP(C869,Stock_list!D:L,2,FALSE)</f>
        <v>SZ 伯莱科</v>
      </c>
      <c r="E869" s="281">
        <f>VLOOKUP(C869,Stock_list!D:L,9,FALSE)</f>
        <v>44714</v>
      </c>
      <c r="F869" s="170" t="s">
        <v>1381</v>
      </c>
      <c r="G869" s="171">
        <v>100</v>
      </c>
      <c r="H869" s="172"/>
      <c r="I869" s="173"/>
      <c r="J869" s="173"/>
      <c r="K869" s="174"/>
      <c r="L869" s="175"/>
      <c r="M869" s="174"/>
      <c r="N869" s="176"/>
      <c r="O869" s="176"/>
      <c r="P869" s="173"/>
      <c r="Q869" s="177"/>
      <c r="R869" s="178"/>
      <c r="S869" s="173"/>
      <c r="T869" s="179"/>
      <c r="U869" s="145"/>
    </row>
    <row r="870" spans="1:21" ht="15" customHeight="1">
      <c r="A870" s="159" t="s">
        <v>2756</v>
      </c>
      <c r="B870" s="114" t="str">
        <f>VLOOKUP(A870,'Data pick slip'!B:F,5,FALSE)</f>
        <v>KLJ-MC200-00</v>
      </c>
      <c r="C870" s="169">
        <v>110865</v>
      </c>
      <c r="D870" s="169" t="str">
        <f>VLOOKUP(C870,Stock_list!D:L,2,FALSE)</f>
        <v>SZ 伯莱科</v>
      </c>
      <c r="E870" s="281">
        <f>VLOOKUP(C870,Stock_list!D:L,9,FALSE)</f>
        <v>44714</v>
      </c>
      <c r="F870" s="170" t="s">
        <v>1381</v>
      </c>
      <c r="G870" s="171">
        <v>20</v>
      </c>
      <c r="H870" s="172"/>
      <c r="I870" s="173"/>
      <c r="J870" s="173"/>
      <c r="K870" s="174"/>
      <c r="L870" s="175"/>
      <c r="M870" s="174"/>
      <c r="N870" s="176"/>
      <c r="O870" s="176"/>
      <c r="P870" s="173"/>
      <c r="Q870" s="177"/>
      <c r="R870" s="178"/>
      <c r="S870" s="173"/>
      <c r="T870" s="179"/>
      <c r="U870" s="145"/>
    </row>
    <row r="871" spans="1:21" ht="15" customHeight="1">
      <c r="A871" s="159" t="s">
        <v>2757</v>
      </c>
      <c r="B871" s="114" t="str">
        <f>VLOOKUP(A871,'Data pick slip'!B:F,5,FALSE)</f>
        <v>KLJ-MC400-00</v>
      </c>
      <c r="C871" s="169">
        <v>110865</v>
      </c>
      <c r="D871" s="169" t="str">
        <f>VLOOKUP(C871,Stock_list!D:L,2,FALSE)</f>
        <v>SZ 伯莱科</v>
      </c>
      <c r="E871" s="281">
        <f>VLOOKUP(C871,Stock_list!D:L,9,FALSE)</f>
        <v>44714</v>
      </c>
      <c r="F871" s="170" t="s">
        <v>1381</v>
      </c>
      <c r="G871" s="171">
        <v>20</v>
      </c>
      <c r="H871" s="172"/>
      <c r="I871" s="173"/>
      <c r="J871" s="173"/>
      <c r="K871" s="174"/>
      <c r="L871" s="175"/>
      <c r="M871" s="174"/>
      <c r="N871" s="176"/>
      <c r="O871" s="176"/>
      <c r="P871" s="173"/>
      <c r="Q871" s="177"/>
      <c r="R871" s="178"/>
      <c r="S871" s="173"/>
      <c r="T871" s="179"/>
      <c r="U871" s="145"/>
    </row>
    <row r="872" spans="1:21" ht="15" customHeight="1">
      <c r="A872" s="159" t="s">
        <v>2755</v>
      </c>
      <c r="B872" s="114" t="str">
        <f>VLOOKUP(A872,'Data pick slip'!B:F,5,FALSE)</f>
        <v>KLJ-MC100-00</v>
      </c>
      <c r="C872" s="169">
        <v>110866</v>
      </c>
      <c r="D872" s="169" t="str">
        <f>VLOOKUP(C872,Stock_list!D:L,2,FALSE)</f>
        <v>DG 普德新星</v>
      </c>
      <c r="E872" s="281">
        <f>VLOOKUP(C872,Stock_list!D:L,9,FALSE)</f>
        <v>44704</v>
      </c>
      <c r="F872" s="170" t="s">
        <v>1381</v>
      </c>
      <c r="G872" s="171">
        <v>200</v>
      </c>
      <c r="H872" s="172"/>
      <c r="I872" s="173"/>
      <c r="J872" s="173"/>
      <c r="K872" s="174"/>
      <c r="L872" s="175"/>
      <c r="M872" s="174"/>
      <c r="N872" s="176"/>
      <c r="O872" s="176"/>
      <c r="P872" s="173"/>
      <c r="Q872" s="177"/>
      <c r="R872" s="178"/>
      <c r="S872" s="173"/>
      <c r="T872" s="179"/>
      <c r="U872" s="145"/>
    </row>
    <row r="873" spans="1:21" ht="15" customHeight="1">
      <c r="A873" s="159" t="s">
        <v>2756</v>
      </c>
      <c r="B873" s="114" t="str">
        <f>VLOOKUP(A873,'Data pick slip'!B:F,5,FALSE)</f>
        <v>KLJ-MC200-00</v>
      </c>
      <c r="C873" s="169">
        <v>110866</v>
      </c>
      <c r="D873" s="169" t="str">
        <f>VLOOKUP(C873,Stock_list!D:L,2,FALSE)</f>
        <v>DG 普德新星</v>
      </c>
      <c r="E873" s="281">
        <f>VLOOKUP(C873,Stock_list!D:L,9,FALSE)</f>
        <v>44704</v>
      </c>
      <c r="F873" s="170" t="s">
        <v>1381</v>
      </c>
      <c r="G873" s="171">
        <v>50</v>
      </c>
      <c r="H873" s="172"/>
      <c r="I873" s="173"/>
      <c r="J873" s="173"/>
      <c r="K873" s="174"/>
      <c r="L873" s="175"/>
      <c r="M873" s="174"/>
      <c r="N873" s="176"/>
      <c r="O873" s="176"/>
      <c r="P873" s="173"/>
      <c r="Q873" s="177"/>
      <c r="R873" s="178"/>
      <c r="S873" s="173"/>
      <c r="T873" s="179"/>
      <c r="U873" s="145"/>
    </row>
    <row r="874" spans="1:21" ht="15" customHeight="1">
      <c r="A874" s="159" t="s">
        <v>2757</v>
      </c>
      <c r="B874" s="114" t="str">
        <f>VLOOKUP(A874,'Data pick slip'!B:F,5,FALSE)</f>
        <v>KLJ-MC400-00</v>
      </c>
      <c r="C874" s="169">
        <v>110866</v>
      </c>
      <c r="D874" s="169" t="str">
        <f>VLOOKUP(C874,Stock_list!D:L,2,FALSE)</f>
        <v>DG 普德新星</v>
      </c>
      <c r="E874" s="281">
        <f>VLOOKUP(C874,Stock_list!D:L,9,FALSE)</f>
        <v>44704</v>
      </c>
      <c r="F874" s="170" t="s">
        <v>1381</v>
      </c>
      <c r="G874" s="171">
        <v>40</v>
      </c>
      <c r="H874" s="172"/>
      <c r="I874" s="173"/>
      <c r="J874" s="173"/>
      <c r="K874" s="174"/>
      <c r="L874" s="175"/>
      <c r="M874" s="174"/>
      <c r="N874" s="176"/>
      <c r="O874" s="176"/>
      <c r="P874" s="173"/>
      <c r="Q874" s="177"/>
      <c r="R874" s="178"/>
      <c r="S874" s="173"/>
      <c r="T874" s="179"/>
      <c r="U874" s="145"/>
    </row>
    <row r="875" spans="1:21" ht="15" customHeight="1">
      <c r="A875" s="181" t="s">
        <v>2744</v>
      </c>
      <c r="B875" s="114" t="str">
        <f>VLOOKUP(A875,'Data pick slip'!B:F,5,FALSE)</f>
        <v>KHJ-MC100-00</v>
      </c>
      <c r="C875" s="169">
        <v>110867</v>
      </c>
      <c r="D875" s="169" t="str">
        <f>VLOOKUP(C875,Stock_list!D:L,2,FALSE)</f>
        <v>Shenzhen Longtech</v>
      </c>
      <c r="E875" s="281">
        <f>VLOOKUP(C875,Stock_list!D:L,9,FALSE)</f>
        <v>44704</v>
      </c>
      <c r="F875" s="170" t="s">
        <v>1381</v>
      </c>
      <c r="G875" s="171">
        <v>350</v>
      </c>
      <c r="H875" s="172"/>
      <c r="I875" s="173"/>
      <c r="J875" s="173"/>
      <c r="K875" s="174"/>
      <c r="L875" s="175"/>
      <c r="M875" s="174"/>
      <c r="N875" s="176"/>
      <c r="O875" s="176"/>
      <c r="P875" s="173"/>
      <c r="Q875" s="177"/>
      <c r="R875" s="178"/>
      <c r="S875" s="173"/>
      <c r="T875" s="179"/>
      <c r="U875" s="145"/>
    </row>
    <row r="876" spans="1:21" ht="15" customHeight="1">
      <c r="A876" s="181" t="s">
        <v>2748</v>
      </c>
      <c r="B876" s="114" t="str">
        <f>VLOOKUP(A876,'Data pick slip'!B:F,5,FALSE)</f>
        <v>KHJ-MC400-00</v>
      </c>
      <c r="C876" s="169">
        <v>110867</v>
      </c>
      <c r="D876" s="169" t="str">
        <f>VLOOKUP(C876,Stock_list!D:L,2,FALSE)</f>
        <v>Shenzhen Longtech</v>
      </c>
      <c r="E876" s="281">
        <f>VLOOKUP(C876,Stock_list!D:L,9,FALSE)</f>
        <v>44704</v>
      </c>
      <c r="F876" s="170" t="s">
        <v>1381</v>
      </c>
      <c r="G876" s="171">
        <v>40</v>
      </c>
      <c r="H876" s="172"/>
      <c r="I876" s="173"/>
      <c r="J876" s="173"/>
      <c r="K876" s="174"/>
      <c r="L876" s="175"/>
      <c r="M876" s="174"/>
      <c r="N876" s="176"/>
      <c r="O876" s="176"/>
      <c r="P876" s="173"/>
      <c r="Q876" s="177"/>
      <c r="R876" s="178"/>
      <c r="S876" s="173"/>
      <c r="T876" s="179"/>
      <c r="U876" s="145"/>
    </row>
    <row r="877" spans="1:21" ht="15" customHeight="1">
      <c r="A877" s="181" t="s">
        <v>2749</v>
      </c>
      <c r="B877" s="114" t="str">
        <f>VLOOKUP(A877,'Data pick slip'!B:F,5,FALSE)</f>
        <v>KHJ-MC500-00</v>
      </c>
      <c r="C877" s="169">
        <v>110867</v>
      </c>
      <c r="D877" s="169" t="str">
        <f>VLOOKUP(C877,Stock_list!D:L,2,FALSE)</f>
        <v>Shenzhen Longtech</v>
      </c>
      <c r="E877" s="281">
        <f>VLOOKUP(C877,Stock_list!D:L,9,FALSE)</f>
        <v>44704</v>
      </c>
      <c r="F877" s="170" t="s">
        <v>1381</v>
      </c>
      <c r="G877" s="171">
        <v>10</v>
      </c>
      <c r="H877" s="172"/>
      <c r="I877" s="173"/>
      <c r="J877" s="173"/>
      <c r="K877" s="174"/>
      <c r="L877" s="175"/>
      <c r="M877" s="174"/>
      <c r="N877" s="176"/>
      <c r="O877" s="176"/>
      <c r="P877" s="173"/>
      <c r="Q877" s="177"/>
      <c r="R877" s="178"/>
      <c r="S877" s="173"/>
      <c r="T877" s="179"/>
      <c r="U877" s="145"/>
    </row>
    <row r="878" spans="1:21" ht="15" customHeight="1">
      <c r="A878" s="181" t="s">
        <v>2750</v>
      </c>
      <c r="B878" s="114" t="str">
        <f>VLOOKUP(A878,'Data pick slip'!B:F,5,FALSE)</f>
        <v>KHJ-MC600-00</v>
      </c>
      <c r="C878" s="169">
        <v>110867</v>
      </c>
      <c r="D878" s="169" t="str">
        <f>VLOOKUP(C878,Stock_list!D:L,2,FALSE)</f>
        <v>Shenzhen Longtech</v>
      </c>
      <c r="E878" s="281">
        <f>VLOOKUP(C878,Stock_list!D:L,9,FALSE)</f>
        <v>44704</v>
      </c>
      <c r="F878" s="170" t="s">
        <v>1381</v>
      </c>
      <c r="G878" s="171">
        <v>30</v>
      </c>
      <c r="H878" s="172"/>
      <c r="I878" s="173"/>
      <c r="J878" s="173"/>
      <c r="K878" s="174"/>
      <c r="L878" s="175"/>
      <c r="M878" s="174"/>
      <c r="N878" s="176"/>
      <c r="O878" s="176"/>
      <c r="P878" s="173"/>
      <c r="Q878" s="177"/>
      <c r="R878" s="178"/>
      <c r="S878" s="173"/>
      <c r="T878" s="179"/>
      <c r="U878" s="145"/>
    </row>
    <row r="879" spans="1:21" ht="15" customHeight="1">
      <c r="A879" s="181" t="s">
        <v>2751</v>
      </c>
      <c r="B879" s="114" t="str">
        <f>VLOOKUP(A879,'Data pick slip'!B:F,5,FALSE)</f>
        <v>KHJ-MC700-00</v>
      </c>
      <c r="C879" s="169">
        <v>110867</v>
      </c>
      <c r="D879" s="169" t="str">
        <f>VLOOKUP(C879,Stock_list!D:L,2,FALSE)</f>
        <v>Shenzhen Longtech</v>
      </c>
      <c r="E879" s="281">
        <f>VLOOKUP(C879,Stock_list!D:L,9,FALSE)</f>
        <v>44704</v>
      </c>
      <c r="F879" s="170" t="s">
        <v>1381</v>
      </c>
      <c r="G879" s="171">
        <v>3</v>
      </c>
      <c r="H879" s="172"/>
      <c r="I879" s="173"/>
      <c r="J879" s="173"/>
      <c r="K879" s="174"/>
      <c r="L879" s="175"/>
      <c r="M879" s="174"/>
      <c r="N879" s="176"/>
      <c r="O879" s="176"/>
      <c r="P879" s="173"/>
      <c r="Q879" s="177"/>
      <c r="R879" s="178"/>
      <c r="S879" s="173"/>
      <c r="T879" s="179"/>
      <c r="U879" s="145"/>
    </row>
    <row r="880" spans="1:21" ht="15" customHeight="1">
      <c r="A880" s="159" t="s">
        <v>2755</v>
      </c>
      <c r="B880" s="114" t="str">
        <f>VLOOKUP(A880,'Data pick slip'!B:F,5,FALSE)</f>
        <v>KLJ-MC100-00</v>
      </c>
      <c r="C880" s="169">
        <v>110868</v>
      </c>
      <c r="D880" s="169" t="str">
        <f>VLOOKUP(C880,Stock_list!D:L,2,FALSE)</f>
        <v>SZ 盈通恒翼</v>
      </c>
      <c r="E880" s="281">
        <f>VLOOKUP(C880,Stock_list!D:L,9,FALSE)</f>
        <v>44714</v>
      </c>
      <c r="F880" s="170" t="s">
        <v>1381</v>
      </c>
      <c r="G880" s="171">
        <v>100</v>
      </c>
      <c r="H880" s="172"/>
      <c r="I880" s="173"/>
      <c r="J880" s="173"/>
      <c r="K880" s="174"/>
      <c r="L880" s="175"/>
      <c r="M880" s="174"/>
      <c r="N880" s="176"/>
      <c r="O880" s="176"/>
      <c r="P880" s="173"/>
      <c r="Q880" s="177"/>
      <c r="R880" s="178"/>
      <c r="S880" s="173"/>
      <c r="T880" s="179"/>
      <c r="U880" s="145"/>
    </row>
    <row r="881" spans="1:21" ht="15" customHeight="1">
      <c r="A881" s="159" t="s">
        <v>2756</v>
      </c>
      <c r="B881" s="114" t="str">
        <f>VLOOKUP(A881,'Data pick slip'!B:F,5,FALSE)</f>
        <v>KLJ-MC200-00</v>
      </c>
      <c r="C881" s="169">
        <v>110868</v>
      </c>
      <c r="D881" s="169" t="str">
        <f>VLOOKUP(C881,Stock_list!D:L,2,FALSE)</f>
        <v>SZ 盈通恒翼</v>
      </c>
      <c r="E881" s="281">
        <f>VLOOKUP(C881,Stock_list!D:L,9,FALSE)</f>
        <v>44714</v>
      </c>
      <c r="F881" s="170" t="s">
        <v>1381</v>
      </c>
      <c r="G881" s="171">
        <v>30</v>
      </c>
      <c r="H881" s="172"/>
      <c r="I881" s="173"/>
      <c r="J881" s="173"/>
      <c r="K881" s="174"/>
      <c r="L881" s="175"/>
      <c r="M881" s="174"/>
      <c r="N881" s="176"/>
      <c r="O881" s="176"/>
      <c r="P881" s="173"/>
      <c r="Q881" s="177"/>
      <c r="R881" s="178"/>
      <c r="S881" s="173"/>
      <c r="T881" s="179"/>
      <c r="U881" s="145"/>
    </row>
    <row r="882" spans="1:21" ht="15" customHeight="1">
      <c r="A882" s="159" t="s">
        <v>2755</v>
      </c>
      <c r="B882" s="114" t="str">
        <f>VLOOKUP(A882,'Data pick slip'!B:F,5,FALSE)</f>
        <v>KLJ-MC100-00</v>
      </c>
      <c r="C882" s="169">
        <v>110869</v>
      </c>
      <c r="D882" s="169" t="str">
        <f>VLOOKUP(C882,Stock_list!D:L,2,FALSE)</f>
        <v>通达科信</v>
      </c>
      <c r="E882" s="281">
        <f>VLOOKUP(C882,Stock_list!D:L,9,FALSE)</f>
        <v>44704</v>
      </c>
      <c r="F882" s="170" t="s">
        <v>1381</v>
      </c>
      <c r="G882" s="171">
        <v>100</v>
      </c>
      <c r="H882" s="172"/>
      <c r="I882" s="173"/>
      <c r="J882" s="173"/>
      <c r="K882" s="174"/>
      <c r="L882" s="175"/>
      <c r="M882" s="174"/>
      <c r="N882" s="176"/>
      <c r="O882" s="176"/>
      <c r="P882" s="173"/>
      <c r="Q882" s="177"/>
      <c r="R882" s="178"/>
      <c r="S882" s="173"/>
      <c r="T882" s="179"/>
      <c r="U882" s="145"/>
    </row>
    <row r="883" spans="1:21" ht="15" customHeight="1">
      <c r="A883" s="159" t="s">
        <v>2756</v>
      </c>
      <c r="B883" s="114" t="str">
        <f>VLOOKUP(A883,'Data pick slip'!B:F,5,FALSE)</f>
        <v>KLJ-MC200-00</v>
      </c>
      <c r="C883" s="169">
        <v>110869</v>
      </c>
      <c r="D883" s="169" t="str">
        <f>VLOOKUP(C883,Stock_list!D:L,2,FALSE)</f>
        <v>通达科信</v>
      </c>
      <c r="E883" s="281">
        <f>VLOOKUP(C883,Stock_list!D:L,9,FALSE)</f>
        <v>44704</v>
      </c>
      <c r="F883" s="170" t="s">
        <v>1381</v>
      </c>
      <c r="G883" s="171">
        <v>20</v>
      </c>
      <c r="H883" s="172"/>
      <c r="I883" s="173"/>
      <c r="J883" s="173"/>
      <c r="K883" s="174"/>
      <c r="L883" s="175"/>
      <c r="M883" s="174"/>
      <c r="N883" s="176"/>
      <c r="O883" s="176"/>
      <c r="P883" s="173"/>
      <c r="Q883" s="177"/>
      <c r="R883" s="178"/>
      <c r="S883" s="173"/>
      <c r="T883" s="179"/>
      <c r="U883" s="145"/>
    </row>
    <row r="884" spans="1:21" ht="15" customHeight="1">
      <c r="A884" s="159" t="s">
        <v>2758</v>
      </c>
      <c r="B884" s="114" t="str">
        <f>VLOOKUP(A884,'Data pick slip'!B:F,5,FALSE)</f>
        <v>KLJ-MC500-00</v>
      </c>
      <c r="C884" s="169">
        <v>110869</v>
      </c>
      <c r="D884" s="169" t="str">
        <f>VLOOKUP(C884,Stock_list!D:L,2,FALSE)</f>
        <v>通达科信</v>
      </c>
      <c r="E884" s="281">
        <f>VLOOKUP(C884,Stock_list!D:L,9,FALSE)</f>
        <v>44704</v>
      </c>
      <c r="F884" s="170" t="s">
        <v>1381</v>
      </c>
      <c r="G884" s="171">
        <v>20</v>
      </c>
      <c r="H884" s="172"/>
      <c r="I884" s="173"/>
      <c r="J884" s="173"/>
      <c r="K884" s="174"/>
      <c r="L884" s="175"/>
      <c r="M884" s="174"/>
      <c r="N884" s="176"/>
      <c r="O884" s="176"/>
      <c r="P884" s="173"/>
      <c r="Q884" s="177"/>
      <c r="R884" s="178"/>
      <c r="S884" s="173"/>
      <c r="T884" s="179"/>
      <c r="U884" s="145"/>
    </row>
    <row r="885" spans="1:21" ht="15" customHeight="1">
      <c r="A885" s="181" t="s">
        <v>2744</v>
      </c>
      <c r="B885" s="114" t="str">
        <f>VLOOKUP(A885,'Data pick slip'!B:F,5,FALSE)</f>
        <v>KHJ-MC100-00</v>
      </c>
      <c r="C885" s="169">
        <v>110870</v>
      </c>
      <c r="D885" s="169" t="str">
        <f>VLOOKUP(C885,Stock_list!D:L,2,FALSE)</f>
        <v>Dongguan 岚新</v>
      </c>
      <c r="E885" s="281">
        <f>VLOOKUP(C885,Stock_list!D:L,9,FALSE)</f>
        <v>44694</v>
      </c>
      <c r="F885" s="170" t="s">
        <v>1381</v>
      </c>
      <c r="G885" s="171">
        <v>150</v>
      </c>
      <c r="H885" s="172"/>
      <c r="I885" s="173"/>
      <c r="J885" s="173"/>
      <c r="K885" s="174"/>
      <c r="L885" s="175"/>
      <c r="M885" s="174"/>
      <c r="N885" s="176"/>
      <c r="O885" s="176"/>
      <c r="P885" s="173"/>
      <c r="Q885" s="177"/>
      <c r="R885" s="178"/>
      <c r="S885" s="173"/>
      <c r="T885" s="179"/>
      <c r="U885" s="145"/>
    </row>
    <row r="886" spans="1:21" ht="15" customHeight="1">
      <c r="A886" s="181" t="s">
        <v>2747</v>
      </c>
      <c r="B886" s="114" t="str">
        <f>VLOOKUP(A886,'Data pick slip'!B:F,5,FALSE)</f>
        <v>KHJ-MC200-00</v>
      </c>
      <c r="C886" s="169">
        <v>110870</v>
      </c>
      <c r="D886" s="169" t="str">
        <f>VLOOKUP(C886,Stock_list!D:L,2,FALSE)</f>
        <v>Dongguan 岚新</v>
      </c>
      <c r="E886" s="281">
        <f>VLOOKUP(C886,Stock_list!D:L,9,FALSE)</f>
        <v>44694</v>
      </c>
      <c r="F886" s="170" t="s">
        <v>1381</v>
      </c>
      <c r="G886" s="171">
        <v>40</v>
      </c>
      <c r="H886" s="172"/>
      <c r="I886" s="173"/>
      <c r="J886" s="173"/>
      <c r="K886" s="174"/>
      <c r="L886" s="175"/>
      <c r="M886" s="174"/>
      <c r="N886" s="176"/>
      <c r="O886" s="176"/>
      <c r="P886" s="173"/>
      <c r="Q886" s="177"/>
      <c r="R886" s="178"/>
      <c r="S886" s="173"/>
      <c r="T886" s="179"/>
      <c r="U886" s="145"/>
    </row>
    <row r="887" spans="1:21" ht="15" customHeight="1">
      <c r="A887" s="181" t="s">
        <v>2744</v>
      </c>
      <c r="B887" s="114" t="str">
        <f>VLOOKUP(A887,'Data pick slip'!B:F,5,FALSE)</f>
        <v>KHJ-MC100-00</v>
      </c>
      <c r="C887" s="169">
        <v>110871</v>
      </c>
      <c r="D887" s="169" t="str">
        <f>VLOOKUP(C887,Stock_list!D:L,2,FALSE)</f>
        <v>SZ 骏仁达</v>
      </c>
      <c r="E887" s="281">
        <f>VLOOKUP(C887,Stock_list!D:L,9,FALSE)</f>
        <v>44724</v>
      </c>
      <c r="F887" s="170" t="s">
        <v>1381</v>
      </c>
      <c r="G887" s="171">
        <v>100</v>
      </c>
      <c r="H887" s="172"/>
      <c r="I887" s="173"/>
      <c r="J887" s="173"/>
      <c r="K887" s="174"/>
      <c r="L887" s="175"/>
      <c r="M887" s="174"/>
      <c r="N887" s="176"/>
      <c r="O887" s="176"/>
      <c r="P887" s="173"/>
      <c r="Q887" s="177"/>
      <c r="R887" s="178"/>
      <c r="S887" s="173"/>
      <c r="T887" s="179"/>
      <c r="U887" s="145"/>
    </row>
    <row r="888" spans="1:21" ht="15" customHeight="1">
      <c r="A888" s="181" t="s">
        <v>2744</v>
      </c>
      <c r="B888" s="114" t="str">
        <f>VLOOKUP(A888,'Data pick slip'!B:F,5,FALSE)</f>
        <v>KHJ-MC100-00</v>
      </c>
      <c r="C888" s="169">
        <v>110872</v>
      </c>
      <c r="D888" s="169" t="str">
        <f>VLOOKUP(C888,Stock_list!D:L,2,FALSE)</f>
        <v>恒磊</v>
      </c>
      <c r="E888" s="281">
        <f>VLOOKUP(C888,Stock_list!D:L,9,FALSE)</f>
        <v>44704</v>
      </c>
      <c r="F888" s="170" t="s">
        <v>1381</v>
      </c>
      <c r="G888" s="171">
        <v>150</v>
      </c>
      <c r="H888" s="172"/>
      <c r="I888" s="173"/>
      <c r="J888" s="173"/>
      <c r="K888" s="174"/>
      <c r="L888" s="175"/>
      <c r="M888" s="174"/>
      <c r="N888" s="176"/>
      <c r="O888" s="176"/>
      <c r="P888" s="173"/>
      <c r="Q888" s="177"/>
      <c r="R888" s="178"/>
      <c r="S888" s="173"/>
      <c r="T888" s="179"/>
      <c r="U888" s="145"/>
    </row>
    <row r="889" spans="1:21" ht="15" customHeight="1">
      <c r="A889" s="181" t="s">
        <v>2747</v>
      </c>
      <c r="B889" s="114" t="str">
        <f>VLOOKUP(A889,'Data pick slip'!B:F,5,FALSE)</f>
        <v>KHJ-MC200-00</v>
      </c>
      <c r="C889" s="169">
        <v>110872</v>
      </c>
      <c r="D889" s="169" t="str">
        <f>VLOOKUP(C889,Stock_list!D:L,2,FALSE)</f>
        <v>恒磊</v>
      </c>
      <c r="E889" s="281">
        <f>VLOOKUP(C889,Stock_list!D:L,9,FALSE)</f>
        <v>44704</v>
      </c>
      <c r="F889" s="170" t="s">
        <v>1381</v>
      </c>
      <c r="G889" s="171">
        <v>40</v>
      </c>
      <c r="H889" s="172"/>
      <c r="I889" s="173"/>
      <c r="J889" s="173"/>
      <c r="K889" s="174"/>
      <c r="L889" s="175"/>
      <c r="M889" s="174"/>
      <c r="N889" s="176"/>
      <c r="O889" s="176"/>
      <c r="P889" s="173"/>
      <c r="Q889" s="177"/>
      <c r="R889" s="178"/>
      <c r="S889" s="173"/>
      <c r="T889" s="179"/>
      <c r="U889" s="145"/>
    </row>
    <row r="890" spans="1:21" ht="15" customHeight="1">
      <c r="A890" s="181" t="s">
        <v>2744</v>
      </c>
      <c r="B890" s="114" t="str">
        <f>VLOOKUP(A890,'Data pick slip'!B:F,5,FALSE)</f>
        <v>KHJ-MC100-00</v>
      </c>
      <c r="C890" s="169">
        <v>110873</v>
      </c>
      <c r="D890" s="169" t="str">
        <f>VLOOKUP(C890,Stock_list!D:L,2,FALSE)</f>
        <v>Shenzhen Longtech</v>
      </c>
      <c r="E890" s="281">
        <f>VLOOKUP(C890,Stock_list!D:L,9,FALSE)</f>
        <v>44702</v>
      </c>
      <c r="F890" s="170" t="s">
        <v>1381</v>
      </c>
      <c r="G890" s="171">
        <v>200</v>
      </c>
      <c r="H890" s="172"/>
      <c r="I890" s="173"/>
      <c r="J890" s="173"/>
      <c r="K890" s="174"/>
      <c r="L890" s="175"/>
      <c r="M890" s="174"/>
      <c r="N890" s="176"/>
      <c r="O890" s="176"/>
      <c r="P890" s="173"/>
      <c r="Q890" s="177"/>
      <c r="R890" s="178"/>
      <c r="S890" s="173"/>
      <c r="T890" s="179"/>
      <c r="U890" s="145"/>
    </row>
    <row r="891" spans="1:21" ht="15" customHeight="1">
      <c r="A891" s="181" t="s">
        <v>2747</v>
      </c>
      <c r="B891" s="114" t="str">
        <f>VLOOKUP(A891,'Data pick slip'!B:F,5,FALSE)</f>
        <v>KHJ-MC200-00</v>
      </c>
      <c r="C891" s="169">
        <v>110873</v>
      </c>
      <c r="D891" s="169" t="str">
        <f>VLOOKUP(C891,Stock_list!D:L,2,FALSE)</f>
        <v>Shenzhen Longtech</v>
      </c>
      <c r="E891" s="281">
        <f>VLOOKUP(C891,Stock_list!D:L,9,FALSE)</f>
        <v>44702</v>
      </c>
      <c r="F891" s="170" t="s">
        <v>1381</v>
      </c>
      <c r="G891" s="171">
        <v>100</v>
      </c>
      <c r="H891" s="172"/>
      <c r="I891" s="173"/>
      <c r="J891" s="173"/>
      <c r="K891" s="174"/>
      <c r="L891" s="175"/>
      <c r="M891" s="174"/>
      <c r="N891" s="176"/>
      <c r="O891" s="176"/>
      <c r="P891" s="173"/>
      <c r="Q891" s="177"/>
      <c r="R891" s="178"/>
      <c r="S891" s="173"/>
      <c r="T891" s="179"/>
      <c r="U891" s="145"/>
    </row>
    <row r="892" spans="1:21" ht="15" customHeight="1">
      <c r="A892" s="181" t="s">
        <v>2744</v>
      </c>
      <c r="B892" s="114" t="str">
        <f>VLOOKUP(A892,'Data pick slip'!B:F,5,FALSE)</f>
        <v>KHJ-MC100-00</v>
      </c>
      <c r="C892" s="169">
        <v>110875</v>
      </c>
      <c r="D892" s="169" t="str">
        <f>VLOOKUP(C892,Stock_list!D:L,2,FALSE)</f>
        <v>DG 普德新星</v>
      </c>
      <c r="E892" s="281">
        <f>VLOOKUP(C892,Stock_list!D:L,9,FALSE)</f>
        <v>44725</v>
      </c>
      <c r="F892" s="170" t="s">
        <v>1381</v>
      </c>
      <c r="G892" s="171">
        <v>100</v>
      </c>
      <c r="H892" s="172"/>
      <c r="I892" s="173"/>
      <c r="J892" s="173"/>
      <c r="K892" s="174"/>
      <c r="L892" s="175"/>
      <c r="M892" s="174"/>
      <c r="N892" s="176"/>
      <c r="O892" s="176"/>
      <c r="P892" s="173"/>
      <c r="Q892" s="177"/>
      <c r="R892" s="178"/>
      <c r="S892" s="173"/>
      <c r="T892" s="179"/>
      <c r="U892" s="145"/>
    </row>
    <row r="893" spans="1:21" ht="15" customHeight="1">
      <c r="A893" s="181" t="s">
        <v>2747</v>
      </c>
      <c r="B893" s="114" t="str">
        <f>VLOOKUP(A893,'Data pick slip'!B:F,5,FALSE)</f>
        <v>KHJ-MC200-00</v>
      </c>
      <c r="C893" s="169">
        <v>110875</v>
      </c>
      <c r="D893" s="169" t="str">
        <f>VLOOKUP(C893,Stock_list!D:L,2,FALSE)</f>
        <v>DG 普德新星</v>
      </c>
      <c r="E893" s="281">
        <f>VLOOKUP(C893,Stock_list!D:L,9,FALSE)</f>
        <v>44725</v>
      </c>
      <c r="F893" s="170" t="s">
        <v>1381</v>
      </c>
      <c r="G893" s="171">
        <v>60</v>
      </c>
      <c r="H893" s="172"/>
      <c r="I893" s="173"/>
      <c r="J893" s="173"/>
      <c r="K893" s="174"/>
      <c r="L893" s="175"/>
      <c r="M893" s="174"/>
      <c r="N893" s="176"/>
      <c r="O893" s="176"/>
      <c r="P893" s="173"/>
      <c r="Q893" s="177"/>
      <c r="R893" s="178"/>
      <c r="S893" s="173"/>
      <c r="T893" s="179"/>
      <c r="U893" s="145"/>
    </row>
    <row r="894" spans="1:21" ht="15" customHeight="1">
      <c r="A894" s="181" t="s">
        <v>2744</v>
      </c>
      <c r="B894" s="114" t="str">
        <f>VLOOKUP(A894,'Data pick slip'!B:F,5,FALSE)</f>
        <v>KHJ-MC100-00</v>
      </c>
      <c r="C894" s="169">
        <v>110874</v>
      </c>
      <c r="D894" s="169" t="str">
        <f>VLOOKUP(C894,Stock_list!D:L,2,FALSE)</f>
        <v>Shenzhen 伯莱科</v>
      </c>
      <c r="E894" s="281">
        <f>VLOOKUP(C894,Stock_list!D:L,9,FALSE)</f>
        <v>44702</v>
      </c>
      <c r="F894" s="170" t="s">
        <v>1381</v>
      </c>
      <c r="G894" s="171">
        <v>50</v>
      </c>
      <c r="H894" s="172"/>
      <c r="I894" s="173"/>
      <c r="J894" s="173"/>
      <c r="K894" s="174"/>
      <c r="L894" s="175"/>
      <c r="M894" s="174"/>
      <c r="N894" s="176"/>
      <c r="O894" s="176"/>
      <c r="P894" s="173"/>
      <c r="Q894" s="177"/>
      <c r="R894" s="178"/>
      <c r="S894" s="173"/>
      <c r="T894" s="179"/>
      <c r="U894" s="145"/>
    </row>
    <row r="895" spans="1:21" ht="15" customHeight="1">
      <c r="A895" s="181" t="s">
        <v>2748</v>
      </c>
      <c r="B895" s="114" t="str">
        <f>VLOOKUP(A895,'Data pick slip'!B:F,5,FALSE)</f>
        <v>KHJ-MC400-00</v>
      </c>
      <c r="C895" s="169">
        <v>110874</v>
      </c>
      <c r="D895" s="169" t="str">
        <f>VLOOKUP(C895,Stock_list!D:L,2,FALSE)</f>
        <v>Shenzhen 伯莱科</v>
      </c>
      <c r="E895" s="281">
        <f>VLOOKUP(C895,Stock_list!D:L,9,FALSE)</f>
        <v>44702</v>
      </c>
      <c r="F895" s="170" t="s">
        <v>1381</v>
      </c>
      <c r="G895" s="171">
        <v>20</v>
      </c>
      <c r="H895" s="172"/>
      <c r="I895" s="173"/>
      <c r="J895" s="173"/>
      <c r="K895" s="174"/>
      <c r="L895" s="175"/>
      <c r="M895" s="174"/>
      <c r="N895" s="176"/>
      <c r="O895" s="176"/>
      <c r="P895" s="173"/>
      <c r="Q895" s="177"/>
      <c r="R895" s="178"/>
      <c r="S895" s="173"/>
      <c r="T895" s="179"/>
      <c r="U895" s="145"/>
    </row>
    <row r="896" spans="1:21" ht="15" customHeight="1">
      <c r="A896" s="181" t="s">
        <v>2744</v>
      </c>
      <c r="B896" s="114" t="str">
        <f>VLOOKUP(A896,'Data pick slip'!B:F,5,FALSE)</f>
        <v>KHJ-MC100-00</v>
      </c>
      <c r="C896" s="169">
        <v>110883</v>
      </c>
      <c r="D896" s="169" t="str">
        <f>VLOOKUP(C896,Stock_list!D:L,2,FALSE)</f>
        <v>拓普艾名义</v>
      </c>
      <c r="E896" s="281">
        <f>VLOOKUP(C896,Stock_list!D:L,9,FALSE)</f>
        <v>44704</v>
      </c>
      <c r="F896" s="170" t="s">
        <v>1381</v>
      </c>
      <c r="G896" s="171">
        <v>150</v>
      </c>
      <c r="H896" s="172"/>
      <c r="I896" s="173"/>
      <c r="J896" s="173"/>
      <c r="K896" s="174"/>
      <c r="L896" s="175"/>
      <c r="M896" s="174"/>
      <c r="N896" s="176"/>
      <c r="O896" s="176"/>
      <c r="P896" s="173"/>
      <c r="Q896" s="177"/>
      <c r="R896" s="178"/>
      <c r="S896" s="173"/>
      <c r="T896" s="179"/>
      <c r="U896" s="145"/>
    </row>
    <row r="897" spans="1:21" ht="15" customHeight="1">
      <c r="A897" s="181" t="s">
        <v>2747</v>
      </c>
      <c r="B897" s="114" t="str">
        <f>VLOOKUP(A897,'Data pick slip'!B:F,5,FALSE)</f>
        <v>KHJ-MC200-00</v>
      </c>
      <c r="C897" s="169">
        <v>110883</v>
      </c>
      <c r="D897" s="169" t="str">
        <f>VLOOKUP(C897,Stock_list!D:L,2,FALSE)</f>
        <v>拓普艾名义</v>
      </c>
      <c r="E897" s="281">
        <f>VLOOKUP(C897,Stock_list!D:L,9,FALSE)</f>
        <v>44704</v>
      </c>
      <c r="F897" s="170" t="s">
        <v>1381</v>
      </c>
      <c r="G897" s="171">
        <v>30</v>
      </c>
      <c r="H897" s="172"/>
      <c r="I897" s="173"/>
      <c r="J897" s="173"/>
      <c r="K897" s="174"/>
      <c r="L897" s="175"/>
      <c r="M897" s="174"/>
      <c r="N897" s="176"/>
      <c r="O897" s="176"/>
      <c r="P897" s="173"/>
      <c r="Q897" s="177"/>
      <c r="R897" s="178"/>
      <c r="S897" s="173"/>
      <c r="T897" s="179"/>
      <c r="U897" s="145"/>
    </row>
    <row r="898" spans="1:21" ht="15" customHeight="1">
      <c r="A898" s="159" t="s">
        <v>2744</v>
      </c>
      <c r="B898" s="114" t="str">
        <f>VLOOKUP(A898,'Data pick slip'!B:F,5,FALSE)</f>
        <v>KHJ-MC100-00</v>
      </c>
      <c r="C898" s="169"/>
      <c r="D898" s="169"/>
      <c r="E898" s="281" t="s">
        <v>2975</v>
      </c>
      <c r="F898" s="170" t="s">
        <v>2753</v>
      </c>
      <c r="G898" s="171">
        <v>20</v>
      </c>
      <c r="H898" s="172"/>
      <c r="I898" s="173"/>
      <c r="J898" s="173"/>
      <c r="K898" s="174"/>
      <c r="L898" s="175"/>
      <c r="M898" s="174"/>
      <c r="N898" s="176"/>
      <c r="O898" s="176"/>
      <c r="P898" s="173"/>
      <c r="Q898" s="177"/>
      <c r="R898" s="178"/>
      <c r="S898" s="173"/>
      <c r="T898" s="179"/>
      <c r="U898" s="145"/>
    </row>
    <row r="899" spans="1:21" ht="15" customHeight="1">
      <c r="A899" s="159" t="s">
        <v>2747</v>
      </c>
      <c r="B899" s="114" t="str">
        <f>VLOOKUP(A899,'Data pick slip'!B:F,5,FALSE)</f>
        <v>KHJ-MC200-00</v>
      </c>
      <c r="C899" s="169"/>
      <c r="D899" s="169"/>
      <c r="E899" s="281" t="s">
        <v>2975</v>
      </c>
      <c r="F899" s="170" t="s">
        <v>2753</v>
      </c>
      <c r="G899" s="171">
        <v>15</v>
      </c>
      <c r="H899" s="172"/>
      <c r="I899" s="173"/>
      <c r="J899" s="173"/>
      <c r="K899" s="174"/>
      <c r="L899" s="175"/>
      <c r="M899" s="174"/>
      <c r="N899" s="176"/>
      <c r="O899" s="176"/>
      <c r="P899" s="173"/>
      <c r="Q899" s="177"/>
      <c r="R899" s="178"/>
      <c r="S899" s="173"/>
      <c r="T899" s="179"/>
      <c r="U899" s="145"/>
    </row>
    <row r="900" spans="1:21" ht="15" customHeight="1">
      <c r="A900" s="159" t="s">
        <v>2748</v>
      </c>
      <c r="B900" s="114" t="str">
        <f>VLOOKUP(A900,'Data pick slip'!B:F,5,FALSE)</f>
        <v>KHJ-MC400-00</v>
      </c>
      <c r="C900" s="169"/>
      <c r="D900" s="169"/>
      <c r="E900" s="281" t="s">
        <v>2975</v>
      </c>
      <c r="F900" s="170" t="s">
        <v>2753</v>
      </c>
      <c r="G900" s="171">
        <v>10</v>
      </c>
      <c r="H900" s="172"/>
      <c r="I900" s="173"/>
      <c r="J900" s="173"/>
      <c r="K900" s="174"/>
      <c r="L900" s="175"/>
      <c r="M900" s="174"/>
      <c r="N900" s="176"/>
      <c r="O900" s="176"/>
      <c r="P900" s="173"/>
      <c r="Q900" s="177"/>
      <c r="R900" s="178"/>
      <c r="S900" s="173"/>
      <c r="T900" s="179"/>
      <c r="U900" s="145"/>
    </row>
    <row r="901" spans="1:21" ht="15" customHeight="1">
      <c r="A901" s="159" t="s">
        <v>2750</v>
      </c>
      <c r="B901" s="114" t="str">
        <f>VLOOKUP(A901,'Data pick slip'!B:F,5,FALSE)</f>
        <v>KHJ-MC600-00</v>
      </c>
      <c r="C901" s="169"/>
      <c r="D901" s="169"/>
      <c r="E901" s="281" t="s">
        <v>2975</v>
      </c>
      <c r="F901" s="170" t="s">
        <v>2753</v>
      </c>
      <c r="G901" s="171">
        <v>2</v>
      </c>
      <c r="H901" s="172"/>
      <c r="I901" s="173"/>
      <c r="J901" s="173"/>
      <c r="K901" s="174"/>
      <c r="L901" s="175"/>
      <c r="M901" s="174"/>
      <c r="N901" s="176"/>
      <c r="O901" s="176"/>
      <c r="P901" s="173"/>
      <c r="Q901" s="177"/>
      <c r="R901" s="178"/>
      <c r="S901" s="173"/>
      <c r="T901" s="179"/>
      <c r="U901" s="145"/>
    </row>
    <row r="902" spans="1:21" ht="15" customHeight="1">
      <c r="A902" s="159" t="s">
        <v>2751</v>
      </c>
      <c r="B902" s="114" t="str">
        <f>VLOOKUP(A902,'Data pick slip'!B:F,5,FALSE)</f>
        <v>KHJ-MC700-00</v>
      </c>
      <c r="C902" s="169"/>
      <c r="D902" s="169"/>
      <c r="E902" s="281" t="s">
        <v>2975</v>
      </c>
      <c r="F902" s="170" t="s">
        <v>2753</v>
      </c>
      <c r="G902" s="171">
        <v>1</v>
      </c>
      <c r="H902" s="172"/>
      <c r="I902" s="173"/>
      <c r="J902" s="173"/>
      <c r="K902" s="174"/>
      <c r="L902" s="175"/>
      <c r="M902" s="174"/>
      <c r="N902" s="176"/>
      <c r="O902" s="176"/>
      <c r="P902" s="173"/>
      <c r="Q902" s="177"/>
      <c r="R902" s="178"/>
      <c r="S902" s="173"/>
      <c r="T902" s="179"/>
      <c r="U902" s="145"/>
    </row>
    <row r="903" spans="1:21" ht="15" customHeight="1">
      <c r="A903" s="181" t="s">
        <v>2744</v>
      </c>
      <c r="B903" s="114" t="str">
        <f>VLOOKUP(A903,'Data pick slip'!B:F,5,FALSE)</f>
        <v>KHJ-MC100-00</v>
      </c>
      <c r="C903" s="169">
        <v>110519</v>
      </c>
      <c r="D903" s="169" t="str">
        <f>VLOOKUP(C903,Stock_list!D:L,2,FALSE)</f>
        <v xml:space="preserve">SINRI Supplier </v>
      </c>
      <c r="E903" s="281">
        <f>VLOOKUP(C903,Stock_list!D:L,9,FALSE)</f>
        <v>44662</v>
      </c>
      <c r="F903" s="170" t="s">
        <v>1381</v>
      </c>
      <c r="G903" s="171">
        <v>60</v>
      </c>
      <c r="H903" s="172"/>
      <c r="I903" s="173"/>
      <c r="J903" s="173"/>
      <c r="K903" s="174"/>
      <c r="L903" s="175"/>
      <c r="M903" s="174"/>
      <c r="N903" s="176"/>
      <c r="O903" s="176"/>
      <c r="P903" s="173"/>
      <c r="Q903" s="177"/>
      <c r="R903" s="178"/>
      <c r="S903" s="173"/>
      <c r="T903" s="179"/>
      <c r="U903" s="145"/>
    </row>
    <row r="904" spans="1:21" ht="24" customHeight="1">
      <c r="A904" s="181" t="s">
        <v>2744</v>
      </c>
      <c r="B904" s="114" t="str">
        <f>VLOOKUP(A904,'Data pick slip'!B:F,5,FALSE)</f>
        <v>KHJ-MC100-00</v>
      </c>
      <c r="C904" s="169" t="s">
        <v>2976</v>
      </c>
      <c r="D904" s="311" t="s">
        <v>2977</v>
      </c>
      <c r="E904" s="281" t="s">
        <v>2978</v>
      </c>
      <c r="F904" s="170" t="s">
        <v>2979</v>
      </c>
      <c r="G904" s="171">
        <v>300</v>
      </c>
      <c r="H904" s="172"/>
      <c r="I904" s="173"/>
      <c r="J904" s="173"/>
      <c r="K904" s="174"/>
      <c r="L904" s="175"/>
      <c r="M904" s="174"/>
      <c r="N904" s="176"/>
      <c r="O904" s="176"/>
      <c r="P904" s="173"/>
      <c r="Q904" s="177"/>
      <c r="R904" s="178"/>
      <c r="S904" s="173"/>
      <c r="T904" s="179"/>
      <c r="U904" s="145"/>
    </row>
    <row r="905" spans="1:21" ht="21" customHeight="1">
      <c r="A905" s="181" t="s">
        <v>2747</v>
      </c>
      <c r="B905" s="114" t="str">
        <f>VLOOKUP(A905,'Data pick slip'!B:F,5,FALSE)</f>
        <v>KHJ-MC200-00</v>
      </c>
      <c r="C905" s="169" t="s">
        <v>2976</v>
      </c>
      <c r="D905" s="311" t="s">
        <v>2977</v>
      </c>
      <c r="E905" s="281" t="s">
        <v>2978</v>
      </c>
      <c r="F905" s="170" t="s">
        <v>2979</v>
      </c>
      <c r="G905" s="171">
        <v>100</v>
      </c>
      <c r="H905" s="172"/>
      <c r="I905" s="173"/>
      <c r="J905" s="173"/>
      <c r="K905" s="174"/>
      <c r="L905" s="175"/>
      <c r="M905" s="174"/>
      <c r="N905" s="176"/>
      <c r="O905" s="176"/>
      <c r="P905" s="173"/>
      <c r="Q905" s="177"/>
      <c r="R905" s="178"/>
      <c r="S905" s="173"/>
      <c r="T905" s="179"/>
      <c r="U905" s="145"/>
    </row>
    <row r="906" spans="1:21" ht="21.75" customHeight="1">
      <c r="A906" s="181" t="s">
        <v>2748</v>
      </c>
      <c r="B906" s="114" t="str">
        <f>VLOOKUP(A906,'Data pick slip'!B:F,5,FALSE)</f>
        <v>KHJ-MC400-00</v>
      </c>
      <c r="C906" s="169" t="s">
        <v>2976</v>
      </c>
      <c r="D906" s="311" t="s">
        <v>2977</v>
      </c>
      <c r="E906" s="281" t="s">
        <v>2978</v>
      </c>
      <c r="F906" s="170" t="s">
        <v>2979</v>
      </c>
      <c r="G906" s="171">
        <v>50</v>
      </c>
      <c r="H906" s="172"/>
      <c r="I906" s="173"/>
      <c r="J906" s="173"/>
      <c r="K906" s="174"/>
      <c r="L906" s="175"/>
      <c r="M906" s="174"/>
      <c r="N906" s="176"/>
      <c r="O906" s="176"/>
      <c r="P906" s="173"/>
      <c r="Q906" s="177"/>
      <c r="R906" s="178"/>
      <c r="S906" s="173"/>
      <c r="T906" s="179"/>
      <c r="U906" s="145"/>
    </row>
    <row r="907" spans="1:21" ht="22.5" customHeight="1">
      <c r="A907" s="181" t="s">
        <v>2749</v>
      </c>
      <c r="B907" s="114" t="str">
        <f>VLOOKUP(A907,'Data pick slip'!B:F,5,FALSE)</f>
        <v>KHJ-MC500-00</v>
      </c>
      <c r="C907" s="169" t="s">
        <v>2976</v>
      </c>
      <c r="D907" s="311" t="s">
        <v>2977</v>
      </c>
      <c r="E907" s="281" t="s">
        <v>2978</v>
      </c>
      <c r="F907" s="170" t="s">
        <v>2979</v>
      </c>
      <c r="G907" s="171">
        <v>20</v>
      </c>
      <c r="H907" s="172"/>
      <c r="I907" s="173"/>
      <c r="J907" s="173"/>
      <c r="K907" s="174"/>
      <c r="L907" s="175"/>
      <c r="M907" s="174"/>
      <c r="N907" s="176"/>
      <c r="O907" s="176"/>
      <c r="P907" s="173"/>
      <c r="Q907" s="177"/>
      <c r="R907" s="178"/>
      <c r="S907" s="173"/>
      <c r="T907" s="179"/>
      <c r="U907" s="145"/>
    </row>
    <row r="908" spans="1:21" ht="23.25" customHeight="1">
      <c r="A908" s="181" t="s">
        <v>2750</v>
      </c>
      <c r="B908" s="114" t="str">
        <f>VLOOKUP(A908,'Data pick slip'!B:F,5,FALSE)</f>
        <v>KHJ-MC600-00</v>
      </c>
      <c r="C908" s="169" t="s">
        <v>2976</v>
      </c>
      <c r="D908" s="311" t="s">
        <v>2977</v>
      </c>
      <c r="E908" s="281" t="s">
        <v>2978</v>
      </c>
      <c r="F908" s="170" t="s">
        <v>2979</v>
      </c>
      <c r="G908" s="171">
        <v>20</v>
      </c>
      <c r="H908" s="172"/>
      <c r="I908" s="173"/>
      <c r="J908" s="173"/>
      <c r="K908" s="174"/>
      <c r="L908" s="175"/>
      <c r="M908" s="174"/>
      <c r="N908" s="176"/>
      <c r="O908" s="176"/>
      <c r="P908" s="173"/>
      <c r="Q908" s="177"/>
      <c r="R908" s="178"/>
      <c r="S908" s="173"/>
      <c r="T908" s="179"/>
      <c r="U908" s="145"/>
    </row>
    <row r="909" spans="1:21" ht="20.25" customHeight="1">
      <c r="A909" s="181" t="s">
        <v>2751</v>
      </c>
      <c r="B909" s="114" t="str">
        <f>VLOOKUP(A909,'Data pick slip'!B:F,5,FALSE)</f>
        <v>KHJ-MC700-00</v>
      </c>
      <c r="C909" s="169" t="s">
        <v>2976</v>
      </c>
      <c r="D909" s="311" t="s">
        <v>2977</v>
      </c>
      <c r="E909" s="281" t="s">
        <v>2978</v>
      </c>
      <c r="F909" s="170" t="s">
        <v>2979</v>
      </c>
      <c r="G909" s="171">
        <v>2</v>
      </c>
      <c r="H909" s="172"/>
      <c r="I909" s="173"/>
      <c r="J909" s="173"/>
      <c r="K909" s="174"/>
      <c r="L909" s="175"/>
      <c r="M909" s="174"/>
      <c r="N909" s="176"/>
      <c r="O909" s="176"/>
      <c r="P909" s="173"/>
      <c r="Q909" s="177"/>
      <c r="R909" s="178"/>
      <c r="S909" s="173"/>
      <c r="T909" s="179"/>
      <c r="U909" s="145"/>
    </row>
    <row r="910" spans="1:21" ht="15" customHeight="1">
      <c r="A910" s="181" t="s">
        <v>2744</v>
      </c>
      <c r="B910" s="114" t="str">
        <f>VLOOKUP(A910,'Data pick slip'!B:F,5,FALSE)</f>
        <v>KHJ-MC100-00</v>
      </c>
      <c r="C910" s="169"/>
      <c r="D910" s="169"/>
      <c r="E910" s="281" t="s">
        <v>2980</v>
      </c>
      <c r="F910" s="170" t="s">
        <v>2753</v>
      </c>
      <c r="G910" s="171">
        <v>30</v>
      </c>
      <c r="H910" s="172"/>
      <c r="I910" s="173"/>
      <c r="J910" s="173"/>
      <c r="K910" s="174"/>
      <c r="L910" s="175"/>
      <c r="M910" s="174"/>
      <c r="N910" s="176"/>
      <c r="O910" s="176"/>
      <c r="P910" s="173"/>
      <c r="Q910" s="177"/>
      <c r="R910" s="178"/>
      <c r="S910" s="173"/>
      <c r="T910" s="179"/>
      <c r="U910" s="145"/>
    </row>
    <row r="911" spans="1:21" ht="15" customHeight="1">
      <c r="A911" s="181" t="s">
        <v>2747</v>
      </c>
      <c r="B911" s="114" t="str">
        <f>VLOOKUP(A911,'Data pick slip'!B:F,5,FALSE)</f>
        <v>KHJ-MC200-00</v>
      </c>
      <c r="C911" s="169"/>
      <c r="D911" s="169"/>
      <c r="E911" s="281" t="s">
        <v>2980</v>
      </c>
      <c r="F911" s="170" t="s">
        <v>2753</v>
      </c>
      <c r="G911" s="171">
        <v>20</v>
      </c>
      <c r="H911" s="172"/>
      <c r="I911" s="173"/>
      <c r="J911" s="173"/>
      <c r="K911" s="174"/>
      <c r="L911" s="175"/>
      <c r="M911" s="174"/>
      <c r="N911" s="176"/>
      <c r="O911" s="176"/>
      <c r="P911" s="173"/>
      <c r="Q911" s="177"/>
      <c r="R911" s="178"/>
      <c r="S911" s="173"/>
      <c r="T911" s="179"/>
      <c r="U911" s="145"/>
    </row>
    <row r="912" spans="1:21" ht="15" customHeight="1">
      <c r="A912" s="181" t="s">
        <v>2744</v>
      </c>
      <c r="B912" s="114" t="str">
        <f>VLOOKUP(A912,'Data pick slip'!B:F,5,FALSE)</f>
        <v>KHJ-MC100-00</v>
      </c>
      <c r="C912" s="169"/>
      <c r="D912" s="169"/>
      <c r="E912" s="281" t="s">
        <v>2981</v>
      </c>
      <c r="F912" s="170" t="s">
        <v>2753</v>
      </c>
      <c r="G912" s="171">
        <v>340</v>
      </c>
      <c r="H912" s="172"/>
      <c r="I912" s="173"/>
      <c r="J912" s="173"/>
      <c r="K912" s="174"/>
      <c r="L912" s="175"/>
      <c r="M912" s="174"/>
      <c r="N912" s="176"/>
      <c r="O912" s="176"/>
      <c r="P912" s="173"/>
      <c r="Q912" s="177"/>
      <c r="R912" s="178"/>
      <c r="S912" s="173"/>
      <c r="T912" s="179"/>
      <c r="U912" s="145"/>
    </row>
    <row r="913" spans="1:21" ht="15" customHeight="1">
      <c r="A913" s="181" t="s">
        <v>2757</v>
      </c>
      <c r="B913" s="114" t="str">
        <f>VLOOKUP(A913,'Data pick slip'!B:F,5,FALSE)</f>
        <v>KLJ-MC400-00</v>
      </c>
      <c r="C913" s="169"/>
      <c r="D913" s="169"/>
      <c r="E913" s="281" t="s">
        <v>2981</v>
      </c>
      <c r="F913" s="170" t="s">
        <v>2753</v>
      </c>
      <c r="G913" s="171">
        <v>14</v>
      </c>
      <c r="H913" s="172"/>
      <c r="I913" s="173"/>
      <c r="J913" s="173"/>
      <c r="K913" s="174"/>
      <c r="L913" s="175"/>
      <c r="M913" s="174"/>
      <c r="N913" s="176"/>
      <c r="O913" s="176"/>
      <c r="P913" s="173"/>
      <c r="Q913" s="177"/>
      <c r="R913" s="178"/>
      <c r="S913" s="173"/>
      <c r="T913" s="179"/>
      <c r="U913" s="145"/>
    </row>
    <row r="914" spans="1:21" ht="15" customHeight="1">
      <c r="A914" s="181" t="s">
        <v>2751</v>
      </c>
      <c r="B914" s="114" t="str">
        <f>VLOOKUP(A914,'Data pick slip'!B:F,5,FALSE)</f>
        <v>KHJ-MC700-00</v>
      </c>
      <c r="C914" s="169"/>
      <c r="D914" s="169"/>
      <c r="E914" s="281" t="s">
        <v>2981</v>
      </c>
      <c r="F914" s="170" t="s">
        <v>2753</v>
      </c>
      <c r="G914" s="171">
        <v>4</v>
      </c>
      <c r="H914" s="172"/>
      <c r="I914" s="173"/>
      <c r="J914" s="173"/>
      <c r="K914" s="174"/>
      <c r="L914" s="175"/>
      <c r="M914" s="174"/>
      <c r="N914" s="176"/>
      <c r="O914" s="176"/>
      <c r="P914" s="173"/>
      <c r="Q914" s="177"/>
      <c r="R914" s="178"/>
      <c r="S914" s="173"/>
      <c r="T914" s="179"/>
      <c r="U914" s="145"/>
    </row>
    <row r="915" spans="1:21" ht="15" customHeight="1">
      <c r="A915" s="181" t="s">
        <v>2752</v>
      </c>
      <c r="B915" s="114" t="str">
        <f>VLOOKUP(A915,'Data pick slip'!B:F,5,FALSE)</f>
        <v>KHJ-MC800-00</v>
      </c>
      <c r="C915" s="169"/>
      <c r="D915" s="169"/>
      <c r="E915" s="281" t="s">
        <v>2981</v>
      </c>
      <c r="F915" s="170" t="s">
        <v>2753</v>
      </c>
      <c r="G915" s="171">
        <v>2</v>
      </c>
      <c r="H915" s="172"/>
      <c r="I915" s="173"/>
      <c r="J915" s="173"/>
      <c r="K915" s="174"/>
      <c r="L915" s="175"/>
      <c r="M915" s="174"/>
      <c r="N915" s="176"/>
      <c r="O915" s="176"/>
      <c r="P915" s="173"/>
      <c r="Q915" s="177"/>
      <c r="R915" s="178"/>
      <c r="S915" s="173"/>
      <c r="T915" s="179"/>
      <c r="U915" s="145"/>
    </row>
    <row r="916" spans="1:21" ht="15" customHeight="1">
      <c r="A916" s="159" t="s">
        <v>2744</v>
      </c>
      <c r="B916" s="114" t="str">
        <f>VLOOKUP(A916,'Data pick slip'!B:F,5,FALSE)</f>
        <v>KHJ-MC100-00</v>
      </c>
      <c r="C916" s="169">
        <v>110915</v>
      </c>
      <c r="D916" s="169" t="str">
        <f>VLOOKUP(C916,Stock_list!D:L,2,FALSE)</f>
        <v>比泰利</v>
      </c>
      <c r="E916" s="281">
        <f>VLOOKUP(C916,Stock_list!D:L,9,FALSE)</f>
        <v>44756</v>
      </c>
      <c r="F916" s="170" t="s">
        <v>1381</v>
      </c>
      <c r="G916" s="171">
        <v>200</v>
      </c>
      <c r="H916" s="172"/>
      <c r="I916" s="173"/>
      <c r="J916" s="173"/>
      <c r="K916" s="174"/>
      <c r="L916" s="175"/>
      <c r="M916" s="174"/>
      <c r="N916" s="176"/>
      <c r="O916" s="176"/>
      <c r="P916" s="173"/>
      <c r="Q916" s="177"/>
      <c r="R916" s="178"/>
      <c r="S916" s="173"/>
      <c r="T916" s="179"/>
      <c r="U916" s="145"/>
    </row>
    <row r="917" spans="1:21" ht="15" customHeight="1">
      <c r="A917" s="159" t="s">
        <v>2747</v>
      </c>
      <c r="B917" s="114" t="str">
        <f>VLOOKUP(A917,'Data pick slip'!B:F,5,FALSE)</f>
        <v>KHJ-MC200-00</v>
      </c>
      <c r="C917" s="169">
        <v>110915</v>
      </c>
      <c r="D917" s="169" t="str">
        <f>VLOOKUP(C917,Stock_list!D:L,2,FALSE)</f>
        <v>比泰利</v>
      </c>
      <c r="E917" s="281">
        <f>VLOOKUP(C917,Stock_list!D:L,9,FALSE)</f>
        <v>44756</v>
      </c>
      <c r="F917" s="170" t="s">
        <v>1381</v>
      </c>
      <c r="G917" s="171">
        <v>50</v>
      </c>
      <c r="H917" s="172"/>
      <c r="I917" s="173"/>
      <c r="J917" s="173"/>
      <c r="K917" s="174"/>
      <c r="L917" s="175"/>
      <c r="M917" s="174"/>
      <c r="N917" s="176"/>
      <c r="O917" s="176"/>
      <c r="P917" s="173"/>
      <c r="Q917" s="177"/>
      <c r="R917" s="178"/>
      <c r="S917" s="173"/>
      <c r="T917" s="179"/>
      <c r="U917" s="145"/>
    </row>
    <row r="918" spans="1:21" ht="15" customHeight="1">
      <c r="A918" s="159" t="s">
        <v>2748</v>
      </c>
      <c r="B918" s="114" t="str">
        <f>VLOOKUP(A918,'Data pick slip'!B:F,5,FALSE)</f>
        <v>KHJ-MC400-00</v>
      </c>
      <c r="C918" s="169">
        <v>110915</v>
      </c>
      <c r="D918" s="169" t="str">
        <f>VLOOKUP(C918,Stock_list!D:L,2,FALSE)</f>
        <v>比泰利</v>
      </c>
      <c r="E918" s="281">
        <f>VLOOKUP(C918,Stock_list!D:L,9,FALSE)</f>
        <v>44756</v>
      </c>
      <c r="F918" s="170" t="s">
        <v>1381</v>
      </c>
      <c r="G918" s="171">
        <v>20</v>
      </c>
      <c r="H918" s="172"/>
      <c r="I918" s="173"/>
      <c r="J918" s="173"/>
      <c r="K918" s="174"/>
      <c r="L918" s="175"/>
      <c r="M918" s="174"/>
      <c r="N918" s="176"/>
      <c r="O918" s="176"/>
      <c r="P918" s="173"/>
      <c r="Q918" s="177"/>
      <c r="R918" s="178"/>
      <c r="S918" s="173"/>
      <c r="T918" s="179"/>
      <c r="U918" s="145"/>
    </row>
    <row r="919" spans="1:21" ht="15" customHeight="1">
      <c r="A919" s="181" t="s">
        <v>2749</v>
      </c>
      <c r="B919" s="114" t="str">
        <f>VLOOKUP(A919,'Data pick slip'!B:F,5,FALSE)</f>
        <v>KHJ-MC500-00</v>
      </c>
      <c r="C919" s="169">
        <v>110915</v>
      </c>
      <c r="D919" s="169" t="str">
        <f>VLOOKUP(C919,Stock_list!D:L,2,FALSE)</f>
        <v>比泰利</v>
      </c>
      <c r="E919" s="281">
        <f>VLOOKUP(C919,Stock_list!D:L,9,FALSE)</f>
        <v>44756</v>
      </c>
      <c r="F919" s="170" t="s">
        <v>1381</v>
      </c>
      <c r="G919" s="171">
        <v>20</v>
      </c>
      <c r="H919" s="172"/>
      <c r="I919" s="173"/>
      <c r="J919" s="173"/>
      <c r="K919" s="174"/>
      <c r="L919" s="175"/>
      <c r="M919" s="174"/>
      <c r="N919" s="176"/>
      <c r="O919" s="176"/>
      <c r="P919" s="173"/>
      <c r="Q919" s="177"/>
      <c r="R919" s="178"/>
      <c r="S919" s="173"/>
      <c r="T919" s="179"/>
      <c r="U919" s="145"/>
    </row>
    <row r="920" spans="1:21" ht="15" customHeight="1">
      <c r="A920" s="181" t="s">
        <v>2750</v>
      </c>
      <c r="B920" s="114" t="str">
        <f>VLOOKUP(A920,'Data pick slip'!B:F,5,FALSE)</f>
        <v>KHJ-MC600-00</v>
      </c>
      <c r="C920" s="169">
        <v>110915</v>
      </c>
      <c r="D920" s="169" t="str">
        <f>VLOOKUP(C920,Stock_list!D:L,2,FALSE)</f>
        <v>比泰利</v>
      </c>
      <c r="E920" s="281">
        <f>VLOOKUP(C920,Stock_list!D:L,9,FALSE)</f>
        <v>44756</v>
      </c>
      <c r="F920" s="170" t="s">
        <v>1381</v>
      </c>
      <c r="G920" s="171">
        <v>10</v>
      </c>
      <c r="H920" s="172"/>
      <c r="I920" s="173"/>
      <c r="J920" s="173"/>
      <c r="K920" s="174"/>
      <c r="L920" s="175"/>
      <c r="M920" s="174"/>
      <c r="N920" s="176"/>
      <c r="O920" s="176"/>
      <c r="P920" s="173"/>
      <c r="Q920" s="177"/>
      <c r="R920" s="178"/>
      <c r="S920" s="173"/>
      <c r="T920" s="179"/>
      <c r="U920" s="145"/>
    </row>
    <row r="921" spans="1:21" ht="15" customHeight="1">
      <c r="A921" s="181" t="s">
        <v>2751</v>
      </c>
      <c r="B921" s="114" t="str">
        <f>VLOOKUP(A921,'Data pick slip'!B:F,5,FALSE)</f>
        <v>KHJ-MC700-00</v>
      </c>
      <c r="C921" s="169">
        <v>110915</v>
      </c>
      <c r="D921" s="169" t="str">
        <f>VLOOKUP(C921,Stock_list!D:L,2,FALSE)</f>
        <v>比泰利</v>
      </c>
      <c r="E921" s="281">
        <f>VLOOKUP(C921,Stock_list!D:L,9,FALSE)</f>
        <v>44756</v>
      </c>
      <c r="F921" s="170" t="s">
        <v>1381</v>
      </c>
      <c r="G921" s="171">
        <v>8</v>
      </c>
      <c r="H921" s="172"/>
      <c r="I921" s="173"/>
      <c r="J921" s="173"/>
      <c r="K921" s="174"/>
      <c r="L921" s="175"/>
      <c r="M921" s="174"/>
      <c r="N921" s="176"/>
      <c r="O921" s="176"/>
      <c r="P921" s="173"/>
      <c r="Q921" s="177"/>
      <c r="R921" s="178"/>
      <c r="S921" s="173"/>
      <c r="T921" s="179"/>
      <c r="U921" s="145"/>
    </row>
    <row r="922" spans="1:21" ht="15" customHeight="1">
      <c r="A922" s="159" t="s">
        <v>2744</v>
      </c>
      <c r="B922" s="114" t="str">
        <f>VLOOKUP(A922,'Data pick slip'!B:F,5,FALSE)</f>
        <v>KHJ-MC100-00</v>
      </c>
      <c r="C922" s="169">
        <v>110916</v>
      </c>
      <c r="D922" s="169" t="str">
        <f>VLOOKUP(C922,Stock_list!D:L,2,FALSE)</f>
        <v xml:space="preserve"> SZ 中润互联</v>
      </c>
      <c r="E922" s="281">
        <f>VLOOKUP(C922,Stock_list!D:L,9,FALSE)</f>
        <v>44746</v>
      </c>
      <c r="F922" s="170" t="s">
        <v>1381</v>
      </c>
      <c r="G922" s="171">
        <v>200</v>
      </c>
      <c r="H922" s="172"/>
      <c r="I922" s="173"/>
      <c r="J922" s="173"/>
      <c r="K922" s="174"/>
      <c r="L922" s="175"/>
      <c r="M922" s="174"/>
      <c r="N922" s="176"/>
      <c r="O922" s="176"/>
      <c r="P922" s="173"/>
      <c r="Q922" s="177"/>
      <c r="R922" s="178"/>
      <c r="S922" s="173"/>
      <c r="T922" s="179"/>
      <c r="U922" s="145"/>
    </row>
    <row r="923" spans="1:21" ht="15" customHeight="1">
      <c r="A923" s="159" t="s">
        <v>2747</v>
      </c>
      <c r="B923" s="114" t="str">
        <f>VLOOKUP(A923,'Data pick slip'!B:F,5,FALSE)</f>
        <v>KHJ-MC200-00</v>
      </c>
      <c r="C923" s="169">
        <v>110916</v>
      </c>
      <c r="D923" s="169" t="str">
        <f>VLOOKUP(C923,Stock_list!D:L,2,FALSE)</f>
        <v xml:space="preserve"> SZ 中润互联</v>
      </c>
      <c r="E923" s="281">
        <f>VLOOKUP(C923,Stock_list!D:L,9,FALSE)</f>
        <v>44746</v>
      </c>
      <c r="F923" s="170" t="s">
        <v>1381</v>
      </c>
      <c r="G923" s="171">
        <v>20</v>
      </c>
      <c r="H923" s="172"/>
      <c r="I923" s="173"/>
      <c r="J923" s="173"/>
      <c r="K923" s="174"/>
      <c r="L923" s="175"/>
      <c r="M923" s="174"/>
      <c r="N923" s="176"/>
      <c r="O923" s="176"/>
      <c r="P923" s="173"/>
      <c r="Q923" s="177"/>
      <c r="R923" s="178"/>
      <c r="S923" s="173"/>
      <c r="T923" s="179"/>
      <c r="U923" s="145"/>
    </row>
    <row r="924" spans="1:21" ht="15" customHeight="1">
      <c r="A924" s="159" t="s">
        <v>2748</v>
      </c>
      <c r="B924" s="114" t="str">
        <f>VLOOKUP(A924,'Data pick slip'!B:F,5,FALSE)</f>
        <v>KHJ-MC400-00</v>
      </c>
      <c r="C924" s="169">
        <v>110916</v>
      </c>
      <c r="D924" s="169" t="str">
        <f>VLOOKUP(C924,Stock_list!D:L,2,FALSE)</f>
        <v xml:space="preserve"> SZ 中润互联</v>
      </c>
      <c r="E924" s="281">
        <f>VLOOKUP(C924,Stock_list!D:L,9,FALSE)</f>
        <v>44746</v>
      </c>
      <c r="F924" s="170" t="s">
        <v>1381</v>
      </c>
      <c r="G924" s="171">
        <v>20</v>
      </c>
      <c r="H924" s="172"/>
      <c r="I924" s="173"/>
      <c r="J924" s="173"/>
      <c r="K924" s="174"/>
      <c r="L924" s="175"/>
      <c r="M924" s="174"/>
      <c r="N924" s="176"/>
      <c r="O924" s="176"/>
      <c r="P924" s="173"/>
      <c r="Q924" s="177"/>
      <c r="R924" s="178"/>
      <c r="S924" s="173"/>
      <c r="T924" s="179"/>
      <c r="U924" s="145"/>
    </row>
    <row r="925" spans="1:21" ht="15" customHeight="1">
      <c r="A925" s="181" t="s">
        <v>2749</v>
      </c>
      <c r="B925" s="114" t="str">
        <f>VLOOKUP(A925,'Data pick slip'!B:F,5,FALSE)</f>
        <v>KHJ-MC500-00</v>
      </c>
      <c r="C925" s="169">
        <v>110916</v>
      </c>
      <c r="D925" s="169" t="str">
        <f>VLOOKUP(C925,Stock_list!D:L,2,FALSE)</f>
        <v xml:space="preserve"> SZ 中润互联</v>
      </c>
      <c r="E925" s="281">
        <f>VLOOKUP(C925,Stock_list!D:L,9,FALSE)</f>
        <v>44746</v>
      </c>
      <c r="F925" s="170" t="s">
        <v>1381</v>
      </c>
      <c r="G925" s="171">
        <v>10</v>
      </c>
      <c r="H925" s="172"/>
      <c r="I925" s="173"/>
      <c r="J925" s="173"/>
      <c r="K925" s="174"/>
      <c r="L925" s="175"/>
      <c r="M925" s="174"/>
      <c r="N925" s="176"/>
      <c r="O925" s="176"/>
      <c r="P925" s="173"/>
      <c r="Q925" s="177"/>
      <c r="R925" s="178"/>
      <c r="S925" s="173"/>
      <c r="T925" s="179"/>
      <c r="U925" s="145"/>
    </row>
    <row r="926" spans="1:21" ht="15" customHeight="1">
      <c r="A926" s="159" t="s">
        <v>2744</v>
      </c>
      <c r="B926" s="114" t="str">
        <f>VLOOKUP(A926,'Data pick slip'!B:F,5,FALSE)</f>
        <v>KHJ-MC100-00</v>
      </c>
      <c r="C926" s="169">
        <v>110917</v>
      </c>
      <c r="D926" s="169" t="str">
        <f>VLOOKUP(C926,Stock_list!D:L,2,FALSE)</f>
        <v>东莞鸿楠</v>
      </c>
      <c r="E926" s="281">
        <f>VLOOKUP(C926,Stock_list!D:L,9,FALSE)</f>
        <v>44746</v>
      </c>
      <c r="F926" s="170" t="s">
        <v>1381</v>
      </c>
      <c r="G926" s="171">
        <v>200</v>
      </c>
      <c r="H926" s="172"/>
      <c r="I926" s="173"/>
      <c r="J926" s="173"/>
      <c r="K926" s="174"/>
      <c r="L926" s="175"/>
      <c r="M926" s="174"/>
      <c r="N926" s="176"/>
      <c r="O926" s="176"/>
      <c r="P926" s="173"/>
      <c r="Q926" s="177"/>
      <c r="R926" s="178"/>
      <c r="S926" s="173"/>
      <c r="T926" s="179"/>
      <c r="U926" s="145"/>
    </row>
    <row r="927" spans="1:21" ht="15" customHeight="1">
      <c r="A927" s="159" t="s">
        <v>2747</v>
      </c>
      <c r="B927" s="114" t="str">
        <f>VLOOKUP(A927,'Data pick slip'!B:F,5,FALSE)</f>
        <v>KHJ-MC200-00</v>
      </c>
      <c r="C927" s="169">
        <v>110917</v>
      </c>
      <c r="D927" s="169" t="str">
        <f>VLOOKUP(C927,Stock_list!D:L,2,FALSE)</f>
        <v>东莞鸿楠</v>
      </c>
      <c r="E927" s="281">
        <f>VLOOKUP(C927,Stock_list!D:L,9,FALSE)</f>
        <v>44746</v>
      </c>
      <c r="F927" s="170" t="s">
        <v>1381</v>
      </c>
      <c r="G927" s="171">
        <v>50</v>
      </c>
      <c r="H927" s="172"/>
      <c r="I927" s="173"/>
      <c r="J927" s="173"/>
      <c r="K927" s="174"/>
      <c r="L927" s="175"/>
      <c r="M927" s="174"/>
      <c r="N927" s="176"/>
      <c r="O927" s="176"/>
      <c r="P927" s="173"/>
      <c r="Q927" s="177"/>
      <c r="R927" s="178"/>
      <c r="S927" s="173"/>
      <c r="T927" s="179"/>
      <c r="U927" s="145"/>
    </row>
    <row r="928" spans="1:21" ht="15" customHeight="1">
      <c r="A928" s="159" t="s">
        <v>2748</v>
      </c>
      <c r="B928" s="114" t="str">
        <f>VLOOKUP(A928,'Data pick slip'!B:F,5,FALSE)</f>
        <v>KHJ-MC400-00</v>
      </c>
      <c r="C928" s="169">
        <v>110917</v>
      </c>
      <c r="D928" s="169" t="str">
        <f>VLOOKUP(C928,Stock_list!D:L,2,FALSE)</f>
        <v>东莞鸿楠</v>
      </c>
      <c r="E928" s="281">
        <f>VLOOKUP(C928,Stock_list!D:L,9,FALSE)</f>
        <v>44746</v>
      </c>
      <c r="F928" s="170" t="s">
        <v>1381</v>
      </c>
      <c r="G928" s="171">
        <v>20</v>
      </c>
      <c r="H928" s="172"/>
      <c r="I928" s="173"/>
      <c r="J928" s="173"/>
      <c r="K928" s="174"/>
      <c r="L928" s="175"/>
      <c r="M928" s="174"/>
      <c r="N928" s="176"/>
      <c r="O928" s="176"/>
      <c r="P928" s="173"/>
      <c r="Q928" s="177"/>
      <c r="R928" s="178"/>
      <c r="S928" s="173"/>
      <c r="T928" s="179"/>
      <c r="U928" s="145"/>
    </row>
    <row r="929" spans="1:21" ht="15" customHeight="1">
      <c r="A929" s="159" t="s">
        <v>2744</v>
      </c>
      <c r="B929" s="114" t="str">
        <f>VLOOKUP(A929,'Data pick slip'!B:F,5,FALSE)</f>
        <v>KHJ-MC100-00</v>
      </c>
      <c r="C929" s="169">
        <v>110919</v>
      </c>
      <c r="D929" s="169" t="str">
        <f>VLOOKUP(C929,Stock_list!D:L,2,FALSE)</f>
        <v>深圳朗特</v>
      </c>
      <c r="E929" s="281">
        <f>VLOOKUP(C929,Stock_list!D:L,9,FALSE)</f>
        <v>44739</v>
      </c>
      <c r="F929" s="170" t="s">
        <v>1381</v>
      </c>
      <c r="G929" s="171">
        <v>200</v>
      </c>
      <c r="H929" s="172"/>
      <c r="I929" s="173"/>
      <c r="J929" s="173"/>
      <c r="K929" s="174"/>
      <c r="L929" s="175"/>
      <c r="M929" s="174"/>
      <c r="N929" s="176"/>
      <c r="O929" s="176"/>
      <c r="P929" s="173"/>
      <c r="Q929" s="177"/>
      <c r="R929" s="178"/>
      <c r="S929" s="173"/>
      <c r="T929" s="179"/>
      <c r="U929" s="145"/>
    </row>
    <row r="930" spans="1:21" ht="15" customHeight="1">
      <c r="A930" s="159" t="s">
        <v>2747</v>
      </c>
      <c r="B930" s="114" t="str">
        <f>VLOOKUP(A930,'Data pick slip'!B:F,5,FALSE)</f>
        <v>KHJ-MC200-00</v>
      </c>
      <c r="C930" s="169">
        <v>110919</v>
      </c>
      <c r="D930" s="169" t="str">
        <f>VLOOKUP(C930,Stock_list!D:L,2,FALSE)</f>
        <v>深圳朗特</v>
      </c>
      <c r="E930" s="281">
        <f>VLOOKUP(C930,Stock_list!D:L,9,FALSE)</f>
        <v>44739</v>
      </c>
      <c r="F930" s="170" t="s">
        <v>1381</v>
      </c>
      <c r="G930" s="171">
        <v>70</v>
      </c>
      <c r="H930" s="172"/>
      <c r="I930" s="173"/>
      <c r="J930" s="173"/>
      <c r="K930" s="174"/>
      <c r="L930" s="175"/>
      <c r="M930" s="174"/>
      <c r="N930" s="176"/>
      <c r="O930" s="176"/>
      <c r="P930" s="173"/>
      <c r="Q930" s="177"/>
      <c r="R930" s="178"/>
      <c r="S930" s="173"/>
      <c r="T930" s="179"/>
      <c r="U930" s="145"/>
    </row>
    <row r="931" spans="1:21" ht="15" customHeight="1">
      <c r="A931" s="159" t="s">
        <v>2755</v>
      </c>
      <c r="B931" s="114" t="str">
        <f>VLOOKUP(A931,'Data pick slip'!B:F,5,FALSE)</f>
        <v>KLJ-MC100-00</v>
      </c>
      <c r="C931" s="169">
        <v>110919</v>
      </c>
      <c r="D931" s="169" t="str">
        <f>VLOOKUP(C931,Stock_list!D:L,2,FALSE)</f>
        <v>深圳朗特</v>
      </c>
      <c r="E931" s="281">
        <f>VLOOKUP(C931,Stock_list!D:L,9,FALSE)</f>
        <v>44739</v>
      </c>
      <c r="F931" s="170" t="s">
        <v>1381</v>
      </c>
      <c r="G931" s="171">
        <v>150</v>
      </c>
      <c r="H931" s="172"/>
      <c r="I931" s="173"/>
      <c r="J931" s="173"/>
      <c r="K931" s="174"/>
      <c r="L931" s="175"/>
      <c r="M931" s="174"/>
      <c r="N931" s="176"/>
      <c r="O931" s="176"/>
      <c r="P931" s="173"/>
      <c r="Q931" s="177"/>
      <c r="R931" s="178"/>
      <c r="S931" s="173"/>
      <c r="T931" s="179"/>
      <c r="U931" s="145"/>
    </row>
    <row r="932" spans="1:21" ht="15" customHeight="1">
      <c r="A932" s="159" t="s">
        <v>2756</v>
      </c>
      <c r="B932" s="114" t="str">
        <f>VLOOKUP(A932,'Data pick slip'!B:F,5,FALSE)</f>
        <v>KLJ-MC200-00</v>
      </c>
      <c r="C932" s="169">
        <v>110919</v>
      </c>
      <c r="D932" s="169" t="str">
        <f>VLOOKUP(C932,Stock_list!D:L,2,FALSE)</f>
        <v>深圳朗特</v>
      </c>
      <c r="E932" s="281">
        <f>VLOOKUP(C932,Stock_list!D:L,9,FALSE)</f>
        <v>44739</v>
      </c>
      <c r="F932" s="170" t="s">
        <v>1381</v>
      </c>
      <c r="G932" s="171">
        <v>10</v>
      </c>
      <c r="H932" s="172"/>
      <c r="I932" s="173"/>
      <c r="J932" s="173"/>
      <c r="K932" s="174"/>
      <c r="L932" s="175"/>
      <c r="M932" s="174"/>
      <c r="N932" s="176"/>
      <c r="O932" s="176"/>
      <c r="P932" s="173"/>
      <c r="Q932" s="177"/>
      <c r="R932" s="178"/>
      <c r="S932" s="173"/>
      <c r="T932" s="179"/>
      <c r="U932" s="145"/>
    </row>
    <row r="933" spans="1:21" ht="15" customHeight="1">
      <c r="A933" s="159" t="s">
        <v>2744</v>
      </c>
      <c r="B933" s="114" t="str">
        <f>VLOOKUP(A933,'Data pick slip'!B:F,5,FALSE)</f>
        <v>KHJ-MC100-00</v>
      </c>
      <c r="C933" s="169">
        <v>110918</v>
      </c>
      <c r="D933" s="169" t="str">
        <f>VLOOKUP(C933,Stock_list!D:L,2,FALSE)</f>
        <v>魔乐视</v>
      </c>
      <c r="E933" s="281">
        <f>VLOOKUP(C933,Stock_list!D:L,9,FALSE)</f>
        <v>44739</v>
      </c>
      <c r="F933" s="170" t="s">
        <v>1381</v>
      </c>
      <c r="G933" s="171">
        <v>200</v>
      </c>
      <c r="H933" s="172"/>
      <c r="I933" s="173"/>
      <c r="J933" s="173"/>
      <c r="K933" s="174"/>
      <c r="L933" s="175"/>
      <c r="M933" s="174"/>
      <c r="N933" s="176"/>
      <c r="O933" s="176"/>
      <c r="P933" s="173"/>
      <c r="Q933" s="177"/>
      <c r="R933" s="178"/>
      <c r="S933" s="173"/>
      <c r="T933" s="179"/>
      <c r="U933" s="145"/>
    </row>
    <row r="934" spans="1:21" ht="15" customHeight="1">
      <c r="A934" s="159" t="s">
        <v>2747</v>
      </c>
      <c r="B934" s="114" t="str">
        <f>VLOOKUP(A934,'Data pick slip'!B:F,5,FALSE)</f>
        <v>KHJ-MC200-00</v>
      </c>
      <c r="C934" s="169">
        <v>110918</v>
      </c>
      <c r="D934" s="169" t="str">
        <f>VLOOKUP(C934,Stock_list!D:L,2,FALSE)</f>
        <v>魔乐视</v>
      </c>
      <c r="E934" s="281">
        <f>VLOOKUP(C934,Stock_list!D:L,9,FALSE)</f>
        <v>44739</v>
      </c>
      <c r="F934" s="170" t="s">
        <v>1381</v>
      </c>
      <c r="G934" s="171">
        <v>20</v>
      </c>
      <c r="H934" s="172"/>
      <c r="I934" s="173"/>
      <c r="J934" s="173"/>
      <c r="K934" s="174"/>
      <c r="L934" s="175"/>
      <c r="M934" s="174"/>
      <c r="N934" s="176"/>
      <c r="O934" s="176"/>
      <c r="P934" s="173"/>
      <c r="Q934" s="177"/>
      <c r="R934" s="178"/>
      <c r="S934" s="173"/>
      <c r="T934" s="179"/>
      <c r="U934" s="145"/>
    </row>
    <row r="935" spans="1:21" ht="15" customHeight="1">
      <c r="A935" s="159" t="s">
        <v>2744</v>
      </c>
      <c r="B935" s="114" t="str">
        <f>VLOOKUP(A935,'Data pick slip'!B:F,5,FALSE)</f>
        <v>KHJ-MC100-00</v>
      </c>
      <c r="C935" s="169">
        <v>110924</v>
      </c>
      <c r="D935" s="169" t="str">
        <f>VLOOKUP(C935,Stock_list!D:L,2,FALSE)</f>
        <v xml:space="preserve">深圳顺禾 </v>
      </c>
      <c r="E935" s="281">
        <f>VLOOKUP(C935,Stock_list!D:L,9,FALSE)</f>
        <v>44739</v>
      </c>
      <c r="F935" s="170" t="s">
        <v>1381</v>
      </c>
      <c r="G935" s="171">
        <v>50</v>
      </c>
      <c r="H935" s="172"/>
      <c r="I935" s="173"/>
      <c r="J935" s="173"/>
      <c r="K935" s="174"/>
      <c r="L935" s="175"/>
      <c r="M935" s="174"/>
      <c r="N935" s="176"/>
      <c r="O935" s="176"/>
      <c r="P935" s="173"/>
      <c r="Q935" s="177"/>
      <c r="R935" s="178"/>
      <c r="S935" s="173"/>
      <c r="T935" s="179"/>
      <c r="U935" s="145"/>
    </row>
    <row r="936" spans="1:21" ht="15" customHeight="1">
      <c r="A936" s="159" t="s">
        <v>2744</v>
      </c>
      <c r="B936" s="114" t="str">
        <f>VLOOKUP(A936,'Data pick slip'!B:F,5,FALSE)</f>
        <v>KHJ-MC100-00</v>
      </c>
      <c r="C936" s="169">
        <v>110923</v>
      </c>
      <c r="D936" s="169" t="str">
        <f>VLOOKUP(C936,Stock_list!D:L,2,FALSE)</f>
        <v>芯联鑫</v>
      </c>
      <c r="E936" s="281">
        <f>VLOOKUP(C936,Stock_list!D:L,9,FALSE)</f>
        <v>44746</v>
      </c>
      <c r="F936" s="170" t="s">
        <v>1381</v>
      </c>
      <c r="G936" s="171">
        <v>150</v>
      </c>
      <c r="H936" s="172"/>
      <c r="I936" s="173"/>
      <c r="J936" s="173"/>
      <c r="K936" s="174"/>
      <c r="L936" s="175"/>
      <c r="M936" s="174"/>
      <c r="N936" s="176"/>
      <c r="O936" s="176"/>
      <c r="P936" s="173"/>
      <c r="Q936" s="177"/>
      <c r="R936" s="178"/>
      <c r="S936" s="173"/>
      <c r="T936" s="179"/>
      <c r="U936" s="145"/>
    </row>
    <row r="937" spans="1:21" ht="15" customHeight="1">
      <c r="A937" s="159" t="s">
        <v>2747</v>
      </c>
      <c r="B937" s="114" t="str">
        <f>VLOOKUP(A937,'Data pick slip'!B:F,5,FALSE)</f>
        <v>KHJ-MC200-00</v>
      </c>
      <c r="C937" s="169">
        <v>110923</v>
      </c>
      <c r="D937" s="169" t="str">
        <f>VLOOKUP(C937,Stock_list!D:L,2,FALSE)</f>
        <v>芯联鑫</v>
      </c>
      <c r="E937" s="281">
        <f>VLOOKUP(C937,Stock_list!D:L,9,FALSE)</f>
        <v>44746</v>
      </c>
      <c r="F937" s="170" t="s">
        <v>1381</v>
      </c>
      <c r="G937" s="171">
        <v>20</v>
      </c>
      <c r="H937" s="172"/>
      <c r="I937" s="173"/>
      <c r="J937" s="173"/>
      <c r="K937" s="174"/>
      <c r="L937" s="175"/>
      <c r="M937" s="174"/>
      <c r="N937" s="176"/>
      <c r="O937" s="176"/>
      <c r="P937" s="173"/>
      <c r="Q937" s="177"/>
      <c r="R937" s="178"/>
      <c r="S937" s="173"/>
      <c r="T937" s="179"/>
      <c r="U937" s="145"/>
    </row>
    <row r="938" spans="1:21" ht="15" customHeight="1">
      <c r="A938" s="159" t="s">
        <v>2744</v>
      </c>
      <c r="B938" s="114" t="str">
        <f>VLOOKUP(A938,'Data pick slip'!B:F,5,FALSE)</f>
        <v>KHJ-MC100-00</v>
      </c>
      <c r="C938" s="169">
        <v>110922</v>
      </c>
      <c r="D938" s="169" t="str">
        <f>VLOOKUP(C938,Stock_list!D:L,2,FALSE)</f>
        <v>东莞鸿楠</v>
      </c>
      <c r="E938" s="281">
        <f>VLOOKUP(C938,Stock_list!D:L,9,FALSE)</f>
        <v>44739</v>
      </c>
      <c r="F938" s="170" t="s">
        <v>1381</v>
      </c>
      <c r="G938" s="171">
        <v>150</v>
      </c>
      <c r="H938" s="172"/>
      <c r="I938" s="173"/>
      <c r="J938" s="173"/>
      <c r="K938" s="174"/>
      <c r="L938" s="175"/>
      <c r="M938" s="174"/>
      <c r="N938" s="176"/>
      <c r="O938" s="176"/>
      <c r="P938" s="173"/>
      <c r="Q938" s="177"/>
      <c r="R938" s="178"/>
      <c r="S938" s="173"/>
      <c r="T938" s="179"/>
      <c r="U938" s="145"/>
    </row>
    <row r="939" spans="1:21" ht="15" customHeight="1">
      <c r="A939" s="159" t="s">
        <v>2747</v>
      </c>
      <c r="B939" s="114" t="str">
        <f>VLOOKUP(A939,'Data pick slip'!B:F,5,FALSE)</f>
        <v>KHJ-MC200-00</v>
      </c>
      <c r="C939" s="169">
        <v>110922</v>
      </c>
      <c r="D939" s="169" t="str">
        <f>VLOOKUP(C939,Stock_list!D:L,2,FALSE)</f>
        <v>东莞鸿楠</v>
      </c>
      <c r="E939" s="281">
        <f>VLOOKUP(C939,Stock_list!D:L,9,FALSE)</f>
        <v>44739</v>
      </c>
      <c r="F939" s="170" t="s">
        <v>1381</v>
      </c>
      <c r="G939" s="171">
        <v>50</v>
      </c>
      <c r="H939" s="172"/>
      <c r="I939" s="173"/>
      <c r="J939" s="173"/>
      <c r="K939" s="174"/>
      <c r="L939" s="175"/>
      <c r="M939" s="174"/>
      <c r="N939" s="176"/>
      <c r="O939" s="176"/>
      <c r="P939" s="173"/>
      <c r="Q939" s="177"/>
      <c r="R939" s="178"/>
      <c r="S939" s="173"/>
      <c r="T939" s="179"/>
      <c r="U939" s="145"/>
    </row>
    <row r="940" spans="1:21" ht="15" customHeight="1">
      <c r="A940" s="159" t="s">
        <v>2755</v>
      </c>
      <c r="B940" s="114" t="str">
        <f>VLOOKUP(A940,'Data pick slip'!B:F,5,FALSE)</f>
        <v>KLJ-MC100-00</v>
      </c>
      <c r="C940" s="169">
        <v>110922</v>
      </c>
      <c r="D940" s="169" t="str">
        <f>VLOOKUP(C940,Stock_list!D:L,2,FALSE)</f>
        <v>东莞鸿楠</v>
      </c>
      <c r="E940" s="281">
        <f>VLOOKUP(C940,Stock_list!D:L,9,FALSE)</f>
        <v>44739</v>
      </c>
      <c r="F940" s="170" t="s">
        <v>1381</v>
      </c>
      <c r="G940" s="171">
        <v>150</v>
      </c>
      <c r="H940" s="172"/>
      <c r="I940" s="173"/>
      <c r="J940" s="173"/>
      <c r="K940" s="174"/>
      <c r="L940" s="175"/>
      <c r="M940" s="174"/>
      <c r="N940" s="176"/>
      <c r="O940" s="176"/>
      <c r="P940" s="173"/>
      <c r="Q940" s="177"/>
      <c r="R940" s="178"/>
      <c r="S940" s="173"/>
      <c r="T940" s="179"/>
      <c r="U940" s="145"/>
    </row>
    <row r="941" spans="1:21" ht="15" customHeight="1">
      <c r="A941" s="159" t="s">
        <v>2756</v>
      </c>
      <c r="B941" s="114" t="str">
        <f>VLOOKUP(A941,'Data pick slip'!B:F,5,FALSE)</f>
        <v>KLJ-MC200-00</v>
      </c>
      <c r="C941" s="169">
        <v>110922</v>
      </c>
      <c r="D941" s="169" t="str">
        <f>VLOOKUP(C941,Stock_list!D:L,2,FALSE)</f>
        <v>东莞鸿楠</v>
      </c>
      <c r="E941" s="281">
        <f>VLOOKUP(C941,Stock_list!D:L,9,FALSE)</f>
        <v>44739</v>
      </c>
      <c r="F941" s="170" t="s">
        <v>1381</v>
      </c>
      <c r="G941" s="171">
        <v>10</v>
      </c>
      <c r="H941" s="172"/>
      <c r="I941" s="173"/>
      <c r="J941" s="173"/>
      <c r="K941" s="174"/>
      <c r="L941" s="175"/>
      <c r="M941" s="174"/>
      <c r="N941" s="176"/>
      <c r="O941" s="176"/>
      <c r="P941" s="173"/>
      <c r="Q941" s="177"/>
      <c r="R941" s="178"/>
      <c r="S941" s="173"/>
      <c r="T941" s="179"/>
      <c r="U941" s="145"/>
    </row>
    <row r="942" spans="1:21" ht="15" customHeight="1">
      <c r="A942" s="159" t="s">
        <v>2744</v>
      </c>
      <c r="B942" s="114" t="str">
        <f>VLOOKUP(A942,'Data pick slip'!B:F,5,FALSE)</f>
        <v>KHJ-MC100-00</v>
      </c>
      <c r="C942" s="169">
        <v>110921</v>
      </c>
      <c r="D942" s="169" t="str">
        <f>VLOOKUP(C942,Stock_list!D:L,2,FALSE)</f>
        <v>和创永泰</v>
      </c>
      <c r="E942" s="281">
        <f>VLOOKUP(C942,Stock_list!D:L,9,FALSE)</f>
        <v>44739</v>
      </c>
      <c r="F942" s="170" t="s">
        <v>1381</v>
      </c>
      <c r="G942" s="171">
        <v>50</v>
      </c>
      <c r="H942" s="172"/>
      <c r="I942" s="173"/>
      <c r="J942" s="173"/>
      <c r="K942" s="174"/>
      <c r="L942" s="175"/>
      <c r="M942" s="174"/>
      <c r="N942" s="176"/>
      <c r="O942" s="176"/>
      <c r="P942" s="173"/>
      <c r="Q942" s="177"/>
      <c r="R942" s="178"/>
      <c r="S942" s="173"/>
      <c r="T942" s="179"/>
      <c r="U942" s="145"/>
    </row>
    <row r="943" spans="1:21" ht="15" customHeight="1">
      <c r="A943" s="159" t="s">
        <v>2744</v>
      </c>
      <c r="B943" s="114" t="str">
        <f>VLOOKUP(A943,'Data pick slip'!B:F,5,FALSE)</f>
        <v>KHJ-MC100-00</v>
      </c>
      <c r="C943" s="169">
        <v>110920</v>
      </c>
      <c r="D943" s="169" t="str">
        <f>VLOOKUP(C943,Stock_list!D:L,2,FALSE)</f>
        <v>博睿通</v>
      </c>
      <c r="E943" s="281">
        <f>VLOOKUP(C943,Stock_list!D:L,9,FALSE)</f>
        <v>44746</v>
      </c>
      <c r="F943" s="170" t="s">
        <v>1381</v>
      </c>
      <c r="G943" s="171">
        <v>100</v>
      </c>
      <c r="H943" s="172"/>
      <c r="I943" s="173"/>
      <c r="J943" s="173"/>
      <c r="K943" s="174"/>
      <c r="L943" s="175"/>
      <c r="M943" s="174"/>
      <c r="N943" s="176"/>
      <c r="O943" s="176"/>
      <c r="P943" s="173"/>
      <c r="Q943" s="177"/>
      <c r="R943" s="178"/>
      <c r="S943" s="173"/>
      <c r="T943" s="179"/>
      <c r="U943" s="145"/>
    </row>
    <row r="944" spans="1:21" ht="15" customHeight="1">
      <c r="A944" s="159" t="s">
        <v>2747</v>
      </c>
      <c r="B944" s="114" t="str">
        <f>VLOOKUP(A944,'Data pick slip'!B:F,5,FALSE)</f>
        <v>KHJ-MC200-00</v>
      </c>
      <c r="C944" s="169">
        <v>110920</v>
      </c>
      <c r="D944" s="169" t="str">
        <f>VLOOKUP(C944,Stock_list!D:L,2,FALSE)</f>
        <v>博睿通</v>
      </c>
      <c r="E944" s="281">
        <f>VLOOKUP(C944,Stock_list!D:L,9,FALSE)</f>
        <v>44746</v>
      </c>
      <c r="F944" s="170" t="s">
        <v>1381</v>
      </c>
      <c r="G944" s="171">
        <v>20</v>
      </c>
      <c r="H944" s="172"/>
      <c r="I944" s="173"/>
      <c r="J944" s="173"/>
      <c r="K944" s="174"/>
      <c r="L944" s="175"/>
      <c r="M944" s="174"/>
      <c r="N944" s="176"/>
      <c r="O944" s="176"/>
      <c r="P944" s="173"/>
      <c r="Q944" s="177"/>
      <c r="R944" s="178"/>
      <c r="S944" s="173"/>
      <c r="T944" s="179"/>
      <c r="U944" s="145"/>
    </row>
    <row r="945" spans="1:21" ht="15" customHeight="1">
      <c r="A945" s="159" t="s">
        <v>2754</v>
      </c>
      <c r="B945" s="114" t="str">
        <f>VLOOKUP(A945,'Data pick slip'!B:F,5,FALSE)</f>
        <v>KLJ-MCN00-20</v>
      </c>
      <c r="C945" s="169">
        <v>110928</v>
      </c>
      <c r="D945" s="169" t="str">
        <f>VLOOKUP(C945,Stock_list!D:L,2,FALSE)</f>
        <v>Suining konka</v>
      </c>
      <c r="E945" s="281">
        <f>VLOOKUP(C945,Stock_list!D:L,9,FALSE)</f>
        <v>44781</v>
      </c>
      <c r="F945" s="170" t="s">
        <v>2979</v>
      </c>
      <c r="G945" s="171">
        <v>1</v>
      </c>
      <c r="H945" s="172"/>
      <c r="I945" s="173"/>
      <c r="J945" s="173"/>
      <c r="K945" s="174"/>
      <c r="L945" s="175"/>
      <c r="M945" s="174"/>
      <c r="N945" s="176"/>
      <c r="O945" s="176"/>
      <c r="P945" s="173"/>
      <c r="Q945" s="177"/>
      <c r="R945" s="178"/>
      <c r="S945" s="173"/>
      <c r="T945" s="179"/>
      <c r="U945" s="145"/>
    </row>
    <row r="946" spans="1:21" ht="15" customHeight="1">
      <c r="A946" s="159" t="s">
        <v>2744</v>
      </c>
      <c r="B946" s="114" t="str">
        <f>VLOOKUP(A946,'Data pick slip'!B:F,5,FALSE)</f>
        <v>KHJ-MC100-00</v>
      </c>
      <c r="C946" s="169">
        <v>110928</v>
      </c>
      <c r="D946" s="169" t="str">
        <f>VLOOKUP(C946,Stock_list!D:L,2,FALSE)</f>
        <v>Suining konka</v>
      </c>
      <c r="E946" s="281">
        <f>VLOOKUP(C946,Stock_list!D:L,9,FALSE)</f>
        <v>44781</v>
      </c>
      <c r="F946" s="170" t="s">
        <v>2979</v>
      </c>
      <c r="G946" s="171">
        <v>40</v>
      </c>
      <c r="H946" s="172"/>
      <c r="I946" s="173"/>
      <c r="J946" s="173"/>
      <c r="K946" s="174"/>
      <c r="L946" s="175"/>
      <c r="M946" s="174"/>
      <c r="N946" s="176"/>
      <c r="O946" s="176"/>
      <c r="P946" s="173"/>
      <c r="Q946" s="177"/>
      <c r="R946" s="178"/>
      <c r="S946" s="173"/>
      <c r="T946" s="179"/>
      <c r="U946" s="145"/>
    </row>
    <row r="947" spans="1:21" ht="15" customHeight="1">
      <c r="A947" s="159" t="s">
        <v>2747</v>
      </c>
      <c r="B947" s="114" t="str">
        <f>VLOOKUP(A947,'Data pick slip'!B:F,5,FALSE)</f>
        <v>KHJ-MC200-00</v>
      </c>
      <c r="C947" s="169">
        <v>110928</v>
      </c>
      <c r="D947" s="169" t="str">
        <f>VLOOKUP(C947,Stock_list!D:L,2,FALSE)</f>
        <v>Suining konka</v>
      </c>
      <c r="E947" s="281">
        <f>VLOOKUP(C947,Stock_list!D:L,9,FALSE)</f>
        <v>44781</v>
      </c>
      <c r="F947" s="170" t="s">
        <v>2979</v>
      </c>
      <c r="G947" s="171">
        <v>10</v>
      </c>
      <c r="H947" s="172"/>
      <c r="I947" s="173"/>
      <c r="J947" s="173"/>
      <c r="K947" s="174"/>
      <c r="L947" s="175"/>
      <c r="M947" s="174"/>
      <c r="N947" s="176"/>
      <c r="O947" s="176"/>
      <c r="P947" s="173"/>
      <c r="Q947" s="177"/>
      <c r="R947" s="178"/>
      <c r="S947" s="173"/>
      <c r="T947" s="179"/>
      <c r="U947" s="145"/>
    </row>
    <row r="948" spans="1:21" ht="15" customHeight="1">
      <c r="A948" s="159" t="s">
        <v>2748</v>
      </c>
      <c r="B948" s="114" t="str">
        <f>VLOOKUP(A948,'Data pick slip'!B:F,5,FALSE)</f>
        <v>KHJ-MC400-00</v>
      </c>
      <c r="C948" s="169">
        <v>110928</v>
      </c>
      <c r="D948" s="169" t="str">
        <f>VLOOKUP(C948,Stock_list!D:L,2,FALSE)</f>
        <v>Suining konka</v>
      </c>
      <c r="E948" s="281">
        <f>VLOOKUP(C948,Stock_list!D:L,9,FALSE)</f>
        <v>44781</v>
      </c>
      <c r="F948" s="170" t="s">
        <v>2979</v>
      </c>
      <c r="G948" s="171">
        <v>5</v>
      </c>
      <c r="H948" s="172"/>
      <c r="I948" s="173"/>
      <c r="J948" s="173"/>
      <c r="K948" s="174"/>
      <c r="L948" s="175"/>
      <c r="M948" s="174"/>
      <c r="N948" s="176"/>
      <c r="O948" s="176"/>
      <c r="P948" s="173"/>
      <c r="Q948" s="177"/>
      <c r="R948" s="178"/>
      <c r="S948" s="173"/>
      <c r="T948" s="179"/>
      <c r="U948" s="145"/>
    </row>
    <row r="949" spans="1:21" ht="15" customHeight="1">
      <c r="A949" s="181" t="s">
        <v>2749</v>
      </c>
      <c r="B949" s="114" t="str">
        <f>VLOOKUP(A949,'Data pick slip'!B:F,5,FALSE)</f>
        <v>KHJ-MC500-00</v>
      </c>
      <c r="C949" s="169">
        <v>110928</v>
      </c>
      <c r="D949" s="169" t="str">
        <f>VLOOKUP(C949,Stock_list!D:L,2,FALSE)</f>
        <v>Suining konka</v>
      </c>
      <c r="E949" s="281">
        <f>VLOOKUP(C949,Stock_list!D:L,9,FALSE)</f>
        <v>44781</v>
      </c>
      <c r="F949" s="170" t="s">
        <v>2979</v>
      </c>
      <c r="G949" s="171">
        <v>1</v>
      </c>
      <c r="H949" s="172"/>
      <c r="I949" s="173"/>
      <c r="J949" s="173"/>
      <c r="K949" s="174"/>
      <c r="L949" s="175"/>
      <c r="M949" s="174"/>
      <c r="N949" s="176"/>
      <c r="O949" s="176"/>
      <c r="P949" s="173"/>
      <c r="Q949" s="177"/>
      <c r="R949" s="178"/>
      <c r="S949" s="173"/>
      <c r="T949" s="179"/>
      <c r="U949" s="145"/>
    </row>
    <row r="950" spans="1:21" ht="15" customHeight="1">
      <c r="A950" s="181" t="s">
        <v>2750</v>
      </c>
      <c r="B950" s="114" t="str">
        <f>VLOOKUP(A950,'Data pick slip'!B:F,5,FALSE)</f>
        <v>KHJ-MC600-00</v>
      </c>
      <c r="C950" s="169">
        <v>110928</v>
      </c>
      <c r="D950" s="169" t="str">
        <f>VLOOKUP(C950,Stock_list!D:L,2,FALSE)</f>
        <v>Suining konka</v>
      </c>
      <c r="E950" s="281">
        <f>VLOOKUP(C950,Stock_list!D:L,9,FALSE)</f>
        <v>44781</v>
      </c>
      <c r="F950" s="170" t="s">
        <v>2979</v>
      </c>
      <c r="G950" s="171">
        <v>1</v>
      </c>
      <c r="H950" s="172"/>
      <c r="I950" s="173"/>
      <c r="J950" s="173"/>
      <c r="K950" s="174"/>
      <c r="L950" s="175"/>
      <c r="M950" s="174"/>
      <c r="N950" s="176"/>
      <c r="O950" s="176"/>
      <c r="P950" s="173"/>
      <c r="Q950" s="177"/>
      <c r="R950" s="178"/>
      <c r="S950" s="173"/>
      <c r="T950" s="179"/>
      <c r="U950" s="145"/>
    </row>
    <row r="951" spans="1:21" ht="15" customHeight="1">
      <c r="A951" s="181" t="s">
        <v>2751</v>
      </c>
      <c r="B951" s="114" t="str">
        <f>VLOOKUP(A951,'Data pick slip'!B:F,5,FALSE)</f>
        <v>KHJ-MC700-00</v>
      </c>
      <c r="C951" s="169">
        <v>110928</v>
      </c>
      <c r="D951" s="169" t="str">
        <f>VLOOKUP(C951,Stock_list!D:L,2,FALSE)</f>
        <v>Suining konka</v>
      </c>
      <c r="E951" s="281">
        <f>VLOOKUP(C951,Stock_list!D:L,9,FALSE)</f>
        <v>44781</v>
      </c>
      <c r="F951" s="170" t="s">
        <v>2979</v>
      </c>
      <c r="G951" s="171">
        <v>1</v>
      </c>
      <c r="H951" s="172"/>
      <c r="I951" s="173"/>
      <c r="J951" s="173"/>
      <c r="K951" s="174"/>
      <c r="L951" s="175"/>
      <c r="M951" s="174"/>
      <c r="N951" s="176"/>
      <c r="O951" s="176"/>
      <c r="P951" s="173"/>
      <c r="Q951" s="177"/>
      <c r="R951" s="178"/>
      <c r="S951" s="173"/>
      <c r="T951" s="179"/>
      <c r="U951" s="145"/>
    </row>
    <row r="952" spans="1:21" ht="15" customHeight="1">
      <c r="A952" s="159" t="s">
        <v>2754</v>
      </c>
      <c r="B952" s="114" t="str">
        <f>VLOOKUP(A952,'Data pick slip'!B:F,5,FALSE)</f>
        <v>KLJ-MCN00-20</v>
      </c>
      <c r="C952" s="169">
        <v>110929</v>
      </c>
      <c r="D952" s="169" t="str">
        <f>VLOOKUP(C952,Stock_list!D:L,2,FALSE)</f>
        <v>Suining konka</v>
      </c>
      <c r="E952" s="281">
        <f>VLOOKUP(C952,Stock_list!D:L,9,FALSE)</f>
        <v>44781</v>
      </c>
      <c r="F952" s="170" t="s">
        <v>2979</v>
      </c>
      <c r="G952" s="171">
        <v>1</v>
      </c>
      <c r="H952" s="172"/>
      <c r="I952" s="173"/>
      <c r="J952" s="173"/>
      <c r="K952" s="174"/>
      <c r="L952" s="175"/>
      <c r="M952" s="174"/>
      <c r="N952" s="176"/>
      <c r="O952" s="176"/>
      <c r="P952" s="173"/>
      <c r="Q952" s="177"/>
      <c r="R952" s="178"/>
      <c r="S952" s="173"/>
      <c r="T952" s="179"/>
      <c r="U952" s="145"/>
    </row>
    <row r="953" spans="1:21" ht="15" customHeight="1">
      <c r="A953" s="159" t="s">
        <v>2744</v>
      </c>
      <c r="B953" s="114" t="str">
        <f>VLOOKUP(A953,'Data pick slip'!B:F,5,FALSE)</f>
        <v>KHJ-MC100-00</v>
      </c>
      <c r="C953" s="169">
        <v>110929</v>
      </c>
      <c r="D953" s="169" t="str">
        <f>VLOOKUP(C953,Stock_list!D:L,2,FALSE)</f>
        <v>Suining konka</v>
      </c>
      <c r="E953" s="281">
        <f>VLOOKUP(C953,Stock_list!D:L,9,FALSE)</f>
        <v>44781</v>
      </c>
      <c r="F953" s="170" t="s">
        <v>2979</v>
      </c>
      <c r="G953" s="171">
        <v>40</v>
      </c>
      <c r="H953" s="172"/>
      <c r="I953" s="173"/>
      <c r="J953" s="173"/>
      <c r="K953" s="174"/>
      <c r="L953" s="175"/>
      <c r="M953" s="174"/>
      <c r="N953" s="176"/>
      <c r="O953" s="176"/>
      <c r="P953" s="173"/>
      <c r="Q953" s="177"/>
      <c r="R953" s="178"/>
      <c r="S953" s="173"/>
      <c r="T953" s="179"/>
      <c r="U953" s="145"/>
    </row>
    <row r="954" spans="1:21" ht="15" customHeight="1">
      <c r="A954" s="159" t="s">
        <v>2747</v>
      </c>
      <c r="B954" s="114" t="str">
        <f>VLOOKUP(A954,'Data pick slip'!B:F,5,FALSE)</f>
        <v>KHJ-MC200-00</v>
      </c>
      <c r="C954" s="169">
        <v>110929</v>
      </c>
      <c r="D954" s="169" t="str">
        <f>VLOOKUP(C954,Stock_list!D:L,2,FALSE)</f>
        <v>Suining konka</v>
      </c>
      <c r="E954" s="281">
        <f>VLOOKUP(C954,Stock_list!D:L,9,FALSE)</f>
        <v>44781</v>
      </c>
      <c r="F954" s="170" t="s">
        <v>2979</v>
      </c>
      <c r="G954" s="171">
        <v>10</v>
      </c>
      <c r="H954" s="172"/>
      <c r="I954" s="173"/>
      <c r="J954" s="173"/>
      <c r="K954" s="174"/>
      <c r="L954" s="175"/>
      <c r="M954" s="174"/>
      <c r="N954" s="176"/>
      <c r="O954" s="176"/>
      <c r="P954" s="173"/>
      <c r="Q954" s="177"/>
      <c r="R954" s="178"/>
      <c r="S954" s="173"/>
      <c r="T954" s="179"/>
      <c r="U954" s="145"/>
    </row>
    <row r="955" spans="1:21" ht="15" customHeight="1">
      <c r="A955" s="159" t="s">
        <v>2748</v>
      </c>
      <c r="B955" s="114" t="str">
        <f>VLOOKUP(A955,'Data pick slip'!B:F,5,FALSE)</f>
        <v>KHJ-MC400-00</v>
      </c>
      <c r="C955" s="169">
        <v>110929</v>
      </c>
      <c r="D955" s="169" t="str">
        <f>VLOOKUP(C955,Stock_list!D:L,2,FALSE)</f>
        <v>Suining konka</v>
      </c>
      <c r="E955" s="281">
        <f>VLOOKUP(C955,Stock_list!D:L,9,FALSE)</f>
        <v>44781</v>
      </c>
      <c r="F955" s="170" t="s">
        <v>2979</v>
      </c>
      <c r="G955" s="171">
        <v>5</v>
      </c>
      <c r="H955" s="172"/>
      <c r="I955" s="173"/>
      <c r="J955" s="173"/>
      <c r="K955" s="174"/>
      <c r="L955" s="175"/>
      <c r="M955" s="174"/>
      <c r="N955" s="176"/>
      <c r="O955" s="176"/>
      <c r="P955" s="173"/>
      <c r="Q955" s="177"/>
      <c r="R955" s="178"/>
      <c r="S955" s="173"/>
      <c r="T955" s="179"/>
      <c r="U955" s="145"/>
    </row>
    <row r="956" spans="1:21" ht="15" customHeight="1">
      <c r="A956" s="181" t="s">
        <v>2749</v>
      </c>
      <c r="B956" s="114" t="str">
        <f>VLOOKUP(A956,'Data pick slip'!B:F,5,FALSE)</f>
        <v>KHJ-MC500-00</v>
      </c>
      <c r="C956" s="169">
        <v>110929</v>
      </c>
      <c r="D956" s="169" t="str">
        <f>VLOOKUP(C956,Stock_list!D:L,2,FALSE)</f>
        <v>Suining konka</v>
      </c>
      <c r="E956" s="281">
        <f>VLOOKUP(C956,Stock_list!D:L,9,FALSE)</f>
        <v>44781</v>
      </c>
      <c r="F956" s="170" t="s">
        <v>2979</v>
      </c>
      <c r="G956" s="171">
        <v>1</v>
      </c>
      <c r="H956" s="172"/>
      <c r="I956" s="173"/>
      <c r="J956" s="173"/>
      <c r="K956" s="174"/>
      <c r="L956" s="175"/>
      <c r="M956" s="174"/>
      <c r="N956" s="176"/>
      <c r="O956" s="176"/>
      <c r="P956" s="173"/>
      <c r="Q956" s="177"/>
      <c r="R956" s="178"/>
      <c r="S956" s="173"/>
      <c r="T956" s="179"/>
      <c r="U956" s="145"/>
    </row>
    <row r="957" spans="1:21" ht="15" customHeight="1">
      <c r="A957" s="159" t="s">
        <v>2744</v>
      </c>
      <c r="B957" s="114" t="str">
        <f>VLOOKUP(A957,'Data pick slip'!B:F,5,FALSE)</f>
        <v>KHJ-MC100-00</v>
      </c>
      <c r="C957" s="169">
        <v>110930</v>
      </c>
      <c r="D957" s="169" t="str">
        <f>VLOOKUP(C957,Stock_list!D:L,2,FALSE)</f>
        <v>辉拓</v>
      </c>
      <c r="E957" s="281">
        <f>VLOOKUP(C957,Stock_list!D:L,9,FALSE)</f>
        <v>44739</v>
      </c>
      <c r="F957" s="170" t="s">
        <v>1381</v>
      </c>
      <c r="G957" s="171">
        <v>50</v>
      </c>
      <c r="H957" s="172"/>
      <c r="I957" s="173"/>
      <c r="J957" s="173"/>
      <c r="K957" s="174"/>
      <c r="L957" s="175"/>
      <c r="M957" s="174"/>
      <c r="N957" s="176"/>
      <c r="O957" s="176"/>
      <c r="P957" s="173"/>
      <c r="Q957" s="177"/>
      <c r="R957" s="178"/>
      <c r="S957" s="173"/>
      <c r="T957" s="179"/>
      <c r="U957" s="145"/>
    </row>
    <row r="958" spans="1:21" ht="15" customHeight="1">
      <c r="A958" s="159" t="s">
        <v>2747</v>
      </c>
      <c r="B958" s="114" t="str">
        <f>VLOOKUP(A958,'Data pick slip'!B:F,5,FALSE)</f>
        <v>KHJ-MC200-00</v>
      </c>
      <c r="C958" s="169">
        <v>110930</v>
      </c>
      <c r="D958" s="169" t="str">
        <f>VLOOKUP(C958,Stock_list!D:L,2,FALSE)</f>
        <v>辉拓</v>
      </c>
      <c r="E958" s="281">
        <f>VLOOKUP(C958,Stock_list!D:L,9,FALSE)</f>
        <v>44739</v>
      </c>
      <c r="F958" s="170" t="s">
        <v>1381</v>
      </c>
      <c r="G958" s="171">
        <v>10</v>
      </c>
      <c r="H958" s="172"/>
      <c r="I958" s="173"/>
      <c r="J958" s="173"/>
      <c r="K958" s="174"/>
      <c r="L958" s="175"/>
      <c r="M958" s="174"/>
      <c r="N958" s="176"/>
      <c r="O958" s="176"/>
      <c r="P958" s="173"/>
      <c r="Q958" s="177"/>
      <c r="R958" s="178"/>
      <c r="S958" s="173"/>
      <c r="T958" s="179"/>
      <c r="U958" s="145"/>
    </row>
    <row r="959" spans="1:21" ht="15" customHeight="1">
      <c r="A959" s="159" t="s">
        <v>2744</v>
      </c>
      <c r="B959" s="114" t="str">
        <f>VLOOKUP(A959,'Data pick slip'!B:F,5,FALSE)</f>
        <v>KHJ-MC100-00</v>
      </c>
      <c r="C959" s="169">
        <v>110932</v>
      </c>
      <c r="D959" s="169" t="str">
        <f>VLOOKUP(C959,Stock_list!D:L,2,FALSE)</f>
        <v>赛美达</v>
      </c>
      <c r="E959" s="281">
        <f>VLOOKUP(C959,Stock_list!D:L,9,FALSE)</f>
        <v>44746</v>
      </c>
      <c r="F959" s="170" t="s">
        <v>1381</v>
      </c>
      <c r="G959" s="171">
        <v>50</v>
      </c>
      <c r="H959" s="172"/>
      <c r="I959" s="173"/>
      <c r="J959" s="173"/>
      <c r="K959" s="174"/>
      <c r="L959" s="175"/>
      <c r="M959" s="174"/>
      <c r="N959" s="176"/>
      <c r="O959" s="176"/>
      <c r="P959" s="173"/>
      <c r="Q959" s="177"/>
      <c r="R959" s="178"/>
      <c r="S959" s="173"/>
      <c r="T959" s="179"/>
      <c r="U959" s="145"/>
    </row>
    <row r="960" spans="1:21" ht="15" customHeight="1">
      <c r="A960" s="159" t="s">
        <v>2744</v>
      </c>
      <c r="B960" s="114" t="str">
        <f>VLOOKUP(A960,'Data pick slip'!B:F,5,FALSE)</f>
        <v>KHJ-MC100-00</v>
      </c>
      <c r="C960" s="169">
        <v>110933</v>
      </c>
      <c r="D960" s="169" t="str">
        <f>VLOOKUP(C960,Stock_list!D:L,2,FALSE)</f>
        <v xml:space="preserve">诺亚兴 </v>
      </c>
      <c r="E960" s="281">
        <f>VLOOKUP(C960,Stock_list!D:L,9,FALSE)</f>
        <v>44750</v>
      </c>
      <c r="F960" s="170" t="s">
        <v>1381</v>
      </c>
      <c r="G960" s="171">
        <v>50</v>
      </c>
      <c r="H960" s="172"/>
      <c r="I960" s="173"/>
      <c r="J960" s="173"/>
      <c r="K960" s="174"/>
      <c r="L960" s="175"/>
      <c r="M960" s="174"/>
      <c r="N960" s="176"/>
      <c r="O960" s="176"/>
      <c r="P960" s="173"/>
      <c r="Q960" s="177"/>
      <c r="R960" s="178"/>
      <c r="S960" s="173"/>
      <c r="T960" s="179"/>
      <c r="U960" s="145"/>
    </row>
    <row r="961" spans="1:21" ht="15" customHeight="1">
      <c r="A961" s="159" t="s">
        <v>2747</v>
      </c>
      <c r="B961" s="114" t="str">
        <f>VLOOKUP(A961,'Data pick slip'!B:F,5,FALSE)</f>
        <v>KHJ-MC200-00</v>
      </c>
      <c r="C961" s="169">
        <v>110933</v>
      </c>
      <c r="D961" s="169" t="str">
        <f>VLOOKUP(C961,Stock_list!D:L,2,FALSE)</f>
        <v xml:space="preserve">诺亚兴 </v>
      </c>
      <c r="E961" s="281">
        <f>VLOOKUP(C961,Stock_list!D:L,9,FALSE)</f>
        <v>44750</v>
      </c>
      <c r="F961" s="170" t="s">
        <v>1381</v>
      </c>
      <c r="G961" s="171">
        <v>10</v>
      </c>
      <c r="H961" s="172"/>
      <c r="I961" s="173"/>
      <c r="J961" s="173"/>
      <c r="K961" s="174"/>
      <c r="L961" s="175"/>
      <c r="M961" s="174"/>
      <c r="N961" s="176"/>
      <c r="O961" s="176"/>
      <c r="P961" s="173"/>
      <c r="Q961" s="177"/>
      <c r="R961" s="178"/>
      <c r="S961" s="173"/>
      <c r="T961" s="179"/>
      <c r="U961" s="145"/>
    </row>
    <row r="962" spans="1:21" ht="15" customHeight="1">
      <c r="A962" s="159" t="s">
        <v>2748</v>
      </c>
      <c r="B962" s="114" t="str">
        <f>VLOOKUP(A962,'Data pick slip'!B:F,5,FALSE)</f>
        <v>KHJ-MC400-00</v>
      </c>
      <c r="C962" s="169">
        <v>110933</v>
      </c>
      <c r="D962" s="169" t="str">
        <f>VLOOKUP(C962,Stock_list!D:L,2,FALSE)</f>
        <v xml:space="preserve">诺亚兴 </v>
      </c>
      <c r="E962" s="281">
        <f>VLOOKUP(C962,Stock_list!D:L,9,FALSE)</f>
        <v>44750</v>
      </c>
      <c r="F962" s="170" t="s">
        <v>1381</v>
      </c>
      <c r="G962" s="171">
        <v>5</v>
      </c>
      <c r="H962" s="172"/>
      <c r="I962" s="173"/>
      <c r="J962" s="173"/>
      <c r="K962" s="174"/>
      <c r="L962" s="175"/>
      <c r="M962" s="174"/>
      <c r="N962" s="176"/>
      <c r="O962" s="176"/>
      <c r="P962" s="173"/>
      <c r="Q962" s="177"/>
      <c r="R962" s="178"/>
      <c r="S962" s="173"/>
      <c r="T962" s="179"/>
      <c r="U962" s="145"/>
    </row>
    <row r="963" spans="1:21" ht="15" customHeight="1">
      <c r="A963" s="181" t="s">
        <v>2749</v>
      </c>
      <c r="B963" s="114" t="str">
        <f>VLOOKUP(A963,'Data pick slip'!B:F,5,FALSE)</f>
        <v>KHJ-MC500-00</v>
      </c>
      <c r="C963" s="169">
        <v>110933</v>
      </c>
      <c r="D963" s="169" t="str">
        <f>VLOOKUP(C963,Stock_list!D:L,2,FALSE)</f>
        <v xml:space="preserve">诺亚兴 </v>
      </c>
      <c r="E963" s="281">
        <f>VLOOKUP(C963,Stock_list!D:L,9,FALSE)</f>
        <v>44750</v>
      </c>
      <c r="F963" s="170" t="s">
        <v>1381</v>
      </c>
      <c r="G963" s="171">
        <v>5</v>
      </c>
      <c r="H963" s="172"/>
      <c r="I963" s="173"/>
      <c r="J963" s="173"/>
      <c r="K963" s="174"/>
      <c r="L963" s="175"/>
      <c r="M963" s="174"/>
      <c r="N963" s="176"/>
      <c r="O963" s="176"/>
      <c r="P963" s="173"/>
      <c r="Q963" s="177"/>
      <c r="R963" s="178"/>
      <c r="S963" s="173"/>
      <c r="T963" s="179"/>
      <c r="U963" s="145"/>
    </row>
    <row r="964" spans="1:21" ht="15" customHeight="1">
      <c r="A964" s="159" t="s">
        <v>2744</v>
      </c>
      <c r="B964" s="114" t="str">
        <f>VLOOKUP(A964,'Data pick slip'!B:F,5,FALSE)</f>
        <v>KHJ-MC100-00</v>
      </c>
      <c r="C964" s="169">
        <v>110934</v>
      </c>
      <c r="D964" s="169" t="str">
        <f>VLOOKUP(C964,Stock_list!D:L,2,FALSE)</f>
        <v>友艺</v>
      </c>
      <c r="E964" s="281">
        <f>VLOOKUP(C964,Stock_list!D:L,9,FALSE)</f>
        <v>44750</v>
      </c>
      <c r="F964" s="170" t="s">
        <v>1381</v>
      </c>
      <c r="G964" s="171">
        <v>50</v>
      </c>
      <c r="H964" s="172"/>
      <c r="I964" s="173"/>
      <c r="J964" s="173"/>
      <c r="K964" s="174"/>
      <c r="L964" s="175"/>
      <c r="M964" s="174"/>
      <c r="N964" s="176"/>
      <c r="O964" s="176"/>
      <c r="P964" s="173"/>
      <c r="Q964" s="177"/>
      <c r="R964" s="178"/>
      <c r="S964" s="173"/>
      <c r="T964" s="179"/>
      <c r="U964" s="145"/>
    </row>
    <row r="965" spans="1:21" ht="15" customHeight="1">
      <c r="A965" s="159" t="s">
        <v>2747</v>
      </c>
      <c r="B965" s="114" t="str">
        <f>VLOOKUP(A965,'Data pick slip'!B:F,5,FALSE)</f>
        <v>KHJ-MC200-00</v>
      </c>
      <c r="C965" s="169">
        <v>110934</v>
      </c>
      <c r="D965" s="169" t="str">
        <f>VLOOKUP(C965,Stock_list!D:L,2,FALSE)</f>
        <v>友艺</v>
      </c>
      <c r="E965" s="281">
        <f>VLOOKUP(C965,Stock_list!D:L,9,FALSE)</f>
        <v>44750</v>
      </c>
      <c r="F965" s="170" t="s">
        <v>1381</v>
      </c>
      <c r="G965" s="171">
        <v>10</v>
      </c>
      <c r="H965" s="172"/>
      <c r="I965" s="173"/>
      <c r="J965" s="173"/>
      <c r="K965" s="174"/>
      <c r="L965" s="175"/>
      <c r="M965" s="174"/>
      <c r="N965" s="176"/>
      <c r="O965" s="176"/>
      <c r="P965" s="173"/>
      <c r="Q965" s="177"/>
      <c r="R965" s="178"/>
      <c r="S965" s="173"/>
      <c r="T965" s="179"/>
      <c r="U965" s="145"/>
    </row>
    <row r="966" spans="1:21" ht="15" customHeight="1">
      <c r="A966" s="159" t="s">
        <v>2748</v>
      </c>
      <c r="B966" s="114" t="str">
        <f>VLOOKUP(A966,'Data pick slip'!B:F,5,FALSE)</f>
        <v>KHJ-MC400-00</v>
      </c>
      <c r="C966" s="169">
        <v>110934</v>
      </c>
      <c r="D966" s="169" t="str">
        <f>VLOOKUP(C966,Stock_list!D:L,2,FALSE)</f>
        <v>友艺</v>
      </c>
      <c r="E966" s="281">
        <f>VLOOKUP(C966,Stock_list!D:L,9,FALSE)</f>
        <v>44750</v>
      </c>
      <c r="F966" s="170" t="s">
        <v>1381</v>
      </c>
      <c r="G966" s="171">
        <v>5</v>
      </c>
      <c r="H966" s="172"/>
      <c r="I966" s="173"/>
      <c r="J966" s="173"/>
      <c r="K966" s="174"/>
      <c r="L966" s="175"/>
      <c r="M966" s="174"/>
      <c r="N966" s="176"/>
      <c r="O966" s="176"/>
      <c r="P966" s="173"/>
      <c r="Q966" s="177"/>
      <c r="R966" s="178"/>
      <c r="S966" s="173"/>
      <c r="T966" s="179"/>
      <c r="U966" s="145"/>
    </row>
    <row r="967" spans="1:21" ht="15" customHeight="1">
      <c r="A967" s="181" t="s">
        <v>2749</v>
      </c>
      <c r="B967" s="114" t="str">
        <f>VLOOKUP(A967,'Data pick slip'!B:F,5,FALSE)</f>
        <v>KHJ-MC500-00</v>
      </c>
      <c r="C967" s="169">
        <v>110934</v>
      </c>
      <c r="D967" s="169" t="str">
        <f>VLOOKUP(C967,Stock_list!D:L,2,FALSE)</f>
        <v>友艺</v>
      </c>
      <c r="E967" s="281">
        <f>VLOOKUP(C967,Stock_list!D:L,9,FALSE)</f>
        <v>44750</v>
      </c>
      <c r="F967" s="170" t="s">
        <v>1381</v>
      </c>
      <c r="G967" s="171">
        <v>5</v>
      </c>
      <c r="H967" s="172"/>
      <c r="I967" s="173"/>
      <c r="J967" s="173"/>
      <c r="K967" s="174"/>
      <c r="L967" s="175"/>
      <c r="M967" s="174"/>
      <c r="N967" s="176"/>
      <c r="O967" s="176"/>
      <c r="P967" s="173"/>
      <c r="Q967" s="177"/>
      <c r="R967" s="178"/>
      <c r="S967" s="173"/>
      <c r="T967" s="179"/>
      <c r="U967" s="145"/>
    </row>
    <row r="968" spans="1:21" ht="15" customHeight="1">
      <c r="A968" s="159" t="s">
        <v>2744</v>
      </c>
      <c r="B968" s="114" t="str">
        <f>VLOOKUP(A968,'Data pick slip'!B:F,5,FALSE)</f>
        <v>KHJ-MC100-00</v>
      </c>
      <c r="C968" s="169"/>
      <c r="D968" s="169"/>
      <c r="E968" s="281" t="s">
        <v>2982</v>
      </c>
      <c r="F968" s="170" t="s">
        <v>2753</v>
      </c>
      <c r="G968" s="171">
        <v>410</v>
      </c>
      <c r="H968" s="172"/>
      <c r="I968" s="173"/>
      <c r="J968" s="173"/>
      <c r="K968" s="174"/>
      <c r="L968" s="175"/>
      <c r="M968" s="174"/>
      <c r="N968" s="176"/>
      <c r="O968" s="176"/>
      <c r="P968" s="173"/>
      <c r="Q968" s="177"/>
      <c r="R968" s="178"/>
      <c r="S968" s="173"/>
      <c r="T968" s="179"/>
      <c r="U968" s="145"/>
    </row>
    <row r="969" spans="1:21" ht="15" customHeight="1">
      <c r="A969" s="159" t="s">
        <v>2747</v>
      </c>
      <c r="B969" s="114" t="str">
        <f>VLOOKUP(A969,'Data pick slip'!B:F,5,FALSE)</f>
        <v>KHJ-MC200-00</v>
      </c>
      <c r="C969" s="169"/>
      <c r="D969" s="169"/>
      <c r="E969" s="281" t="s">
        <v>2982</v>
      </c>
      <c r="F969" s="170" t="s">
        <v>2753</v>
      </c>
      <c r="G969" s="171">
        <v>110</v>
      </c>
      <c r="H969" s="172"/>
      <c r="I969" s="173"/>
      <c r="J969" s="173"/>
      <c r="K969" s="174"/>
      <c r="L969" s="175"/>
      <c r="M969" s="174"/>
      <c r="N969" s="176"/>
      <c r="O969" s="176"/>
      <c r="P969" s="173"/>
      <c r="Q969" s="177"/>
      <c r="R969" s="178"/>
      <c r="S969" s="173"/>
      <c r="T969" s="179"/>
      <c r="U969" s="145"/>
    </row>
    <row r="970" spans="1:21" ht="15" customHeight="1">
      <c r="A970" s="159" t="s">
        <v>2748</v>
      </c>
      <c r="B970" s="114" t="str">
        <f>VLOOKUP(A970,'Data pick slip'!B:F,5,FALSE)</f>
        <v>KHJ-MC400-00</v>
      </c>
      <c r="C970" s="169"/>
      <c r="D970" s="169"/>
      <c r="E970" s="281" t="s">
        <v>2982</v>
      </c>
      <c r="F970" s="170" t="s">
        <v>2753</v>
      </c>
      <c r="G970" s="171">
        <v>10</v>
      </c>
      <c r="H970" s="172"/>
      <c r="I970" s="173"/>
      <c r="J970" s="173"/>
      <c r="K970" s="174"/>
      <c r="L970" s="175"/>
      <c r="M970" s="174"/>
      <c r="N970" s="176"/>
      <c r="O970" s="176"/>
      <c r="P970" s="173"/>
      <c r="Q970" s="177"/>
      <c r="R970" s="178"/>
      <c r="S970" s="173"/>
      <c r="T970" s="179"/>
      <c r="U970" s="145"/>
    </row>
    <row r="971" spans="1:21" ht="15" customHeight="1">
      <c r="A971" s="159" t="s">
        <v>2751</v>
      </c>
      <c r="B971" s="114" t="str">
        <f>VLOOKUP(A971,'Data pick slip'!B:F,5,FALSE)</f>
        <v>KHJ-MC700-00</v>
      </c>
      <c r="C971" s="169"/>
      <c r="D971" s="169"/>
      <c r="E971" s="281" t="s">
        <v>2982</v>
      </c>
      <c r="F971" s="170" t="s">
        <v>2753</v>
      </c>
      <c r="G971" s="171">
        <v>5</v>
      </c>
      <c r="H971" s="172"/>
      <c r="I971" s="173"/>
      <c r="J971" s="173"/>
      <c r="K971" s="174"/>
      <c r="L971" s="175"/>
      <c r="M971" s="174"/>
      <c r="N971" s="176"/>
      <c r="O971" s="176"/>
      <c r="P971" s="173"/>
      <c r="Q971" s="177"/>
      <c r="R971" s="178"/>
      <c r="S971" s="173"/>
      <c r="T971" s="179"/>
      <c r="U971" s="145"/>
    </row>
    <row r="972" spans="1:21" ht="15" customHeight="1">
      <c r="A972" s="159" t="s">
        <v>2744</v>
      </c>
      <c r="B972" s="114" t="str">
        <f>VLOOKUP(A972,'Data pick slip'!B:F,5,FALSE)</f>
        <v>KHJ-MC100-00</v>
      </c>
      <c r="C972" s="169">
        <v>110953</v>
      </c>
      <c r="D972" s="169" t="str">
        <f>VLOOKUP(C972,Stock_list!D:L,2,FALSE)</f>
        <v>志华鑫名义下单</v>
      </c>
      <c r="E972" s="281">
        <f>VLOOKUP(C972,Stock_list!D:L,9,FALSE)</f>
        <v>44773</v>
      </c>
      <c r="F972" s="170" t="s">
        <v>1381</v>
      </c>
      <c r="G972" s="171">
        <v>50</v>
      </c>
      <c r="H972" s="172"/>
      <c r="I972" s="173"/>
      <c r="J972" s="173"/>
      <c r="K972" s="174"/>
      <c r="L972" s="175"/>
      <c r="M972" s="174"/>
      <c r="N972" s="176"/>
      <c r="O972" s="176"/>
      <c r="P972" s="173"/>
      <c r="Q972" s="177"/>
      <c r="R972" s="178"/>
      <c r="S972" s="173"/>
      <c r="T972" s="179"/>
      <c r="U972" s="145"/>
    </row>
    <row r="973" spans="1:21" ht="15" customHeight="1">
      <c r="A973" s="159" t="s">
        <v>2747</v>
      </c>
      <c r="B973" s="114" t="str">
        <f>VLOOKUP(A973,'Data pick slip'!B:F,5,FALSE)</f>
        <v>KHJ-MC200-00</v>
      </c>
      <c r="C973" s="169">
        <v>110953</v>
      </c>
      <c r="D973" s="169" t="str">
        <f>VLOOKUP(C973,Stock_list!D:L,2,FALSE)</f>
        <v>志华鑫名义下单</v>
      </c>
      <c r="E973" s="281">
        <f>VLOOKUP(C973,Stock_list!D:L,9,FALSE)</f>
        <v>44773</v>
      </c>
      <c r="F973" s="170" t="s">
        <v>1381</v>
      </c>
      <c r="G973" s="171">
        <v>20</v>
      </c>
      <c r="H973" s="172"/>
      <c r="I973" s="173"/>
      <c r="J973" s="173"/>
      <c r="K973" s="174"/>
      <c r="L973" s="175"/>
      <c r="M973" s="174"/>
      <c r="N973" s="176"/>
      <c r="O973" s="176"/>
      <c r="P973" s="173"/>
      <c r="Q973" s="177"/>
      <c r="R973" s="178"/>
      <c r="S973" s="173"/>
      <c r="T973" s="179"/>
      <c r="U973" s="145"/>
    </row>
    <row r="974" spans="1:21" ht="15" customHeight="1">
      <c r="A974" s="159" t="s">
        <v>2744</v>
      </c>
      <c r="B974" s="114" t="str">
        <f>VLOOKUP(A974,'Data pick slip'!B:F,5,FALSE)</f>
        <v>KHJ-MC100-00</v>
      </c>
      <c r="C974" s="169">
        <v>110952</v>
      </c>
      <c r="D974" s="169" t="str">
        <f>VLOOKUP(C974,Stock_list!D:L,2,FALSE)</f>
        <v>利速达</v>
      </c>
      <c r="E974" s="281">
        <f>VLOOKUP(C974,Stock_list!D:L,9,FALSE)</f>
        <v>44773</v>
      </c>
      <c r="F974" s="170" t="s">
        <v>1381</v>
      </c>
      <c r="G974" s="171">
        <v>50</v>
      </c>
      <c r="H974" s="172"/>
      <c r="I974" s="173"/>
      <c r="J974" s="173"/>
      <c r="K974" s="174"/>
      <c r="L974" s="175"/>
      <c r="M974" s="174"/>
      <c r="N974" s="176"/>
      <c r="O974" s="176"/>
      <c r="P974" s="173"/>
      <c r="Q974" s="177"/>
      <c r="R974" s="178"/>
      <c r="S974" s="173"/>
      <c r="T974" s="179"/>
      <c r="U974" s="145"/>
    </row>
    <row r="975" spans="1:21" ht="15" customHeight="1">
      <c r="A975" s="159" t="s">
        <v>2744</v>
      </c>
      <c r="B975" s="114" t="str">
        <f>VLOOKUP(A975,'Data pick slip'!B:F,5,FALSE)</f>
        <v>KHJ-MC100-00</v>
      </c>
      <c r="C975" s="169">
        <v>110951</v>
      </c>
      <c r="D975" s="169" t="str">
        <f>VLOOKUP(C975,Stock_list!D:L,2,FALSE)</f>
        <v>中润互联</v>
      </c>
      <c r="E975" s="281">
        <f>VLOOKUP(C975,Stock_list!D:L,9,FALSE)</f>
        <v>44769</v>
      </c>
      <c r="F975" s="170" t="s">
        <v>1381</v>
      </c>
      <c r="G975" s="171">
        <v>50</v>
      </c>
      <c r="H975" s="172"/>
      <c r="I975" s="173"/>
      <c r="J975" s="173"/>
      <c r="K975" s="174"/>
      <c r="L975" s="175"/>
      <c r="M975" s="174"/>
      <c r="N975" s="176"/>
      <c r="O975" s="176"/>
      <c r="P975" s="173"/>
      <c r="Q975" s="177"/>
      <c r="R975" s="178"/>
      <c r="S975" s="173"/>
      <c r="T975" s="179"/>
      <c r="U975" s="145"/>
    </row>
    <row r="976" spans="1:21" ht="15" customHeight="1">
      <c r="A976" s="159" t="s">
        <v>2747</v>
      </c>
      <c r="B976" s="114" t="str">
        <f>VLOOKUP(A976,'Data pick slip'!B:F,5,FALSE)</f>
        <v>KHJ-MC200-00</v>
      </c>
      <c r="C976" s="169">
        <v>110951</v>
      </c>
      <c r="D976" s="169" t="str">
        <f>VLOOKUP(C976,Stock_list!D:L,2,FALSE)</f>
        <v>中润互联</v>
      </c>
      <c r="E976" s="281">
        <f>VLOOKUP(C976,Stock_list!D:L,9,FALSE)</f>
        <v>44769</v>
      </c>
      <c r="F976" s="170" t="s">
        <v>1381</v>
      </c>
      <c r="G976" s="171">
        <v>20</v>
      </c>
      <c r="H976" s="172"/>
      <c r="I976" s="173"/>
      <c r="J976" s="173"/>
      <c r="K976" s="174"/>
      <c r="L976" s="175"/>
      <c r="M976" s="174"/>
      <c r="N976" s="176"/>
      <c r="O976" s="176"/>
      <c r="P976" s="173"/>
      <c r="Q976" s="177"/>
      <c r="R976" s="178"/>
      <c r="S976" s="173"/>
      <c r="T976" s="179"/>
      <c r="U976" s="145"/>
    </row>
    <row r="977" spans="1:21" ht="15" customHeight="1">
      <c r="A977" s="159" t="s">
        <v>2748</v>
      </c>
      <c r="B977" s="114" t="str">
        <f>VLOOKUP(A977,'Data pick slip'!B:F,5,FALSE)</f>
        <v>KHJ-MC400-00</v>
      </c>
      <c r="C977" s="169">
        <v>110951</v>
      </c>
      <c r="D977" s="169" t="str">
        <f>VLOOKUP(C977,Stock_list!D:L,2,FALSE)</f>
        <v>中润互联</v>
      </c>
      <c r="E977" s="281">
        <f>VLOOKUP(C977,Stock_list!D:L,9,FALSE)</f>
        <v>44769</v>
      </c>
      <c r="F977" s="170" t="s">
        <v>1381</v>
      </c>
      <c r="G977" s="171">
        <v>20</v>
      </c>
      <c r="H977" s="172"/>
      <c r="I977" s="173"/>
      <c r="J977" s="173"/>
      <c r="K977" s="174"/>
      <c r="L977" s="175"/>
      <c r="M977" s="174"/>
      <c r="N977" s="176"/>
      <c r="O977" s="176"/>
      <c r="P977" s="173"/>
      <c r="Q977" s="177"/>
      <c r="R977" s="178"/>
      <c r="S977" s="173"/>
      <c r="T977" s="179"/>
      <c r="U977" s="145"/>
    </row>
    <row r="978" spans="1:21" ht="15" customHeight="1">
      <c r="A978" s="159" t="s">
        <v>2744</v>
      </c>
      <c r="B978" s="114" t="str">
        <f>VLOOKUP(A978,'Data pick slip'!B:F,5,FALSE)</f>
        <v>KHJ-MC100-00</v>
      </c>
      <c r="C978" s="169">
        <v>110956</v>
      </c>
      <c r="D978" s="169" t="str">
        <f>VLOOKUP(C978,Stock_list!D:L,2,FALSE)</f>
        <v>鑫天泰</v>
      </c>
      <c r="E978" s="281">
        <f>VLOOKUP(C978,Stock_list!D:L,9,FALSE)</f>
        <v>44773</v>
      </c>
      <c r="F978" s="170" t="s">
        <v>1381</v>
      </c>
      <c r="G978" s="171">
        <v>50</v>
      </c>
      <c r="H978" s="172"/>
      <c r="I978" s="173"/>
      <c r="J978" s="173"/>
      <c r="K978" s="174"/>
      <c r="L978" s="175"/>
      <c r="M978" s="174"/>
      <c r="N978" s="176"/>
      <c r="O978" s="176"/>
      <c r="P978" s="173"/>
      <c r="Q978" s="177"/>
      <c r="R978" s="178"/>
      <c r="S978" s="173"/>
      <c r="T978" s="179"/>
      <c r="U978" s="145"/>
    </row>
    <row r="979" spans="1:21" ht="15" customHeight="1">
      <c r="A979" s="159" t="s">
        <v>2744</v>
      </c>
      <c r="B979" s="114" t="str">
        <f>VLOOKUP(A979,'Data pick slip'!B:F,5,FALSE)</f>
        <v>KHJ-MC100-00</v>
      </c>
      <c r="C979" s="169">
        <v>110963</v>
      </c>
      <c r="D979" s="169" t="str">
        <f>VLOOKUP(C979,Stock_list!D:L,2,FALSE)</f>
        <v>辉拓</v>
      </c>
      <c r="E979" s="281">
        <f>VLOOKUP(C979,Stock_list!D:L,9,FALSE)</f>
        <v>44774</v>
      </c>
      <c r="F979" s="170" t="s">
        <v>1381</v>
      </c>
      <c r="G979" s="171">
        <v>50</v>
      </c>
      <c r="H979" s="172"/>
      <c r="I979" s="173"/>
      <c r="J979" s="173"/>
      <c r="K979" s="174"/>
      <c r="L979" s="175"/>
      <c r="M979" s="174"/>
      <c r="N979" s="176"/>
      <c r="O979" s="176"/>
      <c r="P979" s="173"/>
      <c r="Q979" s="177"/>
      <c r="R979" s="178"/>
      <c r="S979" s="173"/>
      <c r="T979" s="179"/>
      <c r="U979" s="145"/>
    </row>
    <row r="980" spans="1:21" ht="15" customHeight="1">
      <c r="A980" s="159" t="s">
        <v>2744</v>
      </c>
      <c r="B980" s="114" t="str">
        <f>VLOOKUP(A980,'Data pick slip'!B:F,5,FALSE)</f>
        <v>KHJ-MC100-00</v>
      </c>
      <c r="C980" s="169">
        <v>110954</v>
      </c>
      <c r="D980" s="169" t="str">
        <f>VLOOKUP(C980,Stock_list!D:L,2,FALSE)</f>
        <v>恒磊</v>
      </c>
      <c r="E980" s="281">
        <f>VLOOKUP(C980,Stock_list!D:L,9,FALSE)</f>
        <v>44773</v>
      </c>
      <c r="F980" s="170" t="s">
        <v>1381</v>
      </c>
      <c r="G980" s="171">
        <v>50</v>
      </c>
      <c r="H980" s="172"/>
      <c r="I980" s="173"/>
      <c r="J980" s="173"/>
      <c r="K980" s="174"/>
      <c r="L980" s="175"/>
      <c r="M980" s="174"/>
      <c r="N980" s="176"/>
      <c r="O980" s="176"/>
      <c r="P980" s="173"/>
      <c r="Q980" s="177"/>
      <c r="R980" s="178"/>
      <c r="S980" s="173"/>
      <c r="T980" s="179"/>
      <c r="U980" s="145"/>
    </row>
    <row r="981" spans="1:21" ht="15" customHeight="1">
      <c r="A981" s="159" t="s">
        <v>2744</v>
      </c>
      <c r="B981" s="114" t="str">
        <f>VLOOKUP(A981,'Data pick slip'!B:F,5,FALSE)</f>
        <v>KHJ-MC100-00</v>
      </c>
      <c r="C981" s="169">
        <v>110959</v>
      </c>
      <c r="D981" s="169" t="str">
        <f>VLOOKUP(C981,Stock_list!D:L,2,FALSE)</f>
        <v>拓普艾名义</v>
      </c>
      <c r="E981" s="281">
        <f>VLOOKUP(C981,Stock_list!D:L,9,FALSE)</f>
        <v>44774</v>
      </c>
      <c r="F981" s="170" t="s">
        <v>2979</v>
      </c>
      <c r="G981" s="171">
        <v>50</v>
      </c>
      <c r="H981" s="172"/>
      <c r="I981" s="173"/>
      <c r="J981" s="173"/>
      <c r="K981" s="174"/>
      <c r="L981" s="175"/>
      <c r="M981" s="174"/>
      <c r="N981" s="176"/>
      <c r="O981" s="176"/>
      <c r="P981" s="173"/>
      <c r="Q981" s="177"/>
      <c r="R981" s="178"/>
      <c r="S981" s="173"/>
      <c r="T981" s="179"/>
      <c r="U981" s="145"/>
    </row>
    <row r="982" spans="1:21" ht="15" customHeight="1">
      <c r="A982" s="159" t="s">
        <v>2744</v>
      </c>
      <c r="B982" s="114" t="str">
        <f>VLOOKUP(A982,'Data pick slip'!B:F,5,FALSE)</f>
        <v>KHJ-MC100-00</v>
      </c>
      <c r="C982" s="169">
        <v>110958</v>
      </c>
      <c r="D982" s="169" t="str">
        <f>VLOOKUP(C982,Stock_list!D:L,2,FALSE)</f>
        <v>伯莱科</v>
      </c>
      <c r="E982" s="281">
        <f>VLOOKUP(C982,Stock_list!D:L,9,FALSE)</f>
        <v>44773</v>
      </c>
      <c r="F982" s="170" t="s">
        <v>1381</v>
      </c>
      <c r="G982" s="171">
        <v>50</v>
      </c>
      <c r="H982" s="172"/>
      <c r="I982" s="173"/>
      <c r="J982" s="173"/>
      <c r="K982" s="174"/>
      <c r="L982" s="175"/>
      <c r="M982" s="174"/>
      <c r="N982" s="176"/>
      <c r="O982" s="176"/>
      <c r="P982" s="173"/>
      <c r="Q982" s="177"/>
      <c r="R982" s="178"/>
      <c r="S982" s="173"/>
      <c r="T982" s="179"/>
      <c r="U982" s="145"/>
    </row>
    <row r="983" spans="1:21" ht="15" customHeight="1">
      <c r="A983" s="159" t="s">
        <v>2744</v>
      </c>
      <c r="B983" s="114" t="str">
        <f>VLOOKUP(A983,'Data pick slip'!B:F,5,FALSE)</f>
        <v>KHJ-MC100-00</v>
      </c>
      <c r="C983" s="169">
        <v>110957</v>
      </c>
      <c r="D983" s="169" t="str">
        <f>VLOOKUP(C983,Stock_list!D:L,2,FALSE)</f>
        <v>中润互联</v>
      </c>
      <c r="E983" s="281">
        <f>VLOOKUP(C983,Stock_list!D:L,9,FALSE)</f>
        <v>44769</v>
      </c>
      <c r="F983" s="170" t="s">
        <v>1381</v>
      </c>
      <c r="G983" s="171">
        <v>50</v>
      </c>
      <c r="H983" s="172"/>
      <c r="I983" s="173"/>
      <c r="J983" s="173"/>
      <c r="K983" s="174"/>
      <c r="L983" s="175"/>
      <c r="M983" s="174"/>
      <c r="N983" s="176"/>
      <c r="O983" s="176"/>
      <c r="P983" s="173"/>
      <c r="Q983" s="177"/>
      <c r="R983" s="178"/>
      <c r="S983" s="173"/>
      <c r="T983" s="179"/>
      <c r="U983" s="145"/>
    </row>
    <row r="984" spans="1:21" ht="15" customHeight="1">
      <c r="A984" s="159" t="s">
        <v>2744</v>
      </c>
      <c r="B984" s="114" t="str">
        <f>VLOOKUP(A984,'Data pick slip'!B:F,5,FALSE)</f>
        <v>KHJ-MC100-00</v>
      </c>
      <c r="C984" s="169">
        <v>110962</v>
      </c>
      <c r="D984" s="169" t="str">
        <f>VLOOKUP(C984,Stock_list!D:L,2,FALSE)</f>
        <v>骏仁达</v>
      </c>
      <c r="E984" s="281">
        <f>VLOOKUP(C984,Stock_list!D:L,9,FALSE)</f>
        <v>44773</v>
      </c>
      <c r="F984" s="170" t="s">
        <v>1381</v>
      </c>
      <c r="G984" s="171">
        <v>50</v>
      </c>
      <c r="H984" s="172"/>
      <c r="I984" s="173"/>
      <c r="J984" s="173"/>
      <c r="K984" s="174"/>
      <c r="L984" s="175"/>
      <c r="M984" s="174"/>
      <c r="N984" s="176"/>
      <c r="O984" s="176"/>
      <c r="P984" s="173"/>
      <c r="Q984" s="177"/>
      <c r="R984" s="178"/>
      <c r="S984" s="173"/>
      <c r="T984" s="179"/>
      <c r="U984" s="145"/>
    </row>
    <row r="985" spans="1:21" ht="15" customHeight="1">
      <c r="A985" s="159" t="s">
        <v>2744</v>
      </c>
      <c r="B985" s="114" t="str">
        <f>VLOOKUP(A985,'Data pick slip'!B:F,5,FALSE)</f>
        <v>KHJ-MC100-00</v>
      </c>
      <c r="C985" s="169">
        <v>110961</v>
      </c>
      <c r="D985" s="169" t="str">
        <f>VLOOKUP(C985,Stock_list!D:L,2,FALSE)</f>
        <v>钧溢</v>
      </c>
      <c r="E985" s="281">
        <f>VLOOKUP(C985,Stock_list!D:L,9,FALSE)</f>
        <v>44773</v>
      </c>
      <c r="F985" s="170" t="s">
        <v>1381</v>
      </c>
      <c r="G985" s="171">
        <v>50</v>
      </c>
      <c r="H985" s="172"/>
      <c r="I985" s="173"/>
      <c r="J985" s="173"/>
      <c r="K985" s="174"/>
      <c r="L985" s="175"/>
      <c r="M985" s="174"/>
      <c r="N985" s="176"/>
      <c r="O985" s="176"/>
      <c r="P985" s="173"/>
      <c r="Q985" s="177"/>
      <c r="R985" s="178"/>
      <c r="S985" s="173"/>
      <c r="T985" s="179"/>
      <c r="U985" s="145"/>
    </row>
    <row r="986" spans="1:21" ht="15" customHeight="1">
      <c r="A986" s="159" t="s">
        <v>2744</v>
      </c>
      <c r="B986" s="114" t="str">
        <f>VLOOKUP(A986,'Data pick slip'!B:F,5,FALSE)</f>
        <v>KHJ-MC100-00</v>
      </c>
      <c r="C986" s="169">
        <v>110960</v>
      </c>
      <c r="D986" s="169" t="str">
        <f>VLOOKUP(C986,Stock_list!D:L,2,FALSE)</f>
        <v>辉拓</v>
      </c>
      <c r="E986" s="281">
        <f>VLOOKUP(C986,Stock_list!D:L,9,FALSE)</f>
        <v>44773</v>
      </c>
      <c r="F986" s="170" t="s">
        <v>1381</v>
      </c>
      <c r="G986" s="171">
        <v>50</v>
      </c>
      <c r="H986" s="172"/>
      <c r="I986" s="173"/>
      <c r="J986" s="173"/>
      <c r="K986" s="174"/>
      <c r="L986" s="175"/>
      <c r="M986" s="174"/>
      <c r="N986" s="176"/>
      <c r="O986" s="176"/>
      <c r="P986" s="173"/>
      <c r="Q986" s="177"/>
      <c r="R986" s="178"/>
      <c r="S986" s="173"/>
      <c r="T986" s="179"/>
      <c r="U986" s="145"/>
    </row>
    <row r="987" spans="1:21" ht="15" customHeight="1">
      <c r="A987" s="159" t="s">
        <v>2744</v>
      </c>
      <c r="B987" s="114" t="str">
        <f>VLOOKUP(A987,'Data pick slip'!B:F,5,FALSE)</f>
        <v>KHJ-MC100-00</v>
      </c>
      <c r="C987" s="169"/>
      <c r="D987" s="169"/>
      <c r="E987" s="281" t="s">
        <v>2983</v>
      </c>
      <c r="F987" s="170" t="s">
        <v>2753</v>
      </c>
      <c r="G987" s="171">
        <v>140</v>
      </c>
      <c r="H987" s="172"/>
      <c r="I987" s="173"/>
      <c r="J987" s="173"/>
      <c r="K987" s="174"/>
      <c r="L987" s="175"/>
      <c r="M987" s="174"/>
      <c r="N987" s="176"/>
      <c r="O987" s="176"/>
      <c r="P987" s="173"/>
      <c r="Q987" s="177"/>
      <c r="R987" s="178"/>
      <c r="S987" s="173"/>
      <c r="T987" s="179"/>
      <c r="U987" s="145"/>
    </row>
    <row r="988" spans="1:21" ht="15" customHeight="1">
      <c r="A988" s="159" t="s">
        <v>2747</v>
      </c>
      <c r="B988" s="114" t="str">
        <f>VLOOKUP(A988,'Data pick slip'!B:F,5,FALSE)</f>
        <v>KHJ-MC200-00</v>
      </c>
      <c r="C988" s="169"/>
      <c r="D988" s="169"/>
      <c r="E988" s="281" t="s">
        <v>2983</v>
      </c>
      <c r="F988" s="170" t="s">
        <v>2753</v>
      </c>
      <c r="G988" s="171">
        <v>36</v>
      </c>
      <c r="H988" s="172"/>
      <c r="I988" s="173"/>
      <c r="J988" s="173"/>
      <c r="K988" s="174"/>
      <c r="L988" s="175"/>
      <c r="M988" s="174"/>
      <c r="N988" s="176"/>
      <c r="O988" s="176"/>
      <c r="P988" s="173"/>
      <c r="Q988" s="177"/>
      <c r="R988" s="178"/>
      <c r="S988" s="173"/>
      <c r="T988" s="179"/>
      <c r="U988" s="145"/>
    </row>
    <row r="989" spans="1:21" ht="15" customHeight="1">
      <c r="A989" s="159" t="s">
        <v>2748</v>
      </c>
      <c r="B989" s="114" t="str">
        <f>VLOOKUP(A989,'Data pick slip'!B:F,5,FALSE)</f>
        <v>KHJ-MC400-00</v>
      </c>
      <c r="C989" s="169"/>
      <c r="D989" s="169"/>
      <c r="E989" s="281" t="s">
        <v>2983</v>
      </c>
      <c r="F989" s="170" t="s">
        <v>2753</v>
      </c>
      <c r="G989" s="171">
        <v>4</v>
      </c>
      <c r="H989" s="172"/>
      <c r="I989" s="173"/>
      <c r="J989" s="173"/>
      <c r="K989" s="174"/>
      <c r="L989" s="175"/>
      <c r="M989" s="174"/>
      <c r="N989" s="176"/>
      <c r="O989" s="176"/>
      <c r="P989" s="173"/>
      <c r="Q989" s="177"/>
      <c r="R989" s="178"/>
      <c r="S989" s="173"/>
      <c r="T989" s="179"/>
      <c r="U989" s="145"/>
    </row>
    <row r="990" spans="1:21" ht="15" customHeight="1">
      <c r="A990" s="159" t="s">
        <v>2755</v>
      </c>
      <c r="B990" s="114" t="str">
        <f>VLOOKUP(A990,'Data pick slip'!B:F,5,FALSE)</f>
        <v>KLJ-MC100-00</v>
      </c>
      <c r="C990" s="169"/>
      <c r="D990" s="169"/>
      <c r="E990" s="281" t="s">
        <v>2983</v>
      </c>
      <c r="F990" s="170" t="s">
        <v>2753</v>
      </c>
      <c r="G990" s="171">
        <v>20</v>
      </c>
      <c r="H990" s="172"/>
      <c r="I990" s="173"/>
      <c r="J990" s="173"/>
      <c r="K990" s="174"/>
      <c r="L990" s="175"/>
      <c r="M990" s="174"/>
      <c r="N990" s="176"/>
      <c r="O990" s="176"/>
      <c r="P990" s="173"/>
      <c r="Q990" s="177"/>
      <c r="R990" s="178"/>
      <c r="S990" s="173"/>
      <c r="T990" s="179"/>
      <c r="U990" s="145"/>
    </row>
    <row r="991" spans="1:21" ht="15" customHeight="1">
      <c r="A991" s="159" t="s">
        <v>2744</v>
      </c>
      <c r="B991" s="114" t="str">
        <f>VLOOKUP(A991,'Data pick slip'!B:F,5,FALSE)</f>
        <v>KHJ-MC100-00</v>
      </c>
      <c r="C991" s="169"/>
      <c r="D991" s="169"/>
      <c r="E991" s="281" t="s">
        <v>2984</v>
      </c>
      <c r="F991" s="170" t="s">
        <v>2753</v>
      </c>
      <c r="G991" s="321">
        <v>180</v>
      </c>
      <c r="H991" s="172"/>
      <c r="I991" s="173"/>
      <c r="J991" s="173"/>
      <c r="K991" s="174"/>
      <c r="L991" s="175"/>
      <c r="M991" s="174"/>
      <c r="N991" s="176"/>
      <c r="O991" s="176"/>
      <c r="P991" s="173"/>
      <c r="Q991" s="177"/>
      <c r="R991" s="178"/>
      <c r="S991" s="173"/>
      <c r="T991" s="179"/>
      <c r="U991" s="145"/>
    </row>
    <row r="992" spans="1:21" ht="15" customHeight="1">
      <c r="A992" s="159" t="s">
        <v>2747</v>
      </c>
      <c r="B992" s="114" t="str">
        <f>VLOOKUP(A992,'Data pick slip'!B:F,5,FALSE)</f>
        <v>KHJ-MC200-00</v>
      </c>
      <c r="C992" s="169"/>
      <c r="D992" s="169"/>
      <c r="E992" s="281" t="s">
        <v>2984</v>
      </c>
      <c r="F992" s="170" t="s">
        <v>2753</v>
      </c>
      <c r="G992" s="321">
        <v>30</v>
      </c>
      <c r="H992" s="172"/>
      <c r="I992" s="173"/>
      <c r="J992" s="173"/>
      <c r="K992" s="174"/>
      <c r="L992" s="175"/>
      <c r="M992" s="174"/>
      <c r="N992" s="176"/>
      <c r="O992" s="176"/>
      <c r="P992" s="173"/>
      <c r="Q992" s="177"/>
      <c r="R992" s="178"/>
      <c r="S992" s="173"/>
      <c r="T992" s="179"/>
      <c r="U992" s="145"/>
    </row>
    <row r="993" spans="1:21" ht="15" customHeight="1">
      <c r="A993" s="159" t="s">
        <v>2748</v>
      </c>
      <c r="B993" s="114" t="str">
        <f>VLOOKUP(A993,'Data pick slip'!B:F,5,FALSE)</f>
        <v>KHJ-MC400-00</v>
      </c>
      <c r="C993" s="169"/>
      <c r="D993" s="169"/>
      <c r="E993" s="281" t="s">
        <v>2984</v>
      </c>
      <c r="F993" s="170" t="s">
        <v>2753</v>
      </c>
      <c r="G993" s="321">
        <v>8</v>
      </c>
      <c r="H993" s="172"/>
      <c r="I993" s="173"/>
      <c r="J993" s="173"/>
      <c r="K993" s="174"/>
      <c r="L993" s="175"/>
      <c r="M993" s="174"/>
      <c r="N993" s="176"/>
      <c r="O993" s="176"/>
      <c r="P993" s="173"/>
      <c r="Q993" s="177"/>
      <c r="R993" s="178"/>
      <c r="S993" s="173"/>
      <c r="T993" s="179"/>
      <c r="U993" s="145"/>
    </row>
    <row r="994" spans="1:21" ht="15" customHeight="1">
      <c r="A994" s="181" t="s">
        <v>2750</v>
      </c>
      <c r="B994" s="114" t="str">
        <f>VLOOKUP(A994,'Data pick slip'!B:F,5,FALSE)</f>
        <v>KHJ-MC600-00</v>
      </c>
      <c r="C994" s="169"/>
      <c r="D994" s="169"/>
      <c r="E994" s="281" t="s">
        <v>2984</v>
      </c>
      <c r="F994" s="170" t="s">
        <v>2753</v>
      </c>
      <c r="G994" s="321">
        <v>10</v>
      </c>
      <c r="H994" s="172"/>
      <c r="I994" s="173"/>
      <c r="J994" s="173"/>
      <c r="K994" s="174"/>
      <c r="L994" s="175"/>
      <c r="M994" s="174"/>
      <c r="N994" s="176"/>
      <c r="O994" s="176"/>
      <c r="P994" s="173"/>
      <c r="Q994" s="177"/>
      <c r="R994" s="178"/>
      <c r="S994" s="173"/>
      <c r="T994" s="179"/>
      <c r="U994" s="145"/>
    </row>
    <row r="995" spans="1:21" ht="15" customHeight="1">
      <c r="A995" s="181" t="s">
        <v>2751</v>
      </c>
      <c r="B995" s="114" t="str">
        <f>VLOOKUP(A995,'Data pick slip'!B:F,5,FALSE)</f>
        <v>KHJ-MC700-00</v>
      </c>
      <c r="C995" s="169"/>
      <c r="D995" s="169"/>
      <c r="E995" s="281" t="s">
        <v>2984</v>
      </c>
      <c r="F995" s="170" t="s">
        <v>2753</v>
      </c>
      <c r="G995" s="171">
        <v>2</v>
      </c>
      <c r="H995" s="172"/>
      <c r="I995" s="173"/>
      <c r="J995" s="173"/>
      <c r="K995" s="174"/>
      <c r="L995" s="175"/>
      <c r="M995" s="174"/>
      <c r="N995" s="176"/>
      <c r="O995" s="176"/>
      <c r="P995" s="173"/>
      <c r="Q995" s="177"/>
      <c r="R995" s="178"/>
      <c r="S995" s="173"/>
      <c r="T995" s="179"/>
      <c r="U995" s="145"/>
    </row>
    <row r="996" spans="1:21" ht="15" customHeight="1">
      <c r="A996" s="159" t="s">
        <v>2744</v>
      </c>
      <c r="B996" s="114" t="str">
        <f>VLOOKUP(A996,'Data pick slip'!B:F,5,FALSE)</f>
        <v>KHJ-MC100-00</v>
      </c>
      <c r="C996" s="169">
        <v>110896</v>
      </c>
      <c r="D996" s="169" t="str">
        <f>VLOOKUP(C996,Stock_list!D:L,2,FALSE)</f>
        <v>Dongguan Yidong</v>
      </c>
      <c r="E996" s="281">
        <f>VLOOKUP(C996,Stock_list!D:L,9,FALSE)</f>
        <v>44714</v>
      </c>
      <c r="F996" s="170" t="s">
        <v>1381</v>
      </c>
      <c r="G996" s="171">
        <v>250</v>
      </c>
      <c r="H996" s="172"/>
      <c r="I996" s="173"/>
      <c r="J996" s="173"/>
      <c r="K996" s="174"/>
      <c r="L996" s="175"/>
      <c r="M996" s="174"/>
      <c r="N996" s="176"/>
      <c r="O996" s="176"/>
      <c r="P996" s="173"/>
      <c r="Q996" s="177"/>
      <c r="R996" s="178"/>
      <c r="S996" s="173"/>
      <c r="T996" s="179"/>
      <c r="U996" s="145"/>
    </row>
    <row r="997" spans="1:21" ht="15" customHeight="1">
      <c r="A997" s="159" t="s">
        <v>2747</v>
      </c>
      <c r="B997" s="114" t="str">
        <f>VLOOKUP(A997,'Data pick slip'!B:F,5,FALSE)</f>
        <v>KHJ-MC200-00</v>
      </c>
      <c r="C997" s="169">
        <v>110896</v>
      </c>
      <c r="D997" s="169" t="str">
        <f>VLOOKUP(C997,Stock_list!D:L,2,FALSE)</f>
        <v>Dongguan Yidong</v>
      </c>
      <c r="E997" s="281">
        <f>VLOOKUP(C997,Stock_list!D:L,9,FALSE)</f>
        <v>44714</v>
      </c>
      <c r="F997" s="170" t="s">
        <v>1381</v>
      </c>
      <c r="G997" s="171">
        <v>50</v>
      </c>
      <c r="H997" s="172"/>
      <c r="I997" s="173"/>
      <c r="J997" s="173"/>
      <c r="K997" s="174"/>
      <c r="L997" s="175"/>
      <c r="M997" s="174"/>
      <c r="N997" s="176"/>
      <c r="O997" s="176"/>
      <c r="P997" s="173"/>
      <c r="Q997" s="177"/>
      <c r="R997" s="178"/>
      <c r="S997" s="173"/>
      <c r="T997" s="179"/>
      <c r="U997" s="145"/>
    </row>
    <row r="998" spans="1:21" ht="15" customHeight="1">
      <c r="A998" s="159" t="s">
        <v>2748</v>
      </c>
      <c r="B998" s="114" t="str">
        <f>VLOOKUP(A998,'Data pick slip'!B:F,5,FALSE)</f>
        <v>KHJ-MC400-00</v>
      </c>
      <c r="C998" s="169">
        <v>110896</v>
      </c>
      <c r="D998" s="169" t="str">
        <f>VLOOKUP(C998,Stock_list!D:L,2,FALSE)</f>
        <v>Dongguan Yidong</v>
      </c>
      <c r="E998" s="281">
        <f>VLOOKUP(C998,Stock_list!D:L,9,FALSE)</f>
        <v>44714</v>
      </c>
      <c r="F998" s="170" t="s">
        <v>1381</v>
      </c>
      <c r="G998" s="171">
        <v>20</v>
      </c>
      <c r="H998" s="172"/>
      <c r="I998" s="173"/>
      <c r="J998" s="173"/>
      <c r="K998" s="174"/>
      <c r="L998" s="175"/>
      <c r="M998" s="174"/>
      <c r="N998" s="176"/>
      <c r="O998" s="176"/>
      <c r="P998" s="173"/>
      <c r="Q998" s="177"/>
      <c r="R998" s="178"/>
      <c r="S998" s="173"/>
      <c r="T998" s="179"/>
      <c r="U998" s="145"/>
    </row>
    <row r="999" spans="1:21" ht="15" customHeight="1">
      <c r="A999" s="181" t="s">
        <v>2749</v>
      </c>
      <c r="B999" s="114" t="str">
        <f>VLOOKUP(A999,'Data pick slip'!B:F,5,FALSE)</f>
        <v>KHJ-MC500-00</v>
      </c>
      <c r="C999" s="169">
        <v>110896</v>
      </c>
      <c r="D999" s="169" t="str">
        <f>VLOOKUP(C999,Stock_list!D:L,2,FALSE)</f>
        <v>Dongguan Yidong</v>
      </c>
      <c r="E999" s="281">
        <f>VLOOKUP(C999,Stock_list!D:L,9,FALSE)</f>
        <v>44714</v>
      </c>
      <c r="F999" s="170" t="s">
        <v>1381</v>
      </c>
      <c r="G999" s="171">
        <v>10</v>
      </c>
      <c r="H999" s="172"/>
      <c r="I999" s="173"/>
      <c r="J999" s="173"/>
      <c r="K999" s="174"/>
      <c r="L999" s="175"/>
      <c r="M999" s="174"/>
      <c r="N999" s="176"/>
      <c r="O999" s="176"/>
      <c r="P999" s="173"/>
      <c r="Q999" s="177"/>
      <c r="R999" s="178"/>
      <c r="S999" s="173"/>
      <c r="T999" s="179"/>
      <c r="U999" s="145"/>
    </row>
    <row r="1000" spans="1:21" ht="15" customHeight="1">
      <c r="A1000" s="159" t="s">
        <v>2744</v>
      </c>
      <c r="B1000" s="114" t="str">
        <f>VLOOKUP(A1000,'Data pick slip'!B:F,5,FALSE)</f>
        <v>KHJ-MC100-00</v>
      </c>
      <c r="C1000" s="169">
        <v>110989</v>
      </c>
      <c r="D1000" s="169" t="str">
        <f>VLOOKUP(C1000,Stock_list!D:L,2,FALSE)</f>
        <v xml:space="preserve"> SZ 金睿通(Special)</v>
      </c>
      <c r="E1000" s="281">
        <f>VLOOKUP(C1000,Stock_list!D:L,9,FALSE)</f>
        <v>44795</v>
      </c>
      <c r="F1000" s="170" t="s">
        <v>1381</v>
      </c>
      <c r="G1000" s="171">
        <v>50</v>
      </c>
      <c r="H1000" s="172"/>
      <c r="I1000" s="173"/>
      <c r="J1000" s="173"/>
      <c r="K1000" s="174"/>
      <c r="L1000" s="175"/>
      <c r="M1000" s="174"/>
      <c r="N1000" s="176"/>
      <c r="O1000" s="176"/>
      <c r="P1000" s="173"/>
      <c r="Q1000" s="177"/>
      <c r="R1000" s="178"/>
      <c r="S1000" s="173"/>
      <c r="T1000" s="179"/>
      <c r="U1000" s="145"/>
    </row>
    <row r="1001" spans="1:21" ht="15" customHeight="1">
      <c r="A1001" s="159" t="s">
        <v>2744</v>
      </c>
      <c r="B1001" s="114" t="str">
        <f>VLOOKUP(A1001,'Data pick slip'!B:F,5,FALSE)</f>
        <v>KHJ-MC100-00</v>
      </c>
      <c r="C1001" s="169">
        <v>110988</v>
      </c>
      <c r="D1001" s="169" t="str">
        <f>VLOOKUP(C1001,Stock_list!D:L,2,FALSE)</f>
        <v xml:space="preserve"> SZ 瑞福联(Special)</v>
      </c>
      <c r="E1001" s="281">
        <f>VLOOKUP(C1001,Stock_list!D:L,9,FALSE)</f>
        <v>44795</v>
      </c>
      <c r="F1001" s="170" t="s">
        <v>1381</v>
      </c>
      <c r="G1001" s="171">
        <v>50</v>
      </c>
      <c r="H1001" s="172"/>
      <c r="I1001" s="173"/>
      <c r="J1001" s="173"/>
      <c r="K1001" s="174"/>
      <c r="L1001" s="175"/>
      <c r="M1001" s="174"/>
      <c r="N1001" s="176"/>
      <c r="O1001" s="176"/>
      <c r="P1001" s="173"/>
      <c r="Q1001" s="177"/>
      <c r="R1001" s="178"/>
      <c r="S1001" s="173"/>
      <c r="T1001" s="179"/>
      <c r="U1001" s="145"/>
    </row>
    <row r="1002" spans="1:21" ht="15" customHeight="1">
      <c r="A1002" s="159" t="s">
        <v>2744</v>
      </c>
      <c r="B1002" s="114" t="str">
        <f>VLOOKUP(A1002,'Data pick slip'!B:F,5,FALSE)</f>
        <v>KHJ-MC100-00</v>
      </c>
      <c r="C1002" s="169">
        <v>110987</v>
      </c>
      <c r="D1002" s="169" t="str">
        <f>VLOOKUP(C1002,Stock_list!D:L,2,FALSE)</f>
        <v xml:space="preserve"> SZ 精德鸿(Special)</v>
      </c>
      <c r="E1002" s="281">
        <f>VLOOKUP(C1002,Stock_list!D:L,9,FALSE)</f>
        <v>44795</v>
      </c>
      <c r="F1002" s="170" t="s">
        <v>1381</v>
      </c>
      <c r="G1002" s="171">
        <v>50</v>
      </c>
      <c r="H1002" s="172"/>
      <c r="I1002" s="173"/>
      <c r="J1002" s="173"/>
      <c r="K1002" s="174"/>
      <c r="L1002" s="175"/>
      <c r="M1002" s="174"/>
      <c r="N1002" s="176"/>
      <c r="O1002" s="176"/>
      <c r="P1002" s="173"/>
      <c r="Q1002" s="177"/>
      <c r="R1002" s="178"/>
      <c r="S1002" s="173"/>
      <c r="T1002" s="179"/>
      <c r="U1002" s="145"/>
    </row>
    <row r="1003" spans="1:21" ht="15" customHeight="1">
      <c r="A1003" s="159" t="s">
        <v>2744</v>
      </c>
      <c r="B1003" s="114" t="str">
        <f>VLOOKUP(A1003,'Data pick slip'!B:F,5,FALSE)</f>
        <v>KHJ-MC100-00</v>
      </c>
      <c r="C1003" s="169">
        <v>110986</v>
      </c>
      <c r="D1003" s="169" t="str">
        <f>VLOOKUP(C1003,Stock_list!D:L,2,FALSE)</f>
        <v xml:space="preserve"> SZ 奥祺(Special)</v>
      </c>
      <c r="E1003" s="281">
        <f>VLOOKUP(C1003,Stock_list!D:L,9,FALSE)</f>
        <v>44795</v>
      </c>
      <c r="F1003" s="170" t="s">
        <v>1381</v>
      </c>
      <c r="G1003" s="171">
        <v>50</v>
      </c>
      <c r="H1003" s="172"/>
      <c r="I1003" s="173"/>
      <c r="J1003" s="173"/>
      <c r="K1003" s="174"/>
      <c r="L1003" s="175"/>
      <c r="M1003" s="174"/>
      <c r="N1003" s="176"/>
      <c r="O1003" s="176"/>
      <c r="P1003" s="173"/>
      <c r="Q1003" s="177"/>
      <c r="R1003" s="178"/>
      <c r="S1003" s="173"/>
      <c r="T1003" s="179"/>
      <c r="U1003" s="145"/>
    </row>
    <row r="1004" spans="1:21" ht="15" customHeight="1">
      <c r="A1004" s="159" t="s">
        <v>2744</v>
      </c>
      <c r="B1004" s="114" t="str">
        <f>VLOOKUP(A1004,'Data pick slip'!B:F,5,FALSE)</f>
        <v>KHJ-MC100-00</v>
      </c>
      <c r="C1004" s="169" t="s">
        <v>2572</v>
      </c>
      <c r="D1004" s="169" t="str">
        <f>VLOOKUP(C1004,Stock_list!D:L,2,FALSE)</f>
        <v xml:space="preserve"> SZ斯迈拓</v>
      </c>
      <c r="E1004" s="281">
        <f>VLOOKUP(C1004,Stock_list!D:L,9,FALSE)</f>
        <v>44801</v>
      </c>
      <c r="F1004" s="170" t="s">
        <v>2979</v>
      </c>
      <c r="G1004" s="171">
        <v>50</v>
      </c>
      <c r="H1004" s="172"/>
      <c r="I1004" s="173"/>
      <c r="J1004" s="173"/>
      <c r="K1004" s="174"/>
      <c r="L1004" s="175"/>
      <c r="M1004" s="174"/>
      <c r="N1004" s="176"/>
      <c r="O1004" s="176"/>
      <c r="P1004" s="173"/>
      <c r="Q1004" s="177"/>
      <c r="R1004" s="178"/>
      <c r="S1004" s="173"/>
      <c r="T1004" s="179"/>
      <c r="U1004" s="145"/>
    </row>
    <row r="1005" spans="1:21" ht="15" customHeight="1">
      <c r="A1005" s="159" t="s">
        <v>2744</v>
      </c>
      <c r="B1005" s="114" t="str">
        <f>VLOOKUP(A1005,'Data pick slip'!B:F,5,FALSE)</f>
        <v>KHJ-MC100-00</v>
      </c>
      <c r="C1005" s="169">
        <v>110992</v>
      </c>
      <c r="D1005" s="169" t="str">
        <f>VLOOKUP(C1005,Stock_list!D:L,2,FALSE)</f>
        <v xml:space="preserve"> SZ欣华</v>
      </c>
      <c r="E1005" s="281">
        <f>VLOOKUP(C1005,Stock_list!D:L,9,FALSE)</f>
        <v>44795</v>
      </c>
      <c r="F1005" s="170" t="s">
        <v>1381</v>
      </c>
      <c r="G1005" s="171">
        <v>50</v>
      </c>
      <c r="H1005" s="172"/>
      <c r="I1005" s="173"/>
      <c r="J1005" s="173"/>
      <c r="K1005" s="174"/>
      <c r="L1005" s="175"/>
      <c r="M1005" s="174"/>
      <c r="N1005" s="176"/>
      <c r="O1005" s="176"/>
      <c r="P1005" s="173"/>
      <c r="Q1005" s="177"/>
      <c r="R1005" s="178"/>
      <c r="S1005" s="173"/>
      <c r="T1005" s="179"/>
      <c r="U1005" s="145"/>
    </row>
    <row r="1006" spans="1:21" ht="15" customHeight="1">
      <c r="A1006" s="159" t="s">
        <v>2744</v>
      </c>
      <c r="B1006" s="114" t="str">
        <f>VLOOKUP(A1006,'Data pick slip'!B:F,5,FALSE)</f>
        <v>KHJ-MC100-00</v>
      </c>
      <c r="C1006" s="169">
        <v>110991</v>
      </c>
      <c r="D1006" s="169" t="str">
        <f>VLOOKUP(C1006,Stock_list!D:L,2,FALSE)</f>
        <v xml:space="preserve"> SZ朗迅</v>
      </c>
      <c r="E1006" s="281">
        <f>VLOOKUP(C1006,Stock_list!D:L,9,FALSE)</f>
        <v>44809</v>
      </c>
      <c r="F1006" s="170" t="s">
        <v>1381</v>
      </c>
      <c r="G1006" s="171">
        <v>50</v>
      </c>
      <c r="H1006" s="172"/>
      <c r="I1006" s="173"/>
      <c r="J1006" s="173"/>
      <c r="K1006" s="174"/>
      <c r="L1006" s="175"/>
      <c r="M1006" s="174"/>
      <c r="N1006" s="176"/>
      <c r="O1006" s="176"/>
      <c r="P1006" s="173"/>
      <c r="Q1006" s="177"/>
      <c r="R1006" s="178"/>
      <c r="S1006" s="173"/>
      <c r="T1006" s="179"/>
      <c r="U1006" s="145"/>
    </row>
    <row r="1007" spans="1:21" ht="15" customHeight="1">
      <c r="A1007" s="159" t="s">
        <v>2744</v>
      </c>
      <c r="B1007" s="114" t="str">
        <f>VLOOKUP(A1007,'Data pick slip'!B:F,5,FALSE)</f>
        <v>KHJ-MC100-00</v>
      </c>
      <c r="C1007" s="169">
        <v>110990</v>
      </c>
      <c r="D1007" s="169" t="str">
        <f>VLOOKUP(C1007,Stock_list!D:L,2,FALSE)</f>
        <v xml:space="preserve"> SZ正讯</v>
      </c>
      <c r="E1007" s="281">
        <f>VLOOKUP(C1007,Stock_list!D:L,9,FALSE)</f>
        <v>44795</v>
      </c>
      <c r="F1007" s="170" t="s">
        <v>1381</v>
      </c>
      <c r="G1007" s="171">
        <v>50</v>
      </c>
      <c r="H1007" s="172"/>
      <c r="I1007" s="173"/>
      <c r="J1007" s="173"/>
      <c r="K1007" s="174"/>
      <c r="L1007" s="175"/>
      <c r="M1007" s="174"/>
      <c r="N1007" s="176"/>
      <c r="O1007" s="176"/>
      <c r="P1007" s="173"/>
      <c r="Q1007" s="177"/>
      <c r="R1007" s="178"/>
      <c r="S1007" s="173"/>
      <c r="T1007" s="179"/>
      <c r="U1007" s="145"/>
    </row>
    <row r="1008" spans="1:21" ht="15" customHeight="1">
      <c r="A1008" s="159" t="s">
        <v>2744</v>
      </c>
      <c r="B1008" s="114" t="str">
        <f>VLOOKUP(A1008,'Data pick slip'!B:F,5,FALSE)</f>
        <v>KHJ-MC100-00</v>
      </c>
      <c r="C1008" s="169">
        <v>110887</v>
      </c>
      <c r="D1008" s="169" t="str">
        <f>VLOOKUP(C1008,Stock_list!D:L,2,FALSE)</f>
        <v>拓普艾名义</v>
      </c>
      <c r="E1008" s="281">
        <f>VLOOKUP(C1008,Stock_list!D:L,9,FALSE)</f>
        <v>44724</v>
      </c>
      <c r="F1008" s="170" t="s">
        <v>1381</v>
      </c>
      <c r="G1008" s="171">
        <v>50</v>
      </c>
      <c r="H1008" s="172"/>
      <c r="I1008" s="173"/>
      <c r="J1008" s="173"/>
      <c r="K1008" s="174"/>
      <c r="L1008" s="175"/>
      <c r="M1008" s="174"/>
      <c r="N1008" s="176"/>
      <c r="O1008" s="176"/>
      <c r="P1008" s="173"/>
      <c r="Q1008" s="177"/>
      <c r="R1008" s="178"/>
      <c r="S1008" s="173"/>
      <c r="T1008" s="179"/>
      <c r="U1008" s="145"/>
    </row>
    <row r="1009" spans="1:21" ht="15" customHeight="1">
      <c r="A1009" s="159" t="s">
        <v>2747</v>
      </c>
      <c r="B1009" s="114" t="str">
        <f>VLOOKUP(A1009,'Data pick slip'!B:F,5,FALSE)</f>
        <v>KHJ-MC200-00</v>
      </c>
      <c r="C1009" s="169">
        <v>110887</v>
      </c>
      <c r="D1009" s="169" t="str">
        <f>VLOOKUP(C1009,Stock_list!D:L,2,FALSE)</f>
        <v>拓普艾名义</v>
      </c>
      <c r="E1009" s="281">
        <f>VLOOKUP(C1009,Stock_list!D:L,9,FALSE)</f>
        <v>44724</v>
      </c>
      <c r="F1009" s="170" t="s">
        <v>1381</v>
      </c>
      <c r="G1009" s="171">
        <v>10</v>
      </c>
      <c r="H1009" s="172"/>
      <c r="I1009" s="173"/>
      <c r="J1009" s="173"/>
      <c r="K1009" s="174"/>
      <c r="L1009" s="175"/>
      <c r="M1009" s="174"/>
      <c r="N1009" s="176"/>
      <c r="O1009" s="176"/>
      <c r="P1009" s="173"/>
      <c r="Q1009" s="177"/>
      <c r="R1009" s="178"/>
      <c r="S1009" s="173"/>
      <c r="T1009" s="179"/>
      <c r="U1009" s="145"/>
    </row>
    <row r="1010" spans="1:21" ht="15" customHeight="1">
      <c r="A1010" s="159" t="s">
        <v>2744</v>
      </c>
      <c r="B1010" s="114" t="str">
        <f>VLOOKUP(A1010,'Data pick slip'!B:F,5,FALSE)</f>
        <v>KHJ-MC100-00</v>
      </c>
      <c r="C1010" s="169">
        <v>111006</v>
      </c>
      <c r="D1010" s="169" t="str">
        <f>VLOOKUP(C1010,Stock_list!D:L,2,FALSE)</f>
        <v>#04403奕东</v>
      </c>
      <c r="E1010" s="281">
        <f>VLOOKUP(C1010,Stock_list!D:L,9,FALSE)</f>
        <v>44781</v>
      </c>
      <c r="F1010" s="170" t="s">
        <v>1381</v>
      </c>
      <c r="G1010" s="171">
        <v>200</v>
      </c>
      <c r="H1010" s="172"/>
      <c r="I1010" s="173"/>
      <c r="J1010" s="173"/>
      <c r="K1010" s="174"/>
      <c r="L1010" s="175"/>
      <c r="M1010" s="174"/>
      <c r="N1010" s="176"/>
      <c r="O1010" s="176"/>
      <c r="P1010" s="173"/>
      <c r="Q1010" s="177"/>
      <c r="R1010" s="178"/>
      <c r="S1010" s="173"/>
      <c r="T1010" s="179"/>
      <c r="U1010" s="145"/>
    </row>
    <row r="1011" spans="1:21" ht="15" customHeight="1">
      <c r="A1011" s="159" t="s">
        <v>2747</v>
      </c>
      <c r="B1011" s="114" t="str">
        <f>VLOOKUP(A1011,'Data pick slip'!B:F,5,FALSE)</f>
        <v>KHJ-MC200-00</v>
      </c>
      <c r="C1011" s="169">
        <v>111006</v>
      </c>
      <c r="D1011" s="169" t="str">
        <f>VLOOKUP(C1011,Stock_list!D:L,2,FALSE)</f>
        <v>#04403奕东</v>
      </c>
      <c r="E1011" s="281">
        <f>VLOOKUP(C1011,Stock_list!D:L,9,FALSE)</f>
        <v>44781</v>
      </c>
      <c r="F1011" s="170" t="s">
        <v>1381</v>
      </c>
      <c r="G1011" s="171">
        <v>50</v>
      </c>
      <c r="H1011" s="172"/>
      <c r="I1011" s="173"/>
      <c r="J1011" s="173"/>
      <c r="K1011" s="174"/>
      <c r="L1011" s="175"/>
      <c r="M1011" s="174"/>
      <c r="N1011" s="176"/>
      <c r="O1011" s="176"/>
      <c r="P1011" s="173"/>
      <c r="Q1011" s="177"/>
      <c r="R1011" s="178"/>
      <c r="S1011" s="173"/>
      <c r="T1011" s="179"/>
      <c r="U1011" s="145"/>
    </row>
    <row r="1012" spans="1:21" ht="15" customHeight="1">
      <c r="A1012" s="181" t="s">
        <v>2748</v>
      </c>
      <c r="B1012" s="114" t="str">
        <f>VLOOKUP(A1012,'Data pick slip'!B:F,5,FALSE)</f>
        <v>KHJ-MC400-00</v>
      </c>
      <c r="C1012" s="169">
        <v>111006</v>
      </c>
      <c r="D1012" s="169" t="str">
        <f>VLOOKUP(C1012,Stock_list!D:L,2,FALSE)</f>
        <v>#04403奕东</v>
      </c>
      <c r="E1012" s="281">
        <f>VLOOKUP(C1012,Stock_list!D:L,9,FALSE)</f>
        <v>44781</v>
      </c>
      <c r="F1012" s="170" t="s">
        <v>1381</v>
      </c>
      <c r="G1012" s="171">
        <v>10</v>
      </c>
      <c r="H1012" s="172"/>
      <c r="I1012" s="173"/>
      <c r="J1012" s="173"/>
      <c r="K1012" s="174"/>
      <c r="L1012" s="175"/>
      <c r="M1012" s="174"/>
      <c r="N1012" s="176"/>
      <c r="O1012" s="176"/>
      <c r="P1012" s="173"/>
      <c r="Q1012" s="177"/>
      <c r="R1012" s="178"/>
      <c r="S1012" s="173"/>
      <c r="T1012" s="179"/>
      <c r="U1012" s="145"/>
    </row>
    <row r="1013" spans="1:21" ht="15" customHeight="1">
      <c r="A1013" s="159" t="s">
        <v>2744</v>
      </c>
      <c r="B1013" s="114" t="str">
        <f>VLOOKUP(A1013,'Data pick slip'!B:F,5,FALSE)</f>
        <v>KHJ-MC100-00</v>
      </c>
      <c r="C1013" s="169"/>
      <c r="D1013" s="169"/>
      <c r="E1013" s="281" t="s">
        <v>2985</v>
      </c>
      <c r="F1013" s="170" t="s">
        <v>2753</v>
      </c>
      <c r="G1013" s="171">
        <v>320</v>
      </c>
      <c r="H1013" s="172"/>
      <c r="I1013" s="173"/>
      <c r="J1013" s="173"/>
      <c r="K1013" s="174"/>
      <c r="L1013" s="175"/>
      <c r="M1013" s="174"/>
      <c r="N1013" s="176"/>
      <c r="O1013" s="176"/>
      <c r="P1013" s="173"/>
      <c r="Q1013" s="177"/>
      <c r="R1013" s="178"/>
      <c r="S1013" s="173"/>
      <c r="T1013" s="179"/>
      <c r="U1013" s="145"/>
    </row>
    <row r="1014" spans="1:21" ht="15" customHeight="1">
      <c r="A1014" s="159" t="s">
        <v>2747</v>
      </c>
      <c r="B1014" s="114" t="str">
        <f>VLOOKUP(A1014,'Data pick slip'!B:F,5,FALSE)</f>
        <v>KHJ-MC200-00</v>
      </c>
      <c r="C1014" s="169"/>
      <c r="D1014" s="169"/>
      <c r="E1014" s="281" t="s">
        <v>2985</v>
      </c>
      <c r="F1014" s="170" t="s">
        <v>2753</v>
      </c>
      <c r="G1014" s="171">
        <v>80</v>
      </c>
      <c r="H1014" s="172"/>
      <c r="I1014" s="173"/>
      <c r="J1014" s="173"/>
      <c r="K1014" s="174"/>
      <c r="L1014" s="175"/>
      <c r="M1014" s="174"/>
      <c r="N1014" s="176"/>
      <c r="O1014" s="176"/>
      <c r="P1014" s="173"/>
      <c r="Q1014" s="177"/>
      <c r="R1014" s="178"/>
      <c r="S1014" s="173"/>
      <c r="T1014" s="179"/>
      <c r="U1014" s="145"/>
    </row>
    <row r="1015" spans="1:21" ht="15" customHeight="1">
      <c r="A1015" s="159" t="s">
        <v>2748</v>
      </c>
      <c r="B1015" s="114" t="str">
        <f>VLOOKUP(A1015,'Data pick slip'!B:F,5,FALSE)</f>
        <v>KHJ-MC400-00</v>
      </c>
      <c r="C1015" s="169"/>
      <c r="D1015" s="169"/>
      <c r="E1015" s="281" t="s">
        <v>2985</v>
      </c>
      <c r="F1015" s="170" t="s">
        <v>2753</v>
      </c>
      <c r="G1015" s="171">
        <v>20</v>
      </c>
      <c r="H1015" s="172"/>
      <c r="I1015" s="173"/>
      <c r="J1015" s="173"/>
      <c r="K1015" s="174"/>
      <c r="L1015" s="175"/>
      <c r="M1015" s="174"/>
      <c r="N1015" s="176"/>
      <c r="O1015" s="176"/>
      <c r="P1015" s="173"/>
      <c r="Q1015" s="177"/>
      <c r="R1015" s="178"/>
      <c r="S1015" s="173"/>
      <c r="T1015" s="179"/>
      <c r="U1015" s="145"/>
    </row>
    <row r="1016" spans="1:21" ht="15" customHeight="1">
      <c r="A1016" s="159" t="s">
        <v>2749</v>
      </c>
      <c r="B1016" s="114" t="str">
        <f>VLOOKUP(A1016,'Data pick slip'!B:F,5,FALSE)</f>
        <v>KHJ-MC500-00</v>
      </c>
      <c r="C1016" s="169"/>
      <c r="D1016" s="169"/>
      <c r="E1016" s="281" t="s">
        <v>2985</v>
      </c>
      <c r="F1016" s="170" t="s">
        <v>2753</v>
      </c>
      <c r="G1016" s="171">
        <v>10</v>
      </c>
      <c r="H1016" s="172"/>
      <c r="I1016" s="173"/>
      <c r="J1016" s="173"/>
      <c r="K1016" s="174"/>
      <c r="L1016" s="175"/>
      <c r="M1016" s="174"/>
      <c r="N1016" s="176"/>
      <c r="O1016" s="176"/>
      <c r="P1016" s="173"/>
      <c r="Q1016" s="177"/>
      <c r="R1016" s="178"/>
      <c r="S1016" s="173"/>
      <c r="T1016" s="179"/>
      <c r="U1016" s="145"/>
    </row>
    <row r="1017" spans="1:21" ht="15" customHeight="1">
      <c r="A1017" s="159" t="s">
        <v>2755</v>
      </c>
      <c r="B1017" s="114" t="str">
        <f>VLOOKUP(A1017,'Data pick slip'!B:F,5,FALSE)</f>
        <v>KLJ-MC100-00</v>
      </c>
      <c r="C1017" s="169"/>
      <c r="D1017" s="169"/>
      <c r="E1017" s="281" t="s">
        <v>2985</v>
      </c>
      <c r="F1017" s="170" t="s">
        <v>2753</v>
      </c>
      <c r="G1017" s="171">
        <v>30</v>
      </c>
      <c r="H1017" s="172"/>
      <c r="I1017" s="173"/>
      <c r="J1017" s="173"/>
      <c r="K1017" s="174"/>
      <c r="L1017" s="175"/>
      <c r="M1017" s="174"/>
      <c r="N1017" s="176"/>
      <c r="O1017" s="176"/>
      <c r="P1017" s="173"/>
      <c r="Q1017" s="177"/>
      <c r="R1017" s="178"/>
      <c r="S1017" s="173"/>
      <c r="T1017" s="179"/>
      <c r="U1017" s="145"/>
    </row>
    <row r="1018" spans="1:21" ht="15" customHeight="1">
      <c r="A1018" s="159" t="s">
        <v>2756</v>
      </c>
      <c r="B1018" s="114" t="str">
        <f>VLOOKUP(A1018,'Data pick slip'!B:F,5,FALSE)</f>
        <v>KLJ-MC200-00</v>
      </c>
      <c r="C1018" s="169"/>
      <c r="D1018" s="169"/>
      <c r="E1018" s="281" t="s">
        <v>2985</v>
      </c>
      <c r="F1018" s="170" t="s">
        <v>2753</v>
      </c>
      <c r="G1018" s="171">
        <v>20</v>
      </c>
      <c r="H1018" s="172"/>
      <c r="I1018" s="173"/>
      <c r="J1018" s="173"/>
      <c r="K1018" s="174"/>
      <c r="L1018" s="175"/>
      <c r="M1018" s="174"/>
      <c r="N1018" s="176"/>
      <c r="O1018" s="176"/>
      <c r="P1018" s="173"/>
      <c r="Q1018" s="177"/>
      <c r="R1018" s="178"/>
      <c r="S1018" s="173"/>
      <c r="T1018" s="179"/>
      <c r="U1018" s="145"/>
    </row>
    <row r="1019" spans="1:21" ht="15" customHeight="1">
      <c r="A1019" s="159" t="s">
        <v>2744</v>
      </c>
      <c r="B1019" s="114" t="str">
        <f>VLOOKUP(A1019,'Data pick slip'!B:F,5,FALSE)</f>
        <v>KHJ-MC100-00</v>
      </c>
      <c r="C1019" s="169"/>
      <c r="D1019" s="169"/>
      <c r="E1019" s="281" t="s">
        <v>2986</v>
      </c>
      <c r="F1019" s="170" t="s">
        <v>2753</v>
      </c>
      <c r="G1019" s="171">
        <v>260</v>
      </c>
      <c r="H1019" s="172"/>
      <c r="I1019" s="173"/>
      <c r="J1019" s="173"/>
      <c r="K1019" s="174"/>
      <c r="L1019" s="175"/>
      <c r="M1019" s="174"/>
      <c r="N1019" s="176"/>
      <c r="O1019" s="176"/>
      <c r="P1019" s="173"/>
      <c r="Q1019" s="177"/>
      <c r="R1019" s="178"/>
      <c r="S1019" s="173"/>
      <c r="T1019" s="179"/>
      <c r="U1019" s="145"/>
    </row>
    <row r="1020" spans="1:21" ht="15" customHeight="1">
      <c r="A1020" s="159" t="s">
        <v>2749</v>
      </c>
      <c r="B1020" s="114" t="str">
        <f>VLOOKUP(A1020,'Data pick slip'!B:F,5,FALSE)</f>
        <v>KHJ-MC500-00</v>
      </c>
      <c r="C1020" s="169"/>
      <c r="D1020" s="169"/>
      <c r="E1020" s="281" t="s">
        <v>2986</v>
      </c>
      <c r="F1020" s="170" t="s">
        <v>2753</v>
      </c>
      <c r="G1020" s="171">
        <v>20</v>
      </c>
      <c r="H1020" s="172"/>
      <c r="I1020" s="173"/>
      <c r="J1020" s="173"/>
      <c r="K1020" s="174"/>
      <c r="L1020" s="175"/>
      <c r="M1020" s="174"/>
      <c r="N1020" s="176"/>
      <c r="O1020" s="176"/>
      <c r="P1020" s="173"/>
      <c r="Q1020" s="177"/>
      <c r="R1020" s="178"/>
      <c r="S1020" s="173"/>
      <c r="T1020" s="179"/>
      <c r="U1020" s="145"/>
    </row>
    <row r="1021" spans="1:21" ht="15" customHeight="1">
      <c r="A1021" s="159" t="s">
        <v>2744</v>
      </c>
      <c r="B1021" s="114" t="str">
        <f>VLOOKUP(A1021,'Data pick slip'!B:F,5,FALSE)</f>
        <v>KHJ-MC100-00</v>
      </c>
      <c r="C1021" s="169"/>
      <c r="D1021" s="169"/>
      <c r="E1021" s="281" t="s">
        <v>2987</v>
      </c>
      <c r="F1021" s="170" t="s">
        <v>2753</v>
      </c>
      <c r="G1021" s="171">
        <v>280</v>
      </c>
      <c r="H1021" s="172"/>
      <c r="I1021" s="173"/>
      <c r="J1021" s="173"/>
      <c r="K1021" s="174"/>
      <c r="L1021" s="175"/>
      <c r="M1021" s="174"/>
      <c r="N1021" s="176"/>
      <c r="O1021" s="176"/>
      <c r="P1021" s="173"/>
      <c r="Q1021" s="177"/>
      <c r="R1021" s="178"/>
      <c r="S1021" s="173"/>
      <c r="T1021" s="179"/>
      <c r="U1021" s="145"/>
    </row>
    <row r="1022" spans="1:21" ht="15" customHeight="1">
      <c r="A1022" s="159" t="s">
        <v>2747</v>
      </c>
      <c r="B1022" s="114" t="str">
        <f>VLOOKUP(A1022,'Data pick slip'!B:F,5,FALSE)</f>
        <v>KHJ-MC200-00</v>
      </c>
      <c r="C1022" s="169"/>
      <c r="D1022" s="169"/>
      <c r="E1022" s="281" t="s">
        <v>2987</v>
      </c>
      <c r="F1022" s="170" t="s">
        <v>2753</v>
      </c>
      <c r="G1022" s="171">
        <v>60</v>
      </c>
      <c r="H1022" s="172"/>
      <c r="I1022" s="173"/>
      <c r="J1022" s="173"/>
      <c r="K1022" s="174"/>
      <c r="L1022" s="175"/>
      <c r="M1022" s="174"/>
      <c r="N1022" s="176"/>
      <c r="O1022" s="176"/>
      <c r="P1022" s="173"/>
      <c r="Q1022" s="177"/>
      <c r="R1022" s="178"/>
      <c r="S1022" s="173"/>
      <c r="T1022" s="179"/>
      <c r="U1022" s="145"/>
    </row>
    <row r="1023" spans="1:21" ht="15" customHeight="1">
      <c r="A1023" s="181" t="s">
        <v>2750</v>
      </c>
      <c r="B1023" s="114" t="str">
        <f>VLOOKUP(A1023,'Data pick slip'!B:F,5,FALSE)</f>
        <v>KHJ-MC600-00</v>
      </c>
      <c r="C1023" s="169"/>
      <c r="D1023" s="169"/>
      <c r="E1023" s="281" t="s">
        <v>2987</v>
      </c>
      <c r="F1023" s="170" t="s">
        <v>2753</v>
      </c>
      <c r="G1023" s="171">
        <v>20</v>
      </c>
      <c r="H1023" s="172"/>
      <c r="I1023" s="173"/>
      <c r="J1023" s="173"/>
      <c r="K1023" s="174"/>
      <c r="L1023" s="175"/>
      <c r="M1023" s="174"/>
      <c r="N1023" s="176"/>
      <c r="O1023" s="176"/>
      <c r="P1023" s="173"/>
      <c r="Q1023" s="177"/>
      <c r="R1023" s="178"/>
      <c r="S1023" s="173"/>
      <c r="T1023" s="179"/>
      <c r="U1023" s="145"/>
    </row>
    <row r="1024" spans="1:21" ht="15" customHeight="1">
      <c r="A1024" s="159" t="s">
        <v>2744</v>
      </c>
      <c r="B1024" s="114" t="str">
        <f>VLOOKUP(A1024,'Data pick slip'!B:F,5,FALSE)</f>
        <v>KHJ-MC100-00</v>
      </c>
      <c r="C1024" s="169">
        <v>111020</v>
      </c>
      <c r="D1024" s="169" t="str">
        <f>VLOOKUP(C1024,Stock_list!D:L,2,FALSE)</f>
        <v>惠州新明海</v>
      </c>
      <c r="E1024" s="281">
        <f>VLOOKUP(C1024,Stock_list!D:L,9,FALSE)</f>
        <v>44816</v>
      </c>
      <c r="F1024" s="170" t="s">
        <v>2979</v>
      </c>
      <c r="G1024" s="171">
        <v>300</v>
      </c>
      <c r="H1024" s="172"/>
      <c r="I1024" s="173"/>
      <c r="J1024" s="173"/>
      <c r="K1024" s="174"/>
      <c r="L1024" s="175"/>
      <c r="M1024" s="174"/>
      <c r="N1024" s="176"/>
      <c r="O1024" s="176"/>
      <c r="P1024" s="173"/>
      <c r="Q1024" s="177"/>
      <c r="R1024" s="178"/>
      <c r="S1024" s="173"/>
      <c r="T1024" s="179"/>
      <c r="U1024" s="145"/>
    </row>
    <row r="1025" spans="1:21" ht="15" customHeight="1">
      <c r="A1025" s="159" t="s">
        <v>2747</v>
      </c>
      <c r="B1025" s="114" t="str">
        <f>VLOOKUP(A1025,'Data pick slip'!B:F,5,FALSE)</f>
        <v>KHJ-MC200-00</v>
      </c>
      <c r="C1025" s="169">
        <v>111020</v>
      </c>
      <c r="D1025" s="169" t="str">
        <f>VLOOKUP(C1025,Stock_list!D:L,2,FALSE)</f>
        <v>惠州新明海</v>
      </c>
      <c r="E1025" s="281">
        <f>VLOOKUP(C1025,Stock_list!D:L,9,FALSE)</f>
        <v>44816</v>
      </c>
      <c r="F1025" s="170" t="s">
        <v>2979</v>
      </c>
      <c r="G1025" s="171">
        <v>100</v>
      </c>
      <c r="H1025" s="172"/>
      <c r="I1025" s="173"/>
      <c r="J1025" s="173"/>
      <c r="K1025" s="174"/>
      <c r="L1025" s="175"/>
      <c r="M1025" s="174"/>
      <c r="N1025" s="176"/>
      <c r="O1025" s="176"/>
      <c r="P1025" s="173"/>
      <c r="Q1025" s="177"/>
      <c r="R1025" s="178"/>
      <c r="S1025" s="173"/>
      <c r="T1025" s="179"/>
      <c r="U1025" s="145"/>
    </row>
    <row r="1026" spans="1:21" ht="15" customHeight="1">
      <c r="A1026" s="159" t="s">
        <v>2744</v>
      </c>
      <c r="B1026" s="114" t="str">
        <f>VLOOKUP(A1026,'Data pick slip'!B:F,5,FALSE)</f>
        <v>KHJ-MC100-00</v>
      </c>
      <c r="C1026" s="169">
        <v>110931</v>
      </c>
      <c r="D1026" s="169" t="str">
        <f>VLOOKUP(C1026,Stock_list!D:L,2,FALSE)</f>
        <v>快宇</v>
      </c>
      <c r="E1026" s="281">
        <f>VLOOKUP(C1026,Stock_list!D:L,9,FALSE)</f>
        <v>44746</v>
      </c>
      <c r="F1026" s="170" t="s">
        <v>1381</v>
      </c>
      <c r="G1026" s="171">
        <v>100</v>
      </c>
      <c r="H1026" s="172"/>
      <c r="I1026" s="173"/>
      <c r="J1026" s="173"/>
      <c r="K1026" s="174"/>
      <c r="L1026" s="175"/>
      <c r="M1026" s="174"/>
      <c r="N1026" s="176"/>
      <c r="O1026" s="176"/>
      <c r="P1026" s="173"/>
      <c r="Q1026" s="177"/>
      <c r="R1026" s="178"/>
      <c r="S1026" s="173"/>
      <c r="T1026" s="179"/>
      <c r="U1026" s="145"/>
    </row>
    <row r="1027" spans="1:21" ht="15" customHeight="1">
      <c r="A1027" s="159" t="s">
        <v>2744</v>
      </c>
      <c r="B1027" s="114" t="str">
        <f>VLOOKUP(A1027,'Data pick slip'!B:F,5,FALSE)</f>
        <v>KHJ-MC100-00</v>
      </c>
      <c r="C1027" s="311" t="s">
        <v>2988</v>
      </c>
      <c r="D1027" s="311" t="s">
        <v>2988</v>
      </c>
      <c r="E1027" s="281">
        <v>44757</v>
      </c>
      <c r="F1027" s="170" t="s">
        <v>2753</v>
      </c>
      <c r="G1027" s="171">
        <v>500</v>
      </c>
      <c r="H1027" s="172"/>
      <c r="I1027" s="173"/>
      <c r="J1027" s="173"/>
      <c r="K1027" s="174"/>
      <c r="L1027" s="175"/>
      <c r="M1027" s="174"/>
      <c r="N1027" s="176"/>
      <c r="O1027" s="176"/>
      <c r="P1027" s="173"/>
      <c r="Q1027" s="177"/>
      <c r="R1027" s="178"/>
      <c r="S1027" s="173"/>
      <c r="T1027" s="179"/>
      <c r="U1027" s="145"/>
    </row>
    <row r="1028" spans="1:21" ht="15" customHeight="1">
      <c r="A1028" s="159" t="s">
        <v>2747</v>
      </c>
      <c r="B1028" s="114" t="str">
        <f>VLOOKUP(A1028,'Data pick slip'!B:F,5,FALSE)</f>
        <v>KHJ-MC200-00</v>
      </c>
      <c r="C1028" s="311" t="s">
        <v>2988</v>
      </c>
      <c r="D1028" s="311" t="s">
        <v>2988</v>
      </c>
      <c r="E1028" s="281">
        <v>44757</v>
      </c>
      <c r="F1028" s="170" t="s">
        <v>2753</v>
      </c>
      <c r="G1028" s="171">
        <v>100</v>
      </c>
      <c r="H1028" s="172"/>
      <c r="I1028" s="173"/>
      <c r="J1028" s="173"/>
      <c r="K1028" s="174"/>
      <c r="L1028" s="175"/>
      <c r="M1028" s="174"/>
      <c r="N1028" s="176"/>
      <c r="O1028" s="176"/>
      <c r="P1028" s="173"/>
      <c r="Q1028" s="177"/>
      <c r="R1028" s="178"/>
      <c r="S1028" s="173"/>
      <c r="T1028" s="179"/>
      <c r="U1028" s="145"/>
    </row>
    <row r="1029" spans="1:21" ht="15" customHeight="1">
      <c r="A1029" s="181" t="s">
        <v>2748</v>
      </c>
      <c r="B1029" s="114" t="str">
        <f>VLOOKUP(A1029,'Data pick slip'!B:F,5,FALSE)</f>
        <v>KHJ-MC400-00</v>
      </c>
      <c r="C1029" s="311" t="s">
        <v>2988</v>
      </c>
      <c r="D1029" s="311" t="s">
        <v>2988</v>
      </c>
      <c r="E1029" s="281">
        <v>44757</v>
      </c>
      <c r="F1029" s="170" t="s">
        <v>2753</v>
      </c>
      <c r="G1029" s="171">
        <v>50</v>
      </c>
      <c r="H1029" s="172"/>
      <c r="I1029" s="173"/>
      <c r="J1029" s="173"/>
      <c r="K1029" s="174"/>
      <c r="L1029" s="175"/>
      <c r="M1029" s="174"/>
      <c r="N1029" s="176"/>
      <c r="O1029" s="176"/>
      <c r="P1029" s="173"/>
      <c r="Q1029" s="177"/>
      <c r="R1029" s="178"/>
      <c r="S1029" s="173"/>
      <c r="T1029" s="179"/>
      <c r="U1029" s="145"/>
    </row>
    <row r="1030" spans="1:21" ht="15" customHeight="1">
      <c r="A1030" s="181" t="s">
        <v>2749</v>
      </c>
      <c r="B1030" s="114" t="str">
        <f>VLOOKUP(A1030,'Data pick slip'!B:F,5,FALSE)</f>
        <v>KHJ-MC500-00</v>
      </c>
      <c r="C1030" s="311" t="s">
        <v>2988</v>
      </c>
      <c r="D1030" s="311" t="s">
        <v>2988</v>
      </c>
      <c r="E1030" s="281">
        <v>44757</v>
      </c>
      <c r="F1030" s="170" t="s">
        <v>2753</v>
      </c>
      <c r="G1030" s="171">
        <v>20</v>
      </c>
      <c r="H1030" s="172"/>
      <c r="I1030" s="173"/>
      <c r="J1030" s="173"/>
      <c r="K1030" s="174"/>
      <c r="L1030" s="175"/>
      <c r="M1030" s="174"/>
      <c r="N1030" s="176"/>
      <c r="O1030" s="176"/>
      <c r="P1030" s="173"/>
      <c r="Q1030" s="177"/>
      <c r="R1030" s="178"/>
      <c r="S1030" s="173"/>
      <c r="T1030" s="179"/>
      <c r="U1030" s="145"/>
    </row>
    <row r="1031" spans="1:21" ht="15" customHeight="1">
      <c r="A1031" s="181" t="s">
        <v>2750</v>
      </c>
      <c r="B1031" s="114" t="str">
        <f>VLOOKUP(A1031,'Data pick slip'!B:F,5,FALSE)</f>
        <v>KHJ-MC600-00</v>
      </c>
      <c r="C1031" s="311" t="s">
        <v>2988</v>
      </c>
      <c r="D1031" s="311" t="s">
        <v>2988</v>
      </c>
      <c r="E1031" s="281">
        <v>44757</v>
      </c>
      <c r="F1031" s="170" t="s">
        <v>2753</v>
      </c>
      <c r="G1031" s="171">
        <v>20</v>
      </c>
      <c r="H1031" s="172"/>
      <c r="I1031" s="173"/>
      <c r="J1031" s="173"/>
      <c r="K1031" s="174"/>
      <c r="L1031" s="175"/>
      <c r="M1031" s="174"/>
      <c r="N1031" s="176"/>
      <c r="O1031" s="176"/>
      <c r="P1031" s="173"/>
      <c r="Q1031" s="177"/>
      <c r="R1031" s="178"/>
      <c r="S1031" s="173"/>
      <c r="T1031" s="179"/>
      <c r="U1031" s="145"/>
    </row>
    <row r="1032" spans="1:21" ht="15" customHeight="1">
      <c r="A1032" s="181" t="s">
        <v>2751</v>
      </c>
      <c r="B1032" s="114" t="str">
        <f>VLOOKUP(A1032,'Data pick slip'!B:F,5,FALSE)</f>
        <v>KHJ-MC700-00</v>
      </c>
      <c r="C1032" s="311" t="s">
        <v>2988</v>
      </c>
      <c r="D1032" s="311" t="s">
        <v>2988</v>
      </c>
      <c r="E1032" s="281">
        <v>44757</v>
      </c>
      <c r="F1032" s="170" t="s">
        <v>2753</v>
      </c>
      <c r="G1032" s="171">
        <v>2</v>
      </c>
      <c r="H1032" s="172"/>
      <c r="I1032" s="173"/>
      <c r="J1032" s="173"/>
      <c r="K1032" s="174"/>
      <c r="L1032" s="175"/>
      <c r="M1032" s="174"/>
      <c r="N1032" s="176"/>
      <c r="O1032" s="176"/>
      <c r="P1032" s="173"/>
      <c r="Q1032" s="177"/>
      <c r="R1032" s="178"/>
      <c r="S1032" s="173"/>
      <c r="T1032" s="179"/>
      <c r="U1032" s="145"/>
    </row>
    <row r="1033" spans="1:21" ht="15" customHeight="1">
      <c r="A1033" s="159" t="s">
        <v>2744</v>
      </c>
      <c r="B1033" s="114" t="str">
        <f>VLOOKUP(A1033,'Data pick slip'!B:F,5,FALSE)</f>
        <v>KHJ-MC100-00</v>
      </c>
      <c r="C1033" s="169"/>
      <c r="D1033" s="169"/>
      <c r="E1033" s="139" t="s">
        <v>2989</v>
      </c>
      <c r="F1033" s="170" t="s">
        <v>2753</v>
      </c>
      <c r="G1033" s="171">
        <v>755</v>
      </c>
      <c r="H1033" s="172"/>
      <c r="I1033" s="173"/>
      <c r="J1033" s="173"/>
      <c r="K1033" s="174"/>
      <c r="L1033" s="175"/>
      <c r="M1033" s="174"/>
      <c r="N1033" s="176"/>
      <c r="O1033" s="176"/>
      <c r="P1033" s="173"/>
      <c r="Q1033" s="177"/>
      <c r="R1033" s="178"/>
      <c r="S1033" s="173"/>
      <c r="T1033" s="179"/>
      <c r="U1033" s="145"/>
    </row>
    <row r="1034" spans="1:21" ht="15" customHeight="1">
      <c r="A1034" s="159" t="s">
        <v>2747</v>
      </c>
      <c r="B1034" s="114" t="str">
        <f>VLOOKUP(A1034,'Data pick slip'!B:F,5,FALSE)</f>
        <v>KHJ-MC200-00</v>
      </c>
      <c r="C1034" s="169"/>
      <c r="D1034" s="169"/>
      <c r="E1034" s="139" t="s">
        <v>2989</v>
      </c>
      <c r="F1034" s="170" t="s">
        <v>2753</v>
      </c>
      <c r="G1034" s="171">
        <v>75</v>
      </c>
      <c r="H1034" s="172"/>
      <c r="I1034" s="173"/>
      <c r="J1034" s="173"/>
      <c r="K1034" s="174"/>
      <c r="L1034" s="175"/>
      <c r="M1034" s="174"/>
      <c r="N1034" s="176"/>
      <c r="O1034" s="176"/>
      <c r="P1034" s="173"/>
      <c r="Q1034" s="177"/>
      <c r="R1034" s="178"/>
      <c r="S1034" s="173"/>
      <c r="T1034" s="179"/>
      <c r="U1034" s="145"/>
    </row>
    <row r="1035" spans="1:21" ht="15" customHeight="1">
      <c r="A1035" s="159" t="s">
        <v>2755</v>
      </c>
      <c r="B1035" s="114" t="str">
        <f>VLOOKUP(A1035,'Data pick slip'!B:F,5,FALSE)</f>
        <v>KLJ-MC100-00</v>
      </c>
      <c r="C1035" s="169"/>
      <c r="D1035" s="169"/>
      <c r="E1035" s="139" t="s">
        <v>2989</v>
      </c>
      <c r="F1035" s="170" t="s">
        <v>2753</v>
      </c>
      <c r="G1035" s="171">
        <v>280</v>
      </c>
      <c r="H1035" s="172"/>
      <c r="I1035" s="173"/>
      <c r="J1035" s="146"/>
      <c r="K1035" s="51"/>
      <c r="L1035" s="4"/>
      <c r="M1035" s="146"/>
      <c r="N1035" s="176"/>
      <c r="O1035" s="176"/>
      <c r="P1035" s="173"/>
      <c r="Q1035" s="177"/>
      <c r="R1035" s="178"/>
      <c r="S1035" s="173"/>
      <c r="T1035" s="179"/>
      <c r="U1035" s="145"/>
    </row>
    <row r="1036" spans="1:21" ht="15" customHeight="1">
      <c r="A1036" s="159" t="s">
        <v>2756</v>
      </c>
      <c r="B1036" s="114" t="str">
        <f>VLOOKUP(A1036,'Data pick slip'!B:F,5,FALSE)</f>
        <v>KLJ-MC200-00</v>
      </c>
      <c r="C1036" s="169"/>
      <c r="D1036" s="169"/>
      <c r="E1036" s="139" t="s">
        <v>2989</v>
      </c>
      <c r="F1036" s="170" t="s">
        <v>2753</v>
      </c>
      <c r="G1036" s="171">
        <v>60</v>
      </c>
      <c r="H1036" s="172"/>
      <c r="I1036" s="173"/>
      <c r="J1036" s="146"/>
      <c r="K1036" s="51"/>
      <c r="L1036" s="4"/>
      <c r="M1036" s="146"/>
      <c r="N1036" s="176"/>
      <c r="O1036" s="176"/>
      <c r="P1036" s="173"/>
      <c r="Q1036" s="177"/>
      <c r="R1036" s="178"/>
      <c r="S1036" s="173"/>
      <c r="T1036" s="179"/>
      <c r="U1036" s="145"/>
    </row>
    <row r="1037" spans="1:21" ht="15" customHeight="1">
      <c r="A1037" s="159" t="s">
        <v>2758</v>
      </c>
      <c r="B1037" s="114" t="str">
        <f>VLOOKUP(A1037,'Data pick slip'!B:F,5,FALSE)</f>
        <v>KLJ-MC500-00</v>
      </c>
      <c r="C1037" s="169"/>
      <c r="D1037" s="169"/>
      <c r="E1037" s="139" t="s">
        <v>2989</v>
      </c>
      <c r="F1037" s="170" t="s">
        <v>2753</v>
      </c>
      <c r="G1037" s="171">
        <v>20</v>
      </c>
      <c r="H1037" s="172"/>
      <c r="I1037" s="173"/>
      <c r="J1037" s="146"/>
      <c r="K1037" s="51"/>
      <c r="L1037" s="4"/>
      <c r="M1037" s="146"/>
      <c r="N1037" s="176"/>
      <c r="O1037" s="176"/>
      <c r="P1037" s="173"/>
      <c r="Q1037" s="177"/>
      <c r="R1037" s="178"/>
      <c r="S1037" s="173"/>
      <c r="T1037" s="179"/>
      <c r="U1037" s="145"/>
    </row>
    <row r="1038" spans="1:21" ht="15" customHeight="1">
      <c r="A1038" s="159" t="s">
        <v>2744</v>
      </c>
      <c r="B1038" s="114" t="str">
        <f>VLOOKUP(A1038,'Data pick slip'!B:F,5,FALSE)</f>
        <v>KHJ-MC100-00</v>
      </c>
      <c r="C1038" s="169"/>
      <c r="D1038" s="169"/>
      <c r="E1038" s="139" t="s">
        <v>2990</v>
      </c>
      <c r="F1038" s="170" t="s">
        <v>2753</v>
      </c>
      <c r="G1038" s="171">
        <v>445</v>
      </c>
      <c r="H1038" s="172"/>
      <c r="I1038" s="173"/>
      <c r="J1038" s="146"/>
      <c r="K1038" s="51"/>
      <c r="L1038" s="4"/>
      <c r="M1038" s="146"/>
      <c r="N1038" s="176"/>
      <c r="O1038" s="176"/>
      <c r="P1038" s="173"/>
      <c r="Q1038" s="177"/>
      <c r="R1038" s="178"/>
      <c r="S1038" s="173"/>
      <c r="T1038" s="179"/>
      <c r="U1038" s="145"/>
    </row>
    <row r="1039" spans="1:21" ht="15" customHeight="1">
      <c r="A1039" s="159" t="s">
        <v>2747</v>
      </c>
      <c r="B1039" s="114" t="str">
        <f>VLOOKUP(A1039,'Data pick slip'!B:F,5,FALSE)</f>
        <v>KHJ-MC200-00</v>
      </c>
      <c r="C1039" s="169"/>
      <c r="D1039" s="169"/>
      <c r="E1039" s="139" t="s">
        <v>2990</v>
      </c>
      <c r="F1039" s="170" t="s">
        <v>2753</v>
      </c>
      <c r="G1039" s="171">
        <v>70</v>
      </c>
      <c r="H1039" s="172"/>
      <c r="I1039" s="173"/>
      <c r="J1039" s="146"/>
      <c r="K1039" s="51"/>
      <c r="L1039" s="4"/>
      <c r="M1039" s="146"/>
      <c r="N1039" s="176"/>
      <c r="O1039" s="176"/>
      <c r="P1039" s="173"/>
      <c r="Q1039" s="177"/>
      <c r="R1039" s="178"/>
      <c r="S1039" s="173"/>
      <c r="T1039" s="179"/>
      <c r="U1039" s="145"/>
    </row>
    <row r="1040" spans="1:21" ht="15" customHeight="1">
      <c r="A1040" s="159" t="s">
        <v>2748</v>
      </c>
      <c r="B1040" s="114" t="str">
        <f>VLOOKUP(A1040,'Data pick slip'!B:F,5,FALSE)</f>
        <v>KHJ-MC400-00</v>
      </c>
      <c r="C1040" s="169"/>
      <c r="D1040" s="169"/>
      <c r="E1040" s="139" t="s">
        <v>2990</v>
      </c>
      <c r="F1040" s="170" t="s">
        <v>2753</v>
      </c>
      <c r="G1040" s="171">
        <v>51</v>
      </c>
      <c r="H1040" s="172"/>
      <c r="I1040" s="173"/>
      <c r="J1040" s="146"/>
      <c r="K1040" s="51"/>
      <c r="L1040" s="4"/>
      <c r="M1040" s="146"/>
      <c r="N1040" s="176"/>
      <c r="O1040" s="176"/>
      <c r="P1040" s="173"/>
      <c r="Q1040" s="177"/>
      <c r="R1040" s="178"/>
      <c r="S1040" s="173"/>
      <c r="T1040" s="179"/>
      <c r="U1040" s="145"/>
    </row>
    <row r="1041" spans="1:21" ht="15" customHeight="1">
      <c r="A1041" s="159" t="s">
        <v>2749</v>
      </c>
      <c r="B1041" s="114" t="str">
        <f>VLOOKUP(A1041,'Data pick slip'!B:F,5,FALSE)</f>
        <v>KHJ-MC500-00</v>
      </c>
      <c r="C1041" s="169"/>
      <c r="D1041" s="169"/>
      <c r="E1041" s="139" t="s">
        <v>2990</v>
      </c>
      <c r="F1041" s="170" t="s">
        <v>2753</v>
      </c>
      <c r="G1041" s="171">
        <v>18</v>
      </c>
      <c r="H1041" s="172"/>
      <c r="I1041" s="173"/>
      <c r="J1041" s="146"/>
      <c r="K1041" s="51"/>
      <c r="L1041" s="4"/>
      <c r="M1041" s="146"/>
      <c r="N1041" s="176"/>
      <c r="O1041" s="176"/>
      <c r="P1041" s="173"/>
      <c r="Q1041" s="177"/>
      <c r="R1041" s="178"/>
      <c r="S1041" s="173"/>
      <c r="T1041" s="179"/>
      <c r="U1041" s="145"/>
    </row>
    <row r="1042" spans="1:21" ht="15" customHeight="1">
      <c r="A1042" s="159" t="s">
        <v>2750</v>
      </c>
      <c r="B1042" s="114" t="str">
        <f>VLOOKUP(A1042,'Data pick slip'!B:F,5,FALSE)</f>
        <v>KHJ-MC600-00</v>
      </c>
      <c r="C1042" s="169"/>
      <c r="D1042" s="169"/>
      <c r="E1042" s="139" t="s">
        <v>2990</v>
      </c>
      <c r="F1042" s="170" t="s">
        <v>2753</v>
      </c>
      <c r="G1042" s="171">
        <v>6</v>
      </c>
      <c r="H1042" s="172"/>
      <c r="I1042" s="173"/>
      <c r="J1042" s="146"/>
      <c r="K1042" s="51"/>
      <c r="L1042" s="4"/>
      <c r="M1042" s="146"/>
      <c r="N1042" s="176"/>
      <c r="O1042" s="176"/>
      <c r="P1042" s="173"/>
      <c r="Q1042" s="177"/>
      <c r="R1042" s="178"/>
      <c r="S1042" s="173"/>
      <c r="T1042" s="179"/>
      <c r="U1042" s="145"/>
    </row>
    <row r="1043" spans="1:21" ht="15" customHeight="1">
      <c r="A1043" s="159" t="s">
        <v>2757</v>
      </c>
      <c r="B1043" s="114" t="str">
        <f>VLOOKUP(A1043,'Data pick slip'!B:F,5,FALSE)</f>
        <v>KLJ-MC400-00</v>
      </c>
      <c r="C1043" s="169"/>
      <c r="D1043" s="169"/>
      <c r="E1043" s="139" t="s">
        <v>2990</v>
      </c>
      <c r="F1043" s="170" t="s">
        <v>2753</v>
      </c>
      <c r="G1043" s="171">
        <v>36</v>
      </c>
      <c r="H1043" s="172"/>
      <c r="I1043" s="173"/>
      <c r="J1043" s="146"/>
      <c r="K1043" s="51"/>
      <c r="L1043" s="4"/>
      <c r="M1043" s="146"/>
      <c r="N1043" s="176"/>
      <c r="O1043" s="176"/>
      <c r="P1043" s="173"/>
      <c r="Q1043" s="177"/>
      <c r="R1043" s="178"/>
      <c r="S1043" s="173"/>
      <c r="T1043" s="179"/>
      <c r="U1043" s="145"/>
    </row>
    <row r="1044" spans="1:21" ht="15" customHeight="1">
      <c r="A1044" s="159" t="s">
        <v>2744</v>
      </c>
      <c r="B1044" s="114" t="str">
        <f>VLOOKUP(A1044,'Data pick slip'!B:F,5,FALSE)</f>
        <v>KHJ-MC100-00</v>
      </c>
      <c r="C1044" s="169"/>
      <c r="D1044" s="169"/>
      <c r="E1044" s="139" t="s">
        <v>2991</v>
      </c>
      <c r="F1044" s="170" t="s">
        <v>2753</v>
      </c>
      <c r="G1044" s="321">
        <v>120</v>
      </c>
      <c r="H1044" s="172"/>
      <c r="I1044" s="173"/>
      <c r="K1044" s="51"/>
      <c r="L1044" s="4"/>
      <c r="N1044" s="176"/>
      <c r="O1044" s="176"/>
      <c r="P1044" s="173"/>
      <c r="Q1044" s="177"/>
      <c r="R1044" s="178"/>
      <c r="S1044" s="173"/>
      <c r="T1044" s="179"/>
      <c r="U1044" s="145"/>
    </row>
    <row r="1045" spans="1:21" ht="15" customHeight="1">
      <c r="A1045" s="159" t="s">
        <v>2747</v>
      </c>
      <c r="B1045" s="114" t="str">
        <f>VLOOKUP(A1045,'Data pick slip'!B:F,5,FALSE)</f>
        <v>KHJ-MC200-00</v>
      </c>
      <c r="C1045" s="169"/>
      <c r="D1045" s="169"/>
      <c r="E1045" s="139" t="s">
        <v>2991</v>
      </c>
      <c r="F1045" s="170" t="s">
        <v>2753</v>
      </c>
      <c r="G1045" s="321">
        <v>13</v>
      </c>
      <c r="H1045" s="172"/>
      <c r="I1045" s="173"/>
      <c r="K1045" s="51"/>
      <c r="L1045" s="4"/>
      <c r="N1045" s="176"/>
      <c r="O1045" s="176"/>
      <c r="P1045" s="173"/>
      <c r="Q1045" s="177"/>
      <c r="R1045" s="178"/>
      <c r="S1045" s="173"/>
      <c r="T1045" s="179"/>
      <c r="U1045" s="145"/>
    </row>
    <row r="1046" spans="1:21" ht="15" customHeight="1">
      <c r="A1046" s="159" t="s">
        <v>2748</v>
      </c>
      <c r="B1046" s="114" t="str">
        <f>VLOOKUP(A1046,'Data pick slip'!B:F,5,FALSE)</f>
        <v>KHJ-MC400-00</v>
      </c>
      <c r="C1046" s="169"/>
      <c r="D1046" s="169"/>
      <c r="E1046" s="139" t="s">
        <v>2991</v>
      </c>
      <c r="F1046" s="170" t="s">
        <v>2753</v>
      </c>
      <c r="G1046" s="321">
        <v>5</v>
      </c>
      <c r="H1046" s="172"/>
      <c r="I1046" s="173"/>
      <c r="K1046" s="51"/>
      <c r="L1046" s="4"/>
      <c r="N1046" s="176"/>
      <c r="O1046" s="176"/>
      <c r="P1046" s="173"/>
      <c r="Q1046" s="177"/>
      <c r="R1046" s="178"/>
      <c r="S1046" s="173"/>
      <c r="T1046" s="179"/>
      <c r="U1046" s="145"/>
    </row>
    <row r="1047" spans="1:21" ht="15" customHeight="1">
      <c r="A1047" s="159" t="s">
        <v>2749</v>
      </c>
      <c r="B1047" s="114" t="str">
        <f>VLOOKUP(A1047,'Data pick slip'!B:F,5,FALSE)</f>
        <v>KHJ-MC500-00</v>
      </c>
      <c r="C1047" s="169"/>
      <c r="D1047" s="169"/>
      <c r="E1047" s="139" t="s">
        <v>2991</v>
      </c>
      <c r="F1047" s="170" t="s">
        <v>2753</v>
      </c>
      <c r="G1047" s="321">
        <v>5</v>
      </c>
      <c r="H1047" s="172"/>
      <c r="I1047" s="173"/>
      <c r="K1047" s="51"/>
      <c r="L1047" s="4"/>
      <c r="N1047" s="176"/>
      <c r="O1047" s="176"/>
      <c r="P1047" s="173"/>
      <c r="Q1047" s="177"/>
      <c r="R1047" s="178"/>
      <c r="S1047" s="173"/>
      <c r="T1047" s="179"/>
      <c r="U1047" s="145"/>
    </row>
    <row r="1048" spans="1:21" ht="15" customHeight="1">
      <c r="A1048" s="159" t="s">
        <v>2744</v>
      </c>
      <c r="B1048" s="114" t="str">
        <f>VLOOKUP(A1048,'Data pick slip'!B:F,5,FALSE)</f>
        <v>KHJ-MC100-00</v>
      </c>
      <c r="C1048" s="169"/>
      <c r="D1048" s="169"/>
      <c r="E1048" s="139" t="s">
        <v>2992</v>
      </c>
      <c r="F1048" s="170" t="s">
        <v>2753</v>
      </c>
      <c r="G1048" s="321">
        <v>210</v>
      </c>
      <c r="H1048" s="172"/>
      <c r="I1048" s="173"/>
      <c r="K1048" s="51"/>
      <c r="L1048" s="4"/>
      <c r="N1048" s="176"/>
      <c r="O1048" s="176"/>
      <c r="P1048" s="173"/>
      <c r="Q1048" s="177"/>
      <c r="R1048" s="178"/>
      <c r="S1048" s="173"/>
      <c r="T1048" s="179"/>
      <c r="U1048" s="145"/>
    </row>
    <row r="1049" spans="1:21" ht="15" customHeight="1">
      <c r="A1049" s="159" t="s">
        <v>2747</v>
      </c>
      <c r="B1049" s="114" t="str">
        <f>VLOOKUP(A1049,'Data pick slip'!B:F,5,FALSE)</f>
        <v>KHJ-MC200-00</v>
      </c>
      <c r="C1049" s="169"/>
      <c r="D1049" s="169"/>
      <c r="E1049" s="139" t="s">
        <v>2992</v>
      </c>
      <c r="F1049" s="170" t="s">
        <v>2753</v>
      </c>
      <c r="G1049" s="321">
        <v>20</v>
      </c>
      <c r="H1049" s="172"/>
      <c r="I1049" s="173"/>
      <c r="K1049" s="51"/>
      <c r="L1049" s="4"/>
      <c r="N1049" s="176"/>
      <c r="O1049" s="176"/>
      <c r="P1049" s="173"/>
      <c r="Q1049" s="177"/>
      <c r="R1049" s="178"/>
      <c r="S1049" s="173"/>
      <c r="T1049" s="179"/>
      <c r="U1049" s="145"/>
    </row>
    <row r="1050" spans="1:21" ht="15" customHeight="1">
      <c r="A1050" s="159" t="s">
        <v>2755</v>
      </c>
      <c r="B1050" s="114" t="str">
        <f>VLOOKUP(A1050,'Data pick slip'!B:F,5,FALSE)</f>
        <v>KLJ-MC100-00</v>
      </c>
      <c r="C1050" s="169"/>
      <c r="D1050" s="169"/>
      <c r="E1050" s="139" t="s">
        <v>2992</v>
      </c>
      <c r="F1050" s="170" t="s">
        <v>2753</v>
      </c>
      <c r="G1050" s="321">
        <v>95</v>
      </c>
      <c r="H1050" s="172"/>
      <c r="I1050" s="173"/>
      <c r="K1050" s="51"/>
      <c r="L1050" s="4"/>
      <c r="N1050" s="176"/>
      <c r="O1050" s="176"/>
      <c r="P1050" s="173"/>
      <c r="Q1050" s="177"/>
      <c r="R1050" s="178"/>
      <c r="S1050" s="173"/>
      <c r="T1050" s="179"/>
      <c r="U1050" s="145"/>
    </row>
    <row r="1051" spans="1:21" ht="15" customHeight="1">
      <c r="A1051" s="159" t="s">
        <v>2744</v>
      </c>
      <c r="B1051" s="114" t="str">
        <f>VLOOKUP(A1051,'Data pick slip'!B:F,5,FALSE)</f>
        <v>KHJ-MC100-00</v>
      </c>
      <c r="C1051" s="169"/>
      <c r="D1051" s="169"/>
      <c r="E1051" s="139" t="s">
        <v>2993</v>
      </c>
      <c r="F1051" s="170" t="s">
        <v>2753</v>
      </c>
      <c r="G1051" s="171">
        <v>124</v>
      </c>
      <c r="H1051" s="172"/>
      <c r="I1051" s="173"/>
      <c r="J1051" s="173"/>
      <c r="K1051" s="174"/>
      <c r="L1051" s="175"/>
      <c r="M1051" s="174"/>
      <c r="N1051" s="176"/>
      <c r="O1051" s="176"/>
      <c r="P1051" s="173"/>
      <c r="Q1051" s="177"/>
      <c r="R1051" s="178"/>
      <c r="S1051" s="173"/>
      <c r="T1051" s="179"/>
      <c r="U1051" s="145"/>
    </row>
    <row r="1052" spans="1:21" ht="15" customHeight="1">
      <c r="A1052" s="159" t="s">
        <v>2747</v>
      </c>
      <c r="B1052" s="114" t="str">
        <f>VLOOKUP(A1052,'Data pick slip'!B:F,5,FALSE)</f>
        <v>KHJ-MC200-00</v>
      </c>
      <c r="C1052" s="169"/>
      <c r="D1052" s="169"/>
      <c r="E1052" s="139" t="s">
        <v>2993</v>
      </c>
      <c r="F1052" s="170" t="s">
        <v>2753</v>
      </c>
      <c r="G1052" s="171">
        <v>5</v>
      </c>
      <c r="H1052" s="172"/>
      <c r="I1052" s="173"/>
      <c r="J1052" s="173"/>
      <c r="K1052" s="174"/>
      <c r="L1052" s="175"/>
      <c r="M1052" s="174"/>
      <c r="N1052" s="176"/>
      <c r="O1052" s="176"/>
      <c r="P1052" s="173"/>
      <c r="Q1052" s="177"/>
      <c r="R1052" s="178"/>
      <c r="S1052" s="173"/>
      <c r="T1052" s="179"/>
      <c r="U1052" s="145"/>
    </row>
    <row r="1053" spans="1:21" ht="15" customHeight="1">
      <c r="A1053" s="159" t="s">
        <v>2748</v>
      </c>
      <c r="B1053" s="114" t="str">
        <f>VLOOKUP(A1053,'Data pick slip'!B:F,5,FALSE)</f>
        <v>KHJ-MC400-00</v>
      </c>
      <c r="C1053" s="169"/>
      <c r="D1053" s="169"/>
      <c r="E1053" s="139" t="s">
        <v>2993</v>
      </c>
      <c r="F1053" s="170" t="s">
        <v>2753</v>
      </c>
      <c r="G1053" s="171">
        <v>3</v>
      </c>
      <c r="H1053" s="172"/>
      <c r="I1053" s="173"/>
      <c r="J1053" s="173"/>
      <c r="K1053" s="174"/>
      <c r="L1053" s="175"/>
      <c r="M1053" s="174"/>
      <c r="N1053" s="176"/>
      <c r="O1053" s="176"/>
      <c r="P1053" s="173"/>
      <c r="Q1053" s="177"/>
      <c r="R1053" s="178"/>
      <c r="S1053" s="173"/>
      <c r="T1053" s="179"/>
      <c r="U1053" s="145"/>
    </row>
    <row r="1054" spans="1:21" ht="15" customHeight="1">
      <c r="A1054" s="159" t="s">
        <v>2749</v>
      </c>
      <c r="B1054" s="114" t="str">
        <f>VLOOKUP(A1054,'Data pick slip'!B:F,5,FALSE)</f>
        <v>KHJ-MC500-00</v>
      </c>
      <c r="C1054" s="169"/>
      <c r="D1054" s="169"/>
      <c r="E1054" s="139" t="s">
        <v>2993</v>
      </c>
      <c r="F1054" s="170" t="s">
        <v>2753</v>
      </c>
      <c r="G1054" s="171">
        <v>7</v>
      </c>
      <c r="H1054" s="172"/>
      <c r="I1054" s="173"/>
      <c r="J1054" s="173"/>
      <c r="K1054" s="174"/>
      <c r="L1054" s="175"/>
      <c r="M1054" s="174"/>
      <c r="N1054" s="176"/>
      <c r="O1054" s="176"/>
      <c r="P1054" s="173"/>
      <c r="Q1054" s="177"/>
      <c r="R1054" s="178"/>
      <c r="S1054" s="173"/>
      <c r="T1054" s="179"/>
      <c r="U1054" s="145"/>
    </row>
    <row r="1055" spans="1:21" ht="15" customHeight="1">
      <c r="A1055" s="159" t="s">
        <v>2744</v>
      </c>
      <c r="B1055" s="114" t="str">
        <f>VLOOKUP(A1055,'Data pick slip'!B:F,5,FALSE)</f>
        <v>KHJ-MC100-00</v>
      </c>
      <c r="C1055" s="169"/>
      <c r="D1055" s="169"/>
      <c r="E1055" s="139" t="s">
        <v>2994</v>
      </c>
      <c r="F1055" s="170" t="s">
        <v>2753</v>
      </c>
      <c r="G1055" s="171">
        <v>410</v>
      </c>
      <c r="H1055" s="172"/>
      <c r="I1055" s="173"/>
      <c r="J1055" s="173"/>
      <c r="K1055" s="174"/>
      <c r="L1055" s="175"/>
      <c r="M1055" s="174"/>
      <c r="N1055" s="176"/>
      <c r="O1055" s="176"/>
      <c r="P1055" s="173"/>
      <c r="Q1055" s="177"/>
      <c r="R1055" s="178"/>
      <c r="S1055" s="173"/>
      <c r="T1055" s="179"/>
      <c r="U1055" s="145"/>
    </row>
    <row r="1056" spans="1:21" ht="15" customHeight="1">
      <c r="A1056" s="159" t="s">
        <v>2747</v>
      </c>
      <c r="B1056" s="114" t="str">
        <f>VLOOKUP(A1056,'Data pick slip'!B:F,5,FALSE)</f>
        <v>KHJ-MC200-00</v>
      </c>
      <c r="C1056" s="169"/>
      <c r="D1056" s="169"/>
      <c r="E1056" s="139" t="s">
        <v>2994</v>
      </c>
      <c r="F1056" s="170" t="s">
        <v>2753</v>
      </c>
      <c r="G1056" s="171">
        <v>20</v>
      </c>
      <c r="H1056" s="172"/>
      <c r="I1056" s="173"/>
      <c r="J1056" s="173"/>
      <c r="K1056" s="174"/>
      <c r="L1056" s="175"/>
      <c r="M1056" s="174"/>
      <c r="N1056" s="176"/>
      <c r="O1056" s="176"/>
      <c r="P1056" s="173"/>
      <c r="Q1056" s="177"/>
      <c r="R1056" s="178"/>
      <c r="S1056" s="173"/>
      <c r="T1056" s="179"/>
      <c r="U1056" s="145"/>
    </row>
    <row r="1057" spans="1:21" ht="15" customHeight="1">
      <c r="A1057" s="159" t="s">
        <v>2748</v>
      </c>
      <c r="B1057" s="114" t="str">
        <f>VLOOKUP(A1057,'Data pick slip'!B:F,5,FALSE)</f>
        <v>KHJ-MC400-00</v>
      </c>
      <c r="C1057" s="169"/>
      <c r="D1057" s="169"/>
      <c r="E1057" s="139" t="s">
        <v>2994</v>
      </c>
      <c r="F1057" s="170" t="s">
        <v>2753</v>
      </c>
      <c r="G1057" s="171">
        <v>20</v>
      </c>
      <c r="H1057" s="172"/>
      <c r="I1057" s="173"/>
      <c r="J1057" s="173"/>
      <c r="K1057" s="174"/>
      <c r="L1057" s="175"/>
      <c r="M1057" s="174"/>
      <c r="N1057" s="176"/>
      <c r="O1057" s="176"/>
      <c r="P1057" s="173"/>
      <c r="Q1057" s="177"/>
      <c r="R1057" s="178"/>
      <c r="S1057" s="173"/>
      <c r="T1057" s="179"/>
      <c r="U1057" s="145"/>
    </row>
    <row r="1058" spans="1:21" ht="15" customHeight="1">
      <c r="A1058" s="181" t="s">
        <v>2750</v>
      </c>
      <c r="B1058" s="114" t="str">
        <f>VLOOKUP(A1058,'Data pick slip'!B:F,5,FALSE)</f>
        <v>KHJ-MC600-00</v>
      </c>
      <c r="C1058" s="169"/>
      <c r="D1058" s="169"/>
      <c r="E1058" s="139" t="s">
        <v>2994</v>
      </c>
      <c r="F1058" s="170" t="s">
        <v>2753</v>
      </c>
      <c r="G1058" s="171">
        <v>25</v>
      </c>
      <c r="H1058" s="172"/>
      <c r="I1058" s="173"/>
      <c r="J1058" s="173"/>
      <c r="K1058" s="174"/>
      <c r="L1058" s="175"/>
      <c r="M1058" s="174"/>
      <c r="N1058" s="176"/>
      <c r="O1058" s="176"/>
      <c r="P1058" s="173"/>
      <c r="Q1058" s="177"/>
      <c r="R1058" s="178"/>
      <c r="S1058" s="173"/>
      <c r="T1058" s="179"/>
      <c r="U1058" s="145"/>
    </row>
    <row r="1059" spans="1:21" ht="15" customHeight="1">
      <c r="A1059" s="159" t="s">
        <v>2744</v>
      </c>
      <c r="B1059" s="114" t="str">
        <f>VLOOKUP(A1059,'Data pick slip'!B:F,5,FALSE)</f>
        <v>KHJ-MC100-00</v>
      </c>
      <c r="C1059" s="169">
        <v>111097</v>
      </c>
      <c r="D1059" s="169" t="str">
        <f>VLOOKUP(C1059,Stock_list!D:L,2,FALSE)</f>
        <v>宝捷时计（special WKK-IND)</v>
      </c>
      <c r="E1059" s="281">
        <f>VLOOKUP(C1059,Stock_list!D:L,9,FALSE)</f>
        <v>44876</v>
      </c>
      <c r="F1059" s="170" t="s">
        <v>1381</v>
      </c>
      <c r="G1059" s="171">
        <v>100</v>
      </c>
      <c r="H1059" s="172"/>
      <c r="I1059" s="173"/>
      <c r="J1059" s="173"/>
      <c r="K1059" s="174"/>
      <c r="L1059" s="175"/>
      <c r="M1059" s="174"/>
      <c r="N1059" s="176"/>
      <c r="O1059" s="176"/>
      <c r="P1059" s="173"/>
      <c r="Q1059" s="177"/>
      <c r="R1059" s="178"/>
      <c r="S1059" s="173"/>
      <c r="T1059" s="179"/>
      <c r="U1059" s="145"/>
    </row>
    <row r="1060" spans="1:21" ht="15" customHeight="1">
      <c r="A1060" s="159" t="s">
        <v>2747</v>
      </c>
      <c r="B1060" s="114" t="str">
        <f>VLOOKUP(A1060,'Data pick slip'!B:F,5,FALSE)</f>
        <v>KHJ-MC200-00</v>
      </c>
      <c r="C1060" s="169">
        <v>111097</v>
      </c>
      <c r="D1060" s="169" t="str">
        <f>VLOOKUP(C1060,Stock_list!D:L,2,FALSE)</f>
        <v>宝捷时计（special WKK-IND)</v>
      </c>
      <c r="E1060" s="281">
        <f>VLOOKUP(C1060,Stock_list!D:L,9,FALSE)</f>
        <v>44876</v>
      </c>
      <c r="F1060" s="170" t="s">
        <v>1381</v>
      </c>
      <c r="G1060" s="171">
        <v>40</v>
      </c>
      <c r="H1060" s="172"/>
      <c r="I1060" s="173"/>
      <c r="J1060" s="173"/>
      <c r="K1060" s="174"/>
      <c r="L1060" s="175"/>
      <c r="M1060" s="174"/>
      <c r="N1060" s="176"/>
      <c r="O1060" s="176"/>
      <c r="P1060" s="173"/>
      <c r="Q1060" s="177"/>
      <c r="R1060" s="178"/>
      <c r="S1060" s="173"/>
      <c r="T1060" s="179"/>
      <c r="U1060" s="145"/>
    </row>
    <row r="1061" spans="1:21" ht="15" customHeight="1">
      <c r="A1061" s="159" t="s">
        <v>2748</v>
      </c>
      <c r="B1061" s="114" t="str">
        <f>VLOOKUP(A1061,'Data pick slip'!B:F,5,FALSE)</f>
        <v>KHJ-MC400-00</v>
      </c>
      <c r="C1061" s="169">
        <v>111097</v>
      </c>
      <c r="D1061" s="169" t="str">
        <f>VLOOKUP(C1061,Stock_list!D:L,2,FALSE)</f>
        <v>宝捷时计（special WKK-IND)</v>
      </c>
      <c r="E1061" s="281">
        <f>VLOOKUP(C1061,Stock_list!D:L,9,FALSE)</f>
        <v>44876</v>
      </c>
      <c r="F1061" s="170" t="s">
        <v>1381</v>
      </c>
      <c r="G1061" s="171">
        <v>12</v>
      </c>
      <c r="H1061" s="172"/>
      <c r="I1061" s="173"/>
      <c r="J1061" s="173"/>
      <c r="K1061" s="174"/>
      <c r="L1061" s="175"/>
      <c r="M1061" s="174"/>
      <c r="N1061" s="176"/>
      <c r="O1061" s="176"/>
      <c r="P1061" s="173"/>
      <c r="Q1061" s="177"/>
      <c r="R1061" s="178"/>
      <c r="S1061" s="173"/>
      <c r="T1061" s="179"/>
      <c r="U1061" s="145"/>
    </row>
    <row r="1062" spans="1:21" ht="15" customHeight="1">
      <c r="A1062" s="159" t="s">
        <v>2749</v>
      </c>
      <c r="B1062" s="114" t="str">
        <f>VLOOKUP(A1062,'Data pick slip'!B:F,5,FALSE)</f>
        <v>KHJ-MC500-00</v>
      </c>
      <c r="C1062" s="169">
        <v>111097</v>
      </c>
      <c r="D1062" s="169" t="str">
        <f>VLOOKUP(C1062,Stock_list!D:L,2,FALSE)</f>
        <v>宝捷时计（special WKK-IND)</v>
      </c>
      <c r="E1062" s="281">
        <f>VLOOKUP(C1062,Stock_list!D:L,9,FALSE)</f>
        <v>44876</v>
      </c>
      <c r="F1062" s="170" t="s">
        <v>1381</v>
      </c>
      <c r="G1062" s="171">
        <v>3</v>
      </c>
      <c r="H1062" s="172"/>
      <c r="I1062" s="173"/>
      <c r="J1062" s="173"/>
      <c r="K1062" s="174"/>
      <c r="L1062" s="175"/>
      <c r="M1062" s="174"/>
      <c r="N1062" s="176"/>
      <c r="O1062" s="176"/>
      <c r="P1062" s="173"/>
      <c r="Q1062" s="177"/>
      <c r="R1062" s="178"/>
      <c r="S1062" s="173"/>
      <c r="T1062" s="179"/>
      <c r="U1062" s="145"/>
    </row>
    <row r="1063" spans="1:21" ht="15" customHeight="1">
      <c r="A1063" s="181" t="s">
        <v>2750</v>
      </c>
      <c r="B1063" s="114" t="str">
        <f>VLOOKUP(A1063,'Data pick slip'!B:F,5,FALSE)</f>
        <v>KHJ-MC600-00</v>
      </c>
      <c r="C1063" s="169">
        <v>111097</v>
      </c>
      <c r="D1063" s="169" t="str">
        <f>VLOOKUP(C1063,Stock_list!D:L,2,FALSE)</f>
        <v>宝捷时计（special WKK-IND)</v>
      </c>
      <c r="E1063" s="281">
        <f>VLOOKUP(C1063,Stock_list!D:L,9,FALSE)</f>
        <v>44876</v>
      </c>
      <c r="F1063" s="170" t="s">
        <v>1381</v>
      </c>
      <c r="G1063" s="171">
        <v>3</v>
      </c>
      <c r="H1063" s="172"/>
      <c r="I1063" s="173"/>
      <c r="J1063" s="173"/>
      <c r="K1063" s="174"/>
      <c r="L1063" s="175"/>
      <c r="M1063" s="174"/>
      <c r="N1063" s="176"/>
      <c r="O1063" s="176"/>
      <c r="P1063" s="173"/>
      <c r="Q1063" s="177"/>
      <c r="R1063" s="178"/>
      <c r="S1063" s="173"/>
      <c r="T1063" s="179"/>
      <c r="U1063" s="145"/>
    </row>
    <row r="1064" spans="1:21" ht="15" customHeight="1">
      <c r="A1064" s="159" t="s">
        <v>2744</v>
      </c>
      <c r="B1064" s="114" t="str">
        <f>VLOOKUP(A1064,'Data pick slip'!B:F,5,FALSE)</f>
        <v>KHJ-MC100-00</v>
      </c>
      <c r="C1064" s="169"/>
      <c r="D1064" s="169"/>
      <c r="E1064" s="139" t="s">
        <v>2995</v>
      </c>
      <c r="F1064" s="170" t="s">
        <v>2753</v>
      </c>
      <c r="G1064" s="171">
        <v>350</v>
      </c>
      <c r="H1064" s="172"/>
      <c r="I1064" s="173"/>
      <c r="J1064" s="173"/>
      <c r="K1064" s="174"/>
      <c r="L1064" s="175"/>
      <c r="M1064" s="174"/>
      <c r="N1064" s="176"/>
      <c r="O1064" s="176"/>
      <c r="P1064" s="173"/>
      <c r="Q1064" s="177"/>
      <c r="R1064" s="178"/>
      <c r="S1064" s="173"/>
      <c r="T1064" s="179"/>
      <c r="U1064" s="145"/>
    </row>
    <row r="1065" spans="1:21" ht="15" customHeight="1">
      <c r="A1065" s="159" t="s">
        <v>2747</v>
      </c>
      <c r="B1065" s="114" t="str">
        <f>VLOOKUP(A1065,'Data pick slip'!B:F,5,FALSE)</f>
        <v>KHJ-MC200-00</v>
      </c>
      <c r="C1065" s="169"/>
      <c r="D1065" s="169"/>
      <c r="E1065" s="139" t="s">
        <v>2995</v>
      </c>
      <c r="F1065" s="170" t="s">
        <v>2753</v>
      </c>
      <c r="G1065" s="171">
        <v>70</v>
      </c>
      <c r="H1065" s="172"/>
      <c r="I1065" s="173"/>
      <c r="J1065" s="173"/>
      <c r="K1065" s="174"/>
      <c r="L1065" s="175"/>
      <c r="M1065" s="174"/>
      <c r="N1065" s="176"/>
      <c r="O1065" s="176"/>
      <c r="P1065" s="173"/>
      <c r="Q1065" s="177"/>
      <c r="R1065" s="178"/>
      <c r="S1065" s="173"/>
      <c r="T1065" s="179"/>
      <c r="U1065" s="145"/>
    </row>
    <row r="1066" spans="1:21" ht="15" customHeight="1">
      <c r="A1066" s="159" t="s">
        <v>2748</v>
      </c>
      <c r="B1066" s="114" t="str">
        <f>VLOOKUP(A1066,'Data pick slip'!B:F,5,FALSE)</f>
        <v>KHJ-MC400-00</v>
      </c>
      <c r="C1066" s="169"/>
      <c r="D1066" s="169"/>
      <c r="E1066" s="139" t="s">
        <v>2995</v>
      </c>
      <c r="F1066" s="170" t="s">
        <v>2753</v>
      </c>
      <c r="G1066" s="171">
        <v>10</v>
      </c>
      <c r="H1066" s="172"/>
      <c r="I1066" s="173"/>
      <c r="J1066" s="173"/>
      <c r="K1066" s="174"/>
      <c r="L1066" s="175"/>
      <c r="M1066" s="174"/>
      <c r="N1066" s="176"/>
      <c r="O1066" s="176"/>
      <c r="P1066" s="173"/>
      <c r="Q1066" s="177"/>
      <c r="R1066" s="178"/>
      <c r="S1066" s="173"/>
      <c r="T1066" s="179"/>
      <c r="U1066" s="145"/>
    </row>
    <row r="1067" spans="1:21" ht="16.5" customHeight="1">
      <c r="A1067" s="159" t="s">
        <v>2744</v>
      </c>
      <c r="B1067" s="114" t="str">
        <f>VLOOKUP(A1067,'Data pick slip'!B:F,5,FALSE)</f>
        <v>KHJ-MC100-00</v>
      </c>
      <c r="E1067" s="139" t="s">
        <v>2994</v>
      </c>
      <c r="F1067" s="170" t="s">
        <v>2753</v>
      </c>
      <c r="G1067" s="140">
        <v>410</v>
      </c>
      <c r="I1067" s="269"/>
      <c r="K1067" s="51"/>
      <c r="L1067" s="4"/>
      <c r="P1067" s="4"/>
      <c r="Q1067" s="143"/>
      <c r="T1067" s="144"/>
      <c r="U1067" s="145" t="e">
        <f>VLOOKUP(H1067,Stock_list!A:N,14,FALSE)</f>
        <v>#N/A</v>
      </c>
    </row>
    <row r="1068" spans="1:21" ht="16.5" customHeight="1">
      <c r="A1068" s="159" t="s">
        <v>2747</v>
      </c>
      <c r="B1068" s="114" t="str">
        <f>VLOOKUP(A1068,'Data pick slip'!B:F,5,FALSE)</f>
        <v>KHJ-MC200-00</v>
      </c>
      <c r="E1068" s="139" t="s">
        <v>2994</v>
      </c>
      <c r="F1068" s="170" t="s">
        <v>2753</v>
      </c>
      <c r="G1068" s="140">
        <v>20</v>
      </c>
      <c r="I1068" s="269"/>
      <c r="K1068" s="51"/>
      <c r="L1068" s="4"/>
      <c r="P1068" s="4"/>
      <c r="Q1068" s="143"/>
      <c r="T1068" s="144"/>
      <c r="U1068" s="145" t="e">
        <f>VLOOKUP(H1068,Stock_list!A:N,14,FALSE)</f>
        <v>#N/A</v>
      </c>
    </row>
    <row r="1069" spans="1:21" ht="16.5" customHeight="1">
      <c r="A1069" s="159" t="s">
        <v>2748</v>
      </c>
      <c r="B1069" s="114" t="str">
        <f>VLOOKUP(A1069,'Data pick slip'!B:F,5,FALSE)</f>
        <v>KHJ-MC400-00</v>
      </c>
      <c r="E1069" s="139" t="s">
        <v>2994</v>
      </c>
      <c r="F1069" s="170" t="s">
        <v>2753</v>
      </c>
      <c r="G1069" s="140">
        <v>20</v>
      </c>
      <c r="I1069" s="269"/>
      <c r="K1069" s="51"/>
      <c r="L1069" s="4"/>
      <c r="P1069" s="4"/>
      <c r="Q1069" s="143"/>
      <c r="T1069" s="144"/>
      <c r="U1069" s="145" t="e">
        <f>VLOOKUP(H1069,Stock_list!A:N,14,FALSE)</f>
        <v>#N/A</v>
      </c>
    </row>
    <row r="1070" spans="1:21" ht="16.5" customHeight="1">
      <c r="A1070" s="159" t="s">
        <v>2750</v>
      </c>
      <c r="B1070" s="114" t="str">
        <f>VLOOKUP(A1070,'Data pick slip'!B:F,5,FALSE)</f>
        <v>KHJ-MC600-00</v>
      </c>
      <c r="E1070" s="139" t="s">
        <v>2994</v>
      </c>
      <c r="F1070" s="170" t="s">
        <v>2753</v>
      </c>
      <c r="G1070" s="140">
        <v>25</v>
      </c>
      <c r="I1070" s="269"/>
      <c r="K1070" s="51"/>
      <c r="L1070" s="4"/>
      <c r="P1070" s="4"/>
      <c r="Q1070" s="143"/>
      <c r="T1070" s="144"/>
      <c r="U1070" s="145" t="e">
        <f>VLOOKUP(H1070,Stock_list!A:N,14,FALSE)</f>
        <v>#N/A</v>
      </c>
    </row>
    <row r="1071" spans="1:21" ht="16.5" customHeight="1">
      <c r="A1071" s="159" t="s">
        <v>2744</v>
      </c>
      <c r="B1071" s="114" t="str">
        <f>VLOOKUP(A1071,'Data pick slip'!B:F,5,FALSE)</f>
        <v>KHJ-MC100-00</v>
      </c>
      <c r="E1071" s="139" t="s">
        <v>2995</v>
      </c>
      <c r="F1071" s="170" t="s">
        <v>2753</v>
      </c>
      <c r="G1071" s="140">
        <v>200</v>
      </c>
      <c r="I1071" s="269"/>
      <c r="K1071" s="51"/>
      <c r="L1071" s="4"/>
      <c r="P1071" s="4"/>
      <c r="Q1071" s="143"/>
      <c r="T1071" s="144"/>
      <c r="U1071" s="145" t="e">
        <f>VLOOKUP(H1071,Stock_list!A:N,14,FALSE)</f>
        <v>#N/A</v>
      </c>
    </row>
    <row r="1072" spans="1:21" ht="16.5" customHeight="1">
      <c r="A1072" s="159" t="s">
        <v>2747</v>
      </c>
      <c r="B1072" s="114" t="str">
        <f>VLOOKUP(A1072,'Data pick slip'!B:F,5,FALSE)</f>
        <v>KHJ-MC200-00</v>
      </c>
      <c r="E1072" s="139" t="s">
        <v>2995</v>
      </c>
      <c r="F1072" s="170" t="s">
        <v>2753</v>
      </c>
      <c r="G1072" s="140">
        <v>240</v>
      </c>
      <c r="I1072" s="269"/>
      <c r="K1072" s="51"/>
      <c r="L1072" s="4"/>
      <c r="P1072" s="4"/>
      <c r="Q1072" s="143"/>
      <c r="T1072" s="144"/>
      <c r="U1072" s="145" t="e">
        <f>VLOOKUP(H1072,Stock_list!A:N,14,FALSE)</f>
        <v>#N/A</v>
      </c>
    </row>
    <row r="1073" spans="1:21" ht="16.5" customHeight="1">
      <c r="A1073" s="159" t="s">
        <v>2748</v>
      </c>
      <c r="B1073" s="114" t="str">
        <f>VLOOKUP(A1073,'Data pick slip'!B:F,5,FALSE)</f>
        <v>KHJ-MC400-00</v>
      </c>
      <c r="E1073" s="139" t="s">
        <v>2995</v>
      </c>
      <c r="F1073" s="170" t="s">
        <v>2753</v>
      </c>
      <c r="G1073" s="140">
        <v>20</v>
      </c>
      <c r="I1073" s="269"/>
      <c r="K1073" s="51"/>
      <c r="L1073" s="4"/>
      <c r="P1073" s="4"/>
      <c r="Q1073" s="143"/>
      <c r="T1073" s="144"/>
      <c r="U1073" s="145" t="e">
        <f>VLOOKUP(H1073,Stock_list!A:N,14,FALSE)</f>
        <v>#N/A</v>
      </c>
    </row>
    <row r="1074" spans="1:21" ht="16.5" customHeight="1">
      <c r="A1074" s="159" t="s">
        <v>2749</v>
      </c>
      <c r="B1074" s="114" t="str">
        <f>VLOOKUP(A1074,'Data pick slip'!B:F,5,FALSE)</f>
        <v>KHJ-MC500-00</v>
      </c>
      <c r="E1074" s="139" t="s">
        <v>2995</v>
      </c>
      <c r="F1074" s="170" t="s">
        <v>2753</v>
      </c>
      <c r="G1074" s="140">
        <v>20</v>
      </c>
      <c r="I1074" s="269"/>
      <c r="K1074" s="51"/>
      <c r="L1074" s="4"/>
      <c r="P1074" s="4"/>
      <c r="Q1074" s="143"/>
      <c r="T1074" s="144"/>
      <c r="U1074" s="145" t="e">
        <f>VLOOKUP(H1074,Stock_list!A:N,14,FALSE)</f>
        <v>#N/A</v>
      </c>
    </row>
    <row r="1075" spans="1:21" ht="16.5" customHeight="1">
      <c r="A1075" s="159" t="s">
        <v>2744</v>
      </c>
      <c r="B1075" s="114" t="str">
        <f>VLOOKUP(A1075,'Data pick slip'!B:F,5,FALSE)</f>
        <v>KHJ-MC100-00</v>
      </c>
      <c r="E1075" s="139" t="s">
        <v>2996</v>
      </c>
      <c r="F1075" s="170" t="s">
        <v>2753</v>
      </c>
      <c r="G1075" s="140">
        <v>330</v>
      </c>
      <c r="I1075" s="269"/>
      <c r="K1075" s="51"/>
      <c r="L1075" s="4"/>
      <c r="P1075" s="4"/>
      <c r="Q1075" s="143"/>
      <c r="T1075" s="144"/>
      <c r="U1075" s="145" t="e">
        <f>VLOOKUP(H1075,Stock_list!A:N,14,FALSE)</f>
        <v>#N/A</v>
      </c>
    </row>
    <row r="1076" spans="1:21" ht="16.5" customHeight="1">
      <c r="A1076" s="159" t="s">
        <v>2747</v>
      </c>
      <c r="B1076" s="114" t="str">
        <f>VLOOKUP(A1076,'Data pick slip'!B:F,5,FALSE)</f>
        <v>KHJ-MC200-00</v>
      </c>
      <c r="E1076" s="139" t="s">
        <v>2996</v>
      </c>
      <c r="F1076" s="170" t="s">
        <v>2753</v>
      </c>
      <c r="G1076" s="140">
        <v>50</v>
      </c>
      <c r="I1076" s="269"/>
      <c r="K1076" s="51"/>
      <c r="L1076" s="4"/>
      <c r="P1076" s="4"/>
      <c r="Q1076" s="143"/>
      <c r="T1076" s="144"/>
      <c r="U1076" s="145" t="e">
        <f>VLOOKUP(H1076,Stock_list!A:N,14,FALSE)</f>
        <v>#N/A</v>
      </c>
    </row>
    <row r="1077" spans="1:21" ht="16.5" customHeight="1">
      <c r="A1077" s="159" t="s">
        <v>2748</v>
      </c>
      <c r="B1077" s="114" t="str">
        <f>VLOOKUP(A1077,'Data pick slip'!B:F,5,FALSE)</f>
        <v>KHJ-MC400-00</v>
      </c>
      <c r="E1077" s="139" t="s">
        <v>2996</v>
      </c>
      <c r="F1077" s="170" t="s">
        <v>2753</v>
      </c>
      <c r="G1077" s="140">
        <v>30</v>
      </c>
      <c r="I1077" s="269"/>
      <c r="K1077" s="51"/>
      <c r="L1077" s="4"/>
      <c r="P1077" s="4"/>
      <c r="Q1077" s="143"/>
      <c r="T1077" s="144"/>
      <c r="U1077" s="145" t="e">
        <f>VLOOKUP(H1077,Stock_list!A:N,14,FALSE)</f>
        <v>#N/A</v>
      </c>
    </row>
    <row r="1078" spans="1:21" ht="16.5" customHeight="1">
      <c r="A1078" s="159" t="s">
        <v>2749</v>
      </c>
      <c r="B1078" s="114" t="str">
        <f>VLOOKUP(A1078,'Data pick slip'!B:F,5,FALSE)</f>
        <v>KHJ-MC500-00</v>
      </c>
      <c r="E1078" s="139" t="s">
        <v>2996</v>
      </c>
      <c r="F1078" s="170" t="s">
        <v>2753</v>
      </c>
      <c r="G1078" s="140">
        <v>20</v>
      </c>
      <c r="I1078" s="269"/>
      <c r="K1078" s="51"/>
      <c r="L1078" s="4"/>
      <c r="P1078" s="4"/>
      <c r="Q1078" s="143"/>
      <c r="T1078" s="144"/>
      <c r="U1078" s="145" t="e">
        <f>VLOOKUP(H1078,Stock_list!A:N,14,FALSE)</f>
        <v>#N/A</v>
      </c>
    </row>
    <row r="1079" spans="1:21" ht="16.5" customHeight="1">
      <c r="A1079" s="159" t="s">
        <v>2750</v>
      </c>
      <c r="B1079" s="114" t="str">
        <f>VLOOKUP(A1079,'Data pick slip'!B:F,5,FALSE)</f>
        <v>KHJ-MC600-00</v>
      </c>
      <c r="E1079" s="139" t="s">
        <v>2996</v>
      </c>
      <c r="F1079" s="170" t="s">
        <v>2753</v>
      </c>
      <c r="G1079" s="140">
        <v>10</v>
      </c>
      <c r="I1079" s="269"/>
      <c r="K1079" s="51"/>
      <c r="L1079" s="4"/>
      <c r="P1079" s="4"/>
      <c r="Q1079" s="143"/>
      <c r="T1079" s="144"/>
      <c r="U1079" s="145" t="e">
        <f>VLOOKUP(H1079,Stock_list!A:N,14,FALSE)</f>
        <v>#N/A</v>
      </c>
    </row>
    <row r="1080" spans="1:21" ht="16.5" customHeight="1">
      <c r="A1080" s="159" t="s">
        <v>2751</v>
      </c>
      <c r="B1080" s="114" t="str">
        <f>VLOOKUP(A1080,'Data pick slip'!B:F,5,FALSE)</f>
        <v>KHJ-MC700-00</v>
      </c>
      <c r="E1080" s="139" t="s">
        <v>2996</v>
      </c>
      <c r="F1080" s="170" t="s">
        <v>2753</v>
      </c>
      <c r="G1080" s="140">
        <v>10</v>
      </c>
      <c r="I1080" s="269"/>
      <c r="K1080" s="51"/>
      <c r="L1080" s="4"/>
      <c r="P1080" s="4"/>
      <c r="Q1080" s="143"/>
      <c r="T1080" s="144"/>
      <c r="U1080" s="145" t="e">
        <f>VLOOKUP(H1080,Stock_list!A:N,14,FALSE)</f>
        <v>#N/A</v>
      </c>
    </row>
    <row r="1081" spans="1:21" ht="16.5" customHeight="1">
      <c r="A1081" s="159" t="s">
        <v>2744</v>
      </c>
      <c r="B1081" s="114" t="str">
        <f>VLOOKUP(A1081,'Data pick slip'!B:F,5,FALSE)</f>
        <v>KHJ-MC100-00</v>
      </c>
      <c r="E1081" s="139" t="s">
        <v>2997</v>
      </c>
      <c r="F1081" s="170" t="s">
        <v>2753</v>
      </c>
      <c r="G1081" s="140">
        <v>390</v>
      </c>
      <c r="I1081" s="269"/>
      <c r="K1081" s="51"/>
      <c r="L1081" s="4"/>
      <c r="P1081" s="4"/>
      <c r="Q1081" s="143"/>
      <c r="T1081" s="144"/>
      <c r="U1081" s="145" t="e">
        <f>VLOOKUP(H1081,Stock_list!A:N,14,FALSE)</f>
        <v>#N/A</v>
      </c>
    </row>
    <row r="1082" spans="1:21" ht="16.5" customHeight="1">
      <c r="A1082" s="159" t="s">
        <v>2747</v>
      </c>
      <c r="B1082" s="114" t="str">
        <f>VLOOKUP(A1082,'Data pick slip'!B:F,5,FALSE)</f>
        <v>KHJ-MC200-00</v>
      </c>
      <c r="E1082" s="139" t="s">
        <v>2997</v>
      </c>
      <c r="F1082" s="170" t="s">
        <v>2753</v>
      </c>
      <c r="G1082" s="140">
        <v>60</v>
      </c>
      <c r="I1082" s="269"/>
      <c r="K1082" s="51"/>
      <c r="L1082" s="4"/>
      <c r="P1082" s="4"/>
      <c r="Q1082" s="143"/>
      <c r="T1082" s="144"/>
      <c r="U1082" s="145" t="e">
        <f>VLOOKUP(H1082,Stock_list!A:N,14,FALSE)</f>
        <v>#N/A</v>
      </c>
    </row>
    <row r="1083" spans="1:21" ht="16.5" customHeight="1">
      <c r="A1083" s="159" t="s">
        <v>2749</v>
      </c>
      <c r="B1083" s="114" t="str">
        <f>VLOOKUP(A1083,'Data pick slip'!B:F,5,FALSE)</f>
        <v>KHJ-MC500-00</v>
      </c>
      <c r="E1083" s="139" t="s">
        <v>2997</v>
      </c>
      <c r="F1083" s="170" t="s">
        <v>2753</v>
      </c>
      <c r="G1083" s="140">
        <v>30</v>
      </c>
      <c r="I1083" s="269"/>
      <c r="K1083" s="51"/>
      <c r="L1083" s="4"/>
      <c r="P1083" s="4"/>
      <c r="Q1083" s="143"/>
      <c r="T1083" s="144"/>
      <c r="U1083" s="145" t="e">
        <f>VLOOKUP(H1083,Stock_list!A:N,14,FALSE)</f>
        <v>#N/A</v>
      </c>
    </row>
    <row r="1084" spans="1:21" ht="16.5" customHeight="1">
      <c r="A1084" s="159" t="s">
        <v>2744</v>
      </c>
      <c r="B1084" s="114" t="str">
        <f>VLOOKUP(A1084,'Data pick slip'!B:F,5,FALSE)</f>
        <v>KHJ-MC100-00</v>
      </c>
      <c r="E1084" s="139" t="s">
        <v>2997</v>
      </c>
      <c r="F1084" s="170" t="s">
        <v>2753</v>
      </c>
      <c r="G1084" s="140">
        <v>420</v>
      </c>
      <c r="I1084" s="269"/>
      <c r="K1084" s="51"/>
      <c r="L1084" s="4"/>
      <c r="P1084" s="4"/>
      <c r="Q1084" s="143"/>
      <c r="T1084" s="144"/>
      <c r="U1084" s="145" t="e">
        <f>VLOOKUP(H1084,Stock_list!A:N,14,FALSE)</f>
        <v>#N/A</v>
      </c>
    </row>
    <row r="1085" spans="1:21" ht="16.5" customHeight="1">
      <c r="A1085" s="159" t="s">
        <v>2747</v>
      </c>
      <c r="B1085" s="114" t="str">
        <f>VLOOKUP(A1085,'Data pick slip'!B:F,5,FALSE)</f>
        <v>KHJ-MC200-00</v>
      </c>
      <c r="E1085" s="139" t="s">
        <v>2997</v>
      </c>
      <c r="F1085" s="170" t="s">
        <v>2753</v>
      </c>
      <c r="G1085" s="140">
        <v>100</v>
      </c>
      <c r="I1085" s="269"/>
      <c r="K1085" s="51"/>
      <c r="L1085" s="4"/>
      <c r="P1085" s="4"/>
      <c r="Q1085" s="143"/>
      <c r="T1085" s="144"/>
      <c r="U1085" s="145" t="e">
        <f>VLOOKUP(H1085,Stock_list!A:N,14,FALSE)</f>
        <v>#N/A</v>
      </c>
    </row>
    <row r="1086" spans="1:21" ht="16.5" customHeight="1">
      <c r="A1086" s="159" t="s">
        <v>2748</v>
      </c>
      <c r="B1086" s="114" t="str">
        <f>VLOOKUP(A1086,'Data pick slip'!B:F,5,FALSE)</f>
        <v>KHJ-MC400-00</v>
      </c>
      <c r="E1086" s="139" t="s">
        <v>2997</v>
      </c>
      <c r="F1086" s="170" t="s">
        <v>2753</v>
      </c>
      <c r="G1086" s="140">
        <v>50</v>
      </c>
      <c r="I1086" s="269"/>
      <c r="K1086" s="51"/>
      <c r="L1086" s="4"/>
      <c r="P1086" s="4"/>
      <c r="Q1086" s="143"/>
      <c r="T1086" s="144"/>
      <c r="U1086" s="145" t="e">
        <f>VLOOKUP(H1086,Stock_list!A:N,14,FALSE)</f>
        <v>#N/A</v>
      </c>
    </row>
    <row r="1087" spans="1:21" ht="16.5" customHeight="1">
      <c r="A1087" s="159" t="s">
        <v>2749</v>
      </c>
      <c r="B1087" s="114" t="str">
        <f>VLOOKUP(A1087,'Data pick slip'!B:F,5,FALSE)</f>
        <v>KHJ-MC500-00</v>
      </c>
      <c r="E1087" s="139" t="s">
        <v>2997</v>
      </c>
      <c r="F1087" s="170" t="s">
        <v>2753</v>
      </c>
      <c r="G1087" s="140">
        <v>20</v>
      </c>
      <c r="I1087" s="269"/>
      <c r="K1087" s="51"/>
      <c r="L1087" s="4"/>
      <c r="P1087" s="4"/>
      <c r="Q1087" s="143"/>
      <c r="T1087" s="144"/>
      <c r="U1087" s="145" t="e">
        <f>VLOOKUP(H1087,Stock_list!A:N,14,FALSE)</f>
        <v>#N/A</v>
      </c>
    </row>
    <row r="1088" spans="1:21" ht="15" customHeight="1">
      <c r="A1088" s="159" t="s">
        <v>2744</v>
      </c>
      <c r="B1088" s="114" t="str">
        <f>VLOOKUP(A1088,'Data pick slip'!B:F,5,FALSE)</f>
        <v>KHJ-MC100-00</v>
      </c>
      <c r="C1088" s="169"/>
      <c r="D1088" s="169"/>
      <c r="E1088" s="139" t="s">
        <v>2998</v>
      </c>
      <c r="F1088" s="170" t="s">
        <v>2753</v>
      </c>
      <c r="G1088" s="140">
        <v>280</v>
      </c>
      <c r="H1088" s="172"/>
      <c r="I1088" s="173"/>
      <c r="J1088" s="173"/>
      <c r="K1088" s="174"/>
      <c r="L1088" s="175"/>
      <c r="M1088" s="174"/>
      <c r="N1088" s="176"/>
      <c r="O1088" s="176"/>
      <c r="P1088" s="173"/>
      <c r="Q1088" s="177"/>
      <c r="R1088" s="178"/>
      <c r="S1088" s="173"/>
      <c r="T1088" s="179"/>
      <c r="U1088" s="145"/>
    </row>
    <row r="1089" spans="1:21" ht="16.5" customHeight="1">
      <c r="A1089" s="159" t="s">
        <v>2744</v>
      </c>
      <c r="B1089" s="114" t="str">
        <f>VLOOKUP(A1089,'Data pick slip'!B:F,5,FALSE)</f>
        <v>KHJ-MC100-00</v>
      </c>
      <c r="E1089" s="139" t="s">
        <v>2999</v>
      </c>
      <c r="F1089" s="170" t="s">
        <v>2753</v>
      </c>
      <c r="G1089" s="140">
        <v>247</v>
      </c>
      <c r="I1089" s="269"/>
      <c r="K1089" s="51"/>
      <c r="L1089" s="4"/>
      <c r="P1089" s="4"/>
      <c r="Q1089" s="143"/>
      <c r="T1089" s="144"/>
      <c r="U1089" s="145" t="e">
        <f>VLOOKUP(H1089,Stock_list!A:N,14,FALSE)</f>
        <v>#N/A</v>
      </c>
    </row>
    <row r="1090" spans="1:21" ht="16.5" customHeight="1">
      <c r="A1090" s="159" t="s">
        <v>2747</v>
      </c>
      <c r="B1090" s="114" t="str">
        <f>VLOOKUP(A1090,'Data pick slip'!B:F,5,FALSE)</f>
        <v>KHJ-MC200-00</v>
      </c>
      <c r="E1090" s="139" t="s">
        <v>2999</v>
      </c>
      <c r="F1090" s="170" t="s">
        <v>2753</v>
      </c>
      <c r="G1090" s="140">
        <v>50</v>
      </c>
      <c r="I1090" s="269"/>
      <c r="K1090" s="51"/>
      <c r="L1090" s="4"/>
      <c r="P1090" s="4"/>
      <c r="Q1090" s="143"/>
      <c r="T1090" s="144"/>
      <c r="U1090" s="145" t="e">
        <f>VLOOKUP(H1090,Stock_list!A:N,14,FALSE)</f>
        <v>#N/A</v>
      </c>
    </row>
    <row r="1091" spans="1:21" ht="16.5" customHeight="1">
      <c r="A1091" s="159" t="s">
        <v>2748</v>
      </c>
      <c r="B1091" s="114" t="str">
        <f>VLOOKUP(A1091,'Data pick slip'!B:F,5,FALSE)</f>
        <v>KHJ-MC400-00</v>
      </c>
      <c r="E1091" s="139" t="s">
        <v>2999</v>
      </c>
      <c r="F1091" s="170" t="s">
        <v>2753</v>
      </c>
      <c r="G1091" s="140">
        <v>5</v>
      </c>
      <c r="I1091" s="269"/>
      <c r="K1091" s="51"/>
      <c r="L1091" s="4"/>
      <c r="P1091" s="4"/>
      <c r="Q1091" s="143"/>
      <c r="T1091" s="144"/>
      <c r="U1091" s="145" t="e">
        <f>VLOOKUP(H1091,Stock_list!A:N,14,FALSE)</f>
        <v>#N/A</v>
      </c>
    </row>
    <row r="1092" spans="1:21" ht="16.5" customHeight="1">
      <c r="A1092" s="159" t="s">
        <v>2744</v>
      </c>
      <c r="B1092" s="114" t="str">
        <f>VLOOKUP(A1092,'Data pick slip'!B:F,5,FALSE)</f>
        <v>KHJ-MC100-00</v>
      </c>
      <c r="E1092" s="139" t="s">
        <v>2999</v>
      </c>
      <c r="F1092" s="170" t="s">
        <v>2753</v>
      </c>
      <c r="G1092" s="140">
        <v>350</v>
      </c>
      <c r="I1092" s="269"/>
      <c r="K1092" s="51"/>
      <c r="L1092" s="4"/>
      <c r="P1092" s="4"/>
      <c r="Q1092" s="143"/>
      <c r="T1092" s="144"/>
      <c r="U1092" s="145" t="e">
        <f>VLOOKUP(H1092,Stock_list!A:N,14,FALSE)</f>
        <v>#N/A</v>
      </c>
    </row>
    <row r="1093" spans="1:21" ht="16.5" customHeight="1">
      <c r="A1093" s="159" t="s">
        <v>2747</v>
      </c>
      <c r="B1093" s="114" t="str">
        <f>VLOOKUP(A1093,'Data pick slip'!B:F,5,FALSE)</f>
        <v>KHJ-MC200-00</v>
      </c>
      <c r="E1093" s="139" t="s">
        <v>2999</v>
      </c>
      <c r="F1093" s="170" t="s">
        <v>2753</v>
      </c>
      <c r="G1093" s="140">
        <v>50</v>
      </c>
      <c r="I1093" s="269"/>
      <c r="K1093" s="51"/>
      <c r="L1093" s="4"/>
      <c r="P1093" s="4"/>
      <c r="Q1093" s="143"/>
      <c r="T1093" s="144"/>
      <c r="U1093" s="145" t="e">
        <f>VLOOKUP(H1093,Stock_list!A:N,14,FALSE)</f>
        <v>#N/A</v>
      </c>
    </row>
    <row r="1094" spans="1:21" ht="16.5" customHeight="1">
      <c r="A1094" s="159" t="s">
        <v>2748</v>
      </c>
      <c r="B1094" s="114" t="str">
        <f>VLOOKUP(A1094,'Data pick slip'!B:F,5,FALSE)</f>
        <v>KHJ-MC400-00</v>
      </c>
      <c r="E1094" s="139" t="s">
        <v>2999</v>
      </c>
      <c r="F1094" s="170" t="s">
        <v>2753</v>
      </c>
      <c r="G1094" s="140">
        <v>90</v>
      </c>
      <c r="I1094" s="269"/>
      <c r="K1094" s="51"/>
      <c r="L1094" s="4"/>
      <c r="P1094" s="4"/>
      <c r="Q1094" s="143"/>
      <c r="T1094" s="144"/>
      <c r="U1094" s="145" t="e">
        <f>VLOOKUP(H1094,Stock_list!A:N,14,FALSE)</f>
        <v>#N/A</v>
      </c>
    </row>
    <row r="1095" spans="1:21" ht="16.5" customHeight="1">
      <c r="A1095" s="159" t="s">
        <v>2749</v>
      </c>
      <c r="B1095" s="114" t="str">
        <f>VLOOKUP(A1095,'Data pick slip'!B:F,5,FALSE)</f>
        <v>KHJ-MC500-00</v>
      </c>
      <c r="E1095" s="139" t="s">
        <v>2999</v>
      </c>
      <c r="F1095" s="170" t="s">
        <v>2753</v>
      </c>
      <c r="G1095" s="140">
        <v>5</v>
      </c>
      <c r="I1095" s="269"/>
      <c r="K1095" s="51"/>
      <c r="L1095" s="4"/>
      <c r="P1095" s="4"/>
      <c r="Q1095" s="143"/>
      <c r="T1095" s="144"/>
      <c r="U1095" s="145" t="e">
        <f>VLOOKUP(H1095,Stock_list!A:N,14,FALSE)</f>
        <v>#N/A</v>
      </c>
    </row>
    <row r="1096" spans="1:21" ht="16.5" customHeight="1">
      <c r="A1096" s="159" t="s">
        <v>2750</v>
      </c>
      <c r="B1096" s="114" t="str">
        <f>VLOOKUP(A1096,'Data pick slip'!B:F,5,FALSE)</f>
        <v>KHJ-MC600-00</v>
      </c>
      <c r="E1096" s="139" t="s">
        <v>2999</v>
      </c>
      <c r="F1096" s="170" t="s">
        <v>2753</v>
      </c>
      <c r="G1096" s="140">
        <v>19</v>
      </c>
      <c r="I1096" s="269"/>
      <c r="K1096" s="51"/>
      <c r="L1096" s="4"/>
      <c r="P1096" s="4"/>
      <c r="Q1096" s="143"/>
      <c r="T1096" s="144"/>
      <c r="U1096" s="145" t="e">
        <f>VLOOKUP(H1096,Stock_list!A:N,14,FALSE)</f>
        <v>#N/A</v>
      </c>
    </row>
    <row r="1097" spans="1:21" ht="15" customHeight="1">
      <c r="A1097" s="181"/>
      <c r="B1097" s="114" t="e">
        <f>VLOOKUP(A1097,'Data pick slip'!B:F,5,FALSE)</f>
        <v>#N/A</v>
      </c>
      <c r="C1097" s="169"/>
      <c r="D1097" s="169" t="e">
        <f>VLOOKUP(C1097,Stock_list!D:L,2,FALSE)</f>
        <v>#N/A</v>
      </c>
      <c r="E1097" s="281" t="e">
        <f>VLOOKUP(C1097,Stock_list!D:L,9,FALSE)</f>
        <v>#N/A</v>
      </c>
      <c r="F1097" s="170"/>
      <c r="G1097" s="171"/>
      <c r="H1097" s="172"/>
      <c r="I1097" s="173"/>
      <c r="J1097" s="173"/>
      <c r="K1097" s="174"/>
      <c r="L1097" s="175"/>
      <c r="M1097" s="174"/>
      <c r="N1097" s="176"/>
      <c r="O1097" s="176"/>
      <c r="P1097" s="173"/>
      <c r="Q1097" s="177"/>
      <c r="R1097" s="178"/>
      <c r="S1097" s="173"/>
      <c r="T1097" s="179"/>
      <c r="U1097" s="145"/>
    </row>
    <row r="1098" spans="1:21" ht="15" customHeight="1">
      <c r="A1098" s="181"/>
      <c r="B1098" s="114" t="e">
        <f>VLOOKUP(A1098,'Data pick slip'!B:F,5,FALSE)</f>
        <v>#N/A</v>
      </c>
      <c r="C1098" s="169"/>
      <c r="D1098" s="169" t="e">
        <f>VLOOKUP(C1098,Stock_list!D:L,2,FALSE)</f>
        <v>#N/A</v>
      </c>
      <c r="E1098" s="281" t="e">
        <f>VLOOKUP(C1098,Stock_list!D:L,9,FALSE)</f>
        <v>#N/A</v>
      </c>
      <c r="F1098" s="170"/>
      <c r="G1098" s="171"/>
      <c r="H1098" s="172"/>
      <c r="I1098" s="173"/>
      <c r="J1098" s="173"/>
      <c r="K1098" s="174"/>
      <c r="L1098" s="175"/>
      <c r="M1098" s="174"/>
      <c r="N1098" s="176"/>
      <c r="O1098" s="176"/>
      <c r="P1098" s="173"/>
      <c r="Q1098" s="177"/>
      <c r="R1098" s="178"/>
      <c r="S1098" s="173"/>
      <c r="T1098" s="179"/>
      <c r="U1098" s="145"/>
    </row>
    <row r="1099" spans="1:21" ht="15" customHeight="1">
      <c r="A1099" s="181"/>
      <c r="B1099" s="114" t="e">
        <f>VLOOKUP(A1099,'Data pick slip'!B:F,5,FALSE)</f>
        <v>#N/A</v>
      </c>
      <c r="C1099" s="169"/>
      <c r="D1099" s="169" t="e">
        <f>VLOOKUP(C1099,Stock_list!D:L,2,FALSE)</f>
        <v>#N/A</v>
      </c>
      <c r="E1099" s="281" t="e">
        <f>VLOOKUP(C1099,Stock_list!D:L,9,FALSE)</f>
        <v>#N/A</v>
      </c>
      <c r="F1099" s="170"/>
      <c r="G1099" s="171"/>
      <c r="H1099" s="172"/>
      <c r="I1099" s="173"/>
      <c r="J1099" s="173"/>
      <c r="K1099" s="174"/>
      <c r="L1099" s="175"/>
      <c r="M1099" s="174"/>
      <c r="N1099" s="176"/>
      <c r="O1099" s="176"/>
      <c r="P1099" s="173"/>
      <c r="Q1099" s="177"/>
      <c r="R1099" s="178"/>
      <c r="S1099" s="173"/>
      <c r="T1099" s="179"/>
      <c r="U1099" s="145"/>
    </row>
    <row r="1100" spans="1:21" ht="15" customHeight="1">
      <c r="A1100" s="181"/>
      <c r="B1100" s="114" t="e">
        <f>VLOOKUP(A1100,'Data pick slip'!B:F,5,FALSE)</f>
        <v>#N/A</v>
      </c>
      <c r="C1100" s="169"/>
      <c r="D1100" s="169" t="e">
        <f>VLOOKUP(C1100,Stock_list!D:L,2,FALSE)</f>
        <v>#N/A</v>
      </c>
      <c r="E1100" s="281" t="e">
        <f>VLOOKUP(C1100,Stock_list!D:L,9,FALSE)</f>
        <v>#N/A</v>
      </c>
      <c r="F1100" s="170"/>
      <c r="G1100" s="171"/>
      <c r="H1100" s="172"/>
      <c r="I1100" s="173"/>
      <c r="J1100" s="173"/>
      <c r="K1100" s="174"/>
      <c r="L1100" s="175"/>
      <c r="M1100" s="174"/>
      <c r="N1100" s="176"/>
      <c r="O1100" s="176"/>
      <c r="P1100" s="173"/>
      <c r="Q1100" s="177"/>
      <c r="R1100" s="178"/>
      <c r="S1100" s="173"/>
      <c r="T1100" s="179"/>
      <c r="U1100" s="145"/>
    </row>
    <row r="1101" spans="1:21" ht="15" customHeight="1">
      <c r="A1101" s="181"/>
      <c r="B1101" s="114" t="e">
        <f>VLOOKUP(A1101,'Data pick slip'!B:F,5,FALSE)</f>
        <v>#N/A</v>
      </c>
      <c r="C1101" s="169"/>
      <c r="D1101" s="169" t="e">
        <f>VLOOKUP(C1101,Stock_list!D:L,2,FALSE)</f>
        <v>#N/A</v>
      </c>
      <c r="E1101" s="281" t="e">
        <f>VLOOKUP(C1101,Stock_list!D:L,9,FALSE)</f>
        <v>#N/A</v>
      </c>
      <c r="F1101" s="170"/>
      <c r="G1101" s="171"/>
      <c r="H1101" s="172"/>
      <c r="I1101" s="173"/>
      <c r="J1101" s="173"/>
      <c r="K1101" s="174"/>
      <c r="L1101" s="175"/>
      <c r="M1101" s="174"/>
      <c r="N1101" s="176"/>
      <c r="O1101" s="176"/>
      <c r="P1101" s="173"/>
      <c r="Q1101" s="177"/>
      <c r="R1101" s="178"/>
      <c r="S1101" s="173"/>
      <c r="T1101" s="179"/>
      <c r="U1101" s="145"/>
    </row>
    <row r="1102" spans="1:21" ht="15" customHeight="1">
      <c r="A1102" s="181"/>
      <c r="B1102" s="114" t="e">
        <f>VLOOKUP(A1102,'Data pick slip'!B:F,5,FALSE)</f>
        <v>#N/A</v>
      </c>
      <c r="C1102" s="169"/>
      <c r="D1102" s="169" t="e">
        <f>VLOOKUP(C1102,Stock_list!D:L,2,FALSE)</f>
        <v>#N/A</v>
      </c>
      <c r="E1102" s="281" t="e">
        <f>VLOOKUP(C1102,Stock_list!D:L,9,FALSE)</f>
        <v>#N/A</v>
      </c>
      <c r="F1102" s="170"/>
      <c r="G1102" s="171"/>
      <c r="H1102" s="172"/>
      <c r="I1102" s="173"/>
      <c r="J1102" s="173"/>
      <c r="K1102" s="174"/>
      <c r="L1102" s="175"/>
      <c r="M1102" s="174"/>
      <c r="N1102" s="176"/>
      <c r="O1102" s="176"/>
      <c r="P1102" s="173"/>
      <c r="Q1102" s="177"/>
      <c r="R1102" s="178"/>
      <c r="S1102" s="173"/>
      <c r="T1102" s="179"/>
      <c r="U1102" s="145"/>
    </row>
    <row r="1103" spans="1:21" ht="15" customHeight="1">
      <c r="A1103" s="181"/>
      <c r="B1103" s="114" t="e">
        <f>VLOOKUP(A1103,'Data pick slip'!B:F,5,FALSE)</f>
        <v>#N/A</v>
      </c>
      <c r="C1103" s="169"/>
      <c r="D1103" s="169" t="e">
        <f>VLOOKUP(C1103,Stock_list!D:L,2,FALSE)</f>
        <v>#N/A</v>
      </c>
      <c r="E1103" s="281" t="e">
        <f>VLOOKUP(C1103,Stock_list!D:L,9,FALSE)</f>
        <v>#N/A</v>
      </c>
      <c r="F1103" s="170"/>
      <c r="G1103" s="171"/>
      <c r="H1103" s="172"/>
      <c r="I1103" s="173"/>
      <c r="J1103" s="173"/>
      <c r="K1103" s="174"/>
      <c r="L1103" s="175"/>
      <c r="M1103" s="174"/>
      <c r="N1103" s="176"/>
      <c r="O1103" s="176"/>
      <c r="P1103" s="173"/>
      <c r="Q1103" s="177"/>
      <c r="R1103" s="178"/>
      <c r="S1103" s="173"/>
      <c r="T1103" s="179"/>
      <c r="U1103" s="145"/>
    </row>
    <row r="1104" spans="1:21" ht="15" customHeight="1">
      <c r="A1104" s="181"/>
      <c r="B1104" s="114" t="e">
        <f>VLOOKUP(A1104,'Data pick slip'!B:F,5,FALSE)</f>
        <v>#N/A</v>
      </c>
      <c r="C1104" s="169"/>
      <c r="D1104" s="169" t="e">
        <f>VLOOKUP(C1104,Stock_list!D:L,2,FALSE)</f>
        <v>#N/A</v>
      </c>
      <c r="E1104" s="281" t="e">
        <f>VLOOKUP(C1104,Stock_list!D:L,9,FALSE)</f>
        <v>#N/A</v>
      </c>
      <c r="F1104" s="170"/>
      <c r="G1104" s="171"/>
      <c r="H1104" s="172"/>
      <c r="I1104" s="173"/>
      <c r="J1104" s="173"/>
      <c r="K1104" s="174"/>
      <c r="L1104" s="175"/>
      <c r="M1104" s="174"/>
      <c r="N1104" s="176"/>
      <c r="O1104" s="176"/>
      <c r="P1104" s="173"/>
      <c r="Q1104" s="177"/>
      <c r="R1104" s="178"/>
      <c r="S1104" s="173"/>
      <c r="T1104" s="179"/>
      <c r="U1104" s="145"/>
    </row>
    <row r="1105" spans="1:21" ht="15" customHeight="1">
      <c r="A1105" s="181"/>
      <c r="B1105" s="114" t="e">
        <f>VLOOKUP(A1105,'Data pick slip'!B:F,5,FALSE)</f>
        <v>#N/A</v>
      </c>
      <c r="C1105" s="169"/>
      <c r="D1105" s="169" t="e">
        <f>VLOOKUP(C1105,Stock_list!D:L,2,FALSE)</f>
        <v>#N/A</v>
      </c>
      <c r="E1105" s="281" t="e">
        <f>VLOOKUP(C1105,Stock_list!D:L,9,FALSE)</f>
        <v>#N/A</v>
      </c>
      <c r="F1105" s="170"/>
      <c r="G1105" s="171"/>
      <c r="H1105" s="172"/>
      <c r="I1105" s="173"/>
      <c r="J1105" s="173"/>
      <c r="K1105" s="174"/>
      <c r="L1105" s="175"/>
      <c r="M1105" s="174"/>
      <c r="N1105" s="176"/>
      <c r="O1105" s="176"/>
      <c r="P1105" s="173"/>
      <c r="Q1105" s="177"/>
      <c r="R1105" s="178"/>
      <c r="S1105" s="173"/>
      <c r="T1105" s="179"/>
      <c r="U1105" s="145"/>
    </row>
    <row r="1106" spans="1:21" ht="15" customHeight="1" thickBot="1">
      <c r="A1106" s="182"/>
      <c r="B1106" s="183" t="e">
        <f>VLOOKUP(A1106,'Data pick slip'!B:F,5,FALSE)</f>
        <v>#N/A</v>
      </c>
      <c r="C1106" s="184"/>
      <c r="D1106" s="184" t="e">
        <f>VLOOKUP(C1106,Stock_list!D:L,2,FALSE)</f>
        <v>#N/A</v>
      </c>
      <c r="E1106" s="304" t="e">
        <f>VLOOKUP(C1106,Stock_list!D:L,9,FALSE)</f>
        <v>#N/A</v>
      </c>
      <c r="F1106" s="185"/>
      <c r="G1106" s="186"/>
      <c r="H1106" s="187"/>
      <c r="I1106" s="188"/>
      <c r="J1106" s="188"/>
      <c r="K1106" s="189"/>
      <c r="L1106" s="190"/>
      <c r="M1106" s="189"/>
      <c r="N1106" s="191"/>
      <c r="O1106" s="191"/>
      <c r="P1106" s="188"/>
      <c r="Q1106" s="192"/>
      <c r="R1106" s="193"/>
      <c r="S1106" s="188"/>
      <c r="T1106" s="194"/>
      <c r="U1106" s="145"/>
    </row>
    <row r="1107" spans="1:21" ht="16.5" customHeight="1">
      <c r="A1107" s="195" t="s">
        <v>2768</v>
      </c>
      <c r="B1107" s="196" t="str">
        <f>VLOOKUP(A1107,'Data pick slip'!B:F,5,FALSE)</f>
        <v>KHJ-MC100-00</v>
      </c>
      <c r="C1107" s="197"/>
      <c r="D1107" s="197" t="e">
        <f>VLOOKUP(C1107,Stock_list!D:L,2,FALSE)</f>
        <v>#N/A</v>
      </c>
      <c r="E1107" s="305" t="e">
        <f>VLOOKUP(C1107,Stock_list!D:L,9,FALSE)</f>
        <v>#N/A</v>
      </c>
      <c r="F1107" s="198" t="s">
        <v>2857</v>
      </c>
      <c r="G1107" s="199"/>
      <c r="H1107" s="200"/>
      <c r="I1107" s="201" t="s">
        <v>3000</v>
      </c>
      <c r="J1107" s="201" t="s">
        <v>3001</v>
      </c>
      <c r="K1107" s="92" t="s">
        <v>3002</v>
      </c>
      <c r="L1107" s="12"/>
      <c r="M1107" s="199">
        <v>5</v>
      </c>
      <c r="N1107" s="199"/>
      <c r="O1107" s="199"/>
      <c r="P1107" s="12" t="s">
        <v>291</v>
      </c>
      <c r="Q1107" s="202"/>
      <c r="R1107" s="202"/>
      <c r="S1107" s="203" t="s">
        <v>3003</v>
      </c>
      <c r="T1107" s="204" t="s">
        <v>3004</v>
      </c>
      <c r="U1107" s="145" t="e">
        <f>VLOOKUP(H1107,Stock_list!A:N,14,FALSE)</f>
        <v>#N/A</v>
      </c>
    </row>
    <row r="1108" spans="1:21" ht="16.5" customHeight="1">
      <c r="A1108" s="155" t="s">
        <v>2768</v>
      </c>
      <c r="B1108" s="114" t="str">
        <f>VLOOKUP(A1108,'Data pick slip'!B:F,5,FALSE)</f>
        <v>KHJ-MC100-00</v>
      </c>
      <c r="D1108" s="156" t="e">
        <f>VLOOKUP(C1108,Stock_list!D:L,2,FALSE)</f>
        <v>#N/A</v>
      </c>
      <c r="E1108" s="160" t="e">
        <f>VLOOKUP(C1108,Stock_list!D:L,9,FALSE)</f>
        <v>#N/A</v>
      </c>
      <c r="F1108" s="157" t="s">
        <v>2857</v>
      </c>
      <c r="I1108" s="139" t="s">
        <v>3005</v>
      </c>
      <c r="J1108" s="139" t="s">
        <v>3006</v>
      </c>
      <c r="K1108" s="51" t="s">
        <v>3002</v>
      </c>
      <c r="L1108" s="4"/>
      <c r="M1108" s="132">
        <v>20</v>
      </c>
      <c r="P1108" s="4" t="s">
        <v>291</v>
      </c>
      <c r="Q1108" s="143"/>
      <c r="R1108" s="143"/>
      <c r="S1108" s="123" t="s">
        <v>3003</v>
      </c>
      <c r="T1108" s="144" t="s">
        <v>3007</v>
      </c>
      <c r="U1108" s="145" t="e">
        <f>VLOOKUP(H1108,Stock_list!A:N,14,FALSE)</f>
        <v>#N/A</v>
      </c>
    </row>
    <row r="1109" spans="1:21" ht="16.5" customHeight="1">
      <c r="A1109" s="159" t="s">
        <v>2747</v>
      </c>
      <c r="B1109" s="114" t="str">
        <f>VLOOKUP(A1109,'Data pick slip'!B:F,5,FALSE)</f>
        <v>KHJ-MC200-00</v>
      </c>
      <c r="D1109" s="156" t="e">
        <f>VLOOKUP(C1109,Stock_list!D:L,2,FALSE)</f>
        <v>#N/A</v>
      </c>
      <c r="E1109" s="160" t="e">
        <f>VLOOKUP(C1109,Stock_list!D:L,9,FALSE)</f>
        <v>#N/A</v>
      </c>
      <c r="F1109" s="157" t="s">
        <v>2857</v>
      </c>
      <c r="I1109" s="139" t="s">
        <v>3005</v>
      </c>
      <c r="J1109" s="139" t="s">
        <v>3006</v>
      </c>
      <c r="K1109" s="51" t="s">
        <v>3002</v>
      </c>
      <c r="L1109" s="290" t="s">
        <v>3008</v>
      </c>
      <c r="M1109" s="132">
        <v>2</v>
      </c>
      <c r="P1109" s="4" t="s">
        <v>291</v>
      </c>
      <c r="Q1109" s="143"/>
      <c r="R1109" s="143"/>
      <c r="S1109" s="123" t="s">
        <v>3003</v>
      </c>
      <c r="T1109" s="144" t="s">
        <v>3009</v>
      </c>
      <c r="U1109" s="145" t="e">
        <f>VLOOKUP(H1109,Stock_list!A:N,14,FALSE)</f>
        <v>#N/A</v>
      </c>
    </row>
    <row r="1110" spans="1:21" ht="16.5" customHeight="1">
      <c r="A1110" s="159" t="s">
        <v>2747</v>
      </c>
      <c r="B1110" s="114" t="str">
        <f>VLOOKUP(A1110,'Data pick slip'!B:F,5,FALSE)</f>
        <v>KHJ-MC200-00</v>
      </c>
      <c r="D1110" s="156" t="e">
        <f>VLOOKUP(C1110,Stock_list!D:L,2,FALSE)</f>
        <v>#N/A</v>
      </c>
      <c r="E1110" s="160" t="e">
        <f>VLOOKUP(C1110,Stock_list!D:L,9,FALSE)</f>
        <v>#N/A</v>
      </c>
      <c r="F1110" s="157" t="s">
        <v>2857</v>
      </c>
      <c r="I1110" s="139" t="s">
        <v>3010</v>
      </c>
      <c r="J1110" s="139" t="s">
        <v>3011</v>
      </c>
      <c r="K1110" s="51" t="s">
        <v>3002</v>
      </c>
      <c r="L1110" s="290" t="s">
        <v>3008</v>
      </c>
      <c r="M1110" s="132">
        <v>5</v>
      </c>
      <c r="P1110" s="4" t="s">
        <v>291</v>
      </c>
      <c r="Q1110" s="143"/>
      <c r="R1110" s="143"/>
      <c r="S1110" s="123" t="s">
        <v>3003</v>
      </c>
      <c r="T1110" s="144" t="s">
        <v>3012</v>
      </c>
      <c r="U1110" s="145" t="e">
        <f>VLOOKUP(H1110,Stock_list!A:N,14,FALSE)</f>
        <v>#N/A</v>
      </c>
    </row>
    <row r="1111" spans="1:21" ht="16.5" customHeight="1">
      <c r="A1111" s="155" t="s">
        <v>2748</v>
      </c>
      <c r="B1111" s="114" t="str">
        <f>VLOOKUP(A1111,'Data pick slip'!B:F,5,FALSE)</f>
        <v>KHJ-MC400-00</v>
      </c>
      <c r="D1111" s="156" t="e">
        <f>VLOOKUP(C1111,Stock_list!D:L,2,FALSE)</f>
        <v>#N/A</v>
      </c>
      <c r="E1111" s="160" t="e">
        <f>VLOOKUP(C1111,Stock_list!D:L,9,FALSE)</f>
        <v>#N/A</v>
      </c>
      <c r="F1111" s="157" t="s">
        <v>2857</v>
      </c>
      <c r="I1111" s="139" t="s">
        <v>3013</v>
      </c>
      <c r="K1111" s="51" t="s">
        <v>3002</v>
      </c>
      <c r="L1111" s="4" t="s">
        <v>3014</v>
      </c>
      <c r="M1111" s="132">
        <v>2</v>
      </c>
      <c r="P1111" s="4" t="s">
        <v>291</v>
      </c>
      <c r="Q1111" s="143"/>
      <c r="R1111" s="143"/>
      <c r="S1111" s="123" t="s">
        <v>3003</v>
      </c>
      <c r="T1111" s="144" t="s">
        <v>3012</v>
      </c>
      <c r="U1111" s="145" t="e">
        <f>VLOOKUP(H1111,Stock_list!A:N,14,FALSE)</f>
        <v>#N/A</v>
      </c>
    </row>
    <row r="1112" spans="1:21" ht="16.5" customHeight="1">
      <c r="A1112" s="155" t="s">
        <v>2748</v>
      </c>
      <c r="B1112" s="114" t="str">
        <f>VLOOKUP(A1112,'Data pick slip'!B:F,5,FALSE)</f>
        <v>KHJ-MC400-00</v>
      </c>
      <c r="D1112" s="156" t="e">
        <f>VLOOKUP(C1112,Stock_list!D:L,2,FALSE)</f>
        <v>#N/A</v>
      </c>
      <c r="E1112" s="160" t="e">
        <f>VLOOKUP(C1112,Stock_list!D:L,9,FALSE)</f>
        <v>#N/A</v>
      </c>
      <c r="F1112" s="157" t="s">
        <v>2857</v>
      </c>
      <c r="I1112" s="139" t="s">
        <v>2853</v>
      </c>
      <c r="K1112" s="51"/>
      <c r="L1112" s="4" t="s">
        <v>3014</v>
      </c>
      <c r="M1112" s="132">
        <v>4</v>
      </c>
      <c r="P1112" s="4" t="s">
        <v>291</v>
      </c>
      <c r="Q1112" s="143"/>
      <c r="R1112" s="143"/>
      <c r="T1112" s="144"/>
      <c r="U1112" s="145" t="e">
        <f>VLOOKUP(H1112,Stock_list!A:N,14,FALSE)</f>
        <v>#N/A</v>
      </c>
    </row>
    <row r="1113" spans="1:21" ht="16.5" customHeight="1">
      <c r="A1113" s="155" t="s">
        <v>2768</v>
      </c>
      <c r="B1113" s="114" t="str">
        <f>VLOOKUP(A1113,'Data pick slip'!B:F,5,FALSE)</f>
        <v>KHJ-MC100-00</v>
      </c>
      <c r="D1113" s="156" t="e">
        <f>VLOOKUP(C1113,Stock_list!D:L,2,FALSE)</f>
        <v>#N/A</v>
      </c>
      <c r="E1113" s="160" t="e">
        <f>VLOOKUP(C1113,Stock_list!D:L,9,FALSE)</f>
        <v>#N/A</v>
      </c>
      <c r="F1113" s="157" t="s">
        <v>2860</v>
      </c>
      <c r="H1113" s="138">
        <v>104</v>
      </c>
      <c r="I1113" s="139" t="str">
        <f>VLOOKUP(H1113,Stock_list!A:R,18,FALSE)</f>
        <v>利速达</v>
      </c>
      <c r="J1113" s="139" t="str">
        <f>VLOOKUP(H1113,Stock_list!A:S,17,FALSE)</f>
        <v>C49SZX20180109SX</v>
      </c>
      <c r="K1113" s="51" t="str">
        <f>VLOOKUP(H1113,Stock_list!A:T,16,FALSE)</f>
        <v>JPY</v>
      </c>
      <c r="L1113" s="4"/>
      <c r="M1113" s="132">
        <v>40</v>
      </c>
      <c r="P1113" s="4" t="str">
        <f>VLOOKUP(H1113,Stock_list!A:Y,25,FALSE)</f>
        <v>Yes</v>
      </c>
      <c r="Q1113" s="143"/>
      <c r="R1113" s="143"/>
      <c r="T1113" s="144"/>
      <c r="U1113" s="145" t="str">
        <f>VLOOKUP(H1113,Stock_list!A:N,14,FALSE)</f>
        <v>OCT 18</v>
      </c>
    </row>
    <row r="1114" spans="1:21" ht="16.5" customHeight="1">
      <c r="A1114" s="159" t="s">
        <v>2747</v>
      </c>
      <c r="B1114" s="114" t="str">
        <f>VLOOKUP(A1114,'Data pick slip'!B:F,5,FALSE)</f>
        <v>KHJ-MC200-00</v>
      </c>
      <c r="D1114" s="156" t="e">
        <f>VLOOKUP(C1114,Stock_list!D:L,2,FALSE)</f>
        <v>#N/A</v>
      </c>
      <c r="E1114" s="160" t="e">
        <f>VLOOKUP(C1114,Stock_list!D:L,9,FALSE)</f>
        <v>#N/A</v>
      </c>
      <c r="F1114" s="157" t="s">
        <v>2857</v>
      </c>
      <c r="H1114" s="138">
        <v>104</v>
      </c>
      <c r="I1114" s="139" t="str">
        <f>VLOOKUP(H1114,Stock_list!A:R,18,FALSE)</f>
        <v>利速达</v>
      </c>
      <c r="J1114" s="139" t="str">
        <f>VLOOKUP(H1114,Stock_list!A:S,17,FALSE)</f>
        <v>C49SZX20180109SX</v>
      </c>
      <c r="K1114" s="51" t="str">
        <f>VLOOKUP(H1114,Stock_list!A:T,16,FALSE)</f>
        <v>JPY</v>
      </c>
      <c r="L1114" s="290" t="s">
        <v>3008</v>
      </c>
      <c r="M1114" s="132">
        <v>2</v>
      </c>
      <c r="P1114" s="4" t="str">
        <f>VLOOKUP(H1114,Stock_list!A:Y,25,FALSE)</f>
        <v>Yes</v>
      </c>
      <c r="Q1114" s="143"/>
      <c r="R1114" s="143"/>
      <c r="S1114" s="123" t="s">
        <v>3003</v>
      </c>
      <c r="T1114" s="144" t="s">
        <v>3009</v>
      </c>
      <c r="U1114" s="145" t="str">
        <f>VLOOKUP(H1114,Stock_list!A:N,14,FALSE)</f>
        <v>OCT 18</v>
      </c>
    </row>
    <row r="1115" spans="1:21" ht="14.25" customHeight="1">
      <c r="A1115" s="155" t="s">
        <v>2768</v>
      </c>
      <c r="B1115" s="114" t="str">
        <f>VLOOKUP(A1115,'Data pick slip'!B:F,5,FALSE)</f>
        <v>KHJ-MC100-00</v>
      </c>
      <c r="D1115" s="156" t="e">
        <f>VLOOKUP(C1115,Stock_list!D:L,2,FALSE)</f>
        <v>#N/A</v>
      </c>
      <c r="E1115" s="160" t="e">
        <f>VLOOKUP(C1115,Stock_list!D:L,9,FALSE)</f>
        <v>#N/A</v>
      </c>
      <c r="F1115" s="157" t="s">
        <v>2860</v>
      </c>
      <c r="I1115" s="139" t="s">
        <v>3015</v>
      </c>
      <c r="J1115" s="139" t="s">
        <v>3016</v>
      </c>
      <c r="K1115" s="51" t="s">
        <v>1246</v>
      </c>
      <c r="L1115" s="4"/>
      <c r="M1115" s="132">
        <v>95</v>
      </c>
      <c r="P1115" s="6" t="s">
        <v>291</v>
      </c>
      <c r="Q1115" s="143"/>
      <c r="R1115" s="143"/>
      <c r="T1115" s="144"/>
      <c r="U1115" s="145" t="e">
        <f>VLOOKUP(H1115,Stock_list!A:N,14,FALSE)</f>
        <v>#N/A</v>
      </c>
    </row>
    <row r="1116" spans="1:21" ht="16.5" customHeight="1">
      <c r="A1116" s="159" t="s">
        <v>2747</v>
      </c>
      <c r="B1116" s="114" t="str">
        <f>VLOOKUP(A1116,'Data pick slip'!B:F,5,FALSE)</f>
        <v>KHJ-MC200-00</v>
      </c>
      <c r="D1116" s="156" t="e">
        <f>VLOOKUP(C1116,Stock_list!D:L,2,FALSE)</f>
        <v>#N/A</v>
      </c>
      <c r="E1116" s="160" t="e">
        <f>VLOOKUP(C1116,Stock_list!D:L,9,FALSE)</f>
        <v>#N/A</v>
      </c>
      <c r="F1116" s="157" t="s">
        <v>2860</v>
      </c>
      <c r="I1116" s="139" t="s">
        <v>3015</v>
      </c>
      <c r="J1116" s="139" t="s">
        <v>3016</v>
      </c>
      <c r="K1116" s="51" t="s">
        <v>1246</v>
      </c>
      <c r="L1116" s="4"/>
      <c r="M1116" s="132">
        <v>60</v>
      </c>
      <c r="P1116" s="6" t="s">
        <v>291</v>
      </c>
      <c r="Q1116" s="143"/>
      <c r="R1116" s="143"/>
      <c r="T1116" s="144"/>
      <c r="U1116" s="145" t="e">
        <f>VLOOKUP(H1116,Stock_list!A:N,14,FALSE)</f>
        <v>#N/A</v>
      </c>
    </row>
    <row r="1117" spans="1:21" ht="16.5" customHeight="1">
      <c r="A1117" s="155" t="s">
        <v>2748</v>
      </c>
      <c r="B1117" s="114" t="str">
        <f>VLOOKUP(A1117,'Data pick slip'!B:F,5,FALSE)</f>
        <v>KHJ-MC400-00</v>
      </c>
      <c r="D1117" s="156" t="e">
        <f>VLOOKUP(C1117,Stock_list!D:L,2,FALSE)</f>
        <v>#N/A</v>
      </c>
      <c r="E1117" s="160" t="e">
        <f>VLOOKUP(C1117,Stock_list!D:L,9,FALSE)</f>
        <v>#N/A</v>
      </c>
      <c r="F1117" s="157" t="s">
        <v>2860</v>
      </c>
      <c r="I1117" s="139" t="s">
        <v>3015</v>
      </c>
      <c r="J1117" s="139" t="s">
        <v>3016</v>
      </c>
      <c r="K1117" s="51" t="s">
        <v>1246</v>
      </c>
      <c r="L1117" s="4"/>
      <c r="M1117" s="132">
        <v>22</v>
      </c>
      <c r="P1117" s="6" t="s">
        <v>291</v>
      </c>
      <c r="Q1117" s="143"/>
      <c r="R1117" s="143"/>
      <c r="T1117" s="144"/>
      <c r="U1117" s="145" t="e">
        <f>VLOOKUP(H1117,Stock_list!A:N,14,FALSE)</f>
        <v>#N/A</v>
      </c>
    </row>
    <row r="1118" spans="1:21" ht="16.5" customHeight="1">
      <c r="A1118" s="155" t="s">
        <v>2749</v>
      </c>
      <c r="B1118" s="114" t="str">
        <f>VLOOKUP(A1118,'Data pick slip'!B:F,5,FALSE)</f>
        <v>KHJ-MC500-00</v>
      </c>
      <c r="D1118" s="156" t="e">
        <f>VLOOKUP(C1118,Stock_list!D:L,2,FALSE)</f>
        <v>#N/A</v>
      </c>
      <c r="E1118" s="160" t="e">
        <f>VLOOKUP(C1118,Stock_list!D:L,9,FALSE)</f>
        <v>#N/A</v>
      </c>
      <c r="F1118" s="157" t="s">
        <v>2860</v>
      </c>
      <c r="I1118" s="139" t="s">
        <v>3015</v>
      </c>
      <c r="J1118" s="139" t="s">
        <v>3016</v>
      </c>
      <c r="K1118" s="51" t="s">
        <v>1246</v>
      </c>
      <c r="L1118" s="4"/>
      <c r="M1118" s="132">
        <v>11</v>
      </c>
      <c r="P1118" s="6" t="s">
        <v>291</v>
      </c>
      <c r="Q1118" s="143"/>
      <c r="R1118" s="143"/>
      <c r="T1118" s="144"/>
      <c r="U1118" s="145" t="e">
        <f>VLOOKUP(H1118,Stock_list!A:N,14,FALSE)</f>
        <v>#N/A</v>
      </c>
    </row>
    <row r="1119" spans="1:21" ht="16.5" customHeight="1">
      <c r="A1119" s="155" t="s">
        <v>2750</v>
      </c>
      <c r="B1119" s="114" t="str">
        <f>VLOOKUP(A1119,'Data pick slip'!B:F,5,FALSE)</f>
        <v>KHJ-MC600-00</v>
      </c>
      <c r="D1119" s="156" t="e">
        <f>VLOOKUP(C1119,Stock_list!D:L,2,FALSE)</f>
        <v>#N/A</v>
      </c>
      <c r="E1119" s="160" t="e">
        <f>VLOOKUP(C1119,Stock_list!D:L,9,FALSE)</f>
        <v>#N/A</v>
      </c>
      <c r="F1119" s="157" t="s">
        <v>2860</v>
      </c>
      <c r="I1119" s="139" t="s">
        <v>3015</v>
      </c>
      <c r="J1119" s="139" t="s">
        <v>3016</v>
      </c>
      <c r="K1119" s="51" t="s">
        <v>1246</v>
      </c>
      <c r="L1119" s="4"/>
      <c r="M1119" s="132">
        <v>1</v>
      </c>
      <c r="P1119" s="6" t="s">
        <v>291</v>
      </c>
      <c r="Q1119" s="143"/>
      <c r="R1119" s="143"/>
      <c r="T1119" s="144"/>
      <c r="U1119" s="145" t="e">
        <f>VLOOKUP(H1119,Stock_list!A:N,14,FALSE)</f>
        <v>#N/A</v>
      </c>
    </row>
    <row r="1120" spans="1:21" ht="16.5" customHeight="1">
      <c r="A1120" s="155" t="s">
        <v>2768</v>
      </c>
      <c r="B1120" s="114" t="str">
        <f>VLOOKUP(A1120,'Data pick slip'!B:F,5,FALSE)</f>
        <v>KHJ-MC100-00</v>
      </c>
      <c r="C1120" s="156" t="s">
        <v>242</v>
      </c>
      <c r="D1120" s="156" t="e">
        <f>VLOOKUP(C1120,Stock_list!D:L,2,FALSE)</f>
        <v>#N/A</v>
      </c>
      <c r="E1120" s="160" t="e">
        <f>VLOOKUP(C1120,Stock_list!D:L,9,FALSE)</f>
        <v>#N/A</v>
      </c>
      <c r="F1120" s="157" t="s">
        <v>2857</v>
      </c>
      <c r="I1120" s="139" t="s">
        <v>2853</v>
      </c>
      <c r="J1120" s="139" t="s">
        <v>3017</v>
      </c>
      <c r="K1120" s="51" t="s">
        <v>1246</v>
      </c>
      <c r="L1120" s="4"/>
      <c r="M1120" s="132">
        <v>50</v>
      </c>
      <c r="P1120" s="6" t="s">
        <v>291</v>
      </c>
      <c r="Q1120" s="143"/>
      <c r="R1120" s="143"/>
      <c r="T1120" s="144"/>
      <c r="U1120" s="145" t="e">
        <f>VLOOKUP(H1120,Stock_list!A:N,14,FALSE)</f>
        <v>#N/A</v>
      </c>
    </row>
    <row r="1121" spans="1:21" ht="16.5" customHeight="1">
      <c r="A1121" s="159" t="s">
        <v>2747</v>
      </c>
      <c r="B1121" s="114" t="str">
        <f>VLOOKUP(A1121,'Data pick slip'!B:F,5,FALSE)</f>
        <v>KHJ-MC200-00</v>
      </c>
      <c r="D1121" s="156" t="e">
        <f>VLOOKUP(C1121,Stock_list!D:L,2,FALSE)</f>
        <v>#N/A</v>
      </c>
      <c r="E1121" s="160" t="e">
        <f>VLOOKUP(C1121,Stock_list!D:L,9,FALSE)</f>
        <v>#N/A</v>
      </c>
      <c r="F1121" s="157" t="s">
        <v>2857</v>
      </c>
      <c r="I1121" s="139" t="s">
        <v>2853</v>
      </c>
      <c r="J1121" s="139" t="s">
        <v>3018</v>
      </c>
      <c r="K1121" s="51" t="s">
        <v>1246</v>
      </c>
      <c r="L1121" s="290" t="s">
        <v>3008</v>
      </c>
      <c r="M1121" s="132">
        <v>8</v>
      </c>
      <c r="P1121" s="6" t="s">
        <v>291</v>
      </c>
      <c r="Q1121" s="143"/>
      <c r="R1121" s="143"/>
      <c r="T1121" s="144"/>
      <c r="U1121" s="145" t="e">
        <f>VLOOKUP(H1121,Stock_list!A:N,14,FALSE)</f>
        <v>#N/A</v>
      </c>
    </row>
    <row r="1122" spans="1:21" ht="16.5" customHeight="1">
      <c r="A1122" s="155" t="s">
        <v>2757</v>
      </c>
      <c r="B1122" s="114" t="str">
        <f>VLOOKUP(A1122,'Data pick slip'!B:F,5,FALSE)</f>
        <v>KLJ-MC400-00</v>
      </c>
      <c r="D1122" s="156" t="e">
        <f>VLOOKUP(C1122,Stock_list!D:L,2,FALSE)</f>
        <v>#N/A</v>
      </c>
      <c r="E1122" s="160" t="e">
        <f>VLOOKUP(C1122,Stock_list!D:L,9,FALSE)</f>
        <v>#N/A</v>
      </c>
      <c r="F1122" s="157" t="s">
        <v>2857</v>
      </c>
      <c r="I1122" s="139" t="s">
        <v>2853</v>
      </c>
      <c r="J1122" s="139" t="s">
        <v>3019</v>
      </c>
      <c r="K1122" s="51" t="s">
        <v>1246</v>
      </c>
      <c r="L1122" s="4"/>
      <c r="M1122" s="132">
        <v>3</v>
      </c>
      <c r="P1122" s="6" t="s">
        <v>291</v>
      </c>
      <c r="Q1122" s="143"/>
      <c r="R1122" s="143"/>
      <c r="T1122" s="144"/>
      <c r="U1122" s="145" t="e">
        <f>VLOOKUP(H1122,Stock_list!A:N,14,FALSE)</f>
        <v>#N/A</v>
      </c>
    </row>
    <row r="1123" spans="1:21" ht="16.5" customHeight="1">
      <c r="A1123" s="155" t="s">
        <v>2768</v>
      </c>
      <c r="B1123" s="114" t="str">
        <f>VLOOKUP(A1123,'Data pick slip'!B:F,5,FALSE)</f>
        <v>KHJ-MC100-00</v>
      </c>
      <c r="D1123" s="156" t="e">
        <f>VLOOKUP(C1123,Stock_list!D:L,2,FALSE)</f>
        <v>#N/A</v>
      </c>
      <c r="E1123" s="160" t="e">
        <f>VLOOKUP(C1123,Stock_list!D:L,9,FALSE)</f>
        <v>#N/A</v>
      </c>
      <c r="F1123" s="157" t="s">
        <v>2773</v>
      </c>
      <c r="H1123" s="138">
        <v>5</v>
      </c>
      <c r="I1123" s="139" t="s">
        <v>2853</v>
      </c>
      <c r="J1123" s="139" t="s">
        <v>3020</v>
      </c>
      <c r="K1123" s="51" t="s">
        <v>3002</v>
      </c>
      <c r="L1123" s="4">
        <v>43915</v>
      </c>
      <c r="O1123" s="132">
        <f>27-27</f>
        <v>0</v>
      </c>
      <c r="P1123" s="4" t="s">
        <v>291</v>
      </c>
      <c r="Q1123" s="143"/>
      <c r="R1123" s="143"/>
      <c r="T1123" s="144"/>
      <c r="U1123" s="145" t="e">
        <f>VLOOKUP(H1123,Stock_list!A:N,14,FALSE)</f>
        <v>#N/A</v>
      </c>
    </row>
    <row r="1124" spans="1:21" ht="16.5" customHeight="1">
      <c r="A1124" s="155" t="s">
        <v>2768</v>
      </c>
      <c r="B1124" s="114" t="str">
        <f>VLOOKUP(A1124,'Data pick slip'!B:F,5,FALSE)</f>
        <v>KHJ-MC100-00</v>
      </c>
      <c r="D1124" s="156" t="e">
        <f>VLOOKUP(C1124,Stock_list!D:L,2,FALSE)</f>
        <v>#N/A</v>
      </c>
      <c r="E1124" s="160" t="e">
        <f>VLOOKUP(C1124,Stock_list!D:L,9,FALSE)</f>
        <v>#N/A</v>
      </c>
      <c r="F1124" s="157" t="s">
        <v>2857</v>
      </c>
      <c r="H1124" s="138">
        <v>10</v>
      </c>
      <c r="I1124" s="139" t="s">
        <v>2853</v>
      </c>
      <c r="J1124" s="139" t="s">
        <v>3021</v>
      </c>
      <c r="K1124" s="51" t="s">
        <v>3002</v>
      </c>
      <c r="L1124" s="4" t="s">
        <v>3014</v>
      </c>
      <c r="M1124" s="132">
        <v>75</v>
      </c>
      <c r="P1124" s="4" t="s">
        <v>291</v>
      </c>
      <c r="Q1124" s="143"/>
      <c r="R1124" s="143"/>
      <c r="S1124" s="123" t="s">
        <v>3003</v>
      </c>
      <c r="T1124" s="205" t="s">
        <v>3022</v>
      </c>
      <c r="U1124" s="145" t="e">
        <f>VLOOKUP(H1124,Stock_list!A:N,14,FALSE)</f>
        <v>#N/A</v>
      </c>
    </row>
    <row r="1125" spans="1:21" ht="16.5" customHeight="1">
      <c r="A1125" s="159" t="s">
        <v>2809</v>
      </c>
      <c r="B1125" s="114" t="str">
        <f>VLOOKUP(A1125,'Data pick slip'!B:F,5,FALSE)</f>
        <v>KHJ-MC200-00</v>
      </c>
      <c r="D1125" s="156" t="e">
        <f>VLOOKUP(C1125,Stock_list!D:L,2,FALSE)</f>
        <v>#N/A</v>
      </c>
      <c r="E1125" s="160" t="e">
        <f>VLOOKUP(C1125,Stock_list!D:L,9,FALSE)</f>
        <v>#N/A</v>
      </c>
      <c r="F1125" s="157" t="s">
        <v>2857</v>
      </c>
      <c r="H1125" s="138">
        <v>10</v>
      </c>
      <c r="I1125" s="139" t="s">
        <v>2853</v>
      </c>
      <c r="J1125" s="139" t="s">
        <v>3021</v>
      </c>
      <c r="K1125" s="51" t="s">
        <v>3002</v>
      </c>
      <c r="L1125" s="4" t="s">
        <v>3014</v>
      </c>
      <c r="M1125" s="132">
        <v>10</v>
      </c>
      <c r="P1125" s="4" t="s">
        <v>291</v>
      </c>
      <c r="Q1125" s="143"/>
      <c r="R1125" s="143"/>
      <c r="S1125" s="123" t="s">
        <v>3003</v>
      </c>
      <c r="T1125" s="205" t="s">
        <v>3022</v>
      </c>
      <c r="U1125" s="145" t="e">
        <f>VLOOKUP(H1125,Stock_list!A:N,14,FALSE)</f>
        <v>#N/A</v>
      </c>
    </row>
    <row r="1126" spans="1:21" ht="16.5" customHeight="1">
      <c r="A1126" s="155" t="s">
        <v>2748</v>
      </c>
      <c r="B1126" s="114" t="str">
        <f>VLOOKUP(A1126,'Data pick slip'!B:F,5,FALSE)</f>
        <v>KHJ-MC400-00</v>
      </c>
      <c r="D1126" s="156" t="e">
        <f>VLOOKUP(C1126,Stock_list!D:L,2,FALSE)</f>
        <v>#N/A</v>
      </c>
      <c r="E1126" s="160" t="e">
        <f>VLOOKUP(C1126,Stock_list!D:L,9,FALSE)</f>
        <v>#N/A</v>
      </c>
      <c r="F1126" s="157" t="s">
        <v>2857</v>
      </c>
      <c r="H1126" s="138">
        <v>10</v>
      </c>
      <c r="I1126" s="139" t="s">
        <v>2853</v>
      </c>
      <c r="J1126" s="139" t="s">
        <v>3021</v>
      </c>
      <c r="K1126" s="51" t="s">
        <v>3002</v>
      </c>
      <c r="L1126" s="4" t="s">
        <v>3014</v>
      </c>
      <c r="M1126" s="132">
        <v>2</v>
      </c>
      <c r="P1126" s="4" t="s">
        <v>291</v>
      </c>
      <c r="Q1126" s="143"/>
      <c r="R1126" s="143"/>
      <c r="S1126" s="123" t="s">
        <v>3003</v>
      </c>
      <c r="T1126" s="205" t="s">
        <v>3022</v>
      </c>
      <c r="U1126" s="145" t="e">
        <f>VLOOKUP(H1126,Stock_list!A:N,14,FALSE)</f>
        <v>#N/A</v>
      </c>
    </row>
    <row r="1127" spans="1:21" ht="16.5" customHeight="1">
      <c r="A1127" s="155" t="s">
        <v>2749</v>
      </c>
      <c r="B1127" s="114" t="str">
        <f>VLOOKUP(A1127,'Data pick slip'!B:F,5,FALSE)</f>
        <v>KHJ-MC500-00</v>
      </c>
      <c r="D1127" s="156" t="e">
        <f>VLOOKUP(C1127,Stock_list!D:L,2,FALSE)</f>
        <v>#N/A</v>
      </c>
      <c r="E1127" s="160" t="e">
        <f>VLOOKUP(C1127,Stock_list!D:L,9,FALSE)</f>
        <v>#N/A</v>
      </c>
      <c r="F1127" s="157" t="s">
        <v>2857</v>
      </c>
      <c r="H1127" s="138">
        <v>10</v>
      </c>
      <c r="I1127" s="139" t="s">
        <v>2853</v>
      </c>
      <c r="J1127" s="139" t="s">
        <v>3021</v>
      </c>
      <c r="K1127" s="51" t="s">
        <v>3002</v>
      </c>
      <c r="L1127" s="4" t="s">
        <v>3014</v>
      </c>
      <c r="M1127" s="132">
        <v>1</v>
      </c>
      <c r="P1127" s="4" t="s">
        <v>291</v>
      </c>
      <c r="Q1127" s="143"/>
      <c r="R1127" s="143"/>
      <c r="S1127" s="123" t="s">
        <v>3003</v>
      </c>
      <c r="T1127" s="205" t="s">
        <v>3022</v>
      </c>
      <c r="U1127" s="145" t="e">
        <f>VLOOKUP(H1127,Stock_list!A:N,14,FALSE)</f>
        <v>#N/A</v>
      </c>
    </row>
    <row r="1128" spans="1:21" ht="16.5" customHeight="1">
      <c r="A1128" s="155" t="s">
        <v>2750</v>
      </c>
      <c r="B1128" s="114" t="str">
        <f>VLOOKUP(A1128,'Data pick slip'!B:F,5,FALSE)</f>
        <v>KHJ-MC600-00</v>
      </c>
      <c r="D1128" s="156" t="e">
        <f>VLOOKUP(C1128,Stock_list!D:L,2,FALSE)</f>
        <v>#N/A</v>
      </c>
      <c r="E1128" s="160" t="e">
        <f>VLOOKUP(C1128,Stock_list!D:L,9,FALSE)</f>
        <v>#N/A</v>
      </c>
      <c r="F1128" s="157" t="s">
        <v>2857</v>
      </c>
      <c r="H1128" s="138">
        <v>10</v>
      </c>
      <c r="I1128" s="139" t="s">
        <v>2853</v>
      </c>
      <c r="J1128" s="139" t="s">
        <v>3021</v>
      </c>
      <c r="K1128" s="51" t="s">
        <v>3002</v>
      </c>
      <c r="L1128" s="4" t="s">
        <v>3014</v>
      </c>
      <c r="M1128" s="132">
        <v>1</v>
      </c>
      <c r="P1128" s="4" t="s">
        <v>291</v>
      </c>
      <c r="Q1128" s="143"/>
      <c r="R1128" s="143"/>
      <c r="S1128" s="123" t="s">
        <v>3003</v>
      </c>
      <c r="T1128" s="205" t="s">
        <v>3022</v>
      </c>
      <c r="U1128" s="145" t="e">
        <f>VLOOKUP(H1128,Stock_list!A:N,14,FALSE)</f>
        <v>#N/A</v>
      </c>
    </row>
    <row r="1129" spans="1:21" ht="16.5" customHeight="1">
      <c r="A1129" s="155" t="s">
        <v>2768</v>
      </c>
      <c r="B1129" s="114" t="str">
        <f>VLOOKUP(A1129,'Data pick slip'!B:F,5,FALSE)</f>
        <v>KHJ-MC100-00</v>
      </c>
      <c r="D1129" s="156" t="e">
        <f>VLOOKUP(C1129,Stock_list!D:L,2,FALSE)</f>
        <v>#N/A</v>
      </c>
      <c r="E1129" s="160" t="e">
        <f>VLOOKUP(C1129,Stock_list!D:L,9,FALSE)</f>
        <v>#N/A</v>
      </c>
      <c r="F1129" s="157" t="s">
        <v>2857</v>
      </c>
      <c r="H1129" s="138">
        <v>80</v>
      </c>
      <c r="I1129" s="139" t="str">
        <f>VLOOKUP(H1129,Stock_list!A:R,18,FALSE)</f>
        <v>BBS好兄弟</v>
      </c>
      <c r="J1129" s="139" t="str">
        <f>VLOOKUP(H1129,Stock_list!A:S,17,FALSE)</f>
        <v>C49SZX20180086DZ</v>
      </c>
      <c r="K1129" s="51" t="str">
        <f>VLOOKUP(H1129,Stock_list!A:T,16,FALSE)</f>
        <v>JPY</v>
      </c>
      <c r="L1129" s="4"/>
      <c r="O1129" s="132">
        <f>150-150</f>
        <v>0</v>
      </c>
      <c r="P1129" s="4" t="str">
        <f>VLOOKUP(H1129,Stock_list!A:Y,25,FALSE)</f>
        <v>Yes</v>
      </c>
      <c r="Q1129" s="143"/>
      <c r="R1129" s="143"/>
      <c r="T1129" s="144"/>
      <c r="U1129" s="145" t="str">
        <f>VLOOKUP(H1129,Stock_list!A:N,14,FALSE)</f>
        <v>MAR 19</v>
      </c>
    </row>
    <row r="1130" spans="1:21" ht="16.5" customHeight="1">
      <c r="A1130" s="159" t="s">
        <v>2747</v>
      </c>
      <c r="B1130" s="114" t="str">
        <f>VLOOKUP(A1130,'Data pick slip'!B:F,5,FALSE)</f>
        <v>KHJ-MC200-00</v>
      </c>
      <c r="D1130" s="156" t="e">
        <f>VLOOKUP(C1130,Stock_list!D:L,2,FALSE)</f>
        <v>#N/A</v>
      </c>
      <c r="E1130" s="160" t="e">
        <f>VLOOKUP(C1130,Stock_list!D:L,9,FALSE)</f>
        <v>#N/A</v>
      </c>
      <c r="F1130" s="157" t="s">
        <v>2857</v>
      </c>
      <c r="H1130" s="138">
        <v>80</v>
      </c>
      <c r="I1130" s="139" t="str">
        <f>VLOOKUP(H1130,Stock_list!A:R,18,FALSE)</f>
        <v>BBS好兄弟</v>
      </c>
      <c r="J1130" s="139" t="str">
        <f>VLOOKUP(H1130,Stock_list!A:S,17,FALSE)</f>
        <v>C49SZX20180086DZ</v>
      </c>
      <c r="K1130" s="51" t="str">
        <f>VLOOKUP(H1130,Stock_list!A:T,16,FALSE)</f>
        <v>JPY</v>
      </c>
      <c r="L1130" s="290" t="s">
        <v>3008</v>
      </c>
      <c r="O1130" s="132">
        <f>10-10</f>
        <v>0</v>
      </c>
      <c r="P1130" s="4" t="str">
        <f>VLOOKUP(H1130,Stock_list!A:Y,25,FALSE)</f>
        <v>Yes</v>
      </c>
      <c r="Q1130" s="143"/>
      <c r="R1130" s="143"/>
      <c r="T1130" s="144"/>
      <c r="U1130" s="145" t="str">
        <f>VLOOKUP(H1130,Stock_list!A:N,14,FALSE)</f>
        <v>MAR 19</v>
      </c>
    </row>
    <row r="1131" spans="1:21" ht="16.5" customHeight="1">
      <c r="A1131" s="155" t="s">
        <v>2768</v>
      </c>
      <c r="B1131" s="114" t="str">
        <f>VLOOKUP(A1131,'Data pick slip'!B:F,5,FALSE)</f>
        <v>KHJ-MC100-00</v>
      </c>
      <c r="D1131" s="156" t="e">
        <f>VLOOKUP(C1131,Stock_list!D:L,2,FALSE)</f>
        <v>#N/A</v>
      </c>
      <c r="E1131" s="160" t="e">
        <f>VLOOKUP(C1131,Stock_list!D:L,9,FALSE)</f>
        <v>#N/A</v>
      </c>
      <c r="F1131" s="157" t="s">
        <v>2860</v>
      </c>
      <c r="H1131" s="138">
        <v>96</v>
      </c>
      <c r="I1131" s="139" t="str">
        <f>VLOOKUP(H1131,Stock_list!A:R,18,FALSE)</f>
        <v>易而达</v>
      </c>
      <c r="J1131" s="139" t="str">
        <f>VLOOKUP(H1131,Stock_list!A:S,17,FALSE)</f>
        <v>C49SZX20180101JL</v>
      </c>
      <c r="K1131" s="51" t="str">
        <f>VLOOKUP(H1131,Stock_list!A:T,16,FALSE)</f>
        <v>JPY</v>
      </c>
      <c r="L1131" s="4"/>
      <c r="M1131" s="132">
        <v>60</v>
      </c>
      <c r="P1131" s="4" t="str">
        <f>VLOOKUP(H1131,Stock_list!A:Y,25,FALSE)</f>
        <v>Yes</v>
      </c>
      <c r="Q1131" s="143"/>
      <c r="R1131" s="143"/>
      <c r="T1131" s="144"/>
      <c r="U1131" s="145" t="str">
        <f>VLOOKUP(H1131,Stock_list!A:N,14,FALSE)</f>
        <v>OCT 18</v>
      </c>
    </row>
    <row r="1132" spans="1:21" ht="16.5" customHeight="1">
      <c r="A1132" s="159" t="s">
        <v>2747</v>
      </c>
      <c r="B1132" s="114" t="str">
        <f>VLOOKUP(A1132,'Data pick slip'!B:F,5,FALSE)</f>
        <v>KHJ-MC200-00</v>
      </c>
      <c r="D1132" s="156" t="e">
        <f>VLOOKUP(C1132,Stock_list!D:L,2,FALSE)</f>
        <v>#N/A</v>
      </c>
      <c r="E1132" s="160" t="e">
        <f>VLOOKUP(C1132,Stock_list!D:L,9,FALSE)</f>
        <v>#N/A</v>
      </c>
      <c r="F1132" s="157" t="s">
        <v>2860</v>
      </c>
      <c r="H1132" s="138">
        <v>96</v>
      </c>
      <c r="I1132" s="139" t="str">
        <f>VLOOKUP(H1132,Stock_list!A:R,18,FALSE)</f>
        <v>易而达</v>
      </c>
      <c r="J1132" s="139" t="str">
        <f>VLOOKUP(H1132,Stock_list!A:S,17,FALSE)</f>
        <v>C49SZX20180101JL</v>
      </c>
      <c r="K1132" s="51" t="str">
        <f>VLOOKUP(H1132,Stock_list!A:T,16,FALSE)</f>
        <v>JPY</v>
      </c>
      <c r="L1132" s="4"/>
      <c r="M1132" s="132">
        <v>10</v>
      </c>
      <c r="P1132" s="4" t="str">
        <f>VLOOKUP(H1132,Stock_list!A:Y,25,FALSE)</f>
        <v>Yes</v>
      </c>
      <c r="Q1132" s="143"/>
      <c r="R1132" s="143"/>
      <c r="T1132" s="144"/>
      <c r="U1132" s="145" t="str">
        <f>VLOOKUP(H1132,Stock_list!A:N,14,FALSE)</f>
        <v>OCT 18</v>
      </c>
    </row>
    <row r="1133" spans="1:21" ht="16.5" customHeight="1">
      <c r="A1133" s="155" t="s">
        <v>2748</v>
      </c>
      <c r="B1133" s="114" t="str">
        <f>VLOOKUP(A1133,'Data pick slip'!B:F,5,FALSE)</f>
        <v>KHJ-MC400-00</v>
      </c>
      <c r="D1133" s="156" t="e">
        <f>VLOOKUP(C1133,Stock_list!D:L,2,FALSE)</f>
        <v>#N/A</v>
      </c>
      <c r="E1133" s="160" t="e">
        <f>VLOOKUP(C1133,Stock_list!D:L,9,FALSE)</f>
        <v>#N/A</v>
      </c>
      <c r="F1133" s="157" t="s">
        <v>2860</v>
      </c>
      <c r="H1133" s="138">
        <v>96</v>
      </c>
      <c r="I1133" s="139" t="str">
        <f>VLOOKUP(H1133,Stock_list!A:R,18,FALSE)</f>
        <v>易而达</v>
      </c>
      <c r="J1133" s="139" t="str">
        <f>VLOOKUP(H1133,Stock_list!A:S,17,FALSE)</f>
        <v>C49SZX20180101JL</v>
      </c>
      <c r="K1133" s="51" t="str">
        <f>VLOOKUP(H1133,Stock_list!A:T,16,FALSE)</f>
        <v>JPY</v>
      </c>
      <c r="L1133" s="4"/>
      <c r="M1133" s="132">
        <v>5</v>
      </c>
      <c r="P1133" s="4" t="str">
        <f>VLOOKUP(H1133,Stock_list!A:Y,25,FALSE)</f>
        <v>Yes</v>
      </c>
      <c r="Q1133" s="143"/>
      <c r="R1133" s="143"/>
      <c r="T1133" s="144"/>
      <c r="U1133" s="145" t="str">
        <f>VLOOKUP(H1133,Stock_list!A:N,14,FALSE)</f>
        <v>OCT 18</v>
      </c>
    </row>
    <row r="1134" spans="1:21" ht="16.5" customHeight="1">
      <c r="A1134" s="155" t="s">
        <v>2768</v>
      </c>
      <c r="B1134" s="114" t="str">
        <f>VLOOKUP(A1134,'Data pick slip'!B:F,5,FALSE)</f>
        <v>KHJ-MC100-00</v>
      </c>
      <c r="D1134" s="156" t="e">
        <f>VLOOKUP(C1134,Stock_list!D:L,2,FALSE)</f>
        <v>#N/A</v>
      </c>
      <c r="E1134" s="160" t="e">
        <f>VLOOKUP(C1134,Stock_list!D:L,9,FALSE)</f>
        <v>#N/A</v>
      </c>
      <c r="F1134" s="157" t="s">
        <v>2860</v>
      </c>
      <c r="H1134" s="138">
        <v>145</v>
      </c>
      <c r="I1134" s="139" t="str">
        <f>VLOOKUP(H1134,Stock_list!A:R,18,FALSE)</f>
        <v>雅鑫特</v>
      </c>
      <c r="J1134" s="139" t="str">
        <f>VLOOKUP(H1134,Stock_list!A:S,17,FALSE)</f>
        <v>C49SZX20180152ZX</v>
      </c>
      <c r="K1134" s="51" t="str">
        <f>VLOOKUP(H1134,Stock_list!A:T,16,FALSE)</f>
        <v>JPY</v>
      </c>
      <c r="L1134" s="4"/>
      <c r="M1134" s="132">
        <v>105</v>
      </c>
      <c r="P1134" s="4" t="str">
        <f>VLOOKUP(H1134,Stock_list!A:Y,25,FALSE)</f>
        <v>Yes</v>
      </c>
      <c r="Q1134" s="143"/>
      <c r="R1134" s="143"/>
      <c r="T1134" s="144"/>
      <c r="U1134" s="145" t="str">
        <f>VLOOKUP(H1134,Stock_list!A:N,14,FALSE)</f>
        <v>OCT 18</v>
      </c>
    </row>
    <row r="1135" spans="1:21" ht="16.5" customHeight="1">
      <c r="A1135" s="159" t="s">
        <v>2747</v>
      </c>
      <c r="B1135" s="114" t="str">
        <f>VLOOKUP(A1135,'Data pick slip'!B:F,5,FALSE)</f>
        <v>KHJ-MC200-00</v>
      </c>
      <c r="E1135" s="160" t="e">
        <f>VLOOKUP(C1135,Stock_list!D:L,9,FALSE)</f>
        <v>#N/A</v>
      </c>
      <c r="F1135" s="157" t="s">
        <v>2860</v>
      </c>
      <c r="H1135" s="138">
        <v>145</v>
      </c>
      <c r="I1135" s="139" t="str">
        <f>VLOOKUP(H1135,Stock_list!A:R,18,FALSE)</f>
        <v>雅鑫特</v>
      </c>
      <c r="J1135" s="139" t="str">
        <f>VLOOKUP(H1135,Stock_list!A:S,17,FALSE)</f>
        <v>C49SZX20180152ZX</v>
      </c>
      <c r="K1135" s="51" t="str">
        <f>VLOOKUP(H1135,Stock_list!A:T,16,FALSE)</f>
        <v>JPY</v>
      </c>
      <c r="L1135" s="4"/>
      <c r="M1135" s="132">
        <v>10</v>
      </c>
      <c r="P1135" s="4" t="str">
        <f>VLOOKUP(H1135,Stock_list!A:Y,25,FALSE)</f>
        <v>Yes</v>
      </c>
      <c r="Q1135" s="143"/>
      <c r="R1135" s="143"/>
      <c r="T1135" s="144"/>
      <c r="U1135" s="145" t="str">
        <f>VLOOKUP(H1135,Stock_list!A:N,14,FALSE)</f>
        <v>OCT 18</v>
      </c>
    </row>
    <row r="1136" spans="1:21">
      <c r="A1136" s="155" t="s">
        <v>2748</v>
      </c>
      <c r="B1136" s="114" t="str">
        <f>VLOOKUP(A1136,'Data pick slip'!B:F,5,FALSE)</f>
        <v>KHJ-MC400-00</v>
      </c>
      <c r="E1136" s="160" t="e">
        <f>VLOOKUP(C1136,Stock_list!D:L,9,FALSE)</f>
        <v>#N/A</v>
      </c>
      <c r="F1136" s="157" t="s">
        <v>2857</v>
      </c>
      <c r="H1136" s="138">
        <v>145</v>
      </c>
      <c r="I1136" s="139" t="str">
        <f>VLOOKUP(H1136,Stock_list!A:R,18,FALSE)</f>
        <v>雅鑫特</v>
      </c>
      <c r="J1136" s="139" t="str">
        <f>VLOOKUP(H1136,Stock_list!A:S,17,FALSE)</f>
        <v>C49SZX20180152ZX</v>
      </c>
      <c r="K1136" s="51" t="str">
        <f>VLOOKUP(H1136,Stock_list!A:T,16,FALSE)</f>
        <v>JPY</v>
      </c>
      <c r="L1136" s="4" t="s">
        <v>3014</v>
      </c>
      <c r="M1136" s="132">
        <v>2</v>
      </c>
      <c r="P1136" s="4" t="str">
        <f>VLOOKUP(H1136,Stock_list!A:Y,25,FALSE)</f>
        <v>Yes</v>
      </c>
      <c r="Q1136" s="143"/>
      <c r="R1136" s="143"/>
      <c r="S1136" s="123" t="s">
        <v>3003</v>
      </c>
      <c r="T1136" s="144" t="s">
        <v>3023</v>
      </c>
      <c r="U1136" s="145" t="str">
        <f>VLOOKUP(H1136,Stock_list!A:N,14,FALSE)</f>
        <v>OCT 18</v>
      </c>
    </row>
    <row r="1137" spans="1:21">
      <c r="A1137" s="155" t="s">
        <v>2749</v>
      </c>
      <c r="B1137" s="114" t="str">
        <f>VLOOKUP(A1137,'Data pick slip'!B:F,5,FALSE)</f>
        <v>KHJ-MC500-00</v>
      </c>
      <c r="E1137" s="160" t="e">
        <f>VLOOKUP(C1137,Stock_list!D:L,9,FALSE)</f>
        <v>#N/A</v>
      </c>
      <c r="F1137" s="157" t="s">
        <v>2857</v>
      </c>
      <c r="H1137" s="138">
        <v>145</v>
      </c>
      <c r="I1137" s="139" t="str">
        <f>VLOOKUP(H1137,Stock_list!A:R,18,FALSE)</f>
        <v>雅鑫特</v>
      </c>
      <c r="J1137" s="139" t="str">
        <f>VLOOKUP(H1137,Stock_list!A:S,17,FALSE)</f>
        <v>C49SZX20180152ZX</v>
      </c>
      <c r="K1137" s="51" t="str">
        <f>VLOOKUP(H1137,Stock_list!A:T,16,FALSE)</f>
        <v>JPY</v>
      </c>
      <c r="L1137" s="4"/>
      <c r="M1137" s="132">
        <v>1</v>
      </c>
      <c r="P1137" s="4" t="str">
        <f>VLOOKUP(H1137,Stock_list!A:Y,25,FALSE)</f>
        <v>Yes</v>
      </c>
      <c r="Q1137" s="143"/>
      <c r="R1137" s="143"/>
      <c r="S1137" s="123" t="s">
        <v>3003</v>
      </c>
      <c r="T1137" s="144" t="s">
        <v>3009</v>
      </c>
      <c r="U1137" s="145" t="str">
        <f>VLOOKUP(H1137,Stock_list!A:N,14,FALSE)</f>
        <v>OCT 18</v>
      </c>
    </row>
    <row r="1138" spans="1:21" ht="16.5" customHeight="1">
      <c r="A1138" s="155" t="s">
        <v>2768</v>
      </c>
      <c r="B1138" s="114" t="str">
        <f>VLOOKUP(A1138,'Data pick slip'!B:F,5,FALSE)</f>
        <v>KHJ-MC100-00</v>
      </c>
      <c r="E1138" s="160" t="e">
        <f>VLOOKUP(C1138,Stock_list!D:L,9,FALSE)</f>
        <v>#N/A</v>
      </c>
      <c r="F1138" s="157" t="s">
        <v>2857</v>
      </c>
      <c r="H1138" s="138">
        <v>142</v>
      </c>
      <c r="I1138" s="139" t="str">
        <f>VLOOKUP(H1138,Stock_list!A:R,18,FALSE)</f>
        <v>上达</v>
      </c>
      <c r="J1138" s="139" t="str">
        <f>VLOOKUP(H1138,Stock_list!A:S,17,FALSE)</f>
        <v>SDPUR-20180047</v>
      </c>
      <c r="K1138" s="51" t="str">
        <f>VLOOKUP(H1138,Stock_list!A:T,16,FALSE)</f>
        <v>RMB</v>
      </c>
      <c r="L1138" s="4"/>
      <c r="M1138" s="132">
        <v>20</v>
      </c>
      <c r="P1138" s="4" t="str">
        <f>VLOOKUP(H1138,Stock_list!A:Y,25,FALSE)</f>
        <v>Yes</v>
      </c>
      <c r="Q1138" s="133"/>
      <c r="R1138" s="143"/>
      <c r="T1138" s="144"/>
      <c r="U1138" s="145" t="str">
        <f>VLOOKUP(H1138,Stock_list!A:N,14,FALSE)</f>
        <v>DEC 18</v>
      </c>
    </row>
    <row r="1139" spans="1:21" ht="16.5" customHeight="1">
      <c r="A1139" s="159" t="s">
        <v>2747</v>
      </c>
      <c r="B1139" s="114" t="str">
        <f>VLOOKUP(A1139,'Data pick slip'!B:F,5,FALSE)</f>
        <v>KHJ-MC200-00</v>
      </c>
      <c r="E1139" s="160" t="e">
        <f>VLOOKUP(C1139,Stock_list!D:L,9,FALSE)</f>
        <v>#N/A</v>
      </c>
      <c r="F1139" s="157" t="s">
        <v>2857</v>
      </c>
      <c r="H1139" s="138">
        <v>142</v>
      </c>
      <c r="I1139" s="139" t="str">
        <f>VLOOKUP(H1139,Stock_list!A:R,18,FALSE)</f>
        <v>上达</v>
      </c>
      <c r="J1139" s="139" t="str">
        <f>VLOOKUP(H1139,Stock_list!A:S,17,FALSE)</f>
        <v>SDPUR-20180047</v>
      </c>
      <c r="K1139" s="51" t="str">
        <f>VLOOKUP(H1139,Stock_list!A:T,16,FALSE)</f>
        <v>RMB</v>
      </c>
      <c r="L1139" s="290" t="s">
        <v>3008</v>
      </c>
      <c r="M1139" s="132">
        <v>10</v>
      </c>
      <c r="P1139" s="4" t="str">
        <f>VLOOKUP(H1139,Stock_list!A:Y,25,FALSE)</f>
        <v>Yes</v>
      </c>
      <c r="Q1139" s="133"/>
      <c r="R1139" s="143"/>
      <c r="T1139" s="144"/>
      <c r="U1139" s="145" t="str">
        <f>VLOOKUP(H1139,Stock_list!A:N,14,FALSE)</f>
        <v>DEC 18</v>
      </c>
    </row>
    <row r="1140" spans="1:21" ht="16.5" customHeight="1">
      <c r="A1140" s="155" t="s">
        <v>2748</v>
      </c>
      <c r="B1140" s="114" t="str">
        <f>VLOOKUP(A1140,'Data pick slip'!B:F,5,FALSE)</f>
        <v>KHJ-MC400-00</v>
      </c>
      <c r="E1140" s="160" t="e">
        <f>VLOOKUP(C1140,Stock_list!D:L,9,FALSE)</f>
        <v>#N/A</v>
      </c>
      <c r="F1140" s="157" t="s">
        <v>2857</v>
      </c>
      <c r="H1140" s="138">
        <v>142</v>
      </c>
      <c r="I1140" s="139" t="str">
        <f>VLOOKUP(H1140,Stock_list!A:R,18,FALSE)</f>
        <v>上达</v>
      </c>
      <c r="J1140" s="139" t="str">
        <f>VLOOKUP(H1140,Stock_list!A:S,17,FALSE)</f>
        <v>SDPUR-20180047</v>
      </c>
      <c r="K1140" s="51" t="str">
        <f>VLOOKUP(H1140,Stock_list!A:T,16,FALSE)</f>
        <v>RMB</v>
      </c>
      <c r="L1140" s="4" t="s">
        <v>3014</v>
      </c>
      <c r="M1140" s="132">
        <v>10</v>
      </c>
      <c r="P1140" s="4" t="str">
        <f>VLOOKUP(H1140,Stock_list!A:Y,25,FALSE)</f>
        <v>Yes</v>
      </c>
      <c r="Q1140" s="133"/>
      <c r="R1140" s="143"/>
      <c r="T1140" s="144"/>
      <c r="U1140" s="145" t="str">
        <f>VLOOKUP(H1140,Stock_list!A:N,14,FALSE)</f>
        <v>DEC 18</v>
      </c>
    </row>
    <row r="1141" spans="1:21" ht="16.5" customHeight="1">
      <c r="A1141" s="155" t="s">
        <v>2749</v>
      </c>
      <c r="B1141" s="114" t="str">
        <f>VLOOKUP(A1141,'Data pick slip'!B:F,5,FALSE)</f>
        <v>KHJ-MC500-00</v>
      </c>
      <c r="E1141" s="160" t="e">
        <f>VLOOKUP(C1141,Stock_list!D:L,9,FALSE)</f>
        <v>#N/A</v>
      </c>
      <c r="F1141" s="157" t="s">
        <v>2857</v>
      </c>
      <c r="H1141" s="138">
        <v>142</v>
      </c>
      <c r="I1141" s="139" t="str">
        <f>VLOOKUP(H1141,Stock_list!A:R,18,FALSE)</f>
        <v>上达</v>
      </c>
      <c r="J1141" s="139" t="str">
        <f>VLOOKUP(H1141,Stock_list!A:S,17,FALSE)</f>
        <v>SDPUR-20180047</v>
      </c>
      <c r="K1141" s="51" t="str">
        <f>VLOOKUP(H1141,Stock_list!A:T,16,FALSE)</f>
        <v>RMB</v>
      </c>
      <c r="L1141" s="4"/>
      <c r="M1141" s="132">
        <v>4</v>
      </c>
      <c r="P1141" s="4" t="str">
        <f>VLOOKUP(H1141,Stock_list!A:Y,25,FALSE)</f>
        <v>Yes</v>
      </c>
      <c r="Q1141" s="133"/>
      <c r="R1141" s="143"/>
      <c r="T1141" s="144"/>
      <c r="U1141" s="145" t="str">
        <f>VLOOKUP(H1141,Stock_list!A:N,14,FALSE)</f>
        <v>DEC 18</v>
      </c>
    </row>
    <row r="1142" spans="1:21" ht="16.5" customHeight="1">
      <c r="A1142" s="155" t="s">
        <v>2750</v>
      </c>
      <c r="B1142" s="114" t="str">
        <f>VLOOKUP(A1142,'Data pick slip'!B:F,5,FALSE)</f>
        <v>KHJ-MC600-00</v>
      </c>
      <c r="E1142" s="160" t="e">
        <f>VLOOKUP(C1142,Stock_list!D:L,9,FALSE)</f>
        <v>#N/A</v>
      </c>
      <c r="F1142" s="157" t="s">
        <v>2857</v>
      </c>
      <c r="H1142" s="138">
        <v>142</v>
      </c>
      <c r="I1142" s="139" t="str">
        <f>VLOOKUP(H1142,Stock_list!A:R,18,FALSE)</f>
        <v>上达</v>
      </c>
      <c r="J1142" s="139" t="str">
        <f>VLOOKUP(H1142,Stock_list!A:S,17,FALSE)</f>
        <v>SDPUR-20180047</v>
      </c>
      <c r="K1142" s="51" t="str">
        <f>VLOOKUP(H1142,Stock_list!A:T,16,FALSE)</f>
        <v>RMB</v>
      </c>
      <c r="L1142" s="4"/>
      <c r="M1142" s="132">
        <v>2</v>
      </c>
      <c r="P1142" s="4" t="str">
        <f>VLOOKUP(H1142,Stock_list!A:Y,25,FALSE)</f>
        <v>Yes</v>
      </c>
      <c r="Q1142" s="133"/>
      <c r="R1142" s="143"/>
      <c r="T1142" s="144"/>
      <c r="U1142" s="145" t="str">
        <f>VLOOKUP(H1142,Stock_list!A:N,14,FALSE)</f>
        <v>DEC 18</v>
      </c>
    </row>
    <row r="1143" spans="1:21" ht="16.5" customHeight="1">
      <c r="A1143" s="155" t="s">
        <v>2768</v>
      </c>
      <c r="B1143" s="114" t="str">
        <f>VLOOKUP(A1143,'Data pick slip'!B:F,5,FALSE)</f>
        <v>KHJ-MC100-00</v>
      </c>
      <c r="C1143" s="156">
        <v>109263</v>
      </c>
      <c r="E1143" s="160">
        <f>VLOOKUP(C1143,Stock_list!D:L,9,FALSE)</f>
        <v>43574</v>
      </c>
      <c r="F1143" s="157" t="s">
        <v>2861</v>
      </c>
      <c r="H1143" s="138">
        <v>42</v>
      </c>
      <c r="I1143" s="139" t="str">
        <f>VLOOKUP(H1143,Stock_list!A:R,18,FALSE)</f>
        <v>格力创</v>
      </c>
      <c r="J1143" s="139" t="str">
        <f>VLOOKUP(H1143,Stock_list!A:S,17,FALSE)</f>
        <v>C49SZX20180066JY</v>
      </c>
      <c r="K1143" s="51" t="str">
        <f>VLOOKUP(H1143,Stock_list!A:T,16,FALSE)</f>
        <v>JPY</v>
      </c>
      <c r="L1143" s="4">
        <v>43552</v>
      </c>
      <c r="M1143" s="132">
        <v>40</v>
      </c>
      <c r="P1143" s="4" t="str">
        <f>VLOOKUP(H1143,Stock_list!A:Y,25,FALSE)</f>
        <v>Yes</v>
      </c>
      <c r="Q1143" s="133"/>
      <c r="R1143" s="143"/>
      <c r="T1143" s="144"/>
      <c r="U1143" s="145" t="str">
        <f>VLOOKUP(H1143,Stock_list!A:N,14,FALSE)</f>
        <v>MAR 19</v>
      </c>
    </row>
    <row r="1144" spans="1:21" ht="16.5" customHeight="1">
      <c r="A1144" s="159" t="s">
        <v>2747</v>
      </c>
      <c r="B1144" s="114" t="str">
        <f>VLOOKUP(A1144,'Data pick slip'!B:F,5,FALSE)</f>
        <v>KHJ-MC200-00</v>
      </c>
      <c r="C1144" s="156">
        <v>109263</v>
      </c>
      <c r="E1144" s="160">
        <f>VLOOKUP(C1144,Stock_list!D:L,9,FALSE)</f>
        <v>43574</v>
      </c>
      <c r="F1144" s="157" t="s">
        <v>2861</v>
      </c>
      <c r="H1144" s="138">
        <v>42</v>
      </c>
      <c r="I1144" s="139" t="str">
        <f>VLOOKUP(H1144,Stock_list!A:R,18,FALSE)</f>
        <v>格力创</v>
      </c>
      <c r="J1144" s="139" t="str">
        <f>VLOOKUP(H1144,Stock_list!A:S,17,FALSE)</f>
        <v>C49SZX20180066JY</v>
      </c>
      <c r="K1144" s="51" t="str">
        <f>VLOOKUP(H1144,Stock_list!A:T,16,FALSE)</f>
        <v>JPY</v>
      </c>
      <c r="L1144" s="4">
        <v>43552</v>
      </c>
      <c r="M1144" s="132">
        <v>8</v>
      </c>
      <c r="P1144" s="4" t="str">
        <f>VLOOKUP(H1144,Stock_list!A:Y,25,FALSE)</f>
        <v>Yes</v>
      </c>
      <c r="Q1144" s="133"/>
      <c r="R1144" s="143"/>
      <c r="T1144" s="144"/>
      <c r="U1144" s="145" t="str">
        <f>VLOOKUP(H1144,Stock_list!A:N,14,FALSE)</f>
        <v>MAR 19</v>
      </c>
    </row>
    <row r="1145" spans="1:21" ht="16.5" customHeight="1">
      <c r="A1145" s="155" t="s">
        <v>2748</v>
      </c>
      <c r="B1145" s="114" t="str">
        <f>VLOOKUP(A1145,'Data pick slip'!B:F,5,FALSE)</f>
        <v>KHJ-MC400-00</v>
      </c>
      <c r="C1145" s="156">
        <v>109295</v>
      </c>
      <c r="E1145" s="160">
        <f>VLOOKUP(C1145,Stock_list!D:L,9,FALSE)</f>
        <v>43418</v>
      </c>
      <c r="F1145" s="157" t="s">
        <v>2861</v>
      </c>
      <c r="H1145" s="138">
        <v>42</v>
      </c>
      <c r="I1145" s="139" t="str">
        <f>VLOOKUP(H1145,Stock_list!A:R,18,FALSE)</f>
        <v>格力创</v>
      </c>
      <c r="J1145" s="139" t="str">
        <f>VLOOKUP(H1145,Stock_list!A:S,17,FALSE)</f>
        <v>C49SZX20180066JY</v>
      </c>
      <c r="K1145" s="51" t="str">
        <f>VLOOKUP(H1145,Stock_list!A:T,16,FALSE)</f>
        <v>JPY</v>
      </c>
      <c r="L1145" s="4">
        <v>43552</v>
      </c>
      <c r="M1145" s="132">
        <v>2</v>
      </c>
      <c r="P1145" s="4" t="str">
        <f>VLOOKUP(H1145,Stock_list!A:Y,25,FALSE)</f>
        <v>Yes</v>
      </c>
      <c r="Q1145" s="133"/>
      <c r="R1145" s="143"/>
      <c r="T1145" s="144"/>
      <c r="U1145" s="145" t="str">
        <f>VLOOKUP(H1145,Stock_list!A:N,14,FALSE)</f>
        <v>MAR 19</v>
      </c>
    </row>
    <row r="1146" spans="1:21" ht="16.5" customHeight="1">
      <c r="A1146" s="155" t="s">
        <v>2768</v>
      </c>
      <c r="B1146" s="114" t="str">
        <f>VLOOKUP(A1146,'Data pick slip'!B:F,5,FALSE)</f>
        <v>KHJ-MC100-00</v>
      </c>
      <c r="C1146" s="156">
        <v>109423</v>
      </c>
      <c r="E1146" s="160">
        <f>VLOOKUP(C1146,Stock_list!D:L,9,FALSE)</f>
        <v>43455</v>
      </c>
      <c r="F1146" s="157" t="s">
        <v>2861</v>
      </c>
      <c r="H1146" s="128">
        <v>101</v>
      </c>
      <c r="I1146" s="139" t="str">
        <f>VLOOKUP(H1146,Stock_list!A:R,18,FALSE)</f>
        <v>恒润</v>
      </c>
      <c r="J1146" s="139" t="str">
        <f>VLOOKUP(H1146,Stock_list!A:S,17,FALSE)</f>
        <v>C49SZX20180105JY</v>
      </c>
      <c r="K1146" s="51" t="str">
        <f>VLOOKUP(H1146,Stock_list!A:T,16,FALSE)</f>
        <v>JPY</v>
      </c>
      <c r="L1146" s="4"/>
      <c r="M1146" s="132">
        <v>48</v>
      </c>
      <c r="P1146" s="4" t="str">
        <f>VLOOKUP(H1146,Stock_list!A:Y,25,FALSE)</f>
        <v>Yes</v>
      </c>
      <c r="Q1146" s="133"/>
      <c r="R1146" s="133"/>
      <c r="S1146" s="129"/>
      <c r="T1146" s="135"/>
      <c r="U1146" s="145" t="str">
        <f>VLOOKUP(H1146,Stock_list!A:N,14,FALSE)</f>
        <v>DEC 18</v>
      </c>
    </row>
    <row r="1147" spans="1:21" ht="16.5" customHeight="1">
      <c r="A1147" s="159" t="s">
        <v>2747</v>
      </c>
      <c r="B1147" s="114" t="str">
        <f>VLOOKUP(A1147,'Data pick slip'!B:F,5,FALSE)</f>
        <v>KHJ-MC200-00</v>
      </c>
      <c r="C1147" s="156">
        <v>109423</v>
      </c>
      <c r="E1147" s="160">
        <f>VLOOKUP(C1147,Stock_list!D:L,9,FALSE)</f>
        <v>43455</v>
      </c>
      <c r="F1147" s="157" t="s">
        <v>2861</v>
      </c>
      <c r="H1147" s="138">
        <v>101</v>
      </c>
      <c r="I1147" s="139" t="str">
        <f>VLOOKUP(H1147,Stock_list!A:R,18,FALSE)</f>
        <v>恒润</v>
      </c>
      <c r="J1147" s="139" t="str">
        <f>VLOOKUP(H1147,Stock_list!A:S,17,FALSE)</f>
        <v>C49SZX20180105JY</v>
      </c>
      <c r="K1147" s="51" t="str">
        <f>VLOOKUP(H1147,Stock_list!A:T,16,FALSE)</f>
        <v>JPY</v>
      </c>
      <c r="L1147" s="4"/>
      <c r="M1147" s="50">
        <v>10</v>
      </c>
      <c r="P1147" s="4" t="str">
        <f>VLOOKUP(H1147,Stock_list!A:Y,25,FALSE)</f>
        <v>Yes</v>
      </c>
      <c r="Q1147" s="5"/>
      <c r="R1147" s="143"/>
      <c r="T1147" s="144"/>
      <c r="U1147" s="145" t="str">
        <f>VLOOKUP(H1147,Stock_list!A:N,14,FALSE)</f>
        <v>DEC 18</v>
      </c>
    </row>
    <row r="1148" spans="1:21" ht="16.5" customHeight="1">
      <c r="A1148" s="155" t="s">
        <v>2748</v>
      </c>
      <c r="B1148" s="114" t="str">
        <f>VLOOKUP(A1148,'Data pick slip'!B:F,5,FALSE)</f>
        <v>KHJ-MC400-00</v>
      </c>
      <c r="C1148" s="156">
        <v>109430</v>
      </c>
      <c r="E1148" s="160">
        <f>VLOOKUP(C1148,Stock_list!D:L,9,FALSE)</f>
        <v>43530</v>
      </c>
      <c r="F1148" s="157" t="s">
        <v>2773</v>
      </c>
      <c r="H1148" s="138">
        <v>101</v>
      </c>
      <c r="I1148" s="139" t="str">
        <f>VLOOKUP(H1148,Stock_list!A:R,18,FALSE)</f>
        <v>恒润</v>
      </c>
      <c r="J1148" s="139" t="str">
        <f>VLOOKUP(H1148,Stock_list!A:S,17,FALSE)</f>
        <v>C49SZX20180105JY</v>
      </c>
      <c r="K1148" s="51" t="str">
        <f>VLOOKUP(H1148,Stock_list!A:T,16,FALSE)</f>
        <v>JPY</v>
      </c>
      <c r="L1148" s="4" t="s">
        <v>3014</v>
      </c>
      <c r="M1148" s="50">
        <v>4</v>
      </c>
      <c r="P1148" s="4" t="str">
        <f>VLOOKUP(H1148,Stock_list!A:Y,25,FALSE)</f>
        <v>Yes</v>
      </c>
      <c r="Q1148" s="5"/>
      <c r="S1148" s="123" t="s">
        <v>3003</v>
      </c>
      <c r="T1148" s="144" t="s">
        <v>3023</v>
      </c>
      <c r="U1148" s="145" t="str">
        <f>VLOOKUP(H1148,Stock_list!A:N,14,FALSE)</f>
        <v>DEC 18</v>
      </c>
    </row>
    <row r="1149" spans="1:21" ht="16.5" customHeight="1">
      <c r="A1149" s="155" t="s">
        <v>2749</v>
      </c>
      <c r="B1149" s="114" t="str">
        <f>VLOOKUP(A1149,'Data pick slip'!B:F,5,FALSE)</f>
        <v>KHJ-MC500-00</v>
      </c>
      <c r="C1149" s="156">
        <v>109263</v>
      </c>
      <c r="E1149" s="160">
        <f>VLOOKUP(C1149,Stock_list!D:L,9,FALSE)</f>
        <v>43574</v>
      </c>
      <c r="F1149" s="157" t="s">
        <v>2773</v>
      </c>
      <c r="H1149" s="138">
        <v>101</v>
      </c>
      <c r="I1149" s="139" t="str">
        <f>VLOOKUP(H1149,Stock_list!A:R,18,FALSE)</f>
        <v>恒润</v>
      </c>
      <c r="J1149" s="139" t="str">
        <f>VLOOKUP(H1149,Stock_list!A:S,17,FALSE)</f>
        <v>C49SZX20180105JY</v>
      </c>
      <c r="K1149" s="51" t="str">
        <f>VLOOKUP(H1149,Stock_list!A:T,16,FALSE)</f>
        <v>JPY</v>
      </c>
      <c r="L1149" s="4"/>
      <c r="M1149" s="50">
        <v>2</v>
      </c>
      <c r="P1149" s="4" t="str">
        <f>VLOOKUP(H1149,Stock_list!A:Y,25,FALSE)</f>
        <v>Yes</v>
      </c>
      <c r="Q1149" s="5"/>
      <c r="S1149" s="123" t="s">
        <v>3003</v>
      </c>
      <c r="T1149" s="144" t="s">
        <v>3023</v>
      </c>
      <c r="U1149" s="145" t="str">
        <f>VLOOKUP(H1149,Stock_list!A:N,14,FALSE)</f>
        <v>DEC 18</v>
      </c>
    </row>
    <row r="1150" spans="1:21" ht="16.5" customHeight="1">
      <c r="A1150" s="155" t="s">
        <v>2768</v>
      </c>
      <c r="B1150" s="114" t="str">
        <f>VLOOKUP(A1150,'Data pick slip'!B:F,5,FALSE)</f>
        <v>KHJ-MC100-00</v>
      </c>
      <c r="E1150" s="160" t="e">
        <f>VLOOKUP(C1150,Stock_list!D:L,9,FALSE)</f>
        <v>#N/A</v>
      </c>
      <c r="F1150" s="157" t="s">
        <v>2861</v>
      </c>
      <c r="H1150" s="138">
        <v>7</v>
      </c>
      <c r="I1150" s="139" t="str">
        <f>VLOOKUP(H1150,Stock_list!A:R,18,FALSE)</f>
        <v>祥弘瑞</v>
      </c>
      <c r="J1150" s="139" t="str">
        <f>VLOOKUP(H1150,Stock_list!A:S,17,FALSE)</f>
        <v>C49SZX201800038SS</v>
      </c>
      <c r="K1150" s="51" t="str">
        <f>VLOOKUP(H1150,Stock_list!A:T,16,FALSE)</f>
        <v>JPY</v>
      </c>
      <c r="L1150" s="4"/>
      <c r="M1150" s="50">
        <v>45</v>
      </c>
      <c r="P1150" s="4" t="str">
        <f>VLOOKUP(H1150,Stock_list!A:Y,25,FALSE)</f>
        <v>Yes</v>
      </c>
      <c r="Q1150" s="5"/>
      <c r="R1150" s="143"/>
      <c r="T1150" s="144"/>
      <c r="U1150" s="145" t="str">
        <f>VLOOKUP(H1150,Stock_list!A:N,14,FALSE)</f>
        <v>DEC 18</v>
      </c>
    </row>
    <row r="1151" spans="1:21" ht="16.5" customHeight="1">
      <c r="A1151" s="155" t="s">
        <v>2747</v>
      </c>
      <c r="B1151" s="114" t="str">
        <f>VLOOKUP(A1151,'Data pick slip'!B:F,5,FALSE)</f>
        <v>KHJ-MC200-00</v>
      </c>
      <c r="F1151" s="157" t="s">
        <v>2861</v>
      </c>
      <c r="H1151" s="138">
        <v>7</v>
      </c>
      <c r="I1151" s="139" t="str">
        <f>VLOOKUP(H1151,Stock_list!A:R,18,FALSE)</f>
        <v>祥弘瑞</v>
      </c>
      <c r="J1151" s="139" t="str">
        <f>VLOOKUP(H1151,Stock_list!A:S,17,FALSE)</f>
        <v>C49SZX201800038SS</v>
      </c>
      <c r="K1151" s="51" t="str">
        <f>VLOOKUP(H1151,Stock_list!A:T,16,FALSE)</f>
        <v>JPY</v>
      </c>
      <c r="L1151" s="4"/>
      <c r="M1151" s="50">
        <v>3</v>
      </c>
      <c r="P1151" s="4" t="str">
        <f>VLOOKUP(H1151,Stock_list!A:Y,25,FALSE)</f>
        <v>Yes</v>
      </c>
      <c r="Q1151" s="5"/>
      <c r="R1151" s="143"/>
      <c r="T1151" s="144"/>
      <c r="U1151" s="145" t="str">
        <f>VLOOKUP(H1151,Stock_list!A:N,14,FALSE)</f>
        <v>DEC 18</v>
      </c>
    </row>
    <row r="1152" spans="1:21" ht="16.5" customHeight="1">
      <c r="A1152" s="155" t="s">
        <v>2768</v>
      </c>
      <c r="B1152" s="114" t="str">
        <f>VLOOKUP(A1152,'Data pick slip'!B:F,5,FALSE)</f>
        <v>KHJ-MC100-00</v>
      </c>
      <c r="C1152" s="156">
        <v>109421</v>
      </c>
      <c r="E1152" s="160">
        <f>VLOOKUP(C1152,Stock_list!D:L,9,FALSE)</f>
        <v>43435</v>
      </c>
      <c r="F1152" s="157" t="s">
        <v>2861</v>
      </c>
      <c r="H1152" s="138">
        <v>119</v>
      </c>
      <c r="I1152" s="139" t="str">
        <f>VLOOKUP(H1152,Stock_list!A:R,18,FALSE)</f>
        <v>朗特</v>
      </c>
      <c r="J1152" s="139" t="str">
        <f>VLOOKUP(H1152,Stock_list!A:S,17,FALSE)</f>
        <v>C49SZX20180131DZ</v>
      </c>
      <c r="K1152" s="51" t="str">
        <f>VLOOKUP(H1152,Stock_list!A:T,16,FALSE)</f>
        <v>JPY</v>
      </c>
      <c r="L1152" s="4"/>
      <c r="M1152" s="50">
        <v>30</v>
      </c>
      <c r="N1152" s="50"/>
      <c r="P1152" s="4" t="str">
        <f>VLOOKUP(H1152,Stock_list!A:Y,25,FALSE)</f>
        <v>Yes</v>
      </c>
      <c r="Q1152" s="5"/>
      <c r="T1152" s="144"/>
      <c r="U1152" s="145" t="str">
        <f>VLOOKUP(H1152,Stock_list!A:N,14,FALSE)</f>
        <v>DEC 18</v>
      </c>
    </row>
    <row r="1153" spans="1:21" ht="16.5" customHeight="1">
      <c r="A1153" s="155" t="s">
        <v>2768</v>
      </c>
      <c r="B1153" s="114" t="str">
        <f>VLOOKUP(A1153,'Data pick slip'!B:F,5,FALSE)</f>
        <v>KHJ-MC100-00</v>
      </c>
      <c r="C1153" s="156">
        <v>109421</v>
      </c>
      <c r="E1153" s="160">
        <f>VLOOKUP(C1153,Stock_list!D:L,9,FALSE)</f>
        <v>43435</v>
      </c>
      <c r="F1153" s="157" t="s">
        <v>2861</v>
      </c>
      <c r="H1153" s="138">
        <v>119</v>
      </c>
      <c r="I1153" s="139" t="str">
        <f>VLOOKUP(H1153,Stock_list!A:R,18,FALSE)</f>
        <v>朗特</v>
      </c>
      <c r="J1153" s="139" t="str">
        <f>VLOOKUP(H1153,Stock_list!A:S,17,FALSE)</f>
        <v>C49SZX20180131DZ</v>
      </c>
      <c r="K1153" s="51" t="str">
        <f>VLOOKUP(H1153,Stock_list!A:T,16,FALSE)</f>
        <v>JPY</v>
      </c>
      <c r="L1153" s="4"/>
      <c r="M1153" s="50">
        <v>50</v>
      </c>
      <c r="N1153" s="50"/>
      <c r="P1153" s="4" t="str">
        <f>VLOOKUP(H1153,Stock_list!A:Y,25,FALSE)</f>
        <v>Yes</v>
      </c>
      <c r="Q1153" s="5"/>
      <c r="T1153" s="144"/>
      <c r="U1153" s="145" t="str">
        <f>VLOOKUP(H1153,Stock_list!A:N,14,FALSE)</f>
        <v>DEC 18</v>
      </c>
    </row>
    <row r="1154" spans="1:21" ht="16.5" customHeight="1">
      <c r="A1154" s="159" t="s">
        <v>2747</v>
      </c>
      <c r="B1154" s="114" t="str">
        <f>VLOOKUP(A1154,'Data pick slip'!B:F,5,FALSE)</f>
        <v>KHJ-MC200-00</v>
      </c>
      <c r="C1154" s="156">
        <v>109454</v>
      </c>
      <c r="E1154" s="160">
        <f>VLOOKUP(C1154,Stock_list!D:L,9,FALSE)</f>
        <v>43442</v>
      </c>
      <c r="F1154" s="157" t="s">
        <v>2861</v>
      </c>
      <c r="H1154" s="138">
        <v>119</v>
      </c>
      <c r="I1154" s="139" t="str">
        <f>VLOOKUP(H1154,Stock_list!A:R,18,FALSE)</f>
        <v>朗特</v>
      </c>
      <c r="J1154" s="139" t="str">
        <f>VLOOKUP(H1154,Stock_list!A:S,17,FALSE)</f>
        <v>C49SZX20180131DZ</v>
      </c>
      <c r="K1154" s="51" t="str">
        <f>VLOOKUP(H1154,Stock_list!A:T,16,FALSE)</f>
        <v>JPY</v>
      </c>
      <c r="L1154" s="4"/>
      <c r="M1154" s="50">
        <v>15</v>
      </c>
      <c r="N1154" s="50"/>
      <c r="P1154" s="4" t="str">
        <f>VLOOKUP(H1154,Stock_list!A:Y,25,FALSE)</f>
        <v>Yes</v>
      </c>
      <c r="Q1154" s="5"/>
      <c r="T1154" s="144"/>
      <c r="U1154" s="145" t="str">
        <f>VLOOKUP(H1154,Stock_list!A:N,14,FALSE)</f>
        <v>DEC 18</v>
      </c>
    </row>
    <row r="1155" spans="1:21" ht="16.5" customHeight="1">
      <c r="A1155" s="155" t="s">
        <v>2748</v>
      </c>
      <c r="B1155" s="114" t="str">
        <f>VLOOKUP(A1155,'Data pick slip'!B:F,5,FALSE)</f>
        <v>KHJ-MC400-00</v>
      </c>
      <c r="C1155" s="156">
        <v>109295</v>
      </c>
      <c r="E1155" s="160">
        <f>VLOOKUP(C1155,Stock_list!D:L,9,FALSE)</f>
        <v>43418</v>
      </c>
      <c r="F1155" s="157" t="s">
        <v>2861</v>
      </c>
      <c r="H1155" s="138">
        <v>119</v>
      </c>
      <c r="I1155" s="139" t="str">
        <f>VLOOKUP(H1155,Stock_list!A:R,18,FALSE)</f>
        <v>朗特</v>
      </c>
      <c r="J1155" s="139" t="str">
        <f>VLOOKUP(H1155,Stock_list!A:S,17,FALSE)</f>
        <v>C49SZX20180131DZ</v>
      </c>
      <c r="K1155" s="51" t="str">
        <f>VLOOKUP(H1155,Stock_list!A:T,16,FALSE)</f>
        <v>JPY</v>
      </c>
      <c r="L1155" s="4"/>
      <c r="M1155" s="50">
        <v>2</v>
      </c>
      <c r="N1155" s="50"/>
      <c r="P1155" s="4" t="str">
        <f>VLOOKUP(H1155,Stock_list!A:Y,25,FALSE)</f>
        <v>Yes</v>
      </c>
      <c r="Q1155" s="5"/>
      <c r="T1155" s="144"/>
      <c r="U1155" s="145" t="str">
        <f>VLOOKUP(H1155,Stock_list!A:N,14,FALSE)</f>
        <v>DEC 18</v>
      </c>
    </row>
    <row r="1156" spans="1:21" ht="16.5" customHeight="1">
      <c r="A1156" s="155" t="s">
        <v>2748</v>
      </c>
      <c r="B1156" s="114" t="str">
        <f>VLOOKUP(A1156,'Data pick slip'!B:F,5,FALSE)</f>
        <v>KHJ-MC400-00</v>
      </c>
      <c r="C1156" s="156">
        <v>109295</v>
      </c>
      <c r="E1156" s="160">
        <f>VLOOKUP(C1156,Stock_list!D:L,9,FALSE)</f>
        <v>43418</v>
      </c>
      <c r="F1156" s="157" t="s">
        <v>2861</v>
      </c>
      <c r="H1156" s="138">
        <v>119</v>
      </c>
      <c r="I1156" s="139" t="str">
        <f>VLOOKUP(H1156,Stock_list!A:R,18,FALSE)</f>
        <v>朗特</v>
      </c>
      <c r="J1156" s="139" t="str">
        <f>VLOOKUP(H1156,Stock_list!A:S,17,FALSE)</f>
        <v>C49SZX20180131DZ</v>
      </c>
      <c r="K1156" s="51" t="str">
        <f>VLOOKUP(H1156,Stock_list!A:T,16,FALSE)</f>
        <v>JPY</v>
      </c>
      <c r="L1156" s="4"/>
      <c r="M1156" s="50">
        <v>2</v>
      </c>
      <c r="N1156" s="50"/>
      <c r="P1156" s="4" t="str">
        <f>VLOOKUP(H1156,Stock_list!A:Y,25,FALSE)</f>
        <v>Yes</v>
      </c>
      <c r="Q1156" s="5"/>
      <c r="T1156" s="144"/>
      <c r="U1156" s="145" t="str">
        <f>VLOOKUP(H1156,Stock_list!A:N,14,FALSE)</f>
        <v>DEC 18</v>
      </c>
    </row>
    <row r="1157" spans="1:21" ht="16.5" customHeight="1">
      <c r="A1157" s="155" t="s">
        <v>2749</v>
      </c>
      <c r="B1157" s="114" t="str">
        <f>VLOOKUP(A1157,'Data pick slip'!B:F,5,FALSE)</f>
        <v>KHJ-MC500-00</v>
      </c>
      <c r="C1157" s="156">
        <v>109295</v>
      </c>
      <c r="E1157" s="160">
        <f>VLOOKUP(C1157,Stock_list!D:L,9,FALSE)</f>
        <v>43418</v>
      </c>
      <c r="F1157" s="157" t="s">
        <v>2861</v>
      </c>
      <c r="H1157" s="138">
        <v>119</v>
      </c>
      <c r="I1157" s="139" t="str">
        <f>VLOOKUP(H1157,Stock_list!A:R,18,FALSE)</f>
        <v>朗特</v>
      </c>
      <c r="J1157" s="139" t="str">
        <f>VLOOKUP(H1157,Stock_list!A:S,17,FALSE)</f>
        <v>C49SZX20180131DZ</v>
      </c>
      <c r="K1157" s="51" t="str">
        <f>VLOOKUP(H1157,Stock_list!A:T,16,FALSE)</f>
        <v>JPY</v>
      </c>
      <c r="L1157" s="4"/>
      <c r="M1157" s="50">
        <v>1</v>
      </c>
      <c r="N1157" s="50"/>
      <c r="P1157" s="4" t="str">
        <f>VLOOKUP(H1157,Stock_list!A:Y,25,FALSE)</f>
        <v>Yes</v>
      </c>
      <c r="Q1157" s="5"/>
      <c r="T1157" s="144"/>
      <c r="U1157" s="145" t="str">
        <f>VLOOKUP(H1157,Stock_list!A:N,14,FALSE)</f>
        <v>DEC 18</v>
      </c>
    </row>
    <row r="1158" spans="1:21" ht="16.5" customHeight="1">
      <c r="A1158" s="155" t="s">
        <v>2768</v>
      </c>
      <c r="B1158" s="114" t="str">
        <f>VLOOKUP(A1158,'Data pick slip'!B:F,5,FALSE)</f>
        <v>KHJ-MC100-00</v>
      </c>
      <c r="C1158" s="156">
        <v>109390</v>
      </c>
      <c r="E1158" s="160">
        <f>VLOOKUP(C1158,Stock_list!D:L,9,FALSE)</f>
        <v>43588</v>
      </c>
      <c r="F1158" s="157" t="s">
        <v>2861</v>
      </c>
      <c r="H1158" s="138">
        <v>80</v>
      </c>
      <c r="I1158" s="139" t="str">
        <f>VLOOKUP(H1158,Stock_list!A:R,18,FALSE)</f>
        <v>BBS好兄弟</v>
      </c>
      <c r="J1158" s="139" t="str">
        <f>VLOOKUP(H1158,Stock_list!A:S,17,FALSE)</f>
        <v>C49SZX20180086DZ</v>
      </c>
      <c r="K1158" s="51" t="str">
        <f>VLOOKUP(H1158,Stock_list!A:T,16,FALSE)</f>
        <v>JPY</v>
      </c>
      <c r="L1158" s="4"/>
      <c r="M1158" s="50">
        <v>300</v>
      </c>
      <c r="N1158" s="50"/>
      <c r="P1158" s="4" t="str">
        <f>VLOOKUP(H1158,Stock_list!A:Y,25,FALSE)</f>
        <v>Yes</v>
      </c>
      <c r="Q1158" s="5"/>
      <c r="R1158" s="143"/>
      <c r="T1158" s="144"/>
      <c r="U1158" s="145" t="str">
        <f>VLOOKUP(H1158,Stock_list!A:N,14,FALSE)</f>
        <v>MAR 19</v>
      </c>
    </row>
    <row r="1159" spans="1:21" ht="16.5" customHeight="1">
      <c r="A1159" s="155" t="s">
        <v>2768</v>
      </c>
      <c r="B1159" s="114" t="str">
        <f>VLOOKUP(A1159,'Data pick slip'!B:F,5,FALSE)</f>
        <v>KHJ-MC100-00</v>
      </c>
      <c r="C1159" s="156">
        <v>109336</v>
      </c>
      <c r="E1159" s="160">
        <f>VLOOKUP(C1159,Stock_list!D:L,9,FALSE)</f>
        <v>43558</v>
      </c>
      <c r="F1159" s="157" t="s">
        <v>2861</v>
      </c>
      <c r="H1159" s="138">
        <v>80</v>
      </c>
      <c r="I1159" s="139" t="str">
        <f>VLOOKUP(H1159,Stock_list!A:R,18,FALSE)</f>
        <v>BBS好兄弟</v>
      </c>
      <c r="J1159" s="139" t="str">
        <f>VLOOKUP(H1159,Stock_list!A:S,17,FALSE)</f>
        <v>C49SZX20180086DZ</v>
      </c>
      <c r="K1159" s="51" t="str">
        <f>VLOOKUP(H1159,Stock_list!A:T,16,FALSE)</f>
        <v>JPY</v>
      </c>
      <c r="L1159" s="4"/>
      <c r="M1159" s="50">
        <v>500</v>
      </c>
      <c r="N1159" s="50"/>
      <c r="P1159" s="4" t="str">
        <f>VLOOKUP(H1159,Stock_list!A:Y,25,FALSE)</f>
        <v>Yes</v>
      </c>
      <c r="Q1159" s="5"/>
      <c r="R1159" s="143"/>
      <c r="T1159" s="144"/>
      <c r="U1159" s="145" t="str">
        <f>VLOOKUP(H1159,Stock_list!A:N,14,FALSE)</f>
        <v>MAR 19</v>
      </c>
    </row>
    <row r="1160" spans="1:21" ht="16.5" customHeight="1">
      <c r="A1160" s="159" t="s">
        <v>2747</v>
      </c>
      <c r="B1160" s="114" t="str">
        <f>VLOOKUP(A1160,'Data pick slip'!B:F,5,FALSE)</f>
        <v>KHJ-MC200-00</v>
      </c>
      <c r="C1160" s="156">
        <v>109336</v>
      </c>
      <c r="E1160" s="160">
        <f>VLOOKUP(C1160,Stock_list!D:L,9,FALSE)</f>
        <v>43558</v>
      </c>
      <c r="F1160" s="157" t="s">
        <v>2861</v>
      </c>
      <c r="H1160" s="138">
        <v>80</v>
      </c>
      <c r="I1160" s="139" t="str">
        <f>VLOOKUP(H1160,Stock_list!A:R,18,FALSE)</f>
        <v>BBS好兄弟</v>
      </c>
      <c r="J1160" s="139" t="str">
        <f>VLOOKUP(H1160,Stock_list!A:S,17,FALSE)</f>
        <v>C49SZX20180086DZ</v>
      </c>
      <c r="K1160" s="51" t="str">
        <f>VLOOKUP(H1160,Stock_list!A:T,16,FALSE)</f>
        <v>JPY</v>
      </c>
      <c r="L1160" s="4">
        <v>43544</v>
      </c>
      <c r="M1160" s="50">
        <v>50</v>
      </c>
      <c r="N1160" s="50"/>
      <c r="P1160" s="4" t="str">
        <f>VLOOKUP(H1160,Stock_list!A:Y,25,FALSE)</f>
        <v>Yes</v>
      </c>
      <c r="Q1160" s="5"/>
      <c r="R1160" s="143"/>
      <c r="T1160" s="144"/>
      <c r="U1160" s="145" t="str">
        <f>VLOOKUP(H1160,Stock_list!A:N,14,FALSE)</f>
        <v>MAR 19</v>
      </c>
    </row>
    <row r="1161" spans="1:21" ht="16.5" customHeight="1">
      <c r="A1161" s="155" t="s">
        <v>2748</v>
      </c>
      <c r="B1161" s="114" t="str">
        <f>VLOOKUP(A1161,'Data pick slip'!B:F,5,FALSE)</f>
        <v>KHJ-MC400-00</v>
      </c>
      <c r="C1161" s="156">
        <v>109336</v>
      </c>
      <c r="E1161" s="160">
        <f>VLOOKUP(C1161,Stock_list!D:L,9,FALSE)</f>
        <v>43558</v>
      </c>
      <c r="F1161" s="157" t="s">
        <v>2861</v>
      </c>
      <c r="H1161" s="138">
        <v>80</v>
      </c>
      <c r="I1161" s="139" t="str">
        <f>VLOOKUP(H1161,Stock_list!A:R,18,FALSE)</f>
        <v>BBS好兄弟</v>
      </c>
      <c r="J1161" s="139" t="str">
        <f>VLOOKUP(H1161,Stock_list!A:S,17,FALSE)</f>
        <v>C49SZX20180086DZ</v>
      </c>
      <c r="K1161" s="51" t="str">
        <f>VLOOKUP(H1161,Stock_list!A:T,16,FALSE)</f>
        <v>JPY</v>
      </c>
      <c r="L1161" s="4"/>
      <c r="M1161" s="50">
        <v>6</v>
      </c>
      <c r="N1161" s="50"/>
      <c r="P1161" s="4" t="str">
        <f>VLOOKUP(H1161,Stock_list!A:Y,25,FALSE)</f>
        <v>Yes</v>
      </c>
      <c r="Q1161" s="5"/>
      <c r="R1161" s="143"/>
      <c r="T1161" s="144"/>
      <c r="U1161" s="145" t="str">
        <f>VLOOKUP(H1161,Stock_list!A:N,14,FALSE)</f>
        <v>MAR 19</v>
      </c>
    </row>
    <row r="1162" spans="1:21" ht="16.5" customHeight="1">
      <c r="A1162" s="155" t="s">
        <v>2768</v>
      </c>
      <c r="B1162" s="114" t="str">
        <f>VLOOKUP(A1162,'Data pick slip'!B:F,5,FALSE)</f>
        <v>KHJ-MC100-00</v>
      </c>
      <c r="E1162" s="160" t="e">
        <f>VLOOKUP(C1162,Stock_list!D:L,9,FALSE)</f>
        <v>#N/A</v>
      </c>
      <c r="F1162" s="157" t="s">
        <v>2860</v>
      </c>
      <c r="H1162" s="138">
        <v>76</v>
      </c>
      <c r="I1162" s="139" t="str">
        <f>VLOOKUP(H1162,Stock_list!A:R,18,FALSE)</f>
        <v>HangTe航特</v>
      </c>
      <c r="J1162" s="139" t="str">
        <f>VLOOKUP(H1162,Stock_list!A:S,17,FALSE)</f>
        <v>C49SZX20180083DZ</v>
      </c>
      <c r="K1162" s="51" t="str">
        <f>VLOOKUP(H1162,Stock_list!A:T,16,FALSE)</f>
        <v>JPY</v>
      </c>
      <c r="L1162" s="4"/>
      <c r="M1162" s="50">
        <v>60</v>
      </c>
      <c r="N1162" s="50"/>
      <c r="P1162" s="4" t="str">
        <f>VLOOKUP(H1162,Stock_list!A:Y,25,FALSE)</f>
        <v>Yes</v>
      </c>
      <c r="Q1162" s="5"/>
      <c r="R1162" s="143"/>
      <c r="T1162" s="144"/>
      <c r="U1162" s="145" t="str">
        <f>VLOOKUP(H1162,Stock_list!A:N,14,FALSE)</f>
        <v>NOV 18</v>
      </c>
    </row>
    <row r="1163" spans="1:21" ht="16.5" customHeight="1">
      <c r="A1163" s="159" t="s">
        <v>2747</v>
      </c>
      <c r="B1163" s="114" t="str">
        <f>VLOOKUP(A1163,'Data pick slip'!B:F,5,FALSE)</f>
        <v>KHJ-MC200-00</v>
      </c>
      <c r="E1163" s="160" t="e">
        <f>VLOOKUP(C1163,Stock_list!D:L,9,FALSE)</f>
        <v>#N/A</v>
      </c>
      <c r="F1163" s="157" t="s">
        <v>2860</v>
      </c>
      <c r="H1163" s="138">
        <v>76</v>
      </c>
      <c r="I1163" s="139" t="str">
        <f>VLOOKUP(H1163,Stock_list!A:R,18,FALSE)</f>
        <v>HangTe航特</v>
      </c>
      <c r="J1163" s="139" t="str">
        <f>VLOOKUP(H1163,Stock_list!A:S,17,FALSE)</f>
        <v>C49SZX20180083DZ</v>
      </c>
      <c r="K1163" s="51" t="str">
        <f>VLOOKUP(H1163,Stock_list!A:T,16,FALSE)</f>
        <v>JPY</v>
      </c>
      <c r="L1163" s="4" t="s">
        <v>3024</v>
      </c>
      <c r="M1163" s="50">
        <v>12</v>
      </c>
      <c r="N1163" s="50"/>
      <c r="P1163" s="4" t="str">
        <f>VLOOKUP(H1163,Stock_list!A:Y,25,FALSE)</f>
        <v>Yes</v>
      </c>
      <c r="Q1163" s="5"/>
      <c r="R1163" s="143"/>
      <c r="T1163" s="144"/>
      <c r="U1163" s="145" t="str">
        <f>VLOOKUP(H1163,Stock_list!A:N,14,FALSE)</f>
        <v>NOV 18</v>
      </c>
    </row>
    <row r="1164" spans="1:21" ht="16.5" customHeight="1">
      <c r="A1164" s="155" t="s">
        <v>2748</v>
      </c>
      <c r="B1164" s="114" t="str">
        <f>VLOOKUP(A1164,'Data pick slip'!B:F,5,FALSE)</f>
        <v>KHJ-MC400-00</v>
      </c>
      <c r="C1164" s="156">
        <v>109413</v>
      </c>
      <c r="E1164" s="160">
        <f>VLOOKUP(C1164,Stock_list!D:L,9,FALSE)</f>
        <v>43385</v>
      </c>
      <c r="F1164" s="157" t="s">
        <v>2860</v>
      </c>
      <c r="H1164" s="138">
        <v>76</v>
      </c>
      <c r="I1164" s="139" t="str">
        <f>VLOOKUP(H1164,Stock_list!A:R,18,FALSE)</f>
        <v>HangTe航特</v>
      </c>
      <c r="J1164" s="139" t="str">
        <f>VLOOKUP(H1164,Stock_list!A:S,17,FALSE)</f>
        <v>C49SZX20180083DZ</v>
      </c>
      <c r="K1164" s="51" t="str">
        <f>VLOOKUP(H1164,Stock_list!A:T,16,FALSE)</f>
        <v>JPY</v>
      </c>
      <c r="L1164" s="4"/>
      <c r="M1164" s="50">
        <v>3</v>
      </c>
      <c r="N1164" s="50"/>
      <c r="P1164" s="4" t="str">
        <f>VLOOKUP(H1164,Stock_list!A:Y,25,FALSE)</f>
        <v>Yes</v>
      </c>
      <c r="Q1164" s="5"/>
      <c r="R1164" s="143"/>
      <c r="T1164" s="144"/>
      <c r="U1164" s="145" t="str">
        <f>VLOOKUP(H1164,Stock_list!A:N,14,FALSE)</f>
        <v>NOV 18</v>
      </c>
    </row>
    <row r="1165" spans="1:21" ht="16.5" customHeight="1">
      <c r="A1165" s="155" t="s">
        <v>2768</v>
      </c>
      <c r="B1165" s="114" t="str">
        <f>VLOOKUP(A1165,'Data pick slip'!B:F,5,FALSE)</f>
        <v>KHJ-MC100-00</v>
      </c>
      <c r="E1165" s="160" t="e">
        <f>VLOOKUP(C1165,Stock_list!D:L,9,FALSE)</f>
        <v>#N/A</v>
      </c>
      <c r="F1165" s="157" t="s">
        <v>2861</v>
      </c>
      <c r="H1165" s="138">
        <v>98</v>
      </c>
      <c r="I1165" s="139" t="str">
        <f>VLOOKUP(H1165,Stock_list!A:R,18,FALSE)</f>
        <v>易而达</v>
      </c>
      <c r="J1165" s="139" t="str">
        <f>VLOOKUP(H1165,Stock_list!A:S,17,FALSE)</f>
        <v>C49SZX20180102JL</v>
      </c>
      <c r="K1165" s="51" t="str">
        <f>VLOOKUP(H1165,Stock_list!A:T,16,FALSE)</f>
        <v>JPY</v>
      </c>
      <c r="L1165" s="4"/>
      <c r="M1165" s="50">
        <v>60</v>
      </c>
      <c r="P1165" s="4" t="str">
        <f>VLOOKUP(H1165,Stock_list!A:Y,25,FALSE)</f>
        <v>Yes</v>
      </c>
      <c r="Q1165" s="5"/>
      <c r="R1165" s="143"/>
      <c r="T1165" s="144"/>
      <c r="U1165" s="145" t="str">
        <f>VLOOKUP(H1165,Stock_list!A:N,14,FALSE)</f>
        <v>DEC 18</v>
      </c>
    </row>
    <row r="1166" spans="1:21" ht="16.5" customHeight="1">
      <c r="A1166" s="155" t="s">
        <v>2768</v>
      </c>
      <c r="B1166" s="114" t="str">
        <f>VLOOKUP(A1166,'Data pick slip'!B:F,5,FALSE)</f>
        <v>KHJ-MC100-00</v>
      </c>
      <c r="C1166" s="156">
        <v>109319</v>
      </c>
      <c r="E1166" s="160">
        <f>VLOOKUP(C1166,Stock_list!D:L,9,FALSE)</f>
        <v>43537</v>
      </c>
      <c r="F1166" s="157" t="s">
        <v>2773</v>
      </c>
      <c r="H1166" s="138">
        <v>30</v>
      </c>
      <c r="I1166" s="139" t="str">
        <f>VLOOKUP(H1166,Stock_list!A:R,18,FALSE)</f>
        <v>STK深台</v>
      </c>
      <c r="J1166" s="139" t="str">
        <f>VLOOKUP(H1166,Stock_list!A:S,17,FALSE)</f>
        <v>C49SZX20180058KW</v>
      </c>
      <c r="K1166" s="51" t="str">
        <f>VLOOKUP(H1166,Stock_list!A:T,16,FALSE)</f>
        <v>RMB</v>
      </c>
      <c r="L1166" s="4">
        <v>43580</v>
      </c>
      <c r="M1166" s="50">
        <v>85</v>
      </c>
      <c r="P1166" s="4" t="str">
        <f>VLOOKUP(H1166,Stock_list!A:Y,25,FALSE)</f>
        <v>Yes</v>
      </c>
      <c r="Q1166" s="5"/>
      <c r="R1166" s="143"/>
      <c r="T1166" s="144"/>
      <c r="U1166" s="145" t="str">
        <f>VLOOKUP(H1166,Stock_list!A:N,14,FALSE)</f>
        <v>APR 19</v>
      </c>
    </row>
    <row r="1167" spans="1:21" ht="16.5" customHeight="1">
      <c r="A1167" s="159" t="s">
        <v>2747</v>
      </c>
      <c r="B1167" s="114" t="str">
        <f>VLOOKUP(A1167,'Data pick slip'!B:F,5,FALSE)</f>
        <v>KHJ-MC200-00</v>
      </c>
      <c r="C1167" s="156">
        <v>109319</v>
      </c>
      <c r="E1167" s="160">
        <f>VLOOKUP(C1167,Stock_list!D:L,9,FALSE)</f>
        <v>43537</v>
      </c>
      <c r="F1167" s="157" t="s">
        <v>2773</v>
      </c>
      <c r="H1167" s="138">
        <v>30</v>
      </c>
      <c r="I1167" s="139" t="str">
        <f>VLOOKUP(H1167,Stock_list!A:R,18,FALSE)</f>
        <v>STK深台</v>
      </c>
      <c r="J1167" s="139" t="str">
        <f>VLOOKUP(H1167,Stock_list!A:S,17,FALSE)</f>
        <v>C49SZX20180058KW</v>
      </c>
      <c r="K1167" s="51" t="str">
        <f>VLOOKUP(H1167,Stock_list!A:T,16,FALSE)</f>
        <v>RMB</v>
      </c>
      <c r="L1167" s="4">
        <v>43580</v>
      </c>
      <c r="M1167" s="50">
        <v>9</v>
      </c>
      <c r="P1167" s="4" t="str">
        <f>VLOOKUP(H1167,Stock_list!A:Y,25,FALSE)</f>
        <v>Yes</v>
      </c>
      <c r="Q1167" s="5"/>
      <c r="R1167" s="143"/>
      <c r="T1167" s="144"/>
      <c r="U1167" s="145" t="str">
        <f>VLOOKUP(H1167,Stock_list!A:N,14,FALSE)</f>
        <v>APR 19</v>
      </c>
    </row>
    <row r="1168" spans="1:21" ht="16.5" customHeight="1">
      <c r="A1168" s="155" t="s">
        <v>2748</v>
      </c>
      <c r="B1168" s="114" t="str">
        <f>VLOOKUP(A1168,'Data pick slip'!B:F,5,FALSE)</f>
        <v>KHJ-MC400-00</v>
      </c>
      <c r="C1168" s="156">
        <v>109319</v>
      </c>
      <c r="E1168" s="160">
        <f>VLOOKUP(C1168,Stock_list!D:L,9,FALSE)</f>
        <v>43537</v>
      </c>
      <c r="F1168" s="157" t="s">
        <v>2773</v>
      </c>
      <c r="H1168" s="138">
        <v>30</v>
      </c>
      <c r="I1168" s="139" t="str">
        <f>VLOOKUP(H1168,Stock_list!A:R,18,FALSE)</f>
        <v>STK深台</v>
      </c>
      <c r="J1168" s="139" t="str">
        <f>VLOOKUP(H1168,Stock_list!A:S,17,FALSE)</f>
        <v>C49SZX20180058KW</v>
      </c>
      <c r="K1168" s="51" t="str">
        <f>VLOOKUP(H1168,Stock_list!A:T,16,FALSE)</f>
        <v>RMB</v>
      </c>
      <c r="L1168" s="4">
        <v>43580</v>
      </c>
      <c r="M1168" s="50">
        <v>2</v>
      </c>
      <c r="P1168" s="4" t="str">
        <f>VLOOKUP(H1168,Stock_list!A:Y,25,FALSE)</f>
        <v>Yes</v>
      </c>
      <c r="Q1168" s="5"/>
      <c r="R1168" s="143"/>
      <c r="T1168" s="144"/>
      <c r="U1168" s="145" t="str">
        <f>VLOOKUP(H1168,Stock_list!A:N,14,FALSE)</f>
        <v>APR 19</v>
      </c>
    </row>
    <row r="1169" spans="1:21" ht="16.5" customHeight="1">
      <c r="A1169" s="155" t="s">
        <v>2768</v>
      </c>
      <c r="B1169" s="114" t="str">
        <f>VLOOKUP(A1169,'Data pick slip'!B:F,5,FALSE)</f>
        <v>KHJ-MC100-00</v>
      </c>
      <c r="E1169" s="160" t="e">
        <f>VLOOKUP(C1169,Stock_list!D:L,9,FALSE)</f>
        <v>#N/A</v>
      </c>
      <c r="F1169" s="157" t="s">
        <v>2861</v>
      </c>
      <c r="H1169" s="138">
        <v>129</v>
      </c>
      <c r="I1169" s="139" t="str">
        <f>VLOOKUP(H1169,Stock_list!A:R,18,FALSE)</f>
        <v>安嘉</v>
      </c>
      <c r="J1169" s="139" t="str">
        <f>VLOOKUP(H1169,Stock_list!A:S,17,FALSE)</f>
        <v>C49SZX20180136JY</v>
      </c>
      <c r="K1169" s="51" t="str">
        <f>VLOOKUP(H1169,Stock_list!A:T,16,FALSE)</f>
        <v>JPY</v>
      </c>
      <c r="L1169" s="4"/>
      <c r="M1169" s="50">
        <v>120</v>
      </c>
      <c r="P1169" s="4" t="str">
        <f>VLOOKUP(H1169,Stock_list!A:Y,25,FALSE)</f>
        <v>Yes</v>
      </c>
      <c r="Q1169" s="5"/>
      <c r="R1169" s="143"/>
      <c r="T1169" s="144"/>
      <c r="U1169" s="145" t="str">
        <f>VLOOKUP(H1169,Stock_list!A:N,14,FALSE)</f>
        <v>FEB 19</v>
      </c>
    </row>
    <row r="1170" spans="1:21" ht="16.5" customHeight="1">
      <c r="A1170" s="155" t="s">
        <v>2768</v>
      </c>
      <c r="B1170" s="114" t="str">
        <f>VLOOKUP(A1170,'Data pick slip'!B:F,5,FALSE)</f>
        <v>KHJ-MC100-00</v>
      </c>
      <c r="E1170" s="160" t="e">
        <f>VLOOKUP(C1170,Stock_list!D:L,9,FALSE)</f>
        <v>#N/A</v>
      </c>
      <c r="F1170" s="157" t="s">
        <v>2860</v>
      </c>
      <c r="H1170" s="138">
        <v>127</v>
      </c>
      <c r="I1170" s="139" t="str">
        <f>VLOOKUP(H1170,Stock_list!A:R,18,FALSE)</f>
        <v>兴开泰</v>
      </c>
      <c r="J1170" s="139" t="str">
        <f>VLOOKUP(H1170,Stock_list!A:S,17,FALSE)</f>
        <v>C49SZX20180135SX</v>
      </c>
      <c r="K1170" s="51" t="str">
        <f>VLOOKUP(H1170,Stock_list!A:T,16,FALSE)</f>
        <v>JPY</v>
      </c>
      <c r="L1170" s="4"/>
      <c r="M1170" s="50">
        <v>40</v>
      </c>
      <c r="P1170" s="4" t="str">
        <f>VLOOKUP(H1170,Stock_list!A:Y,25,FALSE)</f>
        <v>Yes</v>
      </c>
      <c r="Q1170" s="5"/>
      <c r="R1170" s="143"/>
      <c r="T1170" s="144"/>
      <c r="U1170" s="145" t="str">
        <f>VLOOKUP(H1170,Stock_list!A:N,14,FALSE)</f>
        <v>NOV 18</v>
      </c>
    </row>
    <row r="1171" spans="1:21" ht="16.5" customHeight="1">
      <c r="A1171" s="159" t="s">
        <v>2747</v>
      </c>
      <c r="B1171" s="114" t="str">
        <f>VLOOKUP(A1171,'Data pick slip'!B:F,5,FALSE)</f>
        <v>KHJ-MC200-00</v>
      </c>
      <c r="E1171" s="160" t="e">
        <f>VLOOKUP(C1171,Stock_list!D:L,9,FALSE)</f>
        <v>#N/A</v>
      </c>
      <c r="F1171" s="157" t="s">
        <v>2860</v>
      </c>
      <c r="H1171" s="138">
        <v>127</v>
      </c>
      <c r="I1171" s="139" t="str">
        <f>VLOOKUP(H1171,Stock_list!A:R,18,FALSE)</f>
        <v>兴开泰</v>
      </c>
      <c r="J1171" s="139" t="str">
        <f>VLOOKUP(H1171,Stock_list!A:S,17,FALSE)</f>
        <v>C49SZX20180135SX</v>
      </c>
      <c r="K1171" s="51" t="str">
        <f>VLOOKUP(H1171,Stock_list!A:T,16,FALSE)</f>
        <v>JPY</v>
      </c>
      <c r="L1171" s="4"/>
      <c r="M1171" s="50">
        <v>10</v>
      </c>
      <c r="P1171" s="4" t="str">
        <f>VLOOKUP(H1171,Stock_list!A:Y,25,FALSE)</f>
        <v>Yes</v>
      </c>
      <c r="Q1171" s="5"/>
      <c r="R1171" s="143"/>
      <c r="T1171" s="144"/>
      <c r="U1171" s="145" t="str">
        <f>VLOOKUP(H1171,Stock_list!A:N,14,FALSE)</f>
        <v>NOV 18</v>
      </c>
    </row>
    <row r="1172" spans="1:21" ht="16.5" customHeight="1">
      <c r="A1172" s="155" t="s">
        <v>2748</v>
      </c>
      <c r="B1172" s="114" t="str">
        <f>VLOOKUP(A1172,'Data pick slip'!B:F,5,FALSE)</f>
        <v>KHJ-MC400-00</v>
      </c>
      <c r="E1172" s="160" t="e">
        <f>VLOOKUP(C1172,Stock_list!D:L,9,FALSE)</f>
        <v>#N/A</v>
      </c>
      <c r="F1172" s="157" t="s">
        <v>2860</v>
      </c>
      <c r="H1172" s="138">
        <v>127</v>
      </c>
      <c r="I1172" s="139" t="str">
        <f>VLOOKUP(H1172,Stock_list!A:R,18,FALSE)</f>
        <v>兴开泰</v>
      </c>
      <c r="J1172" s="139" t="str">
        <f>VLOOKUP(H1172,Stock_list!A:S,17,FALSE)</f>
        <v>C49SZX20180135SX</v>
      </c>
      <c r="K1172" s="51" t="str">
        <f>VLOOKUP(H1172,Stock_list!A:T,16,FALSE)</f>
        <v>JPY</v>
      </c>
      <c r="L1172" s="4"/>
      <c r="M1172" s="50">
        <v>2</v>
      </c>
      <c r="P1172" s="4" t="str">
        <f>VLOOKUP(H1172,Stock_list!A:Y,25,FALSE)</f>
        <v>Yes</v>
      </c>
      <c r="Q1172" s="5"/>
      <c r="R1172" s="143"/>
      <c r="T1172" s="144"/>
      <c r="U1172" s="145" t="str">
        <f>VLOOKUP(H1172,Stock_list!A:N,14,FALSE)</f>
        <v>NOV 18</v>
      </c>
    </row>
    <row r="1173" spans="1:21" ht="16.5" customHeight="1">
      <c r="A1173" s="155" t="s">
        <v>2749</v>
      </c>
      <c r="B1173" s="114" t="str">
        <f>VLOOKUP(A1173,'Data pick slip'!B:F,5,FALSE)</f>
        <v>KHJ-MC500-00</v>
      </c>
      <c r="E1173" s="160" t="e">
        <f>VLOOKUP(C1173,Stock_list!D:L,9,FALSE)</f>
        <v>#N/A</v>
      </c>
      <c r="F1173" s="157" t="s">
        <v>2860</v>
      </c>
      <c r="H1173" s="138">
        <v>127</v>
      </c>
      <c r="I1173" s="139" t="str">
        <f>VLOOKUP(H1173,Stock_list!A:R,18,FALSE)</f>
        <v>兴开泰</v>
      </c>
      <c r="J1173" s="139" t="str">
        <f>VLOOKUP(H1173,Stock_list!A:S,17,FALSE)</f>
        <v>C49SZX20180135SX</v>
      </c>
      <c r="K1173" s="51" t="str">
        <f>VLOOKUP(H1173,Stock_list!A:T,16,FALSE)</f>
        <v>JPY</v>
      </c>
      <c r="L1173" s="4"/>
      <c r="M1173" s="50">
        <v>2</v>
      </c>
      <c r="P1173" s="4" t="str">
        <f>VLOOKUP(H1173,Stock_list!A:Y,25,FALSE)</f>
        <v>Yes</v>
      </c>
      <c r="Q1173" s="5"/>
      <c r="R1173" s="143"/>
      <c r="T1173" s="144"/>
      <c r="U1173" s="145" t="str">
        <f>VLOOKUP(H1173,Stock_list!A:N,14,FALSE)</f>
        <v>NOV 18</v>
      </c>
    </row>
    <row r="1174" spans="1:21" ht="16.5" customHeight="1">
      <c r="A1174" s="155" t="s">
        <v>2768</v>
      </c>
      <c r="B1174" s="114" t="str">
        <f>VLOOKUP(A1174,'Data pick slip'!B:F,5,FALSE)</f>
        <v>KHJ-MC100-00</v>
      </c>
      <c r="E1174" s="160" t="e">
        <f>VLOOKUP(C1174,Stock_list!D:L,9,FALSE)</f>
        <v>#N/A</v>
      </c>
      <c r="F1174" s="157" t="s">
        <v>2861</v>
      </c>
      <c r="H1174" s="138">
        <v>50</v>
      </c>
      <c r="I1174" s="139" t="str">
        <f>VLOOKUP(H1174,Stock_list!A:R,18,FALSE)</f>
        <v>朗特</v>
      </c>
      <c r="J1174" s="139" t="str">
        <f>VLOOKUP(H1174,Stock_list!A:S,17,FALSE)</f>
        <v>C49SZX20180078DZ</v>
      </c>
      <c r="K1174" s="51" t="str">
        <f>VLOOKUP(H1174,Stock_list!A:T,16,FALSE)</f>
        <v>JPY</v>
      </c>
      <c r="L1174" s="4"/>
      <c r="M1174" s="132">
        <v>80</v>
      </c>
      <c r="P1174" s="4" t="str">
        <f>VLOOKUP(H1174,Stock_list!A:Y,25,FALSE)</f>
        <v>Yes</v>
      </c>
      <c r="Q1174" s="133"/>
      <c r="T1174" s="144"/>
      <c r="U1174" s="145" t="str">
        <f>VLOOKUP(H1174,Stock_list!A:N,14,FALSE)</f>
        <v>DEC 18</v>
      </c>
    </row>
    <row r="1175" spans="1:21" ht="16.5" customHeight="1">
      <c r="A1175" s="159" t="s">
        <v>2747</v>
      </c>
      <c r="B1175" s="114" t="str">
        <f>VLOOKUP(A1175,'Data pick slip'!B:F,5,FALSE)</f>
        <v>KHJ-MC200-00</v>
      </c>
      <c r="E1175" s="160" t="e">
        <f>VLOOKUP(C1175,Stock_list!D:L,9,FALSE)</f>
        <v>#N/A</v>
      </c>
      <c r="F1175" s="157" t="s">
        <v>2861</v>
      </c>
      <c r="H1175" s="138">
        <v>50</v>
      </c>
      <c r="I1175" s="139" t="str">
        <f>VLOOKUP(H1175,Stock_list!A:R,18,FALSE)</f>
        <v>朗特</v>
      </c>
      <c r="J1175" s="139" t="str">
        <f>VLOOKUP(H1175,Stock_list!A:S,17,FALSE)</f>
        <v>C49SZX20180078DZ</v>
      </c>
      <c r="K1175" s="51" t="str">
        <f>VLOOKUP(H1175,Stock_list!A:T,16,FALSE)</f>
        <v>JPY</v>
      </c>
      <c r="L1175" s="4"/>
      <c r="M1175" s="132">
        <v>15</v>
      </c>
      <c r="P1175" s="4" t="str">
        <f>VLOOKUP(H1175,Stock_list!A:Y,25,FALSE)</f>
        <v>Yes</v>
      </c>
      <c r="Q1175" s="133"/>
      <c r="T1175" s="144"/>
      <c r="U1175" s="145" t="str">
        <f>VLOOKUP(H1175,Stock_list!A:N,14,FALSE)</f>
        <v>DEC 18</v>
      </c>
    </row>
    <row r="1176" spans="1:21" ht="16.5" customHeight="1">
      <c r="A1176" s="155" t="s">
        <v>2757</v>
      </c>
      <c r="B1176" s="114" t="str">
        <f>VLOOKUP(A1176,'Data pick slip'!B:F,5,FALSE)</f>
        <v>KLJ-MC400-00</v>
      </c>
      <c r="C1176" s="156">
        <v>109295</v>
      </c>
      <c r="E1176" s="160">
        <f>VLOOKUP(C1176,Stock_list!D:L,9,FALSE)</f>
        <v>43418</v>
      </c>
      <c r="F1176" s="157" t="s">
        <v>2861</v>
      </c>
      <c r="H1176" s="138">
        <v>50</v>
      </c>
      <c r="I1176" s="139" t="str">
        <f>VLOOKUP(H1176,Stock_list!A:R,18,FALSE)</f>
        <v>朗特</v>
      </c>
      <c r="J1176" s="139" t="str">
        <f>VLOOKUP(H1176,Stock_list!A:S,17,FALSE)</f>
        <v>C49SZX20180078DZ</v>
      </c>
      <c r="K1176" s="51" t="str">
        <f>VLOOKUP(H1176,Stock_list!A:T,16,FALSE)</f>
        <v>JPY</v>
      </c>
      <c r="L1176" s="4"/>
      <c r="M1176" s="207">
        <v>4</v>
      </c>
      <c r="O1176" s="207"/>
      <c r="P1176" s="4" t="str">
        <f>VLOOKUP(H1176,Stock_list!A:Y,25,FALSE)</f>
        <v>Yes</v>
      </c>
      <c r="Q1176" s="208"/>
      <c r="T1176" s="144"/>
      <c r="U1176" s="145" t="str">
        <f>VLOOKUP(H1176,Stock_list!A:N,14,FALSE)</f>
        <v>DEC 18</v>
      </c>
    </row>
    <row r="1177" spans="1:21" ht="16.5" customHeight="1">
      <c r="A1177" s="155" t="s">
        <v>2749</v>
      </c>
      <c r="B1177" s="114" t="str">
        <f>VLOOKUP(A1177,'Data pick slip'!B:F,5,FALSE)</f>
        <v>KHJ-MC500-00</v>
      </c>
      <c r="C1177" s="156">
        <v>109295</v>
      </c>
      <c r="E1177" s="160">
        <f>VLOOKUP(C1177,Stock_list!D:L,9,FALSE)</f>
        <v>43418</v>
      </c>
      <c r="F1177" s="157" t="s">
        <v>2861</v>
      </c>
      <c r="H1177" s="138">
        <v>50</v>
      </c>
      <c r="I1177" s="139" t="str">
        <f>VLOOKUP(H1177,Stock_list!A:R,18,FALSE)</f>
        <v>朗特</v>
      </c>
      <c r="J1177" s="139" t="str">
        <f>VLOOKUP(H1177,Stock_list!A:S,17,FALSE)</f>
        <v>C49SZX20180078DZ</v>
      </c>
      <c r="K1177" s="51" t="str">
        <f>VLOOKUP(H1177,Stock_list!A:T,16,FALSE)</f>
        <v>JPY</v>
      </c>
      <c r="L1177" s="4"/>
      <c r="M1177" s="132">
        <v>1</v>
      </c>
      <c r="P1177" s="4" t="str">
        <f>VLOOKUP(H1177,Stock_list!A:Y,25,FALSE)</f>
        <v>Yes</v>
      </c>
      <c r="Q1177" s="133"/>
      <c r="T1177" s="144"/>
      <c r="U1177" s="145" t="str">
        <f>VLOOKUP(H1177,Stock_list!A:N,14,FALSE)</f>
        <v>DEC 18</v>
      </c>
    </row>
    <row r="1178" spans="1:21" ht="16.5" customHeight="1">
      <c r="A1178" s="155" t="s">
        <v>2768</v>
      </c>
      <c r="B1178" s="114" t="str">
        <f>VLOOKUP(A1178,'Data pick slip'!B:F,5,FALSE)</f>
        <v>KHJ-MC100-00</v>
      </c>
      <c r="C1178" s="156">
        <v>109454</v>
      </c>
      <c r="E1178" s="160">
        <f>VLOOKUP(C1178,Stock_list!D:L,9,FALSE)</f>
        <v>43442</v>
      </c>
      <c r="F1178" s="157" t="s">
        <v>2861</v>
      </c>
      <c r="H1178" s="138">
        <v>100</v>
      </c>
      <c r="I1178" s="139" t="str">
        <f>VLOOKUP(H1178,Stock_list!A:R,18,FALSE)</f>
        <v>小耳朵</v>
      </c>
      <c r="J1178" s="139" t="str">
        <f>VLOOKUP(H1178,Stock_list!A:S,17,FALSE)</f>
        <v>C49SZX20180103MZ</v>
      </c>
      <c r="K1178" s="51" t="str">
        <f>VLOOKUP(H1178,Stock_list!A:T,16,FALSE)</f>
        <v>JPY</v>
      </c>
      <c r="L1178" s="4"/>
      <c r="M1178" s="132">
        <v>70</v>
      </c>
      <c r="P1178" s="4" t="str">
        <f>VLOOKUP(H1178,Stock_list!A:Y,25,FALSE)</f>
        <v>Yes</v>
      </c>
      <c r="Q1178" s="133"/>
      <c r="R1178" s="143"/>
      <c r="T1178" s="144"/>
      <c r="U1178" s="145" t="str">
        <f>VLOOKUP(H1178,Stock_list!A:N,14,FALSE)</f>
        <v>FEB 19</v>
      </c>
    </row>
    <row r="1179" spans="1:21" ht="16.5" customHeight="1">
      <c r="A1179" s="159" t="s">
        <v>2747</v>
      </c>
      <c r="B1179" s="114" t="str">
        <f>VLOOKUP(A1179,'Data pick slip'!B:F,5,FALSE)</f>
        <v>KHJ-MC200-00</v>
      </c>
      <c r="C1179" s="156">
        <v>109344</v>
      </c>
      <c r="E1179" s="160">
        <f>VLOOKUP(C1179,Stock_list!D:L,9,FALSE)</f>
        <v>43565</v>
      </c>
      <c r="F1179" s="157" t="s">
        <v>2861</v>
      </c>
      <c r="H1179" s="138">
        <v>100</v>
      </c>
      <c r="I1179" s="139" t="str">
        <f>VLOOKUP(H1179,Stock_list!A:R,18,FALSE)</f>
        <v>小耳朵</v>
      </c>
      <c r="J1179" s="139" t="str">
        <f>VLOOKUP(H1179,Stock_list!A:S,17,FALSE)</f>
        <v>C49SZX20180103MZ</v>
      </c>
      <c r="K1179" s="51" t="str">
        <f>VLOOKUP(H1179,Stock_list!A:T,16,FALSE)</f>
        <v>JPY</v>
      </c>
      <c r="L1179" s="4">
        <v>43521</v>
      </c>
      <c r="M1179" s="132">
        <v>9</v>
      </c>
      <c r="P1179" s="4" t="str">
        <f>VLOOKUP(H1179,Stock_list!A:Y,25,FALSE)</f>
        <v>Yes</v>
      </c>
      <c r="Q1179" s="133"/>
      <c r="R1179" s="143"/>
      <c r="T1179" s="144"/>
      <c r="U1179" s="145" t="str">
        <f>VLOOKUP(H1179,Stock_list!A:N,14,FALSE)</f>
        <v>FEB 19</v>
      </c>
    </row>
    <row r="1180" spans="1:21" ht="16.5" customHeight="1">
      <c r="A1180" s="155" t="s">
        <v>2748</v>
      </c>
      <c r="B1180" s="114" t="str">
        <f>VLOOKUP(A1180,'Data pick slip'!B:F,5,FALSE)</f>
        <v>KHJ-MC400-00</v>
      </c>
      <c r="C1180" s="156">
        <v>109336</v>
      </c>
      <c r="E1180" s="160">
        <f>VLOOKUP(C1180,Stock_list!D:L,9,FALSE)</f>
        <v>43558</v>
      </c>
      <c r="F1180" s="157" t="s">
        <v>2861</v>
      </c>
      <c r="H1180" s="138">
        <v>100</v>
      </c>
      <c r="I1180" s="139" t="str">
        <f>VLOOKUP(H1180,Stock_list!A:R,18,FALSE)</f>
        <v>小耳朵</v>
      </c>
      <c r="J1180" s="139" t="str">
        <f>VLOOKUP(H1180,Stock_list!A:S,17,FALSE)</f>
        <v>C49SZX20180103MZ</v>
      </c>
      <c r="K1180" s="51" t="str">
        <f>VLOOKUP(H1180,Stock_list!A:T,16,FALSE)</f>
        <v>JPY</v>
      </c>
      <c r="L1180" s="4"/>
      <c r="M1180" s="132">
        <v>4</v>
      </c>
      <c r="P1180" s="4" t="str">
        <f>VLOOKUP(H1180,Stock_list!A:Y,25,FALSE)</f>
        <v>Yes</v>
      </c>
      <c r="Q1180" s="133"/>
      <c r="R1180" s="143"/>
      <c r="T1180" s="144"/>
      <c r="U1180" s="145" t="str">
        <f>VLOOKUP(H1180,Stock_list!A:N,14,FALSE)</f>
        <v>FEB 19</v>
      </c>
    </row>
    <row r="1181" spans="1:21" ht="16.5" customHeight="1">
      <c r="A1181" s="155" t="s">
        <v>2749</v>
      </c>
      <c r="B1181" s="114" t="str">
        <f>VLOOKUP(A1181,'Data pick slip'!B:F,5,FALSE)</f>
        <v>KHJ-MC500-00</v>
      </c>
      <c r="C1181" s="156">
        <v>109478</v>
      </c>
      <c r="E1181" s="160">
        <f>VLOOKUP(C1181,Stock_list!D:L,9,FALSE)</f>
        <v>43512</v>
      </c>
      <c r="F1181" s="157" t="s">
        <v>2861</v>
      </c>
      <c r="H1181" s="138">
        <v>100</v>
      </c>
      <c r="I1181" s="139" t="str">
        <f>VLOOKUP(H1181,Stock_list!A:R,18,FALSE)</f>
        <v>小耳朵</v>
      </c>
      <c r="J1181" s="139" t="str">
        <f>VLOOKUP(H1181,Stock_list!A:S,17,FALSE)</f>
        <v>C49SZX20180103MZ</v>
      </c>
      <c r="K1181" s="51" t="str">
        <f>VLOOKUP(H1181,Stock_list!A:T,16,FALSE)</f>
        <v>JPY</v>
      </c>
      <c r="L1181" s="4"/>
      <c r="M1181" s="132">
        <v>4</v>
      </c>
      <c r="P1181" s="4" t="str">
        <f>VLOOKUP(H1181,Stock_list!A:Y,25,FALSE)</f>
        <v>Yes</v>
      </c>
      <c r="Q1181" s="133"/>
      <c r="R1181" s="143"/>
      <c r="T1181" s="144"/>
      <c r="U1181" s="145" t="str">
        <f>VLOOKUP(H1181,Stock_list!A:N,14,FALSE)</f>
        <v>FEB 19</v>
      </c>
    </row>
    <row r="1182" spans="1:21" ht="16.5" customHeight="1">
      <c r="A1182" s="155" t="s">
        <v>2750</v>
      </c>
      <c r="B1182" s="114" t="str">
        <f>VLOOKUP(A1182,'Data pick slip'!B:F,5,FALSE)</f>
        <v>KHJ-MC600-00</v>
      </c>
      <c r="E1182" s="160" t="e">
        <f>VLOOKUP(C1182,Stock_list!D:L,9,FALSE)</f>
        <v>#N/A</v>
      </c>
      <c r="F1182" s="157" t="s">
        <v>2861</v>
      </c>
      <c r="H1182" s="138">
        <v>100</v>
      </c>
      <c r="I1182" s="139" t="str">
        <f>VLOOKUP(H1182,Stock_list!A:R,18,FALSE)</f>
        <v>小耳朵</v>
      </c>
      <c r="J1182" s="139" t="str">
        <f>VLOOKUP(H1182,Stock_list!A:S,17,FALSE)</f>
        <v>C49SZX20180103MZ</v>
      </c>
      <c r="K1182" s="51" t="str">
        <f>VLOOKUP(H1182,Stock_list!A:T,16,FALSE)</f>
        <v>JPY</v>
      </c>
      <c r="L1182" s="4"/>
      <c r="M1182" s="132">
        <v>2</v>
      </c>
      <c r="P1182" s="4" t="str">
        <f>VLOOKUP(H1182,Stock_list!A:Y,25,FALSE)</f>
        <v>Yes</v>
      </c>
      <c r="Q1182" s="133"/>
      <c r="R1182" s="143"/>
      <c r="T1182" s="144"/>
      <c r="U1182" s="145" t="str">
        <f>VLOOKUP(H1182,Stock_list!A:N,14,FALSE)</f>
        <v>FEB 19</v>
      </c>
    </row>
    <row r="1183" spans="1:21" ht="27" customHeight="1">
      <c r="A1183" s="155" t="s">
        <v>2768</v>
      </c>
      <c r="B1183" s="114" t="str">
        <f>VLOOKUP(A1183,'Data pick slip'!B:F,5,FALSE)</f>
        <v>KHJ-MC100-00</v>
      </c>
      <c r="C1183" s="156">
        <v>109331</v>
      </c>
      <c r="E1183" s="160">
        <f>VLOOKUP(C1183,Stock_list!D:L,9,FALSE)</f>
        <v>43405</v>
      </c>
      <c r="F1183" s="157" t="s">
        <v>2860</v>
      </c>
      <c r="H1183" s="138">
        <v>48</v>
      </c>
      <c r="I1183" s="139" t="str">
        <f>VLOOKUP(H1183,Stock_list!A:R,18,FALSE)</f>
        <v>永顺创（Sales accurel in Oct)</v>
      </c>
      <c r="J1183" s="139" t="str">
        <f>VLOOKUP(H1183,Stock_list!A:S,17,FALSE)</f>
        <v>C49SZX20180070SX</v>
      </c>
      <c r="K1183" s="51" t="str">
        <f>VLOOKUP(H1183,Stock_list!A:T,16,FALSE)</f>
        <v>JPY</v>
      </c>
      <c r="L1183" s="4"/>
      <c r="M1183" s="132">
        <v>70</v>
      </c>
      <c r="P1183" s="4" t="str">
        <f>VLOOKUP(H1183,Stock_list!A:Y,25,FALSE)</f>
        <v>Yes</v>
      </c>
      <c r="Q1183" s="143"/>
      <c r="R1183" s="143"/>
      <c r="T1183" s="144"/>
      <c r="U1183" s="145" t="str">
        <f>VLOOKUP(H1183,Stock_list!A:N,14,FALSE)</f>
        <v>NOV 18</v>
      </c>
    </row>
    <row r="1184" spans="1:21" ht="27" customHeight="1">
      <c r="A1184" s="159" t="s">
        <v>2747</v>
      </c>
      <c r="B1184" s="114" t="str">
        <f>VLOOKUP(A1184,'Data pick slip'!B:F,5,FALSE)</f>
        <v>KHJ-MC200-00</v>
      </c>
      <c r="C1184" s="156">
        <v>109331</v>
      </c>
      <c r="E1184" s="160">
        <f>VLOOKUP(C1184,Stock_list!D:L,9,FALSE)</f>
        <v>43405</v>
      </c>
      <c r="F1184" s="157" t="s">
        <v>2860</v>
      </c>
      <c r="H1184" s="138">
        <v>48</v>
      </c>
      <c r="I1184" s="139" t="str">
        <f>VLOOKUP(H1184,Stock_list!A:R,18,FALSE)</f>
        <v>永顺创（Sales accurel in Oct)</v>
      </c>
      <c r="J1184" s="139" t="str">
        <f>VLOOKUP(H1184,Stock_list!A:S,17,FALSE)</f>
        <v>C49SZX20180070SX</v>
      </c>
      <c r="K1184" s="51" t="str">
        <f>VLOOKUP(H1184,Stock_list!A:T,16,FALSE)</f>
        <v>JPY</v>
      </c>
      <c r="L1184" s="4" t="s">
        <v>3024</v>
      </c>
      <c r="M1184" s="132">
        <v>10</v>
      </c>
      <c r="P1184" s="4" t="str">
        <f>VLOOKUP(H1184,Stock_list!A:Y,25,FALSE)</f>
        <v>Yes</v>
      </c>
      <c r="Q1184" s="143"/>
      <c r="R1184" s="143"/>
      <c r="T1184" s="144"/>
      <c r="U1184" s="145" t="str">
        <f>VLOOKUP(H1184,Stock_list!A:N,14,FALSE)</f>
        <v>NOV 18</v>
      </c>
    </row>
    <row r="1185" spans="1:21" ht="27" customHeight="1">
      <c r="A1185" s="155" t="s">
        <v>2748</v>
      </c>
      <c r="B1185" s="114" t="str">
        <f>VLOOKUP(A1185,'Data pick slip'!B:F,5,FALSE)</f>
        <v>KHJ-MC400-00</v>
      </c>
      <c r="C1185" s="156">
        <v>109331</v>
      </c>
      <c r="E1185" s="160">
        <f>VLOOKUP(C1185,Stock_list!D:L,9,FALSE)</f>
        <v>43405</v>
      </c>
      <c r="F1185" s="157" t="s">
        <v>2860</v>
      </c>
      <c r="H1185" s="138">
        <v>48</v>
      </c>
      <c r="I1185" s="139" t="str">
        <f>VLOOKUP(H1185,Stock_list!A:R,18,FALSE)</f>
        <v>永顺创（Sales accurel in Oct)</v>
      </c>
      <c r="J1185" s="139" t="str">
        <f>VLOOKUP(H1185,Stock_list!A:S,17,FALSE)</f>
        <v>C49SZX20180070SX</v>
      </c>
      <c r="K1185" s="51" t="str">
        <f>VLOOKUP(H1185,Stock_list!A:T,16,FALSE)</f>
        <v>JPY</v>
      </c>
      <c r="L1185" s="4"/>
      <c r="M1185" s="132">
        <v>5</v>
      </c>
      <c r="P1185" s="4" t="str">
        <f>VLOOKUP(H1185,Stock_list!A:Y,25,FALSE)</f>
        <v>Yes</v>
      </c>
      <c r="Q1185" s="143"/>
      <c r="R1185" s="143"/>
      <c r="T1185" s="144"/>
      <c r="U1185" s="145" t="str">
        <f>VLOOKUP(H1185,Stock_list!A:N,14,FALSE)</f>
        <v>NOV 18</v>
      </c>
    </row>
    <row r="1186" spans="1:21" ht="27" customHeight="1">
      <c r="A1186" s="155" t="s">
        <v>2749</v>
      </c>
      <c r="B1186" s="114" t="str">
        <f>VLOOKUP(A1186,'Data pick slip'!B:F,5,FALSE)</f>
        <v>KHJ-MC500-00</v>
      </c>
      <c r="C1186" s="156">
        <v>109331</v>
      </c>
      <c r="E1186" s="160">
        <f>VLOOKUP(C1186,Stock_list!D:L,9,FALSE)</f>
        <v>43405</v>
      </c>
      <c r="F1186" s="157" t="s">
        <v>2860</v>
      </c>
      <c r="H1186" s="138">
        <v>48</v>
      </c>
      <c r="I1186" s="139" t="str">
        <f>VLOOKUP(H1186,Stock_list!A:R,18,FALSE)</f>
        <v>永顺创（Sales accurel in Oct)</v>
      </c>
      <c r="J1186" s="139" t="str">
        <f>VLOOKUP(H1186,Stock_list!A:S,17,FALSE)</f>
        <v>C49SZX20180070SX</v>
      </c>
      <c r="K1186" s="51" t="str">
        <f>VLOOKUP(H1186,Stock_list!A:T,16,FALSE)</f>
        <v>JPY</v>
      </c>
      <c r="L1186" s="4"/>
      <c r="M1186" s="132">
        <v>2</v>
      </c>
      <c r="P1186" s="4" t="str">
        <f>VLOOKUP(H1186,Stock_list!A:Y,25,FALSE)</f>
        <v>Yes</v>
      </c>
      <c r="Q1186" s="143"/>
      <c r="R1186" s="143"/>
      <c r="T1186" s="144"/>
      <c r="U1186" s="145" t="str">
        <f>VLOOKUP(H1186,Stock_list!A:N,14,FALSE)</f>
        <v>NOV 18</v>
      </c>
    </row>
    <row r="1187" spans="1:21" ht="27" customHeight="1">
      <c r="A1187" s="155" t="s">
        <v>2750</v>
      </c>
      <c r="B1187" s="114" t="str">
        <f>VLOOKUP(A1187,'Data pick slip'!B:F,5,FALSE)</f>
        <v>KHJ-MC600-00</v>
      </c>
      <c r="C1187" s="156">
        <v>109331</v>
      </c>
      <c r="E1187" s="160">
        <f>VLOOKUP(C1187,Stock_list!D:L,9,FALSE)</f>
        <v>43405</v>
      </c>
      <c r="F1187" s="157" t="s">
        <v>2860</v>
      </c>
      <c r="H1187" s="138">
        <v>48</v>
      </c>
      <c r="I1187" s="139" t="str">
        <f>VLOOKUP(H1187,Stock_list!A:R,18,FALSE)</f>
        <v>永顺创（Sales accurel in Oct)</v>
      </c>
      <c r="J1187" s="139" t="str">
        <f>VLOOKUP(H1187,Stock_list!A:S,17,FALSE)</f>
        <v>C49SZX20180070SX</v>
      </c>
      <c r="K1187" s="51" t="str">
        <f>VLOOKUP(H1187,Stock_list!A:T,16,FALSE)</f>
        <v>JPY</v>
      </c>
      <c r="L1187" s="4"/>
      <c r="M1187" s="132">
        <v>1</v>
      </c>
      <c r="P1187" s="4" t="str">
        <f>VLOOKUP(H1187,Stock_list!A:Y,25,FALSE)</f>
        <v>Yes</v>
      </c>
      <c r="Q1187" s="143"/>
      <c r="R1187" s="143"/>
      <c r="T1187" s="144"/>
      <c r="U1187" s="145" t="str">
        <f>VLOOKUP(H1187,Stock_list!A:N,14,FALSE)</f>
        <v>NOV 18</v>
      </c>
    </row>
    <row r="1188" spans="1:21" ht="16.5" customHeight="1">
      <c r="A1188" s="155" t="s">
        <v>2768</v>
      </c>
      <c r="B1188" s="114" t="str">
        <f>VLOOKUP(A1188,'Data pick slip'!B:F,5,FALSE)</f>
        <v>KHJ-MC100-00</v>
      </c>
      <c r="C1188" s="156">
        <v>109389</v>
      </c>
      <c r="E1188" s="160">
        <f>VLOOKUP(C1188,Stock_list!D:L,9,FALSE)</f>
        <v>43537</v>
      </c>
      <c r="F1188" s="157" t="s">
        <v>2861</v>
      </c>
      <c r="H1188" s="138">
        <v>291</v>
      </c>
      <c r="I1188" s="139" t="str">
        <f>VLOOKUP(H1188,Stock_list!A:R,18,FALSE)</f>
        <v>宝捷</v>
      </c>
      <c r="J1188" s="139" t="str">
        <f>VLOOKUP(H1188,Stock_list!A:S,17,FALSE)</f>
        <v>C49SZX20190060DZ</v>
      </c>
      <c r="K1188" s="51" t="str">
        <f>VLOOKUP(H1188,Stock_list!A:T,16,FALSE)</f>
        <v>JPY</v>
      </c>
      <c r="L1188" s="4">
        <v>43686</v>
      </c>
      <c r="M1188" s="132">
        <v>30</v>
      </c>
      <c r="P1188" s="4" t="str">
        <f>VLOOKUP(H1188,Stock_list!A:Y,25,FALSE)</f>
        <v>Yes</v>
      </c>
      <c r="Q1188" s="133"/>
      <c r="R1188" s="143"/>
      <c r="T1188" s="144"/>
      <c r="U1188" s="145" t="str">
        <f>VLOOKUP(H1188,Stock_list!A:N,14,FALSE)</f>
        <v>AUG 19</v>
      </c>
    </row>
    <row r="1189" spans="1:21" ht="16.5" customHeight="1">
      <c r="A1189" s="159" t="s">
        <v>2747</v>
      </c>
      <c r="B1189" s="114" t="str">
        <f>VLOOKUP(A1189,'Data pick slip'!B:F,5,FALSE)</f>
        <v>KHJ-MC200-00</v>
      </c>
      <c r="C1189" s="156">
        <v>109389</v>
      </c>
      <c r="E1189" s="160">
        <f>VLOOKUP(C1189,Stock_list!D:L,9,FALSE)</f>
        <v>43537</v>
      </c>
      <c r="F1189" s="157" t="s">
        <v>2861</v>
      </c>
      <c r="H1189" s="138">
        <v>291</v>
      </c>
      <c r="I1189" s="139" t="str">
        <f>VLOOKUP(H1189,Stock_list!A:R,18,FALSE)</f>
        <v>宝捷</v>
      </c>
      <c r="J1189" s="139" t="str">
        <f>VLOOKUP(H1189,Stock_list!A:S,17,FALSE)</f>
        <v>C49SZX20190060DZ</v>
      </c>
      <c r="K1189" s="51" t="str">
        <f>VLOOKUP(H1189,Stock_list!A:T,16,FALSE)</f>
        <v>JPY</v>
      </c>
      <c r="L1189" s="4">
        <v>43686</v>
      </c>
      <c r="M1189" s="140">
        <v>5</v>
      </c>
      <c r="P1189" s="4" t="str">
        <f>VLOOKUP(H1189,Stock_list!A:Y,25,FALSE)</f>
        <v>Yes</v>
      </c>
      <c r="Q1189" s="133"/>
      <c r="R1189" s="143"/>
      <c r="T1189" s="205"/>
      <c r="U1189" s="145" t="str">
        <f>VLOOKUP(H1189,Stock_list!A:N,14,FALSE)</f>
        <v>AUG 19</v>
      </c>
    </row>
    <row r="1190" spans="1:21" ht="16.5" customHeight="1">
      <c r="A1190" s="159" t="s">
        <v>2747</v>
      </c>
      <c r="B1190" s="114" t="str">
        <f>VLOOKUP(A1190,'Data pick slip'!B:F,5,FALSE)</f>
        <v>KHJ-MC200-00</v>
      </c>
      <c r="C1190" s="156">
        <v>109389</v>
      </c>
      <c r="E1190" s="160">
        <f>VLOOKUP(C1190,Stock_list!D:L,9,FALSE)</f>
        <v>43537</v>
      </c>
      <c r="F1190" s="157" t="s">
        <v>2861</v>
      </c>
      <c r="H1190" s="138">
        <v>291</v>
      </c>
      <c r="I1190" s="139" t="str">
        <f>VLOOKUP(H1190,Stock_list!A:R,18,FALSE)</f>
        <v>宝捷</v>
      </c>
      <c r="J1190" s="139" t="str">
        <f>VLOOKUP(H1190,Stock_list!A:S,17,FALSE)</f>
        <v>C49SZX20190060DZ</v>
      </c>
      <c r="K1190" s="51" t="str">
        <f>VLOOKUP(H1190,Stock_list!A:T,16,FALSE)</f>
        <v>JPY</v>
      </c>
      <c r="L1190" s="4">
        <v>43686</v>
      </c>
      <c r="M1190" s="140">
        <v>1</v>
      </c>
      <c r="P1190" s="4" t="str">
        <f>VLOOKUP(H1190,Stock_list!A:Y,25,FALSE)</f>
        <v>Yes</v>
      </c>
      <c r="Q1190" s="133"/>
      <c r="R1190" s="143"/>
      <c r="T1190" s="144"/>
      <c r="U1190" s="145" t="str">
        <f>VLOOKUP(H1190,Stock_list!A:N,14,FALSE)</f>
        <v>AUG 19</v>
      </c>
    </row>
    <row r="1191" spans="1:21" ht="16.5" customHeight="1">
      <c r="A1191" s="155" t="s">
        <v>2755</v>
      </c>
      <c r="B1191" s="114" t="str">
        <f>VLOOKUP(A1191,'Data pick slip'!B:F,5,FALSE)</f>
        <v>KLJ-MC100-00</v>
      </c>
      <c r="C1191" s="156">
        <v>109421</v>
      </c>
      <c r="F1191" s="157" t="s">
        <v>2861</v>
      </c>
      <c r="H1191" s="138">
        <v>239</v>
      </c>
      <c r="I1191" s="139" t="str">
        <f>VLOOKUP(H1191,Stock_list!A:R,18,FALSE)</f>
        <v>睿视科技</v>
      </c>
      <c r="J1191" s="139" t="str">
        <f>VLOOKUP(H1191,Stock_list!A:S,17,FALSE)</f>
        <v>C49SZX20190024JL</v>
      </c>
      <c r="K1191" s="51" t="str">
        <f>VLOOKUP(H1191,Stock_list!A:T,16,FALSE)</f>
        <v>JPY</v>
      </c>
      <c r="L1191" s="4"/>
      <c r="M1191" s="132">
        <v>25</v>
      </c>
      <c r="P1191" s="4" t="str">
        <f>VLOOKUP(H1191,Stock_list!A:Y,25,FALSE)</f>
        <v>Yes</v>
      </c>
      <c r="Q1191" s="133"/>
      <c r="R1191" s="143"/>
      <c r="T1191" s="144"/>
      <c r="U1191" s="145" t="str">
        <f>VLOOKUP(H1191,Stock_list!A:N,14,FALSE)</f>
        <v>MAR 19</v>
      </c>
    </row>
    <row r="1192" spans="1:21" ht="16.5" customHeight="1">
      <c r="A1192" s="159" t="s">
        <v>2747</v>
      </c>
      <c r="B1192" s="114" t="str">
        <f>VLOOKUP(A1192,'Data pick slip'!B:F,5,FALSE)</f>
        <v>KHJ-MC200-00</v>
      </c>
      <c r="C1192" s="156">
        <v>109421</v>
      </c>
      <c r="F1192" s="157" t="s">
        <v>2861</v>
      </c>
      <c r="H1192" s="138">
        <v>239</v>
      </c>
      <c r="I1192" s="139" t="str">
        <f>VLOOKUP(H1192,Stock_list!A:R,18,FALSE)</f>
        <v>睿视科技</v>
      </c>
      <c r="J1192" s="139" t="str">
        <f>VLOOKUP(H1192,Stock_list!A:S,17,FALSE)</f>
        <v>C49SZX20190024JL</v>
      </c>
      <c r="K1192" s="51" t="str">
        <f>VLOOKUP(H1192,Stock_list!A:T,16,FALSE)</f>
        <v>JPY</v>
      </c>
      <c r="L1192" s="4" t="s">
        <v>3024</v>
      </c>
      <c r="M1192" s="132">
        <v>15</v>
      </c>
      <c r="P1192" s="4" t="str">
        <f>VLOOKUP(H1192,Stock_list!A:Y,25,FALSE)</f>
        <v>Yes</v>
      </c>
      <c r="Q1192" s="133"/>
      <c r="R1192" s="143"/>
      <c r="T1192" s="144"/>
      <c r="U1192" s="145" t="str">
        <f>VLOOKUP(H1192,Stock_list!A:N,14,FALSE)</f>
        <v>MAR 19</v>
      </c>
    </row>
    <row r="1193" spans="1:21" ht="16.5" customHeight="1">
      <c r="A1193" s="155" t="s">
        <v>2757</v>
      </c>
      <c r="B1193" s="114" t="str">
        <f>VLOOKUP(A1193,'Data pick slip'!B:F,5,FALSE)</f>
        <v>KLJ-MC400-00</v>
      </c>
      <c r="C1193" s="156">
        <v>109421</v>
      </c>
      <c r="F1193" s="157" t="s">
        <v>2773</v>
      </c>
      <c r="H1193" s="138">
        <v>239</v>
      </c>
      <c r="I1193" s="139" t="str">
        <f>VLOOKUP(H1193,Stock_list!A:R,18,FALSE)</f>
        <v>睿视科技</v>
      </c>
      <c r="J1193" s="139" t="str">
        <f>VLOOKUP(H1193,Stock_list!A:S,17,FALSE)</f>
        <v>C49SZX20190024JL</v>
      </c>
      <c r="K1193" s="51" t="str">
        <f>VLOOKUP(H1193,Stock_list!A:T,16,FALSE)</f>
        <v>JPY</v>
      </c>
      <c r="L1193" s="4"/>
      <c r="M1193" s="132">
        <v>2</v>
      </c>
      <c r="P1193" s="4" t="str">
        <f>VLOOKUP(H1193,Stock_list!A:Y,25,FALSE)</f>
        <v>Yes</v>
      </c>
      <c r="Q1193" s="133"/>
      <c r="R1193" s="143"/>
      <c r="S1193" s="123" t="s">
        <v>3003</v>
      </c>
      <c r="T1193" s="144" t="s">
        <v>3025</v>
      </c>
      <c r="U1193" s="145" t="str">
        <f>VLOOKUP(H1193,Stock_list!A:N,14,FALSE)</f>
        <v>MAR 19</v>
      </c>
    </row>
    <row r="1194" spans="1:21" ht="16.5" customHeight="1">
      <c r="A1194" s="159" t="s">
        <v>2755</v>
      </c>
      <c r="B1194" s="114" t="str">
        <f>VLOOKUP(A1194,'Data pick slip'!B:F,5,FALSE)</f>
        <v>KLJ-MC100-00</v>
      </c>
      <c r="E1194" s="160" t="e">
        <f>VLOOKUP(C1194,Stock_list!D:L,9,FALSE)</f>
        <v>#N/A</v>
      </c>
      <c r="F1194" s="157" t="s">
        <v>2860</v>
      </c>
      <c r="H1194" s="138">
        <v>123</v>
      </c>
      <c r="I1194" s="139" t="str">
        <f>VLOOKUP(H1194,Stock_list!A:R,18,FALSE)</f>
        <v>维众</v>
      </c>
      <c r="J1194" s="139" t="str">
        <f>VLOOKUP(H1194,Stock_list!A:S,17,FALSE)</f>
        <v>C49SZX20180133SX</v>
      </c>
      <c r="K1194" s="51" t="str">
        <f>VLOOKUP(H1194,Stock_list!A:T,16,FALSE)</f>
        <v>JPY</v>
      </c>
      <c r="L1194" s="4" t="s">
        <v>3026</v>
      </c>
      <c r="M1194" s="132">
        <v>60</v>
      </c>
      <c r="P1194" s="4" t="str">
        <f>VLOOKUP(H1194,Stock_list!A:Y,25,FALSE)</f>
        <v>Yes</v>
      </c>
      <c r="Q1194" s="143"/>
      <c r="T1194" s="144"/>
      <c r="U1194" s="145" t="str">
        <f>VLOOKUP(H1194,Stock_list!A:N,14,FALSE)</f>
        <v>DEC 18</v>
      </c>
    </row>
    <row r="1195" spans="1:21" ht="16.5" customHeight="1">
      <c r="A1195" s="155" t="s">
        <v>2756</v>
      </c>
      <c r="B1195" s="114" t="str">
        <f>VLOOKUP(A1195,'Data pick slip'!B:F,5,FALSE)</f>
        <v>KLJ-MC200-00</v>
      </c>
      <c r="E1195" s="160" t="e">
        <f>VLOOKUP(C1195,Stock_list!D:L,9,FALSE)</f>
        <v>#N/A</v>
      </c>
      <c r="F1195" s="157" t="s">
        <v>2860</v>
      </c>
      <c r="H1195" s="138">
        <v>123</v>
      </c>
      <c r="I1195" s="139" t="str">
        <f>VLOOKUP(H1195,Stock_list!A:R,18,FALSE)</f>
        <v>维众</v>
      </c>
      <c r="J1195" s="139" t="str">
        <f>VLOOKUP(H1195,Stock_list!A:S,17,FALSE)</f>
        <v>C49SZX20180133SX</v>
      </c>
      <c r="K1195" s="51" t="str">
        <f>VLOOKUP(H1195,Stock_list!A:T,16,FALSE)</f>
        <v>JPY</v>
      </c>
      <c r="L1195" s="4" t="s">
        <v>3026</v>
      </c>
      <c r="M1195" s="132">
        <v>10</v>
      </c>
      <c r="P1195" s="4" t="str">
        <f>VLOOKUP(H1195,Stock_list!A:Y,25,FALSE)</f>
        <v>Yes</v>
      </c>
      <c r="T1195" s="144"/>
      <c r="U1195" s="145" t="str">
        <f>VLOOKUP(H1195,Stock_list!A:N,14,FALSE)</f>
        <v>DEC 18</v>
      </c>
    </row>
    <row r="1196" spans="1:21" ht="16.5" customHeight="1">
      <c r="A1196" s="159" t="s">
        <v>2747</v>
      </c>
      <c r="B1196" s="114" t="str">
        <f>VLOOKUP(A1196,'Data pick slip'!B:F,5,FALSE)</f>
        <v>KHJ-MC200-00</v>
      </c>
      <c r="E1196" s="160" t="e">
        <f>VLOOKUP(C1196,Stock_list!D:L,9,FALSE)</f>
        <v>#N/A</v>
      </c>
      <c r="F1196" s="157" t="s">
        <v>2857</v>
      </c>
      <c r="I1196" s="139" t="s">
        <v>2853</v>
      </c>
      <c r="J1196" s="139" t="s">
        <v>3027</v>
      </c>
      <c r="K1196" s="51" t="s">
        <v>1246</v>
      </c>
      <c r="L1196" s="4" t="s">
        <v>3024</v>
      </c>
      <c r="M1196" s="140">
        <v>20</v>
      </c>
      <c r="P1196" s="4" t="s">
        <v>291</v>
      </c>
      <c r="Q1196" s="143"/>
      <c r="R1196" s="143"/>
      <c r="T1196" s="144"/>
      <c r="U1196" s="145" t="e">
        <f>VLOOKUP(H1196,Stock_list!A:N,14,FALSE)</f>
        <v>#N/A</v>
      </c>
    </row>
    <row r="1197" spans="1:21" ht="16.5" customHeight="1">
      <c r="A1197" s="155" t="s">
        <v>2749</v>
      </c>
      <c r="B1197" s="114" t="str">
        <f>VLOOKUP(A1197,'Data pick slip'!B:F,5,FALSE)</f>
        <v>KHJ-MC500-00</v>
      </c>
      <c r="E1197" s="160" t="e">
        <f>VLOOKUP(C1197,Stock_list!D:L,9,FALSE)</f>
        <v>#N/A</v>
      </c>
      <c r="F1197" s="157" t="s">
        <v>2857</v>
      </c>
      <c r="I1197" s="139" t="s">
        <v>2853</v>
      </c>
      <c r="J1197" s="139" t="s">
        <v>3027</v>
      </c>
      <c r="K1197" s="51" t="s">
        <v>1246</v>
      </c>
      <c r="L1197" s="4"/>
      <c r="M1197" s="140">
        <v>3</v>
      </c>
      <c r="P1197" s="4" t="s">
        <v>291</v>
      </c>
      <c r="Q1197" s="143"/>
      <c r="R1197" s="143"/>
      <c r="T1197" s="144"/>
      <c r="U1197" s="145" t="e">
        <f>VLOOKUP(H1197,Stock_list!A:N,14,FALSE)</f>
        <v>#N/A</v>
      </c>
    </row>
    <row r="1198" spans="1:21" s="142" customFormat="1" ht="16.5" customHeight="1">
      <c r="A1198" s="155" t="s">
        <v>2768</v>
      </c>
      <c r="B1198" s="114" t="str">
        <f>VLOOKUP(A1198,'Data pick slip'!B:F,5,FALSE)</f>
        <v>KHJ-MC100-00</v>
      </c>
      <c r="C1198" s="156">
        <v>109421</v>
      </c>
      <c r="D1198" s="206"/>
      <c r="E1198" s="160">
        <f>VLOOKUP(C1198,Stock_list!D:L,9,FALSE)</f>
        <v>43435</v>
      </c>
      <c r="F1198" s="157" t="s">
        <v>2861</v>
      </c>
      <c r="G1198" s="132"/>
      <c r="H1198" s="138">
        <v>131</v>
      </c>
      <c r="I1198" s="139" t="str">
        <f>VLOOKUP(H1198,Stock_list!A:R,18,FALSE)</f>
        <v>朗特</v>
      </c>
      <c r="J1198" s="139" t="str">
        <f>VLOOKUP(H1198,Stock_list!A:S,17,FALSE)</f>
        <v>C49SZX20180137DZ</v>
      </c>
      <c r="K1198" s="51" t="str">
        <f>VLOOKUP(H1198,Stock_list!A:T,16,FALSE)</f>
        <v>JPY</v>
      </c>
      <c r="L1198" s="4"/>
      <c r="M1198" s="132">
        <v>150</v>
      </c>
      <c r="N1198" s="130"/>
      <c r="O1198" s="132"/>
      <c r="P1198" s="4" t="str">
        <f>VLOOKUP(H1198,Stock_list!A:Y,25,FALSE)</f>
        <v>Yes</v>
      </c>
      <c r="Q1198" s="133"/>
      <c r="R1198" s="134"/>
      <c r="S1198" s="123"/>
      <c r="T1198" s="144"/>
      <c r="U1198" s="145" t="str">
        <f>VLOOKUP(H1198,Stock_list!A:N,14,FALSE)</f>
        <v>DEC 18</v>
      </c>
    </row>
    <row r="1199" spans="1:21" s="142" customFormat="1" ht="16.5" customHeight="1">
      <c r="A1199" s="159" t="s">
        <v>2747</v>
      </c>
      <c r="B1199" s="114" t="str">
        <f>VLOOKUP(A1199,'Data pick slip'!B:F,5,FALSE)</f>
        <v>KHJ-MC200-00</v>
      </c>
      <c r="C1199" s="156">
        <v>109421</v>
      </c>
      <c r="D1199" s="206"/>
      <c r="E1199" s="160">
        <f>VLOOKUP(C1199,Stock_list!D:L,9,FALSE)</f>
        <v>43435</v>
      </c>
      <c r="F1199" s="157" t="s">
        <v>2861</v>
      </c>
      <c r="G1199" s="132"/>
      <c r="H1199" s="138">
        <v>131</v>
      </c>
      <c r="I1199" s="139" t="str">
        <f>VLOOKUP(H1199,Stock_list!A:R,18,FALSE)</f>
        <v>朗特</v>
      </c>
      <c r="J1199" s="139" t="str">
        <f>VLOOKUP(H1199,Stock_list!A:S,17,FALSE)</f>
        <v>C49SZX20180137DZ</v>
      </c>
      <c r="K1199" s="51" t="str">
        <f>VLOOKUP(H1199,Stock_list!A:T,16,FALSE)</f>
        <v>JPY</v>
      </c>
      <c r="L1199" s="4" t="s">
        <v>3024</v>
      </c>
      <c r="M1199" s="132">
        <v>35</v>
      </c>
      <c r="N1199" s="130"/>
      <c r="O1199" s="132"/>
      <c r="P1199" s="4" t="str">
        <f>VLOOKUP(H1199,Stock_list!A:Y,25,FALSE)</f>
        <v>Yes</v>
      </c>
      <c r="Q1199" s="133"/>
      <c r="R1199" s="134"/>
      <c r="S1199" s="123"/>
      <c r="T1199" s="144"/>
      <c r="U1199" s="145" t="str">
        <f>VLOOKUP(H1199,Stock_list!A:N,14,FALSE)</f>
        <v>DEC 18</v>
      </c>
    </row>
    <row r="1200" spans="1:21" s="142" customFormat="1" ht="16.5" customHeight="1">
      <c r="A1200" s="155" t="s">
        <v>2748</v>
      </c>
      <c r="B1200" s="114" t="str">
        <f>VLOOKUP(A1200,'Data pick slip'!B:F,5,FALSE)</f>
        <v>KHJ-MC400-00</v>
      </c>
      <c r="C1200" s="156">
        <v>109295</v>
      </c>
      <c r="D1200" s="206"/>
      <c r="E1200" s="160">
        <f>VLOOKUP(C1200,Stock_list!D:L,9,FALSE)</f>
        <v>43418</v>
      </c>
      <c r="F1200" s="157" t="s">
        <v>2861</v>
      </c>
      <c r="G1200" s="132"/>
      <c r="H1200" s="138">
        <v>131</v>
      </c>
      <c r="I1200" s="139" t="str">
        <f>VLOOKUP(H1200,Stock_list!A:R,18,FALSE)</f>
        <v>朗特</v>
      </c>
      <c r="J1200" s="139" t="str">
        <f>VLOOKUP(H1200,Stock_list!A:S,17,FALSE)</f>
        <v>C49SZX20180137DZ</v>
      </c>
      <c r="K1200" s="51" t="str">
        <f>VLOOKUP(H1200,Stock_list!A:T,16,FALSE)</f>
        <v>JPY</v>
      </c>
      <c r="L1200" s="4"/>
      <c r="M1200" s="132">
        <v>16</v>
      </c>
      <c r="N1200" s="130"/>
      <c r="O1200" s="132"/>
      <c r="P1200" s="4" t="str">
        <f>VLOOKUP(H1200,Stock_list!A:Y,25,FALSE)</f>
        <v>Yes</v>
      </c>
      <c r="Q1200" s="133"/>
      <c r="R1200" s="134"/>
      <c r="S1200" s="123"/>
      <c r="T1200" s="144"/>
      <c r="U1200" s="145" t="str">
        <f>VLOOKUP(H1200,Stock_list!A:N,14,FALSE)</f>
        <v>DEC 18</v>
      </c>
    </row>
    <row r="1201" spans="1:21" s="142" customFormat="1" ht="16.5" customHeight="1">
      <c r="A1201" s="155" t="s">
        <v>2749</v>
      </c>
      <c r="B1201" s="114" t="str">
        <f>VLOOKUP(A1201,'Data pick slip'!B:F,5,FALSE)</f>
        <v>KHJ-MC500-00</v>
      </c>
      <c r="C1201" s="156">
        <v>109295</v>
      </c>
      <c r="D1201" s="206"/>
      <c r="E1201" s="160">
        <f>VLOOKUP(C1201,Stock_list!D:L,9,FALSE)</f>
        <v>43418</v>
      </c>
      <c r="F1201" s="157" t="s">
        <v>2861</v>
      </c>
      <c r="G1201" s="132"/>
      <c r="H1201" s="138">
        <v>131</v>
      </c>
      <c r="I1201" s="139" t="str">
        <f>VLOOKUP(H1201,Stock_list!A:R,18,FALSE)</f>
        <v>朗特</v>
      </c>
      <c r="J1201" s="139" t="str">
        <f>VLOOKUP(H1201,Stock_list!A:S,17,FALSE)</f>
        <v>C49SZX20180137DZ</v>
      </c>
      <c r="K1201" s="51" t="str">
        <f>VLOOKUP(H1201,Stock_list!A:T,16,FALSE)</f>
        <v>JPY</v>
      </c>
      <c r="L1201" s="4"/>
      <c r="M1201" s="132">
        <v>3</v>
      </c>
      <c r="N1201" s="130"/>
      <c r="O1201" s="132"/>
      <c r="P1201" s="4" t="str">
        <f>VLOOKUP(H1201,Stock_list!A:Y,25,FALSE)</f>
        <v>Yes</v>
      </c>
      <c r="Q1201" s="133"/>
      <c r="R1201" s="134"/>
      <c r="S1201" s="123"/>
      <c r="T1201" s="144"/>
      <c r="U1201" s="145" t="str">
        <f>VLOOKUP(H1201,Stock_list!A:N,14,FALSE)</f>
        <v>DEC 18</v>
      </c>
    </row>
    <row r="1202" spans="1:21" s="142" customFormat="1" ht="16.5" customHeight="1">
      <c r="A1202" s="155" t="s">
        <v>2750</v>
      </c>
      <c r="B1202" s="114" t="str">
        <f>VLOOKUP(A1202,'Data pick slip'!B:F,5,FALSE)</f>
        <v>KHJ-MC600-00</v>
      </c>
      <c r="C1202" s="156">
        <v>109394</v>
      </c>
      <c r="D1202" s="206"/>
      <c r="E1202" s="160" t="e">
        <f>VLOOKUP(C1202,Stock_list!D:L,9,FALSE)</f>
        <v>#N/A</v>
      </c>
      <c r="F1202" s="157" t="s">
        <v>2861</v>
      </c>
      <c r="G1202" s="132"/>
      <c r="H1202" s="138">
        <v>131</v>
      </c>
      <c r="I1202" s="139" t="str">
        <f>VLOOKUP(H1202,Stock_list!A:R,18,FALSE)</f>
        <v>朗特</v>
      </c>
      <c r="J1202" s="139" t="str">
        <f>VLOOKUP(H1202,Stock_list!A:S,17,FALSE)</f>
        <v>C49SZX20180137DZ</v>
      </c>
      <c r="K1202" s="51" t="str">
        <f>VLOOKUP(H1202,Stock_list!A:T,16,FALSE)</f>
        <v>JPY</v>
      </c>
      <c r="L1202" s="4"/>
      <c r="M1202" s="132">
        <v>1</v>
      </c>
      <c r="N1202" s="130"/>
      <c r="O1202" s="132"/>
      <c r="P1202" s="4" t="str">
        <f>VLOOKUP(H1202,Stock_list!A:Y,25,FALSE)</f>
        <v>Yes</v>
      </c>
      <c r="Q1202" s="133"/>
      <c r="R1202" s="134"/>
      <c r="S1202" s="123"/>
      <c r="T1202" s="144"/>
      <c r="U1202" s="145" t="str">
        <f>VLOOKUP(H1202,Stock_list!A:N,14,FALSE)</f>
        <v>DEC 18</v>
      </c>
    </row>
    <row r="1203" spans="1:21" s="142" customFormat="1" ht="16.5" customHeight="1">
      <c r="A1203" s="127" t="s">
        <v>2760</v>
      </c>
      <c r="B1203" s="114" t="str">
        <f>VLOOKUP(A1203,'Data pick slip'!B:F,5,FALSE)</f>
        <v>KLJ-MC700-00</v>
      </c>
      <c r="C1203" s="156">
        <v>109394</v>
      </c>
      <c r="D1203" s="206"/>
      <c r="E1203" s="160" t="e">
        <f>VLOOKUP(C1203,Stock_list!D:L,9,FALSE)</f>
        <v>#N/A</v>
      </c>
      <c r="F1203" s="157" t="s">
        <v>2773</v>
      </c>
      <c r="G1203" s="132"/>
      <c r="H1203" s="138">
        <v>131</v>
      </c>
      <c r="I1203" s="139" t="str">
        <f>VLOOKUP(H1203,Stock_list!A:R,18,FALSE)</f>
        <v>朗特</v>
      </c>
      <c r="J1203" s="139" t="str">
        <f>VLOOKUP(H1203,Stock_list!A:S,17,FALSE)</f>
        <v>C49SZX20180137DZ</v>
      </c>
      <c r="K1203" s="51" t="str">
        <f>VLOOKUP(H1203,Stock_list!A:T,16,FALSE)</f>
        <v>JPY</v>
      </c>
      <c r="L1203" s="4"/>
      <c r="M1203" s="132">
        <v>1</v>
      </c>
      <c r="N1203" s="130"/>
      <c r="O1203" s="132"/>
      <c r="P1203" s="4" t="str">
        <f>VLOOKUP(H1203,Stock_list!A:Y,25,FALSE)</f>
        <v>Yes</v>
      </c>
      <c r="Q1203" s="133"/>
      <c r="R1203" s="134"/>
      <c r="S1203" s="123" t="s">
        <v>3003</v>
      </c>
      <c r="T1203" s="144" t="s">
        <v>3023</v>
      </c>
      <c r="U1203" s="145" t="str">
        <f>VLOOKUP(H1203,Stock_list!A:N,14,FALSE)</f>
        <v>DEC 18</v>
      </c>
    </row>
    <row r="1204" spans="1:21" s="142" customFormat="1" ht="16.5" customHeight="1">
      <c r="A1204" s="155" t="s">
        <v>2768</v>
      </c>
      <c r="B1204" s="114" t="str">
        <f>VLOOKUP(A1204,'Data pick slip'!B:F,5,FALSE)</f>
        <v>KHJ-MC100-00</v>
      </c>
      <c r="C1204" s="156">
        <v>109352</v>
      </c>
      <c r="D1204" s="206"/>
      <c r="E1204" s="160">
        <f>VLOOKUP(C1204,Stock_list!D:L,9,FALSE)</f>
        <v>43358</v>
      </c>
      <c r="F1204" s="157" t="s">
        <v>2860</v>
      </c>
      <c r="G1204" s="132"/>
      <c r="H1204" s="138">
        <v>149</v>
      </c>
      <c r="I1204" s="139" t="str">
        <f>VLOOKUP(H1204,Stock_list!A:R,18,FALSE)</f>
        <v>德兰明海</v>
      </c>
      <c r="J1204" s="139" t="str">
        <f>VLOOKUP(H1204,Stock_list!A:S,17,FALSE)</f>
        <v>C49SZX20180158ZX</v>
      </c>
      <c r="K1204" s="51" t="str">
        <f>VLOOKUP(H1204,Stock_list!A:T,16,FALSE)</f>
        <v>JPY</v>
      </c>
      <c r="L1204" s="4"/>
      <c r="M1204" s="132">
        <v>60</v>
      </c>
      <c r="N1204" s="130"/>
      <c r="O1204" s="132"/>
      <c r="P1204" s="4" t="str">
        <f>VLOOKUP(H1204,Stock_list!A:Y,25,FALSE)</f>
        <v>Yes</v>
      </c>
      <c r="R1204" s="143"/>
      <c r="S1204" s="123"/>
      <c r="T1204" s="144"/>
      <c r="U1204" s="145" t="str">
        <f>VLOOKUP(H1204,Stock_list!A:N,14,FALSE)</f>
        <v>NOV 18</v>
      </c>
    </row>
    <row r="1205" spans="1:21" s="142" customFormat="1" ht="16.5" customHeight="1">
      <c r="A1205" s="159" t="s">
        <v>2747</v>
      </c>
      <c r="B1205" s="114" t="str">
        <f>VLOOKUP(A1205,'Data pick slip'!B:F,5,FALSE)</f>
        <v>KHJ-MC200-00</v>
      </c>
      <c r="C1205" s="156">
        <v>109352</v>
      </c>
      <c r="D1205" s="206"/>
      <c r="E1205" s="160">
        <f>VLOOKUP(C1205,Stock_list!D:L,9,FALSE)</f>
        <v>43358</v>
      </c>
      <c r="F1205" s="157" t="s">
        <v>2860</v>
      </c>
      <c r="G1205" s="132"/>
      <c r="H1205" s="138">
        <v>149</v>
      </c>
      <c r="I1205" s="139" t="str">
        <f>VLOOKUP(H1205,Stock_list!A:R,18,FALSE)</f>
        <v>德兰明海</v>
      </c>
      <c r="J1205" s="139" t="str">
        <f>VLOOKUP(H1205,Stock_list!A:S,17,FALSE)</f>
        <v>C49SZX20180158ZX</v>
      </c>
      <c r="K1205" s="51" t="str">
        <f>VLOOKUP(H1205,Stock_list!A:T,16,FALSE)</f>
        <v>JPY</v>
      </c>
      <c r="L1205" s="4" t="s">
        <v>3024</v>
      </c>
      <c r="M1205" s="132">
        <v>18</v>
      </c>
      <c r="N1205" s="130"/>
      <c r="O1205" s="132"/>
      <c r="P1205" s="4" t="str">
        <f>VLOOKUP(H1205,Stock_list!A:Y,25,FALSE)</f>
        <v>Yes</v>
      </c>
      <c r="R1205" s="143"/>
      <c r="S1205" s="123"/>
      <c r="T1205" s="144"/>
      <c r="U1205" s="145" t="str">
        <f>VLOOKUP(H1205,Stock_list!A:N,14,FALSE)</f>
        <v>NOV 18</v>
      </c>
    </row>
    <row r="1206" spans="1:21" s="142" customFormat="1" ht="16.5" customHeight="1">
      <c r="A1206" s="155" t="s">
        <v>2748</v>
      </c>
      <c r="B1206" s="114" t="str">
        <f>VLOOKUP(A1206,'Data pick slip'!B:F,5,FALSE)</f>
        <v>KHJ-MC400-00</v>
      </c>
      <c r="C1206" s="156">
        <v>109352</v>
      </c>
      <c r="D1206" s="206"/>
      <c r="E1206" s="160">
        <f>VLOOKUP(C1206,Stock_list!D:L,9,FALSE)</f>
        <v>43358</v>
      </c>
      <c r="F1206" s="157" t="s">
        <v>2860</v>
      </c>
      <c r="G1206" s="132"/>
      <c r="H1206" s="138">
        <v>149</v>
      </c>
      <c r="I1206" s="139" t="str">
        <f>VLOOKUP(H1206,Stock_list!A:R,18,FALSE)</f>
        <v>德兰明海</v>
      </c>
      <c r="J1206" s="139" t="str">
        <f>VLOOKUP(H1206,Stock_list!A:S,17,FALSE)</f>
        <v>C49SZX20180158ZX</v>
      </c>
      <c r="K1206" s="51" t="str">
        <f>VLOOKUP(H1206,Stock_list!A:T,16,FALSE)</f>
        <v>JPY</v>
      </c>
      <c r="L1206" s="4"/>
      <c r="M1206" s="132">
        <v>2</v>
      </c>
      <c r="N1206" s="130"/>
      <c r="O1206" s="132"/>
      <c r="P1206" s="4" t="str">
        <f>VLOOKUP(H1206,Stock_list!A:Y,25,FALSE)</f>
        <v>Yes</v>
      </c>
      <c r="R1206" s="143"/>
      <c r="S1206" s="123"/>
      <c r="T1206" s="144"/>
      <c r="U1206" s="145" t="str">
        <f>VLOOKUP(H1206,Stock_list!A:N,14,FALSE)</f>
        <v>NOV 18</v>
      </c>
    </row>
    <row r="1207" spans="1:21" s="142" customFormat="1" ht="16.5" customHeight="1">
      <c r="A1207" s="155" t="s">
        <v>2768</v>
      </c>
      <c r="B1207" s="114" t="str">
        <f>VLOOKUP(A1207,'Data pick slip'!B:F,5,FALSE)</f>
        <v>KHJ-MC100-00</v>
      </c>
      <c r="C1207" s="156">
        <v>109247</v>
      </c>
      <c r="D1207" s="206"/>
      <c r="E1207" s="160">
        <f>VLOOKUP(C1207,Stock_list!D:L,9,FALSE)</f>
        <v>43527</v>
      </c>
      <c r="F1207" s="157" t="s">
        <v>2861</v>
      </c>
      <c r="G1207" s="132"/>
      <c r="H1207" s="138">
        <v>150</v>
      </c>
      <c r="I1207" s="139" t="str">
        <f>VLOOKUP(H1207,Stock_list!A:R,18,FALSE)</f>
        <v>可祁</v>
      </c>
      <c r="J1207" s="139" t="str">
        <f>VLOOKUP(H1207,Stock_list!A:S,17,FALSE)</f>
        <v>C49SZX20180156SX</v>
      </c>
      <c r="K1207" s="51" t="str">
        <f>VLOOKUP(H1207,Stock_list!A:T,16,FALSE)</f>
        <v>JPY</v>
      </c>
      <c r="L1207" s="4">
        <v>43578</v>
      </c>
      <c r="M1207" s="132">
        <v>70</v>
      </c>
      <c r="N1207" s="130"/>
      <c r="O1207" s="132"/>
      <c r="P1207" s="4" t="str">
        <f>VLOOKUP(H1207,Stock_list!A:Y,25,FALSE)</f>
        <v>Yes</v>
      </c>
      <c r="Q1207" s="133"/>
      <c r="R1207" s="143"/>
      <c r="S1207" s="123"/>
      <c r="T1207" s="144"/>
      <c r="U1207" s="145" t="str">
        <f>VLOOKUP(H1207,Stock_list!A:N,14,FALSE)</f>
        <v>APR 19</v>
      </c>
    </row>
    <row r="1208" spans="1:21" s="142" customFormat="1" ht="16.5" customHeight="1">
      <c r="A1208" s="159" t="s">
        <v>2747</v>
      </c>
      <c r="B1208" s="114" t="str">
        <f>VLOOKUP(A1208,'Data pick slip'!B:F,5,FALSE)</f>
        <v>KHJ-MC200-00</v>
      </c>
      <c r="C1208" s="156">
        <v>109247</v>
      </c>
      <c r="D1208" s="206"/>
      <c r="E1208" s="160">
        <f>VLOOKUP(C1208,Stock_list!D:L,9,FALSE)</f>
        <v>43527</v>
      </c>
      <c r="F1208" s="157" t="s">
        <v>2861</v>
      </c>
      <c r="G1208" s="132"/>
      <c r="H1208" s="138">
        <v>150</v>
      </c>
      <c r="I1208" s="139" t="str">
        <f>VLOOKUP(H1208,Stock_list!A:R,18,FALSE)</f>
        <v>可祁</v>
      </c>
      <c r="J1208" s="139" t="str">
        <f>VLOOKUP(H1208,Stock_list!A:S,17,FALSE)</f>
        <v>C49SZX20180156SX</v>
      </c>
      <c r="K1208" s="51" t="str">
        <f>VLOOKUP(H1208,Stock_list!A:T,16,FALSE)</f>
        <v>JPY</v>
      </c>
      <c r="L1208" s="4">
        <v>43578</v>
      </c>
      <c r="M1208" s="132">
        <v>4</v>
      </c>
      <c r="N1208" s="130"/>
      <c r="O1208" s="132"/>
      <c r="P1208" s="4" t="str">
        <f>VLOOKUP(H1208,Stock_list!A:Y,25,FALSE)</f>
        <v>Yes</v>
      </c>
      <c r="Q1208" s="133"/>
      <c r="R1208" s="143"/>
      <c r="S1208" s="123"/>
      <c r="T1208" s="144"/>
      <c r="U1208" s="145" t="str">
        <f>VLOOKUP(H1208,Stock_list!A:N,14,FALSE)</f>
        <v>APR 19</v>
      </c>
    </row>
    <row r="1209" spans="1:21" s="142" customFormat="1" ht="16.5" customHeight="1">
      <c r="A1209" s="155" t="s">
        <v>2748</v>
      </c>
      <c r="B1209" s="114" t="str">
        <f>VLOOKUP(A1209,'Data pick slip'!B:F,5,FALSE)</f>
        <v>KHJ-MC400-00</v>
      </c>
      <c r="C1209" s="156">
        <v>109319</v>
      </c>
      <c r="D1209" s="206"/>
      <c r="E1209" s="160">
        <f>VLOOKUP(C1209,Stock_list!D:L,9,FALSE)</f>
        <v>43537</v>
      </c>
      <c r="F1209" s="157" t="s">
        <v>2861</v>
      </c>
      <c r="G1209" s="132"/>
      <c r="H1209" s="138">
        <v>150</v>
      </c>
      <c r="I1209" s="139" t="str">
        <f>VLOOKUP(H1209,Stock_list!A:R,18,FALSE)</f>
        <v>可祁</v>
      </c>
      <c r="J1209" s="139" t="str">
        <f>VLOOKUP(H1209,Stock_list!A:S,17,FALSE)</f>
        <v>C49SZX20180156SX</v>
      </c>
      <c r="K1209" s="51" t="str">
        <f>VLOOKUP(H1209,Stock_list!A:T,16,FALSE)</f>
        <v>JPY</v>
      </c>
      <c r="L1209" s="4">
        <v>43578</v>
      </c>
      <c r="M1209" s="132">
        <v>4</v>
      </c>
      <c r="N1209" s="130"/>
      <c r="O1209" s="132"/>
      <c r="P1209" s="4" t="str">
        <f>VLOOKUP(H1209,Stock_list!A:Y,25,FALSE)</f>
        <v>Yes</v>
      </c>
      <c r="Q1209" s="133"/>
      <c r="R1209" s="143"/>
      <c r="S1209" s="123"/>
      <c r="T1209" s="144"/>
      <c r="U1209" s="145" t="str">
        <f>VLOOKUP(H1209,Stock_list!A:N,14,FALSE)</f>
        <v>APR 19</v>
      </c>
    </row>
    <row r="1210" spans="1:21" s="142" customFormat="1" ht="16.5" customHeight="1">
      <c r="A1210" s="155" t="s">
        <v>2748</v>
      </c>
      <c r="B1210" s="114" t="str">
        <f>VLOOKUP(A1210,'Data pick slip'!B:F,5,FALSE)</f>
        <v>KHJ-MC400-00</v>
      </c>
      <c r="C1210" s="156"/>
      <c r="D1210" s="206"/>
      <c r="E1210" s="160" t="e">
        <f>VLOOKUP(C1210,Stock_list!D:L,9,FALSE)</f>
        <v>#N/A</v>
      </c>
      <c r="F1210" s="157" t="s">
        <v>2857</v>
      </c>
      <c r="G1210" s="132"/>
      <c r="H1210" s="138"/>
      <c r="I1210" s="139" t="s">
        <v>2853</v>
      </c>
      <c r="J1210" s="139" t="s">
        <v>3028</v>
      </c>
      <c r="K1210" s="51" t="s">
        <v>1246</v>
      </c>
      <c r="L1210" s="4" t="s">
        <v>3014</v>
      </c>
      <c r="M1210" s="140">
        <v>1</v>
      </c>
      <c r="N1210" s="132"/>
      <c r="O1210" s="132"/>
      <c r="P1210" s="4" t="s">
        <v>291</v>
      </c>
      <c r="Q1210" s="143"/>
      <c r="R1210" s="143"/>
      <c r="S1210" s="123"/>
      <c r="T1210" s="144"/>
      <c r="U1210" s="145" t="e">
        <f>VLOOKUP(H1210,Stock_list!A:N,14,FALSE)</f>
        <v>#N/A</v>
      </c>
    </row>
    <row r="1211" spans="1:21" s="142" customFormat="1" ht="16.5" customHeight="1">
      <c r="A1211" s="155" t="s">
        <v>2768</v>
      </c>
      <c r="B1211" s="114" t="str">
        <f>VLOOKUP(A1211,'Data pick slip'!B:F,5,FALSE)</f>
        <v>KHJ-MC100-00</v>
      </c>
      <c r="C1211" s="156"/>
      <c r="D1211" s="206"/>
      <c r="E1211" s="160" t="e">
        <f>VLOOKUP(C1211,Stock_list!D:L,9,FALSE)</f>
        <v>#N/A</v>
      </c>
      <c r="F1211" s="157" t="s">
        <v>2773</v>
      </c>
      <c r="G1211" s="132"/>
      <c r="H1211" s="138">
        <v>7</v>
      </c>
      <c r="I1211" s="139" t="str">
        <f>VLOOKUP(H1211,Stock_list!A:R,18,FALSE)</f>
        <v>祥弘瑞</v>
      </c>
      <c r="J1211" s="139" t="str">
        <f>VLOOKUP(H1211,Stock_list!A:S,17,FALSE)</f>
        <v>C49SZX201800038SS</v>
      </c>
      <c r="K1211" s="51" t="str">
        <f>VLOOKUP(H1211,Stock_list!A:T,16,FALSE)</f>
        <v>JPY</v>
      </c>
      <c r="L1211" s="4"/>
      <c r="M1211" s="140"/>
      <c r="N1211" s="132"/>
      <c r="O1211" s="132">
        <f>25-25</f>
        <v>0</v>
      </c>
      <c r="P1211" s="4" t="str">
        <f>VLOOKUP(H1211,Stock_list!A:Y,25,FALSE)</f>
        <v>Yes</v>
      </c>
      <c r="Q1211" s="143"/>
      <c r="R1211" s="143"/>
      <c r="S1211" s="123"/>
      <c r="T1211" s="144"/>
      <c r="U1211" s="145" t="str">
        <f>VLOOKUP(H1211,Stock_list!A:N,14,FALSE)</f>
        <v>DEC 18</v>
      </c>
    </row>
    <row r="1212" spans="1:21" s="142" customFormat="1" ht="16.5" customHeight="1">
      <c r="A1212" s="159" t="s">
        <v>2747</v>
      </c>
      <c r="B1212" s="114" t="str">
        <f>VLOOKUP(A1212,'Data pick slip'!B:F,5,FALSE)</f>
        <v>KHJ-MC200-00</v>
      </c>
      <c r="C1212" s="156"/>
      <c r="D1212" s="206"/>
      <c r="E1212" s="160" t="e">
        <f>VLOOKUP(C1212,Stock_list!D:L,9,FALSE)</f>
        <v>#N/A</v>
      </c>
      <c r="F1212" s="157" t="s">
        <v>2773</v>
      </c>
      <c r="G1212" s="132"/>
      <c r="H1212" s="138">
        <v>7</v>
      </c>
      <c r="I1212" s="139" t="str">
        <f>VLOOKUP(H1212,Stock_list!A:R,18,FALSE)</f>
        <v>祥弘瑞</v>
      </c>
      <c r="J1212" s="139" t="str">
        <f>VLOOKUP(H1212,Stock_list!A:S,17,FALSE)</f>
        <v>C49SZX201800038SS</v>
      </c>
      <c r="K1212" s="51" t="str">
        <f>VLOOKUP(H1212,Stock_list!A:T,16,FALSE)</f>
        <v>JPY</v>
      </c>
      <c r="L1212" s="290" t="s">
        <v>3008</v>
      </c>
      <c r="M1212" s="140"/>
      <c r="N1212" s="132"/>
      <c r="O1212" s="132">
        <f>3-3</f>
        <v>0</v>
      </c>
      <c r="P1212" s="4" t="str">
        <f>VLOOKUP(H1212,Stock_list!A:Y,25,FALSE)</f>
        <v>Yes</v>
      </c>
      <c r="Q1212" s="143"/>
      <c r="R1212" s="143"/>
      <c r="S1212" s="123"/>
      <c r="T1212" s="144"/>
      <c r="U1212" s="145" t="str">
        <f>VLOOKUP(H1212,Stock_list!A:N,14,FALSE)</f>
        <v>DEC 18</v>
      </c>
    </row>
    <row r="1213" spans="1:21" s="142" customFormat="1" ht="16.5" customHeight="1">
      <c r="A1213" s="155" t="s">
        <v>2768</v>
      </c>
      <c r="B1213" s="114" t="str">
        <f>VLOOKUP(A1213,'Data pick slip'!B:F,5,FALSE)</f>
        <v>KHJ-MC100-00</v>
      </c>
      <c r="C1213" s="156"/>
      <c r="D1213" s="206"/>
      <c r="E1213" s="160" t="e">
        <f>VLOOKUP(C1213,Stock_list!D:L,9,FALSE)</f>
        <v>#N/A</v>
      </c>
      <c r="F1213" s="157" t="s">
        <v>2773</v>
      </c>
      <c r="G1213" s="132"/>
      <c r="H1213" s="138">
        <v>50</v>
      </c>
      <c r="I1213" s="139" t="str">
        <f>VLOOKUP(H1213,Stock_list!A:R,18,FALSE)</f>
        <v>朗特</v>
      </c>
      <c r="J1213" s="139" t="str">
        <f>VLOOKUP(H1213,Stock_list!A:S,17,FALSE)</f>
        <v>C49SZX20180078DZ</v>
      </c>
      <c r="K1213" s="51" t="str">
        <f>VLOOKUP(H1213,Stock_list!A:T,16,FALSE)</f>
        <v>JPY</v>
      </c>
      <c r="L1213" s="4"/>
      <c r="M1213" s="140"/>
      <c r="N1213" s="132"/>
      <c r="O1213" s="132">
        <f>80-80</f>
        <v>0</v>
      </c>
      <c r="P1213" s="4" t="str">
        <f>VLOOKUP(H1213,Stock_list!A:Y,25,FALSE)</f>
        <v>Yes</v>
      </c>
      <c r="Q1213" s="143"/>
      <c r="R1213" s="134"/>
      <c r="S1213" s="123"/>
      <c r="T1213" s="144"/>
      <c r="U1213" s="145" t="str">
        <f>VLOOKUP(H1213,Stock_list!A:N,14,FALSE)</f>
        <v>DEC 18</v>
      </c>
    </row>
    <row r="1214" spans="1:21" s="142" customFormat="1" ht="16.5" customHeight="1">
      <c r="A1214" s="159" t="s">
        <v>2747</v>
      </c>
      <c r="B1214" s="114" t="str">
        <f>VLOOKUP(A1214,'Data pick slip'!B:F,5,FALSE)</f>
        <v>KHJ-MC200-00</v>
      </c>
      <c r="C1214" s="156"/>
      <c r="D1214" s="206"/>
      <c r="E1214" s="160" t="e">
        <f>VLOOKUP(C1214,Stock_list!D:L,9,FALSE)</f>
        <v>#N/A</v>
      </c>
      <c r="F1214" s="157" t="s">
        <v>2861</v>
      </c>
      <c r="G1214" s="132"/>
      <c r="H1214" s="138">
        <v>50</v>
      </c>
      <c r="I1214" s="139" t="str">
        <f>VLOOKUP(H1214,Stock_list!A:R,18,FALSE)</f>
        <v>朗特</v>
      </c>
      <c r="J1214" s="139" t="str">
        <f>VLOOKUP(H1214,Stock_list!A:S,17,FALSE)</f>
        <v>C49SZX20180078DZ</v>
      </c>
      <c r="K1214" s="51" t="str">
        <f>VLOOKUP(H1214,Stock_list!A:T,16,FALSE)</f>
        <v>JPY</v>
      </c>
      <c r="L1214" s="4"/>
      <c r="M1214" s="140"/>
      <c r="N1214" s="132"/>
      <c r="O1214" s="132">
        <f>15-15</f>
        <v>0</v>
      </c>
      <c r="P1214" s="4" t="str">
        <f>VLOOKUP(H1214,Stock_list!A:Y,25,FALSE)</f>
        <v>Yes</v>
      </c>
      <c r="Q1214" s="143"/>
      <c r="R1214" s="134"/>
      <c r="S1214" s="123"/>
      <c r="T1214" s="144"/>
      <c r="U1214" s="145" t="str">
        <f>VLOOKUP(H1214,Stock_list!A:N,14,FALSE)</f>
        <v>DEC 18</v>
      </c>
    </row>
    <row r="1215" spans="1:21" s="142" customFormat="1" ht="16.5" customHeight="1">
      <c r="A1215" s="159" t="s">
        <v>2757</v>
      </c>
      <c r="B1215" s="114" t="str">
        <f>VLOOKUP(A1215,'Data pick slip'!B:F,5,FALSE)</f>
        <v>KLJ-MC400-00</v>
      </c>
      <c r="C1215" s="156"/>
      <c r="D1215" s="206"/>
      <c r="E1215" s="160" t="e">
        <f>VLOOKUP(C1215,Stock_list!D:L,9,FALSE)</f>
        <v>#N/A</v>
      </c>
      <c r="F1215" s="157" t="s">
        <v>2861</v>
      </c>
      <c r="G1215" s="132"/>
      <c r="H1215" s="138">
        <v>50</v>
      </c>
      <c r="I1215" s="139" t="str">
        <f>VLOOKUP(H1215,Stock_list!A:R,18,FALSE)</f>
        <v>朗特</v>
      </c>
      <c r="J1215" s="139" t="str">
        <f>VLOOKUP(H1215,Stock_list!A:S,17,FALSE)</f>
        <v>C49SZX20180078DZ</v>
      </c>
      <c r="K1215" s="51" t="str">
        <f>VLOOKUP(H1215,Stock_list!A:T,16,FALSE)</f>
        <v>JPY</v>
      </c>
      <c r="L1215" s="4"/>
      <c r="M1215" s="140"/>
      <c r="N1215" s="132"/>
      <c r="O1215" s="132">
        <f>4-4</f>
        <v>0</v>
      </c>
      <c r="P1215" s="4" t="str">
        <f>VLOOKUP(H1215,Stock_list!A:Y,25,FALSE)</f>
        <v>Yes</v>
      </c>
      <c r="Q1215" s="143"/>
      <c r="R1215" s="134"/>
      <c r="S1215" s="123"/>
      <c r="T1215" s="144"/>
      <c r="U1215" s="145" t="str">
        <f>VLOOKUP(H1215,Stock_list!A:N,14,FALSE)</f>
        <v>DEC 18</v>
      </c>
    </row>
    <row r="1216" spans="1:21" s="142" customFormat="1" ht="16.5" customHeight="1">
      <c r="A1216" s="159" t="s">
        <v>2749</v>
      </c>
      <c r="B1216" s="114" t="str">
        <f>VLOOKUP(A1216,'Data pick slip'!B:F,5,FALSE)</f>
        <v>KHJ-MC500-00</v>
      </c>
      <c r="C1216" s="156"/>
      <c r="D1216" s="206"/>
      <c r="E1216" s="160" t="e">
        <f>VLOOKUP(C1216,Stock_list!D:L,9,FALSE)</f>
        <v>#N/A</v>
      </c>
      <c r="F1216" s="157" t="s">
        <v>2861</v>
      </c>
      <c r="G1216" s="132"/>
      <c r="H1216" s="138">
        <v>50</v>
      </c>
      <c r="I1216" s="139" t="str">
        <f>VLOOKUP(H1216,Stock_list!A:R,18,FALSE)</f>
        <v>朗特</v>
      </c>
      <c r="J1216" s="139" t="str">
        <f>VLOOKUP(H1216,Stock_list!A:S,17,FALSE)</f>
        <v>C49SZX20180078DZ</v>
      </c>
      <c r="K1216" s="51" t="str">
        <f>VLOOKUP(H1216,Stock_list!A:T,16,FALSE)</f>
        <v>JPY</v>
      </c>
      <c r="L1216" s="4"/>
      <c r="M1216" s="140"/>
      <c r="N1216" s="132"/>
      <c r="O1216" s="132">
        <f>1-1</f>
        <v>0</v>
      </c>
      <c r="P1216" s="4" t="str">
        <f>VLOOKUP(H1216,Stock_list!A:Y,25,FALSE)</f>
        <v>Yes</v>
      </c>
      <c r="Q1216" s="143"/>
      <c r="R1216" s="134"/>
      <c r="S1216" s="123"/>
      <c r="T1216" s="144"/>
      <c r="U1216" s="145" t="str">
        <f>VLOOKUP(H1216,Stock_list!A:N,14,FALSE)</f>
        <v>DEC 18</v>
      </c>
    </row>
    <row r="1217" spans="1:21" s="142" customFormat="1" ht="16.5" customHeight="1">
      <c r="A1217" s="159" t="s">
        <v>2748</v>
      </c>
      <c r="B1217" s="114" t="str">
        <f>VLOOKUP(A1217,'Data pick slip'!B:F,5,FALSE)</f>
        <v>KHJ-MC400-00</v>
      </c>
      <c r="C1217" s="156"/>
      <c r="D1217" s="206"/>
      <c r="E1217" s="160" t="e">
        <f>VLOOKUP(C1217,Stock_list!D:L,9,FALSE)</f>
        <v>#N/A</v>
      </c>
      <c r="F1217" s="157" t="s">
        <v>2773</v>
      </c>
      <c r="G1217" s="132"/>
      <c r="H1217" s="138"/>
      <c r="I1217" s="139" t="s">
        <v>2853</v>
      </c>
      <c r="J1217" s="139" t="s">
        <v>3029</v>
      </c>
      <c r="K1217" s="51" t="s">
        <v>1246</v>
      </c>
      <c r="L1217" s="4" t="s">
        <v>3014</v>
      </c>
      <c r="M1217" s="140">
        <v>1</v>
      </c>
      <c r="N1217" s="132"/>
      <c r="O1217" s="132"/>
      <c r="P1217" s="4" t="s">
        <v>291</v>
      </c>
      <c r="Q1217" s="143"/>
      <c r="R1217" s="143"/>
      <c r="S1217" s="123"/>
      <c r="T1217" s="144"/>
      <c r="U1217" s="145" t="e">
        <f>VLOOKUP(H1217,Stock_list!A:N,14,FALSE)</f>
        <v>#N/A</v>
      </c>
    </row>
    <row r="1218" spans="1:21" s="142" customFormat="1" ht="16.5" customHeight="1">
      <c r="A1218" s="159" t="s">
        <v>2748</v>
      </c>
      <c r="B1218" s="114" t="str">
        <f>VLOOKUP(A1218,'Data pick slip'!B:F,5,FALSE)</f>
        <v>KHJ-MC400-00</v>
      </c>
      <c r="C1218" s="156"/>
      <c r="D1218" s="206"/>
      <c r="E1218" s="160" t="e">
        <f>VLOOKUP(C1218,Stock_list!D:L,9,FALSE)</f>
        <v>#N/A</v>
      </c>
      <c r="F1218" s="157" t="s">
        <v>2773</v>
      </c>
      <c r="G1218" s="132"/>
      <c r="H1218" s="138"/>
      <c r="I1218" s="139" t="s">
        <v>2853</v>
      </c>
      <c r="J1218" s="139" t="s">
        <v>3030</v>
      </c>
      <c r="K1218" s="51" t="s">
        <v>1246</v>
      </c>
      <c r="L1218" s="4" t="s">
        <v>3014</v>
      </c>
      <c r="M1218" s="140">
        <v>1</v>
      </c>
      <c r="N1218" s="132"/>
      <c r="O1218" s="132"/>
      <c r="P1218" s="4" t="s">
        <v>291</v>
      </c>
      <c r="Q1218" s="143"/>
      <c r="R1218" s="143"/>
      <c r="S1218" s="123"/>
      <c r="T1218" s="144"/>
      <c r="U1218" s="145" t="e">
        <f>VLOOKUP(H1218,Stock_list!A:N,14,FALSE)</f>
        <v>#N/A</v>
      </c>
    </row>
    <row r="1219" spans="1:21" ht="16.5" customHeight="1">
      <c r="A1219" s="159" t="s">
        <v>2755</v>
      </c>
      <c r="B1219" s="114" t="str">
        <f>VLOOKUP(A1219,'Data pick slip'!B:F,5,FALSE)</f>
        <v>KLJ-MC100-00</v>
      </c>
      <c r="C1219" s="156">
        <v>109218</v>
      </c>
      <c r="E1219" s="160">
        <f>VLOOKUP(C1219,Stock_list!D:L,9,FALSE)</f>
        <v>43278</v>
      </c>
      <c r="F1219" s="157" t="s">
        <v>2773</v>
      </c>
      <c r="H1219" s="138">
        <v>152</v>
      </c>
      <c r="I1219" s="139" t="str">
        <f>VLOOKUP(H1219,Stock_list!A:R,18,FALSE)</f>
        <v>龙大光电</v>
      </c>
      <c r="J1219" s="139" t="str">
        <f>VLOOKUP(H1219,Stock_list!A:S,17,FALSE)</f>
        <v>C49SZX20180162SS</v>
      </c>
      <c r="K1219" s="51" t="str">
        <f>VLOOKUP(H1219,Stock_list!A:T,16,FALSE)</f>
        <v>RMB</v>
      </c>
      <c r="L1219" s="4"/>
      <c r="M1219" s="140">
        <v>40</v>
      </c>
      <c r="P1219" s="4" t="str">
        <f>VLOOKUP(H1219,Stock_list!A:Y,25,FALSE)</f>
        <v>Yes</v>
      </c>
      <c r="Q1219" s="143"/>
      <c r="T1219" s="144"/>
      <c r="U1219" s="145" t="str">
        <f>VLOOKUP(H1219,Stock_list!A:N,14,FALSE)</f>
        <v>JAN 19</v>
      </c>
    </row>
    <row r="1220" spans="1:21" ht="16.5" customHeight="1">
      <c r="A1220" s="159" t="s">
        <v>2755</v>
      </c>
      <c r="B1220" s="114" t="str">
        <f>VLOOKUP(A1220,'Data pick slip'!B:F,5,FALSE)</f>
        <v>KLJ-MC100-00</v>
      </c>
      <c r="C1220" s="156">
        <v>109421</v>
      </c>
      <c r="E1220" s="160">
        <f>VLOOKUP(C1220,Stock_list!D:L,9,FALSE)</f>
        <v>43435</v>
      </c>
      <c r="F1220" s="157" t="s">
        <v>2861</v>
      </c>
      <c r="H1220" s="138">
        <v>154</v>
      </c>
      <c r="I1220" s="139" t="str">
        <f>VLOOKUP(H1220,Stock_list!A:R,18,FALSE)</f>
        <v>格美通</v>
      </c>
      <c r="J1220" s="139" t="str">
        <f>VLOOKUP(H1220,Stock_list!A:S,17,FALSE)</f>
        <v>C49SZX20180165ZX</v>
      </c>
      <c r="K1220" s="51" t="str">
        <f>VLOOKUP(H1220,Stock_list!A:T,16,FALSE)</f>
        <v>JPY</v>
      </c>
      <c r="L1220" s="4"/>
      <c r="M1220" s="132">
        <v>60</v>
      </c>
      <c r="P1220" s="4" t="str">
        <f>VLOOKUP(H1220,Stock_list!A:Y,25,FALSE)</f>
        <v>Yes</v>
      </c>
      <c r="Q1220" s="143"/>
      <c r="T1220" s="144"/>
      <c r="U1220" s="145" t="str">
        <f>VLOOKUP(H1220,Stock_list!A:N,14,FALSE)</f>
        <v>DEC 18</v>
      </c>
    </row>
    <row r="1221" spans="1:21" ht="16.5" customHeight="1">
      <c r="A1221" s="159" t="s">
        <v>2744</v>
      </c>
      <c r="B1221" s="114" t="str">
        <f>VLOOKUP(A1221,'Data pick slip'!B:F,5,FALSE)</f>
        <v>KHJ-MC100-00</v>
      </c>
      <c r="C1221" s="156">
        <v>109493</v>
      </c>
      <c r="E1221" s="160">
        <f>VLOOKUP(C1221,Stock_list!D:L,9,FALSE)</f>
        <v>43546</v>
      </c>
      <c r="F1221" s="157" t="s">
        <v>2861</v>
      </c>
      <c r="H1221" s="138">
        <v>155</v>
      </c>
      <c r="I1221" s="139" t="str">
        <f>VLOOKUP(H1221,Stock_list!A:R,18,FALSE)</f>
        <v>朗特</v>
      </c>
      <c r="J1221" s="139" t="str">
        <f>VLOOKUP(H1221,Stock_list!A:S,17,FALSE)</f>
        <v>C49SZX20180167DZ</v>
      </c>
      <c r="K1221" s="51" t="str">
        <f>VLOOKUP(H1221,Stock_list!A:T,16,FALSE)</f>
        <v>JPY</v>
      </c>
      <c r="L1221" s="4">
        <v>43557</v>
      </c>
      <c r="M1221" s="132">
        <v>670</v>
      </c>
      <c r="P1221" s="4" t="str">
        <f>VLOOKUP(H1221,Stock_list!A:Y,25,FALSE)</f>
        <v>Yes</v>
      </c>
      <c r="Q1221" s="143"/>
      <c r="T1221" s="144"/>
      <c r="U1221" s="145" t="str">
        <f>VLOOKUP(H1221,Stock_list!A:N,14,FALSE)</f>
        <v>APR 19</v>
      </c>
    </row>
    <row r="1222" spans="1:21" ht="16.5" customHeight="1">
      <c r="A1222" s="159" t="s">
        <v>2755</v>
      </c>
      <c r="B1222" s="114" t="str">
        <f>VLOOKUP(A1222,'Data pick slip'!B:F,5,FALSE)</f>
        <v>KLJ-MC100-00</v>
      </c>
      <c r="F1222" s="157" t="s">
        <v>2773</v>
      </c>
      <c r="H1222" s="138">
        <v>155</v>
      </c>
      <c r="I1222" s="139" t="str">
        <f>VLOOKUP(H1222,Stock_list!A:R,18,FALSE)</f>
        <v>朗特</v>
      </c>
      <c r="J1222" s="139" t="str">
        <f>VLOOKUP(H1222,Stock_list!A:S,17,FALSE)</f>
        <v>C49SZX20180167DZ</v>
      </c>
      <c r="K1222" s="51" t="str">
        <f>VLOOKUP(H1222,Stock_list!A:T,16,FALSE)</f>
        <v>JPY</v>
      </c>
      <c r="L1222" s="4">
        <v>43557</v>
      </c>
      <c r="M1222" s="132">
        <v>10</v>
      </c>
      <c r="P1222" s="4" t="str">
        <f>VLOOKUP(H1222,Stock_list!A:Y,25,FALSE)</f>
        <v>Yes</v>
      </c>
      <c r="Q1222" s="143"/>
      <c r="S1222" s="123" t="s">
        <v>3003</v>
      </c>
      <c r="T1222" s="205" t="s">
        <v>3031</v>
      </c>
      <c r="U1222" s="145" t="str">
        <f>VLOOKUP(H1222,Stock_list!A:N,14,FALSE)</f>
        <v>APR 19</v>
      </c>
    </row>
    <row r="1223" spans="1:21" ht="16.5" customHeight="1">
      <c r="A1223" s="159" t="s">
        <v>2755</v>
      </c>
      <c r="B1223" s="114" t="str">
        <f>VLOOKUP(A1223,'Data pick slip'!B:F,5,FALSE)</f>
        <v>KLJ-MC100-00</v>
      </c>
      <c r="F1223" s="157" t="s">
        <v>2773</v>
      </c>
      <c r="H1223" s="138">
        <v>155</v>
      </c>
      <c r="I1223" s="139" t="str">
        <f>VLOOKUP(H1223,Stock_list!A:R,18,FALSE)</f>
        <v>朗特</v>
      </c>
      <c r="J1223" s="139" t="str">
        <f>VLOOKUP(H1223,Stock_list!A:S,17,FALSE)</f>
        <v>C49SZX20180167DZ</v>
      </c>
      <c r="K1223" s="51" t="str">
        <f>VLOOKUP(H1223,Stock_list!A:T,16,FALSE)</f>
        <v>JPY</v>
      </c>
      <c r="L1223" s="4">
        <v>43557</v>
      </c>
      <c r="M1223" s="132">
        <v>10</v>
      </c>
      <c r="P1223" s="4" t="str">
        <f>VLOOKUP(H1223,Stock_list!A:Y,25,FALSE)</f>
        <v>Yes</v>
      </c>
      <c r="Q1223" s="143"/>
      <c r="S1223" s="123" t="s">
        <v>3003</v>
      </c>
      <c r="T1223" s="205" t="s">
        <v>3032</v>
      </c>
      <c r="U1223" s="145" t="str">
        <f>VLOOKUP(H1223,Stock_list!A:N,14,FALSE)</f>
        <v>APR 19</v>
      </c>
    </row>
    <row r="1224" spans="1:21" ht="16.5" customHeight="1">
      <c r="A1224" s="159" t="s">
        <v>2755</v>
      </c>
      <c r="B1224" s="114" t="str">
        <f>VLOOKUP(A1224,'Data pick slip'!B:F,5,FALSE)</f>
        <v>KLJ-MC100-00</v>
      </c>
      <c r="F1224" s="157" t="s">
        <v>2773</v>
      </c>
      <c r="H1224" s="138">
        <v>155</v>
      </c>
      <c r="I1224" s="139" t="str">
        <f>VLOOKUP(H1224,Stock_list!A:R,18,FALSE)</f>
        <v>朗特</v>
      </c>
      <c r="J1224" s="139" t="str">
        <f>VLOOKUP(H1224,Stock_list!A:S,17,FALSE)</f>
        <v>C49SZX20180167DZ</v>
      </c>
      <c r="K1224" s="51" t="str">
        <f>VLOOKUP(H1224,Stock_list!A:T,16,FALSE)</f>
        <v>JPY</v>
      </c>
      <c r="L1224" s="4">
        <v>43557</v>
      </c>
      <c r="M1224" s="132">
        <v>10</v>
      </c>
      <c r="P1224" s="4" t="str">
        <f>VLOOKUP(H1224,Stock_list!A:Y,25,FALSE)</f>
        <v>Yes</v>
      </c>
      <c r="Q1224" s="143"/>
      <c r="S1224" s="123" t="s">
        <v>3003</v>
      </c>
      <c r="T1224" s="205" t="s">
        <v>3033</v>
      </c>
      <c r="U1224" s="145" t="str">
        <f>VLOOKUP(H1224,Stock_list!A:N,14,FALSE)</f>
        <v>APR 19</v>
      </c>
    </row>
    <row r="1225" spans="1:21" ht="16.5" customHeight="1">
      <c r="A1225" s="159" t="s">
        <v>2755</v>
      </c>
      <c r="B1225" s="114" t="str">
        <f>VLOOKUP(A1225,'Data pick slip'!B:F,5,FALSE)</f>
        <v>KLJ-MC100-00</v>
      </c>
      <c r="F1225" s="157" t="s">
        <v>2773</v>
      </c>
      <c r="H1225" s="138">
        <v>155</v>
      </c>
      <c r="I1225" s="139" t="str">
        <f>VLOOKUP(H1225,Stock_list!A:R,18,FALSE)</f>
        <v>朗特</v>
      </c>
      <c r="J1225" s="139" t="str">
        <f>VLOOKUP(H1225,Stock_list!A:S,17,FALSE)</f>
        <v>C49SZX20180167DZ</v>
      </c>
      <c r="K1225" s="51" t="str">
        <f>VLOOKUP(H1225,Stock_list!A:T,16,FALSE)</f>
        <v>JPY</v>
      </c>
      <c r="L1225" s="4">
        <v>43557</v>
      </c>
      <c r="M1225" s="132">
        <v>10</v>
      </c>
      <c r="P1225" s="4" t="str">
        <f>VLOOKUP(H1225,Stock_list!A:Y,25,FALSE)</f>
        <v>Yes</v>
      </c>
      <c r="Q1225" s="143"/>
      <c r="S1225" s="123" t="s">
        <v>3003</v>
      </c>
      <c r="T1225" s="205" t="s">
        <v>3034</v>
      </c>
      <c r="U1225" s="145" t="str">
        <f>VLOOKUP(H1225,Stock_list!A:N,14,FALSE)</f>
        <v>APR 19</v>
      </c>
    </row>
    <row r="1226" spans="1:21" ht="16.5" customHeight="1">
      <c r="A1226" s="159" t="s">
        <v>2755</v>
      </c>
      <c r="B1226" s="114" t="str">
        <f>VLOOKUP(A1226,'Data pick slip'!B:F,5,FALSE)</f>
        <v>KLJ-MC100-00</v>
      </c>
      <c r="F1226" s="157" t="s">
        <v>2773</v>
      </c>
      <c r="H1226" s="138">
        <v>155</v>
      </c>
      <c r="I1226" s="139" t="str">
        <f>VLOOKUP(H1226,Stock_list!A:R,18,FALSE)</f>
        <v>朗特</v>
      </c>
      <c r="J1226" s="139" t="str">
        <f>VLOOKUP(H1226,Stock_list!A:S,17,FALSE)</f>
        <v>C49SZX20180167DZ</v>
      </c>
      <c r="K1226" s="51" t="str">
        <f>VLOOKUP(H1226,Stock_list!A:T,16,FALSE)</f>
        <v>JPY</v>
      </c>
      <c r="L1226" s="4">
        <v>43557</v>
      </c>
      <c r="M1226" s="132">
        <v>10</v>
      </c>
      <c r="P1226" s="4" t="str">
        <f>VLOOKUP(H1226,Stock_list!A:Y,25,FALSE)</f>
        <v>Yes</v>
      </c>
      <c r="Q1226" s="143"/>
      <c r="S1226" s="123" t="s">
        <v>3003</v>
      </c>
      <c r="T1226" s="205" t="s">
        <v>3035</v>
      </c>
      <c r="U1226" s="145" t="str">
        <f>VLOOKUP(H1226,Stock_list!A:N,14,FALSE)</f>
        <v>APR 19</v>
      </c>
    </row>
    <row r="1227" spans="1:21" ht="16.5" customHeight="1">
      <c r="A1227" s="159" t="s">
        <v>2747</v>
      </c>
      <c r="B1227" s="114" t="str">
        <f>VLOOKUP(A1227,'Data pick slip'!B:F,5,FALSE)</f>
        <v>KHJ-MC200-00</v>
      </c>
      <c r="C1227" s="156">
        <v>109493</v>
      </c>
      <c r="E1227" s="160">
        <f>VLOOKUP(C1227,Stock_list!D:L,9,FALSE)</f>
        <v>43546</v>
      </c>
      <c r="F1227" s="157" t="s">
        <v>2861</v>
      </c>
      <c r="H1227" s="138">
        <v>155</v>
      </c>
      <c r="I1227" s="139" t="str">
        <f>VLOOKUP(H1227,Stock_list!A:R,18,FALSE)</f>
        <v>朗特</v>
      </c>
      <c r="J1227" s="139" t="str">
        <f>VLOOKUP(H1227,Stock_list!A:S,17,FALSE)</f>
        <v>C49SZX20180167DZ</v>
      </c>
      <c r="K1227" s="51" t="str">
        <f>VLOOKUP(H1227,Stock_list!A:T,16,FALSE)</f>
        <v>JPY</v>
      </c>
      <c r="L1227" s="4">
        <v>43557</v>
      </c>
      <c r="M1227" s="132">
        <v>95</v>
      </c>
      <c r="P1227" s="4" t="str">
        <f>VLOOKUP(H1227,Stock_list!A:Y,25,FALSE)</f>
        <v>Yes</v>
      </c>
      <c r="Q1227" s="143"/>
      <c r="T1227" s="144"/>
      <c r="U1227" s="145" t="str">
        <f>VLOOKUP(H1227,Stock_list!A:N,14,FALSE)</f>
        <v>APR 19</v>
      </c>
    </row>
    <row r="1228" spans="1:21" ht="16.5" customHeight="1">
      <c r="A1228" s="159" t="s">
        <v>2756</v>
      </c>
      <c r="B1228" s="114" t="str">
        <f>VLOOKUP(A1228,'Data pick slip'!B:F,5,FALSE)</f>
        <v>KLJ-MC200-00</v>
      </c>
      <c r="F1228" s="157" t="s">
        <v>2861</v>
      </c>
      <c r="H1228" s="138">
        <v>155</v>
      </c>
      <c r="I1228" s="139" t="str">
        <f>VLOOKUP(H1228,Stock_list!A:R,18,FALSE)</f>
        <v>朗特</v>
      </c>
      <c r="J1228" s="139" t="str">
        <f>VLOOKUP(H1228,Stock_list!A:S,17,FALSE)</f>
        <v>C49SZX20180167DZ</v>
      </c>
      <c r="K1228" s="51" t="str">
        <f>VLOOKUP(H1228,Stock_list!A:T,16,FALSE)</f>
        <v>JPY</v>
      </c>
      <c r="L1228" s="4">
        <v>43557</v>
      </c>
      <c r="M1228" s="132">
        <v>20</v>
      </c>
      <c r="P1228" s="4" t="str">
        <f>VLOOKUP(H1228,Stock_list!A:Y,25,FALSE)</f>
        <v>Yes</v>
      </c>
      <c r="T1228" s="144"/>
      <c r="U1228" s="145" t="str">
        <f>VLOOKUP(H1228,Stock_list!A:N,14,FALSE)</f>
        <v>APR 19</v>
      </c>
    </row>
    <row r="1229" spans="1:21" ht="16.5" customHeight="1">
      <c r="A1229" s="159" t="s">
        <v>2809</v>
      </c>
      <c r="B1229" s="114" t="str">
        <f>VLOOKUP(A1229,'Data pick slip'!B:F,5,FALSE)</f>
        <v>KHJ-MC200-00</v>
      </c>
      <c r="C1229" s="156">
        <v>109493</v>
      </c>
      <c r="E1229" s="160">
        <f>VLOOKUP(C1229,Stock_list!D:L,9,FALSE)</f>
        <v>43546</v>
      </c>
      <c r="F1229" s="157" t="s">
        <v>2773</v>
      </c>
      <c r="H1229" s="138">
        <v>155</v>
      </c>
      <c r="I1229" s="139" t="str">
        <f>VLOOKUP(H1229,Stock_list!A:R,18,FALSE)</f>
        <v>朗特</v>
      </c>
      <c r="J1229" s="139" t="str">
        <f>VLOOKUP(H1229,Stock_list!A:S,17,FALSE)</f>
        <v>C49SZX20180167DZ</v>
      </c>
      <c r="K1229" s="51" t="str">
        <f>VLOOKUP(H1229,Stock_list!A:T,16,FALSE)</f>
        <v>JPY</v>
      </c>
      <c r="L1229" s="4">
        <v>43532</v>
      </c>
      <c r="M1229" s="132">
        <v>5</v>
      </c>
      <c r="P1229" s="4" t="str">
        <f>VLOOKUP(H1229,Stock_list!A:Y,25,FALSE)</f>
        <v>Yes</v>
      </c>
      <c r="Q1229" s="143"/>
      <c r="S1229" s="123" t="s">
        <v>3003</v>
      </c>
      <c r="T1229" s="205" t="s">
        <v>3035</v>
      </c>
      <c r="U1229" s="145" t="str">
        <f>VLOOKUP(H1229,Stock_list!A:N,14,FALSE)</f>
        <v>APR 19</v>
      </c>
    </row>
    <row r="1230" spans="1:21" ht="16.5" customHeight="1">
      <c r="A1230" s="159" t="s">
        <v>2748</v>
      </c>
      <c r="B1230" s="114" t="str">
        <f>VLOOKUP(A1230,'Data pick slip'!B:F,5,FALSE)</f>
        <v>KHJ-MC400-00</v>
      </c>
      <c r="C1230" s="156">
        <v>109493</v>
      </c>
      <c r="E1230" s="160">
        <f>VLOOKUP(C1230,Stock_list!D:L,9,FALSE)</f>
        <v>43546</v>
      </c>
      <c r="F1230" s="157" t="s">
        <v>2861</v>
      </c>
      <c r="H1230" s="138">
        <v>155</v>
      </c>
      <c r="I1230" s="139" t="str">
        <f>VLOOKUP(H1230,Stock_list!A:R,18,FALSE)</f>
        <v>朗特</v>
      </c>
      <c r="J1230" s="139" t="str">
        <f>VLOOKUP(H1230,Stock_list!A:S,17,FALSE)</f>
        <v>C49SZX20180167DZ</v>
      </c>
      <c r="K1230" s="51" t="str">
        <f>VLOOKUP(H1230,Stock_list!A:T,16,FALSE)</f>
        <v>JPY</v>
      </c>
      <c r="L1230" s="4">
        <v>43557</v>
      </c>
      <c r="M1230" s="132">
        <v>36</v>
      </c>
      <c r="P1230" s="4" t="str">
        <f>VLOOKUP(H1230,Stock_list!A:Y,25,FALSE)</f>
        <v>Yes</v>
      </c>
      <c r="Q1230" s="143"/>
      <c r="T1230" s="144"/>
      <c r="U1230" s="145" t="str">
        <f>VLOOKUP(H1230,Stock_list!A:N,14,FALSE)</f>
        <v>APR 19</v>
      </c>
    </row>
    <row r="1231" spans="1:21" ht="16.5" customHeight="1">
      <c r="A1231" s="159" t="s">
        <v>2749</v>
      </c>
      <c r="B1231" s="114" t="str">
        <f>VLOOKUP(A1231,'Data pick slip'!B:F,5,FALSE)</f>
        <v>KHJ-MC500-00</v>
      </c>
      <c r="C1231" s="156">
        <v>109493</v>
      </c>
      <c r="E1231" s="160">
        <f>VLOOKUP(C1231,Stock_list!D:L,9,FALSE)</f>
        <v>43546</v>
      </c>
      <c r="F1231" s="157" t="s">
        <v>2861</v>
      </c>
      <c r="H1231" s="138">
        <v>155</v>
      </c>
      <c r="I1231" s="139" t="str">
        <f>VLOOKUP(H1231,Stock_list!A:R,18,FALSE)</f>
        <v>朗特</v>
      </c>
      <c r="J1231" s="139" t="str">
        <f>VLOOKUP(H1231,Stock_list!A:S,17,FALSE)</f>
        <v>C49SZX20180167DZ</v>
      </c>
      <c r="K1231" s="51" t="str">
        <f>VLOOKUP(H1231,Stock_list!A:T,16,FALSE)</f>
        <v>JPY</v>
      </c>
      <c r="L1231" s="4">
        <v>43557</v>
      </c>
      <c r="M1231" s="132">
        <v>12</v>
      </c>
      <c r="P1231" s="4" t="str">
        <f>VLOOKUP(H1231,Stock_list!A:Y,25,FALSE)</f>
        <v>Yes</v>
      </c>
      <c r="Q1231" s="143"/>
      <c r="T1231" s="144"/>
      <c r="U1231" s="145" t="str">
        <f>VLOOKUP(H1231,Stock_list!A:N,14,FALSE)</f>
        <v>APR 19</v>
      </c>
    </row>
    <row r="1232" spans="1:21" ht="16.5" customHeight="1">
      <c r="A1232" s="159" t="s">
        <v>2750</v>
      </c>
      <c r="B1232" s="114" t="str">
        <f>VLOOKUP(A1232,'Data pick slip'!B:F,5,FALSE)</f>
        <v>KHJ-MC600-00</v>
      </c>
      <c r="C1232" s="156">
        <v>109430</v>
      </c>
      <c r="E1232" s="160">
        <f>VLOOKUP(C1232,Stock_list!D:L,9,FALSE)</f>
        <v>43530</v>
      </c>
      <c r="F1232" s="157" t="s">
        <v>2861</v>
      </c>
      <c r="H1232" s="138">
        <v>155</v>
      </c>
      <c r="I1232" s="139" t="str">
        <f>VLOOKUP(H1232,Stock_list!A:R,18,FALSE)</f>
        <v>朗特</v>
      </c>
      <c r="J1232" s="139" t="str">
        <f>VLOOKUP(H1232,Stock_list!A:S,17,FALSE)</f>
        <v>C49SZX20180167DZ</v>
      </c>
      <c r="K1232" s="51" t="str">
        <f>VLOOKUP(H1232,Stock_list!A:T,16,FALSE)</f>
        <v>JPY</v>
      </c>
      <c r="L1232" s="4">
        <v>43557</v>
      </c>
      <c r="M1232" s="132">
        <v>6</v>
      </c>
      <c r="P1232" s="4" t="str">
        <f>VLOOKUP(H1232,Stock_list!A:Y,25,FALSE)</f>
        <v>Yes</v>
      </c>
      <c r="Q1232" s="143"/>
      <c r="T1232" s="144"/>
      <c r="U1232" s="145" t="str">
        <f>VLOOKUP(H1232,Stock_list!A:N,14,FALSE)</f>
        <v>APR 19</v>
      </c>
    </row>
    <row r="1233" spans="1:21" ht="16.5" customHeight="1">
      <c r="A1233" s="159" t="s">
        <v>2751</v>
      </c>
      <c r="B1233" s="114" t="str">
        <f>VLOOKUP(A1233,'Data pick slip'!B:F,5,FALSE)</f>
        <v>KHJ-MC700-00</v>
      </c>
      <c r="C1233" s="156">
        <v>109493</v>
      </c>
      <c r="E1233" s="160">
        <f>VLOOKUP(C1233,Stock_list!D:L,9,FALSE)</f>
        <v>43546</v>
      </c>
      <c r="F1233" s="157" t="s">
        <v>2861</v>
      </c>
      <c r="H1233" s="138">
        <v>155</v>
      </c>
      <c r="I1233" s="139" t="str">
        <f>VLOOKUP(H1233,Stock_list!A:R,18,FALSE)</f>
        <v>朗特</v>
      </c>
      <c r="J1233" s="139" t="str">
        <f>VLOOKUP(H1233,Stock_list!A:S,17,FALSE)</f>
        <v>C49SZX20180167DZ</v>
      </c>
      <c r="K1233" s="51" t="str">
        <f>VLOOKUP(H1233,Stock_list!A:T,16,FALSE)</f>
        <v>JPY</v>
      </c>
      <c r="L1233" s="4">
        <v>43557</v>
      </c>
      <c r="M1233" s="132">
        <v>6</v>
      </c>
      <c r="P1233" s="4" t="str">
        <f>VLOOKUP(H1233,Stock_list!A:Y,25,FALSE)</f>
        <v>Yes</v>
      </c>
      <c r="Q1233" s="143"/>
      <c r="T1233" s="144"/>
      <c r="U1233" s="145" t="str">
        <f>VLOOKUP(H1233,Stock_list!A:N,14,FALSE)</f>
        <v>APR 19</v>
      </c>
    </row>
    <row r="1234" spans="1:21" ht="16.5" customHeight="1">
      <c r="A1234" s="159" t="s">
        <v>2744</v>
      </c>
      <c r="B1234" s="114" t="str">
        <f>VLOOKUP(A1234,'Data pick slip'!B:F,5,FALSE)</f>
        <v>KHJ-MC100-00</v>
      </c>
      <c r="E1234" s="160" t="e">
        <f>VLOOKUP(C1234,Stock_list!D:L,9,FALSE)</f>
        <v>#N/A</v>
      </c>
      <c r="F1234" s="157" t="s">
        <v>2861</v>
      </c>
      <c r="H1234" s="138">
        <v>166</v>
      </c>
      <c r="I1234" s="139" t="str">
        <f>VLOOKUP(H1234,Stock_list!A:R,18,FALSE)</f>
        <v>比泰利</v>
      </c>
      <c r="J1234" s="139" t="str">
        <f>VLOOKUP(H1234,Stock_list!A:S,17,FALSE)</f>
        <v>C49SZX20180166ZX</v>
      </c>
      <c r="K1234" s="51" t="str">
        <f>VLOOKUP(H1234,Stock_list!A:T,16,FALSE)</f>
        <v>JPY</v>
      </c>
      <c r="L1234" s="4"/>
      <c r="M1234" s="132">
        <v>150</v>
      </c>
      <c r="P1234" s="4" t="str">
        <f>VLOOKUP(H1234,Stock_list!A:Y,25,FALSE)</f>
        <v>Yes</v>
      </c>
      <c r="Q1234" s="143"/>
      <c r="T1234" s="144"/>
      <c r="U1234" s="145" t="str">
        <f>VLOOKUP(H1234,Stock_list!A:N,14,FALSE)</f>
        <v>DEC 18</v>
      </c>
    </row>
    <row r="1235" spans="1:21" ht="16.5" customHeight="1">
      <c r="A1235" s="159" t="s">
        <v>2747</v>
      </c>
      <c r="B1235" s="114" t="str">
        <f>VLOOKUP(A1235,'Data pick slip'!B:F,5,FALSE)</f>
        <v>KHJ-MC200-00</v>
      </c>
      <c r="E1235" s="160" t="e">
        <f>VLOOKUP(C1235,Stock_list!D:L,9,FALSE)</f>
        <v>#N/A</v>
      </c>
      <c r="F1235" s="157" t="s">
        <v>2861</v>
      </c>
      <c r="H1235" s="138">
        <v>166</v>
      </c>
      <c r="I1235" s="139" t="str">
        <f>VLOOKUP(H1235,Stock_list!A:R,18,FALSE)</f>
        <v>比泰利</v>
      </c>
      <c r="J1235" s="139" t="str">
        <f>VLOOKUP(H1235,Stock_list!A:S,17,FALSE)</f>
        <v>C49SZX20180166ZX</v>
      </c>
      <c r="K1235" s="51" t="str">
        <f>VLOOKUP(H1235,Stock_list!A:T,16,FALSE)</f>
        <v>JPY</v>
      </c>
      <c r="L1235" s="4" t="s">
        <v>3024</v>
      </c>
      <c r="M1235" s="132">
        <v>40</v>
      </c>
      <c r="P1235" s="4" t="str">
        <f>VLOOKUP(H1235,Stock_list!A:Y,25,FALSE)</f>
        <v>Yes</v>
      </c>
      <c r="Q1235" s="143"/>
      <c r="T1235" s="144"/>
      <c r="U1235" s="145" t="str">
        <f>VLOOKUP(H1235,Stock_list!A:N,14,FALSE)</f>
        <v>DEC 18</v>
      </c>
    </row>
    <row r="1236" spans="1:21" ht="16.5" customHeight="1">
      <c r="A1236" s="159" t="s">
        <v>2748</v>
      </c>
      <c r="B1236" s="114" t="str">
        <f>VLOOKUP(A1236,'Data pick slip'!B:F,5,FALSE)</f>
        <v>KHJ-MC400-00</v>
      </c>
      <c r="E1236" s="160" t="e">
        <f>VLOOKUP(C1236,Stock_list!D:L,9,FALSE)</f>
        <v>#N/A</v>
      </c>
      <c r="F1236" s="157" t="s">
        <v>2861</v>
      </c>
      <c r="H1236" s="138">
        <v>166</v>
      </c>
      <c r="I1236" s="139" t="str">
        <f>VLOOKUP(H1236,Stock_list!A:R,18,FALSE)</f>
        <v>比泰利</v>
      </c>
      <c r="J1236" s="139" t="str">
        <f>VLOOKUP(H1236,Stock_list!A:S,17,FALSE)</f>
        <v>C49SZX20180166ZX</v>
      </c>
      <c r="K1236" s="51" t="str">
        <f>VLOOKUP(H1236,Stock_list!A:T,16,FALSE)</f>
        <v>JPY</v>
      </c>
      <c r="L1236" s="4"/>
      <c r="M1236" s="132">
        <v>6</v>
      </c>
      <c r="P1236" s="4" t="str">
        <f>VLOOKUP(H1236,Stock_list!A:Y,25,FALSE)</f>
        <v>Yes</v>
      </c>
      <c r="Q1236" s="143"/>
      <c r="T1236" s="144"/>
      <c r="U1236" s="145" t="str">
        <f>VLOOKUP(H1236,Stock_list!A:N,14,FALSE)</f>
        <v>DEC 18</v>
      </c>
    </row>
    <row r="1237" spans="1:21" ht="16.5" customHeight="1">
      <c r="A1237" s="159" t="s">
        <v>2749</v>
      </c>
      <c r="B1237" s="114" t="str">
        <f>VLOOKUP(A1237,'Data pick slip'!B:F,5,FALSE)</f>
        <v>KHJ-MC500-00</v>
      </c>
      <c r="E1237" s="160" t="e">
        <f>VLOOKUP(C1237,Stock_list!D:L,9,FALSE)</f>
        <v>#N/A</v>
      </c>
      <c r="F1237" s="157" t="s">
        <v>2861</v>
      </c>
      <c r="H1237" s="138">
        <v>166</v>
      </c>
      <c r="I1237" s="139" t="str">
        <f>VLOOKUP(H1237,Stock_list!A:R,18,FALSE)</f>
        <v>比泰利</v>
      </c>
      <c r="J1237" s="139" t="str">
        <f>VLOOKUP(H1237,Stock_list!A:S,17,FALSE)</f>
        <v>C49SZX20180166ZX</v>
      </c>
      <c r="K1237" s="51" t="str">
        <f>VLOOKUP(H1237,Stock_list!A:T,16,FALSE)</f>
        <v>JPY</v>
      </c>
      <c r="L1237" s="4"/>
      <c r="M1237" s="132">
        <v>2</v>
      </c>
      <c r="P1237" s="4" t="str">
        <f>VLOOKUP(H1237,Stock_list!A:Y,25,FALSE)</f>
        <v>Yes</v>
      </c>
      <c r="Q1237" s="143"/>
      <c r="T1237" s="144"/>
      <c r="U1237" s="145" t="str">
        <f>VLOOKUP(H1237,Stock_list!A:N,14,FALSE)</f>
        <v>DEC 18</v>
      </c>
    </row>
    <row r="1238" spans="1:21" ht="16.5" customHeight="1">
      <c r="A1238" s="159" t="s">
        <v>2750</v>
      </c>
      <c r="B1238" s="114" t="str">
        <f>VLOOKUP(A1238,'Data pick slip'!B:F,5,FALSE)</f>
        <v>KHJ-MC600-00</v>
      </c>
      <c r="E1238" s="160" t="e">
        <f>VLOOKUP(C1238,Stock_list!D:L,9,FALSE)</f>
        <v>#N/A</v>
      </c>
      <c r="F1238" s="157" t="s">
        <v>2861</v>
      </c>
      <c r="H1238" s="138">
        <v>166</v>
      </c>
      <c r="I1238" s="139" t="str">
        <f>VLOOKUP(H1238,Stock_list!A:R,18,FALSE)</f>
        <v>比泰利</v>
      </c>
      <c r="J1238" s="139" t="str">
        <f>VLOOKUP(H1238,Stock_list!A:S,17,FALSE)</f>
        <v>C49SZX20180166ZX</v>
      </c>
      <c r="K1238" s="51" t="str">
        <f>VLOOKUP(H1238,Stock_list!A:T,16,FALSE)</f>
        <v>JPY</v>
      </c>
      <c r="L1238" s="4"/>
      <c r="M1238" s="132">
        <v>1</v>
      </c>
      <c r="P1238" s="4" t="str">
        <f>VLOOKUP(H1238,Stock_list!A:Y,25,FALSE)</f>
        <v>Yes</v>
      </c>
      <c r="Q1238" s="143"/>
      <c r="T1238" s="144"/>
      <c r="U1238" s="145" t="str">
        <f>VLOOKUP(H1238,Stock_list!A:N,14,FALSE)</f>
        <v>DEC 18</v>
      </c>
    </row>
    <row r="1239" spans="1:21" ht="16.5" customHeight="1">
      <c r="A1239" s="159" t="s">
        <v>2751</v>
      </c>
      <c r="B1239" s="114" t="str">
        <f>VLOOKUP(A1239,'Data pick slip'!B:F,5,FALSE)</f>
        <v>KHJ-MC700-00</v>
      </c>
      <c r="E1239" s="160" t="e">
        <f>VLOOKUP(C1239,Stock_list!D:L,9,FALSE)</f>
        <v>#N/A</v>
      </c>
      <c r="F1239" s="157" t="s">
        <v>2773</v>
      </c>
      <c r="H1239" s="138">
        <v>166</v>
      </c>
      <c r="I1239" s="139" t="str">
        <f>VLOOKUP(H1239,Stock_list!A:R,18,FALSE)</f>
        <v>比泰利</v>
      </c>
      <c r="J1239" s="139" t="str">
        <f>VLOOKUP(H1239,Stock_list!A:S,17,FALSE)</f>
        <v>C49SZX20180166ZX</v>
      </c>
      <c r="K1239" s="51" t="str">
        <f>VLOOKUP(H1239,Stock_list!A:T,16,FALSE)</f>
        <v>JPY</v>
      </c>
      <c r="L1239" s="4"/>
      <c r="M1239" s="132">
        <v>1</v>
      </c>
      <c r="P1239" s="4" t="str">
        <f>VLOOKUP(H1239,Stock_list!A:Y,25,FALSE)</f>
        <v>Yes</v>
      </c>
      <c r="Q1239" s="143"/>
      <c r="S1239" s="123" t="s">
        <v>3003</v>
      </c>
      <c r="T1239" s="144" t="s">
        <v>3023</v>
      </c>
      <c r="U1239" s="145" t="str">
        <f>VLOOKUP(H1239,Stock_list!A:N,14,FALSE)</f>
        <v>DEC 18</v>
      </c>
    </row>
    <row r="1240" spans="1:21" ht="16.5" customHeight="1">
      <c r="A1240" s="159" t="s">
        <v>2744</v>
      </c>
      <c r="B1240" s="114" t="str">
        <f>VLOOKUP(A1240,'Data pick slip'!B:F,5,FALSE)</f>
        <v>KHJ-MC100-00</v>
      </c>
      <c r="E1240" s="160" t="e">
        <f>VLOOKUP(C1240,Stock_list!D:L,9,FALSE)</f>
        <v>#N/A</v>
      </c>
      <c r="F1240" s="157" t="s">
        <v>2861</v>
      </c>
      <c r="H1240" s="138">
        <v>177</v>
      </c>
      <c r="I1240" s="139" t="str">
        <f>VLOOKUP(H1240,Stock_list!A:R,18,FALSE)</f>
        <v>奥晨</v>
      </c>
      <c r="J1240" s="139" t="str">
        <f>VLOOKUP(H1240,Stock_list!A:S,17,FALSE)</f>
        <v>C49SZX20180154JL</v>
      </c>
      <c r="K1240" s="51" t="str">
        <f>VLOOKUP(H1240,Stock_list!A:T,16,FALSE)</f>
        <v>JPY</v>
      </c>
      <c r="L1240" s="4">
        <v>43672</v>
      </c>
      <c r="M1240" s="132">
        <v>60</v>
      </c>
      <c r="P1240" s="4" t="str">
        <f>VLOOKUP(H1240,Stock_list!A:Y,25,FALSE)</f>
        <v>Yes</v>
      </c>
      <c r="Q1240" s="143"/>
      <c r="T1240" s="144"/>
      <c r="U1240" s="145" t="str">
        <f>VLOOKUP(H1240,Stock_list!A:N,14,FALSE)</f>
        <v>JUL 19</v>
      </c>
    </row>
    <row r="1241" spans="1:21" ht="16.5" customHeight="1">
      <c r="A1241" s="159" t="s">
        <v>2747</v>
      </c>
      <c r="B1241" s="114" t="str">
        <f>VLOOKUP(A1241,'Data pick slip'!B:F,5,FALSE)</f>
        <v>KHJ-MC200-00</v>
      </c>
      <c r="E1241" s="160" t="e">
        <f>VLOOKUP(C1241,Stock_list!D:L,9,FALSE)</f>
        <v>#N/A</v>
      </c>
      <c r="F1241" s="157" t="s">
        <v>2861</v>
      </c>
      <c r="H1241" s="138">
        <v>177</v>
      </c>
      <c r="I1241" s="139" t="str">
        <f>VLOOKUP(H1241,Stock_list!A:R,18,FALSE)</f>
        <v>奥晨</v>
      </c>
      <c r="J1241" s="139" t="str">
        <f>VLOOKUP(H1241,Stock_list!A:S,17,FALSE)</f>
        <v>C49SZX20180154JL</v>
      </c>
      <c r="K1241" s="51" t="str">
        <f>VLOOKUP(H1241,Stock_list!A:T,16,FALSE)</f>
        <v>JPY</v>
      </c>
      <c r="L1241" s="4">
        <v>43672</v>
      </c>
      <c r="M1241" s="132">
        <v>10</v>
      </c>
      <c r="P1241" s="4" t="str">
        <f>VLOOKUP(H1241,Stock_list!A:Y,25,FALSE)</f>
        <v>Yes</v>
      </c>
      <c r="Q1241" s="143"/>
      <c r="T1241" s="144"/>
      <c r="U1241" s="145" t="str">
        <f>VLOOKUP(H1241,Stock_list!A:N,14,FALSE)</f>
        <v>JUL 19</v>
      </c>
    </row>
    <row r="1242" spans="1:21" ht="16.5" customHeight="1">
      <c r="A1242" s="159" t="s">
        <v>2748</v>
      </c>
      <c r="B1242" s="114" t="str">
        <f>VLOOKUP(A1242,'Data pick slip'!B:F,5,FALSE)</f>
        <v>KHJ-MC400-00</v>
      </c>
      <c r="E1242" s="160" t="e">
        <f>VLOOKUP(C1242,Stock_list!D:L,9,FALSE)</f>
        <v>#N/A</v>
      </c>
      <c r="F1242" s="157" t="s">
        <v>2861</v>
      </c>
      <c r="H1242" s="138">
        <v>177</v>
      </c>
      <c r="I1242" s="139" t="str">
        <f>VLOOKUP(H1242,Stock_list!A:R,18,FALSE)</f>
        <v>奥晨</v>
      </c>
      <c r="J1242" s="139" t="str">
        <f>VLOOKUP(H1242,Stock_list!A:S,17,FALSE)</f>
        <v>C49SZX20180154JL</v>
      </c>
      <c r="K1242" s="51" t="str">
        <f>VLOOKUP(H1242,Stock_list!A:T,16,FALSE)</f>
        <v>JPY</v>
      </c>
      <c r="L1242" s="4">
        <v>43672</v>
      </c>
      <c r="M1242" s="132">
        <v>6</v>
      </c>
      <c r="P1242" s="4" t="str">
        <f>VLOOKUP(H1242,Stock_list!A:Y,25,FALSE)</f>
        <v>Yes</v>
      </c>
      <c r="Q1242" s="143"/>
      <c r="T1242" s="144"/>
      <c r="U1242" s="145" t="str">
        <f>VLOOKUP(H1242,Stock_list!A:N,14,FALSE)</f>
        <v>JUL 19</v>
      </c>
    </row>
    <row r="1243" spans="1:21" ht="16.5" customHeight="1">
      <c r="A1243" s="159" t="s">
        <v>2749</v>
      </c>
      <c r="B1243" s="114" t="str">
        <f>VLOOKUP(A1243,'Data pick slip'!B:F,5,FALSE)</f>
        <v>KHJ-MC500-00</v>
      </c>
      <c r="E1243" s="160" t="e">
        <f>VLOOKUP(C1243,Stock_list!D:L,9,FALSE)</f>
        <v>#N/A</v>
      </c>
      <c r="F1243" s="157" t="s">
        <v>2861</v>
      </c>
      <c r="H1243" s="138">
        <v>177</v>
      </c>
      <c r="I1243" s="139" t="str">
        <f>VLOOKUP(H1243,Stock_list!A:R,18,FALSE)</f>
        <v>奥晨</v>
      </c>
      <c r="J1243" s="139" t="str">
        <f>VLOOKUP(H1243,Stock_list!A:S,17,FALSE)</f>
        <v>C49SZX20180154JL</v>
      </c>
      <c r="K1243" s="51" t="str">
        <f>VLOOKUP(H1243,Stock_list!A:T,16,FALSE)</f>
        <v>JPY</v>
      </c>
      <c r="L1243" s="4">
        <v>43672</v>
      </c>
      <c r="M1243" s="132">
        <v>3</v>
      </c>
      <c r="P1243" s="4" t="str">
        <f>VLOOKUP(H1243,Stock_list!A:Y,25,FALSE)</f>
        <v>Yes</v>
      </c>
      <c r="Q1243" s="143"/>
      <c r="T1243" s="144"/>
      <c r="U1243" s="145" t="str">
        <f>VLOOKUP(H1243,Stock_list!A:N,14,FALSE)</f>
        <v>JUL 19</v>
      </c>
    </row>
    <row r="1244" spans="1:21" ht="16.5" customHeight="1">
      <c r="A1244" s="159" t="s">
        <v>2744</v>
      </c>
      <c r="B1244" s="114" t="str">
        <f>VLOOKUP(A1244,'Data pick slip'!B:F,5,FALSE)</f>
        <v>KHJ-MC100-00</v>
      </c>
      <c r="C1244" s="156">
        <v>109295</v>
      </c>
      <c r="E1244" s="160">
        <f>VLOOKUP(C1244,Stock_list!D:L,9,FALSE)</f>
        <v>43418</v>
      </c>
      <c r="F1244" s="157" t="s">
        <v>2861</v>
      </c>
      <c r="H1244" s="138">
        <v>181</v>
      </c>
      <c r="I1244" s="139" t="str">
        <f>VLOOKUP(H1244,Stock_list!A:R,18,FALSE)</f>
        <v>网娱视通</v>
      </c>
      <c r="J1244" s="139" t="str">
        <f>VLOOKUP(H1244,Stock_list!A:S,17,FALSE)</f>
        <v>C49SZX20180172ZX</v>
      </c>
      <c r="K1244" s="51" t="str">
        <f>VLOOKUP(H1244,Stock_list!A:T,16,FALSE)</f>
        <v>JPY</v>
      </c>
      <c r="L1244" s="4"/>
      <c r="M1244" s="132">
        <v>40</v>
      </c>
      <c r="P1244" s="4" t="str">
        <f>VLOOKUP(H1244,Stock_list!A:Y,25,FALSE)</f>
        <v>Yes</v>
      </c>
      <c r="Q1244" s="143"/>
      <c r="T1244" s="144"/>
      <c r="U1244" s="145" t="str">
        <f>VLOOKUP(H1244,Stock_list!A:N,14,FALSE)</f>
        <v>DEC 18</v>
      </c>
    </row>
    <row r="1245" spans="1:21" ht="16.5" customHeight="1">
      <c r="A1245" s="159" t="s">
        <v>2747</v>
      </c>
      <c r="B1245" s="114" t="str">
        <f>VLOOKUP(A1245,'Data pick slip'!B:F,5,FALSE)</f>
        <v>KHJ-MC200-00</v>
      </c>
      <c r="C1245" s="156">
        <v>109295</v>
      </c>
      <c r="E1245" s="160">
        <f>VLOOKUP(C1245,Stock_list!D:L,9,FALSE)</f>
        <v>43418</v>
      </c>
      <c r="F1245" s="157" t="s">
        <v>2861</v>
      </c>
      <c r="H1245" s="138">
        <v>181</v>
      </c>
      <c r="I1245" s="139" t="str">
        <f>VLOOKUP(H1245,Stock_list!A:R,18,FALSE)</f>
        <v>网娱视通</v>
      </c>
      <c r="J1245" s="139" t="str">
        <f>VLOOKUP(H1245,Stock_list!A:S,17,FALSE)</f>
        <v>C49SZX20180172ZX</v>
      </c>
      <c r="K1245" s="51" t="str">
        <f>VLOOKUP(H1245,Stock_list!A:T,16,FALSE)</f>
        <v>JPY</v>
      </c>
      <c r="L1245" s="4" t="s">
        <v>3024</v>
      </c>
      <c r="M1245" s="132">
        <v>15</v>
      </c>
      <c r="P1245" s="4" t="str">
        <f>VLOOKUP(H1245,Stock_list!A:Y,25,FALSE)</f>
        <v>Yes</v>
      </c>
      <c r="Q1245" s="143"/>
      <c r="T1245" s="144"/>
      <c r="U1245" s="145" t="str">
        <f>VLOOKUP(H1245,Stock_list!A:N,14,FALSE)</f>
        <v>DEC 18</v>
      </c>
    </row>
    <row r="1246" spans="1:21" ht="16.5" customHeight="1">
      <c r="A1246" s="159" t="s">
        <v>2748</v>
      </c>
      <c r="B1246" s="114" t="str">
        <f>VLOOKUP(A1246,'Data pick slip'!B:F,5,FALSE)</f>
        <v>KHJ-MC400-00</v>
      </c>
      <c r="C1246" s="156">
        <v>109295</v>
      </c>
      <c r="E1246" s="160">
        <f>VLOOKUP(C1246,Stock_list!D:L,9,FALSE)</f>
        <v>43418</v>
      </c>
      <c r="F1246" s="157" t="s">
        <v>2861</v>
      </c>
      <c r="H1246" s="138">
        <v>181</v>
      </c>
      <c r="I1246" s="139" t="str">
        <f>VLOOKUP(H1246,Stock_list!A:R,18,FALSE)</f>
        <v>网娱视通</v>
      </c>
      <c r="J1246" s="139" t="str">
        <f>VLOOKUP(H1246,Stock_list!A:S,17,FALSE)</f>
        <v>C49SZX20180172ZX</v>
      </c>
      <c r="K1246" s="51" t="str">
        <f>VLOOKUP(H1246,Stock_list!A:T,16,FALSE)</f>
        <v>JPY</v>
      </c>
      <c r="L1246" s="4"/>
      <c r="M1246" s="132">
        <v>2</v>
      </c>
      <c r="P1246" s="4" t="str">
        <f>VLOOKUP(H1246,Stock_list!A:Y,25,FALSE)</f>
        <v>Yes</v>
      </c>
      <c r="Q1246" s="143"/>
      <c r="T1246" s="144"/>
      <c r="U1246" s="145" t="str">
        <f>VLOOKUP(H1246,Stock_list!A:N,14,FALSE)</f>
        <v>DEC 18</v>
      </c>
    </row>
    <row r="1247" spans="1:21" ht="16.5" customHeight="1">
      <c r="A1247" s="159" t="s">
        <v>2749</v>
      </c>
      <c r="B1247" s="114" t="str">
        <f>VLOOKUP(A1247,'Data pick slip'!B:F,5,FALSE)</f>
        <v>KHJ-MC500-00</v>
      </c>
      <c r="C1247" s="156">
        <v>109295</v>
      </c>
      <c r="E1247" s="160">
        <f>VLOOKUP(C1247,Stock_list!D:L,9,FALSE)</f>
        <v>43418</v>
      </c>
      <c r="F1247" s="157" t="s">
        <v>2861</v>
      </c>
      <c r="H1247" s="138">
        <v>181</v>
      </c>
      <c r="I1247" s="139" t="str">
        <f>VLOOKUP(H1247,Stock_list!A:R,18,FALSE)</f>
        <v>网娱视通</v>
      </c>
      <c r="J1247" s="139" t="str">
        <f>VLOOKUP(H1247,Stock_list!A:S,17,FALSE)</f>
        <v>C49SZX20180172ZX</v>
      </c>
      <c r="K1247" s="51" t="str">
        <f>VLOOKUP(H1247,Stock_list!A:T,16,FALSE)</f>
        <v>JPY</v>
      </c>
      <c r="L1247" s="4"/>
      <c r="M1247" s="132">
        <v>2</v>
      </c>
      <c r="P1247" s="4" t="str">
        <f>VLOOKUP(H1247,Stock_list!A:Y,25,FALSE)</f>
        <v>Yes</v>
      </c>
      <c r="Q1247" s="143"/>
      <c r="T1247" s="144"/>
      <c r="U1247" s="145" t="str">
        <f>VLOOKUP(H1247,Stock_list!A:N,14,FALSE)</f>
        <v>DEC 18</v>
      </c>
    </row>
    <row r="1248" spans="1:21" ht="16.5" customHeight="1">
      <c r="A1248" s="159" t="s">
        <v>2744</v>
      </c>
      <c r="B1248" s="114" t="str">
        <f>VLOOKUP(A1248,'Data pick slip'!B:F,5,FALSE)</f>
        <v>KHJ-MC100-00</v>
      </c>
      <c r="C1248" s="156">
        <v>109279</v>
      </c>
      <c r="E1248" s="160">
        <f>VLOOKUP(C1248,Stock_list!D:L,9,FALSE)</f>
        <v>43439</v>
      </c>
      <c r="F1248" s="157" t="s">
        <v>2861</v>
      </c>
      <c r="H1248" s="138">
        <v>182</v>
      </c>
      <c r="I1248" s="139" t="str">
        <f>VLOOKUP(H1248,Stock_list!A:R,18,FALSE)</f>
        <v>网娱视通</v>
      </c>
      <c r="J1248" s="139" t="str">
        <f>VLOOKUP(H1248,Stock_list!A:S,17,FALSE)</f>
        <v>C49SZX20180173ZX</v>
      </c>
      <c r="K1248" s="51" t="str">
        <f>VLOOKUP(H1248,Stock_list!A:T,16,FALSE)</f>
        <v>JPY</v>
      </c>
      <c r="L1248" s="4"/>
      <c r="M1248" s="140">
        <v>20</v>
      </c>
      <c r="P1248" s="4" t="str">
        <f>VLOOKUP(H1248,Stock_list!A:Y,25,FALSE)</f>
        <v>Yes</v>
      </c>
      <c r="Q1248" s="143"/>
      <c r="T1248" s="144"/>
      <c r="U1248" s="145" t="str">
        <f>VLOOKUP(H1248,Stock_list!A:N,14,FALSE)</f>
        <v>DEC 18</v>
      </c>
    </row>
    <row r="1249" spans="1:21" ht="16.5" customHeight="1">
      <c r="A1249" s="159" t="s">
        <v>2744</v>
      </c>
      <c r="B1249" s="114" t="str">
        <f>VLOOKUP(A1249,'Data pick slip'!B:F,5,FALSE)</f>
        <v>KHJ-MC100-00</v>
      </c>
      <c r="C1249" s="156">
        <v>109390</v>
      </c>
      <c r="E1249" s="160">
        <f>VLOOKUP(C1249,Stock_list!D:L,9,FALSE)</f>
        <v>43588</v>
      </c>
      <c r="F1249" s="157" t="s">
        <v>2861</v>
      </c>
      <c r="H1249" s="138">
        <v>183</v>
      </c>
      <c r="I1249" s="139" t="str">
        <f>VLOOKUP(H1249,Stock_list!A:R,18,FALSE)</f>
        <v>柏星</v>
      </c>
      <c r="J1249" s="139" t="str">
        <f>VLOOKUP(H1249,Stock_list!A:S,17,FALSE)</f>
        <v>C49SZX20180176SX</v>
      </c>
      <c r="K1249" s="51" t="str">
        <f>VLOOKUP(H1249,Stock_list!A:T,16,FALSE)</f>
        <v>JPY</v>
      </c>
      <c r="L1249" s="4"/>
      <c r="M1249" s="132">
        <v>50</v>
      </c>
      <c r="P1249" s="4" t="str">
        <f>VLOOKUP(H1249,Stock_list!A:Y,25,FALSE)</f>
        <v>Yes</v>
      </c>
      <c r="Q1249" s="143"/>
      <c r="T1249" s="144"/>
      <c r="U1249" s="145" t="str">
        <f>VLOOKUP(H1249,Stock_list!A:N,14,FALSE)</f>
        <v>FEB 19</v>
      </c>
    </row>
    <row r="1250" spans="1:21" ht="16.5" customHeight="1">
      <c r="A1250" s="159" t="s">
        <v>2747</v>
      </c>
      <c r="B1250" s="114" t="str">
        <f>VLOOKUP(A1250,'Data pick slip'!B:F,5,FALSE)</f>
        <v>KHJ-MC200-00</v>
      </c>
      <c r="C1250" s="156">
        <v>109493</v>
      </c>
      <c r="E1250" s="160">
        <f>VLOOKUP(C1250,Stock_list!D:L,9,FALSE)</f>
        <v>43546</v>
      </c>
      <c r="F1250" s="157" t="s">
        <v>2861</v>
      </c>
      <c r="H1250" s="138">
        <v>183</v>
      </c>
      <c r="I1250" s="139" t="str">
        <f>VLOOKUP(H1250,Stock_list!A:R,18,FALSE)</f>
        <v>柏星</v>
      </c>
      <c r="J1250" s="139" t="str">
        <f>VLOOKUP(H1250,Stock_list!A:S,17,FALSE)</f>
        <v>C49SZX20180176SX</v>
      </c>
      <c r="K1250" s="51" t="str">
        <f>VLOOKUP(H1250,Stock_list!A:T,16,FALSE)</f>
        <v>JPY</v>
      </c>
      <c r="L1250" s="4" t="s">
        <v>3024</v>
      </c>
      <c r="M1250" s="132">
        <v>5</v>
      </c>
      <c r="P1250" s="4" t="str">
        <f>VLOOKUP(H1250,Stock_list!A:Y,25,FALSE)</f>
        <v>Yes</v>
      </c>
      <c r="Q1250" s="143"/>
      <c r="T1250" s="144"/>
      <c r="U1250" s="145" t="str">
        <f>VLOOKUP(H1250,Stock_list!A:N,14,FALSE)</f>
        <v>FEB 19</v>
      </c>
    </row>
    <row r="1251" spans="1:21" ht="16.5" customHeight="1">
      <c r="A1251" s="159" t="s">
        <v>2748</v>
      </c>
      <c r="B1251" s="114" t="str">
        <f>VLOOKUP(A1251,'Data pick slip'!B:F,5,FALSE)</f>
        <v>KHJ-MC400-00</v>
      </c>
      <c r="C1251" s="156">
        <v>109493</v>
      </c>
      <c r="E1251" s="160">
        <f>VLOOKUP(C1251,Stock_list!D:L,9,FALSE)</f>
        <v>43546</v>
      </c>
      <c r="F1251" s="157" t="s">
        <v>2861</v>
      </c>
      <c r="H1251" s="138">
        <v>183</v>
      </c>
      <c r="I1251" s="139" t="str">
        <f>VLOOKUP(H1251,Stock_list!A:R,18,FALSE)</f>
        <v>柏星</v>
      </c>
      <c r="J1251" s="139" t="str">
        <f>VLOOKUP(H1251,Stock_list!A:S,17,FALSE)</f>
        <v>C49SZX20180176SX</v>
      </c>
      <c r="K1251" s="51" t="str">
        <f>VLOOKUP(H1251,Stock_list!A:T,16,FALSE)</f>
        <v>JPY</v>
      </c>
      <c r="L1251" s="4"/>
      <c r="M1251" s="132">
        <v>2</v>
      </c>
      <c r="P1251" s="4" t="str">
        <f>VLOOKUP(H1251,Stock_list!A:Y,25,FALSE)</f>
        <v>Yes</v>
      </c>
      <c r="Q1251" s="143"/>
      <c r="T1251" s="144"/>
      <c r="U1251" s="145" t="str">
        <f>VLOOKUP(H1251,Stock_list!A:N,14,FALSE)</f>
        <v>FEB 19</v>
      </c>
    </row>
    <row r="1252" spans="1:21" ht="16.5" customHeight="1">
      <c r="A1252" s="159" t="s">
        <v>2755</v>
      </c>
      <c r="B1252" s="114" t="str">
        <f>VLOOKUP(A1252,'Data pick slip'!B:F,5,FALSE)</f>
        <v>KLJ-MC100-00</v>
      </c>
      <c r="F1252" s="157" t="s">
        <v>2773</v>
      </c>
      <c r="H1252" s="138">
        <v>183</v>
      </c>
      <c r="I1252" s="139" t="str">
        <f>VLOOKUP(H1252,Stock_list!A:R,18,FALSE)</f>
        <v>柏星</v>
      </c>
      <c r="J1252" s="139" t="str">
        <f>VLOOKUP(H1252,Stock_list!A:S,17,FALSE)</f>
        <v>C49SZX20180176SX</v>
      </c>
      <c r="K1252" s="51" t="str">
        <f>VLOOKUP(H1252,Stock_list!A:T,16,FALSE)</f>
        <v>JPY</v>
      </c>
      <c r="L1252" s="4"/>
      <c r="M1252" s="132">
        <v>18</v>
      </c>
      <c r="P1252" s="4" t="str">
        <f>VLOOKUP(H1252,Stock_list!A:Y,25,FALSE)</f>
        <v>Yes</v>
      </c>
      <c r="Q1252" s="143"/>
      <c r="S1252" s="123" t="s">
        <v>3003</v>
      </c>
      <c r="T1252" s="144" t="s">
        <v>3036</v>
      </c>
      <c r="U1252" s="145" t="str">
        <f>VLOOKUP(H1252,Stock_list!A:N,14,FALSE)</f>
        <v>FEB 19</v>
      </c>
    </row>
    <row r="1253" spans="1:21" ht="16.5" customHeight="1">
      <c r="A1253" s="159" t="s">
        <v>2749</v>
      </c>
      <c r="B1253" s="114" t="str">
        <f>VLOOKUP(A1253,'Data pick slip'!B:F,5,FALSE)</f>
        <v>KHJ-MC500-00</v>
      </c>
      <c r="C1253" s="156">
        <v>109493</v>
      </c>
      <c r="E1253" s="160">
        <f>VLOOKUP(C1253,Stock_list!D:L,9,FALSE)</f>
        <v>43546</v>
      </c>
      <c r="F1253" s="157" t="s">
        <v>2773</v>
      </c>
      <c r="H1253" s="138">
        <v>183</v>
      </c>
      <c r="I1253" s="139" t="str">
        <f>VLOOKUP(H1253,Stock_list!A:R,18,FALSE)</f>
        <v>柏星</v>
      </c>
      <c r="J1253" s="139" t="str">
        <f>VLOOKUP(H1253,Stock_list!A:S,17,FALSE)</f>
        <v>C49SZX20180176SX</v>
      </c>
      <c r="K1253" s="51" t="str">
        <f>VLOOKUP(H1253,Stock_list!A:T,16,FALSE)</f>
        <v>JPY</v>
      </c>
      <c r="L1253" s="4"/>
      <c r="M1253" s="132">
        <v>1</v>
      </c>
      <c r="P1253" s="4" t="str">
        <f>VLOOKUP(H1253,Stock_list!A:Y,25,FALSE)</f>
        <v>Yes</v>
      </c>
      <c r="Q1253" s="143"/>
      <c r="S1253" s="123" t="s">
        <v>3003</v>
      </c>
      <c r="T1253" s="144" t="s">
        <v>3023</v>
      </c>
      <c r="U1253" s="145" t="str">
        <f>VLOOKUP(H1253,Stock_list!A:N,14,FALSE)</f>
        <v>FEB 19</v>
      </c>
    </row>
    <row r="1254" spans="1:21" ht="16.5" customHeight="1">
      <c r="A1254" s="159" t="s">
        <v>2750</v>
      </c>
      <c r="B1254" s="114" t="str">
        <f>VLOOKUP(A1254,'Data pick slip'!B:F,5,FALSE)</f>
        <v>KHJ-MC600-00</v>
      </c>
      <c r="E1254" s="160" t="e">
        <f>VLOOKUP(C1254,Stock_list!D:L,9,FALSE)</f>
        <v>#N/A</v>
      </c>
      <c r="F1254" s="157" t="s">
        <v>2773</v>
      </c>
      <c r="H1254" s="138">
        <v>183</v>
      </c>
      <c r="I1254" s="139" t="str">
        <f>VLOOKUP(H1254,Stock_list!A:R,18,FALSE)</f>
        <v>柏星</v>
      </c>
      <c r="J1254" s="139" t="str">
        <f>VLOOKUP(H1254,Stock_list!A:S,17,FALSE)</f>
        <v>C49SZX20180176SX</v>
      </c>
      <c r="K1254" s="51" t="str">
        <f>VLOOKUP(H1254,Stock_list!A:T,16,FALSE)</f>
        <v>JPY</v>
      </c>
      <c r="L1254" s="4"/>
      <c r="M1254" s="132">
        <v>1</v>
      </c>
      <c r="P1254" s="4" t="str">
        <f>VLOOKUP(H1254,Stock_list!A:Y,25,FALSE)</f>
        <v>Yes</v>
      </c>
      <c r="Q1254" s="143"/>
      <c r="S1254" s="123" t="s">
        <v>3003</v>
      </c>
      <c r="T1254" s="144" t="s">
        <v>3023</v>
      </c>
      <c r="U1254" s="145" t="str">
        <f>VLOOKUP(H1254,Stock_list!A:N,14,FALSE)</f>
        <v>FEB 19</v>
      </c>
    </row>
    <row r="1255" spans="1:21" ht="16.5" customHeight="1">
      <c r="A1255" s="159" t="s">
        <v>2744</v>
      </c>
      <c r="B1255" s="114" t="str">
        <f>VLOOKUP(A1255,'Data pick slip'!B:F,5,FALSE)</f>
        <v>KHJ-MC100-00</v>
      </c>
      <c r="C1255" s="156">
        <v>109390</v>
      </c>
      <c r="E1255" s="160">
        <f>VLOOKUP(C1255,Stock_list!D:L,9,FALSE)</f>
        <v>43588</v>
      </c>
      <c r="F1255" s="157" t="s">
        <v>2861</v>
      </c>
      <c r="H1255" s="138">
        <v>184</v>
      </c>
      <c r="I1255" s="139" t="str">
        <f>VLOOKUP(H1255,Stock_list!A:R,18,FALSE)</f>
        <v>永顺创</v>
      </c>
      <c r="J1255" s="139" t="str">
        <f>VLOOKUP(H1255,Stock_list!A:S,17,FALSE)</f>
        <v>C49SZX20180175SX</v>
      </c>
      <c r="K1255" s="51" t="str">
        <f>VLOOKUP(H1255,Stock_list!A:T,16,FALSE)</f>
        <v>JPY</v>
      </c>
      <c r="L1255" s="4"/>
      <c r="M1255" s="132">
        <v>50</v>
      </c>
      <c r="P1255" s="4" t="str">
        <f>VLOOKUP(H1255,Stock_list!A:Y,25,FALSE)</f>
        <v>Yes</v>
      </c>
      <c r="Q1255" s="143"/>
      <c r="T1255" s="144"/>
      <c r="U1255" s="145" t="str">
        <f>VLOOKUP(H1255,Stock_list!A:N,14,FALSE)</f>
        <v>MAR 19</v>
      </c>
    </row>
    <row r="1256" spans="1:21" ht="16.5" customHeight="1">
      <c r="A1256" s="159" t="s">
        <v>2747</v>
      </c>
      <c r="B1256" s="114" t="str">
        <f>VLOOKUP(A1256,'Data pick slip'!B:F,5,FALSE)</f>
        <v>KHJ-MC200-00</v>
      </c>
      <c r="C1256" s="156">
        <v>109493</v>
      </c>
      <c r="E1256" s="160">
        <f>VLOOKUP(C1256,Stock_list!D:L,9,FALSE)</f>
        <v>43546</v>
      </c>
      <c r="F1256" s="157" t="s">
        <v>2861</v>
      </c>
      <c r="H1256" s="138">
        <v>184</v>
      </c>
      <c r="I1256" s="139" t="str">
        <f>VLOOKUP(H1256,Stock_list!A:R,18,FALSE)</f>
        <v>永顺创</v>
      </c>
      <c r="J1256" s="139" t="str">
        <f>VLOOKUP(H1256,Stock_list!A:S,17,FALSE)</f>
        <v>C49SZX20180175SX</v>
      </c>
      <c r="K1256" s="51" t="str">
        <f>VLOOKUP(H1256,Stock_list!A:T,16,FALSE)</f>
        <v>JPY</v>
      </c>
      <c r="L1256" s="4">
        <v>43532</v>
      </c>
      <c r="M1256" s="132">
        <v>8</v>
      </c>
      <c r="P1256" s="4" t="str">
        <f>VLOOKUP(H1256,Stock_list!A:Y,25,FALSE)</f>
        <v>Yes</v>
      </c>
      <c r="Q1256" s="143"/>
      <c r="T1256" s="144"/>
      <c r="U1256" s="145" t="str">
        <f>VLOOKUP(H1256,Stock_list!A:N,14,FALSE)</f>
        <v>MAR 19</v>
      </c>
    </row>
    <row r="1257" spans="1:21" ht="16.5" customHeight="1">
      <c r="A1257" s="159" t="s">
        <v>2748</v>
      </c>
      <c r="B1257" s="114" t="str">
        <f>VLOOKUP(A1257,'Data pick slip'!B:F,5,FALSE)</f>
        <v>KHJ-MC400-00</v>
      </c>
      <c r="C1257" s="156">
        <v>109493</v>
      </c>
      <c r="E1257" s="160">
        <f>VLOOKUP(C1257,Stock_list!D:L,9,FALSE)</f>
        <v>43546</v>
      </c>
      <c r="F1257" s="157" t="s">
        <v>2861</v>
      </c>
      <c r="H1257" s="138">
        <v>184</v>
      </c>
      <c r="I1257" s="139" t="str">
        <f>VLOOKUP(H1257,Stock_list!A:R,18,FALSE)</f>
        <v>永顺创</v>
      </c>
      <c r="J1257" s="139" t="str">
        <f>VLOOKUP(H1257,Stock_list!A:S,17,FALSE)</f>
        <v>C49SZX20180175SX</v>
      </c>
      <c r="K1257" s="51" t="str">
        <f>VLOOKUP(H1257,Stock_list!A:T,16,FALSE)</f>
        <v>JPY</v>
      </c>
      <c r="L1257" s="4"/>
      <c r="M1257" s="132">
        <v>2</v>
      </c>
      <c r="P1257" s="4" t="str">
        <f>VLOOKUP(H1257,Stock_list!A:Y,25,FALSE)</f>
        <v>Yes</v>
      </c>
      <c r="Q1257" s="143"/>
      <c r="T1257" s="144"/>
      <c r="U1257" s="145" t="str">
        <f>VLOOKUP(H1257,Stock_list!A:N,14,FALSE)</f>
        <v>MAR 19</v>
      </c>
    </row>
    <row r="1258" spans="1:21" ht="16.5" customHeight="1">
      <c r="A1258" s="159" t="s">
        <v>2749</v>
      </c>
      <c r="B1258" s="114" t="str">
        <f>VLOOKUP(A1258,'Data pick slip'!B:F,5,FALSE)</f>
        <v>KHJ-MC500-00</v>
      </c>
      <c r="C1258" s="156">
        <v>109493</v>
      </c>
      <c r="E1258" s="160">
        <f>VLOOKUP(C1258,Stock_list!D:L,9,FALSE)</f>
        <v>43546</v>
      </c>
      <c r="F1258" s="157" t="s">
        <v>2861</v>
      </c>
      <c r="H1258" s="138">
        <v>184</v>
      </c>
      <c r="I1258" s="139" t="str">
        <f>VLOOKUP(H1258,Stock_list!A:R,18,FALSE)</f>
        <v>永顺创</v>
      </c>
      <c r="J1258" s="139" t="str">
        <f>VLOOKUP(H1258,Stock_list!A:S,17,FALSE)</f>
        <v>C49SZX20180175SX</v>
      </c>
      <c r="K1258" s="51" t="str">
        <f>VLOOKUP(H1258,Stock_list!A:T,16,FALSE)</f>
        <v>JPY</v>
      </c>
      <c r="L1258" s="4"/>
      <c r="M1258" s="132">
        <v>1</v>
      </c>
      <c r="P1258" s="4" t="str">
        <f>VLOOKUP(H1258,Stock_list!A:Y,25,FALSE)</f>
        <v>Yes</v>
      </c>
      <c r="Q1258" s="143"/>
      <c r="T1258" s="144"/>
      <c r="U1258" s="145" t="str">
        <f>VLOOKUP(H1258,Stock_list!A:N,14,FALSE)</f>
        <v>MAR 19</v>
      </c>
    </row>
    <row r="1259" spans="1:21" ht="16.5" customHeight="1">
      <c r="A1259" s="159" t="s">
        <v>2755</v>
      </c>
      <c r="B1259" s="114" t="str">
        <f>VLOOKUP(A1259,'Data pick slip'!B:F,5,FALSE)</f>
        <v>KLJ-MC100-00</v>
      </c>
      <c r="F1259" s="157" t="s">
        <v>2773</v>
      </c>
      <c r="H1259" s="138">
        <v>184</v>
      </c>
      <c r="I1259" s="139" t="str">
        <f>VLOOKUP(H1259,Stock_list!A:R,18,FALSE)</f>
        <v>永顺创</v>
      </c>
      <c r="J1259" s="139" t="str">
        <f>VLOOKUP(H1259,Stock_list!A:S,17,FALSE)</f>
        <v>C49SZX20180175SX</v>
      </c>
      <c r="K1259" s="51" t="str">
        <f>VLOOKUP(H1259,Stock_list!A:T,16,FALSE)</f>
        <v>JPY</v>
      </c>
      <c r="L1259" s="4"/>
      <c r="M1259" s="132">
        <v>38</v>
      </c>
      <c r="P1259" s="4" t="str">
        <f>VLOOKUP(H1259,Stock_list!A:Y,25,FALSE)</f>
        <v>Yes</v>
      </c>
      <c r="Q1259" s="143"/>
      <c r="S1259" s="123" t="s">
        <v>3003</v>
      </c>
      <c r="T1259" s="205" t="s">
        <v>3037</v>
      </c>
      <c r="U1259" s="145" t="str">
        <f>VLOOKUP(H1259,Stock_list!A:N,14,FALSE)</f>
        <v>MAR 19</v>
      </c>
    </row>
    <row r="1260" spans="1:21" ht="16.5" customHeight="1">
      <c r="A1260" s="159" t="s">
        <v>2751</v>
      </c>
      <c r="B1260" s="114" t="str">
        <f>VLOOKUP(A1260,'Data pick slip'!B:F,5,FALSE)</f>
        <v>KHJ-MC700-00</v>
      </c>
      <c r="E1260" s="160" t="e">
        <f>VLOOKUP(C1260,Stock_list!D:L,9,FALSE)</f>
        <v>#N/A</v>
      </c>
      <c r="F1260" s="157" t="s">
        <v>2773</v>
      </c>
      <c r="I1260" s="139" t="s">
        <v>2853</v>
      </c>
      <c r="J1260" s="139" t="s">
        <v>3038</v>
      </c>
      <c r="K1260" s="51" t="s">
        <v>1246</v>
      </c>
      <c r="L1260" s="4"/>
      <c r="M1260" s="132">
        <v>1</v>
      </c>
      <c r="P1260" s="4" t="s">
        <v>291</v>
      </c>
      <c r="Q1260" s="143"/>
      <c r="T1260" s="144"/>
      <c r="U1260" s="145" t="e">
        <f>VLOOKUP(H1260,Stock_list!A:N,14,FALSE)</f>
        <v>#N/A</v>
      </c>
    </row>
    <row r="1261" spans="1:21" ht="16.5" customHeight="1">
      <c r="A1261" s="159" t="s">
        <v>2748</v>
      </c>
      <c r="B1261" s="114" t="str">
        <f>VLOOKUP(A1261,'Data pick slip'!B:F,5,FALSE)</f>
        <v>KHJ-MC400-00</v>
      </c>
      <c r="E1261" s="160" t="e">
        <f>VLOOKUP(C1261,Stock_list!D:L,9,FALSE)</f>
        <v>#N/A</v>
      </c>
      <c r="F1261" s="157" t="s">
        <v>2861</v>
      </c>
      <c r="I1261" s="139" t="s">
        <v>2853</v>
      </c>
      <c r="J1261" s="139" t="s">
        <v>3039</v>
      </c>
      <c r="K1261" s="51" t="s">
        <v>1246</v>
      </c>
      <c r="L1261" s="4"/>
      <c r="M1261" s="132">
        <v>2</v>
      </c>
      <c r="P1261" s="4" t="s">
        <v>291</v>
      </c>
      <c r="Q1261" s="143"/>
      <c r="T1261" s="144"/>
      <c r="U1261" s="145" t="e">
        <f>VLOOKUP(H1261,Stock_list!A:N,14,FALSE)</f>
        <v>#N/A</v>
      </c>
    </row>
    <row r="1262" spans="1:21" ht="16.5" customHeight="1">
      <c r="A1262" s="159" t="s">
        <v>2744</v>
      </c>
      <c r="B1262" s="114" t="str">
        <f>VLOOKUP(A1262,'Data pick slip'!B:F,5,FALSE)</f>
        <v>KHJ-MC100-00</v>
      </c>
      <c r="C1262" s="156">
        <v>109238</v>
      </c>
      <c r="E1262" s="160">
        <f>VLOOKUP(C1262,Stock_list!D:L,9,FALSE)</f>
        <v>43327</v>
      </c>
      <c r="F1262" s="157" t="s">
        <v>2861</v>
      </c>
      <c r="H1262" s="138">
        <v>186</v>
      </c>
      <c r="I1262" s="139" t="str">
        <f>VLOOKUP(H1262,Stock_list!A:R,18,FALSE)</f>
        <v>世达威</v>
      </c>
      <c r="J1262" s="139" t="str">
        <f>VLOOKUP(H1262,Stock_list!A:S,17,FALSE)</f>
        <v>C49SZX20180180ZX</v>
      </c>
      <c r="K1262" s="51" t="str">
        <f>VLOOKUP(H1262,Stock_list!A:T,16,FALSE)</f>
        <v>JPY</v>
      </c>
      <c r="L1262" s="4"/>
      <c r="M1262" s="132">
        <v>20</v>
      </c>
      <c r="P1262" s="4" t="str">
        <f>VLOOKUP(H1262,Stock_list!A:Y,25,FALSE)</f>
        <v>Yes</v>
      </c>
      <c r="Q1262" s="143"/>
      <c r="T1262" s="144"/>
      <c r="U1262" s="145" t="str">
        <f>VLOOKUP(H1262,Stock_list!A:N,14,FALSE)</f>
        <v>DEC 18</v>
      </c>
    </row>
    <row r="1263" spans="1:21" ht="16.5" customHeight="1">
      <c r="A1263" s="159" t="s">
        <v>2747</v>
      </c>
      <c r="B1263" s="114" t="str">
        <f>VLOOKUP(A1263,'Data pick slip'!B:F,5,FALSE)</f>
        <v>KHJ-MC200-00</v>
      </c>
      <c r="C1263" s="156">
        <v>109238</v>
      </c>
      <c r="E1263" s="160">
        <f>VLOOKUP(C1263,Stock_list!D:L,9,FALSE)</f>
        <v>43327</v>
      </c>
      <c r="F1263" s="157" t="s">
        <v>2861</v>
      </c>
      <c r="H1263" s="138">
        <v>186</v>
      </c>
      <c r="I1263" s="139" t="str">
        <f>VLOOKUP(H1263,Stock_list!A:R,18,FALSE)</f>
        <v>世达威</v>
      </c>
      <c r="J1263" s="139" t="str">
        <f>VLOOKUP(H1263,Stock_list!A:S,17,FALSE)</f>
        <v>C49SZX20180180ZX</v>
      </c>
      <c r="K1263" s="51" t="str">
        <f>VLOOKUP(H1263,Stock_list!A:T,16,FALSE)</f>
        <v>JPY</v>
      </c>
      <c r="L1263" s="4" t="s">
        <v>3024</v>
      </c>
      <c r="M1263" s="132">
        <v>10</v>
      </c>
      <c r="P1263" s="4" t="str">
        <f>VLOOKUP(H1263,Stock_list!A:Y,25,FALSE)</f>
        <v>Yes</v>
      </c>
      <c r="Q1263" s="143"/>
      <c r="T1263" s="144"/>
      <c r="U1263" s="145" t="str">
        <f>VLOOKUP(H1263,Stock_list!A:N,14,FALSE)</f>
        <v>DEC 18</v>
      </c>
    </row>
    <row r="1264" spans="1:21" ht="16.5" customHeight="1">
      <c r="A1264" s="159" t="s">
        <v>2748</v>
      </c>
      <c r="B1264" s="114" t="str">
        <f>VLOOKUP(A1264,'Data pick slip'!B:F,5,FALSE)</f>
        <v>KHJ-MC400-00</v>
      </c>
      <c r="C1264" s="156">
        <v>109238</v>
      </c>
      <c r="E1264" s="160">
        <f>VLOOKUP(C1264,Stock_list!D:L,9,FALSE)</f>
        <v>43327</v>
      </c>
      <c r="F1264" s="157" t="s">
        <v>2861</v>
      </c>
      <c r="H1264" s="138">
        <v>186</v>
      </c>
      <c r="I1264" s="139" t="str">
        <f>VLOOKUP(H1264,Stock_list!A:R,18,FALSE)</f>
        <v>世达威</v>
      </c>
      <c r="J1264" s="139" t="str">
        <f>VLOOKUP(H1264,Stock_list!A:S,17,FALSE)</f>
        <v>C49SZX20180180ZX</v>
      </c>
      <c r="K1264" s="51" t="str">
        <f>VLOOKUP(H1264,Stock_list!A:T,16,FALSE)</f>
        <v>JPY</v>
      </c>
      <c r="L1264" s="4"/>
      <c r="M1264" s="132">
        <v>2</v>
      </c>
      <c r="P1264" s="4" t="str">
        <f>VLOOKUP(H1264,Stock_list!A:Y,25,FALSE)</f>
        <v>Yes</v>
      </c>
      <c r="Q1264" s="143"/>
      <c r="T1264" s="144"/>
      <c r="U1264" s="145" t="str">
        <f>VLOOKUP(H1264,Stock_list!A:N,14,FALSE)</f>
        <v>DEC 18</v>
      </c>
    </row>
    <row r="1265" spans="1:21" ht="16.5" customHeight="1">
      <c r="A1265" s="159" t="s">
        <v>2744</v>
      </c>
      <c r="B1265" s="114" t="str">
        <f>VLOOKUP(A1265,'Data pick slip'!B:F,5,FALSE)</f>
        <v>KHJ-MC100-00</v>
      </c>
      <c r="E1265" s="160" t="e">
        <f>VLOOKUP(C1265,Stock_list!D:L,9,FALSE)</f>
        <v>#N/A</v>
      </c>
      <c r="F1265" s="157" t="s">
        <v>2773</v>
      </c>
      <c r="H1265" s="138">
        <v>100</v>
      </c>
      <c r="I1265" s="139" t="str">
        <f>VLOOKUP(H1265,Stock_list!A:R,18,FALSE)</f>
        <v>小耳朵</v>
      </c>
      <c r="J1265" s="139" t="str">
        <f>VLOOKUP(H1265,Stock_list!A:S,17,FALSE)</f>
        <v>C49SZX20180103MZ</v>
      </c>
      <c r="K1265" s="51" t="str">
        <f>VLOOKUP(H1265,Stock_list!A:T,16,FALSE)</f>
        <v>JPY</v>
      </c>
      <c r="L1265" s="4"/>
      <c r="M1265" s="132"/>
      <c r="O1265" s="132">
        <f>3-3</f>
        <v>0</v>
      </c>
      <c r="P1265" s="4" t="str">
        <f>VLOOKUP(H1265,Stock_list!A:Y,25,FALSE)</f>
        <v>Yes</v>
      </c>
      <c r="Q1265" s="143"/>
      <c r="T1265" s="144"/>
      <c r="U1265" s="145" t="str">
        <f>VLOOKUP(H1265,Stock_list!A:N,14,FALSE)</f>
        <v>FEB 19</v>
      </c>
    </row>
    <row r="1266" spans="1:21" ht="16.5" customHeight="1">
      <c r="A1266" s="159" t="s">
        <v>2748</v>
      </c>
      <c r="B1266" s="114" t="str">
        <f>VLOOKUP(A1266,'Data pick slip'!B:F,5,FALSE)</f>
        <v>KHJ-MC400-00</v>
      </c>
      <c r="E1266" s="160" t="e">
        <f>VLOOKUP(C1266,Stock_list!D:L,9,FALSE)</f>
        <v>#N/A</v>
      </c>
      <c r="F1266" s="157" t="s">
        <v>2861</v>
      </c>
      <c r="I1266" s="139" t="s">
        <v>3015</v>
      </c>
      <c r="J1266" s="139" t="s">
        <v>3040</v>
      </c>
      <c r="K1266" s="51" t="s">
        <v>1246</v>
      </c>
      <c r="L1266" s="4"/>
      <c r="M1266" s="132">
        <v>10</v>
      </c>
      <c r="P1266" s="4" t="s">
        <v>291</v>
      </c>
      <c r="Q1266" s="143"/>
      <c r="T1266" s="144"/>
      <c r="U1266" s="145" t="e">
        <f>VLOOKUP(H1266,Stock_list!A:N,14,FALSE)</f>
        <v>#N/A</v>
      </c>
    </row>
    <row r="1267" spans="1:21" ht="16.5" customHeight="1">
      <c r="A1267" s="159" t="s">
        <v>2757</v>
      </c>
      <c r="B1267" s="114" t="str">
        <f>VLOOKUP(A1267,'Data pick slip'!B:F,5,FALSE)</f>
        <v>KLJ-MC400-00</v>
      </c>
      <c r="E1267" s="160" t="e">
        <f>VLOOKUP(C1267,Stock_list!D:L,9,FALSE)</f>
        <v>#N/A</v>
      </c>
      <c r="F1267" s="157" t="s">
        <v>2861</v>
      </c>
      <c r="I1267" s="139" t="s">
        <v>3015</v>
      </c>
      <c r="J1267" s="139" t="s">
        <v>3040</v>
      </c>
      <c r="K1267" s="51" t="s">
        <v>1246</v>
      </c>
      <c r="L1267" s="4"/>
      <c r="M1267" s="132">
        <v>21</v>
      </c>
      <c r="P1267" s="4" t="s">
        <v>291</v>
      </c>
      <c r="Q1267" s="143"/>
      <c r="T1267" s="144"/>
      <c r="U1267" s="145" t="e">
        <f>VLOOKUP(H1267,Stock_list!A:N,14,FALSE)</f>
        <v>#N/A</v>
      </c>
    </row>
    <row r="1268" spans="1:21" ht="16.5" customHeight="1">
      <c r="A1268" s="159" t="s">
        <v>2749</v>
      </c>
      <c r="B1268" s="114" t="str">
        <f>VLOOKUP(A1268,'Data pick slip'!B:F,5,FALSE)</f>
        <v>KHJ-MC500-00</v>
      </c>
      <c r="F1268" s="157" t="s">
        <v>2861</v>
      </c>
      <c r="I1268" s="139" t="s">
        <v>3015</v>
      </c>
      <c r="J1268" s="139" t="s">
        <v>3040</v>
      </c>
      <c r="K1268" s="51" t="s">
        <v>1246</v>
      </c>
      <c r="L1268" s="4"/>
      <c r="M1268" s="132">
        <v>7</v>
      </c>
      <c r="P1268" s="4" t="s">
        <v>291</v>
      </c>
      <c r="Q1268" s="143"/>
      <c r="T1268" s="144"/>
      <c r="U1268" s="145" t="e">
        <f>VLOOKUP(H1268,Stock_list!A:N,14,FALSE)</f>
        <v>#N/A</v>
      </c>
    </row>
    <row r="1269" spans="1:21" ht="16.5" customHeight="1">
      <c r="A1269" s="159" t="s">
        <v>2744</v>
      </c>
      <c r="B1269" s="114" t="str">
        <f>VLOOKUP(A1269,'Data pick slip'!B:F,5,FALSE)</f>
        <v>KHJ-MC100-00</v>
      </c>
      <c r="F1269" s="157" t="s">
        <v>2861</v>
      </c>
      <c r="I1269" s="139" t="s">
        <v>3015</v>
      </c>
      <c r="J1269" s="139" t="s">
        <v>3040</v>
      </c>
      <c r="K1269" s="51" t="s">
        <v>1246</v>
      </c>
      <c r="L1269" s="4">
        <v>43441</v>
      </c>
      <c r="M1269" s="132">
        <v>150</v>
      </c>
      <c r="P1269" s="4" t="s">
        <v>291</v>
      </c>
      <c r="Q1269" s="143"/>
      <c r="T1269" s="144"/>
      <c r="U1269" s="145" t="e">
        <f>VLOOKUP(H1269,Stock_list!A:N,14,FALSE)</f>
        <v>#N/A</v>
      </c>
    </row>
    <row r="1270" spans="1:21" ht="16.5" customHeight="1">
      <c r="A1270" s="159" t="s">
        <v>2748</v>
      </c>
      <c r="B1270" s="114" t="str">
        <f>VLOOKUP(A1270,'Data pick slip'!B:F,5,FALSE)</f>
        <v>KHJ-MC400-00</v>
      </c>
      <c r="F1270" s="157" t="s">
        <v>2773</v>
      </c>
      <c r="I1270" s="139" t="s">
        <v>2853</v>
      </c>
      <c r="J1270" s="139" t="s">
        <v>3041</v>
      </c>
      <c r="K1270" s="51" t="s">
        <v>1246</v>
      </c>
      <c r="L1270" s="4" t="s">
        <v>3014</v>
      </c>
      <c r="M1270" s="132">
        <v>8</v>
      </c>
      <c r="P1270" s="4" t="s">
        <v>291</v>
      </c>
      <c r="Q1270" s="143"/>
      <c r="T1270" s="144"/>
      <c r="U1270" s="145" t="e">
        <f>VLOOKUP(H1270,Stock_list!A:N,14,FALSE)</f>
        <v>#N/A</v>
      </c>
    </row>
    <row r="1271" spans="1:21" ht="16.5" customHeight="1">
      <c r="A1271" s="159" t="s">
        <v>2744</v>
      </c>
      <c r="B1271" s="114" t="str">
        <f>VLOOKUP(A1271,'Data pick slip'!B:F,5,FALSE)</f>
        <v>KHJ-MC100-00</v>
      </c>
      <c r="F1271" s="157" t="s">
        <v>2773</v>
      </c>
      <c r="I1271" s="139" t="s">
        <v>2853</v>
      </c>
      <c r="J1271" s="139" t="s">
        <v>3042</v>
      </c>
      <c r="K1271" s="51" t="s">
        <v>1246</v>
      </c>
      <c r="L1271" s="4"/>
      <c r="M1271" s="132">
        <v>45</v>
      </c>
      <c r="P1271" s="4" t="s">
        <v>291</v>
      </c>
      <c r="Q1271" s="143"/>
      <c r="T1271" s="144"/>
      <c r="U1271" s="145" t="e">
        <f>VLOOKUP(H1271,Stock_list!A:N,14,FALSE)</f>
        <v>#N/A</v>
      </c>
    </row>
    <row r="1272" spans="1:21" ht="16.5" customHeight="1">
      <c r="A1272" s="159" t="s">
        <v>2747</v>
      </c>
      <c r="B1272" s="114" t="str">
        <f>VLOOKUP(A1272,'Data pick slip'!B:F,5,FALSE)</f>
        <v>KHJ-MC200-00</v>
      </c>
      <c r="F1272" s="157" t="s">
        <v>2773</v>
      </c>
      <c r="I1272" s="139" t="s">
        <v>2853</v>
      </c>
      <c r="J1272" s="139" t="s">
        <v>3042</v>
      </c>
      <c r="K1272" s="51" t="s">
        <v>1246</v>
      </c>
      <c r="L1272" s="4" t="s">
        <v>3024</v>
      </c>
      <c r="M1272" s="132">
        <v>2</v>
      </c>
      <c r="P1272" s="4" t="s">
        <v>291</v>
      </c>
      <c r="Q1272" s="143"/>
      <c r="T1272" s="144"/>
      <c r="U1272" s="145" t="e">
        <f>VLOOKUP(H1272,Stock_list!A:N,14,FALSE)</f>
        <v>#N/A</v>
      </c>
    </row>
    <row r="1273" spans="1:21" ht="16.5" customHeight="1">
      <c r="A1273" s="159" t="s">
        <v>2750</v>
      </c>
      <c r="B1273" s="114" t="str">
        <f>VLOOKUP(A1273,'Data pick slip'!B:F,5,FALSE)</f>
        <v>KHJ-MC600-00</v>
      </c>
      <c r="F1273" s="157" t="s">
        <v>2773</v>
      </c>
      <c r="I1273" s="139" t="s">
        <v>2853</v>
      </c>
      <c r="J1273" s="139" t="s">
        <v>3042</v>
      </c>
      <c r="K1273" s="51" t="s">
        <v>1246</v>
      </c>
      <c r="L1273" s="4"/>
      <c r="M1273" s="132">
        <v>1</v>
      </c>
      <c r="P1273" s="4" t="s">
        <v>291</v>
      </c>
      <c r="Q1273" s="143"/>
      <c r="T1273" s="144"/>
      <c r="U1273" s="145" t="e">
        <f>VLOOKUP(H1273,Stock_list!A:N,14,FALSE)</f>
        <v>#N/A</v>
      </c>
    </row>
    <row r="1274" spans="1:21" ht="16.5" customHeight="1">
      <c r="A1274" s="159" t="s">
        <v>2744</v>
      </c>
      <c r="B1274" s="114" t="str">
        <f>VLOOKUP(A1274,'Data pick slip'!B:F,5,FALSE)</f>
        <v>KHJ-MC100-00</v>
      </c>
      <c r="F1274" s="157" t="s">
        <v>2773</v>
      </c>
      <c r="I1274" s="139" t="s">
        <v>2853</v>
      </c>
      <c r="J1274" s="139" t="s">
        <v>3043</v>
      </c>
      <c r="K1274" s="51" t="s">
        <v>1246</v>
      </c>
      <c r="L1274" s="4"/>
      <c r="M1274" s="132">
        <v>10</v>
      </c>
      <c r="P1274" s="4" t="s">
        <v>291</v>
      </c>
      <c r="Q1274" s="143"/>
      <c r="T1274" s="144"/>
      <c r="U1274" s="145" t="e">
        <f>VLOOKUP(H1274,Stock_list!A:N,14,FALSE)</f>
        <v>#N/A</v>
      </c>
    </row>
    <row r="1275" spans="1:21" ht="16.5" customHeight="1">
      <c r="A1275" s="159" t="s">
        <v>2750</v>
      </c>
      <c r="B1275" s="114" t="str">
        <f>VLOOKUP(A1275,'Data pick slip'!B:F,5,FALSE)</f>
        <v>KHJ-MC600-00</v>
      </c>
      <c r="F1275" s="157" t="s">
        <v>2773</v>
      </c>
      <c r="I1275" s="139" t="s">
        <v>2853</v>
      </c>
      <c r="J1275" s="139" t="s">
        <v>3044</v>
      </c>
      <c r="K1275" s="51" t="s">
        <v>1246</v>
      </c>
      <c r="L1275" s="4"/>
      <c r="M1275" s="132">
        <v>4</v>
      </c>
      <c r="P1275" s="4" t="s">
        <v>291</v>
      </c>
      <c r="Q1275" s="143"/>
      <c r="T1275" s="144"/>
      <c r="U1275" s="145" t="e">
        <f>VLOOKUP(H1275,Stock_list!A:N,14,FALSE)</f>
        <v>#N/A</v>
      </c>
    </row>
    <row r="1276" spans="1:21" ht="16.5" customHeight="1">
      <c r="A1276" s="159" t="s">
        <v>2744</v>
      </c>
      <c r="B1276" s="114" t="str">
        <f>VLOOKUP(A1276,'Data pick slip'!B:F,5,FALSE)</f>
        <v>KHJ-MC100-00</v>
      </c>
      <c r="F1276" s="157" t="s">
        <v>2773</v>
      </c>
      <c r="I1276" s="139" t="s">
        <v>2853</v>
      </c>
      <c r="J1276" s="139" t="s">
        <v>3045</v>
      </c>
      <c r="K1276" s="51" t="s">
        <v>1246</v>
      </c>
      <c r="L1276" s="4"/>
      <c r="M1276" s="132">
        <v>26</v>
      </c>
      <c r="P1276" s="4" t="s">
        <v>291</v>
      </c>
      <c r="Q1276" s="143"/>
      <c r="T1276" s="144"/>
      <c r="U1276" s="145" t="e">
        <f>VLOOKUP(H1276,Stock_list!A:N,14,FALSE)</f>
        <v>#N/A</v>
      </c>
    </row>
    <row r="1277" spans="1:21" ht="16.5" customHeight="1">
      <c r="A1277" s="159" t="s">
        <v>2756</v>
      </c>
      <c r="B1277" s="114" t="str">
        <f>VLOOKUP(A1277,'Data pick slip'!B:F,5,FALSE)</f>
        <v>KLJ-MC200-00</v>
      </c>
      <c r="F1277" s="157" t="s">
        <v>2773</v>
      </c>
      <c r="I1277" s="139" t="s">
        <v>2853</v>
      </c>
      <c r="J1277" s="139" t="s">
        <v>3045</v>
      </c>
      <c r="K1277" s="51" t="s">
        <v>1246</v>
      </c>
      <c r="L1277" s="4"/>
      <c r="M1277" s="132">
        <v>8</v>
      </c>
      <c r="P1277" s="4" t="s">
        <v>291</v>
      </c>
      <c r="T1277" s="144"/>
      <c r="U1277" s="145" t="e">
        <f>VLOOKUP(H1277,Stock_list!A:N,14,FALSE)</f>
        <v>#N/A</v>
      </c>
    </row>
    <row r="1278" spans="1:21" ht="16.5" customHeight="1">
      <c r="A1278" s="159" t="s">
        <v>2757</v>
      </c>
      <c r="B1278" s="114" t="str">
        <f>VLOOKUP(A1278,'Data pick slip'!B:F,5,FALSE)</f>
        <v>KLJ-MC400-00</v>
      </c>
      <c r="F1278" s="157" t="s">
        <v>2773</v>
      </c>
      <c r="I1278" s="139" t="s">
        <v>2853</v>
      </c>
      <c r="J1278" s="139" t="s">
        <v>3045</v>
      </c>
      <c r="K1278" s="51" t="s">
        <v>1246</v>
      </c>
      <c r="L1278" s="4"/>
      <c r="M1278" s="132">
        <v>2</v>
      </c>
      <c r="P1278" s="4" t="s">
        <v>291</v>
      </c>
      <c r="Q1278" s="143"/>
      <c r="T1278" s="144"/>
      <c r="U1278" s="145" t="e">
        <f>VLOOKUP(H1278,Stock_list!A:N,14,FALSE)</f>
        <v>#N/A</v>
      </c>
    </row>
    <row r="1279" spans="1:21" ht="16.5" customHeight="1">
      <c r="A1279" s="159" t="s">
        <v>2749</v>
      </c>
      <c r="B1279" s="114" t="str">
        <f>VLOOKUP(A1279,'Data pick slip'!B:F,5,FALSE)</f>
        <v>KHJ-MC500-00</v>
      </c>
      <c r="F1279" s="157" t="s">
        <v>2773</v>
      </c>
      <c r="I1279" s="139" t="s">
        <v>2853</v>
      </c>
      <c r="J1279" s="139" t="s">
        <v>3045</v>
      </c>
      <c r="K1279" s="51" t="s">
        <v>1246</v>
      </c>
      <c r="L1279" s="4"/>
      <c r="M1279" s="132">
        <v>1</v>
      </c>
      <c r="P1279" s="4" t="s">
        <v>291</v>
      </c>
      <c r="Q1279" s="143"/>
      <c r="T1279" s="144"/>
      <c r="U1279" s="145" t="e">
        <f>VLOOKUP(H1279,Stock_list!A:N,14,FALSE)</f>
        <v>#N/A</v>
      </c>
    </row>
    <row r="1280" spans="1:21" ht="16.5" customHeight="1">
      <c r="A1280" s="159" t="s">
        <v>2756</v>
      </c>
      <c r="B1280" s="114" t="str">
        <f>VLOOKUP(A1280,'Data pick slip'!B:F,5,FALSE)</f>
        <v>KLJ-MC200-00</v>
      </c>
      <c r="F1280" s="157" t="s">
        <v>2773</v>
      </c>
      <c r="I1280" s="139" t="s">
        <v>2853</v>
      </c>
      <c r="J1280" s="139" t="s">
        <v>3046</v>
      </c>
      <c r="K1280" s="51" t="s">
        <v>1246</v>
      </c>
      <c r="L1280" s="4"/>
      <c r="M1280" s="132">
        <v>14</v>
      </c>
      <c r="P1280" s="4" t="s">
        <v>291</v>
      </c>
      <c r="T1280" s="144"/>
      <c r="U1280" s="145" t="e">
        <f>VLOOKUP(H1280,Stock_list!A:N,14,FALSE)</f>
        <v>#N/A</v>
      </c>
    </row>
    <row r="1281" spans="1:21" ht="16.5" customHeight="1">
      <c r="A1281" s="159" t="s">
        <v>2744</v>
      </c>
      <c r="B1281" s="114" t="str">
        <f>VLOOKUP(A1281,'Data pick slip'!B:F,5,FALSE)</f>
        <v>KHJ-MC100-00</v>
      </c>
      <c r="F1281" s="157" t="s">
        <v>2773</v>
      </c>
      <c r="H1281" s="138">
        <v>189</v>
      </c>
      <c r="I1281" s="139" t="str">
        <f>VLOOKUP(H1281,Stock_list!A:R,18,FALSE)</f>
        <v>美斯特</v>
      </c>
      <c r="J1281" s="139" t="str">
        <f>VLOOKUP(H1281,Stock_list!A:S,17,FALSE)</f>
        <v>C49SZX20180185ZX</v>
      </c>
      <c r="K1281" s="51" t="str">
        <f>VLOOKUP(H1281,Stock_list!A:T,16,FALSE)</f>
        <v>RMB</v>
      </c>
      <c r="L1281" s="4"/>
      <c r="M1281" s="132">
        <v>40</v>
      </c>
      <c r="P1281" s="4" t="str">
        <f>VLOOKUP(H1281,Stock_list!A:Y,25,FALSE)</f>
        <v>Yes</v>
      </c>
      <c r="Q1281" s="133"/>
      <c r="T1281" s="144"/>
      <c r="U1281" s="145" t="str">
        <f>VLOOKUP(H1281,Stock_list!A:N,14,FALSE)</f>
        <v>FEB 19</v>
      </c>
    </row>
    <row r="1282" spans="1:21" ht="16.5" customHeight="1">
      <c r="A1282" s="159" t="s">
        <v>2747</v>
      </c>
      <c r="B1282" s="114" t="str">
        <f>VLOOKUP(A1282,'Data pick slip'!B:F,5,FALSE)</f>
        <v>KHJ-MC200-00</v>
      </c>
      <c r="F1282" s="157" t="s">
        <v>2773</v>
      </c>
      <c r="H1282" s="138">
        <v>189</v>
      </c>
      <c r="I1282" s="139" t="str">
        <f>VLOOKUP(H1282,Stock_list!A:R,18,FALSE)</f>
        <v>美斯特</v>
      </c>
      <c r="J1282" s="139" t="str">
        <f>VLOOKUP(H1282,Stock_list!A:S,17,FALSE)</f>
        <v>C49SZX20180185ZX</v>
      </c>
      <c r="K1282" s="51" t="str">
        <f>VLOOKUP(H1282,Stock_list!A:T,16,FALSE)</f>
        <v>RMB</v>
      </c>
      <c r="L1282" s="4" t="s">
        <v>3024</v>
      </c>
      <c r="M1282" s="132">
        <v>2</v>
      </c>
      <c r="P1282" s="4" t="str">
        <f>VLOOKUP(H1282,Stock_list!A:Y,25,FALSE)</f>
        <v>Yes</v>
      </c>
      <c r="Q1282" s="133"/>
      <c r="T1282" s="144"/>
      <c r="U1282" s="145" t="str">
        <f>VLOOKUP(H1282,Stock_list!A:N,14,FALSE)</f>
        <v>FEB 19</v>
      </c>
    </row>
    <row r="1283" spans="1:21" ht="16.5" customHeight="1">
      <c r="A1283" s="159" t="s">
        <v>2748</v>
      </c>
      <c r="B1283" s="114" t="str">
        <f>VLOOKUP(A1283,'Data pick slip'!B:F,5,FALSE)</f>
        <v>KHJ-MC400-00</v>
      </c>
      <c r="F1283" s="157" t="s">
        <v>2773</v>
      </c>
      <c r="H1283" s="138">
        <v>189</v>
      </c>
      <c r="I1283" s="139" t="str">
        <f>VLOOKUP(H1283,Stock_list!A:R,18,FALSE)</f>
        <v>美斯特</v>
      </c>
      <c r="J1283" s="139" t="str">
        <f>VLOOKUP(H1283,Stock_list!A:S,17,FALSE)</f>
        <v>C49SZX20180185ZX</v>
      </c>
      <c r="K1283" s="51" t="str">
        <f>VLOOKUP(H1283,Stock_list!A:T,16,FALSE)</f>
        <v>RMB</v>
      </c>
      <c r="L1283" s="4" t="s">
        <v>3014</v>
      </c>
      <c r="M1283" s="132">
        <v>2</v>
      </c>
      <c r="P1283" s="4" t="str">
        <f>VLOOKUP(H1283,Stock_list!A:Y,25,FALSE)</f>
        <v>Yes</v>
      </c>
      <c r="Q1283" s="133"/>
      <c r="T1283" s="144"/>
      <c r="U1283" s="145" t="str">
        <f>VLOOKUP(H1283,Stock_list!A:N,14,FALSE)</f>
        <v>FEB 19</v>
      </c>
    </row>
    <row r="1284" spans="1:21" ht="16.5" customHeight="1">
      <c r="A1284" s="159" t="s">
        <v>2744</v>
      </c>
      <c r="B1284" s="114" t="str">
        <f>VLOOKUP(A1284,'Data pick slip'!B:F,5,FALSE)</f>
        <v>KHJ-MC100-00</v>
      </c>
      <c r="C1284" s="156">
        <v>109344</v>
      </c>
      <c r="F1284" s="157" t="s">
        <v>2861</v>
      </c>
      <c r="H1284" s="138">
        <v>201</v>
      </c>
      <c r="I1284" s="139" t="str">
        <f>VLOOKUP(H1284,Stock_list!A:R,18,FALSE)</f>
        <v>Kingtron络鑫</v>
      </c>
      <c r="J1284" s="139" t="str">
        <f>VLOOKUP(H1284,Stock_list!A:S,17,FALSE)</f>
        <v>C49SZX20190001JY</v>
      </c>
      <c r="K1284" s="51" t="str">
        <f>VLOOKUP(H1284,Stock_list!A:T,16,FALSE)</f>
        <v>JPY</v>
      </c>
      <c r="L1284" s="4">
        <v>43628</v>
      </c>
      <c r="M1284" s="132">
        <v>170</v>
      </c>
      <c r="P1284" s="4" t="str">
        <f>VLOOKUP(H1284,Stock_list!A:Y,25,FALSE)</f>
        <v>Yes</v>
      </c>
      <c r="Q1284" s="133"/>
      <c r="T1284" s="144"/>
      <c r="U1284" s="145" t="str">
        <f>VLOOKUP(H1284,Stock_list!A:N,14,FALSE)</f>
        <v>JUN 19</v>
      </c>
    </row>
    <row r="1285" spans="1:21" ht="16.5" customHeight="1">
      <c r="A1285" s="159" t="s">
        <v>2747</v>
      </c>
      <c r="B1285" s="114" t="str">
        <f>VLOOKUP(A1285,'Data pick slip'!B:F,5,FALSE)</f>
        <v>KHJ-MC200-00</v>
      </c>
      <c r="C1285" s="156">
        <v>109344</v>
      </c>
      <c r="F1285" s="157" t="s">
        <v>2861</v>
      </c>
      <c r="H1285" s="138">
        <v>201</v>
      </c>
      <c r="I1285" s="139" t="str">
        <f>VLOOKUP(H1285,Stock_list!A:R,18,FALSE)</f>
        <v>Kingtron络鑫</v>
      </c>
      <c r="J1285" s="139" t="str">
        <f>VLOOKUP(H1285,Stock_list!A:S,17,FALSE)</f>
        <v>C49SZX20190001JY</v>
      </c>
      <c r="K1285" s="51" t="str">
        <f>VLOOKUP(H1285,Stock_list!A:T,16,FALSE)</f>
        <v>JPY</v>
      </c>
      <c r="L1285" s="4">
        <v>43628</v>
      </c>
      <c r="M1285" s="132">
        <v>25</v>
      </c>
      <c r="P1285" s="4" t="str">
        <f>VLOOKUP(H1285,Stock_list!A:Y,25,FALSE)</f>
        <v>Yes</v>
      </c>
      <c r="Q1285" s="133"/>
      <c r="T1285" s="144"/>
      <c r="U1285" s="145" t="str">
        <f>VLOOKUP(H1285,Stock_list!A:N,14,FALSE)</f>
        <v>JUN 19</v>
      </c>
    </row>
    <row r="1286" spans="1:21" ht="16.5" customHeight="1">
      <c r="A1286" s="159" t="s">
        <v>2748</v>
      </c>
      <c r="B1286" s="114" t="str">
        <f>VLOOKUP(A1286,'Data pick slip'!B:F,5,FALSE)</f>
        <v>KHJ-MC400-00</v>
      </c>
      <c r="C1286" s="156">
        <v>109493</v>
      </c>
      <c r="F1286" s="157" t="s">
        <v>2861</v>
      </c>
      <c r="H1286" s="138">
        <v>201</v>
      </c>
      <c r="I1286" s="139" t="str">
        <f>VLOOKUP(H1286,Stock_list!A:R,18,FALSE)</f>
        <v>Kingtron络鑫</v>
      </c>
      <c r="J1286" s="139" t="str">
        <f>VLOOKUP(H1286,Stock_list!A:S,17,FALSE)</f>
        <v>C49SZX20190001JY</v>
      </c>
      <c r="K1286" s="51" t="str">
        <f>VLOOKUP(H1286,Stock_list!A:T,16,FALSE)</f>
        <v>JPY</v>
      </c>
      <c r="L1286" s="4">
        <v>43628</v>
      </c>
      <c r="M1286" s="132">
        <v>3</v>
      </c>
      <c r="P1286" s="4" t="str">
        <f>VLOOKUP(H1286,Stock_list!A:Y,25,FALSE)</f>
        <v>Yes</v>
      </c>
      <c r="Q1286" s="133"/>
      <c r="T1286" s="144"/>
      <c r="U1286" s="145" t="str">
        <f>VLOOKUP(H1286,Stock_list!A:N,14,FALSE)</f>
        <v>JUN 19</v>
      </c>
    </row>
    <row r="1287" spans="1:21" ht="16.5" customHeight="1">
      <c r="A1287" s="159" t="s">
        <v>2749</v>
      </c>
      <c r="B1287" s="114" t="str">
        <f>VLOOKUP(A1287,'Data pick slip'!B:F,5,FALSE)</f>
        <v>KHJ-MC500-00</v>
      </c>
      <c r="C1287" s="156">
        <v>109493</v>
      </c>
      <c r="F1287" s="157" t="s">
        <v>2861</v>
      </c>
      <c r="H1287" s="138">
        <v>201</v>
      </c>
      <c r="I1287" s="139" t="str">
        <f>VLOOKUP(H1287,Stock_list!A:R,18,FALSE)</f>
        <v>Kingtron络鑫</v>
      </c>
      <c r="J1287" s="139" t="str">
        <f>VLOOKUP(H1287,Stock_list!A:S,17,FALSE)</f>
        <v>C49SZX20190001JY</v>
      </c>
      <c r="K1287" s="51" t="str">
        <f>VLOOKUP(H1287,Stock_list!A:T,16,FALSE)</f>
        <v>JPY</v>
      </c>
      <c r="L1287" s="4">
        <v>43628</v>
      </c>
      <c r="M1287" s="132">
        <v>1</v>
      </c>
      <c r="P1287" s="4" t="str">
        <f>VLOOKUP(H1287,Stock_list!A:Y,25,FALSE)</f>
        <v>Yes</v>
      </c>
      <c r="Q1287" s="133"/>
      <c r="T1287" s="144"/>
      <c r="U1287" s="145" t="str">
        <f>VLOOKUP(H1287,Stock_list!A:N,14,FALSE)</f>
        <v>JUN 19</v>
      </c>
    </row>
    <row r="1288" spans="1:21" ht="16.5" customHeight="1">
      <c r="A1288" s="159" t="s">
        <v>2744</v>
      </c>
      <c r="B1288" s="114" t="str">
        <f>VLOOKUP(A1288,'Data pick slip'!B:F,5,FALSE)</f>
        <v>KHJ-MC100-00</v>
      </c>
      <c r="F1288" s="157" t="s">
        <v>2773</v>
      </c>
      <c r="H1288" s="138">
        <v>208</v>
      </c>
      <c r="I1288" s="139" t="str">
        <f>VLOOKUP(H1288,Stock_list!A:R,18,FALSE)</f>
        <v>An Lin东莞安林</v>
      </c>
      <c r="J1288" s="139" t="str">
        <f>VLOOKUP(H1288,Stock_list!A:S,17,FALSE)</f>
        <v>C49SZX20190005SX</v>
      </c>
      <c r="K1288" s="51" t="str">
        <f>VLOOKUP(H1288,Stock_list!A:T,16,FALSE)</f>
        <v>RMB</v>
      </c>
      <c r="L1288" s="4"/>
      <c r="M1288" s="132">
        <v>40</v>
      </c>
      <c r="P1288" s="4" t="str">
        <f>VLOOKUP(H1288,Stock_list!A:Y,25,FALSE)</f>
        <v>Yes</v>
      </c>
      <c r="Q1288" s="143"/>
      <c r="T1288" s="144"/>
      <c r="U1288" s="145" t="str">
        <f>VLOOKUP(H1288,Stock_list!A:N,14,FALSE)</f>
        <v>FEB 19</v>
      </c>
    </row>
    <row r="1289" spans="1:21" ht="16.5" customHeight="1">
      <c r="A1289" s="159" t="s">
        <v>2747</v>
      </c>
      <c r="B1289" s="114" t="str">
        <f>VLOOKUP(A1289,'Data pick slip'!B:F,5,FALSE)</f>
        <v>KHJ-MC200-00</v>
      </c>
      <c r="F1289" s="157" t="s">
        <v>2773</v>
      </c>
      <c r="H1289" s="138">
        <v>208</v>
      </c>
      <c r="I1289" s="139" t="str">
        <f>VLOOKUP(H1289,Stock_list!A:R,18,FALSE)</f>
        <v>An Lin东莞安林</v>
      </c>
      <c r="J1289" s="139" t="str">
        <f>VLOOKUP(H1289,Stock_list!A:S,17,FALSE)</f>
        <v>C49SZX20190005SX</v>
      </c>
      <c r="K1289" s="51" t="str">
        <f>VLOOKUP(H1289,Stock_list!A:T,16,FALSE)</f>
        <v>RMB</v>
      </c>
      <c r="L1289" s="290" t="s">
        <v>3008</v>
      </c>
      <c r="M1289" s="132">
        <v>5</v>
      </c>
      <c r="P1289" s="4" t="str">
        <f>VLOOKUP(H1289,Stock_list!A:Y,25,FALSE)</f>
        <v>Yes</v>
      </c>
      <c r="Q1289" s="143"/>
      <c r="T1289" s="144"/>
      <c r="U1289" s="145" t="str">
        <f>VLOOKUP(H1289,Stock_list!A:N,14,FALSE)</f>
        <v>FEB 19</v>
      </c>
    </row>
    <row r="1290" spans="1:21" ht="16.5" customHeight="1">
      <c r="A1290" s="159" t="s">
        <v>2748</v>
      </c>
      <c r="B1290" s="114" t="str">
        <f>VLOOKUP(A1290,'Data pick slip'!B:F,5,FALSE)</f>
        <v>KHJ-MC400-00</v>
      </c>
      <c r="F1290" s="157" t="s">
        <v>2773</v>
      </c>
      <c r="H1290" s="138">
        <v>208</v>
      </c>
      <c r="I1290" s="139" t="str">
        <f>VLOOKUP(H1290,Stock_list!A:R,18,FALSE)</f>
        <v>An Lin东莞安林</v>
      </c>
      <c r="J1290" s="139" t="str">
        <f>VLOOKUP(H1290,Stock_list!A:S,17,FALSE)</f>
        <v>C49SZX20190005SX</v>
      </c>
      <c r="K1290" s="51" t="str">
        <f>VLOOKUP(H1290,Stock_list!A:T,16,FALSE)</f>
        <v>RMB</v>
      </c>
      <c r="L1290" s="4" t="s">
        <v>3014</v>
      </c>
      <c r="M1290" s="132">
        <v>1</v>
      </c>
      <c r="P1290" s="4" t="str">
        <f>VLOOKUP(H1290,Stock_list!A:Y,25,FALSE)</f>
        <v>Yes</v>
      </c>
      <c r="Q1290" s="143"/>
      <c r="T1290" s="144"/>
      <c r="U1290" s="145" t="str">
        <f>VLOOKUP(H1290,Stock_list!A:N,14,FALSE)</f>
        <v>FEB 19</v>
      </c>
    </row>
    <row r="1291" spans="1:21" ht="27" customHeight="1">
      <c r="A1291" s="159" t="s">
        <v>2744</v>
      </c>
      <c r="B1291" s="114" t="str">
        <f>VLOOKUP(A1291,'Data pick slip'!B:F,5,FALSE)</f>
        <v>KHJ-MC100-00</v>
      </c>
      <c r="F1291" s="157" t="s">
        <v>2773</v>
      </c>
      <c r="H1291" s="138">
        <v>209</v>
      </c>
      <c r="I1291" s="139" t="str">
        <f>VLOOKUP(H1291,Stock_list!A:R,18,FALSE)</f>
        <v>KeChengDa科诚达</v>
      </c>
      <c r="J1291" s="139" t="str">
        <f>VLOOKUP(H1291,Stock_list!A:S,17,FALSE)</f>
        <v>C49SZX20190006ZX</v>
      </c>
      <c r="K1291" s="51" t="str">
        <f>VLOOKUP(H1291,Stock_list!A:T,16,FALSE)</f>
        <v>RMB</v>
      </c>
      <c r="L1291" s="4"/>
      <c r="M1291" s="132">
        <v>60</v>
      </c>
      <c r="P1291" s="4" t="str">
        <f>VLOOKUP(H1291,Stock_list!A:Y,25,FALSE)</f>
        <v>Yes</v>
      </c>
      <c r="Q1291" s="143"/>
      <c r="T1291" s="144"/>
      <c r="U1291" s="145" t="str">
        <f>VLOOKUP(H1291,Stock_list!A:N,14,FALSE)</f>
        <v>FEB 19</v>
      </c>
    </row>
    <row r="1292" spans="1:21" ht="16.5" customHeight="1">
      <c r="A1292" s="159" t="s">
        <v>2744</v>
      </c>
      <c r="B1292" s="114" t="str">
        <f>VLOOKUP(A1292,'Data pick slip'!B:F,5,FALSE)</f>
        <v>KHJ-MC100-00</v>
      </c>
      <c r="F1292" s="157" t="s">
        <v>2773</v>
      </c>
      <c r="H1292" s="138">
        <v>211</v>
      </c>
      <c r="I1292" s="139" t="str">
        <f>VLOOKUP(H1292,Stock_list!A:R,18,FALSE)</f>
        <v>安林An Lin</v>
      </c>
      <c r="J1292" s="139" t="str">
        <f>VLOOKUP(H1292,Stock_list!A:S,17,FALSE)</f>
        <v>C49SZX20190011SX</v>
      </c>
      <c r="K1292" s="51" t="str">
        <f>VLOOKUP(H1292,Stock_list!A:T,16,FALSE)</f>
        <v>RMB</v>
      </c>
      <c r="L1292" s="4"/>
      <c r="M1292" s="132">
        <v>40</v>
      </c>
      <c r="P1292" s="4" t="str">
        <f>VLOOKUP(H1292,Stock_list!A:Y,25,FALSE)</f>
        <v>Yes</v>
      </c>
      <c r="Q1292" s="143"/>
      <c r="T1292" s="144"/>
      <c r="U1292" s="145" t="str">
        <f>VLOOKUP(H1292,Stock_list!A:N,14,FALSE)</f>
        <v>FEB 19</v>
      </c>
    </row>
    <row r="1293" spans="1:21" ht="16.5" customHeight="1">
      <c r="A1293" s="159" t="s">
        <v>2747</v>
      </c>
      <c r="B1293" s="114" t="str">
        <f>VLOOKUP(A1293,'Data pick slip'!B:F,5,FALSE)</f>
        <v>KHJ-MC200-00</v>
      </c>
      <c r="F1293" s="157" t="s">
        <v>2773</v>
      </c>
      <c r="H1293" s="138">
        <v>211</v>
      </c>
      <c r="I1293" s="139" t="str">
        <f>VLOOKUP(H1293,Stock_list!A:R,18,FALSE)</f>
        <v>安林An Lin</v>
      </c>
      <c r="J1293" s="139" t="str">
        <f>VLOOKUP(H1293,Stock_list!A:S,17,FALSE)</f>
        <v>C49SZX20190011SX</v>
      </c>
      <c r="K1293" s="51" t="str">
        <f>VLOOKUP(H1293,Stock_list!A:T,16,FALSE)</f>
        <v>RMB</v>
      </c>
      <c r="L1293" s="290" t="s">
        <v>3008</v>
      </c>
      <c r="M1293" s="132">
        <v>5</v>
      </c>
      <c r="P1293" s="4" t="str">
        <f>VLOOKUP(H1293,Stock_list!A:Y,25,FALSE)</f>
        <v>Yes</v>
      </c>
      <c r="Q1293" s="143"/>
      <c r="T1293" s="144"/>
      <c r="U1293" s="145" t="str">
        <f>VLOOKUP(H1293,Stock_list!A:N,14,FALSE)</f>
        <v>FEB 19</v>
      </c>
    </row>
    <row r="1294" spans="1:21" ht="16.5" customHeight="1">
      <c r="A1294" s="159" t="s">
        <v>2748</v>
      </c>
      <c r="B1294" s="114" t="str">
        <f>VLOOKUP(A1294,'Data pick slip'!B:F,5,FALSE)</f>
        <v>KHJ-MC400-00</v>
      </c>
      <c r="F1294" s="157" t="s">
        <v>2773</v>
      </c>
      <c r="H1294" s="138">
        <v>211</v>
      </c>
      <c r="I1294" s="139" t="str">
        <f>VLOOKUP(H1294,Stock_list!A:R,18,FALSE)</f>
        <v>安林An Lin</v>
      </c>
      <c r="J1294" s="139" t="str">
        <f>VLOOKUP(H1294,Stock_list!A:S,17,FALSE)</f>
        <v>C49SZX20190011SX</v>
      </c>
      <c r="K1294" s="51" t="str">
        <f>VLOOKUP(H1294,Stock_list!A:T,16,FALSE)</f>
        <v>RMB</v>
      </c>
      <c r="L1294" s="4" t="s">
        <v>3014</v>
      </c>
      <c r="M1294" s="132">
        <v>1</v>
      </c>
      <c r="P1294" s="4" t="str">
        <f>VLOOKUP(H1294,Stock_list!A:Y,25,FALSE)</f>
        <v>Yes</v>
      </c>
      <c r="Q1294" s="143"/>
      <c r="T1294" s="144"/>
      <c r="U1294" s="145" t="str">
        <f>VLOOKUP(H1294,Stock_list!A:N,14,FALSE)</f>
        <v>FEB 19</v>
      </c>
    </row>
    <row r="1295" spans="1:21" ht="16.5" customHeight="1">
      <c r="A1295" s="159" t="s">
        <v>2744</v>
      </c>
      <c r="B1295" s="114" t="str">
        <f>VLOOKUP(A1295,'Data pick slip'!B:F,5,FALSE)</f>
        <v>KHJ-MC100-00</v>
      </c>
      <c r="C1295" s="156">
        <v>109344</v>
      </c>
      <c r="F1295" s="157" t="s">
        <v>2861</v>
      </c>
      <c r="H1295" s="138">
        <v>212</v>
      </c>
      <c r="I1295" s="139" t="str">
        <f>VLOOKUP(H1295,Stock_list!A:R,18,FALSE)</f>
        <v>昶达CHEERSTAR</v>
      </c>
      <c r="J1295" s="139" t="str">
        <f>VLOOKUP(H1295,Stock_list!A:S,17,FALSE)</f>
        <v>C49SZX20190007JL</v>
      </c>
      <c r="K1295" s="51" t="str">
        <f>VLOOKUP(H1295,Stock_list!A:T,16,FALSE)</f>
        <v>JPY</v>
      </c>
      <c r="L1295" s="4"/>
      <c r="M1295" s="132">
        <v>40</v>
      </c>
      <c r="P1295" s="4" t="str">
        <f>VLOOKUP(H1295,Stock_list!A:Y,25,FALSE)</f>
        <v>Yes</v>
      </c>
      <c r="Q1295" s="143"/>
      <c r="T1295" s="144"/>
      <c r="U1295" s="145" t="str">
        <f>VLOOKUP(H1295,Stock_list!A:N,14,FALSE)</f>
        <v>MAR 19</v>
      </c>
    </row>
    <row r="1296" spans="1:21" ht="16.5" customHeight="1">
      <c r="A1296" s="159" t="s">
        <v>2747</v>
      </c>
      <c r="B1296" s="114" t="str">
        <f>VLOOKUP(A1296,'Data pick slip'!B:F,5,FALSE)</f>
        <v>KHJ-MC200-00</v>
      </c>
      <c r="C1296" s="156">
        <v>109344</v>
      </c>
      <c r="F1296" s="157" t="s">
        <v>2861</v>
      </c>
      <c r="H1296" s="138">
        <v>212</v>
      </c>
      <c r="I1296" s="139" t="str">
        <f>VLOOKUP(H1296,Stock_list!A:R,18,FALSE)</f>
        <v>昶达CHEERSTAR</v>
      </c>
      <c r="J1296" s="139" t="str">
        <f>VLOOKUP(H1296,Stock_list!A:S,17,FALSE)</f>
        <v>C49SZX20190007JL</v>
      </c>
      <c r="K1296" s="51" t="str">
        <f>VLOOKUP(H1296,Stock_list!A:T,16,FALSE)</f>
        <v>JPY</v>
      </c>
      <c r="L1296" s="4">
        <v>43529</v>
      </c>
      <c r="M1296" s="132">
        <v>10</v>
      </c>
      <c r="P1296" s="4" t="str">
        <f>VLOOKUP(H1296,Stock_list!A:Y,25,FALSE)</f>
        <v>Yes</v>
      </c>
      <c r="Q1296" s="143"/>
      <c r="T1296" s="144"/>
      <c r="U1296" s="145" t="str">
        <f>VLOOKUP(H1296,Stock_list!A:N,14,FALSE)</f>
        <v>MAR 19</v>
      </c>
    </row>
    <row r="1297" spans="1:21" ht="16.5" customHeight="1">
      <c r="A1297" s="159" t="s">
        <v>2748</v>
      </c>
      <c r="B1297" s="114" t="str">
        <f>VLOOKUP(A1297,'Data pick slip'!B:F,5,FALSE)</f>
        <v>KHJ-MC400-00</v>
      </c>
      <c r="C1297" s="156">
        <v>109493</v>
      </c>
      <c r="F1297" s="157" t="s">
        <v>2861</v>
      </c>
      <c r="H1297" s="138">
        <v>212</v>
      </c>
      <c r="I1297" s="139" t="str">
        <f>VLOOKUP(H1297,Stock_list!A:R,18,FALSE)</f>
        <v>昶达CHEERSTAR</v>
      </c>
      <c r="J1297" s="139" t="str">
        <f>VLOOKUP(H1297,Stock_list!A:S,17,FALSE)</f>
        <v>C49SZX20190007JL</v>
      </c>
      <c r="K1297" s="51" t="str">
        <f>VLOOKUP(H1297,Stock_list!A:T,16,FALSE)</f>
        <v>JPY</v>
      </c>
      <c r="L1297" s="4"/>
      <c r="M1297" s="132">
        <v>4</v>
      </c>
      <c r="P1297" s="4" t="str">
        <f>VLOOKUP(H1297,Stock_list!A:Y,25,FALSE)</f>
        <v>Yes</v>
      </c>
      <c r="Q1297" s="143"/>
      <c r="T1297" s="144"/>
      <c r="U1297" s="145" t="str">
        <f>VLOOKUP(H1297,Stock_list!A:N,14,FALSE)</f>
        <v>MAR 19</v>
      </c>
    </row>
    <row r="1298" spans="1:21" ht="16.5" customHeight="1">
      <c r="A1298" s="159" t="s">
        <v>2755</v>
      </c>
      <c r="B1298" s="114" t="str">
        <f>VLOOKUP(A1298,'Data pick slip'!B:F,5,FALSE)</f>
        <v>KLJ-MC100-00</v>
      </c>
      <c r="F1298" s="157" t="s">
        <v>2773</v>
      </c>
      <c r="H1298" s="138">
        <v>212</v>
      </c>
      <c r="I1298" s="139" t="str">
        <f>VLOOKUP(H1298,Stock_list!A:R,18,FALSE)</f>
        <v>昶达CHEERSTAR</v>
      </c>
      <c r="J1298" s="139" t="str">
        <f>VLOOKUP(H1298,Stock_list!A:S,17,FALSE)</f>
        <v>C49SZX20190007JL</v>
      </c>
      <c r="K1298" s="51" t="str">
        <f>VLOOKUP(H1298,Stock_list!A:T,16,FALSE)</f>
        <v>JPY</v>
      </c>
      <c r="L1298" s="4"/>
      <c r="M1298" s="132">
        <v>7</v>
      </c>
      <c r="P1298" s="4" t="str">
        <f>VLOOKUP(H1298,Stock_list!A:Y,25,FALSE)</f>
        <v>Yes</v>
      </c>
      <c r="Q1298" s="143"/>
      <c r="S1298" s="123" t="s">
        <v>3003</v>
      </c>
      <c r="T1298" s="205" t="s">
        <v>3047</v>
      </c>
      <c r="U1298" s="145" t="str">
        <f>VLOOKUP(H1298,Stock_list!A:N,14,FALSE)</f>
        <v>MAR 19</v>
      </c>
    </row>
    <row r="1299" spans="1:21" ht="16.5" customHeight="1">
      <c r="A1299" s="159" t="s">
        <v>2744</v>
      </c>
      <c r="B1299" s="114" t="str">
        <f>VLOOKUP(A1299,'Data pick slip'!B:F,5,FALSE)</f>
        <v>KHJ-MC100-00</v>
      </c>
      <c r="F1299" s="157" t="s">
        <v>2861</v>
      </c>
      <c r="H1299" s="138">
        <v>222</v>
      </c>
      <c r="I1299" s="139" t="str">
        <f>VLOOKUP(H1299,Stock_list!A:R,18,FALSE)</f>
        <v>恒泰</v>
      </c>
      <c r="J1299" s="139" t="str">
        <f>VLOOKUP(H1299,Stock_list!A:S,17,FALSE)</f>
        <v>C49SZX20190012SX</v>
      </c>
      <c r="K1299" s="51" t="str">
        <f>VLOOKUP(H1299,Stock_list!A:T,16,FALSE)</f>
        <v>JPY</v>
      </c>
      <c r="L1299" s="4">
        <v>43490</v>
      </c>
      <c r="M1299" s="132">
        <v>20</v>
      </c>
      <c r="P1299" s="4" t="str">
        <f>VLOOKUP(H1299,Stock_list!A:Y,25,FALSE)</f>
        <v>Yes</v>
      </c>
      <c r="Q1299" s="143"/>
      <c r="T1299" s="144"/>
      <c r="U1299" s="145" t="str">
        <f>VLOOKUP(H1299,Stock_list!A:N,14,FALSE)</f>
        <v>JAN 19</v>
      </c>
    </row>
    <row r="1300" spans="1:21" ht="16.5" customHeight="1">
      <c r="A1300" s="159" t="s">
        <v>2747</v>
      </c>
      <c r="B1300" s="114" t="str">
        <f>VLOOKUP(A1300,'Data pick slip'!B:F,5,FALSE)</f>
        <v>KHJ-MC200-00</v>
      </c>
      <c r="F1300" s="157" t="s">
        <v>2861</v>
      </c>
      <c r="H1300" s="138">
        <v>222</v>
      </c>
      <c r="I1300" s="139" t="str">
        <f>VLOOKUP(H1300,Stock_list!A:R,18,FALSE)</f>
        <v>恒泰</v>
      </c>
      <c r="J1300" s="139" t="str">
        <f>VLOOKUP(H1300,Stock_list!A:S,17,FALSE)</f>
        <v>C49SZX20190012SX</v>
      </c>
      <c r="K1300" s="51" t="str">
        <f>VLOOKUP(H1300,Stock_list!A:T,16,FALSE)</f>
        <v>JPY</v>
      </c>
      <c r="L1300" s="4">
        <v>43490</v>
      </c>
      <c r="M1300" s="132">
        <v>10</v>
      </c>
      <c r="P1300" s="4" t="str">
        <f>VLOOKUP(H1300,Stock_list!A:Y,25,FALSE)</f>
        <v>Yes</v>
      </c>
      <c r="Q1300" s="143"/>
      <c r="T1300" s="144"/>
      <c r="U1300" s="145" t="str">
        <f>VLOOKUP(H1300,Stock_list!A:N,14,FALSE)</f>
        <v>JAN 19</v>
      </c>
    </row>
    <row r="1301" spans="1:21" ht="16.5" customHeight="1">
      <c r="A1301" s="159" t="s">
        <v>2748</v>
      </c>
      <c r="B1301" s="114" t="str">
        <f>VLOOKUP(A1301,'Data pick slip'!B:F,5,FALSE)</f>
        <v>KHJ-MC400-00</v>
      </c>
      <c r="F1301" s="157" t="s">
        <v>2861</v>
      </c>
      <c r="H1301" s="138">
        <v>222</v>
      </c>
      <c r="I1301" s="139" t="str">
        <f>VLOOKUP(H1301,Stock_list!A:R,18,FALSE)</f>
        <v>恒泰</v>
      </c>
      <c r="J1301" s="139" t="str">
        <f>VLOOKUP(H1301,Stock_list!A:S,17,FALSE)</f>
        <v>C49SZX20190012SX</v>
      </c>
      <c r="K1301" s="51" t="str">
        <f>VLOOKUP(H1301,Stock_list!A:T,16,FALSE)</f>
        <v>JPY</v>
      </c>
      <c r="L1301" s="4">
        <v>43490</v>
      </c>
      <c r="M1301" s="132">
        <v>3</v>
      </c>
      <c r="P1301" s="4" t="str">
        <f>VLOOKUP(H1301,Stock_list!A:Y,25,FALSE)</f>
        <v>Yes</v>
      </c>
      <c r="Q1301" s="143"/>
      <c r="T1301" s="144"/>
      <c r="U1301" s="145" t="str">
        <f>VLOOKUP(H1301,Stock_list!A:N,14,FALSE)</f>
        <v>JAN 19</v>
      </c>
    </row>
    <row r="1302" spans="1:21" ht="16.5" customHeight="1">
      <c r="A1302" s="159" t="s">
        <v>2755</v>
      </c>
      <c r="B1302" s="114" t="str">
        <f>VLOOKUP(A1302,'Data pick slip'!B:F,5,FALSE)</f>
        <v>KLJ-MC100-00</v>
      </c>
      <c r="F1302" s="157" t="s">
        <v>2773</v>
      </c>
      <c r="H1302" s="138">
        <v>222</v>
      </c>
      <c r="I1302" s="139" t="str">
        <f>VLOOKUP(H1302,Stock_list!A:R,18,FALSE)</f>
        <v>恒泰</v>
      </c>
      <c r="J1302" s="139" t="str">
        <f>VLOOKUP(H1302,Stock_list!A:S,17,FALSE)</f>
        <v>C49SZX20190012SX</v>
      </c>
      <c r="K1302" s="51" t="str">
        <f>VLOOKUP(H1302,Stock_list!A:T,16,FALSE)</f>
        <v>JPY</v>
      </c>
      <c r="L1302" s="4">
        <v>43490</v>
      </c>
      <c r="M1302" s="132">
        <v>10</v>
      </c>
      <c r="P1302" s="4" t="str">
        <f>VLOOKUP(H1302,Stock_list!A:Y,25,FALSE)</f>
        <v>Yes</v>
      </c>
      <c r="Q1302" s="143"/>
      <c r="S1302" s="123" t="s">
        <v>3003</v>
      </c>
      <c r="T1302" s="144" t="s">
        <v>3036</v>
      </c>
      <c r="U1302" s="145" t="str">
        <f>VLOOKUP(H1302,Stock_list!A:N,14,FALSE)</f>
        <v>JAN 19</v>
      </c>
    </row>
    <row r="1303" spans="1:21" ht="16.5" customHeight="1">
      <c r="A1303" s="159" t="s">
        <v>2744</v>
      </c>
      <c r="B1303" s="114" t="str">
        <f>VLOOKUP(A1303,'Data pick slip'!B:F,5,FALSE)</f>
        <v>KHJ-MC100-00</v>
      </c>
      <c r="F1303" s="157" t="s">
        <v>2861</v>
      </c>
      <c r="I1303" s="139" t="s">
        <v>3015</v>
      </c>
      <c r="J1303" s="139" t="s">
        <v>3048</v>
      </c>
      <c r="K1303" s="51" t="s">
        <v>1246</v>
      </c>
      <c r="L1303" s="4">
        <v>43490</v>
      </c>
      <c r="M1303" s="132">
        <v>260</v>
      </c>
      <c r="P1303" s="4" t="s">
        <v>291</v>
      </c>
      <c r="Q1303" s="143"/>
      <c r="T1303" s="144"/>
      <c r="U1303" s="145" t="e">
        <f>VLOOKUP(H1303,Stock_list!A:N,14,FALSE)</f>
        <v>#N/A</v>
      </c>
    </row>
    <row r="1304" spans="1:21" ht="16.5" customHeight="1">
      <c r="A1304" s="159" t="s">
        <v>2747</v>
      </c>
      <c r="B1304" s="114" t="str">
        <f>VLOOKUP(A1304,'Data pick slip'!B:F,5,FALSE)</f>
        <v>KHJ-MC200-00</v>
      </c>
      <c r="F1304" s="157" t="s">
        <v>2861</v>
      </c>
      <c r="I1304" s="139" t="s">
        <v>3015</v>
      </c>
      <c r="J1304" s="139" t="s">
        <v>3048</v>
      </c>
      <c r="K1304" s="51" t="s">
        <v>1246</v>
      </c>
      <c r="L1304" s="4">
        <v>43490</v>
      </c>
      <c r="M1304" s="132">
        <v>30</v>
      </c>
      <c r="P1304" s="4" t="s">
        <v>291</v>
      </c>
      <c r="Q1304" s="143"/>
      <c r="T1304" s="144"/>
      <c r="U1304" s="145" t="e">
        <f>VLOOKUP(H1304,Stock_list!A:N,14,FALSE)</f>
        <v>#N/A</v>
      </c>
    </row>
    <row r="1305" spans="1:21" ht="16.5" customHeight="1">
      <c r="A1305" s="159" t="s">
        <v>2748</v>
      </c>
      <c r="B1305" s="114" t="str">
        <f>VLOOKUP(A1305,'Data pick slip'!B:F,5,FALSE)</f>
        <v>KHJ-MC400-00</v>
      </c>
      <c r="F1305" s="157" t="s">
        <v>2861</v>
      </c>
      <c r="I1305" s="139" t="s">
        <v>3015</v>
      </c>
      <c r="J1305" s="139" t="s">
        <v>3048</v>
      </c>
      <c r="K1305" s="51" t="s">
        <v>1246</v>
      </c>
      <c r="L1305" s="4"/>
      <c r="M1305" s="132">
        <v>20</v>
      </c>
      <c r="P1305" s="4" t="s">
        <v>291</v>
      </c>
      <c r="Q1305" s="143"/>
      <c r="T1305" s="144"/>
      <c r="U1305" s="145" t="e">
        <f>VLOOKUP(H1305,Stock_list!A:N,14,FALSE)</f>
        <v>#N/A</v>
      </c>
    </row>
    <row r="1306" spans="1:21" ht="16.5" customHeight="1">
      <c r="A1306" s="159" t="s">
        <v>2756</v>
      </c>
      <c r="B1306" s="114" t="str">
        <f>VLOOKUP(A1306,'Data pick slip'!B:F,5,FALSE)</f>
        <v>KLJ-MC200-00</v>
      </c>
      <c r="F1306" s="157" t="s">
        <v>2861</v>
      </c>
      <c r="I1306" s="139" t="s">
        <v>3015</v>
      </c>
      <c r="J1306" s="139" t="s">
        <v>3048</v>
      </c>
      <c r="K1306" s="51" t="s">
        <v>1246</v>
      </c>
      <c r="L1306" s="4"/>
      <c r="M1306" s="132">
        <v>20</v>
      </c>
      <c r="P1306" s="4" t="s">
        <v>291</v>
      </c>
      <c r="T1306" s="144"/>
      <c r="U1306" s="145" t="e">
        <f>VLOOKUP(H1306,Stock_list!A:N,14,FALSE)</f>
        <v>#N/A</v>
      </c>
    </row>
    <row r="1307" spans="1:21" ht="16.5" customHeight="1">
      <c r="A1307" s="159" t="s">
        <v>2755</v>
      </c>
      <c r="B1307" s="114" t="str">
        <f>VLOOKUP(A1307,'Data pick slip'!B:F,5,FALSE)</f>
        <v>KLJ-MC100-00</v>
      </c>
      <c r="F1307" s="157" t="s">
        <v>2861</v>
      </c>
      <c r="H1307" s="138">
        <v>227</v>
      </c>
      <c r="I1307" s="139" t="str">
        <f>VLOOKUP(H1307,Stock_list!A:R,18,FALSE)</f>
        <v>兆晖</v>
      </c>
      <c r="J1307" s="139" t="str">
        <f>VLOOKUP(H1307,Stock_list!A:S,17,FALSE)</f>
        <v>C49SZX20190013DZ</v>
      </c>
      <c r="K1307" s="51" t="str">
        <f>VLOOKUP(H1307,Stock_list!A:T,16,FALSE)</f>
        <v>JPY</v>
      </c>
      <c r="L1307" s="4"/>
      <c r="M1307" s="132">
        <v>60</v>
      </c>
      <c r="P1307" s="4" t="str">
        <f>VLOOKUP(H1307,Stock_list!A:Y,25,FALSE)</f>
        <v>Yes</v>
      </c>
      <c r="Q1307" s="143"/>
      <c r="T1307" s="144"/>
      <c r="U1307" s="145" t="str">
        <f>VLOOKUP(H1307,Stock_list!A:N,14,FALSE)</f>
        <v>MAR 19</v>
      </c>
    </row>
    <row r="1308" spans="1:21" ht="16.5" customHeight="1">
      <c r="A1308" s="159" t="s">
        <v>2744</v>
      </c>
      <c r="B1308" s="114" t="str">
        <f>VLOOKUP(A1308,'Data pick slip'!B:F,5,FALSE)</f>
        <v>KHJ-MC100-00</v>
      </c>
      <c r="F1308" s="157" t="s">
        <v>2773</v>
      </c>
      <c r="I1308" s="139" t="s">
        <v>2853</v>
      </c>
      <c r="J1308" s="141" t="s">
        <v>3049</v>
      </c>
      <c r="K1308" s="51" t="s">
        <v>1246</v>
      </c>
      <c r="L1308" s="4"/>
      <c r="M1308" s="132">
        <v>6</v>
      </c>
      <c r="P1308" s="4" t="s">
        <v>291</v>
      </c>
      <c r="Q1308" s="143"/>
      <c r="T1308" s="144"/>
      <c r="U1308" s="145" t="e">
        <f>VLOOKUP(H1308,Stock_list!A:N,14,FALSE)</f>
        <v>#N/A</v>
      </c>
    </row>
    <row r="1309" spans="1:21" ht="16.5" customHeight="1">
      <c r="A1309" s="159" t="s">
        <v>2747</v>
      </c>
      <c r="B1309" s="114" t="str">
        <f>VLOOKUP(A1309,'Data pick slip'!B:F,5,FALSE)</f>
        <v>KHJ-MC200-00</v>
      </c>
      <c r="F1309" s="157" t="s">
        <v>2861</v>
      </c>
      <c r="I1309" s="139" t="s">
        <v>3015</v>
      </c>
      <c r="J1309" s="139" t="s">
        <v>3050</v>
      </c>
      <c r="K1309" s="51" t="s">
        <v>1246</v>
      </c>
      <c r="L1309" s="4">
        <v>43521</v>
      </c>
      <c r="M1309" s="132">
        <v>30</v>
      </c>
      <c r="P1309" s="4" t="s">
        <v>291</v>
      </c>
      <c r="Q1309" s="143"/>
      <c r="T1309" s="144"/>
      <c r="U1309" s="145" t="e">
        <f>VLOOKUP(H1309,Stock_list!A:N,14,FALSE)</f>
        <v>#N/A</v>
      </c>
    </row>
    <row r="1310" spans="1:21" ht="16.5" customHeight="1">
      <c r="A1310" s="159" t="s">
        <v>2748</v>
      </c>
      <c r="B1310" s="114" t="str">
        <f>VLOOKUP(A1310,'Data pick slip'!B:F,5,FALSE)</f>
        <v>KHJ-MC400-00</v>
      </c>
      <c r="F1310" s="157" t="s">
        <v>2861</v>
      </c>
      <c r="I1310" s="139" t="s">
        <v>3015</v>
      </c>
      <c r="J1310" s="139" t="s">
        <v>3050</v>
      </c>
      <c r="K1310" s="51" t="s">
        <v>1246</v>
      </c>
      <c r="L1310" s="4">
        <v>43521</v>
      </c>
      <c r="M1310" s="132">
        <v>10</v>
      </c>
      <c r="P1310" s="4" t="s">
        <v>291</v>
      </c>
      <c r="Q1310" s="143"/>
      <c r="T1310" s="144"/>
      <c r="U1310" s="145" t="e">
        <f>VLOOKUP(H1310,Stock_list!A:N,14,FALSE)</f>
        <v>#N/A</v>
      </c>
    </row>
    <row r="1311" spans="1:21" ht="16.5" customHeight="1">
      <c r="A1311" s="159" t="s">
        <v>2747</v>
      </c>
      <c r="B1311" s="114" t="str">
        <f>VLOOKUP(A1311,'Data pick slip'!B:F,5,FALSE)</f>
        <v>KHJ-MC200-00</v>
      </c>
      <c r="F1311" s="157" t="s">
        <v>2773</v>
      </c>
      <c r="I1311" s="139" t="s">
        <v>2853</v>
      </c>
      <c r="J1311" s="141" t="s">
        <v>3049</v>
      </c>
      <c r="K1311" s="51" t="s">
        <v>1246</v>
      </c>
      <c r="L1311" s="4" t="s">
        <v>3024</v>
      </c>
      <c r="M1311" s="132">
        <v>3</v>
      </c>
      <c r="P1311" s="4" t="s">
        <v>291</v>
      </c>
      <c r="Q1311" s="143"/>
      <c r="T1311" s="144"/>
      <c r="U1311" s="145" t="e">
        <f>VLOOKUP(H1311,Stock_list!A:N,14,FALSE)</f>
        <v>#N/A</v>
      </c>
    </row>
    <row r="1312" spans="1:21" ht="16.5" customHeight="1">
      <c r="A1312" s="159" t="s">
        <v>2744</v>
      </c>
      <c r="B1312" s="114" t="str">
        <f>VLOOKUP(A1312,'Data pick slip'!B:F,5,FALSE)</f>
        <v>KHJ-MC100-00</v>
      </c>
      <c r="F1312" s="157" t="s">
        <v>2773</v>
      </c>
      <c r="I1312" s="139" t="s">
        <v>2853</v>
      </c>
      <c r="J1312" s="139" t="s">
        <v>3051</v>
      </c>
      <c r="K1312" s="51" t="s">
        <v>1246</v>
      </c>
      <c r="L1312" s="4"/>
      <c r="M1312" s="132">
        <v>30</v>
      </c>
      <c r="P1312" s="4" t="s">
        <v>291</v>
      </c>
      <c r="Q1312" s="143"/>
      <c r="T1312" s="144"/>
      <c r="U1312" s="145" t="e">
        <f>VLOOKUP(H1312,Stock_list!A:N,14,FALSE)</f>
        <v>#N/A</v>
      </c>
    </row>
    <row r="1313" spans="1:21" ht="16.5" customHeight="1">
      <c r="A1313" s="159" t="s">
        <v>2747</v>
      </c>
      <c r="B1313" s="114" t="str">
        <f>VLOOKUP(A1313,'Data pick slip'!B:F,5,FALSE)</f>
        <v>KHJ-MC200-00</v>
      </c>
      <c r="F1313" s="157" t="s">
        <v>2773</v>
      </c>
      <c r="I1313" s="139" t="s">
        <v>2853</v>
      </c>
      <c r="J1313" s="139" t="s">
        <v>3051</v>
      </c>
      <c r="K1313" s="51" t="s">
        <v>1246</v>
      </c>
      <c r="L1313" s="4" t="s">
        <v>3024</v>
      </c>
      <c r="M1313" s="132">
        <v>20</v>
      </c>
      <c r="P1313" s="4" t="s">
        <v>291</v>
      </c>
      <c r="Q1313" s="143"/>
      <c r="T1313" s="144"/>
      <c r="U1313" s="145" t="e">
        <f>VLOOKUP(H1313,Stock_list!A:N,14,FALSE)</f>
        <v>#N/A</v>
      </c>
    </row>
    <row r="1314" spans="1:21" ht="16.5" customHeight="1">
      <c r="A1314" s="159" t="s">
        <v>2748</v>
      </c>
      <c r="B1314" s="114" t="str">
        <f>VLOOKUP(A1314,'Data pick slip'!B:F,5,FALSE)</f>
        <v>KHJ-MC400-00</v>
      </c>
      <c r="F1314" s="157" t="s">
        <v>2773</v>
      </c>
      <c r="I1314" s="139" t="s">
        <v>2853</v>
      </c>
      <c r="J1314" s="139" t="s">
        <v>3051</v>
      </c>
      <c r="K1314" s="51" t="s">
        <v>1246</v>
      </c>
      <c r="L1314" s="4" t="s">
        <v>3014</v>
      </c>
      <c r="M1314" s="132">
        <v>6</v>
      </c>
      <c r="P1314" s="4" t="s">
        <v>291</v>
      </c>
      <c r="Q1314" s="143"/>
      <c r="T1314" s="144"/>
      <c r="U1314" s="145" t="e">
        <f>VLOOKUP(H1314,Stock_list!A:N,14,FALSE)</f>
        <v>#N/A</v>
      </c>
    </row>
    <row r="1315" spans="1:21" ht="16.5" customHeight="1">
      <c r="A1315" s="159" t="s">
        <v>2749</v>
      </c>
      <c r="B1315" s="114" t="str">
        <f>VLOOKUP(A1315,'Data pick slip'!B:F,5,FALSE)</f>
        <v>KHJ-MC500-00</v>
      </c>
      <c r="F1315" s="157" t="s">
        <v>2773</v>
      </c>
      <c r="I1315" s="139" t="s">
        <v>2853</v>
      </c>
      <c r="J1315" s="139" t="s">
        <v>3051</v>
      </c>
      <c r="K1315" s="51" t="s">
        <v>21</v>
      </c>
      <c r="L1315" s="4"/>
      <c r="M1315" s="132">
        <v>1</v>
      </c>
      <c r="P1315" s="4" t="s">
        <v>291</v>
      </c>
      <c r="Q1315" s="143"/>
      <c r="T1315" s="144"/>
      <c r="U1315" s="145" t="e">
        <f>VLOOKUP(H1315,Stock_list!A:N,14,FALSE)</f>
        <v>#N/A</v>
      </c>
    </row>
    <row r="1316" spans="1:21" ht="16.5" customHeight="1">
      <c r="A1316" s="159" t="s">
        <v>2755</v>
      </c>
      <c r="B1316" s="114" t="str">
        <f>VLOOKUP(A1316,'Data pick slip'!B:F,5,FALSE)</f>
        <v>KLJ-MC100-00</v>
      </c>
      <c r="F1316" s="157" t="s">
        <v>2861</v>
      </c>
      <c r="H1316" s="138">
        <v>187</v>
      </c>
      <c r="I1316" s="139" t="str">
        <f>VLOOKUP(H1316,Stock_list!A:R,18,FALSE)</f>
        <v>恩圣</v>
      </c>
      <c r="J1316" s="139" t="str">
        <f>VLOOKUP(H1316,Stock_list!A:S,17,FALSE)</f>
        <v>C49SZX20180161RY</v>
      </c>
      <c r="K1316" s="51" t="str">
        <f>VLOOKUP(H1316,Stock_list!A:T,16,FALSE)</f>
        <v>JPY</v>
      </c>
      <c r="L1316" s="4"/>
      <c r="M1316" s="132">
        <v>30</v>
      </c>
      <c r="P1316" s="4" t="str">
        <f>VLOOKUP(H1316,Stock_list!A:Y,25,FALSE)</f>
        <v>Yes</v>
      </c>
      <c r="Q1316" s="143"/>
      <c r="T1316" s="144"/>
      <c r="U1316" s="145" t="str">
        <f>VLOOKUP(H1316,Stock_list!A:N,14,FALSE)</f>
        <v>FEB 19</v>
      </c>
    </row>
    <row r="1317" spans="1:21" ht="16.5" customHeight="1">
      <c r="A1317" s="159" t="s">
        <v>2747</v>
      </c>
      <c r="B1317" s="114" t="str">
        <f>VLOOKUP(A1317,'Data pick slip'!B:F,5,FALSE)</f>
        <v>KHJ-MC200-00</v>
      </c>
      <c r="F1317" s="157" t="s">
        <v>2861</v>
      </c>
      <c r="H1317" s="138">
        <v>187</v>
      </c>
      <c r="I1317" s="139" t="str">
        <f>VLOOKUP(H1317,Stock_list!A:R,18,FALSE)</f>
        <v>恩圣</v>
      </c>
      <c r="J1317" s="139" t="str">
        <f>VLOOKUP(H1317,Stock_list!A:S,17,FALSE)</f>
        <v>C49SZX20180161RY</v>
      </c>
      <c r="K1317" s="51" t="str">
        <f>VLOOKUP(H1317,Stock_list!A:T,16,FALSE)</f>
        <v>JPY</v>
      </c>
      <c r="L1317" s="4">
        <v>43522</v>
      </c>
      <c r="M1317" s="132">
        <v>8</v>
      </c>
      <c r="P1317" s="4" t="str">
        <f>VLOOKUP(H1317,Stock_list!A:Y,25,FALSE)</f>
        <v>Yes</v>
      </c>
      <c r="Q1317" s="143"/>
      <c r="T1317" s="144"/>
      <c r="U1317" s="145" t="str">
        <f>VLOOKUP(H1317,Stock_list!A:N,14,FALSE)</f>
        <v>FEB 19</v>
      </c>
    </row>
    <row r="1318" spans="1:21" ht="16.5" customHeight="1">
      <c r="A1318" s="159" t="s">
        <v>2755</v>
      </c>
      <c r="B1318" s="114" t="str">
        <f>VLOOKUP(A1318,'Data pick slip'!B:F,5,FALSE)</f>
        <v>KLJ-MC100-00</v>
      </c>
      <c r="F1318" s="157" t="s">
        <v>2861</v>
      </c>
      <c r="H1318" s="138">
        <v>187</v>
      </c>
      <c r="I1318" s="139" t="str">
        <f>VLOOKUP(H1318,Stock_list!A:R,18,FALSE)</f>
        <v>恩圣</v>
      </c>
      <c r="J1318" s="139" t="str">
        <f>VLOOKUP(H1318,Stock_list!A:S,17,FALSE)</f>
        <v>C49SZX20180161RY</v>
      </c>
      <c r="K1318" s="51" t="str">
        <f>VLOOKUP(H1318,Stock_list!A:T,16,FALSE)</f>
        <v>JPY</v>
      </c>
      <c r="L1318" s="4"/>
      <c r="M1318" s="132">
        <v>5</v>
      </c>
      <c r="P1318" s="4" t="str">
        <f>VLOOKUP(H1318,Stock_list!A:Y,25,FALSE)</f>
        <v>Yes</v>
      </c>
      <c r="Q1318" s="143"/>
      <c r="T1318" s="144"/>
      <c r="U1318" s="145" t="str">
        <f>VLOOKUP(H1318,Stock_list!A:N,14,FALSE)</f>
        <v>FEB 19</v>
      </c>
    </row>
    <row r="1319" spans="1:21" ht="27" customHeight="1">
      <c r="A1319" s="159" t="s">
        <v>2756</v>
      </c>
      <c r="B1319" s="114" t="str">
        <f>VLOOKUP(A1319,'Data pick slip'!B:F,5,FALSE)</f>
        <v>KLJ-MC200-00</v>
      </c>
      <c r="F1319" s="157" t="s">
        <v>2773</v>
      </c>
      <c r="I1319" s="139" t="s">
        <v>2853</v>
      </c>
      <c r="J1319" s="139" t="s">
        <v>3052</v>
      </c>
      <c r="K1319" s="51" t="s">
        <v>1246</v>
      </c>
      <c r="L1319" s="4"/>
      <c r="M1319" s="132"/>
      <c r="O1319" s="132">
        <f>1-1</f>
        <v>0</v>
      </c>
      <c r="P1319" s="4" t="s">
        <v>3053</v>
      </c>
      <c r="T1319" s="144"/>
      <c r="U1319" s="145" t="e">
        <f>VLOOKUP(H1319,Stock_list!A:N,14,FALSE)</f>
        <v>#N/A</v>
      </c>
    </row>
    <row r="1320" spans="1:21" ht="16.5" customHeight="1">
      <c r="A1320" s="159" t="s">
        <v>3054</v>
      </c>
      <c r="B1320" s="114">
        <f>VLOOKUP(A1320,'Data pick slip'!B:F,5,FALSE)</f>
        <v>0</v>
      </c>
      <c r="H1320" s="138">
        <v>100</v>
      </c>
      <c r="I1320" s="139" t="str">
        <f>VLOOKUP(H1320,Stock_list!A:R,18,FALSE)</f>
        <v>小耳朵</v>
      </c>
      <c r="J1320" s="139" t="str">
        <f>VLOOKUP(H1320,Stock_list!A:S,17,FALSE)</f>
        <v>C49SZX20180103MZ</v>
      </c>
      <c r="K1320" s="51" t="str">
        <f>VLOOKUP(H1320,Stock_list!A:T,16,FALSE)</f>
        <v>JPY</v>
      </c>
      <c r="L1320" s="4"/>
      <c r="M1320" s="132">
        <v>1</v>
      </c>
      <c r="P1320" s="4" t="str">
        <f>VLOOKUP(H1320,Stock_list!A:Y,25,FALSE)</f>
        <v>Yes</v>
      </c>
      <c r="Q1320" s="143"/>
      <c r="S1320" s="123" t="s">
        <v>3003</v>
      </c>
      <c r="T1320" s="205" t="s">
        <v>3055</v>
      </c>
      <c r="U1320" s="145" t="str">
        <f>VLOOKUP(H1320,Stock_list!A:N,14,FALSE)</f>
        <v>FEB 19</v>
      </c>
    </row>
    <row r="1321" spans="1:21" ht="16.5" customHeight="1">
      <c r="A1321" s="159" t="s">
        <v>3056</v>
      </c>
      <c r="B1321" s="114">
        <f>VLOOKUP(A1321,'Data pick slip'!B:F,5,FALSE)</f>
        <v>0</v>
      </c>
      <c r="E1321" s="160" t="e">
        <f>VLOOKUP(C1321,Stock_list!D:L,9,FALSE)</f>
        <v>#N/A</v>
      </c>
      <c r="H1321" s="138">
        <v>100</v>
      </c>
      <c r="I1321" s="139" t="str">
        <f>VLOOKUP(H1321,Stock_list!A:R,18,FALSE)</f>
        <v>小耳朵</v>
      </c>
      <c r="J1321" s="139" t="str">
        <f>VLOOKUP(H1321,Stock_list!A:S,17,FALSE)</f>
        <v>C49SZX20180103MZ</v>
      </c>
      <c r="K1321" s="51" t="str">
        <f>VLOOKUP(H1321,Stock_list!A:T,16,FALSE)</f>
        <v>JPY</v>
      </c>
      <c r="L1321" s="4"/>
      <c r="M1321" s="132">
        <v>1</v>
      </c>
      <c r="P1321" s="4" t="str">
        <f>VLOOKUP(H1321,Stock_list!A:Y,25,FALSE)</f>
        <v>Yes</v>
      </c>
      <c r="Q1321" s="143"/>
      <c r="S1321" s="123" t="s">
        <v>3003</v>
      </c>
      <c r="T1321" s="205" t="s">
        <v>3055</v>
      </c>
      <c r="U1321" s="145" t="str">
        <f>VLOOKUP(H1321,Stock_list!A:N,14,FALSE)</f>
        <v>FEB 19</v>
      </c>
    </row>
    <row r="1322" spans="1:21" ht="16.5" customHeight="1">
      <c r="A1322" s="159" t="s">
        <v>2747</v>
      </c>
      <c r="B1322" s="114" t="str">
        <f>VLOOKUP(A1322,'Data pick slip'!B:F,5,FALSE)</f>
        <v>KHJ-MC200-00</v>
      </c>
      <c r="E1322" s="160" t="e">
        <f>VLOOKUP(C1322,Stock_list!D:L,9,FALSE)</f>
        <v>#N/A</v>
      </c>
      <c r="F1322" s="157" t="s">
        <v>2861</v>
      </c>
      <c r="H1322" s="138">
        <v>236</v>
      </c>
      <c r="I1322" s="139" t="str">
        <f>VLOOKUP(H1322,Stock_list!A:R,18,FALSE)</f>
        <v>永顺创</v>
      </c>
      <c r="J1322" s="139" t="str">
        <f>VLOOKUP(H1322,Stock_list!A:S,17,FALSE)</f>
        <v>C49SZX20190019SX</v>
      </c>
      <c r="K1322" s="51" t="str">
        <f>VLOOKUP(H1322,Stock_list!A:T,16,FALSE)</f>
        <v>JPY</v>
      </c>
      <c r="L1322" s="4">
        <v>43532</v>
      </c>
      <c r="M1322" s="132">
        <v>5</v>
      </c>
      <c r="P1322" s="4" t="str">
        <f>VLOOKUP(H1322,Stock_list!A:Y,25,FALSE)</f>
        <v>Yes</v>
      </c>
      <c r="Q1322" s="143"/>
      <c r="T1322" s="144"/>
      <c r="U1322" s="145" t="str">
        <f>VLOOKUP(H1322,Stock_list!A:N,14,FALSE)</f>
        <v>MAR 19</v>
      </c>
    </row>
    <row r="1323" spans="1:21" ht="16.5" customHeight="1">
      <c r="A1323" s="159" t="s">
        <v>2744</v>
      </c>
      <c r="B1323" s="114" t="str">
        <f>VLOOKUP(A1323,'Data pick slip'!B:F,5,FALSE)</f>
        <v>KHJ-MC100-00</v>
      </c>
      <c r="E1323" s="160" t="e">
        <f>VLOOKUP(C1323,Stock_list!D:L,9,FALSE)</f>
        <v>#N/A</v>
      </c>
      <c r="F1323" s="157" t="s">
        <v>2773</v>
      </c>
      <c r="H1323" s="138">
        <v>237</v>
      </c>
      <c r="I1323" s="139" t="str">
        <f>VLOOKUP(H1323,Stock_list!A:R,18,FALSE)</f>
        <v>名佳</v>
      </c>
      <c r="J1323" s="139" t="str">
        <f>VLOOKUP(H1323,Stock_list!A:S,17,FALSE)</f>
        <v>C49SZX20190021JL</v>
      </c>
      <c r="K1323" s="51" t="str">
        <f>VLOOKUP(H1323,Stock_list!A:T,16,FALSE)</f>
        <v>RMB</v>
      </c>
      <c r="L1323" s="4">
        <v>43574</v>
      </c>
      <c r="M1323" s="132">
        <v>40</v>
      </c>
      <c r="P1323" s="4" t="str">
        <f>VLOOKUP(H1323,Stock_list!A:Y,25,FALSE)</f>
        <v>Yes</v>
      </c>
      <c r="Q1323" s="143"/>
      <c r="T1323" s="144"/>
      <c r="U1323" s="145" t="str">
        <f>VLOOKUP(H1323,Stock_list!A:N,14,FALSE)</f>
        <v>JUN 19</v>
      </c>
    </row>
    <row r="1324" spans="1:21" ht="16.5" customHeight="1">
      <c r="A1324" s="159" t="s">
        <v>2747</v>
      </c>
      <c r="B1324" s="114" t="str">
        <f>VLOOKUP(A1324,'Data pick slip'!B:F,5,FALSE)</f>
        <v>KHJ-MC200-00</v>
      </c>
      <c r="E1324" s="160" t="e">
        <f>VLOOKUP(C1324,Stock_list!D:L,9,FALSE)</f>
        <v>#N/A</v>
      </c>
      <c r="F1324" s="157" t="s">
        <v>2773</v>
      </c>
      <c r="H1324" s="138">
        <v>237</v>
      </c>
      <c r="I1324" s="139" t="str">
        <f>VLOOKUP(H1324,Stock_list!A:R,18,FALSE)</f>
        <v>名佳</v>
      </c>
      <c r="J1324" s="139" t="str">
        <f>VLOOKUP(H1324,Stock_list!A:S,17,FALSE)</f>
        <v>C49SZX20190021JL</v>
      </c>
      <c r="K1324" s="51" t="str">
        <f>VLOOKUP(H1324,Stock_list!A:T,16,FALSE)</f>
        <v>RMB</v>
      </c>
      <c r="L1324" s="4">
        <v>43574</v>
      </c>
      <c r="M1324" s="132">
        <v>6</v>
      </c>
      <c r="P1324" s="4" t="str">
        <f>VLOOKUP(H1324,Stock_list!A:Y,25,FALSE)</f>
        <v>Yes</v>
      </c>
      <c r="Q1324" s="143"/>
      <c r="T1324" s="144"/>
      <c r="U1324" s="145" t="str">
        <f>VLOOKUP(H1324,Stock_list!A:N,14,FALSE)</f>
        <v>JUN 19</v>
      </c>
    </row>
    <row r="1325" spans="1:21" ht="16.5" customHeight="1">
      <c r="A1325" s="159" t="s">
        <v>2748</v>
      </c>
      <c r="B1325" s="114" t="str">
        <f>VLOOKUP(A1325,'Data pick slip'!B:F,5,FALSE)</f>
        <v>KHJ-MC400-00</v>
      </c>
      <c r="E1325" s="160" t="e">
        <f>VLOOKUP(C1325,Stock_list!D:L,9,FALSE)</f>
        <v>#N/A</v>
      </c>
      <c r="F1325" s="157" t="s">
        <v>2773</v>
      </c>
      <c r="H1325" s="138">
        <v>237</v>
      </c>
      <c r="I1325" s="139" t="str">
        <f>VLOOKUP(H1325,Stock_list!A:R,18,FALSE)</f>
        <v>名佳</v>
      </c>
      <c r="J1325" s="139" t="str">
        <f>VLOOKUP(H1325,Stock_list!A:S,17,FALSE)</f>
        <v>C49SZX20190021JL</v>
      </c>
      <c r="K1325" s="51" t="str">
        <f>VLOOKUP(H1325,Stock_list!A:T,16,FALSE)</f>
        <v>RMB</v>
      </c>
      <c r="L1325" s="4">
        <v>43574</v>
      </c>
      <c r="M1325" s="132">
        <v>1</v>
      </c>
      <c r="P1325" s="4" t="str">
        <f>VLOOKUP(H1325,Stock_list!A:Y,25,FALSE)</f>
        <v>Yes</v>
      </c>
      <c r="Q1325" s="143"/>
      <c r="T1325" s="144"/>
      <c r="U1325" s="145" t="str">
        <f>VLOOKUP(H1325,Stock_list!A:N,14,FALSE)</f>
        <v>JUN 19</v>
      </c>
    </row>
    <row r="1326" spans="1:21" ht="16.5" customHeight="1">
      <c r="A1326" s="159" t="s">
        <v>2744</v>
      </c>
      <c r="B1326" s="114" t="str">
        <f>VLOOKUP(A1326,'Data pick slip'!B:F,5,FALSE)</f>
        <v>KHJ-MC100-00</v>
      </c>
      <c r="E1326" s="160" t="e">
        <f>VLOOKUP(C1326,Stock_list!D:L,9,FALSE)</f>
        <v>#N/A</v>
      </c>
      <c r="F1326" s="157" t="s">
        <v>2861</v>
      </c>
      <c r="H1326" s="138">
        <v>244</v>
      </c>
      <c r="I1326" s="139" t="str">
        <f>VLOOKUP(H1326,Stock_list!A:R,18,FALSE)</f>
        <v>鸿南</v>
      </c>
      <c r="J1326" s="139" t="str">
        <f>VLOOKUP(H1326,Stock_list!A:S,17,FALSE)</f>
        <v>C49SZX20190031MZ</v>
      </c>
      <c r="K1326" s="51" t="str">
        <f>VLOOKUP(H1326,Stock_list!A:T,16,FALSE)</f>
        <v>JPY</v>
      </c>
      <c r="L1326" s="4">
        <v>43608</v>
      </c>
      <c r="M1326" s="132">
        <v>100</v>
      </c>
      <c r="P1326" s="4" t="str">
        <f>VLOOKUP(H1326,Stock_list!A:Y,25,FALSE)</f>
        <v>Yes</v>
      </c>
      <c r="Q1326" s="143"/>
      <c r="T1326" s="144"/>
      <c r="U1326" s="145" t="str">
        <f>VLOOKUP(H1326,Stock_list!A:N,14,FALSE)</f>
        <v>MAY 19</v>
      </c>
    </row>
    <row r="1327" spans="1:21" ht="16.5" customHeight="1">
      <c r="A1327" s="159" t="s">
        <v>2747</v>
      </c>
      <c r="B1327" s="114" t="str">
        <f>VLOOKUP(A1327,'Data pick slip'!B:F,5,FALSE)</f>
        <v>KHJ-MC200-00</v>
      </c>
      <c r="E1327" s="160" t="e">
        <f>VLOOKUP(C1327,Stock_list!D:L,9,FALSE)</f>
        <v>#N/A</v>
      </c>
      <c r="F1327" s="157" t="s">
        <v>2861</v>
      </c>
      <c r="H1327" s="138">
        <v>244</v>
      </c>
      <c r="I1327" s="139" t="str">
        <f>VLOOKUP(H1327,Stock_list!A:R,18,FALSE)</f>
        <v>鸿南</v>
      </c>
      <c r="J1327" s="139" t="str">
        <f>VLOOKUP(H1327,Stock_list!A:S,17,FALSE)</f>
        <v>C49SZX20190031MZ</v>
      </c>
      <c r="K1327" s="51" t="str">
        <f>VLOOKUP(H1327,Stock_list!A:T,16,FALSE)</f>
        <v>JPY</v>
      </c>
      <c r="L1327" s="4">
        <v>43608</v>
      </c>
      <c r="M1327" s="132">
        <v>20</v>
      </c>
      <c r="P1327" s="4" t="str">
        <f>VLOOKUP(H1327,Stock_list!A:Y,25,FALSE)</f>
        <v>Yes</v>
      </c>
      <c r="Q1327" s="143"/>
      <c r="T1327" s="144"/>
      <c r="U1327" s="145" t="str">
        <f>VLOOKUP(H1327,Stock_list!A:N,14,FALSE)</f>
        <v>MAY 19</v>
      </c>
    </row>
    <row r="1328" spans="1:21" ht="16.5" customHeight="1">
      <c r="A1328" s="159" t="s">
        <v>2755</v>
      </c>
      <c r="B1328" s="114" t="str">
        <f>VLOOKUP(A1328,'Data pick slip'!B:F,5,FALSE)</f>
        <v>KLJ-MC100-00</v>
      </c>
      <c r="F1328" s="157" t="s">
        <v>2861</v>
      </c>
      <c r="H1328" s="138">
        <v>238</v>
      </c>
      <c r="I1328" s="139" t="str">
        <f>VLOOKUP(H1328,Stock_list!A:R,18,FALSE)</f>
        <v>智宏创</v>
      </c>
      <c r="J1328" s="139" t="str">
        <f>VLOOKUP(H1328,Stock_list!A:S,17,FALSE)</f>
        <v>C49SZX20190022SS</v>
      </c>
      <c r="K1328" s="51" t="str">
        <f>VLOOKUP(H1328,Stock_list!A:T,16,FALSE)</f>
        <v>JPY</v>
      </c>
      <c r="L1328" s="4"/>
      <c r="M1328" s="132">
        <v>60</v>
      </c>
      <c r="P1328" s="4" t="str">
        <f>VLOOKUP(H1328,Stock_list!A:Y,25,FALSE)</f>
        <v>Yes</v>
      </c>
      <c r="Q1328" s="143"/>
      <c r="T1328" s="144"/>
      <c r="U1328" s="145" t="str">
        <f>VLOOKUP(H1328,Stock_list!A:N,14,FALSE)</f>
        <v>MAR 19</v>
      </c>
    </row>
    <row r="1329" spans="1:21" ht="16.5" customHeight="1">
      <c r="A1329" s="159" t="s">
        <v>2756</v>
      </c>
      <c r="B1329" s="114" t="str">
        <f>VLOOKUP(A1329,'Data pick slip'!B:F,5,FALSE)</f>
        <v>KLJ-MC200-00</v>
      </c>
      <c r="F1329" s="157" t="s">
        <v>2773</v>
      </c>
      <c r="H1329" s="138">
        <v>238</v>
      </c>
      <c r="I1329" s="139" t="str">
        <f>VLOOKUP(H1329,Stock_list!A:R,18,FALSE)</f>
        <v>智宏创</v>
      </c>
      <c r="J1329" s="139" t="str">
        <f>VLOOKUP(H1329,Stock_list!A:S,17,FALSE)</f>
        <v>C49SZX20190022SS</v>
      </c>
      <c r="K1329" s="51" t="str">
        <f>VLOOKUP(H1329,Stock_list!A:T,16,FALSE)</f>
        <v>JPY</v>
      </c>
      <c r="L1329" s="4"/>
      <c r="M1329" s="132">
        <v>8</v>
      </c>
      <c r="P1329" s="4" t="str">
        <f>VLOOKUP(H1329,Stock_list!A:Y,25,FALSE)</f>
        <v>Yes</v>
      </c>
      <c r="S1329" s="123" t="s">
        <v>3003</v>
      </c>
      <c r="T1329" s="205" t="s">
        <v>3057</v>
      </c>
      <c r="U1329" s="145" t="str">
        <f>VLOOKUP(H1329,Stock_list!A:N,14,FALSE)</f>
        <v>MAR 19</v>
      </c>
    </row>
    <row r="1330" spans="1:21" ht="16.5" customHeight="1">
      <c r="A1330" s="159" t="s">
        <v>2757</v>
      </c>
      <c r="B1330" s="114" t="str">
        <f>VLOOKUP(A1330,'Data pick slip'!B:F,5,FALSE)</f>
        <v>KLJ-MC400-00</v>
      </c>
      <c r="F1330" s="157" t="s">
        <v>2773</v>
      </c>
      <c r="H1330" s="138">
        <v>238</v>
      </c>
      <c r="I1330" s="139" t="str">
        <f>VLOOKUP(H1330,Stock_list!A:R,18,FALSE)</f>
        <v>智宏创</v>
      </c>
      <c r="J1330" s="139" t="str">
        <f>VLOOKUP(H1330,Stock_list!A:S,17,FALSE)</f>
        <v>C49SZX20190022SS</v>
      </c>
      <c r="K1330" s="51" t="str">
        <f>VLOOKUP(H1330,Stock_list!A:T,16,FALSE)</f>
        <v>JPY</v>
      </c>
      <c r="L1330" s="4"/>
      <c r="M1330" s="132">
        <v>2</v>
      </c>
      <c r="P1330" s="4" t="str">
        <f>VLOOKUP(H1330,Stock_list!A:Y,25,FALSE)</f>
        <v>Yes</v>
      </c>
      <c r="Q1330" s="143"/>
      <c r="S1330" s="123" t="s">
        <v>3003</v>
      </c>
      <c r="T1330" s="205" t="s">
        <v>3057</v>
      </c>
      <c r="U1330" s="145" t="str">
        <f>VLOOKUP(H1330,Stock_list!A:N,14,FALSE)</f>
        <v>MAR 19</v>
      </c>
    </row>
    <row r="1331" spans="1:21" ht="16.5" customHeight="1">
      <c r="A1331" s="159" t="s">
        <v>2748</v>
      </c>
      <c r="B1331" s="114" t="str">
        <f>VLOOKUP(A1331,'Data pick slip'!B:F,5,FALSE)</f>
        <v>KHJ-MC400-00</v>
      </c>
      <c r="F1331" s="157" t="s">
        <v>2773</v>
      </c>
      <c r="I1331" s="139" t="s">
        <v>2853</v>
      </c>
      <c r="J1331" s="139" t="s">
        <v>3058</v>
      </c>
      <c r="K1331" s="51" t="s">
        <v>1246</v>
      </c>
      <c r="L1331" s="4" t="s">
        <v>3014</v>
      </c>
      <c r="M1331" s="140">
        <v>2</v>
      </c>
      <c r="P1331" s="4" t="s">
        <v>291</v>
      </c>
      <c r="Q1331" s="143"/>
      <c r="T1331" s="144"/>
      <c r="U1331" s="145" t="e">
        <f>VLOOKUP(H1331,Stock_list!A:N,14,FALSE)</f>
        <v>#N/A</v>
      </c>
    </row>
    <row r="1332" spans="1:21" ht="16.5" customHeight="1">
      <c r="A1332" s="159" t="s">
        <v>2744</v>
      </c>
      <c r="B1332" s="114" t="str">
        <f>VLOOKUP(A1332,'Data pick slip'!B:F,5,FALSE)</f>
        <v>KHJ-MC100-00</v>
      </c>
      <c r="F1332" s="157" t="s">
        <v>2861</v>
      </c>
      <c r="H1332" s="138">
        <v>250</v>
      </c>
      <c r="I1332" s="139" t="str">
        <f>VLOOKUP(H1332,Stock_list!A:R,18,FALSE)</f>
        <v>比泰利</v>
      </c>
      <c r="J1332" s="139" t="str">
        <f>VLOOKUP(H1332,Stock_list!A:S,17,FALSE)</f>
        <v>C49SZX20190026ZX</v>
      </c>
      <c r="K1332" s="51" t="str">
        <f>VLOOKUP(H1332,Stock_list!A:T,16,FALSE)</f>
        <v>JPY</v>
      </c>
      <c r="L1332" s="4">
        <v>43609</v>
      </c>
      <c r="M1332" s="132">
        <v>70</v>
      </c>
      <c r="P1332" s="4" t="str">
        <f>VLOOKUP(H1332,Stock_list!A:Y,25,FALSE)</f>
        <v>Yes</v>
      </c>
      <c r="Q1332" s="143"/>
      <c r="T1332" s="144"/>
      <c r="U1332" s="145" t="str">
        <f>VLOOKUP(H1332,Stock_list!A:N,14,FALSE)</f>
        <v>MAY 19</v>
      </c>
    </row>
    <row r="1333" spans="1:21" ht="16.5" customHeight="1">
      <c r="A1333" s="159" t="s">
        <v>2747</v>
      </c>
      <c r="B1333" s="114" t="str">
        <f>VLOOKUP(A1333,'Data pick slip'!B:F,5,FALSE)</f>
        <v>KHJ-MC200-00</v>
      </c>
      <c r="F1333" s="157" t="s">
        <v>2861</v>
      </c>
      <c r="H1333" s="138">
        <v>250</v>
      </c>
      <c r="I1333" s="139" t="str">
        <f>VLOOKUP(H1333,Stock_list!A:R,18,FALSE)</f>
        <v>比泰利</v>
      </c>
      <c r="J1333" s="139" t="str">
        <f>VLOOKUP(H1333,Stock_list!A:S,17,FALSE)</f>
        <v>C49SZX20190026ZX</v>
      </c>
      <c r="K1333" s="51" t="str">
        <f>VLOOKUP(H1333,Stock_list!A:T,16,FALSE)</f>
        <v>JPY</v>
      </c>
      <c r="L1333" s="4">
        <v>43609</v>
      </c>
      <c r="M1333" s="132">
        <v>20</v>
      </c>
      <c r="P1333" s="4" t="str">
        <f>VLOOKUP(H1333,Stock_list!A:Y,25,FALSE)</f>
        <v>Yes</v>
      </c>
      <c r="Q1333" s="143"/>
      <c r="T1333" s="144"/>
      <c r="U1333" s="145" t="str">
        <f>VLOOKUP(H1333,Stock_list!A:N,14,FALSE)</f>
        <v>MAY 19</v>
      </c>
    </row>
    <row r="1334" spans="1:21" ht="16.5" customHeight="1">
      <c r="A1334" s="159" t="s">
        <v>2748</v>
      </c>
      <c r="B1334" s="114" t="str">
        <f>VLOOKUP(A1334,'Data pick slip'!B:F,5,FALSE)</f>
        <v>KHJ-MC400-00</v>
      </c>
      <c r="F1334" s="157" t="s">
        <v>2861</v>
      </c>
      <c r="H1334" s="138">
        <v>250</v>
      </c>
      <c r="I1334" s="139" t="str">
        <f>VLOOKUP(H1334,Stock_list!A:R,18,FALSE)</f>
        <v>比泰利</v>
      </c>
      <c r="J1334" s="139" t="str">
        <f>VLOOKUP(H1334,Stock_list!A:S,17,FALSE)</f>
        <v>C49SZX20190026ZX</v>
      </c>
      <c r="K1334" s="51" t="str">
        <f>VLOOKUP(H1334,Stock_list!A:T,16,FALSE)</f>
        <v>JPY</v>
      </c>
      <c r="L1334" s="4">
        <v>43609</v>
      </c>
      <c r="M1334" s="132">
        <v>3</v>
      </c>
      <c r="P1334" s="4" t="str">
        <f>VLOOKUP(H1334,Stock_list!A:Y,25,FALSE)</f>
        <v>Yes</v>
      </c>
      <c r="Q1334" s="143"/>
      <c r="T1334" s="144"/>
      <c r="U1334" s="145" t="str">
        <f>VLOOKUP(H1334,Stock_list!A:N,14,FALSE)</f>
        <v>MAY 19</v>
      </c>
    </row>
    <row r="1335" spans="1:21" ht="16.5" customHeight="1">
      <c r="A1335" s="159" t="s">
        <v>2749</v>
      </c>
      <c r="B1335" s="114" t="str">
        <f>VLOOKUP(A1335,'Data pick slip'!B:F,5,FALSE)</f>
        <v>KHJ-MC500-00</v>
      </c>
      <c r="F1335" s="157" t="s">
        <v>2861</v>
      </c>
      <c r="H1335" s="138">
        <v>250</v>
      </c>
      <c r="I1335" s="139" t="str">
        <f>VLOOKUP(H1335,Stock_list!A:R,18,FALSE)</f>
        <v>比泰利</v>
      </c>
      <c r="J1335" s="139" t="str">
        <f>VLOOKUP(H1335,Stock_list!A:S,17,FALSE)</f>
        <v>C49SZX20190026ZX</v>
      </c>
      <c r="K1335" s="51" t="str">
        <f>VLOOKUP(H1335,Stock_list!A:T,16,FALSE)</f>
        <v>JPY</v>
      </c>
      <c r="L1335" s="4">
        <v>43609</v>
      </c>
      <c r="M1335" s="132">
        <v>1</v>
      </c>
      <c r="P1335" s="4" t="str">
        <f>VLOOKUP(H1335,Stock_list!A:Y,25,FALSE)</f>
        <v>Yes</v>
      </c>
      <c r="Q1335" s="143"/>
      <c r="T1335" s="144"/>
      <c r="U1335" s="145" t="str">
        <f>VLOOKUP(H1335,Stock_list!A:N,14,FALSE)</f>
        <v>MAY 19</v>
      </c>
    </row>
    <row r="1336" spans="1:21" ht="16.5" customHeight="1">
      <c r="A1336" s="159" t="s">
        <v>2750</v>
      </c>
      <c r="B1336" s="114" t="str">
        <f>VLOOKUP(A1336,'Data pick slip'!B:F,5,FALSE)</f>
        <v>KHJ-MC600-00</v>
      </c>
      <c r="F1336" s="157" t="s">
        <v>2861</v>
      </c>
      <c r="H1336" s="138">
        <v>250</v>
      </c>
      <c r="I1336" s="139" t="str">
        <f>VLOOKUP(H1336,Stock_list!A:R,18,FALSE)</f>
        <v>比泰利</v>
      </c>
      <c r="J1336" s="139" t="str">
        <f>VLOOKUP(H1336,Stock_list!A:S,17,FALSE)</f>
        <v>C49SZX20190026ZX</v>
      </c>
      <c r="K1336" s="51" t="str">
        <f>VLOOKUP(H1336,Stock_list!A:T,16,FALSE)</f>
        <v>JPY</v>
      </c>
      <c r="L1336" s="4">
        <v>43609</v>
      </c>
      <c r="M1336" s="132">
        <v>1</v>
      </c>
      <c r="P1336" s="4" t="str">
        <f>VLOOKUP(H1336,Stock_list!A:Y,25,FALSE)</f>
        <v>Yes</v>
      </c>
      <c r="Q1336" s="143"/>
      <c r="T1336" s="144"/>
      <c r="U1336" s="145" t="str">
        <f>VLOOKUP(H1336,Stock_list!A:N,14,FALSE)</f>
        <v>MAY 19</v>
      </c>
    </row>
    <row r="1337" spans="1:21" ht="16.5" customHeight="1">
      <c r="A1337" s="159" t="s">
        <v>2751</v>
      </c>
      <c r="B1337" s="114" t="str">
        <f>VLOOKUP(A1337,'Data pick slip'!B:F,5,FALSE)</f>
        <v>KHJ-MC700-00</v>
      </c>
      <c r="F1337" s="157" t="s">
        <v>2861</v>
      </c>
      <c r="H1337" s="138">
        <v>250</v>
      </c>
      <c r="I1337" s="139" t="str">
        <f>VLOOKUP(H1337,Stock_list!A:R,18,FALSE)</f>
        <v>比泰利</v>
      </c>
      <c r="J1337" s="139" t="str">
        <f>VLOOKUP(H1337,Stock_list!A:S,17,FALSE)</f>
        <v>C49SZX20190026ZX</v>
      </c>
      <c r="K1337" s="51" t="str">
        <f>VLOOKUP(H1337,Stock_list!A:T,16,FALSE)</f>
        <v>JPY</v>
      </c>
      <c r="L1337" s="4">
        <v>43609</v>
      </c>
      <c r="M1337" s="132">
        <v>1</v>
      </c>
      <c r="P1337" s="4" t="str">
        <f>VLOOKUP(H1337,Stock_list!A:Y,25,FALSE)</f>
        <v>Yes</v>
      </c>
      <c r="Q1337" s="143"/>
      <c r="T1337" s="144"/>
      <c r="U1337" s="145" t="str">
        <f>VLOOKUP(H1337,Stock_list!A:N,14,FALSE)</f>
        <v>MAY 19</v>
      </c>
    </row>
    <row r="1338" spans="1:21" ht="16.5" customHeight="1">
      <c r="A1338" s="159" t="s">
        <v>2744</v>
      </c>
      <c r="B1338" s="114" t="str">
        <f>VLOOKUP(A1338,'Data pick slip'!B:F,5,FALSE)</f>
        <v>KHJ-MC100-00</v>
      </c>
      <c r="F1338" s="157" t="s">
        <v>2861</v>
      </c>
      <c r="H1338" s="138">
        <v>243</v>
      </c>
      <c r="I1338" s="139" t="str">
        <f>VLOOKUP(H1338,Stock_list!A:R,18,FALSE)</f>
        <v>世启纳</v>
      </c>
      <c r="J1338" s="139" t="str">
        <f>VLOOKUP(H1338,Stock_list!A:S,17,FALSE)</f>
        <v>C49SZX20190023SS</v>
      </c>
      <c r="K1338" s="51" t="str">
        <f>VLOOKUP(H1338,Stock_list!A:T,16,FALSE)</f>
        <v>JPY</v>
      </c>
      <c r="L1338" s="4"/>
      <c r="M1338" s="132">
        <v>22</v>
      </c>
      <c r="P1338" s="4" t="str">
        <f>VLOOKUP(H1338,Stock_list!A:Y,25,FALSE)</f>
        <v>Yes</v>
      </c>
      <c r="Q1338" s="143"/>
      <c r="T1338" s="144"/>
      <c r="U1338" s="145" t="str">
        <f>VLOOKUP(H1338,Stock_list!A:N,14,FALSE)</f>
        <v>MAR 19</v>
      </c>
    </row>
    <row r="1339" spans="1:21" ht="16.5" customHeight="1">
      <c r="A1339" s="159" t="s">
        <v>2744</v>
      </c>
      <c r="B1339" s="114" t="str">
        <f>VLOOKUP(A1339,'Data pick slip'!B:F,5,FALSE)</f>
        <v>KHJ-MC100-00</v>
      </c>
      <c r="F1339" s="157" t="s">
        <v>2861</v>
      </c>
      <c r="H1339" s="138">
        <v>248</v>
      </c>
      <c r="I1339" s="139" t="str">
        <f>VLOOKUP(H1339,Stock_list!A:R,18,FALSE)</f>
        <v>惠阳锐诚</v>
      </c>
      <c r="J1339" s="139" t="str">
        <f>VLOOKUP(H1339,Stock_list!A:S,17,FALSE)</f>
        <v>C49SZX20190030SX</v>
      </c>
      <c r="K1339" s="51" t="str">
        <f>VLOOKUP(H1339,Stock_list!A:T,16,FALSE)</f>
        <v>JPY</v>
      </c>
      <c r="L1339" s="4"/>
      <c r="M1339" s="132">
        <v>10</v>
      </c>
      <c r="P1339" s="4" t="str">
        <f>VLOOKUP(H1339,Stock_list!A:Y,25,FALSE)</f>
        <v>Yes</v>
      </c>
      <c r="Q1339" s="143"/>
      <c r="T1339" s="144"/>
      <c r="U1339" s="145" t="str">
        <f>VLOOKUP(H1339,Stock_list!A:N,14,FALSE)</f>
        <v>MAR 19</v>
      </c>
    </row>
    <row r="1340" spans="1:21" ht="16.5" customHeight="1">
      <c r="A1340" s="159" t="s">
        <v>2747</v>
      </c>
      <c r="B1340" s="114" t="str">
        <f>VLOOKUP(A1340,'Data pick slip'!B:F,5,FALSE)</f>
        <v>KHJ-MC200-00</v>
      </c>
      <c r="F1340" s="157" t="s">
        <v>2861</v>
      </c>
      <c r="H1340" s="138">
        <v>248</v>
      </c>
      <c r="I1340" s="139" t="str">
        <f>VLOOKUP(H1340,Stock_list!A:R,18,FALSE)</f>
        <v>惠阳锐诚</v>
      </c>
      <c r="J1340" s="139" t="str">
        <f>VLOOKUP(H1340,Stock_list!A:S,17,FALSE)</f>
        <v>C49SZX20190030SX</v>
      </c>
      <c r="K1340" s="51" t="str">
        <f>VLOOKUP(H1340,Stock_list!A:T,16,FALSE)</f>
        <v>JPY</v>
      </c>
      <c r="L1340" s="4">
        <v>43545</v>
      </c>
      <c r="M1340" s="132">
        <v>4</v>
      </c>
      <c r="P1340" s="4" t="str">
        <f>VLOOKUP(H1340,Stock_list!A:Y,25,FALSE)</f>
        <v>Yes</v>
      </c>
      <c r="Q1340" s="143"/>
      <c r="T1340" s="144"/>
      <c r="U1340" s="145" t="str">
        <f>VLOOKUP(H1340,Stock_list!A:N,14,FALSE)</f>
        <v>MAR 19</v>
      </c>
    </row>
    <row r="1341" spans="1:21" ht="16.5" customHeight="1">
      <c r="A1341" s="159" t="s">
        <v>3059</v>
      </c>
      <c r="B1341" s="114">
        <f>VLOOKUP(A1341,'Data pick slip'!B:F,5,FALSE)</f>
        <v>0</v>
      </c>
      <c r="F1341" s="157" t="s">
        <v>2773</v>
      </c>
      <c r="H1341" s="138">
        <v>243</v>
      </c>
      <c r="I1341" s="139" t="str">
        <f>VLOOKUP(H1341,Stock_list!A:R,18,FALSE)</f>
        <v>世启纳</v>
      </c>
      <c r="J1341" s="139" t="str">
        <f>VLOOKUP(H1341,Stock_list!A:S,17,FALSE)</f>
        <v>C49SZX20190023SS</v>
      </c>
      <c r="K1341" s="51" t="str">
        <f>VLOOKUP(H1341,Stock_list!A:T,16,FALSE)</f>
        <v>JPY</v>
      </c>
      <c r="L1341" s="4"/>
      <c r="M1341" s="132">
        <v>2</v>
      </c>
      <c r="P1341" s="4" t="str">
        <f>VLOOKUP(H1341,Stock_list!A:Y,25,FALSE)</f>
        <v>Yes</v>
      </c>
      <c r="Q1341" s="143"/>
      <c r="S1341" s="123" t="s">
        <v>3003</v>
      </c>
      <c r="T1341" s="205" t="s">
        <v>3047</v>
      </c>
      <c r="U1341" s="145" t="str">
        <f>VLOOKUP(H1341,Stock_list!A:N,14,FALSE)</f>
        <v>MAR 19</v>
      </c>
    </row>
    <row r="1342" spans="1:21" ht="16.5" customHeight="1">
      <c r="A1342" s="159" t="s">
        <v>2748</v>
      </c>
      <c r="B1342" s="114" t="str">
        <f>VLOOKUP(A1342,'Data pick slip'!B:F,5,FALSE)</f>
        <v>KHJ-MC400-00</v>
      </c>
      <c r="F1342" s="157" t="s">
        <v>2773</v>
      </c>
      <c r="I1342" s="139" t="s">
        <v>2853</v>
      </c>
      <c r="J1342" s="139" t="s">
        <v>3060</v>
      </c>
      <c r="K1342" s="51" t="s">
        <v>1246</v>
      </c>
      <c r="L1342" s="4" t="s">
        <v>3014</v>
      </c>
      <c r="M1342" s="140">
        <v>2</v>
      </c>
      <c r="P1342" s="4" t="s">
        <v>291</v>
      </c>
      <c r="Q1342" s="143"/>
      <c r="T1342" s="144"/>
      <c r="U1342" s="145" t="e">
        <f>VLOOKUP(H1342,Stock_list!A:N,14,FALSE)</f>
        <v>#N/A</v>
      </c>
    </row>
    <row r="1343" spans="1:21" ht="16.5" customHeight="1">
      <c r="A1343" s="159" t="s">
        <v>2749</v>
      </c>
      <c r="B1343" s="114" t="str">
        <f>VLOOKUP(A1343,'Data pick slip'!B:F,5,FALSE)</f>
        <v>KHJ-MC500-00</v>
      </c>
      <c r="F1343" s="157" t="s">
        <v>2773</v>
      </c>
      <c r="I1343" s="139" t="s">
        <v>2853</v>
      </c>
      <c r="J1343" s="139" t="s">
        <v>3060</v>
      </c>
      <c r="K1343" s="51" t="s">
        <v>1246</v>
      </c>
      <c r="L1343" s="4"/>
      <c r="M1343" s="140">
        <v>1</v>
      </c>
      <c r="P1343" s="4" t="s">
        <v>291</v>
      </c>
      <c r="Q1343" s="143"/>
      <c r="T1343" s="144"/>
      <c r="U1343" s="145" t="e">
        <f>VLOOKUP(H1343,Stock_list!A:N,14,FALSE)</f>
        <v>#N/A</v>
      </c>
    </row>
    <row r="1344" spans="1:21" ht="16.5" customHeight="1">
      <c r="A1344" s="159" t="s">
        <v>2755</v>
      </c>
      <c r="B1344" s="114" t="str">
        <f>VLOOKUP(A1344,'Data pick slip'!B:F,5,FALSE)</f>
        <v>KLJ-MC100-00</v>
      </c>
      <c r="F1344" s="157" t="s">
        <v>2773</v>
      </c>
      <c r="H1344" s="138">
        <v>252</v>
      </c>
      <c r="I1344" s="139" t="str">
        <f>VLOOKUP(H1344,Stock_list!A:R,18,FALSE)</f>
        <v>魔乐视/end user:拓普赛特</v>
      </c>
      <c r="J1344" s="139" t="str">
        <f>VLOOKUP(H1344,Stock_list!A:S,17,FALSE)</f>
        <v>C49SZX20190027MZ</v>
      </c>
      <c r="K1344" s="51" t="str">
        <f>VLOOKUP(H1344,Stock_list!A:T,16,FALSE)</f>
        <v>JPY</v>
      </c>
      <c r="L1344" s="4">
        <v>43572</v>
      </c>
      <c r="M1344" s="132">
        <v>35</v>
      </c>
      <c r="P1344" s="4" t="str">
        <f>VLOOKUP(H1344,Stock_list!A:Y,25,FALSE)</f>
        <v>Yes</v>
      </c>
      <c r="Q1344" s="143"/>
      <c r="S1344" s="123" t="s">
        <v>3003</v>
      </c>
      <c r="T1344" s="205" t="s">
        <v>3032</v>
      </c>
      <c r="U1344" s="145" t="str">
        <f>VLOOKUP(H1344,Stock_list!A:N,14,FALSE)</f>
        <v>APR 19</v>
      </c>
    </row>
    <row r="1345" spans="1:21" ht="16.5" customHeight="1">
      <c r="A1345" s="159" t="s">
        <v>2755</v>
      </c>
      <c r="B1345" s="114" t="str">
        <f>VLOOKUP(A1345,'Data pick slip'!B:F,5,FALSE)</f>
        <v>KLJ-MC100-00</v>
      </c>
      <c r="F1345" s="157" t="s">
        <v>2773</v>
      </c>
      <c r="H1345" s="138">
        <v>252</v>
      </c>
      <c r="I1345" s="139" t="str">
        <f>VLOOKUP(H1345,Stock_list!A:R,18,FALSE)</f>
        <v>魔乐视/end user:拓普赛特</v>
      </c>
      <c r="J1345" s="139" t="str">
        <f>VLOOKUP(H1345,Stock_list!A:S,17,FALSE)</f>
        <v>C49SZX20190027MZ</v>
      </c>
      <c r="K1345" s="51" t="str">
        <f>VLOOKUP(H1345,Stock_list!A:T,16,FALSE)</f>
        <v>JPY</v>
      </c>
      <c r="L1345" s="4">
        <v>43572</v>
      </c>
      <c r="M1345" s="132">
        <v>10</v>
      </c>
      <c r="P1345" s="4" t="str">
        <f>VLOOKUP(H1345,Stock_list!A:Y,25,FALSE)</f>
        <v>Yes</v>
      </c>
      <c r="Q1345" s="143"/>
      <c r="S1345" s="123" t="s">
        <v>3003</v>
      </c>
      <c r="T1345" s="205" t="s">
        <v>3061</v>
      </c>
      <c r="U1345" s="145" t="str">
        <f>VLOOKUP(H1345,Stock_list!A:N,14,FALSE)</f>
        <v>APR 19</v>
      </c>
    </row>
    <row r="1346" spans="1:21" ht="16.5" customHeight="1">
      <c r="A1346" s="159" t="s">
        <v>2755</v>
      </c>
      <c r="B1346" s="114" t="str">
        <f>VLOOKUP(A1346,'Data pick slip'!B:F,5,FALSE)</f>
        <v>KLJ-MC100-00</v>
      </c>
      <c r="F1346" s="157" t="s">
        <v>2773</v>
      </c>
      <c r="H1346" s="138">
        <v>252</v>
      </c>
      <c r="I1346" s="139" t="str">
        <f>VLOOKUP(H1346,Stock_list!A:R,18,FALSE)</f>
        <v>魔乐视/end user:拓普赛特</v>
      </c>
      <c r="J1346" s="139" t="str">
        <f>VLOOKUP(H1346,Stock_list!A:S,17,FALSE)</f>
        <v>C49SZX20190027MZ</v>
      </c>
      <c r="K1346" s="51" t="str">
        <f>VLOOKUP(H1346,Stock_list!A:T,16,FALSE)</f>
        <v>JPY</v>
      </c>
      <c r="L1346" s="4">
        <v>43572</v>
      </c>
      <c r="M1346" s="132">
        <v>9</v>
      </c>
      <c r="P1346" s="4" t="str">
        <f>VLOOKUP(H1346,Stock_list!A:Y,25,FALSE)</f>
        <v>Yes</v>
      </c>
      <c r="Q1346" s="143"/>
      <c r="S1346" s="123" t="s">
        <v>3003</v>
      </c>
      <c r="T1346" s="205" t="s">
        <v>3062</v>
      </c>
      <c r="U1346" s="145" t="str">
        <f>VLOOKUP(H1346,Stock_list!A:N,14,FALSE)</f>
        <v>APR 19</v>
      </c>
    </row>
    <row r="1347" spans="1:21" ht="16.5" customHeight="1">
      <c r="A1347" s="159" t="s">
        <v>2755</v>
      </c>
      <c r="B1347" s="114" t="str">
        <f>VLOOKUP(A1347,'Data pick slip'!B:F,5,FALSE)</f>
        <v>KLJ-MC100-00</v>
      </c>
      <c r="F1347" s="157" t="s">
        <v>2773</v>
      </c>
      <c r="H1347" s="138">
        <v>252</v>
      </c>
      <c r="I1347" s="139" t="str">
        <f>VLOOKUP(H1347,Stock_list!A:R,18,FALSE)</f>
        <v>魔乐视/end user:拓普赛特</v>
      </c>
      <c r="J1347" s="139" t="str">
        <f>VLOOKUP(H1347,Stock_list!A:S,17,FALSE)</f>
        <v>C49SZX20190027MZ</v>
      </c>
      <c r="K1347" s="51" t="str">
        <f>VLOOKUP(H1347,Stock_list!A:T,16,FALSE)</f>
        <v>JPY</v>
      </c>
      <c r="L1347" s="4">
        <v>43572</v>
      </c>
      <c r="M1347" s="132">
        <v>1</v>
      </c>
      <c r="P1347" s="4" t="str">
        <f>VLOOKUP(H1347,Stock_list!A:Y,25,FALSE)</f>
        <v>Yes</v>
      </c>
      <c r="Q1347" s="143"/>
      <c r="S1347" s="123" t="s">
        <v>3003</v>
      </c>
      <c r="T1347" s="205" t="s">
        <v>3063</v>
      </c>
      <c r="U1347" s="145" t="str">
        <f>VLOOKUP(H1347,Stock_list!A:N,14,FALSE)</f>
        <v>APR 19</v>
      </c>
    </row>
    <row r="1348" spans="1:21" ht="16.5" customHeight="1">
      <c r="A1348" s="159" t="s">
        <v>2755</v>
      </c>
      <c r="B1348" s="114" t="str">
        <f>VLOOKUP(A1348,'Data pick slip'!B:F,5,FALSE)</f>
        <v>KLJ-MC100-00</v>
      </c>
      <c r="F1348" s="157" t="s">
        <v>2773</v>
      </c>
      <c r="H1348" s="138">
        <v>252</v>
      </c>
      <c r="I1348" s="139" t="str">
        <f>VLOOKUP(H1348,Stock_list!A:R,18,FALSE)</f>
        <v>魔乐视/end user:拓普赛特</v>
      </c>
      <c r="J1348" s="139" t="str">
        <f>VLOOKUP(H1348,Stock_list!A:S,17,FALSE)</f>
        <v>C49SZX20190027MZ</v>
      </c>
      <c r="K1348" s="51" t="str">
        <f>VLOOKUP(H1348,Stock_list!A:T,16,FALSE)</f>
        <v>JPY</v>
      </c>
      <c r="L1348" s="4">
        <v>43572</v>
      </c>
      <c r="M1348" s="132">
        <v>5</v>
      </c>
      <c r="P1348" s="4" t="str">
        <f>VLOOKUP(H1348,Stock_list!A:Y,25,FALSE)</f>
        <v>Yes</v>
      </c>
      <c r="Q1348" s="143"/>
      <c r="S1348" s="123" t="s">
        <v>3003</v>
      </c>
      <c r="T1348" s="205" t="s">
        <v>3064</v>
      </c>
      <c r="U1348" s="145" t="str">
        <f>VLOOKUP(H1348,Stock_list!A:N,14,FALSE)</f>
        <v>APR 19</v>
      </c>
    </row>
    <row r="1349" spans="1:21" ht="16.5" customHeight="1">
      <c r="A1349" s="159" t="s">
        <v>2755</v>
      </c>
      <c r="B1349" s="114" t="str">
        <f>VLOOKUP(A1349,'Data pick slip'!B:F,5,FALSE)</f>
        <v>KLJ-MC100-00</v>
      </c>
      <c r="F1349" s="157" t="s">
        <v>2773</v>
      </c>
      <c r="H1349" s="138">
        <v>252</v>
      </c>
      <c r="I1349" s="139" t="str">
        <f>VLOOKUP(H1349,Stock_list!A:R,18,FALSE)</f>
        <v>魔乐视/end user:拓普赛特</v>
      </c>
      <c r="J1349" s="139" t="str">
        <f>VLOOKUP(H1349,Stock_list!A:S,17,FALSE)</f>
        <v>C49SZX20190027MZ</v>
      </c>
      <c r="K1349" s="51" t="str">
        <f>VLOOKUP(H1349,Stock_list!A:T,16,FALSE)</f>
        <v>JPY</v>
      </c>
      <c r="L1349" s="4">
        <v>43572</v>
      </c>
      <c r="M1349" s="132">
        <v>5</v>
      </c>
      <c r="P1349" s="4" t="str">
        <f>VLOOKUP(H1349,Stock_list!A:Y,25,FALSE)</f>
        <v>Yes</v>
      </c>
      <c r="Q1349" s="143"/>
      <c r="S1349" s="123" t="s">
        <v>3003</v>
      </c>
      <c r="T1349" s="205" t="s">
        <v>3065</v>
      </c>
      <c r="U1349" s="145" t="str">
        <f>VLOOKUP(H1349,Stock_list!A:N,14,FALSE)</f>
        <v>APR 19</v>
      </c>
    </row>
    <row r="1350" spans="1:21" ht="16.5" customHeight="1">
      <c r="A1350" s="159" t="s">
        <v>2755</v>
      </c>
      <c r="B1350" s="114" t="str">
        <f>VLOOKUP(A1350,'Data pick slip'!B:F,5,FALSE)</f>
        <v>KLJ-MC100-00</v>
      </c>
      <c r="F1350" s="157" t="s">
        <v>2773</v>
      </c>
      <c r="H1350" s="138">
        <v>252</v>
      </c>
      <c r="I1350" s="139" t="str">
        <f>VLOOKUP(H1350,Stock_list!A:R,18,FALSE)</f>
        <v>魔乐视/end user:拓普赛特</v>
      </c>
      <c r="J1350" s="139" t="str">
        <f>VLOOKUP(H1350,Stock_list!A:S,17,FALSE)</f>
        <v>C49SZX20190027MZ</v>
      </c>
      <c r="K1350" s="51" t="str">
        <f>VLOOKUP(H1350,Stock_list!A:T,16,FALSE)</f>
        <v>JPY</v>
      </c>
      <c r="L1350" s="4">
        <v>43572</v>
      </c>
      <c r="M1350" s="132">
        <v>20</v>
      </c>
      <c r="P1350" s="4" t="str">
        <f>VLOOKUP(H1350,Stock_list!A:Y,25,FALSE)</f>
        <v>Yes</v>
      </c>
      <c r="Q1350" s="143"/>
      <c r="S1350" s="123" t="s">
        <v>3003</v>
      </c>
      <c r="T1350" s="205" t="s">
        <v>3066</v>
      </c>
      <c r="U1350" s="145" t="str">
        <f>VLOOKUP(H1350,Stock_list!A:N,14,FALSE)</f>
        <v>APR 19</v>
      </c>
    </row>
    <row r="1351" spans="1:21" ht="16.5" customHeight="1">
      <c r="A1351" s="159" t="s">
        <v>2755</v>
      </c>
      <c r="B1351" s="114" t="str">
        <f>VLOOKUP(A1351,'Data pick slip'!B:F,5,FALSE)</f>
        <v>KLJ-MC100-00</v>
      </c>
      <c r="F1351" s="157" t="s">
        <v>2773</v>
      </c>
      <c r="H1351" s="138">
        <v>252</v>
      </c>
      <c r="I1351" s="139" t="str">
        <f>VLOOKUP(H1351,Stock_list!A:R,18,FALSE)</f>
        <v>魔乐视/end user:拓普赛特</v>
      </c>
      <c r="J1351" s="139" t="str">
        <f>VLOOKUP(H1351,Stock_list!A:S,17,FALSE)</f>
        <v>C49SZX20190027MZ</v>
      </c>
      <c r="K1351" s="51" t="str">
        <f>VLOOKUP(H1351,Stock_list!A:T,16,FALSE)</f>
        <v>JPY</v>
      </c>
      <c r="L1351" s="4">
        <v>43572</v>
      </c>
      <c r="M1351" s="132">
        <v>15</v>
      </c>
      <c r="P1351" s="4" t="str">
        <f>VLOOKUP(H1351,Stock_list!A:Y,25,FALSE)</f>
        <v>Yes</v>
      </c>
      <c r="Q1351" s="143"/>
      <c r="S1351" s="123" t="s">
        <v>3003</v>
      </c>
      <c r="T1351" s="205" t="s">
        <v>3067</v>
      </c>
      <c r="U1351" s="145" t="str">
        <f>VLOOKUP(H1351,Stock_list!A:N,14,FALSE)</f>
        <v>APR 19</v>
      </c>
    </row>
    <row r="1352" spans="1:21" ht="16.5" customHeight="1">
      <c r="A1352" s="159" t="s">
        <v>2756</v>
      </c>
      <c r="B1352" s="114" t="str">
        <f>VLOOKUP(A1352,'Data pick slip'!B:F,5,FALSE)</f>
        <v>KLJ-MC200-00</v>
      </c>
      <c r="F1352" s="157" t="s">
        <v>2773</v>
      </c>
      <c r="H1352" s="138">
        <v>252</v>
      </c>
      <c r="I1352" s="139" t="str">
        <f>VLOOKUP(H1352,Stock_list!A:R,18,FALSE)</f>
        <v>魔乐视/end user:拓普赛特</v>
      </c>
      <c r="J1352" s="139" t="str">
        <f>VLOOKUP(H1352,Stock_list!A:S,17,FALSE)</f>
        <v>C49SZX20190027MZ</v>
      </c>
      <c r="K1352" s="51" t="str">
        <f>VLOOKUP(H1352,Stock_list!A:T,16,FALSE)</f>
        <v>JPY</v>
      </c>
      <c r="L1352" s="4">
        <v>43572</v>
      </c>
      <c r="M1352" s="132">
        <v>20</v>
      </c>
      <c r="P1352" s="4" t="str">
        <f>VLOOKUP(H1352,Stock_list!A:Y,25,FALSE)</f>
        <v>Yes</v>
      </c>
      <c r="S1352" s="123" t="s">
        <v>3003</v>
      </c>
      <c r="T1352" s="205" t="s">
        <v>3068</v>
      </c>
      <c r="U1352" s="145" t="str">
        <f>VLOOKUP(H1352,Stock_list!A:N,14,FALSE)</f>
        <v>APR 19</v>
      </c>
    </row>
    <row r="1353" spans="1:21" ht="16.5" customHeight="1">
      <c r="A1353" s="159" t="s">
        <v>2757</v>
      </c>
      <c r="B1353" s="114" t="str">
        <f>VLOOKUP(A1353,'Data pick slip'!B:F,5,FALSE)</f>
        <v>KLJ-MC400-00</v>
      </c>
      <c r="F1353" s="157" t="s">
        <v>2773</v>
      </c>
      <c r="H1353" s="138">
        <v>252</v>
      </c>
      <c r="I1353" s="139" t="str">
        <f>VLOOKUP(H1353,Stock_list!A:R,18,FALSE)</f>
        <v>魔乐视/end user:拓普赛特</v>
      </c>
      <c r="J1353" s="139" t="str">
        <f>VLOOKUP(H1353,Stock_list!A:S,17,FALSE)</f>
        <v>C49SZX20190027MZ</v>
      </c>
      <c r="K1353" s="51" t="str">
        <f>VLOOKUP(H1353,Stock_list!A:T,16,FALSE)</f>
        <v>JPY</v>
      </c>
      <c r="L1353" s="4">
        <v>43572</v>
      </c>
      <c r="M1353" s="132">
        <v>3</v>
      </c>
      <c r="P1353" s="4" t="str">
        <f>VLOOKUP(H1353,Stock_list!A:Y,25,FALSE)</f>
        <v>Yes</v>
      </c>
      <c r="Q1353" s="143"/>
      <c r="S1353" s="123" t="s">
        <v>3003</v>
      </c>
      <c r="T1353" s="205" t="s">
        <v>3069</v>
      </c>
      <c r="U1353" s="145" t="str">
        <f>VLOOKUP(H1353,Stock_list!A:N,14,FALSE)</f>
        <v>APR 19</v>
      </c>
    </row>
    <row r="1354" spans="1:21" ht="16.5" customHeight="1">
      <c r="A1354" s="159" t="s">
        <v>2758</v>
      </c>
      <c r="B1354" s="114" t="str">
        <f>VLOOKUP(A1354,'Data pick slip'!B:F,5,FALSE)</f>
        <v>KLJ-MC500-00</v>
      </c>
      <c r="F1354" s="157" t="s">
        <v>2773</v>
      </c>
      <c r="H1354" s="138">
        <v>252</v>
      </c>
      <c r="I1354" s="139" t="str">
        <f>VLOOKUP(H1354,Stock_list!A:R,18,FALSE)</f>
        <v>魔乐视/end user:拓普赛特</v>
      </c>
      <c r="J1354" s="139" t="str">
        <f>VLOOKUP(H1354,Stock_list!A:S,17,FALSE)</f>
        <v>C49SZX20190027MZ</v>
      </c>
      <c r="K1354" s="51" t="str">
        <f>VLOOKUP(H1354,Stock_list!A:T,16,FALSE)</f>
        <v>JPY</v>
      </c>
      <c r="L1354" s="4">
        <v>43572</v>
      </c>
      <c r="M1354" s="132">
        <v>1</v>
      </c>
      <c r="P1354" s="4" t="str">
        <f>VLOOKUP(H1354,Stock_list!A:Y,25,FALSE)</f>
        <v>Yes</v>
      </c>
      <c r="Q1354" s="143"/>
      <c r="S1354" s="123" t="s">
        <v>3003</v>
      </c>
      <c r="T1354" s="205" t="s">
        <v>3069</v>
      </c>
      <c r="U1354" s="145" t="str">
        <f>VLOOKUP(H1354,Stock_list!A:N,14,FALSE)</f>
        <v>APR 19</v>
      </c>
    </row>
    <row r="1355" spans="1:21" ht="16.5" customHeight="1">
      <c r="A1355" s="159" t="s">
        <v>2759</v>
      </c>
      <c r="B1355" s="114" t="str">
        <f>VLOOKUP(A1355,'Data pick slip'!B:F,5,FALSE)</f>
        <v>KLJ-MC600-00</v>
      </c>
      <c r="F1355" s="157" t="s">
        <v>2773</v>
      </c>
      <c r="H1355" s="138">
        <v>252</v>
      </c>
      <c r="I1355" s="139" t="str">
        <f>VLOOKUP(H1355,Stock_list!A:R,18,FALSE)</f>
        <v>魔乐视/end user:拓普赛特</v>
      </c>
      <c r="J1355" s="139" t="str">
        <f>VLOOKUP(H1355,Stock_list!A:S,17,FALSE)</f>
        <v>C49SZX20190027MZ</v>
      </c>
      <c r="K1355" s="51" t="str">
        <f>VLOOKUP(H1355,Stock_list!A:T,16,FALSE)</f>
        <v>JPY</v>
      </c>
      <c r="L1355" s="4">
        <v>43572</v>
      </c>
      <c r="M1355" s="132">
        <v>1</v>
      </c>
      <c r="P1355" s="4" t="str">
        <f>VLOOKUP(H1355,Stock_list!A:Y,25,FALSE)</f>
        <v>Yes</v>
      </c>
      <c r="Q1355" s="143"/>
      <c r="S1355" s="123" t="s">
        <v>3003</v>
      </c>
      <c r="T1355" s="205" t="s">
        <v>3069</v>
      </c>
      <c r="U1355" s="145" t="str">
        <f>VLOOKUP(H1355,Stock_list!A:N,14,FALSE)</f>
        <v>APR 19</v>
      </c>
    </row>
    <row r="1356" spans="1:21" ht="16.5" customHeight="1">
      <c r="A1356" s="159" t="s">
        <v>2760</v>
      </c>
      <c r="B1356" s="114" t="str">
        <f>VLOOKUP(A1356,'Data pick slip'!B:F,5,FALSE)</f>
        <v>KLJ-MC700-00</v>
      </c>
      <c r="F1356" s="157" t="s">
        <v>2773</v>
      </c>
      <c r="H1356" s="138">
        <v>252</v>
      </c>
      <c r="I1356" s="139" t="str">
        <f>VLOOKUP(H1356,Stock_list!A:R,18,FALSE)</f>
        <v>魔乐视/end user:拓普赛特</v>
      </c>
      <c r="J1356" s="139" t="str">
        <f>VLOOKUP(H1356,Stock_list!A:S,17,FALSE)</f>
        <v>C49SZX20190027MZ</v>
      </c>
      <c r="K1356" s="51" t="str">
        <f>VLOOKUP(H1356,Stock_list!A:T,16,FALSE)</f>
        <v>JPY</v>
      </c>
      <c r="L1356" s="4">
        <v>43572</v>
      </c>
      <c r="M1356" s="132">
        <v>1</v>
      </c>
      <c r="P1356" s="4" t="str">
        <f>VLOOKUP(H1356,Stock_list!A:Y,25,FALSE)</f>
        <v>Yes</v>
      </c>
      <c r="Q1356" s="143"/>
      <c r="S1356" s="123" t="s">
        <v>3003</v>
      </c>
      <c r="T1356" s="205" t="s">
        <v>3069</v>
      </c>
      <c r="U1356" s="145" t="str">
        <f>VLOOKUP(H1356,Stock_list!A:N,14,FALSE)</f>
        <v>APR 19</v>
      </c>
    </row>
    <row r="1357" spans="1:21" ht="16.5" customHeight="1">
      <c r="A1357" s="159" t="s">
        <v>2755</v>
      </c>
      <c r="B1357" s="114" t="str">
        <f>VLOOKUP(A1357,'Data pick slip'!B:F,5,FALSE)</f>
        <v>KLJ-MC100-00</v>
      </c>
      <c r="F1357" s="157" t="s">
        <v>2861</v>
      </c>
      <c r="H1357" s="138">
        <v>460</v>
      </c>
      <c r="I1357" s="139" t="str">
        <f>VLOOKUP(H1357,Stock_list!A:R,18,FALSE)</f>
        <v>魔乐视/end user:拓普赛特</v>
      </c>
      <c r="J1357" s="139" t="str">
        <f>VLOOKUP(H1357,Stock_list!A:S,17,FALSE)</f>
        <v>C49SZX20190028MZR1</v>
      </c>
      <c r="K1357" s="51" t="str">
        <f>VLOOKUP(H1357,Stock_list!A:T,16,FALSE)</f>
        <v>JPY</v>
      </c>
      <c r="L1357" s="4">
        <v>43811</v>
      </c>
      <c r="M1357" s="132">
        <v>200</v>
      </c>
      <c r="P1357" s="4" t="str">
        <f>VLOOKUP(H1357,Stock_list!A:Y,25,FALSE)</f>
        <v>Yes</v>
      </c>
      <c r="Q1357" s="143"/>
      <c r="T1357" s="144"/>
      <c r="U1357" s="145" t="str">
        <f>VLOOKUP(H1357,Stock_list!A:N,14,FALSE)</f>
        <v>DEC 19</v>
      </c>
    </row>
    <row r="1358" spans="1:21" ht="16.5" customHeight="1">
      <c r="A1358" s="159" t="s">
        <v>2756</v>
      </c>
      <c r="B1358" s="114" t="str">
        <f>VLOOKUP(A1358,'Data pick slip'!B:F,5,FALSE)</f>
        <v>KLJ-MC200-00</v>
      </c>
      <c r="F1358" s="157" t="s">
        <v>2861</v>
      </c>
      <c r="H1358" s="138">
        <v>460</v>
      </c>
      <c r="I1358" s="139" t="str">
        <f>VLOOKUP(H1358,Stock_list!A:R,18,FALSE)</f>
        <v>魔乐视/end user:拓普赛特</v>
      </c>
      <c r="J1358" s="139" t="str">
        <f>VLOOKUP(H1358,Stock_list!A:S,17,FALSE)</f>
        <v>C49SZX20190028MZR1</v>
      </c>
      <c r="K1358" s="51" t="str">
        <f>VLOOKUP(H1358,Stock_list!A:T,16,FALSE)</f>
        <v>JPY</v>
      </c>
      <c r="L1358" s="4">
        <v>43811</v>
      </c>
      <c r="M1358" s="132">
        <v>30</v>
      </c>
      <c r="P1358" s="4" t="str">
        <f>VLOOKUP(H1358,Stock_list!A:Y,25,FALSE)</f>
        <v>Yes</v>
      </c>
      <c r="T1358" s="144"/>
      <c r="U1358" s="145" t="str">
        <f>VLOOKUP(H1358,Stock_list!A:N,14,FALSE)</f>
        <v>DEC 19</v>
      </c>
    </row>
    <row r="1359" spans="1:21" ht="16.5" customHeight="1">
      <c r="A1359" s="159" t="s">
        <v>2757</v>
      </c>
      <c r="B1359" s="114" t="str">
        <f>VLOOKUP(A1359,'Data pick slip'!B:F,5,FALSE)</f>
        <v>KLJ-MC400-00</v>
      </c>
      <c r="F1359" s="157" t="s">
        <v>2861</v>
      </c>
      <c r="H1359" s="138">
        <v>460</v>
      </c>
      <c r="I1359" s="139" t="str">
        <f>VLOOKUP(H1359,Stock_list!A:R,18,FALSE)</f>
        <v>魔乐视/end user:拓普赛特</v>
      </c>
      <c r="J1359" s="139" t="str">
        <f>VLOOKUP(H1359,Stock_list!A:S,17,FALSE)</f>
        <v>C49SZX20190028MZR1</v>
      </c>
      <c r="K1359" s="51" t="str">
        <f>VLOOKUP(H1359,Stock_list!A:T,16,FALSE)</f>
        <v>JPY</v>
      </c>
      <c r="L1359" s="4">
        <v>43811</v>
      </c>
      <c r="M1359" s="132">
        <v>12</v>
      </c>
      <c r="P1359" s="4" t="str">
        <f>VLOOKUP(H1359,Stock_list!A:Y,25,FALSE)</f>
        <v>Yes</v>
      </c>
      <c r="Q1359" s="143"/>
      <c r="T1359" s="144"/>
      <c r="U1359" s="145" t="str">
        <f>VLOOKUP(H1359,Stock_list!A:N,14,FALSE)</f>
        <v>DEC 19</v>
      </c>
    </row>
    <row r="1360" spans="1:21" ht="16.5" customHeight="1">
      <c r="A1360" s="159" t="s">
        <v>2758</v>
      </c>
      <c r="B1360" s="114" t="str">
        <f>VLOOKUP(A1360,'Data pick slip'!B:F,5,FALSE)</f>
        <v>KLJ-MC500-00</v>
      </c>
      <c r="F1360" s="157" t="s">
        <v>2861</v>
      </c>
      <c r="H1360" s="138">
        <v>460</v>
      </c>
      <c r="I1360" s="139" t="str">
        <f>VLOOKUP(H1360,Stock_list!A:R,18,FALSE)</f>
        <v>魔乐视/end user:拓普赛特</v>
      </c>
      <c r="J1360" s="139" t="str">
        <f>VLOOKUP(H1360,Stock_list!A:S,17,FALSE)</f>
        <v>C49SZX20190028MZR1</v>
      </c>
      <c r="K1360" s="51" t="str">
        <f>VLOOKUP(H1360,Stock_list!A:T,16,FALSE)</f>
        <v>JPY</v>
      </c>
      <c r="L1360" s="4">
        <v>43811</v>
      </c>
      <c r="M1360" s="132">
        <v>4</v>
      </c>
      <c r="P1360" s="4" t="str">
        <f>VLOOKUP(H1360,Stock_list!A:Y,25,FALSE)</f>
        <v>Yes</v>
      </c>
      <c r="Q1360" s="143"/>
      <c r="T1360" s="144"/>
      <c r="U1360" s="145" t="str">
        <f>VLOOKUP(H1360,Stock_list!A:N,14,FALSE)</f>
        <v>DEC 19</v>
      </c>
    </row>
    <row r="1361" spans="1:21" ht="16.5" customHeight="1">
      <c r="A1361" s="159" t="s">
        <v>2755</v>
      </c>
      <c r="B1361" s="114" t="str">
        <f>VLOOKUP(A1361,'Data pick slip'!B:F,5,FALSE)</f>
        <v>KLJ-MC100-00</v>
      </c>
      <c r="F1361" s="157" t="s">
        <v>2861</v>
      </c>
      <c r="H1361" s="138">
        <v>263</v>
      </c>
      <c r="I1361" s="139" t="str">
        <f>VLOOKUP(H1361,Stock_list!A:R,18,FALSE)</f>
        <v>恒泰创新</v>
      </c>
      <c r="J1361" s="139" t="str">
        <f>VLOOKUP(H1361,Stock_list!A:S,17,FALSE)</f>
        <v>C49SZX20190035ZX</v>
      </c>
      <c r="K1361" s="51" t="str">
        <f>VLOOKUP(H1361,Stock_list!A:T,16,FALSE)</f>
        <v>JPY</v>
      </c>
      <c r="L1361" s="4">
        <v>43580</v>
      </c>
      <c r="M1361" s="132">
        <v>55</v>
      </c>
      <c r="P1361" s="4" t="str">
        <f>VLOOKUP(H1361,Stock_list!A:Y,25,FALSE)</f>
        <v>Yes</v>
      </c>
      <c r="Q1361" s="143"/>
      <c r="T1361" s="144"/>
      <c r="U1361" s="145" t="str">
        <f>VLOOKUP(H1361,Stock_list!A:N,14,FALSE)</f>
        <v>APR 19</v>
      </c>
    </row>
    <row r="1362" spans="1:21" ht="16.5" customHeight="1">
      <c r="A1362" s="159" t="s">
        <v>2755</v>
      </c>
      <c r="B1362" s="114" t="str">
        <f>VLOOKUP(A1362,'Data pick slip'!B:F,5,FALSE)</f>
        <v>KLJ-MC100-00</v>
      </c>
      <c r="F1362" s="157" t="s">
        <v>2773</v>
      </c>
      <c r="H1362" s="138">
        <v>263</v>
      </c>
      <c r="I1362" s="139" t="str">
        <f>VLOOKUP(H1362,Stock_list!A:R,18,FALSE)</f>
        <v>恒泰创新</v>
      </c>
      <c r="J1362" s="139" t="str">
        <f>VLOOKUP(H1362,Stock_list!A:S,17,FALSE)</f>
        <v>C49SZX20190035ZX</v>
      </c>
      <c r="K1362" s="51" t="str">
        <f>VLOOKUP(H1362,Stock_list!A:T,16,FALSE)</f>
        <v>JPY</v>
      </c>
      <c r="L1362" s="4">
        <v>43580</v>
      </c>
      <c r="M1362" s="132">
        <v>5</v>
      </c>
      <c r="P1362" s="4" t="str">
        <f>VLOOKUP(H1362,Stock_list!A:Y,25,FALSE)</f>
        <v>Yes</v>
      </c>
      <c r="Q1362" s="143"/>
      <c r="S1362" s="123" t="s">
        <v>3003</v>
      </c>
      <c r="T1362" s="205" t="s">
        <v>3070</v>
      </c>
      <c r="U1362" s="145" t="str">
        <f>VLOOKUP(H1362,Stock_list!A:N,14,FALSE)</f>
        <v>APR 19</v>
      </c>
    </row>
    <row r="1363" spans="1:21" ht="16.5" customHeight="1">
      <c r="A1363" s="159" t="s">
        <v>2756</v>
      </c>
      <c r="B1363" s="114" t="str">
        <f>VLOOKUP(A1363,'Data pick slip'!B:F,5,FALSE)</f>
        <v>KLJ-MC200-00</v>
      </c>
      <c r="F1363" s="157" t="s">
        <v>2773</v>
      </c>
      <c r="H1363" s="138">
        <v>263</v>
      </c>
      <c r="I1363" s="139" t="str">
        <f>VLOOKUP(H1363,Stock_list!A:R,18,FALSE)</f>
        <v>恒泰创新</v>
      </c>
      <c r="J1363" s="139" t="str">
        <f>VLOOKUP(H1363,Stock_list!A:S,17,FALSE)</f>
        <v>C49SZX20190035ZX</v>
      </c>
      <c r="K1363" s="51" t="str">
        <f>VLOOKUP(H1363,Stock_list!A:T,16,FALSE)</f>
        <v>JPY</v>
      </c>
      <c r="L1363" s="4">
        <v>43580</v>
      </c>
      <c r="M1363" s="132">
        <v>8</v>
      </c>
      <c r="P1363" s="4" t="str">
        <f>VLOOKUP(H1363,Stock_list!A:Y,25,FALSE)</f>
        <v>Yes</v>
      </c>
      <c r="S1363" s="123" t="s">
        <v>3003</v>
      </c>
      <c r="T1363" s="205" t="s">
        <v>3071</v>
      </c>
      <c r="U1363" s="145" t="str">
        <f>VLOOKUP(H1363,Stock_list!A:N,14,FALSE)</f>
        <v>APR 19</v>
      </c>
    </row>
    <row r="1364" spans="1:21" ht="16.5" customHeight="1">
      <c r="A1364" s="159" t="s">
        <v>2757</v>
      </c>
      <c r="B1364" s="114" t="str">
        <f>VLOOKUP(A1364,'Data pick slip'!B:F,5,FALSE)</f>
        <v>KLJ-MC400-00</v>
      </c>
      <c r="F1364" s="157" t="s">
        <v>2773</v>
      </c>
      <c r="H1364" s="138">
        <v>263</v>
      </c>
      <c r="I1364" s="139" t="str">
        <f>VLOOKUP(H1364,Stock_list!A:R,18,FALSE)</f>
        <v>恒泰创新</v>
      </c>
      <c r="J1364" s="139" t="str">
        <f>VLOOKUP(H1364,Stock_list!A:S,17,FALSE)</f>
        <v>C49SZX20190035ZX</v>
      </c>
      <c r="K1364" s="51" t="str">
        <f>VLOOKUP(H1364,Stock_list!A:T,16,FALSE)</f>
        <v>JPY</v>
      </c>
      <c r="L1364" s="4">
        <v>43580</v>
      </c>
      <c r="M1364" s="132">
        <v>2</v>
      </c>
      <c r="P1364" s="4" t="str">
        <f>VLOOKUP(H1364,Stock_list!A:Y,25,FALSE)</f>
        <v>Yes</v>
      </c>
      <c r="Q1364" s="143"/>
      <c r="S1364" s="123" t="s">
        <v>3003</v>
      </c>
      <c r="T1364" s="205" t="s">
        <v>3072</v>
      </c>
      <c r="U1364" s="145" t="str">
        <f>VLOOKUP(H1364,Stock_list!A:N,14,FALSE)</f>
        <v>APR 19</v>
      </c>
    </row>
    <row r="1365" spans="1:21" ht="16.5" customHeight="1">
      <c r="A1365" s="159" t="s">
        <v>2744</v>
      </c>
      <c r="B1365" s="114" t="str">
        <f>VLOOKUP(A1365,'Data pick slip'!B:F,5,FALSE)</f>
        <v>KHJ-MC100-00</v>
      </c>
      <c r="F1365" s="157" t="s">
        <v>2861</v>
      </c>
      <c r="H1365" s="138">
        <v>265</v>
      </c>
      <c r="I1365" s="139" t="str">
        <f>VLOOKUP(H1365,Stock_list!A:R,18,FALSE)</f>
        <v>凌鑫</v>
      </c>
      <c r="J1365" s="139" t="str">
        <f>VLOOKUP(H1365,Stock_list!A:S,17,FALSE)</f>
        <v>C49SZX20190032SX</v>
      </c>
      <c r="K1365" s="51" t="str">
        <f>VLOOKUP(H1365,Stock_list!A:T,16,FALSE)</f>
        <v>JPY</v>
      </c>
      <c r="L1365" s="4">
        <v>43558</v>
      </c>
      <c r="M1365" s="132">
        <v>45</v>
      </c>
      <c r="N1365" s="149"/>
      <c r="P1365" s="4" t="str">
        <f>VLOOKUP(H1365,Stock_list!A:Y,25,FALSE)</f>
        <v>Yes</v>
      </c>
      <c r="Q1365" s="143"/>
      <c r="T1365" s="144"/>
      <c r="U1365" s="145" t="str">
        <f>VLOOKUP(H1365,Stock_list!A:N,14,FALSE)</f>
        <v>APR 19</v>
      </c>
    </row>
    <row r="1366" spans="1:21" ht="16.5" customHeight="1">
      <c r="A1366" s="159" t="s">
        <v>2747</v>
      </c>
      <c r="B1366" s="114" t="str">
        <f>VLOOKUP(A1366,'Data pick slip'!B:F,5,FALSE)</f>
        <v>KHJ-MC200-00</v>
      </c>
      <c r="F1366" s="157" t="s">
        <v>2861</v>
      </c>
      <c r="H1366" s="138">
        <v>265</v>
      </c>
      <c r="I1366" s="139" t="str">
        <f>VLOOKUP(H1366,Stock_list!A:R,18,FALSE)</f>
        <v>凌鑫</v>
      </c>
      <c r="J1366" s="139" t="str">
        <f>VLOOKUP(H1366,Stock_list!A:S,17,FALSE)</f>
        <v>C49SZX20190032SX</v>
      </c>
      <c r="K1366" s="51" t="str">
        <f>VLOOKUP(H1366,Stock_list!A:T,16,FALSE)</f>
        <v>JPY</v>
      </c>
      <c r="L1366" s="4">
        <v>43558</v>
      </c>
      <c r="M1366" s="132">
        <v>5</v>
      </c>
      <c r="N1366" s="149"/>
      <c r="P1366" s="4" t="str">
        <f>VLOOKUP(H1366,Stock_list!A:Y,25,FALSE)</f>
        <v>Yes</v>
      </c>
      <c r="Q1366" s="143"/>
      <c r="T1366" s="144"/>
      <c r="U1366" s="145" t="str">
        <f>VLOOKUP(H1366,Stock_list!A:N,14,FALSE)</f>
        <v>APR 19</v>
      </c>
    </row>
    <row r="1367" spans="1:21" ht="16.5" customHeight="1">
      <c r="A1367" s="159" t="s">
        <v>2756</v>
      </c>
      <c r="B1367" s="114" t="str">
        <f>VLOOKUP(A1367,'Data pick slip'!B:F,5,FALSE)</f>
        <v>KLJ-MC200-00</v>
      </c>
      <c r="F1367" s="157" t="s">
        <v>2773</v>
      </c>
      <c r="H1367" s="138">
        <v>267</v>
      </c>
      <c r="I1367" s="139" t="str">
        <f>VLOOKUP(H1367,Stock_list!A:R,18,FALSE)</f>
        <v>永顺创</v>
      </c>
      <c r="J1367" s="139" t="str">
        <f>VLOOKUP(H1367,Stock_list!A:S,17,FALSE)</f>
        <v>C49SZX20190046SX</v>
      </c>
      <c r="K1367" s="51" t="str">
        <f>VLOOKUP(H1367,Stock_list!A:T,16,FALSE)</f>
        <v>JPY</v>
      </c>
      <c r="L1367" s="4">
        <v>43553</v>
      </c>
      <c r="M1367" s="132">
        <v>10</v>
      </c>
      <c r="P1367" s="4" t="str">
        <f>VLOOKUP(H1367,Stock_list!A:Y,25,FALSE)</f>
        <v>Yes</v>
      </c>
      <c r="S1367" s="123" t="s">
        <v>3003</v>
      </c>
      <c r="T1367" s="205" t="s">
        <v>3073</v>
      </c>
      <c r="U1367" s="145" t="str">
        <f>VLOOKUP(H1367,Stock_list!A:N,14,FALSE)</f>
        <v>APR 19</v>
      </c>
    </row>
    <row r="1368" spans="1:21" ht="16.5" customHeight="1">
      <c r="A1368" s="159" t="s">
        <v>3074</v>
      </c>
      <c r="B1368" s="114" t="str">
        <f>VLOOKUP(A1368,'Data pick slip'!B:F,5,FALSE)</f>
        <v>KLJ-MC100-00</v>
      </c>
      <c r="F1368" s="157" t="s">
        <v>2773</v>
      </c>
      <c r="H1368" s="138">
        <v>267</v>
      </c>
      <c r="I1368" s="139" t="str">
        <f>VLOOKUP(H1368,Stock_list!A:R,18,FALSE)</f>
        <v>永顺创</v>
      </c>
      <c r="J1368" s="139" t="str">
        <f>VLOOKUP(H1368,Stock_list!A:S,17,FALSE)</f>
        <v>C49SZX20190046SX</v>
      </c>
      <c r="K1368" s="51" t="str">
        <f>VLOOKUP(H1368,Stock_list!A:T,16,FALSE)</f>
        <v>JPY</v>
      </c>
      <c r="L1368" s="4">
        <v>43553</v>
      </c>
      <c r="M1368" s="132">
        <v>5</v>
      </c>
      <c r="P1368" s="4" t="str">
        <f>VLOOKUP(H1368,Stock_list!A:Y,25,FALSE)</f>
        <v>Yes</v>
      </c>
      <c r="Q1368" s="143"/>
      <c r="S1368" s="123" t="s">
        <v>3003</v>
      </c>
      <c r="T1368" s="205" t="s">
        <v>3075</v>
      </c>
      <c r="U1368" s="145" t="str">
        <f>VLOOKUP(H1368,Stock_list!A:N,14,FALSE)</f>
        <v>APR 19</v>
      </c>
    </row>
    <row r="1369" spans="1:21" ht="16.5" customHeight="1">
      <c r="A1369" s="159" t="s">
        <v>2755</v>
      </c>
      <c r="B1369" s="114" t="str">
        <f>VLOOKUP(A1369,'Data pick slip'!B:F,5,FALSE)</f>
        <v>KLJ-MC100-00</v>
      </c>
      <c r="F1369" s="157" t="s">
        <v>2861</v>
      </c>
      <c r="H1369" s="138">
        <v>268</v>
      </c>
      <c r="I1369" s="139" t="str">
        <f>VLOOKUP(H1369,Stock_list!A:R,18,FALSE)</f>
        <v>兴丰源</v>
      </c>
      <c r="J1369" s="139" t="str">
        <f>VLOOKUP(H1369,Stock_list!A:S,17,FALSE)</f>
        <v>C49SZX20190045SS</v>
      </c>
      <c r="K1369" s="51" t="str">
        <f>VLOOKUP(H1369,Stock_list!A:T,16,FALSE)</f>
        <v>JPY</v>
      </c>
      <c r="L1369" s="4">
        <v>43551</v>
      </c>
      <c r="M1369" s="132">
        <v>50</v>
      </c>
      <c r="P1369" s="4" t="str">
        <f>VLOOKUP(H1369,Stock_list!A:Y,25,FALSE)</f>
        <v>Yes</v>
      </c>
      <c r="Q1369" s="143"/>
      <c r="T1369" s="144"/>
      <c r="U1369" s="145" t="str">
        <f>VLOOKUP(H1369,Stock_list!A:N,14,FALSE)</f>
        <v>MAR 19</v>
      </c>
    </row>
    <row r="1370" spans="1:21" ht="16.5" customHeight="1">
      <c r="A1370" s="159" t="s">
        <v>2744</v>
      </c>
      <c r="B1370" s="114" t="str">
        <f>VLOOKUP(A1370,'Data pick slip'!B:F,5,FALSE)</f>
        <v>KHJ-MC100-00</v>
      </c>
      <c r="F1370" s="157" t="s">
        <v>2861</v>
      </c>
      <c r="H1370" s="138">
        <v>268</v>
      </c>
      <c r="I1370" s="139" t="str">
        <f>VLOOKUP(H1370,Stock_list!A:R,18,FALSE)</f>
        <v>兴丰源</v>
      </c>
      <c r="J1370" s="139" t="str">
        <f>VLOOKUP(H1370,Stock_list!A:S,17,FALSE)</f>
        <v>C49SZX20190045SS</v>
      </c>
      <c r="K1370" s="51" t="str">
        <f>VLOOKUP(H1370,Stock_list!A:T,16,FALSE)</f>
        <v>JPY</v>
      </c>
      <c r="L1370" s="4">
        <v>43551</v>
      </c>
      <c r="M1370" s="132">
        <v>2</v>
      </c>
      <c r="P1370" s="4" t="str">
        <f>VLOOKUP(H1370,Stock_list!A:Y,25,FALSE)</f>
        <v>Yes</v>
      </c>
      <c r="Q1370" s="143"/>
      <c r="T1370" s="144"/>
      <c r="U1370" s="145" t="str">
        <f>VLOOKUP(H1370,Stock_list!A:N,14,FALSE)</f>
        <v>MAR 19</v>
      </c>
    </row>
    <row r="1371" spans="1:21" ht="16.5" customHeight="1">
      <c r="A1371" s="159" t="s">
        <v>2747</v>
      </c>
      <c r="B1371" s="114" t="str">
        <f>VLOOKUP(A1371,'Data pick slip'!B:F,5,FALSE)</f>
        <v>KHJ-MC200-00</v>
      </c>
      <c r="F1371" s="157" t="s">
        <v>2861</v>
      </c>
      <c r="H1371" s="138">
        <v>268</v>
      </c>
      <c r="I1371" s="139" t="str">
        <f>VLOOKUP(H1371,Stock_list!A:R,18,FALSE)</f>
        <v>兴丰源</v>
      </c>
      <c r="J1371" s="139" t="str">
        <f>VLOOKUP(H1371,Stock_list!A:S,17,FALSE)</f>
        <v>C49SZX20190045SS</v>
      </c>
      <c r="K1371" s="51" t="str">
        <f>VLOOKUP(H1371,Stock_list!A:T,16,FALSE)</f>
        <v>JPY</v>
      </c>
      <c r="L1371" s="4">
        <v>43551</v>
      </c>
      <c r="M1371" s="132">
        <v>1</v>
      </c>
      <c r="P1371" s="4" t="str">
        <f>VLOOKUP(H1371,Stock_list!A:Y,25,FALSE)</f>
        <v>Yes</v>
      </c>
      <c r="Q1371" s="143"/>
      <c r="T1371" s="144"/>
      <c r="U1371" s="145" t="str">
        <f>VLOOKUP(H1371,Stock_list!A:N,14,FALSE)</f>
        <v>MAR 19</v>
      </c>
    </row>
    <row r="1372" spans="1:21" ht="27" customHeight="1">
      <c r="A1372" s="159" t="s">
        <v>2744</v>
      </c>
      <c r="B1372" s="114" t="str">
        <f>VLOOKUP(A1372,'Data pick slip'!B:F,5,FALSE)</f>
        <v>KHJ-MC100-00</v>
      </c>
      <c r="F1372" s="157" t="s">
        <v>2861</v>
      </c>
      <c r="H1372" s="138">
        <v>273</v>
      </c>
      <c r="I1372" s="139" t="str">
        <f>VLOOKUP(H1372,Stock_list!A:R,18,FALSE)</f>
        <v>微力创/end user 昶达</v>
      </c>
      <c r="J1372" s="139" t="str">
        <f>VLOOKUP(H1372,Stock_list!A:S,17,FALSE)</f>
        <v>C49SZX20190041JL</v>
      </c>
      <c r="K1372" s="51" t="str">
        <f>VLOOKUP(H1372,Stock_list!A:T,16,FALSE)</f>
        <v>JPY</v>
      </c>
      <c r="L1372" s="4">
        <v>43599</v>
      </c>
      <c r="M1372" s="132">
        <v>50</v>
      </c>
      <c r="P1372" s="4" t="str">
        <f>VLOOKUP(H1372,Stock_list!A:Y,25,FALSE)</f>
        <v>Yes</v>
      </c>
      <c r="Q1372" s="143"/>
      <c r="T1372" s="144"/>
      <c r="U1372" s="145" t="str">
        <f>VLOOKUP(H1372,Stock_list!A:N,14,FALSE)</f>
        <v>MAY 19</v>
      </c>
    </row>
    <row r="1373" spans="1:21" ht="27" customHeight="1">
      <c r="A1373" s="159" t="s">
        <v>2747</v>
      </c>
      <c r="B1373" s="114" t="str">
        <f>VLOOKUP(A1373,'Data pick slip'!B:F,5,FALSE)</f>
        <v>KHJ-MC200-00</v>
      </c>
      <c r="F1373" s="157" t="s">
        <v>2861</v>
      </c>
      <c r="H1373" s="138">
        <v>273</v>
      </c>
      <c r="I1373" s="139" t="str">
        <f>VLOOKUP(H1373,Stock_list!A:R,18,FALSE)</f>
        <v>微力创/end user 昶达</v>
      </c>
      <c r="J1373" s="139" t="str">
        <f>VLOOKUP(H1373,Stock_list!A:S,17,FALSE)</f>
        <v>C49SZX20190041JL</v>
      </c>
      <c r="K1373" s="51" t="str">
        <f>VLOOKUP(H1373,Stock_list!A:T,16,FALSE)</f>
        <v>JPY</v>
      </c>
      <c r="L1373" s="4">
        <v>43599</v>
      </c>
      <c r="M1373" s="132">
        <v>10</v>
      </c>
      <c r="P1373" s="4" t="str">
        <f>VLOOKUP(H1373,Stock_list!A:Y,25,FALSE)</f>
        <v>Yes</v>
      </c>
      <c r="Q1373" s="143"/>
      <c r="T1373" s="144"/>
      <c r="U1373" s="145" t="str">
        <f>VLOOKUP(H1373,Stock_list!A:N,14,FALSE)</f>
        <v>MAY 19</v>
      </c>
    </row>
    <row r="1374" spans="1:21" ht="27" customHeight="1">
      <c r="A1374" s="159" t="s">
        <v>2748</v>
      </c>
      <c r="B1374" s="114" t="str">
        <f>VLOOKUP(A1374,'Data pick slip'!B:F,5,FALSE)</f>
        <v>KHJ-MC400-00</v>
      </c>
      <c r="F1374" s="157" t="s">
        <v>2861</v>
      </c>
      <c r="H1374" s="138">
        <v>273</v>
      </c>
      <c r="I1374" s="139" t="str">
        <f>VLOOKUP(H1374,Stock_list!A:R,18,FALSE)</f>
        <v>微力创/end user 昶达</v>
      </c>
      <c r="J1374" s="139" t="str">
        <f>VLOOKUP(H1374,Stock_list!A:S,17,FALSE)</f>
        <v>C49SZX20190041JL</v>
      </c>
      <c r="K1374" s="51" t="str">
        <f>VLOOKUP(H1374,Stock_list!A:T,16,FALSE)</f>
        <v>JPY</v>
      </c>
      <c r="L1374" s="4">
        <v>43599</v>
      </c>
      <c r="M1374" s="132">
        <v>4</v>
      </c>
      <c r="P1374" s="4" t="str">
        <f>VLOOKUP(H1374,Stock_list!A:Y,25,FALSE)</f>
        <v>Yes</v>
      </c>
      <c r="Q1374" s="143"/>
      <c r="T1374" s="144"/>
      <c r="U1374" s="145" t="str">
        <f>VLOOKUP(H1374,Stock_list!A:N,14,FALSE)</f>
        <v>MAY 19</v>
      </c>
    </row>
    <row r="1375" spans="1:21" ht="16.5" customHeight="1">
      <c r="A1375" s="159" t="s">
        <v>2750</v>
      </c>
      <c r="B1375" s="114" t="str">
        <f>VLOOKUP(A1375,'Data pick slip'!B:F,5,FALSE)</f>
        <v>KHJ-MC600-00</v>
      </c>
      <c r="F1375" s="157" t="s">
        <v>2773</v>
      </c>
      <c r="I1375" s="139" t="s">
        <v>2853</v>
      </c>
      <c r="J1375" s="139" t="s">
        <v>3076</v>
      </c>
      <c r="K1375" s="51" t="s">
        <v>3002</v>
      </c>
      <c r="L1375" s="4">
        <v>43551</v>
      </c>
      <c r="M1375" s="140">
        <v>1</v>
      </c>
      <c r="P1375" s="4" t="s">
        <v>291</v>
      </c>
      <c r="Q1375" s="143"/>
      <c r="S1375" s="123" t="s">
        <v>3003</v>
      </c>
      <c r="T1375" s="144" t="s">
        <v>3077</v>
      </c>
      <c r="U1375" s="145" t="e">
        <f>VLOOKUP(H1375,Stock_list!A:N,14,FALSE)</f>
        <v>#N/A</v>
      </c>
    </row>
    <row r="1376" spans="1:21" ht="16.5" customHeight="1">
      <c r="A1376" s="159" t="s">
        <v>2755</v>
      </c>
      <c r="B1376" s="114" t="str">
        <f>VLOOKUP(A1376,'Data pick slip'!B:F,5,FALSE)</f>
        <v>KLJ-MC100-00</v>
      </c>
      <c r="F1376" s="157" t="s">
        <v>2773</v>
      </c>
      <c r="H1376" s="138">
        <v>275</v>
      </c>
      <c r="I1376" s="139" t="str">
        <f>VLOOKUP(H1376,Stock_list!A:R,18,FALSE)</f>
        <v>卡迪圣</v>
      </c>
      <c r="J1376" s="139" t="str">
        <f>VLOOKUP(H1376,Stock_list!A:S,17,FALSE)</f>
        <v>C49SZX20190047SS</v>
      </c>
      <c r="K1376" s="51" t="str">
        <f>VLOOKUP(H1376,Stock_list!A:T,16,FALSE)</f>
        <v>JPY</v>
      </c>
      <c r="L1376" s="4">
        <v>43566</v>
      </c>
      <c r="M1376" s="132">
        <v>10</v>
      </c>
      <c r="P1376" s="4" t="str">
        <f>VLOOKUP(H1376,Stock_list!A:Y,25,FALSE)</f>
        <v>Yes</v>
      </c>
      <c r="Q1376" s="143"/>
      <c r="S1376" s="123" t="s">
        <v>3003</v>
      </c>
      <c r="T1376" s="205" t="s">
        <v>3078</v>
      </c>
      <c r="U1376" s="145" t="str">
        <f>VLOOKUP(H1376,Stock_list!A:N,14,FALSE)</f>
        <v>APR 19</v>
      </c>
    </row>
    <row r="1377" spans="1:21" ht="16.5" customHeight="1">
      <c r="A1377" s="159" t="s">
        <v>2744</v>
      </c>
      <c r="B1377" s="114" t="str">
        <f>VLOOKUP(A1377,'Data pick slip'!B:F,5,FALSE)</f>
        <v>KHJ-MC100-00</v>
      </c>
      <c r="F1377" s="157" t="s">
        <v>2773</v>
      </c>
      <c r="H1377" s="138">
        <v>275</v>
      </c>
      <c r="I1377" s="139" t="str">
        <f>VLOOKUP(H1377,Stock_list!A:R,18,FALSE)</f>
        <v>卡迪圣</v>
      </c>
      <c r="J1377" s="139" t="str">
        <f>VLOOKUP(H1377,Stock_list!A:S,17,FALSE)</f>
        <v>C49SZX20190047SS</v>
      </c>
      <c r="K1377" s="51" t="str">
        <f>VLOOKUP(H1377,Stock_list!A:T,16,FALSE)</f>
        <v>JPY</v>
      </c>
      <c r="L1377" s="4">
        <v>43566</v>
      </c>
      <c r="M1377" s="132">
        <v>2</v>
      </c>
      <c r="P1377" s="4" t="str">
        <f>VLOOKUP(H1377,Stock_list!A:Y,25,FALSE)</f>
        <v>Yes</v>
      </c>
      <c r="Q1377" s="143"/>
      <c r="S1377" s="123" t="s">
        <v>3003</v>
      </c>
      <c r="T1377" s="205" t="s">
        <v>3079</v>
      </c>
      <c r="U1377" s="145" t="str">
        <f>VLOOKUP(H1377,Stock_list!A:N,14,FALSE)</f>
        <v>APR 19</v>
      </c>
    </row>
    <row r="1378" spans="1:21" ht="16.5" customHeight="1">
      <c r="A1378" s="159" t="s">
        <v>3059</v>
      </c>
      <c r="B1378" s="114" t="s">
        <v>3080</v>
      </c>
      <c r="F1378" s="157" t="s">
        <v>2773</v>
      </c>
      <c r="H1378" s="138">
        <v>275</v>
      </c>
      <c r="I1378" s="139" t="str">
        <f>VLOOKUP(H1378,Stock_list!A:R,18,FALSE)</f>
        <v>卡迪圣</v>
      </c>
      <c r="J1378" s="139" t="str">
        <f>VLOOKUP(H1378,Stock_list!A:S,17,FALSE)</f>
        <v>C49SZX20190047SS</v>
      </c>
      <c r="K1378" s="51" t="str">
        <f>VLOOKUP(H1378,Stock_list!A:T,16,FALSE)</f>
        <v>JPY</v>
      </c>
      <c r="L1378" s="4">
        <v>43566</v>
      </c>
      <c r="M1378" s="132">
        <v>1</v>
      </c>
      <c r="P1378" s="4" t="str">
        <f>VLOOKUP(H1378,Stock_list!A:Y,25,FALSE)</f>
        <v>Yes</v>
      </c>
      <c r="Q1378" s="143"/>
      <c r="S1378" s="123" t="s">
        <v>3003</v>
      </c>
      <c r="T1378" s="205" t="s">
        <v>3081</v>
      </c>
      <c r="U1378" s="145" t="str">
        <f>VLOOKUP(H1378,Stock_list!A:N,14,FALSE)</f>
        <v>APR 19</v>
      </c>
    </row>
    <row r="1379" spans="1:21" ht="16.5" customHeight="1">
      <c r="A1379" s="159" t="s">
        <v>2748</v>
      </c>
      <c r="B1379" s="114" t="str">
        <f>VLOOKUP(A1379,'Data pick slip'!B:F,5,FALSE)</f>
        <v>KHJ-MC400-00</v>
      </c>
      <c r="F1379" s="157" t="s">
        <v>2773</v>
      </c>
      <c r="I1379" s="139" t="s">
        <v>2853</v>
      </c>
      <c r="J1379" s="139" t="s">
        <v>3082</v>
      </c>
      <c r="K1379" s="51" t="s">
        <v>1246</v>
      </c>
      <c r="L1379" s="4">
        <v>43556</v>
      </c>
      <c r="M1379" s="140">
        <v>2</v>
      </c>
      <c r="P1379" s="4" t="s">
        <v>291</v>
      </c>
      <c r="Q1379" s="143"/>
      <c r="T1379" s="144"/>
      <c r="U1379" s="145" t="e">
        <f>VLOOKUP(H1379,Stock_list!A:N,14,FALSE)</f>
        <v>#N/A</v>
      </c>
    </row>
    <row r="1380" spans="1:21" ht="16.5" customHeight="1">
      <c r="A1380" s="159" t="s">
        <v>2749</v>
      </c>
      <c r="B1380" s="114" t="str">
        <f>VLOOKUP(A1380,'Data pick slip'!B:F,5,FALSE)</f>
        <v>KHJ-MC500-00</v>
      </c>
      <c r="F1380" s="157" t="s">
        <v>2773</v>
      </c>
      <c r="I1380" s="139" t="s">
        <v>2853</v>
      </c>
      <c r="J1380" s="139" t="s">
        <v>3082</v>
      </c>
      <c r="K1380" s="51" t="s">
        <v>1246</v>
      </c>
      <c r="L1380" s="4">
        <v>43556</v>
      </c>
      <c r="M1380" s="140">
        <v>1</v>
      </c>
      <c r="P1380" s="4" t="s">
        <v>291</v>
      </c>
      <c r="Q1380" s="143"/>
      <c r="T1380" s="144"/>
      <c r="U1380" s="145" t="e">
        <f>VLOOKUP(H1380,Stock_list!A:N,14,FALSE)</f>
        <v>#N/A</v>
      </c>
    </row>
    <row r="1381" spans="1:21" ht="16.5" customHeight="1">
      <c r="A1381" s="159" t="s">
        <v>2744</v>
      </c>
      <c r="B1381" s="114" t="str">
        <f>VLOOKUP(A1381,'Data pick slip'!B:F,5,FALSE)</f>
        <v>KHJ-MC100-00</v>
      </c>
      <c r="F1381" s="157" t="s">
        <v>2861</v>
      </c>
      <c r="H1381" s="138">
        <v>251</v>
      </c>
      <c r="I1381" s="139" t="str">
        <f>VLOOKUP(H1381,Stock_list!A:R,18,FALSE)</f>
        <v>东莞圣亨</v>
      </c>
      <c r="J1381" s="139" t="str">
        <f>VLOOKUP(H1381,Stock_list!A:S,17,FALSE)</f>
        <v>C49SZX20190029ZX</v>
      </c>
      <c r="K1381" s="51" t="str">
        <f>VLOOKUP(H1381,Stock_list!A:T,16,FALSE)</f>
        <v>JPY</v>
      </c>
      <c r="L1381" s="4">
        <v>43559</v>
      </c>
      <c r="M1381" s="140">
        <v>30</v>
      </c>
      <c r="P1381" s="4" t="str">
        <f>VLOOKUP(H1381,Stock_list!A:Y,25,FALSE)</f>
        <v>Yes</v>
      </c>
      <c r="Q1381" s="143"/>
      <c r="T1381" s="144"/>
      <c r="U1381" s="145" t="str">
        <f>VLOOKUP(H1381,Stock_list!A:N,14,FALSE)</f>
        <v>APR 19</v>
      </c>
    </row>
    <row r="1382" spans="1:21" ht="16.5" customHeight="1">
      <c r="A1382" s="159" t="s">
        <v>2744</v>
      </c>
      <c r="B1382" s="114" t="str">
        <f>VLOOKUP(A1382,'Data pick slip'!B:F,5,FALSE)</f>
        <v>KHJ-MC100-00</v>
      </c>
      <c r="F1382" s="157" t="s">
        <v>2861</v>
      </c>
      <c r="H1382" s="138">
        <v>276</v>
      </c>
      <c r="I1382" s="139" t="str">
        <f>VLOOKUP(H1382,Stock_list!A:R,18,FALSE)</f>
        <v>存封</v>
      </c>
      <c r="J1382" s="139" t="str">
        <f>VLOOKUP(H1382,Stock_list!A:S,17,FALSE)</f>
        <v>C49SZX20190049SS</v>
      </c>
      <c r="K1382" s="51" t="str">
        <f>VLOOKUP(H1382,Stock_list!A:T,16,FALSE)</f>
        <v>JPY</v>
      </c>
      <c r="L1382" s="4">
        <v>43571</v>
      </c>
      <c r="M1382" s="132">
        <v>10</v>
      </c>
      <c r="P1382" s="4" t="str">
        <f>VLOOKUP(H1382,Stock_list!A:Y,25,FALSE)</f>
        <v>Yes</v>
      </c>
      <c r="Q1382" s="143"/>
      <c r="T1382" s="144"/>
      <c r="U1382" s="145" t="str">
        <f>VLOOKUP(H1382,Stock_list!A:N,14,FALSE)</f>
        <v>APR 19</v>
      </c>
    </row>
    <row r="1383" spans="1:21" ht="16.5" customHeight="1">
      <c r="A1383" s="159" t="s">
        <v>2747</v>
      </c>
      <c r="B1383" s="114" t="str">
        <f>VLOOKUP(A1383,'Data pick slip'!B:F,5,FALSE)</f>
        <v>KHJ-MC200-00</v>
      </c>
      <c r="F1383" s="157" t="s">
        <v>2861</v>
      </c>
      <c r="H1383" s="138">
        <v>276</v>
      </c>
      <c r="I1383" s="139" t="str">
        <f>VLOOKUP(H1383,Stock_list!A:R,18,FALSE)</f>
        <v>存封</v>
      </c>
      <c r="J1383" s="139" t="str">
        <f>VLOOKUP(H1383,Stock_list!A:S,17,FALSE)</f>
        <v>C49SZX20190049SS</v>
      </c>
      <c r="K1383" s="51" t="str">
        <f>VLOOKUP(H1383,Stock_list!A:T,16,FALSE)</f>
        <v>JPY</v>
      </c>
      <c r="L1383" s="4">
        <v>43571</v>
      </c>
      <c r="M1383" s="132">
        <v>1</v>
      </c>
      <c r="P1383" s="4" t="str">
        <f>VLOOKUP(H1383,Stock_list!A:Y,25,FALSE)</f>
        <v>Yes</v>
      </c>
      <c r="Q1383" s="143"/>
      <c r="T1383" s="144"/>
      <c r="U1383" s="145" t="str">
        <f>VLOOKUP(H1383,Stock_list!A:N,14,FALSE)</f>
        <v>APR 19</v>
      </c>
    </row>
    <row r="1384" spans="1:21" ht="16.5" customHeight="1">
      <c r="A1384" s="159" t="s">
        <v>2755</v>
      </c>
      <c r="B1384" s="114" t="str">
        <f>VLOOKUP(A1384,'Data pick slip'!B:F,5,FALSE)</f>
        <v>KLJ-MC100-00</v>
      </c>
      <c r="F1384" s="157" t="s">
        <v>2861</v>
      </c>
      <c r="H1384" s="138">
        <v>277</v>
      </c>
      <c r="I1384" s="139" t="str">
        <f>VLOOKUP(H1384,Stock_list!A:R,18,FALSE)</f>
        <v>丰硕</v>
      </c>
      <c r="J1384" s="139" t="str">
        <f>VLOOKUP(H1384,Stock_list!A:S,17,FALSE)</f>
        <v>C49SZX20190043SX</v>
      </c>
      <c r="K1384" s="51" t="str">
        <f>VLOOKUP(H1384,Stock_list!A:T,16,FALSE)</f>
        <v>JPY</v>
      </c>
      <c r="L1384" s="4">
        <v>43640</v>
      </c>
      <c r="M1384" s="132">
        <v>75</v>
      </c>
      <c r="P1384" s="4" t="str">
        <f>VLOOKUP(H1384,Stock_list!A:Y,25,FALSE)</f>
        <v>Yes</v>
      </c>
      <c r="Q1384" s="143"/>
      <c r="T1384" s="144"/>
      <c r="U1384" s="145" t="str">
        <f>VLOOKUP(H1384,Stock_list!A:N,14,FALSE)</f>
        <v>JUN 19</v>
      </c>
    </row>
    <row r="1385" spans="1:21" ht="16.5" customHeight="1">
      <c r="A1385" s="159" t="s">
        <v>2744</v>
      </c>
      <c r="B1385" s="114" t="str">
        <f>VLOOKUP(A1385,'Data pick slip'!B:F,5,FALSE)</f>
        <v>KHJ-MC100-00</v>
      </c>
      <c r="F1385" s="157" t="s">
        <v>2861</v>
      </c>
      <c r="H1385" s="138">
        <v>277</v>
      </c>
      <c r="I1385" s="139" t="str">
        <f>VLOOKUP(H1385,Stock_list!A:R,18,FALSE)</f>
        <v>丰硕</v>
      </c>
      <c r="J1385" s="139" t="str">
        <f>VLOOKUP(H1385,Stock_list!A:S,17,FALSE)</f>
        <v>C49SZX20190043SX</v>
      </c>
      <c r="K1385" s="51" t="str">
        <f>VLOOKUP(H1385,Stock_list!A:T,16,FALSE)</f>
        <v>JPY</v>
      </c>
      <c r="L1385" s="4">
        <v>43640</v>
      </c>
      <c r="M1385" s="132">
        <v>2</v>
      </c>
      <c r="P1385" s="4" t="str">
        <f>VLOOKUP(H1385,Stock_list!A:Y,25,FALSE)</f>
        <v>Yes</v>
      </c>
      <c r="Q1385" s="143"/>
      <c r="T1385" s="144"/>
      <c r="U1385" s="145" t="str">
        <f>VLOOKUP(H1385,Stock_list!A:N,14,FALSE)</f>
        <v>JUN 19</v>
      </c>
    </row>
    <row r="1386" spans="1:21" ht="16.5" customHeight="1">
      <c r="A1386" s="159" t="s">
        <v>2755</v>
      </c>
      <c r="B1386" s="114" t="str">
        <f>VLOOKUP(A1386,'Data pick slip'!B:F,5,FALSE)</f>
        <v>KLJ-MC100-00</v>
      </c>
      <c r="F1386" s="157" t="s">
        <v>2861</v>
      </c>
      <c r="H1386" s="138">
        <v>277</v>
      </c>
      <c r="I1386" s="139" t="str">
        <f>VLOOKUP(H1386,Stock_list!A:R,18,FALSE)</f>
        <v>丰硕</v>
      </c>
      <c r="J1386" s="139" t="str">
        <f>VLOOKUP(H1386,Stock_list!A:S,17,FALSE)</f>
        <v>C49SZX20190043SX</v>
      </c>
      <c r="K1386" s="51" t="str">
        <f>VLOOKUP(H1386,Stock_list!A:T,16,FALSE)</f>
        <v>JPY</v>
      </c>
      <c r="L1386" s="4">
        <v>43640</v>
      </c>
      <c r="M1386" s="132">
        <v>4</v>
      </c>
      <c r="P1386" s="4" t="str">
        <f>VLOOKUP(H1386,Stock_list!A:Y,25,FALSE)</f>
        <v>Yes</v>
      </c>
      <c r="Q1386" s="143"/>
      <c r="T1386" s="144"/>
      <c r="U1386" s="145" t="str">
        <f>VLOOKUP(H1386,Stock_list!A:N,14,FALSE)</f>
        <v>JUN 19</v>
      </c>
    </row>
    <row r="1387" spans="1:21" ht="16.5" customHeight="1">
      <c r="A1387" s="159" t="s">
        <v>2756</v>
      </c>
      <c r="B1387" s="114" t="str">
        <f>VLOOKUP(A1387,'Data pick slip'!B:F,5,FALSE)</f>
        <v>KLJ-MC200-00</v>
      </c>
      <c r="F1387" s="157" t="s">
        <v>2861</v>
      </c>
      <c r="H1387" s="138">
        <v>277</v>
      </c>
      <c r="I1387" s="139" t="str">
        <f>VLOOKUP(H1387,Stock_list!A:R,18,FALSE)</f>
        <v>丰硕</v>
      </c>
      <c r="J1387" s="139" t="str">
        <f>VLOOKUP(H1387,Stock_list!A:S,17,FALSE)</f>
        <v>C49SZX20190043SX</v>
      </c>
      <c r="K1387" s="51" t="str">
        <f>VLOOKUP(H1387,Stock_list!A:T,16,FALSE)</f>
        <v>JPY</v>
      </c>
      <c r="L1387" s="4">
        <v>43640</v>
      </c>
      <c r="M1387" s="132">
        <v>6</v>
      </c>
      <c r="P1387" s="4" t="str">
        <f>VLOOKUP(H1387,Stock_list!A:Y,25,FALSE)</f>
        <v>Yes</v>
      </c>
      <c r="T1387" s="144"/>
      <c r="U1387" s="145" t="str">
        <f>VLOOKUP(H1387,Stock_list!A:N,14,FALSE)</f>
        <v>JUN 19</v>
      </c>
    </row>
    <row r="1388" spans="1:21" ht="16.5" customHeight="1">
      <c r="A1388" s="159" t="s">
        <v>2744</v>
      </c>
      <c r="B1388" s="114" t="str">
        <f>VLOOKUP(A1388,'Data pick slip'!B:F,5,FALSE)</f>
        <v>KHJ-MC100-00</v>
      </c>
      <c r="F1388" s="157" t="s">
        <v>2861</v>
      </c>
      <c r="H1388" s="138">
        <v>279</v>
      </c>
      <c r="I1388" s="139" t="str">
        <f>VLOOKUP(H1388,Stock_list!A:R,18,FALSE)</f>
        <v>世启纳</v>
      </c>
      <c r="J1388" s="139" t="str">
        <f>VLOOKUP(H1388,Stock_list!A:S,17,FALSE)</f>
        <v>C49SZX20190051SS</v>
      </c>
      <c r="K1388" s="51" t="str">
        <f>VLOOKUP(H1388,Stock_list!A:T,16,FALSE)</f>
        <v>JPY</v>
      </c>
      <c r="L1388" s="4">
        <v>43570</v>
      </c>
      <c r="M1388" s="132">
        <v>92</v>
      </c>
      <c r="P1388" s="4" t="str">
        <f>VLOOKUP(H1388,Stock_list!A:Y,25,FALSE)</f>
        <v>Yes</v>
      </c>
      <c r="Q1388" s="143"/>
      <c r="T1388" s="144"/>
      <c r="U1388" s="145" t="str">
        <f>VLOOKUP(H1388,Stock_list!A:N,14,FALSE)</f>
        <v>APR 19</v>
      </c>
    </row>
    <row r="1389" spans="1:21" ht="16.5" customHeight="1">
      <c r="A1389" s="159" t="s">
        <v>2747</v>
      </c>
      <c r="B1389" s="114" t="str">
        <f>VLOOKUP(A1389,'Data pick slip'!B:F,5,FALSE)</f>
        <v>KHJ-MC200-00</v>
      </c>
      <c r="F1389" s="157" t="s">
        <v>2861</v>
      </c>
      <c r="H1389" s="138">
        <v>279</v>
      </c>
      <c r="I1389" s="139" t="str">
        <f>VLOOKUP(H1389,Stock_list!A:R,18,FALSE)</f>
        <v>世启纳</v>
      </c>
      <c r="J1389" s="139" t="str">
        <f>VLOOKUP(H1389,Stock_list!A:S,17,FALSE)</f>
        <v>C49SZX20190051SS</v>
      </c>
      <c r="K1389" s="51" t="str">
        <f>VLOOKUP(H1389,Stock_list!A:T,16,FALSE)</f>
        <v>JPY</v>
      </c>
      <c r="L1389" s="4">
        <v>43570</v>
      </c>
      <c r="M1389" s="132">
        <v>13</v>
      </c>
      <c r="P1389" s="4" t="str">
        <f>VLOOKUP(H1389,Stock_list!A:Y,25,FALSE)</f>
        <v>Yes</v>
      </c>
      <c r="Q1389" s="143"/>
      <c r="T1389" s="144"/>
      <c r="U1389" s="145" t="str">
        <f>VLOOKUP(H1389,Stock_list!A:N,14,FALSE)</f>
        <v>APR 19</v>
      </c>
    </row>
    <row r="1390" spans="1:21" ht="16.5" customHeight="1">
      <c r="A1390" s="159" t="s">
        <v>2748</v>
      </c>
      <c r="B1390" s="114" t="str">
        <f>VLOOKUP(A1390,'Data pick slip'!B:F,5,FALSE)</f>
        <v>KHJ-MC400-00</v>
      </c>
      <c r="F1390" s="157" t="s">
        <v>2861</v>
      </c>
      <c r="H1390" s="138">
        <v>279</v>
      </c>
      <c r="I1390" s="139" t="str">
        <f>VLOOKUP(H1390,Stock_list!A:R,18,FALSE)</f>
        <v>世启纳</v>
      </c>
      <c r="J1390" s="139" t="str">
        <f>VLOOKUP(H1390,Stock_list!A:S,17,FALSE)</f>
        <v>C49SZX20190051SS</v>
      </c>
      <c r="K1390" s="51" t="str">
        <f>VLOOKUP(H1390,Stock_list!A:T,16,FALSE)</f>
        <v>JPY</v>
      </c>
      <c r="L1390" s="4">
        <v>43570</v>
      </c>
      <c r="M1390" s="132">
        <v>1</v>
      </c>
      <c r="P1390" s="4" t="str">
        <f>VLOOKUP(H1390,Stock_list!A:Y,25,FALSE)</f>
        <v>Yes</v>
      </c>
      <c r="Q1390" s="143"/>
      <c r="T1390" s="144"/>
      <c r="U1390" s="145" t="str">
        <f>VLOOKUP(H1390,Stock_list!A:N,14,FALSE)</f>
        <v>APR 19</v>
      </c>
    </row>
    <row r="1391" spans="1:21" ht="16.5" customHeight="1">
      <c r="A1391" s="159" t="s">
        <v>2748</v>
      </c>
      <c r="B1391" s="114" t="str">
        <f>VLOOKUP(A1391,'Data pick slip'!B:F,5,FALSE)</f>
        <v>KHJ-MC400-00</v>
      </c>
      <c r="F1391" s="157" t="s">
        <v>2773</v>
      </c>
      <c r="I1391" s="139" t="s">
        <v>2853</v>
      </c>
      <c r="J1391" s="139" t="s">
        <v>3083</v>
      </c>
      <c r="K1391" s="51" t="s">
        <v>1246</v>
      </c>
      <c r="L1391" s="4">
        <v>43566</v>
      </c>
      <c r="M1391" s="140">
        <v>2</v>
      </c>
      <c r="P1391" s="4" t="s">
        <v>291</v>
      </c>
      <c r="Q1391" s="143"/>
      <c r="T1391" s="144"/>
      <c r="U1391" s="145" t="e">
        <f>VLOOKUP(H1391,Stock_list!A:N,14,FALSE)</f>
        <v>#N/A</v>
      </c>
    </row>
    <row r="1392" spans="1:21" ht="16.5" customHeight="1">
      <c r="A1392" s="159" t="s">
        <v>2744</v>
      </c>
      <c r="B1392" s="114" t="str">
        <f>VLOOKUP(A1392,'Data pick slip'!B:F,5,FALSE)</f>
        <v>KHJ-MC100-00</v>
      </c>
      <c r="F1392" s="157" t="s">
        <v>2861</v>
      </c>
      <c r="H1392" s="138">
        <v>280</v>
      </c>
      <c r="I1392" s="139" t="str">
        <f>VLOOKUP(H1392,Stock_list!A:R,18,FALSE)</f>
        <v>乐上</v>
      </c>
      <c r="J1392" s="139" t="str">
        <f>VLOOKUP(H1392,Stock_list!A:S,17,FALSE)</f>
        <v>C49SZX20190052SS</v>
      </c>
      <c r="K1392" s="51" t="str">
        <f>VLOOKUP(H1392,Stock_list!A:T,16,FALSE)</f>
        <v>JPY</v>
      </c>
      <c r="L1392" s="4">
        <v>43580</v>
      </c>
      <c r="M1392" s="132">
        <v>60</v>
      </c>
      <c r="P1392" s="4" t="str">
        <f>VLOOKUP(H1392,Stock_list!A:Y,25,FALSE)</f>
        <v>Yes</v>
      </c>
      <c r="Q1392" s="143"/>
      <c r="T1392" s="144"/>
      <c r="U1392" s="145" t="str">
        <f>VLOOKUP(H1392,Stock_list!A:N,14,FALSE)</f>
        <v>APR 19</v>
      </c>
    </row>
    <row r="1393" spans="1:21" ht="16.5" customHeight="1">
      <c r="A1393" s="159" t="s">
        <v>2747</v>
      </c>
      <c r="B1393" s="114" t="str">
        <f>VLOOKUP(A1393,'Data pick slip'!B:F,5,FALSE)</f>
        <v>KHJ-MC200-00</v>
      </c>
      <c r="F1393" s="157" t="s">
        <v>2861</v>
      </c>
      <c r="H1393" s="138">
        <v>280</v>
      </c>
      <c r="I1393" s="139" t="str">
        <f>VLOOKUP(H1393,Stock_list!A:R,18,FALSE)</f>
        <v>乐上</v>
      </c>
      <c r="J1393" s="139" t="str">
        <f>VLOOKUP(H1393,Stock_list!A:S,17,FALSE)</f>
        <v>C49SZX20190052SS</v>
      </c>
      <c r="K1393" s="51" t="str">
        <f>VLOOKUP(H1393,Stock_list!A:T,16,FALSE)</f>
        <v>JPY</v>
      </c>
      <c r="L1393" s="4">
        <v>43580</v>
      </c>
      <c r="M1393" s="132">
        <v>21</v>
      </c>
      <c r="P1393" s="4" t="str">
        <f>VLOOKUP(H1393,Stock_list!A:Y,25,FALSE)</f>
        <v>Yes</v>
      </c>
      <c r="Q1393" s="143"/>
      <c r="T1393" s="144"/>
      <c r="U1393" s="145" t="str">
        <f>VLOOKUP(H1393,Stock_list!A:N,14,FALSE)</f>
        <v>APR 19</v>
      </c>
    </row>
    <row r="1394" spans="1:21" ht="16.5" customHeight="1">
      <c r="A1394" s="159" t="s">
        <v>2748</v>
      </c>
      <c r="B1394" s="114" t="str">
        <f>VLOOKUP(A1394,'Data pick slip'!B:F,5,FALSE)</f>
        <v>KHJ-MC400-00</v>
      </c>
      <c r="F1394" s="157" t="s">
        <v>2861</v>
      </c>
      <c r="H1394" s="138">
        <v>280</v>
      </c>
      <c r="I1394" s="139" t="str">
        <f>VLOOKUP(H1394,Stock_list!A:R,18,FALSE)</f>
        <v>乐上</v>
      </c>
      <c r="J1394" s="139" t="str">
        <f>VLOOKUP(H1394,Stock_list!A:S,17,FALSE)</f>
        <v>C49SZX20190052SS</v>
      </c>
      <c r="K1394" s="51" t="str">
        <f>VLOOKUP(H1394,Stock_list!A:T,16,FALSE)</f>
        <v>JPY</v>
      </c>
      <c r="L1394" s="4">
        <v>43580</v>
      </c>
      <c r="M1394" s="132">
        <v>9</v>
      </c>
      <c r="P1394" s="4" t="str">
        <f>VLOOKUP(H1394,Stock_list!A:Y,25,FALSE)</f>
        <v>Yes</v>
      </c>
      <c r="Q1394" s="143"/>
      <c r="T1394" s="144"/>
      <c r="U1394" s="145" t="str">
        <f>VLOOKUP(H1394,Stock_list!A:N,14,FALSE)</f>
        <v>APR 19</v>
      </c>
    </row>
    <row r="1395" spans="1:21" ht="16.5" customHeight="1">
      <c r="A1395" s="159" t="s">
        <v>2748</v>
      </c>
      <c r="B1395" s="114" t="str">
        <f>VLOOKUP(A1395,'Data pick slip'!B:F,5,FALSE)</f>
        <v>KHJ-MC400-00</v>
      </c>
      <c r="F1395" s="157" t="s">
        <v>2773</v>
      </c>
      <c r="H1395" s="138">
        <v>280</v>
      </c>
      <c r="I1395" s="139" t="str">
        <f>VLOOKUP(H1395,Stock_list!A:R,18,FALSE)</f>
        <v>乐上</v>
      </c>
      <c r="J1395" s="139" t="str">
        <f>VLOOKUP(H1395,Stock_list!A:S,17,FALSE)</f>
        <v>C49SZX20190052SS</v>
      </c>
      <c r="K1395" s="51" t="str">
        <f>VLOOKUP(H1395,Stock_list!A:T,16,FALSE)</f>
        <v>JPY</v>
      </c>
      <c r="L1395" s="4">
        <v>43580</v>
      </c>
      <c r="M1395" s="132">
        <v>3</v>
      </c>
      <c r="P1395" s="4" t="str">
        <f>VLOOKUP(H1395,Stock_list!A:Y,25,FALSE)</f>
        <v>Yes</v>
      </c>
      <c r="Q1395" s="143"/>
      <c r="S1395" s="123" t="s">
        <v>3003</v>
      </c>
      <c r="T1395" s="205" t="s">
        <v>3084</v>
      </c>
      <c r="U1395" s="145" t="str">
        <f>VLOOKUP(H1395,Stock_list!A:N,14,FALSE)</f>
        <v>APR 19</v>
      </c>
    </row>
    <row r="1396" spans="1:21" ht="16.5" customHeight="1">
      <c r="A1396" s="159" t="s">
        <v>2749</v>
      </c>
      <c r="B1396" s="114" t="str">
        <f>VLOOKUP(A1396,'Data pick slip'!B:F,5,FALSE)</f>
        <v>KHJ-MC500-00</v>
      </c>
      <c r="F1396" s="157" t="s">
        <v>2773</v>
      </c>
      <c r="H1396" s="138">
        <v>280</v>
      </c>
      <c r="I1396" s="139" t="str">
        <f>VLOOKUP(H1396,Stock_list!A:R,18,FALSE)</f>
        <v>乐上</v>
      </c>
      <c r="J1396" s="139" t="str">
        <f>VLOOKUP(H1396,Stock_list!A:S,17,FALSE)</f>
        <v>C49SZX20190052SS</v>
      </c>
      <c r="K1396" s="51" t="str">
        <f>VLOOKUP(H1396,Stock_list!A:T,16,FALSE)</f>
        <v>JPY</v>
      </c>
      <c r="L1396" s="4">
        <v>43580</v>
      </c>
      <c r="M1396" s="132">
        <v>2</v>
      </c>
      <c r="P1396" s="4" t="str">
        <f>VLOOKUP(H1396,Stock_list!A:Y,25,FALSE)</f>
        <v>Yes</v>
      </c>
      <c r="Q1396" s="143"/>
      <c r="S1396" s="123" t="s">
        <v>3003</v>
      </c>
      <c r="T1396" s="205" t="s">
        <v>3084</v>
      </c>
      <c r="U1396" s="145" t="str">
        <f>VLOOKUP(H1396,Stock_list!A:N,14,FALSE)</f>
        <v>APR 19</v>
      </c>
    </row>
    <row r="1397" spans="1:21" ht="16.5" customHeight="1">
      <c r="A1397" s="159" t="s">
        <v>2744</v>
      </c>
      <c r="B1397" s="114" t="str">
        <f>VLOOKUP(A1397,'Data pick slip'!B:F,5,FALSE)</f>
        <v>KHJ-MC100-00</v>
      </c>
      <c r="F1397" s="157" t="s">
        <v>2773</v>
      </c>
      <c r="I1397" s="139" t="s">
        <v>2853</v>
      </c>
      <c r="J1397" s="139" t="s">
        <v>3085</v>
      </c>
      <c r="K1397" s="51" t="s">
        <v>1246</v>
      </c>
      <c r="L1397" s="4">
        <v>43572</v>
      </c>
      <c r="M1397" s="132">
        <v>65</v>
      </c>
      <c r="P1397" s="4" t="s">
        <v>291</v>
      </c>
      <c r="Q1397" s="143"/>
      <c r="S1397" s="123" t="s">
        <v>3003</v>
      </c>
      <c r="T1397" s="144" t="s">
        <v>3086</v>
      </c>
      <c r="U1397" s="145" t="e">
        <f>VLOOKUP(H1397,Stock_list!A:N,14,FALSE)</f>
        <v>#N/A</v>
      </c>
    </row>
    <row r="1398" spans="1:21" ht="16.5" customHeight="1">
      <c r="A1398" s="159" t="s">
        <v>2747</v>
      </c>
      <c r="B1398" s="114" t="str">
        <f>VLOOKUP(A1398,'Data pick slip'!B:F,5,FALSE)</f>
        <v>KHJ-MC200-00</v>
      </c>
      <c r="F1398" s="157" t="s">
        <v>2773</v>
      </c>
      <c r="I1398" s="139" t="s">
        <v>2853</v>
      </c>
      <c r="J1398" s="139" t="s">
        <v>3085</v>
      </c>
      <c r="K1398" s="51" t="s">
        <v>1246</v>
      </c>
      <c r="L1398" s="4">
        <v>43572</v>
      </c>
      <c r="M1398" s="132">
        <v>20</v>
      </c>
      <c r="P1398" s="4" t="s">
        <v>291</v>
      </c>
      <c r="Q1398" s="143"/>
      <c r="S1398" s="123" t="s">
        <v>3003</v>
      </c>
      <c r="T1398" s="144" t="s">
        <v>3086</v>
      </c>
      <c r="U1398" s="145" t="e">
        <f>VLOOKUP(H1398,Stock_list!A:N,14,FALSE)</f>
        <v>#N/A</v>
      </c>
    </row>
    <row r="1399" spans="1:21" ht="16.5" customHeight="1">
      <c r="A1399" s="159" t="s">
        <v>2750</v>
      </c>
      <c r="B1399" s="114" t="str">
        <f>VLOOKUP(A1399,'Data pick slip'!B:F,5,FALSE)</f>
        <v>KHJ-MC600-00</v>
      </c>
      <c r="F1399" s="157" t="s">
        <v>2773</v>
      </c>
      <c r="I1399" s="139" t="s">
        <v>2853</v>
      </c>
      <c r="J1399" s="139" t="s">
        <v>3085</v>
      </c>
      <c r="K1399" s="51" t="s">
        <v>1246</v>
      </c>
      <c r="L1399" s="4">
        <v>43572</v>
      </c>
      <c r="M1399" s="132">
        <v>1</v>
      </c>
      <c r="P1399" s="4" t="s">
        <v>291</v>
      </c>
      <c r="Q1399" s="143"/>
      <c r="S1399" s="123" t="s">
        <v>3003</v>
      </c>
      <c r="T1399" s="144" t="s">
        <v>3086</v>
      </c>
      <c r="U1399" s="145" t="e">
        <f>VLOOKUP(H1399,Stock_list!A:N,14,FALSE)</f>
        <v>#N/A</v>
      </c>
    </row>
    <row r="1400" spans="1:21" ht="27" customHeight="1">
      <c r="A1400" s="159" t="s">
        <v>2744</v>
      </c>
      <c r="B1400" s="114" t="str">
        <f>VLOOKUP(A1400,'Data pick slip'!B:F,5,FALSE)</f>
        <v>KHJ-MC100-00</v>
      </c>
      <c r="F1400" s="157" t="s">
        <v>2861</v>
      </c>
      <c r="H1400" s="138">
        <v>283</v>
      </c>
      <c r="I1400" s="139" t="str">
        <f>VLOOKUP(H1400,Stock_list!A:R,18,FALSE)</f>
        <v>杉川/end user:放德劲</v>
      </c>
      <c r="J1400" s="139" t="str">
        <f>VLOOKUP(H1400,Stock_list!A:S,17,FALSE)</f>
        <v>C49SZX20190042JL</v>
      </c>
      <c r="K1400" s="51" t="str">
        <f>VLOOKUP(H1400,Stock_list!A:T,16,FALSE)</f>
        <v>JPY</v>
      </c>
      <c r="L1400" s="4">
        <v>43584</v>
      </c>
      <c r="M1400" s="132">
        <v>40</v>
      </c>
      <c r="P1400" s="4" t="str">
        <f>VLOOKUP(H1400,Stock_list!A:Y,25,FALSE)</f>
        <v>Yes</v>
      </c>
      <c r="Q1400" s="143"/>
      <c r="T1400" s="144"/>
      <c r="U1400" s="145" t="str">
        <f>VLOOKUP(H1400,Stock_list!A:N,14,FALSE)</f>
        <v>APR 19</v>
      </c>
    </row>
    <row r="1401" spans="1:21" ht="27" customHeight="1">
      <c r="A1401" s="159" t="s">
        <v>2747</v>
      </c>
      <c r="B1401" s="114" t="str">
        <f>VLOOKUP(A1401,'Data pick slip'!B:F,5,FALSE)</f>
        <v>KHJ-MC200-00</v>
      </c>
      <c r="F1401" s="157" t="s">
        <v>2861</v>
      </c>
      <c r="H1401" s="138">
        <v>283</v>
      </c>
      <c r="I1401" s="139" t="str">
        <f>VLOOKUP(H1401,Stock_list!A:R,18,FALSE)</f>
        <v>杉川/end user:放德劲</v>
      </c>
      <c r="J1401" s="139" t="str">
        <f>VLOOKUP(H1401,Stock_list!A:S,17,FALSE)</f>
        <v>C49SZX20190042JL</v>
      </c>
      <c r="K1401" s="51" t="str">
        <f>VLOOKUP(H1401,Stock_list!A:T,16,FALSE)</f>
        <v>JPY</v>
      </c>
      <c r="L1401" s="4">
        <v>43584</v>
      </c>
      <c r="M1401" s="132">
        <v>20</v>
      </c>
      <c r="P1401" s="4" t="str">
        <f>VLOOKUP(H1401,Stock_list!A:Y,25,FALSE)</f>
        <v>Yes</v>
      </c>
      <c r="Q1401" s="143"/>
      <c r="T1401" s="144"/>
      <c r="U1401" s="145" t="str">
        <f>VLOOKUP(H1401,Stock_list!A:N,14,FALSE)</f>
        <v>APR 19</v>
      </c>
    </row>
    <row r="1402" spans="1:21" ht="27" customHeight="1">
      <c r="A1402" s="159" t="s">
        <v>2748</v>
      </c>
      <c r="B1402" s="114" t="str">
        <f>VLOOKUP(A1402,'Data pick slip'!B:F,5,FALSE)</f>
        <v>KHJ-MC400-00</v>
      </c>
      <c r="F1402" s="157" t="s">
        <v>2773</v>
      </c>
      <c r="H1402" s="138">
        <v>283</v>
      </c>
      <c r="I1402" s="139" t="str">
        <f>VLOOKUP(H1402,Stock_list!A:R,18,FALSE)</f>
        <v>杉川/end user:放德劲</v>
      </c>
      <c r="J1402" s="139" t="str">
        <f>VLOOKUP(H1402,Stock_list!A:S,17,FALSE)</f>
        <v>C49SZX20190042JL</v>
      </c>
      <c r="K1402" s="51" t="str">
        <f>VLOOKUP(H1402,Stock_list!A:T,16,FALSE)</f>
        <v>JPY</v>
      </c>
      <c r="L1402" s="4">
        <v>43584</v>
      </c>
      <c r="M1402" s="132">
        <v>4</v>
      </c>
      <c r="P1402" s="4" t="str">
        <f>VLOOKUP(H1402,Stock_list!A:Y,25,FALSE)</f>
        <v>Yes</v>
      </c>
      <c r="Q1402" s="143"/>
      <c r="S1402" s="123" t="s">
        <v>3003</v>
      </c>
      <c r="T1402" s="205" t="s">
        <v>3081</v>
      </c>
      <c r="U1402" s="145" t="str">
        <f>VLOOKUP(H1402,Stock_list!A:N,14,FALSE)</f>
        <v>APR 19</v>
      </c>
    </row>
    <row r="1403" spans="1:21" ht="16.5" customHeight="1">
      <c r="A1403" s="159" t="s">
        <v>2744</v>
      </c>
      <c r="B1403" s="114" t="str">
        <f>VLOOKUP(A1403,'Data pick slip'!B:F,5,FALSE)</f>
        <v>KHJ-MC100-00</v>
      </c>
      <c r="F1403" s="157" t="s">
        <v>2861</v>
      </c>
      <c r="H1403" s="138">
        <v>284</v>
      </c>
      <c r="I1403" s="139" t="str">
        <f>VLOOKUP(H1403,Stock_list!A:R,18,FALSE)</f>
        <v>玮芯电子</v>
      </c>
      <c r="J1403" s="139" t="str">
        <f>VLOOKUP(H1403,Stock_list!A:S,17,FALSE)</f>
        <v>C49SZX20190058SX</v>
      </c>
      <c r="K1403" s="51" t="str">
        <f>VLOOKUP(H1403,Stock_list!A:T,16,FALSE)</f>
        <v>JPY</v>
      </c>
      <c r="L1403" s="4">
        <v>43593</v>
      </c>
      <c r="M1403" s="132">
        <v>35</v>
      </c>
      <c r="P1403" s="4" t="str">
        <f>VLOOKUP(H1403,Stock_list!A:Y,25,FALSE)</f>
        <v>Yes</v>
      </c>
      <c r="Q1403" s="143"/>
      <c r="T1403" s="144"/>
      <c r="U1403" s="145" t="str">
        <f>VLOOKUP(H1403,Stock_list!A:N,14,FALSE)</f>
        <v>MAY 19</v>
      </c>
    </row>
    <row r="1404" spans="1:21" ht="16.5" customHeight="1">
      <c r="A1404" s="159" t="s">
        <v>2747</v>
      </c>
      <c r="B1404" s="114" t="str">
        <f>VLOOKUP(A1404,'Data pick slip'!B:F,5,FALSE)</f>
        <v>KHJ-MC200-00</v>
      </c>
      <c r="F1404" s="157" t="s">
        <v>2861</v>
      </c>
      <c r="H1404" s="138">
        <v>284</v>
      </c>
      <c r="I1404" s="139" t="str">
        <f>VLOOKUP(H1404,Stock_list!A:R,18,FALSE)</f>
        <v>玮芯电子</v>
      </c>
      <c r="J1404" s="139" t="str">
        <f>VLOOKUP(H1404,Stock_list!A:S,17,FALSE)</f>
        <v>C49SZX20190058SX</v>
      </c>
      <c r="K1404" s="51" t="str">
        <f>VLOOKUP(H1404,Stock_list!A:T,16,FALSE)</f>
        <v>JPY</v>
      </c>
      <c r="L1404" s="4">
        <v>43593</v>
      </c>
      <c r="M1404" s="132">
        <v>5</v>
      </c>
      <c r="P1404" s="4" t="str">
        <f>VLOOKUP(H1404,Stock_list!A:Y,25,FALSE)</f>
        <v>Yes</v>
      </c>
      <c r="Q1404" s="143"/>
      <c r="T1404" s="144"/>
      <c r="U1404" s="145" t="str">
        <f>VLOOKUP(H1404,Stock_list!A:N,14,FALSE)</f>
        <v>MAY 19</v>
      </c>
    </row>
    <row r="1405" spans="1:21" ht="16.5" customHeight="1">
      <c r="A1405" s="159" t="s">
        <v>2747</v>
      </c>
      <c r="B1405" s="114" t="str">
        <f>VLOOKUP(A1405,'Data pick slip'!B:F,5,FALSE)</f>
        <v>KHJ-MC200-00</v>
      </c>
      <c r="F1405" s="157" t="s">
        <v>2773</v>
      </c>
      <c r="I1405" s="139" t="s">
        <v>2853</v>
      </c>
      <c r="J1405" s="139" t="s">
        <v>3087</v>
      </c>
      <c r="K1405" s="51" t="s">
        <v>1246</v>
      </c>
      <c r="L1405" s="4">
        <v>43577</v>
      </c>
      <c r="M1405" s="140">
        <v>5</v>
      </c>
      <c r="P1405" s="4" t="s">
        <v>291</v>
      </c>
      <c r="Q1405" s="143"/>
      <c r="S1405" s="123" t="s">
        <v>3003</v>
      </c>
      <c r="T1405" s="144" t="s">
        <v>3086</v>
      </c>
      <c r="U1405" s="145" t="e">
        <f>VLOOKUP(H1405,Stock_list!A:N,14,FALSE)</f>
        <v>#N/A</v>
      </c>
    </row>
    <row r="1406" spans="1:21" ht="16.5" customHeight="1">
      <c r="A1406" s="159" t="s">
        <v>2748</v>
      </c>
      <c r="B1406" s="114" t="str">
        <f>VLOOKUP(A1406,'Data pick slip'!B:F,5,FALSE)</f>
        <v>KHJ-MC400-00</v>
      </c>
      <c r="F1406" s="157" t="s">
        <v>2773</v>
      </c>
      <c r="I1406" s="139" t="s">
        <v>2853</v>
      </c>
      <c r="J1406" s="139" t="s">
        <v>3087</v>
      </c>
      <c r="K1406" s="51" t="s">
        <v>1246</v>
      </c>
      <c r="L1406" s="4">
        <v>43577</v>
      </c>
      <c r="M1406" s="140">
        <v>1</v>
      </c>
      <c r="P1406" s="4" t="s">
        <v>291</v>
      </c>
      <c r="Q1406" s="143"/>
      <c r="S1406" s="123" t="s">
        <v>3003</v>
      </c>
      <c r="T1406" s="144" t="s">
        <v>3086</v>
      </c>
      <c r="U1406" s="145" t="e">
        <f>VLOOKUP(H1406,Stock_list!A:N,14,FALSE)</f>
        <v>#N/A</v>
      </c>
    </row>
    <row r="1407" spans="1:21" ht="16.5" customHeight="1">
      <c r="A1407" s="159" t="s">
        <v>2755</v>
      </c>
      <c r="B1407" s="114" t="str">
        <f>VLOOKUP(A1407,'Data pick slip'!B:F,5,FALSE)</f>
        <v>KLJ-MC100-00</v>
      </c>
      <c r="F1407" s="157" t="s">
        <v>2861</v>
      </c>
      <c r="H1407" s="138">
        <v>287</v>
      </c>
      <c r="I1407" s="139" t="str">
        <f>VLOOKUP(H1407,Stock_list!A:R,18,FALSE)</f>
        <v>富斯迈</v>
      </c>
      <c r="J1407" s="139" t="str">
        <f>VLOOKUP(H1407,Stock_list!A:S,17,FALSE)</f>
        <v>C49SZX20190056RW</v>
      </c>
      <c r="K1407" s="51" t="str">
        <f>VLOOKUP(H1407,Stock_list!A:T,16,FALSE)</f>
        <v>JPY</v>
      </c>
      <c r="L1407" s="4">
        <v>43609</v>
      </c>
      <c r="M1407" s="140">
        <v>50</v>
      </c>
      <c r="P1407" s="4" t="str">
        <f>VLOOKUP(H1407,Stock_list!A:Y,25,FALSE)</f>
        <v>Yes</v>
      </c>
      <c r="Q1407" s="143"/>
      <c r="T1407" s="144"/>
      <c r="U1407" s="145" t="str">
        <f>VLOOKUP(H1407,Stock_list!A:N,14,FALSE)</f>
        <v>MAY 19</v>
      </c>
    </row>
    <row r="1408" spans="1:21" ht="16.5" customHeight="1">
      <c r="A1408" s="159" t="s">
        <v>2750</v>
      </c>
      <c r="B1408" s="114" t="str">
        <f>VLOOKUP(A1408,'Data pick slip'!B:F,5,FALSE)</f>
        <v>KHJ-MC600-00</v>
      </c>
      <c r="F1408" s="157" t="s">
        <v>2773</v>
      </c>
      <c r="I1408" s="139" t="s">
        <v>2853</v>
      </c>
      <c r="J1408" s="139" t="s">
        <v>3088</v>
      </c>
      <c r="K1408" s="51" t="s">
        <v>3002</v>
      </c>
      <c r="L1408" s="4">
        <v>43585</v>
      </c>
      <c r="M1408" s="140">
        <v>1</v>
      </c>
      <c r="P1408" s="4" t="s">
        <v>291</v>
      </c>
      <c r="Q1408" s="143"/>
      <c r="S1408" s="123" t="s">
        <v>3003</v>
      </c>
      <c r="T1408" s="205" t="s">
        <v>3089</v>
      </c>
      <c r="U1408" s="145" t="e">
        <f>VLOOKUP(H1408,Stock_list!A:N,14,FALSE)</f>
        <v>#N/A</v>
      </c>
    </row>
    <row r="1409" spans="1:21" ht="16.5" customHeight="1">
      <c r="A1409" s="159" t="s">
        <v>2744</v>
      </c>
      <c r="B1409" s="114" t="str">
        <f>VLOOKUP(A1409,'Data pick slip'!B:F,5,FALSE)</f>
        <v>KHJ-MC100-00</v>
      </c>
      <c r="F1409" s="157" t="s">
        <v>2861</v>
      </c>
      <c r="H1409" s="138">
        <v>297</v>
      </c>
      <c r="I1409" s="139" t="str">
        <f>VLOOKUP(H1409,Stock_list!A:R,18,FALSE)</f>
        <v>微力创/end user 昶达</v>
      </c>
      <c r="J1409" s="139" t="str">
        <f>VLOOKUP(H1409,Stock_list!A:S,17,FALSE)</f>
        <v>C49SZX20190061JL</v>
      </c>
      <c r="K1409" s="51" t="str">
        <f>VLOOKUP(H1409,Stock_list!A:T,16,FALSE)</f>
        <v>JPY</v>
      </c>
      <c r="L1409" s="4">
        <v>43651</v>
      </c>
      <c r="M1409" s="132">
        <f>58+8</f>
        <v>66</v>
      </c>
      <c r="P1409" s="4" t="str">
        <f>VLOOKUP(H1409,Stock_list!A:Y,25,FALSE)</f>
        <v>Yes</v>
      </c>
      <c r="Q1409" s="143"/>
      <c r="T1409" s="144"/>
      <c r="U1409" s="145" t="str">
        <f>VLOOKUP(H1409,Stock_list!A:N,14,FALSE)</f>
        <v>JUL 19</v>
      </c>
    </row>
    <row r="1410" spans="1:21" ht="16.5" customHeight="1">
      <c r="A1410" s="159" t="s">
        <v>2747</v>
      </c>
      <c r="B1410" s="114" t="str">
        <f>VLOOKUP(A1410,'Data pick slip'!B:F,5,FALSE)</f>
        <v>KHJ-MC200-00</v>
      </c>
      <c r="F1410" s="157" t="s">
        <v>2861</v>
      </c>
      <c r="H1410" s="138">
        <v>297</v>
      </c>
      <c r="I1410" s="139" t="str">
        <f>VLOOKUP(H1410,Stock_list!A:R,18,FALSE)</f>
        <v>微力创/end user 昶达</v>
      </c>
      <c r="J1410" s="139" t="str">
        <f>VLOOKUP(H1410,Stock_list!A:S,17,FALSE)</f>
        <v>C49SZX20190061JL</v>
      </c>
      <c r="K1410" s="51" t="str">
        <f>VLOOKUP(H1410,Stock_list!A:T,16,FALSE)</f>
        <v>JPY</v>
      </c>
      <c r="L1410" s="4">
        <v>43651</v>
      </c>
      <c r="M1410" s="132">
        <v>10</v>
      </c>
      <c r="P1410" s="4" t="str">
        <f>VLOOKUP(H1410,Stock_list!A:Y,25,FALSE)</f>
        <v>Yes</v>
      </c>
      <c r="Q1410" s="143"/>
      <c r="T1410" s="144"/>
      <c r="U1410" s="145" t="str">
        <f>VLOOKUP(H1410,Stock_list!A:N,14,FALSE)</f>
        <v>JUL 19</v>
      </c>
    </row>
    <row r="1411" spans="1:21" ht="16.5" customHeight="1">
      <c r="A1411" s="159" t="s">
        <v>2748</v>
      </c>
      <c r="B1411" s="114" t="str">
        <f>VLOOKUP(A1411,'Data pick slip'!B:F,5,FALSE)</f>
        <v>KHJ-MC400-00</v>
      </c>
      <c r="F1411" s="157" t="s">
        <v>2861</v>
      </c>
      <c r="H1411" s="138">
        <v>297</v>
      </c>
      <c r="I1411" s="139" t="str">
        <f>VLOOKUP(H1411,Stock_list!A:R,18,FALSE)</f>
        <v>微力创/end user 昶达</v>
      </c>
      <c r="J1411" s="139" t="str">
        <f>VLOOKUP(H1411,Stock_list!A:S,17,FALSE)</f>
        <v>C49SZX20190061JL</v>
      </c>
      <c r="K1411" s="51" t="str">
        <f>VLOOKUP(H1411,Stock_list!A:T,16,FALSE)</f>
        <v>JPY</v>
      </c>
      <c r="L1411" s="4">
        <v>43651</v>
      </c>
      <c r="M1411" s="132">
        <v>4</v>
      </c>
      <c r="P1411" s="4" t="str">
        <f>VLOOKUP(H1411,Stock_list!A:Y,25,FALSE)</f>
        <v>Yes</v>
      </c>
      <c r="Q1411" s="143"/>
      <c r="T1411" s="144"/>
      <c r="U1411" s="145" t="str">
        <f>VLOOKUP(H1411,Stock_list!A:N,14,FALSE)</f>
        <v>JUL 19</v>
      </c>
    </row>
    <row r="1412" spans="1:21" ht="16.5" customHeight="1">
      <c r="A1412" s="159" t="s">
        <v>2744</v>
      </c>
      <c r="B1412" s="114" t="str">
        <f>VLOOKUP(A1412,'Data pick slip'!B:F,5,FALSE)</f>
        <v>KHJ-MC100-00</v>
      </c>
      <c r="F1412" s="157" t="s">
        <v>2773</v>
      </c>
      <c r="I1412" s="139" t="s">
        <v>2853</v>
      </c>
      <c r="J1412" s="141" t="s">
        <v>3090</v>
      </c>
      <c r="K1412" s="51" t="s">
        <v>3002</v>
      </c>
      <c r="L1412" s="4">
        <v>43590</v>
      </c>
      <c r="M1412" s="140">
        <v>2</v>
      </c>
      <c r="P1412" s="4" t="s">
        <v>291</v>
      </c>
      <c r="Q1412" s="143"/>
      <c r="S1412" s="123" t="s">
        <v>3003</v>
      </c>
      <c r="T1412" s="205" t="s">
        <v>3089</v>
      </c>
      <c r="U1412" s="145" t="e">
        <f>VLOOKUP(H1412,Stock_list!A:N,14,FALSE)</f>
        <v>#N/A</v>
      </c>
    </row>
    <row r="1413" spans="1:21" ht="16.5" customHeight="1">
      <c r="A1413" s="159" t="s">
        <v>2744</v>
      </c>
      <c r="B1413" s="114" t="str">
        <f>VLOOKUP(A1413,'Data pick slip'!B:F,5,FALSE)</f>
        <v>KHJ-MC100-00</v>
      </c>
      <c r="F1413" s="157" t="s">
        <v>2773</v>
      </c>
      <c r="I1413" s="139" t="s">
        <v>2853</v>
      </c>
      <c r="J1413" s="139" t="s">
        <v>3091</v>
      </c>
      <c r="K1413" s="51" t="s">
        <v>3002</v>
      </c>
      <c r="L1413" s="4">
        <v>43583</v>
      </c>
      <c r="M1413" s="140">
        <v>10</v>
      </c>
      <c r="P1413" s="4" t="s">
        <v>291</v>
      </c>
      <c r="Q1413" s="143"/>
      <c r="S1413" s="123" t="s">
        <v>3003</v>
      </c>
      <c r="T1413" s="205" t="s">
        <v>3092</v>
      </c>
      <c r="U1413" s="145" t="e">
        <f>VLOOKUP(H1413,Stock_list!A:N,14,FALSE)</f>
        <v>#N/A</v>
      </c>
    </row>
    <row r="1414" spans="1:21" ht="16.5" customHeight="1">
      <c r="A1414" s="159" t="s">
        <v>2755</v>
      </c>
      <c r="B1414" s="114" t="str">
        <f>VLOOKUP(A1414,'Data pick slip'!B:F,5,FALSE)</f>
        <v>KLJ-MC100-00</v>
      </c>
      <c r="F1414" s="157" t="s">
        <v>2773</v>
      </c>
      <c r="I1414" s="139" t="s">
        <v>3093</v>
      </c>
      <c r="J1414" s="139" t="s">
        <v>3094</v>
      </c>
      <c r="K1414" s="51" t="s">
        <v>1246</v>
      </c>
      <c r="L1414" s="4">
        <v>43594</v>
      </c>
      <c r="M1414" s="140">
        <v>1</v>
      </c>
      <c r="P1414" s="4" t="s">
        <v>291</v>
      </c>
      <c r="Q1414" s="143"/>
      <c r="T1414" s="144"/>
      <c r="U1414" s="145" t="e">
        <f>VLOOKUP(H1414,Stock_list!A:N,14,FALSE)</f>
        <v>#N/A</v>
      </c>
    </row>
    <row r="1415" spans="1:21" ht="16.5" customHeight="1">
      <c r="A1415" s="159" t="s">
        <v>2756</v>
      </c>
      <c r="B1415" s="114" t="str">
        <f>VLOOKUP(A1415,'Data pick slip'!B:F,5,FALSE)</f>
        <v>KLJ-MC200-00</v>
      </c>
      <c r="F1415" s="157" t="s">
        <v>2861</v>
      </c>
      <c r="H1415" s="138">
        <v>302</v>
      </c>
      <c r="I1415" s="139" t="str">
        <f>VLOOKUP(H1415,Stock_list!A:R,18,FALSE)</f>
        <v>丰硕</v>
      </c>
      <c r="J1415" s="139" t="str">
        <f>VLOOKUP(H1415,Stock_list!A:S,17,FALSE)</f>
        <v>C49SZX20190050SX</v>
      </c>
      <c r="K1415" s="51" t="str">
        <f>VLOOKUP(H1415,Stock_list!A:T,16,FALSE)</f>
        <v>JPY</v>
      </c>
      <c r="L1415" s="4">
        <v>43640</v>
      </c>
      <c r="M1415" s="132">
        <v>15</v>
      </c>
      <c r="P1415" s="4" t="str">
        <f>VLOOKUP(H1415,Stock_list!A:Y,25,FALSE)</f>
        <v>Yes</v>
      </c>
      <c r="T1415" s="144"/>
      <c r="U1415" s="145" t="str">
        <f>VLOOKUP(H1415,Stock_list!A:N,14,FALSE)</f>
        <v>JUN 19</v>
      </c>
    </row>
    <row r="1416" spans="1:21" ht="16.5" customHeight="1">
      <c r="A1416" s="159" t="s">
        <v>2757</v>
      </c>
      <c r="B1416" s="114" t="str">
        <f>VLOOKUP(A1416,'Data pick slip'!B:F,5,FALSE)</f>
        <v>KLJ-MC400-00</v>
      </c>
      <c r="F1416" s="157" t="s">
        <v>2861</v>
      </c>
      <c r="H1416" s="138">
        <v>302</v>
      </c>
      <c r="I1416" s="139" t="str">
        <f>VLOOKUP(H1416,Stock_list!A:R,18,FALSE)</f>
        <v>丰硕</v>
      </c>
      <c r="J1416" s="139" t="str">
        <f>VLOOKUP(H1416,Stock_list!A:S,17,FALSE)</f>
        <v>C49SZX20190050SX</v>
      </c>
      <c r="K1416" s="51" t="str">
        <f>VLOOKUP(H1416,Stock_list!A:T,16,FALSE)</f>
        <v>JPY</v>
      </c>
      <c r="L1416" s="4">
        <v>43640</v>
      </c>
      <c r="M1416" s="132">
        <v>1</v>
      </c>
      <c r="P1416" s="4" t="str">
        <f>VLOOKUP(H1416,Stock_list!A:Y,25,FALSE)</f>
        <v>Yes</v>
      </c>
      <c r="Q1416" s="143"/>
      <c r="T1416" s="144"/>
      <c r="U1416" s="145" t="str">
        <f>VLOOKUP(H1416,Stock_list!A:N,14,FALSE)</f>
        <v>JUN 19</v>
      </c>
    </row>
    <row r="1417" spans="1:21" ht="16.5" customHeight="1">
      <c r="A1417" s="159" t="s">
        <v>2744</v>
      </c>
      <c r="B1417" s="114" t="str">
        <f>VLOOKUP(A1417,'Data pick slip'!B:F,5,FALSE)</f>
        <v>KHJ-MC100-00</v>
      </c>
      <c r="F1417" s="157" t="s">
        <v>2861</v>
      </c>
      <c r="H1417" s="138">
        <v>303</v>
      </c>
      <c r="I1417" s="139" t="str">
        <f>VLOOKUP(H1417,Stock_list!A:R,18,FALSE)</f>
        <v>梵想</v>
      </c>
      <c r="J1417" s="139" t="str">
        <f>VLOOKUP(H1417,Stock_list!A:S,17,FALSE)</f>
        <v>C49SZX20190068ZX</v>
      </c>
      <c r="K1417" s="51" t="str">
        <f>VLOOKUP(H1417,Stock_list!A:T,16,FALSE)</f>
        <v>JPY</v>
      </c>
      <c r="L1417" s="4">
        <v>43663</v>
      </c>
      <c r="M1417" s="132">
        <v>100</v>
      </c>
      <c r="P1417" s="4" t="str">
        <f>VLOOKUP(H1417,Stock_list!A:Y,25,FALSE)</f>
        <v>Yes</v>
      </c>
      <c r="Q1417" s="143"/>
      <c r="T1417" s="144"/>
      <c r="U1417" s="145" t="str">
        <f>VLOOKUP(H1417,Stock_list!A:N,14,FALSE)</f>
        <v>JUL 19</v>
      </c>
    </row>
    <row r="1418" spans="1:21" ht="16.5" customHeight="1">
      <c r="A1418" s="159" t="s">
        <v>2744</v>
      </c>
      <c r="B1418" s="114" t="str">
        <f>VLOOKUP(A1418,'Data pick slip'!B:F,5,FALSE)</f>
        <v>KHJ-MC100-00</v>
      </c>
      <c r="F1418" s="157" t="s">
        <v>2861</v>
      </c>
      <c r="H1418" s="138">
        <v>305</v>
      </c>
      <c r="I1418" s="139" t="str">
        <f>VLOOKUP(H1418,Stock_list!A:R,18,FALSE)</f>
        <v>同基</v>
      </c>
      <c r="J1418" s="139" t="str">
        <f>VLOOKUP(H1418,Stock_list!A:S,17,FALSE)</f>
        <v>C49SZX20190069KW</v>
      </c>
      <c r="K1418" s="51" t="str">
        <f>VLOOKUP(H1418,Stock_list!A:T,16,FALSE)</f>
        <v>JPY</v>
      </c>
      <c r="L1418" s="4">
        <v>43664</v>
      </c>
      <c r="M1418" s="132">
        <v>396</v>
      </c>
      <c r="P1418" s="4" t="str">
        <f>VLOOKUP(H1418,Stock_list!A:Y,25,FALSE)</f>
        <v>Yes</v>
      </c>
      <c r="Q1418" s="143"/>
      <c r="T1418" s="144"/>
      <c r="U1418" s="145" t="str">
        <f>VLOOKUP(H1418,Stock_list!A:N,14,FALSE)</f>
        <v>JUL 19</v>
      </c>
    </row>
    <row r="1419" spans="1:21" ht="16.5" customHeight="1">
      <c r="A1419" s="159" t="s">
        <v>2747</v>
      </c>
      <c r="B1419" s="114" t="str">
        <f>VLOOKUP(A1419,'Data pick slip'!B:F,5,FALSE)</f>
        <v>KHJ-MC200-00</v>
      </c>
      <c r="F1419" s="157" t="s">
        <v>2861</v>
      </c>
      <c r="H1419" s="138">
        <v>305</v>
      </c>
      <c r="I1419" s="139" t="str">
        <f>VLOOKUP(H1419,Stock_list!A:R,18,FALSE)</f>
        <v>同基</v>
      </c>
      <c r="J1419" s="139" t="str">
        <f>VLOOKUP(H1419,Stock_list!A:S,17,FALSE)</f>
        <v>C49SZX20190069KW</v>
      </c>
      <c r="K1419" s="51" t="str">
        <f>VLOOKUP(H1419,Stock_list!A:T,16,FALSE)</f>
        <v>JPY</v>
      </c>
      <c r="L1419" s="4">
        <v>43664</v>
      </c>
      <c r="M1419" s="132">
        <v>60</v>
      </c>
      <c r="P1419" s="4" t="str">
        <f>VLOOKUP(H1419,Stock_list!A:Y,25,FALSE)</f>
        <v>Yes</v>
      </c>
      <c r="Q1419" s="143"/>
      <c r="T1419" s="144"/>
      <c r="U1419" s="145" t="str">
        <f>VLOOKUP(H1419,Stock_list!A:N,14,FALSE)</f>
        <v>JUL 19</v>
      </c>
    </row>
    <row r="1420" spans="1:21" ht="16.5" customHeight="1">
      <c r="A1420" s="159" t="s">
        <v>2748</v>
      </c>
      <c r="B1420" s="114" t="str">
        <f>VLOOKUP(A1420,'Data pick slip'!B:F,5,FALSE)</f>
        <v>KHJ-MC400-00</v>
      </c>
      <c r="F1420" s="157" t="s">
        <v>2861</v>
      </c>
      <c r="H1420" s="138">
        <v>305</v>
      </c>
      <c r="I1420" s="139" t="str">
        <f>VLOOKUP(H1420,Stock_list!A:R,18,FALSE)</f>
        <v>同基</v>
      </c>
      <c r="J1420" s="139" t="str">
        <f>VLOOKUP(H1420,Stock_list!A:S,17,FALSE)</f>
        <v>C49SZX20190069KW</v>
      </c>
      <c r="K1420" s="51" t="str">
        <f>VLOOKUP(H1420,Stock_list!A:T,16,FALSE)</f>
        <v>JPY</v>
      </c>
      <c r="L1420" s="4">
        <v>43664</v>
      </c>
      <c r="M1420" s="132">
        <v>20</v>
      </c>
      <c r="P1420" s="4" t="str">
        <f>VLOOKUP(H1420,Stock_list!A:Y,25,FALSE)</f>
        <v>Yes</v>
      </c>
      <c r="Q1420" s="143"/>
      <c r="T1420" s="144"/>
      <c r="U1420" s="145" t="str">
        <f>VLOOKUP(H1420,Stock_list!A:N,14,FALSE)</f>
        <v>JUL 19</v>
      </c>
    </row>
    <row r="1421" spans="1:21" ht="16.5" customHeight="1">
      <c r="A1421" s="159" t="s">
        <v>2749</v>
      </c>
      <c r="B1421" s="114" t="str">
        <f>VLOOKUP(A1421,'Data pick slip'!B:F,5,FALSE)</f>
        <v>KHJ-MC500-00</v>
      </c>
      <c r="F1421" s="157" t="s">
        <v>2861</v>
      </c>
      <c r="H1421" s="138">
        <v>305</v>
      </c>
      <c r="I1421" s="139" t="str">
        <f>VLOOKUP(H1421,Stock_list!A:R,18,FALSE)</f>
        <v>同基</v>
      </c>
      <c r="J1421" s="139" t="str">
        <f>VLOOKUP(H1421,Stock_list!A:S,17,FALSE)</f>
        <v>C49SZX20190069KW</v>
      </c>
      <c r="K1421" s="51" t="str">
        <f>VLOOKUP(H1421,Stock_list!A:T,16,FALSE)</f>
        <v>JPY</v>
      </c>
      <c r="L1421" s="4">
        <v>43664</v>
      </c>
      <c r="M1421" s="132">
        <v>11</v>
      </c>
      <c r="P1421" s="4" t="str">
        <f>VLOOKUP(H1421,Stock_list!A:Y,25,FALSE)</f>
        <v>Yes</v>
      </c>
      <c r="Q1421" s="143"/>
      <c r="T1421" s="144"/>
      <c r="U1421" s="145" t="str">
        <f>VLOOKUP(H1421,Stock_list!A:N,14,FALSE)</f>
        <v>JUL 19</v>
      </c>
    </row>
    <row r="1422" spans="1:21" ht="16.5" customHeight="1">
      <c r="A1422" s="159" t="s">
        <v>2749</v>
      </c>
      <c r="B1422" s="114" t="str">
        <f>VLOOKUP(A1422,'Data pick slip'!B:F,5,FALSE)</f>
        <v>KHJ-MC500-00</v>
      </c>
      <c r="F1422" s="157" t="s">
        <v>2773</v>
      </c>
      <c r="H1422" s="138">
        <v>305</v>
      </c>
      <c r="I1422" s="139" t="str">
        <f>VLOOKUP(H1422,Stock_list!A:R,18,FALSE)</f>
        <v>同基</v>
      </c>
      <c r="J1422" s="139" t="str">
        <f>VLOOKUP(H1422,Stock_list!A:S,17,FALSE)</f>
        <v>C49SZX20190069KW</v>
      </c>
      <c r="K1422" s="51" t="str">
        <f>VLOOKUP(H1422,Stock_list!A:T,16,FALSE)</f>
        <v>JPY</v>
      </c>
      <c r="L1422" s="4">
        <v>43664</v>
      </c>
      <c r="M1422" s="132">
        <v>2</v>
      </c>
      <c r="P1422" s="4" t="str">
        <f>VLOOKUP(H1422,Stock_list!A:Y,25,FALSE)</f>
        <v>Yes</v>
      </c>
      <c r="Q1422" s="143"/>
      <c r="S1422" s="123" t="s">
        <v>3003</v>
      </c>
      <c r="T1422" s="205" t="s">
        <v>3073</v>
      </c>
      <c r="U1422" s="145" t="str">
        <f>VLOOKUP(H1422,Stock_list!A:N,14,FALSE)</f>
        <v>JUL 19</v>
      </c>
    </row>
    <row r="1423" spans="1:21" ht="16.5" customHeight="1">
      <c r="A1423" s="159" t="s">
        <v>2749</v>
      </c>
      <c r="B1423" s="114" t="str">
        <f>VLOOKUP(A1423,'Data pick slip'!B:F,5,FALSE)</f>
        <v>KHJ-MC500-00</v>
      </c>
      <c r="F1423" s="157" t="s">
        <v>2773</v>
      </c>
      <c r="H1423" s="138">
        <v>305</v>
      </c>
      <c r="I1423" s="139" t="str">
        <f>VLOOKUP(H1423,Stock_list!A:R,18,FALSE)</f>
        <v>同基</v>
      </c>
      <c r="J1423" s="139" t="str">
        <f>VLOOKUP(H1423,Stock_list!A:S,17,FALSE)</f>
        <v>C49SZX20190069KW</v>
      </c>
      <c r="K1423" s="51" t="str">
        <f>VLOOKUP(H1423,Stock_list!A:T,16,FALSE)</f>
        <v>JPY</v>
      </c>
      <c r="L1423" s="4">
        <v>43602</v>
      </c>
      <c r="M1423" s="140">
        <v>2</v>
      </c>
      <c r="P1423" s="4" t="str">
        <f>VLOOKUP(H1423,Stock_list!A:Y,25,FALSE)</f>
        <v>Yes</v>
      </c>
      <c r="Q1423" s="143"/>
      <c r="S1423" s="123" t="s">
        <v>3003</v>
      </c>
      <c r="T1423" s="205" t="s">
        <v>3073</v>
      </c>
      <c r="U1423" s="145" t="str">
        <f>VLOOKUP(H1423,Stock_list!A:N,14,FALSE)</f>
        <v>JUL 19</v>
      </c>
    </row>
    <row r="1424" spans="1:21" ht="16.5" customHeight="1">
      <c r="A1424" s="159" t="s">
        <v>2750</v>
      </c>
      <c r="B1424" s="114" t="str">
        <f>VLOOKUP(A1424,'Data pick slip'!B:F,5,FALSE)</f>
        <v>KHJ-MC600-00</v>
      </c>
      <c r="F1424" s="157" t="s">
        <v>2861</v>
      </c>
      <c r="H1424" s="138">
        <v>305</v>
      </c>
      <c r="I1424" s="139" t="str">
        <f>VLOOKUP(H1424,Stock_list!A:R,18,FALSE)</f>
        <v>同基</v>
      </c>
      <c r="J1424" s="139" t="str">
        <f>VLOOKUP(H1424,Stock_list!A:S,17,FALSE)</f>
        <v>C49SZX20190069KW</v>
      </c>
      <c r="K1424" s="51" t="str">
        <f>VLOOKUP(H1424,Stock_list!A:T,16,FALSE)</f>
        <v>JPY</v>
      </c>
      <c r="L1424" s="4">
        <v>43664</v>
      </c>
      <c r="M1424" s="140">
        <v>2</v>
      </c>
      <c r="P1424" s="4" t="str">
        <f>VLOOKUP(H1424,Stock_list!A:Y,25,FALSE)</f>
        <v>Yes</v>
      </c>
      <c r="Q1424" s="143"/>
      <c r="T1424" s="144"/>
      <c r="U1424" s="145" t="str">
        <f>VLOOKUP(H1424,Stock_list!A:N,14,FALSE)</f>
        <v>JUL 19</v>
      </c>
    </row>
    <row r="1425" spans="1:21" ht="16.5" customHeight="1">
      <c r="A1425" s="159" t="s">
        <v>2757</v>
      </c>
      <c r="B1425" s="114" t="str">
        <f>VLOOKUP(A1425,'Data pick slip'!B:F,5,FALSE)</f>
        <v>KLJ-MC400-00</v>
      </c>
      <c r="F1425" s="157" t="s">
        <v>2773</v>
      </c>
      <c r="H1425" s="138">
        <v>460</v>
      </c>
      <c r="I1425" s="139" t="str">
        <f>VLOOKUP(H1425,Stock_list!A:R,18,FALSE)</f>
        <v>魔乐视/end user:拓普赛特</v>
      </c>
      <c r="J1425" s="139" t="str">
        <f>VLOOKUP(H1425,Stock_list!A:S,17,FALSE)</f>
        <v>C49SZX20190028MZR1</v>
      </c>
      <c r="K1425" s="51" t="str">
        <f>VLOOKUP(H1425,Stock_list!A:T,16,FALSE)</f>
        <v>JPY</v>
      </c>
      <c r="L1425" s="4"/>
      <c r="O1425" s="132">
        <f>7-7</f>
        <v>0</v>
      </c>
      <c r="P1425" s="4" t="str">
        <f>VLOOKUP(H1425,Stock_list!A:Y,25,FALSE)</f>
        <v>Yes</v>
      </c>
      <c r="Q1425" s="143"/>
      <c r="T1425" s="205"/>
      <c r="U1425" s="145" t="str">
        <f>VLOOKUP(H1425,Stock_list!A:N,14,FALSE)</f>
        <v>DEC 19</v>
      </c>
    </row>
    <row r="1426" spans="1:21" ht="16.5" customHeight="1">
      <c r="A1426" s="159" t="s">
        <v>2747</v>
      </c>
      <c r="B1426" s="114" t="str">
        <f>VLOOKUP(A1426,'Data pick slip'!B:F,5,FALSE)</f>
        <v>KHJ-MC200-00</v>
      </c>
      <c r="F1426" s="157" t="s">
        <v>2773</v>
      </c>
      <c r="I1426" s="139" t="s">
        <v>3093</v>
      </c>
      <c r="J1426" s="139" t="s">
        <v>3095</v>
      </c>
      <c r="K1426" s="51" t="s">
        <v>1246</v>
      </c>
      <c r="L1426" s="4">
        <v>43607</v>
      </c>
      <c r="M1426" s="132">
        <v>5</v>
      </c>
      <c r="P1426" s="4" t="s">
        <v>291</v>
      </c>
      <c r="Q1426" s="143"/>
      <c r="T1426" s="144"/>
      <c r="U1426" s="145" t="e">
        <f>VLOOKUP(H1426,Stock_list!A:N,14,FALSE)</f>
        <v>#N/A</v>
      </c>
    </row>
    <row r="1427" spans="1:21" ht="16.5" customHeight="1">
      <c r="A1427" s="159" t="s">
        <v>2748</v>
      </c>
      <c r="B1427" s="114" t="str">
        <f>VLOOKUP(A1427,'Data pick slip'!B:F,5,FALSE)</f>
        <v>KHJ-MC400-00</v>
      </c>
      <c r="F1427" s="157" t="s">
        <v>2773</v>
      </c>
      <c r="I1427" s="139" t="s">
        <v>3093</v>
      </c>
      <c r="J1427" s="139" t="s">
        <v>3095</v>
      </c>
      <c r="K1427" s="51" t="s">
        <v>1246</v>
      </c>
      <c r="L1427" s="4">
        <v>43607</v>
      </c>
      <c r="M1427" s="132">
        <v>1</v>
      </c>
      <c r="P1427" s="4" t="s">
        <v>291</v>
      </c>
      <c r="Q1427" s="143"/>
      <c r="T1427" s="144"/>
      <c r="U1427" s="145" t="e">
        <f>VLOOKUP(H1427,Stock_list!A:N,14,FALSE)</f>
        <v>#N/A</v>
      </c>
    </row>
    <row r="1428" spans="1:21" ht="16.5" customHeight="1">
      <c r="A1428" s="159" t="s">
        <v>2749</v>
      </c>
      <c r="B1428" s="114" t="str">
        <f>VLOOKUP(A1428,'Data pick slip'!B:F,5,FALSE)</f>
        <v>KHJ-MC500-00</v>
      </c>
      <c r="F1428" s="157" t="s">
        <v>2773</v>
      </c>
      <c r="I1428" s="139" t="s">
        <v>3093</v>
      </c>
      <c r="J1428" s="139" t="s">
        <v>3095</v>
      </c>
      <c r="K1428" s="51" t="s">
        <v>1246</v>
      </c>
      <c r="L1428" s="4">
        <v>43607</v>
      </c>
      <c r="M1428" s="132">
        <v>1</v>
      </c>
      <c r="P1428" s="4" t="s">
        <v>291</v>
      </c>
      <c r="Q1428" s="143"/>
      <c r="T1428" s="144"/>
      <c r="U1428" s="145" t="e">
        <f>VLOOKUP(H1428,Stock_list!A:N,14,FALSE)</f>
        <v>#N/A</v>
      </c>
    </row>
    <row r="1429" spans="1:21" ht="16.5" customHeight="1">
      <c r="A1429" s="159" t="s">
        <v>2744</v>
      </c>
      <c r="B1429" s="114" t="str">
        <f>VLOOKUP(A1429,'Data pick slip'!B:F,5,FALSE)</f>
        <v>KHJ-MC100-00</v>
      </c>
      <c r="F1429" s="157" t="s">
        <v>2773</v>
      </c>
      <c r="I1429" s="139" t="s">
        <v>3093</v>
      </c>
      <c r="J1429" s="139" t="s">
        <v>3096</v>
      </c>
      <c r="K1429" s="51" t="s">
        <v>1246</v>
      </c>
      <c r="L1429" s="4">
        <v>43598</v>
      </c>
      <c r="M1429" s="140">
        <v>5</v>
      </c>
      <c r="P1429" s="4" t="s">
        <v>291</v>
      </c>
      <c r="Q1429" s="143"/>
      <c r="T1429" s="144"/>
      <c r="U1429" s="145" t="e">
        <f>VLOOKUP(H1429,Stock_list!A:N,14,FALSE)</f>
        <v>#N/A</v>
      </c>
    </row>
    <row r="1430" spans="1:21" ht="16.5" customHeight="1">
      <c r="A1430" s="159" t="s">
        <v>2744</v>
      </c>
      <c r="B1430" s="114" t="str">
        <f>VLOOKUP(A1430,'Data pick slip'!B:F,5,FALSE)</f>
        <v>KHJ-MC100-00</v>
      </c>
      <c r="F1430" s="157" t="s">
        <v>2773</v>
      </c>
      <c r="H1430" s="138">
        <v>310</v>
      </c>
      <c r="I1430" s="139" t="str">
        <f>VLOOKUP(H1430,Stock_list!A:R,18,FALSE)</f>
        <v>恒康佳业</v>
      </c>
      <c r="J1430" s="139" t="str">
        <f>VLOOKUP(H1430,Stock_list!A:S,17,FALSE)</f>
        <v>C49SZX20190072ZX</v>
      </c>
      <c r="K1430" s="51" t="str">
        <f>VLOOKUP(H1430,Stock_list!A:T,16,FALSE)</f>
        <v>RMB</v>
      </c>
      <c r="L1430" s="4">
        <v>43665</v>
      </c>
      <c r="M1430" s="132">
        <v>20</v>
      </c>
      <c r="P1430" s="4" t="str">
        <f>VLOOKUP(H1430,Stock_list!A:Y,25,FALSE)</f>
        <v>Yes</v>
      </c>
      <c r="Q1430" s="143"/>
      <c r="T1430" s="144"/>
      <c r="U1430" s="145" t="str">
        <f>VLOOKUP(H1430,Stock_list!A:N,14,FALSE)</f>
        <v>JUL 19</v>
      </c>
    </row>
    <row r="1431" spans="1:21" ht="16.5" customHeight="1">
      <c r="A1431" s="159" t="s">
        <v>2747</v>
      </c>
      <c r="B1431" s="114" t="str">
        <f>VLOOKUP(A1431,'Data pick slip'!B:F,5,FALSE)</f>
        <v>KHJ-MC200-00</v>
      </c>
      <c r="F1431" s="157" t="s">
        <v>2773</v>
      </c>
      <c r="H1431" s="138">
        <v>310</v>
      </c>
      <c r="I1431" s="139" t="str">
        <f>VLOOKUP(H1431,Stock_list!A:R,18,FALSE)</f>
        <v>恒康佳业</v>
      </c>
      <c r="J1431" s="139" t="str">
        <f>VLOOKUP(H1431,Stock_list!A:S,17,FALSE)</f>
        <v>C49SZX20190072ZX</v>
      </c>
      <c r="K1431" s="51" t="str">
        <f>VLOOKUP(H1431,Stock_list!A:T,16,FALSE)</f>
        <v>RMB</v>
      </c>
      <c r="L1431" s="4">
        <v>43665</v>
      </c>
      <c r="M1431" s="132">
        <v>2</v>
      </c>
      <c r="P1431" s="4" t="str">
        <f>VLOOKUP(H1431,Stock_list!A:Y,25,FALSE)</f>
        <v>Yes</v>
      </c>
      <c r="Q1431" s="143"/>
      <c r="T1431" s="144"/>
      <c r="U1431" s="145" t="str">
        <f>VLOOKUP(H1431,Stock_list!A:N,14,FALSE)</f>
        <v>JUL 19</v>
      </c>
    </row>
    <row r="1432" spans="1:21" ht="16.5" customHeight="1">
      <c r="A1432" s="159" t="s">
        <v>2748</v>
      </c>
      <c r="B1432" s="114" t="str">
        <f>VLOOKUP(A1432,'Data pick slip'!B:F,5,FALSE)</f>
        <v>KHJ-MC400-00</v>
      </c>
      <c r="F1432" s="157" t="s">
        <v>2773</v>
      </c>
      <c r="H1432" s="138">
        <v>310</v>
      </c>
      <c r="I1432" s="139" t="str">
        <f>VLOOKUP(H1432,Stock_list!A:R,18,FALSE)</f>
        <v>恒康佳业</v>
      </c>
      <c r="J1432" s="139" t="str">
        <f>VLOOKUP(H1432,Stock_list!A:S,17,FALSE)</f>
        <v>C49SZX20190072ZX</v>
      </c>
      <c r="K1432" s="51" t="str">
        <f>VLOOKUP(H1432,Stock_list!A:T,16,FALSE)</f>
        <v>RMB</v>
      </c>
      <c r="L1432" s="4">
        <v>43665</v>
      </c>
      <c r="M1432" s="132">
        <v>2</v>
      </c>
      <c r="P1432" s="4" t="str">
        <f>VLOOKUP(H1432,Stock_list!A:Y,25,FALSE)</f>
        <v>Yes</v>
      </c>
      <c r="Q1432" s="143"/>
      <c r="T1432" s="144"/>
      <c r="U1432" s="145" t="str">
        <f>VLOOKUP(H1432,Stock_list!A:N,14,FALSE)</f>
        <v>JUL 19</v>
      </c>
    </row>
    <row r="1433" spans="1:21" ht="16.5" customHeight="1">
      <c r="A1433" s="159" t="s">
        <v>2744</v>
      </c>
      <c r="B1433" s="114" t="str">
        <f>VLOOKUP(A1433,'Data pick slip'!B:F,5,FALSE)</f>
        <v>KHJ-MC100-00</v>
      </c>
      <c r="F1433" s="157" t="s">
        <v>2773</v>
      </c>
      <c r="I1433" s="139" t="s">
        <v>3093</v>
      </c>
      <c r="J1433" s="139" t="s">
        <v>3097</v>
      </c>
      <c r="K1433" s="51" t="s">
        <v>1246</v>
      </c>
      <c r="L1433" s="4">
        <v>43599</v>
      </c>
      <c r="M1433" s="140">
        <v>15</v>
      </c>
      <c r="P1433" s="4" t="s">
        <v>291</v>
      </c>
      <c r="Q1433" s="143"/>
      <c r="T1433" s="144"/>
      <c r="U1433" s="145" t="e">
        <f>VLOOKUP(H1433,Stock_list!A:N,14,FALSE)</f>
        <v>#N/A</v>
      </c>
    </row>
    <row r="1434" spans="1:21" ht="16.5" customHeight="1">
      <c r="A1434" s="159" t="s">
        <v>2744</v>
      </c>
      <c r="B1434" s="114" t="str">
        <f>VLOOKUP(A1434,'Data pick slip'!B:F,5,FALSE)</f>
        <v>KHJ-MC100-00</v>
      </c>
      <c r="F1434" s="157" t="s">
        <v>2861</v>
      </c>
      <c r="H1434" s="138">
        <v>311</v>
      </c>
      <c r="I1434" s="139" t="str">
        <f>VLOOKUP(H1434,Stock_list!A:R,18,FALSE)</f>
        <v>东陆</v>
      </c>
      <c r="J1434" s="139" t="str">
        <f>VLOOKUP(H1434,Stock_list!A:S,17,FALSE)</f>
        <v>C49SZX20190071SX</v>
      </c>
      <c r="K1434" s="51" t="str">
        <f>VLOOKUP(H1434,Stock_list!A:T,16,FALSE)</f>
        <v>JPY</v>
      </c>
      <c r="L1434" s="4">
        <v>43642</v>
      </c>
      <c r="M1434" s="132">
        <v>32</v>
      </c>
      <c r="P1434" s="4" t="str">
        <f>VLOOKUP(H1434,Stock_list!A:Y,25,FALSE)</f>
        <v>Yes</v>
      </c>
      <c r="Q1434" s="143"/>
      <c r="T1434" s="144"/>
      <c r="U1434" s="145" t="str">
        <f>VLOOKUP(H1434,Stock_list!A:N,14,FALSE)</f>
        <v>JUN 19</v>
      </c>
    </row>
    <row r="1435" spans="1:21" ht="16.5" customHeight="1">
      <c r="A1435" s="159" t="s">
        <v>2747</v>
      </c>
      <c r="B1435" s="114" t="str">
        <f>VLOOKUP(A1435,'Data pick slip'!B:F,5,FALSE)</f>
        <v>KHJ-MC200-00</v>
      </c>
      <c r="F1435" s="157" t="s">
        <v>2861</v>
      </c>
      <c r="H1435" s="138">
        <v>311</v>
      </c>
      <c r="I1435" s="139" t="str">
        <f>VLOOKUP(H1435,Stock_list!A:R,18,FALSE)</f>
        <v>东陆</v>
      </c>
      <c r="J1435" s="139" t="str">
        <f>VLOOKUP(H1435,Stock_list!A:S,17,FALSE)</f>
        <v>C49SZX20190071SX</v>
      </c>
      <c r="K1435" s="51" t="str">
        <f>VLOOKUP(H1435,Stock_list!A:T,16,FALSE)</f>
        <v>JPY</v>
      </c>
      <c r="L1435" s="4">
        <v>43642</v>
      </c>
      <c r="M1435" s="132">
        <v>2</v>
      </c>
      <c r="P1435" s="4" t="str">
        <f>VLOOKUP(H1435,Stock_list!A:Y,25,FALSE)</f>
        <v>Yes</v>
      </c>
      <c r="Q1435" s="143"/>
      <c r="S1435" s="146"/>
      <c r="T1435" s="146"/>
      <c r="U1435" s="145" t="str">
        <f>VLOOKUP(H1435,Stock_list!A:N,14,FALSE)</f>
        <v>JUN 19</v>
      </c>
    </row>
    <row r="1436" spans="1:21" ht="16.5" customHeight="1">
      <c r="A1436" s="159" t="s">
        <v>2748</v>
      </c>
      <c r="B1436" s="114" t="str">
        <f>VLOOKUP(A1436,'Data pick slip'!B:F,5,FALSE)</f>
        <v>KHJ-MC400-00</v>
      </c>
      <c r="F1436" s="157" t="s">
        <v>2773</v>
      </c>
      <c r="H1436" s="138">
        <v>311</v>
      </c>
      <c r="I1436" s="139" t="str">
        <f>VLOOKUP(H1436,Stock_list!A:R,18,FALSE)</f>
        <v>东陆</v>
      </c>
      <c r="J1436" s="139" t="str">
        <f>VLOOKUP(H1436,Stock_list!A:S,17,FALSE)</f>
        <v>C49SZX20190071SX</v>
      </c>
      <c r="K1436" s="51" t="str">
        <f>VLOOKUP(H1436,Stock_list!A:T,16,FALSE)</f>
        <v>JPY</v>
      </c>
      <c r="L1436" s="4">
        <v>43642</v>
      </c>
      <c r="M1436" s="132">
        <v>1</v>
      </c>
      <c r="P1436" s="4" t="str">
        <f>VLOOKUP(H1436,Stock_list!A:Y,25,FALSE)</f>
        <v>Yes</v>
      </c>
      <c r="Q1436" s="143"/>
      <c r="S1436" s="123" t="s">
        <v>3003</v>
      </c>
      <c r="T1436" s="205" t="s">
        <v>3084</v>
      </c>
      <c r="U1436" s="145" t="str">
        <f>VLOOKUP(H1436,Stock_list!A:N,14,FALSE)</f>
        <v>JUN 19</v>
      </c>
    </row>
    <row r="1437" spans="1:21" ht="16.5" customHeight="1">
      <c r="A1437" s="159" t="s">
        <v>2744</v>
      </c>
      <c r="B1437" s="114" t="str">
        <f>VLOOKUP(A1437,'Data pick slip'!B:F,5,FALSE)</f>
        <v>KHJ-MC100-00</v>
      </c>
      <c r="F1437" s="157" t="s">
        <v>2773</v>
      </c>
      <c r="H1437" s="138">
        <v>312</v>
      </c>
      <c r="I1437" s="139" t="str">
        <f>VLOOKUP(H1437,Stock_list!A:R,18,FALSE)</f>
        <v>嘉兴</v>
      </c>
      <c r="J1437" s="139" t="str">
        <f>VLOOKUP(H1437,Stock_list!A:S,17,FALSE)</f>
        <v>C49SZX20190076SS</v>
      </c>
      <c r="K1437" s="51" t="str">
        <f>VLOOKUP(H1437,Stock_list!A:T,16,FALSE)</f>
        <v>RMB</v>
      </c>
      <c r="L1437" s="4">
        <v>43753</v>
      </c>
      <c r="M1437" s="132">
        <v>60</v>
      </c>
      <c r="P1437" s="4" t="str">
        <f>VLOOKUP(H1437,Stock_list!A:Y,25,FALSE)</f>
        <v>Yes</v>
      </c>
      <c r="Q1437" s="143"/>
      <c r="T1437" s="144"/>
      <c r="U1437" s="145" t="str">
        <f>VLOOKUP(H1437,Stock_list!A:N,14,FALSE)</f>
        <v>OCT 19</v>
      </c>
    </row>
    <row r="1438" spans="1:21" ht="16.5" customHeight="1">
      <c r="A1438" s="159" t="s">
        <v>2747</v>
      </c>
      <c r="B1438" s="114" t="str">
        <f>VLOOKUP(A1438,'Data pick slip'!B:F,5,FALSE)</f>
        <v>KHJ-MC200-00</v>
      </c>
      <c r="F1438" s="157" t="s">
        <v>2773</v>
      </c>
      <c r="H1438" s="138">
        <v>312</v>
      </c>
      <c r="I1438" s="139" t="str">
        <f>VLOOKUP(H1438,Stock_list!A:R,18,FALSE)</f>
        <v>嘉兴</v>
      </c>
      <c r="J1438" s="139" t="str">
        <f>VLOOKUP(H1438,Stock_list!A:S,17,FALSE)</f>
        <v>C49SZX20190076SS</v>
      </c>
      <c r="K1438" s="51" t="str">
        <f>VLOOKUP(H1438,Stock_list!A:T,16,FALSE)</f>
        <v>RMB</v>
      </c>
      <c r="L1438" s="4">
        <v>43753</v>
      </c>
      <c r="M1438" s="132">
        <v>6</v>
      </c>
      <c r="P1438" s="4" t="str">
        <f>VLOOKUP(H1438,Stock_list!A:Y,25,FALSE)</f>
        <v>Yes</v>
      </c>
      <c r="Q1438" s="143"/>
      <c r="T1438" s="144"/>
      <c r="U1438" s="145" t="str">
        <f>VLOOKUP(H1438,Stock_list!A:N,14,FALSE)</f>
        <v>OCT 19</v>
      </c>
    </row>
    <row r="1439" spans="1:21" ht="16.5" customHeight="1">
      <c r="A1439" s="159" t="s">
        <v>2748</v>
      </c>
      <c r="B1439" s="114" t="str">
        <f>VLOOKUP(A1439,'Data pick slip'!B:F,5,FALSE)</f>
        <v>KHJ-MC400-00</v>
      </c>
      <c r="F1439" s="157" t="s">
        <v>2773</v>
      </c>
      <c r="H1439" s="138">
        <v>312</v>
      </c>
      <c r="I1439" s="139" t="str">
        <f>VLOOKUP(H1439,Stock_list!A:R,18,FALSE)</f>
        <v>嘉兴</v>
      </c>
      <c r="J1439" s="139" t="str">
        <f>VLOOKUP(H1439,Stock_list!A:S,17,FALSE)</f>
        <v>C49SZX20190076SS</v>
      </c>
      <c r="K1439" s="51" t="str">
        <f>VLOOKUP(H1439,Stock_list!A:T,16,FALSE)</f>
        <v>RMB</v>
      </c>
      <c r="L1439" s="4">
        <v>43753</v>
      </c>
      <c r="M1439" s="132">
        <v>1</v>
      </c>
      <c r="P1439" s="4" t="str">
        <f>VLOOKUP(H1439,Stock_list!A:Y,25,FALSE)</f>
        <v>Yes</v>
      </c>
      <c r="Q1439" s="143"/>
      <c r="T1439" s="144"/>
      <c r="U1439" s="145" t="str">
        <f>VLOOKUP(H1439,Stock_list!A:N,14,FALSE)</f>
        <v>OCT 19</v>
      </c>
    </row>
    <row r="1440" spans="1:21" ht="16.5" customHeight="1">
      <c r="A1440" s="159" t="s">
        <v>2744</v>
      </c>
      <c r="B1440" s="114" t="str">
        <f>VLOOKUP(A1440,'Data pick slip'!B:F,5,FALSE)</f>
        <v>KHJ-MC100-00</v>
      </c>
      <c r="F1440" s="157" t="s">
        <v>2773</v>
      </c>
      <c r="H1440" s="138">
        <v>314</v>
      </c>
      <c r="I1440" s="139" t="str">
        <f>VLOOKUP(H1440,Stock_list!A:R,18,FALSE)</f>
        <v>派诺</v>
      </c>
      <c r="J1440" s="139" t="str">
        <f>VLOOKUP(H1440,Stock_list!A:S,17,FALSE)</f>
        <v>C49SZX20190066MZ</v>
      </c>
      <c r="K1440" s="51" t="str">
        <f>VLOOKUP(H1440,Stock_list!A:T,16,FALSE)</f>
        <v>RMB</v>
      </c>
      <c r="L1440" s="4">
        <v>43631</v>
      </c>
      <c r="M1440" s="132">
        <v>50</v>
      </c>
      <c r="P1440" s="4" t="str">
        <f>VLOOKUP(H1440,Stock_list!A:Y,25,FALSE)</f>
        <v>Yes</v>
      </c>
      <c r="Q1440" s="143"/>
      <c r="T1440" s="144"/>
      <c r="U1440" s="145" t="str">
        <f>VLOOKUP(H1440,Stock_list!A:N,14,FALSE)</f>
        <v>JUN 19</v>
      </c>
    </row>
    <row r="1441" spans="1:21" ht="16.5" customHeight="1">
      <c r="A1441" s="159" t="s">
        <v>2747</v>
      </c>
      <c r="B1441" s="114" t="str">
        <f>VLOOKUP(A1441,'Data pick slip'!B:F,5,FALSE)</f>
        <v>KHJ-MC200-00</v>
      </c>
      <c r="F1441" s="157" t="s">
        <v>2773</v>
      </c>
      <c r="H1441" s="138">
        <v>314</v>
      </c>
      <c r="I1441" s="139" t="str">
        <f>VLOOKUP(H1441,Stock_list!A:R,18,FALSE)</f>
        <v>派诺</v>
      </c>
      <c r="J1441" s="139" t="str">
        <f>VLOOKUP(H1441,Stock_list!A:S,17,FALSE)</f>
        <v>C49SZX20190066MZ</v>
      </c>
      <c r="K1441" s="51" t="str">
        <f>VLOOKUP(H1441,Stock_list!A:T,16,FALSE)</f>
        <v>RMB</v>
      </c>
      <c r="L1441" s="4">
        <v>43631</v>
      </c>
      <c r="M1441" s="132">
        <v>10</v>
      </c>
      <c r="P1441" s="4" t="str">
        <f>VLOOKUP(H1441,Stock_list!A:Y,25,FALSE)</f>
        <v>Yes</v>
      </c>
      <c r="Q1441" s="143"/>
      <c r="T1441" s="144"/>
      <c r="U1441" s="145" t="str">
        <f>VLOOKUP(H1441,Stock_list!A:N,14,FALSE)</f>
        <v>JUN 19</v>
      </c>
    </row>
    <row r="1442" spans="1:21" ht="16.5" customHeight="1">
      <c r="A1442" s="159" t="s">
        <v>2748</v>
      </c>
      <c r="B1442" s="114" t="str">
        <f>VLOOKUP(A1442,'Data pick slip'!B:F,5,FALSE)</f>
        <v>KHJ-MC400-00</v>
      </c>
      <c r="F1442" s="157" t="s">
        <v>2773</v>
      </c>
      <c r="H1442" s="138">
        <v>314</v>
      </c>
      <c r="I1442" s="139" t="str">
        <f>VLOOKUP(H1442,Stock_list!A:R,18,FALSE)</f>
        <v>派诺</v>
      </c>
      <c r="J1442" s="139" t="str">
        <f>VLOOKUP(H1442,Stock_list!A:S,17,FALSE)</f>
        <v>C49SZX20190066MZ</v>
      </c>
      <c r="K1442" s="51" t="str">
        <f>VLOOKUP(H1442,Stock_list!A:T,16,FALSE)</f>
        <v>RMB</v>
      </c>
      <c r="L1442" s="4">
        <v>43631</v>
      </c>
      <c r="M1442" s="132">
        <v>3</v>
      </c>
      <c r="P1442" s="4" t="str">
        <f>VLOOKUP(H1442,Stock_list!A:Y,25,FALSE)</f>
        <v>Yes</v>
      </c>
      <c r="Q1442" s="143"/>
      <c r="T1442" s="144"/>
      <c r="U1442" s="145" t="str">
        <f>VLOOKUP(H1442,Stock_list!A:N,14,FALSE)</f>
        <v>JUN 19</v>
      </c>
    </row>
    <row r="1443" spans="1:21" ht="16.5" customHeight="1">
      <c r="A1443" s="159" t="s">
        <v>2744</v>
      </c>
      <c r="B1443" s="114" t="str">
        <f>VLOOKUP(A1443,'Data pick slip'!B:F,5,FALSE)</f>
        <v>KHJ-MC100-00</v>
      </c>
      <c r="F1443" s="157" t="s">
        <v>2861</v>
      </c>
      <c r="I1443" s="139" t="s">
        <v>3015</v>
      </c>
      <c r="J1443" s="139" t="s">
        <v>3098</v>
      </c>
      <c r="K1443" s="51" t="s">
        <v>1246</v>
      </c>
      <c r="L1443" s="4">
        <v>43605</v>
      </c>
      <c r="M1443" s="140">
        <v>13</v>
      </c>
      <c r="P1443" s="4" t="s">
        <v>291</v>
      </c>
      <c r="Q1443" s="143"/>
      <c r="T1443" s="144"/>
      <c r="U1443" s="145" t="e">
        <f>VLOOKUP(H1443,Stock_list!A:N,14,FALSE)</f>
        <v>#N/A</v>
      </c>
    </row>
    <row r="1444" spans="1:21" ht="16.5" customHeight="1">
      <c r="A1444" s="159" t="s">
        <v>2747</v>
      </c>
      <c r="B1444" s="114" t="str">
        <f>VLOOKUP(A1444,'Data pick slip'!B:F,5,FALSE)</f>
        <v>KHJ-MC200-00</v>
      </c>
      <c r="F1444" s="157" t="s">
        <v>2861</v>
      </c>
      <c r="I1444" s="139" t="s">
        <v>3015</v>
      </c>
      <c r="J1444" s="139" t="s">
        <v>3098</v>
      </c>
      <c r="K1444" s="51" t="s">
        <v>1246</v>
      </c>
      <c r="L1444" s="4">
        <v>43605</v>
      </c>
      <c r="M1444" s="140">
        <v>31</v>
      </c>
      <c r="P1444" s="4" t="s">
        <v>291</v>
      </c>
      <c r="Q1444" s="143"/>
      <c r="T1444" s="144"/>
      <c r="U1444" s="145" t="e">
        <f>VLOOKUP(H1444,Stock_list!A:N,14,FALSE)</f>
        <v>#N/A</v>
      </c>
    </row>
    <row r="1445" spans="1:21" ht="16.5" customHeight="1">
      <c r="A1445" s="159" t="s">
        <v>2748</v>
      </c>
      <c r="B1445" s="114" t="str">
        <f>VLOOKUP(A1445,'Data pick slip'!B:F,5,FALSE)</f>
        <v>KHJ-MC400-00</v>
      </c>
      <c r="F1445" s="157" t="s">
        <v>2861</v>
      </c>
      <c r="I1445" s="139" t="s">
        <v>3015</v>
      </c>
      <c r="J1445" s="139" t="s">
        <v>3098</v>
      </c>
      <c r="K1445" s="51" t="s">
        <v>1246</v>
      </c>
      <c r="L1445" s="4">
        <v>43605</v>
      </c>
      <c r="M1445" s="140">
        <v>25</v>
      </c>
      <c r="P1445" s="4" t="s">
        <v>291</v>
      </c>
      <c r="Q1445" s="143"/>
      <c r="T1445" s="144"/>
      <c r="U1445" s="145" t="e">
        <f>VLOOKUP(H1445,Stock_list!A:N,14,FALSE)</f>
        <v>#N/A</v>
      </c>
    </row>
    <row r="1446" spans="1:21" ht="16.5" customHeight="1">
      <c r="A1446" s="159" t="s">
        <v>2744</v>
      </c>
      <c r="B1446" s="114" t="str">
        <f>VLOOKUP(A1446,'Data pick slip'!B:F,5,FALSE)</f>
        <v>KHJ-MC100-00</v>
      </c>
      <c r="F1446" s="157" t="s">
        <v>2773</v>
      </c>
      <c r="H1446" s="138">
        <v>305</v>
      </c>
      <c r="I1446" s="139" t="str">
        <f>VLOOKUP(H1446,Stock_list!A:R,18,FALSE)</f>
        <v>同基</v>
      </c>
      <c r="J1446" s="139" t="str">
        <f>VLOOKUP(H1446,Stock_list!A:S,17,FALSE)</f>
        <v>C49SZX20190069KW</v>
      </c>
      <c r="K1446" s="51" t="str">
        <f>VLOOKUP(H1446,Stock_list!A:T,16,FALSE)</f>
        <v>JPY</v>
      </c>
      <c r="L1446" s="4">
        <v>43602</v>
      </c>
      <c r="O1446" s="132">
        <f>90-90</f>
        <v>0</v>
      </c>
      <c r="P1446" s="4" t="str">
        <f>VLOOKUP(H1446,Stock_list!A:Y,25,FALSE)</f>
        <v>Yes</v>
      </c>
      <c r="Q1446" s="143"/>
      <c r="T1446" s="144"/>
      <c r="U1446" s="145" t="str">
        <f>VLOOKUP(H1446,Stock_list!A:N,14,FALSE)</f>
        <v>JUL 19</v>
      </c>
    </row>
    <row r="1447" spans="1:21" ht="16.5" customHeight="1">
      <c r="A1447" s="159" t="s">
        <v>2747</v>
      </c>
      <c r="B1447" s="114" t="str">
        <f>VLOOKUP(A1447,'Data pick slip'!B:F,5,FALSE)</f>
        <v>KHJ-MC200-00</v>
      </c>
      <c r="F1447" s="157" t="s">
        <v>2773</v>
      </c>
      <c r="H1447" s="138">
        <v>305</v>
      </c>
      <c r="I1447" s="139" t="str">
        <f>VLOOKUP(H1447,Stock_list!A:R,18,FALSE)</f>
        <v>同基</v>
      </c>
      <c r="J1447" s="139" t="str">
        <f>VLOOKUP(H1447,Stock_list!A:S,17,FALSE)</f>
        <v>C49SZX20190069KW</v>
      </c>
      <c r="K1447" s="51" t="str">
        <f>VLOOKUP(H1447,Stock_list!A:T,16,FALSE)</f>
        <v>JPY</v>
      </c>
      <c r="L1447" s="4">
        <v>43602</v>
      </c>
      <c r="O1447" s="132">
        <f>15-15</f>
        <v>0</v>
      </c>
      <c r="P1447" s="4" t="str">
        <f>VLOOKUP(H1447,Stock_list!A:Y,25,FALSE)</f>
        <v>Yes</v>
      </c>
      <c r="Q1447" s="143"/>
      <c r="T1447" s="144"/>
      <c r="U1447" s="145" t="str">
        <f>VLOOKUP(H1447,Stock_list!A:N,14,FALSE)</f>
        <v>JUL 19</v>
      </c>
    </row>
    <row r="1448" spans="1:21" ht="16.5" customHeight="1">
      <c r="A1448" s="159" t="s">
        <v>2748</v>
      </c>
      <c r="B1448" s="114" t="str">
        <f>VLOOKUP(A1448,'Data pick slip'!B:F,5,FALSE)</f>
        <v>KHJ-MC400-00</v>
      </c>
      <c r="F1448" s="157" t="s">
        <v>2773</v>
      </c>
      <c r="H1448" s="138">
        <v>305</v>
      </c>
      <c r="I1448" s="139" t="str">
        <f>VLOOKUP(H1448,Stock_list!A:R,18,FALSE)</f>
        <v>同基</v>
      </c>
      <c r="J1448" s="139" t="str">
        <f>VLOOKUP(H1448,Stock_list!A:S,17,FALSE)</f>
        <v>C49SZX20190069KW</v>
      </c>
      <c r="K1448" s="51" t="str">
        <f>VLOOKUP(H1448,Stock_list!A:T,16,FALSE)</f>
        <v>JPY</v>
      </c>
      <c r="L1448" s="4">
        <v>43609</v>
      </c>
      <c r="O1448" s="132">
        <f>4-4</f>
        <v>0</v>
      </c>
      <c r="P1448" s="4" t="str">
        <f>VLOOKUP(H1448,Stock_list!A:Y,25,FALSE)</f>
        <v>Yes</v>
      </c>
      <c r="Q1448" s="143"/>
      <c r="T1448" s="144"/>
      <c r="U1448" s="145" t="str">
        <f>VLOOKUP(H1448,Stock_list!A:N,14,FALSE)</f>
        <v>JUL 19</v>
      </c>
    </row>
    <row r="1449" spans="1:21" ht="16.5" customHeight="1">
      <c r="A1449" s="159" t="s">
        <v>2747</v>
      </c>
      <c r="B1449" s="114" t="str">
        <f>VLOOKUP(A1449,'Data pick slip'!B:F,5,FALSE)</f>
        <v>KHJ-MC200-00</v>
      </c>
      <c r="F1449" s="157" t="s">
        <v>2773</v>
      </c>
      <c r="I1449" s="139" t="s">
        <v>3099</v>
      </c>
      <c r="J1449" s="139" t="s">
        <v>3100</v>
      </c>
      <c r="K1449" s="51" t="s">
        <v>1246</v>
      </c>
      <c r="L1449" s="4">
        <v>43606</v>
      </c>
      <c r="M1449" s="140">
        <v>2</v>
      </c>
      <c r="P1449" s="4" t="s">
        <v>291</v>
      </c>
      <c r="Q1449" s="143"/>
      <c r="T1449" s="144"/>
      <c r="U1449" s="145" t="e">
        <f>VLOOKUP(H1449,Stock_list!A:N,14,FALSE)</f>
        <v>#N/A</v>
      </c>
    </row>
    <row r="1450" spans="1:21" ht="16.5" customHeight="1">
      <c r="A1450" s="159" t="s">
        <v>2747</v>
      </c>
      <c r="B1450" s="114" t="str">
        <f>VLOOKUP(A1450,'Data pick slip'!B:F,5,FALSE)</f>
        <v>KHJ-MC200-00</v>
      </c>
      <c r="F1450" s="157" t="s">
        <v>2773</v>
      </c>
      <c r="I1450" s="139" t="s">
        <v>3099</v>
      </c>
      <c r="J1450" s="139" t="s">
        <v>3101</v>
      </c>
      <c r="K1450" s="51" t="s">
        <v>1246</v>
      </c>
      <c r="L1450" s="4">
        <v>43606</v>
      </c>
      <c r="M1450" s="140">
        <v>4</v>
      </c>
      <c r="P1450" s="4" t="s">
        <v>291</v>
      </c>
      <c r="Q1450" s="143"/>
      <c r="T1450" s="144"/>
      <c r="U1450" s="145" t="e">
        <f>VLOOKUP(H1450,Stock_list!A:N,14,FALSE)</f>
        <v>#N/A</v>
      </c>
    </row>
    <row r="1451" spans="1:21" ht="16.5" customHeight="1">
      <c r="A1451" s="159" t="s">
        <v>2748</v>
      </c>
      <c r="B1451" s="114" t="str">
        <f>VLOOKUP(A1451,'Data pick slip'!B:F,5,FALSE)</f>
        <v>KHJ-MC400-00</v>
      </c>
      <c r="F1451" s="157" t="s">
        <v>2773</v>
      </c>
      <c r="I1451" s="139" t="s">
        <v>3099</v>
      </c>
      <c r="J1451" s="139" t="s">
        <v>3101</v>
      </c>
      <c r="K1451" s="51" t="s">
        <v>1246</v>
      </c>
      <c r="L1451" s="4">
        <v>43606</v>
      </c>
      <c r="M1451" s="140">
        <v>5</v>
      </c>
      <c r="P1451" s="4" t="s">
        <v>291</v>
      </c>
      <c r="Q1451" s="143"/>
      <c r="T1451" s="144"/>
      <c r="U1451" s="145" t="e">
        <f>VLOOKUP(H1451,Stock_list!A:N,14,FALSE)</f>
        <v>#N/A</v>
      </c>
    </row>
    <row r="1452" spans="1:21" ht="16.5" customHeight="1">
      <c r="A1452" s="159" t="s">
        <v>2750</v>
      </c>
      <c r="B1452" s="114" t="str">
        <f>VLOOKUP(A1452,'Data pick slip'!B:F,5,FALSE)</f>
        <v>KHJ-MC600-00</v>
      </c>
      <c r="F1452" s="157" t="s">
        <v>2773</v>
      </c>
      <c r="I1452" s="139" t="s">
        <v>3099</v>
      </c>
      <c r="J1452" s="139" t="s">
        <v>3102</v>
      </c>
      <c r="K1452" s="51" t="s">
        <v>1246</v>
      </c>
      <c r="L1452" s="4">
        <v>43607</v>
      </c>
      <c r="M1452" s="140">
        <v>1</v>
      </c>
      <c r="P1452" s="4" t="s">
        <v>291</v>
      </c>
      <c r="Q1452" s="143"/>
      <c r="T1452" s="144"/>
      <c r="U1452" s="145" t="e">
        <f>VLOOKUP(H1452,Stock_list!A:N,14,FALSE)</f>
        <v>#N/A</v>
      </c>
    </row>
    <row r="1453" spans="1:21" ht="16.5" customHeight="1">
      <c r="A1453" s="159" t="s">
        <v>2747</v>
      </c>
      <c r="B1453" s="114" t="str">
        <f>VLOOKUP(A1453,'Data pick slip'!B:F,5,FALSE)</f>
        <v>KHJ-MC200-00</v>
      </c>
      <c r="F1453" s="157" t="s">
        <v>2773</v>
      </c>
      <c r="I1453" s="139" t="s">
        <v>3093</v>
      </c>
      <c r="J1453" s="139" t="s">
        <v>3103</v>
      </c>
      <c r="K1453" s="51" t="s">
        <v>1246</v>
      </c>
      <c r="L1453" s="4">
        <v>43607</v>
      </c>
      <c r="M1453" s="140">
        <v>1</v>
      </c>
      <c r="P1453" s="4" t="s">
        <v>291</v>
      </c>
      <c r="Q1453" s="143"/>
      <c r="T1453" s="144"/>
      <c r="U1453" s="145" t="e">
        <f>VLOOKUP(H1453,Stock_list!A:N,14,FALSE)</f>
        <v>#N/A</v>
      </c>
    </row>
    <row r="1454" spans="1:21" ht="16.5" customHeight="1">
      <c r="A1454" s="159" t="s">
        <v>2744</v>
      </c>
      <c r="B1454" s="114" t="str">
        <f>VLOOKUP(A1454,'Data pick slip'!B:F,5,FALSE)</f>
        <v>KHJ-MC100-00</v>
      </c>
      <c r="F1454" s="157" t="s">
        <v>2773</v>
      </c>
      <c r="I1454" s="139" t="s">
        <v>3093</v>
      </c>
      <c r="J1454" s="139" t="s">
        <v>3104</v>
      </c>
      <c r="K1454" s="51" t="s">
        <v>1246</v>
      </c>
      <c r="L1454" s="4">
        <v>43609</v>
      </c>
      <c r="M1454" s="140">
        <v>10</v>
      </c>
      <c r="P1454" s="4" t="s">
        <v>291</v>
      </c>
      <c r="Q1454" s="143"/>
      <c r="T1454" s="144"/>
      <c r="U1454" s="145" t="e">
        <f>VLOOKUP(H1454,Stock_list!A:N,14,FALSE)</f>
        <v>#N/A</v>
      </c>
    </row>
    <row r="1455" spans="1:21" ht="16.5" customHeight="1">
      <c r="A1455" s="159" t="s">
        <v>2748</v>
      </c>
      <c r="B1455" s="114" t="str">
        <f>VLOOKUP(A1455,'Data pick slip'!B:F,5,FALSE)</f>
        <v>KHJ-MC400-00</v>
      </c>
      <c r="F1455" s="157" t="s">
        <v>2773</v>
      </c>
      <c r="I1455" s="139" t="s">
        <v>3105</v>
      </c>
      <c r="J1455" s="139" t="s">
        <v>3106</v>
      </c>
      <c r="K1455" s="51" t="s">
        <v>1246</v>
      </c>
      <c r="L1455" s="4">
        <v>43609</v>
      </c>
      <c r="M1455" s="140">
        <v>2</v>
      </c>
      <c r="P1455" s="4" t="s">
        <v>291</v>
      </c>
      <c r="Q1455" s="143"/>
      <c r="T1455" s="144"/>
      <c r="U1455" s="145" t="e">
        <f>VLOOKUP(H1455,Stock_list!A:N,14,FALSE)</f>
        <v>#N/A</v>
      </c>
    </row>
    <row r="1456" spans="1:21" ht="16.5" customHeight="1">
      <c r="A1456" s="159" t="s">
        <v>2750</v>
      </c>
      <c r="B1456" s="114" t="str">
        <f>VLOOKUP(A1456,'Data pick slip'!B:F,5,FALSE)</f>
        <v>KHJ-MC600-00</v>
      </c>
      <c r="F1456" s="157" t="s">
        <v>2773</v>
      </c>
      <c r="I1456" s="139" t="s">
        <v>3105</v>
      </c>
      <c r="J1456" s="139" t="s">
        <v>3106</v>
      </c>
      <c r="K1456" s="51" t="s">
        <v>1246</v>
      </c>
      <c r="L1456" s="4">
        <v>43609</v>
      </c>
      <c r="M1456" s="140">
        <v>1</v>
      </c>
      <c r="P1456" s="4" t="s">
        <v>291</v>
      </c>
      <c r="Q1456" s="143"/>
      <c r="T1456" s="144"/>
      <c r="U1456" s="145" t="e">
        <f>VLOOKUP(H1456,Stock_list!A:N,14,FALSE)</f>
        <v>#N/A</v>
      </c>
    </row>
    <row r="1457" spans="1:21" ht="16.5" customHeight="1">
      <c r="A1457" s="159" t="s">
        <v>2744</v>
      </c>
      <c r="B1457" s="114" t="str">
        <f>VLOOKUP(A1457,'Data pick slip'!B:F,5,FALSE)</f>
        <v>KHJ-MC100-00</v>
      </c>
      <c r="F1457" s="157" t="s">
        <v>2773</v>
      </c>
      <c r="H1457" s="138">
        <v>320</v>
      </c>
      <c r="I1457" s="139" t="str">
        <f>VLOOKUP(H1457,Stock_list!A:R,18,FALSE)</f>
        <v>An Lin东莞安林</v>
      </c>
      <c r="J1457" s="139" t="str">
        <f>VLOOKUP(H1457,Stock_list!A:S,17,FALSE)</f>
        <v>C49SZX20190077SX</v>
      </c>
      <c r="K1457" s="51" t="str">
        <f>VLOOKUP(H1457,Stock_list!A:T,16,FALSE)</f>
        <v>RMB</v>
      </c>
      <c r="L1457" s="4">
        <v>43622</v>
      </c>
      <c r="M1457" s="132">
        <v>83</v>
      </c>
      <c r="P1457" s="4" t="str">
        <f>VLOOKUP(H1457,Stock_list!A:Y,25,FALSE)</f>
        <v>Yes</v>
      </c>
      <c r="Q1457" s="143"/>
      <c r="T1457" s="144"/>
      <c r="U1457" s="145" t="str">
        <f>VLOOKUP(H1457,Stock_list!A:N,14,FALSE)</f>
        <v>JUN 19</v>
      </c>
    </row>
    <row r="1458" spans="1:21" ht="16.5" customHeight="1">
      <c r="A1458" s="159" t="s">
        <v>2747</v>
      </c>
      <c r="B1458" s="114" t="str">
        <f>VLOOKUP(A1458,'Data pick slip'!B:F,5,FALSE)</f>
        <v>KHJ-MC200-00</v>
      </c>
      <c r="F1458" s="157" t="s">
        <v>2773</v>
      </c>
      <c r="H1458" s="138">
        <v>320</v>
      </c>
      <c r="I1458" s="139" t="str">
        <f>VLOOKUP(H1458,Stock_list!A:R,18,FALSE)</f>
        <v>An Lin东莞安林</v>
      </c>
      <c r="J1458" s="139" t="str">
        <f>VLOOKUP(H1458,Stock_list!A:S,17,FALSE)</f>
        <v>C49SZX20190077SX</v>
      </c>
      <c r="K1458" s="51" t="str">
        <f>VLOOKUP(H1458,Stock_list!A:T,16,FALSE)</f>
        <v>RMB</v>
      </c>
      <c r="L1458" s="4">
        <v>43622</v>
      </c>
      <c r="M1458" s="132">
        <v>20</v>
      </c>
      <c r="P1458" s="4" t="str">
        <f>VLOOKUP(H1458,Stock_list!A:Y,25,FALSE)</f>
        <v>Yes</v>
      </c>
      <c r="Q1458" s="143"/>
      <c r="T1458" s="144"/>
      <c r="U1458" s="145" t="str">
        <f>VLOOKUP(H1458,Stock_list!A:N,14,FALSE)</f>
        <v>JUN 19</v>
      </c>
    </row>
    <row r="1459" spans="1:21" ht="16.5" customHeight="1">
      <c r="A1459" s="159" t="s">
        <v>2744</v>
      </c>
      <c r="B1459" s="114" t="str">
        <f>VLOOKUP(A1459,'Data pick slip'!B:F,5,FALSE)</f>
        <v>KHJ-MC100-00</v>
      </c>
      <c r="F1459" s="157" t="s">
        <v>2861</v>
      </c>
      <c r="H1459" s="138">
        <v>322</v>
      </c>
      <c r="I1459" s="139" t="str">
        <f>VLOOKUP(H1459,Stock_list!A:R,18,FALSE)</f>
        <v>旭日</v>
      </c>
      <c r="J1459" s="139" t="str">
        <f>VLOOKUP(H1459,Stock_list!A:S,17,FALSE)</f>
        <v>C49SZX20190065JY</v>
      </c>
      <c r="K1459" s="51" t="str">
        <f>VLOOKUP(H1459,Stock_list!A:T,16,FALSE)</f>
        <v>RMB</v>
      </c>
      <c r="L1459" s="4">
        <v>43650</v>
      </c>
      <c r="M1459" s="132">
        <v>30</v>
      </c>
      <c r="P1459" s="4" t="str">
        <f>VLOOKUP(H1459,Stock_list!A:Y,25,FALSE)</f>
        <v>Yes</v>
      </c>
      <c r="Q1459" s="143"/>
      <c r="T1459" s="144"/>
      <c r="U1459" s="145" t="str">
        <f>VLOOKUP(H1459,Stock_list!A:N,14,FALSE)</f>
        <v>JUL 19</v>
      </c>
    </row>
    <row r="1460" spans="1:21" ht="16.5" customHeight="1">
      <c r="A1460" s="159" t="s">
        <v>2747</v>
      </c>
      <c r="B1460" s="114" t="str">
        <f>VLOOKUP(A1460,'Data pick slip'!B:F,5,FALSE)</f>
        <v>KHJ-MC200-00</v>
      </c>
      <c r="F1460" s="157" t="s">
        <v>2773</v>
      </c>
      <c r="H1460" s="138">
        <v>322</v>
      </c>
      <c r="I1460" s="139" t="str">
        <f>VLOOKUP(H1460,Stock_list!A:R,18,FALSE)</f>
        <v>旭日</v>
      </c>
      <c r="J1460" s="139" t="str">
        <f>VLOOKUP(H1460,Stock_list!A:S,17,FALSE)</f>
        <v>C49SZX20190065JY</v>
      </c>
      <c r="K1460" s="51" t="str">
        <f>VLOOKUP(H1460,Stock_list!A:T,16,FALSE)</f>
        <v>RMB</v>
      </c>
      <c r="L1460" s="4">
        <v>43650</v>
      </c>
      <c r="M1460" s="132">
        <v>5</v>
      </c>
      <c r="P1460" s="4" t="str">
        <f>VLOOKUP(H1460,Stock_list!A:Y,25,FALSE)</f>
        <v>Yes</v>
      </c>
      <c r="Q1460" s="143"/>
      <c r="T1460" s="144"/>
      <c r="U1460" s="145" t="str">
        <f>VLOOKUP(H1460,Stock_list!A:N,14,FALSE)</f>
        <v>JUL 19</v>
      </c>
    </row>
    <row r="1461" spans="1:21" ht="16.5" customHeight="1">
      <c r="A1461" s="159" t="s">
        <v>2744</v>
      </c>
      <c r="B1461" s="114" t="str">
        <f>VLOOKUP(A1461,'Data pick slip'!B:F,5,FALSE)</f>
        <v>KHJ-MC100-00</v>
      </c>
      <c r="F1461" s="157" t="s">
        <v>2773</v>
      </c>
      <c r="H1461" s="138">
        <v>323</v>
      </c>
      <c r="I1461" s="139" t="str">
        <f>VLOOKUP(H1461,Stock_list!A:R,18,FALSE)</f>
        <v>力通威</v>
      </c>
      <c r="J1461" s="139" t="str">
        <f>VLOOKUP(H1461,Stock_list!A:S,17,FALSE)</f>
        <v>C49SZX20190073JL</v>
      </c>
      <c r="K1461" s="51" t="str">
        <f>VLOOKUP(H1461,Stock_list!A:T,16,FALSE)</f>
        <v>RMB</v>
      </c>
      <c r="L1461" s="4">
        <v>43629</v>
      </c>
      <c r="M1461" s="132">
        <v>60</v>
      </c>
      <c r="P1461" s="4" t="str">
        <f>VLOOKUP(H1461,Stock_list!A:Y,25,FALSE)</f>
        <v>Yes</v>
      </c>
      <c r="Q1461" s="143"/>
      <c r="T1461" s="144"/>
      <c r="U1461" s="145" t="str">
        <f>VLOOKUP(H1461,Stock_list!A:N,14,FALSE)</f>
        <v>JUN 19</v>
      </c>
    </row>
    <row r="1462" spans="1:21" ht="16.5" customHeight="1">
      <c r="A1462" s="159" t="s">
        <v>2747</v>
      </c>
      <c r="B1462" s="114" t="str">
        <f>VLOOKUP(A1462,'Data pick slip'!B:F,5,FALSE)</f>
        <v>KHJ-MC200-00</v>
      </c>
      <c r="F1462" s="157" t="s">
        <v>2773</v>
      </c>
      <c r="H1462" s="138">
        <v>323</v>
      </c>
      <c r="I1462" s="139" t="str">
        <f>VLOOKUP(H1462,Stock_list!A:R,18,FALSE)</f>
        <v>力通威</v>
      </c>
      <c r="J1462" s="139" t="str">
        <f>VLOOKUP(H1462,Stock_list!A:S,17,FALSE)</f>
        <v>C49SZX20190073JL</v>
      </c>
      <c r="K1462" s="51" t="str">
        <f>VLOOKUP(H1462,Stock_list!A:T,16,FALSE)</f>
        <v>RMB</v>
      </c>
      <c r="L1462" s="4">
        <v>43629</v>
      </c>
      <c r="M1462" s="132">
        <v>20</v>
      </c>
      <c r="P1462" s="4" t="str">
        <f>VLOOKUP(H1462,Stock_list!A:Y,25,FALSE)</f>
        <v>Yes</v>
      </c>
      <c r="Q1462" s="143"/>
      <c r="T1462" s="144"/>
      <c r="U1462" s="145" t="str">
        <f>VLOOKUP(H1462,Stock_list!A:N,14,FALSE)</f>
        <v>JUN 19</v>
      </c>
    </row>
    <row r="1463" spans="1:21" ht="16.5" customHeight="1">
      <c r="A1463" s="159" t="s">
        <v>2748</v>
      </c>
      <c r="B1463" s="114" t="str">
        <f>VLOOKUP(A1463,'Data pick slip'!B:F,5,FALSE)</f>
        <v>KHJ-MC400-00</v>
      </c>
      <c r="F1463" s="157" t="s">
        <v>2773</v>
      </c>
      <c r="H1463" s="138">
        <v>323</v>
      </c>
      <c r="I1463" s="139" t="str">
        <f>VLOOKUP(H1463,Stock_list!A:R,18,FALSE)</f>
        <v>力通威</v>
      </c>
      <c r="J1463" s="139" t="str">
        <f>VLOOKUP(H1463,Stock_list!A:S,17,FALSE)</f>
        <v>C49SZX20190073JL</v>
      </c>
      <c r="K1463" s="51" t="str">
        <f>VLOOKUP(H1463,Stock_list!A:T,16,FALSE)</f>
        <v>RMB</v>
      </c>
      <c r="L1463" s="4">
        <v>43629</v>
      </c>
      <c r="M1463" s="132">
        <v>4</v>
      </c>
      <c r="P1463" s="4" t="str">
        <f>VLOOKUP(H1463,Stock_list!A:Y,25,FALSE)</f>
        <v>Yes</v>
      </c>
      <c r="Q1463" s="143"/>
      <c r="T1463" s="144"/>
      <c r="U1463" s="145" t="str">
        <f>VLOOKUP(H1463,Stock_list!A:N,14,FALSE)</f>
        <v>JUN 19</v>
      </c>
    </row>
    <row r="1464" spans="1:21" ht="16.5" customHeight="1">
      <c r="A1464" s="159" t="s">
        <v>2744</v>
      </c>
      <c r="B1464" s="114" t="str">
        <f>VLOOKUP(A1464,'Data pick slip'!B:F,5,FALSE)</f>
        <v>KHJ-MC100-00</v>
      </c>
      <c r="F1464" s="157" t="s">
        <v>2861</v>
      </c>
      <c r="H1464" s="138">
        <v>327</v>
      </c>
      <c r="I1464" s="139" t="str">
        <f>VLOOKUP(H1464,Stock_list!A:R,18,FALSE)</f>
        <v>宽宏/End user:亿联</v>
      </c>
      <c r="J1464" s="139" t="str">
        <f>VLOOKUP(H1464,Stock_list!A:S,17,FALSE)</f>
        <v>C49SZX20190075ZX</v>
      </c>
      <c r="K1464" s="51" t="str">
        <f>VLOOKUP(H1464,Stock_list!A:T,16,FALSE)</f>
        <v>JPY</v>
      </c>
      <c r="L1464" s="4">
        <v>43627</v>
      </c>
      <c r="M1464" s="132">
        <v>105</v>
      </c>
      <c r="P1464" s="4" t="str">
        <f>VLOOKUP(H1464,Stock_list!A:Y,25,FALSE)</f>
        <v>Yes</v>
      </c>
      <c r="Q1464" s="143"/>
      <c r="T1464" s="144"/>
      <c r="U1464" s="145" t="str">
        <f>VLOOKUP(H1464,Stock_list!A:N,14,FALSE)</f>
        <v>JUN 19</v>
      </c>
    </row>
    <row r="1465" spans="1:21" ht="16.5" customHeight="1">
      <c r="A1465" s="159" t="s">
        <v>2747</v>
      </c>
      <c r="B1465" s="114" t="str">
        <f>VLOOKUP(A1465,'Data pick slip'!B:F,5,FALSE)</f>
        <v>KHJ-MC200-00</v>
      </c>
      <c r="F1465" s="157" t="s">
        <v>2861</v>
      </c>
      <c r="H1465" s="138">
        <v>327</v>
      </c>
      <c r="I1465" s="139" t="str">
        <f>VLOOKUP(H1465,Stock_list!A:R,18,FALSE)</f>
        <v>宽宏/End user:亿联</v>
      </c>
      <c r="J1465" s="139" t="str">
        <f>VLOOKUP(H1465,Stock_list!A:S,17,FALSE)</f>
        <v>C49SZX20190075ZX</v>
      </c>
      <c r="K1465" s="51" t="str">
        <f>VLOOKUP(H1465,Stock_list!A:T,16,FALSE)</f>
        <v>JPY</v>
      </c>
      <c r="L1465" s="4">
        <v>43627</v>
      </c>
      <c r="M1465" s="132">
        <v>10</v>
      </c>
      <c r="P1465" s="4" t="str">
        <f>VLOOKUP(H1465,Stock_list!A:Y,25,FALSE)</f>
        <v>Yes</v>
      </c>
      <c r="Q1465" s="143"/>
      <c r="T1465" s="144"/>
      <c r="U1465" s="145" t="str">
        <f>VLOOKUP(H1465,Stock_list!A:N,14,FALSE)</f>
        <v>JUN 19</v>
      </c>
    </row>
    <row r="1466" spans="1:21" ht="16.5" customHeight="1">
      <c r="A1466" s="159" t="s">
        <v>2748</v>
      </c>
      <c r="B1466" s="114" t="str">
        <f>VLOOKUP(A1466,'Data pick slip'!B:F,5,FALSE)</f>
        <v>KHJ-MC400-00</v>
      </c>
      <c r="F1466" s="157" t="s">
        <v>2773</v>
      </c>
      <c r="H1466" s="138">
        <v>327</v>
      </c>
      <c r="I1466" s="139" t="str">
        <f>VLOOKUP(H1466,Stock_list!A:R,18,FALSE)</f>
        <v>宽宏/End user:亿联</v>
      </c>
      <c r="J1466" s="139" t="str">
        <f>VLOOKUP(H1466,Stock_list!A:S,17,FALSE)</f>
        <v>C49SZX20190075ZX</v>
      </c>
      <c r="K1466" s="51" t="str">
        <f>VLOOKUP(H1466,Stock_list!A:T,16,FALSE)</f>
        <v>JPY</v>
      </c>
      <c r="L1466" s="4">
        <v>43627</v>
      </c>
      <c r="M1466" s="132">
        <v>2</v>
      </c>
      <c r="P1466" s="4" t="str">
        <f>VLOOKUP(H1466,Stock_list!A:Y,25,FALSE)</f>
        <v>Yes</v>
      </c>
      <c r="Q1466" s="143"/>
      <c r="S1466" s="123" t="s">
        <v>3003</v>
      </c>
      <c r="T1466" s="205" t="s">
        <v>3107</v>
      </c>
      <c r="U1466" s="145" t="str">
        <f>VLOOKUP(H1466,Stock_list!A:N,14,FALSE)</f>
        <v>JUN 19</v>
      </c>
    </row>
    <row r="1467" spans="1:21" ht="16.5" customHeight="1">
      <c r="A1467" s="159" t="s">
        <v>2749</v>
      </c>
      <c r="B1467" s="114" t="str">
        <f>VLOOKUP(A1467,'Data pick slip'!B:F,5,FALSE)</f>
        <v>KHJ-MC500-00</v>
      </c>
      <c r="F1467" s="157" t="s">
        <v>2773</v>
      </c>
      <c r="H1467" s="138">
        <v>327</v>
      </c>
      <c r="I1467" s="139" t="str">
        <f>VLOOKUP(H1467,Stock_list!A:R,18,FALSE)</f>
        <v>宽宏/End user:亿联</v>
      </c>
      <c r="J1467" s="139" t="str">
        <f>VLOOKUP(H1467,Stock_list!A:S,17,FALSE)</f>
        <v>C49SZX20190075ZX</v>
      </c>
      <c r="K1467" s="51" t="str">
        <f>VLOOKUP(H1467,Stock_list!A:T,16,FALSE)</f>
        <v>JPY</v>
      </c>
      <c r="L1467" s="4">
        <v>43627</v>
      </c>
      <c r="M1467" s="132">
        <v>1</v>
      </c>
      <c r="P1467" s="4" t="str">
        <f>VLOOKUP(H1467,Stock_list!A:Y,25,FALSE)</f>
        <v>Yes</v>
      </c>
      <c r="Q1467" s="143"/>
      <c r="S1467" s="123" t="s">
        <v>3003</v>
      </c>
      <c r="T1467" s="205" t="s">
        <v>3107</v>
      </c>
      <c r="U1467" s="145" t="str">
        <f>VLOOKUP(H1467,Stock_list!A:N,14,FALSE)</f>
        <v>JUN 19</v>
      </c>
    </row>
    <row r="1468" spans="1:21" ht="16.5" customHeight="1">
      <c r="A1468" s="159" t="s">
        <v>2755</v>
      </c>
      <c r="B1468" s="114" t="str">
        <f>VLOOKUP(A1468,'Data pick slip'!B:F,5,FALSE)</f>
        <v>KLJ-MC100-00</v>
      </c>
      <c r="F1468" s="157" t="s">
        <v>2861</v>
      </c>
      <c r="H1468" s="138">
        <v>333</v>
      </c>
      <c r="I1468" s="139" t="str">
        <f>VLOOKUP(H1468,Stock_list!A:R,18,FALSE)</f>
        <v>长沙健科</v>
      </c>
      <c r="J1468" s="139" t="str">
        <f>VLOOKUP(H1468,Stock_list!A:S,17,FALSE)</f>
        <v>C49SZX20190080ZX</v>
      </c>
      <c r="K1468" s="51" t="str">
        <f>VLOOKUP(H1468,Stock_list!A:T,16,FALSE)</f>
        <v>JPY</v>
      </c>
      <c r="L1468" s="4">
        <v>43688</v>
      </c>
      <c r="M1468" s="132">
        <v>134</v>
      </c>
      <c r="P1468" s="4" t="str">
        <f>VLOOKUP(H1468,Stock_list!A:Y,25,FALSE)</f>
        <v>Yes</v>
      </c>
      <c r="Q1468" s="143"/>
      <c r="T1468" s="144"/>
      <c r="U1468" s="145" t="str">
        <f>VLOOKUP(H1468,Stock_list!A:N,14,FALSE)</f>
        <v>AUG 19</v>
      </c>
    </row>
    <row r="1469" spans="1:21" ht="16.5" customHeight="1">
      <c r="A1469" s="159" t="s">
        <v>2756</v>
      </c>
      <c r="B1469" s="114" t="str">
        <f>VLOOKUP(A1469,'Data pick slip'!B:F,5,FALSE)</f>
        <v>KLJ-MC200-00</v>
      </c>
      <c r="F1469" s="157" t="s">
        <v>2861</v>
      </c>
      <c r="H1469" s="138">
        <v>333</v>
      </c>
      <c r="I1469" s="139" t="str">
        <f>VLOOKUP(H1469,Stock_list!A:R,18,FALSE)</f>
        <v>长沙健科</v>
      </c>
      <c r="J1469" s="139" t="str">
        <f>VLOOKUP(H1469,Stock_list!A:S,17,FALSE)</f>
        <v>C49SZX20190080ZX</v>
      </c>
      <c r="K1469" s="51" t="str">
        <f>VLOOKUP(H1469,Stock_list!A:T,16,FALSE)</f>
        <v>JPY</v>
      </c>
      <c r="L1469" s="4">
        <v>43688</v>
      </c>
      <c r="M1469" s="132">
        <v>28</v>
      </c>
      <c r="P1469" s="4" t="str">
        <f>VLOOKUP(H1469,Stock_list!A:Y,25,FALSE)</f>
        <v>Yes</v>
      </c>
      <c r="T1469" s="144"/>
      <c r="U1469" s="145" t="str">
        <f>VLOOKUP(H1469,Stock_list!A:N,14,FALSE)</f>
        <v>AUG 19</v>
      </c>
    </row>
    <row r="1470" spans="1:21" ht="16.5" customHeight="1">
      <c r="A1470" s="159" t="s">
        <v>2757</v>
      </c>
      <c r="B1470" s="114" t="str">
        <f>VLOOKUP(A1470,'Data pick slip'!B:F,5,FALSE)</f>
        <v>KLJ-MC400-00</v>
      </c>
      <c r="F1470" s="157" t="s">
        <v>2861</v>
      </c>
      <c r="H1470" s="138">
        <v>333</v>
      </c>
      <c r="I1470" s="139" t="str">
        <f>VLOOKUP(H1470,Stock_list!A:R,18,FALSE)</f>
        <v>长沙健科</v>
      </c>
      <c r="J1470" s="139" t="str">
        <f>VLOOKUP(H1470,Stock_list!A:S,17,FALSE)</f>
        <v>C49SZX20190080ZX</v>
      </c>
      <c r="K1470" s="51" t="str">
        <f>VLOOKUP(H1470,Stock_list!A:T,16,FALSE)</f>
        <v>JPY</v>
      </c>
      <c r="L1470" s="4">
        <v>43688</v>
      </c>
      <c r="M1470" s="132">
        <v>16</v>
      </c>
      <c r="P1470" s="4" t="str">
        <f>VLOOKUP(H1470,Stock_list!A:Y,25,FALSE)</f>
        <v>Yes</v>
      </c>
      <c r="Q1470" s="143"/>
      <c r="T1470" s="144"/>
      <c r="U1470" s="145" t="str">
        <f>VLOOKUP(H1470,Stock_list!A:N,14,FALSE)</f>
        <v>AUG 19</v>
      </c>
    </row>
    <row r="1471" spans="1:21" ht="16.5" customHeight="1">
      <c r="A1471" s="159" t="s">
        <v>2758</v>
      </c>
      <c r="B1471" s="114" t="str">
        <f>VLOOKUP(A1471,'Data pick slip'!B:F,5,FALSE)</f>
        <v>KLJ-MC500-00</v>
      </c>
      <c r="F1471" s="157" t="s">
        <v>2773</v>
      </c>
      <c r="H1471" s="138">
        <v>333</v>
      </c>
      <c r="I1471" s="139" t="str">
        <f>VLOOKUP(H1471,Stock_list!A:R,18,FALSE)</f>
        <v>长沙健科</v>
      </c>
      <c r="J1471" s="139" t="str">
        <f>VLOOKUP(H1471,Stock_list!A:S,17,FALSE)</f>
        <v>C49SZX20190080ZX</v>
      </c>
      <c r="K1471" s="51" t="str">
        <f>VLOOKUP(H1471,Stock_list!A:T,16,FALSE)</f>
        <v>JPY</v>
      </c>
      <c r="L1471" s="4">
        <v>43688</v>
      </c>
      <c r="M1471" s="132">
        <v>2</v>
      </c>
      <c r="P1471" s="4" t="str">
        <f>VLOOKUP(H1471,Stock_list!A:Y,25,FALSE)</f>
        <v>Yes</v>
      </c>
      <c r="Q1471" s="143"/>
      <c r="S1471" s="123" t="s">
        <v>3003</v>
      </c>
      <c r="T1471" s="205" t="s">
        <v>3071</v>
      </c>
      <c r="U1471" s="145" t="str">
        <f>VLOOKUP(H1471,Stock_list!A:N,14,FALSE)</f>
        <v>AUG 19</v>
      </c>
    </row>
    <row r="1472" spans="1:21" ht="16.5" customHeight="1">
      <c r="A1472" s="159" t="s">
        <v>2759</v>
      </c>
      <c r="B1472" s="114" t="str">
        <f>VLOOKUP(A1472,'Data pick slip'!B:F,5,FALSE)</f>
        <v>KLJ-MC600-00</v>
      </c>
      <c r="F1472" s="157" t="s">
        <v>2773</v>
      </c>
      <c r="H1472" s="138">
        <v>333</v>
      </c>
      <c r="I1472" s="139" t="str">
        <f>VLOOKUP(H1472,Stock_list!A:R,18,FALSE)</f>
        <v>长沙健科</v>
      </c>
      <c r="J1472" s="139" t="str">
        <f>VLOOKUP(H1472,Stock_list!A:S,17,FALSE)</f>
        <v>C49SZX20190080ZX</v>
      </c>
      <c r="K1472" s="51" t="str">
        <f>VLOOKUP(H1472,Stock_list!A:T,16,FALSE)</f>
        <v>JPY</v>
      </c>
      <c r="L1472" s="4">
        <v>43688</v>
      </c>
      <c r="M1472" s="132">
        <v>2</v>
      </c>
      <c r="P1472" s="4" t="str">
        <f>VLOOKUP(H1472,Stock_list!A:Y,25,FALSE)</f>
        <v>Yes</v>
      </c>
      <c r="Q1472" s="143"/>
      <c r="S1472" s="123" t="s">
        <v>3003</v>
      </c>
      <c r="T1472" s="205" t="s">
        <v>3071</v>
      </c>
      <c r="U1472" s="145" t="str">
        <f>VLOOKUP(H1472,Stock_list!A:N,14,FALSE)</f>
        <v>AUG 19</v>
      </c>
    </row>
    <row r="1473" spans="1:21" ht="16.5" customHeight="1">
      <c r="A1473" s="159" t="s">
        <v>2748</v>
      </c>
      <c r="B1473" s="114" t="str">
        <f>VLOOKUP(A1473,'Data pick slip'!B:F,5,FALSE)</f>
        <v>KHJ-MC400-00</v>
      </c>
      <c r="F1473" s="157" t="s">
        <v>2773</v>
      </c>
      <c r="I1473" s="139" t="s">
        <v>3093</v>
      </c>
      <c r="J1473" s="139" t="s">
        <v>3108</v>
      </c>
      <c r="K1473" s="51" t="s">
        <v>1246</v>
      </c>
      <c r="L1473" s="4">
        <v>43616</v>
      </c>
      <c r="M1473" s="140">
        <v>2</v>
      </c>
      <c r="P1473" s="4" t="s">
        <v>291</v>
      </c>
      <c r="Q1473" s="143"/>
      <c r="T1473" s="144"/>
      <c r="U1473" s="145" t="e">
        <f>VLOOKUP(H1473,Stock_list!A:N,14,FALSE)</f>
        <v>#N/A</v>
      </c>
    </row>
    <row r="1474" spans="1:21" ht="16.5" customHeight="1">
      <c r="A1474" s="159" t="s">
        <v>2749</v>
      </c>
      <c r="B1474" s="114" t="str">
        <f>VLOOKUP(A1474,'Data pick slip'!B:F,5,FALSE)</f>
        <v>KHJ-MC500-00</v>
      </c>
      <c r="F1474" s="157" t="s">
        <v>2773</v>
      </c>
      <c r="I1474" s="139" t="s">
        <v>3093</v>
      </c>
      <c r="J1474" s="139" t="s">
        <v>3109</v>
      </c>
      <c r="K1474" s="51" t="s">
        <v>1246</v>
      </c>
      <c r="L1474" s="4">
        <v>43614</v>
      </c>
      <c r="M1474" s="140">
        <v>1</v>
      </c>
      <c r="P1474" s="4" t="s">
        <v>291</v>
      </c>
      <c r="Q1474" s="143"/>
      <c r="T1474" s="144"/>
      <c r="U1474" s="145" t="e">
        <f>VLOOKUP(H1474,Stock_list!A:N,14,FALSE)</f>
        <v>#N/A</v>
      </c>
    </row>
    <row r="1475" spans="1:21" ht="16.5" customHeight="1">
      <c r="A1475" s="159" t="s">
        <v>2750</v>
      </c>
      <c r="B1475" s="114" t="str">
        <f>VLOOKUP(A1475,'Data pick slip'!B:F,5,FALSE)</f>
        <v>KHJ-MC600-00</v>
      </c>
      <c r="F1475" s="157" t="s">
        <v>2773</v>
      </c>
      <c r="I1475" s="139" t="s">
        <v>3093</v>
      </c>
      <c r="J1475" s="139" t="s">
        <v>3109</v>
      </c>
      <c r="K1475" s="51" t="s">
        <v>1246</v>
      </c>
      <c r="L1475" s="4">
        <v>43614</v>
      </c>
      <c r="M1475" s="140">
        <v>1</v>
      </c>
      <c r="P1475" s="4" t="s">
        <v>291</v>
      </c>
      <c r="Q1475" s="143"/>
      <c r="T1475" s="144"/>
      <c r="U1475" s="145" t="e">
        <f>VLOOKUP(H1475,Stock_list!A:N,14,FALSE)</f>
        <v>#N/A</v>
      </c>
    </row>
    <row r="1476" spans="1:21" ht="16.5" customHeight="1">
      <c r="A1476" s="159" t="s">
        <v>2744</v>
      </c>
      <c r="B1476" s="114" t="str">
        <f>VLOOKUP(A1476,'Data pick slip'!B:F,5,FALSE)</f>
        <v>KHJ-MC100-00</v>
      </c>
      <c r="F1476" s="157" t="s">
        <v>2773</v>
      </c>
      <c r="I1476" s="139" t="s">
        <v>3099</v>
      </c>
      <c r="J1476" s="139" t="s">
        <v>3110</v>
      </c>
      <c r="K1476" s="51" t="s">
        <v>1246</v>
      </c>
      <c r="L1476" s="4">
        <v>43616</v>
      </c>
      <c r="M1476" s="140">
        <v>45</v>
      </c>
      <c r="P1476" s="4" t="s">
        <v>291</v>
      </c>
      <c r="Q1476" s="143"/>
      <c r="T1476" s="144"/>
      <c r="U1476" s="145" t="e">
        <f>VLOOKUP(H1476,Stock_list!A:N,14,FALSE)</f>
        <v>#N/A</v>
      </c>
    </row>
    <row r="1477" spans="1:21" ht="16.5" customHeight="1">
      <c r="A1477" s="159" t="s">
        <v>2747</v>
      </c>
      <c r="B1477" s="114" t="str">
        <f>VLOOKUP(A1477,'Data pick slip'!B:F,5,FALSE)</f>
        <v>KHJ-MC200-00</v>
      </c>
      <c r="F1477" s="157" t="s">
        <v>2773</v>
      </c>
      <c r="I1477" s="139" t="s">
        <v>3099</v>
      </c>
      <c r="J1477" s="139" t="s">
        <v>3110</v>
      </c>
      <c r="K1477" s="51" t="s">
        <v>1246</v>
      </c>
      <c r="L1477" s="4">
        <v>43616</v>
      </c>
      <c r="M1477" s="140">
        <v>25</v>
      </c>
      <c r="P1477" s="4" t="s">
        <v>291</v>
      </c>
      <c r="Q1477" s="143"/>
      <c r="T1477" s="144"/>
      <c r="U1477" s="145" t="e">
        <f>VLOOKUP(H1477,Stock_list!A:N,14,FALSE)</f>
        <v>#N/A</v>
      </c>
    </row>
    <row r="1478" spans="1:21" ht="16.5" customHeight="1">
      <c r="A1478" s="159" t="s">
        <v>2748</v>
      </c>
      <c r="B1478" s="114" t="str">
        <f>VLOOKUP(A1478,'Data pick slip'!B:F,5,FALSE)</f>
        <v>KHJ-MC400-00</v>
      </c>
      <c r="F1478" s="157" t="s">
        <v>2773</v>
      </c>
      <c r="I1478" s="139" t="s">
        <v>3099</v>
      </c>
      <c r="J1478" s="139" t="s">
        <v>3110</v>
      </c>
      <c r="K1478" s="51" t="s">
        <v>1246</v>
      </c>
      <c r="L1478" s="4">
        <v>43616</v>
      </c>
      <c r="M1478" s="140">
        <v>5</v>
      </c>
      <c r="P1478" s="4" t="s">
        <v>291</v>
      </c>
      <c r="Q1478" s="143"/>
      <c r="T1478" s="144"/>
      <c r="U1478" s="145" t="e">
        <f>VLOOKUP(H1478,Stock_list!A:N,14,FALSE)</f>
        <v>#N/A</v>
      </c>
    </row>
    <row r="1479" spans="1:21" ht="16.5" customHeight="1">
      <c r="A1479" s="159" t="s">
        <v>2749</v>
      </c>
      <c r="B1479" s="114" t="str">
        <f>VLOOKUP(A1479,'Data pick slip'!B:F,5,FALSE)</f>
        <v>KHJ-MC500-00</v>
      </c>
      <c r="F1479" s="157" t="s">
        <v>2773</v>
      </c>
      <c r="I1479" s="139" t="s">
        <v>3099</v>
      </c>
      <c r="J1479" s="139" t="s">
        <v>3110</v>
      </c>
      <c r="K1479" s="51" t="s">
        <v>1246</v>
      </c>
      <c r="L1479" s="4">
        <v>43616</v>
      </c>
      <c r="M1479" s="140">
        <v>4</v>
      </c>
      <c r="P1479" s="4" t="s">
        <v>291</v>
      </c>
      <c r="Q1479" s="143"/>
      <c r="T1479" s="144"/>
      <c r="U1479" s="145" t="e">
        <f>VLOOKUP(H1479,Stock_list!A:N,14,FALSE)</f>
        <v>#N/A</v>
      </c>
    </row>
    <row r="1480" spans="1:21" ht="16.5" customHeight="1">
      <c r="A1480" s="159" t="s">
        <v>2750</v>
      </c>
      <c r="B1480" s="114" t="str">
        <f>VLOOKUP(A1480,'Data pick slip'!B:F,5,FALSE)</f>
        <v>KHJ-MC600-00</v>
      </c>
      <c r="F1480" s="157" t="s">
        <v>2773</v>
      </c>
      <c r="I1480" s="139" t="s">
        <v>3099</v>
      </c>
      <c r="J1480" s="139" t="s">
        <v>3110</v>
      </c>
      <c r="K1480" s="51" t="s">
        <v>1246</v>
      </c>
      <c r="L1480" s="4">
        <v>43616</v>
      </c>
      <c r="M1480" s="140">
        <v>4</v>
      </c>
      <c r="P1480" s="4" t="s">
        <v>291</v>
      </c>
      <c r="Q1480" s="143"/>
      <c r="T1480" s="144"/>
      <c r="U1480" s="145" t="e">
        <f>VLOOKUP(H1480,Stock_list!A:N,14,FALSE)</f>
        <v>#N/A</v>
      </c>
    </row>
    <row r="1481" spans="1:21" ht="16.5" customHeight="1">
      <c r="A1481" s="159" t="s">
        <v>2751</v>
      </c>
      <c r="B1481" s="114" t="str">
        <f>VLOOKUP(A1481,'Data pick slip'!B:F,5,FALSE)</f>
        <v>KHJ-MC700-00</v>
      </c>
      <c r="F1481" s="157" t="s">
        <v>2773</v>
      </c>
      <c r="I1481" s="139" t="s">
        <v>3099</v>
      </c>
      <c r="J1481" s="139" t="s">
        <v>3110</v>
      </c>
      <c r="K1481" s="51" t="s">
        <v>1246</v>
      </c>
      <c r="L1481" s="4">
        <v>43616</v>
      </c>
      <c r="M1481" s="140">
        <v>1</v>
      </c>
      <c r="P1481" s="4" t="s">
        <v>291</v>
      </c>
      <c r="Q1481" s="143"/>
      <c r="T1481" s="144"/>
      <c r="U1481" s="145" t="e">
        <f>VLOOKUP(H1481,Stock_list!A:N,14,FALSE)</f>
        <v>#N/A</v>
      </c>
    </row>
    <row r="1482" spans="1:21" ht="16.5" customHeight="1">
      <c r="A1482" s="159" t="s">
        <v>2752</v>
      </c>
      <c r="B1482" s="114" t="str">
        <f>VLOOKUP(A1482,'Data pick slip'!B:F,5,FALSE)</f>
        <v>KHJ-MC800-00</v>
      </c>
      <c r="F1482" s="157" t="s">
        <v>2773</v>
      </c>
      <c r="I1482" s="139" t="s">
        <v>3099</v>
      </c>
      <c r="J1482" s="139" t="s">
        <v>3110</v>
      </c>
      <c r="K1482" s="51" t="s">
        <v>1246</v>
      </c>
      <c r="L1482" s="4">
        <v>43616</v>
      </c>
      <c r="M1482" s="140">
        <v>1</v>
      </c>
      <c r="P1482" s="4" t="s">
        <v>291</v>
      </c>
      <c r="Q1482" s="143"/>
      <c r="T1482" s="144"/>
      <c r="U1482" s="145" t="e">
        <f>VLOOKUP(H1482,Stock_list!A:N,14,FALSE)</f>
        <v>#N/A</v>
      </c>
    </row>
    <row r="1483" spans="1:21" ht="16.5" customHeight="1">
      <c r="A1483" s="159" t="s">
        <v>2744</v>
      </c>
      <c r="B1483" s="114" t="str">
        <f>VLOOKUP(A1483,'Data pick slip'!B:F,5,FALSE)</f>
        <v>KHJ-MC100-00</v>
      </c>
      <c r="F1483" s="157" t="s">
        <v>2861</v>
      </c>
      <c r="I1483" s="139" t="s">
        <v>3015</v>
      </c>
      <c r="J1483" s="139" t="s">
        <v>3111</v>
      </c>
      <c r="K1483" s="51" t="s">
        <v>1246</v>
      </c>
      <c r="L1483" s="4">
        <v>43615</v>
      </c>
      <c r="M1483" s="140">
        <v>80</v>
      </c>
      <c r="P1483" s="4" t="s">
        <v>291</v>
      </c>
      <c r="Q1483" s="143"/>
      <c r="T1483" s="144"/>
      <c r="U1483" s="145" t="e">
        <f>VLOOKUP(H1483,Stock_list!A:N,14,FALSE)</f>
        <v>#N/A</v>
      </c>
    </row>
    <row r="1484" spans="1:21" ht="16.5" customHeight="1">
      <c r="A1484" s="159" t="s">
        <v>2747</v>
      </c>
      <c r="B1484" s="114" t="str">
        <f>VLOOKUP(A1484,'Data pick slip'!B:F,5,FALSE)</f>
        <v>KHJ-MC200-00</v>
      </c>
      <c r="F1484" s="157" t="s">
        <v>2861</v>
      </c>
      <c r="I1484" s="139" t="s">
        <v>3015</v>
      </c>
      <c r="J1484" s="139" t="s">
        <v>3111</v>
      </c>
      <c r="K1484" s="51" t="s">
        <v>1246</v>
      </c>
      <c r="L1484" s="4">
        <v>43615</v>
      </c>
      <c r="M1484" s="140">
        <v>10</v>
      </c>
      <c r="P1484" s="4" t="s">
        <v>291</v>
      </c>
      <c r="Q1484" s="143"/>
      <c r="T1484" s="144"/>
      <c r="U1484" s="145" t="e">
        <f>VLOOKUP(H1484,Stock_list!A:N,14,FALSE)</f>
        <v>#N/A</v>
      </c>
    </row>
    <row r="1485" spans="1:21" ht="16.5" customHeight="1">
      <c r="A1485" s="159" t="s">
        <v>2749</v>
      </c>
      <c r="B1485" s="114" t="str">
        <f>VLOOKUP(A1485,'Data pick slip'!B:F,5,FALSE)</f>
        <v>KHJ-MC500-00</v>
      </c>
      <c r="F1485" s="157" t="s">
        <v>2861</v>
      </c>
      <c r="I1485" s="139" t="s">
        <v>3015</v>
      </c>
      <c r="J1485" s="139" t="s">
        <v>3111</v>
      </c>
      <c r="K1485" s="51" t="s">
        <v>1246</v>
      </c>
      <c r="L1485" s="4">
        <v>43615</v>
      </c>
      <c r="M1485" s="140">
        <v>10</v>
      </c>
      <c r="P1485" s="4" t="s">
        <v>291</v>
      </c>
      <c r="Q1485" s="143"/>
      <c r="T1485" s="144"/>
      <c r="U1485" s="145" t="e">
        <f>VLOOKUP(H1485,Stock_list!A:N,14,FALSE)</f>
        <v>#N/A</v>
      </c>
    </row>
    <row r="1486" spans="1:21" ht="16.5" customHeight="1">
      <c r="A1486" s="159" t="s">
        <v>2757</v>
      </c>
      <c r="B1486" s="114" t="str">
        <f>VLOOKUP(A1486,'Data pick slip'!B:F,5,FALSE)</f>
        <v>KLJ-MC400-00</v>
      </c>
      <c r="F1486" s="157" t="s">
        <v>2861</v>
      </c>
      <c r="I1486" s="139" t="s">
        <v>3015</v>
      </c>
      <c r="J1486" s="139" t="s">
        <v>3111</v>
      </c>
      <c r="K1486" s="51" t="s">
        <v>1246</v>
      </c>
      <c r="L1486" s="4">
        <v>43615</v>
      </c>
      <c r="M1486" s="140">
        <v>10</v>
      </c>
      <c r="P1486" s="4" t="s">
        <v>291</v>
      </c>
      <c r="Q1486" s="143"/>
      <c r="T1486" s="144"/>
      <c r="U1486" s="145" t="e">
        <f>VLOOKUP(H1486,Stock_list!A:N,14,FALSE)</f>
        <v>#N/A</v>
      </c>
    </row>
    <row r="1487" spans="1:21" ht="16.5" customHeight="1">
      <c r="A1487" s="159" t="s">
        <v>2744</v>
      </c>
      <c r="B1487" s="114" t="str">
        <f>VLOOKUP(A1487,'Data pick slip'!B:F,5,FALSE)</f>
        <v>KHJ-MC100-00</v>
      </c>
      <c r="F1487" s="157" t="s">
        <v>2773</v>
      </c>
      <c r="I1487" s="139" t="s">
        <v>3099</v>
      </c>
      <c r="J1487" s="139" t="s">
        <v>3112</v>
      </c>
      <c r="K1487" s="51" t="s">
        <v>1246</v>
      </c>
      <c r="L1487" s="4">
        <v>43620</v>
      </c>
      <c r="M1487" s="140">
        <v>40</v>
      </c>
      <c r="P1487" s="4" t="s">
        <v>291</v>
      </c>
      <c r="Q1487" s="143"/>
      <c r="T1487" s="144"/>
      <c r="U1487" s="145" t="e">
        <f>VLOOKUP(H1487,Stock_list!A:N,14,FALSE)</f>
        <v>#N/A</v>
      </c>
    </row>
    <row r="1488" spans="1:21" ht="16.5" customHeight="1">
      <c r="A1488" s="159" t="s">
        <v>2747</v>
      </c>
      <c r="B1488" s="114" t="str">
        <f>VLOOKUP(A1488,'Data pick slip'!B:F,5,FALSE)</f>
        <v>KHJ-MC200-00</v>
      </c>
      <c r="F1488" s="157" t="s">
        <v>2773</v>
      </c>
      <c r="I1488" s="139" t="s">
        <v>3099</v>
      </c>
      <c r="J1488" s="139" t="s">
        <v>3112</v>
      </c>
      <c r="K1488" s="51" t="s">
        <v>1246</v>
      </c>
      <c r="L1488" s="4">
        <v>43620</v>
      </c>
      <c r="M1488" s="140">
        <v>10</v>
      </c>
      <c r="P1488" s="4" t="s">
        <v>291</v>
      </c>
      <c r="Q1488" s="143"/>
      <c r="T1488" s="144"/>
      <c r="U1488" s="145" t="e">
        <f>VLOOKUP(H1488,Stock_list!A:N,14,FALSE)</f>
        <v>#N/A</v>
      </c>
    </row>
    <row r="1489" spans="1:21" ht="16.5" customHeight="1">
      <c r="A1489" s="159" t="s">
        <v>2744</v>
      </c>
      <c r="B1489" s="114" t="str">
        <f>VLOOKUP(A1489,'Data pick slip'!B:F,5,FALSE)</f>
        <v>KHJ-MC100-00</v>
      </c>
      <c r="F1489" s="157" t="s">
        <v>2861</v>
      </c>
      <c r="I1489" s="139" t="s">
        <v>3015</v>
      </c>
      <c r="J1489" s="139" t="s">
        <v>3113</v>
      </c>
      <c r="K1489" s="51" t="s">
        <v>1246</v>
      </c>
      <c r="L1489" s="4">
        <v>43621</v>
      </c>
      <c r="M1489" s="140">
        <v>250</v>
      </c>
      <c r="P1489" s="4" t="s">
        <v>291</v>
      </c>
      <c r="Q1489" s="143"/>
      <c r="T1489" s="144"/>
      <c r="U1489" s="145" t="e">
        <f>VLOOKUP(H1489,Stock_list!A:N,14,FALSE)</f>
        <v>#N/A</v>
      </c>
    </row>
    <row r="1490" spans="1:21" ht="16.5" customHeight="1">
      <c r="A1490" s="159" t="s">
        <v>2747</v>
      </c>
      <c r="B1490" s="114" t="str">
        <f>VLOOKUP(A1490,'Data pick slip'!B:F,5,FALSE)</f>
        <v>KHJ-MC200-00</v>
      </c>
      <c r="F1490" s="157" t="s">
        <v>2861</v>
      </c>
      <c r="I1490" s="139" t="s">
        <v>3015</v>
      </c>
      <c r="J1490" s="139" t="s">
        <v>3113</v>
      </c>
      <c r="K1490" s="51" t="s">
        <v>1246</v>
      </c>
      <c r="L1490" s="4">
        <v>43621</v>
      </c>
      <c r="M1490" s="140">
        <v>60</v>
      </c>
      <c r="P1490" s="4" t="s">
        <v>291</v>
      </c>
      <c r="Q1490" s="143"/>
      <c r="T1490" s="144"/>
      <c r="U1490" s="145" t="e">
        <f>VLOOKUP(H1490,Stock_list!A:N,14,FALSE)</f>
        <v>#N/A</v>
      </c>
    </row>
    <row r="1491" spans="1:21" ht="16.5" customHeight="1">
      <c r="A1491" s="159" t="s">
        <v>2748</v>
      </c>
      <c r="B1491" s="114" t="str">
        <f>VLOOKUP(A1491,'Data pick slip'!B:F,5,FALSE)</f>
        <v>KHJ-MC400-00</v>
      </c>
      <c r="F1491" s="157" t="s">
        <v>2861</v>
      </c>
      <c r="I1491" s="139" t="s">
        <v>3015</v>
      </c>
      <c r="J1491" s="139" t="s">
        <v>3113</v>
      </c>
      <c r="K1491" s="51" t="s">
        <v>1246</v>
      </c>
      <c r="L1491" s="4">
        <v>43621</v>
      </c>
      <c r="M1491" s="140">
        <v>37</v>
      </c>
      <c r="P1491" s="4" t="s">
        <v>291</v>
      </c>
      <c r="Q1491" s="143"/>
      <c r="T1491" s="144"/>
      <c r="U1491" s="145" t="e">
        <f>VLOOKUP(H1491,Stock_list!A:N,14,FALSE)</f>
        <v>#N/A</v>
      </c>
    </row>
    <row r="1492" spans="1:21" ht="16.5" customHeight="1">
      <c r="A1492" s="159" t="s">
        <v>2814</v>
      </c>
      <c r="B1492" s="114" t="str">
        <f>VLOOKUP(A1492,'Data pick slip'!B:F,5,FALSE)</f>
        <v>KHJ-MC600-00</v>
      </c>
      <c r="F1492" s="157" t="s">
        <v>2861</v>
      </c>
      <c r="I1492" s="139" t="s">
        <v>3015</v>
      </c>
      <c r="J1492" s="139" t="s">
        <v>3113</v>
      </c>
      <c r="K1492" s="51" t="s">
        <v>1246</v>
      </c>
      <c r="L1492" s="4">
        <v>43621</v>
      </c>
      <c r="M1492" s="140">
        <v>15</v>
      </c>
      <c r="P1492" s="4" t="s">
        <v>291</v>
      </c>
      <c r="Q1492" s="143"/>
      <c r="T1492" s="144"/>
      <c r="U1492" s="145" t="e">
        <f>VLOOKUP(H1492,Stock_list!A:N,14,FALSE)</f>
        <v>#N/A</v>
      </c>
    </row>
    <row r="1493" spans="1:21" ht="16.5" customHeight="1">
      <c r="A1493" s="159" t="s">
        <v>2751</v>
      </c>
      <c r="B1493" s="114" t="str">
        <f>VLOOKUP(A1493,'Data pick slip'!B:F,5,FALSE)</f>
        <v>KHJ-MC700-00</v>
      </c>
      <c r="F1493" s="157" t="s">
        <v>2861</v>
      </c>
      <c r="I1493" s="139" t="s">
        <v>3015</v>
      </c>
      <c r="J1493" s="139" t="s">
        <v>3113</v>
      </c>
      <c r="K1493" s="51" t="s">
        <v>1246</v>
      </c>
      <c r="L1493" s="4">
        <v>43621</v>
      </c>
      <c r="M1493" s="140">
        <v>1</v>
      </c>
      <c r="P1493" s="4" t="s">
        <v>291</v>
      </c>
      <c r="Q1493" s="143"/>
      <c r="T1493" s="144"/>
      <c r="U1493" s="145" t="e">
        <f>VLOOKUP(H1493,Stock_list!A:N,14,FALSE)</f>
        <v>#N/A</v>
      </c>
    </row>
    <row r="1494" spans="1:21" ht="16.5" customHeight="1">
      <c r="A1494" s="159" t="s">
        <v>2744</v>
      </c>
      <c r="B1494" s="114" t="str">
        <f>VLOOKUP(A1494,'Data pick slip'!B:F,5,FALSE)</f>
        <v>KHJ-MC100-00</v>
      </c>
      <c r="F1494" s="157" t="s">
        <v>2773</v>
      </c>
      <c r="H1494" s="138">
        <v>338</v>
      </c>
      <c r="I1494" s="139" t="str">
        <f>VLOOKUP(H1494,Stock_list!A:R,18,FALSE)</f>
        <v>世达威</v>
      </c>
      <c r="J1494" s="139" t="str">
        <f>VLOOKUP(H1494,Stock_list!A:S,17,FALSE)</f>
        <v>C49SZX20190089ZX</v>
      </c>
      <c r="K1494" s="51" t="str">
        <f>VLOOKUP(H1494,Stock_list!A:T,16,FALSE)</f>
        <v>RMB</v>
      </c>
      <c r="L1494" s="4">
        <v>43633</v>
      </c>
      <c r="M1494" s="132">
        <v>10</v>
      </c>
      <c r="P1494" s="4" t="str">
        <f>VLOOKUP(H1494,Stock_list!A:Y,25,FALSE)</f>
        <v>Yes</v>
      </c>
      <c r="Q1494" s="143"/>
      <c r="T1494" s="144"/>
      <c r="U1494" s="145" t="str">
        <f>VLOOKUP(H1494,Stock_list!A:N,14,FALSE)</f>
        <v>JUN 19</v>
      </c>
    </row>
    <row r="1495" spans="1:21" ht="16.5" customHeight="1">
      <c r="A1495" s="159" t="s">
        <v>2747</v>
      </c>
      <c r="B1495" s="114" t="str">
        <f>VLOOKUP(A1495,'Data pick slip'!B:F,5,FALSE)</f>
        <v>KHJ-MC200-00</v>
      </c>
      <c r="F1495" s="157" t="s">
        <v>2773</v>
      </c>
      <c r="H1495" s="138">
        <v>338</v>
      </c>
      <c r="I1495" s="139" t="str">
        <f>VLOOKUP(H1495,Stock_list!A:R,18,FALSE)</f>
        <v>世达威</v>
      </c>
      <c r="J1495" s="139" t="str">
        <f>VLOOKUP(H1495,Stock_list!A:S,17,FALSE)</f>
        <v>C49SZX20190089ZX</v>
      </c>
      <c r="K1495" s="51" t="str">
        <f>VLOOKUP(H1495,Stock_list!A:T,16,FALSE)</f>
        <v>RMB</v>
      </c>
      <c r="L1495" s="4">
        <v>43633</v>
      </c>
      <c r="M1495" s="132">
        <v>10</v>
      </c>
      <c r="P1495" s="4" t="str">
        <f>VLOOKUP(H1495,Stock_list!A:Y,25,FALSE)</f>
        <v>Yes</v>
      </c>
      <c r="Q1495" s="143"/>
      <c r="T1495" s="144"/>
      <c r="U1495" s="145" t="str">
        <f>VLOOKUP(H1495,Stock_list!A:N,14,FALSE)</f>
        <v>JUN 19</v>
      </c>
    </row>
    <row r="1496" spans="1:21" ht="16.5" customHeight="1">
      <c r="A1496" s="159" t="s">
        <v>2757</v>
      </c>
      <c r="B1496" s="114" t="str">
        <f>VLOOKUP(A1496,'Data pick slip'!B:F,5,FALSE)</f>
        <v>KLJ-MC400-00</v>
      </c>
      <c r="F1496" s="157" t="s">
        <v>2773</v>
      </c>
      <c r="I1496" s="139" t="s">
        <v>2853</v>
      </c>
      <c r="J1496" s="139" t="s">
        <v>3114</v>
      </c>
      <c r="K1496" s="51" t="s">
        <v>3002</v>
      </c>
      <c r="L1496" s="4">
        <v>43615</v>
      </c>
      <c r="M1496" s="140">
        <v>7</v>
      </c>
      <c r="P1496" s="4" t="s">
        <v>291</v>
      </c>
      <c r="Q1496" s="143"/>
      <c r="S1496" s="123" t="s">
        <v>3003</v>
      </c>
      <c r="T1496" s="205" t="s">
        <v>3073</v>
      </c>
      <c r="U1496" s="145" t="e">
        <f>VLOOKUP(H1496,Stock_list!A:N,14,FALSE)</f>
        <v>#N/A</v>
      </c>
    </row>
    <row r="1497" spans="1:21" ht="16.5" customHeight="1">
      <c r="A1497" s="159" t="s">
        <v>2748</v>
      </c>
      <c r="B1497" s="114" t="str">
        <f>VLOOKUP(A1497,'Data pick slip'!B:F,5,FALSE)</f>
        <v>KHJ-MC400-00</v>
      </c>
      <c r="F1497" s="157" t="s">
        <v>2773</v>
      </c>
      <c r="I1497" s="139" t="s">
        <v>2853</v>
      </c>
      <c r="J1497" s="139" t="s">
        <v>3114</v>
      </c>
      <c r="K1497" s="51" t="s">
        <v>3002</v>
      </c>
      <c r="L1497" s="4">
        <v>43615</v>
      </c>
      <c r="M1497" s="140">
        <v>1</v>
      </c>
      <c r="P1497" s="4" t="s">
        <v>291</v>
      </c>
      <c r="Q1497" s="143"/>
      <c r="S1497" s="123" t="s">
        <v>3003</v>
      </c>
      <c r="T1497" s="205" t="s">
        <v>3073</v>
      </c>
      <c r="U1497" s="145" t="e">
        <f>VLOOKUP(H1497,Stock_list!A:N,14,FALSE)</f>
        <v>#N/A</v>
      </c>
    </row>
    <row r="1498" spans="1:21" ht="16.5" customHeight="1">
      <c r="A1498" s="159" t="s">
        <v>2758</v>
      </c>
      <c r="B1498" s="114" t="str">
        <f>VLOOKUP(A1498,'Data pick slip'!B:F,5,FALSE)</f>
        <v>KLJ-MC500-00</v>
      </c>
      <c r="F1498" s="157" t="s">
        <v>2773</v>
      </c>
      <c r="I1498" s="139" t="s">
        <v>2853</v>
      </c>
      <c r="J1498" s="139" t="s">
        <v>3114</v>
      </c>
      <c r="K1498" s="51" t="s">
        <v>3002</v>
      </c>
      <c r="L1498" s="4">
        <v>43615</v>
      </c>
      <c r="M1498" s="140">
        <v>2</v>
      </c>
      <c r="P1498" s="4" t="s">
        <v>291</v>
      </c>
      <c r="Q1498" s="143"/>
      <c r="S1498" s="123" t="s">
        <v>3003</v>
      </c>
      <c r="T1498" s="205" t="s">
        <v>3073</v>
      </c>
      <c r="U1498" s="145" t="e">
        <f>VLOOKUP(H1498,Stock_list!A:N,14,FALSE)</f>
        <v>#N/A</v>
      </c>
    </row>
    <row r="1499" spans="1:21" ht="16.5" customHeight="1">
      <c r="A1499" s="159" t="s">
        <v>2744</v>
      </c>
      <c r="B1499" s="114" t="str">
        <f>VLOOKUP(A1499,'Data pick slip'!B:F,5,FALSE)</f>
        <v>KHJ-MC100-00</v>
      </c>
      <c r="F1499" s="157" t="s">
        <v>2773</v>
      </c>
      <c r="H1499" s="138">
        <v>344</v>
      </c>
      <c r="I1499" s="139" t="str">
        <f>VLOOKUP(H1499,Stock_list!A:R,18,FALSE)</f>
        <v>达人高科</v>
      </c>
      <c r="J1499" s="139" t="str">
        <f>VLOOKUP(H1499,Stock_list!A:S,17,FALSE)</f>
        <v>C49SZX20190091JL</v>
      </c>
      <c r="K1499" s="51" t="str">
        <f>VLOOKUP(H1499,Stock_list!A:T,16,FALSE)</f>
        <v>RMB</v>
      </c>
      <c r="L1499" s="4">
        <v>43629</v>
      </c>
      <c r="M1499" s="132">
        <v>28</v>
      </c>
      <c r="P1499" s="4" t="str">
        <f>VLOOKUP(H1499,Stock_list!A:Y,25,FALSE)</f>
        <v>Yes</v>
      </c>
      <c r="Q1499" s="143"/>
      <c r="T1499" s="144"/>
      <c r="U1499" s="145" t="str">
        <f>VLOOKUP(H1499,Stock_list!A:N,14,FALSE)</f>
        <v>JUN 19</v>
      </c>
    </row>
    <row r="1500" spans="1:21" ht="16.5" customHeight="1">
      <c r="A1500" s="159" t="s">
        <v>2747</v>
      </c>
      <c r="B1500" s="114" t="str">
        <f>VLOOKUP(A1500,'Data pick slip'!B:F,5,FALSE)</f>
        <v>KHJ-MC200-00</v>
      </c>
      <c r="F1500" s="157" t="s">
        <v>2773</v>
      </c>
      <c r="H1500" s="138">
        <v>344</v>
      </c>
      <c r="I1500" s="139" t="str">
        <f>VLOOKUP(H1500,Stock_list!A:R,18,FALSE)</f>
        <v>达人高科</v>
      </c>
      <c r="J1500" s="139" t="str">
        <f>VLOOKUP(H1500,Stock_list!A:S,17,FALSE)</f>
        <v>C49SZX20190091JL</v>
      </c>
      <c r="K1500" s="51" t="str">
        <f>VLOOKUP(H1500,Stock_list!A:T,16,FALSE)</f>
        <v>RMB</v>
      </c>
      <c r="L1500" s="4">
        <v>43629</v>
      </c>
      <c r="M1500" s="132">
        <v>12</v>
      </c>
      <c r="P1500" s="4" t="str">
        <f>VLOOKUP(H1500,Stock_list!A:Y,25,FALSE)</f>
        <v>Yes</v>
      </c>
      <c r="Q1500" s="143"/>
      <c r="T1500" s="144"/>
      <c r="U1500" s="145" t="str">
        <f>VLOOKUP(H1500,Stock_list!A:N,14,FALSE)</f>
        <v>JUN 19</v>
      </c>
    </row>
    <row r="1501" spans="1:21" ht="16.5" customHeight="1">
      <c r="A1501" s="159" t="s">
        <v>2747</v>
      </c>
      <c r="B1501" s="114" t="str">
        <f>VLOOKUP(A1501,'Data pick slip'!B:F,5,FALSE)</f>
        <v>KHJ-MC200-00</v>
      </c>
      <c r="F1501" s="157" t="s">
        <v>2773</v>
      </c>
      <c r="H1501" s="138">
        <v>343</v>
      </c>
      <c r="I1501" s="139" t="str">
        <f>VLOOKUP(H1501,Stock_list!A:R,18,FALSE)</f>
        <v>锐诚</v>
      </c>
      <c r="J1501" s="139" t="str">
        <f>VLOOKUP(H1501,Stock_list!A:S,17,FALSE)</f>
        <v>C49SZX20190090SX</v>
      </c>
      <c r="K1501" s="51" t="str">
        <f>VLOOKUP(H1501,Stock_list!A:T,16,FALSE)</f>
        <v>RMB</v>
      </c>
      <c r="L1501" s="4">
        <v>43643</v>
      </c>
      <c r="M1501" s="132">
        <v>10</v>
      </c>
      <c r="P1501" s="4" t="str">
        <f>VLOOKUP(H1501,Stock_list!A:Y,25,FALSE)</f>
        <v>Yes</v>
      </c>
      <c r="Q1501" s="143"/>
      <c r="T1501" s="144"/>
      <c r="U1501" s="145" t="str">
        <f>VLOOKUP(H1501,Stock_list!A:N,14,FALSE)</f>
        <v>JUN 19</v>
      </c>
    </row>
    <row r="1502" spans="1:21" ht="16.5" customHeight="1">
      <c r="A1502" s="159" t="s">
        <v>2748</v>
      </c>
      <c r="B1502" s="114" t="str">
        <f>VLOOKUP(A1502,'Data pick slip'!B:F,5,FALSE)</f>
        <v>KHJ-MC400-00</v>
      </c>
      <c r="F1502" s="157" t="s">
        <v>2773</v>
      </c>
      <c r="H1502" s="138">
        <v>343</v>
      </c>
      <c r="I1502" s="139" t="str">
        <f>VLOOKUP(H1502,Stock_list!A:R,18,FALSE)</f>
        <v>锐诚</v>
      </c>
      <c r="J1502" s="139" t="str">
        <f>VLOOKUP(H1502,Stock_list!A:S,17,FALSE)</f>
        <v>C49SZX20190090SX</v>
      </c>
      <c r="K1502" s="51" t="str">
        <f>VLOOKUP(H1502,Stock_list!A:T,16,FALSE)</f>
        <v>RMB</v>
      </c>
      <c r="L1502" s="4">
        <v>43643</v>
      </c>
      <c r="M1502" s="132">
        <v>1</v>
      </c>
      <c r="P1502" s="4" t="str">
        <f>VLOOKUP(H1502,Stock_list!A:Y,25,FALSE)</f>
        <v>Yes</v>
      </c>
      <c r="Q1502" s="143"/>
      <c r="T1502" s="144"/>
      <c r="U1502" s="145" t="str">
        <f>VLOOKUP(H1502,Stock_list!A:N,14,FALSE)</f>
        <v>JUN 19</v>
      </c>
    </row>
    <row r="1503" spans="1:21" ht="16.5" customHeight="1">
      <c r="A1503" s="159" t="s">
        <v>2750</v>
      </c>
      <c r="B1503" s="114" t="str">
        <f>VLOOKUP(A1503,'Data pick slip'!B:F,5,FALSE)</f>
        <v>KHJ-MC600-00</v>
      </c>
      <c r="F1503" s="157" t="s">
        <v>2773</v>
      </c>
      <c r="I1503" s="139" t="s">
        <v>3115</v>
      </c>
      <c r="J1503" s="139" t="s">
        <v>3116</v>
      </c>
      <c r="K1503" s="51" t="s">
        <v>3002</v>
      </c>
      <c r="L1503" s="4">
        <v>43627</v>
      </c>
      <c r="M1503" s="140">
        <v>1</v>
      </c>
      <c r="P1503" s="4" t="s">
        <v>291</v>
      </c>
      <c r="Q1503" s="143"/>
      <c r="S1503" s="123" t="s">
        <v>3003</v>
      </c>
      <c r="T1503" s="144" t="s">
        <v>3117</v>
      </c>
      <c r="U1503" s="145" t="e">
        <f>VLOOKUP(H1503,Stock_list!A:N,14,FALSE)</f>
        <v>#N/A</v>
      </c>
    </row>
    <row r="1504" spans="1:21" ht="16.5" customHeight="1">
      <c r="A1504" s="159" t="s">
        <v>2744</v>
      </c>
      <c r="B1504" s="114" t="str">
        <f>VLOOKUP(A1504,'Data pick slip'!B:F,5,FALSE)</f>
        <v>KHJ-MC100-00</v>
      </c>
      <c r="F1504" s="157" t="s">
        <v>2861</v>
      </c>
      <c r="H1504" s="138">
        <v>346</v>
      </c>
      <c r="I1504" s="139" t="str">
        <f>VLOOKUP(H1504,Stock_list!A:R,18,FALSE)</f>
        <v>崧盛</v>
      </c>
      <c r="J1504" s="139" t="str">
        <f>VLOOKUP(H1504,Stock_list!A:S,17,FALSE)</f>
        <v>C49SZX20190094MZ</v>
      </c>
      <c r="K1504" s="51" t="str">
        <f>VLOOKUP(H1504,Stock_list!A:T,16,FALSE)</f>
        <v>JPY</v>
      </c>
      <c r="L1504" s="4">
        <v>43668</v>
      </c>
      <c r="M1504" s="132">
        <v>160</v>
      </c>
      <c r="P1504" s="4" t="str">
        <f>VLOOKUP(H1504,Stock_list!A:Y,25,FALSE)</f>
        <v>Yes</v>
      </c>
      <c r="Q1504" s="143"/>
      <c r="T1504" s="144"/>
      <c r="U1504" s="145" t="str">
        <f>VLOOKUP(H1504,Stock_list!A:N,14,FALSE)</f>
        <v>JUL 19</v>
      </c>
    </row>
    <row r="1505" spans="1:21" ht="16.5" customHeight="1">
      <c r="A1505" s="159" t="s">
        <v>2747</v>
      </c>
      <c r="B1505" s="114" t="str">
        <f>VLOOKUP(A1505,'Data pick slip'!B:F,5,FALSE)</f>
        <v>KHJ-MC200-00</v>
      </c>
      <c r="F1505" s="157" t="s">
        <v>2861</v>
      </c>
      <c r="H1505" s="138">
        <v>346</v>
      </c>
      <c r="I1505" s="139" t="str">
        <f>VLOOKUP(H1505,Stock_list!A:R,18,FALSE)</f>
        <v>崧盛</v>
      </c>
      <c r="J1505" s="139" t="str">
        <f>VLOOKUP(H1505,Stock_list!A:S,17,FALSE)</f>
        <v>C49SZX20190094MZ</v>
      </c>
      <c r="K1505" s="51" t="str">
        <f>VLOOKUP(H1505,Stock_list!A:T,16,FALSE)</f>
        <v>JPY</v>
      </c>
      <c r="L1505" s="4">
        <v>43668</v>
      </c>
      <c r="M1505" s="132">
        <v>35</v>
      </c>
      <c r="P1505" s="4" t="str">
        <f>VLOOKUP(H1505,Stock_list!A:Y,25,FALSE)</f>
        <v>Yes</v>
      </c>
      <c r="Q1505" s="143"/>
      <c r="T1505" s="144"/>
      <c r="U1505" s="145" t="str">
        <f>VLOOKUP(H1505,Stock_list!A:N,14,FALSE)</f>
        <v>JUL 19</v>
      </c>
    </row>
    <row r="1506" spans="1:21" ht="16.5" customHeight="1">
      <c r="A1506" s="159" t="s">
        <v>2755</v>
      </c>
      <c r="B1506" s="114" t="str">
        <f>VLOOKUP(A1506,'Data pick slip'!B:F,5,FALSE)</f>
        <v>KLJ-MC100-00</v>
      </c>
      <c r="F1506" s="157" t="s">
        <v>2773</v>
      </c>
      <c r="I1506" s="139" t="s">
        <v>3093</v>
      </c>
      <c r="J1506" s="139" t="s">
        <v>3118</v>
      </c>
      <c r="K1506" s="51" t="s">
        <v>1246</v>
      </c>
      <c r="L1506" s="4">
        <v>43621</v>
      </c>
      <c r="M1506" s="140">
        <v>10</v>
      </c>
      <c r="P1506" s="4" t="s">
        <v>291</v>
      </c>
      <c r="Q1506" s="143"/>
      <c r="T1506" s="144"/>
      <c r="U1506" s="145" t="e">
        <f>VLOOKUP(H1506,Stock_list!A:N,14,FALSE)</f>
        <v>#N/A</v>
      </c>
    </row>
    <row r="1507" spans="1:21" ht="16.5" customHeight="1">
      <c r="A1507" s="159" t="s">
        <v>2744</v>
      </c>
      <c r="B1507" s="114" t="str">
        <f>VLOOKUP(A1507,'Data pick slip'!B:F,5,FALSE)</f>
        <v>KHJ-MC100-00</v>
      </c>
      <c r="F1507" s="157" t="s">
        <v>2861</v>
      </c>
      <c r="H1507" s="138">
        <v>351</v>
      </c>
      <c r="I1507" s="139" t="str">
        <f>VLOOKUP(H1507,Stock_list!A:R,18,FALSE)</f>
        <v>尖端电子 end user海凌科达</v>
      </c>
      <c r="J1507" s="139" t="str">
        <f>VLOOKUP(H1507,Stock_list!A:S,17,FALSE)</f>
        <v>C49SZX20190150JY</v>
      </c>
      <c r="K1507" s="51" t="str">
        <f>VLOOKUP(H1507,Stock_list!A:T,16,FALSE)</f>
        <v>JPY</v>
      </c>
      <c r="L1507" s="4">
        <v>43767</v>
      </c>
      <c r="M1507" s="132">
        <v>55</v>
      </c>
      <c r="P1507" s="4" t="str">
        <f>VLOOKUP(H1507,Stock_list!A:Y,25,FALSE)</f>
        <v>Yes</v>
      </c>
      <c r="Q1507" s="143"/>
      <c r="T1507" s="144"/>
      <c r="U1507" s="145" t="str">
        <f>VLOOKUP(H1507,Stock_list!A:N,14,FALSE)</f>
        <v>OCT 19</v>
      </c>
    </row>
    <row r="1508" spans="1:21" ht="16.5" customHeight="1">
      <c r="A1508" s="159" t="s">
        <v>2747</v>
      </c>
      <c r="B1508" s="114" t="str">
        <f>VLOOKUP(A1508,'Data pick slip'!B:F,5,FALSE)</f>
        <v>KHJ-MC200-00</v>
      </c>
      <c r="F1508" s="157" t="s">
        <v>2861</v>
      </c>
      <c r="H1508" s="138">
        <v>351</v>
      </c>
      <c r="I1508" s="139" t="str">
        <f>VLOOKUP(H1508,Stock_list!A:R,18,FALSE)</f>
        <v>尖端电子 end user海凌科达</v>
      </c>
      <c r="J1508" s="139" t="str">
        <f>VLOOKUP(H1508,Stock_list!A:S,17,FALSE)</f>
        <v>C49SZX20190150JY</v>
      </c>
      <c r="K1508" s="51" t="str">
        <f>VLOOKUP(H1508,Stock_list!A:T,16,FALSE)</f>
        <v>JPY</v>
      </c>
      <c r="L1508" s="4">
        <v>43767</v>
      </c>
      <c r="M1508" s="132">
        <v>10</v>
      </c>
      <c r="P1508" s="4" t="str">
        <f>VLOOKUP(H1508,Stock_list!A:Y,25,FALSE)</f>
        <v>Yes</v>
      </c>
      <c r="Q1508" s="143"/>
      <c r="T1508" s="144"/>
      <c r="U1508" s="145" t="str">
        <f>VLOOKUP(H1508,Stock_list!A:N,14,FALSE)</f>
        <v>OCT 19</v>
      </c>
    </row>
    <row r="1509" spans="1:21" ht="16.5" customHeight="1">
      <c r="A1509" s="159" t="s">
        <v>2748</v>
      </c>
      <c r="B1509" s="114" t="str">
        <f>VLOOKUP(A1509,'Data pick slip'!B:F,5,FALSE)</f>
        <v>KHJ-MC400-00</v>
      </c>
      <c r="F1509" s="157" t="s">
        <v>2773</v>
      </c>
      <c r="H1509" s="138">
        <v>351</v>
      </c>
      <c r="I1509" s="139" t="str">
        <f>VLOOKUP(H1509,Stock_list!A:R,18,FALSE)</f>
        <v>尖端电子 end user海凌科达</v>
      </c>
      <c r="J1509" s="139" t="str">
        <f>VLOOKUP(H1509,Stock_list!A:S,17,FALSE)</f>
        <v>C49SZX20190150JY</v>
      </c>
      <c r="K1509" s="51" t="str">
        <f>VLOOKUP(H1509,Stock_list!A:T,16,FALSE)</f>
        <v>JPY</v>
      </c>
      <c r="L1509" s="4">
        <v>43767</v>
      </c>
      <c r="M1509" s="132">
        <v>2</v>
      </c>
      <c r="P1509" s="4" t="str">
        <f>VLOOKUP(H1509,Stock_list!A:Y,25,FALSE)</f>
        <v>Yes</v>
      </c>
      <c r="Q1509" s="143"/>
      <c r="S1509" s="123" t="s">
        <v>3003</v>
      </c>
      <c r="T1509" s="205" t="s">
        <v>3119</v>
      </c>
      <c r="U1509" s="145" t="str">
        <f>VLOOKUP(H1509,Stock_list!A:N,14,FALSE)</f>
        <v>OCT 19</v>
      </c>
    </row>
    <row r="1510" spans="1:21" ht="16.5" customHeight="1">
      <c r="A1510" s="159" t="s">
        <v>2749</v>
      </c>
      <c r="B1510" s="114" t="str">
        <f>VLOOKUP(A1510,'Data pick slip'!B:F,5,FALSE)</f>
        <v>KHJ-MC500-00</v>
      </c>
      <c r="F1510" s="157" t="s">
        <v>2861</v>
      </c>
      <c r="H1510" s="138">
        <v>351</v>
      </c>
      <c r="I1510" s="139" t="str">
        <f>VLOOKUP(H1510,Stock_list!A:R,18,FALSE)</f>
        <v>尖端电子 end user海凌科达</v>
      </c>
      <c r="J1510" s="139" t="str">
        <f>VLOOKUP(H1510,Stock_list!A:S,17,FALSE)</f>
        <v>C49SZX20190150JY</v>
      </c>
      <c r="K1510" s="51" t="str">
        <f>VLOOKUP(H1510,Stock_list!A:T,16,FALSE)</f>
        <v>JPY</v>
      </c>
      <c r="L1510" s="4">
        <v>43767</v>
      </c>
      <c r="M1510" s="132">
        <v>1</v>
      </c>
      <c r="P1510" s="4" t="str">
        <f>VLOOKUP(H1510,Stock_list!A:Y,25,FALSE)</f>
        <v>Yes</v>
      </c>
      <c r="Q1510" s="143"/>
      <c r="T1510" s="144"/>
      <c r="U1510" s="145" t="str">
        <f>VLOOKUP(H1510,Stock_list!A:N,14,FALSE)</f>
        <v>OCT 19</v>
      </c>
    </row>
    <row r="1511" spans="1:21" ht="16.5" customHeight="1">
      <c r="A1511" s="159" t="s">
        <v>2755</v>
      </c>
      <c r="B1511" s="114" t="str">
        <f>VLOOKUP(A1511,'Data pick slip'!B:F,5,FALSE)</f>
        <v>KLJ-MC100-00</v>
      </c>
      <c r="F1511" s="157" t="s">
        <v>2773</v>
      </c>
      <c r="H1511" s="138">
        <v>354</v>
      </c>
      <c r="I1511" s="139" t="str">
        <f>VLOOKUP(H1511,Stock_list!A:R,18,FALSE)</f>
        <v>恒泰创新</v>
      </c>
      <c r="J1511" s="139" t="str">
        <f>VLOOKUP(H1511,Stock_list!A:S,17,FALSE)</f>
        <v>C49SZX20190095ZX</v>
      </c>
      <c r="K1511" s="51" t="str">
        <f>VLOOKUP(H1511,Stock_list!A:T,16,FALSE)</f>
        <v>RMB</v>
      </c>
      <c r="L1511" s="4">
        <v>43642</v>
      </c>
      <c r="M1511" s="132">
        <v>50</v>
      </c>
      <c r="P1511" s="4" t="str">
        <f>VLOOKUP(H1511,Stock_list!A:Y,25,FALSE)</f>
        <v>Yes</v>
      </c>
      <c r="Q1511" s="143"/>
      <c r="T1511" s="144"/>
      <c r="U1511" s="145" t="str">
        <f>VLOOKUP(H1511,Stock_list!A:N,14,FALSE)</f>
        <v>JUN 19</v>
      </c>
    </row>
    <row r="1512" spans="1:21" ht="16.5" customHeight="1">
      <c r="A1512" s="159" t="s">
        <v>2756</v>
      </c>
      <c r="B1512" s="114" t="str">
        <f>VLOOKUP(A1512,'Data pick slip'!B:F,5,FALSE)</f>
        <v>KLJ-MC200-00</v>
      </c>
      <c r="F1512" s="157" t="s">
        <v>2773</v>
      </c>
      <c r="H1512" s="138">
        <v>354</v>
      </c>
      <c r="I1512" s="139" t="str">
        <f>VLOOKUP(H1512,Stock_list!A:R,18,FALSE)</f>
        <v>恒泰创新</v>
      </c>
      <c r="J1512" s="139" t="str">
        <f>VLOOKUP(H1512,Stock_list!A:S,17,FALSE)</f>
        <v>C49SZX20190095ZX</v>
      </c>
      <c r="K1512" s="51" t="str">
        <f>VLOOKUP(H1512,Stock_list!A:T,16,FALSE)</f>
        <v>RMB</v>
      </c>
      <c r="L1512" s="4">
        <v>43642</v>
      </c>
      <c r="M1512" s="132">
        <v>8</v>
      </c>
      <c r="P1512" s="4" t="str">
        <f>VLOOKUP(H1512,Stock_list!A:Y,25,FALSE)</f>
        <v>Yes</v>
      </c>
      <c r="T1512" s="144"/>
      <c r="U1512" s="145" t="str">
        <f>VLOOKUP(H1512,Stock_list!A:N,14,FALSE)</f>
        <v>JUN 19</v>
      </c>
    </row>
    <row r="1513" spans="1:21" ht="16.5" customHeight="1">
      <c r="A1513" s="159" t="s">
        <v>2757</v>
      </c>
      <c r="B1513" s="114" t="str">
        <f>VLOOKUP(A1513,'Data pick slip'!B:F,5,FALSE)</f>
        <v>KLJ-MC400-00</v>
      </c>
      <c r="F1513" s="157" t="s">
        <v>2773</v>
      </c>
      <c r="H1513" s="138">
        <v>354</v>
      </c>
      <c r="I1513" s="139" t="str">
        <f>VLOOKUP(H1513,Stock_list!A:R,18,FALSE)</f>
        <v>恒泰创新</v>
      </c>
      <c r="J1513" s="139" t="str">
        <f>VLOOKUP(H1513,Stock_list!A:S,17,FALSE)</f>
        <v>C49SZX20190095ZX</v>
      </c>
      <c r="K1513" s="51" t="str">
        <f>VLOOKUP(H1513,Stock_list!A:T,16,FALSE)</f>
        <v>RMB</v>
      </c>
      <c r="L1513" s="4">
        <v>43642</v>
      </c>
      <c r="M1513" s="132">
        <v>2</v>
      </c>
      <c r="P1513" s="4" t="str">
        <f>VLOOKUP(H1513,Stock_list!A:Y,25,FALSE)</f>
        <v>Yes</v>
      </c>
      <c r="Q1513" s="143"/>
      <c r="T1513" s="144"/>
      <c r="U1513" s="145" t="str">
        <f>VLOOKUP(H1513,Stock_list!A:N,14,FALSE)</f>
        <v>JUN 19</v>
      </c>
    </row>
    <row r="1514" spans="1:21" ht="16.5" customHeight="1">
      <c r="A1514" s="159" t="s">
        <v>2744</v>
      </c>
      <c r="B1514" s="114" t="str">
        <f>VLOOKUP(A1514,'Data pick slip'!B:F,5,FALSE)</f>
        <v>KHJ-MC100-00</v>
      </c>
      <c r="F1514" s="157" t="s">
        <v>2773</v>
      </c>
      <c r="H1514" s="138">
        <v>355</v>
      </c>
      <c r="I1514" s="139" t="str">
        <f>VLOOKUP(H1514,Stock_list!A:R,18,FALSE)</f>
        <v>柏星</v>
      </c>
      <c r="J1514" s="139" t="str">
        <f>VLOOKUP(H1514,Stock_list!A:S,17,FALSE)</f>
        <v>C49SZX20190099SX</v>
      </c>
      <c r="K1514" s="51" t="str">
        <f>VLOOKUP(H1514,Stock_list!A:T,16,FALSE)</f>
        <v>RMB</v>
      </c>
      <c r="L1514" s="4">
        <v>43640</v>
      </c>
      <c r="M1514" s="140">
        <v>20</v>
      </c>
      <c r="P1514" s="4" t="str">
        <f>VLOOKUP(H1514,Stock_list!A:Y,25,FALSE)</f>
        <v>Yes</v>
      </c>
      <c r="Q1514" s="143"/>
      <c r="T1514" s="144"/>
      <c r="U1514" s="145" t="str">
        <f>VLOOKUP(H1514,Stock_list!A:N,14,FALSE)</f>
        <v>JUN 19</v>
      </c>
    </row>
    <row r="1515" spans="1:21" ht="16.5" customHeight="1">
      <c r="A1515" s="159" t="s">
        <v>2744</v>
      </c>
      <c r="B1515" s="114" t="str">
        <f>VLOOKUP(A1515,'Data pick slip'!B:F,5,FALSE)</f>
        <v>KHJ-MC100-00</v>
      </c>
      <c r="F1515" s="157" t="s">
        <v>2773</v>
      </c>
      <c r="H1515" s="138">
        <v>356</v>
      </c>
      <c r="I1515" s="139" t="str">
        <f>VLOOKUP(H1515,Stock_list!A:R,18,FALSE)</f>
        <v>永顺创</v>
      </c>
      <c r="J1515" s="139" t="str">
        <f>VLOOKUP(H1515,Stock_list!A:S,17,FALSE)</f>
        <v>C49SZX20190100SX</v>
      </c>
      <c r="K1515" s="51" t="str">
        <f>VLOOKUP(H1515,Stock_list!A:T,16,FALSE)</f>
        <v>RMB</v>
      </c>
      <c r="L1515" s="4">
        <v>43647</v>
      </c>
      <c r="M1515" s="140">
        <v>5</v>
      </c>
      <c r="P1515" s="4" t="str">
        <f>VLOOKUP(H1515,Stock_list!A:Y,25,FALSE)</f>
        <v>Yes</v>
      </c>
      <c r="Q1515" s="143"/>
      <c r="T1515" s="144"/>
      <c r="U1515" s="145" t="str">
        <f>VLOOKUP(H1515,Stock_list!A:N,14,FALSE)</f>
        <v>JUL 19</v>
      </c>
    </row>
    <row r="1516" spans="1:21" ht="16.5" customHeight="1">
      <c r="A1516" s="159" t="s">
        <v>2744</v>
      </c>
      <c r="B1516" s="114" t="str">
        <f>VLOOKUP(A1516,'Data pick slip'!B:F,5,FALSE)</f>
        <v>KHJ-MC100-00</v>
      </c>
      <c r="F1516" s="157" t="s">
        <v>2861</v>
      </c>
      <c r="I1516" s="139" t="s">
        <v>3015</v>
      </c>
      <c r="J1516" s="139" t="s">
        <v>3120</v>
      </c>
      <c r="K1516" s="51" t="s">
        <v>1246</v>
      </c>
      <c r="L1516" s="4">
        <v>43634</v>
      </c>
      <c r="M1516" s="140">
        <v>40</v>
      </c>
      <c r="P1516" s="4" t="s">
        <v>291</v>
      </c>
      <c r="Q1516" s="143"/>
      <c r="T1516" s="144"/>
      <c r="U1516" s="145" t="e">
        <f>VLOOKUP(H1516,Stock_list!A:N,14,FALSE)</f>
        <v>#N/A</v>
      </c>
    </row>
    <row r="1517" spans="1:21" ht="16.5" customHeight="1">
      <c r="A1517" s="159" t="s">
        <v>2747</v>
      </c>
      <c r="B1517" s="114" t="str">
        <f>VLOOKUP(A1517,'Data pick slip'!B:F,5,FALSE)</f>
        <v>KHJ-MC200-00</v>
      </c>
      <c r="F1517" s="157" t="s">
        <v>2861</v>
      </c>
      <c r="I1517" s="139" t="s">
        <v>3015</v>
      </c>
      <c r="J1517" s="139" t="s">
        <v>3120</v>
      </c>
      <c r="K1517" s="51" t="s">
        <v>1246</v>
      </c>
      <c r="L1517" s="4">
        <v>43634</v>
      </c>
      <c r="M1517" s="140">
        <v>10</v>
      </c>
      <c r="P1517" s="4" t="s">
        <v>291</v>
      </c>
      <c r="Q1517" s="143"/>
      <c r="T1517" s="144"/>
      <c r="U1517" s="145" t="e">
        <f>VLOOKUP(H1517,Stock_list!A:N,14,FALSE)</f>
        <v>#N/A</v>
      </c>
    </row>
    <row r="1518" spans="1:21" ht="16.5" customHeight="1">
      <c r="A1518" s="159" t="s">
        <v>2744</v>
      </c>
      <c r="B1518" s="114" t="str">
        <f>VLOOKUP(A1518,'Data pick slip'!B:F,5,FALSE)</f>
        <v>KHJ-MC100-00</v>
      </c>
      <c r="F1518" s="157" t="s">
        <v>2861</v>
      </c>
      <c r="I1518" s="139" t="s">
        <v>3015</v>
      </c>
      <c r="J1518" s="139" t="s">
        <v>3121</v>
      </c>
      <c r="K1518" s="51" t="s">
        <v>1246</v>
      </c>
      <c r="L1518" s="4">
        <v>43627</v>
      </c>
      <c r="M1518" s="140">
        <v>100</v>
      </c>
      <c r="P1518" s="4" t="s">
        <v>291</v>
      </c>
      <c r="Q1518" s="143"/>
      <c r="T1518" s="144"/>
      <c r="U1518" s="145" t="e">
        <f>VLOOKUP(H1518,Stock_list!A:N,14,FALSE)</f>
        <v>#N/A</v>
      </c>
    </row>
    <row r="1519" spans="1:21" ht="16.5" customHeight="1">
      <c r="A1519" s="159" t="s">
        <v>2747</v>
      </c>
      <c r="B1519" s="114" t="str">
        <f>VLOOKUP(A1519,'Data pick slip'!B:F,5,FALSE)</f>
        <v>KHJ-MC200-00</v>
      </c>
      <c r="F1519" s="157" t="s">
        <v>2861</v>
      </c>
      <c r="I1519" s="139" t="s">
        <v>3015</v>
      </c>
      <c r="J1519" s="139" t="s">
        <v>3121</v>
      </c>
      <c r="K1519" s="51" t="s">
        <v>1246</v>
      </c>
      <c r="L1519" s="4">
        <v>43627</v>
      </c>
      <c r="M1519" s="140">
        <v>30</v>
      </c>
      <c r="P1519" s="4" t="s">
        <v>291</v>
      </c>
      <c r="Q1519" s="143"/>
      <c r="T1519" s="144"/>
      <c r="U1519" s="145" t="e">
        <f>VLOOKUP(H1519,Stock_list!A:N,14,FALSE)</f>
        <v>#N/A</v>
      </c>
    </row>
    <row r="1520" spans="1:21" ht="16.5" customHeight="1">
      <c r="A1520" s="159" t="s">
        <v>2749</v>
      </c>
      <c r="B1520" s="114" t="str">
        <f>VLOOKUP(A1520,'Data pick slip'!B:F,5,FALSE)</f>
        <v>KHJ-MC500-00</v>
      </c>
      <c r="F1520" s="157" t="s">
        <v>2861</v>
      </c>
      <c r="I1520" s="139" t="s">
        <v>3015</v>
      </c>
      <c r="J1520" s="139" t="s">
        <v>3121</v>
      </c>
      <c r="K1520" s="51" t="s">
        <v>1246</v>
      </c>
      <c r="L1520" s="4">
        <v>43627</v>
      </c>
      <c r="M1520" s="140">
        <v>5</v>
      </c>
      <c r="P1520" s="4" t="s">
        <v>291</v>
      </c>
      <c r="Q1520" s="143"/>
      <c r="T1520" s="144"/>
      <c r="U1520" s="145" t="e">
        <f>VLOOKUP(H1520,Stock_list!A:N,14,FALSE)</f>
        <v>#N/A</v>
      </c>
    </row>
    <row r="1521" spans="1:21" ht="16.5" customHeight="1">
      <c r="A1521" s="159" t="s">
        <v>2755</v>
      </c>
      <c r="B1521" s="114" t="str">
        <f>VLOOKUP(A1521,'Data pick slip'!B:F,5,FALSE)</f>
        <v>KLJ-MC100-00</v>
      </c>
      <c r="F1521" s="157" t="s">
        <v>2861</v>
      </c>
      <c r="I1521" s="139" t="s">
        <v>3015</v>
      </c>
      <c r="J1521" s="139" t="s">
        <v>3121</v>
      </c>
      <c r="K1521" s="51" t="s">
        <v>1246</v>
      </c>
      <c r="L1521" s="4">
        <v>43627</v>
      </c>
      <c r="M1521" s="140">
        <v>50</v>
      </c>
      <c r="P1521" s="4" t="s">
        <v>291</v>
      </c>
      <c r="Q1521" s="143"/>
      <c r="T1521" s="144"/>
      <c r="U1521" s="145" t="e">
        <f>VLOOKUP(H1521,Stock_list!A:N,14,FALSE)</f>
        <v>#N/A</v>
      </c>
    </row>
    <row r="1522" spans="1:21" ht="16.5" customHeight="1">
      <c r="A1522" s="159" t="s">
        <v>2744</v>
      </c>
      <c r="B1522" s="114" t="str">
        <f>VLOOKUP(A1522,'Data pick slip'!B:F,5,FALSE)</f>
        <v>KHJ-MC100-00</v>
      </c>
      <c r="F1522" s="157" t="s">
        <v>2773</v>
      </c>
      <c r="H1522" s="138">
        <v>359</v>
      </c>
      <c r="I1522" s="139" t="str">
        <f>VLOOKUP(H1522,Stock_list!A:R,18,FALSE)</f>
        <v>凯瑞丰</v>
      </c>
      <c r="J1522" s="139" t="str">
        <f>VLOOKUP(H1522,Stock_list!A:S,17,FALSE)</f>
        <v>C49SZX20190102SX</v>
      </c>
      <c r="K1522" s="51" t="str">
        <f>VLOOKUP(H1522,Stock_list!A:T,16,FALSE)</f>
        <v>RMB</v>
      </c>
      <c r="L1522" s="4">
        <v>43657</v>
      </c>
      <c r="M1522" s="140">
        <v>75</v>
      </c>
      <c r="P1522" s="4" t="str">
        <f>VLOOKUP(H1522,Stock_list!A:Y,25,FALSE)</f>
        <v>Yes</v>
      </c>
      <c r="Q1522" s="143"/>
      <c r="T1522" s="144"/>
      <c r="U1522" s="145" t="str">
        <f>VLOOKUP(H1522,Stock_list!A:N,14,FALSE)</f>
        <v>JUL 19</v>
      </c>
    </row>
    <row r="1523" spans="1:21" ht="16.5" customHeight="1">
      <c r="A1523" s="159" t="s">
        <v>2747</v>
      </c>
      <c r="B1523" s="114" t="str">
        <f>VLOOKUP(A1523,'Data pick slip'!B:F,5,FALSE)</f>
        <v>KHJ-MC200-00</v>
      </c>
      <c r="F1523" s="157" t="s">
        <v>2773</v>
      </c>
      <c r="H1523" s="209">
        <v>359</v>
      </c>
      <c r="I1523" s="139" t="str">
        <f>VLOOKUP(H1523,Stock_list!A:R,18,FALSE)</f>
        <v>凯瑞丰</v>
      </c>
      <c r="J1523" s="139" t="str">
        <f>VLOOKUP(H1523,Stock_list!A:S,17,FALSE)</f>
        <v>C49SZX20190102SX</v>
      </c>
      <c r="K1523" s="51" t="str">
        <f>VLOOKUP(H1523,Stock_list!A:T,16,FALSE)</f>
        <v>RMB</v>
      </c>
      <c r="L1523" s="4">
        <v>43663</v>
      </c>
      <c r="M1523" s="140">
        <v>14</v>
      </c>
      <c r="P1523" s="4" t="str">
        <f>VLOOKUP(H1523,Stock_list!A:Y,25,FALSE)</f>
        <v>Yes</v>
      </c>
      <c r="Q1523" s="143"/>
      <c r="T1523" s="144"/>
      <c r="U1523" s="145" t="str">
        <f>VLOOKUP(H1523,Stock_list!A:N,14,FALSE)</f>
        <v>JUL 19</v>
      </c>
    </row>
    <row r="1524" spans="1:21" ht="16.5" customHeight="1">
      <c r="A1524" s="159" t="s">
        <v>2748</v>
      </c>
      <c r="B1524" s="114" t="str">
        <f>VLOOKUP(A1524,'Data pick slip'!B:F,5,FALSE)</f>
        <v>KHJ-MC400-00</v>
      </c>
      <c r="F1524" s="157" t="s">
        <v>2773</v>
      </c>
      <c r="H1524" s="138">
        <v>359</v>
      </c>
      <c r="I1524" s="139" t="str">
        <f>VLOOKUP(H1524,Stock_list!A:R,18,FALSE)</f>
        <v>凯瑞丰</v>
      </c>
      <c r="J1524" s="139" t="str">
        <f>VLOOKUP(H1524,Stock_list!A:S,17,FALSE)</f>
        <v>C49SZX20190102SX</v>
      </c>
      <c r="K1524" s="51" t="str">
        <f>VLOOKUP(H1524,Stock_list!A:T,16,FALSE)</f>
        <v>RMB</v>
      </c>
      <c r="L1524" s="4">
        <v>43651</v>
      </c>
      <c r="M1524" s="140">
        <v>2</v>
      </c>
      <c r="P1524" s="4" t="str">
        <f>VLOOKUP(H1524,Stock_list!A:Y,25,FALSE)</f>
        <v>Yes</v>
      </c>
      <c r="Q1524" s="143"/>
      <c r="T1524" s="144"/>
      <c r="U1524" s="145" t="str">
        <f>VLOOKUP(H1524,Stock_list!A:N,14,FALSE)</f>
        <v>JUL 19</v>
      </c>
    </row>
    <row r="1525" spans="1:21" ht="16.5" customHeight="1">
      <c r="A1525" s="159" t="s">
        <v>2749</v>
      </c>
      <c r="B1525" s="114" t="str">
        <f>VLOOKUP(A1525,'Data pick slip'!B:F,5,FALSE)</f>
        <v>KHJ-MC500-00</v>
      </c>
      <c r="F1525" s="157" t="s">
        <v>2773</v>
      </c>
      <c r="H1525" s="138">
        <v>359</v>
      </c>
      <c r="I1525" s="139" t="str">
        <f>VLOOKUP(H1525,Stock_list!A:R,18,FALSE)</f>
        <v>凯瑞丰</v>
      </c>
      <c r="J1525" s="139" t="str">
        <f>VLOOKUP(H1525,Stock_list!A:S,17,FALSE)</f>
        <v>C49SZX20190102SX</v>
      </c>
      <c r="K1525" s="51" t="str">
        <f>VLOOKUP(H1525,Stock_list!A:T,16,FALSE)</f>
        <v>RMB</v>
      </c>
      <c r="L1525" s="4">
        <v>43663</v>
      </c>
      <c r="M1525" s="132">
        <v>1</v>
      </c>
      <c r="P1525" s="4" t="str">
        <f>VLOOKUP(H1525,Stock_list!A:Y,25,FALSE)</f>
        <v>Yes</v>
      </c>
      <c r="Q1525" s="143"/>
      <c r="T1525" s="144"/>
      <c r="U1525" s="145" t="str">
        <f>VLOOKUP(H1525,Stock_list!A:N,14,FALSE)</f>
        <v>JUL 19</v>
      </c>
    </row>
    <row r="1526" spans="1:21" ht="16.5" customHeight="1">
      <c r="A1526" s="159" t="s">
        <v>2750</v>
      </c>
      <c r="B1526" s="114" t="str">
        <f>VLOOKUP(A1526,'Data pick slip'!B:F,5,FALSE)</f>
        <v>KHJ-MC600-00</v>
      </c>
      <c r="F1526" s="157" t="s">
        <v>2773</v>
      </c>
      <c r="H1526" s="138">
        <v>359</v>
      </c>
      <c r="I1526" s="139" t="str">
        <f>VLOOKUP(H1526,Stock_list!A:R,18,FALSE)</f>
        <v>凯瑞丰</v>
      </c>
      <c r="J1526" s="139" t="str">
        <f>VLOOKUP(H1526,Stock_list!A:S,17,FALSE)</f>
        <v>C49SZX20190102SX</v>
      </c>
      <c r="K1526" s="51" t="str">
        <f>VLOOKUP(H1526,Stock_list!A:T,16,FALSE)</f>
        <v>RMB</v>
      </c>
      <c r="L1526" s="4">
        <v>43663</v>
      </c>
      <c r="M1526" s="132">
        <v>1</v>
      </c>
      <c r="P1526" s="4" t="str">
        <f>VLOOKUP(H1526,Stock_list!A:Y,25,FALSE)</f>
        <v>Yes</v>
      </c>
      <c r="Q1526" s="143"/>
      <c r="T1526" s="144"/>
      <c r="U1526" s="145" t="str">
        <f>VLOOKUP(H1526,Stock_list!A:N,14,FALSE)</f>
        <v>JUL 19</v>
      </c>
    </row>
    <row r="1527" spans="1:21" ht="16.5" customHeight="1">
      <c r="A1527" s="159" t="s">
        <v>2755</v>
      </c>
      <c r="B1527" s="114" t="str">
        <f>VLOOKUP(A1527,'Data pick slip'!B:F,5,FALSE)</f>
        <v>KLJ-MC100-00</v>
      </c>
      <c r="F1527" s="157" t="s">
        <v>2861</v>
      </c>
      <c r="I1527" s="139" t="s">
        <v>3015</v>
      </c>
      <c r="J1527" s="139" t="s">
        <v>3122</v>
      </c>
      <c r="K1527" s="51" t="s">
        <v>3123</v>
      </c>
      <c r="L1527" s="4">
        <v>43642</v>
      </c>
      <c r="M1527" s="140">
        <v>51</v>
      </c>
      <c r="P1527" s="4" t="s">
        <v>291</v>
      </c>
      <c r="Q1527" s="143"/>
      <c r="T1527" s="144"/>
      <c r="U1527" s="145" t="e">
        <f>VLOOKUP(H1527,Stock_list!A:N,14,FALSE)</f>
        <v>#N/A</v>
      </c>
    </row>
    <row r="1528" spans="1:21" ht="16.5" customHeight="1">
      <c r="A1528" s="159" t="s">
        <v>2756</v>
      </c>
      <c r="B1528" s="114" t="str">
        <f>VLOOKUP(A1528,'Data pick slip'!B:F,5,FALSE)</f>
        <v>KLJ-MC200-00</v>
      </c>
      <c r="F1528" s="157" t="s">
        <v>2861</v>
      </c>
      <c r="I1528" s="139" t="s">
        <v>3015</v>
      </c>
      <c r="J1528" s="139" t="s">
        <v>3122</v>
      </c>
      <c r="K1528" s="51" t="s">
        <v>3123</v>
      </c>
      <c r="L1528" s="4">
        <v>43642</v>
      </c>
      <c r="M1528" s="140">
        <v>29</v>
      </c>
      <c r="P1528" s="4" t="s">
        <v>291</v>
      </c>
      <c r="T1528" s="144"/>
      <c r="U1528" s="145" t="e">
        <f>VLOOKUP(H1528,Stock_list!A:N,14,FALSE)</f>
        <v>#N/A</v>
      </c>
    </row>
    <row r="1529" spans="1:21" ht="16.5" customHeight="1">
      <c r="A1529" s="159" t="s">
        <v>2757</v>
      </c>
      <c r="B1529" s="114" t="str">
        <f>VLOOKUP(A1529,'Data pick slip'!B:F,5,FALSE)</f>
        <v>KLJ-MC400-00</v>
      </c>
      <c r="F1529" s="157" t="s">
        <v>2861</v>
      </c>
      <c r="I1529" s="139" t="s">
        <v>3015</v>
      </c>
      <c r="J1529" s="139" t="s">
        <v>3122</v>
      </c>
      <c r="K1529" s="51" t="s">
        <v>3123</v>
      </c>
      <c r="L1529" s="4">
        <v>43642</v>
      </c>
      <c r="M1529" s="140">
        <v>9</v>
      </c>
      <c r="P1529" s="4" t="s">
        <v>291</v>
      </c>
      <c r="Q1529" s="143"/>
      <c r="T1529" s="144"/>
      <c r="U1529" s="145" t="e">
        <f>VLOOKUP(H1529,Stock_list!A:N,14,FALSE)</f>
        <v>#N/A</v>
      </c>
    </row>
    <row r="1530" spans="1:21" ht="16.5" customHeight="1">
      <c r="A1530" s="159" t="s">
        <v>2747</v>
      </c>
      <c r="B1530" s="114" t="str">
        <f>VLOOKUP(A1530,'Data pick slip'!B:F,5,FALSE)</f>
        <v>KHJ-MC200-00</v>
      </c>
      <c r="F1530" s="157" t="s">
        <v>2861</v>
      </c>
      <c r="I1530" s="139" t="s">
        <v>3015</v>
      </c>
      <c r="J1530" s="139" t="s">
        <v>3122</v>
      </c>
      <c r="K1530" s="51" t="s">
        <v>3123</v>
      </c>
      <c r="L1530" s="4">
        <v>43642</v>
      </c>
      <c r="M1530" s="140">
        <v>10</v>
      </c>
      <c r="P1530" s="4" t="s">
        <v>291</v>
      </c>
      <c r="Q1530" s="143"/>
      <c r="T1530" s="144"/>
      <c r="U1530" s="145" t="e">
        <f>VLOOKUP(H1530,Stock_list!A:N,14,FALSE)</f>
        <v>#N/A</v>
      </c>
    </row>
    <row r="1531" spans="1:21" ht="16.5" customHeight="1">
      <c r="A1531" s="159" t="s">
        <v>2755</v>
      </c>
      <c r="B1531" s="114" t="str">
        <f>VLOOKUP(A1531,'Data pick slip'!B:F,5,FALSE)</f>
        <v>KLJ-MC100-00</v>
      </c>
      <c r="F1531" s="157" t="s">
        <v>2861</v>
      </c>
      <c r="H1531" s="138">
        <v>361</v>
      </c>
      <c r="I1531" s="139" t="str">
        <f>VLOOKUP(H1531,Stock_list!A:R,18,FALSE)</f>
        <v>创荣发</v>
      </c>
      <c r="J1531" s="139" t="str">
        <f>VLOOKUP(H1531,Stock_list!A:S,17,FALSE)</f>
        <v>C49SZX20190015JY</v>
      </c>
      <c r="K1531" s="51" t="str">
        <f>VLOOKUP(H1531,Stock_list!A:T,16,FALSE)</f>
        <v>JPY</v>
      </c>
      <c r="L1531" s="4">
        <v>43735</v>
      </c>
      <c r="M1531" s="132">
        <v>220</v>
      </c>
      <c r="P1531" s="4" t="str">
        <f>VLOOKUP(H1531,Stock_list!A:Y,25,FALSE)</f>
        <v>Yes</v>
      </c>
      <c r="Q1531" s="143"/>
      <c r="T1531" s="144"/>
      <c r="U1531" s="145" t="str">
        <f>VLOOKUP(H1531,Stock_list!A:N,14,FALSE)</f>
        <v>SEP 19</v>
      </c>
    </row>
    <row r="1532" spans="1:21" ht="16.5" customHeight="1">
      <c r="A1532" s="159" t="s">
        <v>2756</v>
      </c>
      <c r="B1532" s="114" t="str">
        <f>VLOOKUP(A1532,'Data pick slip'!B:F,5,FALSE)</f>
        <v>KLJ-MC200-00</v>
      </c>
      <c r="F1532" s="157" t="s">
        <v>2861</v>
      </c>
      <c r="H1532" s="138">
        <v>361</v>
      </c>
      <c r="I1532" s="139" t="str">
        <f>VLOOKUP(H1532,Stock_list!A:R,18,FALSE)</f>
        <v>创荣发</v>
      </c>
      <c r="J1532" s="139" t="str">
        <f>VLOOKUP(H1532,Stock_list!A:S,17,FALSE)</f>
        <v>C49SZX20190015JY</v>
      </c>
      <c r="K1532" s="51" t="str">
        <f>VLOOKUP(H1532,Stock_list!A:T,16,FALSE)</f>
        <v>JPY</v>
      </c>
      <c r="L1532" s="4">
        <v>43735</v>
      </c>
      <c r="M1532" s="132">
        <v>55</v>
      </c>
      <c r="P1532" s="4" t="str">
        <f>VLOOKUP(H1532,Stock_list!A:Y,25,FALSE)</f>
        <v>Yes</v>
      </c>
      <c r="T1532" s="144"/>
      <c r="U1532" s="145" t="str">
        <f>VLOOKUP(H1532,Stock_list!A:N,14,FALSE)</f>
        <v>SEP 19</v>
      </c>
    </row>
    <row r="1533" spans="1:21" ht="16.5" customHeight="1">
      <c r="A1533" s="159" t="s">
        <v>2757</v>
      </c>
      <c r="B1533" s="114" t="str">
        <f>VLOOKUP(A1533,'Data pick slip'!B:F,5,FALSE)</f>
        <v>KLJ-MC400-00</v>
      </c>
      <c r="F1533" s="157" t="s">
        <v>2861</v>
      </c>
      <c r="H1533" s="138">
        <v>361</v>
      </c>
      <c r="I1533" s="139" t="str">
        <f>VLOOKUP(H1533,Stock_list!A:R,18,FALSE)</f>
        <v>创荣发</v>
      </c>
      <c r="J1533" s="139" t="str">
        <f>VLOOKUP(H1533,Stock_list!A:S,17,FALSE)</f>
        <v>C49SZX20190015JY</v>
      </c>
      <c r="K1533" s="51" t="str">
        <f>VLOOKUP(H1533,Stock_list!A:T,16,FALSE)</f>
        <v>JPY</v>
      </c>
      <c r="L1533" s="4">
        <v>43735</v>
      </c>
      <c r="M1533" s="132">
        <v>5</v>
      </c>
      <c r="P1533" s="4" t="str">
        <f>VLOOKUP(H1533,Stock_list!A:Y,25,FALSE)</f>
        <v>Yes</v>
      </c>
      <c r="Q1533" s="143"/>
      <c r="T1533" s="144"/>
      <c r="U1533" s="145" t="str">
        <f>VLOOKUP(H1533,Stock_list!A:N,14,FALSE)</f>
        <v>SEP 19</v>
      </c>
    </row>
    <row r="1534" spans="1:21" ht="16.5" customHeight="1">
      <c r="A1534" s="159" t="s">
        <v>2758</v>
      </c>
      <c r="B1534" s="114" t="str">
        <f>VLOOKUP(A1534,'Data pick slip'!B:F,5,FALSE)</f>
        <v>KLJ-MC500-00</v>
      </c>
      <c r="F1534" s="157" t="s">
        <v>2861</v>
      </c>
      <c r="H1534" s="138">
        <v>361</v>
      </c>
      <c r="I1534" s="139" t="str">
        <f>VLOOKUP(H1534,Stock_list!A:R,18,FALSE)</f>
        <v>创荣发</v>
      </c>
      <c r="J1534" s="139" t="str">
        <f>VLOOKUP(H1534,Stock_list!A:S,17,FALSE)</f>
        <v>C49SZX20190015JY</v>
      </c>
      <c r="K1534" s="51" t="str">
        <f>VLOOKUP(H1534,Stock_list!A:T,16,FALSE)</f>
        <v>JPY</v>
      </c>
      <c r="L1534" s="4">
        <v>43735</v>
      </c>
      <c r="M1534" s="132">
        <v>4</v>
      </c>
      <c r="P1534" s="4" t="str">
        <f>VLOOKUP(H1534,Stock_list!A:Y,25,FALSE)</f>
        <v>Yes</v>
      </c>
      <c r="Q1534" s="143"/>
      <c r="T1534" s="144"/>
      <c r="U1534" s="145" t="str">
        <f>VLOOKUP(H1534,Stock_list!A:N,14,FALSE)</f>
        <v>SEP 19</v>
      </c>
    </row>
    <row r="1535" spans="1:21" ht="16.5" customHeight="1">
      <c r="A1535" s="159" t="s">
        <v>2759</v>
      </c>
      <c r="B1535" s="114" t="str">
        <f>VLOOKUP(A1535,'Data pick slip'!B:F,5,FALSE)</f>
        <v>KLJ-MC600-00</v>
      </c>
      <c r="F1535" s="157" t="s">
        <v>2773</v>
      </c>
      <c r="H1535" s="138">
        <v>361</v>
      </c>
      <c r="I1535" s="139" t="str">
        <f>VLOOKUP(H1535,Stock_list!A:R,18,FALSE)</f>
        <v>创荣发</v>
      </c>
      <c r="J1535" s="139" t="str">
        <f>VLOOKUP(H1535,Stock_list!A:S,17,FALSE)</f>
        <v>C49SZX20190015JY</v>
      </c>
      <c r="K1535" s="51" t="str">
        <f>VLOOKUP(H1535,Stock_list!A:T,16,FALSE)</f>
        <v>JPY</v>
      </c>
      <c r="L1535" s="4">
        <v>43735</v>
      </c>
      <c r="M1535" s="132">
        <v>1</v>
      </c>
      <c r="P1535" s="4" t="str">
        <f>VLOOKUP(H1535,Stock_list!A:Y,25,FALSE)</f>
        <v>Yes</v>
      </c>
      <c r="Q1535" s="143"/>
      <c r="S1535" s="123" t="s">
        <v>3003</v>
      </c>
      <c r="T1535" s="205" t="s">
        <v>3062</v>
      </c>
      <c r="U1535" s="145" t="str">
        <f>VLOOKUP(H1535,Stock_list!A:N,14,FALSE)</f>
        <v>SEP 19</v>
      </c>
    </row>
    <row r="1536" spans="1:21" ht="16.5" customHeight="1">
      <c r="A1536" s="155" t="s">
        <v>2768</v>
      </c>
      <c r="B1536" s="114" t="str">
        <f>VLOOKUP(A1536,'Data pick slip'!B:F,5,FALSE)</f>
        <v>KHJ-MC100-00</v>
      </c>
      <c r="D1536" s="156" t="e">
        <f>VLOOKUP(C1536,Stock_list!D:L,2,FALSE)</f>
        <v>#N/A</v>
      </c>
      <c r="E1536" s="160" t="e">
        <f>VLOOKUP(C1536,Stock_list!D:L,9,FALSE)</f>
        <v>#N/A</v>
      </c>
      <c r="F1536" s="157" t="s">
        <v>2861</v>
      </c>
      <c r="H1536" s="138">
        <v>5</v>
      </c>
      <c r="I1536" s="139" t="s">
        <v>2853</v>
      </c>
      <c r="J1536" s="139" t="s">
        <v>3020</v>
      </c>
      <c r="K1536" s="51" t="s">
        <v>3002</v>
      </c>
      <c r="L1536" s="4">
        <v>43915</v>
      </c>
      <c r="M1536" s="140">
        <v>27</v>
      </c>
      <c r="P1536" s="4" t="s">
        <v>291</v>
      </c>
      <c r="Q1536" s="143"/>
      <c r="R1536" s="143"/>
      <c r="T1536" s="144"/>
      <c r="U1536" s="145" t="e">
        <f>VLOOKUP(H1536,Stock_list!A:N,14,FALSE)</f>
        <v>#N/A</v>
      </c>
    </row>
    <row r="1537" spans="1:21" ht="16.5" customHeight="1">
      <c r="A1537" s="159" t="s">
        <v>2759</v>
      </c>
      <c r="B1537" s="114" t="str">
        <f>VLOOKUP(A1537,'Data pick slip'!B:F,5,FALSE)</f>
        <v>KLJ-MC600-00</v>
      </c>
      <c r="F1537" s="157" t="s">
        <v>2773</v>
      </c>
      <c r="H1537" s="138">
        <v>361</v>
      </c>
      <c r="I1537" s="139" t="str">
        <f>VLOOKUP(H1537,Stock_list!A:R,18,FALSE)</f>
        <v>创荣发</v>
      </c>
      <c r="J1537" s="139" t="str">
        <f>VLOOKUP(H1537,Stock_list!A:S,17,FALSE)</f>
        <v>C49SZX20190015JY</v>
      </c>
      <c r="K1537" s="51" t="str">
        <f>VLOOKUP(H1537,Stock_list!A:T,16,FALSE)</f>
        <v>JPY</v>
      </c>
      <c r="L1537" s="4">
        <v>43864</v>
      </c>
      <c r="M1537" s="132">
        <v>1</v>
      </c>
      <c r="P1537" s="4" t="str">
        <f>VLOOKUP(H1537,Stock_list!A:Y,25,FALSE)</f>
        <v>Yes</v>
      </c>
      <c r="Q1537" s="143"/>
      <c r="S1537" s="123" t="s">
        <v>3003</v>
      </c>
      <c r="T1537" s="144" t="s">
        <v>3124</v>
      </c>
      <c r="U1537" s="145" t="str">
        <f>VLOOKUP(H1537,Stock_list!A:N,14,FALSE)</f>
        <v>SEP 19</v>
      </c>
    </row>
    <row r="1538" spans="1:21" ht="16.5" customHeight="1">
      <c r="A1538" s="159" t="s">
        <v>2744</v>
      </c>
      <c r="B1538" s="114" t="str">
        <f>VLOOKUP(A1538,'Data pick slip'!B:F,5,FALSE)</f>
        <v>KHJ-MC100-00</v>
      </c>
      <c r="F1538" s="157" t="s">
        <v>2861</v>
      </c>
      <c r="H1538" s="138">
        <v>365</v>
      </c>
      <c r="I1538" s="139" t="str">
        <f>VLOOKUP(H1538,Stock_list!A:R,18,FALSE)</f>
        <v>帝泰克</v>
      </c>
      <c r="J1538" s="139" t="str">
        <f>VLOOKUP(H1538,Stock_list!A:S,17,FALSE)</f>
        <v>C49SZX201901008ZX</v>
      </c>
      <c r="K1538" s="51" t="str">
        <f>VLOOKUP(H1538,Stock_list!A:T,16,FALSE)</f>
        <v>RMB</v>
      </c>
      <c r="L1538" s="4">
        <v>43650</v>
      </c>
      <c r="M1538" s="132">
        <v>100</v>
      </c>
      <c r="P1538" s="4" t="str">
        <f>VLOOKUP(H1538,Stock_list!A:Y,25,FALSE)</f>
        <v>Yes</v>
      </c>
      <c r="Q1538" s="143"/>
      <c r="T1538" s="144"/>
      <c r="U1538" s="145" t="str">
        <f>VLOOKUP(H1538,Stock_list!A:N,14,FALSE)</f>
        <v>JUL 19</v>
      </c>
    </row>
    <row r="1539" spans="1:21" ht="16.5" customHeight="1">
      <c r="A1539" s="159" t="s">
        <v>2747</v>
      </c>
      <c r="B1539" s="114" t="str">
        <f>VLOOKUP(A1539,'Data pick slip'!B:F,5,FALSE)</f>
        <v>KHJ-MC200-00</v>
      </c>
      <c r="F1539" s="157" t="s">
        <v>2861</v>
      </c>
      <c r="H1539" s="138">
        <v>365</v>
      </c>
      <c r="I1539" s="139" t="str">
        <f>VLOOKUP(H1539,Stock_list!A:R,18,FALSE)</f>
        <v>帝泰克</v>
      </c>
      <c r="J1539" s="139" t="str">
        <f>VLOOKUP(H1539,Stock_list!A:S,17,FALSE)</f>
        <v>C49SZX201901008ZX</v>
      </c>
      <c r="K1539" s="51" t="str">
        <f>VLOOKUP(H1539,Stock_list!A:T,16,FALSE)</f>
        <v>RMB</v>
      </c>
      <c r="L1539" s="4">
        <v>43650</v>
      </c>
      <c r="M1539" s="132">
        <v>30</v>
      </c>
      <c r="P1539" s="4" t="str">
        <f>VLOOKUP(H1539,Stock_list!A:Y,25,FALSE)</f>
        <v>Yes</v>
      </c>
      <c r="Q1539" s="143"/>
      <c r="T1539" s="144"/>
      <c r="U1539" s="145" t="str">
        <f>VLOOKUP(H1539,Stock_list!A:N,14,FALSE)</f>
        <v>JUL 19</v>
      </c>
    </row>
    <row r="1540" spans="1:21" ht="16.5" customHeight="1">
      <c r="A1540" s="159" t="s">
        <v>2748</v>
      </c>
      <c r="B1540" s="114" t="str">
        <f>VLOOKUP(A1540,'Data pick slip'!B:F,5,FALSE)</f>
        <v>KHJ-MC400-00</v>
      </c>
      <c r="F1540" s="157" t="s">
        <v>2861</v>
      </c>
      <c r="H1540" s="138">
        <v>365</v>
      </c>
      <c r="I1540" s="139" t="str">
        <f>VLOOKUP(H1540,Stock_list!A:R,18,FALSE)</f>
        <v>帝泰克</v>
      </c>
      <c r="J1540" s="139" t="str">
        <f>VLOOKUP(H1540,Stock_list!A:S,17,FALSE)</f>
        <v>C49SZX201901008ZX</v>
      </c>
      <c r="K1540" s="51" t="str">
        <f>VLOOKUP(H1540,Stock_list!A:T,16,FALSE)</f>
        <v>RMB</v>
      </c>
      <c r="L1540" s="4">
        <v>43650</v>
      </c>
      <c r="M1540" s="132">
        <v>5</v>
      </c>
      <c r="P1540" s="4" t="str">
        <f>VLOOKUP(H1540,Stock_list!A:Y,25,FALSE)</f>
        <v>Yes</v>
      </c>
      <c r="Q1540" s="143"/>
      <c r="T1540" s="144"/>
      <c r="U1540" s="145" t="str">
        <f>VLOOKUP(H1540,Stock_list!A:N,14,FALSE)</f>
        <v>JUL 19</v>
      </c>
    </row>
    <row r="1541" spans="1:21" ht="16.5" customHeight="1">
      <c r="A1541" s="159" t="s">
        <v>2744</v>
      </c>
      <c r="B1541" s="114" t="str">
        <f>VLOOKUP(A1541,'Data pick slip'!B:F,5,FALSE)</f>
        <v>KHJ-MC100-00</v>
      </c>
      <c r="F1541" s="157" t="s">
        <v>2861</v>
      </c>
      <c r="H1541" s="138">
        <v>371</v>
      </c>
      <c r="I1541" s="139" t="str">
        <f>VLOOKUP(H1541,Stock_list!A:R,18,FALSE)</f>
        <v>杉川/end user:放德劲</v>
      </c>
      <c r="J1541" s="139" t="str">
        <f>VLOOKUP(H1541,Stock_list!A:S,17,FALSE)</f>
        <v>C49SZX20190093JL</v>
      </c>
      <c r="K1541" s="51" t="str">
        <f>VLOOKUP(H1541,Stock_list!A:T,16,FALSE)</f>
        <v>JPY</v>
      </c>
      <c r="L1541" s="4">
        <v>43668</v>
      </c>
      <c r="M1541" s="132">
        <v>90</v>
      </c>
      <c r="P1541" s="4" t="str">
        <f>VLOOKUP(H1541,Stock_list!A:Y,25,FALSE)</f>
        <v>Yes</v>
      </c>
      <c r="Q1541" s="143"/>
      <c r="T1541" s="144"/>
      <c r="U1541" s="145" t="str">
        <f>VLOOKUP(H1541,Stock_list!A:N,14,FALSE)</f>
        <v>JUL 19</v>
      </c>
    </row>
    <row r="1542" spans="1:21" ht="16.5" customHeight="1">
      <c r="A1542" s="159" t="s">
        <v>2747</v>
      </c>
      <c r="B1542" s="114" t="str">
        <f>VLOOKUP(A1542,'Data pick slip'!B:F,5,FALSE)</f>
        <v>KHJ-MC200-00</v>
      </c>
      <c r="F1542" s="157" t="s">
        <v>2861</v>
      </c>
      <c r="H1542" s="138">
        <v>371</v>
      </c>
      <c r="I1542" s="139" t="str">
        <f>VLOOKUP(H1542,Stock_list!A:R,18,FALSE)</f>
        <v>杉川/end user:放德劲</v>
      </c>
      <c r="J1542" s="139" t="str">
        <f>VLOOKUP(H1542,Stock_list!A:S,17,FALSE)</f>
        <v>C49SZX20190093JL</v>
      </c>
      <c r="K1542" s="51" t="str">
        <f>VLOOKUP(H1542,Stock_list!A:T,16,FALSE)</f>
        <v>JPY</v>
      </c>
      <c r="L1542" s="4">
        <v>43668</v>
      </c>
      <c r="M1542" s="132">
        <v>25</v>
      </c>
      <c r="P1542" s="4" t="str">
        <f>VLOOKUP(H1542,Stock_list!A:Y,25,FALSE)</f>
        <v>Yes</v>
      </c>
      <c r="Q1542" s="143"/>
      <c r="T1542" s="144"/>
      <c r="U1542" s="145" t="str">
        <f>VLOOKUP(H1542,Stock_list!A:N,14,FALSE)</f>
        <v>JUL 19</v>
      </c>
    </row>
    <row r="1543" spans="1:21" ht="16.5" customHeight="1">
      <c r="A1543" s="159" t="s">
        <v>2747</v>
      </c>
      <c r="B1543" s="114" t="str">
        <f>VLOOKUP(A1543,'Data pick slip'!B:F,5,FALSE)</f>
        <v>KHJ-MC200-00</v>
      </c>
      <c r="F1543" s="157" t="s">
        <v>2773</v>
      </c>
      <c r="H1543" s="138">
        <v>371</v>
      </c>
      <c r="I1543" s="139" t="str">
        <f>VLOOKUP(H1543,Stock_list!A:R,18,FALSE)</f>
        <v>杉川/end user:放德劲</v>
      </c>
      <c r="J1543" s="139" t="str">
        <f>VLOOKUP(H1543,Stock_list!A:S,17,FALSE)</f>
        <v>C49SZX20190093JL</v>
      </c>
      <c r="K1543" s="51" t="str">
        <f>VLOOKUP(H1543,Stock_list!A:T,16,FALSE)</f>
        <v>JPY</v>
      </c>
      <c r="L1543" s="4">
        <v>43668</v>
      </c>
      <c r="M1543" s="132">
        <v>10</v>
      </c>
      <c r="P1543" s="4" t="str">
        <f>VLOOKUP(H1543,Stock_list!A:Y,25,FALSE)</f>
        <v>Yes</v>
      </c>
      <c r="Q1543" s="143"/>
      <c r="S1543" s="123" t="s">
        <v>3003</v>
      </c>
      <c r="T1543" s="205" t="s">
        <v>3078</v>
      </c>
      <c r="U1543" s="145" t="str">
        <f>VLOOKUP(H1543,Stock_list!A:N,14,FALSE)</f>
        <v>JUL 19</v>
      </c>
    </row>
    <row r="1544" spans="1:21" ht="16.5" customHeight="1">
      <c r="A1544" s="159" t="s">
        <v>2748</v>
      </c>
      <c r="B1544" s="114" t="str">
        <f>VLOOKUP(A1544,'Data pick slip'!B:F,5,FALSE)</f>
        <v>KHJ-MC400-00</v>
      </c>
      <c r="F1544" s="157" t="s">
        <v>2861</v>
      </c>
      <c r="H1544" s="138">
        <v>371</v>
      </c>
      <c r="I1544" s="139" t="str">
        <f>VLOOKUP(H1544,Stock_list!A:R,18,FALSE)</f>
        <v>杉川/end user:放德劲</v>
      </c>
      <c r="J1544" s="139" t="str">
        <f>VLOOKUP(H1544,Stock_list!A:S,17,FALSE)</f>
        <v>C49SZX20190093JL</v>
      </c>
      <c r="K1544" s="51" t="str">
        <f>VLOOKUP(H1544,Stock_list!A:T,16,FALSE)</f>
        <v>JPY</v>
      </c>
      <c r="L1544" s="4">
        <v>43668</v>
      </c>
      <c r="M1544" s="132">
        <v>15</v>
      </c>
      <c r="P1544" s="4" t="str">
        <f>VLOOKUP(H1544,Stock_list!A:Y,25,FALSE)</f>
        <v>Yes</v>
      </c>
      <c r="Q1544" s="143"/>
      <c r="T1544" s="144"/>
      <c r="U1544" s="145" t="str">
        <f>VLOOKUP(H1544,Stock_list!A:N,14,FALSE)</f>
        <v>JUL 19</v>
      </c>
    </row>
    <row r="1545" spans="1:21" ht="16.5" customHeight="1">
      <c r="A1545" s="159" t="s">
        <v>2749</v>
      </c>
      <c r="B1545" s="114" t="str">
        <f>VLOOKUP(A1545,'Data pick slip'!B:F,5,FALSE)</f>
        <v>KHJ-MC500-00</v>
      </c>
      <c r="F1545" s="157" t="s">
        <v>2773</v>
      </c>
      <c r="H1545" s="138">
        <v>371</v>
      </c>
      <c r="I1545" s="139" t="str">
        <f>VLOOKUP(H1545,Stock_list!A:R,18,FALSE)</f>
        <v>杉川/end user:放德劲</v>
      </c>
      <c r="J1545" s="139" t="str">
        <f>VLOOKUP(H1545,Stock_list!A:S,17,FALSE)</f>
        <v>C49SZX20190093JL</v>
      </c>
      <c r="K1545" s="51" t="str">
        <f>VLOOKUP(H1545,Stock_list!A:T,16,FALSE)</f>
        <v>JPY</v>
      </c>
      <c r="L1545" s="4">
        <v>43668</v>
      </c>
      <c r="M1545" s="132">
        <v>1</v>
      </c>
      <c r="P1545" s="4" t="str">
        <f>VLOOKUP(H1545,Stock_list!A:Y,25,FALSE)</f>
        <v>Yes</v>
      </c>
      <c r="Q1545" s="143"/>
      <c r="S1545" s="123" t="s">
        <v>3003</v>
      </c>
      <c r="T1545" s="205" t="s">
        <v>3078</v>
      </c>
      <c r="U1545" s="145" t="str">
        <f>VLOOKUP(H1545,Stock_list!A:N,14,FALSE)</f>
        <v>JUL 19</v>
      </c>
    </row>
    <row r="1546" spans="1:21" ht="16.5" customHeight="1">
      <c r="A1546" s="159" t="s">
        <v>2750</v>
      </c>
      <c r="B1546" s="114" t="str">
        <f>VLOOKUP(A1546,'Data pick slip'!B:F,5,FALSE)</f>
        <v>KHJ-MC600-00</v>
      </c>
      <c r="F1546" s="157" t="s">
        <v>2773</v>
      </c>
      <c r="H1546" s="138">
        <v>371</v>
      </c>
      <c r="I1546" s="139" t="str">
        <f>VLOOKUP(H1546,Stock_list!A:R,18,FALSE)</f>
        <v>杉川/end user:放德劲</v>
      </c>
      <c r="J1546" s="139" t="str">
        <f>VLOOKUP(H1546,Stock_list!A:S,17,FALSE)</f>
        <v>C49SZX20190093JL</v>
      </c>
      <c r="K1546" s="51" t="str">
        <f>VLOOKUP(H1546,Stock_list!A:T,16,FALSE)</f>
        <v>JPY</v>
      </c>
      <c r="L1546" s="4">
        <v>43668</v>
      </c>
      <c r="M1546" s="132">
        <v>1</v>
      </c>
      <c r="P1546" s="4" t="str">
        <f>VLOOKUP(H1546,Stock_list!A:Y,25,FALSE)</f>
        <v>Yes</v>
      </c>
      <c r="Q1546" s="143"/>
      <c r="S1546" s="123" t="s">
        <v>3003</v>
      </c>
      <c r="T1546" s="205" t="s">
        <v>3078</v>
      </c>
      <c r="U1546" s="145" t="str">
        <f>VLOOKUP(H1546,Stock_list!A:N,14,FALSE)</f>
        <v>JUL 19</v>
      </c>
    </row>
    <row r="1547" spans="1:21" ht="16.5" customHeight="1">
      <c r="A1547" s="159" t="s">
        <v>2744</v>
      </c>
      <c r="B1547" s="114" t="str">
        <f>VLOOKUP(A1547,'Data pick slip'!B:F,5,FALSE)</f>
        <v>KHJ-MC100-00</v>
      </c>
      <c r="F1547" s="157" t="s">
        <v>2861</v>
      </c>
      <c r="H1547" s="138">
        <v>376</v>
      </c>
      <c r="I1547" s="139" t="str">
        <f>VLOOKUP(H1547,Stock_list!A:R,18,FALSE)</f>
        <v>汇杰伟业</v>
      </c>
      <c r="J1547" s="139" t="str">
        <f>VLOOKUP(H1547,Stock_list!A:S,17,FALSE)</f>
        <v>C49SZX20190109MZ</v>
      </c>
      <c r="K1547" s="51" t="str">
        <f>VLOOKUP(H1547,Stock_list!A:T,16,FALSE)</f>
        <v>JPY</v>
      </c>
      <c r="L1547" s="4">
        <v>43669</v>
      </c>
      <c r="M1547" s="140">
        <v>40</v>
      </c>
      <c r="P1547" s="4" t="str">
        <f>VLOOKUP(H1547,Stock_list!A:Y,25,FALSE)</f>
        <v>Yes</v>
      </c>
      <c r="Q1547" s="143"/>
      <c r="S1547" s="123" t="s">
        <v>3003</v>
      </c>
      <c r="T1547" s="144"/>
      <c r="U1547" s="145" t="str">
        <f>VLOOKUP(H1547,Stock_list!A:N,14,FALSE)</f>
        <v>JUL 19</v>
      </c>
    </row>
    <row r="1548" spans="1:21" ht="16.5" customHeight="1">
      <c r="A1548" s="159" t="s">
        <v>2744</v>
      </c>
      <c r="B1548" s="114" t="str">
        <f>VLOOKUP(A1548,'Data pick slip'!B:F,5,FALSE)</f>
        <v>KHJ-MC100-00</v>
      </c>
      <c r="F1548" s="157" t="s">
        <v>2773</v>
      </c>
      <c r="I1548" s="139" t="s">
        <v>2853</v>
      </c>
      <c r="J1548" s="139" t="s">
        <v>3125</v>
      </c>
      <c r="K1548" s="51" t="s">
        <v>3002</v>
      </c>
      <c r="L1548" s="4">
        <v>43649</v>
      </c>
      <c r="M1548" s="140">
        <v>3</v>
      </c>
      <c r="P1548" s="4" t="s">
        <v>291</v>
      </c>
      <c r="Q1548" s="143"/>
      <c r="S1548" s="123" t="s">
        <v>3003</v>
      </c>
      <c r="T1548" s="144" t="s">
        <v>3126</v>
      </c>
      <c r="U1548" s="145" t="e">
        <f>VLOOKUP(H1548,Stock_list!A:N,14,FALSE)</f>
        <v>#N/A</v>
      </c>
    </row>
    <row r="1549" spans="1:21" ht="16.5" customHeight="1">
      <c r="A1549" s="159" t="s">
        <v>2744</v>
      </c>
      <c r="B1549" s="114" t="str">
        <f>VLOOKUP(A1549,'Data pick slip'!B:F,5,FALSE)</f>
        <v>KHJ-MC100-00</v>
      </c>
      <c r="F1549" s="157" t="s">
        <v>2773</v>
      </c>
      <c r="I1549" s="139" t="s">
        <v>3099</v>
      </c>
      <c r="J1549" s="139" t="s">
        <v>3127</v>
      </c>
      <c r="K1549" s="51" t="s">
        <v>1246</v>
      </c>
      <c r="L1549" s="4">
        <v>43656</v>
      </c>
      <c r="M1549" s="140">
        <v>10</v>
      </c>
      <c r="P1549" s="4" t="s">
        <v>291</v>
      </c>
      <c r="Q1549" s="143"/>
      <c r="T1549" s="144"/>
      <c r="U1549" s="145" t="e">
        <f>VLOOKUP(H1549,Stock_list!A:N,14,FALSE)</f>
        <v>#N/A</v>
      </c>
    </row>
    <row r="1550" spans="1:21" ht="16.5" customHeight="1">
      <c r="A1550" s="159" t="s">
        <v>2747</v>
      </c>
      <c r="B1550" s="114" t="str">
        <f>VLOOKUP(A1550,'Data pick slip'!B:F,5,FALSE)</f>
        <v>KHJ-MC200-00</v>
      </c>
      <c r="F1550" s="157" t="s">
        <v>2773</v>
      </c>
      <c r="I1550" s="139" t="s">
        <v>2853</v>
      </c>
      <c r="J1550" s="139" t="s">
        <v>3128</v>
      </c>
      <c r="K1550" s="51" t="s">
        <v>3002</v>
      </c>
      <c r="L1550" s="4">
        <v>43655</v>
      </c>
      <c r="M1550" s="140">
        <v>5</v>
      </c>
      <c r="P1550" s="4" t="s">
        <v>291</v>
      </c>
      <c r="Q1550" s="143"/>
      <c r="S1550" s="123" t="s">
        <v>3003</v>
      </c>
      <c r="T1550" s="144" t="s">
        <v>3129</v>
      </c>
      <c r="U1550" s="145" t="e">
        <f>VLOOKUP(H1550,Stock_list!A:N,14,FALSE)</f>
        <v>#N/A</v>
      </c>
    </row>
    <row r="1551" spans="1:21" ht="16.5" customHeight="1">
      <c r="A1551" s="159" t="s">
        <v>2744</v>
      </c>
      <c r="B1551" s="114" t="str">
        <f>VLOOKUP(A1551,'Data pick slip'!B:F,5,FALSE)</f>
        <v>KHJ-MC100-00</v>
      </c>
      <c r="F1551" s="157" t="s">
        <v>2773</v>
      </c>
      <c r="H1551" s="138">
        <v>375</v>
      </c>
      <c r="I1551" s="139" t="str">
        <f>VLOOKUP(H1551,Stock_list!A:R,18,FALSE)</f>
        <v>方案集</v>
      </c>
      <c r="J1551" s="139" t="str">
        <f>VLOOKUP(H1551,Stock_list!A:S,17,FALSE)</f>
        <v>C49SZX20190107DZ</v>
      </c>
      <c r="K1551" s="51" t="str">
        <f>VLOOKUP(H1551,Stock_list!A:T,16,FALSE)</f>
        <v>RMB</v>
      </c>
      <c r="L1551" s="4">
        <v>43661</v>
      </c>
      <c r="M1551" s="132">
        <v>44</v>
      </c>
      <c r="P1551" s="4" t="str">
        <f>VLOOKUP(H1551,Stock_list!A:Y,25,FALSE)</f>
        <v>Yes</v>
      </c>
      <c r="Q1551" s="143"/>
      <c r="T1551" s="144"/>
      <c r="U1551" s="145" t="str">
        <f>VLOOKUP(H1551,Stock_list!A:N,14,FALSE)</f>
        <v>JUL 19</v>
      </c>
    </row>
    <row r="1552" spans="1:21" ht="16.5" customHeight="1">
      <c r="A1552" s="159" t="s">
        <v>2747</v>
      </c>
      <c r="B1552" s="114" t="str">
        <f>VLOOKUP(A1552,'Data pick slip'!B:F,5,FALSE)</f>
        <v>KHJ-MC200-00</v>
      </c>
      <c r="F1552" s="157" t="s">
        <v>2773</v>
      </c>
      <c r="H1552" s="138">
        <v>375</v>
      </c>
      <c r="I1552" s="139" t="str">
        <f>VLOOKUP(H1552,Stock_list!A:R,18,FALSE)</f>
        <v>方案集</v>
      </c>
      <c r="J1552" s="139" t="str">
        <f>VLOOKUP(H1552,Stock_list!A:S,17,FALSE)</f>
        <v>C49SZX20190107DZ</v>
      </c>
      <c r="K1552" s="51" t="str">
        <f>VLOOKUP(H1552,Stock_list!A:T,16,FALSE)</f>
        <v>RMB</v>
      </c>
      <c r="L1552" s="4">
        <v>43661</v>
      </c>
      <c r="M1552" s="132">
        <v>10</v>
      </c>
      <c r="P1552" s="4" t="str">
        <f>VLOOKUP(H1552,Stock_list!A:Y,25,FALSE)</f>
        <v>Yes</v>
      </c>
      <c r="Q1552" s="143"/>
      <c r="T1552" s="144"/>
      <c r="U1552" s="145" t="str">
        <f>VLOOKUP(H1552,Stock_list!A:N,14,FALSE)</f>
        <v>JUL 19</v>
      </c>
    </row>
    <row r="1553" spans="1:21" ht="16.5" customHeight="1">
      <c r="A1553" s="159" t="s">
        <v>2748</v>
      </c>
      <c r="B1553" s="114" t="str">
        <f>VLOOKUP(A1553,'Data pick slip'!B:F,5,FALSE)</f>
        <v>KHJ-MC400-00</v>
      </c>
      <c r="F1553" s="157" t="s">
        <v>2773</v>
      </c>
      <c r="H1553" s="138">
        <v>375</v>
      </c>
      <c r="I1553" s="139" t="str">
        <f>VLOOKUP(H1553,Stock_list!A:R,18,FALSE)</f>
        <v>方案集</v>
      </c>
      <c r="J1553" s="139" t="str">
        <f>VLOOKUP(H1553,Stock_list!A:S,17,FALSE)</f>
        <v>C49SZX20190107DZ</v>
      </c>
      <c r="K1553" s="51" t="str">
        <f>VLOOKUP(H1553,Stock_list!A:T,16,FALSE)</f>
        <v>RMB</v>
      </c>
      <c r="L1553" s="4">
        <v>43661</v>
      </c>
      <c r="M1553" s="132">
        <v>2</v>
      </c>
      <c r="P1553" s="4" t="str">
        <f>VLOOKUP(H1553,Stock_list!A:Y,25,FALSE)</f>
        <v>Yes</v>
      </c>
      <c r="Q1553" s="143"/>
      <c r="T1553" s="144"/>
      <c r="U1553" s="145" t="str">
        <f>VLOOKUP(H1553,Stock_list!A:N,14,FALSE)</f>
        <v>JUL 19</v>
      </c>
    </row>
    <row r="1554" spans="1:21" ht="16.5" customHeight="1">
      <c r="A1554" s="159" t="s">
        <v>2749</v>
      </c>
      <c r="B1554" s="114" t="str">
        <f>VLOOKUP(A1554,'Data pick slip'!B:F,5,FALSE)</f>
        <v>KHJ-MC500-00</v>
      </c>
      <c r="F1554" s="157" t="s">
        <v>2773</v>
      </c>
      <c r="H1554" s="138">
        <v>375</v>
      </c>
      <c r="I1554" s="139" t="str">
        <f>VLOOKUP(H1554,Stock_list!A:R,18,FALSE)</f>
        <v>方案集</v>
      </c>
      <c r="J1554" s="139" t="str">
        <f>VLOOKUP(H1554,Stock_list!A:S,17,FALSE)</f>
        <v>C49SZX20190107DZ</v>
      </c>
      <c r="K1554" s="51" t="str">
        <f>VLOOKUP(H1554,Stock_list!A:T,16,FALSE)</f>
        <v>RMB</v>
      </c>
      <c r="L1554" s="4">
        <v>43661</v>
      </c>
      <c r="M1554" s="132">
        <v>2</v>
      </c>
      <c r="P1554" s="4" t="str">
        <f>VLOOKUP(H1554,Stock_list!A:Y,25,FALSE)</f>
        <v>Yes</v>
      </c>
      <c r="Q1554" s="143"/>
      <c r="T1554" s="144"/>
      <c r="U1554" s="145" t="str">
        <f>VLOOKUP(H1554,Stock_list!A:N,14,FALSE)</f>
        <v>JUL 19</v>
      </c>
    </row>
    <row r="1555" spans="1:21" ht="16.5" customHeight="1">
      <c r="A1555" s="159" t="s">
        <v>2747</v>
      </c>
      <c r="B1555" s="114" t="str">
        <f>VLOOKUP(A1555,'Data pick slip'!B:F,5,FALSE)</f>
        <v>KHJ-MC200-00</v>
      </c>
      <c r="F1555" s="157" t="s">
        <v>2861</v>
      </c>
      <c r="I1555" s="139" t="s">
        <v>3015</v>
      </c>
      <c r="J1555" s="139" t="s">
        <v>3130</v>
      </c>
      <c r="K1555" s="51" t="s">
        <v>1246</v>
      </c>
      <c r="L1555" s="4">
        <v>43662</v>
      </c>
      <c r="M1555" s="140">
        <v>30</v>
      </c>
      <c r="P1555" s="4" t="s">
        <v>291</v>
      </c>
      <c r="Q1555" s="143"/>
      <c r="T1555" s="144"/>
      <c r="U1555" s="145" t="e">
        <f>VLOOKUP(H1555,Stock_list!A:N,14,FALSE)</f>
        <v>#N/A</v>
      </c>
    </row>
    <row r="1556" spans="1:21" ht="16.5" customHeight="1">
      <c r="A1556" s="159" t="s">
        <v>2747</v>
      </c>
      <c r="B1556" s="114" t="str">
        <f>VLOOKUP(A1556,'Data pick slip'!B:F,5,FALSE)</f>
        <v>KHJ-MC200-00</v>
      </c>
      <c r="F1556" s="157" t="s">
        <v>2773</v>
      </c>
      <c r="I1556" s="139" t="s">
        <v>2853</v>
      </c>
      <c r="J1556" s="139" t="s">
        <v>3131</v>
      </c>
      <c r="K1556" s="51" t="s">
        <v>3002</v>
      </c>
      <c r="L1556" s="4">
        <v>43658</v>
      </c>
      <c r="M1556" s="140">
        <v>2</v>
      </c>
      <c r="P1556" s="4" t="s">
        <v>291</v>
      </c>
      <c r="Q1556" s="143"/>
      <c r="S1556" s="123" t="s">
        <v>3003</v>
      </c>
      <c r="T1556" s="144" t="s">
        <v>3132</v>
      </c>
      <c r="U1556" s="145" t="e">
        <f>VLOOKUP(H1556,Stock_list!A:N,14,FALSE)</f>
        <v>#N/A</v>
      </c>
    </row>
    <row r="1557" spans="1:21" ht="16.5" customHeight="1">
      <c r="A1557" s="159" t="s">
        <v>2747</v>
      </c>
      <c r="B1557" s="114" t="str">
        <f>VLOOKUP(A1557,'Data pick slip'!B:F,5,FALSE)</f>
        <v>KHJ-MC200-00</v>
      </c>
      <c r="F1557" s="157" t="s">
        <v>2773</v>
      </c>
      <c r="I1557" s="139" t="s">
        <v>3093</v>
      </c>
      <c r="J1557" s="139" t="s">
        <v>3133</v>
      </c>
      <c r="K1557" s="51" t="s">
        <v>1246</v>
      </c>
      <c r="L1557" s="4">
        <v>43663</v>
      </c>
      <c r="M1557" s="140">
        <v>15</v>
      </c>
      <c r="P1557" s="4" t="s">
        <v>291</v>
      </c>
      <c r="Q1557" s="143"/>
      <c r="T1557" s="144"/>
      <c r="U1557" s="145" t="e">
        <f>VLOOKUP(H1557,Stock_list!A:N,14,FALSE)</f>
        <v>#N/A</v>
      </c>
    </row>
    <row r="1558" spans="1:21" ht="16.5" customHeight="1">
      <c r="A1558" s="159" t="s">
        <v>2747</v>
      </c>
      <c r="B1558" s="114" t="str">
        <f>VLOOKUP(A1558,'Data pick slip'!B:F,5,FALSE)</f>
        <v>KHJ-MC200-00</v>
      </c>
      <c r="F1558" s="157" t="s">
        <v>2773</v>
      </c>
      <c r="I1558" s="139" t="s">
        <v>3115</v>
      </c>
      <c r="J1558" s="139" t="s">
        <v>3134</v>
      </c>
      <c r="K1558" s="51" t="s">
        <v>1246</v>
      </c>
      <c r="L1558" s="4">
        <v>43664</v>
      </c>
      <c r="M1558" s="140">
        <v>10</v>
      </c>
      <c r="P1558" s="4" t="s">
        <v>291</v>
      </c>
      <c r="Q1558" s="143"/>
      <c r="T1558" s="144"/>
      <c r="U1558" s="145" t="e">
        <f>VLOOKUP(H1558,Stock_list!A:N,14,FALSE)</f>
        <v>#N/A</v>
      </c>
    </row>
    <row r="1559" spans="1:21" ht="16.5" customHeight="1">
      <c r="A1559" s="159" t="s">
        <v>2749</v>
      </c>
      <c r="B1559" s="114" t="str">
        <f>VLOOKUP(A1559,'Data pick slip'!B:F,5,FALSE)</f>
        <v>KHJ-MC500-00</v>
      </c>
      <c r="F1559" s="157" t="s">
        <v>2773</v>
      </c>
      <c r="I1559" s="139" t="s">
        <v>3135</v>
      </c>
      <c r="J1559" s="139" t="s">
        <v>3136</v>
      </c>
      <c r="K1559" s="51" t="s">
        <v>3002</v>
      </c>
      <c r="L1559" s="4">
        <v>43663</v>
      </c>
      <c r="M1559" s="140">
        <v>2</v>
      </c>
      <c r="P1559" s="4" t="s">
        <v>291</v>
      </c>
      <c r="Q1559" s="143"/>
      <c r="S1559" s="123" t="s">
        <v>3003</v>
      </c>
      <c r="T1559" s="205" t="s">
        <v>3137</v>
      </c>
      <c r="U1559" s="145" t="e">
        <f>VLOOKUP(H1559,Stock_list!A:N,14,FALSE)</f>
        <v>#N/A</v>
      </c>
    </row>
    <row r="1560" spans="1:21" ht="16.5" customHeight="1">
      <c r="A1560" s="159" t="s">
        <v>2750</v>
      </c>
      <c r="B1560" s="114" t="str">
        <f>VLOOKUP(A1560,'Data pick slip'!B:F,5,FALSE)</f>
        <v>KHJ-MC600-00</v>
      </c>
      <c r="F1560" s="157" t="s">
        <v>2773</v>
      </c>
      <c r="I1560" s="139" t="s">
        <v>3135</v>
      </c>
      <c r="J1560" s="139" t="s">
        <v>3136</v>
      </c>
      <c r="K1560" s="51" t="s">
        <v>3002</v>
      </c>
      <c r="L1560" s="4">
        <v>43663</v>
      </c>
      <c r="M1560" s="140">
        <v>1</v>
      </c>
      <c r="P1560" s="4" t="s">
        <v>291</v>
      </c>
      <c r="Q1560" s="143"/>
      <c r="S1560" s="123" t="s">
        <v>3003</v>
      </c>
      <c r="T1560" s="205" t="s">
        <v>3137</v>
      </c>
      <c r="U1560" s="145" t="e">
        <f>VLOOKUP(H1560,Stock_list!A:N,14,FALSE)</f>
        <v>#N/A</v>
      </c>
    </row>
    <row r="1561" spans="1:21" ht="16.5" customHeight="1">
      <c r="A1561" s="159" t="s">
        <v>2747</v>
      </c>
      <c r="B1561" s="114" t="str">
        <f>VLOOKUP(A1561,'Data pick slip'!B:F,5,FALSE)</f>
        <v>KHJ-MC200-00</v>
      </c>
      <c r="F1561" s="157" t="s">
        <v>2861</v>
      </c>
      <c r="I1561" s="139" t="s">
        <v>3015</v>
      </c>
      <c r="J1561" s="139" t="s">
        <v>3138</v>
      </c>
      <c r="K1561" s="51" t="s">
        <v>1246</v>
      </c>
      <c r="L1561" s="4">
        <v>43662</v>
      </c>
      <c r="M1561" s="140">
        <v>10</v>
      </c>
      <c r="P1561" s="4" t="s">
        <v>291</v>
      </c>
      <c r="Q1561" s="143"/>
      <c r="T1561" s="144"/>
      <c r="U1561" s="145" t="e">
        <f>VLOOKUP(H1561,Stock_list!A:N,14,FALSE)</f>
        <v>#N/A</v>
      </c>
    </row>
    <row r="1562" spans="1:21" ht="16.5" customHeight="1">
      <c r="A1562" s="159" t="s">
        <v>2748</v>
      </c>
      <c r="B1562" s="114" t="str">
        <f>VLOOKUP(A1562,'Data pick slip'!B:F,5,FALSE)</f>
        <v>KHJ-MC400-00</v>
      </c>
      <c r="F1562" s="157" t="s">
        <v>2773</v>
      </c>
      <c r="I1562" s="139" t="s">
        <v>3139</v>
      </c>
      <c r="J1562" s="139" t="s">
        <v>3140</v>
      </c>
      <c r="K1562" s="51" t="s">
        <v>1246</v>
      </c>
      <c r="L1562" s="4">
        <v>43661</v>
      </c>
      <c r="M1562" s="140">
        <v>1</v>
      </c>
      <c r="P1562" s="4" t="s">
        <v>291</v>
      </c>
      <c r="Q1562" s="143"/>
      <c r="T1562" s="144"/>
      <c r="U1562" s="145" t="e">
        <f>VLOOKUP(H1562,Stock_list!A:N,14,FALSE)</f>
        <v>#N/A</v>
      </c>
    </row>
    <row r="1563" spans="1:21" ht="16.5" customHeight="1">
      <c r="A1563" s="159" t="s">
        <v>2747</v>
      </c>
      <c r="B1563" s="114" t="str">
        <f>VLOOKUP(A1563,'Data pick slip'!B:F,5,FALSE)</f>
        <v>KHJ-MC200-00</v>
      </c>
      <c r="F1563" s="157" t="s">
        <v>2773</v>
      </c>
      <c r="I1563" s="139" t="s">
        <v>3093</v>
      </c>
      <c r="J1563" s="139" t="s">
        <v>3141</v>
      </c>
      <c r="K1563" s="51" t="s">
        <v>1246</v>
      </c>
      <c r="L1563" s="4">
        <v>43662</v>
      </c>
      <c r="M1563" s="140">
        <v>3</v>
      </c>
      <c r="P1563" s="4" t="s">
        <v>291</v>
      </c>
      <c r="Q1563" s="143"/>
      <c r="T1563" s="144"/>
      <c r="U1563" s="145" t="e">
        <f>VLOOKUP(H1563,Stock_list!A:N,14,FALSE)</f>
        <v>#N/A</v>
      </c>
    </row>
    <row r="1564" spans="1:21" ht="16.5" customHeight="1">
      <c r="A1564" s="159" t="s">
        <v>2748</v>
      </c>
      <c r="B1564" s="114" t="str">
        <f>VLOOKUP(A1564,'Data pick slip'!B:F,5,FALSE)</f>
        <v>KHJ-MC400-00</v>
      </c>
      <c r="F1564" s="157" t="s">
        <v>2773</v>
      </c>
      <c r="I1564" s="139" t="s">
        <v>3093</v>
      </c>
      <c r="J1564" s="139" t="s">
        <v>3141</v>
      </c>
      <c r="K1564" s="51" t="s">
        <v>1246</v>
      </c>
      <c r="L1564" s="4">
        <v>43662</v>
      </c>
      <c r="M1564" s="140">
        <v>2</v>
      </c>
      <c r="P1564" s="4" t="s">
        <v>291</v>
      </c>
      <c r="Q1564" s="143"/>
      <c r="T1564" s="144"/>
      <c r="U1564" s="145" t="e">
        <f>VLOOKUP(H1564,Stock_list!A:N,14,FALSE)</f>
        <v>#N/A</v>
      </c>
    </row>
    <row r="1565" spans="1:21" ht="16.5" customHeight="1">
      <c r="A1565" s="159" t="s">
        <v>2749</v>
      </c>
      <c r="B1565" s="114" t="str">
        <f>VLOOKUP(A1565,'Data pick slip'!B:F,5,FALSE)</f>
        <v>KHJ-MC500-00</v>
      </c>
      <c r="F1565" s="157" t="s">
        <v>2773</v>
      </c>
      <c r="I1565" s="139" t="s">
        <v>3093</v>
      </c>
      <c r="J1565" s="139" t="s">
        <v>3141</v>
      </c>
      <c r="K1565" s="51" t="s">
        <v>1246</v>
      </c>
      <c r="L1565" s="4">
        <v>43662</v>
      </c>
      <c r="M1565" s="140">
        <v>3</v>
      </c>
      <c r="P1565" s="4" t="s">
        <v>291</v>
      </c>
      <c r="Q1565" s="143"/>
      <c r="T1565" s="144"/>
      <c r="U1565" s="145" t="e">
        <f>VLOOKUP(H1565,Stock_list!A:N,14,FALSE)</f>
        <v>#N/A</v>
      </c>
    </row>
    <row r="1566" spans="1:21" ht="16.5" customHeight="1">
      <c r="A1566" s="159" t="s">
        <v>2744</v>
      </c>
      <c r="B1566" s="114" t="str">
        <f>VLOOKUP(A1566,'Data pick slip'!B:F,5,FALSE)</f>
        <v>KHJ-MC100-00</v>
      </c>
      <c r="F1566" s="157" t="s">
        <v>2773</v>
      </c>
      <c r="I1566" s="139" t="s">
        <v>3093</v>
      </c>
      <c r="J1566" s="139" t="s">
        <v>3142</v>
      </c>
      <c r="K1566" s="51" t="s">
        <v>1246</v>
      </c>
      <c r="L1566" s="4">
        <v>43662</v>
      </c>
      <c r="M1566" s="140">
        <v>15</v>
      </c>
      <c r="P1566" s="4" t="s">
        <v>291</v>
      </c>
      <c r="Q1566" s="143"/>
      <c r="T1566" s="144"/>
      <c r="U1566" s="145" t="e">
        <f>VLOOKUP(H1566,Stock_list!A:N,14,FALSE)</f>
        <v>#N/A</v>
      </c>
    </row>
    <row r="1567" spans="1:21" ht="16.5" customHeight="1">
      <c r="A1567" s="159" t="s">
        <v>2744</v>
      </c>
      <c r="B1567" s="114" t="str">
        <f>VLOOKUP(A1567,'Data pick slip'!B:F,5,FALSE)</f>
        <v>KHJ-MC100-00</v>
      </c>
      <c r="F1567" s="157" t="s">
        <v>2861</v>
      </c>
      <c r="I1567" s="139" t="s">
        <v>3015</v>
      </c>
      <c r="J1567" s="139" t="s">
        <v>3143</v>
      </c>
      <c r="K1567" s="51" t="s">
        <v>1246</v>
      </c>
      <c r="L1567" s="4">
        <v>43665</v>
      </c>
      <c r="M1567" s="140">
        <v>50</v>
      </c>
      <c r="P1567" s="4" t="s">
        <v>291</v>
      </c>
      <c r="Q1567" s="143"/>
      <c r="T1567" s="144"/>
      <c r="U1567" s="145" t="e">
        <f>VLOOKUP(H1567,Stock_list!A:N,14,FALSE)</f>
        <v>#N/A</v>
      </c>
    </row>
    <row r="1568" spans="1:21" ht="16.5" customHeight="1">
      <c r="A1568" s="159" t="s">
        <v>3054</v>
      </c>
      <c r="B1568" s="114"/>
      <c r="F1568" s="157" t="s">
        <v>2773</v>
      </c>
      <c r="H1568" s="138">
        <v>291</v>
      </c>
      <c r="I1568" s="139" t="str">
        <f>VLOOKUP(H1568,Stock_list!A:R,18,FALSE)</f>
        <v>宝捷</v>
      </c>
      <c r="J1568" s="139" t="str">
        <f>VLOOKUP(H1568,Stock_list!A:S,17,FALSE)</f>
        <v>C49SZX20190060DZ</v>
      </c>
      <c r="K1568" s="51" t="str">
        <f>VLOOKUP(H1568,Stock_list!A:T,16,FALSE)</f>
        <v>JPY</v>
      </c>
      <c r="L1568" s="4">
        <v>43689</v>
      </c>
      <c r="M1568" s="140">
        <v>1</v>
      </c>
      <c r="P1568" s="4" t="s">
        <v>291</v>
      </c>
      <c r="Q1568" s="143"/>
      <c r="S1568" s="123" t="s">
        <v>3003</v>
      </c>
      <c r="T1568" s="205" t="s">
        <v>3071</v>
      </c>
      <c r="U1568" s="145" t="str">
        <f>VLOOKUP(H1568,Stock_list!A:N,14,FALSE)</f>
        <v>AUG 19</v>
      </c>
    </row>
    <row r="1569" spans="1:21" ht="16.5" customHeight="1">
      <c r="A1569" s="159" t="s">
        <v>2750</v>
      </c>
      <c r="B1569" s="114" t="str">
        <f>VLOOKUP(A1569,'Data pick slip'!B:F,5,FALSE)</f>
        <v>KHJ-MC600-00</v>
      </c>
      <c r="F1569" s="157" t="s">
        <v>2773</v>
      </c>
      <c r="I1569" s="139" t="s">
        <v>3093</v>
      </c>
      <c r="J1569" s="139" t="s">
        <v>3144</v>
      </c>
      <c r="K1569" s="51" t="s">
        <v>1246</v>
      </c>
      <c r="L1569" s="4">
        <v>43675</v>
      </c>
      <c r="M1569" s="140">
        <v>1</v>
      </c>
      <c r="P1569" s="4" t="s">
        <v>291</v>
      </c>
      <c r="Q1569" s="143"/>
      <c r="T1569" s="144"/>
      <c r="U1569" s="145" t="e">
        <f>VLOOKUP(H1569,Stock_list!A:N,14,FALSE)</f>
        <v>#N/A</v>
      </c>
    </row>
    <row r="1570" spans="1:21" ht="16.5" customHeight="1">
      <c r="A1570" s="159" t="s">
        <v>2748</v>
      </c>
      <c r="B1570" s="114" t="str">
        <f>VLOOKUP(A1570,'Data pick slip'!B:F,5,FALSE)</f>
        <v>KHJ-MC400-00</v>
      </c>
      <c r="F1570" s="157" t="s">
        <v>2773</v>
      </c>
      <c r="I1570" s="139" t="s">
        <v>2853</v>
      </c>
      <c r="J1570" s="139" t="s">
        <v>3145</v>
      </c>
      <c r="K1570" s="51" t="s">
        <v>3002</v>
      </c>
      <c r="L1570" s="4">
        <v>43672</v>
      </c>
      <c r="M1570" s="140">
        <v>2</v>
      </c>
      <c r="P1570" s="4" t="s">
        <v>291</v>
      </c>
      <c r="Q1570" s="143"/>
      <c r="S1570" s="123" t="s">
        <v>3003</v>
      </c>
      <c r="T1570" s="144" t="s">
        <v>3146</v>
      </c>
      <c r="U1570" s="145" t="e">
        <f>VLOOKUP(H1570,Stock_list!A:N,14,FALSE)</f>
        <v>#N/A</v>
      </c>
    </row>
    <row r="1571" spans="1:21" ht="16.5" customHeight="1">
      <c r="A1571" s="159" t="s">
        <v>2751</v>
      </c>
      <c r="B1571" s="114" t="str">
        <f>VLOOKUP(A1571,'Data pick slip'!B:F,5,FALSE)</f>
        <v>KHJ-MC700-00</v>
      </c>
      <c r="F1571" s="157" t="s">
        <v>2773</v>
      </c>
      <c r="I1571" s="139" t="s">
        <v>3115</v>
      </c>
      <c r="J1571" s="139" t="s">
        <v>3147</v>
      </c>
      <c r="K1571" s="51" t="s">
        <v>1246</v>
      </c>
      <c r="L1571" s="4">
        <v>43679</v>
      </c>
      <c r="M1571" s="140">
        <v>1</v>
      </c>
      <c r="P1571" s="4" t="s">
        <v>291</v>
      </c>
      <c r="Q1571" s="143"/>
      <c r="T1571" s="144" t="s">
        <v>3086</v>
      </c>
      <c r="U1571" s="145" t="e">
        <f>VLOOKUP(H1571,Stock_list!A:N,14,FALSE)</f>
        <v>#N/A</v>
      </c>
    </row>
    <row r="1572" spans="1:21" ht="16.5" customHeight="1">
      <c r="A1572" s="159" t="s">
        <v>2747</v>
      </c>
      <c r="B1572" s="114" t="str">
        <f>VLOOKUP(A1572,'Data pick slip'!B:F,5,FALSE)</f>
        <v>KHJ-MC200-00</v>
      </c>
      <c r="F1572" s="157" t="s">
        <v>2861</v>
      </c>
      <c r="I1572" s="139" t="s">
        <v>3015</v>
      </c>
      <c r="J1572" s="139" t="s">
        <v>3148</v>
      </c>
      <c r="K1572" s="51" t="s">
        <v>1246</v>
      </c>
      <c r="L1572" s="4">
        <v>43684</v>
      </c>
      <c r="M1572" s="140">
        <v>27</v>
      </c>
      <c r="P1572" s="4" t="s">
        <v>291</v>
      </c>
      <c r="Q1572" s="143"/>
      <c r="T1572" s="144"/>
      <c r="U1572" s="145" t="e">
        <f>VLOOKUP(H1572,Stock_list!A:N,14,FALSE)</f>
        <v>#N/A</v>
      </c>
    </row>
    <row r="1573" spans="1:21" ht="16.5" customHeight="1">
      <c r="A1573" s="159" t="s">
        <v>2749</v>
      </c>
      <c r="B1573" s="114" t="str">
        <f>VLOOKUP(A1573,'Data pick slip'!B:F,5,FALSE)</f>
        <v>KHJ-MC500-00</v>
      </c>
      <c r="F1573" s="157" t="s">
        <v>2861</v>
      </c>
      <c r="I1573" s="139" t="s">
        <v>3015</v>
      </c>
      <c r="J1573" s="139" t="s">
        <v>3148</v>
      </c>
      <c r="K1573" s="51" t="s">
        <v>1246</v>
      </c>
      <c r="L1573" s="4">
        <v>43684</v>
      </c>
      <c r="M1573" s="140">
        <v>9</v>
      </c>
      <c r="P1573" s="4" t="s">
        <v>291</v>
      </c>
      <c r="Q1573" s="143"/>
      <c r="T1573" s="144"/>
      <c r="U1573" s="145" t="e">
        <f>VLOOKUP(H1573,Stock_list!A:N,14,FALSE)</f>
        <v>#N/A</v>
      </c>
    </row>
    <row r="1574" spans="1:21" ht="16.5" customHeight="1">
      <c r="A1574" s="159" t="s">
        <v>2750</v>
      </c>
      <c r="B1574" s="114" t="str">
        <f>VLOOKUP(A1574,'Data pick slip'!B:F,5,FALSE)</f>
        <v>KHJ-MC600-00</v>
      </c>
      <c r="F1574" s="157" t="s">
        <v>2861</v>
      </c>
      <c r="I1574" s="139" t="s">
        <v>3015</v>
      </c>
      <c r="J1574" s="139" t="s">
        <v>3148</v>
      </c>
      <c r="K1574" s="51" t="s">
        <v>1246</v>
      </c>
      <c r="L1574" s="4">
        <v>43684</v>
      </c>
      <c r="M1574" s="140">
        <v>13</v>
      </c>
      <c r="P1574" s="4" t="s">
        <v>291</v>
      </c>
      <c r="Q1574" s="143"/>
      <c r="T1574" s="144"/>
      <c r="U1574" s="145" t="e">
        <f>VLOOKUP(H1574,Stock_list!A:N,14,FALSE)</f>
        <v>#N/A</v>
      </c>
    </row>
    <row r="1575" spans="1:21" ht="16.5" customHeight="1">
      <c r="A1575" s="159" t="s">
        <v>2755</v>
      </c>
      <c r="B1575" s="114" t="str">
        <f>VLOOKUP(A1575,'Data pick slip'!B:F,5,FALSE)</f>
        <v>KLJ-MC100-00</v>
      </c>
      <c r="F1575" s="157" t="s">
        <v>2773</v>
      </c>
      <c r="H1575" s="138">
        <v>560</v>
      </c>
      <c r="I1575" s="139" t="str">
        <f>VLOOKUP(H1575,Stock_list!A:R,18,FALSE)</f>
        <v>裕达盛</v>
      </c>
      <c r="J1575" s="139" t="str">
        <f>VLOOKUP(H1575,Stock_list!A:S,17,FALSE)</f>
        <v>C49SZX20190033SX</v>
      </c>
      <c r="K1575" s="51" t="str">
        <f>VLOOKUP(H1575,Stock_list!A:T,16,FALSE)</f>
        <v>RMB</v>
      </c>
      <c r="L1575" s="4">
        <v>43843</v>
      </c>
      <c r="M1575" s="132">
        <v>3</v>
      </c>
      <c r="P1575" s="4" t="str">
        <f>VLOOKUP(H1575,Stock_list!A:Y,25,FALSE)</f>
        <v>Yes</v>
      </c>
      <c r="Q1575" s="143"/>
      <c r="T1575" s="144"/>
      <c r="U1575" s="145" t="str">
        <f>VLOOKUP(H1575,Stock_list!A:N,14,FALSE)</f>
        <v>JAN 20</v>
      </c>
    </row>
    <row r="1576" spans="1:21" ht="16.5" customHeight="1">
      <c r="A1576" s="159" t="s">
        <v>2756</v>
      </c>
      <c r="B1576" s="114" t="str">
        <f>VLOOKUP(A1576,'Data pick slip'!B:F,5,FALSE)</f>
        <v>KLJ-MC200-00</v>
      </c>
      <c r="F1576" s="157" t="s">
        <v>2773</v>
      </c>
      <c r="H1576" s="138">
        <v>560</v>
      </c>
      <c r="I1576" s="139" t="str">
        <f>VLOOKUP(H1576,Stock_list!A:R,18,FALSE)</f>
        <v>裕达盛</v>
      </c>
      <c r="J1576" s="139" t="str">
        <f>VLOOKUP(H1576,Stock_list!A:S,17,FALSE)</f>
        <v>C49SZX20190033SX</v>
      </c>
      <c r="K1576" s="51" t="str">
        <f>VLOOKUP(H1576,Stock_list!A:T,16,FALSE)</f>
        <v>RMB</v>
      </c>
      <c r="L1576" s="4">
        <v>43843</v>
      </c>
      <c r="M1576" s="132">
        <v>14</v>
      </c>
      <c r="P1576" s="4" t="str">
        <f>VLOOKUP(H1576,Stock_list!A:Y,25,FALSE)</f>
        <v>Yes</v>
      </c>
      <c r="T1576" s="144"/>
      <c r="U1576" s="145" t="str">
        <f>VLOOKUP(H1576,Stock_list!A:N,14,FALSE)</f>
        <v>JAN 20</v>
      </c>
    </row>
    <row r="1577" spans="1:21" ht="16.5" customHeight="1">
      <c r="A1577" s="159" t="s">
        <v>2744</v>
      </c>
      <c r="B1577" s="114" t="str">
        <f>VLOOKUP(A1577,'Data pick slip'!B:F,5,FALSE)</f>
        <v>KHJ-MC100-00</v>
      </c>
      <c r="F1577" s="157" t="s">
        <v>2773</v>
      </c>
      <c r="H1577" s="138">
        <v>381</v>
      </c>
      <c r="I1577" s="139" t="str">
        <f>VLOOKUP(H1577,Stock_list!A:R,18,FALSE)</f>
        <v>城宇</v>
      </c>
      <c r="J1577" s="139" t="str">
        <f>VLOOKUP(H1577,Stock_list!A:S,17,FALSE)</f>
        <v>C49SZX20190114MX</v>
      </c>
      <c r="K1577" s="51" t="str">
        <f>VLOOKUP(H1577,Stock_list!A:T,16,FALSE)</f>
        <v>RMB</v>
      </c>
      <c r="L1577" s="4">
        <v>43690</v>
      </c>
      <c r="M1577" s="132">
        <v>20</v>
      </c>
      <c r="P1577" s="4" t="str">
        <f>VLOOKUP(H1577,Stock_list!A:Y,25,FALSE)</f>
        <v>Yes</v>
      </c>
      <c r="Q1577" s="143"/>
      <c r="T1577" s="144"/>
      <c r="U1577" s="145" t="str">
        <f>VLOOKUP(H1577,Stock_list!A:N,14,FALSE)</f>
        <v>AUG 19</v>
      </c>
    </row>
    <row r="1578" spans="1:21" ht="16.5" customHeight="1">
      <c r="A1578" s="159" t="s">
        <v>2748</v>
      </c>
      <c r="B1578" s="114" t="str">
        <f>VLOOKUP(A1578,'Data pick slip'!B:F,5,FALSE)</f>
        <v>KHJ-MC400-00</v>
      </c>
      <c r="F1578" s="157" t="s">
        <v>2773</v>
      </c>
      <c r="H1578" s="138">
        <v>381</v>
      </c>
      <c r="I1578" s="139" t="str">
        <f>VLOOKUP(H1578,Stock_list!A:R,18,FALSE)</f>
        <v>城宇</v>
      </c>
      <c r="J1578" s="139" t="str">
        <f>VLOOKUP(H1578,Stock_list!A:S,17,FALSE)</f>
        <v>C49SZX20190114MX</v>
      </c>
      <c r="K1578" s="51" t="str">
        <f>VLOOKUP(H1578,Stock_list!A:T,16,FALSE)</f>
        <v>RMB</v>
      </c>
      <c r="L1578" s="4">
        <v>43690</v>
      </c>
      <c r="M1578" s="132">
        <v>2</v>
      </c>
      <c r="P1578" s="4" t="str">
        <f>VLOOKUP(H1578,Stock_list!A:Y,25,FALSE)</f>
        <v>Yes</v>
      </c>
      <c r="Q1578" s="143"/>
      <c r="T1578" s="144"/>
      <c r="U1578" s="145" t="str">
        <f>VLOOKUP(H1578,Stock_list!A:N,14,FALSE)</f>
        <v>AUG 19</v>
      </c>
    </row>
    <row r="1579" spans="1:21" ht="16.5" customHeight="1">
      <c r="A1579" s="159" t="s">
        <v>2747</v>
      </c>
      <c r="B1579" s="114" t="str">
        <f>VLOOKUP(A1579,'Data pick slip'!B:F,5,FALSE)</f>
        <v>KHJ-MC200-00</v>
      </c>
      <c r="F1579" s="157" t="s">
        <v>2773</v>
      </c>
      <c r="H1579" s="138">
        <v>381</v>
      </c>
      <c r="I1579" s="139" t="str">
        <f>VLOOKUP(H1579,Stock_list!A:R,18,FALSE)</f>
        <v>城宇</v>
      </c>
      <c r="J1579" s="139" t="str">
        <f>VLOOKUP(H1579,Stock_list!A:S,17,FALSE)</f>
        <v>C49SZX20190114MX</v>
      </c>
      <c r="K1579" s="51" t="str">
        <f>VLOOKUP(H1579,Stock_list!A:T,16,FALSE)</f>
        <v>RMB</v>
      </c>
      <c r="L1579" s="4">
        <v>43690</v>
      </c>
      <c r="M1579" s="132">
        <v>4</v>
      </c>
      <c r="P1579" s="4" t="str">
        <f>VLOOKUP(H1579,Stock_list!A:Y,25,FALSE)</f>
        <v>Yes</v>
      </c>
      <c r="Q1579" s="143"/>
      <c r="T1579" s="144"/>
      <c r="U1579" s="145" t="str">
        <f>VLOOKUP(H1579,Stock_list!A:N,14,FALSE)</f>
        <v>AUG 19</v>
      </c>
    </row>
    <row r="1580" spans="1:21" ht="16.5" customHeight="1">
      <c r="A1580" s="159" t="s">
        <v>2744</v>
      </c>
      <c r="B1580" s="114" t="str">
        <f>VLOOKUP(A1580,'Data pick slip'!B:F,5,FALSE)</f>
        <v>KHJ-MC100-00</v>
      </c>
      <c r="F1580" s="157" t="s">
        <v>2861</v>
      </c>
      <c r="I1580" s="139" t="s">
        <v>3015</v>
      </c>
      <c r="J1580" s="139" t="s">
        <v>3149</v>
      </c>
      <c r="K1580" s="51" t="s">
        <v>1246</v>
      </c>
      <c r="L1580" s="4">
        <v>43689</v>
      </c>
      <c r="M1580" s="140">
        <v>50</v>
      </c>
      <c r="P1580" s="4" t="s">
        <v>291</v>
      </c>
      <c r="Q1580" s="143"/>
      <c r="T1580" s="144"/>
      <c r="U1580" s="145" t="e">
        <f>VLOOKUP(H1580,Stock_list!A:N,14,FALSE)</f>
        <v>#N/A</v>
      </c>
    </row>
    <row r="1581" spans="1:21" ht="16.5" customHeight="1">
      <c r="A1581" s="159" t="s">
        <v>2747</v>
      </c>
      <c r="B1581" s="114" t="str">
        <f>VLOOKUP(A1581,'Data pick slip'!B:F,5,FALSE)</f>
        <v>KHJ-MC200-00</v>
      </c>
      <c r="F1581" s="157" t="s">
        <v>2861</v>
      </c>
      <c r="I1581" s="139" t="s">
        <v>3015</v>
      </c>
      <c r="J1581" s="139" t="s">
        <v>3149</v>
      </c>
      <c r="K1581" s="51" t="s">
        <v>1246</v>
      </c>
      <c r="L1581" s="4">
        <v>43689</v>
      </c>
      <c r="M1581" s="140">
        <v>20</v>
      </c>
      <c r="P1581" s="4" t="s">
        <v>291</v>
      </c>
      <c r="Q1581" s="143"/>
      <c r="T1581" s="144"/>
      <c r="U1581" s="145" t="e">
        <f>VLOOKUP(H1581,Stock_list!A:N,14,FALSE)</f>
        <v>#N/A</v>
      </c>
    </row>
    <row r="1582" spans="1:21" ht="16.5" customHeight="1">
      <c r="A1582" s="159" t="s">
        <v>2748</v>
      </c>
      <c r="B1582" s="114" t="str">
        <f>VLOOKUP(A1582,'Data pick slip'!B:F,5,FALSE)</f>
        <v>KHJ-MC400-00</v>
      </c>
      <c r="F1582" s="157" t="s">
        <v>2861</v>
      </c>
      <c r="I1582" s="139" t="s">
        <v>3015</v>
      </c>
      <c r="J1582" s="139" t="s">
        <v>3149</v>
      </c>
      <c r="K1582" s="51" t="s">
        <v>1246</v>
      </c>
      <c r="L1582" s="4">
        <v>43689</v>
      </c>
      <c r="M1582" s="140">
        <v>5</v>
      </c>
      <c r="P1582" s="4" t="s">
        <v>291</v>
      </c>
      <c r="Q1582" s="143"/>
      <c r="T1582" s="144"/>
      <c r="U1582" s="145" t="e">
        <f>VLOOKUP(H1582,Stock_list!A:N,14,FALSE)</f>
        <v>#N/A</v>
      </c>
    </row>
    <row r="1583" spans="1:21" ht="16.5" customHeight="1">
      <c r="A1583" s="159" t="s">
        <v>2749</v>
      </c>
      <c r="B1583" s="114" t="str">
        <f>VLOOKUP(A1583,'Data pick slip'!B:F,5,FALSE)</f>
        <v>KHJ-MC500-00</v>
      </c>
      <c r="F1583" s="157" t="s">
        <v>2861</v>
      </c>
      <c r="I1583" s="139" t="s">
        <v>3015</v>
      </c>
      <c r="J1583" s="139" t="s">
        <v>3149</v>
      </c>
      <c r="K1583" s="51" t="s">
        <v>1246</v>
      </c>
      <c r="L1583" s="4">
        <v>43689</v>
      </c>
      <c r="M1583" s="140">
        <v>10</v>
      </c>
      <c r="P1583" s="4" t="s">
        <v>291</v>
      </c>
      <c r="Q1583" s="143"/>
      <c r="T1583" s="144"/>
      <c r="U1583" s="145" t="e">
        <f>VLOOKUP(H1583,Stock_list!A:N,14,FALSE)</f>
        <v>#N/A</v>
      </c>
    </row>
    <row r="1584" spans="1:21" ht="16.5" customHeight="1">
      <c r="A1584" s="159" t="s">
        <v>2751</v>
      </c>
      <c r="B1584" s="114" t="str">
        <f>VLOOKUP(A1584,'Data pick slip'!B:F,5,FALSE)</f>
        <v>KHJ-MC700-00</v>
      </c>
      <c r="F1584" s="157" t="s">
        <v>2861</v>
      </c>
      <c r="I1584" s="139" t="s">
        <v>3015</v>
      </c>
      <c r="J1584" s="139" t="s">
        <v>3149</v>
      </c>
      <c r="K1584" s="51" t="s">
        <v>1246</v>
      </c>
      <c r="L1584" s="4">
        <v>43689</v>
      </c>
      <c r="M1584" s="140">
        <v>3</v>
      </c>
      <c r="P1584" s="4" t="s">
        <v>291</v>
      </c>
      <c r="Q1584" s="143"/>
      <c r="T1584" s="144"/>
      <c r="U1584" s="145" t="e">
        <f>VLOOKUP(H1584,Stock_list!A:N,14,FALSE)</f>
        <v>#N/A</v>
      </c>
    </row>
    <row r="1585" spans="1:21" ht="16.5" customHeight="1">
      <c r="A1585" s="159" t="s">
        <v>2756</v>
      </c>
      <c r="B1585" s="114" t="str">
        <f>VLOOKUP(A1585,'Data pick slip'!B:F,5,FALSE)</f>
        <v>KLJ-MC200-00</v>
      </c>
      <c r="F1585" s="157" t="s">
        <v>2773</v>
      </c>
      <c r="H1585" s="138">
        <v>382</v>
      </c>
      <c r="I1585" s="139" t="str">
        <f>VLOOKUP(H1585,Stock_list!A:R,18,FALSE)</f>
        <v>锘铧</v>
      </c>
      <c r="J1585" s="139" t="str">
        <f>VLOOKUP(H1585,Stock_list!A:S,17,FALSE)</f>
        <v>C49SZX20190110ZX</v>
      </c>
      <c r="K1585" s="51" t="str">
        <f>VLOOKUP(H1585,Stock_list!A:T,16,FALSE)</f>
        <v>RMB</v>
      </c>
      <c r="L1585" s="4">
        <v>43707</v>
      </c>
      <c r="M1585" s="132">
        <v>47</v>
      </c>
      <c r="P1585" s="4" t="str">
        <f>VLOOKUP(H1585,Stock_list!A:Y,25,FALSE)</f>
        <v>Yes</v>
      </c>
      <c r="T1585" s="144"/>
      <c r="U1585" s="145" t="str">
        <f>VLOOKUP(H1585,Stock_list!A:N,14,FALSE)</f>
        <v>AUG 19</v>
      </c>
    </row>
    <row r="1586" spans="1:21" ht="16.5" customHeight="1">
      <c r="A1586" s="159" t="s">
        <v>2748</v>
      </c>
      <c r="B1586" s="114" t="str">
        <f>VLOOKUP(A1586,'Data pick slip'!B:F,5,FALSE)</f>
        <v>KHJ-MC400-00</v>
      </c>
      <c r="F1586" s="157" t="s">
        <v>2773</v>
      </c>
      <c r="H1586" s="138">
        <v>382</v>
      </c>
      <c r="I1586" s="139" t="str">
        <f>VLOOKUP(H1586,Stock_list!A:R,18,FALSE)</f>
        <v>锘铧</v>
      </c>
      <c r="J1586" s="139" t="str">
        <f>VLOOKUP(H1586,Stock_list!A:S,17,FALSE)</f>
        <v>C49SZX20190110ZX</v>
      </c>
      <c r="K1586" s="51" t="str">
        <f>VLOOKUP(H1586,Stock_list!A:T,16,FALSE)</f>
        <v>RMB</v>
      </c>
      <c r="L1586" s="4">
        <v>43707</v>
      </c>
      <c r="M1586" s="132">
        <v>9</v>
      </c>
      <c r="P1586" s="4" t="str">
        <f>VLOOKUP(H1586,Stock_list!A:Y,25,FALSE)</f>
        <v>Yes</v>
      </c>
      <c r="Q1586" s="143"/>
      <c r="T1586" s="144"/>
      <c r="U1586" s="145" t="str">
        <f>VLOOKUP(H1586,Stock_list!A:N,14,FALSE)</f>
        <v>AUG 19</v>
      </c>
    </row>
    <row r="1587" spans="1:21" ht="16.5" customHeight="1">
      <c r="A1587" s="159" t="s">
        <v>2749</v>
      </c>
      <c r="B1587" s="114" t="str">
        <f>VLOOKUP(A1587,'Data pick slip'!B:F,5,FALSE)</f>
        <v>KHJ-MC500-00</v>
      </c>
      <c r="F1587" s="157" t="s">
        <v>2773</v>
      </c>
      <c r="H1587" s="138">
        <v>382</v>
      </c>
      <c r="I1587" s="139" t="str">
        <f>VLOOKUP(H1587,Stock_list!A:R,18,FALSE)</f>
        <v>锘铧</v>
      </c>
      <c r="J1587" s="139" t="str">
        <f>VLOOKUP(H1587,Stock_list!A:S,17,FALSE)</f>
        <v>C49SZX20190110ZX</v>
      </c>
      <c r="K1587" s="51" t="str">
        <f>VLOOKUP(H1587,Stock_list!A:T,16,FALSE)</f>
        <v>RMB</v>
      </c>
      <c r="L1587" s="4">
        <v>43707</v>
      </c>
      <c r="M1587" s="132">
        <v>3</v>
      </c>
      <c r="P1587" s="4" t="str">
        <f>VLOOKUP(H1587,Stock_list!A:Y,25,FALSE)</f>
        <v>Yes</v>
      </c>
      <c r="Q1587" s="143"/>
      <c r="T1587" s="144"/>
      <c r="U1587" s="145" t="str">
        <f>VLOOKUP(H1587,Stock_list!A:N,14,FALSE)</f>
        <v>AUG 19</v>
      </c>
    </row>
    <row r="1588" spans="1:21" ht="16.5" customHeight="1">
      <c r="A1588" s="159" t="s">
        <v>2750</v>
      </c>
      <c r="B1588" s="114" t="str">
        <f>VLOOKUP(A1588,'Data pick slip'!B:F,5,FALSE)</f>
        <v>KHJ-MC600-00</v>
      </c>
      <c r="F1588" s="157" t="s">
        <v>2773</v>
      </c>
      <c r="H1588" s="138">
        <v>382</v>
      </c>
      <c r="I1588" s="139" t="str">
        <f>VLOOKUP(H1588,Stock_list!A:R,18,FALSE)</f>
        <v>锘铧</v>
      </c>
      <c r="J1588" s="139" t="str">
        <f>VLOOKUP(H1588,Stock_list!A:S,17,FALSE)</f>
        <v>C49SZX20190110ZX</v>
      </c>
      <c r="K1588" s="51" t="str">
        <f>VLOOKUP(H1588,Stock_list!A:T,16,FALSE)</f>
        <v>RMB</v>
      </c>
      <c r="L1588" s="4">
        <v>43707</v>
      </c>
      <c r="M1588" s="132">
        <v>2</v>
      </c>
      <c r="P1588" s="4" t="str">
        <f>VLOOKUP(H1588,Stock_list!A:Y,25,FALSE)</f>
        <v>Yes</v>
      </c>
      <c r="Q1588" s="143"/>
      <c r="T1588" s="144"/>
      <c r="U1588" s="145" t="str">
        <f>VLOOKUP(H1588,Stock_list!A:N,14,FALSE)</f>
        <v>AUG 19</v>
      </c>
    </row>
    <row r="1589" spans="1:21" ht="16.5" customHeight="1">
      <c r="A1589" s="159" t="s">
        <v>2744</v>
      </c>
      <c r="B1589" s="114" t="str">
        <f>VLOOKUP(A1589,'Data pick slip'!B:F,5,FALSE)</f>
        <v>KHJ-MC100-00</v>
      </c>
      <c r="F1589" s="157" t="s">
        <v>2773</v>
      </c>
      <c r="H1589" s="138">
        <v>391</v>
      </c>
      <c r="I1589" s="139" t="str">
        <f>VLOOKUP(H1589,Stock_list!A:R,18,FALSE)</f>
        <v>首航</v>
      </c>
      <c r="J1589" s="139" t="str">
        <f>VLOOKUP(H1589,Stock_list!A:S,17,FALSE)</f>
        <v>C49SZX20190113LC</v>
      </c>
      <c r="K1589" s="51" t="str">
        <f>VLOOKUP(H1589,Stock_list!A:T,16,FALSE)</f>
        <v>RMB</v>
      </c>
      <c r="L1589" s="4">
        <v>43759</v>
      </c>
      <c r="M1589" s="132">
        <v>165</v>
      </c>
      <c r="P1589" s="4" t="str">
        <f>VLOOKUP(H1589,Stock_list!A:Y,25,FALSE)</f>
        <v>Yes</v>
      </c>
      <c r="Q1589" s="143"/>
      <c r="T1589" s="144"/>
      <c r="U1589" s="145" t="str">
        <f>VLOOKUP(H1589,Stock_list!A:N,14,FALSE)</f>
        <v>OCT 19</v>
      </c>
    </row>
    <row r="1590" spans="1:21" ht="16.5" customHeight="1">
      <c r="A1590" s="159" t="s">
        <v>2747</v>
      </c>
      <c r="B1590" s="114" t="str">
        <f>VLOOKUP(A1590,'Data pick slip'!B:F,5,FALSE)</f>
        <v>KHJ-MC200-00</v>
      </c>
      <c r="F1590" s="157" t="s">
        <v>2773</v>
      </c>
      <c r="H1590" s="138">
        <v>391</v>
      </c>
      <c r="I1590" s="139" t="str">
        <f>VLOOKUP(H1590,Stock_list!A:R,18,FALSE)</f>
        <v>首航</v>
      </c>
      <c r="J1590" s="139" t="str">
        <f>VLOOKUP(H1590,Stock_list!A:S,17,FALSE)</f>
        <v>C49SZX20190113LC</v>
      </c>
      <c r="K1590" s="51" t="str">
        <f>VLOOKUP(H1590,Stock_list!A:T,16,FALSE)</f>
        <v>RMB</v>
      </c>
      <c r="L1590" s="4">
        <v>43759</v>
      </c>
      <c r="M1590" s="132">
        <v>35</v>
      </c>
      <c r="P1590" s="4" t="str">
        <f>VLOOKUP(H1590,Stock_list!A:Y,25,FALSE)</f>
        <v>Yes</v>
      </c>
      <c r="Q1590" s="143"/>
      <c r="T1590" s="144"/>
      <c r="U1590" s="145" t="str">
        <f>VLOOKUP(H1590,Stock_list!A:N,14,FALSE)</f>
        <v>OCT 19</v>
      </c>
    </row>
    <row r="1591" spans="1:21" ht="16.5" customHeight="1">
      <c r="A1591" s="159" t="s">
        <v>2748</v>
      </c>
      <c r="B1591" s="114" t="str">
        <f>VLOOKUP(A1591,'Data pick slip'!B:F,5,FALSE)</f>
        <v>KHJ-MC400-00</v>
      </c>
      <c r="F1591" s="157" t="s">
        <v>2773</v>
      </c>
      <c r="H1591" s="138">
        <v>391</v>
      </c>
      <c r="I1591" s="139" t="str">
        <f>VLOOKUP(H1591,Stock_list!A:R,18,FALSE)</f>
        <v>首航</v>
      </c>
      <c r="J1591" s="139" t="str">
        <f>VLOOKUP(H1591,Stock_list!A:S,17,FALSE)</f>
        <v>C49SZX20190113LC</v>
      </c>
      <c r="K1591" s="51" t="str">
        <f>VLOOKUP(H1591,Stock_list!A:T,16,FALSE)</f>
        <v>RMB</v>
      </c>
      <c r="L1591" s="4">
        <v>43759</v>
      </c>
      <c r="M1591" s="132">
        <v>20</v>
      </c>
      <c r="P1591" s="4" t="str">
        <f>VLOOKUP(H1591,Stock_list!A:Y,25,FALSE)</f>
        <v>Yes</v>
      </c>
      <c r="Q1591" s="143"/>
      <c r="T1591" s="144"/>
      <c r="U1591" s="145" t="str">
        <f>VLOOKUP(H1591,Stock_list!A:N,14,FALSE)</f>
        <v>OCT 19</v>
      </c>
    </row>
    <row r="1592" spans="1:21" ht="16.5" customHeight="1">
      <c r="A1592" s="159" t="s">
        <v>2749</v>
      </c>
      <c r="B1592" s="114" t="str">
        <f>VLOOKUP(A1592,'Data pick slip'!B:F,5,FALSE)</f>
        <v>KHJ-MC500-00</v>
      </c>
      <c r="F1592" s="157" t="s">
        <v>2773</v>
      </c>
      <c r="H1592" s="138">
        <v>391</v>
      </c>
      <c r="I1592" s="139" t="str">
        <f>VLOOKUP(H1592,Stock_list!A:R,18,FALSE)</f>
        <v>首航</v>
      </c>
      <c r="J1592" s="139" t="str">
        <f>VLOOKUP(H1592,Stock_list!A:S,17,FALSE)</f>
        <v>C49SZX20190113LC</v>
      </c>
      <c r="K1592" s="51" t="str">
        <f>VLOOKUP(H1592,Stock_list!A:T,16,FALSE)</f>
        <v>RMB</v>
      </c>
      <c r="L1592" s="4">
        <v>43759</v>
      </c>
      <c r="M1592" s="132">
        <v>10</v>
      </c>
      <c r="P1592" s="4" t="str">
        <f>VLOOKUP(H1592,Stock_list!A:Y,25,FALSE)</f>
        <v>Yes</v>
      </c>
      <c r="Q1592" s="143"/>
      <c r="T1592" s="144"/>
      <c r="U1592" s="145" t="str">
        <f>VLOOKUP(H1592,Stock_list!A:N,14,FALSE)</f>
        <v>OCT 19</v>
      </c>
    </row>
    <row r="1593" spans="1:21" ht="16.5" customHeight="1">
      <c r="A1593" s="159" t="s">
        <v>2747</v>
      </c>
      <c r="B1593" s="114" t="str">
        <f>VLOOKUP(A1593,'Data pick slip'!B:F,5,FALSE)</f>
        <v>KHJ-MC200-00</v>
      </c>
      <c r="F1593" s="157" t="s">
        <v>2773</v>
      </c>
      <c r="I1593" s="139" t="s">
        <v>2853</v>
      </c>
      <c r="J1593" s="139" t="s">
        <v>3150</v>
      </c>
      <c r="K1593" s="51" t="s">
        <v>3002</v>
      </c>
      <c r="L1593" s="4">
        <v>43699</v>
      </c>
      <c r="M1593" s="140">
        <v>20</v>
      </c>
      <c r="P1593" s="4" t="s">
        <v>291</v>
      </c>
      <c r="Q1593" s="143"/>
      <c r="S1593" s="123" t="s">
        <v>3003</v>
      </c>
      <c r="T1593" s="205" t="s">
        <v>3063</v>
      </c>
      <c r="U1593" s="145" t="e">
        <f>VLOOKUP(H1593,Stock_list!A:N,14,FALSE)</f>
        <v>#N/A</v>
      </c>
    </row>
    <row r="1594" spans="1:21" ht="16.5" customHeight="1">
      <c r="A1594" s="159" t="s">
        <v>2747</v>
      </c>
      <c r="B1594" s="114" t="str">
        <f>VLOOKUP(A1594,'Data pick slip'!B:F,5,FALSE)</f>
        <v>KHJ-MC200-00</v>
      </c>
      <c r="F1594" s="157" t="s">
        <v>2773</v>
      </c>
      <c r="I1594" s="139" t="s">
        <v>3093</v>
      </c>
      <c r="J1594" s="139" t="s">
        <v>3151</v>
      </c>
      <c r="K1594" s="51" t="s">
        <v>1246</v>
      </c>
      <c r="L1594" s="4">
        <v>43713</v>
      </c>
      <c r="M1594" s="140">
        <v>36</v>
      </c>
      <c r="P1594" s="4" t="s">
        <v>291</v>
      </c>
      <c r="Q1594" s="133"/>
      <c r="T1594" s="144"/>
      <c r="U1594" s="145" t="e">
        <f>VLOOKUP(H1594,Stock_list!A:N,14,FALSE)</f>
        <v>#N/A</v>
      </c>
    </row>
    <row r="1595" spans="1:21" ht="16.5" customHeight="1">
      <c r="A1595" s="159" t="s">
        <v>2748</v>
      </c>
      <c r="B1595" s="114" t="str">
        <f>VLOOKUP(A1595,'Data pick slip'!B:F,5,FALSE)</f>
        <v>KHJ-MC400-00</v>
      </c>
      <c r="F1595" s="157" t="s">
        <v>2773</v>
      </c>
      <c r="I1595" s="139" t="s">
        <v>2853</v>
      </c>
      <c r="J1595" s="139" t="s">
        <v>3152</v>
      </c>
      <c r="K1595" s="51" t="s">
        <v>3002</v>
      </c>
      <c r="L1595" s="4">
        <v>43680</v>
      </c>
      <c r="M1595" s="140">
        <v>1</v>
      </c>
      <c r="P1595" s="4" t="s">
        <v>291</v>
      </c>
      <c r="Q1595" s="143"/>
      <c r="S1595" s="123" t="s">
        <v>3003</v>
      </c>
      <c r="T1595" s="144" t="s">
        <v>3153</v>
      </c>
      <c r="U1595" s="145" t="e">
        <f>VLOOKUP(H1595,Stock_list!A:N,14,FALSE)</f>
        <v>#N/A</v>
      </c>
    </row>
    <row r="1596" spans="1:21" ht="16.5" customHeight="1">
      <c r="A1596" s="159" t="s">
        <v>2758</v>
      </c>
      <c r="B1596" s="114" t="str">
        <f>VLOOKUP(A1596,'Data pick slip'!B:F,5,FALSE)</f>
        <v>KLJ-MC500-00</v>
      </c>
      <c r="F1596" s="157" t="s">
        <v>2773</v>
      </c>
      <c r="I1596" s="139" t="s">
        <v>3093</v>
      </c>
      <c r="J1596" s="139" t="s">
        <v>3154</v>
      </c>
      <c r="K1596" s="51" t="s">
        <v>1246</v>
      </c>
      <c r="L1596" s="4">
        <v>43686</v>
      </c>
      <c r="M1596" s="140">
        <v>1</v>
      </c>
      <c r="P1596" s="4" t="s">
        <v>291</v>
      </c>
      <c r="Q1596" s="143"/>
      <c r="T1596" s="144"/>
      <c r="U1596" s="145" t="e">
        <f>VLOOKUP(H1596,Stock_list!A:N,14,FALSE)</f>
        <v>#N/A</v>
      </c>
    </row>
    <row r="1597" spans="1:21" ht="16.5" customHeight="1">
      <c r="A1597" s="159" t="s">
        <v>2744</v>
      </c>
      <c r="B1597" s="114" t="str">
        <f>VLOOKUP(A1597,'Data pick slip'!B:F,5,FALSE)</f>
        <v>KHJ-MC100-00</v>
      </c>
      <c r="F1597" s="157" t="s">
        <v>2773</v>
      </c>
      <c r="I1597" s="139" t="s">
        <v>3139</v>
      </c>
      <c r="J1597" s="139" t="s">
        <v>3155</v>
      </c>
      <c r="K1597" s="51" t="s">
        <v>1246</v>
      </c>
      <c r="L1597" s="4">
        <v>43686</v>
      </c>
      <c r="M1597" s="140">
        <v>100</v>
      </c>
      <c r="P1597" s="4" t="s">
        <v>291</v>
      </c>
      <c r="Q1597" s="143"/>
      <c r="T1597" s="144"/>
      <c r="U1597" s="145" t="e">
        <f>VLOOKUP(H1597,Stock_list!A:N,14,FALSE)</f>
        <v>#N/A</v>
      </c>
    </row>
    <row r="1598" spans="1:21" ht="16.5" customHeight="1">
      <c r="A1598" s="159" t="s">
        <v>2744</v>
      </c>
      <c r="B1598" s="114" t="str">
        <f>VLOOKUP(A1598,'Data pick slip'!B:F,5,FALSE)</f>
        <v>KHJ-MC100-00</v>
      </c>
      <c r="F1598" s="157" t="s">
        <v>2773</v>
      </c>
      <c r="H1598" s="138">
        <v>395</v>
      </c>
      <c r="I1598" s="139" t="str">
        <f>VLOOKUP(H1598,Stock_list!A:R,18,FALSE)</f>
        <v>太美亚</v>
      </c>
      <c r="J1598" s="139" t="str">
        <f>VLOOKUP(H1598,Stock_list!A:S,17,FALSE)</f>
        <v>C49SZX20190119SX</v>
      </c>
      <c r="K1598" s="51" t="str">
        <f>VLOOKUP(H1598,Stock_list!A:T,16,FALSE)</f>
        <v>RMB</v>
      </c>
      <c r="L1598" s="4">
        <v>43714</v>
      </c>
      <c r="M1598" s="132">
        <v>270</v>
      </c>
      <c r="N1598" s="149"/>
      <c r="P1598" s="4" t="str">
        <f>VLOOKUP(H1598,Stock_list!A:Y,25,FALSE)</f>
        <v>Yes</v>
      </c>
      <c r="Q1598" s="143"/>
      <c r="T1598" s="144"/>
      <c r="U1598" s="145" t="str">
        <f>VLOOKUP(H1598,Stock_list!A:N,14,FALSE)</f>
        <v>SEP 19</v>
      </c>
    </row>
    <row r="1599" spans="1:21" ht="16.5" customHeight="1">
      <c r="A1599" s="159" t="s">
        <v>2747</v>
      </c>
      <c r="B1599" s="114" t="str">
        <f>VLOOKUP(A1599,'Data pick slip'!B:F,5,FALSE)</f>
        <v>KHJ-MC200-00</v>
      </c>
      <c r="F1599" s="157" t="s">
        <v>2773</v>
      </c>
      <c r="H1599" s="138">
        <v>395</v>
      </c>
      <c r="I1599" s="139" t="str">
        <f>VLOOKUP(H1599,Stock_list!A:R,18,FALSE)</f>
        <v>太美亚</v>
      </c>
      <c r="J1599" s="139" t="str">
        <f>VLOOKUP(H1599,Stock_list!A:S,17,FALSE)</f>
        <v>C49SZX20190119SX</v>
      </c>
      <c r="K1599" s="51" t="str">
        <f>VLOOKUP(H1599,Stock_list!A:T,16,FALSE)</f>
        <v>RMB</v>
      </c>
      <c r="L1599" s="4">
        <v>43714</v>
      </c>
      <c r="M1599" s="132">
        <v>40</v>
      </c>
      <c r="N1599" s="149"/>
      <c r="P1599" s="4" t="str">
        <f>VLOOKUP(H1599,Stock_list!A:Y,25,FALSE)</f>
        <v>Yes</v>
      </c>
      <c r="Q1599" s="143"/>
      <c r="T1599" s="144"/>
      <c r="U1599" s="145" t="str">
        <f>VLOOKUP(H1599,Stock_list!A:N,14,FALSE)</f>
        <v>SEP 19</v>
      </c>
    </row>
    <row r="1600" spans="1:21" ht="16.5" customHeight="1">
      <c r="A1600" s="159" t="s">
        <v>2748</v>
      </c>
      <c r="B1600" s="114" t="str">
        <f>VLOOKUP(A1600,'Data pick slip'!B:F,5,FALSE)</f>
        <v>KHJ-MC400-00</v>
      </c>
      <c r="F1600" s="157" t="s">
        <v>2773</v>
      </c>
      <c r="H1600" s="138">
        <v>395</v>
      </c>
      <c r="I1600" s="139" t="str">
        <f>VLOOKUP(H1600,Stock_list!A:R,18,FALSE)</f>
        <v>太美亚</v>
      </c>
      <c r="J1600" s="139" t="str">
        <f>VLOOKUP(H1600,Stock_list!A:S,17,FALSE)</f>
        <v>C49SZX20190119SX</v>
      </c>
      <c r="K1600" s="51" t="str">
        <f>VLOOKUP(H1600,Stock_list!A:T,16,FALSE)</f>
        <v>RMB</v>
      </c>
      <c r="L1600" s="4">
        <v>43714</v>
      </c>
      <c r="M1600" s="132">
        <v>13</v>
      </c>
      <c r="N1600" s="149"/>
      <c r="P1600" s="4" t="str">
        <f>VLOOKUP(H1600,Stock_list!A:Y,25,FALSE)</f>
        <v>Yes</v>
      </c>
      <c r="Q1600" s="143"/>
      <c r="T1600" s="144"/>
      <c r="U1600" s="145" t="str">
        <f>VLOOKUP(H1600,Stock_list!A:N,14,FALSE)</f>
        <v>SEP 19</v>
      </c>
    </row>
    <row r="1601" spans="1:21" ht="16.5" customHeight="1">
      <c r="A1601" s="159" t="s">
        <v>2749</v>
      </c>
      <c r="B1601" s="114" t="str">
        <f>VLOOKUP(A1601,'Data pick slip'!B:F,5,FALSE)</f>
        <v>KHJ-MC500-00</v>
      </c>
      <c r="F1601" s="157" t="s">
        <v>2773</v>
      </c>
      <c r="H1601" s="138">
        <v>395</v>
      </c>
      <c r="I1601" s="139" t="str">
        <f>VLOOKUP(H1601,Stock_list!A:R,18,FALSE)</f>
        <v>太美亚</v>
      </c>
      <c r="J1601" s="139" t="str">
        <f>VLOOKUP(H1601,Stock_list!A:S,17,FALSE)</f>
        <v>C49SZX20190119SX</v>
      </c>
      <c r="K1601" s="51" t="str">
        <f>VLOOKUP(H1601,Stock_list!A:T,16,FALSE)</f>
        <v>RMB</v>
      </c>
      <c r="L1601" s="4">
        <v>43714</v>
      </c>
      <c r="M1601" s="132">
        <v>4</v>
      </c>
      <c r="N1601" s="149"/>
      <c r="P1601" s="4" t="str">
        <f>VLOOKUP(H1601,Stock_list!A:Y,25,FALSE)</f>
        <v>Yes</v>
      </c>
      <c r="Q1601" s="143"/>
      <c r="T1601" s="144"/>
      <c r="U1601" s="145" t="str">
        <f>VLOOKUP(H1601,Stock_list!A:N,14,FALSE)</f>
        <v>SEP 19</v>
      </c>
    </row>
    <row r="1602" spans="1:21" ht="16.5" customHeight="1">
      <c r="A1602" s="159" t="s">
        <v>2747</v>
      </c>
      <c r="B1602" s="114" t="str">
        <f>VLOOKUP(A1602,'Data pick slip'!B:F,5,FALSE)</f>
        <v>KHJ-MC200-00</v>
      </c>
      <c r="F1602" s="157" t="s">
        <v>2773</v>
      </c>
      <c r="I1602" s="139" t="s">
        <v>3139</v>
      </c>
      <c r="J1602" s="139" t="s">
        <v>3156</v>
      </c>
      <c r="K1602" s="51" t="s">
        <v>1246</v>
      </c>
      <c r="L1602" s="4">
        <v>43698</v>
      </c>
      <c r="M1602" s="140">
        <v>1</v>
      </c>
      <c r="P1602" s="4" t="s">
        <v>291</v>
      </c>
      <c r="Q1602" s="143"/>
      <c r="T1602" s="144"/>
      <c r="U1602" s="145" t="e">
        <f>VLOOKUP(H1602,Stock_list!A:N,14,FALSE)</f>
        <v>#N/A</v>
      </c>
    </row>
    <row r="1603" spans="1:21" ht="16.5" customHeight="1">
      <c r="A1603" s="159" t="s">
        <v>2744</v>
      </c>
      <c r="B1603" s="114" t="str">
        <f>VLOOKUP(A1603,'Data pick slip'!B:F,5,FALSE)</f>
        <v>KHJ-MC100-00</v>
      </c>
      <c r="F1603" s="157" t="s">
        <v>2773</v>
      </c>
      <c r="H1603" s="138">
        <v>407</v>
      </c>
      <c r="I1603" s="139" t="str">
        <f>VLOOKUP(H1603,Stock_list!A:R,18,FALSE)</f>
        <v>玮芯电子</v>
      </c>
      <c r="J1603" s="139" t="str">
        <f>VLOOKUP(H1603,Stock_list!A:S,17,FALSE)</f>
        <v>C49SZX20190117SX</v>
      </c>
      <c r="K1603" s="51" t="str">
        <f>VLOOKUP(H1603,Stock_list!A:T,16,FALSE)</f>
        <v>RMB</v>
      </c>
      <c r="L1603" s="4">
        <v>43707</v>
      </c>
      <c r="M1603" s="132">
        <v>5</v>
      </c>
      <c r="P1603" s="4" t="str">
        <f>VLOOKUP(H1603,Stock_list!A:Y,25,FALSE)</f>
        <v>Yes</v>
      </c>
      <c r="Q1603" s="143"/>
      <c r="T1603" s="144"/>
      <c r="U1603" s="145" t="str">
        <f>VLOOKUP(H1603,Stock_list!A:N,14,FALSE)</f>
        <v>AUG 19</v>
      </c>
    </row>
    <row r="1604" spans="1:21" ht="16.5" customHeight="1">
      <c r="A1604" s="159" t="s">
        <v>2747</v>
      </c>
      <c r="B1604" s="114" t="str">
        <f>VLOOKUP(A1604,'Data pick slip'!B:F,5,FALSE)</f>
        <v>KHJ-MC200-00</v>
      </c>
      <c r="F1604" s="157" t="s">
        <v>2773</v>
      </c>
      <c r="H1604" s="138">
        <v>407</v>
      </c>
      <c r="I1604" s="139" t="str">
        <f>VLOOKUP(H1604,Stock_list!A:R,18,FALSE)</f>
        <v>玮芯电子</v>
      </c>
      <c r="J1604" s="139" t="str">
        <f>VLOOKUP(H1604,Stock_list!A:S,17,FALSE)</f>
        <v>C49SZX20190117SX</v>
      </c>
      <c r="K1604" s="51" t="str">
        <f>VLOOKUP(H1604,Stock_list!A:T,16,FALSE)</f>
        <v>RMB</v>
      </c>
      <c r="L1604" s="4">
        <v>43707</v>
      </c>
      <c r="M1604" s="132">
        <v>5</v>
      </c>
      <c r="P1604" s="4" t="str">
        <f>VLOOKUP(H1604,Stock_list!A:Y,25,FALSE)</f>
        <v>Yes</v>
      </c>
      <c r="Q1604" s="143"/>
      <c r="T1604" s="144"/>
      <c r="U1604" s="145" t="str">
        <f>VLOOKUP(H1604,Stock_list!A:N,14,FALSE)</f>
        <v>AUG 19</v>
      </c>
    </row>
    <row r="1605" spans="1:21" ht="16.5" customHeight="1">
      <c r="A1605" s="159" t="s">
        <v>2744</v>
      </c>
      <c r="B1605" s="114" t="str">
        <f>VLOOKUP(A1605,'Data pick slip'!B:F,5,FALSE)</f>
        <v>KHJ-MC100-00</v>
      </c>
      <c r="F1605" s="157" t="s">
        <v>2773</v>
      </c>
      <c r="H1605" s="138">
        <v>408</v>
      </c>
      <c r="I1605" s="139" t="str">
        <f>VLOOKUP(H1605,Stock_list!A:R,18,FALSE)</f>
        <v>海松微</v>
      </c>
      <c r="J1605" s="139" t="str">
        <f>VLOOKUP(H1605,Stock_list!A:S,17,FALSE)</f>
        <v>C49SZX20190127JY</v>
      </c>
      <c r="K1605" s="51" t="str">
        <f>VLOOKUP(H1605,Stock_list!A:T,16,FALSE)</f>
        <v>RMB</v>
      </c>
      <c r="L1605" s="4">
        <v>43714</v>
      </c>
      <c r="M1605" s="132">
        <v>35</v>
      </c>
      <c r="P1605" s="4" t="str">
        <f>VLOOKUP(H1605,Stock_list!A:Y,25,FALSE)</f>
        <v>Yes</v>
      </c>
      <c r="Q1605" s="143"/>
      <c r="T1605" s="144"/>
      <c r="U1605" s="145" t="str">
        <f>VLOOKUP(H1605,Stock_list!A:N,14,FALSE)</f>
        <v>SEP 19</v>
      </c>
    </row>
    <row r="1606" spans="1:21" ht="16.5" customHeight="1">
      <c r="A1606" s="159" t="s">
        <v>2747</v>
      </c>
      <c r="B1606" s="114" t="str">
        <f>VLOOKUP(A1606,'Data pick slip'!B:F,5,FALSE)</f>
        <v>KHJ-MC200-00</v>
      </c>
      <c r="F1606" s="157" t="s">
        <v>2773</v>
      </c>
      <c r="H1606" s="138">
        <v>408</v>
      </c>
      <c r="I1606" s="139" t="str">
        <f>VLOOKUP(H1606,Stock_list!A:R,18,FALSE)</f>
        <v>海松微</v>
      </c>
      <c r="J1606" s="139" t="str">
        <f>VLOOKUP(H1606,Stock_list!A:S,17,FALSE)</f>
        <v>C49SZX20190127JY</v>
      </c>
      <c r="K1606" s="51" t="str">
        <f>VLOOKUP(H1606,Stock_list!A:T,16,FALSE)</f>
        <v>RMB</v>
      </c>
      <c r="L1606" s="4">
        <v>43714</v>
      </c>
      <c r="M1606" s="132">
        <v>5</v>
      </c>
      <c r="P1606" s="4" t="str">
        <f>VLOOKUP(H1606,Stock_list!A:Y,25,FALSE)</f>
        <v>Yes</v>
      </c>
      <c r="Q1606" s="143"/>
      <c r="T1606" s="144"/>
      <c r="U1606" s="145" t="str">
        <f>VLOOKUP(H1606,Stock_list!A:N,14,FALSE)</f>
        <v>SEP 19</v>
      </c>
    </row>
    <row r="1607" spans="1:21" ht="16.5" customHeight="1">
      <c r="A1607" s="159" t="s">
        <v>2748</v>
      </c>
      <c r="B1607" s="114" t="str">
        <f>VLOOKUP(A1607,'Data pick slip'!B:F,5,FALSE)</f>
        <v>KHJ-MC400-00</v>
      </c>
      <c r="F1607" s="157" t="s">
        <v>2773</v>
      </c>
      <c r="H1607" s="138">
        <v>408</v>
      </c>
      <c r="I1607" s="139" t="str">
        <f>VLOOKUP(H1607,Stock_list!A:R,18,FALSE)</f>
        <v>海松微</v>
      </c>
      <c r="J1607" s="139" t="str">
        <f>VLOOKUP(H1607,Stock_list!A:S,17,FALSE)</f>
        <v>C49SZX20190127JY</v>
      </c>
      <c r="K1607" s="51" t="str">
        <f>VLOOKUP(H1607,Stock_list!A:T,16,FALSE)</f>
        <v>RMB</v>
      </c>
      <c r="L1607" s="4">
        <v>43714</v>
      </c>
      <c r="M1607" s="132">
        <v>2</v>
      </c>
      <c r="P1607" s="4" t="str">
        <f>VLOOKUP(H1607,Stock_list!A:Y,25,FALSE)</f>
        <v>Yes</v>
      </c>
      <c r="Q1607" s="143"/>
      <c r="T1607" s="144"/>
      <c r="U1607" s="145" t="str">
        <f>VLOOKUP(H1607,Stock_list!A:N,14,FALSE)</f>
        <v>SEP 19</v>
      </c>
    </row>
    <row r="1608" spans="1:21" ht="16.5" customHeight="1">
      <c r="A1608" s="159" t="s">
        <v>2755</v>
      </c>
      <c r="B1608" s="114" t="str">
        <f>VLOOKUP(A1608,'Data pick slip'!B:F,5,FALSE)</f>
        <v>KLJ-MC100-00</v>
      </c>
      <c r="F1608" s="157" t="s">
        <v>2773</v>
      </c>
      <c r="H1608" s="138">
        <v>409</v>
      </c>
      <c r="I1608" s="139" t="str">
        <f>VLOOKUP(H1608,Stock_list!A:R,18,FALSE)</f>
        <v>妙琪</v>
      </c>
      <c r="J1608" s="139" t="str">
        <f>VLOOKUP(H1608,Stock_list!A:S,17,FALSE)</f>
        <v>C49SZX20190120DY</v>
      </c>
      <c r="K1608" s="51" t="str">
        <f>VLOOKUP(H1608,Stock_list!A:T,16,FALSE)</f>
        <v>RMB</v>
      </c>
      <c r="L1608" s="4">
        <v>43759</v>
      </c>
      <c r="M1608" s="132">
        <v>60</v>
      </c>
      <c r="P1608" s="4" t="str">
        <f>VLOOKUP(H1608,Stock_list!A:Y,25,FALSE)</f>
        <v>Yes</v>
      </c>
      <c r="Q1608" s="143"/>
      <c r="T1608" s="144"/>
      <c r="U1608" s="145" t="str">
        <f>VLOOKUP(H1608,Stock_list!A:N,14,FALSE)</f>
        <v>OCT 19</v>
      </c>
    </row>
    <row r="1609" spans="1:21" ht="16.5" customHeight="1">
      <c r="A1609" s="159" t="s">
        <v>2747</v>
      </c>
      <c r="B1609" s="114" t="str">
        <f>VLOOKUP(A1609,'Data pick slip'!B:F,5,FALSE)</f>
        <v>KHJ-MC200-00</v>
      </c>
      <c r="F1609" s="157" t="s">
        <v>2773</v>
      </c>
      <c r="H1609" s="138">
        <v>409</v>
      </c>
      <c r="I1609" s="139" t="str">
        <f>VLOOKUP(H1609,Stock_list!A:R,18,FALSE)</f>
        <v>妙琪</v>
      </c>
      <c r="J1609" s="139" t="str">
        <f>VLOOKUP(H1609,Stock_list!A:S,17,FALSE)</f>
        <v>C49SZX20190120DY</v>
      </c>
      <c r="K1609" s="51" t="str">
        <f>VLOOKUP(H1609,Stock_list!A:T,16,FALSE)</f>
        <v>RMB</v>
      </c>
      <c r="L1609" s="4">
        <v>43759</v>
      </c>
      <c r="M1609" s="132">
        <v>5</v>
      </c>
      <c r="P1609" s="4" t="str">
        <f>VLOOKUP(H1609,Stock_list!A:Y,25,FALSE)</f>
        <v>Yes</v>
      </c>
      <c r="Q1609" s="143"/>
      <c r="T1609" s="144"/>
      <c r="U1609" s="145" t="str">
        <f>VLOOKUP(H1609,Stock_list!A:N,14,FALSE)</f>
        <v>OCT 19</v>
      </c>
    </row>
    <row r="1610" spans="1:21" ht="16.5" customHeight="1">
      <c r="A1610" s="159" t="s">
        <v>2744</v>
      </c>
      <c r="B1610" s="114" t="str">
        <f>VLOOKUP(A1610,'Data pick slip'!B:F,5,FALSE)</f>
        <v>KHJ-MC100-00</v>
      </c>
      <c r="F1610" s="157" t="s">
        <v>2773</v>
      </c>
      <c r="H1610" s="138">
        <v>403</v>
      </c>
      <c r="I1610" s="139" t="str">
        <f>VLOOKUP(H1610,Stock_list!A:R,18,FALSE)</f>
        <v>天星创展</v>
      </c>
      <c r="J1610" s="139" t="str">
        <f>VLOOKUP(H1610,Stock_list!A:S,17,FALSE)</f>
        <v>C49SZX20190126MZ</v>
      </c>
      <c r="K1610" s="51" t="str">
        <f>VLOOKUP(H1610,Stock_list!A:T,16,FALSE)</f>
        <v>RMB</v>
      </c>
      <c r="L1610" s="4">
        <v>43700</v>
      </c>
      <c r="M1610" s="140">
        <v>6</v>
      </c>
      <c r="P1610" s="4" t="str">
        <f>VLOOKUP(H1610,Stock_list!A:Y,25,FALSE)</f>
        <v>Yes</v>
      </c>
      <c r="Q1610" s="143"/>
      <c r="T1610" s="144"/>
      <c r="U1610" s="145" t="str">
        <f>VLOOKUP(H1610,Stock_list!A:N,14,FALSE)</f>
        <v>AUG 19</v>
      </c>
    </row>
    <row r="1611" spans="1:21" ht="16.5" customHeight="1">
      <c r="A1611" s="159" t="s">
        <v>2748</v>
      </c>
      <c r="B1611" s="114" t="str">
        <f>VLOOKUP(A1611,'Data pick slip'!B:F,5,FALSE)</f>
        <v>KHJ-MC400-00</v>
      </c>
      <c r="F1611" s="157" t="s">
        <v>2773</v>
      </c>
      <c r="H1611" s="138">
        <v>403</v>
      </c>
      <c r="I1611" s="139" t="str">
        <f>VLOOKUP(H1611,Stock_list!A:R,18,FALSE)</f>
        <v>天星创展</v>
      </c>
      <c r="J1611" s="139" t="str">
        <f>VLOOKUP(H1611,Stock_list!A:S,17,FALSE)</f>
        <v>C49SZX20190126MZ</v>
      </c>
      <c r="K1611" s="51" t="str">
        <f>VLOOKUP(H1611,Stock_list!A:T,16,FALSE)</f>
        <v>RMB</v>
      </c>
      <c r="L1611" s="4">
        <v>43700</v>
      </c>
      <c r="M1611" s="140">
        <v>4</v>
      </c>
      <c r="P1611" s="4" t="str">
        <f>VLOOKUP(H1611,Stock_list!A:Y,25,FALSE)</f>
        <v>Yes</v>
      </c>
      <c r="Q1611" s="143"/>
      <c r="T1611" s="144"/>
      <c r="U1611" s="145" t="str">
        <f>VLOOKUP(H1611,Stock_list!A:N,14,FALSE)</f>
        <v>AUG 19</v>
      </c>
    </row>
    <row r="1612" spans="1:21" ht="16.5" customHeight="1">
      <c r="A1612" s="159" t="s">
        <v>2755</v>
      </c>
      <c r="B1612" s="114" t="str">
        <f>VLOOKUP(A1612,'Data pick slip'!B:F,5,FALSE)</f>
        <v>KLJ-MC100-00</v>
      </c>
      <c r="F1612" s="157" t="s">
        <v>2861</v>
      </c>
      <c r="I1612" s="139" t="s">
        <v>3015</v>
      </c>
      <c r="J1612" s="139" t="s">
        <v>3157</v>
      </c>
      <c r="K1612" s="51" t="s">
        <v>1246</v>
      </c>
      <c r="L1612" s="4">
        <v>43698</v>
      </c>
      <c r="M1612" s="140">
        <v>200</v>
      </c>
      <c r="P1612" s="4" t="s">
        <v>291</v>
      </c>
      <c r="Q1612" s="143"/>
      <c r="T1612" s="144"/>
      <c r="U1612" s="145" t="e">
        <f>VLOOKUP(H1612,Stock_list!A:N,14,FALSE)</f>
        <v>#N/A</v>
      </c>
    </row>
    <row r="1613" spans="1:21" ht="16.5" customHeight="1">
      <c r="A1613" s="159" t="s">
        <v>2756</v>
      </c>
      <c r="B1613" s="114" t="str">
        <f>VLOOKUP(A1613,'Data pick slip'!B:F,5,FALSE)</f>
        <v>KLJ-MC200-00</v>
      </c>
      <c r="F1613" s="157" t="s">
        <v>2861</v>
      </c>
      <c r="I1613" s="139" t="s">
        <v>3015</v>
      </c>
      <c r="J1613" s="139" t="s">
        <v>3157</v>
      </c>
      <c r="K1613" s="51" t="s">
        <v>1246</v>
      </c>
      <c r="L1613" s="4">
        <v>43698</v>
      </c>
      <c r="M1613" s="140">
        <v>60</v>
      </c>
      <c r="P1613" s="4" t="s">
        <v>291</v>
      </c>
      <c r="T1613" s="144"/>
      <c r="U1613" s="145" t="e">
        <f>VLOOKUP(H1613,Stock_list!A:N,14,FALSE)</f>
        <v>#N/A</v>
      </c>
    </row>
    <row r="1614" spans="1:21" ht="16.5" customHeight="1">
      <c r="A1614" s="159" t="s">
        <v>2757</v>
      </c>
      <c r="B1614" s="114" t="str">
        <f>VLOOKUP(A1614,'Data pick slip'!B:F,5,FALSE)</f>
        <v>KLJ-MC400-00</v>
      </c>
      <c r="F1614" s="157" t="s">
        <v>2861</v>
      </c>
      <c r="I1614" s="139" t="s">
        <v>3015</v>
      </c>
      <c r="J1614" s="139" t="s">
        <v>3157</v>
      </c>
      <c r="K1614" s="51" t="s">
        <v>1246</v>
      </c>
      <c r="L1614" s="4">
        <v>43698</v>
      </c>
      <c r="M1614" s="140">
        <v>10</v>
      </c>
      <c r="P1614" s="4" t="s">
        <v>291</v>
      </c>
      <c r="Q1614" s="143"/>
      <c r="T1614" s="144"/>
      <c r="U1614" s="145" t="e">
        <f>VLOOKUP(H1614,Stock_list!A:N,14,FALSE)</f>
        <v>#N/A</v>
      </c>
    </row>
    <row r="1615" spans="1:21" ht="16.5" customHeight="1">
      <c r="A1615" s="159" t="s">
        <v>2748</v>
      </c>
      <c r="B1615" s="114" t="str">
        <f>VLOOKUP(A1615,'Data pick slip'!B:F,5,FALSE)</f>
        <v>KHJ-MC400-00</v>
      </c>
      <c r="F1615" s="157" t="s">
        <v>2861</v>
      </c>
      <c r="I1615" s="139" t="s">
        <v>3015</v>
      </c>
      <c r="J1615" s="139" t="s">
        <v>3157</v>
      </c>
      <c r="K1615" s="51" t="s">
        <v>1246</v>
      </c>
      <c r="L1615" s="4">
        <v>43698</v>
      </c>
      <c r="M1615" s="140">
        <v>14</v>
      </c>
      <c r="P1615" s="4" t="s">
        <v>291</v>
      </c>
      <c r="Q1615" s="143"/>
      <c r="T1615" s="144"/>
      <c r="U1615" s="145" t="e">
        <f>VLOOKUP(H1615,Stock_list!A:N,14,FALSE)</f>
        <v>#N/A</v>
      </c>
    </row>
    <row r="1616" spans="1:21" ht="16.5" customHeight="1">
      <c r="A1616" s="159" t="s">
        <v>2749</v>
      </c>
      <c r="B1616" s="114" t="str">
        <f>VLOOKUP(A1616,'Data pick slip'!B:F,5,FALSE)</f>
        <v>KHJ-MC500-00</v>
      </c>
      <c r="F1616" s="157" t="s">
        <v>2861</v>
      </c>
      <c r="I1616" s="139" t="s">
        <v>3015</v>
      </c>
      <c r="J1616" s="139" t="s">
        <v>3157</v>
      </c>
      <c r="K1616" s="51" t="s">
        <v>1246</v>
      </c>
      <c r="L1616" s="4">
        <v>43698</v>
      </c>
      <c r="M1616" s="140">
        <v>17</v>
      </c>
      <c r="P1616" s="4" t="s">
        <v>291</v>
      </c>
      <c r="Q1616" s="143"/>
      <c r="T1616" s="144"/>
      <c r="U1616" s="145" t="e">
        <f>VLOOKUP(H1616,Stock_list!A:N,14,FALSE)</f>
        <v>#N/A</v>
      </c>
    </row>
    <row r="1617" spans="1:21" ht="16.5" customHeight="1">
      <c r="A1617" s="159" t="s">
        <v>2744</v>
      </c>
      <c r="B1617" s="114" t="str">
        <f>VLOOKUP(A1617,'Data pick slip'!B:F,5,FALSE)</f>
        <v>KHJ-MC100-00</v>
      </c>
      <c r="F1617" s="157" t="s">
        <v>2861</v>
      </c>
      <c r="I1617" s="139" t="s">
        <v>3015</v>
      </c>
      <c r="J1617" s="139" t="s">
        <v>3158</v>
      </c>
      <c r="K1617" s="51" t="s">
        <v>1246</v>
      </c>
      <c r="L1617" s="4">
        <v>43699</v>
      </c>
      <c r="M1617" s="140">
        <v>441</v>
      </c>
      <c r="P1617" s="4" t="s">
        <v>291</v>
      </c>
      <c r="Q1617" s="143"/>
      <c r="T1617" s="144"/>
      <c r="U1617" s="145" t="e">
        <f>VLOOKUP(H1617,Stock_list!A:N,14,FALSE)</f>
        <v>#N/A</v>
      </c>
    </row>
    <row r="1618" spans="1:21" ht="16.5" customHeight="1">
      <c r="A1618" s="159" t="s">
        <v>2747</v>
      </c>
      <c r="B1618" s="114" t="str">
        <f>VLOOKUP(A1618,'Data pick slip'!B:F,5,FALSE)</f>
        <v>KHJ-MC200-00</v>
      </c>
      <c r="F1618" s="157" t="s">
        <v>2773</v>
      </c>
      <c r="I1618" s="139" t="s">
        <v>3139</v>
      </c>
      <c r="J1618" s="139" t="s">
        <v>3159</v>
      </c>
      <c r="K1618" s="51" t="s">
        <v>1246</v>
      </c>
      <c r="L1618" s="4">
        <v>43705</v>
      </c>
      <c r="M1618" s="140">
        <v>15</v>
      </c>
      <c r="P1618" s="4" t="s">
        <v>291</v>
      </c>
      <c r="Q1618" s="143"/>
      <c r="T1618" s="144"/>
      <c r="U1618" s="145" t="e">
        <f>VLOOKUP(H1618,Stock_list!A:N,14,FALSE)</f>
        <v>#N/A</v>
      </c>
    </row>
    <row r="1619" spans="1:21" ht="16.5" customHeight="1">
      <c r="A1619" s="159" t="s">
        <v>2744</v>
      </c>
      <c r="B1619" s="114" t="str">
        <f>VLOOKUP(A1619,'Data pick slip'!B:F,5,FALSE)</f>
        <v>KHJ-MC100-00</v>
      </c>
      <c r="F1619" s="157" t="s">
        <v>2773</v>
      </c>
      <c r="I1619" s="139" t="s">
        <v>3093</v>
      </c>
      <c r="J1619" s="139" t="s">
        <v>3160</v>
      </c>
      <c r="K1619" s="51" t="s">
        <v>1246</v>
      </c>
      <c r="L1619" s="4">
        <v>43705</v>
      </c>
      <c r="M1619" s="140">
        <v>20</v>
      </c>
      <c r="P1619" s="4" t="s">
        <v>291</v>
      </c>
      <c r="Q1619" s="143"/>
      <c r="T1619" s="144"/>
      <c r="U1619" s="145" t="e">
        <f>VLOOKUP(H1619,Stock_list!A:N,14,FALSE)</f>
        <v>#N/A</v>
      </c>
    </row>
    <row r="1620" spans="1:21" ht="16.5" customHeight="1">
      <c r="A1620" s="159" t="s">
        <v>2744</v>
      </c>
      <c r="B1620" s="114" t="str">
        <f>VLOOKUP(A1620,'Data pick slip'!B:F,5,FALSE)</f>
        <v>KHJ-MC100-00</v>
      </c>
      <c r="F1620" s="157" t="s">
        <v>2773</v>
      </c>
      <c r="H1620" s="138">
        <v>411</v>
      </c>
      <c r="I1620" s="139" t="str">
        <f>VLOOKUP(H1620,Stock_list!A:R,18,FALSE)</f>
        <v>博星</v>
      </c>
      <c r="J1620" s="139" t="str">
        <f>VLOOKUP(H1620,Stock_list!A:S,17,FALSE)</f>
        <v>C49SZX20190129DZ</v>
      </c>
      <c r="K1620" s="51" t="str">
        <f>VLOOKUP(H1620,Stock_list!A:T,16,FALSE)</f>
        <v>RMB</v>
      </c>
      <c r="L1620" s="4">
        <v>43737</v>
      </c>
      <c r="M1620" s="132">
        <v>140</v>
      </c>
      <c r="P1620" s="4" t="str">
        <f>VLOOKUP(H1620,Stock_list!A:Y,25,FALSE)</f>
        <v>Yes</v>
      </c>
      <c r="Q1620" s="143"/>
      <c r="T1620" s="144"/>
      <c r="U1620" s="145" t="str">
        <f>VLOOKUP(H1620,Stock_list!A:N,14,FALSE)</f>
        <v>NOV 19</v>
      </c>
    </row>
    <row r="1621" spans="1:21" ht="16.5" customHeight="1">
      <c r="A1621" s="159" t="s">
        <v>2747</v>
      </c>
      <c r="B1621" s="114" t="str">
        <f>VLOOKUP(A1621,'Data pick slip'!B:F,5,FALSE)</f>
        <v>KHJ-MC200-00</v>
      </c>
      <c r="F1621" s="157" t="s">
        <v>2773</v>
      </c>
      <c r="H1621" s="138">
        <v>411</v>
      </c>
      <c r="I1621" s="139" t="str">
        <f>VLOOKUP(H1621,Stock_list!A:R,18,FALSE)</f>
        <v>博星</v>
      </c>
      <c r="J1621" s="139" t="str">
        <f>VLOOKUP(H1621,Stock_list!A:S,17,FALSE)</f>
        <v>C49SZX20190129DZ</v>
      </c>
      <c r="K1621" s="51" t="str">
        <f>VLOOKUP(H1621,Stock_list!A:T,16,FALSE)</f>
        <v>RMB</v>
      </c>
      <c r="L1621" s="4">
        <v>43737</v>
      </c>
      <c r="M1621" s="132">
        <v>12</v>
      </c>
      <c r="P1621" s="4" t="str">
        <f>VLOOKUP(H1621,Stock_list!A:Y,25,FALSE)</f>
        <v>Yes</v>
      </c>
      <c r="Q1621" s="143"/>
      <c r="T1621" s="144"/>
      <c r="U1621" s="145" t="str">
        <f>VLOOKUP(H1621,Stock_list!A:N,14,FALSE)</f>
        <v>NOV 19</v>
      </c>
    </row>
    <row r="1622" spans="1:21" ht="16.5" customHeight="1">
      <c r="A1622" s="159" t="s">
        <v>2749</v>
      </c>
      <c r="B1622" s="114" t="str">
        <f>VLOOKUP(A1622,'Data pick slip'!B:F,5,FALSE)</f>
        <v>KHJ-MC500-00</v>
      </c>
      <c r="F1622" s="157" t="s">
        <v>2773</v>
      </c>
      <c r="H1622" s="138">
        <v>411</v>
      </c>
      <c r="I1622" s="139" t="str">
        <f>VLOOKUP(H1622,Stock_list!A:R,18,FALSE)</f>
        <v>博星</v>
      </c>
      <c r="J1622" s="139" t="str">
        <f>VLOOKUP(H1622,Stock_list!A:S,17,FALSE)</f>
        <v>C49SZX20190129DZ</v>
      </c>
      <c r="K1622" s="51" t="str">
        <f>VLOOKUP(H1622,Stock_list!A:T,16,FALSE)</f>
        <v>RMB</v>
      </c>
      <c r="L1622" s="4">
        <v>43737</v>
      </c>
      <c r="M1622" s="132">
        <v>2</v>
      </c>
      <c r="P1622" s="4" t="str">
        <f>VLOOKUP(H1622,Stock_list!A:Y,25,FALSE)</f>
        <v>Yes</v>
      </c>
      <c r="Q1622" s="143"/>
      <c r="T1622" s="144"/>
      <c r="U1622" s="145" t="str">
        <f>VLOOKUP(H1622,Stock_list!A:N,14,FALSE)</f>
        <v>NOV 19</v>
      </c>
    </row>
    <row r="1623" spans="1:21" ht="16.5" customHeight="1">
      <c r="A1623" s="159" t="s">
        <v>2744</v>
      </c>
      <c r="B1623" s="114" t="str">
        <f>VLOOKUP(A1623,'Data pick slip'!B:F,5,FALSE)</f>
        <v>KHJ-MC100-00</v>
      </c>
      <c r="F1623" s="157" t="s">
        <v>2773</v>
      </c>
      <c r="H1623" s="138">
        <v>411</v>
      </c>
      <c r="I1623" s="139" t="str">
        <f>VLOOKUP(H1623,Stock_list!A:R,18,FALSE)</f>
        <v>博星</v>
      </c>
      <c r="J1623" s="139" t="str">
        <f>VLOOKUP(H1623,Stock_list!A:S,17,FALSE)</f>
        <v>C49SZX20190129DZ</v>
      </c>
      <c r="K1623" s="51" t="str">
        <f>VLOOKUP(H1623,Stock_list!A:T,16,FALSE)</f>
        <v>RMB</v>
      </c>
      <c r="L1623" s="4">
        <v>43777</v>
      </c>
      <c r="M1623" s="132">
        <v>140</v>
      </c>
      <c r="P1623" s="4" t="str">
        <f>VLOOKUP(H1623,Stock_list!A:Y,25,FALSE)</f>
        <v>Yes</v>
      </c>
      <c r="Q1623" s="143"/>
      <c r="T1623" s="144"/>
      <c r="U1623" s="145" t="str">
        <f>VLOOKUP(H1623,Stock_list!A:N,14,FALSE)</f>
        <v>NOV 19</v>
      </c>
    </row>
    <row r="1624" spans="1:21" ht="16.5" customHeight="1">
      <c r="A1624" s="159" t="s">
        <v>2747</v>
      </c>
      <c r="B1624" s="114" t="str">
        <f>VLOOKUP(A1624,'Data pick slip'!B:F,5,FALSE)</f>
        <v>KHJ-MC200-00</v>
      </c>
      <c r="F1624" s="157" t="s">
        <v>2773</v>
      </c>
      <c r="H1624" s="138">
        <v>411</v>
      </c>
      <c r="I1624" s="139" t="str">
        <f>VLOOKUP(H1624,Stock_list!A:R,18,FALSE)</f>
        <v>博星</v>
      </c>
      <c r="J1624" s="139" t="str">
        <f>VLOOKUP(H1624,Stock_list!A:S,17,FALSE)</f>
        <v>C49SZX20190129DZ</v>
      </c>
      <c r="K1624" s="51" t="str">
        <f>VLOOKUP(H1624,Stock_list!A:T,16,FALSE)</f>
        <v>RMB</v>
      </c>
      <c r="L1624" s="4">
        <v>43777</v>
      </c>
      <c r="M1624" s="132">
        <v>12</v>
      </c>
      <c r="P1624" s="4" t="str">
        <f>VLOOKUP(H1624,Stock_list!A:Y,25,FALSE)</f>
        <v>Yes</v>
      </c>
      <c r="Q1624" s="143"/>
      <c r="T1624" s="144"/>
      <c r="U1624" s="145" t="str">
        <f>VLOOKUP(H1624,Stock_list!A:N,14,FALSE)</f>
        <v>NOV 19</v>
      </c>
    </row>
    <row r="1625" spans="1:21" ht="16.5" customHeight="1">
      <c r="A1625" s="159" t="s">
        <v>2749</v>
      </c>
      <c r="B1625" s="114" t="str">
        <f>VLOOKUP(A1625,'Data pick slip'!B:F,5,FALSE)</f>
        <v>KHJ-MC500-00</v>
      </c>
      <c r="F1625" s="157" t="s">
        <v>2773</v>
      </c>
      <c r="H1625" s="138">
        <v>411</v>
      </c>
      <c r="I1625" s="139" t="str">
        <f>VLOOKUP(H1625,Stock_list!A:R,18,FALSE)</f>
        <v>博星</v>
      </c>
      <c r="J1625" s="139" t="str">
        <f>VLOOKUP(H1625,Stock_list!A:S,17,FALSE)</f>
        <v>C49SZX20190129DZ</v>
      </c>
      <c r="K1625" s="51" t="str">
        <f>VLOOKUP(H1625,Stock_list!A:T,16,FALSE)</f>
        <v>RMB</v>
      </c>
      <c r="L1625" s="4">
        <v>43777</v>
      </c>
      <c r="M1625" s="132">
        <v>2</v>
      </c>
      <c r="P1625" s="4" t="str">
        <f>VLOOKUP(H1625,Stock_list!A:Y,25,FALSE)</f>
        <v>Yes</v>
      </c>
      <c r="Q1625" s="143"/>
      <c r="T1625" s="144"/>
      <c r="U1625" s="145" t="str">
        <f>VLOOKUP(H1625,Stock_list!A:N,14,FALSE)</f>
        <v>NOV 19</v>
      </c>
    </row>
    <row r="1626" spans="1:21" ht="16.5" customHeight="1">
      <c r="A1626" s="159" t="s">
        <v>2744</v>
      </c>
      <c r="B1626" s="114" t="str">
        <f>VLOOKUP(A1626,'Data pick slip'!B:F,5,FALSE)</f>
        <v>KHJ-MC100-00</v>
      </c>
      <c r="F1626" s="157" t="s">
        <v>2861</v>
      </c>
      <c r="I1626" s="139" t="s">
        <v>3015</v>
      </c>
      <c r="J1626" s="139" t="s">
        <v>3161</v>
      </c>
      <c r="K1626" s="51" t="s">
        <v>3123</v>
      </c>
      <c r="L1626" s="4">
        <v>43713</v>
      </c>
      <c r="M1626" s="140">
        <v>160</v>
      </c>
      <c r="P1626" s="4" t="s">
        <v>291</v>
      </c>
      <c r="Q1626" s="143"/>
      <c r="T1626" s="144"/>
      <c r="U1626" s="145" t="e">
        <f>VLOOKUP(H1626,Stock_list!A:N,14,FALSE)</f>
        <v>#N/A</v>
      </c>
    </row>
    <row r="1627" spans="1:21" ht="16.5" customHeight="1">
      <c r="A1627" s="159" t="s">
        <v>2747</v>
      </c>
      <c r="B1627" s="114" t="str">
        <f>VLOOKUP(A1627,'Data pick slip'!B:F,5,FALSE)</f>
        <v>KHJ-MC200-00</v>
      </c>
      <c r="F1627" s="157" t="s">
        <v>2861</v>
      </c>
      <c r="I1627" s="139" t="s">
        <v>3015</v>
      </c>
      <c r="J1627" s="139" t="s">
        <v>3161</v>
      </c>
      <c r="K1627" s="51" t="s">
        <v>3123</v>
      </c>
      <c r="L1627" s="4">
        <v>43713</v>
      </c>
      <c r="M1627" s="140">
        <v>80</v>
      </c>
      <c r="P1627" s="4" t="s">
        <v>291</v>
      </c>
      <c r="Q1627" s="143"/>
      <c r="T1627" s="144"/>
      <c r="U1627" s="145" t="e">
        <f>VLOOKUP(H1627,Stock_list!A:N,14,FALSE)</f>
        <v>#N/A</v>
      </c>
    </row>
    <row r="1628" spans="1:21" ht="16.5" customHeight="1">
      <c r="A1628" s="159" t="s">
        <v>2748</v>
      </c>
      <c r="B1628" s="114" t="str">
        <f>VLOOKUP(A1628,'Data pick slip'!B:F,5,FALSE)</f>
        <v>KHJ-MC400-00</v>
      </c>
      <c r="F1628" s="157" t="s">
        <v>2861</v>
      </c>
      <c r="I1628" s="139" t="s">
        <v>3015</v>
      </c>
      <c r="J1628" s="139" t="s">
        <v>3161</v>
      </c>
      <c r="K1628" s="51" t="s">
        <v>3123</v>
      </c>
      <c r="L1628" s="4">
        <v>43713</v>
      </c>
      <c r="M1628" s="140">
        <v>20</v>
      </c>
      <c r="P1628" s="4" t="s">
        <v>291</v>
      </c>
      <c r="Q1628" s="143"/>
      <c r="T1628" s="144"/>
      <c r="U1628" s="145" t="e">
        <f>VLOOKUP(H1628,Stock_list!A:N,14,FALSE)</f>
        <v>#N/A</v>
      </c>
    </row>
    <row r="1629" spans="1:21" ht="16.5" customHeight="1">
      <c r="A1629" s="159" t="s">
        <v>2744</v>
      </c>
      <c r="B1629" s="114" t="str">
        <f>VLOOKUP(A1629,'Data pick slip'!B:F,5,FALSE)</f>
        <v>KHJ-MC100-00</v>
      </c>
      <c r="F1629" s="157" t="s">
        <v>2861</v>
      </c>
      <c r="I1629" s="139" t="s">
        <v>3015</v>
      </c>
      <c r="J1629" s="139" t="s">
        <v>3161</v>
      </c>
      <c r="K1629" s="51" t="s">
        <v>3123</v>
      </c>
      <c r="L1629" s="4">
        <v>43713</v>
      </c>
      <c r="M1629" s="140">
        <v>50</v>
      </c>
      <c r="P1629" s="4" t="s">
        <v>291</v>
      </c>
      <c r="Q1629" s="143"/>
      <c r="T1629" s="144"/>
      <c r="U1629" s="145" t="e">
        <f>VLOOKUP(H1629,Stock_list!A:N,14,FALSE)</f>
        <v>#N/A</v>
      </c>
    </row>
    <row r="1630" spans="1:21" ht="16.5" customHeight="1">
      <c r="A1630" s="159" t="s">
        <v>2744</v>
      </c>
      <c r="B1630" s="114" t="str">
        <f>VLOOKUP(A1630,'Data pick slip'!B:F,5,FALSE)</f>
        <v>KHJ-MC100-00</v>
      </c>
      <c r="F1630" s="157" t="s">
        <v>2773</v>
      </c>
      <c r="H1630" s="138">
        <v>423</v>
      </c>
      <c r="I1630" s="139" t="str">
        <f>VLOOKUP(H1630,Stock_list!A:R,18,FALSE)</f>
        <v>迅丰</v>
      </c>
      <c r="J1630" s="139" t="str">
        <f>VLOOKUP(H1630,Stock_list!A:S,17,FALSE)</f>
        <v>C49SZX20190135SX</v>
      </c>
      <c r="K1630" s="51" t="str">
        <f>VLOOKUP(H1630,Stock_list!A:T,16,FALSE)</f>
        <v>RMB</v>
      </c>
      <c r="L1630" s="4">
        <v>43731</v>
      </c>
      <c r="M1630" s="132">
        <v>80</v>
      </c>
      <c r="P1630" s="4" t="str">
        <f>VLOOKUP(H1630,Stock_list!A:Y,25,FALSE)</f>
        <v>Yes</v>
      </c>
      <c r="Q1630" s="143"/>
      <c r="T1630" s="144"/>
      <c r="U1630" s="145" t="str">
        <f>VLOOKUP(H1630,Stock_list!A:N,14,FALSE)</f>
        <v>SEP 19</v>
      </c>
    </row>
    <row r="1631" spans="1:21" ht="16.5" customHeight="1">
      <c r="A1631" s="159" t="s">
        <v>2747</v>
      </c>
      <c r="B1631" s="114" t="str">
        <f>VLOOKUP(A1631,'Data pick slip'!B:F,5,FALSE)</f>
        <v>KHJ-MC200-00</v>
      </c>
      <c r="F1631" s="157" t="s">
        <v>2773</v>
      </c>
      <c r="H1631" s="138">
        <v>423</v>
      </c>
      <c r="I1631" s="139" t="str">
        <f>VLOOKUP(H1631,Stock_list!A:R,18,FALSE)</f>
        <v>迅丰</v>
      </c>
      <c r="J1631" s="139" t="str">
        <f>VLOOKUP(H1631,Stock_list!A:S,17,FALSE)</f>
        <v>C49SZX20190135SX</v>
      </c>
      <c r="K1631" s="51" t="str">
        <f>VLOOKUP(H1631,Stock_list!A:T,16,FALSE)</f>
        <v>RMB</v>
      </c>
      <c r="L1631" s="4">
        <v>43731</v>
      </c>
      <c r="M1631" s="132">
        <v>8</v>
      </c>
      <c r="P1631" s="4" t="str">
        <f>VLOOKUP(H1631,Stock_list!A:Y,25,FALSE)</f>
        <v>Yes</v>
      </c>
      <c r="Q1631" s="143"/>
      <c r="T1631" s="144"/>
      <c r="U1631" s="145" t="str">
        <f>VLOOKUP(H1631,Stock_list!A:N,14,FALSE)</f>
        <v>SEP 19</v>
      </c>
    </row>
    <row r="1632" spans="1:21" ht="16.5" customHeight="1">
      <c r="A1632" s="159" t="s">
        <v>2748</v>
      </c>
      <c r="B1632" s="114" t="str">
        <f>VLOOKUP(A1632,'Data pick slip'!B:F,5,FALSE)</f>
        <v>KHJ-MC400-00</v>
      </c>
      <c r="F1632" s="157" t="s">
        <v>2773</v>
      </c>
      <c r="H1632" s="138">
        <v>423</v>
      </c>
      <c r="I1632" s="139" t="str">
        <f>VLOOKUP(H1632,Stock_list!A:R,18,FALSE)</f>
        <v>迅丰</v>
      </c>
      <c r="J1632" s="139" t="str">
        <f>VLOOKUP(H1632,Stock_list!A:S,17,FALSE)</f>
        <v>C49SZX20190135SX</v>
      </c>
      <c r="K1632" s="51" t="str">
        <f>VLOOKUP(H1632,Stock_list!A:T,16,FALSE)</f>
        <v>RMB</v>
      </c>
      <c r="L1632" s="4">
        <v>43731</v>
      </c>
      <c r="M1632" s="132">
        <v>1</v>
      </c>
      <c r="P1632" s="4" t="str">
        <f>VLOOKUP(H1632,Stock_list!A:Y,25,FALSE)</f>
        <v>Yes</v>
      </c>
      <c r="Q1632" s="143"/>
      <c r="T1632" s="144"/>
      <c r="U1632" s="145" t="str">
        <f>VLOOKUP(H1632,Stock_list!A:N,14,FALSE)</f>
        <v>SEP 19</v>
      </c>
    </row>
    <row r="1633" spans="1:21" ht="16.5" customHeight="1">
      <c r="A1633" s="159" t="s">
        <v>2744</v>
      </c>
      <c r="B1633" s="114" t="str">
        <f>VLOOKUP(A1633,'Data pick slip'!B:F,5,FALSE)</f>
        <v>KHJ-MC100-00</v>
      </c>
      <c r="F1633" s="157" t="s">
        <v>2773</v>
      </c>
      <c r="H1633" s="138">
        <v>425</v>
      </c>
      <c r="I1633" s="139" t="str">
        <f>VLOOKUP(H1633,Stock_list!A:R,18,FALSE)</f>
        <v>君泽</v>
      </c>
      <c r="J1633" s="139" t="str">
        <f>VLOOKUP(H1633,Stock_list!A:S,17,FALSE)</f>
        <v>C49SZX20190123SX</v>
      </c>
      <c r="K1633" s="51" t="str">
        <f>VLOOKUP(H1633,Stock_list!A:T,16,FALSE)</f>
        <v>RMB</v>
      </c>
      <c r="L1633" s="4">
        <v>43733</v>
      </c>
      <c r="M1633" s="132">
        <v>140</v>
      </c>
      <c r="P1633" s="4" t="str">
        <f>VLOOKUP(H1633,Stock_list!A:Y,25,FALSE)</f>
        <v>Yes</v>
      </c>
      <c r="Q1633" s="143"/>
      <c r="T1633" s="144"/>
      <c r="U1633" s="145" t="str">
        <f>VLOOKUP(H1633,Stock_list!A:N,14,FALSE)</f>
        <v>SEP 19</v>
      </c>
    </row>
    <row r="1634" spans="1:21" ht="16.5" customHeight="1">
      <c r="A1634" s="159" t="s">
        <v>2747</v>
      </c>
      <c r="B1634" s="114" t="str">
        <f>VLOOKUP(A1634,'Data pick slip'!B:F,5,FALSE)</f>
        <v>KHJ-MC200-00</v>
      </c>
      <c r="F1634" s="157" t="s">
        <v>2773</v>
      </c>
      <c r="H1634" s="138">
        <v>425</v>
      </c>
      <c r="I1634" s="139" t="str">
        <f>VLOOKUP(H1634,Stock_list!A:R,18,FALSE)</f>
        <v>君泽</v>
      </c>
      <c r="J1634" s="139" t="str">
        <f>VLOOKUP(H1634,Stock_list!A:S,17,FALSE)</f>
        <v>C49SZX20190123SX</v>
      </c>
      <c r="K1634" s="51" t="str">
        <f>VLOOKUP(H1634,Stock_list!A:T,16,FALSE)</f>
        <v>RMB</v>
      </c>
      <c r="L1634" s="4">
        <v>43733</v>
      </c>
      <c r="M1634" s="132">
        <v>40</v>
      </c>
      <c r="P1634" s="4" t="str">
        <f>VLOOKUP(H1634,Stock_list!A:Y,25,FALSE)</f>
        <v>Yes</v>
      </c>
      <c r="Q1634" s="143"/>
      <c r="T1634" s="144"/>
      <c r="U1634" s="145" t="str">
        <f>VLOOKUP(H1634,Stock_list!A:N,14,FALSE)</f>
        <v>SEP 19</v>
      </c>
    </row>
    <row r="1635" spans="1:21" ht="16.5" customHeight="1">
      <c r="A1635" s="159" t="s">
        <v>2748</v>
      </c>
      <c r="B1635" s="114" t="str">
        <f>VLOOKUP(A1635,'Data pick slip'!B:F,5,FALSE)</f>
        <v>KHJ-MC400-00</v>
      </c>
      <c r="F1635" s="157" t="s">
        <v>2773</v>
      </c>
      <c r="H1635" s="138">
        <v>425</v>
      </c>
      <c r="I1635" s="139" t="str">
        <f>VLOOKUP(H1635,Stock_list!A:R,18,FALSE)</f>
        <v>君泽</v>
      </c>
      <c r="J1635" s="139" t="str">
        <f>VLOOKUP(H1635,Stock_list!A:S,17,FALSE)</f>
        <v>C49SZX20190123SX</v>
      </c>
      <c r="K1635" s="51" t="str">
        <f>VLOOKUP(H1635,Stock_list!A:T,16,FALSE)</f>
        <v>RMB</v>
      </c>
      <c r="L1635" s="4">
        <v>43733</v>
      </c>
      <c r="M1635" s="132">
        <v>7</v>
      </c>
      <c r="P1635" s="4" t="str">
        <f>VLOOKUP(H1635,Stock_list!A:Y,25,FALSE)</f>
        <v>Yes</v>
      </c>
      <c r="Q1635" s="143"/>
      <c r="T1635" s="144"/>
      <c r="U1635" s="145" t="str">
        <f>VLOOKUP(H1635,Stock_list!A:N,14,FALSE)</f>
        <v>SEP 19</v>
      </c>
    </row>
    <row r="1636" spans="1:21" ht="16.5" customHeight="1">
      <c r="A1636" s="159" t="s">
        <v>2744</v>
      </c>
      <c r="B1636" s="114" t="str">
        <f>VLOOKUP(A1636,'Data pick slip'!B:F,5,FALSE)</f>
        <v>KHJ-MC100-00</v>
      </c>
      <c r="F1636" s="157" t="s">
        <v>2773</v>
      </c>
      <c r="I1636" s="139" t="s">
        <v>3099</v>
      </c>
      <c r="J1636" s="139" t="s">
        <v>3162</v>
      </c>
      <c r="K1636" s="51" t="s">
        <v>1246</v>
      </c>
      <c r="L1636" s="4">
        <v>43718</v>
      </c>
      <c r="M1636" s="140">
        <v>30</v>
      </c>
      <c r="P1636" s="4" t="s">
        <v>291</v>
      </c>
      <c r="Q1636" s="143"/>
      <c r="T1636" s="144"/>
      <c r="U1636" s="145" t="e">
        <f>VLOOKUP(H1636,Stock_list!A:N,14,FALSE)</f>
        <v>#N/A</v>
      </c>
    </row>
    <row r="1637" spans="1:21" ht="16.5" customHeight="1">
      <c r="A1637" s="159" t="s">
        <v>2748</v>
      </c>
      <c r="B1637" s="114" t="str">
        <f>VLOOKUP(A1637,'Data pick slip'!B:F,5,FALSE)</f>
        <v>KHJ-MC400-00</v>
      </c>
      <c r="F1637" s="157" t="s">
        <v>2773</v>
      </c>
      <c r="I1637" s="139" t="s">
        <v>2853</v>
      </c>
      <c r="J1637" s="139" t="s">
        <v>3163</v>
      </c>
      <c r="K1637" s="51" t="s">
        <v>3002</v>
      </c>
      <c r="L1637" s="4">
        <v>43719</v>
      </c>
      <c r="M1637" s="140">
        <v>2</v>
      </c>
      <c r="P1637" s="4" t="s">
        <v>291</v>
      </c>
      <c r="Q1637" s="143"/>
      <c r="S1637" s="123" t="s">
        <v>3003</v>
      </c>
      <c r="T1637" s="144" t="s">
        <v>3164</v>
      </c>
      <c r="U1637" s="145" t="e">
        <f>VLOOKUP(H1637,Stock_list!A:N,14,FALSE)</f>
        <v>#N/A</v>
      </c>
    </row>
    <row r="1638" spans="1:21" ht="16.5" customHeight="1">
      <c r="A1638" s="159" t="s">
        <v>2749</v>
      </c>
      <c r="B1638" s="114" t="str">
        <f>VLOOKUP(A1638,'Data pick slip'!B:F,5,FALSE)</f>
        <v>KHJ-MC500-00</v>
      </c>
      <c r="F1638" s="157" t="s">
        <v>2773</v>
      </c>
      <c r="I1638" s="139" t="s">
        <v>2853</v>
      </c>
      <c r="J1638" s="139" t="s">
        <v>3163</v>
      </c>
      <c r="K1638" s="51" t="s">
        <v>3002</v>
      </c>
      <c r="L1638" s="4">
        <v>43719</v>
      </c>
      <c r="M1638" s="140">
        <v>2</v>
      </c>
      <c r="P1638" s="4" t="s">
        <v>291</v>
      </c>
      <c r="Q1638" s="143"/>
      <c r="S1638" s="123" t="s">
        <v>3003</v>
      </c>
      <c r="T1638" s="144" t="s">
        <v>3164</v>
      </c>
      <c r="U1638" s="145" t="e">
        <f>VLOOKUP(H1638,Stock_list!A:N,14,FALSE)</f>
        <v>#N/A</v>
      </c>
    </row>
    <row r="1639" spans="1:21" ht="16.5" customHeight="1">
      <c r="A1639" s="159" t="s">
        <v>2755</v>
      </c>
      <c r="B1639" s="114" t="str">
        <f>VLOOKUP(A1639,'Data pick slip'!B:F,5,FALSE)</f>
        <v>KLJ-MC100-00</v>
      </c>
      <c r="F1639" s="157" t="s">
        <v>2861</v>
      </c>
      <c r="H1639" s="138">
        <v>427</v>
      </c>
      <c r="I1639" s="139" t="str">
        <f>VLOOKUP(H1639,Stock_list!A:R,18,FALSE)</f>
        <v>富斯迈/end user:蓝普视讯</v>
      </c>
      <c r="J1639" s="139" t="str">
        <f>VLOOKUP(H1639,Stock_list!A:S,17,FALSE)</f>
        <v>C49SZX20190128DZ</v>
      </c>
      <c r="K1639" s="51" t="str">
        <f>VLOOKUP(H1639,Stock_list!A:T,16,FALSE)</f>
        <v>RMB</v>
      </c>
      <c r="L1639" s="4">
        <v>43749</v>
      </c>
      <c r="M1639" s="140">
        <v>20</v>
      </c>
      <c r="P1639" s="4" t="str">
        <f>VLOOKUP(H1639,Stock_list!A:Y,25,FALSE)</f>
        <v>Yes</v>
      </c>
      <c r="Q1639" s="143"/>
      <c r="T1639" s="144"/>
      <c r="U1639" s="145" t="str">
        <f>VLOOKUP(H1639,Stock_list!A:N,14,FALSE)</f>
        <v>OCT 19</v>
      </c>
    </row>
    <row r="1640" spans="1:21" ht="16.5" customHeight="1">
      <c r="A1640" s="159" t="s">
        <v>2747</v>
      </c>
      <c r="B1640" s="114" t="str">
        <f>VLOOKUP(A1640,'Data pick slip'!B:F,5,FALSE)</f>
        <v>KHJ-MC200-00</v>
      </c>
      <c r="F1640" s="157" t="s">
        <v>2773</v>
      </c>
      <c r="I1640" s="139" t="s">
        <v>3099</v>
      </c>
      <c r="J1640" s="139" t="s">
        <v>3165</v>
      </c>
      <c r="K1640" s="51" t="s">
        <v>1246</v>
      </c>
      <c r="L1640" s="4">
        <v>43720</v>
      </c>
      <c r="M1640" s="140">
        <v>1</v>
      </c>
      <c r="P1640" s="4" t="s">
        <v>291</v>
      </c>
      <c r="Q1640" s="143"/>
      <c r="T1640" s="144"/>
      <c r="U1640" s="145" t="e">
        <f>VLOOKUP(H1640,Stock_list!A:N,14,FALSE)</f>
        <v>#N/A</v>
      </c>
    </row>
    <row r="1641" spans="1:21" ht="16.5" customHeight="1">
      <c r="A1641" s="159" t="s">
        <v>2748</v>
      </c>
      <c r="B1641" s="114" t="str">
        <f>VLOOKUP(A1641,'Data pick slip'!B:F,5,FALSE)</f>
        <v>KHJ-MC400-00</v>
      </c>
      <c r="F1641" s="157" t="s">
        <v>2773</v>
      </c>
      <c r="I1641" s="139" t="s">
        <v>3099</v>
      </c>
      <c r="J1641" s="139" t="s">
        <v>3166</v>
      </c>
      <c r="K1641" s="51" t="s">
        <v>1246</v>
      </c>
      <c r="L1641" s="4">
        <v>43720</v>
      </c>
      <c r="M1641" s="140">
        <v>1</v>
      </c>
      <c r="P1641" s="4" t="s">
        <v>291</v>
      </c>
      <c r="Q1641" s="143"/>
      <c r="T1641" s="144"/>
      <c r="U1641" s="145" t="e">
        <f>VLOOKUP(H1641,Stock_list!A:N,14,FALSE)</f>
        <v>#N/A</v>
      </c>
    </row>
    <row r="1642" spans="1:21" ht="16.5" customHeight="1">
      <c r="A1642" s="159" t="s">
        <v>2744</v>
      </c>
      <c r="B1642" s="114" t="str">
        <f>VLOOKUP(A1642,'Data pick slip'!B:F,5,FALSE)</f>
        <v>KHJ-MC100-00</v>
      </c>
      <c r="F1642" s="157" t="s">
        <v>2773</v>
      </c>
      <c r="I1642" s="139" t="s">
        <v>3099</v>
      </c>
      <c r="J1642" s="139" t="s">
        <v>3167</v>
      </c>
      <c r="K1642" s="51" t="s">
        <v>1246</v>
      </c>
      <c r="L1642" s="4">
        <v>43724</v>
      </c>
      <c r="M1642" s="140">
        <v>10</v>
      </c>
      <c r="P1642" s="4" t="s">
        <v>291</v>
      </c>
      <c r="Q1642" s="143"/>
      <c r="T1642" s="144"/>
      <c r="U1642" s="145" t="e">
        <f>VLOOKUP(H1642,Stock_list!A:N,14,FALSE)</f>
        <v>#N/A</v>
      </c>
    </row>
    <row r="1643" spans="1:21" ht="16.5" customHeight="1">
      <c r="A1643" s="159" t="s">
        <v>2744</v>
      </c>
      <c r="B1643" s="114" t="str">
        <f>VLOOKUP(A1643,'Data pick slip'!B:F,5,FALSE)</f>
        <v>KHJ-MC100-00</v>
      </c>
      <c r="F1643" s="157" t="s">
        <v>2773</v>
      </c>
      <c r="I1643" s="139" t="s">
        <v>3099</v>
      </c>
      <c r="J1643" s="139" t="s">
        <v>3168</v>
      </c>
      <c r="K1643" s="51" t="s">
        <v>1246</v>
      </c>
      <c r="L1643" s="4">
        <v>43712</v>
      </c>
      <c r="M1643" s="140">
        <v>5</v>
      </c>
      <c r="P1643" s="4" t="s">
        <v>291</v>
      </c>
      <c r="Q1643" s="143"/>
      <c r="T1643" s="144"/>
      <c r="U1643" s="145" t="e">
        <f>VLOOKUP(H1643,Stock_list!A:N,14,FALSE)</f>
        <v>#N/A</v>
      </c>
    </row>
    <row r="1644" spans="1:21" ht="16.5" customHeight="1">
      <c r="A1644" s="159" t="s">
        <v>2748</v>
      </c>
      <c r="B1644" s="114" t="str">
        <f>VLOOKUP(A1644,'Data pick slip'!B:F,5,FALSE)</f>
        <v>KHJ-MC400-00</v>
      </c>
      <c r="F1644" s="157" t="s">
        <v>2773</v>
      </c>
      <c r="I1644" s="139" t="s">
        <v>3099</v>
      </c>
      <c r="J1644" s="139" t="s">
        <v>3168</v>
      </c>
      <c r="K1644" s="51" t="s">
        <v>1246</v>
      </c>
      <c r="L1644" s="4">
        <v>43712</v>
      </c>
      <c r="M1644" s="140">
        <v>1</v>
      </c>
      <c r="P1644" s="4" t="s">
        <v>291</v>
      </c>
      <c r="Q1644" s="143"/>
      <c r="T1644" s="144"/>
      <c r="U1644" s="145" t="e">
        <f>VLOOKUP(H1644,Stock_list!A:N,14,FALSE)</f>
        <v>#N/A</v>
      </c>
    </row>
    <row r="1645" spans="1:21" ht="16.5" customHeight="1">
      <c r="A1645" s="159" t="s">
        <v>2750</v>
      </c>
      <c r="B1645" s="114" t="str">
        <f>VLOOKUP(A1645,'Data pick slip'!B:F,5,FALSE)</f>
        <v>KHJ-MC600-00</v>
      </c>
      <c r="F1645" s="157" t="s">
        <v>2773</v>
      </c>
      <c r="I1645" s="139" t="s">
        <v>3093</v>
      </c>
      <c r="J1645" s="139" t="s">
        <v>3169</v>
      </c>
      <c r="K1645" s="51" t="s">
        <v>1246</v>
      </c>
      <c r="L1645" s="4">
        <v>43725</v>
      </c>
      <c r="M1645" s="140">
        <v>1</v>
      </c>
      <c r="P1645" s="4" t="s">
        <v>291</v>
      </c>
      <c r="Q1645" s="143"/>
      <c r="T1645" s="144"/>
      <c r="U1645" s="145" t="e">
        <f>VLOOKUP(H1645,Stock_list!A:N,14,FALSE)</f>
        <v>#N/A</v>
      </c>
    </row>
    <row r="1646" spans="1:21" ht="16.5" customHeight="1">
      <c r="A1646" s="159" t="s">
        <v>2744</v>
      </c>
      <c r="B1646" s="114" t="str">
        <f>VLOOKUP(A1646,'Data pick slip'!B:F,5,FALSE)</f>
        <v>KHJ-MC100-00</v>
      </c>
      <c r="F1646" s="157" t="s">
        <v>2773</v>
      </c>
      <c r="H1646" s="138">
        <v>429</v>
      </c>
      <c r="I1646" s="139" t="str">
        <f>VLOOKUP(H1646,Stock_list!A:R,18,FALSE)</f>
        <v>杉川/end user:放德劲</v>
      </c>
      <c r="J1646" s="139" t="str">
        <f>VLOOKUP(H1646,Stock_list!A:S,17,FALSE)</f>
        <v>C49SZX201900131JL</v>
      </c>
      <c r="K1646" s="51" t="str">
        <f>VLOOKUP(H1646,Stock_list!A:T,16,FALSE)</f>
        <v>RMB</v>
      </c>
      <c r="L1646" s="4">
        <v>43735</v>
      </c>
      <c r="M1646" s="132">
        <v>90</v>
      </c>
      <c r="P1646" s="4" t="str">
        <f>VLOOKUP(H1646,Stock_list!A:Y,25,FALSE)</f>
        <v>Yes</v>
      </c>
      <c r="Q1646" s="143"/>
      <c r="T1646" s="144"/>
      <c r="U1646" s="145" t="str">
        <f>VLOOKUP(H1646,Stock_list!A:N,14,FALSE)</f>
        <v>SEP 19</v>
      </c>
    </row>
    <row r="1647" spans="1:21" ht="16.5" customHeight="1">
      <c r="A1647" s="159" t="s">
        <v>2756</v>
      </c>
      <c r="B1647" s="114" t="str">
        <f>VLOOKUP(A1647,'Data pick slip'!B:F,5,FALSE)</f>
        <v>KLJ-MC200-00</v>
      </c>
      <c r="F1647" s="157" t="s">
        <v>2773</v>
      </c>
      <c r="H1647" s="138">
        <v>429</v>
      </c>
      <c r="I1647" s="139" t="str">
        <f>VLOOKUP(H1647,Stock_list!A:R,18,FALSE)</f>
        <v>杉川/end user:放德劲</v>
      </c>
      <c r="J1647" s="139" t="str">
        <f>VLOOKUP(H1647,Stock_list!A:S,17,FALSE)</f>
        <v>C49SZX201900131JL</v>
      </c>
      <c r="K1647" s="51" t="str">
        <f>VLOOKUP(H1647,Stock_list!A:T,16,FALSE)</f>
        <v>RMB</v>
      </c>
      <c r="L1647" s="4">
        <v>43735</v>
      </c>
      <c r="M1647" s="132">
        <v>35</v>
      </c>
      <c r="P1647" s="4" t="str">
        <f>VLOOKUP(H1647,Stock_list!A:Y,25,FALSE)</f>
        <v>Yes</v>
      </c>
      <c r="T1647" s="144"/>
      <c r="U1647" s="145" t="str">
        <f>VLOOKUP(H1647,Stock_list!A:N,14,FALSE)</f>
        <v>SEP 19</v>
      </c>
    </row>
    <row r="1648" spans="1:21" ht="16.5" customHeight="1">
      <c r="A1648" s="159" t="s">
        <v>2757</v>
      </c>
      <c r="B1648" s="114" t="str">
        <f>VLOOKUP(A1648,'Data pick slip'!B:F,5,FALSE)</f>
        <v>KLJ-MC400-00</v>
      </c>
      <c r="F1648" s="157" t="s">
        <v>2773</v>
      </c>
      <c r="H1648" s="138">
        <v>429</v>
      </c>
      <c r="I1648" s="139" t="str">
        <f>VLOOKUP(H1648,Stock_list!A:R,18,FALSE)</f>
        <v>杉川/end user:放德劲</v>
      </c>
      <c r="J1648" s="139" t="str">
        <f>VLOOKUP(H1648,Stock_list!A:S,17,FALSE)</f>
        <v>C49SZX201900131JL</v>
      </c>
      <c r="K1648" s="51" t="str">
        <f>VLOOKUP(H1648,Stock_list!A:T,16,FALSE)</f>
        <v>RMB</v>
      </c>
      <c r="L1648" s="4">
        <v>43735</v>
      </c>
      <c r="M1648" s="132">
        <v>15</v>
      </c>
      <c r="P1648" s="4" t="str">
        <f>VLOOKUP(H1648,Stock_list!A:Y,25,FALSE)</f>
        <v>Yes</v>
      </c>
      <c r="Q1648" s="143"/>
      <c r="T1648" s="144"/>
      <c r="U1648" s="145" t="str">
        <f>VLOOKUP(H1648,Stock_list!A:N,14,FALSE)</f>
        <v>SEP 19</v>
      </c>
    </row>
    <row r="1649" spans="1:21" ht="16.5" customHeight="1">
      <c r="A1649" s="159" t="s">
        <v>2758</v>
      </c>
      <c r="B1649" s="114" t="str">
        <f>VLOOKUP(A1649,'Data pick slip'!B:F,5,FALSE)</f>
        <v>KLJ-MC500-00</v>
      </c>
      <c r="F1649" s="157" t="s">
        <v>2773</v>
      </c>
      <c r="H1649" s="138">
        <v>429</v>
      </c>
      <c r="I1649" s="139" t="str">
        <f>VLOOKUP(H1649,Stock_list!A:R,18,FALSE)</f>
        <v>杉川/end user:放德劲</v>
      </c>
      <c r="J1649" s="139" t="str">
        <f>VLOOKUP(H1649,Stock_list!A:S,17,FALSE)</f>
        <v>C49SZX201900131JL</v>
      </c>
      <c r="K1649" s="51" t="str">
        <f>VLOOKUP(H1649,Stock_list!A:T,16,FALSE)</f>
        <v>RMB</v>
      </c>
      <c r="L1649" s="4">
        <v>43735</v>
      </c>
      <c r="M1649" s="132">
        <v>1</v>
      </c>
      <c r="P1649" s="4" t="str">
        <f>VLOOKUP(H1649,Stock_list!A:Y,25,FALSE)</f>
        <v>Yes</v>
      </c>
      <c r="Q1649" s="143"/>
      <c r="T1649" s="144"/>
      <c r="U1649" s="145" t="str">
        <f>VLOOKUP(H1649,Stock_list!A:N,14,FALSE)</f>
        <v>SEP 19</v>
      </c>
    </row>
    <row r="1650" spans="1:21" ht="16.5" customHeight="1">
      <c r="A1650" s="159" t="s">
        <v>2750</v>
      </c>
      <c r="B1650" s="114" t="str">
        <f>VLOOKUP(A1650,'Data pick slip'!B:F,5,FALSE)</f>
        <v>KHJ-MC600-00</v>
      </c>
      <c r="F1650" s="157" t="s">
        <v>2773</v>
      </c>
      <c r="H1650" s="138">
        <v>429</v>
      </c>
      <c r="I1650" s="139" t="str">
        <f>VLOOKUP(H1650,Stock_list!A:R,18,FALSE)</f>
        <v>杉川/end user:放德劲</v>
      </c>
      <c r="J1650" s="139" t="str">
        <f>VLOOKUP(H1650,Stock_list!A:S,17,FALSE)</f>
        <v>C49SZX201900131JL</v>
      </c>
      <c r="K1650" s="51" t="str">
        <f>VLOOKUP(H1650,Stock_list!A:T,16,FALSE)</f>
        <v>RMB</v>
      </c>
      <c r="L1650" s="4">
        <v>43735</v>
      </c>
      <c r="M1650" s="132">
        <v>1</v>
      </c>
      <c r="P1650" s="4" t="str">
        <f>VLOOKUP(H1650,Stock_list!A:Y,25,FALSE)</f>
        <v>Yes</v>
      </c>
      <c r="Q1650" s="143"/>
      <c r="T1650" s="144"/>
      <c r="U1650" s="145" t="str">
        <f>VLOOKUP(H1650,Stock_list!A:N,14,FALSE)</f>
        <v>SEP 19</v>
      </c>
    </row>
    <row r="1651" spans="1:21" ht="16.5" customHeight="1">
      <c r="A1651" s="159" t="s">
        <v>2744</v>
      </c>
      <c r="B1651" s="114" t="str">
        <f>VLOOKUP(A1651,'Data pick slip'!B:F,5,FALSE)</f>
        <v>KHJ-MC100-00</v>
      </c>
      <c r="F1651" s="157" t="s">
        <v>2861</v>
      </c>
      <c r="I1651" s="139" t="s">
        <v>3015</v>
      </c>
      <c r="J1651" s="139" t="s">
        <v>3170</v>
      </c>
      <c r="K1651" s="51" t="s">
        <v>1246</v>
      </c>
      <c r="L1651" s="4">
        <v>43728</v>
      </c>
      <c r="M1651" s="140">
        <v>300</v>
      </c>
      <c r="P1651" s="4" t="s">
        <v>291</v>
      </c>
      <c r="Q1651" s="143"/>
      <c r="T1651" s="144"/>
      <c r="U1651" s="145" t="e">
        <f>VLOOKUP(H1651,Stock_list!A:N,14,FALSE)</f>
        <v>#N/A</v>
      </c>
    </row>
    <row r="1652" spans="1:21" ht="16.5" customHeight="1">
      <c r="A1652" s="159" t="s">
        <v>2758</v>
      </c>
      <c r="B1652" s="114" t="str">
        <f>VLOOKUP(A1652,'Data pick slip'!B:F,5,FALSE)</f>
        <v>KLJ-MC500-00</v>
      </c>
      <c r="F1652" s="157" t="s">
        <v>2861</v>
      </c>
      <c r="I1652" s="139" t="s">
        <v>3015</v>
      </c>
      <c r="J1652" s="139" t="s">
        <v>3170</v>
      </c>
      <c r="K1652" s="51" t="s">
        <v>1246</v>
      </c>
      <c r="L1652" s="4">
        <v>43728</v>
      </c>
      <c r="M1652" s="140">
        <v>5</v>
      </c>
      <c r="P1652" s="4" t="s">
        <v>291</v>
      </c>
      <c r="Q1652" s="143"/>
      <c r="T1652" s="144"/>
      <c r="U1652" s="145" t="e">
        <f>VLOOKUP(H1652,Stock_list!A:N,14,FALSE)</f>
        <v>#N/A</v>
      </c>
    </row>
    <row r="1653" spans="1:21" ht="16.5" customHeight="1">
      <c r="A1653" s="159" t="s">
        <v>2748</v>
      </c>
      <c r="B1653" s="114" t="str">
        <f>VLOOKUP(A1653,'Data pick slip'!B:F,5,FALSE)</f>
        <v>KHJ-MC400-00</v>
      </c>
      <c r="F1653" s="157" t="s">
        <v>2861</v>
      </c>
      <c r="I1653" s="139" t="s">
        <v>3015</v>
      </c>
      <c r="J1653" s="139" t="s">
        <v>3170</v>
      </c>
      <c r="K1653" s="51" t="s">
        <v>1246</v>
      </c>
      <c r="L1653" s="4">
        <v>43728</v>
      </c>
      <c r="M1653" s="140">
        <v>20</v>
      </c>
      <c r="P1653" s="4" t="s">
        <v>291</v>
      </c>
      <c r="Q1653" s="143"/>
      <c r="T1653" s="144"/>
      <c r="U1653" s="145" t="e">
        <f>VLOOKUP(H1653,Stock_list!A:N,14,FALSE)</f>
        <v>#N/A</v>
      </c>
    </row>
    <row r="1654" spans="1:21" ht="16.5" customHeight="1">
      <c r="A1654" s="159" t="s">
        <v>2744</v>
      </c>
      <c r="B1654" s="114" t="str">
        <f>VLOOKUP(A1654,'Data pick slip'!B:F,5,FALSE)</f>
        <v>KHJ-MC100-00</v>
      </c>
      <c r="F1654" s="157" t="s">
        <v>2773</v>
      </c>
      <c r="H1654" s="138">
        <v>432</v>
      </c>
      <c r="I1654" s="139" t="str">
        <f>VLOOKUP(H1654,Stock_list!A:R,18,FALSE)</f>
        <v>海川伟业</v>
      </c>
      <c r="J1654" s="139" t="str">
        <f>VLOOKUP(H1654,Stock_list!A:S,17,FALSE)</f>
        <v>C49SZX20190133MX</v>
      </c>
      <c r="K1654" s="51" t="str">
        <f>VLOOKUP(H1654,Stock_list!A:T,16,FALSE)</f>
        <v>RMB</v>
      </c>
      <c r="L1654" s="4">
        <v>43753</v>
      </c>
      <c r="M1654" s="132">
        <v>25</v>
      </c>
      <c r="P1654" s="4" t="str">
        <f>VLOOKUP(H1654,Stock_list!A:Y,25,FALSE)</f>
        <v>Yes</v>
      </c>
      <c r="Q1654" s="143"/>
      <c r="T1654" s="144"/>
      <c r="U1654" s="145" t="str">
        <f>VLOOKUP(H1654,Stock_list!A:N,14,FALSE)</f>
        <v>OCT 19</v>
      </c>
    </row>
    <row r="1655" spans="1:21" ht="16.5" customHeight="1">
      <c r="A1655" s="159" t="s">
        <v>2747</v>
      </c>
      <c r="B1655" s="114" t="str">
        <f>VLOOKUP(A1655,'Data pick slip'!B:F,5,FALSE)</f>
        <v>KHJ-MC200-00</v>
      </c>
      <c r="F1655" s="157" t="s">
        <v>2773</v>
      </c>
      <c r="H1655" s="138">
        <v>432</v>
      </c>
      <c r="I1655" s="139" t="str">
        <f>VLOOKUP(H1655,Stock_list!A:R,18,FALSE)</f>
        <v>海川伟业</v>
      </c>
      <c r="J1655" s="139" t="str">
        <f>VLOOKUP(H1655,Stock_list!A:S,17,FALSE)</f>
        <v>C49SZX20190133MX</v>
      </c>
      <c r="K1655" s="51" t="str">
        <f>VLOOKUP(H1655,Stock_list!A:T,16,FALSE)</f>
        <v>RMB</v>
      </c>
      <c r="L1655" s="4">
        <v>43753</v>
      </c>
      <c r="M1655" s="132">
        <v>10</v>
      </c>
      <c r="P1655" s="4" t="str">
        <f>VLOOKUP(H1655,Stock_list!A:Y,25,FALSE)</f>
        <v>Yes</v>
      </c>
      <c r="Q1655" s="143"/>
      <c r="T1655" s="144"/>
      <c r="U1655" s="145" t="str">
        <f>VLOOKUP(H1655,Stock_list!A:N,14,FALSE)</f>
        <v>OCT 19</v>
      </c>
    </row>
    <row r="1656" spans="1:21" ht="16.5" customHeight="1">
      <c r="A1656" s="159" t="s">
        <v>2744</v>
      </c>
      <c r="B1656" s="114" t="str">
        <f>VLOOKUP(A1656,'Data pick slip'!B:F,5,FALSE)</f>
        <v>KHJ-MC100-00</v>
      </c>
      <c r="F1656" s="157" t="s">
        <v>2773</v>
      </c>
      <c r="H1656" s="138">
        <v>434</v>
      </c>
      <c r="I1656" s="139" t="str">
        <f>VLOOKUP(H1656,Stock_list!A:R,18,FALSE)</f>
        <v>中润互联</v>
      </c>
      <c r="J1656" s="139" t="str">
        <f>VLOOKUP(H1656,Stock_list!A:S,17,FALSE)</f>
        <v>C49SZX20190140SS</v>
      </c>
      <c r="K1656" s="51" t="str">
        <f>VLOOKUP(H1656,Stock_list!A:T,16,FALSE)</f>
        <v>RMB</v>
      </c>
      <c r="L1656" s="4">
        <v>43759</v>
      </c>
      <c r="M1656" s="132">
        <v>2</v>
      </c>
      <c r="P1656" s="4" t="str">
        <f>VLOOKUP(H1656,Stock_list!A:Y,25,FALSE)</f>
        <v>Yes</v>
      </c>
      <c r="Q1656" s="143"/>
      <c r="T1656" s="144"/>
      <c r="U1656" s="145" t="str">
        <f>VLOOKUP(H1656,Stock_list!A:N,14,FALSE)</f>
        <v>OCT 19</v>
      </c>
    </row>
    <row r="1657" spans="1:21" ht="16.5" customHeight="1">
      <c r="A1657" s="159" t="s">
        <v>2744</v>
      </c>
      <c r="B1657" s="114" t="str">
        <f>VLOOKUP(A1657,'Data pick slip'!B:F,5,FALSE)</f>
        <v>KHJ-MC100-00</v>
      </c>
      <c r="F1657" s="157" t="s">
        <v>2861</v>
      </c>
      <c r="I1657" s="139" t="s">
        <v>3015</v>
      </c>
      <c r="J1657" s="139" t="s">
        <v>3171</v>
      </c>
      <c r="K1657" s="51" t="s">
        <v>1246</v>
      </c>
      <c r="L1657" s="4">
        <v>43735</v>
      </c>
      <c r="M1657" s="140">
        <v>315</v>
      </c>
      <c r="P1657" s="4" t="s">
        <v>291</v>
      </c>
      <c r="Q1657" s="143"/>
      <c r="T1657" s="144"/>
      <c r="U1657" s="145" t="e">
        <f>VLOOKUP(H1657,Stock_list!A:N,14,FALSE)</f>
        <v>#N/A</v>
      </c>
    </row>
    <row r="1658" spans="1:21" ht="16.5" customHeight="1">
      <c r="A1658" s="159" t="s">
        <v>2748</v>
      </c>
      <c r="B1658" s="114" t="str">
        <f>VLOOKUP(A1658,'Data pick slip'!B:F,5,FALSE)</f>
        <v>KHJ-MC400-00</v>
      </c>
      <c r="F1658" s="157" t="s">
        <v>2861</v>
      </c>
      <c r="I1658" s="139" t="s">
        <v>3015</v>
      </c>
      <c r="J1658" s="139" t="s">
        <v>3171</v>
      </c>
      <c r="K1658" s="51" t="s">
        <v>1246</v>
      </c>
      <c r="L1658" s="4">
        <v>43735</v>
      </c>
      <c r="M1658" s="140">
        <v>20</v>
      </c>
      <c r="P1658" s="4" t="s">
        <v>291</v>
      </c>
      <c r="Q1658" s="143"/>
      <c r="T1658" s="144"/>
      <c r="U1658" s="145" t="e">
        <f>VLOOKUP(H1658,Stock_list!A:N,14,FALSE)</f>
        <v>#N/A</v>
      </c>
    </row>
    <row r="1659" spans="1:21" ht="16.5" customHeight="1">
      <c r="A1659" s="159" t="s">
        <v>2744</v>
      </c>
      <c r="B1659" s="114" t="str">
        <f>VLOOKUP(A1659,'Data pick slip'!B:F,5,FALSE)</f>
        <v>KHJ-MC100-00</v>
      </c>
      <c r="F1659" s="157" t="s">
        <v>2861</v>
      </c>
      <c r="I1659" s="139" t="s">
        <v>3015</v>
      </c>
      <c r="J1659" s="139" t="s">
        <v>3172</v>
      </c>
      <c r="K1659" s="51" t="s">
        <v>1246</v>
      </c>
      <c r="L1659" s="4">
        <v>43737</v>
      </c>
      <c r="M1659" s="140">
        <v>140</v>
      </c>
      <c r="P1659" s="4" t="s">
        <v>291</v>
      </c>
      <c r="Q1659" s="143"/>
      <c r="T1659" s="144"/>
      <c r="U1659" s="145" t="e">
        <f>VLOOKUP(H1659,Stock_list!A:N,14,FALSE)</f>
        <v>#N/A</v>
      </c>
    </row>
    <row r="1660" spans="1:21" ht="16.5" customHeight="1">
      <c r="A1660" s="159" t="s">
        <v>2749</v>
      </c>
      <c r="B1660" s="114" t="str">
        <f>VLOOKUP(A1660,'Data pick slip'!B:F,5,FALSE)</f>
        <v>KHJ-MC500-00</v>
      </c>
      <c r="F1660" s="157" t="s">
        <v>2861</v>
      </c>
      <c r="I1660" s="139" t="s">
        <v>3015</v>
      </c>
      <c r="J1660" s="139" t="s">
        <v>3172</v>
      </c>
      <c r="K1660" s="51" t="s">
        <v>1246</v>
      </c>
      <c r="L1660" s="4">
        <v>43737</v>
      </c>
      <c r="M1660" s="140">
        <v>2</v>
      </c>
      <c r="P1660" s="4" t="s">
        <v>291</v>
      </c>
      <c r="Q1660" s="143"/>
      <c r="T1660" s="144"/>
      <c r="U1660" s="145" t="e">
        <f>VLOOKUP(H1660,Stock_list!A:N,14,FALSE)</f>
        <v>#N/A</v>
      </c>
    </row>
    <row r="1661" spans="1:21" ht="16.5" customHeight="1">
      <c r="A1661" s="159" t="s">
        <v>2744</v>
      </c>
      <c r="B1661" s="114" t="str">
        <f>VLOOKUP(A1661,'Data pick slip'!B:F,5,FALSE)</f>
        <v>KHJ-MC100-00</v>
      </c>
      <c r="F1661" s="157" t="s">
        <v>2773</v>
      </c>
      <c r="H1661" s="138">
        <v>435</v>
      </c>
      <c r="I1661" s="139" t="str">
        <f>VLOOKUP(H1661,Stock_list!A:R,18,FALSE)</f>
        <v>海龙智通</v>
      </c>
      <c r="J1661" s="139" t="str">
        <f>VLOOKUP(H1661,Stock_list!A:S,17,FALSE)</f>
        <v>C49SZX20190142KW</v>
      </c>
      <c r="K1661" s="51" t="str">
        <f>VLOOKUP(H1661,Stock_list!A:T,16,FALSE)</f>
        <v>RMB</v>
      </c>
      <c r="L1661" s="4">
        <v>43776</v>
      </c>
      <c r="M1661" s="132">
        <v>60</v>
      </c>
      <c r="P1661" s="4" t="str">
        <f>VLOOKUP(H1661,Stock_list!A:Y,25,FALSE)</f>
        <v>Yes</v>
      </c>
      <c r="Q1661" s="143"/>
      <c r="T1661" s="144"/>
      <c r="U1661" s="145" t="str">
        <f>VLOOKUP(H1661,Stock_list!A:N,14,FALSE)</f>
        <v>NOV 19</v>
      </c>
    </row>
    <row r="1662" spans="1:21" ht="16.5" customHeight="1">
      <c r="A1662" s="159" t="s">
        <v>2747</v>
      </c>
      <c r="B1662" s="114" t="str">
        <f>VLOOKUP(A1662,'Data pick slip'!B:F,5,FALSE)</f>
        <v>KHJ-MC200-00</v>
      </c>
      <c r="F1662" s="157" t="s">
        <v>2773</v>
      </c>
      <c r="H1662" s="138">
        <v>435</v>
      </c>
      <c r="I1662" s="139" t="str">
        <f>VLOOKUP(H1662,Stock_list!A:R,18,FALSE)</f>
        <v>海龙智通</v>
      </c>
      <c r="J1662" s="139" t="str">
        <f>VLOOKUP(H1662,Stock_list!A:S,17,FALSE)</f>
        <v>C49SZX20190142KW</v>
      </c>
      <c r="K1662" s="51" t="str">
        <f>VLOOKUP(H1662,Stock_list!A:T,16,FALSE)</f>
        <v>RMB</v>
      </c>
      <c r="L1662" s="4">
        <v>43776</v>
      </c>
      <c r="M1662" s="132">
        <v>4</v>
      </c>
      <c r="P1662" s="4" t="str">
        <f>VLOOKUP(H1662,Stock_list!A:Y,25,FALSE)</f>
        <v>Yes</v>
      </c>
      <c r="Q1662" s="143"/>
      <c r="T1662" s="144"/>
      <c r="U1662" s="145" t="str">
        <f>VLOOKUP(H1662,Stock_list!A:N,14,FALSE)</f>
        <v>NOV 19</v>
      </c>
    </row>
    <row r="1663" spans="1:21" ht="16.5" customHeight="1">
      <c r="A1663" s="159" t="s">
        <v>2748</v>
      </c>
      <c r="B1663" s="114" t="str">
        <f>VLOOKUP(A1663,'Data pick slip'!B:F,5,FALSE)</f>
        <v>KHJ-MC400-00</v>
      </c>
      <c r="F1663" s="157" t="s">
        <v>2773</v>
      </c>
      <c r="H1663" s="138">
        <v>435</v>
      </c>
      <c r="I1663" s="139" t="str">
        <f>VLOOKUP(H1663,Stock_list!A:R,18,FALSE)</f>
        <v>海龙智通</v>
      </c>
      <c r="J1663" s="139" t="str">
        <f>VLOOKUP(H1663,Stock_list!A:S,17,FALSE)</f>
        <v>C49SZX20190142KW</v>
      </c>
      <c r="K1663" s="51" t="str">
        <f>VLOOKUP(H1663,Stock_list!A:T,16,FALSE)</f>
        <v>RMB</v>
      </c>
      <c r="L1663" s="4">
        <v>43776</v>
      </c>
      <c r="M1663" s="132">
        <v>2</v>
      </c>
      <c r="P1663" s="4" t="str">
        <f>VLOOKUP(H1663,Stock_list!A:Y,25,FALSE)</f>
        <v>Yes</v>
      </c>
      <c r="Q1663" s="143"/>
      <c r="T1663" s="144"/>
      <c r="U1663" s="145" t="str">
        <f>VLOOKUP(H1663,Stock_list!A:N,14,FALSE)</f>
        <v>NOV 19</v>
      </c>
    </row>
    <row r="1664" spans="1:21" ht="16.5" customHeight="1">
      <c r="A1664" s="159" t="s">
        <v>2744</v>
      </c>
      <c r="B1664" s="114" t="str">
        <f>VLOOKUP(A1664,'Data pick slip'!B:F,5,FALSE)</f>
        <v>KHJ-MC100-00</v>
      </c>
      <c r="F1664" s="157" t="s">
        <v>2773</v>
      </c>
      <c r="I1664" s="139" t="s">
        <v>3139</v>
      </c>
      <c r="J1664" s="139" t="s">
        <v>3173</v>
      </c>
      <c r="K1664" s="51" t="s">
        <v>1246</v>
      </c>
      <c r="L1664" s="4">
        <v>43746</v>
      </c>
      <c r="M1664" s="132">
        <v>5</v>
      </c>
      <c r="P1664" s="4" t="s">
        <v>291</v>
      </c>
      <c r="Q1664" s="143"/>
      <c r="T1664" s="144"/>
      <c r="U1664" s="145" t="e">
        <f>VLOOKUP(H1664,Stock_list!A:N,14,FALSE)</f>
        <v>#N/A</v>
      </c>
    </row>
    <row r="1665" spans="1:21" ht="16.5" customHeight="1">
      <c r="A1665" s="159" t="s">
        <v>2747</v>
      </c>
      <c r="B1665" s="114" t="str">
        <f>VLOOKUP(A1665,'Data pick slip'!B:F,5,FALSE)</f>
        <v>KHJ-MC200-00</v>
      </c>
      <c r="F1665" s="157" t="s">
        <v>2773</v>
      </c>
      <c r="I1665" s="139" t="s">
        <v>3139</v>
      </c>
      <c r="J1665" s="139" t="s">
        <v>3173</v>
      </c>
      <c r="K1665" s="51" t="s">
        <v>1246</v>
      </c>
      <c r="L1665" s="4">
        <v>43746</v>
      </c>
      <c r="M1665" s="132">
        <v>3</v>
      </c>
      <c r="P1665" s="4" t="s">
        <v>291</v>
      </c>
      <c r="Q1665" s="143"/>
      <c r="T1665" s="144"/>
      <c r="U1665" s="145" t="e">
        <f>VLOOKUP(H1665,Stock_list!A:N,14,FALSE)</f>
        <v>#N/A</v>
      </c>
    </row>
    <row r="1666" spans="1:21" ht="16.5" customHeight="1">
      <c r="A1666" s="159" t="s">
        <v>2744</v>
      </c>
      <c r="B1666" s="114" t="str">
        <f>VLOOKUP(A1666,'Data pick slip'!B:F,5,FALSE)</f>
        <v>KHJ-MC100-00</v>
      </c>
      <c r="F1666" s="157" t="s">
        <v>2773</v>
      </c>
      <c r="H1666" s="138">
        <v>385</v>
      </c>
      <c r="I1666" s="139" t="str">
        <f>VLOOKUP(H1666,Stock_list!A:R,18,FALSE)</f>
        <v>鼎鸿</v>
      </c>
      <c r="J1666" s="139" t="str">
        <f>VLOOKUP(H1666,Stock_list!A:S,17,FALSE)</f>
        <v>C49SZX20190118R1SS</v>
      </c>
      <c r="K1666" s="51" t="str">
        <f>VLOOKUP(H1666,Stock_list!A:T,16,FALSE)</f>
        <v>RMB</v>
      </c>
      <c r="L1666" s="4">
        <v>43735</v>
      </c>
      <c r="M1666" s="140">
        <v>20</v>
      </c>
      <c r="P1666" s="4" t="str">
        <f>VLOOKUP(H1666,Stock_list!A:Y,25,FALSE)</f>
        <v>Yes</v>
      </c>
      <c r="Q1666" s="143"/>
      <c r="T1666" s="144"/>
      <c r="U1666" s="145" t="str">
        <f>VLOOKUP(H1666,Stock_list!A:N,14,FALSE)</f>
        <v>AUG 19</v>
      </c>
    </row>
    <row r="1667" spans="1:21" ht="16.5" customHeight="1">
      <c r="A1667" s="159" t="s">
        <v>2744</v>
      </c>
      <c r="B1667" s="114" t="str">
        <f>VLOOKUP(A1667,'Data pick slip'!B:F,5,FALSE)</f>
        <v>KHJ-MC100-00</v>
      </c>
      <c r="F1667" s="157" t="s">
        <v>2773</v>
      </c>
      <c r="H1667" s="138">
        <v>385</v>
      </c>
      <c r="I1667" s="139" t="str">
        <f>VLOOKUP(H1667,Stock_list!A:R,18,FALSE)</f>
        <v>鼎鸿</v>
      </c>
      <c r="J1667" s="139" t="str">
        <f>VLOOKUP(H1667,Stock_list!A:S,17,FALSE)</f>
        <v>C49SZX20190118R1SS</v>
      </c>
      <c r="K1667" s="51" t="str">
        <f>VLOOKUP(H1667,Stock_list!A:T,16,FALSE)</f>
        <v>RMB</v>
      </c>
      <c r="L1667" s="4">
        <v>43781</v>
      </c>
      <c r="M1667" s="140">
        <v>10</v>
      </c>
      <c r="P1667" s="4" t="str">
        <f>VLOOKUP(H1667,Stock_list!A:Y,25,FALSE)</f>
        <v>Yes</v>
      </c>
      <c r="Q1667" s="143"/>
      <c r="T1667" s="144"/>
      <c r="U1667" s="145" t="str">
        <f>VLOOKUP(H1667,Stock_list!A:N,14,FALSE)</f>
        <v>AUG 19</v>
      </c>
    </row>
    <row r="1668" spans="1:21" ht="16.5" customHeight="1">
      <c r="A1668" s="159" t="s">
        <v>2749</v>
      </c>
      <c r="B1668" s="114" t="str">
        <f>VLOOKUP(A1668,'Data pick slip'!B:F,5,FALSE)</f>
        <v>KHJ-MC500-00</v>
      </c>
      <c r="F1668" s="157" t="s">
        <v>2773</v>
      </c>
      <c r="I1668" s="139" t="s">
        <v>3093</v>
      </c>
      <c r="J1668" s="139" t="s">
        <v>3174</v>
      </c>
      <c r="K1668" s="51" t="s">
        <v>1246</v>
      </c>
      <c r="L1668" s="4">
        <v>43735</v>
      </c>
      <c r="M1668" s="140">
        <v>1</v>
      </c>
      <c r="P1668" s="4" t="s">
        <v>291</v>
      </c>
      <c r="Q1668" s="143"/>
      <c r="T1668" s="144"/>
      <c r="U1668" s="145" t="e">
        <f>VLOOKUP(H1668,Stock_list!A:N,14,FALSE)</f>
        <v>#N/A</v>
      </c>
    </row>
    <row r="1669" spans="1:21" ht="16.5" customHeight="1">
      <c r="A1669" s="159" t="s">
        <v>2744</v>
      </c>
      <c r="B1669" s="114" t="str">
        <f>VLOOKUP(A1669,'Data pick slip'!B:F,5,FALSE)</f>
        <v>KHJ-MC100-00</v>
      </c>
      <c r="F1669" s="157" t="s">
        <v>2773</v>
      </c>
      <c r="H1669" s="138">
        <v>436</v>
      </c>
      <c r="I1669" s="139" t="str">
        <f>VLOOKUP(H1669,Stock_list!A:R,18,FALSE)</f>
        <v>太美亚</v>
      </c>
      <c r="J1669" s="139" t="str">
        <f>VLOOKUP(H1669,Stock_list!A:S,17,FALSE)</f>
        <v>C49SZX20190139SX</v>
      </c>
      <c r="K1669" s="51" t="str">
        <f>VLOOKUP(H1669,Stock_list!A:T,16,FALSE)</f>
        <v>RMB</v>
      </c>
      <c r="L1669" s="4">
        <v>43748</v>
      </c>
      <c r="M1669" s="132">
        <v>130</v>
      </c>
      <c r="P1669" s="4" t="str">
        <f>VLOOKUP(H1669,Stock_list!A:Y,25,FALSE)</f>
        <v>Yes</v>
      </c>
      <c r="Q1669" s="133"/>
      <c r="T1669" s="144"/>
      <c r="U1669" s="145" t="str">
        <f>VLOOKUP(H1669,Stock_list!A:N,14,FALSE)</f>
        <v>OCT 19</v>
      </c>
    </row>
    <row r="1670" spans="1:21" ht="16.5" customHeight="1">
      <c r="A1670" s="159" t="s">
        <v>2747</v>
      </c>
      <c r="B1670" s="114" t="str">
        <f>VLOOKUP(A1670,'Data pick slip'!B:F,5,FALSE)</f>
        <v>KHJ-MC200-00</v>
      </c>
      <c r="F1670" s="157" t="s">
        <v>2773</v>
      </c>
      <c r="H1670" s="138">
        <v>436</v>
      </c>
      <c r="I1670" s="139" t="str">
        <f>VLOOKUP(H1670,Stock_list!A:R,18,FALSE)</f>
        <v>太美亚</v>
      </c>
      <c r="J1670" s="139" t="str">
        <f>VLOOKUP(H1670,Stock_list!A:S,17,FALSE)</f>
        <v>C49SZX20190139SX</v>
      </c>
      <c r="K1670" s="51" t="str">
        <f>VLOOKUP(H1670,Stock_list!A:T,16,FALSE)</f>
        <v>RMB</v>
      </c>
      <c r="L1670" s="4">
        <v>43748</v>
      </c>
      <c r="M1670" s="132">
        <v>30</v>
      </c>
      <c r="P1670" s="4" t="str">
        <f>VLOOKUP(H1670,Stock_list!A:Y,25,FALSE)</f>
        <v>Yes</v>
      </c>
      <c r="Q1670" s="133"/>
      <c r="T1670" s="144"/>
      <c r="U1670" s="145" t="str">
        <f>VLOOKUP(H1670,Stock_list!A:N,14,FALSE)</f>
        <v>OCT 19</v>
      </c>
    </row>
    <row r="1671" spans="1:21" ht="16.5" customHeight="1">
      <c r="A1671" s="159" t="s">
        <v>2748</v>
      </c>
      <c r="B1671" s="114" t="str">
        <f>VLOOKUP(A1671,'Data pick slip'!B:F,5,FALSE)</f>
        <v>KHJ-MC400-00</v>
      </c>
      <c r="F1671" s="157" t="s">
        <v>2773</v>
      </c>
      <c r="H1671" s="138">
        <v>436</v>
      </c>
      <c r="I1671" s="139" t="str">
        <f>VLOOKUP(H1671,Stock_list!A:R,18,FALSE)</f>
        <v>太美亚</v>
      </c>
      <c r="J1671" s="139" t="str">
        <f>VLOOKUP(H1671,Stock_list!A:S,17,FALSE)</f>
        <v>C49SZX20190139SX</v>
      </c>
      <c r="K1671" s="51" t="str">
        <f>VLOOKUP(H1671,Stock_list!A:T,16,FALSE)</f>
        <v>RMB</v>
      </c>
      <c r="L1671" s="4">
        <v>43748</v>
      </c>
      <c r="M1671" s="132">
        <v>10</v>
      </c>
      <c r="P1671" s="4" t="str">
        <f>VLOOKUP(H1671,Stock_list!A:Y,25,FALSE)</f>
        <v>Yes</v>
      </c>
      <c r="Q1671" s="133"/>
      <c r="T1671" s="144"/>
      <c r="U1671" s="145" t="str">
        <f>VLOOKUP(H1671,Stock_list!A:N,14,FALSE)</f>
        <v>OCT 19</v>
      </c>
    </row>
    <row r="1672" spans="1:21" ht="16.5" customHeight="1">
      <c r="A1672" s="159" t="s">
        <v>2749</v>
      </c>
      <c r="B1672" s="114" t="str">
        <f>VLOOKUP(A1672,'Data pick slip'!B:F,5,FALSE)</f>
        <v>KHJ-MC500-00</v>
      </c>
      <c r="F1672" s="157" t="s">
        <v>2773</v>
      </c>
      <c r="H1672" s="138">
        <v>436</v>
      </c>
      <c r="I1672" s="139" t="str">
        <f>VLOOKUP(H1672,Stock_list!A:R,18,FALSE)</f>
        <v>太美亚</v>
      </c>
      <c r="J1672" s="139" t="str">
        <f>VLOOKUP(H1672,Stock_list!A:S,17,FALSE)</f>
        <v>C49SZX20190139SX</v>
      </c>
      <c r="K1672" s="51" t="str">
        <f>VLOOKUP(H1672,Stock_list!A:T,16,FALSE)</f>
        <v>RMB</v>
      </c>
      <c r="L1672" s="4">
        <v>43748</v>
      </c>
      <c r="M1672" s="132">
        <v>5</v>
      </c>
      <c r="P1672" s="4" t="str">
        <f>VLOOKUP(H1672,Stock_list!A:Y,25,FALSE)</f>
        <v>Yes</v>
      </c>
      <c r="Q1672" s="133"/>
      <c r="T1672" s="144"/>
      <c r="U1672" s="145" t="str">
        <f>VLOOKUP(H1672,Stock_list!A:N,14,FALSE)</f>
        <v>OCT 19</v>
      </c>
    </row>
    <row r="1673" spans="1:21" ht="16.5" customHeight="1">
      <c r="A1673" s="159" t="s">
        <v>2744</v>
      </c>
      <c r="B1673" s="114" t="str">
        <f>VLOOKUP(A1673,'Data pick slip'!B:F,5,FALSE)</f>
        <v>KHJ-MC100-00</v>
      </c>
      <c r="F1673" s="157" t="s">
        <v>2773</v>
      </c>
      <c r="I1673" s="139" t="s">
        <v>3093</v>
      </c>
      <c r="J1673" s="139" t="s">
        <v>3175</v>
      </c>
      <c r="K1673" s="51" t="s">
        <v>1246</v>
      </c>
      <c r="L1673" s="4">
        <v>43714</v>
      </c>
      <c r="M1673" s="140">
        <v>6</v>
      </c>
      <c r="P1673" s="4" t="s">
        <v>291</v>
      </c>
      <c r="Q1673" s="143"/>
      <c r="T1673" s="144"/>
      <c r="U1673" s="145" t="e">
        <f>VLOOKUP(H1673,Stock_list!A:N,14,FALSE)</f>
        <v>#N/A</v>
      </c>
    </row>
    <row r="1674" spans="1:21" ht="16.5" customHeight="1">
      <c r="A1674" s="159" t="s">
        <v>2744</v>
      </c>
      <c r="B1674" s="114" t="str">
        <f>VLOOKUP(A1674,'Data pick slip'!B:F,5,FALSE)</f>
        <v>KHJ-MC100-00</v>
      </c>
      <c r="F1674" s="157" t="s">
        <v>2773</v>
      </c>
      <c r="I1674" s="139" t="s">
        <v>3093</v>
      </c>
      <c r="J1674" s="139" t="s">
        <v>3176</v>
      </c>
      <c r="K1674" s="51" t="s">
        <v>1246</v>
      </c>
      <c r="L1674" s="4">
        <v>43738</v>
      </c>
      <c r="M1674" s="140">
        <v>7</v>
      </c>
      <c r="P1674" s="4" t="s">
        <v>291</v>
      </c>
      <c r="Q1674" s="143"/>
      <c r="T1674" s="144"/>
      <c r="U1674" s="145" t="e">
        <f>VLOOKUP(H1674,Stock_list!A:N,14,FALSE)</f>
        <v>#N/A</v>
      </c>
    </row>
    <row r="1675" spans="1:21" ht="16.5" customHeight="1">
      <c r="A1675" s="159" t="s">
        <v>2748</v>
      </c>
      <c r="B1675" s="114" t="str">
        <f>VLOOKUP(A1675,'Data pick slip'!B:F,5,FALSE)</f>
        <v>KHJ-MC400-00</v>
      </c>
      <c r="F1675" s="157" t="s">
        <v>2773</v>
      </c>
      <c r="I1675" s="139" t="s">
        <v>3093</v>
      </c>
      <c r="J1675" s="139" t="s">
        <v>3176</v>
      </c>
      <c r="K1675" s="51" t="s">
        <v>1246</v>
      </c>
      <c r="L1675" s="4">
        <v>43738</v>
      </c>
      <c r="M1675" s="140">
        <v>2</v>
      </c>
      <c r="P1675" s="4" t="s">
        <v>291</v>
      </c>
      <c r="Q1675" s="143"/>
      <c r="T1675" s="144"/>
      <c r="U1675" s="145" t="e">
        <f>VLOOKUP(H1675,Stock_list!A:N,14,FALSE)</f>
        <v>#N/A</v>
      </c>
    </row>
    <row r="1676" spans="1:21" ht="16.5" customHeight="1">
      <c r="A1676" s="159" t="s">
        <v>2748</v>
      </c>
      <c r="B1676" s="114" t="str">
        <f>VLOOKUP(A1676,'Data pick slip'!B:F,5,FALSE)</f>
        <v>KHJ-MC400-00</v>
      </c>
      <c r="F1676" s="157" t="s">
        <v>2773</v>
      </c>
      <c r="I1676" s="139" t="s">
        <v>3093</v>
      </c>
      <c r="J1676" s="139" t="s">
        <v>3177</v>
      </c>
      <c r="K1676" s="51" t="s">
        <v>1246</v>
      </c>
      <c r="L1676" s="4">
        <v>43747</v>
      </c>
      <c r="M1676" s="140">
        <v>2</v>
      </c>
      <c r="P1676" s="4" t="s">
        <v>291</v>
      </c>
      <c r="Q1676" s="143"/>
      <c r="T1676" s="144"/>
      <c r="U1676" s="145" t="e">
        <f>VLOOKUP(H1676,Stock_list!A:N,14,FALSE)</f>
        <v>#N/A</v>
      </c>
    </row>
    <row r="1677" spans="1:21" ht="16.5" customHeight="1">
      <c r="A1677" s="159" t="s">
        <v>2744</v>
      </c>
      <c r="B1677" s="114" t="str">
        <f>VLOOKUP(A1677,'Data pick slip'!B:F,5,FALSE)</f>
        <v>KHJ-MC100-00</v>
      </c>
      <c r="F1677" s="157" t="s">
        <v>2861</v>
      </c>
      <c r="H1677" s="138">
        <v>438</v>
      </c>
      <c r="I1677" s="139" t="str">
        <f>VLOOKUP(H1677,Stock_list!A:R,18,FALSE)</f>
        <v>Bittele 比泰利</v>
      </c>
      <c r="J1677" s="139" t="str">
        <f>VLOOKUP(H1677,Stock_list!A:S,17,FALSE)</f>
        <v>C49SZX20190138ZX</v>
      </c>
      <c r="K1677" s="51" t="str">
        <f>VLOOKUP(H1677,Stock_list!A:T,16,FALSE)</f>
        <v>USD</v>
      </c>
      <c r="L1677" s="4">
        <v>43790</v>
      </c>
      <c r="M1677" s="132">
        <v>150</v>
      </c>
      <c r="P1677" s="4" t="str">
        <f>VLOOKUP(H1677,Stock_list!A:Y,25,FALSE)</f>
        <v>Yes</v>
      </c>
      <c r="Q1677" s="143"/>
      <c r="T1677" s="144"/>
      <c r="U1677" s="145" t="str">
        <f>VLOOKUP(H1677,Stock_list!A:N,14,FALSE)</f>
        <v>NOV 19</v>
      </c>
    </row>
    <row r="1678" spans="1:21" ht="16.5" customHeight="1">
      <c r="A1678" s="159" t="s">
        <v>2747</v>
      </c>
      <c r="B1678" s="114" t="str">
        <f>VLOOKUP(A1678,'Data pick slip'!B:F,5,FALSE)</f>
        <v>KHJ-MC200-00</v>
      </c>
      <c r="F1678" s="157" t="s">
        <v>2861</v>
      </c>
      <c r="H1678" s="138">
        <v>438</v>
      </c>
      <c r="I1678" s="139" t="str">
        <f>VLOOKUP(H1678,Stock_list!A:R,18,FALSE)</f>
        <v>Bittele 比泰利</v>
      </c>
      <c r="J1678" s="139" t="str">
        <f>VLOOKUP(H1678,Stock_list!A:S,17,FALSE)</f>
        <v>C49SZX20190138ZX</v>
      </c>
      <c r="K1678" s="51" t="str">
        <f>VLOOKUP(H1678,Stock_list!A:T,16,FALSE)</f>
        <v>USD</v>
      </c>
      <c r="L1678" s="4">
        <v>43790</v>
      </c>
      <c r="M1678" s="132">
        <v>60</v>
      </c>
      <c r="P1678" s="4" t="str">
        <f>VLOOKUP(H1678,Stock_list!A:Y,25,FALSE)</f>
        <v>Yes</v>
      </c>
      <c r="Q1678" s="143"/>
      <c r="T1678" s="144"/>
      <c r="U1678" s="145" t="str">
        <f>VLOOKUP(H1678,Stock_list!A:N,14,FALSE)</f>
        <v>NOV 19</v>
      </c>
    </row>
    <row r="1679" spans="1:21" ht="16.5" customHeight="1">
      <c r="A1679" s="159" t="s">
        <v>2748</v>
      </c>
      <c r="B1679" s="114" t="str">
        <f>VLOOKUP(A1679,'Data pick slip'!B:F,5,FALSE)</f>
        <v>KHJ-MC400-00</v>
      </c>
      <c r="F1679" s="157" t="s">
        <v>2861</v>
      </c>
      <c r="H1679" s="138">
        <v>438</v>
      </c>
      <c r="I1679" s="139" t="str">
        <f>VLOOKUP(H1679,Stock_list!A:R,18,FALSE)</f>
        <v>Bittele 比泰利</v>
      </c>
      <c r="J1679" s="139" t="str">
        <f>VLOOKUP(H1679,Stock_list!A:S,17,FALSE)</f>
        <v>C49SZX20190138ZX</v>
      </c>
      <c r="K1679" s="51" t="str">
        <f>VLOOKUP(H1679,Stock_list!A:T,16,FALSE)</f>
        <v>USD</v>
      </c>
      <c r="L1679" s="4">
        <v>43790</v>
      </c>
      <c r="M1679" s="132">
        <v>12</v>
      </c>
      <c r="P1679" s="4" t="str">
        <f>VLOOKUP(H1679,Stock_list!A:Y,25,FALSE)</f>
        <v>Yes</v>
      </c>
      <c r="Q1679" s="143"/>
      <c r="T1679" s="144"/>
      <c r="U1679" s="145" t="str">
        <f>VLOOKUP(H1679,Stock_list!A:N,14,FALSE)</f>
        <v>NOV 19</v>
      </c>
    </row>
    <row r="1680" spans="1:21" ht="16.5" customHeight="1">
      <c r="A1680" s="159" t="s">
        <v>2749</v>
      </c>
      <c r="B1680" s="114" t="str">
        <f>VLOOKUP(A1680,'Data pick slip'!B:F,5,FALSE)</f>
        <v>KHJ-MC500-00</v>
      </c>
      <c r="F1680" s="157" t="s">
        <v>2861</v>
      </c>
      <c r="H1680" s="138">
        <v>438</v>
      </c>
      <c r="I1680" s="139" t="str">
        <f>VLOOKUP(H1680,Stock_list!A:R,18,FALSE)</f>
        <v>Bittele 比泰利</v>
      </c>
      <c r="J1680" s="139" t="str">
        <f>VLOOKUP(H1680,Stock_list!A:S,17,FALSE)</f>
        <v>C49SZX20190138ZX</v>
      </c>
      <c r="K1680" s="51" t="str">
        <f>VLOOKUP(H1680,Stock_list!A:T,16,FALSE)</f>
        <v>USD</v>
      </c>
      <c r="L1680" s="4">
        <v>43790</v>
      </c>
      <c r="M1680" s="132">
        <v>2</v>
      </c>
      <c r="P1680" s="4" t="str">
        <f>VLOOKUP(H1680,Stock_list!A:Y,25,FALSE)</f>
        <v>Yes</v>
      </c>
      <c r="Q1680" s="143"/>
      <c r="T1680" s="144"/>
      <c r="U1680" s="145" t="str">
        <f>VLOOKUP(H1680,Stock_list!A:N,14,FALSE)</f>
        <v>NOV 19</v>
      </c>
    </row>
    <row r="1681" spans="1:21" ht="16.5" customHeight="1">
      <c r="A1681" s="159" t="s">
        <v>2814</v>
      </c>
      <c r="B1681" s="114" t="str">
        <f>VLOOKUP(A1681,'Data pick slip'!B:F,5,FALSE)</f>
        <v>KHJ-MC600-00</v>
      </c>
      <c r="F1681" s="157" t="s">
        <v>2773</v>
      </c>
      <c r="H1681" s="138">
        <v>438</v>
      </c>
      <c r="I1681" s="139" t="str">
        <f>VLOOKUP(H1681,Stock_list!A:R,18,FALSE)</f>
        <v>Bittele 比泰利</v>
      </c>
      <c r="J1681" s="139" t="str">
        <f>VLOOKUP(H1681,Stock_list!A:S,17,FALSE)</f>
        <v>C49SZX20190138ZX</v>
      </c>
      <c r="K1681" s="51" t="str">
        <f>VLOOKUP(H1681,Stock_list!A:T,16,FALSE)</f>
        <v>USD</v>
      </c>
      <c r="L1681" s="4">
        <v>43790</v>
      </c>
      <c r="M1681" s="132">
        <v>1</v>
      </c>
      <c r="P1681" s="4" t="str">
        <f>VLOOKUP(H1681,Stock_list!A:Y,25,FALSE)</f>
        <v>Yes</v>
      </c>
      <c r="Q1681" s="143"/>
      <c r="S1681" s="123" t="s">
        <v>3003</v>
      </c>
      <c r="T1681" s="205" t="s">
        <v>3178</v>
      </c>
      <c r="U1681" s="145" t="str">
        <f>VLOOKUP(H1681,Stock_list!A:N,14,FALSE)</f>
        <v>NOV 19</v>
      </c>
    </row>
    <row r="1682" spans="1:21" ht="16.5" customHeight="1">
      <c r="A1682" s="159" t="s">
        <v>2751</v>
      </c>
      <c r="B1682" s="114" t="str">
        <f>VLOOKUP(A1682,'Data pick slip'!B:F,5,FALSE)</f>
        <v>KHJ-MC700-00</v>
      </c>
      <c r="F1682" s="157" t="s">
        <v>2861</v>
      </c>
      <c r="H1682" s="138">
        <v>438</v>
      </c>
      <c r="I1682" s="139" t="str">
        <f>VLOOKUP(H1682,Stock_list!A:R,18,FALSE)</f>
        <v>Bittele 比泰利</v>
      </c>
      <c r="J1682" s="139" t="str">
        <f>VLOOKUP(H1682,Stock_list!A:S,17,FALSE)</f>
        <v>C49SZX20190138ZX</v>
      </c>
      <c r="K1682" s="51" t="str">
        <f>VLOOKUP(H1682,Stock_list!A:T,16,FALSE)</f>
        <v>USD</v>
      </c>
      <c r="L1682" s="4">
        <v>43790</v>
      </c>
      <c r="M1682" s="132">
        <v>1</v>
      </c>
      <c r="P1682" s="4" t="str">
        <f>VLOOKUP(H1682,Stock_list!A:Y,25,FALSE)</f>
        <v>Yes</v>
      </c>
      <c r="Q1682" s="143"/>
      <c r="T1682" s="144"/>
      <c r="U1682" s="145" t="str">
        <f>VLOOKUP(H1682,Stock_list!A:N,14,FALSE)</f>
        <v>NOV 19</v>
      </c>
    </row>
    <row r="1683" spans="1:21" ht="16.5" customHeight="1">
      <c r="A1683" s="159" t="s">
        <v>2744</v>
      </c>
      <c r="B1683" s="114" t="str">
        <f>VLOOKUP(A1683,'Data pick slip'!B:F,5,FALSE)</f>
        <v>KHJ-MC100-00</v>
      </c>
      <c r="F1683" s="157" t="s">
        <v>2773</v>
      </c>
      <c r="H1683" s="138">
        <v>440</v>
      </c>
      <c r="I1683" s="139" t="str">
        <f>VLOOKUP(H1683,Stock_list!A:R,18,FALSE)</f>
        <v>GCL 耕创</v>
      </c>
      <c r="J1683" s="139" t="str">
        <f>VLOOKUP(H1683,Stock_list!A:S,17,FALSE)</f>
        <v>C49SZX20190145DZ</v>
      </c>
      <c r="K1683" s="51" t="str">
        <f>VLOOKUP(H1683,Stock_list!A:T,16,FALSE)</f>
        <v>RMB</v>
      </c>
      <c r="L1683" s="4">
        <v>43773</v>
      </c>
      <c r="M1683" s="132">
        <v>45</v>
      </c>
      <c r="P1683" s="4" t="str">
        <f>VLOOKUP(H1683,Stock_list!A:Y,25,FALSE)</f>
        <v>Yes</v>
      </c>
      <c r="Q1683" s="143"/>
      <c r="T1683" s="144"/>
      <c r="U1683" s="145" t="str">
        <f>VLOOKUP(H1683,Stock_list!A:N,14,FALSE)</f>
        <v>NOV 19</v>
      </c>
    </row>
    <row r="1684" spans="1:21" ht="16.5" customHeight="1">
      <c r="A1684" s="159" t="s">
        <v>2747</v>
      </c>
      <c r="B1684" s="114" t="str">
        <f>VLOOKUP(A1684,'Data pick slip'!B:F,5,FALSE)</f>
        <v>KHJ-MC200-00</v>
      </c>
      <c r="F1684" s="157" t="s">
        <v>2773</v>
      </c>
      <c r="I1684" s="139" t="s">
        <v>3093</v>
      </c>
      <c r="J1684" s="139" t="s">
        <v>3179</v>
      </c>
      <c r="K1684" s="51" t="s">
        <v>1246</v>
      </c>
      <c r="L1684" s="4">
        <v>43755</v>
      </c>
      <c r="M1684" s="132">
        <v>3</v>
      </c>
      <c r="P1684" s="4" t="s">
        <v>291</v>
      </c>
      <c r="Q1684" s="143"/>
      <c r="T1684" s="144"/>
      <c r="U1684" s="145" t="e">
        <f>VLOOKUP(H1684,Stock_list!A:N,14,FALSE)</f>
        <v>#N/A</v>
      </c>
    </row>
    <row r="1685" spans="1:21" ht="16.5" customHeight="1">
      <c r="A1685" s="159" t="s">
        <v>2744</v>
      </c>
      <c r="B1685" s="114" t="str">
        <f>VLOOKUP(A1685,'Data pick slip'!B:F,5,FALSE)</f>
        <v>KHJ-MC100-00</v>
      </c>
      <c r="F1685" s="157" t="s">
        <v>2861</v>
      </c>
      <c r="H1685" s="138">
        <v>454</v>
      </c>
      <c r="I1685" s="139" t="str">
        <f>VLOOKUP(H1685,Stock_list!A:R,18,FALSE)</f>
        <v>利速达</v>
      </c>
      <c r="J1685" s="139" t="str">
        <f>VLOOKUP(H1685,Stock_list!A:S,17,FALSE)</f>
        <v>C49SZX20190143SX</v>
      </c>
      <c r="K1685" s="51" t="str">
        <f>VLOOKUP(H1685,Stock_list!A:T,16,FALSE)</f>
        <v>JPY</v>
      </c>
      <c r="L1685" s="4">
        <v>43762</v>
      </c>
      <c r="M1685" s="132">
        <v>40</v>
      </c>
      <c r="P1685" s="4" t="str">
        <f>VLOOKUP(H1685,Stock_list!A:Y,25,FALSE)</f>
        <v>Yes</v>
      </c>
      <c r="Q1685" s="146"/>
      <c r="T1685" s="144"/>
      <c r="U1685" s="145" t="str">
        <f>VLOOKUP(H1685,Stock_list!A:N,14,FALSE)</f>
        <v>OCT 19</v>
      </c>
    </row>
    <row r="1686" spans="1:21" ht="16.5" customHeight="1">
      <c r="A1686" s="159" t="s">
        <v>2747</v>
      </c>
      <c r="B1686" s="114" t="str">
        <f>VLOOKUP(A1686,'Data pick slip'!B:F,5,FALSE)</f>
        <v>KHJ-MC200-00</v>
      </c>
      <c r="F1686" s="157" t="s">
        <v>2773</v>
      </c>
      <c r="H1686" s="138">
        <v>454</v>
      </c>
      <c r="I1686" s="139" t="str">
        <f>VLOOKUP(H1686,Stock_list!A:R,18,FALSE)</f>
        <v>利速达</v>
      </c>
      <c r="J1686" s="139" t="str">
        <f>VLOOKUP(H1686,Stock_list!A:S,17,FALSE)</f>
        <v>C49SZX20190143SX</v>
      </c>
      <c r="K1686" s="51" t="str">
        <f>VLOOKUP(H1686,Stock_list!A:T,16,FALSE)</f>
        <v>JPY</v>
      </c>
      <c r="L1686" s="4">
        <v>43762</v>
      </c>
      <c r="M1686" s="132">
        <v>2</v>
      </c>
      <c r="P1686" s="4" t="str">
        <f>VLOOKUP(H1686,Stock_list!A:Y,25,FALSE)</f>
        <v>Yes</v>
      </c>
      <c r="Q1686" s="146"/>
      <c r="S1686" s="123" t="s">
        <v>3003</v>
      </c>
      <c r="T1686" s="205" t="s">
        <v>3064</v>
      </c>
      <c r="U1686" s="145" t="str">
        <f>VLOOKUP(H1686,Stock_list!A:N,14,FALSE)</f>
        <v>OCT 19</v>
      </c>
    </row>
    <row r="1687" spans="1:21" ht="16.5" customHeight="1">
      <c r="A1687" s="159" t="s">
        <v>2744</v>
      </c>
      <c r="B1687" s="114" t="str">
        <f>VLOOKUP(A1687,'Data pick slip'!B:F,5,FALSE)</f>
        <v>KHJ-MC100-00</v>
      </c>
      <c r="F1687" s="157" t="s">
        <v>2773</v>
      </c>
      <c r="H1687" s="138">
        <v>456</v>
      </c>
      <c r="I1687" s="139" t="str">
        <f>VLOOKUP(H1687,Stock_list!A:R,18,FALSE)</f>
        <v>悦之彩</v>
      </c>
      <c r="J1687" s="139" t="str">
        <f>VLOOKUP(H1687,Stock_list!A:S,17,FALSE)</f>
        <v>C49SZX20190148SX</v>
      </c>
      <c r="K1687" s="51" t="str">
        <f>VLOOKUP(H1687,Stock_list!A:T,16,FALSE)</f>
        <v>RMB</v>
      </c>
      <c r="L1687" s="4">
        <v>43776</v>
      </c>
      <c r="M1687" s="132">
        <v>30</v>
      </c>
      <c r="P1687" s="4" t="str">
        <f>VLOOKUP(H1687,Stock_list!A:Y,25,FALSE)</f>
        <v>Yes</v>
      </c>
      <c r="Q1687" s="143"/>
      <c r="T1687" s="144"/>
      <c r="U1687" s="145" t="str">
        <f>VLOOKUP(H1687,Stock_list!A:N,14,FALSE)</f>
        <v>NOV 19</v>
      </c>
    </row>
    <row r="1688" spans="1:21" ht="16.5" customHeight="1">
      <c r="A1688" s="159" t="s">
        <v>2747</v>
      </c>
      <c r="B1688" s="114" t="str">
        <f>VLOOKUP(A1688,'Data pick slip'!B:F,5,FALSE)</f>
        <v>KHJ-MC200-00</v>
      </c>
      <c r="F1688" s="157" t="s">
        <v>2773</v>
      </c>
      <c r="H1688" s="138">
        <v>456</v>
      </c>
      <c r="I1688" s="139" t="str">
        <f>VLOOKUP(H1688,Stock_list!A:R,18,FALSE)</f>
        <v>悦之彩</v>
      </c>
      <c r="J1688" s="139" t="str">
        <f>VLOOKUP(H1688,Stock_list!A:S,17,FALSE)</f>
        <v>C49SZX20190148SX</v>
      </c>
      <c r="K1688" s="51" t="str">
        <f>VLOOKUP(H1688,Stock_list!A:T,16,FALSE)</f>
        <v>RMB</v>
      </c>
      <c r="L1688" s="4">
        <v>43776</v>
      </c>
      <c r="M1688" s="132">
        <v>8</v>
      </c>
      <c r="P1688" s="4" t="str">
        <f>VLOOKUP(H1688,Stock_list!A:Y,25,FALSE)</f>
        <v>Yes</v>
      </c>
      <c r="Q1688" s="143"/>
      <c r="T1688" s="144"/>
      <c r="U1688" s="145" t="str">
        <f>VLOOKUP(H1688,Stock_list!A:N,14,FALSE)</f>
        <v>NOV 19</v>
      </c>
    </row>
    <row r="1689" spans="1:21" ht="16.5" customHeight="1">
      <c r="A1689" s="159" t="s">
        <v>2748</v>
      </c>
      <c r="B1689" s="114" t="str">
        <f>VLOOKUP(A1689,'Data pick slip'!B:F,5,FALSE)</f>
        <v>KHJ-MC400-00</v>
      </c>
      <c r="F1689" s="157" t="s">
        <v>2773</v>
      </c>
      <c r="H1689" s="138">
        <v>456</v>
      </c>
      <c r="I1689" s="139" t="str">
        <f>VLOOKUP(H1689,Stock_list!A:R,18,FALSE)</f>
        <v>悦之彩</v>
      </c>
      <c r="J1689" s="139" t="str">
        <f>VLOOKUP(H1689,Stock_list!A:S,17,FALSE)</f>
        <v>C49SZX20190148SX</v>
      </c>
      <c r="K1689" s="51" t="str">
        <f>VLOOKUP(H1689,Stock_list!A:T,16,FALSE)</f>
        <v>RMB</v>
      </c>
      <c r="L1689" s="4">
        <v>43776</v>
      </c>
      <c r="M1689" s="132">
        <v>2</v>
      </c>
      <c r="P1689" s="4" t="str">
        <f>VLOOKUP(H1689,Stock_list!A:Y,25,FALSE)</f>
        <v>Yes</v>
      </c>
      <c r="Q1689" s="143"/>
      <c r="T1689" s="144"/>
      <c r="U1689" s="145" t="str">
        <f>VLOOKUP(H1689,Stock_list!A:N,14,FALSE)</f>
        <v>NOV 19</v>
      </c>
    </row>
    <row r="1690" spans="1:21" ht="16.5" customHeight="1">
      <c r="A1690" s="159" t="s">
        <v>2747</v>
      </c>
      <c r="B1690" s="114" t="str">
        <f>VLOOKUP(A1690,'Data pick slip'!B:F,5,FALSE)</f>
        <v>KHJ-MC200-00</v>
      </c>
      <c r="F1690" s="157" t="s">
        <v>2861</v>
      </c>
      <c r="I1690" s="139" t="s">
        <v>3015</v>
      </c>
      <c r="J1690" s="139" t="s">
        <v>3180</v>
      </c>
      <c r="K1690" s="51" t="s">
        <v>1246</v>
      </c>
      <c r="L1690" s="4">
        <v>43756</v>
      </c>
      <c r="M1690" s="140">
        <v>120</v>
      </c>
      <c r="P1690" s="4" t="s">
        <v>291</v>
      </c>
      <c r="Q1690" s="143"/>
      <c r="T1690" s="144"/>
      <c r="U1690" s="145" t="e">
        <f>VLOOKUP(H1690,Stock_list!A:N,14,FALSE)</f>
        <v>#N/A</v>
      </c>
    </row>
    <row r="1691" spans="1:21" ht="16.5" customHeight="1">
      <c r="A1691" s="159" t="s">
        <v>2747</v>
      </c>
      <c r="B1691" s="114" t="str">
        <f>VLOOKUP(A1691,'Data pick slip'!B:F,5,FALSE)</f>
        <v>KHJ-MC200-00</v>
      </c>
      <c r="F1691" s="157" t="s">
        <v>2773</v>
      </c>
      <c r="I1691" s="139" t="s">
        <v>3093</v>
      </c>
      <c r="J1691" s="139" t="s">
        <v>3181</v>
      </c>
      <c r="K1691" s="51" t="s">
        <v>1246</v>
      </c>
      <c r="L1691" s="4">
        <v>43759</v>
      </c>
      <c r="M1691" s="140">
        <v>7</v>
      </c>
      <c r="P1691" s="4" t="s">
        <v>291</v>
      </c>
      <c r="Q1691" s="143"/>
      <c r="T1691" s="144"/>
      <c r="U1691" s="145" t="e">
        <f>VLOOKUP(H1691,Stock_list!A:N,14,FALSE)</f>
        <v>#N/A</v>
      </c>
    </row>
    <row r="1692" spans="1:21" ht="16.5" customHeight="1">
      <c r="A1692" s="159" t="s">
        <v>2748</v>
      </c>
      <c r="B1692" s="114" t="str">
        <f>VLOOKUP(A1692,'Data pick slip'!B:F,5,FALSE)</f>
        <v>KHJ-MC400-00</v>
      </c>
      <c r="F1692" s="157" t="s">
        <v>2773</v>
      </c>
      <c r="I1692" s="139" t="s">
        <v>3093</v>
      </c>
      <c r="J1692" s="139" t="s">
        <v>3181</v>
      </c>
      <c r="K1692" s="51" t="s">
        <v>1246</v>
      </c>
      <c r="L1692" s="4">
        <v>43759</v>
      </c>
      <c r="M1692" s="140">
        <v>1</v>
      </c>
      <c r="P1692" s="4" t="s">
        <v>291</v>
      </c>
      <c r="Q1692" s="143"/>
      <c r="T1692" s="144"/>
      <c r="U1692" s="145" t="e">
        <f>VLOOKUP(H1692,Stock_list!A:N,14,FALSE)</f>
        <v>#N/A</v>
      </c>
    </row>
    <row r="1693" spans="1:21" ht="16.5" customHeight="1">
      <c r="A1693" s="159" t="s">
        <v>2744</v>
      </c>
      <c r="B1693" s="114" t="str">
        <f>VLOOKUP(A1693,'Data pick slip'!B:F,5,FALSE)</f>
        <v>KHJ-MC100-00</v>
      </c>
      <c r="F1693" s="157" t="s">
        <v>2773</v>
      </c>
      <c r="I1693" s="139" t="s">
        <v>3093</v>
      </c>
      <c r="J1693" s="139" t="s">
        <v>3182</v>
      </c>
      <c r="K1693" s="51" t="s">
        <v>1246</v>
      </c>
      <c r="L1693" s="4">
        <v>43761</v>
      </c>
      <c r="M1693" s="140">
        <v>20</v>
      </c>
      <c r="P1693" s="4" t="s">
        <v>291</v>
      </c>
      <c r="Q1693" s="143"/>
      <c r="T1693" s="144"/>
      <c r="U1693" s="145" t="e">
        <f>VLOOKUP(H1693,Stock_list!A:N,14,FALSE)</f>
        <v>#N/A</v>
      </c>
    </row>
    <row r="1694" spans="1:21" ht="16.5" customHeight="1">
      <c r="A1694" s="159" t="s">
        <v>2747</v>
      </c>
      <c r="B1694" s="114" t="str">
        <f>VLOOKUP(A1694,'Data pick slip'!B:F,5,FALSE)</f>
        <v>KHJ-MC200-00</v>
      </c>
      <c r="F1694" s="157" t="s">
        <v>2773</v>
      </c>
      <c r="I1694" s="139" t="s">
        <v>3093</v>
      </c>
      <c r="J1694" s="139" t="s">
        <v>3182</v>
      </c>
      <c r="K1694" s="51" t="s">
        <v>1246</v>
      </c>
      <c r="L1694" s="4">
        <v>43761</v>
      </c>
      <c r="M1694" s="140">
        <v>5</v>
      </c>
      <c r="P1694" s="4" t="s">
        <v>291</v>
      </c>
      <c r="Q1694" s="143"/>
      <c r="T1694" s="144"/>
      <c r="U1694" s="145" t="e">
        <f>VLOOKUP(H1694,Stock_list!A:N,14,FALSE)</f>
        <v>#N/A</v>
      </c>
    </row>
    <row r="1695" spans="1:21" ht="16.5" customHeight="1">
      <c r="A1695" s="159" t="s">
        <v>2744</v>
      </c>
      <c r="B1695" s="114" t="str">
        <f>VLOOKUP(A1695,'Data pick slip'!B:F,5,FALSE)</f>
        <v>KHJ-MC100-00</v>
      </c>
      <c r="F1695" s="157" t="s">
        <v>2773</v>
      </c>
      <c r="I1695" s="139" t="s">
        <v>3093</v>
      </c>
      <c r="J1695" s="139" t="s">
        <v>3183</v>
      </c>
      <c r="K1695" s="51" t="s">
        <v>1246</v>
      </c>
      <c r="L1695" s="4">
        <v>43769</v>
      </c>
      <c r="M1695" s="140">
        <v>30</v>
      </c>
      <c r="P1695" s="4" t="s">
        <v>291</v>
      </c>
      <c r="Q1695" s="143"/>
      <c r="T1695" s="144"/>
      <c r="U1695" s="145" t="e">
        <f>VLOOKUP(H1695,Stock_list!A:N,14,FALSE)</f>
        <v>#N/A</v>
      </c>
    </row>
    <row r="1696" spans="1:21" ht="16.5" customHeight="1">
      <c r="A1696" s="159" t="s">
        <v>2744</v>
      </c>
      <c r="B1696" s="114" t="str">
        <f>VLOOKUP(A1696,'Data pick slip'!B:F,5,FALSE)</f>
        <v>KHJ-MC100-00</v>
      </c>
      <c r="F1696" s="157" t="s">
        <v>2773</v>
      </c>
      <c r="H1696" s="138">
        <v>463</v>
      </c>
      <c r="I1696" s="139" t="str">
        <f>VLOOKUP(H1696,Stock_list!A:R,18,FALSE)</f>
        <v>捷舜诚</v>
      </c>
      <c r="J1696" s="139" t="str">
        <f>VLOOKUP(H1696,Stock_list!A:S,17,FALSE)</f>
        <v>C49SZX20190152JL</v>
      </c>
      <c r="K1696" s="51" t="str">
        <f>VLOOKUP(H1696,Stock_list!A:T,16,FALSE)</f>
        <v>RMB</v>
      </c>
      <c r="L1696" s="4">
        <v>43775</v>
      </c>
      <c r="M1696" s="132">
        <v>40</v>
      </c>
      <c r="P1696" s="4" t="str">
        <f>VLOOKUP(H1696,Stock_list!A:Y,25,FALSE)</f>
        <v>Yes</v>
      </c>
      <c r="Q1696" s="143"/>
      <c r="T1696" s="144"/>
      <c r="U1696" s="145" t="str">
        <f>VLOOKUP(H1696,Stock_list!A:N,14,FALSE)</f>
        <v>NOV 19</v>
      </c>
    </row>
    <row r="1697" spans="1:21" ht="16.5" customHeight="1">
      <c r="A1697" s="159" t="s">
        <v>2748</v>
      </c>
      <c r="B1697" s="114" t="str">
        <f>VLOOKUP(A1697,'Data pick slip'!B:F,5,FALSE)</f>
        <v>KHJ-MC400-00</v>
      </c>
      <c r="F1697" s="157" t="s">
        <v>2773</v>
      </c>
      <c r="I1697" s="139" t="s">
        <v>3115</v>
      </c>
      <c r="J1697" s="139" t="s">
        <v>3184</v>
      </c>
      <c r="K1697" s="51" t="s">
        <v>1246</v>
      </c>
      <c r="L1697" s="4">
        <v>43763</v>
      </c>
      <c r="M1697" s="140">
        <v>2</v>
      </c>
      <c r="P1697" s="4" t="s">
        <v>291</v>
      </c>
      <c r="Q1697" s="143"/>
      <c r="T1697" s="144"/>
      <c r="U1697" s="145" t="e">
        <f>VLOOKUP(H1697,Stock_list!A:N,14,FALSE)</f>
        <v>#N/A</v>
      </c>
    </row>
    <row r="1698" spans="1:21" ht="16.5" customHeight="1">
      <c r="A1698" s="159" t="s">
        <v>2749</v>
      </c>
      <c r="B1698" s="114" t="str">
        <f>VLOOKUP(A1698,'Data pick slip'!B:F,5,FALSE)</f>
        <v>KHJ-MC500-00</v>
      </c>
      <c r="F1698" s="157" t="s">
        <v>2773</v>
      </c>
      <c r="I1698" s="139" t="s">
        <v>3115</v>
      </c>
      <c r="J1698" s="139" t="s">
        <v>3184</v>
      </c>
      <c r="K1698" s="51" t="s">
        <v>1246</v>
      </c>
      <c r="L1698" s="4">
        <v>43763</v>
      </c>
      <c r="M1698" s="140">
        <v>1</v>
      </c>
      <c r="P1698" s="4" t="s">
        <v>291</v>
      </c>
      <c r="Q1698" s="143"/>
      <c r="T1698" s="144"/>
      <c r="U1698" s="145" t="e">
        <f>VLOOKUP(H1698,Stock_list!A:N,14,FALSE)</f>
        <v>#N/A</v>
      </c>
    </row>
    <row r="1699" spans="1:21" ht="16.5" customHeight="1">
      <c r="A1699" s="159" t="s">
        <v>2750</v>
      </c>
      <c r="B1699" s="114" t="str">
        <f>VLOOKUP(A1699,'Data pick slip'!B:F,5,FALSE)</f>
        <v>KHJ-MC600-00</v>
      </c>
      <c r="F1699" s="157" t="s">
        <v>2773</v>
      </c>
      <c r="I1699" s="139" t="s">
        <v>3115</v>
      </c>
      <c r="J1699" s="139" t="s">
        <v>3185</v>
      </c>
      <c r="K1699" s="51" t="s">
        <v>1246</v>
      </c>
      <c r="L1699" s="4">
        <v>43763</v>
      </c>
      <c r="M1699" s="140">
        <v>1</v>
      </c>
      <c r="P1699" s="4" t="s">
        <v>291</v>
      </c>
      <c r="Q1699" s="143"/>
      <c r="T1699" s="144"/>
      <c r="U1699" s="145" t="e">
        <f>VLOOKUP(H1699,Stock_list!A:N,14,FALSE)</f>
        <v>#N/A</v>
      </c>
    </row>
    <row r="1700" spans="1:21" ht="16.5" customHeight="1">
      <c r="A1700" s="159" t="s">
        <v>2750</v>
      </c>
      <c r="B1700" s="114" t="str">
        <f>VLOOKUP(A1700,'Data pick slip'!B:F,5,FALSE)</f>
        <v>KHJ-MC600-00</v>
      </c>
      <c r="F1700" s="157" t="s">
        <v>2773</v>
      </c>
      <c r="I1700" s="139" t="s">
        <v>3099</v>
      </c>
      <c r="J1700" s="139" t="s">
        <v>3186</v>
      </c>
      <c r="K1700" s="51" t="s">
        <v>1246</v>
      </c>
      <c r="L1700" s="4">
        <v>43763</v>
      </c>
      <c r="M1700" s="140">
        <v>1</v>
      </c>
      <c r="P1700" s="4" t="s">
        <v>291</v>
      </c>
      <c r="Q1700" s="143"/>
      <c r="T1700" s="144"/>
      <c r="U1700" s="145" t="e">
        <f>VLOOKUP(H1700,Stock_list!A:N,14,FALSE)</f>
        <v>#N/A</v>
      </c>
    </row>
    <row r="1701" spans="1:21" ht="16.5" customHeight="1">
      <c r="A1701" s="159" t="s">
        <v>2750</v>
      </c>
      <c r="B1701" s="114" t="str">
        <f>VLOOKUP(A1701,'Data pick slip'!B:F,5,FALSE)</f>
        <v>KHJ-MC600-00</v>
      </c>
      <c r="F1701" s="157" t="s">
        <v>2773</v>
      </c>
      <c r="I1701" s="139" t="s">
        <v>3093</v>
      </c>
      <c r="J1701" s="139" t="s">
        <v>3187</v>
      </c>
      <c r="K1701" s="51" t="s">
        <v>1246</v>
      </c>
      <c r="L1701" s="4">
        <v>43766</v>
      </c>
      <c r="M1701" s="140">
        <v>2</v>
      </c>
      <c r="P1701" s="4" t="s">
        <v>291</v>
      </c>
      <c r="Q1701" s="143"/>
      <c r="T1701" s="144"/>
      <c r="U1701" s="145" t="e">
        <f>VLOOKUP(H1701,Stock_list!A:N,14,FALSE)</f>
        <v>#N/A</v>
      </c>
    </row>
    <row r="1702" spans="1:21" ht="16.5" customHeight="1">
      <c r="A1702" s="159" t="s">
        <v>2747</v>
      </c>
      <c r="B1702" s="114" t="str">
        <f>VLOOKUP(A1702,'Data pick slip'!B:F,5,FALSE)</f>
        <v>KHJ-MC200-00</v>
      </c>
      <c r="F1702" s="157" t="s">
        <v>2861</v>
      </c>
      <c r="I1702" s="139" t="s">
        <v>3015</v>
      </c>
      <c r="J1702" s="139" t="s">
        <v>3188</v>
      </c>
      <c r="K1702" s="51" t="s">
        <v>1246</v>
      </c>
      <c r="L1702" s="4">
        <v>43768</v>
      </c>
      <c r="M1702" s="140">
        <v>40</v>
      </c>
      <c r="P1702" s="4" t="s">
        <v>291</v>
      </c>
      <c r="Q1702" s="143"/>
      <c r="T1702" s="144"/>
      <c r="U1702" s="145" t="e">
        <f>VLOOKUP(H1702,Stock_list!A:N,14,FALSE)</f>
        <v>#N/A</v>
      </c>
    </row>
    <row r="1703" spans="1:21" ht="16.5" customHeight="1">
      <c r="A1703" s="159" t="s">
        <v>2744</v>
      </c>
      <c r="B1703" s="114" t="str">
        <f>VLOOKUP(A1703,'Data pick slip'!B:F,5,FALSE)</f>
        <v>KHJ-MC100-00</v>
      </c>
      <c r="F1703" s="157" t="s">
        <v>2861</v>
      </c>
      <c r="H1703" s="138">
        <v>464</v>
      </c>
      <c r="I1703" s="139" t="str">
        <f>VLOOKUP(H1703,Stock_list!A:R,18,FALSE)</f>
        <v>海松微</v>
      </c>
      <c r="J1703" s="139" t="str">
        <f>VLOOKUP(H1703,Stock_list!A:S,17,FALSE)</f>
        <v>C49SZX20190155JY</v>
      </c>
      <c r="K1703" s="51" t="str">
        <f>VLOOKUP(H1703,Stock_list!A:T,16,FALSE)</f>
        <v>JPY</v>
      </c>
      <c r="L1703" s="4">
        <v>43784</v>
      </c>
      <c r="M1703" s="132">
        <v>60</v>
      </c>
      <c r="P1703" s="4" t="str">
        <f>VLOOKUP(H1703,Stock_list!A:Y,25,FALSE)</f>
        <v>Yes</v>
      </c>
      <c r="Q1703" s="143"/>
      <c r="T1703" s="144"/>
      <c r="U1703" s="145" t="str">
        <f>VLOOKUP(H1703,Stock_list!A:N,14,FALSE)</f>
        <v>NOV 19</v>
      </c>
    </row>
    <row r="1704" spans="1:21" ht="16.5" customHeight="1">
      <c r="A1704" s="159" t="s">
        <v>2747</v>
      </c>
      <c r="B1704" s="114" t="str">
        <f>VLOOKUP(A1704,'Data pick slip'!B:F,5,FALSE)</f>
        <v>KHJ-MC200-00</v>
      </c>
      <c r="F1704" s="157" t="s">
        <v>2861</v>
      </c>
      <c r="H1704" s="138">
        <v>464</v>
      </c>
      <c r="I1704" s="139" t="str">
        <f>VLOOKUP(H1704,Stock_list!A:R,18,FALSE)</f>
        <v>海松微</v>
      </c>
      <c r="J1704" s="139" t="str">
        <f>VLOOKUP(H1704,Stock_list!A:S,17,FALSE)</f>
        <v>C49SZX20190155JY</v>
      </c>
      <c r="K1704" s="51" t="str">
        <f>VLOOKUP(H1704,Stock_list!A:T,16,FALSE)</f>
        <v>JPY</v>
      </c>
      <c r="L1704" s="4">
        <v>43784</v>
      </c>
      <c r="M1704" s="132">
        <v>10</v>
      </c>
      <c r="P1704" s="4" t="str">
        <f>VLOOKUP(H1704,Stock_list!A:Y,25,FALSE)</f>
        <v>Yes</v>
      </c>
      <c r="Q1704" s="143"/>
      <c r="T1704" s="144"/>
      <c r="U1704" s="145" t="str">
        <f>VLOOKUP(H1704,Stock_list!A:N,14,FALSE)</f>
        <v>NOV 19</v>
      </c>
    </row>
    <row r="1705" spans="1:21" ht="16.5" customHeight="1">
      <c r="A1705" s="159" t="s">
        <v>2748</v>
      </c>
      <c r="B1705" s="114" t="str">
        <f>VLOOKUP(A1705,'Data pick slip'!B:F,5,FALSE)</f>
        <v>KHJ-MC400-00</v>
      </c>
      <c r="F1705" s="157" t="s">
        <v>2861</v>
      </c>
      <c r="H1705" s="138">
        <v>464</v>
      </c>
      <c r="I1705" s="139" t="str">
        <f>VLOOKUP(H1705,Stock_list!A:R,18,FALSE)</f>
        <v>海松微</v>
      </c>
      <c r="J1705" s="139" t="str">
        <f>VLOOKUP(H1705,Stock_list!A:S,17,FALSE)</f>
        <v>C49SZX20190155JY</v>
      </c>
      <c r="K1705" s="51" t="str">
        <f>VLOOKUP(H1705,Stock_list!A:T,16,FALSE)</f>
        <v>JPY</v>
      </c>
      <c r="L1705" s="4">
        <v>43784</v>
      </c>
      <c r="M1705" s="132">
        <v>2</v>
      </c>
      <c r="P1705" s="4" t="str">
        <f>VLOOKUP(H1705,Stock_list!A:Y,25,FALSE)</f>
        <v>Yes</v>
      </c>
      <c r="Q1705" s="143"/>
      <c r="T1705" s="144"/>
      <c r="U1705" s="145" t="str">
        <f>VLOOKUP(H1705,Stock_list!A:N,14,FALSE)</f>
        <v>NOV 19</v>
      </c>
    </row>
    <row r="1706" spans="1:21" ht="16.5" customHeight="1">
      <c r="A1706" s="159" t="s">
        <v>2744</v>
      </c>
      <c r="B1706" s="114" t="str">
        <f>VLOOKUP(A1706,'Data pick slip'!B:F,5,FALSE)</f>
        <v>KHJ-MC100-00</v>
      </c>
      <c r="F1706" s="157" t="s">
        <v>2861</v>
      </c>
      <c r="I1706" s="139" t="s">
        <v>3015</v>
      </c>
      <c r="J1706" s="139" t="s">
        <v>3189</v>
      </c>
      <c r="K1706" s="51" t="s">
        <v>1246</v>
      </c>
      <c r="L1706" s="4">
        <v>43775</v>
      </c>
      <c r="M1706" s="140">
        <v>100</v>
      </c>
      <c r="P1706" s="4" t="s">
        <v>291</v>
      </c>
      <c r="Q1706" s="143"/>
      <c r="T1706" s="144"/>
      <c r="U1706" s="145" t="e">
        <f>VLOOKUP(H1706,Stock_list!A:N,14,FALSE)</f>
        <v>#N/A</v>
      </c>
    </row>
    <row r="1707" spans="1:21" ht="16.5" customHeight="1">
      <c r="A1707" s="159" t="s">
        <v>2747</v>
      </c>
      <c r="B1707" s="114" t="str">
        <f>VLOOKUP(A1707,'Data pick slip'!B:F,5,FALSE)</f>
        <v>KHJ-MC200-00</v>
      </c>
      <c r="F1707" s="157" t="s">
        <v>2861</v>
      </c>
      <c r="I1707" s="139" t="s">
        <v>3015</v>
      </c>
      <c r="J1707" s="139" t="s">
        <v>3189</v>
      </c>
      <c r="K1707" s="51" t="s">
        <v>1246</v>
      </c>
      <c r="L1707" s="4">
        <v>43775</v>
      </c>
      <c r="M1707" s="140">
        <v>20</v>
      </c>
      <c r="P1707" s="4" t="s">
        <v>291</v>
      </c>
      <c r="Q1707" s="143"/>
      <c r="T1707" s="144"/>
      <c r="U1707" s="145" t="e">
        <f>VLOOKUP(H1707,Stock_list!A:N,14,FALSE)</f>
        <v>#N/A</v>
      </c>
    </row>
    <row r="1708" spans="1:21" ht="16.5" customHeight="1">
      <c r="A1708" s="159" t="s">
        <v>2747</v>
      </c>
      <c r="B1708" s="114" t="str">
        <f>VLOOKUP(A1708,'Data pick slip'!B:F,5,FALSE)</f>
        <v>KHJ-MC200-00</v>
      </c>
      <c r="F1708" s="157" t="s">
        <v>2773</v>
      </c>
      <c r="I1708" s="139" t="s">
        <v>3093</v>
      </c>
      <c r="J1708" s="139" t="s">
        <v>3190</v>
      </c>
      <c r="K1708" s="51" t="s">
        <v>1246</v>
      </c>
      <c r="L1708" s="4">
        <v>43774</v>
      </c>
      <c r="M1708" s="140">
        <v>10</v>
      </c>
      <c r="P1708" s="4" t="s">
        <v>291</v>
      </c>
      <c r="Q1708" s="143"/>
      <c r="T1708" s="144"/>
      <c r="U1708" s="145" t="e">
        <f>VLOOKUP(H1708,Stock_list!A:N,14,FALSE)</f>
        <v>#N/A</v>
      </c>
    </row>
    <row r="1709" spans="1:21" ht="16.5" customHeight="1">
      <c r="A1709" s="159" t="s">
        <v>2744</v>
      </c>
      <c r="B1709" s="114" t="str">
        <f>VLOOKUP(A1709,'Data pick slip'!B:F,5,FALSE)</f>
        <v>KHJ-MC100-00</v>
      </c>
      <c r="F1709" s="157" t="s">
        <v>2861</v>
      </c>
      <c r="H1709" s="138">
        <v>468</v>
      </c>
      <c r="I1709" s="139" t="str">
        <f>VLOOKUP(H1709,Stock_list!A:R,18,FALSE)</f>
        <v>思迈科技</v>
      </c>
      <c r="J1709" s="139" t="str">
        <f>VLOOKUP(H1709,Stock_list!A:S,17,FALSE)</f>
        <v>C49SZX20190159SS</v>
      </c>
      <c r="K1709" s="51" t="str">
        <f>VLOOKUP(H1709,Stock_list!A:T,16,FALSE)</f>
        <v>JPY</v>
      </c>
      <c r="L1709" s="4">
        <v>43794</v>
      </c>
      <c r="M1709" s="132">
        <v>15</v>
      </c>
      <c r="P1709" s="4" t="str">
        <f>VLOOKUP(H1709,Stock_list!A:Y,25,FALSE)</f>
        <v>Yes</v>
      </c>
      <c r="Q1709" s="143"/>
      <c r="T1709" s="144"/>
      <c r="U1709" s="145" t="str">
        <f>VLOOKUP(H1709,Stock_list!A:N,14,FALSE)</f>
        <v>NOV 19</v>
      </c>
    </row>
    <row r="1710" spans="1:21" ht="16.5" customHeight="1">
      <c r="A1710" s="159" t="s">
        <v>2747</v>
      </c>
      <c r="B1710" s="114" t="str">
        <f>VLOOKUP(A1710,'Data pick slip'!B:F,5,FALSE)</f>
        <v>KHJ-MC200-00</v>
      </c>
      <c r="F1710" s="157" t="s">
        <v>2861</v>
      </c>
      <c r="H1710" s="138">
        <v>469</v>
      </c>
      <c r="I1710" s="139" t="str">
        <f>VLOOKUP(H1710,Stock_list!A:R,18,FALSE)</f>
        <v>玮芯电子</v>
      </c>
      <c r="J1710" s="139" t="str">
        <f>VLOOKUP(H1710,Stock_list!A:S,17,FALSE)</f>
        <v>C49SZX20190161SX</v>
      </c>
      <c r="K1710" s="51" t="str">
        <f>VLOOKUP(H1710,Stock_list!A:T,16,FALSE)</f>
        <v>JPY</v>
      </c>
      <c r="L1710" s="4">
        <v>43784</v>
      </c>
      <c r="M1710" s="132">
        <v>5</v>
      </c>
      <c r="P1710" s="4" t="str">
        <f>VLOOKUP(H1710,Stock_list!A:Y,25,FALSE)</f>
        <v>Yes</v>
      </c>
      <c r="Q1710" s="143"/>
      <c r="T1710" s="144"/>
      <c r="U1710" s="145" t="str">
        <f>VLOOKUP(H1710,Stock_list!A:N,14,FALSE)</f>
        <v>NOV 19</v>
      </c>
    </row>
    <row r="1711" spans="1:21" ht="16.5" customHeight="1">
      <c r="A1711" s="159" t="s">
        <v>2748</v>
      </c>
      <c r="B1711" s="114" t="str">
        <f>VLOOKUP(A1711,'Data pick slip'!B:F,5,FALSE)</f>
        <v>KHJ-MC400-00</v>
      </c>
      <c r="F1711" s="157" t="s">
        <v>2861</v>
      </c>
      <c r="H1711" s="138">
        <v>469</v>
      </c>
      <c r="I1711" s="139" t="str">
        <f>VLOOKUP(H1711,Stock_list!A:R,18,FALSE)</f>
        <v>玮芯电子</v>
      </c>
      <c r="J1711" s="139" t="str">
        <f>VLOOKUP(H1711,Stock_list!A:S,17,FALSE)</f>
        <v>C49SZX20190161SX</v>
      </c>
      <c r="K1711" s="51" t="str">
        <f>VLOOKUP(H1711,Stock_list!A:T,16,FALSE)</f>
        <v>JPY</v>
      </c>
      <c r="L1711" s="4">
        <v>43784</v>
      </c>
      <c r="M1711" s="132">
        <v>2</v>
      </c>
      <c r="P1711" s="4" t="str">
        <f>VLOOKUP(H1711,Stock_list!A:Y,25,FALSE)</f>
        <v>Yes</v>
      </c>
      <c r="Q1711" s="143"/>
      <c r="T1711" s="144"/>
      <c r="U1711" s="145" t="str">
        <f>VLOOKUP(H1711,Stock_list!A:N,14,FALSE)</f>
        <v>NOV 19</v>
      </c>
    </row>
    <row r="1712" spans="1:21" ht="16.5" customHeight="1">
      <c r="A1712" s="159" t="s">
        <v>2744</v>
      </c>
      <c r="B1712" s="114" t="str">
        <f>VLOOKUP(A1712,'Data pick slip'!B:F,5,FALSE)</f>
        <v>KHJ-MC100-00</v>
      </c>
      <c r="F1712" s="157" t="s">
        <v>2773</v>
      </c>
      <c r="H1712" s="138">
        <v>470</v>
      </c>
      <c r="I1712" s="139" t="str">
        <f>VLOOKUP(H1712,Stock_list!A:R,18,FALSE)</f>
        <v>豪恩</v>
      </c>
      <c r="J1712" s="139" t="str">
        <f>VLOOKUP(H1712,Stock_list!A:S,17,FALSE)</f>
        <v>C49SZX20190116CX</v>
      </c>
      <c r="K1712" s="51" t="str">
        <f>VLOOKUP(H1712,Stock_list!A:T,16,FALSE)</f>
        <v>RMB</v>
      </c>
      <c r="L1712" s="4">
        <v>43938</v>
      </c>
      <c r="M1712" s="132">
        <v>91</v>
      </c>
      <c r="P1712" s="4" t="str">
        <f>VLOOKUP(H1712,Stock_list!A:Y,25,FALSE)</f>
        <v>Yes</v>
      </c>
      <c r="Q1712" s="143"/>
      <c r="T1712" s="144"/>
      <c r="U1712" s="145" t="str">
        <f>VLOOKUP(H1712,Stock_list!A:N,14,FALSE)</f>
        <v>APR 20</v>
      </c>
    </row>
    <row r="1713" spans="1:21" ht="16.5" customHeight="1">
      <c r="A1713" s="159" t="s">
        <v>2747</v>
      </c>
      <c r="B1713" s="114" t="str">
        <f>VLOOKUP(A1713,'Data pick slip'!B:F,5,FALSE)</f>
        <v>KHJ-MC200-00</v>
      </c>
      <c r="F1713" s="157" t="s">
        <v>2773</v>
      </c>
      <c r="H1713" s="138">
        <v>470</v>
      </c>
      <c r="I1713" s="139" t="str">
        <f>VLOOKUP(H1713,Stock_list!A:R,18,FALSE)</f>
        <v>豪恩</v>
      </c>
      <c r="J1713" s="139" t="str">
        <f>VLOOKUP(H1713,Stock_list!A:S,17,FALSE)</f>
        <v>C49SZX20190116CX</v>
      </c>
      <c r="K1713" s="51" t="str">
        <f>VLOOKUP(H1713,Stock_list!A:T,16,FALSE)</f>
        <v>RMB</v>
      </c>
      <c r="L1713" s="4">
        <v>43938</v>
      </c>
      <c r="M1713" s="132">
        <v>18</v>
      </c>
      <c r="P1713" s="4" t="str">
        <f>VLOOKUP(H1713,Stock_list!A:Y,25,FALSE)</f>
        <v>Yes</v>
      </c>
      <c r="Q1713" s="143"/>
      <c r="T1713" s="144"/>
      <c r="U1713" s="145" t="str">
        <f>VLOOKUP(H1713,Stock_list!A:N,14,FALSE)</f>
        <v>APR 20</v>
      </c>
    </row>
    <row r="1714" spans="1:21" ht="16.5" customHeight="1">
      <c r="A1714" s="159" t="s">
        <v>2748</v>
      </c>
      <c r="B1714" s="114" t="str">
        <f>VLOOKUP(A1714,'Data pick slip'!B:F,5,FALSE)</f>
        <v>KHJ-MC400-00</v>
      </c>
      <c r="F1714" s="157" t="s">
        <v>2773</v>
      </c>
      <c r="H1714" s="138">
        <v>470</v>
      </c>
      <c r="I1714" s="139" t="str">
        <f>VLOOKUP(H1714,Stock_list!A:R,18,FALSE)</f>
        <v>豪恩</v>
      </c>
      <c r="J1714" s="139" t="str">
        <f>VLOOKUP(H1714,Stock_list!A:S,17,FALSE)</f>
        <v>C49SZX20190116CX</v>
      </c>
      <c r="K1714" s="51" t="str">
        <f>VLOOKUP(H1714,Stock_list!A:T,16,FALSE)</f>
        <v>RMB</v>
      </c>
      <c r="L1714" s="4">
        <v>43938</v>
      </c>
      <c r="M1714" s="132">
        <v>14</v>
      </c>
      <c r="P1714" s="4" t="str">
        <f>VLOOKUP(H1714,Stock_list!A:Y,25,FALSE)</f>
        <v>Yes</v>
      </c>
      <c r="Q1714" s="143"/>
      <c r="T1714" s="144"/>
      <c r="U1714" s="145" t="str">
        <f>VLOOKUP(H1714,Stock_list!A:N,14,FALSE)</f>
        <v>APR 20</v>
      </c>
    </row>
    <row r="1715" spans="1:21" ht="16.5" customHeight="1">
      <c r="A1715" s="159" t="s">
        <v>2749</v>
      </c>
      <c r="B1715" s="114" t="str">
        <f>VLOOKUP(A1715,'Data pick slip'!B:F,5,FALSE)</f>
        <v>KHJ-MC500-00</v>
      </c>
      <c r="F1715" s="157" t="s">
        <v>2773</v>
      </c>
      <c r="H1715" s="138">
        <v>470</v>
      </c>
      <c r="I1715" s="139" t="str">
        <f>VLOOKUP(H1715,Stock_list!A:R,18,FALSE)</f>
        <v>豪恩</v>
      </c>
      <c r="J1715" s="139" t="str">
        <f>VLOOKUP(H1715,Stock_list!A:S,17,FALSE)</f>
        <v>C49SZX20190116CX</v>
      </c>
      <c r="K1715" s="51" t="str">
        <f>VLOOKUP(H1715,Stock_list!A:T,16,FALSE)</f>
        <v>RMB</v>
      </c>
      <c r="L1715" s="4">
        <v>43938</v>
      </c>
      <c r="M1715" s="132">
        <v>2</v>
      </c>
      <c r="P1715" s="4" t="str">
        <f>VLOOKUP(H1715,Stock_list!A:Y,25,FALSE)</f>
        <v>Yes</v>
      </c>
      <c r="Q1715" s="143"/>
      <c r="T1715" s="144"/>
      <c r="U1715" s="145" t="str">
        <f>VLOOKUP(H1715,Stock_list!A:N,14,FALSE)</f>
        <v>APR 20</v>
      </c>
    </row>
    <row r="1716" spans="1:21" ht="16.5" customHeight="1">
      <c r="A1716" s="159" t="s">
        <v>2750</v>
      </c>
      <c r="B1716" s="114" t="str">
        <f>VLOOKUP(A1716,'Data pick slip'!B:F,5,FALSE)</f>
        <v>KHJ-MC600-00</v>
      </c>
      <c r="F1716" s="157" t="s">
        <v>2773</v>
      </c>
      <c r="H1716" s="138">
        <v>470</v>
      </c>
      <c r="I1716" s="139" t="str">
        <f>VLOOKUP(H1716,Stock_list!A:R,18,FALSE)</f>
        <v>豪恩</v>
      </c>
      <c r="J1716" s="139" t="str">
        <f>VLOOKUP(H1716,Stock_list!A:S,17,FALSE)</f>
        <v>C49SZX20190116CX</v>
      </c>
      <c r="K1716" s="51" t="str">
        <f>VLOOKUP(H1716,Stock_list!A:T,16,FALSE)</f>
        <v>RMB</v>
      </c>
      <c r="L1716" s="4">
        <v>43938</v>
      </c>
      <c r="M1716" s="132">
        <v>2</v>
      </c>
      <c r="P1716" s="4" t="str">
        <f>VLOOKUP(H1716,Stock_list!A:Y,25,FALSE)</f>
        <v>Yes</v>
      </c>
      <c r="Q1716" s="143"/>
      <c r="T1716" s="144"/>
      <c r="U1716" s="145" t="str">
        <f>VLOOKUP(H1716,Stock_list!A:N,14,FALSE)</f>
        <v>APR 20</v>
      </c>
    </row>
    <row r="1717" spans="1:21" ht="16.5" customHeight="1">
      <c r="A1717" s="159" t="s">
        <v>2744</v>
      </c>
      <c r="B1717" s="114" t="str">
        <f>VLOOKUP(A1717,'Data pick slip'!B:F,5,FALSE)</f>
        <v>KHJ-MC100-00</v>
      </c>
      <c r="F1717" s="157" t="s">
        <v>2861</v>
      </c>
      <c r="H1717" s="138">
        <v>474</v>
      </c>
      <c r="I1717" s="139" t="str">
        <f>VLOOKUP(H1717,Stock_list!A:R,18,FALSE)</f>
        <v>锘铧</v>
      </c>
      <c r="J1717" s="139" t="str">
        <f>VLOOKUP(H1717,Stock_list!A:S,17,FALSE)</f>
        <v>C49SZX20190156-1ZX</v>
      </c>
      <c r="K1717" s="51" t="str">
        <f>VLOOKUP(H1717,Stock_list!A:T,16,FALSE)</f>
        <v>JPY</v>
      </c>
      <c r="L1717" s="4">
        <v>43823</v>
      </c>
      <c r="M1717" s="132">
        <v>100</v>
      </c>
      <c r="P1717" s="4" t="str">
        <f>VLOOKUP(H1717,Stock_list!A:Y,25,FALSE)</f>
        <v>Yes</v>
      </c>
      <c r="Q1717" s="143"/>
      <c r="T1717" s="144"/>
      <c r="U1717" s="145" t="str">
        <f>VLOOKUP(H1717,Stock_list!A:N,14,FALSE)</f>
        <v>DEC 19</v>
      </c>
    </row>
    <row r="1718" spans="1:21" ht="16.5" customHeight="1">
      <c r="A1718" s="159" t="s">
        <v>2747</v>
      </c>
      <c r="B1718" s="114" t="str">
        <f>VLOOKUP(A1718,'Data pick slip'!B:F,5,FALSE)</f>
        <v>KHJ-MC200-00</v>
      </c>
      <c r="F1718" s="157" t="s">
        <v>2861</v>
      </c>
      <c r="H1718" s="138">
        <v>474</v>
      </c>
      <c r="I1718" s="139" t="str">
        <f>VLOOKUP(H1718,Stock_list!A:R,18,FALSE)</f>
        <v>锘铧</v>
      </c>
      <c r="J1718" s="139" t="str">
        <f>VLOOKUP(H1718,Stock_list!A:S,17,FALSE)</f>
        <v>C49SZX20190156-1ZX</v>
      </c>
      <c r="K1718" s="51" t="str">
        <f>VLOOKUP(H1718,Stock_list!A:T,16,FALSE)</f>
        <v>JPY</v>
      </c>
      <c r="L1718" s="4">
        <v>43823</v>
      </c>
      <c r="M1718" s="132">
        <v>15</v>
      </c>
      <c r="P1718" s="4" t="str">
        <f>VLOOKUP(H1718,Stock_list!A:Y,25,FALSE)</f>
        <v>Yes</v>
      </c>
      <c r="Q1718" s="143"/>
      <c r="T1718" s="144"/>
      <c r="U1718" s="145" t="str">
        <f>VLOOKUP(H1718,Stock_list!A:N,14,FALSE)</f>
        <v>DEC 19</v>
      </c>
    </row>
    <row r="1719" spans="1:21" ht="16.5" customHeight="1">
      <c r="A1719" s="159" t="s">
        <v>2748</v>
      </c>
      <c r="B1719" s="114" t="str">
        <f>VLOOKUP(A1719,'Data pick slip'!B:F,5,FALSE)</f>
        <v>KHJ-MC400-00</v>
      </c>
      <c r="F1719" s="157" t="s">
        <v>2861</v>
      </c>
      <c r="H1719" s="138">
        <v>474</v>
      </c>
      <c r="I1719" s="139" t="str">
        <f>VLOOKUP(H1719,Stock_list!A:R,18,FALSE)</f>
        <v>锘铧</v>
      </c>
      <c r="J1719" s="139" t="str">
        <f>VLOOKUP(H1719,Stock_list!A:S,17,FALSE)</f>
        <v>C49SZX20190156-1ZX</v>
      </c>
      <c r="K1719" s="51" t="str">
        <f>VLOOKUP(H1719,Stock_list!A:T,16,FALSE)</f>
        <v>JPY</v>
      </c>
      <c r="L1719" s="4">
        <v>43823</v>
      </c>
      <c r="M1719" s="132">
        <v>5</v>
      </c>
      <c r="P1719" s="4" t="str">
        <f>VLOOKUP(H1719,Stock_list!A:Y,25,FALSE)</f>
        <v>Yes</v>
      </c>
      <c r="Q1719" s="143"/>
      <c r="T1719" s="144"/>
      <c r="U1719" s="145" t="str">
        <f>VLOOKUP(H1719,Stock_list!A:N,14,FALSE)</f>
        <v>DEC 19</v>
      </c>
    </row>
    <row r="1720" spans="1:21" ht="16.5" customHeight="1">
      <c r="A1720" s="159" t="s">
        <v>2749</v>
      </c>
      <c r="B1720" s="114" t="str">
        <f>VLOOKUP(A1720,'Data pick slip'!B:F,5,FALSE)</f>
        <v>KHJ-MC500-00</v>
      </c>
      <c r="F1720" s="157" t="s">
        <v>2861</v>
      </c>
      <c r="H1720" s="138">
        <v>474</v>
      </c>
      <c r="I1720" s="139" t="str">
        <f>VLOOKUP(H1720,Stock_list!A:R,18,FALSE)</f>
        <v>锘铧</v>
      </c>
      <c r="J1720" s="139" t="str">
        <f>VLOOKUP(H1720,Stock_list!A:S,17,FALSE)</f>
        <v>C49SZX20190156-1ZX</v>
      </c>
      <c r="K1720" s="51" t="str">
        <f>VLOOKUP(H1720,Stock_list!A:T,16,FALSE)</f>
        <v>JPY</v>
      </c>
      <c r="L1720" s="4">
        <v>43823</v>
      </c>
      <c r="M1720" s="132">
        <v>1</v>
      </c>
      <c r="P1720" s="4" t="str">
        <f>VLOOKUP(H1720,Stock_list!A:Y,25,FALSE)</f>
        <v>Yes</v>
      </c>
      <c r="Q1720" s="143"/>
      <c r="T1720" s="144"/>
      <c r="U1720" s="145" t="str">
        <f>VLOOKUP(H1720,Stock_list!A:N,14,FALSE)</f>
        <v>DEC 19</v>
      </c>
    </row>
    <row r="1721" spans="1:21" ht="16.5" customHeight="1">
      <c r="A1721" s="159" t="s">
        <v>2744</v>
      </c>
      <c r="B1721" s="114" t="str">
        <f>VLOOKUP(A1721,'Data pick slip'!B:F,5,FALSE)</f>
        <v>KHJ-MC100-00</v>
      </c>
      <c r="F1721" s="157" t="s">
        <v>2861</v>
      </c>
      <c r="H1721" s="138">
        <v>475</v>
      </c>
      <c r="I1721" s="139" t="str">
        <f>VLOOKUP(H1721,Stock_list!A:R,18,FALSE)</f>
        <v>锘铧</v>
      </c>
      <c r="J1721" s="139" t="str">
        <f>VLOOKUP(H1721,Stock_list!A:S,17,FALSE)</f>
        <v>C49SZX20190156-2ZX</v>
      </c>
      <c r="K1721" s="51" t="str">
        <f>VLOOKUP(H1721,Stock_list!A:T,16,FALSE)</f>
        <v>JPY</v>
      </c>
      <c r="L1721" s="4">
        <v>43886</v>
      </c>
      <c r="M1721" s="140">
        <f>140+60</f>
        <v>200</v>
      </c>
      <c r="P1721" s="4" t="str">
        <f>VLOOKUP(H1721,Stock_list!A:Y,25,FALSE)</f>
        <v>Yes</v>
      </c>
      <c r="Q1721" s="143"/>
      <c r="T1721" s="144"/>
      <c r="U1721" s="145" t="str">
        <f>VLOOKUP(H1721,Stock_list!A:N,14,FALSE)</f>
        <v>FEB 20</v>
      </c>
    </row>
    <row r="1722" spans="1:21" ht="16.5" customHeight="1">
      <c r="A1722" s="159" t="s">
        <v>2747</v>
      </c>
      <c r="B1722" s="114" t="str">
        <f>VLOOKUP(A1722,'Data pick slip'!B:F,5,FALSE)</f>
        <v>KHJ-MC200-00</v>
      </c>
      <c r="F1722" s="157" t="s">
        <v>2861</v>
      </c>
      <c r="H1722" s="138">
        <v>475</v>
      </c>
      <c r="I1722" s="139" t="str">
        <f>VLOOKUP(H1722,Stock_list!A:R,18,FALSE)</f>
        <v>锘铧</v>
      </c>
      <c r="J1722" s="139" t="str">
        <f>VLOOKUP(H1722,Stock_list!A:S,17,FALSE)</f>
        <v>C49SZX20190156-2ZX</v>
      </c>
      <c r="K1722" s="51" t="str">
        <f>VLOOKUP(H1722,Stock_list!A:T,16,FALSE)</f>
        <v>JPY</v>
      </c>
      <c r="L1722" s="4">
        <v>43886</v>
      </c>
      <c r="M1722" s="140">
        <v>13</v>
      </c>
      <c r="P1722" s="4" t="str">
        <f>VLOOKUP(H1722,Stock_list!A:Y,25,FALSE)</f>
        <v>Yes</v>
      </c>
      <c r="Q1722" s="143"/>
      <c r="T1722" s="144"/>
      <c r="U1722" s="145" t="str">
        <f>VLOOKUP(H1722,Stock_list!A:N,14,FALSE)</f>
        <v>FEB 20</v>
      </c>
    </row>
    <row r="1723" spans="1:21" ht="16.5" customHeight="1">
      <c r="A1723" s="159" t="s">
        <v>2748</v>
      </c>
      <c r="B1723" s="114" t="str">
        <f>VLOOKUP(A1723,'Data pick slip'!B:F,5,FALSE)</f>
        <v>KHJ-MC400-00</v>
      </c>
      <c r="F1723" s="157" t="s">
        <v>2861</v>
      </c>
      <c r="H1723" s="138">
        <v>475</v>
      </c>
      <c r="I1723" s="139" t="str">
        <f>VLOOKUP(H1723,Stock_list!A:R,18,FALSE)</f>
        <v>锘铧</v>
      </c>
      <c r="J1723" s="139" t="str">
        <f>VLOOKUP(H1723,Stock_list!A:S,17,FALSE)</f>
        <v>C49SZX20190156-2ZX</v>
      </c>
      <c r="K1723" s="51" t="str">
        <f>VLOOKUP(H1723,Stock_list!A:T,16,FALSE)</f>
        <v>JPY</v>
      </c>
      <c r="L1723" s="4">
        <v>43886</v>
      </c>
      <c r="M1723" s="140">
        <v>4</v>
      </c>
      <c r="P1723" s="4" t="str">
        <f>VLOOKUP(H1723,Stock_list!A:Y,25,FALSE)</f>
        <v>Yes</v>
      </c>
      <c r="Q1723" s="143"/>
      <c r="T1723" s="144"/>
      <c r="U1723" s="145" t="str">
        <f>VLOOKUP(H1723,Stock_list!A:N,14,FALSE)</f>
        <v>FEB 20</v>
      </c>
    </row>
    <row r="1724" spans="1:21" ht="16.5" customHeight="1">
      <c r="A1724" s="159" t="s">
        <v>2744</v>
      </c>
      <c r="B1724" s="114" t="str">
        <f>VLOOKUP(A1724,'Data pick slip'!B:F,5,FALSE)</f>
        <v>KHJ-MC100-00</v>
      </c>
      <c r="F1724" s="157" t="s">
        <v>2861</v>
      </c>
      <c r="I1724" s="139" t="s">
        <v>3015</v>
      </c>
      <c r="J1724" s="139" t="s">
        <v>3191</v>
      </c>
      <c r="K1724" s="51" t="s">
        <v>1246</v>
      </c>
      <c r="L1724" s="4">
        <v>43777</v>
      </c>
      <c r="M1724" s="140">
        <v>100</v>
      </c>
      <c r="P1724" s="4" t="s">
        <v>291</v>
      </c>
      <c r="Q1724" s="143"/>
      <c r="T1724" s="144"/>
      <c r="U1724" s="145" t="e">
        <f>VLOOKUP(H1724,Stock_list!A:N,14,FALSE)</f>
        <v>#N/A</v>
      </c>
    </row>
    <row r="1725" spans="1:21" ht="16.5" customHeight="1">
      <c r="A1725" s="159" t="s">
        <v>2747</v>
      </c>
      <c r="B1725" s="114" t="str">
        <f>VLOOKUP(A1725,'Data pick slip'!B:F,5,FALSE)</f>
        <v>KHJ-MC200-00</v>
      </c>
      <c r="F1725" s="157" t="s">
        <v>2861</v>
      </c>
      <c r="I1725" s="139" t="s">
        <v>3015</v>
      </c>
      <c r="J1725" s="139" t="s">
        <v>3191</v>
      </c>
      <c r="K1725" s="51" t="s">
        <v>1246</v>
      </c>
      <c r="L1725" s="4">
        <v>43777</v>
      </c>
      <c r="M1725" s="140">
        <v>40</v>
      </c>
      <c r="P1725" s="4" t="s">
        <v>291</v>
      </c>
      <c r="Q1725" s="143"/>
      <c r="T1725" s="144"/>
      <c r="U1725" s="145" t="e">
        <f>VLOOKUP(H1725,Stock_list!A:N,14,FALSE)</f>
        <v>#N/A</v>
      </c>
    </row>
    <row r="1726" spans="1:21" ht="16.5" customHeight="1">
      <c r="A1726" s="159" t="s">
        <v>2748</v>
      </c>
      <c r="B1726" s="114" t="str">
        <f>VLOOKUP(A1726,'Data pick slip'!B:F,5,FALSE)</f>
        <v>KHJ-MC400-00</v>
      </c>
      <c r="F1726" s="157" t="s">
        <v>2773</v>
      </c>
      <c r="I1726" s="139" t="s">
        <v>2853</v>
      </c>
      <c r="J1726" s="139" t="s">
        <v>3192</v>
      </c>
      <c r="K1726" s="51" t="s">
        <v>3002</v>
      </c>
      <c r="L1726" s="4">
        <v>43780</v>
      </c>
      <c r="M1726" s="140">
        <v>1</v>
      </c>
      <c r="P1726" s="4" t="s">
        <v>291</v>
      </c>
      <c r="Q1726" s="143"/>
      <c r="S1726" s="123" t="s">
        <v>3003</v>
      </c>
      <c r="T1726" s="144" t="s">
        <v>3193</v>
      </c>
      <c r="U1726" s="145" t="e">
        <f>VLOOKUP(H1726,Stock_list!A:N,14,FALSE)</f>
        <v>#N/A</v>
      </c>
    </row>
    <row r="1727" spans="1:21" ht="16.5" customHeight="1">
      <c r="A1727" s="159" t="s">
        <v>2744</v>
      </c>
      <c r="B1727" s="114" t="str">
        <f>VLOOKUP(A1727,'Data pick slip'!B:F,5,FALSE)</f>
        <v>KHJ-MC100-00</v>
      </c>
      <c r="F1727" s="157" t="s">
        <v>2773</v>
      </c>
      <c r="I1727" s="139" t="s">
        <v>3099</v>
      </c>
      <c r="J1727" s="139" t="s">
        <v>3194</v>
      </c>
      <c r="K1727" s="51" t="s">
        <v>1246</v>
      </c>
      <c r="L1727" s="4">
        <v>43777</v>
      </c>
      <c r="M1727" s="140">
        <v>3</v>
      </c>
      <c r="P1727" s="4" t="s">
        <v>291</v>
      </c>
      <c r="Q1727" s="143"/>
      <c r="T1727" s="144"/>
      <c r="U1727" s="145" t="e">
        <f>VLOOKUP(H1727,Stock_list!A:N,14,FALSE)</f>
        <v>#N/A</v>
      </c>
    </row>
    <row r="1728" spans="1:21" ht="16.5" customHeight="1">
      <c r="A1728" s="159" t="s">
        <v>2747</v>
      </c>
      <c r="B1728" s="114" t="str">
        <f>VLOOKUP(A1728,'Data pick slip'!B:F,5,FALSE)</f>
        <v>KHJ-MC200-00</v>
      </c>
      <c r="F1728" s="157" t="s">
        <v>2773</v>
      </c>
      <c r="I1728" s="139" t="s">
        <v>3099</v>
      </c>
      <c r="J1728" s="139" t="s">
        <v>3194</v>
      </c>
      <c r="K1728" s="51" t="s">
        <v>1246</v>
      </c>
      <c r="L1728" s="4">
        <v>43777</v>
      </c>
      <c r="M1728" s="140">
        <v>2</v>
      </c>
      <c r="P1728" s="4" t="s">
        <v>291</v>
      </c>
      <c r="Q1728" s="143"/>
      <c r="T1728" s="144"/>
      <c r="U1728" s="145" t="e">
        <f>VLOOKUP(H1728,Stock_list!A:N,14,FALSE)</f>
        <v>#N/A</v>
      </c>
    </row>
    <row r="1729" spans="1:21" ht="16.5" customHeight="1">
      <c r="A1729" s="159" t="s">
        <v>2747</v>
      </c>
      <c r="B1729" s="114" t="str">
        <f>VLOOKUP(A1729,'Data pick slip'!B:F,5,FALSE)</f>
        <v>KHJ-MC200-00</v>
      </c>
      <c r="F1729" s="157" t="s">
        <v>2773</v>
      </c>
      <c r="I1729" s="139" t="s">
        <v>3099</v>
      </c>
      <c r="J1729" s="139" t="s">
        <v>3195</v>
      </c>
      <c r="K1729" s="51" t="s">
        <v>1246</v>
      </c>
      <c r="L1729" s="4">
        <v>43780</v>
      </c>
      <c r="M1729" s="140">
        <v>5</v>
      </c>
      <c r="P1729" s="4" t="s">
        <v>291</v>
      </c>
      <c r="Q1729" s="143"/>
      <c r="T1729" s="144"/>
      <c r="U1729" s="145" t="e">
        <f>VLOOKUP(H1729,Stock_list!A:N,14,FALSE)</f>
        <v>#N/A</v>
      </c>
    </row>
    <row r="1730" spans="1:21" ht="16.5" customHeight="1">
      <c r="A1730" s="159" t="s">
        <v>2744</v>
      </c>
      <c r="B1730" s="114" t="str">
        <f>VLOOKUP(A1730,'Data pick slip'!B:F,5,FALSE)</f>
        <v>KHJ-MC100-00</v>
      </c>
      <c r="F1730" s="157" t="s">
        <v>2861</v>
      </c>
      <c r="H1730" s="138">
        <v>499</v>
      </c>
      <c r="I1730" s="139" t="str">
        <f>VLOOKUP(H1730,Stock_list!A:R,18,FALSE)</f>
        <v>灿明</v>
      </c>
      <c r="J1730" s="139" t="str">
        <f>VLOOKUP(H1730,Stock_list!A:S,17,FALSE)</f>
        <v>C49SZX20190163JY</v>
      </c>
      <c r="K1730" s="51" t="str">
        <f>VLOOKUP(H1730,Stock_list!A:T,16,FALSE)</f>
        <v>JPY</v>
      </c>
      <c r="L1730" s="4">
        <v>43822</v>
      </c>
      <c r="M1730" s="140">
        <v>140</v>
      </c>
      <c r="P1730" s="4" t="str">
        <f>VLOOKUP(H1730,Stock_list!A:Y,25,FALSE)</f>
        <v>Yes</v>
      </c>
      <c r="Q1730" s="143"/>
      <c r="T1730" s="144"/>
      <c r="U1730" s="145" t="str">
        <f>VLOOKUP(H1730,Stock_list!A:N,14,FALSE)</f>
        <v>DEC 19</v>
      </c>
    </row>
    <row r="1731" spans="1:21" ht="16.5" customHeight="1">
      <c r="A1731" s="159" t="s">
        <v>2747</v>
      </c>
      <c r="B1731" s="114" t="str">
        <f>VLOOKUP(A1731,'Data pick slip'!B:F,5,FALSE)</f>
        <v>KHJ-MC200-00</v>
      </c>
      <c r="F1731" s="157" t="s">
        <v>2861</v>
      </c>
      <c r="H1731" s="138">
        <v>499</v>
      </c>
      <c r="I1731" s="139" t="str">
        <f>VLOOKUP(H1731,Stock_list!A:R,18,FALSE)</f>
        <v>灿明</v>
      </c>
      <c r="J1731" s="139" t="str">
        <f>VLOOKUP(H1731,Stock_list!A:S,17,FALSE)</f>
        <v>C49SZX20190163JY</v>
      </c>
      <c r="K1731" s="51" t="str">
        <f>VLOOKUP(H1731,Stock_list!A:T,16,FALSE)</f>
        <v>JPY</v>
      </c>
      <c r="L1731" s="4">
        <v>43881</v>
      </c>
      <c r="M1731" s="140">
        <v>10</v>
      </c>
      <c r="P1731" s="4" t="str">
        <f>VLOOKUP(H1731,Stock_list!A:Y,25,FALSE)</f>
        <v>Yes</v>
      </c>
      <c r="Q1731" s="143"/>
      <c r="T1731" s="144"/>
      <c r="U1731" s="145" t="str">
        <f>VLOOKUP(H1731,Stock_list!A:N,14,FALSE)</f>
        <v>DEC 19</v>
      </c>
    </row>
    <row r="1732" spans="1:21" ht="16.5" customHeight="1">
      <c r="A1732" s="159" t="s">
        <v>2747</v>
      </c>
      <c r="B1732" s="114" t="str">
        <f>VLOOKUP(A1732,'Data pick slip'!B:F,5,FALSE)</f>
        <v>KHJ-MC200-00</v>
      </c>
      <c r="F1732" s="157" t="s">
        <v>2773</v>
      </c>
      <c r="I1732" s="139" t="s">
        <v>3093</v>
      </c>
      <c r="J1732" s="139" t="s">
        <v>3196</v>
      </c>
      <c r="K1732" s="51" t="s">
        <v>1246</v>
      </c>
      <c r="L1732" s="4">
        <v>43783</v>
      </c>
      <c r="M1732" s="140">
        <v>2</v>
      </c>
      <c r="P1732" s="4" t="s">
        <v>291</v>
      </c>
      <c r="Q1732" s="143"/>
      <c r="T1732" s="144"/>
      <c r="U1732" s="145" t="e">
        <f>VLOOKUP(H1732,Stock_list!A:N,14,FALSE)</f>
        <v>#N/A</v>
      </c>
    </row>
    <row r="1733" spans="1:21" ht="16.5" customHeight="1">
      <c r="A1733" s="159" t="s">
        <v>2744</v>
      </c>
      <c r="B1733" s="114" t="str">
        <f>VLOOKUP(A1733,'Data pick slip'!B:F,5,FALSE)</f>
        <v>KHJ-MC100-00</v>
      </c>
      <c r="F1733" s="157" t="s">
        <v>2861</v>
      </c>
      <c r="H1733" s="138">
        <v>528</v>
      </c>
      <c r="I1733" s="139" t="str">
        <f>VLOOKUP(H1733,Stock_list!A:R,18,FALSE)</f>
        <v>新明海</v>
      </c>
      <c r="J1733" s="139" t="str">
        <f>VLOOKUP(H1733,Stock_list!A:S,17,FALSE)</f>
        <v>C49SZX20190160R1ZX</v>
      </c>
      <c r="K1733" s="51" t="str">
        <f>VLOOKUP(H1733,Stock_list!A:T,16,FALSE)</f>
        <v>JPY</v>
      </c>
      <c r="L1733" s="4">
        <v>43902</v>
      </c>
      <c r="M1733" s="132">
        <v>37</v>
      </c>
      <c r="P1733" s="4" t="str">
        <f>VLOOKUP(H1733,Stock_list!A:Y,25,FALSE)</f>
        <v>Yes</v>
      </c>
      <c r="Q1733" s="143"/>
      <c r="T1733" s="144"/>
      <c r="U1733" s="145" t="str">
        <f>VLOOKUP(H1733,Stock_list!A:N,14,FALSE)</f>
        <v>MAR 20</v>
      </c>
    </row>
    <row r="1734" spans="1:21" ht="16.5" customHeight="1">
      <c r="A1734" s="159" t="s">
        <v>2747</v>
      </c>
      <c r="B1734" s="114" t="str">
        <f>VLOOKUP(A1734,'Data pick slip'!B:F,5,FALSE)</f>
        <v>KHJ-MC200-00</v>
      </c>
      <c r="F1734" s="157" t="s">
        <v>2861</v>
      </c>
      <c r="H1734" s="138">
        <v>528</v>
      </c>
      <c r="I1734" s="139" t="str">
        <f>VLOOKUP(H1734,Stock_list!A:R,18,FALSE)</f>
        <v>新明海</v>
      </c>
      <c r="J1734" s="139" t="str">
        <f>VLOOKUP(H1734,Stock_list!A:S,17,FALSE)</f>
        <v>C49SZX20190160R1ZX</v>
      </c>
      <c r="K1734" s="51" t="str">
        <f>VLOOKUP(H1734,Stock_list!A:T,16,FALSE)</f>
        <v>JPY</v>
      </c>
      <c r="L1734" s="4">
        <v>43902</v>
      </c>
      <c r="M1734" s="132">
        <v>14</v>
      </c>
      <c r="P1734" s="4" t="str">
        <f>VLOOKUP(H1734,Stock_list!A:Y,25,FALSE)</f>
        <v>Yes</v>
      </c>
      <c r="Q1734" s="143"/>
      <c r="T1734" s="144"/>
      <c r="U1734" s="145" t="str">
        <f>VLOOKUP(H1734,Stock_list!A:N,14,FALSE)</f>
        <v>MAR 20</v>
      </c>
    </row>
    <row r="1735" spans="1:21" ht="16.5" customHeight="1">
      <c r="A1735" s="159" t="s">
        <v>2748</v>
      </c>
      <c r="B1735" s="114" t="str">
        <f>VLOOKUP(A1735,'Data pick slip'!B:F,5,FALSE)</f>
        <v>KHJ-MC400-00</v>
      </c>
      <c r="F1735" s="157" t="s">
        <v>2861</v>
      </c>
      <c r="H1735" s="138">
        <v>528</v>
      </c>
      <c r="I1735" s="139" t="str">
        <f>VLOOKUP(H1735,Stock_list!A:R,18,FALSE)</f>
        <v>新明海</v>
      </c>
      <c r="J1735" s="139" t="str">
        <f>VLOOKUP(H1735,Stock_list!A:S,17,FALSE)</f>
        <v>C49SZX20190160R1ZX</v>
      </c>
      <c r="K1735" s="51" t="str">
        <f>VLOOKUP(H1735,Stock_list!A:T,16,FALSE)</f>
        <v>JPY</v>
      </c>
      <c r="L1735" s="4">
        <v>43902</v>
      </c>
      <c r="M1735" s="132">
        <v>8</v>
      </c>
      <c r="P1735" s="4" t="str">
        <f>VLOOKUP(H1735,Stock_list!A:Y,25,FALSE)</f>
        <v>Yes</v>
      </c>
      <c r="Q1735" s="143"/>
      <c r="T1735" s="144"/>
      <c r="U1735" s="145" t="str">
        <f>VLOOKUP(H1735,Stock_list!A:N,14,FALSE)</f>
        <v>MAR 20</v>
      </c>
    </row>
    <row r="1736" spans="1:21" ht="16.5" customHeight="1">
      <c r="A1736" s="159" t="s">
        <v>2749</v>
      </c>
      <c r="B1736" s="114" t="str">
        <f>VLOOKUP(A1736,'Data pick slip'!B:F,5,FALSE)</f>
        <v>KHJ-MC500-00</v>
      </c>
      <c r="F1736" s="157" t="s">
        <v>2861</v>
      </c>
      <c r="H1736" s="138">
        <v>528</v>
      </c>
      <c r="I1736" s="139" t="str">
        <f>VLOOKUP(H1736,Stock_list!A:R,18,FALSE)</f>
        <v>新明海</v>
      </c>
      <c r="J1736" s="139" t="str">
        <f>VLOOKUP(H1736,Stock_list!A:S,17,FALSE)</f>
        <v>C49SZX20190160R1ZX</v>
      </c>
      <c r="K1736" s="51" t="str">
        <f>VLOOKUP(H1736,Stock_list!A:T,16,FALSE)</f>
        <v>JPY</v>
      </c>
      <c r="L1736" s="4">
        <v>43902</v>
      </c>
      <c r="M1736" s="132">
        <v>1</v>
      </c>
      <c r="P1736" s="4" t="str">
        <f>VLOOKUP(H1736,Stock_list!A:Y,25,FALSE)</f>
        <v>Yes</v>
      </c>
      <c r="Q1736" s="143"/>
      <c r="T1736" s="144"/>
      <c r="U1736" s="145" t="str">
        <f>VLOOKUP(H1736,Stock_list!A:N,14,FALSE)</f>
        <v>MAR 20</v>
      </c>
    </row>
    <row r="1737" spans="1:21" ht="16.5" customHeight="1">
      <c r="A1737" s="159" t="s">
        <v>2750</v>
      </c>
      <c r="B1737" s="114" t="str">
        <f>VLOOKUP(A1737,'Data pick slip'!B:F,5,FALSE)</f>
        <v>KHJ-MC600-00</v>
      </c>
      <c r="F1737" s="157" t="s">
        <v>2861</v>
      </c>
      <c r="H1737" s="138">
        <v>528</v>
      </c>
      <c r="I1737" s="139" t="str">
        <f>VLOOKUP(H1737,Stock_list!A:R,18,FALSE)</f>
        <v>新明海</v>
      </c>
      <c r="J1737" s="139" t="str">
        <f>VLOOKUP(H1737,Stock_list!A:S,17,FALSE)</f>
        <v>C49SZX20190160R1ZX</v>
      </c>
      <c r="K1737" s="51" t="str">
        <f>VLOOKUP(H1737,Stock_list!A:T,16,FALSE)</f>
        <v>JPY</v>
      </c>
      <c r="L1737" s="4">
        <v>43902</v>
      </c>
      <c r="M1737" s="132">
        <v>2</v>
      </c>
      <c r="P1737" s="4" t="str">
        <f>VLOOKUP(H1737,Stock_list!A:Y,25,FALSE)</f>
        <v>Yes</v>
      </c>
      <c r="Q1737" s="143"/>
      <c r="T1737" s="144"/>
      <c r="U1737" s="145" t="str">
        <f>VLOOKUP(H1737,Stock_list!A:N,14,FALSE)</f>
        <v>MAR 20</v>
      </c>
    </row>
    <row r="1738" spans="1:21" ht="16.5" customHeight="1">
      <c r="A1738" s="159" t="s">
        <v>2744</v>
      </c>
      <c r="B1738" s="114" t="str">
        <f>VLOOKUP(A1738,'Data pick slip'!B:F,5,FALSE)</f>
        <v>KHJ-MC100-00</v>
      </c>
      <c r="F1738" s="157" t="s">
        <v>2861</v>
      </c>
      <c r="H1738" s="138">
        <v>510</v>
      </c>
      <c r="I1738" s="139" t="str">
        <f>VLOOKUP(H1738,Stock_list!A:R,18,FALSE)</f>
        <v>乐上</v>
      </c>
      <c r="J1738" s="139" t="str">
        <f>VLOOKUP(H1738,Stock_list!A:S,17,FALSE)</f>
        <v>C49SZX20190617SS</v>
      </c>
      <c r="K1738" s="51" t="str">
        <f>VLOOKUP(H1738,Stock_list!A:T,16,FALSE)</f>
        <v>JPY</v>
      </c>
      <c r="L1738" s="4">
        <v>43795</v>
      </c>
      <c r="M1738" s="132">
        <v>19</v>
      </c>
      <c r="P1738" s="4" t="str">
        <f>VLOOKUP(H1738,Stock_list!A:Y,25,FALSE)</f>
        <v>Yes</v>
      </c>
      <c r="Q1738" s="143"/>
      <c r="T1738" s="144"/>
      <c r="U1738" s="145" t="str">
        <f>VLOOKUP(H1738,Stock_list!A:N,14,FALSE)</f>
        <v>NOV 19</v>
      </c>
    </row>
    <row r="1739" spans="1:21" ht="16.5" customHeight="1">
      <c r="A1739" s="159" t="s">
        <v>2747</v>
      </c>
      <c r="B1739" s="114" t="str">
        <f>VLOOKUP(A1739,'Data pick slip'!B:F,5,FALSE)</f>
        <v>KHJ-MC200-00</v>
      </c>
      <c r="F1739" s="157" t="s">
        <v>2861</v>
      </c>
      <c r="H1739" s="138">
        <v>510</v>
      </c>
      <c r="I1739" s="139" t="str">
        <f>VLOOKUP(H1739,Stock_list!A:R,18,FALSE)</f>
        <v>乐上</v>
      </c>
      <c r="J1739" s="139" t="str">
        <f>VLOOKUP(H1739,Stock_list!A:S,17,FALSE)</f>
        <v>C49SZX20190617SS</v>
      </c>
      <c r="K1739" s="51" t="str">
        <f>VLOOKUP(H1739,Stock_list!A:T,16,FALSE)</f>
        <v>JPY</v>
      </c>
      <c r="L1739" s="4">
        <v>43795</v>
      </c>
      <c r="M1739" s="132">
        <v>2</v>
      </c>
      <c r="P1739" s="4" t="str">
        <f>VLOOKUP(H1739,Stock_list!A:Y,25,FALSE)</f>
        <v>Yes</v>
      </c>
      <c r="Q1739" s="143"/>
      <c r="T1739" s="144"/>
      <c r="U1739" s="145" t="str">
        <f>VLOOKUP(H1739,Stock_list!A:N,14,FALSE)</f>
        <v>NOV 19</v>
      </c>
    </row>
    <row r="1740" spans="1:21" ht="16.5" customHeight="1">
      <c r="A1740" s="159" t="s">
        <v>2748</v>
      </c>
      <c r="B1740" s="114" t="str">
        <f>VLOOKUP(A1740,'Data pick slip'!B:F,5,FALSE)</f>
        <v>KHJ-MC400-00</v>
      </c>
      <c r="F1740" s="157" t="s">
        <v>2861</v>
      </c>
      <c r="H1740" s="138">
        <v>510</v>
      </c>
      <c r="I1740" s="139" t="str">
        <f>VLOOKUP(H1740,Stock_list!A:R,18,FALSE)</f>
        <v>乐上</v>
      </c>
      <c r="J1740" s="139" t="str">
        <f>VLOOKUP(H1740,Stock_list!A:S,17,FALSE)</f>
        <v>C49SZX20190617SS</v>
      </c>
      <c r="K1740" s="51" t="str">
        <f>VLOOKUP(H1740,Stock_list!A:T,16,FALSE)</f>
        <v>JPY</v>
      </c>
      <c r="L1740" s="4">
        <v>43795</v>
      </c>
      <c r="M1740" s="132">
        <v>2</v>
      </c>
      <c r="P1740" s="4" t="str">
        <f>VLOOKUP(H1740,Stock_list!A:Y,25,FALSE)</f>
        <v>Yes</v>
      </c>
      <c r="Q1740" s="143"/>
      <c r="T1740" s="144"/>
      <c r="U1740" s="145" t="str">
        <f>VLOOKUP(H1740,Stock_list!A:N,14,FALSE)</f>
        <v>NOV 19</v>
      </c>
    </row>
    <row r="1741" spans="1:21" ht="16.5" customHeight="1">
      <c r="A1741" s="159" t="s">
        <v>2744</v>
      </c>
      <c r="B1741" s="114" t="str">
        <f>VLOOKUP(A1741,'Data pick slip'!B:F,5,FALSE)</f>
        <v>KHJ-MC100-00</v>
      </c>
      <c r="F1741" s="157" t="s">
        <v>2773</v>
      </c>
      <c r="I1741" s="139" t="s">
        <v>3099</v>
      </c>
      <c r="J1741" s="139" t="s">
        <v>3197</v>
      </c>
      <c r="K1741" s="51" t="s">
        <v>1246</v>
      </c>
      <c r="L1741" s="4">
        <v>43784</v>
      </c>
      <c r="M1741" s="140">
        <v>50</v>
      </c>
      <c r="P1741" s="4" t="s">
        <v>291</v>
      </c>
      <c r="Q1741" s="143"/>
      <c r="T1741" s="144"/>
      <c r="U1741" s="145" t="e">
        <f>VLOOKUP(H1741,Stock_list!A:N,14,FALSE)</f>
        <v>#N/A</v>
      </c>
    </row>
    <row r="1742" spans="1:21" ht="16.5" customHeight="1">
      <c r="A1742" s="159" t="s">
        <v>2747</v>
      </c>
      <c r="B1742" s="114" t="str">
        <f>VLOOKUP(A1742,'Data pick slip'!B:F,5,FALSE)</f>
        <v>KHJ-MC200-00</v>
      </c>
      <c r="F1742" s="157" t="s">
        <v>2773</v>
      </c>
      <c r="I1742" s="139" t="s">
        <v>3099</v>
      </c>
      <c r="J1742" s="139" t="s">
        <v>3197</v>
      </c>
      <c r="K1742" s="51" t="s">
        <v>1246</v>
      </c>
      <c r="L1742" s="4">
        <v>43784</v>
      </c>
      <c r="M1742" s="140">
        <v>8</v>
      </c>
      <c r="P1742" s="4" t="s">
        <v>291</v>
      </c>
      <c r="Q1742" s="143"/>
      <c r="T1742" s="144"/>
      <c r="U1742" s="145" t="e">
        <f>VLOOKUP(H1742,Stock_list!A:N,14,FALSE)</f>
        <v>#N/A</v>
      </c>
    </row>
    <row r="1743" spans="1:21" ht="16.5" customHeight="1">
      <c r="A1743" s="159" t="s">
        <v>2748</v>
      </c>
      <c r="B1743" s="114" t="str">
        <f>VLOOKUP(A1743,'Data pick slip'!B:F,5,FALSE)</f>
        <v>KHJ-MC400-00</v>
      </c>
      <c r="F1743" s="157" t="s">
        <v>2773</v>
      </c>
      <c r="I1743" s="139" t="s">
        <v>3099</v>
      </c>
      <c r="J1743" s="139" t="s">
        <v>3197</v>
      </c>
      <c r="K1743" s="51" t="s">
        <v>1246</v>
      </c>
      <c r="L1743" s="4">
        <v>43784</v>
      </c>
      <c r="M1743" s="140">
        <v>3</v>
      </c>
      <c r="P1743" s="4" t="s">
        <v>291</v>
      </c>
      <c r="Q1743" s="143"/>
      <c r="T1743" s="144"/>
      <c r="U1743" s="145" t="e">
        <f>VLOOKUP(H1743,Stock_list!A:N,14,FALSE)</f>
        <v>#N/A</v>
      </c>
    </row>
    <row r="1744" spans="1:21" ht="16.5" customHeight="1">
      <c r="A1744" s="159" t="s">
        <v>2747</v>
      </c>
      <c r="B1744" s="114" t="str">
        <f>VLOOKUP(A1744,'Data pick slip'!B:F,5,FALSE)</f>
        <v>KHJ-MC200-00</v>
      </c>
      <c r="F1744" s="157" t="s">
        <v>2773</v>
      </c>
      <c r="I1744" s="139" t="s">
        <v>3099</v>
      </c>
      <c r="J1744" s="139" t="s">
        <v>3198</v>
      </c>
      <c r="K1744" s="51" t="s">
        <v>1246</v>
      </c>
      <c r="L1744" s="4">
        <v>43777</v>
      </c>
      <c r="M1744" s="140">
        <v>10</v>
      </c>
      <c r="P1744" s="4" t="s">
        <v>291</v>
      </c>
      <c r="Q1744" s="143"/>
      <c r="T1744" s="144"/>
      <c r="U1744" s="145" t="e">
        <f>VLOOKUP(H1744,Stock_list!A:N,14,FALSE)</f>
        <v>#N/A</v>
      </c>
    </row>
    <row r="1745" spans="1:21" ht="16.5" customHeight="1">
      <c r="A1745" s="159" t="s">
        <v>2748</v>
      </c>
      <c r="B1745" s="114" t="str">
        <f>VLOOKUP(A1745,'Data pick slip'!B:F,5,FALSE)</f>
        <v>KHJ-MC400-00</v>
      </c>
      <c r="F1745" s="157" t="s">
        <v>2773</v>
      </c>
      <c r="I1745" s="139" t="s">
        <v>3099</v>
      </c>
      <c r="J1745" s="139" t="s">
        <v>3198</v>
      </c>
      <c r="K1745" s="51" t="s">
        <v>1246</v>
      </c>
      <c r="L1745" s="4">
        <v>43777</v>
      </c>
      <c r="M1745" s="140">
        <v>4</v>
      </c>
      <c r="P1745" s="4" t="s">
        <v>291</v>
      </c>
      <c r="Q1745" s="143"/>
      <c r="T1745" s="144"/>
      <c r="U1745" s="145" t="e">
        <f>VLOOKUP(H1745,Stock_list!A:N,14,FALSE)</f>
        <v>#N/A</v>
      </c>
    </row>
    <row r="1746" spans="1:21" ht="16.5" customHeight="1">
      <c r="A1746" s="159" t="s">
        <v>2744</v>
      </c>
      <c r="B1746" s="114" t="str">
        <f>VLOOKUP(A1746,'Data pick slip'!B:F,5,FALSE)</f>
        <v>KHJ-MC100-00</v>
      </c>
      <c r="F1746" s="157" t="s">
        <v>2861</v>
      </c>
      <c r="I1746" s="139" t="s">
        <v>3015</v>
      </c>
      <c r="J1746" s="139" t="s">
        <v>3199</v>
      </c>
      <c r="K1746" s="51" t="s">
        <v>1246</v>
      </c>
      <c r="L1746" s="4">
        <v>43790</v>
      </c>
      <c r="M1746" s="140">
        <v>300</v>
      </c>
      <c r="P1746" s="4" t="s">
        <v>291</v>
      </c>
      <c r="Q1746" s="143"/>
      <c r="T1746" s="144"/>
      <c r="U1746" s="145" t="e">
        <f>VLOOKUP(H1746,Stock_list!A:N,14,FALSE)</f>
        <v>#N/A</v>
      </c>
    </row>
    <row r="1747" spans="1:21" ht="16.5" customHeight="1">
      <c r="A1747" s="159" t="s">
        <v>2747</v>
      </c>
      <c r="B1747" s="114" t="str">
        <f>VLOOKUP(A1747,'Data pick slip'!B:F,5,FALSE)</f>
        <v>KHJ-MC200-00</v>
      </c>
      <c r="F1747" s="157" t="s">
        <v>2861</v>
      </c>
      <c r="I1747" s="139" t="s">
        <v>3015</v>
      </c>
      <c r="J1747" s="139" t="s">
        <v>3199</v>
      </c>
      <c r="K1747" s="51" t="s">
        <v>1246</v>
      </c>
      <c r="L1747" s="4">
        <v>43790</v>
      </c>
      <c r="M1747" s="140">
        <v>20</v>
      </c>
      <c r="P1747" s="4" t="s">
        <v>291</v>
      </c>
      <c r="Q1747" s="143"/>
      <c r="T1747" s="144"/>
      <c r="U1747" s="145" t="e">
        <f>VLOOKUP(H1747,Stock_list!A:N,14,FALSE)</f>
        <v>#N/A</v>
      </c>
    </row>
    <row r="1748" spans="1:21" ht="16.5" customHeight="1">
      <c r="A1748" s="159" t="s">
        <v>2748</v>
      </c>
      <c r="B1748" s="114" t="str">
        <f>VLOOKUP(A1748,'Data pick slip'!B:F,5,FALSE)</f>
        <v>KHJ-MC400-00</v>
      </c>
      <c r="F1748" s="157" t="s">
        <v>2861</v>
      </c>
      <c r="I1748" s="139" t="s">
        <v>3015</v>
      </c>
      <c r="J1748" s="139" t="s">
        <v>3199</v>
      </c>
      <c r="K1748" s="51" t="s">
        <v>1246</v>
      </c>
      <c r="L1748" s="4">
        <v>43790</v>
      </c>
      <c r="M1748" s="140">
        <v>10</v>
      </c>
      <c r="P1748" s="4" t="s">
        <v>291</v>
      </c>
      <c r="Q1748" s="143"/>
      <c r="T1748" s="144"/>
      <c r="U1748" s="145" t="e">
        <f>VLOOKUP(H1748,Stock_list!A:N,14,FALSE)</f>
        <v>#N/A</v>
      </c>
    </row>
    <row r="1749" spans="1:21" ht="16.5" customHeight="1">
      <c r="A1749" s="159" t="s">
        <v>2749</v>
      </c>
      <c r="B1749" s="114" t="str">
        <f>VLOOKUP(A1749,'Data pick slip'!B:F,5,FALSE)</f>
        <v>KHJ-MC500-00</v>
      </c>
      <c r="F1749" s="157" t="s">
        <v>2861</v>
      </c>
      <c r="I1749" s="139" t="s">
        <v>3015</v>
      </c>
      <c r="J1749" s="139" t="s">
        <v>3199</v>
      </c>
      <c r="K1749" s="51" t="s">
        <v>1246</v>
      </c>
      <c r="L1749" s="4">
        <v>43790</v>
      </c>
      <c r="M1749" s="140">
        <v>8</v>
      </c>
      <c r="P1749" s="4" t="s">
        <v>291</v>
      </c>
      <c r="Q1749" s="143"/>
      <c r="T1749" s="144"/>
      <c r="U1749" s="145" t="e">
        <f>VLOOKUP(H1749,Stock_list!A:N,14,FALSE)</f>
        <v>#N/A</v>
      </c>
    </row>
    <row r="1750" spans="1:21" ht="16.5" customHeight="1">
      <c r="A1750" s="159" t="s">
        <v>2747</v>
      </c>
      <c r="B1750" s="114" t="str">
        <f>VLOOKUP(A1750,'Data pick slip'!B:F,5,FALSE)</f>
        <v>KHJ-MC200-00</v>
      </c>
      <c r="F1750" s="157" t="s">
        <v>2773</v>
      </c>
      <c r="I1750" s="139" t="s">
        <v>3200</v>
      </c>
      <c r="J1750" s="139" t="s">
        <v>3201</v>
      </c>
      <c r="K1750" s="51" t="s">
        <v>1246</v>
      </c>
      <c r="L1750" s="4">
        <v>43788</v>
      </c>
      <c r="M1750" s="140">
        <v>5</v>
      </c>
      <c r="P1750" s="4" t="s">
        <v>291</v>
      </c>
      <c r="Q1750" s="143"/>
      <c r="T1750" s="144"/>
      <c r="U1750" s="145" t="e">
        <f>VLOOKUP(H1750,Stock_list!A:N,14,FALSE)</f>
        <v>#N/A</v>
      </c>
    </row>
    <row r="1751" spans="1:21" ht="16.5" customHeight="1">
      <c r="A1751" s="159" t="s">
        <v>2748</v>
      </c>
      <c r="B1751" s="114" t="str">
        <f>VLOOKUP(A1751,'Data pick slip'!B:F,5,FALSE)</f>
        <v>KHJ-MC400-00</v>
      </c>
      <c r="F1751" s="157" t="s">
        <v>2773</v>
      </c>
      <c r="I1751" s="139" t="s">
        <v>3200</v>
      </c>
      <c r="J1751" s="139" t="s">
        <v>3201</v>
      </c>
      <c r="K1751" s="51" t="s">
        <v>1246</v>
      </c>
      <c r="L1751" s="4">
        <v>43788</v>
      </c>
      <c r="M1751" s="140">
        <v>3</v>
      </c>
      <c r="P1751" s="4" t="s">
        <v>291</v>
      </c>
      <c r="Q1751" s="143"/>
      <c r="T1751" s="144"/>
      <c r="U1751" s="145" t="e">
        <f>VLOOKUP(H1751,Stock_list!A:N,14,FALSE)</f>
        <v>#N/A</v>
      </c>
    </row>
    <row r="1752" spans="1:21" ht="16.5" customHeight="1">
      <c r="A1752" s="159" t="s">
        <v>2749</v>
      </c>
      <c r="B1752" s="114" t="str">
        <f>VLOOKUP(A1752,'Data pick slip'!B:F,5,FALSE)</f>
        <v>KHJ-MC500-00</v>
      </c>
      <c r="F1752" s="157" t="s">
        <v>2773</v>
      </c>
      <c r="I1752" s="139" t="s">
        <v>3200</v>
      </c>
      <c r="J1752" s="139" t="s">
        <v>3201</v>
      </c>
      <c r="K1752" s="51" t="s">
        <v>1246</v>
      </c>
      <c r="L1752" s="4">
        <v>43788</v>
      </c>
      <c r="M1752" s="140">
        <v>1</v>
      </c>
      <c r="P1752" s="4" t="s">
        <v>291</v>
      </c>
      <c r="Q1752" s="143"/>
      <c r="T1752" s="144"/>
      <c r="U1752" s="145" t="e">
        <f>VLOOKUP(H1752,Stock_list!A:N,14,FALSE)</f>
        <v>#N/A</v>
      </c>
    </row>
    <row r="1753" spans="1:21" ht="16.5" customHeight="1">
      <c r="A1753" s="159" t="s">
        <v>2744</v>
      </c>
      <c r="B1753" s="114" t="str">
        <f>VLOOKUP(A1753,'Data pick slip'!B:F,5,FALSE)</f>
        <v>KHJ-MC100-00</v>
      </c>
      <c r="F1753" s="157" t="s">
        <v>2861</v>
      </c>
      <c r="H1753" s="138">
        <v>512</v>
      </c>
      <c r="I1753" s="139" t="str">
        <f>VLOOKUP(H1753,Stock_list!A:R,18,FALSE)</f>
        <v>君博信</v>
      </c>
      <c r="J1753" s="139" t="str">
        <f>VLOOKUP(H1753,Stock_list!A:S,17,FALSE)</f>
        <v>C49SZX20190171CX</v>
      </c>
      <c r="K1753" s="51" t="str">
        <f>VLOOKUP(H1753,Stock_list!A:T,16,FALSE)</f>
        <v>JPY</v>
      </c>
      <c r="L1753" s="4">
        <v>43812</v>
      </c>
      <c r="M1753" s="132">
        <v>35</v>
      </c>
      <c r="P1753" s="4" t="str">
        <f>VLOOKUP(H1753,Stock_list!A:Y,25,FALSE)</f>
        <v>Yes</v>
      </c>
      <c r="Q1753" s="143"/>
      <c r="T1753" s="144"/>
      <c r="U1753" s="145" t="str">
        <f>VLOOKUP(H1753,Stock_list!A:N,14,FALSE)</f>
        <v>DEC 19</v>
      </c>
    </row>
    <row r="1754" spans="1:21" ht="16.5" customHeight="1">
      <c r="A1754" s="159" t="s">
        <v>2744</v>
      </c>
      <c r="B1754" s="114" t="str">
        <f>VLOOKUP(A1754,'Data pick slip'!B:F,5,FALSE)</f>
        <v>KHJ-MC100-00</v>
      </c>
      <c r="F1754" s="157" t="s">
        <v>2861</v>
      </c>
      <c r="H1754" s="138">
        <v>513</v>
      </c>
      <c r="I1754" s="139" t="str">
        <f>VLOOKUP(H1754,Stock_list!A:R,18,FALSE)</f>
        <v>宽宏</v>
      </c>
      <c r="J1754" s="139" t="str">
        <f>VLOOKUP(H1754,Stock_list!A:S,17,FALSE)</f>
        <v>C49SZX20190172ZX</v>
      </c>
      <c r="K1754" s="51" t="str">
        <f>VLOOKUP(H1754,Stock_list!A:T,16,FALSE)</f>
        <v>JPY</v>
      </c>
      <c r="L1754" s="4">
        <v>43838</v>
      </c>
      <c r="M1754" s="132">
        <v>115</v>
      </c>
      <c r="P1754" s="4" t="str">
        <f>VLOOKUP(H1754,Stock_list!A:Y,25,FALSE)</f>
        <v>Yes</v>
      </c>
      <c r="Q1754" s="143"/>
      <c r="T1754" s="144"/>
      <c r="U1754" s="145" t="str">
        <f>VLOOKUP(H1754,Stock_list!A:N,14,FALSE)</f>
        <v>JAN 20</v>
      </c>
    </row>
    <row r="1755" spans="1:21" ht="16.5" customHeight="1">
      <c r="A1755" s="159" t="s">
        <v>2747</v>
      </c>
      <c r="B1755" s="114" t="str">
        <f>VLOOKUP(A1755,'Data pick slip'!B:F,5,FALSE)</f>
        <v>KHJ-MC200-00</v>
      </c>
      <c r="F1755" s="157" t="s">
        <v>2861</v>
      </c>
      <c r="H1755" s="138">
        <v>513</v>
      </c>
      <c r="I1755" s="139" t="str">
        <f>VLOOKUP(H1755,Stock_list!A:R,18,FALSE)</f>
        <v>宽宏</v>
      </c>
      <c r="J1755" s="139" t="str">
        <f>VLOOKUP(H1755,Stock_list!A:S,17,FALSE)</f>
        <v>C49SZX20190172ZX</v>
      </c>
      <c r="K1755" s="51" t="str">
        <f>VLOOKUP(H1755,Stock_list!A:T,16,FALSE)</f>
        <v>JPY</v>
      </c>
      <c r="L1755" s="4">
        <v>43838</v>
      </c>
      <c r="M1755" s="132">
        <v>10</v>
      </c>
      <c r="P1755" s="4" t="str">
        <f>VLOOKUP(H1755,Stock_list!A:Y,25,FALSE)</f>
        <v>Yes</v>
      </c>
      <c r="Q1755" s="143"/>
      <c r="T1755" s="144"/>
      <c r="U1755" s="145" t="str">
        <f>VLOOKUP(H1755,Stock_list!A:N,14,FALSE)</f>
        <v>JAN 20</v>
      </c>
    </row>
    <row r="1756" spans="1:21" ht="16.5" customHeight="1">
      <c r="A1756" s="159" t="s">
        <v>2748</v>
      </c>
      <c r="B1756" s="114" t="str">
        <f>VLOOKUP(A1756,'Data pick slip'!B:F,5,FALSE)</f>
        <v>KHJ-MC400-00</v>
      </c>
      <c r="F1756" s="157" t="s">
        <v>2861</v>
      </c>
      <c r="H1756" s="138">
        <v>513</v>
      </c>
      <c r="I1756" s="139" t="str">
        <f>VLOOKUP(H1756,Stock_list!A:R,18,FALSE)</f>
        <v>宽宏</v>
      </c>
      <c r="J1756" s="139" t="str">
        <f>VLOOKUP(H1756,Stock_list!A:S,17,FALSE)</f>
        <v>C49SZX20190172ZX</v>
      </c>
      <c r="K1756" s="51" t="str">
        <f>VLOOKUP(H1756,Stock_list!A:T,16,FALSE)</f>
        <v>JPY</v>
      </c>
      <c r="L1756" s="4">
        <v>43838</v>
      </c>
      <c r="M1756" s="132">
        <v>2</v>
      </c>
      <c r="P1756" s="4" t="str">
        <f>VLOOKUP(H1756,Stock_list!A:Y,25,FALSE)</f>
        <v>Yes</v>
      </c>
      <c r="Q1756" s="143"/>
      <c r="T1756" s="144"/>
      <c r="U1756" s="145" t="str">
        <f>VLOOKUP(H1756,Stock_list!A:N,14,FALSE)</f>
        <v>JAN 20</v>
      </c>
    </row>
    <row r="1757" spans="1:21" ht="16.5" customHeight="1">
      <c r="A1757" s="159" t="s">
        <v>2749</v>
      </c>
      <c r="B1757" s="114" t="str">
        <f>VLOOKUP(A1757,'Data pick slip'!B:F,5,FALSE)</f>
        <v>KHJ-MC500-00</v>
      </c>
      <c r="F1757" s="157" t="s">
        <v>2861</v>
      </c>
      <c r="H1757" s="138">
        <v>513</v>
      </c>
      <c r="I1757" s="139" t="str">
        <f>VLOOKUP(H1757,Stock_list!A:R,18,FALSE)</f>
        <v>宽宏</v>
      </c>
      <c r="J1757" s="139" t="str">
        <f>VLOOKUP(H1757,Stock_list!A:S,17,FALSE)</f>
        <v>C49SZX20190172ZX</v>
      </c>
      <c r="K1757" s="51" t="str">
        <f>VLOOKUP(H1757,Stock_list!A:T,16,FALSE)</f>
        <v>JPY</v>
      </c>
      <c r="L1757" s="4">
        <v>43838</v>
      </c>
      <c r="M1757" s="132">
        <v>1</v>
      </c>
      <c r="P1757" s="4" t="str">
        <f>VLOOKUP(H1757,Stock_list!A:Y,25,FALSE)</f>
        <v>Yes</v>
      </c>
      <c r="Q1757" s="143"/>
      <c r="T1757" s="144"/>
      <c r="U1757" s="145" t="str">
        <f>VLOOKUP(H1757,Stock_list!A:N,14,FALSE)</f>
        <v>JAN 20</v>
      </c>
    </row>
    <row r="1758" spans="1:21" ht="16.5" customHeight="1">
      <c r="A1758" s="159" t="s">
        <v>2744</v>
      </c>
      <c r="B1758" s="114" t="str">
        <f>VLOOKUP(A1758,'Data pick slip'!B:F,5,FALSE)</f>
        <v>KHJ-MC100-00</v>
      </c>
      <c r="F1758" s="157" t="s">
        <v>2861</v>
      </c>
      <c r="H1758" s="138">
        <v>516</v>
      </c>
      <c r="I1758" s="139" t="str">
        <f>VLOOKUP(H1758,Stock_list!A:R,18,FALSE)</f>
        <v>创伟峰</v>
      </c>
      <c r="J1758" s="139" t="str">
        <f>VLOOKUP(H1758,Stock_list!A:S,17,FALSE)</f>
        <v>C49SZX20190169MZ</v>
      </c>
      <c r="K1758" s="51" t="str">
        <f>VLOOKUP(H1758,Stock_list!A:T,16,FALSE)</f>
        <v>JPY</v>
      </c>
      <c r="L1758" s="4">
        <v>43846</v>
      </c>
      <c r="M1758" s="132">
        <v>60</v>
      </c>
      <c r="P1758" s="4" t="str">
        <f>VLOOKUP(H1758,Stock_list!A:Y,25,FALSE)</f>
        <v>Yes</v>
      </c>
      <c r="Q1758" s="143"/>
      <c r="T1758" s="144"/>
      <c r="U1758" s="145" t="str">
        <f>VLOOKUP(H1758,Stock_list!A:N,14,FALSE)</f>
        <v>JAN 20</v>
      </c>
    </row>
    <row r="1759" spans="1:21" ht="16.5" customHeight="1">
      <c r="A1759" s="159" t="s">
        <v>2747</v>
      </c>
      <c r="B1759" s="114" t="str">
        <f>VLOOKUP(A1759,'Data pick slip'!B:F,5,FALSE)</f>
        <v>KHJ-MC200-00</v>
      </c>
      <c r="F1759" s="157" t="s">
        <v>2861</v>
      </c>
      <c r="H1759" s="138">
        <v>516</v>
      </c>
      <c r="I1759" s="139" t="str">
        <f>VLOOKUP(H1759,Stock_list!A:R,18,FALSE)</f>
        <v>创伟峰</v>
      </c>
      <c r="J1759" s="139" t="str">
        <f>VLOOKUP(H1759,Stock_list!A:S,17,FALSE)</f>
        <v>C49SZX20190169MZ</v>
      </c>
      <c r="K1759" s="51" t="str">
        <f>VLOOKUP(H1759,Stock_list!A:T,16,FALSE)</f>
        <v>JPY</v>
      </c>
      <c r="L1759" s="4">
        <v>43846</v>
      </c>
      <c r="M1759" s="132">
        <v>2</v>
      </c>
      <c r="P1759" s="4" t="str">
        <f>VLOOKUP(H1759,Stock_list!A:Y,25,FALSE)</f>
        <v>Yes</v>
      </c>
      <c r="Q1759" s="143"/>
      <c r="T1759" s="144"/>
      <c r="U1759" s="145" t="str">
        <f>VLOOKUP(H1759,Stock_list!A:N,14,FALSE)</f>
        <v>JAN 20</v>
      </c>
    </row>
    <row r="1760" spans="1:21" ht="16.5" customHeight="1">
      <c r="A1760" s="159" t="s">
        <v>2749</v>
      </c>
      <c r="B1760" s="114" t="str">
        <f>VLOOKUP(A1760,'Data pick slip'!B:F,5,FALSE)</f>
        <v>KHJ-MC500-00</v>
      </c>
      <c r="F1760" s="157" t="s">
        <v>2773</v>
      </c>
      <c r="I1760" s="139" t="s">
        <v>3093</v>
      </c>
      <c r="J1760" s="139" t="s">
        <v>3202</v>
      </c>
      <c r="K1760" s="51" t="s">
        <v>1246</v>
      </c>
      <c r="L1760" s="4">
        <v>43794</v>
      </c>
      <c r="M1760" s="140">
        <v>1</v>
      </c>
      <c r="P1760" s="4" t="s">
        <v>291</v>
      </c>
      <c r="Q1760" s="143"/>
      <c r="T1760" s="144"/>
      <c r="U1760" s="145" t="e">
        <f>VLOOKUP(H1760,Stock_list!A:N,14,FALSE)</f>
        <v>#N/A</v>
      </c>
    </row>
    <row r="1761" spans="1:21" ht="16.5" customHeight="1">
      <c r="A1761" s="159" t="s">
        <v>2750</v>
      </c>
      <c r="B1761" s="114" t="str">
        <f>VLOOKUP(A1761,'Data pick slip'!B:F,5,FALSE)</f>
        <v>KHJ-MC600-00</v>
      </c>
      <c r="F1761" s="157" t="s">
        <v>2773</v>
      </c>
      <c r="I1761" s="139" t="s">
        <v>3115</v>
      </c>
      <c r="J1761" s="139" t="s">
        <v>3203</v>
      </c>
      <c r="K1761" s="51" t="s">
        <v>1246</v>
      </c>
      <c r="L1761" s="4">
        <v>43790</v>
      </c>
      <c r="M1761" s="140">
        <v>1</v>
      </c>
      <c r="P1761" s="4" t="s">
        <v>291</v>
      </c>
      <c r="Q1761" s="143"/>
      <c r="T1761" s="144"/>
      <c r="U1761" s="145" t="e">
        <f>VLOOKUP(H1761,Stock_list!A:N,14,FALSE)</f>
        <v>#N/A</v>
      </c>
    </row>
    <row r="1762" spans="1:21" ht="16.5" customHeight="1">
      <c r="A1762" s="159" t="s">
        <v>2747</v>
      </c>
      <c r="B1762" s="114" t="str">
        <f>VLOOKUP(A1762,'Data pick slip'!B:F,5,FALSE)</f>
        <v>KHJ-MC200-00</v>
      </c>
      <c r="F1762" s="157" t="s">
        <v>2773</v>
      </c>
      <c r="I1762" s="139" t="s">
        <v>3139</v>
      </c>
      <c r="J1762" s="139" t="s">
        <v>3204</v>
      </c>
      <c r="K1762" s="51" t="s">
        <v>1246</v>
      </c>
      <c r="L1762" s="4">
        <v>43790</v>
      </c>
      <c r="M1762" s="140">
        <v>3</v>
      </c>
      <c r="P1762" s="4" t="s">
        <v>291</v>
      </c>
      <c r="Q1762" s="143"/>
      <c r="T1762" s="144"/>
      <c r="U1762" s="145" t="e">
        <f>VLOOKUP(H1762,Stock_list!A:N,14,FALSE)</f>
        <v>#N/A</v>
      </c>
    </row>
    <row r="1763" spans="1:21" ht="16.5" customHeight="1">
      <c r="A1763" s="159" t="s">
        <v>2747</v>
      </c>
      <c r="B1763" s="114" t="str">
        <f>VLOOKUP(A1763,'Data pick slip'!B:F,5,FALSE)</f>
        <v>KHJ-MC200-00</v>
      </c>
      <c r="F1763" s="157" t="s">
        <v>2773</v>
      </c>
      <c r="I1763" s="139" t="s">
        <v>3093</v>
      </c>
      <c r="J1763" s="139" t="s">
        <v>3205</v>
      </c>
      <c r="K1763" s="51" t="s">
        <v>1246</v>
      </c>
      <c r="L1763" s="4">
        <v>43795</v>
      </c>
      <c r="M1763" s="140">
        <v>3</v>
      </c>
      <c r="P1763" s="4" t="s">
        <v>291</v>
      </c>
      <c r="Q1763" s="143"/>
      <c r="T1763" s="144"/>
      <c r="U1763" s="145" t="e">
        <f>VLOOKUP(H1763,Stock_list!A:N,14,FALSE)</f>
        <v>#N/A</v>
      </c>
    </row>
    <row r="1764" spans="1:21" ht="16.5" customHeight="1">
      <c r="A1764" s="159" t="s">
        <v>2755</v>
      </c>
      <c r="B1764" s="114" t="str">
        <f>VLOOKUP(A1764,'Data pick slip'!B:F,5,FALSE)</f>
        <v>KLJ-MC100-00</v>
      </c>
      <c r="F1764" s="157" t="s">
        <v>2773</v>
      </c>
      <c r="H1764" s="138">
        <v>518</v>
      </c>
      <c r="I1764" s="139" t="str">
        <f>VLOOKUP(H1764,Stock_list!A:R,18,FALSE)</f>
        <v>安林</v>
      </c>
      <c r="J1764" s="139" t="str">
        <f>VLOOKUP(H1764,Stock_list!A:S,17,FALSE)</f>
        <v>C49SZX20190175SX</v>
      </c>
      <c r="K1764" s="51" t="str">
        <f>VLOOKUP(H1764,Stock_list!A:T,16,FALSE)</f>
        <v>RMB</v>
      </c>
      <c r="L1764" s="4">
        <v>43817</v>
      </c>
      <c r="M1764" s="132">
        <v>80</v>
      </c>
      <c r="P1764" s="4" t="str">
        <f>VLOOKUP(H1764,Stock_list!A:Y,25,FALSE)</f>
        <v>Yes</v>
      </c>
      <c r="Q1764" s="143"/>
      <c r="T1764" s="144"/>
      <c r="U1764" s="145" t="str">
        <f>VLOOKUP(H1764,Stock_list!A:N,14,FALSE)</f>
        <v>DEC 19</v>
      </c>
    </row>
    <row r="1765" spans="1:21" ht="16.5" customHeight="1">
      <c r="A1765" s="159" t="s">
        <v>2744</v>
      </c>
      <c r="B1765" s="114" t="str">
        <f>VLOOKUP(A1765,'Data pick slip'!B:F,5,FALSE)</f>
        <v>KHJ-MC100-00</v>
      </c>
      <c r="F1765" s="157" t="s">
        <v>2861</v>
      </c>
      <c r="H1765" s="138">
        <v>521</v>
      </c>
      <c r="I1765" s="139" t="str">
        <f>VLOOKUP(H1765,Stock_list!A:R,18,FALSE)</f>
        <v>宏威创</v>
      </c>
      <c r="J1765" s="139" t="str">
        <f>VLOOKUP(H1765,Stock_list!A:S,17,FALSE)</f>
        <v>C49SZX20190167SS</v>
      </c>
      <c r="K1765" s="51" t="str">
        <f>VLOOKUP(H1765,Stock_list!A:T,16,FALSE)</f>
        <v>JPY</v>
      </c>
      <c r="L1765" s="4">
        <v>43843</v>
      </c>
      <c r="M1765" s="132">
        <v>64</v>
      </c>
      <c r="P1765" s="4" t="str">
        <f>VLOOKUP(H1765,Stock_list!A:Y,25,FALSE)</f>
        <v>Yes</v>
      </c>
      <c r="Q1765" s="143"/>
      <c r="T1765" s="144"/>
      <c r="U1765" s="145" t="str">
        <f>VLOOKUP(H1765,Stock_list!A:N,14,FALSE)</f>
        <v>JAN 20</v>
      </c>
    </row>
    <row r="1766" spans="1:21" ht="16.5" customHeight="1">
      <c r="A1766" s="159" t="s">
        <v>2747</v>
      </c>
      <c r="B1766" s="114" t="str">
        <f>VLOOKUP(A1766,'Data pick slip'!B:F,5,FALSE)</f>
        <v>KHJ-MC200-00</v>
      </c>
      <c r="F1766" s="157" t="s">
        <v>2861</v>
      </c>
      <c r="H1766" s="138">
        <v>521</v>
      </c>
      <c r="I1766" s="139" t="str">
        <f>VLOOKUP(H1766,Stock_list!A:R,18,FALSE)</f>
        <v>宏威创</v>
      </c>
      <c r="J1766" s="139" t="str">
        <f>VLOOKUP(H1766,Stock_list!A:S,17,FALSE)</f>
        <v>C49SZX20190167SS</v>
      </c>
      <c r="K1766" s="51" t="str">
        <f>VLOOKUP(H1766,Stock_list!A:T,16,FALSE)</f>
        <v>JPY</v>
      </c>
      <c r="L1766" s="4">
        <v>43843</v>
      </c>
      <c r="M1766" s="132">
        <v>7</v>
      </c>
      <c r="P1766" s="4" t="str">
        <f>VLOOKUP(H1766,Stock_list!A:Y,25,FALSE)</f>
        <v>Yes</v>
      </c>
      <c r="Q1766" s="143"/>
      <c r="T1766" s="144"/>
      <c r="U1766" s="145" t="str">
        <f>VLOOKUP(H1766,Stock_list!A:N,14,FALSE)</f>
        <v>JAN 20</v>
      </c>
    </row>
    <row r="1767" spans="1:21" ht="16.5" customHeight="1">
      <c r="A1767" s="159" t="s">
        <v>2748</v>
      </c>
      <c r="B1767" s="114" t="str">
        <f>VLOOKUP(A1767,'Data pick slip'!B:F,5,FALSE)</f>
        <v>KHJ-MC400-00</v>
      </c>
      <c r="F1767" s="157" t="s">
        <v>2861</v>
      </c>
      <c r="H1767" s="138">
        <v>521</v>
      </c>
      <c r="I1767" s="139" t="str">
        <f>VLOOKUP(H1767,Stock_list!A:R,18,FALSE)</f>
        <v>宏威创</v>
      </c>
      <c r="J1767" s="139" t="str">
        <f>VLOOKUP(H1767,Stock_list!A:S,17,FALSE)</f>
        <v>C49SZX20190167SS</v>
      </c>
      <c r="K1767" s="51" t="str">
        <f>VLOOKUP(H1767,Stock_list!A:T,16,FALSE)</f>
        <v>JPY</v>
      </c>
      <c r="L1767" s="4">
        <v>43843</v>
      </c>
      <c r="M1767" s="132">
        <v>2</v>
      </c>
      <c r="P1767" s="4" t="str">
        <f>VLOOKUP(H1767,Stock_list!A:Y,25,FALSE)</f>
        <v>Yes</v>
      </c>
      <c r="Q1767" s="143"/>
      <c r="T1767" s="144"/>
      <c r="U1767" s="145" t="str">
        <f>VLOOKUP(H1767,Stock_list!A:N,14,FALSE)</f>
        <v>JAN 20</v>
      </c>
    </row>
    <row r="1768" spans="1:21" ht="16.5" customHeight="1">
      <c r="A1768" s="159" t="s">
        <v>2748</v>
      </c>
      <c r="B1768" s="114" t="str">
        <f>VLOOKUP(A1768,'Data pick slip'!B:F,5,FALSE)</f>
        <v>KHJ-MC400-00</v>
      </c>
      <c r="F1768" s="157" t="s">
        <v>2773</v>
      </c>
      <c r="I1768" s="139" t="s">
        <v>3139</v>
      </c>
      <c r="J1768" s="139" t="s">
        <v>3206</v>
      </c>
      <c r="K1768" s="51" t="s">
        <v>3123</v>
      </c>
      <c r="L1768" s="4">
        <v>43798</v>
      </c>
      <c r="M1768" s="140">
        <v>1</v>
      </c>
      <c r="P1768" s="4" t="s">
        <v>291</v>
      </c>
      <c r="Q1768" s="143"/>
      <c r="T1768" s="144"/>
      <c r="U1768" s="145" t="e">
        <f>VLOOKUP(H1768,Stock_list!A:N,14,FALSE)</f>
        <v>#N/A</v>
      </c>
    </row>
    <row r="1769" spans="1:21" ht="16.5" customHeight="1">
      <c r="A1769" s="159" t="s">
        <v>2751</v>
      </c>
      <c r="B1769" s="114" t="str">
        <f>VLOOKUP(A1769,'Data pick slip'!B:F,5,FALSE)</f>
        <v>KHJ-MC700-00</v>
      </c>
      <c r="F1769" s="157" t="s">
        <v>2773</v>
      </c>
      <c r="I1769" s="139" t="s">
        <v>3093</v>
      </c>
      <c r="J1769" s="139" t="s">
        <v>3207</v>
      </c>
      <c r="K1769" s="51" t="s">
        <v>1246</v>
      </c>
      <c r="L1769" s="4">
        <v>43794</v>
      </c>
      <c r="M1769" s="140">
        <v>1</v>
      </c>
      <c r="P1769" s="4" t="s">
        <v>291</v>
      </c>
      <c r="Q1769" s="143"/>
      <c r="T1769" s="144"/>
      <c r="U1769" s="145" t="e">
        <f>VLOOKUP(H1769,Stock_list!A:N,14,FALSE)</f>
        <v>#N/A</v>
      </c>
    </row>
    <row r="1770" spans="1:21" ht="16.5" customHeight="1">
      <c r="A1770" s="159" t="s">
        <v>2744</v>
      </c>
      <c r="B1770" s="114" t="str">
        <f>VLOOKUP(A1770,'Data pick slip'!B:F,5,FALSE)</f>
        <v>KHJ-MC100-00</v>
      </c>
      <c r="F1770" s="157" t="s">
        <v>2773</v>
      </c>
      <c r="I1770" s="139" t="s">
        <v>3093</v>
      </c>
      <c r="J1770" s="139" t="s">
        <v>3208</v>
      </c>
      <c r="K1770" s="51" t="s">
        <v>1246</v>
      </c>
      <c r="L1770" s="4">
        <v>43789</v>
      </c>
      <c r="M1770" s="140">
        <v>30</v>
      </c>
      <c r="P1770" s="4" t="s">
        <v>291</v>
      </c>
      <c r="Q1770" s="143"/>
      <c r="T1770" s="144"/>
      <c r="U1770" s="145" t="e">
        <f>VLOOKUP(H1770,Stock_list!A:N,14,FALSE)</f>
        <v>#N/A</v>
      </c>
    </row>
    <row r="1771" spans="1:21" ht="16.5" customHeight="1">
      <c r="A1771" s="159" t="s">
        <v>2747</v>
      </c>
      <c r="B1771" s="114" t="str">
        <f>VLOOKUP(A1771,'Data pick slip'!B:F,5,FALSE)</f>
        <v>KHJ-MC200-00</v>
      </c>
      <c r="F1771" s="157" t="s">
        <v>2773</v>
      </c>
      <c r="I1771" s="139" t="s">
        <v>3093</v>
      </c>
      <c r="J1771" s="139" t="s">
        <v>3208</v>
      </c>
      <c r="K1771" s="51" t="s">
        <v>1246</v>
      </c>
      <c r="L1771" s="4">
        <v>43789</v>
      </c>
      <c r="M1771" s="140">
        <v>5</v>
      </c>
      <c r="P1771" s="4" t="s">
        <v>291</v>
      </c>
      <c r="Q1771" s="143"/>
      <c r="T1771" s="144"/>
      <c r="U1771" s="145" t="e">
        <f>VLOOKUP(H1771,Stock_list!A:N,14,FALSE)</f>
        <v>#N/A</v>
      </c>
    </row>
    <row r="1772" spans="1:21" ht="16.5" customHeight="1">
      <c r="A1772" s="159" t="s">
        <v>2749</v>
      </c>
      <c r="B1772" s="114" t="str">
        <f>VLOOKUP(A1772,'Data pick slip'!B:F,5,FALSE)</f>
        <v>KHJ-MC500-00</v>
      </c>
      <c r="F1772" s="157" t="s">
        <v>2773</v>
      </c>
      <c r="I1772" s="139" t="s">
        <v>3093</v>
      </c>
      <c r="J1772" s="139" t="s">
        <v>3208</v>
      </c>
      <c r="K1772" s="51" t="s">
        <v>1246</v>
      </c>
      <c r="L1772" s="4">
        <v>43789</v>
      </c>
      <c r="M1772" s="140">
        <v>2</v>
      </c>
      <c r="P1772" s="4" t="s">
        <v>291</v>
      </c>
      <c r="Q1772" s="143"/>
      <c r="T1772" s="144"/>
      <c r="U1772" s="145" t="e">
        <f>VLOOKUP(H1772,Stock_list!A:N,14,FALSE)</f>
        <v>#N/A</v>
      </c>
    </row>
    <row r="1773" spans="1:21" ht="16.5" customHeight="1">
      <c r="A1773" s="159" t="s">
        <v>2744</v>
      </c>
      <c r="B1773" s="114" t="str">
        <f>VLOOKUP(A1773,'Data pick slip'!B:F,5,FALSE)</f>
        <v>KHJ-MC100-00</v>
      </c>
      <c r="F1773" s="157" t="s">
        <v>2773</v>
      </c>
      <c r="I1773" s="139" t="s">
        <v>3093</v>
      </c>
      <c r="J1773" s="139" t="s">
        <v>3182</v>
      </c>
      <c r="K1773" s="51" t="s">
        <v>1246</v>
      </c>
      <c r="L1773" s="4">
        <v>43804</v>
      </c>
      <c r="M1773" s="140">
        <v>30</v>
      </c>
      <c r="P1773" s="4" t="s">
        <v>291</v>
      </c>
      <c r="Q1773" s="143"/>
      <c r="T1773" s="144"/>
      <c r="U1773" s="145" t="e">
        <f>VLOOKUP(H1773,Stock_list!A:N,14,FALSE)</f>
        <v>#N/A</v>
      </c>
    </row>
    <row r="1774" spans="1:21" ht="16.5" customHeight="1">
      <c r="A1774" s="159" t="s">
        <v>2747</v>
      </c>
      <c r="B1774" s="114" t="str">
        <f>VLOOKUP(A1774,'Data pick slip'!B:F,5,FALSE)</f>
        <v>KHJ-MC200-00</v>
      </c>
      <c r="F1774" s="157" t="s">
        <v>2773</v>
      </c>
      <c r="I1774" s="139" t="s">
        <v>3093</v>
      </c>
      <c r="J1774" s="139" t="s">
        <v>3182</v>
      </c>
      <c r="K1774" s="51" t="s">
        <v>1246</v>
      </c>
      <c r="L1774" s="4">
        <v>43804</v>
      </c>
      <c r="M1774" s="140">
        <v>5</v>
      </c>
      <c r="P1774" s="4" t="s">
        <v>291</v>
      </c>
      <c r="Q1774" s="143"/>
      <c r="T1774" s="144"/>
      <c r="U1774" s="145" t="e">
        <f>VLOOKUP(H1774,Stock_list!A:N,14,FALSE)</f>
        <v>#N/A</v>
      </c>
    </row>
    <row r="1775" spans="1:21" ht="16.5" customHeight="1">
      <c r="A1775" s="159" t="s">
        <v>2744</v>
      </c>
      <c r="B1775" s="114" t="str">
        <f>VLOOKUP(A1775,'Data pick slip'!B:F,5,FALSE)</f>
        <v>KHJ-MC100-00</v>
      </c>
      <c r="F1775" s="157" t="s">
        <v>2773</v>
      </c>
      <c r="H1775" s="138">
        <v>525</v>
      </c>
      <c r="I1775" s="139" t="str">
        <f>VLOOKUP(H1775,Stock_list!A:R,18,FALSE)</f>
        <v>杰森泰</v>
      </c>
      <c r="J1775" s="139" t="str">
        <f>VLOOKUP(H1775,Stock_list!A:S,17,FALSE)</f>
        <v>C49SZX20190181DY</v>
      </c>
      <c r="K1775" s="51" t="str">
        <f>VLOOKUP(H1775,Stock_list!A:T,16,FALSE)</f>
        <v>RMB</v>
      </c>
      <c r="L1775" s="4">
        <v>43830</v>
      </c>
      <c r="M1775" s="132">
        <v>95</v>
      </c>
      <c r="P1775" s="4" t="str">
        <f>VLOOKUP(H1775,Stock_list!A:Y,25,FALSE)</f>
        <v>Yes</v>
      </c>
      <c r="Q1775" s="143"/>
      <c r="T1775" s="144"/>
      <c r="U1775" s="145" t="str">
        <f>VLOOKUP(H1775,Stock_list!A:N,14,FALSE)</f>
        <v>DEC 19</v>
      </c>
    </row>
    <row r="1776" spans="1:21" ht="16.5" customHeight="1">
      <c r="A1776" s="159" t="s">
        <v>2747</v>
      </c>
      <c r="B1776" s="114" t="str">
        <f>VLOOKUP(A1776,'Data pick slip'!B:F,5,FALSE)</f>
        <v>KHJ-MC200-00</v>
      </c>
      <c r="F1776" s="157" t="s">
        <v>2773</v>
      </c>
      <c r="H1776" s="138">
        <v>525</v>
      </c>
      <c r="I1776" s="139" t="str">
        <f>VLOOKUP(H1776,Stock_list!A:R,18,FALSE)</f>
        <v>杰森泰</v>
      </c>
      <c r="J1776" s="139" t="str">
        <f>VLOOKUP(H1776,Stock_list!A:S,17,FALSE)</f>
        <v>C49SZX20190181DY</v>
      </c>
      <c r="K1776" s="51" t="str">
        <f>VLOOKUP(H1776,Stock_list!A:T,16,FALSE)</f>
        <v>RMB</v>
      </c>
      <c r="L1776" s="4">
        <v>43830</v>
      </c>
      <c r="M1776" s="132">
        <v>5</v>
      </c>
      <c r="P1776" s="4" t="str">
        <f>VLOOKUP(H1776,Stock_list!A:Y,25,FALSE)</f>
        <v>Yes</v>
      </c>
      <c r="Q1776" s="143"/>
      <c r="T1776" s="144"/>
      <c r="U1776" s="145" t="str">
        <f>VLOOKUP(H1776,Stock_list!A:N,14,FALSE)</f>
        <v>DEC 19</v>
      </c>
    </row>
    <row r="1777" spans="1:21" ht="16.5" customHeight="1">
      <c r="A1777" s="159" t="s">
        <v>2744</v>
      </c>
      <c r="B1777" s="114" t="str">
        <f>VLOOKUP(A1777,'Data pick slip'!B:F,5,FALSE)</f>
        <v>KHJ-MC100-00</v>
      </c>
      <c r="F1777" s="157" t="s">
        <v>2773</v>
      </c>
      <c r="I1777" s="139" t="s">
        <v>3093</v>
      </c>
      <c r="J1777" s="139" t="s">
        <v>3209</v>
      </c>
      <c r="K1777" s="51" t="s">
        <v>1246</v>
      </c>
      <c r="L1777" s="4">
        <v>43810</v>
      </c>
      <c r="M1777" s="132">
        <v>60</v>
      </c>
      <c r="P1777" s="4" t="s">
        <v>291</v>
      </c>
      <c r="Q1777" s="143"/>
      <c r="T1777" s="144"/>
      <c r="U1777" s="145" t="e">
        <f>VLOOKUP(H1777,Stock_list!A:N,14,FALSE)</f>
        <v>#N/A</v>
      </c>
    </row>
    <row r="1778" spans="1:21" ht="16.5" customHeight="1">
      <c r="A1778" s="159" t="s">
        <v>2747</v>
      </c>
      <c r="B1778" s="114" t="str">
        <f>VLOOKUP(A1778,'Data pick slip'!B:F,5,FALSE)</f>
        <v>KHJ-MC200-00</v>
      </c>
      <c r="F1778" s="157" t="s">
        <v>2773</v>
      </c>
      <c r="I1778" s="139" t="s">
        <v>3093</v>
      </c>
      <c r="J1778" s="139" t="s">
        <v>3209</v>
      </c>
      <c r="K1778" s="51" t="s">
        <v>1246</v>
      </c>
      <c r="L1778" s="4">
        <v>43810</v>
      </c>
      <c r="M1778" s="132">
        <v>12</v>
      </c>
      <c r="P1778" s="4" t="s">
        <v>291</v>
      </c>
      <c r="Q1778" s="143"/>
      <c r="T1778" s="144"/>
      <c r="U1778" s="145" t="e">
        <f>VLOOKUP(H1778,Stock_list!A:N,14,FALSE)</f>
        <v>#N/A</v>
      </c>
    </row>
    <row r="1779" spans="1:21" ht="16.5" customHeight="1">
      <c r="A1779" s="159" t="s">
        <v>2747</v>
      </c>
      <c r="B1779" s="114" t="str">
        <f>VLOOKUP(A1779,'Data pick slip'!B:F,5,FALSE)</f>
        <v>KHJ-MC200-00</v>
      </c>
      <c r="F1779" s="157" t="s">
        <v>2773</v>
      </c>
      <c r="I1779" s="139" t="s">
        <v>3210</v>
      </c>
      <c r="J1779" s="139" t="s">
        <v>3210</v>
      </c>
      <c r="K1779" s="51" t="s">
        <v>3123</v>
      </c>
      <c r="L1779" s="4">
        <v>43811</v>
      </c>
      <c r="M1779" s="132">
        <v>70</v>
      </c>
      <c r="P1779" s="4" t="s">
        <v>291</v>
      </c>
      <c r="Q1779" s="143"/>
      <c r="T1779" s="144"/>
      <c r="U1779" s="145" t="e">
        <f>VLOOKUP(H1779,Stock_list!A:N,14,FALSE)</f>
        <v>#N/A</v>
      </c>
    </row>
    <row r="1780" spans="1:21" ht="16.5" customHeight="1">
      <c r="A1780" s="159" t="s">
        <v>2747</v>
      </c>
      <c r="B1780" s="114" t="str">
        <f>VLOOKUP(A1780,'Data pick slip'!B:F,5,FALSE)</f>
        <v>KHJ-MC200-00</v>
      </c>
      <c r="F1780" s="157" t="s">
        <v>2861</v>
      </c>
      <c r="I1780" s="139" t="s">
        <v>3015</v>
      </c>
      <c r="J1780" s="139" t="s">
        <v>3211</v>
      </c>
      <c r="K1780" s="51" t="s">
        <v>1246</v>
      </c>
      <c r="L1780" s="4">
        <v>43811</v>
      </c>
      <c r="M1780" s="132">
        <v>8</v>
      </c>
      <c r="P1780" s="4" t="s">
        <v>291</v>
      </c>
      <c r="Q1780" s="143"/>
      <c r="T1780" s="144"/>
      <c r="U1780" s="145" t="e">
        <f>VLOOKUP(H1780,Stock_list!A:N,14,FALSE)</f>
        <v>#N/A</v>
      </c>
    </row>
    <row r="1781" spans="1:21" ht="16.5" customHeight="1">
      <c r="A1781" s="159" t="s">
        <v>2756</v>
      </c>
      <c r="B1781" s="114" t="str">
        <f>VLOOKUP(A1781,'Data pick slip'!B:F,5,FALSE)</f>
        <v>KLJ-MC200-00</v>
      </c>
      <c r="F1781" s="157" t="s">
        <v>2861</v>
      </c>
      <c r="I1781" s="139" t="s">
        <v>3015</v>
      </c>
      <c r="J1781" s="139" t="s">
        <v>3211</v>
      </c>
      <c r="K1781" s="51" t="s">
        <v>1246</v>
      </c>
      <c r="L1781" s="4">
        <v>43811</v>
      </c>
      <c r="M1781" s="132">
        <v>20</v>
      </c>
      <c r="P1781" s="4" t="s">
        <v>291</v>
      </c>
      <c r="T1781" s="144"/>
      <c r="U1781" s="145" t="e">
        <f>VLOOKUP(H1781,Stock_list!A:N,14,FALSE)</f>
        <v>#N/A</v>
      </c>
    </row>
    <row r="1782" spans="1:21" ht="16.5" customHeight="1">
      <c r="A1782" s="159" t="s">
        <v>2749</v>
      </c>
      <c r="B1782" s="114" t="str">
        <f>VLOOKUP(A1782,'Data pick slip'!B:F,5,FALSE)</f>
        <v>KHJ-MC500-00</v>
      </c>
      <c r="F1782" s="157" t="s">
        <v>2773</v>
      </c>
      <c r="I1782" s="139" t="s">
        <v>3093</v>
      </c>
      <c r="J1782" s="139" t="s">
        <v>3187</v>
      </c>
      <c r="K1782" s="51" t="s">
        <v>1246</v>
      </c>
      <c r="L1782" s="4">
        <v>43810</v>
      </c>
      <c r="M1782" s="132">
        <v>2</v>
      </c>
      <c r="P1782" s="4" t="s">
        <v>291</v>
      </c>
      <c r="Q1782" s="143"/>
      <c r="T1782" s="144"/>
      <c r="U1782" s="145" t="e">
        <f>VLOOKUP(H1782,Stock_list!A:N,14,FALSE)</f>
        <v>#N/A</v>
      </c>
    </row>
    <row r="1783" spans="1:21" ht="16.5" customHeight="1">
      <c r="A1783" s="159" t="s">
        <v>2744</v>
      </c>
      <c r="B1783" s="114" t="str">
        <f>VLOOKUP(A1783,'Data pick slip'!B:F,5,FALSE)</f>
        <v>KHJ-MC100-00</v>
      </c>
      <c r="F1783" s="157" t="s">
        <v>2861</v>
      </c>
      <c r="H1783" s="138">
        <v>527</v>
      </c>
      <c r="I1783" s="139" t="str">
        <f>VLOOKUP(H1783,Stock_list!A:R,18,FALSE)</f>
        <v>正创</v>
      </c>
      <c r="J1783" s="139" t="str">
        <f>VLOOKUP(H1783,Stock_list!A:S,17,FALSE)</f>
        <v>C49SZX20190180SS</v>
      </c>
      <c r="K1783" s="51" t="str">
        <f>VLOOKUP(H1783,Stock_list!A:T,16,FALSE)</f>
        <v>JPY</v>
      </c>
      <c r="L1783" s="4">
        <v>43813</v>
      </c>
      <c r="M1783" s="132">
        <v>5</v>
      </c>
      <c r="P1783" s="4" t="str">
        <f>VLOOKUP(H1783,Stock_list!A:Y,25,FALSE)</f>
        <v>Yes</v>
      </c>
      <c r="Q1783" s="143"/>
      <c r="T1783" s="144"/>
      <c r="U1783" s="145" t="str">
        <f>VLOOKUP(H1783,Stock_list!A:N,14,FALSE)</f>
        <v>DEC 19</v>
      </c>
    </row>
    <row r="1784" spans="1:21" ht="16.5" customHeight="1">
      <c r="A1784" s="159" t="s">
        <v>2747</v>
      </c>
      <c r="B1784" s="114" t="str">
        <f>VLOOKUP(A1784,'Data pick slip'!B:F,5,FALSE)</f>
        <v>KHJ-MC200-00</v>
      </c>
      <c r="F1784" s="157" t="s">
        <v>2773</v>
      </c>
      <c r="H1784" s="138">
        <v>527</v>
      </c>
      <c r="I1784" s="139" t="str">
        <f>VLOOKUP(H1784,Stock_list!A:R,18,FALSE)</f>
        <v>正创</v>
      </c>
      <c r="J1784" s="139" t="str">
        <f>VLOOKUP(H1784,Stock_list!A:S,17,FALSE)</f>
        <v>C49SZX20190180SS</v>
      </c>
      <c r="K1784" s="51" t="str">
        <f>VLOOKUP(H1784,Stock_list!A:T,16,FALSE)</f>
        <v>JPY</v>
      </c>
      <c r="L1784" s="4">
        <v>43813</v>
      </c>
      <c r="M1784" s="132">
        <v>2</v>
      </c>
      <c r="P1784" s="4" t="str">
        <f>VLOOKUP(H1784,Stock_list!A:Y,25,FALSE)</f>
        <v>Yes</v>
      </c>
      <c r="Q1784" s="143"/>
      <c r="S1784" s="123" t="s">
        <v>3003</v>
      </c>
      <c r="T1784" s="205" t="s">
        <v>3212</v>
      </c>
      <c r="U1784" s="145" t="str">
        <f>VLOOKUP(H1784,Stock_list!A:N,14,FALSE)</f>
        <v>DEC 19</v>
      </c>
    </row>
    <row r="1785" spans="1:21" ht="16.5" customHeight="1">
      <c r="A1785" s="159" t="s">
        <v>2755</v>
      </c>
      <c r="B1785" s="114" t="str">
        <f>VLOOKUP(A1785,'Data pick slip'!B:F,5,FALSE)</f>
        <v>KLJ-MC100-00</v>
      </c>
      <c r="F1785" s="157" t="s">
        <v>2773</v>
      </c>
      <c r="H1785" s="138">
        <v>532</v>
      </c>
      <c r="I1785" s="139" t="str">
        <f>VLOOKUP(H1785,Stock_list!A:R,18,FALSE)</f>
        <v>锐诚</v>
      </c>
      <c r="J1785" s="139" t="str">
        <f>VLOOKUP(H1785,Stock_list!A:S,17,FALSE)</f>
        <v>C49SZX20190149SX</v>
      </c>
      <c r="K1785" s="51" t="str">
        <f>VLOOKUP(H1785,Stock_list!A:T,16,FALSE)</f>
        <v>RMB</v>
      </c>
      <c r="L1785" s="4">
        <v>43818</v>
      </c>
      <c r="M1785" s="132">
        <v>25</v>
      </c>
      <c r="P1785" s="4" t="str">
        <f>VLOOKUP(H1785,Stock_list!A:Y,25,FALSE)</f>
        <v>Yes</v>
      </c>
      <c r="Q1785" s="143"/>
      <c r="T1785" s="144"/>
      <c r="U1785" s="145" t="str">
        <f>VLOOKUP(H1785,Stock_list!A:N,14,FALSE)</f>
        <v>DEC 19</v>
      </c>
    </row>
    <row r="1786" spans="1:21" ht="16.5" customHeight="1">
      <c r="A1786" s="159" t="s">
        <v>2744</v>
      </c>
      <c r="B1786" s="114" t="str">
        <f>VLOOKUP(A1786,'Data pick slip'!B:F,5,FALSE)</f>
        <v>KHJ-MC100-00</v>
      </c>
      <c r="F1786" s="157" t="s">
        <v>2861</v>
      </c>
      <c r="H1786" s="138">
        <v>533</v>
      </c>
      <c r="I1786" s="139" t="str">
        <f>VLOOKUP(H1786,Stock_list!A:R,18,FALSE)</f>
        <v>博睿通</v>
      </c>
      <c r="J1786" s="139" t="str">
        <f>VLOOKUP(H1786,Stock_list!A:S,17,FALSE)</f>
        <v>C49SZX20190141SS</v>
      </c>
      <c r="K1786" s="51" t="str">
        <f>VLOOKUP(H1786,Stock_list!A:T,16,FALSE)</f>
        <v>JPY</v>
      </c>
      <c r="L1786" s="4">
        <v>43894</v>
      </c>
      <c r="M1786" s="132">
        <v>155</v>
      </c>
      <c r="P1786" s="4" t="str">
        <f>VLOOKUP(H1786,Stock_list!A:Y,25,FALSE)</f>
        <v>Yes</v>
      </c>
      <c r="Q1786" s="143"/>
      <c r="T1786" s="144"/>
      <c r="U1786" s="145" t="str">
        <f>VLOOKUP(H1786,Stock_list!A:N,14,FALSE)</f>
        <v>FEB 20</v>
      </c>
    </row>
    <row r="1787" spans="1:21" ht="16.5" customHeight="1">
      <c r="A1787" s="159" t="s">
        <v>2747</v>
      </c>
      <c r="B1787" s="114" t="str">
        <f>VLOOKUP(A1787,'Data pick slip'!B:F,5,FALSE)</f>
        <v>KHJ-MC200-00</v>
      </c>
      <c r="F1787" s="157" t="s">
        <v>2861</v>
      </c>
      <c r="H1787" s="138">
        <v>533</v>
      </c>
      <c r="I1787" s="139" t="str">
        <f>VLOOKUP(H1787,Stock_list!A:R,18,FALSE)</f>
        <v>博睿通</v>
      </c>
      <c r="J1787" s="139" t="str">
        <f>VLOOKUP(H1787,Stock_list!A:S,17,FALSE)</f>
        <v>C49SZX20190141SS</v>
      </c>
      <c r="K1787" s="51" t="str">
        <f>VLOOKUP(H1787,Stock_list!A:T,16,FALSE)</f>
        <v>JPY</v>
      </c>
      <c r="L1787" s="4">
        <v>43894</v>
      </c>
      <c r="M1787" s="132">
        <v>60</v>
      </c>
      <c r="P1787" s="4" t="str">
        <f>VLOOKUP(H1787,Stock_list!A:Y,25,FALSE)</f>
        <v>Yes</v>
      </c>
      <c r="Q1787" s="143"/>
      <c r="T1787" s="144"/>
      <c r="U1787" s="145" t="str">
        <f>VLOOKUP(H1787,Stock_list!A:N,14,FALSE)</f>
        <v>FEB 20</v>
      </c>
    </row>
    <row r="1788" spans="1:21" ht="16.5" customHeight="1">
      <c r="A1788" s="159" t="s">
        <v>2748</v>
      </c>
      <c r="B1788" s="114" t="str">
        <f>VLOOKUP(A1788,'Data pick slip'!B:F,5,FALSE)</f>
        <v>KHJ-MC400-00</v>
      </c>
      <c r="F1788" s="157" t="s">
        <v>2861</v>
      </c>
      <c r="H1788" s="138">
        <v>533</v>
      </c>
      <c r="I1788" s="139" t="str">
        <f>VLOOKUP(H1788,Stock_list!A:R,18,FALSE)</f>
        <v>博睿通</v>
      </c>
      <c r="J1788" s="139" t="str">
        <f>VLOOKUP(H1788,Stock_list!A:S,17,FALSE)</f>
        <v>C49SZX20190141SS</v>
      </c>
      <c r="K1788" s="51" t="str">
        <f>VLOOKUP(H1788,Stock_list!A:T,16,FALSE)</f>
        <v>JPY</v>
      </c>
      <c r="L1788" s="4">
        <v>43894</v>
      </c>
      <c r="M1788" s="132">
        <v>12</v>
      </c>
      <c r="P1788" s="4" t="str">
        <f>VLOOKUP(H1788,Stock_list!A:Y,25,FALSE)</f>
        <v>Yes</v>
      </c>
      <c r="Q1788" s="143"/>
      <c r="T1788" s="144"/>
      <c r="U1788" s="145" t="str">
        <f>VLOOKUP(H1788,Stock_list!A:N,14,FALSE)</f>
        <v>FEB 20</v>
      </c>
    </row>
    <row r="1789" spans="1:21" ht="16.5" customHeight="1">
      <c r="A1789" s="159" t="s">
        <v>2748</v>
      </c>
      <c r="B1789" s="114" t="str">
        <f>VLOOKUP(A1789,'Data pick slip'!B:F,5,FALSE)</f>
        <v>KHJ-MC400-00</v>
      </c>
      <c r="F1789" s="157" t="s">
        <v>2773</v>
      </c>
      <c r="I1789" s="139" t="s">
        <v>3093</v>
      </c>
      <c r="J1789" s="139" t="s">
        <v>3213</v>
      </c>
      <c r="K1789" s="51" t="s">
        <v>1246</v>
      </c>
      <c r="L1789" s="4">
        <v>43811</v>
      </c>
      <c r="M1789" s="132">
        <v>3</v>
      </c>
      <c r="P1789" s="4" t="s">
        <v>291</v>
      </c>
      <c r="Q1789" s="143"/>
      <c r="T1789" s="144"/>
      <c r="U1789" s="145" t="e">
        <f>VLOOKUP(H1789,Stock_list!A:N,14,FALSE)</f>
        <v>#N/A</v>
      </c>
    </row>
    <row r="1790" spans="1:21" ht="16.5" customHeight="1">
      <c r="A1790" s="159" t="s">
        <v>2747</v>
      </c>
      <c r="B1790" s="114" t="str">
        <f>VLOOKUP(A1790,'Data pick slip'!B:F,5,FALSE)</f>
        <v>KHJ-MC200-00</v>
      </c>
      <c r="F1790" s="157" t="s">
        <v>2773</v>
      </c>
      <c r="I1790" s="139" t="s">
        <v>3093</v>
      </c>
      <c r="J1790" s="139" t="s">
        <v>3214</v>
      </c>
      <c r="K1790" s="51" t="s">
        <v>1246</v>
      </c>
      <c r="L1790" s="4">
        <v>43811</v>
      </c>
      <c r="M1790" s="132">
        <v>4</v>
      </c>
      <c r="P1790" s="4" t="s">
        <v>291</v>
      </c>
      <c r="Q1790" s="143"/>
      <c r="T1790" s="144"/>
      <c r="U1790" s="145" t="e">
        <f>VLOOKUP(H1790,Stock_list!A:N,14,FALSE)</f>
        <v>#N/A</v>
      </c>
    </row>
    <row r="1791" spans="1:21" ht="16.5" customHeight="1">
      <c r="A1791" s="159" t="s">
        <v>2744</v>
      </c>
      <c r="B1791" s="114" t="str">
        <f>VLOOKUP(A1791,'Data pick slip'!B:F,5,FALSE)</f>
        <v>KHJ-MC100-00</v>
      </c>
      <c r="F1791" s="157" t="s">
        <v>2861</v>
      </c>
      <c r="H1791" s="138">
        <v>529</v>
      </c>
      <c r="I1791" s="139" t="str">
        <f>VLOOKUP(H1791,Stock_list!A:R,18,FALSE)</f>
        <v>嘉裕</v>
      </c>
      <c r="J1791" s="139" t="str">
        <f>VLOOKUP(H1791,Stock_list!A:S,17,FALSE)</f>
        <v>C49SZX20190173DZ</v>
      </c>
      <c r="K1791" s="51" t="str">
        <f>VLOOKUP(H1791,Stock_list!A:T,16,FALSE)</f>
        <v>JPY</v>
      </c>
      <c r="L1791" s="4">
        <v>43941</v>
      </c>
      <c r="M1791" s="132">
        <v>60</v>
      </c>
      <c r="P1791" s="4" t="str">
        <f>VLOOKUP(H1791,Stock_list!A:Y,25,FALSE)</f>
        <v>Yes</v>
      </c>
      <c r="Q1791" s="143"/>
      <c r="T1791" s="144"/>
      <c r="U1791" s="145" t="str">
        <f>VLOOKUP(H1791,Stock_list!A:N,14,FALSE)</f>
        <v>APR 20</v>
      </c>
    </row>
    <row r="1792" spans="1:21" ht="16.5" customHeight="1">
      <c r="A1792" s="159" t="s">
        <v>2747</v>
      </c>
      <c r="B1792" s="114" t="str">
        <f>VLOOKUP(A1792,'Data pick slip'!B:F,5,FALSE)</f>
        <v>KHJ-MC200-00</v>
      </c>
      <c r="F1792" s="157" t="s">
        <v>2861</v>
      </c>
      <c r="H1792" s="138">
        <v>529</v>
      </c>
      <c r="I1792" s="139" t="str">
        <f>VLOOKUP(H1792,Stock_list!A:R,18,FALSE)</f>
        <v>嘉裕</v>
      </c>
      <c r="J1792" s="139" t="str">
        <f>VLOOKUP(H1792,Stock_list!A:S,17,FALSE)</f>
        <v>C49SZX20190173DZ</v>
      </c>
      <c r="K1792" s="51" t="str">
        <f>VLOOKUP(H1792,Stock_list!A:T,16,FALSE)</f>
        <v>JPY</v>
      </c>
      <c r="L1792" s="4">
        <v>43941</v>
      </c>
      <c r="M1792" s="132">
        <v>10</v>
      </c>
      <c r="P1792" s="4" t="str">
        <f>VLOOKUP(H1792,Stock_list!A:Y,25,FALSE)</f>
        <v>Yes</v>
      </c>
      <c r="Q1792" s="143"/>
      <c r="T1792" s="144"/>
      <c r="U1792" s="145" t="str">
        <f>VLOOKUP(H1792,Stock_list!A:N,14,FALSE)</f>
        <v>APR 20</v>
      </c>
    </row>
    <row r="1793" spans="1:21" ht="16.5" customHeight="1">
      <c r="A1793" s="159" t="s">
        <v>2748</v>
      </c>
      <c r="B1793" s="114" t="str">
        <f>VLOOKUP(A1793,'Data pick slip'!B:F,5,FALSE)</f>
        <v>KHJ-MC400-00</v>
      </c>
      <c r="F1793" s="157" t="s">
        <v>2861</v>
      </c>
      <c r="H1793" s="138">
        <v>529</v>
      </c>
      <c r="I1793" s="139" t="str">
        <f>VLOOKUP(H1793,Stock_list!A:R,18,FALSE)</f>
        <v>嘉裕</v>
      </c>
      <c r="J1793" s="139" t="str">
        <f>VLOOKUP(H1793,Stock_list!A:S,17,FALSE)</f>
        <v>C49SZX20190173DZ</v>
      </c>
      <c r="K1793" s="51" t="str">
        <f>VLOOKUP(H1793,Stock_list!A:T,16,FALSE)</f>
        <v>JPY</v>
      </c>
      <c r="L1793" s="4">
        <v>43941</v>
      </c>
      <c r="M1793" s="132">
        <v>10</v>
      </c>
      <c r="P1793" s="4" t="str">
        <f>VLOOKUP(H1793,Stock_list!A:Y,25,FALSE)</f>
        <v>Yes</v>
      </c>
      <c r="Q1793" s="143"/>
      <c r="T1793" s="144"/>
      <c r="U1793" s="145" t="str">
        <f>VLOOKUP(H1793,Stock_list!A:N,14,FALSE)</f>
        <v>APR 20</v>
      </c>
    </row>
    <row r="1794" spans="1:21" ht="16.5" customHeight="1">
      <c r="A1794" s="159" t="s">
        <v>2749</v>
      </c>
      <c r="B1794" s="114" t="str">
        <f>VLOOKUP(A1794,'Data pick slip'!B:F,5,FALSE)</f>
        <v>KHJ-MC500-00</v>
      </c>
      <c r="F1794" s="157" t="s">
        <v>2861</v>
      </c>
      <c r="H1794" s="138">
        <v>529</v>
      </c>
      <c r="I1794" s="139" t="str">
        <f>VLOOKUP(H1794,Stock_list!A:R,18,FALSE)</f>
        <v>嘉裕</v>
      </c>
      <c r="J1794" s="139" t="str">
        <f>VLOOKUP(H1794,Stock_list!A:S,17,FALSE)</f>
        <v>C49SZX20190173DZ</v>
      </c>
      <c r="K1794" s="51" t="str">
        <f>VLOOKUP(H1794,Stock_list!A:T,16,FALSE)</f>
        <v>JPY</v>
      </c>
      <c r="L1794" s="4">
        <v>43941</v>
      </c>
      <c r="M1794" s="132">
        <v>2</v>
      </c>
      <c r="P1794" s="4" t="str">
        <f>VLOOKUP(H1794,Stock_list!A:Y,25,FALSE)</f>
        <v>Yes</v>
      </c>
      <c r="Q1794" s="143"/>
      <c r="T1794" s="144"/>
      <c r="U1794" s="145" t="str">
        <f>VLOOKUP(H1794,Stock_list!A:N,14,FALSE)</f>
        <v>APR 20</v>
      </c>
    </row>
    <row r="1795" spans="1:21" ht="16.5" customHeight="1">
      <c r="A1795" s="159" t="s">
        <v>2750</v>
      </c>
      <c r="B1795" s="114" t="str">
        <f>VLOOKUP(A1795,'Data pick slip'!B:F,5,FALSE)</f>
        <v>KHJ-MC600-00</v>
      </c>
      <c r="F1795" s="157" t="s">
        <v>2861</v>
      </c>
      <c r="H1795" s="138">
        <v>529</v>
      </c>
      <c r="I1795" s="139" t="str">
        <f>VLOOKUP(H1795,Stock_list!A:R,18,FALSE)</f>
        <v>嘉裕</v>
      </c>
      <c r="J1795" s="139" t="str">
        <f>VLOOKUP(H1795,Stock_list!A:S,17,FALSE)</f>
        <v>C49SZX20190173DZ</v>
      </c>
      <c r="K1795" s="51" t="str">
        <f>VLOOKUP(H1795,Stock_list!A:T,16,FALSE)</f>
        <v>JPY</v>
      </c>
      <c r="L1795" s="4">
        <v>43941</v>
      </c>
      <c r="M1795" s="132">
        <v>2</v>
      </c>
      <c r="P1795" s="4" t="str">
        <f>VLOOKUP(H1795,Stock_list!A:Y,25,FALSE)</f>
        <v>Yes</v>
      </c>
      <c r="Q1795" s="143"/>
      <c r="T1795" s="144"/>
      <c r="U1795" s="145" t="str">
        <f>VLOOKUP(H1795,Stock_list!A:N,14,FALSE)</f>
        <v>APR 20</v>
      </c>
    </row>
    <row r="1796" spans="1:21" ht="16.5" customHeight="1">
      <c r="A1796" s="159" t="s">
        <v>2744</v>
      </c>
      <c r="B1796" s="114" t="str">
        <f>VLOOKUP(A1796,'Data pick slip'!B:F,5,FALSE)</f>
        <v>KHJ-MC100-00</v>
      </c>
      <c r="F1796" s="157" t="s">
        <v>2861</v>
      </c>
      <c r="H1796" s="138">
        <v>545</v>
      </c>
      <c r="I1796" s="139" t="str">
        <f>VLOOKUP(H1796,Stock_list!A:R,18,FALSE)</f>
        <v>志恒兴盛</v>
      </c>
      <c r="J1796" s="139" t="str">
        <f>VLOOKUP(H1796,Stock_list!A:S,17,FALSE)</f>
        <v>C49SZX20190182JL</v>
      </c>
      <c r="K1796" s="51" t="str">
        <f>VLOOKUP(H1796,Stock_list!A:T,16,FALSE)</f>
        <v>JPY</v>
      </c>
      <c r="L1796" s="4">
        <v>43845</v>
      </c>
      <c r="M1796" s="132">
        <v>100</v>
      </c>
      <c r="P1796" s="4" t="str">
        <f>VLOOKUP(H1796,Stock_list!A:Y,25,FALSE)</f>
        <v>Yes</v>
      </c>
      <c r="Q1796" s="143"/>
      <c r="T1796" s="144"/>
      <c r="U1796" s="145" t="str">
        <f>VLOOKUP(H1796,Stock_list!A:N,14,FALSE)</f>
        <v>JAN 20</v>
      </c>
    </row>
    <row r="1797" spans="1:21" ht="16.5" customHeight="1">
      <c r="A1797" s="159" t="s">
        <v>2747</v>
      </c>
      <c r="B1797" s="114" t="str">
        <f>VLOOKUP(A1797,'Data pick slip'!B:F,5,FALSE)</f>
        <v>KHJ-MC200-00</v>
      </c>
      <c r="F1797" s="157" t="s">
        <v>2861</v>
      </c>
      <c r="H1797" s="138">
        <v>545</v>
      </c>
      <c r="I1797" s="139" t="str">
        <f>VLOOKUP(H1797,Stock_list!A:R,18,FALSE)</f>
        <v>志恒兴盛</v>
      </c>
      <c r="J1797" s="139" t="str">
        <f>VLOOKUP(H1797,Stock_list!A:S,17,FALSE)</f>
        <v>C49SZX20190182JL</v>
      </c>
      <c r="K1797" s="51" t="str">
        <f>VLOOKUP(H1797,Stock_list!A:T,16,FALSE)</f>
        <v>JPY</v>
      </c>
      <c r="L1797" s="4">
        <v>43845</v>
      </c>
      <c r="M1797" s="132">
        <v>30</v>
      </c>
      <c r="P1797" s="4" t="str">
        <f>VLOOKUP(H1797,Stock_list!A:Y,25,FALSE)</f>
        <v>Yes</v>
      </c>
      <c r="Q1797" s="143"/>
      <c r="T1797" s="144"/>
      <c r="U1797" s="145" t="str">
        <f>VLOOKUP(H1797,Stock_list!A:N,14,FALSE)</f>
        <v>JAN 20</v>
      </c>
    </row>
    <row r="1798" spans="1:21" ht="16.5" customHeight="1">
      <c r="A1798" s="159" t="s">
        <v>2748</v>
      </c>
      <c r="B1798" s="114" t="str">
        <f>VLOOKUP(A1798,'Data pick slip'!B:F,5,FALSE)</f>
        <v>KHJ-MC400-00</v>
      </c>
      <c r="F1798" s="157" t="s">
        <v>2861</v>
      </c>
      <c r="H1798" s="138">
        <v>545</v>
      </c>
      <c r="I1798" s="139" t="str">
        <f>VLOOKUP(H1798,Stock_list!A:R,18,FALSE)</f>
        <v>志恒兴盛</v>
      </c>
      <c r="J1798" s="139" t="str">
        <f>VLOOKUP(H1798,Stock_list!A:S,17,FALSE)</f>
        <v>C49SZX20190182JL</v>
      </c>
      <c r="K1798" s="51" t="str">
        <f>VLOOKUP(H1798,Stock_list!A:T,16,FALSE)</f>
        <v>JPY</v>
      </c>
      <c r="L1798" s="4">
        <v>43845</v>
      </c>
      <c r="M1798" s="132">
        <v>4</v>
      </c>
      <c r="P1798" s="4" t="str">
        <f>VLOOKUP(H1798,Stock_list!A:Y,25,FALSE)</f>
        <v>Yes</v>
      </c>
      <c r="Q1798" s="143"/>
      <c r="T1798" s="144"/>
      <c r="U1798" s="145" t="str">
        <f>VLOOKUP(H1798,Stock_list!A:N,14,FALSE)</f>
        <v>JAN 20</v>
      </c>
    </row>
    <row r="1799" spans="1:21" ht="16.5" customHeight="1">
      <c r="A1799" s="159" t="s">
        <v>2744</v>
      </c>
      <c r="B1799" s="114" t="str">
        <f>VLOOKUP(A1799,'Data pick slip'!B:F,5,FALSE)</f>
        <v>KHJ-MC100-00</v>
      </c>
      <c r="F1799" s="157" t="s">
        <v>2773</v>
      </c>
      <c r="I1799" s="139" t="s">
        <v>3093</v>
      </c>
      <c r="J1799" s="139" t="s">
        <v>3215</v>
      </c>
      <c r="K1799" s="51" t="s">
        <v>1246</v>
      </c>
      <c r="L1799" s="4">
        <v>43815</v>
      </c>
      <c r="M1799" s="132">
        <v>14</v>
      </c>
      <c r="P1799" s="4" t="s">
        <v>291</v>
      </c>
      <c r="Q1799" s="143"/>
      <c r="T1799" s="144"/>
      <c r="U1799" s="145" t="e">
        <f>VLOOKUP(H1799,Stock_list!A:N,14,FALSE)</f>
        <v>#N/A</v>
      </c>
    </row>
    <row r="1800" spans="1:21" ht="16.5" customHeight="1">
      <c r="A1800" s="159" t="s">
        <v>2755</v>
      </c>
      <c r="B1800" s="114" t="str">
        <f>VLOOKUP(A1800,'Data pick slip'!B:F,5,FALSE)</f>
        <v>KLJ-MC100-00</v>
      </c>
      <c r="F1800" s="157" t="s">
        <v>2773</v>
      </c>
      <c r="H1800" s="138">
        <v>549</v>
      </c>
      <c r="I1800" s="139" t="str">
        <f>VLOOKUP(H1800,Stock_list!A:R,18,FALSE)</f>
        <v>耕创</v>
      </c>
      <c r="J1800" s="139" t="str">
        <f>VLOOKUP(H1800,Stock_list!A:S,17,FALSE)</f>
        <v>C49SZX20190185DZ</v>
      </c>
      <c r="K1800" s="51" t="str">
        <f>VLOOKUP(H1800,Stock_list!A:T,16,FALSE)</f>
        <v>RMB</v>
      </c>
      <c r="L1800" s="4">
        <v>43920</v>
      </c>
      <c r="M1800" s="132">
        <v>20</v>
      </c>
      <c r="P1800" s="4" t="str">
        <f>VLOOKUP(H1800,Stock_list!A:Y,25,FALSE)</f>
        <v>Yes</v>
      </c>
      <c r="Q1800" s="143"/>
      <c r="T1800" s="144"/>
      <c r="U1800" s="145" t="str">
        <f>VLOOKUP(H1800,Stock_list!A:N,14,FALSE)</f>
        <v>MAR 20</v>
      </c>
    </row>
    <row r="1801" spans="1:21" ht="16.5" customHeight="1">
      <c r="A1801" s="159" t="s">
        <v>2748</v>
      </c>
      <c r="B1801" s="114" t="str">
        <f>VLOOKUP(A1801,'Data pick slip'!B:F,5,FALSE)</f>
        <v>KHJ-MC400-00</v>
      </c>
      <c r="F1801" s="157" t="s">
        <v>2773</v>
      </c>
      <c r="I1801" s="139" t="s">
        <v>3093</v>
      </c>
      <c r="J1801" s="139" t="s">
        <v>3216</v>
      </c>
      <c r="K1801" s="51" t="s">
        <v>1246</v>
      </c>
      <c r="L1801" s="4">
        <v>43819</v>
      </c>
      <c r="M1801" s="132">
        <v>6</v>
      </c>
      <c r="P1801" s="4" t="s">
        <v>291</v>
      </c>
      <c r="Q1801" s="143"/>
      <c r="T1801" s="144"/>
      <c r="U1801" s="145" t="e">
        <f>VLOOKUP(H1801,Stock_list!A:N,14,FALSE)</f>
        <v>#N/A</v>
      </c>
    </row>
    <row r="1802" spans="1:21" ht="16.5" customHeight="1">
      <c r="A1802" s="159" t="s">
        <v>2749</v>
      </c>
      <c r="B1802" s="114" t="str">
        <f>VLOOKUP(A1802,'Data pick slip'!B:F,5,FALSE)</f>
        <v>KHJ-MC500-00</v>
      </c>
      <c r="F1802" s="157" t="s">
        <v>2773</v>
      </c>
      <c r="I1802" s="139" t="s">
        <v>3093</v>
      </c>
      <c r="J1802" s="139" t="s">
        <v>3216</v>
      </c>
      <c r="K1802" s="51" t="s">
        <v>1246</v>
      </c>
      <c r="L1802" s="4">
        <v>43819</v>
      </c>
      <c r="M1802" s="132">
        <v>2</v>
      </c>
      <c r="P1802" s="4" t="s">
        <v>291</v>
      </c>
      <c r="Q1802" s="143"/>
      <c r="T1802" s="144"/>
      <c r="U1802" s="145" t="e">
        <f>VLOOKUP(H1802,Stock_list!A:N,14,FALSE)</f>
        <v>#N/A</v>
      </c>
    </row>
    <row r="1803" spans="1:21" ht="16.5" customHeight="1">
      <c r="A1803" s="159" t="s">
        <v>2750</v>
      </c>
      <c r="B1803" s="114" t="str">
        <f>VLOOKUP(A1803,'Data pick slip'!B:F,5,FALSE)</f>
        <v>KHJ-MC600-00</v>
      </c>
      <c r="F1803" s="157" t="s">
        <v>2773</v>
      </c>
      <c r="I1803" s="139" t="s">
        <v>3093</v>
      </c>
      <c r="J1803" s="139" t="s">
        <v>3216</v>
      </c>
      <c r="K1803" s="51" t="s">
        <v>1246</v>
      </c>
      <c r="L1803" s="4">
        <v>43819</v>
      </c>
      <c r="M1803" s="132">
        <v>2</v>
      </c>
      <c r="P1803" s="4" t="s">
        <v>291</v>
      </c>
      <c r="Q1803" s="143"/>
      <c r="T1803" s="144"/>
      <c r="U1803" s="145" t="e">
        <f>VLOOKUP(H1803,Stock_list!A:N,14,FALSE)</f>
        <v>#N/A</v>
      </c>
    </row>
    <row r="1804" spans="1:21" ht="16.5" customHeight="1">
      <c r="A1804" s="159" t="s">
        <v>2744</v>
      </c>
      <c r="B1804" s="114" t="str">
        <f>VLOOKUP(A1804,'Data pick slip'!B:F,5,FALSE)</f>
        <v>KHJ-MC100-00</v>
      </c>
      <c r="F1804" s="157" t="s">
        <v>2773</v>
      </c>
      <c r="I1804" s="139" t="s">
        <v>3093</v>
      </c>
      <c r="J1804" s="139" t="s">
        <v>3217</v>
      </c>
      <c r="K1804" s="51" t="s">
        <v>1246</v>
      </c>
      <c r="L1804" s="4">
        <v>43819</v>
      </c>
      <c r="M1804" s="132">
        <v>20</v>
      </c>
      <c r="P1804" s="4" t="s">
        <v>291</v>
      </c>
      <c r="Q1804" s="143"/>
      <c r="T1804" s="144"/>
      <c r="U1804" s="145" t="e">
        <f>VLOOKUP(H1804,Stock_list!A:N,14,FALSE)</f>
        <v>#N/A</v>
      </c>
    </row>
    <row r="1805" spans="1:21" ht="16.5" customHeight="1">
      <c r="A1805" s="159" t="s">
        <v>2747</v>
      </c>
      <c r="B1805" s="114" t="str">
        <f>VLOOKUP(A1805,'Data pick slip'!B:F,5,FALSE)</f>
        <v>KHJ-MC200-00</v>
      </c>
      <c r="F1805" s="157" t="s">
        <v>2773</v>
      </c>
      <c r="I1805" s="139" t="s">
        <v>3093</v>
      </c>
      <c r="J1805" s="139" t="s">
        <v>3217</v>
      </c>
      <c r="K1805" s="51" t="s">
        <v>1246</v>
      </c>
      <c r="L1805" s="4">
        <v>43819</v>
      </c>
      <c r="M1805" s="132">
        <v>10</v>
      </c>
      <c r="P1805" s="4" t="s">
        <v>291</v>
      </c>
      <c r="Q1805" s="143"/>
      <c r="T1805" s="144"/>
      <c r="U1805" s="145" t="e">
        <f>VLOOKUP(H1805,Stock_list!A:N,14,FALSE)</f>
        <v>#N/A</v>
      </c>
    </row>
    <row r="1806" spans="1:21" ht="16.5" customHeight="1">
      <c r="A1806" s="159" t="s">
        <v>2748</v>
      </c>
      <c r="B1806" s="114" t="str">
        <f>VLOOKUP(A1806,'Data pick slip'!B:F,5,FALSE)</f>
        <v>KHJ-MC400-00</v>
      </c>
      <c r="F1806" s="157" t="s">
        <v>2773</v>
      </c>
      <c r="I1806" s="139" t="s">
        <v>3093</v>
      </c>
      <c r="J1806" s="139" t="s">
        <v>3217</v>
      </c>
      <c r="K1806" s="51" t="s">
        <v>1246</v>
      </c>
      <c r="L1806" s="4">
        <v>44185</v>
      </c>
      <c r="M1806" s="132">
        <v>5</v>
      </c>
      <c r="P1806" s="4" t="s">
        <v>291</v>
      </c>
      <c r="Q1806" s="143"/>
      <c r="T1806" s="144"/>
      <c r="U1806" s="145" t="e">
        <f>VLOOKUP(H1806,Stock_list!A:N,14,FALSE)</f>
        <v>#N/A</v>
      </c>
    </row>
    <row r="1807" spans="1:21" ht="16.5" customHeight="1">
      <c r="A1807" s="159" t="s">
        <v>2749</v>
      </c>
      <c r="B1807" s="114" t="str">
        <f>VLOOKUP(A1807,'Data pick slip'!B:F,5,FALSE)</f>
        <v>KHJ-MC500-00</v>
      </c>
      <c r="F1807" s="157" t="s">
        <v>2773</v>
      </c>
      <c r="I1807" s="139" t="s">
        <v>3093</v>
      </c>
      <c r="J1807" s="139" t="s">
        <v>3217</v>
      </c>
      <c r="K1807" s="51" t="s">
        <v>1246</v>
      </c>
      <c r="L1807" s="4">
        <v>44185</v>
      </c>
      <c r="M1807" s="132">
        <v>5</v>
      </c>
      <c r="P1807" s="4" t="s">
        <v>291</v>
      </c>
      <c r="Q1807" s="143"/>
      <c r="T1807" s="144"/>
      <c r="U1807" s="145" t="e">
        <f>VLOOKUP(H1807,Stock_list!A:N,14,FALSE)</f>
        <v>#N/A</v>
      </c>
    </row>
    <row r="1808" spans="1:21" ht="16.5" customHeight="1">
      <c r="A1808" s="159" t="s">
        <v>2749</v>
      </c>
      <c r="B1808" s="114" t="str">
        <f>VLOOKUP(A1808,'Data pick slip'!B:F,5,FALSE)</f>
        <v>KHJ-MC500-00</v>
      </c>
      <c r="F1808" s="157" t="s">
        <v>2773</v>
      </c>
      <c r="I1808" s="139" t="s">
        <v>3093</v>
      </c>
      <c r="J1808" s="139" t="s">
        <v>3218</v>
      </c>
      <c r="K1808" s="51" t="s">
        <v>1246</v>
      </c>
      <c r="L1808" s="4">
        <v>43819</v>
      </c>
      <c r="M1808" s="132">
        <v>1</v>
      </c>
      <c r="P1808" s="4" t="s">
        <v>291</v>
      </c>
      <c r="Q1808" s="143"/>
      <c r="T1808" s="144"/>
      <c r="U1808" s="145" t="e">
        <f>VLOOKUP(H1808,Stock_list!A:N,14,FALSE)</f>
        <v>#N/A</v>
      </c>
    </row>
    <row r="1809" spans="1:21" ht="16.5" customHeight="1">
      <c r="A1809" s="159" t="s">
        <v>2750</v>
      </c>
      <c r="B1809" s="114" t="str">
        <f>VLOOKUP(A1809,'Data pick slip'!B:F,5,FALSE)</f>
        <v>KHJ-MC600-00</v>
      </c>
      <c r="F1809" s="157" t="s">
        <v>2773</v>
      </c>
      <c r="I1809" s="139" t="s">
        <v>3093</v>
      </c>
      <c r="J1809" s="139" t="s">
        <v>3218</v>
      </c>
      <c r="K1809" s="51" t="s">
        <v>1246</v>
      </c>
      <c r="L1809" s="4">
        <v>43819</v>
      </c>
      <c r="M1809" s="132">
        <v>1</v>
      </c>
      <c r="P1809" s="4" t="s">
        <v>291</v>
      </c>
      <c r="Q1809" s="143"/>
      <c r="T1809" s="144"/>
      <c r="U1809" s="145" t="e">
        <f>VLOOKUP(H1809,Stock_list!A:N,14,FALSE)</f>
        <v>#N/A</v>
      </c>
    </row>
    <row r="1810" spans="1:21" ht="16.5" customHeight="1">
      <c r="A1810" s="159" t="s">
        <v>2744</v>
      </c>
      <c r="B1810" s="114" t="str">
        <f>VLOOKUP(A1810,'Data pick slip'!B:F,5,FALSE)</f>
        <v>KHJ-MC100-00</v>
      </c>
      <c r="F1810" s="157" t="s">
        <v>2773</v>
      </c>
      <c r="H1810" s="138">
        <v>552</v>
      </c>
      <c r="I1810" s="139" t="str">
        <f>VLOOKUP(H1810,Stock_list!A:R,18,FALSE)</f>
        <v>杰森泰</v>
      </c>
      <c r="J1810" s="139" t="str">
        <f>VLOOKUP(H1810,Stock_list!A:S,17,FALSE)</f>
        <v>C49SZX20190189DY</v>
      </c>
      <c r="K1810" s="51" t="str">
        <f>VLOOKUP(H1810,Stock_list!A:T,16,FALSE)</f>
        <v>RMB</v>
      </c>
      <c r="L1810" s="4">
        <v>43830</v>
      </c>
      <c r="M1810" s="132">
        <v>5</v>
      </c>
      <c r="P1810" s="4" t="str">
        <f>VLOOKUP(H1810,Stock_list!A:Y,25,FALSE)</f>
        <v>Yes</v>
      </c>
      <c r="Q1810" s="143"/>
      <c r="T1810" s="144"/>
      <c r="U1810" s="145" t="str">
        <f>VLOOKUP(H1810,Stock_list!A:N,14,FALSE)</f>
        <v>DEC 19</v>
      </c>
    </row>
    <row r="1811" spans="1:21" ht="16.5" customHeight="1">
      <c r="A1811" s="159" t="s">
        <v>2747</v>
      </c>
      <c r="B1811" s="114" t="str">
        <f>VLOOKUP(A1811,'Data pick slip'!B:F,5,FALSE)</f>
        <v>KHJ-MC200-00</v>
      </c>
      <c r="F1811" s="157" t="s">
        <v>2773</v>
      </c>
      <c r="H1811" s="138">
        <v>552</v>
      </c>
      <c r="I1811" s="139" t="str">
        <f>VLOOKUP(H1811,Stock_list!A:R,18,FALSE)</f>
        <v>杰森泰</v>
      </c>
      <c r="J1811" s="139" t="str">
        <f>VLOOKUP(H1811,Stock_list!A:S,17,FALSE)</f>
        <v>C49SZX20190189DY</v>
      </c>
      <c r="K1811" s="51" t="str">
        <f>VLOOKUP(H1811,Stock_list!A:T,16,FALSE)</f>
        <v>RMB</v>
      </c>
      <c r="L1811" s="4">
        <v>43830</v>
      </c>
      <c r="M1811" s="132">
        <v>7</v>
      </c>
      <c r="P1811" s="4" t="str">
        <f>VLOOKUP(H1811,Stock_list!A:Y,25,FALSE)</f>
        <v>Yes</v>
      </c>
      <c r="Q1811" s="143"/>
      <c r="T1811" s="144"/>
      <c r="U1811" s="145" t="str">
        <f>VLOOKUP(H1811,Stock_list!A:N,14,FALSE)</f>
        <v>DEC 19</v>
      </c>
    </row>
    <row r="1812" spans="1:21" ht="16.5" customHeight="1">
      <c r="A1812" s="159" t="s">
        <v>2748</v>
      </c>
      <c r="B1812" s="114" t="str">
        <f>VLOOKUP(A1812,'Data pick slip'!B:F,5,FALSE)</f>
        <v>KHJ-MC400-00</v>
      </c>
      <c r="F1812" s="157" t="s">
        <v>2773</v>
      </c>
      <c r="H1812" s="138">
        <v>552</v>
      </c>
      <c r="I1812" s="139" t="str">
        <f>VLOOKUP(H1812,Stock_list!A:R,18,FALSE)</f>
        <v>杰森泰</v>
      </c>
      <c r="J1812" s="139" t="str">
        <f>VLOOKUP(H1812,Stock_list!A:S,17,FALSE)</f>
        <v>C49SZX20190189DY</v>
      </c>
      <c r="K1812" s="51" t="str">
        <f>VLOOKUP(H1812,Stock_list!A:T,16,FALSE)</f>
        <v>RMB</v>
      </c>
      <c r="L1812" s="4">
        <v>43830</v>
      </c>
      <c r="M1812" s="132">
        <v>2</v>
      </c>
      <c r="P1812" s="4" t="str">
        <f>VLOOKUP(H1812,Stock_list!A:Y,25,FALSE)</f>
        <v>Yes</v>
      </c>
      <c r="Q1812" s="143"/>
      <c r="T1812" s="144"/>
      <c r="U1812" s="145" t="str">
        <f>VLOOKUP(H1812,Stock_list!A:N,14,FALSE)</f>
        <v>DEC 19</v>
      </c>
    </row>
    <row r="1813" spans="1:21" ht="16.5" customHeight="1">
      <c r="A1813" s="159" t="s">
        <v>2744</v>
      </c>
      <c r="B1813" s="114" t="str">
        <f>VLOOKUP(A1813,'Data pick slip'!B:F,5,FALSE)</f>
        <v>KHJ-MC100-00</v>
      </c>
      <c r="F1813" s="157" t="s">
        <v>2861</v>
      </c>
      <c r="H1813" s="138">
        <v>553</v>
      </c>
      <c r="I1813" s="139" t="str">
        <f>VLOOKUP(H1813,Stock_list!A:R,18,FALSE)</f>
        <v>宏润通</v>
      </c>
      <c r="J1813" s="139" t="str">
        <f>VLOOKUP(H1813,Stock_list!A:S,17,FALSE)</f>
        <v>C49SZX20190187JY</v>
      </c>
      <c r="K1813" s="51" t="str">
        <f>VLOOKUP(H1813,Stock_list!A:T,16,FALSE)</f>
        <v>JPY</v>
      </c>
      <c r="L1813" s="4">
        <v>44133</v>
      </c>
      <c r="M1813" s="132">
        <v>145</v>
      </c>
      <c r="P1813" s="4" t="str">
        <f>VLOOKUP(H1813,Stock_list!A:Y,25,FALSE)</f>
        <v>Yes</v>
      </c>
      <c r="Q1813" s="133"/>
      <c r="T1813" s="144"/>
      <c r="U1813" s="145" t="str">
        <f>VLOOKUP(H1813,Stock_list!A:N,14,FALSE)</f>
        <v>OCT 20</v>
      </c>
    </row>
    <row r="1814" spans="1:21" ht="16.5" customHeight="1">
      <c r="A1814" s="159" t="s">
        <v>2747</v>
      </c>
      <c r="B1814" s="114" t="str">
        <f>VLOOKUP(A1814,'Data pick slip'!B:F,5,FALSE)</f>
        <v>KHJ-MC200-00</v>
      </c>
      <c r="F1814" s="157" t="s">
        <v>2861</v>
      </c>
      <c r="H1814" s="138">
        <v>553</v>
      </c>
      <c r="I1814" s="139" t="str">
        <f>VLOOKUP(H1814,Stock_list!A:R,18,FALSE)</f>
        <v>宏润通</v>
      </c>
      <c r="J1814" s="139" t="str">
        <f>VLOOKUP(H1814,Stock_list!A:S,17,FALSE)</f>
        <v>C49SZX20190187JY</v>
      </c>
      <c r="K1814" s="51" t="str">
        <f>VLOOKUP(H1814,Stock_list!A:T,16,FALSE)</f>
        <v>JPY</v>
      </c>
      <c r="L1814" s="4">
        <v>44133</v>
      </c>
      <c r="M1814" s="132">
        <v>18</v>
      </c>
      <c r="P1814" s="4" t="str">
        <f>VLOOKUP(H1814,Stock_list!A:Y,25,FALSE)</f>
        <v>Yes</v>
      </c>
      <c r="Q1814" s="133"/>
      <c r="T1814" s="144"/>
      <c r="U1814" s="145" t="str">
        <f>VLOOKUP(H1814,Stock_list!A:N,14,FALSE)</f>
        <v>OCT 20</v>
      </c>
    </row>
    <row r="1815" spans="1:21" ht="16.5" customHeight="1">
      <c r="A1815" s="159" t="s">
        <v>2748</v>
      </c>
      <c r="B1815" s="114" t="str">
        <f>VLOOKUP(A1815,'Data pick slip'!B:F,5,FALSE)</f>
        <v>KHJ-MC400-00</v>
      </c>
      <c r="F1815" s="157" t="s">
        <v>2861</v>
      </c>
      <c r="H1815" s="138">
        <v>553</v>
      </c>
      <c r="I1815" s="139" t="str">
        <f>VLOOKUP(H1815,Stock_list!A:R,18,FALSE)</f>
        <v>宏润通</v>
      </c>
      <c r="J1815" s="139" t="str">
        <f>VLOOKUP(H1815,Stock_list!A:S,17,FALSE)</f>
        <v>C49SZX20190187JY</v>
      </c>
      <c r="K1815" s="51" t="str">
        <f>VLOOKUP(H1815,Stock_list!A:T,16,FALSE)</f>
        <v>JPY</v>
      </c>
      <c r="L1815" s="4">
        <v>44133</v>
      </c>
      <c r="M1815" s="132">
        <v>3</v>
      </c>
      <c r="P1815" s="4" t="str">
        <f>VLOOKUP(H1815,Stock_list!A:Y,25,FALSE)</f>
        <v>Yes</v>
      </c>
      <c r="Q1815" s="133"/>
      <c r="T1815" s="144"/>
      <c r="U1815" s="145" t="str">
        <f>VLOOKUP(H1815,Stock_list!A:N,14,FALSE)</f>
        <v>OCT 20</v>
      </c>
    </row>
    <row r="1816" spans="1:21" ht="16.5" customHeight="1">
      <c r="A1816" s="159" t="s">
        <v>2749</v>
      </c>
      <c r="B1816" s="114" t="str">
        <f>VLOOKUP(A1816,'Data pick slip'!B:F,5,FALSE)</f>
        <v>KHJ-MC500-00</v>
      </c>
      <c r="F1816" s="157" t="s">
        <v>2861</v>
      </c>
      <c r="H1816" s="138">
        <v>553</v>
      </c>
      <c r="I1816" s="139" t="str">
        <f>VLOOKUP(H1816,Stock_list!A:R,18,FALSE)</f>
        <v>宏润通</v>
      </c>
      <c r="J1816" s="139" t="str">
        <f>VLOOKUP(H1816,Stock_list!A:S,17,FALSE)</f>
        <v>C49SZX20190187JY</v>
      </c>
      <c r="K1816" s="51" t="str">
        <f>VLOOKUP(H1816,Stock_list!A:T,16,FALSE)</f>
        <v>JPY</v>
      </c>
      <c r="L1816" s="4">
        <v>44133</v>
      </c>
      <c r="M1816" s="132">
        <v>1</v>
      </c>
      <c r="P1816" s="4" t="str">
        <f>VLOOKUP(H1816,Stock_list!A:Y,25,FALSE)</f>
        <v>Yes</v>
      </c>
      <c r="Q1816" s="133"/>
      <c r="T1816" s="144"/>
      <c r="U1816" s="145" t="str">
        <f>VLOOKUP(H1816,Stock_list!A:N,14,FALSE)</f>
        <v>OCT 20</v>
      </c>
    </row>
    <row r="1817" spans="1:21" ht="16.5" customHeight="1">
      <c r="A1817" s="159" t="s">
        <v>2750</v>
      </c>
      <c r="B1817" s="114" t="str">
        <f>VLOOKUP(A1817,'Data pick slip'!B:F,5,FALSE)</f>
        <v>KHJ-MC600-00</v>
      </c>
      <c r="F1817" s="157" t="s">
        <v>2861</v>
      </c>
      <c r="H1817" s="138">
        <v>553</v>
      </c>
      <c r="I1817" s="139" t="str">
        <f>VLOOKUP(H1817,Stock_list!A:R,18,FALSE)</f>
        <v>宏润通</v>
      </c>
      <c r="J1817" s="139" t="str">
        <f>VLOOKUP(H1817,Stock_list!A:S,17,FALSE)</f>
        <v>C49SZX20190187JY</v>
      </c>
      <c r="K1817" s="51" t="str">
        <f>VLOOKUP(H1817,Stock_list!A:T,16,FALSE)</f>
        <v>JPY</v>
      </c>
      <c r="L1817" s="4">
        <v>44133</v>
      </c>
      <c r="M1817" s="132">
        <v>1</v>
      </c>
      <c r="P1817" s="4" t="str">
        <f>VLOOKUP(H1817,Stock_list!A:Y,25,FALSE)</f>
        <v>Yes</v>
      </c>
      <c r="Q1817" s="133"/>
      <c r="T1817" s="144"/>
      <c r="U1817" s="145" t="str">
        <f>VLOOKUP(H1817,Stock_list!A:N,14,FALSE)</f>
        <v>OCT 20</v>
      </c>
    </row>
    <row r="1818" spans="1:21" ht="16.5" customHeight="1">
      <c r="A1818" s="159" t="s">
        <v>2744</v>
      </c>
      <c r="B1818" s="114" t="str">
        <f>VLOOKUP(A1818,'Data pick slip'!B:F,5,FALSE)</f>
        <v>KHJ-MC100-00</v>
      </c>
      <c r="F1818" s="157" t="s">
        <v>2773</v>
      </c>
      <c r="H1818" s="138">
        <v>553</v>
      </c>
      <c r="I1818" s="139" t="str">
        <f>VLOOKUP(H1818,Stock_list!A:R,18,FALSE)</f>
        <v>宏润通</v>
      </c>
      <c r="J1818" s="139" t="str">
        <f>VLOOKUP(H1818,Stock_list!A:S,17,FALSE)</f>
        <v>C49SZX20190187JY</v>
      </c>
      <c r="K1818" s="51" t="str">
        <f>VLOOKUP(H1818,Stock_list!A:T,16,FALSE)</f>
        <v>JPY</v>
      </c>
      <c r="L1818" s="4">
        <v>44092</v>
      </c>
      <c r="M1818" s="51"/>
      <c r="O1818" s="132">
        <f>10-10</f>
        <v>0</v>
      </c>
      <c r="P1818" s="4" t="str">
        <f>VLOOKUP(H1818,Stock_list!A:Y,25,FALSE)</f>
        <v>Yes</v>
      </c>
      <c r="Q1818" s="133"/>
      <c r="T1818" s="144"/>
      <c r="U1818" s="145" t="str">
        <f>VLOOKUP(H1818,Stock_list!A:N,14,FALSE)</f>
        <v>OCT 20</v>
      </c>
    </row>
    <row r="1819" spans="1:21" ht="16.5" customHeight="1">
      <c r="A1819" s="159" t="s">
        <v>2747</v>
      </c>
      <c r="B1819" s="114" t="str">
        <f>VLOOKUP(A1819,'Data pick slip'!B:F,5,FALSE)</f>
        <v>KHJ-MC200-00</v>
      </c>
      <c r="F1819" s="157" t="s">
        <v>2773</v>
      </c>
      <c r="H1819" s="138">
        <v>553</v>
      </c>
      <c r="I1819" s="139" t="str">
        <f>VLOOKUP(H1819,Stock_list!A:R,18,FALSE)</f>
        <v>宏润通</v>
      </c>
      <c r="J1819" s="139" t="str">
        <f>VLOOKUP(H1819,Stock_list!A:S,17,FALSE)</f>
        <v>C49SZX20190187JY</v>
      </c>
      <c r="K1819" s="51" t="str">
        <f>VLOOKUP(H1819,Stock_list!A:T,16,FALSE)</f>
        <v>JPY</v>
      </c>
      <c r="L1819" s="4">
        <v>44092</v>
      </c>
      <c r="O1819" s="132">
        <f>2-2</f>
        <v>0</v>
      </c>
      <c r="P1819" s="4" t="str">
        <f>VLOOKUP(H1819,Stock_list!A:Y,25,FALSE)</f>
        <v>Yes</v>
      </c>
      <c r="Q1819" s="133"/>
      <c r="T1819" s="144"/>
      <c r="U1819" s="145" t="str">
        <f>VLOOKUP(H1819,Stock_list!A:N,14,FALSE)</f>
        <v>OCT 20</v>
      </c>
    </row>
    <row r="1820" spans="1:21" ht="16.5" customHeight="1">
      <c r="A1820" s="159" t="s">
        <v>2748</v>
      </c>
      <c r="B1820" s="114" t="str">
        <f>VLOOKUP(A1820,'Data pick slip'!B:F,5,FALSE)</f>
        <v>KHJ-MC400-00</v>
      </c>
      <c r="F1820" s="157" t="s">
        <v>2773</v>
      </c>
      <c r="H1820" s="138">
        <v>553</v>
      </c>
      <c r="I1820" s="139" t="str">
        <f>VLOOKUP(H1820,Stock_list!A:R,18,FALSE)</f>
        <v>宏润通</v>
      </c>
      <c r="J1820" s="139" t="str">
        <f>VLOOKUP(H1820,Stock_list!A:S,17,FALSE)</f>
        <v>C49SZX20190187JY</v>
      </c>
      <c r="K1820" s="51" t="str">
        <f>VLOOKUP(H1820,Stock_list!A:T,16,FALSE)</f>
        <v>JPY</v>
      </c>
      <c r="L1820" s="4">
        <v>44092</v>
      </c>
      <c r="O1820" s="132">
        <f>2-2</f>
        <v>0</v>
      </c>
      <c r="P1820" s="4" t="str">
        <f>VLOOKUP(H1820,Stock_list!A:Y,25,FALSE)</f>
        <v>Yes</v>
      </c>
      <c r="Q1820" s="133"/>
      <c r="T1820" s="144"/>
      <c r="U1820" s="145" t="str">
        <f>VLOOKUP(H1820,Stock_list!A:N,14,FALSE)</f>
        <v>OCT 20</v>
      </c>
    </row>
    <row r="1821" spans="1:21" ht="16.5" customHeight="1">
      <c r="A1821" s="159" t="s">
        <v>2750</v>
      </c>
      <c r="B1821" s="114" t="str">
        <f>VLOOKUP(A1821,'Data pick slip'!B:F,5,FALSE)</f>
        <v>KHJ-MC600-00</v>
      </c>
      <c r="F1821" s="157" t="s">
        <v>2773</v>
      </c>
      <c r="H1821" s="138">
        <v>553</v>
      </c>
      <c r="I1821" s="139" t="str">
        <f>VLOOKUP(H1821,Stock_list!A:R,18,FALSE)</f>
        <v>宏润通</v>
      </c>
      <c r="J1821" s="139" t="str">
        <f>VLOOKUP(H1821,Stock_list!A:S,17,FALSE)</f>
        <v>C49SZX20190187JY</v>
      </c>
      <c r="K1821" s="51" t="str">
        <f>VLOOKUP(H1821,Stock_list!A:T,16,FALSE)</f>
        <v>JPY</v>
      </c>
      <c r="L1821" s="4">
        <v>44092</v>
      </c>
      <c r="O1821" s="132">
        <f>1-1</f>
        <v>0</v>
      </c>
      <c r="P1821" s="4" t="str">
        <f>VLOOKUP(H1821,Stock_list!A:Y,25,FALSE)</f>
        <v>Yes</v>
      </c>
      <c r="Q1821" s="133"/>
      <c r="T1821" s="144"/>
      <c r="U1821" s="145" t="str">
        <f>VLOOKUP(H1821,Stock_list!A:N,14,FALSE)</f>
        <v>OCT 20</v>
      </c>
    </row>
    <row r="1822" spans="1:21" ht="16.5" customHeight="1">
      <c r="A1822" s="159" t="s">
        <v>2744</v>
      </c>
      <c r="B1822" s="114" t="str">
        <f>VLOOKUP(A1822,'Data pick slip'!B:F,5,FALSE)</f>
        <v>KHJ-MC100-00</v>
      </c>
      <c r="F1822" s="157" t="s">
        <v>2773</v>
      </c>
      <c r="H1822" s="138">
        <v>553</v>
      </c>
      <c r="I1822" s="139" t="str">
        <f>VLOOKUP(H1822,Stock_list!A:R,18,FALSE)</f>
        <v>宏润通</v>
      </c>
      <c r="J1822" s="139" t="str">
        <f>VLOOKUP(H1822,Stock_list!A:S,17,FALSE)</f>
        <v>C49SZX20190187JY</v>
      </c>
      <c r="K1822" s="51" t="str">
        <f>VLOOKUP(H1822,Stock_list!A:T,16,FALSE)</f>
        <v>JPY</v>
      </c>
      <c r="L1822" s="4">
        <v>44101</v>
      </c>
      <c r="O1822" s="132">
        <f>10-10</f>
        <v>0</v>
      </c>
      <c r="P1822" s="4" t="str">
        <f>VLOOKUP(H1822,Stock_list!A:Y,25,FALSE)</f>
        <v>Yes</v>
      </c>
      <c r="Q1822" s="133"/>
      <c r="T1822" s="144"/>
      <c r="U1822" s="145" t="str">
        <f>VLOOKUP(H1822,Stock_list!A:N,14,FALSE)</f>
        <v>OCT 20</v>
      </c>
    </row>
    <row r="1823" spans="1:21" ht="16.5" customHeight="1">
      <c r="A1823" s="159" t="s">
        <v>2749</v>
      </c>
      <c r="B1823" s="114" t="str">
        <f>VLOOKUP(A1823,'Data pick slip'!B:F,5,FALSE)</f>
        <v>KHJ-MC500-00</v>
      </c>
      <c r="F1823" s="157" t="s">
        <v>2773</v>
      </c>
      <c r="H1823" s="138">
        <v>553</v>
      </c>
      <c r="I1823" s="139" t="str">
        <f>VLOOKUP(H1823,Stock_list!A:R,18,FALSE)</f>
        <v>宏润通</v>
      </c>
      <c r="J1823" s="139" t="str">
        <f>VLOOKUP(H1823,Stock_list!A:S,17,FALSE)</f>
        <v>C49SZX20190187JY</v>
      </c>
      <c r="K1823" s="51" t="str">
        <f>VLOOKUP(H1823,Stock_list!A:T,16,FALSE)</f>
        <v>JPY</v>
      </c>
      <c r="L1823" s="4">
        <v>44101</v>
      </c>
      <c r="O1823" s="132">
        <f>1-1</f>
        <v>0</v>
      </c>
      <c r="P1823" s="4" t="str">
        <f>VLOOKUP(H1823,Stock_list!A:Y,25,FALSE)</f>
        <v>Yes</v>
      </c>
      <c r="Q1823" s="133"/>
      <c r="T1823" s="144"/>
      <c r="U1823" s="145" t="str">
        <f>VLOOKUP(H1823,Stock_list!A:N,14,FALSE)</f>
        <v>OCT 20</v>
      </c>
    </row>
    <row r="1824" spans="1:21" ht="16.5" customHeight="1">
      <c r="A1824" s="159" t="s">
        <v>2755</v>
      </c>
      <c r="B1824" s="114" t="str">
        <f>VLOOKUP(A1824,'Data pick slip'!B:F,5,FALSE)</f>
        <v>KLJ-MC100-00</v>
      </c>
      <c r="F1824" s="157" t="s">
        <v>2773</v>
      </c>
      <c r="H1824" s="138">
        <v>558</v>
      </c>
      <c r="I1824" s="139" t="str">
        <f>VLOOKUP(H1824,Stock_list!A:R,18,FALSE)</f>
        <v>龙大光电</v>
      </c>
      <c r="J1824" s="139" t="str">
        <f>VLOOKUP(H1824,Stock_list!A:S,17,FALSE)</f>
        <v>C49SZX20190186SS</v>
      </c>
      <c r="K1824" s="51" t="str">
        <f>VLOOKUP(H1824,Stock_list!A:T,16,FALSE)</f>
        <v>RMB</v>
      </c>
      <c r="L1824" s="4">
        <v>43908</v>
      </c>
      <c r="M1824" s="140">
        <v>40</v>
      </c>
      <c r="P1824" s="4" t="str">
        <f>VLOOKUP(H1824,Stock_list!A:Y,25,FALSE)</f>
        <v>Yes</v>
      </c>
      <c r="Q1824" s="143"/>
      <c r="T1824" s="144"/>
      <c r="U1824" s="145" t="str">
        <f>VLOOKUP(H1824,Stock_list!A:N,14,FALSE)</f>
        <v>MAR 20</v>
      </c>
    </row>
    <row r="1825" spans="1:21" ht="16.5" customHeight="1">
      <c r="A1825" s="159" t="s">
        <v>2754</v>
      </c>
      <c r="B1825" s="114" t="str">
        <f>VLOOKUP(A1825,'Data pick slip'!B:F,5,FALSE)</f>
        <v>KLJ-MCN00-20</v>
      </c>
      <c r="F1825" s="157" t="s">
        <v>2861</v>
      </c>
      <c r="H1825" s="138">
        <v>562</v>
      </c>
      <c r="I1825" s="139" t="str">
        <f>VLOOKUP(H1825,Stock_list!A:R,18,FALSE)</f>
        <v>鸿南电子</v>
      </c>
      <c r="J1825" s="139" t="str">
        <f>VLOOKUP(H1825,Stock_list!A:S,17,FALSE)</f>
        <v>C49SZX20190192MZ</v>
      </c>
      <c r="K1825" s="51" t="str">
        <f>VLOOKUP(H1825,Stock_list!A:T,16,FALSE)</f>
        <v>JPY</v>
      </c>
      <c r="L1825" s="4">
        <v>43946</v>
      </c>
      <c r="M1825" s="132">
        <v>5</v>
      </c>
      <c r="P1825" s="4" t="str">
        <f>VLOOKUP(H1825,Stock_list!A:Y,25,FALSE)</f>
        <v>Yes</v>
      </c>
      <c r="Q1825" s="143"/>
      <c r="T1825" s="144"/>
      <c r="U1825" s="145" t="str">
        <f>VLOOKUP(H1825,Stock_list!A:N,14,FALSE)</f>
        <v>JAN 20</v>
      </c>
    </row>
    <row r="1826" spans="1:21" ht="16.5" customHeight="1">
      <c r="A1826" s="159" t="s">
        <v>2755</v>
      </c>
      <c r="B1826" s="114" t="str">
        <f>VLOOKUP(A1826,'Data pick slip'!B:F,5,FALSE)</f>
        <v>KLJ-MC100-00</v>
      </c>
      <c r="F1826" s="157" t="s">
        <v>2861</v>
      </c>
      <c r="H1826" s="138">
        <v>562</v>
      </c>
      <c r="I1826" s="139" t="str">
        <f>VLOOKUP(H1826,Stock_list!A:R,18,FALSE)</f>
        <v>鸿南电子</v>
      </c>
      <c r="J1826" s="139" t="str">
        <f>VLOOKUP(H1826,Stock_list!A:S,17,FALSE)</f>
        <v>C49SZX20190192MZ</v>
      </c>
      <c r="K1826" s="51" t="str">
        <f>VLOOKUP(H1826,Stock_list!A:T,16,FALSE)</f>
        <v>JPY</v>
      </c>
      <c r="L1826" s="4">
        <v>43844</v>
      </c>
      <c r="M1826" s="132">
        <v>50</v>
      </c>
      <c r="P1826" s="4" t="str">
        <f>VLOOKUP(H1826,Stock_list!A:Y,25,FALSE)</f>
        <v>Yes</v>
      </c>
      <c r="Q1826" s="143"/>
      <c r="T1826" s="144"/>
      <c r="U1826" s="145" t="str">
        <f>VLOOKUP(H1826,Stock_list!A:N,14,FALSE)</f>
        <v>JAN 20</v>
      </c>
    </row>
    <row r="1827" spans="1:21" ht="16.5" customHeight="1">
      <c r="A1827" s="159" t="s">
        <v>2756</v>
      </c>
      <c r="B1827" s="114" t="str">
        <f>VLOOKUP(A1827,'Data pick slip'!B:F,5,FALSE)</f>
        <v>KLJ-MC200-00</v>
      </c>
      <c r="F1827" s="157" t="s">
        <v>2861</v>
      </c>
      <c r="H1827" s="138">
        <v>562</v>
      </c>
      <c r="I1827" s="139" t="str">
        <f>VLOOKUP(H1827,Stock_list!A:R,18,FALSE)</f>
        <v>鸿南电子</v>
      </c>
      <c r="J1827" s="139" t="str">
        <f>VLOOKUP(H1827,Stock_list!A:S,17,FALSE)</f>
        <v>C49SZX20190192MZ</v>
      </c>
      <c r="K1827" s="51" t="str">
        <f>VLOOKUP(H1827,Stock_list!A:T,16,FALSE)</f>
        <v>JPY</v>
      </c>
      <c r="L1827" s="4">
        <v>43844</v>
      </c>
      <c r="M1827" s="132">
        <v>10</v>
      </c>
      <c r="P1827" s="4" t="str">
        <f>VLOOKUP(H1827,Stock_list!A:Y,25,FALSE)</f>
        <v>Yes</v>
      </c>
      <c r="T1827" s="144"/>
      <c r="U1827" s="145" t="str">
        <f>VLOOKUP(H1827,Stock_list!A:N,14,FALSE)</f>
        <v>JAN 20</v>
      </c>
    </row>
    <row r="1828" spans="1:21" ht="16.5" customHeight="1">
      <c r="A1828" s="159" t="s">
        <v>2744</v>
      </c>
      <c r="B1828" s="114" t="str">
        <f>VLOOKUP(A1828,'Data pick slip'!B:F,5,FALSE)</f>
        <v>KHJ-MC100-00</v>
      </c>
      <c r="F1828" s="157" t="s">
        <v>2773</v>
      </c>
      <c r="I1828" s="139" t="s">
        <v>3093</v>
      </c>
      <c r="J1828" s="139" t="s">
        <v>3219</v>
      </c>
      <c r="K1828" s="51" t="s">
        <v>1246</v>
      </c>
      <c r="L1828" s="4">
        <v>43824</v>
      </c>
      <c r="M1828" s="140">
        <v>4</v>
      </c>
      <c r="P1828" s="4" t="s">
        <v>291</v>
      </c>
      <c r="Q1828" s="143"/>
      <c r="T1828" s="144"/>
      <c r="U1828" s="145" t="e">
        <f>VLOOKUP(H1828,Stock_list!A:N,14,FALSE)</f>
        <v>#N/A</v>
      </c>
    </row>
    <row r="1829" spans="1:21" ht="16.5" customHeight="1">
      <c r="A1829" s="159" t="s">
        <v>2744</v>
      </c>
      <c r="B1829" s="114" t="str">
        <f>VLOOKUP(A1829,'Data pick slip'!B:F,5,FALSE)</f>
        <v>KHJ-MC100-00</v>
      </c>
      <c r="F1829" s="157" t="s">
        <v>2861</v>
      </c>
      <c r="I1829" s="139" t="s">
        <v>3015</v>
      </c>
      <c r="J1829" s="139" t="s">
        <v>3220</v>
      </c>
      <c r="K1829" s="51" t="s">
        <v>1246</v>
      </c>
      <c r="L1829" s="4">
        <v>43830</v>
      </c>
      <c r="M1829" s="140">
        <v>50</v>
      </c>
      <c r="P1829" s="4" t="s">
        <v>291</v>
      </c>
      <c r="Q1829" s="143"/>
      <c r="T1829" s="144"/>
      <c r="U1829" s="145" t="e">
        <f>VLOOKUP(H1829,Stock_list!A:N,14,FALSE)</f>
        <v>#N/A</v>
      </c>
    </row>
    <row r="1830" spans="1:21" ht="16.5" customHeight="1">
      <c r="A1830" s="159" t="s">
        <v>2747</v>
      </c>
      <c r="B1830" s="114" t="str">
        <f>VLOOKUP(A1830,'Data pick slip'!B:F,5,FALSE)</f>
        <v>KHJ-MC200-00</v>
      </c>
      <c r="F1830" s="157" t="s">
        <v>2861</v>
      </c>
      <c r="I1830" s="139" t="s">
        <v>3015</v>
      </c>
      <c r="J1830" s="139" t="s">
        <v>3220</v>
      </c>
      <c r="K1830" s="51" t="s">
        <v>1246</v>
      </c>
      <c r="L1830" s="4">
        <v>43830</v>
      </c>
      <c r="M1830" s="140">
        <v>80</v>
      </c>
      <c r="P1830" s="4" t="s">
        <v>291</v>
      </c>
      <c r="Q1830" s="143"/>
      <c r="T1830" s="144"/>
      <c r="U1830" s="145" t="e">
        <f>VLOOKUP(H1830,Stock_list!A:N,14,FALSE)</f>
        <v>#N/A</v>
      </c>
    </row>
    <row r="1831" spans="1:21" ht="16.5" customHeight="1">
      <c r="A1831" s="159" t="s">
        <v>2748</v>
      </c>
      <c r="B1831" s="114" t="str">
        <f>VLOOKUP(A1831,'Data pick slip'!B:F,5,FALSE)</f>
        <v>KHJ-MC400-00</v>
      </c>
      <c r="F1831" s="157" t="s">
        <v>2861</v>
      </c>
      <c r="I1831" s="139" t="s">
        <v>3015</v>
      </c>
      <c r="J1831" s="139" t="s">
        <v>3220</v>
      </c>
      <c r="K1831" s="51" t="s">
        <v>1246</v>
      </c>
      <c r="L1831" s="4">
        <v>43830</v>
      </c>
      <c r="M1831" s="140">
        <v>14</v>
      </c>
      <c r="P1831" s="4" t="s">
        <v>291</v>
      </c>
      <c r="Q1831" s="143"/>
      <c r="T1831" s="144"/>
      <c r="U1831" s="145" t="e">
        <f>VLOOKUP(H1831,Stock_list!A:N,14,FALSE)</f>
        <v>#N/A</v>
      </c>
    </row>
    <row r="1832" spans="1:21" ht="16.5" customHeight="1">
      <c r="A1832" s="159" t="s">
        <v>2759</v>
      </c>
      <c r="B1832" s="114" t="str">
        <f>VLOOKUP(A1832,'Data pick slip'!B:F,5,FALSE)</f>
        <v>KLJ-MC600-00</v>
      </c>
      <c r="F1832" s="157" t="s">
        <v>2861</v>
      </c>
      <c r="I1832" s="139" t="s">
        <v>3015</v>
      </c>
      <c r="J1832" s="139" t="s">
        <v>3220</v>
      </c>
      <c r="K1832" s="51" t="s">
        <v>1246</v>
      </c>
      <c r="L1832" s="4">
        <v>43830</v>
      </c>
      <c r="M1832" s="140">
        <v>3</v>
      </c>
      <c r="P1832" s="4" t="s">
        <v>291</v>
      </c>
      <c r="Q1832" s="143"/>
      <c r="T1832" s="144"/>
      <c r="U1832" s="145" t="e">
        <f>VLOOKUP(H1832,Stock_list!A:N,14,FALSE)</f>
        <v>#N/A</v>
      </c>
    </row>
    <row r="1833" spans="1:21" ht="16.5" customHeight="1">
      <c r="A1833" s="159" t="s">
        <v>2749</v>
      </c>
      <c r="B1833" s="114" t="str">
        <f>VLOOKUP(A1833,'Data pick slip'!B:F,5,FALSE)</f>
        <v>KHJ-MC500-00</v>
      </c>
      <c r="F1833" s="157" t="s">
        <v>2861</v>
      </c>
      <c r="I1833" s="139" t="s">
        <v>3015</v>
      </c>
      <c r="J1833" s="139" t="s">
        <v>3221</v>
      </c>
      <c r="K1833" s="51" t="s">
        <v>1246</v>
      </c>
      <c r="L1833" s="4">
        <v>43830</v>
      </c>
      <c r="M1833" s="140">
        <v>5</v>
      </c>
      <c r="P1833" s="4" t="s">
        <v>291</v>
      </c>
      <c r="Q1833" s="143"/>
      <c r="T1833" s="144"/>
      <c r="U1833" s="145" t="e">
        <f>VLOOKUP(H1833,Stock_list!A:N,14,FALSE)</f>
        <v>#N/A</v>
      </c>
    </row>
    <row r="1834" spans="1:21" ht="16.5" customHeight="1">
      <c r="A1834" s="159" t="s">
        <v>2744</v>
      </c>
      <c r="B1834" s="114" t="str">
        <f>VLOOKUP(A1834,'Data pick slip'!B:F,5,FALSE)</f>
        <v>KHJ-MC100-00</v>
      </c>
      <c r="F1834" s="157" t="s">
        <v>2861</v>
      </c>
      <c r="I1834" s="139" t="s">
        <v>3015</v>
      </c>
      <c r="J1834" s="139" t="s">
        <v>3220</v>
      </c>
      <c r="K1834" s="51" t="s">
        <v>1246</v>
      </c>
      <c r="L1834" s="4">
        <v>43829</v>
      </c>
      <c r="M1834" s="140">
        <v>150</v>
      </c>
      <c r="P1834" s="4" t="s">
        <v>291</v>
      </c>
      <c r="Q1834" s="143"/>
      <c r="T1834" s="144"/>
      <c r="U1834" s="145" t="e">
        <f>VLOOKUP(H1834,Stock_list!A:N,14,FALSE)</f>
        <v>#N/A</v>
      </c>
    </row>
    <row r="1835" spans="1:21" ht="16.5" customHeight="1">
      <c r="A1835" s="159" t="s">
        <v>2744</v>
      </c>
      <c r="B1835" s="114" t="str">
        <f>VLOOKUP(A1835,'Data pick slip'!B:F,5,FALSE)</f>
        <v>KHJ-MC100-00</v>
      </c>
      <c r="F1835" s="157" t="s">
        <v>2861</v>
      </c>
      <c r="H1835" s="138">
        <v>564</v>
      </c>
      <c r="I1835" s="139" t="str">
        <f>VLOOKUP(H1835,Stock_list!A:R,18,FALSE)</f>
        <v>柏星</v>
      </c>
      <c r="J1835" s="139" t="str">
        <f>VLOOKUP(H1835,Stock_list!A:S,17,FALSE)</f>
        <v>C49SZX20200001SX</v>
      </c>
      <c r="K1835" s="51" t="str">
        <f>VLOOKUP(H1835,Stock_list!A:T,16,FALSE)</f>
        <v>JPY</v>
      </c>
      <c r="L1835" s="4">
        <v>43839</v>
      </c>
      <c r="M1835" s="132">
        <v>100</v>
      </c>
      <c r="P1835" s="4" t="str">
        <f>VLOOKUP(H1835,Stock_list!A:Y,25,FALSE)</f>
        <v>Yes</v>
      </c>
      <c r="Q1835" s="143"/>
      <c r="T1835" s="144"/>
      <c r="U1835" s="145" t="str">
        <f>VLOOKUP(H1835,Stock_list!A:N,14,FALSE)</f>
        <v>JAN 20</v>
      </c>
    </row>
    <row r="1836" spans="1:21" ht="16.5" customHeight="1">
      <c r="A1836" s="159" t="s">
        <v>2747</v>
      </c>
      <c r="B1836" s="114" t="str">
        <f>VLOOKUP(A1836,'Data pick slip'!B:F,5,FALSE)</f>
        <v>KHJ-MC200-00</v>
      </c>
      <c r="F1836" s="157" t="s">
        <v>2861</v>
      </c>
      <c r="H1836" s="138">
        <v>564</v>
      </c>
      <c r="I1836" s="139" t="str">
        <f>VLOOKUP(H1836,Stock_list!A:R,18,FALSE)</f>
        <v>柏星</v>
      </c>
      <c r="J1836" s="139" t="str">
        <f>VLOOKUP(H1836,Stock_list!A:S,17,FALSE)</f>
        <v>C49SZX20200001SX</v>
      </c>
      <c r="K1836" s="51" t="str">
        <f>VLOOKUP(H1836,Stock_list!A:T,16,FALSE)</f>
        <v>JPY</v>
      </c>
      <c r="L1836" s="4">
        <v>43839</v>
      </c>
      <c r="M1836" s="132">
        <v>20</v>
      </c>
      <c r="P1836" s="4" t="str">
        <f>VLOOKUP(H1836,Stock_list!A:Y,25,FALSE)</f>
        <v>Yes</v>
      </c>
      <c r="Q1836" s="143"/>
      <c r="T1836" s="144"/>
      <c r="U1836" s="145" t="str">
        <f>VLOOKUP(H1836,Stock_list!A:N,14,FALSE)</f>
        <v>JAN 20</v>
      </c>
    </row>
    <row r="1837" spans="1:21" ht="16.5" customHeight="1">
      <c r="A1837" s="159" t="s">
        <v>2748</v>
      </c>
      <c r="B1837" s="114" t="str">
        <f>VLOOKUP(A1837,'Data pick slip'!B:F,5,FALSE)</f>
        <v>KHJ-MC400-00</v>
      </c>
      <c r="F1837" s="157" t="s">
        <v>2861</v>
      </c>
      <c r="H1837" s="138">
        <v>564</v>
      </c>
      <c r="I1837" s="139" t="str">
        <f>VLOOKUP(H1837,Stock_list!A:R,18,FALSE)</f>
        <v>柏星</v>
      </c>
      <c r="J1837" s="139" t="str">
        <f>VLOOKUP(H1837,Stock_list!A:S,17,FALSE)</f>
        <v>C49SZX20200001SX</v>
      </c>
      <c r="K1837" s="51" t="str">
        <f>VLOOKUP(H1837,Stock_list!A:T,16,FALSE)</f>
        <v>JPY</v>
      </c>
      <c r="L1837" s="4">
        <v>43839</v>
      </c>
      <c r="M1837" s="132">
        <v>3</v>
      </c>
      <c r="P1837" s="4" t="str">
        <f>VLOOKUP(H1837,Stock_list!A:Y,25,FALSE)</f>
        <v>Yes</v>
      </c>
      <c r="Q1837" s="143"/>
      <c r="T1837" s="144"/>
      <c r="U1837" s="145" t="str">
        <f>VLOOKUP(H1837,Stock_list!A:N,14,FALSE)</f>
        <v>JAN 20</v>
      </c>
    </row>
    <row r="1838" spans="1:21" ht="16.5" customHeight="1">
      <c r="A1838" s="159" t="s">
        <v>2744</v>
      </c>
      <c r="B1838" s="114" t="str">
        <f>VLOOKUP(A1838,'Data pick slip'!B:F,5,FALSE)</f>
        <v>KHJ-MC100-00</v>
      </c>
      <c r="F1838" s="157" t="s">
        <v>2861</v>
      </c>
      <c r="H1838" s="138">
        <v>566</v>
      </c>
      <c r="I1838" s="139" t="str">
        <f>VLOOKUP(H1838,Stock_list!A:R,18,FALSE)</f>
        <v>熙洲电子</v>
      </c>
      <c r="J1838" s="139" t="str">
        <f>VLOOKUP(H1838,Stock_list!A:S,17,FALSE)</f>
        <v>C49SZX20200002MZ</v>
      </c>
      <c r="K1838" s="51" t="str">
        <f>VLOOKUP(H1838,Stock_list!A:T,16,FALSE)</f>
        <v>JPY</v>
      </c>
      <c r="L1838" s="4">
        <v>43902</v>
      </c>
      <c r="M1838" s="132">
        <v>20</v>
      </c>
      <c r="P1838" s="4" t="str">
        <f>VLOOKUP(H1838,Stock_list!A:Y,25,FALSE)</f>
        <v>Yes</v>
      </c>
      <c r="Q1838" s="143"/>
      <c r="T1838" s="144"/>
      <c r="U1838" s="145" t="str">
        <f>VLOOKUP(H1838,Stock_list!A:N,14,FALSE)</f>
        <v>MAR 20</v>
      </c>
    </row>
    <row r="1839" spans="1:21" ht="16.5" customHeight="1">
      <c r="A1839" s="159" t="s">
        <v>2744</v>
      </c>
      <c r="B1839" s="114" t="str">
        <f>VLOOKUP(A1839,'Data pick slip'!B:F,5,FALSE)</f>
        <v>KHJ-MC100-00</v>
      </c>
      <c r="F1839" s="157" t="s">
        <v>2861</v>
      </c>
      <c r="H1839" s="138">
        <v>568</v>
      </c>
      <c r="I1839" s="139" t="str">
        <f>VLOOKUP(H1839,Stock_list!A:R,18,FALSE)</f>
        <v>靓颖电子</v>
      </c>
      <c r="J1839" s="139" t="str">
        <f>VLOOKUP(H1839,Stock_list!A:S,17,FALSE)</f>
        <v>C49SZX20200003CX</v>
      </c>
      <c r="K1839" s="51" t="str">
        <f>VLOOKUP(H1839,Stock_list!A:T,16,FALSE)</f>
        <v>JPY</v>
      </c>
      <c r="L1839" s="4">
        <v>43900</v>
      </c>
      <c r="M1839" s="132">
        <v>45</v>
      </c>
      <c r="P1839" s="4" t="str">
        <f>VLOOKUP(H1839,Stock_list!A:Y,25,FALSE)</f>
        <v>Yes</v>
      </c>
      <c r="Q1839" s="143"/>
      <c r="T1839" s="144"/>
      <c r="U1839" s="145" t="str">
        <f>VLOOKUP(H1839,Stock_list!A:N,14,FALSE)</f>
        <v>MAR 20</v>
      </c>
    </row>
    <row r="1840" spans="1:21" ht="16.5" customHeight="1">
      <c r="A1840" s="159" t="s">
        <v>2747</v>
      </c>
      <c r="B1840" s="114" t="str">
        <f>VLOOKUP(A1840,'Data pick slip'!B:F,5,FALSE)</f>
        <v>KHJ-MC200-00</v>
      </c>
      <c r="F1840" s="157" t="s">
        <v>2861</v>
      </c>
      <c r="H1840" s="138">
        <v>568</v>
      </c>
      <c r="I1840" s="139" t="str">
        <f>VLOOKUP(H1840,Stock_list!A:R,18,FALSE)</f>
        <v>靓颖电子</v>
      </c>
      <c r="J1840" s="139" t="str">
        <f>VLOOKUP(H1840,Stock_list!A:S,17,FALSE)</f>
        <v>C49SZX20200003CX</v>
      </c>
      <c r="K1840" s="51" t="str">
        <f>VLOOKUP(H1840,Stock_list!A:T,16,FALSE)</f>
        <v>JPY</v>
      </c>
      <c r="L1840" s="4">
        <v>43900</v>
      </c>
      <c r="M1840" s="132">
        <v>8</v>
      </c>
      <c r="P1840" s="4" t="str">
        <f>VLOOKUP(H1840,Stock_list!A:Y,25,FALSE)</f>
        <v>Yes</v>
      </c>
      <c r="Q1840" s="143"/>
      <c r="T1840" s="144"/>
      <c r="U1840" s="145" t="str">
        <f>VLOOKUP(H1840,Stock_list!A:N,14,FALSE)</f>
        <v>MAR 20</v>
      </c>
    </row>
    <row r="1841" spans="1:21" ht="16.5" customHeight="1">
      <c r="A1841" s="159" t="s">
        <v>2748</v>
      </c>
      <c r="B1841" s="114" t="str">
        <f>VLOOKUP(A1841,'Data pick slip'!B:F,5,FALSE)</f>
        <v>KHJ-MC400-00</v>
      </c>
      <c r="F1841" s="157" t="s">
        <v>2861</v>
      </c>
      <c r="H1841" s="138">
        <v>568</v>
      </c>
      <c r="I1841" s="139" t="str">
        <f>VLOOKUP(H1841,Stock_list!A:R,18,FALSE)</f>
        <v>靓颖电子</v>
      </c>
      <c r="J1841" s="139" t="str">
        <f>VLOOKUP(H1841,Stock_list!A:S,17,FALSE)</f>
        <v>C49SZX20200003CX</v>
      </c>
      <c r="K1841" s="51" t="str">
        <f>VLOOKUP(H1841,Stock_list!A:T,16,FALSE)</f>
        <v>JPY</v>
      </c>
      <c r="L1841" s="4">
        <v>43900</v>
      </c>
      <c r="M1841" s="132">
        <v>5</v>
      </c>
      <c r="P1841" s="4" t="str">
        <f>VLOOKUP(H1841,Stock_list!A:Y,25,FALSE)</f>
        <v>Yes</v>
      </c>
      <c r="Q1841" s="143"/>
      <c r="T1841" s="144"/>
      <c r="U1841" s="145" t="str">
        <f>VLOOKUP(H1841,Stock_list!A:N,14,FALSE)</f>
        <v>MAR 20</v>
      </c>
    </row>
    <row r="1842" spans="1:21" ht="16.5" customHeight="1">
      <c r="A1842" s="159" t="s">
        <v>2755</v>
      </c>
      <c r="B1842" s="114" t="str">
        <f>VLOOKUP(A1842,'Data pick slip'!B:F,5,FALSE)</f>
        <v>KLJ-MC100-00</v>
      </c>
      <c r="F1842" s="157" t="s">
        <v>2773</v>
      </c>
      <c r="H1842" s="138">
        <v>563</v>
      </c>
      <c r="I1842" s="139" t="str">
        <f>VLOOKUP(H1842,Stock_list!A:R,18,FALSE)</f>
        <v>明昌</v>
      </c>
      <c r="J1842" s="139" t="str">
        <f>VLOOKUP(H1842,Stock_list!A:S,17,FALSE)</f>
        <v>C49SZX20190193SS</v>
      </c>
      <c r="K1842" s="51" t="str">
        <f>VLOOKUP(H1842,Stock_list!A:T,16,FALSE)</f>
        <v>RMB</v>
      </c>
      <c r="L1842" s="4">
        <v>44015</v>
      </c>
      <c r="M1842" s="132">
        <v>22</v>
      </c>
      <c r="P1842" s="4" t="str">
        <f>VLOOKUP(H1842,Stock_list!A:Y,25,FALSE)</f>
        <v>Yes</v>
      </c>
      <c r="Q1842" s="143"/>
      <c r="T1842" s="144"/>
      <c r="U1842" s="145" t="str">
        <f>VLOOKUP(H1842,Stock_list!A:N,14,FALSE)</f>
        <v>JUL 20</v>
      </c>
    </row>
    <row r="1843" spans="1:21" ht="16.5" customHeight="1">
      <c r="A1843" s="159" t="s">
        <v>2744</v>
      </c>
      <c r="B1843" s="114" t="str">
        <f>VLOOKUP(A1843,'Data pick slip'!B:F,5,FALSE)</f>
        <v>KHJ-MC100-00</v>
      </c>
      <c r="F1843" s="157" t="s">
        <v>2861</v>
      </c>
      <c r="H1843" s="138">
        <v>574</v>
      </c>
      <c r="I1843" s="139" t="str">
        <f>VLOOKUP(H1843,Stock_list!A:R,18,FALSE)</f>
        <v>康腾</v>
      </c>
      <c r="J1843" s="139" t="str">
        <f>VLOOKUP(H1843,Stock_list!A:S,17,FALSE)</f>
        <v>C49SZX20200012SS</v>
      </c>
      <c r="K1843" s="51" t="str">
        <f>VLOOKUP(H1843,Stock_list!A:T,16,FALSE)</f>
        <v>JPY</v>
      </c>
      <c r="L1843" s="4">
        <v>43966</v>
      </c>
      <c r="M1843" s="132">
        <v>15</v>
      </c>
      <c r="P1843" s="4" t="str">
        <f>VLOOKUP(H1843,Stock_list!A:Y,25,FALSE)</f>
        <v>Yes</v>
      </c>
      <c r="Q1843" s="143"/>
      <c r="T1843" s="144"/>
      <c r="U1843" s="145" t="str">
        <f>VLOOKUP(H1843,Stock_list!A:N,14,FALSE)</f>
        <v>MAY 20</v>
      </c>
    </row>
    <row r="1844" spans="1:21" ht="16.5" customHeight="1">
      <c r="A1844" s="159" t="s">
        <v>2757</v>
      </c>
      <c r="B1844" s="114" t="str">
        <f>VLOOKUP(A1844,'Data pick slip'!B:F,5,FALSE)</f>
        <v>KLJ-MC400-00</v>
      </c>
      <c r="F1844" s="157" t="s">
        <v>2861</v>
      </c>
      <c r="H1844" s="138">
        <v>574</v>
      </c>
      <c r="I1844" s="139" t="str">
        <f>VLOOKUP(H1844,Stock_list!A:R,18,FALSE)</f>
        <v>康腾</v>
      </c>
      <c r="J1844" s="139" t="str">
        <f>VLOOKUP(H1844,Stock_list!A:S,17,FALSE)</f>
        <v>C49SZX20200012SS</v>
      </c>
      <c r="K1844" s="51" t="str">
        <f>VLOOKUP(H1844,Stock_list!A:T,16,FALSE)</f>
        <v>JPY</v>
      </c>
      <c r="L1844" s="4">
        <v>43966</v>
      </c>
      <c r="M1844" s="132">
        <v>3</v>
      </c>
      <c r="P1844" s="4" t="str">
        <f>VLOOKUP(H1844,Stock_list!A:Y,25,FALSE)</f>
        <v>Yes</v>
      </c>
      <c r="Q1844" s="143"/>
      <c r="T1844" s="144"/>
      <c r="U1844" s="145" t="str">
        <f>VLOOKUP(H1844,Stock_list!A:N,14,FALSE)</f>
        <v>MAY 20</v>
      </c>
    </row>
    <row r="1845" spans="1:21" ht="16.5" customHeight="1">
      <c r="A1845" s="159" t="s">
        <v>2749</v>
      </c>
      <c r="B1845" s="114" t="str">
        <f>VLOOKUP(A1845,'Data pick slip'!B:F,5,FALSE)</f>
        <v>KHJ-MC500-00</v>
      </c>
      <c r="F1845" s="157" t="s">
        <v>2861</v>
      </c>
      <c r="H1845" s="138">
        <v>574</v>
      </c>
      <c r="I1845" s="139" t="str">
        <f>VLOOKUP(H1845,Stock_list!A:R,18,FALSE)</f>
        <v>康腾</v>
      </c>
      <c r="J1845" s="139" t="str">
        <f>VLOOKUP(H1845,Stock_list!A:S,17,FALSE)</f>
        <v>C49SZX20200012SS</v>
      </c>
      <c r="K1845" s="51" t="str">
        <f>VLOOKUP(H1845,Stock_list!A:T,16,FALSE)</f>
        <v>JPY</v>
      </c>
      <c r="L1845" s="4">
        <v>43966</v>
      </c>
      <c r="M1845" s="132">
        <v>1</v>
      </c>
      <c r="P1845" s="4" t="str">
        <f>VLOOKUP(H1845,Stock_list!A:Y,25,FALSE)</f>
        <v>Yes</v>
      </c>
      <c r="Q1845" s="143"/>
      <c r="T1845" s="144"/>
      <c r="U1845" s="145" t="str">
        <f>VLOOKUP(H1845,Stock_list!A:N,14,FALSE)</f>
        <v>MAY 20</v>
      </c>
    </row>
    <row r="1846" spans="1:21" ht="16.5" customHeight="1">
      <c r="A1846" s="159" t="s">
        <v>2744</v>
      </c>
      <c r="B1846" s="114" t="str">
        <f>VLOOKUP(A1846,'Data pick slip'!B:F,5,FALSE)</f>
        <v>KHJ-MC100-00</v>
      </c>
      <c r="F1846" s="157" t="s">
        <v>2861</v>
      </c>
      <c r="H1846" s="138">
        <v>577</v>
      </c>
      <c r="I1846" s="139" t="str">
        <f>VLOOKUP(H1846,Stock_list!A:R,18,FALSE)</f>
        <v>新平泰/end user:弛瑞</v>
      </c>
      <c r="J1846" s="139" t="str">
        <f>VLOOKUP(H1846,Stock_list!A:S,17,FALSE)</f>
        <v>C49SZX20200013SS</v>
      </c>
      <c r="K1846" s="51" t="str">
        <f>VLOOKUP(H1846,Stock_list!A:T,16,FALSE)</f>
        <v>JPY</v>
      </c>
      <c r="L1846" s="4">
        <v>43962</v>
      </c>
      <c r="M1846" s="132">
        <v>47</v>
      </c>
      <c r="P1846" s="4" t="str">
        <f>VLOOKUP(H1846,Stock_list!A:Y,25,FALSE)</f>
        <v>Yes</v>
      </c>
      <c r="Q1846" s="143"/>
      <c r="T1846" s="144"/>
      <c r="U1846" s="145" t="str">
        <f>VLOOKUP(H1846,Stock_list!A:N,14,FALSE)</f>
        <v>MAY 20</v>
      </c>
    </row>
    <row r="1847" spans="1:21" ht="16.5" customHeight="1">
      <c r="A1847" s="159" t="s">
        <v>2756</v>
      </c>
      <c r="B1847" s="114" t="str">
        <f>VLOOKUP(A1847,'Data pick slip'!B:F,5,FALSE)</f>
        <v>KLJ-MC200-00</v>
      </c>
      <c r="F1847" s="157" t="s">
        <v>2861</v>
      </c>
      <c r="H1847" s="138">
        <v>577</v>
      </c>
      <c r="I1847" s="139" t="str">
        <f>VLOOKUP(H1847,Stock_list!A:R,18,FALSE)</f>
        <v>新平泰/end user:弛瑞</v>
      </c>
      <c r="J1847" s="139" t="str">
        <f>VLOOKUP(H1847,Stock_list!A:S,17,FALSE)</f>
        <v>C49SZX20200013SS</v>
      </c>
      <c r="K1847" s="51" t="str">
        <f>VLOOKUP(H1847,Stock_list!A:T,16,FALSE)</f>
        <v>JPY</v>
      </c>
      <c r="L1847" s="4">
        <v>43962</v>
      </c>
      <c r="M1847" s="132">
        <v>10</v>
      </c>
      <c r="P1847" s="4" t="str">
        <f>VLOOKUP(H1847,Stock_list!A:Y,25,FALSE)</f>
        <v>Yes</v>
      </c>
      <c r="T1847" s="144"/>
      <c r="U1847" s="145" t="str">
        <f>VLOOKUP(H1847,Stock_list!A:N,14,FALSE)</f>
        <v>MAY 20</v>
      </c>
    </row>
    <row r="1848" spans="1:21" ht="16.5" customHeight="1">
      <c r="A1848" s="159" t="s">
        <v>2757</v>
      </c>
      <c r="B1848" s="114" t="str">
        <f>VLOOKUP(A1848,'Data pick slip'!B:F,5,FALSE)</f>
        <v>KLJ-MC400-00</v>
      </c>
      <c r="F1848" s="157" t="s">
        <v>2861</v>
      </c>
      <c r="H1848" s="138">
        <v>577</v>
      </c>
      <c r="I1848" s="139" t="str">
        <f>VLOOKUP(H1848,Stock_list!A:R,18,FALSE)</f>
        <v>新平泰/end user:弛瑞</v>
      </c>
      <c r="J1848" s="139" t="str">
        <f>VLOOKUP(H1848,Stock_list!A:S,17,FALSE)</f>
        <v>C49SZX20200013SS</v>
      </c>
      <c r="K1848" s="51" t="str">
        <f>VLOOKUP(H1848,Stock_list!A:T,16,FALSE)</f>
        <v>JPY</v>
      </c>
      <c r="L1848" s="4">
        <v>43962</v>
      </c>
      <c r="M1848" s="132">
        <v>1</v>
      </c>
      <c r="P1848" s="4" t="str">
        <f>VLOOKUP(H1848,Stock_list!A:Y,25,FALSE)</f>
        <v>Yes</v>
      </c>
      <c r="Q1848" s="143"/>
      <c r="T1848" s="144"/>
      <c r="U1848" s="145" t="str">
        <f>VLOOKUP(H1848,Stock_list!A:N,14,FALSE)</f>
        <v>MAY 20</v>
      </c>
    </row>
    <row r="1849" spans="1:21" ht="16.5" customHeight="1">
      <c r="A1849" s="159" t="s">
        <v>2755</v>
      </c>
      <c r="B1849" s="114" t="str">
        <f>VLOOKUP(A1849,'Data pick slip'!B:F,5,FALSE)</f>
        <v>KLJ-MC100-00</v>
      </c>
      <c r="F1849" s="157" t="s">
        <v>2773</v>
      </c>
      <c r="I1849" s="139" t="s">
        <v>3115</v>
      </c>
      <c r="J1849" s="139" t="s">
        <v>3222</v>
      </c>
      <c r="K1849" s="51" t="s">
        <v>1246</v>
      </c>
      <c r="L1849" s="4">
        <v>44005</v>
      </c>
      <c r="M1849" s="140">
        <v>1</v>
      </c>
      <c r="P1849" s="4" t="s">
        <v>291</v>
      </c>
      <c r="Q1849" s="143"/>
      <c r="T1849" s="144"/>
      <c r="U1849" s="145" t="e">
        <f>VLOOKUP(H1849,Stock_list!A:N,14,FALSE)</f>
        <v>#N/A</v>
      </c>
    </row>
    <row r="1850" spans="1:21" ht="16.5" customHeight="1">
      <c r="A1850" s="159" t="s">
        <v>2744</v>
      </c>
      <c r="B1850" s="114" t="str">
        <f>VLOOKUP(A1850,'Data pick slip'!B:F,5,FALSE)</f>
        <v>KHJ-MC100-00</v>
      </c>
      <c r="F1850" s="157" t="s">
        <v>2773</v>
      </c>
      <c r="H1850" s="138">
        <v>575</v>
      </c>
      <c r="I1850" s="139" t="str">
        <f>VLOOKUP(H1850,Stock_list!A:R,18,FALSE)</f>
        <v>赛维显示</v>
      </c>
      <c r="J1850" s="139" t="str">
        <f>VLOOKUP(H1850,Stock_list!A:S,17,FALSE)</f>
        <v>C49SZX20200010DZ</v>
      </c>
      <c r="K1850" s="51" t="str">
        <f>VLOOKUP(H1850,Stock_list!A:T,16,FALSE)</f>
        <v>RMB</v>
      </c>
      <c r="L1850" s="4">
        <v>43915</v>
      </c>
      <c r="M1850" s="132">
        <v>44</v>
      </c>
      <c r="P1850" s="4" t="str">
        <f>VLOOKUP(H1850,Stock_list!A:Y,25,FALSE)</f>
        <v>Yes</v>
      </c>
      <c r="Q1850" s="143"/>
      <c r="T1850" s="144"/>
      <c r="U1850" s="145" t="str">
        <f>VLOOKUP(H1850,Stock_list!A:N,14,FALSE)</f>
        <v>MAR 20</v>
      </c>
    </row>
    <row r="1851" spans="1:21" ht="16.5" customHeight="1">
      <c r="A1851" s="159" t="s">
        <v>2747</v>
      </c>
      <c r="B1851" s="114" t="str">
        <f>VLOOKUP(A1851,'Data pick slip'!B:F,5,FALSE)</f>
        <v>KHJ-MC200-00</v>
      </c>
      <c r="F1851" s="157" t="s">
        <v>2773</v>
      </c>
      <c r="I1851" s="139" t="s">
        <v>3093</v>
      </c>
      <c r="J1851" s="139" t="s">
        <v>3223</v>
      </c>
      <c r="K1851" s="51" t="s">
        <v>1246</v>
      </c>
      <c r="L1851" s="4">
        <v>43844</v>
      </c>
      <c r="M1851" s="140">
        <v>8</v>
      </c>
      <c r="P1851" s="4" t="s">
        <v>291</v>
      </c>
      <c r="Q1851" s="143"/>
      <c r="T1851" s="144"/>
      <c r="U1851" s="145" t="e">
        <f>VLOOKUP(H1851,Stock_list!A:N,14,FALSE)</f>
        <v>#N/A</v>
      </c>
    </row>
    <row r="1852" spans="1:21" ht="16.5" customHeight="1">
      <c r="A1852" s="159" t="s">
        <v>2748</v>
      </c>
      <c r="B1852" s="114" t="str">
        <f>VLOOKUP(A1852,'Data pick slip'!B:F,5,FALSE)</f>
        <v>KHJ-MC400-00</v>
      </c>
      <c r="F1852" s="157" t="s">
        <v>2773</v>
      </c>
      <c r="I1852" s="139" t="s">
        <v>3093</v>
      </c>
      <c r="J1852" s="139" t="s">
        <v>3223</v>
      </c>
      <c r="K1852" s="51" t="s">
        <v>1246</v>
      </c>
      <c r="L1852" s="4">
        <v>43844</v>
      </c>
      <c r="M1852" s="140">
        <v>2</v>
      </c>
      <c r="P1852" s="4" t="s">
        <v>291</v>
      </c>
      <c r="Q1852" s="143"/>
      <c r="T1852" s="144"/>
      <c r="U1852" s="145" t="e">
        <f>VLOOKUP(H1852,Stock_list!A:N,14,FALSE)</f>
        <v>#N/A</v>
      </c>
    </row>
    <row r="1853" spans="1:21" ht="16.5" customHeight="1">
      <c r="A1853" s="159" t="s">
        <v>2744</v>
      </c>
      <c r="B1853" s="114" t="str">
        <f>VLOOKUP(A1853,'Data pick slip'!B:F,5,FALSE)</f>
        <v>KHJ-MC100-00</v>
      </c>
      <c r="F1853" s="157" t="s">
        <v>2861</v>
      </c>
      <c r="H1853" s="138">
        <v>581</v>
      </c>
      <c r="I1853" s="139" t="str">
        <f>VLOOKUP(H1853,Stock_list!A:R,18,FALSE)</f>
        <v>赛美达</v>
      </c>
      <c r="J1853" s="139" t="str">
        <f>VLOOKUP(H1853,Stock_list!A:S,17,FALSE)</f>
        <v>C49SZX20200016SX</v>
      </c>
      <c r="K1853" s="51" t="str">
        <f>VLOOKUP(H1853,Stock_list!A:T,16,FALSE)</f>
        <v>JPY</v>
      </c>
      <c r="L1853" s="4">
        <v>43903</v>
      </c>
      <c r="M1853" s="132">
        <v>32</v>
      </c>
      <c r="P1853" s="4" t="str">
        <f>VLOOKUP(H1853,Stock_list!A:Y,25,FALSE)</f>
        <v>Yes</v>
      </c>
      <c r="Q1853" s="143"/>
      <c r="T1853" s="144"/>
      <c r="U1853" s="145" t="str">
        <f>VLOOKUP(H1853,Stock_list!A:N,14,FALSE)</f>
        <v>MAR 20</v>
      </c>
    </row>
    <row r="1854" spans="1:21" ht="16.5" customHeight="1">
      <c r="A1854" s="159" t="s">
        <v>2747</v>
      </c>
      <c r="B1854" s="114" t="str">
        <f>VLOOKUP(A1854,'Data pick slip'!B:F,5,FALSE)</f>
        <v>KHJ-MC200-00</v>
      </c>
      <c r="F1854" s="157" t="s">
        <v>2861</v>
      </c>
      <c r="H1854" s="138">
        <v>581</v>
      </c>
      <c r="I1854" s="139" t="str">
        <f>VLOOKUP(H1854,Stock_list!A:R,18,FALSE)</f>
        <v>赛美达</v>
      </c>
      <c r="J1854" s="139" t="str">
        <f>VLOOKUP(H1854,Stock_list!A:S,17,FALSE)</f>
        <v>C49SZX20200016SX</v>
      </c>
      <c r="K1854" s="51" t="str">
        <f>VLOOKUP(H1854,Stock_list!A:T,16,FALSE)</f>
        <v>JPY</v>
      </c>
      <c r="L1854" s="4">
        <v>43903</v>
      </c>
      <c r="M1854" s="132">
        <v>10</v>
      </c>
      <c r="P1854" s="4" t="str">
        <f>VLOOKUP(H1854,Stock_list!A:Y,25,FALSE)</f>
        <v>Yes</v>
      </c>
      <c r="Q1854" s="143"/>
      <c r="T1854" s="144"/>
      <c r="U1854" s="145" t="str">
        <f>VLOOKUP(H1854,Stock_list!A:N,14,FALSE)</f>
        <v>MAR 20</v>
      </c>
    </row>
    <row r="1855" spans="1:21" ht="16.5" customHeight="1">
      <c r="A1855" s="159" t="s">
        <v>2744</v>
      </c>
      <c r="B1855" s="114" t="str">
        <f>VLOOKUP(A1855,'Data pick slip'!B:F,5,FALSE)</f>
        <v>KHJ-MC100-00</v>
      </c>
      <c r="F1855" s="157" t="s">
        <v>2861</v>
      </c>
      <c r="H1855" s="138">
        <v>583</v>
      </c>
      <c r="I1855" s="139" t="str">
        <f>VLOOKUP(H1855,Stock_list!A:R,18,FALSE)</f>
        <v>乐凡电子</v>
      </c>
      <c r="J1855" s="139" t="str">
        <f>VLOOKUP(H1855,Stock_list!A:S,17,FALSE)</f>
        <v>C49SZX20200017CX</v>
      </c>
      <c r="K1855" s="51" t="str">
        <f>VLOOKUP(H1855,Stock_list!A:T,16,FALSE)</f>
        <v>JPY</v>
      </c>
      <c r="L1855" s="4">
        <v>43945</v>
      </c>
      <c r="M1855" s="132">
        <v>65</v>
      </c>
      <c r="P1855" s="4" t="str">
        <f>VLOOKUP(H1855,Stock_list!A:Y,25,FALSE)</f>
        <v>Yes</v>
      </c>
      <c r="Q1855" s="143"/>
      <c r="T1855" s="144"/>
      <c r="U1855" s="145" t="str">
        <f>VLOOKUP(H1855,Stock_list!A:N,14,FALSE)</f>
        <v>APR 20</v>
      </c>
    </row>
    <row r="1856" spans="1:21" ht="16.5" customHeight="1">
      <c r="A1856" s="159" t="s">
        <v>2756</v>
      </c>
      <c r="B1856" s="114" t="str">
        <f>VLOOKUP(A1856,'Data pick slip'!B:F,5,FALSE)</f>
        <v>KLJ-MC200-00</v>
      </c>
      <c r="F1856" s="157" t="s">
        <v>2861</v>
      </c>
      <c r="H1856" s="138">
        <v>583</v>
      </c>
      <c r="I1856" s="139" t="str">
        <f>VLOOKUP(H1856,Stock_list!A:R,18,FALSE)</f>
        <v>乐凡电子</v>
      </c>
      <c r="J1856" s="139" t="str">
        <f>VLOOKUP(H1856,Stock_list!A:S,17,FALSE)</f>
        <v>C49SZX20200017CX</v>
      </c>
      <c r="K1856" s="51" t="str">
        <f>VLOOKUP(H1856,Stock_list!A:T,16,FALSE)</f>
        <v>JPY</v>
      </c>
      <c r="L1856" s="4">
        <v>43945</v>
      </c>
      <c r="M1856" s="132">
        <v>15</v>
      </c>
      <c r="P1856" s="4" t="str">
        <f>VLOOKUP(H1856,Stock_list!A:Y,25,FALSE)</f>
        <v>Yes</v>
      </c>
      <c r="T1856" s="144"/>
      <c r="U1856" s="145" t="str">
        <f>VLOOKUP(H1856,Stock_list!A:N,14,FALSE)</f>
        <v>APR 20</v>
      </c>
    </row>
    <row r="1857" spans="1:21" ht="16.5" customHeight="1">
      <c r="A1857" s="159" t="s">
        <v>2757</v>
      </c>
      <c r="B1857" s="114" t="str">
        <f>VLOOKUP(A1857,'Data pick slip'!B:F,5,FALSE)</f>
        <v>KLJ-MC400-00</v>
      </c>
      <c r="F1857" s="157" t="s">
        <v>2861</v>
      </c>
      <c r="H1857" s="138">
        <v>583</v>
      </c>
      <c r="I1857" s="139" t="str">
        <f>VLOOKUP(H1857,Stock_list!A:R,18,FALSE)</f>
        <v>乐凡电子</v>
      </c>
      <c r="J1857" s="139" t="str">
        <f>VLOOKUP(H1857,Stock_list!A:S,17,FALSE)</f>
        <v>C49SZX20200017CX</v>
      </c>
      <c r="K1857" s="51" t="str">
        <f>VLOOKUP(H1857,Stock_list!A:T,16,FALSE)</f>
        <v>JPY</v>
      </c>
      <c r="L1857" s="4">
        <v>43945</v>
      </c>
      <c r="M1857" s="132">
        <v>8</v>
      </c>
      <c r="P1857" s="4" t="str">
        <f>VLOOKUP(H1857,Stock_list!A:Y,25,FALSE)</f>
        <v>Yes</v>
      </c>
      <c r="Q1857" s="143"/>
      <c r="T1857" s="144"/>
      <c r="U1857" s="145" t="str">
        <f>VLOOKUP(H1857,Stock_list!A:N,14,FALSE)</f>
        <v>APR 20</v>
      </c>
    </row>
    <row r="1858" spans="1:21" ht="16.5" customHeight="1">
      <c r="A1858" s="159" t="s">
        <v>2748</v>
      </c>
      <c r="B1858" s="114" t="str">
        <f>VLOOKUP(A1858,'Data pick slip'!B:F,5,FALSE)</f>
        <v>KHJ-MC400-00</v>
      </c>
      <c r="F1858" s="157" t="s">
        <v>2773</v>
      </c>
      <c r="I1858" s="139" t="s">
        <v>3093</v>
      </c>
      <c r="J1858" s="139" t="s">
        <v>3224</v>
      </c>
      <c r="K1858" s="51" t="s">
        <v>1246</v>
      </c>
      <c r="L1858" s="4">
        <v>43846</v>
      </c>
      <c r="M1858" s="140">
        <v>3</v>
      </c>
      <c r="P1858" s="4" t="s">
        <v>291</v>
      </c>
      <c r="Q1858" s="143"/>
      <c r="T1858" s="144"/>
      <c r="U1858" s="145" t="e">
        <f>VLOOKUP(H1858,Stock_list!A:N,14,FALSE)</f>
        <v>#N/A</v>
      </c>
    </row>
    <row r="1859" spans="1:21" ht="16.5" customHeight="1">
      <c r="A1859" s="159" t="s">
        <v>2747</v>
      </c>
      <c r="B1859" s="114" t="str">
        <f>VLOOKUP(A1859,'Data pick slip'!B:F,5,FALSE)</f>
        <v>KHJ-MC200-00</v>
      </c>
      <c r="F1859" s="157" t="s">
        <v>2773</v>
      </c>
      <c r="I1859" s="139" t="s">
        <v>3099</v>
      </c>
      <c r="J1859" s="139" t="s">
        <v>3225</v>
      </c>
      <c r="K1859" s="51" t="s">
        <v>1246</v>
      </c>
      <c r="L1859" s="4">
        <v>43879</v>
      </c>
      <c r="M1859" s="140">
        <v>5</v>
      </c>
      <c r="P1859" s="4" t="s">
        <v>291</v>
      </c>
      <c r="Q1859" s="143"/>
      <c r="T1859" s="144"/>
      <c r="U1859" s="145" t="e">
        <f>VLOOKUP(H1859,Stock_list!A:N,14,FALSE)</f>
        <v>#N/A</v>
      </c>
    </row>
    <row r="1860" spans="1:21" ht="16.5" customHeight="1">
      <c r="A1860" s="159" t="s">
        <v>2748</v>
      </c>
      <c r="B1860" s="114" t="str">
        <f>VLOOKUP(A1860,'Data pick slip'!B:F,5,FALSE)</f>
        <v>KHJ-MC400-00</v>
      </c>
      <c r="F1860" s="157" t="s">
        <v>2773</v>
      </c>
      <c r="I1860" s="139" t="s">
        <v>3099</v>
      </c>
      <c r="J1860" s="139" t="s">
        <v>3225</v>
      </c>
      <c r="K1860" s="51" t="s">
        <v>1246</v>
      </c>
      <c r="L1860" s="4">
        <v>43879</v>
      </c>
      <c r="M1860" s="140">
        <v>1</v>
      </c>
      <c r="P1860" s="4" t="s">
        <v>291</v>
      </c>
      <c r="Q1860" s="143"/>
      <c r="T1860" s="144"/>
      <c r="U1860" s="145" t="e">
        <f>VLOOKUP(H1860,Stock_list!A:N,14,FALSE)</f>
        <v>#N/A</v>
      </c>
    </row>
    <row r="1861" spans="1:21" ht="16.5" customHeight="1">
      <c r="A1861" s="159" t="s">
        <v>2749</v>
      </c>
      <c r="B1861" s="114" t="str">
        <f>VLOOKUP(A1861,'Data pick slip'!B:F,5,FALSE)</f>
        <v>KHJ-MC500-00</v>
      </c>
      <c r="F1861" s="157" t="s">
        <v>2773</v>
      </c>
      <c r="I1861" s="139" t="s">
        <v>3099</v>
      </c>
      <c r="J1861" s="139" t="s">
        <v>3225</v>
      </c>
      <c r="K1861" s="51" t="s">
        <v>1246</v>
      </c>
      <c r="L1861" s="4">
        <v>43879</v>
      </c>
      <c r="M1861" s="140">
        <v>1</v>
      </c>
      <c r="P1861" s="4" t="s">
        <v>291</v>
      </c>
      <c r="Q1861" s="143"/>
      <c r="T1861" s="144"/>
      <c r="U1861" s="145" t="e">
        <f>VLOOKUP(H1861,Stock_list!A:N,14,FALSE)</f>
        <v>#N/A</v>
      </c>
    </row>
    <row r="1862" spans="1:21" ht="16.5" customHeight="1">
      <c r="A1862" s="159" t="s">
        <v>2744</v>
      </c>
      <c r="B1862" s="114" t="str">
        <f>VLOOKUP(A1862,'Data pick slip'!B:F,5,FALSE)</f>
        <v>KHJ-MC100-00</v>
      </c>
      <c r="F1862" s="157" t="s">
        <v>2861</v>
      </c>
      <c r="I1862" s="139" t="s">
        <v>3015</v>
      </c>
      <c r="J1862" s="139" t="s">
        <v>3226</v>
      </c>
      <c r="K1862" s="51" t="s">
        <v>1246</v>
      </c>
      <c r="L1862" s="4">
        <v>43846</v>
      </c>
      <c r="M1862" s="140">
        <v>50</v>
      </c>
      <c r="P1862" s="4" t="s">
        <v>291</v>
      </c>
      <c r="Q1862" s="143"/>
      <c r="T1862" s="144"/>
      <c r="U1862" s="145" t="e">
        <f>VLOOKUP(H1862,Stock_list!A:N,14,FALSE)</f>
        <v>#N/A</v>
      </c>
    </row>
    <row r="1863" spans="1:21" ht="16.5" customHeight="1">
      <c r="A1863" s="159" t="s">
        <v>2747</v>
      </c>
      <c r="B1863" s="114" t="str">
        <f>VLOOKUP(A1863,'Data pick slip'!B:F,5,FALSE)</f>
        <v>KHJ-MC200-00</v>
      </c>
      <c r="F1863" s="157" t="s">
        <v>2861</v>
      </c>
      <c r="I1863" s="139" t="s">
        <v>3015</v>
      </c>
      <c r="J1863" s="139" t="s">
        <v>3226</v>
      </c>
      <c r="K1863" s="51" t="s">
        <v>1246</v>
      </c>
      <c r="L1863" s="4">
        <v>43846</v>
      </c>
      <c r="M1863" s="140">
        <v>20</v>
      </c>
      <c r="P1863" s="4" t="s">
        <v>291</v>
      </c>
      <c r="Q1863" s="143"/>
      <c r="T1863" s="144"/>
      <c r="U1863" s="145" t="e">
        <f>VLOOKUP(H1863,Stock_list!A:N,14,FALSE)</f>
        <v>#N/A</v>
      </c>
    </row>
    <row r="1864" spans="1:21" ht="16.5" customHeight="1">
      <c r="A1864" s="159" t="s">
        <v>2748</v>
      </c>
      <c r="B1864" s="114" t="str">
        <f>VLOOKUP(A1864,'Data pick slip'!B:F,5,FALSE)</f>
        <v>KHJ-MC400-00</v>
      </c>
      <c r="F1864" s="157" t="s">
        <v>2861</v>
      </c>
      <c r="I1864" s="139" t="s">
        <v>3015</v>
      </c>
      <c r="J1864" s="139" t="s">
        <v>3226</v>
      </c>
      <c r="K1864" s="51" t="s">
        <v>1246</v>
      </c>
      <c r="L1864" s="4">
        <v>43846</v>
      </c>
      <c r="M1864" s="140">
        <v>10</v>
      </c>
      <c r="P1864" s="4" t="s">
        <v>291</v>
      </c>
      <c r="Q1864" s="143"/>
      <c r="T1864" s="144"/>
      <c r="U1864" s="145" t="e">
        <f>VLOOKUP(H1864,Stock_list!A:N,14,FALSE)</f>
        <v>#N/A</v>
      </c>
    </row>
    <row r="1865" spans="1:21" ht="16.5" customHeight="1">
      <c r="A1865" s="159" t="s">
        <v>2744</v>
      </c>
      <c r="B1865" s="114" t="str">
        <f>VLOOKUP(A1865,'Data pick slip'!B:F,5,FALSE)</f>
        <v>KHJ-MC100-00</v>
      </c>
      <c r="F1865" s="157" t="s">
        <v>2861</v>
      </c>
      <c r="H1865" s="138">
        <v>585</v>
      </c>
      <c r="I1865" s="139" t="str">
        <f>VLOOKUP(H1865,Stock_list!A:R,18,FALSE)</f>
        <v>福瑞康</v>
      </c>
      <c r="J1865" s="139" t="str">
        <f>VLOOKUP(H1865,Stock_list!A:S,17,FALSE)</f>
        <v>C49SZX20200018SX</v>
      </c>
      <c r="K1865" s="51" t="str">
        <f>VLOOKUP(H1865,Stock_list!A:T,16,FALSE)</f>
        <v>JPY</v>
      </c>
      <c r="L1865" s="4">
        <v>43893</v>
      </c>
      <c r="M1865" s="132">
        <v>70</v>
      </c>
      <c r="P1865" s="4" t="str">
        <f>VLOOKUP(H1865,Stock_list!A:Y,25,FALSE)</f>
        <v>Yes</v>
      </c>
      <c r="Q1865" s="143"/>
      <c r="T1865" s="144"/>
      <c r="U1865" s="145" t="str">
        <f>VLOOKUP(H1865,Stock_list!A:N,14,FALSE)</f>
        <v>FEB 20</v>
      </c>
    </row>
    <row r="1866" spans="1:21" ht="16.5" customHeight="1">
      <c r="A1866" s="159" t="s">
        <v>2747</v>
      </c>
      <c r="B1866" s="114" t="str">
        <f>VLOOKUP(A1866,'Data pick slip'!B:F,5,FALSE)</f>
        <v>KHJ-MC200-00</v>
      </c>
      <c r="F1866" s="157" t="s">
        <v>2861</v>
      </c>
      <c r="H1866" s="138">
        <v>585</v>
      </c>
      <c r="I1866" s="139" t="str">
        <f>VLOOKUP(H1866,Stock_list!A:R,18,FALSE)</f>
        <v>福瑞康</v>
      </c>
      <c r="J1866" s="139" t="str">
        <f>VLOOKUP(H1866,Stock_list!A:S,17,FALSE)</f>
        <v>C49SZX20200018SX</v>
      </c>
      <c r="K1866" s="51" t="str">
        <f>VLOOKUP(H1866,Stock_list!A:T,16,FALSE)</f>
        <v>JPY</v>
      </c>
      <c r="L1866" s="4">
        <v>43893</v>
      </c>
      <c r="M1866" s="132">
        <v>15</v>
      </c>
      <c r="P1866" s="4" t="str">
        <f>VLOOKUP(H1866,Stock_list!A:Y,25,FALSE)</f>
        <v>Yes</v>
      </c>
      <c r="Q1866" s="143"/>
      <c r="T1866" s="144"/>
      <c r="U1866" s="145" t="str">
        <f>VLOOKUP(H1866,Stock_list!A:N,14,FALSE)</f>
        <v>FEB 20</v>
      </c>
    </row>
    <row r="1867" spans="1:21" ht="16.5" customHeight="1">
      <c r="A1867" s="159" t="s">
        <v>2747</v>
      </c>
      <c r="B1867" s="114" t="str">
        <f>VLOOKUP(A1867,'Data pick slip'!B:F,5,FALSE)</f>
        <v>KHJ-MC200-00</v>
      </c>
      <c r="F1867" s="157" t="s">
        <v>2773</v>
      </c>
      <c r="I1867" s="139" t="s">
        <v>3093</v>
      </c>
      <c r="J1867" s="139" t="s">
        <v>3227</v>
      </c>
      <c r="K1867" s="51" t="s">
        <v>1246</v>
      </c>
      <c r="L1867" s="4">
        <v>43886</v>
      </c>
      <c r="M1867" s="140">
        <v>7</v>
      </c>
      <c r="P1867" s="4" t="s">
        <v>291</v>
      </c>
      <c r="Q1867" s="143"/>
      <c r="T1867" s="144"/>
      <c r="U1867" s="145" t="e">
        <f>VLOOKUP(H1867,Stock_list!A:N,14,FALSE)</f>
        <v>#N/A</v>
      </c>
    </row>
    <row r="1868" spans="1:21" ht="16.5" customHeight="1">
      <c r="A1868" s="159" t="s">
        <v>2747</v>
      </c>
      <c r="B1868" s="114" t="str">
        <f>VLOOKUP(A1868,'Data pick slip'!B:F,5,FALSE)</f>
        <v>KHJ-MC200-00</v>
      </c>
      <c r="F1868" s="157" t="s">
        <v>2773</v>
      </c>
      <c r="I1868" s="139" t="s">
        <v>3093</v>
      </c>
      <c r="J1868" s="139" t="s">
        <v>3228</v>
      </c>
      <c r="K1868" s="51" t="s">
        <v>1246</v>
      </c>
      <c r="L1868" s="4">
        <v>43886</v>
      </c>
      <c r="M1868" s="140">
        <v>1</v>
      </c>
      <c r="P1868" s="4" t="s">
        <v>291</v>
      </c>
      <c r="Q1868" s="143"/>
      <c r="T1868" s="144"/>
      <c r="U1868" s="145" t="e">
        <f>VLOOKUP(H1868,Stock_list!A:N,14,FALSE)</f>
        <v>#N/A</v>
      </c>
    </row>
    <row r="1869" spans="1:21" ht="16.5" customHeight="1">
      <c r="A1869" s="159" t="s">
        <v>2755</v>
      </c>
      <c r="B1869" s="114" t="str">
        <f>VLOOKUP(A1869,'Data pick slip'!B:F,5,FALSE)</f>
        <v>KLJ-MC100-00</v>
      </c>
      <c r="F1869" s="157" t="s">
        <v>2861</v>
      </c>
      <c r="H1869" s="138">
        <v>586</v>
      </c>
      <c r="I1869" s="139" t="str">
        <f>VLOOKUP(H1869,Stock_list!A:R,18,FALSE)</f>
        <v>格瑞智达/END USER 智宏创</v>
      </c>
      <c r="J1869" s="139" t="str">
        <f>VLOOKUP(H1869,Stock_list!A:S,17,FALSE)</f>
        <v>C49SZX20200021SS</v>
      </c>
      <c r="K1869" s="51" t="str">
        <f>VLOOKUP(H1869,Stock_list!A:T,16,FALSE)</f>
        <v>JPY</v>
      </c>
      <c r="L1869" s="4">
        <v>43893</v>
      </c>
      <c r="M1869" s="140">
        <v>6</v>
      </c>
      <c r="P1869" s="4" t="str">
        <f>VLOOKUP(H1869,Stock_list!A:Y,25,FALSE)</f>
        <v>Yes</v>
      </c>
      <c r="Q1869" s="143"/>
      <c r="T1869" s="144"/>
      <c r="U1869" s="145" t="str">
        <f>VLOOKUP(H1869,Stock_list!A:N,14,FALSE)</f>
        <v>MAR 20</v>
      </c>
    </row>
    <row r="1870" spans="1:21" ht="16.5" customHeight="1">
      <c r="A1870" s="159" t="s">
        <v>2747</v>
      </c>
      <c r="B1870" s="114" t="str">
        <f>VLOOKUP(A1870,'Data pick slip'!B:F,5,FALSE)</f>
        <v>KHJ-MC200-00</v>
      </c>
      <c r="F1870" s="157" t="s">
        <v>2773</v>
      </c>
      <c r="I1870" s="139" t="s">
        <v>3115</v>
      </c>
      <c r="J1870" s="139" t="s">
        <v>3229</v>
      </c>
      <c r="K1870" s="51" t="s">
        <v>1246</v>
      </c>
      <c r="L1870" s="4">
        <v>43893</v>
      </c>
      <c r="M1870" s="140">
        <v>10</v>
      </c>
      <c r="P1870" s="4" t="s">
        <v>291</v>
      </c>
      <c r="Q1870" s="143"/>
      <c r="T1870" s="144"/>
      <c r="U1870" s="145" t="e">
        <f>VLOOKUP(H1870,Stock_list!A:N,14,FALSE)</f>
        <v>#N/A</v>
      </c>
    </row>
    <row r="1871" spans="1:21" ht="16.5" customHeight="1">
      <c r="A1871" s="159" t="s">
        <v>2749</v>
      </c>
      <c r="B1871" s="114" t="str">
        <f>VLOOKUP(A1871,'Data pick slip'!B:F,5,FALSE)</f>
        <v>KHJ-MC500-00</v>
      </c>
      <c r="F1871" s="157" t="s">
        <v>2773</v>
      </c>
      <c r="I1871" s="139" t="s">
        <v>3115</v>
      </c>
      <c r="J1871" s="139" t="s">
        <v>3230</v>
      </c>
      <c r="K1871" s="51" t="s">
        <v>1246</v>
      </c>
      <c r="L1871" s="4">
        <v>43893</v>
      </c>
      <c r="M1871" s="140">
        <v>1</v>
      </c>
      <c r="P1871" s="4" t="s">
        <v>291</v>
      </c>
      <c r="Q1871" s="143"/>
      <c r="T1871" s="144"/>
      <c r="U1871" s="145" t="e">
        <f>VLOOKUP(H1871,Stock_list!A:N,14,FALSE)</f>
        <v>#N/A</v>
      </c>
    </row>
    <row r="1872" spans="1:21" ht="16.5" customHeight="1">
      <c r="A1872" s="159" t="s">
        <v>2744</v>
      </c>
      <c r="B1872" s="114" t="str">
        <f>VLOOKUP(A1872,'Data pick slip'!B:F,5,FALSE)</f>
        <v>KHJ-MC100-00</v>
      </c>
      <c r="F1872" s="157" t="s">
        <v>2773</v>
      </c>
      <c r="I1872" s="139" t="s">
        <v>3093</v>
      </c>
      <c r="J1872" s="139" t="s">
        <v>3231</v>
      </c>
      <c r="K1872" s="51" t="s">
        <v>1246</v>
      </c>
      <c r="L1872" s="4">
        <v>43895</v>
      </c>
      <c r="M1872" s="140">
        <v>3</v>
      </c>
      <c r="P1872" s="4" t="s">
        <v>291</v>
      </c>
      <c r="Q1872" s="143"/>
      <c r="T1872" s="144"/>
      <c r="U1872" s="145" t="e">
        <f>VLOOKUP(H1872,Stock_list!A:N,14,FALSE)</f>
        <v>#N/A</v>
      </c>
    </row>
    <row r="1873" spans="1:21" ht="16.5" customHeight="1">
      <c r="A1873" s="159" t="s">
        <v>2744</v>
      </c>
      <c r="B1873" s="114" t="str">
        <f>VLOOKUP(A1873,'Data pick slip'!B:F,5,FALSE)</f>
        <v>KHJ-MC100-00</v>
      </c>
      <c r="F1873" s="157" t="s">
        <v>2861</v>
      </c>
      <c r="H1873" s="138">
        <v>587</v>
      </c>
      <c r="I1873" s="139" t="str">
        <f>VLOOKUP(H1873,Stock_list!A:R,18,FALSE)</f>
        <v>正创</v>
      </c>
      <c r="J1873" s="139" t="str">
        <f>VLOOKUP(H1873,Stock_list!A:S,17,FALSE)</f>
        <v>C49SZX20200020SS</v>
      </c>
      <c r="K1873" s="51" t="str">
        <f>VLOOKUP(H1873,Stock_list!A:T,16,FALSE)</f>
        <v>JPY</v>
      </c>
      <c r="L1873" s="4">
        <v>43896</v>
      </c>
      <c r="M1873" s="140">
        <v>5</v>
      </c>
      <c r="P1873" s="4" t="str">
        <f>VLOOKUP(H1873,Stock_list!A:Y,25,FALSE)</f>
        <v>Yes</v>
      </c>
      <c r="Q1873" s="143"/>
      <c r="T1873" s="144"/>
      <c r="U1873" s="145" t="str">
        <f>VLOOKUP(H1873,Stock_list!A:N,14,FALSE)</f>
        <v>MAR 20</v>
      </c>
    </row>
    <row r="1874" spans="1:21" ht="16.5" customHeight="1">
      <c r="A1874" s="159" t="s">
        <v>2747</v>
      </c>
      <c r="B1874" s="114" t="str">
        <f>VLOOKUP(A1874,'Data pick slip'!B:F,5,FALSE)</f>
        <v>KHJ-MC200-00</v>
      </c>
      <c r="F1874" s="157" t="s">
        <v>2861</v>
      </c>
      <c r="H1874" s="138">
        <v>587</v>
      </c>
      <c r="I1874" s="139" t="str">
        <f>VLOOKUP(H1874,Stock_list!A:R,18,FALSE)</f>
        <v>正创</v>
      </c>
      <c r="J1874" s="139" t="str">
        <f>VLOOKUP(H1874,Stock_list!A:S,17,FALSE)</f>
        <v>C49SZX20200020SS</v>
      </c>
      <c r="K1874" s="51" t="str">
        <f>VLOOKUP(H1874,Stock_list!A:T,16,FALSE)</f>
        <v>JPY</v>
      </c>
      <c r="L1874" s="4">
        <v>43896</v>
      </c>
      <c r="M1874" s="140">
        <v>3</v>
      </c>
      <c r="P1874" s="4" t="str">
        <f>VLOOKUP(H1874,Stock_list!A:Y,25,FALSE)</f>
        <v>Yes</v>
      </c>
      <c r="Q1874" s="143"/>
      <c r="T1874" s="144"/>
      <c r="U1874" s="145" t="str">
        <f>VLOOKUP(H1874,Stock_list!A:N,14,FALSE)</f>
        <v>MAR 20</v>
      </c>
    </row>
    <row r="1875" spans="1:21" ht="16.5" customHeight="1">
      <c r="A1875" s="159" t="s">
        <v>2747</v>
      </c>
      <c r="B1875" s="114" t="str">
        <f>VLOOKUP(A1875,'Data pick slip'!B:F,5,FALSE)</f>
        <v>KHJ-MC200-00</v>
      </c>
      <c r="F1875" s="157" t="s">
        <v>2773</v>
      </c>
      <c r="I1875" s="139" t="s">
        <v>3093</v>
      </c>
      <c r="J1875" s="139" t="s">
        <v>3232</v>
      </c>
      <c r="K1875" s="51" t="s">
        <v>1246</v>
      </c>
      <c r="L1875" s="4">
        <v>43899</v>
      </c>
      <c r="M1875" s="140">
        <v>6</v>
      </c>
      <c r="P1875" s="4" t="s">
        <v>291</v>
      </c>
      <c r="Q1875" s="143"/>
      <c r="T1875" s="144"/>
      <c r="U1875" s="145" t="e">
        <f>VLOOKUP(H1875,Stock_list!A:N,14,FALSE)</f>
        <v>#N/A</v>
      </c>
    </row>
    <row r="1876" spans="1:21" ht="16.5" customHeight="1">
      <c r="A1876" s="159" t="s">
        <v>2744</v>
      </c>
      <c r="B1876" s="114" t="str">
        <f>VLOOKUP(A1876,'Data pick slip'!B:F,5,FALSE)</f>
        <v>KHJ-MC100-00</v>
      </c>
      <c r="F1876" s="157" t="s">
        <v>2773</v>
      </c>
      <c r="I1876" s="139" t="s">
        <v>3093</v>
      </c>
      <c r="J1876" s="139" t="s">
        <v>3233</v>
      </c>
      <c r="K1876" s="51" t="s">
        <v>1246</v>
      </c>
      <c r="L1876" s="4">
        <v>43900</v>
      </c>
      <c r="M1876" s="140">
        <v>80</v>
      </c>
      <c r="P1876" s="4" t="s">
        <v>291</v>
      </c>
      <c r="Q1876" s="143"/>
      <c r="T1876" s="144"/>
      <c r="U1876" s="145" t="e">
        <f>VLOOKUP(H1876,Stock_list!A:N,14,FALSE)</f>
        <v>#N/A</v>
      </c>
    </row>
    <row r="1877" spans="1:21" ht="16.5" customHeight="1">
      <c r="A1877" s="159" t="s">
        <v>2744</v>
      </c>
      <c r="B1877" s="114" t="str">
        <f>VLOOKUP(A1877,'Data pick slip'!B:F,5,FALSE)</f>
        <v>KHJ-MC100-00</v>
      </c>
      <c r="F1877" s="157" t="s">
        <v>2861</v>
      </c>
      <c r="H1877" s="138">
        <v>589</v>
      </c>
      <c r="I1877" s="139" t="str">
        <f>VLOOKUP(H1877,Stock_list!A:R,18,FALSE)</f>
        <v>奕东</v>
      </c>
      <c r="J1877" s="139" t="str">
        <f>VLOOKUP(H1877,Stock_list!A:S,17,FALSE)</f>
        <v>C49SZX20200023SX</v>
      </c>
      <c r="K1877" s="51" t="str">
        <f>VLOOKUP(H1877,Stock_list!A:T,16,FALSE)</f>
        <v>JPY</v>
      </c>
      <c r="L1877" s="4">
        <v>43923</v>
      </c>
      <c r="M1877" s="132">
        <v>40</v>
      </c>
      <c r="P1877" s="4" t="str">
        <f>VLOOKUP(H1877,Stock_list!A:Y,25,FALSE)</f>
        <v>Yes</v>
      </c>
      <c r="Q1877" s="143"/>
      <c r="T1877" s="144"/>
      <c r="U1877" s="145" t="str">
        <f>VLOOKUP(H1877,Stock_list!A:N,14,FALSE)</f>
        <v>APR 20</v>
      </c>
    </row>
    <row r="1878" spans="1:21" ht="16.5" customHeight="1">
      <c r="A1878" s="159" t="s">
        <v>2747</v>
      </c>
      <c r="B1878" s="114" t="str">
        <f>VLOOKUP(A1878,'Data pick slip'!B:F,5,FALSE)</f>
        <v>KHJ-MC200-00</v>
      </c>
      <c r="F1878" s="157" t="s">
        <v>2861</v>
      </c>
      <c r="H1878" s="138">
        <v>589</v>
      </c>
      <c r="I1878" s="139" t="str">
        <f>VLOOKUP(H1878,Stock_list!A:R,18,FALSE)</f>
        <v>奕东</v>
      </c>
      <c r="J1878" s="139" t="str">
        <f>VLOOKUP(H1878,Stock_list!A:S,17,FALSE)</f>
        <v>C49SZX20200023SX</v>
      </c>
      <c r="K1878" s="51" t="str">
        <f>VLOOKUP(H1878,Stock_list!A:T,16,FALSE)</f>
        <v>JPY</v>
      </c>
      <c r="L1878" s="4">
        <v>43923</v>
      </c>
      <c r="M1878" s="132">
        <v>1</v>
      </c>
      <c r="P1878" s="4" t="str">
        <f>VLOOKUP(H1878,Stock_list!A:Y,25,FALSE)</f>
        <v>Yes</v>
      </c>
      <c r="Q1878" s="143"/>
      <c r="T1878" s="144"/>
      <c r="U1878" s="145" t="str">
        <f>VLOOKUP(H1878,Stock_list!A:N,14,FALSE)</f>
        <v>APR 20</v>
      </c>
    </row>
    <row r="1879" spans="1:21" ht="16.5" customHeight="1">
      <c r="A1879" s="159" t="s">
        <v>2744</v>
      </c>
      <c r="B1879" s="114" t="str">
        <f>VLOOKUP(A1879,'Data pick slip'!B:F,5,FALSE)</f>
        <v>KHJ-MC100-00</v>
      </c>
      <c r="F1879" s="157" t="s">
        <v>2773</v>
      </c>
      <c r="H1879" s="138">
        <v>593</v>
      </c>
      <c r="I1879" s="139" t="str">
        <f>VLOOKUP(H1879,Stock_list!A:R,18,FALSE)</f>
        <v>华汛</v>
      </c>
      <c r="J1879" s="139" t="str">
        <f>VLOOKUP(H1879,Stock_list!A:S,17,FALSE)</f>
        <v>C49SZX20200019SX</v>
      </c>
      <c r="K1879" s="51" t="str">
        <f>VLOOKUP(H1879,Stock_list!A:T,16,FALSE)</f>
        <v>RMB</v>
      </c>
      <c r="L1879" s="4">
        <v>43909</v>
      </c>
      <c r="M1879" s="140">
        <v>30</v>
      </c>
      <c r="P1879" s="4" t="str">
        <f>VLOOKUP(H1879,Stock_list!A:Y,25,FALSE)</f>
        <v>Yes</v>
      </c>
      <c r="Q1879" s="143"/>
      <c r="T1879" s="144"/>
      <c r="U1879" s="145" t="str">
        <f>VLOOKUP(H1879,Stock_list!A:N,14,FALSE)</f>
        <v>MAR 20</v>
      </c>
    </row>
    <row r="1880" spans="1:21" ht="16.5" customHeight="1">
      <c r="A1880" s="159" t="s">
        <v>2747</v>
      </c>
      <c r="B1880" s="114" t="str">
        <f>VLOOKUP(A1880,'Data pick slip'!B:F,5,FALSE)</f>
        <v>KHJ-MC200-00</v>
      </c>
      <c r="F1880" s="157" t="s">
        <v>2773</v>
      </c>
      <c r="H1880" s="138">
        <v>593</v>
      </c>
      <c r="I1880" s="139" t="str">
        <f>VLOOKUP(H1880,Stock_list!A:R,18,FALSE)</f>
        <v>华汛</v>
      </c>
      <c r="J1880" s="139" t="str">
        <f>VLOOKUP(H1880,Stock_list!A:S,17,FALSE)</f>
        <v>C49SZX20200019SX</v>
      </c>
      <c r="K1880" s="51" t="str">
        <f>VLOOKUP(H1880,Stock_list!A:T,16,FALSE)</f>
        <v>RMB</v>
      </c>
      <c r="L1880" s="4">
        <v>43909</v>
      </c>
      <c r="M1880" s="132">
        <v>5</v>
      </c>
      <c r="P1880" s="4" t="str">
        <f>VLOOKUP(H1880,Stock_list!A:Y,25,FALSE)</f>
        <v>Yes</v>
      </c>
      <c r="Q1880" s="143"/>
      <c r="T1880" s="144"/>
      <c r="U1880" s="145" t="str">
        <f>VLOOKUP(H1880,Stock_list!A:N,14,FALSE)</f>
        <v>MAR 20</v>
      </c>
    </row>
    <row r="1881" spans="1:21" ht="16.5" customHeight="1">
      <c r="A1881" s="159" t="s">
        <v>2744</v>
      </c>
      <c r="B1881" s="114" t="str">
        <f>VLOOKUP(A1881,'Data pick slip'!B:F,5,FALSE)</f>
        <v>KHJ-MC100-00</v>
      </c>
      <c r="F1881" s="157" t="s">
        <v>2861</v>
      </c>
      <c r="H1881" s="138">
        <v>594</v>
      </c>
      <c r="I1881" s="139" t="str">
        <f>VLOOKUP(H1881,Stock_list!A:R,18,FALSE)</f>
        <v>络鑫</v>
      </c>
      <c r="J1881" s="139" t="str">
        <f>VLOOKUP(H1881,Stock_list!A:S,17,FALSE)</f>
        <v>C49SZX20200027JY</v>
      </c>
      <c r="K1881" s="51" t="str">
        <f>VLOOKUP(H1881,Stock_list!A:T,16,FALSE)</f>
        <v>RMB</v>
      </c>
      <c r="L1881" s="4">
        <v>43928</v>
      </c>
      <c r="M1881" s="132">
        <v>130</v>
      </c>
      <c r="P1881" s="4" t="str">
        <f>VLOOKUP(H1881,Stock_list!A:Y,25,FALSE)</f>
        <v>Yes</v>
      </c>
      <c r="Q1881" s="143"/>
      <c r="T1881" s="144"/>
      <c r="U1881" s="145" t="str">
        <f>VLOOKUP(H1881,Stock_list!A:N,14,FALSE)</f>
        <v>APR 20</v>
      </c>
    </row>
    <row r="1882" spans="1:21" ht="16.5" customHeight="1">
      <c r="A1882" s="159" t="s">
        <v>2747</v>
      </c>
      <c r="B1882" s="114" t="str">
        <f>VLOOKUP(A1882,'Data pick slip'!B:F,5,FALSE)</f>
        <v>KHJ-MC200-00</v>
      </c>
      <c r="F1882" s="157" t="s">
        <v>2861</v>
      </c>
      <c r="H1882" s="138">
        <v>594</v>
      </c>
      <c r="I1882" s="139" t="str">
        <f>VLOOKUP(H1882,Stock_list!A:R,18,FALSE)</f>
        <v>络鑫</v>
      </c>
      <c r="J1882" s="139" t="str">
        <f>VLOOKUP(H1882,Stock_list!A:S,17,FALSE)</f>
        <v>C49SZX20200027JY</v>
      </c>
      <c r="K1882" s="51" t="str">
        <f>VLOOKUP(H1882,Stock_list!A:T,16,FALSE)</f>
        <v>RMB</v>
      </c>
      <c r="L1882" s="4">
        <v>43928</v>
      </c>
      <c r="M1882" s="132">
        <v>10</v>
      </c>
      <c r="P1882" s="4" t="str">
        <f>VLOOKUP(H1882,Stock_list!A:Y,25,FALSE)</f>
        <v>Yes</v>
      </c>
      <c r="Q1882" s="143"/>
      <c r="T1882" s="144"/>
      <c r="U1882" s="145" t="str">
        <f>VLOOKUP(H1882,Stock_list!A:N,14,FALSE)</f>
        <v>APR 20</v>
      </c>
    </row>
    <row r="1883" spans="1:21" ht="16.5" customHeight="1">
      <c r="A1883" s="159" t="s">
        <v>2748</v>
      </c>
      <c r="B1883" s="114" t="str">
        <f>VLOOKUP(A1883,'Data pick slip'!B:F,5,FALSE)</f>
        <v>KHJ-MC400-00</v>
      </c>
      <c r="F1883" s="157" t="s">
        <v>2861</v>
      </c>
      <c r="H1883" s="138">
        <v>594</v>
      </c>
      <c r="I1883" s="139" t="str">
        <f>VLOOKUP(H1883,Stock_list!A:R,18,FALSE)</f>
        <v>络鑫</v>
      </c>
      <c r="J1883" s="139" t="str">
        <f>VLOOKUP(H1883,Stock_list!A:S,17,FALSE)</f>
        <v>C49SZX20200027JY</v>
      </c>
      <c r="K1883" s="51" t="str">
        <f>VLOOKUP(H1883,Stock_list!A:T,16,FALSE)</f>
        <v>RMB</v>
      </c>
      <c r="L1883" s="4">
        <v>43928</v>
      </c>
      <c r="M1883" s="132">
        <v>2</v>
      </c>
      <c r="P1883" s="4" t="str">
        <f>VLOOKUP(H1883,Stock_list!A:Y,25,FALSE)</f>
        <v>Yes</v>
      </c>
      <c r="Q1883" s="143"/>
      <c r="T1883" s="144"/>
      <c r="U1883" s="145" t="str">
        <f>VLOOKUP(H1883,Stock_list!A:N,14,FALSE)</f>
        <v>APR 20</v>
      </c>
    </row>
    <row r="1884" spans="1:21" ht="16.5" customHeight="1">
      <c r="A1884" s="159" t="s">
        <v>2749</v>
      </c>
      <c r="B1884" s="114" t="str">
        <f>VLOOKUP(A1884,'Data pick slip'!B:F,5,FALSE)</f>
        <v>KHJ-MC500-00</v>
      </c>
      <c r="F1884" s="157" t="s">
        <v>2861</v>
      </c>
      <c r="H1884" s="138">
        <v>594</v>
      </c>
      <c r="I1884" s="139" t="str">
        <f>VLOOKUP(H1884,Stock_list!A:R,18,FALSE)</f>
        <v>络鑫</v>
      </c>
      <c r="J1884" s="139" t="str">
        <f>VLOOKUP(H1884,Stock_list!A:S,17,FALSE)</f>
        <v>C49SZX20200027JY</v>
      </c>
      <c r="K1884" s="51" t="str">
        <f>VLOOKUP(H1884,Stock_list!A:T,16,FALSE)</f>
        <v>RMB</v>
      </c>
      <c r="L1884" s="4">
        <v>43928</v>
      </c>
      <c r="M1884" s="132">
        <v>1</v>
      </c>
      <c r="P1884" s="4" t="str">
        <f>VLOOKUP(H1884,Stock_list!A:Y,25,FALSE)</f>
        <v>Yes</v>
      </c>
      <c r="Q1884" s="143"/>
      <c r="T1884" s="144"/>
      <c r="U1884" s="145" t="str">
        <f>VLOOKUP(H1884,Stock_list!A:N,14,FALSE)</f>
        <v>APR 20</v>
      </c>
    </row>
    <row r="1885" spans="1:21" ht="16.5" customHeight="1">
      <c r="A1885" s="159" t="s">
        <v>2744</v>
      </c>
      <c r="B1885" s="114" t="str">
        <f>VLOOKUP(A1885,'Data pick slip'!B:F,5,FALSE)</f>
        <v>KHJ-MC100-00</v>
      </c>
      <c r="F1885" s="157" t="s">
        <v>2773</v>
      </c>
      <c r="I1885" s="139" t="s">
        <v>3234</v>
      </c>
      <c r="J1885" s="139" t="s">
        <v>3235</v>
      </c>
      <c r="K1885" s="51" t="s">
        <v>1246</v>
      </c>
      <c r="L1885" s="4">
        <v>43909</v>
      </c>
      <c r="M1885" s="140">
        <v>60</v>
      </c>
      <c r="P1885" s="4" t="s">
        <v>291</v>
      </c>
      <c r="Q1885" s="143"/>
      <c r="T1885" s="144"/>
      <c r="U1885" s="145" t="e">
        <f>VLOOKUP(H1885,Stock_list!A:N,14,FALSE)</f>
        <v>#N/A</v>
      </c>
    </row>
    <row r="1886" spans="1:21" ht="16.5" customHeight="1">
      <c r="A1886" s="159" t="s">
        <v>2744</v>
      </c>
      <c r="B1886" s="114" t="str">
        <f>VLOOKUP(A1886,'Data pick slip'!B:F,5,FALSE)</f>
        <v>KHJ-MC100-00</v>
      </c>
      <c r="F1886" s="157" t="s">
        <v>2773</v>
      </c>
      <c r="I1886" s="139" t="s">
        <v>3135</v>
      </c>
      <c r="J1886" s="139" t="s">
        <v>3236</v>
      </c>
      <c r="K1886" s="51" t="s">
        <v>1246</v>
      </c>
      <c r="L1886" s="4">
        <v>43920</v>
      </c>
      <c r="M1886" s="132">
        <v>40</v>
      </c>
      <c r="P1886" s="4" t="s">
        <v>291</v>
      </c>
      <c r="Q1886" s="133"/>
      <c r="T1886" s="144"/>
      <c r="U1886" s="145" t="e">
        <f>VLOOKUP(H1886,Stock_list!A:N,14,FALSE)</f>
        <v>#N/A</v>
      </c>
    </row>
    <row r="1887" spans="1:21" ht="16.5" customHeight="1">
      <c r="A1887" s="159" t="s">
        <v>2747</v>
      </c>
      <c r="B1887" s="114" t="str">
        <f>VLOOKUP(A1887,'Data pick slip'!B:F,5,FALSE)</f>
        <v>KHJ-MC200-00</v>
      </c>
      <c r="F1887" s="157" t="s">
        <v>2773</v>
      </c>
      <c r="I1887" s="139" t="s">
        <v>3135</v>
      </c>
      <c r="J1887" s="139" t="s">
        <v>3236</v>
      </c>
      <c r="K1887" s="51" t="s">
        <v>1246</v>
      </c>
      <c r="L1887" s="4">
        <v>43920</v>
      </c>
      <c r="M1887" s="132">
        <v>5</v>
      </c>
      <c r="P1887" s="4" t="s">
        <v>291</v>
      </c>
      <c r="Q1887" s="133"/>
      <c r="T1887" s="144"/>
      <c r="U1887" s="145" t="e">
        <f>VLOOKUP(H1887,Stock_list!A:N,14,FALSE)</f>
        <v>#N/A</v>
      </c>
    </row>
    <row r="1888" spans="1:21" ht="16.5" customHeight="1">
      <c r="A1888" s="159" t="s">
        <v>2744</v>
      </c>
      <c r="B1888" s="114" t="str">
        <f>VLOOKUP(A1888,'Data pick slip'!B:F,5,FALSE)</f>
        <v>KHJ-MC100-00</v>
      </c>
      <c r="F1888" s="157" t="s">
        <v>2861</v>
      </c>
      <c r="I1888" s="139" t="s">
        <v>3015</v>
      </c>
      <c r="J1888" s="139" t="s">
        <v>3237</v>
      </c>
      <c r="K1888" s="51" t="s">
        <v>1246</v>
      </c>
      <c r="L1888" s="4">
        <v>43910</v>
      </c>
      <c r="M1888" s="140">
        <v>120</v>
      </c>
      <c r="P1888" s="4" t="s">
        <v>291</v>
      </c>
      <c r="Q1888" s="143"/>
      <c r="T1888" s="144"/>
      <c r="U1888" s="145" t="e">
        <f>VLOOKUP(H1888,Stock_list!A:N,14,FALSE)</f>
        <v>#N/A</v>
      </c>
    </row>
    <row r="1889" spans="1:21" ht="16.5" customHeight="1">
      <c r="A1889" s="159" t="s">
        <v>2747</v>
      </c>
      <c r="B1889" s="114" t="str">
        <f>VLOOKUP(A1889,'Data pick slip'!B:F,5,FALSE)</f>
        <v>KHJ-MC200-00</v>
      </c>
      <c r="F1889" s="157" t="s">
        <v>2861</v>
      </c>
      <c r="I1889" s="139" t="s">
        <v>3015</v>
      </c>
      <c r="J1889" s="139" t="s">
        <v>3237</v>
      </c>
      <c r="K1889" s="51" t="s">
        <v>1246</v>
      </c>
      <c r="L1889" s="4">
        <v>43910</v>
      </c>
      <c r="M1889" s="140">
        <v>20</v>
      </c>
      <c r="P1889" s="4" t="s">
        <v>291</v>
      </c>
      <c r="Q1889" s="143"/>
      <c r="T1889" s="144"/>
      <c r="U1889" s="145" t="e">
        <f>VLOOKUP(H1889,Stock_list!A:N,14,FALSE)</f>
        <v>#N/A</v>
      </c>
    </row>
    <row r="1890" spans="1:21" ht="16.5" customHeight="1">
      <c r="A1890" s="159" t="s">
        <v>2748</v>
      </c>
      <c r="B1890" s="114" t="str">
        <f>VLOOKUP(A1890,'Data pick slip'!B:F,5,FALSE)</f>
        <v>KHJ-MC400-00</v>
      </c>
      <c r="F1890" s="157" t="s">
        <v>2861</v>
      </c>
      <c r="I1890" s="139" t="s">
        <v>3015</v>
      </c>
      <c r="J1890" s="139" t="s">
        <v>3237</v>
      </c>
      <c r="K1890" s="51" t="s">
        <v>1246</v>
      </c>
      <c r="L1890" s="4">
        <v>43910</v>
      </c>
      <c r="M1890" s="140">
        <v>5</v>
      </c>
      <c r="P1890" s="4" t="s">
        <v>291</v>
      </c>
      <c r="Q1890" s="143"/>
      <c r="T1890" s="144"/>
      <c r="U1890" s="145" t="e">
        <f>VLOOKUP(H1890,Stock_list!A:N,14,FALSE)</f>
        <v>#N/A</v>
      </c>
    </row>
    <row r="1891" spans="1:21" ht="16.5" customHeight="1">
      <c r="A1891" s="159" t="s">
        <v>2749</v>
      </c>
      <c r="B1891" s="114" t="str">
        <f>VLOOKUP(A1891,'Data pick slip'!B:F,5,FALSE)</f>
        <v>KHJ-MC500-00</v>
      </c>
      <c r="F1891" s="157" t="s">
        <v>2861</v>
      </c>
      <c r="I1891" s="139" t="s">
        <v>3015</v>
      </c>
      <c r="J1891" s="139" t="s">
        <v>3237</v>
      </c>
      <c r="K1891" s="51" t="s">
        <v>1246</v>
      </c>
      <c r="L1891" s="4">
        <v>43910</v>
      </c>
      <c r="M1891" s="140">
        <v>4</v>
      </c>
      <c r="P1891" s="4" t="s">
        <v>291</v>
      </c>
      <c r="Q1891" s="143"/>
      <c r="T1891" s="144"/>
      <c r="U1891" s="145" t="e">
        <f>VLOOKUP(H1891,Stock_list!A:N,14,FALSE)</f>
        <v>#N/A</v>
      </c>
    </row>
    <row r="1892" spans="1:21" ht="16.5" customHeight="1">
      <c r="A1892" s="159" t="s">
        <v>2749</v>
      </c>
      <c r="B1892" s="114" t="str">
        <f>VLOOKUP(A1892,'Data pick slip'!B:F,5,FALSE)</f>
        <v>KHJ-MC500-00</v>
      </c>
      <c r="F1892" s="157" t="s">
        <v>2773</v>
      </c>
      <c r="I1892" s="139" t="s">
        <v>3093</v>
      </c>
      <c r="J1892" s="139" t="s">
        <v>3238</v>
      </c>
      <c r="K1892" s="51" t="s">
        <v>1246</v>
      </c>
      <c r="L1892" s="4">
        <v>43906</v>
      </c>
      <c r="O1892" s="132">
        <f>1-1</f>
        <v>0</v>
      </c>
      <c r="P1892" s="4" t="s">
        <v>291</v>
      </c>
      <c r="Q1892" s="143"/>
      <c r="T1892" s="144"/>
      <c r="U1892" s="145" t="e">
        <f>VLOOKUP(H1892,Stock_list!A:N,14,FALSE)</f>
        <v>#N/A</v>
      </c>
    </row>
    <row r="1893" spans="1:21" ht="16.5" customHeight="1">
      <c r="A1893" s="159" t="s">
        <v>2747</v>
      </c>
      <c r="B1893" s="114" t="str">
        <f>VLOOKUP(A1893,'Data pick slip'!B:F,5,FALSE)</f>
        <v>KHJ-MC200-00</v>
      </c>
      <c r="F1893" s="157" t="s">
        <v>2773</v>
      </c>
      <c r="I1893" s="139" t="s">
        <v>3105</v>
      </c>
      <c r="J1893" s="139" t="s">
        <v>3239</v>
      </c>
      <c r="K1893" s="51" t="s">
        <v>1246</v>
      </c>
      <c r="L1893" s="4">
        <v>43910</v>
      </c>
      <c r="M1893" s="140">
        <v>5</v>
      </c>
      <c r="P1893" s="4" t="s">
        <v>291</v>
      </c>
      <c r="Q1893" s="143"/>
      <c r="T1893" s="144"/>
      <c r="U1893" s="145" t="e">
        <f>VLOOKUP(H1893,Stock_list!A:N,14,FALSE)</f>
        <v>#N/A</v>
      </c>
    </row>
    <row r="1894" spans="1:21" ht="16.5" customHeight="1">
      <c r="A1894" s="159" t="s">
        <v>2747</v>
      </c>
      <c r="B1894" s="114" t="str">
        <f>VLOOKUP(A1894,'Data pick slip'!B:F,5,FALSE)</f>
        <v>KHJ-MC200-00</v>
      </c>
      <c r="F1894" s="157" t="s">
        <v>2773</v>
      </c>
      <c r="I1894" s="139" t="s">
        <v>3105</v>
      </c>
      <c r="J1894" s="139" t="s">
        <v>3240</v>
      </c>
      <c r="K1894" s="51" t="s">
        <v>1246</v>
      </c>
      <c r="L1894" s="4">
        <v>43907</v>
      </c>
      <c r="M1894" s="140">
        <v>5</v>
      </c>
      <c r="P1894" s="4" t="s">
        <v>291</v>
      </c>
      <c r="Q1894" s="143"/>
      <c r="T1894" s="144"/>
      <c r="U1894" s="145" t="e">
        <f>VLOOKUP(H1894,Stock_list!A:N,14,FALSE)</f>
        <v>#N/A</v>
      </c>
    </row>
    <row r="1895" spans="1:21" ht="16.5" customHeight="1">
      <c r="A1895" s="159" t="s">
        <v>2744</v>
      </c>
      <c r="B1895" s="114" t="str">
        <f>VLOOKUP(A1895,'Data pick slip'!B:F,5,FALSE)</f>
        <v>KHJ-MC100-00</v>
      </c>
      <c r="F1895" s="157" t="s">
        <v>2861</v>
      </c>
      <c r="H1895" s="138">
        <v>600</v>
      </c>
      <c r="I1895" s="139" t="str">
        <f>VLOOKUP(H1895,Stock_list!A:R,18,FALSE)</f>
        <v>顺弘</v>
      </c>
      <c r="J1895" s="139" t="str">
        <f>VLOOKUP(H1895,Stock_list!A:S,17,FALSE)</f>
        <v>C49SZX20200030SX</v>
      </c>
      <c r="K1895" s="51" t="str">
        <f>VLOOKUP(H1895,Stock_list!A:T,16,FALSE)</f>
        <v>JPY</v>
      </c>
      <c r="L1895" s="4">
        <v>43924</v>
      </c>
      <c r="M1895" s="132">
        <v>80</v>
      </c>
      <c r="P1895" s="4" t="str">
        <f>VLOOKUP(H1895,Stock_list!A:Y,25,FALSE)</f>
        <v>Yes</v>
      </c>
      <c r="Q1895" s="143"/>
      <c r="T1895" s="144"/>
      <c r="U1895" s="145" t="str">
        <f>VLOOKUP(H1895,Stock_list!A:N,14,FALSE)</f>
        <v>APR 20</v>
      </c>
    </row>
    <row r="1896" spans="1:21" ht="16.5" customHeight="1">
      <c r="A1896" s="159" t="s">
        <v>2747</v>
      </c>
      <c r="B1896" s="114" t="str">
        <f>VLOOKUP(A1896,'Data pick slip'!B:F,5,FALSE)</f>
        <v>KHJ-MC200-00</v>
      </c>
      <c r="F1896" s="157" t="s">
        <v>2861</v>
      </c>
      <c r="H1896" s="138">
        <v>600</v>
      </c>
      <c r="I1896" s="139" t="str">
        <f>VLOOKUP(H1896,Stock_list!A:R,18,FALSE)</f>
        <v>顺弘</v>
      </c>
      <c r="J1896" s="139" t="str">
        <f>VLOOKUP(H1896,Stock_list!A:S,17,FALSE)</f>
        <v>C49SZX20200030SX</v>
      </c>
      <c r="K1896" s="51" t="str">
        <f>VLOOKUP(H1896,Stock_list!A:T,16,FALSE)</f>
        <v>JPY</v>
      </c>
      <c r="L1896" s="4">
        <v>43924</v>
      </c>
      <c r="M1896" s="132">
        <v>10</v>
      </c>
      <c r="P1896" s="4" t="str">
        <f>VLOOKUP(H1896,Stock_list!A:Y,25,FALSE)</f>
        <v>Yes</v>
      </c>
      <c r="Q1896" s="143"/>
      <c r="T1896" s="144"/>
      <c r="U1896" s="145" t="str">
        <f>VLOOKUP(H1896,Stock_list!A:N,14,FALSE)</f>
        <v>APR 20</v>
      </c>
    </row>
    <row r="1897" spans="1:21" ht="16.5" customHeight="1">
      <c r="A1897" s="159" t="s">
        <v>2748</v>
      </c>
      <c r="B1897" s="114" t="str">
        <f>VLOOKUP(A1897,'Data pick slip'!B:F,5,FALSE)</f>
        <v>KHJ-MC400-00</v>
      </c>
      <c r="F1897" s="157" t="s">
        <v>2861</v>
      </c>
      <c r="H1897" s="138">
        <v>600</v>
      </c>
      <c r="I1897" s="139" t="str">
        <f>VLOOKUP(H1897,Stock_list!A:R,18,FALSE)</f>
        <v>顺弘</v>
      </c>
      <c r="J1897" s="139" t="str">
        <f>VLOOKUP(H1897,Stock_list!A:S,17,FALSE)</f>
        <v>C49SZX20200030SX</v>
      </c>
      <c r="K1897" s="51" t="str">
        <f>VLOOKUP(H1897,Stock_list!A:T,16,FALSE)</f>
        <v>JPY</v>
      </c>
      <c r="L1897" s="4">
        <v>43924</v>
      </c>
      <c r="M1897" s="132">
        <v>6</v>
      </c>
      <c r="P1897" s="4" t="str">
        <f>VLOOKUP(H1897,Stock_list!A:Y,25,FALSE)</f>
        <v>Yes</v>
      </c>
      <c r="Q1897" s="143"/>
      <c r="T1897" s="144"/>
      <c r="U1897" s="145" t="str">
        <f>VLOOKUP(H1897,Stock_list!A:N,14,FALSE)</f>
        <v>APR 20</v>
      </c>
    </row>
    <row r="1898" spans="1:21" ht="16.5" customHeight="1">
      <c r="A1898" s="159" t="s">
        <v>2755</v>
      </c>
      <c r="B1898" s="114" t="str">
        <f>VLOOKUP(A1898,'Data pick slip'!B:F,5,FALSE)</f>
        <v>KLJ-MC100-00</v>
      </c>
      <c r="F1898" s="157" t="s">
        <v>2861</v>
      </c>
      <c r="H1898" s="138">
        <v>601</v>
      </c>
      <c r="I1898" s="139" t="str">
        <f>VLOOKUP(H1898,Stock_list!A:R,18,FALSE)</f>
        <v>安林</v>
      </c>
      <c r="J1898" s="139" t="str">
        <f>VLOOKUP(H1898,Stock_list!A:S,17,FALSE)</f>
        <v>C49SZX20200026SX</v>
      </c>
      <c r="K1898" s="51" t="str">
        <f>VLOOKUP(H1898,Stock_list!A:T,16,FALSE)</f>
        <v>JPY</v>
      </c>
      <c r="L1898" s="4">
        <v>43977</v>
      </c>
      <c r="M1898" s="132">
        <v>90</v>
      </c>
      <c r="P1898" s="4" t="str">
        <f>VLOOKUP(H1898,Stock_list!A:Y,25,FALSE)</f>
        <v>Yes</v>
      </c>
      <c r="Q1898" s="143"/>
      <c r="T1898" s="144"/>
      <c r="U1898" s="145" t="str">
        <f>VLOOKUP(H1898,Stock_list!A:N,14,FALSE)</f>
        <v>MAY 20</v>
      </c>
    </row>
    <row r="1899" spans="1:21" ht="16.5" customHeight="1">
      <c r="A1899" s="159" t="s">
        <v>2756</v>
      </c>
      <c r="B1899" s="114" t="str">
        <f>VLOOKUP(A1899,'Data pick slip'!B:F,5,FALSE)</f>
        <v>KLJ-MC200-00</v>
      </c>
      <c r="F1899" s="157" t="s">
        <v>2861</v>
      </c>
      <c r="H1899" s="138">
        <v>601</v>
      </c>
      <c r="I1899" s="139" t="str">
        <f>VLOOKUP(H1899,Stock_list!A:R,18,FALSE)</f>
        <v>安林</v>
      </c>
      <c r="J1899" s="139" t="str">
        <f>VLOOKUP(H1899,Stock_list!A:S,17,FALSE)</f>
        <v>C49SZX20200026SX</v>
      </c>
      <c r="K1899" s="51" t="str">
        <f>VLOOKUP(H1899,Stock_list!A:T,16,FALSE)</f>
        <v>JPY</v>
      </c>
      <c r="L1899" s="4">
        <v>43977</v>
      </c>
      <c r="M1899" s="132">
        <v>10</v>
      </c>
      <c r="P1899" s="4" t="str">
        <f>VLOOKUP(H1899,Stock_list!A:Y,25,FALSE)</f>
        <v>Yes</v>
      </c>
      <c r="T1899" s="144"/>
      <c r="U1899" s="145" t="str">
        <f>VLOOKUP(H1899,Stock_list!A:N,14,FALSE)</f>
        <v>MAY 20</v>
      </c>
    </row>
    <row r="1900" spans="1:21" ht="16.5" customHeight="1">
      <c r="A1900" s="159" t="s">
        <v>2750</v>
      </c>
      <c r="B1900" s="114" t="str">
        <f>VLOOKUP(A1900,'Data pick slip'!B:F,5,FALSE)</f>
        <v>KHJ-MC600-00</v>
      </c>
      <c r="F1900" s="157" t="s">
        <v>2773</v>
      </c>
      <c r="I1900" s="139" t="s">
        <v>3099</v>
      </c>
      <c r="J1900" s="139" t="s">
        <v>3241</v>
      </c>
      <c r="K1900" s="51" t="s">
        <v>1246</v>
      </c>
      <c r="L1900" s="4">
        <v>43915</v>
      </c>
      <c r="M1900" s="140">
        <v>1</v>
      </c>
      <c r="P1900" s="4" t="s">
        <v>291</v>
      </c>
      <c r="Q1900" s="143"/>
      <c r="T1900" s="144"/>
      <c r="U1900" s="145" t="e">
        <f>VLOOKUP(H1900,Stock_list!A:N,14,FALSE)</f>
        <v>#N/A</v>
      </c>
    </row>
    <row r="1901" spans="1:21" ht="16.5" customHeight="1">
      <c r="A1901" s="159" t="s">
        <v>2749</v>
      </c>
      <c r="B1901" s="114" t="str">
        <f>VLOOKUP(A1901,'Data pick slip'!B:F,5,FALSE)</f>
        <v>KHJ-MC500-00</v>
      </c>
      <c r="F1901" s="157" t="s">
        <v>2773</v>
      </c>
      <c r="I1901" s="139" t="s">
        <v>3093</v>
      </c>
      <c r="J1901" s="139" t="s">
        <v>3242</v>
      </c>
      <c r="K1901" s="51" t="s">
        <v>1246</v>
      </c>
      <c r="L1901" s="14">
        <v>43934</v>
      </c>
      <c r="M1901" s="140">
        <v>2</v>
      </c>
      <c r="P1901" s="4" t="s">
        <v>291</v>
      </c>
      <c r="Q1901" s="143"/>
      <c r="T1901" s="144"/>
      <c r="U1901" s="145" t="e">
        <f>VLOOKUP(H1901,Stock_list!A:N,14,FALSE)</f>
        <v>#N/A</v>
      </c>
    </row>
    <row r="1902" spans="1:21" ht="16.5" customHeight="1">
      <c r="A1902" s="159" t="s">
        <v>2750</v>
      </c>
      <c r="B1902" s="114" t="str">
        <f>VLOOKUP(A1902,'Data pick slip'!B:F,5,FALSE)</f>
        <v>KHJ-MC600-00</v>
      </c>
      <c r="F1902" s="157" t="s">
        <v>2773</v>
      </c>
      <c r="I1902" s="139" t="s">
        <v>3093</v>
      </c>
      <c r="J1902" s="139" t="s">
        <v>3243</v>
      </c>
      <c r="K1902" s="51" t="s">
        <v>1246</v>
      </c>
      <c r="L1902" s="4">
        <v>43914</v>
      </c>
      <c r="M1902" s="140">
        <v>1</v>
      </c>
      <c r="P1902" s="4" t="s">
        <v>291</v>
      </c>
      <c r="Q1902" s="143"/>
      <c r="T1902" s="144"/>
      <c r="U1902" s="145" t="e">
        <f>VLOOKUP(H1902,Stock_list!A:N,14,FALSE)</f>
        <v>#N/A</v>
      </c>
    </row>
    <row r="1903" spans="1:21" ht="16.5" customHeight="1">
      <c r="A1903" s="159" t="s">
        <v>2750</v>
      </c>
      <c r="B1903" s="114" t="str">
        <f>VLOOKUP(A1903,'Data pick slip'!B:F,5,FALSE)</f>
        <v>KHJ-MC600-00</v>
      </c>
      <c r="F1903" s="157" t="s">
        <v>2773</v>
      </c>
      <c r="I1903" s="139" t="s">
        <v>3093</v>
      </c>
      <c r="J1903" s="139" t="s">
        <v>3244</v>
      </c>
      <c r="K1903" s="51" t="s">
        <v>1246</v>
      </c>
      <c r="L1903" s="4">
        <v>43915</v>
      </c>
      <c r="M1903" s="140">
        <v>2</v>
      </c>
      <c r="P1903" s="4" t="s">
        <v>291</v>
      </c>
      <c r="Q1903" s="143"/>
      <c r="T1903" s="144"/>
      <c r="U1903" s="145" t="e">
        <f>VLOOKUP(H1903,Stock_list!A:N,14,FALSE)</f>
        <v>#N/A</v>
      </c>
    </row>
    <row r="1904" spans="1:21" ht="16.5" customHeight="1">
      <c r="A1904" s="159" t="s">
        <v>2748</v>
      </c>
      <c r="B1904" s="114" t="str">
        <f>VLOOKUP(A1904,'Data pick slip'!B:F,5,FALSE)</f>
        <v>KHJ-MC400-00</v>
      </c>
      <c r="F1904" s="157" t="s">
        <v>2773</v>
      </c>
      <c r="I1904" s="139" t="s">
        <v>3093</v>
      </c>
      <c r="J1904" s="139" t="s">
        <v>3245</v>
      </c>
      <c r="K1904" s="51" t="s">
        <v>1246</v>
      </c>
      <c r="L1904" s="4">
        <v>43915</v>
      </c>
      <c r="M1904" s="140">
        <v>2</v>
      </c>
      <c r="P1904" s="4" t="s">
        <v>291</v>
      </c>
      <c r="Q1904" s="143"/>
      <c r="T1904" s="144"/>
      <c r="U1904" s="145" t="e">
        <f>VLOOKUP(H1904,Stock_list!A:N,14,FALSE)</f>
        <v>#N/A</v>
      </c>
    </row>
    <row r="1905" spans="1:21" ht="16.5" customHeight="1">
      <c r="A1905" s="159" t="s">
        <v>2755</v>
      </c>
      <c r="B1905" s="114" t="str">
        <f>VLOOKUP(A1905,'Data pick slip'!B:F,5,FALSE)</f>
        <v>KLJ-MC100-00</v>
      </c>
      <c r="F1905" s="157" t="s">
        <v>2861</v>
      </c>
      <c r="I1905" s="139" t="s">
        <v>3015</v>
      </c>
      <c r="J1905" s="139" t="s">
        <v>3246</v>
      </c>
      <c r="K1905" s="51" t="s">
        <v>1246</v>
      </c>
      <c r="L1905" s="4">
        <v>43903</v>
      </c>
      <c r="M1905" s="140">
        <v>100</v>
      </c>
      <c r="P1905" s="4" t="s">
        <v>291</v>
      </c>
      <c r="Q1905" s="143"/>
      <c r="T1905" s="144"/>
      <c r="U1905" s="145" t="e">
        <f>VLOOKUP(H1905,Stock_list!A:N,14,FALSE)</f>
        <v>#N/A</v>
      </c>
    </row>
    <row r="1906" spans="1:21" ht="16.5" customHeight="1">
      <c r="A1906" s="159" t="s">
        <v>2756</v>
      </c>
      <c r="B1906" s="114" t="str">
        <f>VLOOKUP(A1906,'Data pick slip'!B:F,5,FALSE)</f>
        <v>KLJ-MC200-00</v>
      </c>
      <c r="F1906" s="157" t="s">
        <v>2861</v>
      </c>
      <c r="I1906" s="139" t="s">
        <v>3015</v>
      </c>
      <c r="J1906" s="139" t="s">
        <v>3246</v>
      </c>
      <c r="K1906" s="51" t="s">
        <v>1246</v>
      </c>
      <c r="L1906" s="4">
        <v>43903</v>
      </c>
      <c r="M1906" s="140">
        <v>20</v>
      </c>
      <c r="P1906" s="4" t="s">
        <v>291</v>
      </c>
      <c r="T1906" s="144"/>
      <c r="U1906" s="145" t="e">
        <f>VLOOKUP(H1906,Stock_list!A:N,14,FALSE)</f>
        <v>#N/A</v>
      </c>
    </row>
    <row r="1907" spans="1:21" ht="16.5" customHeight="1">
      <c r="A1907" s="159" t="s">
        <v>2755</v>
      </c>
      <c r="B1907" s="114" t="str">
        <f>VLOOKUP(A1907,'Data pick slip'!B:F,5,FALSE)</f>
        <v>KLJ-MC100-00</v>
      </c>
      <c r="F1907" s="157" t="s">
        <v>2861</v>
      </c>
      <c r="I1907" s="139" t="s">
        <v>3015</v>
      </c>
      <c r="J1907" s="139" t="s">
        <v>3247</v>
      </c>
      <c r="K1907" s="51" t="s">
        <v>1246</v>
      </c>
      <c r="L1907" s="4">
        <v>43903</v>
      </c>
      <c r="M1907" s="140">
        <v>100</v>
      </c>
      <c r="P1907" s="4" t="s">
        <v>291</v>
      </c>
      <c r="Q1907" s="143"/>
      <c r="T1907" s="144"/>
      <c r="U1907" s="145" t="e">
        <f>VLOOKUP(H1907,Stock_list!A:N,14,FALSE)</f>
        <v>#N/A</v>
      </c>
    </row>
    <row r="1908" spans="1:21" ht="16.5" customHeight="1">
      <c r="A1908" s="159" t="s">
        <v>2756</v>
      </c>
      <c r="B1908" s="114" t="str">
        <f>VLOOKUP(A1908,'Data pick slip'!B:F,5,FALSE)</f>
        <v>KLJ-MC200-00</v>
      </c>
      <c r="F1908" s="157" t="s">
        <v>2861</v>
      </c>
      <c r="I1908" s="139" t="s">
        <v>3015</v>
      </c>
      <c r="J1908" s="139" t="s">
        <v>3247</v>
      </c>
      <c r="K1908" s="51" t="s">
        <v>1246</v>
      </c>
      <c r="L1908" s="4">
        <v>43903</v>
      </c>
      <c r="M1908" s="140">
        <v>20</v>
      </c>
      <c r="P1908" s="4" t="s">
        <v>291</v>
      </c>
      <c r="T1908" s="144"/>
      <c r="U1908" s="145" t="e">
        <f>VLOOKUP(H1908,Stock_list!A:N,14,FALSE)</f>
        <v>#N/A</v>
      </c>
    </row>
    <row r="1909" spans="1:21" ht="16.5" customHeight="1">
      <c r="A1909" s="159" t="s">
        <v>2744</v>
      </c>
      <c r="B1909" s="114" t="str">
        <f>VLOOKUP(A1909,'Data pick slip'!B:F,5,FALSE)</f>
        <v>KHJ-MC100-00</v>
      </c>
      <c r="F1909" s="157" t="s">
        <v>2773</v>
      </c>
      <c r="H1909" s="138">
        <v>602</v>
      </c>
      <c r="I1909" s="139" t="str">
        <f>VLOOKUP(H1909,Stock_list!A:R,18,FALSE)</f>
        <v>金海智控</v>
      </c>
      <c r="J1909" s="139" t="str">
        <f>VLOOKUP(H1909,Stock_list!A:S,17,FALSE)</f>
        <v>C49SZX20200031DZ</v>
      </c>
      <c r="K1909" s="51" t="str">
        <f>VLOOKUP(H1909,Stock_list!A:T,16,FALSE)</f>
        <v>RMB</v>
      </c>
      <c r="L1909" s="4">
        <v>43987</v>
      </c>
      <c r="M1909" s="132">
        <v>20</v>
      </c>
      <c r="P1909" s="4" t="str">
        <f>VLOOKUP(H1909,Stock_list!A:Y,25,FALSE)</f>
        <v>Yes</v>
      </c>
      <c r="Q1909" s="143"/>
      <c r="T1909" s="144"/>
      <c r="U1909" s="145" t="str">
        <f>VLOOKUP(H1909,Stock_list!A:N,14,FALSE)</f>
        <v>JUN 20</v>
      </c>
    </row>
    <row r="1910" spans="1:21" ht="16.5" customHeight="1">
      <c r="A1910" s="159" t="s">
        <v>2756</v>
      </c>
      <c r="B1910" s="114" t="str">
        <f>VLOOKUP(A1910,'Data pick slip'!B:F,5,FALSE)</f>
        <v>KLJ-MC200-00</v>
      </c>
      <c r="F1910" s="157" t="s">
        <v>2773</v>
      </c>
      <c r="H1910" s="138">
        <v>602</v>
      </c>
      <c r="I1910" s="139" t="str">
        <f>VLOOKUP(H1910,Stock_list!A:R,18,FALSE)</f>
        <v>金海智控</v>
      </c>
      <c r="J1910" s="139" t="str">
        <f>VLOOKUP(H1910,Stock_list!A:S,17,FALSE)</f>
        <v>C49SZX20200031DZ</v>
      </c>
      <c r="K1910" s="51" t="str">
        <f>VLOOKUP(H1910,Stock_list!A:T,16,FALSE)</f>
        <v>RMB</v>
      </c>
      <c r="L1910" s="4">
        <v>43987</v>
      </c>
      <c r="M1910" s="132">
        <v>3</v>
      </c>
      <c r="P1910" s="4" t="str">
        <f>VLOOKUP(H1910,Stock_list!A:Y,25,FALSE)</f>
        <v>Yes</v>
      </c>
      <c r="T1910" s="144"/>
      <c r="U1910" s="145" t="str">
        <f>VLOOKUP(H1910,Stock_list!A:N,14,FALSE)</f>
        <v>JUN 20</v>
      </c>
    </row>
    <row r="1911" spans="1:21" ht="16.5" customHeight="1">
      <c r="A1911" s="159" t="s">
        <v>2744</v>
      </c>
      <c r="B1911" s="114" t="str">
        <f>VLOOKUP(A1911,'Data pick slip'!B:F,5,FALSE)</f>
        <v>KHJ-MC100-00</v>
      </c>
      <c r="F1911" s="157" t="s">
        <v>2861</v>
      </c>
      <c r="H1911" s="138">
        <v>604</v>
      </c>
      <c r="I1911" s="139" t="str">
        <f>VLOOKUP(H1911,Stock_list!A:R,18,FALSE)</f>
        <v>钧溢电子</v>
      </c>
      <c r="J1911" s="139" t="str">
        <f>VLOOKUP(H1911,Stock_list!A:S,17,FALSE)</f>
        <v>C49SZX20200036CX</v>
      </c>
      <c r="K1911" s="51" t="str">
        <f>VLOOKUP(H1911,Stock_list!A:T,16,FALSE)</f>
        <v>JPY</v>
      </c>
      <c r="L1911" s="4">
        <v>43976</v>
      </c>
      <c r="M1911" s="132">
        <v>40</v>
      </c>
      <c r="P1911" s="4" t="str">
        <f>VLOOKUP(H1911,Stock_list!A:Y,25,FALSE)</f>
        <v>Yes</v>
      </c>
      <c r="Q1911" s="143"/>
      <c r="T1911" s="144"/>
      <c r="U1911" s="145" t="str">
        <f>VLOOKUP(H1911,Stock_list!A:N,14,FALSE)</f>
        <v>MAY 20</v>
      </c>
    </row>
    <row r="1912" spans="1:21" ht="16.5" customHeight="1">
      <c r="A1912" s="159" t="s">
        <v>2756</v>
      </c>
      <c r="B1912" s="114" t="str">
        <f>VLOOKUP(A1912,'Data pick slip'!B:F,5,FALSE)</f>
        <v>KLJ-MC200-00</v>
      </c>
      <c r="F1912" s="157" t="s">
        <v>2861</v>
      </c>
      <c r="H1912" s="138">
        <v>604</v>
      </c>
      <c r="I1912" s="139" t="str">
        <f>VLOOKUP(H1912,Stock_list!A:R,18,FALSE)</f>
        <v>钧溢电子</v>
      </c>
      <c r="J1912" s="139" t="str">
        <f>VLOOKUP(H1912,Stock_list!A:S,17,FALSE)</f>
        <v>C49SZX20200036CX</v>
      </c>
      <c r="K1912" s="51" t="str">
        <f>VLOOKUP(H1912,Stock_list!A:T,16,FALSE)</f>
        <v>JPY</v>
      </c>
      <c r="L1912" s="4">
        <v>43976</v>
      </c>
      <c r="M1912" s="132">
        <v>5</v>
      </c>
      <c r="P1912" s="4" t="str">
        <f>VLOOKUP(H1912,Stock_list!A:Y,25,FALSE)</f>
        <v>Yes</v>
      </c>
      <c r="T1912" s="144"/>
      <c r="U1912" s="145" t="str">
        <f>VLOOKUP(H1912,Stock_list!A:N,14,FALSE)</f>
        <v>MAY 20</v>
      </c>
    </row>
    <row r="1913" spans="1:21" ht="16.5" customHeight="1">
      <c r="A1913" s="159" t="s">
        <v>2757</v>
      </c>
      <c r="B1913" s="114" t="str">
        <f>VLOOKUP(A1913,'Data pick slip'!B:F,5,FALSE)</f>
        <v>KLJ-MC400-00</v>
      </c>
      <c r="F1913" s="157" t="s">
        <v>2861</v>
      </c>
      <c r="H1913" s="138">
        <v>604</v>
      </c>
      <c r="I1913" s="139" t="str">
        <f>VLOOKUP(H1913,Stock_list!A:R,18,FALSE)</f>
        <v>钧溢电子</v>
      </c>
      <c r="J1913" s="139" t="str">
        <f>VLOOKUP(H1913,Stock_list!A:S,17,FALSE)</f>
        <v>C49SZX20200036CX</v>
      </c>
      <c r="K1913" s="51" t="str">
        <f>VLOOKUP(H1913,Stock_list!A:T,16,FALSE)</f>
        <v>JPY</v>
      </c>
      <c r="L1913" s="4">
        <v>43976</v>
      </c>
      <c r="M1913" s="132">
        <v>1</v>
      </c>
      <c r="P1913" s="4" t="str">
        <f>VLOOKUP(H1913,Stock_list!A:Y,25,FALSE)</f>
        <v>Yes</v>
      </c>
      <c r="Q1913" s="143"/>
      <c r="T1913" s="144"/>
      <c r="U1913" s="145" t="str">
        <f>VLOOKUP(H1913,Stock_list!A:N,14,FALSE)</f>
        <v>MAY 20</v>
      </c>
    </row>
    <row r="1914" spans="1:21" ht="16.5" customHeight="1">
      <c r="A1914" s="159" t="s">
        <v>2749</v>
      </c>
      <c r="B1914" s="114" t="str">
        <f>VLOOKUP(A1914,'Data pick slip'!B:F,5,FALSE)</f>
        <v>KHJ-MC500-00</v>
      </c>
      <c r="F1914" s="157" t="s">
        <v>2861</v>
      </c>
      <c r="H1914" s="138">
        <v>604</v>
      </c>
      <c r="I1914" s="139" t="str">
        <f>VLOOKUP(H1914,Stock_list!A:R,18,FALSE)</f>
        <v>钧溢电子</v>
      </c>
      <c r="J1914" s="139" t="str">
        <f>VLOOKUP(H1914,Stock_list!A:S,17,FALSE)</f>
        <v>C49SZX20200036CX</v>
      </c>
      <c r="K1914" s="51" t="str">
        <f>VLOOKUP(H1914,Stock_list!A:T,16,FALSE)</f>
        <v>JPY</v>
      </c>
      <c r="L1914" s="4">
        <v>43976</v>
      </c>
      <c r="M1914" s="132">
        <v>1</v>
      </c>
      <c r="P1914" s="4" t="str">
        <f>VLOOKUP(H1914,Stock_list!A:Y,25,FALSE)</f>
        <v>Yes</v>
      </c>
      <c r="Q1914" s="143"/>
      <c r="T1914" s="144"/>
      <c r="U1914" s="145" t="str">
        <f>VLOOKUP(H1914,Stock_list!A:N,14,FALSE)</f>
        <v>MAY 20</v>
      </c>
    </row>
    <row r="1915" spans="1:21" ht="16.5" customHeight="1">
      <c r="A1915" s="159" t="s">
        <v>2744</v>
      </c>
      <c r="B1915" s="114" t="str">
        <f>VLOOKUP(A1915,'Data pick slip'!B:F,5,FALSE)</f>
        <v>KHJ-MC100-00</v>
      </c>
      <c r="F1915" s="157" t="s">
        <v>2861</v>
      </c>
      <c r="H1915" s="138">
        <v>605</v>
      </c>
      <c r="I1915" s="139" t="str">
        <f>VLOOKUP(H1915,Stock_list!A:R,18,FALSE)</f>
        <v>钧溢电子</v>
      </c>
      <c r="J1915" s="139" t="str">
        <f>VLOOKUP(H1915,Stock_list!A:S,17,FALSE)</f>
        <v>C49SZX20200036CX</v>
      </c>
      <c r="K1915" s="51" t="str">
        <f>VLOOKUP(H1915,Stock_list!A:T,16,FALSE)</f>
        <v>JPY</v>
      </c>
      <c r="L1915" s="4">
        <v>44013</v>
      </c>
      <c r="M1915" s="132">
        <v>12</v>
      </c>
      <c r="P1915" s="4" t="str">
        <f>VLOOKUP(H1915,Stock_list!A:Y,25,FALSE)</f>
        <v>Yes</v>
      </c>
      <c r="Q1915" s="143"/>
      <c r="T1915" s="144"/>
      <c r="U1915" s="145" t="str">
        <f>VLOOKUP(H1915,Stock_list!A:N,14,FALSE)</f>
        <v>JUL 20</v>
      </c>
    </row>
    <row r="1916" spans="1:21" ht="16.5" customHeight="1">
      <c r="A1916" s="159" t="s">
        <v>2755</v>
      </c>
      <c r="B1916" s="114" t="str">
        <f>VLOOKUP(A1916,'Data pick slip'!B:F,5,FALSE)</f>
        <v>KLJ-MC100-00</v>
      </c>
      <c r="F1916" s="157" t="s">
        <v>2773</v>
      </c>
      <c r="I1916" s="139" t="s">
        <v>3093</v>
      </c>
      <c r="J1916" s="139" t="s">
        <v>3248</v>
      </c>
      <c r="K1916" s="51" t="s">
        <v>1246</v>
      </c>
      <c r="L1916" s="4">
        <v>43937</v>
      </c>
      <c r="M1916" s="140">
        <v>30</v>
      </c>
      <c r="P1916" s="4" t="s">
        <v>291</v>
      </c>
      <c r="Q1916" s="143"/>
      <c r="T1916" s="144"/>
      <c r="U1916" s="145" t="e">
        <f>VLOOKUP(H1916,Stock_list!A:N,14,FALSE)</f>
        <v>#N/A</v>
      </c>
    </row>
    <row r="1917" spans="1:21" ht="16.5" customHeight="1">
      <c r="A1917" s="159" t="s">
        <v>2744</v>
      </c>
      <c r="B1917" s="114" t="str">
        <f>VLOOKUP(A1917,'Data pick slip'!B:F,5,FALSE)</f>
        <v>KHJ-MC100-00</v>
      </c>
      <c r="F1917" s="157" t="s">
        <v>2773</v>
      </c>
      <c r="I1917" s="139" t="s">
        <v>3093</v>
      </c>
      <c r="J1917" s="139" t="s">
        <v>3249</v>
      </c>
      <c r="K1917" s="51" t="s">
        <v>1246</v>
      </c>
      <c r="L1917" s="4">
        <v>43928</v>
      </c>
      <c r="M1917" s="132">
        <v>5</v>
      </c>
      <c r="P1917" s="4" t="s">
        <v>291</v>
      </c>
      <c r="Q1917" s="143"/>
      <c r="T1917" s="144"/>
      <c r="U1917" s="145" t="e">
        <f>VLOOKUP(H1917,Stock_list!A:N,14,FALSE)</f>
        <v>#N/A</v>
      </c>
    </row>
    <row r="1918" spans="1:21" ht="16.5" customHeight="1">
      <c r="A1918" s="159" t="s">
        <v>2747</v>
      </c>
      <c r="B1918" s="114" t="str">
        <f>VLOOKUP(A1918,'Data pick slip'!B:F,5,FALSE)</f>
        <v>KHJ-MC200-00</v>
      </c>
      <c r="F1918" s="157" t="s">
        <v>2773</v>
      </c>
      <c r="I1918" s="139" t="s">
        <v>3093</v>
      </c>
      <c r="J1918" s="139" t="s">
        <v>3250</v>
      </c>
      <c r="K1918" s="51" t="s">
        <v>1246</v>
      </c>
      <c r="L1918" s="4">
        <v>43928</v>
      </c>
      <c r="M1918" s="132">
        <v>4</v>
      </c>
      <c r="P1918" s="4" t="s">
        <v>291</v>
      </c>
      <c r="Q1918" s="143"/>
      <c r="T1918" s="144"/>
      <c r="U1918" s="145" t="e">
        <f>VLOOKUP(H1918,Stock_list!A:N,14,FALSE)</f>
        <v>#N/A</v>
      </c>
    </row>
    <row r="1919" spans="1:21" ht="16.5" customHeight="1">
      <c r="A1919" s="159" t="s">
        <v>2748</v>
      </c>
      <c r="B1919" s="114" t="str">
        <f>VLOOKUP(A1919,'Data pick slip'!B:F,5,FALSE)</f>
        <v>KHJ-MC400-00</v>
      </c>
      <c r="F1919" s="157" t="s">
        <v>2773</v>
      </c>
      <c r="I1919" s="139" t="s">
        <v>3093</v>
      </c>
      <c r="J1919" s="139" t="s">
        <v>3250</v>
      </c>
      <c r="K1919" s="51" t="s">
        <v>1246</v>
      </c>
      <c r="L1919" s="4">
        <v>43928</v>
      </c>
      <c r="M1919" s="132">
        <v>2</v>
      </c>
      <c r="P1919" s="4" t="s">
        <v>291</v>
      </c>
      <c r="Q1919" s="143"/>
      <c r="T1919" s="144"/>
      <c r="U1919" s="145" t="e">
        <f>VLOOKUP(H1919,Stock_list!A:N,14,FALSE)</f>
        <v>#N/A</v>
      </c>
    </row>
    <row r="1920" spans="1:21" ht="16.5" customHeight="1">
      <c r="A1920" s="159" t="s">
        <v>2744</v>
      </c>
      <c r="B1920" s="114" t="str">
        <f>VLOOKUP(A1920,'Data pick slip'!B:F,5,FALSE)</f>
        <v>KHJ-MC100-00</v>
      </c>
      <c r="F1920" s="157" t="s">
        <v>2861</v>
      </c>
      <c r="H1920" s="138">
        <v>606</v>
      </c>
      <c r="I1920" s="139" t="str">
        <f>VLOOKUP(H1920,Stock_list!A:R,18,FALSE)</f>
        <v>乐上</v>
      </c>
      <c r="J1920" s="139" t="s">
        <v>3251</v>
      </c>
      <c r="K1920" s="51" t="s">
        <v>3002</v>
      </c>
      <c r="L1920" s="4">
        <v>43973</v>
      </c>
      <c r="M1920" s="132">
        <v>45</v>
      </c>
      <c r="P1920" s="4" t="str">
        <f>VLOOKUP(H1920,Stock_list!A:Y,25,FALSE)</f>
        <v>Yes</v>
      </c>
      <c r="Q1920" s="143"/>
      <c r="T1920" s="144"/>
      <c r="U1920" s="145" t="str">
        <f>VLOOKUP(H1920,Stock_list!A:N,14,FALSE)</f>
        <v>MAY 20</v>
      </c>
    </row>
    <row r="1921" spans="1:21" ht="16.5" customHeight="1">
      <c r="A1921" s="159" t="s">
        <v>2756</v>
      </c>
      <c r="B1921" s="114" t="str">
        <f>VLOOKUP(A1921,'Data pick slip'!B:F,5,FALSE)</f>
        <v>KLJ-MC200-00</v>
      </c>
      <c r="F1921" s="157" t="s">
        <v>2861</v>
      </c>
      <c r="H1921" s="138">
        <v>606</v>
      </c>
      <c r="I1921" s="139" t="str">
        <f>VLOOKUP(H1921,Stock_list!A:R,18,FALSE)</f>
        <v>乐上</v>
      </c>
      <c r="J1921" s="139" t="str">
        <f>VLOOKUP(H1921,Stock_list!A:S,17,FALSE)</f>
        <v>C49SZX20200007SS</v>
      </c>
      <c r="K1921" s="51" t="str">
        <f>VLOOKUP(H1921,Stock_list!A:T,16,FALSE)</f>
        <v>JPY</v>
      </c>
      <c r="L1921" s="4">
        <v>43973</v>
      </c>
      <c r="M1921" s="132">
        <v>22</v>
      </c>
      <c r="P1921" s="4" t="str">
        <f>VLOOKUP(H1921,Stock_list!A:Y,25,FALSE)</f>
        <v>Yes</v>
      </c>
      <c r="T1921" s="144"/>
      <c r="U1921" s="145" t="str">
        <f>VLOOKUP(H1921,Stock_list!A:N,14,FALSE)</f>
        <v>MAY 20</v>
      </c>
    </row>
    <row r="1922" spans="1:21" ht="16.5" customHeight="1">
      <c r="A1922" s="159" t="s">
        <v>2757</v>
      </c>
      <c r="B1922" s="114" t="str">
        <f>VLOOKUP(A1922,'Data pick slip'!B:F,5,FALSE)</f>
        <v>KLJ-MC400-00</v>
      </c>
      <c r="F1922" s="157" t="s">
        <v>2861</v>
      </c>
      <c r="H1922" s="138">
        <v>606</v>
      </c>
      <c r="I1922" s="139" t="str">
        <f>VLOOKUP(H1922,Stock_list!A:R,18,FALSE)</f>
        <v>乐上</v>
      </c>
      <c r="J1922" s="139" t="str">
        <f>VLOOKUP(H1922,Stock_list!A:S,17,FALSE)</f>
        <v>C49SZX20200007SS</v>
      </c>
      <c r="K1922" s="51" t="str">
        <f>VLOOKUP(H1922,Stock_list!A:T,16,FALSE)</f>
        <v>JPY</v>
      </c>
      <c r="L1922" s="4">
        <v>43973</v>
      </c>
      <c r="M1922" s="132">
        <v>14</v>
      </c>
      <c r="P1922" s="4" t="str">
        <f>VLOOKUP(H1922,Stock_list!A:Y,25,FALSE)</f>
        <v>Yes</v>
      </c>
      <c r="Q1922" s="143"/>
      <c r="T1922" s="144"/>
      <c r="U1922" s="145" t="str">
        <f>VLOOKUP(H1922,Stock_list!A:N,14,FALSE)</f>
        <v>MAY 20</v>
      </c>
    </row>
    <row r="1923" spans="1:21" ht="16.5" customHeight="1">
      <c r="A1923" s="159" t="s">
        <v>2749</v>
      </c>
      <c r="B1923" s="114" t="str">
        <f>VLOOKUP(A1923,'Data pick slip'!B:F,5,FALSE)</f>
        <v>KHJ-MC500-00</v>
      </c>
      <c r="F1923" s="157" t="s">
        <v>2861</v>
      </c>
      <c r="H1923" s="138">
        <v>606</v>
      </c>
      <c r="I1923" s="139" t="str">
        <f>VLOOKUP(H1923,Stock_list!A:R,18,FALSE)</f>
        <v>乐上</v>
      </c>
      <c r="J1923" s="139" t="str">
        <f>VLOOKUP(H1923,Stock_list!A:S,17,FALSE)</f>
        <v>C49SZX20200007SS</v>
      </c>
      <c r="K1923" s="51" t="str">
        <f>VLOOKUP(H1923,Stock_list!A:T,16,FALSE)</f>
        <v>JPY</v>
      </c>
      <c r="L1923" s="4">
        <v>43973</v>
      </c>
      <c r="M1923" s="132">
        <v>2</v>
      </c>
      <c r="P1923" s="4" t="str">
        <f>VLOOKUP(H1923,Stock_list!A:Y,25,FALSE)</f>
        <v>Yes</v>
      </c>
      <c r="Q1923" s="143"/>
      <c r="T1923" s="144"/>
      <c r="U1923" s="145" t="str">
        <f>VLOOKUP(H1923,Stock_list!A:N,14,FALSE)</f>
        <v>MAY 20</v>
      </c>
    </row>
    <row r="1924" spans="1:21" ht="16.5" customHeight="1">
      <c r="A1924" s="159" t="s">
        <v>2747</v>
      </c>
      <c r="B1924" s="114" t="str">
        <f>VLOOKUP(A1924,'Data pick slip'!B:F,5,FALSE)</f>
        <v>KHJ-MC200-00</v>
      </c>
      <c r="F1924" s="157" t="s">
        <v>2773</v>
      </c>
      <c r="I1924" s="139" t="s">
        <v>3099</v>
      </c>
      <c r="J1924" s="139" t="s">
        <v>3252</v>
      </c>
      <c r="K1924" s="51" t="s">
        <v>1246</v>
      </c>
      <c r="L1924" s="4">
        <v>43920</v>
      </c>
      <c r="M1924" s="140">
        <v>10</v>
      </c>
      <c r="P1924" s="4" t="s">
        <v>291</v>
      </c>
      <c r="Q1924" s="143"/>
      <c r="T1924" s="144"/>
      <c r="U1924" s="145" t="e">
        <f>VLOOKUP(H1924,Stock_list!A:N,14,FALSE)</f>
        <v>#N/A</v>
      </c>
    </row>
    <row r="1925" spans="1:21" ht="16.5" customHeight="1">
      <c r="A1925" s="159" t="s">
        <v>2747</v>
      </c>
      <c r="B1925" s="114" t="str">
        <f>VLOOKUP(A1925,'Data pick slip'!B:F,5,FALSE)</f>
        <v>KHJ-MC200-00</v>
      </c>
      <c r="F1925" s="157" t="s">
        <v>2773</v>
      </c>
      <c r="H1925" s="138">
        <v>597</v>
      </c>
      <c r="I1925" s="139" t="str">
        <f>VLOOKUP(H1925,Stock_list!A:R,18,FALSE)</f>
        <v>珠海太川</v>
      </c>
      <c r="J1925" s="139" t="str">
        <f>VLOOKUP(H1925,Stock_list!A:S,17,FALSE)</f>
        <v>C49SZX20200028JYR1</v>
      </c>
      <c r="K1925" s="51" t="str">
        <f>VLOOKUP(H1925,Stock_list!A:T,16,FALSE)</f>
        <v>RMB</v>
      </c>
      <c r="L1925" s="4">
        <v>43949</v>
      </c>
      <c r="M1925" s="132">
        <v>15</v>
      </c>
      <c r="P1925" s="4" t="str">
        <f>VLOOKUP(H1925,Stock_list!A:Y,25,FALSE)</f>
        <v>Yes</v>
      </c>
      <c r="Q1925" s="143"/>
      <c r="T1925" s="144"/>
      <c r="U1925" s="145" t="str">
        <f>VLOOKUP(H1925,Stock_list!A:N,14,FALSE)</f>
        <v>MAY 20</v>
      </c>
    </row>
    <row r="1926" spans="1:21" ht="16.5" customHeight="1">
      <c r="A1926" s="159" t="s">
        <v>2748</v>
      </c>
      <c r="B1926" s="114" t="str">
        <f>VLOOKUP(A1926,'Data pick slip'!B:F,5,FALSE)</f>
        <v>KHJ-MC400-00</v>
      </c>
      <c r="F1926" s="157" t="s">
        <v>2773</v>
      </c>
      <c r="H1926" s="138">
        <v>597</v>
      </c>
      <c r="I1926" s="139" t="str">
        <f>VLOOKUP(H1926,Stock_list!A:R,18,FALSE)</f>
        <v>珠海太川</v>
      </c>
      <c r="J1926" s="139" t="str">
        <f>VLOOKUP(H1926,Stock_list!A:S,17,FALSE)</f>
        <v>C49SZX20200028JYR1</v>
      </c>
      <c r="K1926" s="51" t="str">
        <f>VLOOKUP(H1926,Stock_list!A:T,16,FALSE)</f>
        <v>RMB</v>
      </c>
      <c r="L1926" s="4">
        <v>43949</v>
      </c>
      <c r="M1926" s="132">
        <v>5</v>
      </c>
      <c r="P1926" s="4" t="str">
        <f>VLOOKUP(H1926,Stock_list!A:Y,25,FALSE)</f>
        <v>Yes</v>
      </c>
      <c r="Q1926" s="143"/>
      <c r="T1926" s="144"/>
      <c r="U1926" s="145" t="str">
        <f>VLOOKUP(H1926,Stock_list!A:N,14,FALSE)</f>
        <v>MAY 20</v>
      </c>
    </row>
    <row r="1927" spans="1:21" ht="16.5" customHeight="1">
      <c r="A1927" s="159" t="s">
        <v>2749</v>
      </c>
      <c r="B1927" s="114" t="str">
        <f>VLOOKUP(A1927,'Data pick slip'!B:F,5,FALSE)</f>
        <v>KHJ-MC500-00</v>
      </c>
      <c r="F1927" s="157" t="s">
        <v>2773</v>
      </c>
      <c r="H1927" s="138">
        <v>597</v>
      </c>
      <c r="I1927" s="139" t="str">
        <f>VLOOKUP(H1927,Stock_list!A:R,18,FALSE)</f>
        <v>珠海太川</v>
      </c>
      <c r="J1927" s="139" t="str">
        <f>VLOOKUP(H1927,Stock_list!A:S,17,FALSE)</f>
        <v>C49SZX20200028JYR1</v>
      </c>
      <c r="K1927" s="51" t="str">
        <f>VLOOKUP(H1927,Stock_list!A:T,16,FALSE)</f>
        <v>RMB</v>
      </c>
      <c r="L1927" s="4">
        <v>43949</v>
      </c>
      <c r="M1927" s="132">
        <v>4</v>
      </c>
      <c r="P1927" s="4" t="str">
        <f>VLOOKUP(H1927,Stock_list!A:Y,25,FALSE)</f>
        <v>Yes</v>
      </c>
      <c r="Q1927" s="143"/>
      <c r="T1927" s="144"/>
      <c r="U1927" s="145" t="str">
        <f>VLOOKUP(H1927,Stock_list!A:N,14,FALSE)</f>
        <v>MAY 20</v>
      </c>
    </row>
    <row r="1928" spans="1:21" ht="16.5" customHeight="1">
      <c r="A1928" s="159" t="s">
        <v>2750</v>
      </c>
      <c r="B1928" s="114" t="str">
        <f>VLOOKUP(A1928,'Data pick slip'!B:F,5,FALSE)</f>
        <v>KHJ-MC600-00</v>
      </c>
      <c r="F1928" s="157" t="s">
        <v>2773</v>
      </c>
      <c r="H1928" s="138">
        <v>597</v>
      </c>
      <c r="I1928" s="139" t="str">
        <f>VLOOKUP(H1928,Stock_list!A:R,18,FALSE)</f>
        <v>珠海太川</v>
      </c>
      <c r="J1928" s="139" t="str">
        <f>VLOOKUP(H1928,Stock_list!A:S,17,FALSE)</f>
        <v>C49SZX20200028JYR1</v>
      </c>
      <c r="K1928" s="51" t="str">
        <f>VLOOKUP(H1928,Stock_list!A:T,16,FALSE)</f>
        <v>RMB</v>
      </c>
      <c r="L1928" s="4">
        <v>43949</v>
      </c>
      <c r="M1928" s="132">
        <v>4</v>
      </c>
      <c r="P1928" s="4" t="str">
        <f>VLOOKUP(H1928,Stock_list!A:Y,25,FALSE)</f>
        <v>Yes</v>
      </c>
      <c r="Q1928" s="143"/>
      <c r="T1928" s="144"/>
      <c r="U1928" s="145" t="str">
        <f>VLOOKUP(H1928,Stock_list!A:N,14,FALSE)</f>
        <v>MAY 20</v>
      </c>
    </row>
    <row r="1929" spans="1:21" ht="16.5" customHeight="1">
      <c r="A1929" s="159" t="s">
        <v>2744</v>
      </c>
      <c r="B1929" s="114" t="str">
        <f>VLOOKUP(A1929,'Data pick slip'!B:F,5,FALSE)</f>
        <v>KHJ-MC100-00</v>
      </c>
      <c r="F1929" s="157" t="s">
        <v>2861</v>
      </c>
      <c r="H1929" s="138">
        <v>607</v>
      </c>
      <c r="I1929" s="139" t="str">
        <f>VLOOKUP(H1929,Stock_list!A:R,18,FALSE)</f>
        <v>崧盛</v>
      </c>
      <c r="J1929" s="139" t="str">
        <f>VLOOKUP(H1929,Stock_list!A:S,17,FALSE)</f>
        <v>C49SZX20200040MZ</v>
      </c>
      <c r="K1929" s="51" t="str">
        <f>VLOOKUP(H1929,Stock_list!A:T,16,FALSE)</f>
        <v>JPY</v>
      </c>
      <c r="L1929" s="4">
        <v>43923</v>
      </c>
      <c r="M1929" s="132">
        <v>80</v>
      </c>
      <c r="P1929" s="4" t="str">
        <f>VLOOKUP(H1929,Stock_list!A:Y,25,FALSE)</f>
        <v>Yes</v>
      </c>
      <c r="Q1929" s="143"/>
      <c r="T1929" s="144"/>
      <c r="U1929" s="145" t="str">
        <f>VLOOKUP(H1929,Stock_list!A:N,14,FALSE)</f>
        <v>APR 20</v>
      </c>
    </row>
    <row r="1930" spans="1:21" ht="16.5" customHeight="1">
      <c r="A1930" s="159" t="s">
        <v>2747</v>
      </c>
      <c r="B1930" s="114" t="str">
        <f>VLOOKUP(A1930,'Data pick slip'!B:F,5,FALSE)</f>
        <v>KHJ-MC200-00</v>
      </c>
      <c r="F1930" s="157" t="s">
        <v>2861</v>
      </c>
      <c r="H1930" s="138">
        <v>607</v>
      </c>
      <c r="I1930" s="139" t="str">
        <f>VLOOKUP(H1930,Stock_list!A:R,18,FALSE)</f>
        <v>崧盛</v>
      </c>
      <c r="J1930" s="139" t="str">
        <f>VLOOKUP(H1930,Stock_list!A:S,17,FALSE)</f>
        <v>C49SZX20200040MZ</v>
      </c>
      <c r="K1930" s="51" t="str">
        <f>VLOOKUP(H1930,Stock_list!A:T,16,FALSE)</f>
        <v>JPY</v>
      </c>
      <c r="L1930" s="4">
        <v>43923</v>
      </c>
      <c r="M1930" s="132">
        <v>15</v>
      </c>
      <c r="P1930" s="4" t="str">
        <f>VLOOKUP(H1930,Stock_list!A:Y,25,FALSE)</f>
        <v>Yes</v>
      </c>
      <c r="Q1930" s="143"/>
      <c r="T1930" s="144"/>
      <c r="U1930" s="145" t="str">
        <f>VLOOKUP(H1930,Stock_list!A:N,14,FALSE)</f>
        <v>APR 20</v>
      </c>
    </row>
    <row r="1931" spans="1:21" ht="16.5" customHeight="1">
      <c r="A1931" s="159" t="s">
        <v>2744</v>
      </c>
      <c r="B1931" s="114" t="str">
        <f>VLOOKUP(A1931,'Data pick slip'!B:F,5,FALSE)</f>
        <v>KHJ-MC100-00</v>
      </c>
      <c r="F1931" s="157" t="s">
        <v>2773</v>
      </c>
      <c r="H1931" s="138">
        <v>608</v>
      </c>
      <c r="I1931" s="139" t="str">
        <f>VLOOKUP(H1931,Stock_list!A:R,18,FALSE)</f>
        <v>柏星</v>
      </c>
      <c r="J1931" s="139" t="str">
        <f>VLOOKUP(H1931,Stock_list!A:S,17,FALSE)</f>
        <v>C49SZX20200039SX</v>
      </c>
      <c r="K1931" s="51" t="str">
        <f>VLOOKUP(H1931,Stock_list!A:T,16,FALSE)</f>
        <v>RMB</v>
      </c>
      <c r="L1931" s="4">
        <v>43934</v>
      </c>
      <c r="M1931" s="140">
        <v>25</v>
      </c>
      <c r="P1931" s="4" t="str">
        <f>VLOOKUP(H1931,Stock_list!A:Y,25,FALSE)</f>
        <v>Yes</v>
      </c>
      <c r="Q1931" s="143"/>
      <c r="T1931" s="144"/>
      <c r="U1931" s="145" t="str">
        <f>VLOOKUP(H1931,Stock_list!A:N,14,FALSE)</f>
        <v>APR 20</v>
      </c>
    </row>
    <row r="1932" spans="1:21" ht="16.5" customHeight="1">
      <c r="A1932" s="159" t="s">
        <v>2749</v>
      </c>
      <c r="B1932" s="114" t="str">
        <f>VLOOKUP(A1932,'Data pick slip'!B:F,5,FALSE)</f>
        <v>KHJ-MC500-00</v>
      </c>
      <c r="F1932" s="157" t="s">
        <v>2773</v>
      </c>
      <c r="I1932" s="139" t="s">
        <v>3105</v>
      </c>
      <c r="J1932" s="139" t="s">
        <v>3253</v>
      </c>
      <c r="K1932" s="51" t="s">
        <v>1246</v>
      </c>
      <c r="L1932" s="4">
        <v>43917</v>
      </c>
      <c r="M1932" s="140">
        <v>1</v>
      </c>
      <c r="P1932" s="4" t="s">
        <v>291</v>
      </c>
      <c r="Q1932" s="143"/>
      <c r="T1932" s="144"/>
      <c r="U1932" s="145" t="e">
        <f>VLOOKUP(H1932,Stock_list!A:N,14,FALSE)</f>
        <v>#N/A</v>
      </c>
    </row>
    <row r="1933" spans="1:21" ht="16.5" customHeight="1">
      <c r="A1933" s="159" t="s">
        <v>2748</v>
      </c>
      <c r="B1933" s="114" t="str">
        <f>VLOOKUP(A1933,'Data pick slip'!B:F,5,FALSE)</f>
        <v>KHJ-MC400-00</v>
      </c>
      <c r="F1933" s="157" t="s">
        <v>2773</v>
      </c>
      <c r="I1933" s="139" t="s">
        <v>3105</v>
      </c>
      <c r="J1933" s="139" t="s">
        <v>3253</v>
      </c>
      <c r="K1933" s="51" t="s">
        <v>1246</v>
      </c>
      <c r="L1933" s="4">
        <v>43917</v>
      </c>
      <c r="M1933" s="140">
        <v>1</v>
      </c>
      <c r="P1933" s="4" t="s">
        <v>291</v>
      </c>
      <c r="Q1933" s="143"/>
      <c r="T1933" s="144"/>
      <c r="U1933" s="145" t="e">
        <f>VLOOKUP(H1933,Stock_list!A:N,14,FALSE)</f>
        <v>#N/A</v>
      </c>
    </row>
    <row r="1934" spans="1:21" ht="16.5" customHeight="1">
      <c r="A1934" s="159" t="s">
        <v>2750</v>
      </c>
      <c r="B1934" s="114" t="str">
        <f>VLOOKUP(A1934,'Data pick slip'!B:F,5,FALSE)</f>
        <v>KHJ-MC600-00</v>
      </c>
      <c r="F1934" s="157" t="s">
        <v>2773</v>
      </c>
      <c r="I1934" s="139" t="s">
        <v>3105</v>
      </c>
      <c r="J1934" s="139" t="s">
        <v>3253</v>
      </c>
      <c r="K1934" s="51" t="s">
        <v>1246</v>
      </c>
      <c r="L1934" s="4">
        <v>43917</v>
      </c>
      <c r="M1934" s="140">
        <v>1</v>
      </c>
      <c r="P1934" s="4" t="s">
        <v>291</v>
      </c>
      <c r="Q1934" s="143"/>
      <c r="T1934" s="144"/>
      <c r="U1934" s="145" t="e">
        <f>VLOOKUP(H1934,Stock_list!A:N,14,FALSE)</f>
        <v>#N/A</v>
      </c>
    </row>
    <row r="1935" spans="1:21" ht="16.5" customHeight="1">
      <c r="A1935" s="159" t="s">
        <v>2747</v>
      </c>
      <c r="B1935" s="114" t="str">
        <f>VLOOKUP(A1935,'Data pick slip'!B:F,5,FALSE)</f>
        <v>KHJ-MC200-00</v>
      </c>
      <c r="F1935" s="157" t="s">
        <v>2773</v>
      </c>
      <c r="I1935" s="139" t="s">
        <v>3254</v>
      </c>
      <c r="J1935" s="139" t="s">
        <v>3255</v>
      </c>
      <c r="K1935" s="51" t="s">
        <v>1246</v>
      </c>
      <c r="L1935" s="4">
        <v>43920</v>
      </c>
      <c r="M1935" s="140">
        <v>3</v>
      </c>
      <c r="P1935" s="4" t="s">
        <v>291</v>
      </c>
      <c r="Q1935" s="143"/>
      <c r="T1935" s="144"/>
      <c r="U1935" s="145" t="e">
        <f>VLOOKUP(H1935,Stock_list!A:N,14,FALSE)</f>
        <v>#N/A</v>
      </c>
    </row>
    <row r="1936" spans="1:21" ht="16.5" customHeight="1">
      <c r="A1936" s="159" t="s">
        <v>2744</v>
      </c>
      <c r="B1936" s="114" t="str">
        <f>VLOOKUP(A1936,'Data pick slip'!B:F,5,FALSE)</f>
        <v>KHJ-MC100-00</v>
      </c>
      <c r="F1936" s="157" t="s">
        <v>2861</v>
      </c>
      <c r="H1936" s="138">
        <v>609</v>
      </c>
      <c r="I1936" s="139" t="str">
        <f>VLOOKUP(H1936,Stock_list!A:R,18,FALSE)</f>
        <v>创荣发</v>
      </c>
      <c r="J1936" s="139" t="str">
        <f>VLOOKUP(H1936,Stock_list!A:S,17,FALSE)</f>
        <v>C49SZX20200035JY</v>
      </c>
      <c r="K1936" s="51" t="str">
        <f>VLOOKUP(H1936,Stock_list!A:T,16,FALSE)</f>
        <v>JPY</v>
      </c>
      <c r="L1936" s="4">
        <v>43980</v>
      </c>
      <c r="M1936" s="132">
        <v>220</v>
      </c>
      <c r="P1936" s="4" t="str">
        <f>VLOOKUP(H1936,Stock_list!A:Y,25,FALSE)</f>
        <v>Yes</v>
      </c>
      <c r="Q1936" s="143"/>
      <c r="T1936" s="144"/>
      <c r="U1936" s="145" t="str">
        <f>VLOOKUP(H1936,Stock_list!A:N,14,FALSE)</f>
        <v>MAY 20</v>
      </c>
    </row>
    <row r="1937" spans="1:21" ht="16.5" customHeight="1">
      <c r="A1937" s="159" t="s">
        <v>2747</v>
      </c>
      <c r="B1937" s="114" t="str">
        <f>VLOOKUP(A1937,'Data pick slip'!B:F,5,FALSE)</f>
        <v>KHJ-MC200-00</v>
      </c>
      <c r="F1937" s="157" t="s">
        <v>2861</v>
      </c>
      <c r="H1937" s="138">
        <v>609</v>
      </c>
      <c r="I1937" s="139" t="str">
        <f>VLOOKUP(H1937,Stock_list!A:R,18,FALSE)</f>
        <v>创荣发</v>
      </c>
      <c r="J1937" s="139" t="str">
        <f>VLOOKUP(H1937,Stock_list!A:S,17,FALSE)</f>
        <v>C49SZX20200035JY</v>
      </c>
      <c r="K1937" s="51" t="str">
        <f>VLOOKUP(H1937,Stock_list!A:T,16,FALSE)</f>
        <v>JPY</v>
      </c>
      <c r="L1937" s="4">
        <v>43980</v>
      </c>
      <c r="M1937" s="132">
        <v>25</v>
      </c>
      <c r="P1937" s="4" t="str">
        <f>VLOOKUP(H1937,Stock_list!A:Y,25,FALSE)</f>
        <v>Yes</v>
      </c>
      <c r="Q1937" s="143"/>
      <c r="T1937" s="144"/>
      <c r="U1937" s="145" t="str">
        <f>VLOOKUP(H1937,Stock_list!A:N,14,FALSE)</f>
        <v>MAY 20</v>
      </c>
    </row>
    <row r="1938" spans="1:21" ht="16.5" customHeight="1">
      <c r="A1938" s="159" t="s">
        <v>2747</v>
      </c>
      <c r="B1938" s="114" t="str">
        <f>VLOOKUP(A1938,'Data pick slip'!B:F,5,FALSE)</f>
        <v>KHJ-MC200-00</v>
      </c>
      <c r="F1938" s="157" t="s">
        <v>2773</v>
      </c>
      <c r="H1938" s="138">
        <v>609</v>
      </c>
      <c r="I1938" s="139" t="str">
        <f>VLOOKUP(H1938,Stock_list!A:R,18,FALSE)</f>
        <v>创荣发</v>
      </c>
      <c r="J1938" s="139" t="str">
        <f>VLOOKUP(H1938,Stock_list!A:S,17,FALSE)</f>
        <v>C49SZX20200035JY</v>
      </c>
      <c r="K1938" s="51" t="str">
        <f>VLOOKUP(H1938,Stock_list!A:T,16,FALSE)</f>
        <v>JPY</v>
      </c>
      <c r="L1938" s="4">
        <v>43980</v>
      </c>
      <c r="M1938" s="132">
        <v>30</v>
      </c>
      <c r="P1938" s="4" t="str">
        <f>VLOOKUP(H1938,Stock_list!A:Y,25,FALSE)</f>
        <v>Yes</v>
      </c>
      <c r="Q1938" s="143"/>
      <c r="S1938" s="123" t="s">
        <v>3003</v>
      </c>
      <c r="T1938" s="144" t="s">
        <v>3256</v>
      </c>
      <c r="U1938" s="145" t="str">
        <f>VLOOKUP(H1938,Stock_list!A:N,14,FALSE)</f>
        <v>MAY 20</v>
      </c>
    </row>
    <row r="1939" spans="1:21" ht="16.5" customHeight="1">
      <c r="A1939" s="159" t="s">
        <v>2748</v>
      </c>
      <c r="B1939" s="114" t="str">
        <f>VLOOKUP(A1939,'Data pick slip'!B:F,5,FALSE)</f>
        <v>KHJ-MC400-00</v>
      </c>
      <c r="F1939" s="157" t="s">
        <v>2773</v>
      </c>
      <c r="H1939" s="138">
        <v>609</v>
      </c>
      <c r="I1939" s="139" t="str">
        <f>VLOOKUP(H1939,Stock_list!A:R,18,FALSE)</f>
        <v>创荣发</v>
      </c>
      <c r="J1939" s="139" t="str">
        <f>VLOOKUP(H1939,Stock_list!A:S,17,FALSE)</f>
        <v>C49SZX20200035JY</v>
      </c>
      <c r="K1939" s="51" t="str">
        <f>VLOOKUP(H1939,Stock_list!A:T,16,FALSE)</f>
        <v>JPY</v>
      </c>
      <c r="L1939" s="4">
        <v>43980</v>
      </c>
      <c r="M1939" s="132">
        <v>5</v>
      </c>
      <c r="P1939" s="4" t="str">
        <f>VLOOKUP(H1939,Stock_list!A:Y,25,FALSE)</f>
        <v>Yes</v>
      </c>
      <c r="Q1939" s="143"/>
      <c r="S1939" s="123" t="s">
        <v>3003</v>
      </c>
      <c r="T1939" s="144" t="s">
        <v>3256</v>
      </c>
      <c r="U1939" s="145" t="str">
        <f>VLOOKUP(H1939,Stock_list!A:N,14,FALSE)</f>
        <v>MAY 20</v>
      </c>
    </row>
    <row r="1940" spans="1:21" ht="16.5" customHeight="1">
      <c r="A1940" s="159" t="s">
        <v>2749</v>
      </c>
      <c r="B1940" s="114" t="str">
        <f>VLOOKUP(A1940,'Data pick slip'!B:F,5,FALSE)</f>
        <v>KHJ-MC500-00</v>
      </c>
      <c r="F1940" s="157" t="s">
        <v>2861</v>
      </c>
      <c r="H1940" s="138">
        <v>609</v>
      </c>
      <c r="I1940" s="139" t="str">
        <f>VLOOKUP(H1940,Stock_list!A:R,18,FALSE)</f>
        <v>创荣发</v>
      </c>
      <c r="J1940" s="139" t="str">
        <f>VLOOKUP(H1940,Stock_list!A:S,17,FALSE)</f>
        <v>C49SZX20200035JY</v>
      </c>
      <c r="K1940" s="51" t="str">
        <f>VLOOKUP(H1940,Stock_list!A:T,16,FALSE)</f>
        <v>JPY</v>
      </c>
      <c r="L1940" s="4">
        <v>43980</v>
      </c>
      <c r="M1940" s="132">
        <v>4</v>
      </c>
      <c r="P1940" s="4" t="str">
        <f>VLOOKUP(H1940,Stock_list!A:Y,25,FALSE)</f>
        <v>Yes</v>
      </c>
      <c r="Q1940" s="143"/>
      <c r="T1940" s="144"/>
      <c r="U1940" s="145" t="str">
        <f>VLOOKUP(H1940,Stock_list!A:N,14,FALSE)</f>
        <v>MAY 20</v>
      </c>
    </row>
    <row r="1941" spans="1:21" ht="16.5" customHeight="1">
      <c r="A1941" s="159" t="s">
        <v>2814</v>
      </c>
      <c r="B1941" s="114" t="str">
        <f>VLOOKUP(A1941,'Data pick slip'!B:F,5,FALSE)</f>
        <v>KHJ-MC600-00</v>
      </c>
      <c r="F1941" s="157" t="s">
        <v>2861</v>
      </c>
      <c r="H1941" s="138">
        <v>609</v>
      </c>
      <c r="I1941" s="139" t="str">
        <f>VLOOKUP(H1941,Stock_list!A:R,18,FALSE)</f>
        <v>创荣发</v>
      </c>
      <c r="J1941" s="139" t="str">
        <f>VLOOKUP(H1941,Stock_list!A:S,17,FALSE)</f>
        <v>C49SZX20200035JY</v>
      </c>
      <c r="K1941" s="51" t="str">
        <f>VLOOKUP(H1941,Stock_list!A:T,16,FALSE)</f>
        <v>JPY</v>
      </c>
      <c r="L1941" s="4">
        <v>43980</v>
      </c>
      <c r="M1941" s="132">
        <v>2</v>
      </c>
      <c r="P1941" s="4" t="str">
        <f>VLOOKUP(H1941,Stock_list!A:Y,25,FALSE)</f>
        <v>Yes</v>
      </c>
      <c r="Q1941" s="143"/>
      <c r="T1941" s="144"/>
      <c r="U1941" s="145" t="str">
        <f>VLOOKUP(H1941,Stock_list!A:N,14,FALSE)</f>
        <v>MAY 20</v>
      </c>
    </row>
    <row r="1942" spans="1:21" ht="16.5" customHeight="1">
      <c r="A1942" s="159" t="s">
        <v>2747</v>
      </c>
      <c r="B1942" s="114" t="str">
        <f>VLOOKUP(A1942,'Data pick slip'!B:F,5,FALSE)</f>
        <v>KHJ-MC200-00</v>
      </c>
      <c r="F1942" s="157" t="s">
        <v>2773</v>
      </c>
      <c r="I1942" s="139" t="s">
        <v>3139</v>
      </c>
      <c r="J1942" s="139" t="s">
        <v>3257</v>
      </c>
      <c r="K1942" s="51" t="s">
        <v>1246</v>
      </c>
      <c r="L1942" s="4">
        <v>43922</v>
      </c>
      <c r="M1942" s="140">
        <v>1</v>
      </c>
      <c r="P1942" s="4" t="s">
        <v>291</v>
      </c>
      <c r="Q1942" s="143"/>
      <c r="T1942" s="144"/>
      <c r="U1942" s="145" t="e">
        <f>VLOOKUP(H1942,Stock_list!A:N,14,FALSE)</f>
        <v>#N/A</v>
      </c>
    </row>
    <row r="1943" spans="1:21" ht="16.5" customHeight="1">
      <c r="A1943" s="159" t="s">
        <v>2750</v>
      </c>
      <c r="B1943" s="114" t="str">
        <f>VLOOKUP(A1943,'Data pick slip'!B:F,5,FALSE)</f>
        <v>KHJ-MC600-00</v>
      </c>
      <c r="F1943" s="157" t="s">
        <v>2773</v>
      </c>
      <c r="I1943" s="139" t="s">
        <v>3093</v>
      </c>
      <c r="J1943" s="139" t="s">
        <v>3258</v>
      </c>
      <c r="K1943" s="51" t="s">
        <v>1246</v>
      </c>
      <c r="L1943" s="4">
        <v>43922</v>
      </c>
      <c r="M1943" s="140">
        <v>1</v>
      </c>
      <c r="P1943" s="4" t="s">
        <v>291</v>
      </c>
      <c r="Q1943" s="143"/>
      <c r="T1943" s="144"/>
      <c r="U1943" s="145" t="e">
        <f>VLOOKUP(H1943,Stock_list!A:N,14,FALSE)</f>
        <v>#N/A</v>
      </c>
    </row>
    <row r="1944" spans="1:21" ht="16.5" customHeight="1">
      <c r="A1944" s="159" t="s">
        <v>2748</v>
      </c>
      <c r="B1944" s="114" t="str">
        <f>VLOOKUP(A1944,'Data pick slip'!B:F,5,FALSE)</f>
        <v>KHJ-MC400-00</v>
      </c>
      <c r="F1944" s="157" t="s">
        <v>2773</v>
      </c>
      <c r="I1944" s="139" t="s">
        <v>3099</v>
      </c>
      <c r="J1944" s="139" t="s">
        <v>3259</v>
      </c>
      <c r="K1944" s="51" t="s">
        <v>1246</v>
      </c>
      <c r="L1944" s="4">
        <v>43922</v>
      </c>
      <c r="M1944" s="140">
        <v>3</v>
      </c>
      <c r="P1944" s="4" t="s">
        <v>291</v>
      </c>
      <c r="Q1944" s="143"/>
      <c r="T1944" s="144"/>
      <c r="U1944" s="145" t="e">
        <f>VLOOKUP(H1944,Stock_list!A:N,14,FALSE)</f>
        <v>#N/A</v>
      </c>
    </row>
    <row r="1945" spans="1:21" ht="16.5" customHeight="1">
      <c r="A1945" s="159" t="s">
        <v>2747</v>
      </c>
      <c r="B1945" s="114" t="str">
        <f>VLOOKUP(A1945,'Data pick slip'!B:F,5,FALSE)</f>
        <v>KHJ-MC200-00</v>
      </c>
      <c r="F1945" s="157" t="s">
        <v>2773</v>
      </c>
      <c r="I1945" s="139" t="s">
        <v>3093</v>
      </c>
      <c r="J1945" s="139" t="s">
        <v>3260</v>
      </c>
      <c r="K1945" s="51" t="s">
        <v>1246</v>
      </c>
      <c r="L1945" s="4">
        <v>43923</v>
      </c>
      <c r="M1945" s="140">
        <v>5</v>
      </c>
      <c r="P1945" s="4" t="s">
        <v>291</v>
      </c>
      <c r="Q1945" s="143"/>
      <c r="T1945" s="144"/>
      <c r="U1945" s="145" t="e">
        <f>VLOOKUP(H1945,Stock_list!A:N,14,FALSE)</f>
        <v>#N/A</v>
      </c>
    </row>
    <row r="1946" spans="1:21" ht="16.5" customHeight="1">
      <c r="A1946" s="159" t="s">
        <v>2750</v>
      </c>
      <c r="B1946" s="114" t="str">
        <f>VLOOKUP(A1946,'Data pick slip'!B:F,5,FALSE)</f>
        <v>KHJ-MC600-00</v>
      </c>
      <c r="F1946" s="157" t="s">
        <v>2773</v>
      </c>
      <c r="I1946" s="139" t="s">
        <v>3093</v>
      </c>
      <c r="J1946" s="139" t="s">
        <v>3260</v>
      </c>
      <c r="K1946" s="51" t="s">
        <v>1246</v>
      </c>
      <c r="L1946" s="4">
        <v>43923</v>
      </c>
      <c r="M1946" s="140">
        <v>1</v>
      </c>
      <c r="P1946" s="4" t="s">
        <v>291</v>
      </c>
      <c r="Q1946" s="143"/>
      <c r="T1946" s="144"/>
      <c r="U1946" s="145" t="e">
        <f>VLOOKUP(H1946,Stock_list!A:N,14,FALSE)</f>
        <v>#N/A</v>
      </c>
    </row>
    <row r="1947" spans="1:21" ht="16.5" customHeight="1">
      <c r="A1947" s="159" t="s">
        <v>2744</v>
      </c>
      <c r="B1947" s="114" t="str">
        <f>VLOOKUP(A1947,'Data pick slip'!B:F,5,FALSE)</f>
        <v>KHJ-MC100-00</v>
      </c>
      <c r="F1947" s="157" t="s">
        <v>2773</v>
      </c>
      <c r="H1947" s="138">
        <v>613</v>
      </c>
      <c r="I1947" s="139" t="str">
        <f>VLOOKUP(H1947,Stock_list!A:R,18,FALSE)</f>
        <v>晟锦威</v>
      </c>
      <c r="J1947" s="139" t="str">
        <f>VLOOKUP(H1947,Stock_list!A:S,17,FALSE)</f>
        <v>C49SZX20200041JY</v>
      </c>
      <c r="K1947" s="51" t="str">
        <f>VLOOKUP(H1947,Stock_list!A:T,16,FALSE)</f>
        <v>RMB</v>
      </c>
      <c r="L1947" s="4">
        <v>43941</v>
      </c>
      <c r="M1947" s="132">
        <v>60</v>
      </c>
      <c r="P1947" s="4" t="str">
        <f>VLOOKUP(H1947,Stock_list!A:Y,25,FALSE)</f>
        <v>Yes</v>
      </c>
      <c r="Q1947" s="143"/>
      <c r="T1947" s="144"/>
      <c r="U1947" s="145" t="str">
        <f>VLOOKUP(H1947,Stock_list!A:N,14,FALSE)</f>
        <v>APR 20</v>
      </c>
    </row>
    <row r="1948" spans="1:21" ht="16.5" customHeight="1">
      <c r="A1948" s="159" t="s">
        <v>2747</v>
      </c>
      <c r="B1948" s="114" t="str">
        <f>VLOOKUP(A1948,'Data pick slip'!B:F,5,FALSE)</f>
        <v>KHJ-MC200-00</v>
      </c>
      <c r="F1948" s="157" t="s">
        <v>2773</v>
      </c>
      <c r="H1948" s="138">
        <v>613</v>
      </c>
      <c r="I1948" s="139" t="str">
        <f>VLOOKUP(H1948,Stock_list!A:R,18,FALSE)</f>
        <v>晟锦威</v>
      </c>
      <c r="J1948" s="139" t="str">
        <f>VLOOKUP(H1948,Stock_list!A:S,17,FALSE)</f>
        <v>C49SZX20200041JY</v>
      </c>
      <c r="K1948" s="51" t="str">
        <f>VLOOKUP(H1948,Stock_list!A:T,16,FALSE)</f>
        <v>RMB</v>
      </c>
      <c r="L1948" s="4">
        <v>43941</v>
      </c>
      <c r="M1948" s="132">
        <v>10</v>
      </c>
      <c r="P1948" s="4" t="str">
        <f>VLOOKUP(H1948,Stock_list!A:Y,25,FALSE)</f>
        <v>Yes</v>
      </c>
      <c r="Q1948" s="143"/>
      <c r="T1948" s="144"/>
      <c r="U1948" s="145" t="str">
        <f>VLOOKUP(H1948,Stock_list!A:N,14,FALSE)</f>
        <v>APR 20</v>
      </c>
    </row>
    <row r="1949" spans="1:21" ht="16.5" customHeight="1">
      <c r="A1949" s="159" t="s">
        <v>2748</v>
      </c>
      <c r="B1949" s="114" t="str">
        <f>VLOOKUP(A1949,'Data pick slip'!B:F,5,FALSE)</f>
        <v>KHJ-MC400-00</v>
      </c>
      <c r="F1949" s="157" t="s">
        <v>2773</v>
      </c>
      <c r="H1949" s="138">
        <v>613</v>
      </c>
      <c r="I1949" s="139" t="str">
        <f>VLOOKUP(H1949,Stock_list!A:R,18,FALSE)</f>
        <v>晟锦威</v>
      </c>
      <c r="J1949" s="139" t="str">
        <f>VLOOKUP(H1949,Stock_list!A:S,17,FALSE)</f>
        <v>C49SZX20200041JY</v>
      </c>
      <c r="K1949" s="51" t="str">
        <f>VLOOKUP(H1949,Stock_list!A:T,16,FALSE)</f>
        <v>RMB</v>
      </c>
      <c r="L1949" s="4">
        <v>43941</v>
      </c>
      <c r="M1949" s="132">
        <v>2</v>
      </c>
      <c r="P1949" s="4" t="str">
        <f>VLOOKUP(H1949,Stock_list!A:Y,25,FALSE)</f>
        <v>Yes</v>
      </c>
      <c r="Q1949" s="143"/>
      <c r="T1949" s="144"/>
      <c r="U1949" s="145" t="str">
        <f>VLOOKUP(H1949,Stock_list!A:N,14,FALSE)</f>
        <v>APR 20</v>
      </c>
    </row>
    <row r="1950" spans="1:21" ht="16.5" customHeight="1">
      <c r="A1950" s="159" t="s">
        <v>2744</v>
      </c>
      <c r="B1950" s="114" t="str">
        <f>VLOOKUP(A1950,'Data pick slip'!B:F,5,FALSE)</f>
        <v>KHJ-MC100-00</v>
      </c>
      <c r="F1950" s="157" t="s">
        <v>2861</v>
      </c>
      <c r="I1950" s="139" t="s">
        <v>3015</v>
      </c>
      <c r="J1950" s="139" t="s">
        <v>3261</v>
      </c>
      <c r="K1950" s="51" t="s">
        <v>1246</v>
      </c>
      <c r="L1950" s="4">
        <v>43930</v>
      </c>
      <c r="M1950" s="140">
        <v>65</v>
      </c>
      <c r="P1950" s="4" t="s">
        <v>291</v>
      </c>
      <c r="Q1950" s="143"/>
      <c r="T1950" s="144"/>
      <c r="U1950" s="145" t="e">
        <f>VLOOKUP(H1950,Stock_list!A:N,14,FALSE)</f>
        <v>#N/A</v>
      </c>
    </row>
    <row r="1951" spans="1:21" ht="16.5" customHeight="1">
      <c r="A1951" s="159" t="s">
        <v>2747</v>
      </c>
      <c r="B1951" s="114" t="str">
        <f>VLOOKUP(A1951,'Data pick slip'!B:F,5,FALSE)</f>
        <v>KHJ-MC200-00</v>
      </c>
      <c r="F1951" s="157" t="s">
        <v>2861</v>
      </c>
      <c r="I1951" s="139" t="s">
        <v>3015</v>
      </c>
      <c r="J1951" s="139" t="s">
        <v>3261</v>
      </c>
      <c r="K1951" s="51" t="s">
        <v>1246</v>
      </c>
      <c r="L1951" s="4">
        <v>43930</v>
      </c>
      <c r="M1951" s="140">
        <v>10</v>
      </c>
      <c r="P1951" s="4" t="s">
        <v>291</v>
      </c>
      <c r="Q1951" s="143"/>
      <c r="T1951" s="144"/>
      <c r="U1951" s="145" t="e">
        <f>VLOOKUP(H1951,Stock_list!A:N,14,FALSE)</f>
        <v>#N/A</v>
      </c>
    </row>
    <row r="1952" spans="1:21" ht="16.5" customHeight="1">
      <c r="A1952" s="159" t="s">
        <v>2748</v>
      </c>
      <c r="B1952" s="114" t="str">
        <f>VLOOKUP(A1952,'Data pick slip'!B:F,5,FALSE)</f>
        <v>KHJ-MC400-00</v>
      </c>
      <c r="F1952" s="157" t="s">
        <v>2861</v>
      </c>
      <c r="I1952" s="139" t="s">
        <v>3015</v>
      </c>
      <c r="J1952" s="139" t="s">
        <v>3261</v>
      </c>
      <c r="K1952" s="51" t="s">
        <v>1246</v>
      </c>
      <c r="L1952" s="4">
        <v>43930</v>
      </c>
      <c r="M1952" s="140">
        <v>6</v>
      </c>
      <c r="P1952" s="4" t="s">
        <v>291</v>
      </c>
      <c r="Q1952" s="143"/>
      <c r="T1952" s="144"/>
      <c r="U1952" s="145" t="e">
        <f>VLOOKUP(H1952,Stock_list!A:N,14,FALSE)</f>
        <v>#N/A</v>
      </c>
    </row>
    <row r="1953" spans="1:21" ht="16.5" customHeight="1">
      <c r="A1953" s="159" t="s">
        <v>2747</v>
      </c>
      <c r="B1953" s="114" t="str">
        <f>VLOOKUP(A1953,'Data pick slip'!B:F,5,FALSE)</f>
        <v>KHJ-MC200-00</v>
      </c>
      <c r="F1953" s="157" t="s">
        <v>2773</v>
      </c>
      <c r="I1953" s="139" t="s">
        <v>3105</v>
      </c>
      <c r="J1953" s="139" t="s">
        <v>3262</v>
      </c>
      <c r="K1953" s="51" t="s">
        <v>1246</v>
      </c>
      <c r="L1953" s="4">
        <v>43935</v>
      </c>
      <c r="M1953" s="140">
        <v>3</v>
      </c>
      <c r="P1953" s="4" t="s">
        <v>291</v>
      </c>
      <c r="Q1953" s="143"/>
      <c r="T1953" s="144"/>
      <c r="U1953" s="145" t="e">
        <f>VLOOKUP(H1953,Stock_list!A:N,14,FALSE)</f>
        <v>#N/A</v>
      </c>
    </row>
    <row r="1954" spans="1:21" ht="16.5" customHeight="1">
      <c r="A1954" s="159" t="s">
        <v>2747</v>
      </c>
      <c r="B1954" s="114" t="str">
        <f>VLOOKUP(A1954,'Data pick slip'!B:F,5,FALSE)</f>
        <v>KHJ-MC200-00</v>
      </c>
      <c r="F1954" s="157" t="s">
        <v>2773</v>
      </c>
      <c r="I1954" s="139" t="s">
        <v>3093</v>
      </c>
      <c r="J1954" s="139" t="s">
        <v>3263</v>
      </c>
      <c r="K1954" s="51" t="s">
        <v>1246</v>
      </c>
      <c r="L1954" s="4">
        <v>43935</v>
      </c>
      <c r="M1954" s="140">
        <v>5</v>
      </c>
      <c r="P1954" s="4" t="s">
        <v>291</v>
      </c>
      <c r="Q1954" s="143"/>
      <c r="T1954" s="144"/>
      <c r="U1954" s="145" t="e">
        <f>VLOOKUP(H1954,Stock_list!A:N,14,FALSE)</f>
        <v>#N/A</v>
      </c>
    </row>
    <row r="1955" spans="1:21" ht="16.5" customHeight="1">
      <c r="A1955" s="159" t="s">
        <v>2749</v>
      </c>
      <c r="B1955" s="114" t="str">
        <f>VLOOKUP(A1955,'Data pick slip'!B:F,5,FALSE)</f>
        <v>KHJ-MC500-00</v>
      </c>
      <c r="F1955" s="157" t="s">
        <v>2773</v>
      </c>
      <c r="I1955" s="139" t="s">
        <v>3093</v>
      </c>
      <c r="J1955" s="139" t="s">
        <v>3238</v>
      </c>
      <c r="K1955" s="51" t="s">
        <v>1246</v>
      </c>
      <c r="L1955" s="4">
        <v>43937</v>
      </c>
      <c r="O1955" s="132">
        <f>1-1</f>
        <v>0</v>
      </c>
      <c r="P1955" s="4" t="s">
        <v>291</v>
      </c>
      <c r="Q1955" s="143"/>
      <c r="T1955" s="144"/>
      <c r="U1955" s="145" t="e">
        <f>VLOOKUP(H1955,Stock_list!A:N,14,FALSE)</f>
        <v>#N/A</v>
      </c>
    </row>
    <row r="1956" spans="1:21" ht="16.5" customHeight="1">
      <c r="A1956" s="159" t="s">
        <v>2747</v>
      </c>
      <c r="B1956" s="114" t="str">
        <f>VLOOKUP(A1956,'Data pick slip'!B:F,5,FALSE)</f>
        <v>KHJ-MC200-00</v>
      </c>
      <c r="F1956" s="157" t="s">
        <v>2773</v>
      </c>
      <c r="I1956" s="139" t="s">
        <v>3099</v>
      </c>
      <c r="J1956" s="139" t="s">
        <v>3264</v>
      </c>
      <c r="K1956" s="51" t="s">
        <v>1246</v>
      </c>
      <c r="L1956" s="4">
        <v>43942</v>
      </c>
      <c r="M1956" s="132">
        <v>20</v>
      </c>
      <c r="P1956" s="4" t="s">
        <v>291</v>
      </c>
      <c r="Q1956" s="143"/>
      <c r="T1956" s="144"/>
      <c r="U1956" s="145" t="e">
        <f>VLOOKUP(H1956,Stock_list!A:N,14,FALSE)</f>
        <v>#N/A</v>
      </c>
    </row>
    <row r="1957" spans="1:21" ht="16.5" customHeight="1">
      <c r="A1957" s="159" t="s">
        <v>2748</v>
      </c>
      <c r="B1957" s="114" t="str">
        <f>VLOOKUP(A1957,'Data pick slip'!B:F,5,FALSE)</f>
        <v>KHJ-MC400-00</v>
      </c>
      <c r="F1957" s="157" t="s">
        <v>2773</v>
      </c>
      <c r="I1957" s="139" t="s">
        <v>3099</v>
      </c>
      <c r="J1957" s="139" t="s">
        <v>3265</v>
      </c>
      <c r="K1957" s="51" t="s">
        <v>1246</v>
      </c>
      <c r="L1957" s="4">
        <v>43942</v>
      </c>
      <c r="M1957" s="132">
        <v>4</v>
      </c>
      <c r="P1957" s="4" t="s">
        <v>291</v>
      </c>
      <c r="Q1957" s="143"/>
      <c r="T1957" s="144"/>
      <c r="U1957" s="145" t="e">
        <f>VLOOKUP(H1957,Stock_list!A:N,14,FALSE)</f>
        <v>#N/A</v>
      </c>
    </row>
    <row r="1958" spans="1:21" ht="16.5" customHeight="1">
      <c r="A1958" s="159" t="s">
        <v>2749</v>
      </c>
      <c r="B1958" s="114" t="str">
        <f>VLOOKUP(A1958,'Data pick slip'!B:F,5,FALSE)</f>
        <v>KHJ-MC500-00</v>
      </c>
      <c r="F1958" s="157" t="s">
        <v>2773</v>
      </c>
      <c r="I1958" s="139" t="s">
        <v>3099</v>
      </c>
      <c r="J1958" s="139" t="s">
        <v>3265</v>
      </c>
      <c r="K1958" s="51" t="s">
        <v>1246</v>
      </c>
      <c r="L1958" s="4">
        <v>43942</v>
      </c>
      <c r="M1958" s="132">
        <v>5</v>
      </c>
      <c r="P1958" s="4" t="s">
        <v>291</v>
      </c>
      <c r="Q1958" s="143"/>
      <c r="T1958" s="144"/>
      <c r="U1958" s="145" t="e">
        <f>VLOOKUP(H1958,Stock_list!A:N,14,FALSE)</f>
        <v>#N/A</v>
      </c>
    </row>
    <row r="1959" spans="1:21" ht="16.5" customHeight="1">
      <c r="A1959" s="159" t="s">
        <v>2750</v>
      </c>
      <c r="B1959" s="114" t="str">
        <f>VLOOKUP(A1959,'Data pick slip'!B:F,5,FALSE)</f>
        <v>KHJ-MC600-00</v>
      </c>
      <c r="F1959" s="157" t="s">
        <v>2773</v>
      </c>
      <c r="I1959" s="139" t="s">
        <v>3099</v>
      </c>
      <c r="J1959" s="139" t="s">
        <v>3265</v>
      </c>
      <c r="K1959" s="51" t="s">
        <v>1246</v>
      </c>
      <c r="L1959" s="4">
        <v>43942</v>
      </c>
      <c r="M1959" s="132">
        <v>4</v>
      </c>
      <c r="P1959" s="4" t="s">
        <v>291</v>
      </c>
      <c r="Q1959" s="143"/>
      <c r="T1959" s="144"/>
      <c r="U1959" s="145" t="e">
        <f>VLOOKUP(H1959,Stock_list!A:N,14,FALSE)</f>
        <v>#N/A</v>
      </c>
    </row>
    <row r="1960" spans="1:21" ht="16.5" customHeight="1">
      <c r="A1960" s="159" t="s">
        <v>2747</v>
      </c>
      <c r="B1960" s="114" t="str">
        <f>VLOOKUP(A1960,'Data pick slip'!B:F,5,FALSE)</f>
        <v>KHJ-MC200-00</v>
      </c>
      <c r="F1960" s="157" t="s">
        <v>2773</v>
      </c>
      <c r="I1960" s="139" t="s">
        <v>3093</v>
      </c>
      <c r="J1960" s="139" t="s">
        <v>3266</v>
      </c>
      <c r="K1960" s="51" t="s">
        <v>1246</v>
      </c>
      <c r="L1960" s="4">
        <v>43938</v>
      </c>
      <c r="M1960" s="140">
        <v>1</v>
      </c>
      <c r="P1960" s="4" t="s">
        <v>291</v>
      </c>
      <c r="Q1960" s="143"/>
      <c r="T1960" s="144"/>
      <c r="U1960" s="145" t="e">
        <f>VLOOKUP(H1960,Stock_list!A:N,14,FALSE)</f>
        <v>#N/A</v>
      </c>
    </row>
    <row r="1961" spans="1:21" ht="16.5" customHeight="1">
      <c r="A1961" s="159" t="s">
        <v>2744</v>
      </c>
      <c r="B1961" s="114" t="str">
        <f>VLOOKUP(A1961,'Data pick slip'!B:F,5,FALSE)</f>
        <v>KHJ-MC100-00</v>
      </c>
      <c r="F1961" s="157" t="s">
        <v>2773</v>
      </c>
      <c r="H1961" s="138">
        <v>619</v>
      </c>
      <c r="I1961" s="139" t="str">
        <f>VLOOKUP(H1961,Stock_list!A:R,18,FALSE)</f>
        <v>智序</v>
      </c>
      <c r="J1961" s="139" t="str">
        <f>VLOOKUP(H1961,Stock_list!A:S,17,FALSE)</f>
        <v>C49SZX20200049MX</v>
      </c>
      <c r="K1961" s="51" t="str">
        <f>VLOOKUP(H1961,Stock_list!A:T,16,FALSE)</f>
        <v>RMB</v>
      </c>
      <c r="L1961" s="4">
        <v>43971</v>
      </c>
      <c r="M1961" s="132">
        <v>40</v>
      </c>
      <c r="P1961" s="4" t="str">
        <f>VLOOKUP(H1961,Stock_list!A:Y,25,FALSE)</f>
        <v>Yes</v>
      </c>
      <c r="Q1961" s="143"/>
      <c r="T1961" s="144"/>
      <c r="U1961" s="145" t="str">
        <f>VLOOKUP(H1961,Stock_list!A:N,14,FALSE)</f>
        <v>MAY 20</v>
      </c>
    </row>
    <row r="1962" spans="1:21" ht="16.5" customHeight="1">
      <c r="A1962" s="159" t="s">
        <v>2756</v>
      </c>
      <c r="B1962" s="114" t="str">
        <f>VLOOKUP(A1962,'Data pick slip'!B:F,5,FALSE)</f>
        <v>KLJ-MC200-00</v>
      </c>
      <c r="F1962" s="157" t="s">
        <v>2773</v>
      </c>
      <c r="H1962" s="138">
        <v>619</v>
      </c>
      <c r="I1962" s="139" t="str">
        <f>VLOOKUP(H1962,Stock_list!A:R,18,FALSE)</f>
        <v>智序</v>
      </c>
      <c r="J1962" s="139" t="str">
        <f>VLOOKUP(H1962,Stock_list!A:S,17,FALSE)</f>
        <v>C49SZX20200049MX</v>
      </c>
      <c r="K1962" s="51" t="str">
        <f>VLOOKUP(H1962,Stock_list!A:T,16,FALSE)</f>
        <v>RMB</v>
      </c>
      <c r="L1962" s="4">
        <v>43971</v>
      </c>
      <c r="M1962" s="132">
        <v>4</v>
      </c>
      <c r="P1962" s="4" t="str">
        <f>VLOOKUP(H1962,Stock_list!A:Y,25,FALSE)</f>
        <v>Yes</v>
      </c>
      <c r="T1962" s="144"/>
      <c r="U1962" s="145" t="str">
        <f>VLOOKUP(H1962,Stock_list!A:N,14,FALSE)</f>
        <v>MAY 20</v>
      </c>
    </row>
    <row r="1963" spans="1:21" ht="16.5" customHeight="1">
      <c r="A1963" s="159" t="s">
        <v>2744</v>
      </c>
      <c r="B1963" s="114" t="str">
        <f>VLOOKUP(A1963,'Data pick slip'!B:F,5,FALSE)</f>
        <v>KHJ-MC100-00</v>
      </c>
      <c r="F1963" s="157" t="s">
        <v>2773</v>
      </c>
      <c r="H1963" s="138">
        <v>623</v>
      </c>
      <c r="I1963" s="139" t="str">
        <f>VLOOKUP(H1963,Stock_list!A:R,18,FALSE)</f>
        <v>铭翔</v>
      </c>
      <c r="J1963" s="139" t="str">
        <f>VLOOKUP(H1963,Stock_list!A:S,17,FALSE)</f>
        <v>C49SZX20200042JL</v>
      </c>
      <c r="K1963" s="51" t="str">
        <f>VLOOKUP(H1963,Stock_list!A:T,16,FALSE)</f>
        <v>RMB</v>
      </c>
      <c r="L1963" s="4">
        <v>43942</v>
      </c>
      <c r="M1963" s="132">
        <v>3</v>
      </c>
      <c r="P1963" s="4" t="str">
        <f>VLOOKUP(H1963,Stock_list!A:Y,25,FALSE)</f>
        <v>Yes</v>
      </c>
      <c r="Q1963" s="143"/>
      <c r="T1963" s="144"/>
      <c r="U1963" s="145" t="str">
        <f>VLOOKUP(H1963,Stock_list!A:N,14,FALSE)</f>
        <v>APR 20</v>
      </c>
    </row>
    <row r="1964" spans="1:21" ht="16.5" customHeight="1">
      <c r="A1964" s="159" t="s">
        <v>2744</v>
      </c>
      <c r="B1964" s="114" t="str">
        <f>VLOOKUP(A1964,'Data pick slip'!B:F,5,FALSE)</f>
        <v>KHJ-MC100-00</v>
      </c>
      <c r="F1964" s="157" t="s">
        <v>2773</v>
      </c>
      <c r="H1964" s="138">
        <v>624</v>
      </c>
      <c r="I1964" s="139" t="str">
        <f>VLOOKUP(H1964,Stock_list!A:R,18,FALSE)</f>
        <v>海星</v>
      </c>
      <c r="J1964" s="139" t="str">
        <f>VLOOKUP(H1964,Stock_list!A:S,17,FALSE)</f>
        <v>C49SZX20200048DZ</v>
      </c>
      <c r="K1964" s="51" t="str">
        <f>VLOOKUP(H1964,Stock_list!A:T,16,FALSE)</f>
        <v>RMB</v>
      </c>
      <c r="L1964" s="4">
        <v>43994</v>
      </c>
      <c r="M1964" s="132">
        <v>40</v>
      </c>
      <c r="P1964" s="4" t="str">
        <f>VLOOKUP(H1964,Stock_list!A:Y,25,FALSE)</f>
        <v>Yes</v>
      </c>
      <c r="Q1964" s="143"/>
      <c r="T1964" s="144"/>
      <c r="U1964" s="145" t="str">
        <f>VLOOKUP(H1964,Stock_list!A:N,14,FALSE)</f>
        <v>JUN 20</v>
      </c>
    </row>
    <row r="1965" spans="1:21" ht="16.5" customHeight="1">
      <c r="A1965" s="159" t="s">
        <v>2747</v>
      </c>
      <c r="B1965" s="114" t="str">
        <f>VLOOKUP(A1965,'Data pick slip'!B:F,5,FALSE)</f>
        <v>KHJ-MC200-00</v>
      </c>
      <c r="F1965" s="157" t="s">
        <v>2773</v>
      </c>
      <c r="H1965" s="138">
        <v>624</v>
      </c>
      <c r="I1965" s="139" t="str">
        <f>VLOOKUP(H1965,Stock_list!A:R,18,FALSE)</f>
        <v>海星</v>
      </c>
      <c r="J1965" s="139" t="str">
        <f>VLOOKUP(H1965,Stock_list!A:S,17,FALSE)</f>
        <v>C49SZX20200048DZ</v>
      </c>
      <c r="K1965" s="51" t="str">
        <f>VLOOKUP(H1965,Stock_list!A:T,16,FALSE)</f>
        <v>RMB</v>
      </c>
      <c r="L1965" s="4">
        <v>43994</v>
      </c>
      <c r="M1965" s="132">
        <v>24</v>
      </c>
      <c r="P1965" s="4" t="str">
        <f>VLOOKUP(H1965,Stock_list!A:Y,25,FALSE)</f>
        <v>Yes</v>
      </c>
      <c r="Q1965" s="143"/>
      <c r="T1965" s="144"/>
      <c r="U1965" s="145" t="str">
        <f>VLOOKUP(H1965,Stock_list!A:N,14,FALSE)</f>
        <v>JUN 20</v>
      </c>
    </row>
    <row r="1966" spans="1:21" ht="16.5" customHeight="1">
      <c r="A1966" s="159" t="s">
        <v>2748</v>
      </c>
      <c r="B1966" s="114" t="str">
        <f>VLOOKUP(A1966,'Data pick slip'!B:F,5,FALSE)</f>
        <v>KHJ-MC400-00</v>
      </c>
      <c r="F1966" s="157" t="s">
        <v>2773</v>
      </c>
      <c r="H1966" s="138">
        <v>624</v>
      </c>
      <c r="I1966" s="139" t="str">
        <f>VLOOKUP(H1966,Stock_list!A:R,18,FALSE)</f>
        <v>海星</v>
      </c>
      <c r="J1966" s="139" t="str">
        <f>VLOOKUP(H1966,Stock_list!A:S,17,FALSE)</f>
        <v>C49SZX20200048DZ</v>
      </c>
      <c r="K1966" s="51" t="str">
        <f>VLOOKUP(H1966,Stock_list!A:T,16,FALSE)</f>
        <v>RMB</v>
      </c>
      <c r="L1966" s="4">
        <v>43994</v>
      </c>
      <c r="M1966" s="132">
        <v>10</v>
      </c>
      <c r="P1966" s="4" t="str">
        <f>VLOOKUP(H1966,Stock_list!A:Y,25,FALSE)</f>
        <v>Yes</v>
      </c>
      <c r="Q1966" s="143"/>
      <c r="T1966" s="144"/>
      <c r="U1966" s="145" t="str">
        <f>VLOOKUP(H1966,Stock_list!A:N,14,FALSE)</f>
        <v>JUN 20</v>
      </c>
    </row>
    <row r="1967" spans="1:21" ht="16.5" customHeight="1">
      <c r="A1967" s="159" t="s">
        <v>2749</v>
      </c>
      <c r="B1967" s="114" t="str">
        <f>VLOOKUP(A1967,'Data pick slip'!B:F,5,FALSE)</f>
        <v>KHJ-MC500-00</v>
      </c>
      <c r="F1967" s="157" t="s">
        <v>2773</v>
      </c>
      <c r="H1967" s="138">
        <v>624</v>
      </c>
      <c r="I1967" s="139" t="str">
        <f>VLOOKUP(H1967,Stock_list!A:R,18,FALSE)</f>
        <v>海星</v>
      </c>
      <c r="J1967" s="139" t="str">
        <f>VLOOKUP(H1967,Stock_list!A:S,17,FALSE)</f>
        <v>C49SZX20200048DZ</v>
      </c>
      <c r="K1967" s="51" t="str">
        <f>VLOOKUP(H1967,Stock_list!A:T,16,FALSE)</f>
        <v>RMB</v>
      </c>
      <c r="L1967" s="4">
        <v>43994</v>
      </c>
      <c r="M1967" s="132">
        <v>2</v>
      </c>
      <c r="P1967" s="4" t="str">
        <f>VLOOKUP(H1967,Stock_list!A:Y,25,FALSE)</f>
        <v>Yes</v>
      </c>
      <c r="Q1967" s="143"/>
      <c r="T1967" s="144"/>
      <c r="U1967" s="145" t="str">
        <f>VLOOKUP(H1967,Stock_list!A:N,14,FALSE)</f>
        <v>JUN 20</v>
      </c>
    </row>
    <row r="1968" spans="1:21" ht="16.5" customHeight="1">
      <c r="A1968" s="159" t="s">
        <v>2750</v>
      </c>
      <c r="B1968" s="114" t="str">
        <f>VLOOKUP(A1968,'Data pick slip'!B:F,5,FALSE)</f>
        <v>KHJ-MC600-00</v>
      </c>
      <c r="F1968" s="157" t="s">
        <v>2773</v>
      </c>
      <c r="H1968" s="138">
        <v>624</v>
      </c>
      <c r="I1968" s="139" t="str">
        <f>VLOOKUP(H1968,Stock_list!A:R,18,FALSE)</f>
        <v>海星</v>
      </c>
      <c r="J1968" s="139" t="str">
        <f>VLOOKUP(H1968,Stock_list!A:S,17,FALSE)</f>
        <v>C49SZX20200048DZ</v>
      </c>
      <c r="K1968" s="51" t="str">
        <f>VLOOKUP(H1968,Stock_list!A:T,16,FALSE)</f>
        <v>RMB</v>
      </c>
      <c r="L1968" s="4">
        <v>43994</v>
      </c>
      <c r="M1968" s="132">
        <v>2</v>
      </c>
      <c r="P1968" s="4" t="str">
        <f>VLOOKUP(H1968,Stock_list!A:Y,25,FALSE)</f>
        <v>Yes</v>
      </c>
      <c r="Q1968" s="143"/>
      <c r="T1968" s="144"/>
      <c r="U1968" s="145" t="str">
        <f>VLOOKUP(H1968,Stock_list!A:N,14,FALSE)</f>
        <v>JUN 20</v>
      </c>
    </row>
    <row r="1969" spans="1:21" ht="16.5" customHeight="1">
      <c r="A1969" s="159" t="s">
        <v>2744</v>
      </c>
      <c r="B1969" s="114" t="str">
        <f>VLOOKUP(A1969,'Data pick slip'!B:F,5,FALSE)</f>
        <v>KHJ-MC100-00</v>
      </c>
      <c r="F1969" s="157" t="s">
        <v>2773</v>
      </c>
      <c r="H1969" s="138">
        <v>627</v>
      </c>
      <c r="I1969" s="139" t="str">
        <f>VLOOKUP(H1969,Stock_list!A:R,18,FALSE)</f>
        <v>中科阿尔法</v>
      </c>
      <c r="J1969" s="139" t="str">
        <f>VLOOKUP(H1969,Stock_list!A:S,17,FALSE)</f>
        <v>C49SZX20200051SX</v>
      </c>
      <c r="K1969" s="51" t="str">
        <f>VLOOKUP(H1969,Stock_list!A:T,16,FALSE)</f>
        <v>RMB</v>
      </c>
      <c r="L1969" s="4">
        <v>43962</v>
      </c>
      <c r="M1969" s="132">
        <v>45</v>
      </c>
      <c r="P1969" s="4" t="str">
        <f>VLOOKUP(H1969,Stock_list!A:Y,25,FALSE)</f>
        <v>Yes</v>
      </c>
      <c r="Q1969" s="143"/>
      <c r="T1969" s="144"/>
      <c r="U1969" s="145" t="str">
        <f>VLOOKUP(H1969,Stock_list!A:N,14,FALSE)</f>
        <v>MAY 20</v>
      </c>
    </row>
    <row r="1970" spans="1:21" ht="16.5" customHeight="1">
      <c r="A1970" s="159" t="s">
        <v>2756</v>
      </c>
      <c r="B1970" s="114" t="str">
        <f>VLOOKUP(A1970,'Data pick slip'!B:F,5,FALSE)</f>
        <v>KLJ-MC200-00</v>
      </c>
      <c r="F1970" s="157" t="s">
        <v>2773</v>
      </c>
      <c r="H1970" s="138">
        <v>627</v>
      </c>
      <c r="I1970" s="139" t="str">
        <f>VLOOKUP(H1970,Stock_list!A:R,18,FALSE)</f>
        <v>中科阿尔法</v>
      </c>
      <c r="J1970" s="139" t="str">
        <f>VLOOKUP(H1970,Stock_list!A:S,17,FALSE)</f>
        <v>C49SZX20200051SX</v>
      </c>
      <c r="K1970" s="51" t="str">
        <f>VLOOKUP(H1970,Stock_list!A:T,16,FALSE)</f>
        <v>RMB</v>
      </c>
      <c r="L1970" s="4">
        <v>43962</v>
      </c>
      <c r="M1970" s="132">
        <v>18</v>
      </c>
      <c r="P1970" s="4" t="str">
        <f>VLOOKUP(H1970,Stock_list!A:Y,25,FALSE)</f>
        <v>Yes</v>
      </c>
      <c r="T1970" s="144"/>
      <c r="U1970" s="145" t="str">
        <f>VLOOKUP(H1970,Stock_list!A:N,14,FALSE)</f>
        <v>MAY 20</v>
      </c>
    </row>
    <row r="1971" spans="1:21" ht="16.5" customHeight="1">
      <c r="A1971" s="159" t="s">
        <v>2757</v>
      </c>
      <c r="B1971" s="114" t="str">
        <f>VLOOKUP(A1971,'Data pick slip'!B:F,5,FALSE)</f>
        <v>KLJ-MC400-00</v>
      </c>
      <c r="F1971" s="157" t="s">
        <v>2773</v>
      </c>
      <c r="H1971" s="138">
        <v>627</v>
      </c>
      <c r="I1971" s="139" t="str">
        <f>VLOOKUP(H1971,Stock_list!A:R,18,FALSE)</f>
        <v>中科阿尔法</v>
      </c>
      <c r="J1971" s="139" t="str">
        <f>VLOOKUP(H1971,Stock_list!A:S,17,FALSE)</f>
        <v>C49SZX20200051SX</v>
      </c>
      <c r="K1971" s="51" t="str">
        <f>VLOOKUP(H1971,Stock_list!A:T,16,FALSE)</f>
        <v>RMB</v>
      </c>
      <c r="L1971" s="4">
        <v>43962</v>
      </c>
      <c r="M1971" s="132">
        <v>8</v>
      </c>
      <c r="P1971" s="4" t="str">
        <f>VLOOKUP(H1971,Stock_list!A:Y,25,FALSE)</f>
        <v>Yes</v>
      </c>
      <c r="Q1971" s="143"/>
      <c r="T1971" s="144"/>
      <c r="U1971" s="145" t="str">
        <f>VLOOKUP(H1971,Stock_list!A:N,14,FALSE)</f>
        <v>MAY 20</v>
      </c>
    </row>
    <row r="1972" spans="1:21" ht="16.5" customHeight="1">
      <c r="A1972" s="159" t="s">
        <v>2749</v>
      </c>
      <c r="B1972" s="114" t="str">
        <f>VLOOKUP(A1972,'Data pick slip'!B:F,5,FALSE)</f>
        <v>KHJ-MC500-00</v>
      </c>
      <c r="F1972" s="157" t="s">
        <v>2773</v>
      </c>
      <c r="H1972" s="138">
        <v>627</v>
      </c>
      <c r="I1972" s="139" t="str">
        <f>VLOOKUP(H1972,Stock_list!A:R,18,FALSE)</f>
        <v>中科阿尔法</v>
      </c>
      <c r="J1972" s="139" t="str">
        <f>VLOOKUP(H1972,Stock_list!A:S,17,FALSE)</f>
        <v>C49SZX20200051SX</v>
      </c>
      <c r="K1972" s="51" t="str">
        <f>VLOOKUP(H1972,Stock_list!A:T,16,FALSE)</f>
        <v>RMB</v>
      </c>
      <c r="L1972" s="4">
        <v>43962</v>
      </c>
      <c r="M1972" s="132">
        <v>3</v>
      </c>
      <c r="P1972" s="4" t="str">
        <f>VLOOKUP(H1972,Stock_list!A:Y,25,FALSE)</f>
        <v>Yes</v>
      </c>
      <c r="Q1972" s="143"/>
      <c r="T1972" s="144"/>
      <c r="U1972" s="145" t="str">
        <f>VLOOKUP(H1972,Stock_list!A:N,14,FALSE)</f>
        <v>MAY 20</v>
      </c>
    </row>
    <row r="1973" spans="1:21" ht="16.5" customHeight="1">
      <c r="A1973" s="159" t="s">
        <v>2750</v>
      </c>
      <c r="B1973" s="114" t="str">
        <f>VLOOKUP(A1973,'Data pick slip'!B:F,5,FALSE)</f>
        <v>KHJ-MC600-00</v>
      </c>
      <c r="F1973" s="157" t="s">
        <v>2773</v>
      </c>
      <c r="H1973" s="138">
        <v>627</v>
      </c>
      <c r="I1973" s="139" t="str">
        <f>VLOOKUP(H1973,Stock_list!A:R,18,FALSE)</f>
        <v>中科阿尔法</v>
      </c>
      <c r="J1973" s="139" t="str">
        <f>VLOOKUP(H1973,Stock_list!A:S,17,FALSE)</f>
        <v>C49SZX20200051SX</v>
      </c>
      <c r="K1973" s="51" t="str">
        <f>VLOOKUP(H1973,Stock_list!A:T,16,FALSE)</f>
        <v>RMB</v>
      </c>
      <c r="L1973" s="4">
        <v>43962</v>
      </c>
      <c r="M1973" s="132">
        <v>2</v>
      </c>
      <c r="P1973" s="4" t="str">
        <f>VLOOKUP(H1973,Stock_list!A:Y,25,FALSE)</f>
        <v>Yes</v>
      </c>
      <c r="Q1973" s="143"/>
      <c r="T1973" s="144"/>
      <c r="U1973" s="145" t="str">
        <f>VLOOKUP(H1973,Stock_list!A:N,14,FALSE)</f>
        <v>MAY 20</v>
      </c>
    </row>
    <row r="1974" spans="1:21" ht="16.5" customHeight="1">
      <c r="A1974" s="159" t="s">
        <v>2744</v>
      </c>
      <c r="B1974" s="114" t="str">
        <f>VLOOKUP(A1974,'Data pick slip'!B:F,5,FALSE)</f>
        <v>KHJ-MC100-00</v>
      </c>
      <c r="C1974" s="132"/>
      <c r="F1974" s="157" t="s">
        <v>2773</v>
      </c>
      <c r="H1974" s="138">
        <v>632</v>
      </c>
      <c r="I1974" s="139" t="str">
        <f>VLOOKUP(H1974,Stock_list!A:R,18,FALSE)</f>
        <v>永顺创</v>
      </c>
      <c r="J1974" s="139" t="str">
        <f>VLOOKUP(H1974,Stock_list!A:S,17,FALSE)</f>
        <v>C49SZX20200055SX</v>
      </c>
      <c r="K1974" s="51" t="str">
        <f>VLOOKUP(H1974,Stock_list!A:T,16,FALSE)</f>
        <v>RMB</v>
      </c>
      <c r="L1974" s="4">
        <v>43957</v>
      </c>
      <c r="M1974" s="140">
        <v>20</v>
      </c>
      <c r="P1974" s="4" t="str">
        <f>VLOOKUP(H1974,Stock_list!A:Y,25,FALSE)</f>
        <v>Yes</v>
      </c>
      <c r="Q1974" s="143"/>
      <c r="T1974" s="144"/>
      <c r="U1974" s="145" t="str">
        <f>VLOOKUP(H1974,Stock_list!A:N,14,FALSE)</f>
        <v>MAY 20</v>
      </c>
    </row>
    <row r="1975" spans="1:21" ht="16.5" customHeight="1">
      <c r="A1975" s="159" t="s">
        <v>2756</v>
      </c>
      <c r="B1975" s="114" t="str">
        <f>VLOOKUP(A1975,'Data pick slip'!B:F,5,FALSE)</f>
        <v>KLJ-MC200-00</v>
      </c>
      <c r="C1975" s="132"/>
      <c r="F1975" s="157" t="s">
        <v>2773</v>
      </c>
      <c r="H1975" s="138">
        <v>632</v>
      </c>
      <c r="I1975" s="139" t="str">
        <f>VLOOKUP(H1975,Stock_list!A:R,18,FALSE)</f>
        <v>永顺创</v>
      </c>
      <c r="J1975" s="139" t="str">
        <f>VLOOKUP(H1975,Stock_list!A:S,17,FALSE)</f>
        <v>C49SZX20200055SX</v>
      </c>
      <c r="K1975" s="51" t="str">
        <f>VLOOKUP(H1975,Stock_list!A:T,16,FALSE)</f>
        <v>RMB</v>
      </c>
      <c r="L1975" s="4">
        <v>43957</v>
      </c>
      <c r="M1975" s="140">
        <v>15</v>
      </c>
      <c r="P1975" s="4" t="str">
        <f>VLOOKUP(H1975,Stock_list!A:Y,25,FALSE)</f>
        <v>Yes</v>
      </c>
      <c r="T1975" s="144"/>
      <c r="U1975" s="145" t="str">
        <f>VLOOKUP(H1975,Stock_list!A:N,14,FALSE)</f>
        <v>MAY 20</v>
      </c>
    </row>
    <row r="1976" spans="1:21" ht="16.5" customHeight="1">
      <c r="A1976" s="159" t="s">
        <v>2757</v>
      </c>
      <c r="B1976" s="114" t="str">
        <f>VLOOKUP(A1976,'Data pick slip'!B:F,5,FALSE)</f>
        <v>KLJ-MC400-00</v>
      </c>
      <c r="C1976" s="132"/>
      <c r="F1976" s="157" t="s">
        <v>2773</v>
      </c>
      <c r="H1976" s="138">
        <v>632</v>
      </c>
      <c r="I1976" s="139" t="str">
        <f>VLOOKUP(H1976,Stock_list!A:R,18,FALSE)</f>
        <v>永顺创</v>
      </c>
      <c r="J1976" s="139" t="str">
        <f>VLOOKUP(H1976,Stock_list!A:S,17,FALSE)</f>
        <v>C49SZX20200055SX</v>
      </c>
      <c r="K1976" s="51" t="str">
        <f>VLOOKUP(H1976,Stock_list!A:T,16,FALSE)</f>
        <v>RMB</v>
      </c>
      <c r="L1976" s="4">
        <v>43957</v>
      </c>
      <c r="M1976" s="140">
        <v>2</v>
      </c>
      <c r="P1976" s="4" t="str">
        <f>VLOOKUP(H1976,Stock_list!A:Y,25,FALSE)</f>
        <v>Yes</v>
      </c>
      <c r="Q1976" s="143"/>
      <c r="T1976" s="144"/>
      <c r="U1976" s="145" t="str">
        <f>VLOOKUP(H1976,Stock_list!A:N,14,FALSE)</f>
        <v>MAY 20</v>
      </c>
    </row>
    <row r="1977" spans="1:21" ht="16.5" customHeight="1">
      <c r="A1977" s="159" t="s">
        <v>2749</v>
      </c>
      <c r="B1977" s="114" t="str">
        <f>VLOOKUP(A1977,'Data pick slip'!B:F,5,FALSE)</f>
        <v>KHJ-MC500-00</v>
      </c>
      <c r="C1977" s="132"/>
      <c r="F1977" s="157" t="s">
        <v>2773</v>
      </c>
      <c r="H1977" s="138">
        <v>632</v>
      </c>
      <c r="I1977" s="139" t="str">
        <f>VLOOKUP(H1977,Stock_list!A:R,18,FALSE)</f>
        <v>永顺创</v>
      </c>
      <c r="J1977" s="139" t="str">
        <f>VLOOKUP(H1977,Stock_list!A:S,17,FALSE)</f>
        <v>C49SZX20200055SX</v>
      </c>
      <c r="K1977" s="51" t="str">
        <f>VLOOKUP(H1977,Stock_list!A:T,16,FALSE)</f>
        <v>RMB</v>
      </c>
      <c r="L1977" s="4">
        <v>43957</v>
      </c>
      <c r="M1977" s="140">
        <v>1</v>
      </c>
      <c r="P1977" s="4" t="str">
        <f>VLOOKUP(H1977,Stock_list!A:Y,25,FALSE)</f>
        <v>Yes</v>
      </c>
      <c r="Q1977" s="143"/>
      <c r="T1977" s="144"/>
      <c r="U1977" s="145" t="str">
        <f>VLOOKUP(H1977,Stock_list!A:N,14,FALSE)</f>
        <v>MAY 20</v>
      </c>
    </row>
    <row r="1978" spans="1:21" ht="16.5" customHeight="1">
      <c r="A1978" s="159" t="s">
        <v>2759</v>
      </c>
      <c r="B1978" s="114" t="str">
        <f>VLOOKUP(A1978,'Data pick slip'!B:F,5,FALSE)</f>
        <v>KLJ-MC600-00</v>
      </c>
      <c r="C1978" s="132"/>
      <c r="F1978" s="157" t="s">
        <v>2773</v>
      </c>
      <c r="H1978" s="138">
        <v>632</v>
      </c>
      <c r="I1978" s="139" t="str">
        <f>VLOOKUP(H1978,Stock_list!A:R,18,FALSE)</f>
        <v>永顺创</v>
      </c>
      <c r="J1978" s="139" t="str">
        <f>VLOOKUP(H1978,Stock_list!A:S,17,FALSE)</f>
        <v>C49SZX20200055SX</v>
      </c>
      <c r="K1978" s="51" t="str">
        <f>VLOOKUP(H1978,Stock_list!A:T,16,FALSE)</f>
        <v>RMB</v>
      </c>
      <c r="L1978" s="4">
        <v>43957</v>
      </c>
      <c r="M1978" s="140">
        <v>1</v>
      </c>
      <c r="P1978" s="4" t="str">
        <f>VLOOKUP(H1978,Stock_list!A:Y,25,FALSE)</f>
        <v>Yes</v>
      </c>
      <c r="Q1978" s="143"/>
      <c r="T1978" s="144"/>
      <c r="U1978" s="145" t="str">
        <f>VLOOKUP(H1978,Stock_list!A:N,14,FALSE)</f>
        <v>MAY 20</v>
      </c>
    </row>
    <row r="1979" spans="1:21" ht="16.5" customHeight="1">
      <c r="A1979" s="159" t="s">
        <v>2744</v>
      </c>
      <c r="B1979" s="114" t="str">
        <f>VLOOKUP(A1979,'Data pick slip'!B:F,5,FALSE)</f>
        <v>KHJ-MC100-00</v>
      </c>
      <c r="F1979" s="157" t="s">
        <v>2861</v>
      </c>
      <c r="H1979" s="138">
        <v>633</v>
      </c>
      <c r="I1979" s="139" t="str">
        <f>VLOOKUP(H1979,Stock_list!A:R,18,FALSE)</f>
        <v>海松微</v>
      </c>
      <c r="J1979" s="139" t="str">
        <f>VLOOKUP(H1979,Stock_list!A:S,17,FALSE)</f>
        <v>C49SZX20200046JY</v>
      </c>
      <c r="K1979" s="51" t="str">
        <f>VLOOKUP(H1979,Stock_list!A:T,16,FALSE)</f>
        <v>JPY</v>
      </c>
      <c r="L1979" s="4">
        <v>43949</v>
      </c>
      <c r="M1979" s="132">
        <v>20</v>
      </c>
      <c r="P1979" s="4" t="str">
        <f>VLOOKUP(H1979,Stock_list!A:Y,25,FALSE)</f>
        <v>Yes</v>
      </c>
      <c r="Q1979" s="143"/>
      <c r="T1979" s="144"/>
      <c r="U1979" s="145" t="str">
        <f>VLOOKUP(H1979,Stock_list!A:N,14,FALSE)</f>
        <v>APR 20</v>
      </c>
    </row>
    <row r="1980" spans="1:21" ht="16.5" customHeight="1">
      <c r="A1980" s="159" t="s">
        <v>2748</v>
      </c>
      <c r="B1980" s="114" t="str">
        <f>VLOOKUP(A1980,'Data pick slip'!B:F,5,FALSE)</f>
        <v>KHJ-MC400-00</v>
      </c>
      <c r="F1980" s="157" t="s">
        <v>2861</v>
      </c>
      <c r="H1980" s="138">
        <v>633</v>
      </c>
      <c r="I1980" s="139" t="str">
        <f>VLOOKUP(H1980,Stock_list!A:R,18,FALSE)</f>
        <v>海松微</v>
      </c>
      <c r="J1980" s="139" t="str">
        <f>VLOOKUP(H1980,Stock_list!A:S,17,FALSE)</f>
        <v>C49SZX20200046JY</v>
      </c>
      <c r="K1980" s="51" t="str">
        <f>VLOOKUP(H1980,Stock_list!A:T,16,FALSE)</f>
        <v>JPY</v>
      </c>
      <c r="L1980" s="4">
        <v>43949</v>
      </c>
      <c r="M1980" s="132">
        <v>2</v>
      </c>
      <c r="P1980" s="4" t="str">
        <f>VLOOKUP(H1980,Stock_list!A:Y,25,FALSE)</f>
        <v>Yes</v>
      </c>
      <c r="Q1980" s="143"/>
      <c r="T1980" s="144"/>
      <c r="U1980" s="145" t="str">
        <f>VLOOKUP(H1980,Stock_list!A:N,14,FALSE)</f>
        <v>APR 20</v>
      </c>
    </row>
    <row r="1981" spans="1:21" ht="16.5" customHeight="1">
      <c r="A1981" s="159" t="s">
        <v>2749</v>
      </c>
      <c r="B1981" s="114" t="str">
        <f>VLOOKUP(A1981,'Data pick slip'!B:F,5,FALSE)</f>
        <v>KHJ-MC500-00</v>
      </c>
      <c r="F1981" s="157" t="s">
        <v>2861</v>
      </c>
      <c r="H1981" s="138">
        <v>633</v>
      </c>
      <c r="I1981" s="139" t="str">
        <f>VLOOKUP(H1981,Stock_list!A:R,18,FALSE)</f>
        <v>海松微</v>
      </c>
      <c r="J1981" s="139" t="str">
        <f>VLOOKUP(H1981,Stock_list!A:S,17,FALSE)</f>
        <v>C49SZX20200046JY</v>
      </c>
      <c r="K1981" s="51" t="str">
        <f>VLOOKUP(H1981,Stock_list!A:T,16,FALSE)</f>
        <v>JPY</v>
      </c>
      <c r="L1981" s="4">
        <v>43949</v>
      </c>
      <c r="M1981" s="132">
        <v>1</v>
      </c>
      <c r="P1981" s="4" t="str">
        <f>VLOOKUP(H1981,Stock_list!A:Y,25,FALSE)</f>
        <v>Yes</v>
      </c>
      <c r="Q1981" s="143"/>
      <c r="T1981" s="144"/>
      <c r="U1981" s="145" t="str">
        <f>VLOOKUP(H1981,Stock_list!A:N,14,FALSE)</f>
        <v>APR 20</v>
      </c>
    </row>
    <row r="1982" spans="1:21" ht="16.5" customHeight="1">
      <c r="A1982" s="159" t="s">
        <v>2744</v>
      </c>
      <c r="B1982" s="114" t="str">
        <f>VLOOKUP(A1982,'Data pick slip'!B:F,5,FALSE)</f>
        <v>KHJ-MC100-00</v>
      </c>
      <c r="F1982" s="157" t="s">
        <v>2773</v>
      </c>
      <c r="H1982" s="138">
        <v>634</v>
      </c>
      <c r="I1982" s="139" t="str">
        <f>VLOOKUP(H1982,Stock_list!A:R,18,FALSE)</f>
        <v>和盛光电</v>
      </c>
      <c r="J1982" s="139" t="str">
        <f>VLOOKUP(H1982,Stock_list!A:S,17,FALSE)</f>
        <v>C49SZX20200011DZ</v>
      </c>
      <c r="K1982" s="51" t="str">
        <f>VLOOKUP(H1982,Stock_list!A:T,16,FALSE)</f>
        <v>RMB</v>
      </c>
      <c r="L1982" s="4">
        <v>43965</v>
      </c>
      <c r="M1982" s="132">
        <v>10</v>
      </c>
      <c r="P1982" s="4" t="str">
        <f>VLOOKUP(H1982,Stock_list!A:Y,25,FALSE)</f>
        <v>Yes</v>
      </c>
      <c r="Q1982" s="143"/>
      <c r="T1982" s="144"/>
      <c r="U1982" s="145" t="str">
        <f>VLOOKUP(H1982,Stock_list!A:N,14,FALSE)</f>
        <v>MAY 20</v>
      </c>
    </row>
    <row r="1983" spans="1:21" ht="16.5" customHeight="1">
      <c r="A1983" s="159" t="s">
        <v>2756</v>
      </c>
      <c r="B1983" s="114" t="str">
        <f>VLOOKUP(A1983,'Data pick slip'!B:F,5,FALSE)</f>
        <v>KLJ-MC200-00</v>
      </c>
      <c r="F1983" s="157" t="s">
        <v>2773</v>
      </c>
      <c r="H1983" s="138">
        <v>634</v>
      </c>
      <c r="I1983" s="139" t="str">
        <f>VLOOKUP(H1983,Stock_list!A:R,18,FALSE)</f>
        <v>和盛光电</v>
      </c>
      <c r="J1983" s="139" t="str">
        <f>VLOOKUP(H1983,Stock_list!A:S,17,FALSE)</f>
        <v>C49SZX20200011DZ</v>
      </c>
      <c r="K1983" s="51" t="str">
        <f>VLOOKUP(H1983,Stock_list!A:T,16,FALSE)</f>
        <v>RMB</v>
      </c>
      <c r="L1983" s="4">
        <v>43965</v>
      </c>
      <c r="M1983" s="132">
        <v>2</v>
      </c>
      <c r="P1983" s="4" t="str">
        <f>VLOOKUP(H1983,Stock_list!A:Y,25,FALSE)</f>
        <v>Yes</v>
      </c>
      <c r="T1983" s="144"/>
      <c r="U1983" s="145" t="str">
        <f>VLOOKUP(H1983,Stock_list!A:N,14,FALSE)</f>
        <v>MAY 20</v>
      </c>
    </row>
    <row r="1984" spans="1:21" ht="16.5" customHeight="1">
      <c r="A1984" s="159" t="s">
        <v>2757</v>
      </c>
      <c r="B1984" s="114" t="str">
        <f>VLOOKUP(A1984,'Data pick slip'!B:F,5,FALSE)</f>
        <v>KLJ-MC400-00</v>
      </c>
      <c r="F1984" s="157" t="s">
        <v>2773</v>
      </c>
      <c r="H1984" s="138">
        <v>634</v>
      </c>
      <c r="I1984" s="139" t="str">
        <f>VLOOKUP(H1984,Stock_list!A:R,18,FALSE)</f>
        <v>和盛光电</v>
      </c>
      <c r="J1984" s="139" t="str">
        <f>VLOOKUP(H1984,Stock_list!A:S,17,FALSE)</f>
        <v>C49SZX20200011DZ</v>
      </c>
      <c r="K1984" s="51" t="str">
        <f>VLOOKUP(H1984,Stock_list!A:T,16,FALSE)</f>
        <v>RMB</v>
      </c>
      <c r="L1984" s="4">
        <v>43965</v>
      </c>
      <c r="M1984" s="132">
        <v>1</v>
      </c>
      <c r="P1984" s="4" t="str">
        <f>VLOOKUP(H1984,Stock_list!A:Y,25,FALSE)</f>
        <v>Yes</v>
      </c>
      <c r="Q1984" s="143"/>
      <c r="T1984" s="144"/>
      <c r="U1984" s="145" t="str">
        <f>VLOOKUP(H1984,Stock_list!A:N,14,FALSE)</f>
        <v>MAY 20</v>
      </c>
    </row>
    <row r="1985" spans="1:21" ht="16.5" customHeight="1">
      <c r="A1985" s="159" t="s">
        <v>2744</v>
      </c>
      <c r="B1985" s="114" t="str">
        <f>VLOOKUP(A1985,'Data pick slip'!B:F,5,FALSE)</f>
        <v>KHJ-MC100-00</v>
      </c>
      <c r="F1985" s="157" t="s">
        <v>2773</v>
      </c>
      <c r="H1985" s="138">
        <v>635</v>
      </c>
      <c r="I1985" s="139" t="str">
        <f>VLOOKUP(H1985,Stock_list!A:R,18,FALSE)</f>
        <v>融创新合</v>
      </c>
      <c r="J1985" s="139" t="str">
        <f>VLOOKUP(H1985,Stock_list!A:S,17,FALSE)</f>
        <v>C49SZX20200047MZ</v>
      </c>
      <c r="K1985" s="51" t="str">
        <f>VLOOKUP(H1985,Stock_list!A:T,16,FALSE)</f>
        <v>RMB</v>
      </c>
      <c r="L1985" s="4">
        <v>43965</v>
      </c>
      <c r="M1985" s="132">
        <v>80</v>
      </c>
      <c r="P1985" s="4" t="str">
        <f>VLOOKUP(H1985,Stock_list!A:Y,25,FALSE)</f>
        <v>Yes</v>
      </c>
      <c r="Q1985" s="143"/>
      <c r="T1985" s="144"/>
      <c r="U1985" s="145" t="str">
        <f>VLOOKUP(H1985,Stock_list!A:N,14,FALSE)</f>
        <v>MAY 20</v>
      </c>
    </row>
    <row r="1986" spans="1:21" ht="16.5" customHeight="1">
      <c r="A1986" s="159" t="s">
        <v>2756</v>
      </c>
      <c r="B1986" s="114" t="str">
        <f>VLOOKUP(A1986,'Data pick slip'!B:F,5,FALSE)</f>
        <v>KLJ-MC200-00</v>
      </c>
      <c r="F1986" s="157" t="s">
        <v>2773</v>
      </c>
      <c r="H1986" s="138">
        <v>635</v>
      </c>
      <c r="I1986" s="139" t="str">
        <f>VLOOKUP(H1986,Stock_list!A:R,18,FALSE)</f>
        <v>融创新合</v>
      </c>
      <c r="J1986" s="139" t="str">
        <f>VLOOKUP(H1986,Stock_list!A:S,17,FALSE)</f>
        <v>C49SZX20200047MZ</v>
      </c>
      <c r="K1986" s="51" t="str">
        <f>VLOOKUP(H1986,Stock_list!A:T,16,FALSE)</f>
        <v>RMB</v>
      </c>
      <c r="L1986" s="4">
        <v>43965</v>
      </c>
      <c r="M1986" s="132">
        <v>15</v>
      </c>
      <c r="P1986" s="4" t="str">
        <f>VLOOKUP(H1986,Stock_list!A:Y,25,FALSE)</f>
        <v>Yes</v>
      </c>
      <c r="T1986" s="144"/>
      <c r="U1986" s="145" t="str">
        <f>VLOOKUP(H1986,Stock_list!A:N,14,FALSE)</f>
        <v>MAY 20</v>
      </c>
    </row>
    <row r="1987" spans="1:21" ht="16.5" customHeight="1">
      <c r="A1987" s="159" t="s">
        <v>2757</v>
      </c>
      <c r="B1987" s="114" t="str">
        <f>VLOOKUP(A1987,'Data pick slip'!B:F,5,FALSE)</f>
        <v>KLJ-MC400-00</v>
      </c>
      <c r="F1987" s="157" t="s">
        <v>2773</v>
      </c>
      <c r="H1987" s="138">
        <v>635</v>
      </c>
      <c r="I1987" s="139" t="str">
        <f>VLOOKUP(H1987,Stock_list!A:R,18,FALSE)</f>
        <v>融创新合</v>
      </c>
      <c r="J1987" s="139" t="str">
        <f>VLOOKUP(H1987,Stock_list!A:S,17,FALSE)</f>
        <v>C49SZX20200047MZ</v>
      </c>
      <c r="K1987" s="51" t="str">
        <f>VLOOKUP(H1987,Stock_list!A:T,16,FALSE)</f>
        <v>RMB</v>
      </c>
      <c r="L1987" s="4">
        <v>43965</v>
      </c>
      <c r="M1987" s="132">
        <v>3</v>
      </c>
      <c r="P1987" s="4" t="str">
        <f>VLOOKUP(H1987,Stock_list!A:Y,25,FALSE)</f>
        <v>Yes</v>
      </c>
      <c r="Q1987" s="143"/>
      <c r="T1987" s="144"/>
      <c r="U1987" s="145" t="str">
        <f>VLOOKUP(H1987,Stock_list!A:N,14,FALSE)</f>
        <v>MAY 20</v>
      </c>
    </row>
    <row r="1988" spans="1:21" ht="16.5" customHeight="1">
      <c r="A1988" s="159" t="s">
        <v>2749</v>
      </c>
      <c r="B1988" s="114" t="str">
        <f>VLOOKUP(A1988,'Data pick slip'!B:F,5,FALSE)</f>
        <v>KHJ-MC500-00</v>
      </c>
      <c r="F1988" s="157" t="s">
        <v>2773</v>
      </c>
      <c r="H1988" s="138">
        <v>635</v>
      </c>
      <c r="I1988" s="139" t="str">
        <f>VLOOKUP(H1988,Stock_list!A:R,18,FALSE)</f>
        <v>融创新合</v>
      </c>
      <c r="J1988" s="139" t="str">
        <f>VLOOKUP(H1988,Stock_list!A:S,17,FALSE)</f>
        <v>C49SZX20200047MZ</v>
      </c>
      <c r="K1988" s="51" t="str">
        <f>VLOOKUP(H1988,Stock_list!A:T,16,FALSE)</f>
        <v>RMB</v>
      </c>
      <c r="L1988" s="4">
        <v>43965</v>
      </c>
      <c r="M1988" s="132">
        <v>1</v>
      </c>
      <c r="P1988" s="4" t="str">
        <f>VLOOKUP(H1988,Stock_list!A:Y,25,FALSE)</f>
        <v>Yes</v>
      </c>
      <c r="Q1988" s="143"/>
      <c r="T1988" s="144"/>
      <c r="U1988" s="145" t="str">
        <f>VLOOKUP(H1988,Stock_list!A:N,14,FALSE)</f>
        <v>MAY 20</v>
      </c>
    </row>
    <row r="1989" spans="1:21" ht="16.5" customHeight="1">
      <c r="A1989" s="159" t="s">
        <v>2744</v>
      </c>
      <c r="B1989" s="114" t="str">
        <f>VLOOKUP(A1989,'Data pick slip'!B:F,5,FALSE)</f>
        <v>KHJ-MC100-00</v>
      </c>
      <c r="F1989" s="157" t="s">
        <v>2861</v>
      </c>
      <c r="I1989" s="139" t="s">
        <v>3015</v>
      </c>
      <c r="J1989" s="139" t="s">
        <v>3267</v>
      </c>
      <c r="K1989" s="51" t="s">
        <v>1246</v>
      </c>
      <c r="L1989" s="4">
        <v>43941</v>
      </c>
      <c r="M1989" s="140">
        <v>80</v>
      </c>
      <c r="P1989" s="4" t="s">
        <v>291</v>
      </c>
      <c r="Q1989" s="143"/>
      <c r="T1989" s="144"/>
      <c r="U1989" s="145" t="e">
        <f>VLOOKUP(H1989,Stock_list!A:N,14,FALSE)</f>
        <v>#N/A</v>
      </c>
    </row>
    <row r="1990" spans="1:21" ht="16.5" customHeight="1">
      <c r="A1990" s="159" t="s">
        <v>2744</v>
      </c>
      <c r="B1990" s="114" t="str">
        <f>VLOOKUP(A1990,'Data pick slip'!B:F,5,FALSE)</f>
        <v>KHJ-MC100-00</v>
      </c>
      <c r="F1990" s="157" t="s">
        <v>2861</v>
      </c>
      <c r="I1990" s="139" t="s">
        <v>3015</v>
      </c>
      <c r="J1990" s="139" t="s">
        <v>3267</v>
      </c>
      <c r="K1990" s="51" t="s">
        <v>1246</v>
      </c>
      <c r="L1990" s="4">
        <v>43941</v>
      </c>
      <c r="M1990" s="140">
        <v>120</v>
      </c>
      <c r="P1990" s="4" t="s">
        <v>291</v>
      </c>
      <c r="Q1990" s="143"/>
      <c r="T1990" s="144"/>
      <c r="U1990" s="145" t="e">
        <f>VLOOKUP(H1990,Stock_list!A:N,14,FALSE)</f>
        <v>#N/A</v>
      </c>
    </row>
    <row r="1991" spans="1:21" ht="16.5" customHeight="1">
      <c r="A1991" s="159" t="s">
        <v>2747</v>
      </c>
      <c r="B1991" s="114" t="str">
        <f>VLOOKUP(A1991,'Data pick slip'!B:F,5,FALSE)</f>
        <v>KHJ-MC200-00</v>
      </c>
      <c r="F1991" s="157" t="s">
        <v>2861</v>
      </c>
      <c r="I1991" s="139" t="s">
        <v>3015</v>
      </c>
      <c r="J1991" s="139" t="s">
        <v>3267</v>
      </c>
      <c r="K1991" s="51" t="s">
        <v>1246</v>
      </c>
      <c r="L1991" s="4">
        <v>43941</v>
      </c>
      <c r="M1991" s="140">
        <v>25</v>
      </c>
      <c r="P1991" s="4" t="s">
        <v>291</v>
      </c>
      <c r="Q1991" s="143"/>
      <c r="T1991" s="144"/>
      <c r="U1991" s="145" t="e">
        <f>VLOOKUP(H1991,Stock_list!A:N,14,FALSE)</f>
        <v>#N/A</v>
      </c>
    </row>
    <row r="1992" spans="1:21" ht="16.5" customHeight="1">
      <c r="A1992" s="159" t="s">
        <v>2748</v>
      </c>
      <c r="B1992" s="114" t="str">
        <f>VLOOKUP(A1992,'Data pick slip'!B:F,5,FALSE)</f>
        <v>KHJ-MC400-00</v>
      </c>
      <c r="F1992" s="157" t="s">
        <v>2861</v>
      </c>
      <c r="I1992" s="139" t="s">
        <v>3015</v>
      </c>
      <c r="J1992" s="139" t="s">
        <v>3267</v>
      </c>
      <c r="K1992" s="51" t="s">
        <v>1246</v>
      </c>
      <c r="L1992" s="4">
        <v>43941</v>
      </c>
      <c r="M1992" s="140">
        <v>2</v>
      </c>
      <c r="P1992" s="4" t="s">
        <v>291</v>
      </c>
      <c r="Q1992" s="143"/>
      <c r="T1992" s="144"/>
      <c r="U1992" s="145" t="e">
        <f>VLOOKUP(H1992,Stock_list!A:N,14,FALSE)</f>
        <v>#N/A</v>
      </c>
    </row>
    <row r="1993" spans="1:21" ht="16.5" customHeight="1">
      <c r="A1993" s="159" t="s">
        <v>2749</v>
      </c>
      <c r="B1993" s="114" t="str">
        <f>VLOOKUP(A1993,'Data pick slip'!B:F,5,FALSE)</f>
        <v>KHJ-MC500-00</v>
      </c>
      <c r="F1993" s="157" t="s">
        <v>2861</v>
      </c>
      <c r="I1993" s="139" t="s">
        <v>3015</v>
      </c>
      <c r="J1993" s="139" t="s">
        <v>3267</v>
      </c>
      <c r="K1993" s="51" t="s">
        <v>1246</v>
      </c>
      <c r="L1993" s="4">
        <v>43941</v>
      </c>
      <c r="M1993" s="140">
        <v>15</v>
      </c>
      <c r="P1993" s="4" t="s">
        <v>291</v>
      </c>
      <c r="Q1993" s="143"/>
      <c r="T1993" s="144"/>
      <c r="U1993" s="145" t="e">
        <f>VLOOKUP(H1993,Stock_list!A:N,14,FALSE)</f>
        <v>#N/A</v>
      </c>
    </row>
    <row r="1994" spans="1:21" ht="16.5" customHeight="1">
      <c r="A1994" s="159" t="s">
        <v>2750</v>
      </c>
      <c r="B1994" s="114" t="str">
        <f>VLOOKUP(A1994,'Data pick slip'!B:F,5,FALSE)</f>
        <v>KHJ-MC600-00</v>
      </c>
      <c r="F1994" s="157" t="s">
        <v>2861</v>
      </c>
      <c r="I1994" s="139" t="s">
        <v>3015</v>
      </c>
      <c r="J1994" s="139" t="s">
        <v>3267</v>
      </c>
      <c r="K1994" s="51" t="s">
        <v>1246</v>
      </c>
      <c r="L1994" s="4">
        <v>43941</v>
      </c>
      <c r="M1994" s="140">
        <v>5</v>
      </c>
      <c r="P1994" s="4" t="s">
        <v>291</v>
      </c>
      <c r="Q1994" s="143"/>
      <c r="T1994" s="144"/>
      <c r="U1994" s="145" t="e">
        <f>VLOOKUP(H1994,Stock_list!A:N,14,FALSE)</f>
        <v>#N/A</v>
      </c>
    </row>
    <row r="1995" spans="1:21" ht="16.5" customHeight="1">
      <c r="A1995" s="159" t="s">
        <v>2744</v>
      </c>
      <c r="B1995" s="114" t="str">
        <f>VLOOKUP(A1995,'Data pick slip'!B:F,5,FALSE)</f>
        <v>KHJ-MC100-00</v>
      </c>
      <c r="F1995" s="157" t="s">
        <v>2861</v>
      </c>
      <c r="H1995" s="138">
        <v>637</v>
      </c>
      <c r="I1995" s="139" t="str">
        <f>VLOOKUP(H1995,Stock_list!A:R,18,FALSE)</f>
        <v>弛瑞</v>
      </c>
      <c r="J1995" s="139" t="str">
        <f>VLOOKUP(H1995,Stock_list!A:S,17,FALSE)</f>
        <v>C49SZX20200053SS</v>
      </c>
      <c r="K1995" s="51" t="str">
        <f>VLOOKUP(H1995,Stock_list!A:T,16,FALSE)</f>
        <v>JPY</v>
      </c>
      <c r="L1995" s="4">
        <v>43984</v>
      </c>
      <c r="M1995" s="132">
        <v>10</v>
      </c>
      <c r="P1995" s="4" t="s">
        <v>291</v>
      </c>
      <c r="Q1995" s="143"/>
      <c r="T1995" s="144"/>
      <c r="U1995" s="145" t="str">
        <f>VLOOKUP(H1995,Stock_list!A:N,14,FALSE)</f>
        <v>JUN 20</v>
      </c>
    </row>
    <row r="1996" spans="1:21" ht="16.5" customHeight="1">
      <c r="A1996" s="159" t="s">
        <v>2744</v>
      </c>
      <c r="B1996" s="114" t="str">
        <f>VLOOKUP(A1996,'Data pick slip'!B:F,5,FALSE)</f>
        <v>KHJ-MC100-00</v>
      </c>
      <c r="F1996" s="157" t="s">
        <v>2773</v>
      </c>
      <c r="I1996" s="139" t="s">
        <v>3099</v>
      </c>
      <c r="J1996" s="139" t="s">
        <v>3268</v>
      </c>
      <c r="K1996" s="51" t="s">
        <v>1246</v>
      </c>
      <c r="L1996" s="4">
        <v>43949</v>
      </c>
      <c r="M1996" s="140">
        <v>20</v>
      </c>
      <c r="P1996" s="4" t="s">
        <v>291</v>
      </c>
      <c r="Q1996" s="143"/>
      <c r="T1996" s="144"/>
      <c r="U1996" s="145" t="e">
        <f>VLOOKUP(H1996,Stock_list!A:N,14,FALSE)</f>
        <v>#N/A</v>
      </c>
    </row>
    <row r="1997" spans="1:21" ht="16.5" customHeight="1">
      <c r="A1997" s="159" t="s">
        <v>2749</v>
      </c>
      <c r="B1997" s="114" t="str">
        <f>VLOOKUP(A1997,'Data pick slip'!B:F,5,FALSE)</f>
        <v>KHJ-MC500-00</v>
      </c>
      <c r="F1997" s="157" t="s">
        <v>2773</v>
      </c>
      <c r="I1997" s="139" t="s">
        <v>3099</v>
      </c>
      <c r="J1997" s="139" t="s">
        <v>3269</v>
      </c>
      <c r="K1997" s="51" t="s">
        <v>1246</v>
      </c>
      <c r="L1997" s="4">
        <v>43949</v>
      </c>
      <c r="M1997" s="140">
        <v>1</v>
      </c>
      <c r="P1997" s="4" t="s">
        <v>291</v>
      </c>
      <c r="Q1997" s="143"/>
      <c r="T1997" s="144"/>
      <c r="U1997" s="145" t="e">
        <f>VLOOKUP(H1997,Stock_list!A:N,14,FALSE)</f>
        <v>#N/A</v>
      </c>
    </row>
    <row r="1998" spans="1:21" ht="16.5" customHeight="1">
      <c r="A1998" s="159" t="s">
        <v>2747</v>
      </c>
      <c r="B1998" s="114" t="str">
        <f>VLOOKUP(A1998,'Data pick slip'!B:F,5,FALSE)</f>
        <v>KHJ-MC200-00</v>
      </c>
      <c r="F1998" s="157" t="s">
        <v>2773</v>
      </c>
      <c r="I1998" s="139" t="s">
        <v>3099</v>
      </c>
      <c r="J1998" s="139" t="s">
        <v>3269</v>
      </c>
      <c r="K1998" s="51" t="s">
        <v>1246</v>
      </c>
      <c r="L1998" s="4">
        <v>43949</v>
      </c>
      <c r="M1998" s="140">
        <v>10</v>
      </c>
      <c r="P1998" s="4" t="s">
        <v>291</v>
      </c>
      <c r="Q1998" s="143"/>
      <c r="T1998" s="144"/>
      <c r="U1998" s="145" t="e">
        <f>VLOOKUP(H1998,Stock_list!A:N,14,FALSE)</f>
        <v>#N/A</v>
      </c>
    </row>
    <row r="1999" spans="1:21" ht="16.5" customHeight="1">
      <c r="A1999" s="159" t="s">
        <v>2744</v>
      </c>
      <c r="B1999" s="114" t="str">
        <f>VLOOKUP(A1999,'Data pick slip'!B:F,5,FALSE)</f>
        <v>KHJ-MC100-00</v>
      </c>
      <c r="F1999" s="157" t="s">
        <v>2861</v>
      </c>
      <c r="I1999" s="139" t="s">
        <v>3015</v>
      </c>
      <c r="J1999" s="139" t="s">
        <v>3270</v>
      </c>
      <c r="K1999" s="51" t="s">
        <v>1246</v>
      </c>
      <c r="L1999" s="4">
        <v>43949</v>
      </c>
      <c r="M1999" s="140">
        <v>100</v>
      </c>
      <c r="P1999" s="4" t="s">
        <v>291</v>
      </c>
      <c r="Q1999" s="143"/>
      <c r="T1999" s="144"/>
      <c r="U1999" s="145" t="e">
        <f>VLOOKUP(H1999,Stock_list!A:N,14,FALSE)</f>
        <v>#N/A</v>
      </c>
    </row>
    <row r="2000" spans="1:21" ht="16.5" customHeight="1">
      <c r="A2000" s="159" t="s">
        <v>2744</v>
      </c>
      <c r="B2000" s="114" t="str">
        <f>VLOOKUP(A2000,'Data pick slip'!B:F,5,FALSE)</f>
        <v>KHJ-MC100-00</v>
      </c>
      <c r="F2000" s="157" t="s">
        <v>2773</v>
      </c>
      <c r="I2000" s="139" t="s">
        <v>3099</v>
      </c>
      <c r="J2000" s="139" t="s">
        <v>3271</v>
      </c>
      <c r="K2000" s="51" t="s">
        <v>1246</v>
      </c>
      <c r="L2000" s="4">
        <v>43945</v>
      </c>
      <c r="M2000" s="140">
        <v>8</v>
      </c>
      <c r="P2000" s="4" t="s">
        <v>291</v>
      </c>
      <c r="Q2000" s="143"/>
      <c r="T2000" s="144"/>
      <c r="U2000" s="145" t="e">
        <f>VLOOKUP(H2000,Stock_list!A:N,14,FALSE)</f>
        <v>#N/A</v>
      </c>
    </row>
    <row r="2001" spans="1:21" ht="16.5" customHeight="1">
      <c r="A2001" s="159" t="s">
        <v>2747</v>
      </c>
      <c r="B2001" s="114" t="str">
        <f>VLOOKUP(A2001,'Data pick slip'!B:F,5,FALSE)</f>
        <v>KHJ-MC200-00</v>
      </c>
      <c r="F2001" s="157" t="s">
        <v>2773</v>
      </c>
      <c r="I2001" s="139" t="s">
        <v>3099</v>
      </c>
      <c r="J2001" s="139" t="s">
        <v>3271</v>
      </c>
      <c r="K2001" s="51" t="s">
        <v>1246</v>
      </c>
      <c r="L2001" s="4">
        <v>43945</v>
      </c>
      <c r="M2001" s="140">
        <v>5</v>
      </c>
      <c r="P2001" s="4" t="s">
        <v>291</v>
      </c>
      <c r="Q2001" s="143"/>
      <c r="T2001" s="144"/>
      <c r="U2001" s="145" t="e">
        <f>VLOOKUP(H2001,Stock_list!A:N,14,FALSE)</f>
        <v>#N/A</v>
      </c>
    </row>
    <row r="2002" spans="1:21" ht="16.5" customHeight="1">
      <c r="A2002" s="159" t="s">
        <v>2744</v>
      </c>
      <c r="B2002" s="114" t="str">
        <f>VLOOKUP(A2002,'Data pick slip'!B:F,5,FALSE)</f>
        <v>KHJ-MC100-00</v>
      </c>
      <c r="F2002" s="157" t="s">
        <v>2773</v>
      </c>
      <c r="H2002" s="138">
        <v>638</v>
      </c>
      <c r="I2002" s="139" t="str">
        <f>VLOOKUP(H2002,Stock_list!A:R,18,FALSE)</f>
        <v>星辰宇</v>
      </c>
      <c r="J2002" s="139" t="str">
        <f>VLOOKUP(H2002,Stock_list!A:S,17,FALSE)</f>
        <v>C49SZX20200043CY</v>
      </c>
      <c r="K2002" s="51" t="str">
        <f>VLOOKUP(H2002,Stock_list!A:T,16,FALSE)</f>
        <v>RMB</v>
      </c>
      <c r="L2002" s="4">
        <v>43979</v>
      </c>
      <c r="M2002" s="132">
        <v>30</v>
      </c>
      <c r="P2002" s="4" t="str">
        <f>VLOOKUP(H2002,Stock_list!A:Y,25,FALSE)</f>
        <v>Yes</v>
      </c>
      <c r="Q2002" s="143"/>
      <c r="T2002" s="144"/>
      <c r="U2002" s="145" t="str">
        <f>VLOOKUP(H2002,Stock_list!A:N,14,FALSE)</f>
        <v>MAY 20</v>
      </c>
    </row>
    <row r="2003" spans="1:21" ht="16.5" customHeight="1">
      <c r="A2003" s="159" t="s">
        <v>2756</v>
      </c>
      <c r="B2003" s="114" t="str">
        <f>VLOOKUP(A2003,'Data pick slip'!B:F,5,FALSE)</f>
        <v>KLJ-MC200-00</v>
      </c>
      <c r="F2003" s="157" t="s">
        <v>2773</v>
      </c>
      <c r="H2003" s="138">
        <v>638</v>
      </c>
      <c r="I2003" s="139" t="str">
        <f>VLOOKUP(H2003,Stock_list!A:R,18,FALSE)</f>
        <v>星辰宇</v>
      </c>
      <c r="J2003" s="139" t="str">
        <f>VLOOKUP(H2003,Stock_list!A:S,17,FALSE)</f>
        <v>C49SZX20200043CY</v>
      </c>
      <c r="K2003" s="51" t="str">
        <f>VLOOKUP(H2003,Stock_list!A:T,16,FALSE)</f>
        <v>RMB</v>
      </c>
      <c r="L2003" s="4">
        <v>43979</v>
      </c>
      <c r="M2003" s="132">
        <v>3</v>
      </c>
      <c r="P2003" s="4" t="str">
        <f>VLOOKUP(H2003,Stock_list!A:Y,25,FALSE)</f>
        <v>Yes</v>
      </c>
      <c r="T2003" s="144"/>
      <c r="U2003" s="145" t="str">
        <f>VLOOKUP(H2003,Stock_list!A:N,14,FALSE)</f>
        <v>MAY 20</v>
      </c>
    </row>
    <row r="2004" spans="1:21" ht="16.5" customHeight="1">
      <c r="A2004" s="159" t="s">
        <v>2744</v>
      </c>
      <c r="B2004" s="114" t="str">
        <f>VLOOKUP(A2004,'Data pick slip'!B:F,5,FALSE)</f>
        <v>KHJ-MC100-00</v>
      </c>
      <c r="F2004" s="157" t="s">
        <v>2861</v>
      </c>
      <c r="H2004" s="138">
        <v>639</v>
      </c>
      <c r="I2004" s="139" t="str">
        <f>VLOOKUP(H2004,Stock_list!A:R,18,FALSE)</f>
        <v>创荣发</v>
      </c>
      <c r="J2004" s="139" t="str">
        <f>VLOOKUP(H2004,Stock_list!A:S,17,FALSE)</f>
        <v>C49SZX20200052JY</v>
      </c>
      <c r="K2004" s="51" t="str">
        <f>VLOOKUP(H2004,Stock_list!A:T,16,FALSE)</f>
        <v>JPY</v>
      </c>
      <c r="L2004" s="4">
        <v>43980</v>
      </c>
      <c r="M2004" s="132">
        <v>110</v>
      </c>
      <c r="P2004" s="4" t="str">
        <f>VLOOKUP(H2004,Stock_list!A:Y,25,FALSE)</f>
        <v>Yes</v>
      </c>
      <c r="Q2004" s="143"/>
      <c r="T2004" s="144"/>
      <c r="U2004" s="145" t="str">
        <f>VLOOKUP(H2004,Stock_list!A:N,14,FALSE)</f>
        <v>MAY 20</v>
      </c>
    </row>
    <row r="2005" spans="1:21" ht="16.5" customHeight="1">
      <c r="A2005" s="159" t="s">
        <v>2747</v>
      </c>
      <c r="B2005" s="114" t="str">
        <f>VLOOKUP(A2005,'Data pick slip'!B:F,5,FALSE)</f>
        <v>KHJ-MC200-00</v>
      </c>
      <c r="F2005" s="157" t="s">
        <v>2773</v>
      </c>
      <c r="H2005" s="138">
        <v>639</v>
      </c>
      <c r="I2005" s="139" t="str">
        <f>VLOOKUP(H2005,Stock_list!A:R,18,FALSE)</f>
        <v>创荣发</v>
      </c>
      <c r="J2005" s="139" t="str">
        <f>VLOOKUP(H2005,Stock_list!A:S,17,FALSE)</f>
        <v>C49SZX20200052JY</v>
      </c>
      <c r="K2005" s="51" t="str">
        <f>VLOOKUP(H2005,Stock_list!A:T,16,FALSE)</f>
        <v>JPY</v>
      </c>
      <c r="L2005" s="4">
        <v>43980</v>
      </c>
      <c r="M2005" s="132">
        <v>20</v>
      </c>
      <c r="P2005" s="4" t="str">
        <f>VLOOKUP(H2005,Stock_list!A:Y,25,FALSE)</f>
        <v>Yes</v>
      </c>
      <c r="Q2005" s="143"/>
      <c r="S2005" s="123" t="s">
        <v>3003</v>
      </c>
      <c r="T2005" s="205" t="s">
        <v>3272</v>
      </c>
      <c r="U2005" s="145" t="str">
        <f>VLOOKUP(H2005,Stock_list!A:N,14,FALSE)</f>
        <v>MAY 20</v>
      </c>
    </row>
    <row r="2006" spans="1:21" ht="16.5" customHeight="1">
      <c r="A2006" s="159" t="s">
        <v>2748</v>
      </c>
      <c r="B2006" s="114" t="str">
        <f>VLOOKUP(A2006,'Data pick slip'!B:F,5,FALSE)</f>
        <v>KHJ-MC400-00</v>
      </c>
      <c r="F2006" s="157" t="s">
        <v>2773</v>
      </c>
      <c r="H2006" s="138">
        <v>639</v>
      </c>
      <c r="I2006" s="139" t="str">
        <f>VLOOKUP(H2006,Stock_list!A:R,18,FALSE)</f>
        <v>创荣发</v>
      </c>
      <c r="J2006" s="139" t="str">
        <f>VLOOKUP(H2006,Stock_list!A:S,17,FALSE)</f>
        <v>C49SZX20200052JY</v>
      </c>
      <c r="K2006" s="51" t="str">
        <f>VLOOKUP(H2006,Stock_list!A:T,16,FALSE)</f>
        <v>JPY</v>
      </c>
      <c r="L2006" s="4">
        <v>43980</v>
      </c>
      <c r="M2006" s="132">
        <v>2</v>
      </c>
      <c r="P2006" s="4" t="str">
        <f>VLOOKUP(H2006,Stock_list!A:Y,25,FALSE)</f>
        <v>Yes</v>
      </c>
      <c r="Q2006" s="143"/>
      <c r="S2006" s="123" t="s">
        <v>3003</v>
      </c>
      <c r="T2006" s="205" t="s">
        <v>3273</v>
      </c>
      <c r="U2006" s="145" t="str">
        <f>VLOOKUP(H2006,Stock_list!A:N,14,FALSE)</f>
        <v>MAY 20</v>
      </c>
    </row>
    <row r="2007" spans="1:21" ht="16.5" customHeight="1">
      <c r="A2007" s="159" t="s">
        <v>2756</v>
      </c>
      <c r="B2007" s="114" t="str">
        <f>VLOOKUP(A2007,'Data pick slip'!B:F,5,FALSE)</f>
        <v>KLJ-MC200-00</v>
      </c>
      <c r="F2007" s="157" t="s">
        <v>2773</v>
      </c>
      <c r="I2007" s="139" t="s">
        <v>3099</v>
      </c>
      <c r="J2007" s="139" t="s">
        <v>3274</v>
      </c>
      <c r="K2007" s="51" t="s">
        <v>1246</v>
      </c>
      <c r="L2007" s="4">
        <v>43951</v>
      </c>
      <c r="M2007" s="140">
        <v>3</v>
      </c>
      <c r="P2007" s="4" t="s">
        <v>291</v>
      </c>
      <c r="T2007" s="144"/>
      <c r="U2007" s="145" t="e">
        <f>VLOOKUP(H2007,Stock_list!A:N,14,FALSE)</f>
        <v>#N/A</v>
      </c>
    </row>
    <row r="2008" spans="1:21" ht="16.5" customHeight="1">
      <c r="A2008" s="159" t="s">
        <v>2757</v>
      </c>
      <c r="B2008" s="114" t="str">
        <f>VLOOKUP(A2008,'Data pick slip'!B:F,5,FALSE)</f>
        <v>KLJ-MC400-00</v>
      </c>
      <c r="F2008" s="157" t="s">
        <v>2861</v>
      </c>
      <c r="H2008" s="138">
        <v>641</v>
      </c>
      <c r="I2008" s="139" t="str">
        <f>VLOOKUP(H2008,Stock_list!A:R,18,FALSE)</f>
        <v>天星创展</v>
      </c>
      <c r="J2008" s="139" t="str">
        <f>VLOOKUP(H2008,Stock_list!A:S,17,FALSE)</f>
        <v>C49SZX20200056MZ</v>
      </c>
      <c r="K2008" s="51" t="str">
        <f>VLOOKUP(H2008,Stock_list!A:T,16,FALSE)</f>
        <v>JPY</v>
      </c>
      <c r="L2008" s="4">
        <v>43965</v>
      </c>
      <c r="M2008" s="132">
        <v>5</v>
      </c>
      <c r="P2008" s="4" t="str">
        <f>VLOOKUP(H2008,Stock_list!A:Y,25,FALSE)</f>
        <v>Yes</v>
      </c>
      <c r="Q2008" s="146"/>
      <c r="T2008" s="144"/>
      <c r="U2008" s="145" t="str">
        <f>VLOOKUP(H2008,Stock_list!A:N,14,FALSE)</f>
        <v>MAY 20</v>
      </c>
    </row>
    <row r="2009" spans="1:21" ht="16.5" customHeight="1">
      <c r="A2009" s="159" t="s">
        <v>2744</v>
      </c>
      <c r="B2009" s="114" t="str">
        <f>VLOOKUP(A2009,'Data pick slip'!B:F,5,FALSE)</f>
        <v>KHJ-MC100-00</v>
      </c>
      <c r="F2009" s="157" t="s">
        <v>2861</v>
      </c>
      <c r="I2009" s="139" t="s">
        <v>3015</v>
      </c>
      <c r="J2009" s="139" t="s">
        <v>3275</v>
      </c>
      <c r="K2009" s="51" t="s">
        <v>1246</v>
      </c>
      <c r="L2009" s="4">
        <v>43959</v>
      </c>
      <c r="M2009" s="140">
        <v>155</v>
      </c>
      <c r="P2009" s="4" t="s">
        <v>291</v>
      </c>
      <c r="Q2009" s="143"/>
      <c r="T2009" s="144"/>
      <c r="U2009" s="145" t="e">
        <f>VLOOKUP(H2009,Stock_list!A:N,14,FALSE)</f>
        <v>#N/A</v>
      </c>
    </row>
    <row r="2010" spans="1:21" ht="16.5" customHeight="1">
      <c r="A2010" s="159" t="s">
        <v>2749</v>
      </c>
      <c r="B2010" s="114" t="str">
        <f>VLOOKUP(A2010,'Data pick slip'!B:F,5,FALSE)</f>
        <v>KHJ-MC500-00</v>
      </c>
      <c r="F2010" s="157" t="s">
        <v>2861</v>
      </c>
      <c r="I2010" s="139" t="s">
        <v>3015</v>
      </c>
      <c r="J2010" s="139" t="s">
        <v>3275</v>
      </c>
      <c r="K2010" s="51" t="s">
        <v>1246</v>
      </c>
      <c r="L2010" s="4">
        <v>43959</v>
      </c>
      <c r="M2010" s="140">
        <v>4</v>
      </c>
      <c r="P2010" s="4" t="s">
        <v>291</v>
      </c>
      <c r="Q2010" s="143"/>
      <c r="T2010" s="144"/>
      <c r="U2010" s="145" t="e">
        <f>VLOOKUP(H2010,Stock_list!A:N,14,FALSE)</f>
        <v>#N/A</v>
      </c>
    </row>
    <row r="2011" spans="1:21" ht="16.5" customHeight="1">
      <c r="A2011" s="159" t="s">
        <v>2750</v>
      </c>
      <c r="B2011" s="114" t="str">
        <f>VLOOKUP(A2011,'Data pick slip'!B:F,5,FALSE)</f>
        <v>KHJ-MC600-00</v>
      </c>
      <c r="F2011" s="157" t="s">
        <v>2861</v>
      </c>
      <c r="I2011" s="139" t="s">
        <v>3015</v>
      </c>
      <c r="J2011" s="139" t="s">
        <v>3275</v>
      </c>
      <c r="K2011" s="51" t="s">
        <v>1246</v>
      </c>
      <c r="L2011" s="4">
        <v>43959</v>
      </c>
      <c r="M2011" s="140">
        <v>2</v>
      </c>
      <c r="P2011" s="4" t="s">
        <v>291</v>
      </c>
      <c r="Q2011" s="143"/>
      <c r="T2011" s="144"/>
      <c r="U2011" s="145" t="e">
        <f>VLOOKUP(H2011,Stock_list!A:N,14,FALSE)</f>
        <v>#N/A</v>
      </c>
    </row>
    <row r="2012" spans="1:21" ht="16.5" customHeight="1">
      <c r="A2012" s="159" t="s">
        <v>2747</v>
      </c>
      <c r="B2012" s="114" t="str">
        <f>VLOOKUP(A2012,'Data pick slip'!B:F,5,FALSE)</f>
        <v>KHJ-MC200-00</v>
      </c>
      <c r="F2012" s="157" t="s">
        <v>2861</v>
      </c>
      <c r="I2012" s="139" t="s">
        <v>3015</v>
      </c>
      <c r="J2012" s="139" t="s">
        <v>3276</v>
      </c>
      <c r="K2012" s="51" t="s">
        <v>1246</v>
      </c>
      <c r="L2012" s="4">
        <v>43962</v>
      </c>
      <c r="M2012" s="140">
        <v>28</v>
      </c>
      <c r="P2012" s="4" t="s">
        <v>291</v>
      </c>
      <c r="Q2012" s="143"/>
      <c r="T2012" s="144"/>
      <c r="U2012" s="145" t="e">
        <f>VLOOKUP(H2012,Stock_list!A:N,14,FALSE)</f>
        <v>#N/A</v>
      </c>
    </row>
    <row r="2013" spans="1:21" ht="16.5" customHeight="1">
      <c r="A2013" s="159" t="s">
        <v>2756</v>
      </c>
      <c r="B2013" s="114" t="str">
        <f>VLOOKUP(A2013,'Data pick slip'!B:F,5,FALSE)</f>
        <v>KLJ-MC200-00</v>
      </c>
      <c r="F2013" s="157" t="s">
        <v>2861</v>
      </c>
      <c r="I2013" s="139" t="s">
        <v>3015</v>
      </c>
      <c r="J2013" s="139" t="s">
        <v>3276</v>
      </c>
      <c r="K2013" s="51" t="s">
        <v>1246</v>
      </c>
      <c r="L2013" s="4">
        <v>43962</v>
      </c>
      <c r="M2013" s="140">
        <v>80</v>
      </c>
      <c r="P2013" s="4" t="s">
        <v>291</v>
      </c>
      <c r="T2013" s="144"/>
      <c r="U2013" s="145" t="e">
        <f>VLOOKUP(H2013,Stock_list!A:N,14,FALSE)</f>
        <v>#N/A</v>
      </c>
    </row>
    <row r="2014" spans="1:21" ht="16.5" customHeight="1">
      <c r="A2014" s="159" t="s">
        <v>2748</v>
      </c>
      <c r="B2014" s="114" t="str">
        <f>VLOOKUP(A2014,'Data pick slip'!B:F,5,FALSE)</f>
        <v>KHJ-MC400-00</v>
      </c>
      <c r="F2014" s="157" t="s">
        <v>2861</v>
      </c>
      <c r="I2014" s="139" t="s">
        <v>3015</v>
      </c>
      <c r="J2014" s="139" t="s">
        <v>3276</v>
      </c>
      <c r="K2014" s="51" t="s">
        <v>1246</v>
      </c>
      <c r="L2014" s="4">
        <v>43962</v>
      </c>
      <c r="M2014" s="140">
        <v>7</v>
      </c>
      <c r="P2014" s="4" t="s">
        <v>291</v>
      </c>
      <c r="Q2014" s="143"/>
      <c r="T2014" s="144"/>
      <c r="U2014" s="145" t="e">
        <f>VLOOKUP(H2014,Stock_list!A:N,14,FALSE)</f>
        <v>#N/A</v>
      </c>
    </row>
    <row r="2015" spans="1:21" ht="16.5" customHeight="1">
      <c r="A2015" s="159" t="s">
        <v>2750</v>
      </c>
      <c r="B2015" s="114" t="str">
        <f>VLOOKUP(A2015,'Data pick slip'!B:F,5,FALSE)</f>
        <v>KHJ-MC600-00</v>
      </c>
      <c r="F2015" s="157" t="s">
        <v>2861</v>
      </c>
      <c r="I2015" s="139" t="s">
        <v>3015</v>
      </c>
      <c r="J2015" s="139" t="s">
        <v>3276</v>
      </c>
      <c r="K2015" s="51" t="s">
        <v>1246</v>
      </c>
      <c r="L2015" s="4">
        <v>43962</v>
      </c>
      <c r="M2015" s="140">
        <v>5</v>
      </c>
      <c r="P2015" s="4" t="s">
        <v>291</v>
      </c>
      <c r="Q2015" s="143"/>
      <c r="T2015" s="144"/>
      <c r="U2015" s="145" t="e">
        <f>VLOOKUP(H2015,Stock_list!A:N,14,FALSE)</f>
        <v>#N/A</v>
      </c>
    </row>
    <row r="2016" spans="1:21" ht="16.5" customHeight="1">
      <c r="A2016" s="159" t="s">
        <v>2744</v>
      </c>
      <c r="B2016" s="114" t="str">
        <f>VLOOKUP(A2016,'Data pick slip'!B:F,5,FALSE)</f>
        <v>KHJ-MC100-00</v>
      </c>
      <c r="F2016" s="157" t="s">
        <v>2773</v>
      </c>
      <c r="H2016" s="138">
        <v>642</v>
      </c>
      <c r="I2016" s="139" t="str">
        <f>VLOOKUP(H2016,Stock_list!A:R,18,FALSE)</f>
        <v>利速达</v>
      </c>
      <c r="J2016" s="139" t="str">
        <f>VLOOKUP(H2016,Stock_list!A:S,17,FALSE)</f>
        <v>C49SZX20200037SX-R1</v>
      </c>
      <c r="K2016" s="51" t="str">
        <f>VLOOKUP(H2016,Stock_list!A:T,16,FALSE)</f>
        <v>RMB</v>
      </c>
      <c r="L2016" s="4">
        <v>43970</v>
      </c>
      <c r="M2016" s="132">
        <v>45</v>
      </c>
      <c r="P2016" s="4" t="str">
        <f>VLOOKUP(H2016,Stock_list!A:Y,25,FALSE)</f>
        <v>Yes</v>
      </c>
      <c r="Q2016" s="143"/>
      <c r="T2016" s="144"/>
      <c r="U2016" s="145" t="str">
        <f>VLOOKUP(H2016,Stock_list!A:N,14,FALSE)</f>
        <v>MAY 20</v>
      </c>
    </row>
    <row r="2017" spans="1:21" ht="16.5" customHeight="1">
      <c r="A2017" s="159" t="s">
        <v>2756</v>
      </c>
      <c r="B2017" s="114" t="str">
        <f>VLOOKUP(A2017,'Data pick slip'!B:F,5,FALSE)</f>
        <v>KLJ-MC200-00</v>
      </c>
      <c r="F2017" s="157" t="s">
        <v>2773</v>
      </c>
      <c r="H2017" s="138">
        <v>642</v>
      </c>
      <c r="I2017" s="139" t="str">
        <f>VLOOKUP(H2017,Stock_list!A:R,18,FALSE)</f>
        <v>利速达</v>
      </c>
      <c r="J2017" s="139" t="str">
        <f>VLOOKUP(H2017,Stock_list!A:S,17,FALSE)</f>
        <v>C49SZX20200037SX-R1</v>
      </c>
      <c r="K2017" s="51" t="str">
        <f>VLOOKUP(H2017,Stock_list!A:T,16,FALSE)</f>
        <v>RMB</v>
      </c>
      <c r="L2017" s="4">
        <v>43970</v>
      </c>
      <c r="M2017" s="132">
        <v>11</v>
      </c>
      <c r="P2017" s="4" t="str">
        <f>VLOOKUP(H2017,Stock_list!A:Y,25,FALSE)</f>
        <v>Yes</v>
      </c>
      <c r="T2017" s="144"/>
      <c r="U2017" s="145" t="str">
        <f>VLOOKUP(H2017,Stock_list!A:N,14,FALSE)</f>
        <v>MAY 20</v>
      </c>
    </row>
    <row r="2018" spans="1:21" ht="16.5" customHeight="1">
      <c r="A2018" s="159" t="s">
        <v>2757</v>
      </c>
      <c r="B2018" s="114" t="str">
        <f>VLOOKUP(A2018,'Data pick slip'!B:F,5,FALSE)</f>
        <v>KLJ-MC400-00</v>
      </c>
      <c r="F2018" s="157" t="s">
        <v>2773</v>
      </c>
      <c r="H2018" s="138">
        <v>642</v>
      </c>
      <c r="I2018" s="139" t="str">
        <f>VLOOKUP(H2018,Stock_list!A:R,18,FALSE)</f>
        <v>利速达</v>
      </c>
      <c r="J2018" s="139" t="str">
        <f>VLOOKUP(H2018,Stock_list!A:S,17,FALSE)</f>
        <v>C49SZX20200037SX-R1</v>
      </c>
      <c r="K2018" s="51" t="str">
        <f>VLOOKUP(H2018,Stock_list!A:T,16,FALSE)</f>
        <v>RMB</v>
      </c>
      <c r="L2018" s="4">
        <v>43970</v>
      </c>
      <c r="M2018" s="132">
        <v>4</v>
      </c>
      <c r="P2018" s="4" t="str">
        <f>VLOOKUP(H2018,Stock_list!A:Y,25,FALSE)</f>
        <v>Yes</v>
      </c>
      <c r="Q2018" s="143"/>
      <c r="T2018" s="144"/>
      <c r="U2018" s="145" t="str">
        <f>VLOOKUP(H2018,Stock_list!A:N,14,FALSE)</f>
        <v>MAY 20</v>
      </c>
    </row>
    <row r="2019" spans="1:21" ht="16.5" customHeight="1">
      <c r="A2019" s="159" t="s">
        <v>2744</v>
      </c>
      <c r="B2019" s="114" t="str">
        <f>VLOOKUP(A2019,'Data pick slip'!B:F,5,FALSE)</f>
        <v>KHJ-MC100-00</v>
      </c>
      <c r="F2019" s="157" t="s">
        <v>2861</v>
      </c>
      <c r="I2019" s="139" t="s">
        <v>3015</v>
      </c>
      <c r="J2019" s="139" t="s">
        <v>3277</v>
      </c>
      <c r="K2019" s="51" t="s">
        <v>1246</v>
      </c>
      <c r="L2019" s="4">
        <v>43964</v>
      </c>
      <c r="M2019" s="140">
        <v>160</v>
      </c>
      <c r="P2019" s="4" t="s">
        <v>291</v>
      </c>
      <c r="Q2019" s="143"/>
      <c r="T2019" s="144"/>
      <c r="U2019" s="145" t="e">
        <f>VLOOKUP(H2019,Stock_list!A:N,14,FALSE)</f>
        <v>#N/A</v>
      </c>
    </row>
    <row r="2020" spans="1:21" ht="16.5" customHeight="1">
      <c r="A2020" s="159" t="s">
        <v>2757</v>
      </c>
      <c r="B2020" s="114" t="str">
        <f>VLOOKUP(A2020,'Data pick slip'!B:F,5,FALSE)</f>
        <v>KLJ-MC400-00</v>
      </c>
      <c r="F2020" s="157" t="s">
        <v>2861</v>
      </c>
      <c r="I2020" s="139" t="s">
        <v>3015</v>
      </c>
      <c r="J2020" s="139" t="s">
        <v>3277</v>
      </c>
      <c r="K2020" s="51" t="s">
        <v>1246</v>
      </c>
      <c r="L2020" s="4">
        <v>43964</v>
      </c>
      <c r="M2020" s="140">
        <v>12</v>
      </c>
      <c r="P2020" s="4" t="s">
        <v>291</v>
      </c>
      <c r="Q2020" s="143"/>
      <c r="T2020" s="144"/>
      <c r="U2020" s="145" t="e">
        <f>VLOOKUP(H2020,Stock_list!A:N,14,FALSE)</f>
        <v>#N/A</v>
      </c>
    </row>
    <row r="2021" spans="1:21" ht="16.5" customHeight="1">
      <c r="A2021" s="159" t="s">
        <v>2744</v>
      </c>
      <c r="B2021" s="114" t="str">
        <f>VLOOKUP(A2021,'Data pick slip'!B:F,5,FALSE)</f>
        <v>KHJ-MC100-00</v>
      </c>
      <c r="F2021" s="157" t="s">
        <v>2773</v>
      </c>
      <c r="H2021" s="138">
        <v>645</v>
      </c>
      <c r="I2021" s="139" t="str">
        <f>VLOOKUP(H2021,Stock_list!A:R,18,FALSE)</f>
        <v>迅丰</v>
      </c>
      <c r="J2021" s="139" t="str">
        <f>VLOOKUP(H2021,Stock_list!A:S,17,FALSE)</f>
        <v>C49SZX20200060SX</v>
      </c>
      <c r="K2021" s="51" t="str">
        <f>VLOOKUP(H2021,Stock_list!A:T,16,FALSE)</f>
        <v>RMB</v>
      </c>
      <c r="L2021" s="4">
        <v>43999</v>
      </c>
      <c r="M2021" s="132">
        <v>100</v>
      </c>
      <c r="P2021" s="4" t="str">
        <f>VLOOKUP(H2021,Stock_list!A:Y,25,FALSE)</f>
        <v>Yes</v>
      </c>
      <c r="Q2021" s="143"/>
      <c r="T2021" s="144"/>
      <c r="U2021" s="145" t="str">
        <f>VLOOKUP(H2021,Stock_list!A:N,14,FALSE)</f>
        <v>JUN 20</v>
      </c>
    </row>
    <row r="2022" spans="1:21" ht="16.5" customHeight="1">
      <c r="A2022" s="159" t="s">
        <v>2747</v>
      </c>
      <c r="B2022" s="114" t="str">
        <f>VLOOKUP(A2022,'Data pick slip'!B:F,5,FALSE)</f>
        <v>KHJ-MC200-00</v>
      </c>
      <c r="F2022" s="157" t="s">
        <v>2773</v>
      </c>
      <c r="H2022" s="138">
        <v>645</v>
      </c>
      <c r="I2022" s="139" t="str">
        <f>VLOOKUP(H2022,Stock_list!A:R,18,FALSE)</f>
        <v>迅丰</v>
      </c>
      <c r="J2022" s="139" t="str">
        <f>VLOOKUP(H2022,Stock_list!A:S,17,FALSE)</f>
        <v>C49SZX20200060SX</v>
      </c>
      <c r="K2022" s="51" t="str">
        <f>VLOOKUP(H2022,Stock_list!A:T,16,FALSE)</f>
        <v>RMB</v>
      </c>
      <c r="L2022" s="4">
        <v>43999</v>
      </c>
      <c r="M2022" s="132">
        <v>10</v>
      </c>
      <c r="P2022" s="4" t="str">
        <f>VLOOKUP(H2022,Stock_list!A:Y,25,FALSE)</f>
        <v>Yes</v>
      </c>
      <c r="Q2022" s="143"/>
      <c r="T2022" s="144"/>
      <c r="U2022" s="145" t="str">
        <f>VLOOKUP(H2022,Stock_list!A:N,14,FALSE)</f>
        <v>JUN 20</v>
      </c>
    </row>
    <row r="2023" spans="1:21" ht="16.5" customHeight="1">
      <c r="A2023" s="159" t="s">
        <v>2748</v>
      </c>
      <c r="B2023" s="114" t="str">
        <f>VLOOKUP(A2023,'Data pick slip'!B:F,5,FALSE)</f>
        <v>KHJ-MC400-00</v>
      </c>
      <c r="F2023" s="157" t="s">
        <v>2773</v>
      </c>
      <c r="H2023" s="138">
        <v>645</v>
      </c>
      <c r="I2023" s="139" t="str">
        <f>VLOOKUP(H2023,Stock_list!A:R,18,FALSE)</f>
        <v>迅丰</v>
      </c>
      <c r="J2023" s="139" t="str">
        <f>VLOOKUP(H2023,Stock_list!A:S,17,FALSE)</f>
        <v>C49SZX20200060SX</v>
      </c>
      <c r="K2023" s="51" t="str">
        <f>VLOOKUP(H2023,Stock_list!A:T,16,FALSE)</f>
        <v>RMB</v>
      </c>
      <c r="L2023" s="4">
        <v>43999</v>
      </c>
      <c r="M2023" s="132">
        <v>3</v>
      </c>
      <c r="P2023" s="4" t="str">
        <f>VLOOKUP(H2023,Stock_list!A:Y,25,FALSE)</f>
        <v>Yes</v>
      </c>
      <c r="Q2023" s="143"/>
      <c r="T2023" s="144"/>
      <c r="U2023" s="145" t="str">
        <f>VLOOKUP(H2023,Stock_list!A:N,14,FALSE)</f>
        <v>JUN 20</v>
      </c>
    </row>
    <row r="2024" spans="1:21" ht="16.5" customHeight="1">
      <c r="A2024" s="159" t="s">
        <v>2749</v>
      </c>
      <c r="B2024" s="114" t="str">
        <f>VLOOKUP(A2024,'Data pick slip'!B:F,5,FALSE)</f>
        <v>KHJ-MC500-00</v>
      </c>
      <c r="F2024" s="157" t="s">
        <v>2773</v>
      </c>
      <c r="H2024" s="138">
        <v>645</v>
      </c>
      <c r="I2024" s="139" t="str">
        <f>VLOOKUP(H2024,Stock_list!A:R,18,FALSE)</f>
        <v>迅丰</v>
      </c>
      <c r="J2024" s="139" t="str">
        <f>VLOOKUP(H2024,Stock_list!A:S,17,FALSE)</f>
        <v>C49SZX20200060SX</v>
      </c>
      <c r="K2024" s="51" t="str">
        <f>VLOOKUP(H2024,Stock_list!A:T,16,FALSE)</f>
        <v>RMB</v>
      </c>
      <c r="L2024" s="4">
        <v>43999</v>
      </c>
      <c r="M2024" s="132">
        <v>1</v>
      </c>
      <c r="P2024" s="4" t="str">
        <f>VLOOKUP(H2024,Stock_list!A:Y,25,FALSE)</f>
        <v>Yes</v>
      </c>
      <c r="Q2024" s="143"/>
      <c r="T2024" s="144"/>
      <c r="U2024" s="145" t="str">
        <f>VLOOKUP(H2024,Stock_list!A:N,14,FALSE)</f>
        <v>JUN 20</v>
      </c>
    </row>
    <row r="2025" spans="1:21" ht="16.5" customHeight="1">
      <c r="A2025" s="159" t="s">
        <v>2749</v>
      </c>
      <c r="B2025" s="114" t="str">
        <f>VLOOKUP(A2025,'Data pick slip'!B:F,5,FALSE)</f>
        <v>KHJ-MC500-00</v>
      </c>
      <c r="F2025" s="157" t="s">
        <v>2773</v>
      </c>
      <c r="I2025" s="139" t="s">
        <v>3093</v>
      </c>
      <c r="J2025" s="139" t="s">
        <v>3278</v>
      </c>
      <c r="K2025" s="51" t="s">
        <v>1246</v>
      </c>
      <c r="L2025" s="4">
        <v>43970</v>
      </c>
      <c r="M2025" s="140">
        <v>1</v>
      </c>
      <c r="P2025" s="4" t="s">
        <v>291</v>
      </c>
      <c r="Q2025" s="143"/>
      <c r="T2025" s="144"/>
      <c r="U2025" s="145" t="e">
        <f>VLOOKUP(H2025,Stock_list!A:N,14,FALSE)</f>
        <v>#N/A</v>
      </c>
    </row>
    <row r="2026" spans="1:21" ht="16.5" customHeight="1">
      <c r="A2026" s="159" t="s">
        <v>2756</v>
      </c>
      <c r="B2026" s="114" t="str">
        <f>VLOOKUP(A2026,'Data pick slip'!B:F,5,FALSE)</f>
        <v>KLJ-MC200-00</v>
      </c>
      <c r="F2026" s="157" t="s">
        <v>2861</v>
      </c>
      <c r="I2026" s="139" t="s">
        <v>2853</v>
      </c>
      <c r="J2026" s="139" t="s">
        <v>3279</v>
      </c>
      <c r="K2026" s="51" t="s">
        <v>3002</v>
      </c>
      <c r="L2026" s="4">
        <v>43971</v>
      </c>
      <c r="M2026" s="140">
        <v>14</v>
      </c>
      <c r="P2026" s="4" t="s">
        <v>291</v>
      </c>
      <c r="T2026" s="144"/>
      <c r="U2026" s="145" t="e">
        <f>VLOOKUP(H2026,Stock_list!A:N,14,FALSE)</f>
        <v>#N/A</v>
      </c>
    </row>
    <row r="2027" spans="1:21" ht="16.5" customHeight="1">
      <c r="A2027" s="159" t="s">
        <v>2748</v>
      </c>
      <c r="B2027" s="114" t="str">
        <f>VLOOKUP(A2027,'Data pick slip'!B:F,5,FALSE)</f>
        <v>KHJ-MC400-00</v>
      </c>
      <c r="F2027" s="157" t="s">
        <v>2773</v>
      </c>
      <c r="I2027" s="139" t="s">
        <v>3099</v>
      </c>
      <c r="J2027" s="139" t="s">
        <v>3280</v>
      </c>
      <c r="K2027" s="51" t="s">
        <v>1246</v>
      </c>
      <c r="L2027" s="4">
        <v>43998</v>
      </c>
      <c r="M2027" s="140">
        <v>1</v>
      </c>
      <c r="P2027" s="4" t="s">
        <v>291</v>
      </c>
      <c r="Q2027" s="143"/>
      <c r="T2027" s="144"/>
      <c r="U2027" s="145" t="e">
        <f>VLOOKUP(H2027,Stock_list!A:N,14,FALSE)</f>
        <v>#N/A</v>
      </c>
    </row>
    <row r="2028" spans="1:21" ht="16.5" customHeight="1">
      <c r="A2028" s="159" t="s">
        <v>2755</v>
      </c>
      <c r="B2028" s="114" t="str">
        <f>VLOOKUP(A2028,'Data pick slip'!B:F,5,FALSE)</f>
        <v>KLJ-MC100-00</v>
      </c>
      <c r="F2028" s="157" t="s">
        <v>2861</v>
      </c>
      <c r="H2028" s="138">
        <v>461</v>
      </c>
      <c r="I2028" s="139" t="str">
        <f>VLOOKUP(H2028,Stock_list!A:R,18,FALSE)</f>
        <v>魔乐视/end user:拓普赛特</v>
      </c>
      <c r="J2028" s="139" t="str">
        <f>VLOOKUP(H2028,Stock_list!A:S,17,FALSE)</f>
        <v>C49SZX20190151MZ</v>
      </c>
      <c r="K2028" s="51" t="str">
        <f>VLOOKUP(H2028,Stock_list!A:T,16,FALSE)</f>
        <v>JPY</v>
      </c>
      <c r="L2028" s="4">
        <v>44061</v>
      </c>
      <c r="M2028" s="132">
        <v>100</v>
      </c>
      <c r="P2028" s="4" t="str">
        <f>VLOOKUP(H2028,Stock_list!A:Y,25,FALSE)</f>
        <v>Yes</v>
      </c>
      <c r="Q2028" s="143"/>
      <c r="T2028" s="144"/>
      <c r="U2028" s="145" t="str">
        <f>VLOOKUP(H2028,Stock_list!A:N,14,FALSE)</f>
        <v>AUG 20</v>
      </c>
    </row>
    <row r="2029" spans="1:21" ht="16.5" customHeight="1">
      <c r="A2029" s="159" t="s">
        <v>2756</v>
      </c>
      <c r="B2029" s="114" t="str">
        <f>VLOOKUP(A2029,'Data pick slip'!B:F,5,FALSE)</f>
        <v>KLJ-MC200-00</v>
      </c>
      <c r="F2029" s="157" t="s">
        <v>2861</v>
      </c>
      <c r="H2029" s="138">
        <v>461</v>
      </c>
      <c r="I2029" s="139" t="str">
        <f>VLOOKUP(H2029,Stock_list!A:R,18,FALSE)</f>
        <v>魔乐视/end user:拓普赛特</v>
      </c>
      <c r="J2029" s="139" t="str">
        <f>VLOOKUP(H2029,Stock_list!A:S,17,FALSE)</f>
        <v>C49SZX20190151MZ</v>
      </c>
      <c r="K2029" s="51" t="str">
        <f>VLOOKUP(H2029,Stock_list!A:T,16,FALSE)</f>
        <v>JPY</v>
      </c>
      <c r="L2029" s="4">
        <v>44061</v>
      </c>
      <c r="M2029" s="132">
        <v>20</v>
      </c>
      <c r="P2029" s="4" t="str">
        <f>VLOOKUP(H2029,Stock_list!A:Y,25,FALSE)</f>
        <v>Yes</v>
      </c>
      <c r="T2029" s="144"/>
      <c r="U2029" s="145" t="str">
        <f>VLOOKUP(H2029,Stock_list!A:N,14,FALSE)</f>
        <v>AUG 20</v>
      </c>
    </row>
    <row r="2030" spans="1:21" ht="16.5" customHeight="1">
      <c r="A2030" s="159" t="s">
        <v>2757</v>
      </c>
      <c r="B2030" s="114" t="str">
        <f>VLOOKUP(A2030,'Data pick slip'!B:F,5,FALSE)</f>
        <v>KLJ-MC400-00</v>
      </c>
      <c r="F2030" s="157" t="s">
        <v>2861</v>
      </c>
      <c r="H2030" s="138">
        <v>461</v>
      </c>
      <c r="I2030" s="139" t="str">
        <f>VLOOKUP(H2030,Stock_list!A:R,18,FALSE)</f>
        <v>魔乐视/end user:拓普赛特</v>
      </c>
      <c r="J2030" s="139" t="str">
        <f>VLOOKUP(H2030,Stock_list!A:S,17,FALSE)</f>
        <v>C49SZX20190151MZ</v>
      </c>
      <c r="K2030" s="51" t="str">
        <f>VLOOKUP(H2030,Stock_list!A:T,16,FALSE)</f>
        <v>JPY</v>
      </c>
      <c r="L2030" s="4">
        <v>44061</v>
      </c>
      <c r="M2030" s="132">
        <v>3</v>
      </c>
      <c r="P2030" s="4" t="str">
        <f>VLOOKUP(H2030,Stock_list!A:Y,25,FALSE)</f>
        <v>Yes</v>
      </c>
      <c r="Q2030" s="143"/>
      <c r="T2030" s="144"/>
      <c r="U2030" s="145" t="str">
        <f>VLOOKUP(H2030,Stock_list!A:N,14,FALSE)</f>
        <v>AUG 20</v>
      </c>
    </row>
    <row r="2031" spans="1:21" ht="16.5" customHeight="1">
      <c r="A2031" s="159" t="s">
        <v>2758</v>
      </c>
      <c r="B2031" s="114" t="str">
        <f>VLOOKUP(A2031,'Data pick slip'!B:F,5,FALSE)</f>
        <v>KLJ-MC500-00</v>
      </c>
      <c r="F2031" s="157" t="s">
        <v>2861</v>
      </c>
      <c r="H2031" s="138">
        <v>461</v>
      </c>
      <c r="I2031" s="139" t="str">
        <f>VLOOKUP(H2031,Stock_list!A:R,18,FALSE)</f>
        <v>魔乐视/end user:拓普赛特</v>
      </c>
      <c r="J2031" s="139" t="str">
        <f>VLOOKUP(H2031,Stock_list!A:S,17,FALSE)</f>
        <v>C49SZX20190151MZ</v>
      </c>
      <c r="K2031" s="51" t="str">
        <f>VLOOKUP(H2031,Stock_list!A:T,16,FALSE)</f>
        <v>JPY</v>
      </c>
      <c r="L2031" s="4">
        <v>44061</v>
      </c>
      <c r="M2031" s="132">
        <v>1</v>
      </c>
      <c r="P2031" s="4" t="str">
        <f>VLOOKUP(H2031,Stock_list!A:Y,25,FALSE)</f>
        <v>Yes</v>
      </c>
      <c r="Q2031" s="143"/>
      <c r="T2031" s="144"/>
      <c r="U2031" s="145" t="str">
        <f>VLOOKUP(H2031,Stock_list!A:N,14,FALSE)</f>
        <v>AUG 20</v>
      </c>
    </row>
    <row r="2032" spans="1:21" ht="16.5" customHeight="1">
      <c r="A2032" s="159" t="s">
        <v>2756</v>
      </c>
      <c r="B2032" s="114" t="str">
        <f>VLOOKUP(A2032,'Data pick slip'!B:F,5,FALSE)</f>
        <v>KLJ-MC200-00</v>
      </c>
      <c r="F2032" s="157" t="s">
        <v>2773</v>
      </c>
      <c r="I2032" s="139" t="s">
        <v>3115</v>
      </c>
      <c r="J2032" s="139" t="s">
        <v>3281</v>
      </c>
      <c r="K2032" s="51" t="s">
        <v>1246</v>
      </c>
      <c r="L2032" s="4">
        <v>43972</v>
      </c>
      <c r="M2032" s="140">
        <v>14</v>
      </c>
      <c r="P2032" s="4" t="s">
        <v>291</v>
      </c>
      <c r="T2032" s="144"/>
      <c r="U2032" s="145" t="e">
        <f>VLOOKUP(H2032,Stock_list!A:N,14,FALSE)</f>
        <v>#N/A</v>
      </c>
    </row>
    <row r="2033" spans="1:21" ht="16.5" customHeight="1">
      <c r="A2033" s="159" t="s">
        <v>2748</v>
      </c>
      <c r="B2033" s="114" t="str">
        <f>VLOOKUP(A2033,'Data pick slip'!B:F,5,FALSE)</f>
        <v>KHJ-MC400-00</v>
      </c>
      <c r="F2033" s="157" t="s">
        <v>2773</v>
      </c>
      <c r="I2033" s="139" t="s">
        <v>3115</v>
      </c>
      <c r="J2033" s="139" t="s">
        <v>3282</v>
      </c>
      <c r="K2033" s="51" t="s">
        <v>1246</v>
      </c>
      <c r="L2033" s="4">
        <v>43972</v>
      </c>
      <c r="M2033" s="140">
        <v>3</v>
      </c>
      <c r="P2033" s="4" t="s">
        <v>291</v>
      </c>
      <c r="Q2033" s="143"/>
      <c r="T2033" s="144"/>
      <c r="U2033" s="145" t="e">
        <f>VLOOKUP(H2033,Stock_list!A:N,14,FALSE)</f>
        <v>#N/A</v>
      </c>
    </row>
    <row r="2034" spans="1:21" ht="16.5" customHeight="1">
      <c r="A2034" s="159" t="s">
        <v>2751</v>
      </c>
      <c r="B2034" s="114" t="str">
        <f>VLOOKUP(A2034,'Data pick slip'!B:F,5,FALSE)</f>
        <v>KHJ-MC700-00</v>
      </c>
      <c r="F2034" s="157" t="s">
        <v>2773</v>
      </c>
      <c r="I2034" s="139" t="s">
        <v>3115</v>
      </c>
      <c r="J2034" s="139" t="s">
        <v>3282</v>
      </c>
      <c r="K2034" s="51" t="s">
        <v>1246</v>
      </c>
      <c r="L2034" s="4">
        <v>43972</v>
      </c>
      <c r="M2034" s="140">
        <v>1</v>
      </c>
      <c r="P2034" s="4" t="s">
        <v>291</v>
      </c>
      <c r="Q2034" s="143"/>
      <c r="T2034" s="144"/>
      <c r="U2034" s="145" t="e">
        <f>VLOOKUP(H2034,Stock_list!A:N,14,FALSE)</f>
        <v>#N/A</v>
      </c>
    </row>
    <row r="2035" spans="1:21" ht="16.5" customHeight="1">
      <c r="A2035" s="159" t="s">
        <v>2744</v>
      </c>
      <c r="B2035" s="114" t="str">
        <f>VLOOKUP(A2035,'Data pick slip'!B:F,5,FALSE)</f>
        <v>KHJ-MC100-00</v>
      </c>
      <c r="F2035" s="157" t="s">
        <v>2773</v>
      </c>
      <c r="I2035" s="139" t="s">
        <v>3093</v>
      </c>
      <c r="J2035" s="139" t="s">
        <v>3283</v>
      </c>
      <c r="K2035" s="51" t="s">
        <v>1246</v>
      </c>
      <c r="L2035" s="4">
        <v>43973</v>
      </c>
      <c r="M2035" s="140">
        <v>2</v>
      </c>
      <c r="P2035" s="4" t="s">
        <v>291</v>
      </c>
      <c r="Q2035" s="143"/>
      <c r="T2035" s="144"/>
      <c r="U2035" s="145" t="e">
        <f>VLOOKUP(H2035,Stock_list!A:N,14,FALSE)</f>
        <v>#N/A</v>
      </c>
    </row>
    <row r="2036" spans="1:21" ht="16.5" customHeight="1">
      <c r="A2036" s="159" t="s">
        <v>2744</v>
      </c>
      <c r="B2036" s="114" t="str">
        <f>VLOOKUP(A2036,'Data pick slip'!B:F,5,FALSE)</f>
        <v>KHJ-MC100-00</v>
      </c>
      <c r="F2036" s="157" t="s">
        <v>2773</v>
      </c>
      <c r="I2036" s="139" t="s">
        <v>3093</v>
      </c>
      <c r="J2036" s="139" t="s">
        <v>3284</v>
      </c>
      <c r="K2036" s="51" t="s">
        <v>1246</v>
      </c>
      <c r="L2036" s="4">
        <v>43973</v>
      </c>
      <c r="M2036" s="140">
        <v>1</v>
      </c>
      <c r="P2036" s="4" t="s">
        <v>291</v>
      </c>
      <c r="Q2036" s="143"/>
      <c r="T2036" s="144"/>
      <c r="U2036" s="145" t="e">
        <f>VLOOKUP(H2036,Stock_list!A:N,14,FALSE)</f>
        <v>#N/A</v>
      </c>
    </row>
    <row r="2037" spans="1:21" ht="16.5" customHeight="1">
      <c r="A2037" s="159" t="s">
        <v>2744</v>
      </c>
      <c r="B2037" s="114" t="str">
        <f>VLOOKUP(A2037,'Data pick slip'!B:F,5,FALSE)</f>
        <v>KHJ-MC100-00</v>
      </c>
      <c r="F2037" s="157" t="s">
        <v>2773</v>
      </c>
      <c r="H2037" s="138">
        <v>652</v>
      </c>
      <c r="I2037" s="139" t="str">
        <f>VLOOKUP(H2037,Stock_list!A:R,18,FALSE)</f>
        <v>城宇</v>
      </c>
      <c r="J2037" s="139" t="str">
        <f>VLOOKUP(H2037,Stock_list!A:S,17,FALSE)</f>
        <v>C49SZX20200025MX</v>
      </c>
      <c r="K2037" s="51" t="str">
        <f>VLOOKUP(H2037,Stock_list!A:T,16,FALSE)</f>
        <v>RMB</v>
      </c>
      <c r="L2037" s="4">
        <v>43985</v>
      </c>
      <c r="M2037" s="132">
        <v>15</v>
      </c>
      <c r="P2037" s="4" t="str">
        <f>VLOOKUP(H2037,Stock_list!A:Y,25,FALSE)</f>
        <v>Yes</v>
      </c>
      <c r="Q2037" s="143"/>
      <c r="T2037" s="144"/>
      <c r="U2037" s="145" t="str">
        <f>VLOOKUP(H2037,Stock_list!A:N,14,FALSE)</f>
        <v>JUN 20</v>
      </c>
    </row>
    <row r="2038" spans="1:21" ht="16.5" customHeight="1">
      <c r="A2038" s="159" t="s">
        <v>2756</v>
      </c>
      <c r="B2038" s="114" t="str">
        <f>VLOOKUP(A2038,'Data pick slip'!B:F,5,FALSE)</f>
        <v>KLJ-MC200-00</v>
      </c>
      <c r="F2038" s="157" t="s">
        <v>2773</v>
      </c>
      <c r="H2038" s="138">
        <v>652</v>
      </c>
      <c r="I2038" s="139" t="str">
        <f>VLOOKUP(H2038,Stock_list!A:R,18,FALSE)</f>
        <v>城宇</v>
      </c>
      <c r="J2038" s="139" t="str">
        <f>VLOOKUP(H2038,Stock_list!A:S,17,FALSE)</f>
        <v>C49SZX20200025MX</v>
      </c>
      <c r="K2038" s="51" t="str">
        <f>VLOOKUP(H2038,Stock_list!A:T,16,FALSE)</f>
        <v>RMB</v>
      </c>
      <c r="L2038" s="4">
        <v>43985</v>
      </c>
      <c r="M2038" s="132">
        <v>3</v>
      </c>
      <c r="P2038" s="4" t="str">
        <f>VLOOKUP(H2038,Stock_list!A:Y,25,FALSE)</f>
        <v>Yes</v>
      </c>
      <c r="T2038" s="144"/>
      <c r="U2038" s="145" t="str">
        <f>VLOOKUP(H2038,Stock_list!A:N,14,FALSE)</f>
        <v>JUN 20</v>
      </c>
    </row>
    <row r="2039" spans="1:21" ht="16.5" customHeight="1">
      <c r="A2039" s="159" t="s">
        <v>2744</v>
      </c>
      <c r="B2039" s="114" t="str">
        <f>VLOOKUP(A2039,'Data pick slip'!B:F,5,FALSE)</f>
        <v>KHJ-MC100-00</v>
      </c>
      <c r="F2039" s="157" t="s">
        <v>2773</v>
      </c>
      <c r="I2039" s="139" t="s">
        <v>3093</v>
      </c>
      <c r="J2039" s="139" t="s">
        <v>3285</v>
      </c>
      <c r="K2039" s="51" t="s">
        <v>1246</v>
      </c>
      <c r="L2039" s="4">
        <v>43977</v>
      </c>
      <c r="M2039" s="140">
        <v>20</v>
      </c>
      <c r="P2039" s="4" t="s">
        <v>291</v>
      </c>
      <c r="Q2039" s="143"/>
      <c r="T2039" s="144"/>
      <c r="U2039" s="145" t="e">
        <f>VLOOKUP(H2039,Stock_list!A:N,14,FALSE)</f>
        <v>#N/A</v>
      </c>
    </row>
    <row r="2040" spans="1:21" ht="16.5" customHeight="1">
      <c r="A2040" s="159" t="s">
        <v>2749</v>
      </c>
      <c r="B2040" s="114" t="str">
        <f>VLOOKUP(A2040,'Data pick slip'!B:F,5,FALSE)</f>
        <v>KHJ-MC500-00</v>
      </c>
      <c r="F2040" s="157" t="s">
        <v>2773</v>
      </c>
      <c r="I2040" s="139" t="s">
        <v>3286</v>
      </c>
      <c r="J2040" s="139" t="s">
        <v>3287</v>
      </c>
      <c r="K2040" s="51" t="s">
        <v>1246</v>
      </c>
      <c r="L2040" s="4">
        <v>43985</v>
      </c>
      <c r="M2040" s="140">
        <v>3</v>
      </c>
      <c r="P2040" s="4" t="s">
        <v>291</v>
      </c>
      <c r="Q2040" s="143"/>
      <c r="T2040" s="144"/>
      <c r="U2040" s="145" t="e">
        <f>VLOOKUP(H2040,Stock_list!A:N,14,FALSE)</f>
        <v>#N/A</v>
      </c>
    </row>
    <row r="2041" spans="1:21" ht="16.5" customHeight="1">
      <c r="A2041" s="159" t="s">
        <v>2747</v>
      </c>
      <c r="B2041" s="114" t="str">
        <f>VLOOKUP(A2041,'Data pick slip'!B:F,5,FALSE)</f>
        <v>KHJ-MC200-00</v>
      </c>
      <c r="F2041" s="157" t="s">
        <v>2861</v>
      </c>
      <c r="I2041" s="139" t="s">
        <v>3015</v>
      </c>
      <c r="J2041" s="139" t="s">
        <v>3288</v>
      </c>
      <c r="K2041" s="51" t="s">
        <v>1246</v>
      </c>
      <c r="L2041" s="4">
        <v>43984</v>
      </c>
      <c r="M2041" s="140">
        <v>4</v>
      </c>
      <c r="P2041" s="4" t="s">
        <v>291</v>
      </c>
      <c r="Q2041" s="143"/>
      <c r="T2041" s="144"/>
      <c r="U2041" s="145" t="e">
        <f>VLOOKUP(H2041,Stock_list!A:N,14,FALSE)</f>
        <v>#N/A</v>
      </c>
    </row>
    <row r="2042" spans="1:21" ht="16.5" customHeight="1">
      <c r="A2042" s="159" t="s">
        <v>2749</v>
      </c>
      <c r="B2042" s="114" t="str">
        <f>VLOOKUP(A2042,'Data pick slip'!B:F,5,FALSE)</f>
        <v>KHJ-MC500-00</v>
      </c>
      <c r="F2042" s="157" t="s">
        <v>2861</v>
      </c>
      <c r="I2042" s="139" t="s">
        <v>3015</v>
      </c>
      <c r="J2042" s="139" t="s">
        <v>3288</v>
      </c>
      <c r="K2042" s="51" t="s">
        <v>1246</v>
      </c>
      <c r="L2042" s="4">
        <v>43984</v>
      </c>
      <c r="M2042" s="140">
        <v>4</v>
      </c>
      <c r="P2042" s="4" t="s">
        <v>291</v>
      </c>
      <c r="Q2042" s="143"/>
      <c r="T2042" s="144"/>
      <c r="U2042" s="145" t="e">
        <f>VLOOKUP(H2042,Stock_list!A:N,14,FALSE)</f>
        <v>#N/A</v>
      </c>
    </row>
    <row r="2043" spans="1:21" ht="16.5" customHeight="1">
      <c r="A2043" s="159" t="s">
        <v>2760</v>
      </c>
      <c r="B2043" s="114" t="str">
        <f>VLOOKUP(A2043,'Data pick slip'!B:F,5,FALSE)</f>
        <v>KLJ-MC700-00</v>
      </c>
      <c r="F2043" s="157" t="s">
        <v>2861</v>
      </c>
      <c r="I2043" s="139" t="s">
        <v>3015</v>
      </c>
      <c r="J2043" s="139" t="s">
        <v>3288</v>
      </c>
      <c r="K2043" s="51" t="s">
        <v>1246</v>
      </c>
      <c r="L2043" s="4">
        <v>43984</v>
      </c>
      <c r="M2043" s="140">
        <v>1</v>
      </c>
      <c r="P2043" s="4" t="s">
        <v>291</v>
      </c>
      <c r="Q2043" s="143"/>
      <c r="T2043" s="144"/>
      <c r="U2043" s="145" t="e">
        <f>VLOOKUP(H2043,Stock_list!A:N,14,FALSE)</f>
        <v>#N/A</v>
      </c>
    </row>
    <row r="2044" spans="1:21" ht="16.5" customHeight="1">
      <c r="A2044" s="159" t="s">
        <v>2751</v>
      </c>
      <c r="B2044" s="114" t="str">
        <f>VLOOKUP(A2044,'Data pick slip'!B:F,5,FALSE)</f>
        <v>KHJ-MC700-00</v>
      </c>
      <c r="F2044" s="157" t="s">
        <v>2861</v>
      </c>
      <c r="I2044" s="139" t="s">
        <v>3015</v>
      </c>
      <c r="J2044" s="139" t="s">
        <v>3288</v>
      </c>
      <c r="K2044" s="51" t="s">
        <v>1246</v>
      </c>
      <c r="L2044" s="4">
        <v>43984</v>
      </c>
      <c r="M2044" s="140">
        <v>3</v>
      </c>
      <c r="P2044" s="4" t="s">
        <v>291</v>
      </c>
      <c r="Q2044" s="143"/>
      <c r="T2044" s="144"/>
      <c r="U2044" s="145" t="e">
        <f>VLOOKUP(H2044,Stock_list!A:N,14,FALSE)</f>
        <v>#N/A</v>
      </c>
    </row>
    <row r="2045" spans="1:21" ht="16.5" customHeight="1">
      <c r="A2045" s="159" t="s">
        <v>2744</v>
      </c>
      <c r="B2045" s="114" t="str">
        <f>VLOOKUP(A2045,'Data pick slip'!B:F,5,FALSE)</f>
        <v>KHJ-MC100-00</v>
      </c>
      <c r="F2045" s="157" t="s">
        <v>2773</v>
      </c>
      <c r="H2045" s="138">
        <v>656</v>
      </c>
      <c r="I2045" s="139" t="str">
        <f>VLOOKUP(H2045,Stock_list!A:R,18,FALSE)</f>
        <v>中润互联</v>
      </c>
      <c r="J2045" s="139" t="str">
        <f>VLOOKUP(H2045,Stock_list!A:S,17,FALSE)</f>
        <v>C49SZX20200058SS</v>
      </c>
      <c r="K2045" s="51" t="str">
        <f>VLOOKUP(H2045,Stock_list!A:T,16,FALSE)</f>
        <v>RMB</v>
      </c>
      <c r="L2045" s="4">
        <v>44029</v>
      </c>
      <c r="M2045" s="132">
        <v>90</v>
      </c>
      <c r="P2045" s="4" t="str">
        <f>VLOOKUP(H2045,Stock_list!A:Y,25,FALSE)</f>
        <v>Yes</v>
      </c>
      <c r="Q2045" s="143"/>
      <c r="T2045" s="144"/>
      <c r="U2045" s="145" t="str">
        <f>VLOOKUP(H2045,Stock_list!A:N,14,FALSE)</f>
        <v>JUL 20</v>
      </c>
    </row>
    <row r="2046" spans="1:21" ht="16.5" customHeight="1">
      <c r="A2046" s="159" t="s">
        <v>2744</v>
      </c>
      <c r="B2046" s="114" t="str">
        <f>VLOOKUP(A2046,'Data pick slip'!B:F,5,FALSE)</f>
        <v>KHJ-MC100-00</v>
      </c>
      <c r="F2046" s="157" t="s">
        <v>2773</v>
      </c>
      <c r="H2046" s="138">
        <v>656</v>
      </c>
      <c r="I2046" s="139" t="str">
        <f>VLOOKUP(H2046,Stock_list!A:R,18,FALSE)</f>
        <v>中润互联</v>
      </c>
      <c r="J2046" s="139" t="str">
        <f>VLOOKUP(H2046,Stock_list!A:S,17,FALSE)</f>
        <v>C49SZX20200058SS</v>
      </c>
      <c r="K2046" s="51" t="str">
        <f>VLOOKUP(H2046,Stock_list!A:T,16,FALSE)</f>
        <v>RMB</v>
      </c>
      <c r="L2046" s="4">
        <v>44012</v>
      </c>
      <c r="M2046" s="132">
        <v>30</v>
      </c>
      <c r="O2046" s="149"/>
      <c r="P2046" s="4" t="str">
        <f>VLOOKUP(H2046,Stock_list!A:Y,25,FALSE)</f>
        <v>Yes</v>
      </c>
      <c r="Q2046" s="143"/>
      <c r="T2046" s="144"/>
      <c r="U2046" s="145" t="str">
        <f>VLOOKUP(H2046,Stock_list!A:N,14,FALSE)</f>
        <v>JUL 20</v>
      </c>
    </row>
    <row r="2047" spans="1:21" ht="16.5" customHeight="1">
      <c r="A2047" s="159" t="s">
        <v>2747</v>
      </c>
      <c r="B2047" s="114" t="str">
        <f>VLOOKUP(A2047,'Data pick slip'!B:F,5,FALSE)</f>
        <v>KHJ-MC200-00</v>
      </c>
      <c r="F2047" s="157" t="s">
        <v>2773</v>
      </c>
      <c r="H2047" s="138">
        <v>656</v>
      </c>
      <c r="I2047" s="139" t="str">
        <f>VLOOKUP(H2047,Stock_list!A:R,18,FALSE)</f>
        <v>中润互联</v>
      </c>
      <c r="J2047" s="139" t="str">
        <f>VLOOKUP(H2047,Stock_list!A:S,17,FALSE)</f>
        <v>C49SZX20200058SS</v>
      </c>
      <c r="K2047" s="51" t="str">
        <f>VLOOKUP(H2047,Stock_list!A:T,16,FALSE)</f>
        <v>RMB</v>
      </c>
      <c r="L2047" s="4">
        <v>43998</v>
      </c>
      <c r="M2047" s="140">
        <v>15</v>
      </c>
      <c r="O2047" s="149"/>
      <c r="P2047" s="4" t="str">
        <f>VLOOKUP(H2047,Stock_list!A:Y,25,FALSE)</f>
        <v>Yes</v>
      </c>
      <c r="Q2047" s="143"/>
      <c r="T2047" s="144"/>
      <c r="U2047" s="145" t="str">
        <f>VLOOKUP(H2047,Stock_list!A:N,14,FALSE)</f>
        <v>JUL 20</v>
      </c>
    </row>
    <row r="2048" spans="1:21" ht="16.5" customHeight="1">
      <c r="A2048" s="159" t="s">
        <v>2747</v>
      </c>
      <c r="B2048" s="114" t="str">
        <f>VLOOKUP(A2048,'Data pick slip'!B:F,5,FALSE)</f>
        <v>KHJ-MC200-00</v>
      </c>
      <c r="F2048" s="157" t="s">
        <v>2773</v>
      </c>
      <c r="H2048" s="138">
        <v>656</v>
      </c>
      <c r="I2048" s="139" t="str">
        <f>VLOOKUP(H2048,Stock_list!A:R,18,FALSE)</f>
        <v>中润互联</v>
      </c>
      <c r="J2048" s="139" t="str">
        <f>VLOOKUP(H2048,Stock_list!A:S,17,FALSE)</f>
        <v>C49SZX20200058SS</v>
      </c>
      <c r="K2048" s="51" t="str">
        <f>VLOOKUP(H2048,Stock_list!A:T,16,FALSE)</f>
        <v>RMB</v>
      </c>
      <c r="L2048" s="4">
        <v>44029</v>
      </c>
      <c r="M2048" s="132">
        <v>3</v>
      </c>
      <c r="O2048" s="140"/>
      <c r="P2048" s="4" t="str">
        <f>VLOOKUP(H2048,Stock_list!A:Y,25,FALSE)</f>
        <v>Yes</v>
      </c>
      <c r="Q2048" s="143"/>
      <c r="T2048" s="144"/>
      <c r="U2048" s="145" t="str">
        <f>VLOOKUP(H2048,Stock_list!A:N,14,FALSE)</f>
        <v>JUL 20</v>
      </c>
    </row>
    <row r="2049" spans="1:21" ht="16.5" customHeight="1">
      <c r="A2049" s="159" t="s">
        <v>2748</v>
      </c>
      <c r="B2049" s="114" t="str">
        <f>VLOOKUP(A2049,'Data pick slip'!B:F,5,FALSE)</f>
        <v>KHJ-MC400-00</v>
      </c>
      <c r="F2049" s="157" t="s">
        <v>2773</v>
      </c>
      <c r="H2049" s="138">
        <v>656</v>
      </c>
      <c r="I2049" s="139" t="str">
        <f>VLOOKUP(H2049,Stock_list!A:R,18,FALSE)</f>
        <v>中润互联</v>
      </c>
      <c r="J2049" s="139" t="str">
        <f>VLOOKUP(H2049,Stock_list!A:S,17,FALSE)</f>
        <v>C49SZX20200058SS</v>
      </c>
      <c r="K2049" s="51" t="str">
        <f>VLOOKUP(H2049,Stock_list!A:T,16,FALSE)</f>
        <v>RMB</v>
      </c>
      <c r="L2049" s="4">
        <v>44029</v>
      </c>
      <c r="M2049" s="132">
        <v>4</v>
      </c>
      <c r="P2049" s="4" t="str">
        <f>VLOOKUP(H2049,Stock_list!A:Y,25,FALSE)</f>
        <v>Yes</v>
      </c>
      <c r="Q2049" s="143"/>
      <c r="T2049" s="144"/>
      <c r="U2049" s="145" t="str">
        <f>VLOOKUP(H2049,Stock_list!A:N,14,FALSE)</f>
        <v>JUL 20</v>
      </c>
    </row>
    <row r="2050" spans="1:21" ht="16.5" customHeight="1">
      <c r="A2050" s="159" t="s">
        <v>2749</v>
      </c>
      <c r="B2050" s="114" t="str">
        <f>VLOOKUP(A2050,'Data pick slip'!B:F,5,FALSE)</f>
        <v>KHJ-MC500-00</v>
      </c>
      <c r="F2050" s="157" t="s">
        <v>2773</v>
      </c>
      <c r="H2050" s="138">
        <v>656</v>
      </c>
      <c r="I2050" s="139" t="str">
        <f>VLOOKUP(H2050,Stock_list!A:R,18,FALSE)</f>
        <v>中润互联</v>
      </c>
      <c r="J2050" s="139" t="str">
        <f>VLOOKUP(H2050,Stock_list!A:S,17,FALSE)</f>
        <v>C49SZX20200058SS</v>
      </c>
      <c r="K2050" s="51" t="str">
        <f>VLOOKUP(H2050,Stock_list!A:T,16,FALSE)</f>
        <v>RMB</v>
      </c>
      <c r="L2050" s="4">
        <v>44029</v>
      </c>
      <c r="M2050" s="132">
        <v>4</v>
      </c>
      <c r="P2050" s="4" t="str">
        <f>VLOOKUP(H2050,Stock_list!A:Y,25,FALSE)</f>
        <v>Yes</v>
      </c>
      <c r="Q2050" s="143"/>
      <c r="T2050" s="144"/>
      <c r="U2050" s="145" t="str">
        <f>VLOOKUP(H2050,Stock_list!A:N,14,FALSE)</f>
        <v>JUL 20</v>
      </c>
    </row>
    <row r="2051" spans="1:21" ht="16.5" customHeight="1">
      <c r="A2051" s="159" t="s">
        <v>2750</v>
      </c>
      <c r="B2051" s="114" t="str">
        <f>VLOOKUP(A2051,'Data pick slip'!B:F,5,FALSE)</f>
        <v>KHJ-MC600-00</v>
      </c>
      <c r="F2051" s="157" t="s">
        <v>2773</v>
      </c>
      <c r="H2051" s="138">
        <v>656</v>
      </c>
      <c r="I2051" s="139" t="str">
        <f>VLOOKUP(H2051,Stock_list!A:R,18,FALSE)</f>
        <v>中润互联</v>
      </c>
      <c r="J2051" s="139" t="str">
        <f>VLOOKUP(H2051,Stock_list!A:S,17,FALSE)</f>
        <v>C49SZX20200058SS</v>
      </c>
      <c r="K2051" s="51" t="str">
        <f>VLOOKUP(H2051,Stock_list!A:T,16,FALSE)</f>
        <v>RMB</v>
      </c>
      <c r="L2051" s="4">
        <v>44029</v>
      </c>
      <c r="M2051" s="132">
        <v>1</v>
      </c>
      <c r="P2051" s="4" t="str">
        <f>VLOOKUP(H2051,Stock_list!A:Y,25,FALSE)</f>
        <v>Yes</v>
      </c>
      <c r="Q2051" s="143"/>
      <c r="T2051" s="144"/>
      <c r="U2051" s="145" t="str">
        <f>VLOOKUP(H2051,Stock_list!A:N,14,FALSE)</f>
        <v>JUL 20</v>
      </c>
    </row>
    <row r="2052" spans="1:21" ht="16.5" customHeight="1">
      <c r="A2052" s="159" t="s">
        <v>2744</v>
      </c>
      <c r="B2052" s="114" t="str">
        <f>VLOOKUP(A2052,'Data pick slip'!B:F,5,FALSE)</f>
        <v>KHJ-MC100-00</v>
      </c>
      <c r="F2052" s="157" t="s">
        <v>2773</v>
      </c>
      <c r="I2052" s="139" t="s">
        <v>3099</v>
      </c>
      <c r="J2052" s="139" t="s">
        <v>3289</v>
      </c>
      <c r="K2052" s="51" t="s">
        <v>1246</v>
      </c>
      <c r="L2052" s="4">
        <v>43990</v>
      </c>
      <c r="M2052" s="140">
        <v>10</v>
      </c>
      <c r="P2052" s="4" t="s">
        <v>291</v>
      </c>
      <c r="Q2052" s="143"/>
      <c r="T2052" s="144"/>
      <c r="U2052" s="145" t="e">
        <f>VLOOKUP(H2052,Stock_list!A:N,14,FALSE)</f>
        <v>#N/A</v>
      </c>
    </row>
    <row r="2053" spans="1:21" ht="16.5" customHeight="1">
      <c r="A2053" s="159" t="s">
        <v>2747</v>
      </c>
      <c r="B2053" s="114" t="str">
        <f>VLOOKUP(A2053,'Data pick slip'!B:F,5,FALSE)</f>
        <v>KHJ-MC200-00</v>
      </c>
      <c r="F2053" s="157" t="s">
        <v>2773</v>
      </c>
      <c r="I2053" s="139" t="s">
        <v>3099</v>
      </c>
      <c r="J2053" s="139" t="s">
        <v>3289</v>
      </c>
      <c r="K2053" s="51" t="s">
        <v>1246</v>
      </c>
      <c r="L2053" s="4">
        <v>43998</v>
      </c>
      <c r="M2053" s="140">
        <v>4</v>
      </c>
      <c r="P2053" s="4" t="s">
        <v>291</v>
      </c>
      <c r="Q2053" s="143"/>
      <c r="T2053" s="144"/>
      <c r="U2053" s="145" t="e">
        <f>VLOOKUP(H2053,Stock_list!A:N,14,FALSE)</f>
        <v>#N/A</v>
      </c>
    </row>
    <row r="2054" spans="1:21" ht="16.5" customHeight="1">
      <c r="A2054" s="159" t="s">
        <v>2748</v>
      </c>
      <c r="B2054" s="114" t="str">
        <f>VLOOKUP(A2054,'Data pick slip'!B:F,5,FALSE)</f>
        <v>KHJ-MC400-00</v>
      </c>
      <c r="F2054" s="157" t="s">
        <v>2773</v>
      </c>
      <c r="I2054" s="139" t="s">
        <v>3099</v>
      </c>
      <c r="J2054" s="139" t="s">
        <v>3289</v>
      </c>
      <c r="K2054" s="51" t="s">
        <v>1246</v>
      </c>
      <c r="L2054" s="4">
        <v>43998</v>
      </c>
      <c r="M2054" s="140">
        <v>2</v>
      </c>
      <c r="P2054" s="4" t="s">
        <v>291</v>
      </c>
      <c r="Q2054" s="143"/>
      <c r="T2054" s="144"/>
      <c r="U2054" s="145" t="e">
        <f>VLOOKUP(H2054,Stock_list!A:N,14,FALSE)</f>
        <v>#N/A</v>
      </c>
    </row>
    <row r="2055" spans="1:21" ht="16.5" customHeight="1">
      <c r="A2055" s="159" t="s">
        <v>2744</v>
      </c>
      <c r="B2055" s="114" t="str">
        <f>VLOOKUP(A2055,'Data pick slip'!B:F,5,FALSE)</f>
        <v>KHJ-MC100-00</v>
      </c>
      <c r="F2055" s="157" t="s">
        <v>2773</v>
      </c>
      <c r="H2055" s="138">
        <v>660</v>
      </c>
      <c r="I2055" s="139" t="str">
        <f>VLOOKUP(H2055,Stock_list!A:R,18,FALSE)</f>
        <v>康腾</v>
      </c>
      <c r="J2055" s="139" t="str">
        <f>VLOOKUP(H2055,Stock_list!A:S,17,FALSE)</f>
        <v>C49SZX20200062SS</v>
      </c>
      <c r="K2055" s="51" t="str">
        <f>VLOOKUP(H2055,Stock_list!A:T,16,FALSE)</f>
        <v>RMB</v>
      </c>
      <c r="L2055" s="4">
        <v>44014</v>
      </c>
      <c r="M2055" s="132">
        <v>35</v>
      </c>
      <c r="P2055" s="4" t="str">
        <f>VLOOKUP(H2055,Stock_list!A:Y,25,FALSE)</f>
        <v>Yes</v>
      </c>
      <c r="Q2055" s="143"/>
      <c r="T2055" s="144"/>
      <c r="U2055" s="145" t="str">
        <f>VLOOKUP(H2055,Stock_list!A:N,14,FALSE)</f>
        <v>JUL 20</v>
      </c>
    </row>
    <row r="2056" spans="1:21" ht="16.5" customHeight="1">
      <c r="A2056" s="159" t="s">
        <v>2747</v>
      </c>
      <c r="B2056" s="114" t="str">
        <f>VLOOKUP(A2056,'Data pick slip'!B:F,5,FALSE)</f>
        <v>KHJ-MC200-00</v>
      </c>
      <c r="F2056" s="157" t="s">
        <v>2773</v>
      </c>
      <c r="H2056" s="138">
        <v>660</v>
      </c>
      <c r="I2056" s="139" t="str">
        <f>VLOOKUP(H2056,Stock_list!A:R,18,FALSE)</f>
        <v>康腾</v>
      </c>
      <c r="J2056" s="139" t="str">
        <f>VLOOKUP(H2056,Stock_list!A:S,17,FALSE)</f>
        <v>C49SZX20200062SS</v>
      </c>
      <c r="K2056" s="51" t="str">
        <f>VLOOKUP(H2056,Stock_list!A:T,16,FALSE)</f>
        <v>RMB</v>
      </c>
      <c r="L2056" s="4">
        <v>44014</v>
      </c>
      <c r="M2056" s="132">
        <v>2</v>
      </c>
      <c r="P2056" s="4" t="str">
        <f>VLOOKUP(H2056,Stock_list!A:Y,25,FALSE)</f>
        <v>Yes</v>
      </c>
      <c r="Q2056" s="143"/>
      <c r="T2056" s="144"/>
      <c r="U2056" s="145" t="str">
        <f>VLOOKUP(H2056,Stock_list!A:N,14,FALSE)</f>
        <v>JUL 20</v>
      </c>
    </row>
    <row r="2057" spans="1:21" ht="16.5" customHeight="1">
      <c r="A2057" s="159" t="s">
        <v>2749</v>
      </c>
      <c r="B2057" s="114" t="str">
        <f>VLOOKUP(A2057,'Data pick slip'!B:F,5,FALSE)</f>
        <v>KHJ-MC500-00</v>
      </c>
      <c r="F2057" s="157" t="s">
        <v>2773</v>
      </c>
      <c r="I2057" s="139" t="s">
        <v>3290</v>
      </c>
      <c r="J2057" s="139" t="s">
        <v>3291</v>
      </c>
      <c r="K2057" s="51" t="s">
        <v>1246</v>
      </c>
      <c r="L2057" s="4">
        <v>43993</v>
      </c>
      <c r="M2057" s="140">
        <v>2</v>
      </c>
      <c r="P2057" s="4" t="s">
        <v>291</v>
      </c>
      <c r="Q2057" s="143"/>
      <c r="T2057" s="144"/>
      <c r="U2057" s="145" t="e">
        <f>VLOOKUP(H2057,Stock_list!A:N,14,FALSE)</f>
        <v>#N/A</v>
      </c>
    </row>
    <row r="2058" spans="1:21" ht="16.5" customHeight="1">
      <c r="A2058" s="159" t="s">
        <v>2744</v>
      </c>
      <c r="B2058" s="114" t="str">
        <f>VLOOKUP(A2058,'Data pick slip'!B:F,5,FALSE)</f>
        <v>KHJ-MC100-00</v>
      </c>
      <c r="F2058" s="157" t="s">
        <v>2773</v>
      </c>
      <c r="H2058" s="138">
        <v>661</v>
      </c>
      <c r="I2058" s="139" t="str">
        <f>VLOOKUP(H2058,Stock_list!A:R,18,FALSE)</f>
        <v>科华/End user 美斯特</v>
      </c>
      <c r="J2058" s="139" t="str">
        <f>VLOOKUP(H2058,Stock_list!A:S,17,FALSE)</f>
        <v>C49SZX20200065JZ</v>
      </c>
      <c r="K2058" s="51" t="str">
        <f>VLOOKUP(H2058,Stock_list!A:T,16,FALSE)</f>
        <v>RMB</v>
      </c>
      <c r="L2058" s="4">
        <v>44000</v>
      </c>
      <c r="M2058" s="132">
        <v>14</v>
      </c>
      <c r="P2058" s="4" t="str">
        <f>VLOOKUP(H2058,Stock_list!A:Y,25,FALSE)</f>
        <v>Yes</v>
      </c>
      <c r="Q2058" s="143"/>
      <c r="T2058" s="144"/>
      <c r="U2058" s="145" t="str">
        <f>VLOOKUP(H2058,Stock_list!A:N,14,FALSE)</f>
        <v>JUN 20</v>
      </c>
    </row>
    <row r="2059" spans="1:21" ht="16.5" customHeight="1">
      <c r="A2059" s="159" t="s">
        <v>2747</v>
      </c>
      <c r="B2059" s="114" t="str">
        <f>VLOOKUP(A2059,'Data pick slip'!B:F,5,FALSE)</f>
        <v>KHJ-MC200-00</v>
      </c>
      <c r="F2059" s="157" t="s">
        <v>2773</v>
      </c>
      <c r="H2059" s="138">
        <v>661</v>
      </c>
      <c r="I2059" s="139" t="str">
        <f>VLOOKUP(H2059,Stock_list!A:R,18,FALSE)</f>
        <v>科华/End user 美斯特</v>
      </c>
      <c r="J2059" s="139" t="str">
        <f>VLOOKUP(H2059,Stock_list!A:S,17,FALSE)</f>
        <v>C49SZX20200065JZ</v>
      </c>
      <c r="K2059" s="51" t="str">
        <f>VLOOKUP(H2059,Stock_list!A:T,16,FALSE)</f>
        <v>RMB</v>
      </c>
      <c r="L2059" s="4">
        <v>44000</v>
      </c>
      <c r="M2059" s="132">
        <v>2</v>
      </c>
      <c r="P2059" s="4" t="str">
        <f>VLOOKUP(H2059,Stock_list!A:Y,25,FALSE)</f>
        <v>Yes</v>
      </c>
      <c r="Q2059" s="143"/>
      <c r="T2059" s="144"/>
      <c r="U2059" s="145" t="str">
        <f>VLOOKUP(H2059,Stock_list!A:N,14,FALSE)</f>
        <v>JUN 20</v>
      </c>
    </row>
    <row r="2060" spans="1:21" ht="16.5" customHeight="1">
      <c r="A2060" s="159" t="s">
        <v>2748</v>
      </c>
      <c r="B2060" s="114" t="str">
        <f>VLOOKUP(A2060,'Data pick slip'!B:F,5,FALSE)</f>
        <v>KHJ-MC400-00</v>
      </c>
      <c r="F2060" s="157" t="s">
        <v>2773</v>
      </c>
      <c r="H2060" s="138">
        <v>661</v>
      </c>
      <c r="I2060" s="139" t="str">
        <f>VLOOKUP(H2060,Stock_list!A:R,18,FALSE)</f>
        <v>科华/End user 美斯特</v>
      </c>
      <c r="J2060" s="139" t="str">
        <f>VLOOKUP(H2060,Stock_list!A:S,17,FALSE)</f>
        <v>C49SZX20200065JZ</v>
      </c>
      <c r="K2060" s="51" t="str">
        <f>VLOOKUP(H2060,Stock_list!A:T,16,FALSE)</f>
        <v>RMB</v>
      </c>
      <c r="L2060" s="4">
        <v>44000</v>
      </c>
      <c r="M2060" s="132">
        <v>1</v>
      </c>
      <c r="P2060" s="4" t="str">
        <f>VLOOKUP(H2060,Stock_list!A:Y,25,FALSE)</f>
        <v>Yes</v>
      </c>
      <c r="Q2060" s="143"/>
      <c r="T2060" s="144"/>
      <c r="U2060" s="145" t="str">
        <f>VLOOKUP(H2060,Stock_list!A:N,14,FALSE)</f>
        <v>JUN 20</v>
      </c>
    </row>
    <row r="2061" spans="1:21" ht="16.5" customHeight="1">
      <c r="A2061" s="159" t="s">
        <v>2748</v>
      </c>
      <c r="B2061" s="114" t="str">
        <f>VLOOKUP(A2061,'Data pick slip'!B:F,5,FALSE)</f>
        <v>KHJ-MC400-00</v>
      </c>
      <c r="F2061" s="157" t="s">
        <v>2773</v>
      </c>
      <c r="H2061" s="138">
        <v>662</v>
      </c>
      <c r="I2061" s="139" t="str">
        <f>VLOOKUP(H2061,Stock_list!A:R,18,FALSE)</f>
        <v>旭日伟光</v>
      </c>
      <c r="J2061" s="139" t="str">
        <f>VLOOKUP(H2061,Stock_list!A:S,17,FALSE)</f>
        <v>C49SZX20200061JY</v>
      </c>
      <c r="K2061" s="51" t="str">
        <f>VLOOKUP(H2061,Stock_list!A:T,16,FALSE)</f>
        <v>JPY</v>
      </c>
      <c r="L2061" s="4">
        <v>43999</v>
      </c>
      <c r="M2061" s="140">
        <v>3</v>
      </c>
      <c r="P2061" s="4" t="str">
        <f>VLOOKUP(H2061,Stock_list!A:Y,25,FALSE)</f>
        <v>Yes</v>
      </c>
      <c r="Q2061" s="143"/>
      <c r="S2061" s="123" t="s">
        <v>3003</v>
      </c>
      <c r="T2061" s="205" t="s">
        <v>3292</v>
      </c>
      <c r="U2061" s="145" t="str">
        <f>VLOOKUP(H2061,Stock_list!A:N,14,FALSE)</f>
        <v>JUN 20</v>
      </c>
    </row>
    <row r="2062" spans="1:21" ht="16.5" customHeight="1">
      <c r="A2062" s="159" t="s">
        <v>2744</v>
      </c>
      <c r="B2062" s="114" t="str">
        <f>VLOOKUP(A2062,'Data pick slip'!B:F,5,FALSE)</f>
        <v>KHJ-MC100-00</v>
      </c>
      <c r="F2062" s="157" t="s">
        <v>2861</v>
      </c>
      <c r="I2062" s="139" t="s">
        <v>3015</v>
      </c>
      <c r="J2062" s="139" t="s">
        <v>3293</v>
      </c>
      <c r="K2062" s="51" t="s">
        <v>1246</v>
      </c>
      <c r="L2062" s="4">
        <v>43998</v>
      </c>
      <c r="M2062" s="140">
        <v>50</v>
      </c>
      <c r="P2062" s="4" t="s">
        <v>291</v>
      </c>
      <c r="Q2062" s="143"/>
      <c r="T2062" s="144"/>
      <c r="U2062" s="145" t="e">
        <f>VLOOKUP(H2062,Stock_list!A:N,14,FALSE)</f>
        <v>#N/A</v>
      </c>
    </row>
    <row r="2063" spans="1:21" ht="16.5" customHeight="1">
      <c r="A2063" s="159" t="s">
        <v>2747</v>
      </c>
      <c r="B2063" s="114" t="str">
        <f>VLOOKUP(A2063,'Data pick slip'!B:F,5,FALSE)</f>
        <v>KHJ-MC200-00</v>
      </c>
      <c r="F2063" s="157" t="s">
        <v>2861</v>
      </c>
      <c r="I2063" s="139" t="s">
        <v>3015</v>
      </c>
      <c r="J2063" s="139" t="s">
        <v>3293</v>
      </c>
      <c r="K2063" s="51" t="s">
        <v>1246</v>
      </c>
      <c r="L2063" s="4">
        <v>43998</v>
      </c>
      <c r="M2063" s="140">
        <v>100</v>
      </c>
      <c r="P2063" s="4" t="s">
        <v>291</v>
      </c>
      <c r="Q2063" s="143"/>
      <c r="T2063" s="144"/>
      <c r="U2063" s="145" t="e">
        <f>VLOOKUP(H2063,Stock_list!A:N,14,FALSE)</f>
        <v>#N/A</v>
      </c>
    </row>
    <row r="2064" spans="1:21" ht="16.5" customHeight="1">
      <c r="A2064" s="159" t="s">
        <v>2748</v>
      </c>
      <c r="B2064" s="114" t="str">
        <f>VLOOKUP(A2064,'Data pick slip'!B:F,5,FALSE)</f>
        <v>KHJ-MC400-00</v>
      </c>
      <c r="F2064" s="157" t="s">
        <v>2861</v>
      </c>
      <c r="I2064" s="139" t="s">
        <v>3015</v>
      </c>
      <c r="J2064" s="139" t="s">
        <v>3293</v>
      </c>
      <c r="K2064" s="51" t="s">
        <v>1246</v>
      </c>
      <c r="L2064" s="4">
        <v>43998</v>
      </c>
      <c r="M2064" s="140">
        <v>40</v>
      </c>
      <c r="P2064" s="4" t="s">
        <v>291</v>
      </c>
      <c r="Q2064" s="143"/>
      <c r="T2064" s="144"/>
      <c r="U2064" s="145" t="e">
        <f>VLOOKUP(H2064,Stock_list!A:N,14,FALSE)</f>
        <v>#N/A</v>
      </c>
    </row>
    <row r="2065" spans="1:21" ht="16.5" customHeight="1">
      <c r="A2065" s="159" t="s">
        <v>2750</v>
      </c>
      <c r="B2065" s="114" t="str">
        <f>VLOOKUP(A2065,'Data pick slip'!B:F,5,FALSE)</f>
        <v>KHJ-MC600-00</v>
      </c>
      <c r="F2065" s="157" t="s">
        <v>2861</v>
      </c>
      <c r="I2065" s="139" t="s">
        <v>3015</v>
      </c>
      <c r="J2065" s="139" t="s">
        <v>3293</v>
      </c>
      <c r="K2065" s="51" t="s">
        <v>1246</v>
      </c>
      <c r="L2065" s="4">
        <v>43998</v>
      </c>
      <c r="M2065" s="140">
        <v>5</v>
      </c>
      <c r="P2065" s="4" t="s">
        <v>291</v>
      </c>
      <c r="Q2065" s="143"/>
      <c r="T2065" s="144"/>
      <c r="U2065" s="145" t="e">
        <f>VLOOKUP(H2065,Stock_list!A:N,14,FALSE)</f>
        <v>#N/A</v>
      </c>
    </row>
    <row r="2066" spans="1:21" ht="16.5" customHeight="1">
      <c r="A2066" s="159" t="s">
        <v>2747</v>
      </c>
      <c r="B2066" s="114" t="str">
        <f>VLOOKUP(A2066,'Data pick slip'!B:F,5,FALSE)</f>
        <v>KHJ-MC200-00</v>
      </c>
      <c r="F2066" s="157" t="s">
        <v>2773</v>
      </c>
      <c r="I2066" s="139" t="s">
        <v>3093</v>
      </c>
      <c r="J2066" s="139" t="s">
        <v>3294</v>
      </c>
      <c r="K2066" s="51" t="s">
        <v>1246</v>
      </c>
      <c r="L2066" s="4">
        <v>43998</v>
      </c>
      <c r="M2066" s="140">
        <v>1</v>
      </c>
      <c r="P2066" s="4" t="s">
        <v>291</v>
      </c>
      <c r="Q2066" s="143"/>
      <c r="T2066" s="144"/>
      <c r="U2066" s="145" t="e">
        <f>VLOOKUP(H2066,Stock_list!A:N,14,FALSE)</f>
        <v>#N/A</v>
      </c>
    </row>
    <row r="2067" spans="1:21" ht="16.5" customHeight="1">
      <c r="A2067" s="159" t="s">
        <v>2748</v>
      </c>
      <c r="B2067" s="114" t="str">
        <f>VLOOKUP(A2067,'Data pick slip'!B:F,5,FALSE)</f>
        <v>KHJ-MC400-00</v>
      </c>
      <c r="F2067" s="157" t="s">
        <v>2773</v>
      </c>
      <c r="I2067" s="139" t="s">
        <v>3099</v>
      </c>
      <c r="J2067" s="139" t="s">
        <v>3295</v>
      </c>
      <c r="K2067" s="51" t="s">
        <v>1246</v>
      </c>
      <c r="L2067" s="4">
        <v>43998</v>
      </c>
      <c r="M2067" s="140">
        <v>6</v>
      </c>
      <c r="P2067" s="4" t="s">
        <v>291</v>
      </c>
      <c r="Q2067" s="143"/>
      <c r="T2067" s="144"/>
      <c r="U2067" s="145" t="e">
        <f>VLOOKUP(H2067,Stock_list!A:N,14,FALSE)</f>
        <v>#N/A</v>
      </c>
    </row>
    <row r="2068" spans="1:21" ht="16.5" customHeight="1">
      <c r="A2068" s="159" t="s">
        <v>2744</v>
      </c>
      <c r="B2068" s="114" t="str">
        <f>VLOOKUP(A2068,'Data pick slip'!B:F,5,FALSE)</f>
        <v>KHJ-MC100-00</v>
      </c>
      <c r="F2068" s="157" t="s">
        <v>2773</v>
      </c>
      <c r="I2068" s="139" t="s">
        <v>3099</v>
      </c>
      <c r="J2068" s="139" t="s">
        <v>3296</v>
      </c>
      <c r="K2068" s="51" t="s">
        <v>1246</v>
      </c>
      <c r="L2068" s="4">
        <v>44000</v>
      </c>
      <c r="M2068" s="140">
        <v>2</v>
      </c>
      <c r="P2068" s="4" t="s">
        <v>291</v>
      </c>
      <c r="Q2068" s="143"/>
      <c r="T2068" s="144"/>
      <c r="U2068" s="145" t="e">
        <f>VLOOKUP(H2068,Stock_list!A:N,14,FALSE)</f>
        <v>#N/A</v>
      </c>
    </row>
    <row r="2069" spans="1:21" ht="16.5" customHeight="1">
      <c r="A2069" s="159" t="s">
        <v>2747</v>
      </c>
      <c r="B2069" s="114" t="str">
        <f>VLOOKUP(A2069,'Data pick slip'!B:F,5,FALSE)</f>
        <v>KHJ-MC200-00</v>
      </c>
      <c r="F2069" s="157" t="s">
        <v>2773</v>
      </c>
      <c r="H2069" s="138">
        <v>665</v>
      </c>
      <c r="I2069" s="139" t="str">
        <f>VLOOKUP(H2069,Stock_list!A:R,18,FALSE)</f>
        <v>中润互联</v>
      </c>
      <c r="J2069" s="139" t="str">
        <f>VLOOKUP(H2069,Stock_list!A:S,17,FALSE)</f>
        <v>C49SZX20200063SS</v>
      </c>
      <c r="K2069" s="51" t="str">
        <f>VLOOKUP(H2069,Stock_list!A:T,16,FALSE)</f>
        <v>RMB</v>
      </c>
      <c r="L2069" s="4">
        <v>44029</v>
      </c>
      <c r="M2069" s="140">
        <v>1</v>
      </c>
      <c r="P2069" s="4" t="str">
        <f>VLOOKUP(H2069,Stock_list!A:Y,25,FALSE)</f>
        <v>Yes</v>
      </c>
      <c r="Q2069" s="143"/>
      <c r="T2069" s="144"/>
      <c r="U2069" s="145" t="str">
        <f>VLOOKUP(H2069,Stock_list!A:N,14,FALSE)</f>
        <v>JUL 20</v>
      </c>
    </row>
    <row r="2070" spans="1:21" ht="16.5" customHeight="1">
      <c r="A2070" s="159" t="s">
        <v>2756</v>
      </c>
      <c r="B2070" s="114" t="str">
        <f>VLOOKUP(A2070,'Data pick slip'!B:F,5,FALSE)</f>
        <v>KLJ-MC200-00</v>
      </c>
      <c r="F2070" s="157" t="s">
        <v>2773</v>
      </c>
      <c r="I2070" s="139" t="s">
        <v>3093</v>
      </c>
      <c r="J2070" s="139" t="s">
        <v>3297</v>
      </c>
      <c r="K2070" s="51" t="s">
        <v>1246</v>
      </c>
      <c r="L2070" s="4">
        <v>44001</v>
      </c>
      <c r="M2070" s="140">
        <v>5</v>
      </c>
      <c r="P2070" s="4" t="s">
        <v>291</v>
      </c>
      <c r="T2070" s="144"/>
      <c r="U2070" s="145" t="e">
        <f>VLOOKUP(H2070,Stock_list!A:N,14,FALSE)</f>
        <v>#N/A</v>
      </c>
    </row>
    <row r="2071" spans="1:21" ht="16.5" customHeight="1">
      <c r="A2071" s="159" t="s">
        <v>2748</v>
      </c>
      <c r="B2071" s="114" t="str">
        <f>VLOOKUP(A2071,'Data pick slip'!B:F,5,FALSE)</f>
        <v>KHJ-MC400-00</v>
      </c>
      <c r="F2071" s="157" t="s">
        <v>2773</v>
      </c>
      <c r="I2071" s="139" t="s">
        <v>3093</v>
      </c>
      <c r="J2071" s="139" t="s">
        <v>3297</v>
      </c>
      <c r="K2071" s="51" t="s">
        <v>1246</v>
      </c>
      <c r="L2071" s="4">
        <v>44001</v>
      </c>
      <c r="M2071" s="140">
        <v>2</v>
      </c>
      <c r="P2071" s="4" t="s">
        <v>291</v>
      </c>
      <c r="Q2071" s="143"/>
      <c r="T2071" s="144"/>
      <c r="U2071" s="145" t="e">
        <f>VLOOKUP(H2071,Stock_list!A:N,14,FALSE)</f>
        <v>#N/A</v>
      </c>
    </row>
    <row r="2072" spans="1:21" ht="16.5" customHeight="1">
      <c r="A2072" s="159" t="s">
        <v>2744</v>
      </c>
      <c r="B2072" s="114" t="str">
        <f>VLOOKUP(A2072,'Data pick slip'!B:F,5,FALSE)</f>
        <v>KHJ-MC100-00</v>
      </c>
      <c r="F2072" s="157" t="s">
        <v>2861</v>
      </c>
      <c r="H2072" s="138">
        <v>666</v>
      </c>
      <c r="I2072" s="139" t="str">
        <f>VLOOKUP(H2072,Stock_list!A:R,18,FALSE)</f>
        <v>百纳海</v>
      </c>
      <c r="J2072" s="139" t="str">
        <f>VLOOKUP(H2072,Stock_list!A:S,17,FALSE)</f>
        <v>C49SZX20200069JY</v>
      </c>
      <c r="K2072" s="51" t="str">
        <f>VLOOKUP(H2072,Stock_list!A:T,16,FALSE)</f>
        <v>JPY</v>
      </c>
      <c r="L2072" s="4">
        <v>44014</v>
      </c>
      <c r="M2072" s="132">
        <v>20</v>
      </c>
      <c r="P2072" s="4" t="str">
        <f>VLOOKUP(H2072,Stock_list!A:Y,25,FALSE)</f>
        <v>Yes</v>
      </c>
      <c r="Q2072" s="143"/>
      <c r="T2072" s="144"/>
      <c r="U2072" s="145" t="str">
        <f>VLOOKUP(H2072,Stock_list!A:N,14,FALSE)</f>
        <v>JUL 20</v>
      </c>
    </row>
    <row r="2073" spans="1:21" ht="16.5" customHeight="1">
      <c r="A2073" s="159" t="s">
        <v>2747</v>
      </c>
      <c r="B2073" s="114" t="str">
        <f>VLOOKUP(A2073,'Data pick slip'!B:F,5,FALSE)</f>
        <v>KHJ-MC200-00</v>
      </c>
      <c r="F2073" s="157" t="s">
        <v>2861</v>
      </c>
      <c r="H2073" s="138">
        <v>666</v>
      </c>
      <c r="I2073" s="139" t="str">
        <f>VLOOKUP(H2073,Stock_list!A:R,18,FALSE)</f>
        <v>百纳海</v>
      </c>
      <c r="J2073" s="139" t="str">
        <f>VLOOKUP(H2073,Stock_list!A:S,17,FALSE)</f>
        <v>C49SZX20200069JY</v>
      </c>
      <c r="K2073" s="51" t="str">
        <f>VLOOKUP(H2073,Stock_list!A:T,16,FALSE)</f>
        <v>JPY</v>
      </c>
      <c r="L2073" s="4">
        <v>44014</v>
      </c>
      <c r="M2073" s="132">
        <v>2</v>
      </c>
      <c r="P2073" s="4" t="str">
        <f>VLOOKUP(H2073,Stock_list!A:Y,25,FALSE)</f>
        <v>Yes</v>
      </c>
      <c r="Q2073" s="143"/>
      <c r="T2073" s="144"/>
      <c r="U2073" s="145" t="str">
        <f>VLOOKUP(H2073,Stock_list!A:N,14,FALSE)</f>
        <v>JUL 20</v>
      </c>
    </row>
    <row r="2074" spans="1:21" ht="16.5" customHeight="1">
      <c r="A2074" s="159" t="s">
        <v>2744</v>
      </c>
      <c r="B2074" s="114" t="str">
        <f>VLOOKUP(A2074,'Data pick slip'!B:F,5,FALSE)</f>
        <v>KHJ-MC100-00</v>
      </c>
      <c r="F2074" s="157" t="s">
        <v>2773</v>
      </c>
      <c r="I2074" s="139" t="s">
        <v>3099</v>
      </c>
      <c r="J2074" s="139" t="s">
        <v>3298</v>
      </c>
      <c r="K2074" s="51" t="s">
        <v>1246</v>
      </c>
      <c r="L2074" s="4">
        <v>44001</v>
      </c>
      <c r="M2074" s="140">
        <v>1</v>
      </c>
      <c r="P2074" s="4" t="s">
        <v>291</v>
      </c>
      <c r="Q2074" s="143"/>
      <c r="T2074" s="144"/>
      <c r="U2074" s="145" t="e">
        <f>VLOOKUP(H2074,Stock_list!A:N,14,FALSE)</f>
        <v>#N/A</v>
      </c>
    </row>
    <row r="2075" spans="1:21" ht="16.5" customHeight="1">
      <c r="A2075" s="159" t="s">
        <v>2747</v>
      </c>
      <c r="B2075" s="114" t="str">
        <f>VLOOKUP(A2075,'Data pick slip'!B:F,5,FALSE)</f>
        <v>KHJ-MC200-00</v>
      </c>
      <c r="F2075" s="157" t="s">
        <v>2773</v>
      </c>
      <c r="I2075" s="139" t="s">
        <v>3099</v>
      </c>
      <c r="J2075" s="139" t="s">
        <v>3298</v>
      </c>
      <c r="K2075" s="51" t="s">
        <v>1246</v>
      </c>
      <c r="L2075" s="4">
        <v>44001</v>
      </c>
      <c r="M2075" s="140">
        <v>1</v>
      </c>
      <c r="P2075" s="4" t="s">
        <v>291</v>
      </c>
      <c r="Q2075" s="143"/>
      <c r="T2075" s="144"/>
      <c r="U2075" s="145" t="e">
        <f>VLOOKUP(H2075,Stock_list!A:N,14,FALSE)</f>
        <v>#N/A</v>
      </c>
    </row>
    <row r="2076" spans="1:21" ht="16.5" customHeight="1">
      <c r="A2076" s="159" t="s">
        <v>2749</v>
      </c>
      <c r="B2076" s="114" t="str">
        <f>VLOOKUP(A2076,'Data pick slip'!B:F,5,FALSE)</f>
        <v>KHJ-MC500-00</v>
      </c>
      <c r="F2076" s="157" t="s">
        <v>2773</v>
      </c>
      <c r="I2076" s="139" t="s">
        <v>3099</v>
      </c>
      <c r="J2076" s="139" t="s">
        <v>3295</v>
      </c>
      <c r="K2076" s="51" t="s">
        <v>1246</v>
      </c>
      <c r="L2076" s="4">
        <v>43994</v>
      </c>
      <c r="M2076" s="140">
        <v>1</v>
      </c>
      <c r="P2076" s="4" t="s">
        <v>291</v>
      </c>
      <c r="Q2076" s="143"/>
      <c r="T2076" s="144"/>
      <c r="U2076" s="145" t="e">
        <f>VLOOKUP(H2076,Stock_list!A:N,14,FALSE)</f>
        <v>#N/A</v>
      </c>
    </row>
    <row r="2077" spans="1:21" ht="16.5" customHeight="1">
      <c r="A2077" s="159" t="s">
        <v>2748</v>
      </c>
      <c r="B2077" s="114" t="str">
        <f>VLOOKUP(A2077,'Data pick slip'!B:F,5,FALSE)</f>
        <v>KHJ-MC400-00</v>
      </c>
      <c r="F2077" s="157" t="s">
        <v>2773</v>
      </c>
      <c r="I2077" s="139" t="s">
        <v>3099</v>
      </c>
      <c r="J2077" s="139" t="s">
        <v>3299</v>
      </c>
      <c r="K2077" s="51" t="s">
        <v>1246</v>
      </c>
      <c r="L2077" s="4">
        <v>44004</v>
      </c>
      <c r="M2077" s="140">
        <v>5</v>
      </c>
      <c r="P2077" s="4" t="s">
        <v>291</v>
      </c>
      <c r="Q2077" s="143"/>
      <c r="T2077" s="144"/>
      <c r="U2077" s="145" t="e">
        <f>VLOOKUP(H2077,Stock_list!A:N,14,FALSE)</f>
        <v>#N/A</v>
      </c>
    </row>
    <row r="2078" spans="1:21" ht="16.5" customHeight="1">
      <c r="A2078" s="159" t="s">
        <v>2748</v>
      </c>
      <c r="B2078" s="114" t="str">
        <f>VLOOKUP(A2078,'Data pick slip'!B:F,5,FALSE)</f>
        <v>KHJ-MC400-00</v>
      </c>
      <c r="F2078" s="157" t="s">
        <v>2773</v>
      </c>
      <c r="I2078" s="139" t="s">
        <v>3099</v>
      </c>
      <c r="J2078" s="139" t="s">
        <v>3299</v>
      </c>
      <c r="K2078" s="51" t="s">
        <v>1246</v>
      </c>
      <c r="L2078" s="4">
        <v>44010</v>
      </c>
      <c r="M2078" s="140">
        <v>5</v>
      </c>
      <c r="P2078" s="4" t="s">
        <v>291</v>
      </c>
      <c r="Q2078" s="143"/>
      <c r="T2078" s="144"/>
      <c r="U2078" s="145" t="e">
        <f>VLOOKUP(H2078,Stock_list!A:N,14,FALSE)</f>
        <v>#N/A</v>
      </c>
    </row>
    <row r="2079" spans="1:21" ht="16.5" customHeight="1">
      <c r="A2079" s="159" t="s">
        <v>2749</v>
      </c>
      <c r="B2079" s="114" t="str">
        <f>VLOOKUP(A2079,'Data pick slip'!B:F,5,FALSE)</f>
        <v>KHJ-MC500-00</v>
      </c>
      <c r="F2079" s="157" t="s">
        <v>2773</v>
      </c>
      <c r="I2079" s="139" t="s">
        <v>3286</v>
      </c>
      <c r="J2079" s="139" t="s">
        <v>3300</v>
      </c>
      <c r="K2079" s="51" t="s">
        <v>1246</v>
      </c>
      <c r="L2079" s="4">
        <v>44001</v>
      </c>
      <c r="M2079" s="140">
        <v>1</v>
      </c>
      <c r="P2079" s="4" t="s">
        <v>291</v>
      </c>
      <c r="Q2079" s="143"/>
      <c r="T2079" s="144"/>
      <c r="U2079" s="145" t="e">
        <f>VLOOKUP(H2079,Stock_list!A:N,14,FALSE)</f>
        <v>#N/A</v>
      </c>
    </row>
    <row r="2080" spans="1:21" ht="16.5" customHeight="1">
      <c r="A2080" s="159" t="s">
        <v>2750</v>
      </c>
      <c r="B2080" s="114" t="str">
        <f>VLOOKUP(A2080,'Data pick slip'!B:F,5,FALSE)</f>
        <v>KHJ-MC600-00</v>
      </c>
      <c r="F2080" s="157" t="s">
        <v>2773</v>
      </c>
      <c r="I2080" s="139" t="s">
        <v>3286</v>
      </c>
      <c r="J2080" s="139" t="s">
        <v>3300</v>
      </c>
      <c r="K2080" s="51" t="s">
        <v>1246</v>
      </c>
      <c r="L2080" s="4">
        <v>44001</v>
      </c>
      <c r="M2080" s="140">
        <v>1</v>
      </c>
      <c r="P2080" s="4" t="s">
        <v>291</v>
      </c>
      <c r="Q2080" s="143"/>
      <c r="T2080" s="144"/>
      <c r="U2080" s="145" t="e">
        <f>VLOOKUP(H2080,Stock_list!A:N,14,FALSE)</f>
        <v>#N/A</v>
      </c>
    </row>
    <row r="2081" spans="1:21" ht="16.5" customHeight="1">
      <c r="A2081" s="159" t="s">
        <v>2755</v>
      </c>
      <c r="B2081" s="114" t="str">
        <f>VLOOKUP(A2081,'Data pick slip'!B:F,5,FALSE)</f>
        <v>KLJ-MC100-00</v>
      </c>
      <c r="F2081" s="157" t="s">
        <v>2773</v>
      </c>
      <c r="H2081" s="138">
        <v>667</v>
      </c>
      <c r="I2081" s="139" t="str">
        <f>VLOOKUP(H2081,Stock_list!A:R,18,FALSE)</f>
        <v>鑫东泰</v>
      </c>
      <c r="J2081" s="139" t="str">
        <f>VLOOKUP(H2081,Stock_list!A:S,17,FALSE)</f>
        <v>C49SZX20200076JL</v>
      </c>
      <c r="K2081" s="51" t="str">
        <f>VLOOKUP(H2081,Stock_list!A:T,16,FALSE)</f>
        <v>RMB</v>
      </c>
      <c r="L2081" s="4">
        <v>44035</v>
      </c>
      <c r="M2081" s="132">
        <v>30</v>
      </c>
      <c r="P2081" s="4" t="str">
        <f>VLOOKUP(H2081,Stock_list!A:Y,25,FALSE)</f>
        <v>Yes</v>
      </c>
      <c r="Q2081" s="143"/>
      <c r="T2081" s="144"/>
      <c r="U2081" s="145" t="str">
        <f>VLOOKUP(H2081,Stock_list!A:N,14,FALSE)</f>
        <v>JUL 20</v>
      </c>
    </row>
    <row r="2082" spans="1:21" ht="16.5" customHeight="1">
      <c r="A2082" s="159" t="s">
        <v>2747</v>
      </c>
      <c r="B2082" s="114" t="str">
        <f>VLOOKUP(A2082,'Data pick slip'!B:F,5,FALSE)</f>
        <v>KHJ-MC200-00</v>
      </c>
      <c r="F2082" s="157" t="s">
        <v>2773</v>
      </c>
      <c r="H2082" s="138">
        <v>667</v>
      </c>
      <c r="I2082" s="139" t="str">
        <f>VLOOKUP(H2082,Stock_list!A:R,18,FALSE)</f>
        <v>鑫东泰</v>
      </c>
      <c r="J2082" s="139" t="str">
        <f>VLOOKUP(H2082,Stock_list!A:S,17,FALSE)</f>
        <v>C49SZX20200076JL</v>
      </c>
      <c r="K2082" s="51" t="str">
        <f>VLOOKUP(H2082,Stock_list!A:T,16,FALSE)</f>
        <v>RMB</v>
      </c>
      <c r="L2082" s="4">
        <v>44035</v>
      </c>
      <c r="M2082" s="132">
        <v>15</v>
      </c>
      <c r="P2082" s="4" t="str">
        <f>VLOOKUP(H2082,Stock_list!A:Y,25,FALSE)</f>
        <v>Yes</v>
      </c>
      <c r="Q2082" s="143"/>
      <c r="T2082" s="144"/>
      <c r="U2082" s="145" t="str">
        <f>VLOOKUP(H2082,Stock_list!A:N,14,FALSE)</f>
        <v>JUL 20</v>
      </c>
    </row>
    <row r="2083" spans="1:21" ht="16.5" customHeight="1">
      <c r="A2083" s="159" t="s">
        <v>2748</v>
      </c>
      <c r="B2083" s="114" t="str">
        <f>VLOOKUP(A2083,'Data pick slip'!B:F,5,FALSE)</f>
        <v>KHJ-MC400-00</v>
      </c>
      <c r="F2083" s="157" t="s">
        <v>2773</v>
      </c>
      <c r="H2083" s="138">
        <v>667</v>
      </c>
      <c r="I2083" s="139" t="str">
        <f>VLOOKUP(H2083,Stock_list!A:R,18,FALSE)</f>
        <v>鑫东泰</v>
      </c>
      <c r="J2083" s="139" t="str">
        <f>VLOOKUP(H2083,Stock_list!A:S,17,FALSE)</f>
        <v>C49SZX20200076JL</v>
      </c>
      <c r="K2083" s="51" t="str">
        <f>VLOOKUP(H2083,Stock_list!A:T,16,FALSE)</f>
        <v>RMB</v>
      </c>
      <c r="L2083" s="4">
        <v>44035</v>
      </c>
      <c r="M2083" s="132">
        <v>5</v>
      </c>
      <c r="P2083" s="4" t="str">
        <f>VLOOKUP(H2083,Stock_list!A:Y,25,FALSE)</f>
        <v>Yes</v>
      </c>
      <c r="Q2083" s="143"/>
      <c r="T2083" s="144"/>
      <c r="U2083" s="145" t="str">
        <f>VLOOKUP(H2083,Stock_list!A:N,14,FALSE)</f>
        <v>JUL 20</v>
      </c>
    </row>
    <row r="2084" spans="1:21" ht="16.5" customHeight="1">
      <c r="A2084" s="159" t="s">
        <v>2751</v>
      </c>
      <c r="B2084" s="114" t="str">
        <f>VLOOKUP(A2084,'Data pick slip'!B:F,5,FALSE)</f>
        <v>KHJ-MC700-00</v>
      </c>
      <c r="F2084" s="157" t="s">
        <v>2773</v>
      </c>
      <c r="I2084" s="139" t="s">
        <v>3099</v>
      </c>
      <c r="J2084" s="139" t="s">
        <v>3301</v>
      </c>
      <c r="K2084" s="51" t="s">
        <v>1246</v>
      </c>
      <c r="L2084" s="4">
        <v>44005</v>
      </c>
      <c r="M2084" s="140">
        <v>1</v>
      </c>
      <c r="P2084" s="4" t="s">
        <v>291</v>
      </c>
      <c r="Q2084" s="143"/>
      <c r="T2084" s="144"/>
      <c r="U2084" s="145" t="e">
        <f>VLOOKUP(H2084,Stock_list!A:N,14,FALSE)</f>
        <v>#N/A</v>
      </c>
    </row>
    <row r="2085" spans="1:21" ht="16.5" customHeight="1">
      <c r="A2085" s="159" t="s">
        <v>2755</v>
      </c>
      <c r="B2085" s="114" t="str">
        <f>VLOOKUP(A2085,'Data pick slip'!B:F,5,FALSE)</f>
        <v>KLJ-MC100-00</v>
      </c>
      <c r="F2085" s="157" t="s">
        <v>2773</v>
      </c>
      <c r="H2085" s="138">
        <v>670</v>
      </c>
      <c r="I2085" s="139" t="str">
        <f>VLOOKUP(H2085,Stock_list!A:R,18,FALSE)</f>
        <v>正邦</v>
      </c>
      <c r="J2085" s="139" t="str">
        <f>VLOOKUP(H2085,Stock_list!A:S,17,FALSE)</f>
        <v>C49SZX20200077JZ</v>
      </c>
      <c r="K2085" s="51" t="str">
        <f>VLOOKUP(H2085,Stock_list!A:T,16,FALSE)</f>
        <v>RMB</v>
      </c>
      <c r="L2085" s="4">
        <v>44033</v>
      </c>
      <c r="M2085" s="132">
        <v>15</v>
      </c>
      <c r="P2085" s="4" t="str">
        <f>VLOOKUP(H2085,Stock_list!A:Y,25,FALSE)</f>
        <v>Yes</v>
      </c>
      <c r="Q2085" s="143"/>
      <c r="T2085" s="144"/>
      <c r="U2085" s="145" t="str">
        <f>VLOOKUP(H2085,Stock_list!A:N,14,FALSE)</f>
        <v>JUL 20</v>
      </c>
    </row>
    <row r="2086" spans="1:21" ht="16.5" customHeight="1">
      <c r="A2086" s="159" t="s">
        <v>2744</v>
      </c>
      <c r="B2086" s="114" t="str">
        <f>VLOOKUP(A2086,'Data pick slip'!B:F,5,FALSE)</f>
        <v>KHJ-MC100-00</v>
      </c>
      <c r="F2086" s="157" t="s">
        <v>2861</v>
      </c>
      <c r="H2086" s="138">
        <v>672</v>
      </c>
      <c r="I2086" s="139" t="str">
        <f>VLOOKUP(H2086,Stock_list!A:R,18,FALSE)</f>
        <v>英拓邦</v>
      </c>
      <c r="J2086" s="139" t="str">
        <f>VLOOKUP(H2086,Stock_list!A:S,17,FALSE)</f>
        <v>C49SZX20200071JY</v>
      </c>
      <c r="K2086" s="51" t="str">
        <f>VLOOKUP(H2086,Stock_list!A:T,16,FALSE)</f>
        <v>JPY</v>
      </c>
      <c r="L2086" s="4">
        <v>44014</v>
      </c>
      <c r="M2086" s="132">
        <v>60</v>
      </c>
      <c r="P2086" s="4" t="str">
        <f>VLOOKUP(H2086,Stock_list!A:Y,25,FALSE)</f>
        <v>Yes</v>
      </c>
      <c r="Q2086" s="143"/>
      <c r="T2086" s="144"/>
      <c r="U2086" s="145" t="str">
        <f>VLOOKUP(H2086,Stock_list!A:N,14,FALSE)</f>
        <v>JUL 20</v>
      </c>
    </row>
    <row r="2087" spans="1:21" ht="16.5" customHeight="1">
      <c r="A2087" s="159" t="s">
        <v>2747</v>
      </c>
      <c r="B2087" s="114" t="str">
        <f>VLOOKUP(A2087,'Data pick slip'!B:F,5,FALSE)</f>
        <v>KHJ-MC200-00</v>
      </c>
      <c r="F2087" s="157" t="s">
        <v>2861</v>
      </c>
      <c r="H2087" s="138">
        <v>672</v>
      </c>
      <c r="I2087" s="139" t="str">
        <f>VLOOKUP(H2087,Stock_list!A:R,18,FALSE)</f>
        <v>英拓邦</v>
      </c>
      <c r="J2087" s="139" t="str">
        <f>VLOOKUP(H2087,Stock_list!A:S,17,FALSE)</f>
        <v>C49SZX20200071JY</v>
      </c>
      <c r="K2087" s="51" t="str">
        <f>VLOOKUP(H2087,Stock_list!A:T,16,FALSE)</f>
        <v>JPY</v>
      </c>
      <c r="L2087" s="4">
        <v>44014</v>
      </c>
      <c r="M2087" s="132">
        <v>5</v>
      </c>
      <c r="P2087" s="4" t="str">
        <f>VLOOKUP(H2087,Stock_list!A:Y,25,FALSE)</f>
        <v>Yes</v>
      </c>
      <c r="Q2087" s="143"/>
      <c r="T2087" s="144"/>
      <c r="U2087" s="145" t="str">
        <f>VLOOKUP(H2087,Stock_list!A:N,14,FALSE)</f>
        <v>JUL 20</v>
      </c>
    </row>
    <row r="2088" spans="1:21" ht="16.5" customHeight="1">
      <c r="A2088" s="159" t="s">
        <v>2748</v>
      </c>
      <c r="B2088" s="114" t="str">
        <f>VLOOKUP(A2088,'Data pick slip'!B:F,5,FALSE)</f>
        <v>KHJ-MC400-00</v>
      </c>
      <c r="F2088" s="157" t="s">
        <v>2861</v>
      </c>
      <c r="H2088" s="138">
        <v>672</v>
      </c>
      <c r="I2088" s="139" t="str">
        <f>VLOOKUP(H2088,Stock_list!A:R,18,FALSE)</f>
        <v>英拓邦</v>
      </c>
      <c r="J2088" s="139" t="str">
        <f>VLOOKUP(H2088,Stock_list!A:S,17,FALSE)</f>
        <v>C49SZX20200071JY</v>
      </c>
      <c r="K2088" s="51" t="str">
        <f>VLOOKUP(H2088,Stock_list!A:T,16,FALSE)</f>
        <v>JPY</v>
      </c>
      <c r="L2088" s="4">
        <v>44014</v>
      </c>
      <c r="M2088" s="132">
        <v>3</v>
      </c>
      <c r="P2088" s="4" t="str">
        <f>VLOOKUP(H2088,Stock_list!A:Y,25,FALSE)</f>
        <v>Yes</v>
      </c>
      <c r="Q2088" s="143"/>
      <c r="T2088" s="144"/>
      <c r="U2088" s="145" t="str">
        <f>VLOOKUP(H2088,Stock_list!A:N,14,FALSE)</f>
        <v>JUL 20</v>
      </c>
    </row>
    <row r="2089" spans="1:21" ht="16.5" customHeight="1">
      <c r="A2089" s="159" t="s">
        <v>2749</v>
      </c>
      <c r="B2089" s="114" t="str">
        <f>VLOOKUP(A2089,'Data pick slip'!B:F,5,FALSE)</f>
        <v>KHJ-MC500-00</v>
      </c>
      <c r="F2089" s="157" t="s">
        <v>2861</v>
      </c>
      <c r="H2089" s="138">
        <v>672</v>
      </c>
      <c r="I2089" s="139" t="str">
        <f>VLOOKUP(H2089,Stock_list!A:R,18,FALSE)</f>
        <v>英拓邦</v>
      </c>
      <c r="J2089" s="139" t="str">
        <f>VLOOKUP(H2089,Stock_list!A:S,17,FALSE)</f>
        <v>C49SZX20200071JY</v>
      </c>
      <c r="K2089" s="51" t="str">
        <f>VLOOKUP(H2089,Stock_list!A:T,16,FALSE)</f>
        <v>JPY</v>
      </c>
      <c r="L2089" s="4">
        <v>44014</v>
      </c>
      <c r="M2089" s="132">
        <v>2</v>
      </c>
      <c r="P2089" s="4" t="str">
        <f>VLOOKUP(H2089,Stock_list!A:Y,25,FALSE)</f>
        <v>Yes</v>
      </c>
      <c r="Q2089" s="143"/>
      <c r="T2089" s="144"/>
      <c r="U2089" s="145" t="str">
        <f>VLOOKUP(H2089,Stock_list!A:N,14,FALSE)</f>
        <v>JUL 20</v>
      </c>
    </row>
    <row r="2090" spans="1:21" ht="16.5" customHeight="1">
      <c r="A2090" s="159" t="s">
        <v>2744</v>
      </c>
      <c r="B2090" s="114" t="str">
        <f>VLOOKUP(A2090,'Data pick slip'!B:F,5,FALSE)</f>
        <v>KHJ-MC100-00</v>
      </c>
      <c r="F2090" s="157" t="s">
        <v>2773</v>
      </c>
      <c r="H2090" s="138">
        <v>673</v>
      </c>
      <c r="I2090" s="139" t="str">
        <f>VLOOKUP(H2090,Stock_list!A:R,18,FALSE)</f>
        <v>晨日电子</v>
      </c>
      <c r="J2090" s="139" t="str">
        <f>VLOOKUP(H2090,Stock_list!A:S,17,FALSE)</f>
        <v>C49SZX20200079KW</v>
      </c>
      <c r="K2090" s="51" t="str">
        <f>VLOOKUP(H2090,Stock_list!A:T,16,FALSE)</f>
        <v>RMB</v>
      </c>
      <c r="L2090" s="4">
        <v>44047</v>
      </c>
      <c r="M2090" s="132">
        <v>80</v>
      </c>
      <c r="P2090" s="4" t="str">
        <f>VLOOKUP(H2090,Stock_list!A:Y,25,FALSE)</f>
        <v>Yes</v>
      </c>
      <c r="Q2090" s="143"/>
      <c r="T2090" s="144"/>
      <c r="U2090" s="145" t="str">
        <f>VLOOKUP(H2090,Stock_list!A:N,14,FALSE)</f>
        <v>AUG 20</v>
      </c>
    </row>
    <row r="2091" spans="1:21" ht="16.5" customHeight="1">
      <c r="A2091" s="159" t="s">
        <v>2747</v>
      </c>
      <c r="B2091" s="114" t="str">
        <f>VLOOKUP(A2091,'Data pick slip'!B:F,5,FALSE)</f>
        <v>KHJ-MC200-00</v>
      </c>
      <c r="F2091" s="157" t="s">
        <v>2773</v>
      </c>
      <c r="H2091" s="138">
        <v>673</v>
      </c>
      <c r="I2091" s="139" t="str">
        <f>VLOOKUP(H2091,Stock_list!A:R,18,FALSE)</f>
        <v>晨日电子</v>
      </c>
      <c r="J2091" s="139" t="str">
        <f>VLOOKUP(H2091,Stock_list!A:S,17,FALSE)</f>
        <v>C49SZX20200079KW</v>
      </c>
      <c r="K2091" s="51" t="str">
        <f>VLOOKUP(H2091,Stock_list!A:T,16,FALSE)</f>
        <v>RMB</v>
      </c>
      <c r="L2091" s="4">
        <v>44047</v>
      </c>
      <c r="M2091" s="132">
        <v>10</v>
      </c>
      <c r="P2091" s="4" t="str">
        <f>VLOOKUP(H2091,Stock_list!A:Y,25,FALSE)</f>
        <v>Yes</v>
      </c>
      <c r="Q2091" s="143"/>
      <c r="T2091" s="144"/>
      <c r="U2091" s="145" t="str">
        <f>VLOOKUP(H2091,Stock_list!A:N,14,FALSE)</f>
        <v>AUG 20</v>
      </c>
    </row>
    <row r="2092" spans="1:21" ht="16.5" customHeight="1">
      <c r="A2092" s="159" t="s">
        <v>2748</v>
      </c>
      <c r="B2092" s="114" t="str">
        <f>VLOOKUP(A2092,'Data pick slip'!B:F,5,FALSE)</f>
        <v>KHJ-MC400-00</v>
      </c>
      <c r="F2092" s="157" t="s">
        <v>2773</v>
      </c>
      <c r="H2092" s="138">
        <v>673</v>
      </c>
      <c r="I2092" s="139" t="str">
        <f>VLOOKUP(H2092,Stock_list!A:R,18,FALSE)</f>
        <v>晨日电子</v>
      </c>
      <c r="J2092" s="139" t="str">
        <f>VLOOKUP(H2092,Stock_list!A:S,17,FALSE)</f>
        <v>C49SZX20200079KW</v>
      </c>
      <c r="K2092" s="51" t="str">
        <f>VLOOKUP(H2092,Stock_list!A:T,16,FALSE)</f>
        <v>RMB</v>
      </c>
      <c r="L2092" s="4">
        <v>44047</v>
      </c>
      <c r="M2092" s="132">
        <v>4</v>
      </c>
      <c r="P2092" s="4" t="str">
        <f>VLOOKUP(H2092,Stock_list!A:Y,25,FALSE)</f>
        <v>Yes</v>
      </c>
      <c r="Q2092" s="143"/>
      <c r="T2092" s="144"/>
      <c r="U2092" s="145" t="str">
        <f>VLOOKUP(H2092,Stock_list!A:N,14,FALSE)</f>
        <v>AUG 20</v>
      </c>
    </row>
    <row r="2093" spans="1:21" ht="16.5" customHeight="1">
      <c r="A2093" s="159" t="s">
        <v>2749</v>
      </c>
      <c r="B2093" s="114" t="str">
        <f>VLOOKUP(A2093,'Data pick slip'!B:F,5,FALSE)</f>
        <v>KHJ-MC500-00</v>
      </c>
      <c r="F2093" s="157" t="s">
        <v>2773</v>
      </c>
      <c r="H2093" s="138">
        <v>673</v>
      </c>
      <c r="I2093" s="139" t="str">
        <f>VLOOKUP(H2093,Stock_list!A:R,18,FALSE)</f>
        <v>晨日电子</v>
      </c>
      <c r="J2093" s="139" t="str">
        <f>VLOOKUP(H2093,Stock_list!A:S,17,FALSE)</f>
        <v>C49SZX20200079KW</v>
      </c>
      <c r="K2093" s="51" t="str">
        <f>VLOOKUP(H2093,Stock_list!A:T,16,FALSE)</f>
        <v>RMB</v>
      </c>
      <c r="L2093" s="4">
        <v>44047</v>
      </c>
      <c r="M2093" s="132">
        <v>1</v>
      </c>
      <c r="P2093" s="4" t="str">
        <f>VLOOKUP(H2093,Stock_list!A:Y,25,FALSE)</f>
        <v>Yes</v>
      </c>
      <c r="Q2093" s="143"/>
      <c r="T2093" s="144"/>
      <c r="U2093" s="145" t="str">
        <f>VLOOKUP(H2093,Stock_list!A:N,14,FALSE)</f>
        <v>AUG 20</v>
      </c>
    </row>
    <row r="2094" spans="1:21" ht="16.5" customHeight="1">
      <c r="A2094" s="159" t="s">
        <v>2750</v>
      </c>
      <c r="B2094" s="114" t="str">
        <f>VLOOKUP(A2094,'Data pick slip'!B:F,5,FALSE)</f>
        <v>KHJ-MC600-00</v>
      </c>
      <c r="F2094" s="157" t="s">
        <v>2773</v>
      </c>
      <c r="H2094" s="138">
        <v>673</v>
      </c>
      <c r="I2094" s="139" t="str">
        <f>VLOOKUP(H2094,Stock_list!A:R,18,FALSE)</f>
        <v>晨日电子</v>
      </c>
      <c r="J2094" s="139" t="str">
        <f>VLOOKUP(H2094,Stock_list!A:S,17,FALSE)</f>
        <v>C49SZX20200079KW</v>
      </c>
      <c r="K2094" s="51" t="str">
        <f>VLOOKUP(H2094,Stock_list!A:T,16,FALSE)</f>
        <v>RMB</v>
      </c>
      <c r="L2094" s="4">
        <v>44047</v>
      </c>
      <c r="M2094" s="132">
        <v>1</v>
      </c>
      <c r="P2094" s="4" t="str">
        <f>VLOOKUP(H2094,Stock_list!A:Y,25,FALSE)</f>
        <v>Yes</v>
      </c>
      <c r="Q2094" s="143"/>
      <c r="T2094" s="144"/>
      <c r="U2094" s="145" t="str">
        <f>VLOOKUP(H2094,Stock_list!A:N,14,FALSE)</f>
        <v>AUG 20</v>
      </c>
    </row>
    <row r="2095" spans="1:21" ht="16.5" customHeight="1">
      <c r="A2095" s="159" t="s">
        <v>2754</v>
      </c>
      <c r="B2095" s="114" t="str">
        <f>VLOOKUP(A2095,'Data pick slip'!B:F,5,FALSE)</f>
        <v>KLJ-MCN00-20</v>
      </c>
      <c r="F2095" s="157" t="s">
        <v>2861</v>
      </c>
      <c r="H2095" s="138">
        <v>675</v>
      </c>
      <c r="I2095" s="139" t="str">
        <f>VLOOKUP(H2095,Stock_list!A:R,18,FALSE)</f>
        <v>朗特</v>
      </c>
      <c r="J2095" s="139" t="str">
        <f>VLOOKUP(H2095,Stock_list!A:S,17,FALSE)</f>
        <v>C49SZX20200081DZ</v>
      </c>
      <c r="K2095" s="51" t="str">
        <f>VLOOKUP(H2095,Stock_list!A:T,16,FALSE)</f>
        <v>JPY</v>
      </c>
      <c r="L2095" s="4">
        <v>44035</v>
      </c>
      <c r="M2095" s="132">
        <v>2</v>
      </c>
      <c r="P2095" s="4" t="str">
        <f>VLOOKUP(H2095,Stock_list!A:Y,25,FALSE)</f>
        <v>Yes</v>
      </c>
      <c r="Q2095" s="143"/>
      <c r="T2095" s="144"/>
      <c r="U2095" s="145" t="str">
        <f>VLOOKUP(H2095,Stock_list!A:N,14,FALSE)</f>
        <v>JUL 20</v>
      </c>
    </row>
    <row r="2096" spans="1:21" ht="16.5" customHeight="1">
      <c r="A2096" s="159" t="s">
        <v>2744</v>
      </c>
      <c r="B2096" s="114" t="str">
        <f>VLOOKUP(A2096,'Data pick slip'!B:F,5,FALSE)</f>
        <v>KHJ-MC100-00</v>
      </c>
      <c r="F2096" s="157" t="s">
        <v>2773</v>
      </c>
      <c r="H2096" s="138">
        <v>679</v>
      </c>
      <c r="I2096" s="139" t="str">
        <f>VLOOKUP(H2096,Stock_list!A:R,18,FALSE)</f>
        <v>达人高科</v>
      </c>
      <c r="J2096" s="139" t="str">
        <f>VLOOKUP(H2096,Stock_list!A:S,17,FALSE)</f>
        <v>C49SZX20200085JL</v>
      </c>
      <c r="K2096" s="51" t="str">
        <f>VLOOKUP(H2096,Stock_list!A:T,16,FALSE)</f>
        <v>RMB</v>
      </c>
      <c r="L2096" s="4">
        <v>44041</v>
      </c>
      <c r="M2096" s="132">
        <v>22</v>
      </c>
      <c r="P2096" s="4" t="str">
        <f>VLOOKUP(H2096,Stock_list!A:Y,25,FALSE)</f>
        <v>Yes</v>
      </c>
      <c r="Q2096" s="143"/>
      <c r="T2096" s="144"/>
      <c r="U2096" s="145" t="str">
        <f>VLOOKUP(H2096,Stock_list!A:N,14,FALSE)</f>
        <v>JUL 20</v>
      </c>
    </row>
    <row r="2097" spans="1:21" ht="16.5" customHeight="1">
      <c r="A2097" s="159" t="s">
        <v>2747</v>
      </c>
      <c r="B2097" s="114" t="str">
        <f>VLOOKUP(A2097,'Data pick slip'!B:F,5,FALSE)</f>
        <v>KHJ-MC200-00</v>
      </c>
      <c r="F2097" s="157" t="s">
        <v>2773</v>
      </c>
      <c r="H2097" s="138">
        <v>679</v>
      </c>
      <c r="I2097" s="139" t="str">
        <f>VLOOKUP(H2097,Stock_list!A:R,18,FALSE)</f>
        <v>达人高科</v>
      </c>
      <c r="J2097" s="139" t="str">
        <f>VLOOKUP(H2097,Stock_list!A:S,17,FALSE)</f>
        <v>C49SZX20200085JL</v>
      </c>
      <c r="K2097" s="51" t="str">
        <f>VLOOKUP(H2097,Stock_list!A:T,16,FALSE)</f>
        <v>RMB</v>
      </c>
      <c r="L2097" s="4">
        <v>44041</v>
      </c>
      <c r="M2097" s="132">
        <v>10</v>
      </c>
      <c r="P2097" s="4" t="str">
        <f>VLOOKUP(H2097,Stock_list!A:Y,25,FALSE)</f>
        <v>Yes</v>
      </c>
      <c r="Q2097" s="143"/>
      <c r="T2097" s="144"/>
      <c r="U2097" s="145" t="str">
        <f>VLOOKUP(H2097,Stock_list!A:N,14,FALSE)</f>
        <v>JUL 20</v>
      </c>
    </row>
    <row r="2098" spans="1:21" ht="16.5" customHeight="1">
      <c r="A2098" s="159" t="s">
        <v>2748</v>
      </c>
      <c r="B2098" s="114" t="str">
        <f>VLOOKUP(A2098,'Data pick slip'!B:F,5,FALSE)</f>
        <v>KHJ-MC400-00</v>
      </c>
      <c r="F2098" s="157" t="s">
        <v>2773</v>
      </c>
      <c r="H2098" s="138">
        <v>679</v>
      </c>
      <c r="I2098" s="139" t="str">
        <f>VLOOKUP(H2098,Stock_list!A:R,18,FALSE)</f>
        <v>达人高科</v>
      </c>
      <c r="J2098" s="139" t="str">
        <f>VLOOKUP(H2098,Stock_list!A:S,17,FALSE)</f>
        <v>C49SZX20200085JL</v>
      </c>
      <c r="K2098" s="51" t="str">
        <f>VLOOKUP(H2098,Stock_list!A:T,16,FALSE)</f>
        <v>RMB</v>
      </c>
      <c r="L2098" s="4">
        <v>44028</v>
      </c>
      <c r="M2098" s="140">
        <v>2</v>
      </c>
      <c r="P2098" s="4" t="str">
        <f>VLOOKUP(H2098,Stock_list!A:Y,25,FALSE)</f>
        <v>Yes</v>
      </c>
      <c r="Q2098" s="143"/>
      <c r="T2098" s="144"/>
      <c r="U2098" s="145" t="str">
        <f>VLOOKUP(H2098,Stock_list!A:N,14,FALSE)</f>
        <v>JUL 20</v>
      </c>
    </row>
    <row r="2099" spans="1:21" ht="16.5" customHeight="1">
      <c r="A2099" s="159" t="s">
        <v>2744</v>
      </c>
      <c r="B2099" s="114" t="str">
        <f>VLOOKUP(A2099,'Data pick slip'!B:F,5,FALSE)</f>
        <v>KHJ-MC100-00</v>
      </c>
      <c r="F2099" s="157" t="s">
        <v>2773</v>
      </c>
      <c r="H2099" s="138">
        <v>681</v>
      </c>
      <c r="I2099" s="139" t="str">
        <f>VLOOKUP(H2099,Stock_list!A:R,18,FALSE)</f>
        <v>铭华永兴</v>
      </c>
      <c r="J2099" s="139" t="str">
        <f>VLOOKUP(H2099,Stock_list!A:S,17,FALSE)</f>
        <v>C49SZX20200083JL</v>
      </c>
      <c r="K2099" s="51" t="str">
        <f>VLOOKUP(H2099,Stock_list!A:T,16,FALSE)</f>
        <v>RMB</v>
      </c>
      <c r="L2099" s="4">
        <v>44015</v>
      </c>
      <c r="M2099" s="132">
        <v>30</v>
      </c>
      <c r="P2099" s="4" t="str">
        <f>VLOOKUP(H2099,Stock_list!A:Y,25,FALSE)</f>
        <v>Yes</v>
      </c>
      <c r="Q2099" s="143"/>
      <c r="T2099" s="144"/>
      <c r="U2099" s="145" t="str">
        <f>VLOOKUP(H2099,Stock_list!A:N,14,FALSE)</f>
        <v>JUL 20</v>
      </c>
    </row>
    <row r="2100" spans="1:21" ht="16.5" customHeight="1">
      <c r="A2100" s="159" t="s">
        <v>2744</v>
      </c>
      <c r="B2100" s="114" t="str">
        <f>VLOOKUP(A2100,'Data pick slip'!B:F,5,FALSE)</f>
        <v>KHJ-MC100-00</v>
      </c>
      <c r="F2100" s="157" t="s">
        <v>2861</v>
      </c>
      <c r="H2100" s="138">
        <v>682</v>
      </c>
      <c r="I2100" s="139" t="str">
        <f>VLOOKUP(H2100,Stock_list!A:R,18,FALSE)</f>
        <v>朗特/end user:朗勤</v>
      </c>
      <c r="J2100" s="139" t="str">
        <f>VLOOKUP(H2100,Stock_list!A:S,17,FALSE)</f>
        <v>C49SZX20200032DZ</v>
      </c>
      <c r="K2100" s="51" t="str">
        <f>VLOOKUP(H2100,Stock_list!A:T,16,FALSE)</f>
        <v>JPY</v>
      </c>
      <c r="L2100" s="4">
        <v>44016</v>
      </c>
      <c r="M2100" s="132">
        <v>100</v>
      </c>
      <c r="P2100" s="4" t="str">
        <f>VLOOKUP(H2100,Stock_list!A:Y,25,FALSE)</f>
        <v>Yes</v>
      </c>
      <c r="Q2100" s="143"/>
      <c r="T2100" s="144"/>
      <c r="U2100" s="145" t="str">
        <f>VLOOKUP(H2100,Stock_list!A:N,14,FALSE)</f>
        <v>JUL 20</v>
      </c>
    </row>
    <row r="2101" spans="1:21" ht="16.5" customHeight="1">
      <c r="A2101" s="159" t="s">
        <v>2747</v>
      </c>
      <c r="B2101" s="114" t="str">
        <f>VLOOKUP(A2101,'Data pick slip'!B:F,5,FALSE)</f>
        <v>KHJ-MC200-00</v>
      </c>
      <c r="F2101" s="157" t="s">
        <v>2861</v>
      </c>
      <c r="H2101" s="138">
        <v>682</v>
      </c>
      <c r="I2101" s="139" t="str">
        <f>VLOOKUP(H2101,Stock_list!A:R,18,FALSE)</f>
        <v>朗特/end user:朗勤</v>
      </c>
      <c r="J2101" s="139" t="str">
        <f>VLOOKUP(H2101,Stock_list!A:S,17,FALSE)</f>
        <v>C49SZX20200032DZ</v>
      </c>
      <c r="K2101" s="51" t="str">
        <f>VLOOKUP(H2101,Stock_list!A:T,16,FALSE)</f>
        <v>JPY</v>
      </c>
      <c r="L2101" s="4">
        <v>44016</v>
      </c>
      <c r="M2101" s="132">
        <v>30</v>
      </c>
      <c r="P2101" s="4" t="str">
        <f>VLOOKUP(H2101,Stock_list!A:Y,25,FALSE)</f>
        <v>Yes</v>
      </c>
      <c r="Q2101" s="143"/>
      <c r="T2101" s="144"/>
      <c r="U2101" s="145" t="str">
        <f>VLOOKUP(H2101,Stock_list!A:N,14,FALSE)</f>
        <v>JUL 20</v>
      </c>
    </row>
    <row r="2102" spans="1:21" ht="16.5" customHeight="1">
      <c r="A2102" s="159" t="s">
        <v>2748</v>
      </c>
      <c r="B2102" s="114" t="str">
        <f>VLOOKUP(A2102,'Data pick slip'!B:F,5,FALSE)</f>
        <v>KHJ-MC400-00</v>
      </c>
      <c r="F2102" s="157" t="s">
        <v>2861</v>
      </c>
      <c r="H2102" s="138">
        <v>682</v>
      </c>
      <c r="I2102" s="139" t="str">
        <f>VLOOKUP(H2102,Stock_list!A:R,18,FALSE)</f>
        <v>朗特/end user:朗勤</v>
      </c>
      <c r="J2102" s="139" t="str">
        <f>VLOOKUP(H2102,Stock_list!A:S,17,FALSE)</f>
        <v>C49SZX20200032DZ</v>
      </c>
      <c r="K2102" s="51" t="str">
        <f>VLOOKUP(H2102,Stock_list!A:T,16,FALSE)</f>
        <v>JPY</v>
      </c>
      <c r="L2102" s="4">
        <v>44016</v>
      </c>
      <c r="M2102" s="132">
        <v>10</v>
      </c>
      <c r="P2102" s="4" t="str">
        <f>VLOOKUP(H2102,Stock_list!A:Y,25,FALSE)</f>
        <v>Yes</v>
      </c>
      <c r="Q2102" s="143"/>
      <c r="T2102" s="144"/>
      <c r="U2102" s="145" t="str">
        <f>VLOOKUP(H2102,Stock_list!A:N,14,FALSE)</f>
        <v>JUL 20</v>
      </c>
    </row>
    <row r="2103" spans="1:21" ht="16.5" customHeight="1">
      <c r="A2103" s="159" t="s">
        <v>2749</v>
      </c>
      <c r="B2103" s="114" t="str">
        <f>VLOOKUP(A2103,'Data pick slip'!B:F,5,FALSE)</f>
        <v>KHJ-MC500-00</v>
      </c>
      <c r="F2103" s="157" t="s">
        <v>2861</v>
      </c>
      <c r="H2103" s="138">
        <v>682</v>
      </c>
      <c r="I2103" s="139" t="str">
        <f>VLOOKUP(H2103,Stock_list!A:R,18,FALSE)</f>
        <v>朗特/end user:朗勤</v>
      </c>
      <c r="J2103" s="139" t="str">
        <f>VLOOKUP(H2103,Stock_list!A:S,17,FALSE)</f>
        <v>C49SZX20200032DZ</v>
      </c>
      <c r="K2103" s="51" t="str">
        <f>VLOOKUP(H2103,Stock_list!A:T,16,FALSE)</f>
        <v>JPY</v>
      </c>
      <c r="L2103" s="4">
        <v>44016</v>
      </c>
      <c r="M2103" s="132">
        <v>3</v>
      </c>
      <c r="P2103" s="4" t="str">
        <f>VLOOKUP(H2103,Stock_list!A:Y,25,FALSE)</f>
        <v>Yes</v>
      </c>
      <c r="Q2103" s="143"/>
      <c r="T2103" s="144"/>
      <c r="U2103" s="145" t="str">
        <f>VLOOKUP(H2103,Stock_list!A:N,14,FALSE)</f>
        <v>JUL 20</v>
      </c>
    </row>
    <row r="2104" spans="1:21" ht="16.5" customHeight="1">
      <c r="A2104" s="159" t="s">
        <v>2744</v>
      </c>
      <c r="B2104" s="114" t="str">
        <f>VLOOKUP(A2104,'Data pick slip'!B:F,5,FALSE)</f>
        <v>KHJ-MC100-00</v>
      </c>
      <c r="F2104" s="157" t="s">
        <v>2861</v>
      </c>
      <c r="I2104" s="139" t="s">
        <v>3015</v>
      </c>
      <c r="J2104" s="139" t="s">
        <v>3302</v>
      </c>
      <c r="K2104" s="51" t="s">
        <v>1246</v>
      </c>
      <c r="L2104" s="4">
        <v>44006</v>
      </c>
      <c r="M2104" s="140">
        <v>50</v>
      </c>
      <c r="P2104" s="4" t="s">
        <v>291</v>
      </c>
      <c r="Q2104" s="143"/>
      <c r="T2104" s="144"/>
      <c r="U2104" s="145" t="e">
        <f>VLOOKUP(H2104,Stock_list!A:N,14,FALSE)</f>
        <v>#N/A</v>
      </c>
    </row>
    <row r="2105" spans="1:21" ht="16.5" customHeight="1">
      <c r="A2105" s="159" t="s">
        <v>2747</v>
      </c>
      <c r="B2105" s="114" t="str">
        <f>VLOOKUP(A2105,'Data pick slip'!B:F,5,FALSE)</f>
        <v>KHJ-MC200-00</v>
      </c>
      <c r="F2105" s="157" t="s">
        <v>2861</v>
      </c>
      <c r="I2105" s="139" t="s">
        <v>3015</v>
      </c>
      <c r="J2105" s="139" t="s">
        <v>3302</v>
      </c>
      <c r="K2105" s="51" t="s">
        <v>1246</v>
      </c>
      <c r="L2105" s="4">
        <v>44006</v>
      </c>
      <c r="M2105" s="140">
        <v>100</v>
      </c>
      <c r="P2105" s="4" t="s">
        <v>291</v>
      </c>
      <c r="Q2105" s="143"/>
      <c r="T2105" s="144"/>
      <c r="U2105" s="145" t="e">
        <f>VLOOKUP(H2105,Stock_list!A:N,14,FALSE)</f>
        <v>#N/A</v>
      </c>
    </row>
    <row r="2106" spans="1:21" ht="16.5" customHeight="1">
      <c r="A2106" s="159" t="s">
        <v>2748</v>
      </c>
      <c r="B2106" s="114" t="str">
        <f>VLOOKUP(A2106,'Data pick slip'!B:F,5,FALSE)</f>
        <v>KHJ-MC400-00</v>
      </c>
      <c r="F2106" s="157" t="s">
        <v>2861</v>
      </c>
      <c r="I2106" s="139" t="s">
        <v>3015</v>
      </c>
      <c r="J2106" s="139" t="s">
        <v>3302</v>
      </c>
      <c r="K2106" s="51" t="s">
        <v>1246</v>
      </c>
      <c r="L2106" s="4">
        <v>44006</v>
      </c>
      <c r="M2106" s="140">
        <v>35</v>
      </c>
      <c r="P2106" s="4" t="s">
        <v>291</v>
      </c>
      <c r="Q2106" s="143"/>
      <c r="T2106" s="144"/>
      <c r="U2106" s="145" t="e">
        <f>VLOOKUP(H2106,Stock_list!A:N,14,FALSE)</f>
        <v>#N/A</v>
      </c>
    </row>
    <row r="2107" spans="1:21" ht="16.5" customHeight="1">
      <c r="A2107" s="155" t="s">
        <v>2749</v>
      </c>
      <c r="B2107" s="114" t="str">
        <f>VLOOKUP(A2107,'Data pick slip'!B:F,5,FALSE)</f>
        <v>KHJ-MC500-00</v>
      </c>
      <c r="F2107" s="157" t="s">
        <v>2861</v>
      </c>
      <c r="I2107" s="139" t="s">
        <v>3015</v>
      </c>
      <c r="J2107" s="139" t="s">
        <v>3302</v>
      </c>
      <c r="K2107" s="51" t="s">
        <v>1246</v>
      </c>
      <c r="L2107" s="4">
        <v>44006</v>
      </c>
      <c r="M2107" s="140">
        <v>5</v>
      </c>
      <c r="P2107" s="4" t="s">
        <v>291</v>
      </c>
      <c r="Q2107" s="143"/>
      <c r="T2107" s="144"/>
      <c r="U2107" s="145" t="e">
        <f>VLOOKUP(H2107,Stock_list!A:N,14,FALSE)</f>
        <v>#N/A</v>
      </c>
    </row>
    <row r="2108" spans="1:21" ht="16.5" customHeight="1">
      <c r="A2108" s="155" t="s">
        <v>2750</v>
      </c>
      <c r="B2108" s="114" t="str">
        <f>VLOOKUP(A2108,'Data pick slip'!B:F,5,FALSE)</f>
        <v>KHJ-MC600-00</v>
      </c>
      <c r="F2108" s="157" t="s">
        <v>2861</v>
      </c>
      <c r="I2108" s="139" t="s">
        <v>3015</v>
      </c>
      <c r="J2108" s="139" t="s">
        <v>3302</v>
      </c>
      <c r="K2108" s="51" t="s">
        <v>1246</v>
      </c>
      <c r="L2108" s="4">
        <v>44006</v>
      </c>
      <c r="M2108" s="140">
        <v>8</v>
      </c>
      <c r="P2108" s="4" t="s">
        <v>291</v>
      </c>
      <c r="Q2108" s="143"/>
      <c r="T2108" s="144"/>
      <c r="U2108" s="145" t="e">
        <f>VLOOKUP(H2108,Stock_list!A:N,14,FALSE)</f>
        <v>#N/A</v>
      </c>
    </row>
    <row r="2109" spans="1:21" ht="16.5" customHeight="1">
      <c r="A2109" s="159" t="s">
        <v>2747</v>
      </c>
      <c r="B2109" s="114" t="str">
        <f>VLOOKUP(A2109,'Data pick slip'!B:F,5,FALSE)</f>
        <v>KHJ-MC200-00</v>
      </c>
      <c r="F2109" s="157" t="s">
        <v>2773</v>
      </c>
      <c r="I2109" s="139" t="s">
        <v>3093</v>
      </c>
      <c r="J2109" s="139" t="s">
        <v>3303</v>
      </c>
      <c r="K2109" s="51" t="s">
        <v>1246</v>
      </c>
      <c r="L2109" s="4">
        <v>44010</v>
      </c>
      <c r="M2109" s="140">
        <v>5</v>
      </c>
      <c r="P2109" s="4" t="s">
        <v>291</v>
      </c>
      <c r="Q2109" s="143"/>
      <c r="T2109" s="144"/>
      <c r="U2109" s="145" t="e">
        <f>VLOOKUP(H2109,Stock_list!A:N,14,FALSE)</f>
        <v>#N/A</v>
      </c>
    </row>
    <row r="2110" spans="1:21" ht="16.5" customHeight="1">
      <c r="A2110" s="159" t="s">
        <v>2748</v>
      </c>
      <c r="B2110" s="114" t="str">
        <f>VLOOKUP(A2110,'Data pick slip'!B:F,5,FALSE)</f>
        <v>KHJ-MC400-00</v>
      </c>
      <c r="F2110" s="157" t="s">
        <v>2773</v>
      </c>
      <c r="I2110" s="139" t="s">
        <v>3093</v>
      </c>
      <c r="J2110" s="139" t="s">
        <v>3304</v>
      </c>
      <c r="K2110" s="51" t="s">
        <v>1246</v>
      </c>
      <c r="L2110" s="4">
        <v>44010</v>
      </c>
      <c r="M2110" s="140">
        <v>3</v>
      </c>
      <c r="P2110" s="4" t="s">
        <v>291</v>
      </c>
      <c r="Q2110" s="143"/>
      <c r="T2110" s="144"/>
      <c r="U2110" s="145" t="e">
        <f>VLOOKUP(H2110,Stock_list!A:N,14,FALSE)</f>
        <v>#N/A</v>
      </c>
    </row>
    <row r="2111" spans="1:21" ht="16.5" customHeight="1">
      <c r="A2111" s="155" t="s">
        <v>2749</v>
      </c>
      <c r="B2111" s="114" t="str">
        <f>VLOOKUP(A2111,'Data pick slip'!B:F,5,FALSE)</f>
        <v>KHJ-MC500-00</v>
      </c>
      <c r="F2111" s="157" t="s">
        <v>2773</v>
      </c>
      <c r="I2111" s="139" t="s">
        <v>3093</v>
      </c>
      <c r="J2111" s="139" t="s">
        <v>3304</v>
      </c>
      <c r="K2111" s="51" t="s">
        <v>1246</v>
      </c>
      <c r="L2111" s="4">
        <v>44010</v>
      </c>
      <c r="M2111" s="140">
        <v>2</v>
      </c>
      <c r="P2111" s="4" t="s">
        <v>291</v>
      </c>
      <c r="Q2111" s="143"/>
      <c r="T2111" s="144"/>
      <c r="U2111" s="145" t="e">
        <f>VLOOKUP(H2111,Stock_list!A:N,14,FALSE)</f>
        <v>#N/A</v>
      </c>
    </row>
    <row r="2112" spans="1:21" ht="16.5" customHeight="1">
      <c r="A2112" s="159" t="s">
        <v>2744</v>
      </c>
      <c r="B2112" s="114" t="str">
        <f>VLOOKUP(A2112,'Data pick slip'!B:F,5,FALSE)</f>
        <v>KHJ-MC100-00</v>
      </c>
      <c r="F2112" s="157" t="s">
        <v>2861</v>
      </c>
      <c r="H2112" s="138">
        <v>686</v>
      </c>
      <c r="I2112" s="139" t="str">
        <f>VLOOKUP(H2112,Stock_list!A:R,18,FALSE)</f>
        <v>惠州创荣发</v>
      </c>
      <c r="J2112" s="139" t="str">
        <f>VLOOKUP(H2112,Stock_list!A:S,17,FALSE)</f>
        <v>C49SZX20200070JY</v>
      </c>
      <c r="K2112" s="51" t="str">
        <f>VLOOKUP(H2112,Stock_list!A:T,16,FALSE)</f>
        <v>JPY</v>
      </c>
      <c r="L2112" s="4">
        <v>44042</v>
      </c>
      <c r="M2112" s="132">
        <v>110</v>
      </c>
      <c r="P2112" s="4" t="str">
        <f>VLOOKUP(H2112,Stock_list!A:Y,25,FALSE)</f>
        <v>Yes</v>
      </c>
      <c r="Q2112" s="143"/>
      <c r="T2112" s="144"/>
      <c r="U2112" s="145" t="str">
        <f>VLOOKUP(H2112,Stock_list!A:N,14,FALSE)</f>
        <v>JUL 20</v>
      </c>
    </row>
    <row r="2113" spans="1:21" ht="16.5" customHeight="1">
      <c r="A2113" s="159" t="s">
        <v>2747</v>
      </c>
      <c r="B2113" s="114" t="str">
        <f>VLOOKUP(A2113,'Data pick slip'!B:F,5,FALSE)</f>
        <v>KHJ-MC200-00</v>
      </c>
      <c r="F2113" s="157" t="s">
        <v>2861</v>
      </c>
      <c r="H2113" s="138">
        <v>686</v>
      </c>
      <c r="I2113" s="139" t="str">
        <f>VLOOKUP(H2113,Stock_list!A:R,18,FALSE)</f>
        <v>惠州创荣发</v>
      </c>
      <c r="J2113" s="139" t="str">
        <f>VLOOKUP(H2113,Stock_list!A:S,17,FALSE)</f>
        <v>C49SZX20200070JY</v>
      </c>
      <c r="K2113" s="51" t="str">
        <f>VLOOKUP(H2113,Stock_list!A:T,16,FALSE)</f>
        <v>JPY</v>
      </c>
      <c r="L2113" s="4">
        <v>44042</v>
      </c>
      <c r="M2113" s="132">
        <v>28</v>
      </c>
      <c r="P2113" s="4" t="str">
        <f>VLOOKUP(H2113,Stock_list!A:Y,25,FALSE)</f>
        <v>Yes</v>
      </c>
      <c r="Q2113" s="143"/>
      <c r="T2113" s="144"/>
      <c r="U2113" s="145" t="str">
        <f>VLOOKUP(H2113,Stock_list!A:N,14,FALSE)</f>
        <v>JUL 20</v>
      </c>
    </row>
    <row r="2114" spans="1:21" ht="16.5" customHeight="1">
      <c r="A2114" s="159" t="s">
        <v>2748</v>
      </c>
      <c r="B2114" s="114" t="str">
        <f>VLOOKUP(A2114,'Data pick slip'!B:F,5,FALSE)</f>
        <v>KHJ-MC400-00</v>
      </c>
      <c r="F2114" s="157" t="s">
        <v>2861</v>
      </c>
      <c r="H2114" s="138">
        <v>686</v>
      </c>
      <c r="I2114" s="139" t="str">
        <f>VLOOKUP(H2114,Stock_list!A:R,18,FALSE)</f>
        <v>惠州创荣发</v>
      </c>
      <c r="J2114" s="139" t="str">
        <f>VLOOKUP(H2114,Stock_list!A:S,17,FALSE)</f>
        <v>C49SZX20200070JY</v>
      </c>
      <c r="K2114" s="51" t="str">
        <f>VLOOKUP(H2114,Stock_list!A:T,16,FALSE)</f>
        <v>JPY</v>
      </c>
      <c r="L2114" s="4">
        <v>44042</v>
      </c>
      <c r="M2114" s="132">
        <v>3</v>
      </c>
      <c r="P2114" s="4" t="str">
        <f>VLOOKUP(H2114,Stock_list!A:Y,25,FALSE)</f>
        <v>Yes</v>
      </c>
      <c r="Q2114" s="143"/>
      <c r="T2114" s="144"/>
      <c r="U2114" s="145" t="str">
        <f>VLOOKUP(H2114,Stock_list!A:N,14,FALSE)</f>
        <v>JUL 20</v>
      </c>
    </row>
    <row r="2115" spans="1:21" ht="16.5" customHeight="1">
      <c r="A2115" s="159" t="s">
        <v>2749</v>
      </c>
      <c r="B2115" s="114" t="str">
        <f>VLOOKUP(A2115,'Data pick slip'!B:F,5,FALSE)</f>
        <v>KHJ-MC500-00</v>
      </c>
      <c r="F2115" s="157" t="s">
        <v>2861</v>
      </c>
      <c r="H2115" s="138">
        <v>686</v>
      </c>
      <c r="I2115" s="139" t="str">
        <f>VLOOKUP(H2115,Stock_list!A:R,18,FALSE)</f>
        <v>惠州创荣发</v>
      </c>
      <c r="J2115" s="139" t="str">
        <f>VLOOKUP(H2115,Stock_list!A:S,17,FALSE)</f>
        <v>C49SZX20200070JY</v>
      </c>
      <c r="K2115" s="51" t="str">
        <f>VLOOKUP(H2115,Stock_list!A:T,16,FALSE)</f>
        <v>JPY</v>
      </c>
      <c r="L2115" s="4">
        <v>44042</v>
      </c>
      <c r="M2115" s="132">
        <v>2</v>
      </c>
      <c r="P2115" s="4" t="str">
        <f>VLOOKUP(H2115,Stock_list!A:Y,25,FALSE)</f>
        <v>Yes</v>
      </c>
      <c r="Q2115" s="143"/>
      <c r="T2115" s="144"/>
      <c r="U2115" s="145" t="str">
        <f>VLOOKUP(H2115,Stock_list!A:N,14,FALSE)</f>
        <v>JUL 20</v>
      </c>
    </row>
    <row r="2116" spans="1:21" ht="16.5" customHeight="1">
      <c r="A2116" s="159" t="s">
        <v>2750</v>
      </c>
      <c r="B2116" s="114" t="str">
        <f>VLOOKUP(A2116,'Data pick slip'!B:F,5,FALSE)</f>
        <v>KHJ-MC600-00</v>
      </c>
      <c r="F2116" s="157" t="s">
        <v>2861</v>
      </c>
      <c r="H2116" s="138">
        <v>686</v>
      </c>
      <c r="I2116" s="139" t="str">
        <f>VLOOKUP(H2116,Stock_list!A:R,18,FALSE)</f>
        <v>惠州创荣发</v>
      </c>
      <c r="J2116" s="139" t="str">
        <f>VLOOKUP(H2116,Stock_list!A:S,17,FALSE)</f>
        <v>C49SZX20200070JY</v>
      </c>
      <c r="K2116" s="51" t="str">
        <f>VLOOKUP(H2116,Stock_list!A:T,16,FALSE)</f>
        <v>JPY</v>
      </c>
      <c r="L2116" s="4">
        <v>44042</v>
      </c>
      <c r="M2116" s="132">
        <v>1</v>
      </c>
      <c r="P2116" s="4" t="str">
        <f>VLOOKUP(H2116,Stock_list!A:Y,25,FALSE)</f>
        <v>Yes</v>
      </c>
      <c r="Q2116" s="143"/>
      <c r="T2116" s="144"/>
      <c r="U2116" s="145" t="str">
        <f>VLOOKUP(H2116,Stock_list!A:N,14,FALSE)</f>
        <v>JUL 20</v>
      </c>
    </row>
    <row r="2117" spans="1:21" ht="16.5" customHeight="1">
      <c r="A2117" s="159" t="s">
        <v>2744</v>
      </c>
      <c r="B2117" s="114" t="str">
        <f>VLOOKUP(A2117,'Data pick slip'!B:F,5,FALSE)</f>
        <v>KHJ-MC100-00</v>
      </c>
      <c r="F2117" s="157" t="s">
        <v>2861</v>
      </c>
      <c r="H2117" s="138">
        <v>689</v>
      </c>
      <c r="I2117" s="139" t="str">
        <f>VLOOKUP(H2117,Stock_list!A:R,18,FALSE)</f>
        <v>乐上</v>
      </c>
      <c r="J2117" s="139" t="str">
        <f>VLOOKUP(H2117,Stock_list!A:S,17,FALSE)</f>
        <v>C49SZX20200090SS</v>
      </c>
      <c r="K2117" s="51" t="str">
        <f>VLOOKUP(H2117,Stock_list!A:T,16,FALSE)</f>
        <v>JPY</v>
      </c>
      <c r="L2117" s="4">
        <v>44020</v>
      </c>
      <c r="M2117" s="140">
        <v>10</v>
      </c>
      <c r="P2117" s="4" t="str">
        <f>VLOOKUP(H2117,Stock_list!A:Y,25,FALSE)</f>
        <v>Yes</v>
      </c>
      <c r="Q2117" s="143"/>
      <c r="T2117" s="144"/>
      <c r="U2117" s="145" t="str">
        <f>VLOOKUP(H2117,Stock_list!A:N,14,FALSE)</f>
        <v>JUL 20</v>
      </c>
    </row>
    <row r="2118" spans="1:21" ht="16.5" customHeight="1">
      <c r="A2118" s="159" t="s">
        <v>2744</v>
      </c>
      <c r="B2118" s="114" t="str">
        <f>VLOOKUP(A2118,'Data pick slip'!B:F,5,FALSE)</f>
        <v>KHJ-MC100-00</v>
      </c>
      <c r="F2118" s="157" t="s">
        <v>2773</v>
      </c>
      <c r="H2118" s="138">
        <v>689</v>
      </c>
      <c r="I2118" s="139" t="str">
        <f>VLOOKUP(H2118,Stock_list!A:R,18,FALSE)</f>
        <v>乐上</v>
      </c>
      <c r="J2118" s="139" t="str">
        <f>VLOOKUP(H2118,Stock_list!A:S,17,FALSE)</f>
        <v>C49SZX20200090SS</v>
      </c>
      <c r="K2118" s="51" t="str">
        <f>VLOOKUP(H2118,Stock_list!A:T,16,FALSE)</f>
        <v>JPY</v>
      </c>
      <c r="L2118" s="4">
        <v>44020</v>
      </c>
      <c r="M2118" s="140">
        <v>3</v>
      </c>
      <c r="P2118" s="4" t="str">
        <f>VLOOKUP(H2118,Stock_list!A:Y,25,FALSE)</f>
        <v>Yes</v>
      </c>
      <c r="Q2118" s="143"/>
      <c r="S2118" s="123" t="s">
        <v>3003</v>
      </c>
      <c r="T2118" s="205" t="s">
        <v>3305</v>
      </c>
      <c r="U2118" s="145" t="str">
        <f>VLOOKUP(H2118,Stock_list!A:N,14,FALSE)</f>
        <v>JUL 20</v>
      </c>
    </row>
    <row r="2119" spans="1:21" ht="16.5" customHeight="1">
      <c r="A2119" s="159" t="s">
        <v>2744</v>
      </c>
      <c r="B2119" s="114" t="str">
        <f>VLOOKUP(A2119,'Data pick slip'!B:F,5,FALSE)</f>
        <v>KHJ-MC100-00</v>
      </c>
      <c r="F2119" s="157" t="s">
        <v>2773</v>
      </c>
      <c r="H2119" s="138">
        <v>690</v>
      </c>
      <c r="I2119" s="139" t="str">
        <f>VLOOKUP(H2119,Stock_list!A:R,18,FALSE)</f>
        <v>海星</v>
      </c>
      <c r="J2119" s="139" t="str">
        <f>VLOOKUP(H2119,Stock_list!A:S,17,FALSE)</f>
        <v>C49SZX20200087DZ</v>
      </c>
      <c r="K2119" s="51" t="str">
        <f>VLOOKUP(H2119,Stock_list!A:T,16,FALSE)</f>
        <v>RMB</v>
      </c>
      <c r="L2119" s="4">
        <v>44036</v>
      </c>
      <c r="M2119" s="132">
        <v>40</v>
      </c>
      <c r="P2119" s="4" t="str">
        <f>VLOOKUP(H2119,Stock_list!A:Y,25,FALSE)</f>
        <v>Yes</v>
      </c>
      <c r="Q2119" s="143"/>
      <c r="T2119" s="144"/>
      <c r="U2119" s="145" t="str">
        <f>VLOOKUP(H2119,Stock_list!A:N,14,FALSE)</f>
        <v>JUL 20</v>
      </c>
    </row>
    <row r="2120" spans="1:21" ht="16.5" customHeight="1">
      <c r="A2120" s="159" t="s">
        <v>2747</v>
      </c>
      <c r="B2120" s="114" t="str">
        <f>VLOOKUP(A2120,'Data pick slip'!B:F,5,FALSE)</f>
        <v>KHJ-MC200-00</v>
      </c>
      <c r="F2120" s="157" t="s">
        <v>2773</v>
      </c>
      <c r="H2120" s="138">
        <v>690</v>
      </c>
      <c r="I2120" s="139" t="str">
        <f>VLOOKUP(H2120,Stock_list!A:R,18,FALSE)</f>
        <v>海星</v>
      </c>
      <c r="J2120" s="139" t="str">
        <f>VLOOKUP(H2120,Stock_list!A:S,17,FALSE)</f>
        <v>C49SZX20200087DZ</v>
      </c>
      <c r="K2120" s="51" t="str">
        <f>VLOOKUP(H2120,Stock_list!A:T,16,FALSE)</f>
        <v>RMB</v>
      </c>
      <c r="L2120" s="4">
        <v>44036</v>
      </c>
      <c r="M2120" s="132">
        <v>6</v>
      </c>
      <c r="P2120" s="4" t="str">
        <f>VLOOKUP(H2120,Stock_list!A:Y,25,FALSE)</f>
        <v>Yes</v>
      </c>
      <c r="Q2120" s="143"/>
      <c r="T2120" s="144"/>
      <c r="U2120" s="145" t="str">
        <f>VLOOKUP(H2120,Stock_list!A:N,14,FALSE)</f>
        <v>JUL 20</v>
      </c>
    </row>
    <row r="2121" spans="1:21" ht="16.5" customHeight="1">
      <c r="A2121" s="159" t="s">
        <v>2748</v>
      </c>
      <c r="B2121" s="114" t="str">
        <f>VLOOKUP(A2121,'Data pick slip'!B:F,5,FALSE)</f>
        <v>KHJ-MC400-00</v>
      </c>
      <c r="F2121" s="157" t="s">
        <v>2773</v>
      </c>
      <c r="H2121" s="138">
        <v>690</v>
      </c>
      <c r="I2121" s="139" t="str">
        <f>VLOOKUP(H2121,Stock_list!A:R,18,FALSE)</f>
        <v>海星</v>
      </c>
      <c r="J2121" s="139" t="str">
        <f>VLOOKUP(H2121,Stock_list!A:S,17,FALSE)</f>
        <v>C49SZX20200087DZ</v>
      </c>
      <c r="K2121" s="51" t="str">
        <f>VLOOKUP(H2121,Stock_list!A:T,16,FALSE)</f>
        <v>RMB</v>
      </c>
      <c r="L2121" s="4">
        <v>44036</v>
      </c>
      <c r="M2121" s="132">
        <v>6</v>
      </c>
      <c r="P2121" s="4" t="str">
        <f>VLOOKUP(H2121,Stock_list!A:Y,25,FALSE)</f>
        <v>Yes</v>
      </c>
      <c r="Q2121" s="143"/>
      <c r="T2121" s="144"/>
      <c r="U2121" s="145" t="str">
        <f>VLOOKUP(H2121,Stock_list!A:N,14,FALSE)</f>
        <v>JUL 20</v>
      </c>
    </row>
    <row r="2122" spans="1:21" ht="16.5" customHeight="1">
      <c r="A2122" s="159" t="s">
        <v>2749</v>
      </c>
      <c r="B2122" s="114" t="str">
        <f>VLOOKUP(A2122,'Data pick slip'!B:F,5,FALSE)</f>
        <v>KHJ-MC500-00</v>
      </c>
      <c r="F2122" s="157" t="s">
        <v>2773</v>
      </c>
      <c r="H2122" s="138">
        <v>690</v>
      </c>
      <c r="I2122" s="139" t="str">
        <f>VLOOKUP(H2122,Stock_list!A:R,18,FALSE)</f>
        <v>海星</v>
      </c>
      <c r="J2122" s="139" t="str">
        <f>VLOOKUP(H2122,Stock_list!A:S,17,FALSE)</f>
        <v>C49SZX20200087DZ</v>
      </c>
      <c r="K2122" s="51" t="str">
        <f>VLOOKUP(H2122,Stock_list!A:T,16,FALSE)</f>
        <v>RMB</v>
      </c>
      <c r="L2122" s="4">
        <v>44036</v>
      </c>
      <c r="M2122" s="132">
        <v>1</v>
      </c>
      <c r="P2122" s="4" t="str">
        <f>VLOOKUP(H2122,Stock_list!A:Y,25,FALSE)</f>
        <v>Yes</v>
      </c>
      <c r="Q2122" s="143"/>
      <c r="T2122" s="144"/>
      <c r="U2122" s="145" t="str">
        <f>VLOOKUP(H2122,Stock_list!A:N,14,FALSE)</f>
        <v>JUL 20</v>
      </c>
    </row>
    <row r="2123" spans="1:21" ht="16.5" customHeight="1">
      <c r="A2123" s="159" t="s">
        <v>2750</v>
      </c>
      <c r="B2123" s="114" t="str">
        <f>VLOOKUP(A2123,'Data pick slip'!B:F,5,FALSE)</f>
        <v>KHJ-MC600-00</v>
      </c>
      <c r="F2123" s="157" t="s">
        <v>2773</v>
      </c>
      <c r="H2123" s="138">
        <v>690</v>
      </c>
      <c r="I2123" s="139" t="str">
        <f>VLOOKUP(H2123,Stock_list!A:R,18,FALSE)</f>
        <v>海星</v>
      </c>
      <c r="J2123" s="139" t="str">
        <f>VLOOKUP(H2123,Stock_list!A:S,17,FALSE)</f>
        <v>C49SZX20200087DZ</v>
      </c>
      <c r="K2123" s="51" t="str">
        <f>VLOOKUP(H2123,Stock_list!A:T,16,FALSE)</f>
        <v>RMB</v>
      </c>
      <c r="L2123" s="4">
        <v>44036</v>
      </c>
      <c r="M2123" s="132">
        <v>1</v>
      </c>
      <c r="P2123" s="4" t="str">
        <f>VLOOKUP(H2123,Stock_list!A:Y,25,FALSE)</f>
        <v>Yes</v>
      </c>
      <c r="Q2123" s="143"/>
      <c r="T2123" s="144"/>
      <c r="U2123" s="145" t="str">
        <f>VLOOKUP(H2123,Stock_list!A:N,14,FALSE)</f>
        <v>JUL 20</v>
      </c>
    </row>
    <row r="2124" spans="1:21" ht="16.5" customHeight="1">
      <c r="A2124" s="159" t="s">
        <v>2744</v>
      </c>
      <c r="B2124" s="114" t="str">
        <f>VLOOKUP(A2124,'Data pick slip'!B:F,5,FALSE)</f>
        <v>KHJ-MC100-00</v>
      </c>
      <c r="F2124" s="157" t="s">
        <v>2861</v>
      </c>
      <c r="H2124" s="138">
        <v>691</v>
      </c>
      <c r="I2124" s="139" t="str">
        <f>VLOOKUP(H2124,Stock_list!A:R,18,FALSE)</f>
        <v>百施达</v>
      </c>
      <c r="J2124" s="139" t="str">
        <f>VLOOKUP(H2124,Stock_list!A:S,17,FALSE)</f>
        <v>C49SZX20200072JY</v>
      </c>
      <c r="K2124" s="51" t="str">
        <f>VLOOKUP(H2124,Stock_list!A:T,16,FALSE)</f>
        <v>JPY</v>
      </c>
      <c r="L2124" s="4">
        <v>44040</v>
      </c>
      <c r="M2124" s="132">
        <v>20</v>
      </c>
      <c r="P2124" s="4" t="str">
        <f>VLOOKUP(H2124,Stock_list!A:Y,25,FALSE)</f>
        <v>Yes</v>
      </c>
      <c r="Q2124" s="143"/>
      <c r="T2124" s="144"/>
      <c r="U2124" s="145" t="str">
        <f>VLOOKUP(H2124,Stock_list!A:N,14,FALSE)</f>
        <v>JUL 20</v>
      </c>
    </row>
    <row r="2125" spans="1:21" ht="16.5" customHeight="1">
      <c r="A2125" s="159" t="s">
        <v>2748</v>
      </c>
      <c r="B2125" s="114" t="str">
        <f>VLOOKUP(A2125,'Data pick slip'!B:F,5,FALSE)</f>
        <v>KHJ-MC400-00</v>
      </c>
      <c r="F2125" s="157" t="s">
        <v>2861</v>
      </c>
      <c r="H2125" s="138">
        <v>691</v>
      </c>
      <c r="I2125" s="139" t="str">
        <f>VLOOKUP(H2125,Stock_list!A:R,18,FALSE)</f>
        <v>百施达</v>
      </c>
      <c r="J2125" s="139" t="str">
        <f>VLOOKUP(H2125,Stock_list!A:S,17,FALSE)</f>
        <v>C49SZX20200072JY</v>
      </c>
      <c r="K2125" s="51" t="str">
        <f>VLOOKUP(H2125,Stock_list!A:T,16,FALSE)</f>
        <v>JPY</v>
      </c>
      <c r="L2125" s="4">
        <v>44040</v>
      </c>
      <c r="M2125" s="132">
        <v>1</v>
      </c>
      <c r="P2125" s="4" t="str">
        <f>VLOOKUP(H2125,Stock_list!A:Y,25,FALSE)</f>
        <v>Yes</v>
      </c>
      <c r="Q2125" s="143"/>
      <c r="T2125" s="144"/>
      <c r="U2125" s="145" t="str">
        <f>VLOOKUP(H2125,Stock_list!A:N,14,FALSE)</f>
        <v>JUL 20</v>
      </c>
    </row>
    <row r="2126" spans="1:21" ht="16.5" customHeight="1">
      <c r="A2126" s="159" t="s">
        <v>2749</v>
      </c>
      <c r="B2126" s="114" t="str">
        <f>VLOOKUP(A2126,'Data pick slip'!B:F,5,FALSE)</f>
        <v>KHJ-MC500-00</v>
      </c>
      <c r="F2126" s="157" t="s">
        <v>2861</v>
      </c>
      <c r="H2126" s="138">
        <v>691</v>
      </c>
      <c r="I2126" s="139" t="str">
        <f>VLOOKUP(H2126,Stock_list!A:R,18,FALSE)</f>
        <v>百施达</v>
      </c>
      <c r="J2126" s="139" t="str">
        <f>VLOOKUP(H2126,Stock_list!A:S,17,FALSE)</f>
        <v>C49SZX20200072JY</v>
      </c>
      <c r="K2126" s="51" t="str">
        <f>VLOOKUP(H2126,Stock_list!A:T,16,FALSE)</f>
        <v>JPY</v>
      </c>
      <c r="L2126" s="4">
        <v>44040</v>
      </c>
      <c r="M2126" s="132">
        <v>1</v>
      </c>
      <c r="P2126" s="4" t="str">
        <f>VLOOKUP(H2126,Stock_list!A:Y,25,FALSE)</f>
        <v>Yes</v>
      </c>
      <c r="Q2126" s="143"/>
      <c r="T2126" s="144"/>
      <c r="U2126" s="145" t="str">
        <f>VLOOKUP(H2126,Stock_list!A:N,14,FALSE)</f>
        <v>JUL 20</v>
      </c>
    </row>
    <row r="2127" spans="1:21" ht="16.5" customHeight="1">
      <c r="A2127" s="159" t="s">
        <v>2755</v>
      </c>
      <c r="B2127" s="114" t="str">
        <f>VLOOKUP(A2127,'Data pick slip'!B:F,5,FALSE)</f>
        <v>KLJ-MC100-00</v>
      </c>
      <c r="F2127" s="157" t="s">
        <v>2861</v>
      </c>
      <c r="H2127" s="138">
        <v>692</v>
      </c>
      <c r="I2127" s="139" t="str">
        <f>VLOOKUP(H2127,Stock_list!A:R,18,FALSE)</f>
        <v>德劲</v>
      </c>
      <c r="J2127" s="139" t="str">
        <f>VLOOKUP(H2127,Stock_list!A:S,17,FALSE)</f>
        <v>C49SZX20200116JL</v>
      </c>
      <c r="K2127" s="51" t="str">
        <f>VLOOKUP(H2127,Stock_list!A:T,16,FALSE)</f>
        <v>JPY</v>
      </c>
      <c r="L2127" s="4">
        <v>44074</v>
      </c>
      <c r="M2127" s="132">
        <v>242</v>
      </c>
      <c r="P2127" s="4" t="str">
        <f>VLOOKUP(H2127,Stock_list!A:Y,25,FALSE)</f>
        <v>Yes</v>
      </c>
      <c r="Q2127" s="143"/>
      <c r="T2127" s="144"/>
      <c r="U2127" s="145" t="str">
        <f>VLOOKUP(H2127,Stock_list!A:N,14,FALSE)</f>
        <v>AUG 20</v>
      </c>
    </row>
    <row r="2128" spans="1:21" ht="16.5" customHeight="1">
      <c r="A2128" s="159" t="s">
        <v>2747</v>
      </c>
      <c r="B2128" s="114" t="str">
        <f>VLOOKUP(A2128,'Data pick slip'!B:F,5,FALSE)</f>
        <v>KHJ-MC200-00</v>
      </c>
      <c r="F2128" s="157" t="s">
        <v>2861</v>
      </c>
      <c r="H2128" s="138">
        <v>692</v>
      </c>
      <c r="I2128" s="139" t="str">
        <f>VLOOKUP(H2128,Stock_list!A:R,18,FALSE)</f>
        <v>德劲</v>
      </c>
      <c r="J2128" s="139" t="str">
        <f>VLOOKUP(H2128,Stock_list!A:S,17,FALSE)</f>
        <v>C49SZX20200116JL</v>
      </c>
      <c r="K2128" s="51" t="str">
        <f>VLOOKUP(H2128,Stock_list!A:T,16,FALSE)</f>
        <v>JPY</v>
      </c>
      <c r="L2128" s="4">
        <v>44074</v>
      </c>
      <c r="M2128" s="132">
        <v>40</v>
      </c>
      <c r="P2128" s="4" t="str">
        <f>VLOOKUP(H2128,Stock_list!A:Y,25,FALSE)</f>
        <v>Yes</v>
      </c>
      <c r="Q2128" s="143"/>
      <c r="T2128" s="144"/>
      <c r="U2128" s="145" t="str">
        <f>VLOOKUP(H2128,Stock_list!A:N,14,FALSE)</f>
        <v>AUG 20</v>
      </c>
    </row>
    <row r="2129" spans="1:21" ht="16.5" customHeight="1">
      <c r="A2129" s="159" t="s">
        <v>2748</v>
      </c>
      <c r="B2129" s="114" t="str">
        <f>VLOOKUP(A2129,'Data pick slip'!B:F,5,FALSE)</f>
        <v>KHJ-MC400-00</v>
      </c>
      <c r="F2129" s="157" t="s">
        <v>2861</v>
      </c>
      <c r="H2129" s="138">
        <v>692</v>
      </c>
      <c r="I2129" s="139" t="str">
        <f>VLOOKUP(H2129,Stock_list!A:R,18,FALSE)</f>
        <v>德劲</v>
      </c>
      <c r="J2129" s="139" t="str">
        <f>VLOOKUP(H2129,Stock_list!A:S,17,FALSE)</f>
        <v>C49SZX20200116JL</v>
      </c>
      <c r="K2129" s="51" t="str">
        <f>VLOOKUP(H2129,Stock_list!A:T,16,FALSE)</f>
        <v>JPY</v>
      </c>
      <c r="L2129" s="4">
        <v>44074</v>
      </c>
      <c r="M2129" s="132">
        <v>10</v>
      </c>
      <c r="P2129" s="4" t="str">
        <f>VLOOKUP(H2129,Stock_list!A:Y,25,FALSE)</f>
        <v>Yes</v>
      </c>
      <c r="Q2129" s="143"/>
      <c r="T2129" s="144"/>
      <c r="U2129" s="145" t="str">
        <f>VLOOKUP(H2129,Stock_list!A:N,14,FALSE)</f>
        <v>AUG 20</v>
      </c>
    </row>
    <row r="2130" spans="1:21" ht="16.5" customHeight="1">
      <c r="A2130" s="159" t="s">
        <v>2744</v>
      </c>
      <c r="B2130" s="114" t="str">
        <f>VLOOKUP(A2130,'Data pick slip'!B:F,5,FALSE)</f>
        <v>KHJ-MC100-00</v>
      </c>
      <c r="F2130" s="157" t="s">
        <v>2861</v>
      </c>
      <c r="I2130" s="139" t="s">
        <v>3015</v>
      </c>
      <c r="J2130" s="139" t="s">
        <v>3306</v>
      </c>
      <c r="K2130" s="51" t="s">
        <v>1246</v>
      </c>
      <c r="L2130" s="4">
        <v>44013</v>
      </c>
      <c r="M2130" s="140">
        <v>100</v>
      </c>
      <c r="P2130" s="4" t="s">
        <v>291</v>
      </c>
      <c r="Q2130" s="143"/>
      <c r="T2130" s="144"/>
      <c r="U2130" s="145" t="e">
        <f>VLOOKUP(H2130,Stock_list!A:N,14,FALSE)</f>
        <v>#N/A</v>
      </c>
    </row>
    <row r="2131" spans="1:21" ht="16.5" customHeight="1">
      <c r="A2131" s="159" t="s">
        <v>2749</v>
      </c>
      <c r="B2131" s="114" t="str">
        <f>VLOOKUP(A2131,'Data pick slip'!B:F,5,FALSE)</f>
        <v>KHJ-MC500-00</v>
      </c>
      <c r="F2131" s="157" t="s">
        <v>2861</v>
      </c>
      <c r="I2131" s="139" t="s">
        <v>3015</v>
      </c>
      <c r="J2131" s="139" t="s">
        <v>3306</v>
      </c>
      <c r="K2131" s="51" t="s">
        <v>1246</v>
      </c>
      <c r="L2131" s="4">
        <v>44013</v>
      </c>
      <c r="M2131" s="140">
        <v>10</v>
      </c>
      <c r="P2131" s="4" t="s">
        <v>291</v>
      </c>
      <c r="Q2131" s="143"/>
      <c r="T2131" s="144"/>
      <c r="U2131" s="145" t="e">
        <f>VLOOKUP(H2131,Stock_list!A:N,14,FALSE)</f>
        <v>#N/A</v>
      </c>
    </row>
    <row r="2132" spans="1:21" ht="16.5" customHeight="1">
      <c r="A2132" s="159" t="s">
        <v>2744</v>
      </c>
      <c r="B2132" s="114" t="str">
        <f>VLOOKUP(A2132,'Data pick slip'!B:F,5,FALSE)</f>
        <v>KHJ-MC100-00</v>
      </c>
      <c r="F2132" s="157" t="s">
        <v>2861</v>
      </c>
      <c r="I2132" s="139" t="s">
        <v>3015</v>
      </c>
      <c r="J2132" s="139" t="s">
        <v>3307</v>
      </c>
      <c r="K2132" s="51" t="s">
        <v>1246</v>
      </c>
      <c r="L2132" s="4">
        <v>44018</v>
      </c>
      <c r="M2132" s="140">
        <v>250</v>
      </c>
      <c r="P2132" s="4" t="s">
        <v>291</v>
      </c>
      <c r="Q2132" s="143"/>
      <c r="T2132" s="144"/>
      <c r="U2132" s="145" t="e">
        <f>VLOOKUP(H2132,Stock_list!A:N,14,FALSE)</f>
        <v>#N/A</v>
      </c>
    </row>
    <row r="2133" spans="1:21" ht="16.5" customHeight="1">
      <c r="A2133" s="159" t="s">
        <v>2744</v>
      </c>
      <c r="B2133" s="114" t="str">
        <f>VLOOKUP(A2133,'Data pick slip'!B:F,5,FALSE)</f>
        <v>KHJ-MC100-00</v>
      </c>
      <c r="F2133" s="157" t="s">
        <v>2861</v>
      </c>
      <c r="H2133" s="138">
        <v>699</v>
      </c>
      <c r="I2133" s="139" t="str">
        <f>VLOOKUP(H2133,Stock_list!A:R,18,FALSE)</f>
        <v>乐凡电子</v>
      </c>
      <c r="J2133" s="139" t="str">
        <f>VLOOKUP(H2133,Stock_list!A:S,17,FALSE)</f>
        <v>C49SZX20200088SS</v>
      </c>
      <c r="K2133" s="51" t="str">
        <f>VLOOKUP(H2133,Stock_list!A:T,16,FALSE)</f>
        <v>JPY</v>
      </c>
      <c r="L2133" s="4">
        <v>44117</v>
      </c>
      <c r="M2133" s="132">
        <v>30</v>
      </c>
      <c r="P2133" s="4" t="str">
        <f>VLOOKUP(H2133,Stock_list!A:Y,25,FALSE)</f>
        <v>Yes</v>
      </c>
      <c r="Q2133" s="133"/>
      <c r="T2133" s="144"/>
      <c r="U2133" s="145" t="str">
        <f>VLOOKUP(H2133,Stock_list!A:N,14,FALSE)</f>
        <v>OCT 20</v>
      </c>
    </row>
    <row r="2134" spans="1:21" ht="16.5" customHeight="1">
      <c r="A2134" s="159" t="s">
        <v>2747</v>
      </c>
      <c r="B2134" s="114" t="str">
        <f>VLOOKUP(A2134,'Data pick slip'!B:F,5,FALSE)</f>
        <v>KHJ-MC200-00</v>
      </c>
      <c r="F2134" s="157" t="s">
        <v>2861</v>
      </c>
      <c r="H2134" s="138">
        <v>699</v>
      </c>
      <c r="I2134" s="139" t="str">
        <f>VLOOKUP(H2134,Stock_list!A:R,18,FALSE)</f>
        <v>乐凡电子</v>
      </c>
      <c r="J2134" s="139" t="str">
        <f>VLOOKUP(H2134,Stock_list!A:S,17,FALSE)</f>
        <v>C49SZX20200088SS</v>
      </c>
      <c r="K2134" s="51" t="str">
        <f>VLOOKUP(H2134,Stock_list!A:T,16,FALSE)</f>
        <v>JPY</v>
      </c>
      <c r="L2134" s="4">
        <v>44117</v>
      </c>
      <c r="M2134" s="132">
        <v>5</v>
      </c>
      <c r="P2134" s="4" t="str">
        <f>VLOOKUP(H2134,Stock_list!A:Y,25,FALSE)</f>
        <v>Yes</v>
      </c>
      <c r="Q2134" s="133"/>
      <c r="T2134" s="144"/>
      <c r="U2134" s="145" t="str">
        <f>VLOOKUP(H2134,Stock_list!A:N,14,FALSE)</f>
        <v>OCT 20</v>
      </c>
    </row>
    <row r="2135" spans="1:21" ht="16.5" customHeight="1">
      <c r="A2135" s="159" t="s">
        <v>2749</v>
      </c>
      <c r="B2135" s="114" t="str">
        <f>VLOOKUP(A2135,'Data pick slip'!B:F,5,FALSE)</f>
        <v>KHJ-MC500-00</v>
      </c>
      <c r="F2135" s="157" t="s">
        <v>2861</v>
      </c>
      <c r="H2135" s="138">
        <v>699</v>
      </c>
      <c r="I2135" s="139" t="str">
        <f>VLOOKUP(H2135,Stock_list!A:R,18,FALSE)</f>
        <v>乐凡电子</v>
      </c>
      <c r="J2135" s="139" t="str">
        <f>VLOOKUP(H2135,Stock_list!A:S,17,FALSE)</f>
        <v>C49SZX20200088SS</v>
      </c>
      <c r="K2135" s="51" t="str">
        <f>VLOOKUP(H2135,Stock_list!A:T,16,FALSE)</f>
        <v>JPY</v>
      </c>
      <c r="L2135" s="4">
        <v>44117</v>
      </c>
      <c r="M2135" s="132">
        <v>1</v>
      </c>
      <c r="P2135" s="4" t="str">
        <f>VLOOKUP(H2135,Stock_list!A:Y,25,FALSE)</f>
        <v>Yes</v>
      </c>
      <c r="Q2135" s="133"/>
      <c r="T2135" s="144"/>
      <c r="U2135" s="145" t="str">
        <f>VLOOKUP(H2135,Stock_list!A:N,14,FALSE)</f>
        <v>OCT 20</v>
      </c>
    </row>
    <row r="2136" spans="1:21" ht="16.5" customHeight="1">
      <c r="A2136" s="159" t="s">
        <v>2750</v>
      </c>
      <c r="B2136" s="114" t="str">
        <f>VLOOKUP(A2136,'Data pick slip'!B:F,5,FALSE)</f>
        <v>KHJ-MC600-00</v>
      </c>
      <c r="F2136" s="157" t="s">
        <v>2773</v>
      </c>
      <c r="H2136" s="138">
        <v>699</v>
      </c>
      <c r="I2136" s="139" t="str">
        <f>VLOOKUP(H2136,Stock_list!A:R,18,FALSE)</f>
        <v>乐凡电子</v>
      </c>
      <c r="J2136" s="139" t="str">
        <f>VLOOKUP(H2136,Stock_list!A:S,17,FALSE)</f>
        <v>C49SZX20200088SS</v>
      </c>
      <c r="K2136" s="51" t="str">
        <f>VLOOKUP(H2136,Stock_list!A:T,16,FALSE)</f>
        <v>JPY</v>
      </c>
      <c r="L2136" s="143" t="s">
        <v>3308</v>
      </c>
      <c r="M2136" s="132">
        <v>1</v>
      </c>
      <c r="P2136" s="4" t="str">
        <f>VLOOKUP(H2136,Stock_list!A:Y,25,FALSE)</f>
        <v>Yes</v>
      </c>
      <c r="Q2136" s="133"/>
      <c r="S2136" s="123" t="s">
        <v>3003</v>
      </c>
      <c r="T2136" s="205" t="s">
        <v>3309</v>
      </c>
      <c r="U2136" s="145" t="str">
        <f>VLOOKUP(H2136,Stock_list!A:N,14,FALSE)</f>
        <v>OCT 20</v>
      </c>
    </row>
    <row r="2137" spans="1:21" ht="16.5" customHeight="1">
      <c r="A2137" s="159" t="s">
        <v>2749</v>
      </c>
      <c r="B2137" s="114" t="str">
        <f>VLOOKUP(A2137,'Data pick slip'!B:F,5,FALSE)</f>
        <v>KHJ-MC500-00</v>
      </c>
      <c r="F2137" s="157" t="s">
        <v>2773</v>
      </c>
      <c r="I2137" s="139" t="s">
        <v>3093</v>
      </c>
      <c r="J2137" s="139" t="s">
        <v>3310</v>
      </c>
      <c r="K2137" s="51" t="s">
        <v>1246</v>
      </c>
      <c r="L2137" s="4">
        <v>44020</v>
      </c>
      <c r="M2137" s="140">
        <v>2</v>
      </c>
      <c r="P2137" s="4" t="s">
        <v>291</v>
      </c>
      <c r="Q2137" s="143"/>
      <c r="T2137" s="144"/>
      <c r="U2137" s="145" t="e">
        <f>VLOOKUP(H2137,Stock_list!A:N,14,FALSE)</f>
        <v>#N/A</v>
      </c>
    </row>
    <row r="2138" spans="1:21" ht="16.5" customHeight="1">
      <c r="A2138" s="159" t="s">
        <v>2747</v>
      </c>
      <c r="B2138" s="114" t="str">
        <f>VLOOKUP(A2138,'Data pick slip'!B:F,5,FALSE)</f>
        <v>KHJ-MC200-00</v>
      </c>
      <c r="F2138" s="157" t="s">
        <v>2773</v>
      </c>
      <c r="I2138" s="139" t="s">
        <v>3093</v>
      </c>
      <c r="J2138" s="139" t="s">
        <v>3311</v>
      </c>
      <c r="K2138" s="51" t="s">
        <v>1246</v>
      </c>
      <c r="L2138" s="4">
        <v>44019</v>
      </c>
      <c r="M2138" s="140">
        <v>6</v>
      </c>
      <c r="P2138" s="4" t="s">
        <v>291</v>
      </c>
      <c r="Q2138" s="143"/>
      <c r="T2138" s="144"/>
      <c r="U2138" s="145" t="e">
        <f>VLOOKUP(H2138,Stock_list!A:N,14,FALSE)</f>
        <v>#N/A</v>
      </c>
    </row>
    <row r="2139" spans="1:21" ht="16.5" customHeight="1">
      <c r="A2139" s="159" t="s">
        <v>2755</v>
      </c>
      <c r="B2139" s="114" t="str">
        <f>VLOOKUP(A2139,'Data pick slip'!B:F,5,FALSE)</f>
        <v>KLJ-MC100-00</v>
      </c>
      <c r="F2139" s="157" t="s">
        <v>2773</v>
      </c>
      <c r="I2139" s="139" t="s">
        <v>3286</v>
      </c>
      <c r="J2139" s="139" t="s">
        <v>3312</v>
      </c>
      <c r="K2139" s="51" t="s">
        <v>1246</v>
      </c>
      <c r="L2139" s="4">
        <v>44018</v>
      </c>
      <c r="M2139" s="140">
        <v>30</v>
      </c>
      <c r="P2139" s="4" t="s">
        <v>291</v>
      </c>
      <c r="Q2139" s="143"/>
      <c r="T2139" s="144"/>
      <c r="U2139" s="145" t="e">
        <f>VLOOKUP(H2139,Stock_list!A:N,14,FALSE)</f>
        <v>#N/A</v>
      </c>
    </row>
    <row r="2140" spans="1:21" ht="16.5" customHeight="1">
      <c r="A2140" s="159" t="s">
        <v>2744</v>
      </c>
      <c r="B2140" s="114" t="str">
        <f>VLOOKUP(A2140,'Data pick slip'!B:F,5,FALSE)</f>
        <v>KHJ-MC100-00</v>
      </c>
      <c r="F2140" s="157" t="s">
        <v>2861</v>
      </c>
      <c r="H2140" s="138">
        <v>703</v>
      </c>
      <c r="I2140" s="139" t="str">
        <f>VLOOKUP(H2140,Stock_list!A:R,18,FALSE)</f>
        <v>新平泰end user:弛瑞</v>
      </c>
      <c r="J2140" s="139" t="str">
        <f>VLOOKUP(H2140,Stock_list!A:S,17,FALSE)</f>
        <v>C49SZX20200092SS</v>
      </c>
      <c r="K2140" s="51" t="str">
        <f>VLOOKUP(H2140,Stock_list!A:T,16,FALSE)</f>
        <v>JPY</v>
      </c>
      <c r="L2140" s="4">
        <v>44032</v>
      </c>
      <c r="M2140" s="132">
        <v>32</v>
      </c>
      <c r="P2140" s="4" t="str">
        <f>VLOOKUP(H2140,Stock_list!A:Y,25,FALSE)</f>
        <v>Yes</v>
      </c>
      <c r="Q2140" s="143"/>
      <c r="T2140" s="144"/>
      <c r="U2140" s="145" t="str">
        <f>VLOOKUP(H2140,Stock_list!A:N,14,FALSE)</f>
        <v>JUL 20</v>
      </c>
    </row>
    <row r="2141" spans="1:21" ht="16.5" customHeight="1">
      <c r="A2141" s="159" t="s">
        <v>2747</v>
      </c>
      <c r="B2141" s="114" t="str">
        <f>VLOOKUP(A2141,'Data pick slip'!B:F,5,FALSE)</f>
        <v>KHJ-MC200-00</v>
      </c>
      <c r="F2141" s="157" t="s">
        <v>2861</v>
      </c>
      <c r="H2141" s="138">
        <v>703</v>
      </c>
      <c r="I2141" s="139" t="str">
        <f>VLOOKUP(H2141,Stock_list!A:R,18,FALSE)</f>
        <v>新平泰end user:弛瑞</v>
      </c>
      <c r="J2141" s="139" t="str">
        <f>VLOOKUP(H2141,Stock_list!A:S,17,FALSE)</f>
        <v>C49SZX20200092SS</v>
      </c>
      <c r="K2141" s="51" t="str">
        <f>VLOOKUP(H2141,Stock_list!A:T,16,FALSE)</f>
        <v>JPY</v>
      </c>
      <c r="L2141" s="4">
        <v>44032</v>
      </c>
      <c r="M2141" s="132">
        <v>6</v>
      </c>
      <c r="P2141" s="4" t="str">
        <f>VLOOKUP(H2141,Stock_list!A:Y,25,FALSE)</f>
        <v>Yes</v>
      </c>
      <c r="Q2141" s="143"/>
      <c r="T2141" s="144"/>
      <c r="U2141" s="145" t="str">
        <f>VLOOKUP(H2141,Stock_list!A:N,14,FALSE)</f>
        <v>JUL 20</v>
      </c>
    </row>
    <row r="2142" spans="1:21" ht="16.5" customHeight="1">
      <c r="A2142" s="159" t="s">
        <v>2748</v>
      </c>
      <c r="B2142" s="114" t="str">
        <f>VLOOKUP(A2142,'Data pick slip'!B:F,5,FALSE)</f>
        <v>KHJ-MC400-00</v>
      </c>
      <c r="F2142" s="157" t="s">
        <v>2773</v>
      </c>
      <c r="H2142" s="138">
        <v>703</v>
      </c>
      <c r="I2142" s="139" t="str">
        <f>VLOOKUP(H2142,Stock_list!A:R,18,FALSE)</f>
        <v>新平泰end user:弛瑞</v>
      </c>
      <c r="J2142" s="139" t="str">
        <f>VLOOKUP(H2142,Stock_list!A:S,17,FALSE)</f>
        <v>C49SZX20200092SS</v>
      </c>
      <c r="K2142" s="51" t="str">
        <f>VLOOKUP(H2142,Stock_list!A:T,16,FALSE)</f>
        <v>JPY</v>
      </c>
      <c r="L2142" s="4">
        <v>44032</v>
      </c>
      <c r="M2142" s="132">
        <v>2</v>
      </c>
      <c r="P2142" s="4" t="str">
        <f>VLOOKUP(H2142,Stock_list!A:Y,25,FALSE)</f>
        <v>Yes</v>
      </c>
      <c r="Q2142" s="143"/>
      <c r="S2142" s="123" t="s">
        <v>3003</v>
      </c>
      <c r="T2142" s="144" t="s">
        <v>3313</v>
      </c>
      <c r="U2142" s="145" t="str">
        <f>VLOOKUP(H2142,Stock_list!A:N,14,FALSE)</f>
        <v>JUL 20</v>
      </c>
    </row>
    <row r="2143" spans="1:21" ht="16.5" customHeight="1">
      <c r="A2143" s="159" t="s">
        <v>2744</v>
      </c>
      <c r="B2143" s="114" t="str">
        <f>VLOOKUP(A2143,'Data pick slip'!B:F,5,FALSE)</f>
        <v>KHJ-MC100-00</v>
      </c>
      <c r="F2143" s="157" t="s">
        <v>2773</v>
      </c>
      <c r="I2143" s="139" t="s">
        <v>3093</v>
      </c>
      <c r="J2143" s="139" t="s">
        <v>3314</v>
      </c>
      <c r="K2143" s="51" t="s">
        <v>1246</v>
      </c>
      <c r="L2143" s="4">
        <v>44021</v>
      </c>
      <c r="M2143" s="140">
        <v>2</v>
      </c>
      <c r="P2143" s="4" t="s">
        <v>291</v>
      </c>
      <c r="Q2143" s="143"/>
      <c r="T2143" s="144"/>
      <c r="U2143" s="145" t="e">
        <f>VLOOKUP(H2143,Stock_list!A:N,14,FALSE)</f>
        <v>#N/A</v>
      </c>
    </row>
    <row r="2144" spans="1:21" ht="16.5" customHeight="1">
      <c r="A2144" s="159" t="s">
        <v>2747</v>
      </c>
      <c r="B2144" s="114" t="str">
        <f>VLOOKUP(A2144,'Data pick slip'!B:F,5,FALSE)</f>
        <v>KHJ-MC200-00</v>
      </c>
      <c r="F2144" s="157" t="s">
        <v>2773</v>
      </c>
      <c r="I2144" s="139" t="s">
        <v>3093</v>
      </c>
      <c r="J2144" s="139" t="s">
        <v>3314</v>
      </c>
      <c r="K2144" s="51" t="s">
        <v>1246</v>
      </c>
      <c r="L2144" s="4">
        <v>44021</v>
      </c>
      <c r="M2144" s="140">
        <v>2</v>
      </c>
      <c r="P2144" s="4" t="s">
        <v>291</v>
      </c>
      <c r="Q2144" s="143"/>
      <c r="T2144" s="144"/>
      <c r="U2144" s="145" t="e">
        <f>VLOOKUP(H2144,Stock_list!A:N,14,FALSE)</f>
        <v>#N/A</v>
      </c>
    </row>
    <row r="2145" spans="1:21" ht="16.5" customHeight="1">
      <c r="A2145" s="159" t="s">
        <v>2744</v>
      </c>
      <c r="B2145" s="114" t="str">
        <f>VLOOKUP(A2145,'Data pick slip'!B:F,5,FALSE)</f>
        <v>KHJ-MC100-00</v>
      </c>
      <c r="F2145" s="157" t="s">
        <v>2861</v>
      </c>
      <c r="H2145" s="138">
        <v>706</v>
      </c>
      <c r="I2145" s="139" t="str">
        <f>VLOOKUP(H2145,Stock_list!A:R,18,FALSE)</f>
        <v>海红天远</v>
      </c>
      <c r="J2145" s="139" t="str">
        <f>VLOOKUP(H2145,Stock_list!A:S,17,FALSE)</f>
        <v>C49SZX20200075EC</v>
      </c>
      <c r="K2145" s="51" t="str">
        <f>VLOOKUP(H2145,Stock_list!A:T,16,FALSE)</f>
        <v>JPY</v>
      </c>
      <c r="L2145" s="4">
        <v>44096</v>
      </c>
      <c r="M2145" s="132">
        <v>150</v>
      </c>
      <c r="P2145" s="4" t="str">
        <f>VLOOKUP(H2145,Stock_list!A:Y,25,FALSE)</f>
        <v>Yes</v>
      </c>
      <c r="Q2145" s="133"/>
      <c r="T2145" s="144"/>
      <c r="U2145" s="145" t="str">
        <f>VLOOKUP(H2145,Stock_list!A:N,14,FALSE)</f>
        <v>SEP 20</v>
      </c>
    </row>
    <row r="2146" spans="1:21" ht="16.5" customHeight="1">
      <c r="A2146" s="159" t="s">
        <v>2747</v>
      </c>
      <c r="B2146" s="114" t="str">
        <f>VLOOKUP(A2146,'Data pick slip'!B:F,5,FALSE)</f>
        <v>KHJ-MC200-00</v>
      </c>
      <c r="F2146" s="157" t="s">
        <v>2861</v>
      </c>
      <c r="H2146" s="138">
        <v>706</v>
      </c>
      <c r="I2146" s="139" t="str">
        <f>VLOOKUP(H2146,Stock_list!A:R,18,FALSE)</f>
        <v>海红天远</v>
      </c>
      <c r="J2146" s="139" t="str">
        <f>VLOOKUP(H2146,Stock_list!A:S,17,FALSE)</f>
        <v>C49SZX20200075EC</v>
      </c>
      <c r="K2146" s="51" t="str">
        <f>VLOOKUP(H2146,Stock_list!A:T,16,FALSE)</f>
        <v>JPY</v>
      </c>
      <c r="L2146" s="4">
        <v>44096</v>
      </c>
      <c r="M2146" s="132">
        <v>30</v>
      </c>
      <c r="P2146" s="4" t="str">
        <f>VLOOKUP(H2146,Stock_list!A:Y,25,FALSE)</f>
        <v>Yes</v>
      </c>
      <c r="Q2146" s="133"/>
      <c r="T2146" s="144"/>
      <c r="U2146" s="145" t="str">
        <f>VLOOKUP(H2146,Stock_list!A:N,14,FALSE)</f>
        <v>SEP 20</v>
      </c>
    </row>
    <row r="2147" spans="1:21" ht="16.5" customHeight="1">
      <c r="A2147" s="159" t="s">
        <v>2748</v>
      </c>
      <c r="B2147" s="114" t="str">
        <f>VLOOKUP(A2147,'Data pick slip'!B:F,5,FALSE)</f>
        <v>KHJ-MC400-00</v>
      </c>
      <c r="F2147" s="157" t="s">
        <v>2861</v>
      </c>
      <c r="H2147" s="138">
        <v>706</v>
      </c>
      <c r="I2147" s="139" t="str">
        <f>VLOOKUP(H2147,Stock_list!A:R,18,FALSE)</f>
        <v>海红天远</v>
      </c>
      <c r="J2147" s="139" t="str">
        <f>VLOOKUP(H2147,Stock_list!A:S,17,FALSE)</f>
        <v>C49SZX20200075EC</v>
      </c>
      <c r="K2147" s="51" t="str">
        <f>VLOOKUP(H2147,Stock_list!A:T,16,FALSE)</f>
        <v>JPY</v>
      </c>
      <c r="L2147" s="4">
        <v>44096</v>
      </c>
      <c r="M2147" s="132">
        <v>10</v>
      </c>
      <c r="P2147" s="4" t="str">
        <f>VLOOKUP(H2147,Stock_list!A:Y,25,FALSE)</f>
        <v>Yes</v>
      </c>
      <c r="Q2147" s="133"/>
      <c r="T2147" s="144"/>
      <c r="U2147" s="145" t="str">
        <f>VLOOKUP(H2147,Stock_list!A:N,14,FALSE)</f>
        <v>SEP 20</v>
      </c>
    </row>
    <row r="2148" spans="1:21" ht="16.5" customHeight="1">
      <c r="A2148" s="159" t="s">
        <v>2749</v>
      </c>
      <c r="B2148" s="114" t="str">
        <f>VLOOKUP(A2148,'Data pick slip'!B:F,5,FALSE)</f>
        <v>KHJ-MC500-00</v>
      </c>
      <c r="F2148" s="157" t="s">
        <v>2861</v>
      </c>
      <c r="H2148" s="138">
        <v>706</v>
      </c>
      <c r="I2148" s="139" t="str">
        <f>VLOOKUP(H2148,Stock_list!A:R,18,FALSE)</f>
        <v>海红天远</v>
      </c>
      <c r="J2148" s="139" t="str">
        <f>VLOOKUP(H2148,Stock_list!A:S,17,FALSE)</f>
        <v>C49SZX20200075EC</v>
      </c>
      <c r="K2148" s="51" t="str">
        <f>VLOOKUP(H2148,Stock_list!A:T,16,FALSE)</f>
        <v>JPY</v>
      </c>
      <c r="L2148" s="4">
        <v>44096</v>
      </c>
      <c r="M2148" s="132">
        <v>5</v>
      </c>
      <c r="P2148" s="4" t="str">
        <f>VLOOKUP(H2148,Stock_list!A:Y,25,FALSE)</f>
        <v>Yes</v>
      </c>
      <c r="Q2148" s="133"/>
      <c r="T2148" s="144"/>
      <c r="U2148" s="145" t="str">
        <f>VLOOKUP(H2148,Stock_list!A:N,14,FALSE)</f>
        <v>SEP 20</v>
      </c>
    </row>
    <row r="2149" spans="1:21" ht="16.5" customHeight="1">
      <c r="A2149" s="159" t="s">
        <v>2750</v>
      </c>
      <c r="B2149" s="114" t="str">
        <f>VLOOKUP(A2149,'Data pick slip'!B:F,5,FALSE)</f>
        <v>KHJ-MC600-00</v>
      </c>
      <c r="F2149" s="157" t="s">
        <v>2861</v>
      </c>
      <c r="H2149" s="138">
        <v>706</v>
      </c>
      <c r="I2149" s="139" t="str">
        <f>VLOOKUP(H2149,Stock_list!A:R,18,FALSE)</f>
        <v>海红天远</v>
      </c>
      <c r="J2149" s="139" t="str">
        <f>VLOOKUP(H2149,Stock_list!A:S,17,FALSE)</f>
        <v>C49SZX20200075EC</v>
      </c>
      <c r="K2149" s="51" t="str">
        <f>VLOOKUP(H2149,Stock_list!A:T,16,FALSE)</f>
        <v>JPY</v>
      </c>
      <c r="L2149" s="4">
        <v>44096</v>
      </c>
      <c r="M2149" s="132">
        <v>5</v>
      </c>
      <c r="P2149" s="4" t="str">
        <f>VLOOKUP(H2149,Stock_list!A:Y,25,FALSE)</f>
        <v>Yes</v>
      </c>
      <c r="Q2149" s="133"/>
      <c r="T2149" s="144"/>
      <c r="U2149" s="145" t="str">
        <f>VLOOKUP(H2149,Stock_list!A:N,14,FALSE)</f>
        <v>SEP 20</v>
      </c>
    </row>
    <row r="2150" spans="1:21" ht="16.5" customHeight="1">
      <c r="A2150" s="159" t="s">
        <v>2751</v>
      </c>
      <c r="B2150" s="114" t="str">
        <f>VLOOKUP(A2150,'Data pick slip'!B:F,5,FALSE)</f>
        <v>KHJ-MC700-00</v>
      </c>
      <c r="F2150" s="157" t="s">
        <v>2861</v>
      </c>
      <c r="H2150" s="138">
        <v>706</v>
      </c>
      <c r="I2150" s="139" t="str">
        <f>VLOOKUP(H2150,Stock_list!A:R,18,FALSE)</f>
        <v>海红天远</v>
      </c>
      <c r="J2150" s="139" t="str">
        <f>VLOOKUP(H2150,Stock_list!A:S,17,FALSE)</f>
        <v>C49SZX20200075EC</v>
      </c>
      <c r="K2150" s="51" t="str">
        <f>VLOOKUP(H2150,Stock_list!A:T,16,FALSE)</f>
        <v>JPY</v>
      </c>
      <c r="L2150" s="4">
        <v>44096</v>
      </c>
      <c r="M2150" s="132">
        <v>2</v>
      </c>
      <c r="P2150" s="4" t="str">
        <f>VLOOKUP(H2150,Stock_list!A:Y,25,FALSE)</f>
        <v>Yes</v>
      </c>
      <c r="Q2150" s="133"/>
      <c r="T2150" s="144"/>
      <c r="U2150" s="145" t="str">
        <f>VLOOKUP(H2150,Stock_list!A:N,14,FALSE)</f>
        <v>SEP 20</v>
      </c>
    </row>
    <row r="2151" spans="1:21" ht="16.5" customHeight="1">
      <c r="A2151" s="159" t="s">
        <v>2747</v>
      </c>
      <c r="B2151" s="114" t="str">
        <f>VLOOKUP(A2151,'Data pick slip'!B:F,5,FALSE)</f>
        <v>KHJ-MC200-00</v>
      </c>
      <c r="F2151" s="157" t="s">
        <v>2861</v>
      </c>
      <c r="H2151" s="138">
        <v>710</v>
      </c>
      <c r="I2151" s="139" t="str">
        <f>VLOOKUP(H2151,Stock_list!A:R,18,FALSE)</f>
        <v>格美通</v>
      </c>
      <c r="J2151" s="139" t="str">
        <f>VLOOKUP(H2151,Stock_list!A:S,17,FALSE)</f>
        <v>C49SZX20200098ZX</v>
      </c>
      <c r="K2151" s="51" t="str">
        <f>VLOOKUP(H2151,Stock_list!A:T,16,FALSE)</f>
        <v>JPY</v>
      </c>
      <c r="L2151" s="4">
        <v>44043</v>
      </c>
      <c r="M2151" s="132">
        <v>20</v>
      </c>
      <c r="P2151" s="4" t="str">
        <f>VLOOKUP(H2151,Stock_list!A:Y,25,FALSE)</f>
        <v>Yes</v>
      </c>
      <c r="Q2151" s="143"/>
      <c r="T2151" s="144"/>
      <c r="U2151" s="145" t="str">
        <f>VLOOKUP(H2151,Stock_list!A:N,14,FALSE)</f>
        <v>JUL 20</v>
      </c>
    </row>
    <row r="2152" spans="1:21" ht="16.5" customHeight="1">
      <c r="A2152" s="159" t="s">
        <v>2748</v>
      </c>
      <c r="B2152" s="114" t="str">
        <f>VLOOKUP(A2152,'Data pick slip'!B:F,5,FALSE)</f>
        <v>KHJ-MC400-00</v>
      </c>
      <c r="F2152" s="157" t="s">
        <v>2861</v>
      </c>
      <c r="H2152" s="138">
        <v>710</v>
      </c>
      <c r="I2152" s="139" t="str">
        <f>VLOOKUP(H2152,Stock_list!A:R,18,FALSE)</f>
        <v>格美通</v>
      </c>
      <c r="J2152" s="139" t="str">
        <f>VLOOKUP(H2152,Stock_list!A:S,17,FALSE)</f>
        <v>C49SZX20200098ZX</v>
      </c>
      <c r="K2152" s="51" t="str">
        <f>VLOOKUP(H2152,Stock_list!A:T,16,FALSE)</f>
        <v>JPY</v>
      </c>
      <c r="L2152" s="4">
        <v>44043</v>
      </c>
      <c r="M2152" s="132">
        <v>1</v>
      </c>
      <c r="P2152" s="4" t="str">
        <f>VLOOKUP(H2152,Stock_list!A:Y,25,FALSE)</f>
        <v>Yes</v>
      </c>
      <c r="Q2152" s="143"/>
      <c r="T2152" s="144"/>
      <c r="U2152" s="145" t="str">
        <f>VLOOKUP(H2152,Stock_list!A:N,14,FALSE)</f>
        <v>JUL 20</v>
      </c>
    </row>
    <row r="2153" spans="1:21" ht="16.5" customHeight="1">
      <c r="A2153" s="159" t="s">
        <v>2744</v>
      </c>
      <c r="B2153" s="114" t="str">
        <f>VLOOKUP(A2153,'Data pick slip'!B:F,5,FALSE)</f>
        <v>KHJ-MC100-00</v>
      </c>
      <c r="F2153" s="157" t="s">
        <v>2861</v>
      </c>
      <c r="H2153" s="138">
        <v>718</v>
      </c>
      <c r="I2153" s="139" t="str">
        <f>VLOOKUP(H2153,Stock_list!A:R,18,FALSE)</f>
        <v>金睿通</v>
      </c>
      <c r="J2153" s="139" t="str">
        <f>VLOOKUP(H2153,Stock_list!A:S,17,FALSE)</f>
        <v>C49SZX20200089JL-R3</v>
      </c>
      <c r="K2153" s="51" t="str">
        <f>VLOOKUP(H2153,Stock_list!A:T,16,FALSE)</f>
        <v>JPY</v>
      </c>
      <c r="L2153" s="4">
        <v>44102</v>
      </c>
      <c r="M2153" s="140">
        <v>50</v>
      </c>
      <c r="P2153" s="4" t="str">
        <f>VLOOKUP(H2153,Stock_list!A:Y,25,FALSE)</f>
        <v>Yes</v>
      </c>
      <c r="Q2153" s="143"/>
      <c r="T2153" s="144"/>
      <c r="U2153" s="145" t="str">
        <f>VLOOKUP(H2153,Stock_list!A:N,14,FALSE)</f>
        <v>SEP 20</v>
      </c>
    </row>
    <row r="2154" spans="1:21" ht="16.5" customHeight="1">
      <c r="A2154" s="159" t="s">
        <v>2748</v>
      </c>
      <c r="B2154" s="114" t="str">
        <f>VLOOKUP(A2154,'Data pick slip'!B:F,5,FALSE)</f>
        <v>KHJ-MC400-00</v>
      </c>
      <c r="F2154" s="157" t="s">
        <v>2773</v>
      </c>
      <c r="H2154" s="138">
        <v>718</v>
      </c>
      <c r="I2154" s="139" t="str">
        <f>VLOOKUP(H2154,Stock_list!A:R,18,FALSE)</f>
        <v>金睿通</v>
      </c>
      <c r="J2154" s="139" t="str">
        <f>VLOOKUP(H2154,Stock_list!A:S,17,FALSE)</f>
        <v>C49SZX20200089JL-R3</v>
      </c>
      <c r="K2154" s="51" t="str">
        <f>VLOOKUP(H2154,Stock_list!A:T,16,FALSE)</f>
        <v>JPY</v>
      </c>
      <c r="L2154" s="4">
        <v>44102</v>
      </c>
      <c r="M2154" s="140">
        <v>2</v>
      </c>
      <c r="P2154" s="4" t="str">
        <f>VLOOKUP(H2154,Stock_list!A:Y,25,FALSE)</f>
        <v>Yes</v>
      </c>
      <c r="Q2154" s="143"/>
      <c r="S2154" s="123" t="s">
        <v>3003</v>
      </c>
      <c r="T2154" s="205" t="s">
        <v>3309</v>
      </c>
      <c r="U2154" s="145" t="str">
        <f>VLOOKUP(H2154,Stock_list!A:N,14,FALSE)</f>
        <v>SEP 20</v>
      </c>
    </row>
    <row r="2155" spans="1:21" ht="16.5" customHeight="1">
      <c r="A2155" s="159" t="s">
        <v>2744</v>
      </c>
      <c r="B2155" s="114" t="str">
        <f>VLOOKUP(A2155,'Data pick slip'!B:F,5,FALSE)</f>
        <v>KHJ-MC100-00</v>
      </c>
      <c r="F2155" s="157" t="s">
        <v>2861</v>
      </c>
      <c r="H2155" s="138">
        <v>719</v>
      </c>
      <c r="I2155" s="139" t="str">
        <f>VLOOKUP(H2155,Stock_list!A:R,18,FALSE)</f>
        <v>钧溢电子</v>
      </c>
      <c r="J2155" s="139" t="str">
        <f>VLOOKUP(H2155,Stock_list!A:S,17,FALSE)</f>
        <v>C49SZX20200103SS</v>
      </c>
      <c r="K2155" s="51" t="str">
        <f>VLOOKUP(H2155,Stock_list!A:T,16,FALSE)</f>
        <v>JPY</v>
      </c>
      <c r="L2155" s="4">
        <v>44076</v>
      </c>
      <c r="M2155" s="132">
        <v>20</v>
      </c>
      <c r="P2155" s="4" t="str">
        <f>VLOOKUP(H2155,Stock_list!A:Y,25,FALSE)</f>
        <v>Yes</v>
      </c>
      <c r="Q2155" s="133"/>
      <c r="T2155" s="144"/>
      <c r="U2155" s="145" t="str">
        <f>VLOOKUP(H2155,Stock_list!A:N,14,FALSE)</f>
        <v>SEP 20</v>
      </c>
    </row>
    <row r="2156" spans="1:21" ht="16.5" customHeight="1">
      <c r="A2156" s="159" t="s">
        <v>2747</v>
      </c>
      <c r="B2156" s="114" t="str">
        <f>VLOOKUP(A2156,'Data pick slip'!B:F,5,FALSE)</f>
        <v>KHJ-MC200-00</v>
      </c>
      <c r="F2156" s="157" t="s">
        <v>2861</v>
      </c>
      <c r="H2156" s="138">
        <v>719</v>
      </c>
      <c r="I2156" s="139" t="str">
        <f>VLOOKUP(H2156,Stock_list!A:R,18,FALSE)</f>
        <v>钧溢电子</v>
      </c>
      <c r="J2156" s="139" t="str">
        <f>VLOOKUP(H2156,Stock_list!A:S,17,FALSE)</f>
        <v>C49SZX20200103SS</v>
      </c>
      <c r="K2156" s="51" t="str">
        <f>VLOOKUP(H2156,Stock_list!A:T,16,FALSE)</f>
        <v>JPY</v>
      </c>
      <c r="L2156" s="4">
        <v>44076</v>
      </c>
      <c r="M2156" s="132">
        <v>4</v>
      </c>
      <c r="P2156" s="4" t="str">
        <f>VLOOKUP(H2156,Stock_list!A:Y,25,FALSE)</f>
        <v>Yes</v>
      </c>
      <c r="Q2156" s="133"/>
      <c r="T2156" s="144"/>
      <c r="U2156" s="145" t="str">
        <f>VLOOKUP(H2156,Stock_list!A:N,14,FALSE)</f>
        <v>SEP 20</v>
      </c>
    </row>
    <row r="2157" spans="1:21" ht="16.5" customHeight="1">
      <c r="A2157" s="159" t="s">
        <v>2752</v>
      </c>
      <c r="B2157" s="114" t="str">
        <f>VLOOKUP(A2157,'Data pick slip'!B:F,5,FALSE)</f>
        <v>KHJ-MC800-00</v>
      </c>
      <c r="F2157" s="157" t="s">
        <v>2773</v>
      </c>
      <c r="I2157" s="139" t="s">
        <v>3286</v>
      </c>
      <c r="J2157" s="139" t="s">
        <v>3315</v>
      </c>
      <c r="K2157" s="51" t="s">
        <v>1246</v>
      </c>
      <c r="L2157" s="4">
        <v>44050</v>
      </c>
      <c r="M2157" s="140">
        <v>1</v>
      </c>
      <c r="P2157" s="4" t="s">
        <v>291</v>
      </c>
      <c r="Q2157" s="143"/>
      <c r="T2157" s="144"/>
      <c r="U2157" s="145" t="e">
        <f>VLOOKUP(H2157,Stock_list!A:N,14,FALSE)</f>
        <v>#N/A</v>
      </c>
    </row>
    <row r="2158" spans="1:21" ht="16.5" customHeight="1">
      <c r="A2158" s="159" t="s">
        <v>2744</v>
      </c>
      <c r="B2158" s="114" t="str">
        <f>VLOOKUP(A2158,'Data pick slip'!B:F,5,FALSE)</f>
        <v>KHJ-MC100-00</v>
      </c>
      <c r="F2158" s="157" t="s">
        <v>2861</v>
      </c>
      <c r="H2158" s="138">
        <v>721</v>
      </c>
      <c r="I2158" s="139" t="str">
        <f>VLOOKUP(H2158,Stock_list!A:R,18,FALSE)</f>
        <v>崧盛</v>
      </c>
      <c r="J2158" s="139" t="str">
        <f>VLOOKUP(H2158,Stock_list!A:S,17,FALSE)</f>
        <v>C49SZX20200101MZ</v>
      </c>
      <c r="K2158" s="51" t="str">
        <f>VLOOKUP(H2158,Stock_list!A:T,16,FALSE)</f>
        <v>JPY</v>
      </c>
      <c r="L2158" s="4">
        <v>44035</v>
      </c>
      <c r="M2158" s="140">
        <v>90</v>
      </c>
      <c r="P2158" s="4" t="str">
        <f>VLOOKUP(H2158,Stock_list!A:Y,25,FALSE)</f>
        <v>Yes</v>
      </c>
      <c r="Q2158" s="143"/>
      <c r="T2158" s="144"/>
      <c r="U2158" s="145" t="str">
        <f>VLOOKUP(H2158,Stock_list!A:N,14,FALSE)</f>
        <v>JUL 20</v>
      </c>
    </row>
    <row r="2159" spans="1:21" ht="16.5" customHeight="1">
      <c r="A2159" s="159" t="s">
        <v>2747</v>
      </c>
      <c r="B2159" s="114" t="str">
        <f>VLOOKUP(A2159,'Data pick slip'!B:F,5,FALSE)</f>
        <v>KHJ-MC200-00</v>
      </c>
      <c r="F2159" s="157" t="s">
        <v>2861</v>
      </c>
      <c r="H2159" s="138">
        <v>721</v>
      </c>
      <c r="I2159" s="139" t="str">
        <f>VLOOKUP(H2159,Stock_list!A:R,18,FALSE)</f>
        <v>崧盛</v>
      </c>
      <c r="J2159" s="139" t="str">
        <f>VLOOKUP(H2159,Stock_list!A:S,17,FALSE)</f>
        <v>C49SZX20200101MZ</v>
      </c>
      <c r="K2159" s="51" t="str">
        <f>VLOOKUP(H2159,Stock_list!A:T,16,FALSE)</f>
        <v>JPY</v>
      </c>
      <c r="L2159" s="4">
        <v>44035</v>
      </c>
      <c r="M2159" s="140">
        <v>50</v>
      </c>
      <c r="P2159" s="4" t="str">
        <f>VLOOKUP(H2159,Stock_list!A:Y,25,FALSE)</f>
        <v>Yes</v>
      </c>
      <c r="Q2159" s="143"/>
      <c r="T2159" s="144"/>
      <c r="U2159" s="145" t="str">
        <f>VLOOKUP(H2159,Stock_list!A:N,14,FALSE)</f>
        <v>JUL 20</v>
      </c>
    </row>
    <row r="2160" spans="1:21" ht="16.5" customHeight="1">
      <c r="A2160" s="159" t="s">
        <v>2744</v>
      </c>
      <c r="B2160" s="114" t="str">
        <f>VLOOKUP(A2160,'Data pick slip'!B:F,5,FALSE)</f>
        <v>KHJ-MC100-00</v>
      </c>
      <c r="F2160" s="157" t="s">
        <v>2773</v>
      </c>
      <c r="H2160" s="138">
        <v>721</v>
      </c>
      <c r="I2160" s="139" t="str">
        <f>VLOOKUP(H2160,Stock_list!A:R,18,FALSE)</f>
        <v>崧盛</v>
      </c>
      <c r="J2160" s="139" t="str">
        <f>VLOOKUP(H2160,Stock_list!A:S,17,FALSE)</f>
        <v>C49SZX20200101MZ</v>
      </c>
      <c r="K2160" s="51" t="str">
        <f>VLOOKUP(H2160,Stock_list!A:T,16,FALSE)</f>
        <v>JPY</v>
      </c>
      <c r="L2160" s="4">
        <v>44035</v>
      </c>
      <c r="O2160" s="132">
        <f>110-110</f>
        <v>0</v>
      </c>
      <c r="P2160" s="4" t="str">
        <f>VLOOKUP(H2160,Stock_list!A:Y,25,FALSE)</f>
        <v>Yes</v>
      </c>
      <c r="Q2160" s="143"/>
      <c r="T2160" s="144"/>
      <c r="U2160" s="145" t="str">
        <f>VLOOKUP(H2160,Stock_list!A:N,14,FALSE)</f>
        <v>JUL 20</v>
      </c>
    </row>
    <row r="2161" spans="1:21" ht="16.5" customHeight="1">
      <c r="A2161" s="159" t="s">
        <v>2747</v>
      </c>
      <c r="B2161" s="114" t="str">
        <f>VLOOKUP(A2161,'Data pick slip'!B:F,5,FALSE)</f>
        <v>KHJ-MC200-00</v>
      </c>
      <c r="F2161" s="157" t="s">
        <v>2773</v>
      </c>
      <c r="H2161" s="138">
        <v>721</v>
      </c>
      <c r="I2161" s="139" t="str">
        <f>VLOOKUP(H2161,Stock_list!A:R,18,FALSE)</f>
        <v>崧盛</v>
      </c>
      <c r="J2161" s="139" t="str">
        <f>VLOOKUP(H2161,Stock_list!A:S,17,FALSE)</f>
        <v>C49SZX20200101MZ</v>
      </c>
      <c r="K2161" s="51" t="str">
        <f>VLOOKUP(H2161,Stock_list!A:T,16,FALSE)</f>
        <v>JPY</v>
      </c>
      <c r="L2161" s="4">
        <v>44035</v>
      </c>
      <c r="O2161" s="132">
        <f>23-23</f>
        <v>0</v>
      </c>
      <c r="P2161" s="4" t="str">
        <f>VLOOKUP(H2161,Stock_list!A:Y,25,FALSE)</f>
        <v>Yes</v>
      </c>
      <c r="Q2161" s="143"/>
      <c r="T2161" s="144"/>
      <c r="U2161" s="145" t="str">
        <f>VLOOKUP(H2161,Stock_list!A:N,14,FALSE)</f>
        <v>JUL 20</v>
      </c>
    </row>
    <row r="2162" spans="1:21" ht="16.5" customHeight="1">
      <c r="A2162" s="159" t="s">
        <v>2744</v>
      </c>
      <c r="B2162" s="114" t="str">
        <f>VLOOKUP(A2162,'Data pick slip'!B:F,5,FALSE)</f>
        <v>KHJ-MC100-00</v>
      </c>
      <c r="F2162" s="157" t="s">
        <v>2861</v>
      </c>
      <c r="H2162" s="138">
        <v>722</v>
      </c>
      <c r="I2162" s="139" t="str">
        <f>VLOOKUP(H2162,Stock_list!A:R,18,FALSE)</f>
        <v>崧盛</v>
      </c>
      <c r="J2162" s="139" t="str">
        <f>VLOOKUP(H2162,Stock_list!A:S,17,FALSE)</f>
        <v>C49SZX20200102MZ</v>
      </c>
      <c r="K2162" s="51" t="str">
        <f>VLOOKUP(H2162,Stock_list!A:T,16,FALSE)</f>
        <v>JPY</v>
      </c>
      <c r="L2162" s="4">
        <v>44096</v>
      </c>
      <c r="M2162" s="140">
        <v>250</v>
      </c>
      <c r="P2162" s="4" t="str">
        <f>VLOOKUP(H2162,Stock_list!A:Y,25,FALSE)</f>
        <v>Yes</v>
      </c>
      <c r="Q2162" s="143"/>
      <c r="T2162" s="144"/>
      <c r="U2162" s="145" t="str">
        <f>VLOOKUP(H2162,Stock_list!A:N,14,FALSE)</f>
        <v>SEP 20</v>
      </c>
    </row>
    <row r="2163" spans="1:21" ht="16.5" customHeight="1">
      <c r="A2163" s="159" t="s">
        <v>2744</v>
      </c>
      <c r="B2163" s="114" t="str">
        <f>VLOOKUP(A2163,'Data pick slip'!B:F,5,FALSE)</f>
        <v>KHJ-MC100-00</v>
      </c>
      <c r="F2163" s="157" t="s">
        <v>2861</v>
      </c>
      <c r="H2163" s="138">
        <v>727</v>
      </c>
      <c r="I2163" s="139" t="str">
        <f>VLOOKUP(H2163,Stock_list!A:R,18,FALSE)</f>
        <v>泰鑫荣</v>
      </c>
      <c r="J2163" s="139" t="str">
        <f>VLOOKUP(H2163,Stock_list!A:S,17,FALSE)</f>
        <v>C49SZX20200106SS</v>
      </c>
      <c r="K2163" s="51" t="str">
        <f>VLOOKUP(H2163,Stock_list!A:T,16,FALSE)</f>
        <v>JPY</v>
      </c>
      <c r="L2163" s="4">
        <v>44061</v>
      </c>
      <c r="M2163" s="132">
        <v>30</v>
      </c>
      <c r="P2163" s="4" t="str">
        <f>VLOOKUP(H2163,Stock_list!A:Y,25,FALSE)</f>
        <v>Yes</v>
      </c>
      <c r="Q2163" s="133"/>
      <c r="T2163" s="144"/>
      <c r="U2163" s="145" t="str">
        <f>VLOOKUP(H2163,Stock_list!A:N,14,FALSE)</f>
        <v>AUG 20</v>
      </c>
    </row>
    <row r="2164" spans="1:21" ht="16.5" customHeight="1">
      <c r="A2164" s="159" t="s">
        <v>2747</v>
      </c>
      <c r="B2164" s="114" t="str">
        <f>VLOOKUP(A2164,'Data pick slip'!B:F,5,FALSE)</f>
        <v>KHJ-MC200-00</v>
      </c>
      <c r="F2164" s="157" t="s">
        <v>2861</v>
      </c>
      <c r="H2164" s="138">
        <v>727</v>
      </c>
      <c r="I2164" s="139" t="str">
        <f>VLOOKUP(H2164,Stock_list!A:R,18,FALSE)</f>
        <v>泰鑫荣</v>
      </c>
      <c r="J2164" s="139" t="str">
        <f>VLOOKUP(H2164,Stock_list!A:S,17,FALSE)</f>
        <v>C49SZX20200106SS</v>
      </c>
      <c r="K2164" s="51" t="str">
        <f>VLOOKUP(H2164,Stock_list!A:T,16,FALSE)</f>
        <v>JPY</v>
      </c>
      <c r="L2164" s="4">
        <v>44061</v>
      </c>
      <c r="M2164" s="132">
        <v>6</v>
      </c>
      <c r="P2164" s="4" t="str">
        <f>VLOOKUP(H2164,Stock_list!A:Y,25,FALSE)</f>
        <v>Yes</v>
      </c>
      <c r="Q2164" s="133"/>
      <c r="T2164" s="144"/>
      <c r="U2164" s="145" t="str">
        <f>VLOOKUP(H2164,Stock_list!A:N,14,FALSE)</f>
        <v>AUG 20</v>
      </c>
    </row>
    <row r="2165" spans="1:21" ht="16.5" customHeight="1">
      <c r="A2165" s="159" t="s">
        <v>2747</v>
      </c>
      <c r="B2165" s="114" t="str">
        <f>VLOOKUP(A2165,'Data pick slip'!B:F,5,FALSE)</f>
        <v>KHJ-MC200-00</v>
      </c>
      <c r="F2165" s="157" t="s">
        <v>2861</v>
      </c>
      <c r="H2165" s="138">
        <v>729</v>
      </c>
      <c r="I2165" s="139" t="str">
        <f>VLOOKUP(H2165,Stock_list!A:R,18,FALSE)</f>
        <v>锐诚</v>
      </c>
      <c r="J2165" s="139" t="str">
        <f>VLOOKUP(H2165,Stock_list!A:S,17,FALSE)</f>
        <v>C49SZX20200066SX</v>
      </c>
      <c r="K2165" s="51" t="str">
        <f>VLOOKUP(H2165,Stock_list!A:T,16,FALSE)</f>
        <v>JPY</v>
      </c>
      <c r="L2165" s="4">
        <v>44071</v>
      </c>
      <c r="M2165" s="132">
        <v>5</v>
      </c>
      <c r="P2165" s="4" t="str">
        <f>VLOOKUP(H2165,Stock_list!A:Y,25,FALSE)</f>
        <v>Yes</v>
      </c>
      <c r="Q2165" s="133"/>
      <c r="T2165" s="144"/>
      <c r="U2165" s="145" t="str">
        <f>VLOOKUP(H2165,Stock_list!A:N,14,FALSE)</f>
        <v>AUG 20</v>
      </c>
    </row>
    <row r="2166" spans="1:21" ht="16.5" customHeight="1">
      <c r="A2166" s="159" t="s">
        <v>2748</v>
      </c>
      <c r="B2166" s="114" t="str">
        <f>VLOOKUP(A2166,'Data pick slip'!B:F,5,FALSE)</f>
        <v>KHJ-MC400-00</v>
      </c>
      <c r="F2166" s="157" t="s">
        <v>2861</v>
      </c>
      <c r="H2166" s="138">
        <v>729</v>
      </c>
      <c r="I2166" s="139" t="str">
        <f>VLOOKUP(H2166,Stock_list!A:R,18,FALSE)</f>
        <v>锐诚</v>
      </c>
      <c r="J2166" s="139" t="str">
        <f>VLOOKUP(H2166,Stock_list!A:S,17,FALSE)</f>
        <v>C49SZX20200066SX</v>
      </c>
      <c r="K2166" s="51" t="str">
        <f>VLOOKUP(H2166,Stock_list!A:T,16,FALSE)</f>
        <v>JPY</v>
      </c>
      <c r="L2166" s="4">
        <v>44071</v>
      </c>
      <c r="M2166" s="132">
        <v>5</v>
      </c>
      <c r="P2166" s="4" t="str">
        <f>VLOOKUP(H2166,Stock_list!A:Y,25,FALSE)</f>
        <v>Yes</v>
      </c>
      <c r="Q2166" s="133"/>
      <c r="T2166" s="144"/>
      <c r="U2166" s="145" t="str">
        <f>VLOOKUP(H2166,Stock_list!A:N,14,FALSE)</f>
        <v>AUG 20</v>
      </c>
    </row>
    <row r="2167" spans="1:21" ht="16.5" customHeight="1">
      <c r="A2167" s="159" t="s">
        <v>2749</v>
      </c>
      <c r="B2167" s="114" t="str">
        <f>VLOOKUP(A2167,'Data pick slip'!B:F,5,FALSE)</f>
        <v>KHJ-MC500-00</v>
      </c>
      <c r="F2167" s="157" t="s">
        <v>2773</v>
      </c>
      <c r="I2167" s="139" t="s">
        <v>3093</v>
      </c>
      <c r="J2167" s="139" t="s">
        <v>3316</v>
      </c>
      <c r="K2167" s="51" t="s">
        <v>1246</v>
      </c>
      <c r="L2167" s="4">
        <v>44033</v>
      </c>
      <c r="M2167" s="140">
        <v>1</v>
      </c>
      <c r="P2167" s="4" t="s">
        <v>291</v>
      </c>
      <c r="Q2167" s="143"/>
      <c r="T2167" s="144"/>
      <c r="U2167" s="145" t="e">
        <f>VLOOKUP(H2167,Stock_list!A:N,14,FALSE)</f>
        <v>#N/A</v>
      </c>
    </row>
    <row r="2168" spans="1:21" ht="16.5" customHeight="1">
      <c r="A2168" s="159" t="s">
        <v>2744</v>
      </c>
      <c r="B2168" s="114" t="str">
        <f>VLOOKUP(A2168,'Data pick slip'!B:F,5,FALSE)</f>
        <v>KHJ-MC100-00</v>
      </c>
      <c r="F2168" s="157" t="s">
        <v>2773</v>
      </c>
      <c r="I2168" s="139" t="s">
        <v>3093</v>
      </c>
      <c r="J2168" s="139" t="s">
        <v>3317</v>
      </c>
      <c r="K2168" s="51" t="s">
        <v>1246</v>
      </c>
      <c r="L2168" s="4">
        <v>44032</v>
      </c>
      <c r="M2168" s="140">
        <v>50</v>
      </c>
      <c r="P2168" s="4" t="s">
        <v>291</v>
      </c>
      <c r="Q2168" s="143"/>
      <c r="T2168" s="144"/>
      <c r="U2168" s="145" t="e">
        <f>VLOOKUP(H2168,Stock_list!A:N,14,FALSE)</f>
        <v>#N/A</v>
      </c>
    </row>
    <row r="2169" spans="1:21" ht="16.5" customHeight="1">
      <c r="A2169" s="159" t="s">
        <v>2748</v>
      </c>
      <c r="B2169" s="114" t="str">
        <f>VLOOKUP(A2169,'Data pick slip'!B:F,5,FALSE)</f>
        <v>KHJ-MC400-00</v>
      </c>
      <c r="F2169" s="157" t="s">
        <v>2861</v>
      </c>
      <c r="I2169" s="139" t="s">
        <v>3015</v>
      </c>
      <c r="J2169" s="139" t="s">
        <v>3318</v>
      </c>
      <c r="K2169" s="51" t="s">
        <v>1246</v>
      </c>
      <c r="L2169" s="4">
        <v>44034</v>
      </c>
      <c r="M2169" s="140">
        <v>17</v>
      </c>
      <c r="P2169" s="4" t="s">
        <v>291</v>
      </c>
      <c r="Q2169" s="143"/>
      <c r="T2169" s="144"/>
      <c r="U2169" s="145" t="e">
        <f>VLOOKUP(H2169,Stock_list!A:N,14,FALSE)</f>
        <v>#N/A</v>
      </c>
    </row>
    <row r="2170" spans="1:21" ht="16.5" customHeight="1">
      <c r="A2170" s="159" t="s">
        <v>2754</v>
      </c>
      <c r="B2170" s="114" t="str">
        <f>VLOOKUP(A2170,'Data pick slip'!B:F,5,FALSE)</f>
        <v>KLJ-MCN00-20</v>
      </c>
      <c r="F2170" s="157" t="s">
        <v>2861</v>
      </c>
      <c r="I2170" s="139" t="s">
        <v>3015</v>
      </c>
      <c r="J2170" s="139" t="s">
        <v>3318</v>
      </c>
      <c r="K2170" s="51" t="s">
        <v>1246</v>
      </c>
      <c r="L2170" s="4">
        <v>44034</v>
      </c>
      <c r="M2170" s="140">
        <v>3</v>
      </c>
      <c r="P2170" s="4" t="s">
        <v>291</v>
      </c>
      <c r="Q2170" s="143"/>
      <c r="T2170" s="144"/>
      <c r="U2170" s="145" t="e">
        <f>VLOOKUP(H2170,Stock_list!A:N,14,FALSE)</f>
        <v>#N/A</v>
      </c>
    </row>
    <row r="2171" spans="1:21" ht="16.5" customHeight="1">
      <c r="A2171" s="159" t="s">
        <v>2755</v>
      </c>
      <c r="B2171" s="114" t="str">
        <f>VLOOKUP(A2171,'Data pick slip'!B:F,5,FALSE)</f>
        <v>KLJ-MC100-00</v>
      </c>
      <c r="F2171" s="157" t="s">
        <v>2861</v>
      </c>
      <c r="I2171" s="139" t="s">
        <v>3015</v>
      </c>
      <c r="J2171" s="139" t="s">
        <v>3318</v>
      </c>
      <c r="K2171" s="51" t="s">
        <v>1246</v>
      </c>
      <c r="L2171" s="4">
        <v>44034</v>
      </c>
      <c r="M2171" s="140">
        <v>20</v>
      </c>
      <c r="P2171" s="4" t="s">
        <v>291</v>
      </c>
      <c r="Q2171" s="143"/>
      <c r="T2171" s="144"/>
      <c r="U2171" s="145" t="e">
        <f>VLOOKUP(H2171,Stock_list!A:N,14,FALSE)</f>
        <v>#N/A</v>
      </c>
    </row>
    <row r="2172" spans="1:21" ht="16.5" customHeight="1">
      <c r="A2172" s="159" t="s">
        <v>2744</v>
      </c>
      <c r="B2172" s="114" t="str">
        <f>VLOOKUP(A2172,'Data pick slip'!B:F,5,FALSE)</f>
        <v>KHJ-MC100-00</v>
      </c>
      <c r="F2172" s="157" t="s">
        <v>2861</v>
      </c>
      <c r="H2172" s="138">
        <v>731</v>
      </c>
      <c r="I2172" s="139" t="str">
        <f>VLOOKUP(H2172,Stock_list!A:R,18,FALSE)</f>
        <v>融创新合</v>
      </c>
      <c r="J2172" s="139" t="str">
        <f>VLOOKUP(H2172,Stock_list!A:S,17,FALSE)</f>
        <v>C49SZX20200110MZ</v>
      </c>
      <c r="K2172" s="51" t="str">
        <f>VLOOKUP(H2172,Stock_list!A:T,16,FALSE)</f>
        <v>JPY</v>
      </c>
      <c r="L2172" s="4">
        <v>44098</v>
      </c>
      <c r="M2172" s="132">
        <v>80</v>
      </c>
      <c r="P2172" s="4" t="str">
        <f>VLOOKUP(H2172,Stock_list!A:Y,25,FALSE)</f>
        <v>Yes</v>
      </c>
      <c r="Q2172" s="133"/>
      <c r="T2172" s="144"/>
      <c r="U2172" s="145" t="str">
        <f>VLOOKUP(H2172,Stock_list!A:N,14,FALSE)</f>
        <v>SEP 20</v>
      </c>
    </row>
    <row r="2173" spans="1:21" ht="16.5" customHeight="1">
      <c r="A2173" s="159" t="s">
        <v>2747</v>
      </c>
      <c r="B2173" s="114" t="str">
        <f>VLOOKUP(A2173,'Data pick slip'!B:F,5,FALSE)</f>
        <v>KHJ-MC200-00</v>
      </c>
      <c r="F2173" s="157" t="s">
        <v>2861</v>
      </c>
      <c r="H2173" s="138">
        <v>731</v>
      </c>
      <c r="I2173" s="139" t="str">
        <f>VLOOKUP(H2173,Stock_list!A:R,18,FALSE)</f>
        <v>融创新合</v>
      </c>
      <c r="J2173" s="139" t="str">
        <f>VLOOKUP(H2173,Stock_list!A:S,17,FALSE)</f>
        <v>C49SZX20200110MZ</v>
      </c>
      <c r="K2173" s="51" t="str">
        <f>VLOOKUP(H2173,Stock_list!A:T,16,FALSE)</f>
        <v>JPY</v>
      </c>
      <c r="L2173" s="4">
        <v>44098</v>
      </c>
      <c r="M2173" s="132">
        <v>20</v>
      </c>
      <c r="P2173" s="4" t="str">
        <f>VLOOKUP(H2173,Stock_list!A:Y,25,FALSE)</f>
        <v>Yes</v>
      </c>
      <c r="Q2173" s="133"/>
      <c r="T2173" s="144"/>
      <c r="U2173" s="145" t="str">
        <f>VLOOKUP(H2173,Stock_list!A:N,14,FALSE)</f>
        <v>SEP 20</v>
      </c>
    </row>
    <row r="2174" spans="1:21" ht="16.5" customHeight="1">
      <c r="A2174" s="159" t="s">
        <v>2748</v>
      </c>
      <c r="B2174" s="114" t="str">
        <f>VLOOKUP(A2174,'Data pick slip'!B:F,5,FALSE)</f>
        <v>KHJ-MC400-00</v>
      </c>
      <c r="F2174" s="157" t="s">
        <v>2861</v>
      </c>
      <c r="H2174" s="138">
        <v>731</v>
      </c>
      <c r="I2174" s="139" t="str">
        <f>VLOOKUP(H2174,Stock_list!A:R,18,FALSE)</f>
        <v>融创新合</v>
      </c>
      <c r="J2174" s="139" t="str">
        <f>VLOOKUP(H2174,Stock_list!A:S,17,FALSE)</f>
        <v>C49SZX20200110MZ</v>
      </c>
      <c r="K2174" s="51" t="str">
        <f>VLOOKUP(H2174,Stock_list!A:T,16,FALSE)</f>
        <v>JPY</v>
      </c>
      <c r="L2174" s="4">
        <v>44098</v>
      </c>
      <c r="M2174" s="132">
        <v>3</v>
      </c>
      <c r="P2174" s="4" t="str">
        <f>VLOOKUP(H2174,Stock_list!A:Y,25,FALSE)</f>
        <v>Yes</v>
      </c>
      <c r="Q2174" s="133"/>
      <c r="T2174" s="144"/>
      <c r="U2174" s="145" t="str">
        <f>VLOOKUP(H2174,Stock_list!A:N,14,FALSE)</f>
        <v>SEP 20</v>
      </c>
    </row>
    <row r="2175" spans="1:21" ht="16.5" customHeight="1">
      <c r="A2175" s="159" t="s">
        <v>2749</v>
      </c>
      <c r="B2175" s="114" t="str">
        <f>VLOOKUP(A2175,'Data pick slip'!B:F,5,FALSE)</f>
        <v>KHJ-MC500-00</v>
      </c>
      <c r="F2175" s="157" t="s">
        <v>2861</v>
      </c>
      <c r="H2175" s="138">
        <v>731</v>
      </c>
      <c r="I2175" s="139" t="str">
        <f>VLOOKUP(H2175,Stock_list!A:R,18,FALSE)</f>
        <v>融创新合</v>
      </c>
      <c r="J2175" s="139" t="str">
        <f>VLOOKUP(H2175,Stock_list!A:S,17,FALSE)</f>
        <v>C49SZX20200110MZ</v>
      </c>
      <c r="K2175" s="51" t="str">
        <f>VLOOKUP(H2175,Stock_list!A:T,16,FALSE)</f>
        <v>JPY</v>
      </c>
      <c r="L2175" s="4">
        <v>44098</v>
      </c>
      <c r="M2175" s="132">
        <v>2</v>
      </c>
      <c r="P2175" s="4" t="str">
        <f>VLOOKUP(H2175,Stock_list!A:Y,25,FALSE)</f>
        <v>Yes</v>
      </c>
      <c r="Q2175" s="133"/>
      <c r="T2175" s="144"/>
      <c r="U2175" s="145" t="str">
        <f>VLOOKUP(H2175,Stock_list!A:N,14,FALSE)</f>
        <v>SEP 20</v>
      </c>
    </row>
    <row r="2176" spans="1:21" ht="16.5" customHeight="1">
      <c r="A2176" s="159" t="s">
        <v>2750</v>
      </c>
      <c r="B2176" s="114" t="str">
        <f>VLOOKUP(A2176,'Data pick slip'!B:F,5,FALSE)</f>
        <v>KHJ-MC600-00</v>
      </c>
      <c r="F2176" s="157" t="s">
        <v>2861</v>
      </c>
      <c r="H2176" s="138">
        <v>731</v>
      </c>
      <c r="I2176" s="139" t="str">
        <f>VLOOKUP(H2176,Stock_list!A:R,18,FALSE)</f>
        <v>融创新合</v>
      </c>
      <c r="J2176" s="139" t="str">
        <f>VLOOKUP(H2176,Stock_list!A:S,17,FALSE)</f>
        <v>C49SZX20200110MZ</v>
      </c>
      <c r="K2176" s="51" t="str">
        <f>VLOOKUP(H2176,Stock_list!A:T,16,FALSE)</f>
        <v>JPY</v>
      </c>
      <c r="L2176" s="4">
        <v>44098</v>
      </c>
      <c r="M2176" s="132">
        <v>2</v>
      </c>
      <c r="P2176" s="4" t="str">
        <f>VLOOKUP(H2176,Stock_list!A:Y,25,FALSE)</f>
        <v>Yes</v>
      </c>
      <c r="Q2176" s="133"/>
      <c r="T2176" s="144"/>
      <c r="U2176" s="145" t="str">
        <f>VLOOKUP(H2176,Stock_list!A:N,14,FALSE)</f>
        <v>SEP 20</v>
      </c>
    </row>
    <row r="2177" spans="1:21" ht="16.5" customHeight="1">
      <c r="A2177" s="159" t="s">
        <v>2744</v>
      </c>
      <c r="B2177" s="114" t="str">
        <f>VLOOKUP(A2177,'Data pick slip'!B:F,5,FALSE)</f>
        <v>KHJ-MC100-00</v>
      </c>
      <c r="F2177" s="157" t="s">
        <v>2773</v>
      </c>
      <c r="H2177" s="138">
        <v>733</v>
      </c>
      <c r="I2177" s="139" t="str">
        <f>VLOOKUP(H2177,Stock_list!A:R,18,FALSE)</f>
        <v>辉拓（end user：海纳科）</v>
      </c>
      <c r="J2177" s="139" t="str">
        <f>VLOOKUP(H2177,Stock_list!A:S,17,FALSE)</f>
        <v>C49SZX20200097JY</v>
      </c>
      <c r="K2177" s="51" t="str">
        <f>VLOOKUP(H2177,Stock_list!A:T,16,FALSE)</f>
        <v>RMB</v>
      </c>
      <c r="L2177" s="4">
        <v>44040</v>
      </c>
      <c r="M2177" s="132">
        <v>8</v>
      </c>
      <c r="P2177" s="4" t="str">
        <f>VLOOKUP(H2177,Stock_list!A:Y,25,FALSE)</f>
        <v>Yes</v>
      </c>
      <c r="Q2177" s="133"/>
      <c r="T2177" s="144"/>
      <c r="U2177" s="145" t="str">
        <f>VLOOKUP(H2177,Stock_list!A:N,14,FALSE)</f>
        <v>JUL 20</v>
      </c>
    </row>
    <row r="2178" spans="1:21" ht="16.5" customHeight="1">
      <c r="A2178" s="159" t="s">
        <v>2747</v>
      </c>
      <c r="B2178" s="114" t="str">
        <f>VLOOKUP(A2178,'Data pick slip'!B:F,5,FALSE)</f>
        <v>KHJ-MC200-00</v>
      </c>
      <c r="F2178" s="157" t="s">
        <v>2773</v>
      </c>
      <c r="H2178" s="138">
        <v>733</v>
      </c>
      <c r="I2178" s="139" t="str">
        <f>VLOOKUP(H2178,Stock_list!A:R,18,FALSE)</f>
        <v>辉拓（end user：海纳科）</v>
      </c>
      <c r="J2178" s="139" t="str">
        <f>VLOOKUP(H2178,Stock_list!A:S,17,FALSE)</f>
        <v>C49SZX20200097JY</v>
      </c>
      <c r="K2178" s="51" t="str">
        <f>VLOOKUP(H2178,Stock_list!A:T,16,FALSE)</f>
        <v>RMB</v>
      </c>
      <c r="L2178" s="4">
        <v>44040</v>
      </c>
      <c r="M2178" s="132">
        <v>4</v>
      </c>
      <c r="P2178" s="4" t="str">
        <f>VLOOKUP(H2178,Stock_list!A:Y,25,FALSE)</f>
        <v>Yes</v>
      </c>
      <c r="Q2178" s="133"/>
      <c r="T2178" s="144"/>
      <c r="U2178" s="145" t="str">
        <f>VLOOKUP(H2178,Stock_list!A:N,14,FALSE)</f>
        <v>JUL 20</v>
      </c>
    </row>
    <row r="2179" spans="1:21" ht="16.5" customHeight="1">
      <c r="A2179" s="159" t="s">
        <v>2748</v>
      </c>
      <c r="B2179" s="114" t="str">
        <f>VLOOKUP(A2179,'Data pick slip'!B:F,5,FALSE)</f>
        <v>KHJ-MC400-00</v>
      </c>
      <c r="F2179" s="157" t="s">
        <v>2773</v>
      </c>
      <c r="H2179" s="138">
        <v>733</v>
      </c>
      <c r="I2179" s="139" t="str">
        <f>VLOOKUP(H2179,Stock_list!A:R,18,FALSE)</f>
        <v>辉拓（end user：海纳科）</v>
      </c>
      <c r="J2179" s="139" t="str">
        <f>VLOOKUP(H2179,Stock_list!A:S,17,FALSE)</f>
        <v>C49SZX20200097JY</v>
      </c>
      <c r="K2179" s="51" t="str">
        <f>VLOOKUP(H2179,Stock_list!A:T,16,FALSE)</f>
        <v>RMB</v>
      </c>
      <c r="L2179" s="4">
        <v>44040</v>
      </c>
      <c r="M2179" s="132">
        <v>3</v>
      </c>
      <c r="P2179" s="4" t="str">
        <f>VLOOKUP(H2179,Stock_list!A:Y,25,FALSE)</f>
        <v>Yes</v>
      </c>
      <c r="Q2179" s="133"/>
      <c r="T2179" s="144"/>
      <c r="U2179" s="145" t="str">
        <f>VLOOKUP(H2179,Stock_list!A:N,14,FALSE)</f>
        <v>JUL 20</v>
      </c>
    </row>
    <row r="2180" spans="1:21" ht="16.5" customHeight="1">
      <c r="A2180" s="159" t="s">
        <v>2744</v>
      </c>
      <c r="B2180" s="114" t="str">
        <f>VLOOKUP(A2180,'Data pick slip'!B:F,5,FALSE)</f>
        <v>KHJ-MC100-00</v>
      </c>
      <c r="F2180" s="157" t="s">
        <v>2861</v>
      </c>
      <c r="H2180" s="138">
        <v>734</v>
      </c>
      <c r="I2180" s="139" t="str">
        <f>VLOOKUP(H2180,Stock_list!A:R,18,FALSE)</f>
        <v>昊亮迪（end user：海纳科）</v>
      </c>
      <c r="J2180" s="139" t="str">
        <f>VLOOKUP(H2180,Stock_list!A:S,17,FALSE)</f>
        <v>C49SZX20200125JY</v>
      </c>
      <c r="K2180" s="51" t="str">
        <f>VLOOKUP(H2180,Stock_list!A:T,16,FALSE)</f>
        <v>JPY</v>
      </c>
      <c r="L2180" s="4">
        <v>44138</v>
      </c>
      <c r="M2180" s="132">
        <v>8</v>
      </c>
      <c r="P2180" s="4" t="str">
        <f>VLOOKUP(H2180,Stock_list!A:Y,25,FALSE)</f>
        <v>Yes</v>
      </c>
      <c r="Q2180" s="133"/>
      <c r="T2180" s="144"/>
      <c r="U2180" s="145" t="str">
        <f>VLOOKUP(H2180,Stock_list!A:N,14,FALSE)</f>
        <v>SEP 20</v>
      </c>
    </row>
    <row r="2181" spans="1:21" ht="16.5" customHeight="1">
      <c r="A2181" s="159" t="s">
        <v>2747</v>
      </c>
      <c r="B2181" s="114" t="str">
        <f>VLOOKUP(A2181,'Data pick slip'!B:F,5,FALSE)</f>
        <v>KHJ-MC200-00</v>
      </c>
      <c r="F2181" s="157" t="s">
        <v>2861</v>
      </c>
      <c r="H2181" s="138">
        <v>734</v>
      </c>
      <c r="I2181" s="139" t="str">
        <f>VLOOKUP(H2181,Stock_list!A:R,18,FALSE)</f>
        <v>昊亮迪（end user：海纳科）</v>
      </c>
      <c r="J2181" s="139" t="str">
        <f>VLOOKUP(H2181,Stock_list!A:S,17,FALSE)</f>
        <v>C49SZX20200125JY</v>
      </c>
      <c r="K2181" s="51" t="str">
        <f>VLOOKUP(H2181,Stock_list!A:T,16,FALSE)</f>
        <v>JPY</v>
      </c>
      <c r="L2181" s="4">
        <v>44138</v>
      </c>
      <c r="M2181" s="132">
        <v>4</v>
      </c>
      <c r="P2181" s="4" t="str">
        <f>VLOOKUP(H2181,Stock_list!A:Y,25,FALSE)</f>
        <v>Yes</v>
      </c>
      <c r="Q2181" s="133"/>
      <c r="T2181" s="144"/>
      <c r="U2181" s="145" t="str">
        <f>VLOOKUP(H2181,Stock_list!A:N,14,FALSE)</f>
        <v>SEP 20</v>
      </c>
    </row>
    <row r="2182" spans="1:21" ht="16.5" customHeight="1">
      <c r="A2182" s="159" t="s">
        <v>2748</v>
      </c>
      <c r="B2182" s="114" t="str">
        <f>VLOOKUP(A2182,'Data pick slip'!B:F,5,FALSE)</f>
        <v>KHJ-MC400-00</v>
      </c>
      <c r="F2182" s="157" t="s">
        <v>2861</v>
      </c>
      <c r="H2182" s="138">
        <v>734</v>
      </c>
      <c r="I2182" s="139" t="str">
        <f>VLOOKUP(H2182,Stock_list!A:R,18,FALSE)</f>
        <v>昊亮迪（end user：海纳科）</v>
      </c>
      <c r="J2182" s="139" t="str">
        <f>VLOOKUP(H2182,Stock_list!A:S,17,FALSE)</f>
        <v>C49SZX20200125JY</v>
      </c>
      <c r="K2182" s="51" t="str">
        <f>VLOOKUP(H2182,Stock_list!A:T,16,FALSE)</f>
        <v>JPY</v>
      </c>
      <c r="L2182" s="4">
        <v>44138</v>
      </c>
      <c r="M2182" s="132">
        <v>3</v>
      </c>
      <c r="N2182" s="149"/>
      <c r="P2182" s="4" t="str">
        <f>VLOOKUP(H2182,Stock_list!A:Y,25,FALSE)</f>
        <v>Yes</v>
      </c>
      <c r="Q2182" s="133"/>
      <c r="T2182" s="144"/>
      <c r="U2182" s="145" t="str">
        <f>VLOOKUP(H2182,Stock_list!A:N,14,FALSE)</f>
        <v>SEP 20</v>
      </c>
    </row>
    <row r="2183" spans="1:21" ht="16.5" customHeight="1">
      <c r="A2183" s="159" t="s">
        <v>2744</v>
      </c>
      <c r="B2183" s="114" t="str">
        <f>VLOOKUP(A2183,'Data pick slip'!B:F,5,FALSE)</f>
        <v>KHJ-MC100-00</v>
      </c>
      <c r="F2183" s="157" t="s">
        <v>2773</v>
      </c>
      <c r="H2183" s="138">
        <v>734</v>
      </c>
      <c r="I2183" s="139" t="str">
        <f>VLOOKUP(H2183,Stock_list!A:R,18,FALSE)</f>
        <v>昊亮迪（end user：海纳科）</v>
      </c>
      <c r="J2183" s="139" t="str">
        <f>VLOOKUP(H2183,Stock_list!A:S,17,FALSE)</f>
        <v>C49SZX20200125JY</v>
      </c>
      <c r="K2183" s="51" t="str">
        <f>VLOOKUP(H2183,Stock_list!A:T,16,FALSE)</f>
        <v>JPY</v>
      </c>
      <c r="L2183" s="4">
        <v>44097</v>
      </c>
      <c r="O2183" s="132">
        <f>8-8</f>
        <v>0</v>
      </c>
      <c r="P2183" s="4" t="str">
        <f>VLOOKUP(H2183,Stock_list!A:Y,25,FALSE)</f>
        <v>Yes</v>
      </c>
      <c r="Q2183" s="133"/>
      <c r="T2183" s="144"/>
      <c r="U2183" s="145" t="str">
        <f>VLOOKUP(H2183,Stock_list!A:N,14,FALSE)</f>
        <v>SEP 20</v>
      </c>
    </row>
    <row r="2184" spans="1:21" ht="16.5" customHeight="1">
      <c r="A2184" s="159" t="s">
        <v>2747</v>
      </c>
      <c r="B2184" s="114" t="str">
        <f>VLOOKUP(A2184,'Data pick slip'!B:F,5,FALSE)</f>
        <v>KHJ-MC200-00</v>
      </c>
      <c r="F2184" s="157" t="s">
        <v>2773</v>
      </c>
      <c r="H2184" s="138">
        <v>734</v>
      </c>
      <c r="I2184" s="139" t="str">
        <f>VLOOKUP(H2184,Stock_list!A:R,18,FALSE)</f>
        <v>昊亮迪（end user：海纳科）</v>
      </c>
      <c r="J2184" s="139" t="str">
        <f>VLOOKUP(H2184,Stock_list!A:S,17,FALSE)</f>
        <v>C49SZX20200125JY</v>
      </c>
      <c r="K2184" s="51" t="str">
        <f>VLOOKUP(H2184,Stock_list!A:T,16,FALSE)</f>
        <v>JPY</v>
      </c>
      <c r="L2184" s="4">
        <v>44097</v>
      </c>
      <c r="O2184" s="132">
        <f>4-4</f>
        <v>0</v>
      </c>
      <c r="P2184" s="4" t="str">
        <f>VLOOKUP(H2184,Stock_list!A:Y,25,FALSE)</f>
        <v>Yes</v>
      </c>
      <c r="Q2184" s="133"/>
      <c r="T2184" s="144"/>
      <c r="U2184" s="145" t="str">
        <f>VLOOKUP(H2184,Stock_list!A:N,14,FALSE)</f>
        <v>SEP 20</v>
      </c>
    </row>
    <row r="2185" spans="1:21" ht="16.5" customHeight="1">
      <c r="A2185" s="159" t="s">
        <v>2748</v>
      </c>
      <c r="B2185" s="114" t="str">
        <f>VLOOKUP(A2185,'Data pick slip'!B:F,5,FALSE)</f>
        <v>KHJ-MC400-00</v>
      </c>
      <c r="F2185" s="157" t="s">
        <v>2773</v>
      </c>
      <c r="H2185" s="138">
        <v>734</v>
      </c>
      <c r="I2185" s="139" t="str">
        <f>VLOOKUP(H2185,Stock_list!A:R,18,FALSE)</f>
        <v>昊亮迪（end user：海纳科）</v>
      </c>
      <c r="J2185" s="139" t="str">
        <f>VLOOKUP(H2185,Stock_list!A:S,17,FALSE)</f>
        <v>C49SZX20200125JY</v>
      </c>
      <c r="K2185" s="51" t="str">
        <f>VLOOKUP(H2185,Stock_list!A:T,16,FALSE)</f>
        <v>JPY</v>
      </c>
      <c r="L2185" s="4">
        <v>44097</v>
      </c>
      <c r="O2185" s="132">
        <f>3-3</f>
        <v>0</v>
      </c>
      <c r="P2185" s="4" t="str">
        <f>VLOOKUP(H2185,Stock_list!A:Y,25,FALSE)</f>
        <v>Yes</v>
      </c>
      <c r="Q2185" s="133"/>
      <c r="T2185" s="144"/>
      <c r="U2185" s="145" t="str">
        <f>VLOOKUP(H2185,Stock_list!A:N,14,FALSE)</f>
        <v>SEP 20</v>
      </c>
    </row>
    <row r="2186" spans="1:21" ht="16.5" customHeight="1">
      <c r="A2186" s="159" t="s">
        <v>2747</v>
      </c>
      <c r="B2186" s="114" t="str">
        <f>VLOOKUP(A2186,'Data pick slip'!B:F,5,FALSE)</f>
        <v>KHJ-MC200-00</v>
      </c>
      <c r="F2186" s="157" t="s">
        <v>2773</v>
      </c>
      <c r="I2186" s="139" t="s">
        <v>3286</v>
      </c>
      <c r="J2186" s="139" t="s">
        <v>3319</v>
      </c>
      <c r="K2186" s="51" t="s">
        <v>1246</v>
      </c>
      <c r="L2186" s="4">
        <v>44028</v>
      </c>
      <c r="M2186" s="140">
        <v>5</v>
      </c>
      <c r="P2186" s="4" t="s">
        <v>291</v>
      </c>
      <c r="Q2186" s="143"/>
      <c r="T2186" s="144"/>
      <c r="U2186" s="145" t="e">
        <f>VLOOKUP(H2186,Stock_list!A:N,14,FALSE)</f>
        <v>#N/A</v>
      </c>
    </row>
    <row r="2187" spans="1:21" ht="16.5" customHeight="1">
      <c r="A2187" s="159" t="s">
        <v>2744</v>
      </c>
      <c r="B2187" s="114" t="str">
        <f>VLOOKUP(A2187,'Data pick slip'!B:F,5,FALSE)</f>
        <v>KHJ-MC100-00</v>
      </c>
      <c r="F2187" s="157" t="s">
        <v>2861</v>
      </c>
      <c r="H2187" s="138">
        <v>736</v>
      </c>
      <c r="I2187" s="139" t="str">
        <f>VLOOKUP(H2187,Stock_list!A:R,18,FALSE)</f>
        <v>伯莱科</v>
      </c>
      <c r="J2187" s="139" t="str">
        <f>VLOOKUP(H2187,Stock_list!A:S,17,FALSE)</f>
        <v>C49SZX20200108JL</v>
      </c>
      <c r="K2187" s="51" t="str">
        <f>VLOOKUP(H2187,Stock_list!A:T,16,FALSE)</f>
        <v>JPY</v>
      </c>
      <c r="L2187" s="4">
        <v>44098</v>
      </c>
      <c r="M2187" s="140">
        <v>4</v>
      </c>
      <c r="P2187" s="4" t="str">
        <f>VLOOKUP(H2187,Stock_list!A:Y,25,FALSE)</f>
        <v>Yes</v>
      </c>
      <c r="Q2187" s="133"/>
      <c r="T2187" s="144"/>
      <c r="U2187" s="145" t="str">
        <f>VLOOKUP(H2187,Stock_list!A:N,14,FALSE)</f>
        <v>SEP 20</v>
      </c>
    </row>
    <row r="2188" spans="1:21" ht="16.5" customHeight="1">
      <c r="A2188" s="159" t="s">
        <v>2755</v>
      </c>
      <c r="B2188" s="114" t="str">
        <f>VLOOKUP(A2188,'Data pick slip'!B:F,5,FALSE)</f>
        <v>KLJ-MC100-00</v>
      </c>
      <c r="F2188" s="157" t="s">
        <v>2861</v>
      </c>
      <c r="H2188" s="138">
        <v>739</v>
      </c>
      <c r="I2188" s="139" t="str">
        <f>VLOOKUP(H2188,Stock_list!A:R,18,FALSE)</f>
        <v>平方兆赫</v>
      </c>
      <c r="J2188" s="139" t="str">
        <f>VLOOKUP(H2188,Stock_list!A:S,17,FALSE)</f>
        <v>C49SZX20210028DZ</v>
      </c>
      <c r="K2188" s="51" t="str">
        <f>VLOOKUP(H2188,Stock_list!A:T,16,FALSE)</f>
        <v>JPY</v>
      </c>
      <c r="L2188" s="4">
        <v>44315</v>
      </c>
      <c r="M2188" s="132">
        <v>75</v>
      </c>
      <c r="P2188" s="4" t="str">
        <f>VLOOKUP(H2188,Stock_list!A:Y,25,FALSE)</f>
        <v>Yes</v>
      </c>
      <c r="Q2188" s="143"/>
      <c r="T2188" s="144"/>
      <c r="U2188" s="145" t="str">
        <f>VLOOKUP(H2188,Stock_list!A:N,14,FALSE)</f>
        <v>APR 21</v>
      </c>
    </row>
    <row r="2189" spans="1:21" ht="16.5" customHeight="1">
      <c r="A2189" s="159" t="s">
        <v>2756</v>
      </c>
      <c r="B2189" s="114" t="str">
        <f>VLOOKUP(A2189,'Data pick slip'!B:F,5,FALSE)</f>
        <v>KLJ-MC200-00</v>
      </c>
      <c r="F2189" s="157" t="s">
        <v>2861</v>
      </c>
      <c r="H2189" s="138">
        <v>739</v>
      </c>
      <c r="I2189" s="139" t="str">
        <f>VLOOKUP(H2189,Stock_list!A:R,18,FALSE)</f>
        <v>平方兆赫</v>
      </c>
      <c r="J2189" s="139" t="str">
        <f>VLOOKUP(H2189,Stock_list!A:S,17,FALSE)</f>
        <v>C49SZX20210028DZ</v>
      </c>
      <c r="K2189" s="51" t="str">
        <f>VLOOKUP(H2189,Stock_list!A:T,16,FALSE)</f>
        <v>JPY</v>
      </c>
      <c r="L2189" s="4">
        <v>44315</v>
      </c>
      <c r="M2189" s="132">
        <v>10</v>
      </c>
      <c r="P2189" s="4" t="str">
        <f>VLOOKUP(H2189,Stock_list!A:Y,25,FALSE)</f>
        <v>Yes</v>
      </c>
      <c r="T2189" s="144"/>
      <c r="U2189" s="145" t="str">
        <f>VLOOKUP(H2189,Stock_list!A:N,14,FALSE)</f>
        <v>APR 21</v>
      </c>
    </row>
    <row r="2190" spans="1:21" ht="16.5" customHeight="1">
      <c r="A2190" s="159" t="s">
        <v>2757</v>
      </c>
      <c r="B2190" s="114" t="str">
        <f>VLOOKUP(A2190,'Data pick slip'!B:F,5,FALSE)</f>
        <v>KLJ-MC400-00</v>
      </c>
      <c r="F2190" s="157" t="s">
        <v>2861</v>
      </c>
      <c r="H2190" s="138">
        <v>739</v>
      </c>
      <c r="I2190" s="139" t="str">
        <f>VLOOKUP(H2190,Stock_list!A:R,18,FALSE)</f>
        <v>平方兆赫</v>
      </c>
      <c r="J2190" s="139" t="str">
        <f>VLOOKUP(H2190,Stock_list!A:S,17,FALSE)</f>
        <v>C49SZX20210028DZ</v>
      </c>
      <c r="K2190" s="51" t="str">
        <f>VLOOKUP(H2190,Stock_list!A:T,16,FALSE)</f>
        <v>JPY</v>
      </c>
      <c r="L2190" s="4">
        <v>44315</v>
      </c>
      <c r="M2190" s="132">
        <v>2</v>
      </c>
      <c r="P2190" s="4" t="str">
        <f>VLOOKUP(H2190,Stock_list!A:Y,25,FALSE)</f>
        <v>Yes</v>
      </c>
      <c r="Q2190" s="143"/>
      <c r="T2190" s="144"/>
      <c r="U2190" s="145" t="str">
        <f>VLOOKUP(H2190,Stock_list!A:N,14,FALSE)</f>
        <v>APR 21</v>
      </c>
    </row>
    <row r="2191" spans="1:21" ht="16.5" customHeight="1">
      <c r="A2191" s="159" t="s">
        <v>2744</v>
      </c>
      <c r="B2191" s="114" t="str">
        <f>VLOOKUP(A2191,'Data pick slip'!B:F,5,FALSE)</f>
        <v>KHJ-MC100-00</v>
      </c>
      <c r="F2191" s="157" t="s">
        <v>2861</v>
      </c>
      <c r="H2191" s="138">
        <v>742</v>
      </c>
      <c r="I2191" s="139" t="str">
        <f>VLOOKUP(H2191,Stock_list!A:R,18,FALSE)</f>
        <v>华创易达</v>
      </c>
      <c r="J2191" s="139" t="str">
        <f>VLOOKUP(H2191,Stock_list!A:S,17,FALSE)</f>
        <v>C49SZX20200111JY</v>
      </c>
      <c r="K2191" s="51" t="str">
        <f>VLOOKUP(H2191,Stock_list!A:T,16,FALSE)</f>
        <v>JPY</v>
      </c>
      <c r="L2191" s="4">
        <v>44075</v>
      </c>
      <c r="M2191" s="132">
        <v>2</v>
      </c>
      <c r="P2191" s="4" t="str">
        <f>VLOOKUP(H2191,Stock_list!A:Y,25,FALSE)</f>
        <v>Yes</v>
      </c>
      <c r="Q2191" s="133"/>
      <c r="T2191" s="144"/>
      <c r="U2191" s="145" t="str">
        <f>VLOOKUP(H2191,Stock_list!A:N,14,FALSE)</f>
        <v>SEP 20</v>
      </c>
    </row>
    <row r="2192" spans="1:21" ht="16.5" customHeight="1">
      <c r="A2192" s="159" t="s">
        <v>2744</v>
      </c>
      <c r="B2192" s="114" t="str">
        <f>VLOOKUP(A2192,'Data pick slip'!B:F,5,FALSE)</f>
        <v>KHJ-MC100-00</v>
      </c>
      <c r="F2192" s="157" t="s">
        <v>2861</v>
      </c>
      <c r="H2192" s="138">
        <v>743</v>
      </c>
      <c r="I2192" s="139" t="str">
        <f>VLOOKUP(H2192,Stock_list!A:R,18,FALSE)</f>
        <v>钧溢电子</v>
      </c>
      <c r="J2192" s="139" t="str">
        <f>VLOOKUP(H2192,Stock_list!A:S,17,FALSE)</f>
        <v>C49SZX20200112SS</v>
      </c>
      <c r="K2192" s="51" t="str">
        <f>VLOOKUP(H2192,Stock_list!A:T,16,FALSE)</f>
        <v>JPY</v>
      </c>
      <c r="L2192" s="4">
        <v>44103</v>
      </c>
      <c r="M2192" s="132">
        <v>19</v>
      </c>
      <c r="P2192" s="4" t="str">
        <f>VLOOKUP(H2192,Stock_list!A:Y,25,FALSE)</f>
        <v>Yes</v>
      </c>
      <c r="Q2192" s="133"/>
      <c r="T2192" s="144"/>
      <c r="U2192" s="145" t="str">
        <f>VLOOKUP(H2192,Stock_list!A:N,14,FALSE)</f>
        <v>SEP 20</v>
      </c>
    </row>
    <row r="2193" spans="1:21" ht="16.5" customHeight="1">
      <c r="A2193" s="159" t="s">
        <v>2747</v>
      </c>
      <c r="B2193" s="114" t="str">
        <f>VLOOKUP(A2193,'Data pick slip'!B:F,5,FALSE)</f>
        <v>KHJ-MC200-00</v>
      </c>
      <c r="F2193" s="157" t="s">
        <v>2861</v>
      </c>
      <c r="H2193" s="138">
        <v>743</v>
      </c>
      <c r="I2193" s="139" t="str">
        <f>VLOOKUP(H2193,Stock_list!A:R,18,FALSE)</f>
        <v>钧溢电子</v>
      </c>
      <c r="J2193" s="139" t="str">
        <f>VLOOKUP(H2193,Stock_list!A:S,17,FALSE)</f>
        <v>C49SZX20200112SS</v>
      </c>
      <c r="K2193" s="51" t="str">
        <f>VLOOKUP(H2193,Stock_list!A:T,16,FALSE)</f>
        <v>JPY</v>
      </c>
      <c r="L2193" s="4">
        <v>44103</v>
      </c>
      <c r="M2193" s="132">
        <v>10</v>
      </c>
      <c r="P2193" s="4" t="str">
        <f>VLOOKUP(H2193,Stock_list!A:Y,25,FALSE)</f>
        <v>Yes</v>
      </c>
      <c r="Q2193" s="133"/>
      <c r="T2193" s="144"/>
      <c r="U2193" s="145" t="str">
        <f>VLOOKUP(H2193,Stock_list!A:N,14,FALSE)</f>
        <v>SEP 20</v>
      </c>
    </row>
    <row r="2194" spans="1:21" ht="16.5" customHeight="1">
      <c r="A2194" s="159" t="s">
        <v>2748</v>
      </c>
      <c r="B2194" s="114" t="str">
        <f>VLOOKUP(A2194,'Data pick slip'!B:F,5,FALSE)</f>
        <v>KHJ-MC400-00</v>
      </c>
      <c r="F2194" s="157" t="s">
        <v>2861</v>
      </c>
      <c r="H2194" s="138">
        <v>743</v>
      </c>
      <c r="I2194" s="139" t="str">
        <f>VLOOKUP(H2194,Stock_list!A:R,18,FALSE)</f>
        <v>钧溢电子</v>
      </c>
      <c r="J2194" s="139" t="str">
        <f>VLOOKUP(H2194,Stock_list!A:S,17,FALSE)</f>
        <v>C49SZX20200112SS</v>
      </c>
      <c r="K2194" s="51" t="str">
        <f>VLOOKUP(H2194,Stock_list!A:T,16,FALSE)</f>
        <v>JPY</v>
      </c>
      <c r="L2194" s="4">
        <v>44103</v>
      </c>
      <c r="M2194" s="132">
        <v>1</v>
      </c>
      <c r="P2194" s="4" t="str">
        <f>VLOOKUP(H2194,Stock_list!A:Y,25,FALSE)</f>
        <v>Yes</v>
      </c>
      <c r="Q2194" s="133"/>
      <c r="T2194" s="144"/>
      <c r="U2194" s="145" t="str">
        <f>VLOOKUP(H2194,Stock_list!A:N,14,FALSE)</f>
        <v>SEP 20</v>
      </c>
    </row>
    <row r="2195" spans="1:21" ht="16.5" customHeight="1">
      <c r="A2195" s="159" t="s">
        <v>2755</v>
      </c>
      <c r="B2195" s="114" t="str">
        <f>VLOOKUP(A2195,'Data pick slip'!B:F,5,FALSE)</f>
        <v>KLJ-MC100-00</v>
      </c>
      <c r="F2195" s="157" t="s">
        <v>2773</v>
      </c>
      <c r="I2195" s="139" t="s">
        <v>3093</v>
      </c>
      <c r="J2195" s="139" t="s">
        <v>3320</v>
      </c>
      <c r="K2195" s="51" t="s">
        <v>1246</v>
      </c>
      <c r="L2195" s="4">
        <v>44036</v>
      </c>
      <c r="M2195" s="140">
        <v>25</v>
      </c>
      <c r="P2195" s="4" t="s">
        <v>291</v>
      </c>
      <c r="Q2195" s="143"/>
      <c r="T2195" s="144"/>
      <c r="U2195" s="145" t="e">
        <f>VLOOKUP(H2195,Stock_list!A:N,14,FALSE)</f>
        <v>#N/A</v>
      </c>
    </row>
    <row r="2196" spans="1:21" ht="16.5" customHeight="1">
      <c r="A2196" s="159" t="s">
        <v>2756</v>
      </c>
      <c r="B2196" s="114" t="str">
        <f>VLOOKUP(A2196,'Data pick slip'!B:F,5,FALSE)</f>
        <v>KLJ-MC200-00</v>
      </c>
      <c r="F2196" s="157" t="s">
        <v>2773</v>
      </c>
      <c r="I2196" s="139" t="s">
        <v>3093</v>
      </c>
      <c r="J2196" s="139" t="s">
        <v>3320</v>
      </c>
      <c r="K2196" s="51" t="s">
        <v>1246</v>
      </c>
      <c r="L2196" s="4">
        <v>44036</v>
      </c>
      <c r="M2196" s="140">
        <v>5</v>
      </c>
      <c r="P2196" s="4" t="s">
        <v>291</v>
      </c>
      <c r="T2196" s="144"/>
      <c r="U2196" s="145" t="e">
        <f>VLOOKUP(H2196,Stock_list!A:N,14,FALSE)</f>
        <v>#N/A</v>
      </c>
    </row>
    <row r="2197" spans="1:21" ht="16.5" customHeight="1">
      <c r="A2197" s="159" t="s">
        <v>2757</v>
      </c>
      <c r="B2197" s="114" t="str">
        <f>VLOOKUP(A2197,'Data pick slip'!B:F,5,FALSE)</f>
        <v>KLJ-MC400-00</v>
      </c>
      <c r="F2197" s="157" t="s">
        <v>2773</v>
      </c>
      <c r="I2197" s="139" t="s">
        <v>3093</v>
      </c>
      <c r="J2197" s="139" t="s">
        <v>3320</v>
      </c>
      <c r="K2197" s="51" t="s">
        <v>1246</v>
      </c>
      <c r="L2197" s="4">
        <v>44036</v>
      </c>
      <c r="M2197" s="140">
        <v>3</v>
      </c>
      <c r="P2197" s="4" t="s">
        <v>291</v>
      </c>
      <c r="Q2197" s="143"/>
      <c r="T2197" s="144"/>
      <c r="U2197" s="145" t="e">
        <f>VLOOKUP(H2197,Stock_list!A:N,14,FALSE)</f>
        <v>#N/A</v>
      </c>
    </row>
    <row r="2198" spans="1:21" ht="16.5" customHeight="1">
      <c r="A2198" s="159" t="s">
        <v>2759</v>
      </c>
      <c r="B2198" s="114" t="str">
        <f>VLOOKUP(A2198,'Data pick slip'!B:F,5,FALSE)</f>
        <v>KLJ-MC600-00</v>
      </c>
      <c r="F2198" s="157" t="s">
        <v>2773</v>
      </c>
      <c r="I2198" s="139" t="s">
        <v>3093</v>
      </c>
      <c r="J2198" s="139" t="s">
        <v>3320</v>
      </c>
      <c r="K2198" s="51" t="s">
        <v>1246</v>
      </c>
      <c r="L2198" s="4">
        <v>44036</v>
      </c>
      <c r="M2198" s="140">
        <v>1</v>
      </c>
      <c r="P2198" s="4" t="s">
        <v>291</v>
      </c>
      <c r="Q2198" s="143"/>
      <c r="T2198" s="144"/>
      <c r="U2198" s="145" t="e">
        <f>VLOOKUP(H2198,Stock_list!A:N,14,FALSE)</f>
        <v>#N/A</v>
      </c>
    </row>
    <row r="2199" spans="1:21" ht="16.5" customHeight="1">
      <c r="A2199" s="159" t="s">
        <v>2744</v>
      </c>
      <c r="B2199" s="114" t="str">
        <f>VLOOKUP(A2199,'Data pick slip'!B:F,5,FALSE)</f>
        <v>KHJ-MC100-00</v>
      </c>
      <c r="F2199" s="157" t="s">
        <v>2861</v>
      </c>
      <c r="H2199" s="138">
        <v>745</v>
      </c>
      <c r="I2199" s="139" t="str">
        <f>VLOOKUP(H2199,Stock_list!A:R,18,FALSE)</f>
        <v>优控电子</v>
      </c>
      <c r="J2199" s="139" t="str">
        <f>VLOOKUP(H2199,Stock_list!A:S,17,FALSE)</f>
        <v>C49SZX20200115SX</v>
      </c>
      <c r="K2199" s="51" t="str">
        <f>VLOOKUP(H2199,Stock_list!A:T,16,FALSE)</f>
        <v>JPY</v>
      </c>
      <c r="L2199" s="4">
        <v>44175</v>
      </c>
      <c r="M2199" s="132">
        <v>50</v>
      </c>
      <c r="N2199" s="146"/>
      <c r="P2199" s="4" t="str">
        <f>VLOOKUP(H2199,Stock_list!A:Y,25,FALSE)</f>
        <v>Yes</v>
      </c>
      <c r="Q2199" s="143"/>
      <c r="T2199" s="144"/>
      <c r="U2199" s="145" t="str">
        <f>VLOOKUP(H2199,Stock_list!A:N,14,FALSE)</f>
        <v>DEC 20</v>
      </c>
    </row>
    <row r="2200" spans="1:21" ht="16.5" customHeight="1">
      <c r="A2200" s="159" t="s">
        <v>2747</v>
      </c>
      <c r="B2200" s="114" t="str">
        <f>VLOOKUP(A2200,'Data pick slip'!B:F,5,FALSE)</f>
        <v>KHJ-MC200-00</v>
      </c>
      <c r="F2200" s="157" t="s">
        <v>2861</v>
      </c>
      <c r="H2200" s="138">
        <v>745</v>
      </c>
      <c r="I2200" s="139" t="str">
        <f>VLOOKUP(H2200,Stock_list!A:R,18,FALSE)</f>
        <v>优控电子</v>
      </c>
      <c r="J2200" s="139" t="str">
        <f>VLOOKUP(H2200,Stock_list!A:S,17,FALSE)</f>
        <v>C49SZX20200115SX</v>
      </c>
      <c r="K2200" s="51" t="str">
        <f>VLOOKUP(H2200,Stock_list!A:T,16,FALSE)</f>
        <v>JPY</v>
      </c>
      <c r="L2200" s="4">
        <v>44175</v>
      </c>
      <c r="M2200" s="132">
        <v>5</v>
      </c>
      <c r="N2200" s="146"/>
      <c r="P2200" s="4" t="str">
        <f>VLOOKUP(H2200,Stock_list!A:Y,25,FALSE)</f>
        <v>Yes</v>
      </c>
      <c r="Q2200" s="143"/>
      <c r="T2200" s="144"/>
      <c r="U2200" s="145" t="str">
        <f>VLOOKUP(H2200,Stock_list!A:N,14,FALSE)</f>
        <v>DEC 20</v>
      </c>
    </row>
    <row r="2201" spans="1:21" ht="16.5" customHeight="1">
      <c r="A2201" s="159" t="s">
        <v>2744</v>
      </c>
      <c r="B2201" s="114" t="str">
        <f>VLOOKUP(A2201,'Data pick slip'!B:F,5,FALSE)</f>
        <v>KHJ-MC100-00</v>
      </c>
      <c r="F2201" s="157" t="s">
        <v>2861</v>
      </c>
      <c r="H2201" s="138">
        <v>749</v>
      </c>
      <c r="I2201" s="139" t="str">
        <f>VLOOKUP(H2201,Stock_list!A:R,18,FALSE)</f>
        <v>凌鑫</v>
      </c>
      <c r="J2201" s="139" t="str">
        <f>VLOOKUP(H2201,Stock_list!A:S,17,FALSE)</f>
        <v>C49SZX20200120SX</v>
      </c>
      <c r="K2201" s="51" t="str">
        <f>VLOOKUP(H2201,Stock_list!A:T,16,FALSE)</f>
        <v>JPY</v>
      </c>
      <c r="L2201" s="4">
        <v>44139</v>
      </c>
      <c r="M2201" s="132">
        <v>40</v>
      </c>
      <c r="P2201" s="4" t="str">
        <f>VLOOKUP(H2201,Stock_list!A:Y,25,FALSE)</f>
        <v>Yes</v>
      </c>
      <c r="Q2201" s="143"/>
      <c r="T2201" s="144"/>
      <c r="U2201" s="145" t="str">
        <f>VLOOKUP(H2201,Stock_list!A:N,14,FALSE)</f>
        <v>NOV 20</v>
      </c>
    </row>
    <row r="2202" spans="1:21" ht="16.5" customHeight="1">
      <c r="A2202" s="159" t="s">
        <v>2744</v>
      </c>
      <c r="B2202" s="114" t="str">
        <f>VLOOKUP(A2202,'Data pick slip'!B:F,5,FALSE)</f>
        <v>KHJ-MC100-00</v>
      </c>
      <c r="F2202" s="157" t="s">
        <v>2773</v>
      </c>
      <c r="H2202" s="138">
        <v>749</v>
      </c>
      <c r="I2202" s="139" t="str">
        <f>VLOOKUP(H2202,Stock_list!A:R,18,FALSE)</f>
        <v>凌鑫</v>
      </c>
      <c r="J2202" s="139" t="str">
        <f>VLOOKUP(H2202,Stock_list!A:S,17,FALSE)</f>
        <v>C49SZX20200120SX</v>
      </c>
      <c r="K2202" s="51" t="str">
        <f>VLOOKUP(H2202,Stock_list!A:T,16,FALSE)</f>
        <v>JPY</v>
      </c>
      <c r="L2202" s="4">
        <v>44161</v>
      </c>
      <c r="M2202" s="132">
        <v>2</v>
      </c>
      <c r="P2202" s="4" t="str">
        <f>VLOOKUP(H2202,Stock_list!A:Y,25,FALSE)</f>
        <v>Yes</v>
      </c>
      <c r="Q2202" s="143"/>
      <c r="S2202" s="123" t="s">
        <v>3003</v>
      </c>
      <c r="T2202" s="144" t="s">
        <v>3321</v>
      </c>
      <c r="U2202" s="145" t="str">
        <f>VLOOKUP(H2202,Stock_list!A:N,14,FALSE)</f>
        <v>NOV 20</v>
      </c>
    </row>
    <row r="2203" spans="1:21" ht="16.5" customHeight="1">
      <c r="A2203" s="159" t="s">
        <v>2747</v>
      </c>
      <c r="B2203" s="114" t="str">
        <f>VLOOKUP(A2203,'Data pick slip'!B:F,5,FALSE)</f>
        <v>KHJ-MC200-00</v>
      </c>
      <c r="F2203" s="157" t="s">
        <v>2861</v>
      </c>
      <c r="H2203" s="138">
        <v>749</v>
      </c>
      <c r="I2203" s="139" t="str">
        <f>VLOOKUP(H2203,Stock_list!A:R,18,FALSE)</f>
        <v>凌鑫</v>
      </c>
      <c r="J2203" s="139" t="str">
        <f>VLOOKUP(H2203,Stock_list!A:S,17,FALSE)</f>
        <v>C49SZX20200120SX</v>
      </c>
      <c r="K2203" s="51" t="str">
        <f>VLOOKUP(H2203,Stock_list!A:T,16,FALSE)</f>
        <v>JPY</v>
      </c>
      <c r="L2203" s="4">
        <v>44139</v>
      </c>
      <c r="M2203" s="132">
        <v>5</v>
      </c>
      <c r="P2203" s="4" t="str">
        <f>VLOOKUP(H2203,Stock_list!A:Y,25,FALSE)</f>
        <v>Yes</v>
      </c>
      <c r="Q2203" s="143"/>
      <c r="T2203" s="144"/>
      <c r="U2203" s="145" t="str">
        <f>VLOOKUP(H2203,Stock_list!A:N,14,FALSE)</f>
        <v>NOV 20</v>
      </c>
    </row>
    <row r="2204" spans="1:21" ht="16.5" customHeight="1">
      <c r="A2204" s="159" t="s">
        <v>2744</v>
      </c>
      <c r="B2204" s="114" t="str">
        <f>VLOOKUP(A2204,'Data pick slip'!B:F,5,FALSE)</f>
        <v>KHJ-MC100-00</v>
      </c>
      <c r="F2204" s="157" t="s">
        <v>2773</v>
      </c>
      <c r="H2204" s="138">
        <v>749</v>
      </c>
      <c r="I2204" s="139" t="str">
        <f>VLOOKUP(H2204,Stock_list!A:R,18,FALSE)</f>
        <v>凌鑫</v>
      </c>
      <c r="J2204" s="139" t="str">
        <f>VLOOKUP(H2204,Stock_list!A:S,17,FALSE)</f>
        <v>C49SZX20200120SX</v>
      </c>
      <c r="K2204" s="51" t="str">
        <f>VLOOKUP(H2204,Stock_list!A:T,16,FALSE)</f>
        <v>JPY</v>
      </c>
      <c r="L2204" s="4">
        <v>44047</v>
      </c>
      <c r="O2204" s="132">
        <f>40-40</f>
        <v>0</v>
      </c>
      <c r="P2204" s="4" t="str">
        <f>VLOOKUP(H2204,Stock_list!A:Y,25,FALSE)</f>
        <v>Yes</v>
      </c>
      <c r="Q2204" s="143"/>
      <c r="T2204" s="144"/>
      <c r="U2204" s="145" t="str">
        <f>VLOOKUP(H2204,Stock_list!A:N,14,FALSE)</f>
        <v>NOV 20</v>
      </c>
    </row>
    <row r="2205" spans="1:21" ht="16.5" customHeight="1">
      <c r="A2205" s="159" t="s">
        <v>2747</v>
      </c>
      <c r="B2205" s="114" t="str">
        <f>VLOOKUP(A2205,'Data pick slip'!B:F,5,FALSE)</f>
        <v>KHJ-MC200-00</v>
      </c>
      <c r="F2205" s="157" t="s">
        <v>2773</v>
      </c>
      <c r="H2205" s="138">
        <v>749</v>
      </c>
      <c r="I2205" s="139" t="str">
        <f>VLOOKUP(H2205,Stock_list!A:R,18,FALSE)</f>
        <v>凌鑫</v>
      </c>
      <c r="J2205" s="139" t="str">
        <f>VLOOKUP(H2205,Stock_list!A:S,17,FALSE)</f>
        <v>C49SZX20200120SX</v>
      </c>
      <c r="K2205" s="51" t="str">
        <f>VLOOKUP(H2205,Stock_list!A:T,16,FALSE)</f>
        <v>JPY</v>
      </c>
      <c r="L2205" s="4">
        <v>44047</v>
      </c>
      <c r="O2205" s="132">
        <f>5-5</f>
        <v>0</v>
      </c>
      <c r="P2205" s="4" t="str">
        <f>VLOOKUP(H2205,Stock_list!A:Y,25,FALSE)</f>
        <v>Yes</v>
      </c>
      <c r="Q2205" s="143"/>
      <c r="T2205" s="144"/>
      <c r="U2205" s="145" t="str">
        <f>VLOOKUP(H2205,Stock_list!A:N,14,FALSE)</f>
        <v>NOV 20</v>
      </c>
    </row>
    <row r="2206" spans="1:21" ht="16.5" customHeight="1">
      <c r="A2206" s="159" t="s">
        <v>2744</v>
      </c>
      <c r="B2206" s="114" t="str">
        <f>VLOOKUP(A2206,'Data pick slip'!B:F,5,FALSE)</f>
        <v>KHJ-MC100-00</v>
      </c>
      <c r="F2206" s="157" t="s">
        <v>2861</v>
      </c>
      <c r="H2206" s="138">
        <v>750</v>
      </c>
      <c r="I2206" s="139" t="str">
        <f>VLOOKUP(H2206,Stock_list!A:R,18,FALSE)</f>
        <v>正创</v>
      </c>
      <c r="J2206" s="139" t="str">
        <f>VLOOKUP(H2206,Stock_list!A:S,17,FALSE)</f>
        <v>C49SZX20200118SS</v>
      </c>
      <c r="K2206" s="51" t="str">
        <f>VLOOKUP(H2206,Stock_list!A:T,16,FALSE)</f>
        <v>JPY</v>
      </c>
      <c r="L2206" s="4">
        <v>44134</v>
      </c>
      <c r="M2206" s="140">
        <v>5</v>
      </c>
      <c r="P2206" s="4" t="str">
        <f>VLOOKUP(H2206,Stock_list!A:Y,25,FALSE)</f>
        <v>Yes</v>
      </c>
      <c r="Q2206" s="143"/>
      <c r="T2206" s="144"/>
      <c r="U2206" s="145" t="str">
        <f>VLOOKUP(H2206,Stock_list!A:N,14,FALSE)</f>
        <v>OCT 20</v>
      </c>
    </row>
    <row r="2207" spans="1:21" ht="16.5" customHeight="1">
      <c r="A2207" s="159" t="s">
        <v>2747</v>
      </c>
      <c r="B2207" s="114" t="str">
        <f>VLOOKUP(A2207,'Data pick slip'!B:F,5,FALSE)</f>
        <v>KHJ-MC200-00</v>
      </c>
      <c r="F2207" s="157" t="s">
        <v>2773</v>
      </c>
      <c r="I2207" s="139" t="s">
        <v>3093</v>
      </c>
      <c r="J2207" s="139" t="s">
        <v>3322</v>
      </c>
      <c r="K2207" s="51" t="s">
        <v>1246</v>
      </c>
      <c r="L2207" s="4">
        <v>44040</v>
      </c>
      <c r="M2207" s="140">
        <v>5</v>
      </c>
      <c r="P2207" s="4" t="s">
        <v>291</v>
      </c>
      <c r="Q2207" s="143"/>
      <c r="T2207" s="144"/>
      <c r="U2207" s="145" t="e">
        <f>VLOOKUP(H2207,Stock_list!A:N,14,FALSE)</f>
        <v>#N/A</v>
      </c>
    </row>
    <row r="2208" spans="1:21" ht="16.5" customHeight="1">
      <c r="A2208" s="159" t="s">
        <v>2749</v>
      </c>
      <c r="B2208" s="114" t="str">
        <f>VLOOKUP(A2208,'Data pick slip'!B:F,5,FALSE)</f>
        <v>KHJ-MC500-00</v>
      </c>
      <c r="F2208" s="157" t="s">
        <v>2773</v>
      </c>
      <c r="I2208" s="139" t="s">
        <v>3093</v>
      </c>
      <c r="J2208" s="139" t="s">
        <v>3323</v>
      </c>
      <c r="K2208" s="51" t="s">
        <v>1246</v>
      </c>
      <c r="L2208" s="4">
        <v>44042</v>
      </c>
      <c r="M2208" s="140">
        <v>1</v>
      </c>
      <c r="P2208" s="4" t="s">
        <v>291</v>
      </c>
      <c r="Q2208" s="143"/>
      <c r="T2208" s="144"/>
      <c r="U2208" s="145" t="e">
        <f>VLOOKUP(H2208,Stock_list!A:N,14,FALSE)</f>
        <v>#N/A</v>
      </c>
    </row>
    <row r="2209" spans="1:21" ht="16.5" customHeight="1">
      <c r="A2209" s="159" t="s">
        <v>2744</v>
      </c>
      <c r="B2209" s="114" t="str">
        <f>VLOOKUP(A2209,'Data pick slip'!B:F,5,FALSE)</f>
        <v>KHJ-MC100-00</v>
      </c>
      <c r="F2209" s="157" t="s">
        <v>2773</v>
      </c>
      <c r="H2209" s="138">
        <v>751</v>
      </c>
      <c r="I2209" s="139" t="str">
        <f>VLOOKUP(H2209,Stock_list!A:R,18,FALSE)</f>
        <v>银宝山新</v>
      </c>
      <c r="J2209" s="139" t="str">
        <f>VLOOKUP(H2209,Stock_list!A:S,17,FALSE)</f>
        <v>BS-SZGZ20071306-ZB</v>
      </c>
      <c r="K2209" s="51" t="str">
        <f>VLOOKUP(H2209,Stock_list!A:T,16,FALSE)</f>
        <v>RMB</v>
      </c>
      <c r="L2209" s="4">
        <v>44131</v>
      </c>
      <c r="M2209" s="132">
        <v>40</v>
      </c>
      <c r="P2209" s="4" t="str">
        <f>VLOOKUP(H2209,Stock_list!A:Y,25,FALSE)</f>
        <v>Yes</v>
      </c>
      <c r="Q2209" s="133"/>
      <c r="T2209" s="144"/>
      <c r="U2209" s="145" t="str">
        <f>VLOOKUP(H2209,Stock_list!A:N,14,FALSE)</f>
        <v>OCT 20</v>
      </c>
    </row>
    <row r="2210" spans="1:21" ht="16.5" customHeight="1">
      <c r="A2210" s="159" t="s">
        <v>2747</v>
      </c>
      <c r="B2210" s="114" t="str">
        <f>VLOOKUP(A2210,'Data pick slip'!B:F,5,FALSE)</f>
        <v>KHJ-MC200-00</v>
      </c>
      <c r="F2210" s="157" t="s">
        <v>2773</v>
      </c>
      <c r="H2210" s="138">
        <v>751</v>
      </c>
      <c r="I2210" s="139" t="str">
        <f>VLOOKUP(H2210,Stock_list!A:R,18,FALSE)</f>
        <v>银宝山新</v>
      </c>
      <c r="J2210" s="139" t="str">
        <f>VLOOKUP(H2210,Stock_list!A:S,17,FALSE)</f>
        <v>BS-SZGZ20071306-ZB</v>
      </c>
      <c r="K2210" s="51" t="str">
        <f>VLOOKUP(H2210,Stock_list!A:T,16,FALSE)</f>
        <v>RMB</v>
      </c>
      <c r="L2210" s="4">
        <v>44131</v>
      </c>
      <c r="M2210" s="132">
        <v>10</v>
      </c>
      <c r="P2210" s="4" t="str">
        <f>VLOOKUP(H2210,Stock_list!A:Y,25,FALSE)</f>
        <v>Yes</v>
      </c>
      <c r="Q2210" s="133"/>
      <c r="T2210" s="144"/>
      <c r="U2210" s="145" t="str">
        <f>VLOOKUP(H2210,Stock_list!A:N,14,FALSE)</f>
        <v>OCT 20</v>
      </c>
    </row>
    <row r="2211" spans="1:21" ht="16.5" customHeight="1">
      <c r="A2211" s="159" t="s">
        <v>2748</v>
      </c>
      <c r="B2211" s="114" t="str">
        <f>VLOOKUP(A2211,'Data pick slip'!B:F,5,FALSE)</f>
        <v>KHJ-MC400-00</v>
      </c>
      <c r="F2211" s="157" t="s">
        <v>2773</v>
      </c>
      <c r="H2211" s="138">
        <v>751</v>
      </c>
      <c r="I2211" s="139" t="str">
        <f>VLOOKUP(H2211,Stock_list!A:R,18,FALSE)</f>
        <v>银宝山新</v>
      </c>
      <c r="J2211" s="139" t="str">
        <f>VLOOKUP(H2211,Stock_list!A:S,17,FALSE)</f>
        <v>BS-SZGZ20071306-ZB</v>
      </c>
      <c r="K2211" s="51" t="str">
        <f>VLOOKUP(H2211,Stock_list!A:T,16,FALSE)</f>
        <v>RMB</v>
      </c>
      <c r="L2211" s="4">
        <v>44131</v>
      </c>
      <c r="M2211" s="132">
        <v>4</v>
      </c>
      <c r="P2211" s="4" t="str">
        <f>VLOOKUP(H2211,Stock_list!A:Y,25,FALSE)</f>
        <v>Yes</v>
      </c>
      <c r="Q2211" s="133"/>
      <c r="T2211" s="144"/>
      <c r="U2211" s="145" t="str">
        <f>VLOOKUP(H2211,Stock_list!A:N,14,FALSE)</f>
        <v>OCT 20</v>
      </c>
    </row>
    <row r="2212" spans="1:21" ht="16.5" customHeight="1">
      <c r="A2212" s="159" t="s">
        <v>2749</v>
      </c>
      <c r="B2212" s="114" t="str">
        <f>VLOOKUP(A2212,'Data pick slip'!B:F,5,FALSE)</f>
        <v>KHJ-MC500-00</v>
      </c>
      <c r="F2212" s="157" t="s">
        <v>2773</v>
      </c>
      <c r="H2212" s="138">
        <v>751</v>
      </c>
      <c r="I2212" s="139" t="str">
        <f>VLOOKUP(H2212,Stock_list!A:R,18,FALSE)</f>
        <v>银宝山新</v>
      </c>
      <c r="J2212" s="139" t="str">
        <f>VLOOKUP(H2212,Stock_list!A:S,17,FALSE)</f>
        <v>BS-SZGZ20071306-ZB</v>
      </c>
      <c r="K2212" s="51" t="str">
        <f>VLOOKUP(H2212,Stock_list!A:T,16,FALSE)</f>
        <v>RMB</v>
      </c>
      <c r="L2212" s="4">
        <v>44131</v>
      </c>
      <c r="M2212" s="132">
        <v>2</v>
      </c>
      <c r="P2212" s="4" t="str">
        <f>VLOOKUP(H2212,Stock_list!A:Y,25,FALSE)</f>
        <v>Yes</v>
      </c>
      <c r="Q2212" s="133"/>
      <c r="T2212" s="144"/>
      <c r="U2212" s="145" t="str">
        <f>VLOOKUP(H2212,Stock_list!A:N,14,FALSE)</f>
        <v>OCT 20</v>
      </c>
    </row>
    <row r="2213" spans="1:21" ht="16.5" customHeight="1">
      <c r="A2213" s="159" t="s">
        <v>2750</v>
      </c>
      <c r="B2213" s="114" t="str">
        <f>VLOOKUP(A2213,'Data pick slip'!B:F,5,FALSE)</f>
        <v>KHJ-MC600-00</v>
      </c>
      <c r="F2213" s="157" t="s">
        <v>2773</v>
      </c>
      <c r="H2213" s="138">
        <v>751</v>
      </c>
      <c r="I2213" s="139" t="str">
        <f>VLOOKUP(H2213,Stock_list!A:R,18,FALSE)</f>
        <v>银宝山新</v>
      </c>
      <c r="J2213" s="139" t="str">
        <f>VLOOKUP(H2213,Stock_list!A:S,17,FALSE)</f>
        <v>BS-SZGZ20071306-ZB</v>
      </c>
      <c r="K2213" s="51" t="str">
        <f>VLOOKUP(H2213,Stock_list!A:T,16,FALSE)</f>
        <v>RMB</v>
      </c>
      <c r="L2213" s="4">
        <v>44131</v>
      </c>
      <c r="M2213" s="132">
        <v>1</v>
      </c>
      <c r="P2213" s="4" t="str">
        <f>VLOOKUP(H2213,Stock_list!A:Y,25,FALSE)</f>
        <v>Yes</v>
      </c>
      <c r="Q2213" s="133"/>
      <c r="T2213" s="144"/>
      <c r="U2213" s="145" t="str">
        <f>VLOOKUP(H2213,Stock_list!A:N,14,FALSE)</f>
        <v>OCT 20</v>
      </c>
    </row>
    <row r="2214" spans="1:21" ht="16.5" customHeight="1">
      <c r="A2214" s="159" t="s">
        <v>2744</v>
      </c>
      <c r="B2214" s="114" t="str">
        <f>VLOOKUP(A2214,'Data pick slip'!B:F,5,FALSE)</f>
        <v>KHJ-MC100-00</v>
      </c>
      <c r="F2214" s="157" t="s">
        <v>2773</v>
      </c>
      <c r="H2214" s="138">
        <v>752</v>
      </c>
      <c r="I2214" s="139" t="str">
        <f>VLOOKUP(H2214,Stock_list!A:R,18,FALSE)</f>
        <v>兴丰源</v>
      </c>
      <c r="J2214" s="139" t="str">
        <f>VLOOKUP(H2214,Stock_list!A:S,17,FALSE)</f>
        <v>C49SZX20200119SS</v>
      </c>
      <c r="K2214" s="51" t="str">
        <f>VLOOKUP(H2214,Stock_list!A:T,16,FALSE)</f>
        <v>RMB</v>
      </c>
      <c r="L2214" s="4">
        <v>44049</v>
      </c>
      <c r="M2214" s="140">
        <v>5</v>
      </c>
      <c r="P2214" s="4" t="str">
        <f>VLOOKUP(H2214,Stock_list!A:Y,25,FALSE)</f>
        <v>Yes</v>
      </c>
      <c r="Q2214" s="143"/>
      <c r="T2214" s="144"/>
      <c r="U2214" s="145" t="str">
        <f>VLOOKUP(H2214,Stock_list!A:N,14,FALSE)</f>
        <v>AUG 20</v>
      </c>
    </row>
    <row r="2215" spans="1:21" ht="16.5" customHeight="1">
      <c r="A2215" s="159" t="s">
        <v>2750</v>
      </c>
      <c r="B2215" s="114" t="str">
        <f>VLOOKUP(A2215,'Data pick slip'!B:F,5,FALSE)</f>
        <v>KHJ-MC600-00</v>
      </c>
      <c r="F2215" s="157" t="s">
        <v>2773</v>
      </c>
      <c r="I2215" s="139" t="s">
        <v>3093</v>
      </c>
      <c r="J2215" s="139" t="s">
        <v>3324</v>
      </c>
      <c r="K2215" s="51" t="s">
        <v>1246</v>
      </c>
      <c r="L2215" s="4">
        <v>44035</v>
      </c>
      <c r="M2215" s="140">
        <v>1</v>
      </c>
      <c r="P2215" s="4" t="s">
        <v>291</v>
      </c>
      <c r="Q2215" s="143"/>
      <c r="T2215" s="144"/>
      <c r="U2215" s="145" t="e">
        <f>VLOOKUP(H2215,Stock_list!A:N,14,FALSE)</f>
        <v>#N/A</v>
      </c>
    </row>
    <row r="2216" spans="1:21" ht="16.5" customHeight="1">
      <c r="A2216" s="159" t="s">
        <v>2750</v>
      </c>
      <c r="B2216" s="114" t="str">
        <f>VLOOKUP(A2216,'Data pick slip'!B:F,5,FALSE)</f>
        <v>KHJ-MC600-00</v>
      </c>
      <c r="F2216" s="157" t="s">
        <v>2773</v>
      </c>
      <c r="I2216" s="139" t="s">
        <v>3099</v>
      </c>
      <c r="J2216" s="139" t="s">
        <v>3325</v>
      </c>
      <c r="K2216" s="51" t="s">
        <v>1246</v>
      </c>
      <c r="L2216" s="4">
        <v>44043</v>
      </c>
      <c r="M2216" s="140">
        <v>2</v>
      </c>
      <c r="P2216" s="4" t="s">
        <v>291</v>
      </c>
      <c r="Q2216" s="143"/>
      <c r="T2216" s="144"/>
      <c r="U2216" s="145" t="e">
        <f>VLOOKUP(H2216,Stock_list!A:N,14,FALSE)</f>
        <v>#N/A</v>
      </c>
    </row>
    <row r="2217" spans="1:21" ht="16.5" customHeight="1">
      <c r="A2217" s="159" t="s">
        <v>2744</v>
      </c>
      <c r="B2217" s="114" t="str">
        <f>VLOOKUP(A2217,'Data pick slip'!B:F,5,FALSE)</f>
        <v>KHJ-MC100-00</v>
      </c>
      <c r="F2217" s="157" t="s">
        <v>2861</v>
      </c>
      <c r="H2217" s="138">
        <v>756</v>
      </c>
      <c r="I2217" s="139" t="str">
        <f>VLOOKUP(H2217,Stock_list!A:R,18,FALSE)</f>
        <v>金晟晖</v>
      </c>
      <c r="J2217" s="139" t="str">
        <f>VLOOKUP(H2217,Stock_list!A:S,17,FALSE)</f>
        <v>C49SZX20200099R1SS</v>
      </c>
      <c r="K2217" s="51" t="str">
        <f>VLOOKUP(H2217,Stock_list!A:T,16,FALSE)</f>
        <v>JPY</v>
      </c>
      <c r="L2217" s="4">
        <v>44138</v>
      </c>
      <c r="M2217" s="132">
        <v>29</v>
      </c>
      <c r="P2217" s="4" t="str">
        <f>VLOOKUP(H2217,Stock_list!A:Y,25,FALSE)</f>
        <v>Yes</v>
      </c>
      <c r="Q2217" s="143"/>
      <c r="T2217" s="144"/>
      <c r="U2217" s="145" t="str">
        <f>VLOOKUP(H2217,Stock_list!A:N,14,FALSE)</f>
        <v>NOV 20</v>
      </c>
    </row>
    <row r="2218" spans="1:21" ht="16.5" customHeight="1">
      <c r="A2218" s="159" t="s">
        <v>2747</v>
      </c>
      <c r="B2218" s="114" t="str">
        <f>VLOOKUP(A2218,'Data pick slip'!B:F,5,FALSE)</f>
        <v>KHJ-MC200-00</v>
      </c>
      <c r="F2218" s="157" t="s">
        <v>2861</v>
      </c>
      <c r="H2218" s="138">
        <v>756</v>
      </c>
      <c r="I2218" s="139" t="str">
        <f>VLOOKUP(H2218,Stock_list!A:R,18,FALSE)</f>
        <v>金晟晖</v>
      </c>
      <c r="J2218" s="139" t="str">
        <f>VLOOKUP(H2218,Stock_list!A:S,17,FALSE)</f>
        <v>C49SZX20200099R1SS</v>
      </c>
      <c r="K2218" s="51" t="str">
        <f>VLOOKUP(H2218,Stock_list!A:T,16,FALSE)</f>
        <v>JPY</v>
      </c>
      <c r="L2218" s="4">
        <v>44138</v>
      </c>
      <c r="M2218" s="132">
        <v>4</v>
      </c>
      <c r="P2218" s="4" t="str">
        <f>VLOOKUP(H2218,Stock_list!A:Y,25,FALSE)</f>
        <v>Yes</v>
      </c>
      <c r="Q2218" s="143"/>
      <c r="T2218" s="144"/>
      <c r="U2218" s="145" t="str">
        <f>VLOOKUP(H2218,Stock_list!A:N,14,FALSE)</f>
        <v>NOV 20</v>
      </c>
    </row>
    <row r="2219" spans="1:21" ht="16.5" customHeight="1">
      <c r="A2219" s="159" t="s">
        <v>2747</v>
      </c>
      <c r="B2219" s="114" t="str">
        <f>VLOOKUP(A2219,'Data pick slip'!B:F,5,FALSE)</f>
        <v>KHJ-MC200-00</v>
      </c>
      <c r="F2219" s="157" t="s">
        <v>2773</v>
      </c>
      <c r="H2219" s="138">
        <v>756</v>
      </c>
      <c r="I2219" s="139" t="str">
        <f>VLOOKUP(H2219,Stock_list!A:R,18,FALSE)</f>
        <v>金晟晖</v>
      </c>
      <c r="J2219" s="139" t="str">
        <f>VLOOKUP(H2219,Stock_list!A:S,17,FALSE)</f>
        <v>C49SZX20200099R1SS</v>
      </c>
      <c r="K2219" s="51" t="str">
        <f>VLOOKUP(H2219,Stock_list!A:T,16,FALSE)</f>
        <v>JPY</v>
      </c>
      <c r="L2219" s="4">
        <v>44138</v>
      </c>
      <c r="M2219" s="132">
        <v>2</v>
      </c>
      <c r="P2219" s="4" t="str">
        <f>VLOOKUP(H2219,Stock_list!A:Y,25,FALSE)</f>
        <v>Yes</v>
      </c>
      <c r="Q2219" s="143"/>
      <c r="S2219" s="123" t="s">
        <v>3003</v>
      </c>
      <c r="T2219" s="205" t="s">
        <v>3326</v>
      </c>
      <c r="U2219" s="145" t="str">
        <f>VLOOKUP(H2219,Stock_list!A:N,14,FALSE)</f>
        <v>NOV 20</v>
      </c>
    </row>
    <row r="2220" spans="1:21" ht="16.5" customHeight="1">
      <c r="A2220" s="159" t="s">
        <v>2748</v>
      </c>
      <c r="B2220" s="114" t="str">
        <f>VLOOKUP(A2220,'Data pick slip'!B:F,5,FALSE)</f>
        <v>KHJ-MC400-00</v>
      </c>
      <c r="F2220" s="157" t="s">
        <v>2861</v>
      </c>
      <c r="H2220" s="138">
        <v>756</v>
      </c>
      <c r="I2220" s="139" t="str">
        <f>VLOOKUP(H2220,Stock_list!A:R,18,FALSE)</f>
        <v>金晟晖</v>
      </c>
      <c r="J2220" s="139" t="str">
        <f>VLOOKUP(H2220,Stock_list!A:S,17,FALSE)</f>
        <v>C49SZX20200099R1SS</v>
      </c>
      <c r="K2220" s="51" t="str">
        <f>VLOOKUP(H2220,Stock_list!A:T,16,FALSE)</f>
        <v>JPY</v>
      </c>
      <c r="L2220" s="4">
        <v>44138</v>
      </c>
      <c r="M2220" s="132">
        <v>2</v>
      </c>
      <c r="P2220" s="4" t="str">
        <f>VLOOKUP(H2220,Stock_list!A:Y,25,FALSE)</f>
        <v>Yes</v>
      </c>
      <c r="Q2220" s="143"/>
      <c r="T2220" s="144"/>
      <c r="U2220" s="145" t="str">
        <f>VLOOKUP(H2220,Stock_list!A:N,14,FALSE)</f>
        <v>NOV 20</v>
      </c>
    </row>
    <row r="2221" spans="1:21" ht="16.5" customHeight="1">
      <c r="A2221" s="159" t="s">
        <v>2744</v>
      </c>
      <c r="B2221" s="114" t="str">
        <f>VLOOKUP(A2221,'Data pick slip'!B:F,5,FALSE)</f>
        <v>KHJ-MC100-00</v>
      </c>
      <c r="F2221" s="157" t="s">
        <v>2861</v>
      </c>
      <c r="H2221" s="138">
        <v>757</v>
      </c>
      <c r="I2221" s="139" t="str">
        <f>VLOOKUP(H2221,Stock_list!A:R,18,FALSE)</f>
        <v>豫龙辉</v>
      </c>
      <c r="J2221" s="139" t="str">
        <f>VLOOKUP(H2221,Stock_list!A:S,17,FALSE)</f>
        <v>C49SZX20200122JY</v>
      </c>
      <c r="K2221" s="51" t="str">
        <f>VLOOKUP(H2221,Stock_list!A:T,16,FALSE)</f>
        <v>JPY</v>
      </c>
      <c r="L2221" s="4">
        <v>44102</v>
      </c>
      <c r="M2221" s="132">
        <v>45</v>
      </c>
      <c r="P2221" s="4" t="str">
        <f>VLOOKUP(H2221,Stock_list!A:Y,25,FALSE)</f>
        <v>Yes</v>
      </c>
      <c r="Q2221" s="143"/>
      <c r="T2221" s="144"/>
      <c r="U2221" s="145" t="str">
        <f>VLOOKUP(H2221,Stock_list!A:N,14,FALSE)</f>
        <v>SEP 20</v>
      </c>
    </row>
    <row r="2222" spans="1:21" ht="16.5" customHeight="1">
      <c r="A2222" s="159" t="s">
        <v>2744</v>
      </c>
      <c r="B2222" s="114" t="str">
        <f>VLOOKUP(A2222,'Data pick slip'!B:F,5,FALSE)</f>
        <v>KHJ-MC100-00</v>
      </c>
      <c r="F2222" s="157" t="s">
        <v>2773</v>
      </c>
      <c r="H2222" s="138">
        <v>757</v>
      </c>
      <c r="I2222" s="139" t="str">
        <f>VLOOKUP(H2222,Stock_list!A:R,18,FALSE)</f>
        <v>豫龙辉</v>
      </c>
      <c r="J2222" s="139" t="str">
        <f>VLOOKUP(H2222,Stock_list!A:S,17,FALSE)</f>
        <v>C49SZX20200122JY</v>
      </c>
      <c r="K2222" s="51" t="str">
        <f>VLOOKUP(H2222,Stock_list!A:T,16,FALSE)</f>
        <v>JPY</v>
      </c>
      <c r="L2222" s="4"/>
      <c r="O2222" s="132">
        <f>10-10</f>
        <v>0</v>
      </c>
      <c r="P2222" s="4" t="str">
        <f>VLOOKUP(H2222,Stock_list!A:Y,25,FALSE)</f>
        <v>Yes</v>
      </c>
      <c r="Q2222" s="143"/>
      <c r="T2222" s="144"/>
      <c r="U2222" s="145" t="str">
        <f>VLOOKUP(H2222,Stock_list!A:N,14,FALSE)</f>
        <v>SEP 20</v>
      </c>
    </row>
    <row r="2223" spans="1:21" ht="16.5" customHeight="1">
      <c r="A2223" s="159" t="s">
        <v>2747</v>
      </c>
      <c r="B2223" s="114" t="str">
        <f>VLOOKUP(A2223,'Data pick slip'!B:F,5,FALSE)</f>
        <v>KHJ-MC200-00</v>
      </c>
      <c r="F2223" s="157" t="s">
        <v>2861</v>
      </c>
      <c r="H2223" s="138">
        <v>757</v>
      </c>
      <c r="I2223" s="139" t="str">
        <f>VLOOKUP(H2223,Stock_list!A:R,18,FALSE)</f>
        <v>豫龙辉</v>
      </c>
      <c r="J2223" s="139" t="str">
        <f>VLOOKUP(H2223,Stock_list!A:S,17,FALSE)</f>
        <v>C49SZX20200122JY</v>
      </c>
      <c r="K2223" s="51" t="str">
        <f>VLOOKUP(H2223,Stock_list!A:T,16,FALSE)</f>
        <v>JPY</v>
      </c>
      <c r="L2223" s="4">
        <v>44102</v>
      </c>
      <c r="M2223" s="140">
        <v>3</v>
      </c>
      <c r="P2223" s="4" t="str">
        <f>VLOOKUP(H2223,Stock_list!A:Y,25,FALSE)</f>
        <v>Yes</v>
      </c>
      <c r="Q2223" s="143"/>
      <c r="T2223" s="144"/>
      <c r="U2223" s="145" t="str">
        <f>VLOOKUP(H2223,Stock_list!A:N,14,FALSE)</f>
        <v>SEP 20</v>
      </c>
    </row>
    <row r="2224" spans="1:21" ht="16.5" customHeight="1">
      <c r="A2224" s="159" t="s">
        <v>2744</v>
      </c>
      <c r="B2224" s="114" t="str">
        <f>VLOOKUP(A2224,'Data pick slip'!B:F,5,FALSE)</f>
        <v>KHJ-MC100-00</v>
      </c>
      <c r="F2224" s="157" t="s">
        <v>2861</v>
      </c>
      <c r="H2224" s="138">
        <v>761</v>
      </c>
      <c r="I2224" s="139" t="str">
        <f>VLOOKUP(H2224,Stock_list!A:R,18,FALSE)</f>
        <v>斯迈</v>
      </c>
      <c r="J2224" s="139" t="str">
        <f>VLOOKUP(H2224,Stock_list!A:S,17,FALSE)</f>
        <v>C49SZX20200130JZ</v>
      </c>
      <c r="K2224" s="51" t="str">
        <f>VLOOKUP(H2224,Stock_list!A:T,16,FALSE)</f>
        <v>JPY</v>
      </c>
      <c r="L2224" s="4">
        <v>44118</v>
      </c>
      <c r="M2224" s="132">
        <v>100</v>
      </c>
      <c r="P2224" s="4" t="str">
        <f>VLOOKUP(H2224,Stock_list!A:Y,25,FALSE)</f>
        <v>Yes</v>
      </c>
      <c r="Q2224" s="143"/>
      <c r="T2224" s="144"/>
      <c r="U2224" s="145" t="str">
        <f>VLOOKUP(H2224,Stock_list!A:N,14,FALSE)</f>
        <v>OCT 20</v>
      </c>
    </row>
    <row r="2225" spans="1:21" ht="16.5" customHeight="1">
      <c r="A2225" s="159" t="s">
        <v>2744</v>
      </c>
      <c r="B2225" s="114" t="str">
        <f>VLOOKUP(A2225,'Data pick slip'!B:F,5,FALSE)</f>
        <v>KHJ-MC100-00</v>
      </c>
      <c r="F2225" s="157" t="s">
        <v>2861</v>
      </c>
      <c r="H2225" s="138">
        <v>761</v>
      </c>
      <c r="I2225" s="139" t="str">
        <f>VLOOKUP(H2225,Stock_list!A:R,18,FALSE)</f>
        <v>斯迈</v>
      </c>
      <c r="J2225" s="139" t="str">
        <f>VLOOKUP(H2225,Stock_list!A:S,17,FALSE)</f>
        <v>C49SZX20200130JZ</v>
      </c>
      <c r="K2225" s="51" t="str">
        <f>VLOOKUP(H2225,Stock_list!A:T,16,FALSE)</f>
        <v>JPY</v>
      </c>
      <c r="L2225" s="4">
        <v>44097</v>
      </c>
      <c r="M2225" s="140">
        <v>100</v>
      </c>
      <c r="P2225" s="4" t="str">
        <f>VLOOKUP(H2225,Stock_list!A:Y,25,FALSE)</f>
        <v>Yes</v>
      </c>
      <c r="Q2225" s="143"/>
      <c r="T2225" s="144"/>
      <c r="U2225" s="145" t="str">
        <f>VLOOKUP(H2225,Stock_list!A:N,14,FALSE)</f>
        <v>OCT 20</v>
      </c>
    </row>
    <row r="2226" spans="1:21" ht="16.5" customHeight="1">
      <c r="A2226" s="159" t="s">
        <v>2744</v>
      </c>
      <c r="B2226" s="114" t="str">
        <f>VLOOKUP(A2226,'Data pick slip'!B:F,5,FALSE)</f>
        <v>KHJ-MC100-00</v>
      </c>
      <c r="F2226" s="157" t="s">
        <v>2773</v>
      </c>
      <c r="H2226" s="138">
        <v>763</v>
      </c>
      <c r="I2226" s="139" t="str">
        <f>VLOOKUP(H2226,Stock_list!A:R,18,FALSE)</f>
        <v>刻锐</v>
      </c>
      <c r="J2226" s="139" t="str">
        <f>VLOOKUP(H2226,Stock_list!A:S,17,FALSE)</f>
        <v>C49SZX20200121JL</v>
      </c>
      <c r="K2226" s="51" t="str">
        <f>VLOOKUP(H2226,Stock_list!A:T,16,FALSE)</f>
        <v>RMB</v>
      </c>
      <c r="L2226" s="4">
        <v>44152</v>
      </c>
      <c r="M2226" s="132">
        <v>55</v>
      </c>
      <c r="P2226" s="4" t="str">
        <f>VLOOKUP(H2226,Stock_list!A:Y,25,FALSE)</f>
        <v>Yes</v>
      </c>
      <c r="Q2226" s="133"/>
      <c r="T2226" s="144"/>
      <c r="U2226" s="145" t="str">
        <f>VLOOKUP(H2226,Stock_list!A:N,14,FALSE)</f>
        <v>NOV 20</v>
      </c>
    </row>
    <row r="2227" spans="1:21" ht="16.5" customHeight="1">
      <c r="A2227" s="159" t="s">
        <v>2747</v>
      </c>
      <c r="B2227" s="114" t="str">
        <f>VLOOKUP(A2227,'Data pick slip'!B:F,5,FALSE)</f>
        <v>KHJ-MC200-00</v>
      </c>
      <c r="F2227" s="157" t="s">
        <v>2773</v>
      </c>
      <c r="H2227" s="138">
        <v>763</v>
      </c>
      <c r="I2227" s="139" t="str">
        <f>VLOOKUP(H2227,Stock_list!A:R,18,FALSE)</f>
        <v>刻锐</v>
      </c>
      <c r="J2227" s="139" t="str">
        <f>VLOOKUP(H2227,Stock_list!A:S,17,FALSE)</f>
        <v>C49SZX20200121JL</v>
      </c>
      <c r="K2227" s="51" t="str">
        <f>VLOOKUP(H2227,Stock_list!A:T,16,FALSE)</f>
        <v>RMB</v>
      </c>
      <c r="L2227" s="4">
        <v>44152</v>
      </c>
      <c r="M2227" s="132">
        <v>18</v>
      </c>
      <c r="P2227" s="4" t="str">
        <f>VLOOKUP(H2227,Stock_list!A:Y,25,FALSE)</f>
        <v>Yes</v>
      </c>
      <c r="Q2227" s="133"/>
      <c r="T2227" s="144"/>
      <c r="U2227" s="145" t="str">
        <f>VLOOKUP(H2227,Stock_list!A:N,14,FALSE)</f>
        <v>NOV 20</v>
      </c>
    </row>
    <row r="2228" spans="1:21" ht="16.5" customHeight="1">
      <c r="A2228" s="159" t="s">
        <v>2748</v>
      </c>
      <c r="B2228" s="114" t="str">
        <f>VLOOKUP(A2228,'Data pick slip'!B:F,5,FALSE)</f>
        <v>KHJ-MC400-00</v>
      </c>
      <c r="F2228" s="157" t="s">
        <v>2773</v>
      </c>
      <c r="H2228" s="138">
        <v>763</v>
      </c>
      <c r="I2228" s="139" t="str">
        <f>VLOOKUP(H2228,Stock_list!A:R,18,FALSE)</f>
        <v>刻锐</v>
      </c>
      <c r="J2228" s="139" t="str">
        <f>VLOOKUP(H2228,Stock_list!A:S,17,FALSE)</f>
        <v>C49SZX20200121JL</v>
      </c>
      <c r="K2228" s="51" t="str">
        <f>VLOOKUP(H2228,Stock_list!A:T,16,FALSE)</f>
        <v>RMB</v>
      </c>
      <c r="L2228" s="4">
        <v>44152</v>
      </c>
      <c r="M2228" s="132">
        <v>7</v>
      </c>
      <c r="P2228" s="4" t="str">
        <f>VLOOKUP(H2228,Stock_list!A:Y,25,FALSE)</f>
        <v>Yes</v>
      </c>
      <c r="Q2228" s="133"/>
      <c r="T2228" s="144"/>
      <c r="U2228" s="145" t="str">
        <f>VLOOKUP(H2228,Stock_list!A:N,14,FALSE)</f>
        <v>NOV 20</v>
      </c>
    </row>
    <row r="2229" spans="1:21" ht="16.5" customHeight="1">
      <c r="A2229" s="159" t="s">
        <v>2749</v>
      </c>
      <c r="B2229" s="114" t="str">
        <f>VLOOKUP(A2229,'Data pick slip'!B:F,5,FALSE)</f>
        <v>KHJ-MC500-00</v>
      </c>
      <c r="F2229" s="157" t="s">
        <v>2773</v>
      </c>
      <c r="H2229" s="138">
        <v>763</v>
      </c>
      <c r="I2229" s="139" t="str">
        <f>VLOOKUP(H2229,Stock_list!A:R,18,FALSE)</f>
        <v>刻锐</v>
      </c>
      <c r="J2229" s="139" t="str">
        <f>VLOOKUP(H2229,Stock_list!A:S,17,FALSE)</f>
        <v>C49SZX20200121JL</v>
      </c>
      <c r="K2229" s="51" t="str">
        <f>VLOOKUP(H2229,Stock_list!A:T,16,FALSE)</f>
        <v>RMB</v>
      </c>
      <c r="L2229" s="4">
        <v>44152</v>
      </c>
      <c r="M2229" s="132">
        <v>1</v>
      </c>
      <c r="P2229" s="4" t="str">
        <f>VLOOKUP(H2229,Stock_list!A:Y,25,FALSE)</f>
        <v>Yes</v>
      </c>
      <c r="Q2229" s="133"/>
      <c r="T2229" s="144"/>
      <c r="U2229" s="145" t="str">
        <f>VLOOKUP(H2229,Stock_list!A:N,14,FALSE)</f>
        <v>NOV 20</v>
      </c>
    </row>
    <row r="2230" spans="1:21" ht="16.5" customHeight="1">
      <c r="A2230" s="159" t="s">
        <v>2750</v>
      </c>
      <c r="B2230" s="114" t="str">
        <f>VLOOKUP(A2230,'Data pick slip'!B:F,5,FALSE)</f>
        <v>KHJ-MC600-00</v>
      </c>
      <c r="F2230" s="157" t="s">
        <v>2773</v>
      </c>
      <c r="H2230" s="138">
        <v>763</v>
      </c>
      <c r="I2230" s="139" t="str">
        <f>VLOOKUP(H2230,Stock_list!A:R,18,FALSE)</f>
        <v>刻锐</v>
      </c>
      <c r="J2230" s="139" t="str">
        <f>VLOOKUP(H2230,Stock_list!A:S,17,FALSE)</f>
        <v>C49SZX20200121JL</v>
      </c>
      <c r="K2230" s="51" t="str">
        <f>VLOOKUP(H2230,Stock_list!A:T,16,FALSE)</f>
        <v>RMB</v>
      </c>
      <c r="L2230" s="4">
        <v>44152</v>
      </c>
      <c r="M2230" s="132">
        <v>1</v>
      </c>
      <c r="P2230" s="4" t="str">
        <f>VLOOKUP(H2230,Stock_list!A:Y,25,FALSE)</f>
        <v>Yes</v>
      </c>
      <c r="Q2230" s="133"/>
      <c r="T2230" s="144"/>
      <c r="U2230" s="145" t="str">
        <f>VLOOKUP(H2230,Stock_list!A:N,14,FALSE)</f>
        <v>NOV 20</v>
      </c>
    </row>
    <row r="2231" spans="1:21" ht="16.5" customHeight="1">
      <c r="A2231" s="159" t="s">
        <v>2744</v>
      </c>
      <c r="B2231" s="114" t="str">
        <f>VLOOKUP(A2231,'Data pick slip'!B:F,5,FALSE)</f>
        <v>KHJ-MC100-00</v>
      </c>
      <c r="F2231" s="157" t="s">
        <v>2861</v>
      </c>
      <c r="H2231" s="138">
        <v>770</v>
      </c>
      <c r="I2231" s="139" t="str">
        <f>VLOOKUP(H2231,Stock_list!A:R,18,FALSE)</f>
        <v>博德越</v>
      </c>
      <c r="J2231" s="139" t="str">
        <f>VLOOKUP(H2231,Stock_list!A:S,17,FALSE)</f>
        <v>C49SZX20200078CY</v>
      </c>
      <c r="K2231" s="51" t="str">
        <f>VLOOKUP(H2231,Stock_list!A:T,16,FALSE)</f>
        <v>JPY</v>
      </c>
      <c r="L2231" s="4">
        <v>44118</v>
      </c>
      <c r="M2231" s="132">
        <v>140</v>
      </c>
      <c r="P2231" s="4" t="str">
        <f>VLOOKUP(H2231,Stock_list!A:Y,25,FALSE)</f>
        <v>Yes</v>
      </c>
      <c r="Q2231" s="133"/>
      <c r="T2231" s="144"/>
      <c r="U2231" s="145" t="str">
        <f>VLOOKUP(H2231,Stock_list!A:N,14,FALSE)</f>
        <v>OCT 20</v>
      </c>
    </row>
    <row r="2232" spans="1:21" ht="16.5" customHeight="1">
      <c r="A2232" s="159" t="s">
        <v>2744</v>
      </c>
      <c r="B2232" s="114" t="str">
        <f>VLOOKUP(A2232,'Data pick slip'!B:F,5,FALSE)</f>
        <v>KHJ-MC100-00</v>
      </c>
      <c r="F2232" s="157" t="s">
        <v>2861</v>
      </c>
      <c r="H2232" s="138">
        <v>770</v>
      </c>
      <c r="I2232" s="139" t="str">
        <f>VLOOKUP(H2232,Stock_list!A:R,18,FALSE)</f>
        <v>博德越</v>
      </c>
      <c r="J2232" s="139" t="str">
        <f>VLOOKUP(H2232,Stock_list!A:S,17,FALSE)</f>
        <v>C49SZX20200078CY</v>
      </c>
      <c r="K2232" s="51" t="str">
        <f>VLOOKUP(H2232,Stock_list!A:T,16,FALSE)</f>
        <v>JPY</v>
      </c>
      <c r="L2232" s="4">
        <v>44103</v>
      </c>
      <c r="M2232" s="132">
        <v>100</v>
      </c>
      <c r="P2232" s="4" t="str">
        <f>VLOOKUP(H2232,Stock_list!A:Y,25,FALSE)</f>
        <v>Yes</v>
      </c>
      <c r="Q2232" s="133"/>
      <c r="T2232" s="144"/>
      <c r="U2232" s="145" t="str">
        <f>VLOOKUP(H2232,Stock_list!A:N,14,FALSE)</f>
        <v>OCT 20</v>
      </c>
    </row>
    <row r="2233" spans="1:21" ht="16.5" customHeight="1">
      <c r="A2233" s="159" t="s">
        <v>2747</v>
      </c>
      <c r="B2233" s="114" t="str">
        <f>VLOOKUP(A2233,'Data pick slip'!B:F,5,FALSE)</f>
        <v>KHJ-MC200-00</v>
      </c>
      <c r="F2233" s="157" t="s">
        <v>2861</v>
      </c>
      <c r="H2233" s="138">
        <v>770</v>
      </c>
      <c r="I2233" s="139" t="str">
        <f>VLOOKUP(H2233,Stock_list!A:R,18,FALSE)</f>
        <v>博德越</v>
      </c>
      <c r="J2233" s="139" t="str">
        <f>VLOOKUP(H2233,Stock_list!A:S,17,FALSE)</f>
        <v>C49SZX20200078CY</v>
      </c>
      <c r="K2233" s="51" t="str">
        <f>VLOOKUP(H2233,Stock_list!A:T,16,FALSE)</f>
        <v>JPY</v>
      </c>
      <c r="L2233" s="4">
        <v>44103</v>
      </c>
      <c r="M2233" s="132">
        <v>30</v>
      </c>
      <c r="P2233" s="4" t="str">
        <f>VLOOKUP(H2233,Stock_list!A:Y,25,FALSE)</f>
        <v>Yes</v>
      </c>
      <c r="Q2233" s="133"/>
      <c r="T2233" s="144"/>
      <c r="U2233" s="145" t="str">
        <f>VLOOKUP(H2233,Stock_list!A:N,14,FALSE)</f>
        <v>OCT 20</v>
      </c>
    </row>
    <row r="2234" spans="1:21" ht="16.5" customHeight="1">
      <c r="A2234" s="159" t="s">
        <v>2748</v>
      </c>
      <c r="B2234" s="114" t="str">
        <f>VLOOKUP(A2234,'Data pick slip'!B:F,5,FALSE)</f>
        <v>KHJ-MC400-00</v>
      </c>
      <c r="F2234" s="157" t="s">
        <v>2861</v>
      </c>
      <c r="H2234" s="138">
        <v>770</v>
      </c>
      <c r="I2234" s="139" t="str">
        <f>VLOOKUP(H2234,Stock_list!A:R,18,FALSE)</f>
        <v>博德越</v>
      </c>
      <c r="J2234" s="139" t="str">
        <f>VLOOKUP(H2234,Stock_list!A:S,17,FALSE)</f>
        <v>C49SZX20200078CY</v>
      </c>
      <c r="K2234" s="51" t="str">
        <f>VLOOKUP(H2234,Stock_list!A:T,16,FALSE)</f>
        <v>JPY</v>
      </c>
      <c r="L2234" s="4">
        <v>44103</v>
      </c>
      <c r="M2234" s="132">
        <v>6</v>
      </c>
      <c r="P2234" s="4" t="str">
        <f>VLOOKUP(H2234,Stock_list!A:Y,25,FALSE)</f>
        <v>Yes</v>
      </c>
      <c r="Q2234" s="133"/>
      <c r="T2234" s="144"/>
      <c r="U2234" s="145" t="str">
        <f>VLOOKUP(H2234,Stock_list!A:N,14,FALSE)</f>
        <v>OCT 20</v>
      </c>
    </row>
    <row r="2235" spans="1:21" ht="16.5" customHeight="1">
      <c r="A2235" s="159" t="s">
        <v>2749</v>
      </c>
      <c r="B2235" s="114" t="str">
        <f>VLOOKUP(A2235,'Data pick slip'!B:F,5,FALSE)</f>
        <v>KHJ-MC500-00</v>
      </c>
      <c r="F2235" s="157" t="s">
        <v>2861</v>
      </c>
      <c r="H2235" s="138">
        <v>770</v>
      </c>
      <c r="I2235" s="139" t="str">
        <f>VLOOKUP(H2235,Stock_list!A:R,18,FALSE)</f>
        <v>博德越</v>
      </c>
      <c r="J2235" s="139" t="str">
        <f>VLOOKUP(H2235,Stock_list!A:S,17,FALSE)</f>
        <v>C49SZX20200078CY</v>
      </c>
      <c r="K2235" s="51" t="str">
        <f>VLOOKUP(H2235,Stock_list!A:T,16,FALSE)</f>
        <v>JPY</v>
      </c>
      <c r="L2235" s="4">
        <v>44103</v>
      </c>
      <c r="M2235" s="132">
        <v>3</v>
      </c>
      <c r="P2235" s="4" t="str">
        <f>VLOOKUP(H2235,Stock_list!A:Y,25,FALSE)</f>
        <v>Yes</v>
      </c>
      <c r="Q2235" s="133"/>
      <c r="T2235" s="144"/>
      <c r="U2235" s="145" t="str">
        <f>VLOOKUP(H2235,Stock_list!A:N,14,FALSE)</f>
        <v>OCT 20</v>
      </c>
    </row>
    <row r="2236" spans="1:21" ht="16.5" customHeight="1">
      <c r="A2236" s="159" t="s">
        <v>2744</v>
      </c>
      <c r="B2236" s="114" t="str">
        <f>VLOOKUP(A2236,'Data pick slip'!B:F,5,FALSE)</f>
        <v>KHJ-MC100-00</v>
      </c>
      <c r="F2236" s="157" t="s">
        <v>2773</v>
      </c>
      <c r="H2236" s="138">
        <v>771</v>
      </c>
      <c r="I2236" s="139" t="str">
        <f>VLOOKUP(H2236,Stock_list!A:R,18,FALSE)</f>
        <v>芯联鑫</v>
      </c>
      <c r="J2236" s="139" t="str">
        <f>VLOOKUP(H2236,Stock_list!A:S,17,FALSE)</f>
        <v>C49SZX20200126JY</v>
      </c>
      <c r="K2236" s="51" t="str">
        <f>VLOOKUP(H2236,Stock_list!A:T,16,FALSE)</f>
        <v>RMB</v>
      </c>
      <c r="L2236" s="4">
        <v>44075</v>
      </c>
      <c r="M2236" s="140">
        <v>20</v>
      </c>
      <c r="P2236" s="4" t="str">
        <f>VLOOKUP(H2236,Stock_list!A:Y,25,FALSE)</f>
        <v>Yes</v>
      </c>
      <c r="Q2236" s="133"/>
      <c r="T2236" s="144"/>
      <c r="U2236" s="145" t="str">
        <f>VLOOKUP(H2236,Stock_list!A:N,14,FALSE)</f>
        <v>SEP 20</v>
      </c>
    </row>
    <row r="2237" spans="1:21" ht="16.5" customHeight="1">
      <c r="A2237" s="159" t="s">
        <v>2747</v>
      </c>
      <c r="B2237" s="114" t="str">
        <f>VLOOKUP(A2237,'Data pick slip'!B:F,5,FALSE)</f>
        <v>KHJ-MC200-00</v>
      </c>
      <c r="F2237" s="157" t="s">
        <v>2773</v>
      </c>
      <c r="H2237" s="138">
        <v>771</v>
      </c>
      <c r="I2237" s="139" t="str">
        <f>VLOOKUP(H2237,Stock_list!A:R,18,FALSE)</f>
        <v>芯联鑫</v>
      </c>
      <c r="J2237" s="139" t="str">
        <f>VLOOKUP(H2237,Stock_list!A:S,17,FALSE)</f>
        <v>C49SZX20200126JY</v>
      </c>
      <c r="K2237" s="51" t="str">
        <f>VLOOKUP(H2237,Stock_list!A:T,16,FALSE)</f>
        <v>RMB</v>
      </c>
      <c r="L2237" s="4">
        <v>44075</v>
      </c>
      <c r="M2237" s="140">
        <v>10</v>
      </c>
      <c r="P2237" s="4" t="str">
        <f>VLOOKUP(H2237,Stock_list!A:Y,25,FALSE)</f>
        <v>Yes</v>
      </c>
      <c r="Q2237" s="133"/>
      <c r="T2237" s="144"/>
      <c r="U2237" s="145" t="str">
        <f>VLOOKUP(H2237,Stock_list!A:N,14,FALSE)</f>
        <v>SEP 20</v>
      </c>
    </row>
    <row r="2238" spans="1:21" ht="16.5" customHeight="1">
      <c r="A2238" s="159" t="s">
        <v>2748</v>
      </c>
      <c r="B2238" s="114" t="str">
        <f>VLOOKUP(A2238,'Data pick slip'!B:F,5,FALSE)</f>
        <v>KHJ-MC400-00</v>
      </c>
      <c r="F2238" s="157" t="s">
        <v>2773</v>
      </c>
      <c r="H2238" s="138">
        <v>771</v>
      </c>
      <c r="I2238" s="139" t="str">
        <f>VLOOKUP(H2238,Stock_list!A:R,18,FALSE)</f>
        <v>芯联鑫</v>
      </c>
      <c r="J2238" s="139" t="str">
        <f>VLOOKUP(H2238,Stock_list!A:S,17,FALSE)</f>
        <v>C49SZX20200126JY</v>
      </c>
      <c r="K2238" s="51" t="str">
        <f>VLOOKUP(H2238,Stock_list!A:T,16,FALSE)</f>
        <v>RMB</v>
      </c>
      <c r="L2238" s="4">
        <v>44075</v>
      </c>
      <c r="M2238" s="140">
        <v>1</v>
      </c>
      <c r="P2238" s="4" t="str">
        <f>VLOOKUP(H2238,Stock_list!A:Y,25,FALSE)</f>
        <v>Yes</v>
      </c>
      <c r="Q2238" s="133"/>
      <c r="T2238" s="144"/>
      <c r="U2238" s="145" t="str">
        <f>VLOOKUP(H2238,Stock_list!A:N,14,FALSE)</f>
        <v>SEP 20</v>
      </c>
    </row>
    <row r="2239" spans="1:21" ht="16.5" customHeight="1">
      <c r="A2239" s="159" t="s">
        <v>2744</v>
      </c>
      <c r="B2239" s="114" t="str">
        <f>VLOOKUP(A2239,'Data pick slip'!B:F,5,FALSE)</f>
        <v>KHJ-MC100-00</v>
      </c>
      <c r="F2239" s="157" t="s">
        <v>2773</v>
      </c>
      <c r="H2239" s="138">
        <v>771</v>
      </c>
      <c r="I2239" s="139" t="str">
        <f>VLOOKUP(H2239,Stock_list!A:R,18,FALSE)</f>
        <v>芯联鑫</v>
      </c>
      <c r="J2239" s="139" t="str">
        <f>VLOOKUP(H2239,Stock_list!A:S,17,FALSE)</f>
        <v>C49SZX20200126JY</v>
      </c>
      <c r="K2239" s="51" t="str">
        <f>VLOOKUP(H2239,Stock_list!A:T,16,FALSE)</f>
        <v>RMB</v>
      </c>
      <c r="L2239" s="4">
        <v>44103</v>
      </c>
      <c r="M2239" s="132">
        <v>20</v>
      </c>
      <c r="P2239" s="4" t="str">
        <f>VLOOKUP(H2239,Stock_list!A:Y,25,FALSE)</f>
        <v>Yes</v>
      </c>
      <c r="Q2239" s="133"/>
      <c r="T2239" s="144"/>
      <c r="U2239" s="145" t="str">
        <f>VLOOKUP(H2239,Stock_list!A:N,14,FALSE)</f>
        <v>SEP 20</v>
      </c>
    </row>
    <row r="2240" spans="1:21" ht="16.5" customHeight="1">
      <c r="A2240" s="159" t="s">
        <v>2747</v>
      </c>
      <c r="B2240" s="114" t="str">
        <f>VLOOKUP(A2240,'Data pick slip'!B:F,5,FALSE)</f>
        <v>KHJ-MC200-00</v>
      </c>
      <c r="F2240" s="157" t="s">
        <v>2773</v>
      </c>
      <c r="H2240" s="138">
        <v>771</v>
      </c>
      <c r="I2240" s="139" t="str">
        <f>VLOOKUP(H2240,Stock_list!A:R,18,FALSE)</f>
        <v>芯联鑫</v>
      </c>
      <c r="J2240" s="139" t="str">
        <f>VLOOKUP(H2240,Stock_list!A:S,17,FALSE)</f>
        <v>C49SZX20200126JY</v>
      </c>
      <c r="K2240" s="51" t="str">
        <f>VLOOKUP(H2240,Stock_list!A:T,16,FALSE)</f>
        <v>RMB</v>
      </c>
      <c r="L2240" s="4">
        <v>44103</v>
      </c>
      <c r="M2240" s="132">
        <v>10</v>
      </c>
      <c r="P2240" s="4" t="str">
        <f>VLOOKUP(H2240,Stock_list!A:Y,25,FALSE)</f>
        <v>Yes</v>
      </c>
      <c r="Q2240" s="133"/>
      <c r="T2240" s="144"/>
      <c r="U2240" s="145" t="str">
        <f>VLOOKUP(H2240,Stock_list!A:N,14,FALSE)</f>
        <v>SEP 20</v>
      </c>
    </row>
    <row r="2241" spans="1:21" ht="16.5" customHeight="1">
      <c r="A2241" s="159" t="s">
        <v>2748</v>
      </c>
      <c r="B2241" s="114" t="str">
        <f>VLOOKUP(A2241,'Data pick slip'!B:F,5,FALSE)</f>
        <v>KHJ-MC400-00</v>
      </c>
      <c r="F2241" s="157" t="s">
        <v>2773</v>
      </c>
      <c r="H2241" s="138">
        <v>771</v>
      </c>
      <c r="I2241" s="139" t="str">
        <f>VLOOKUP(H2241,Stock_list!A:R,18,FALSE)</f>
        <v>芯联鑫</v>
      </c>
      <c r="J2241" s="139" t="str">
        <f>VLOOKUP(H2241,Stock_list!A:S,17,FALSE)</f>
        <v>C49SZX20200126JY</v>
      </c>
      <c r="K2241" s="51" t="str">
        <f>VLOOKUP(H2241,Stock_list!A:T,16,FALSE)</f>
        <v>RMB</v>
      </c>
      <c r="L2241" s="4">
        <v>44103</v>
      </c>
      <c r="M2241" s="132">
        <v>1</v>
      </c>
      <c r="P2241" s="4" t="str">
        <f>VLOOKUP(H2241,Stock_list!A:Y,25,FALSE)</f>
        <v>Yes</v>
      </c>
      <c r="Q2241" s="133"/>
      <c r="T2241" s="144"/>
      <c r="U2241" s="145" t="str">
        <f>VLOOKUP(H2241,Stock_list!A:N,14,FALSE)</f>
        <v>SEP 20</v>
      </c>
    </row>
    <row r="2242" spans="1:21" ht="16.5" customHeight="1">
      <c r="A2242" s="159" t="s">
        <v>2744</v>
      </c>
      <c r="B2242" s="114" t="str">
        <f>VLOOKUP(A2242,'Data pick slip'!B:F,5,FALSE)</f>
        <v>KHJ-MC100-00</v>
      </c>
      <c r="F2242" s="157" t="s">
        <v>2773</v>
      </c>
      <c r="I2242" s="139" t="s">
        <v>3105</v>
      </c>
      <c r="J2242" s="139" t="s">
        <v>3327</v>
      </c>
      <c r="K2242" s="51" t="s">
        <v>1246</v>
      </c>
      <c r="L2242" s="4">
        <v>44053</v>
      </c>
      <c r="M2242" s="140">
        <v>2</v>
      </c>
      <c r="P2242" s="4" t="s">
        <v>291</v>
      </c>
      <c r="Q2242" s="143"/>
      <c r="T2242" s="144"/>
      <c r="U2242" s="145" t="e">
        <f>VLOOKUP(H2242,Stock_list!A:N,14,FALSE)</f>
        <v>#N/A</v>
      </c>
    </row>
    <row r="2243" spans="1:21" ht="16.5" customHeight="1">
      <c r="A2243" s="159" t="s">
        <v>2747</v>
      </c>
      <c r="B2243" s="114" t="str">
        <f>VLOOKUP(A2243,'Data pick slip'!B:F,5,FALSE)</f>
        <v>KHJ-MC200-00</v>
      </c>
      <c r="F2243" s="157" t="s">
        <v>2773</v>
      </c>
      <c r="I2243" s="139" t="s">
        <v>3105</v>
      </c>
      <c r="J2243" s="139" t="s">
        <v>3328</v>
      </c>
      <c r="K2243" s="51" t="s">
        <v>1246</v>
      </c>
      <c r="L2243" s="4">
        <v>44053</v>
      </c>
      <c r="M2243" s="140">
        <v>3</v>
      </c>
      <c r="P2243" s="4" t="s">
        <v>291</v>
      </c>
      <c r="Q2243" s="143"/>
      <c r="T2243" s="144"/>
      <c r="U2243" s="145" t="e">
        <f>VLOOKUP(H2243,Stock_list!A:N,14,FALSE)</f>
        <v>#N/A</v>
      </c>
    </row>
    <row r="2244" spans="1:21" ht="16.5" customHeight="1">
      <c r="A2244" s="159" t="s">
        <v>2755</v>
      </c>
      <c r="B2244" s="114" t="str">
        <f>VLOOKUP(A2244,'Data pick slip'!B:F,5,FALSE)</f>
        <v>KLJ-MC100-00</v>
      </c>
      <c r="F2244" s="157" t="s">
        <v>2773</v>
      </c>
      <c r="I2244" s="139" t="s">
        <v>3093</v>
      </c>
      <c r="J2244" s="139" t="s">
        <v>3329</v>
      </c>
      <c r="K2244" s="51" t="s">
        <v>1246</v>
      </c>
      <c r="L2244" s="4">
        <v>44053</v>
      </c>
      <c r="M2244" s="140">
        <v>40</v>
      </c>
      <c r="P2244" s="4" t="s">
        <v>291</v>
      </c>
      <c r="Q2244" s="143"/>
      <c r="T2244" s="144"/>
      <c r="U2244" s="145" t="e">
        <f>VLOOKUP(H2244,Stock_list!A:N,14,FALSE)</f>
        <v>#N/A</v>
      </c>
    </row>
    <row r="2245" spans="1:21" ht="16.5" customHeight="1">
      <c r="A2245" s="159" t="s">
        <v>2744</v>
      </c>
      <c r="B2245" s="114" t="str">
        <f>VLOOKUP(A2245,'Data pick slip'!B:F,5,FALSE)</f>
        <v>KHJ-MC100-00</v>
      </c>
      <c r="F2245" s="157" t="s">
        <v>2773</v>
      </c>
      <c r="I2245" s="139" t="s">
        <v>3093</v>
      </c>
      <c r="J2245" s="139" t="s">
        <v>3330</v>
      </c>
      <c r="K2245" s="51" t="s">
        <v>1246</v>
      </c>
      <c r="L2245" s="4">
        <v>44056</v>
      </c>
      <c r="M2245" s="140">
        <v>20</v>
      </c>
      <c r="P2245" s="4" t="s">
        <v>291</v>
      </c>
      <c r="Q2245" s="143"/>
      <c r="T2245" s="144"/>
      <c r="U2245" s="145" t="e">
        <f>VLOOKUP(H2245,Stock_list!A:N,14,FALSE)</f>
        <v>#N/A</v>
      </c>
    </row>
    <row r="2246" spans="1:21" ht="16.5" customHeight="1">
      <c r="A2246" s="159" t="s">
        <v>2744</v>
      </c>
      <c r="B2246" s="114" t="str">
        <f>VLOOKUP(A2246,'Data pick slip'!B:F,5,FALSE)</f>
        <v>KHJ-MC100-00</v>
      </c>
      <c r="F2246" s="157" t="s">
        <v>2861</v>
      </c>
      <c r="I2246" s="139" t="s">
        <v>3015</v>
      </c>
      <c r="J2246" s="139" t="s">
        <v>3331</v>
      </c>
      <c r="K2246" s="51" t="s">
        <v>1246</v>
      </c>
      <c r="L2246" s="4">
        <v>44039</v>
      </c>
      <c r="M2246" s="140">
        <v>50</v>
      </c>
      <c r="P2246" s="4" t="s">
        <v>291</v>
      </c>
      <c r="Q2246" s="143"/>
      <c r="T2246" s="144"/>
      <c r="U2246" s="145" t="e">
        <f>VLOOKUP(H2246,Stock_list!A:N,14,FALSE)</f>
        <v>#N/A</v>
      </c>
    </row>
    <row r="2247" spans="1:21" ht="16.5" customHeight="1">
      <c r="A2247" s="159" t="s">
        <v>2747</v>
      </c>
      <c r="B2247" s="114" t="str">
        <f>VLOOKUP(A2247,'Data pick slip'!B:F,5,FALSE)</f>
        <v>KHJ-MC200-00</v>
      </c>
      <c r="F2247" s="157" t="s">
        <v>2861</v>
      </c>
      <c r="I2247" s="139" t="s">
        <v>3015</v>
      </c>
      <c r="J2247" s="139" t="s">
        <v>3331</v>
      </c>
      <c r="K2247" s="51" t="s">
        <v>1246</v>
      </c>
      <c r="L2247" s="4">
        <v>44039</v>
      </c>
      <c r="M2247" s="140">
        <v>50</v>
      </c>
      <c r="P2247" s="4" t="s">
        <v>291</v>
      </c>
      <c r="Q2247" s="143"/>
      <c r="T2247" s="144"/>
      <c r="U2247" s="145" t="e">
        <f>VLOOKUP(H2247,Stock_list!A:N,14,FALSE)</f>
        <v>#N/A</v>
      </c>
    </row>
    <row r="2248" spans="1:21" ht="16.5" customHeight="1">
      <c r="A2248" s="159" t="s">
        <v>2748</v>
      </c>
      <c r="B2248" s="114" t="str">
        <f>VLOOKUP(A2248,'Data pick slip'!B:F,5,FALSE)</f>
        <v>KHJ-MC400-00</v>
      </c>
      <c r="F2248" s="157" t="s">
        <v>2861</v>
      </c>
      <c r="I2248" s="139" t="s">
        <v>3015</v>
      </c>
      <c r="J2248" s="139" t="s">
        <v>3331</v>
      </c>
      <c r="K2248" s="51" t="s">
        <v>1246</v>
      </c>
      <c r="L2248" s="4">
        <v>44039</v>
      </c>
      <c r="M2248" s="140">
        <v>10</v>
      </c>
      <c r="P2248" s="4" t="s">
        <v>291</v>
      </c>
      <c r="Q2248" s="143"/>
      <c r="T2248" s="144"/>
      <c r="U2248" s="145" t="e">
        <f>VLOOKUP(H2248,Stock_list!A:N,14,FALSE)</f>
        <v>#N/A</v>
      </c>
    </row>
    <row r="2249" spans="1:21" ht="16.5" customHeight="1">
      <c r="A2249" s="159" t="s">
        <v>2749</v>
      </c>
      <c r="B2249" s="114" t="str">
        <f>VLOOKUP(A2249,'Data pick slip'!B:F,5,FALSE)</f>
        <v>KHJ-MC500-00</v>
      </c>
      <c r="F2249" s="157" t="s">
        <v>2861</v>
      </c>
      <c r="I2249" s="139" t="s">
        <v>3015</v>
      </c>
      <c r="J2249" s="139" t="s">
        <v>3331</v>
      </c>
      <c r="K2249" s="51" t="s">
        <v>1246</v>
      </c>
      <c r="L2249" s="4">
        <v>44039</v>
      </c>
      <c r="M2249" s="140">
        <v>5</v>
      </c>
      <c r="P2249" s="4" t="s">
        <v>291</v>
      </c>
      <c r="Q2249" s="143"/>
      <c r="T2249" s="144"/>
      <c r="U2249" s="145" t="e">
        <f>VLOOKUP(H2249,Stock_list!A:N,14,FALSE)</f>
        <v>#N/A</v>
      </c>
    </row>
    <row r="2250" spans="1:21" ht="16.5" customHeight="1">
      <c r="A2250" s="159" t="s">
        <v>2744</v>
      </c>
      <c r="B2250" s="114" t="str">
        <f>VLOOKUP(A2250,'Data pick slip'!B:F,5,FALSE)</f>
        <v>KHJ-MC100-00</v>
      </c>
      <c r="F2250" s="157" t="s">
        <v>2861</v>
      </c>
      <c r="I2250" s="139" t="s">
        <v>3015</v>
      </c>
      <c r="J2250" s="139" t="s">
        <v>3332</v>
      </c>
      <c r="K2250" s="51" t="s">
        <v>1246</v>
      </c>
      <c r="L2250" s="4">
        <v>44048</v>
      </c>
      <c r="M2250" s="140">
        <v>150</v>
      </c>
      <c r="P2250" s="4" t="s">
        <v>291</v>
      </c>
      <c r="Q2250" s="143"/>
      <c r="T2250" s="144"/>
      <c r="U2250" s="145" t="e">
        <f>VLOOKUP(H2250,Stock_list!A:N,14,FALSE)</f>
        <v>#N/A</v>
      </c>
    </row>
    <row r="2251" spans="1:21" ht="16.5" customHeight="1">
      <c r="A2251" s="159" t="s">
        <v>2750</v>
      </c>
      <c r="B2251" s="114" t="str">
        <f>VLOOKUP(A2251,'Data pick slip'!B:F,5,FALSE)</f>
        <v>KHJ-MC600-00</v>
      </c>
      <c r="F2251" s="157" t="s">
        <v>2773</v>
      </c>
      <c r="I2251" s="139" t="s">
        <v>3093</v>
      </c>
      <c r="J2251" s="139" t="s">
        <v>3333</v>
      </c>
      <c r="K2251" s="51" t="s">
        <v>1246</v>
      </c>
      <c r="L2251" s="4">
        <v>44057</v>
      </c>
      <c r="M2251" s="140">
        <v>1</v>
      </c>
      <c r="P2251" s="4" t="s">
        <v>291</v>
      </c>
      <c r="Q2251" s="143"/>
      <c r="T2251" s="144"/>
      <c r="U2251" s="145" t="e">
        <f>VLOOKUP(H2251,Stock_list!A:N,14,FALSE)</f>
        <v>#N/A</v>
      </c>
    </row>
    <row r="2252" spans="1:21" ht="16.5" customHeight="1">
      <c r="A2252" s="159" t="s">
        <v>2747</v>
      </c>
      <c r="B2252" s="114" t="str">
        <f>VLOOKUP(A2252,'Data pick slip'!B:F,5,FALSE)</f>
        <v>KHJ-MC200-00</v>
      </c>
      <c r="F2252" s="157" t="s">
        <v>2773</v>
      </c>
      <c r="I2252" s="139" t="s">
        <v>3093</v>
      </c>
      <c r="J2252" s="139" t="s">
        <v>3334</v>
      </c>
      <c r="K2252" s="51" t="s">
        <v>1246</v>
      </c>
      <c r="L2252" s="4">
        <v>44057</v>
      </c>
      <c r="M2252" s="140">
        <v>5</v>
      </c>
      <c r="P2252" s="4" t="s">
        <v>291</v>
      </c>
      <c r="Q2252" s="143"/>
      <c r="T2252" s="144"/>
      <c r="U2252" s="145" t="e">
        <f>VLOOKUP(H2252,Stock_list!A:N,14,FALSE)</f>
        <v>#N/A</v>
      </c>
    </row>
    <row r="2253" spans="1:21" ht="16.5" customHeight="1">
      <c r="A2253" s="159" t="s">
        <v>2744</v>
      </c>
      <c r="B2253" s="114" t="str">
        <f>VLOOKUP(A2253,'Data pick slip'!B:F,5,FALSE)</f>
        <v>KHJ-MC100-00</v>
      </c>
      <c r="F2253" s="157" t="s">
        <v>2773</v>
      </c>
      <c r="H2253" s="138">
        <v>773</v>
      </c>
      <c r="I2253" s="139" t="str">
        <f>VLOOKUP(H2253,Stock_list!A:R,18,FALSE)</f>
        <v>海星</v>
      </c>
      <c r="J2253" s="139" t="str">
        <f>VLOOKUP(H2253,Stock_list!A:S,17,FALSE)</f>
        <v>C49SZX20200123DZ</v>
      </c>
      <c r="K2253" s="51" t="str">
        <f>VLOOKUP(H2253,Stock_list!A:T,16,FALSE)</f>
        <v>RMB</v>
      </c>
      <c r="L2253" s="4">
        <v>44079</v>
      </c>
      <c r="M2253" s="132">
        <v>50</v>
      </c>
      <c r="P2253" s="4" t="str">
        <f>VLOOKUP(H2253,Stock_list!A:Y,25,FALSE)</f>
        <v>Yes</v>
      </c>
      <c r="Q2253" s="133"/>
      <c r="T2253" s="144"/>
      <c r="U2253" s="145" t="str">
        <f>VLOOKUP(H2253,Stock_list!A:N,14,FALSE)</f>
        <v>SEP 20</v>
      </c>
    </row>
    <row r="2254" spans="1:21" ht="16.5" customHeight="1">
      <c r="A2254" s="159" t="s">
        <v>2747</v>
      </c>
      <c r="B2254" s="114" t="str">
        <f>VLOOKUP(A2254,'Data pick slip'!B:F,5,FALSE)</f>
        <v>KHJ-MC200-00</v>
      </c>
      <c r="F2254" s="157" t="s">
        <v>2773</v>
      </c>
      <c r="H2254" s="138">
        <v>773</v>
      </c>
      <c r="I2254" s="139" t="str">
        <f>VLOOKUP(H2254,Stock_list!A:R,18,FALSE)</f>
        <v>海星</v>
      </c>
      <c r="J2254" s="139" t="str">
        <f>VLOOKUP(H2254,Stock_list!A:S,17,FALSE)</f>
        <v>C49SZX20200123DZ</v>
      </c>
      <c r="K2254" s="51" t="str">
        <f>VLOOKUP(H2254,Stock_list!A:T,16,FALSE)</f>
        <v>RMB</v>
      </c>
      <c r="L2254" s="4">
        <v>44079</v>
      </c>
      <c r="M2254" s="132">
        <v>20</v>
      </c>
      <c r="P2254" s="4" t="str">
        <f>VLOOKUP(H2254,Stock_list!A:Y,25,FALSE)</f>
        <v>Yes</v>
      </c>
      <c r="Q2254" s="133"/>
      <c r="T2254" s="144"/>
      <c r="U2254" s="145" t="str">
        <f>VLOOKUP(H2254,Stock_list!A:N,14,FALSE)</f>
        <v>SEP 20</v>
      </c>
    </row>
    <row r="2255" spans="1:21" ht="16.5" customHeight="1">
      <c r="A2255" s="159" t="s">
        <v>2748</v>
      </c>
      <c r="B2255" s="114" t="str">
        <f>VLOOKUP(A2255,'Data pick slip'!B:F,5,FALSE)</f>
        <v>KHJ-MC400-00</v>
      </c>
      <c r="F2255" s="157" t="s">
        <v>2773</v>
      </c>
      <c r="H2255" s="138">
        <v>773</v>
      </c>
      <c r="I2255" s="139" t="str">
        <f>VLOOKUP(H2255,Stock_list!A:R,18,FALSE)</f>
        <v>海星</v>
      </c>
      <c r="J2255" s="139" t="str">
        <f>VLOOKUP(H2255,Stock_list!A:S,17,FALSE)</f>
        <v>C49SZX20200123DZ</v>
      </c>
      <c r="K2255" s="51" t="str">
        <f>VLOOKUP(H2255,Stock_list!A:T,16,FALSE)</f>
        <v>RMB</v>
      </c>
      <c r="L2255" s="4">
        <v>44079</v>
      </c>
      <c r="M2255" s="132">
        <v>10</v>
      </c>
      <c r="P2255" s="4" t="str">
        <f>VLOOKUP(H2255,Stock_list!A:Y,25,FALSE)</f>
        <v>Yes</v>
      </c>
      <c r="Q2255" s="133"/>
      <c r="T2255" s="144"/>
      <c r="U2255" s="145" t="str">
        <f>VLOOKUP(H2255,Stock_list!A:N,14,FALSE)</f>
        <v>SEP 20</v>
      </c>
    </row>
    <row r="2256" spans="1:21" ht="16.5" customHeight="1">
      <c r="A2256" s="159" t="s">
        <v>2749</v>
      </c>
      <c r="B2256" s="114" t="str">
        <f>VLOOKUP(A2256,'Data pick slip'!B:F,5,FALSE)</f>
        <v>KHJ-MC500-00</v>
      </c>
      <c r="F2256" s="157" t="s">
        <v>2773</v>
      </c>
      <c r="H2256" s="138">
        <v>773</v>
      </c>
      <c r="I2256" s="139" t="str">
        <f>VLOOKUP(H2256,Stock_list!A:R,18,FALSE)</f>
        <v>海星</v>
      </c>
      <c r="J2256" s="139" t="str">
        <f>VLOOKUP(H2256,Stock_list!A:S,17,FALSE)</f>
        <v>C49SZX20200123DZ</v>
      </c>
      <c r="K2256" s="51" t="str">
        <f>VLOOKUP(H2256,Stock_list!A:T,16,FALSE)</f>
        <v>RMB</v>
      </c>
      <c r="L2256" s="4">
        <v>44079</v>
      </c>
      <c r="M2256" s="132">
        <v>2</v>
      </c>
      <c r="P2256" s="4" t="str">
        <f>VLOOKUP(H2256,Stock_list!A:Y,25,FALSE)</f>
        <v>Yes</v>
      </c>
      <c r="Q2256" s="133"/>
      <c r="T2256" s="144"/>
      <c r="U2256" s="145" t="str">
        <f>VLOOKUP(H2256,Stock_list!A:N,14,FALSE)</f>
        <v>SEP 20</v>
      </c>
    </row>
    <row r="2257" spans="1:21" ht="16.5" customHeight="1">
      <c r="A2257" s="159" t="s">
        <v>2750</v>
      </c>
      <c r="B2257" s="114" t="str">
        <f>VLOOKUP(A2257,'Data pick slip'!B:F,5,FALSE)</f>
        <v>KHJ-MC600-00</v>
      </c>
      <c r="F2257" s="157" t="s">
        <v>2773</v>
      </c>
      <c r="H2257" s="138">
        <v>773</v>
      </c>
      <c r="I2257" s="139" t="str">
        <f>VLOOKUP(H2257,Stock_list!A:R,18,FALSE)</f>
        <v>海星</v>
      </c>
      <c r="J2257" s="139" t="str">
        <f>VLOOKUP(H2257,Stock_list!A:S,17,FALSE)</f>
        <v>C49SZX20200123DZ</v>
      </c>
      <c r="K2257" s="51" t="str">
        <f>VLOOKUP(H2257,Stock_list!A:T,16,FALSE)</f>
        <v>RMB</v>
      </c>
      <c r="L2257" s="4">
        <v>44079</v>
      </c>
      <c r="M2257" s="132">
        <v>2</v>
      </c>
      <c r="P2257" s="4" t="str">
        <f>VLOOKUP(H2257,Stock_list!A:Y,25,FALSE)</f>
        <v>Yes</v>
      </c>
      <c r="Q2257" s="133"/>
      <c r="T2257" s="144"/>
      <c r="U2257" s="145" t="str">
        <f>VLOOKUP(H2257,Stock_list!A:N,14,FALSE)</f>
        <v>SEP 20</v>
      </c>
    </row>
    <row r="2258" spans="1:21" ht="16.5" customHeight="1">
      <c r="A2258" s="159" t="s">
        <v>2747</v>
      </c>
      <c r="B2258" s="114" t="str">
        <f>VLOOKUP(A2258,'Data pick slip'!B:F,5,FALSE)</f>
        <v>KHJ-MC200-00</v>
      </c>
      <c r="F2258" s="157" t="s">
        <v>2861</v>
      </c>
      <c r="H2258" s="138">
        <v>787</v>
      </c>
      <c r="I2258" s="139" t="str">
        <f>VLOOKUP(H2258,Stock_list!A:R,18,FALSE)</f>
        <v>斯迈</v>
      </c>
      <c r="J2258" s="139" t="str">
        <f>VLOOKUP(H2258,Stock_list!A:S,17,FALSE)</f>
        <v>C49SZX20200138JZ</v>
      </c>
      <c r="K2258" s="51" t="str">
        <f>VLOOKUP(H2258,Stock_list!A:T,16,FALSE)</f>
        <v>JPY</v>
      </c>
      <c r="L2258" s="4">
        <v>44139</v>
      </c>
      <c r="M2258" s="140">
        <v>17</v>
      </c>
      <c r="P2258" s="4" t="str">
        <f>VLOOKUP(H2258,Stock_list!A:Y,25,FALSE)</f>
        <v>Yes</v>
      </c>
      <c r="Q2258" s="143"/>
      <c r="T2258" s="144"/>
      <c r="U2258" s="145" t="str">
        <f>VLOOKUP(H2258,Stock_list!A:N,14,FALSE)</f>
        <v>NOV 20</v>
      </c>
    </row>
    <row r="2259" spans="1:21" ht="16.5" customHeight="1">
      <c r="A2259" s="159" t="s">
        <v>2747</v>
      </c>
      <c r="B2259" s="114" t="str">
        <f>VLOOKUP(A2259,'Data pick slip'!B:F,5,FALSE)</f>
        <v>KHJ-MC200-00</v>
      </c>
      <c r="F2259" s="157" t="s">
        <v>2861</v>
      </c>
      <c r="H2259" s="138">
        <v>787</v>
      </c>
      <c r="I2259" s="139" t="str">
        <f>VLOOKUP(H2259,Stock_list!A:R,18,FALSE)</f>
        <v>斯迈</v>
      </c>
      <c r="J2259" s="139" t="str">
        <f>VLOOKUP(H2259,Stock_list!A:S,17,FALSE)</f>
        <v>C49SZX20200138JZ</v>
      </c>
      <c r="K2259" s="51" t="str">
        <f>VLOOKUP(H2259,Stock_list!A:T,16,FALSE)</f>
        <v>JPY</v>
      </c>
      <c r="L2259" s="4">
        <v>44139</v>
      </c>
      <c r="M2259" s="140">
        <v>3</v>
      </c>
      <c r="P2259" s="4" t="str">
        <f>VLOOKUP(H2259,Stock_list!A:Y,25,FALSE)</f>
        <v>Yes</v>
      </c>
      <c r="Q2259" s="143"/>
      <c r="T2259" s="144"/>
      <c r="U2259" s="145" t="str">
        <f>VLOOKUP(H2259,Stock_list!A:N,14,FALSE)</f>
        <v>NOV 20</v>
      </c>
    </row>
    <row r="2260" spans="1:21" ht="16.5" customHeight="1">
      <c r="A2260" s="159" t="s">
        <v>2747</v>
      </c>
      <c r="B2260" s="114" t="str">
        <f>VLOOKUP(A2260,'Data pick slip'!B:F,5,FALSE)</f>
        <v>KHJ-MC200-00</v>
      </c>
      <c r="F2260" s="157" t="s">
        <v>2773</v>
      </c>
      <c r="H2260" s="138">
        <v>787</v>
      </c>
      <c r="I2260" s="139" t="str">
        <f>VLOOKUP(H2260,Stock_list!A:R,18,FALSE)</f>
        <v>斯迈</v>
      </c>
      <c r="J2260" s="139" t="str">
        <f>VLOOKUP(H2260,Stock_list!A:S,17,FALSE)</f>
        <v>C49SZX20200138JZ</v>
      </c>
      <c r="K2260" s="51" t="str">
        <f>VLOOKUP(H2260,Stock_list!A:T,16,FALSE)</f>
        <v>JPY</v>
      </c>
      <c r="L2260" s="4">
        <v>44133</v>
      </c>
      <c r="O2260" s="132">
        <f>5-5</f>
        <v>0</v>
      </c>
      <c r="P2260" s="4" t="str">
        <f>VLOOKUP(H2260,Stock_list!A:Y,25,FALSE)</f>
        <v>Yes</v>
      </c>
      <c r="Q2260" s="143"/>
      <c r="T2260" s="144"/>
      <c r="U2260" s="145" t="str">
        <f>VLOOKUP(H2260,Stock_list!A:N,14,FALSE)</f>
        <v>NOV 20</v>
      </c>
    </row>
    <row r="2261" spans="1:21" ht="16.5" customHeight="1">
      <c r="A2261" s="159" t="s">
        <v>2744</v>
      </c>
      <c r="B2261" s="114" t="str">
        <f>VLOOKUP(A2261,'Data pick slip'!B:F,5,FALSE)</f>
        <v>KHJ-MC100-00</v>
      </c>
      <c r="F2261" s="157" t="s">
        <v>2773</v>
      </c>
      <c r="I2261" s="139" t="s">
        <v>3093</v>
      </c>
      <c r="J2261" s="139" t="s">
        <v>3335</v>
      </c>
      <c r="K2261" s="51" t="s">
        <v>1246</v>
      </c>
      <c r="L2261" s="4">
        <v>44063</v>
      </c>
      <c r="M2261" s="140">
        <v>20</v>
      </c>
      <c r="P2261" s="4" t="s">
        <v>291</v>
      </c>
      <c r="Q2261" s="143"/>
      <c r="T2261" s="144"/>
      <c r="U2261" s="145" t="e">
        <f>VLOOKUP(H2261,Stock_list!A:N,14,FALSE)</f>
        <v>#N/A</v>
      </c>
    </row>
    <row r="2262" spans="1:21" ht="16.5" customHeight="1">
      <c r="A2262" s="159" t="s">
        <v>2744</v>
      </c>
      <c r="B2262" s="114" t="str">
        <f>VLOOKUP(A2262,'Data pick slip'!B:F,5,FALSE)</f>
        <v>KHJ-MC100-00</v>
      </c>
      <c r="F2262" s="157" t="s">
        <v>2773</v>
      </c>
      <c r="H2262" s="138">
        <v>791</v>
      </c>
      <c r="I2262" s="139" t="str">
        <f>VLOOKUP(H2262,Stock_list!A:R,18,FALSE)</f>
        <v>斯路迅</v>
      </c>
      <c r="J2262" s="139" t="str">
        <f>VLOOKUP(H2262,Stock_list!A:S,17,FALSE)</f>
        <v>C49SZX20200143MZ</v>
      </c>
      <c r="K2262" s="51" t="str">
        <f>VLOOKUP(H2262,Stock_list!A:T,16,FALSE)</f>
        <v>RMB</v>
      </c>
      <c r="L2262" s="4">
        <v>44133</v>
      </c>
      <c r="M2262" s="132">
        <v>30</v>
      </c>
      <c r="P2262" s="4" t="str">
        <f>VLOOKUP(H2262,Stock_list!A:Y,25,FALSE)</f>
        <v>Yes</v>
      </c>
      <c r="Q2262" s="133"/>
      <c r="T2262" s="144"/>
      <c r="U2262" s="145" t="str">
        <f>VLOOKUP(H2262,Stock_list!A:N,14,FALSE)</f>
        <v>OCT 20</v>
      </c>
    </row>
    <row r="2263" spans="1:21" ht="16.5" customHeight="1">
      <c r="A2263" s="159" t="s">
        <v>2747</v>
      </c>
      <c r="B2263" s="114" t="str">
        <f>VLOOKUP(A2263,'Data pick slip'!B:F,5,FALSE)</f>
        <v>KHJ-MC200-00</v>
      </c>
      <c r="F2263" s="157" t="s">
        <v>2773</v>
      </c>
      <c r="H2263" s="138">
        <v>791</v>
      </c>
      <c r="I2263" s="139" t="str">
        <f>VLOOKUP(H2263,Stock_list!A:R,18,FALSE)</f>
        <v>斯路迅</v>
      </c>
      <c r="J2263" s="139" t="str">
        <f>VLOOKUP(H2263,Stock_list!A:S,17,FALSE)</f>
        <v>C49SZX20200143MZ</v>
      </c>
      <c r="K2263" s="51" t="str">
        <f>VLOOKUP(H2263,Stock_list!A:T,16,FALSE)</f>
        <v>RMB</v>
      </c>
      <c r="L2263" s="4">
        <v>44133</v>
      </c>
      <c r="M2263" s="132">
        <v>5</v>
      </c>
      <c r="P2263" s="4" t="str">
        <f>VLOOKUP(H2263,Stock_list!A:Y,25,FALSE)</f>
        <v>Yes</v>
      </c>
      <c r="Q2263" s="133"/>
      <c r="T2263" s="144"/>
      <c r="U2263" s="145" t="str">
        <f>VLOOKUP(H2263,Stock_list!A:N,14,FALSE)</f>
        <v>OCT 20</v>
      </c>
    </row>
    <row r="2264" spans="1:21" ht="16.5" customHeight="1">
      <c r="A2264" s="159" t="s">
        <v>2748</v>
      </c>
      <c r="B2264" s="114" t="str">
        <f>VLOOKUP(A2264,'Data pick slip'!B:F,5,FALSE)</f>
        <v>KHJ-MC400-00</v>
      </c>
      <c r="F2264" s="157" t="s">
        <v>2773</v>
      </c>
      <c r="H2264" s="138">
        <v>791</v>
      </c>
      <c r="I2264" s="139" t="str">
        <f>VLOOKUP(H2264,Stock_list!A:R,18,FALSE)</f>
        <v>斯路迅</v>
      </c>
      <c r="J2264" s="139" t="str">
        <f>VLOOKUP(H2264,Stock_list!A:S,17,FALSE)</f>
        <v>C49SZX20200143MZ</v>
      </c>
      <c r="K2264" s="51" t="str">
        <f>VLOOKUP(H2264,Stock_list!A:T,16,FALSE)</f>
        <v>RMB</v>
      </c>
      <c r="L2264" s="4">
        <v>44133</v>
      </c>
      <c r="M2264" s="132">
        <v>2</v>
      </c>
      <c r="P2264" s="4" t="str">
        <f>VLOOKUP(H2264,Stock_list!A:Y,25,FALSE)</f>
        <v>Yes</v>
      </c>
      <c r="Q2264" s="133"/>
      <c r="T2264" s="144"/>
      <c r="U2264" s="145" t="str">
        <f>VLOOKUP(H2264,Stock_list!A:N,14,FALSE)</f>
        <v>OCT 20</v>
      </c>
    </row>
    <row r="2265" spans="1:21" ht="16.5" customHeight="1">
      <c r="A2265" s="159" t="s">
        <v>2744</v>
      </c>
      <c r="B2265" s="114" t="str">
        <f>VLOOKUP(A2265,'Data pick slip'!B:F,5,FALSE)</f>
        <v>KHJ-MC100-00</v>
      </c>
      <c r="F2265" s="157" t="s">
        <v>2861</v>
      </c>
      <c r="I2265" s="139" t="s">
        <v>3015</v>
      </c>
      <c r="J2265" s="139" t="s">
        <v>3336</v>
      </c>
      <c r="K2265" s="51" t="s">
        <v>1246</v>
      </c>
      <c r="L2265" s="4">
        <v>44070</v>
      </c>
      <c r="M2265" s="140">
        <v>50</v>
      </c>
      <c r="P2265" s="4" t="s">
        <v>291</v>
      </c>
      <c r="Q2265" s="143"/>
      <c r="T2265" s="144"/>
      <c r="U2265" s="145" t="e">
        <f>VLOOKUP(H2265,Stock_list!A:N,14,FALSE)</f>
        <v>#N/A</v>
      </c>
    </row>
    <row r="2266" spans="1:21" ht="16.5" customHeight="1">
      <c r="A2266" s="159" t="s">
        <v>2747</v>
      </c>
      <c r="B2266" s="114" t="str">
        <f>VLOOKUP(A2266,'Data pick slip'!B:F,5,FALSE)</f>
        <v>KHJ-MC200-00</v>
      </c>
      <c r="F2266" s="157" t="s">
        <v>2861</v>
      </c>
      <c r="I2266" s="139" t="s">
        <v>3015</v>
      </c>
      <c r="J2266" s="139" t="s">
        <v>3336</v>
      </c>
      <c r="K2266" s="51" t="s">
        <v>1246</v>
      </c>
      <c r="L2266" s="4">
        <v>44070</v>
      </c>
      <c r="M2266" s="140">
        <v>20</v>
      </c>
      <c r="P2266" s="4" t="s">
        <v>291</v>
      </c>
      <c r="Q2266" s="143"/>
      <c r="T2266" s="144"/>
      <c r="U2266" s="145" t="e">
        <f>VLOOKUP(H2266,Stock_list!A:N,14,FALSE)</f>
        <v>#N/A</v>
      </c>
    </row>
    <row r="2267" spans="1:21" ht="16.5" customHeight="1">
      <c r="A2267" s="159" t="s">
        <v>2755</v>
      </c>
      <c r="B2267" s="114" t="str">
        <f>VLOOKUP(A2267,'Data pick slip'!B:F,5,FALSE)</f>
        <v>KLJ-MC100-00</v>
      </c>
      <c r="F2267" s="157" t="s">
        <v>2773</v>
      </c>
      <c r="H2267" s="138">
        <v>793</v>
      </c>
      <c r="I2267" s="139" t="str">
        <f>VLOOKUP(H2267,Stock_list!A:R,18,FALSE)</f>
        <v>万恒光电</v>
      </c>
      <c r="J2267" s="139" t="str">
        <f>VLOOKUP(H2267,Stock_list!A:S,17,FALSE)</f>
        <v>C49SZX20200127KW</v>
      </c>
      <c r="K2267" s="51" t="str">
        <f>VLOOKUP(H2267,Stock_list!A:T,16,FALSE)</f>
        <v>RMB</v>
      </c>
      <c r="L2267" s="4">
        <v>44090</v>
      </c>
      <c r="M2267" s="140">
        <v>20</v>
      </c>
      <c r="P2267" s="4" t="str">
        <f>VLOOKUP(H2267,Stock_list!A:Y,25,FALSE)</f>
        <v>Yes</v>
      </c>
      <c r="Q2267" s="143"/>
      <c r="T2267" s="144"/>
      <c r="U2267" s="145" t="str">
        <f>VLOOKUP(H2267,Stock_list!A:N,14,FALSE)</f>
        <v>SEP 20</v>
      </c>
    </row>
    <row r="2268" spans="1:21" ht="16.5" customHeight="1">
      <c r="A2268" s="159" t="s">
        <v>2744</v>
      </c>
      <c r="B2268" s="114" t="str">
        <f>VLOOKUP(A2268,'Data pick slip'!B:F,5,FALSE)</f>
        <v>KHJ-MC100-00</v>
      </c>
      <c r="F2268" s="157" t="s">
        <v>2773</v>
      </c>
      <c r="I2268" s="139" t="s">
        <v>3099</v>
      </c>
      <c r="J2268" s="139" t="s">
        <v>3337</v>
      </c>
      <c r="K2268" s="51" t="s">
        <v>1246</v>
      </c>
      <c r="L2268" s="4">
        <v>44067</v>
      </c>
      <c r="M2268" s="140">
        <v>40</v>
      </c>
      <c r="P2268" s="4" t="s">
        <v>291</v>
      </c>
      <c r="Q2268" s="143"/>
      <c r="T2268" s="144"/>
      <c r="U2268" s="145" t="e">
        <f>VLOOKUP(H2268,Stock_list!A:N,14,FALSE)</f>
        <v>#N/A</v>
      </c>
    </row>
    <row r="2269" spans="1:21" ht="16.5" customHeight="1">
      <c r="A2269" s="159" t="s">
        <v>2744</v>
      </c>
      <c r="B2269" s="114" t="str">
        <f>VLOOKUP(A2269,'Data pick slip'!B:F,5,FALSE)</f>
        <v>KHJ-MC100-00</v>
      </c>
      <c r="F2269" s="157" t="s">
        <v>2773</v>
      </c>
      <c r="H2269" s="138">
        <v>795</v>
      </c>
      <c r="I2269" s="139" t="str">
        <f>VLOOKUP(H2269,Stock_list!A:R,18,FALSE)</f>
        <v>嘉普达</v>
      </c>
      <c r="J2269" s="139" t="str">
        <f>VLOOKUP(H2269,Stock_list!A:S,17,FALSE)</f>
        <v>C49SZX20200140RSX</v>
      </c>
      <c r="K2269" s="51" t="str">
        <f>VLOOKUP(H2269,Stock_list!A:T,16,FALSE)</f>
        <v>RMB</v>
      </c>
      <c r="L2269" s="4">
        <v>44203</v>
      </c>
      <c r="M2269" s="132">
        <v>70</v>
      </c>
      <c r="P2269" s="4" t="str">
        <f>VLOOKUP(H2269,Stock_list!A:Y,25,FALSE)</f>
        <v>Yes</v>
      </c>
      <c r="Q2269" s="133"/>
      <c r="T2269" s="144"/>
      <c r="U2269" s="145" t="str">
        <f>VLOOKUP(H2269,Stock_list!A:N,14,FALSE)</f>
        <v>JAN 21</v>
      </c>
    </row>
    <row r="2270" spans="1:21" ht="16.5" customHeight="1">
      <c r="A2270" s="159" t="s">
        <v>2747</v>
      </c>
      <c r="B2270" s="114" t="str">
        <f>VLOOKUP(A2270,'Data pick slip'!B:F,5,FALSE)</f>
        <v>KHJ-MC200-00</v>
      </c>
      <c r="F2270" s="157" t="s">
        <v>2773</v>
      </c>
      <c r="H2270" s="138">
        <v>795</v>
      </c>
      <c r="I2270" s="139" t="str">
        <f>VLOOKUP(H2270,Stock_list!A:R,18,FALSE)</f>
        <v>嘉普达</v>
      </c>
      <c r="J2270" s="139" t="str">
        <f>VLOOKUP(H2270,Stock_list!A:S,17,FALSE)</f>
        <v>C49SZX20200140RSX</v>
      </c>
      <c r="K2270" s="51" t="str">
        <f>VLOOKUP(H2270,Stock_list!A:T,16,FALSE)</f>
        <v>RMB</v>
      </c>
      <c r="L2270" s="257" t="s">
        <v>3338</v>
      </c>
      <c r="M2270" s="132">
        <v>10</v>
      </c>
      <c r="P2270" s="4" t="str">
        <f>VLOOKUP(H2270,Stock_list!A:Y,25,FALSE)</f>
        <v>Yes</v>
      </c>
      <c r="Q2270" s="133"/>
      <c r="T2270" s="144"/>
      <c r="U2270" s="145" t="str">
        <f>VLOOKUP(H2270,Stock_list!A:N,14,FALSE)</f>
        <v>JAN 21</v>
      </c>
    </row>
    <row r="2271" spans="1:21" ht="16.5" customHeight="1">
      <c r="A2271" s="159" t="s">
        <v>2748</v>
      </c>
      <c r="B2271" s="114" t="str">
        <f>VLOOKUP(A2271,'Data pick slip'!B:F,5,FALSE)</f>
        <v>KHJ-MC400-00</v>
      </c>
      <c r="F2271" s="157" t="s">
        <v>2773</v>
      </c>
      <c r="H2271" s="138">
        <v>795</v>
      </c>
      <c r="I2271" s="139" t="str">
        <f>VLOOKUP(H2271,Stock_list!A:R,18,FALSE)</f>
        <v>嘉普达</v>
      </c>
      <c r="J2271" s="139" t="str">
        <f>VLOOKUP(H2271,Stock_list!A:S,17,FALSE)</f>
        <v>C49SZX20200140RSX</v>
      </c>
      <c r="K2271" s="51" t="str">
        <f>VLOOKUP(H2271,Stock_list!A:T,16,FALSE)</f>
        <v>RMB</v>
      </c>
      <c r="L2271" s="4">
        <v>44203</v>
      </c>
      <c r="M2271" s="132">
        <v>3</v>
      </c>
      <c r="P2271" s="4" t="str">
        <f>VLOOKUP(H2271,Stock_list!A:Y,25,FALSE)</f>
        <v>Yes</v>
      </c>
      <c r="Q2271" s="133"/>
      <c r="T2271" s="144"/>
      <c r="U2271" s="145" t="str">
        <f>VLOOKUP(H2271,Stock_list!A:N,14,FALSE)</f>
        <v>JAN 21</v>
      </c>
    </row>
    <row r="2272" spans="1:21" ht="16.5" customHeight="1">
      <c r="A2272" s="159" t="s">
        <v>2749</v>
      </c>
      <c r="B2272" s="114" t="str">
        <f>VLOOKUP(A2272,'Data pick slip'!B:F,5,FALSE)</f>
        <v>KHJ-MC500-00</v>
      </c>
      <c r="F2272" s="157" t="s">
        <v>2773</v>
      </c>
      <c r="H2272" s="138">
        <v>795</v>
      </c>
      <c r="I2272" s="139" t="str">
        <f>VLOOKUP(H2272,Stock_list!A:R,18,FALSE)</f>
        <v>嘉普达</v>
      </c>
      <c r="J2272" s="139" t="str">
        <f>VLOOKUP(H2272,Stock_list!A:S,17,FALSE)</f>
        <v>C49SZX20200140RSX</v>
      </c>
      <c r="K2272" s="51" t="str">
        <f>VLOOKUP(H2272,Stock_list!A:T,16,FALSE)</f>
        <v>RMB</v>
      </c>
      <c r="L2272" s="4">
        <v>44203</v>
      </c>
      <c r="M2272" s="132">
        <v>3</v>
      </c>
      <c r="P2272" s="4" t="str">
        <f>VLOOKUP(H2272,Stock_list!A:Y,25,FALSE)</f>
        <v>Yes</v>
      </c>
      <c r="Q2272" s="133"/>
      <c r="T2272" s="144"/>
      <c r="U2272" s="145" t="str">
        <f>VLOOKUP(H2272,Stock_list!A:N,14,FALSE)</f>
        <v>JAN 21</v>
      </c>
    </row>
    <row r="2273" spans="1:21" ht="16.5" customHeight="1">
      <c r="A2273" s="159" t="s">
        <v>2748</v>
      </c>
      <c r="B2273" s="114" t="str">
        <f>VLOOKUP(A2273,'Data pick slip'!B:F,5,FALSE)</f>
        <v>KHJ-MC400-00</v>
      </c>
      <c r="F2273" s="157" t="s">
        <v>2773</v>
      </c>
      <c r="I2273" s="139" t="s">
        <v>3093</v>
      </c>
      <c r="J2273" s="139" t="s">
        <v>3339</v>
      </c>
      <c r="K2273" s="51" t="s">
        <v>1246</v>
      </c>
      <c r="L2273" s="4">
        <v>44074</v>
      </c>
      <c r="M2273" s="140">
        <v>3</v>
      </c>
      <c r="P2273" s="4" t="s">
        <v>291</v>
      </c>
      <c r="Q2273" s="143"/>
      <c r="T2273" s="144"/>
      <c r="U2273" s="145" t="e">
        <f>VLOOKUP(H2273,Stock_list!A:N,14,FALSE)</f>
        <v>#N/A</v>
      </c>
    </row>
    <row r="2274" spans="1:21" ht="16.5" customHeight="1">
      <c r="A2274" s="159" t="s">
        <v>2744</v>
      </c>
      <c r="B2274" s="114" t="str">
        <f>VLOOKUP(A2274,'Data pick slip'!B:F,5,FALSE)</f>
        <v>KHJ-MC100-00</v>
      </c>
      <c r="F2274" s="157" t="s">
        <v>2773</v>
      </c>
      <c r="H2274" s="138">
        <v>798</v>
      </c>
      <c r="I2274" s="139" t="str">
        <f>VLOOKUP(H2274,Stock_list!A:R,18,FALSE)</f>
        <v>奕东</v>
      </c>
      <c r="J2274" s="139" t="str">
        <f>VLOOKUP(H2274,Stock_list!A:S,17,FALSE)</f>
        <v>C49SZX20200141SX</v>
      </c>
      <c r="K2274" s="51" t="str">
        <f>VLOOKUP(H2274,Stock_list!A:T,16,FALSE)</f>
        <v>RMB</v>
      </c>
      <c r="L2274" s="4">
        <v>44103</v>
      </c>
      <c r="M2274" s="140">
        <v>40</v>
      </c>
      <c r="P2274" s="4" t="str">
        <f>VLOOKUP(H2274,Stock_list!A:Y,25,FALSE)</f>
        <v>Yes</v>
      </c>
      <c r="Q2274" s="133"/>
      <c r="T2274" s="144"/>
      <c r="U2274" s="145" t="str">
        <f>VLOOKUP(H2274,Stock_list!A:N,14,FALSE)</f>
        <v>SEP 20</v>
      </c>
    </row>
    <row r="2275" spans="1:21" ht="16.5" customHeight="1">
      <c r="A2275" s="159" t="s">
        <v>2747</v>
      </c>
      <c r="B2275" s="114" t="str">
        <f>VLOOKUP(A2275,'Data pick slip'!B:F,5,FALSE)</f>
        <v>KHJ-MC200-00</v>
      </c>
      <c r="F2275" s="157" t="s">
        <v>2773</v>
      </c>
      <c r="H2275" s="138">
        <v>798</v>
      </c>
      <c r="I2275" s="139" t="str">
        <f>VLOOKUP(H2275,Stock_list!A:R,18,FALSE)</f>
        <v>奕东</v>
      </c>
      <c r="J2275" s="139" t="str">
        <f>VLOOKUP(H2275,Stock_list!A:S,17,FALSE)</f>
        <v>C49SZX20200141SX</v>
      </c>
      <c r="K2275" s="51" t="str">
        <f>VLOOKUP(H2275,Stock_list!A:T,16,FALSE)</f>
        <v>RMB</v>
      </c>
      <c r="L2275" s="4">
        <v>44103</v>
      </c>
      <c r="M2275" s="140">
        <v>16</v>
      </c>
      <c r="P2275" s="4" t="str">
        <f>VLOOKUP(H2275,Stock_list!A:Y,25,FALSE)</f>
        <v>Yes</v>
      </c>
      <c r="Q2275" s="133"/>
      <c r="T2275" s="144"/>
      <c r="U2275" s="145" t="str">
        <f>VLOOKUP(H2275,Stock_list!A:N,14,FALSE)</f>
        <v>SEP 20</v>
      </c>
    </row>
    <row r="2276" spans="1:21" ht="16.5" customHeight="1">
      <c r="A2276" s="159" t="s">
        <v>2748</v>
      </c>
      <c r="B2276" s="114" t="str">
        <f>VLOOKUP(A2276,'Data pick slip'!B:F,5,FALSE)</f>
        <v>KHJ-MC400-00</v>
      </c>
      <c r="F2276" s="157" t="s">
        <v>2773</v>
      </c>
      <c r="H2276" s="138">
        <v>798</v>
      </c>
      <c r="I2276" s="139" t="str">
        <f>VLOOKUP(H2276,Stock_list!A:R,18,FALSE)</f>
        <v>奕东</v>
      </c>
      <c r="J2276" s="139" t="str">
        <f>VLOOKUP(H2276,Stock_list!A:S,17,FALSE)</f>
        <v>C49SZX20200141SX</v>
      </c>
      <c r="K2276" s="51" t="str">
        <f>VLOOKUP(H2276,Stock_list!A:T,16,FALSE)</f>
        <v>RMB</v>
      </c>
      <c r="L2276" s="4">
        <v>44103</v>
      </c>
      <c r="M2276" s="140">
        <v>12</v>
      </c>
      <c r="P2276" s="4" t="str">
        <f>VLOOKUP(H2276,Stock_list!A:Y,25,FALSE)</f>
        <v>Yes</v>
      </c>
      <c r="Q2276" s="133"/>
      <c r="T2276" s="144"/>
      <c r="U2276" s="145" t="str">
        <f>VLOOKUP(H2276,Stock_list!A:N,14,FALSE)</f>
        <v>SEP 20</v>
      </c>
    </row>
    <row r="2277" spans="1:21" ht="16.5" customHeight="1">
      <c r="A2277" s="159" t="s">
        <v>2749</v>
      </c>
      <c r="B2277" s="114" t="str">
        <f>VLOOKUP(A2277,'Data pick slip'!B:F,5,FALSE)</f>
        <v>KHJ-MC500-00</v>
      </c>
      <c r="F2277" s="157" t="s">
        <v>2773</v>
      </c>
      <c r="H2277" s="138">
        <v>798</v>
      </c>
      <c r="I2277" s="139" t="str">
        <f>VLOOKUP(H2277,Stock_list!A:R,18,FALSE)</f>
        <v>奕东</v>
      </c>
      <c r="J2277" s="139" t="str">
        <f>VLOOKUP(H2277,Stock_list!A:S,17,FALSE)</f>
        <v>C49SZX20200141SX</v>
      </c>
      <c r="K2277" s="51" t="str">
        <f>VLOOKUP(H2277,Stock_list!A:T,16,FALSE)</f>
        <v>RMB</v>
      </c>
      <c r="L2277" s="4">
        <v>44103</v>
      </c>
      <c r="M2277" s="140">
        <v>16</v>
      </c>
      <c r="P2277" s="4" t="str">
        <f>VLOOKUP(H2277,Stock_list!A:Y,25,FALSE)</f>
        <v>Yes</v>
      </c>
      <c r="Q2277" s="133"/>
      <c r="T2277" s="144"/>
      <c r="U2277" s="145" t="str">
        <f>VLOOKUP(H2277,Stock_list!A:N,14,FALSE)</f>
        <v>SEP 20</v>
      </c>
    </row>
    <row r="2278" spans="1:21" ht="16.5" customHeight="1">
      <c r="A2278" s="159" t="s">
        <v>2750</v>
      </c>
      <c r="B2278" s="114" t="str">
        <f>VLOOKUP(A2278,'Data pick slip'!B:F,5,FALSE)</f>
        <v>KHJ-MC600-00</v>
      </c>
      <c r="F2278" s="157" t="s">
        <v>2773</v>
      </c>
      <c r="H2278" s="138">
        <v>798</v>
      </c>
      <c r="I2278" s="139" t="str">
        <f>VLOOKUP(H2278,Stock_list!A:R,18,FALSE)</f>
        <v>奕东</v>
      </c>
      <c r="J2278" s="139" t="str">
        <f>VLOOKUP(H2278,Stock_list!A:S,17,FALSE)</f>
        <v>C49SZX20200141SX</v>
      </c>
      <c r="K2278" s="51" t="str">
        <f>VLOOKUP(H2278,Stock_list!A:T,16,FALSE)</f>
        <v>RMB</v>
      </c>
      <c r="L2278" s="4">
        <v>44103</v>
      </c>
      <c r="M2278" s="140">
        <v>14</v>
      </c>
      <c r="P2278" s="4" t="str">
        <f>VLOOKUP(H2278,Stock_list!A:Y,25,FALSE)</f>
        <v>Yes</v>
      </c>
      <c r="Q2278" s="133"/>
      <c r="T2278" s="144"/>
      <c r="U2278" s="145" t="str">
        <f>VLOOKUP(H2278,Stock_list!A:N,14,FALSE)</f>
        <v>SEP 20</v>
      </c>
    </row>
    <row r="2279" spans="1:21" ht="16.5" customHeight="1">
      <c r="A2279" s="159" t="s">
        <v>2750</v>
      </c>
      <c r="B2279" s="114" t="str">
        <f>VLOOKUP(A2279,'Data pick slip'!B:F,5,FALSE)</f>
        <v>KHJ-MC600-00</v>
      </c>
      <c r="F2279" s="157" t="s">
        <v>2773</v>
      </c>
      <c r="H2279" s="138">
        <v>798</v>
      </c>
      <c r="I2279" s="139" t="str">
        <f>VLOOKUP(H2279,Stock_list!A:R,18,FALSE)</f>
        <v>奕东</v>
      </c>
      <c r="J2279" s="139" t="str">
        <f>VLOOKUP(H2279,Stock_list!A:S,17,FALSE)</f>
        <v>C49SZX20200141SX</v>
      </c>
      <c r="K2279" s="51" t="str">
        <f>VLOOKUP(H2279,Stock_list!A:T,16,FALSE)</f>
        <v>RMB</v>
      </c>
      <c r="L2279" s="4">
        <v>44134</v>
      </c>
      <c r="M2279" s="140">
        <v>2</v>
      </c>
      <c r="P2279" s="4" t="str">
        <f>VLOOKUP(H2279,Stock_list!A:Y,25,FALSE)</f>
        <v>Yes</v>
      </c>
      <c r="Q2279" s="133"/>
      <c r="T2279" s="144"/>
      <c r="U2279" s="145" t="str">
        <f>VLOOKUP(H2279,Stock_list!A:N,14,FALSE)</f>
        <v>SEP 20</v>
      </c>
    </row>
    <row r="2280" spans="1:21" ht="16.5" customHeight="1">
      <c r="A2280" s="159" t="s">
        <v>2751</v>
      </c>
      <c r="B2280" s="114" t="str">
        <f>VLOOKUP(A2280,'Data pick slip'!B:F,5,FALSE)</f>
        <v>KHJ-MC700-00</v>
      </c>
      <c r="F2280" s="157" t="s">
        <v>2773</v>
      </c>
      <c r="H2280" s="138">
        <v>798</v>
      </c>
      <c r="I2280" s="139" t="str">
        <f>VLOOKUP(H2280,Stock_list!A:R,18,FALSE)</f>
        <v>奕东</v>
      </c>
      <c r="J2280" s="139" t="str">
        <f>VLOOKUP(H2280,Stock_list!A:S,17,FALSE)</f>
        <v>C49SZX20200141SX</v>
      </c>
      <c r="K2280" s="51" t="str">
        <f>VLOOKUP(H2280,Stock_list!A:T,16,FALSE)</f>
        <v>RMB</v>
      </c>
      <c r="L2280" s="4">
        <v>44134</v>
      </c>
      <c r="M2280" s="140">
        <v>16</v>
      </c>
      <c r="P2280" s="4" t="str">
        <f>VLOOKUP(H2280,Stock_list!A:Y,25,FALSE)</f>
        <v>Yes</v>
      </c>
      <c r="Q2280" s="133"/>
      <c r="T2280" s="144"/>
      <c r="U2280" s="145" t="str">
        <f>VLOOKUP(H2280,Stock_list!A:N,14,FALSE)</f>
        <v>SEP 20</v>
      </c>
    </row>
    <row r="2281" spans="1:21" ht="16.5" customHeight="1">
      <c r="A2281" s="159" t="s">
        <v>2752</v>
      </c>
      <c r="B2281" s="114" t="str">
        <f>VLOOKUP(A2281,'Data pick slip'!B:F,5,FALSE)</f>
        <v>KHJ-MC800-00</v>
      </c>
      <c r="F2281" s="157" t="s">
        <v>2773</v>
      </c>
      <c r="H2281" s="138">
        <v>798</v>
      </c>
      <c r="I2281" s="139" t="str">
        <f>VLOOKUP(H2281,Stock_list!A:R,18,FALSE)</f>
        <v>奕东</v>
      </c>
      <c r="J2281" s="139" t="str">
        <f>VLOOKUP(H2281,Stock_list!A:S,17,FALSE)</f>
        <v>C49SZX20200141SX</v>
      </c>
      <c r="K2281" s="51" t="str">
        <f>VLOOKUP(H2281,Stock_list!A:T,16,FALSE)</f>
        <v>RMB</v>
      </c>
      <c r="L2281" s="4">
        <v>44103</v>
      </c>
      <c r="M2281" s="140">
        <v>1</v>
      </c>
      <c r="P2281" s="4" t="str">
        <f>VLOOKUP(H2281,Stock_list!A:Y,25,FALSE)</f>
        <v>Yes</v>
      </c>
      <c r="Q2281" s="133"/>
      <c r="T2281" s="144"/>
      <c r="U2281" s="145" t="str">
        <f>VLOOKUP(H2281,Stock_list!A:N,14,FALSE)</f>
        <v>SEP 20</v>
      </c>
    </row>
    <row r="2282" spans="1:21" ht="16.5" customHeight="1">
      <c r="A2282" s="159" t="s">
        <v>2752</v>
      </c>
      <c r="B2282" s="114" t="str">
        <f>VLOOKUP(A2282,'Data pick slip'!B:F,5,FALSE)</f>
        <v>KHJ-MC800-00</v>
      </c>
      <c r="F2282" s="157" t="s">
        <v>2773</v>
      </c>
      <c r="H2282" s="138">
        <v>798</v>
      </c>
      <c r="I2282" s="139" t="str">
        <f>VLOOKUP(H2282,Stock_list!A:R,18,FALSE)</f>
        <v>奕东</v>
      </c>
      <c r="J2282" s="139" t="str">
        <f>VLOOKUP(H2282,Stock_list!A:S,17,FALSE)</f>
        <v>C49SZX20200141SX</v>
      </c>
      <c r="K2282" s="51" t="str">
        <f>VLOOKUP(H2282,Stock_list!A:T,16,FALSE)</f>
        <v>RMB</v>
      </c>
      <c r="L2282" s="4">
        <v>44134</v>
      </c>
      <c r="M2282" s="140">
        <v>7</v>
      </c>
      <c r="P2282" s="4" t="str">
        <f>VLOOKUP(H2282,Stock_list!A:Y,25,FALSE)</f>
        <v>Yes</v>
      </c>
      <c r="Q2282" s="133"/>
      <c r="T2282" s="144"/>
      <c r="U2282" s="145" t="str">
        <f>VLOOKUP(H2282,Stock_list!A:N,14,FALSE)</f>
        <v>SEP 20</v>
      </c>
    </row>
    <row r="2283" spans="1:21" ht="16.5" customHeight="1">
      <c r="A2283" s="159" t="s">
        <v>2921</v>
      </c>
      <c r="B2283" s="114" t="e">
        <f>VLOOKUP(A2283,'Data pick slip'!B:F,5,FALSE)</f>
        <v>#N/A</v>
      </c>
      <c r="F2283" s="157" t="s">
        <v>2773</v>
      </c>
      <c r="H2283" s="138">
        <v>798</v>
      </c>
      <c r="I2283" s="139" t="str">
        <f>VLOOKUP(H2283,Stock_list!A:R,18,FALSE)</f>
        <v>奕东</v>
      </c>
      <c r="J2283" s="139" t="str">
        <f>VLOOKUP(H2283,Stock_list!A:S,17,FALSE)</f>
        <v>C49SZX20200141SX</v>
      </c>
      <c r="K2283" s="51" t="str">
        <f>VLOOKUP(H2283,Stock_list!A:T,16,FALSE)</f>
        <v>RMB</v>
      </c>
      <c r="L2283" s="4">
        <v>44160</v>
      </c>
      <c r="M2283" s="140">
        <v>8</v>
      </c>
      <c r="P2283" s="4" t="str">
        <f>VLOOKUP(H2283,Stock_list!A:Y,25,FALSE)</f>
        <v>Yes</v>
      </c>
      <c r="Q2283" s="133"/>
      <c r="T2283" s="144"/>
      <c r="U2283" s="145" t="str">
        <f>VLOOKUP(H2283,Stock_list!A:N,14,FALSE)</f>
        <v>SEP 20</v>
      </c>
    </row>
    <row r="2284" spans="1:21" ht="16.5" customHeight="1">
      <c r="A2284" s="159" t="s">
        <v>2744</v>
      </c>
      <c r="B2284" s="114" t="str">
        <f>VLOOKUP(A2284,'Data pick slip'!B:F,5,FALSE)</f>
        <v>KHJ-MC100-00</v>
      </c>
      <c r="F2284" s="157" t="s">
        <v>2861</v>
      </c>
      <c r="H2284" s="138">
        <v>802</v>
      </c>
      <c r="I2284" s="139" t="str">
        <f>VLOOKUP(H2284,Stock_list!A:R,18,FALSE)</f>
        <v>方案集</v>
      </c>
      <c r="J2284" s="139" t="str">
        <f>VLOOKUP(H2284,Stock_list!A:S,17,FALSE)</f>
        <v>C49SZX20200135DZ</v>
      </c>
      <c r="K2284" s="51" t="str">
        <f>VLOOKUP(H2284,Stock_list!A:T,16,FALSE)</f>
        <v>JPY</v>
      </c>
      <c r="L2284" s="4">
        <v>44127</v>
      </c>
      <c r="M2284" s="132">
        <v>50</v>
      </c>
      <c r="P2284" s="4" t="str">
        <f>VLOOKUP(H2284,Stock_list!A:Y,25,FALSE)</f>
        <v>Yes</v>
      </c>
      <c r="Q2284" s="133"/>
      <c r="T2284" s="144"/>
      <c r="U2284" s="145" t="str">
        <f>VLOOKUP(H2284,Stock_list!A:N,14,FALSE)</f>
        <v>OCT 20</v>
      </c>
    </row>
    <row r="2285" spans="1:21" ht="16.5" customHeight="1">
      <c r="A2285" s="159" t="s">
        <v>2747</v>
      </c>
      <c r="B2285" s="114" t="str">
        <f>VLOOKUP(A2285,'Data pick slip'!B:F,5,FALSE)</f>
        <v>KHJ-MC200-00</v>
      </c>
      <c r="F2285" s="157" t="s">
        <v>2861</v>
      </c>
      <c r="H2285" s="138">
        <v>802</v>
      </c>
      <c r="I2285" s="139" t="str">
        <f>VLOOKUP(H2285,Stock_list!A:R,18,FALSE)</f>
        <v>方案集</v>
      </c>
      <c r="J2285" s="139" t="str">
        <f>VLOOKUP(H2285,Stock_list!A:S,17,FALSE)</f>
        <v>C49SZX20200135DZ</v>
      </c>
      <c r="K2285" s="51" t="str">
        <f>VLOOKUP(H2285,Stock_list!A:T,16,FALSE)</f>
        <v>JPY</v>
      </c>
      <c r="L2285" s="4">
        <v>44127</v>
      </c>
      <c r="M2285" s="132">
        <v>35</v>
      </c>
      <c r="P2285" s="4" t="str">
        <f>VLOOKUP(H2285,Stock_list!A:Y,25,FALSE)</f>
        <v>Yes</v>
      </c>
      <c r="Q2285" s="133"/>
      <c r="T2285" s="144"/>
      <c r="U2285" s="145" t="str">
        <f>VLOOKUP(H2285,Stock_list!A:N,14,FALSE)</f>
        <v>OCT 20</v>
      </c>
    </row>
    <row r="2286" spans="1:21" ht="16.5" customHeight="1">
      <c r="A2286" s="159" t="s">
        <v>2748</v>
      </c>
      <c r="B2286" s="114" t="str">
        <f>VLOOKUP(A2286,'Data pick slip'!B:F,5,FALSE)</f>
        <v>KHJ-MC400-00</v>
      </c>
      <c r="F2286" s="157" t="s">
        <v>2861</v>
      </c>
      <c r="H2286" s="138">
        <v>802</v>
      </c>
      <c r="I2286" s="139" t="str">
        <f>VLOOKUP(H2286,Stock_list!A:R,18,FALSE)</f>
        <v>方案集</v>
      </c>
      <c r="J2286" s="139" t="str">
        <f>VLOOKUP(H2286,Stock_list!A:S,17,FALSE)</f>
        <v>C49SZX20200135DZ</v>
      </c>
      <c r="K2286" s="51" t="str">
        <f>VLOOKUP(H2286,Stock_list!A:T,16,FALSE)</f>
        <v>JPY</v>
      </c>
      <c r="L2286" s="4">
        <v>44127</v>
      </c>
      <c r="M2286" s="132">
        <v>6</v>
      </c>
      <c r="P2286" s="4" t="str">
        <f>VLOOKUP(H2286,Stock_list!A:Y,25,FALSE)</f>
        <v>Yes</v>
      </c>
      <c r="Q2286" s="133"/>
      <c r="T2286" s="144"/>
      <c r="U2286" s="145" t="str">
        <f>VLOOKUP(H2286,Stock_list!A:N,14,FALSE)</f>
        <v>OCT 20</v>
      </c>
    </row>
    <row r="2287" spans="1:21" ht="16.5" customHeight="1">
      <c r="A2287" s="159" t="s">
        <v>2748</v>
      </c>
      <c r="B2287" s="114" t="str">
        <f>VLOOKUP(A2287,'Data pick slip'!B:F,5,FALSE)</f>
        <v>KHJ-MC400-00</v>
      </c>
      <c r="F2287" s="157" t="s">
        <v>2773</v>
      </c>
      <c r="I2287" s="139" t="s">
        <v>3093</v>
      </c>
      <c r="J2287" s="139" t="s">
        <v>3340</v>
      </c>
      <c r="K2287" s="51" t="s">
        <v>1246</v>
      </c>
      <c r="L2287" s="4">
        <v>44076</v>
      </c>
      <c r="M2287" s="140">
        <v>4</v>
      </c>
      <c r="P2287" s="4" t="s">
        <v>291</v>
      </c>
      <c r="Q2287" s="143"/>
      <c r="T2287" s="144"/>
      <c r="U2287" s="145" t="e">
        <f>VLOOKUP(H2287,Stock_list!A:N,14,FALSE)</f>
        <v>#N/A</v>
      </c>
    </row>
    <row r="2288" spans="1:21" ht="16.5" customHeight="1">
      <c r="A2288" s="159" t="s">
        <v>2747</v>
      </c>
      <c r="B2288" s="114" t="str">
        <f>VLOOKUP(A2288,'Data pick slip'!B:F,5,FALSE)</f>
        <v>KHJ-MC200-00</v>
      </c>
      <c r="F2288" s="157" t="s">
        <v>2773</v>
      </c>
      <c r="H2288" s="138">
        <v>587</v>
      </c>
      <c r="I2288" s="139" t="str">
        <f>VLOOKUP(H2288,Stock_list!A:R,18,FALSE)</f>
        <v>正创</v>
      </c>
      <c r="J2288" s="139" t="str">
        <f>VLOOKUP(H2288,Stock_list!A:S,17,FALSE)</f>
        <v>C49SZX20200020SS</v>
      </c>
      <c r="K2288" s="51" t="str">
        <f>VLOOKUP(H2288,Stock_list!A:T,16,FALSE)</f>
        <v>JPY</v>
      </c>
      <c r="L2288" s="4">
        <v>44058</v>
      </c>
      <c r="M2288" s="140">
        <v>1</v>
      </c>
      <c r="P2288" s="4" t="str">
        <f>VLOOKUP(H2288,Stock_list!A:Y,25,FALSE)</f>
        <v>Yes</v>
      </c>
      <c r="Q2288" s="143"/>
      <c r="S2288" s="123" t="s">
        <v>3003</v>
      </c>
      <c r="T2288" s="144" t="s">
        <v>3341</v>
      </c>
      <c r="U2288" s="145" t="str">
        <f>VLOOKUP(H2288,Stock_list!A:N,14,FALSE)</f>
        <v>MAR 20</v>
      </c>
    </row>
    <row r="2289" spans="1:21" ht="16.5" customHeight="1">
      <c r="A2289" s="159" t="s">
        <v>2744</v>
      </c>
      <c r="B2289" s="114" t="str">
        <f>VLOOKUP(A2289,'Data pick slip'!B:F,5,FALSE)</f>
        <v>KHJ-MC100-00</v>
      </c>
      <c r="F2289" s="157" t="s">
        <v>2861</v>
      </c>
      <c r="H2289" s="138">
        <v>803</v>
      </c>
      <c r="I2289" s="139" t="str">
        <f>VLOOKUP(H2289,Stock_list!A:R,18,FALSE)</f>
        <v>博睿通（end user：锂动力）</v>
      </c>
      <c r="J2289" s="139" t="str">
        <f>VLOOKUP(H2289,Stock_list!A:S,17,FALSE)</f>
        <v>C49SZX20200150SS</v>
      </c>
      <c r="K2289" s="51" t="str">
        <f>VLOOKUP(H2289,Stock_list!A:T,16,FALSE)</f>
        <v>JPY</v>
      </c>
      <c r="L2289" s="4">
        <v>44146</v>
      </c>
      <c r="M2289" s="132">
        <v>34</v>
      </c>
      <c r="P2289" s="4" t="str">
        <f>VLOOKUP(H2289,Stock_list!A:Y,25,FALSE)</f>
        <v>Yes</v>
      </c>
      <c r="Q2289" s="143"/>
      <c r="T2289" s="144"/>
      <c r="U2289" s="145" t="str">
        <f>VLOOKUP(H2289,Stock_list!A:N,14,FALSE)</f>
        <v>NOV 20</v>
      </c>
    </row>
    <row r="2290" spans="1:21" ht="16.5" customHeight="1">
      <c r="A2290" s="159" t="s">
        <v>2747</v>
      </c>
      <c r="B2290" s="114" t="str">
        <f>VLOOKUP(A2290,'Data pick slip'!B:F,5,FALSE)</f>
        <v>KHJ-MC200-00</v>
      </c>
      <c r="F2290" s="157" t="s">
        <v>2861</v>
      </c>
      <c r="H2290" s="138">
        <v>803</v>
      </c>
      <c r="I2290" s="139" t="str">
        <f>VLOOKUP(H2290,Stock_list!A:R,18,FALSE)</f>
        <v>博睿通（end user：锂动力）</v>
      </c>
      <c r="J2290" s="139" t="str">
        <f>VLOOKUP(H2290,Stock_list!A:S,17,FALSE)</f>
        <v>C49SZX20200150SS</v>
      </c>
      <c r="K2290" s="51" t="str">
        <f>VLOOKUP(H2290,Stock_list!A:T,16,FALSE)</f>
        <v>JPY</v>
      </c>
      <c r="L2290" s="4">
        <v>44146</v>
      </c>
      <c r="M2290" s="132">
        <v>8</v>
      </c>
      <c r="P2290" s="4" t="str">
        <f>VLOOKUP(H2290,Stock_list!A:Y,25,FALSE)</f>
        <v>Yes</v>
      </c>
      <c r="Q2290" s="143"/>
      <c r="T2290" s="144"/>
      <c r="U2290" s="145" t="str">
        <f>VLOOKUP(H2290,Stock_list!A:N,14,FALSE)</f>
        <v>NOV 20</v>
      </c>
    </row>
    <row r="2291" spans="1:21" ht="16.5" customHeight="1">
      <c r="A2291" s="159" t="s">
        <v>2744</v>
      </c>
      <c r="B2291" s="114" t="str">
        <f>VLOOKUP(A2291,'Data pick slip'!B:F,5,FALSE)</f>
        <v>KHJ-MC100-00</v>
      </c>
      <c r="F2291" s="157" t="s">
        <v>2773</v>
      </c>
      <c r="H2291" s="138">
        <v>805</v>
      </c>
      <c r="I2291" s="139" t="str">
        <f>VLOOKUP(H2291,Stock_list!A:R,18,FALSE)</f>
        <v>芯联鑫</v>
      </c>
      <c r="J2291" s="139" t="str">
        <f>VLOOKUP(H2291,Stock_list!A:S,17,FALSE)</f>
        <v>C49SZX20200148JYR1</v>
      </c>
      <c r="K2291" s="51" t="str">
        <f>VLOOKUP(H2291,Stock_list!A:T,16,FALSE)</f>
        <v>RMB</v>
      </c>
      <c r="L2291" s="4">
        <v>44078</v>
      </c>
      <c r="M2291" s="140">
        <v>50</v>
      </c>
      <c r="P2291" s="4" t="str">
        <f>VLOOKUP(H2291,Stock_list!A:Y,25,FALSE)</f>
        <v>Yes</v>
      </c>
      <c r="Q2291" s="143"/>
      <c r="T2291" s="144"/>
      <c r="U2291" s="145" t="str">
        <f>VLOOKUP(H2291,Stock_list!A:N,14,FALSE)</f>
        <v>OCT 20</v>
      </c>
    </row>
    <row r="2292" spans="1:21" ht="16.5" customHeight="1">
      <c r="A2292" s="159" t="s">
        <v>2744</v>
      </c>
      <c r="B2292" s="114" t="str">
        <f>VLOOKUP(A2292,'Data pick slip'!B:F,5,FALSE)</f>
        <v>KHJ-MC100-00</v>
      </c>
      <c r="F2292" s="157" t="s">
        <v>2773</v>
      </c>
      <c r="H2292" s="138">
        <v>805</v>
      </c>
      <c r="I2292" s="139" t="str">
        <f>VLOOKUP(H2292,Stock_list!A:R,18,FALSE)</f>
        <v>芯联鑫</v>
      </c>
      <c r="J2292" s="139" t="str">
        <f>VLOOKUP(H2292,Stock_list!A:S,17,FALSE)</f>
        <v>C49SZX20200148JYR1</v>
      </c>
      <c r="K2292" s="51" t="str">
        <f>VLOOKUP(H2292,Stock_list!A:T,16,FALSE)</f>
        <v>RMB</v>
      </c>
      <c r="L2292" s="4">
        <v>44134</v>
      </c>
      <c r="M2292" s="132">
        <v>30</v>
      </c>
      <c r="P2292" s="4" t="str">
        <f>VLOOKUP(H2292,Stock_list!A:Y,25,FALSE)</f>
        <v>Yes</v>
      </c>
      <c r="Q2292" s="143"/>
      <c r="T2292" s="144"/>
      <c r="U2292" s="145" t="str">
        <f>VLOOKUP(H2292,Stock_list!A:N,14,FALSE)</f>
        <v>OCT 20</v>
      </c>
    </row>
    <row r="2293" spans="1:21" ht="16.5" customHeight="1">
      <c r="A2293" s="159" t="s">
        <v>2747</v>
      </c>
      <c r="B2293" s="114" t="str">
        <f>VLOOKUP(A2293,'Data pick slip'!B:F,5,FALSE)</f>
        <v>KHJ-MC200-00</v>
      </c>
      <c r="F2293" s="157" t="s">
        <v>2773</v>
      </c>
      <c r="H2293" s="138">
        <v>805</v>
      </c>
      <c r="I2293" s="139" t="str">
        <f>VLOOKUP(H2293,Stock_list!A:R,18,FALSE)</f>
        <v>芯联鑫</v>
      </c>
      <c r="J2293" s="139" t="str">
        <f>VLOOKUP(H2293,Stock_list!A:S,17,FALSE)</f>
        <v>C49SZX20200148JYR1</v>
      </c>
      <c r="K2293" s="51" t="str">
        <f>VLOOKUP(H2293,Stock_list!A:T,16,FALSE)</f>
        <v>RMB</v>
      </c>
      <c r="L2293" s="4">
        <v>44134</v>
      </c>
      <c r="M2293" s="132">
        <v>10</v>
      </c>
      <c r="P2293" s="4" t="str">
        <f>VLOOKUP(H2293,Stock_list!A:Y,25,FALSE)</f>
        <v>Yes</v>
      </c>
      <c r="Q2293" s="143"/>
      <c r="T2293" s="144"/>
      <c r="U2293" s="145" t="str">
        <f>VLOOKUP(H2293,Stock_list!A:N,14,FALSE)</f>
        <v>OCT 20</v>
      </c>
    </row>
    <row r="2294" spans="1:21" ht="16.5" customHeight="1">
      <c r="A2294" s="159" t="s">
        <v>2748</v>
      </c>
      <c r="B2294" s="114" t="str">
        <f>VLOOKUP(A2294,'Data pick slip'!B:F,5,FALSE)</f>
        <v>KHJ-MC400-00</v>
      </c>
      <c r="F2294" s="157" t="s">
        <v>2773</v>
      </c>
      <c r="H2294" s="138">
        <v>805</v>
      </c>
      <c r="I2294" s="139" t="str">
        <f>VLOOKUP(H2294,Stock_list!A:R,18,FALSE)</f>
        <v>芯联鑫</v>
      </c>
      <c r="J2294" s="139" t="str">
        <f>VLOOKUP(H2294,Stock_list!A:S,17,FALSE)</f>
        <v>C49SZX20200148JYR1</v>
      </c>
      <c r="K2294" s="51" t="str">
        <f>VLOOKUP(H2294,Stock_list!A:T,16,FALSE)</f>
        <v>RMB</v>
      </c>
      <c r="L2294" s="4">
        <v>44078</v>
      </c>
      <c r="M2294" s="140">
        <v>4</v>
      </c>
      <c r="P2294" s="4" t="str">
        <f>VLOOKUP(H2294,Stock_list!A:Y,25,FALSE)</f>
        <v>Yes</v>
      </c>
      <c r="Q2294" s="143"/>
      <c r="T2294" s="144"/>
      <c r="U2294" s="145" t="str">
        <f>VLOOKUP(H2294,Stock_list!A:N,14,FALSE)</f>
        <v>OCT 20</v>
      </c>
    </row>
    <row r="2295" spans="1:21" ht="16.5" customHeight="1">
      <c r="A2295" s="159" t="s">
        <v>2749</v>
      </c>
      <c r="B2295" s="114" t="str">
        <f>VLOOKUP(A2295,'Data pick slip'!B:F,5,FALSE)</f>
        <v>KHJ-MC500-00</v>
      </c>
      <c r="F2295" s="157" t="s">
        <v>2773</v>
      </c>
      <c r="H2295" s="138">
        <v>805</v>
      </c>
      <c r="I2295" s="139" t="str">
        <f>VLOOKUP(H2295,Stock_list!A:R,18,FALSE)</f>
        <v>芯联鑫</v>
      </c>
      <c r="J2295" s="139" t="str">
        <f>VLOOKUP(H2295,Stock_list!A:S,17,FALSE)</f>
        <v>C49SZX20200148JYR1</v>
      </c>
      <c r="K2295" s="51" t="str">
        <f>VLOOKUP(H2295,Stock_list!A:T,16,FALSE)</f>
        <v>RMB</v>
      </c>
      <c r="L2295" s="4">
        <v>44134</v>
      </c>
      <c r="M2295" s="132">
        <v>1</v>
      </c>
      <c r="P2295" s="4" t="str">
        <f>VLOOKUP(H2295,Stock_list!A:Y,25,FALSE)</f>
        <v>Yes</v>
      </c>
      <c r="Q2295" s="143"/>
      <c r="T2295" s="144"/>
      <c r="U2295" s="145" t="str">
        <f>VLOOKUP(H2295,Stock_list!A:N,14,FALSE)</f>
        <v>OCT 20</v>
      </c>
    </row>
    <row r="2296" spans="1:21" ht="16.5" customHeight="1">
      <c r="A2296" s="159" t="s">
        <v>2750</v>
      </c>
      <c r="B2296" s="114" t="str">
        <f>VLOOKUP(A2296,'Data pick slip'!B:F,5,FALSE)</f>
        <v>KHJ-MC600-00</v>
      </c>
      <c r="F2296" s="157" t="s">
        <v>2773</v>
      </c>
      <c r="H2296" s="138">
        <v>805</v>
      </c>
      <c r="I2296" s="139" t="str">
        <f>VLOOKUP(H2296,Stock_list!A:R,18,FALSE)</f>
        <v>芯联鑫</v>
      </c>
      <c r="J2296" s="139" t="str">
        <f>VLOOKUP(H2296,Stock_list!A:S,17,FALSE)</f>
        <v>C49SZX20200148JYR1</v>
      </c>
      <c r="K2296" s="51" t="str">
        <f>VLOOKUP(H2296,Stock_list!A:T,16,FALSE)</f>
        <v>RMB</v>
      </c>
      <c r="L2296" s="4">
        <v>44134</v>
      </c>
      <c r="M2296" s="132">
        <v>1</v>
      </c>
      <c r="P2296" s="4" t="str">
        <f>VLOOKUP(H2296,Stock_list!A:Y,25,FALSE)</f>
        <v>Yes</v>
      </c>
      <c r="Q2296" s="143"/>
      <c r="T2296" s="144"/>
      <c r="U2296" s="145" t="str">
        <f>VLOOKUP(H2296,Stock_list!A:N,14,FALSE)</f>
        <v>OCT 20</v>
      </c>
    </row>
    <row r="2297" spans="1:21" ht="16.5" customHeight="1">
      <c r="A2297" s="159" t="s">
        <v>2744</v>
      </c>
      <c r="B2297" s="114" t="str">
        <f>VLOOKUP(A2297,'Data pick slip'!B:F,5,FALSE)</f>
        <v>KHJ-MC100-00</v>
      </c>
      <c r="F2297" s="157" t="s">
        <v>2861</v>
      </c>
      <c r="I2297" s="139" t="s">
        <v>3015</v>
      </c>
      <c r="J2297" s="139" t="s">
        <v>3342</v>
      </c>
      <c r="K2297" s="51" t="s">
        <v>1246</v>
      </c>
      <c r="L2297" s="4">
        <v>44075</v>
      </c>
      <c r="M2297" s="140">
        <v>150</v>
      </c>
      <c r="P2297" s="4" t="s">
        <v>291</v>
      </c>
      <c r="Q2297" s="143"/>
      <c r="T2297" s="144"/>
      <c r="U2297" s="145" t="e">
        <f>VLOOKUP(H2297,Stock_list!A:N,14,FALSE)</f>
        <v>#N/A</v>
      </c>
    </row>
    <row r="2298" spans="1:21" ht="16.5" customHeight="1">
      <c r="A2298" s="159" t="s">
        <v>2747</v>
      </c>
      <c r="B2298" s="114" t="str">
        <f>VLOOKUP(A2298,'Data pick slip'!B:F,5,FALSE)</f>
        <v>KHJ-MC200-00</v>
      </c>
      <c r="F2298" s="157" t="s">
        <v>2861</v>
      </c>
      <c r="I2298" s="139" t="s">
        <v>3015</v>
      </c>
      <c r="J2298" s="139" t="s">
        <v>3342</v>
      </c>
      <c r="K2298" s="51" t="s">
        <v>1246</v>
      </c>
      <c r="L2298" s="4">
        <v>44075</v>
      </c>
      <c r="M2298" s="140">
        <v>30</v>
      </c>
      <c r="P2298" s="4" t="s">
        <v>291</v>
      </c>
      <c r="Q2298" s="143"/>
      <c r="T2298" s="144"/>
      <c r="U2298" s="145" t="e">
        <f>VLOOKUP(H2298,Stock_list!A:N,14,FALSE)</f>
        <v>#N/A</v>
      </c>
    </row>
    <row r="2299" spans="1:21" ht="16.5" customHeight="1">
      <c r="A2299" s="159" t="s">
        <v>2748</v>
      </c>
      <c r="B2299" s="114" t="str">
        <f>VLOOKUP(A2299,'Data pick slip'!B:F,5,FALSE)</f>
        <v>KHJ-MC400-00</v>
      </c>
      <c r="F2299" s="157" t="s">
        <v>2861</v>
      </c>
      <c r="I2299" s="139" t="s">
        <v>3015</v>
      </c>
      <c r="J2299" s="139" t="s">
        <v>3342</v>
      </c>
      <c r="K2299" s="51" t="s">
        <v>1246</v>
      </c>
      <c r="L2299" s="4">
        <v>44075</v>
      </c>
      <c r="M2299" s="140">
        <v>10</v>
      </c>
      <c r="P2299" s="4" t="s">
        <v>291</v>
      </c>
      <c r="Q2299" s="143"/>
      <c r="T2299" s="144"/>
      <c r="U2299" s="145" t="e">
        <f>VLOOKUP(H2299,Stock_list!A:N,14,FALSE)</f>
        <v>#N/A</v>
      </c>
    </row>
    <row r="2300" spans="1:21" ht="16.5" customHeight="1">
      <c r="A2300" s="159" t="s">
        <v>2749</v>
      </c>
      <c r="B2300" s="114" t="str">
        <f>VLOOKUP(A2300,'Data pick slip'!B:F,5,FALSE)</f>
        <v>KHJ-MC500-00</v>
      </c>
      <c r="F2300" s="157" t="s">
        <v>2861</v>
      </c>
      <c r="I2300" s="139" t="s">
        <v>3015</v>
      </c>
      <c r="J2300" s="139" t="s">
        <v>3342</v>
      </c>
      <c r="K2300" s="51" t="s">
        <v>1246</v>
      </c>
      <c r="L2300" s="4">
        <v>44075</v>
      </c>
      <c r="M2300" s="140">
        <v>12</v>
      </c>
      <c r="P2300" s="4" t="s">
        <v>291</v>
      </c>
      <c r="Q2300" s="143"/>
      <c r="T2300" s="144"/>
      <c r="U2300" s="145" t="e">
        <f>VLOOKUP(H2300,Stock_list!A:N,14,FALSE)</f>
        <v>#N/A</v>
      </c>
    </row>
    <row r="2301" spans="1:21" ht="16.5" customHeight="1">
      <c r="A2301" s="159" t="s">
        <v>2750</v>
      </c>
      <c r="B2301" s="114" t="str">
        <f>VLOOKUP(A2301,'Data pick slip'!B:F,5,FALSE)</f>
        <v>KHJ-MC600-00</v>
      </c>
      <c r="F2301" s="157" t="s">
        <v>2861</v>
      </c>
      <c r="I2301" s="139" t="s">
        <v>3015</v>
      </c>
      <c r="J2301" s="139" t="s">
        <v>3342</v>
      </c>
      <c r="K2301" s="51" t="s">
        <v>1246</v>
      </c>
      <c r="L2301" s="4">
        <v>44075</v>
      </c>
      <c r="M2301" s="140">
        <v>2</v>
      </c>
      <c r="P2301" s="4" t="s">
        <v>291</v>
      </c>
      <c r="Q2301" s="143"/>
      <c r="T2301" s="144"/>
      <c r="U2301" s="145" t="e">
        <f>VLOOKUP(H2301,Stock_list!A:N,14,FALSE)</f>
        <v>#N/A</v>
      </c>
    </row>
    <row r="2302" spans="1:21" ht="16.5" customHeight="1">
      <c r="A2302" s="159" t="s">
        <v>2744</v>
      </c>
      <c r="B2302" s="114" t="str">
        <f>VLOOKUP(A2302,'Data pick slip'!B:F,5,FALSE)</f>
        <v>KHJ-MC100-00</v>
      </c>
      <c r="F2302" s="157" t="s">
        <v>2773</v>
      </c>
      <c r="I2302" s="139" t="s">
        <v>3093</v>
      </c>
      <c r="J2302" s="139" t="s">
        <v>3335</v>
      </c>
      <c r="K2302" s="51" t="s">
        <v>1246</v>
      </c>
      <c r="L2302" s="4">
        <v>44082</v>
      </c>
      <c r="M2302" s="140">
        <v>50</v>
      </c>
      <c r="P2302" s="4" t="s">
        <v>291</v>
      </c>
      <c r="Q2302" s="143"/>
      <c r="T2302" s="144"/>
      <c r="U2302" s="145" t="e">
        <f>VLOOKUP(H2302,Stock_list!A:N,14,FALSE)</f>
        <v>#N/A</v>
      </c>
    </row>
    <row r="2303" spans="1:21" ht="16.5" customHeight="1">
      <c r="A2303" s="159" t="s">
        <v>2744</v>
      </c>
      <c r="B2303" s="114" t="str">
        <f>VLOOKUP(A2303,'Data pick slip'!B:F,5,FALSE)</f>
        <v>KHJ-MC100-00</v>
      </c>
      <c r="F2303" s="157" t="s">
        <v>2861</v>
      </c>
      <c r="H2303" s="138">
        <v>811</v>
      </c>
      <c r="I2303" s="139" t="str">
        <f>VLOOKUP(H2303,Stock_list!A:R,18,FALSE)</f>
        <v>力通威</v>
      </c>
      <c r="J2303" s="139" t="str">
        <f>VLOOKUP(H2303,Stock_list!A:S,17,FALSE)</f>
        <v>C49SZX20200129JL</v>
      </c>
      <c r="K2303" s="51" t="str">
        <f>VLOOKUP(H2303,Stock_list!A:T,16,FALSE)</f>
        <v>JPY</v>
      </c>
      <c r="L2303" s="4">
        <v>44159</v>
      </c>
      <c r="M2303" s="132">
        <v>85</v>
      </c>
      <c r="P2303" s="4" t="str">
        <f>VLOOKUP(H2303,Stock_list!A:Y,25,FALSE)</f>
        <v>Yes</v>
      </c>
      <c r="Q2303" s="143"/>
      <c r="T2303" s="144"/>
      <c r="U2303" s="145" t="str">
        <f>VLOOKUP(H2303,Stock_list!A:N,14,FALSE)</f>
        <v>NOV 20</v>
      </c>
    </row>
    <row r="2304" spans="1:21" ht="16.5" customHeight="1">
      <c r="A2304" s="159" t="s">
        <v>2747</v>
      </c>
      <c r="B2304" s="114" t="str">
        <f>VLOOKUP(A2304,'Data pick slip'!B:F,5,FALSE)</f>
        <v>KHJ-MC200-00</v>
      </c>
      <c r="F2304" s="157" t="s">
        <v>2861</v>
      </c>
      <c r="H2304" s="138">
        <v>811</v>
      </c>
      <c r="I2304" s="139" t="str">
        <f>VLOOKUP(H2304,Stock_list!A:R,18,FALSE)</f>
        <v>力通威</v>
      </c>
      <c r="J2304" s="139" t="str">
        <f>VLOOKUP(H2304,Stock_list!A:S,17,FALSE)</f>
        <v>C49SZX20200129JL</v>
      </c>
      <c r="K2304" s="51" t="str">
        <f>VLOOKUP(H2304,Stock_list!A:T,16,FALSE)</f>
        <v>JPY</v>
      </c>
      <c r="L2304" s="4">
        <v>44159</v>
      </c>
      <c r="M2304" s="132">
        <v>23</v>
      </c>
      <c r="P2304" s="4" t="str">
        <f>VLOOKUP(H2304,Stock_list!A:Y,25,FALSE)</f>
        <v>Yes</v>
      </c>
      <c r="Q2304" s="143"/>
      <c r="T2304" s="144"/>
      <c r="U2304" s="145" t="str">
        <f>VLOOKUP(H2304,Stock_list!A:N,14,FALSE)</f>
        <v>NOV 20</v>
      </c>
    </row>
    <row r="2305" spans="1:21" ht="16.5" customHeight="1">
      <c r="A2305" s="159" t="s">
        <v>2748</v>
      </c>
      <c r="B2305" s="114" t="str">
        <f>VLOOKUP(A2305,'Data pick slip'!B:F,5,FALSE)</f>
        <v>KHJ-MC400-00</v>
      </c>
      <c r="F2305" s="157" t="s">
        <v>2861</v>
      </c>
      <c r="H2305" s="138">
        <v>811</v>
      </c>
      <c r="I2305" s="139" t="str">
        <f>VLOOKUP(H2305,Stock_list!A:R,18,FALSE)</f>
        <v>力通威</v>
      </c>
      <c r="J2305" s="139" t="str">
        <f>VLOOKUP(H2305,Stock_list!A:S,17,FALSE)</f>
        <v>C49SZX20200129JL</v>
      </c>
      <c r="K2305" s="51" t="str">
        <f>VLOOKUP(H2305,Stock_list!A:T,16,FALSE)</f>
        <v>JPY</v>
      </c>
      <c r="L2305" s="4">
        <v>44159</v>
      </c>
      <c r="M2305" s="132">
        <v>3</v>
      </c>
      <c r="P2305" s="4" t="str">
        <f>VLOOKUP(H2305,Stock_list!A:Y,25,FALSE)</f>
        <v>Yes</v>
      </c>
      <c r="Q2305" s="143"/>
      <c r="T2305" s="144"/>
      <c r="U2305" s="145" t="str">
        <f>VLOOKUP(H2305,Stock_list!A:N,14,FALSE)</f>
        <v>NOV 20</v>
      </c>
    </row>
    <row r="2306" spans="1:21" ht="16.5" customHeight="1">
      <c r="A2306" s="159" t="s">
        <v>2748</v>
      </c>
      <c r="B2306" s="114" t="str">
        <f>VLOOKUP(A2306,'Data pick slip'!B:F,5,FALSE)</f>
        <v>KHJ-MC400-00</v>
      </c>
      <c r="F2306" s="157" t="s">
        <v>2773</v>
      </c>
      <c r="H2306" s="138">
        <v>789</v>
      </c>
      <c r="I2306" s="139" t="str">
        <f>VLOOKUP(H2306,Stock_list!A:R,18,FALSE)</f>
        <v>通通旺</v>
      </c>
      <c r="J2306" s="139" t="str">
        <f>VLOOKUP(H2306,Stock_list!A:S,17,FALSE)</f>
        <v>C49SZX20200133JL</v>
      </c>
      <c r="K2306" s="51" t="str">
        <f>VLOOKUP(H2306,Stock_list!A:T,16,FALSE)</f>
        <v>RMB</v>
      </c>
      <c r="L2306" s="4">
        <v>44145</v>
      </c>
      <c r="M2306" s="132">
        <v>1</v>
      </c>
      <c r="P2306" s="4" t="str">
        <f>VLOOKUP(H2306,Stock_list!A:Y,25,FALSE)</f>
        <v>Yes</v>
      </c>
      <c r="Q2306" s="143"/>
      <c r="T2306" s="144"/>
      <c r="U2306" s="145" t="str">
        <f>VLOOKUP(H2306,Stock_list!A:N,14,FALSE)</f>
        <v>NOV 20</v>
      </c>
    </row>
    <row r="2307" spans="1:21" ht="16.5" customHeight="1">
      <c r="A2307" s="159" t="s">
        <v>2744</v>
      </c>
      <c r="B2307" s="114" t="str">
        <f>VLOOKUP(A2307,'Data pick slip'!B:F,5,FALSE)</f>
        <v>KHJ-MC100-00</v>
      </c>
      <c r="F2307" s="157" t="s">
        <v>2773</v>
      </c>
      <c r="H2307" s="138">
        <v>827</v>
      </c>
      <c r="I2307" s="139" t="str">
        <f>VLOOKUP(H2307,Stock_list!A:R,18,FALSE)</f>
        <v>旭晟</v>
      </c>
      <c r="J2307" s="139" t="str">
        <f>VLOOKUP(H2307,Stock_list!A:S,17,FALSE)</f>
        <v>C49SZX20200152SX</v>
      </c>
      <c r="K2307" s="51" t="str">
        <f>VLOOKUP(H2307,Stock_list!A:T,16,FALSE)</f>
        <v>JPY</v>
      </c>
      <c r="L2307" s="4">
        <v>44102</v>
      </c>
      <c r="M2307" s="132"/>
      <c r="O2307" s="132">
        <f>40-40</f>
        <v>0</v>
      </c>
      <c r="P2307" s="4" t="str">
        <f>VLOOKUP(H2307,Stock_list!A:Y,25,FALSE)</f>
        <v>Yes</v>
      </c>
      <c r="Q2307" s="133"/>
      <c r="T2307" s="144"/>
      <c r="U2307" s="145" t="str">
        <f>VLOOKUP(H2307,Stock_list!A:N,14,FALSE)</f>
        <v>NOV 20</v>
      </c>
    </row>
    <row r="2308" spans="1:21" ht="16.5" customHeight="1">
      <c r="A2308" s="159" t="s">
        <v>2744</v>
      </c>
      <c r="B2308" s="114" t="str">
        <f>VLOOKUP(A2308,'Data pick slip'!B:F,5,FALSE)</f>
        <v>KHJ-MC100-00</v>
      </c>
      <c r="F2308" s="157" t="s">
        <v>2861</v>
      </c>
      <c r="H2308" s="138">
        <v>827</v>
      </c>
      <c r="I2308" s="139" t="str">
        <f>VLOOKUP(H2308,Stock_list!A:R,18,FALSE)</f>
        <v>旭晟</v>
      </c>
      <c r="J2308" s="139" t="str">
        <f>VLOOKUP(H2308,Stock_list!A:S,17,FALSE)</f>
        <v>C49SZX20200152SX</v>
      </c>
      <c r="K2308" s="51" t="str">
        <f>VLOOKUP(H2308,Stock_list!A:T,16,FALSE)</f>
        <v>JPY</v>
      </c>
      <c r="L2308" s="4">
        <v>44161</v>
      </c>
      <c r="M2308" s="132">
        <v>40</v>
      </c>
      <c r="P2308" s="4" t="str">
        <f>VLOOKUP(H2308,Stock_list!A:Y,25,FALSE)</f>
        <v>Yes</v>
      </c>
      <c r="Q2308" s="133"/>
      <c r="T2308" s="144"/>
      <c r="U2308" s="145" t="str">
        <f>VLOOKUP(H2308,Stock_list!A:N,14,FALSE)</f>
        <v>NOV 20</v>
      </c>
    </row>
    <row r="2309" spans="1:21" ht="16.5" customHeight="1">
      <c r="A2309" s="159" t="s">
        <v>2747</v>
      </c>
      <c r="B2309" s="114" t="str">
        <f>VLOOKUP(A2309,'Data pick slip'!B:F,5,FALSE)</f>
        <v>KHJ-MC200-00</v>
      </c>
      <c r="F2309" s="157" t="s">
        <v>2861</v>
      </c>
      <c r="H2309" s="138">
        <v>827</v>
      </c>
      <c r="I2309" s="139" t="str">
        <f>VLOOKUP(H2309,Stock_list!A:R,18,FALSE)</f>
        <v>旭晟</v>
      </c>
      <c r="J2309" s="139" t="str">
        <f>VLOOKUP(H2309,Stock_list!A:S,17,FALSE)</f>
        <v>C49SZX20200152SX</v>
      </c>
      <c r="K2309" s="51" t="str">
        <f>VLOOKUP(H2309,Stock_list!A:T,16,FALSE)</f>
        <v>JPY</v>
      </c>
      <c r="L2309" s="4">
        <v>44161</v>
      </c>
      <c r="M2309" s="132">
        <v>10</v>
      </c>
      <c r="P2309" s="4" t="str">
        <f>VLOOKUP(H2309,Stock_list!A:Y,25,FALSE)</f>
        <v>Yes</v>
      </c>
      <c r="Q2309" s="143"/>
      <c r="T2309" s="144"/>
      <c r="U2309" s="145" t="str">
        <f>VLOOKUP(H2309,Stock_list!A:N,14,FALSE)</f>
        <v>NOV 20</v>
      </c>
    </row>
    <row r="2310" spans="1:21" ht="16.5" customHeight="1">
      <c r="A2310" s="159" t="s">
        <v>2748</v>
      </c>
      <c r="B2310" s="114" t="str">
        <f>VLOOKUP(A2310,'Data pick slip'!B:F,5,FALSE)</f>
        <v>KHJ-MC400-00</v>
      </c>
      <c r="F2310" s="157" t="s">
        <v>2861</v>
      </c>
      <c r="H2310" s="138">
        <v>827</v>
      </c>
      <c r="I2310" s="139" t="str">
        <f>VLOOKUP(H2310,Stock_list!A:R,18,FALSE)</f>
        <v>旭晟</v>
      </c>
      <c r="J2310" s="139" t="str">
        <f>VLOOKUP(H2310,Stock_list!A:S,17,FALSE)</f>
        <v>C49SZX20200152SX</v>
      </c>
      <c r="K2310" s="51" t="str">
        <f>VLOOKUP(H2310,Stock_list!A:T,16,FALSE)</f>
        <v>JPY</v>
      </c>
      <c r="L2310" s="4">
        <v>44161</v>
      </c>
      <c r="M2310" s="132">
        <v>2</v>
      </c>
      <c r="P2310" s="4" t="str">
        <f>VLOOKUP(H2310,Stock_list!A:Y,25,FALSE)</f>
        <v>Yes</v>
      </c>
      <c r="Q2310" s="143"/>
      <c r="T2310" s="144"/>
      <c r="U2310" s="145" t="str">
        <f>VLOOKUP(H2310,Stock_list!A:N,14,FALSE)</f>
        <v>NOV 20</v>
      </c>
    </row>
    <row r="2311" spans="1:21" ht="16.5" customHeight="1">
      <c r="A2311" s="159" t="s">
        <v>2749</v>
      </c>
      <c r="B2311" s="114" t="str">
        <f>VLOOKUP(A2311,'Data pick slip'!B:F,5,FALSE)</f>
        <v>KHJ-MC500-00</v>
      </c>
      <c r="F2311" s="157" t="s">
        <v>2773</v>
      </c>
      <c r="I2311" s="139" t="s">
        <v>3099</v>
      </c>
      <c r="J2311" s="139" t="s">
        <v>3343</v>
      </c>
      <c r="K2311" s="51" t="s">
        <v>1246</v>
      </c>
      <c r="L2311" s="4">
        <v>44084</v>
      </c>
      <c r="M2311" s="132">
        <v>1</v>
      </c>
      <c r="P2311" s="4" t="s">
        <v>291</v>
      </c>
      <c r="Q2311" s="143"/>
      <c r="T2311" s="144"/>
      <c r="U2311" s="145" t="e">
        <f>VLOOKUP(H2311,Stock_list!A:N,14,FALSE)</f>
        <v>#N/A</v>
      </c>
    </row>
    <row r="2312" spans="1:21" ht="16.5" customHeight="1">
      <c r="A2312" s="159" t="s">
        <v>2750</v>
      </c>
      <c r="B2312" s="114" t="str">
        <f>VLOOKUP(A2312,'Data pick slip'!B:F,5,FALSE)</f>
        <v>KHJ-MC600-00</v>
      </c>
      <c r="F2312" s="157" t="s">
        <v>2773</v>
      </c>
      <c r="I2312" s="139" t="s">
        <v>3099</v>
      </c>
      <c r="J2312" s="139" t="s">
        <v>3344</v>
      </c>
      <c r="K2312" s="51" t="s">
        <v>1246</v>
      </c>
      <c r="L2312" s="4">
        <v>44084</v>
      </c>
      <c r="M2312" s="132">
        <v>1</v>
      </c>
      <c r="P2312" s="4" t="s">
        <v>291</v>
      </c>
      <c r="Q2312" s="143"/>
      <c r="T2312" s="144"/>
      <c r="U2312" s="145" t="e">
        <f>VLOOKUP(H2312,Stock_list!A:N,14,FALSE)</f>
        <v>#N/A</v>
      </c>
    </row>
    <row r="2313" spans="1:21" ht="16.5" customHeight="1">
      <c r="A2313" s="159" t="s">
        <v>2744</v>
      </c>
      <c r="B2313" s="114" t="str">
        <f>VLOOKUP(A2313,'Data pick slip'!B:F,5,FALSE)</f>
        <v>KHJ-MC100-00</v>
      </c>
      <c r="F2313" s="157" t="s">
        <v>2861</v>
      </c>
      <c r="H2313" s="138">
        <v>828</v>
      </c>
      <c r="I2313" s="139" t="str">
        <f>VLOOKUP(H2313,Stock_list!A:R,18,FALSE)</f>
        <v>力通威</v>
      </c>
      <c r="J2313" s="139" t="str">
        <f>VLOOKUP(H2313,Stock_list!A:S,17,FALSE)</f>
        <v>C49SZX20200160JL</v>
      </c>
      <c r="K2313" s="51" t="str">
        <f>VLOOKUP(H2313,Stock_list!A:T,16,FALSE)</f>
        <v>JPY</v>
      </c>
      <c r="L2313" s="4">
        <v>44159</v>
      </c>
      <c r="M2313" s="132">
        <v>38</v>
      </c>
      <c r="P2313" s="4" t="str">
        <f>VLOOKUP(H2313,Stock_list!A:Y,25,FALSE)</f>
        <v>Yes</v>
      </c>
      <c r="Q2313" s="133"/>
      <c r="T2313" s="144"/>
      <c r="U2313" s="145" t="str">
        <f>VLOOKUP(H2313,Stock_list!A:N,14,FALSE)</f>
        <v>NOV 20</v>
      </c>
    </row>
    <row r="2314" spans="1:21" ht="16.5" customHeight="1">
      <c r="A2314" s="159" t="s">
        <v>2747</v>
      </c>
      <c r="B2314" s="114" t="str">
        <f>VLOOKUP(A2314,'Data pick slip'!B:F,5,FALSE)</f>
        <v>KHJ-MC200-00</v>
      </c>
      <c r="F2314" s="157" t="s">
        <v>2861</v>
      </c>
      <c r="H2314" s="138">
        <v>828</v>
      </c>
      <c r="I2314" s="139" t="str">
        <f>VLOOKUP(H2314,Stock_list!A:R,18,FALSE)</f>
        <v>力通威</v>
      </c>
      <c r="J2314" s="139" t="str">
        <f>VLOOKUP(H2314,Stock_list!A:S,17,FALSE)</f>
        <v>C49SZX20200160JL</v>
      </c>
      <c r="K2314" s="51" t="str">
        <f>VLOOKUP(H2314,Stock_list!A:T,16,FALSE)</f>
        <v>JPY</v>
      </c>
      <c r="L2314" s="4">
        <v>44159</v>
      </c>
      <c r="M2314" s="132">
        <v>10</v>
      </c>
      <c r="P2314" s="4" t="str">
        <f>VLOOKUP(H2314,Stock_list!A:Y,25,FALSE)</f>
        <v>Yes</v>
      </c>
      <c r="Q2314" s="133"/>
      <c r="T2314" s="144"/>
      <c r="U2314" s="145" t="str">
        <f>VLOOKUP(H2314,Stock_list!A:N,14,FALSE)</f>
        <v>NOV 20</v>
      </c>
    </row>
    <row r="2315" spans="1:21" ht="16.5" customHeight="1">
      <c r="A2315" s="159" t="s">
        <v>2748</v>
      </c>
      <c r="B2315" s="114" t="str">
        <f>VLOOKUP(A2315,'Data pick slip'!B:F,5,FALSE)</f>
        <v>KHJ-MC400-00</v>
      </c>
      <c r="F2315" s="157" t="s">
        <v>2861</v>
      </c>
      <c r="H2315" s="138">
        <v>828</v>
      </c>
      <c r="I2315" s="139" t="str">
        <f>VLOOKUP(H2315,Stock_list!A:R,18,FALSE)</f>
        <v>力通威</v>
      </c>
      <c r="J2315" s="139" t="str">
        <f>VLOOKUP(H2315,Stock_list!A:S,17,FALSE)</f>
        <v>C49SZX20200160JL</v>
      </c>
      <c r="K2315" s="51" t="str">
        <f>VLOOKUP(H2315,Stock_list!A:T,16,FALSE)</f>
        <v>JPY</v>
      </c>
      <c r="L2315" s="4">
        <v>44159</v>
      </c>
      <c r="M2315" s="132">
        <v>1</v>
      </c>
      <c r="P2315" s="4" t="str">
        <f>VLOOKUP(H2315,Stock_list!A:Y,25,FALSE)</f>
        <v>Yes</v>
      </c>
      <c r="Q2315" s="133"/>
      <c r="T2315" s="144"/>
      <c r="U2315" s="145" t="str">
        <f>VLOOKUP(H2315,Stock_list!A:N,14,FALSE)</f>
        <v>NOV 20</v>
      </c>
    </row>
    <row r="2316" spans="1:21" ht="16.5" customHeight="1">
      <c r="A2316" s="159" t="s">
        <v>2749</v>
      </c>
      <c r="B2316" s="114" t="str">
        <f>VLOOKUP(A2316,'Data pick slip'!B:F,5,FALSE)</f>
        <v>KHJ-MC500-00</v>
      </c>
      <c r="F2316" s="157" t="s">
        <v>2861</v>
      </c>
      <c r="H2316" s="138">
        <v>828</v>
      </c>
      <c r="I2316" s="139" t="str">
        <f>VLOOKUP(H2316,Stock_list!A:R,18,FALSE)</f>
        <v>力通威</v>
      </c>
      <c r="J2316" s="139" t="str">
        <f>VLOOKUP(H2316,Stock_list!A:S,17,FALSE)</f>
        <v>C49SZX20200160JL</v>
      </c>
      <c r="K2316" s="51" t="str">
        <f>VLOOKUP(H2316,Stock_list!A:T,16,FALSE)</f>
        <v>JPY</v>
      </c>
      <c r="L2316" s="4">
        <v>44159</v>
      </c>
      <c r="M2316" s="132">
        <v>1</v>
      </c>
      <c r="P2316" s="4" t="str">
        <f>VLOOKUP(H2316,Stock_list!A:Y,25,FALSE)</f>
        <v>Yes</v>
      </c>
      <c r="Q2316" s="133"/>
      <c r="T2316" s="144"/>
      <c r="U2316" s="145" t="str">
        <f>VLOOKUP(H2316,Stock_list!A:N,14,FALSE)</f>
        <v>NOV 20</v>
      </c>
    </row>
    <row r="2317" spans="1:21" ht="16.5" customHeight="1">
      <c r="A2317" s="159" t="s">
        <v>2748</v>
      </c>
      <c r="B2317" s="114" t="str">
        <f>VLOOKUP(A2317,'Data pick slip'!B:F,5,FALSE)</f>
        <v>KHJ-MC400-00</v>
      </c>
      <c r="F2317" s="157" t="s">
        <v>2773</v>
      </c>
      <c r="I2317" s="139" t="s">
        <v>3093</v>
      </c>
      <c r="J2317" s="139" t="s">
        <v>3345</v>
      </c>
      <c r="K2317" s="51" t="s">
        <v>1246</v>
      </c>
      <c r="L2317" s="4">
        <v>44090</v>
      </c>
      <c r="M2317" s="140">
        <v>2</v>
      </c>
      <c r="P2317" s="4" t="s">
        <v>291</v>
      </c>
      <c r="Q2317" s="143"/>
      <c r="T2317" s="144"/>
      <c r="U2317" s="145" t="e">
        <f>VLOOKUP(H2317,Stock_list!A:N,14,FALSE)</f>
        <v>#N/A</v>
      </c>
    </row>
    <row r="2318" spans="1:21" ht="16.5" customHeight="1">
      <c r="A2318" s="159" t="s">
        <v>2749</v>
      </c>
      <c r="B2318" s="114" t="str">
        <f>VLOOKUP(A2318,'Data pick slip'!B:F,5,FALSE)</f>
        <v>KHJ-MC500-00</v>
      </c>
      <c r="F2318" s="157" t="s">
        <v>2773</v>
      </c>
      <c r="I2318" s="139" t="s">
        <v>3093</v>
      </c>
      <c r="J2318" s="139" t="s">
        <v>3346</v>
      </c>
      <c r="K2318" s="51" t="s">
        <v>1246</v>
      </c>
      <c r="L2318" s="4">
        <v>44090</v>
      </c>
      <c r="M2318" s="140">
        <v>1</v>
      </c>
      <c r="P2318" s="4" t="s">
        <v>291</v>
      </c>
      <c r="Q2318" s="143"/>
      <c r="T2318" s="144"/>
      <c r="U2318" s="145" t="e">
        <f>VLOOKUP(H2318,Stock_list!A:N,14,FALSE)</f>
        <v>#N/A</v>
      </c>
    </row>
    <row r="2319" spans="1:21" ht="16.5" customHeight="1">
      <c r="A2319" s="159" t="s">
        <v>2747</v>
      </c>
      <c r="B2319" s="114" t="str">
        <f>VLOOKUP(A2319,'Data pick slip'!B:F,5,FALSE)</f>
        <v>KHJ-MC200-00</v>
      </c>
      <c r="F2319" s="157" t="s">
        <v>2773</v>
      </c>
      <c r="I2319" s="139" t="s">
        <v>3093</v>
      </c>
      <c r="J2319" s="139" t="s">
        <v>3347</v>
      </c>
      <c r="K2319" s="51" t="s">
        <v>1246</v>
      </c>
      <c r="L2319" s="4">
        <v>44090</v>
      </c>
      <c r="M2319" s="140">
        <v>20</v>
      </c>
      <c r="P2319" s="4" t="s">
        <v>291</v>
      </c>
      <c r="Q2319" s="143"/>
      <c r="T2319" s="144"/>
      <c r="U2319" s="145" t="e">
        <f>VLOOKUP(H2319,Stock_list!A:N,14,FALSE)</f>
        <v>#N/A</v>
      </c>
    </row>
    <row r="2320" spans="1:21" ht="16.5" customHeight="1">
      <c r="A2320" s="159" t="s">
        <v>2744</v>
      </c>
      <c r="B2320" s="114" t="str">
        <f>VLOOKUP(A2320,'Data pick slip'!B:F,5,FALSE)</f>
        <v>KHJ-MC100-00</v>
      </c>
      <c r="F2320" s="157" t="s">
        <v>2773</v>
      </c>
      <c r="H2320" s="138">
        <v>830</v>
      </c>
      <c r="I2320" s="139" t="str">
        <f>VLOOKUP(H2320,Stock_list!A:R,18,FALSE)</f>
        <v>志华鑫</v>
      </c>
      <c r="J2320" s="139" t="str">
        <f>VLOOKUP(H2320,Stock_list!A:S,17,FALSE)</f>
        <v>C49SZX20200155JD</v>
      </c>
      <c r="K2320" s="51" t="str">
        <f>VLOOKUP(H2320,Stock_list!A:T,16,FALSE)</f>
        <v>RMB</v>
      </c>
      <c r="L2320" s="4">
        <v>44159</v>
      </c>
      <c r="M2320" s="132">
        <v>240</v>
      </c>
      <c r="P2320" s="4" t="str">
        <f>VLOOKUP(H2320,Stock_list!A:Y,25,FALSE)</f>
        <v>Yes</v>
      </c>
      <c r="Q2320" s="143"/>
      <c r="T2320" s="144"/>
      <c r="U2320" s="145" t="str">
        <f>VLOOKUP(H2320,Stock_list!A:N,14,FALSE)</f>
        <v>NOV 20</v>
      </c>
    </row>
    <row r="2321" spans="1:21" ht="16.5" customHeight="1">
      <c r="A2321" s="159" t="s">
        <v>2747</v>
      </c>
      <c r="B2321" s="114" t="str">
        <f>VLOOKUP(A2321,'Data pick slip'!B:F,5,FALSE)</f>
        <v>KHJ-MC200-00</v>
      </c>
      <c r="F2321" s="157" t="s">
        <v>2773</v>
      </c>
      <c r="H2321" s="138">
        <v>830</v>
      </c>
      <c r="I2321" s="139" t="str">
        <f>VLOOKUP(H2321,Stock_list!A:R,18,FALSE)</f>
        <v>志华鑫</v>
      </c>
      <c r="J2321" s="139" t="str">
        <f>VLOOKUP(H2321,Stock_list!A:S,17,FALSE)</f>
        <v>C49SZX20200155JD</v>
      </c>
      <c r="K2321" s="51" t="str">
        <f>VLOOKUP(H2321,Stock_list!A:T,16,FALSE)</f>
        <v>RMB</v>
      </c>
      <c r="L2321" s="4">
        <v>44159</v>
      </c>
      <c r="M2321" s="132">
        <v>20</v>
      </c>
      <c r="P2321" s="4" t="str">
        <f>VLOOKUP(H2321,Stock_list!A:Y,25,FALSE)</f>
        <v>Yes</v>
      </c>
      <c r="Q2321" s="143"/>
      <c r="T2321" s="144"/>
      <c r="U2321" s="145" t="str">
        <f>VLOOKUP(H2321,Stock_list!A:N,14,FALSE)</f>
        <v>NOV 20</v>
      </c>
    </row>
    <row r="2322" spans="1:21" ht="16.5" customHeight="1">
      <c r="A2322" s="159" t="s">
        <v>2748</v>
      </c>
      <c r="B2322" s="114" t="str">
        <f>VLOOKUP(A2322,'Data pick slip'!B:F,5,FALSE)</f>
        <v>KHJ-MC400-00</v>
      </c>
      <c r="F2322" s="157" t="s">
        <v>2773</v>
      </c>
      <c r="H2322" s="138">
        <v>830</v>
      </c>
      <c r="I2322" s="139" t="str">
        <f>VLOOKUP(H2322,Stock_list!A:R,18,FALSE)</f>
        <v>志华鑫</v>
      </c>
      <c r="J2322" s="139" t="str">
        <f>VLOOKUP(H2322,Stock_list!A:S,17,FALSE)</f>
        <v>C49SZX20200155JD</v>
      </c>
      <c r="K2322" s="51" t="str">
        <f>VLOOKUP(H2322,Stock_list!A:T,16,FALSE)</f>
        <v>RMB</v>
      </c>
      <c r="L2322" s="4">
        <v>44159</v>
      </c>
      <c r="M2322" s="132">
        <v>9</v>
      </c>
      <c r="P2322" s="4" t="str">
        <f>VLOOKUP(H2322,Stock_list!A:Y,25,FALSE)</f>
        <v>Yes</v>
      </c>
      <c r="Q2322" s="143"/>
      <c r="T2322" s="144"/>
      <c r="U2322" s="145" t="str">
        <f>VLOOKUP(H2322,Stock_list!A:N,14,FALSE)</f>
        <v>NOV 20</v>
      </c>
    </row>
    <row r="2323" spans="1:21" ht="16.5" customHeight="1">
      <c r="A2323" s="159" t="s">
        <v>2749</v>
      </c>
      <c r="B2323" s="114" t="str">
        <f>VLOOKUP(A2323,'Data pick slip'!B:F,5,FALSE)</f>
        <v>KHJ-MC500-00</v>
      </c>
      <c r="F2323" s="157" t="s">
        <v>2773</v>
      </c>
      <c r="H2323" s="138">
        <v>830</v>
      </c>
      <c r="I2323" s="139" t="str">
        <f>VLOOKUP(H2323,Stock_list!A:R,18,FALSE)</f>
        <v>志华鑫</v>
      </c>
      <c r="J2323" s="139" t="str">
        <f>VLOOKUP(H2323,Stock_list!A:S,17,FALSE)</f>
        <v>C49SZX20200155JD</v>
      </c>
      <c r="K2323" s="51" t="str">
        <f>VLOOKUP(H2323,Stock_list!A:T,16,FALSE)</f>
        <v>RMB</v>
      </c>
      <c r="L2323" s="4">
        <v>44159</v>
      </c>
      <c r="M2323" s="132">
        <v>2</v>
      </c>
      <c r="P2323" s="4" t="str">
        <f>VLOOKUP(H2323,Stock_list!A:Y,25,FALSE)</f>
        <v>Yes</v>
      </c>
      <c r="Q2323" s="143"/>
      <c r="T2323" s="144"/>
      <c r="U2323" s="145" t="str">
        <f>VLOOKUP(H2323,Stock_list!A:N,14,FALSE)</f>
        <v>NOV 20</v>
      </c>
    </row>
    <row r="2324" spans="1:21" ht="16.5" customHeight="1">
      <c r="A2324" s="159" t="s">
        <v>2749</v>
      </c>
      <c r="B2324" s="114" t="str">
        <f>VLOOKUP(A2324,'Data pick slip'!B:F,5,FALSE)</f>
        <v>KHJ-MC500-00</v>
      </c>
      <c r="F2324" s="157" t="s">
        <v>2773</v>
      </c>
      <c r="I2324" s="139" t="s">
        <v>3115</v>
      </c>
      <c r="J2324" s="139" t="s">
        <v>3348</v>
      </c>
      <c r="K2324" s="51" t="s">
        <v>1246</v>
      </c>
      <c r="L2324" s="4">
        <v>44091</v>
      </c>
      <c r="M2324" s="140">
        <v>1</v>
      </c>
      <c r="P2324" s="4" t="s">
        <v>291</v>
      </c>
      <c r="Q2324" s="143"/>
      <c r="T2324" s="144"/>
      <c r="U2324" s="145" t="e">
        <f>VLOOKUP(H2324,Stock_list!A:N,14,FALSE)</f>
        <v>#N/A</v>
      </c>
    </row>
    <row r="2325" spans="1:21" ht="16.5" customHeight="1">
      <c r="A2325" s="159" t="s">
        <v>2744</v>
      </c>
      <c r="B2325" s="114" t="str">
        <f>VLOOKUP(A2325,'Data pick slip'!B:F,5,FALSE)</f>
        <v>KHJ-MC100-00</v>
      </c>
      <c r="F2325" s="157" t="s">
        <v>2861</v>
      </c>
      <c r="H2325" s="138">
        <v>835</v>
      </c>
      <c r="I2325" s="139" t="str">
        <f>VLOOKUP(H2325,Stock_list!A:R,18,FALSE)</f>
        <v>伟志半导体</v>
      </c>
      <c r="J2325" s="139" t="str">
        <f>VLOOKUP(H2325,Stock_list!A:S,17,FALSE)</f>
        <v>C49SZX20200159EC</v>
      </c>
      <c r="K2325" s="51" t="str">
        <f>VLOOKUP(H2325,Stock_list!A:T,16,FALSE)</f>
        <v>JPY</v>
      </c>
      <c r="L2325" s="4">
        <v>44151</v>
      </c>
      <c r="M2325" s="140">
        <v>2</v>
      </c>
      <c r="P2325" s="4" t="str">
        <f>VLOOKUP(H2325,Stock_list!A:Y,25,FALSE)</f>
        <v>Yes</v>
      </c>
      <c r="Q2325" s="143"/>
      <c r="T2325" s="144"/>
      <c r="U2325" s="145" t="str">
        <f>VLOOKUP(H2325,Stock_list!A:N,14,FALSE)</f>
        <v>NOV 20</v>
      </c>
    </row>
    <row r="2326" spans="1:21" ht="16.5" customHeight="1">
      <c r="A2326" s="159" t="s">
        <v>2744</v>
      </c>
      <c r="B2326" s="114" t="str">
        <f>VLOOKUP(A2326,'Data pick slip'!B:F,5,FALSE)</f>
        <v>KHJ-MC100-00</v>
      </c>
      <c r="F2326" s="157" t="s">
        <v>2773</v>
      </c>
      <c r="H2326" s="138">
        <v>835</v>
      </c>
      <c r="I2326" s="139" t="str">
        <f>VLOOKUP(H2326,Stock_list!A:R,18,FALSE)</f>
        <v>伟志半导体</v>
      </c>
      <c r="J2326" s="139" t="str">
        <f>VLOOKUP(H2326,Stock_list!A:S,17,FALSE)</f>
        <v>C49SZX20200159EC</v>
      </c>
      <c r="K2326" s="51" t="str">
        <f>VLOOKUP(H2326,Stock_list!A:T,16,FALSE)</f>
        <v>JPY</v>
      </c>
      <c r="L2326" s="4">
        <v>44151</v>
      </c>
      <c r="M2326" s="140">
        <v>2</v>
      </c>
      <c r="P2326" s="4" t="str">
        <f>VLOOKUP(H2326,Stock_list!A:Y,25,FALSE)</f>
        <v>Yes</v>
      </c>
      <c r="Q2326" s="143"/>
      <c r="S2326" s="268" t="s">
        <v>2778</v>
      </c>
      <c r="T2326" s="144" t="s">
        <v>3349</v>
      </c>
      <c r="U2326" s="145" t="str">
        <f>VLOOKUP(H2326,Stock_list!A:N,14,FALSE)</f>
        <v>NOV 20</v>
      </c>
    </row>
    <row r="2327" spans="1:21" ht="16.5" customHeight="1">
      <c r="A2327" s="159" t="s">
        <v>2744</v>
      </c>
      <c r="B2327" s="114" t="str">
        <f>VLOOKUP(A2327,'Data pick slip'!B:F,5,FALSE)</f>
        <v>KHJ-MC100-00</v>
      </c>
      <c r="F2327" s="157" t="s">
        <v>2773</v>
      </c>
      <c r="H2327" s="138">
        <v>835</v>
      </c>
      <c r="I2327" s="139" t="str">
        <f>VLOOKUP(H2327,Stock_list!A:R,18,FALSE)</f>
        <v>伟志半导体</v>
      </c>
      <c r="J2327" s="139" t="str">
        <f>VLOOKUP(H2327,Stock_list!A:S,17,FALSE)</f>
        <v>C49SZX20200159EC</v>
      </c>
      <c r="K2327" s="51" t="str">
        <f>VLOOKUP(H2327,Stock_list!A:T,16,FALSE)</f>
        <v>JPY</v>
      </c>
      <c r="L2327" s="4">
        <v>44151</v>
      </c>
      <c r="M2327" s="140">
        <v>2</v>
      </c>
      <c r="P2327" s="4" t="str">
        <f>VLOOKUP(H2327,Stock_list!A:Y,25,FALSE)</f>
        <v>Yes</v>
      </c>
      <c r="Q2327" s="143"/>
      <c r="S2327" s="123" t="s">
        <v>3003</v>
      </c>
      <c r="T2327" s="144" t="s">
        <v>3321</v>
      </c>
      <c r="U2327" s="145" t="str">
        <f>VLOOKUP(H2327,Stock_list!A:N,14,FALSE)</f>
        <v>NOV 20</v>
      </c>
    </row>
    <row r="2328" spans="1:21" ht="16.5" customHeight="1">
      <c r="A2328" s="159" t="s">
        <v>2744</v>
      </c>
      <c r="B2328" s="114" t="str">
        <f>VLOOKUP(A2328,'Data pick slip'!B:F,5,FALSE)</f>
        <v>KHJ-MC100-00</v>
      </c>
      <c r="F2328" s="157" t="s">
        <v>2773</v>
      </c>
      <c r="H2328" s="138">
        <v>835</v>
      </c>
      <c r="I2328" s="139" t="str">
        <f>VLOOKUP(H2328,Stock_list!A:R,18,FALSE)</f>
        <v>伟志半导体</v>
      </c>
      <c r="J2328" s="139" t="str">
        <f>VLOOKUP(H2328,Stock_list!A:S,17,FALSE)</f>
        <v>C49SZX20200159EC</v>
      </c>
      <c r="K2328" s="51" t="str">
        <f>VLOOKUP(H2328,Stock_list!A:T,16,FALSE)</f>
        <v>JPY</v>
      </c>
      <c r="L2328" s="4">
        <v>44151</v>
      </c>
      <c r="M2328" s="140">
        <v>4</v>
      </c>
      <c r="P2328" s="4" t="str">
        <f>VLOOKUP(H2328,Stock_list!A:Y,25,FALSE)</f>
        <v>Yes</v>
      </c>
      <c r="Q2328" s="143"/>
      <c r="S2328" s="123" t="s">
        <v>3003</v>
      </c>
      <c r="T2328" s="144" t="s">
        <v>3350</v>
      </c>
      <c r="U2328" s="145" t="str">
        <f>VLOOKUP(H2328,Stock_list!A:N,14,FALSE)</f>
        <v>NOV 20</v>
      </c>
    </row>
    <row r="2329" spans="1:21" ht="16.5" customHeight="1">
      <c r="A2329" s="159" t="s">
        <v>2744</v>
      </c>
      <c r="B2329" s="114" t="str">
        <f>VLOOKUP(A2329,'Data pick slip'!B:F,5,FALSE)</f>
        <v>KHJ-MC100-00</v>
      </c>
      <c r="F2329" s="157" t="s">
        <v>2861</v>
      </c>
      <c r="H2329" s="138">
        <v>837</v>
      </c>
      <c r="I2329" s="139" t="str">
        <f>VLOOKUP(H2329,Stock_list!A:R,18,FALSE)</f>
        <v>益田科技</v>
      </c>
      <c r="J2329" s="139" t="str">
        <f>VLOOKUP(H2329,Stock_list!A:S,17,FALSE)</f>
        <v>C49SZX20200165SX</v>
      </c>
      <c r="K2329" s="51" t="str">
        <f>VLOOKUP(H2329,Stock_list!A:T,16,FALSE)</f>
        <v>JPY</v>
      </c>
      <c r="L2329" s="4">
        <v>44166</v>
      </c>
      <c r="M2329" s="132">
        <v>60</v>
      </c>
      <c r="P2329" s="4" t="str">
        <f>VLOOKUP(H2329,Stock_list!A:Y,25,FALSE)</f>
        <v>Yes</v>
      </c>
      <c r="Q2329" s="133"/>
      <c r="T2329" s="144"/>
      <c r="U2329" s="145" t="str">
        <f>VLOOKUP(H2329,Stock_list!A:N,14,FALSE)</f>
        <v>NOV 20</v>
      </c>
    </row>
    <row r="2330" spans="1:21" ht="16.5" customHeight="1">
      <c r="A2330" s="159" t="s">
        <v>2747</v>
      </c>
      <c r="B2330" s="114" t="str">
        <f>VLOOKUP(A2330,'Data pick slip'!B:F,5,FALSE)</f>
        <v>KHJ-MC200-00</v>
      </c>
      <c r="F2330" s="157" t="s">
        <v>2861</v>
      </c>
      <c r="H2330" s="138">
        <v>837</v>
      </c>
      <c r="I2330" s="139" t="str">
        <f>VLOOKUP(H2330,Stock_list!A:R,18,FALSE)</f>
        <v>益田科技</v>
      </c>
      <c r="J2330" s="139" t="str">
        <f>VLOOKUP(H2330,Stock_list!A:S,17,FALSE)</f>
        <v>C49SZX20200165SX</v>
      </c>
      <c r="K2330" s="51" t="str">
        <f>VLOOKUP(H2330,Stock_list!A:T,16,FALSE)</f>
        <v>JPY</v>
      </c>
      <c r="L2330" s="4">
        <v>44166</v>
      </c>
      <c r="M2330" s="132">
        <v>4</v>
      </c>
      <c r="P2330" s="4" t="str">
        <f>VLOOKUP(H2330,Stock_list!A:Y,25,FALSE)</f>
        <v>Yes</v>
      </c>
      <c r="Q2330" s="133"/>
      <c r="T2330" s="144"/>
      <c r="U2330" s="145" t="str">
        <f>VLOOKUP(H2330,Stock_list!A:N,14,FALSE)</f>
        <v>NOV 20</v>
      </c>
    </row>
    <row r="2331" spans="1:21" ht="16.5" customHeight="1">
      <c r="A2331" s="159" t="s">
        <v>2748</v>
      </c>
      <c r="B2331" s="114" t="str">
        <f>VLOOKUP(A2331,'Data pick slip'!B:F,5,FALSE)</f>
        <v>KHJ-MC400-00</v>
      </c>
      <c r="F2331" s="157" t="s">
        <v>2861</v>
      </c>
      <c r="H2331" s="138">
        <v>837</v>
      </c>
      <c r="I2331" s="139" t="str">
        <f>VLOOKUP(H2331,Stock_list!A:R,18,FALSE)</f>
        <v>益田科技</v>
      </c>
      <c r="J2331" s="139" t="str">
        <f>VLOOKUP(H2331,Stock_list!A:S,17,FALSE)</f>
        <v>C49SZX20200165SX</v>
      </c>
      <c r="K2331" s="51" t="str">
        <f>VLOOKUP(H2331,Stock_list!A:T,16,FALSE)</f>
        <v>JPY</v>
      </c>
      <c r="L2331" s="4">
        <v>44166</v>
      </c>
      <c r="M2331" s="132">
        <v>2</v>
      </c>
      <c r="P2331" s="4" t="str">
        <f>VLOOKUP(H2331,Stock_list!A:Y,25,FALSE)</f>
        <v>Yes</v>
      </c>
      <c r="Q2331" s="133"/>
      <c r="T2331" s="144"/>
      <c r="U2331" s="145" t="str">
        <f>VLOOKUP(H2331,Stock_list!A:N,14,FALSE)</f>
        <v>NOV 20</v>
      </c>
    </row>
    <row r="2332" spans="1:21" ht="16.5" customHeight="1">
      <c r="A2332" s="159" t="s">
        <v>2744</v>
      </c>
      <c r="B2332" s="114" t="str">
        <f>VLOOKUP(A2332,'Data pick slip'!B:F,5,FALSE)</f>
        <v>KHJ-MC100-00</v>
      </c>
      <c r="F2332" s="157" t="s">
        <v>2861</v>
      </c>
      <c r="H2332" s="138">
        <v>837</v>
      </c>
      <c r="I2332" s="139" t="str">
        <f>VLOOKUP(H2332,Stock_list!A:R,18,FALSE)</f>
        <v>益田科技</v>
      </c>
      <c r="J2332" s="139" t="str">
        <f>VLOOKUP(H2332,Stock_list!A:S,17,FALSE)</f>
        <v>C49SZX20200165SX</v>
      </c>
      <c r="K2332" s="51" t="str">
        <f>VLOOKUP(H2332,Stock_list!A:T,16,FALSE)</f>
        <v>JPY</v>
      </c>
      <c r="L2332" s="4">
        <v>44182</v>
      </c>
      <c r="M2332" s="132">
        <v>16</v>
      </c>
      <c r="P2332" s="4" t="str">
        <f>VLOOKUP(H2332,Stock_list!A:Y,25,FALSE)</f>
        <v>Yes</v>
      </c>
      <c r="Q2332" s="133"/>
      <c r="T2332" s="144"/>
      <c r="U2332" s="145" t="str">
        <f>VLOOKUP(H2332,Stock_list!A:N,14,FALSE)</f>
        <v>NOV 20</v>
      </c>
    </row>
    <row r="2333" spans="1:21" ht="16.5" customHeight="1">
      <c r="A2333" s="159" t="s">
        <v>2744</v>
      </c>
      <c r="B2333" s="114" t="str">
        <f>VLOOKUP(A2333,'Data pick slip'!B:F,5,FALSE)</f>
        <v>KHJ-MC100-00</v>
      </c>
      <c r="F2333" s="157" t="s">
        <v>2861</v>
      </c>
      <c r="H2333" s="138">
        <v>837</v>
      </c>
      <c r="I2333" s="139" t="str">
        <f>VLOOKUP(H2333,Stock_list!A:R,18,FALSE)</f>
        <v>益田科技</v>
      </c>
      <c r="J2333" s="139" t="str">
        <f>VLOOKUP(H2333,Stock_list!A:S,17,FALSE)</f>
        <v>C49SZX20200165SX</v>
      </c>
      <c r="K2333" s="51" t="str">
        <f>VLOOKUP(H2333,Stock_list!A:T,16,FALSE)</f>
        <v>JPY</v>
      </c>
      <c r="L2333" s="4">
        <v>44182</v>
      </c>
      <c r="M2333" s="132">
        <v>44</v>
      </c>
      <c r="P2333" s="4" t="str">
        <f>VLOOKUP(H2333,Stock_list!A:Y,25,FALSE)</f>
        <v>Yes</v>
      </c>
      <c r="Q2333" s="133"/>
      <c r="T2333" s="144"/>
      <c r="U2333" s="145" t="str">
        <f>VLOOKUP(H2333,Stock_list!A:N,14,FALSE)</f>
        <v>NOV 20</v>
      </c>
    </row>
    <row r="2334" spans="1:21" ht="16.5" customHeight="1">
      <c r="A2334" s="159" t="s">
        <v>2744</v>
      </c>
      <c r="B2334" s="114" t="str">
        <f>VLOOKUP(A2334,'Data pick slip'!B:F,5,FALSE)</f>
        <v>KHJ-MC100-00</v>
      </c>
      <c r="F2334" s="157" t="s">
        <v>2773</v>
      </c>
      <c r="H2334" s="138">
        <v>837</v>
      </c>
      <c r="I2334" s="139" t="str">
        <f>VLOOKUP(H2334,Stock_list!A:R,18,FALSE)</f>
        <v>益田科技</v>
      </c>
      <c r="J2334" s="139" t="str">
        <f>VLOOKUP(H2334,Stock_list!A:S,17,FALSE)</f>
        <v>C49SZX20200165SX</v>
      </c>
      <c r="K2334" s="51" t="str">
        <f>VLOOKUP(H2334,Stock_list!A:T,16,FALSE)</f>
        <v>JPY</v>
      </c>
      <c r="L2334" s="4">
        <v>44189</v>
      </c>
      <c r="M2334" s="132"/>
      <c r="O2334" s="132">
        <f>44-44</f>
        <v>0</v>
      </c>
      <c r="P2334" s="4" t="str">
        <f>VLOOKUP(H2334,Stock_list!A:Y,25,FALSE)</f>
        <v>Yes</v>
      </c>
      <c r="Q2334" s="133"/>
      <c r="T2334" s="144"/>
      <c r="U2334" s="145" t="str">
        <f>VLOOKUP(H2334,Stock_list!A:N,14,FALSE)</f>
        <v>NOV 20</v>
      </c>
    </row>
    <row r="2335" spans="1:21" ht="16.5" customHeight="1">
      <c r="A2335" s="159" t="s">
        <v>2747</v>
      </c>
      <c r="B2335" s="114" t="str">
        <f>VLOOKUP(A2335,'Data pick slip'!B:F,5,FALSE)</f>
        <v>KHJ-MC200-00</v>
      </c>
      <c r="F2335" s="157" t="s">
        <v>2861</v>
      </c>
      <c r="H2335" s="138">
        <v>837</v>
      </c>
      <c r="I2335" s="139" t="str">
        <f>VLOOKUP(H2335,Stock_list!A:R,18,FALSE)</f>
        <v>益田科技</v>
      </c>
      <c r="J2335" s="139" t="str">
        <f>VLOOKUP(H2335,Stock_list!A:S,17,FALSE)</f>
        <v>C49SZX20200165SX</v>
      </c>
      <c r="K2335" s="51" t="str">
        <f>VLOOKUP(H2335,Stock_list!A:T,16,FALSE)</f>
        <v>JPY</v>
      </c>
      <c r="L2335" s="4">
        <v>44182</v>
      </c>
      <c r="M2335" s="132">
        <v>4</v>
      </c>
      <c r="P2335" s="4" t="str">
        <f>VLOOKUP(H2335,Stock_list!A:Y,25,FALSE)</f>
        <v>Yes</v>
      </c>
      <c r="Q2335" s="133"/>
      <c r="T2335" s="144"/>
      <c r="U2335" s="145" t="str">
        <f>VLOOKUP(H2335,Stock_list!A:N,14,FALSE)</f>
        <v>NOV 20</v>
      </c>
    </row>
    <row r="2336" spans="1:21" ht="16.5" customHeight="1">
      <c r="A2336" s="159" t="s">
        <v>2748</v>
      </c>
      <c r="B2336" s="114" t="str">
        <f>VLOOKUP(A2336,'Data pick slip'!B:F,5,FALSE)</f>
        <v>KHJ-MC400-00</v>
      </c>
      <c r="F2336" s="157" t="s">
        <v>2861</v>
      </c>
      <c r="H2336" s="138">
        <v>837</v>
      </c>
      <c r="I2336" s="139" t="str">
        <f>VLOOKUP(H2336,Stock_list!A:R,18,FALSE)</f>
        <v>益田科技</v>
      </c>
      <c r="J2336" s="139" t="str">
        <f>VLOOKUP(H2336,Stock_list!A:S,17,FALSE)</f>
        <v>C49SZX20200165SX</v>
      </c>
      <c r="K2336" s="51" t="str">
        <f>VLOOKUP(H2336,Stock_list!A:T,16,FALSE)</f>
        <v>JPY</v>
      </c>
      <c r="L2336" s="4">
        <v>44182</v>
      </c>
      <c r="M2336" s="132">
        <v>2</v>
      </c>
      <c r="P2336" s="4" t="str">
        <f>VLOOKUP(H2336,Stock_list!A:Y,25,FALSE)</f>
        <v>Yes</v>
      </c>
      <c r="Q2336" s="133"/>
      <c r="T2336" s="144"/>
      <c r="U2336" s="145" t="str">
        <f>VLOOKUP(H2336,Stock_list!A:N,14,FALSE)</f>
        <v>NOV 20</v>
      </c>
    </row>
    <row r="2337" spans="1:21" ht="16.5" customHeight="1">
      <c r="A2337" s="159" t="s">
        <v>2744</v>
      </c>
      <c r="B2337" s="114" t="str">
        <f>VLOOKUP(A2337,'Data pick slip'!B:F,5,FALSE)</f>
        <v>KHJ-MC100-00</v>
      </c>
      <c r="F2337" s="157" t="s">
        <v>2773</v>
      </c>
      <c r="H2337" s="138">
        <v>845</v>
      </c>
      <c r="I2337" s="139" t="str">
        <f>VLOOKUP(H2337,Stock_list!A:R,18,FALSE)</f>
        <v>昊亮迪</v>
      </c>
      <c r="J2337" s="139" t="str">
        <f>VLOOKUP(H2337,Stock_list!A:S,17,FALSE)</f>
        <v>C49SZX20200159JY</v>
      </c>
      <c r="K2337" s="51" t="str">
        <f>VLOOKUP(H2337,Stock_list!A:T,16,FALSE)</f>
        <v>JPY</v>
      </c>
      <c r="L2337" s="4">
        <v>44160</v>
      </c>
      <c r="M2337" s="140">
        <v>2</v>
      </c>
      <c r="P2337" s="4" t="str">
        <f>VLOOKUP(H2337,Stock_list!A:Y,25,FALSE)</f>
        <v>Yes</v>
      </c>
      <c r="Q2337" s="143"/>
      <c r="S2337" s="123" t="s">
        <v>3003</v>
      </c>
      <c r="T2337" s="144" t="s">
        <v>3321</v>
      </c>
      <c r="U2337" s="145" t="str">
        <f>VLOOKUP(H2337,Stock_list!A:N,14,FALSE)</f>
        <v>NOV 20</v>
      </c>
    </row>
    <row r="2338" spans="1:21" ht="16.5" customHeight="1">
      <c r="A2338" s="159" t="s">
        <v>2748</v>
      </c>
      <c r="B2338" s="114" t="str">
        <f>VLOOKUP(A2338,'Data pick slip'!B:F,5,FALSE)</f>
        <v>KHJ-MC400-00</v>
      </c>
      <c r="F2338" s="157" t="s">
        <v>2773</v>
      </c>
      <c r="I2338" s="139" t="s">
        <v>3093</v>
      </c>
      <c r="J2338" s="139" t="s">
        <v>3351</v>
      </c>
      <c r="K2338" s="51" t="s">
        <v>1246</v>
      </c>
      <c r="L2338" s="4">
        <v>44095</v>
      </c>
      <c r="M2338" s="140">
        <v>4</v>
      </c>
      <c r="P2338" s="4" t="s">
        <v>291</v>
      </c>
      <c r="Q2338" s="143"/>
      <c r="T2338" s="144"/>
      <c r="U2338" s="145" t="e">
        <f>VLOOKUP(H2338,Stock_list!A:N,14,FALSE)</f>
        <v>#N/A</v>
      </c>
    </row>
    <row r="2339" spans="1:21" ht="16.5" customHeight="1">
      <c r="A2339" s="159" t="s">
        <v>2755</v>
      </c>
      <c r="B2339" s="114" t="str">
        <f>VLOOKUP(A2339,'Data pick slip'!B:F,5,FALSE)</f>
        <v>KLJ-MC100-00</v>
      </c>
      <c r="F2339" s="157" t="s">
        <v>2861</v>
      </c>
      <c r="I2339" s="139" t="s">
        <v>3015</v>
      </c>
      <c r="J2339" s="139" t="s">
        <v>3352</v>
      </c>
      <c r="K2339" s="51" t="s">
        <v>1246</v>
      </c>
      <c r="L2339" s="4">
        <v>44090</v>
      </c>
      <c r="M2339" s="140">
        <v>20</v>
      </c>
      <c r="P2339" s="4" t="s">
        <v>291</v>
      </c>
      <c r="Q2339" s="143"/>
      <c r="T2339" s="144"/>
      <c r="U2339" s="145" t="e">
        <f>VLOOKUP(H2339,Stock_list!A:N,14,FALSE)</f>
        <v>#N/A</v>
      </c>
    </row>
    <row r="2340" spans="1:21" ht="16.5" customHeight="1">
      <c r="A2340" s="159" t="s">
        <v>2744</v>
      </c>
      <c r="B2340" s="114" t="str">
        <f>VLOOKUP(A2340,'Data pick slip'!B:F,5,FALSE)</f>
        <v>KHJ-MC100-00</v>
      </c>
      <c r="F2340" s="157" t="s">
        <v>2861</v>
      </c>
      <c r="I2340" s="139" t="s">
        <v>3015</v>
      </c>
      <c r="J2340" s="139" t="s">
        <v>3353</v>
      </c>
      <c r="K2340" s="51" t="s">
        <v>1246</v>
      </c>
      <c r="L2340" s="4">
        <v>44096</v>
      </c>
      <c r="M2340" s="140">
        <v>76</v>
      </c>
      <c r="P2340" s="4" t="s">
        <v>291</v>
      </c>
      <c r="Q2340" s="143"/>
      <c r="T2340" s="144"/>
      <c r="U2340" s="145" t="e">
        <f>VLOOKUP(H2340,Stock_list!A:N,14,FALSE)</f>
        <v>#N/A</v>
      </c>
    </row>
    <row r="2341" spans="1:21" ht="16.5" customHeight="1">
      <c r="A2341" s="159" t="s">
        <v>2747</v>
      </c>
      <c r="B2341" s="114" t="str">
        <f>VLOOKUP(A2341,'Data pick slip'!B:F,5,FALSE)</f>
        <v>KHJ-MC200-00</v>
      </c>
      <c r="F2341" s="157" t="s">
        <v>2773</v>
      </c>
      <c r="H2341" s="138">
        <v>847</v>
      </c>
      <c r="I2341" s="139" t="str">
        <f>VLOOKUP(H2341,Stock_list!A:R,18,FALSE)</f>
        <v>利速达</v>
      </c>
      <c r="J2341" s="139" t="str">
        <f>VLOOKUP(H2341,Stock_list!A:S,17,FALSE)</f>
        <v>C49SZX20200168SX</v>
      </c>
      <c r="K2341" s="51" t="str">
        <f>VLOOKUP(H2341,Stock_list!A:T,16,FALSE)</f>
        <v>RMB</v>
      </c>
      <c r="L2341" s="4">
        <v>44145</v>
      </c>
      <c r="M2341" s="132">
        <v>4</v>
      </c>
      <c r="P2341" s="4" t="str">
        <f>VLOOKUP(H2341,Stock_list!A:Y,25,FALSE)</f>
        <v>Yes</v>
      </c>
      <c r="Q2341" s="143"/>
      <c r="T2341" s="144"/>
      <c r="U2341" s="145" t="str">
        <f>VLOOKUP(H2341,Stock_list!A:N,14,FALSE)</f>
        <v>NOV 20</v>
      </c>
    </row>
    <row r="2342" spans="1:21" ht="16.5" customHeight="1">
      <c r="A2342" s="159" t="s">
        <v>2744</v>
      </c>
      <c r="B2342" s="114" t="str">
        <f>VLOOKUP(A2342,'Data pick slip'!B:F,5,FALSE)</f>
        <v>KHJ-MC100-00</v>
      </c>
      <c r="F2342" s="157" t="s">
        <v>2861</v>
      </c>
      <c r="H2342" s="138">
        <v>850</v>
      </c>
      <c r="I2342" s="139" t="str">
        <f>VLOOKUP(H2342,Stock_list!A:R,18,FALSE)</f>
        <v>海红天远</v>
      </c>
      <c r="J2342" s="139" t="str">
        <f>VLOOKUP(H2342,Stock_list!A:S,17,FALSE)</f>
        <v>C49SZX20200167EC</v>
      </c>
      <c r="K2342" s="51" t="str">
        <f>VLOOKUP(H2342,Stock_list!A:T,16,FALSE)</f>
        <v>JPY</v>
      </c>
      <c r="L2342" s="4">
        <v>44179</v>
      </c>
      <c r="M2342" s="132">
        <v>150</v>
      </c>
      <c r="P2342" s="4" t="str">
        <f>VLOOKUP(H2342,Stock_list!A:Y,25,FALSE)</f>
        <v>Yes</v>
      </c>
      <c r="Q2342" s="143"/>
      <c r="T2342" s="144"/>
      <c r="U2342" s="145" t="str">
        <f>VLOOKUP(H2342,Stock_list!A:N,14,FALSE)</f>
        <v>DEC 20</v>
      </c>
    </row>
    <row r="2343" spans="1:21" ht="16.5" customHeight="1">
      <c r="A2343" s="159" t="s">
        <v>2756</v>
      </c>
      <c r="B2343" s="114" t="str">
        <f>VLOOKUP(A2343,'Data pick slip'!B:F,5,FALSE)</f>
        <v>KLJ-MC200-00</v>
      </c>
      <c r="F2343" s="157" t="s">
        <v>2861</v>
      </c>
      <c r="H2343" s="138">
        <v>850</v>
      </c>
      <c r="I2343" s="139" t="str">
        <f>VLOOKUP(H2343,Stock_list!A:R,18,FALSE)</f>
        <v>海红天远</v>
      </c>
      <c r="J2343" s="139" t="str">
        <f>VLOOKUP(H2343,Stock_list!A:S,17,FALSE)</f>
        <v>C49SZX20200167EC</v>
      </c>
      <c r="K2343" s="51" t="str">
        <f>VLOOKUP(H2343,Stock_list!A:T,16,FALSE)</f>
        <v>JPY</v>
      </c>
      <c r="L2343" s="4">
        <v>44179</v>
      </c>
      <c r="M2343" s="132">
        <v>30</v>
      </c>
      <c r="P2343" s="4" t="str">
        <f>VLOOKUP(H2343,Stock_list!A:Y,25,FALSE)</f>
        <v>Yes</v>
      </c>
      <c r="T2343" s="144"/>
      <c r="U2343" s="145" t="str">
        <f>VLOOKUP(H2343,Stock_list!A:N,14,FALSE)</f>
        <v>DEC 20</v>
      </c>
    </row>
    <row r="2344" spans="1:21" ht="16.5" customHeight="1">
      <c r="A2344" s="159" t="s">
        <v>2748</v>
      </c>
      <c r="B2344" s="114" t="str">
        <f>VLOOKUP(A2344,'Data pick slip'!B:F,5,FALSE)</f>
        <v>KHJ-MC400-00</v>
      </c>
      <c r="F2344" s="157" t="s">
        <v>2861</v>
      </c>
      <c r="H2344" s="138">
        <v>850</v>
      </c>
      <c r="I2344" s="139" t="str">
        <f>VLOOKUP(H2344,Stock_list!A:R,18,FALSE)</f>
        <v>海红天远</v>
      </c>
      <c r="J2344" s="139" t="str">
        <f>VLOOKUP(H2344,Stock_list!A:S,17,FALSE)</f>
        <v>C49SZX20200167EC</v>
      </c>
      <c r="K2344" s="51" t="str">
        <f>VLOOKUP(H2344,Stock_list!A:T,16,FALSE)</f>
        <v>JPY</v>
      </c>
      <c r="L2344" s="4">
        <v>44179</v>
      </c>
      <c r="M2344" s="132">
        <v>10</v>
      </c>
      <c r="P2344" s="4" t="str">
        <f>VLOOKUP(H2344,Stock_list!A:Y,25,FALSE)</f>
        <v>Yes</v>
      </c>
      <c r="Q2344" s="143"/>
      <c r="T2344" s="144"/>
      <c r="U2344" s="145" t="str">
        <f>VLOOKUP(H2344,Stock_list!A:N,14,FALSE)</f>
        <v>DEC 20</v>
      </c>
    </row>
    <row r="2345" spans="1:21" ht="16.5" customHeight="1">
      <c r="A2345" s="159" t="s">
        <v>2749</v>
      </c>
      <c r="B2345" s="114" t="str">
        <f>VLOOKUP(A2345,'Data pick slip'!B:F,5,FALSE)</f>
        <v>KHJ-MC500-00</v>
      </c>
      <c r="F2345" s="157" t="s">
        <v>2861</v>
      </c>
      <c r="H2345" s="138">
        <v>850</v>
      </c>
      <c r="I2345" s="139" t="str">
        <f>VLOOKUP(H2345,Stock_list!A:R,18,FALSE)</f>
        <v>海红天远</v>
      </c>
      <c r="J2345" s="139" t="str">
        <f>VLOOKUP(H2345,Stock_list!A:S,17,FALSE)</f>
        <v>C49SZX20200167EC</v>
      </c>
      <c r="K2345" s="51" t="str">
        <f>VLOOKUP(H2345,Stock_list!A:T,16,FALSE)</f>
        <v>JPY</v>
      </c>
      <c r="L2345" s="4">
        <v>44179</v>
      </c>
      <c r="M2345" s="132">
        <v>5</v>
      </c>
      <c r="P2345" s="4" t="str">
        <f>VLOOKUP(H2345,Stock_list!A:Y,25,FALSE)</f>
        <v>Yes</v>
      </c>
      <c r="Q2345" s="143"/>
      <c r="T2345" s="144"/>
      <c r="U2345" s="145" t="str">
        <f>VLOOKUP(H2345,Stock_list!A:N,14,FALSE)</f>
        <v>DEC 20</v>
      </c>
    </row>
    <row r="2346" spans="1:21" ht="16.5" customHeight="1">
      <c r="A2346" s="159" t="s">
        <v>2750</v>
      </c>
      <c r="B2346" s="114" t="str">
        <f>VLOOKUP(A2346,'Data pick slip'!B:F,5,FALSE)</f>
        <v>KHJ-MC600-00</v>
      </c>
      <c r="F2346" s="157" t="s">
        <v>2861</v>
      </c>
      <c r="H2346" s="138">
        <v>850</v>
      </c>
      <c r="I2346" s="139" t="str">
        <f>VLOOKUP(H2346,Stock_list!A:R,18,FALSE)</f>
        <v>海红天远</v>
      </c>
      <c r="J2346" s="139" t="str">
        <f>VLOOKUP(H2346,Stock_list!A:S,17,FALSE)</f>
        <v>C49SZX20200167EC</v>
      </c>
      <c r="K2346" s="51" t="str">
        <f>VLOOKUP(H2346,Stock_list!A:T,16,FALSE)</f>
        <v>JPY</v>
      </c>
      <c r="L2346" s="4">
        <v>44179</v>
      </c>
      <c r="M2346" s="132">
        <v>5</v>
      </c>
      <c r="P2346" s="4" t="str">
        <f>VLOOKUP(H2346,Stock_list!A:Y,25,FALSE)</f>
        <v>Yes</v>
      </c>
      <c r="Q2346" s="143"/>
      <c r="T2346" s="144"/>
      <c r="U2346" s="145" t="str">
        <f>VLOOKUP(H2346,Stock_list!A:N,14,FALSE)</f>
        <v>DEC 20</v>
      </c>
    </row>
    <row r="2347" spans="1:21" ht="16.5" customHeight="1">
      <c r="A2347" s="159" t="s">
        <v>2751</v>
      </c>
      <c r="B2347" s="114" t="str">
        <f>VLOOKUP(A2347,'Data pick slip'!B:F,5,FALSE)</f>
        <v>KHJ-MC700-00</v>
      </c>
      <c r="F2347" s="157" t="s">
        <v>2773</v>
      </c>
      <c r="H2347" s="138">
        <v>850</v>
      </c>
      <c r="I2347" s="139" t="str">
        <f>VLOOKUP(H2347,Stock_list!A:R,18,FALSE)</f>
        <v>海红天远</v>
      </c>
      <c r="J2347" s="139" t="str">
        <f>VLOOKUP(H2347,Stock_list!A:S,17,FALSE)</f>
        <v>C49SZX20200167EC</v>
      </c>
      <c r="K2347" s="51" t="str">
        <f>VLOOKUP(H2347,Stock_list!A:T,16,FALSE)</f>
        <v>JPY</v>
      </c>
      <c r="L2347" s="4">
        <v>44179</v>
      </c>
      <c r="M2347" s="132">
        <v>2</v>
      </c>
      <c r="P2347" s="4" t="str">
        <f>VLOOKUP(H2347,Stock_list!A:Y,25,FALSE)</f>
        <v>Yes</v>
      </c>
      <c r="Q2347" s="143"/>
      <c r="S2347" s="123" t="s">
        <v>3003</v>
      </c>
      <c r="T2347" s="144" t="s">
        <v>3354</v>
      </c>
      <c r="U2347" s="145" t="str">
        <f>VLOOKUP(H2347,Stock_list!A:N,14,FALSE)</f>
        <v>DEC 20</v>
      </c>
    </row>
    <row r="2348" spans="1:21" ht="16.5" customHeight="1">
      <c r="A2348" s="159" t="s">
        <v>2744</v>
      </c>
      <c r="B2348" s="114" t="str">
        <f>VLOOKUP(A2348,'Data pick slip'!B:F,5,FALSE)</f>
        <v>KHJ-MC100-00</v>
      </c>
      <c r="F2348" s="157" t="s">
        <v>2773</v>
      </c>
      <c r="H2348" s="138">
        <v>852</v>
      </c>
      <c r="I2348" s="139" t="str">
        <f>VLOOKUP(H2348,Stock_list!A:R,18,FALSE)</f>
        <v>擎宇精工</v>
      </c>
      <c r="J2348" s="139" t="str">
        <f>VLOOKUP(H2348,Stock_list!A:S,17,FALSE)</f>
        <v>C49SZX20200177DY</v>
      </c>
      <c r="K2348" s="51" t="str">
        <f>VLOOKUP(H2348,Stock_list!A:T,16,FALSE)</f>
        <v>RMB</v>
      </c>
      <c r="L2348" s="4">
        <v>44128</v>
      </c>
      <c r="M2348" s="132">
        <v>50</v>
      </c>
      <c r="P2348" s="4" t="str">
        <f>VLOOKUP(H2348,Stock_list!A:Y,25,FALSE)</f>
        <v>Yes</v>
      </c>
      <c r="Q2348" s="143"/>
      <c r="T2348" s="144"/>
      <c r="U2348" s="145" t="str">
        <f>VLOOKUP(H2348,Stock_list!A:N,14,FALSE)</f>
        <v>OCT 20</v>
      </c>
    </row>
    <row r="2349" spans="1:21" ht="16.5" customHeight="1">
      <c r="A2349" s="159" t="s">
        <v>2744</v>
      </c>
      <c r="B2349" s="114" t="str">
        <f>VLOOKUP(A2349,'Data pick slip'!B:F,5,FALSE)</f>
        <v>KHJ-MC100-00</v>
      </c>
      <c r="F2349" s="157" t="s">
        <v>1381</v>
      </c>
      <c r="H2349" s="138">
        <v>853</v>
      </c>
      <c r="I2349" s="139" t="str">
        <f>VLOOKUP(H2349,Stock_list!A:R,18,FALSE)</f>
        <v>兴开泰</v>
      </c>
      <c r="J2349" s="139" t="str">
        <f>VLOOKUP(H2349,Stock_list!A:S,17,FALSE)</f>
        <v>C49SZX20200176SX</v>
      </c>
      <c r="K2349" s="51" t="str">
        <f>VLOOKUP(H2349,Stock_list!A:T,16,FALSE)</f>
        <v>JPY</v>
      </c>
      <c r="L2349" s="4">
        <v>44382</v>
      </c>
      <c r="M2349" s="140">
        <v>50</v>
      </c>
      <c r="P2349" s="4" t="str">
        <f>VLOOKUP(H2349,Stock_list!A:Y,25,FALSE)</f>
        <v>Yes</v>
      </c>
      <c r="Q2349" s="143"/>
      <c r="T2349" s="144"/>
      <c r="U2349" s="145" t="str">
        <f>VLOOKUP(H2349,Stock_list!A:N,14,FALSE)</f>
        <v>JUL 21</v>
      </c>
    </row>
    <row r="2350" spans="1:21" ht="16.5" customHeight="1">
      <c r="A2350" s="159" t="s">
        <v>2747</v>
      </c>
      <c r="B2350" s="114" t="str">
        <f>VLOOKUP(A2350,'Data pick slip'!B:F,5,FALSE)</f>
        <v>KHJ-MC200-00</v>
      </c>
      <c r="F2350" s="157" t="s">
        <v>1381</v>
      </c>
      <c r="H2350" s="138">
        <v>853</v>
      </c>
      <c r="I2350" s="139" t="str">
        <f>VLOOKUP(H2350,Stock_list!A:R,18,FALSE)</f>
        <v>兴开泰</v>
      </c>
      <c r="J2350" s="139" t="str">
        <f>VLOOKUP(H2350,Stock_list!A:S,17,FALSE)</f>
        <v>C49SZX20200176SX</v>
      </c>
      <c r="K2350" s="51" t="str">
        <f>VLOOKUP(H2350,Stock_list!A:T,16,FALSE)</f>
        <v>JPY</v>
      </c>
      <c r="L2350" s="4">
        <v>44382</v>
      </c>
      <c r="M2350" s="140">
        <v>30</v>
      </c>
      <c r="P2350" s="4" t="str">
        <f>VLOOKUP(H2350,Stock_list!A:Y,25,FALSE)</f>
        <v>Yes</v>
      </c>
      <c r="Q2350" s="143"/>
      <c r="T2350" s="144"/>
      <c r="U2350" s="145" t="str">
        <f>VLOOKUP(H2350,Stock_list!A:N,14,FALSE)</f>
        <v>JUL 21</v>
      </c>
    </row>
    <row r="2351" spans="1:21" ht="16.5" customHeight="1">
      <c r="A2351" s="159" t="s">
        <v>2748</v>
      </c>
      <c r="B2351" s="114" t="str">
        <f>VLOOKUP(A2351,'Data pick slip'!B:F,5,FALSE)</f>
        <v>KHJ-MC400-00</v>
      </c>
      <c r="F2351" s="157" t="s">
        <v>1381</v>
      </c>
      <c r="H2351" s="138">
        <v>853</v>
      </c>
      <c r="I2351" s="285" t="str">
        <f>VLOOKUP(H2351,Stock_list!A:R,18,FALSE)</f>
        <v>兴开泰</v>
      </c>
      <c r="J2351" s="285" t="str">
        <f>VLOOKUP(H2351,Stock_list!A:S,17,FALSE)</f>
        <v>C49SZX20200176SX</v>
      </c>
      <c r="K2351" s="258" t="str">
        <f>VLOOKUP(H2351,Stock_list!A:T,16,FALSE)</f>
        <v>JPY</v>
      </c>
      <c r="L2351" s="286">
        <v>44382</v>
      </c>
      <c r="M2351" s="289">
        <v>8</v>
      </c>
      <c r="P2351" s="4" t="str">
        <f>VLOOKUP(H2351,Stock_list!A:Y,25,FALSE)</f>
        <v>Yes</v>
      </c>
      <c r="Q2351" s="143"/>
      <c r="T2351" s="144"/>
      <c r="U2351" s="145" t="str">
        <f>VLOOKUP(H2351,Stock_list!A:N,14,FALSE)</f>
        <v>JUL 21</v>
      </c>
    </row>
    <row r="2352" spans="1:21" ht="16.5" customHeight="1">
      <c r="A2352" s="159" t="s">
        <v>2749</v>
      </c>
      <c r="B2352" s="114" t="str">
        <f>VLOOKUP(A2352,'Data pick slip'!B:F,5,FALSE)</f>
        <v>KHJ-MC500-00</v>
      </c>
      <c r="F2352" s="157" t="s">
        <v>1381</v>
      </c>
      <c r="H2352" s="138">
        <v>853</v>
      </c>
      <c r="I2352" s="139" t="str">
        <f>VLOOKUP(H2352,Stock_list!A:R,18,FALSE)</f>
        <v>兴开泰</v>
      </c>
      <c r="J2352" s="139" t="str">
        <f>VLOOKUP(H2352,Stock_list!A:S,17,FALSE)</f>
        <v>C49SZX20200176SX</v>
      </c>
      <c r="K2352" s="51" t="str">
        <f>VLOOKUP(H2352,Stock_list!A:T,16,FALSE)</f>
        <v>JPY</v>
      </c>
      <c r="L2352" s="4">
        <v>44382</v>
      </c>
      <c r="M2352" s="140">
        <v>4</v>
      </c>
      <c r="P2352" s="4" t="str">
        <f>VLOOKUP(H2352,Stock_list!A:Y,25,FALSE)</f>
        <v>Yes</v>
      </c>
      <c r="Q2352" s="143"/>
      <c r="T2352" s="144"/>
      <c r="U2352" s="145" t="str">
        <f>VLOOKUP(H2352,Stock_list!A:N,14,FALSE)</f>
        <v>JUL 21</v>
      </c>
    </row>
    <row r="2353" spans="1:21" ht="16.5" customHeight="1">
      <c r="A2353" s="159" t="s">
        <v>2744</v>
      </c>
      <c r="B2353" s="114" t="str">
        <f>VLOOKUP(A2353,'Data pick slip'!B:F,5,FALSE)</f>
        <v>KHJ-MC100-00</v>
      </c>
      <c r="F2353" s="157" t="s">
        <v>1381</v>
      </c>
      <c r="H2353" s="138">
        <v>853</v>
      </c>
      <c r="I2353" s="139" t="str">
        <f>VLOOKUP(H2353,Stock_list!A:R,18,FALSE)</f>
        <v>兴开泰</v>
      </c>
      <c r="J2353" s="139" t="str">
        <f>VLOOKUP(H2353,Stock_list!A:S,17,FALSE)</f>
        <v>C49SZX20200176SX</v>
      </c>
      <c r="K2353" s="51" t="str">
        <f>VLOOKUP(H2353,Stock_list!A:T,16,FALSE)</f>
        <v>JPY</v>
      </c>
      <c r="L2353" s="4">
        <v>44407</v>
      </c>
      <c r="M2353" s="132">
        <f>70-50</f>
        <v>20</v>
      </c>
      <c r="P2353" s="4" t="str">
        <f>VLOOKUP(H2353,Stock_list!A:Y,25,FALSE)</f>
        <v>Yes</v>
      </c>
      <c r="Q2353" s="143"/>
      <c r="T2353" s="144"/>
      <c r="U2353" s="145" t="str">
        <f>VLOOKUP(H2353,Stock_list!A:N,14,FALSE)</f>
        <v>JUL 21</v>
      </c>
    </row>
    <row r="2354" spans="1:21" ht="16.5" customHeight="1">
      <c r="A2354" s="159" t="s">
        <v>2747</v>
      </c>
      <c r="B2354" s="114" t="str">
        <f>VLOOKUP(A2354,'Data pick slip'!B:F,5,FALSE)</f>
        <v>KHJ-MC200-00</v>
      </c>
      <c r="F2354" s="157" t="s">
        <v>1381</v>
      </c>
      <c r="H2354" s="138">
        <v>853</v>
      </c>
      <c r="I2354" s="139" t="str">
        <f>VLOOKUP(H2354,Stock_list!A:R,18,FALSE)</f>
        <v>兴开泰</v>
      </c>
      <c r="J2354" s="139" t="str">
        <f>VLOOKUP(H2354,Stock_list!A:S,17,FALSE)</f>
        <v>C49SZX20200176SX</v>
      </c>
      <c r="K2354" s="51" t="str">
        <f>VLOOKUP(H2354,Stock_list!A:T,16,FALSE)</f>
        <v>JPY</v>
      </c>
      <c r="L2354" s="4">
        <v>44407</v>
      </c>
      <c r="M2354" s="132">
        <f>40-30</f>
        <v>10</v>
      </c>
      <c r="P2354" s="4" t="str">
        <f>VLOOKUP(H2354,Stock_list!A:Y,25,FALSE)</f>
        <v>Yes</v>
      </c>
      <c r="Q2354" s="143"/>
      <c r="T2354" s="144"/>
      <c r="U2354" s="145" t="str">
        <f>VLOOKUP(H2354,Stock_list!A:N,14,FALSE)</f>
        <v>JUL 21</v>
      </c>
    </row>
    <row r="2355" spans="1:21" ht="16.5" customHeight="1">
      <c r="A2355" s="159" t="s">
        <v>2748</v>
      </c>
      <c r="B2355" s="114" t="str">
        <f>VLOOKUP(A2355,'Data pick slip'!B:F,5,FALSE)</f>
        <v>KHJ-MC400-00</v>
      </c>
      <c r="F2355" s="157" t="s">
        <v>1381</v>
      </c>
      <c r="H2355" s="138">
        <v>853</v>
      </c>
      <c r="I2355" s="285" t="str">
        <f>VLOOKUP(H2355,Stock_list!A:R,18,FALSE)</f>
        <v>兴开泰</v>
      </c>
      <c r="J2355" s="285" t="str">
        <f>VLOOKUP(H2355,Stock_list!A:S,17,FALSE)</f>
        <v>C49SZX20200176SX</v>
      </c>
      <c r="K2355" s="258" t="str">
        <f>VLOOKUP(H2355,Stock_list!A:T,16,FALSE)</f>
        <v>JPY</v>
      </c>
      <c r="L2355" s="286">
        <v>44407</v>
      </c>
      <c r="M2355" s="283">
        <f>10-8</f>
        <v>2</v>
      </c>
      <c r="P2355" s="4" t="str">
        <f>VLOOKUP(H2355,Stock_list!A:Y,25,FALSE)</f>
        <v>Yes</v>
      </c>
      <c r="Q2355" s="143"/>
      <c r="T2355" s="144"/>
      <c r="U2355" s="145" t="str">
        <f>VLOOKUP(H2355,Stock_list!A:N,14,FALSE)</f>
        <v>JUL 21</v>
      </c>
    </row>
    <row r="2356" spans="1:21" ht="16.5" customHeight="1">
      <c r="A2356" s="159" t="s">
        <v>2749</v>
      </c>
      <c r="B2356" s="114" t="str">
        <f>VLOOKUP(A2356,'Data pick slip'!B:F,5,FALSE)</f>
        <v>KHJ-MC500-00</v>
      </c>
      <c r="F2356" s="157" t="s">
        <v>1381</v>
      </c>
      <c r="H2356" s="138">
        <v>853</v>
      </c>
      <c r="I2356" s="139" t="str">
        <f>VLOOKUP(H2356,Stock_list!A:R,18,FALSE)</f>
        <v>兴开泰</v>
      </c>
      <c r="J2356" s="139" t="str">
        <f>VLOOKUP(H2356,Stock_list!A:S,17,FALSE)</f>
        <v>C49SZX20200176SX</v>
      </c>
      <c r="K2356" s="51" t="str">
        <f>VLOOKUP(H2356,Stock_list!A:T,16,FALSE)</f>
        <v>JPY</v>
      </c>
      <c r="L2356" s="4">
        <v>44407</v>
      </c>
      <c r="M2356" s="132">
        <f>5-4</f>
        <v>1</v>
      </c>
      <c r="P2356" s="4" t="str">
        <f>VLOOKUP(H2356,Stock_list!A:Y,25,FALSE)</f>
        <v>Yes</v>
      </c>
      <c r="Q2356" s="143"/>
      <c r="T2356" s="144"/>
      <c r="U2356" s="145" t="str">
        <f>VLOOKUP(H2356,Stock_list!A:N,14,FALSE)</f>
        <v>JUL 21</v>
      </c>
    </row>
    <row r="2357" spans="1:21" ht="16.5" customHeight="1">
      <c r="A2357" s="159" t="s">
        <v>2744</v>
      </c>
      <c r="B2357" s="114" t="str">
        <f>VLOOKUP(A2357,'Data pick slip'!B:F,5,FALSE)</f>
        <v>KHJ-MC100-00</v>
      </c>
      <c r="F2357" s="157" t="s">
        <v>2773</v>
      </c>
      <c r="H2357" s="138">
        <v>857</v>
      </c>
      <c r="I2357" s="139" t="str">
        <f>VLOOKUP(H2357,Stock_list!A:R,18,FALSE)</f>
        <v>顺鸿达</v>
      </c>
      <c r="J2357" s="139" t="str">
        <f>VLOOKUP(H2357,Stock_list!A:S,17,FALSE)</f>
        <v>C49SZX20200178SS</v>
      </c>
      <c r="K2357" s="51" t="str">
        <f>VLOOKUP(H2357,Stock_list!A:T,16,FALSE)</f>
        <v>JPY</v>
      </c>
      <c r="L2357" s="4">
        <v>44134</v>
      </c>
      <c r="O2357" s="132">
        <f>30-30</f>
        <v>0</v>
      </c>
      <c r="P2357" s="4" t="str">
        <f>VLOOKUP(H2357,Stock_list!A:Y,25,FALSE)</f>
        <v>Yes</v>
      </c>
      <c r="Q2357" s="143"/>
      <c r="T2357" s="144"/>
      <c r="U2357" s="145" t="str">
        <f>VLOOKUP(H2357,Stock_list!A:N,14,FALSE)</f>
        <v>DEC 20</v>
      </c>
    </row>
    <row r="2358" spans="1:21" ht="16.5" customHeight="1">
      <c r="A2358" s="159" t="s">
        <v>2747</v>
      </c>
      <c r="B2358" s="114" t="str">
        <f>VLOOKUP(A2358,'Data pick slip'!B:F,5,FALSE)</f>
        <v>KHJ-MC200-00</v>
      </c>
      <c r="F2358" s="157" t="s">
        <v>2773</v>
      </c>
      <c r="H2358" s="138">
        <v>857</v>
      </c>
      <c r="I2358" s="139" t="str">
        <f>VLOOKUP(H2358,Stock_list!A:R,18,FALSE)</f>
        <v>顺鸿达</v>
      </c>
      <c r="J2358" s="139" t="str">
        <f>VLOOKUP(H2358,Stock_list!A:S,17,FALSE)</f>
        <v>C49SZX20200178SS</v>
      </c>
      <c r="K2358" s="51" t="str">
        <f>VLOOKUP(H2358,Stock_list!A:T,16,FALSE)</f>
        <v>JPY</v>
      </c>
      <c r="L2358" s="4">
        <v>44139</v>
      </c>
      <c r="O2358" s="132">
        <f>6-6</f>
        <v>0</v>
      </c>
      <c r="P2358" s="4" t="str">
        <f>VLOOKUP(H2358,Stock_list!A:Y,25,FALSE)</f>
        <v>Yes</v>
      </c>
      <c r="Q2358" s="143"/>
      <c r="T2358" s="144"/>
      <c r="U2358" s="145" t="str">
        <f>VLOOKUP(H2358,Stock_list!A:N,14,FALSE)</f>
        <v>DEC 20</v>
      </c>
    </row>
    <row r="2359" spans="1:21" ht="16.5" customHeight="1">
      <c r="A2359" s="159" t="s">
        <v>2744</v>
      </c>
      <c r="B2359" s="114" t="str">
        <f>VLOOKUP(A2359,'Data pick slip'!B:F,5,FALSE)</f>
        <v>KHJ-MC100-00</v>
      </c>
      <c r="F2359" s="157" t="s">
        <v>2861</v>
      </c>
      <c r="H2359" s="138">
        <v>857</v>
      </c>
      <c r="I2359" s="139" t="str">
        <f>VLOOKUP(H2359,Stock_list!A:R,18,FALSE)</f>
        <v>顺鸿达</v>
      </c>
      <c r="J2359" s="139" t="str">
        <f>VLOOKUP(H2359,Stock_list!A:S,17,FALSE)</f>
        <v>C49SZX20200178SS</v>
      </c>
      <c r="K2359" s="51" t="str">
        <f>VLOOKUP(H2359,Stock_list!A:T,16,FALSE)</f>
        <v>JPY</v>
      </c>
      <c r="L2359" s="4">
        <v>44196</v>
      </c>
      <c r="M2359" s="140">
        <v>32</v>
      </c>
      <c r="P2359" s="4" t="str">
        <f>VLOOKUP(H2359,Stock_list!A:Y,25,FALSE)</f>
        <v>Yes</v>
      </c>
      <c r="Q2359" s="143"/>
      <c r="T2359" s="144"/>
      <c r="U2359" s="145" t="str">
        <f>VLOOKUP(H2359,Stock_list!A:N,14,FALSE)</f>
        <v>DEC 20</v>
      </c>
    </row>
    <row r="2360" spans="1:21" ht="16.5" customHeight="1">
      <c r="A2360" s="159" t="s">
        <v>2747</v>
      </c>
      <c r="B2360" s="114" t="str">
        <f>VLOOKUP(A2360,'Data pick slip'!B:F,5,FALSE)</f>
        <v>KHJ-MC200-00</v>
      </c>
      <c r="F2360" s="157" t="s">
        <v>2861</v>
      </c>
      <c r="H2360" s="138">
        <v>857</v>
      </c>
      <c r="I2360" s="139" t="str">
        <f>VLOOKUP(H2360,Stock_list!A:R,18,FALSE)</f>
        <v>顺鸿达</v>
      </c>
      <c r="J2360" s="139" t="str">
        <f>VLOOKUP(H2360,Stock_list!A:S,17,FALSE)</f>
        <v>C49SZX20200178SS</v>
      </c>
      <c r="K2360" s="51" t="str">
        <f>VLOOKUP(H2360,Stock_list!A:T,16,FALSE)</f>
        <v>JPY</v>
      </c>
      <c r="L2360" s="4">
        <v>44196</v>
      </c>
      <c r="M2360" s="140">
        <v>6</v>
      </c>
      <c r="P2360" s="4" t="str">
        <f>VLOOKUP(H2360,Stock_list!A:Y,25,FALSE)</f>
        <v>Yes</v>
      </c>
      <c r="Q2360" s="143"/>
      <c r="T2360" s="144"/>
      <c r="U2360" s="145" t="str">
        <f>VLOOKUP(H2360,Stock_list!A:N,14,FALSE)</f>
        <v>DEC 20</v>
      </c>
    </row>
    <row r="2361" spans="1:21" ht="16.5" customHeight="1">
      <c r="A2361" s="159" t="s">
        <v>2744</v>
      </c>
      <c r="B2361" s="114" t="str">
        <f>VLOOKUP(A2361,'Data pick slip'!B:F,5,FALSE)</f>
        <v>KHJ-MC100-00</v>
      </c>
      <c r="F2361" s="157" t="s">
        <v>2861</v>
      </c>
      <c r="I2361" s="139" t="s">
        <v>3015</v>
      </c>
      <c r="J2361" s="139" t="s">
        <v>3355</v>
      </c>
      <c r="K2361" s="51" t="s">
        <v>1246</v>
      </c>
      <c r="L2361" s="4">
        <v>44102</v>
      </c>
      <c r="M2361" s="140">
        <v>100</v>
      </c>
      <c r="P2361" s="4" t="s">
        <v>291</v>
      </c>
      <c r="Q2361" s="143"/>
      <c r="T2361" s="144"/>
      <c r="U2361" s="145" t="e">
        <f>VLOOKUP(H2361,Stock_list!A:N,14,FALSE)</f>
        <v>#N/A</v>
      </c>
    </row>
    <row r="2362" spans="1:21" ht="16.5" customHeight="1">
      <c r="A2362" s="159" t="s">
        <v>2747</v>
      </c>
      <c r="B2362" s="114" t="str">
        <f>VLOOKUP(A2362,'Data pick slip'!B:F,5,FALSE)</f>
        <v>KHJ-MC200-00</v>
      </c>
      <c r="F2362" s="157" t="s">
        <v>2861</v>
      </c>
      <c r="I2362" s="139" t="s">
        <v>3015</v>
      </c>
      <c r="J2362" s="139" t="s">
        <v>3355</v>
      </c>
      <c r="K2362" s="51" t="s">
        <v>1246</v>
      </c>
      <c r="L2362" s="4">
        <v>44102</v>
      </c>
      <c r="M2362" s="140">
        <v>20</v>
      </c>
      <c r="P2362" s="4" t="s">
        <v>291</v>
      </c>
      <c r="Q2362" s="143"/>
      <c r="T2362" s="144"/>
      <c r="U2362" s="145" t="e">
        <f>VLOOKUP(H2362,Stock_list!A:N,14,FALSE)</f>
        <v>#N/A</v>
      </c>
    </row>
    <row r="2363" spans="1:21" ht="16.5" customHeight="1">
      <c r="A2363" s="159" t="s">
        <v>2748</v>
      </c>
      <c r="B2363" s="114" t="str">
        <f>VLOOKUP(A2363,'Data pick slip'!B:F,5,FALSE)</f>
        <v>KHJ-MC400-00</v>
      </c>
      <c r="F2363" s="157" t="s">
        <v>2861</v>
      </c>
      <c r="I2363" s="139" t="s">
        <v>3015</v>
      </c>
      <c r="J2363" s="139" t="s">
        <v>3355</v>
      </c>
      <c r="K2363" s="51" t="s">
        <v>1246</v>
      </c>
      <c r="L2363" s="4">
        <v>44102</v>
      </c>
      <c r="M2363" s="140">
        <v>21</v>
      </c>
      <c r="P2363" s="4" t="s">
        <v>291</v>
      </c>
      <c r="Q2363" s="143"/>
      <c r="T2363" s="144"/>
      <c r="U2363" s="145" t="e">
        <f>VLOOKUP(H2363,Stock_list!A:N,14,FALSE)</f>
        <v>#N/A</v>
      </c>
    </row>
    <row r="2364" spans="1:21" ht="16.5" customHeight="1">
      <c r="A2364" s="159" t="s">
        <v>2749</v>
      </c>
      <c r="B2364" s="114" t="str">
        <f>VLOOKUP(A2364,'Data pick slip'!B:F,5,FALSE)</f>
        <v>KHJ-MC500-00</v>
      </c>
      <c r="F2364" s="157" t="s">
        <v>2861</v>
      </c>
      <c r="I2364" s="139" t="s">
        <v>3015</v>
      </c>
      <c r="J2364" s="139" t="s">
        <v>3355</v>
      </c>
      <c r="K2364" s="51" t="s">
        <v>1246</v>
      </c>
      <c r="L2364" s="4">
        <v>44102</v>
      </c>
      <c r="M2364" s="140">
        <v>5</v>
      </c>
      <c r="P2364" s="4" t="s">
        <v>291</v>
      </c>
      <c r="Q2364" s="143"/>
      <c r="T2364" s="144"/>
      <c r="U2364" s="145" t="e">
        <f>VLOOKUP(H2364,Stock_list!A:N,14,FALSE)</f>
        <v>#N/A</v>
      </c>
    </row>
    <row r="2365" spans="1:21" ht="16.5" customHeight="1">
      <c r="A2365" s="159" t="s">
        <v>2750</v>
      </c>
      <c r="B2365" s="114" t="str">
        <f>VLOOKUP(A2365,'Data pick slip'!B:F,5,FALSE)</f>
        <v>KHJ-MC600-00</v>
      </c>
      <c r="F2365" s="157" t="s">
        <v>2861</v>
      </c>
      <c r="I2365" s="139" t="s">
        <v>3015</v>
      </c>
      <c r="J2365" s="139" t="s">
        <v>3355</v>
      </c>
      <c r="K2365" s="51" t="s">
        <v>1246</v>
      </c>
      <c r="L2365" s="4">
        <v>44102</v>
      </c>
      <c r="M2365" s="140">
        <v>9</v>
      </c>
      <c r="P2365" s="4" t="s">
        <v>291</v>
      </c>
      <c r="Q2365" s="143"/>
      <c r="T2365" s="144"/>
      <c r="U2365" s="145" t="e">
        <f>VLOOKUP(H2365,Stock_list!A:N,14,FALSE)</f>
        <v>#N/A</v>
      </c>
    </row>
    <row r="2366" spans="1:21" ht="16.5" customHeight="1">
      <c r="A2366" s="159" t="s">
        <v>2744</v>
      </c>
      <c r="B2366" s="114" t="str">
        <f>VLOOKUP(A2366,'Data pick slip'!B:F,5,FALSE)</f>
        <v>KHJ-MC100-00</v>
      </c>
      <c r="F2366" s="157" t="s">
        <v>2861</v>
      </c>
      <c r="H2366" s="138">
        <v>860</v>
      </c>
      <c r="I2366" s="139" t="str">
        <f>VLOOKUP(H2366,Stock_list!A:R,18,FALSE)</f>
        <v>兆晖</v>
      </c>
      <c r="J2366" s="139" t="str">
        <f>VLOOKUP(H2366,Stock_list!A:S,17,FALSE)</f>
        <v>C49SZX20200169DZ</v>
      </c>
      <c r="K2366" s="51" t="str">
        <f>VLOOKUP(H2366,Stock_list!A:T,16,FALSE)</f>
        <v>JPY</v>
      </c>
      <c r="L2366" s="4">
        <v>44174</v>
      </c>
      <c r="M2366" s="132">
        <v>60</v>
      </c>
      <c r="P2366" s="4" t="str">
        <f>VLOOKUP(H2366,Stock_list!A:Y,25,FALSE)</f>
        <v>Yes</v>
      </c>
      <c r="Q2366" s="143"/>
      <c r="T2366" s="144"/>
      <c r="U2366" s="145" t="str">
        <f>VLOOKUP(H2366,Stock_list!A:N,14,FALSE)</f>
        <v>DEC 20</v>
      </c>
    </row>
    <row r="2367" spans="1:21" ht="16.5" customHeight="1">
      <c r="A2367" s="159" t="s">
        <v>2747</v>
      </c>
      <c r="B2367" s="114" t="str">
        <f>VLOOKUP(A2367,'Data pick slip'!B:F,5,FALSE)</f>
        <v>KHJ-MC200-00</v>
      </c>
      <c r="F2367" s="157" t="s">
        <v>2861</v>
      </c>
      <c r="H2367" s="138">
        <v>860</v>
      </c>
      <c r="I2367" s="139" t="str">
        <f>VLOOKUP(H2367,Stock_list!A:R,18,FALSE)</f>
        <v>兆晖</v>
      </c>
      <c r="J2367" s="139" t="str">
        <f>VLOOKUP(H2367,Stock_list!A:S,17,FALSE)</f>
        <v>C49SZX20200169DZ</v>
      </c>
      <c r="K2367" s="51" t="str">
        <f>VLOOKUP(H2367,Stock_list!A:T,16,FALSE)</f>
        <v>JPY</v>
      </c>
      <c r="L2367" s="4">
        <v>44174</v>
      </c>
      <c r="M2367" s="132">
        <v>8</v>
      </c>
      <c r="P2367" s="4" t="str">
        <f>VLOOKUP(H2367,Stock_list!A:Y,25,FALSE)</f>
        <v>Yes</v>
      </c>
      <c r="Q2367" s="143"/>
      <c r="T2367" s="144"/>
      <c r="U2367" s="145" t="str">
        <f>VLOOKUP(H2367,Stock_list!A:N,14,FALSE)</f>
        <v>DEC 20</v>
      </c>
    </row>
    <row r="2368" spans="1:21" ht="16.5" customHeight="1">
      <c r="A2368" s="159" t="s">
        <v>2748</v>
      </c>
      <c r="B2368" s="114" t="str">
        <f>VLOOKUP(A2368,'Data pick slip'!B:F,5,FALSE)</f>
        <v>KHJ-MC400-00</v>
      </c>
      <c r="F2368" s="157" t="s">
        <v>2861</v>
      </c>
      <c r="H2368" s="138">
        <v>860</v>
      </c>
      <c r="I2368" s="139" t="str">
        <f>VLOOKUP(H2368,Stock_list!A:R,18,FALSE)</f>
        <v>兆晖</v>
      </c>
      <c r="J2368" s="139" t="str">
        <f>VLOOKUP(H2368,Stock_list!A:S,17,FALSE)</f>
        <v>C49SZX20200169DZ</v>
      </c>
      <c r="K2368" s="51" t="str">
        <f>VLOOKUP(H2368,Stock_list!A:T,16,FALSE)</f>
        <v>JPY</v>
      </c>
      <c r="L2368" s="4">
        <v>44174</v>
      </c>
      <c r="M2368" s="132">
        <v>4</v>
      </c>
      <c r="P2368" s="4" t="str">
        <f>VLOOKUP(H2368,Stock_list!A:Y,25,FALSE)</f>
        <v>Yes</v>
      </c>
      <c r="Q2368" s="143"/>
      <c r="T2368" s="144"/>
      <c r="U2368" s="145" t="str">
        <f>VLOOKUP(H2368,Stock_list!A:N,14,FALSE)</f>
        <v>DEC 20</v>
      </c>
    </row>
    <row r="2369" spans="1:21" ht="16.5" customHeight="1">
      <c r="A2369" s="159" t="s">
        <v>2744</v>
      </c>
      <c r="B2369" s="114" t="str">
        <f>VLOOKUP(A2369,'Data pick slip'!B:F,5,FALSE)</f>
        <v>KHJ-MC100-00</v>
      </c>
      <c r="F2369" s="157" t="s">
        <v>2773</v>
      </c>
      <c r="I2369" s="139" t="s">
        <v>3099</v>
      </c>
      <c r="J2369" s="139" t="s">
        <v>3356</v>
      </c>
      <c r="K2369" s="51" t="s">
        <v>1246</v>
      </c>
      <c r="L2369" s="4">
        <v>44101</v>
      </c>
      <c r="M2369" s="140">
        <v>50</v>
      </c>
      <c r="P2369" s="4" t="s">
        <v>291</v>
      </c>
      <c r="Q2369" s="143"/>
      <c r="T2369" s="144"/>
      <c r="U2369" s="145" t="e">
        <f>VLOOKUP(H2369,Stock_list!A:N,14,FALSE)</f>
        <v>#N/A</v>
      </c>
    </row>
    <row r="2370" spans="1:21" ht="16.5" customHeight="1">
      <c r="A2370" s="159" t="s">
        <v>2747</v>
      </c>
      <c r="B2370" s="114" t="str">
        <f>VLOOKUP(A2370,'Data pick slip'!B:F,5,FALSE)</f>
        <v>KHJ-MC200-00</v>
      </c>
      <c r="F2370" s="157" t="s">
        <v>2773</v>
      </c>
      <c r="I2370" s="139" t="s">
        <v>3099</v>
      </c>
      <c r="J2370" s="139" t="s">
        <v>3356</v>
      </c>
      <c r="K2370" s="51" t="s">
        <v>1246</v>
      </c>
      <c r="L2370" s="4">
        <v>44101</v>
      </c>
      <c r="M2370" s="140">
        <v>20</v>
      </c>
      <c r="P2370" s="4" t="s">
        <v>291</v>
      </c>
      <c r="Q2370" s="143"/>
      <c r="T2370" s="144"/>
      <c r="U2370" s="145" t="e">
        <f>VLOOKUP(H2370,Stock_list!A:N,14,FALSE)</f>
        <v>#N/A</v>
      </c>
    </row>
    <row r="2371" spans="1:21" ht="18" customHeight="1">
      <c r="A2371" s="159" t="s">
        <v>2744</v>
      </c>
      <c r="B2371" s="114" t="str">
        <f>VLOOKUP(A2371,'Data pick slip'!B:F,5,FALSE)</f>
        <v>KHJ-MC100-00</v>
      </c>
      <c r="F2371" s="157" t="s">
        <v>2773</v>
      </c>
      <c r="H2371" s="138">
        <v>862</v>
      </c>
      <c r="I2371" s="139" t="str">
        <f>VLOOKUP(H2371,Stock_list!A:R,18,FALSE)</f>
        <v>百纳海</v>
      </c>
      <c r="J2371" s="139" t="str">
        <f>VLOOKUP(H2371,Stock_list!A:S,17,FALSE)</f>
        <v>C49SZX20200175JY</v>
      </c>
      <c r="K2371" s="51" t="str">
        <f>VLOOKUP(H2371,Stock_list!A:T,16,FALSE)</f>
        <v>JPY</v>
      </c>
      <c r="L2371" s="4">
        <v>44147</v>
      </c>
      <c r="O2371" s="132">
        <f>40-40</f>
        <v>0</v>
      </c>
      <c r="P2371" s="4" t="str">
        <f>VLOOKUP(H2371,Stock_list!A:Y,25,FALSE)</f>
        <v>Yes</v>
      </c>
      <c r="Q2371" s="143"/>
      <c r="T2371" s="144"/>
      <c r="U2371" s="145" t="str">
        <f>VLOOKUP(H2371,Stock_list!A:N,14,FALSE)</f>
        <v>NOV 20</v>
      </c>
    </row>
    <row r="2372" spans="1:21" ht="18" customHeight="1">
      <c r="A2372" s="159" t="s">
        <v>2747</v>
      </c>
      <c r="B2372" s="114" t="str">
        <f>VLOOKUP(A2372,'Data pick slip'!B:F,5,FALSE)</f>
        <v>KHJ-MC200-00</v>
      </c>
      <c r="F2372" s="157" t="s">
        <v>2773</v>
      </c>
      <c r="H2372" s="138">
        <v>862</v>
      </c>
      <c r="I2372" s="139" t="str">
        <f>VLOOKUP(H2372,Stock_list!A:R,18,FALSE)</f>
        <v>百纳海</v>
      </c>
      <c r="J2372" s="139" t="str">
        <f>VLOOKUP(H2372,Stock_list!A:S,17,FALSE)</f>
        <v>C49SZX20200175JY</v>
      </c>
      <c r="K2372" s="51" t="str">
        <f>VLOOKUP(H2372,Stock_list!A:T,16,FALSE)</f>
        <v>JPY</v>
      </c>
      <c r="L2372" s="4">
        <v>44147</v>
      </c>
      <c r="O2372" s="132">
        <f>5-5</f>
        <v>0</v>
      </c>
      <c r="P2372" s="4" t="str">
        <f>VLOOKUP(H2372,Stock_list!A:Y,25,FALSE)</f>
        <v>Yes</v>
      </c>
      <c r="Q2372" s="143"/>
      <c r="T2372" s="144"/>
      <c r="U2372" s="145" t="str">
        <f>VLOOKUP(H2372,Stock_list!A:N,14,FALSE)</f>
        <v>NOV 20</v>
      </c>
    </row>
    <row r="2373" spans="1:21" ht="18" customHeight="1">
      <c r="A2373" s="159" t="s">
        <v>2744</v>
      </c>
      <c r="B2373" s="114" t="str">
        <f>VLOOKUP(A2373,'Data pick slip'!B:F,5,FALSE)</f>
        <v>KHJ-MC100-00</v>
      </c>
      <c r="F2373" s="157" t="s">
        <v>2861</v>
      </c>
      <c r="H2373" s="138">
        <v>862</v>
      </c>
      <c r="I2373" s="139" t="str">
        <f>VLOOKUP(H2373,Stock_list!A:R,18,FALSE)</f>
        <v>百纳海</v>
      </c>
      <c r="J2373" s="139" t="str">
        <f>VLOOKUP(H2373,Stock_list!A:S,17,FALSE)</f>
        <v>C49SZX20200175JY</v>
      </c>
      <c r="K2373" s="51" t="str">
        <f>VLOOKUP(H2373,Stock_list!A:T,16,FALSE)</f>
        <v>JPY</v>
      </c>
      <c r="L2373" s="4">
        <v>44160</v>
      </c>
      <c r="M2373" s="140">
        <v>40</v>
      </c>
      <c r="P2373" s="4" t="str">
        <f>VLOOKUP(H2373,Stock_list!A:Y,25,FALSE)</f>
        <v>Yes</v>
      </c>
      <c r="Q2373" s="143"/>
      <c r="T2373" s="144"/>
      <c r="U2373" s="145" t="str">
        <f>VLOOKUP(H2373,Stock_list!A:N,14,FALSE)</f>
        <v>NOV 20</v>
      </c>
    </row>
    <row r="2374" spans="1:21" ht="18" customHeight="1">
      <c r="A2374" s="159" t="s">
        <v>2747</v>
      </c>
      <c r="B2374" s="114" t="str">
        <f>VLOOKUP(A2374,'Data pick slip'!B:F,5,FALSE)</f>
        <v>KHJ-MC200-00</v>
      </c>
      <c r="F2374" s="157" t="s">
        <v>2861</v>
      </c>
      <c r="H2374" s="138">
        <v>862</v>
      </c>
      <c r="I2374" s="139" t="str">
        <f>VLOOKUP(H2374,Stock_list!A:R,18,FALSE)</f>
        <v>百纳海</v>
      </c>
      <c r="J2374" s="139" t="str">
        <f>VLOOKUP(H2374,Stock_list!A:S,17,FALSE)</f>
        <v>C49SZX20200175JY</v>
      </c>
      <c r="K2374" s="51" t="str">
        <f>VLOOKUP(H2374,Stock_list!A:T,16,FALSE)</f>
        <v>JPY</v>
      </c>
      <c r="L2374" s="4">
        <v>44160</v>
      </c>
      <c r="M2374" s="140">
        <v>5</v>
      </c>
      <c r="P2374" s="4" t="str">
        <f>VLOOKUP(H2374,Stock_list!A:Y,25,FALSE)</f>
        <v>Yes</v>
      </c>
      <c r="Q2374" s="143"/>
      <c r="T2374" s="144"/>
      <c r="U2374" s="145" t="str">
        <f>VLOOKUP(H2374,Stock_list!A:N,14,FALSE)</f>
        <v>NOV 20</v>
      </c>
    </row>
    <row r="2375" spans="1:21" ht="16.5" customHeight="1">
      <c r="A2375" s="159" t="s">
        <v>2755</v>
      </c>
      <c r="B2375" s="114" t="str">
        <f>VLOOKUP(A2375,'Data pick slip'!B:F,5,FALSE)</f>
        <v>KLJ-MC100-00</v>
      </c>
      <c r="F2375" s="157" t="s">
        <v>2861</v>
      </c>
      <c r="H2375" s="138">
        <v>863</v>
      </c>
      <c r="I2375" s="139" t="str">
        <f>VLOOKUP(H2375,Stock_list!A:R,18,FALSE)</f>
        <v>鸿南</v>
      </c>
      <c r="J2375" s="139" t="str">
        <f>VLOOKUP(H2375,Stock_list!A:S,17,FALSE)</f>
        <v>C49SZX20200179MZ</v>
      </c>
      <c r="K2375" s="51" t="str">
        <f>VLOOKUP(H2375,Stock_list!A:T,16,FALSE)</f>
        <v>JPY</v>
      </c>
      <c r="L2375" s="4">
        <v>44189</v>
      </c>
      <c r="M2375" s="140">
        <v>100</v>
      </c>
      <c r="P2375" s="4" t="str">
        <f>VLOOKUP(H2375,Stock_list!A:Y,25,FALSE)</f>
        <v>Yes</v>
      </c>
      <c r="Q2375" s="143"/>
      <c r="T2375" s="144"/>
      <c r="U2375" s="145" t="str">
        <f>VLOOKUP(H2375,Stock_list!A:N,14,FALSE)</f>
        <v>DEC 20</v>
      </c>
    </row>
    <row r="2376" spans="1:21" ht="16.5" customHeight="1">
      <c r="A2376" s="159" t="s">
        <v>2756</v>
      </c>
      <c r="B2376" s="114" t="str">
        <f>VLOOKUP(A2376,'Data pick slip'!B:F,5,FALSE)</f>
        <v>KLJ-MC200-00</v>
      </c>
      <c r="F2376" s="157" t="s">
        <v>2861</v>
      </c>
      <c r="H2376" s="138">
        <v>863</v>
      </c>
      <c r="I2376" s="139" t="str">
        <f>VLOOKUP(H2376,Stock_list!A:R,18,FALSE)</f>
        <v>鸿南</v>
      </c>
      <c r="J2376" s="139" t="str">
        <f>VLOOKUP(H2376,Stock_list!A:S,17,FALSE)</f>
        <v>C49SZX20200179MZ</v>
      </c>
      <c r="K2376" s="51" t="str">
        <f>VLOOKUP(H2376,Stock_list!A:T,16,FALSE)</f>
        <v>JPY</v>
      </c>
      <c r="L2376" s="4">
        <v>44189</v>
      </c>
      <c r="M2376" s="140">
        <v>10</v>
      </c>
      <c r="P2376" s="4" t="str">
        <f>VLOOKUP(H2376,Stock_list!A:Y,25,FALSE)</f>
        <v>Yes</v>
      </c>
      <c r="T2376" s="144"/>
      <c r="U2376" s="145" t="str">
        <f>VLOOKUP(H2376,Stock_list!A:N,14,FALSE)</f>
        <v>DEC 20</v>
      </c>
    </row>
    <row r="2377" spans="1:21" ht="16.5" customHeight="1">
      <c r="A2377" s="159" t="s">
        <v>2755</v>
      </c>
      <c r="B2377" s="114" t="str">
        <f>VLOOKUP(A2377,'Data pick slip'!B:F,5,FALSE)</f>
        <v>KLJ-MC100-00</v>
      </c>
      <c r="F2377" s="157" t="s">
        <v>2773</v>
      </c>
      <c r="H2377" s="138">
        <v>865</v>
      </c>
      <c r="I2377" s="139" t="str">
        <f>VLOOKUP(H2377,Stock_list!A:R,18,FALSE)</f>
        <v>皇家显示</v>
      </c>
      <c r="J2377" s="139" t="str">
        <f>VLOOKUP(H2377,Stock_list!A:S,17,FALSE)</f>
        <v>C49SZX20200171DZ</v>
      </c>
      <c r="K2377" s="51" t="str">
        <f>VLOOKUP(H2377,Stock_list!A:T,16,FALSE)</f>
        <v>RMB</v>
      </c>
      <c r="L2377" s="4">
        <v>44141</v>
      </c>
      <c r="M2377" s="140">
        <v>10</v>
      </c>
      <c r="P2377" s="4" t="str">
        <f>VLOOKUP(H2377,Stock_list!A:Y,25,FALSE)</f>
        <v>Yes</v>
      </c>
      <c r="Q2377" s="143"/>
      <c r="T2377" s="144"/>
      <c r="U2377" s="145" t="str">
        <f>VLOOKUP(H2377,Stock_list!A:N,14,FALSE)</f>
        <v>NOV 20</v>
      </c>
    </row>
    <row r="2378" spans="1:21" ht="16.5" customHeight="1">
      <c r="A2378" s="159" t="s">
        <v>2755</v>
      </c>
      <c r="B2378" s="114" t="str">
        <f>VLOOKUP(A2378,'Data pick slip'!B:F,5,FALSE)</f>
        <v>KLJ-MC100-00</v>
      </c>
      <c r="F2378" s="157" t="s">
        <v>2773</v>
      </c>
      <c r="H2378" s="138">
        <v>865</v>
      </c>
      <c r="I2378" s="139" t="str">
        <f>VLOOKUP(H2378,Stock_list!A:R,18,FALSE)</f>
        <v>皇家显示</v>
      </c>
      <c r="J2378" s="139" t="str">
        <f>VLOOKUP(H2378,Stock_list!A:S,17,FALSE)</f>
        <v>C49SZX20200171DZ</v>
      </c>
      <c r="K2378" s="51" t="str">
        <f>VLOOKUP(H2378,Stock_list!A:T,16,FALSE)</f>
        <v>RMB</v>
      </c>
      <c r="L2378" s="4">
        <v>44153</v>
      </c>
      <c r="M2378" s="140">
        <v>10</v>
      </c>
      <c r="P2378" s="4" t="str">
        <f>VLOOKUP(H2378,Stock_list!A:Y,25,FALSE)</f>
        <v>Yes</v>
      </c>
      <c r="Q2378" s="143"/>
      <c r="T2378" s="144"/>
      <c r="U2378" s="145" t="str">
        <f>VLOOKUP(H2378,Stock_list!A:N,14,FALSE)</f>
        <v>NOV 20</v>
      </c>
    </row>
    <row r="2379" spans="1:21" ht="16.5" customHeight="1">
      <c r="A2379" s="159" t="s">
        <v>2744</v>
      </c>
      <c r="B2379" s="114" t="str">
        <f>VLOOKUP(A2379,'Data pick slip'!B:F,5,FALSE)</f>
        <v>KHJ-MC100-00</v>
      </c>
      <c r="F2379" s="157" t="s">
        <v>2861</v>
      </c>
      <c r="H2379" s="138">
        <v>868</v>
      </c>
      <c r="I2379" s="139" t="str">
        <f>VLOOKUP(H2379,Stock_list!A:R,18,FALSE)</f>
        <v>嘉裕</v>
      </c>
      <c r="J2379" s="139" t="str">
        <f>VLOOKUP(H2379,Stock_list!A:S,17,FALSE)</f>
        <v>C49SZX20200170DZ</v>
      </c>
      <c r="K2379" s="51" t="str">
        <f>VLOOKUP(H2379,Stock_list!A:T,16,FALSE)</f>
        <v>JPY</v>
      </c>
      <c r="L2379" s="4">
        <v>44183</v>
      </c>
      <c r="M2379" s="132">
        <v>65</v>
      </c>
      <c r="P2379" s="4" t="str">
        <f>VLOOKUP(H2379,Stock_list!A:Y,25,FALSE)</f>
        <v>Yes</v>
      </c>
      <c r="Q2379" s="143"/>
      <c r="T2379" s="144"/>
      <c r="U2379" s="145" t="str">
        <f>VLOOKUP(H2379,Stock_list!A:N,14,FALSE)</f>
        <v>DEC 20</v>
      </c>
    </row>
    <row r="2380" spans="1:21" ht="16.5" customHeight="1">
      <c r="A2380" s="159" t="s">
        <v>2747</v>
      </c>
      <c r="B2380" s="114" t="str">
        <f>VLOOKUP(A2380,'Data pick slip'!B:F,5,FALSE)</f>
        <v>KHJ-MC200-00</v>
      </c>
      <c r="F2380" s="157" t="s">
        <v>2861</v>
      </c>
      <c r="H2380" s="138">
        <v>868</v>
      </c>
      <c r="I2380" s="139" t="str">
        <f>VLOOKUP(H2380,Stock_list!A:R,18,FALSE)</f>
        <v>嘉裕</v>
      </c>
      <c r="J2380" s="139" t="str">
        <f>VLOOKUP(H2380,Stock_list!A:S,17,FALSE)</f>
        <v>C49SZX20200170DZ</v>
      </c>
      <c r="K2380" s="51" t="str">
        <f>VLOOKUP(H2380,Stock_list!A:T,16,FALSE)</f>
        <v>JPY</v>
      </c>
      <c r="L2380" s="4">
        <v>44183</v>
      </c>
      <c r="M2380" s="132">
        <v>13</v>
      </c>
      <c r="P2380" s="4" t="str">
        <f>VLOOKUP(H2380,Stock_list!A:Y,25,FALSE)</f>
        <v>Yes</v>
      </c>
      <c r="Q2380" s="143"/>
      <c r="T2380" s="144"/>
      <c r="U2380" s="145" t="str">
        <f>VLOOKUP(H2380,Stock_list!A:N,14,FALSE)</f>
        <v>DEC 20</v>
      </c>
    </row>
    <row r="2381" spans="1:21" ht="16.5" customHeight="1">
      <c r="A2381" s="159" t="s">
        <v>2748</v>
      </c>
      <c r="B2381" s="114" t="str">
        <f>VLOOKUP(A2381,'Data pick slip'!B:F,5,FALSE)</f>
        <v>KHJ-MC400-00</v>
      </c>
      <c r="F2381" s="157" t="s">
        <v>2861</v>
      </c>
      <c r="H2381" s="138">
        <v>868</v>
      </c>
      <c r="I2381" s="139" t="str">
        <f>VLOOKUP(H2381,Stock_list!A:R,18,FALSE)</f>
        <v>嘉裕</v>
      </c>
      <c r="J2381" s="139" t="str">
        <f>VLOOKUP(H2381,Stock_list!A:S,17,FALSE)</f>
        <v>C49SZX20200170DZ</v>
      </c>
      <c r="K2381" s="51" t="str">
        <f>VLOOKUP(H2381,Stock_list!A:T,16,FALSE)</f>
        <v>JPY</v>
      </c>
      <c r="L2381" s="4">
        <v>44183</v>
      </c>
      <c r="M2381" s="132">
        <v>2</v>
      </c>
      <c r="P2381" s="4" t="str">
        <f>VLOOKUP(H2381,Stock_list!A:Y,25,FALSE)</f>
        <v>Yes</v>
      </c>
      <c r="Q2381" s="143"/>
      <c r="T2381" s="144"/>
      <c r="U2381" s="145" t="str">
        <f>VLOOKUP(H2381,Stock_list!A:N,14,FALSE)</f>
        <v>DEC 20</v>
      </c>
    </row>
    <row r="2382" spans="1:21" ht="16.5" customHeight="1">
      <c r="A2382" s="159" t="s">
        <v>2749</v>
      </c>
      <c r="B2382" s="114" t="str">
        <f>VLOOKUP(A2382,'Data pick slip'!B:F,5,FALSE)</f>
        <v>KHJ-MC500-00</v>
      </c>
      <c r="F2382" s="157" t="s">
        <v>2861</v>
      </c>
      <c r="H2382" s="138">
        <v>868</v>
      </c>
      <c r="I2382" s="139" t="str">
        <f>VLOOKUP(H2382,Stock_list!A:R,18,FALSE)</f>
        <v>嘉裕</v>
      </c>
      <c r="J2382" s="139" t="str">
        <f>VLOOKUP(H2382,Stock_list!A:S,17,FALSE)</f>
        <v>C49SZX20200170DZ</v>
      </c>
      <c r="K2382" s="51" t="str">
        <f>VLOOKUP(H2382,Stock_list!A:T,16,FALSE)</f>
        <v>JPY</v>
      </c>
      <c r="L2382" s="4">
        <v>44183</v>
      </c>
      <c r="M2382" s="132">
        <v>1</v>
      </c>
      <c r="P2382" s="4" t="str">
        <f>VLOOKUP(H2382,Stock_list!A:Y,25,FALSE)</f>
        <v>Yes</v>
      </c>
      <c r="Q2382" s="143"/>
      <c r="T2382" s="144"/>
      <c r="U2382" s="145" t="str">
        <f>VLOOKUP(H2382,Stock_list!A:N,14,FALSE)</f>
        <v>DEC 20</v>
      </c>
    </row>
    <row r="2383" spans="1:21" ht="16.5" customHeight="1">
      <c r="A2383" s="159" t="s">
        <v>2744</v>
      </c>
      <c r="B2383" s="114" t="str">
        <f>VLOOKUP(A2383,'Data pick slip'!B:F,5,FALSE)</f>
        <v>KHJ-MC100-00</v>
      </c>
      <c r="F2383" s="157" t="s">
        <v>2861</v>
      </c>
      <c r="H2383" s="138">
        <v>715</v>
      </c>
      <c r="I2383" s="139" t="str">
        <f>VLOOKUP(H2383,Stock_list!A:R,18,FALSE)</f>
        <v>瑞福联</v>
      </c>
      <c r="J2383" s="139" t="str">
        <f>VLOOKUP(H2383,Stock_list!A:S,17,FALSE)</f>
        <v>C49SZX20200089JL-R2</v>
      </c>
      <c r="K2383" s="51" t="str">
        <f>VLOOKUP(H2383,Stock_list!A:T,16,FALSE)</f>
        <v>JPY</v>
      </c>
      <c r="L2383" s="4">
        <v>44102</v>
      </c>
      <c r="M2383" s="140">
        <v>50</v>
      </c>
      <c r="P2383" s="4" t="str">
        <f>VLOOKUP(H2383,Stock_list!A:Y,25,FALSE)</f>
        <v>Yes</v>
      </c>
      <c r="Q2383" s="143"/>
      <c r="T2383" s="144"/>
      <c r="U2383" s="145" t="str">
        <f>VLOOKUP(H2383,Stock_list!A:N,14,FALSE)</f>
        <v>SEP 20</v>
      </c>
    </row>
    <row r="2384" spans="1:21" ht="16.5" customHeight="1">
      <c r="A2384" s="159" t="s">
        <v>2748</v>
      </c>
      <c r="B2384" s="114" t="str">
        <f>VLOOKUP(A2384,'Data pick slip'!B:F,5,FALSE)</f>
        <v>KHJ-MC400-00</v>
      </c>
      <c r="F2384" s="157" t="s">
        <v>2773</v>
      </c>
      <c r="H2384" s="138">
        <v>715</v>
      </c>
      <c r="I2384" s="139" t="str">
        <f>VLOOKUP(H2384,Stock_list!A:R,18,FALSE)</f>
        <v>瑞福联</v>
      </c>
      <c r="J2384" s="139" t="str">
        <f>VLOOKUP(H2384,Stock_list!A:S,17,FALSE)</f>
        <v>C49SZX20200089JL-R2</v>
      </c>
      <c r="K2384" s="51" t="str">
        <f>VLOOKUP(H2384,Stock_list!A:T,16,FALSE)</f>
        <v>JPY</v>
      </c>
      <c r="L2384" s="4">
        <v>44102</v>
      </c>
      <c r="M2384" s="140">
        <v>2</v>
      </c>
      <c r="P2384" s="4" t="str">
        <f>VLOOKUP(H2384,Stock_list!A:Y,25,FALSE)</f>
        <v>Yes</v>
      </c>
      <c r="Q2384" s="143"/>
      <c r="S2384" s="123" t="s">
        <v>3003</v>
      </c>
      <c r="T2384" s="205" t="s">
        <v>3309</v>
      </c>
      <c r="U2384" s="145" t="str">
        <f>VLOOKUP(H2384,Stock_list!A:N,14,FALSE)</f>
        <v>SEP 20</v>
      </c>
    </row>
    <row r="2385" spans="1:21" ht="16.5" customHeight="1">
      <c r="A2385" s="159" t="s">
        <v>2744</v>
      </c>
      <c r="B2385" s="114" t="str">
        <f>VLOOKUP(A2385,'Data pick slip'!B:F,5,FALSE)</f>
        <v>KHJ-MC100-00</v>
      </c>
      <c r="F2385" s="157" t="s">
        <v>2861</v>
      </c>
      <c r="H2385" s="138">
        <v>872</v>
      </c>
      <c r="I2385" s="139" t="str">
        <f>VLOOKUP(H2385,Stock_list!A:R,18,FALSE)</f>
        <v>东陆</v>
      </c>
      <c r="J2385" s="139" t="str">
        <f>VLOOKUP(H2385,Stock_list!A:S,17,FALSE)</f>
        <v>C49SZX20200180SX</v>
      </c>
      <c r="K2385" s="51" t="str">
        <f>VLOOKUP(H2385,Stock_list!A:T,16,FALSE)</f>
        <v>JPY</v>
      </c>
      <c r="L2385" s="4">
        <v>44231</v>
      </c>
      <c r="M2385" s="132">
        <v>62</v>
      </c>
      <c r="P2385" s="4" t="str">
        <f>VLOOKUP(H2385,Stock_list!A:Y,25,FALSE)</f>
        <v>Yes</v>
      </c>
      <c r="Q2385" s="143"/>
      <c r="T2385" s="144"/>
      <c r="U2385" s="145" t="str">
        <f>VLOOKUP(H2385,Stock_list!A:N,14,FALSE)</f>
        <v>JAN 21</v>
      </c>
    </row>
    <row r="2386" spans="1:21" ht="16.5" customHeight="1">
      <c r="A2386" s="159" t="s">
        <v>2747</v>
      </c>
      <c r="B2386" s="114" t="str">
        <f>VLOOKUP(A2386,'Data pick slip'!B:F,5,FALSE)</f>
        <v>KHJ-MC200-00</v>
      </c>
      <c r="F2386" s="157" t="s">
        <v>2861</v>
      </c>
      <c r="H2386" s="138">
        <v>872</v>
      </c>
      <c r="I2386" s="139" t="str">
        <f>VLOOKUP(H2386,Stock_list!A:R,18,FALSE)</f>
        <v>东陆</v>
      </c>
      <c r="J2386" s="139" t="str">
        <f>VLOOKUP(H2386,Stock_list!A:S,17,FALSE)</f>
        <v>C49SZX20200180SX</v>
      </c>
      <c r="K2386" s="51" t="str">
        <f>VLOOKUP(H2386,Stock_list!A:T,16,FALSE)</f>
        <v>JPY</v>
      </c>
      <c r="L2386" s="4">
        <v>44231</v>
      </c>
      <c r="M2386" s="132">
        <v>2</v>
      </c>
      <c r="P2386" s="4" t="str">
        <f>VLOOKUP(H2386,Stock_list!A:Y,25,FALSE)</f>
        <v>Yes</v>
      </c>
      <c r="Q2386" s="143"/>
      <c r="T2386" s="144"/>
      <c r="U2386" s="145" t="str">
        <f>VLOOKUP(H2386,Stock_list!A:N,14,FALSE)</f>
        <v>JAN 21</v>
      </c>
    </row>
    <row r="2387" spans="1:21" ht="16.5" customHeight="1">
      <c r="A2387" s="159" t="s">
        <v>2748</v>
      </c>
      <c r="B2387" s="114" t="str">
        <f>VLOOKUP(A2387,'Data pick slip'!B:F,5,FALSE)</f>
        <v>KHJ-MC400-00</v>
      </c>
      <c r="F2387" s="157" t="s">
        <v>2861</v>
      </c>
      <c r="H2387" s="138">
        <v>872</v>
      </c>
      <c r="I2387" s="285" t="str">
        <f>VLOOKUP(H2387,Stock_list!A:R,18,FALSE)</f>
        <v>东陆</v>
      </c>
      <c r="J2387" s="285" t="str">
        <f>VLOOKUP(H2387,Stock_list!A:S,17,FALSE)</f>
        <v>C49SZX20200180SX</v>
      </c>
      <c r="K2387" s="258" t="str">
        <f>VLOOKUP(H2387,Stock_list!A:T,16,FALSE)</f>
        <v>JPY</v>
      </c>
      <c r="L2387" s="286">
        <v>44231</v>
      </c>
      <c r="M2387" s="283">
        <v>1</v>
      </c>
      <c r="P2387" s="4" t="str">
        <f>VLOOKUP(H2387,Stock_list!A:Y,25,FALSE)</f>
        <v>Yes</v>
      </c>
      <c r="Q2387" s="143"/>
      <c r="T2387" s="144"/>
      <c r="U2387" s="145" t="str">
        <f>VLOOKUP(H2387,Stock_list!A:N,14,FALSE)</f>
        <v>JAN 21</v>
      </c>
    </row>
    <row r="2388" spans="1:21" ht="16.5" customHeight="1">
      <c r="A2388" s="159" t="s">
        <v>2749</v>
      </c>
      <c r="B2388" s="114" t="str">
        <f>VLOOKUP(A2388,'Data pick slip'!B:F,5,FALSE)</f>
        <v>KHJ-MC500-00</v>
      </c>
      <c r="F2388" s="157" t="s">
        <v>2861</v>
      </c>
      <c r="H2388" s="138">
        <v>872</v>
      </c>
      <c r="I2388" s="139" t="str">
        <f>VLOOKUP(H2388,Stock_list!A:R,18,FALSE)</f>
        <v>东陆</v>
      </c>
      <c r="J2388" s="139" t="str">
        <f>VLOOKUP(H2388,Stock_list!A:S,17,FALSE)</f>
        <v>C49SZX20200180SX</v>
      </c>
      <c r="K2388" s="51" t="str">
        <f>VLOOKUP(H2388,Stock_list!A:T,16,FALSE)</f>
        <v>JPY</v>
      </c>
      <c r="L2388" s="4">
        <v>44231</v>
      </c>
      <c r="M2388" s="132">
        <v>1</v>
      </c>
      <c r="P2388" s="4" t="str">
        <f>VLOOKUP(H2388,Stock_list!A:Y,25,FALSE)</f>
        <v>Yes</v>
      </c>
      <c r="Q2388" s="143"/>
      <c r="T2388" s="144"/>
      <c r="U2388" s="145" t="str">
        <f>VLOOKUP(H2388,Stock_list!A:N,14,FALSE)</f>
        <v>JAN 21</v>
      </c>
    </row>
    <row r="2389" spans="1:21" ht="16.5" customHeight="1">
      <c r="A2389" s="159" t="s">
        <v>2744</v>
      </c>
      <c r="B2389" s="114" t="str">
        <f>VLOOKUP(A2389,'Data pick slip'!B:F,5,FALSE)</f>
        <v>KHJ-MC100-00</v>
      </c>
      <c r="F2389" s="157" t="s">
        <v>2861</v>
      </c>
      <c r="H2389" s="138">
        <v>875</v>
      </c>
      <c r="I2389" s="139" t="str">
        <f>VLOOKUP(H2389,Stock_list!A:R,18,FALSE)</f>
        <v>东陆</v>
      </c>
      <c r="J2389" s="139" t="str">
        <f>VLOOKUP(H2389,Stock_list!A:S,17,FALSE)</f>
        <v>C49SZX20200181SX</v>
      </c>
      <c r="K2389" s="51" t="str">
        <f>VLOOKUP(H2389,Stock_list!A:T,16,FALSE)</f>
        <v>JPY</v>
      </c>
      <c r="L2389" s="4">
        <v>44267</v>
      </c>
      <c r="M2389" s="132">
        <v>40</v>
      </c>
      <c r="P2389" s="4" t="str">
        <f>VLOOKUP(H2389,Stock_list!A:Y,25,FALSE)</f>
        <v>Yes</v>
      </c>
      <c r="Q2389" s="143"/>
      <c r="T2389" s="144"/>
      <c r="U2389" s="145" t="str">
        <f>VLOOKUP(H2389,Stock_list!A:N,14,FALSE)</f>
        <v>MAR 21</v>
      </c>
    </row>
    <row r="2390" spans="1:21" ht="16.5" customHeight="1">
      <c r="A2390" s="159" t="s">
        <v>2747</v>
      </c>
      <c r="B2390" s="114" t="str">
        <f>VLOOKUP(A2390,'Data pick slip'!B:F,5,FALSE)</f>
        <v>KHJ-MC200-00</v>
      </c>
      <c r="F2390" s="157" t="s">
        <v>2861</v>
      </c>
      <c r="H2390" s="138">
        <v>875</v>
      </c>
      <c r="I2390" s="139" t="str">
        <f>VLOOKUP(H2390,Stock_list!A:R,18,FALSE)</f>
        <v>东陆</v>
      </c>
      <c r="J2390" s="139" t="str">
        <f>VLOOKUP(H2390,Stock_list!A:S,17,FALSE)</f>
        <v>C49SZX20200181SX</v>
      </c>
      <c r="K2390" s="51" t="str">
        <f>VLOOKUP(H2390,Stock_list!A:T,16,FALSE)</f>
        <v>JPY</v>
      </c>
      <c r="L2390" s="4">
        <v>44267</v>
      </c>
      <c r="M2390" s="132">
        <v>1</v>
      </c>
      <c r="P2390" s="4" t="str">
        <f>VLOOKUP(H2390,Stock_list!A:Y,25,FALSE)</f>
        <v>Yes</v>
      </c>
      <c r="Q2390" s="143"/>
      <c r="T2390" s="144"/>
      <c r="U2390" s="145" t="str">
        <f>VLOOKUP(H2390,Stock_list!A:N,14,FALSE)</f>
        <v>MAR 21</v>
      </c>
    </row>
    <row r="2391" spans="1:21" ht="16.5" customHeight="1">
      <c r="A2391" s="159" t="s">
        <v>2748</v>
      </c>
      <c r="B2391" s="114" t="str">
        <f>VLOOKUP(A2391,'Data pick slip'!B:F,5,FALSE)</f>
        <v>KHJ-MC400-00</v>
      </c>
      <c r="F2391" s="157" t="s">
        <v>2861</v>
      </c>
      <c r="H2391" s="138">
        <v>875</v>
      </c>
      <c r="I2391" s="285" t="str">
        <f>VLOOKUP(H2391,Stock_list!A:R,18,FALSE)</f>
        <v>东陆</v>
      </c>
      <c r="J2391" s="285" t="str">
        <f>VLOOKUP(H2391,Stock_list!A:S,17,FALSE)</f>
        <v>C49SZX20200181SX</v>
      </c>
      <c r="K2391" s="258" t="str">
        <f>VLOOKUP(H2391,Stock_list!A:T,16,FALSE)</f>
        <v>JPY</v>
      </c>
      <c r="L2391" s="286">
        <v>44267</v>
      </c>
      <c r="M2391" s="283">
        <v>1</v>
      </c>
      <c r="P2391" s="4" t="str">
        <f>VLOOKUP(H2391,Stock_list!A:Y,25,FALSE)</f>
        <v>Yes</v>
      </c>
      <c r="Q2391" s="143"/>
      <c r="T2391" s="144"/>
      <c r="U2391" s="145" t="str">
        <f>VLOOKUP(H2391,Stock_list!A:N,14,FALSE)</f>
        <v>MAR 21</v>
      </c>
    </row>
    <row r="2392" spans="1:21" ht="16.5" customHeight="1">
      <c r="A2392" s="159" t="s">
        <v>2744</v>
      </c>
      <c r="B2392" s="114" t="str">
        <f>VLOOKUP(A2392,'Data pick slip'!B:F,5,FALSE)</f>
        <v>KHJ-MC100-00</v>
      </c>
      <c r="F2392" s="157" t="s">
        <v>2773</v>
      </c>
      <c r="H2392" s="138">
        <v>877</v>
      </c>
      <c r="I2392" s="139" t="str">
        <f>VLOOKUP(H2392,Stock_list!A:R,18,FALSE)</f>
        <v>日东（end user：远爱）</v>
      </c>
      <c r="J2392" s="139" t="str">
        <f>VLOOKUP(H2392,Stock_list!A:S,17,FALSE)</f>
        <v>C49SZX20200173MX</v>
      </c>
      <c r="K2392" s="51" t="str">
        <f>VLOOKUP(H2392,Stock_list!A:T,16,FALSE)</f>
        <v>RMB</v>
      </c>
      <c r="L2392" s="4">
        <v>44175</v>
      </c>
      <c r="M2392" s="140">
        <v>21</v>
      </c>
      <c r="P2392" s="4" t="str">
        <f>VLOOKUP(H2392,Stock_list!A:Y,25,FALSE)</f>
        <v>Yes</v>
      </c>
      <c r="Q2392" s="133"/>
      <c r="T2392" s="144"/>
      <c r="U2392" s="145" t="str">
        <f>VLOOKUP(H2392,Stock_list!A:N,14,FALSE)</f>
        <v>DEC 20</v>
      </c>
    </row>
    <row r="2393" spans="1:21" ht="16.5" customHeight="1">
      <c r="A2393" s="159" t="s">
        <v>2744</v>
      </c>
      <c r="B2393" s="114" t="str">
        <f>VLOOKUP(A2393,'Data pick slip'!B:F,5,FALSE)</f>
        <v>KHJ-MC100-00</v>
      </c>
      <c r="F2393" s="157" t="s">
        <v>2773</v>
      </c>
      <c r="H2393" s="138">
        <v>737</v>
      </c>
      <c r="I2393" s="139" t="str">
        <f>VLOOKUP(H2393,Stock_list!A:R,18,FALSE)</f>
        <v>捷舜诚</v>
      </c>
      <c r="J2393" s="139" t="str">
        <f>VLOOKUP(H2393,Stock_list!A:S,17,FALSE)</f>
        <v>C49SZX20200109JL</v>
      </c>
      <c r="K2393" s="51" t="str">
        <f>VLOOKUP(H2393,Stock_list!A:T,16,FALSE)</f>
        <v>JPY</v>
      </c>
      <c r="L2393" s="4">
        <v>44117</v>
      </c>
      <c r="M2393" s="140">
        <v>5</v>
      </c>
      <c r="P2393" s="4" t="str">
        <f>VLOOKUP(H2393,Stock_list!A:Y,25,FALSE)</f>
        <v>Yes</v>
      </c>
      <c r="Q2393" s="143"/>
      <c r="S2393" s="123" t="s">
        <v>3003</v>
      </c>
      <c r="T2393" s="144" t="s">
        <v>3357</v>
      </c>
      <c r="U2393" s="145" t="str">
        <f>VLOOKUP(H2393,Stock_list!A:N,14,FALSE)</f>
        <v>OCT 20</v>
      </c>
    </row>
    <row r="2394" spans="1:21" ht="16.5" customHeight="1">
      <c r="A2394" s="159" t="s">
        <v>2744</v>
      </c>
      <c r="B2394" s="114" t="str">
        <f>VLOOKUP(A2394,'Data pick slip'!B:F,5,FALSE)</f>
        <v>KHJ-MC100-00</v>
      </c>
      <c r="F2394" s="157" t="s">
        <v>2773</v>
      </c>
      <c r="I2394" s="139" t="s">
        <v>3093</v>
      </c>
      <c r="J2394" s="139" t="s">
        <v>3358</v>
      </c>
      <c r="K2394" s="51" t="s">
        <v>1246</v>
      </c>
      <c r="L2394" s="4">
        <v>44117</v>
      </c>
      <c r="M2394" s="132">
        <v>160</v>
      </c>
      <c r="P2394" s="4" t="s">
        <v>291</v>
      </c>
      <c r="Q2394" s="143"/>
      <c r="T2394" s="144"/>
      <c r="U2394" s="145" t="e">
        <f>VLOOKUP(H2394,Stock_list!A:N,14,FALSE)</f>
        <v>#N/A</v>
      </c>
    </row>
    <row r="2395" spans="1:21" ht="16.5" customHeight="1">
      <c r="A2395" s="159" t="s">
        <v>2747</v>
      </c>
      <c r="B2395" s="114" t="str">
        <f>VLOOKUP(A2395,'Data pick slip'!B:F,5,FALSE)</f>
        <v>KHJ-MC200-00</v>
      </c>
      <c r="F2395" s="157" t="s">
        <v>2773</v>
      </c>
      <c r="I2395" s="139" t="s">
        <v>3093</v>
      </c>
      <c r="J2395" s="139" t="s">
        <v>3358</v>
      </c>
      <c r="K2395" s="51" t="s">
        <v>1246</v>
      </c>
      <c r="L2395" s="4">
        <v>44117</v>
      </c>
      <c r="M2395" s="132">
        <v>10</v>
      </c>
      <c r="P2395" s="4" t="s">
        <v>291</v>
      </c>
      <c r="Q2395" s="143"/>
      <c r="T2395" s="144"/>
      <c r="U2395" s="145" t="e">
        <f>VLOOKUP(H2395,Stock_list!A:N,14,FALSE)</f>
        <v>#N/A</v>
      </c>
    </row>
    <row r="2396" spans="1:21" ht="16.5" customHeight="1">
      <c r="A2396" s="159" t="s">
        <v>2748</v>
      </c>
      <c r="B2396" s="114" t="str">
        <f>VLOOKUP(A2396,'Data pick slip'!B:F,5,FALSE)</f>
        <v>KHJ-MC400-00</v>
      </c>
      <c r="F2396" s="157" t="s">
        <v>2773</v>
      </c>
      <c r="I2396" s="139" t="s">
        <v>3093</v>
      </c>
      <c r="J2396" s="139" t="s">
        <v>3358</v>
      </c>
      <c r="K2396" s="51" t="s">
        <v>1246</v>
      </c>
      <c r="L2396" s="4">
        <v>44117</v>
      </c>
      <c r="M2396" s="132">
        <v>2</v>
      </c>
      <c r="P2396" s="4" t="s">
        <v>291</v>
      </c>
      <c r="Q2396" s="143"/>
      <c r="T2396" s="144"/>
      <c r="U2396" s="145" t="e">
        <f>VLOOKUP(H2396,Stock_list!A:N,14,FALSE)</f>
        <v>#N/A</v>
      </c>
    </row>
    <row r="2397" spans="1:21" ht="16.5" customHeight="1">
      <c r="A2397" s="159" t="s">
        <v>2744</v>
      </c>
      <c r="B2397" s="114" t="str">
        <f>VLOOKUP(A2397,'Data pick slip'!B:F,5,FALSE)</f>
        <v>KHJ-MC100-00</v>
      </c>
      <c r="F2397" s="157" t="s">
        <v>2861</v>
      </c>
      <c r="H2397" s="138">
        <v>878</v>
      </c>
      <c r="I2397" s="139" t="str">
        <f>VLOOKUP(H2397,Stock_list!A:R,18,FALSE)</f>
        <v>百纳海</v>
      </c>
      <c r="J2397" s="139" t="str">
        <f>VLOOKUP(H2397,Stock_list!A:S,17,FALSE)</f>
        <v>C49SZX20200182JY</v>
      </c>
      <c r="K2397" s="51" t="str">
        <f>VLOOKUP(H2397,Stock_list!A:T,16,FALSE)</f>
        <v>JPY</v>
      </c>
      <c r="L2397" s="4">
        <v>44217</v>
      </c>
      <c r="M2397" s="140">
        <v>40</v>
      </c>
      <c r="P2397" s="4" t="str">
        <f>VLOOKUP(H2397,Stock_list!A:Y,25,FALSE)</f>
        <v>Yes</v>
      </c>
      <c r="Q2397" s="133"/>
      <c r="T2397" s="144"/>
      <c r="U2397" s="145" t="str">
        <f>VLOOKUP(H2397,Stock_list!A:N,14,FALSE)</f>
        <v>JAN 21</v>
      </c>
    </row>
    <row r="2398" spans="1:21" ht="16.5" customHeight="1">
      <c r="A2398" s="159" t="s">
        <v>2744</v>
      </c>
      <c r="B2398" s="114" t="str">
        <f>VLOOKUP(A2398,'Data pick slip'!B:F,5,FALSE)</f>
        <v>KHJ-MC100-00</v>
      </c>
      <c r="F2398" s="157" t="s">
        <v>2773</v>
      </c>
      <c r="H2398" s="138">
        <v>878</v>
      </c>
      <c r="I2398" s="139" t="str">
        <f>VLOOKUP(H2398,Stock_list!A:R,18,FALSE)</f>
        <v>百纳海</v>
      </c>
      <c r="J2398" s="139" t="str">
        <f>VLOOKUP(H2398,Stock_list!A:S,17,FALSE)</f>
        <v>C49SZX20200182JY</v>
      </c>
      <c r="K2398" s="51" t="str">
        <f>VLOOKUP(H2398,Stock_list!A:T,16,FALSE)</f>
        <v>JPY</v>
      </c>
      <c r="L2398" s="4">
        <v>44201</v>
      </c>
      <c r="O2398" s="132">
        <f>40-40</f>
        <v>0</v>
      </c>
      <c r="P2398" s="4" t="str">
        <f>VLOOKUP(H2398,Stock_list!A:Y,25,FALSE)</f>
        <v>Yes</v>
      </c>
      <c r="Q2398" s="133"/>
      <c r="T2398" s="144"/>
      <c r="U2398" s="145" t="str">
        <f>VLOOKUP(H2398,Stock_list!A:N,14,FALSE)</f>
        <v>JAN 21</v>
      </c>
    </row>
    <row r="2399" spans="1:21" ht="16.5" customHeight="1">
      <c r="A2399" s="159" t="s">
        <v>2744</v>
      </c>
      <c r="B2399" s="114" t="str">
        <f>VLOOKUP(A2399,'Data pick slip'!B:F,5,FALSE)</f>
        <v>KHJ-MC100-00</v>
      </c>
      <c r="F2399" s="157" t="s">
        <v>2773</v>
      </c>
      <c r="H2399" s="138">
        <v>880</v>
      </c>
      <c r="I2399" s="139" t="str">
        <f>VLOOKUP(H2399,Stock_list!A:R,18,FALSE)</f>
        <v>亿莱</v>
      </c>
      <c r="J2399" s="139" t="str">
        <f>VLOOKUP(H2399,Stock_list!A:S,17,FALSE)</f>
        <v>C49SZX20200187SX</v>
      </c>
      <c r="K2399" s="51" t="str">
        <f>VLOOKUP(H2399,Stock_list!A:T,16,FALSE)</f>
        <v>RMB</v>
      </c>
      <c r="L2399" s="4">
        <v>44150</v>
      </c>
      <c r="M2399" s="132">
        <v>70</v>
      </c>
      <c r="P2399" s="4" t="str">
        <f>VLOOKUP(H2399,Stock_list!A:Y,25,FALSE)</f>
        <v>Yes</v>
      </c>
      <c r="Q2399" s="133"/>
      <c r="T2399" s="144"/>
      <c r="U2399" s="145" t="str">
        <f>VLOOKUP(H2399,Stock_list!A:N,14,FALSE)</f>
        <v>DEC 20</v>
      </c>
    </row>
    <row r="2400" spans="1:21" ht="16.5" customHeight="1">
      <c r="A2400" s="159" t="s">
        <v>2747</v>
      </c>
      <c r="B2400" s="114" t="str">
        <f>VLOOKUP(A2400,'Data pick slip'!B:F,5,FALSE)</f>
        <v>KHJ-MC200-00</v>
      </c>
      <c r="F2400" s="157" t="s">
        <v>2773</v>
      </c>
      <c r="H2400" s="138">
        <v>880</v>
      </c>
      <c r="I2400" s="139" t="str">
        <f>VLOOKUP(H2400,Stock_list!A:R,18,FALSE)</f>
        <v>亿莱</v>
      </c>
      <c r="J2400" s="139" t="str">
        <f>VLOOKUP(H2400,Stock_list!A:S,17,FALSE)</f>
        <v>C49SZX20200187SX</v>
      </c>
      <c r="K2400" s="51" t="str">
        <f>VLOOKUP(H2400,Stock_list!A:T,16,FALSE)</f>
        <v>RMB</v>
      </c>
      <c r="L2400" s="4">
        <v>44150</v>
      </c>
      <c r="M2400" s="132">
        <v>12</v>
      </c>
      <c r="P2400" s="4" t="str">
        <f>VLOOKUP(H2400,Stock_list!A:Y,25,FALSE)</f>
        <v>Yes</v>
      </c>
      <c r="Q2400" s="133"/>
      <c r="T2400" s="144"/>
      <c r="U2400" s="145" t="str">
        <f>VLOOKUP(H2400,Stock_list!A:N,14,FALSE)</f>
        <v>DEC 20</v>
      </c>
    </row>
    <row r="2401" spans="1:21" ht="16.5" customHeight="1">
      <c r="A2401" s="159" t="s">
        <v>2748</v>
      </c>
      <c r="B2401" s="114" t="str">
        <f>VLOOKUP(A2401,'Data pick slip'!B:F,5,FALSE)</f>
        <v>KHJ-MC400-00</v>
      </c>
      <c r="F2401" s="157" t="s">
        <v>2773</v>
      </c>
      <c r="H2401" s="138">
        <v>880</v>
      </c>
      <c r="I2401" s="139" t="str">
        <f>VLOOKUP(H2401,Stock_list!A:R,18,FALSE)</f>
        <v>亿莱</v>
      </c>
      <c r="J2401" s="139" t="str">
        <f>VLOOKUP(H2401,Stock_list!A:S,17,FALSE)</f>
        <v>C49SZX20200187SX</v>
      </c>
      <c r="K2401" s="51" t="str">
        <f>VLOOKUP(H2401,Stock_list!A:T,16,FALSE)</f>
        <v>RMB</v>
      </c>
      <c r="L2401" s="4">
        <v>44150</v>
      </c>
      <c r="M2401" s="132">
        <v>3</v>
      </c>
      <c r="P2401" s="4" t="str">
        <f>VLOOKUP(H2401,Stock_list!A:Y,25,FALSE)</f>
        <v>Yes</v>
      </c>
      <c r="Q2401" s="133"/>
      <c r="T2401" s="144"/>
      <c r="U2401" s="145" t="str">
        <f>VLOOKUP(H2401,Stock_list!A:N,14,FALSE)</f>
        <v>DEC 20</v>
      </c>
    </row>
    <row r="2402" spans="1:21" ht="16.5" customHeight="1">
      <c r="A2402" s="159" t="s">
        <v>2744</v>
      </c>
      <c r="B2402" s="114" t="str">
        <f>VLOOKUP(A2402,'Data pick slip'!B:F,5,FALSE)</f>
        <v>KHJ-MC100-00</v>
      </c>
      <c r="F2402" s="157" t="s">
        <v>2861</v>
      </c>
      <c r="H2402" s="138">
        <v>882</v>
      </c>
      <c r="I2402" s="139" t="str">
        <f>VLOOKUP(H2402,Stock_list!A:R,18,FALSE)</f>
        <v>派勤</v>
      </c>
      <c r="J2402" s="139" t="str">
        <f>VLOOKUP(H2402,Stock_list!A:S,17,FALSE)</f>
        <v>C49SZX20200113SS</v>
      </c>
      <c r="K2402" s="51" t="str">
        <f>VLOOKUP(H2402,Stock_list!A:T,16,FALSE)</f>
        <v>JPY</v>
      </c>
      <c r="L2402" s="4">
        <v>44227</v>
      </c>
      <c r="M2402" s="132">
        <v>133</v>
      </c>
      <c r="P2402" s="4" t="str">
        <f>VLOOKUP(H2402,Stock_list!A:Y,25,FALSE)</f>
        <v>Yes</v>
      </c>
      <c r="Q2402" s="133"/>
      <c r="T2402" s="144"/>
      <c r="U2402" s="145" t="str">
        <f>VLOOKUP(H2402,Stock_list!A:N,14,FALSE)</f>
        <v>JAN 21</v>
      </c>
    </row>
    <row r="2403" spans="1:21" ht="16.5" customHeight="1">
      <c r="A2403" s="159" t="s">
        <v>2747</v>
      </c>
      <c r="B2403" s="114" t="str">
        <f>VLOOKUP(A2403,'Data pick slip'!B:F,5,FALSE)</f>
        <v>KHJ-MC200-00</v>
      </c>
      <c r="F2403" s="157" t="s">
        <v>2861</v>
      </c>
      <c r="H2403" s="138">
        <v>882</v>
      </c>
      <c r="I2403" s="139" t="str">
        <f>VLOOKUP(H2403,Stock_list!A:R,18,FALSE)</f>
        <v>派勤</v>
      </c>
      <c r="J2403" s="139" t="str">
        <f>VLOOKUP(H2403,Stock_list!A:S,17,FALSE)</f>
        <v>C49SZX20200113SS</v>
      </c>
      <c r="K2403" s="51" t="str">
        <f>VLOOKUP(H2403,Stock_list!A:T,16,FALSE)</f>
        <v>JPY</v>
      </c>
      <c r="L2403" s="4">
        <v>44227</v>
      </c>
      <c r="M2403" s="132">
        <v>24</v>
      </c>
      <c r="P2403" s="4" t="str">
        <f>VLOOKUP(H2403,Stock_list!A:Y,25,FALSE)</f>
        <v>Yes</v>
      </c>
      <c r="Q2403" s="133"/>
      <c r="T2403" s="144"/>
      <c r="U2403" s="145" t="str">
        <f>VLOOKUP(H2403,Stock_list!A:N,14,FALSE)</f>
        <v>JAN 21</v>
      </c>
    </row>
    <row r="2404" spans="1:21" ht="16.5" customHeight="1">
      <c r="A2404" s="159" t="s">
        <v>2748</v>
      </c>
      <c r="B2404" s="114" t="str">
        <f>VLOOKUP(A2404,'Data pick slip'!B:F,5,FALSE)</f>
        <v>KHJ-MC400-00</v>
      </c>
      <c r="F2404" s="157" t="s">
        <v>2861</v>
      </c>
      <c r="H2404" s="138">
        <v>882</v>
      </c>
      <c r="I2404" s="139" t="str">
        <f>VLOOKUP(H2404,Stock_list!A:R,18,FALSE)</f>
        <v>派勤</v>
      </c>
      <c r="J2404" s="285" t="str">
        <f>VLOOKUP(H2404,Stock_list!A:S,17,FALSE)</f>
        <v>C49SZX20200113SS</v>
      </c>
      <c r="K2404" s="258" t="str">
        <f>VLOOKUP(H2404,Stock_list!A:T,16,FALSE)</f>
        <v>JPY</v>
      </c>
      <c r="L2404" s="286">
        <v>44227</v>
      </c>
      <c r="M2404" s="283">
        <v>2</v>
      </c>
      <c r="P2404" s="4" t="str">
        <f>VLOOKUP(H2404,Stock_list!A:Y,25,FALSE)</f>
        <v>Yes</v>
      </c>
      <c r="Q2404" s="133"/>
      <c r="T2404" s="144"/>
      <c r="U2404" s="145" t="str">
        <f>VLOOKUP(H2404,Stock_list!A:N,14,FALSE)</f>
        <v>JAN 21</v>
      </c>
    </row>
    <row r="2405" spans="1:21" ht="16.5" customHeight="1">
      <c r="A2405" s="159" t="s">
        <v>2749</v>
      </c>
      <c r="B2405" s="114" t="str">
        <f>VLOOKUP(A2405,'Data pick slip'!B:F,5,FALSE)</f>
        <v>KHJ-MC500-00</v>
      </c>
      <c r="F2405" s="157" t="s">
        <v>2861</v>
      </c>
      <c r="H2405" s="138">
        <v>882</v>
      </c>
      <c r="I2405" s="139" t="str">
        <f>VLOOKUP(H2405,Stock_list!A:R,18,FALSE)</f>
        <v>派勤</v>
      </c>
      <c r="J2405" s="139" t="str">
        <f>VLOOKUP(H2405,Stock_list!A:S,17,FALSE)</f>
        <v>C49SZX20200113SS</v>
      </c>
      <c r="K2405" s="51" t="str">
        <f>VLOOKUP(H2405,Stock_list!A:T,16,FALSE)</f>
        <v>JPY</v>
      </c>
      <c r="L2405" s="4">
        <v>44227</v>
      </c>
      <c r="M2405" s="132">
        <v>2</v>
      </c>
      <c r="P2405" s="4" t="str">
        <f>VLOOKUP(H2405,Stock_list!A:Y,25,FALSE)</f>
        <v>Yes</v>
      </c>
      <c r="Q2405" s="133"/>
      <c r="T2405" s="144"/>
      <c r="U2405" s="145" t="str">
        <f>VLOOKUP(H2405,Stock_list!A:N,14,FALSE)</f>
        <v>JAN 21</v>
      </c>
    </row>
    <row r="2406" spans="1:21" ht="16.5" customHeight="1">
      <c r="A2406" s="159" t="s">
        <v>2750</v>
      </c>
      <c r="B2406" s="114" t="str">
        <f>VLOOKUP(A2406,'Data pick slip'!B:F,5,FALSE)</f>
        <v>KHJ-MC600-00</v>
      </c>
      <c r="F2406" s="157" t="s">
        <v>2861</v>
      </c>
      <c r="H2406" s="138">
        <v>882</v>
      </c>
      <c r="I2406" s="139" t="str">
        <f>VLOOKUP(H2406,Stock_list!A:R,18,FALSE)</f>
        <v>派勤</v>
      </c>
      <c r="J2406" s="139" t="str">
        <f>VLOOKUP(H2406,Stock_list!A:S,17,FALSE)</f>
        <v>C49SZX20200113SS</v>
      </c>
      <c r="K2406" s="51" t="str">
        <f>VLOOKUP(H2406,Stock_list!A:T,16,FALSE)</f>
        <v>JPY</v>
      </c>
      <c r="L2406" s="4">
        <v>44227</v>
      </c>
      <c r="M2406" s="132">
        <v>1</v>
      </c>
      <c r="P2406" s="4" t="str">
        <f>VLOOKUP(H2406,Stock_list!A:Y,25,FALSE)</f>
        <v>Yes</v>
      </c>
      <c r="Q2406" s="133"/>
      <c r="T2406" s="144"/>
      <c r="U2406" s="145" t="str">
        <f>VLOOKUP(H2406,Stock_list!A:N,14,FALSE)</f>
        <v>JAN 21</v>
      </c>
    </row>
    <row r="2407" spans="1:21" ht="16.5" customHeight="1">
      <c r="A2407" s="159" t="s">
        <v>2751</v>
      </c>
      <c r="B2407" s="114" t="str">
        <f>VLOOKUP(A2407,'Data pick slip'!B:F,5,FALSE)</f>
        <v>KHJ-MC700-00</v>
      </c>
      <c r="F2407" s="157" t="s">
        <v>1381</v>
      </c>
      <c r="H2407" s="138">
        <v>882</v>
      </c>
      <c r="I2407" s="139" t="str">
        <f>VLOOKUP(H2407,Stock_list!A:R,18,FALSE)</f>
        <v>派勤</v>
      </c>
      <c r="J2407" s="139" t="str">
        <f>VLOOKUP(H2407,Stock_list!A:S,17,FALSE)</f>
        <v>C49SZX20200113SS</v>
      </c>
      <c r="K2407" s="51" t="str">
        <f>VLOOKUP(H2407,Stock_list!A:T,16,FALSE)</f>
        <v>JPY</v>
      </c>
      <c r="L2407" s="4">
        <v>44227</v>
      </c>
      <c r="M2407" s="132">
        <v>1</v>
      </c>
      <c r="P2407" s="4" t="str">
        <f>VLOOKUP(H2407,Stock_list!A:Y,25,FALSE)</f>
        <v>Yes</v>
      </c>
      <c r="Q2407" s="133"/>
      <c r="T2407" s="144"/>
      <c r="U2407" s="145" t="str">
        <f>VLOOKUP(H2407,Stock_list!A:N,14,FALSE)</f>
        <v>JAN 21</v>
      </c>
    </row>
    <row r="2408" spans="1:21" ht="16.5" customHeight="1">
      <c r="A2408" s="159" t="s">
        <v>2744</v>
      </c>
      <c r="B2408" s="114" t="str">
        <f>VLOOKUP(A2408,'Data pick slip'!B:F,5,FALSE)</f>
        <v>KHJ-MC100-00</v>
      </c>
      <c r="F2408" s="157" t="s">
        <v>2861</v>
      </c>
      <c r="H2408" s="138">
        <v>885</v>
      </c>
      <c r="I2408" s="139" t="str">
        <f>VLOOKUP(H2408,Stock_list!A:R,18,FALSE)</f>
        <v>光瑞新（end user：海纳科）</v>
      </c>
      <c r="J2408" s="139" t="str">
        <f>VLOOKUP(H2408,Stock_list!A:S,17,FALSE)</f>
        <v>C49SZX20210003JY</v>
      </c>
      <c r="K2408" s="51" t="str">
        <f>VLOOKUP(H2408,Stock_list!A:T,16,FALSE)</f>
        <v>JPY</v>
      </c>
      <c r="L2408" s="4">
        <v>44211</v>
      </c>
      <c r="M2408" s="140">
        <v>16</v>
      </c>
      <c r="P2408" s="4" t="str">
        <f>VLOOKUP(H2408,Stock_list!A:Y,25,FALSE)</f>
        <v>Yes</v>
      </c>
      <c r="Q2408" s="133"/>
      <c r="T2408" s="144"/>
      <c r="U2408" s="145" t="str">
        <f>VLOOKUP(H2408,Stock_list!A:N,14,FALSE)</f>
        <v>JAN 21</v>
      </c>
    </row>
    <row r="2409" spans="1:21" ht="16.5" customHeight="1">
      <c r="A2409" s="159" t="s">
        <v>2747</v>
      </c>
      <c r="B2409" s="114" t="str">
        <f>VLOOKUP(A2409,'Data pick slip'!B:F,5,FALSE)</f>
        <v>KHJ-MC200-00</v>
      </c>
      <c r="F2409" s="157" t="s">
        <v>2861</v>
      </c>
      <c r="H2409" s="138">
        <v>885</v>
      </c>
      <c r="I2409" s="139" t="str">
        <f>VLOOKUP(H2409,Stock_list!A:R,18,FALSE)</f>
        <v>光瑞新（end user：海纳科）</v>
      </c>
      <c r="J2409" s="139" t="str">
        <f>VLOOKUP(H2409,Stock_list!A:S,17,FALSE)</f>
        <v>C49SZX20210003JY</v>
      </c>
      <c r="K2409" s="51" t="str">
        <f>VLOOKUP(H2409,Stock_list!A:T,16,FALSE)</f>
        <v>JPY</v>
      </c>
      <c r="L2409" s="4">
        <v>44211</v>
      </c>
      <c r="M2409" s="140">
        <v>8</v>
      </c>
      <c r="P2409" s="4" t="str">
        <f>VLOOKUP(H2409,Stock_list!A:Y,25,FALSE)</f>
        <v>Yes</v>
      </c>
      <c r="Q2409" s="133"/>
      <c r="T2409" s="144"/>
      <c r="U2409" s="145" t="str">
        <f>VLOOKUP(H2409,Stock_list!A:N,14,FALSE)</f>
        <v>JAN 21</v>
      </c>
    </row>
    <row r="2410" spans="1:21" ht="16.5" customHeight="1">
      <c r="A2410" s="159" t="s">
        <v>2747</v>
      </c>
      <c r="B2410" s="114" t="str">
        <f>VLOOKUP(A2410,'Data pick slip'!B:F,5,FALSE)</f>
        <v>KHJ-MC200-00</v>
      </c>
      <c r="F2410" s="157" t="s">
        <v>2753</v>
      </c>
      <c r="H2410" s="138">
        <v>885</v>
      </c>
      <c r="I2410" s="139" t="str">
        <f>VLOOKUP(H2410,Stock_list!A:R,18,FALSE)</f>
        <v>光瑞新（end user：海纳科）</v>
      </c>
      <c r="J2410" s="139" t="str">
        <f>VLOOKUP(H2410,Stock_list!A:S,17,FALSE)</f>
        <v>C49SZX20210003JY</v>
      </c>
      <c r="K2410" s="51" t="str">
        <f>VLOOKUP(H2410,Stock_list!A:T,16,FALSE)</f>
        <v>JPY</v>
      </c>
      <c r="L2410" s="4">
        <v>44211</v>
      </c>
      <c r="O2410" s="132">
        <f>8-8</f>
        <v>0</v>
      </c>
      <c r="P2410" s="4" t="str">
        <f>VLOOKUP(H2410,Stock_list!A:Y,25,FALSE)</f>
        <v>Yes</v>
      </c>
      <c r="Q2410" s="133"/>
      <c r="T2410" s="144"/>
      <c r="U2410" s="145" t="str">
        <f>VLOOKUP(H2410,Stock_list!A:N,14,FALSE)</f>
        <v>JAN 21</v>
      </c>
    </row>
    <row r="2411" spans="1:21" ht="16.5" customHeight="1">
      <c r="A2411" s="159" t="s">
        <v>2748</v>
      </c>
      <c r="B2411" s="114" t="str">
        <f>VLOOKUP(A2411,'Data pick slip'!B:F,5,FALSE)</f>
        <v>KHJ-MC400-00</v>
      </c>
      <c r="F2411" s="157" t="s">
        <v>2861</v>
      </c>
      <c r="H2411" s="138">
        <v>885</v>
      </c>
      <c r="I2411" s="139" t="str">
        <f>VLOOKUP(H2411,Stock_list!A:R,18,FALSE)</f>
        <v>光瑞新（end user：海纳科）</v>
      </c>
      <c r="J2411" s="285" t="str">
        <f>VLOOKUP(H2411,Stock_list!A:S,17,FALSE)</f>
        <v>C49SZX20210003JY</v>
      </c>
      <c r="K2411" s="258" t="str">
        <f>VLOOKUP(H2411,Stock_list!A:T,16,FALSE)</f>
        <v>JPY</v>
      </c>
      <c r="L2411" s="286">
        <v>44211</v>
      </c>
      <c r="M2411" s="289">
        <v>6</v>
      </c>
      <c r="P2411" s="4" t="str">
        <f>VLOOKUP(H2411,Stock_list!A:Y,25,FALSE)</f>
        <v>Yes</v>
      </c>
      <c r="Q2411" s="133"/>
      <c r="T2411" s="144"/>
      <c r="U2411" s="145" t="str">
        <f>VLOOKUP(H2411,Stock_list!A:N,14,FALSE)</f>
        <v>JAN 21</v>
      </c>
    </row>
    <row r="2412" spans="1:21" ht="16.5" customHeight="1">
      <c r="A2412" s="159" t="s">
        <v>2744</v>
      </c>
      <c r="B2412" s="114" t="str">
        <f>VLOOKUP(A2412,'Data pick slip'!B:F,5,FALSE)</f>
        <v>KHJ-MC100-00</v>
      </c>
      <c r="F2412" s="157" t="s">
        <v>2773</v>
      </c>
      <c r="H2412" s="138">
        <v>1165</v>
      </c>
      <c r="I2412" s="139" t="str">
        <f>VLOOKUP(H2412,Stock_list!A:R,18,FALSE)</f>
        <v>瑞福联</v>
      </c>
      <c r="J2412" s="139" t="str">
        <f>VLOOKUP(H2412,Stock_list!A:S,17,FALSE)</f>
        <v>C49SZX20210056JL</v>
      </c>
      <c r="K2412" s="51" t="str">
        <f>VLOOKUP(H2412,Stock_list!A:T,16,FALSE)</f>
        <v>JPY</v>
      </c>
      <c r="L2412" s="4">
        <v>44128</v>
      </c>
      <c r="O2412" s="132">
        <f>50-50</f>
        <v>0</v>
      </c>
      <c r="P2412" s="4" t="str">
        <f>VLOOKUP(H2412,Stock_list!A:Y,25,FALSE)</f>
        <v>Yes</v>
      </c>
      <c r="Q2412" s="133"/>
      <c r="T2412" s="144"/>
      <c r="U2412" s="145" t="str">
        <f>VLOOKUP(H2412,Stock_list!A:N,14,FALSE)</f>
        <v>MAY 21</v>
      </c>
    </row>
    <row r="2413" spans="1:21" ht="16.5" customHeight="1">
      <c r="A2413" s="159" t="s">
        <v>2744</v>
      </c>
      <c r="B2413" s="114" t="str">
        <f>VLOOKUP(A2413,'Data pick slip'!B:F,5,FALSE)</f>
        <v>KHJ-MC100-00</v>
      </c>
      <c r="F2413" s="157" t="s">
        <v>2861</v>
      </c>
      <c r="H2413" s="138">
        <v>1165</v>
      </c>
      <c r="I2413" s="139" t="str">
        <f>VLOOKUP(H2413,Stock_list!A:R,18,FALSE)</f>
        <v>瑞福联</v>
      </c>
      <c r="J2413" s="139" t="str">
        <f>VLOOKUP(H2413,Stock_list!A:S,17,FALSE)</f>
        <v>C49SZX20210056JL</v>
      </c>
      <c r="K2413" s="51" t="str">
        <f>VLOOKUP(H2413,Stock_list!A:T,16,FALSE)</f>
        <v>JPY</v>
      </c>
      <c r="L2413" s="4">
        <v>44340</v>
      </c>
      <c r="M2413" s="140">
        <v>100</v>
      </c>
      <c r="P2413" s="4" t="str">
        <f>VLOOKUP(H2413,Stock_list!A:Y,25,FALSE)</f>
        <v>Yes</v>
      </c>
      <c r="Q2413" s="133"/>
      <c r="T2413" s="144"/>
      <c r="U2413" s="145" t="str">
        <f>VLOOKUP(H2413,Stock_list!A:N,14,FALSE)</f>
        <v>MAY 21</v>
      </c>
    </row>
    <row r="2414" spans="1:21" ht="16.5" customHeight="1">
      <c r="A2414" s="159" t="s">
        <v>2744</v>
      </c>
      <c r="B2414" s="114" t="str">
        <f>VLOOKUP(A2414,'Data pick slip'!B:F,5,FALSE)</f>
        <v>KHJ-MC100-00</v>
      </c>
      <c r="F2414" s="157" t="s">
        <v>2861</v>
      </c>
      <c r="H2414" s="138">
        <v>887</v>
      </c>
      <c r="I2414" s="139" t="str">
        <f>VLOOKUP(H2414,Stock_list!A:R,18,FALSE)</f>
        <v>维益</v>
      </c>
      <c r="J2414" s="139" t="str">
        <f>VLOOKUP(H2414,Stock_list!A:S,17,FALSE)</f>
        <v>C49SZX20200190SS</v>
      </c>
      <c r="K2414" s="51" t="str">
        <f>VLOOKUP(H2414,Stock_list!A:T,16,FALSE)</f>
        <v>JPY</v>
      </c>
      <c r="L2414" s="4">
        <v>44190</v>
      </c>
      <c r="M2414" s="140">
        <v>30</v>
      </c>
      <c r="P2414" s="4" t="str">
        <f>VLOOKUP(H2414,Stock_list!A:Y,25,FALSE)</f>
        <v>Yes</v>
      </c>
      <c r="Q2414" s="133"/>
      <c r="T2414" s="144"/>
      <c r="U2414" s="145" t="str">
        <f>VLOOKUP(H2414,Stock_list!A:N,14,FALSE)</f>
        <v>DEC 20</v>
      </c>
    </row>
    <row r="2415" spans="1:21" ht="16.5" customHeight="1">
      <c r="A2415" s="159" t="s">
        <v>2744</v>
      </c>
      <c r="B2415" s="114" t="str">
        <f>VLOOKUP(A2415,'Data pick slip'!B:F,5,FALSE)</f>
        <v>KHJ-MC100-00</v>
      </c>
      <c r="F2415" s="157" t="s">
        <v>2773</v>
      </c>
      <c r="H2415" s="138">
        <v>887</v>
      </c>
      <c r="I2415" s="139" t="str">
        <f>VLOOKUP(H2415,Stock_list!A:R,18,FALSE)</f>
        <v>维益</v>
      </c>
      <c r="J2415" s="139" t="str">
        <f>VLOOKUP(H2415,Stock_list!A:S,17,FALSE)</f>
        <v>C49SZX20200190SS</v>
      </c>
      <c r="K2415" s="51" t="str">
        <f>VLOOKUP(H2415,Stock_list!A:T,16,FALSE)</f>
        <v>JPY</v>
      </c>
      <c r="L2415" s="4">
        <v>44138</v>
      </c>
      <c r="O2415" s="132">
        <f>20-20</f>
        <v>0</v>
      </c>
      <c r="P2415" s="4" t="str">
        <f>VLOOKUP(H2415,Stock_list!A:Y,25,FALSE)</f>
        <v>Yes</v>
      </c>
      <c r="Q2415" s="133"/>
      <c r="T2415" s="144"/>
      <c r="U2415" s="145" t="str">
        <f>VLOOKUP(H2415,Stock_list!A:N,14,FALSE)</f>
        <v>DEC 20</v>
      </c>
    </row>
    <row r="2416" spans="1:21" ht="16.5" customHeight="1">
      <c r="A2416" s="159" t="s">
        <v>2744</v>
      </c>
      <c r="B2416" s="114" t="str">
        <f>VLOOKUP(A2416,'Data pick slip'!B:F,5,FALSE)</f>
        <v>KHJ-MC100-00</v>
      </c>
      <c r="F2416" s="157" t="s">
        <v>2861</v>
      </c>
      <c r="H2416" s="138">
        <v>888</v>
      </c>
      <c r="I2416" s="139" t="str">
        <f>VLOOKUP(H2416,Stock_list!A:R,18,FALSE)</f>
        <v>晨鑫达</v>
      </c>
      <c r="J2416" s="139" t="str">
        <f>VLOOKUP(H2416,Stock_list!A:S,17,FALSE)</f>
        <v>C49SZX20200193SX</v>
      </c>
      <c r="K2416" s="51" t="str">
        <f>VLOOKUP(H2416,Stock_list!A:T,16,FALSE)</f>
        <v>USD</v>
      </c>
      <c r="L2416" s="4">
        <v>44128</v>
      </c>
      <c r="M2416" s="132">
        <v>10</v>
      </c>
      <c r="P2416" s="4" t="str">
        <f>VLOOKUP(H2416,Stock_list!A:Y,25,FALSE)</f>
        <v>Yes</v>
      </c>
      <c r="Q2416" s="143"/>
      <c r="T2416" s="144"/>
      <c r="U2416" s="145" t="str">
        <f>VLOOKUP(H2416,Stock_list!A:N,14,FALSE)</f>
        <v>OCT 20</v>
      </c>
    </row>
    <row r="2417" spans="1:21" ht="16.5" customHeight="1">
      <c r="A2417" s="159" t="s">
        <v>2747</v>
      </c>
      <c r="B2417" s="114" t="str">
        <f>VLOOKUP(A2417,'Data pick slip'!B:F,5,FALSE)</f>
        <v>KHJ-MC200-00</v>
      </c>
      <c r="F2417" s="157" t="s">
        <v>2861</v>
      </c>
      <c r="H2417" s="138">
        <v>888</v>
      </c>
      <c r="I2417" s="139" t="str">
        <f>VLOOKUP(H2417,Stock_list!A:R,18,FALSE)</f>
        <v>晨鑫达</v>
      </c>
      <c r="J2417" s="139" t="str">
        <f>VLOOKUP(H2417,Stock_list!A:S,17,FALSE)</f>
        <v>C49SZX20200193SX</v>
      </c>
      <c r="K2417" s="51" t="str">
        <f>VLOOKUP(H2417,Stock_list!A:T,16,FALSE)</f>
        <v>USD</v>
      </c>
      <c r="L2417" s="4">
        <v>44128</v>
      </c>
      <c r="M2417" s="132">
        <v>12</v>
      </c>
      <c r="P2417" s="4" t="str">
        <f>VLOOKUP(H2417,Stock_list!A:Y,25,FALSE)</f>
        <v>Yes</v>
      </c>
      <c r="Q2417" s="143"/>
      <c r="T2417" s="144"/>
      <c r="U2417" s="145" t="str">
        <f>VLOOKUP(H2417,Stock_list!A:N,14,FALSE)</f>
        <v>OCT 20</v>
      </c>
    </row>
    <row r="2418" spans="1:21" ht="16.5" customHeight="1">
      <c r="A2418" s="159" t="s">
        <v>2748</v>
      </c>
      <c r="B2418" s="114" t="str">
        <f>VLOOKUP(A2418,'Data pick slip'!B:F,5,FALSE)</f>
        <v>KHJ-MC400-00</v>
      </c>
      <c r="F2418" s="157" t="s">
        <v>2861</v>
      </c>
      <c r="H2418" s="138">
        <v>888</v>
      </c>
      <c r="I2418" s="139" t="str">
        <f>VLOOKUP(H2418,Stock_list!A:R,18,FALSE)</f>
        <v>晨鑫达</v>
      </c>
      <c r="J2418" s="139" t="str">
        <f>VLOOKUP(H2418,Stock_list!A:S,17,FALSE)</f>
        <v>C49SZX20200193SX</v>
      </c>
      <c r="K2418" s="51" t="str">
        <f>VLOOKUP(H2418,Stock_list!A:T,16,FALSE)</f>
        <v>USD</v>
      </c>
      <c r="L2418" s="4">
        <v>44128</v>
      </c>
      <c r="M2418" s="132">
        <v>4</v>
      </c>
      <c r="P2418" s="4" t="str">
        <f>VLOOKUP(H2418,Stock_list!A:Y,25,FALSE)</f>
        <v>Yes</v>
      </c>
      <c r="Q2418" s="143"/>
      <c r="T2418" s="144"/>
      <c r="U2418" s="145" t="str">
        <f>VLOOKUP(H2418,Stock_list!A:N,14,FALSE)</f>
        <v>OCT 20</v>
      </c>
    </row>
    <row r="2419" spans="1:21" ht="16.5" customHeight="1">
      <c r="A2419" s="159" t="s">
        <v>2749</v>
      </c>
      <c r="B2419" s="114" t="str">
        <f>VLOOKUP(A2419,'Data pick slip'!B:F,5,FALSE)</f>
        <v>KHJ-MC500-00</v>
      </c>
      <c r="F2419" s="157" t="s">
        <v>2861</v>
      </c>
      <c r="H2419" s="138">
        <v>888</v>
      </c>
      <c r="I2419" s="139" t="str">
        <f>VLOOKUP(H2419,Stock_list!A:R,18,FALSE)</f>
        <v>晨鑫达</v>
      </c>
      <c r="J2419" s="139" t="str">
        <f>VLOOKUP(H2419,Stock_list!A:S,17,FALSE)</f>
        <v>C49SZX20200193SX</v>
      </c>
      <c r="K2419" s="51" t="str">
        <f>VLOOKUP(H2419,Stock_list!A:T,16,FALSE)</f>
        <v>USD</v>
      </c>
      <c r="L2419" s="4">
        <v>44128</v>
      </c>
      <c r="M2419" s="132">
        <v>2</v>
      </c>
      <c r="P2419" s="4" t="str">
        <f>VLOOKUP(H2419,Stock_list!A:Y,25,FALSE)</f>
        <v>Yes</v>
      </c>
      <c r="Q2419" s="143"/>
      <c r="T2419" s="144"/>
      <c r="U2419" s="145" t="str">
        <f>VLOOKUP(H2419,Stock_list!A:N,14,FALSE)</f>
        <v>OCT 20</v>
      </c>
    </row>
    <row r="2420" spans="1:21" ht="16.5" customHeight="1">
      <c r="A2420" s="159" t="s">
        <v>2750</v>
      </c>
      <c r="B2420" s="114" t="str">
        <f>VLOOKUP(A2420,'Data pick slip'!B:F,5,FALSE)</f>
        <v>KHJ-MC600-00</v>
      </c>
      <c r="F2420" s="157" t="s">
        <v>2861</v>
      </c>
      <c r="H2420" s="138">
        <v>888</v>
      </c>
      <c r="I2420" s="139" t="str">
        <f>VLOOKUP(H2420,Stock_list!A:R,18,FALSE)</f>
        <v>晨鑫达</v>
      </c>
      <c r="J2420" s="139" t="str">
        <f>VLOOKUP(H2420,Stock_list!A:S,17,FALSE)</f>
        <v>C49SZX20200193SX</v>
      </c>
      <c r="K2420" s="51" t="str">
        <f>VLOOKUP(H2420,Stock_list!A:T,16,FALSE)</f>
        <v>USD</v>
      </c>
      <c r="L2420" s="4">
        <v>44128</v>
      </c>
      <c r="M2420" s="132">
        <v>1</v>
      </c>
      <c r="P2420" s="4" t="str">
        <f>VLOOKUP(H2420,Stock_list!A:Y,25,FALSE)</f>
        <v>Yes</v>
      </c>
      <c r="Q2420" s="143"/>
      <c r="T2420" s="144"/>
      <c r="U2420" s="145" t="str">
        <f>VLOOKUP(H2420,Stock_list!A:N,14,FALSE)</f>
        <v>OCT 20</v>
      </c>
    </row>
    <row r="2421" spans="1:21" ht="16.5" customHeight="1">
      <c r="A2421" s="159" t="s">
        <v>2744</v>
      </c>
      <c r="B2421" s="114" t="str">
        <f>VLOOKUP(A2421,'Data pick slip'!B:F,5,FALSE)</f>
        <v>KHJ-MC100-00</v>
      </c>
      <c r="F2421" s="157" t="s">
        <v>2861</v>
      </c>
      <c r="H2421" s="138">
        <v>889</v>
      </c>
      <c r="I2421" s="139" t="str">
        <f>VLOOKUP(H2421,Stock_list!A:R,18,FALSE)</f>
        <v>泰鑫荣</v>
      </c>
      <c r="J2421" s="139" t="str">
        <f>VLOOKUP(H2421,Stock_list!A:S,17,FALSE)</f>
        <v>C49SZX20200195SS</v>
      </c>
      <c r="K2421" s="51" t="str">
        <f>VLOOKUP(H2421,Stock_list!A:T,16,FALSE)</f>
        <v>JPY</v>
      </c>
      <c r="L2421" s="4">
        <v>44222</v>
      </c>
      <c r="M2421" s="132">
        <v>25</v>
      </c>
      <c r="P2421" s="4" t="str">
        <f>VLOOKUP(H2421,Stock_list!A:Y,25,FALSE)</f>
        <v>Yes</v>
      </c>
      <c r="Q2421" s="133"/>
      <c r="T2421" s="144"/>
      <c r="U2421" s="145" t="str">
        <f>VLOOKUP(H2421,Stock_list!A:N,14,FALSE)</f>
        <v>JAN 21</v>
      </c>
    </row>
    <row r="2422" spans="1:21" ht="16.5" customHeight="1">
      <c r="A2422" s="159" t="s">
        <v>2747</v>
      </c>
      <c r="B2422" s="114" t="str">
        <f>VLOOKUP(A2422,'Data pick slip'!B:F,5,FALSE)</f>
        <v>KHJ-MC200-00</v>
      </c>
      <c r="F2422" s="157" t="s">
        <v>2861</v>
      </c>
      <c r="H2422" s="138">
        <v>889</v>
      </c>
      <c r="I2422" s="139" t="str">
        <f>VLOOKUP(H2422,Stock_list!A:R,18,FALSE)</f>
        <v>泰鑫荣</v>
      </c>
      <c r="J2422" s="139" t="str">
        <f>VLOOKUP(H2422,Stock_list!A:S,17,FALSE)</f>
        <v>C49SZX20200195SS</v>
      </c>
      <c r="K2422" s="51" t="str">
        <f>VLOOKUP(H2422,Stock_list!A:T,16,FALSE)</f>
        <v>JPY</v>
      </c>
      <c r="L2422" s="4">
        <v>44222</v>
      </c>
      <c r="M2422" s="132">
        <v>5</v>
      </c>
      <c r="P2422" s="4" t="str">
        <f>VLOOKUP(H2422,Stock_list!A:Y,25,FALSE)</f>
        <v>Yes</v>
      </c>
      <c r="Q2422" s="133"/>
      <c r="T2422" s="144"/>
      <c r="U2422" s="145" t="str">
        <f>VLOOKUP(H2422,Stock_list!A:N,14,FALSE)</f>
        <v>JAN 21</v>
      </c>
    </row>
    <row r="2423" spans="1:21" ht="16.5" customHeight="1">
      <c r="A2423" s="159" t="s">
        <v>2744</v>
      </c>
      <c r="B2423" s="114" t="str">
        <f>VLOOKUP(A2423,'Data pick slip'!B:F,5,FALSE)</f>
        <v>KHJ-MC100-00</v>
      </c>
      <c r="F2423" s="157" t="s">
        <v>2773</v>
      </c>
      <c r="I2423" s="139" t="s">
        <v>3099</v>
      </c>
      <c r="J2423" s="139" t="s">
        <v>3359</v>
      </c>
      <c r="K2423" s="51" t="s">
        <v>1246</v>
      </c>
      <c r="L2423" s="4">
        <v>44123</v>
      </c>
      <c r="M2423" s="140">
        <v>10</v>
      </c>
      <c r="P2423" s="4" t="s">
        <v>291</v>
      </c>
      <c r="Q2423" s="143"/>
      <c r="T2423" s="144"/>
      <c r="U2423" s="145" t="e">
        <f>VLOOKUP(H2423,Stock_list!A:N,14,FALSE)</f>
        <v>#N/A</v>
      </c>
    </row>
    <row r="2424" spans="1:21" ht="16.5" customHeight="1">
      <c r="A2424" s="159" t="s">
        <v>2750</v>
      </c>
      <c r="B2424" s="114" t="str">
        <f>VLOOKUP(A2424,'Data pick slip'!B:F,5,FALSE)</f>
        <v>KHJ-MC600-00</v>
      </c>
      <c r="F2424" s="157" t="s">
        <v>2773</v>
      </c>
      <c r="I2424" s="139" t="s">
        <v>3099</v>
      </c>
      <c r="J2424" s="139" t="s">
        <v>3360</v>
      </c>
      <c r="K2424" s="51" t="s">
        <v>1246</v>
      </c>
      <c r="L2424" s="143" t="s">
        <v>3308</v>
      </c>
      <c r="M2424" s="140">
        <v>1</v>
      </c>
      <c r="P2424" s="4" t="s">
        <v>291</v>
      </c>
      <c r="Q2424" s="143"/>
      <c r="T2424" s="144"/>
      <c r="U2424" s="145" t="e">
        <f>VLOOKUP(H2424,Stock_list!A:N,14,FALSE)</f>
        <v>#N/A</v>
      </c>
    </row>
    <row r="2425" spans="1:21" ht="16.5" customHeight="1">
      <c r="A2425" s="159" t="s">
        <v>2750</v>
      </c>
      <c r="B2425" s="114" t="str">
        <f>VLOOKUP(A2425,'Data pick slip'!B:F,5,FALSE)</f>
        <v>KHJ-MC600-00</v>
      </c>
      <c r="F2425" s="157" t="s">
        <v>2861</v>
      </c>
      <c r="I2425" s="139" t="s">
        <v>3015</v>
      </c>
      <c r="J2425" s="139" t="s">
        <v>3361</v>
      </c>
      <c r="K2425" s="51" t="s">
        <v>1246</v>
      </c>
      <c r="L2425" s="4">
        <v>44127</v>
      </c>
      <c r="M2425" s="140">
        <v>4</v>
      </c>
      <c r="P2425" s="4" t="s">
        <v>291</v>
      </c>
      <c r="Q2425" s="143"/>
      <c r="T2425" s="144"/>
      <c r="U2425" s="145" t="e">
        <f>VLOOKUP(H2425,Stock_list!A:N,14,FALSE)</f>
        <v>#N/A</v>
      </c>
    </row>
    <row r="2426" spans="1:21" ht="16.5" customHeight="1">
      <c r="A2426" s="159" t="s">
        <v>2747</v>
      </c>
      <c r="B2426" s="114" t="str">
        <f>VLOOKUP(A2426,'Data pick slip'!B:F,5,FALSE)</f>
        <v>KHJ-MC200-00</v>
      </c>
      <c r="F2426" s="157" t="s">
        <v>2861</v>
      </c>
      <c r="I2426" s="139" t="s">
        <v>3015</v>
      </c>
      <c r="J2426" s="139" t="s">
        <v>3361</v>
      </c>
      <c r="K2426" s="51" t="s">
        <v>1246</v>
      </c>
      <c r="L2426" s="4">
        <v>44127</v>
      </c>
      <c r="M2426" s="140">
        <v>13</v>
      </c>
      <c r="P2426" s="4" t="s">
        <v>291</v>
      </c>
      <c r="Q2426" s="143"/>
      <c r="T2426" s="144"/>
      <c r="U2426" s="145" t="e">
        <f>VLOOKUP(H2426,Stock_list!A:N,14,FALSE)</f>
        <v>#N/A</v>
      </c>
    </row>
    <row r="2427" spans="1:21" ht="16.5" customHeight="1">
      <c r="A2427" s="159" t="s">
        <v>2748</v>
      </c>
      <c r="B2427" s="114" t="str">
        <f>VLOOKUP(A2427,'Data pick slip'!B:F,5,FALSE)</f>
        <v>KHJ-MC400-00</v>
      </c>
      <c r="F2427" s="157" t="s">
        <v>2861</v>
      </c>
      <c r="I2427" s="139" t="s">
        <v>3015</v>
      </c>
      <c r="J2427" s="139" t="s">
        <v>3361</v>
      </c>
      <c r="K2427" s="51" t="s">
        <v>1246</v>
      </c>
      <c r="L2427" s="4">
        <v>44127</v>
      </c>
      <c r="M2427" s="140">
        <v>4</v>
      </c>
      <c r="P2427" s="4" t="s">
        <v>291</v>
      </c>
      <c r="Q2427" s="143"/>
      <c r="T2427" s="144"/>
      <c r="U2427" s="145" t="e">
        <f>VLOOKUP(H2427,Stock_list!A:N,14,FALSE)</f>
        <v>#N/A</v>
      </c>
    </row>
    <row r="2428" spans="1:21" ht="16.5" customHeight="1">
      <c r="A2428" s="159" t="s">
        <v>2749</v>
      </c>
      <c r="B2428" s="114" t="str">
        <f>VLOOKUP(A2428,'Data pick slip'!B:F,5,FALSE)</f>
        <v>KHJ-MC500-00</v>
      </c>
      <c r="F2428" s="157" t="s">
        <v>2861</v>
      </c>
      <c r="I2428" s="139" t="s">
        <v>3015</v>
      </c>
      <c r="J2428" s="139" t="s">
        <v>3361</v>
      </c>
      <c r="K2428" s="51" t="s">
        <v>1246</v>
      </c>
      <c r="L2428" s="4">
        <v>44127</v>
      </c>
      <c r="M2428" s="140">
        <v>5</v>
      </c>
      <c r="P2428" s="4" t="s">
        <v>291</v>
      </c>
      <c r="Q2428" s="143"/>
      <c r="T2428" s="144"/>
      <c r="U2428" s="145" t="e">
        <f>VLOOKUP(H2428,Stock_list!A:N,14,FALSE)</f>
        <v>#N/A</v>
      </c>
    </row>
    <row r="2429" spans="1:21" ht="16.5" customHeight="1">
      <c r="A2429" s="159" t="s">
        <v>2744</v>
      </c>
      <c r="B2429" s="114" t="str">
        <f>VLOOKUP(A2429,'Data pick slip'!B:F,5,FALSE)</f>
        <v>KHJ-MC100-00</v>
      </c>
      <c r="F2429" s="157" t="s">
        <v>2861</v>
      </c>
      <c r="I2429" s="139" t="s">
        <v>3015</v>
      </c>
      <c r="J2429" s="139" t="s">
        <v>3361</v>
      </c>
      <c r="K2429" s="51" t="s">
        <v>1246</v>
      </c>
      <c r="L2429" s="4">
        <v>44127</v>
      </c>
      <c r="M2429" s="140">
        <v>100</v>
      </c>
      <c r="P2429" s="4" t="s">
        <v>291</v>
      </c>
      <c r="Q2429" s="143"/>
      <c r="T2429" s="144"/>
      <c r="U2429" s="145" t="e">
        <f>VLOOKUP(H2429,Stock_list!A:N,14,FALSE)</f>
        <v>#N/A</v>
      </c>
    </row>
    <row r="2430" spans="1:21" ht="16.5" customHeight="1">
      <c r="A2430" s="159" t="s">
        <v>2748</v>
      </c>
      <c r="B2430" s="114" t="str">
        <f>VLOOKUP(A2430,'Data pick slip'!B:F,5,FALSE)</f>
        <v>KHJ-MC400-00</v>
      </c>
      <c r="F2430" s="157" t="s">
        <v>2861</v>
      </c>
      <c r="I2430" s="139" t="s">
        <v>3015</v>
      </c>
      <c r="J2430" s="139" t="s">
        <v>3361</v>
      </c>
      <c r="K2430" s="51" t="s">
        <v>1246</v>
      </c>
      <c r="L2430" s="4">
        <v>44127</v>
      </c>
      <c r="M2430" s="140">
        <v>50</v>
      </c>
      <c r="P2430" s="4" t="s">
        <v>291</v>
      </c>
      <c r="Q2430" s="143"/>
      <c r="T2430" s="144"/>
      <c r="U2430" s="145" t="e">
        <f>VLOOKUP(H2430,Stock_list!A:N,14,FALSE)</f>
        <v>#N/A</v>
      </c>
    </row>
    <row r="2431" spans="1:21" ht="16.5" customHeight="1">
      <c r="A2431" s="159" t="s">
        <v>2749</v>
      </c>
      <c r="B2431" s="114" t="str">
        <f>VLOOKUP(A2431,'Data pick slip'!B:F,5,FALSE)</f>
        <v>KHJ-MC500-00</v>
      </c>
      <c r="F2431" s="157" t="s">
        <v>2861</v>
      </c>
      <c r="I2431" s="139" t="s">
        <v>3015</v>
      </c>
      <c r="J2431" s="139" t="s">
        <v>3361</v>
      </c>
      <c r="K2431" s="51" t="s">
        <v>1246</v>
      </c>
      <c r="L2431" s="4">
        <v>44127</v>
      </c>
      <c r="M2431" s="140">
        <v>16</v>
      </c>
      <c r="P2431" s="4" t="s">
        <v>291</v>
      </c>
      <c r="Q2431" s="143"/>
      <c r="T2431" s="144"/>
      <c r="U2431" s="145" t="e">
        <f>VLOOKUP(H2431,Stock_list!A:N,14,FALSE)</f>
        <v>#N/A</v>
      </c>
    </row>
    <row r="2432" spans="1:21" ht="16.5" customHeight="1">
      <c r="A2432" s="159" t="s">
        <v>2750</v>
      </c>
      <c r="B2432" s="114" t="str">
        <f>VLOOKUP(A2432,'Data pick slip'!B:F,5,FALSE)</f>
        <v>KHJ-MC600-00</v>
      </c>
      <c r="F2432" s="157" t="s">
        <v>2861</v>
      </c>
      <c r="I2432" s="139" t="s">
        <v>3015</v>
      </c>
      <c r="J2432" s="139" t="s">
        <v>3361</v>
      </c>
      <c r="K2432" s="51" t="s">
        <v>1246</v>
      </c>
      <c r="L2432" s="4">
        <v>44127</v>
      </c>
      <c r="M2432" s="140">
        <v>16</v>
      </c>
      <c r="P2432" s="4" t="s">
        <v>291</v>
      </c>
      <c r="Q2432" s="143"/>
      <c r="T2432" s="144"/>
      <c r="U2432" s="145" t="e">
        <f>VLOOKUP(H2432,Stock_list!A:N,14,FALSE)</f>
        <v>#N/A</v>
      </c>
    </row>
    <row r="2433" spans="1:21" ht="16.5" customHeight="1">
      <c r="A2433" s="159" t="s">
        <v>2751</v>
      </c>
      <c r="B2433" s="114" t="str">
        <f>VLOOKUP(A2433,'Data pick slip'!B:F,5,FALSE)</f>
        <v>KHJ-MC700-00</v>
      </c>
      <c r="F2433" s="157" t="s">
        <v>2861</v>
      </c>
      <c r="I2433" s="139" t="s">
        <v>3015</v>
      </c>
      <c r="J2433" s="139" t="s">
        <v>3361</v>
      </c>
      <c r="K2433" s="51" t="s">
        <v>1246</v>
      </c>
      <c r="L2433" s="4">
        <v>44127</v>
      </c>
      <c r="M2433" s="140">
        <v>17</v>
      </c>
      <c r="P2433" s="4" t="s">
        <v>291</v>
      </c>
      <c r="Q2433" s="143"/>
      <c r="T2433" s="144"/>
      <c r="U2433" s="145" t="e">
        <f>VLOOKUP(H2433,Stock_list!A:N,14,FALSE)</f>
        <v>#N/A</v>
      </c>
    </row>
    <row r="2434" spans="1:21" ht="16.5" customHeight="1">
      <c r="A2434" s="159" t="s">
        <v>2752</v>
      </c>
      <c r="B2434" s="114" t="str">
        <f>VLOOKUP(A2434,'Data pick slip'!B:F,5,FALSE)</f>
        <v>KHJ-MC800-00</v>
      </c>
      <c r="F2434" s="157" t="s">
        <v>2861</v>
      </c>
      <c r="I2434" s="139" t="s">
        <v>3015</v>
      </c>
      <c r="J2434" s="139" t="s">
        <v>3361</v>
      </c>
      <c r="K2434" s="51" t="s">
        <v>1246</v>
      </c>
      <c r="L2434" s="4">
        <v>44127</v>
      </c>
      <c r="M2434" s="140">
        <v>7</v>
      </c>
      <c r="P2434" s="4" t="s">
        <v>291</v>
      </c>
      <c r="Q2434" s="143"/>
      <c r="T2434" s="144"/>
      <c r="U2434" s="145" t="e">
        <f>VLOOKUP(H2434,Stock_list!A:N,14,FALSE)</f>
        <v>#N/A</v>
      </c>
    </row>
    <row r="2435" spans="1:21" ht="16.5" customHeight="1">
      <c r="A2435" s="159" t="s">
        <v>2755</v>
      </c>
      <c r="B2435" s="114" t="str">
        <f>VLOOKUP(A2435,'Data pick slip'!B:F,5,FALSE)</f>
        <v>KLJ-MC100-00</v>
      </c>
      <c r="F2435" s="157" t="s">
        <v>2773</v>
      </c>
      <c r="H2435" s="138">
        <v>895</v>
      </c>
      <c r="I2435" s="139" t="str">
        <f>VLOOKUP(H2435,Stock_list!A:R,18,FALSE)</f>
        <v>华彩鑫</v>
      </c>
      <c r="J2435" s="139" t="str">
        <f>VLOOKUP(H2435,Stock_list!A:S,17,FALSE)</f>
        <v>C49SZX20200166DY</v>
      </c>
      <c r="K2435" s="51" t="str">
        <f>VLOOKUP(H2435,Stock_list!A:T,16,FALSE)</f>
        <v>RMB</v>
      </c>
      <c r="L2435" s="4">
        <v>44157</v>
      </c>
      <c r="M2435" s="140">
        <v>10</v>
      </c>
      <c r="P2435" s="4" t="str">
        <f>VLOOKUP(H2435,Stock_list!A:Y,25,FALSE)</f>
        <v>Yes</v>
      </c>
      <c r="Q2435" s="133"/>
      <c r="T2435" s="144"/>
      <c r="U2435" s="145" t="str">
        <f>VLOOKUP(H2435,Stock_list!A:N,14,FALSE)</f>
        <v>NOV 20</v>
      </c>
    </row>
    <row r="2436" spans="1:21" ht="16.5" customHeight="1">
      <c r="A2436" s="159" t="s">
        <v>2744</v>
      </c>
      <c r="B2436" s="114" t="str">
        <f>VLOOKUP(A2436,'Data pick slip'!B:F,5,FALSE)</f>
        <v>KHJ-MC100-00</v>
      </c>
      <c r="F2436" s="157" t="s">
        <v>2773</v>
      </c>
      <c r="H2436" s="138">
        <v>896</v>
      </c>
      <c r="I2436" s="139" t="str">
        <f>VLOOKUP(H2436,Stock_list!A:R,18,FALSE)</f>
        <v>广泰博</v>
      </c>
      <c r="J2436" s="139" t="str">
        <f>VLOOKUP(H2436,Stock_list!A:S,17,FALSE)</f>
        <v>C49SZX20200196EC</v>
      </c>
      <c r="K2436" s="51" t="str">
        <f>VLOOKUP(H2436,Stock_list!A:T,16,FALSE)</f>
        <v>RMB</v>
      </c>
      <c r="L2436" s="4">
        <v>44190</v>
      </c>
      <c r="M2436" s="132">
        <v>2</v>
      </c>
      <c r="P2436" s="4" t="str">
        <f>VLOOKUP(H2436,Stock_list!A:Y,25,FALSE)</f>
        <v>Yes</v>
      </c>
      <c r="Q2436" s="133"/>
      <c r="T2436" s="144"/>
      <c r="U2436" s="145" t="str">
        <f>VLOOKUP(H2436,Stock_list!A:N,14,FALSE)</f>
        <v>DEC 20</v>
      </c>
    </row>
    <row r="2437" spans="1:21" ht="16.5" customHeight="1">
      <c r="A2437" s="159" t="s">
        <v>2747</v>
      </c>
      <c r="B2437" s="114" t="str">
        <f>VLOOKUP(A2437,'Data pick slip'!B:F,5,FALSE)</f>
        <v>KHJ-MC200-00</v>
      </c>
      <c r="F2437" s="157" t="s">
        <v>2773</v>
      </c>
      <c r="H2437" s="138">
        <v>896</v>
      </c>
      <c r="I2437" s="139" t="str">
        <f>VLOOKUP(H2437,Stock_list!A:R,18,FALSE)</f>
        <v>广泰博</v>
      </c>
      <c r="J2437" s="139" t="str">
        <f>VLOOKUP(H2437,Stock_list!A:S,17,FALSE)</f>
        <v>C49SZX20200196EC</v>
      </c>
      <c r="K2437" s="51" t="str">
        <f>VLOOKUP(H2437,Stock_list!A:T,16,FALSE)</f>
        <v>RMB</v>
      </c>
      <c r="L2437" s="4">
        <v>44190</v>
      </c>
      <c r="M2437" s="132">
        <v>2</v>
      </c>
      <c r="P2437" s="4" t="str">
        <f>VLOOKUP(H2437,Stock_list!A:Y,25,FALSE)</f>
        <v>Yes</v>
      </c>
      <c r="Q2437" s="146"/>
      <c r="T2437" s="144"/>
      <c r="U2437" s="145" t="str">
        <f>VLOOKUP(H2437,Stock_list!A:N,14,FALSE)</f>
        <v>DEC 20</v>
      </c>
    </row>
    <row r="2438" spans="1:21" ht="16.5" customHeight="1">
      <c r="A2438" s="159" t="s">
        <v>2744</v>
      </c>
      <c r="B2438" s="114" t="str">
        <f>VLOOKUP(A2438,'Data pick slip'!B:F,5,FALSE)</f>
        <v>KHJ-MC100-00</v>
      </c>
      <c r="F2438" s="157" t="s">
        <v>2861</v>
      </c>
      <c r="I2438" s="139" t="s">
        <v>3015</v>
      </c>
      <c r="J2438" s="139" t="s">
        <v>3362</v>
      </c>
      <c r="K2438" s="51" t="s">
        <v>1246</v>
      </c>
      <c r="L2438" s="4">
        <v>44131</v>
      </c>
      <c r="M2438" s="140">
        <v>148</v>
      </c>
      <c r="P2438" s="4" t="s">
        <v>291</v>
      </c>
      <c r="Q2438" s="143"/>
      <c r="T2438" s="144"/>
      <c r="U2438" s="145" t="e">
        <f>VLOOKUP(H2438,Stock_list!A:N,14,FALSE)</f>
        <v>#N/A</v>
      </c>
    </row>
    <row r="2439" spans="1:21" ht="16.5" customHeight="1">
      <c r="A2439" s="159" t="s">
        <v>2748</v>
      </c>
      <c r="B2439" s="114" t="str">
        <f>VLOOKUP(A2439,'Data pick slip'!B:F,5,FALSE)</f>
        <v>KHJ-MC400-00</v>
      </c>
      <c r="F2439" s="157" t="s">
        <v>2861</v>
      </c>
      <c r="I2439" s="139" t="s">
        <v>3015</v>
      </c>
      <c r="J2439" s="139" t="s">
        <v>3362</v>
      </c>
      <c r="K2439" s="51" t="s">
        <v>1246</v>
      </c>
      <c r="L2439" s="4">
        <v>44131</v>
      </c>
      <c r="M2439" s="140">
        <v>2</v>
      </c>
      <c r="P2439" s="4" t="s">
        <v>291</v>
      </c>
      <c r="Q2439" s="143"/>
      <c r="T2439" s="144"/>
      <c r="U2439" s="145" t="e">
        <f>VLOOKUP(H2439,Stock_list!A:N,14,FALSE)</f>
        <v>#N/A</v>
      </c>
    </row>
    <row r="2440" spans="1:21" ht="16.5" customHeight="1">
      <c r="A2440" s="159" t="s">
        <v>2744</v>
      </c>
      <c r="B2440" s="114" t="str">
        <f>VLOOKUP(A2440,'Data pick slip'!B:F,5,FALSE)</f>
        <v>KHJ-MC100-00</v>
      </c>
      <c r="F2440" s="157" t="s">
        <v>2861</v>
      </c>
      <c r="H2440" s="138">
        <v>900</v>
      </c>
      <c r="I2440" s="139" t="str">
        <f>VLOOKUP(H2440,Stock_list!A:R,18,FALSE)</f>
        <v>阿里兄妹</v>
      </c>
      <c r="J2440" s="139" t="str">
        <f>VLOOKUP(H2440,Stock_list!A:S,17,FALSE)</f>
        <v>C49SZX20200198JZ</v>
      </c>
      <c r="K2440" s="51" t="str">
        <f>VLOOKUP(H2440,Stock_list!A:T,16,FALSE)</f>
        <v>JPY</v>
      </c>
      <c r="L2440" s="4">
        <v>44250</v>
      </c>
      <c r="M2440" s="140">
        <v>20</v>
      </c>
      <c r="P2440" s="4" t="str">
        <f>VLOOKUP(H2440,Stock_list!A:Y,25,FALSE)</f>
        <v>Yes</v>
      </c>
      <c r="Q2440" s="133"/>
      <c r="T2440" s="144"/>
      <c r="U2440" s="145" t="str">
        <f>VLOOKUP(H2440,Stock_list!A:N,14,FALSE)</f>
        <v>FEB 21</v>
      </c>
    </row>
    <row r="2441" spans="1:21" ht="16.5" customHeight="1">
      <c r="A2441" s="159" t="s">
        <v>2744</v>
      </c>
      <c r="B2441" s="114" t="str">
        <f>VLOOKUP(A2441,'Data pick slip'!B:F,5,FALSE)</f>
        <v>KHJ-MC100-00</v>
      </c>
      <c r="F2441" s="157" t="s">
        <v>2773</v>
      </c>
      <c r="I2441" s="139" t="s">
        <v>3093</v>
      </c>
      <c r="J2441" s="139" t="s">
        <v>3363</v>
      </c>
      <c r="K2441" s="51" t="s">
        <v>1246</v>
      </c>
      <c r="L2441" s="4">
        <v>44127</v>
      </c>
      <c r="M2441" s="140">
        <v>20</v>
      </c>
      <c r="P2441" s="4" t="s">
        <v>291</v>
      </c>
      <c r="Q2441" s="143"/>
      <c r="T2441" s="144"/>
      <c r="U2441" s="145" t="e">
        <f>VLOOKUP(H2441,Stock_list!A:N,14,FALSE)</f>
        <v>#N/A</v>
      </c>
    </row>
    <row r="2442" spans="1:21" ht="16.5" customHeight="1">
      <c r="A2442" s="159" t="s">
        <v>2744</v>
      </c>
      <c r="B2442" s="114" t="str">
        <f>VLOOKUP(A2442,'Data pick slip'!B:F,5,FALSE)</f>
        <v>KHJ-MC100-00</v>
      </c>
      <c r="F2442" s="157" t="s">
        <v>2773</v>
      </c>
      <c r="I2442" s="139" t="s">
        <v>3093</v>
      </c>
      <c r="J2442" s="139" t="s">
        <v>3364</v>
      </c>
      <c r="K2442" s="51" t="s">
        <v>1246</v>
      </c>
      <c r="L2442" s="4">
        <v>44133</v>
      </c>
      <c r="M2442" s="140">
        <v>20</v>
      </c>
      <c r="P2442" s="4" t="s">
        <v>291</v>
      </c>
      <c r="Q2442" s="143"/>
      <c r="T2442" s="144"/>
      <c r="U2442" s="145" t="e">
        <f>VLOOKUP(H2442,Stock_list!A:N,14,FALSE)</f>
        <v>#N/A</v>
      </c>
    </row>
    <row r="2443" spans="1:21" ht="16.5" customHeight="1">
      <c r="A2443" s="159" t="s">
        <v>2755</v>
      </c>
      <c r="B2443" s="114" t="str">
        <f>VLOOKUP(A2443,'Data pick slip'!B:F,5,FALSE)</f>
        <v>KLJ-MC100-00</v>
      </c>
      <c r="F2443" s="157" t="s">
        <v>2861</v>
      </c>
      <c r="H2443" s="138">
        <v>901</v>
      </c>
      <c r="I2443" s="139" t="str">
        <f>VLOOKUP(H2443,Stock_list!A:R,18,FALSE)</f>
        <v>鸿南</v>
      </c>
      <c r="J2443" s="139" t="str">
        <f>VLOOKUP(H2443,Stock_list!A:S,17,FALSE)</f>
        <v>C49SZX20200199MZ</v>
      </c>
      <c r="K2443" s="51" t="str">
        <f>VLOOKUP(H2443,Stock_list!A:T,16,FALSE)</f>
        <v>JPY</v>
      </c>
      <c r="L2443" s="4">
        <v>44217</v>
      </c>
      <c r="M2443" s="143">
        <v>100</v>
      </c>
      <c r="P2443" s="4" t="str">
        <f>VLOOKUP(H2443,Stock_list!A:Y,25,FALSE)</f>
        <v>Yes</v>
      </c>
      <c r="Q2443" s="133"/>
      <c r="T2443" s="144"/>
      <c r="U2443" s="145" t="str">
        <f>VLOOKUP(H2443,Stock_list!A:N,14,FALSE)</f>
        <v>JAN 21</v>
      </c>
    </row>
    <row r="2444" spans="1:21" ht="16.5" customHeight="1">
      <c r="A2444" s="159" t="s">
        <v>2756</v>
      </c>
      <c r="B2444" s="114" t="str">
        <f>VLOOKUP(A2444,'Data pick slip'!B:F,5,FALSE)</f>
        <v>KLJ-MC200-00</v>
      </c>
      <c r="F2444" s="157" t="s">
        <v>2753</v>
      </c>
      <c r="H2444" s="138">
        <v>901</v>
      </c>
      <c r="I2444" s="139" t="str">
        <f>VLOOKUP(H2444,Stock_list!A:R,18,FALSE)</f>
        <v>鸿南</v>
      </c>
      <c r="J2444" s="139" t="str">
        <f>VLOOKUP(H2444,Stock_list!A:S,17,FALSE)</f>
        <v>C49SZX20200199MZ</v>
      </c>
      <c r="K2444" s="51" t="str">
        <f>VLOOKUP(H2444,Stock_list!A:T,16,FALSE)</f>
        <v>JPY</v>
      </c>
      <c r="L2444" s="4">
        <v>44217</v>
      </c>
      <c r="M2444" s="143">
        <v>10</v>
      </c>
      <c r="P2444" s="4" t="str">
        <f>VLOOKUP(H2444,Stock_list!A:Y,25,FALSE)</f>
        <v>Yes</v>
      </c>
      <c r="S2444" s="268" t="s">
        <v>2778</v>
      </c>
      <c r="T2444" s="266" t="s">
        <v>3365</v>
      </c>
      <c r="U2444" s="145" t="str">
        <f>VLOOKUP(H2444,Stock_list!A:N,14,FALSE)</f>
        <v>JAN 21</v>
      </c>
    </row>
    <row r="2445" spans="1:21" ht="16.5" customHeight="1">
      <c r="A2445" s="159" t="s">
        <v>2744</v>
      </c>
      <c r="B2445" s="114" t="str">
        <f>VLOOKUP(A2445,'Data pick slip'!B:F,5,FALSE)</f>
        <v>KHJ-MC100-00</v>
      </c>
      <c r="F2445" s="157" t="s">
        <v>2773</v>
      </c>
      <c r="I2445" s="139" t="s">
        <v>3093</v>
      </c>
      <c r="J2445" s="139" t="s">
        <v>3366</v>
      </c>
      <c r="K2445" s="51" t="s">
        <v>1246</v>
      </c>
      <c r="L2445" s="4">
        <v>44137</v>
      </c>
      <c r="M2445" s="140">
        <v>3</v>
      </c>
      <c r="P2445" s="4" t="s">
        <v>291</v>
      </c>
      <c r="Q2445" s="143"/>
      <c r="T2445" s="144"/>
      <c r="U2445" s="145" t="e">
        <f>VLOOKUP(H2445,Stock_list!A:N,14,FALSE)</f>
        <v>#N/A</v>
      </c>
    </row>
    <row r="2446" spans="1:21" ht="16.5" customHeight="1">
      <c r="A2446" s="159" t="s">
        <v>2744</v>
      </c>
      <c r="B2446" s="114" t="str">
        <f>VLOOKUP(A2446,'Data pick slip'!B:F,5,FALSE)</f>
        <v>KHJ-MC100-00</v>
      </c>
      <c r="F2446" s="157" t="s">
        <v>2773</v>
      </c>
      <c r="I2446" s="139" t="s">
        <v>3093</v>
      </c>
      <c r="J2446" s="139" t="s">
        <v>3367</v>
      </c>
      <c r="K2446" s="51" t="s">
        <v>1246</v>
      </c>
      <c r="L2446" s="4">
        <v>44134</v>
      </c>
      <c r="M2446" s="140">
        <v>60</v>
      </c>
      <c r="P2446" s="4" t="s">
        <v>291</v>
      </c>
      <c r="Q2446" s="143"/>
      <c r="T2446" s="144"/>
      <c r="U2446" s="145" t="e">
        <f>VLOOKUP(H2446,Stock_list!A:N,14,FALSE)</f>
        <v>#N/A</v>
      </c>
    </row>
    <row r="2447" spans="1:21" ht="15.75" customHeight="1">
      <c r="A2447" s="159" t="s">
        <v>2744</v>
      </c>
      <c r="B2447" s="114" t="str">
        <f>VLOOKUP(A2447,'Data pick slip'!B:F,5,FALSE)</f>
        <v>KHJ-MC100-00</v>
      </c>
      <c r="F2447" s="157" t="s">
        <v>2861</v>
      </c>
      <c r="H2447" s="138">
        <v>904</v>
      </c>
      <c r="I2447" s="139" t="str">
        <f>VLOOKUP(H2447,Stock_list!A:R,18,FALSE)</f>
        <v>君博信</v>
      </c>
      <c r="J2447" s="139" t="str">
        <f>VLOOKUP(H2447,Stock_list!A:S,17,FALSE)</f>
        <v>C49SZX20200200SS</v>
      </c>
      <c r="K2447" s="51" t="str">
        <f>VLOOKUP(H2447,Stock_list!A:T,16,FALSE)</f>
        <v>JPY</v>
      </c>
      <c r="L2447" s="4">
        <v>44158</v>
      </c>
      <c r="M2447" s="140">
        <v>20</v>
      </c>
      <c r="N2447" s="143"/>
      <c r="P2447" s="4" t="str">
        <f>VLOOKUP(H2447,Stock_list!A:Y,25,FALSE)</f>
        <v>Yes</v>
      </c>
      <c r="Q2447" s="133"/>
      <c r="T2447" s="144"/>
      <c r="U2447" s="145" t="str">
        <f>VLOOKUP(H2447,Stock_list!A:N,14,FALSE)</f>
        <v>NOV 20</v>
      </c>
    </row>
    <row r="2448" spans="1:21" ht="16.5" customHeight="1">
      <c r="A2448" s="159" t="s">
        <v>2744</v>
      </c>
      <c r="B2448" s="114" t="str">
        <f>VLOOKUP(A2448,'Data pick slip'!B:F,5,FALSE)</f>
        <v>KHJ-MC100-00</v>
      </c>
      <c r="F2448" s="157" t="s">
        <v>2861</v>
      </c>
      <c r="I2448" s="139" t="s">
        <v>3015</v>
      </c>
      <c r="J2448" s="139" t="s">
        <v>3368</v>
      </c>
      <c r="K2448" s="51" t="s">
        <v>1246</v>
      </c>
      <c r="L2448" s="4">
        <v>44137</v>
      </c>
      <c r="M2448" s="140">
        <v>152</v>
      </c>
      <c r="P2448" s="4" t="s">
        <v>291</v>
      </c>
      <c r="Q2448" s="143"/>
      <c r="T2448" s="144"/>
      <c r="U2448" s="145" t="e">
        <f>VLOOKUP(H2448,Stock_list!A:N,14,FALSE)</f>
        <v>#N/A</v>
      </c>
    </row>
    <row r="2449" spans="1:21" ht="15.75" customHeight="1">
      <c r="A2449" s="159" t="s">
        <v>2747</v>
      </c>
      <c r="B2449" s="114" t="str">
        <f>VLOOKUP(A2449,'Data pick slip'!B:F,5,FALSE)</f>
        <v>KHJ-MC200-00</v>
      </c>
      <c r="F2449" s="157" t="s">
        <v>2861</v>
      </c>
      <c r="I2449" s="139" t="s">
        <v>3015</v>
      </c>
      <c r="J2449" s="139" t="s">
        <v>3368</v>
      </c>
      <c r="K2449" s="51" t="s">
        <v>1246</v>
      </c>
      <c r="L2449" s="4">
        <v>44137</v>
      </c>
      <c r="M2449" s="140">
        <v>31</v>
      </c>
      <c r="P2449" s="4" t="s">
        <v>291</v>
      </c>
      <c r="Q2449" s="143"/>
      <c r="T2449" s="144"/>
      <c r="U2449" s="145" t="e">
        <f>VLOOKUP(H2449,Stock_list!A:N,14,FALSE)</f>
        <v>#N/A</v>
      </c>
    </row>
    <row r="2450" spans="1:21" ht="16.5" customHeight="1">
      <c r="A2450" s="159" t="s">
        <v>2749</v>
      </c>
      <c r="B2450" s="114" t="str">
        <f>VLOOKUP(A2450,'Data pick slip'!B:F,5,FALSE)</f>
        <v>KHJ-MC500-00</v>
      </c>
      <c r="F2450" s="157" t="s">
        <v>2861</v>
      </c>
      <c r="I2450" s="139" t="s">
        <v>3015</v>
      </c>
      <c r="J2450" s="139" t="s">
        <v>3368</v>
      </c>
      <c r="K2450" s="51" t="s">
        <v>1246</v>
      </c>
      <c r="L2450" s="4">
        <v>44137</v>
      </c>
      <c r="M2450" s="140">
        <v>1</v>
      </c>
      <c r="P2450" s="4" t="s">
        <v>291</v>
      </c>
      <c r="Q2450" s="143"/>
      <c r="T2450" s="144"/>
      <c r="U2450" s="145" t="e">
        <f>VLOOKUP(H2450,Stock_list!A:N,14,FALSE)</f>
        <v>#N/A</v>
      </c>
    </row>
    <row r="2451" spans="1:21" ht="15.75" customHeight="1">
      <c r="A2451" s="159" t="s">
        <v>2744</v>
      </c>
      <c r="B2451" s="114" t="str">
        <f>VLOOKUP(A2451,'Data pick slip'!B:F,5,FALSE)</f>
        <v>KHJ-MC100-00</v>
      </c>
      <c r="F2451" s="157" t="s">
        <v>2773</v>
      </c>
      <c r="I2451" s="139" t="s">
        <v>3093</v>
      </c>
      <c r="J2451" s="139" t="s">
        <v>3369</v>
      </c>
      <c r="K2451" s="51" t="s">
        <v>1246</v>
      </c>
      <c r="L2451" s="4">
        <v>44119</v>
      </c>
      <c r="M2451" s="140">
        <v>110</v>
      </c>
      <c r="P2451" s="4" t="s">
        <v>291</v>
      </c>
      <c r="Q2451" s="143"/>
      <c r="T2451" s="144"/>
      <c r="U2451" s="145" t="e">
        <f>VLOOKUP(H2451,Stock_list!A:N,14,FALSE)</f>
        <v>#N/A</v>
      </c>
    </row>
    <row r="2452" spans="1:21" ht="16.5" customHeight="1">
      <c r="A2452" s="159" t="s">
        <v>2747</v>
      </c>
      <c r="B2452" s="114" t="str">
        <f>VLOOKUP(A2452,'Data pick slip'!B:F,5,FALSE)</f>
        <v>KHJ-MC200-00</v>
      </c>
      <c r="F2452" s="157" t="s">
        <v>2773</v>
      </c>
      <c r="I2452" s="139" t="s">
        <v>3093</v>
      </c>
      <c r="J2452" s="139" t="s">
        <v>3369</v>
      </c>
      <c r="K2452" s="51" t="s">
        <v>1246</v>
      </c>
      <c r="L2452" s="4">
        <v>44119</v>
      </c>
      <c r="M2452" s="140">
        <v>10</v>
      </c>
      <c r="P2452" s="4" t="s">
        <v>291</v>
      </c>
      <c r="Q2452" s="143"/>
      <c r="T2452" s="144"/>
      <c r="U2452" s="145" t="e">
        <f>VLOOKUP(H2452,Stock_list!A:N,14,FALSE)</f>
        <v>#N/A</v>
      </c>
    </row>
    <row r="2453" spans="1:21" ht="15.75" customHeight="1">
      <c r="A2453" s="159" t="s">
        <v>2744</v>
      </c>
      <c r="B2453" s="114" t="str">
        <f>VLOOKUP(A2453,'Data pick slip'!B:F,5,FALSE)</f>
        <v>KHJ-MC100-00</v>
      </c>
      <c r="F2453" s="157" t="s">
        <v>2773</v>
      </c>
      <c r="I2453" s="139" t="s">
        <v>3093</v>
      </c>
      <c r="J2453" s="139" t="s">
        <v>3369</v>
      </c>
      <c r="K2453" s="51" t="s">
        <v>1246</v>
      </c>
      <c r="L2453" s="4">
        <v>44125</v>
      </c>
      <c r="M2453" s="140">
        <v>30</v>
      </c>
      <c r="P2453" s="4" t="s">
        <v>291</v>
      </c>
      <c r="Q2453" s="143"/>
      <c r="T2453" s="144"/>
      <c r="U2453" s="145" t="e">
        <f>VLOOKUP(H2453,Stock_list!A:N,14,FALSE)</f>
        <v>#N/A</v>
      </c>
    </row>
    <row r="2454" spans="1:21" ht="16.5" customHeight="1">
      <c r="A2454" s="159" t="s">
        <v>2750</v>
      </c>
      <c r="B2454" s="114" t="str">
        <f>VLOOKUP(A2454,'Data pick slip'!B:F,5,FALSE)</f>
        <v>KHJ-MC600-00</v>
      </c>
      <c r="F2454" s="157" t="s">
        <v>2773</v>
      </c>
      <c r="I2454" s="139" t="s">
        <v>3093</v>
      </c>
      <c r="J2454" s="139" t="s">
        <v>3370</v>
      </c>
      <c r="K2454" s="51" t="s">
        <v>1246</v>
      </c>
      <c r="L2454" s="4">
        <v>44138</v>
      </c>
      <c r="M2454" s="140">
        <v>1</v>
      </c>
      <c r="P2454" s="4" t="s">
        <v>291</v>
      </c>
      <c r="Q2454" s="143"/>
      <c r="T2454" s="144"/>
      <c r="U2454" s="145" t="e">
        <f>VLOOKUP(H2454,Stock_list!A:N,14,FALSE)</f>
        <v>#N/A</v>
      </c>
    </row>
    <row r="2455" spans="1:21" ht="16.5" customHeight="1">
      <c r="A2455" s="159" t="s">
        <v>2751</v>
      </c>
      <c r="B2455" s="114" t="str">
        <f>VLOOKUP(A2455,'Data pick slip'!B:F,5,FALSE)</f>
        <v>KHJ-MC700-00</v>
      </c>
      <c r="F2455" s="157" t="s">
        <v>2773</v>
      </c>
      <c r="I2455" s="139" t="s">
        <v>3093</v>
      </c>
      <c r="J2455" s="139" t="s">
        <v>3370</v>
      </c>
      <c r="K2455" s="51" t="s">
        <v>1246</v>
      </c>
      <c r="L2455" s="4">
        <v>44138</v>
      </c>
      <c r="M2455" s="140">
        <v>1</v>
      </c>
      <c r="P2455" s="4" t="s">
        <v>291</v>
      </c>
      <c r="Q2455" s="143"/>
      <c r="T2455" s="144"/>
      <c r="U2455" s="145" t="e">
        <f>VLOOKUP(H2455,Stock_list!A:N,14,FALSE)</f>
        <v>#N/A</v>
      </c>
    </row>
    <row r="2456" spans="1:21" ht="16.5" customHeight="1">
      <c r="A2456" s="159" t="s">
        <v>2747</v>
      </c>
      <c r="B2456" s="114" t="str">
        <f>VLOOKUP(A2456,'Data pick slip'!B:F,5,FALSE)</f>
        <v>KHJ-MC200-00</v>
      </c>
      <c r="F2456" s="157" t="s">
        <v>2773</v>
      </c>
      <c r="I2456" s="139" t="s">
        <v>3099</v>
      </c>
      <c r="J2456" s="139" t="s">
        <v>3371</v>
      </c>
      <c r="K2456" s="51" t="s">
        <v>1246</v>
      </c>
      <c r="L2456" s="143" t="s">
        <v>3308</v>
      </c>
      <c r="M2456" s="140">
        <v>4</v>
      </c>
      <c r="P2456" s="4" t="s">
        <v>291</v>
      </c>
      <c r="Q2456" s="143"/>
      <c r="T2456" s="144"/>
      <c r="U2456" s="145" t="e">
        <f>VLOOKUP(H2456,Stock_list!A:N,14,FALSE)</f>
        <v>#N/A</v>
      </c>
    </row>
    <row r="2457" spans="1:21" ht="16.5" customHeight="1">
      <c r="A2457" s="159" t="s">
        <v>2744</v>
      </c>
      <c r="B2457" s="114" t="str">
        <f>VLOOKUP(A2457,'Data pick slip'!B:F,5,FALSE)</f>
        <v>KHJ-MC100-00</v>
      </c>
      <c r="F2457" s="157" t="s">
        <v>2861</v>
      </c>
      <c r="H2457" s="138">
        <v>907</v>
      </c>
      <c r="I2457" s="139" t="str">
        <f>VLOOKUP(H2457,Stock_list!A:R,18,FALSE)</f>
        <v>鑫亿特</v>
      </c>
      <c r="J2457" s="139" t="str">
        <f>VLOOKUP(H2457,Stock_list!A:S,17,FALSE)</f>
        <v>C49SZX20200142SX</v>
      </c>
      <c r="K2457" s="51" t="str">
        <f>VLOOKUP(H2457,Stock_list!A:T,16,FALSE)</f>
        <v>JPY</v>
      </c>
      <c r="L2457" s="4">
        <v>44204</v>
      </c>
      <c r="M2457" s="143">
        <v>150</v>
      </c>
      <c r="P2457" s="4" t="str">
        <f>VLOOKUP(H2457,Stock_list!A:Y,25,FALSE)</f>
        <v>Yes</v>
      </c>
      <c r="Q2457" s="133"/>
      <c r="T2457" s="144"/>
      <c r="U2457" s="145" t="str">
        <f>VLOOKUP(H2457,Stock_list!A:N,14,FALSE)</f>
        <v>JAN 21</v>
      </c>
    </row>
    <row r="2458" spans="1:21" ht="16.5" customHeight="1">
      <c r="A2458" s="159" t="s">
        <v>2747</v>
      </c>
      <c r="B2458" s="114" t="str">
        <f>VLOOKUP(A2458,'Data pick slip'!B:F,5,FALSE)</f>
        <v>KHJ-MC200-00</v>
      </c>
      <c r="F2458" s="157" t="s">
        <v>2861</v>
      </c>
      <c r="H2458" s="138">
        <v>907</v>
      </c>
      <c r="I2458" s="139" t="str">
        <f>VLOOKUP(H2458,Stock_list!A:R,18,FALSE)</f>
        <v>鑫亿特</v>
      </c>
      <c r="J2458" s="139" t="str">
        <f>VLOOKUP(H2458,Stock_list!A:S,17,FALSE)</f>
        <v>C49SZX20200142SX</v>
      </c>
      <c r="K2458" s="51" t="str">
        <f>VLOOKUP(H2458,Stock_list!A:T,16,FALSE)</f>
        <v>JPY</v>
      </c>
      <c r="L2458" s="4">
        <v>44204</v>
      </c>
      <c r="M2458" s="143">
        <v>8</v>
      </c>
      <c r="P2458" s="4" t="str">
        <f>VLOOKUP(H2458,Stock_list!A:Y,25,FALSE)</f>
        <v>Yes</v>
      </c>
      <c r="Q2458" s="133"/>
      <c r="T2458" s="144"/>
      <c r="U2458" s="145" t="str">
        <f>VLOOKUP(H2458,Stock_list!A:N,14,FALSE)</f>
        <v>JAN 21</v>
      </c>
    </row>
    <row r="2459" spans="1:21" ht="16.5" customHeight="1">
      <c r="A2459" s="159" t="s">
        <v>2748</v>
      </c>
      <c r="B2459" s="114" t="str">
        <f>VLOOKUP(A2459,'Data pick slip'!B:F,5,FALSE)</f>
        <v>KHJ-MC400-00</v>
      </c>
      <c r="F2459" s="157" t="s">
        <v>2861</v>
      </c>
      <c r="H2459" s="138">
        <v>907</v>
      </c>
      <c r="I2459" s="139" t="str">
        <f>VLOOKUP(H2459,Stock_list!A:R,18,FALSE)</f>
        <v>鑫亿特</v>
      </c>
      <c r="J2459" s="285" t="str">
        <f>VLOOKUP(H2459,Stock_list!A:S,17,FALSE)</f>
        <v>C49SZX20200142SX</v>
      </c>
      <c r="K2459" s="258" t="str">
        <f>VLOOKUP(H2459,Stock_list!A:T,16,FALSE)</f>
        <v>JPY</v>
      </c>
      <c r="L2459" s="286">
        <v>44204</v>
      </c>
      <c r="M2459" s="288">
        <v>5</v>
      </c>
      <c r="P2459" s="4" t="str">
        <f>VLOOKUP(H2459,Stock_list!A:Y,25,FALSE)</f>
        <v>Yes</v>
      </c>
      <c r="Q2459" s="133"/>
      <c r="T2459" s="144"/>
      <c r="U2459" s="145" t="str">
        <f>VLOOKUP(H2459,Stock_list!A:N,14,FALSE)</f>
        <v>JAN 21</v>
      </c>
    </row>
    <row r="2460" spans="1:21" ht="16.5" customHeight="1">
      <c r="A2460" s="159" t="s">
        <v>2749</v>
      </c>
      <c r="B2460" s="114" t="str">
        <f>VLOOKUP(A2460,'Data pick slip'!B:F,5,FALSE)</f>
        <v>KHJ-MC500-00</v>
      </c>
      <c r="F2460" s="157" t="s">
        <v>2773</v>
      </c>
      <c r="H2460" s="138">
        <v>907</v>
      </c>
      <c r="I2460" s="139" t="str">
        <f>VLOOKUP(H2460,Stock_list!A:R,18,FALSE)</f>
        <v>鑫亿特</v>
      </c>
      <c r="J2460" s="139" t="str">
        <f>VLOOKUP(H2460,Stock_list!A:S,17,FALSE)</f>
        <v>C49SZX20200142SX</v>
      </c>
      <c r="K2460" s="51" t="str">
        <f>VLOOKUP(H2460,Stock_list!A:T,16,FALSE)</f>
        <v>JPY</v>
      </c>
      <c r="L2460" s="4">
        <v>44204</v>
      </c>
      <c r="M2460" s="143">
        <v>2</v>
      </c>
      <c r="P2460" s="4" t="str">
        <f>VLOOKUP(H2460,Stock_list!A:Y,25,FALSE)</f>
        <v>Yes</v>
      </c>
      <c r="Q2460" s="133"/>
      <c r="S2460" s="268" t="s">
        <v>2778</v>
      </c>
      <c r="T2460" s="266" t="s">
        <v>3372</v>
      </c>
      <c r="U2460" s="145" t="str">
        <f>VLOOKUP(H2460,Stock_list!A:N,14,FALSE)</f>
        <v>JAN 21</v>
      </c>
    </row>
    <row r="2461" spans="1:21" ht="16.5" customHeight="1">
      <c r="A2461" s="159" t="s">
        <v>2750</v>
      </c>
      <c r="B2461" s="114" t="str">
        <f>VLOOKUP(A2461,'Data pick slip'!B:F,5,FALSE)</f>
        <v>KHJ-MC600-00</v>
      </c>
      <c r="F2461" s="157" t="s">
        <v>2773</v>
      </c>
      <c r="H2461" s="138">
        <v>907</v>
      </c>
      <c r="I2461" s="139" t="str">
        <f>VLOOKUP(H2461,Stock_list!A:R,18,FALSE)</f>
        <v>鑫亿特</v>
      </c>
      <c r="J2461" s="139" t="str">
        <f>VLOOKUP(H2461,Stock_list!A:S,17,FALSE)</f>
        <v>C49SZX20200142SX</v>
      </c>
      <c r="K2461" s="51" t="str">
        <f>VLOOKUP(H2461,Stock_list!A:T,16,FALSE)</f>
        <v>JPY</v>
      </c>
      <c r="L2461" s="4">
        <v>44204</v>
      </c>
      <c r="M2461" s="143">
        <v>2</v>
      </c>
      <c r="P2461" s="4" t="str">
        <f>VLOOKUP(H2461,Stock_list!A:Y,25,FALSE)</f>
        <v>Yes</v>
      </c>
      <c r="Q2461" s="133"/>
      <c r="S2461" s="268" t="s">
        <v>2778</v>
      </c>
      <c r="T2461" s="266" t="s">
        <v>3372</v>
      </c>
      <c r="U2461" s="145" t="str">
        <f>VLOOKUP(H2461,Stock_list!A:N,14,FALSE)</f>
        <v>JAN 21</v>
      </c>
    </row>
    <row r="2462" spans="1:21" ht="16.5" customHeight="1">
      <c r="A2462" s="159" t="s">
        <v>2744</v>
      </c>
      <c r="B2462" s="114" t="str">
        <f>VLOOKUP(A2462,'Data pick slip'!B:F,5,FALSE)</f>
        <v>KHJ-MC100-00</v>
      </c>
      <c r="F2462" s="157" t="s">
        <v>2861</v>
      </c>
      <c r="H2462" s="138">
        <v>909</v>
      </c>
      <c r="I2462" s="139" t="str">
        <f>VLOOKUP(H2462,Stock_list!A:R,18,FALSE)</f>
        <v>崧盛</v>
      </c>
      <c r="J2462" s="139" t="str">
        <f>VLOOKUP(H2462,Stock_list!A:S,17,FALSE)</f>
        <v>C49SZX20200207MZ</v>
      </c>
      <c r="K2462" s="51" t="str">
        <f>VLOOKUP(H2462,Stock_list!A:T,16,FALSE)</f>
        <v>JPY</v>
      </c>
      <c r="L2462" s="4">
        <v>44225</v>
      </c>
      <c r="M2462" s="143">
        <v>160</v>
      </c>
      <c r="P2462" s="4" t="str">
        <f>VLOOKUP(H2462,Stock_list!A:Y,25,FALSE)</f>
        <v>Yes</v>
      </c>
      <c r="Q2462" s="133"/>
      <c r="T2462" s="144"/>
      <c r="U2462" s="145" t="str">
        <f>VLOOKUP(H2462,Stock_list!A:N,14,FALSE)</f>
        <v>JAN 21</v>
      </c>
    </row>
    <row r="2463" spans="1:21" ht="16.5" customHeight="1">
      <c r="A2463" s="159" t="s">
        <v>2747</v>
      </c>
      <c r="B2463" s="114" t="str">
        <f>VLOOKUP(A2463,'Data pick slip'!B:F,5,FALSE)</f>
        <v>KHJ-MC200-00</v>
      </c>
      <c r="F2463" s="157" t="s">
        <v>2861</v>
      </c>
      <c r="H2463" s="138">
        <v>909</v>
      </c>
      <c r="I2463" s="139" t="str">
        <f>VLOOKUP(H2463,Stock_list!A:R,18,FALSE)</f>
        <v>崧盛</v>
      </c>
      <c r="J2463" s="139" t="str">
        <f>VLOOKUP(H2463,Stock_list!A:S,17,FALSE)</f>
        <v>C49SZX20200207MZ</v>
      </c>
      <c r="K2463" s="51" t="str">
        <f>VLOOKUP(H2463,Stock_list!A:T,16,FALSE)</f>
        <v>JPY</v>
      </c>
      <c r="L2463" s="4">
        <v>44225</v>
      </c>
      <c r="M2463" s="143">
        <v>20</v>
      </c>
      <c r="P2463" s="4" t="str">
        <f>VLOOKUP(H2463,Stock_list!A:Y,25,FALSE)</f>
        <v>Yes</v>
      </c>
      <c r="Q2463" s="133"/>
      <c r="T2463" s="144"/>
      <c r="U2463" s="145" t="str">
        <f>VLOOKUP(H2463,Stock_list!A:N,14,FALSE)</f>
        <v>JAN 21</v>
      </c>
    </row>
    <row r="2464" spans="1:21" ht="16.5" customHeight="1">
      <c r="A2464" s="159" t="s">
        <v>2744</v>
      </c>
      <c r="B2464" s="114" t="str">
        <f>VLOOKUP(A2464,'Data pick slip'!B:F,5,FALSE)</f>
        <v>KHJ-MC100-00</v>
      </c>
      <c r="F2464" s="157" t="s">
        <v>2861</v>
      </c>
      <c r="H2464" s="138">
        <v>912</v>
      </c>
      <c r="I2464" s="139" t="str">
        <f>VLOOKUP(H2464,Stock_list!A:R,18,FALSE)</f>
        <v>崧盛</v>
      </c>
      <c r="J2464" s="139" t="str">
        <f>VLOOKUP(H2464,Stock_list!A:S,17,FALSE)</f>
        <v>C49SZX20200206MZ</v>
      </c>
      <c r="K2464" s="51" t="str">
        <f>VLOOKUP(H2464,Stock_list!A:T,16,FALSE)</f>
        <v>JPY</v>
      </c>
      <c r="L2464" s="4">
        <v>44203</v>
      </c>
      <c r="M2464" s="143">
        <v>200</v>
      </c>
      <c r="P2464" s="4" t="str">
        <f>VLOOKUP(H2464,Stock_list!A:Y,25,FALSE)</f>
        <v>Yes</v>
      </c>
      <c r="Q2464" s="133"/>
      <c r="T2464" s="144"/>
      <c r="U2464" s="145" t="str">
        <f>VLOOKUP(H2464,Stock_list!A:N,14,FALSE)</f>
        <v>JAN 21</v>
      </c>
    </row>
    <row r="2465" spans="1:21" ht="16.5" customHeight="1">
      <c r="A2465" s="159" t="s">
        <v>2747</v>
      </c>
      <c r="B2465" s="114" t="str">
        <f>VLOOKUP(A2465,'Data pick slip'!B:F,5,FALSE)</f>
        <v>KHJ-MC200-00</v>
      </c>
      <c r="F2465" s="157" t="s">
        <v>2861</v>
      </c>
      <c r="H2465" s="138">
        <v>912</v>
      </c>
      <c r="I2465" s="139" t="str">
        <f>VLOOKUP(H2465,Stock_list!A:R,18,FALSE)</f>
        <v>崧盛</v>
      </c>
      <c r="J2465" s="139" t="str">
        <f>VLOOKUP(H2465,Stock_list!A:S,17,FALSE)</f>
        <v>C49SZX20200206MZ</v>
      </c>
      <c r="K2465" s="51" t="str">
        <f>VLOOKUP(H2465,Stock_list!A:T,16,FALSE)</f>
        <v>JPY</v>
      </c>
      <c r="L2465" s="4">
        <v>44203</v>
      </c>
      <c r="M2465" s="143">
        <v>34</v>
      </c>
      <c r="P2465" s="4" t="str">
        <f>VLOOKUP(H2465,Stock_list!A:Y,25,FALSE)</f>
        <v>Yes</v>
      </c>
      <c r="Q2465" s="133"/>
      <c r="T2465" s="144"/>
      <c r="U2465" s="145" t="str">
        <f>VLOOKUP(H2465,Stock_list!A:N,14,FALSE)</f>
        <v>JAN 21</v>
      </c>
    </row>
    <row r="2466" spans="1:21" ht="16.5" customHeight="1">
      <c r="A2466" s="159" t="s">
        <v>2747</v>
      </c>
      <c r="B2466" s="114" t="str">
        <f>VLOOKUP(A2466,'Data pick slip'!B:F,5,FALSE)</f>
        <v>KHJ-MC200-00</v>
      </c>
      <c r="F2466" s="157" t="s">
        <v>1381</v>
      </c>
      <c r="H2466" s="138">
        <v>912</v>
      </c>
      <c r="I2466" s="139" t="str">
        <f>VLOOKUP(H2466,Stock_list!A:R,18,FALSE)</f>
        <v>崧盛</v>
      </c>
      <c r="J2466" s="139" t="str">
        <f>VLOOKUP(H2466,Stock_list!A:S,17,FALSE)</f>
        <v>C49SZX20200206MZ</v>
      </c>
      <c r="K2466" s="51" t="str">
        <f>VLOOKUP(H2466,Stock_list!A:T,16,FALSE)</f>
        <v>JPY</v>
      </c>
      <c r="L2466" s="4">
        <v>44203</v>
      </c>
      <c r="M2466" s="143">
        <v>6</v>
      </c>
      <c r="P2466" s="4" t="str">
        <f>VLOOKUP(H2466,Stock_list!A:Y,25,FALSE)</f>
        <v>Yes</v>
      </c>
      <c r="Q2466" s="133"/>
      <c r="T2466" s="144"/>
      <c r="U2466" s="145" t="str">
        <f>VLOOKUP(H2466,Stock_list!A:N,14,FALSE)</f>
        <v>JAN 21</v>
      </c>
    </row>
    <row r="2467" spans="1:21" ht="16.5" customHeight="1">
      <c r="A2467" s="159" t="s">
        <v>2747</v>
      </c>
      <c r="B2467" s="114" t="str">
        <f>VLOOKUP(A2467,'Data pick slip'!B:F,5,FALSE)</f>
        <v>KHJ-MC200-00</v>
      </c>
      <c r="F2467" s="157" t="s">
        <v>2773</v>
      </c>
      <c r="H2467" s="138">
        <v>912</v>
      </c>
      <c r="I2467" s="139" t="str">
        <f>VLOOKUP(H2467,Stock_list!A:R,18,FALSE)</f>
        <v>崧盛</v>
      </c>
      <c r="J2467" s="139" t="str">
        <f>VLOOKUP(H2467,Stock_list!A:S,17,FALSE)</f>
        <v>C49SZX20200206MZ</v>
      </c>
      <c r="K2467" s="51" t="str">
        <f>VLOOKUP(H2467,Stock_list!A:T,16,FALSE)</f>
        <v>JPY</v>
      </c>
      <c r="L2467" s="4">
        <v>44203</v>
      </c>
      <c r="M2467" s="143"/>
      <c r="O2467" s="132">
        <f>6-6</f>
        <v>0</v>
      </c>
      <c r="P2467" s="4" t="str">
        <f>VLOOKUP(H2467,Stock_list!A:Y,25,FALSE)</f>
        <v>Yes</v>
      </c>
      <c r="Q2467" s="133"/>
      <c r="T2467" s="144"/>
      <c r="U2467" s="145" t="str">
        <f>VLOOKUP(H2467,Stock_list!A:N,14,FALSE)</f>
        <v>JAN 21</v>
      </c>
    </row>
    <row r="2468" spans="1:21" ht="16.5" customHeight="1">
      <c r="A2468" s="159" t="s">
        <v>2744</v>
      </c>
      <c r="B2468" s="114" t="str">
        <f>VLOOKUP(A2468,'Data pick slip'!B:F,5,FALSE)</f>
        <v>KHJ-MC100-00</v>
      </c>
      <c r="F2468" s="157" t="s">
        <v>2861</v>
      </c>
      <c r="H2468" s="138">
        <v>905</v>
      </c>
      <c r="I2468" s="139" t="str">
        <f>VLOOKUP(H2468,Stock_list!A:R,18,FALSE)</f>
        <v>新明海</v>
      </c>
      <c r="J2468" s="139" t="str">
        <f>VLOOKUP(H2468,Stock_list!A:S,17,FALSE)</f>
        <v>C49SZX20200205JZ</v>
      </c>
      <c r="K2468" s="51" t="str">
        <f>VLOOKUP(H2468,Stock_list!A:T,16,FALSE)</f>
        <v>JPY</v>
      </c>
      <c r="L2468" s="4">
        <v>44203</v>
      </c>
      <c r="M2468" s="143">
        <v>25</v>
      </c>
      <c r="P2468" s="4" t="str">
        <f>VLOOKUP(H2468,Stock_list!A:Y,25,FALSE)</f>
        <v>Yes</v>
      </c>
      <c r="Q2468" s="133"/>
      <c r="T2468" s="144"/>
      <c r="U2468" s="145" t="str">
        <f>VLOOKUP(H2468,Stock_list!A:N,14,FALSE)</f>
        <v>JAN 21</v>
      </c>
    </row>
    <row r="2469" spans="1:21" ht="16.5" customHeight="1">
      <c r="A2469" s="159" t="s">
        <v>2747</v>
      </c>
      <c r="B2469" s="114" t="str">
        <f>VLOOKUP(A2469,'Data pick slip'!B:F,5,FALSE)</f>
        <v>KHJ-MC200-00</v>
      </c>
      <c r="F2469" s="157" t="s">
        <v>2861</v>
      </c>
      <c r="H2469" s="138">
        <v>905</v>
      </c>
      <c r="I2469" s="139" t="str">
        <f>VLOOKUP(H2469,Stock_list!A:R,18,FALSE)</f>
        <v>新明海</v>
      </c>
      <c r="J2469" s="139" t="str">
        <f>VLOOKUP(H2469,Stock_list!A:S,17,FALSE)</f>
        <v>C49SZX20200205JZ</v>
      </c>
      <c r="K2469" s="51" t="str">
        <f>VLOOKUP(H2469,Stock_list!A:T,16,FALSE)</f>
        <v>JPY</v>
      </c>
      <c r="L2469" s="4">
        <v>44203</v>
      </c>
      <c r="M2469" s="143">
        <v>7</v>
      </c>
      <c r="P2469" s="4" t="str">
        <f>VLOOKUP(H2469,Stock_list!A:Y,25,FALSE)</f>
        <v>Yes</v>
      </c>
      <c r="Q2469" s="133"/>
      <c r="T2469" s="144"/>
      <c r="U2469" s="145" t="str">
        <f>VLOOKUP(H2469,Stock_list!A:N,14,FALSE)</f>
        <v>JAN 21</v>
      </c>
    </row>
    <row r="2470" spans="1:21" ht="16.5" customHeight="1">
      <c r="A2470" s="159" t="s">
        <v>2748</v>
      </c>
      <c r="B2470" s="114" t="str">
        <f>VLOOKUP(A2470,'Data pick slip'!B:F,5,FALSE)</f>
        <v>KHJ-MC400-00</v>
      </c>
      <c r="F2470" s="157" t="s">
        <v>2861</v>
      </c>
      <c r="H2470" s="138">
        <v>905</v>
      </c>
      <c r="I2470" s="139" t="str">
        <f>VLOOKUP(H2470,Stock_list!A:R,18,FALSE)</f>
        <v>新明海</v>
      </c>
      <c r="J2470" s="285" t="str">
        <f>VLOOKUP(H2470,Stock_list!A:S,17,FALSE)</f>
        <v>C49SZX20200205JZ</v>
      </c>
      <c r="K2470" s="258" t="str">
        <f>VLOOKUP(H2470,Stock_list!A:T,16,FALSE)</f>
        <v>JPY</v>
      </c>
      <c r="L2470" s="286">
        <v>44203</v>
      </c>
      <c r="M2470" s="288">
        <v>4</v>
      </c>
      <c r="P2470" s="4" t="str">
        <f>VLOOKUP(H2470,Stock_list!A:Y,25,FALSE)</f>
        <v>Yes</v>
      </c>
      <c r="Q2470" s="133"/>
      <c r="T2470" s="144"/>
      <c r="U2470" s="145" t="str">
        <f>VLOOKUP(H2470,Stock_list!A:N,14,FALSE)</f>
        <v>JAN 21</v>
      </c>
    </row>
    <row r="2471" spans="1:21" ht="16.5" customHeight="1">
      <c r="A2471" s="159" t="s">
        <v>2744</v>
      </c>
      <c r="B2471" s="114" t="str">
        <f>VLOOKUP(A2471,'Data pick slip'!B:F,5,FALSE)</f>
        <v>KHJ-MC100-00</v>
      </c>
      <c r="F2471" s="157" t="s">
        <v>2861</v>
      </c>
      <c r="H2471" s="138">
        <v>905</v>
      </c>
      <c r="I2471" s="139" t="str">
        <f>VLOOKUP(H2471,Stock_list!A:R,18,FALSE)</f>
        <v>新明海</v>
      </c>
      <c r="J2471" s="139" t="str">
        <f>VLOOKUP(H2471,Stock_list!A:S,17,FALSE)</f>
        <v>C49SZX20200205JZ</v>
      </c>
      <c r="K2471" s="51" t="str">
        <f>VLOOKUP(H2471,Stock_list!A:T,16,FALSE)</f>
        <v>JPY</v>
      </c>
      <c r="L2471" s="4">
        <v>44218</v>
      </c>
      <c r="M2471" s="143">
        <v>25</v>
      </c>
      <c r="P2471" s="4" t="str">
        <f>VLOOKUP(H2471,Stock_list!A:Y,25,FALSE)</f>
        <v>Yes</v>
      </c>
      <c r="Q2471" s="133"/>
      <c r="T2471" s="144"/>
      <c r="U2471" s="145" t="str">
        <f>VLOOKUP(H2471,Stock_list!A:N,14,FALSE)</f>
        <v>JAN 21</v>
      </c>
    </row>
    <row r="2472" spans="1:21" ht="16.5" customHeight="1">
      <c r="A2472" s="159" t="s">
        <v>2747</v>
      </c>
      <c r="B2472" s="114" t="str">
        <f>VLOOKUP(A2472,'Data pick slip'!B:F,5,FALSE)</f>
        <v>KHJ-MC200-00</v>
      </c>
      <c r="F2472" s="157" t="s">
        <v>2861</v>
      </c>
      <c r="H2472" s="138">
        <v>905</v>
      </c>
      <c r="I2472" s="139" t="str">
        <f>VLOOKUP(H2472,Stock_list!A:R,18,FALSE)</f>
        <v>新明海</v>
      </c>
      <c r="J2472" s="139" t="str">
        <f>VLOOKUP(H2472,Stock_list!A:S,17,FALSE)</f>
        <v>C49SZX20200205JZ</v>
      </c>
      <c r="K2472" s="51" t="str">
        <f>VLOOKUP(H2472,Stock_list!A:T,16,FALSE)</f>
        <v>JPY</v>
      </c>
      <c r="L2472" s="4">
        <v>44218</v>
      </c>
      <c r="M2472" s="143">
        <v>7</v>
      </c>
      <c r="P2472" s="4" t="str">
        <f>VLOOKUP(H2472,Stock_list!A:Y,25,FALSE)</f>
        <v>Yes</v>
      </c>
      <c r="Q2472" s="133"/>
      <c r="T2472" s="144"/>
      <c r="U2472" s="145" t="str">
        <f>VLOOKUP(H2472,Stock_list!A:N,14,FALSE)</f>
        <v>JAN 21</v>
      </c>
    </row>
    <row r="2473" spans="1:21" ht="16.5" customHeight="1">
      <c r="A2473" s="159" t="s">
        <v>2748</v>
      </c>
      <c r="B2473" s="114" t="str">
        <f>VLOOKUP(A2473,'Data pick slip'!B:F,5,FALSE)</f>
        <v>KHJ-MC400-00</v>
      </c>
      <c r="F2473" s="157" t="s">
        <v>2861</v>
      </c>
      <c r="H2473" s="138">
        <v>905</v>
      </c>
      <c r="I2473" s="139" t="str">
        <f>VLOOKUP(H2473,Stock_list!A:R,18,FALSE)</f>
        <v>新明海</v>
      </c>
      <c r="J2473" s="285" t="str">
        <f>VLOOKUP(H2473,Stock_list!A:S,17,FALSE)</f>
        <v>C49SZX20200205JZ</v>
      </c>
      <c r="K2473" s="258" t="str">
        <f>VLOOKUP(H2473,Stock_list!A:T,16,FALSE)</f>
        <v>JPY</v>
      </c>
      <c r="L2473" s="286">
        <v>44218</v>
      </c>
      <c r="M2473" s="288">
        <v>4</v>
      </c>
      <c r="P2473" s="4" t="str">
        <f>VLOOKUP(H2473,Stock_list!A:Y,25,FALSE)</f>
        <v>Yes</v>
      </c>
      <c r="Q2473" s="133"/>
      <c r="T2473" s="144"/>
      <c r="U2473" s="145" t="str">
        <f>VLOOKUP(H2473,Stock_list!A:N,14,FALSE)</f>
        <v>JAN 21</v>
      </c>
    </row>
    <row r="2474" spans="1:21" ht="16.5" customHeight="1">
      <c r="A2474" s="159" t="s">
        <v>2749</v>
      </c>
      <c r="B2474" s="114"/>
      <c r="F2474" s="157" t="s">
        <v>2861</v>
      </c>
      <c r="H2474" s="138">
        <v>905</v>
      </c>
      <c r="I2474" s="139" t="str">
        <f>VLOOKUP(H2474,Stock_list!A:R,18,FALSE)</f>
        <v>新明海</v>
      </c>
      <c r="J2474" s="139" t="str">
        <f>VLOOKUP(H2474,Stock_list!A:S,17,FALSE)</f>
        <v>C49SZX20200205JZ</v>
      </c>
      <c r="K2474" s="51" t="str">
        <f>VLOOKUP(H2474,Stock_list!A:T,16,FALSE)</f>
        <v>JPY</v>
      </c>
      <c r="L2474" s="4">
        <v>44218</v>
      </c>
      <c r="M2474" s="143">
        <v>1</v>
      </c>
      <c r="P2474" s="4" t="str">
        <f>VLOOKUP(H2474,Stock_list!A:Y,25,FALSE)</f>
        <v>Yes</v>
      </c>
      <c r="Q2474" s="133"/>
      <c r="T2474" s="144"/>
      <c r="U2474" s="145" t="str">
        <f>VLOOKUP(H2474,Stock_list!A:N,14,FALSE)</f>
        <v>JAN 21</v>
      </c>
    </row>
    <row r="2475" spans="1:21" ht="16.5" customHeight="1">
      <c r="A2475" s="159" t="s">
        <v>2750</v>
      </c>
      <c r="B2475" s="114" t="str">
        <f>VLOOKUP(A2475,'Data pick slip'!B:F,5,FALSE)</f>
        <v>KHJ-MC600-00</v>
      </c>
      <c r="F2475" s="157" t="s">
        <v>2753</v>
      </c>
      <c r="H2475" s="138">
        <v>905</v>
      </c>
      <c r="I2475" s="139" t="str">
        <f>VLOOKUP(H2475,Stock_list!A:R,18,FALSE)</f>
        <v>新明海</v>
      </c>
      <c r="J2475" s="139" t="str">
        <f>VLOOKUP(H2475,Stock_list!A:S,17,FALSE)</f>
        <v>C49SZX20200205JZ</v>
      </c>
      <c r="K2475" s="51" t="str">
        <f>VLOOKUP(H2475,Stock_list!A:T,16,FALSE)</f>
        <v>JPY</v>
      </c>
      <c r="L2475" s="4">
        <v>44218</v>
      </c>
      <c r="M2475" s="143">
        <v>1</v>
      </c>
      <c r="P2475" s="4" t="str">
        <f>VLOOKUP(H2475,Stock_list!A:Y,25,FALSE)</f>
        <v>Yes</v>
      </c>
      <c r="Q2475" s="133"/>
      <c r="S2475" s="268" t="s">
        <v>2778</v>
      </c>
      <c r="T2475" s="266" t="s">
        <v>3372</v>
      </c>
      <c r="U2475" s="145" t="str">
        <f>VLOOKUP(H2475,Stock_list!A:N,14,FALSE)</f>
        <v>JAN 21</v>
      </c>
    </row>
    <row r="2476" spans="1:21" ht="16.5" customHeight="1">
      <c r="A2476" s="159" t="s">
        <v>2750</v>
      </c>
      <c r="B2476" s="114" t="str">
        <f>VLOOKUP(A2476,'Data pick slip'!B:F,5,FALSE)</f>
        <v>KHJ-MC600-00</v>
      </c>
      <c r="F2476" s="157" t="s">
        <v>1381</v>
      </c>
      <c r="H2476" s="138">
        <v>905</v>
      </c>
      <c r="I2476" s="139" t="str">
        <f>VLOOKUP(H2476,Stock_list!A:R,18,FALSE)</f>
        <v>新明海</v>
      </c>
      <c r="J2476" s="139" t="str">
        <f>VLOOKUP(H2476,Stock_list!A:S,17,FALSE)</f>
        <v>C49SZX20200205JZ</v>
      </c>
      <c r="K2476" s="51" t="str">
        <f>VLOOKUP(H2476,Stock_list!A:T,16,FALSE)</f>
        <v>JPY</v>
      </c>
      <c r="L2476" s="4">
        <v>44218</v>
      </c>
      <c r="M2476" s="271" t="s">
        <v>3373</v>
      </c>
      <c r="P2476" s="4" t="str">
        <f>VLOOKUP(H2476,Stock_list!A:Y,25,FALSE)</f>
        <v>Yes</v>
      </c>
      <c r="Q2476" s="133"/>
      <c r="S2476" s="268"/>
      <c r="T2476" s="266"/>
      <c r="U2476" s="145" t="str">
        <f>VLOOKUP(H2476,Stock_list!A:N,14,FALSE)</f>
        <v>JAN 21</v>
      </c>
    </row>
    <row r="2477" spans="1:21" ht="16.5" customHeight="1">
      <c r="A2477" s="159" t="s">
        <v>2744</v>
      </c>
      <c r="B2477" s="114" t="str">
        <f>VLOOKUP(A2477,'Data pick slip'!B:F,5,FALSE)</f>
        <v>KHJ-MC100-00</v>
      </c>
      <c r="F2477" s="157" t="s">
        <v>2773</v>
      </c>
      <c r="H2477" s="138">
        <v>905</v>
      </c>
      <c r="I2477" s="139" t="str">
        <f>VLOOKUP(H2477,Stock_list!A:R,18,FALSE)</f>
        <v>新明海</v>
      </c>
      <c r="J2477" s="139" t="str">
        <f>VLOOKUP(H2477,Stock_list!A:S,17,FALSE)</f>
        <v>C49SZX20200205JZ</v>
      </c>
      <c r="K2477" s="51" t="str">
        <f>VLOOKUP(H2477,Stock_list!A:T,16,FALSE)</f>
        <v>JPY</v>
      </c>
      <c r="L2477" s="4">
        <v>44158</v>
      </c>
      <c r="N2477" s="146"/>
      <c r="O2477" s="143">
        <f>50-25-25</f>
        <v>0</v>
      </c>
      <c r="P2477" s="4" t="str">
        <f>VLOOKUP(H2477,Stock_list!A:Y,25,FALSE)</f>
        <v>Yes</v>
      </c>
      <c r="Q2477" s="133"/>
      <c r="T2477" s="144"/>
      <c r="U2477" s="145" t="str">
        <f>VLOOKUP(H2477,Stock_list!A:N,14,FALSE)</f>
        <v>JAN 21</v>
      </c>
    </row>
    <row r="2478" spans="1:21" ht="16.5" customHeight="1">
      <c r="A2478" s="159" t="s">
        <v>2747</v>
      </c>
      <c r="B2478" s="114" t="str">
        <f>VLOOKUP(A2478,'Data pick slip'!B:F,5,FALSE)</f>
        <v>KHJ-MC200-00</v>
      </c>
      <c r="F2478" s="157" t="s">
        <v>2773</v>
      </c>
      <c r="H2478" s="138">
        <v>905</v>
      </c>
      <c r="I2478" s="139" t="str">
        <f>VLOOKUP(H2478,Stock_list!A:R,18,FALSE)</f>
        <v>新明海</v>
      </c>
      <c r="J2478" s="139" t="str">
        <f>VLOOKUP(H2478,Stock_list!A:S,17,FALSE)</f>
        <v>C49SZX20200205JZ</v>
      </c>
      <c r="K2478" s="51" t="str">
        <f>VLOOKUP(H2478,Stock_list!A:T,16,FALSE)</f>
        <v>JPY</v>
      </c>
      <c r="L2478" s="4">
        <v>44158</v>
      </c>
      <c r="N2478" s="146"/>
      <c r="O2478" s="143">
        <f>14-7-7</f>
        <v>0</v>
      </c>
      <c r="P2478" s="4" t="str">
        <f>VLOOKUP(H2478,Stock_list!A:Y,25,FALSE)</f>
        <v>Yes</v>
      </c>
      <c r="Q2478" s="133"/>
      <c r="T2478" s="144"/>
      <c r="U2478" s="145" t="str">
        <f>VLOOKUP(H2478,Stock_list!A:N,14,FALSE)</f>
        <v>JAN 21</v>
      </c>
    </row>
    <row r="2479" spans="1:21" ht="16.5" customHeight="1">
      <c r="A2479" s="159" t="s">
        <v>2748</v>
      </c>
      <c r="B2479" s="114" t="str">
        <f>VLOOKUP(A2479,'Data pick slip'!B:F,5,FALSE)</f>
        <v>KHJ-MC400-00</v>
      </c>
      <c r="F2479" s="157" t="s">
        <v>2773</v>
      </c>
      <c r="H2479" s="138">
        <v>905</v>
      </c>
      <c r="I2479" s="139" t="str">
        <f>VLOOKUP(H2479,Stock_list!A:R,18,FALSE)</f>
        <v>新明海</v>
      </c>
      <c r="J2479" s="139" t="str">
        <f>VLOOKUP(H2479,Stock_list!A:S,17,FALSE)</f>
        <v>C49SZX20200205JZ</v>
      </c>
      <c r="K2479" s="51" t="str">
        <f>VLOOKUP(H2479,Stock_list!A:T,16,FALSE)</f>
        <v>JPY</v>
      </c>
      <c r="L2479" s="4">
        <v>44158</v>
      </c>
      <c r="N2479" s="146"/>
      <c r="O2479" s="143">
        <f>8-4-4</f>
        <v>0</v>
      </c>
      <c r="P2479" s="4" t="str">
        <f>VLOOKUP(H2479,Stock_list!A:Y,25,FALSE)</f>
        <v>Yes</v>
      </c>
      <c r="Q2479" s="133"/>
      <c r="T2479" s="144"/>
      <c r="U2479" s="145" t="str">
        <f>VLOOKUP(H2479,Stock_list!A:N,14,FALSE)</f>
        <v>JAN 21</v>
      </c>
    </row>
    <row r="2480" spans="1:21" ht="16.5" customHeight="1">
      <c r="A2480" s="159" t="s">
        <v>2749</v>
      </c>
      <c r="B2480" s="114" t="str">
        <f>VLOOKUP(A2480,'Data pick slip'!B:F,5,FALSE)</f>
        <v>KHJ-MC500-00</v>
      </c>
      <c r="F2480" s="157" t="s">
        <v>2773</v>
      </c>
      <c r="H2480" s="138">
        <v>905</v>
      </c>
      <c r="I2480" s="139" t="str">
        <f>VLOOKUP(H2480,Stock_list!A:R,18,FALSE)</f>
        <v>新明海</v>
      </c>
      <c r="J2480" s="139" t="str">
        <f>VLOOKUP(H2480,Stock_list!A:S,17,FALSE)</f>
        <v>C49SZX20200205JZ</v>
      </c>
      <c r="K2480" s="51" t="str">
        <f>VLOOKUP(H2480,Stock_list!A:T,16,FALSE)</f>
        <v>JPY</v>
      </c>
      <c r="L2480" s="4">
        <v>44158</v>
      </c>
      <c r="N2480" s="146"/>
      <c r="O2480" s="143">
        <f>1-1</f>
        <v>0</v>
      </c>
      <c r="P2480" s="4" t="str">
        <f>VLOOKUP(H2480,Stock_list!A:Y,25,FALSE)</f>
        <v>Yes</v>
      </c>
      <c r="Q2480" s="133"/>
      <c r="T2480" s="144"/>
      <c r="U2480" s="145" t="str">
        <f>VLOOKUP(H2480,Stock_list!A:N,14,FALSE)</f>
        <v>JAN 21</v>
      </c>
    </row>
    <row r="2481" spans="1:21" ht="16.5" customHeight="1">
      <c r="A2481" s="159" t="s">
        <v>2750</v>
      </c>
      <c r="B2481" s="114" t="str">
        <f>VLOOKUP(A2481,'Data pick slip'!B:F,5,FALSE)</f>
        <v>KHJ-MC600-00</v>
      </c>
      <c r="F2481" s="157" t="s">
        <v>2773</v>
      </c>
      <c r="H2481" s="138">
        <v>905</v>
      </c>
      <c r="I2481" s="139" t="str">
        <f>VLOOKUP(H2481,Stock_list!A:R,18,FALSE)</f>
        <v>新明海</v>
      </c>
      <c r="J2481" s="139" t="str">
        <f>VLOOKUP(H2481,Stock_list!A:S,17,FALSE)</f>
        <v>C49SZX20200205JZ</v>
      </c>
      <c r="K2481" s="51" t="str">
        <f>VLOOKUP(H2481,Stock_list!A:T,16,FALSE)</f>
        <v>JPY</v>
      </c>
      <c r="L2481" s="4">
        <v>44158</v>
      </c>
      <c r="N2481" s="146"/>
      <c r="O2481" s="143">
        <f>1-1</f>
        <v>0</v>
      </c>
      <c r="P2481" s="4" t="str">
        <f>VLOOKUP(H2481,Stock_list!A:Y,25,FALSE)</f>
        <v>Yes</v>
      </c>
      <c r="Q2481" s="133"/>
      <c r="T2481" s="144"/>
      <c r="U2481" s="145" t="str">
        <f>VLOOKUP(H2481,Stock_list!A:N,14,FALSE)</f>
        <v>JAN 21</v>
      </c>
    </row>
    <row r="2482" spans="1:21" ht="16.5" customHeight="1">
      <c r="A2482" s="159" t="s">
        <v>2744</v>
      </c>
      <c r="B2482" s="114" t="str">
        <f>VLOOKUP(A2482,'Data pick slip'!B:F,5,FALSE)</f>
        <v>KHJ-MC100-00</v>
      </c>
      <c r="F2482" s="157" t="s">
        <v>2861</v>
      </c>
      <c r="H2482" s="138">
        <v>918</v>
      </c>
      <c r="I2482" s="139" t="str">
        <f>VLOOKUP(H2482,Stock_list!A:R,18,FALSE)</f>
        <v>合进高</v>
      </c>
      <c r="J2482" s="139" t="str">
        <f>VLOOKUP(H2482,Stock_list!A:S,17,FALSE)</f>
        <v>C49SZX20200192SS</v>
      </c>
      <c r="K2482" s="51" t="str">
        <f>VLOOKUP(H2482,Stock_list!A:T,16,FALSE)</f>
        <v>JPY</v>
      </c>
      <c r="L2482" s="4">
        <v>44229</v>
      </c>
      <c r="M2482" s="132">
        <v>200</v>
      </c>
      <c r="P2482" s="4" t="str">
        <f>VLOOKUP(H2482,Stock_list!A:Y,25,FALSE)</f>
        <v>Yes</v>
      </c>
      <c r="Q2482" s="133"/>
      <c r="T2482" s="144"/>
      <c r="U2482" s="145" t="str">
        <f>VLOOKUP(H2482,Stock_list!A:N,14,FALSE)</f>
        <v>JAN 21</v>
      </c>
    </row>
    <row r="2483" spans="1:21" ht="16.5" customHeight="1">
      <c r="A2483" s="159" t="s">
        <v>2747</v>
      </c>
      <c r="B2483" s="114" t="str">
        <f>VLOOKUP(A2483,'Data pick slip'!B:F,5,FALSE)</f>
        <v>KHJ-MC200-00</v>
      </c>
      <c r="F2483" s="157" t="s">
        <v>2861</v>
      </c>
      <c r="H2483" s="138">
        <v>918</v>
      </c>
      <c r="I2483" s="139" t="str">
        <f>VLOOKUP(H2483,Stock_list!A:R,18,FALSE)</f>
        <v>合进高</v>
      </c>
      <c r="J2483" s="139" t="str">
        <f>VLOOKUP(H2483,Stock_list!A:S,17,FALSE)</f>
        <v>C49SZX20200192SS</v>
      </c>
      <c r="K2483" s="51" t="str">
        <f>VLOOKUP(H2483,Stock_list!A:T,16,FALSE)</f>
        <v>JPY</v>
      </c>
      <c r="L2483" s="4">
        <v>44229</v>
      </c>
      <c r="M2483" s="132">
        <v>20</v>
      </c>
      <c r="P2483" s="4" t="str">
        <f>VLOOKUP(H2483,Stock_list!A:Y,25,FALSE)</f>
        <v>Yes</v>
      </c>
      <c r="Q2483" s="133"/>
      <c r="T2483" s="144"/>
      <c r="U2483" s="145" t="str">
        <f>VLOOKUP(H2483,Stock_list!A:N,14,FALSE)</f>
        <v>JAN 21</v>
      </c>
    </row>
    <row r="2484" spans="1:21" ht="16.5" customHeight="1">
      <c r="A2484" s="159" t="s">
        <v>2747</v>
      </c>
      <c r="B2484" s="114" t="str">
        <f>VLOOKUP(A2484,'Data pick slip'!B:F,5,FALSE)</f>
        <v>KHJ-MC200-00</v>
      </c>
      <c r="F2484" s="157" t="s">
        <v>2773</v>
      </c>
      <c r="I2484" s="139" t="s">
        <v>3093</v>
      </c>
      <c r="J2484" s="139" t="s">
        <v>3369</v>
      </c>
      <c r="K2484" s="51" t="s">
        <v>1246</v>
      </c>
      <c r="L2484" s="4">
        <v>44147</v>
      </c>
      <c r="M2484" s="140">
        <v>30</v>
      </c>
      <c r="P2484" s="4" t="s">
        <v>291</v>
      </c>
      <c r="Q2484" s="143"/>
      <c r="T2484" s="144"/>
      <c r="U2484" s="145" t="e">
        <f>VLOOKUP(H2484,Stock_list!A:N,14,FALSE)</f>
        <v>#N/A</v>
      </c>
    </row>
    <row r="2485" spans="1:21" ht="16.5" customHeight="1">
      <c r="A2485" s="159" t="s">
        <v>2744</v>
      </c>
      <c r="B2485" s="114" t="str">
        <f>VLOOKUP(A2485,'Data pick slip'!B:F,5,FALSE)</f>
        <v>KHJ-MC100-00</v>
      </c>
      <c r="F2485" s="157" t="s">
        <v>2861</v>
      </c>
      <c r="H2485" s="138">
        <v>919</v>
      </c>
      <c r="I2485" s="139" t="str">
        <f>VLOOKUP(H2485,Stock_list!A:R,18,FALSE)</f>
        <v>存封</v>
      </c>
      <c r="J2485" s="139" t="str">
        <f>VLOOKUP(H2485,Stock_list!A:S,17,FALSE)</f>
        <v>C49SZX20200203SS</v>
      </c>
      <c r="K2485" s="51" t="str">
        <f>VLOOKUP(H2485,Stock_list!A:T,16,FALSE)</f>
        <v>JPY</v>
      </c>
      <c r="L2485" s="4">
        <v>44195</v>
      </c>
      <c r="M2485" s="132">
        <v>15</v>
      </c>
      <c r="P2485" s="4" t="str">
        <f>VLOOKUP(H2485,Stock_list!A:Y,25,FALSE)</f>
        <v>Yes</v>
      </c>
      <c r="Q2485" s="143"/>
      <c r="T2485" s="144"/>
      <c r="U2485" s="145" t="str">
        <f>VLOOKUP(H2485,Stock_list!A:N,14,FALSE)</f>
        <v>DEC 20</v>
      </c>
    </row>
    <row r="2486" spans="1:21" ht="16.5" customHeight="1">
      <c r="A2486" s="159" t="s">
        <v>2744</v>
      </c>
      <c r="B2486" s="114" t="str">
        <f>VLOOKUP(A2486,'Data pick slip'!B:F,5,FALSE)</f>
        <v>KHJ-MC100-00</v>
      </c>
      <c r="F2486" s="157" t="s">
        <v>2861</v>
      </c>
      <c r="H2486" s="138">
        <v>920</v>
      </c>
      <c r="I2486" s="139" t="str">
        <f>VLOOKUP(H2486,Stock_list!A:R,18,FALSE)</f>
        <v>易而达</v>
      </c>
      <c r="J2486" s="139" t="str">
        <f>VLOOKUP(H2486,Stock_list!A:S,17,FALSE)</f>
        <v>C49SZX20200145JL</v>
      </c>
      <c r="K2486" s="51" t="str">
        <f>VLOOKUP(H2486,Stock_list!A:T,16,FALSE)</f>
        <v>JPY</v>
      </c>
      <c r="L2486" s="4">
        <v>44217</v>
      </c>
      <c r="M2486" s="143">
        <v>90</v>
      </c>
      <c r="P2486" s="4" t="str">
        <f>VLOOKUP(H2486,Stock_list!A:Y,25,FALSE)</f>
        <v>Yes</v>
      </c>
      <c r="Q2486" s="133"/>
      <c r="T2486" s="144"/>
      <c r="U2486" s="145" t="str">
        <f>VLOOKUP(H2486,Stock_list!A:N,14,FALSE)</f>
        <v>JAN 21</v>
      </c>
    </row>
    <row r="2487" spans="1:21" ht="16.5" customHeight="1">
      <c r="A2487" s="159" t="s">
        <v>2747</v>
      </c>
      <c r="B2487" s="114" t="str">
        <f>VLOOKUP(A2487,'Data pick slip'!B:F,5,FALSE)</f>
        <v>KHJ-MC200-00</v>
      </c>
      <c r="F2487" s="157" t="s">
        <v>2861</v>
      </c>
      <c r="H2487" s="138">
        <v>920</v>
      </c>
      <c r="I2487" s="139" t="str">
        <f>VLOOKUP(H2487,Stock_list!A:R,18,FALSE)</f>
        <v>易而达</v>
      </c>
      <c r="J2487" s="139" t="str">
        <f>VLOOKUP(H2487,Stock_list!A:S,17,FALSE)</f>
        <v>C49SZX20200145JL</v>
      </c>
      <c r="K2487" s="51" t="str">
        <f>VLOOKUP(H2487,Stock_list!A:T,16,FALSE)</f>
        <v>JPY</v>
      </c>
      <c r="L2487" s="4">
        <v>44217</v>
      </c>
      <c r="M2487" s="143">
        <v>2</v>
      </c>
      <c r="P2487" s="4" t="str">
        <f>VLOOKUP(H2487,Stock_list!A:Y,25,FALSE)</f>
        <v>Yes</v>
      </c>
      <c r="Q2487" s="133"/>
      <c r="T2487" s="144"/>
      <c r="U2487" s="145" t="str">
        <f>VLOOKUP(H2487,Stock_list!A:N,14,FALSE)</f>
        <v>JAN 21</v>
      </c>
    </row>
    <row r="2488" spans="1:21" ht="16.5" customHeight="1">
      <c r="A2488" s="159" t="s">
        <v>2748</v>
      </c>
      <c r="B2488" s="114" t="str">
        <f>VLOOKUP(A2488,'Data pick slip'!B:F,5,FALSE)</f>
        <v>KHJ-MC400-00</v>
      </c>
      <c r="F2488" s="157" t="s">
        <v>2861</v>
      </c>
      <c r="H2488" s="138">
        <v>920</v>
      </c>
      <c r="I2488" s="139" t="str">
        <f>VLOOKUP(H2488,Stock_list!A:R,18,FALSE)</f>
        <v>易而达</v>
      </c>
      <c r="J2488" s="285" t="str">
        <f>VLOOKUP(H2488,Stock_list!A:S,17,FALSE)</f>
        <v>C49SZX20200145JL</v>
      </c>
      <c r="K2488" s="258" t="str">
        <f>VLOOKUP(H2488,Stock_list!A:T,16,FALSE)</f>
        <v>JPY</v>
      </c>
      <c r="L2488" s="286">
        <v>44217</v>
      </c>
      <c r="M2488" s="288">
        <v>1</v>
      </c>
      <c r="P2488" s="4" t="str">
        <f>VLOOKUP(H2488,Stock_list!A:Y,25,FALSE)</f>
        <v>Yes</v>
      </c>
      <c r="Q2488" s="133"/>
      <c r="T2488" s="144"/>
      <c r="U2488" s="145" t="str">
        <f>VLOOKUP(H2488,Stock_list!A:N,14,FALSE)</f>
        <v>JAN 21</v>
      </c>
    </row>
    <row r="2489" spans="1:21" ht="16.5" customHeight="1">
      <c r="A2489" s="159" t="s">
        <v>2744</v>
      </c>
      <c r="B2489" s="114" t="str">
        <f>VLOOKUP(A2489,'Data pick slip'!B:F,5,FALSE)</f>
        <v>KHJ-MC100-00</v>
      </c>
      <c r="F2489" s="157" t="s">
        <v>2773</v>
      </c>
      <c r="H2489" s="138">
        <v>922</v>
      </c>
      <c r="I2489" s="139" t="str">
        <f>VLOOKUP(H2489,Stock_list!A:R,18,FALSE)</f>
        <v>韵律光电</v>
      </c>
      <c r="J2489" s="139" t="str">
        <f>VLOOKUP(H2489,Stock_list!A:S,17,FALSE)</f>
        <v>C49SZX20200209SX</v>
      </c>
      <c r="K2489" s="51" t="str">
        <f>VLOOKUP(H2489,Stock_list!A:T,16,FALSE)</f>
        <v>RMB</v>
      </c>
      <c r="L2489" s="4">
        <v>44188</v>
      </c>
      <c r="M2489" s="143">
        <v>10</v>
      </c>
      <c r="P2489" s="4" t="str">
        <f>VLOOKUP(H2489,Stock_list!A:Y,25,FALSE)</f>
        <v>Yes</v>
      </c>
      <c r="Q2489" s="133"/>
      <c r="T2489" s="144"/>
      <c r="U2489" s="145" t="str">
        <f>VLOOKUP(H2489,Stock_list!A:N,14,FALSE)</f>
        <v>DEC 20</v>
      </c>
    </row>
    <row r="2490" spans="1:21" ht="16.5" customHeight="1">
      <c r="A2490" s="159" t="s">
        <v>2747</v>
      </c>
      <c r="B2490" s="114" t="str">
        <f>VLOOKUP(A2490,'Data pick slip'!B:F,5,FALSE)</f>
        <v>KHJ-MC200-00</v>
      </c>
      <c r="F2490" s="157" t="s">
        <v>2773</v>
      </c>
      <c r="H2490" s="138">
        <v>922</v>
      </c>
      <c r="I2490" s="139" t="str">
        <f>VLOOKUP(H2490,Stock_list!A:R,18,FALSE)</f>
        <v>韵律光电</v>
      </c>
      <c r="J2490" s="139" t="str">
        <f>VLOOKUP(H2490,Stock_list!A:S,17,FALSE)</f>
        <v>C49SZX20200209SX</v>
      </c>
      <c r="K2490" s="51" t="str">
        <f>VLOOKUP(H2490,Stock_list!A:T,16,FALSE)</f>
        <v>RMB</v>
      </c>
      <c r="L2490" s="4">
        <v>44188</v>
      </c>
      <c r="M2490" s="143">
        <v>5</v>
      </c>
      <c r="P2490" s="4" t="str">
        <f>VLOOKUP(H2490,Stock_list!A:Y,25,FALSE)</f>
        <v>Yes</v>
      </c>
      <c r="Q2490" s="133"/>
      <c r="T2490" s="144"/>
      <c r="U2490" s="145" t="str">
        <f>VLOOKUP(H2490,Stock_list!A:N,14,FALSE)</f>
        <v>DEC 20</v>
      </c>
    </row>
    <row r="2491" spans="1:21" ht="16.5" customHeight="1">
      <c r="A2491" s="159" t="s">
        <v>2755</v>
      </c>
      <c r="B2491" s="114" t="str">
        <f>VLOOKUP(A2491,'Data pick slip'!B:F,5,FALSE)</f>
        <v>KLJ-MC100-00</v>
      </c>
      <c r="F2491" s="157" t="s">
        <v>2861</v>
      </c>
      <c r="H2491" s="138">
        <v>926</v>
      </c>
      <c r="I2491" s="139" t="str">
        <f>VLOOKUP(H2491,Stock_list!A:R,18,FALSE)</f>
        <v>众鑫科</v>
      </c>
      <c r="J2491" s="139" t="str">
        <f>VLOOKUP(H2491,Stock_list!A:S,17,FALSE)</f>
        <v>C49SZX20200210RSX</v>
      </c>
      <c r="K2491" s="51" t="str">
        <f>VLOOKUP(H2491,Stock_list!A:T,16,FALSE)</f>
        <v>JPY</v>
      </c>
      <c r="L2491" s="4">
        <v>44425</v>
      </c>
      <c r="M2491" s="132">
        <v>80</v>
      </c>
      <c r="P2491" s="4" t="str">
        <f>VLOOKUP(H2491,Stock_list!A:Y,25,FALSE)</f>
        <v>Yes</v>
      </c>
      <c r="Q2491" s="143"/>
      <c r="T2491" s="144"/>
      <c r="U2491" s="145" t="str">
        <f>VLOOKUP(H2491,Stock_list!A:N,14,FALSE)</f>
        <v>AUG 21</v>
      </c>
    </row>
    <row r="2492" spans="1:21" ht="16.5" customHeight="1">
      <c r="A2492" s="159" t="s">
        <v>2756</v>
      </c>
      <c r="B2492" s="114" t="str">
        <f>VLOOKUP(A2492,'Data pick slip'!B:F,5,FALSE)</f>
        <v>KLJ-MC200-00</v>
      </c>
      <c r="F2492" s="157" t="s">
        <v>2861</v>
      </c>
      <c r="H2492" s="138">
        <v>926</v>
      </c>
      <c r="I2492" s="139" t="str">
        <f>VLOOKUP(H2492,Stock_list!A:R,18,FALSE)</f>
        <v>众鑫科</v>
      </c>
      <c r="J2492" s="139" t="str">
        <f>VLOOKUP(H2492,Stock_list!A:S,17,FALSE)</f>
        <v>C49SZX20200210RSX</v>
      </c>
      <c r="K2492" s="51" t="str">
        <f>VLOOKUP(H2492,Stock_list!A:T,16,FALSE)</f>
        <v>JPY</v>
      </c>
      <c r="L2492" s="4">
        <v>44425</v>
      </c>
      <c r="M2492" s="132">
        <f>30-15</f>
        <v>15</v>
      </c>
      <c r="P2492" s="4" t="str">
        <f>VLOOKUP(H2492,Stock_list!A:Y,25,FALSE)</f>
        <v>Yes</v>
      </c>
      <c r="T2492" s="144"/>
      <c r="U2492" s="145" t="str">
        <f>VLOOKUP(H2492,Stock_list!A:N,14,FALSE)</f>
        <v>AUG 21</v>
      </c>
    </row>
    <row r="2493" spans="1:21" ht="16.5" customHeight="1">
      <c r="A2493" s="159" t="s">
        <v>2757</v>
      </c>
      <c r="B2493" s="114" t="str">
        <f>VLOOKUP(A2493,'Data pick slip'!B:F,5,FALSE)</f>
        <v>KLJ-MC400-00</v>
      </c>
      <c r="F2493" s="157" t="s">
        <v>2861</v>
      </c>
      <c r="H2493" s="138">
        <v>926</v>
      </c>
      <c r="I2493" s="139" t="str">
        <f>VLOOKUP(H2493,Stock_list!A:R,18,FALSE)</f>
        <v>众鑫科</v>
      </c>
      <c r="J2493" s="139" t="str">
        <f>VLOOKUP(H2493,Stock_list!A:S,17,FALSE)</f>
        <v>C49SZX20200210RSX</v>
      </c>
      <c r="K2493" s="51" t="str">
        <f>VLOOKUP(H2493,Stock_list!A:T,16,FALSE)</f>
        <v>JPY</v>
      </c>
      <c r="L2493" s="4">
        <v>44425</v>
      </c>
      <c r="M2493" s="132">
        <f>10-5</f>
        <v>5</v>
      </c>
      <c r="P2493" s="4" t="str">
        <f>VLOOKUP(H2493,Stock_list!A:Y,25,FALSE)</f>
        <v>Yes</v>
      </c>
      <c r="Q2493" s="143"/>
      <c r="T2493" s="144"/>
      <c r="U2493" s="145" t="str">
        <f>VLOOKUP(H2493,Stock_list!A:N,14,FALSE)</f>
        <v>AUG 21</v>
      </c>
    </row>
    <row r="2494" spans="1:21" ht="16.5" customHeight="1">
      <c r="A2494" s="159" t="s">
        <v>2758</v>
      </c>
      <c r="B2494" s="114" t="str">
        <f>VLOOKUP(A2494,'Data pick slip'!B:F,5,FALSE)</f>
        <v>KLJ-MC500-00</v>
      </c>
      <c r="F2494" s="157" t="s">
        <v>2861</v>
      </c>
      <c r="H2494" s="138">
        <v>926</v>
      </c>
      <c r="I2494" s="139" t="str">
        <f>VLOOKUP(H2494,Stock_list!A:R,18,FALSE)</f>
        <v>众鑫科</v>
      </c>
      <c r="J2494" s="139" t="str">
        <f>VLOOKUP(H2494,Stock_list!A:S,17,FALSE)</f>
        <v>C49SZX20200210RSX</v>
      </c>
      <c r="K2494" s="51" t="str">
        <f>VLOOKUP(H2494,Stock_list!A:T,16,FALSE)</f>
        <v>JPY</v>
      </c>
      <c r="L2494" s="4">
        <v>44425</v>
      </c>
      <c r="M2494" s="132">
        <f>4-2</f>
        <v>2</v>
      </c>
      <c r="P2494" s="4" t="str">
        <f>VLOOKUP(H2494,Stock_list!A:Y,25,FALSE)</f>
        <v>Yes</v>
      </c>
      <c r="Q2494" s="143"/>
      <c r="T2494" s="144"/>
      <c r="U2494" s="145" t="str">
        <f>VLOOKUP(H2494,Stock_list!A:N,14,FALSE)</f>
        <v>AUG 21</v>
      </c>
    </row>
    <row r="2495" spans="1:21" ht="16.5" customHeight="1">
      <c r="A2495" s="159" t="s">
        <v>2759</v>
      </c>
      <c r="B2495" s="114" t="str">
        <f>VLOOKUP(A2495,'Data pick slip'!B:F,5,FALSE)</f>
        <v>KLJ-MC600-00</v>
      </c>
      <c r="F2495" s="157" t="s">
        <v>2861</v>
      </c>
      <c r="H2495" s="138">
        <v>926</v>
      </c>
      <c r="I2495" s="139" t="str">
        <f>VLOOKUP(H2495,Stock_list!A:R,18,FALSE)</f>
        <v>众鑫科</v>
      </c>
      <c r="J2495" s="139" t="str">
        <f>VLOOKUP(H2495,Stock_list!A:S,17,FALSE)</f>
        <v>C49SZX20200210RSX</v>
      </c>
      <c r="K2495" s="51" t="str">
        <f>VLOOKUP(H2495,Stock_list!A:T,16,FALSE)</f>
        <v>JPY</v>
      </c>
      <c r="L2495" s="4">
        <v>44425</v>
      </c>
      <c r="M2495" s="132">
        <v>2</v>
      </c>
      <c r="P2495" s="4" t="str">
        <f>VLOOKUP(H2495,Stock_list!A:Y,25,FALSE)</f>
        <v>Yes</v>
      </c>
      <c r="Q2495" s="143"/>
      <c r="T2495" s="144"/>
      <c r="U2495" s="145" t="str">
        <f>VLOOKUP(H2495,Stock_list!A:N,14,FALSE)</f>
        <v>AUG 21</v>
      </c>
    </row>
    <row r="2496" spans="1:21" ht="16.5" customHeight="1">
      <c r="A2496" s="159" t="s">
        <v>2759</v>
      </c>
      <c r="B2496" s="114" t="str">
        <f>VLOOKUP(A2496,'Data pick slip'!B:F,5,FALSE)</f>
        <v>KLJ-MC600-00</v>
      </c>
      <c r="F2496" s="157" t="s">
        <v>2753</v>
      </c>
      <c r="H2496" s="138">
        <v>926</v>
      </c>
      <c r="I2496" s="139" t="str">
        <f>VLOOKUP(H2496,Stock_list!A:R,18,FALSE)</f>
        <v>众鑫科</v>
      </c>
      <c r="J2496" s="139" t="str">
        <f>VLOOKUP(H2496,Stock_list!A:S,17,FALSE)</f>
        <v>C49SZX20200210RSX</v>
      </c>
      <c r="K2496" s="51" t="str">
        <f>VLOOKUP(H2496,Stock_list!A:T,16,FALSE)</f>
        <v>JPY</v>
      </c>
      <c r="L2496" s="4">
        <v>44309</v>
      </c>
      <c r="O2496" s="132">
        <f>1-1</f>
        <v>0</v>
      </c>
      <c r="P2496" s="4" t="str">
        <f>VLOOKUP(H2496,Stock_list!A:Y,25,FALSE)</f>
        <v>Yes</v>
      </c>
      <c r="Q2496" s="143"/>
      <c r="T2496" s="144"/>
      <c r="U2496" s="145" t="str">
        <f>VLOOKUP(H2496,Stock_list!A:N,14,FALSE)</f>
        <v>AUG 21</v>
      </c>
    </row>
    <row r="2497" spans="1:21" ht="16.5" customHeight="1">
      <c r="A2497" s="159" t="s">
        <v>2755</v>
      </c>
      <c r="B2497" s="114" t="str">
        <f>VLOOKUP(A2497,'Data pick slip'!B:F,5,FALSE)</f>
        <v>KLJ-MC100-00</v>
      </c>
      <c r="F2497" s="157" t="s">
        <v>2861</v>
      </c>
      <c r="H2497" s="138">
        <v>926</v>
      </c>
      <c r="I2497" s="139" t="str">
        <f>VLOOKUP(H2497,Stock_list!A:R,18,FALSE)</f>
        <v>众鑫科</v>
      </c>
      <c r="J2497" s="139" t="str">
        <f>VLOOKUP(H2497,Stock_list!A:S,17,FALSE)</f>
        <v>C49SZX20200210RSX</v>
      </c>
      <c r="K2497" s="51" t="str">
        <f>VLOOKUP(H2497,Stock_list!A:T,16,FALSE)</f>
        <v>JPY</v>
      </c>
      <c r="L2497" s="4">
        <v>44210</v>
      </c>
      <c r="M2497" s="132">
        <v>80</v>
      </c>
      <c r="N2497" s="146"/>
      <c r="P2497" s="4" t="str">
        <f>VLOOKUP(H2497,Stock_list!A:Y,25,FALSE)</f>
        <v>Yes</v>
      </c>
      <c r="Q2497" s="143"/>
      <c r="T2497" s="144"/>
      <c r="U2497" s="145" t="str">
        <f>VLOOKUP(H2497,Stock_list!A:N,14,FALSE)</f>
        <v>AUG 21</v>
      </c>
    </row>
    <row r="2498" spans="1:21" ht="16.5" customHeight="1">
      <c r="A2498" s="159" t="s">
        <v>2756</v>
      </c>
      <c r="B2498" s="114" t="str">
        <f>VLOOKUP(A2498,'Data pick slip'!B:F,5,FALSE)</f>
        <v>KLJ-MC200-00</v>
      </c>
      <c r="F2498" s="157" t="s">
        <v>2861</v>
      </c>
      <c r="H2498" s="138">
        <v>926</v>
      </c>
      <c r="I2498" s="139" t="str">
        <f>VLOOKUP(H2498,Stock_list!A:R,18,FALSE)</f>
        <v>众鑫科</v>
      </c>
      <c r="J2498" s="139" t="str">
        <f>VLOOKUP(H2498,Stock_list!A:S,17,FALSE)</f>
        <v>C49SZX20200210RSX</v>
      </c>
      <c r="K2498" s="51" t="str">
        <f>VLOOKUP(H2498,Stock_list!A:T,16,FALSE)</f>
        <v>JPY</v>
      </c>
      <c r="L2498" s="4">
        <v>44210</v>
      </c>
      <c r="M2498" s="132">
        <v>15</v>
      </c>
      <c r="N2498" s="146"/>
      <c r="P2498" s="4" t="str">
        <f>VLOOKUP(H2498,Stock_list!A:Y,25,FALSE)</f>
        <v>Yes</v>
      </c>
      <c r="T2498" s="144"/>
      <c r="U2498" s="145" t="str">
        <f>VLOOKUP(H2498,Stock_list!A:N,14,FALSE)</f>
        <v>AUG 21</v>
      </c>
    </row>
    <row r="2499" spans="1:21" ht="16.5" customHeight="1">
      <c r="A2499" s="159" t="s">
        <v>2757</v>
      </c>
      <c r="B2499" s="114" t="str">
        <f>VLOOKUP(A2499,'Data pick slip'!B:F,5,FALSE)</f>
        <v>KLJ-MC400-00</v>
      </c>
      <c r="F2499" s="157" t="s">
        <v>2861</v>
      </c>
      <c r="H2499" s="138">
        <v>926</v>
      </c>
      <c r="I2499" s="139" t="str">
        <f>VLOOKUP(H2499,Stock_list!A:R,18,FALSE)</f>
        <v>众鑫科</v>
      </c>
      <c r="J2499" s="139" t="str">
        <f>VLOOKUP(H2499,Stock_list!A:S,17,FALSE)</f>
        <v>C49SZX20200210RSX</v>
      </c>
      <c r="K2499" s="51" t="str">
        <f>VLOOKUP(H2499,Stock_list!A:T,16,FALSE)</f>
        <v>JPY</v>
      </c>
      <c r="L2499" s="4">
        <v>44210</v>
      </c>
      <c r="M2499" s="132">
        <v>5</v>
      </c>
      <c r="N2499" s="146"/>
      <c r="P2499" s="4" t="str">
        <f>VLOOKUP(H2499,Stock_list!A:Y,25,FALSE)</f>
        <v>Yes</v>
      </c>
      <c r="Q2499" s="143"/>
      <c r="T2499" s="144"/>
      <c r="U2499" s="145" t="str">
        <f>VLOOKUP(H2499,Stock_list!A:N,14,FALSE)</f>
        <v>AUG 21</v>
      </c>
    </row>
    <row r="2500" spans="1:21" ht="16.5" customHeight="1">
      <c r="A2500" s="159" t="s">
        <v>2758</v>
      </c>
      <c r="B2500" s="114" t="str">
        <f>VLOOKUP(A2500,'Data pick slip'!B:F,5,FALSE)</f>
        <v>KLJ-MC500-00</v>
      </c>
      <c r="F2500" s="157" t="s">
        <v>2861</v>
      </c>
      <c r="H2500" s="138">
        <v>926</v>
      </c>
      <c r="I2500" s="139" t="str">
        <f>VLOOKUP(H2500,Stock_list!A:R,18,FALSE)</f>
        <v>众鑫科</v>
      </c>
      <c r="J2500" s="139" t="str">
        <f>VLOOKUP(H2500,Stock_list!A:S,17,FALSE)</f>
        <v>C49SZX20200210RSX</v>
      </c>
      <c r="K2500" s="51" t="str">
        <f>VLOOKUP(H2500,Stock_list!A:T,16,FALSE)</f>
        <v>JPY</v>
      </c>
      <c r="L2500" s="4">
        <v>44210</v>
      </c>
      <c r="M2500" s="132">
        <v>2</v>
      </c>
      <c r="N2500" s="146"/>
      <c r="P2500" s="4" t="str">
        <f>VLOOKUP(H2500,Stock_list!A:Y,25,FALSE)</f>
        <v>Yes</v>
      </c>
      <c r="Q2500" s="143"/>
      <c r="T2500" s="144"/>
      <c r="U2500" s="145" t="str">
        <f>VLOOKUP(H2500,Stock_list!A:N,14,FALSE)</f>
        <v>AUG 21</v>
      </c>
    </row>
    <row r="2501" spans="1:21" ht="16.5" customHeight="1">
      <c r="A2501" s="159" t="s">
        <v>2744</v>
      </c>
      <c r="B2501" s="114" t="str">
        <f>VLOOKUP(A2501,'Data pick slip'!B:F,5,FALSE)</f>
        <v>KHJ-MC100-00</v>
      </c>
      <c r="F2501" s="157" t="s">
        <v>2861</v>
      </c>
      <c r="H2501" s="138">
        <v>930</v>
      </c>
      <c r="I2501" s="139" t="str">
        <f>VLOOKUP(H2501,Stock_list!A:R,18,FALSE)</f>
        <v>同创</v>
      </c>
      <c r="J2501" s="139" t="str">
        <f>VLOOKUP(H2501,Stock_list!A:S,17,FALSE)</f>
        <v>C49SZX20200211SX</v>
      </c>
      <c r="K2501" s="51" t="str">
        <f>VLOOKUP(H2501,Stock_list!A:T,16,FALSE)</f>
        <v>JPY</v>
      </c>
      <c r="L2501" s="4">
        <v>44252</v>
      </c>
      <c r="M2501" s="143">
        <v>65</v>
      </c>
      <c r="P2501" s="4" t="str">
        <f>VLOOKUP(H2501,Stock_list!A:Y,25,FALSE)</f>
        <v>Yes</v>
      </c>
      <c r="Q2501" s="133"/>
      <c r="T2501" s="144"/>
      <c r="U2501" s="145" t="str">
        <f>VLOOKUP(H2501,Stock_list!A:N,14,FALSE)</f>
        <v>FEB 21</v>
      </c>
    </row>
    <row r="2502" spans="1:21" ht="16.5" customHeight="1">
      <c r="A2502" s="159" t="s">
        <v>2747</v>
      </c>
      <c r="B2502" s="114" t="str">
        <f>VLOOKUP(A2502,'Data pick slip'!B:F,5,FALSE)</f>
        <v>KHJ-MC200-00</v>
      </c>
      <c r="F2502" s="157" t="s">
        <v>2861</v>
      </c>
      <c r="H2502" s="138">
        <v>930</v>
      </c>
      <c r="I2502" s="139" t="str">
        <f>VLOOKUP(H2502,Stock_list!A:R,18,FALSE)</f>
        <v>同创</v>
      </c>
      <c r="J2502" s="139" t="str">
        <f>VLOOKUP(H2502,Stock_list!A:S,17,FALSE)</f>
        <v>C49SZX20200211SX</v>
      </c>
      <c r="K2502" s="51" t="str">
        <f>VLOOKUP(H2502,Stock_list!A:T,16,FALSE)</f>
        <v>JPY</v>
      </c>
      <c r="L2502" s="4">
        <v>44252</v>
      </c>
      <c r="M2502" s="143">
        <v>5</v>
      </c>
      <c r="P2502" s="4" t="str">
        <f>VLOOKUP(H2502,Stock_list!A:Y,25,FALSE)</f>
        <v>Yes</v>
      </c>
      <c r="Q2502" s="133"/>
      <c r="T2502" s="144"/>
      <c r="U2502" s="145" t="str">
        <f>VLOOKUP(H2502,Stock_list!A:N,14,FALSE)</f>
        <v>FEB 21</v>
      </c>
    </row>
    <row r="2503" spans="1:21" ht="16.5" customHeight="1">
      <c r="A2503" s="159" t="s">
        <v>2748</v>
      </c>
      <c r="B2503" s="114" t="str">
        <f>VLOOKUP(A2503,'Data pick slip'!B:F,5,FALSE)</f>
        <v>KHJ-MC400-00</v>
      </c>
      <c r="F2503" s="157" t="s">
        <v>2861</v>
      </c>
      <c r="H2503" s="138">
        <v>930</v>
      </c>
      <c r="I2503" s="285" t="str">
        <f>VLOOKUP(H2503,Stock_list!A:R,18,FALSE)</f>
        <v>同创</v>
      </c>
      <c r="J2503" s="285" t="str">
        <f>VLOOKUP(H2503,Stock_list!A:S,17,FALSE)</f>
        <v>C49SZX20200211SX</v>
      </c>
      <c r="K2503" s="258" t="str">
        <f>VLOOKUP(H2503,Stock_list!A:T,16,FALSE)</f>
        <v>JPY</v>
      </c>
      <c r="L2503" s="286">
        <v>44252</v>
      </c>
      <c r="M2503" s="288">
        <v>2</v>
      </c>
      <c r="P2503" s="4" t="str">
        <f>VLOOKUP(H2503,Stock_list!A:Y,25,FALSE)</f>
        <v>Yes</v>
      </c>
      <c r="Q2503" s="133"/>
      <c r="T2503" s="144"/>
      <c r="U2503" s="145" t="str">
        <f>VLOOKUP(H2503,Stock_list!A:N,14,FALSE)</f>
        <v>FEB 21</v>
      </c>
    </row>
    <row r="2504" spans="1:21" ht="16.5" customHeight="1">
      <c r="A2504" s="159" t="s">
        <v>2749</v>
      </c>
      <c r="B2504" s="114" t="str">
        <f>VLOOKUP(A2504,'Data pick slip'!B:F,5,FALSE)</f>
        <v>KHJ-MC500-00</v>
      </c>
      <c r="F2504" s="157" t="s">
        <v>2861</v>
      </c>
      <c r="H2504" s="138">
        <v>930</v>
      </c>
      <c r="I2504" s="139" t="str">
        <f>VLOOKUP(H2504,Stock_list!A:R,18,FALSE)</f>
        <v>同创</v>
      </c>
      <c r="J2504" s="139" t="str">
        <f>VLOOKUP(H2504,Stock_list!A:S,17,FALSE)</f>
        <v>C49SZX20200211SX</v>
      </c>
      <c r="K2504" s="51" t="str">
        <f>VLOOKUP(H2504,Stock_list!A:T,16,FALSE)</f>
        <v>JPY</v>
      </c>
      <c r="L2504" s="4">
        <v>44252</v>
      </c>
      <c r="M2504" s="143">
        <v>1</v>
      </c>
      <c r="P2504" s="4" t="str">
        <f>VLOOKUP(H2504,Stock_list!A:Y,25,FALSE)</f>
        <v>Yes</v>
      </c>
      <c r="Q2504" s="133"/>
      <c r="T2504" s="144"/>
      <c r="U2504" s="145" t="str">
        <f>VLOOKUP(H2504,Stock_list!A:N,14,FALSE)</f>
        <v>FEB 21</v>
      </c>
    </row>
    <row r="2505" spans="1:21" ht="16.5" customHeight="1">
      <c r="A2505" s="159" t="s">
        <v>2750</v>
      </c>
      <c r="B2505" s="114" t="str">
        <f>VLOOKUP(A2505,'Data pick slip'!B:F,5,FALSE)</f>
        <v>KHJ-MC600-00</v>
      </c>
      <c r="F2505" s="157" t="s">
        <v>2861</v>
      </c>
      <c r="H2505" s="138">
        <v>930</v>
      </c>
      <c r="I2505" s="139" t="str">
        <f>VLOOKUP(H2505,Stock_list!A:R,18,FALSE)</f>
        <v>同创</v>
      </c>
      <c r="J2505" s="139" t="str">
        <f>VLOOKUP(H2505,Stock_list!A:S,17,FALSE)</f>
        <v>C49SZX20200211SX</v>
      </c>
      <c r="K2505" s="51" t="str">
        <f>VLOOKUP(H2505,Stock_list!A:T,16,FALSE)</f>
        <v>JPY</v>
      </c>
      <c r="L2505" s="4">
        <v>44252</v>
      </c>
      <c r="M2505" s="143">
        <v>1</v>
      </c>
      <c r="P2505" s="4" t="str">
        <f>VLOOKUP(H2505,Stock_list!A:Y,25,FALSE)</f>
        <v>Yes</v>
      </c>
      <c r="Q2505" s="133"/>
      <c r="T2505" s="144"/>
      <c r="U2505" s="145" t="str">
        <f>VLOOKUP(H2505,Stock_list!A:N,14,FALSE)</f>
        <v>FEB 21</v>
      </c>
    </row>
    <row r="2506" spans="1:21" ht="16.5" customHeight="1">
      <c r="A2506" s="159" t="s">
        <v>2744</v>
      </c>
      <c r="B2506" s="114" t="str">
        <f>VLOOKUP(A2506,'Data pick slip'!B:F,5,FALSE)</f>
        <v>KHJ-MC100-00</v>
      </c>
      <c r="F2506" s="157" t="s">
        <v>2861</v>
      </c>
      <c r="H2506" s="138">
        <v>932</v>
      </c>
      <c r="I2506" s="139" t="str">
        <f>VLOOKUP(H2506,Stock_list!A:R,18,FALSE)</f>
        <v>捷舜诚</v>
      </c>
      <c r="J2506" s="139" t="str">
        <f>VLOOKUP(H2506,Stock_list!A:S,17,FALSE)</f>
        <v>C49SZX20200216JL</v>
      </c>
      <c r="K2506" s="51" t="str">
        <f>VLOOKUP(H2506,Stock_list!A:T,16,FALSE)</f>
        <v>JPY</v>
      </c>
      <c r="L2506" s="4">
        <v>44186</v>
      </c>
      <c r="M2506" s="140">
        <v>32</v>
      </c>
      <c r="P2506" s="4" t="str">
        <f>VLOOKUP(H2506,Stock_list!A:Y,25,FALSE)</f>
        <v>Yes</v>
      </c>
      <c r="Q2506" s="143"/>
      <c r="T2506" s="144"/>
      <c r="U2506" s="145" t="str">
        <f>VLOOKUP(H2506,Stock_list!A:N,14,FALSE)</f>
        <v>DEC 20</v>
      </c>
    </row>
    <row r="2507" spans="1:21" ht="16.5" customHeight="1">
      <c r="A2507" s="159" t="s">
        <v>2744</v>
      </c>
      <c r="B2507" s="114" t="str">
        <f>VLOOKUP(A2507,'Data pick slip'!B:F,5,FALSE)</f>
        <v>KHJ-MC100-00</v>
      </c>
      <c r="F2507" s="157" t="s">
        <v>2773</v>
      </c>
      <c r="H2507" s="138">
        <v>932</v>
      </c>
      <c r="I2507" s="139" t="str">
        <f>VLOOKUP(H2507,Stock_list!A:R,18,FALSE)</f>
        <v>捷舜诚</v>
      </c>
      <c r="J2507" s="139" t="str">
        <f>VLOOKUP(H2507,Stock_list!A:S,17,FALSE)</f>
        <v>C49SZX20200216JL</v>
      </c>
      <c r="K2507" s="51" t="str">
        <f>VLOOKUP(H2507,Stock_list!A:T,16,FALSE)</f>
        <v>JPY</v>
      </c>
      <c r="L2507" s="4">
        <v>44186</v>
      </c>
      <c r="O2507" s="132">
        <f>32-32</f>
        <v>0</v>
      </c>
      <c r="P2507" s="4" t="str">
        <f>VLOOKUP(H2507,Stock_list!A:Y,25,FALSE)</f>
        <v>Yes</v>
      </c>
      <c r="Q2507" s="143"/>
      <c r="T2507" s="144"/>
      <c r="U2507" s="145" t="str">
        <f>VLOOKUP(H2507,Stock_list!A:N,14,FALSE)</f>
        <v>DEC 20</v>
      </c>
    </row>
    <row r="2508" spans="1:21" ht="16.5" customHeight="1">
      <c r="A2508" s="159" t="s">
        <v>2747</v>
      </c>
      <c r="B2508" s="114" t="str">
        <f>VLOOKUP(A2508,'Data pick slip'!B:F,5,FALSE)</f>
        <v>KHJ-MC200-00</v>
      </c>
      <c r="F2508" s="157" t="s">
        <v>2773</v>
      </c>
      <c r="H2508" s="138">
        <v>932</v>
      </c>
      <c r="I2508" s="139" t="str">
        <f>VLOOKUP(H2508,Stock_list!A:R,18,FALSE)</f>
        <v>捷舜诚</v>
      </c>
      <c r="J2508" s="139" t="str">
        <f>VLOOKUP(H2508,Stock_list!A:S,17,FALSE)</f>
        <v>C49SZX20200216JL</v>
      </c>
      <c r="K2508" s="51" t="str">
        <f>VLOOKUP(H2508,Stock_list!A:T,16,FALSE)</f>
        <v>JPY</v>
      </c>
      <c r="L2508" s="4">
        <v>44186</v>
      </c>
      <c r="M2508" s="140">
        <v>2</v>
      </c>
      <c r="P2508" s="4" t="str">
        <f>VLOOKUP(H2508,Stock_list!A:Y,25,FALSE)</f>
        <v>Yes</v>
      </c>
      <c r="Q2508" s="143"/>
      <c r="S2508" s="123" t="s">
        <v>3003</v>
      </c>
      <c r="T2508" s="144" t="s">
        <v>3374</v>
      </c>
      <c r="U2508" s="145" t="str">
        <f>VLOOKUP(H2508,Stock_list!A:N,14,FALSE)</f>
        <v>DEC 20</v>
      </c>
    </row>
    <row r="2509" spans="1:21" ht="16.5" customHeight="1">
      <c r="A2509" s="159" t="s">
        <v>2748</v>
      </c>
      <c r="B2509" s="114" t="str">
        <f>VLOOKUP(A2509,'Data pick slip'!B:F,5,FALSE)</f>
        <v>KHJ-MC400-00</v>
      </c>
      <c r="F2509" s="157" t="s">
        <v>2773</v>
      </c>
      <c r="H2509" s="138">
        <v>932</v>
      </c>
      <c r="I2509" s="139" t="str">
        <f>VLOOKUP(H2509,Stock_list!A:R,18,FALSE)</f>
        <v>捷舜诚</v>
      </c>
      <c r="J2509" s="139" t="str">
        <f>VLOOKUP(H2509,Stock_list!A:S,17,FALSE)</f>
        <v>C49SZX20200216JL</v>
      </c>
      <c r="K2509" s="51" t="str">
        <f>VLOOKUP(H2509,Stock_list!A:T,16,FALSE)</f>
        <v>JPY</v>
      </c>
      <c r="L2509" s="4">
        <v>44186</v>
      </c>
      <c r="M2509" s="140">
        <v>2</v>
      </c>
      <c r="P2509" s="4" t="str">
        <f>VLOOKUP(H2509,Stock_list!A:Y,25,FALSE)</f>
        <v>Yes</v>
      </c>
      <c r="Q2509" s="143"/>
      <c r="S2509" s="123" t="s">
        <v>3003</v>
      </c>
      <c r="T2509" s="144" t="s">
        <v>3374</v>
      </c>
      <c r="U2509" s="145" t="str">
        <f>VLOOKUP(H2509,Stock_list!A:N,14,FALSE)</f>
        <v>DEC 20</v>
      </c>
    </row>
    <row r="2510" spans="1:21" ht="16.5" customHeight="1">
      <c r="A2510" s="159" t="s">
        <v>2744</v>
      </c>
      <c r="B2510" s="114" t="str">
        <f>VLOOKUP(A2510,'Data pick slip'!B:F,5,FALSE)</f>
        <v>KHJ-MC100-00</v>
      </c>
      <c r="F2510" s="157" t="s">
        <v>2861</v>
      </c>
      <c r="H2510" s="138">
        <v>735</v>
      </c>
      <c r="I2510" s="139" t="str">
        <f>VLOOKUP(H2510,Stock_list!A:R,18,FALSE)</f>
        <v>光瑞新（end user：海纳科）</v>
      </c>
      <c r="J2510" s="139" t="str">
        <f>VLOOKUP(H2510,Stock_list!A:S,17,FALSE)</f>
        <v>C49SZX20200188JY</v>
      </c>
      <c r="K2510" s="51" t="str">
        <f>VLOOKUP(H2510,Stock_list!A:T,16,FALSE)</f>
        <v>JPY</v>
      </c>
      <c r="L2510" s="4">
        <v>44139</v>
      </c>
      <c r="M2510" s="140">
        <v>8</v>
      </c>
      <c r="P2510" s="4" t="str">
        <f>VLOOKUP(H2510,Stock_list!A:Y,25,FALSE)</f>
        <v>Yes</v>
      </c>
      <c r="Q2510" s="143"/>
      <c r="T2510" s="144"/>
      <c r="U2510" s="145" t="str">
        <f>VLOOKUP(H2510,Stock_list!A:N,14,FALSE)</f>
        <v>NOV 20</v>
      </c>
    </row>
    <row r="2511" spans="1:21" ht="16.5" customHeight="1">
      <c r="A2511" s="159" t="s">
        <v>2747</v>
      </c>
      <c r="B2511" s="114" t="str">
        <f>VLOOKUP(A2511,'Data pick slip'!B:F,5,FALSE)</f>
        <v>KHJ-MC200-00</v>
      </c>
      <c r="F2511" s="157" t="s">
        <v>2861</v>
      </c>
      <c r="H2511" s="138">
        <v>735</v>
      </c>
      <c r="I2511" s="139" t="str">
        <f>VLOOKUP(H2511,Stock_list!A:R,18,FALSE)</f>
        <v>光瑞新（end user：海纳科）</v>
      </c>
      <c r="J2511" s="139" t="str">
        <f>VLOOKUP(H2511,Stock_list!A:S,17,FALSE)</f>
        <v>C49SZX20200188JY</v>
      </c>
      <c r="K2511" s="51" t="str">
        <f>VLOOKUP(H2511,Stock_list!A:T,16,FALSE)</f>
        <v>JPY</v>
      </c>
      <c r="L2511" s="4">
        <v>44139</v>
      </c>
      <c r="M2511" s="140">
        <v>4</v>
      </c>
      <c r="P2511" s="4" t="str">
        <f>VLOOKUP(H2511,Stock_list!A:Y,25,FALSE)</f>
        <v>Yes</v>
      </c>
      <c r="Q2511" s="143"/>
      <c r="T2511" s="144"/>
      <c r="U2511" s="145" t="str">
        <f>VLOOKUP(H2511,Stock_list!A:N,14,FALSE)</f>
        <v>NOV 20</v>
      </c>
    </row>
    <row r="2512" spans="1:21" ht="16.5" customHeight="1">
      <c r="A2512" s="159" t="s">
        <v>2748</v>
      </c>
      <c r="B2512" s="114" t="str">
        <f>VLOOKUP(A2512,'Data pick slip'!B:F,5,FALSE)</f>
        <v>KHJ-MC400-00</v>
      </c>
      <c r="F2512" s="157" t="s">
        <v>2861</v>
      </c>
      <c r="H2512" s="138">
        <v>735</v>
      </c>
      <c r="I2512" s="139" t="str">
        <f>VLOOKUP(H2512,Stock_list!A:R,18,FALSE)</f>
        <v>光瑞新（end user：海纳科）</v>
      </c>
      <c r="J2512" s="139" t="str">
        <f>VLOOKUP(H2512,Stock_list!A:S,17,FALSE)</f>
        <v>C49SZX20200188JY</v>
      </c>
      <c r="K2512" s="51" t="str">
        <f>VLOOKUP(H2512,Stock_list!A:T,16,FALSE)</f>
        <v>JPY</v>
      </c>
      <c r="L2512" s="4">
        <v>44139</v>
      </c>
      <c r="M2512" s="140">
        <v>2</v>
      </c>
      <c r="P2512" s="4" t="str">
        <f>VLOOKUP(H2512,Stock_list!A:Y,25,FALSE)</f>
        <v>Yes</v>
      </c>
      <c r="Q2512" s="143"/>
      <c r="T2512" s="144"/>
      <c r="U2512" s="145" t="str">
        <f>VLOOKUP(H2512,Stock_list!A:N,14,FALSE)</f>
        <v>NOV 20</v>
      </c>
    </row>
    <row r="2513" spans="1:21" ht="16.5" customHeight="1">
      <c r="A2513" s="159" t="s">
        <v>2748</v>
      </c>
      <c r="B2513" s="114" t="str">
        <f>VLOOKUP(A2513,'Data pick slip'!B:F,5,FALSE)</f>
        <v>KHJ-MC400-00</v>
      </c>
      <c r="F2513" s="157" t="s">
        <v>2773</v>
      </c>
      <c r="H2513" s="138">
        <v>735</v>
      </c>
      <c r="I2513" s="139" t="str">
        <f>VLOOKUP(H2513,Stock_list!A:R,18,FALSE)</f>
        <v>光瑞新（end user：海纳科）</v>
      </c>
      <c r="J2513" s="139" t="str">
        <f>VLOOKUP(H2513,Stock_list!A:S,17,FALSE)</f>
        <v>C49SZX20200188JY</v>
      </c>
      <c r="K2513" s="51" t="str">
        <f>VLOOKUP(H2513,Stock_list!A:T,16,FALSE)</f>
        <v>JPY</v>
      </c>
      <c r="L2513" s="4">
        <v>44139</v>
      </c>
      <c r="M2513" s="140">
        <v>1</v>
      </c>
      <c r="P2513" s="4" t="str">
        <f>VLOOKUP(H2513,Stock_list!A:Y,25,FALSE)</f>
        <v>Yes</v>
      </c>
      <c r="Q2513" s="143"/>
      <c r="S2513" s="268" t="s">
        <v>2778</v>
      </c>
      <c r="T2513" s="144" t="s">
        <v>3375</v>
      </c>
      <c r="U2513" s="145" t="str">
        <f>VLOOKUP(H2513,Stock_list!A:N,14,FALSE)</f>
        <v>NOV 20</v>
      </c>
    </row>
    <row r="2514" spans="1:21" ht="16.5" customHeight="1">
      <c r="A2514" s="159" t="s">
        <v>2744</v>
      </c>
      <c r="B2514" s="114" t="str">
        <f>VLOOKUP(A2514,'Data pick slip'!B:F,5,FALSE)</f>
        <v>KHJ-MC100-00</v>
      </c>
      <c r="F2514" s="157" t="s">
        <v>2861</v>
      </c>
      <c r="H2514" s="138">
        <v>936</v>
      </c>
      <c r="I2514" s="139" t="str">
        <f>VLOOKUP(H2514,Stock_list!A:R,18,FALSE)</f>
        <v>钧溢电子</v>
      </c>
      <c r="J2514" s="139" t="str">
        <f>VLOOKUP(H2514,Stock_list!A:S,17,FALSE)</f>
        <v>C49SZX20200219SS</v>
      </c>
      <c r="K2514" s="51" t="str">
        <f>VLOOKUP(H2514,Stock_list!A:T,16,FALSE)</f>
        <v>JPY</v>
      </c>
      <c r="L2514" s="4">
        <v>44203</v>
      </c>
      <c r="M2514" s="132">
        <v>7</v>
      </c>
      <c r="P2514" s="4" t="str">
        <f>VLOOKUP(H2514,Stock_list!A:Y,25,FALSE)</f>
        <v>Yes</v>
      </c>
      <c r="Q2514" s="143"/>
      <c r="T2514" s="144"/>
      <c r="U2514" s="145" t="str">
        <f>VLOOKUP(H2514,Stock_list!A:N,14,FALSE)</f>
        <v>JAN 21</v>
      </c>
    </row>
    <row r="2515" spans="1:21" ht="16.5" customHeight="1">
      <c r="A2515" s="159" t="s">
        <v>2747</v>
      </c>
      <c r="B2515" s="114" t="str">
        <f>VLOOKUP(A2515,'Data pick slip'!B:F,5,FALSE)</f>
        <v>KHJ-MC200-00</v>
      </c>
      <c r="F2515" s="157" t="s">
        <v>2773</v>
      </c>
      <c r="H2515" s="138">
        <v>936</v>
      </c>
      <c r="I2515" s="139" t="str">
        <f>VLOOKUP(H2515,Stock_list!A:R,18,FALSE)</f>
        <v>钧溢电子</v>
      </c>
      <c r="J2515" s="139" t="str">
        <f>VLOOKUP(H2515,Stock_list!A:S,17,FALSE)</f>
        <v>C49SZX20200219SS</v>
      </c>
      <c r="K2515" s="51" t="str">
        <f>VLOOKUP(H2515,Stock_list!A:T,16,FALSE)</f>
        <v>JPY</v>
      </c>
      <c r="L2515" s="4">
        <v>44203</v>
      </c>
      <c r="M2515" s="132">
        <v>2</v>
      </c>
      <c r="P2515" s="4" t="str">
        <f>VLOOKUP(H2515,Stock_list!A:Y,25,FALSE)</f>
        <v>Yes</v>
      </c>
      <c r="Q2515" s="143"/>
      <c r="S2515" s="268" t="s">
        <v>2778</v>
      </c>
      <c r="T2515" s="266" t="s">
        <v>3365</v>
      </c>
      <c r="U2515" s="145" t="str">
        <f>VLOOKUP(H2515,Stock_list!A:N,14,FALSE)</f>
        <v>JAN 21</v>
      </c>
    </row>
    <row r="2516" spans="1:21" ht="16.5" customHeight="1">
      <c r="A2516" s="159" t="s">
        <v>2748</v>
      </c>
      <c r="B2516" s="114" t="str">
        <f>VLOOKUP(A2516,'Data pick slip'!B:F,5,FALSE)</f>
        <v>KHJ-MC400-00</v>
      </c>
      <c r="F2516" s="157" t="s">
        <v>2773</v>
      </c>
      <c r="H2516" s="138">
        <v>806</v>
      </c>
      <c r="I2516" s="139" t="str">
        <f>VLOOKUP(H2516,Stock_list!A:R,18,FALSE)</f>
        <v>博新</v>
      </c>
      <c r="J2516" s="139" t="str">
        <f>VLOOKUP(H2516,Stock_list!A:S,17,FALSE)</f>
        <v>C49SZX20200149JL</v>
      </c>
      <c r="K2516" s="51" t="str">
        <f>VLOOKUP(H2516,Stock_list!A:T,16,FALSE)</f>
        <v>RMB</v>
      </c>
      <c r="L2516" s="4">
        <v>44174</v>
      </c>
      <c r="M2516" s="132">
        <v>1</v>
      </c>
      <c r="P2516" s="4" t="str">
        <f>VLOOKUP(H2516,Stock_list!A:Y,25,FALSE)</f>
        <v>Yes</v>
      </c>
      <c r="Q2516" s="143"/>
      <c r="T2516" s="144"/>
      <c r="U2516" s="145" t="str">
        <f>VLOOKUP(H2516,Stock_list!A:N,14,FALSE)</f>
        <v>DEC 20</v>
      </c>
    </row>
    <row r="2517" spans="1:21" ht="16.5" customHeight="1">
      <c r="A2517" s="159" t="s">
        <v>2744</v>
      </c>
      <c r="B2517" s="114" t="str">
        <f>VLOOKUP(A2517,'Data pick slip'!B:F,5,FALSE)</f>
        <v>KHJ-MC100-00</v>
      </c>
      <c r="F2517" s="157" t="s">
        <v>2773</v>
      </c>
      <c r="I2517" s="139" t="s">
        <v>3099</v>
      </c>
      <c r="J2517" s="139" t="s">
        <v>3376</v>
      </c>
      <c r="K2517" s="51" t="s">
        <v>1246</v>
      </c>
      <c r="L2517" s="4">
        <v>44153</v>
      </c>
      <c r="M2517" s="140">
        <v>4</v>
      </c>
      <c r="P2517" s="4" t="s">
        <v>291</v>
      </c>
      <c r="Q2517" s="143"/>
      <c r="T2517" s="144"/>
      <c r="U2517" s="145" t="e">
        <f>VLOOKUP(H2517,Stock_list!A:N,14,FALSE)</f>
        <v>#N/A</v>
      </c>
    </row>
    <row r="2518" spans="1:21" ht="16.5" customHeight="1">
      <c r="A2518" s="159" t="s">
        <v>2747</v>
      </c>
      <c r="B2518" s="114" t="str">
        <f>VLOOKUP(A2518,'Data pick slip'!B:F,5,FALSE)</f>
        <v>KHJ-MC200-00</v>
      </c>
      <c r="F2518" s="157" t="s">
        <v>2773</v>
      </c>
      <c r="I2518" s="139" t="s">
        <v>3099</v>
      </c>
      <c r="J2518" s="139" t="s">
        <v>3377</v>
      </c>
      <c r="K2518" s="51" t="s">
        <v>1246</v>
      </c>
      <c r="L2518" s="4">
        <v>44148</v>
      </c>
      <c r="M2518" s="140">
        <v>15</v>
      </c>
      <c r="P2518" s="4" t="s">
        <v>291</v>
      </c>
      <c r="Q2518" s="143"/>
      <c r="T2518" s="144"/>
      <c r="U2518" s="145" t="e">
        <f>VLOOKUP(H2518,Stock_list!A:N,14,FALSE)</f>
        <v>#N/A</v>
      </c>
    </row>
    <row r="2519" spans="1:21" ht="16.5" customHeight="1">
      <c r="A2519" s="159" t="s">
        <v>2748</v>
      </c>
      <c r="B2519" s="114" t="str">
        <f>VLOOKUP(A2519,'Data pick slip'!B:F,5,FALSE)</f>
        <v>KHJ-MC400-00</v>
      </c>
      <c r="F2519" s="157" t="s">
        <v>2773</v>
      </c>
      <c r="I2519" s="139" t="s">
        <v>3099</v>
      </c>
      <c r="J2519" s="139" t="s">
        <v>3377</v>
      </c>
      <c r="K2519" s="51" t="s">
        <v>1246</v>
      </c>
      <c r="L2519" s="4">
        <v>44148</v>
      </c>
      <c r="M2519" s="140">
        <v>3</v>
      </c>
      <c r="P2519" s="4" t="s">
        <v>291</v>
      </c>
      <c r="Q2519" s="143"/>
      <c r="T2519" s="144"/>
      <c r="U2519" s="145" t="e">
        <f>VLOOKUP(H2519,Stock_list!A:N,14,FALSE)</f>
        <v>#N/A</v>
      </c>
    </row>
    <row r="2520" spans="1:21" ht="16.5" customHeight="1">
      <c r="A2520" s="159" t="s">
        <v>2749</v>
      </c>
      <c r="B2520" s="114" t="str">
        <f>VLOOKUP(A2520,'Data pick slip'!B:F,5,FALSE)</f>
        <v>KHJ-MC500-00</v>
      </c>
      <c r="F2520" s="157" t="s">
        <v>2773</v>
      </c>
      <c r="I2520" s="139" t="s">
        <v>3093</v>
      </c>
      <c r="J2520" s="139" t="s">
        <v>3378</v>
      </c>
      <c r="K2520" s="51" t="s">
        <v>1246</v>
      </c>
      <c r="L2520" s="4">
        <v>44148</v>
      </c>
      <c r="M2520" s="140">
        <v>1</v>
      </c>
      <c r="P2520" s="4" t="s">
        <v>291</v>
      </c>
      <c r="Q2520" s="143"/>
      <c r="T2520" s="144"/>
      <c r="U2520" s="145" t="e">
        <f>VLOOKUP(H2520,Stock_list!A:N,14,FALSE)</f>
        <v>#N/A</v>
      </c>
    </row>
    <row r="2521" spans="1:21" ht="16.5" customHeight="1">
      <c r="A2521" s="159" t="s">
        <v>2750</v>
      </c>
      <c r="B2521" s="114" t="str">
        <f>VLOOKUP(A2521,'Data pick slip'!B:F,5,FALSE)</f>
        <v>KHJ-MC600-00</v>
      </c>
      <c r="F2521" s="157" t="s">
        <v>2773</v>
      </c>
      <c r="I2521" s="139" t="s">
        <v>3093</v>
      </c>
      <c r="J2521" s="139" t="s">
        <v>3379</v>
      </c>
      <c r="K2521" s="51" t="s">
        <v>1246</v>
      </c>
      <c r="L2521" s="4">
        <v>44148</v>
      </c>
      <c r="M2521" s="140">
        <v>1</v>
      </c>
      <c r="P2521" s="4" t="s">
        <v>291</v>
      </c>
      <c r="Q2521" s="143"/>
      <c r="T2521" s="144"/>
      <c r="U2521" s="145" t="e">
        <f>VLOOKUP(H2521,Stock_list!A:N,14,FALSE)</f>
        <v>#N/A</v>
      </c>
    </row>
    <row r="2522" spans="1:21" ht="16.5" customHeight="1">
      <c r="A2522" s="159" t="s">
        <v>2744</v>
      </c>
      <c r="B2522" s="114" t="str">
        <f>VLOOKUP(A2522,'Data pick slip'!B:F,5,FALSE)</f>
        <v>KHJ-MC100-00</v>
      </c>
      <c r="F2522" s="157" t="s">
        <v>2861</v>
      </c>
      <c r="H2522" s="138">
        <v>942</v>
      </c>
      <c r="I2522" s="139" t="str">
        <f>VLOOKUP(H2522,Stock_list!A:R,18,FALSE)</f>
        <v>盈通恒翼</v>
      </c>
      <c r="J2522" s="139" t="str">
        <f>VLOOKUP(H2522,Stock_list!A:S,17,FALSE)</f>
        <v>C49SZX20200222SS</v>
      </c>
      <c r="K2522" s="51" t="str">
        <f>VLOOKUP(H2522,Stock_list!A:T,16,FALSE)</f>
        <v>JPY</v>
      </c>
      <c r="L2522" s="4">
        <v>44256</v>
      </c>
      <c r="M2522" s="143">
        <v>20</v>
      </c>
      <c r="P2522" s="4" t="str">
        <f>VLOOKUP(H2522,Stock_list!A:Y,25,FALSE)</f>
        <v>Yes</v>
      </c>
      <c r="Q2522" s="133"/>
      <c r="T2522" s="144"/>
      <c r="U2522" s="145" t="str">
        <f>VLOOKUP(H2522,Stock_list!A:N,14,FALSE)</f>
        <v>JAN 21</v>
      </c>
    </row>
    <row r="2523" spans="1:21" ht="16.5" customHeight="1">
      <c r="A2523" s="159" t="s">
        <v>2747</v>
      </c>
      <c r="B2523" s="114" t="str">
        <f>VLOOKUP(A2523,'Data pick slip'!B:F,5,FALSE)</f>
        <v>KHJ-MC200-00</v>
      </c>
      <c r="F2523" s="157" t="s">
        <v>2861</v>
      </c>
      <c r="H2523" s="138">
        <v>942</v>
      </c>
      <c r="I2523" s="139" t="str">
        <f>VLOOKUP(H2523,Stock_list!A:R,18,FALSE)</f>
        <v>盈通恒翼</v>
      </c>
      <c r="J2523" s="139" t="str">
        <f>VLOOKUP(H2523,Stock_list!A:S,17,FALSE)</f>
        <v>C49SZX20200222SS</v>
      </c>
      <c r="K2523" s="51" t="str">
        <f>VLOOKUP(H2523,Stock_list!A:T,16,FALSE)</f>
        <v>JPY</v>
      </c>
      <c r="L2523" s="4">
        <v>44256</v>
      </c>
      <c r="M2523" s="143">
        <v>6</v>
      </c>
      <c r="P2523" s="4" t="str">
        <f>VLOOKUP(H2523,Stock_list!A:Y,25,FALSE)</f>
        <v>Yes</v>
      </c>
      <c r="Q2523" s="133"/>
      <c r="T2523" s="144"/>
      <c r="U2523" s="145" t="str">
        <f>VLOOKUP(H2523,Stock_list!A:N,14,FALSE)</f>
        <v>JAN 21</v>
      </c>
    </row>
    <row r="2524" spans="1:21" ht="16.5" customHeight="1">
      <c r="A2524" s="159" t="s">
        <v>2748</v>
      </c>
      <c r="B2524" s="114" t="str">
        <f>VLOOKUP(A2524,'Data pick slip'!B:F,5,FALSE)</f>
        <v>KHJ-MC400-00</v>
      </c>
      <c r="F2524" s="157" t="s">
        <v>2861</v>
      </c>
      <c r="H2524" s="138">
        <v>942</v>
      </c>
      <c r="I2524" s="285" t="str">
        <f>VLOOKUP(H2524,Stock_list!A:R,18,FALSE)</f>
        <v>盈通恒翼</v>
      </c>
      <c r="J2524" s="285" t="str">
        <f>VLOOKUP(H2524,Stock_list!A:S,17,FALSE)</f>
        <v>C49SZX20200222SS</v>
      </c>
      <c r="K2524" s="258" t="str">
        <f>VLOOKUP(H2524,Stock_list!A:T,16,FALSE)</f>
        <v>JPY</v>
      </c>
      <c r="L2524" s="286">
        <v>44256</v>
      </c>
      <c r="M2524" s="288">
        <v>1</v>
      </c>
      <c r="P2524" s="4" t="str">
        <f>VLOOKUP(H2524,Stock_list!A:Y,25,FALSE)</f>
        <v>Yes</v>
      </c>
      <c r="Q2524" s="133"/>
      <c r="T2524" s="144"/>
      <c r="U2524" s="145" t="str">
        <f>VLOOKUP(H2524,Stock_list!A:N,14,FALSE)</f>
        <v>JAN 21</v>
      </c>
    </row>
    <row r="2525" spans="1:21" ht="16.5" customHeight="1">
      <c r="A2525" s="159" t="s">
        <v>2751</v>
      </c>
      <c r="B2525" s="114" t="str">
        <f>VLOOKUP(A2525,'Data pick slip'!B:F,5,FALSE)</f>
        <v>KHJ-MC700-00</v>
      </c>
      <c r="F2525" s="157" t="s">
        <v>2861</v>
      </c>
      <c r="H2525" s="138">
        <v>942</v>
      </c>
      <c r="I2525" s="139" t="str">
        <f>VLOOKUP(H2525,Stock_list!A:R,18,FALSE)</f>
        <v>盈通恒翼</v>
      </c>
      <c r="J2525" s="139" t="str">
        <f>VLOOKUP(H2525,Stock_list!A:S,17,FALSE)</f>
        <v>C49SZX20200222SS</v>
      </c>
      <c r="K2525" s="51" t="str">
        <f>VLOOKUP(H2525,Stock_list!A:T,16,FALSE)</f>
        <v>JPY</v>
      </c>
      <c r="L2525" s="4">
        <v>44256</v>
      </c>
      <c r="M2525" s="132">
        <v>2</v>
      </c>
      <c r="P2525" s="4" t="str">
        <f>VLOOKUP(H2525,Stock_list!A:Y,25,FALSE)</f>
        <v>Yes</v>
      </c>
      <c r="Q2525" s="143"/>
      <c r="T2525" s="144"/>
      <c r="U2525" s="145" t="str">
        <f>VLOOKUP(H2525,Stock_list!A:N,14,FALSE)</f>
        <v>JAN 21</v>
      </c>
    </row>
    <row r="2526" spans="1:21" ht="16.5" customHeight="1">
      <c r="A2526" s="159" t="s">
        <v>2744</v>
      </c>
      <c r="B2526" s="114" t="str">
        <f>VLOOKUP(A2526,'Data pick slip'!B:F,5,FALSE)</f>
        <v>KHJ-MC100-00</v>
      </c>
      <c r="F2526" s="157" t="s">
        <v>2861</v>
      </c>
      <c r="H2526" s="138">
        <v>942</v>
      </c>
      <c r="I2526" s="139" t="str">
        <f>VLOOKUP(H2526,Stock_list!A:R,18,FALSE)</f>
        <v>盈通恒翼</v>
      </c>
      <c r="J2526" s="139" t="str">
        <f>VLOOKUP(H2526,Stock_list!A:S,17,FALSE)</f>
        <v>C49SZX20200222SS</v>
      </c>
      <c r="K2526" s="51" t="str">
        <f>VLOOKUP(H2526,Stock_list!A:T,16,FALSE)</f>
        <v>JPY</v>
      </c>
      <c r="L2526" s="4">
        <v>44227</v>
      </c>
      <c r="M2526" s="143">
        <v>30</v>
      </c>
      <c r="P2526" s="4" t="str">
        <f>VLOOKUP(H2526,Stock_list!A:Y,25,FALSE)</f>
        <v>Yes</v>
      </c>
      <c r="Q2526" s="133"/>
      <c r="T2526" s="144"/>
      <c r="U2526" s="145" t="str">
        <f>VLOOKUP(H2526,Stock_list!A:N,14,FALSE)</f>
        <v>JAN 21</v>
      </c>
    </row>
    <row r="2527" spans="1:21" ht="16.5" customHeight="1">
      <c r="A2527" s="159" t="s">
        <v>2747</v>
      </c>
      <c r="B2527" s="114" t="str">
        <f>VLOOKUP(A2527,'Data pick slip'!B:F,5,FALSE)</f>
        <v>KHJ-MC200-00</v>
      </c>
      <c r="F2527" s="157" t="s">
        <v>2861</v>
      </c>
      <c r="H2527" s="138">
        <v>942</v>
      </c>
      <c r="I2527" s="139" t="str">
        <f>VLOOKUP(H2527,Stock_list!A:R,18,FALSE)</f>
        <v>盈通恒翼</v>
      </c>
      <c r="J2527" s="139" t="str">
        <f>VLOOKUP(H2527,Stock_list!A:S,17,FALSE)</f>
        <v>C49SZX20200222SS</v>
      </c>
      <c r="K2527" s="51" t="str">
        <f>VLOOKUP(H2527,Stock_list!A:T,16,FALSE)</f>
        <v>JPY</v>
      </c>
      <c r="L2527" s="4">
        <v>44227</v>
      </c>
      <c r="M2527" s="143">
        <v>12</v>
      </c>
      <c r="P2527" s="4" t="str">
        <f>VLOOKUP(H2527,Stock_list!A:Y,25,FALSE)</f>
        <v>Yes</v>
      </c>
      <c r="Q2527" s="133"/>
      <c r="T2527" s="144"/>
      <c r="U2527" s="145" t="str">
        <f>VLOOKUP(H2527,Stock_list!A:N,14,FALSE)</f>
        <v>JAN 21</v>
      </c>
    </row>
    <row r="2528" spans="1:21" ht="16.5" customHeight="1">
      <c r="A2528" s="159" t="s">
        <v>2748</v>
      </c>
      <c r="B2528" s="114" t="str">
        <f>VLOOKUP(A2528,'Data pick slip'!B:F,5,FALSE)</f>
        <v>KHJ-MC400-00</v>
      </c>
      <c r="F2528" s="157" t="s">
        <v>2861</v>
      </c>
      <c r="H2528" s="138">
        <v>942</v>
      </c>
      <c r="I2528" s="139" t="str">
        <f>VLOOKUP(H2528,Stock_list!A:R,18,FALSE)</f>
        <v>盈通恒翼</v>
      </c>
      <c r="J2528" s="285" t="str">
        <f>VLOOKUP(H2528,Stock_list!A:S,17,FALSE)</f>
        <v>C49SZX20200222SS</v>
      </c>
      <c r="K2528" s="258" t="str">
        <f>VLOOKUP(H2528,Stock_list!A:T,16,FALSE)</f>
        <v>JPY</v>
      </c>
      <c r="L2528" s="286">
        <v>44227</v>
      </c>
      <c r="M2528" s="288">
        <v>2</v>
      </c>
      <c r="P2528" s="4" t="str">
        <f>VLOOKUP(H2528,Stock_list!A:Y,25,FALSE)</f>
        <v>Yes</v>
      </c>
      <c r="Q2528" s="133"/>
      <c r="T2528" s="144"/>
      <c r="U2528" s="145" t="str">
        <f>VLOOKUP(H2528,Stock_list!A:N,14,FALSE)</f>
        <v>JAN 21</v>
      </c>
    </row>
    <row r="2529" spans="1:21" ht="16.5" customHeight="1">
      <c r="A2529" s="159" t="s">
        <v>2749</v>
      </c>
      <c r="B2529" s="114" t="str">
        <f>VLOOKUP(A2529,'Data pick slip'!B:F,5,FALSE)</f>
        <v>KHJ-MC500-00</v>
      </c>
      <c r="F2529" s="157" t="s">
        <v>2861</v>
      </c>
      <c r="H2529" s="138">
        <v>942</v>
      </c>
      <c r="I2529" s="139" t="str">
        <f>VLOOKUP(H2529,Stock_list!A:R,18,FALSE)</f>
        <v>盈通恒翼</v>
      </c>
      <c r="J2529" s="139" t="str">
        <f>VLOOKUP(H2529,Stock_list!A:S,17,FALSE)</f>
        <v>C49SZX20200222SS</v>
      </c>
      <c r="K2529" s="51" t="str">
        <f>VLOOKUP(H2529,Stock_list!A:T,16,FALSE)</f>
        <v>JPY</v>
      </c>
      <c r="L2529" s="4">
        <v>44227</v>
      </c>
      <c r="M2529" s="143">
        <v>2</v>
      </c>
      <c r="P2529" s="4" t="str">
        <f>VLOOKUP(H2529,Stock_list!A:Y,25,FALSE)</f>
        <v>Yes</v>
      </c>
      <c r="Q2529" s="133"/>
      <c r="T2529" s="144"/>
      <c r="U2529" s="145" t="str">
        <f>VLOOKUP(H2529,Stock_list!A:N,14,FALSE)</f>
        <v>JAN 21</v>
      </c>
    </row>
    <row r="2530" spans="1:21" ht="16.5" customHeight="1">
      <c r="A2530" s="159" t="s">
        <v>2750</v>
      </c>
      <c r="B2530" s="114" t="str">
        <f>VLOOKUP(A2530,'Data pick slip'!B:F,5,FALSE)</f>
        <v>KHJ-MC600-00</v>
      </c>
      <c r="F2530" s="157" t="s">
        <v>2861</v>
      </c>
      <c r="H2530" s="138">
        <v>942</v>
      </c>
      <c r="I2530" s="139" t="str">
        <f>VLOOKUP(H2530,Stock_list!A:R,18,FALSE)</f>
        <v>盈通恒翼</v>
      </c>
      <c r="J2530" s="139" t="str">
        <f>VLOOKUP(H2530,Stock_list!A:S,17,FALSE)</f>
        <v>C49SZX20200222SS</v>
      </c>
      <c r="K2530" s="51" t="str">
        <f>VLOOKUP(H2530,Stock_list!A:T,16,FALSE)</f>
        <v>JPY</v>
      </c>
      <c r="L2530" s="4">
        <v>44227</v>
      </c>
      <c r="M2530" s="143">
        <v>2</v>
      </c>
      <c r="P2530" s="4" t="str">
        <f>VLOOKUP(H2530,Stock_list!A:Y,25,FALSE)</f>
        <v>Yes</v>
      </c>
      <c r="Q2530" s="133"/>
      <c r="T2530" s="144"/>
      <c r="U2530" s="145" t="str">
        <f>VLOOKUP(H2530,Stock_list!A:N,14,FALSE)</f>
        <v>JAN 21</v>
      </c>
    </row>
    <row r="2531" spans="1:21" ht="16.5" customHeight="1">
      <c r="A2531" s="159" t="s">
        <v>2744</v>
      </c>
      <c r="B2531" s="114" t="str">
        <f>VLOOKUP(A2531,'Data pick slip'!B:F,5,FALSE)</f>
        <v>KHJ-MC100-00</v>
      </c>
      <c r="F2531" s="157" t="s">
        <v>2773</v>
      </c>
      <c r="H2531" s="138">
        <v>943</v>
      </c>
      <c r="I2531" s="139" t="str">
        <f>VLOOKUP(H2531,Stock_list!A:R,18,FALSE)</f>
        <v>腾拓</v>
      </c>
      <c r="J2531" s="139" t="str">
        <f>VLOOKUP(H2531,Stock_list!A:S,17,FALSE)</f>
        <v>C49SZX20200221MZ</v>
      </c>
      <c r="K2531" s="51" t="str">
        <f>VLOOKUP(H2531,Stock_list!A:T,16,FALSE)</f>
        <v>RMB</v>
      </c>
      <c r="L2531" s="4">
        <v>44259</v>
      </c>
      <c r="M2531" s="132">
        <v>100</v>
      </c>
      <c r="P2531" s="4" t="str">
        <f>VLOOKUP(H2531,Stock_list!A:Y,25,FALSE)</f>
        <v>Yes</v>
      </c>
      <c r="Q2531" s="143"/>
      <c r="T2531" s="144"/>
      <c r="U2531" s="145" t="str">
        <f>VLOOKUP(H2531,Stock_list!A:N,14,FALSE)</f>
        <v>FEB 21</v>
      </c>
    </row>
    <row r="2532" spans="1:21" ht="16.5" customHeight="1">
      <c r="A2532" s="159" t="s">
        <v>2744</v>
      </c>
      <c r="B2532" s="114" t="str">
        <f>VLOOKUP(A2532,'Data pick slip'!B:F,5,FALSE)</f>
        <v>KHJ-MC100-00</v>
      </c>
      <c r="F2532" s="157" t="s">
        <v>2773</v>
      </c>
      <c r="H2532" s="138">
        <v>1119</v>
      </c>
      <c r="I2532" s="139" t="str">
        <f>VLOOKUP(H2532,Stock_list!A:R,18,FALSE)</f>
        <v>英拓邦</v>
      </c>
      <c r="J2532" s="139" t="str">
        <f>VLOOKUP(H2532,Stock_list!A:S,17,FALSE)</f>
        <v>C49SZX20210011JY</v>
      </c>
      <c r="K2532" s="51" t="str">
        <f>VLOOKUP(H2532,Stock_list!A:T,16,FALSE)</f>
        <v>JPY</v>
      </c>
      <c r="L2532" s="4">
        <v>44158</v>
      </c>
      <c r="O2532" s="132">
        <f>40-40</f>
        <v>0</v>
      </c>
      <c r="P2532" s="4" t="str">
        <f>VLOOKUP(H2532,Stock_list!A:Y,25,FALSE)</f>
        <v>Yes</v>
      </c>
      <c r="Q2532" s="143"/>
      <c r="T2532" s="144"/>
      <c r="U2532" s="145" t="str">
        <f>VLOOKUP(H2532,Stock_list!A:N,14,FALSE)</f>
        <v>MAR 21</v>
      </c>
    </row>
    <row r="2533" spans="1:21" ht="16.5" customHeight="1">
      <c r="A2533" s="159" t="s">
        <v>2744</v>
      </c>
      <c r="B2533" s="114" t="str">
        <f>VLOOKUP(A2533,'Data pick slip'!B:F,5,FALSE)</f>
        <v>KHJ-MC100-00</v>
      </c>
      <c r="F2533" s="157" t="s">
        <v>2861</v>
      </c>
      <c r="H2533" s="138">
        <v>977</v>
      </c>
      <c r="I2533" s="139" t="str">
        <f>VLOOKUP(H2533,Stock_list!A:R,18,FALSE)</f>
        <v>程氏松哥</v>
      </c>
      <c r="J2533" s="139" t="str">
        <f>VLOOKUP(H2533,Stock_list!A:S,17,FALSE)</f>
        <v>C49SZX20200227MZ</v>
      </c>
      <c r="K2533" s="51" t="str">
        <f>VLOOKUP(H2533,Stock_list!A:T,16,FALSE)</f>
        <v>JPY</v>
      </c>
      <c r="L2533" s="4">
        <v>44301</v>
      </c>
      <c r="M2533" s="132">
        <v>20</v>
      </c>
      <c r="P2533" s="4" t="str">
        <f>VLOOKUP(H2533,Stock_list!A:Y,25,FALSE)</f>
        <v>Yes</v>
      </c>
      <c r="Q2533" s="143"/>
      <c r="T2533" s="144"/>
      <c r="U2533" s="145" t="str">
        <f>VLOOKUP(H2533,Stock_list!A:N,14,FALSE)</f>
        <v>APR 21</v>
      </c>
    </row>
    <row r="2534" spans="1:21" ht="16.5" customHeight="1">
      <c r="A2534" s="159" t="s">
        <v>2747</v>
      </c>
      <c r="B2534" s="114" t="str">
        <f>VLOOKUP(A2534,'Data pick slip'!B:F,5,FALSE)</f>
        <v>KHJ-MC200-00</v>
      </c>
      <c r="F2534" s="157" t="s">
        <v>2861</v>
      </c>
      <c r="H2534" s="138">
        <v>977</v>
      </c>
      <c r="I2534" s="139" t="str">
        <f>VLOOKUP(H2534,Stock_list!A:R,18,FALSE)</f>
        <v>程氏松哥</v>
      </c>
      <c r="J2534" s="139" t="str">
        <f>VLOOKUP(H2534,Stock_list!A:S,17,FALSE)</f>
        <v>C49SZX20200227MZ</v>
      </c>
      <c r="K2534" s="51" t="str">
        <f>VLOOKUP(H2534,Stock_list!A:T,16,FALSE)</f>
        <v>JPY</v>
      </c>
      <c r="L2534" s="4">
        <v>44301</v>
      </c>
      <c r="M2534" s="132">
        <v>10</v>
      </c>
      <c r="P2534" s="4" t="str">
        <f>VLOOKUP(H2534,Stock_list!A:Y,25,FALSE)</f>
        <v>Yes</v>
      </c>
      <c r="Q2534" s="143"/>
      <c r="T2534" s="144"/>
      <c r="U2534" s="145" t="str">
        <f>VLOOKUP(H2534,Stock_list!A:N,14,FALSE)</f>
        <v>APR 21</v>
      </c>
    </row>
    <row r="2535" spans="1:21" ht="16.5" customHeight="1">
      <c r="A2535" s="159" t="s">
        <v>2748</v>
      </c>
      <c r="B2535" s="114" t="str">
        <f>VLOOKUP(A2535,'Data pick slip'!B:F,5,FALSE)</f>
        <v>KHJ-MC400-00</v>
      </c>
      <c r="F2535" s="157" t="s">
        <v>2861</v>
      </c>
      <c r="H2535" s="138">
        <v>977</v>
      </c>
      <c r="I2535" s="139" t="str">
        <f>VLOOKUP(H2535,Stock_list!A:R,18,FALSE)</f>
        <v>程氏松哥</v>
      </c>
      <c r="J2535" s="139" t="str">
        <f>VLOOKUP(H2535,Stock_list!A:S,17,FALSE)</f>
        <v>C49SZX20200227MZ</v>
      </c>
      <c r="K2535" s="51" t="str">
        <f>VLOOKUP(H2535,Stock_list!A:T,16,FALSE)</f>
        <v>JPY</v>
      </c>
      <c r="L2535" s="4">
        <v>44301</v>
      </c>
      <c r="M2535" s="132">
        <v>3</v>
      </c>
      <c r="P2535" s="4" t="str">
        <f>VLOOKUP(H2535,Stock_list!A:Y,25,FALSE)</f>
        <v>Yes</v>
      </c>
      <c r="Q2535" s="143"/>
      <c r="T2535" s="144"/>
      <c r="U2535" s="145" t="str">
        <f>VLOOKUP(H2535,Stock_list!A:N,14,FALSE)</f>
        <v>APR 21</v>
      </c>
    </row>
    <row r="2536" spans="1:21" ht="16.5" customHeight="1">
      <c r="A2536" s="159" t="s">
        <v>2747</v>
      </c>
      <c r="B2536" s="114" t="str">
        <f>VLOOKUP(A2536,'Data pick slip'!B:F,5,FALSE)</f>
        <v>KHJ-MC200-00</v>
      </c>
      <c r="F2536" s="157" t="s">
        <v>2860</v>
      </c>
      <c r="I2536" s="139" t="s">
        <v>3015</v>
      </c>
      <c r="J2536" s="139" t="s">
        <v>2928</v>
      </c>
      <c r="K2536" s="51" t="s">
        <v>1246</v>
      </c>
      <c r="L2536" s="4">
        <v>44145</v>
      </c>
      <c r="M2536" s="140">
        <v>70</v>
      </c>
      <c r="P2536" s="4" t="s">
        <v>291</v>
      </c>
      <c r="Q2536" s="143"/>
      <c r="T2536" s="144"/>
      <c r="U2536" s="145" t="e">
        <f>VLOOKUP(H2536,Stock_list!A:N,14,FALSE)</f>
        <v>#N/A</v>
      </c>
    </row>
    <row r="2537" spans="1:21" ht="16.5" customHeight="1">
      <c r="A2537" s="159" t="s">
        <v>2921</v>
      </c>
      <c r="B2537" s="114" t="e">
        <f>VLOOKUP(A2537,'Data pick slip'!B:F,5,FALSE)</f>
        <v>#N/A</v>
      </c>
      <c r="F2537" s="157" t="s">
        <v>2860</v>
      </c>
      <c r="I2537" s="139" t="s">
        <v>3015</v>
      </c>
      <c r="J2537" s="139" t="s">
        <v>2928</v>
      </c>
      <c r="K2537" s="51" t="s">
        <v>1246</v>
      </c>
      <c r="L2537" s="4">
        <v>44145</v>
      </c>
      <c r="M2537" s="140">
        <v>2</v>
      </c>
      <c r="P2537" s="4" t="s">
        <v>291</v>
      </c>
      <c r="Q2537" s="143"/>
      <c r="T2537" s="144"/>
      <c r="U2537" s="145" t="e">
        <f>VLOOKUP(H2537,Stock_list!A:N,14,FALSE)</f>
        <v>#N/A</v>
      </c>
    </row>
    <row r="2538" spans="1:21" ht="16.5" customHeight="1">
      <c r="A2538" s="159" t="s">
        <v>2744</v>
      </c>
      <c r="B2538" s="114" t="str">
        <f>VLOOKUP(A2538,'Data pick slip'!B:F,5,FALSE)</f>
        <v>KHJ-MC100-00</v>
      </c>
      <c r="F2538" s="157" t="s">
        <v>2860</v>
      </c>
      <c r="I2538" s="139" t="s">
        <v>3015</v>
      </c>
      <c r="J2538" s="139" t="s">
        <v>2929</v>
      </c>
      <c r="K2538" s="51" t="s">
        <v>1246</v>
      </c>
      <c r="L2538" s="4">
        <v>44155</v>
      </c>
      <c r="M2538" s="140">
        <v>50</v>
      </c>
      <c r="P2538" s="4" t="s">
        <v>291</v>
      </c>
      <c r="Q2538" s="143"/>
      <c r="T2538" s="144"/>
      <c r="U2538" s="145" t="e">
        <f>VLOOKUP(H2538,Stock_list!A:N,14,FALSE)</f>
        <v>#N/A</v>
      </c>
    </row>
    <row r="2539" spans="1:21" ht="16.5" customHeight="1">
      <c r="A2539" s="159" t="s">
        <v>2747</v>
      </c>
      <c r="B2539" s="114" t="str">
        <f>VLOOKUP(A2539,'Data pick slip'!B:F,5,FALSE)</f>
        <v>KHJ-MC200-00</v>
      </c>
      <c r="F2539" s="157" t="s">
        <v>2860</v>
      </c>
      <c r="I2539" s="139" t="s">
        <v>3015</v>
      </c>
      <c r="J2539" s="139" t="s">
        <v>2929</v>
      </c>
      <c r="K2539" s="51" t="s">
        <v>1246</v>
      </c>
      <c r="L2539" s="4">
        <v>44155</v>
      </c>
      <c r="M2539" s="140">
        <v>20</v>
      </c>
      <c r="P2539" s="4" t="s">
        <v>291</v>
      </c>
      <c r="Q2539" s="143"/>
      <c r="T2539" s="144"/>
      <c r="U2539" s="145" t="e">
        <f>VLOOKUP(H2539,Stock_list!A:N,14,FALSE)</f>
        <v>#N/A</v>
      </c>
    </row>
    <row r="2540" spans="1:21" ht="16.5" customHeight="1">
      <c r="A2540" s="159" t="s">
        <v>2744</v>
      </c>
      <c r="B2540" s="114" t="str">
        <f>VLOOKUP(A2540,'Data pick slip'!B:F,5,FALSE)</f>
        <v>KHJ-MC100-00</v>
      </c>
      <c r="F2540" s="157" t="s">
        <v>2860</v>
      </c>
      <c r="I2540" s="139" t="s">
        <v>3015</v>
      </c>
      <c r="J2540" s="139" t="s">
        <v>2929</v>
      </c>
      <c r="K2540" s="51" t="s">
        <v>1246</v>
      </c>
      <c r="L2540" s="4">
        <v>44155</v>
      </c>
      <c r="M2540" s="140">
        <v>220</v>
      </c>
      <c r="P2540" s="4" t="s">
        <v>291</v>
      </c>
      <c r="Q2540" s="143"/>
      <c r="T2540" s="144"/>
      <c r="U2540" s="145" t="e">
        <f>VLOOKUP(H2540,Stock_list!A:N,14,FALSE)</f>
        <v>#N/A</v>
      </c>
    </row>
    <row r="2541" spans="1:21" ht="16.5" customHeight="1">
      <c r="A2541" s="159" t="s">
        <v>2747</v>
      </c>
      <c r="B2541" s="114" t="str">
        <f>VLOOKUP(A2541,'Data pick slip'!B:F,5,FALSE)</f>
        <v>KHJ-MC200-00</v>
      </c>
      <c r="F2541" s="157" t="s">
        <v>2860</v>
      </c>
      <c r="I2541" s="139" t="s">
        <v>3015</v>
      </c>
      <c r="J2541" s="139" t="s">
        <v>2929</v>
      </c>
      <c r="K2541" s="51" t="s">
        <v>1246</v>
      </c>
      <c r="L2541" s="4">
        <v>44155</v>
      </c>
      <c r="M2541" s="140">
        <v>20</v>
      </c>
      <c r="P2541" s="4" t="s">
        <v>291</v>
      </c>
      <c r="Q2541" s="143"/>
      <c r="T2541" s="144"/>
      <c r="U2541" s="145" t="e">
        <f>VLOOKUP(H2541,Stock_list!A:N,14,FALSE)</f>
        <v>#N/A</v>
      </c>
    </row>
    <row r="2542" spans="1:21" ht="16.5" customHeight="1">
      <c r="A2542" s="159" t="s">
        <v>2921</v>
      </c>
      <c r="B2542" s="114" t="e">
        <f>VLOOKUP(A2542,'Data pick slip'!B:F,5,FALSE)</f>
        <v>#N/A</v>
      </c>
      <c r="F2542" s="157" t="s">
        <v>2860</v>
      </c>
      <c r="I2542" s="139" t="s">
        <v>3015</v>
      </c>
      <c r="J2542" s="139" t="s">
        <v>2929</v>
      </c>
      <c r="K2542" s="51" t="s">
        <v>1246</v>
      </c>
      <c r="L2542" s="4">
        <v>44155</v>
      </c>
      <c r="M2542" s="140">
        <v>6</v>
      </c>
      <c r="P2542" s="4" t="s">
        <v>291</v>
      </c>
      <c r="Q2542" s="143"/>
      <c r="T2542" s="144"/>
      <c r="U2542" s="145" t="e">
        <f>VLOOKUP(H2542,Stock_list!A:N,14,FALSE)</f>
        <v>#N/A</v>
      </c>
    </row>
    <row r="2543" spans="1:21" ht="16.5" customHeight="1">
      <c r="A2543" s="159" t="s">
        <v>2747</v>
      </c>
      <c r="B2543" s="114" t="str">
        <f>VLOOKUP(A2543,'Data pick slip'!B:F,5,FALSE)</f>
        <v>KHJ-MC200-00</v>
      </c>
      <c r="F2543" s="157" t="s">
        <v>2773</v>
      </c>
      <c r="I2543" s="139" t="s">
        <v>3105</v>
      </c>
      <c r="J2543" s="139" t="s">
        <v>3380</v>
      </c>
      <c r="K2543" s="51" t="s">
        <v>1246</v>
      </c>
      <c r="L2543" s="4">
        <v>44159</v>
      </c>
      <c r="M2543" s="140">
        <v>2</v>
      </c>
      <c r="P2543" s="4" t="s">
        <v>291</v>
      </c>
      <c r="Q2543" s="143"/>
      <c r="T2543" s="144"/>
      <c r="U2543" s="145" t="e">
        <f>VLOOKUP(H2543,Stock_list!A:N,14,FALSE)</f>
        <v>#N/A</v>
      </c>
    </row>
    <row r="2544" spans="1:21" ht="16.5" customHeight="1">
      <c r="A2544" s="159" t="s">
        <v>2744</v>
      </c>
      <c r="B2544" s="114" t="str">
        <f>VLOOKUP(A2544,'Data pick slip'!B:F,5,FALSE)</f>
        <v>KHJ-MC100-00</v>
      </c>
      <c r="F2544" s="157" t="s">
        <v>1381</v>
      </c>
      <c r="H2544" s="138">
        <v>978</v>
      </c>
      <c r="I2544" s="139" t="str">
        <f>VLOOKUP(H2544,Stock_list!A:R,18,FALSE)</f>
        <v>豫龙辉</v>
      </c>
      <c r="J2544" s="139" t="str">
        <f>VLOOKUP(H2544,Stock_list!A:S,17,FALSE)</f>
        <v>C49SZX20200229JY</v>
      </c>
      <c r="K2544" s="51" t="str">
        <f>VLOOKUP(H2544,Stock_list!A:T,16,FALSE)</f>
        <v>JPY</v>
      </c>
      <c r="L2544" s="4">
        <v>44249</v>
      </c>
      <c r="M2544" s="132">
        <v>20</v>
      </c>
      <c r="P2544" s="4" t="str">
        <f>VLOOKUP(H2544,Stock_list!A:Y,25,FALSE)</f>
        <v>Yes</v>
      </c>
      <c r="Q2544" s="143"/>
      <c r="T2544" s="144"/>
      <c r="U2544" s="145" t="str">
        <f>VLOOKUP(H2544,Stock_list!A:N,14,FALSE)</f>
        <v>FEB 21</v>
      </c>
    </row>
    <row r="2545" spans="1:21" ht="16.5" customHeight="1">
      <c r="A2545" s="159" t="s">
        <v>2747</v>
      </c>
      <c r="B2545" s="114" t="str">
        <f>VLOOKUP(A2545,'Data pick slip'!B:F,5,FALSE)</f>
        <v>KHJ-MC200-00</v>
      </c>
      <c r="F2545" s="157" t="s">
        <v>1381</v>
      </c>
      <c r="H2545" s="138">
        <v>978</v>
      </c>
      <c r="I2545" s="139" t="str">
        <f>VLOOKUP(H2545,Stock_list!A:R,18,FALSE)</f>
        <v>豫龙辉</v>
      </c>
      <c r="J2545" s="139" t="str">
        <f>VLOOKUP(H2545,Stock_list!A:S,17,FALSE)</f>
        <v>C49SZX20200229JY</v>
      </c>
      <c r="K2545" s="51" t="str">
        <f>VLOOKUP(H2545,Stock_list!A:T,16,FALSE)</f>
        <v>JPY</v>
      </c>
      <c r="L2545" s="4">
        <v>44249</v>
      </c>
      <c r="M2545" s="132">
        <v>3</v>
      </c>
      <c r="P2545" s="4" t="str">
        <f>VLOOKUP(H2545,Stock_list!A:Y,25,FALSE)</f>
        <v>Yes</v>
      </c>
      <c r="Q2545" s="143"/>
      <c r="T2545" s="144"/>
      <c r="U2545" s="145" t="str">
        <f>VLOOKUP(H2545,Stock_list!A:N,14,FALSE)</f>
        <v>FEB 21</v>
      </c>
    </row>
    <row r="2546" spans="1:21" ht="16.5" customHeight="1">
      <c r="A2546" s="159" t="s">
        <v>2751</v>
      </c>
      <c r="B2546" s="114" t="str">
        <f>VLOOKUP(A2546,'Data pick slip'!B:F,5,FALSE)</f>
        <v>KHJ-MC700-00</v>
      </c>
      <c r="F2546" s="157" t="s">
        <v>2773</v>
      </c>
      <c r="I2546" s="139" t="s">
        <v>3093</v>
      </c>
      <c r="J2546" s="139" t="s">
        <v>3381</v>
      </c>
      <c r="K2546" s="51" t="s">
        <v>1246</v>
      </c>
      <c r="L2546" s="4">
        <v>44097</v>
      </c>
      <c r="M2546" s="140">
        <v>1</v>
      </c>
      <c r="P2546" s="4" t="s">
        <v>291</v>
      </c>
      <c r="Q2546" s="143"/>
      <c r="T2546" s="144"/>
      <c r="U2546" s="145" t="e">
        <f>VLOOKUP(H2546,Stock_list!A:N,14,FALSE)</f>
        <v>#N/A</v>
      </c>
    </row>
    <row r="2547" spans="1:21" ht="16.5" customHeight="1">
      <c r="A2547" s="159" t="s">
        <v>2747</v>
      </c>
      <c r="B2547" s="114" t="str">
        <f>VLOOKUP(A2547,'Data pick slip'!B:F,5,FALSE)</f>
        <v>KHJ-MC200-00</v>
      </c>
      <c r="F2547" s="157" t="s">
        <v>2773</v>
      </c>
      <c r="I2547" s="139" t="s">
        <v>3093</v>
      </c>
      <c r="J2547" s="139" t="s">
        <v>3382</v>
      </c>
      <c r="K2547" s="51" t="s">
        <v>1246</v>
      </c>
      <c r="L2547" s="4">
        <v>44162</v>
      </c>
      <c r="M2547" s="140">
        <v>4</v>
      </c>
      <c r="P2547" s="4" t="s">
        <v>291</v>
      </c>
      <c r="Q2547" s="143"/>
      <c r="T2547" s="144"/>
      <c r="U2547" s="145" t="e">
        <f>VLOOKUP(H2547,Stock_list!A:N,14,FALSE)</f>
        <v>#N/A</v>
      </c>
    </row>
    <row r="2548" spans="1:21" ht="16.5" customHeight="1">
      <c r="A2548" s="159" t="s">
        <v>2744</v>
      </c>
      <c r="B2548" s="114" t="str">
        <f>VLOOKUP(A2548,'Data pick slip'!B:F,5,FALSE)</f>
        <v>KHJ-MC100-00</v>
      </c>
      <c r="F2548" s="157" t="s">
        <v>2773</v>
      </c>
      <c r="I2548" s="139" t="s">
        <v>3093</v>
      </c>
      <c r="J2548" s="139" t="s">
        <v>3383</v>
      </c>
      <c r="K2548" s="51" t="s">
        <v>1246</v>
      </c>
      <c r="L2548" s="4">
        <v>44165</v>
      </c>
      <c r="M2548" s="140">
        <v>24</v>
      </c>
      <c r="P2548" s="4" t="s">
        <v>291</v>
      </c>
      <c r="Q2548" s="143"/>
      <c r="T2548" s="144"/>
      <c r="U2548" s="145" t="e">
        <f>VLOOKUP(H2548,Stock_list!A:N,14,FALSE)</f>
        <v>#N/A</v>
      </c>
    </row>
    <row r="2549" spans="1:21" ht="16.5" customHeight="1">
      <c r="A2549" s="159" t="s">
        <v>2744</v>
      </c>
      <c r="B2549" s="114" t="str">
        <f>VLOOKUP(A2549,'Data pick slip'!B:F,5,FALSE)</f>
        <v>KHJ-MC100-00</v>
      </c>
      <c r="F2549" s="157" t="s">
        <v>2861</v>
      </c>
      <c r="H2549" s="138">
        <v>979</v>
      </c>
      <c r="I2549" s="139" t="str">
        <f>VLOOKUP(H2549,Stock_list!A:R,18,FALSE)</f>
        <v>新明海</v>
      </c>
      <c r="J2549" s="139" t="str">
        <f>VLOOKUP(H2549,Stock_list!A:S,17,FALSE)</f>
        <v>C49SZX20200228JZ</v>
      </c>
      <c r="K2549" s="51" t="str">
        <f>VLOOKUP(H2549,Stock_list!A:T,16,FALSE)</f>
        <v>JPY</v>
      </c>
      <c r="L2549" s="4">
        <v>44265</v>
      </c>
      <c r="M2549" s="143">
        <v>80</v>
      </c>
      <c r="P2549" s="4" t="str">
        <f>VLOOKUP(H2549,Stock_list!A:Y,25,FALSE)</f>
        <v>Yes</v>
      </c>
      <c r="T2549" s="144"/>
      <c r="U2549" s="145" t="str">
        <f>VLOOKUP(H2549,Stock_list!A:N,14,FALSE)</f>
        <v>MAR 21</v>
      </c>
    </row>
    <row r="2550" spans="1:21" ht="16.5" customHeight="1">
      <c r="A2550" s="159" t="s">
        <v>2747</v>
      </c>
      <c r="B2550" s="114" t="str">
        <f>VLOOKUP(A2550,'Data pick slip'!B:F,5,FALSE)</f>
        <v>KHJ-MC200-00</v>
      </c>
      <c r="F2550" s="157" t="s">
        <v>2861</v>
      </c>
      <c r="H2550" s="138">
        <v>979</v>
      </c>
      <c r="I2550" s="139" t="str">
        <f>VLOOKUP(H2550,Stock_list!A:R,18,FALSE)</f>
        <v>新明海</v>
      </c>
      <c r="J2550" s="139" t="str">
        <f>VLOOKUP(H2550,Stock_list!A:S,17,FALSE)</f>
        <v>C49SZX20200228JZ</v>
      </c>
      <c r="K2550" s="51" t="str">
        <f>VLOOKUP(H2550,Stock_list!A:T,16,FALSE)</f>
        <v>JPY</v>
      </c>
      <c r="L2550" s="4">
        <v>44265</v>
      </c>
      <c r="M2550" s="143">
        <v>16</v>
      </c>
      <c r="P2550" s="4" t="str">
        <f>VLOOKUP(H2550,Stock_list!A:Y,25,FALSE)</f>
        <v>Yes</v>
      </c>
      <c r="T2550" s="144"/>
      <c r="U2550" s="145" t="str">
        <f>VLOOKUP(H2550,Stock_list!A:N,14,FALSE)</f>
        <v>MAR 21</v>
      </c>
    </row>
    <row r="2551" spans="1:21" ht="16.5" customHeight="1">
      <c r="A2551" s="159" t="s">
        <v>2748</v>
      </c>
      <c r="B2551" s="114" t="str">
        <f>VLOOKUP(A2551,'Data pick slip'!B:F,5,FALSE)</f>
        <v>KHJ-MC400-00</v>
      </c>
      <c r="F2551" s="157" t="s">
        <v>2861</v>
      </c>
      <c r="H2551" s="138">
        <v>979</v>
      </c>
      <c r="I2551" s="285" t="str">
        <f>VLOOKUP(H2551,Stock_list!A:R,18,FALSE)</f>
        <v>新明海</v>
      </c>
      <c r="J2551" s="285" t="str">
        <f>VLOOKUP(H2551,Stock_list!A:S,17,FALSE)</f>
        <v>C49SZX20200228JZ</v>
      </c>
      <c r="K2551" s="258" t="str">
        <f>VLOOKUP(H2551,Stock_list!A:T,16,FALSE)</f>
        <v>JPY</v>
      </c>
      <c r="L2551" s="286">
        <v>44265</v>
      </c>
      <c r="M2551" s="288">
        <v>10</v>
      </c>
      <c r="P2551" s="4" t="str">
        <f>VLOOKUP(H2551,Stock_list!A:Y,25,FALSE)</f>
        <v>Yes</v>
      </c>
      <c r="T2551" s="144"/>
      <c r="U2551" s="145" t="str">
        <f>VLOOKUP(H2551,Stock_list!A:N,14,FALSE)</f>
        <v>MAR 21</v>
      </c>
    </row>
    <row r="2552" spans="1:21" ht="16.5" customHeight="1">
      <c r="A2552" s="159" t="s">
        <v>2749</v>
      </c>
      <c r="B2552" s="280" t="str">
        <f>VLOOKUP(A2552,'Data pick slip'!B:F,5,FALSE)</f>
        <v>KHJ-MC500-00</v>
      </c>
      <c r="F2552" s="157" t="s">
        <v>2753</v>
      </c>
      <c r="H2552" s="138">
        <v>979</v>
      </c>
      <c r="I2552" s="139" t="str">
        <f>VLOOKUP(H2552,Stock_list!A:R,18,FALSE)</f>
        <v>新明海</v>
      </c>
      <c r="J2552" s="139" t="str">
        <f>VLOOKUP(H2552,Stock_list!A:S,17,FALSE)</f>
        <v>C49SZX20200228JZ</v>
      </c>
      <c r="K2552" s="51" t="str">
        <f>VLOOKUP(H2552,Stock_list!A:T,16,FALSE)</f>
        <v>JPY</v>
      </c>
      <c r="L2552" s="4">
        <v>44265</v>
      </c>
      <c r="M2552" s="143">
        <v>2</v>
      </c>
      <c r="P2552" s="4" t="str">
        <f>VLOOKUP(H2552,Stock_list!A:Y,25,FALSE)</f>
        <v>Yes</v>
      </c>
      <c r="S2552" s="268" t="s">
        <v>2778</v>
      </c>
      <c r="T2552" s="266" t="s">
        <v>3384</v>
      </c>
      <c r="U2552" s="145" t="str">
        <f>VLOOKUP(H2552,Stock_list!A:N,14,FALSE)</f>
        <v>MAR 21</v>
      </c>
    </row>
    <row r="2553" spans="1:21" ht="16.5" customHeight="1">
      <c r="A2553" s="159" t="s">
        <v>2744</v>
      </c>
      <c r="B2553" s="114" t="str">
        <f>VLOOKUP(A2553,'Data pick slip'!B:F,5,FALSE)</f>
        <v>KHJ-MC100-00</v>
      </c>
      <c r="F2553" s="157" t="s">
        <v>2861</v>
      </c>
      <c r="H2553" s="138">
        <v>982</v>
      </c>
      <c r="I2553" s="139" t="str">
        <f>VLOOKUP(H2553,Stock_list!A:R,18,FALSE)</f>
        <v>深圳健科</v>
      </c>
      <c r="J2553" s="139" t="str">
        <f>VLOOKUP(H2553,Stock_list!A:S,17,FALSE)</f>
        <v>C49SZX20200218JZ</v>
      </c>
      <c r="K2553" s="51" t="str">
        <f>VLOOKUP(H2553,Stock_list!A:T,16,FALSE)</f>
        <v>JPY</v>
      </c>
      <c r="L2553" s="4">
        <v>44263</v>
      </c>
      <c r="M2553" s="143">
        <v>48</v>
      </c>
      <c r="P2553" s="4" t="str">
        <f>VLOOKUP(H2553,Stock_list!A:Y,25,FALSE)</f>
        <v>Yes</v>
      </c>
      <c r="T2553" s="144"/>
      <c r="U2553" s="145" t="str">
        <f>VLOOKUP(H2553,Stock_list!A:N,14,FALSE)</f>
        <v>MAR 21</v>
      </c>
    </row>
    <row r="2554" spans="1:21" ht="16.5" customHeight="1">
      <c r="A2554" s="159" t="s">
        <v>2747</v>
      </c>
      <c r="B2554" s="114" t="str">
        <f>VLOOKUP(A2554,'Data pick slip'!B:F,5,FALSE)</f>
        <v>KHJ-MC200-00</v>
      </c>
      <c r="F2554" s="157" t="s">
        <v>2861</v>
      </c>
      <c r="H2554" s="138">
        <v>982</v>
      </c>
      <c r="I2554" s="139" t="str">
        <f>VLOOKUP(H2554,Stock_list!A:R,18,FALSE)</f>
        <v>深圳健科</v>
      </c>
      <c r="J2554" s="139" t="str">
        <f>VLOOKUP(H2554,Stock_list!A:S,17,FALSE)</f>
        <v>C49SZX20200218JZ</v>
      </c>
      <c r="K2554" s="51" t="str">
        <f>VLOOKUP(H2554,Stock_list!A:T,16,FALSE)</f>
        <v>JPY</v>
      </c>
      <c r="L2554" s="4">
        <v>44263</v>
      </c>
      <c r="M2554" s="143">
        <v>3</v>
      </c>
      <c r="P2554" s="4" t="str">
        <f>VLOOKUP(H2554,Stock_list!A:Y,25,FALSE)</f>
        <v>Yes</v>
      </c>
      <c r="T2554" s="144"/>
      <c r="U2554" s="145" t="str">
        <f>VLOOKUP(H2554,Stock_list!A:N,14,FALSE)</f>
        <v>MAR 21</v>
      </c>
    </row>
    <row r="2555" spans="1:21" ht="16.5" customHeight="1">
      <c r="A2555" s="159" t="s">
        <v>2748</v>
      </c>
      <c r="B2555" s="114" t="str">
        <f>VLOOKUP(A2555,'Data pick slip'!B:F,5,FALSE)</f>
        <v>KHJ-MC400-00</v>
      </c>
      <c r="F2555" s="157" t="s">
        <v>2861</v>
      </c>
      <c r="H2555" s="138">
        <v>982</v>
      </c>
      <c r="I2555" s="285" t="str">
        <f>VLOOKUP(H2555,Stock_list!A:R,18,FALSE)</f>
        <v>深圳健科</v>
      </c>
      <c r="J2555" s="285" t="str">
        <f>VLOOKUP(H2555,Stock_list!A:S,17,FALSE)</f>
        <v>C49SZX20200218JZ</v>
      </c>
      <c r="K2555" s="258" t="str">
        <f>VLOOKUP(H2555,Stock_list!A:T,16,FALSE)</f>
        <v>JPY</v>
      </c>
      <c r="L2555" s="286">
        <v>44263</v>
      </c>
      <c r="M2555" s="288">
        <v>1</v>
      </c>
      <c r="P2555" s="4" t="str">
        <f>VLOOKUP(H2555,Stock_list!A:Y,25,FALSE)</f>
        <v>Yes</v>
      </c>
      <c r="T2555" s="144"/>
      <c r="U2555" s="145" t="str">
        <f>VLOOKUP(H2555,Stock_list!A:N,14,FALSE)</f>
        <v>MAR 21</v>
      </c>
    </row>
    <row r="2556" spans="1:21" ht="16.5" customHeight="1">
      <c r="A2556" s="159" t="s">
        <v>2749</v>
      </c>
      <c r="B2556" s="114" t="str">
        <f>VLOOKUP(A2556,'Data pick slip'!B:F,5,FALSE)</f>
        <v>KHJ-MC500-00</v>
      </c>
      <c r="F2556" s="157" t="s">
        <v>2861</v>
      </c>
      <c r="H2556" s="138">
        <v>982</v>
      </c>
      <c r="I2556" s="139" t="str">
        <f>VLOOKUP(H2556,Stock_list!A:R,18,FALSE)</f>
        <v>深圳健科</v>
      </c>
      <c r="J2556" s="139" t="str">
        <f>VLOOKUP(H2556,Stock_list!A:S,17,FALSE)</f>
        <v>C49SZX20200218JZ</v>
      </c>
      <c r="K2556" s="51" t="str">
        <f>VLOOKUP(H2556,Stock_list!A:T,16,FALSE)</f>
        <v>JPY</v>
      </c>
      <c r="L2556" s="4">
        <v>44263</v>
      </c>
      <c r="M2556" s="143">
        <v>1</v>
      </c>
      <c r="P2556" s="4" t="str">
        <f>VLOOKUP(H2556,Stock_list!A:Y,25,FALSE)</f>
        <v>Yes</v>
      </c>
      <c r="T2556" s="144"/>
      <c r="U2556" s="145" t="str">
        <f>VLOOKUP(H2556,Stock_list!A:N,14,FALSE)</f>
        <v>MAR 21</v>
      </c>
    </row>
    <row r="2557" spans="1:21" ht="16.5" customHeight="1">
      <c r="A2557" s="159" t="s">
        <v>2750</v>
      </c>
      <c r="B2557" s="280" t="str">
        <f>VLOOKUP(A2557,'Data pick slip'!B:F,5,FALSE)</f>
        <v>KHJ-MC600-00</v>
      </c>
      <c r="F2557" s="157" t="s">
        <v>2753</v>
      </c>
      <c r="H2557" s="138">
        <v>982</v>
      </c>
      <c r="I2557" s="139" t="str">
        <f>VLOOKUP(H2557,Stock_list!A:R,18,FALSE)</f>
        <v>深圳健科</v>
      </c>
      <c r="J2557" s="139" t="str">
        <f>VLOOKUP(H2557,Stock_list!A:S,17,FALSE)</f>
        <v>C49SZX20200218JZ</v>
      </c>
      <c r="K2557" s="51" t="str">
        <f>VLOOKUP(H2557,Stock_list!A:T,16,FALSE)</f>
        <v>JPY</v>
      </c>
      <c r="L2557" s="4">
        <v>44263</v>
      </c>
      <c r="M2557" s="143">
        <v>1</v>
      </c>
      <c r="P2557" s="4" t="str">
        <f>VLOOKUP(H2557,Stock_list!A:Y,25,FALSE)</f>
        <v>Yes</v>
      </c>
      <c r="S2557" s="268" t="s">
        <v>2778</v>
      </c>
      <c r="T2557" s="266" t="s">
        <v>3384</v>
      </c>
      <c r="U2557" s="145" t="str">
        <f>VLOOKUP(H2557,Stock_list!A:N,14,FALSE)</f>
        <v>MAR 21</v>
      </c>
    </row>
    <row r="2558" spans="1:21" ht="16.5" customHeight="1">
      <c r="A2558" s="159" t="s">
        <v>2744</v>
      </c>
      <c r="B2558" s="114" t="str">
        <f>VLOOKUP(A2558,'Data pick slip'!B:F,5,FALSE)</f>
        <v>KHJ-MC100-00</v>
      </c>
      <c r="F2558" s="157" t="s">
        <v>2861</v>
      </c>
      <c r="H2558" s="138">
        <v>983</v>
      </c>
      <c r="I2558" s="139" t="str">
        <f>VLOOKUP(H2558,Stock_list!A:R,18,FALSE)</f>
        <v>盈通恒翼</v>
      </c>
      <c r="J2558" s="139" t="str">
        <f>VLOOKUP(H2558,Stock_list!A:S,17,FALSE)</f>
        <v>C49SZX20200230SS</v>
      </c>
      <c r="K2558" s="51" t="str">
        <f>VLOOKUP(H2558,Stock_list!A:T,16,FALSE)</f>
        <v>JPY</v>
      </c>
      <c r="L2558" s="4">
        <v>44256</v>
      </c>
      <c r="M2558" s="143">
        <v>10</v>
      </c>
      <c r="P2558" s="4" t="str">
        <f>VLOOKUP(H2558,Stock_list!A:Y,25,FALSE)</f>
        <v>Yes</v>
      </c>
      <c r="T2558" s="144"/>
      <c r="U2558" s="145" t="str">
        <f>VLOOKUP(H2558,Stock_list!A:N,14,FALSE)</f>
        <v>FEB 21</v>
      </c>
    </row>
    <row r="2559" spans="1:21" ht="16.5" customHeight="1">
      <c r="A2559" s="159" t="s">
        <v>2747</v>
      </c>
      <c r="B2559" s="114" t="str">
        <f>VLOOKUP(A2559,'Data pick slip'!B:F,5,FALSE)</f>
        <v>KHJ-MC200-00</v>
      </c>
      <c r="F2559" s="157" t="s">
        <v>2861</v>
      </c>
      <c r="H2559" s="138">
        <v>983</v>
      </c>
      <c r="I2559" s="139" t="str">
        <f>VLOOKUP(H2559,Stock_list!A:R,18,FALSE)</f>
        <v>盈通恒翼</v>
      </c>
      <c r="J2559" s="139" t="str">
        <f>VLOOKUP(H2559,Stock_list!A:S,17,FALSE)</f>
        <v>C49SZX20200230SS</v>
      </c>
      <c r="K2559" s="51" t="str">
        <f>VLOOKUP(H2559,Stock_list!A:T,16,FALSE)</f>
        <v>JPY</v>
      </c>
      <c r="L2559" s="4">
        <v>44256</v>
      </c>
      <c r="M2559" s="143">
        <v>5</v>
      </c>
      <c r="P2559" s="4" t="str">
        <f>VLOOKUP(H2559,Stock_list!A:Y,25,FALSE)</f>
        <v>Yes</v>
      </c>
      <c r="T2559" s="144"/>
      <c r="U2559" s="145" t="str">
        <f>VLOOKUP(H2559,Stock_list!A:N,14,FALSE)</f>
        <v>FEB 21</v>
      </c>
    </row>
    <row r="2560" spans="1:21" ht="16.5" customHeight="1">
      <c r="A2560" s="159" t="s">
        <v>2748</v>
      </c>
      <c r="B2560" s="114" t="str">
        <f>VLOOKUP(A2560,'Data pick slip'!B:F,5,FALSE)</f>
        <v>KHJ-MC400-00</v>
      </c>
      <c r="F2560" s="157" t="s">
        <v>2861</v>
      </c>
      <c r="H2560" s="138">
        <v>983</v>
      </c>
      <c r="I2560" s="285" t="str">
        <f>VLOOKUP(H2560,Stock_list!A:R,18,FALSE)</f>
        <v>盈通恒翼</v>
      </c>
      <c r="J2560" s="285" t="str">
        <f>VLOOKUP(H2560,Stock_list!A:S,17,FALSE)</f>
        <v>C49SZX20200230SS</v>
      </c>
      <c r="K2560" s="258" t="str">
        <f>VLOOKUP(H2560,Stock_list!A:T,16,FALSE)</f>
        <v>JPY</v>
      </c>
      <c r="L2560" s="286">
        <v>44256</v>
      </c>
      <c r="M2560" s="288">
        <v>1</v>
      </c>
      <c r="P2560" s="4" t="str">
        <f>VLOOKUP(H2560,Stock_list!A:Y,25,FALSE)</f>
        <v>Yes</v>
      </c>
      <c r="T2560" s="144"/>
      <c r="U2560" s="145" t="str">
        <f>VLOOKUP(H2560,Stock_list!A:N,14,FALSE)</f>
        <v>FEB 21</v>
      </c>
    </row>
    <row r="2561" spans="1:21" ht="16.5" customHeight="1">
      <c r="A2561" s="159" t="s">
        <v>2749</v>
      </c>
      <c r="B2561" s="114" t="str">
        <f>VLOOKUP(A2561,'Data pick slip'!B:F,5,FALSE)</f>
        <v>KHJ-MC500-00</v>
      </c>
      <c r="F2561" s="157" t="s">
        <v>2861</v>
      </c>
      <c r="H2561" s="138">
        <v>983</v>
      </c>
      <c r="I2561" s="139" t="str">
        <f>VLOOKUP(H2561,Stock_list!A:R,18,FALSE)</f>
        <v>盈通恒翼</v>
      </c>
      <c r="J2561" s="139" t="str">
        <f>VLOOKUP(H2561,Stock_list!A:S,17,FALSE)</f>
        <v>C49SZX20200230SS</v>
      </c>
      <c r="K2561" s="51" t="str">
        <f>VLOOKUP(H2561,Stock_list!A:T,16,FALSE)</f>
        <v>JPY</v>
      </c>
      <c r="L2561" s="4">
        <v>44256</v>
      </c>
      <c r="M2561" s="143">
        <v>1</v>
      </c>
      <c r="P2561" s="4" t="str">
        <f>VLOOKUP(H2561,Stock_list!A:Y,25,FALSE)</f>
        <v>Yes</v>
      </c>
      <c r="T2561" s="144"/>
      <c r="U2561" s="145" t="str">
        <f>VLOOKUP(H2561,Stock_list!A:N,14,FALSE)</f>
        <v>FEB 21</v>
      </c>
    </row>
    <row r="2562" spans="1:21" ht="16.5" customHeight="1">
      <c r="A2562" s="159" t="s">
        <v>2750</v>
      </c>
      <c r="B2562" s="114" t="str">
        <f>VLOOKUP(A2562,'Data pick slip'!B:F,5,FALSE)</f>
        <v>KHJ-MC600-00</v>
      </c>
      <c r="F2562" s="157" t="s">
        <v>2861</v>
      </c>
      <c r="H2562" s="138">
        <v>983</v>
      </c>
      <c r="I2562" s="139" t="str">
        <f>VLOOKUP(H2562,Stock_list!A:R,18,FALSE)</f>
        <v>盈通恒翼</v>
      </c>
      <c r="J2562" s="139" t="str">
        <f>VLOOKUP(H2562,Stock_list!A:S,17,FALSE)</f>
        <v>C49SZX20200230SS</v>
      </c>
      <c r="K2562" s="51" t="str">
        <f>VLOOKUP(H2562,Stock_list!A:T,16,FALSE)</f>
        <v>JPY</v>
      </c>
      <c r="L2562" s="4">
        <v>44256</v>
      </c>
      <c r="M2562" s="143">
        <v>1</v>
      </c>
      <c r="P2562" s="4" t="str">
        <f>VLOOKUP(H2562,Stock_list!A:Y,25,FALSE)</f>
        <v>Yes</v>
      </c>
      <c r="T2562" s="144"/>
      <c r="U2562" s="145" t="str">
        <f>VLOOKUP(H2562,Stock_list!A:N,14,FALSE)</f>
        <v>FEB 21</v>
      </c>
    </row>
    <row r="2563" spans="1:21" ht="16.5" customHeight="1">
      <c r="A2563" s="159" t="s">
        <v>2751</v>
      </c>
      <c r="B2563" s="280" t="str">
        <f>VLOOKUP(A2563,'Data pick slip'!B:F,5,FALSE)</f>
        <v>KHJ-MC700-00</v>
      </c>
      <c r="F2563" s="157" t="s">
        <v>2753</v>
      </c>
      <c r="H2563" s="138">
        <v>983</v>
      </c>
      <c r="I2563" s="139" t="str">
        <f>VLOOKUP(H2563,Stock_list!A:R,18,FALSE)</f>
        <v>盈通恒翼</v>
      </c>
      <c r="J2563" s="139" t="str">
        <f>VLOOKUP(H2563,Stock_list!A:S,17,FALSE)</f>
        <v>C49SZX20200230SS</v>
      </c>
      <c r="K2563" s="51" t="str">
        <f>VLOOKUP(H2563,Stock_list!A:T,16,FALSE)</f>
        <v>JPY</v>
      </c>
      <c r="L2563" s="4">
        <v>44334</v>
      </c>
      <c r="M2563" s="140">
        <v>1</v>
      </c>
      <c r="N2563" s="143"/>
      <c r="P2563" s="4" t="str">
        <f>VLOOKUP(H2563,Stock_list!A:Y,25,FALSE)</f>
        <v>Yes</v>
      </c>
      <c r="S2563" s="268" t="s">
        <v>2778</v>
      </c>
      <c r="T2563" s="266" t="s">
        <v>3384</v>
      </c>
      <c r="U2563" s="145" t="str">
        <f>VLOOKUP(H2563,Stock_list!A:N,14,FALSE)</f>
        <v>FEB 21</v>
      </c>
    </row>
    <row r="2564" spans="1:21" ht="16.5" customHeight="1">
      <c r="A2564" s="159" t="s">
        <v>2744</v>
      </c>
      <c r="B2564" s="114" t="str">
        <f>VLOOKUP(A2564,'Data pick slip'!B:F,5,FALSE)</f>
        <v>KHJ-MC100-00</v>
      </c>
      <c r="F2564" s="157" t="s">
        <v>2861</v>
      </c>
      <c r="H2564" s="138">
        <v>985</v>
      </c>
      <c r="I2564" s="139" t="str">
        <f>VLOOKUP(H2564,Stock_list!A:R,18,FALSE)</f>
        <v>可祁</v>
      </c>
      <c r="J2564" s="139" t="str">
        <f>VLOOKUP(H2564,Stock_list!A:S,17,FALSE)</f>
        <v>C49SZX20200231SX</v>
      </c>
      <c r="K2564" s="51" t="str">
        <f>VLOOKUP(H2564,Stock_list!A:T,16,FALSE)</f>
        <v>JPY</v>
      </c>
      <c r="L2564" s="4">
        <v>44267</v>
      </c>
      <c r="M2564" s="143">
        <v>5</v>
      </c>
      <c r="P2564" s="4" t="str">
        <f>VLOOKUP(H2564,Stock_list!A:Y,25,FALSE)</f>
        <v>Yes</v>
      </c>
      <c r="T2564" s="144"/>
      <c r="U2564" s="145" t="str">
        <f>VLOOKUP(H2564,Stock_list!A:N,14,FALSE)</f>
        <v>MAR 21</v>
      </c>
    </row>
    <row r="2565" spans="1:21" ht="16.5" customHeight="1">
      <c r="A2565" s="159" t="s">
        <v>2747</v>
      </c>
      <c r="B2565" s="114" t="str">
        <f>VLOOKUP(A2565,'Data pick slip'!B:F,5,FALSE)</f>
        <v>KHJ-MC200-00</v>
      </c>
      <c r="F2565" s="157" t="s">
        <v>2861</v>
      </c>
      <c r="H2565" s="138">
        <v>985</v>
      </c>
      <c r="I2565" s="139" t="str">
        <f>VLOOKUP(H2565,Stock_list!A:R,18,FALSE)</f>
        <v>可祁</v>
      </c>
      <c r="J2565" s="139" t="str">
        <f>VLOOKUP(H2565,Stock_list!A:S,17,FALSE)</f>
        <v>C49SZX20200231SX</v>
      </c>
      <c r="K2565" s="51" t="str">
        <f>VLOOKUP(H2565,Stock_list!A:T,16,FALSE)</f>
        <v>JPY</v>
      </c>
      <c r="L2565" s="4">
        <v>44267</v>
      </c>
      <c r="M2565" s="143">
        <v>6</v>
      </c>
      <c r="P2565" s="4" t="str">
        <f>VLOOKUP(H2565,Stock_list!A:Y,25,FALSE)</f>
        <v>Yes</v>
      </c>
      <c r="T2565" s="144"/>
      <c r="U2565" s="145" t="str">
        <f>VLOOKUP(H2565,Stock_list!A:N,14,FALSE)</f>
        <v>MAR 21</v>
      </c>
    </row>
    <row r="2566" spans="1:21" ht="16.5" customHeight="1">
      <c r="A2566" s="159" t="s">
        <v>2748</v>
      </c>
      <c r="B2566" s="114" t="str">
        <f>VLOOKUP(A2566,'Data pick slip'!B:F,5,FALSE)</f>
        <v>KHJ-MC400-00</v>
      </c>
      <c r="F2566" s="157" t="s">
        <v>1381</v>
      </c>
      <c r="H2566" s="138">
        <v>985</v>
      </c>
      <c r="I2566" s="285" t="str">
        <f>VLOOKUP(H2566,Stock_list!A:R,18,FALSE)</f>
        <v>可祁</v>
      </c>
      <c r="J2566" s="285" t="str">
        <f>VLOOKUP(H2566,Stock_list!A:S,17,FALSE)</f>
        <v>C49SZX20200231SX</v>
      </c>
      <c r="K2566" s="258" t="str">
        <f>VLOOKUP(H2566,Stock_list!A:T,16,FALSE)</f>
        <v>JPY</v>
      </c>
      <c r="L2566" s="286">
        <v>44267</v>
      </c>
      <c r="M2566" s="288">
        <v>2</v>
      </c>
      <c r="P2566" s="4" t="str">
        <f>VLOOKUP(H2566,Stock_list!A:Y,25,FALSE)</f>
        <v>Yes</v>
      </c>
      <c r="T2566" s="144"/>
      <c r="U2566" s="145" t="str">
        <f>VLOOKUP(H2566,Stock_list!A:N,14,FALSE)</f>
        <v>MAR 21</v>
      </c>
    </row>
    <row r="2567" spans="1:21" ht="16.5" customHeight="1">
      <c r="A2567" s="159" t="s">
        <v>2755</v>
      </c>
      <c r="B2567" s="114" t="str">
        <f>VLOOKUP(A2567,'Data pick slip'!B:F,5,FALSE)</f>
        <v>KLJ-MC100-00</v>
      </c>
      <c r="F2567" s="157" t="s">
        <v>2861</v>
      </c>
      <c r="H2567" s="138">
        <v>986</v>
      </c>
      <c r="I2567" s="139" t="str">
        <f>VLOOKUP(H2567,Stock_list!A:R,18,FALSE)</f>
        <v>永顺创</v>
      </c>
      <c r="J2567" s="139" t="str">
        <f>VLOOKUP(H2567,Stock_list!A:S,17,FALSE)</f>
        <v>C49SZX20200232SX</v>
      </c>
      <c r="K2567" s="51" t="str">
        <f>VLOOKUP(H2567,Stock_list!A:T,16,FALSE)</f>
        <v>JPY</v>
      </c>
      <c r="L2567" s="4">
        <v>44156</v>
      </c>
      <c r="M2567" s="143">
        <v>26</v>
      </c>
      <c r="P2567" s="4" t="str">
        <f>VLOOKUP(H2567,Stock_list!A:Y,25,FALSE)</f>
        <v>Yes</v>
      </c>
      <c r="Q2567" s="133"/>
      <c r="T2567" s="144"/>
      <c r="U2567" s="145" t="str">
        <f>VLOOKUP(H2567,Stock_list!A:N,14,FALSE)</f>
        <v>DEC 20</v>
      </c>
    </row>
    <row r="2568" spans="1:21" ht="16.5" customHeight="1">
      <c r="A2568" s="159" t="s">
        <v>2756</v>
      </c>
      <c r="B2568" s="114" t="str">
        <f>VLOOKUP(A2568,'Data pick slip'!B:F,5,FALSE)</f>
        <v>KLJ-MC200-00</v>
      </c>
      <c r="F2568" s="157" t="s">
        <v>2861</v>
      </c>
      <c r="H2568" s="138">
        <v>986</v>
      </c>
      <c r="I2568" s="139" t="str">
        <f>VLOOKUP(H2568,Stock_list!A:R,18,FALSE)</f>
        <v>永顺创</v>
      </c>
      <c r="J2568" s="139" t="str">
        <f>VLOOKUP(H2568,Stock_list!A:S,17,FALSE)</f>
        <v>C49SZX20200232SX</v>
      </c>
      <c r="K2568" s="51" t="str">
        <f>VLOOKUP(H2568,Stock_list!A:T,16,FALSE)</f>
        <v>JPY</v>
      </c>
      <c r="L2568" s="4">
        <v>44156</v>
      </c>
      <c r="M2568" s="143">
        <v>4</v>
      </c>
      <c r="P2568" s="4" t="str">
        <f>VLOOKUP(H2568,Stock_list!A:Y,25,FALSE)</f>
        <v>Yes</v>
      </c>
      <c r="T2568" s="144"/>
      <c r="U2568" s="145" t="str">
        <f>VLOOKUP(H2568,Stock_list!A:N,14,FALSE)</f>
        <v>DEC 20</v>
      </c>
    </row>
    <row r="2569" spans="1:21" ht="16.5" customHeight="1">
      <c r="A2569" s="159" t="s">
        <v>2757</v>
      </c>
      <c r="B2569" s="114" t="str">
        <f>VLOOKUP(A2569,'Data pick slip'!B:F,5,FALSE)</f>
        <v>KLJ-MC400-00</v>
      </c>
      <c r="F2569" s="157" t="s">
        <v>2861</v>
      </c>
      <c r="H2569" s="138">
        <v>986</v>
      </c>
      <c r="I2569" s="139" t="str">
        <f>VLOOKUP(H2569,Stock_list!A:R,18,FALSE)</f>
        <v>永顺创</v>
      </c>
      <c r="J2569" s="139" t="str">
        <f>VLOOKUP(H2569,Stock_list!A:S,17,FALSE)</f>
        <v>C49SZX20200232SX</v>
      </c>
      <c r="K2569" s="51" t="str">
        <f>VLOOKUP(H2569,Stock_list!A:T,16,FALSE)</f>
        <v>JPY</v>
      </c>
      <c r="L2569" s="4">
        <v>44156</v>
      </c>
      <c r="M2569" s="143">
        <v>1</v>
      </c>
      <c r="P2569" s="4" t="str">
        <f>VLOOKUP(H2569,Stock_list!A:Y,25,FALSE)</f>
        <v>Yes</v>
      </c>
      <c r="Q2569" s="133"/>
      <c r="T2569" s="144"/>
      <c r="U2569" s="145" t="str">
        <f>VLOOKUP(H2569,Stock_list!A:N,14,FALSE)</f>
        <v>DEC 20</v>
      </c>
    </row>
    <row r="2570" spans="1:21" ht="16.5" customHeight="1">
      <c r="A2570" s="159" t="s">
        <v>2758</v>
      </c>
      <c r="B2570" s="114" t="str">
        <f>VLOOKUP(A2570,'Data pick slip'!B:F,5,FALSE)</f>
        <v>KLJ-MC500-00</v>
      </c>
      <c r="F2570" s="157" t="s">
        <v>2861</v>
      </c>
      <c r="H2570" s="138">
        <v>986</v>
      </c>
      <c r="I2570" s="139" t="str">
        <f>VLOOKUP(H2570,Stock_list!A:R,18,FALSE)</f>
        <v>永顺创</v>
      </c>
      <c r="J2570" s="139" t="str">
        <f>VLOOKUP(H2570,Stock_list!A:S,17,FALSE)</f>
        <v>C49SZX20200232SX</v>
      </c>
      <c r="K2570" s="51" t="str">
        <f>VLOOKUP(H2570,Stock_list!A:T,16,FALSE)</f>
        <v>JPY</v>
      </c>
      <c r="L2570" s="4">
        <v>44156</v>
      </c>
      <c r="M2570" s="143">
        <v>1</v>
      </c>
      <c r="P2570" s="4" t="str">
        <f>VLOOKUP(H2570,Stock_list!A:Y,25,FALSE)</f>
        <v>Yes</v>
      </c>
      <c r="Q2570" s="133"/>
      <c r="T2570" s="144"/>
      <c r="U2570" s="145" t="str">
        <f>VLOOKUP(H2570,Stock_list!A:N,14,FALSE)</f>
        <v>DEC 20</v>
      </c>
    </row>
    <row r="2571" spans="1:21" ht="16.5" customHeight="1">
      <c r="A2571" s="159" t="s">
        <v>2744</v>
      </c>
      <c r="B2571" s="114" t="str">
        <f>VLOOKUP(A2571,'Data pick slip'!B:F,5,FALSE)</f>
        <v>KHJ-MC100-00</v>
      </c>
      <c r="F2571" s="157" t="s">
        <v>2753</v>
      </c>
      <c r="H2571" s="138">
        <v>986</v>
      </c>
      <c r="I2571" s="139" t="str">
        <f>VLOOKUP(H2571,Stock_list!A:R,18,FALSE)</f>
        <v>永顺创</v>
      </c>
      <c r="J2571" s="139" t="str">
        <f>VLOOKUP(H2571,Stock_list!A:S,17,FALSE)</f>
        <v>C49SZX20200232SX</v>
      </c>
      <c r="K2571" s="51" t="str">
        <f>VLOOKUP(H2571,Stock_list!A:T,16,FALSE)</f>
        <v>JPY</v>
      </c>
      <c r="L2571" s="4">
        <v>44287</v>
      </c>
      <c r="M2571" s="143">
        <v>2</v>
      </c>
      <c r="P2571" s="4" t="str">
        <f>VLOOKUP(H2571,Stock_list!A:Y,25,FALSE)</f>
        <v>Yes</v>
      </c>
      <c r="Q2571" s="133"/>
      <c r="S2571" s="268" t="s">
        <v>2778</v>
      </c>
      <c r="T2571" s="284" t="s">
        <v>3385</v>
      </c>
      <c r="U2571" s="145" t="str">
        <f>VLOOKUP(H2571,Stock_list!A:N,14,FALSE)</f>
        <v>DEC 20</v>
      </c>
    </row>
    <row r="2572" spans="1:21" ht="16.5" customHeight="1">
      <c r="A2572" s="159" t="s">
        <v>2755</v>
      </c>
      <c r="B2572" s="114" t="str">
        <f>VLOOKUP(A2572,'Data pick slip'!B:F,5,FALSE)</f>
        <v>KLJ-MC100-00</v>
      </c>
      <c r="F2572" s="157" t="s">
        <v>2861</v>
      </c>
      <c r="H2572" s="138">
        <v>986</v>
      </c>
      <c r="I2572" s="139" t="str">
        <f>VLOOKUP(H2572,Stock_list!A:R,18,FALSE)</f>
        <v>永顺创</v>
      </c>
      <c r="J2572" s="139" t="str">
        <f>VLOOKUP(H2572,Stock_list!A:S,17,FALSE)</f>
        <v>C49SZX20200232SX</v>
      </c>
      <c r="K2572" s="51" t="str">
        <f>VLOOKUP(H2572,Stock_list!A:T,16,FALSE)</f>
        <v>JPY</v>
      </c>
      <c r="L2572" s="4">
        <v>44287</v>
      </c>
      <c r="M2572" s="143">
        <v>53</v>
      </c>
      <c r="P2572" s="4" t="str">
        <f>VLOOKUP(H2572,Stock_list!A:Y,25,FALSE)</f>
        <v>Yes</v>
      </c>
      <c r="Q2572" s="133"/>
      <c r="T2572" s="144"/>
      <c r="U2572" s="145" t="str">
        <f>VLOOKUP(H2572,Stock_list!A:N,14,FALSE)</f>
        <v>DEC 20</v>
      </c>
    </row>
    <row r="2573" spans="1:21" ht="16.5" customHeight="1">
      <c r="A2573" s="159" t="s">
        <v>2756</v>
      </c>
      <c r="B2573" s="114" t="str">
        <f>VLOOKUP(A2573,'Data pick slip'!B:F,5,FALSE)</f>
        <v>KLJ-MC200-00</v>
      </c>
      <c r="F2573" s="157" t="s">
        <v>2861</v>
      </c>
      <c r="H2573" s="138">
        <v>986</v>
      </c>
      <c r="I2573" s="139" t="str">
        <f>VLOOKUP(H2573,Stock_list!A:R,18,FALSE)</f>
        <v>永顺创</v>
      </c>
      <c r="J2573" s="139" t="str">
        <f>VLOOKUP(H2573,Stock_list!A:S,17,FALSE)</f>
        <v>C49SZX20200232SX</v>
      </c>
      <c r="K2573" s="51" t="str">
        <f>VLOOKUP(H2573,Stock_list!A:T,16,FALSE)</f>
        <v>JPY</v>
      </c>
      <c r="L2573" s="4">
        <v>44287</v>
      </c>
      <c r="M2573" s="143">
        <f>12-4</f>
        <v>8</v>
      </c>
      <c r="P2573" s="4" t="str">
        <f>VLOOKUP(H2573,Stock_list!A:Y,25,FALSE)</f>
        <v>Yes</v>
      </c>
      <c r="T2573" s="144"/>
      <c r="U2573" s="145" t="str">
        <f>VLOOKUP(H2573,Stock_list!A:N,14,FALSE)</f>
        <v>DEC 20</v>
      </c>
    </row>
    <row r="2574" spans="1:21" ht="16.5" customHeight="1">
      <c r="A2574" s="159" t="s">
        <v>2757</v>
      </c>
      <c r="B2574" s="114" t="str">
        <f>VLOOKUP(A2574,'Data pick slip'!B:F,5,FALSE)</f>
        <v>KLJ-MC400-00</v>
      </c>
      <c r="F2574" s="157" t="s">
        <v>2861</v>
      </c>
      <c r="H2574" s="138">
        <v>986</v>
      </c>
      <c r="I2574" s="139" t="str">
        <f>VLOOKUP(H2574,Stock_list!A:R,18,FALSE)</f>
        <v>永顺创</v>
      </c>
      <c r="J2574" s="139" t="str">
        <f>VLOOKUP(H2574,Stock_list!A:S,17,FALSE)</f>
        <v>C49SZX20200232SX</v>
      </c>
      <c r="K2574" s="51" t="str">
        <f>VLOOKUP(H2574,Stock_list!A:T,16,FALSE)</f>
        <v>JPY</v>
      </c>
      <c r="L2574" s="4">
        <v>44287</v>
      </c>
      <c r="M2574" s="143">
        <f>3-1</f>
        <v>2</v>
      </c>
      <c r="P2574" s="4" t="str">
        <f>VLOOKUP(H2574,Stock_list!A:Y,25,FALSE)</f>
        <v>Yes</v>
      </c>
      <c r="Q2574" s="133"/>
      <c r="T2574" s="144"/>
      <c r="U2574" s="145" t="str">
        <f>VLOOKUP(H2574,Stock_list!A:N,14,FALSE)</f>
        <v>DEC 20</v>
      </c>
    </row>
    <row r="2575" spans="1:21" ht="16.5" customHeight="1">
      <c r="A2575" s="159" t="s">
        <v>2758</v>
      </c>
      <c r="B2575" s="114" t="str">
        <f>VLOOKUP(A2575,'Data pick slip'!B:F,5,FALSE)</f>
        <v>KLJ-MC500-00</v>
      </c>
      <c r="F2575" s="157" t="s">
        <v>2861</v>
      </c>
      <c r="H2575" s="138">
        <v>986</v>
      </c>
      <c r="I2575" s="139" t="str">
        <f>VLOOKUP(H2575,Stock_list!A:R,18,FALSE)</f>
        <v>永顺创</v>
      </c>
      <c r="J2575" s="139" t="str">
        <f>VLOOKUP(H2575,Stock_list!A:S,17,FALSE)</f>
        <v>C49SZX20200232SX</v>
      </c>
      <c r="K2575" s="51" t="str">
        <f>VLOOKUP(H2575,Stock_list!A:T,16,FALSE)</f>
        <v>JPY</v>
      </c>
      <c r="L2575" s="4">
        <v>44287</v>
      </c>
      <c r="M2575" s="143">
        <f>2-1</f>
        <v>1</v>
      </c>
      <c r="P2575" s="4" t="str">
        <f>VLOOKUP(H2575,Stock_list!A:Y,25,FALSE)</f>
        <v>Yes</v>
      </c>
      <c r="Q2575" s="133"/>
      <c r="T2575" s="144"/>
      <c r="U2575" s="145" t="str">
        <f>VLOOKUP(H2575,Stock_list!A:N,14,FALSE)</f>
        <v>DEC 20</v>
      </c>
    </row>
    <row r="2576" spans="1:21" ht="16.5" customHeight="1">
      <c r="A2576" s="159" t="s">
        <v>2759</v>
      </c>
      <c r="B2576" s="114" t="str">
        <f>VLOOKUP(A2576,'Data pick slip'!B:F,5,FALSE)</f>
        <v>KLJ-MC600-00</v>
      </c>
      <c r="F2576" s="157" t="s">
        <v>2861</v>
      </c>
      <c r="H2576" s="138">
        <v>986</v>
      </c>
      <c r="I2576" s="139" t="str">
        <f>VLOOKUP(H2576,Stock_list!A:R,18,FALSE)</f>
        <v>永顺创</v>
      </c>
      <c r="J2576" s="139" t="str">
        <f>VLOOKUP(H2576,Stock_list!A:S,17,FALSE)</f>
        <v>C49SZX20200232SX</v>
      </c>
      <c r="K2576" s="51" t="str">
        <f>VLOOKUP(H2576,Stock_list!A:T,16,FALSE)</f>
        <v>JPY</v>
      </c>
      <c r="L2576" s="4">
        <v>44287</v>
      </c>
      <c r="M2576" s="143">
        <v>1</v>
      </c>
      <c r="P2576" s="4" t="str">
        <f>VLOOKUP(H2576,Stock_list!A:Y,25,FALSE)</f>
        <v>Yes</v>
      </c>
      <c r="Q2576" s="133"/>
      <c r="T2576" s="144"/>
      <c r="U2576" s="145" t="str">
        <f>VLOOKUP(H2576,Stock_list!A:N,14,FALSE)</f>
        <v>DEC 20</v>
      </c>
    </row>
    <row r="2577" spans="1:21" ht="16.5" customHeight="1">
      <c r="A2577" s="159" t="s">
        <v>2751</v>
      </c>
      <c r="B2577" s="114" t="str">
        <f>VLOOKUP(A2577,'Data pick slip'!B:F,5,FALSE)</f>
        <v>KHJ-MC700-00</v>
      </c>
      <c r="F2577" s="157" t="s">
        <v>2773</v>
      </c>
      <c r="I2577" s="139" t="s">
        <v>3099</v>
      </c>
      <c r="J2577" s="139" t="s">
        <v>3386</v>
      </c>
      <c r="K2577" s="51" t="s">
        <v>1246</v>
      </c>
      <c r="L2577" s="4">
        <v>44167</v>
      </c>
      <c r="M2577" s="140">
        <v>1</v>
      </c>
      <c r="P2577" s="4" t="s">
        <v>291</v>
      </c>
      <c r="Q2577" s="143"/>
      <c r="T2577" s="144"/>
      <c r="U2577" s="145" t="e">
        <f>VLOOKUP(H2577,Stock_list!A:N,14,FALSE)</f>
        <v>#N/A</v>
      </c>
    </row>
    <row r="2578" spans="1:21" ht="16.5" customHeight="1">
      <c r="A2578" s="159" t="s">
        <v>2748</v>
      </c>
      <c r="B2578" s="114" t="str">
        <f>VLOOKUP(A2578,'Data pick slip'!B:F,5,FALSE)</f>
        <v>KHJ-MC400-00</v>
      </c>
      <c r="F2578" s="157" t="s">
        <v>2773</v>
      </c>
      <c r="I2578" s="139" t="s">
        <v>3093</v>
      </c>
      <c r="J2578" s="139" t="s">
        <v>3387</v>
      </c>
      <c r="K2578" s="51" t="s">
        <v>1246</v>
      </c>
      <c r="L2578" s="4">
        <v>44168</v>
      </c>
      <c r="M2578" s="140">
        <v>1</v>
      </c>
      <c r="P2578" s="4" t="s">
        <v>291</v>
      </c>
      <c r="Q2578" s="143"/>
      <c r="T2578" s="144"/>
      <c r="U2578" s="145" t="e">
        <f>VLOOKUP(H2578,Stock_list!A:N,14,FALSE)</f>
        <v>#N/A</v>
      </c>
    </row>
    <row r="2579" spans="1:21" ht="16.5" customHeight="1">
      <c r="A2579" s="159" t="s">
        <v>2744</v>
      </c>
      <c r="B2579" s="114" t="str">
        <f>VLOOKUP(A2579,'Data pick slip'!B:F,5,FALSE)</f>
        <v>KHJ-MC100-00</v>
      </c>
      <c r="F2579" s="157" t="s">
        <v>2861</v>
      </c>
      <c r="H2579" s="138">
        <v>989</v>
      </c>
      <c r="I2579" s="139" t="str">
        <f>VLOOKUP(H2579,Stock_list!A:R,18,FALSE)</f>
        <v>景硕电子</v>
      </c>
      <c r="J2579" s="139" t="str">
        <f>VLOOKUP(H2579,Stock_list!A:S,17,FALSE)</f>
        <v>C49SZX20200162CY</v>
      </c>
      <c r="K2579" s="51" t="str">
        <f>VLOOKUP(H2579,Stock_list!A:T,16,FALSE)</f>
        <v>JPY</v>
      </c>
      <c r="L2579" s="4">
        <v>44259</v>
      </c>
      <c r="M2579" s="143">
        <v>15</v>
      </c>
      <c r="P2579" s="4" t="str">
        <f>VLOOKUP(H2579,Stock_list!A:Y,25,FALSE)</f>
        <v>Yes</v>
      </c>
      <c r="T2579" s="144"/>
      <c r="U2579" s="145" t="str">
        <f>VLOOKUP(H2579,Stock_list!A:N,14,FALSE)</f>
        <v>FEB 21</v>
      </c>
    </row>
    <row r="2580" spans="1:21" ht="16.5" customHeight="1">
      <c r="A2580" s="159" t="s">
        <v>2747</v>
      </c>
      <c r="B2580" s="114" t="str">
        <f>VLOOKUP(A2580,'Data pick slip'!B:F,5,FALSE)</f>
        <v>KHJ-MC200-00</v>
      </c>
      <c r="F2580" s="157" t="s">
        <v>2861</v>
      </c>
      <c r="H2580" s="138">
        <v>989</v>
      </c>
      <c r="I2580" s="139" t="str">
        <f>VLOOKUP(H2580,Stock_list!A:R,18,FALSE)</f>
        <v>景硕电子</v>
      </c>
      <c r="J2580" s="139" t="str">
        <f>VLOOKUP(H2580,Stock_list!A:S,17,FALSE)</f>
        <v>C49SZX20200162CY</v>
      </c>
      <c r="K2580" s="51" t="str">
        <f>VLOOKUP(H2580,Stock_list!A:T,16,FALSE)</f>
        <v>JPY</v>
      </c>
      <c r="L2580" s="4">
        <v>44259</v>
      </c>
      <c r="M2580" s="143">
        <v>3</v>
      </c>
      <c r="P2580" s="4" t="str">
        <f>VLOOKUP(H2580,Stock_list!A:Y,25,FALSE)</f>
        <v>Yes</v>
      </c>
      <c r="T2580" s="144"/>
      <c r="U2580" s="145" t="str">
        <f>VLOOKUP(H2580,Stock_list!A:N,14,FALSE)</f>
        <v>FEB 21</v>
      </c>
    </row>
    <row r="2581" spans="1:21" ht="16.5" customHeight="1">
      <c r="A2581" s="159" t="s">
        <v>2748</v>
      </c>
      <c r="B2581" s="114" t="str">
        <f>VLOOKUP(A2581,'Data pick slip'!B:F,5,FALSE)</f>
        <v>KHJ-MC400-00</v>
      </c>
      <c r="F2581" s="157" t="s">
        <v>2861</v>
      </c>
      <c r="H2581" s="138">
        <v>989</v>
      </c>
      <c r="I2581" s="139" t="str">
        <f>VLOOKUP(H2581,Stock_list!A:R,18,FALSE)</f>
        <v>景硕电子</v>
      </c>
      <c r="J2581" s="139" t="str">
        <f>VLOOKUP(H2581,Stock_list!A:S,17,FALSE)</f>
        <v>C49SZX20200162CY</v>
      </c>
      <c r="K2581" s="51" t="str">
        <f>VLOOKUP(H2581,Stock_list!A:T,16,FALSE)</f>
        <v>JPY</v>
      </c>
      <c r="L2581" s="4">
        <v>44259</v>
      </c>
      <c r="M2581" s="143">
        <v>2</v>
      </c>
      <c r="P2581" s="4" t="str">
        <f>VLOOKUP(H2581,Stock_list!A:Y,25,FALSE)</f>
        <v>Yes</v>
      </c>
      <c r="T2581" s="144"/>
      <c r="U2581" s="145" t="str">
        <f>VLOOKUP(H2581,Stock_list!A:N,14,FALSE)</f>
        <v>FEB 21</v>
      </c>
    </row>
    <row r="2582" spans="1:21" ht="16.5" customHeight="1">
      <c r="A2582" s="159" t="s">
        <v>2744</v>
      </c>
      <c r="B2582" s="114" t="str">
        <f>VLOOKUP(A2582,'Data pick slip'!B:F,5,FALSE)</f>
        <v>KHJ-MC100-00</v>
      </c>
      <c r="F2582" s="157" t="s">
        <v>2773</v>
      </c>
      <c r="I2582" s="139" t="s">
        <v>3093</v>
      </c>
      <c r="J2582" s="139" t="s">
        <v>3388</v>
      </c>
      <c r="K2582" s="51" t="s">
        <v>1246</v>
      </c>
      <c r="L2582" s="4">
        <v>44167</v>
      </c>
      <c r="M2582" s="140">
        <v>4</v>
      </c>
      <c r="P2582" s="4" t="s">
        <v>291</v>
      </c>
      <c r="Q2582" s="143"/>
      <c r="T2582" s="144"/>
      <c r="U2582" s="145" t="e">
        <f>VLOOKUP(H2582,Stock_list!A:N,14,FALSE)</f>
        <v>#N/A</v>
      </c>
    </row>
    <row r="2583" spans="1:21" ht="16.5" customHeight="1">
      <c r="A2583" s="159" t="s">
        <v>2744</v>
      </c>
      <c r="B2583" s="114" t="str">
        <f>VLOOKUP(A2583,'Data pick slip'!B:F,5,FALSE)</f>
        <v>KHJ-MC100-00</v>
      </c>
      <c r="F2583" s="157" t="s">
        <v>2861</v>
      </c>
      <c r="I2583" s="139" t="s">
        <v>3015</v>
      </c>
      <c r="J2583" s="139" t="s">
        <v>2930</v>
      </c>
      <c r="K2583" s="51" t="s">
        <v>1246</v>
      </c>
      <c r="L2583" s="4">
        <v>44165</v>
      </c>
      <c r="M2583" s="140">
        <v>170</v>
      </c>
      <c r="P2583" s="4" t="s">
        <v>291</v>
      </c>
      <c r="Q2583" s="143"/>
      <c r="T2583" s="144"/>
      <c r="U2583" s="145" t="e">
        <f>VLOOKUP(H2583,Stock_list!A:N,14,FALSE)</f>
        <v>#N/A</v>
      </c>
    </row>
    <row r="2584" spans="1:21" ht="16.5" customHeight="1">
      <c r="A2584" s="159" t="s">
        <v>2748</v>
      </c>
      <c r="B2584" s="114" t="str">
        <f>VLOOKUP(A2584,'Data pick slip'!B:F,5,FALSE)</f>
        <v>KHJ-MC400-00</v>
      </c>
      <c r="F2584" s="157" t="s">
        <v>2861</v>
      </c>
      <c r="I2584" s="139" t="s">
        <v>3015</v>
      </c>
      <c r="J2584" s="139" t="s">
        <v>2930</v>
      </c>
      <c r="K2584" s="51" t="s">
        <v>1246</v>
      </c>
      <c r="L2584" s="4">
        <v>44165</v>
      </c>
      <c r="M2584" s="140">
        <v>30</v>
      </c>
      <c r="P2584" s="4" t="s">
        <v>291</v>
      </c>
      <c r="Q2584" s="143"/>
      <c r="T2584" s="144"/>
      <c r="U2584" s="145" t="e">
        <f>VLOOKUP(H2584,Stock_list!A:N,14,FALSE)</f>
        <v>#N/A</v>
      </c>
    </row>
    <row r="2585" spans="1:21" ht="16.5" customHeight="1">
      <c r="A2585" s="159" t="s">
        <v>2749</v>
      </c>
      <c r="B2585" s="114" t="str">
        <f>VLOOKUP(A2585,'Data pick slip'!B:F,5,FALSE)</f>
        <v>KHJ-MC500-00</v>
      </c>
      <c r="F2585" s="157" t="s">
        <v>2861</v>
      </c>
      <c r="I2585" s="139" t="s">
        <v>3015</v>
      </c>
      <c r="J2585" s="139" t="s">
        <v>2930</v>
      </c>
      <c r="K2585" s="51" t="s">
        <v>1246</v>
      </c>
      <c r="L2585" s="4">
        <v>44165</v>
      </c>
      <c r="M2585" s="140">
        <v>10</v>
      </c>
      <c r="P2585" s="4" t="s">
        <v>291</v>
      </c>
      <c r="Q2585" s="143"/>
      <c r="T2585" s="144"/>
      <c r="U2585" s="145" t="e">
        <f>VLOOKUP(H2585,Stock_list!A:N,14,FALSE)</f>
        <v>#N/A</v>
      </c>
    </row>
    <row r="2586" spans="1:21" ht="16.5" customHeight="1">
      <c r="A2586" s="159" t="s">
        <v>2751</v>
      </c>
      <c r="B2586" s="114" t="str">
        <f>VLOOKUP(A2586,'Data pick slip'!B:F,5,FALSE)</f>
        <v>KHJ-MC700-00</v>
      </c>
      <c r="F2586" s="157" t="s">
        <v>2861</v>
      </c>
      <c r="I2586" s="139" t="s">
        <v>3015</v>
      </c>
      <c r="J2586" s="139" t="s">
        <v>2930</v>
      </c>
      <c r="K2586" s="51" t="s">
        <v>1246</v>
      </c>
      <c r="L2586" s="4">
        <v>44165</v>
      </c>
      <c r="M2586" s="140">
        <v>1</v>
      </c>
      <c r="P2586" s="4" t="s">
        <v>291</v>
      </c>
      <c r="Q2586" s="143"/>
      <c r="T2586" s="144"/>
      <c r="U2586" s="145" t="e">
        <f>VLOOKUP(H2586,Stock_list!A:N,14,FALSE)</f>
        <v>#N/A</v>
      </c>
    </row>
    <row r="2587" spans="1:21" ht="16.5" customHeight="1">
      <c r="A2587" s="159" t="s">
        <v>2744</v>
      </c>
      <c r="B2587" s="114" t="str">
        <f>VLOOKUP(A2587,'Data pick slip'!B:F,5,FALSE)</f>
        <v>KHJ-MC100-00</v>
      </c>
      <c r="F2587" s="157" t="s">
        <v>2773</v>
      </c>
      <c r="I2587" s="139" t="s">
        <v>3093</v>
      </c>
      <c r="J2587" s="139" t="s">
        <v>3389</v>
      </c>
      <c r="K2587" s="51" t="s">
        <v>1246</v>
      </c>
      <c r="L2587" s="4">
        <v>44169</v>
      </c>
      <c r="M2587" s="140">
        <v>10</v>
      </c>
      <c r="P2587" s="4" t="s">
        <v>291</v>
      </c>
      <c r="Q2587" s="143"/>
      <c r="T2587" s="144"/>
      <c r="U2587" s="145" t="e">
        <f>VLOOKUP(H2587,Stock_list!A:N,14,FALSE)</f>
        <v>#N/A</v>
      </c>
    </row>
    <row r="2588" spans="1:21" ht="16.5" customHeight="1">
      <c r="A2588" s="159" t="s">
        <v>2747</v>
      </c>
      <c r="B2588" s="114" t="str">
        <f>VLOOKUP(A2588,'Data pick slip'!B:F,5,FALSE)</f>
        <v>KHJ-MC200-00</v>
      </c>
      <c r="F2588" s="157" t="s">
        <v>2773</v>
      </c>
      <c r="I2588" s="139" t="s">
        <v>3093</v>
      </c>
      <c r="J2588" s="139" t="s">
        <v>3390</v>
      </c>
      <c r="K2588" s="51" t="s">
        <v>1246</v>
      </c>
      <c r="L2588" s="4">
        <v>44169</v>
      </c>
      <c r="M2588" s="140">
        <v>10</v>
      </c>
      <c r="P2588" s="4" t="s">
        <v>291</v>
      </c>
      <c r="Q2588" s="143"/>
      <c r="T2588" s="144"/>
      <c r="U2588" s="145" t="e">
        <f>VLOOKUP(H2588,Stock_list!A:N,14,FALSE)</f>
        <v>#N/A</v>
      </c>
    </row>
    <row r="2589" spans="1:21" ht="16.5" customHeight="1">
      <c r="A2589" s="159" t="s">
        <v>2812</v>
      </c>
      <c r="B2589" s="114" t="str">
        <f>VLOOKUP(A2589,'Data pick slip'!B:F,5,FALSE)</f>
        <v>KHJ-MC500-00</v>
      </c>
      <c r="F2589" s="157" t="s">
        <v>2773</v>
      </c>
      <c r="I2589" s="139" t="s">
        <v>3093</v>
      </c>
      <c r="J2589" s="139" t="s">
        <v>3391</v>
      </c>
      <c r="K2589" s="51" t="s">
        <v>1246</v>
      </c>
      <c r="L2589" s="4">
        <v>44169</v>
      </c>
      <c r="M2589" s="140">
        <v>3</v>
      </c>
      <c r="P2589" s="4" t="s">
        <v>291</v>
      </c>
      <c r="Q2589" s="143"/>
      <c r="T2589" s="144"/>
      <c r="U2589" s="145" t="e">
        <f>VLOOKUP(H2589,Stock_list!A:N,14,FALSE)</f>
        <v>#N/A</v>
      </c>
    </row>
    <row r="2590" spans="1:21" ht="16.5" customHeight="1">
      <c r="A2590" s="159" t="s">
        <v>2750</v>
      </c>
      <c r="B2590" s="114" t="str">
        <f>VLOOKUP(A2590,'Data pick slip'!B:F,5,FALSE)</f>
        <v>KHJ-MC600-00</v>
      </c>
      <c r="F2590" s="157" t="s">
        <v>2773</v>
      </c>
      <c r="I2590" s="139" t="s">
        <v>3093</v>
      </c>
      <c r="J2590" s="139" t="s">
        <v>3391</v>
      </c>
      <c r="K2590" s="51" t="s">
        <v>1246</v>
      </c>
      <c r="L2590" s="4">
        <v>44169</v>
      </c>
      <c r="M2590" s="140">
        <v>2</v>
      </c>
      <c r="P2590" s="4" t="s">
        <v>291</v>
      </c>
      <c r="Q2590" s="143"/>
      <c r="T2590" s="144"/>
      <c r="U2590" s="145" t="e">
        <f>VLOOKUP(H2590,Stock_list!A:N,14,FALSE)</f>
        <v>#N/A</v>
      </c>
    </row>
    <row r="2591" spans="1:21" ht="16.5" customHeight="1">
      <c r="A2591" s="159" t="s">
        <v>2757</v>
      </c>
      <c r="B2591" s="114" t="str">
        <f>VLOOKUP(A2591,'Data pick slip'!B:F,5,FALSE)</f>
        <v>KLJ-MC400-00</v>
      </c>
      <c r="F2591" s="157" t="s">
        <v>2773</v>
      </c>
      <c r="I2591" s="139" t="s">
        <v>3099</v>
      </c>
      <c r="J2591" s="139" t="s">
        <v>3392</v>
      </c>
      <c r="K2591" s="51" t="s">
        <v>1246</v>
      </c>
      <c r="L2591" s="4">
        <v>44169</v>
      </c>
      <c r="M2591" s="140">
        <v>1</v>
      </c>
      <c r="P2591" s="4" t="s">
        <v>291</v>
      </c>
      <c r="Q2591" s="143"/>
      <c r="T2591" s="144"/>
      <c r="U2591" s="145" t="e">
        <f>VLOOKUP(H2591,Stock_list!A:N,14,FALSE)</f>
        <v>#N/A</v>
      </c>
    </row>
    <row r="2592" spans="1:21" ht="16.5" customHeight="1">
      <c r="A2592" s="159" t="s">
        <v>2744</v>
      </c>
      <c r="B2592" s="114" t="str">
        <f>VLOOKUP(A2592,'Data pick slip'!B:F,5,FALSE)</f>
        <v>KHJ-MC100-00</v>
      </c>
      <c r="F2592" s="157" t="s">
        <v>2753</v>
      </c>
      <c r="H2592" s="138">
        <v>990</v>
      </c>
      <c r="I2592" s="139" t="str">
        <f>VLOOKUP(H2592,Stock_list!A:R,18,FALSE)</f>
        <v>富源晟</v>
      </c>
      <c r="J2592" s="139" t="str">
        <f>VLOOKUP(H2592,Stock_list!A:S,17,FALSE)</f>
        <v>C49SZX20200080DY</v>
      </c>
      <c r="K2592" s="51" t="str">
        <f>VLOOKUP(H2592,Stock_list!A:T,16,FALSE)</f>
        <v>RMB</v>
      </c>
      <c r="L2592" s="4">
        <v>44322</v>
      </c>
      <c r="M2592" s="143">
        <v>50</v>
      </c>
      <c r="P2592" s="4" t="str">
        <f>VLOOKUP(H2592,Stock_list!A:Y,25,FALSE)</f>
        <v>Yes</v>
      </c>
      <c r="T2592" s="144"/>
      <c r="U2592" s="145" t="str">
        <f>VLOOKUP(H2592,Stock_list!A:N,14,FALSE)</f>
        <v>APR 21</v>
      </c>
    </row>
    <row r="2593" spans="1:21" ht="16.5" customHeight="1">
      <c r="A2593" s="159" t="s">
        <v>2747</v>
      </c>
      <c r="B2593" s="114" t="str">
        <f>VLOOKUP(A2593,'Data pick slip'!B:F,5,FALSE)</f>
        <v>KHJ-MC200-00</v>
      </c>
      <c r="F2593" s="157" t="s">
        <v>2753</v>
      </c>
      <c r="H2593" s="138">
        <v>990</v>
      </c>
      <c r="I2593" s="139" t="str">
        <f>VLOOKUP(H2593,Stock_list!A:R,18,FALSE)</f>
        <v>富源晟</v>
      </c>
      <c r="J2593" s="139" t="str">
        <f>VLOOKUP(H2593,Stock_list!A:S,17,FALSE)</f>
        <v>C49SZX20200080DY</v>
      </c>
      <c r="K2593" s="51" t="str">
        <f>VLOOKUP(H2593,Stock_list!A:T,16,FALSE)</f>
        <v>RMB</v>
      </c>
      <c r="L2593" s="4">
        <v>44322</v>
      </c>
      <c r="M2593" s="143">
        <v>5</v>
      </c>
      <c r="P2593" s="4" t="str">
        <f>VLOOKUP(H2593,Stock_list!A:Y,25,FALSE)</f>
        <v>Yes</v>
      </c>
      <c r="T2593" s="144"/>
      <c r="U2593" s="145" t="str">
        <f>VLOOKUP(H2593,Stock_list!A:N,14,FALSE)</f>
        <v>APR 21</v>
      </c>
    </row>
    <row r="2594" spans="1:21" ht="16.5" customHeight="1">
      <c r="A2594" s="159" t="s">
        <v>2748</v>
      </c>
      <c r="B2594" s="114" t="str">
        <f>VLOOKUP(A2594,'Data pick slip'!B:F,5,FALSE)</f>
        <v>KHJ-MC400-00</v>
      </c>
      <c r="F2594" s="157" t="s">
        <v>2753</v>
      </c>
      <c r="H2594" s="138">
        <v>990</v>
      </c>
      <c r="I2594" s="139" t="str">
        <f>VLOOKUP(H2594,Stock_list!A:R,18,FALSE)</f>
        <v>富源晟</v>
      </c>
      <c r="J2594" s="139" t="str">
        <f>VLOOKUP(H2594,Stock_list!A:S,17,FALSE)</f>
        <v>C49SZX20200080DY</v>
      </c>
      <c r="K2594" s="51" t="str">
        <f>VLOOKUP(H2594,Stock_list!A:T,16,FALSE)</f>
        <v>RMB</v>
      </c>
      <c r="L2594" s="4">
        <v>44322</v>
      </c>
      <c r="M2594" s="143">
        <v>2</v>
      </c>
      <c r="P2594" s="4" t="str">
        <f>VLOOKUP(H2594,Stock_list!A:Y,25,FALSE)</f>
        <v>Yes</v>
      </c>
      <c r="T2594" s="144"/>
      <c r="U2594" s="145" t="str">
        <f>VLOOKUP(H2594,Stock_list!A:N,14,FALSE)</f>
        <v>APR 21</v>
      </c>
    </row>
    <row r="2595" spans="1:21" ht="16.5" customHeight="1">
      <c r="A2595" s="159" t="s">
        <v>2744</v>
      </c>
      <c r="B2595" s="114" t="str">
        <f>VLOOKUP(A2595,'Data pick slip'!B:F,5,FALSE)</f>
        <v>KHJ-MC100-00</v>
      </c>
      <c r="F2595" s="157" t="s">
        <v>2861</v>
      </c>
      <c r="H2595" s="138">
        <v>992</v>
      </c>
      <c r="I2595" s="139" t="str">
        <f>VLOOKUP(H2595,Stock_list!A:R,18,FALSE)</f>
        <v>岚新</v>
      </c>
      <c r="J2595" s="139" t="str">
        <f>VLOOKUP(H2595,Stock_list!A:S,17,FALSE)</f>
        <v>C49SZX20200237SX</v>
      </c>
      <c r="K2595" s="51" t="str">
        <f>VLOOKUP(H2595,Stock_list!A:T,16,FALSE)</f>
        <v>JPY</v>
      </c>
      <c r="L2595" s="4">
        <v>44272</v>
      </c>
      <c r="M2595" s="132">
        <v>60</v>
      </c>
      <c r="P2595" s="4" t="str">
        <f>VLOOKUP(H2595,Stock_list!A:Y,25,FALSE)</f>
        <v>Yes</v>
      </c>
      <c r="Q2595" s="143"/>
      <c r="T2595" s="144"/>
      <c r="U2595" s="145" t="str">
        <f>VLOOKUP(H2595,Stock_list!A:N,14,FALSE)</f>
        <v>MAR 21</v>
      </c>
    </row>
    <row r="2596" spans="1:21" ht="16.5" customHeight="1">
      <c r="A2596" s="159" t="s">
        <v>2747</v>
      </c>
      <c r="B2596" s="114" t="str">
        <f>VLOOKUP(A2596,'Data pick slip'!B:F,5,FALSE)</f>
        <v>KHJ-MC200-00</v>
      </c>
      <c r="F2596" s="157" t="s">
        <v>2861</v>
      </c>
      <c r="H2596" s="138">
        <v>992</v>
      </c>
      <c r="I2596" s="139" t="str">
        <f>VLOOKUP(H2596,Stock_list!A:R,18,FALSE)</f>
        <v>岚新</v>
      </c>
      <c r="J2596" s="139" t="str">
        <f>VLOOKUP(H2596,Stock_list!A:S,17,FALSE)</f>
        <v>C49SZX20200237SX</v>
      </c>
      <c r="K2596" s="51" t="str">
        <f>VLOOKUP(H2596,Stock_list!A:T,16,FALSE)</f>
        <v>JPY</v>
      </c>
      <c r="L2596" s="4">
        <v>44272</v>
      </c>
      <c r="M2596" s="132">
        <v>2</v>
      </c>
      <c r="P2596" s="4" t="str">
        <f>VLOOKUP(H2596,Stock_list!A:Y,25,FALSE)</f>
        <v>Yes</v>
      </c>
      <c r="Q2596" s="143"/>
      <c r="T2596" s="144"/>
      <c r="U2596" s="145" t="str">
        <f>VLOOKUP(H2596,Stock_list!A:N,14,FALSE)</f>
        <v>MAR 21</v>
      </c>
    </row>
    <row r="2597" spans="1:21" ht="16.5" customHeight="1">
      <c r="A2597" s="159" t="s">
        <v>2744</v>
      </c>
      <c r="B2597" s="114" t="str">
        <f>VLOOKUP(A2597,'Data pick slip'!B:F,5,FALSE)</f>
        <v>KHJ-MC100-00</v>
      </c>
      <c r="F2597" s="157" t="s">
        <v>2861</v>
      </c>
      <c r="H2597" s="138">
        <v>1002</v>
      </c>
      <c r="I2597" s="139" t="str">
        <f>VLOOKUP(H2597,Stock_list!A:R,18,FALSE)</f>
        <v>瑞福联</v>
      </c>
      <c r="J2597" s="139" t="str">
        <f>VLOOKUP(H2597,Stock_list!A:S,17,FALSE)</f>
        <v>C49SZX20200233JL</v>
      </c>
      <c r="K2597" s="51" t="str">
        <f>VLOOKUP(H2597,Stock_list!A:T,16,FALSE)</f>
        <v>JPY</v>
      </c>
      <c r="L2597" s="4">
        <v>44762</v>
      </c>
      <c r="M2597" s="143">
        <v>45</v>
      </c>
      <c r="P2597" s="4" t="str">
        <f>VLOOKUP(H2597,Stock_list!A:Y,25,FALSE)</f>
        <v>Yes</v>
      </c>
      <c r="T2597" s="144"/>
      <c r="U2597" s="145" t="str">
        <f>VLOOKUP(H2597,Stock_list!A:N,14,FALSE)</f>
        <v>APR 22</v>
      </c>
    </row>
    <row r="2598" spans="1:21" ht="16.5" customHeight="1">
      <c r="A2598" s="159" t="s">
        <v>2747</v>
      </c>
      <c r="B2598" s="114" t="str">
        <f>VLOOKUP(A2598,'Data pick slip'!B:F,5,FALSE)</f>
        <v>KHJ-MC200-00</v>
      </c>
      <c r="F2598" s="157" t="s">
        <v>2861</v>
      </c>
      <c r="H2598" s="138">
        <v>1002</v>
      </c>
      <c r="I2598" s="139" t="str">
        <f>VLOOKUP(H2598,Stock_list!A:R,18,FALSE)</f>
        <v>瑞福联</v>
      </c>
      <c r="J2598" s="139" t="str">
        <f>VLOOKUP(H2598,Stock_list!A:S,17,FALSE)</f>
        <v>C49SZX20200233JL</v>
      </c>
      <c r="K2598" s="51" t="str">
        <f>VLOOKUP(H2598,Stock_list!A:T,16,FALSE)</f>
        <v>JPY</v>
      </c>
      <c r="L2598" s="4">
        <v>44762</v>
      </c>
      <c r="M2598" s="143">
        <v>5</v>
      </c>
      <c r="P2598" s="4" t="str">
        <f>VLOOKUP(H2598,Stock_list!A:Y,25,FALSE)</f>
        <v>Yes</v>
      </c>
      <c r="T2598" s="144"/>
      <c r="U2598" s="145" t="str">
        <f>VLOOKUP(H2598,Stock_list!A:N,14,FALSE)</f>
        <v>APR 22</v>
      </c>
    </row>
    <row r="2599" spans="1:21" ht="16.5" customHeight="1">
      <c r="A2599" s="159" t="s">
        <v>2812</v>
      </c>
      <c r="B2599" s="114" t="str">
        <f>VLOOKUP(A2599,'Data pick slip'!B:F,5,FALSE)</f>
        <v>KHJ-MC500-00</v>
      </c>
      <c r="F2599" s="157" t="s">
        <v>2861</v>
      </c>
      <c r="H2599" s="138">
        <v>1002</v>
      </c>
      <c r="I2599" s="139" t="str">
        <f>VLOOKUP(H2599,Stock_list!A:R,18,FALSE)</f>
        <v>瑞福联</v>
      </c>
      <c r="J2599" s="139" t="str">
        <f>VLOOKUP(H2599,Stock_list!A:S,17,FALSE)</f>
        <v>C49SZX20200233JL</v>
      </c>
      <c r="K2599" s="51" t="str">
        <f>VLOOKUP(H2599,Stock_list!A:T,16,FALSE)</f>
        <v>JPY</v>
      </c>
      <c r="L2599" s="4">
        <v>44762</v>
      </c>
      <c r="M2599" s="143">
        <v>1</v>
      </c>
      <c r="P2599" s="4" t="str">
        <f>VLOOKUP(H2599,Stock_list!A:Y,25,FALSE)</f>
        <v>Yes</v>
      </c>
      <c r="T2599" s="144"/>
      <c r="U2599" s="145" t="str">
        <f>VLOOKUP(H2599,Stock_list!A:N,14,FALSE)</f>
        <v>APR 22</v>
      </c>
    </row>
    <row r="2600" spans="1:21" ht="16.5" customHeight="1">
      <c r="A2600" s="159" t="s">
        <v>2744</v>
      </c>
      <c r="B2600" s="114" t="str">
        <f>VLOOKUP(A2600,'Data pick slip'!B:F,5,FALSE)</f>
        <v>KHJ-MC100-00</v>
      </c>
      <c r="F2600" s="157" t="s">
        <v>2861</v>
      </c>
      <c r="H2600" s="138">
        <v>1002</v>
      </c>
      <c r="I2600" s="139" t="str">
        <f>VLOOKUP(H2600,Stock_list!A:R,18,FALSE)</f>
        <v>瑞福联</v>
      </c>
      <c r="J2600" s="139" t="str">
        <f>VLOOKUP(H2600,Stock_list!A:S,17,FALSE)</f>
        <v>C49SZX20200233JL</v>
      </c>
      <c r="K2600" s="51" t="str">
        <f>VLOOKUP(H2600,Stock_list!A:T,16,FALSE)</f>
        <v>JPY</v>
      </c>
      <c r="L2600" s="4">
        <v>44662</v>
      </c>
      <c r="M2600" s="140">
        <v>45</v>
      </c>
      <c r="N2600" s="143"/>
      <c r="P2600" s="4" t="str">
        <f>VLOOKUP(H2600,Stock_list!A:Y,25,FALSE)</f>
        <v>Yes</v>
      </c>
      <c r="T2600" s="144"/>
      <c r="U2600" s="145" t="str">
        <f>VLOOKUP(H2600,Stock_list!A:N,14,FALSE)</f>
        <v>APR 22</v>
      </c>
    </row>
    <row r="2601" spans="1:21" ht="16.5" customHeight="1">
      <c r="A2601" s="159" t="s">
        <v>2747</v>
      </c>
      <c r="B2601" s="114" t="str">
        <f>VLOOKUP(A2601,'Data pick slip'!B:F,5,FALSE)</f>
        <v>KHJ-MC200-00</v>
      </c>
      <c r="F2601" s="157" t="s">
        <v>2861</v>
      </c>
      <c r="H2601" s="138">
        <v>1002</v>
      </c>
      <c r="I2601" s="139" t="str">
        <f>VLOOKUP(H2601,Stock_list!A:R,18,FALSE)</f>
        <v>瑞福联</v>
      </c>
      <c r="J2601" s="139" t="str">
        <f>VLOOKUP(H2601,Stock_list!A:S,17,FALSE)</f>
        <v>C49SZX20200233JL</v>
      </c>
      <c r="K2601" s="51" t="str">
        <f>VLOOKUP(H2601,Stock_list!A:T,16,FALSE)</f>
        <v>JPY</v>
      </c>
      <c r="L2601" s="4">
        <v>44662</v>
      </c>
      <c r="M2601" s="140">
        <v>4</v>
      </c>
      <c r="N2601" s="143"/>
      <c r="P2601" s="4" t="str">
        <f>VLOOKUP(H2601,Stock_list!A:Y,25,FALSE)</f>
        <v>Yes</v>
      </c>
      <c r="T2601" s="144"/>
      <c r="U2601" s="145" t="str">
        <f>VLOOKUP(H2601,Stock_list!A:N,14,FALSE)</f>
        <v>APR 22</v>
      </c>
    </row>
    <row r="2602" spans="1:21" ht="16.5" customHeight="1">
      <c r="A2602" s="159" t="s">
        <v>2812</v>
      </c>
      <c r="B2602" s="114" t="str">
        <f>VLOOKUP(A2602,'Data pick slip'!B:F,5,FALSE)</f>
        <v>KHJ-MC500-00</v>
      </c>
      <c r="F2602" s="157" t="s">
        <v>2861</v>
      </c>
      <c r="H2602" s="138">
        <v>1002</v>
      </c>
      <c r="I2602" s="139" t="str">
        <f>VLOOKUP(H2602,Stock_list!A:R,18,FALSE)</f>
        <v>瑞福联</v>
      </c>
      <c r="J2602" s="139" t="str">
        <f>VLOOKUP(H2602,Stock_list!A:S,17,FALSE)</f>
        <v>C49SZX20200233JL</v>
      </c>
      <c r="K2602" s="51" t="str">
        <f>VLOOKUP(H2602,Stock_list!A:T,16,FALSE)</f>
        <v>JPY</v>
      </c>
      <c r="L2602" s="4">
        <v>44662</v>
      </c>
      <c r="M2602" s="140">
        <v>1</v>
      </c>
      <c r="N2602" s="143"/>
      <c r="P2602" s="4" t="str">
        <f>VLOOKUP(H2602,Stock_list!A:Y,25,FALSE)</f>
        <v>Yes</v>
      </c>
      <c r="T2602" s="144"/>
      <c r="U2602" s="145" t="str">
        <f>VLOOKUP(H2602,Stock_list!A:N,14,FALSE)</f>
        <v>APR 22</v>
      </c>
    </row>
    <row r="2603" spans="1:21" ht="16.5" customHeight="1">
      <c r="A2603" s="159" t="s">
        <v>2755</v>
      </c>
      <c r="B2603" s="114" t="str">
        <f>VLOOKUP(A2603,'Data pick slip'!B:F,5,FALSE)</f>
        <v>KLJ-MC100-00</v>
      </c>
      <c r="F2603" s="157" t="s">
        <v>2861</v>
      </c>
      <c r="H2603" s="138">
        <v>1014</v>
      </c>
      <c r="I2603" s="139" t="str">
        <f>VLOOKUP(H2603,Stock_list!A:R,18,FALSE)</f>
        <v>博实结</v>
      </c>
      <c r="J2603" s="139" t="str">
        <f>VLOOKUP(H2603,Stock_list!A:S,17,FALSE)</f>
        <v>C49SZX20200239JL</v>
      </c>
      <c r="K2603" s="51" t="str">
        <f>VLOOKUP(H2603,Stock_list!A:T,16,FALSE)</f>
        <v>JPY</v>
      </c>
      <c r="L2603" s="4">
        <v>44263</v>
      </c>
      <c r="M2603" s="143">
        <v>300</v>
      </c>
      <c r="P2603" s="4" t="str">
        <f>VLOOKUP(H2603,Stock_list!A:Y,25,FALSE)</f>
        <v>Yes</v>
      </c>
      <c r="T2603" s="144"/>
      <c r="U2603" s="145" t="str">
        <f>VLOOKUP(H2603,Stock_list!A:N,14,FALSE)</f>
        <v>MAR 21</v>
      </c>
    </row>
    <row r="2604" spans="1:21" ht="16.5" customHeight="1">
      <c r="A2604" s="159" t="s">
        <v>2747</v>
      </c>
      <c r="B2604" s="114" t="str">
        <f>VLOOKUP(A2604,'Data pick slip'!B:F,5,FALSE)</f>
        <v>KHJ-MC200-00</v>
      </c>
      <c r="F2604" s="157" t="s">
        <v>2861</v>
      </c>
      <c r="H2604" s="138">
        <v>1014</v>
      </c>
      <c r="I2604" s="139" t="str">
        <f>VLOOKUP(H2604,Stock_list!A:R,18,FALSE)</f>
        <v>博实结</v>
      </c>
      <c r="J2604" s="139" t="str">
        <f>VLOOKUP(H2604,Stock_list!A:S,17,FALSE)</f>
        <v>C49SZX20200239JL</v>
      </c>
      <c r="K2604" s="51" t="str">
        <f>VLOOKUP(H2604,Stock_list!A:T,16,FALSE)</f>
        <v>JPY</v>
      </c>
      <c r="L2604" s="4">
        <v>44263</v>
      </c>
      <c r="M2604" s="143">
        <v>50</v>
      </c>
      <c r="P2604" s="4" t="str">
        <f>VLOOKUP(H2604,Stock_list!A:Y,25,FALSE)</f>
        <v>Yes</v>
      </c>
      <c r="T2604" s="144"/>
      <c r="U2604" s="145" t="str">
        <f>VLOOKUP(H2604,Stock_list!A:N,14,FALSE)</f>
        <v>MAR 21</v>
      </c>
    </row>
    <row r="2605" spans="1:21" ht="16.5" customHeight="1">
      <c r="A2605" s="159" t="s">
        <v>2748</v>
      </c>
      <c r="B2605" s="114" t="str">
        <f>VLOOKUP(A2605,'Data pick slip'!B:F,5,FALSE)</f>
        <v>KHJ-MC400-00</v>
      </c>
      <c r="F2605" s="157" t="s">
        <v>2861</v>
      </c>
      <c r="H2605" s="138">
        <v>1014</v>
      </c>
      <c r="I2605" s="139" t="str">
        <f>VLOOKUP(H2605,Stock_list!A:R,18,FALSE)</f>
        <v>博实结</v>
      </c>
      <c r="J2605" s="139" t="str">
        <f>VLOOKUP(H2605,Stock_list!A:S,17,FALSE)</f>
        <v>C49SZX20200239JL</v>
      </c>
      <c r="K2605" s="51" t="str">
        <f>VLOOKUP(H2605,Stock_list!A:T,16,FALSE)</f>
        <v>JPY</v>
      </c>
      <c r="L2605" s="4">
        <v>44263</v>
      </c>
      <c r="M2605" s="143">
        <v>10</v>
      </c>
      <c r="P2605" s="4" t="str">
        <f>VLOOKUP(H2605,Stock_list!A:Y,25,FALSE)</f>
        <v>Yes</v>
      </c>
      <c r="T2605" s="144"/>
      <c r="U2605" s="145" t="str">
        <f>VLOOKUP(H2605,Stock_list!A:N,14,FALSE)</f>
        <v>MAR 21</v>
      </c>
    </row>
    <row r="2606" spans="1:21" ht="16.5" customHeight="1">
      <c r="A2606" s="159" t="s">
        <v>2749</v>
      </c>
      <c r="B2606" s="114" t="str">
        <f>VLOOKUP(A2606,'Data pick slip'!B:F,5,FALSE)</f>
        <v>KHJ-MC500-00</v>
      </c>
      <c r="F2606" s="157" t="s">
        <v>2861</v>
      </c>
      <c r="H2606" s="138">
        <v>1014</v>
      </c>
      <c r="I2606" s="139" t="str">
        <f>VLOOKUP(H2606,Stock_list!A:R,18,FALSE)</f>
        <v>博实结</v>
      </c>
      <c r="J2606" s="139" t="str">
        <f>VLOOKUP(H2606,Stock_list!A:S,17,FALSE)</f>
        <v>C49SZX20200239JL</v>
      </c>
      <c r="K2606" s="51" t="str">
        <f>VLOOKUP(H2606,Stock_list!A:T,16,FALSE)</f>
        <v>JPY</v>
      </c>
      <c r="L2606" s="4">
        <v>44263</v>
      </c>
      <c r="M2606" s="143">
        <v>10</v>
      </c>
      <c r="P2606" s="4" t="str">
        <f>VLOOKUP(H2606,Stock_list!A:Y,25,FALSE)</f>
        <v>Yes</v>
      </c>
      <c r="T2606" s="144"/>
      <c r="U2606" s="145" t="str">
        <f>VLOOKUP(H2606,Stock_list!A:N,14,FALSE)</f>
        <v>MAR 21</v>
      </c>
    </row>
    <row r="2607" spans="1:21" ht="16.5" customHeight="1">
      <c r="A2607" s="159" t="s">
        <v>2750</v>
      </c>
      <c r="B2607" s="114" t="str">
        <f>VLOOKUP(A2607,'Data pick slip'!B:F,5,FALSE)</f>
        <v>KHJ-MC600-00</v>
      </c>
      <c r="F2607" s="157" t="s">
        <v>2861</v>
      </c>
      <c r="H2607" s="138">
        <v>1014</v>
      </c>
      <c r="I2607" s="139" t="str">
        <f>VLOOKUP(H2607,Stock_list!A:R,18,FALSE)</f>
        <v>博实结</v>
      </c>
      <c r="J2607" s="139" t="str">
        <f>VLOOKUP(H2607,Stock_list!A:S,17,FALSE)</f>
        <v>C49SZX20200239JL</v>
      </c>
      <c r="K2607" s="51" t="str">
        <f>VLOOKUP(H2607,Stock_list!A:T,16,FALSE)</f>
        <v>JPY</v>
      </c>
      <c r="L2607" s="4">
        <v>44263</v>
      </c>
      <c r="M2607" s="143">
        <v>5</v>
      </c>
      <c r="P2607" s="4" t="str">
        <f>VLOOKUP(H2607,Stock_list!A:Y,25,FALSE)</f>
        <v>Yes</v>
      </c>
      <c r="T2607" s="144"/>
      <c r="U2607" s="145" t="str">
        <f>VLOOKUP(H2607,Stock_list!A:N,14,FALSE)</f>
        <v>MAR 21</v>
      </c>
    </row>
    <row r="2608" spans="1:21" ht="16.5" customHeight="1">
      <c r="A2608" s="159" t="s">
        <v>2760</v>
      </c>
      <c r="B2608" s="114" t="str">
        <f>VLOOKUP(A2608,'Data pick slip'!B:F,5,FALSE)</f>
        <v>KLJ-MC700-00</v>
      </c>
      <c r="F2608" s="157" t="s">
        <v>2753</v>
      </c>
      <c r="H2608" s="138">
        <v>1014</v>
      </c>
      <c r="I2608" s="139" t="str">
        <f>VLOOKUP(H2608,Stock_list!A:R,18,FALSE)</f>
        <v>博实结</v>
      </c>
      <c r="J2608" s="139" t="str">
        <f>VLOOKUP(H2608,Stock_list!A:S,17,FALSE)</f>
        <v>C49SZX20200239JL</v>
      </c>
      <c r="K2608" s="51" t="str">
        <f>VLOOKUP(H2608,Stock_list!A:T,16,FALSE)</f>
        <v>JPY</v>
      </c>
      <c r="L2608" s="4">
        <v>44265</v>
      </c>
      <c r="M2608" s="143"/>
      <c r="O2608" s="132">
        <f>1-1</f>
        <v>0</v>
      </c>
      <c r="P2608" s="4" t="str">
        <f>VLOOKUP(H2608,Stock_list!A:Y,25,FALSE)</f>
        <v>Yes</v>
      </c>
      <c r="S2608" s="268"/>
      <c r="T2608" s="144"/>
      <c r="U2608" s="145" t="str">
        <f>VLOOKUP(H2608,Stock_list!A:N,14,FALSE)</f>
        <v>MAR 21</v>
      </c>
    </row>
    <row r="2609" spans="1:21" ht="16.5" customHeight="1">
      <c r="A2609" s="159" t="s">
        <v>2751</v>
      </c>
      <c r="B2609" s="280" t="str">
        <f>VLOOKUP(A2609,'Data pick slip'!B:F,5,FALSE)</f>
        <v>KHJ-MC700-00</v>
      </c>
      <c r="F2609" s="157" t="s">
        <v>2753</v>
      </c>
      <c r="H2609" s="138">
        <v>1014</v>
      </c>
      <c r="I2609" s="139" t="str">
        <f>VLOOKUP(H2609,Stock_list!A:R,18,FALSE)</f>
        <v>博实结</v>
      </c>
      <c r="J2609" s="139" t="str">
        <f>VLOOKUP(H2609,Stock_list!A:S,17,FALSE)</f>
        <v>C49SZX20200239JL</v>
      </c>
      <c r="K2609" s="51" t="str">
        <f>VLOOKUP(H2609,Stock_list!A:T,16,FALSE)</f>
        <v>JPY</v>
      </c>
      <c r="L2609" s="4">
        <v>44357</v>
      </c>
      <c r="M2609" s="143">
        <v>1</v>
      </c>
      <c r="P2609" s="4" t="str">
        <f>VLOOKUP(H2609,Stock_list!A:Y,25,FALSE)</f>
        <v>Yes</v>
      </c>
      <c r="S2609" s="268" t="s">
        <v>2778</v>
      </c>
      <c r="T2609" s="284" t="s">
        <v>3393</v>
      </c>
      <c r="U2609" s="145" t="str">
        <f>VLOOKUP(H2609,Stock_list!A:N,14,FALSE)</f>
        <v>MAR 21</v>
      </c>
    </row>
    <row r="2610" spans="1:21" ht="16.5" customHeight="1">
      <c r="A2610" s="159" t="s">
        <v>2752</v>
      </c>
      <c r="B2610" s="280" t="str">
        <f>VLOOKUP(A2610,'Data pick slip'!B:F,5,FALSE)</f>
        <v>KHJ-MC800-00</v>
      </c>
      <c r="F2610" s="157" t="s">
        <v>2753</v>
      </c>
      <c r="H2610" s="138">
        <v>1014</v>
      </c>
      <c r="I2610" s="139" t="str">
        <f>VLOOKUP(H2610,Stock_list!A:R,18,FALSE)</f>
        <v>博实结</v>
      </c>
      <c r="J2610" s="139" t="str">
        <f>VLOOKUP(H2610,Stock_list!A:S,17,FALSE)</f>
        <v>C49SZX20200239JL</v>
      </c>
      <c r="K2610" s="51" t="str">
        <f>VLOOKUP(H2610,Stock_list!A:T,16,FALSE)</f>
        <v>JPY</v>
      </c>
      <c r="L2610" s="4">
        <v>44357</v>
      </c>
      <c r="M2610" s="143">
        <v>1</v>
      </c>
      <c r="P2610" s="4" t="str">
        <f>VLOOKUP(H2610,Stock_list!A:Y,25,FALSE)</f>
        <v>Yes</v>
      </c>
      <c r="S2610" s="268" t="s">
        <v>2778</v>
      </c>
      <c r="T2610" s="284" t="s">
        <v>3393</v>
      </c>
      <c r="U2610" s="145" t="str">
        <f>VLOOKUP(H2610,Stock_list!A:N,14,FALSE)</f>
        <v>MAR 21</v>
      </c>
    </row>
    <row r="2611" spans="1:21" ht="16.5" customHeight="1">
      <c r="A2611" s="159" t="s">
        <v>2744</v>
      </c>
      <c r="B2611" s="114" t="str">
        <f>VLOOKUP(A2611,'Data pick slip'!B:F,5,FALSE)</f>
        <v>KHJ-MC100-00</v>
      </c>
      <c r="F2611" s="157" t="s">
        <v>2861</v>
      </c>
      <c r="H2611" s="138">
        <v>1018</v>
      </c>
      <c r="I2611" s="139" t="str">
        <f>VLOOKUP(H2611,Stock_list!A:R,18,FALSE)</f>
        <v>鑫金鸿</v>
      </c>
      <c r="J2611" s="139" t="str">
        <f>VLOOKUP(H2611,Stock_list!A:S,17,FALSE)</f>
        <v>C49SZX20200240MZ</v>
      </c>
      <c r="K2611" s="51" t="str">
        <f>VLOOKUP(H2611,Stock_list!A:T,16,FALSE)</f>
        <v>JPY</v>
      </c>
      <c r="L2611" s="4">
        <v>44294</v>
      </c>
      <c r="M2611" s="143">
        <v>40</v>
      </c>
      <c r="P2611" s="4" t="str">
        <f>VLOOKUP(H2611,Stock_list!A:Y,25,FALSE)</f>
        <v>Yes</v>
      </c>
      <c r="T2611" s="144"/>
      <c r="U2611" s="145" t="str">
        <f>VLOOKUP(H2611,Stock_list!A:N,14,FALSE)</f>
        <v>APR 21</v>
      </c>
    </row>
    <row r="2612" spans="1:21" ht="16.5" customHeight="1">
      <c r="A2612" s="159" t="s">
        <v>2744</v>
      </c>
      <c r="B2612" s="114" t="str">
        <f>VLOOKUP(A2612,'Data pick slip'!B:F,5,FALSE)</f>
        <v>KHJ-MC100-00</v>
      </c>
      <c r="F2612" s="157" t="s">
        <v>2861</v>
      </c>
      <c r="H2612" s="138">
        <v>1020</v>
      </c>
      <c r="I2612" s="139" t="str">
        <f>VLOOKUP(H2612,Stock_list!A:R,18,FALSE)</f>
        <v>新智杰光电</v>
      </c>
      <c r="J2612" s="139" t="str">
        <f>VLOOKUP(H2612,Stock_list!A:S,17,FALSE)</f>
        <v>C49SZX20200245MZ</v>
      </c>
      <c r="K2612" s="51" t="str">
        <f>VLOOKUP(H2612,Stock_list!A:T,16,FALSE)</f>
        <v>JPY</v>
      </c>
      <c r="L2612" s="4">
        <v>44263</v>
      </c>
      <c r="M2612" s="143">
        <v>30</v>
      </c>
      <c r="P2612" s="4" t="str">
        <f>VLOOKUP(H2612,Stock_list!A:Y,25,FALSE)</f>
        <v>Yes</v>
      </c>
      <c r="T2612" s="144"/>
      <c r="U2612" s="145" t="str">
        <f>VLOOKUP(H2612,Stock_list!A:N,14,FALSE)</f>
        <v>MAR 21</v>
      </c>
    </row>
    <row r="2613" spans="1:21" ht="16.5" customHeight="1">
      <c r="A2613" s="159" t="s">
        <v>2747</v>
      </c>
      <c r="B2613" s="114" t="str">
        <f>VLOOKUP(A2613,'Data pick slip'!B:F,5,FALSE)</f>
        <v>KHJ-MC200-00</v>
      </c>
      <c r="F2613" s="157" t="s">
        <v>2861</v>
      </c>
      <c r="H2613" s="138">
        <v>1020</v>
      </c>
      <c r="I2613" s="139" t="str">
        <f>VLOOKUP(H2613,Stock_list!A:R,18,FALSE)</f>
        <v>新智杰光电</v>
      </c>
      <c r="J2613" s="139" t="str">
        <f>VLOOKUP(H2613,Stock_list!A:S,17,FALSE)</f>
        <v>C49SZX20200245MZ</v>
      </c>
      <c r="K2613" s="51" t="str">
        <f>VLOOKUP(H2613,Stock_list!A:T,16,FALSE)</f>
        <v>JPY</v>
      </c>
      <c r="L2613" s="4">
        <v>44263</v>
      </c>
      <c r="M2613" s="143">
        <v>10</v>
      </c>
      <c r="P2613" s="4" t="str">
        <f>VLOOKUP(H2613,Stock_list!A:Y,25,FALSE)</f>
        <v>Yes</v>
      </c>
      <c r="T2613" s="144"/>
      <c r="U2613" s="145" t="str">
        <f>VLOOKUP(H2613,Stock_list!A:N,14,FALSE)</f>
        <v>MAR 21</v>
      </c>
    </row>
    <row r="2614" spans="1:21" ht="16.5" customHeight="1">
      <c r="A2614" s="159" t="s">
        <v>2748</v>
      </c>
      <c r="B2614" s="114" t="str">
        <f>VLOOKUP(A2614,'Data pick slip'!B:F,5,FALSE)</f>
        <v>KHJ-MC400-00</v>
      </c>
      <c r="F2614" s="157" t="s">
        <v>2861</v>
      </c>
      <c r="H2614" s="138">
        <v>1020</v>
      </c>
      <c r="I2614" s="139" t="str">
        <f>VLOOKUP(H2614,Stock_list!A:R,18,FALSE)</f>
        <v>新智杰光电</v>
      </c>
      <c r="J2614" s="139" t="str">
        <f>VLOOKUP(H2614,Stock_list!A:S,17,FALSE)</f>
        <v>C49SZX20200245MZ</v>
      </c>
      <c r="K2614" s="51" t="str">
        <f>VLOOKUP(H2614,Stock_list!A:T,16,FALSE)</f>
        <v>JPY</v>
      </c>
      <c r="L2614" s="4">
        <v>44263</v>
      </c>
      <c r="M2614" s="143">
        <v>2</v>
      </c>
      <c r="P2614" s="4" t="str">
        <f>VLOOKUP(H2614,Stock_list!A:Y,25,FALSE)</f>
        <v>Yes</v>
      </c>
      <c r="T2614" s="144"/>
      <c r="U2614" s="145" t="str">
        <f>VLOOKUP(H2614,Stock_list!A:N,14,FALSE)</f>
        <v>MAR 21</v>
      </c>
    </row>
    <row r="2615" spans="1:21" ht="16.5" customHeight="1">
      <c r="A2615" s="159" t="s">
        <v>2744</v>
      </c>
      <c r="B2615" s="114" t="str">
        <f>VLOOKUP(A2615,'Data pick slip'!B:F,5,FALSE)</f>
        <v>KHJ-MC100-00</v>
      </c>
      <c r="F2615" s="157" t="s">
        <v>2773</v>
      </c>
      <c r="I2615" s="139" t="s">
        <v>3093</v>
      </c>
      <c r="J2615" s="139" t="s">
        <v>3394</v>
      </c>
      <c r="K2615" s="51" t="s">
        <v>1246</v>
      </c>
      <c r="L2615" s="4">
        <v>44179</v>
      </c>
      <c r="M2615" s="140">
        <v>1</v>
      </c>
      <c r="P2615" s="4" t="s">
        <v>291</v>
      </c>
      <c r="Q2615" s="143"/>
      <c r="T2615" s="144"/>
      <c r="U2615" s="145" t="e">
        <f>VLOOKUP(H2615,Stock_list!A:N,14,FALSE)</f>
        <v>#N/A</v>
      </c>
    </row>
    <row r="2616" spans="1:21" ht="16.5" customHeight="1">
      <c r="A2616" s="159" t="s">
        <v>2755</v>
      </c>
      <c r="B2616" s="114" t="str">
        <f>VLOOKUP(A2616,'Data pick slip'!B:F,5,FALSE)</f>
        <v>KLJ-MC100-00</v>
      </c>
      <c r="F2616" s="157" t="s">
        <v>2773</v>
      </c>
      <c r="I2616" s="139" t="s">
        <v>3093</v>
      </c>
      <c r="J2616" s="139" t="s">
        <v>3394</v>
      </c>
      <c r="K2616" s="51" t="s">
        <v>1246</v>
      </c>
      <c r="L2616" s="4">
        <v>44179</v>
      </c>
      <c r="M2616" s="140">
        <v>29</v>
      </c>
      <c r="P2616" s="4" t="s">
        <v>291</v>
      </c>
      <c r="Q2616" s="143"/>
      <c r="T2616" s="144"/>
      <c r="U2616" s="145" t="e">
        <f>VLOOKUP(H2616,Stock_list!A:N,14,FALSE)</f>
        <v>#N/A</v>
      </c>
    </row>
    <row r="2617" spans="1:21" ht="16.5" customHeight="1">
      <c r="A2617" s="159" t="s">
        <v>2755</v>
      </c>
      <c r="B2617" s="114" t="str">
        <f>VLOOKUP(A2617,'Data pick slip'!B:F,5,FALSE)</f>
        <v>KLJ-MC100-00</v>
      </c>
      <c r="F2617" s="157" t="s">
        <v>2861</v>
      </c>
      <c r="I2617" s="139" t="s">
        <v>3015</v>
      </c>
      <c r="J2617" s="139" t="s">
        <v>3395</v>
      </c>
      <c r="K2617" s="51" t="s">
        <v>1246</v>
      </c>
      <c r="L2617" s="4">
        <v>44174</v>
      </c>
      <c r="M2617" s="140">
        <v>100</v>
      </c>
      <c r="P2617" s="4" t="s">
        <v>291</v>
      </c>
      <c r="Q2617" s="143"/>
      <c r="T2617" s="144"/>
      <c r="U2617" s="145" t="e">
        <f>VLOOKUP(H2617,Stock_list!A:N,14,FALSE)</f>
        <v>#N/A</v>
      </c>
    </row>
    <row r="2618" spans="1:21" ht="16.5" customHeight="1">
      <c r="A2618" s="159" t="s">
        <v>2744</v>
      </c>
      <c r="B2618" s="114" t="str">
        <f>VLOOKUP(A2618,'Data pick slip'!B:F,5,FALSE)</f>
        <v>KHJ-MC100-00</v>
      </c>
      <c r="F2618" s="157" t="s">
        <v>2861</v>
      </c>
      <c r="H2618" s="138">
        <v>1022</v>
      </c>
      <c r="I2618" s="139" t="str">
        <f>VLOOKUP(H2618,Stock_list!A:R,18,FALSE)</f>
        <v>海凌科达</v>
      </c>
      <c r="J2618" s="139" t="str">
        <f>VLOOKUP(H2618,Stock_list!A:S,17,FALSE)</f>
        <v>C49SZX20200230JY</v>
      </c>
      <c r="K2618" s="51" t="str">
        <f>VLOOKUP(H2618,Stock_list!A:T,16,FALSE)</f>
        <v>JPY</v>
      </c>
      <c r="L2618" s="4">
        <v>44267</v>
      </c>
      <c r="M2618" s="143">
        <v>72</v>
      </c>
      <c r="P2618" s="4" t="str">
        <f>VLOOKUP(H2618,Stock_list!A:Y,25,FALSE)</f>
        <v>Yes</v>
      </c>
      <c r="T2618" s="144"/>
      <c r="U2618" s="145" t="str">
        <f>VLOOKUP(H2618,Stock_list!A:N,14,FALSE)</f>
        <v>MAR 21</v>
      </c>
    </row>
    <row r="2619" spans="1:21" ht="16.5" customHeight="1">
      <c r="A2619" s="159" t="s">
        <v>2747</v>
      </c>
      <c r="B2619" s="114" t="str">
        <f>VLOOKUP(A2619,'Data pick slip'!B:F,5,FALSE)</f>
        <v>KHJ-MC200-00</v>
      </c>
      <c r="F2619" s="157" t="s">
        <v>2861</v>
      </c>
      <c r="H2619" s="138">
        <v>1022</v>
      </c>
      <c r="I2619" s="139" t="str">
        <f>VLOOKUP(H2619,Stock_list!A:R,18,FALSE)</f>
        <v>海凌科达</v>
      </c>
      <c r="J2619" s="139" t="str">
        <f>VLOOKUP(H2619,Stock_list!A:S,17,FALSE)</f>
        <v>C49SZX20200230JY</v>
      </c>
      <c r="K2619" s="51" t="str">
        <f>VLOOKUP(H2619,Stock_list!A:T,16,FALSE)</f>
        <v>JPY</v>
      </c>
      <c r="L2619" s="4">
        <v>44267</v>
      </c>
      <c r="M2619" s="143">
        <v>12</v>
      </c>
      <c r="P2619" s="4" t="str">
        <f>VLOOKUP(H2619,Stock_list!A:Y,25,FALSE)</f>
        <v>Yes</v>
      </c>
      <c r="T2619" s="144"/>
      <c r="U2619" s="145" t="str">
        <f>VLOOKUP(H2619,Stock_list!A:N,14,FALSE)</f>
        <v>MAR 21</v>
      </c>
    </row>
    <row r="2620" spans="1:21" ht="16.5" customHeight="1">
      <c r="A2620" s="159" t="s">
        <v>2768</v>
      </c>
      <c r="B2620" s="114" t="str">
        <f>VLOOKUP(A2620,'Data pick slip'!B:F,5,FALSE)</f>
        <v>KHJ-MC100-00</v>
      </c>
      <c r="F2620" s="157" t="s">
        <v>1381</v>
      </c>
      <c r="H2620" s="138">
        <v>1028</v>
      </c>
      <c r="I2620" s="139" t="str">
        <f>VLOOKUP(H2620,Stock_list!A:R,18,FALSE)</f>
        <v>朗特</v>
      </c>
      <c r="J2620" s="139" t="str">
        <f>VLOOKUP(H2620,Stock_list!A:S,17,FALSE)</f>
        <v>C49SZX20200243DZ</v>
      </c>
      <c r="K2620" s="51" t="str">
        <f>VLOOKUP(H2620,Stock_list!A:T,16,FALSE)</f>
        <v>JPY</v>
      </c>
      <c r="L2620" s="4">
        <v>44271</v>
      </c>
      <c r="M2620" s="140">
        <v>18</v>
      </c>
      <c r="P2620" s="4" t="str">
        <f>VLOOKUP(H2620,Stock_list!A:Y,25,FALSE)</f>
        <v>Yes</v>
      </c>
      <c r="Q2620" s="143"/>
      <c r="T2620" s="144"/>
      <c r="U2620" s="145" t="str">
        <f>VLOOKUP(H2620,Stock_list!A:N,14,FALSE)</f>
        <v>MAR 21</v>
      </c>
    </row>
    <row r="2621" spans="1:21" ht="16.5" customHeight="1">
      <c r="A2621" s="159" t="s">
        <v>2755</v>
      </c>
      <c r="B2621" s="114" t="str">
        <f>VLOOKUP(A2621,'Data pick slip'!B:F,5,FALSE)</f>
        <v>KLJ-MC100-00</v>
      </c>
      <c r="F2621" s="157" t="s">
        <v>2753</v>
      </c>
      <c r="H2621" s="138">
        <v>1038</v>
      </c>
      <c r="I2621" s="139" t="str">
        <f>VLOOKUP(H2621,Stock_list!A:R,18,FALSE)</f>
        <v>拓新伟业</v>
      </c>
      <c r="J2621" s="139" t="str">
        <f>VLOOKUP(H2621,Stock_list!A:S,17,FALSE)</f>
        <v>C49SZX20200220SX</v>
      </c>
      <c r="K2621" s="51" t="str">
        <f>VLOOKUP(H2621,Stock_list!A:T,16,FALSE)</f>
        <v>RMB</v>
      </c>
      <c r="L2621" s="4">
        <v>44230</v>
      </c>
      <c r="M2621" s="132">
        <v>56</v>
      </c>
      <c r="P2621" s="4" t="str">
        <f>VLOOKUP(H2621,Stock_list!A:Y,25,FALSE)</f>
        <v>Yes</v>
      </c>
      <c r="Q2621" s="143"/>
      <c r="T2621" s="144"/>
      <c r="U2621" s="145" t="str">
        <f>VLOOKUP(H2621,Stock_list!A:N,14,FALSE)</f>
        <v>JAN 21</v>
      </c>
    </row>
    <row r="2622" spans="1:21" ht="16.5" customHeight="1">
      <c r="A2622" s="159" t="s">
        <v>2756</v>
      </c>
      <c r="B2622" s="114" t="str">
        <f>VLOOKUP(A2622,'Data pick slip'!B:F,5,FALSE)</f>
        <v>KLJ-MC200-00</v>
      </c>
      <c r="F2622" s="157" t="s">
        <v>2753</v>
      </c>
      <c r="H2622" s="138">
        <v>1038</v>
      </c>
      <c r="I2622" s="139" t="str">
        <f>VLOOKUP(H2622,Stock_list!A:R,18,FALSE)</f>
        <v>拓新伟业</v>
      </c>
      <c r="J2622" s="139" t="str">
        <f>VLOOKUP(H2622,Stock_list!A:S,17,FALSE)</f>
        <v>C49SZX20200220SX</v>
      </c>
      <c r="K2622" s="51" t="str">
        <f>VLOOKUP(H2622,Stock_list!A:T,16,FALSE)</f>
        <v>RMB</v>
      </c>
      <c r="L2622" s="4">
        <v>44230</v>
      </c>
      <c r="M2622" s="132">
        <v>4</v>
      </c>
      <c r="P2622" s="4" t="str">
        <f>VLOOKUP(H2622,Stock_list!A:Y,25,FALSE)</f>
        <v>Yes</v>
      </c>
      <c r="T2622" s="144"/>
      <c r="U2622" s="145" t="str">
        <f>VLOOKUP(H2622,Stock_list!A:N,14,FALSE)</f>
        <v>JAN 21</v>
      </c>
    </row>
    <row r="2623" spans="1:21" ht="16.5" customHeight="1">
      <c r="A2623" s="159" t="s">
        <v>2744</v>
      </c>
      <c r="B2623" s="114" t="str">
        <f>VLOOKUP(A2623,'Data pick slip'!B:F,5,FALSE)</f>
        <v>KHJ-MC100-00</v>
      </c>
      <c r="F2623" s="157" t="s">
        <v>2773</v>
      </c>
      <c r="H2623" s="138">
        <v>1040</v>
      </c>
      <c r="I2623" s="139" t="str">
        <f>VLOOKUP(H2623,Stock_list!A:R,18,FALSE)</f>
        <v>悦之彩</v>
      </c>
      <c r="J2623" s="139" t="str">
        <f>VLOOKUP(H2623,Stock_list!A:S,17,FALSE)</f>
        <v>C49SZX20200248SX</v>
      </c>
      <c r="K2623" s="51" t="str">
        <f>VLOOKUP(H2623,Stock_list!A:T,16,FALSE)</f>
        <v>RMB</v>
      </c>
      <c r="L2623" s="4">
        <v>44298</v>
      </c>
      <c r="M2623" s="140">
        <v>40</v>
      </c>
      <c r="N2623" s="143"/>
      <c r="P2623" s="4" t="str">
        <f>VLOOKUP(H2623,Stock_list!A:Y,25,FALSE)</f>
        <v>Yes</v>
      </c>
      <c r="T2623" s="144"/>
      <c r="U2623" s="145" t="str">
        <f>VLOOKUP(H2623,Stock_list!A:N,14,FALSE)</f>
        <v>APR 21</v>
      </c>
    </row>
    <row r="2624" spans="1:21" ht="16.5" customHeight="1">
      <c r="A2624" s="159" t="s">
        <v>2747</v>
      </c>
      <c r="B2624" s="114" t="str">
        <f>VLOOKUP(A2624,'Data pick slip'!B:F,5,FALSE)</f>
        <v>KHJ-MC200-00</v>
      </c>
      <c r="F2624" s="157" t="s">
        <v>2773</v>
      </c>
      <c r="H2624" s="138">
        <v>1040</v>
      </c>
      <c r="I2624" s="139" t="str">
        <f>VLOOKUP(H2624,Stock_list!A:R,18,FALSE)</f>
        <v>悦之彩</v>
      </c>
      <c r="J2624" s="139" t="str">
        <f>VLOOKUP(H2624,Stock_list!A:S,17,FALSE)</f>
        <v>C49SZX20200248SX</v>
      </c>
      <c r="K2624" s="51" t="str">
        <f>VLOOKUP(H2624,Stock_list!A:T,16,FALSE)</f>
        <v>RMB</v>
      </c>
      <c r="L2624" s="4">
        <v>44298</v>
      </c>
      <c r="M2624" s="140">
        <v>12</v>
      </c>
      <c r="N2624" s="143"/>
      <c r="P2624" s="4" t="str">
        <f>VLOOKUP(H2624,Stock_list!A:Y,25,FALSE)</f>
        <v>Yes</v>
      </c>
      <c r="T2624" s="144"/>
      <c r="U2624" s="145" t="str">
        <f>VLOOKUP(H2624,Stock_list!A:N,14,FALSE)</f>
        <v>APR 21</v>
      </c>
    </row>
    <row r="2625" spans="1:21" ht="16.5" customHeight="1">
      <c r="A2625" s="159" t="s">
        <v>2750</v>
      </c>
      <c r="B2625" s="114" t="str">
        <f>VLOOKUP(A2625,'Data pick slip'!B:F,5,FALSE)</f>
        <v>KHJ-MC600-00</v>
      </c>
      <c r="F2625" s="157" t="s">
        <v>2773</v>
      </c>
      <c r="H2625" s="138">
        <v>1040</v>
      </c>
      <c r="I2625" s="139" t="str">
        <f>VLOOKUP(H2625,Stock_list!A:R,18,FALSE)</f>
        <v>悦之彩</v>
      </c>
      <c r="J2625" s="139" t="str">
        <f>VLOOKUP(H2625,Stock_list!A:S,17,FALSE)</f>
        <v>C49SZX20200248SX</v>
      </c>
      <c r="K2625" s="51" t="str">
        <f>VLOOKUP(H2625,Stock_list!A:T,16,FALSE)</f>
        <v>RMB</v>
      </c>
      <c r="L2625" s="4">
        <v>44272</v>
      </c>
      <c r="M2625" s="140">
        <v>2</v>
      </c>
      <c r="N2625" s="143"/>
      <c r="P2625" s="4" t="str">
        <f>VLOOKUP(H2625,Stock_list!A:Y,25,FALSE)</f>
        <v>Yes</v>
      </c>
      <c r="T2625" s="144"/>
      <c r="U2625" s="145" t="str">
        <f>VLOOKUP(H2625,Stock_list!A:N,14,FALSE)</f>
        <v>APR 21</v>
      </c>
    </row>
    <row r="2626" spans="1:21" ht="16.5" customHeight="1">
      <c r="A2626" s="159" t="s">
        <v>2744</v>
      </c>
      <c r="B2626" s="114" t="str">
        <f>VLOOKUP(A2626,'Data pick slip'!B:F,5,FALSE)</f>
        <v>KHJ-MC100-00</v>
      </c>
      <c r="F2626" s="157" t="s">
        <v>2861</v>
      </c>
      <c r="I2626" s="139" t="s">
        <v>3015</v>
      </c>
      <c r="J2626" s="139" t="s">
        <v>2934</v>
      </c>
      <c r="K2626" s="51" t="s">
        <v>1246</v>
      </c>
      <c r="L2626" s="4">
        <v>44189</v>
      </c>
      <c r="M2626" s="140">
        <v>86</v>
      </c>
      <c r="P2626" s="4" t="s">
        <v>291</v>
      </c>
      <c r="Q2626" s="143"/>
      <c r="T2626" s="144"/>
      <c r="U2626" s="145" t="e">
        <f>VLOOKUP(H2626,Stock_list!A:N,14,FALSE)</f>
        <v>#N/A</v>
      </c>
    </row>
    <row r="2627" spans="1:21" ht="16.5" customHeight="1">
      <c r="A2627" s="159" t="s">
        <v>2747</v>
      </c>
      <c r="B2627" s="114" t="str">
        <f>VLOOKUP(A2627,'Data pick slip'!B:F,5,FALSE)</f>
        <v>KHJ-MC200-00</v>
      </c>
      <c r="F2627" s="157" t="s">
        <v>2861</v>
      </c>
      <c r="I2627" s="139" t="s">
        <v>3015</v>
      </c>
      <c r="J2627" s="139" t="s">
        <v>2934</v>
      </c>
      <c r="K2627" s="51" t="s">
        <v>1246</v>
      </c>
      <c r="L2627" s="4">
        <v>44189</v>
      </c>
      <c r="M2627" s="140">
        <v>15</v>
      </c>
      <c r="P2627" s="4" t="s">
        <v>291</v>
      </c>
      <c r="Q2627" s="143"/>
      <c r="T2627" s="144"/>
      <c r="U2627" s="145" t="e">
        <f>VLOOKUP(H2627,Stock_list!A:N,14,FALSE)</f>
        <v>#N/A</v>
      </c>
    </row>
    <row r="2628" spans="1:21" ht="16.5" customHeight="1">
      <c r="A2628" s="159" t="s">
        <v>2749</v>
      </c>
      <c r="B2628" s="114" t="str">
        <f>VLOOKUP(A2628,'Data pick slip'!B:F,5,FALSE)</f>
        <v>KHJ-MC500-00</v>
      </c>
      <c r="F2628" s="157" t="s">
        <v>2861</v>
      </c>
      <c r="I2628" s="139" t="s">
        <v>3015</v>
      </c>
      <c r="J2628" s="139" t="s">
        <v>2934</v>
      </c>
      <c r="K2628" s="51" t="s">
        <v>1246</v>
      </c>
      <c r="L2628" s="4">
        <v>44189</v>
      </c>
      <c r="M2628" s="140">
        <v>5</v>
      </c>
      <c r="P2628" s="4" t="s">
        <v>291</v>
      </c>
      <c r="Q2628" s="143"/>
      <c r="T2628" s="144"/>
      <c r="U2628" s="145" t="e">
        <f>VLOOKUP(H2628,Stock_list!A:N,14,FALSE)</f>
        <v>#N/A</v>
      </c>
    </row>
    <row r="2629" spans="1:21" ht="16.5" customHeight="1">
      <c r="A2629" s="159" t="s">
        <v>2755</v>
      </c>
      <c r="B2629" s="114" t="str">
        <f>VLOOKUP(A2629,'Data pick slip'!B:F,5,FALSE)</f>
        <v>KLJ-MC100-00</v>
      </c>
      <c r="F2629" s="157" t="s">
        <v>2773</v>
      </c>
      <c r="I2629" s="139" t="s">
        <v>3093</v>
      </c>
      <c r="J2629" s="139" t="s">
        <v>3396</v>
      </c>
      <c r="K2629" s="51" t="s">
        <v>1246</v>
      </c>
      <c r="L2629" s="4">
        <v>44188</v>
      </c>
      <c r="M2629" s="140">
        <v>20</v>
      </c>
      <c r="P2629" s="4" t="s">
        <v>291</v>
      </c>
      <c r="Q2629" s="143"/>
      <c r="T2629" s="144"/>
      <c r="U2629" s="145" t="e">
        <f>VLOOKUP(H2629,Stock_list!A:N,14,FALSE)</f>
        <v>#N/A</v>
      </c>
    </row>
    <row r="2630" spans="1:21" ht="16.5" customHeight="1">
      <c r="A2630" s="159" t="s">
        <v>2747</v>
      </c>
      <c r="B2630" s="114" t="str">
        <f>VLOOKUP(A2630,'Data pick slip'!B:F,5,FALSE)</f>
        <v>KHJ-MC200-00</v>
      </c>
      <c r="F2630" s="157" t="s">
        <v>2773</v>
      </c>
      <c r="I2630" s="139" t="s">
        <v>3093</v>
      </c>
      <c r="J2630" s="139" t="s">
        <v>3396</v>
      </c>
      <c r="K2630" s="51" t="s">
        <v>1246</v>
      </c>
      <c r="L2630" s="4">
        <v>44188</v>
      </c>
      <c r="M2630" s="140">
        <v>3</v>
      </c>
      <c r="P2630" s="4" t="s">
        <v>291</v>
      </c>
      <c r="Q2630" s="143"/>
      <c r="T2630" s="144"/>
      <c r="U2630" s="145" t="e">
        <f>VLOOKUP(H2630,Stock_list!A:N,14,FALSE)</f>
        <v>#N/A</v>
      </c>
    </row>
    <row r="2631" spans="1:21" ht="16.5" customHeight="1">
      <c r="A2631" s="159" t="s">
        <v>2747</v>
      </c>
      <c r="B2631" s="114" t="str">
        <f>VLOOKUP(A2631,'Data pick slip'!B:F,5,FALSE)</f>
        <v>KHJ-MC200-00</v>
      </c>
      <c r="F2631" s="157" t="s">
        <v>2773</v>
      </c>
      <c r="I2631" s="139" t="s">
        <v>3093</v>
      </c>
      <c r="J2631" s="139" t="s">
        <v>3397</v>
      </c>
      <c r="K2631" s="51" t="s">
        <v>1246</v>
      </c>
      <c r="L2631" s="4" t="s">
        <v>3398</v>
      </c>
      <c r="M2631" s="140">
        <v>7</v>
      </c>
      <c r="P2631" s="4" t="s">
        <v>291</v>
      </c>
      <c r="Q2631" s="143"/>
      <c r="T2631" s="144"/>
      <c r="U2631" s="145" t="e">
        <f>VLOOKUP(H2631,Stock_list!A:N,14,FALSE)</f>
        <v>#N/A</v>
      </c>
    </row>
    <row r="2632" spans="1:21" ht="16.5" customHeight="1">
      <c r="A2632" s="159" t="s">
        <v>2758</v>
      </c>
      <c r="B2632" s="114" t="str">
        <f>VLOOKUP(A2632,'Data pick slip'!B:F,5,FALSE)</f>
        <v>KLJ-MC500-00</v>
      </c>
      <c r="F2632" s="157" t="s">
        <v>2773</v>
      </c>
      <c r="I2632" s="139" t="s">
        <v>3099</v>
      </c>
      <c r="J2632" s="139" t="s">
        <v>3399</v>
      </c>
      <c r="K2632" s="51" t="s">
        <v>1246</v>
      </c>
      <c r="L2632" s="4">
        <v>44180</v>
      </c>
      <c r="M2632" s="140">
        <v>5</v>
      </c>
      <c r="P2632" s="4" t="s">
        <v>291</v>
      </c>
      <c r="Q2632" s="143"/>
      <c r="T2632" s="144"/>
      <c r="U2632" s="145" t="e">
        <f>VLOOKUP(H2632,Stock_list!A:N,14,FALSE)</f>
        <v>#N/A</v>
      </c>
    </row>
    <row r="2633" spans="1:21" ht="16.5" customHeight="1">
      <c r="A2633" s="159" t="s">
        <v>2756</v>
      </c>
      <c r="B2633" s="114" t="str">
        <f>VLOOKUP(A2633,'Data pick slip'!B:F,5,FALSE)</f>
        <v>KLJ-MC200-00</v>
      </c>
      <c r="F2633" s="157" t="s">
        <v>2773</v>
      </c>
      <c r="I2633" s="139" t="s">
        <v>3099</v>
      </c>
      <c r="J2633" s="139" t="s">
        <v>3399</v>
      </c>
      <c r="K2633" s="51" t="s">
        <v>1246</v>
      </c>
      <c r="L2633" s="4">
        <v>44180</v>
      </c>
      <c r="M2633" s="140">
        <v>1</v>
      </c>
      <c r="P2633" s="4" t="s">
        <v>291</v>
      </c>
      <c r="T2633" s="144"/>
      <c r="U2633" s="145" t="e">
        <f>VLOOKUP(H2633,Stock_list!A:N,14,FALSE)</f>
        <v>#N/A</v>
      </c>
    </row>
    <row r="2634" spans="1:21" ht="16.5" customHeight="1">
      <c r="A2634" s="159" t="s">
        <v>2744</v>
      </c>
      <c r="B2634" s="114" t="str">
        <f>VLOOKUP(A2634,'Data pick slip'!B:F,5,FALSE)</f>
        <v>KHJ-MC100-00</v>
      </c>
      <c r="F2634" s="157" t="s">
        <v>2773</v>
      </c>
      <c r="I2634" s="139" t="s">
        <v>3099</v>
      </c>
      <c r="J2634" s="139" t="s">
        <v>3400</v>
      </c>
      <c r="K2634" s="51" t="s">
        <v>1246</v>
      </c>
      <c r="L2634" s="4">
        <v>44189</v>
      </c>
      <c r="M2634" s="140">
        <v>10</v>
      </c>
      <c r="P2634" s="4" t="s">
        <v>291</v>
      </c>
      <c r="Q2634" s="143"/>
      <c r="T2634" s="144"/>
      <c r="U2634" s="145" t="e">
        <f>VLOOKUP(H2634,Stock_list!A:N,14,FALSE)</f>
        <v>#N/A</v>
      </c>
    </row>
    <row r="2635" spans="1:21" ht="16.5" customHeight="1">
      <c r="A2635" s="159" t="s">
        <v>2744</v>
      </c>
      <c r="B2635" s="114" t="str">
        <f>VLOOKUP(A2635,'Data pick slip'!B:F,5,FALSE)</f>
        <v>KHJ-MC100-00</v>
      </c>
      <c r="F2635" s="157" t="s">
        <v>2773</v>
      </c>
      <c r="I2635" s="139" t="s">
        <v>2853</v>
      </c>
      <c r="J2635" s="139" t="s">
        <v>3401</v>
      </c>
      <c r="K2635" s="51" t="s">
        <v>1246</v>
      </c>
      <c r="L2635" s="4">
        <v>44179</v>
      </c>
      <c r="M2635" s="140">
        <v>2</v>
      </c>
      <c r="P2635" s="4" t="s">
        <v>291</v>
      </c>
      <c r="Q2635" s="143"/>
      <c r="S2635" s="123" t="s">
        <v>3003</v>
      </c>
      <c r="T2635" s="144" t="s">
        <v>3402</v>
      </c>
      <c r="U2635" s="145" t="e">
        <f>VLOOKUP(H2635,Stock_list!A:N,14,FALSE)</f>
        <v>#N/A</v>
      </c>
    </row>
    <row r="2636" spans="1:21" ht="16.5" customHeight="1">
      <c r="A2636" s="159" t="s">
        <v>2744</v>
      </c>
      <c r="B2636" s="114" t="str">
        <f>VLOOKUP(A2636,'Data pick slip'!B:F,5,FALSE)</f>
        <v>KHJ-MC100-00</v>
      </c>
      <c r="F2636" s="157" t="s">
        <v>2861</v>
      </c>
      <c r="H2636" s="138">
        <v>1043</v>
      </c>
      <c r="I2636" s="139" t="str">
        <f>VLOOKUP(H2636,Stock_list!A:R,18,FALSE)</f>
        <v>昊亮迪</v>
      </c>
      <c r="J2636" s="139" t="str">
        <f>VLOOKUP(H2636,Stock_list!A:S,17,FALSE)</f>
        <v>C49SZX20200255JY</v>
      </c>
      <c r="K2636" s="51" t="str">
        <f>VLOOKUP(H2636,Stock_list!A:T,16,FALSE)</f>
        <v>JPY</v>
      </c>
      <c r="L2636" s="4">
        <v>44217</v>
      </c>
      <c r="M2636" s="143">
        <v>42</v>
      </c>
      <c r="P2636" s="4" t="str">
        <f>VLOOKUP(H2636,Stock_list!A:Y,25,FALSE)</f>
        <v>Yes</v>
      </c>
      <c r="T2636" s="144"/>
      <c r="U2636" s="145" t="str">
        <f>VLOOKUP(H2636,Stock_list!A:N,14,FALSE)</f>
        <v>JAN 21</v>
      </c>
    </row>
    <row r="2637" spans="1:21" ht="16.5" customHeight="1">
      <c r="A2637" s="159" t="s">
        <v>2748</v>
      </c>
      <c r="B2637" s="114" t="str">
        <f>VLOOKUP(A2637,'Data pick slip'!B:F,5,FALSE)</f>
        <v>KHJ-MC400-00</v>
      </c>
      <c r="F2637" s="157" t="s">
        <v>2861</v>
      </c>
      <c r="H2637" s="138">
        <v>1043</v>
      </c>
      <c r="I2637" s="139" t="str">
        <f>VLOOKUP(H2637,Stock_list!A:R,18,FALSE)</f>
        <v>昊亮迪</v>
      </c>
      <c r="J2637" s="139" t="str">
        <f>VLOOKUP(H2637,Stock_list!A:S,17,FALSE)</f>
        <v>C49SZX20200255JY</v>
      </c>
      <c r="K2637" s="51" t="str">
        <f>VLOOKUP(H2637,Stock_list!A:T,16,FALSE)</f>
        <v>JPY</v>
      </c>
      <c r="L2637" s="4">
        <v>44217</v>
      </c>
      <c r="M2637" s="143">
        <v>3</v>
      </c>
      <c r="P2637" s="4" t="str">
        <f>VLOOKUP(H2637,Stock_list!A:Y,25,FALSE)</f>
        <v>Yes</v>
      </c>
      <c r="T2637" s="144"/>
      <c r="U2637" s="145" t="str">
        <f>VLOOKUP(H2637,Stock_list!A:N,14,FALSE)</f>
        <v>JAN 21</v>
      </c>
    </row>
    <row r="2638" spans="1:21" ht="16.5" customHeight="1">
      <c r="A2638" s="159" t="s">
        <v>2749</v>
      </c>
      <c r="B2638" s="114" t="str">
        <f>VLOOKUP(A2638,'Data pick slip'!B:F,5,FALSE)</f>
        <v>KHJ-MC500-00</v>
      </c>
      <c r="F2638" s="157" t="s">
        <v>2861</v>
      </c>
      <c r="H2638" s="138">
        <v>1043</v>
      </c>
      <c r="I2638" s="139" t="str">
        <f>VLOOKUP(H2638,Stock_list!A:R,18,FALSE)</f>
        <v>昊亮迪</v>
      </c>
      <c r="J2638" s="139" t="str">
        <f>VLOOKUP(H2638,Stock_list!A:S,17,FALSE)</f>
        <v>C49SZX20200255JY</v>
      </c>
      <c r="K2638" s="51" t="str">
        <f>VLOOKUP(H2638,Stock_list!A:T,16,FALSE)</f>
        <v>JPY</v>
      </c>
      <c r="L2638" s="4">
        <v>44217</v>
      </c>
      <c r="M2638" s="143">
        <v>3</v>
      </c>
      <c r="P2638" s="4" t="str">
        <f>VLOOKUP(H2638,Stock_list!A:Y,25,FALSE)</f>
        <v>Yes</v>
      </c>
      <c r="T2638" s="144"/>
      <c r="U2638" s="145" t="str">
        <f>VLOOKUP(H2638,Stock_list!A:N,14,FALSE)</f>
        <v>JAN 21</v>
      </c>
    </row>
    <row r="2639" spans="1:21" ht="16.5" customHeight="1">
      <c r="A2639" s="159" t="s">
        <v>2758</v>
      </c>
      <c r="B2639" s="114" t="str">
        <f>VLOOKUP(A2639,'Data pick slip'!B:F,5,FALSE)</f>
        <v>KLJ-MC500-00</v>
      </c>
      <c r="F2639" s="157" t="s">
        <v>2773</v>
      </c>
      <c r="I2639" s="139" t="s">
        <v>3099</v>
      </c>
      <c r="J2639" s="139" t="s">
        <v>3403</v>
      </c>
      <c r="K2639" s="51" t="s">
        <v>1246</v>
      </c>
      <c r="L2639" s="4">
        <v>44165</v>
      </c>
      <c r="M2639" s="140">
        <v>2</v>
      </c>
      <c r="P2639" s="4" t="s">
        <v>291</v>
      </c>
      <c r="Q2639" s="143"/>
      <c r="T2639" s="144"/>
      <c r="U2639" s="145" t="e">
        <f>VLOOKUP(H2639,Stock_list!A:N,14,FALSE)</f>
        <v>#N/A</v>
      </c>
    </row>
    <row r="2640" spans="1:21" ht="16.5" customHeight="1">
      <c r="A2640" s="159" t="s">
        <v>2749</v>
      </c>
      <c r="B2640" s="114" t="str">
        <f>VLOOKUP(A2640,'Data pick slip'!B:F,5,FALSE)</f>
        <v>KHJ-MC500-00</v>
      </c>
      <c r="F2640" s="157" t="s">
        <v>2773</v>
      </c>
      <c r="I2640" s="139" t="s">
        <v>3099</v>
      </c>
      <c r="J2640" s="139" t="s">
        <v>3403</v>
      </c>
      <c r="K2640" s="51" t="s">
        <v>1246</v>
      </c>
      <c r="L2640" s="4">
        <v>44165</v>
      </c>
      <c r="M2640" s="140">
        <v>1</v>
      </c>
      <c r="P2640" s="4" t="s">
        <v>291</v>
      </c>
      <c r="Q2640" s="143"/>
      <c r="T2640" s="144"/>
      <c r="U2640" s="145" t="e">
        <f>VLOOKUP(H2640,Stock_list!A:N,14,FALSE)</f>
        <v>#N/A</v>
      </c>
    </row>
    <row r="2641" spans="1:21" ht="16.5" customHeight="1">
      <c r="A2641" s="159" t="s">
        <v>2750</v>
      </c>
      <c r="B2641" s="114" t="str">
        <f>VLOOKUP(A2641,'Data pick slip'!B:F,5,FALSE)</f>
        <v>KHJ-MC600-00</v>
      </c>
      <c r="F2641" s="157" t="s">
        <v>2773</v>
      </c>
      <c r="I2641" s="139" t="s">
        <v>3099</v>
      </c>
      <c r="J2641" s="139" t="s">
        <v>3403</v>
      </c>
      <c r="K2641" s="51" t="s">
        <v>1246</v>
      </c>
      <c r="L2641" s="4">
        <v>44165</v>
      </c>
      <c r="M2641" s="140">
        <v>1</v>
      </c>
      <c r="P2641" s="4" t="s">
        <v>291</v>
      </c>
      <c r="Q2641" s="143"/>
      <c r="T2641" s="144"/>
      <c r="U2641" s="145" t="e">
        <f>VLOOKUP(H2641,Stock_list!A:N,14,FALSE)</f>
        <v>#N/A</v>
      </c>
    </row>
    <row r="2642" spans="1:21" ht="16.5" customHeight="1">
      <c r="A2642" s="159" t="s">
        <v>2760</v>
      </c>
      <c r="B2642" s="114" t="str">
        <f>VLOOKUP(A2642,'Data pick slip'!B:F,5,FALSE)</f>
        <v>KLJ-MC700-00</v>
      </c>
      <c r="F2642" s="157" t="s">
        <v>2773</v>
      </c>
      <c r="I2642" s="139" t="s">
        <v>3099</v>
      </c>
      <c r="J2642" s="139" t="s">
        <v>3403</v>
      </c>
      <c r="K2642" s="51" t="s">
        <v>1246</v>
      </c>
      <c r="L2642" s="4">
        <v>44165</v>
      </c>
      <c r="M2642" s="140">
        <v>1</v>
      </c>
      <c r="P2642" s="4" t="s">
        <v>291</v>
      </c>
      <c r="Q2642" s="143"/>
      <c r="T2642" s="144"/>
      <c r="U2642" s="145" t="e">
        <f>VLOOKUP(H2642,Stock_list!A:N,14,FALSE)</f>
        <v>#N/A</v>
      </c>
    </row>
    <row r="2643" spans="1:21" ht="16.5" customHeight="1">
      <c r="A2643" s="159" t="s">
        <v>2744</v>
      </c>
      <c r="B2643" s="114" t="str">
        <f>VLOOKUP(A2643,'Data pick slip'!B:F,5,FALSE)</f>
        <v>KHJ-MC100-00</v>
      </c>
      <c r="F2643" s="157" t="s">
        <v>2773</v>
      </c>
      <c r="I2643" s="139" t="s">
        <v>3099</v>
      </c>
      <c r="J2643" s="139" t="s">
        <v>3404</v>
      </c>
      <c r="K2643" s="51" t="s">
        <v>1246</v>
      </c>
      <c r="L2643" s="4">
        <v>44169</v>
      </c>
      <c r="M2643" s="140">
        <v>50</v>
      </c>
      <c r="P2643" s="4" t="s">
        <v>291</v>
      </c>
      <c r="Q2643" s="143"/>
      <c r="T2643" s="144"/>
      <c r="U2643" s="145" t="e">
        <f>VLOOKUP(H2643,Stock_list!A:N,14,FALSE)</f>
        <v>#N/A</v>
      </c>
    </row>
    <row r="2644" spans="1:21" ht="16.5" customHeight="1">
      <c r="A2644" s="159" t="s">
        <v>2747</v>
      </c>
      <c r="B2644" s="114" t="str">
        <f>VLOOKUP(A2644,'Data pick slip'!B:F,5,FALSE)</f>
        <v>KHJ-MC200-00</v>
      </c>
      <c r="F2644" s="157" t="s">
        <v>2773</v>
      </c>
      <c r="I2644" s="139" t="s">
        <v>3099</v>
      </c>
      <c r="J2644" s="139" t="s">
        <v>3404</v>
      </c>
      <c r="K2644" s="51" t="s">
        <v>1246</v>
      </c>
      <c r="L2644" s="4">
        <v>44201</v>
      </c>
      <c r="M2644" s="140">
        <v>10</v>
      </c>
      <c r="P2644" s="4" t="s">
        <v>291</v>
      </c>
      <c r="Q2644" s="143"/>
      <c r="T2644" s="144"/>
      <c r="U2644" s="145" t="e">
        <f>VLOOKUP(H2644,Stock_list!A:N,14,FALSE)</f>
        <v>#N/A</v>
      </c>
    </row>
    <row r="2645" spans="1:21" ht="16.5" customHeight="1">
      <c r="A2645" s="159" t="s">
        <v>2749</v>
      </c>
      <c r="B2645" s="114" t="str">
        <f>VLOOKUP(A2645,'Data pick slip'!B:F,5,FALSE)</f>
        <v>KHJ-MC500-00</v>
      </c>
      <c r="F2645" s="157" t="s">
        <v>2773</v>
      </c>
      <c r="I2645" s="139" t="s">
        <v>3099</v>
      </c>
      <c r="J2645" s="139" t="s">
        <v>3405</v>
      </c>
      <c r="K2645" s="51" t="s">
        <v>1246</v>
      </c>
      <c r="L2645" s="4">
        <v>44179</v>
      </c>
      <c r="O2645" s="132">
        <f>5-5</f>
        <v>0</v>
      </c>
      <c r="P2645" s="4" t="s">
        <v>291</v>
      </c>
      <c r="Q2645" s="143"/>
      <c r="T2645" s="144"/>
      <c r="U2645" s="145" t="e">
        <f>VLOOKUP(H2645,Stock_list!A:N,14,FALSE)</f>
        <v>#N/A</v>
      </c>
    </row>
    <row r="2646" spans="1:21" ht="16.5" customHeight="1">
      <c r="A2646" s="159" t="s">
        <v>2744</v>
      </c>
      <c r="B2646" s="114" t="str">
        <f>VLOOKUP(A2646,'Data pick slip'!B:F,5,FALSE)</f>
        <v>KHJ-MC100-00</v>
      </c>
      <c r="F2646" s="157" t="s">
        <v>2861</v>
      </c>
      <c r="H2646" s="138">
        <v>1045</v>
      </c>
      <c r="I2646" s="139" t="str">
        <f>VLOOKUP(H2646,Stock_list!A:R,18,FALSE)</f>
        <v>华耘</v>
      </c>
      <c r="J2646" s="139" t="str">
        <f>VLOOKUP(H2646,Stock_list!A:S,17,FALSE)</f>
        <v>C49SZX20200246MX</v>
      </c>
      <c r="K2646" s="51" t="str">
        <f>VLOOKUP(H2646,Stock_list!A:T,16,FALSE)</f>
        <v>JPY</v>
      </c>
      <c r="L2646" s="4">
        <v>44232</v>
      </c>
      <c r="M2646" s="132">
        <v>17</v>
      </c>
      <c r="P2646" s="4" t="str">
        <f>VLOOKUP(H2646,Stock_list!A:Y,25,FALSE)</f>
        <v>Yes</v>
      </c>
      <c r="Q2646" s="143"/>
      <c r="T2646" s="144"/>
      <c r="U2646" s="145" t="str">
        <f>VLOOKUP(H2646,Stock_list!A:N,14,FALSE)</f>
        <v>JAN 21</v>
      </c>
    </row>
    <row r="2647" spans="1:21" ht="16.5" customHeight="1">
      <c r="A2647" s="159" t="s">
        <v>2747</v>
      </c>
      <c r="B2647" s="114" t="str">
        <f>VLOOKUP(A2647,'Data pick slip'!B:F,5,FALSE)</f>
        <v>KHJ-MC200-00</v>
      </c>
      <c r="F2647" s="157" t="s">
        <v>2861</v>
      </c>
      <c r="H2647" s="138">
        <v>1045</v>
      </c>
      <c r="I2647" s="139" t="str">
        <f>VLOOKUP(H2647,Stock_list!A:R,18,FALSE)</f>
        <v>华耘</v>
      </c>
      <c r="J2647" s="139" t="str">
        <f>VLOOKUP(H2647,Stock_list!A:S,17,FALSE)</f>
        <v>C49SZX20200246MX</v>
      </c>
      <c r="K2647" s="51" t="str">
        <f>VLOOKUP(H2647,Stock_list!A:T,16,FALSE)</f>
        <v>JPY</v>
      </c>
      <c r="L2647" s="4">
        <v>44232</v>
      </c>
      <c r="M2647" s="132">
        <v>3</v>
      </c>
      <c r="P2647" s="4" t="str">
        <f>VLOOKUP(H2647,Stock_list!A:Y,25,FALSE)</f>
        <v>Yes</v>
      </c>
      <c r="Q2647" s="143"/>
      <c r="T2647" s="144"/>
      <c r="U2647" s="145" t="str">
        <f>VLOOKUP(H2647,Stock_list!A:N,14,FALSE)</f>
        <v>JAN 21</v>
      </c>
    </row>
    <row r="2648" spans="1:21" ht="16.5" customHeight="1">
      <c r="A2648" s="159" t="s">
        <v>2744</v>
      </c>
      <c r="B2648" s="114" t="str">
        <f>VLOOKUP(A2648,'Data pick slip'!B:F,5,FALSE)</f>
        <v>KHJ-MC100-00</v>
      </c>
      <c r="F2648" s="157" t="s">
        <v>2861</v>
      </c>
      <c r="H2648" s="138">
        <v>1046</v>
      </c>
      <c r="I2648" s="139" t="str">
        <f>VLOOKUP(H2648,Stock_list!A:R,18,FALSE)</f>
        <v>精德鸿</v>
      </c>
      <c r="J2648" s="139" t="str">
        <f>VLOOKUP(H2648,Stock_list!A:S,17,FALSE)</f>
        <v>C49SZX20200257JY</v>
      </c>
      <c r="K2648" s="51" t="str">
        <f>VLOOKUP(H2648,Stock_list!A:T,16,FALSE)</f>
        <v>JPY</v>
      </c>
      <c r="L2648" s="4">
        <v>44288</v>
      </c>
      <c r="M2648" s="132">
        <v>120</v>
      </c>
      <c r="P2648" s="4" t="str">
        <f>VLOOKUP(H2648,Stock_list!A:Y,25,FALSE)</f>
        <v>Yes</v>
      </c>
      <c r="Q2648" s="143"/>
      <c r="T2648" s="144"/>
      <c r="U2648" s="145" t="str">
        <f>VLOOKUP(H2648,Stock_list!A:N,14,FALSE)</f>
        <v>APR 21</v>
      </c>
    </row>
    <row r="2649" spans="1:21" ht="16.5" customHeight="1">
      <c r="A2649" s="159" t="s">
        <v>2747</v>
      </c>
      <c r="B2649" s="114" t="str">
        <f>VLOOKUP(A2649,'Data pick slip'!B:F,5,FALSE)</f>
        <v>KHJ-MC200-00</v>
      </c>
      <c r="F2649" s="157" t="s">
        <v>2861</v>
      </c>
      <c r="H2649" s="138">
        <v>1046</v>
      </c>
      <c r="I2649" s="139" t="str">
        <f>VLOOKUP(H2649,Stock_list!A:R,18,FALSE)</f>
        <v>精德鸿</v>
      </c>
      <c r="J2649" s="139" t="str">
        <f>VLOOKUP(H2649,Stock_list!A:S,17,FALSE)</f>
        <v>C49SZX20200257JY</v>
      </c>
      <c r="K2649" s="51" t="str">
        <f>VLOOKUP(H2649,Stock_list!A:T,16,FALSE)</f>
        <v>JPY</v>
      </c>
      <c r="L2649" s="4">
        <v>44288</v>
      </c>
      <c r="M2649" s="132">
        <v>15</v>
      </c>
      <c r="P2649" s="4" t="str">
        <f>VLOOKUP(H2649,Stock_list!A:Y,25,FALSE)</f>
        <v>Yes</v>
      </c>
      <c r="Q2649" s="143"/>
      <c r="T2649" s="144"/>
      <c r="U2649" s="145" t="str">
        <f>VLOOKUP(H2649,Stock_list!A:N,14,FALSE)</f>
        <v>APR 21</v>
      </c>
    </row>
    <row r="2650" spans="1:21" ht="16.5" customHeight="1">
      <c r="A2650" s="159" t="s">
        <v>2748</v>
      </c>
      <c r="B2650" s="114" t="str">
        <f>VLOOKUP(A2650,'Data pick slip'!B:F,5,FALSE)</f>
        <v>KHJ-MC400-00</v>
      </c>
      <c r="F2650" s="157" t="s">
        <v>2753</v>
      </c>
      <c r="H2650" s="138">
        <v>1046</v>
      </c>
      <c r="I2650" s="139" t="str">
        <f>VLOOKUP(H2650,Stock_list!A:R,18,FALSE)</f>
        <v>精德鸿</v>
      </c>
      <c r="J2650" s="139" t="str">
        <f>VLOOKUP(H2650,Stock_list!A:S,17,FALSE)</f>
        <v>C49SZX20200257JY</v>
      </c>
      <c r="K2650" s="51" t="str">
        <f>VLOOKUP(H2650,Stock_list!A:T,16,FALSE)</f>
        <v>JPY</v>
      </c>
      <c r="L2650" s="4">
        <v>44288</v>
      </c>
      <c r="M2650" s="132">
        <v>10</v>
      </c>
      <c r="P2650" s="4" t="str">
        <f>VLOOKUP(H2650,Stock_list!A:Y,25,FALSE)</f>
        <v>Yes</v>
      </c>
      <c r="Q2650" s="143"/>
      <c r="S2650" s="268" t="s">
        <v>2778</v>
      </c>
      <c r="T2650" s="266" t="s">
        <v>3406</v>
      </c>
      <c r="U2650" s="145" t="str">
        <f>VLOOKUP(H2650,Stock_list!A:N,14,FALSE)</f>
        <v>APR 21</v>
      </c>
    </row>
    <row r="2651" spans="1:21" ht="16.5" customHeight="1">
      <c r="A2651" s="159" t="s">
        <v>2749</v>
      </c>
      <c r="B2651" s="114" t="str">
        <f>VLOOKUP(A2651,'Data pick slip'!B:F,5,FALSE)</f>
        <v>KHJ-MC500-00</v>
      </c>
      <c r="F2651" s="157" t="s">
        <v>2753</v>
      </c>
      <c r="H2651" s="138">
        <v>1046</v>
      </c>
      <c r="I2651" s="139" t="str">
        <f>VLOOKUP(H2651,Stock_list!A:R,18,FALSE)</f>
        <v>精德鸿</v>
      </c>
      <c r="J2651" s="139" t="str">
        <f>VLOOKUP(H2651,Stock_list!A:S,17,FALSE)</f>
        <v>C49SZX20200257JY</v>
      </c>
      <c r="K2651" s="51" t="str">
        <f>VLOOKUP(H2651,Stock_list!A:T,16,FALSE)</f>
        <v>JPY</v>
      </c>
      <c r="L2651" s="4">
        <v>44288</v>
      </c>
      <c r="M2651" s="132">
        <v>8</v>
      </c>
      <c r="P2651" s="4" t="str">
        <f>VLOOKUP(H2651,Stock_list!A:Y,25,FALSE)</f>
        <v>Yes</v>
      </c>
      <c r="Q2651" s="143"/>
      <c r="S2651" s="268" t="s">
        <v>2778</v>
      </c>
      <c r="T2651" s="284" t="s">
        <v>3407</v>
      </c>
      <c r="U2651" s="145" t="str">
        <f>VLOOKUP(H2651,Stock_list!A:N,14,FALSE)</f>
        <v>APR 21</v>
      </c>
    </row>
    <row r="2652" spans="1:21" ht="16.5" customHeight="1">
      <c r="A2652" s="159" t="s">
        <v>2750</v>
      </c>
      <c r="B2652" s="114" t="str">
        <f>VLOOKUP(A2652,'Data pick slip'!B:F,5,FALSE)</f>
        <v>KHJ-MC600-00</v>
      </c>
      <c r="F2652" s="157" t="s">
        <v>2861</v>
      </c>
      <c r="H2652" s="138">
        <v>1046</v>
      </c>
      <c r="I2652" s="139" t="str">
        <f>VLOOKUP(H2652,Stock_list!A:R,18,FALSE)</f>
        <v>精德鸿</v>
      </c>
      <c r="J2652" s="139" t="str">
        <f>VLOOKUP(H2652,Stock_list!A:S,17,FALSE)</f>
        <v>C49SZX20200257JY</v>
      </c>
      <c r="K2652" s="51" t="str">
        <f>VLOOKUP(H2652,Stock_list!A:T,16,FALSE)</f>
        <v>JPY</v>
      </c>
      <c r="L2652" s="4">
        <v>44288</v>
      </c>
      <c r="M2652" s="140">
        <v>2</v>
      </c>
      <c r="P2652" s="4" t="str">
        <f>VLOOKUP(H2652,Stock_list!A:Y,25,FALSE)</f>
        <v>Yes</v>
      </c>
      <c r="Q2652" s="143"/>
      <c r="T2652" s="144"/>
      <c r="U2652" s="145" t="str">
        <f>VLOOKUP(H2652,Stock_list!A:N,14,FALSE)</f>
        <v>APR 21</v>
      </c>
    </row>
    <row r="2653" spans="1:21" ht="16.5" customHeight="1">
      <c r="A2653" s="159" t="s">
        <v>2744</v>
      </c>
      <c r="B2653" s="114" t="str">
        <f>VLOOKUP(A2653,'Data pick slip'!B:F,5,FALSE)</f>
        <v>KHJ-MC100-00</v>
      </c>
      <c r="F2653" s="157" t="s">
        <v>1381</v>
      </c>
      <c r="H2653" s="138">
        <v>1056</v>
      </c>
      <c r="I2653" s="139" t="str">
        <f>VLOOKUP(H2653,Stock_list!A:R,18,FALSE)</f>
        <v>永诺精密</v>
      </c>
      <c r="J2653" s="139" t="str">
        <f>VLOOKUP(H2653,Stock_list!A:S,17,FALSE)</f>
        <v>C49SZX20200260LC</v>
      </c>
      <c r="K2653" s="51" t="str">
        <f>VLOOKUP(H2653,Stock_list!A:T,16,FALSE)</f>
        <v>JPY</v>
      </c>
      <c r="L2653" s="4">
        <v>44259</v>
      </c>
      <c r="M2653" s="143">
        <v>23</v>
      </c>
      <c r="P2653" s="4" t="str">
        <f>VLOOKUP(H2653,Stock_list!A:Y,25,FALSE)</f>
        <v>Yes</v>
      </c>
      <c r="T2653" s="144"/>
      <c r="U2653" s="145" t="str">
        <f>VLOOKUP(H2653,Stock_list!A:N,14,FALSE)</f>
        <v>FEB 21</v>
      </c>
    </row>
    <row r="2654" spans="1:21" ht="16.5" customHeight="1">
      <c r="A2654" s="159" t="s">
        <v>2747</v>
      </c>
      <c r="B2654" s="114" t="str">
        <f>VLOOKUP(A2654,'Data pick slip'!B:F,5,FALSE)</f>
        <v>KHJ-MC200-00</v>
      </c>
      <c r="F2654" s="157" t="s">
        <v>1381</v>
      </c>
      <c r="H2654" s="138">
        <v>1056</v>
      </c>
      <c r="I2654" s="139" t="str">
        <f>VLOOKUP(H2654,Stock_list!A:R,18,FALSE)</f>
        <v>永诺精密</v>
      </c>
      <c r="J2654" s="139" t="str">
        <f>VLOOKUP(H2654,Stock_list!A:S,17,FALSE)</f>
        <v>C49SZX20200260LC</v>
      </c>
      <c r="K2654" s="51" t="str">
        <f>VLOOKUP(H2654,Stock_list!A:T,16,FALSE)</f>
        <v>JPY</v>
      </c>
      <c r="L2654" s="4">
        <v>44259</v>
      </c>
      <c r="M2654" s="143">
        <v>4</v>
      </c>
      <c r="P2654" s="4" t="str">
        <f>VLOOKUP(H2654,Stock_list!A:Y,25,FALSE)</f>
        <v>Yes</v>
      </c>
      <c r="T2654" s="144"/>
      <c r="U2654" s="145" t="str">
        <f>VLOOKUP(H2654,Stock_list!A:N,14,FALSE)</f>
        <v>FEB 21</v>
      </c>
    </row>
    <row r="2655" spans="1:21" ht="16.5" customHeight="1">
      <c r="A2655" s="159" t="s">
        <v>2748</v>
      </c>
      <c r="B2655" s="114" t="str">
        <f>VLOOKUP(A2655,'Data pick slip'!B:F,5,FALSE)</f>
        <v>KHJ-MC400-00</v>
      </c>
      <c r="F2655" s="157" t="s">
        <v>1381</v>
      </c>
      <c r="H2655" s="138">
        <v>1056</v>
      </c>
      <c r="I2655" s="139" t="str">
        <f>VLOOKUP(H2655,Stock_list!A:R,18,FALSE)</f>
        <v>永诺精密</v>
      </c>
      <c r="J2655" s="139" t="str">
        <f>VLOOKUP(H2655,Stock_list!A:S,17,FALSE)</f>
        <v>C49SZX20200260LC</v>
      </c>
      <c r="K2655" s="51" t="str">
        <f>VLOOKUP(H2655,Stock_list!A:T,16,FALSE)</f>
        <v>JPY</v>
      </c>
      <c r="L2655" s="4">
        <v>44259</v>
      </c>
      <c r="M2655" s="143">
        <v>2</v>
      </c>
      <c r="P2655" s="4" t="str">
        <f>VLOOKUP(H2655,Stock_list!A:Y,25,FALSE)</f>
        <v>Yes</v>
      </c>
      <c r="T2655" s="144"/>
      <c r="U2655" s="145" t="str">
        <f>VLOOKUP(H2655,Stock_list!A:N,14,FALSE)</f>
        <v>FEB 21</v>
      </c>
    </row>
    <row r="2656" spans="1:21" ht="16.5" customHeight="1">
      <c r="A2656" s="159" t="s">
        <v>2744</v>
      </c>
      <c r="B2656" s="114" t="str">
        <f>VLOOKUP(A2656,'Data pick slip'!B:F,5,FALSE)</f>
        <v>KHJ-MC100-00</v>
      </c>
      <c r="F2656" s="157" t="s">
        <v>1381</v>
      </c>
      <c r="H2656" s="138">
        <v>1058</v>
      </c>
      <c r="I2656" s="139" t="str">
        <f>VLOOKUP(H2656,Stock_list!A:R,18,FALSE)</f>
        <v>利速达</v>
      </c>
      <c r="J2656" s="139" t="str">
        <f>VLOOKUP(H2656,Stock_list!A:S,17,FALSE)</f>
        <v>C49SZX20210002SX</v>
      </c>
      <c r="K2656" s="51" t="str">
        <f>VLOOKUP(H2656,Stock_list!A:T,16,FALSE)</f>
        <v>JPY</v>
      </c>
      <c r="L2656" s="4">
        <v>44309</v>
      </c>
      <c r="M2656" s="140">
        <v>30</v>
      </c>
      <c r="N2656" s="143"/>
      <c r="P2656" s="4" t="str">
        <f>VLOOKUP(H2656,Stock_list!A:Y,25,FALSE)</f>
        <v>Yes</v>
      </c>
      <c r="T2656" s="144"/>
      <c r="U2656" s="145" t="str">
        <f>VLOOKUP(H2656,Stock_list!A:N,14,FALSE)</f>
        <v>APR 21</v>
      </c>
    </row>
    <row r="2657" spans="1:21" ht="16.5" customHeight="1">
      <c r="A2657" s="159" t="s">
        <v>2747</v>
      </c>
      <c r="B2657" s="114" t="str">
        <f>VLOOKUP(A2657,'Data pick slip'!B:F,5,FALSE)</f>
        <v>KHJ-MC200-00</v>
      </c>
      <c r="F2657" s="157" t="s">
        <v>1381</v>
      </c>
      <c r="H2657" s="138">
        <v>1058</v>
      </c>
      <c r="I2657" s="139" t="str">
        <f>VLOOKUP(H2657,Stock_list!A:R,18,FALSE)</f>
        <v>利速达</v>
      </c>
      <c r="J2657" s="139" t="str">
        <f>VLOOKUP(H2657,Stock_list!A:S,17,FALSE)</f>
        <v>C49SZX20210002SX</v>
      </c>
      <c r="K2657" s="51" t="str">
        <f>VLOOKUP(H2657,Stock_list!A:T,16,FALSE)</f>
        <v>JPY</v>
      </c>
      <c r="L2657" s="4">
        <v>44309</v>
      </c>
      <c r="M2657" s="140">
        <v>5</v>
      </c>
      <c r="N2657" s="143"/>
      <c r="P2657" s="4" t="str">
        <f>VLOOKUP(H2657,Stock_list!A:Y,25,FALSE)</f>
        <v>Yes</v>
      </c>
      <c r="T2657" s="144"/>
      <c r="U2657" s="145" t="str">
        <f>VLOOKUP(H2657,Stock_list!A:N,14,FALSE)</f>
        <v>APR 21</v>
      </c>
    </row>
    <row r="2658" spans="1:21" ht="16.5" customHeight="1">
      <c r="A2658" s="159" t="s">
        <v>2760</v>
      </c>
      <c r="B2658" s="114" t="str">
        <f>VLOOKUP(A2658,'Data pick slip'!B:F,5,FALSE)</f>
        <v>KLJ-MC700-00</v>
      </c>
      <c r="F2658" s="157" t="s">
        <v>2773</v>
      </c>
      <c r="I2658" s="139" t="s">
        <v>3093</v>
      </c>
      <c r="J2658" s="139" t="s">
        <v>3408</v>
      </c>
      <c r="K2658" s="51" t="s">
        <v>1246</v>
      </c>
      <c r="L2658" s="4">
        <v>44201</v>
      </c>
      <c r="M2658" s="140">
        <v>1</v>
      </c>
      <c r="P2658" s="4" t="s">
        <v>291</v>
      </c>
      <c r="Q2658" s="143"/>
      <c r="T2658" s="144"/>
      <c r="U2658" s="145" t="e">
        <f>VLOOKUP(H2658,Stock_list!A:N,14,FALSE)</f>
        <v>#N/A</v>
      </c>
    </row>
    <row r="2659" spans="1:21" ht="16.5" customHeight="1">
      <c r="A2659" s="159" t="s">
        <v>2757</v>
      </c>
      <c r="B2659" s="114" t="str">
        <f>VLOOKUP(A2659,'Data pick slip'!B:F,5,FALSE)</f>
        <v>KLJ-MC400-00</v>
      </c>
      <c r="F2659" s="157" t="s">
        <v>2773</v>
      </c>
      <c r="I2659" s="139" t="s">
        <v>3099</v>
      </c>
      <c r="J2659" s="139" t="s">
        <v>3409</v>
      </c>
      <c r="K2659" s="51" t="s">
        <v>1246</v>
      </c>
      <c r="L2659" s="4">
        <v>44200</v>
      </c>
      <c r="M2659" s="140">
        <v>1</v>
      </c>
      <c r="P2659" s="4" t="s">
        <v>291</v>
      </c>
      <c r="Q2659" s="143"/>
      <c r="T2659" s="144"/>
      <c r="U2659" s="145" t="e">
        <f>VLOOKUP(H2659,Stock_list!A:N,14,FALSE)</f>
        <v>#N/A</v>
      </c>
    </row>
    <row r="2660" spans="1:21" ht="16.5" customHeight="1">
      <c r="A2660" s="159" t="s">
        <v>2756</v>
      </c>
      <c r="B2660" s="114" t="str">
        <f>VLOOKUP(A2660,'Data pick slip'!B:F,5,FALSE)</f>
        <v>KLJ-MC200-00</v>
      </c>
      <c r="F2660" s="157" t="s">
        <v>2773</v>
      </c>
      <c r="I2660" s="139" t="s">
        <v>3099</v>
      </c>
      <c r="J2660" s="139" t="s">
        <v>3409</v>
      </c>
      <c r="K2660" s="51" t="s">
        <v>1246</v>
      </c>
      <c r="L2660" s="4">
        <v>44200</v>
      </c>
      <c r="M2660" s="140">
        <v>4</v>
      </c>
      <c r="P2660" s="4" t="s">
        <v>291</v>
      </c>
      <c r="Q2660" s="143"/>
      <c r="T2660" s="144"/>
      <c r="U2660" s="145" t="e">
        <f>VLOOKUP(H2660,Stock_list!A:N,14,FALSE)</f>
        <v>#N/A</v>
      </c>
    </row>
    <row r="2661" spans="1:21" ht="16.5" customHeight="1">
      <c r="A2661" s="159" t="s">
        <v>2744</v>
      </c>
      <c r="B2661" s="114" t="str">
        <f>VLOOKUP(A2661,'Data pick slip'!B:F,5,FALSE)</f>
        <v>KHJ-MC100-00</v>
      </c>
      <c r="F2661" s="157" t="s">
        <v>1381</v>
      </c>
      <c r="H2661" s="138">
        <v>1057</v>
      </c>
      <c r="I2661" s="139" t="str">
        <f>VLOOKUP(H2661,Stock_list!A:R,18,FALSE)</f>
        <v>乐凡电子</v>
      </c>
      <c r="J2661" s="139" t="str">
        <f>VLOOKUP(H2661,Stock_list!A:S,17,FALSE)</f>
        <v>C49SZX20210001SS</v>
      </c>
      <c r="K2661" s="51" t="str">
        <f>VLOOKUP(H2661,Stock_list!A:T,16,FALSE)</f>
        <v>JPY</v>
      </c>
      <c r="L2661" s="4">
        <v>44294</v>
      </c>
      <c r="M2661" s="132">
        <v>6</v>
      </c>
      <c r="P2661" s="4" t="str">
        <f>VLOOKUP(H2661,Stock_list!A:Y,25,FALSE)</f>
        <v>Yes</v>
      </c>
      <c r="Q2661" s="143"/>
      <c r="T2661" s="144"/>
      <c r="U2661" s="145" t="str">
        <f>VLOOKUP(H2661,Stock_list!A:N,14,FALSE)</f>
        <v>APR 21</v>
      </c>
    </row>
    <row r="2662" spans="1:21">
      <c r="A2662" s="159" t="s">
        <v>2744</v>
      </c>
      <c r="B2662" s="114" t="str">
        <f>VLOOKUP(A2662,'Data pick slip'!B:F,5,FALSE)</f>
        <v>KHJ-MC100-00</v>
      </c>
      <c r="F2662" s="157" t="s">
        <v>2861</v>
      </c>
      <c r="H2662" s="138">
        <v>1044</v>
      </c>
      <c r="I2662" s="139" t="str">
        <f>VLOOKUP(H2662,Stock_list!A:R,18,FALSE)</f>
        <v>凌鑫</v>
      </c>
      <c r="J2662" s="139" t="str">
        <f>VLOOKUP(H2662,Stock_list!A:S,17,FALSE)</f>
        <v>C49SZX20200249SX</v>
      </c>
      <c r="K2662" s="51" t="str">
        <f>VLOOKUP(H2662,Stock_list!A:T,16,FALSE)</f>
        <v>JPY</v>
      </c>
      <c r="L2662" s="141">
        <v>44299</v>
      </c>
      <c r="M2662" s="132">
        <v>32</v>
      </c>
      <c r="P2662" s="4" t="str">
        <f>VLOOKUP(H2662,Stock_list!A:Y,25,FALSE)</f>
        <v>Yes</v>
      </c>
      <c r="U2662" s="145" t="str">
        <f>VLOOKUP(H2662,Stock_list!A:N,14,FALSE)</f>
        <v>APR 21</v>
      </c>
    </row>
    <row r="2663" spans="1:21">
      <c r="A2663" s="159" t="s">
        <v>2747</v>
      </c>
      <c r="B2663" s="114" t="str">
        <f>VLOOKUP(A2663,'Data pick slip'!B:F,5,FALSE)</f>
        <v>KHJ-MC200-00</v>
      </c>
      <c r="F2663" s="157" t="s">
        <v>2861</v>
      </c>
      <c r="H2663" s="138">
        <v>1044</v>
      </c>
      <c r="I2663" s="139" t="str">
        <f>VLOOKUP(H2663,Stock_list!A:R,18,FALSE)</f>
        <v>凌鑫</v>
      </c>
      <c r="J2663" s="139" t="str">
        <f>VLOOKUP(H2663,Stock_list!A:S,17,FALSE)</f>
        <v>C49SZX20200249SX</v>
      </c>
      <c r="K2663" s="51" t="str">
        <f>VLOOKUP(H2663,Stock_list!A:T,16,FALSE)</f>
        <v>JPY</v>
      </c>
      <c r="L2663" s="141">
        <v>44299</v>
      </c>
      <c r="M2663" s="132">
        <v>5</v>
      </c>
      <c r="P2663" s="4" t="str">
        <f>VLOOKUP(H2663,Stock_list!A:Y,25,FALSE)</f>
        <v>Yes</v>
      </c>
      <c r="U2663" s="145" t="str">
        <f>VLOOKUP(H2663,Stock_list!A:N,14,FALSE)</f>
        <v>APR 21</v>
      </c>
    </row>
    <row r="2664" spans="1:21" ht="16.5" customHeight="1">
      <c r="A2664" s="159" t="s">
        <v>2756</v>
      </c>
      <c r="B2664" s="114" t="str">
        <f>VLOOKUP(A2664,'Data pick slip'!B:F,5,FALSE)</f>
        <v>KLJ-MC200-00</v>
      </c>
      <c r="F2664" s="157" t="s">
        <v>2753</v>
      </c>
      <c r="I2664" s="139" t="s">
        <v>3099</v>
      </c>
      <c r="J2664" s="139" t="s">
        <v>3410</v>
      </c>
      <c r="K2664" s="51" t="s">
        <v>1246</v>
      </c>
      <c r="L2664" s="4">
        <v>44195</v>
      </c>
      <c r="M2664" s="140">
        <v>5</v>
      </c>
      <c r="P2664" s="4" t="s">
        <v>291</v>
      </c>
      <c r="Q2664" s="143"/>
      <c r="T2664" s="144"/>
      <c r="U2664" s="145" t="e">
        <f>VLOOKUP(H2664,Stock_list!A:N,14,FALSE)</f>
        <v>#N/A</v>
      </c>
    </row>
    <row r="2665" spans="1:21" ht="16.5" customHeight="1">
      <c r="A2665" s="159" t="s">
        <v>2744</v>
      </c>
      <c r="B2665" s="114" t="str">
        <f>VLOOKUP(A2665,'Data pick slip'!B:F,5,FALSE)</f>
        <v>KHJ-MC100-00</v>
      </c>
      <c r="F2665" s="157" t="s">
        <v>1381</v>
      </c>
      <c r="H2665" s="138">
        <v>1059</v>
      </c>
      <c r="I2665" s="139" t="str">
        <f>VLOOKUP(H2665,Stock_list!A:R,18,FALSE)</f>
        <v>品诚伟创</v>
      </c>
      <c r="J2665" s="139" t="str">
        <f>VLOOKUP(H2665,Stock_list!A:S,17,FALSE)</f>
        <v>C49SZX20210005SX</v>
      </c>
      <c r="K2665" s="51" t="str">
        <f>VLOOKUP(H2665,Stock_list!A:T,16,FALSE)</f>
        <v>JPY</v>
      </c>
      <c r="L2665" s="4">
        <v>44295</v>
      </c>
      <c r="M2665" s="132">
        <v>25</v>
      </c>
      <c r="P2665" s="4" t="str">
        <f>VLOOKUP(H2665,Stock_list!A:Y,25,FALSE)</f>
        <v>Yes</v>
      </c>
      <c r="Q2665" s="143"/>
      <c r="T2665" s="144"/>
      <c r="U2665" s="145" t="str">
        <f>VLOOKUP(H2665,Stock_list!A:N,14,FALSE)</f>
        <v>APR 21</v>
      </c>
    </row>
    <row r="2666" spans="1:21" ht="16.5" customHeight="1">
      <c r="A2666" s="159" t="s">
        <v>2747</v>
      </c>
      <c r="B2666" s="114" t="str">
        <f>VLOOKUP(A2666,'Data pick slip'!B:F,5,FALSE)</f>
        <v>KHJ-MC200-00</v>
      </c>
      <c r="F2666" s="157" t="s">
        <v>1381</v>
      </c>
      <c r="H2666" s="138">
        <v>1059</v>
      </c>
      <c r="I2666" s="139" t="str">
        <f>VLOOKUP(H2666,Stock_list!A:R,18,FALSE)</f>
        <v>品诚伟创</v>
      </c>
      <c r="J2666" s="139" t="str">
        <f>VLOOKUP(H2666,Stock_list!A:S,17,FALSE)</f>
        <v>C49SZX20210005SX</v>
      </c>
      <c r="K2666" s="51" t="str">
        <f>VLOOKUP(H2666,Stock_list!A:T,16,FALSE)</f>
        <v>JPY</v>
      </c>
      <c r="L2666" s="4">
        <v>44295</v>
      </c>
      <c r="M2666" s="132">
        <v>8</v>
      </c>
      <c r="P2666" s="4" t="str">
        <f>VLOOKUP(H2666,Stock_list!A:Y,25,FALSE)</f>
        <v>Yes</v>
      </c>
      <c r="Q2666" s="143"/>
      <c r="T2666" s="144"/>
      <c r="U2666" s="145" t="str">
        <f>VLOOKUP(H2666,Stock_list!A:N,14,FALSE)</f>
        <v>APR 21</v>
      </c>
    </row>
    <row r="2667" spans="1:21" ht="16.5" customHeight="1">
      <c r="A2667" s="159" t="s">
        <v>2748</v>
      </c>
      <c r="B2667" s="114" t="str">
        <f>VLOOKUP(A2667,'Data pick slip'!B:F,5,FALSE)</f>
        <v>KHJ-MC400-00</v>
      </c>
      <c r="F2667" s="157" t="s">
        <v>2753</v>
      </c>
      <c r="H2667" s="138">
        <v>1059</v>
      </c>
      <c r="I2667" s="139" t="str">
        <f>VLOOKUP(H2667,Stock_list!A:R,18,FALSE)</f>
        <v>品诚伟创</v>
      </c>
      <c r="J2667" s="139" t="str">
        <f>VLOOKUP(H2667,Stock_list!A:S,17,FALSE)</f>
        <v>C49SZX20210005SX</v>
      </c>
      <c r="K2667" s="51" t="str">
        <f>VLOOKUP(H2667,Stock_list!A:T,16,FALSE)</f>
        <v>JPY</v>
      </c>
      <c r="L2667" s="4">
        <v>44295</v>
      </c>
      <c r="M2667" s="132">
        <v>2</v>
      </c>
      <c r="P2667" s="4" t="str">
        <f>VLOOKUP(H2667,Stock_list!A:Y,25,FALSE)</f>
        <v>Yes</v>
      </c>
      <c r="Q2667" s="143"/>
      <c r="S2667" s="123" t="s">
        <v>3003</v>
      </c>
      <c r="T2667" s="284" t="s">
        <v>3411</v>
      </c>
      <c r="U2667" s="145" t="str">
        <f>VLOOKUP(H2667,Stock_list!A:N,14,FALSE)</f>
        <v>APR 21</v>
      </c>
    </row>
    <row r="2668" spans="1:21" ht="16.5" customHeight="1">
      <c r="A2668" s="159" t="s">
        <v>2744</v>
      </c>
      <c r="B2668" s="114" t="str">
        <f>VLOOKUP(A2668,'Data pick slip'!B:F,5,FALSE)</f>
        <v>KHJ-MC100-00</v>
      </c>
      <c r="F2668" s="157" t="s">
        <v>2753</v>
      </c>
      <c r="H2668" s="138">
        <v>1061</v>
      </c>
      <c r="I2668" s="139" t="str">
        <f>VLOOKUP(H2668,Stock_list!A:R,18,FALSE)</f>
        <v>赛维显示</v>
      </c>
      <c r="J2668" s="139" t="str">
        <f>VLOOKUP(H2668,Stock_list!A:S,17,FALSE)</f>
        <v>C49SZX20210007DZ</v>
      </c>
      <c r="K2668" s="51" t="str">
        <f>VLOOKUP(H2668,Stock_list!A:T,16,FALSE)</f>
        <v>RMB</v>
      </c>
      <c r="L2668" s="4">
        <v>44313</v>
      </c>
      <c r="M2668" s="132">
        <v>90</v>
      </c>
      <c r="P2668" s="4" t="str">
        <f>VLOOKUP(H2668,Stock_list!A:Y,25,FALSE)</f>
        <v>Yes</v>
      </c>
      <c r="T2668" s="144"/>
      <c r="U2668" s="145" t="str">
        <f>VLOOKUP(H2668,Stock_list!A:N,14,FALSE)</f>
        <v>APR 21</v>
      </c>
    </row>
    <row r="2669" spans="1:21" ht="16.5" customHeight="1">
      <c r="A2669" s="159" t="s">
        <v>2747</v>
      </c>
      <c r="B2669" s="114" t="str">
        <f>VLOOKUP(A2669,'Data pick slip'!B:F,5,FALSE)</f>
        <v>KHJ-MC200-00</v>
      </c>
      <c r="F2669" s="157" t="s">
        <v>2753</v>
      </c>
      <c r="H2669" s="138">
        <v>1061</v>
      </c>
      <c r="I2669" s="139" t="str">
        <f>VLOOKUP(H2669,Stock_list!A:R,18,FALSE)</f>
        <v>赛维显示</v>
      </c>
      <c r="J2669" s="139" t="str">
        <f>VLOOKUP(H2669,Stock_list!A:S,17,FALSE)</f>
        <v>C49SZX20210007DZ</v>
      </c>
      <c r="K2669" s="51" t="str">
        <f>VLOOKUP(H2669,Stock_list!A:T,16,FALSE)</f>
        <v>RMB</v>
      </c>
      <c r="L2669" s="4">
        <v>44313</v>
      </c>
      <c r="M2669" s="132">
        <v>30</v>
      </c>
      <c r="P2669" s="4" t="str">
        <f>VLOOKUP(H2669,Stock_list!A:Y,25,FALSE)</f>
        <v>Yes</v>
      </c>
      <c r="T2669" s="144"/>
      <c r="U2669" s="145" t="str">
        <f>VLOOKUP(H2669,Stock_list!A:N,14,FALSE)</f>
        <v>APR 21</v>
      </c>
    </row>
    <row r="2670" spans="1:21" ht="16.5" customHeight="1">
      <c r="A2670" s="159" t="s">
        <v>2744</v>
      </c>
      <c r="B2670" s="114" t="str">
        <f>VLOOKUP(A2670,'Data pick slip'!B:F,5,FALSE)</f>
        <v>KHJ-MC100-00</v>
      </c>
      <c r="F2670" s="157" t="s">
        <v>1381</v>
      </c>
      <c r="H2670" s="138">
        <v>1067</v>
      </c>
      <c r="I2670" s="139" t="str">
        <f>VLOOKUP(H2670,Stock_list!A:R,18,FALSE)</f>
        <v>泰润</v>
      </c>
      <c r="J2670" s="139" t="str">
        <f>VLOOKUP(H2670,Stock_list!A:S,17,FALSE)</f>
        <v>C49SZX20210013SS</v>
      </c>
      <c r="K2670" s="51" t="str">
        <f>VLOOKUP(H2670,Stock_list!A:T,16,FALSE)</f>
        <v>JPY</v>
      </c>
      <c r="L2670" s="4">
        <v>44336</v>
      </c>
      <c r="M2670" s="132">
        <v>45</v>
      </c>
      <c r="P2670" s="4" t="str">
        <f>VLOOKUP(H2670,Stock_list!A:Y,25,FALSE)</f>
        <v>Yes</v>
      </c>
      <c r="T2670" s="144"/>
      <c r="U2670" s="145" t="str">
        <f>VLOOKUP(H2670,Stock_list!A:N,14,FALSE)</f>
        <v>MAY 21</v>
      </c>
    </row>
    <row r="2671" spans="1:21" ht="16.5" customHeight="1">
      <c r="A2671" s="159" t="s">
        <v>2747</v>
      </c>
      <c r="B2671" s="114" t="str">
        <f>VLOOKUP(A2671,'Data pick slip'!B:F,5,FALSE)</f>
        <v>KHJ-MC200-00</v>
      </c>
      <c r="F2671" s="157" t="s">
        <v>1381</v>
      </c>
      <c r="H2671" s="138">
        <v>1067</v>
      </c>
      <c r="I2671" s="139" t="str">
        <f>VLOOKUP(H2671,Stock_list!A:R,18,FALSE)</f>
        <v>泰润</v>
      </c>
      <c r="J2671" s="139" t="str">
        <f>VLOOKUP(H2671,Stock_list!A:S,17,FALSE)</f>
        <v>C49SZX20210013SS</v>
      </c>
      <c r="K2671" s="51" t="str">
        <f>VLOOKUP(H2671,Stock_list!A:T,16,FALSE)</f>
        <v>JPY</v>
      </c>
      <c r="L2671" s="4">
        <v>44336</v>
      </c>
      <c r="M2671" s="132">
        <v>10</v>
      </c>
      <c r="P2671" s="4" t="str">
        <f>VLOOKUP(H2671,Stock_list!A:Y,25,FALSE)</f>
        <v>Yes</v>
      </c>
      <c r="T2671" s="144"/>
      <c r="U2671" s="145" t="str">
        <f>VLOOKUP(H2671,Stock_list!A:N,14,FALSE)</f>
        <v>MAY 21</v>
      </c>
    </row>
    <row r="2672" spans="1:21" ht="16.5" customHeight="1">
      <c r="A2672" s="159" t="s">
        <v>2748</v>
      </c>
      <c r="B2672" s="114" t="str">
        <f>VLOOKUP(A2672,'Data pick slip'!B:F,5,FALSE)</f>
        <v>KHJ-MC400-00</v>
      </c>
      <c r="F2672" s="157" t="s">
        <v>1381</v>
      </c>
      <c r="H2672" s="138">
        <v>1067</v>
      </c>
      <c r="I2672" s="139" t="str">
        <f>VLOOKUP(H2672,Stock_list!A:R,18,FALSE)</f>
        <v>泰润</v>
      </c>
      <c r="J2672" s="139" t="str">
        <f>VLOOKUP(H2672,Stock_list!A:S,17,FALSE)</f>
        <v>C49SZX20210013SS</v>
      </c>
      <c r="K2672" s="51" t="str">
        <f>VLOOKUP(H2672,Stock_list!A:T,16,FALSE)</f>
        <v>JPY</v>
      </c>
      <c r="L2672" s="4">
        <v>44336</v>
      </c>
      <c r="M2672" s="132">
        <v>2</v>
      </c>
      <c r="P2672" s="4" t="str">
        <f>VLOOKUP(H2672,Stock_list!A:Y,25,FALSE)</f>
        <v>Yes</v>
      </c>
      <c r="T2672" s="144"/>
      <c r="U2672" s="145" t="str">
        <f>VLOOKUP(H2672,Stock_list!A:N,14,FALSE)</f>
        <v>MAY 21</v>
      </c>
    </row>
    <row r="2673" spans="1:21" ht="16.5" customHeight="1">
      <c r="A2673" s="159" t="s">
        <v>2744</v>
      </c>
      <c r="B2673" s="114" t="str">
        <f>VLOOKUP(A2673,'Data pick slip'!B:F,5,FALSE)</f>
        <v>KHJ-MC100-00</v>
      </c>
      <c r="F2673" s="157" t="s">
        <v>1381</v>
      </c>
      <c r="H2673" s="138">
        <v>1071</v>
      </c>
      <c r="I2673" s="139" t="str">
        <f>VLOOKUP(H2673,Stock_list!A:R,18,FALSE)</f>
        <v>奥视通</v>
      </c>
      <c r="J2673" s="139" t="str">
        <f>VLOOKUP(H2673,Stock_list!A:S,17,FALSE)</f>
        <v>C49SZX20210009MZ</v>
      </c>
      <c r="K2673" s="51" t="str">
        <f>VLOOKUP(H2673,Stock_list!A:T,16,FALSE)</f>
        <v>JPY</v>
      </c>
      <c r="L2673" s="4">
        <v>44334</v>
      </c>
      <c r="M2673" s="132">
        <v>120</v>
      </c>
      <c r="P2673" s="4" t="str">
        <f>VLOOKUP(H2673,Stock_list!A:Y,25,FALSE)</f>
        <v>Yes</v>
      </c>
      <c r="T2673" s="144"/>
      <c r="U2673" s="145" t="str">
        <f>VLOOKUP(H2673,Stock_list!A:N,14,FALSE)</f>
        <v>MAY 21</v>
      </c>
    </row>
    <row r="2674" spans="1:21" ht="16.5" customHeight="1">
      <c r="A2674" s="159" t="s">
        <v>2747</v>
      </c>
      <c r="B2674" s="114" t="str">
        <f>VLOOKUP(A2674,'Data pick slip'!B:F,5,FALSE)</f>
        <v>KHJ-MC200-00</v>
      </c>
      <c r="F2674" s="157" t="s">
        <v>1381</v>
      </c>
      <c r="H2674" s="138">
        <v>1071</v>
      </c>
      <c r="I2674" s="139" t="str">
        <f>VLOOKUP(H2674,Stock_list!A:R,18,FALSE)</f>
        <v>奥视通</v>
      </c>
      <c r="J2674" s="139" t="str">
        <f>VLOOKUP(H2674,Stock_list!A:S,17,FALSE)</f>
        <v>C49SZX20210009MZ</v>
      </c>
      <c r="K2674" s="51" t="str">
        <f>VLOOKUP(H2674,Stock_list!A:T,16,FALSE)</f>
        <v>JPY</v>
      </c>
      <c r="L2674" s="4">
        <v>44334</v>
      </c>
      <c r="M2674" s="132">
        <v>25</v>
      </c>
      <c r="P2674" s="4" t="str">
        <f>VLOOKUP(H2674,Stock_list!A:Y,25,FALSE)</f>
        <v>Yes</v>
      </c>
      <c r="T2674" s="144"/>
      <c r="U2674" s="145" t="str">
        <f>VLOOKUP(H2674,Stock_list!A:N,14,FALSE)</f>
        <v>MAY 21</v>
      </c>
    </row>
    <row r="2675" spans="1:21" ht="16.5" customHeight="1">
      <c r="A2675" s="159" t="s">
        <v>2748</v>
      </c>
      <c r="B2675" s="114" t="str">
        <f>VLOOKUP(A2675,'Data pick slip'!B:F,5,FALSE)</f>
        <v>KHJ-MC400-00</v>
      </c>
      <c r="F2675" s="157" t="s">
        <v>1381</v>
      </c>
      <c r="H2675" s="138">
        <v>1071</v>
      </c>
      <c r="I2675" s="139" t="str">
        <f>VLOOKUP(H2675,Stock_list!A:R,18,FALSE)</f>
        <v>奥视通</v>
      </c>
      <c r="J2675" s="139" t="str">
        <f>VLOOKUP(H2675,Stock_list!A:S,17,FALSE)</f>
        <v>C49SZX20210009MZ</v>
      </c>
      <c r="K2675" s="51" t="str">
        <f>VLOOKUP(H2675,Stock_list!A:T,16,FALSE)</f>
        <v>JPY</v>
      </c>
      <c r="L2675" s="4">
        <v>44334</v>
      </c>
      <c r="M2675" s="132">
        <v>6</v>
      </c>
      <c r="P2675" s="4" t="str">
        <f>VLOOKUP(H2675,Stock_list!A:Y,25,FALSE)</f>
        <v>Yes</v>
      </c>
      <c r="T2675" s="144"/>
      <c r="U2675" s="145" t="str">
        <f>VLOOKUP(H2675,Stock_list!A:N,14,FALSE)</f>
        <v>MAY 21</v>
      </c>
    </row>
    <row r="2676" spans="1:21" ht="16.5" customHeight="1">
      <c r="A2676" s="159" t="s">
        <v>2749</v>
      </c>
      <c r="B2676" s="114" t="str">
        <f>VLOOKUP(A2676,'Data pick slip'!B:F,5,FALSE)</f>
        <v>KHJ-MC500-00</v>
      </c>
      <c r="F2676" s="157" t="s">
        <v>1381</v>
      </c>
      <c r="H2676" s="138">
        <v>1071</v>
      </c>
      <c r="I2676" s="139" t="str">
        <f>VLOOKUP(H2676,Stock_list!A:R,18,FALSE)</f>
        <v>奥视通</v>
      </c>
      <c r="J2676" s="139" t="str">
        <f>VLOOKUP(H2676,Stock_list!A:S,17,FALSE)</f>
        <v>C49SZX20210009MZ</v>
      </c>
      <c r="K2676" s="51" t="str">
        <f>VLOOKUP(H2676,Stock_list!A:T,16,FALSE)</f>
        <v>JPY</v>
      </c>
      <c r="L2676" s="4">
        <v>44334</v>
      </c>
      <c r="M2676" s="132">
        <v>3</v>
      </c>
      <c r="P2676" s="4" t="str">
        <f>VLOOKUP(H2676,Stock_list!A:Y,25,FALSE)</f>
        <v>Yes</v>
      </c>
      <c r="T2676" s="144"/>
      <c r="U2676" s="145" t="str">
        <f>VLOOKUP(H2676,Stock_list!A:N,14,FALSE)</f>
        <v>MAY 21</v>
      </c>
    </row>
    <row r="2677" spans="1:21" ht="16.5" customHeight="1">
      <c r="A2677" s="159" t="s">
        <v>2750</v>
      </c>
      <c r="B2677" s="114" t="str">
        <f>VLOOKUP(A2677,'Data pick slip'!B:F,5,FALSE)</f>
        <v>KHJ-MC600-00</v>
      </c>
      <c r="F2677" s="157" t="s">
        <v>1381</v>
      </c>
      <c r="H2677" s="138">
        <v>1071</v>
      </c>
      <c r="I2677" s="139" t="str">
        <f>VLOOKUP(H2677,Stock_list!A:R,18,FALSE)</f>
        <v>奥视通</v>
      </c>
      <c r="J2677" s="139" t="str">
        <f>VLOOKUP(H2677,Stock_list!A:S,17,FALSE)</f>
        <v>C49SZX20210009MZ</v>
      </c>
      <c r="K2677" s="51" t="str">
        <f>VLOOKUP(H2677,Stock_list!A:T,16,FALSE)</f>
        <v>JPY</v>
      </c>
      <c r="L2677" s="4">
        <v>44334</v>
      </c>
      <c r="M2677" s="132">
        <v>3</v>
      </c>
      <c r="P2677" s="4" t="str">
        <f>VLOOKUP(H2677,Stock_list!A:Y,25,FALSE)</f>
        <v>Yes</v>
      </c>
      <c r="T2677" s="144"/>
      <c r="U2677" s="145" t="str">
        <f>VLOOKUP(H2677,Stock_list!A:N,14,FALSE)</f>
        <v>MAY 21</v>
      </c>
    </row>
    <row r="2678" spans="1:21" ht="16.5" customHeight="1">
      <c r="A2678" s="159" t="s">
        <v>2744</v>
      </c>
      <c r="B2678" s="114" t="str">
        <f>VLOOKUP(A2678,'Data pick slip'!B:F,5,FALSE)</f>
        <v>KHJ-MC100-00</v>
      </c>
      <c r="F2678" s="157" t="s">
        <v>1381</v>
      </c>
      <c r="H2678" s="138">
        <v>1078</v>
      </c>
      <c r="I2678" s="139" t="str">
        <f>VLOOKUP(H2678,Stock_list!A:R,18,FALSE)</f>
        <v>巨鑫电子</v>
      </c>
      <c r="J2678" s="139" t="str">
        <f>VLOOKUP(H2678,Stock_list!A:S,17,FALSE)</f>
        <v>C49SZX20210025DZ</v>
      </c>
      <c r="K2678" s="51" t="str">
        <f>VLOOKUP(H2678,Stock_list!A:T,16,FALSE)</f>
        <v>JPY</v>
      </c>
      <c r="L2678" s="4">
        <v>44250</v>
      </c>
      <c r="M2678" s="132">
        <v>30</v>
      </c>
      <c r="P2678" s="4" t="str">
        <f>VLOOKUP(H2678,Stock_list!A:Y,25,FALSE)</f>
        <v>Yes</v>
      </c>
      <c r="T2678" s="144"/>
      <c r="U2678" s="145" t="str">
        <f>VLOOKUP(H2678,Stock_list!A:N,14,FALSE)</f>
        <v>FEB 21</v>
      </c>
    </row>
    <row r="2679" spans="1:21" ht="16.5" customHeight="1">
      <c r="A2679" s="159" t="s">
        <v>2747</v>
      </c>
      <c r="B2679" s="114" t="str">
        <f>VLOOKUP(A2679,'Data pick slip'!B:F,5,FALSE)</f>
        <v>KHJ-MC200-00</v>
      </c>
      <c r="F2679" s="157" t="s">
        <v>1381</v>
      </c>
      <c r="H2679" s="138">
        <v>1078</v>
      </c>
      <c r="I2679" s="139" t="str">
        <f>VLOOKUP(H2679,Stock_list!A:R,18,FALSE)</f>
        <v>巨鑫电子</v>
      </c>
      <c r="J2679" s="139" t="str">
        <f>VLOOKUP(H2679,Stock_list!A:S,17,FALSE)</f>
        <v>C49SZX20210025DZ</v>
      </c>
      <c r="K2679" s="51" t="str">
        <f>VLOOKUP(H2679,Stock_list!A:T,16,FALSE)</f>
        <v>JPY</v>
      </c>
      <c r="L2679" s="4">
        <v>44250</v>
      </c>
      <c r="M2679" s="132">
        <v>4</v>
      </c>
      <c r="P2679" s="4" t="str">
        <f>VLOOKUP(H2679,Stock_list!A:Y,25,FALSE)</f>
        <v>Yes</v>
      </c>
      <c r="T2679" s="144"/>
      <c r="U2679" s="145" t="str">
        <f>VLOOKUP(H2679,Stock_list!A:N,14,FALSE)</f>
        <v>FEB 21</v>
      </c>
    </row>
    <row r="2680" spans="1:21" ht="16.5" customHeight="1">
      <c r="A2680" s="159" t="s">
        <v>2748</v>
      </c>
      <c r="B2680" s="114" t="str">
        <f>VLOOKUP(A2680,'Data pick slip'!B:F,5,FALSE)</f>
        <v>KHJ-MC400-00</v>
      </c>
      <c r="F2680" s="157" t="s">
        <v>1381</v>
      </c>
      <c r="H2680" s="138">
        <v>1078</v>
      </c>
      <c r="I2680" s="139" t="str">
        <f>VLOOKUP(H2680,Stock_list!A:R,18,FALSE)</f>
        <v>巨鑫电子</v>
      </c>
      <c r="J2680" s="139" t="str">
        <f>VLOOKUP(H2680,Stock_list!A:S,17,FALSE)</f>
        <v>C49SZX20210025DZ</v>
      </c>
      <c r="K2680" s="51" t="str">
        <f>VLOOKUP(H2680,Stock_list!A:T,16,FALSE)</f>
        <v>JPY</v>
      </c>
      <c r="L2680" s="4">
        <v>44250</v>
      </c>
      <c r="M2680" s="132">
        <v>1</v>
      </c>
      <c r="P2680" s="4" t="str">
        <f>VLOOKUP(H2680,Stock_list!A:Y,25,FALSE)</f>
        <v>Yes</v>
      </c>
      <c r="T2680" s="144"/>
      <c r="U2680" s="145" t="str">
        <f>VLOOKUP(H2680,Stock_list!A:N,14,FALSE)</f>
        <v>FEB 21</v>
      </c>
    </row>
    <row r="2681" spans="1:21" ht="16.5" customHeight="1">
      <c r="A2681" s="159" t="s">
        <v>2757</v>
      </c>
      <c r="B2681" s="114" t="str">
        <f>VLOOKUP(A2681,'Data pick slip'!B:F,5,FALSE)</f>
        <v>KLJ-MC400-00</v>
      </c>
      <c r="F2681" s="157" t="s">
        <v>2753</v>
      </c>
      <c r="I2681" s="139" t="s">
        <v>3099</v>
      </c>
      <c r="J2681" s="267" t="s">
        <v>3412</v>
      </c>
      <c r="K2681" s="51" t="s">
        <v>1246</v>
      </c>
      <c r="L2681" s="4">
        <v>44222</v>
      </c>
      <c r="M2681" s="140">
        <v>3</v>
      </c>
      <c r="P2681" s="4" t="s">
        <v>291</v>
      </c>
      <c r="T2681" s="144"/>
      <c r="U2681" s="145" t="e">
        <f>VLOOKUP(H2681,Stock_list!A:N,14,FALSE)</f>
        <v>#N/A</v>
      </c>
    </row>
    <row r="2682" spans="1:21" ht="16.5" customHeight="1">
      <c r="A2682" s="159" t="s">
        <v>2744</v>
      </c>
      <c r="B2682" s="114" t="str">
        <f>VLOOKUP(A2682,'Data pick slip'!B:F,5,FALSE)</f>
        <v>KHJ-MC100-00</v>
      </c>
      <c r="F2682" s="157" t="s">
        <v>1381</v>
      </c>
      <c r="H2682" s="138">
        <v>1088</v>
      </c>
      <c r="I2682" s="139" t="str">
        <f>VLOOKUP(H2682,Stock_list!A:R,18,FALSE)</f>
        <v>锂动力</v>
      </c>
      <c r="J2682" s="139" t="str">
        <f>VLOOKUP(H2682,Stock_list!A:S,17,FALSE)</f>
        <v>C49SZX20210029SS</v>
      </c>
      <c r="K2682" s="51" t="str">
        <f>VLOOKUP(H2682,Stock_list!A:T,16,FALSE)</f>
        <v>JPY</v>
      </c>
      <c r="L2682" s="4">
        <v>44329</v>
      </c>
      <c r="M2682" s="140">
        <v>2</v>
      </c>
      <c r="P2682" s="4" t="str">
        <f>VLOOKUP(H2682,Stock_list!A:Y,25,FALSE)</f>
        <v>Yes</v>
      </c>
      <c r="Q2682" s="143"/>
      <c r="T2682" s="144"/>
      <c r="U2682" s="145" t="str">
        <f>VLOOKUP(H2682,Stock_list!A:N,14,FALSE)</f>
        <v>MAY 21</v>
      </c>
    </row>
    <row r="2683" spans="1:21" ht="16.5" customHeight="1">
      <c r="A2683" s="159" t="s">
        <v>2744</v>
      </c>
      <c r="B2683" s="114" t="str">
        <f>VLOOKUP(A2683,'Data pick slip'!B:F,5,FALSE)</f>
        <v>KHJ-MC100-00</v>
      </c>
      <c r="F2683" s="157" t="s">
        <v>2753</v>
      </c>
      <c r="H2683" s="138">
        <v>1089</v>
      </c>
      <c r="I2683" s="139" t="str">
        <f>VLOOKUP(H2683,Stock_list!A:R,18,FALSE)</f>
        <v>保凌</v>
      </c>
      <c r="J2683" s="139" t="str">
        <f>VLOOKUP(H2683,Stock_list!A:S,17,FALSE)</f>
        <v>C49SZX20210015SS</v>
      </c>
      <c r="K2683" s="51" t="str">
        <f>VLOOKUP(H2683,Stock_list!A:T,16,FALSE)</f>
        <v>RMB</v>
      </c>
      <c r="L2683" s="4">
        <v>44407</v>
      </c>
      <c r="M2683" s="132">
        <v>30</v>
      </c>
      <c r="P2683" s="4" t="str">
        <f>VLOOKUP(H2683,Stock_list!A:Y,25,FALSE)</f>
        <v>Yes</v>
      </c>
      <c r="T2683" s="144"/>
      <c r="U2683" s="145" t="str">
        <f>VLOOKUP(H2683,Stock_list!A:N,14,FALSE)</f>
        <v>JUL 21</v>
      </c>
    </row>
    <row r="2684" spans="1:21" ht="16.5" customHeight="1">
      <c r="A2684" s="159" t="s">
        <v>2747</v>
      </c>
      <c r="B2684" s="114" t="str">
        <f>VLOOKUP(A2684,'Data pick slip'!B:F,5,FALSE)</f>
        <v>KHJ-MC200-00</v>
      </c>
      <c r="F2684" s="157" t="s">
        <v>2753</v>
      </c>
      <c r="H2684" s="138">
        <v>1089</v>
      </c>
      <c r="I2684" s="139" t="str">
        <f>VLOOKUP(H2684,Stock_list!A:R,18,FALSE)</f>
        <v>保凌</v>
      </c>
      <c r="J2684" s="139" t="str">
        <f>VLOOKUP(H2684,Stock_list!A:S,17,FALSE)</f>
        <v>C49SZX20210015SS</v>
      </c>
      <c r="K2684" s="51" t="str">
        <f>VLOOKUP(H2684,Stock_list!A:T,16,FALSE)</f>
        <v>RMB</v>
      </c>
      <c r="L2684" s="4">
        <v>44407</v>
      </c>
      <c r="M2684" s="132">
        <v>10</v>
      </c>
      <c r="P2684" s="4" t="str">
        <f>VLOOKUP(H2684,Stock_list!A:Y,25,FALSE)</f>
        <v>Yes</v>
      </c>
      <c r="T2684" s="144"/>
      <c r="U2684" s="145" t="str">
        <f>VLOOKUP(H2684,Stock_list!A:N,14,FALSE)</f>
        <v>JUL 21</v>
      </c>
    </row>
    <row r="2685" spans="1:21" ht="16.5" customHeight="1">
      <c r="A2685" s="159" t="s">
        <v>2748</v>
      </c>
      <c r="B2685" s="114" t="str">
        <f>VLOOKUP(A2685,'Data pick slip'!B:F,5,FALSE)</f>
        <v>KHJ-MC400-00</v>
      </c>
      <c r="F2685" s="157" t="s">
        <v>2753</v>
      </c>
      <c r="H2685" s="138">
        <v>1089</v>
      </c>
      <c r="I2685" s="139" t="str">
        <f>VLOOKUP(H2685,Stock_list!A:R,18,FALSE)</f>
        <v>保凌</v>
      </c>
      <c r="J2685" s="139" t="str">
        <f>VLOOKUP(H2685,Stock_list!A:S,17,FALSE)</f>
        <v>C49SZX20210015SS</v>
      </c>
      <c r="K2685" s="51" t="str">
        <f>VLOOKUP(H2685,Stock_list!A:T,16,FALSE)</f>
        <v>RMB</v>
      </c>
      <c r="L2685" s="4">
        <v>44407</v>
      </c>
      <c r="M2685" s="132">
        <v>2</v>
      </c>
      <c r="P2685" s="4" t="str">
        <f>VLOOKUP(H2685,Stock_list!A:Y,25,FALSE)</f>
        <v>Yes</v>
      </c>
      <c r="T2685" s="144"/>
      <c r="U2685" s="145" t="str">
        <f>VLOOKUP(H2685,Stock_list!A:N,14,FALSE)</f>
        <v>JUL 21</v>
      </c>
    </row>
    <row r="2686" spans="1:21" ht="16.5" customHeight="1">
      <c r="A2686" s="159" t="s">
        <v>2749</v>
      </c>
      <c r="B2686" s="114" t="str">
        <f>VLOOKUP(A2686,'Data pick slip'!B:F,5,FALSE)</f>
        <v>KHJ-MC500-00</v>
      </c>
      <c r="F2686" s="157" t="s">
        <v>2753</v>
      </c>
      <c r="H2686" s="138">
        <v>1089</v>
      </c>
      <c r="I2686" s="139" t="str">
        <f>VLOOKUP(H2686,Stock_list!A:R,18,FALSE)</f>
        <v>保凌</v>
      </c>
      <c r="J2686" s="139" t="str">
        <f>VLOOKUP(H2686,Stock_list!A:S,17,FALSE)</f>
        <v>C49SZX20210015SS</v>
      </c>
      <c r="K2686" s="51" t="str">
        <f>VLOOKUP(H2686,Stock_list!A:T,16,FALSE)</f>
        <v>RMB</v>
      </c>
      <c r="L2686" s="4">
        <v>44407</v>
      </c>
      <c r="M2686" s="132">
        <v>1</v>
      </c>
      <c r="P2686" s="4" t="str">
        <f>VLOOKUP(H2686,Stock_list!A:Y,25,FALSE)</f>
        <v>Yes</v>
      </c>
      <c r="T2686" s="144"/>
      <c r="U2686" s="145" t="str">
        <f>VLOOKUP(H2686,Stock_list!A:N,14,FALSE)</f>
        <v>JUL 21</v>
      </c>
    </row>
    <row r="2687" spans="1:21" ht="16.5" customHeight="1">
      <c r="A2687" s="159" t="s">
        <v>2752</v>
      </c>
      <c r="B2687" s="114" t="str">
        <f>VLOOKUP(A2687,'Data pick slip'!B:F,5,FALSE)</f>
        <v>KHJ-MC800-00</v>
      </c>
      <c r="F2687" s="157" t="s">
        <v>1381</v>
      </c>
      <c r="I2687" s="269" t="s">
        <v>3413</v>
      </c>
      <c r="J2687" s="139" t="s">
        <v>3414</v>
      </c>
      <c r="K2687" s="51" t="s">
        <v>1246</v>
      </c>
      <c r="L2687" s="4">
        <v>44210</v>
      </c>
      <c r="M2687" s="140">
        <v>1</v>
      </c>
      <c r="P2687" s="4" t="s">
        <v>291</v>
      </c>
      <c r="Q2687" s="143"/>
      <c r="T2687" s="144"/>
      <c r="U2687" s="145" t="e">
        <f>VLOOKUP(H2687,Stock_list!A:N,14,FALSE)</f>
        <v>#N/A</v>
      </c>
    </row>
    <row r="2688" spans="1:21" ht="16.5" customHeight="1">
      <c r="A2688" s="159" t="s">
        <v>2752</v>
      </c>
      <c r="B2688" s="114" t="str">
        <f>VLOOKUP(A2688,'Data pick slip'!B:F,5,FALSE)</f>
        <v>KHJ-MC800-00</v>
      </c>
      <c r="F2688" s="157" t="s">
        <v>2753</v>
      </c>
      <c r="I2688" s="139" t="s">
        <v>3099</v>
      </c>
      <c r="J2688" s="270" t="s">
        <v>3415</v>
      </c>
      <c r="K2688" s="51" t="s">
        <v>1246</v>
      </c>
      <c r="L2688" s="4">
        <v>44211</v>
      </c>
      <c r="M2688" s="140">
        <v>1</v>
      </c>
      <c r="P2688" s="4" t="s">
        <v>291</v>
      </c>
      <c r="Q2688" s="143"/>
      <c r="T2688" s="144"/>
      <c r="U2688" s="145" t="e">
        <f>VLOOKUP(H2688,Stock_list!A:N,14,FALSE)</f>
        <v>#N/A</v>
      </c>
    </row>
    <row r="2689" spans="1:21" ht="16.5" customHeight="1">
      <c r="A2689" s="159" t="s">
        <v>2744</v>
      </c>
      <c r="B2689" s="114" t="str">
        <f>VLOOKUP(A2689,'Data pick slip'!B:F,5,FALSE)</f>
        <v>KHJ-MC100-00</v>
      </c>
      <c r="F2689" s="157" t="s">
        <v>1381</v>
      </c>
      <c r="H2689" s="138">
        <v>1090</v>
      </c>
      <c r="I2689" s="139" t="str">
        <f>VLOOKUP(H2689,Stock_list!A:R,18,FALSE)</f>
        <v>益田科技</v>
      </c>
      <c r="J2689" s="139" t="str">
        <f>VLOOKUP(H2689,Stock_list!A:S,17,FALSE)</f>
        <v>C49SZX20210031SX</v>
      </c>
      <c r="K2689" s="51" t="str">
        <f>VLOOKUP(H2689,Stock_list!A:T,16,FALSE)</f>
        <v>JPY</v>
      </c>
      <c r="L2689" s="4">
        <v>44672</v>
      </c>
      <c r="M2689" s="140">
        <v>55</v>
      </c>
      <c r="P2689" s="4" t="str">
        <f>VLOOKUP(H2689,Stock_list!A:Y,25,FALSE)</f>
        <v>Yes</v>
      </c>
      <c r="Q2689" s="143"/>
      <c r="T2689" s="144"/>
      <c r="U2689" s="145" t="str">
        <f>VLOOKUP(H2689,Stock_list!A:N,14,FALSE)</f>
        <v>APR 22</v>
      </c>
    </row>
    <row r="2690" spans="1:21" ht="16.5" customHeight="1">
      <c r="A2690" s="159" t="s">
        <v>2747</v>
      </c>
      <c r="B2690" s="114" t="str">
        <f>VLOOKUP(A2690,'Data pick slip'!B:F,5,FALSE)</f>
        <v>KHJ-MC200-00</v>
      </c>
      <c r="F2690" s="157" t="s">
        <v>1381</v>
      </c>
      <c r="H2690" s="138">
        <v>1090</v>
      </c>
      <c r="I2690" s="139" t="str">
        <f>VLOOKUP(H2690,Stock_list!A:R,18,FALSE)</f>
        <v>益田科技</v>
      </c>
      <c r="J2690" s="139" t="str">
        <f>VLOOKUP(H2690,Stock_list!A:S,17,FALSE)</f>
        <v>C49SZX20210031SX</v>
      </c>
      <c r="K2690" s="51" t="str">
        <f>VLOOKUP(H2690,Stock_list!A:T,16,FALSE)</f>
        <v>JPY</v>
      </c>
      <c r="L2690" s="4">
        <v>44672</v>
      </c>
      <c r="M2690" s="140">
        <v>4</v>
      </c>
      <c r="P2690" s="4" t="str">
        <f>VLOOKUP(H2690,Stock_list!A:Y,25,FALSE)</f>
        <v>Yes</v>
      </c>
      <c r="Q2690" s="143"/>
      <c r="T2690" s="144"/>
      <c r="U2690" s="145" t="str">
        <f>VLOOKUP(H2690,Stock_list!A:N,14,FALSE)</f>
        <v>APR 22</v>
      </c>
    </row>
    <row r="2691" spans="1:21" ht="16.5" customHeight="1">
      <c r="A2691" s="159" t="s">
        <v>2748</v>
      </c>
      <c r="B2691" s="114" t="str">
        <f>VLOOKUP(A2691,'Data pick slip'!B:F,5,FALSE)</f>
        <v>KHJ-MC400-00</v>
      </c>
      <c r="F2691" s="157" t="s">
        <v>1381</v>
      </c>
      <c r="H2691" s="138">
        <v>1090</v>
      </c>
      <c r="I2691" s="139" t="str">
        <f>VLOOKUP(H2691,Stock_list!A:R,18,FALSE)</f>
        <v>益田科技</v>
      </c>
      <c r="J2691" s="139" t="str">
        <f>VLOOKUP(H2691,Stock_list!A:S,17,FALSE)</f>
        <v>C49SZX20210031SX</v>
      </c>
      <c r="K2691" s="51" t="str">
        <f>VLOOKUP(H2691,Stock_list!A:T,16,FALSE)</f>
        <v>JPY</v>
      </c>
      <c r="L2691" s="4">
        <v>44672</v>
      </c>
      <c r="M2691" s="140">
        <v>3</v>
      </c>
      <c r="P2691" s="4" t="str">
        <f>VLOOKUP(H2691,Stock_list!A:Y,25,FALSE)</f>
        <v>Yes</v>
      </c>
      <c r="Q2691" s="143"/>
      <c r="T2691" s="144"/>
      <c r="U2691" s="145" t="str">
        <f>VLOOKUP(H2691,Stock_list!A:N,14,FALSE)</f>
        <v>APR 22</v>
      </c>
    </row>
    <row r="2692" spans="1:21" ht="16.5" customHeight="1">
      <c r="A2692" s="159" t="s">
        <v>2744</v>
      </c>
      <c r="B2692" s="114" t="str">
        <f>VLOOKUP(A2692,'Data pick slip'!B:F,5,FALSE)</f>
        <v>KHJ-MC100-00</v>
      </c>
      <c r="F2692" s="157" t="s">
        <v>1381</v>
      </c>
      <c r="H2692" s="138">
        <v>1090</v>
      </c>
      <c r="I2692" s="139" t="str">
        <f>VLOOKUP(H2692,Stock_list!A:R,18,FALSE)</f>
        <v>益田科技</v>
      </c>
      <c r="J2692" s="139" t="str">
        <f>VLOOKUP(H2692,Stock_list!A:S,17,FALSE)</f>
        <v>C49SZX20210031SX</v>
      </c>
      <c r="K2692" s="51" t="str">
        <f>VLOOKUP(H2692,Stock_list!A:T,16,FALSE)</f>
        <v>JPY</v>
      </c>
      <c r="L2692" s="4">
        <v>44582</v>
      </c>
      <c r="M2692" s="140">
        <v>55</v>
      </c>
      <c r="P2692" s="4" t="str">
        <f>VLOOKUP(H2692,Stock_list!A:Y,25,FALSE)</f>
        <v>Yes</v>
      </c>
      <c r="Q2692" s="143"/>
      <c r="T2692" s="144"/>
      <c r="U2692" s="145" t="str">
        <f>VLOOKUP(H2692,Stock_list!A:N,14,FALSE)</f>
        <v>APR 22</v>
      </c>
    </row>
    <row r="2693" spans="1:21" ht="16.5" customHeight="1">
      <c r="A2693" s="159" t="s">
        <v>2747</v>
      </c>
      <c r="B2693" s="114" t="str">
        <f>VLOOKUP(A2693,'Data pick slip'!B:F,5,FALSE)</f>
        <v>KHJ-MC200-00</v>
      </c>
      <c r="F2693" s="157" t="s">
        <v>1381</v>
      </c>
      <c r="H2693" s="138">
        <v>1090</v>
      </c>
      <c r="I2693" s="139" t="str">
        <f>VLOOKUP(H2693,Stock_list!A:R,18,FALSE)</f>
        <v>益田科技</v>
      </c>
      <c r="J2693" s="139" t="str">
        <f>VLOOKUP(H2693,Stock_list!A:S,17,FALSE)</f>
        <v>C49SZX20210031SX</v>
      </c>
      <c r="K2693" s="51" t="str">
        <f>VLOOKUP(H2693,Stock_list!A:T,16,FALSE)</f>
        <v>JPY</v>
      </c>
      <c r="L2693" s="4">
        <v>44582</v>
      </c>
      <c r="M2693" s="140">
        <v>4</v>
      </c>
      <c r="P2693" s="4" t="str">
        <f>VLOOKUP(H2693,Stock_list!A:Y,25,FALSE)</f>
        <v>Yes</v>
      </c>
      <c r="Q2693" s="143"/>
      <c r="T2693" s="144"/>
      <c r="U2693" s="145" t="str">
        <f>VLOOKUP(H2693,Stock_list!A:N,14,FALSE)</f>
        <v>APR 22</v>
      </c>
    </row>
    <row r="2694" spans="1:21" ht="16.5" customHeight="1">
      <c r="A2694" s="159" t="s">
        <v>2748</v>
      </c>
      <c r="B2694" s="114" t="str">
        <f>VLOOKUP(A2694,'Data pick slip'!B:F,5,FALSE)</f>
        <v>KHJ-MC400-00</v>
      </c>
      <c r="F2694" s="157" t="s">
        <v>1381</v>
      </c>
      <c r="H2694" s="138">
        <v>1090</v>
      </c>
      <c r="I2694" s="139" t="str">
        <f>VLOOKUP(H2694,Stock_list!A:R,18,FALSE)</f>
        <v>益田科技</v>
      </c>
      <c r="J2694" s="139" t="str">
        <f>VLOOKUP(H2694,Stock_list!A:S,17,FALSE)</f>
        <v>C49SZX20210031SX</v>
      </c>
      <c r="K2694" s="51" t="str">
        <f>VLOOKUP(H2694,Stock_list!A:T,16,FALSE)</f>
        <v>JPY</v>
      </c>
      <c r="L2694" s="4">
        <v>44582</v>
      </c>
      <c r="M2694" s="140">
        <v>2</v>
      </c>
      <c r="P2694" s="4" t="str">
        <f>VLOOKUP(H2694,Stock_list!A:Y,25,FALSE)</f>
        <v>Yes</v>
      </c>
      <c r="Q2694" s="143"/>
      <c r="T2694" s="144"/>
      <c r="U2694" s="145" t="str">
        <f>VLOOKUP(H2694,Stock_list!A:N,14,FALSE)</f>
        <v>APR 22</v>
      </c>
    </row>
    <row r="2695" spans="1:21" ht="16.5" customHeight="1">
      <c r="A2695" s="159" t="s">
        <v>2755</v>
      </c>
      <c r="B2695" s="114" t="str">
        <f>VLOOKUP(A2695,'Data pick slip'!B:F,5,FALSE)</f>
        <v>KLJ-MC100-00</v>
      </c>
      <c r="F2695" s="157" t="s">
        <v>2753</v>
      </c>
      <c r="H2695" s="138">
        <v>1094</v>
      </c>
      <c r="I2695" s="139" t="str">
        <f>VLOOKUP(H2695,Stock_list!A:R,18,FALSE)</f>
        <v>龙大光电</v>
      </c>
      <c r="J2695" s="139" t="str">
        <f>VLOOKUP(H2695,Stock_list!A:S,17,FALSE)</f>
        <v>C49SZX20210021SS</v>
      </c>
      <c r="K2695" s="51" t="str">
        <f>VLOOKUP(H2695,Stock_list!A:T,16,FALSE)</f>
        <v>RMB</v>
      </c>
      <c r="L2695" s="4">
        <v>44335</v>
      </c>
      <c r="M2695" s="140">
        <v>68</v>
      </c>
      <c r="P2695" s="4" t="str">
        <f>VLOOKUP(H2695,Stock_list!A:Y,25,FALSE)</f>
        <v>Yes</v>
      </c>
      <c r="Q2695" s="143"/>
      <c r="T2695" s="144"/>
      <c r="U2695" s="145" t="str">
        <f>VLOOKUP(H2695,Stock_list!A:N,14,FALSE)</f>
        <v>MAY 21</v>
      </c>
    </row>
    <row r="2696" spans="1:21" ht="16.5" customHeight="1">
      <c r="A2696" s="159" t="s">
        <v>2744</v>
      </c>
      <c r="B2696" s="114" t="str">
        <f>VLOOKUP(A2696,'Data pick slip'!B:F,5,FALSE)</f>
        <v>KHJ-MC100-00</v>
      </c>
      <c r="F2696" s="157" t="s">
        <v>1381</v>
      </c>
      <c r="H2696" s="138">
        <v>1098</v>
      </c>
      <c r="I2696" s="139" t="str">
        <f>VLOOKUP(H2696,Stock_list!A:R,18,FALSE)</f>
        <v>吉鑫凯</v>
      </c>
      <c r="J2696" s="139" t="str">
        <f>VLOOKUP(H2696,Stock_list!A:S,17,FALSE)</f>
        <v>C49SZX20210022VG</v>
      </c>
      <c r="K2696" s="51" t="str">
        <f>VLOOKUP(H2696,Stock_list!A:T,16,FALSE)</f>
        <v>JPY</v>
      </c>
      <c r="L2696" s="4">
        <v>44324</v>
      </c>
      <c r="M2696" s="132">
        <v>20</v>
      </c>
      <c r="P2696" s="4" t="str">
        <f>VLOOKUP(H2696,Stock_list!A:Y,25,FALSE)</f>
        <v>Yes</v>
      </c>
      <c r="Q2696" s="143"/>
      <c r="T2696" s="144"/>
      <c r="U2696" s="145" t="str">
        <f>VLOOKUP(H2696,Stock_list!A:N,14,FALSE)</f>
        <v>MAY 21</v>
      </c>
    </row>
    <row r="2697" spans="1:21" ht="16.5" customHeight="1">
      <c r="A2697" s="159" t="s">
        <v>2747</v>
      </c>
      <c r="B2697" s="114" t="str">
        <f>VLOOKUP(A2697,'Data pick slip'!B:F,5,FALSE)</f>
        <v>KHJ-MC200-00</v>
      </c>
      <c r="F2697" s="157" t="s">
        <v>1381</v>
      </c>
      <c r="H2697" s="138">
        <v>1098</v>
      </c>
      <c r="I2697" s="139" t="str">
        <f>VLOOKUP(H2697,Stock_list!A:R,18,FALSE)</f>
        <v>吉鑫凯</v>
      </c>
      <c r="J2697" s="139" t="str">
        <f>VLOOKUP(H2697,Stock_list!A:S,17,FALSE)</f>
        <v>C49SZX20210022VG</v>
      </c>
      <c r="K2697" s="51" t="str">
        <f>VLOOKUP(H2697,Stock_list!A:T,16,FALSE)</f>
        <v>JPY</v>
      </c>
      <c r="L2697" s="4">
        <v>44324</v>
      </c>
      <c r="M2697" s="132">
        <v>5</v>
      </c>
      <c r="P2697" s="4" t="str">
        <f>VLOOKUP(H2697,Stock_list!A:Y,25,FALSE)</f>
        <v>Yes</v>
      </c>
      <c r="Q2697" s="143"/>
      <c r="T2697" s="144"/>
      <c r="U2697" s="145" t="str">
        <f>VLOOKUP(H2697,Stock_list!A:N,14,FALSE)</f>
        <v>MAY 21</v>
      </c>
    </row>
    <row r="2698" spans="1:21" ht="16.5" customHeight="1">
      <c r="A2698" s="159" t="s">
        <v>2744</v>
      </c>
      <c r="B2698" s="114" t="str">
        <f>VLOOKUP(A2698,'Data pick slip'!B:F,5,FALSE)</f>
        <v>KHJ-MC100-00</v>
      </c>
      <c r="F2698" s="157" t="s">
        <v>1381</v>
      </c>
      <c r="H2698" s="138">
        <v>1100</v>
      </c>
      <c r="I2698" s="139" t="str">
        <f>VLOOKUP(H2698,Stock_list!A:R,18,FALSE)</f>
        <v>晟锦威</v>
      </c>
      <c r="J2698" s="139" t="str">
        <f>VLOOKUP(H2698,Stock_list!A:S,17,FALSE)</f>
        <v>C49SZX20210019JY</v>
      </c>
      <c r="K2698" s="51" t="str">
        <f>VLOOKUP(H2698,Stock_list!A:T,16,FALSE)</f>
        <v>JPY</v>
      </c>
      <c r="L2698" s="4">
        <v>44329</v>
      </c>
      <c r="M2698" s="132">
        <v>120</v>
      </c>
      <c r="P2698" s="4" t="str">
        <f>VLOOKUP(H2698,Stock_list!A:Y,25,FALSE)</f>
        <v>Yes</v>
      </c>
      <c r="Q2698" s="143"/>
      <c r="T2698" s="144"/>
      <c r="U2698" s="145" t="str">
        <f>VLOOKUP(H2698,Stock_list!A:N,14,FALSE)</f>
        <v>MAY 21</v>
      </c>
    </row>
    <row r="2699" spans="1:21" ht="16.5" customHeight="1">
      <c r="A2699" s="159" t="s">
        <v>2747</v>
      </c>
      <c r="B2699" s="114" t="str">
        <f>VLOOKUP(A2699,'Data pick slip'!B:F,5,FALSE)</f>
        <v>KHJ-MC200-00</v>
      </c>
      <c r="F2699" s="157" t="s">
        <v>1381</v>
      </c>
      <c r="H2699" s="138">
        <v>1100</v>
      </c>
      <c r="I2699" s="139" t="str">
        <f>VLOOKUP(H2699,Stock_list!A:R,18,FALSE)</f>
        <v>晟锦威</v>
      </c>
      <c r="J2699" s="139" t="str">
        <f>VLOOKUP(H2699,Stock_list!A:S,17,FALSE)</f>
        <v>C49SZX20210019JY</v>
      </c>
      <c r="K2699" s="51" t="str">
        <f>VLOOKUP(H2699,Stock_list!A:T,16,FALSE)</f>
        <v>JPY</v>
      </c>
      <c r="L2699" s="4">
        <v>44329</v>
      </c>
      <c r="M2699" s="132">
        <v>25</v>
      </c>
      <c r="P2699" s="4" t="str">
        <f>VLOOKUP(H2699,Stock_list!A:Y,25,FALSE)</f>
        <v>Yes</v>
      </c>
      <c r="Q2699" s="143"/>
      <c r="T2699" s="144"/>
      <c r="U2699" s="145" t="str">
        <f>VLOOKUP(H2699,Stock_list!A:N,14,FALSE)</f>
        <v>MAY 21</v>
      </c>
    </row>
    <row r="2700" spans="1:21" ht="16.5" customHeight="1">
      <c r="A2700" s="159" t="s">
        <v>2748</v>
      </c>
      <c r="B2700" s="114" t="str">
        <f>VLOOKUP(A2700,'Data pick slip'!B:F,5,FALSE)</f>
        <v>KHJ-MC400-00</v>
      </c>
      <c r="F2700" s="157" t="s">
        <v>1381</v>
      </c>
      <c r="H2700" s="138">
        <v>1100</v>
      </c>
      <c r="I2700" s="139" t="str">
        <f>VLOOKUP(H2700,Stock_list!A:R,18,FALSE)</f>
        <v>晟锦威</v>
      </c>
      <c r="J2700" s="139" t="str">
        <f>VLOOKUP(H2700,Stock_list!A:S,17,FALSE)</f>
        <v>C49SZX20210019JY</v>
      </c>
      <c r="K2700" s="51" t="str">
        <f>VLOOKUP(H2700,Stock_list!A:T,16,FALSE)</f>
        <v>JPY</v>
      </c>
      <c r="L2700" s="4">
        <v>44329</v>
      </c>
      <c r="M2700" s="132">
        <v>6</v>
      </c>
      <c r="P2700" s="4" t="str">
        <f>VLOOKUP(H2700,Stock_list!A:Y,25,FALSE)</f>
        <v>Yes</v>
      </c>
      <c r="Q2700" s="143"/>
      <c r="T2700" s="144"/>
      <c r="U2700" s="145" t="str">
        <f>VLOOKUP(H2700,Stock_list!A:N,14,FALSE)</f>
        <v>MAY 21</v>
      </c>
    </row>
    <row r="2701" spans="1:21" ht="16.5" customHeight="1">
      <c r="A2701" s="159" t="s">
        <v>2749</v>
      </c>
      <c r="B2701" s="114" t="str">
        <f>VLOOKUP(A2701,'Data pick slip'!B:F,5,FALSE)</f>
        <v>KHJ-MC500-00</v>
      </c>
      <c r="F2701" s="157" t="s">
        <v>1381</v>
      </c>
      <c r="H2701" s="138">
        <v>1100</v>
      </c>
      <c r="I2701" s="139" t="str">
        <f>VLOOKUP(H2701,Stock_list!A:R,18,FALSE)</f>
        <v>晟锦威</v>
      </c>
      <c r="J2701" s="139" t="str">
        <f>VLOOKUP(H2701,Stock_list!A:S,17,FALSE)</f>
        <v>C49SZX20210019JY</v>
      </c>
      <c r="K2701" s="51" t="str">
        <f>VLOOKUP(H2701,Stock_list!A:T,16,FALSE)</f>
        <v>JPY</v>
      </c>
      <c r="L2701" s="4">
        <v>44329</v>
      </c>
      <c r="M2701" s="132">
        <v>1</v>
      </c>
      <c r="P2701" s="4" t="str">
        <f>VLOOKUP(H2701,Stock_list!A:Y,25,FALSE)</f>
        <v>Yes</v>
      </c>
      <c r="Q2701" s="143"/>
      <c r="T2701" s="144"/>
      <c r="U2701" s="145" t="str">
        <f>VLOOKUP(H2701,Stock_list!A:N,14,FALSE)</f>
        <v>MAY 21</v>
      </c>
    </row>
    <row r="2702" spans="1:21" ht="16.5" customHeight="1">
      <c r="A2702" s="159" t="s">
        <v>2744</v>
      </c>
      <c r="B2702" s="114" t="str">
        <f>VLOOKUP(A2702,'Data pick slip'!B:F,5,FALSE)</f>
        <v>KHJ-MC100-00</v>
      </c>
      <c r="F2702" s="157" t="s">
        <v>2860</v>
      </c>
      <c r="H2702" s="138">
        <v>1079</v>
      </c>
      <c r="I2702" s="139" t="str">
        <f>VLOOKUP(H2702,Stock_list!A:R,18,FALSE)</f>
        <v>航特</v>
      </c>
      <c r="J2702" s="139" t="str">
        <f>VLOOKUP(H2702,Stock_list!A:S,17,FALSE)</f>
        <v>C49SZX20210026DZ</v>
      </c>
      <c r="K2702" s="51" t="str">
        <f>VLOOKUP(H2702,Stock_list!A:T,16,FALSE)</f>
        <v>JPY</v>
      </c>
      <c r="L2702" s="4">
        <v>44284</v>
      </c>
      <c r="M2702" s="132">
        <v>90</v>
      </c>
      <c r="P2702" s="4" t="str">
        <f>VLOOKUP(H2702,Stock_list!A:Y,25,FALSE)</f>
        <v>Yes</v>
      </c>
      <c r="Q2702" s="143"/>
      <c r="T2702" s="144"/>
      <c r="U2702" s="145" t="str">
        <f>VLOOKUP(H2702,Stock_list!A:N,14,FALSE)</f>
        <v>MAR 21</v>
      </c>
    </row>
    <row r="2703" spans="1:21" ht="16.5" customHeight="1">
      <c r="A2703" s="159" t="s">
        <v>2747</v>
      </c>
      <c r="B2703" s="114" t="str">
        <f>VLOOKUP(A2703,'Data pick slip'!B:F,5,FALSE)</f>
        <v>KHJ-MC200-00</v>
      </c>
      <c r="F2703" s="157" t="s">
        <v>2860</v>
      </c>
      <c r="H2703" s="138">
        <v>1079</v>
      </c>
      <c r="I2703" s="139" t="str">
        <f>VLOOKUP(H2703,Stock_list!A:R,18,FALSE)</f>
        <v>航特</v>
      </c>
      <c r="J2703" s="139" t="str">
        <f>VLOOKUP(H2703,Stock_list!A:S,17,FALSE)</f>
        <v>C49SZX20210026DZ</v>
      </c>
      <c r="K2703" s="51" t="str">
        <f>VLOOKUP(H2703,Stock_list!A:T,16,FALSE)</f>
        <v>JPY</v>
      </c>
      <c r="L2703" s="4">
        <v>44284</v>
      </c>
      <c r="M2703" s="132">
        <v>10</v>
      </c>
      <c r="P2703" s="4" t="str">
        <f>VLOOKUP(H2703,Stock_list!A:Y,25,FALSE)</f>
        <v>Yes</v>
      </c>
      <c r="Q2703" s="143"/>
      <c r="T2703" s="144"/>
      <c r="U2703" s="145" t="str">
        <f>VLOOKUP(H2703,Stock_list!A:N,14,FALSE)</f>
        <v>MAR 21</v>
      </c>
    </row>
    <row r="2704" spans="1:21" ht="16.5" customHeight="1">
      <c r="A2704" s="159" t="s">
        <v>2744</v>
      </c>
      <c r="B2704" s="114" t="str">
        <f>VLOOKUP(A2704,'Data pick slip'!B:F,5,FALSE)</f>
        <v>KHJ-MC100-00</v>
      </c>
      <c r="F2704" s="157" t="s">
        <v>2861</v>
      </c>
      <c r="I2704" s="139" t="s">
        <v>3015</v>
      </c>
      <c r="J2704" s="139" t="s">
        <v>2951</v>
      </c>
      <c r="K2704" s="51" t="s">
        <v>1246</v>
      </c>
      <c r="L2704" s="4">
        <v>44228</v>
      </c>
      <c r="M2704" s="140">
        <v>148</v>
      </c>
      <c r="P2704" s="4" t="s">
        <v>291</v>
      </c>
      <c r="Q2704" s="143"/>
      <c r="T2704" s="144"/>
      <c r="U2704" s="145" t="e">
        <f>VLOOKUP(H2704,Stock_list!A:N,14,FALSE)</f>
        <v>#N/A</v>
      </c>
    </row>
    <row r="2705" spans="1:21" ht="16.5" customHeight="1">
      <c r="A2705" s="159" t="s">
        <v>2747</v>
      </c>
      <c r="B2705" s="114" t="str">
        <f>VLOOKUP(A2705,'Data pick slip'!B:F,5,FALSE)</f>
        <v>KHJ-MC200-00</v>
      </c>
      <c r="F2705" s="157" t="s">
        <v>1381</v>
      </c>
      <c r="I2705" s="139" t="s">
        <v>3015</v>
      </c>
      <c r="J2705" s="139" t="s">
        <v>2951</v>
      </c>
      <c r="K2705" s="51" t="s">
        <v>1246</v>
      </c>
      <c r="L2705" s="4">
        <v>44228</v>
      </c>
      <c r="M2705" s="140">
        <v>46</v>
      </c>
      <c r="P2705" s="4" t="s">
        <v>291</v>
      </c>
      <c r="Q2705" s="143"/>
      <c r="T2705" s="144"/>
      <c r="U2705" s="145" t="e">
        <f>VLOOKUP(H2705,Stock_list!A:N,14,FALSE)</f>
        <v>#N/A</v>
      </c>
    </row>
    <row r="2706" spans="1:21" ht="16.5" customHeight="1">
      <c r="A2706" s="159" t="s">
        <v>2744</v>
      </c>
      <c r="B2706" s="114" t="str">
        <f>VLOOKUP(A2706,'Data pick slip'!B:F,5,FALSE)</f>
        <v>KHJ-MC100-00</v>
      </c>
      <c r="F2706" s="157" t="s">
        <v>1381</v>
      </c>
      <c r="I2706" s="139" t="s">
        <v>3015</v>
      </c>
      <c r="J2706" s="139" t="s">
        <v>3416</v>
      </c>
      <c r="K2706" s="51" t="s">
        <v>1246</v>
      </c>
      <c r="L2706" s="4">
        <v>44252</v>
      </c>
      <c r="M2706" s="140">
        <v>100</v>
      </c>
      <c r="P2706" s="4" t="s">
        <v>291</v>
      </c>
      <c r="Q2706" s="143"/>
      <c r="T2706" s="144"/>
      <c r="U2706" s="145" t="e">
        <f>VLOOKUP(H2706,Stock_list!A:N,14,FALSE)</f>
        <v>#N/A</v>
      </c>
    </row>
    <row r="2707" spans="1:21" ht="16.5" customHeight="1">
      <c r="A2707" s="159" t="s">
        <v>2747</v>
      </c>
      <c r="B2707" s="114" t="str">
        <f>VLOOKUP(A2707,'Data pick slip'!B:F,5,FALSE)</f>
        <v>KHJ-MC200-00</v>
      </c>
      <c r="F2707" s="157" t="s">
        <v>1381</v>
      </c>
      <c r="I2707" s="139" t="s">
        <v>3015</v>
      </c>
      <c r="J2707" s="139" t="s">
        <v>3416</v>
      </c>
      <c r="K2707" s="51" t="s">
        <v>1246</v>
      </c>
      <c r="L2707" s="4">
        <v>44252</v>
      </c>
      <c r="M2707" s="140">
        <v>30</v>
      </c>
      <c r="P2707" s="4" t="s">
        <v>291</v>
      </c>
      <c r="Q2707" s="143"/>
      <c r="T2707" s="144"/>
      <c r="U2707" s="145" t="e">
        <f>VLOOKUP(H2707,Stock_list!A:N,14,FALSE)</f>
        <v>#N/A</v>
      </c>
    </row>
    <row r="2708" spans="1:21" ht="16.5" customHeight="1">
      <c r="A2708" s="159" t="s">
        <v>2755</v>
      </c>
      <c r="B2708" s="114" t="str">
        <f>VLOOKUP(A2708,'Data pick slip'!B:F,5,FALSE)</f>
        <v>KLJ-MC100-00</v>
      </c>
      <c r="F2708" s="157" t="s">
        <v>1381</v>
      </c>
      <c r="I2708" s="139" t="s">
        <v>3015</v>
      </c>
      <c r="J2708" s="139" t="s">
        <v>3416</v>
      </c>
      <c r="K2708" s="51" t="s">
        <v>1246</v>
      </c>
      <c r="L2708" s="4">
        <v>44252</v>
      </c>
      <c r="M2708" s="140">
        <v>50</v>
      </c>
      <c r="P2708" s="4" t="s">
        <v>291</v>
      </c>
      <c r="Q2708" s="143"/>
      <c r="T2708" s="144"/>
      <c r="U2708" s="145" t="e">
        <f>VLOOKUP(H2708,Stock_list!A:N,14,FALSE)</f>
        <v>#N/A</v>
      </c>
    </row>
    <row r="2709" spans="1:21" ht="16.5" customHeight="1">
      <c r="A2709" s="159" t="s">
        <v>2750</v>
      </c>
      <c r="B2709" s="114" t="str">
        <f>VLOOKUP(A2709,'Data pick slip'!B:F,5,FALSE)</f>
        <v>KHJ-MC600-00</v>
      </c>
      <c r="F2709" s="157" t="s">
        <v>1381</v>
      </c>
      <c r="I2709" s="139" t="s">
        <v>3015</v>
      </c>
      <c r="J2709" s="139" t="s">
        <v>3416</v>
      </c>
      <c r="K2709" s="51" t="s">
        <v>1246</v>
      </c>
      <c r="L2709" s="4">
        <v>44252</v>
      </c>
      <c r="M2709" s="140">
        <v>2</v>
      </c>
      <c r="P2709" s="4" t="s">
        <v>291</v>
      </c>
      <c r="Q2709" s="143"/>
      <c r="T2709" s="144"/>
      <c r="U2709" s="145" t="e">
        <f>VLOOKUP(H2709,Stock_list!A:N,14,FALSE)</f>
        <v>#N/A</v>
      </c>
    </row>
    <row r="2710" spans="1:21" ht="16.5" customHeight="1">
      <c r="A2710" s="159" t="s">
        <v>2744</v>
      </c>
      <c r="B2710" s="114" t="str">
        <f>VLOOKUP(A2710,'Data pick slip'!B:F,5,FALSE)</f>
        <v>KHJ-MC100-00</v>
      </c>
      <c r="F2710" s="157" t="s">
        <v>1381</v>
      </c>
      <c r="H2710" s="138">
        <v>1105</v>
      </c>
      <c r="I2710" s="139" t="str">
        <f>VLOOKUP(H2710,Stock_list!A:R,18,FALSE)</f>
        <v>嘉裕</v>
      </c>
      <c r="J2710" s="139" t="str">
        <f>VLOOKUP(H2710,Stock_list!A:S,17,FALSE)</f>
        <v>C49SZX20210029DZ</v>
      </c>
      <c r="K2710" s="51" t="str">
        <f>VLOOKUP(H2710,Stock_list!A:T,16,FALSE)</f>
        <v>JPY</v>
      </c>
      <c r="L2710" s="4">
        <v>44313</v>
      </c>
      <c r="M2710" s="132">
        <v>133</v>
      </c>
      <c r="P2710" s="4" t="str">
        <f>VLOOKUP(H2710,Stock_list!A:Y,25,FALSE)</f>
        <v>Yes</v>
      </c>
      <c r="Q2710" s="143"/>
      <c r="T2710" s="144"/>
      <c r="U2710" s="145" t="str">
        <f>VLOOKUP(H2710,Stock_list!A:N,14,FALSE)</f>
        <v>APR 21</v>
      </c>
    </row>
    <row r="2711" spans="1:21" ht="16.5" customHeight="1">
      <c r="A2711" s="159" t="s">
        <v>2747</v>
      </c>
      <c r="B2711" s="114" t="str">
        <f>VLOOKUP(A2711,'Data pick slip'!B:F,5,FALSE)</f>
        <v>KHJ-MC200-00</v>
      </c>
      <c r="F2711" s="157" t="s">
        <v>1381</v>
      </c>
      <c r="H2711" s="138">
        <v>1105</v>
      </c>
      <c r="I2711" s="139" t="str">
        <f>VLOOKUP(H2711,Stock_list!A:R,18,FALSE)</f>
        <v>嘉裕</v>
      </c>
      <c r="J2711" s="139" t="str">
        <f>VLOOKUP(H2711,Stock_list!A:S,17,FALSE)</f>
        <v>C49SZX20210029DZ</v>
      </c>
      <c r="K2711" s="51" t="str">
        <f>VLOOKUP(H2711,Stock_list!A:T,16,FALSE)</f>
        <v>JPY</v>
      </c>
      <c r="L2711" s="4">
        <v>44313</v>
      </c>
      <c r="M2711" s="132">
        <v>35</v>
      </c>
      <c r="P2711" s="4" t="str">
        <f>VLOOKUP(H2711,Stock_list!A:Y,25,FALSE)</f>
        <v>Yes</v>
      </c>
      <c r="Q2711" s="143"/>
      <c r="T2711" s="144"/>
      <c r="U2711" s="145" t="str">
        <f>VLOOKUP(H2711,Stock_list!A:N,14,FALSE)</f>
        <v>APR 21</v>
      </c>
    </row>
    <row r="2712" spans="1:21" ht="16.5" customHeight="1">
      <c r="A2712" s="159" t="s">
        <v>2748</v>
      </c>
      <c r="B2712" s="114" t="str">
        <f>VLOOKUP(A2712,'Data pick slip'!B:F,5,FALSE)</f>
        <v>KHJ-MC400-00</v>
      </c>
      <c r="F2712" s="157" t="s">
        <v>1381</v>
      </c>
      <c r="H2712" s="138">
        <v>1105</v>
      </c>
      <c r="I2712" s="139" t="str">
        <f>VLOOKUP(H2712,Stock_list!A:R,18,FALSE)</f>
        <v>嘉裕</v>
      </c>
      <c r="J2712" s="139" t="str">
        <f>VLOOKUP(H2712,Stock_list!A:S,17,FALSE)</f>
        <v>C49SZX20210029DZ</v>
      </c>
      <c r="K2712" s="51" t="str">
        <f>VLOOKUP(H2712,Stock_list!A:T,16,FALSE)</f>
        <v>JPY</v>
      </c>
      <c r="L2712" s="4">
        <v>44313</v>
      </c>
      <c r="M2712" s="132">
        <v>10</v>
      </c>
      <c r="P2712" s="4" t="str">
        <f>VLOOKUP(H2712,Stock_list!A:Y,25,FALSE)</f>
        <v>Yes</v>
      </c>
      <c r="Q2712" s="143"/>
      <c r="T2712" s="144"/>
      <c r="U2712" s="145" t="str">
        <f>VLOOKUP(H2712,Stock_list!A:N,14,FALSE)</f>
        <v>APR 21</v>
      </c>
    </row>
    <row r="2713" spans="1:21" ht="16.5" customHeight="1">
      <c r="A2713" s="159" t="s">
        <v>2749</v>
      </c>
      <c r="B2713" s="114" t="str">
        <f>VLOOKUP(A2713,'Data pick slip'!B:F,5,FALSE)</f>
        <v>KHJ-MC500-00</v>
      </c>
      <c r="F2713" s="157" t="s">
        <v>1381</v>
      </c>
      <c r="H2713" s="138">
        <v>1105</v>
      </c>
      <c r="I2713" s="139" t="str">
        <f>VLOOKUP(H2713,Stock_list!A:R,18,FALSE)</f>
        <v>嘉裕</v>
      </c>
      <c r="J2713" s="139" t="str">
        <f>VLOOKUP(H2713,Stock_list!A:S,17,FALSE)</f>
        <v>C49SZX20210029DZ</v>
      </c>
      <c r="K2713" s="51" t="str">
        <f>VLOOKUP(H2713,Stock_list!A:T,16,FALSE)</f>
        <v>JPY</v>
      </c>
      <c r="L2713" s="4">
        <v>44313</v>
      </c>
      <c r="M2713" s="132">
        <v>5</v>
      </c>
      <c r="P2713" s="4" t="str">
        <f>VLOOKUP(H2713,Stock_list!A:Y,25,FALSE)</f>
        <v>Yes</v>
      </c>
      <c r="Q2713" s="143"/>
      <c r="T2713" s="144"/>
      <c r="U2713" s="145" t="str">
        <f>VLOOKUP(H2713,Stock_list!A:N,14,FALSE)</f>
        <v>APR 21</v>
      </c>
    </row>
    <row r="2714" spans="1:21" ht="16.5" customHeight="1">
      <c r="A2714" s="159" t="s">
        <v>2750</v>
      </c>
      <c r="B2714" s="114" t="str">
        <f>VLOOKUP(A2714,'Data pick slip'!B:F,5,FALSE)</f>
        <v>KHJ-MC600-00</v>
      </c>
      <c r="F2714" s="157" t="s">
        <v>1381</v>
      </c>
      <c r="H2714" s="138">
        <v>1105</v>
      </c>
      <c r="I2714" s="139" t="str">
        <f>VLOOKUP(H2714,Stock_list!A:R,18,FALSE)</f>
        <v>嘉裕</v>
      </c>
      <c r="J2714" s="139" t="str">
        <f>VLOOKUP(H2714,Stock_list!A:S,17,FALSE)</f>
        <v>C49SZX20210029DZ</v>
      </c>
      <c r="K2714" s="51" t="str">
        <f>VLOOKUP(H2714,Stock_list!A:T,16,FALSE)</f>
        <v>JPY</v>
      </c>
      <c r="L2714" s="4">
        <v>44313</v>
      </c>
      <c r="M2714" s="132">
        <v>2</v>
      </c>
      <c r="P2714" s="4" t="str">
        <f>VLOOKUP(H2714,Stock_list!A:Y,25,FALSE)</f>
        <v>Yes</v>
      </c>
      <c r="Q2714" s="143"/>
      <c r="T2714" s="144"/>
      <c r="U2714" s="145" t="str">
        <f>VLOOKUP(H2714,Stock_list!A:N,14,FALSE)</f>
        <v>APR 21</v>
      </c>
    </row>
    <row r="2715" spans="1:21" ht="16.5" customHeight="1">
      <c r="A2715" s="159" t="s">
        <v>2744</v>
      </c>
      <c r="B2715" s="114" t="str">
        <f>VLOOKUP(A2715,'Data pick slip'!B:F,5,FALSE)</f>
        <v>KHJ-MC100-00</v>
      </c>
      <c r="F2715" s="157" t="s">
        <v>1381</v>
      </c>
      <c r="H2715" s="138">
        <v>1106</v>
      </c>
      <c r="I2715" s="139" t="str">
        <f>VLOOKUP(H2715,Stock_list!A:R,18,FALSE)</f>
        <v>赛美达</v>
      </c>
      <c r="J2715" s="139" t="str">
        <f>VLOOKUP(H2715,Stock_list!A:S,17,FALSE)</f>
        <v>C49SZX20210038SX</v>
      </c>
      <c r="K2715" s="51" t="str">
        <f>VLOOKUP(H2715,Stock_list!A:T,16,FALSE)</f>
        <v>JPY</v>
      </c>
      <c r="L2715" s="4">
        <v>44288</v>
      </c>
      <c r="M2715" s="132">
        <v>23</v>
      </c>
      <c r="P2715" s="4" t="str">
        <f>VLOOKUP(H2715,Stock_list!A:Y,25,FALSE)</f>
        <v>Yes</v>
      </c>
      <c r="T2715" s="144"/>
      <c r="U2715" s="145" t="str">
        <f>VLOOKUP(H2715,Stock_list!A:N,14,FALSE)</f>
        <v>APR 21</v>
      </c>
    </row>
    <row r="2716" spans="1:21" ht="16.5" customHeight="1">
      <c r="A2716" s="159" t="s">
        <v>2747</v>
      </c>
      <c r="B2716" s="114" t="str">
        <f>VLOOKUP(A2716,'Data pick slip'!B:F,5,FALSE)</f>
        <v>KHJ-MC200-00</v>
      </c>
      <c r="F2716" s="157" t="s">
        <v>1381</v>
      </c>
      <c r="H2716" s="138">
        <v>1106</v>
      </c>
      <c r="I2716" s="139" t="str">
        <f>VLOOKUP(H2716,Stock_list!A:R,18,FALSE)</f>
        <v>赛美达</v>
      </c>
      <c r="J2716" s="139" t="str">
        <f>VLOOKUP(H2716,Stock_list!A:S,17,FALSE)</f>
        <v>C49SZX20210038SX</v>
      </c>
      <c r="K2716" s="51" t="str">
        <f>VLOOKUP(H2716,Stock_list!A:T,16,FALSE)</f>
        <v>JPY</v>
      </c>
      <c r="L2716" s="4">
        <v>44288</v>
      </c>
      <c r="M2716" s="132">
        <v>8</v>
      </c>
      <c r="P2716" s="4" t="str">
        <f>VLOOKUP(H2716,Stock_list!A:Y,25,FALSE)</f>
        <v>Yes</v>
      </c>
      <c r="T2716" s="144"/>
      <c r="U2716" s="145" t="str">
        <f>VLOOKUP(H2716,Stock_list!A:N,14,FALSE)</f>
        <v>APR 21</v>
      </c>
    </row>
    <row r="2717" spans="1:21" ht="16.5" customHeight="1">
      <c r="A2717" s="159" t="s">
        <v>2777</v>
      </c>
      <c r="B2717" s="114" t="str">
        <f>VLOOKUP(A2717,'Data pick slip'!B:F,5,FALSE)</f>
        <v>KHJ-MC400-00</v>
      </c>
      <c r="F2717" s="157" t="s">
        <v>2753</v>
      </c>
      <c r="H2717" s="138">
        <v>1106</v>
      </c>
      <c r="I2717" s="139" t="str">
        <f>VLOOKUP(H2717,Stock_list!A:R,18,FALSE)</f>
        <v>赛美达</v>
      </c>
      <c r="J2717" s="139" t="str">
        <f>VLOOKUP(H2717,Stock_list!A:S,17,FALSE)</f>
        <v>C49SZX20210038SX</v>
      </c>
      <c r="K2717" s="51" t="str">
        <f>VLOOKUP(H2717,Stock_list!A:T,16,FALSE)</f>
        <v>JPY</v>
      </c>
      <c r="L2717" s="4">
        <v>44288</v>
      </c>
      <c r="M2717" s="132">
        <v>1</v>
      </c>
      <c r="P2717" s="4" t="str">
        <f>VLOOKUP(H2717,Stock_list!A:Y,25,FALSE)</f>
        <v>Yes</v>
      </c>
      <c r="S2717" s="268" t="s">
        <v>2778</v>
      </c>
      <c r="T2717" s="266" t="s">
        <v>3384</v>
      </c>
      <c r="U2717" s="145" t="str">
        <f>VLOOKUP(H2717,Stock_list!A:N,14,FALSE)</f>
        <v>APR 21</v>
      </c>
    </row>
    <row r="2718" spans="1:21" ht="16.5" customHeight="1">
      <c r="A2718" s="159" t="s">
        <v>2749</v>
      </c>
      <c r="B2718" s="114" t="str">
        <f>VLOOKUP(A2718,'Data pick slip'!B:F,5,FALSE)</f>
        <v>KHJ-MC500-00</v>
      </c>
      <c r="F2718" s="157" t="s">
        <v>2753</v>
      </c>
      <c r="H2718" s="138">
        <v>1106</v>
      </c>
      <c r="I2718" s="139" t="str">
        <f>VLOOKUP(H2718,Stock_list!A:R,18,FALSE)</f>
        <v>赛美达</v>
      </c>
      <c r="J2718" s="139" t="str">
        <f>VLOOKUP(H2718,Stock_list!A:S,17,FALSE)</f>
        <v>C49SZX20210038SX</v>
      </c>
      <c r="K2718" s="51" t="str">
        <f>VLOOKUP(H2718,Stock_list!A:T,16,FALSE)</f>
        <v>JPY</v>
      </c>
      <c r="L2718" s="4">
        <v>44288</v>
      </c>
      <c r="M2718" s="132">
        <v>1</v>
      </c>
      <c r="P2718" s="4" t="str">
        <f>VLOOKUP(H2718,Stock_list!A:Y,25,FALSE)</f>
        <v>Yes</v>
      </c>
      <c r="S2718" s="268" t="s">
        <v>2778</v>
      </c>
      <c r="T2718" s="266" t="s">
        <v>3384</v>
      </c>
      <c r="U2718" s="145" t="str">
        <f>VLOOKUP(H2718,Stock_list!A:N,14,FALSE)</f>
        <v>APR 21</v>
      </c>
    </row>
    <row r="2719" spans="1:21" ht="16.5" customHeight="1">
      <c r="A2719" s="159" t="s">
        <v>2744</v>
      </c>
      <c r="B2719" s="114" t="str">
        <f>VLOOKUP(A2719,'Data pick slip'!B:F,5,FALSE)</f>
        <v>KHJ-MC100-00</v>
      </c>
      <c r="F2719" s="157" t="s">
        <v>1381</v>
      </c>
      <c r="H2719" s="138">
        <v>1109</v>
      </c>
      <c r="I2719" s="139" t="str">
        <f>VLOOKUP(H2719,Stock_list!A:R,18,FALSE)</f>
        <v>模鑫</v>
      </c>
      <c r="J2719" s="139" t="str">
        <f>VLOOKUP(H2719,Stock_list!A:S,17,FALSE)</f>
        <v>C49SZX20210037SX</v>
      </c>
      <c r="K2719" s="51" t="str">
        <f>VLOOKUP(H2719,Stock_list!A:T,16,FALSE)</f>
        <v>JPY</v>
      </c>
      <c r="L2719" s="4">
        <v>44277</v>
      </c>
      <c r="M2719" s="143">
        <v>100</v>
      </c>
      <c r="P2719" s="4" t="str">
        <f>VLOOKUP(H2719,Stock_list!A:Y,25,FALSE)</f>
        <v>Yes</v>
      </c>
      <c r="Q2719" s="143"/>
      <c r="T2719" s="144"/>
      <c r="U2719" s="145" t="str">
        <f>VLOOKUP(H2719,Stock_list!A:N,14,FALSE)</f>
        <v>MAR 21</v>
      </c>
    </row>
    <row r="2720" spans="1:21" ht="16.5" customHeight="1">
      <c r="A2720" s="159" t="s">
        <v>2747</v>
      </c>
      <c r="B2720" s="114" t="str">
        <f>VLOOKUP(A2720,'Data pick slip'!B:F,5,FALSE)</f>
        <v>KHJ-MC200-00</v>
      </c>
      <c r="F2720" s="157" t="s">
        <v>1381</v>
      </c>
      <c r="H2720" s="138">
        <v>1109</v>
      </c>
      <c r="I2720" s="139" t="str">
        <f>VLOOKUP(H2720,Stock_list!A:R,18,FALSE)</f>
        <v>模鑫</v>
      </c>
      <c r="J2720" s="139" t="str">
        <f>VLOOKUP(H2720,Stock_list!A:S,17,FALSE)</f>
        <v>C49SZX20210037SX</v>
      </c>
      <c r="K2720" s="51" t="str">
        <f>VLOOKUP(H2720,Stock_list!A:T,16,FALSE)</f>
        <v>JPY</v>
      </c>
      <c r="L2720" s="4">
        <v>44277</v>
      </c>
      <c r="M2720" s="143">
        <v>20</v>
      </c>
      <c r="P2720" s="4" t="str">
        <f>VLOOKUP(H2720,Stock_list!A:Y,25,FALSE)</f>
        <v>Yes</v>
      </c>
      <c r="Q2720" s="143"/>
      <c r="T2720" s="144"/>
      <c r="U2720" s="145" t="str">
        <f>VLOOKUP(H2720,Stock_list!A:N,14,FALSE)</f>
        <v>MAR 21</v>
      </c>
    </row>
    <row r="2721" spans="1:21" ht="16.5" customHeight="1">
      <c r="A2721" s="159" t="s">
        <v>2744</v>
      </c>
      <c r="B2721" s="114" t="str">
        <f>VLOOKUP(A2721,'Data pick slip'!B:F,5,FALSE)</f>
        <v>KHJ-MC100-00</v>
      </c>
      <c r="F2721" s="157" t="s">
        <v>1381</v>
      </c>
      <c r="H2721" s="138">
        <v>1111</v>
      </c>
      <c r="I2721" s="139" t="str">
        <f>VLOOKUP(H2721,Stock_list!A:R,18,FALSE)</f>
        <v>捷舜诚</v>
      </c>
      <c r="J2721" s="139" t="str">
        <f>VLOOKUP(H2721,Stock_list!A:S,17,FALSE)</f>
        <v>C49SZX20210032JL</v>
      </c>
      <c r="K2721" s="51" t="str">
        <f>VLOOKUP(H2721,Stock_list!A:T,16,FALSE)</f>
        <v>JPY</v>
      </c>
      <c r="L2721" s="4">
        <v>44286</v>
      </c>
      <c r="M2721" s="143">
        <v>28</v>
      </c>
      <c r="P2721" s="4" t="str">
        <f>VLOOKUP(H2721,Stock_list!A:Y,25,FALSE)</f>
        <v>Yes</v>
      </c>
      <c r="Q2721" s="143"/>
      <c r="T2721" s="144"/>
      <c r="U2721" s="145" t="str">
        <f>VLOOKUP(H2721,Stock_list!A:N,14,FALSE)</f>
        <v>FEB 21</v>
      </c>
    </row>
    <row r="2722" spans="1:21" ht="16.5" customHeight="1">
      <c r="A2722" s="159" t="s">
        <v>2747</v>
      </c>
      <c r="B2722" s="114" t="str">
        <f>VLOOKUP(A2722,'Data pick slip'!B:F,5,FALSE)</f>
        <v>KHJ-MC200-00</v>
      </c>
      <c r="F2722" s="157" t="s">
        <v>1381</v>
      </c>
      <c r="H2722" s="138">
        <v>1111</v>
      </c>
      <c r="I2722" s="139" t="str">
        <f>VLOOKUP(H2722,Stock_list!A:R,18,FALSE)</f>
        <v>捷舜诚</v>
      </c>
      <c r="J2722" s="139" t="str">
        <f>VLOOKUP(H2722,Stock_list!A:S,17,FALSE)</f>
        <v>C49SZX20210032JL</v>
      </c>
      <c r="K2722" s="51" t="str">
        <f>VLOOKUP(H2722,Stock_list!A:T,16,FALSE)</f>
        <v>JPY</v>
      </c>
      <c r="L2722" s="4">
        <v>44286</v>
      </c>
      <c r="M2722" s="143">
        <v>1</v>
      </c>
      <c r="P2722" s="4" t="str">
        <f>VLOOKUP(H2722,Stock_list!A:Y,25,FALSE)</f>
        <v>Yes</v>
      </c>
      <c r="Q2722" s="143"/>
      <c r="T2722" s="144"/>
      <c r="U2722" s="145" t="str">
        <f>VLOOKUP(H2722,Stock_list!A:N,14,FALSE)</f>
        <v>FEB 21</v>
      </c>
    </row>
    <row r="2723" spans="1:21" ht="16.5" customHeight="1">
      <c r="A2723" s="159" t="s">
        <v>2748</v>
      </c>
      <c r="B2723" s="114" t="str">
        <f>VLOOKUP(A2723,'Data pick slip'!B:F,5,FALSE)</f>
        <v>KHJ-MC400-00</v>
      </c>
      <c r="F2723" s="157" t="s">
        <v>2753</v>
      </c>
      <c r="H2723" s="138">
        <v>1111</v>
      </c>
      <c r="I2723" s="139" t="str">
        <f>VLOOKUP(H2723,Stock_list!A:R,18,FALSE)</f>
        <v>捷舜诚</v>
      </c>
      <c r="J2723" s="139" t="str">
        <f>VLOOKUP(H2723,Stock_list!A:S,17,FALSE)</f>
        <v>C49SZX20210032JL</v>
      </c>
      <c r="K2723" s="51" t="str">
        <f>VLOOKUP(H2723,Stock_list!A:T,16,FALSE)</f>
        <v>JPY</v>
      </c>
      <c r="L2723" s="4">
        <v>44286</v>
      </c>
      <c r="M2723" s="143">
        <v>1</v>
      </c>
      <c r="P2723" s="4" t="str">
        <f>VLOOKUP(H2723,Stock_list!A:Y,25,FALSE)</f>
        <v>Yes</v>
      </c>
      <c r="Q2723" s="143"/>
      <c r="S2723" s="268" t="s">
        <v>2778</v>
      </c>
      <c r="T2723" s="266" t="s">
        <v>3384</v>
      </c>
      <c r="U2723" s="145" t="str">
        <f>VLOOKUP(H2723,Stock_list!A:N,14,FALSE)</f>
        <v>FEB 21</v>
      </c>
    </row>
    <row r="2724" spans="1:21" ht="16.5" customHeight="1">
      <c r="A2724" s="159" t="s">
        <v>2744</v>
      </c>
      <c r="B2724" s="114" t="str">
        <f>VLOOKUP(A2724,'Data pick slip'!B:F,5,FALSE)</f>
        <v>KHJ-MC100-00</v>
      </c>
      <c r="F2724" s="157" t="s">
        <v>1381</v>
      </c>
      <c r="H2724" s="138">
        <v>1111</v>
      </c>
      <c r="I2724" s="139" t="str">
        <f>VLOOKUP(H2724,Stock_list!A:R,18,FALSE)</f>
        <v>捷舜诚</v>
      </c>
      <c r="J2724" s="139" t="str">
        <f>VLOOKUP(H2724,Stock_list!A:S,17,FALSE)</f>
        <v>C49SZX20210032JL</v>
      </c>
      <c r="K2724" s="51" t="str">
        <f>VLOOKUP(H2724,Stock_list!A:T,16,FALSE)</f>
        <v>JPY</v>
      </c>
      <c r="L2724" s="4">
        <v>44256</v>
      </c>
      <c r="M2724" s="143">
        <v>28</v>
      </c>
      <c r="N2724" s="146"/>
      <c r="P2724" s="4" t="str">
        <f>VLOOKUP(H2724,Stock_list!A:Y,25,FALSE)</f>
        <v>Yes</v>
      </c>
      <c r="Q2724" s="143"/>
      <c r="T2724" s="144"/>
      <c r="U2724" s="145" t="str">
        <f>VLOOKUP(H2724,Stock_list!A:N,14,FALSE)</f>
        <v>FEB 21</v>
      </c>
    </row>
    <row r="2725" spans="1:21" ht="16.5" customHeight="1">
      <c r="A2725" s="159" t="s">
        <v>2747</v>
      </c>
      <c r="B2725" s="114" t="str">
        <f>VLOOKUP(A2725,'Data pick slip'!B:F,5,FALSE)</f>
        <v>KHJ-MC200-00</v>
      </c>
      <c r="F2725" s="157" t="s">
        <v>1381</v>
      </c>
      <c r="H2725" s="138">
        <v>1111</v>
      </c>
      <c r="I2725" s="139" t="str">
        <f>VLOOKUP(H2725,Stock_list!A:R,18,FALSE)</f>
        <v>捷舜诚</v>
      </c>
      <c r="J2725" s="139" t="str">
        <f>VLOOKUP(H2725,Stock_list!A:S,17,FALSE)</f>
        <v>C49SZX20210032JL</v>
      </c>
      <c r="K2725" s="51" t="str">
        <f>VLOOKUP(H2725,Stock_list!A:T,16,FALSE)</f>
        <v>JPY</v>
      </c>
      <c r="L2725" s="4">
        <v>44256</v>
      </c>
      <c r="M2725" s="143">
        <v>1</v>
      </c>
      <c r="N2725" s="146"/>
      <c r="P2725" s="4" t="str">
        <f>VLOOKUP(H2725,Stock_list!A:Y,25,FALSE)</f>
        <v>Yes</v>
      </c>
      <c r="Q2725" s="143"/>
      <c r="T2725" s="144"/>
      <c r="U2725" s="145" t="str">
        <f>VLOOKUP(H2725,Stock_list!A:N,14,FALSE)</f>
        <v>FEB 21</v>
      </c>
    </row>
    <row r="2726" spans="1:21" ht="16.5" customHeight="1">
      <c r="A2726" s="159" t="s">
        <v>2748</v>
      </c>
      <c r="B2726" s="114" t="str">
        <f>VLOOKUP(A2726,'Data pick slip'!B:F,5,FALSE)</f>
        <v>KHJ-MC400-00</v>
      </c>
      <c r="F2726" s="157" t="s">
        <v>1381</v>
      </c>
      <c r="H2726" s="138">
        <v>1111</v>
      </c>
      <c r="I2726" s="139" t="str">
        <f>VLOOKUP(H2726,Stock_list!A:R,18,FALSE)</f>
        <v>捷舜诚</v>
      </c>
      <c r="J2726" s="139" t="str">
        <f>VLOOKUP(H2726,Stock_list!A:S,17,FALSE)</f>
        <v>C49SZX20210032JL</v>
      </c>
      <c r="K2726" s="51" t="str">
        <f>VLOOKUP(H2726,Stock_list!A:T,16,FALSE)</f>
        <v>JPY</v>
      </c>
      <c r="L2726" s="4">
        <v>44256</v>
      </c>
      <c r="M2726" s="143">
        <v>1</v>
      </c>
      <c r="N2726" s="146"/>
      <c r="P2726" s="4" t="str">
        <f>VLOOKUP(H2726,Stock_list!A:Y,25,FALSE)</f>
        <v>Yes</v>
      </c>
      <c r="Q2726" s="143"/>
      <c r="T2726" s="144"/>
      <c r="U2726" s="145" t="str">
        <f>VLOOKUP(H2726,Stock_list!A:N,14,FALSE)</f>
        <v>FEB 21</v>
      </c>
    </row>
    <row r="2727" spans="1:21" ht="16.5" customHeight="1">
      <c r="A2727" s="159" t="s">
        <v>2744</v>
      </c>
      <c r="B2727" s="114" t="str">
        <f>VLOOKUP(A2727,'Data pick slip'!B:F,5,FALSE)</f>
        <v>KHJ-MC100-00</v>
      </c>
      <c r="F2727" s="157" t="s">
        <v>1381</v>
      </c>
      <c r="H2727" s="138">
        <v>1119</v>
      </c>
      <c r="I2727" s="139" t="str">
        <f>VLOOKUP(H2727,Stock_list!A:R,18,FALSE)</f>
        <v>英拓邦</v>
      </c>
      <c r="J2727" s="139" t="str">
        <f>VLOOKUP(H2727,Stock_list!A:S,17,FALSE)</f>
        <v>C49SZX20210011JY</v>
      </c>
      <c r="K2727" s="51" t="str">
        <f>VLOOKUP(H2727,Stock_list!A:T,16,FALSE)</f>
        <v>JPY</v>
      </c>
      <c r="L2727" s="4">
        <v>44277</v>
      </c>
      <c r="M2727" s="143">
        <v>400</v>
      </c>
      <c r="P2727" s="4" t="str">
        <f>VLOOKUP(H2727,Stock_list!A:Y,25,FALSE)</f>
        <v>Yes</v>
      </c>
      <c r="Q2727" s="143"/>
      <c r="T2727" s="144"/>
      <c r="U2727" s="145" t="str">
        <f>VLOOKUP(H2727,Stock_list!A:N,14,FALSE)</f>
        <v>MAR 21</v>
      </c>
    </row>
    <row r="2728" spans="1:21" ht="16.5" customHeight="1">
      <c r="A2728" s="159" t="s">
        <v>2747</v>
      </c>
      <c r="B2728" s="114" t="str">
        <f>VLOOKUP(A2728,'Data pick slip'!B:F,5,FALSE)</f>
        <v>KHJ-MC200-00</v>
      </c>
      <c r="F2728" s="157" t="s">
        <v>1381</v>
      </c>
      <c r="H2728" s="138">
        <v>1119</v>
      </c>
      <c r="I2728" s="139" t="str">
        <f>VLOOKUP(H2728,Stock_list!A:R,18,FALSE)</f>
        <v>英拓邦</v>
      </c>
      <c r="J2728" s="139" t="str">
        <f>VLOOKUP(H2728,Stock_list!A:S,17,FALSE)</f>
        <v>C49SZX20210011JY</v>
      </c>
      <c r="K2728" s="51" t="str">
        <f>VLOOKUP(H2728,Stock_list!A:T,16,FALSE)</f>
        <v>JPY</v>
      </c>
      <c r="L2728" s="4">
        <v>44277</v>
      </c>
      <c r="M2728" s="143">
        <v>60</v>
      </c>
      <c r="P2728" s="4" t="str">
        <f>VLOOKUP(H2728,Stock_list!A:Y,25,FALSE)</f>
        <v>Yes</v>
      </c>
      <c r="Q2728" s="143"/>
      <c r="T2728" s="144"/>
      <c r="U2728" s="145" t="str">
        <f>VLOOKUP(H2728,Stock_list!A:N,14,FALSE)</f>
        <v>MAR 21</v>
      </c>
    </row>
    <row r="2729" spans="1:21" ht="16.5" customHeight="1">
      <c r="A2729" s="159" t="s">
        <v>2748</v>
      </c>
      <c r="B2729" s="114" t="str">
        <f>VLOOKUP(A2729,'Data pick slip'!B:F,5,FALSE)</f>
        <v>KHJ-MC400-00</v>
      </c>
      <c r="F2729" s="157" t="s">
        <v>1381</v>
      </c>
      <c r="H2729" s="138">
        <v>1119</v>
      </c>
      <c r="I2729" s="139" t="str">
        <f>VLOOKUP(H2729,Stock_list!A:R,18,FALSE)</f>
        <v>英拓邦</v>
      </c>
      <c r="J2729" s="139" t="str">
        <f>VLOOKUP(H2729,Stock_list!A:S,17,FALSE)</f>
        <v>C49SZX20210011JY</v>
      </c>
      <c r="K2729" s="51" t="str">
        <f>VLOOKUP(H2729,Stock_list!A:T,16,FALSE)</f>
        <v>JPY</v>
      </c>
      <c r="L2729" s="4">
        <v>44277</v>
      </c>
      <c r="M2729" s="143">
        <v>11</v>
      </c>
      <c r="N2729" s="146"/>
      <c r="P2729" s="4" t="str">
        <f>VLOOKUP(H2729,Stock_list!A:Y,25,FALSE)</f>
        <v>Yes</v>
      </c>
      <c r="Q2729" s="143"/>
      <c r="T2729" s="144"/>
      <c r="U2729" s="145" t="str">
        <f>VLOOKUP(H2729,Stock_list!A:N,14,FALSE)</f>
        <v>MAR 21</v>
      </c>
    </row>
    <row r="2730" spans="1:21" ht="16.5" customHeight="1">
      <c r="A2730" s="159" t="s">
        <v>2748</v>
      </c>
      <c r="B2730" s="280" t="str">
        <f>VLOOKUP(A2730,'Data pick slip'!B:F,5,FALSE)</f>
        <v>KHJ-MC400-00</v>
      </c>
      <c r="F2730" s="157" t="s">
        <v>2753</v>
      </c>
      <c r="H2730" s="138">
        <v>1119</v>
      </c>
      <c r="I2730" s="139" t="str">
        <f>VLOOKUP(H2730,Stock_list!A:R,18,FALSE)</f>
        <v>英拓邦</v>
      </c>
      <c r="J2730" s="139" t="str">
        <f>VLOOKUP(H2730,Stock_list!A:S,17,FALSE)</f>
        <v>C49SZX20210011JY</v>
      </c>
      <c r="K2730" s="51" t="str">
        <f>VLOOKUP(H2730,Stock_list!A:T,16,FALSE)</f>
        <v>JPY</v>
      </c>
      <c r="L2730" s="4">
        <v>44277</v>
      </c>
      <c r="M2730" s="143">
        <v>9</v>
      </c>
      <c r="N2730" s="146"/>
      <c r="P2730" s="4" t="str">
        <f>VLOOKUP(H2730,Stock_list!A:Y,25,FALSE)</f>
        <v>Yes</v>
      </c>
      <c r="Q2730" s="143"/>
      <c r="S2730" s="268" t="s">
        <v>2778</v>
      </c>
      <c r="T2730" s="266" t="s">
        <v>3417</v>
      </c>
      <c r="U2730" s="145" t="str">
        <f>VLOOKUP(H2730,Stock_list!A:N,14,FALSE)</f>
        <v>MAR 21</v>
      </c>
    </row>
    <row r="2731" spans="1:21" ht="16.5" customHeight="1">
      <c r="A2731" s="159" t="s">
        <v>2749</v>
      </c>
      <c r="B2731" s="280" t="str">
        <f>VLOOKUP(A2731,'Data pick slip'!B:F,5,FALSE)</f>
        <v>KHJ-MC500-00</v>
      </c>
      <c r="F2731" s="157" t="s">
        <v>2753</v>
      </c>
      <c r="H2731" s="138">
        <v>1119</v>
      </c>
      <c r="I2731" s="139" t="str">
        <f>VLOOKUP(H2731,Stock_list!A:R,18,FALSE)</f>
        <v>英拓邦</v>
      </c>
      <c r="J2731" s="139" t="str">
        <f>VLOOKUP(H2731,Stock_list!A:S,17,FALSE)</f>
        <v>C49SZX20210011JY</v>
      </c>
      <c r="K2731" s="51" t="str">
        <f>VLOOKUP(H2731,Stock_list!A:T,16,FALSE)</f>
        <v>JPY</v>
      </c>
      <c r="L2731" s="4">
        <v>44277</v>
      </c>
      <c r="M2731" s="143">
        <v>3</v>
      </c>
      <c r="N2731" s="146"/>
      <c r="P2731" s="4" t="str">
        <f>VLOOKUP(H2731,Stock_list!A:Y,25,FALSE)</f>
        <v>Yes</v>
      </c>
      <c r="Q2731" s="143"/>
      <c r="S2731" s="268" t="s">
        <v>2778</v>
      </c>
      <c r="T2731" s="266" t="s">
        <v>3417</v>
      </c>
      <c r="U2731" s="145" t="str">
        <f>VLOOKUP(H2731,Stock_list!A:N,14,FALSE)</f>
        <v>MAR 21</v>
      </c>
    </row>
    <row r="2732" spans="1:21" ht="16.5" customHeight="1">
      <c r="A2732" s="159" t="s">
        <v>2750</v>
      </c>
      <c r="B2732" s="114" t="str">
        <f>VLOOKUP(A2732,'Data pick slip'!B:F,5,FALSE)</f>
        <v>KHJ-MC600-00</v>
      </c>
      <c r="F2732" s="157" t="s">
        <v>1381</v>
      </c>
      <c r="H2732" s="138">
        <v>1119</v>
      </c>
      <c r="I2732" s="139" t="str">
        <f>VLOOKUP(H2732,Stock_list!A:R,18,FALSE)</f>
        <v>英拓邦</v>
      </c>
      <c r="J2732" s="139" t="str">
        <f>VLOOKUP(H2732,Stock_list!A:S,17,FALSE)</f>
        <v>C49SZX20210011JY</v>
      </c>
      <c r="K2732" s="51" t="str">
        <f>VLOOKUP(H2732,Stock_list!A:T,16,FALSE)</f>
        <v>JPY</v>
      </c>
      <c r="L2732" s="4">
        <v>44277</v>
      </c>
      <c r="M2732" s="143">
        <v>2</v>
      </c>
      <c r="N2732" s="146"/>
      <c r="P2732" s="4" t="str">
        <f>VLOOKUP(H2732,Stock_list!A:Y,25,FALSE)</f>
        <v>Yes</v>
      </c>
      <c r="Q2732" s="143"/>
      <c r="T2732" s="144"/>
      <c r="U2732" s="145" t="str">
        <f>VLOOKUP(H2732,Stock_list!A:N,14,FALSE)</f>
        <v>MAR 21</v>
      </c>
    </row>
    <row r="2733" spans="1:21" ht="16.5" customHeight="1">
      <c r="A2733" s="159" t="s">
        <v>2751</v>
      </c>
      <c r="B2733" s="114" t="str">
        <f>VLOOKUP(A2733,'Data pick slip'!B:F,5,FALSE)</f>
        <v>KHJ-MC700-00</v>
      </c>
      <c r="F2733" s="157" t="s">
        <v>1381</v>
      </c>
      <c r="H2733" s="138">
        <v>1119</v>
      </c>
      <c r="I2733" s="139" t="str">
        <f>VLOOKUP(H2733,Stock_list!A:R,18,FALSE)</f>
        <v>英拓邦</v>
      </c>
      <c r="J2733" s="139" t="str">
        <f>VLOOKUP(H2733,Stock_list!A:S,17,FALSE)</f>
        <v>C49SZX20210011JY</v>
      </c>
      <c r="K2733" s="51" t="str">
        <f>VLOOKUP(H2733,Stock_list!A:T,16,FALSE)</f>
        <v>JPY</v>
      </c>
      <c r="L2733" s="4">
        <v>44334</v>
      </c>
      <c r="M2733" s="140">
        <v>1</v>
      </c>
      <c r="N2733" s="143"/>
      <c r="P2733" s="4" t="str">
        <f>VLOOKUP(H2733,Stock_list!A:Y,25,FALSE)</f>
        <v>Yes</v>
      </c>
      <c r="Q2733" s="143"/>
      <c r="S2733" s="268" t="s">
        <v>2778</v>
      </c>
      <c r="T2733" s="266" t="s">
        <v>3418</v>
      </c>
      <c r="U2733" s="145" t="str">
        <f>VLOOKUP(H2733,Stock_list!A:N,14,FALSE)</f>
        <v>MAR 21</v>
      </c>
    </row>
    <row r="2734" spans="1:21" ht="16.5" customHeight="1">
      <c r="A2734" s="159" t="s">
        <v>2744</v>
      </c>
      <c r="B2734" s="114" t="str">
        <f>VLOOKUP(A2734,'Data pick slip'!B:F,5,FALSE)</f>
        <v>KHJ-MC100-00</v>
      </c>
      <c r="F2734" s="157" t="s">
        <v>1381</v>
      </c>
      <c r="H2734" s="138">
        <v>1130</v>
      </c>
      <c r="I2734" s="139" t="str">
        <f>VLOOKUP(H2734,Stock_list!A:R,18,FALSE)</f>
        <v>正宏兴</v>
      </c>
      <c r="J2734" s="139" t="str">
        <f>VLOOKUP(H2734,Stock_list!A:S,17,FALSE)</f>
        <v>C49SZX20210043AY</v>
      </c>
      <c r="K2734" s="51" t="str">
        <f>VLOOKUP(H2734,Stock_list!A:T,16,FALSE)</f>
        <v>JPY</v>
      </c>
      <c r="L2734" s="4"/>
      <c r="N2734" s="132">
        <v>20</v>
      </c>
      <c r="P2734" s="4" t="str">
        <f>VLOOKUP(H2734,Stock_list!A:Y,25,FALSE)</f>
        <v>Yes</v>
      </c>
      <c r="Q2734" s="143"/>
      <c r="T2734" s="144"/>
      <c r="U2734" s="145">
        <f>VLOOKUP(H2734,Stock_list!A:N,14,FALSE)</f>
        <v>0</v>
      </c>
    </row>
    <row r="2735" spans="1:21" ht="16.5" customHeight="1">
      <c r="A2735" s="159" t="s">
        <v>2747</v>
      </c>
      <c r="B2735" s="114" t="str">
        <f>VLOOKUP(A2735,'Data pick slip'!B:F,5,FALSE)</f>
        <v>KHJ-MC200-00</v>
      </c>
      <c r="F2735" s="157" t="s">
        <v>1381</v>
      </c>
      <c r="H2735" s="138">
        <v>1130</v>
      </c>
      <c r="I2735" s="139" t="str">
        <f>VLOOKUP(H2735,Stock_list!A:R,18,FALSE)</f>
        <v>正宏兴</v>
      </c>
      <c r="J2735" s="139" t="str">
        <f>VLOOKUP(H2735,Stock_list!A:S,17,FALSE)</f>
        <v>C49SZX20210043AY</v>
      </c>
      <c r="K2735" s="51" t="str">
        <f>VLOOKUP(H2735,Stock_list!A:T,16,FALSE)</f>
        <v>JPY</v>
      </c>
      <c r="L2735" s="4"/>
      <c r="N2735" s="132">
        <v>10</v>
      </c>
      <c r="P2735" s="4" t="str">
        <f>VLOOKUP(H2735,Stock_list!A:Y,25,FALSE)</f>
        <v>Yes</v>
      </c>
      <c r="Q2735" s="143"/>
      <c r="T2735" s="144"/>
      <c r="U2735" s="145">
        <f>VLOOKUP(H2735,Stock_list!A:N,14,FALSE)</f>
        <v>0</v>
      </c>
    </row>
    <row r="2736" spans="1:21" ht="16.5" customHeight="1">
      <c r="A2736" s="159" t="s">
        <v>2748</v>
      </c>
      <c r="B2736" s="114" t="str">
        <f>VLOOKUP(A2736,'Data pick slip'!B:F,5,FALSE)</f>
        <v>KHJ-MC400-00</v>
      </c>
      <c r="F2736" s="157" t="s">
        <v>1381</v>
      </c>
      <c r="H2736" s="138">
        <v>1130</v>
      </c>
      <c r="I2736" s="139" t="str">
        <f>VLOOKUP(H2736,Stock_list!A:R,18,FALSE)</f>
        <v>正宏兴</v>
      </c>
      <c r="J2736" s="139" t="str">
        <f>VLOOKUP(H2736,Stock_list!A:S,17,FALSE)</f>
        <v>C49SZX20210043AY</v>
      </c>
      <c r="K2736" s="51" t="str">
        <f>VLOOKUP(H2736,Stock_list!A:T,16,FALSE)</f>
        <v>JPY</v>
      </c>
      <c r="L2736" s="4"/>
      <c r="N2736" s="132">
        <v>1</v>
      </c>
      <c r="P2736" s="4" t="str">
        <f>VLOOKUP(H2736,Stock_list!A:Y,25,FALSE)</f>
        <v>Yes</v>
      </c>
      <c r="Q2736" s="143"/>
      <c r="T2736" s="144"/>
      <c r="U2736" s="145">
        <f>VLOOKUP(H2736,Stock_list!A:N,14,FALSE)</f>
        <v>0</v>
      </c>
    </row>
    <row r="2737" spans="1:21" ht="16.5" customHeight="1">
      <c r="A2737" s="159" t="s">
        <v>2755</v>
      </c>
      <c r="B2737" s="114" t="str">
        <f>VLOOKUP(A2737,'Data pick slip'!B:F,5,FALSE)</f>
        <v>KLJ-MC100-00</v>
      </c>
      <c r="F2737" s="157" t="s">
        <v>1381</v>
      </c>
      <c r="H2737" s="138">
        <v>1128</v>
      </c>
      <c r="I2737" s="139" t="str">
        <f>VLOOKUP(H2737,Stock_list!A:R,18,FALSE)</f>
        <v>恒泰创新</v>
      </c>
      <c r="J2737" s="139" t="str">
        <f>VLOOKUP(H2737,Stock_list!A:S,17,FALSE)</f>
        <v>C49SZX20210036JZ</v>
      </c>
      <c r="K2737" s="51" t="str">
        <f>VLOOKUP(H2737,Stock_list!A:T,16,FALSE)</f>
        <v>JPY</v>
      </c>
      <c r="L2737" s="4">
        <v>44307</v>
      </c>
      <c r="M2737" s="143">
        <v>50</v>
      </c>
      <c r="P2737" s="4" t="str">
        <f>VLOOKUP(H2737,Stock_list!A:Y,25,FALSE)</f>
        <v>Yes</v>
      </c>
      <c r="T2737" s="144"/>
      <c r="U2737" s="145" t="str">
        <f>VLOOKUP(H2737,Stock_list!A:N,14,FALSE)</f>
        <v>APR 21</v>
      </c>
    </row>
    <row r="2738" spans="1:21" ht="16.5" customHeight="1">
      <c r="A2738" s="159" t="s">
        <v>2756</v>
      </c>
      <c r="B2738" s="114" t="str">
        <f>VLOOKUP(A2738,'Data pick slip'!B:F,5,FALSE)</f>
        <v>KLJ-MC200-00</v>
      </c>
      <c r="F2738" s="157" t="s">
        <v>1381</v>
      </c>
      <c r="H2738" s="138">
        <v>1128</v>
      </c>
      <c r="I2738" s="139" t="str">
        <f>VLOOKUP(H2738,Stock_list!A:R,18,FALSE)</f>
        <v>恒泰创新</v>
      </c>
      <c r="J2738" s="139" t="str">
        <f>VLOOKUP(H2738,Stock_list!A:S,17,FALSE)</f>
        <v>C49SZX20210036JZ</v>
      </c>
      <c r="K2738" s="51" t="str">
        <f>VLOOKUP(H2738,Stock_list!A:T,16,FALSE)</f>
        <v>JPY</v>
      </c>
      <c r="L2738" s="4">
        <v>44307</v>
      </c>
      <c r="M2738" s="143">
        <v>10</v>
      </c>
      <c r="P2738" s="4" t="str">
        <f>VLOOKUP(H2738,Stock_list!A:Y,25,FALSE)</f>
        <v>Yes</v>
      </c>
      <c r="T2738" s="144"/>
      <c r="U2738" s="145" t="str">
        <f>VLOOKUP(H2738,Stock_list!A:N,14,FALSE)</f>
        <v>APR 21</v>
      </c>
    </row>
    <row r="2739" spans="1:21" ht="16.5" customHeight="1">
      <c r="A2739" s="159" t="s">
        <v>2758</v>
      </c>
      <c r="B2739" s="114" t="str">
        <f>VLOOKUP(A2739,'Data pick slip'!B:F,5,FALSE)</f>
        <v>KLJ-MC500-00</v>
      </c>
      <c r="F2739" s="157" t="s">
        <v>1381</v>
      </c>
      <c r="H2739" s="138">
        <v>1128</v>
      </c>
      <c r="I2739" s="139" t="str">
        <f>VLOOKUP(H2739,Stock_list!A:R,18,FALSE)</f>
        <v>恒泰创新</v>
      </c>
      <c r="J2739" s="139" t="str">
        <f>VLOOKUP(H2739,Stock_list!A:S,17,FALSE)</f>
        <v>C49SZX20210036JZ</v>
      </c>
      <c r="K2739" s="51" t="str">
        <f>VLOOKUP(H2739,Stock_list!A:T,16,FALSE)</f>
        <v>JPY</v>
      </c>
      <c r="L2739" s="4">
        <v>44307</v>
      </c>
      <c r="M2739" s="143">
        <v>1</v>
      </c>
      <c r="P2739" s="4" t="str">
        <f>VLOOKUP(H2739,Stock_list!A:Y,25,FALSE)</f>
        <v>Yes</v>
      </c>
      <c r="T2739" s="144"/>
      <c r="U2739" s="145" t="str">
        <f>VLOOKUP(H2739,Stock_list!A:N,14,FALSE)</f>
        <v>APR 21</v>
      </c>
    </row>
    <row r="2740" spans="1:21" ht="16.5" customHeight="1">
      <c r="A2740" s="159" t="s">
        <v>2744</v>
      </c>
      <c r="B2740" s="114" t="str">
        <f>VLOOKUP(A2740,'Data pick slip'!B:F,5,FALSE)</f>
        <v>KHJ-MC100-00</v>
      </c>
      <c r="F2740" s="157" t="s">
        <v>2753</v>
      </c>
      <c r="H2740" s="138">
        <v>1131</v>
      </c>
      <c r="I2740" s="139" t="str">
        <f>VLOOKUP(H2740,Stock_list!A:R,18,FALSE)</f>
        <v>惠宇</v>
      </c>
      <c r="J2740" s="139" t="str">
        <f>VLOOKUP(H2740,Stock_list!A:S,17,FALSE)</f>
        <v>C49SZX20210040DY</v>
      </c>
      <c r="K2740" s="51" t="str">
        <f>VLOOKUP(H2740,Stock_list!A:T,16,FALSE)</f>
        <v>RMB</v>
      </c>
      <c r="L2740" s="4">
        <v>44358</v>
      </c>
      <c r="M2740" s="143">
        <v>50</v>
      </c>
      <c r="P2740" s="4" t="str">
        <f>VLOOKUP(H2740,Stock_list!A:Y,25,FALSE)</f>
        <v>Yes</v>
      </c>
      <c r="T2740" s="144"/>
      <c r="U2740" s="145" t="str">
        <f>VLOOKUP(H2740,Stock_list!A:N,14,FALSE)</f>
        <v>JUN 21</v>
      </c>
    </row>
    <row r="2741" spans="1:21" ht="16.5" customHeight="1">
      <c r="A2741" s="159" t="s">
        <v>2747</v>
      </c>
      <c r="B2741" s="114" t="str">
        <f>VLOOKUP(A2741,'Data pick slip'!B:F,5,FALSE)</f>
        <v>KHJ-MC200-00</v>
      </c>
      <c r="F2741" s="157" t="s">
        <v>2753</v>
      </c>
      <c r="H2741" s="138">
        <v>1131</v>
      </c>
      <c r="I2741" s="139" t="str">
        <f>VLOOKUP(H2741,Stock_list!A:R,18,FALSE)</f>
        <v>惠宇</v>
      </c>
      <c r="J2741" s="139" t="str">
        <f>VLOOKUP(H2741,Stock_list!A:S,17,FALSE)</f>
        <v>C49SZX20210040DY</v>
      </c>
      <c r="K2741" s="51" t="str">
        <f>VLOOKUP(H2741,Stock_list!A:T,16,FALSE)</f>
        <v>RMB</v>
      </c>
      <c r="L2741" s="4">
        <v>44358</v>
      </c>
      <c r="M2741" s="143">
        <v>5</v>
      </c>
      <c r="P2741" s="4" t="str">
        <f>VLOOKUP(H2741,Stock_list!A:Y,25,FALSE)</f>
        <v>Yes</v>
      </c>
      <c r="T2741" s="144"/>
      <c r="U2741" s="145" t="str">
        <f>VLOOKUP(H2741,Stock_list!A:N,14,FALSE)</f>
        <v>JUN 21</v>
      </c>
    </row>
    <row r="2742" spans="1:21" ht="16.5" customHeight="1">
      <c r="A2742" s="159" t="s">
        <v>2744</v>
      </c>
      <c r="B2742" s="114" t="str">
        <f>VLOOKUP(A2742,'Data pick slip'!B:F,5,FALSE)</f>
        <v>KHJ-MC100-00</v>
      </c>
      <c r="F2742" s="157" t="s">
        <v>1381</v>
      </c>
      <c r="H2742" s="138">
        <v>1132</v>
      </c>
      <c r="I2742" s="139" t="str">
        <f>VLOOKUP(H2742,Stock_list!A:R,18,FALSE)</f>
        <v>狂热者</v>
      </c>
      <c r="J2742" s="139" t="str">
        <f>VLOOKUP(H2742,Stock_list!A:S,17,FALSE)</f>
        <v>C49SZX20210042VG</v>
      </c>
      <c r="K2742" s="51" t="str">
        <f>VLOOKUP(H2742,Stock_list!A:T,16,FALSE)</f>
        <v>JPY</v>
      </c>
      <c r="L2742" s="4">
        <v>44333</v>
      </c>
      <c r="M2742" s="132">
        <v>70</v>
      </c>
      <c r="P2742" s="4" t="str">
        <f>VLOOKUP(H2742,Stock_list!A:Y,25,FALSE)</f>
        <v>Yes</v>
      </c>
      <c r="Q2742" s="143"/>
      <c r="T2742" s="144"/>
      <c r="U2742" s="145" t="str">
        <f>VLOOKUP(H2742,Stock_list!A:N,14,FALSE)</f>
        <v>MAY 21</v>
      </c>
    </row>
    <row r="2743" spans="1:21" ht="16.5" customHeight="1">
      <c r="A2743" s="159" t="s">
        <v>2747</v>
      </c>
      <c r="B2743" s="114" t="str">
        <f>VLOOKUP(A2743,'Data pick slip'!B:F,5,FALSE)</f>
        <v>KHJ-MC200-00</v>
      </c>
      <c r="F2743" s="157" t="s">
        <v>1381</v>
      </c>
      <c r="H2743" s="138">
        <v>1132</v>
      </c>
      <c r="I2743" s="139" t="str">
        <f>VLOOKUP(H2743,Stock_list!A:R,18,FALSE)</f>
        <v>狂热者</v>
      </c>
      <c r="J2743" s="139" t="str">
        <f>VLOOKUP(H2743,Stock_list!A:S,17,FALSE)</f>
        <v>C49SZX20210042VG</v>
      </c>
      <c r="K2743" s="51" t="str">
        <f>VLOOKUP(H2743,Stock_list!A:T,16,FALSE)</f>
        <v>JPY</v>
      </c>
      <c r="L2743" s="4">
        <v>44333</v>
      </c>
      <c r="M2743" s="132">
        <v>26</v>
      </c>
      <c r="P2743" s="4" t="str">
        <f>VLOOKUP(H2743,Stock_list!A:Y,25,FALSE)</f>
        <v>Yes</v>
      </c>
      <c r="Q2743" s="143"/>
      <c r="T2743" s="144"/>
      <c r="U2743" s="145" t="str">
        <f>VLOOKUP(H2743,Stock_list!A:N,14,FALSE)</f>
        <v>MAY 21</v>
      </c>
    </row>
    <row r="2744" spans="1:21" ht="16.5" customHeight="1">
      <c r="A2744" s="159" t="s">
        <v>2748</v>
      </c>
      <c r="B2744" s="114" t="str">
        <f>VLOOKUP(A2744,'Data pick slip'!B:F,5,FALSE)</f>
        <v>KHJ-MC400-00</v>
      </c>
      <c r="F2744" s="157" t="s">
        <v>1381</v>
      </c>
      <c r="H2744" s="138">
        <v>1132</v>
      </c>
      <c r="I2744" s="139" t="str">
        <f>VLOOKUP(H2744,Stock_list!A:R,18,FALSE)</f>
        <v>狂热者</v>
      </c>
      <c r="J2744" s="139" t="str">
        <f>VLOOKUP(H2744,Stock_list!A:S,17,FALSE)</f>
        <v>C49SZX20210042VG</v>
      </c>
      <c r="K2744" s="51" t="str">
        <f>VLOOKUP(H2744,Stock_list!A:T,16,FALSE)</f>
        <v>JPY</v>
      </c>
      <c r="L2744" s="4">
        <v>44333</v>
      </c>
      <c r="M2744" s="132">
        <v>6</v>
      </c>
      <c r="P2744" s="4" t="str">
        <f>VLOOKUP(H2744,Stock_list!A:Y,25,FALSE)</f>
        <v>Yes</v>
      </c>
      <c r="Q2744" s="143"/>
      <c r="T2744" s="144"/>
      <c r="U2744" s="145" t="str">
        <f>VLOOKUP(H2744,Stock_list!A:N,14,FALSE)</f>
        <v>MAY 21</v>
      </c>
    </row>
    <row r="2745" spans="1:21" ht="16.5" customHeight="1">
      <c r="A2745" s="159" t="s">
        <v>2744</v>
      </c>
      <c r="B2745" s="114" t="str">
        <f>VLOOKUP(A2745,'Data pick slip'!B:F,5,FALSE)</f>
        <v>KHJ-MC100-00</v>
      </c>
      <c r="F2745" s="157" t="s">
        <v>1381</v>
      </c>
      <c r="H2745" s="138">
        <v>1135</v>
      </c>
      <c r="I2745" s="139" t="str">
        <f>VLOOKUP(H2745,Stock_list!A:R,18,FALSE)</f>
        <v>恒业信</v>
      </c>
      <c r="J2745" s="139" t="str">
        <f>VLOOKUP(H2745,Stock_list!A:S,17,FALSE)</f>
        <v>C49SZX20210046SS</v>
      </c>
      <c r="K2745" s="51" t="str">
        <f>VLOOKUP(H2745,Stock_list!A:T,16,FALSE)</f>
        <v>JPY</v>
      </c>
      <c r="L2745" s="4">
        <v>44328</v>
      </c>
      <c r="M2745" s="140">
        <v>30</v>
      </c>
      <c r="P2745" s="4" t="str">
        <f>VLOOKUP(H2745,Stock_list!A:Y,25,FALSE)</f>
        <v>Yes</v>
      </c>
      <c r="Q2745" s="143"/>
      <c r="T2745" s="144"/>
      <c r="U2745" s="145" t="str">
        <f>VLOOKUP(H2745,Stock_list!A:N,14,FALSE)</f>
        <v>MAY 21</v>
      </c>
    </row>
    <row r="2746" spans="1:21" ht="16.5" customHeight="1">
      <c r="A2746" s="159" t="s">
        <v>2744</v>
      </c>
      <c r="B2746" s="114" t="str">
        <f>VLOOKUP(A2746,'Data pick slip'!B:F,5,FALSE)</f>
        <v>KHJ-MC100-00</v>
      </c>
      <c r="F2746" s="157" t="s">
        <v>1381</v>
      </c>
      <c r="H2746" s="138">
        <v>1136</v>
      </c>
      <c r="I2746" s="139" t="str">
        <f>VLOOKUP(H2746,Stock_list!A:R,18,FALSE)</f>
        <v>百益晟</v>
      </c>
      <c r="J2746" s="139" t="str">
        <f>VLOOKUP(H2746,Stock_list!A:S,17,FALSE)</f>
        <v>C49SZX20210045SX</v>
      </c>
      <c r="K2746" s="51" t="str">
        <f>VLOOKUP(H2746,Stock_list!A:T,16,FALSE)</f>
        <v>JPY</v>
      </c>
      <c r="L2746" s="4">
        <v>44329</v>
      </c>
      <c r="M2746" s="143">
        <v>90</v>
      </c>
      <c r="P2746" s="4" t="str">
        <f>VLOOKUP(H2746,Stock_list!A:Y,25,FALSE)</f>
        <v>Yes</v>
      </c>
      <c r="T2746" s="144"/>
      <c r="U2746" s="145" t="str">
        <f>VLOOKUP(H2746,Stock_list!A:N,14,FALSE)</f>
        <v>MAY 21</v>
      </c>
    </row>
    <row r="2747" spans="1:21" ht="16.5" customHeight="1">
      <c r="A2747" s="159" t="s">
        <v>2747</v>
      </c>
      <c r="B2747" s="114" t="str">
        <f>VLOOKUP(A2747,'Data pick slip'!B:F,5,FALSE)</f>
        <v>KHJ-MC200-00</v>
      </c>
      <c r="F2747" s="157" t="s">
        <v>1381</v>
      </c>
      <c r="H2747" s="138">
        <v>1136</v>
      </c>
      <c r="I2747" s="139" t="str">
        <f>VLOOKUP(H2747,Stock_list!A:R,18,FALSE)</f>
        <v>百益晟</v>
      </c>
      <c r="J2747" s="139" t="str">
        <f>VLOOKUP(H2747,Stock_list!A:S,17,FALSE)</f>
        <v>C49SZX20210045SX</v>
      </c>
      <c r="K2747" s="51" t="str">
        <f>VLOOKUP(H2747,Stock_list!A:T,16,FALSE)</f>
        <v>JPY</v>
      </c>
      <c r="L2747" s="4">
        <v>44329</v>
      </c>
      <c r="M2747" s="143">
        <v>25</v>
      </c>
      <c r="P2747" s="4" t="str">
        <f>VLOOKUP(H2747,Stock_list!A:Y,25,FALSE)</f>
        <v>Yes</v>
      </c>
      <c r="T2747" s="144"/>
      <c r="U2747" s="145" t="str">
        <f>VLOOKUP(H2747,Stock_list!A:N,14,FALSE)</f>
        <v>MAY 21</v>
      </c>
    </row>
    <row r="2748" spans="1:21" ht="16.5" customHeight="1">
      <c r="A2748" s="159" t="s">
        <v>2748</v>
      </c>
      <c r="B2748" s="114" t="str">
        <f>VLOOKUP(A2748,'Data pick slip'!B:F,5,FALSE)</f>
        <v>KHJ-MC400-00</v>
      </c>
      <c r="F2748" s="157" t="s">
        <v>1381</v>
      </c>
      <c r="H2748" s="138">
        <v>1136</v>
      </c>
      <c r="I2748" s="139" t="str">
        <f>VLOOKUP(H2748,Stock_list!A:R,18,FALSE)</f>
        <v>百益晟</v>
      </c>
      <c r="J2748" s="139" t="str">
        <f>VLOOKUP(H2748,Stock_list!A:S,17,FALSE)</f>
        <v>C49SZX20210045SX</v>
      </c>
      <c r="K2748" s="51" t="str">
        <f>VLOOKUP(H2748,Stock_list!A:T,16,FALSE)</f>
        <v>JPY</v>
      </c>
      <c r="L2748" s="4">
        <v>44329</v>
      </c>
      <c r="M2748" s="143">
        <v>4</v>
      </c>
      <c r="P2748" s="4" t="str">
        <f>VLOOKUP(H2748,Stock_list!A:Y,25,FALSE)</f>
        <v>Yes</v>
      </c>
      <c r="T2748" s="144"/>
      <c r="U2748" s="145" t="str">
        <f>VLOOKUP(H2748,Stock_list!A:N,14,FALSE)</f>
        <v>MAY 21</v>
      </c>
    </row>
    <row r="2749" spans="1:21" ht="16.5" customHeight="1">
      <c r="A2749" s="159" t="s">
        <v>2744</v>
      </c>
      <c r="B2749" s="114" t="str">
        <f>VLOOKUP(A2749,'Data pick slip'!B:F,5,FALSE)</f>
        <v>KHJ-MC100-00</v>
      </c>
      <c r="F2749" s="157" t="s">
        <v>1381</v>
      </c>
      <c r="H2749" s="138">
        <v>1138</v>
      </c>
      <c r="I2749" s="139" t="str">
        <f>VLOOKUP(H2749,Stock_list!A:R,18,FALSE)</f>
        <v>芯联鑫</v>
      </c>
      <c r="J2749" s="139" t="str">
        <f>VLOOKUP(H2749,Stock_list!A:S,17,FALSE)</f>
        <v>C49SZX20210016JY</v>
      </c>
      <c r="K2749" s="51" t="str">
        <f>VLOOKUP(H2749,Stock_list!A:T,16,FALSE)</f>
        <v>JPY</v>
      </c>
      <c r="L2749" s="4">
        <v>44333</v>
      </c>
      <c r="M2749" s="140">
        <v>40</v>
      </c>
      <c r="P2749" s="4" t="str">
        <f>VLOOKUP(H2749,Stock_list!A:Y,25,FALSE)</f>
        <v>Yes</v>
      </c>
      <c r="Q2749" s="143"/>
      <c r="T2749" s="144"/>
      <c r="U2749" s="145" t="str">
        <f>VLOOKUP(H2749,Stock_list!A:N,14,FALSE)</f>
        <v>MAY 21</v>
      </c>
    </row>
    <row r="2750" spans="1:21" ht="16.5" customHeight="1">
      <c r="A2750" s="159" t="s">
        <v>2747</v>
      </c>
      <c r="B2750" s="114" t="str">
        <f>VLOOKUP(A2750,'Data pick slip'!B:F,5,FALSE)</f>
        <v>KHJ-MC200-00</v>
      </c>
      <c r="F2750" s="157" t="s">
        <v>1381</v>
      </c>
      <c r="H2750" s="138">
        <v>1138</v>
      </c>
      <c r="I2750" s="139" t="str">
        <f>VLOOKUP(H2750,Stock_list!A:R,18,FALSE)</f>
        <v>芯联鑫</v>
      </c>
      <c r="J2750" s="139" t="str">
        <f>VLOOKUP(H2750,Stock_list!A:S,17,FALSE)</f>
        <v>C49SZX20210016JY</v>
      </c>
      <c r="K2750" s="51" t="str">
        <f>VLOOKUP(H2750,Stock_list!A:T,16,FALSE)</f>
        <v>JPY</v>
      </c>
      <c r="L2750" s="4">
        <v>44333</v>
      </c>
      <c r="M2750" s="140">
        <v>10</v>
      </c>
      <c r="P2750" s="4" t="str">
        <f>VLOOKUP(H2750,Stock_list!A:Y,25,FALSE)</f>
        <v>Yes</v>
      </c>
      <c r="Q2750" s="143"/>
      <c r="T2750" s="144"/>
      <c r="U2750" s="145" t="str">
        <f>VLOOKUP(H2750,Stock_list!A:N,14,FALSE)</f>
        <v>MAY 21</v>
      </c>
    </row>
    <row r="2751" spans="1:21" ht="16.5" customHeight="1">
      <c r="A2751" s="159" t="s">
        <v>2747</v>
      </c>
      <c r="B2751" s="114" t="str">
        <f>VLOOKUP(A2751,'Data pick slip'!B:F,5,FALSE)</f>
        <v>KHJ-MC200-00</v>
      </c>
      <c r="F2751" s="157" t="s">
        <v>2753</v>
      </c>
      <c r="I2751" s="139" t="s">
        <v>3099</v>
      </c>
      <c r="J2751" s="270" t="s">
        <v>3419</v>
      </c>
      <c r="K2751" s="51" t="s">
        <v>1246</v>
      </c>
      <c r="L2751" s="4">
        <v>44247</v>
      </c>
      <c r="M2751" s="140">
        <v>3</v>
      </c>
      <c r="P2751" s="4" t="s">
        <v>291</v>
      </c>
      <c r="Q2751" s="143"/>
      <c r="T2751" s="144"/>
      <c r="U2751" s="145" t="e">
        <f>VLOOKUP(H2751,Stock_list!A:N,14,FALSE)</f>
        <v>#N/A</v>
      </c>
    </row>
    <row r="2752" spans="1:21" ht="16.5" customHeight="1">
      <c r="A2752" s="159" t="s">
        <v>2744</v>
      </c>
      <c r="B2752" s="114" t="str">
        <f>VLOOKUP(A2752,'Data pick slip'!B:F,5,FALSE)</f>
        <v>KHJ-MC100-00</v>
      </c>
      <c r="F2752" s="157" t="s">
        <v>1381</v>
      </c>
      <c r="H2752" s="138">
        <v>1139</v>
      </c>
      <c r="I2752" s="139" t="str">
        <f>VLOOKUP(H2752,Stock_list!A:R,18,FALSE)</f>
        <v>名商</v>
      </c>
      <c r="J2752" s="139" t="str">
        <f>VLOOKUP(H2752,Stock_list!A:S,17,FALSE)</f>
        <v>C49SZX20210126DZ</v>
      </c>
      <c r="K2752" s="51" t="str">
        <f>VLOOKUP(H2752,Stock_list!A:T,16,FALSE)</f>
        <v>JPY</v>
      </c>
      <c r="L2752" s="4">
        <v>44316</v>
      </c>
      <c r="M2752" s="140">
        <v>150</v>
      </c>
      <c r="P2752" s="4" t="str">
        <f>VLOOKUP(H2752,Stock_list!A:Y,25,FALSE)</f>
        <v>Yes</v>
      </c>
      <c r="Q2752" s="143"/>
      <c r="T2752" s="144"/>
      <c r="U2752" s="145" t="str">
        <f>VLOOKUP(H2752,Stock_list!A:N,14,FALSE)</f>
        <v>APR 21</v>
      </c>
    </row>
    <row r="2753" spans="1:21" ht="16.5" customHeight="1">
      <c r="A2753" s="159" t="s">
        <v>2747</v>
      </c>
      <c r="B2753" s="114" t="str">
        <f>VLOOKUP(A2753,'Data pick slip'!B:F,5,FALSE)</f>
        <v>KHJ-MC200-00</v>
      </c>
      <c r="F2753" s="157" t="s">
        <v>1381</v>
      </c>
      <c r="H2753" s="138">
        <v>1139</v>
      </c>
      <c r="I2753" s="139" t="str">
        <f>VLOOKUP(H2753,Stock_list!A:R,18,FALSE)</f>
        <v>名商</v>
      </c>
      <c r="J2753" s="139" t="str">
        <f>VLOOKUP(H2753,Stock_list!A:S,17,FALSE)</f>
        <v>C49SZX20210126DZ</v>
      </c>
      <c r="K2753" s="51" t="str">
        <f>VLOOKUP(H2753,Stock_list!A:T,16,FALSE)</f>
        <v>JPY</v>
      </c>
      <c r="L2753" s="4">
        <v>44316</v>
      </c>
      <c r="M2753" s="140">
        <v>30</v>
      </c>
      <c r="P2753" s="4" t="str">
        <f>VLOOKUP(H2753,Stock_list!A:Y,25,FALSE)</f>
        <v>Yes</v>
      </c>
      <c r="Q2753" s="143"/>
      <c r="T2753" s="144"/>
      <c r="U2753" s="145" t="str">
        <f>VLOOKUP(H2753,Stock_list!A:N,14,FALSE)</f>
        <v>APR 21</v>
      </c>
    </row>
    <row r="2754" spans="1:21" ht="16.5" customHeight="1">
      <c r="A2754" s="159" t="s">
        <v>2748</v>
      </c>
      <c r="B2754" s="114" t="str">
        <f>VLOOKUP(A2754,'Data pick slip'!B:F,5,FALSE)</f>
        <v>KHJ-MC400-00</v>
      </c>
      <c r="F2754" s="157" t="s">
        <v>1381</v>
      </c>
      <c r="H2754" s="138">
        <v>1139</v>
      </c>
      <c r="I2754" s="139" t="str">
        <f>VLOOKUP(H2754,Stock_list!A:R,18,FALSE)</f>
        <v>名商</v>
      </c>
      <c r="J2754" s="139" t="str">
        <f>VLOOKUP(H2754,Stock_list!A:S,17,FALSE)</f>
        <v>C49SZX20210126DZ</v>
      </c>
      <c r="K2754" s="51" t="str">
        <f>VLOOKUP(H2754,Stock_list!A:T,16,FALSE)</f>
        <v>JPY</v>
      </c>
      <c r="L2754" s="4">
        <v>44316</v>
      </c>
      <c r="M2754" s="140">
        <v>8</v>
      </c>
      <c r="P2754" s="4" t="str">
        <f>VLOOKUP(H2754,Stock_list!A:Y,25,FALSE)</f>
        <v>Yes</v>
      </c>
      <c r="Q2754" s="143"/>
      <c r="T2754" s="144"/>
      <c r="U2754" s="145" t="str">
        <f>VLOOKUP(H2754,Stock_list!A:N,14,FALSE)</f>
        <v>APR 21</v>
      </c>
    </row>
    <row r="2755" spans="1:21" ht="16.5" customHeight="1">
      <c r="A2755" s="159" t="s">
        <v>2749</v>
      </c>
      <c r="B2755" s="114" t="str">
        <f>VLOOKUP(A2755,'Data pick slip'!B:F,5,FALSE)</f>
        <v>KHJ-MC500-00</v>
      </c>
      <c r="F2755" s="157" t="s">
        <v>1381</v>
      </c>
      <c r="H2755" s="138">
        <v>1139</v>
      </c>
      <c r="I2755" s="139" t="str">
        <f>VLOOKUP(H2755,Stock_list!A:R,18,FALSE)</f>
        <v>名商</v>
      </c>
      <c r="J2755" s="139" t="str">
        <f>VLOOKUP(H2755,Stock_list!A:S,17,FALSE)</f>
        <v>C49SZX20210126DZ</v>
      </c>
      <c r="K2755" s="51" t="str">
        <f>VLOOKUP(H2755,Stock_list!A:T,16,FALSE)</f>
        <v>JPY</v>
      </c>
      <c r="L2755" s="4">
        <v>44316</v>
      </c>
      <c r="M2755" s="140">
        <v>5</v>
      </c>
      <c r="P2755" s="4" t="str">
        <f>VLOOKUP(H2755,Stock_list!A:Y,25,FALSE)</f>
        <v>Yes</v>
      </c>
      <c r="Q2755" s="143"/>
      <c r="T2755" s="144"/>
      <c r="U2755" s="145" t="str">
        <f>VLOOKUP(H2755,Stock_list!A:N,14,FALSE)</f>
        <v>APR 21</v>
      </c>
    </row>
    <row r="2756" spans="1:21" ht="16.5" customHeight="1">
      <c r="A2756" s="159" t="s">
        <v>2750</v>
      </c>
      <c r="B2756" s="114" t="str">
        <f>VLOOKUP(A2756,'Data pick slip'!B:F,5,FALSE)</f>
        <v>KHJ-MC600-00</v>
      </c>
      <c r="F2756" s="157" t="s">
        <v>1381</v>
      </c>
      <c r="H2756" s="138">
        <v>1139</v>
      </c>
      <c r="I2756" s="139" t="str">
        <f>VLOOKUP(H2756,Stock_list!A:R,18,FALSE)</f>
        <v>名商</v>
      </c>
      <c r="J2756" s="139" t="str">
        <f>VLOOKUP(H2756,Stock_list!A:S,17,FALSE)</f>
        <v>C49SZX20210126DZ</v>
      </c>
      <c r="K2756" s="51" t="str">
        <f>VLOOKUP(H2756,Stock_list!A:T,16,FALSE)</f>
        <v>JPY</v>
      </c>
      <c r="L2756" s="4">
        <v>44316</v>
      </c>
      <c r="M2756" s="140">
        <v>2</v>
      </c>
      <c r="P2756" s="4" t="str">
        <f>VLOOKUP(H2756,Stock_list!A:Y,25,FALSE)</f>
        <v>Yes</v>
      </c>
      <c r="Q2756" s="143"/>
      <c r="T2756" s="144"/>
      <c r="U2756" s="145" t="str">
        <f>VLOOKUP(H2756,Stock_list!A:N,14,FALSE)</f>
        <v>APR 21</v>
      </c>
    </row>
    <row r="2757" spans="1:21" ht="16.5" customHeight="1">
      <c r="A2757" s="159" t="s">
        <v>2744</v>
      </c>
      <c r="B2757" s="114" t="str">
        <f>VLOOKUP(A2757,'Data pick slip'!B:F,5,FALSE)</f>
        <v>KHJ-MC100-00</v>
      </c>
      <c r="F2757" s="157" t="s">
        <v>2753</v>
      </c>
      <c r="H2757" s="138">
        <v>1143</v>
      </c>
      <c r="I2757" s="139" t="str">
        <f>VLOOKUP(H2757,Stock_list!A:R,18,FALSE)</f>
        <v>美田</v>
      </c>
      <c r="J2757" s="139" t="str">
        <f>VLOOKUP(H2757,Stock_list!A:S,17,FALSE)</f>
        <v>C49SZX20210048SS</v>
      </c>
      <c r="K2757" s="51" t="str">
        <f>VLOOKUP(H2757,Stock_list!A:T,16,FALSE)</f>
        <v>RMB</v>
      </c>
      <c r="L2757" s="4">
        <v>44378</v>
      </c>
      <c r="M2757" s="140">
        <v>350</v>
      </c>
      <c r="P2757" s="4" t="str">
        <f>VLOOKUP(H2757,Stock_list!A:Y,25,FALSE)</f>
        <v>Yes</v>
      </c>
      <c r="Q2757" s="143"/>
      <c r="T2757" s="144"/>
      <c r="U2757" s="145" t="str">
        <f>VLOOKUP(H2757,Stock_list!A:N,14,FALSE)</f>
        <v>JUN 21</v>
      </c>
    </row>
    <row r="2758" spans="1:21" ht="16.5" customHeight="1">
      <c r="A2758" s="159" t="s">
        <v>2744</v>
      </c>
      <c r="B2758" s="114" t="str">
        <f>VLOOKUP(A2758,'Data pick slip'!B:F,5,FALSE)</f>
        <v>KHJ-MC100-00</v>
      </c>
      <c r="F2758" s="157" t="s">
        <v>2753</v>
      </c>
      <c r="H2758" s="138">
        <v>1149</v>
      </c>
      <c r="I2758" s="139" t="str">
        <f>VLOOKUP(H2758,Stock_list!A:R,18,FALSE)</f>
        <v>中润互联</v>
      </c>
      <c r="J2758" s="139" t="str">
        <f>VLOOKUP(H2758,Stock_list!A:S,17,FALSE)</f>
        <v>C49SZX20210055SS</v>
      </c>
      <c r="K2758" s="51" t="str">
        <f>VLOOKUP(H2758,Stock_list!A:T,16,FALSE)</f>
        <v>RMB</v>
      </c>
      <c r="L2758" s="4">
        <v>44328</v>
      </c>
      <c r="M2758" s="140">
        <v>33</v>
      </c>
      <c r="P2758" s="4" t="str">
        <f>VLOOKUP(H2758,Stock_list!A:Y,25,FALSE)</f>
        <v>Yes</v>
      </c>
      <c r="Q2758" s="143"/>
      <c r="T2758" s="144"/>
      <c r="U2758" s="145" t="str">
        <f>VLOOKUP(H2758,Stock_list!A:N,14,FALSE)</f>
        <v>MAY 21</v>
      </c>
    </row>
    <row r="2759" spans="1:21" ht="16.5" customHeight="1">
      <c r="A2759" s="159" t="s">
        <v>2744</v>
      </c>
      <c r="B2759" s="114" t="str">
        <f>VLOOKUP(A2759,'Data pick slip'!B:F,5,FALSE)</f>
        <v>KHJ-MC100-00</v>
      </c>
      <c r="F2759" s="157" t="s">
        <v>2861</v>
      </c>
      <c r="H2759" s="138">
        <v>1152</v>
      </c>
      <c r="I2759" s="139" t="str">
        <f>VLOOKUP(H2759,Stock_list!A:R,18,FALSE)</f>
        <v>络鑫（end user:东莞络鑫）</v>
      </c>
      <c r="J2759" s="139" t="str">
        <f>VLOOKUP(H2759,Stock_list!A:S,17,FALSE)</f>
        <v>C49SZX20210051JY</v>
      </c>
      <c r="K2759" s="51" t="str">
        <f>VLOOKUP(H2759,Stock_list!A:T,16,FALSE)</f>
        <v>JPY</v>
      </c>
      <c r="L2759" s="4">
        <v>44314</v>
      </c>
      <c r="M2759" s="143">
        <v>60</v>
      </c>
      <c r="P2759" s="4" t="str">
        <f>VLOOKUP(H2759,Stock_list!A:Y,25,FALSE)</f>
        <v>Yes</v>
      </c>
      <c r="T2759" s="144"/>
      <c r="U2759" s="145" t="str">
        <f>VLOOKUP(H2759,Stock_list!A:N,14,FALSE)</f>
        <v>APR 21</v>
      </c>
    </row>
    <row r="2760" spans="1:21" ht="16.5" customHeight="1">
      <c r="A2760" s="159" t="s">
        <v>2748</v>
      </c>
      <c r="B2760" s="114" t="str">
        <f>VLOOKUP(A2760,'Data pick slip'!B:F,5,FALSE)</f>
        <v>KHJ-MC400-00</v>
      </c>
      <c r="F2760" s="157" t="s">
        <v>2861</v>
      </c>
      <c r="H2760" s="138">
        <v>1152</v>
      </c>
      <c r="I2760" s="139" t="str">
        <f>VLOOKUP(H2760,Stock_list!A:R,18,FALSE)</f>
        <v>络鑫（end user:东莞络鑫）</v>
      </c>
      <c r="J2760" s="139" t="str">
        <f>VLOOKUP(H2760,Stock_list!A:S,17,FALSE)</f>
        <v>C49SZX20210051JY</v>
      </c>
      <c r="K2760" s="51" t="str">
        <f>VLOOKUP(H2760,Stock_list!A:T,16,FALSE)</f>
        <v>JPY</v>
      </c>
      <c r="L2760" s="4">
        <v>44314</v>
      </c>
      <c r="M2760" s="143">
        <v>6</v>
      </c>
      <c r="P2760" s="4" t="str">
        <f>VLOOKUP(H2760,Stock_list!A:Y,25,FALSE)</f>
        <v>Yes</v>
      </c>
      <c r="T2760" s="144"/>
      <c r="U2760" s="145" t="str">
        <f>VLOOKUP(H2760,Stock_list!A:N,14,FALSE)</f>
        <v>APR 21</v>
      </c>
    </row>
    <row r="2761" spans="1:21" ht="16.5" customHeight="1">
      <c r="A2761" s="159" t="s">
        <v>2749</v>
      </c>
      <c r="B2761" s="114" t="str">
        <f>VLOOKUP(A2761,'Data pick slip'!B:F,5,FALSE)</f>
        <v>KHJ-MC500-00</v>
      </c>
      <c r="F2761" s="157" t="s">
        <v>2861</v>
      </c>
      <c r="H2761" s="138">
        <v>1152</v>
      </c>
      <c r="I2761" s="139" t="str">
        <f>VLOOKUP(H2761,Stock_list!A:R,18,FALSE)</f>
        <v>络鑫（end user:东莞络鑫）</v>
      </c>
      <c r="J2761" s="139" t="str">
        <f>VLOOKUP(H2761,Stock_list!A:S,17,FALSE)</f>
        <v>C49SZX20210051JY</v>
      </c>
      <c r="K2761" s="51" t="str">
        <f>VLOOKUP(H2761,Stock_list!A:T,16,FALSE)</f>
        <v>JPY</v>
      </c>
      <c r="L2761" s="4">
        <v>44314</v>
      </c>
      <c r="M2761" s="143">
        <v>1</v>
      </c>
      <c r="P2761" s="4" t="str">
        <f>VLOOKUP(H2761,Stock_list!A:Y,25,FALSE)</f>
        <v>Yes</v>
      </c>
      <c r="T2761" s="144"/>
      <c r="U2761" s="145" t="str">
        <f>VLOOKUP(H2761,Stock_list!A:N,14,FALSE)</f>
        <v>APR 21</v>
      </c>
    </row>
    <row r="2762" spans="1:21" ht="16.5" customHeight="1">
      <c r="A2762" s="159" t="s">
        <v>2750</v>
      </c>
      <c r="B2762" s="114" t="str">
        <f>VLOOKUP(A2762,'Data pick slip'!B:F,5,FALSE)</f>
        <v>KHJ-MC600-00</v>
      </c>
      <c r="F2762" s="157" t="s">
        <v>2861</v>
      </c>
      <c r="H2762" s="138">
        <v>1152</v>
      </c>
      <c r="I2762" s="139" t="str">
        <f>VLOOKUP(H2762,Stock_list!A:R,18,FALSE)</f>
        <v>络鑫（end user:东莞络鑫）</v>
      </c>
      <c r="J2762" s="139" t="str">
        <f>VLOOKUP(H2762,Stock_list!A:S,17,FALSE)</f>
        <v>C49SZX20210051JY</v>
      </c>
      <c r="K2762" s="51" t="str">
        <f>VLOOKUP(H2762,Stock_list!A:T,16,FALSE)</f>
        <v>JPY</v>
      </c>
      <c r="L2762" s="4">
        <v>44314</v>
      </c>
      <c r="M2762" s="143">
        <v>1</v>
      </c>
      <c r="P2762" s="4" t="str">
        <f>VLOOKUP(H2762,Stock_list!A:Y,25,FALSE)</f>
        <v>Yes</v>
      </c>
      <c r="T2762" s="144"/>
      <c r="U2762" s="145" t="str">
        <f>VLOOKUP(H2762,Stock_list!A:N,14,FALSE)</f>
        <v>APR 21</v>
      </c>
    </row>
    <row r="2763" spans="1:21" ht="16.5" customHeight="1">
      <c r="A2763" s="159" t="s">
        <v>2744</v>
      </c>
      <c r="B2763" s="114" t="str">
        <f>VLOOKUP(A2763,'Data pick slip'!B:F,5,FALSE)</f>
        <v>KHJ-MC100-00</v>
      </c>
      <c r="F2763" s="157" t="s">
        <v>1381</v>
      </c>
      <c r="H2763" s="138">
        <v>1163</v>
      </c>
      <c r="I2763" s="139" t="str">
        <f>VLOOKUP(H2763,Stock_list!A:R,18,FALSE)</f>
        <v>骏孚</v>
      </c>
      <c r="J2763" s="139" t="str">
        <f>VLOOKUP(H2763,Stock_list!A:S,17,FALSE)</f>
        <v>C49SZX20210059EC</v>
      </c>
      <c r="K2763" s="51" t="str">
        <f>VLOOKUP(H2763,Stock_list!A:T,16,FALSE)</f>
        <v>JPY</v>
      </c>
      <c r="L2763" s="4">
        <v>44323</v>
      </c>
      <c r="M2763" s="143">
        <v>26</v>
      </c>
      <c r="P2763" s="4" t="str">
        <f>VLOOKUP(H2763,Stock_list!A:Y,25,FALSE)</f>
        <v>Yes</v>
      </c>
      <c r="T2763" s="144"/>
      <c r="U2763" s="145" t="str">
        <f>VLOOKUP(H2763,Stock_list!A:N,14,FALSE)</f>
        <v>MAY 21</v>
      </c>
    </row>
    <row r="2764" spans="1:21" ht="16.5" customHeight="1">
      <c r="A2764" s="159" t="s">
        <v>2747</v>
      </c>
      <c r="B2764" s="114" t="str">
        <f>VLOOKUP(A2764,'Data pick slip'!B:F,5,FALSE)</f>
        <v>KHJ-MC200-00</v>
      </c>
      <c r="F2764" s="157" t="s">
        <v>1381</v>
      </c>
      <c r="H2764" s="138">
        <v>1163</v>
      </c>
      <c r="I2764" s="139" t="str">
        <f>VLOOKUP(H2764,Stock_list!A:R,18,FALSE)</f>
        <v>骏孚</v>
      </c>
      <c r="J2764" s="139" t="str">
        <f>VLOOKUP(H2764,Stock_list!A:S,17,FALSE)</f>
        <v>C49SZX20210059EC</v>
      </c>
      <c r="K2764" s="51" t="str">
        <f>VLOOKUP(H2764,Stock_list!A:T,16,FALSE)</f>
        <v>JPY</v>
      </c>
      <c r="L2764" s="4">
        <v>44323</v>
      </c>
      <c r="M2764" s="143">
        <v>5</v>
      </c>
      <c r="P2764" s="4" t="str">
        <f>VLOOKUP(H2764,Stock_list!A:Y,25,FALSE)</f>
        <v>Yes</v>
      </c>
      <c r="T2764" s="144"/>
      <c r="U2764" s="145" t="str">
        <f>VLOOKUP(H2764,Stock_list!A:N,14,FALSE)</f>
        <v>MAY 21</v>
      </c>
    </row>
    <row r="2765" spans="1:21" ht="16.5" customHeight="1">
      <c r="A2765" s="159" t="s">
        <v>2744</v>
      </c>
      <c r="B2765" s="114" t="str">
        <f>VLOOKUP(A2765,'Data pick slip'!B:F,5,FALSE)</f>
        <v>KHJ-MC100-00</v>
      </c>
      <c r="F2765" s="157" t="s">
        <v>1381</v>
      </c>
      <c r="H2765" s="138">
        <v>1163</v>
      </c>
      <c r="I2765" s="139" t="str">
        <f>VLOOKUP(H2765,Stock_list!A:R,18,FALSE)</f>
        <v>骏孚</v>
      </c>
      <c r="J2765" s="139" t="str">
        <f>VLOOKUP(H2765,Stock_list!A:S,17,FALSE)</f>
        <v>C49SZX20210059EC</v>
      </c>
      <c r="K2765" s="51" t="str">
        <f>VLOOKUP(H2765,Stock_list!A:T,16,FALSE)</f>
        <v>JPY</v>
      </c>
      <c r="L2765" s="4">
        <v>44747</v>
      </c>
      <c r="M2765" s="143">
        <v>26</v>
      </c>
      <c r="P2765" s="4" t="str">
        <f>VLOOKUP(H2765,Stock_list!A:Y,25,FALSE)</f>
        <v>Yes</v>
      </c>
      <c r="T2765" s="144"/>
      <c r="U2765" s="145" t="str">
        <f>VLOOKUP(H2765,Stock_list!A:N,14,FALSE)</f>
        <v>MAY 21</v>
      </c>
    </row>
    <row r="2766" spans="1:21" ht="16.5" customHeight="1">
      <c r="A2766" s="159" t="s">
        <v>2747</v>
      </c>
      <c r="B2766" s="114" t="str">
        <f>VLOOKUP(A2766,'Data pick slip'!B:F,5,FALSE)</f>
        <v>KHJ-MC200-00</v>
      </c>
      <c r="F2766" s="157" t="s">
        <v>1381</v>
      </c>
      <c r="H2766" s="138">
        <v>1163</v>
      </c>
      <c r="I2766" s="139" t="str">
        <f>VLOOKUP(H2766,Stock_list!A:R,18,FALSE)</f>
        <v>骏孚</v>
      </c>
      <c r="J2766" s="139" t="str">
        <f>VLOOKUP(H2766,Stock_list!A:S,17,FALSE)</f>
        <v>C49SZX20210059EC</v>
      </c>
      <c r="K2766" s="51" t="str">
        <f>VLOOKUP(H2766,Stock_list!A:T,16,FALSE)</f>
        <v>JPY</v>
      </c>
      <c r="L2766" s="4">
        <v>44747</v>
      </c>
      <c r="M2766" s="143">
        <v>5</v>
      </c>
      <c r="P2766" s="4" t="str">
        <f>VLOOKUP(H2766,Stock_list!A:Y,25,FALSE)</f>
        <v>Yes</v>
      </c>
      <c r="T2766" s="144"/>
      <c r="U2766" s="145" t="str">
        <f>VLOOKUP(H2766,Stock_list!A:N,14,FALSE)</f>
        <v>MAY 21</v>
      </c>
    </row>
    <row r="2767" spans="1:21" ht="16.5" customHeight="1">
      <c r="A2767" s="159" t="s">
        <v>2744</v>
      </c>
      <c r="B2767" s="114" t="str">
        <f>VLOOKUP(A2767,'Data pick slip'!B:F,5,FALSE)</f>
        <v>KHJ-MC100-00</v>
      </c>
      <c r="F2767" s="157" t="s">
        <v>2753</v>
      </c>
      <c r="H2767" s="138">
        <v>1163</v>
      </c>
      <c r="I2767" s="139" t="str">
        <f>VLOOKUP(H2767,Stock_list!A:R,18,FALSE)</f>
        <v>骏孚</v>
      </c>
      <c r="J2767" s="139" t="str">
        <f>VLOOKUP(H2767,Stock_list!A:S,17,FALSE)</f>
        <v>C49SZX20210059EC</v>
      </c>
      <c r="K2767" s="51" t="str">
        <f>VLOOKUP(H2767,Stock_list!A:T,16,FALSE)</f>
        <v>JPY</v>
      </c>
      <c r="L2767" s="4">
        <v>44323</v>
      </c>
      <c r="M2767" s="143"/>
      <c r="O2767" s="132">
        <f>26-26</f>
        <v>0</v>
      </c>
      <c r="P2767" s="4" t="str">
        <f>VLOOKUP(H2767,Stock_list!A:Y,25,FALSE)</f>
        <v>Yes</v>
      </c>
      <c r="T2767" s="144"/>
      <c r="U2767" s="145" t="str">
        <f>VLOOKUP(H2767,Stock_list!A:N,14,FALSE)</f>
        <v>MAY 21</v>
      </c>
    </row>
    <row r="2768" spans="1:21" ht="16.5" customHeight="1">
      <c r="A2768" s="159" t="s">
        <v>2747</v>
      </c>
      <c r="B2768" s="114" t="str">
        <f>VLOOKUP(A2768,'Data pick slip'!B:F,5,FALSE)</f>
        <v>KHJ-MC200-00</v>
      </c>
      <c r="F2768" s="157" t="s">
        <v>2753</v>
      </c>
      <c r="H2768" s="138">
        <v>1163</v>
      </c>
      <c r="I2768" s="139" t="str">
        <f>VLOOKUP(H2768,Stock_list!A:R,18,FALSE)</f>
        <v>骏孚</v>
      </c>
      <c r="J2768" s="139" t="str">
        <f>VLOOKUP(H2768,Stock_list!A:S,17,FALSE)</f>
        <v>C49SZX20210059EC</v>
      </c>
      <c r="K2768" s="51" t="str">
        <f>VLOOKUP(H2768,Stock_list!A:T,16,FALSE)</f>
        <v>JPY</v>
      </c>
      <c r="L2768" s="4">
        <v>44323</v>
      </c>
      <c r="M2768" s="143"/>
      <c r="O2768" s="132">
        <f>5-5</f>
        <v>0</v>
      </c>
      <c r="P2768" s="4" t="str">
        <f>VLOOKUP(H2768,Stock_list!A:Y,25,FALSE)</f>
        <v>Yes</v>
      </c>
      <c r="T2768" s="144"/>
      <c r="U2768" s="145" t="str">
        <f>VLOOKUP(H2768,Stock_list!A:N,14,FALSE)</f>
        <v>MAY 21</v>
      </c>
    </row>
    <row r="2769" spans="1:21" ht="16.5" customHeight="1">
      <c r="A2769" s="159" t="s">
        <v>2744</v>
      </c>
      <c r="B2769" s="114" t="str">
        <f>VLOOKUP(A2769,'Data pick slip'!B:F,5,FALSE)</f>
        <v>KHJ-MC100-00</v>
      </c>
      <c r="F2769" s="157" t="s">
        <v>1381</v>
      </c>
      <c r="H2769" s="138">
        <v>1166</v>
      </c>
      <c r="I2769" s="139" t="str">
        <f>VLOOKUP(H2769,Stock_list!A:R,18,FALSE)</f>
        <v>岚新</v>
      </c>
      <c r="J2769" s="139" t="str">
        <f>VLOOKUP(H2769,Stock_list!A:S,17,FALSE)</f>
        <v>C49SZX20210060SX</v>
      </c>
      <c r="K2769" s="51" t="str">
        <f>VLOOKUP(H2769,Stock_list!A:T,16,FALSE)</f>
        <v>JPY</v>
      </c>
      <c r="L2769" s="4">
        <v>44334</v>
      </c>
      <c r="M2769" s="143">
        <v>50</v>
      </c>
      <c r="P2769" s="4" t="str">
        <f>VLOOKUP(H2769,Stock_list!A:Y,25,FALSE)</f>
        <v>Yes</v>
      </c>
      <c r="T2769" s="144"/>
      <c r="U2769" s="145" t="str">
        <f>VLOOKUP(H2769,Stock_list!A:N,14,FALSE)</f>
        <v>MAY 21</v>
      </c>
    </row>
    <row r="2770" spans="1:21" ht="16.5" customHeight="1">
      <c r="A2770" s="159" t="s">
        <v>2748</v>
      </c>
      <c r="B2770" s="114" t="str">
        <f>VLOOKUP(A2770,'Data pick slip'!B:F,5,FALSE)</f>
        <v>KHJ-MC400-00</v>
      </c>
      <c r="F2770" s="157" t="s">
        <v>1381</v>
      </c>
      <c r="H2770" s="138">
        <v>1166</v>
      </c>
      <c r="I2770" s="139" t="str">
        <f>VLOOKUP(H2770,Stock_list!A:R,18,FALSE)</f>
        <v>岚新</v>
      </c>
      <c r="J2770" s="139" t="str">
        <f>VLOOKUP(H2770,Stock_list!A:S,17,FALSE)</f>
        <v>C49SZX20210060SX</v>
      </c>
      <c r="K2770" s="51" t="str">
        <f>VLOOKUP(H2770,Stock_list!A:T,16,FALSE)</f>
        <v>JPY</v>
      </c>
      <c r="L2770" s="4">
        <v>44334</v>
      </c>
      <c r="M2770" s="143">
        <v>2</v>
      </c>
      <c r="P2770" s="4" t="str">
        <f>VLOOKUP(H2770,Stock_list!A:Y,25,FALSE)</f>
        <v>Yes</v>
      </c>
      <c r="T2770" s="144"/>
      <c r="U2770" s="145" t="str">
        <f>VLOOKUP(H2770,Stock_list!A:N,14,FALSE)</f>
        <v>MAY 21</v>
      </c>
    </row>
    <row r="2771" spans="1:21" ht="16.5" customHeight="1">
      <c r="A2771" s="159" t="s">
        <v>2749</v>
      </c>
      <c r="B2771" s="114" t="str">
        <f>VLOOKUP(A2771,'Data pick slip'!B:F,5,FALSE)</f>
        <v>KHJ-MC500-00</v>
      </c>
      <c r="F2771" s="157" t="s">
        <v>1381</v>
      </c>
      <c r="H2771" s="138">
        <v>1166</v>
      </c>
      <c r="I2771" s="139" t="str">
        <f>VLOOKUP(H2771,Stock_list!A:R,18,FALSE)</f>
        <v>岚新</v>
      </c>
      <c r="J2771" s="139" t="str">
        <f>VLOOKUP(H2771,Stock_list!A:S,17,FALSE)</f>
        <v>C49SZX20210060SX</v>
      </c>
      <c r="K2771" s="51" t="str">
        <f>VLOOKUP(H2771,Stock_list!A:T,16,FALSE)</f>
        <v>JPY</v>
      </c>
      <c r="L2771" s="4">
        <v>44334</v>
      </c>
      <c r="M2771" s="143">
        <v>1</v>
      </c>
      <c r="P2771" s="4" t="str">
        <f>VLOOKUP(H2771,Stock_list!A:Y,25,FALSE)</f>
        <v>Yes</v>
      </c>
      <c r="T2771" s="144"/>
      <c r="U2771" s="145" t="str">
        <f>VLOOKUP(H2771,Stock_list!A:N,14,FALSE)</f>
        <v>MAY 21</v>
      </c>
    </row>
    <row r="2772" spans="1:21" ht="16.5" customHeight="1">
      <c r="A2772" s="159" t="s">
        <v>2748</v>
      </c>
      <c r="B2772" s="114" t="str">
        <f>VLOOKUP(A2772,'Data pick slip'!B:F,5,FALSE)</f>
        <v>KHJ-MC400-00</v>
      </c>
      <c r="F2772" s="157" t="s">
        <v>2753</v>
      </c>
      <c r="H2772" s="138">
        <v>1166</v>
      </c>
      <c r="I2772" s="139" t="str">
        <f>VLOOKUP(H2772,Stock_list!A:R,18,FALSE)</f>
        <v>岚新</v>
      </c>
      <c r="J2772" s="139" t="str">
        <f>VLOOKUP(H2772,Stock_list!A:S,17,FALSE)</f>
        <v>C49SZX20210060SX</v>
      </c>
      <c r="K2772" s="51" t="str">
        <f>VLOOKUP(H2772,Stock_list!A:T,16,FALSE)</f>
        <v>JPY</v>
      </c>
      <c r="L2772" s="4">
        <v>44334</v>
      </c>
      <c r="M2772" s="143"/>
      <c r="O2772" s="132">
        <f>2-2</f>
        <v>0</v>
      </c>
      <c r="P2772" s="4" t="str">
        <f>VLOOKUP(H2772,Stock_list!A:Y,25,FALSE)</f>
        <v>Yes</v>
      </c>
      <c r="T2772" s="144"/>
      <c r="U2772" s="145" t="str">
        <f>VLOOKUP(H2772,Stock_list!A:N,14,FALSE)</f>
        <v>MAY 21</v>
      </c>
    </row>
    <row r="2773" spans="1:21" ht="16.5" customHeight="1">
      <c r="A2773" s="159" t="s">
        <v>2749</v>
      </c>
      <c r="B2773" s="114" t="str">
        <f>VLOOKUP(A2773,'Data pick slip'!B:F,5,FALSE)</f>
        <v>KHJ-MC500-00</v>
      </c>
      <c r="F2773" s="157" t="s">
        <v>2753</v>
      </c>
      <c r="H2773" s="138">
        <v>1166</v>
      </c>
      <c r="I2773" s="139" t="str">
        <f>VLOOKUP(H2773,Stock_list!A:R,18,FALSE)</f>
        <v>岚新</v>
      </c>
      <c r="J2773" s="139" t="str">
        <f>VLOOKUP(H2773,Stock_list!A:S,17,FALSE)</f>
        <v>C49SZX20210060SX</v>
      </c>
      <c r="K2773" s="51" t="str">
        <f>VLOOKUP(H2773,Stock_list!A:T,16,FALSE)</f>
        <v>JPY</v>
      </c>
      <c r="L2773" s="4">
        <v>44334</v>
      </c>
      <c r="M2773" s="143"/>
      <c r="O2773" s="132">
        <f>1-1</f>
        <v>0</v>
      </c>
      <c r="P2773" s="4" t="str">
        <f>VLOOKUP(H2773,Stock_list!A:Y,25,FALSE)</f>
        <v>Yes</v>
      </c>
      <c r="T2773" s="144"/>
      <c r="U2773" s="145" t="str">
        <f>VLOOKUP(H2773,Stock_list!A:N,14,FALSE)</f>
        <v>MAY 21</v>
      </c>
    </row>
    <row r="2774" spans="1:21" ht="16.5" customHeight="1">
      <c r="A2774" s="159" t="s">
        <v>2744</v>
      </c>
      <c r="B2774" s="114" t="str">
        <f>VLOOKUP(A2774,'Data pick slip'!B:F,5,FALSE)</f>
        <v>KHJ-MC100-00</v>
      </c>
      <c r="F2774" s="157" t="s">
        <v>2753</v>
      </c>
      <c r="H2774" s="138">
        <v>1167</v>
      </c>
      <c r="I2774" s="139" t="str">
        <f>VLOOKUP(H2774,Stock_list!A:R,18,FALSE)</f>
        <v>智序</v>
      </c>
      <c r="J2774" s="139" t="str">
        <f>VLOOKUP(H2774,Stock_list!A:S,17,FALSE)</f>
        <v>C49SZX20210049MX</v>
      </c>
      <c r="K2774" s="51" t="str">
        <f>VLOOKUP(H2774,Stock_list!A:T,16,FALSE)</f>
        <v>JPY</v>
      </c>
      <c r="L2774" s="4">
        <v>44390</v>
      </c>
      <c r="M2774" s="140">
        <v>6</v>
      </c>
      <c r="P2774" s="4" t="str">
        <f>VLOOKUP(H2774,Stock_list!A:Y,25,FALSE)</f>
        <v>Yes</v>
      </c>
      <c r="Q2774" s="143"/>
      <c r="S2774" s="123" t="s">
        <v>3003</v>
      </c>
      <c r="T2774" s="284" t="s">
        <v>3411</v>
      </c>
      <c r="U2774" s="145" t="str">
        <f>VLOOKUP(H2774,Stock_list!A:N,14,FALSE)</f>
        <v>APR 21</v>
      </c>
    </row>
    <row r="2775" spans="1:21" ht="16.5" customHeight="1">
      <c r="A2775" s="159" t="s">
        <v>2744</v>
      </c>
      <c r="B2775" s="114" t="str">
        <f>VLOOKUP(A2775,'Data pick slip'!B:F,5,FALSE)</f>
        <v>KHJ-MC100-00</v>
      </c>
      <c r="F2775" s="157" t="s">
        <v>1381</v>
      </c>
      <c r="H2775" s="138">
        <v>1167</v>
      </c>
      <c r="I2775" s="139" t="str">
        <f>VLOOKUP(H2775,Stock_list!A:R,18,FALSE)</f>
        <v>智序</v>
      </c>
      <c r="J2775" s="139" t="str">
        <f>VLOOKUP(H2775,Stock_list!A:S,17,FALSE)</f>
        <v>C49SZX20210049MX</v>
      </c>
      <c r="K2775" s="51" t="str">
        <f>VLOOKUP(H2775,Stock_list!A:T,16,FALSE)</f>
        <v>JPY</v>
      </c>
      <c r="L2775" s="4">
        <v>44797</v>
      </c>
      <c r="M2775" s="140">
        <v>1</v>
      </c>
      <c r="P2775" s="4" t="str">
        <f>VLOOKUP(H2775,Stock_list!A:Y,25,FALSE)</f>
        <v>Yes</v>
      </c>
      <c r="Q2775" s="143"/>
      <c r="T2775" s="144"/>
      <c r="U2775" s="145" t="str">
        <f>VLOOKUP(H2775,Stock_list!A:N,14,FALSE)</f>
        <v>APR 21</v>
      </c>
    </row>
    <row r="2776" spans="1:21" ht="16.5" customHeight="1">
      <c r="A2776" s="159" t="s">
        <v>2744</v>
      </c>
      <c r="B2776" s="114" t="str">
        <f>VLOOKUP(A2776,'Data pick slip'!B:F,5,FALSE)</f>
        <v>KHJ-MC100-00</v>
      </c>
      <c r="F2776" s="157" t="s">
        <v>1381</v>
      </c>
      <c r="H2776" s="138">
        <v>1178</v>
      </c>
      <c r="I2776" s="139" t="str">
        <f>VLOOKUP(H2776,Stock_list!A:R,18,FALSE)</f>
        <v>优品</v>
      </c>
      <c r="J2776" s="139" t="str">
        <f>VLOOKUP(H2776,Stock_list!A:S,17,FALSE)</f>
        <v>C49SZX20210057DZ</v>
      </c>
      <c r="K2776" s="51" t="str">
        <f>VLOOKUP(H2776,Stock_list!A:T,16,FALSE)</f>
        <v>JPY</v>
      </c>
      <c r="L2776" s="4">
        <v>44455</v>
      </c>
      <c r="M2776" s="140">
        <v>67</v>
      </c>
      <c r="P2776" s="4" t="str">
        <f>VLOOKUP(H2776,Stock_list!A:Y,25,FALSE)</f>
        <v>Yes</v>
      </c>
      <c r="Q2776" s="143"/>
      <c r="T2776" s="144"/>
      <c r="U2776" s="145" t="str">
        <f>VLOOKUP(H2776,Stock_list!A:N,14,FALSE)</f>
        <v>SEP 21</v>
      </c>
    </row>
    <row r="2777" spans="1:21" ht="16.5" customHeight="1">
      <c r="A2777" s="159" t="s">
        <v>2744</v>
      </c>
      <c r="B2777" s="114" t="str">
        <f>VLOOKUP(A2777,'Data pick slip'!B:F,5,FALSE)</f>
        <v>KHJ-MC100-00</v>
      </c>
      <c r="F2777" s="157" t="s">
        <v>1381</v>
      </c>
      <c r="H2777" s="138">
        <v>1178</v>
      </c>
      <c r="I2777" s="139" t="str">
        <f>VLOOKUP(H2777,Stock_list!A:R,18,FALSE)</f>
        <v>优品</v>
      </c>
      <c r="J2777" s="139" t="str">
        <f>VLOOKUP(H2777,Stock_list!A:S,17,FALSE)</f>
        <v>C49SZX20210057DZ</v>
      </c>
      <c r="K2777" s="51" t="str">
        <f>VLOOKUP(H2777,Stock_list!A:T,16,FALSE)</f>
        <v>JPY</v>
      </c>
      <c r="L2777" s="4">
        <v>44406</v>
      </c>
      <c r="M2777" s="132">
        <v>40</v>
      </c>
      <c r="P2777" s="4" t="str">
        <f>VLOOKUP(H2777,Stock_list!A:Y,25,FALSE)</f>
        <v>Yes</v>
      </c>
      <c r="Q2777" s="143"/>
      <c r="T2777" s="144"/>
      <c r="U2777" s="145" t="str">
        <f>VLOOKUP(H2777,Stock_list!A:N,14,FALSE)</f>
        <v>SEP 21</v>
      </c>
    </row>
    <row r="2778" spans="1:21" ht="16.5" customHeight="1">
      <c r="A2778" s="159" t="s">
        <v>2747</v>
      </c>
      <c r="B2778" s="114" t="str">
        <f>VLOOKUP(A2778,'Data pick slip'!B:F,5,FALSE)</f>
        <v>KHJ-MC200-00</v>
      </c>
      <c r="F2778" s="157" t="s">
        <v>1381</v>
      </c>
      <c r="H2778" s="138">
        <v>1178</v>
      </c>
      <c r="I2778" s="139" t="str">
        <f>VLOOKUP(H2778,Stock_list!A:R,18,FALSE)</f>
        <v>优品</v>
      </c>
      <c r="J2778" s="139" t="str">
        <f>VLOOKUP(H2778,Stock_list!A:S,17,FALSE)</f>
        <v>C49SZX20210057DZ</v>
      </c>
      <c r="K2778" s="51" t="str">
        <f>VLOOKUP(H2778,Stock_list!A:T,16,FALSE)</f>
        <v>JPY</v>
      </c>
      <c r="L2778" s="4">
        <v>44406</v>
      </c>
      <c r="M2778" s="132">
        <v>2</v>
      </c>
      <c r="P2778" s="4" t="str">
        <f>VLOOKUP(H2778,Stock_list!A:Y,25,FALSE)</f>
        <v>Yes</v>
      </c>
      <c r="Q2778" s="143"/>
      <c r="T2778" s="144"/>
      <c r="U2778" s="145" t="str">
        <f>VLOOKUP(H2778,Stock_list!A:N,14,FALSE)</f>
        <v>SEP 21</v>
      </c>
    </row>
    <row r="2779" spans="1:21" ht="16.5" customHeight="1">
      <c r="A2779" s="159" t="s">
        <v>2777</v>
      </c>
      <c r="B2779" s="114" t="str">
        <f>VLOOKUP(A2779,'Data pick slip'!B:F,5,FALSE)</f>
        <v>KHJ-MC400-00</v>
      </c>
      <c r="F2779" s="157" t="s">
        <v>1381</v>
      </c>
      <c r="H2779" s="138">
        <v>1178</v>
      </c>
      <c r="I2779" s="139" t="str">
        <f>VLOOKUP(H2779,Stock_list!A:R,18,FALSE)</f>
        <v>优品</v>
      </c>
      <c r="J2779" s="139" t="str">
        <f>VLOOKUP(H2779,Stock_list!A:S,17,FALSE)</f>
        <v>C49SZX20210057DZ</v>
      </c>
      <c r="K2779" s="51" t="str">
        <f>VLOOKUP(H2779,Stock_list!A:T,16,FALSE)</f>
        <v>JPY</v>
      </c>
      <c r="L2779" s="4">
        <v>44406</v>
      </c>
      <c r="M2779" s="132">
        <v>5</v>
      </c>
      <c r="P2779" s="4" t="str">
        <f>VLOOKUP(H2779,Stock_list!A:Y,25,FALSE)</f>
        <v>Yes</v>
      </c>
      <c r="Q2779" s="143"/>
      <c r="T2779" s="144"/>
      <c r="U2779" s="145" t="str">
        <f>VLOOKUP(H2779,Stock_list!A:N,14,FALSE)</f>
        <v>SEP 21</v>
      </c>
    </row>
    <row r="2780" spans="1:21" ht="16.5" customHeight="1">
      <c r="A2780" s="159" t="s">
        <v>2749</v>
      </c>
      <c r="B2780" s="114" t="str">
        <f>VLOOKUP(A2780,'Data pick slip'!B:F,5,FALSE)</f>
        <v>KHJ-MC500-00</v>
      </c>
      <c r="F2780" s="157" t="s">
        <v>1381</v>
      </c>
      <c r="H2780" s="138">
        <v>1178</v>
      </c>
      <c r="I2780" s="139" t="str">
        <f>VLOOKUP(H2780,Stock_list!A:R,18,FALSE)</f>
        <v>优品</v>
      </c>
      <c r="J2780" s="139" t="str">
        <f>VLOOKUP(H2780,Stock_list!A:S,17,FALSE)</f>
        <v>C49SZX20210057DZ</v>
      </c>
      <c r="K2780" s="51" t="str">
        <f>VLOOKUP(H2780,Stock_list!A:T,16,FALSE)</f>
        <v>JPY</v>
      </c>
      <c r="L2780" s="4">
        <v>44406</v>
      </c>
      <c r="M2780" s="132">
        <v>1</v>
      </c>
      <c r="P2780" s="4" t="str">
        <f>VLOOKUP(H2780,Stock_list!A:Y,25,FALSE)</f>
        <v>Yes</v>
      </c>
      <c r="Q2780" s="143"/>
      <c r="T2780" s="144"/>
      <c r="U2780" s="145" t="str">
        <f>VLOOKUP(H2780,Stock_list!A:N,14,FALSE)</f>
        <v>SEP 21</v>
      </c>
    </row>
    <row r="2781" spans="1:21" ht="16.5" customHeight="1">
      <c r="A2781" s="159" t="s">
        <v>2750</v>
      </c>
      <c r="B2781" s="114" t="str">
        <f>VLOOKUP(A2781,'Data pick slip'!B:F,5,FALSE)</f>
        <v>KHJ-MC600-00</v>
      </c>
      <c r="F2781" s="157" t="s">
        <v>1381</v>
      </c>
      <c r="H2781" s="138">
        <v>1178</v>
      </c>
      <c r="I2781" s="139" t="str">
        <f>VLOOKUP(H2781,Stock_list!A:R,18,FALSE)</f>
        <v>优品</v>
      </c>
      <c r="J2781" s="139" t="str">
        <f>VLOOKUP(H2781,Stock_list!A:S,17,FALSE)</f>
        <v>C49SZX20210057DZ</v>
      </c>
      <c r="K2781" s="51" t="str">
        <f>VLOOKUP(H2781,Stock_list!A:T,16,FALSE)</f>
        <v>JPY</v>
      </c>
      <c r="L2781" s="4">
        <v>44406</v>
      </c>
      <c r="M2781" s="132">
        <v>1</v>
      </c>
      <c r="P2781" s="4" t="str">
        <f>VLOOKUP(H2781,Stock_list!A:Y,25,FALSE)</f>
        <v>Yes</v>
      </c>
      <c r="Q2781" s="143"/>
      <c r="T2781" s="144"/>
      <c r="U2781" s="145" t="str">
        <f>VLOOKUP(H2781,Stock_list!A:N,14,FALSE)</f>
        <v>SEP 21</v>
      </c>
    </row>
    <row r="2782" spans="1:21" ht="16.5" customHeight="1">
      <c r="A2782" s="159" t="s">
        <v>2751</v>
      </c>
      <c r="B2782" s="114" t="str">
        <f>VLOOKUP(A2782,'Data pick slip'!B:F,5,FALSE)</f>
        <v>KHJ-MC700-00</v>
      </c>
      <c r="F2782" s="157" t="s">
        <v>1381</v>
      </c>
      <c r="H2782" s="138">
        <v>1178</v>
      </c>
      <c r="I2782" s="139" t="str">
        <f>VLOOKUP(H2782,Stock_list!A:R,18,FALSE)</f>
        <v>优品</v>
      </c>
      <c r="J2782" s="139" t="str">
        <f>VLOOKUP(H2782,Stock_list!A:S,17,FALSE)</f>
        <v>C49SZX20210057DZ</v>
      </c>
      <c r="K2782" s="51" t="str">
        <f>VLOOKUP(H2782,Stock_list!A:T,16,FALSE)</f>
        <v>JPY</v>
      </c>
      <c r="L2782" s="4">
        <v>44406</v>
      </c>
      <c r="M2782" s="132">
        <v>1</v>
      </c>
      <c r="P2782" s="4" t="str">
        <f>VLOOKUP(H2782,Stock_list!A:Y,25,FALSE)</f>
        <v>Yes</v>
      </c>
      <c r="Q2782" s="143"/>
      <c r="T2782" s="144"/>
      <c r="U2782" s="145" t="str">
        <f>VLOOKUP(H2782,Stock_list!A:N,14,FALSE)</f>
        <v>SEP 21</v>
      </c>
    </row>
    <row r="2783" spans="1:21" ht="16.5" customHeight="1">
      <c r="A2783" s="159" t="s">
        <v>2744</v>
      </c>
      <c r="B2783" s="114" t="str">
        <f>VLOOKUP(A2783,'Data pick slip'!B:F,5,FALSE)</f>
        <v>KHJ-MC100-00</v>
      </c>
      <c r="F2783" s="157" t="s">
        <v>2861</v>
      </c>
      <c r="H2783" s="138">
        <v>1179</v>
      </c>
      <c r="I2783" s="139" t="str">
        <f>VLOOKUP(H2783,Stock_list!A:R,18,FALSE)</f>
        <v>海松微</v>
      </c>
      <c r="J2783" s="139" t="str">
        <f>VLOOKUP(H2783,Stock_list!A:S,17,FALSE)</f>
        <v>C49SZX20210062JY</v>
      </c>
      <c r="K2783" s="51" t="str">
        <f>VLOOKUP(H2783,Stock_list!A:T,16,FALSE)</f>
        <v>JPY</v>
      </c>
      <c r="L2783" s="4">
        <v>44376</v>
      </c>
      <c r="M2783" s="143">
        <v>30</v>
      </c>
      <c r="P2783" s="4" t="str">
        <f>VLOOKUP(H2783,Stock_list!A:Y,25,FALSE)</f>
        <v>Yes</v>
      </c>
      <c r="T2783" s="144"/>
      <c r="U2783" s="145" t="str">
        <f>VLOOKUP(H2783,Stock_list!A:N,14,FALSE)</f>
        <v>JUN 21</v>
      </c>
    </row>
    <row r="2784" spans="1:21" ht="16.5" customHeight="1">
      <c r="A2784" s="159" t="s">
        <v>2747</v>
      </c>
      <c r="B2784" s="114" t="str">
        <f>VLOOKUP(A2784,'Data pick slip'!B:F,5,FALSE)</f>
        <v>KHJ-MC200-00</v>
      </c>
      <c r="F2784" s="157" t="s">
        <v>2861</v>
      </c>
      <c r="H2784" s="138">
        <v>1179</v>
      </c>
      <c r="I2784" s="139" t="str">
        <f>VLOOKUP(H2784,Stock_list!A:R,18,FALSE)</f>
        <v>海松微</v>
      </c>
      <c r="J2784" s="139" t="str">
        <f>VLOOKUP(H2784,Stock_list!A:S,17,FALSE)</f>
        <v>C49SZX20210062JY</v>
      </c>
      <c r="K2784" s="51" t="str">
        <f>VLOOKUP(H2784,Stock_list!A:T,16,FALSE)</f>
        <v>JPY</v>
      </c>
      <c r="L2784" s="4">
        <v>44376</v>
      </c>
      <c r="M2784" s="143">
        <v>3</v>
      </c>
      <c r="P2784" s="4" t="str">
        <f>VLOOKUP(H2784,Stock_list!A:Y,25,FALSE)</f>
        <v>Yes</v>
      </c>
      <c r="T2784" s="144"/>
      <c r="U2784" s="145" t="str">
        <f>VLOOKUP(H2784,Stock_list!A:N,14,FALSE)</f>
        <v>JUN 21</v>
      </c>
    </row>
    <row r="2785" spans="1:21" ht="16.5" customHeight="1">
      <c r="A2785" s="159" t="s">
        <v>2748</v>
      </c>
      <c r="B2785" s="114" t="str">
        <f>VLOOKUP(A2785,'Data pick slip'!B:F,5,FALSE)</f>
        <v>KHJ-MC400-00</v>
      </c>
      <c r="F2785" s="157" t="s">
        <v>2861</v>
      </c>
      <c r="H2785" s="138">
        <v>1179</v>
      </c>
      <c r="I2785" s="139" t="str">
        <f>VLOOKUP(H2785,Stock_list!A:R,18,FALSE)</f>
        <v>海松微</v>
      </c>
      <c r="J2785" s="139" t="str">
        <f>VLOOKUP(H2785,Stock_list!A:S,17,FALSE)</f>
        <v>C49SZX20210062JY</v>
      </c>
      <c r="K2785" s="51" t="str">
        <f>VLOOKUP(H2785,Stock_list!A:T,16,FALSE)</f>
        <v>JPY</v>
      </c>
      <c r="L2785" s="4">
        <v>44376</v>
      </c>
      <c r="M2785" s="143">
        <v>2</v>
      </c>
      <c r="P2785" s="4" t="str">
        <f>VLOOKUP(H2785,Stock_list!A:Y,25,FALSE)</f>
        <v>Yes</v>
      </c>
      <c r="T2785" s="144"/>
      <c r="U2785" s="145" t="str">
        <f>VLOOKUP(H2785,Stock_list!A:N,14,FALSE)</f>
        <v>JUN 21</v>
      </c>
    </row>
    <row r="2786" spans="1:21" ht="16.5" customHeight="1">
      <c r="A2786" s="159" t="s">
        <v>2750</v>
      </c>
      <c r="B2786" s="114" t="str">
        <f>VLOOKUP(A2786,'Data pick slip'!B:F,5,FALSE)</f>
        <v>KHJ-MC600-00</v>
      </c>
      <c r="F2786" s="157" t="s">
        <v>2753</v>
      </c>
      <c r="I2786" s="139" t="s">
        <v>3093</v>
      </c>
      <c r="J2786" s="139" t="s">
        <v>3420</v>
      </c>
      <c r="K2786" s="51" t="s">
        <v>1246</v>
      </c>
      <c r="L2786" s="4">
        <v>44257</v>
      </c>
      <c r="M2786" s="140">
        <v>1</v>
      </c>
      <c r="P2786" s="4" t="s">
        <v>291</v>
      </c>
      <c r="Q2786" s="143"/>
      <c r="T2786" s="144"/>
      <c r="U2786" s="145" t="e">
        <f>VLOOKUP(H2786,Stock_list!A:N,14,FALSE)</f>
        <v>#N/A</v>
      </c>
    </row>
    <row r="2787" spans="1:21" ht="16.5" customHeight="1">
      <c r="A2787" s="159" t="s">
        <v>2744</v>
      </c>
      <c r="B2787" s="114" t="str">
        <f>VLOOKUP(A2787,'Data pick slip'!B:F,5,FALSE)</f>
        <v>KHJ-MC100-00</v>
      </c>
      <c r="F2787" s="157" t="s">
        <v>1381</v>
      </c>
      <c r="H2787" s="138">
        <v>1180</v>
      </c>
      <c r="I2787" s="139" t="str">
        <f>VLOOKUP(H2787,Stock_list!A:R,18,FALSE)</f>
        <v>贝爱婴童</v>
      </c>
      <c r="J2787" s="139" t="str">
        <f>VLOOKUP(H2787,Stock_list!A:S,17,FALSE)</f>
        <v>C49SZX20210065JD</v>
      </c>
      <c r="K2787" s="51" t="str">
        <f>VLOOKUP(H2787,Stock_list!A:T,16,FALSE)</f>
        <v>JPY</v>
      </c>
      <c r="L2787" s="4">
        <v>44350</v>
      </c>
      <c r="M2787" s="132">
        <v>40</v>
      </c>
      <c r="P2787" s="4" t="s">
        <v>291</v>
      </c>
      <c r="Q2787" s="143"/>
      <c r="T2787" s="144"/>
      <c r="U2787" s="145" t="str">
        <f>VLOOKUP(H2787,Stock_list!A:N,14,FALSE)</f>
        <v>JUN 21</v>
      </c>
    </row>
    <row r="2788" spans="1:21" ht="16.5" customHeight="1">
      <c r="A2788" s="159" t="s">
        <v>2747</v>
      </c>
      <c r="B2788" s="114" t="str">
        <f>VLOOKUP(A2788,'Data pick slip'!B:F,5,FALSE)</f>
        <v>KHJ-MC200-00</v>
      </c>
      <c r="F2788" s="157" t="s">
        <v>1381</v>
      </c>
      <c r="H2788" s="138">
        <v>1180</v>
      </c>
      <c r="I2788" s="139" t="str">
        <f>VLOOKUP(H2788,Stock_list!A:R,18,FALSE)</f>
        <v>贝爱婴童</v>
      </c>
      <c r="J2788" s="139" t="str">
        <f>VLOOKUP(H2788,Stock_list!A:S,17,FALSE)</f>
        <v>C49SZX20210065JD</v>
      </c>
      <c r="K2788" s="51" t="str">
        <f>VLOOKUP(H2788,Stock_list!A:T,16,FALSE)</f>
        <v>JPY</v>
      </c>
      <c r="L2788" s="4">
        <v>44350</v>
      </c>
      <c r="M2788" s="132">
        <v>5</v>
      </c>
      <c r="P2788" s="4" t="s">
        <v>291</v>
      </c>
      <c r="Q2788" s="143"/>
      <c r="T2788" s="144"/>
      <c r="U2788" s="145" t="str">
        <f>VLOOKUP(H2788,Stock_list!A:N,14,FALSE)</f>
        <v>JUN 21</v>
      </c>
    </row>
    <row r="2789" spans="1:21" ht="16.5" customHeight="1">
      <c r="A2789" s="159" t="s">
        <v>2748</v>
      </c>
      <c r="B2789" s="114" t="str">
        <f>VLOOKUP(A2789,'Data pick slip'!B:F,5,FALSE)</f>
        <v>KHJ-MC400-00</v>
      </c>
      <c r="F2789" s="157" t="s">
        <v>1381</v>
      </c>
      <c r="H2789" s="138">
        <v>1180</v>
      </c>
      <c r="I2789" s="139" t="str">
        <f>VLOOKUP(H2789,Stock_list!A:R,18,FALSE)</f>
        <v>贝爱婴童</v>
      </c>
      <c r="J2789" s="139" t="str">
        <f>VLOOKUP(H2789,Stock_list!A:S,17,FALSE)</f>
        <v>C49SZX20210065JD</v>
      </c>
      <c r="K2789" s="51" t="str">
        <f>VLOOKUP(H2789,Stock_list!A:T,16,FALSE)</f>
        <v>JPY</v>
      </c>
      <c r="L2789" s="4">
        <v>44350</v>
      </c>
      <c r="M2789" s="132">
        <v>3</v>
      </c>
      <c r="P2789" s="4" t="s">
        <v>291</v>
      </c>
      <c r="Q2789" s="143"/>
      <c r="T2789" s="144"/>
      <c r="U2789" s="145" t="str">
        <f>VLOOKUP(H2789,Stock_list!A:N,14,FALSE)</f>
        <v>JUN 21</v>
      </c>
    </row>
    <row r="2790" spans="1:21" ht="16.5" customHeight="1">
      <c r="A2790" s="159" t="s">
        <v>2749</v>
      </c>
      <c r="B2790" s="114" t="str">
        <f>VLOOKUP(A2790,'Data pick slip'!B:F,5,FALSE)</f>
        <v>KHJ-MC500-00</v>
      </c>
      <c r="F2790" s="157" t="s">
        <v>1381</v>
      </c>
      <c r="H2790" s="138">
        <v>1180</v>
      </c>
      <c r="I2790" s="139" t="str">
        <f>VLOOKUP(H2790,Stock_list!A:R,18,FALSE)</f>
        <v>贝爱婴童</v>
      </c>
      <c r="J2790" s="139" t="str">
        <f>VLOOKUP(H2790,Stock_list!A:S,17,FALSE)</f>
        <v>C49SZX20210065JD</v>
      </c>
      <c r="K2790" s="51" t="str">
        <f>VLOOKUP(H2790,Stock_list!A:T,16,FALSE)</f>
        <v>JPY</v>
      </c>
      <c r="L2790" s="4">
        <v>44350</v>
      </c>
      <c r="M2790" s="132">
        <v>2</v>
      </c>
      <c r="P2790" s="4" t="s">
        <v>291</v>
      </c>
      <c r="Q2790" s="143"/>
      <c r="T2790" s="144"/>
      <c r="U2790" s="145" t="str">
        <f>VLOOKUP(H2790,Stock_list!A:N,14,FALSE)</f>
        <v>JUN 21</v>
      </c>
    </row>
    <row r="2791" spans="1:21" ht="16.5" customHeight="1">
      <c r="A2791" s="159" t="s">
        <v>2744</v>
      </c>
      <c r="B2791" s="114" t="str">
        <f>VLOOKUP(A2791,'Data pick slip'!B:F,5,FALSE)</f>
        <v>KHJ-MC100-00</v>
      </c>
      <c r="F2791" s="157" t="s">
        <v>2762</v>
      </c>
      <c r="H2791" s="138">
        <v>1182</v>
      </c>
      <c r="I2791" s="139" t="e">
        <f>VLOOKUP(H2791,Stock_list!A:R,18,FALSE)</f>
        <v>#N/A</v>
      </c>
      <c r="J2791" s="139" t="e">
        <f>VLOOKUP(H2791,Stock_list!A:S,17,FALSE)</f>
        <v>#N/A</v>
      </c>
      <c r="K2791" s="51" t="e">
        <f>VLOOKUP(H2791,Stock_list!A:T,16,FALSE)</f>
        <v>#N/A</v>
      </c>
      <c r="L2791" s="4"/>
      <c r="M2791" s="132"/>
      <c r="P2791" s="4" t="e">
        <f>VLOOKUP(H2791,Stock_list!A:Y,25,FALSE)</f>
        <v>#N/A</v>
      </c>
      <c r="Q2791" s="143">
        <v>75</v>
      </c>
      <c r="T2791" s="144"/>
      <c r="U2791" s="145" t="e">
        <f>VLOOKUP(H2791,Stock_list!A:N,14,FALSE)</f>
        <v>#N/A</v>
      </c>
    </row>
    <row r="2792" spans="1:21" ht="16.5" customHeight="1">
      <c r="A2792" s="159" t="s">
        <v>2747</v>
      </c>
      <c r="B2792" s="114" t="str">
        <f>VLOOKUP(A2792,'Data pick slip'!B:F,5,FALSE)</f>
        <v>KHJ-MC200-00</v>
      </c>
      <c r="F2792" s="157" t="s">
        <v>2762</v>
      </c>
      <c r="H2792" s="138">
        <v>1182</v>
      </c>
      <c r="I2792" s="139" t="e">
        <f>VLOOKUP(H2792,Stock_list!A:R,18,FALSE)</f>
        <v>#N/A</v>
      </c>
      <c r="J2792" s="139" t="e">
        <f>VLOOKUP(H2792,Stock_list!A:S,17,FALSE)</f>
        <v>#N/A</v>
      </c>
      <c r="K2792" s="51" t="e">
        <f>VLOOKUP(H2792,Stock_list!A:T,16,FALSE)</f>
        <v>#N/A</v>
      </c>
      <c r="L2792" s="4"/>
      <c r="M2792" s="132"/>
      <c r="P2792" s="4" t="e">
        <f>VLOOKUP(H2792,Stock_list!A:Y,25,FALSE)</f>
        <v>#N/A</v>
      </c>
      <c r="Q2792" s="143">
        <v>10</v>
      </c>
      <c r="T2792" s="144"/>
      <c r="U2792" s="145" t="e">
        <f>VLOOKUP(H2792,Stock_list!A:N,14,FALSE)</f>
        <v>#N/A</v>
      </c>
    </row>
    <row r="2793" spans="1:21" ht="16.5" customHeight="1">
      <c r="A2793" s="159" t="s">
        <v>2777</v>
      </c>
      <c r="B2793" s="114" t="str">
        <f>VLOOKUP(A2793,'Data pick slip'!B:F,5,FALSE)</f>
        <v>KHJ-MC400-00</v>
      </c>
      <c r="F2793" s="157" t="s">
        <v>2762</v>
      </c>
      <c r="H2793" s="138">
        <v>1182</v>
      </c>
      <c r="I2793" s="139" t="e">
        <f>VLOOKUP(H2793,Stock_list!A:R,18,FALSE)</f>
        <v>#N/A</v>
      </c>
      <c r="J2793" s="139" t="e">
        <f>VLOOKUP(H2793,Stock_list!A:S,17,FALSE)</f>
        <v>#N/A</v>
      </c>
      <c r="K2793" s="51" t="e">
        <f>VLOOKUP(H2793,Stock_list!A:T,16,FALSE)</f>
        <v>#N/A</v>
      </c>
      <c r="L2793" s="4"/>
      <c r="M2793" s="132"/>
      <c r="P2793" s="4" t="e">
        <f>VLOOKUP(H2793,Stock_list!A:Y,25,FALSE)</f>
        <v>#N/A</v>
      </c>
      <c r="Q2793" s="143">
        <v>6</v>
      </c>
      <c r="T2793" s="144"/>
      <c r="U2793" s="145" t="e">
        <f>VLOOKUP(H2793,Stock_list!A:N,14,FALSE)</f>
        <v>#N/A</v>
      </c>
    </row>
    <row r="2794" spans="1:21" ht="16.5" customHeight="1">
      <c r="A2794" s="159" t="s">
        <v>2749</v>
      </c>
      <c r="B2794" s="114" t="str">
        <f>VLOOKUP(A2794,'Data pick slip'!B:F,5,FALSE)</f>
        <v>KHJ-MC500-00</v>
      </c>
      <c r="F2794" s="157" t="s">
        <v>2762</v>
      </c>
      <c r="H2794" s="138">
        <v>1182</v>
      </c>
      <c r="I2794" s="139" t="e">
        <f>VLOOKUP(H2794,Stock_list!A:R,18,FALSE)</f>
        <v>#N/A</v>
      </c>
      <c r="J2794" s="139" t="e">
        <f>VLOOKUP(H2794,Stock_list!A:S,17,FALSE)</f>
        <v>#N/A</v>
      </c>
      <c r="K2794" s="51" t="e">
        <f>VLOOKUP(H2794,Stock_list!A:T,16,FALSE)</f>
        <v>#N/A</v>
      </c>
      <c r="L2794" s="4"/>
      <c r="M2794" s="132"/>
      <c r="P2794" s="4" t="e">
        <f>VLOOKUP(H2794,Stock_list!A:Y,25,FALSE)</f>
        <v>#N/A</v>
      </c>
      <c r="Q2794" s="143">
        <v>3</v>
      </c>
      <c r="T2794" s="144"/>
      <c r="U2794" s="145" t="e">
        <f>VLOOKUP(H2794,Stock_list!A:N,14,FALSE)</f>
        <v>#N/A</v>
      </c>
    </row>
    <row r="2795" spans="1:21" ht="22.5" customHeight="1">
      <c r="A2795" s="159" t="s">
        <v>2744</v>
      </c>
      <c r="B2795" s="114" t="str">
        <f>VLOOKUP(A2795,'Data pick slip'!B:F,5,FALSE)</f>
        <v>KHJ-MC100-00</v>
      </c>
      <c r="F2795" s="157" t="s">
        <v>2753</v>
      </c>
      <c r="I2795" s="139" t="s">
        <v>3093</v>
      </c>
      <c r="J2795" s="270" t="s">
        <v>3421</v>
      </c>
      <c r="K2795" s="51" t="s">
        <v>1246</v>
      </c>
      <c r="L2795" s="4">
        <v>44259</v>
      </c>
      <c r="M2795" s="132">
        <v>3</v>
      </c>
      <c r="P2795" s="4" t="s">
        <v>291</v>
      </c>
      <c r="Q2795" s="143"/>
      <c r="T2795" s="144"/>
      <c r="U2795" s="145" t="e">
        <f>VLOOKUP(H2795,Stock_list!A:N,14,FALSE)</f>
        <v>#N/A</v>
      </c>
    </row>
    <row r="2796" spans="1:21" ht="21.75" customHeight="1">
      <c r="A2796" s="159" t="s">
        <v>2747</v>
      </c>
      <c r="B2796" s="114" t="str">
        <f>VLOOKUP(A2796,'Data pick slip'!B:F,5,FALSE)</f>
        <v>KHJ-MC200-00</v>
      </c>
      <c r="F2796" s="157" t="s">
        <v>2753</v>
      </c>
      <c r="I2796" s="139" t="s">
        <v>3093</v>
      </c>
      <c r="J2796" s="270" t="s">
        <v>3421</v>
      </c>
      <c r="K2796" s="51" t="s">
        <v>1246</v>
      </c>
      <c r="L2796" s="4">
        <v>44259</v>
      </c>
      <c r="M2796" s="132">
        <v>2</v>
      </c>
      <c r="P2796" s="4" t="s">
        <v>291</v>
      </c>
      <c r="Q2796" s="143"/>
      <c r="T2796" s="144"/>
      <c r="U2796" s="145" t="e">
        <f>VLOOKUP(H2796,Stock_list!A:N,14,FALSE)</f>
        <v>#N/A</v>
      </c>
    </row>
    <row r="2797" spans="1:21" ht="16.5" customHeight="1">
      <c r="A2797" s="159" t="s">
        <v>2744</v>
      </c>
      <c r="B2797" s="114" t="str">
        <f>VLOOKUP(A2797,'Data pick slip'!B:F,5,FALSE)</f>
        <v>KHJ-MC100-00</v>
      </c>
      <c r="F2797" s="157" t="s">
        <v>1381</v>
      </c>
      <c r="H2797" s="138">
        <v>1185</v>
      </c>
      <c r="I2797" s="139" t="str">
        <f>VLOOKUP(H2797,Stock_list!A:R,18,FALSE)</f>
        <v>星辰宇</v>
      </c>
      <c r="J2797" s="139" t="str">
        <f>VLOOKUP(H2797,Stock_list!A:S,17,FALSE)</f>
        <v>C49SZX20210063LC</v>
      </c>
      <c r="K2797" s="51" t="str">
        <f>VLOOKUP(H2797,Stock_list!A:T,16,FALSE)</f>
        <v>JPY</v>
      </c>
      <c r="L2797" s="4">
        <v>44334</v>
      </c>
      <c r="M2797" s="132">
        <v>28</v>
      </c>
      <c r="P2797" s="4" t="str">
        <f>VLOOKUP(H2797,Stock_list!A:Y,25,FALSE)</f>
        <v>Yes</v>
      </c>
      <c r="Q2797" s="143"/>
      <c r="T2797" s="144"/>
      <c r="U2797" s="145" t="str">
        <f>VLOOKUP(H2797,Stock_list!A:N,14,FALSE)</f>
        <v>MAY 21</v>
      </c>
    </row>
    <row r="2798" spans="1:21" ht="16.5" customHeight="1">
      <c r="A2798" s="159" t="s">
        <v>2747</v>
      </c>
      <c r="B2798" s="114" t="str">
        <f>VLOOKUP(A2798,'Data pick slip'!B:F,5,FALSE)</f>
        <v>KHJ-MC200-00</v>
      </c>
      <c r="F2798" s="157" t="s">
        <v>1381</v>
      </c>
      <c r="H2798" s="138">
        <v>1185</v>
      </c>
      <c r="I2798" s="139" t="str">
        <f>VLOOKUP(H2798,Stock_list!A:R,18,FALSE)</f>
        <v>星辰宇</v>
      </c>
      <c r="J2798" s="139" t="str">
        <f>VLOOKUP(H2798,Stock_list!A:S,17,FALSE)</f>
        <v>C49SZX20210063LC</v>
      </c>
      <c r="K2798" s="51" t="str">
        <f>VLOOKUP(H2798,Stock_list!A:T,16,FALSE)</f>
        <v>JPY</v>
      </c>
      <c r="L2798" s="4">
        <v>44334</v>
      </c>
      <c r="M2798" s="132">
        <v>9</v>
      </c>
      <c r="P2798" s="4" t="str">
        <f>VLOOKUP(H2798,Stock_list!A:Y,25,FALSE)</f>
        <v>Yes</v>
      </c>
      <c r="Q2798" s="143"/>
      <c r="T2798" s="144"/>
      <c r="U2798" s="145" t="str">
        <f>VLOOKUP(H2798,Stock_list!A:N,14,FALSE)</f>
        <v>MAY 21</v>
      </c>
    </row>
    <row r="2799" spans="1:21" ht="16.5" customHeight="1">
      <c r="A2799" s="159" t="s">
        <v>2777</v>
      </c>
      <c r="B2799" s="114" t="str">
        <f>VLOOKUP(A2799,'Data pick slip'!B:F,5,FALSE)</f>
        <v>KHJ-MC400-00</v>
      </c>
      <c r="F2799" s="157" t="s">
        <v>1381</v>
      </c>
      <c r="H2799" s="138">
        <v>1185</v>
      </c>
      <c r="I2799" s="139" t="str">
        <f>VLOOKUP(H2799,Stock_list!A:R,18,FALSE)</f>
        <v>星辰宇</v>
      </c>
      <c r="J2799" s="139" t="str">
        <f>VLOOKUP(H2799,Stock_list!A:S,17,FALSE)</f>
        <v>C49SZX20210063LC</v>
      </c>
      <c r="K2799" s="51" t="str">
        <f>VLOOKUP(H2799,Stock_list!A:T,16,FALSE)</f>
        <v>JPY</v>
      </c>
      <c r="L2799" s="4">
        <v>44334</v>
      </c>
      <c r="M2799" s="132">
        <v>1</v>
      </c>
      <c r="P2799" s="4" t="str">
        <f>VLOOKUP(H2799,Stock_list!A:Y,25,FALSE)</f>
        <v>Yes</v>
      </c>
      <c r="Q2799" s="143"/>
      <c r="T2799" s="144"/>
      <c r="U2799" s="145" t="str">
        <f>VLOOKUP(H2799,Stock_list!A:N,14,FALSE)</f>
        <v>MAY 21</v>
      </c>
    </row>
    <row r="2800" spans="1:21" ht="16.5" customHeight="1">
      <c r="A2800" s="159" t="s">
        <v>2744</v>
      </c>
      <c r="B2800" s="114" t="str">
        <f>VLOOKUP(A2800,'Data pick slip'!B:F,5,FALSE)</f>
        <v>KHJ-MC100-00</v>
      </c>
      <c r="F2800" s="157" t="s">
        <v>2861</v>
      </c>
      <c r="H2800" s="138">
        <v>1153</v>
      </c>
      <c r="I2800" s="139" t="str">
        <f>VLOOKUP(H2800,Stock_list!A:R,18,FALSE)</f>
        <v>江西络鑫</v>
      </c>
      <c r="J2800" s="139" t="str">
        <f>VLOOKUP(H2800,Stock_list!A:S,17,FALSE)</f>
        <v>C49SZX20210052JY</v>
      </c>
      <c r="K2800" s="51" t="str">
        <f>VLOOKUP(H2800,Stock_list!A:T,16,FALSE)</f>
        <v>JPY</v>
      </c>
      <c r="L2800" s="4">
        <v>44536</v>
      </c>
      <c r="M2800" s="143">
        <v>210</v>
      </c>
      <c r="N2800" s="143"/>
      <c r="P2800" s="4" t="str">
        <f>VLOOKUP(H2800,Stock_list!A:Y,25,FALSE)</f>
        <v>Yes</v>
      </c>
      <c r="T2800" s="144"/>
      <c r="U2800" s="145" t="str">
        <f>VLOOKUP(H2800,Stock_list!A:N,14,FALSE)</f>
        <v>DEC 21</v>
      </c>
    </row>
    <row r="2801" spans="1:21" ht="16.5" customHeight="1">
      <c r="A2801" s="159" t="s">
        <v>2747</v>
      </c>
      <c r="B2801" s="114" t="str">
        <f>VLOOKUP(A2801,'Data pick slip'!B:F,5,FALSE)</f>
        <v>KHJ-MC200-00</v>
      </c>
      <c r="F2801" s="157" t="s">
        <v>2861</v>
      </c>
      <c r="H2801" s="138">
        <v>1153</v>
      </c>
      <c r="I2801" s="139" t="str">
        <f>VLOOKUP(H2801,Stock_list!A:R,18,FALSE)</f>
        <v>江西络鑫</v>
      </c>
      <c r="J2801" s="139" t="str">
        <f>VLOOKUP(H2801,Stock_list!A:S,17,FALSE)</f>
        <v>C49SZX20210052JY</v>
      </c>
      <c r="K2801" s="51" t="str">
        <f>VLOOKUP(H2801,Stock_list!A:T,16,FALSE)</f>
        <v>JPY</v>
      </c>
      <c r="L2801" s="4">
        <v>44536</v>
      </c>
      <c r="M2801" s="143">
        <v>30</v>
      </c>
      <c r="N2801" s="143"/>
      <c r="P2801" s="4" t="str">
        <f>VLOOKUP(H2801,Stock_list!A:Y,25,FALSE)</f>
        <v>Yes</v>
      </c>
      <c r="T2801" s="144"/>
      <c r="U2801" s="145" t="str">
        <f>VLOOKUP(H2801,Stock_list!A:N,14,FALSE)</f>
        <v>DEC 21</v>
      </c>
    </row>
    <row r="2802" spans="1:21" ht="16.5" customHeight="1">
      <c r="A2802" s="159" t="s">
        <v>2750</v>
      </c>
      <c r="B2802" s="114" t="str">
        <f>VLOOKUP(A2802,'Data pick slip'!B:F,5,FALSE)</f>
        <v>KHJ-MC600-00</v>
      </c>
      <c r="F2802" s="157" t="s">
        <v>2753</v>
      </c>
      <c r="H2802" s="138">
        <v>1153</v>
      </c>
      <c r="I2802" s="139" t="str">
        <f>VLOOKUP(H2802,Stock_list!A:R,18,FALSE)</f>
        <v>江西络鑫</v>
      </c>
      <c r="J2802" s="139" t="str">
        <f>VLOOKUP(H2802,Stock_list!A:S,17,FALSE)</f>
        <v>C49SZX20210052JY</v>
      </c>
      <c r="K2802" s="51" t="str">
        <f>VLOOKUP(H2802,Stock_list!A:T,16,FALSE)</f>
        <v>JPY</v>
      </c>
      <c r="L2802" s="4">
        <v>44375</v>
      </c>
      <c r="M2802" s="143"/>
      <c r="O2802" s="132">
        <f>2-2</f>
        <v>0</v>
      </c>
      <c r="P2802" s="4" t="str">
        <f>VLOOKUP(H2802,Stock_list!A:Y,25,FALSE)</f>
        <v>Yes</v>
      </c>
      <c r="T2802" s="144"/>
      <c r="U2802" s="145" t="str">
        <f>VLOOKUP(H2802,Stock_list!A:N,14,FALSE)</f>
        <v>DEC 21</v>
      </c>
    </row>
    <row r="2803" spans="1:21" ht="16.5" customHeight="1">
      <c r="A2803" s="159" t="s">
        <v>2744</v>
      </c>
      <c r="B2803" s="114" t="str">
        <f>VLOOKUP(A2803,'Data pick slip'!B:F,5,FALSE)</f>
        <v>KHJ-MC100-00</v>
      </c>
      <c r="F2803" s="157" t="s">
        <v>2861</v>
      </c>
      <c r="H2803" s="138">
        <v>1153</v>
      </c>
      <c r="I2803" s="139" t="str">
        <f>VLOOKUP(H2803,Stock_list!A:R,18,FALSE)</f>
        <v>江西络鑫</v>
      </c>
      <c r="J2803" s="139" t="str">
        <f>VLOOKUP(H2803,Stock_list!A:S,17,FALSE)</f>
        <v>C49SZX20210052JY</v>
      </c>
      <c r="K2803" s="51" t="str">
        <f>VLOOKUP(H2803,Stock_list!A:T,16,FALSE)</f>
        <v>JPY</v>
      </c>
      <c r="L2803" s="4">
        <v>44536</v>
      </c>
      <c r="M2803" s="132">
        <v>210</v>
      </c>
      <c r="P2803" s="4" t="str">
        <f>VLOOKUP(H2803,Stock_list!A:Y,25,FALSE)</f>
        <v>Yes</v>
      </c>
      <c r="T2803" s="144"/>
      <c r="U2803" s="145" t="str">
        <f>VLOOKUP(H2803,Stock_list!A:N,14,FALSE)</f>
        <v>DEC 21</v>
      </c>
    </row>
    <row r="2804" spans="1:21" ht="16.5" customHeight="1">
      <c r="A2804" s="159" t="s">
        <v>2747</v>
      </c>
      <c r="B2804" s="114" t="str">
        <f>VLOOKUP(A2804,'Data pick slip'!B:F,5,FALSE)</f>
        <v>KHJ-MC200-00</v>
      </c>
      <c r="F2804" s="157" t="s">
        <v>2861</v>
      </c>
      <c r="H2804" s="138">
        <v>1153</v>
      </c>
      <c r="I2804" s="139" t="str">
        <f>VLOOKUP(H2804,Stock_list!A:R,18,FALSE)</f>
        <v>江西络鑫</v>
      </c>
      <c r="J2804" s="139" t="str">
        <f>VLOOKUP(H2804,Stock_list!A:S,17,FALSE)</f>
        <v>C49SZX20210052JY</v>
      </c>
      <c r="K2804" s="51" t="str">
        <f>VLOOKUP(H2804,Stock_list!A:T,16,FALSE)</f>
        <v>JPY</v>
      </c>
      <c r="L2804" s="4">
        <v>44536</v>
      </c>
      <c r="M2804" s="132">
        <v>20</v>
      </c>
      <c r="P2804" s="4" t="str">
        <f>VLOOKUP(H2804,Stock_list!A:Y,25,FALSE)</f>
        <v>Yes</v>
      </c>
      <c r="T2804" s="144"/>
      <c r="U2804" s="145" t="str">
        <f>VLOOKUP(H2804,Stock_list!A:N,14,FALSE)</f>
        <v>DEC 21</v>
      </c>
    </row>
    <row r="2805" spans="1:21" ht="16.5" customHeight="1">
      <c r="A2805" s="159" t="s">
        <v>2748</v>
      </c>
      <c r="B2805" s="114" t="str">
        <f>VLOOKUP(A2805,'Data pick slip'!B:F,5,FALSE)</f>
        <v>KHJ-MC400-00</v>
      </c>
      <c r="F2805" s="157" t="s">
        <v>2861</v>
      </c>
      <c r="H2805" s="138">
        <v>1153</v>
      </c>
      <c r="I2805" s="139" t="str">
        <f>VLOOKUP(H2805,Stock_list!A:R,18,FALSE)</f>
        <v>江西络鑫</v>
      </c>
      <c r="J2805" s="139" t="str">
        <f>VLOOKUP(H2805,Stock_list!A:S,17,FALSE)</f>
        <v>C49SZX20210052JY</v>
      </c>
      <c r="K2805" s="51" t="str">
        <f>VLOOKUP(H2805,Stock_list!A:T,16,FALSE)</f>
        <v>JPY</v>
      </c>
      <c r="L2805" s="4">
        <v>44536</v>
      </c>
      <c r="M2805" s="132">
        <v>11</v>
      </c>
      <c r="P2805" s="4" t="str">
        <f>VLOOKUP(H2805,Stock_list!A:Y,25,FALSE)</f>
        <v>Yes</v>
      </c>
      <c r="T2805" s="144"/>
      <c r="U2805" s="145" t="str">
        <f>VLOOKUP(H2805,Stock_list!A:N,14,FALSE)</f>
        <v>DEC 21</v>
      </c>
    </row>
    <row r="2806" spans="1:21" ht="16.5" customHeight="1">
      <c r="A2806" s="159" t="s">
        <v>2749</v>
      </c>
      <c r="B2806" s="114" t="str">
        <f>VLOOKUP(A2806,'Data pick slip'!B:F,5,FALSE)</f>
        <v>KHJ-MC500-00</v>
      </c>
      <c r="F2806" s="157" t="s">
        <v>2861</v>
      </c>
      <c r="H2806" s="138">
        <v>1153</v>
      </c>
      <c r="I2806" s="139" t="str">
        <f>VLOOKUP(H2806,Stock_list!A:R,18,FALSE)</f>
        <v>江西络鑫</v>
      </c>
      <c r="J2806" s="139" t="str">
        <f>VLOOKUP(H2806,Stock_list!A:S,17,FALSE)</f>
        <v>C49SZX20210052JY</v>
      </c>
      <c r="K2806" s="51" t="str">
        <f>VLOOKUP(H2806,Stock_list!A:T,16,FALSE)</f>
        <v>JPY</v>
      </c>
      <c r="L2806" s="4">
        <v>44536</v>
      </c>
      <c r="M2806" s="132">
        <v>4</v>
      </c>
      <c r="P2806" s="4" t="str">
        <f>VLOOKUP(H2806,Stock_list!A:Y,25,FALSE)</f>
        <v>Yes</v>
      </c>
      <c r="T2806" s="144"/>
      <c r="U2806" s="145" t="str">
        <f>VLOOKUP(H2806,Stock_list!A:N,14,FALSE)</f>
        <v>DEC 21</v>
      </c>
    </row>
    <row r="2807" spans="1:21" ht="16.5" customHeight="1">
      <c r="A2807" s="159" t="s">
        <v>2750</v>
      </c>
      <c r="B2807" s="114" t="str">
        <f>VLOOKUP(A2807,'Data pick slip'!B:F,5,FALSE)</f>
        <v>KHJ-MC600-00</v>
      </c>
      <c r="F2807" s="157" t="s">
        <v>2861</v>
      </c>
      <c r="H2807" s="138">
        <v>1153</v>
      </c>
      <c r="I2807" s="139" t="str">
        <f>VLOOKUP(H2807,Stock_list!A:R,18,FALSE)</f>
        <v>江西络鑫</v>
      </c>
      <c r="J2807" s="139" t="str">
        <f>VLOOKUP(H2807,Stock_list!A:S,17,FALSE)</f>
        <v>C49SZX20210052JY</v>
      </c>
      <c r="K2807" s="51" t="str">
        <f>VLOOKUP(H2807,Stock_list!A:T,16,FALSE)</f>
        <v>JPY</v>
      </c>
      <c r="L2807" s="4">
        <v>44536</v>
      </c>
      <c r="M2807" s="132">
        <v>4</v>
      </c>
      <c r="P2807" s="4" t="str">
        <f>VLOOKUP(H2807,Stock_list!A:Y,25,FALSE)</f>
        <v>Yes</v>
      </c>
      <c r="T2807" s="144"/>
      <c r="U2807" s="145" t="str">
        <f>VLOOKUP(H2807,Stock_list!A:N,14,FALSE)</f>
        <v>DEC 21</v>
      </c>
    </row>
    <row r="2808" spans="1:21" ht="16.5" customHeight="1">
      <c r="A2808" s="159" t="s">
        <v>2751</v>
      </c>
      <c r="B2808" s="114" t="str">
        <f>VLOOKUP(A2808,'Data pick slip'!B:F,5,FALSE)</f>
        <v>KHJ-MC700-00</v>
      </c>
      <c r="F2808" s="157" t="s">
        <v>2861</v>
      </c>
      <c r="H2808" s="138">
        <v>1153</v>
      </c>
      <c r="I2808" s="139" t="str">
        <f>VLOOKUP(H2808,Stock_list!A:R,18,FALSE)</f>
        <v>江西络鑫</v>
      </c>
      <c r="J2808" s="139" t="str">
        <f>VLOOKUP(H2808,Stock_list!A:S,17,FALSE)</f>
        <v>C49SZX20210052JY</v>
      </c>
      <c r="K2808" s="51" t="str">
        <f>VLOOKUP(H2808,Stock_list!A:T,16,FALSE)</f>
        <v>JPY</v>
      </c>
      <c r="L2808" s="4">
        <v>44536</v>
      </c>
      <c r="M2808" s="132">
        <v>3</v>
      </c>
      <c r="P2808" s="4" t="str">
        <f>VLOOKUP(H2808,Stock_list!A:Y,25,FALSE)</f>
        <v>Yes</v>
      </c>
      <c r="T2808" s="144"/>
      <c r="U2808" s="145" t="str">
        <f>VLOOKUP(H2808,Stock_list!A:N,14,FALSE)</f>
        <v>DEC 21</v>
      </c>
    </row>
    <row r="2809" spans="1:21" ht="16.5" customHeight="1">
      <c r="A2809" s="159" t="s">
        <v>2744</v>
      </c>
      <c r="B2809" s="114" t="str">
        <f>VLOOKUP(A2809,'Data pick slip'!B:F,5,FALSE)</f>
        <v>KHJ-MC100-00</v>
      </c>
      <c r="F2809" s="157" t="s">
        <v>1381</v>
      </c>
      <c r="H2809" s="138">
        <v>1210</v>
      </c>
      <c r="I2809" s="139" t="str">
        <f>VLOOKUP(H2809,Stock_list!A:R,18,FALSE)</f>
        <v>斯迈电子</v>
      </c>
      <c r="J2809" s="139" t="str">
        <f>VLOOKUP(H2809,Stock_list!A:S,17,FALSE)</f>
        <v>C49SZX20210125DZ</v>
      </c>
      <c r="K2809" s="51" t="str">
        <f>VLOOKUP(H2809,Stock_list!A:T,16,FALSE)</f>
        <v>JPY</v>
      </c>
      <c r="L2809" s="4">
        <v>44428</v>
      </c>
      <c r="M2809" s="132">
        <v>150</v>
      </c>
      <c r="N2809" s="146"/>
      <c r="P2809" s="4" t="str">
        <f>VLOOKUP(H2809,Stock_list!A:Y,25,FALSE)</f>
        <v>Yes</v>
      </c>
      <c r="Q2809" s="143"/>
      <c r="T2809" s="144"/>
      <c r="U2809" s="145" t="str">
        <f>VLOOKUP(H2809,Stock_list!A:N,14,FALSE)</f>
        <v>AUG 21</v>
      </c>
    </row>
    <row r="2810" spans="1:21" ht="16.5" customHeight="1">
      <c r="A2810" s="159" t="s">
        <v>2747</v>
      </c>
      <c r="B2810" s="114" t="str">
        <f>VLOOKUP(A2810,'Data pick slip'!B:F,5,FALSE)</f>
        <v>KHJ-MC200-00</v>
      </c>
      <c r="F2810" s="157" t="s">
        <v>1381</v>
      </c>
      <c r="H2810" s="138">
        <v>1210</v>
      </c>
      <c r="I2810" s="139" t="str">
        <f>VLOOKUP(H2810,Stock_list!A:R,18,FALSE)</f>
        <v>斯迈电子</v>
      </c>
      <c r="J2810" s="139" t="str">
        <f>VLOOKUP(H2810,Stock_list!A:S,17,FALSE)</f>
        <v>C49SZX20210125DZ</v>
      </c>
      <c r="K2810" s="51" t="str">
        <f>VLOOKUP(H2810,Stock_list!A:T,16,FALSE)</f>
        <v>JPY</v>
      </c>
      <c r="L2810" s="4">
        <v>44428</v>
      </c>
      <c r="M2810" s="132">
        <v>10</v>
      </c>
      <c r="N2810" s="146"/>
      <c r="P2810" s="4" t="str">
        <f>VLOOKUP(H2810,Stock_list!A:Y,25,FALSE)</f>
        <v>Yes</v>
      </c>
      <c r="Q2810" s="143"/>
      <c r="T2810" s="144"/>
      <c r="U2810" s="145" t="str">
        <f>VLOOKUP(H2810,Stock_list!A:N,14,FALSE)</f>
        <v>AUG 21</v>
      </c>
    </row>
    <row r="2811" spans="1:21" ht="16.5" customHeight="1">
      <c r="A2811" s="159" t="s">
        <v>2777</v>
      </c>
      <c r="B2811" s="114" t="str">
        <f>VLOOKUP(A2811,'Data pick slip'!B:F,5,FALSE)</f>
        <v>KHJ-MC400-00</v>
      </c>
      <c r="F2811" s="157" t="s">
        <v>1381</v>
      </c>
      <c r="H2811" s="138">
        <v>1210</v>
      </c>
      <c r="I2811" s="139" t="str">
        <f>VLOOKUP(H2811,Stock_list!A:R,18,FALSE)</f>
        <v>斯迈电子</v>
      </c>
      <c r="J2811" s="139" t="str">
        <f>VLOOKUP(H2811,Stock_list!A:S,17,FALSE)</f>
        <v>C49SZX20210125DZ</v>
      </c>
      <c r="K2811" s="51" t="str">
        <f>VLOOKUP(H2811,Stock_list!A:T,16,FALSE)</f>
        <v>JPY</v>
      </c>
      <c r="L2811" s="4">
        <v>44428</v>
      </c>
      <c r="M2811" s="132">
        <v>10</v>
      </c>
      <c r="N2811" s="146"/>
      <c r="P2811" s="4" t="str">
        <f>VLOOKUP(H2811,Stock_list!A:Y,25,FALSE)</f>
        <v>Yes</v>
      </c>
      <c r="Q2811" s="143"/>
      <c r="T2811" s="144"/>
      <c r="U2811" s="145" t="str">
        <f>VLOOKUP(H2811,Stock_list!A:N,14,FALSE)</f>
        <v>AUG 21</v>
      </c>
    </row>
    <row r="2812" spans="1:21" ht="16.5" customHeight="1">
      <c r="A2812" s="159" t="s">
        <v>2749</v>
      </c>
      <c r="B2812" s="114" t="str">
        <f>VLOOKUP(A2812,'Data pick slip'!B:F,5,FALSE)</f>
        <v>KHJ-MC500-00</v>
      </c>
      <c r="F2812" s="157" t="s">
        <v>1381</v>
      </c>
      <c r="H2812" s="138">
        <v>1210</v>
      </c>
      <c r="I2812" s="139" t="str">
        <f>VLOOKUP(H2812,Stock_list!A:R,18,FALSE)</f>
        <v>斯迈电子</v>
      </c>
      <c r="J2812" s="139" t="str">
        <f>VLOOKUP(H2812,Stock_list!A:S,17,FALSE)</f>
        <v>C49SZX20210125DZ</v>
      </c>
      <c r="K2812" s="51" t="str">
        <f>VLOOKUP(H2812,Stock_list!A:T,16,FALSE)</f>
        <v>JPY</v>
      </c>
      <c r="L2812" s="4">
        <v>44428</v>
      </c>
      <c r="M2812" s="132">
        <v>1</v>
      </c>
      <c r="N2812" s="146"/>
      <c r="P2812" s="4" t="str">
        <f>VLOOKUP(H2812,Stock_list!A:Y,25,FALSE)</f>
        <v>Yes</v>
      </c>
      <c r="Q2812" s="143"/>
      <c r="T2812" s="144"/>
      <c r="U2812" s="145" t="str">
        <f>VLOOKUP(H2812,Stock_list!A:N,14,FALSE)</f>
        <v>AUG 21</v>
      </c>
    </row>
    <row r="2813" spans="1:21" ht="16.5" customHeight="1">
      <c r="A2813" s="159" t="s">
        <v>2744</v>
      </c>
      <c r="B2813" s="114" t="str">
        <f>VLOOKUP(A2813,'Data pick slip'!B:F,5,FALSE)</f>
        <v>KHJ-MC100-00</v>
      </c>
      <c r="F2813" s="157" t="s">
        <v>1381</v>
      </c>
      <c r="H2813" s="138">
        <v>1210</v>
      </c>
      <c r="I2813" s="139" t="str">
        <f>VLOOKUP(H2813,Stock_list!A:R,18,FALSE)</f>
        <v>斯迈电子</v>
      </c>
      <c r="J2813" s="139" t="str">
        <f>VLOOKUP(H2813,Stock_list!A:S,17,FALSE)</f>
        <v>C49SZX20210125DZ</v>
      </c>
      <c r="K2813" s="51" t="str">
        <f>VLOOKUP(H2813,Stock_list!A:T,16,FALSE)</f>
        <v>JPY</v>
      </c>
      <c r="L2813" s="257" t="s">
        <v>3422</v>
      </c>
      <c r="M2813" s="320">
        <v>150</v>
      </c>
      <c r="P2813" s="4" t="str">
        <f>VLOOKUP(H2813,Stock_list!A:Y,25,FALSE)</f>
        <v>Yes</v>
      </c>
      <c r="Q2813" s="143"/>
      <c r="T2813" s="144"/>
      <c r="U2813" s="145" t="str">
        <f>VLOOKUP(H2813,Stock_list!A:N,14,FALSE)</f>
        <v>AUG 21</v>
      </c>
    </row>
    <row r="2814" spans="1:21" ht="16.5" customHeight="1">
      <c r="A2814" s="159" t="s">
        <v>2747</v>
      </c>
      <c r="B2814" s="114" t="str">
        <f>VLOOKUP(A2814,'Data pick slip'!B:F,5,FALSE)</f>
        <v>KHJ-MC200-00</v>
      </c>
      <c r="F2814" s="157" t="s">
        <v>1381</v>
      </c>
      <c r="H2814" s="138">
        <v>1210</v>
      </c>
      <c r="I2814" s="139" t="str">
        <f>VLOOKUP(H2814,Stock_list!A:R,18,FALSE)</f>
        <v>斯迈电子</v>
      </c>
      <c r="J2814" s="139" t="str">
        <f>VLOOKUP(H2814,Stock_list!A:S,17,FALSE)</f>
        <v>C49SZX20210125DZ</v>
      </c>
      <c r="K2814" s="51" t="str">
        <f>VLOOKUP(H2814,Stock_list!A:T,16,FALSE)</f>
        <v>JPY</v>
      </c>
      <c r="L2814" s="257" t="s">
        <v>3422</v>
      </c>
      <c r="M2814" s="320">
        <v>10</v>
      </c>
      <c r="P2814" s="4" t="str">
        <f>VLOOKUP(H2814,Stock_list!A:Y,25,FALSE)</f>
        <v>Yes</v>
      </c>
      <c r="Q2814" s="143"/>
      <c r="T2814" s="144"/>
      <c r="U2814" s="145" t="str">
        <f>VLOOKUP(H2814,Stock_list!A:N,14,FALSE)</f>
        <v>AUG 21</v>
      </c>
    </row>
    <row r="2815" spans="1:21" ht="16.5" customHeight="1">
      <c r="A2815" s="159" t="s">
        <v>2777</v>
      </c>
      <c r="B2815" s="114" t="str">
        <f>VLOOKUP(A2815,'Data pick slip'!B:F,5,FALSE)</f>
        <v>KHJ-MC400-00</v>
      </c>
      <c r="F2815" s="157" t="s">
        <v>1381</v>
      </c>
      <c r="H2815" s="138">
        <v>1210</v>
      </c>
      <c r="I2815" s="139" t="str">
        <f>VLOOKUP(H2815,Stock_list!A:R,18,FALSE)</f>
        <v>斯迈电子</v>
      </c>
      <c r="J2815" s="139" t="str">
        <f>VLOOKUP(H2815,Stock_list!A:S,17,FALSE)</f>
        <v>C49SZX20210125DZ</v>
      </c>
      <c r="K2815" s="51" t="str">
        <f>VLOOKUP(H2815,Stock_list!A:T,16,FALSE)</f>
        <v>JPY</v>
      </c>
      <c r="L2815" s="257" t="s">
        <v>3422</v>
      </c>
      <c r="M2815" s="320">
        <v>10</v>
      </c>
      <c r="P2815" s="4" t="str">
        <f>VLOOKUP(H2815,Stock_list!A:Y,25,FALSE)</f>
        <v>Yes</v>
      </c>
      <c r="Q2815" s="143"/>
      <c r="T2815" s="144"/>
      <c r="U2815" s="145" t="str">
        <f>VLOOKUP(H2815,Stock_list!A:N,14,FALSE)</f>
        <v>AUG 21</v>
      </c>
    </row>
    <row r="2816" spans="1:21" ht="16.5" customHeight="1">
      <c r="A2816" s="159" t="s">
        <v>2744</v>
      </c>
      <c r="B2816" s="114" t="str">
        <f>VLOOKUP(A2816,'Data pick slip'!B:F,5,FALSE)</f>
        <v>KHJ-MC100-00</v>
      </c>
      <c r="F2816" s="157" t="s">
        <v>2753</v>
      </c>
      <c r="H2816" s="138">
        <v>1210</v>
      </c>
      <c r="I2816" s="139" t="str">
        <f>VLOOKUP(H2816,Stock_list!A:R,18,FALSE)</f>
        <v>斯迈电子</v>
      </c>
      <c r="J2816" s="139" t="str">
        <f>VLOOKUP(H2816,Stock_list!A:S,17,FALSE)</f>
        <v>C49SZX20210125DZ</v>
      </c>
      <c r="K2816" s="51" t="str">
        <f>VLOOKUP(H2816,Stock_list!A:T,16,FALSE)</f>
        <v>JPY</v>
      </c>
      <c r="L2816" s="4">
        <v>44334</v>
      </c>
      <c r="M2816" s="132"/>
      <c r="O2816" s="132">
        <f>50-50</f>
        <v>0</v>
      </c>
      <c r="P2816" s="4" t="str">
        <f>VLOOKUP(H2816,Stock_list!A:Y,25,FALSE)</f>
        <v>Yes</v>
      </c>
      <c r="Q2816" s="143"/>
      <c r="T2816" s="144"/>
      <c r="U2816" s="145" t="str">
        <f>VLOOKUP(H2816,Stock_list!A:N,14,FALSE)</f>
        <v>AUG 21</v>
      </c>
    </row>
    <row r="2817" spans="1:21" ht="16.5" customHeight="1">
      <c r="A2817" s="159" t="s">
        <v>2744</v>
      </c>
      <c r="B2817" s="114" t="str">
        <f>VLOOKUP(A2817,'Data pick slip'!B:F,5,FALSE)</f>
        <v>KHJ-MC100-00</v>
      </c>
      <c r="F2817" s="157" t="s">
        <v>1381</v>
      </c>
      <c r="H2817" s="138">
        <v>1217</v>
      </c>
      <c r="I2817" s="139" t="str">
        <f>VLOOKUP(H2817,Stock_list!A:R,18,FALSE)</f>
        <v>芯睿视</v>
      </c>
      <c r="J2817" s="139" t="str">
        <f>VLOOKUP(H2817,Stock_list!A:S,17,FALSE)</f>
        <v>C49SZX20210068JL</v>
      </c>
      <c r="K2817" s="51" t="str">
        <f>VLOOKUP(H2817,Stock_list!A:T,16,FALSE)</f>
        <v>JPY</v>
      </c>
      <c r="L2817" s="4">
        <v>44267</v>
      </c>
      <c r="M2817" s="132">
        <v>180</v>
      </c>
      <c r="P2817" s="4" t="str">
        <f>VLOOKUP(H2817,Stock_list!A:Y,25,FALSE)</f>
        <v>Yes</v>
      </c>
      <c r="Q2817" s="143"/>
      <c r="T2817" s="144"/>
      <c r="U2817" s="145" t="str">
        <f>VLOOKUP(H2817,Stock_list!A:N,14,FALSE)</f>
        <v>MAR 21</v>
      </c>
    </row>
    <row r="2818" spans="1:21" ht="16.5" customHeight="1">
      <c r="A2818" s="159" t="s">
        <v>2747</v>
      </c>
      <c r="B2818" s="114" t="str">
        <f>VLOOKUP(A2818,'Data pick slip'!B:F,5,FALSE)</f>
        <v>KHJ-MC200-00</v>
      </c>
      <c r="F2818" s="157" t="s">
        <v>1381</v>
      </c>
      <c r="H2818" s="138">
        <v>1217</v>
      </c>
      <c r="I2818" s="139" t="str">
        <f>VLOOKUP(H2818,Stock_list!A:R,18,FALSE)</f>
        <v>芯睿视</v>
      </c>
      <c r="J2818" s="139" t="str">
        <f>VLOOKUP(H2818,Stock_list!A:S,17,FALSE)</f>
        <v>C49SZX20210068JL</v>
      </c>
      <c r="K2818" s="51" t="str">
        <f>VLOOKUP(H2818,Stock_list!A:T,16,FALSE)</f>
        <v>JPY</v>
      </c>
      <c r="L2818" s="4">
        <v>44267</v>
      </c>
      <c r="M2818" s="132">
        <v>18</v>
      </c>
      <c r="P2818" s="4" t="str">
        <f>VLOOKUP(H2818,Stock_list!A:Y,25,FALSE)</f>
        <v>Yes</v>
      </c>
      <c r="Q2818" s="143"/>
      <c r="T2818" s="144"/>
      <c r="U2818" s="145" t="str">
        <f>VLOOKUP(H2818,Stock_list!A:N,14,FALSE)</f>
        <v>MAR 21</v>
      </c>
    </row>
    <row r="2819" spans="1:21" ht="16.5" customHeight="1">
      <c r="A2819" s="159" t="s">
        <v>2749</v>
      </c>
      <c r="B2819" s="280" t="str">
        <f>VLOOKUP(A2819,'Data pick slip'!B:F,5,FALSE)</f>
        <v>KHJ-MC500-00</v>
      </c>
      <c r="F2819" s="157" t="s">
        <v>2753</v>
      </c>
      <c r="H2819" s="138">
        <v>1217</v>
      </c>
      <c r="I2819" s="139" t="str">
        <f>VLOOKUP(H2819,Stock_list!A:R,18,FALSE)</f>
        <v>芯睿视</v>
      </c>
      <c r="J2819" s="139" t="str">
        <f>VLOOKUP(H2819,Stock_list!A:S,17,FALSE)</f>
        <v>C49SZX20210068JL</v>
      </c>
      <c r="K2819" s="51" t="str">
        <f>VLOOKUP(H2819,Stock_list!A:T,16,FALSE)</f>
        <v>JPY</v>
      </c>
      <c r="L2819" s="4">
        <v>44267</v>
      </c>
      <c r="M2819" s="132">
        <v>4</v>
      </c>
      <c r="P2819" s="4" t="str">
        <f>VLOOKUP(H2819,Stock_list!A:Y,25,FALSE)</f>
        <v>Yes</v>
      </c>
      <c r="Q2819" s="143"/>
      <c r="S2819" s="268" t="s">
        <v>2778</v>
      </c>
      <c r="T2819" s="284" t="s">
        <v>3385</v>
      </c>
      <c r="U2819" s="145" t="str">
        <f>VLOOKUP(H2819,Stock_list!A:N,14,FALSE)</f>
        <v>MAR 21</v>
      </c>
    </row>
    <row r="2820" spans="1:21" ht="16.5" customHeight="1">
      <c r="A2820" s="159" t="s">
        <v>2744</v>
      </c>
      <c r="B2820" s="114" t="str">
        <f>VLOOKUP(A2820,'Data pick slip'!B:F,5,FALSE)</f>
        <v>KHJ-MC100-00</v>
      </c>
      <c r="F2820" s="157" t="s">
        <v>1381</v>
      </c>
      <c r="H2820" s="138">
        <v>1225</v>
      </c>
      <c r="I2820" s="139" t="str">
        <f>VLOOKUP(H2820,Stock_list!A:R,18,FALSE)</f>
        <v>世启纳</v>
      </c>
      <c r="J2820" s="139" t="str">
        <f>VLOOKUP(H2820,Stock_list!A:S,17,FALSE)</f>
        <v>C49SZX20210083SS</v>
      </c>
      <c r="K2820" s="51" t="str">
        <f>VLOOKUP(H2820,Stock_list!A:T,16,FALSE)</f>
        <v>JPY</v>
      </c>
      <c r="L2820" s="4">
        <v>44623</v>
      </c>
      <c r="M2820" s="132">
        <v>5</v>
      </c>
      <c r="P2820" s="4" t="str">
        <f>VLOOKUP(H2820,Stock_list!A:Y,25,FALSE)</f>
        <v>Yes</v>
      </c>
      <c r="Q2820" s="143"/>
      <c r="T2820" s="144"/>
      <c r="U2820" s="145" t="str">
        <f>VLOOKUP(H2820,Stock_list!A:N,14,FALSE)</f>
        <v>MAR 22</v>
      </c>
    </row>
    <row r="2821" spans="1:21" ht="16.5" customHeight="1">
      <c r="A2821" s="159" t="s">
        <v>2744</v>
      </c>
      <c r="B2821" s="114" t="str">
        <f>VLOOKUP(A2821,'Data pick slip'!B:F,5,FALSE)</f>
        <v>KHJ-MC100-00</v>
      </c>
      <c r="F2821" s="157" t="s">
        <v>1381</v>
      </c>
      <c r="H2821" s="138">
        <v>1225</v>
      </c>
      <c r="I2821" s="139" t="str">
        <f>VLOOKUP(H2821,Stock_list!A:R,18,FALSE)</f>
        <v>世启纳</v>
      </c>
      <c r="J2821" s="139" t="str">
        <f>VLOOKUP(H2821,Stock_list!A:S,17,FALSE)</f>
        <v>C49SZX20210083SS</v>
      </c>
      <c r="K2821" s="51" t="str">
        <f>VLOOKUP(H2821,Stock_list!A:T,16,FALSE)</f>
        <v>JPY</v>
      </c>
      <c r="L2821" s="4">
        <v>44477</v>
      </c>
      <c r="M2821" s="132">
        <v>2</v>
      </c>
      <c r="P2821" s="4" t="str">
        <f>VLOOKUP(H2821,Stock_list!A:Y,25,FALSE)</f>
        <v>Yes</v>
      </c>
      <c r="Q2821" s="143"/>
      <c r="T2821" s="144"/>
      <c r="U2821" s="145" t="str">
        <f>VLOOKUP(H2821,Stock_list!A:N,14,FALSE)</f>
        <v>MAR 22</v>
      </c>
    </row>
    <row r="2822" spans="1:21" ht="16.5" customHeight="1">
      <c r="A2822" s="159" t="s">
        <v>2744</v>
      </c>
      <c r="B2822" s="114" t="str">
        <f>VLOOKUP(A2822,'Data pick slip'!B:F,5,FALSE)</f>
        <v>KHJ-MC100-00</v>
      </c>
      <c r="F2822" s="157" t="s">
        <v>1381</v>
      </c>
      <c r="H2822" s="138">
        <v>1225</v>
      </c>
      <c r="I2822" s="139" t="str">
        <f>VLOOKUP(H2822,Stock_list!A:R,18,FALSE)</f>
        <v>世启纳</v>
      </c>
      <c r="J2822" s="139" t="str">
        <f>VLOOKUP(H2822,Stock_list!A:S,17,FALSE)</f>
        <v>C49SZX20210083SS</v>
      </c>
      <c r="K2822" s="51" t="str">
        <f>VLOOKUP(H2822,Stock_list!A:T,16,FALSE)</f>
        <v>JPY</v>
      </c>
      <c r="L2822" s="4">
        <v>44508</v>
      </c>
      <c r="M2822" s="132">
        <v>2</v>
      </c>
      <c r="P2822" s="4" t="str">
        <f>VLOOKUP(H2822,Stock_list!A:Y,25,FALSE)</f>
        <v>Yes</v>
      </c>
      <c r="Q2822" s="143"/>
      <c r="T2822" s="144"/>
      <c r="U2822" s="145" t="str">
        <f>VLOOKUP(H2822,Stock_list!A:N,14,FALSE)</f>
        <v>MAR 22</v>
      </c>
    </row>
    <row r="2823" spans="1:21" ht="16.5" customHeight="1">
      <c r="A2823" s="159" t="s">
        <v>2744</v>
      </c>
      <c r="B2823" s="114" t="str">
        <f>VLOOKUP(A2823,'Data pick slip'!B:F,5,FALSE)</f>
        <v>KHJ-MC100-00</v>
      </c>
      <c r="F2823" s="157" t="s">
        <v>1381</v>
      </c>
      <c r="H2823" s="138">
        <v>1225</v>
      </c>
      <c r="I2823" s="139" t="str">
        <f>VLOOKUP(H2823,Stock_list!A:R,18,FALSE)</f>
        <v>世启纳</v>
      </c>
      <c r="J2823" s="139" t="str">
        <f>VLOOKUP(H2823,Stock_list!A:S,17,FALSE)</f>
        <v>C49SZX20210083SS</v>
      </c>
      <c r="K2823" s="51" t="str">
        <f>VLOOKUP(H2823,Stock_list!A:T,16,FALSE)</f>
        <v>JPY</v>
      </c>
      <c r="L2823" s="4">
        <v>44623</v>
      </c>
      <c r="M2823" s="132">
        <v>2</v>
      </c>
      <c r="P2823" s="4" t="str">
        <f>VLOOKUP(H2823,Stock_list!A:Y,25,FALSE)</f>
        <v>Yes</v>
      </c>
      <c r="Q2823" s="143"/>
      <c r="T2823" s="144"/>
      <c r="U2823" s="145" t="str">
        <f>VLOOKUP(H2823,Stock_list!A:N,14,FALSE)</f>
        <v>MAR 22</v>
      </c>
    </row>
    <row r="2824" spans="1:21" ht="16.5" customHeight="1">
      <c r="A2824" s="159" t="s">
        <v>2744</v>
      </c>
      <c r="B2824" s="114" t="str">
        <f>VLOOKUP(A2824,'Data pick slip'!B:F,5,FALSE)</f>
        <v>KHJ-MC100-00</v>
      </c>
      <c r="F2824" s="157" t="s">
        <v>1381</v>
      </c>
      <c r="H2824" s="138">
        <v>1225</v>
      </c>
      <c r="I2824" s="139" t="str">
        <f>VLOOKUP(H2824,Stock_list!A:R,18,FALSE)</f>
        <v>世启纳</v>
      </c>
      <c r="J2824" s="139" t="str">
        <f>VLOOKUP(H2824,Stock_list!A:S,17,FALSE)</f>
        <v>C49SZX20210083SS</v>
      </c>
      <c r="K2824" s="51" t="str">
        <f>VLOOKUP(H2824,Stock_list!A:T,16,FALSE)</f>
        <v>JPY</v>
      </c>
      <c r="L2824" s="4">
        <v>44544</v>
      </c>
      <c r="M2824" s="132">
        <v>2</v>
      </c>
      <c r="P2824" s="4" t="str">
        <f>VLOOKUP(H2824,Stock_list!A:Y,25,FALSE)</f>
        <v>Yes</v>
      </c>
      <c r="Q2824" s="143"/>
      <c r="T2824" s="144"/>
      <c r="U2824" s="145" t="str">
        <f>VLOOKUP(H2824,Stock_list!A:N,14,FALSE)</f>
        <v>MAR 22</v>
      </c>
    </row>
    <row r="2825" spans="1:21" ht="16.5" customHeight="1">
      <c r="A2825" s="159" t="s">
        <v>2744</v>
      </c>
      <c r="B2825" s="114" t="str">
        <f>VLOOKUP(A2825,'Data pick slip'!B:F,5,FALSE)</f>
        <v>KHJ-MC100-00</v>
      </c>
      <c r="F2825" s="157" t="s">
        <v>1381</v>
      </c>
      <c r="H2825" s="138">
        <v>1225</v>
      </c>
      <c r="I2825" s="139" t="str">
        <f>VLOOKUP(H2825,Stock_list!A:R,18,FALSE)</f>
        <v>世启纳</v>
      </c>
      <c r="J2825" s="139" t="str">
        <f>VLOOKUP(H2825,Stock_list!A:S,17,FALSE)</f>
        <v>C49SZX20210083SS</v>
      </c>
      <c r="K2825" s="51" t="str">
        <f>VLOOKUP(H2825,Stock_list!A:T,16,FALSE)</f>
        <v>JPY</v>
      </c>
      <c r="L2825" s="4">
        <v>44574</v>
      </c>
      <c r="M2825" s="132">
        <v>2</v>
      </c>
      <c r="P2825" s="4" t="str">
        <f>VLOOKUP(H2825,Stock_list!A:Y,25,FALSE)</f>
        <v>Yes</v>
      </c>
      <c r="Q2825" s="143"/>
      <c r="T2825" s="144"/>
      <c r="U2825" s="145" t="str">
        <f>VLOOKUP(H2825,Stock_list!A:N,14,FALSE)</f>
        <v>MAR 22</v>
      </c>
    </row>
    <row r="2826" spans="1:21" ht="16.5" customHeight="1">
      <c r="A2826" s="159" t="s">
        <v>2744</v>
      </c>
      <c r="B2826" s="114" t="str">
        <f>VLOOKUP(A2826,'Data pick slip'!B:F,5,FALSE)</f>
        <v>KHJ-MC100-00</v>
      </c>
      <c r="F2826" s="157" t="s">
        <v>1381</v>
      </c>
      <c r="H2826" s="138">
        <v>1246</v>
      </c>
      <c r="I2826" s="139" t="str">
        <f>VLOOKUP(H2826,Stock_list!A:R,18,FALSE)</f>
        <v>铣米</v>
      </c>
      <c r="J2826" s="139" t="str">
        <f>VLOOKUP(H2826,Stock_list!A:S,17,FALSE)</f>
        <v>C49SZX20210073AY</v>
      </c>
      <c r="K2826" s="51" t="str">
        <f>VLOOKUP(H2826,Stock_list!A:T,16,FALSE)</f>
        <v>JPY</v>
      </c>
      <c r="L2826" s="4">
        <v>44510</v>
      </c>
      <c r="M2826" s="132">
        <v>40</v>
      </c>
      <c r="P2826" s="4" t="str">
        <f>VLOOKUP(H2826,Stock_list!A:Y,25,FALSE)</f>
        <v>Yes</v>
      </c>
      <c r="Q2826" s="143"/>
      <c r="T2826" s="144"/>
      <c r="U2826" s="145" t="str">
        <f>VLOOKUP(H2826,Stock_list!A:N,14,FALSE)</f>
        <v>NOV 21</v>
      </c>
    </row>
    <row r="2827" spans="1:21" ht="16.5" customHeight="1">
      <c r="A2827" s="159" t="s">
        <v>2747</v>
      </c>
      <c r="B2827" s="114" t="str">
        <f>VLOOKUP(A2827,'Data pick slip'!B:F,5,FALSE)</f>
        <v>KHJ-MC200-00</v>
      </c>
      <c r="F2827" s="157" t="s">
        <v>1381</v>
      </c>
      <c r="H2827" s="138">
        <v>1246</v>
      </c>
      <c r="I2827" s="139" t="str">
        <f>VLOOKUP(H2827,Stock_list!A:R,18,FALSE)</f>
        <v>铣米</v>
      </c>
      <c r="J2827" s="139" t="str">
        <f>VLOOKUP(H2827,Stock_list!A:S,17,FALSE)</f>
        <v>C49SZX20210073AY</v>
      </c>
      <c r="K2827" s="51" t="str">
        <f>VLOOKUP(H2827,Stock_list!A:T,16,FALSE)</f>
        <v>JPY</v>
      </c>
      <c r="L2827" s="4">
        <v>44510</v>
      </c>
      <c r="M2827" s="132">
        <v>12</v>
      </c>
      <c r="P2827" s="4" t="str">
        <f>VLOOKUP(H2827,Stock_list!A:Y,25,FALSE)</f>
        <v>Yes</v>
      </c>
      <c r="Q2827" s="143"/>
      <c r="T2827" s="144"/>
      <c r="U2827" s="145" t="str">
        <f>VLOOKUP(H2827,Stock_list!A:N,14,FALSE)</f>
        <v>NOV 21</v>
      </c>
    </row>
    <row r="2828" spans="1:21" ht="16.5" customHeight="1">
      <c r="A2828" s="159" t="s">
        <v>2748</v>
      </c>
      <c r="B2828" s="114" t="str">
        <f>VLOOKUP(A2828,'Data pick slip'!B:F,5,FALSE)</f>
        <v>KHJ-MC400-00</v>
      </c>
      <c r="F2828" s="157" t="s">
        <v>1381</v>
      </c>
      <c r="H2828" s="138">
        <v>1246</v>
      </c>
      <c r="I2828" s="139" t="str">
        <f>VLOOKUP(H2828,Stock_list!A:R,18,FALSE)</f>
        <v>铣米</v>
      </c>
      <c r="J2828" s="139" t="str">
        <f>VLOOKUP(H2828,Stock_list!A:S,17,FALSE)</f>
        <v>C49SZX20210073AY</v>
      </c>
      <c r="K2828" s="51" t="str">
        <f>VLOOKUP(H2828,Stock_list!A:T,16,FALSE)</f>
        <v>JPY</v>
      </c>
      <c r="L2828" s="4">
        <v>44510</v>
      </c>
      <c r="M2828" s="132">
        <v>3</v>
      </c>
      <c r="P2828" s="4" t="str">
        <f>VLOOKUP(H2828,Stock_list!A:Y,25,FALSE)</f>
        <v>Yes</v>
      </c>
      <c r="Q2828" s="143"/>
      <c r="T2828" s="144"/>
      <c r="U2828" s="145" t="str">
        <f>VLOOKUP(H2828,Stock_list!A:N,14,FALSE)</f>
        <v>NOV 21</v>
      </c>
    </row>
    <row r="2829" spans="1:21" ht="16.5" customHeight="1">
      <c r="A2829" s="159" t="s">
        <v>2749</v>
      </c>
      <c r="B2829" s="114" t="str">
        <f>VLOOKUP(A2829,'Data pick slip'!B:F,5,FALSE)</f>
        <v>KHJ-MC500-00</v>
      </c>
      <c r="F2829" s="157" t="s">
        <v>1381</v>
      </c>
      <c r="H2829" s="138">
        <v>1246</v>
      </c>
      <c r="I2829" s="139" t="str">
        <f>VLOOKUP(H2829,Stock_list!A:R,18,FALSE)</f>
        <v>铣米</v>
      </c>
      <c r="J2829" s="139" t="str">
        <f>VLOOKUP(H2829,Stock_list!A:S,17,FALSE)</f>
        <v>C49SZX20210073AY</v>
      </c>
      <c r="K2829" s="51" t="str">
        <f>VLOOKUP(H2829,Stock_list!A:T,16,FALSE)</f>
        <v>JPY</v>
      </c>
      <c r="L2829" s="4">
        <v>44510</v>
      </c>
      <c r="M2829" s="132">
        <v>2</v>
      </c>
      <c r="P2829" s="4" t="str">
        <f>VLOOKUP(H2829,Stock_list!A:Y,25,FALSE)</f>
        <v>Yes</v>
      </c>
      <c r="Q2829" s="143"/>
      <c r="T2829" s="144"/>
      <c r="U2829" s="145" t="str">
        <f>VLOOKUP(H2829,Stock_list!A:N,14,FALSE)</f>
        <v>NOV 21</v>
      </c>
    </row>
    <row r="2830" spans="1:21" ht="16.5" customHeight="1">
      <c r="A2830" s="159" t="s">
        <v>2744</v>
      </c>
      <c r="B2830" s="114" t="str">
        <f>VLOOKUP(A2830,'Data pick slip'!B:F,5,FALSE)</f>
        <v>KHJ-MC100-00</v>
      </c>
      <c r="F2830" s="157" t="s">
        <v>2753</v>
      </c>
      <c r="H2830" s="138">
        <v>1246</v>
      </c>
      <c r="I2830" s="139" t="str">
        <f>VLOOKUP(H2830,Stock_list!A:R,18,FALSE)</f>
        <v>铣米</v>
      </c>
      <c r="J2830" s="139" t="str">
        <f>VLOOKUP(H2830,Stock_list!A:S,17,FALSE)</f>
        <v>C49SZX20210073AY</v>
      </c>
      <c r="K2830" s="51" t="str">
        <f>VLOOKUP(H2830,Stock_list!A:T,16,FALSE)</f>
        <v>JPY</v>
      </c>
      <c r="L2830" s="4">
        <v>44406</v>
      </c>
      <c r="M2830" s="132"/>
      <c r="O2830" s="132">
        <f>30+10-40</f>
        <v>0</v>
      </c>
      <c r="P2830" s="4" t="str">
        <f>VLOOKUP(H2830,Stock_list!A:Y,25,FALSE)</f>
        <v>Yes</v>
      </c>
      <c r="Q2830" s="143"/>
      <c r="T2830" s="144"/>
      <c r="U2830" s="145" t="str">
        <f>VLOOKUP(H2830,Stock_list!A:N,14,FALSE)</f>
        <v>NOV 21</v>
      </c>
    </row>
    <row r="2831" spans="1:21" ht="16.5" customHeight="1">
      <c r="A2831" s="159" t="s">
        <v>2747</v>
      </c>
      <c r="B2831" s="114" t="str">
        <f>VLOOKUP(A2831,'Data pick slip'!B:F,5,FALSE)</f>
        <v>KHJ-MC200-00</v>
      </c>
      <c r="F2831" s="157" t="s">
        <v>2753</v>
      </c>
      <c r="H2831" s="138">
        <v>1246</v>
      </c>
      <c r="I2831" s="139" t="str">
        <f>VLOOKUP(H2831,Stock_list!A:R,18,FALSE)</f>
        <v>铣米</v>
      </c>
      <c r="J2831" s="139" t="str">
        <f>VLOOKUP(H2831,Stock_list!A:S,17,FALSE)</f>
        <v>C49SZX20210073AY</v>
      </c>
      <c r="K2831" s="51" t="str">
        <f>VLOOKUP(H2831,Stock_list!A:T,16,FALSE)</f>
        <v>JPY</v>
      </c>
      <c r="L2831" s="4">
        <v>44406</v>
      </c>
      <c r="M2831" s="132"/>
      <c r="O2831" s="132">
        <f>12-12</f>
        <v>0</v>
      </c>
      <c r="P2831" s="4" t="str">
        <f>VLOOKUP(H2831,Stock_list!A:Y,25,FALSE)</f>
        <v>Yes</v>
      </c>
      <c r="Q2831" s="143"/>
      <c r="T2831" s="144"/>
      <c r="U2831" s="145" t="str">
        <f>VLOOKUP(H2831,Stock_list!A:N,14,FALSE)</f>
        <v>NOV 21</v>
      </c>
    </row>
    <row r="2832" spans="1:21" ht="16.5" customHeight="1">
      <c r="A2832" s="159" t="s">
        <v>2748</v>
      </c>
      <c r="B2832" s="114" t="str">
        <f>VLOOKUP(A2832,'Data pick slip'!B:F,5,FALSE)</f>
        <v>KHJ-MC400-00</v>
      </c>
      <c r="F2832" s="157" t="s">
        <v>2753</v>
      </c>
      <c r="H2832" s="138">
        <v>1246</v>
      </c>
      <c r="I2832" s="139" t="str">
        <f>VLOOKUP(H2832,Stock_list!A:R,18,FALSE)</f>
        <v>铣米</v>
      </c>
      <c r="J2832" s="139" t="str">
        <f>VLOOKUP(H2832,Stock_list!A:S,17,FALSE)</f>
        <v>C49SZX20210073AY</v>
      </c>
      <c r="K2832" s="51" t="str">
        <f>VLOOKUP(H2832,Stock_list!A:T,16,FALSE)</f>
        <v>JPY</v>
      </c>
      <c r="L2832" s="4">
        <v>44406</v>
      </c>
      <c r="M2832" s="132"/>
      <c r="O2832" s="132">
        <f>3-3</f>
        <v>0</v>
      </c>
      <c r="P2832" s="4" t="str">
        <f>VLOOKUP(H2832,Stock_list!A:Y,25,FALSE)</f>
        <v>Yes</v>
      </c>
      <c r="Q2832" s="143"/>
      <c r="T2832" s="144"/>
      <c r="U2832" s="145" t="str">
        <f>VLOOKUP(H2832,Stock_list!A:N,14,FALSE)</f>
        <v>NOV 21</v>
      </c>
    </row>
    <row r="2833" spans="1:21" ht="16.5" customHeight="1">
      <c r="A2833" s="159" t="s">
        <v>2749</v>
      </c>
      <c r="B2833" s="114" t="str">
        <f>VLOOKUP(A2833,'Data pick slip'!B:F,5,FALSE)</f>
        <v>KHJ-MC500-00</v>
      </c>
      <c r="F2833" s="157" t="s">
        <v>2753</v>
      </c>
      <c r="H2833" s="138">
        <v>1246</v>
      </c>
      <c r="I2833" s="139" t="str">
        <f>VLOOKUP(H2833,Stock_list!A:R,18,FALSE)</f>
        <v>铣米</v>
      </c>
      <c r="J2833" s="139" t="str">
        <f>VLOOKUP(H2833,Stock_list!A:S,17,FALSE)</f>
        <v>C49SZX20210073AY</v>
      </c>
      <c r="K2833" s="51" t="str">
        <f>VLOOKUP(H2833,Stock_list!A:T,16,FALSE)</f>
        <v>JPY</v>
      </c>
      <c r="L2833" s="4">
        <v>44435</v>
      </c>
      <c r="M2833" s="132"/>
      <c r="O2833" s="132">
        <f>2-2</f>
        <v>0</v>
      </c>
      <c r="P2833" s="4" t="str">
        <f>VLOOKUP(H2833,Stock_list!A:Y,25,FALSE)</f>
        <v>Yes</v>
      </c>
      <c r="Q2833" s="143"/>
      <c r="T2833" s="144"/>
      <c r="U2833" s="145" t="str">
        <f>VLOOKUP(H2833,Stock_list!A:N,14,FALSE)</f>
        <v>NOV 21</v>
      </c>
    </row>
    <row r="2834" spans="1:21" ht="16.5" customHeight="1">
      <c r="A2834" s="159" t="s">
        <v>2744</v>
      </c>
      <c r="B2834" s="114" t="str">
        <f>VLOOKUP(A2834,'Data pick slip'!B:F,5,FALSE)</f>
        <v>KHJ-MC100-00</v>
      </c>
      <c r="F2834" s="157" t="s">
        <v>1381</v>
      </c>
      <c r="H2834" s="138">
        <v>1248</v>
      </c>
      <c r="I2834" s="139" t="str">
        <f>VLOOKUP(H2834,Stock_list!A:R,18,FALSE)</f>
        <v>祥弘瑞</v>
      </c>
      <c r="J2834" s="139" t="str">
        <f>VLOOKUP(H2834,Stock_list!A:S,17,FALSE)</f>
        <v>C49SZX20210072SS</v>
      </c>
      <c r="K2834" s="51" t="str">
        <f>VLOOKUP(H2834,Stock_list!A:T,16,FALSE)</f>
        <v>JPY</v>
      </c>
      <c r="L2834" s="4">
        <v>44617</v>
      </c>
      <c r="M2834" s="132">
        <v>5</v>
      </c>
      <c r="P2834" s="4" t="str">
        <f>VLOOKUP(H2834,Stock_list!A:Y,25,FALSE)</f>
        <v>Yes</v>
      </c>
      <c r="Q2834" s="143"/>
      <c r="T2834" s="144"/>
      <c r="U2834" s="145" t="str">
        <f>VLOOKUP(H2834,Stock_list!A:N,14,FALSE)</f>
        <v>FEB 22</v>
      </c>
    </row>
    <row r="2835" spans="1:21" ht="16.5" customHeight="1">
      <c r="A2835" s="159" t="s">
        <v>2744</v>
      </c>
      <c r="B2835" s="114" t="str">
        <f>VLOOKUP(A2835,'Data pick slip'!B:F,5,FALSE)</f>
        <v>KHJ-MC100-00</v>
      </c>
      <c r="F2835" s="157" t="s">
        <v>1381</v>
      </c>
      <c r="H2835" s="138">
        <v>1248</v>
      </c>
      <c r="I2835" s="139" t="str">
        <f>VLOOKUP(H2835,Stock_list!A:R,18,FALSE)</f>
        <v>祥弘瑞</v>
      </c>
      <c r="J2835" s="139" t="str">
        <f>VLOOKUP(H2835,Stock_list!A:S,17,FALSE)</f>
        <v>C49SZX20210072SS</v>
      </c>
      <c r="K2835" s="51" t="str">
        <f>VLOOKUP(H2835,Stock_list!A:T,16,FALSE)</f>
        <v>JPY</v>
      </c>
      <c r="L2835" s="4">
        <v>44477</v>
      </c>
      <c r="M2835" s="132">
        <v>1</v>
      </c>
      <c r="P2835" s="4" t="str">
        <f>VLOOKUP(H2835,Stock_list!A:Y,25,FALSE)</f>
        <v>Yes</v>
      </c>
      <c r="Q2835" s="143"/>
      <c r="T2835" s="144"/>
      <c r="U2835" s="145" t="str">
        <f>VLOOKUP(H2835,Stock_list!A:N,14,FALSE)</f>
        <v>FEB 22</v>
      </c>
    </row>
    <row r="2836" spans="1:21" ht="16.5" customHeight="1">
      <c r="A2836" s="159" t="s">
        <v>2744</v>
      </c>
      <c r="B2836" s="114" t="str">
        <f>VLOOKUP(A2836,'Data pick slip'!B:F,5,FALSE)</f>
        <v>KHJ-MC100-00</v>
      </c>
      <c r="F2836" s="157" t="s">
        <v>1381</v>
      </c>
      <c r="H2836" s="138">
        <v>1248</v>
      </c>
      <c r="I2836" s="139" t="str">
        <f>VLOOKUP(H2836,Stock_list!A:R,18,FALSE)</f>
        <v>祥弘瑞</v>
      </c>
      <c r="J2836" s="139" t="str">
        <f>VLOOKUP(H2836,Stock_list!A:S,17,FALSE)</f>
        <v>C49SZX20210072SS</v>
      </c>
      <c r="K2836" s="51" t="str">
        <f>VLOOKUP(H2836,Stock_list!A:T,16,FALSE)</f>
        <v>JPY</v>
      </c>
      <c r="L2836" s="4">
        <v>44508</v>
      </c>
      <c r="M2836" s="132">
        <v>1</v>
      </c>
      <c r="P2836" s="4" t="str">
        <f>VLOOKUP(H2836,Stock_list!A:Y,25,FALSE)</f>
        <v>Yes</v>
      </c>
      <c r="Q2836" s="143"/>
      <c r="T2836" s="144"/>
      <c r="U2836" s="145" t="str">
        <f>VLOOKUP(H2836,Stock_list!A:N,14,FALSE)</f>
        <v>FEB 22</v>
      </c>
    </row>
    <row r="2837" spans="1:21" ht="16.5" customHeight="1">
      <c r="A2837" s="159" t="s">
        <v>2744</v>
      </c>
      <c r="B2837" s="114" t="str">
        <f>VLOOKUP(A2837,'Data pick slip'!B:F,5,FALSE)</f>
        <v>KHJ-MC100-00</v>
      </c>
      <c r="F2837" s="157" t="s">
        <v>1381</v>
      </c>
      <c r="H2837" s="138">
        <v>1248</v>
      </c>
      <c r="I2837" s="139" t="str">
        <f>VLOOKUP(H2837,Stock_list!A:R,18,FALSE)</f>
        <v>祥弘瑞</v>
      </c>
      <c r="J2837" s="139" t="str">
        <f>VLOOKUP(H2837,Stock_list!A:S,17,FALSE)</f>
        <v>C49SZX20210072SS</v>
      </c>
      <c r="K2837" s="51" t="str">
        <f>VLOOKUP(H2837,Stock_list!A:T,16,FALSE)</f>
        <v>JPY</v>
      </c>
      <c r="L2837" s="4">
        <v>44544</v>
      </c>
      <c r="M2837" s="132">
        <v>1</v>
      </c>
      <c r="P2837" s="4" t="str">
        <f>VLOOKUP(H2837,Stock_list!A:Y,25,FALSE)</f>
        <v>Yes</v>
      </c>
      <c r="Q2837" s="143"/>
      <c r="T2837" s="144"/>
      <c r="U2837" s="145" t="str">
        <f>VLOOKUP(H2837,Stock_list!A:N,14,FALSE)</f>
        <v>FEB 22</v>
      </c>
    </row>
    <row r="2838" spans="1:21" ht="16.5" customHeight="1">
      <c r="A2838" s="159" t="s">
        <v>2744</v>
      </c>
      <c r="B2838" s="114" t="str">
        <f>VLOOKUP(A2838,'Data pick slip'!B:F,5,FALSE)</f>
        <v>KHJ-MC100-00</v>
      </c>
      <c r="F2838" s="157" t="s">
        <v>1381</v>
      </c>
      <c r="H2838" s="138">
        <v>1248</v>
      </c>
      <c r="I2838" s="139" t="str">
        <f>VLOOKUP(H2838,Stock_list!A:R,18,FALSE)</f>
        <v>祥弘瑞</v>
      </c>
      <c r="J2838" s="139" t="str">
        <f>VLOOKUP(H2838,Stock_list!A:S,17,FALSE)</f>
        <v>C49SZX20210072SS</v>
      </c>
      <c r="K2838" s="51" t="str">
        <f>VLOOKUP(H2838,Stock_list!A:T,16,FALSE)</f>
        <v>JPY</v>
      </c>
      <c r="L2838" s="4">
        <v>44574</v>
      </c>
      <c r="M2838" s="132">
        <v>1</v>
      </c>
      <c r="P2838" s="4" t="str">
        <f>VLOOKUP(H2838,Stock_list!A:Y,25,FALSE)</f>
        <v>Yes</v>
      </c>
      <c r="Q2838" s="143"/>
      <c r="T2838" s="144"/>
      <c r="U2838" s="145" t="str">
        <f>VLOOKUP(H2838,Stock_list!A:N,14,FALSE)</f>
        <v>FEB 22</v>
      </c>
    </row>
    <row r="2839" spans="1:21" ht="16.5" customHeight="1">
      <c r="A2839" s="159" t="s">
        <v>2744</v>
      </c>
      <c r="B2839" s="114" t="str">
        <f>VLOOKUP(A2839,'Data pick slip'!B:F,5,FALSE)</f>
        <v>KHJ-MC100-00</v>
      </c>
      <c r="F2839" s="157" t="s">
        <v>1381</v>
      </c>
      <c r="H2839" s="138">
        <v>1250</v>
      </c>
      <c r="I2839" s="139" t="str">
        <f>VLOOKUP(H2839,Stock_list!A:R,18,FALSE)</f>
        <v>泓凯</v>
      </c>
      <c r="J2839" s="139" t="str">
        <f>VLOOKUP(H2839,Stock_list!A:S,17,FALSE)</f>
        <v>C49SZX20210071SS</v>
      </c>
      <c r="K2839" s="51" t="str">
        <f>VLOOKUP(H2839,Stock_list!A:T,16,FALSE)</f>
        <v>JPY</v>
      </c>
      <c r="L2839" s="4">
        <v>44400</v>
      </c>
      <c r="M2839" s="132">
        <v>60</v>
      </c>
      <c r="P2839" s="4" t="str">
        <f>VLOOKUP(H2839,Stock_list!A:Y,25,FALSE)</f>
        <v>Yes</v>
      </c>
      <c r="Q2839" s="143"/>
      <c r="T2839" s="144"/>
      <c r="U2839" s="145" t="str">
        <f>VLOOKUP(H2839,Stock_list!A:N,14,FALSE)</f>
        <v>JUL 21</v>
      </c>
    </row>
    <row r="2840" spans="1:21" ht="16.5" customHeight="1">
      <c r="A2840" s="159" t="s">
        <v>2747</v>
      </c>
      <c r="B2840" s="114" t="str">
        <f>VLOOKUP(A2840,'Data pick slip'!B:F,5,FALSE)</f>
        <v>KHJ-MC200-00</v>
      </c>
      <c r="F2840" s="157" t="s">
        <v>1381</v>
      </c>
      <c r="H2840" s="138">
        <v>1250</v>
      </c>
      <c r="I2840" s="139" t="str">
        <f>VLOOKUP(H2840,Stock_list!A:R,18,FALSE)</f>
        <v>泓凯</v>
      </c>
      <c r="J2840" s="139" t="str">
        <f>VLOOKUP(H2840,Stock_list!A:S,17,FALSE)</f>
        <v>C49SZX20210071SS</v>
      </c>
      <c r="K2840" s="51" t="str">
        <f>VLOOKUP(H2840,Stock_list!A:T,16,FALSE)</f>
        <v>JPY</v>
      </c>
      <c r="L2840" s="4">
        <v>44400</v>
      </c>
      <c r="M2840" s="132">
        <v>10</v>
      </c>
      <c r="P2840" s="4" t="str">
        <f>VLOOKUP(H2840,Stock_list!A:Y,25,FALSE)</f>
        <v>Yes</v>
      </c>
      <c r="Q2840" s="143"/>
      <c r="T2840" s="144"/>
      <c r="U2840" s="145" t="str">
        <f>VLOOKUP(H2840,Stock_list!A:N,14,FALSE)</f>
        <v>JUL 21</v>
      </c>
    </row>
    <row r="2841" spans="1:21" ht="16.5" customHeight="1">
      <c r="A2841" s="159" t="s">
        <v>2748</v>
      </c>
      <c r="B2841" s="114" t="str">
        <f>VLOOKUP(A2841,'Data pick slip'!B:F,5,FALSE)</f>
        <v>KHJ-MC400-00</v>
      </c>
      <c r="F2841" s="157" t="s">
        <v>1381</v>
      </c>
      <c r="H2841" s="138">
        <v>1250</v>
      </c>
      <c r="I2841" s="139" t="str">
        <f>VLOOKUP(H2841,Stock_list!A:R,18,FALSE)</f>
        <v>泓凯</v>
      </c>
      <c r="J2841" s="139" t="str">
        <f>VLOOKUP(H2841,Stock_list!A:S,17,FALSE)</f>
        <v>C49SZX20210071SS</v>
      </c>
      <c r="K2841" s="51" t="str">
        <f>VLOOKUP(H2841,Stock_list!A:T,16,FALSE)</f>
        <v>JPY</v>
      </c>
      <c r="L2841" s="4">
        <v>44400</v>
      </c>
      <c r="M2841" s="132">
        <v>3</v>
      </c>
      <c r="P2841" s="4" t="str">
        <f>VLOOKUP(H2841,Stock_list!A:Y,25,FALSE)</f>
        <v>Yes</v>
      </c>
      <c r="Q2841" s="143"/>
      <c r="T2841" s="144"/>
      <c r="U2841" s="145" t="str">
        <f>VLOOKUP(H2841,Stock_list!A:N,14,FALSE)</f>
        <v>JUL 21</v>
      </c>
    </row>
    <row r="2842" spans="1:21" ht="16.5" customHeight="1">
      <c r="A2842" s="159" t="s">
        <v>2744</v>
      </c>
      <c r="B2842" s="114" t="str">
        <f>VLOOKUP(A2842,'Data pick slip'!B:F,5,FALSE)</f>
        <v>KHJ-MC100-00</v>
      </c>
      <c r="F2842" s="157" t="s">
        <v>1381</v>
      </c>
      <c r="H2842" s="138">
        <v>1252</v>
      </c>
      <c r="I2842" s="139" t="str">
        <f>VLOOKUP(H2842,Stock_list!A:R,18,FALSE)</f>
        <v>圣亨</v>
      </c>
      <c r="J2842" s="139" t="str">
        <f>VLOOKUP(H2842,Stock_list!A:S,17,FALSE)</f>
        <v>C49SZX20210076JZ</v>
      </c>
      <c r="K2842" s="51" t="str">
        <f>VLOOKUP(H2842,Stock_list!A:T,16,FALSE)</f>
        <v>JPY</v>
      </c>
      <c r="L2842" s="4">
        <v>44337</v>
      </c>
      <c r="M2842" s="132">
        <v>80</v>
      </c>
      <c r="P2842" s="4" t="str">
        <f>VLOOKUP(H2842,Stock_list!A:Y,25,FALSE)</f>
        <v>Yes</v>
      </c>
      <c r="Q2842" s="143"/>
      <c r="T2842" s="144"/>
      <c r="U2842" s="145" t="str">
        <f>VLOOKUP(H2842,Stock_list!A:N,14,FALSE)</f>
        <v>MAY 21</v>
      </c>
    </row>
    <row r="2843" spans="1:21" ht="16.5" customHeight="1">
      <c r="A2843" s="159" t="s">
        <v>2747</v>
      </c>
      <c r="B2843" s="114" t="str">
        <f>VLOOKUP(A2843,'Data pick slip'!B:F,5,FALSE)</f>
        <v>KHJ-MC200-00</v>
      </c>
      <c r="F2843" s="157" t="s">
        <v>1381</v>
      </c>
      <c r="H2843" s="138">
        <v>1252</v>
      </c>
      <c r="I2843" s="139" t="str">
        <f>VLOOKUP(H2843,Stock_list!A:R,18,FALSE)</f>
        <v>圣亨</v>
      </c>
      <c r="J2843" s="139" t="str">
        <f>VLOOKUP(H2843,Stock_list!A:S,17,FALSE)</f>
        <v>C49SZX20210076JZ</v>
      </c>
      <c r="K2843" s="51" t="str">
        <f>VLOOKUP(H2843,Stock_list!A:T,16,FALSE)</f>
        <v>JPY</v>
      </c>
      <c r="L2843" s="4">
        <v>44337</v>
      </c>
      <c r="M2843" s="132">
        <v>8</v>
      </c>
      <c r="P2843" s="4" t="str">
        <f>VLOOKUP(H2843,Stock_list!A:Y,25,FALSE)</f>
        <v>Yes</v>
      </c>
      <c r="Q2843" s="143"/>
      <c r="T2843" s="144"/>
      <c r="U2843" s="145" t="str">
        <f>VLOOKUP(H2843,Stock_list!A:N,14,FALSE)</f>
        <v>MAY 21</v>
      </c>
    </row>
    <row r="2844" spans="1:21" ht="16.5" customHeight="1">
      <c r="A2844" s="159" t="s">
        <v>2747</v>
      </c>
      <c r="B2844" s="114" t="str">
        <f>VLOOKUP(A2844,'Data pick slip'!B:F,5,FALSE)</f>
        <v>KHJ-MC200-00</v>
      </c>
      <c r="F2844" s="157" t="s">
        <v>2753</v>
      </c>
      <c r="I2844" s="139" t="s">
        <v>3093</v>
      </c>
      <c r="J2844" s="270" t="s">
        <v>3423</v>
      </c>
      <c r="K2844" s="51" t="s">
        <v>1246</v>
      </c>
      <c r="L2844" s="4">
        <v>44270</v>
      </c>
      <c r="M2844" s="132">
        <v>5</v>
      </c>
      <c r="P2844" s="4" t="s">
        <v>291</v>
      </c>
      <c r="Q2844" s="143"/>
      <c r="T2844" s="144"/>
      <c r="U2844" s="145" t="e">
        <f>VLOOKUP(H2844,Stock_list!A:N,14,FALSE)</f>
        <v>#N/A</v>
      </c>
    </row>
    <row r="2845" spans="1:21" ht="16.5" customHeight="1">
      <c r="A2845" s="159" t="s">
        <v>2744</v>
      </c>
      <c r="B2845" s="114" t="str">
        <f>VLOOKUP(A2845,'Data pick slip'!B:F,5,FALSE)</f>
        <v>KHJ-MC100-00</v>
      </c>
      <c r="F2845" s="157" t="s">
        <v>2753</v>
      </c>
      <c r="H2845" s="138">
        <v>1165</v>
      </c>
      <c r="I2845" s="139" t="str">
        <f>VLOOKUP(H2845,Stock_list!A:R,18,FALSE)</f>
        <v>瑞福联</v>
      </c>
      <c r="J2845" s="139" t="str">
        <f>VLOOKUP(H2845,Stock_list!A:S,17,FALSE)</f>
        <v>C49SZX20210056JL</v>
      </c>
      <c r="K2845" s="51" t="str">
        <f>VLOOKUP(H2845,Stock_list!A:T,16,FALSE)</f>
        <v>JPY</v>
      </c>
      <c r="L2845" s="4">
        <v>44270</v>
      </c>
      <c r="M2845" s="132"/>
      <c r="O2845" s="132">
        <f>20-20</f>
        <v>0</v>
      </c>
      <c r="P2845" s="4" t="str">
        <f>VLOOKUP(H2845,Stock_list!A:Y,25,FALSE)</f>
        <v>Yes</v>
      </c>
      <c r="Q2845" s="143"/>
      <c r="T2845" s="144"/>
      <c r="U2845" s="145" t="str">
        <f>VLOOKUP(H2845,Stock_list!A:N,14,FALSE)</f>
        <v>MAY 21</v>
      </c>
    </row>
    <row r="2846" spans="1:21" ht="16.5" customHeight="1">
      <c r="A2846" s="159" t="s">
        <v>2744</v>
      </c>
      <c r="B2846" s="114" t="str">
        <f>VLOOKUP(A2846,'Data pick slip'!B:F,5,FALSE)</f>
        <v>KHJ-MC100-00</v>
      </c>
      <c r="F2846" s="157" t="s">
        <v>1381</v>
      </c>
      <c r="H2846" s="138">
        <v>1260</v>
      </c>
      <c r="I2846" s="139" t="str">
        <f>VLOOKUP(H2846,Stock_list!A:R,18,FALSE)</f>
        <v>崧盛</v>
      </c>
      <c r="J2846" s="139" t="str">
        <f>VLOOKUP(H2846,Stock_list!A:S,17,FALSE)</f>
        <v>C49SZX20210082MZ</v>
      </c>
      <c r="K2846" s="51" t="str">
        <f>VLOOKUP(H2846,Stock_list!A:T,16,FALSE)</f>
        <v>JPY</v>
      </c>
      <c r="L2846" s="4">
        <v>44405</v>
      </c>
      <c r="M2846" s="132">
        <v>240</v>
      </c>
      <c r="P2846" s="4" t="str">
        <f>VLOOKUP(H2846,Stock_list!A:Y,25,FALSE)</f>
        <v>Yes</v>
      </c>
      <c r="Q2846" s="143"/>
      <c r="T2846" s="144"/>
      <c r="U2846" s="145" t="str">
        <f>VLOOKUP(H2846,Stock_list!A:N,14,FALSE)</f>
        <v>JUL 21</v>
      </c>
    </row>
    <row r="2847" spans="1:21" ht="16.5" customHeight="1">
      <c r="A2847" s="159" t="s">
        <v>2747</v>
      </c>
      <c r="B2847" s="114" t="str">
        <f>VLOOKUP(A2847,'Data pick slip'!B:F,5,FALSE)</f>
        <v>KHJ-MC200-00</v>
      </c>
      <c r="F2847" s="157" t="s">
        <v>1381</v>
      </c>
      <c r="H2847" s="138">
        <v>1260</v>
      </c>
      <c r="I2847" s="139" t="str">
        <f>VLOOKUP(H2847,Stock_list!A:R,18,FALSE)</f>
        <v>崧盛</v>
      </c>
      <c r="J2847" s="139" t="str">
        <f>VLOOKUP(H2847,Stock_list!A:S,17,FALSE)</f>
        <v>C49SZX20210082MZ</v>
      </c>
      <c r="K2847" s="51" t="str">
        <f>VLOOKUP(H2847,Stock_list!A:T,16,FALSE)</f>
        <v>JPY</v>
      </c>
      <c r="L2847" s="4">
        <v>44405</v>
      </c>
      <c r="M2847" s="132">
        <v>50</v>
      </c>
      <c r="P2847" s="4" t="str">
        <f>VLOOKUP(H2847,Stock_list!A:Y,25,FALSE)</f>
        <v>Yes</v>
      </c>
      <c r="Q2847" s="143"/>
      <c r="T2847" s="144"/>
      <c r="U2847" s="145" t="str">
        <f>VLOOKUP(H2847,Stock_list!A:N,14,FALSE)</f>
        <v>JUL 21</v>
      </c>
    </row>
    <row r="2848" spans="1:21" ht="16.5" customHeight="1">
      <c r="A2848" s="159" t="s">
        <v>2744</v>
      </c>
      <c r="B2848" s="114" t="str">
        <f>VLOOKUP(A2848,'Data pick slip'!B:F,5,FALSE)</f>
        <v>KHJ-MC100-00</v>
      </c>
      <c r="F2848" s="157" t="s">
        <v>1381</v>
      </c>
      <c r="H2848" s="138">
        <v>1256</v>
      </c>
      <c r="I2848" s="139" t="str">
        <f>VLOOKUP(H2848,Stock_list!A:R,18,FALSE)</f>
        <v>崧盛</v>
      </c>
      <c r="J2848" s="139" t="str">
        <f>VLOOKUP(H2848,Stock_list!A:S,17,FALSE)</f>
        <v>C49SZX20210081MZ</v>
      </c>
      <c r="K2848" s="51" t="str">
        <f>VLOOKUP(H2848,Stock_list!A:T,16,FALSE)</f>
        <v>JPY</v>
      </c>
      <c r="L2848" s="4">
        <v>44376</v>
      </c>
      <c r="M2848" s="132">
        <v>113</v>
      </c>
      <c r="P2848" s="4" t="str">
        <f>VLOOKUP(H2848,Stock_list!A:Y,25,FALSE)</f>
        <v>Yes</v>
      </c>
      <c r="Q2848" s="143"/>
      <c r="T2848" s="144"/>
      <c r="U2848" s="145" t="str">
        <f>VLOOKUP(H2848,Stock_list!A:N,14,FALSE)</f>
        <v>JUN 21</v>
      </c>
    </row>
    <row r="2849" spans="1:21" ht="16.5" customHeight="1">
      <c r="A2849" s="159" t="s">
        <v>2747</v>
      </c>
      <c r="B2849" s="114" t="str">
        <f>VLOOKUP(A2849,'Data pick slip'!B:F,5,FALSE)</f>
        <v>KHJ-MC200-00</v>
      </c>
      <c r="F2849" s="157" t="s">
        <v>1381</v>
      </c>
      <c r="H2849" s="138">
        <v>1256</v>
      </c>
      <c r="I2849" s="139" t="str">
        <f>VLOOKUP(H2849,Stock_list!A:R,18,FALSE)</f>
        <v>崧盛</v>
      </c>
      <c r="J2849" s="139" t="str">
        <f>VLOOKUP(H2849,Stock_list!A:S,17,FALSE)</f>
        <v>C49SZX20210081MZ</v>
      </c>
      <c r="K2849" s="51" t="str">
        <f>VLOOKUP(H2849,Stock_list!A:T,16,FALSE)</f>
        <v>JPY</v>
      </c>
      <c r="L2849" s="4">
        <v>44376</v>
      </c>
      <c r="M2849" s="132">
        <v>40</v>
      </c>
      <c r="P2849" s="4" t="str">
        <f>VLOOKUP(H2849,Stock_list!A:Y,25,FALSE)</f>
        <v>Yes</v>
      </c>
      <c r="Q2849" s="143"/>
      <c r="T2849" s="144"/>
      <c r="U2849" s="145" t="str">
        <f>VLOOKUP(H2849,Stock_list!A:N,14,FALSE)</f>
        <v>JUN 21</v>
      </c>
    </row>
    <row r="2850" spans="1:21" ht="16.5" customHeight="1">
      <c r="A2850" s="159" t="s">
        <v>2744</v>
      </c>
      <c r="B2850" s="114" t="str">
        <f>VLOOKUP(A2850,'Data pick slip'!B:F,5,FALSE)</f>
        <v>KHJ-MC100-00</v>
      </c>
      <c r="F2850" s="157" t="s">
        <v>1381</v>
      </c>
      <c r="H2850" s="138">
        <v>1256</v>
      </c>
      <c r="I2850" s="139" t="str">
        <f>VLOOKUP(H2850,Stock_list!A:R,18,FALSE)</f>
        <v>崧盛</v>
      </c>
      <c r="J2850" s="139" t="str">
        <f>VLOOKUP(H2850,Stock_list!A:S,17,FALSE)</f>
        <v>C49SZX20210081MZ</v>
      </c>
      <c r="K2850" s="51" t="str">
        <f>VLOOKUP(H2850,Stock_list!A:T,16,FALSE)</f>
        <v>JPY</v>
      </c>
      <c r="L2850" s="4">
        <v>44398</v>
      </c>
      <c r="M2850" s="132">
        <f>150-113</f>
        <v>37</v>
      </c>
      <c r="P2850" s="4" t="str">
        <f>VLOOKUP(H2850,Stock_list!A:Y,25,FALSE)</f>
        <v>Yes</v>
      </c>
      <c r="Q2850" s="143"/>
      <c r="T2850" s="144"/>
      <c r="U2850" s="145" t="str">
        <f>VLOOKUP(H2850,Stock_list!A:N,14,FALSE)</f>
        <v>JUN 21</v>
      </c>
    </row>
    <row r="2851" spans="1:21" ht="16.5" customHeight="1">
      <c r="A2851" s="159" t="s">
        <v>2747</v>
      </c>
      <c r="B2851" s="114" t="str">
        <f>VLOOKUP(A2851,'Data pick slip'!B:F,5,FALSE)</f>
        <v>KHJ-MC200-00</v>
      </c>
      <c r="F2851" s="157" t="s">
        <v>1381</v>
      </c>
      <c r="H2851" s="138">
        <v>1256</v>
      </c>
      <c r="I2851" s="139" t="str">
        <f>VLOOKUP(H2851,Stock_list!A:R,18,FALSE)</f>
        <v>崧盛</v>
      </c>
      <c r="J2851" s="139" t="str">
        <f>VLOOKUP(H2851,Stock_list!A:S,17,FALSE)</f>
        <v>C49SZX20210081MZ</v>
      </c>
      <c r="K2851" s="51" t="str">
        <f>VLOOKUP(H2851,Stock_list!A:T,16,FALSE)</f>
        <v>JPY</v>
      </c>
      <c r="L2851" s="4">
        <v>44398</v>
      </c>
      <c r="M2851" s="132">
        <f>52-40</f>
        <v>12</v>
      </c>
      <c r="P2851" s="4" t="str">
        <f>VLOOKUP(H2851,Stock_list!A:Y,25,FALSE)</f>
        <v>Yes</v>
      </c>
      <c r="Q2851" s="143"/>
      <c r="T2851" s="144"/>
      <c r="U2851" s="145" t="str">
        <f>VLOOKUP(H2851,Stock_list!A:N,14,FALSE)</f>
        <v>JUN 21</v>
      </c>
    </row>
    <row r="2852" spans="1:21" ht="16.5" customHeight="1">
      <c r="A2852" s="159" t="s">
        <v>2748</v>
      </c>
      <c r="B2852" s="114" t="str">
        <f>VLOOKUP(A2852,'Data pick slip'!B:F,5,FALSE)</f>
        <v>KHJ-MC400-00</v>
      </c>
      <c r="F2852" s="157" t="s">
        <v>1381</v>
      </c>
      <c r="H2852" s="138">
        <v>1256</v>
      </c>
      <c r="I2852" s="139" t="str">
        <f>VLOOKUP(H2852,Stock_list!A:R,18,FALSE)</f>
        <v>崧盛</v>
      </c>
      <c r="J2852" s="139" t="str">
        <f>VLOOKUP(H2852,Stock_list!A:S,17,FALSE)</f>
        <v>C49SZX20210081MZ</v>
      </c>
      <c r="K2852" s="51" t="str">
        <f>VLOOKUP(H2852,Stock_list!A:T,16,FALSE)</f>
        <v>JPY</v>
      </c>
      <c r="L2852" s="4">
        <v>44398</v>
      </c>
      <c r="M2852" s="132">
        <v>1</v>
      </c>
      <c r="P2852" s="4" t="str">
        <f>VLOOKUP(H2852,Stock_list!A:Y,25,FALSE)</f>
        <v>Yes</v>
      </c>
      <c r="Q2852" s="143"/>
      <c r="T2852" s="144"/>
      <c r="U2852" s="145" t="str">
        <f>VLOOKUP(H2852,Stock_list!A:N,14,FALSE)</f>
        <v>JUN 21</v>
      </c>
    </row>
    <row r="2853" spans="1:21" ht="16.5" customHeight="1">
      <c r="A2853" s="159" t="s">
        <v>2744</v>
      </c>
      <c r="B2853" s="114" t="str">
        <f>VLOOKUP(A2853,'Data pick slip'!B:F,5,FALSE)</f>
        <v>KHJ-MC100-00</v>
      </c>
      <c r="F2853" s="157" t="s">
        <v>1381</v>
      </c>
      <c r="H2853" s="138">
        <v>1254</v>
      </c>
      <c r="I2853" s="139" t="str">
        <f>VLOOKUP(H2853,Stock_list!A:R,18,FALSE)</f>
        <v>景思</v>
      </c>
      <c r="J2853" s="139" t="str">
        <f>VLOOKUP(H2853,Stock_list!A:S,17,FALSE)</f>
        <v>C49SZX20210090EC</v>
      </c>
      <c r="K2853" s="51" t="str">
        <f>VLOOKUP(H2853,Stock_list!A:T,16,FALSE)</f>
        <v>JPY</v>
      </c>
      <c r="L2853" s="4">
        <v>44285</v>
      </c>
      <c r="M2853" s="132">
        <v>3</v>
      </c>
      <c r="P2853" s="4" t="str">
        <f>VLOOKUP(H2853,Stock_list!A:Y,25,FALSE)</f>
        <v>Yes</v>
      </c>
      <c r="Q2853" s="143"/>
      <c r="T2853" s="144"/>
      <c r="U2853" s="145" t="str">
        <f>VLOOKUP(H2853,Stock_list!A:N,14,FALSE)</f>
        <v>MAR 21</v>
      </c>
    </row>
    <row r="2854" spans="1:21" ht="16.5" customHeight="1">
      <c r="A2854" s="159" t="s">
        <v>2744</v>
      </c>
      <c r="B2854" s="114" t="str">
        <f>VLOOKUP(A2854,'Data pick slip'!B:F,5,FALSE)</f>
        <v>KHJ-MC100-00</v>
      </c>
      <c r="F2854" s="157" t="s">
        <v>1381</v>
      </c>
      <c r="H2854" s="138">
        <v>1255</v>
      </c>
      <c r="I2854" s="139" t="str">
        <f>VLOOKUP(H2854,Stock_list!A:R,18,FALSE)</f>
        <v>福瑞康</v>
      </c>
      <c r="J2854" s="139" t="str">
        <f>VLOOKUP(H2854,Stock_list!A:S,17,FALSE)</f>
        <v>C49SZX20210079EC</v>
      </c>
      <c r="K2854" s="51" t="str">
        <f>VLOOKUP(H2854,Stock_list!A:T,16,FALSE)</f>
        <v>JPY</v>
      </c>
      <c r="L2854" s="4">
        <v>44300</v>
      </c>
      <c r="M2854" s="132">
        <v>32</v>
      </c>
      <c r="P2854" s="4" t="str">
        <f>VLOOKUP(H2854,Stock_list!A:Y,25,FALSE)</f>
        <v>Yes</v>
      </c>
      <c r="Q2854" s="143"/>
      <c r="T2854" s="144"/>
      <c r="U2854" s="145" t="str">
        <f>VLOOKUP(H2854,Stock_list!A:N,14,FALSE)</f>
        <v>APR 21</v>
      </c>
    </row>
    <row r="2855" spans="1:21" ht="16.5" customHeight="1">
      <c r="A2855" s="159" t="s">
        <v>2747</v>
      </c>
      <c r="B2855" s="114" t="str">
        <f>VLOOKUP(A2855,'Data pick slip'!B:F,5,FALSE)</f>
        <v>KHJ-MC200-00</v>
      </c>
      <c r="F2855" s="157" t="s">
        <v>2753</v>
      </c>
      <c r="I2855" s="139" t="s">
        <v>3093</v>
      </c>
      <c r="J2855" s="270" t="s">
        <v>3424</v>
      </c>
      <c r="K2855" s="51" t="s">
        <v>1246</v>
      </c>
      <c r="L2855" s="4">
        <v>44260</v>
      </c>
      <c r="M2855" s="132">
        <v>5</v>
      </c>
      <c r="P2855" s="4" t="s">
        <v>291</v>
      </c>
      <c r="Q2855" s="143"/>
      <c r="T2855" s="144"/>
      <c r="U2855" s="145" t="e">
        <f>VLOOKUP(H2855,Stock_list!A:N,14,FALSE)</f>
        <v>#N/A</v>
      </c>
    </row>
    <row r="2856" spans="1:21" ht="16.5" customHeight="1">
      <c r="A2856" s="159" t="s">
        <v>2744</v>
      </c>
      <c r="B2856" s="114" t="str">
        <f>VLOOKUP(A2856,'Data pick slip'!B:F,5,FALSE)</f>
        <v>KHJ-MC100-00</v>
      </c>
      <c r="F2856" s="157" t="s">
        <v>1381</v>
      </c>
      <c r="I2856" s="139" t="s">
        <v>3015</v>
      </c>
      <c r="J2856" s="139" t="s">
        <v>2952</v>
      </c>
      <c r="K2856" s="51" t="s">
        <v>1246</v>
      </c>
      <c r="L2856" s="4">
        <v>44189</v>
      </c>
      <c r="M2856" s="132">
        <v>100</v>
      </c>
      <c r="P2856" s="4" t="s">
        <v>291</v>
      </c>
      <c r="Q2856" s="143"/>
      <c r="T2856" s="144"/>
      <c r="U2856" s="145" t="e">
        <f>VLOOKUP(H2856,Stock_list!A:N,14,FALSE)</f>
        <v>#N/A</v>
      </c>
    </row>
    <row r="2857" spans="1:21" ht="16.5" customHeight="1">
      <c r="A2857" s="159" t="s">
        <v>2747</v>
      </c>
      <c r="B2857" s="114" t="str">
        <f>VLOOKUP(A2857,'Data pick slip'!B:F,5,FALSE)</f>
        <v>KHJ-MC200-00</v>
      </c>
      <c r="F2857" s="157" t="s">
        <v>1381</v>
      </c>
      <c r="I2857" s="139" t="s">
        <v>3015</v>
      </c>
      <c r="J2857" s="139" t="s">
        <v>2952</v>
      </c>
      <c r="K2857" s="51" t="s">
        <v>1246</v>
      </c>
      <c r="L2857" s="4">
        <v>44189</v>
      </c>
      <c r="M2857" s="132">
        <v>60</v>
      </c>
      <c r="P2857" s="4" t="s">
        <v>291</v>
      </c>
      <c r="Q2857" s="143"/>
      <c r="T2857" s="144"/>
      <c r="U2857" s="145" t="e">
        <f>VLOOKUP(H2857,Stock_list!A:N,14,FALSE)</f>
        <v>#N/A</v>
      </c>
    </row>
    <row r="2858" spans="1:21" ht="16.5" customHeight="1">
      <c r="A2858" s="159" t="s">
        <v>2748</v>
      </c>
      <c r="B2858" s="114" t="str">
        <f>VLOOKUP(A2858,'Data pick slip'!B:F,5,FALSE)</f>
        <v>KHJ-MC400-00</v>
      </c>
      <c r="F2858" s="157" t="s">
        <v>1381</v>
      </c>
      <c r="I2858" s="139" t="s">
        <v>3015</v>
      </c>
      <c r="J2858" s="139" t="s">
        <v>2952</v>
      </c>
      <c r="K2858" s="51" t="s">
        <v>1246</v>
      </c>
      <c r="L2858" s="4">
        <v>44189</v>
      </c>
      <c r="M2858" s="132">
        <v>4</v>
      </c>
      <c r="P2858" s="4" t="s">
        <v>291</v>
      </c>
      <c r="Q2858" s="143"/>
      <c r="T2858" s="144"/>
      <c r="U2858" s="145" t="e">
        <f>VLOOKUP(H2858,Stock_list!A:N,14,FALSE)</f>
        <v>#N/A</v>
      </c>
    </row>
    <row r="2859" spans="1:21" ht="16.5" customHeight="1">
      <c r="A2859" s="159" t="s">
        <v>2749</v>
      </c>
      <c r="B2859" s="114" t="str">
        <f>VLOOKUP(A2859,'Data pick slip'!B:F,5,FALSE)</f>
        <v>KHJ-MC500-00</v>
      </c>
      <c r="F2859" s="157" t="s">
        <v>1381</v>
      </c>
      <c r="I2859" s="139" t="s">
        <v>3015</v>
      </c>
      <c r="J2859" s="139" t="s">
        <v>2952</v>
      </c>
      <c r="K2859" s="51" t="s">
        <v>1246</v>
      </c>
      <c r="L2859" s="4">
        <v>44189</v>
      </c>
      <c r="M2859" s="132">
        <v>1</v>
      </c>
      <c r="P2859" s="4" t="s">
        <v>291</v>
      </c>
      <c r="Q2859" s="143"/>
      <c r="T2859" s="144"/>
      <c r="U2859" s="145" t="e">
        <f>VLOOKUP(H2859,Stock_list!A:N,14,FALSE)</f>
        <v>#N/A</v>
      </c>
    </row>
    <row r="2860" spans="1:21" ht="16.5" customHeight="1">
      <c r="A2860" s="159" t="s">
        <v>2744</v>
      </c>
      <c r="B2860" s="114" t="str">
        <f>VLOOKUP(A2860,'Data pick slip'!B:F,5,FALSE)</f>
        <v>KHJ-MC100-00</v>
      </c>
      <c r="F2860" s="157" t="s">
        <v>1381</v>
      </c>
      <c r="H2860" s="138">
        <v>1264</v>
      </c>
      <c r="I2860" s="139" t="str">
        <f>VLOOKUP(H2860,Stock_list!A:R,18,FALSE)</f>
        <v>特斯浦</v>
      </c>
      <c r="J2860" s="139" t="str">
        <f>VLOOKUP(H2860,Stock_list!A:S,17,FALSE)</f>
        <v>C49SZX20210087SX</v>
      </c>
      <c r="K2860" s="51" t="str">
        <f>VLOOKUP(H2860,Stock_list!A:T,16,FALSE)</f>
        <v>JPY</v>
      </c>
      <c r="L2860" s="4">
        <v>44382</v>
      </c>
      <c r="M2860" s="132">
        <v>25</v>
      </c>
      <c r="P2860" s="4" t="str">
        <f>VLOOKUP(H2860,Stock_list!A:Y,25,FALSE)</f>
        <v>Yes</v>
      </c>
      <c r="Q2860" s="143"/>
      <c r="T2860" s="144"/>
      <c r="U2860" s="145" t="str">
        <f>VLOOKUP(H2860,Stock_list!A:N,14,FALSE)</f>
        <v>JUL 21</v>
      </c>
    </row>
    <row r="2861" spans="1:21" ht="16.5" customHeight="1">
      <c r="A2861" s="159" t="s">
        <v>2747</v>
      </c>
      <c r="B2861" s="114" t="str">
        <f>VLOOKUP(A2861,'Data pick slip'!B:F,5,FALSE)</f>
        <v>KHJ-MC200-00</v>
      </c>
      <c r="F2861" s="157" t="s">
        <v>1381</v>
      </c>
      <c r="H2861" s="138">
        <v>1264</v>
      </c>
      <c r="I2861" s="139" t="str">
        <f>VLOOKUP(H2861,Stock_list!A:R,18,FALSE)</f>
        <v>特斯浦</v>
      </c>
      <c r="J2861" s="139" t="str">
        <f>VLOOKUP(H2861,Stock_list!A:S,17,FALSE)</f>
        <v>C49SZX20210087SX</v>
      </c>
      <c r="K2861" s="51" t="str">
        <f>VLOOKUP(H2861,Stock_list!A:T,16,FALSE)</f>
        <v>JPY</v>
      </c>
      <c r="L2861" s="4">
        <v>44382</v>
      </c>
      <c r="M2861" s="132">
        <v>2</v>
      </c>
      <c r="P2861" s="4" t="str">
        <f>VLOOKUP(H2861,Stock_list!A:Y,25,FALSE)</f>
        <v>Yes</v>
      </c>
      <c r="Q2861" s="143"/>
      <c r="T2861" s="144"/>
      <c r="U2861" s="145" t="str">
        <f>VLOOKUP(H2861,Stock_list!A:N,14,FALSE)</f>
        <v>JUL 21</v>
      </c>
    </row>
    <row r="2862" spans="1:21" ht="16.5" customHeight="1">
      <c r="A2862" s="159" t="s">
        <v>2744</v>
      </c>
      <c r="B2862" s="114" t="str">
        <f>VLOOKUP(A2862,'Data pick slip'!B:F,5,FALSE)</f>
        <v>KHJ-MC100-00</v>
      </c>
      <c r="F2862" s="157" t="s">
        <v>1381</v>
      </c>
      <c r="H2862" s="138">
        <v>1265</v>
      </c>
      <c r="I2862" s="139" t="str">
        <f>VLOOKUP(H2862,Stock_list!A:R,18,FALSE)</f>
        <v>恒越通</v>
      </c>
      <c r="J2862" s="139" t="str">
        <f>VLOOKUP(H2862,Stock_list!A:S,17,FALSE)</f>
        <v>C49SZX20210088SX</v>
      </c>
      <c r="K2862" s="51" t="str">
        <f>VLOOKUP(H2862,Stock_list!A:T,16,FALSE)</f>
        <v>JPY</v>
      </c>
      <c r="L2862" s="4">
        <v>44377</v>
      </c>
      <c r="M2862" s="132">
        <v>40</v>
      </c>
      <c r="P2862" s="4" t="str">
        <f>VLOOKUP(H2862,Stock_list!A:Y,25,FALSE)</f>
        <v>Yes</v>
      </c>
      <c r="Q2862" s="143"/>
      <c r="T2862" s="144"/>
      <c r="U2862" s="145" t="str">
        <f>VLOOKUP(H2862,Stock_list!A:N,14,FALSE)</f>
        <v>JUL 21</v>
      </c>
    </row>
    <row r="2863" spans="1:21" ht="16.5" customHeight="1">
      <c r="A2863" s="159" t="s">
        <v>2747</v>
      </c>
      <c r="B2863" s="114" t="str">
        <f>VLOOKUP(A2863,'Data pick slip'!B:F,5,FALSE)</f>
        <v>KHJ-MC200-00</v>
      </c>
      <c r="F2863" s="157" t="s">
        <v>1381</v>
      </c>
      <c r="H2863" s="138">
        <v>1265</v>
      </c>
      <c r="I2863" s="139" t="str">
        <f>VLOOKUP(H2863,Stock_list!A:R,18,FALSE)</f>
        <v>恒越通</v>
      </c>
      <c r="J2863" s="139" t="str">
        <f>VLOOKUP(H2863,Stock_list!A:S,17,FALSE)</f>
        <v>C49SZX20210088SX</v>
      </c>
      <c r="K2863" s="51" t="str">
        <f>VLOOKUP(H2863,Stock_list!A:T,16,FALSE)</f>
        <v>JPY</v>
      </c>
      <c r="L2863" s="4">
        <v>44377</v>
      </c>
      <c r="M2863" s="132">
        <v>8</v>
      </c>
      <c r="P2863" s="4" t="str">
        <f>VLOOKUP(H2863,Stock_list!A:Y,25,FALSE)</f>
        <v>Yes</v>
      </c>
      <c r="Q2863" s="143"/>
      <c r="T2863" s="144"/>
      <c r="U2863" s="145" t="str">
        <f>VLOOKUP(H2863,Stock_list!A:N,14,FALSE)</f>
        <v>JUL 21</v>
      </c>
    </row>
    <row r="2864" spans="1:21" ht="16.5" customHeight="1">
      <c r="A2864" s="159" t="s">
        <v>2748</v>
      </c>
      <c r="B2864" s="114" t="str">
        <f>VLOOKUP(A2864,'Data pick slip'!B:F,5,FALSE)</f>
        <v>KHJ-MC400-00</v>
      </c>
      <c r="F2864" s="157" t="s">
        <v>1381</v>
      </c>
      <c r="H2864" s="138">
        <v>1265</v>
      </c>
      <c r="I2864" s="139" t="str">
        <f>VLOOKUP(H2864,Stock_list!A:R,18,FALSE)</f>
        <v>恒越通</v>
      </c>
      <c r="J2864" s="139" t="str">
        <f>VLOOKUP(H2864,Stock_list!A:S,17,FALSE)</f>
        <v>C49SZX20210088SX</v>
      </c>
      <c r="K2864" s="51" t="str">
        <f>VLOOKUP(H2864,Stock_list!A:T,16,FALSE)</f>
        <v>JPY</v>
      </c>
      <c r="L2864" s="4">
        <v>44377</v>
      </c>
      <c r="M2864" s="132">
        <v>4</v>
      </c>
      <c r="P2864" s="4" t="str">
        <f>VLOOKUP(H2864,Stock_list!A:Y,25,FALSE)</f>
        <v>Yes</v>
      </c>
      <c r="Q2864" s="143"/>
      <c r="T2864" s="144"/>
      <c r="U2864" s="145" t="str">
        <f>VLOOKUP(H2864,Stock_list!A:N,14,FALSE)</f>
        <v>JUL 21</v>
      </c>
    </row>
    <row r="2865" spans="1:21" ht="16.5" customHeight="1">
      <c r="A2865" s="159" t="s">
        <v>2749</v>
      </c>
      <c r="B2865" s="114" t="str">
        <f>VLOOKUP(A2865,'Data pick slip'!B:F,5,FALSE)</f>
        <v>KHJ-MC500-00</v>
      </c>
      <c r="F2865" s="157" t="s">
        <v>1381</v>
      </c>
      <c r="H2865" s="138">
        <v>1265</v>
      </c>
      <c r="I2865" s="139" t="str">
        <f>VLOOKUP(H2865,Stock_list!A:R,18,FALSE)</f>
        <v>恒越通</v>
      </c>
      <c r="J2865" s="139" t="str">
        <f>VLOOKUP(H2865,Stock_list!A:S,17,FALSE)</f>
        <v>C49SZX20210088SX</v>
      </c>
      <c r="K2865" s="51" t="str">
        <f>VLOOKUP(H2865,Stock_list!A:T,16,FALSE)</f>
        <v>JPY</v>
      </c>
      <c r="L2865" s="4">
        <v>44377</v>
      </c>
      <c r="M2865" s="132">
        <v>2</v>
      </c>
      <c r="P2865" s="4" t="str">
        <f>VLOOKUP(H2865,Stock_list!A:Y,25,FALSE)</f>
        <v>Yes</v>
      </c>
      <c r="Q2865" s="143"/>
      <c r="T2865" s="144"/>
      <c r="U2865" s="145" t="str">
        <f>VLOOKUP(H2865,Stock_list!A:N,14,FALSE)</f>
        <v>JUL 21</v>
      </c>
    </row>
    <row r="2866" spans="1:21" ht="16.5" customHeight="1">
      <c r="A2866" s="159" t="s">
        <v>2744</v>
      </c>
      <c r="B2866" s="114" t="str">
        <f>VLOOKUP(A2866,'Data pick slip'!B:F,5,FALSE)</f>
        <v>KHJ-MC100-00</v>
      </c>
      <c r="F2866" s="157" t="s">
        <v>1381</v>
      </c>
      <c r="H2866" s="138">
        <v>1269</v>
      </c>
      <c r="I2866" s="139" t="str">
        <f>VLOOKUP(H2866,Stock_list!A:R,18,FALSE)</f>
        <v>伯莱科</v>
      </c>
      <c r="J2866" s="139" t="str">
        <f>VLOOKUP(H2866,Stock_list!A:S,17,FALSE)</f>
        <v>C49SZX20210075JL</v>
      </c>
      <c r="K2866" s="51" t="str">
        <f>VLOOKUP(H2866,Stock_list!A:T,16,FALSE)</f>
        <v>JPY</v>
      </c>
      <c r="L2866" s="4">
        <v>44370</v>
      </c>
      <c r="M2866" s="132">
        <v>2</v>
      </c>
      <c r="P2866" s="4" t="str">
        <f>VLOOKUP(H2866,Stock_list!A:Y,25,FALSE)</f>
        <v>Yes</v>
      </c>
      <c r="Q2866" s="143"/>
      <c r="T2866" s="144"/>
      <c r="U2866" s="145" t="str">
        <f>VLOOKUP(H2866,Stock_list!A:N,14,FALSE)</f>
        <v>JUN 21</v>
      </c>
    </row>
    <row r="2867" spans="1:21" ht="16.5" customHeight="1">
      <c r="A2867" s="159" t="s">
        <v>2744</v>
      </c>
      <c r="B2867" s="114" t="str">
        <f>VLOOKUP(A2867,'Data pick slip'!B:F,5,FALSE)</f>
        <v>KHJ-MC100-00</v>
      </c>
      <c r="F2867" s="157" t="s">
        <v>1381</v>
      </c>
      <c r="H2867" s="138">
        <v>1277</v>
      </c>
      <c r="I2867" s="139" t="str">
        <f>VLOOKUP(H2867,Stock_list!A:R,18,FALSE)</f>
        <v>世达威</v>
      </c>
      <c r="J2867" s="139" t="str">
        <f>VLOOKUP(H2867,Stock_list!A:S,17,FALSE)</f>
        <v>C49SZX20210039JZ</v>
      </c>
      <c r="K2867" s="51" t="str">
        <f>VLOOKUP(H2867,Stock_list!A:T,16,FALSE)</f>
        <v>JPY</v>
      </c>
      <c r="L2867" s="4">
        <v>44339</v>
      </c>
      <c r="M2867" s="132">
        <v>20</v>
      </c>
      <c r="P2867" s="4" t="str">
        <f>VLOOKUP(H2867,Stock_list!A:Y,25,FALSE)</f>
        <v>Yes</v>
      </c>
      <c r="Q2867" s="143"/>
      <c r="T2867" s="144"/>
      <c r="U2867" s="145" t="str">
        <f>VLOOKUP(H2867,Stock_list!A:N,14,FALSE)</f>
        <v>MAY 21</v>
      </c>
    </row>
    <row r="2868" spans="1:21" ht="16.5" customHeight="1">
      <c r="A2868" s="159" t="s">
        <v>2747</v>
      </c>
      <c r="B2868" s="114" t="str">
        <f>VLOOKUP(A2868,'Data pick slip'!B:F,5,FALSE)</f>
        <v>KHJ-MC200-00</v>
      </c>
      <c r="F2868" s="157" t="s">
        <v>1381</v>
      </c>
      <c r="H2868" s="138">
        <v>1277</v>
      </c>
      <c r="I2868" s="139" t="str">
        <f>VLOOKUP(H2868,Stock_list!A:R,18,FALSE)</f>
        <v>世达威</v>
      </c>
      <c r="J2868" s="139" t="str">
        <f>VLOOKUP(H2868,Stock_list!A:S,17,FALSE)</f>
        <v>C49SZX20210039JZ</v>
      </c>
      <c r="K2868" s="51" t="str">
        <f>VLOOKUP(H2868,Stock_list!A:T,16,FALSE)</f>
        <v>JPY</v>
      </c>
      <c r="L2868" s="4">
        <v>44339</v>
      </c>
      <c r="M2868" s="132">
        <v>10</v>
      </c>
      <c r="P2868" s="4" t="str">
        <f>VLOOKUP(H2868,Stock_list!A:Y,25,FALSE)</f>
        <v>Yes</v>
      </c>
      <c r="Q2868" s="143"/>
      <c r="T2868" s="144"/>
      <c r="U2868" s="145" t="str">
        <f>VLOOKUP(H2868,Stock_list!A:N,14,FALSE)</f>
        <v>MAY 21</v>
      </c>
    </row>
    <row r="2869" spans="1:21" ht="16.5" customHeight="1">
      <c r="A2869" s="159" t="s">
        <v>2744</v>
      </c>
      <c r="B2869" s="114" t="str">
        <f>VLOOKUP(A2869,'Data pick slip'!B:F,5,FALSE)</f>
        <v>KHJ-MC100-00</v>
      </c>
      <c r="F2869" s="157" t="s">
        <v>2753</v>
      </c>
      <c r="H2869" s="138">
        <v>1278</v>
      </c>
      <c r="I2869" s="139" t="str">
        <f>VLOOKUP(H2869,Stock_list!A:R,18,FALSE)</f>
        <v>欧科讯</v>
      </c>
      <c r="J2869" s="139" t="str">
        <f>VLOOKUP(H2869,Stock_list!A:S,17,FALSE)</f>
        <v>C49SZX20210085JL</v>
      </c>
      <c r="K2869" s="51" t="str">
        <f>VLOOKUP(H2869,Stock_list!A:T,16,FALSE)</f>
        <v>RMB</v>
      </c>
      <c r="L2869" s="4">
        <v>44350</v>
      </c>
      <c r="M2869" s="287">
        <v>40</v>
      </c>
      <c r="P2869" s="4" t="str">
        <f>VLOOKUP(H2869,Stock_list!A:Y,25,FALSE)</f>
        <v>Yes</v>
      </c>
      <c r="Q2869" s="143"/>
      <c r="T2869" s="144"/>
      <c r="U2869" s="145" t="str">
        <f>VLOOKUP(H2869,Stock_list!A:N,14,FALSE)</f>
        <v>JUN 21</v>
      </c>
    </row>
    <row r="2870" spans="1:21" ht="16.5" customHeight="1">
      <c r="A2870" s="159" t="s">
        <v>2748</v>
      </c>
      <c r="B2870" s="114" t="str">
        <f>VLOOKUP(A2870,'Data pick slip'!B:F,5,FALSE)</f>
        <v>KHJ-MC400-00</v>
      </c>
      <c r="F2870" s="157" t="s">
        <v>2753</v>
      </c>
      <c r="H2870" s="138">
        <v>1278</v>
      </c>
      <c r="I2870" s="139" t="str">
        <f>VLOOKUP(H2870,Stock_list!A:R,18,FALSE)</f>
        <v>欧科讯</v>
      </c>
      <c r="J2870" s="139" t="str">
        <f>VLOOKUP(H2870,Stock_list!A:S,17,FALSE)</f>
        <v>C49SZX20210085JL</v>
      </c>
      <c r="K2870" s="51" t="str">
        <f>VLOOKUP(H2870,Stock_list!A:T,16,FALSE)</f>
        <v>RMB</v>
      </c>
      <c r="L2870" s="4">
        <v>44350</v>
      </c>
      <c r="M2870" s="287">
        <v>1</v>
      </c>
      <c r="P2870" s="4" t="str">
        <f>VLOOKUP(H2870,Stock_list!A:Y,25,FALSE)</f>
        <v>Yes</v>
      </c>
      <c r="Q2870" s="143"/>
      <c r="T2870" s="144"/>
      <c r="U2870" s="145" t="str">
        <f>VLOOKUP(H2870,Stock_list!A:N,14,FALSE)</f>
        <v>JUN 21</v>
      </c>
    </row>
    <row r="2871" spans="1:21" ht="16.5" customHeight="1">
      <c r="A2871" s="159" t="s">
        <v>2749</v>
      </c>
      <c r="B2871" s="114" t="str">
        <f>VLOOKUP(A2871,'Data pick slip'!B:F,5,FALSE)</f>
        <v>KHJ-MC500-00</v>
      </c>
      <c r="F2871" s="157" t="s">
        <v>2753</v>
      </c>
      <c r="H2871" s="138">
        <v>1278</v>
      </c>
      <c r="I2871" s="139" t="str">
        <f>VLOOKUP(H2871,Stock_list!A:R,18,FALSE)</f>
        <v>欧科讯</v>
      </c>
      <c r="J2871" s="139" t="str">
        <f>VLOOKUP(H2871,Stock_list!A:S,17,FALSE)</f>
        <v>C49SZX20210085JL</v>
      </c>
      <c r="K2871" s="51" t="str">
        <f>VLOOKUP(H2871,Stock_list!A:T,16,FALSE)</f>
        <v>RMB</v>
      </c>
      <c r="L2871" s="4">
        <v>44350</v>
      </c>
      <c r="M2871" s="287">
        <v>1</v>
      </c>
      <c r="P2871" s="4" t="str">
        <f>VLOOKUP(H2871,Stock_list!A:Y,25,FALSE)</f>
        <v>Yes</v>
      </c>
      <c r="Q2871" s="143"/>
      <c r="T2871" s="144"/>
      <c r="U2871" s="145" t="str">
        <f>VLOOKUP(H2871,Stock_list!A:N,14,FALSE)</f>
        <v>JUN 21</v>
      </c>
    </row>
    <row r="2872" spans="1:21" ht="16.5" customHeight="1">
      <c r="A2872" s="159" t="s">
        <v>2751</v>
      </c>
      <c r="B2872" s="114" t="str">
        <f>VLOOKUP(A2872,'Data pick slip'!B:F,5,FALSE)</f>
        <v>KHJ-MC700-00</v>
      </c>
      <c r="F2872" s="157" t="s">
        <v>2753</v>
      </c>
      <c r="H2872" s="138">
        <v>1278</v>
      </c>
      <c r="I2872" s="139" t="str">
        <f>VLOOKUP(H2872,Stock_list!A:R,18,FALSE)</f>
        <v>欧科讯</v>
      </c>
      <c r="J2872" s="139" t="str">
        <f>VLOOKUP(H2872,Stock_list!A:S,17,FALSE)</f>
        <v>C49SZX20210085JL</v>
      </c>
      <c r="K2872" s="51" t="str">
        <f>VLOOKUP(H2872,Stock_list!A:T,16,FALSE)</f>
        <v>RMB</v>
      </c>
      <c r="L2872" s="4">
        <v>44350</v>
      </c>
      <c r="M2872" s="287">
        <v>1</v>
      </c>
      <c r="P2872" s="4" t="str">
        <f>VLOOKUP(H2872,Stock_list!A:Y,25,FALSE)</f>
        <v>Yes</v>
      </c>
      <c r="Q2872" s="143"/>
      <c r="T2872" s="144"/>
      <c r="U2872" s="145" t="str">
        <f>VLOOKUP(H2872,Stock_list!A:N,14,FALSE)</f>
        <v>JUN 21</v>
      </c>
    </row>
    <row r="2873" spans="1:21" ht="16.5" customHeight="1">
      <c r="A2873" s="159" t="s">
        <v>2744</v>
      </c>
      <c r="B2873" s="114" t="str">
        <f>VLOOKUP(A2873,'Data pick slip'!B:F,5,FALSE)</f>
        <v>KHJ-MC100-00</v>
      </c>
      <c r="F2873" s="157" t="s">
        <v>1381</v>
      </c>
      <c r="H2873" s="138">
        <v>1287</v>
      </c>
      <c r="I2873" s="139" t="str">
        <f>VLOOKUP(H2873,Stock_list!A:R,18,FALSE)</f>
        <v>鸿翔</v>
      </c>
      <c r="J2873" s="139" t="str">
        <f>VLOOKUP(H2873,Stock_list!A:S,17,FALSE)</f>
        <v>C49SZX20210099VG</v>
      </c>
      <c r="K2873" s="51" t="str">
        <f>VLOOKUP(H2873,Stock_list!A:T,16,FALSE)</f>
        <v>JPY</v>
      </c>
      <c r="L2873" s="4">
        <v>44341</v>
      </c>
      <c r="M2873" s="132">
        <v>30</v>
      </c>
      <c r="P2873" s="4" t="str">
        <f>VLOOKUP(H2873,Stock_list!A:Y,25,FALSE)</f>
        <v>Yes</v>
      </c>
      <c r="Q2873" s="143"/>
      <c r="T2873" s="144"/>
      <c r="U2873" s="145" t="str">
        <f>VLOOKUP(H2873,Stock_list!A:N,14,FALSE)</f>
        <v>MAY 21</v>
      </c>
    </row>
    <row r="2874" spans="1:21" ht="16.5" customHeight="1">
      <c r="A2874" s="159" t="s">
        <v>2747</v>
      </c>
      <c r="B2874" s="114" t="str">
        <f>VLOOKUP(A2874,'Data pick slip'!B:F,5,FALSE)</f>
        <v>KHJ-MC200-00</v>
      </c>
      <c r="F2874" s="157" t="s">
        <v>1381</v>
      </c>
      <c r="H2874" s="138">
        <v>1287</v>
      </c>
      <c r="I2874" s="139" t="str">
        <f>VLOOKUP(H2874,Stock_list!A:R,18,FALSE)</f>
        <v>鸿翔</v>
      </c>
      <c r="J2874" s="139" t="str">
        <f>VLOOKUP(H2874,Stock_list!A:S,17,FALSE)</f>
        <v>C49SZX20210099VG</v>
      </c>
      <c r="K2874" s="51" t="str">
        <f>VLOOKUP(H2874,Stock_list!A:T,16,FALSE)</f>
        <v>JPY</v>
      </c>
      <c r="L2874" s="4">
        <v>44341</v>
      </c>
      <c r="M2874" s="132">
        <v>10</v>
      </c>
      <c r="P2874" s="4" t="str">
        <f>VLOOKUP(H2874,Stock_list!A:Y,25,FALSE)</f>
        <v>Yes</v>
      </c>
      <c r="Q2874" s="143"/>
      <c r="T2874" s="144"/>
      <c r="U2874" s="145" t="str">
        <f>VLOOKUP(H2874,Stock_list!A:N,14,FALSE)</f>
        <v>MAY 21</v>
      </c>
    </row>
    <row r="2875" spans="1:21" ht="16.5" customHeight="1">
      <c r="A2875" s="159" t="s">
        <v>2748</v>
      </c>
      <c r="B2875" s="114" t="str">
        <f>VLOOKUP(A2875,'Data pick slip'!B:F,5,FALSE)</f>
        <v>KHJ-MC400-00</v>
      </c>
      <c r="F2875" s="157" t="s">
        <v>1381</v>
      </c>
      <c r="H2875" s="138">
        <v>1287</v>
      </c>
      <c r="I2875" s="139" t="str">
        <f>VLOOKUP(H2875,Stock_list!A:R,18,FALSE)</f>
        <v>鸿翔</v>
      </c>
      <c r="J2875" s="139" t="str">
        <f>VLOOKUP(H2875,Stock_list!A:S,17,FALSE)</f>
        <v>C49SZX20210099VG</v>
      </c>
      <c r="K2875" s="51" t="str">
        <f>VLOOKUP(H2875,Stock_list!A:T,16,FALSE)</f>
        <v>JPY</v>
      </c>
      <c r="L2875" s="4">
        <v>44341</v>
      </c>
      <c r="M2875" s="132">
        <v>1</v>
      </c>
      <c r="P2875" s="4" t="str">
        <f>VLOOKUP(H2875,Stock_list!A:Y,25,FALSE)</f>
        <v>Yes</v>
      </c>
      <c r="Q2875" s="143"/>
      <c r="T2875" s="144"/>
      <c r="U2875" s="145" t="str">
        <f>VLOOKUP(H2875,Stock_list!A:N,14,FALSE)</f>
        <v>MAY 21</v>
      </c>
    </row>
    <row r="2876" spans="1:21" ht="16.5" customHeight="1">
      <c r="A2876" s="159" t="s">
        <v>2744</v>
      </c>
      <c r="B2876" s="114" t="str">
        <f>VLOOKUP(A2876,'Data pick slip'!B:F,5,FALSE)</f>
        <v>KHJ-MC100-00</v>
      </c>
      <c r="F2876" s="157" t="s">
        <v>1381</v>
      </c>
      <c r="H2876" s="138">
        <v>1288</v>
      </c>
      <c r="I2876" s="139" t="str">
        <f>VLOOKUP(H2876,Stock_list!A:R,18,FALSE)</f>
        <v>懿美莱</v>
      </c>
      <c r="J2876" s="139" t="str">
        <f>VLOOKUP(H2876,Stock_list!A:S,17,FALSE)</f>
        <v>C49SZX20210092MZ</v>
      </c>
      <c r="K2876" s="51" t="str">
        <f>VLOOKUP(H2876,Stock_list!A:T,16,FALSE)</f>
        <v>JPY</v>
      </c>
      <c r="L2876" s="4">
        <v>44673</v>
      </c>
      <c r="M2876" s="140">
        <v>60</v>
      </c>
      <c r="P2876" s="4" t="str">
        <f>VLOOKUP(H2876,Stock_list!A:Y,25,FALSE)</f>
        <v>Yes</v>
      </c>
      <c r="Q2876" s="143"/>
      <c r="T2876" s="144"/>
      <c r="U2876" s="145" t="str">
        <f>VLOOKUP(H2876,Stock_list!A:N,14,FALSE)</f>
        <v>APR 22</v>
      </c>
    </row>
    <row r="2877" spans="1:21" ht="16.5" customHeight="1">
      <c r="A2877" s="159" t="s">
        <v>2747</v>
      </c>
      <c r="B2877" s="114" t="str">
        <f>VLOOKUP(A2877,'Data pick slip'!B:F,5,FALSE)</f>
        <v>KHJ-MC200-00</v>
      </c>
      <c r="F2877" s="157" t="s">
        <v>1381</v>
      </c>
      <c r="H2877" s="138">
        <v>1288</v>
      </c>
      <c r="I2877" s="139" t="str">
        <f>VLOOKUP(H2877,Stock_list!A:R,18,FALSE)</f>
        <v>懿美莱</v>
      </c>
      <c r="J2877" s="139" t="str">
        <f>VLOOKUP(H2877,Stock_list!A:S,17,FALSE)</f>
        <v>C49SZX20210092MZ</v>
      </c>
      <c r="K2877" s="51" t="str">
        <f>VLOOKUP(H2877,Stock_list!A:T,16,FALSE)</f>
        <v>JPY</v>
      </c>
      <c r="L2877" s="4">
        <v>44673</v>
      </c>
      <c r="M2877" s="140">
        <v>20</v>
      </c>
      <c r="P2877" s="4" t="str">
        <f>VLOOKUP(H2877,Stock_list!A:Y,25,FALSE)</f>
        <v>Yes</v>
      </c>
      <c r="Q2877" s="143"/>
      <c r="T2877" s="144"/>
      <c r="U2877" s="145" t="str">
        <f>VLOOKUP(H2877,Stock_list!A:N,14,FALSE)</f>
        <v>APR 22</v>
      </c>
    </row>
    <row r="2878" spans="1:21" ht="16.5" customHeight="1">
      <c r="A2878" s="159" t="s">
        <v>2747</v>
      </c>
      <c r="B2878" s="114" t="str">
        <f>VLOOKUP(A2878,'Data pick slip'!B:F,5,FALSE)</f>
        <v>KHJ-MC200-00</v>
      </c>
      <c r="F2878" s="157" t="s">
        <v>1381</v>
      </c>
      <c r="H2878" s="138">
        <v>1288</v>
      </c>
      <c r="I2878" s="139" t="str">
        <f>VLOOKUP(H2878,Stock_list!A:R,18,FALSE)</f>
        <v>懿美莱</v>
      </c>
      <c r="J2878" s="139" t="str">
        <f>VLOOKUP(H2878,Stock_list!A:S,17,FALSE)</f>
        <v>C49SZX20210092MZ</v>
      </c>
      <c r="K2878" s="51" t="str">
        <f>VLOOKUP(H2878,Stock_list!A:T,16,FALSE)</f>
        <v>JPY</v>
      </c>
      <c r="L2878" s="290">
        <v>44676</v>
      </c>
      <c r="M2878" s="140">
        <v>5</v>
      </c>
      <c r="P2878" s="4" t="str">
        <f>VLOOKUP(H2878,Stock_list!A:Y,25,FALSE)</f>
        <v>Yes</v>
      </c>
      <c r="Q2878" s="143"/>
      <c r="T2878" s="144"/>
      <c r="U2878" s="145" t="str">
        <f>VLOOKUP(H2878,Stock_list!A:N,14,FALSE)</f>
        <v>APR 22</v>
      </c>
    </row>
    <row r="2879" spans="1:21" ht="16.5" customHeight="1">
      <c r="A2879" s="159" t="s">
        <v>2748</v>
      </c>
      <c r="B2879" s="114" t="str">
        <f>VLOOKUP(A2879,'Data pick slip'!B:F,5,FALSE)</f>
        <v>KHJ-MC400-00</v>
      </c>
      <c r="F2879" s="157" t="s">
        <v>1381</v>
      </c>
      <c r="H2879" s="138">
        <v>1288</v>
      </c>
      <c r="I2879" s="139" t="str">
        <f>VLOOKUP(H2879,Stock_list!A:R,18,FALSE)</f>
        <v>懿美莱</v>
      </c>
      <c r="J2879" s="139" t="str">
        <f>VLOOKUP(H2879,Stock_list!A:S,17,FALSE)</f>
        <v>C49SZX20210092MZ</v>
      </c>
      <c r="K2879" s="51" t="str">
        <f>VLOOKUP(H2879,Stock_list!A:T,16,FALSE)</f>
        <v>JPY</v>
      </c>
      <c r="L2879" s="4">
        <v>44673</v>
      </c>
      <c r="M2879" s="140">
        <v>15</v>
      </c>
      <c r="P2879" s="4" t="str">
        <f>VLOOKUP(H2879,Stock_list!A:Y,25,FALSE)</f>
        <v>Yes</v>
      </c>
      <c r="Q2879" s="143"/>
      <c r="T2879" s="144"/>
      <c r="U2879" s="145" t="str">
        <f>VLOOKUP(H2879,Stock_list!A:N,14,FALSE)</f>
        <v>APR 22</v>
      </c>
    </row>
    <row r="2880" spans="1:21" ht="16.5" customHeight="1">
      <c r="A2880" s="159" t="s">
        <v>2749</v>
      </c>
      <c r="B2880" s="114" t="str">
        <f>VLOOKUP(A2880,'Data pick slip'!B:F,5,FALSE)</f>
        <v>KHJ-MC500-00</v>
      </c>
      <c r="F2880" s="157" t="s">
        <v>1381</v>
      </c>
      <c r="H2880" s="138">
        <v>1288</v>
      </c>
      <c r="I2880" s="139" t="str">
        <f>VLOOKUP(H2880,Stock_list!A:R,18,FALSE)</f>
        <v>懿美莱</v>
      </c>
      <c r="J2880" s="139" t="str">
        <f>VLOOKUP(H2880,Stock_list!A:S,17,FALSE)</f>
        <v>C49SZX20210092MZ</v>
      </c>
      <c r="K2880" s="51" t="str">
        <f>VLOOKUP(H2880,Stock_list!A:T,16,FALSE)</f>
        <v>JPY</v>
      </c>
      <c r="L2880" s="4">
        <v>44673</v>
      </c>
      <c r="M2880" s="140">
        <v>4</v>
      </c>
      <c r="P2880" s="4" t="str">
        <f>VLOOKUP(H2880,Stock_list!A:Y,25,FALSE)</f>
        <v>Yes</v>
      </c>
      <c r="Q2880" s="143"/>
      <c r="T2880" s="144"/>
      <c r="U2880" s="145" t="str">
        <f>VLOOKUP(H2880,Stock_list!A:N,14,FALSE)</f>
        <v>APR 22</v>
      </c>
    </row>
    <row r="2881" spans="1:21" ht="16.5" customHeight="1">
      <c r="A2881" s="159" t="s">
        <v>2750</v>
      </c>
      <c r="B2881" s="114" t="str">
        <f>VLOOKUP(A2881,'Data pick slip'!B:F,5,FALSE)</f>
        <v>KHJ-MC600-00</v>
      </c>
      <c r="F2881" s="157" t="s">
        <v>1381</v>
      </c>
      <c r="H2881" s="138">
        <v>1288</v>
      </c>
      <c r="I2881" s="139" t="str">
        <f>VLOOKUP(H2881,Stock_list!A:R,18,FALSE)</f>
        <v>懿美莱</v>
      </c>
      <c r="J2881" s="139" t="str">
        <f>VLOOKUP(H2881,Stock_list!A:S,17,FALSE)</f>
        <v>C49SZX20210092MZ</v>
      </c>
      <c r="K2881" s="51" t="str">
        <f>VLOOKUP(H2881,Stock_list!A:T,16,FALSE)</f>
        <v>JPY</v>
      </c>
      <c r="L2881" s="4">
        <v>44673</v>
      </c>
      <c r="M2881" s="140">
        <v>2</v>
      </c>
      <c r="P2881" s="4" t="str">
        <f>VLOOKUP(H2881,Stock_list!A:Y,25,FALSE)</f>
        <v>Yes</v>
      </c>
      <c r="Q2881" s="143"/>
      <c r="T2881" s="144"/>
      <c r="U2881" s="145" t="str">
        <f>VLOOKUP(H2881,Stock_list!A:N,14,FALSE)</f>
        <v>APR 22</v>
      </c>
    </row>
    <row r="2882" spans="1:21" ht="16.5" customHeight="1">
      <c r="A2882" s="159" t="s">
        <v>2744</v>
      </c>
      <c r="B2882" s="114" t="str">
        <f>VLOOKUP(A2882,'Data pick slip'!B:F,5,FALSE)</f>
        <v>KHJ-MC100-00</v>
      </c>
      <c r="F2882" s="157" t="s">
        <v>1381</v>
      </c>
      <c r="H2882" s="138">
        <v>1292</v>
      </c>
      <c r="I2882" s="139" t="str">
        <f>VLOOKUP(H2882,Stock_list!A:R,18,FALSE)</f>
        <v>乘扬</v>
      </c>
      <c r="J2882" s="139" t="str">
        <f>VLOOKUP(H2882,Stock_list!A:S,17,FALSE)</f>
        <v>C49SZX20210091SS</v>
      </c>
      <c r="K2882" s="51" t="str">
        <f>VLOOKUP(H2882,Stock_list!A:T,16,FALSE)</f>
        <v>JPY</v>
      </c>
      <c r="L2882" s="4">
        <v>44650</v>
      </c>
      <c r="M2882" s="132">
        <v>30</v>
      </c>
      <c r="P2882" s="4" t="str">
        <f>VLOOKUP(H2882,Stock_list!A:Y,25,FALSE)</f>
        <v>Yes</v>
      </c>
      <c r="Q2882" s="143"/>
      <c r="T2882" s="144"/>
      <c r="U2882" s="145" t="str">
        <f>VLOOKUP(H2882,Stock_list!A:N,14,FALSE)</f>
        <v>APR 22</v>
      </c>
    </row>
    <row r="2883" spans="1:21" ht="16.5" customHeight="1">
      <c r="A2883" s="159" t="s">
        <v>2744</v>
      </c>
      <c r="B2883" s="114" t="str">
        <f>VLOOKUP(A2883,'Data pick slip'!B:F,5,FALSE)</f>
        <v>KHJ-MC100-00</v>
      </c>
      <c r="F2883" s="157" t="s">
        <v>1381</v>
      </c>
      <c r="H2883" s="138">
        <v>1292</v>
      </c>
      <c r="I2883" s="139" t="str">
        <f>VLOOKUP(H2883,Stock_list!A:R,18,FALSE)</f>
        <v>乘扬</v>
      </c>
      <c r="J2883" s="139" t="str">
        <f>VLOOKUP(H2883,Stock_list!A:S,17,FALSE)</f>
        <v>C49SZX20210091SS</v>
      </c>
      <c r="K2883" s="51" t="str">
        <f>VLOOKUP(H2883,Stock_list!A:T,16,FALSE)</f>
        <v>JPY</v>
      </c>
      <c r="L2883" s="4">
        <v>44571</v>
      </c>
      <c r="M2883" s="132">
        <v>20</v>
      </c>
      <c r="P2883" s="4" t="str">
        <f>VLOOKUP(H2883,Stock_list!A:Y,25,FALSE)</f>
        <v>Yes</v>
      </c>
      <c r="Q2883" s="143"/>
      <c r="T2883" s="144"/>
      <c r="U2883" s="145" t="str">
        <f>VLOOKUP(H2883,Stock_list!A:N,14,FALSE)</f>
        <v>APR 22</v>
      </c>
    </row>
    <row r="2884" spans="1:21" ht="16.5" customHeight="1">
      <c r="A2884" s="159" t="s">
        <v>2747</v>
      </c>
      <c r="B2884" s="114" t="str">
        <f>VLOOKUP(A2884,'Data pick slip'!B:F,5,FALSE)</f>
        <v>KHJ-MC200-00</v>
      </c>
      <c r="F2884" s="157" t="s">
        <v>1381</v>
      </c>
      <c r="H2884" s="138">
        <v>1292</v>
      </c>
      <c r="I2884" s="139" t="str">
        <f>VLOOKUP(H2884,Stock_list!A:R,18,FALSE)</f>
        <v>乘扬</v>
      </c>
      <c r="J2884" s="139" t="str">
        <f>VLOOKUP(H2884,Stock_list!A:S,17,FALSE)</f>
        <v>C49SZX20210091SS</v>
      </c>
      <c r="K2884" s="51" t="str">
        <f>VLOOKUP(H2884,Stock_list!A:T,16,FALSE)</f>
        <v>JPY</v>
      </c>
      <c r="L2884" s="4">
        <v>44571</v>
      </c>
      <c r="M2884" s="132">
        <v>10</v>
      </c>
      <c r="P2884" s="4" t="str">
        <f>VLOOKUP(H2884,Stock_list!A:Y,25,FALSE)</f>
        <v>Yes</v>
      </c>
      <c r="Q2884" s="143"/>
      <c r="T2884" s="144"/>
      <c r="U2884" s="145" t="str">
        <f>VLOOKUP(H2884,Stock_list!A:N,14,FALSE)</f>
        <v>APR 22</v>
      </c>
    </row>
    <row r="2885" spans="1:21" ht="16.5" customHeight="1">
      <c r="A2885" s="159" t="s">
        <v>2744</v>
      </c>
      <c r="B2885" s="114" t="str">
        <f>VLOOKUP(A2885,'Data pick slip'!B:F,5,FALSE)</f>
        <v>KHJ-MC100-00</v>
      </c>
      <c r="F2885" s="157" t="s">
        <v>1381</v>
      </c>
      <c r="H2885" s="138">
        <v>1294</v>
      </c>
      <c r="I2885" s="139" t="str">
        <f>VLOOKUP(H2885,Stock_list!A:R,18,FALSE)</f>
        <v>聚亮兴业</v>
      </c>
      <c r="J2885" s="139" t="str">
        <f>VLOOKUP(H2885,Stock_list!A:S,17,FALSE)</f>
        <v>C49SZX20210101JD</v>
      </c>
      <c r="K2885" s="51" t="str">
        <f>VLOOKUP(H2885,Stock_list!A:T,16,FALSE)</f>
        <v>JPY</v>
      </c>
      <c r="L2885" s="4"/>
      <c r="N2885" s="132">
        <v>45</v>
      </c>
      <c r="P2885" s="4" t="str">
        <f>VLOOKUP(H2885,Stock_list!A:Y,25,FALSE)</f>
        <v>Yes</v>
      </c>
      <c r="Q2885" s="143"/>
      <c r="T2885" s="144"/>
      <c r="U2885" s="145">
        <f>VLOOKUP(H2885,Stock_list!A:N,14,FALSE)</f>
        <v>0</v>
      </c>
    </row>
    <row r="2886" spans="1:21" ht="16.5" customHeight="1">
      <c r="A2886" s="159" t="s">
        <v>2747</v>
      </c>
      <c r="B2886" s="114" t="str">
        <f>VLOOKUP(A2886,'Data pick slip'!B:F,5,FALSE)</f>
        <v>KHJ-MC200-00</v>
      </c>
      <c r="F2886" s="157" t="s">
        <v>1381</v>
      </c>
      <c r="H2886" s="138">
        <v>1294</v>
      </c>
      <c r="I2886" s="139" t="str">
        <f>VLOOKUP(H2886,Stock_list!A:R,18,FALSE)</f>
        <v>聚亮兴业</v>
      </c>
      <c r="J2886" s="139" t="str">
        <f>VLOOKUP(H2886,Stock_list!A:S,17,FALSE)</f>
        <v>C49SZX20210101JD</v>
      </c>
      <c r="K2886" s="51" t="str">
        <f>VLOOKUP(H2886,Stock_list!A:T,16,FALSE)</f>
        <v>JPY</v>
      </c>
      <c r="L2886" s="4"/>
      <c r="N2886" s="132">
        <v>5</v>
      </c>
      <c r="P2886" s="4" t="str">
        <f>VLOOKUP(H2886,Stock_list!A:Y,25,FALSE)</f>
        <v>Yes</v>
      </c>
      <c r="Q2886" s="143"/>
      <c r="T2886" s="144"/>
      <c r="U2886" s="145">
        <f>VLOOKUP(H2886,Stock_list!A:N,14,FALSE)</f>
        <v>0</v>
      </c>
    </row>
    <row r="2887" spans="1:21" ht="16.5" customHeight="1">
      <c r="A2887" s="159" t="s">
        <v>2744</v>
      </c>
      <c r="B2887" s="114" t="str">
        <f>VLOOKUP(A2887,'Data pick slip'!B:F,5,FALSE)</f>
        <v>KHJ-MC100-00</v>
      </c>
      <c r="F2887" s="157" t="s">
        <v>2762</v>
      </c>
      <c r="H2887" s="138">
        <v>1295</v>
      </c>
      <c r="I2887" s="139" t="e">
        <f>VLOOKUP(H2887,Stock_list!A:R,18,FALSE)</f>
        <v>#N/A</v>
      </c>
      <c r="J2887" s="139" t="e">
        <f>VLOOKUP(H2887,Stock_list!A:S,17,FALSE)</f>
        <v>#N/A</v>
      </c>
      <c r="K2887" s="51" t="e">
        <f>VLOOKUP(H2887,Stock_list!A:T,16,FALSE)</f>
        <v>#N/A</v>
      </c>
      <c r="L2887" s="4"/>
      <c r="M2887" s="132"/>
      <c r="P2887" s="4" t="e">
        <f>VLOOKUP(H2887,Stock_list!A:Y,25,FALSE)</f>
        <v>#N/A</v>
      </c>
      <c r="Q2887" s="143">
        <v>30</v>
      </c>
      <c r="T2887" s="144"/>
      <c r="U2887" s="145" t="e">
        <f>VLOOKUP(H2887,Stock_list!A:N,14,FALSE)</f>
        <v>#N/A</v>
      </c>
    </row>
    <row r="2888" spans="1:21" ht="16.5" customHeight="1">
      <c r="A2888" s="159" t="s">
        <v>2747</v>
      </c>
      <c r="B2888" s="114" t="str">
        <f>VLOOKUP(A2888,'Data pick slip'!B:F,5,FALSE)</f>
        <v>KHJ-MC200-00</v>
      </c>
      <c r="F2888" s="157" t="s">
        <v>2762</v>
      </c>
      <c r="H2888" s="138">
        <v>1295</v>
      </c>
      <c r="I2888" s="139" t="e">
        <f>VLOOKUP(H2888,Stock_list!A:R,18,FALSE)</f>
        <v>#N/A</v>
      </c>
      <c r="J2888" s="139" t="e">
        <f>VLOOKUP(H2888,Stock_list!A:S,17,FALSE)</f>
        <v>#N/A</v>
      </c>
      <c r="K2888" s="51" t="e">
        <f>VLOOKUP(H2888,Stock_list!A:T,16,FALSE)</f>
        <v>#N/A</v>
      </c>
      <c r="L2888" s="4"/>
      <c r="M2888" s="132"/>
      <c r="P2888" s="4" t="e">
        <f>VLOOKUP(H2888,Stock_list!A:Y,25,FALSE)</f>
        <v>#N/A</v>
      </c>
      <c r="Q2888" s="143">
        <v>5</v>
      </c>
      <c r="T2888" s="144"/>
      <c r="U2888" s="145" t="e">
        <f>VLOOKUP(H2888,Stock_list!A:N,14,FALSE)</f>
        <v>#N/A</v>
      </c>
    </row>
    <row r="2889" spans="1:21" ht="16.5" customHeight="1">
      <c r="A2889" s="159" t="s">
        <v>2744</v>
      </c>
      <c r="B2889" s="114" t="str">
        <f>VLOOKUP(A2889,'Data pick slip'!B:F,5,FALSE)</f>
        <v>KHJ-MC100-00</v>
      </c>
      <c r="F2889" s="157" t="s">
        <v>1381</v>
      </c>
      <c r="H2889" s="138">
        <v>1296</v>
      </c>
      <c r="I2889" s="139" t="str">
        <f>VLOOKUP(H2889,Stock_list!A:R,18,FALSE)</f>
        <v>君泽</v>
      </c>
      <c r="J2889" s="139" t="str">
        <f>VLOOKUP(H2889,Stock_list!A:S,17,FALSE)</f>
        <v>C49SZX20210107SX</v>
      </c>
      <c r="K2889" s="51" t="str">
        <f>VLOOKUP(H2889,Stock_list!A:T,16,FALSE)</f>
        <v>JPY</v>
      </c>
      <c r="L2889" s="4">
        <v>44347</v>
      </c>
      <c r="M2889" s="132">
        <v>50</v>
      </c>
      <c r="P2889" s="4" t="str">
        <f>VLOOKUP(H2889,Stock_list!A:Y,25,FALSE)</f>
        <v>Yes</v>
      </c>
      <c r="Q2889" s="143"/>
      <c r="T2889" s="144"/>
      <c r="U2889" s="145" t="str">
        <f>VLOOKUP(H2889,Stock_list!A:N,14,FALSE)</f>
        <v>MAY 21</v>
      </c>
    </row>
    <row r="2890" spans="1:21" ht="16.5" customHeight="1">
      <c r="A2890" s="159" t="s">
        <v>2747</v>
      </c>
      <c r="B2890" s="114" t="str">
        <f>VLOOKUP(A2890,'Data pick slip'!B:F,5,FALSE)</f>
        <v>KHJ-MC200-00</v>
      </c>
      <c r="F2890" s="157" t="s">
        <v>1381</v>
      </c>
      <c r="H2890" s="138">
        <v>1296</v>
      </c>
      <c r="I2890" s="139" t="str">
        <f>VLOOKUP(H2890,Stock_list!A:R,18,FALSE)</f>
        <v>君泽</v>
      </c>
      <c r="J2890" s="139" t="str">
        <f>VLOOKUP(H2890,Stock_list!A:S,17,FALSE)</f>
        <v>C49SZX20210107SX</v>
      </c>
      <c r="K2890" s="51" t="str">
        <f>VLOOKUP(H2890,Stock_list!A:T,16,FALSE)</f>
        <v>JPY</v>
      </c>
      <c r="L2890" s="4">
        <v>44347</v>
      </c>
      <c r="M2890" s="132">
        <v>13</v>
      </c>
      <c r="P2890" s="4" t="str">
        <f>VLOOKUP(H2890,Stock_list!A:Y,25,FALSE)</f>
        <v>Yes</v>
      </c>
      <c r="Q2890" s="143"/>
      <c r="T2890" s="144"/>
      <c r="U2890" s="145" t="str">
        <f>VLOOKUP(H2890,Stock_list!A:N,14,FALSE)</f>
        <v>MAY 21</v>
      </c>
    </row>
    <row r="2891" spans="1:21" ht="16.5" customHeight="1">
      <c r="A2891" s="159" t="s">
        <v>2748</v>
      </c>
      <c r="B2891" s="114" t="str">
        <f>VLOOKUP(A2891,'Data pick slip'!B:F,5,FALSE)</f>
        <v>KHJ-MC400-00</v>
      </c>
      <c r="F2891" s="157" t="s">
        <v>1381</v>
      </c>
      <c r="H2891" s="138">
        <v>1296</v>
      </c>
      <c r="I2891" s="139" t="str">
        <f>VLOOKUP(H2891,Stock_list!A:R,18,FALSE)</f>
        <v>君泽</v>
      </c>
      <c r="J2891" s="139" t="str">
        <f>VLOOKUP(H2891,Stock_list!A:S,17,FALSE)</f>
        <v>C49SZX20210107SX</v>
      </c>
      <c r="K2891" s="51" t="str">
        <f>VLOOKUP(H2891,Stock_list!A:T,16,FALSE)</f>
        <v>JPY</v>
      </c>
      <c r="L2891" s="4">
        <v>44347</v>
      </c>
      <c r="M2891" s="132">
        <v>3</v>
      </c>
      <c r="P2891" s="4" t="str">
        <f>VLOOKUP(H2891,Stock_list!A:Y,25,FALSE)</f>
        <v>Yes</v>
      </c>
      <c r="Q2891" s="143"/>
      <c r="T2891" s="144"/>
      <c r="U2891" s="145" t="str">
        <f>VLOOKUP(H2891,Stock_list!A:N,14,FALSE)</f>
        <v>MAY 21</v>
      </c>
    </row>
    <row r="2892" spans="1:21" ht="16.5" customHeight="1">
      <c r="A2892" s="159" t="s">
        <v>2744</v>
      </c>
      <c r="B2892" s="114" t="str">
        <f>VLOOKUP(A2892,'Data pick slip'!B:F,5,FALSE)</f>
        <v>KHJ-MC100-00</v>
      </c>
      <c r="F2892" s="157" t="s">
        <v>2753</v>
      </c>
      <c r="H2892" s="138">
        <v>1299</v>
      </c>
      <c r="I2892" s="139" t="str">
        <f>VLOOKUP(H2892,Stock_list!A:R,18,FALSE)</f>
        <v>辉拓</v>
      </c>
      <c r="J2892" s="139" t="str">
        <f>VLOOKUP(H2892,Stock_list!A:S,17,FALSE)</f>
        <v>C49SZX20210105JY</v>
      </c>
      <c r="K2892" s="51" t="str">
        <f>VLOOKUP(H2892,Stock_list!A:T,16,FALSE)</f>
        <v>RMB</v>
      </c>
      <c r="L2892" s="4">
        <v>44315</v>
      </c>
      <c r="M2892" s="132">
        <v>20</v>
      </c>
      <c r="P2892" s="4" t="str">
        <f>VLOOKUP(H2892,Stock_list!A:Y,25,FALSE)</f>
        <v>Yes</v>
      </c>
      <c r="Q2892" s="143"/>
      <c r="T2892" s="144"/>
      <c r="U2892" s="145" t="str">
        <f>VLOOKUP(H2892,Stock_list!A:N,14,FALSE)</f>
        <v>APR 21</v>
      </c>
    </row>
    <row r="2893" spans="1:21" ht="16.5" customHeight="1">
      <c r="A2893" s="159" t="s">
        <v>2744</v>
      </c>
      <c r="B2893" s="114" t="str">
        <f>VLOOKUP(A2893,'Data pick slip'!B:F,5,FALSE)</f>
        <v>KHJ-MC100-00</v>
      </c>
      <c r="F2893" s="157" t="s">
        <v>1381</v>
      </c>
      <c r="H2893" s="138">
        <v>1301</v>
      </c>
      <c r="I2893" s="139" t="str">
        <f>VLOOKUP(H2893,Stock_list!A:R,18,FALSE)</f>
        <v>辉拓</v>
      </c>
      <c r="J2893" s="139" t="str">
        <f>VLOOKUP(H2893,Stock_list!A:S,17,FALSE)</f>
        <v>C49SZX20210106JY</v>
      </c>
      <c r="K2893" s="51" t="str">
        <f>VLOOKUP(H2893,Stock_list!A:T,16,FALSE)</f>
        <v>JPY</v>
      </c>
      <c r="L2893" s="4">
        <v>44697</v>
      </c>
      <c r="M2893" s="132">
        <v>40</v>
      </c>
      <c r="P2893" s="4" t="str">
        <f>VLOOKUP(H2893,Stock_list!A:Y,25,FALSE)</f>
        <v>Yes</v>
      </c>
      <c r="Q2893" s="143"/>
      <c r="T2893" s="144"/>
      <c r="U2893" s="145" t="str">
        <f>VLOOKUP(H2893,Stock_list!A:N,14,FALSE)</f>
        <v>MAY 22</v>
      </c>
    </row>
    <row r="2894" spans="1:21" ht="16.5" customHeight="1">
      <c r="A2894" s="159" t="s">
        <v>2755</v>
      </c>
      <c r="B2894" s="114" t="str">
        <f>VLOOKUP(A2894,'Data pick slip'!B:F,5,FALSE)</f>
        <v>KLJ-MC100-00</v>
      </c>
      <c r="F2894" s="157" t="s">
        <v>1381</v>
      </c>
      <c r="H2894" s="138">
        <v>1303</v>
      </c>
      <c r="I2894" s="139" t="str">
        <f>VLOOKUP(H2894,Stock_list!A:R,18,FALSE)</f>
        <v>杉川</v>
      </c>
      <c r="J2894" s="139" t="str">
        <f>VLOOKUP(H2894,Stock_list!A:S,17,FALSE)</f>
        <v>C49SZX20210096JL</v>
      </c>
      <c r="K2894" s="51" t="str">
        <f>VLOOKUP(H2894,Stock_list!A:T,16,FALSE)</f>
        <v>JPY</v>
      </c>
      <c r="L2894" s="4">
        <v>44427</v>
      </c>
      <c r="M2894" s="132">
        <v>320</v>
      </c>
      <c r="P2894" s="4" t="str">
        <f>VLOOKUP(H2894,Stock_list!A:Y,25,FALSE)</f>
        <v>Yes</v>
      </c>
      <c r="Q2894" s="143"/>
      <c r="T2894" s="144"/>
      <c r="U2894" s="145" t="str">
        <f>VLOOKUP(H2894,Stock_list!A:N,14,FALSE)</f>
        <v>JUL 21</v>
      </c>
    </row>
    <row r="2895" spans="1:21" ht="16.5" customHeight="1">
      <c r="A2895" s="159" t="s">
        <v>2756</v>
      </c>
      <c r="B2895" s="114" t="str">
        <f>VLOOKUP(A2895,'Data pick slip'!B:F,5,FALSE)</f>
        <v>KLJ-MC200-00</v>
      </c>
      <c r="F2895" s="157" t="s">
        <v>1381</v>
      </c>
      <c r="H2895" s="138">
        <v>1303</v>
      </c>
      <c r="I2895" s="139" t="str">
        <f>VLOOKUP(H2895,Stock_list!A:R,18,FALSE)</f>
        <v>杉川</v>
      </c>
      <c r="J2895" s="139" t="str">
        <f>VLOOKUP(H2895,Stock_list!A:S,17,FALSE)</f>
        <v>C49SZX20210096JL</v>
      </c>
      <c r="K2895" s="51" t="str">
        <f>VLOOKUP(H2895,Stock_list!A:T,16,FALSE)</f>
        <v>JPY</v>
      </c>
      <c r="L2895" s="4">
        <v>44427</v>
      </c>
      <c r="M2895" s="132">
        <v>80</v>
      </c>
      <c r="P2895" s="4" t="str">
        <f>VLOOKUP(H2895,Stock_list!A:Y,25,FALSE)</f>
        <v>Yes</v>
      </c>
      <c r="Q2895" s="143"/>
      <c r="T2895" s="144"/>
      <c r="U2895" s="145" t="str">
        <f>VLOOKUP(H2895,Stock_list!A:N,14,FALSE)</f>
        <v>JUL 21</v>
      </c>
    </row>
    <row r="2896" spans="1:21" ht="16.5" customHeight="1">
      <c r="A2896" s="159" t="s">
        <v>2755</v>
      </c>
      <c r="B2896" s="114" t="str">
        <f>VLOOKUP(A2896,'Data pick slip'!B:F,5,FALSE)</f>
        <v>KLJ-MC100-00</v>
      </c>
      <c r="F2896" s="157" t="s">
        <v>1381</v>
      </c>
      <c r="H2896" s="138">
        <v>1303</v>
      </c>
      <c r="I2896" s="139" t="str">
        <f>VLOOKUP(H2896,Stock_list!A:R,18,FALSE)</f>
        <v>杉川</v>
      </c>
      <c r="J2896" s="139" t="str">
        <f>VLOOKUP(H2896,Stock_list!A:S,17,FALSE)</f>
        <v>C49SZX20210096JL</v>
      </c>
      <c r="K2896" s="51" t="str">
        <f>VLOOKUP(H2896,Stock_list!A:T,16,FALSE)</f>
        <v>JPY</v>
      </c>
      <c r="L2896" s="4">
        <v>44399</v>
      </c>
      <c r="M2896" s="132">
        <v>390</v>
      </c>
      <c r="P2896" s="4" t="str">
        <f>VLOOKUP(H2896,Stock_list!A:Y,25,FALSE)</f>
        <v>Yes</v>
      </c>
      <c r="Q2896" s="143"/>
      <c r="T2896" s="144"/>
      <c r="U2896" s="145" t="str">
        <f>VLOOKUP(H2896,Stock_list!A:N,14,FALSE)</f>
        <v>JUL 21</v>
      </c>
    </row>
    <row r="2897" spans="1:21" ht="16.5" customHeight="1">
      <c r="A2897" s="159" t="s">
        <v>2756</v>
      </c>
      <c r="B2897" s="114" t="str">
        <f>VLOOKUP(A2897,'Data pick slip'!B:F,5,FALSE)</f>
        <v>KLJ-MC200-00</v>
      </c>
      <c r="F2897" s="157" t="s">
        <v>1381</v>
      </c>
      <c r="H2897" s="138">
        <v>1303</v>
      </c>
      <c r="I2897" s="139" t="str">
        <f>VLOOKUP(H2897,Stock_list!A:R,18,FALSE)</f>
        <v>杉川</v>
      </c>
      <c r="J2897" s="139" t="str">
        <f>VLOOKUP(H2897,Stock_list!A:S,17,FALSE)</f>
        <v>C49SZX20210096JL</v>
      </c>
      <c r="K2897" s="51" t="str">
        <f>VLOOKUP(H2897,Stock_list!A:T,16,FALSE)</f>
        <v>JPY</v>
      </c>
      <c r="L2897" s="4">
        <v>44399</v>
      </c>
      <c r="M2897" s="132">
        <v>80</v>
      </c>
      <c r="P2897" s="4" t="str">
        <f>VLOOKUP(H2897,Stock_list!A:Y,25,FALSE)</f>
        <v>Yes</v>
      </c>
      <c r="Q2897" s="143"/>
      <c r="T2897" s="144"/>
      <c r="U2897" s="145" t="str">
        <f>VLOOKUP(H2897,Stock_list!A:N,14,FALSE)</f>
        <v>JUL 21</v>
      </c>
    </row>
    <row r="2898" spans="1:21" ht="16.5" customHeight="1">
      <c r="A2898" s="159" t="s">
        <v>2755</v>
      </c>
      <c r="B2898" s="114" t="str">
        <f>VLOOKUP(A2898,'Data pick slip'!B:F,5,FALSE)</f>
        <v>KLJ-MC100-00</v>
      </c>
      <c r="F2898" s="157" t="s">
        <v>1381</v>
      </c>
      <c r="H2898" s="138">
        <v>1303</v>
      </c>
      <c r="I2898" s="139" t="str">
        <f>VLOOKUP(H2898,Stock_list!A:R,18,FALSE)</f>
        <v>杉川</v>
      </c>
      <c r="J2898" s="139" t="str">
        <f>VLOOKUP(H2898,Stock_list!A:S,17,FALSE)</f>
        <v>C49SZX20210096JL</v>
      </c>
      <c r="K2898" s="51" t="str">
        <f>VLOOKUP(H2898,Stock_list!A:T,16,FALSE)</f>
        <v>JPY</v>
      </c>
      <c r="L2898" s="4">
        <v>44368</v>
      </c>
      <c r="M2898" s="132">
        <v>60</v>
      </c>
      <c r="P2898" s="4" t="str">
        <f>VLOOKUP(H2898,Stock_list!A:Y,25,FALSE)</f>
        <v>Yes</v>
      </c>
      <c r="Q2898" s="143"/>
      <c r="T2898" s="144"/>
      <c r="U2898" s="145" t="str">
        <f>VLOOKUP(H2898,Stock_list!A:N,14,FALSE)</f>
        <v>JUL 21</v>
      </c>
    </row>
    <row r="2899" spans="1:21" ht="16.5" customHeight="1">
      <c r="A2899" s="159" t="s">
        <v>2756</v>
      </c>
      <c r="B2899" s="114" t="str">
        <f>VLOOKUP(A2899,'Data pick slip'!B:F,5,FALSE)</f>
        <v>KLJ-MC200-00</v>
      </c>
      <c r="F2899" s="157" t="s">
        <v>1381</v>
      </c>
      <c r="H2899" s="138">
        <v>1303</v>
      </c>
      <c r="I2899" s="139" t="str">
        <f>VLOOKUP(H2899,Stock_list!A:R,18,FALSE)</f>
        <v>杉川</v>
      </c>
      <c r="J2899" s="139" t="str">
        <f>VLOOKUP(H2899,Stock_list!A:S,17,FALSE)</f>
        <v>C49SZX20210096JL</v>
      </c>
      <c r="K2899" s="51" t="str">
        <f>VLOOKUP(H2899,Stock_list!A:T,16,FALSE)</f>
        <v>JPY</v>
      </c>
      <c r="L2899" s="4">
        <v>44368</v>
      </c>
      <c r="M2899" s="132">
        <v>20</v>
      </c>
      <c r="P2899" s="4" t="str">
        <f>VLOOKUP(H2899,Stock_list!A:Y,25,FALSE)</f>
        <v>Yes</v>
      </c>
      <c r="Q2899" s="143"/>
      <c r="T2899" s="144"/>
      <c r="U2899" s="145" t="str">
        <f>VLOOKUP(H2899,Stock_list!A:N,14,FALSE)</f>
        <v>JUL 21</v>
      </c>
    </row>
    <row r="2900" spans="1:21" ht="16.5" customHeight="1">
      <c r="A2900" s="159" t="s">
        <v>2757</v>
      </c>
      <c r="B2900" s="114" t="str">
        <f>VLOOKUP(A2900,'Data pick slip'!B:F,5,FALSE)</f>
        <v>KLJ-MC400-00</v>
      </c>
      <c r="F2900" s="157" t="s">
        <v>1381</v>
      </c>
      <c r="H2900" s="138">
        <v>1303</v>
      </c>
      <c r="I2900" s="139" t="str">
        <f>VLOOKUP(H2900,Stock_list!A:R,18,FALSE)</f>
        <v>杉川</v>
      </c>
      <c r="J2900" s="139" t="str">
        <f>VLOOKUP(H2900,Stock_list!A:S,17,FALSE)</f>
        <v>C49SZX20210096JL</v>
      </c>
      <c r="K2900" s="51" t="str">
        <f>VLOOKUP(H2900,Stock_list!A:T,16,FALSE)</f>
        <v>JPY</v>
      </c>
      <c r="L2900" s="4">
        <v>44368</v>
      </c>
      <c r="M2900" s="132">
        <v>16</v>
      </c>
      <c r="P2900" s="4" t="str">
        <f>VLOOKUP(H2900,Stock_list!A:Y,25,FALSE)</f>
        <v>Yes</v>
      </c>
      <c r="Q2900" s="143"/>
      <c r="T2900" s="144"/>
      <c r="U2900" s="145" t="str">
        <f>VLOOKUP(H2900,Stock_list!A:N,14,FALSE)</f>
        <v>JUL 21</v>
      </c>
    </row>
    <row r="2901" spans="1:21" ht="16.5" customHeight="1">
      <c r="A2901" s="159" t="s">
        <v>2758</v>
      </c>
      <c r="B2901" s="114" t="str">
        <f>VLOOKUP(A2901,'Data pick slip'!B:F,5,FALSE)</f>
        <v>KLJ-MC500-00</v>
      </c>
      <c r="F2901" s="157" t="s">
        <v>1381</v>
      </c>
      <c r="H2901" s="138">
        <v>1303</v>
      </c>
      <c r="I2901" s="139" t="str">
        <f>VLOOKUP(H2901,Stock_list!A:R,18,FALSE)</f>
        <v>杉川</v>
      </c>
      <c r="J2901" s="139" t="str">
        <f>VLOOKUP(H2901,Stock_list!A:S,17,FALSE)</f>
        <v>C49SZX20210096JL</v>
      </c>
      <c r="K2901" s="51" t="str">
        <f>VLOOKUP(H2901,Stock_list!A:T,16,FALSE)</f>
        <v>JPY</v>
      </c>
      <c r="L2901" s="4">
        <v>44368</v>
      </c>
      <c r="M2901" s="132">
        <v>4</v>
      </c>
      <c r="P2901" s="4" t="str">
        <f>VLOOKUP(H2901,Stock_list!A:Y,25,FALSE)</f>
        <v>Yes</v>
      </c>
      <c r="Q2901" s="143"/>
      <c r="T2901" s="144"/>
      <c r="U2901" s="145" t="str">
        <f>VLOOKUP(H2901,Stock_list!A:N,14,FALSE)</f>
        <v>JUL 21</v>
      </c>
    </row>
    <row r="2902" spans="1:21" ht="16.5" customHeight="1">
      <c r="A2902" s="159" t="s">
        <v>2759</v>
      </c>
      <c r="B2902" s="114" t="str">
        <f>VLOOKUP(A2902,'Data pick slip'!B:F,5,FALSE)</f>
        <v>KLJ-MC600-00</v>
      </c>
      <c r="F2902" s="157" t="s">
        <v>1381</v>
      </c>
      <c r="H2902" s="138">
        <v>1303</v>
      </c>
      <c r="I2902" s="139" t="str">
        <f>VLOOKUP(H2902,Stock_list!A:R,18,FALSE)</f>
        <v>杉川</v>
      </c>
      <c r="J2902" s="139" t="str">
        <f>VLOOKUP(H2902,Stock_list!A:S,17,FALSE)</f>
        <v>C49SZX20210096JL</v>
      </c>
      <c r="K2902" s="51" t="str">
        <f>VLOOKUP(H2902,Stock_list!A:T,16,FALSE)</f>
        <v>JPY</v>
      </c>
      <c r="L2902" s="4">
        <v>44368</v>
      </c>
      <c r="M2902" s="132">
        <v>4</v>
      </c>
      <c r="P2902" s="4" t="str">
        <f>VLOOKUP(H2902,Stock_list!A:Y,25,FALSE)</f>
        <v>Yes</v>
      </c>
      <c r="Q2902" s="143"/>
      <c r="T2902" s="144"/>
      <c r="U2902" s="145" t="str">
        <f>VLOOKUP(H2902,Stock_list!A:N,14,FALSE)</f>
        <v>JUL 21</v>
      </c>
    </row>
    <row r="2903" spans="1:21" ht="16.5" customHeight="1">
      <c r="A2903" s="159" t="s">
        <v>2755</v>
      </c>
      <c r="B2903" s="114" t="str">
        <f>VLOOKUP(A2903,'Data pick slip'!B:F,5,FALSE)</f>
        <v>KLJ-MC100-00</v>
      </c>
      <c r="F2903" s="157" t="s">
        <v>2753</v>
      </c>
      <c r="H2903" s="138">
        <v>1303</v>
      </c>
      <c r="I2903" s="139" t="str">
        <f>VLOOKUP(H2903,Stock_list!A:R,18,FALSE)</f>
        <v>杉川</v>
      </c>
      <c r="J2903" s="139" t="str">
        <f>VLOOKUP(H2903,Stock_list!A:S,17,FALSE)</f>
        <v>C49SZX20210096JL</v>
      </c>
      <c r="K2903" s="51" t="str">
        <f>VLOOKUP(H2903,Stock_list!A:T,16,FALSE)</f>
        <v>JPY</v>
      </c>
      <c r="L2903" s="4">
        <v>44368</v>
      </c>
      <c r="M2903" s="132"/>
      <c r="O2903" s="132">
        <f>60-60</f>
        <v>0</v>
      </c>
      <c r="P2903" s="4" t="str">
        <f>VLOOKUP(H2903,Stock_list!A:Y,25,FALSE)</f>
        <v>Yes</v>
      </c>
      <c r="Q2903" s="143"/>
      <c r="T2903" s="144"/>
      <c r="U2903" s="145" t="str">
        <f>VLOOKUP(H2903,Stock_list!A:N,14,FALSE)</f>
        <v>JUL 21</v>
      </c>
    </row>
    <row r="2904" spans="1:21" ht="16.5" customHeight="1">
      <c r="A2904" s="159" t="s">
        <v>2756</v>
      </c>
      <c r="B2904" s="114" t="str">
        <f>VLOOKUP(A2904,'Data pick slip'!B:F,5,FALSE)</f>
        <v>KLJ-MC200-00</v>
      </c>
      <c r="F2904" s="157" t="s">
        <v>2753</v>
      </c>
      <c r="H2904" s="138">
        <v>1303</v>
      </c>
      <c r="I2904" s="139" t="str">
        <f>VLOOKUP(H2904,Stock_list!A:R,18,FALSE)</f>
        <v>杉川</v>
      </c>
      <c r="J2904" s="139" t="str">
        <f>VLOOKUP(H2904,Stock_list!A:S,17,FALSE)</f>
        <v>C49SZX20210096JL</v>
      </c>
      <c r="K2904" s="51" t="str">
        <f>VLOOKUP(H2904,Stock_list!A:T,16,FALSE)</f>
        <v>JPY</v>
      </c>
      <c r="L2904" s="4">
        <v>44368</v>
      </c>
      <c r="M2904" s="132"/>
      <c r="O2904" s="132">
        <f>20-20</f>
        <v>0</v>
      </c>
      <c r="P2904" s="4" t="str">
        <f>VLOOKUP(H2904,Stock_list!A:Y,25,FALSE)</f>
        <v>Yes</v>
      </c>
      <c r="Q2904" s="143"/>
      <c r="T2904" s="144"/>
      <c r="U2904" s="145" t="str">
        <f>VLOOKUP(H2904,Stock_list!A:N,14,FALSE)</f>
        <v>JUL 21</v>
      </c>
    </row>
    <row r="2905" spans="1:21" ht="16.5" customHeight="1">
      <c r="A2905" s="159" t="s">
        <v>2757</v>
      </c>
      <c r="B2905" s="114" t="str">
        <f>VLOOKUP(A2905,'Data pick slip'!B:F,5,FALSE)</f>
        <v>KLJ-MC400-00</v>
      </c>
      <c r="F2905" s="157" t="s">
        <v>2753</v>
      </c>
      <c r="H2905" s="138">
        <v>1303</v>
      </c>
      <c r="I2905" s="139" t="str">
        <f>VLOOKUP(H2905,Stock_list!A:R,18,FALSE)</f>
        <v>杉川</v>
      </c>
      <c r="J2905" s="139" t="str">
        <f>VLOOKUP(H2905,Stock_list!A:S,17,FALSE)</f>
        <v>C49SZX20210096JL</v>
      </c>
      <c r="K2905" s="51" t="str">
        <f>VLOOKUP(H2905,Stock_list!A:T,16,FALSE)</f>
        <v>JPY</v>
      </c>
      <c r="L2905" s="4">
        <v>44368</v>
      </c>
      <c r="M2905" s="132"/>
      <c r="O2905" s="132">
        <f>16-16</f>
        <v>0</v>
      </c>
      <c r="P2905" s="4" t="str">
        <f>VLOOKUP(H2905,Stock_list!A:Y,25,FALSE)</f>
        <v>Yes</v>
      </c>
      <c r="Q2905" s="143"/>
      <c r="T2905" s="144"/>
      <c r="U2905" s="145" t="str">
        <f>VLOOKUP(H2905,Stock_list!A:N,14,FALSE)</f>
        <v>JUL 21</v>
      </c>
    </row>
    <row r="2906" spans="1:21" ht="16.5" customHeight="1">
      <c r="A2906" s="159" t="s">
        <v>2758</v>
      </c>
      <c r="B2906" s="114" t="str">
        <f>VLOOKUP(A2906,'Data pick slip'!B:F,5,FALSE)</f>
        <v>KLJ-MC500-00</v>
      </c>
      <c r="F2906" s="157" t="s">
        <v>2753</v>
      </c>
      <c r="H2906" s="138">
        <v>1303</v>
      </c>
      <c r="I2906" s="139" t="str">
        <f>VLOOKUP(H2906,Stock_list!A:R,18,FALSE)</f>
        <v>杉川</v>
      </c>
      <c r="J2906" s="139" t="str">
        <f>VLOOKUP(H2906,Stock_list!A:S,17,FALSE)</f>
        <v>C49SZX20210096JL</v>
      </c>
      <c r="K2906" s="51" t="str">
        <f>VLOOKUP(H2906,Stock_list!A:T,16,FALSE)</f>
        <v>JPY</v>
      </c>
      <c r="L2906" s="4">
        <v>44368</v>
      </c>
      <c r="M2906" s="132"/>
      <c r="O2906" s="132">
        <f>4-4</f>
        <v>0</v>
      </c>
      <c r="P2906" s="4" t="str">
        <f>VLOOKUP(H2906,Stock_list!A:Y,25,FALSE)</f>
        <v>Yes</v>
      </c>
      <c r="Q2906" s="143"/>
      <c r="T2906" s="144"/>
      <c r="U2906" s="145" t="str">
        <f>VLOOKUP(H2906,Stock_list!A:N,14,FALSE)</f>
        <v>JUL 21</v>
      </c>
    </row>
    <row r="2907" spans="1:21" ht="16.5" customHeight="1">
      <c r="A2907" s="159" t="s">
        <v>2759</v>
      </c>
      <c r="B2907" s="114" t="str">
        <f>VLOOKUP(A2907,'Data pick slip'!B:F,5,FALSE)</f>
        <v>KLJ-MC600-00</v>
      </c>
      <c r="F2907" s="157" t="s">
        <v>2753</v>
      </c>
      <c r="H2907" s="138">
        <v>1303</v>
      </c>
      <c r="I2907" s="139" t="str">
        <f>VLOOKUP(H2907,Stock_list!A:R,18,FALSE)</f>
        <v>杉川</v>
      </c>
      <c r="J2907" s="139" t="str">
        <f>VLOOKUP(H2907,Stock_list!A:S,17,FALSE)</f>
        <v>C49SZX20210096JL</v>
      </c>
      <c r="K2907" s="51" t="str">
        <f>VLOOKUP(H2907,Stock_list!A:T,16,FALSE)</f>
        <v>JPY</v>
      </c>
      <c r="L2907" s="4">
        <v>44368</v>
      </c>
      <c r="M2907" s="132"/>
      <c r="O2907" s="132">
        <f>4-4</f>
        <v>0</v>
      </c>
      <c r="P2907" s="4" t="str">
        <f>VLOOKUP(H2907,Stock_list!A:Y,25,FALSE)</f>
        <v>Yes</v>
      </c>
      <c r="Q2907" s="143"/>
      <c r="T2907" s="144"/>
      <c r="U2907" s="145" t="str">
        <f>VLOOKUP(H2907,Stock_list!A:N,14,FALSE)</f>
        <v>JUL 21</v>
      </c>
    </row>
    <row r="2908" spans="1:21" ht="16.5" customHeight="1">
      <c r="A2908" s="159" t="s">
        <v>2744</v>
      </c>
      <c r="B2908" s="114" t="str">
        <f>VLOOKUP(A2908,'Data pick slip'!B:F,5,FALSE)</f>
        <v>KHJ-MC100-00</v>
      </c>
      <c r="F2908" s="157" t="s">
        <v>1381</v>
      </c>
      <c r="H2908" s="138">
        <v>1320</v>
      </c>
      <c r="I2908" s="139" t="str">
        <f>VLOOKUP(H2908,Stock_list!A:R,18,FALSE)</f>
        <v>恒创兴</v>
      </c>
      <c r="J2908" s="139" t="str">
        <f>VLOOKUP(H2908,Stock_list!A:S,17,FALSE)</f>
        <v>C49SZX20210111DZ</v>
      </c>
      <c r="K2908" s="51" t="str">
        <f>VLOOKUP(H2908,Stock_list!A:T,16,FALSE)</f>
        <v>JPY</v>
      </c>
      <c r="L2908" s="4">
        <v>44644</v>
      </c>
      <c r="M2908" s="132">
        <f>60-30</f>
        <v>30</v>
      </c>
      <c r="P2908" s="4" t="str">
        <f>VLOOKUP(H2908,Stock_list!A:Y,25,FALSE)</f>
        <v>Yes</v>
      </c>
      <c r="Q2908" s="143"/>
      <c r="T2908" s="144"/>
      <c r="U2908" s="145" t="str">
        <f>VLOOKUP(H2908,Stock_list!A:N,14,FALSE)</f>
        <v>MAR 22</v>
      </c>
    </row>
    <row r="2909" spans="1:21" ht="16.5" customHeight="1">
      <c r="A2909" s="159" t="s">
        <v>2747</v>
      </c>
      <c r="B2909" s="114" t="str">
        <f>VLOOKUP(A2909,'Data pick slip'!B:F,5,FALSE)</f>
        <v>KHJ-MC200-00</v>
      </c>
      <c r="F2909" s="157" t="s">
        <v>1381</v>
      </c>
      <c r="H2909" s="138">
        <v>1320</v>
      </c>
      <c r="I2909" s="139" t="str">
        <f>VLOOKUP(H2909,Stock_list!A:R,18,FALSE)</f>
        <v>恒创兴</v>
      </c>
      <c r="J2909" s="139" t="str">
        <f>VLOOKUP(H2909,Stock_list!A:S,17,FALSE)</f>
        <v>C49SZX20210111DZ</v>
      </c>
      <c r="K2909" s="51" t="str">
        <f>VLOOKUP(H2909,Stock_list!A:T,16,FALSE)</f>
        <v>JPY</v>
      </c>
      <c r="L2909" s="4">
        <v>44644</v>
      </c>
      <c r="M2909" s="132">
        <f>15-7</f>
        <v>8</v>
      </c>
      <c r="P2909" s="4" t="str">
        <f>VLOOKUP(H2909,Stock_list!A:Y,25,FALSE)</f>
        <v>Yes</v>
      </c>
      <c r="Q2909" s="143"/>
      <c r="T2909" s="144"/>
      <c r="U2909" s="145" t="str">
        <f>VLOOKUP(H2909,Stock_list!A:N,14,FALSE)</f>
        <v>MAR 22</v>
      </c>
    </row>
    <row r="2910" spans="1:21" ht="16.5" customHeight="1">
      <c r="A2910" s="159" t="s">
        <v>2748</v>
      </c>
      <c r="B2910" s="114" t="str">
        <f>VLOOKUP(A2910,'Data pick slip'!B:F,5,FALSE)</f>
        <v>KHJ-MC400-00</v>
      </c>
      <c r="F2910" s="157" t="s">
        <v>1381</v>
      </c>
      <c r="H2910" s="138">
        <v>1320</v>
      </c>
      <c r="I2910" s="139" t="str">
        <f>VLOOKUP(H2910,Stock_list!A:R,18,FALSE)</f>
        <v>恒创兴</v>
      </c>
      <c r="J2910" s="139" t="str">
        <f>VLOOKUP(H2910,Stock_list!A:S,17,FALSE)</f>
        <v>C49SZX20210111DZ</v>
      </c>
      <c r="K2910" s="51" t="str">
        <f>VLOOKUP(H2910,Stock_list!A:T,16,FALSE)</f>
        <v>JPY</v>
      </c>
      <c r="L2910" s="4">
        <v>44644</v>
      </c>
      <c r="M2910" s="132">
        <f>5-2</f>
        <v>3</v>
      </c>
      <c r="P2910" s="4" t="str">
        <f>VLOOKUP(H2910,Stock_list!A:Y,25,FALSE)</f>
        <v>Yes</v>
      </c>
      <c r="Q2910" s="143"/>
      <c r="T2910" s="144"/>
      <c r="U2910" s="145" t="str">
        <f>VLOOKUP(H2910,Stock_list!A:N,14,FALSE)</f>
        <v>MAR 22</v>
      </c>
    </row>
    <row r="2911" spans="1:21" ht="16.5" customHeight="1">
      <c r="A2911" s="159" t="s">
        <v>2749</v>
      </c>
      <c r="B2911" s="114" t="str">
        <f>VLOOKUP(A2911,'Data pick slip'!B:F,5,FALSE)</f>
        <v>KHJ-MC500-00</v>
      </c>
      <c r="F2911" s="157" t="s">
        <v>1381</v>
      </c>
      <c r="H2911" s="138">
        <v>1320</v>
      </c>
      <c r="I2911" s="139" t="str">
        <f>VLOOKUP(H2911,Stock_list!A:R,18,FALSE)</f>
        <v>恒创兴</v>
      </c>
      <c r="J2911" s="139" t="str">
        <f>VLOOKUP(H2911,Stock_list!A:S,17,FALSE)</f>
        <v>C49SZX20210111DZ</v>
      </c>
      <c r="K2911" s="51" t="str">
        <f>VLOOKUP(H2911,Stock_list!A:T,16,FALSE)</f>
        <v>JPY</v>
      </c>
      <c r="L2911" s="4">
        <v>44644</v>
      </c>
      <c r="M2911" s="132">
        <v>1</v>
      </c>
      <c r="P2911" s="4" t="str">
        <f>VLOOKUP(H2911,Stock_list!A:Y,25,FALSE)</f>
        <v>Yes</v>
      </c>
      <c r="Q2911" s="143"/>
      <c r="T2911" s="144"/>
      <c r="U2911" s="145" t="str">
        <f>VLOOKUP(H2911,Stock_list!A:N,14,FALSE)</f>
        <v>MAR 22</v>
      </c>
    </row>
    <row r="2912" spans="1:21" ht="16.5" customHeight="1">
      <c r="A2912" s="159" t="s">
        <v>2744</v>
      </c>
      <c r="B2912" s="114" t="str">
        <f>VLOOKUP(A2912,'Data pick slip'!B:F,5,FALSE)</f>
        <v>KHJ-MC100-00</v>
      </c>
      <c r="F2912" s="157" t="s">
        <v>1381</v>
      </c>
      <c r="H2912" s="138">
        <v>1320</v>
      </c>
      <c r="I2912" s="139" t="str">
        <f>VLOOKUP(H2912,Stock_list!A:R,18,FALSE)</f>
        <v>恒创兴</v>
      </c>
      <c r="J2912" s="139" t="str">
        <f>VLOOKUP(H2912,Stock_list!A:S,17,FALSE)</f>
        <v>C49SZX20210111DZ</v>
      </c>
      <c r="K2912" s="51" t="str">
        <f>VLOOKUP(H2912,Stock_list!A:T,16,FALSE)</f>
        <v>JPY</v>
      </c>
      <c r="L2912" s="4">
        <v>44490</v>
      </c>
      <c r="M2912" s="132">
        <v>30</v>
      </c>
      <c r="P2912" s="4" t="str">
        <f>VLOOKUP(H2912,Stock_list!A:Y,25,FALSE)</f>
        <v>Yes</v>
      </c>
      <c r="Q2912" s="143"/>
      <c r="T2912" s="144"/>
      <c r="U2912" s="145" t="str">
        <f>VLOOKUP(H2912,Stock_list!A:N,14,FALSE)</f>
        <v>MAR 22</v>
      </c>
    </row>
    <row r="2913" spans="1:21" ht="16.5" customHeight="1">
      <c r="A2913" s="159" t="s">
        <v>2747</v>
      </c>
      <c r="B2913" s="114" t="str">
        <f>VLOOKUP(A2913,'Data pick slip'!B:F,5,FALSE)</f>
        <v>KHJ-MC200-00</v>
      </c>
      <c r="F2913" s="157" t="s">
        <v>1381</v>
      </c>
      <c r="H2913" s="138">
        <v>1320</v>
      </c>
      <c r="I2913" s="139" t="str">
        <f>VLOOKUP(H2913,Stock_list!A:R,18,FALSE)</f>
        <v>恒创兴</v>
      </c>
      <c r="J2913" s="139" t="str">
        <f>VLOOKUP(H2913,Stock_list!A:S,17,FALSE)</f>
        <v>C49SZX20210111DZ</v>
      </c>
      <c r="K2913" s="51" t="str">
        <f>VLOOKUP(H2913,Stock_list!A:T,16,FALSE)</f>
        <v>JPY</v>
      </c>
      <c r="L2913" s="4">
        <v>44490</v>
      </c>
      <c r="M2913" s="132">
        <v>7</v>
      </c>
      <c r="P2913" s="4" t="str">
        <f>VLOOKUP(H2913,Stock_list!A:Y,25,FALSE)</f>
        <v>Yes</v>
      </c>
      <c r="Q2913" s="143"/>
      <c r="T2913" s="144"/>
      <c r="U2913" s="145" t="str">
        <f>VLOOKUP(H2913,Stock_list!A:N,14,FALSE)</f>
        <v>MAR 22</v>
      </c>
    </row>
    <row r="2914" spans="1:21" ht="16.5" customHeight="1">
      <c r="A2914" s="159" t="s">
        <v>2748</v>
      </c>
      <c r="B2914" s="114" t="str">
        <f>VLOOKUP(A2914,'Data pick slip'!B:F,5,FALSE)</f>
        <v>KHJ-MC400-00</v>
      </c>
      <c r="F2914" s="157" t="s">
        <v>1381</v>
      </c>
      <c r="H2914" s="138">
        <v>1320</v>
      </c>
      <c r="I2914" s="139" t="str">
        <f>VLOOKUP(H2914,Stock_list!A:R,18,FALSE)</f>
        <v>恒创兴</v>
      </c>
      <c r="J2914" s="139" t="str">
        <f>VLOOKUP(H2914,Stock_list!A:S,17,FALSE)</f>
        <v>C49SZX20210111DZ</v>
      </c>
      <c r="K2914" s="51" t="str">
        <f>VLOOKUP(H2914,Stock_list!A:T,16,FALSE)</f>
        <v>JPY</v>
      </c>
      <c r="L2914" s="4">
        <v>44490</v>
      </c>
      <c r="M2914" s="132">
        <v>2</v>
      </c>
      <c r="P2914" s="4" t="str">
        <f>VLOOKUP(H2914,Stock_list!A:Y,25,FALSE)</f>
        <v>Yes</v>
      </c>
      <c r="Q2914" s="143"/>
      <c r="T2914" s="144"/>
      <c r="U2914" s="145" t="str">
        <f>VLOOKUP(H2914,Stock_list!A:N,14,FALSE)</f>
        <v>MAR 22</v>
      </c>
    </row>
    <row r="2915" spans="1:21" ht="16.5" customHeight="1">
      <c r="A2915" s="159" t="s">
        <v>2744</v>
      </c>
      <c r="B2915" s="114" t="str">
        <f>VLOOKUP(A2915,'Data pick slip'!B:F,5,FALSE)</f>
        <v>KHJ-MC100-00</v>
      </c>
      <c r="F2915" s="157" t="s">
        <v>1381</v>
      </c>
      <c r="H2915" s="138">
        <v>1321</v>
      </c>
      <c r="I2915" s="139" t="str">
        <f>VLOOKUP(H2915,Stock_list!A:R,18,FALSE)</f>
        <v>华汛</v>
      </c>
      <c r="J2915" s="139" t="str">
        <f>VLOOKUP(H2915,Stock_list!A:S,17,FALSE)</f>
        <v>C49SZX20210109SX</v>
      </c>
      <c r="K2915" s="51" t="str">
        <f>VLOOKUP(H2915,Stock_list!A:T,16,FALSE)</f>
        <v>JPY</v>
      </c>
      <c r="L2915" s="4">
        <v>44340</v>
      </c>
      <c r="M2915" s="132">
        <v>40</v>
      </c>
      <c r="P2915" s="4" t="str">
        <f>VLOOKUP(H2915,Stock_list!A:Y,25,FALSE)</f>
        <v>Yes</v>
      </c>
      <c r="Q2915" s="143"/>
      <c r="T2915" s="144"/>
      <c r="U2915" s="145" t="str">
        <f>VLOOKUP(H2915,Stock_list!A:N,14,FALSE)</f>
        <v>MAY 21</v>
      </c>
    </row>
    <row r="2916" spans="1:21" ht="16.5" customHeight="1">
      <c r="A2916" s="159" t="s">
        <v>2744</v>
      </c>
      <c r="B2916" s="114" t="str">
        <f>VLOOKUP(A2916,'Data pick slip'!B:F,5,FALSE)</f>
        <v>KHJ-MC100-00</v>
      </c>
      <c r="F2916" s="157" t="s">
        <v>2753</v>
      </c>
      <c r="H2916" s="138">
        <v>1322</v>
      </c>
      <c r="I2916" s="139" t="str">
        <f>VLOOKUP(H2916,Stock_list!A:R,18,FALSE)</f>
        <v>蓝泰翔</v>
      </c>
      <c r="J2916" s="139" t="str">
        <f>VLOOKUP(H2916,Stock_list!A:S,17,FALSE)</f>
        <v>C49SZX20210110SS</v>
      </c>
      <c r="K2916" s="51" t="str">
        <f>VLOOKUP(H2916,Stock_list!A:T,16,FALSE)</f>
        <v>RMB</v>
      </c>
      <c r="L2916" s="4">
        <v>44414</v>
      </c>
      <c r="M2916" s="132">
        <v>46</v>
      </c>
      <c r="P2916" s="4" t="str">
        <f>VLOOKUP(H2916,Stock_list!A:Y,25,FALSE)</f>
        <v>Yes</v>
      </c>
      <c r="Q2916" s="143"/>
      <c r="T2916" s="144"/>
      <c r="U2916" s="145" t="str">
        <f>VLOOKUP(H2916,Stock_list!A:N,14,FALSE)</f>
        <v>AUG 21</v>
      </c>
    </row>
    <row r="2917" spans="1:21" ht="16.5" customHeight="1">
      <c r="A2917" s="159" t="s">
        <v>2747</v>
      </c>
      <c r="B2917" s="114" t="str">
        <f>VLOOKUP(A2917,'Data pick slip'!B:F,5,FALSE)</f>
        <v>KHJ-MC200-00</v>
      </c>
      <c r="F2917" s="157" t="s">
        <v>2753</v>
      </c>
      <c r="H2917" s="138">
        <v>1322</v>
      </c>
      <c r="I2917" s="139" t="str">
        <f>VLOOKUP(H2917,Stock_list!A:R,18,FALSE)</f>
        <v>蓝泰翔</v>
      </c>
      <c r="J2917" s="139" t="str">
        <f>VLOOKUP(H2917,Stock_list!A:S,17,FALSE)</f>
        <v>C49SZX20210110SS</v>
      </c>
      <c r="K2917" s="51" t="str">
        <f>VLOOKUP(H2917,Stock_list!A:T,16,FALSE)</f>
        <v>RMB</v>
      </c>
      <c r="L2917" s="290">
        <v>44414</v>
      </c>
      <c r="M2917" s="132">
        <v>6</v>
      </c>
      <c r="P2917" s="4" t="str">
        <f>VLOOKUP(H2917,Stock_list!A:Y,25,FALSE)</f>
        <v>Yes</v>
      </c>
      <c r="Q2917" s="143"/>
      <c r="T2917" s="144"/>
      <c r="U2917" s="145" t="str">
        <f>VLOOKUP(H2917,Stock_list!A:N,14,FALSE)</f>
        <v>AUG 21</v>
      </c>
    </row>
    <row r="2918" spans="1:21" ht="16.5" customHeight="1">
      <c r="A2918" s="159" t="s">
        <v>2744</v>
      </c>
      <c r="B2918" s="114" t="str">
        <f>VLOOKUP(A2918,'Data pick slip'!B:F,5,FALSE)</f>
        <v>KHJ-MC100-00</v>
      </c>
      <c r="F2918" s="157" t="s">
        <v>1381</v>
      </c>
      <c r="H2918" s="138">
        <v>1323</v>
      </c>
      <c r="I2918" s="139" t="str">
        <f>VLOOKUP(H2918,Stock_list!A:R,18,FALSE)</f>
        <v>捷盛达</v>
      </c>
      <c r="J2918" s="139" t="str">
        <f>VLOOKUP(H2918,Stock_list!A:S,17,FALSE)</f>
        <v>C49SZX20210108MZ</v>
      </c>
      <c r="K2918" s="51" t="str">
        <f>VLOOKUP(H2918,Stock_list!A:T,16,FALSE)</f>
        <v>JPY</v>
      </c>
      <c r="L2918" s="4">
        <v>44433</v>
      </c>
      <c r="M2918" s="132">
        <v>75</v>
      </c>
      <c r="P2918" s="4" t="str">
        <f>VLOOKUP(H2918,Stock_list!A:Y,25,FALSE)</f>
        <v>Yes</v>
      </c>
      <c r="Q2918" s="143"/>
      <c r="T2918" s="144"/>
      <c r="U2918" s="145" t="str">
        <f>VLOOKUP(H2918,Stock_list!A:N,14,FALSE)</f>
        <v>AUG 21</v>
      </c>
    </row>
    <row r="2919" spans="1:21" ht="16.5" customHeight="1">
      <c r="A2919" s="159" t="s">
        <v>2747</v>
      </c>
      <c r="B2919" s="114" t="str">
        <f>VLOOKUP(A2919,'Data pick slip'!B:F,5,FALSE)</f>
        <v>KHJ-MC200-00</v>
      </c>
      <c r="F2919" s="157" t="s">
        <v>1381</v>
      </c>
      <c r="H2919" s="138">
        <v>1323</v>
      </c>
      <c r="I2919" s="139" t="str">
        <f>VLOOKUP(H2919,Stock_list!A:R,18,FALSE)</f>
        <v>捷盛达</v>
      </c>
      <c r="J2919" s="139" t="str">
        <f>VLOOKUP(H2919,Stock_list!A:S,17,FALSE)</f>
        <v>C49SZX20210108MZ</v>
      </c>
      <c r="K2919" s="51" t="str">
        <f>VLOOKUP(H2919,Stock_list!A:T,16,FALSE)</f>
        <v>JPY</v>
      </c>
      <c r="L2919" s="4">
        <v>44433</v>
      </c>
      <c r="M2919" s="132">
        <v>5</v>
      </c>
      <c r="P2919" s="4" t="str">
        <f>VLOOKUP(H2919,Stock_list!A:Y,25,FALSE)</f>
        <v>Yes</v>
      </c>
      <c r="Q2919" s="143"/>
      <c r="T2919" s="144"/>
      <c r="U2919" s="145" t="str">
        <f>VLOOKUP(H2919,Stock_list!A:N,14,FALSE)</f>
        <v>AUG 21</v>
      </c>
    </row>
    <row r="2920" spans="1:21" ht="16.5" customHeight="1">
      <c r="A2920" s="159" t="s">
        <v>2744</v>
      </c>
      <c r="B2920" s="114" t="str">
        <f>VLOOKUP(A2920,'Data pick slip'!B:F,5,FALSE)</f>
        <v>KHJ-MC100-00</v>
      </c>
      <c r="F2920" s="157" t="s">
        <v>1381</v>
      </c>
      <c r="H2920" s="138">
        <v>1324</v>
      </c>
      <c r="I2920" s="139" t="str">
        <f>VLOOKUP(H2920,Stock_list!A:R,18,FALSE)</f>
        <v>旭日伟光</v>
      </c>
      <c r="J2920" s="139" t="str">
        <f>VLOOKUP(H2920,Stock_list!A:S,17,FALSE)</f>
        <v>C49SZX20210066JYR1</v>
      </c>
      <c r="K2920" s="51" t="str">
        <f>VLOOKUP(H2920,Stock_list!A:T,16,FALSE)</f>
        <v>JPY</v>
      </c>
      <c r="L2920" s="4">
        <v>44335</v>
      </c>
      <c r="M2920" s="132">
        <v>6</v>
      </c>
      <c r="P2920" s="4" t="str">
        <f>VLOOKUP(H2920,Stock_list!A:Y,25,FALSE)</f>
        <v>Yes</v>
      </c>
      <c r="Q2920" s="143"/>
      <c r="T2920" s="144"/>
      <c r="U2920" s="145" t="str">
        <f>VLOOKUP(H2920,Stock_list!A:N,14,FALSE)</f>
        <v>MAY 21</v>
      </c>
    </row>
    <row r="2921" spans="1:21" ht="16.5" customHeight="1">
      <c r="A2921" s="159" t="s">
        <v>2748</v>
      </c>
      <c r="B2921" s="114" t="str">
        <f>VLOOKUP(A2921,'Data pick slip'!B:F,5,FALSE)</f>
        <v>KHJ-MC400-00</v>
      </c>
      <c r="F2921" s="157" t="s">
        <v>1381</v>
      </c>
      <c r="H2921" s="138">
        <v>1324</v>
      </c>
      <c r="I2921" s="139" t="str">
        <f>VLOOKUP(H2921,Stock_list!A:R,18,FALSE)</f>
        <v>旭日伟光</v>
      </c>
      <c r="J2921" s="139" t="str">
        <f>VLOOKUP(H2921,Stock_list!A:S,17,FALSE)</f>
        <v>C49SZX20210066JYR1</v>
      </c>
      <c r="K2921" s="51" t="str">
        <f>VLOOKUP(H2921,Stock_list!A:T,16,FALSE)</f>
        <v>JPY</v>
      </c>
      <c r="L2921" s="4">
        <v>44335</v>
      </c>
      <c r="M2921" s="132">
        <v>4</v>
      </c>
      <c r="P2921" s="4" t="str">
        <f>VLOOKUP(H2921,Stock_list!A:Y,25,FALSE)</f>
        <v>Yes</v>
      </c>
      <c r="Q2921" s="143"/>
      <c r="T2921" s="144"/>
      <c r="U2921" s="145" t="str">
        <f>VLOOKUP(H2921,Stock_list!A:N,14,FALSE)</f>
        <v>MAY 21</v>
      </c>
    </row>
    <row r="2922" spans="1:21" ht="16.5" customHeight="1">
      <c r="A2922" s="159" t="s">
        <v>2747</v>
      </c>
      <c r="B2922" s="114" t="str">
        <f>VLOOKUP(A2922,'Data pick slip'!B:F,5,FALSE)</f>
        <v>KHJ-MC200-00</v>
      </c>
      <c r="F2922" s="157" t="s">
        <v>2753</v>
      </c>
      <c r="I2922" s="139" t="s">
        <v>3099</v>
      </c>
      <c r="J2922" s="267" t="s">
        <v>3425</v>
      </c>
      <c r="K2922" s="51" t="s">
        <v>1246</v>
      </c>
      <c r="L2922" s="4">
        <v>44299</v>
      </c>
      <c r="M2922" s="132">
        <v>2</v>
      </c>
      <c r="P2922" s="4" t="s">
        <v>291</v>
      </c>
      <c r="Q2922" s="143"/>
      <c r="T2922" s="144"/>
      <c r="U2922" s="145" t="e">
        <f>VLOOKUP(H2922,Stock_list!A:N,14,FALSE)</f>
        <v>#N/A</v>
      </c>
    </row>
    <row r="2923" spans="1:21" ht="16.5" customHeight="1">
      <c r="A2923" s="159" t="s">
        <v>2744</v>
      </c>
      <c r="B2923" s="114" t="str">
        <f>VLOOKUP(A2923,'Data pick slip'!B:F,5,FALSE)</f>
        <v>KHJ-MC100-00</v>
      </c>
      <c r="F2923" s="157" t="s">
        <v>1381</v>
      </c>
      <c r="H2923" s="138">
        <v>1335</v>
      </c>
      <c r="I2923" s="139" t="str">
        <f>VLOOKUP(H2923,Stock_list!A:R,18,FALSE)</f>
        <v>贝爱婴童</v>
      </c>
      <c r="J2923" s="139" t="str">
        <f>VLOOKUP(H2923,Stock_list!A:S,17,FALSE)</f>
        <v>C49SZX20210112JD</v>
      </c>
      <c r="K2923" s="51" t="str">
        <f>VLOOKUP(H2923,Stock_list!A:T,16,FALSE)</f>
        <v>JPY</v>
      </c>
      <c r="L2923" s="4">
        <v>44350</v>
      </c>
      <c r="M2923" s="132">
        <v>10</v>
      </c>
      <c r="P2923" s="4" t="str">
        <f>VLOOKUP(H2923,Stock_list!A:Y,25,FALSE)</f>
        <v>Yes</v>
      </c>
      <c r="Q2923" s="143"/>
      <c r="T2923" s="144"/>
      <c r="U2923" s="145" t="str">
        <f>VLOOKUP(H2923,Stock_list!A:N,14,FALSE)</f>
        <v>JUN 21</v>
      </c>
    </row>
    <row r="2924" spans="1:21" ht="16.5" customHeight="1">
      <c r="A2924" s="159" t="s">
        <v>2747</v>
      </c>
      <c r="B2924" s="114" t="str">
        <f>VLOOKUP(A2924,'Data pick slip'!B:F,5,FALSE)</f>
        <v>KHJ-MC200-00</v>
      </c>
      <c r="F2924" s="157" t="s">
        <v>1381</v>
      </c>
      <c r="H2924" s="138">
        <v>1335</v>
      </c>
      <c r="I2924" s="139" t="str">
        <f>VLOOKUP(H2924,Stock_list!A:R,18,FALSE)</f>
        <v>贝爱婴童</v>
      </c>
      <c r="J2924" s="139" t="str">
        <f>VLOOKUP(H2924,Stock_list!A:S,17,FALSE)</f>
        <v>C49SZX20210112JD</v>
      </c>
      <c r="K2924" s="51" t="str">
        <f>VLOOKUP(H2924,Stock_list!A:T,16,FALSE)</f>
        <v>JPY</v>
      </c>
      <c r="L2924" s="4">
        <v>44350</v>
      </c>
      <c r="M2924" s="132">
        <v>5</v>
      </c>
      <c r="P2924" s="4" t="str">
        <f>VLOOKUP(H2924,Stock_list!A:Y,25,FALSE)</f>
        <v>Yes</v>
      </c>
      <c r="Q2924" s="143"/>
      <c r="T2924" s="144"/>
      <c r="U2924" s="145" t="str">
        <f>VLOOKUP(H2924,Stock_list!A:N,14,FALSE)</f>
        <v>JUN 21</v>
      </c>
    </row>
    <row r="2925" spans="1:21" ht="16.5" customHeight="1">
      <c r="A2925" s="159" t="s">
        <v>2744</v>
      </c>
      <c r="B2925" s="114" t="str">
        <f>VLOOKUP(A2925,'Data pick slip'!B:F,5,FALSE)</f>
        <v>KHJ-MC100-00</v>
      </c>
      <c r="F2925" s="157" t="s">
        <v>2753</v>
      </c>
      <c r="H2925" s="138">
        <v>1336</v>
      </c>
      <c r="I2925" s="139" t="str">
        <f>VLOOKUP(H2925,Stock_list!A:R,18,FALSE)</f>
        <v>亮瑞</v>
      </c>
      <c r="J2925" s="139" t="str">
        <f>VLOOKUP(H2925,Stock_list!A:S,17,FALSE)</f>
        <v>C49SZX20210115DY</v>
      </c>
      <c r="K2925" s="51" t="str">
        <f>VLOOKUP(H2925,Stock_list!A:T,16,FALSE)</f>
        <v>RMB</v>
      </c>
      <c r="L2925" s="4">
        <v>44368</v>
      </c>
      <c r="M2925" s="132">
        <v>16</v>
      </c>
      <c r="P2925" s="4" t="str">
        <f>VLOOKUP(H2925,Stock_list!A:Y,25,FALSE)</f>
        <v>Yes</v>
      </c>
      <c r="Q2925" s="143"/>
      <c r="T2925" s="144"/>
      <c r="U2925" s="145" t="str">
        <f>VLOOKUP(H2925,Stock_list!A:N,14,FALSE)</f>
        <v>JUN 21</v>
      </c>
    </row>
    <row r="2926" spans="1:21" ht="18.75" customHeight="1">
      <c r="A2926" s="159" t="s">
        <v>2747</v>
      </c>
      <c r="B2926" s="114" t="str">
        <f>VLOOKUP(A2926,'Data pick slip'!B:F,5,FALSE)</f>
        <v>KHJ-MC200-00</v>
      </c>
      <c r="F2926" s="157" t="s">
        <v>2753</v>
      </c>
      <c r="H2926" s="138">
        <v>1336</v>
      </c>
      <c r="I2926" s="139" t="str">
        <f>VLOOKUP(H2926,Stock_list!A:R,18,FALSE)</f>
        <v>亮瑞</v>
      </c>
      <c r="J2926" s="139" t="str">
        <f>VLOOKUP(H2926,Stock_list!A:S,17,FALSE)</f>
        <v>C49SZX20210115DY</v>
      </c>
      <c r="K2926" s="51" t="str">
        <f>VLOOKUP(H2926,Stock_list!A:T,16,FALSE)</f>
        <v>RMB</v>
      </c>
      <c r="L2926" s="4">
        <v>44368</v>
      </c>
      <c r="M2926" s="132">
        <v>4</v>
      </c>
      <c r="P2926" s="4" t="str">
        <f>VLOOKUP(H2926,Stock_list!A:Y,25,FALSE)</f>
        <v>Yes</v>
      </c>
      <c r="Q2926" s="143"/>
      <c r="T2926" s="144"/>
      <c r="U2926" s="145" t="str">
        <f>VLOOKUP(H2926,Stock_list!A:N,14,FALSE)</f>
        <v>JUN 21</v>
      </c>
    </row>
    <row r="2927" spans="1:21" ht="18.75" customHeight="1">
      <c r="A2927" s="159" t="s">
        <v>2744</v>
      </c>
      <c r="B2927" s="114" t="str">
        <f>VLOOKUP(A2927,'Data pick slip'!B:F,5,FALSE)</f>
        <v>KHJ-MC100-00</v>
      </c>
      <c r="F2927" s="157" t="s">
        <v>1381</v>
      </c>
      <c r="H2927" s="138">
        <v>1338</v>
      </c>
      <c r="I2927" s="139" t="str">
        <f>VLOOKUP(H2927,Stock_list!A:R,18,FALSE)</f>
        <v>百纳海</v>
      </c>
      <c r="J2927" s="139" t="str">
        <f>VLOOKUP(H2927,Stock_list!A:S,17,FALSE)</f>
        <v>C49SZX20210119JY</v>
      </c>
      <c r="K2927" s="51" t="str">
        <f>VLOOKUP(H2927,Stock_list!A:T,16,FALSE)</f>
        <v>JPY</v>
      </c>
      <c r="L2927" s="4">
        <v>44488</v>
      </c>
      <c r="M2927" s="132">
        <v>2</v>
      </c>
      <c r="P2927" s="4" t="str">
        <f>VLOOKUP(H2927,Stock_list!A:Y,25,FALSE)</f>
        <v>Yes</v>
      </c>
      <c r="Q2927" s="143"/>
      <c r="T2927" s="144"/>
      <c r="U2927" s="145" t="str">
        <f>VLOOKUP(H2927,Stock_list!A:N,14,FALSE)</f>
        <v>OCT 21</v>
      </c>
    </row>
    <row r="2928" spans="1:21" ht="18.75" customHeight="1">
      <c r="A2928" s="159" t="s">
        <v>2744</v>
      </c>
      <c r="B2928" s="114" t="str">
        <f>VLOOKUP(A2928,'Data pick slip'!B:F,5,FALSE)</f>
        <v>KHJ-MC100-00</v>
      </c>
      <c r="F2928" s="157" t="s">
        <v>1381</v>
      </c>
      <c r="H2928" s="138">
        <v>1338</v>
      </c>
      <c r="I2928" s="139" t="str">
        <f>VLOOKUP(H2928,Stock_list!A:R,18,FALSE)</f>
        <v>百纳海</v>
      </c>
      <c r="J2928" s="139" t="str">
        <f>VLOOKUP(H2928,Stock_list!A:S,17,FALSE)</f>
        <v>C49SZX20210119JY</v>
      </c>
      <c r="K2928" s="51" t="str">
        <f>VLOOKUP(H2928,Stock_list!A:T,16,FALSE)</f>
        <v>JPY</v>
      </c>
      <c r="L2928" s="4">
        <v>44568</v>
      </c>
      <c r="M2928" s="132">
        <v>3</v>
      </c>
      <c r="P2928" s="4" t="str">
        <f>VLOOKUP(H2928,Stock_list!A:Y,25,FALSE)</f>
        <v>Yes</v>
      </c>
      <c r="Q2928" s="143"/>
      <c r="T2928" s="144"/>
      <c r="U2928" s="145" t="str">
        <f>VLOOKUP(H2928,Stock_list!A:N,14,FALSE)</f>
        <v>OCT 21</v>
      </c>
    </row>
    <row r="2929" spans="1:21" ht="16.5" customHeight="1">
      <c r="A2929" s="159" t="s">
        <v>2756</v>
      </c>
      <c r="B2929" s="114" t="str">
        <f>VLOOKUP(A2929,'Data pick slip'!B:F,5,FALSE)</f>
        <v>KLJ-MC200-00</v>
      </c>
      <c r="F2929" s="157" t="s">
        <v>2753</v>
      </c>
      <c r="I2929" s="139" t="s">
        <v>3099</v>
      </c>
      <c r="J2929" s="267" t="s">
        <v>3426</v>
      </c>
      <c r="K2929" s="51" t="s">
        <v>1246</v>
      </c>
      <c r="L2929" s="4">
        <v>44288</v>
      </c>
      <c r="M2929" s="140">
        <v>7</v>
      </c>
      <c r="P2929" s="4" t="s">
        <v>291</v>
      </c>
      <c r="Q2929" s="143"/>
      <c r="T2929" s="144"/>
      <c r="U2929" s="145" t="e">
        <f>VLOOKUP(H2929,Stock_list!A:N,14,FALSE)</f>
        <v>#N/A</v>
      </c>
    </row>
    <row r="2930" spans="1:21" ht="16.5" customHeight="1">
      <c r="A2930" s="159" t="s">
        <v>2747</v>
      </c>
      <c r="B2930" s="114" t="str">
        <f>VLOOKUP(A2930,'Data pick slip'!B:F,5,FALSE)</f>
        <v>KHJ-MC200-00</v>
      </c>
      <c r="F2930" s="157" t="s">
        <v>2753</v>
      </c>
      <c r="I2930" s="139" t="s">
        <v>3099</v>
      </c>
      <c r="J2930" s="267" t="s">
        <v>3427</v>
      </c>
      <c r="K2930" s="51" t="s">
        <v>1246</v>
      </c>
      <c r="L2930" s="4">
        <v>44288</v>
      </c>
      <c r="M2930" s="140">
        <v>10</v>
      </c>
      <c r="P2930" s="4" t="s">
        <v>291</v>
      </c>
      <c r="Q2930" s="143"/>
      <c r="T2930" s="144"/>
      <c r="U2930" s="145" t="e">
        <f>VLOOKUP(H2930,Stock_list!A:N,14,FALSE)</f>
        <v>#N/A</v>
      </c>
    </row>
    <row r="2931" spans="1:21" ht="16.5" customHeight="1">
      <c r="A2931" s="159" t="s">
        <v>2757</v>
      </c>
      <c r="B2931" s="114" t="str">
        <f>VLOOKUP(A2931,'Data pick slip'!B:F,5,FALSE)</f>
        <v>KLJ-MC400-00</v>
      </c>
      <c r="F2931" s="157" t="s">
        <v>2753</v>
      </c>
      <c r="I2931" s="139" t="s">
        <v>3099</v>
      </c>
      <c r="J2931" s="269" t="s">
        <v>3428</v>
      </c>
      <c r="K2931" s="51" t="s">
        <v>1246</v>
      </c>
      <c r="L2931" s="4">
        <v>44305</v>
      </c>
      <c r="M2931" s="140">
        <v>3</v>
      </c>
      <c r="P2931" s="4" t="s">
        <v>291</v>
      </c>
      <c r="Q2931" s="143"/>
      <c r="T2931" s="144"/>
      <c r="U2931" s="145" t="e">
        <f>VLOOKUP(H2931,Stock_list!A:N,14,FALSE)</f>
        <v>#N/A</v>
      </c>
    </row>
    <row r="2932" spans="1:21" ht="16.5" customHeight="1">
      <c r="A2932" s="159" t="s">
        <v>2744</v>
      </c>
      <c r="B2932" s="114" t="str">
        <f>VLOOKUP(A2932,'Data pick slip'!B:F,5,FALSE)</f>
        <v>KHJ-MC100-00</v>
      </c>
      <c r="F2932" s="157" t="s">
        <v>1381</v>
      </c>
      <c r="I2932" s="269" t="s">
        <v>3413</v>
      </c>
      <c r="J2932" s="139" t="s">
        <v>3429</v>
      </c>
      <c r="K2932" s="51" t="s">
        <v>1246</v>
      </c>
      <c r="L2932" s="4">
        <v>44295</v>
      </c>
      <c r="M2932" s="140">
        <v>100</v>
      </c>
      <c r="P2932" s="4" t="s">
        <v>291</v>
      </c>
      <c r="Q2932" s="143"/>
      <c r="T2932" s="144"/>
      <c r="U2932" s="145" t="e">
        <f>VLOOKUP(H2932,Stock_list!A:N,14,FALSE)</f>
        <v>#N/A</v>
      </c>
    </row>
    <row r="2933" spans="1:21" ht="16.5" customHeight="1">
      <c r="A2933" s="159" t="s">
        <v>2747</v>
      </c>
      <c r="B2933" s="114" t="str">
        <f>VLOOKUP(A2933,'Data pick slip'!B:F,5,FALSE)</f>
        <v>KHJ-MC200-00</v>
      </c>
      <c r="F2933" s="157" t="s">
        <v>1381</v>
      </c>
      <c r="I2933" s="269" t="s">
        <v>3413</v>
      </c>
      <c r="J2933" s="139" t="s">
        <v>3429</v>
      </c>
      <c r="K2933" s="51" t="s">
        <v>1246</v>
      </c>
      <c r="L2933" s="4">
        <v>44295</v>
      </c>
      <c r="M2933" s="140">
        <v>20</v>
      </c>
      <c r="P2933" s="4" t="s">
        <v>291</v>
      </c>
      <c r="Q2933" s="143"/>
      <c r="T2933" s="144"/>
      <c r="U2933" s="145" t="e">
        <f>VLOOKUP(H2933,Stock_list!A:N,14,FALSE)</f>
        <v>#N/A</v>
      </c>
    </row>
    <row r="2934" spans="1:21" ht="16.5" customHeight="1">
      <c r="A2934" s="159" t="s">
        <v>2759</v>
      </c>
      <c r="B2934" s="114" t="str">
        <f>VLOOKUP(A2934,'Data pick slip'!B:F,5,FALSE)</f>
        <v>KLJ-MC600-00</v>
      </c>
      <c r="F2934" s="157" t="s">
        <v>1381</v>
      </c>
      <c r="I2934" s="269" t="s">
        <v>3413</v>
      </c>
      <c r="J2934" s="139" t="s">
        <v>3429</v>
      </c>
      <c r="K2934" s="51" t="s">
        <v>1246</v>
      </c>
      <c r="L2934" s="4">
        <v>44295</v>
      </c>
      <c r="M2934" s="140">
        <v>1</v>
      </c>
      <c r="P2934" s="4" t="s">
        <v>291</v>
      </c>
      <c r="Q2934" s="143"/>
      <c r="T2934" s="144"/>
      <c r="U2934" s="145" t="e">
        <f>VLOOKUP(H2934,Stock_list!A:N,14,FALSE)</f>
        <v>#N/A</v>
      </c>
    </row>
    <row r="2935" spans="1:21" ht="16.5" customHeight="1">
      <c r="A2935" s="159" t="s">
        <v>2744</v>
      </c>
      <c r="B2935" s="114" t="str">
        <f>VLOOKUP(A2935,'Data pick slip'!B:F,5,FALSE)</f>
        <v>KHJ-MC100-00</v>
      </c>
      <c r="F2935" s="157" t="s">
        <v>1381</v>
      </c>
      <c r="I2935" s="269" t="s">
        <v>3413</v>
      </c>
      <c r="J2935" s="139" t="s">
        <v>3430</v>
      </c>
      <c r="K2935" s="51" t="s">
        <v>1246</v>
      </c>
      <c r="L2935" s="4">
        <v>44305</v>
      </c>
      <c r="M2935" s="140">
        <v>50</v>
      </c>
      <c r="P2935" s="4" t="s">
        <v>291</v>
      </c>
      <c r="Q2935" s="143"/>
      <c r="T2935" s="144"/>
      <c r="U2935" s="145" t="e">
        <f>VLOOKUP(H2935,Stock_list!A:N,14,FALSE)</f>
        <v>#N/A</v>
      </c>
    </row>
    <row r="2936" spans="1:21" ht="16.5" customHeight="1">
      <c r="A2936" s="159" t="s">
        <v>2747</v>
      </c>
      <c r="B2936" s="114" t="str">
        <f>VLOOKUP(A2936,'Data pick slip'!B:F,5,FALSE)</f>
        <v>KHJ-MC200-00</v>
      </c>
      <c r="F2936" s="157" t="s">
        <v>1381</v>
      </c>
      <c r="I2936" s="269" t="s">
        <v>3413</v>
      </c>
      <c r="J2936" s="139" t="s">
        <v>3430</v>
      </c>
      <c r="K2936" s="51" t="s">
        <v>1246</v>
      </c>
      <c r="L2936" s="4">
        <v>44305</v>
      </c>
      <c r="M2936" s="140">
        <v>30</v>
      </c>
      <c r="P2936" s="4" t="s">
        <v>291</v>
      </c>
      <c r="Q2936" s="143"/>
      <c r="T2936" s="144"/>
      <c r="U2936" s="145" t="e">
        <f>VLOOKUP(H2936,Stock_list!A:N,14,FALSE)</f>
        <v>#N/A</v>
      </c>
    </row>
    <row r="2937" spans="1:21" ht="16.5" customHeight="1">
      <c r="A2937" s="159" t="s">
        <v>2744</v>
      </c>
      <c r="B2937" s="114" t="str">
        <f>VLOOKUP(A2937,'Data pick slip'!B:F,5,FALSE)</f>
        <v>KHJ-MC100-00</v>
      </c>
      <c r="F2937" s="157" t="s">
        <v>2861</v>
      </c>
      <c r="H2937" s="138">
        <v>1340</v>
      </c>
      <c r="I2937" s="139" t="str">
        <f>VLOOKUP(H2937,Stock_list!A:R,18,FALSE)</f>
        <v>精德鸿</v>
      </c>
      <c r="J2937" s="139" t="str">
        <f>VLOOKUP(H2937,Stock_list!A:S,17,FALSE)</f>
        <v>C49SZX20210117JY</v>
      </c>
      <c r="K2937" s="51" t="str">
        <f>VLOOKUP(H2937,Stock_list!A:T,16,FALSE)</f>
        <v>JPY</v>
      </c>
      <c r="L2937" s="4">
        <v>44337</v>
      </c>
      <c r="M2937" s="143">
        <v>90</v>
      </c>
      <c r="P2937" s="4" t="str">
        <f>VLOOKUP(H2937,Stock_list!A:Y,25,FALSE)</f>
        <v>Yes</v>
      </c>
      <c r="T2937" s="144"/>
      <c r="U2937" s="145" t="str">
        <f>VLOOKUP(H2937,Stock_list!A:N,14,FALSE)</f>
        <v>MAY 21</v>
      </c>
    </row>
    <row r="2938" spans="1:21" ht="16.5" customHeight="1">
      <c r="A2938" s="159" t="s">
        <v>2747</v>
      </c>
      <c r="B2938" s="114" t="str">
        <f>VLOOKUP(A2938,'Data pick slip'!B:F,5,FALSE)</f>
        <v>KHJ-MC200-00</v>
      </c>
      <c r="F2938" s="157" t="s">
        <v>2861</v>
      </c>
      <c r="H2938" s="138">
        <v>1340</v>
      </c>
      <c r="I2938" s="139" t="str">
        <f>VLOOKUP(H2938,Stock_list!A:R,18,FALSE)</f>
        <v>精德鸿</v>
      </c>
      <c r="J2938" s="139" t="str">
        <f>VLOOKUP(H2938,Stock_list!A:S,17,FALSE)</f>
        <v>C49SZX20210117JY</v>
      </c>
      <c r="K2938" s="51" t="str">
        <f>VLOOKUP(H2938,Stock_list!A:T,16,FALSE)</f>
        <v>JPY</v>
      </c>
      <c r="L2938" s="4">
        <v>44337</v>
      </c>
      <c r="M2938" s="143">
        <v>12</v>
      </c>
      <c r="P2938" s="4" t="str">
        <f>VLOOKUP(H2938,Stock_list!A:Y,25,FALSE)</f>
        <v>Yes</v>
      </c>
      <c r="T2938" s="144"/>
      <c r="U2938" s="145" t="str">
        <f>VLOOKUP(H2938,Stock_list!A:N,14,FALSE)</f>
        <v>MAY 21</v>
      </c>
    </row>
    <row r="2939" spans="1:21" ht="16.5" customHeight="1">
      <c r="A2939" s="159" t="s">
        <v>2748</v>
      </c>
      <c r="B2939" s="114" t="str">
        <f>VLOOKUP(A2939,'Data pick slip'!B:F,5,FALSE)</f>
        <v>KHJ-MC400-00</v>
      </c>
      <c r="F2939" s="157" t="s">
        <v>2861</v>
      </c>
      <c r="H2939" s="138">
        <v>1340</v>
      </c>
      <c r="I2939" s="139" t="str">
        <f>VLOOKUP(H2939,Stock_list!A:R,18,FALSE)</f>
        <v>精德鸿</v>
      </c>
      <c r="J2939" s="139" t="str">
        <f>VLOOKUP(H2939,Stock_list!A:S,17,FALSE)</f>
        <v>C49SZX20210117JY</v>
      </c>
      <c r="K2939" s="51" t="str">
        <f>VLOOKUP(H2939,Stock_list!A:T,16,FALSE)</f>
        <v>JPY</v>
      </c>
      <c r="L2939" s="4">
        <v>44337</v>
      </c>
      <c r="M2939" s="143">
        <v>9</v>
      </c>
      <c r="P2939" s="4" t="str">
        <f>VLOOKUP(H2939,Stock_list!A:Y,25,FALSE)</f>
        <v>Yes</v>
      </c>
      <c r="T2939" s="144"/>
      <c r="U2939" s="145" t="str">
        <f>VLOOKUP(H2939,Stock_list!A:N,14,FALSE)</f>
        <v>MAY 21</v>
      </c>
    </row>
    <row r="2940" spans="1:21" ht="16.5" customHeight="1">
      <c r="A2940" s="159" t="s">
        <v>2749</v>
      </c>
      <c r="B2940" s="114" t="str">
        <f>VLOOKUP(A2940,'Data pick slip'!B:F,5,FALSE)</f>
        <v>KHJ-MC500-00</v>
      </c>
      <c r="F2940" s="157" t="s">
        <v>2861</v>
      </c>
      <c r="H2940" s="138">
        <v>1340</v>
      </c>
      <c r="I2940" s="139" t="str">
        <f>VLOOKUP(H2940,Stock_list!A:R,18,FALSE)</f>
        <v>精德鸿</v>
      </c>
      <c r="J2940" s="139" t="str">
        <f>VLOOKUP(H2940,Stock_list!A:S,17,FALSE)</f>
        <v>C49SZX20210117JY</v>
      </c>
      <c r="K2940" s="51" t="str">
        <f>VLOOKUP(H2940,Stock_list!A:T,16,FALSE)</f>
        <v>JPY</v>
      </c>
      <c r="L2940" s="4">
        <v>44337</v>
      </c>
      <c r="M2940" s="143">
        <v>10</v>
      </c>
      <c r="P2940" s="4" t="str">
        <f>VLOOKUP(H2940,Stock_list!A:Y,25,FALSE)</f>
        <v>Yes</v>
      </c>
      <c r="T2940" s="144"/>
      <c r="U2940" s="145" t="str">
        <f>VLOOKUP(H2940,Stock_list!A:N,14,FALSE)</f>
        <v>MAY 21</v>
      </c>
    </row>
    <row r="2941" spans="1:21" ht="16.5" customHeight="1">
      <c r="A2941" s="159" t="s">
        <v>2750</v>
      </c>
      <c r="B2941" s="114" t="str">
        <f>VLOOKUP(A2941,'Data pick slip'!B:F,5,FALSE)</f>
        <v>KHJ-MC600-00</v>
      </c>
      <c r="F2941" s="157" t="s">
        <v>2861</v>
      </c>
      <c r="H2941" s="138">
        <v>1340</v>
      </c>
      <c r="I2941" s="139" t="str">
        <f>VLOOKUP(H2941,Stock_list!A:R,18,FALSE)</f>
        <v>精德鸿</v>
      </c>
      <c r="J2941" s="139" t="str">
        <f>VLOOKUP(H2941,Stock_list!A:S,17,FALSE)</f>
        <v>C49SZX20210117JY</v>
      </c>
      <c r="K2941" s="51" t="str">
        <f>VLOOKUP(H2941,Stock_list!A:T,16,FALSE)</f>
        <v>JPY</v>
      </c>
      <c r="L2941" s="4">
        <v>44337</v>
      </c>
      <c r="M2941" s="143">
        <v>1</v>
      </c>
      <c r="P2941" s="4" t="str">
        <f>VLOOKUP(H2941,Stock_list!A:Y,25,FALSE)</f>
        <v>Yes</v>
      </c>
      <c r="T2941" s="144"/>
      <c r="U2941" s="145" t="str">
        <f>VLOOKUP(H2941,Stock_list!A:N,14,FALSE)</f>
        <v>MAY 21</v>
      </c>
    </row>
    <row r="2942" spans="1:21" ht="16.5" customHeight="1">
      <c r="A2942" s="159" t="s">
        <v>2744</v>
      </c>
      <c r="B2942" s="114" t="str">
        <f>VLOOKUP(A2942,'Data pick slip'!B:F,5,FALSE)</f>
        <v>KHJ-MC100-00</v>
      </c>
      <c r="F2942" s="157" t="s">
        <v>2861</v>
      </c>
      <c r="H2942" s="138">
        <v>1343</v>
      </c>
      <c r="I2942" s="139" t="str">
        <f>VLOOKUP(H2942,Stock_list!A:R,18,FALSE)</f>
        <v>精德鸿</v>
      </c>
      <c r="J2942" s="139" t="str">
        <f>VLOOKUP(H2942,Stock_list!A:S,17,FALSE)</f>
        <v>C49SZX20210118R1JY</v>
      </c>
      <c r="K2942" s="51" t="str">
        <f>VLOOKUP(H2942,Stock_list!A:T,16,FALSE)</f>
        <v>JPY</v>
      </c>
      <c r="L2942" s="4">
        <v>44748</v>
      </c>
      <c r="M2942" s="132">
        <v>95</v>
      </c>
      <c r="P2942" s="4" t="str">
        <f>VLOOKUP(H2942,Stock_list!A:Y,25,FALSE)</f>
        <v>Yes</v>
      </c>
      <c r="Q2942" s="143"/>
      <c r="T2942" s="144"/>
      <c r="U2942" s="145" t="str">
        <f>VLOOKUP(H2942,Stock_list!A:N,14,FALSE)</f>
        <v>JUL 22</v>
      </c>
    </row>
    <row r="2943" spans="1:21" ht="16.5" customHeight="1">
      <c r="A2943" s="159" t="s">
        <v>2744</v>
      </c>
      <c r="B2943" s="114" t="str">
        <f>VLOOKUP(A2943,'Data pick slip'!B:F,5,FALSE)</f>
        <v>KHJ-MC100-00</v>
      </c>
      <c r="F2943" s="157" t="s">
        <v>2753</v>
      </c>
      <c r="H2943" s="138">
        <v>1343</v>
      </c>
      <c r="I2943" s="139" t="str">
        <f>VLOOKUP(H2943,Stock_list!A:R,18,FALSE)</f>
        <v>精德鸿</v>
      </c>
      <c r="J2943" s="139" t="str">
        <f>VLOOKUP(H2943,Stock_list!A:S,17,FALSE)</f>
        <v>C49SZX20210118R1JY</v>
      </c>
      <c r="K2943" s="51" t="str">
        <f>VLOOKUP(H2943,Stock_list!A:T,16,FALSE)</f>
        <v>JPY</v>
      </c>
      <c r="L2943" s="4">
        <v>44336</v>
      </c>
      <c r="O2943" s="132">
        <f>50-50</f>
        <v>0</v>
      </c>
      <c r="P2943" s="4" t="str">
        <f>VLOOKUP(H2943,Stock_list!A:Y,25,FALSE)</f>
        <v>Yes</v>
      </c>
      <c r="Q2943" s="143"/>
      <c r="T2943" s="144"/>
      <c r="U2943" s="145" t="str">
        <f>VLOOKUP(H2943,Stock_list!A:N,14,FALSE)</f>
        <v>JUL 22</v>
      </c>
    </row>
    <row r="2944" spans="1:21" ht="16.5" customHeight="1">
      <c r="A2944" s="159" t="s">
        <v>2747</v>
      </c>
      <c r="B2944" s="114" t="str">
        <f>VLOOKUP(A2944,'Data pick slip'!B:F,5,FALSE)</f>
        <v>KHJ-MC200-00</v>
      </c>
      <c r="F2944" s="157" t="s">
        <v>1381</v>
      </c>
      <c r="H2944" s="138">
        <v>1343</v>
      </c>
      <c r="I2944" s="139" t="str">
        <f>VLOOKUP(H2944,Stock_list!A:R,18,FALSE)</f>
        <v>精德鸿</v>
      </c>
      <c r="J2944" s="139" t="str">
        <f>VLOOKUP(H2944,Stock_list!A:S,17,FALSE)</f>
        <v>C49SZX20210118R1JY</v>
      </c>
      <c r="K2944" s="51" t="str">
        <f>VLOOKUP(H2944,Stock_list!A:T,16,FALSE)</f>
        <v>JPY</v>
      </c>
      <c r="L2944" s="4">
        <v>44748</v>
      </c>
      <c r="M2944" s="132">
        <v>15</v>
      </c>
      <c r="P2944" s="4" t="str">
        <f>VLOOKUP(H2944,Stock_list!A:Y,25,FALSE)</f>
        <v>Yes</v>
      </c>
      <c r="Q2944" s="143"/>
      <c r="T2944" s="144"/>
      <c r="U2944" s="145" t="str">
        <f>VLOOKUP(H2944,Stock_list!A:N,14,FALSE)</f>
        <v>JUL 22</v>
      </c>
    </row>
    <row r="2945" spans="1:21" ht="16.5" customHeight="1">
      <c r="A2945" s="159" t="s">
        <v>2744</v>
      </c>
      <c r="B2945" s="114" t="str">
        <f>VLOOKUP(A2945,'Data pick slip'!B:F,5,FALSE)</f>
        <v>KHJ-MC100-00</v>
      </c>
      <c r="F2945" s="157" t="s">
        <v>1381</v>
      </c>
      <c r="H2945" s="138">
        <v>1346</v>
      </c>
      <c r="I2945" s="139" t="str">
        <f>VLOOKUP(H2945,Stock_list!A:R,18,FALSE)</f>
        <v>海松微(此相机是C49SZX20210062JY相机）</v>
      </c>
      <c r="J2945" s="139" t="str">
        <f>VLOOKUP(H2945,Stock_list!A:S,17,FALSE)</f>
        <v>C49SZX20210120R1JY</v>
      </c>
      <c r="K2945" s="51" t="str">
        <f>VLOOKUP(H2945,Stock_list!A:T,16,FALSE)</f>
        <v>JPY</v>
      </c>
      <c r="L2945" s="4">
        <v>44428</v>
      </c>
      <c r="M2945" s="132">
        <v>40</v>
      </c>
      <c r="P2945" s="4" t="str">
        <f>VLOOKUP(H2945,Stock_list!A:Y,25,FALSE)</f>
        <v>Yes</v>
      </c>
      <c r="Q2945" s="143"/>
      <c r="T2945" s="144"/>
      <c r="U2945" s="145" t="str">
        <f>VLOOKUP(H2945,Stock_list!A:N,14,FALSE)</f>
        <v>AUG 21</v>
      </c>
    </row>
    <row r="2946" spans="1:21" ht="16.5" customHeight="1">
      <c r="A2946" s="159" t="s">
        <v>2747</v>
      </c>
      <c r="B2946" s="114" t="str">
        <f>VLOOKUP(A2946,'Data pick slip'!B:F,5,FALSE)</f>
        <v>KHJ-MC200-00</v>
      </c>
      <c r="F2946" s="157" t="s">
        <v>1381</v>
      </c>
      <c r="H2946" s="138">
        <v>1346</v>
      </c>
      <c r="I2946" s="139" t="str">
        <f>VLOOKUP(H2946,Stock_list!A:R,18,FALSE)</f>
        <v>海松微(此相机是C49SZX20210062JY相机）</v>
      </c>
      <c r="J2946" s="139" t="str">
        <f>VLOOKUP(H2946,Stock_list!A:S,17,FALSE)</f>
        <v>C49SZX20210120R1JY</v>
      </c>
      <c r="K2946" s="51" t="str">
        <f>VLOOKUP(H2946,Stock_list!A:T,16,FALSE)</f>
        <v>JPY</v>
      </c>
      <c r="L2946" s="4">
        <v>44428</v>
      </c>
      <c r="M2946" s="132">
        <v>10</v>
      </c>
      <c r="P2946" s="4" t="str">
        <f>VLOOKUP(H2946,Stock_list!A:Y,25,FALSE)</f>
        <v>Yes</v>
      </c>
      <c r="Q2946" s="143"/>
      <c r="T2946" s="144"/>
      <c r="U2946" s="145" t="str">
        <f>VLOOKUP(H2946,Stock_list!A:N,14,FALSE)</f>
        <v>AUG 21</v>
      </c>
    </row>
    <row r="2947" spans="1:21" ht="16.5" customHeight="1">
      <c r="A2947" s="159" t="s">
        <v>2744</v>
      </c>
      <c r="B2947" s="114" t="str">
        <f>VLOOKUP(A2947,'Data pick slip'!B:F,5,FALSE)</f>
        <v>KHJ-MC100-00</v>
      </c>
      <c r="F2947" s="157" t="s">
        <v>1381</v>
      </c>
      <c r="I2947" s="269" t="s">
        <v>3413</v>
      </c>
      <c r="J2947" s="139" t="s">
        <v>3431</v>
      </c>
      <c r="K2947" s="51" t="s">
        <v>1246</v>
      </c>
      <c r="L2947" s="4">
        <v>44308</v>
      </c>
      <c r="M2947" s="140">
        <v>50</v>
      </c>
      <c r="P2947" s="4" t="s">
        <v>291</v>
      </c>
      <c r="Q2947" s="143"/>
      <c r="T2947" s="144"/>
      <c r="U2947" s="145" t="e">
        <f>VLOOKUP(H2947,Stock_list!A:N,14,FALSE)</f>
        <v>#N/A</v>
      </c>
    </row>
    <row r="2948" spans="1:21" ht="16.5" customHeight="1">
      <c r="A2948" s="159" t="s">
        <v>2747</v>
      </c>
      <c r="B2948" s="114" t="str">
        <f>VLOOKUP(A2948,'Data pick slip'!B:F,5,FALSE)</f>
        <v>KHJ-MC200-00</v>
      </c>
      <c r="F2948" s="157" t="s">
        <v>1381</v>
      </c>
      <c r="I2948" s="269" t="s">
        <v>3413</v>
      </c>
      <c r="J2948" s="139" t="s">
        <v>3431</v>
      </c>
      <c r="K2948" s="51" t="s">
        <v>1246</v>
      </c>
      <c r="L2948" s="4">
        <v>44308</v>
      </c>
      <c r="M2948" s="140">
        <v>20</v>
      </c>
      <c r="P2948" s="4" t="s">
        <v>291</v>
      </c>
      <c r="Q2948" s="143"/>
      <c r="T2948" s="144"/>
      <c r="U2948" s="145" t="e">
        <f>VLOOKUP(H2948,Stock_list!A:N,14,FALSE)</f>
        <v>#N/A</v>
      </c>
    </row>
    <row r="2949" spans="1:21" ht="16.5" customHeight="1">
      <c r="A2949" s="159" t="s">
        <v>2744</v>
      </c>
      <c r="B2949" s="114" t="str">
        <f>VLOOKUP(A2949,'Data pick slip'!B:F,5,FALSE)</f>
        <v>KHJ-MC100-00</v>
      </c>
      <c r="F2949" s="157" t="s">
        <v>1381</v>
      </c>
      <c r="I2949" s="269" t="s">
        <v>3413</v>
      </c>
      <c r="J2949" s="139" t="s">
        <v>3432</v>
      </c>
      <c r="K2949" s="51" t="s">
        <v>1246</v>
      </c>
      <c r="L2949" s="4">
        <v>44312</v>
      </c>
      <c r="M2949" s="140">
        <v>72</v>
      </c>
      <c r="P2949" s="4" t="s">
        <v>291</v>
      </c>
      <c r="Q2949" s="143"/>
      <c r="T2949" s="144"/>
      <c r="U2949" s="145" t="e">
        <f>VLOOKUP(H2949,Stock_list!A:N,14,FALSE)</f>
        <v>#N/A</v>
      </c>
    </row>
    <row r="2950" spans="1:21" ht="16.5" customHeight="1">
      <c r="A2950" s="159" t="s">
        <v>2747</v>
      </c>
      <c r="B2950" s="114" t="str">
        <f>VLOOKUP(A2950,'Data pick slip'!B:F,5,FALSE)</f>
        <v>KHJ-MC200-00</v>
      </c>
      <c r="F2950" s="157" t="s">
        <v>1381</v>
      </c>
      <c r="I2950" s="269" t="s">
        <v>3413</v>
      </c>
      <c r="J2950" s="139" t="s">
        <v>3432</v>
      </c>
      <c r="K2950" s="51" t="s">
        <v>1246</v>
      </c>
      <c r="L2950" s="4">
        <v>44312</v>
      </c>
      <c r="M2950" s="140">
        <v>34</v>
      </c>
      <c r="P2950" s="4" t="s">
        <v>291</v>
      </c>
      <c r="Q2950" s="143"/>
      <c r="T2950" s="144"/>
      <c r="U2950" s="145" t="e">
        <f>VLOOKUP(H2950,Stock_list!A:N,14,FALSE)</f>
        <v>#N/A</v>
      </c>
    </row>
    <row r="2951" spans="1:21" ht="16.5" customHeight="1">
      <c r="A2951" s="159" t="s">
        <v>2755</v>
      </c>
      <c r="B2951" s="114" t="str">
        <f>VLOOKUP(A2951,'Data pick slip'!B:F,5,FALSE)</f>
        <v>KLJ-MC100-00</v>
      </c>
      <c r="F2951" s="157" t="s">
        <v>1381</v>
      </c>
      <c r="I2951" s="269" t="s">
        <v>3413</v>
      </c>
      <c r="J2951" s="139" t="s">
        <v>3432</v>
      </c>
      <c r="K2951" s="51" t="s">
        <v>1246</v>
      </c>
      <c r="L2951" s="4">
        <v>44312</v>
      </c>
      <c r="M2951" s="140">
        <v>50</v>
      </c>
      <c r="P2951" s="4" t="s">
        <v>291</v>
      </c>
      <c r="Q2951" s="143"/>
      <c r="T2951" s="144"/>
      <c r="U2951" s="145" t="e">
        <f>VLOOKUP(H2951,Stock_list!A:N,14,FALSE)</f>
        <v>#N/A</v>
      </c>
    </row>
    <row r="2952" spans="1:21" ht="16.5" customHeight="1">
      <c r="A2952" s="159" t="s">
        <v>2756</v>
      </c>
      <c r="B2952" s="114" t="str">
        <f>VLOOKUP(A2952,'Data pick slip'!B:F,5,FALSE)</f>
        <v>KLJ-MC200-00</v>
      </c>
      <c r="F2952" s="157" t="s">
        <v>1381</v>
      </c>
      <c r="I2952" s="269" t="s">
        <v>3413</v>
      </c>
      <c r="J2952" s="139" t="s">
        <v>3432</v>
      </c>
      <c r="K2952" s="51" t="s">
        <v>1246</v>
      </c>
      <c r="L2952" s="4">
        <v>44312</v>
      </c>
      <c r="M2952" s="140">
        <v>20</v>
      </c>
      <c r="P2952" s="4" t="s">
        <v>291</v>
      </c>
      <c r="Q2952" s="143"/>
      <c r="T2952" s="144"/>
      <c r="U2952" s="145" t="e">
        <f>VLOOKUP(H2952,Stock_list!A:N,14,FALSE)</f>
        <v>#N/A</v>
      </c>
    </row>
    <row r="2953" spans="1:21" ht="16.5" customHeight="1">
      <c r="A2953" s="159" t="s">
        <v>2757</v>
      </c>
      <c r="B2953" s="114" t="str">
        <f>VLOOKUP(A2953,'Data pick slip'!B:F,5,FALSE)</f>
        <v>KLJ-MC400-00</v>
      </c>
      <c r="F2953" s="157" t="s">
        <v>1381</v>
      </c>
      <c r="I2953" s="269" t="s">
        <v>3413</v>
      </c>
      <c r="J2953" s="139" t="s">
        <v>3432</v>
      </c>
      <c r="K2953" s="51" t="s">
        <v>1246</v>
      </c>
      <c r="L2953" s="4">
        <v>44312</v>
      </c>
      <c r="M2953" s="140">
        <v>18</v>
      </c>
      <c r="P2953" s="4" t="s">
        <v>291</v>
      </c>
      <c r="Q2953" s="143"/>
      <c r="T2953" s="144"/>
      <c r="U2953" s="145" t="e">
        <f>VLOOKUP(H2953,Stock_list!A:N,14,FALSE)</f>
        <v>#N/A</v>
      </c>
    </row>
    <row r="2954" spans="1:21" ht="16.5" customHeight="1">
      <c r="A2954" s="159" t="s">
        <v>2758</v>
      </c>
      <c r="B2954" s="114" t="str">
        <f>VLOOKUP(A2954,'Data pick slip'!B:F,5,FALSE)</f>
        <v>KLJ-MC500-00</v>
      </c>
      <c r="F2954" s="157" t="s">
        <v>1381</v>
      </c>
      <c r="I2954" s="269" t="s">
        <v>3413</v>
      </c>
      <c r="J2954" s="139" t="s">
        <v>3432</v>
      </c>
      <c r="K2954" s="51" t="s">
        <v>1246</v>
      </c>
      <c r="L2954" s="4">
        <v>44312</v>
      </c>
      <c r="M2954" s="140">
        <v>10</v>
      </c>
      <c r="P2954" s="4" t="s">
        <v>291</v>
      </c>
      <c r="Q2954" s="143"/>
      <c r="T2954" s="144"/>
      <c r="U2954" s="145" t="e">
        <f>VLOOKUP(H2954,Stock_list!A:N,14,FALSE)</f>
        <v>#N/A</v>
      </c>
    </row>
    <row r="2955" spans="1:21" ht="16.5" customHeight="1">
      <c r="A2955" s="159" t="s">
        <v>2759</v>
      </c>
      <c r="B2955" s="114" t="str">
        <f>VLOOKUP(A2955,'Data pick slip'!B:F,5,FALSE)</f>
        <v>KLJ-MC600-00</v>
      </c>
      <c r="F2955" s="157" t="s">
        <v>1381</v>
      </c>
      <c r="I2955" s="269" t="s">
        <v>3413</v>
      </c>
      <c r="J2955" s="139" t="s">
        <v>3432</v>
      </c>
      <c r="K2955" s="51" t="s">
        <v>1246</v>
      </c>
      <c r="L2955" s="4">
        <v>44312</v>
      </c>
      <c r="M2955" s="140">
        <v>5</v>
      </c>
      <c r="P2955" s="4" t="s">
        <v>291</v>
      </c>
      <c r="Q2955" s="143"/>
      <c r="T2955" s="144"/>
      <c r="U2955" s="145" t="e">
        <f>VLOOKUP(H2955,Stock_list!A:N,14,FALSE)</f>
        <v>#N/A</v>
      </c>
    </row>
    <row r="2956" spans="1:21" ht="16.5" customHeight="1">
      <c r="A2956" s="159" t="s">
        <v>2744</v>
      </c>
      <c r="B2956" s="114" t="str">
        <f>VLOOKUP(A2956,'Data pick slip'!B:F,5,FALSE)</f>
        <v>KHJ-MC100-00</v>
      </c>
      <c r="F2956" s="157" t="s">
        <v>1381</v>
      </c>
      <c r="H2956" s="138">
        <v>1350</v>
      </c>
      <c r="I2956" s="139" t="str">
        <f>VLOOKUP(H2956,Stock_list!A:R,18,FALSE)</f>
        <v>小婉牛</v>
      </c>
      <c r="J2956" s="139" t="str">
        <f>VLOOKUP(H2956,Stock_list!A:S,17,FALSE)</f>
        <v>C49SZX20210124JL</v>
      </c>
      <c r="K2956" s="51" t="str">
        <f>VLOOKUP(H2956,Stock_list!A:T,16,FALSE)</f>
        <v>JPY</v>
      </c>
      <c r="L2956" s="4">
        <v>44354</v>
      </c>
      <c r="M2956" s="132">
        <v>20</v>
      </c>
      <c r="P2956" s="4" t="str">
        <f>VLOOKUP(H2956,Stock_list!A:Y,25,FALSE)</f>
        <v>Yes</v>
      </c>
      <c r="Q2956" s="143"/>
      <c r="T2956" s="144"/>
      <c r="U2956" s="145" t="str">
        <f>VLOOKUP(H2956,Stock_list!A:N,14,FALSE)</f>
        <v>JUN 21</v>
      </c>
    </row>
    <row r="2957" spans="1:21" ht="16.5" customHeight="1">
      <c r="A2957" s="159" t="s">
        <v>2747</v>
      </c>
      <c r="B2957" s="114" t="str">
        <f>VLOOKUP(A2957,'Data pick slip'!B:F,5,FALSE)</f>
        <v>KHJ-MC200-00</v>
      </c>
      <c r="F2957" s="157" t="s">
        <v>1381</v>
      </c>
      <c r="H2957" s="138">
        <v>1350</v>
      </c>
      <c r="I2957" s="139" t="str">
        <f>VLOOKUP(H2957,Stock_list!A:R,18,FALSE)</f>
        <v>小婉牛</v>
      </c>
      <c r="J2957" s="139" t="str">
        <f>VLOOKUP(H2957,Stock_list!A:S,17,FALSE)</f>
        <v>C49SZX20210124JL</v>
      </c>
      <c r="K2957" s="51" t="str">
        <f>VLOOKUP(H2957,Stock_list!A:T,16,FALSE)</f>
        <v>JPY</v>
      </c>
      <c r="L2957" s="4">
        <v>44354</v>
      </c>
      <c r="M2957" s="132">
        <v>5</v>
      </c>
      <c r="P2957" s="4" t="str">
        <f>VLOOKUP(H2957,Stock_list!A:Y,25,FALSE)</f>
        <v>Yes</v>
      </c>
      <c r="Q2957" s="143"/>
      <c r="T2957" s="144"/>
      <c r="U2957" s="145" t="str">
        <f>VLOOKUP(H2957,Stock_list!A:N,14,FALSE)</f>
        <v>JUN 21</v>
      </c>
    </row>
    <row r="2958" spans="1:21" ht="16.5" customHeight="1">
      <c r="A2958" s="159" t="s">
        <v>2748</v>
      </c>
      <c r="B2958" s="114" t="str">
        <f>VLOOKUP(A2958,'Data pick slip'!B:F,5,FALSE)</f>
        <v>KHJ-MC400-00</v>
      </c>
      <c r="F2958" s="157" t="s">
        <v>1381</v>
      </c>
      <c r="H2958" s="138">
        <v>1350</v>
      </c>
      <c r="I2958" s="139" t="str">
        <f>VLOOKUP(H2958,Stock_list!A:R,18,FALSE)</f>
        <v>小婉牛</v>
      </c>
      <c r="J2958" s="139" t="str">
        <f>VLOOKUP(H2958,Stock_list!A:S,17,FALSE)</f>
        <v>C49SZX20210124JL</v>
      </c>
      <c r="K2958" s="51" t="str">
        <f>VLOOKUP(H2958,Stock_list!A:T,16,FALSE)</f>
        <v>JPY</v>
      </c>
      <c r="L2958" s="4">
        <v>44354</v>
      </c>
      <c r="M2958" s="132">
        <v>2</v>
      </c>
      <c r="P2958" s="4" t="str">
        <f>VLOOKUP(H2958,Stock_list!A:Y,25,FALSE)</f>
        <v>Yes</v>
      </c>
      <c r="Q2958" s="143"/>
      <c r="T2958" s="144"/>
      <c r="U2958" s="145" t="str">
        <f>VLOOKUP(H2958,Stock_list!A:N,14,FALSE)</f>
        <v>JUN 21</v>
      </c>
    </row>
    <row r="2959" spans="1:21" ht="16.5" customHeight="1">
      <c r="A2959" s="159" t="s">
        <v>2744</v>
      </c>
      <c r="B2959" s="114" t="str">
        <f>VLOOKUP(A2959,'Data pick slip'!B:F,5,FALSE)</f>
        <v>KHJ-MC100-00</v>
      </c>
      <c r="F2959" s="157" t="s">
        <v>1381</v>
      </c>
      <c r="H2959" s="138">
        <v>1353</v>
      </c>
      <c r="I2959" s="139" t="str">
        <f>VLOOKUP(H2959,Stock_list!A:R,18,FALSE)</f>
        <v>睿昌</v>
      </c>
      <c r="J2959" s="139" t="str">
        <f>VLOOKUP(H2959,Stock_list!A:S,17,FALSE)</f>
        <v>C49SZX20210132VG</v>
      </c>
      <c r="K2959" s="51" t="str">
        <f>VLOOKUP(H2959,Stock_list!A:T,16,FALSE)</f>
        <v>JPY</v>
      </c>
      <c r="L2959" s="4">
        <v>44571</v>
      </c>
      <c r="M2959" s="140">
        <v>25</v>
      </c>
      <c r="P2959" s="4" t="str">
        <f>VLOOKUP(H2959,Stock_list!A:Y,25,FALSE)</f>
        <v>Yes</v>
      </c>
      <c r="Q2959" s="143"/>
      <c r="T2959" s="144"/>
      <c r="U2959" s="145" t="str">
        <f>VLOOKUP(H2959,Stock_list!A:N,14,FALSE)</f>
        <v>JAN 22</v>
      </c>
    </row>
    <row r="2960" spans="1:21" ht="16.5" customHeight="1">
      <c r="A2960" s="159" t="s">
        <v>2744</v>
      </c>
      <c r="B2960" s="114" t="str">
        <f>VLOOKUP(A2960,'Data pick slip'!B:F,5,FALSE)</f>
        <v>KHJ-MC100-00</v>
      </c>
      <c r="F2960" s="157" t="s">
        <v>2753</v>
      </c>
      <c r="I2960" s="139" t="s">
        <v>3286</v>
      </c>
      <c r="J2960" s="270" t="s">
        <v>3433</v>
      </c>
      <c r="K2960" s="51" t="s">
        <v>1246</v>
      </c>
      <c r="L2960" s="4">
        <v>44316</v>
      </c>
      <c r="M2960" s="140">
        <v>15</v>
      </c>
      <c r="P2960" s="4" t="s">
        <v>291</v>
      </c>
      <c r="Q2960" s="143"/>
      <c r="T2960" s="144"/>
      <c r="U2960" s="145" t="e">
        <f>VLOOKUP(H2960,Stock_list!A:N,14,FALSE)</f>
        <v>#N/A</v>
      </c>
    </row>
    <row r="2961" spans="1:21" ht="16.5" customHeight="1">
      <c r="A2961" s="159" t="s">
        <v>2750</v>
      </c>
      <c r="B2961" s="114" t="str">
        <f>VLOOKUP(A2961,'Data pick slip'!B:F,5,FALSE)</f>
        <v>KHJ-MC600-00</v>
      </c>
      <c r="F2961" s="157" t="s">
        <v>2753</v>
      </c>
      <c r="I2961" s="139" t="s">
        <v>3099</v>
      </c>
      <c r="J2961" s="139" t="s">
        <v>3434</v>
      </c>
      <c r="K2961" s="51" t="s">
        <v>1246</v>
      </c>
      <c r="L2961" s="4">
        <v>44314</v>
      </c>
      <c r="M2961" s="140">
        <v>1</v>
      </c>
      <c r="P2961" s="4" t="s">
        <v>291</v>
      </c>
      <c r="Q2961" s="143"/>
      <c r="T2961" s="144"/>
      <c r="U2961" s="145" t="e">
        <f>VLOOKUP(H2961,Stock_list!A:N,14,FALSE)</f>
        <v>#N/A</v>
      </c>
    </row>
    <row r="2962" spans="1:21" ht="16.5" customHeight="1">
      <c r="A2962" s="159" t="s">
        <v>2744</v>
      </c>
      <c r="B2962" s="114" t="str">
        <f>VLOOKUP(A2962,'Data pick slip'!B:F,5,FALSE)</f>
        <v>KHJ-MC100-00</v>
      </c>
      <c r="F2962" s="157" t="s">
        <v>1381</v>
      </c>
      <c r="H2962" s="138">
        <v>1354</v>
      </c>
      <c r="I2962" s="139" t="str">
        <f>VLOOKUP(H2962,Stock_list!A:R,18,FALSE)</f>
        <v>海红天远</v>
      </c>
      <c r="J2962" s="139" t="str">
        <f>VLOOKUP(H2962,Stock_list!A:S,17,FALSE)</f>
        <v>C49SZX20210133EC</v>
      </c>
      <c r="K2962" s="51" t="str">
        <f>VLOOKUP(H2962,Stock_list!A:T,16,FALSE)</f>
        <v>JPY</v>
      </c>
      <c r="L2962" s="4">
        <v>44530</v>
      </c>
      <c r="M2962" s="143">
        <v>200</v>
      </c>
      <c r="P2962" s="4" t="str">
        <f>VLOOKUP(H2962,Stock_list!A:Y,25,FALSE)</f>
        <v>Yes</v>
      </c>
      <c r="T2962" s="144"/>
      <c r="U2962" s="145" t="str">
        <f>VLOOKUP(H2962,Stock_list!A:N,14,FALSE)</f>
        <v>NOV 21</v>
      </c>
    </row>
    <row r="2963" spans="1:21" ht="16.5" customHeight="1">
      <c r="A2963" s="159" t="s">
        <v>2747</v>
      </c>
      <c r="B2963" s="114" t="str">
        <f>VLOOKUP(A2963,'Data pick slip'!B:F,5,FALSE)</f>
        <v>KHJ-MC200-00</v>
      </c>
      <c r="F2963" s="157" t="s">
        <v>1381</v>
      </c>
      <c r="H2963" s="138">
        <v>1354</v>
      </c>
      <c r="I2963" s="139" t="str">
        <f>VLOOKUP(H2963,Stock_list!A:R,18,FALSE)</f>
        <v>海红天远</v>
      </c>
      <c r="J2963" s="139" t="str">
        <f>VLOOKUP(H2963,Stock_list!A:S,17,FALSE)</f>
        <v>C49SZX20210133EC</v>
      </c>
      <c r="K2963" s="51" t="str">
        <f>VLOOKUP(H2963,Stock_list!A:T,16,FALSE)</f>
        <v>JPY</v>
      </c>
      <c r="L2963" s="4">
        <v>44530</v>
      </c>
      <c r="M2963" s="143">
        <v>60</v>
      </c>
      <c r="P2963" s="4" t="str">
        <f>VLOOKUP(H2963,Stock_list!A:Y,25,FALSE)</f>
        <v>Yes</v>
      </c>
      <c r="T2963" s="144"/>
      <c r="U2963" s="145" t="str">
        <f>VLOOKUP(H2963,Stock_list!A:N,14,FALSE)</f>
        <v>NOV 21</v>
      </c>
    </row>
    <row r="2964" spans="1:21" ht="16.5" customHeight="1">
      <c r="A2964" s="159" t="s">
        <v>2748</v>
      </c>
      <c r="B2964" s="114" t="str">
        <f>VLOOKUP(A2964,'Data pick slip'!B:F,5,FALSE)</f>
        <v>KHJ-MC400-00</v>
      </c>
      <c r="F2964" s="157" t="s">
        <v>1381</v>
      </c>
      <c r="H2964" s="138">
        <v>1354</v>
      </c>
      <c r="I2964" s="139" t="str">
        <f>VLOOKUP(H2964,Stock_list!A:R,18,FALSE)</f>
        <v>海红天远</v>
      </c>
      <c r="J2964" s="139" t="str">
        <f>VLOOKUP(H2964,Stock_list!A:S,17,FALSE)</f>
        <v>C49SZX20210133EC</v>
      </c>
      <c r="K2964" s="51" t="str">
        <f>VLOOKUP(H2964,Stock_list!A:T,16,FALSE)</f>
        <v>JPY</v>
      </c>
      <c r="L2964" s="4">
        <v>44530</v>
      </c>
      <c r="M2964" s="143">
        <v>10</v>
      </c>
      <c r="P2964" s="4" t="str">
        <f>VLOOKUP(H2964,Stock_list!A:Y,25,FALSE)</f>
        <v>Yes</v>
      </c>
      <c r="T2964" s="144"/>
      <c r="U2964" s="145" t="str">
        <f>VLOOKUP(H2964,Stock_list!A:N,14,FALSE)</f>
        <v>NOV 21</v>
      </c>
    </row>
    <row r="2965" spans="1:21" ht="16.5" customHeight="1">
      <c r="A2965" s="159" t="s">
        <v>2744</v>
      </c>
      <c r="B2965" s="114" t="str">
        <f>VLOOKUP(A2965,'Data pick slip'!B:F,5,FALSE)</f>
        <v>KHJ-MC100-00</v>
      </c>
      <c r="F2965" s="157" t="s">
        <v>1381</v>
      </c>
      <c r="H2965" s="138">
        <v>1358</v>
      </c>
      <c r="I2965" s="139" t="str">
        <f>VLOOKUP(H2965,Stock_list!A:R,18,FALSE)</f>
        <v>深圳健科</v>
      </c>
      <c r="J2965" s="139" t="str">
        <f>VLOOKUP(H2965,Stock_list!A:S,17,FALSE)</f>
        <v>C49SZX20210122DZ</v>
      </c>
      <c r="K2965" s="51" t="str">
        <f>VLOOKUP(H2965,Stock_list!A:T,16,FALSE)</f>
        <v>JPY</v>
      </c>
      <c r="L2965" s="4">
        <v>44488</v>
      </c>
      <c r="M2965" s="140">
        <v>120</v>
      </c>
      <c r="P2965" s="4" t="str">
        <f>VLOOKUP(H2965,Stock_list!A:Y,25,FALSE)</f>
        <v>Yes</v>
      </c>
      <c r="Q2965" s="143"/>
      <c r="T2965" s="144"/>
      <c r="U2965" s="145" t="str">
        <f>VLOOKUP(H2965,Stock_list!A:N,14,FALSE)</f>
        <v>OCT 21</v>
      </c>
    </row>
    <row r="2966" spans="1:21" ht="16.5" customHeight="1">
      <c r="A2966" s="159" t="s">
        <v>2747</v>
      </c>
      <c r="B2966" s="114" t="str">
        <f>VLOOKUP(A2966,'Data pick slip'!B:F,5,FALSE)</f>
        <v>KHJ-MC200-00</v>
      </c>
      <c r="F2966" s="157" t="s">
        <v>1381</v>
      </c>
      <c r="H2966" s="138">
        <v>1358</v>
      </c>
      <c r="I2966" s="139" t="str">
        <f>VLOOKUP(H2966,Stock_list!A:R,18,FALSE)</f>
        <v>深圳健科</v>
      </c>
      <c r="J2966" s="139" t="str">
        <f>VLOOKUP(H2966,Stock_list!A:S,17,FALSE)</f>
        <v>C49SZX20210122DZ</v>
      </c>
      <c r="K2966" s="51" t="str">
        <f>VLOOKUP(H2966,Stock_list!A:T,16,FALSE)</f>
        <v>JPY</v>
      </c>
      <c r="L2966" s="4">
        <v>44488</v>
      </c>
      <c r="M2966" s="140">
        <v>20</v>
      </c>
      <c r="P2966" s="4" t="str">
        <f>VLOOKUP(H2966,Stock_list!A:Y,25,FALSE)</f>
        <v>Yes</v>
      </c>
      <c r="Q2966" s="143"/>
      <c r="T2966" s="144"/>
      <c r="U2966" s="145" t="str">
        <f>VLOOKUP(H2966,Stock_list!A:N,14,FALSE)</f>
        <v>OCT 21</v>
      </c>
    </row>
    <row r="2967" spans="1:21" ht="16.5" customHeight="1">
      <c r="A2967" s="159" t="s">
        <v>2748</v>
      </c>
      <c r="B2967" s="114" t="str">
        <f>VLOOKUP(A2967,'Data pick slip'!B:F,5,FALSE)</f>
        <v>KHJ-MC400-00</v>
      </c>
      <c r="F2967" s="157" t="s">
        <v>1381</v>
      </c>
      <c r="H2967" s="138">
        <v>1358</v>
      </c>
      <c r="I2967" s="139" t="str">
        <f>VLOOKUP(H2967,Stock_list!A:R,18,FALSE)</f>
        <v>深圳健科</v>
      </c>
      <c r="J2967" s="139" t="str">
        <f>VLOOKUP(H2967,Stock_list!A:S,17,FALSE)</f>
        <v>C49SZX20210122DZ</v>
      </c>
      <c r="K2967" s="51" t="str">
        <f>VLOOKUP(H2967,Stock_list!A:T,16,FALSE)</f>
        <v>JPY</v>
      </c>
      <c r="L2967" s="4">
        <v>44488</v>
      </c>
      <c r="M2967" s="140">
        <v>4</v>
      </c>
      <c r="P2967" s="4" t="str">
        <f>VLOOKUP(H2967,Stock_list!A:Y,25,FALSE)</f>
        <v>Yes</v>
      </c>
      <c r="Q2967" s="143"/>
      <c r="T2967" s="144"/>
      <c r="U2967" s="145" t="str">
        <f>VLOOKUP(H2967,Stock_list!A:N,14,FALSE)</f>
        <v>OCT 21</v>
      </c>
    </row>
    <row r="2968" spans="1:21" ht="16.5" customHeight="1">
      <c r="A2968" s="159" t="s">
        <v>2744</v>
      </c>
      <c r="B2968" s="114" t="str">
        <f>VLOOKUP(A2968,'Data pick slip'!B:F,5,FALSE)</f>
        <v>KHJ-MC100-00</v>
      </c>
      <c r="F2968" s="157" t="s">
        <v>1381</v>
      </c>
      <c r="H2968" s="138">
        <v>1360</v>
      </c>
      <c r="I2968" s="139" t="str">
        <f>VLOOKUP(H2968,Stock_list!A:R,18,FALSE)</f>
        <v>利速达</v>
      </c>
      <c r="J2968" s="139" t="str">
        <f>VLOOKUP(H2968,Stock_list!A:S,17,FALSE)</f>
        <v>C49SZX20210131SX</v>
      </c>
      <c r="K2968" s="51" t="str">
        <f>VLOOKUP(H2968,Stock_list!A:T,16,FALSE)</f>
        <v>JPY</v>
      </c>
      <c r="L2968" s="4">
        <v>44568</v>
      </c>
      <c r="M2968" s="140">
        <v>30</v>
      </c>
      <c r="P2968" s="4" t="str">
        <f>VLOOKUP(H2968,Stock_list!A:Y,25,FALSE)</f>
        <v>Yes</v>
      </c>
      <c r="Q2968" s="143"/>
      <c r="T2968" s="144"/>
      <c r="U2968" s="145" t="str">
        <f>VLOOKUP(H2968,Stock_list!A:N,14,FALSE)</f>
        <v>JAN 22</v>
      </c>
    </row>
    <row r="2969" spans="1:21" ht="16.5" customHeight="1">
      <c r="A2969" s="159" t="s">
        <v>2747</v>
      </c>
      <c r="B2969" s="114" t="str">
        <f>VLOOKUP(A2969,'Data pick slip'!B:F,5,FALSE)</f>
        <v>KHJ-MC200-00</v>
      </c>
      <c r="F2969" s="157" t="s">
        <v>1381</v>
      </c>
      <c r="H2969" s="138">
        <v>1360</v>
      </c>
      <c r="I2969" s="139" t="str">
        <f>VLOOKUP(H2969,Stock_list!A:R,18,FALSE)</f>
        <v>利速达</v>
      </c>
      <c r="J2969" s="139" t="str">
        <f>VLOOKUP(H2969,Stock_list!A:S,17,FALSE)</f>
        <v>C49SZX20210131SX</v>
      </c>
      <c r="K2969" s="51" t="str">
        <f>VLOOKUP(H2969,Stock_list!A:T,16,FALSE)</f>
        <v>JPY</v>
      </c>
      <c r="L2969" s="4">
        <v>44568</v>
      </c>
      <c r="M2969" s="140">
        <v>4</v>
      </c>
      <c r="P2969" s="4" t="str">
        <f>VLOOKUP(H2969,Stock_list!A:Y,25,FALSE)</f>
        <v>Yes</v>
      </c>
      <c r="Q2969" s="143"/>
      <c r="T2969" s="144"/>
      <c r="U2969" s="145" t="str">
        <f>VLOOKUP(H2969,Stock_list!A:N,14,FALSE)</f>
        <v>JAN 22</v>
      </c>
    </row>
    <row r="2970" spans="1:21" ht="16.5" customHeight="1">
      <c r="A2970" s="159" t="s">
        <v>2747</v>
      </c>
      <c r="B2970" s="114" t="str">
        <f>VLOOKUP(A2970,'Data pick slip'!B:F,5,FALSE)</f>
        <v>KHJ-MC200-00</v>
      </c>
      <c r="F2970" s="157" t="s">
        <v>2753</v>
      </c>
      <c r="H2970" s="138">
        <v>1360</v>
      </c>
      <c r="I2970" s="139" t="str">
        <f>VLOOKUP(H2970,Stock_list!A:R,18,FALSE)</f>
        <v>利速达</v>
      </c>
      <c r="J2970" s="139" t="str">
        <f>VLOOKUP(H2970,Stock_list!A:S,17,FALSE)</f>
        <v>C49SZX20210131SX</v>
      </c>
      <c r="K2970" s="51" t="str">
        <f>VLOOKUP(H2970,Stock_list!A:T,16,FALSE)</f>
        <v>JPY</v>
      </c>
      <c r="L2970" s="4">
        <v>44435</v>
      </c>
      <c r="O2970" s="132">
        <f>4-4</f>
        <v>0</v>
      </c>
      <c r="P2970" s="4" t="str">
        <f>VLOOKUP(H2970,Stock_list!A:Y,25,FALSE)</f>
        <v>Yes</v>
      </c>
      <c r="Q2970" s="143"/>
      <c r="T2970" s="144"/>
      <c r="U2970" s="145" t="str">
        <f>VLOOKUP(H2970,Stock_list!A:N,14,FALSE)</f>
        <v>JAN 22</v>
      </c>
    </row>
    <row r="2971" spans="1:21" ht="16.5" customHeight="1">
      <c r="A2971" s="159" t="s">
        <v>2747</v>
      </c>
      <c r="B2971" s="114" t="str">
        <f>VLOOKUP(A2971,'Data pick slip'!B:F,5,FALSE)</f>
        <v>KHJ-MC200-00</v>
      </c>
      <c r="F2971" s="157" t="s">
        <v>1381</v>
      </c>
      <c r="H2971" s="138">
        <v>1351</v>
      </c>
      <c r="I2971" s="139" t="str">
        <f>VLOOKUP(H2971,Stock_list!A:R,18,FALSE)</f>
        <v>四方信达</v>
      </c>
      <c r="J2971" s="139" t="str">
        <f>VLOOKUP(H2971,Stock_list!A:S,17,FALSE)</f>
        <v>C49SZX20210123JY</v>
      </c>
      <c r="K2971" s="51" t="str">
        <f>VLOOKUP(H2971,Stock_list!A:T,16,FALSE)</f>
        <v>JPY</v>
      </c>
      <c r="L2971" s="4">
        <v>44354</v>
      </c>
      <c r="M2971" s="132">
        <v>3</v>
      </c>
      <c r="P2971" s="4" t="str">
        <f>VLOOKUP(H2971,Stock_list!A:Y,25,FALSE)</f>
        <v>Yes</v>
      </c>
      <c r="Q2971" s="143"/>
      <c r="T2971" s="144"/>
      <c r="U2971" s="145" t="str">
        <f>VLOOKUP(H2971,Stock_list!A:N,14,FALSE)</f>
        <v>JUN 21</v>
      </c>
    </row>
    <row r="2972" spans="1:21" ht="16.5" customHeight="1">
      <c r="A2972" s="159" t="s">
        <v>2744</v>
      </c>
      <c r="B2972" s="114" t="str">
        <f>VLOOKUP(A2972,'Data pick slip'!B:F,5,FALSE)</f>
        <v>KHJ-MC100-00</v>
      </c>
      <c r="F2972" s="157" t="s">
        <v>2753</v>
      </c>
      <c r="I2972" s="139" t="s">
        <v>3093</v>
      </c>
      <c r="J2972" s="267" t="s">
        <v>3435</v>
      </c>
      <c r="K2972" s="51" t="s">
        <v>1246</v>
      </c>
      <c r="L2972" s="4">
        <v>44327</v>
      </c>
      <c r="M2972" s="140">
        <v>40</v>
      </c>
      <c r="P2972" s="4" t="s">
        <v>291</v>
      </c>
      <c r="Q2972" s="143"/>
      <c r="T2972" s="144"/>
      <c r="U2972" s="145" t="e">
        <f>VLOOKUP(H2972,Stock_list!A:N,14,FALSE)</f>
        <v>#N/A</v>
      </c>
    </row>
    <row r="2973" spans="1:21" ht="16.5" customHeight="1">
      <c r="A2973" s="159" t="s">
        <v>2747</v>
      </c>
      <c r="B2973" s="114" t="str">
        <f>VLOOKUP(A2973,'Data pick slip'!B:F,5,FALSE)</f>
        <v>KHJ-MC200-00</v>
      </c>
      <c r="F2973" s="157" t="s">
        <v>2753</v>
      </c>
      <c r="I2973" s="139" t="s">
        <v>3093</v>
      </c>
      <c r="J2973" s="267" t="s">
        <v>3435</v>
      </c>
      <c r="K2973" s="51" t="s">
        <v>1246</v>
      </c>
      <c r="L2973" s="4">
        <v>44327</v>
      </c>
      <c r="M2973" s="140">
        <v>19</v>
      </c>
      <c r="P2973" s="4" t="s">
        <v>291</v>
      </c>
      <c r="Q2973" s="143"/>
      <c r="T2973" s="144"/>
      <c r="U2973" s="145" t="e">
        <f>VLOOKUP(H2973,Stock_list!A:N,14,FALSE)</f>
        <v>#N/A</v>
      </c>
    </row>
    <row r="2974" spans="1:21" ht="16.5" customHeight="1">
      <c r="A2974" s="159" t="s">
        <v>2749</v>
      </c>
      <c r="B2974" s="114" t="str">
        <f>VLOOKUP(A2974,'Data pick slip'!B:F,5,FALSE)</f>
        <v>KHJ-MC500-00</v>
      </c>
      <c r="F2974" s="157" t="s">
        <v>2753</v>
      </c>
      <c r="I2974" s="139" t="s">
        <v>3093</v>
      </c>
      <c r="J2974" s="267" t="s">
        <v>3435</v>
      </c>
      <c r="K2974" s="51" t="s">
        <v>1246</v>
      </c>
      <c r="L2974" s="4">
        <v>44327</v>
      </c>
      <c r="M2974" s="140">
        <v>1</v>
      </c>
      <c r="P2974" s="4" t="s">
        <v>291</v>
      </c>
      <c r="Q2974" s="143"/>
      <c r="T2974" s="144"/>
      <c r="U2974" s="145" t="e">
        <f>VLOOKUP(H2974,Stock_list!A:N,14,FALSE)</f>
        <v>#N/A</v>
      </c>
    </row>
    <row r="2975" spans="1:21" ht="16.5" customHeight="1">
      <c r="A2975" s="159" t="s">
        <v>2768</v>
      </c>
      <c r="B2975" s="114" t="str">
        <f>VLOOKUP(A2975,'Data pick slip'!B:F,5,FALSE)</f>
        <v>KHJ-MC100-00</v>
      </c>
      <c r="F2975" s="157" t="s">
        <v>1381</v>
      </c>
      <c r="I2975" s="269" t="s">
        <v>3413</v>
      </c>
      <c r="J2975" s="139" t="s">
        <v>3436</v>
      </c>
      <c r="K2975" s="51" t="s">
        <v>1246</v>
      </c>
      <c r="L2975" s="4">
        <v>44322</v>
      </c>
      <c r="M2975" s="140">
        <v>200</v>
      </c>
      <c r="P2975" s="4" t="s">
        <v>291</v>
      </c>
      <c r="Q2975" s="143"/>
      <c r="T2975" s="144"/>
      <c r="U2975" s="145" t="e">
        <f>VLOOKUP(H2975,Stock_list!A:N,14,FALSE)</f>
        <v>#N/A</v>
      </c>
    </row>
    <row r="2976" spans="1:21" ht="16.5" customHeight="1">
      <c r="A2976" s="159" t="s">
        <v>2747</v>
      </c>
      <c r="B2976" s="114" t="str">
        <f>VLOOKUP(A2976,'Data pick slip'!B:F,5,FALSE)</f>
        <v>KHJ-MC200-00</v>
      </c>
      <c r="F2976" s="157" t="s">
        <v>1381</v>
      </c>
      <c r="I2976" s="269" t="s">
        <v>3413</v>
      </c>
      <c r="J2976" s="139" t="s">
        <v>3436</v>
      </c>
      <c r="K2976" s="51" t="s">
        <v>1246</v>
      </c>
      <c r="L2976" s="4">
        <v>44322</v>
      </c>
      <c r="M2976" s="140">
        <v>50</v>
      </c>
      <c r="P2976" s="4" t="s">
        <v>291</v>
      </c>
      <c r="Q2976" s="143"/>
      <c r="T2976" s="144"/>
      <c r="U2976" s="145" t="e">
        <f>VLOOKUP(H2976,Stock_list!A:N,14,FALSE)</f>
        <v>#N/A</v>
      </c>
    </row>
    <row r="2977" spans="1:21" ht="16.5" customHeight="1">
      <c r="A2977" s="159" t="s">
        <v>2748</v>
      </c>
      <c r="B2977" s="114" t="str">
        <f>VLOOKUP(A2977,'Data pick slip'!B:F,5,FALSE)</f>
        <v>KHJ-MC400-00</v>
      </c>
      <c r="F2977" s="157" t="s">
        <v>1381</v>
      </c>
      <c r="I2977" s="269" t="s">
        <v>3413</v>
      </c>
      <c r="J2977" s="139" t="s">
        <v>3436</v>
      </c>
      <c r="K2977" s="51" t="s">
        <v>1246</v>
      </c>
      <c r="L2977" s="4">
        <v>44322</v>
      </c>
      <c r="M2977" s="140">
        <v>10</v>
      </c>
      <c r="P2977" s="4" t="s">
        <v>291</v>
      </c>
      <c r="Q2977" s="143"/>
      <c r="T2977" s="144"/>
      <c r="U2977" s="145" t="e">
        <f>VLOOKUP(H2977,Stock_list!A:N,14,FALSE)</f>
        <v>#N/A</v>
      </c>
    </row>
    <row r="2978" spans="1:21" ht="16.5" customHeight="1">
      <c r="A2978" s="159" t="s">
        <v>2749</v>
      </c>
      <c r="B2978" s="114" t="str">
        <f>VLOOKUP(A2978,'Data pick slip'!B:F,5,FALSE)</f>
        <v>KHJ-MC500-00</v>
      </c>
      <c r="F2978" s="157" t="s">
        <v>1381</v>
      </c>
      <c r="I2978" s="269" t="s">
        <v>3413</v>
      </c>
      <c r="J2978" s="139" t="s">
        <v>3436</v>
      </c>
      <c r="K2978" s="51" t="s">
        <v>1246</v>
      </c>
      <c r="L2978" s="4">
        <v>44322</v>
      </c>
      <c r="M2978" s="140">
        <v>5</v>
      </c>
      <c r="P2978" s="4" t="s">
        <v>291</v>
      </c>
      <c r="Q2978" s="143"/>
      <c r="T2978" s="144"/>
      <c r="U2978" s="145" t="e">
        <f>VLOOKUP(H2978,Stock_list!A:N,14,FALSE)</f>
        <v>#N/A</v>
      </c>
    </row>
    <row r="2979" spans="1:21" ht="16.5" customHeight="1">
      <c r="A2979" s="159" t="s">
        <v>2750</v>
      </c>
      <c r="B2979" s="114" t="str">
        <f>VLOOKUP(A2979,'Data pick slip'!B:F,5,FALSE)</f>
        <v>KHJ-MC600-00</v>
      </c>
      <c r="F2979" s="157" t="s">
        <v>1381</v>
      </c>
      <c r="I2979" s="269" t="s">
        <v>3413</v>
      </c>
      <c r="J2979" s="139" t="s">
        <v>3436</v>
      </c>
      <c r="K2979" s="51" t="s">
        <v>1246</v>
      </c>
      <c r="L2979" s="4">
        <v>44322</v>
      </c>
      <c r="M2979" s="140">
        <v>5</v>
      </c>
      <c r="P2979" s="4" t="s">
        <v>291</v>
      </c>
      <c r="Q2979" s="143"/>
      <c r="T2979" s="144"/>
      <c r="U2979" s="145" t="e">
        <f>VLOOKUP(H2979,Stock_list!A:N,14,FALSE)</f>
        <v>#N/A</v>
      </c>
    </row>
    <row r="2980" spans="1:21" ht="16.5" customHeight="1">
      <c r="A2980" s="159" t="s">
        <v>2751</v>
      </c>
      <c r="B2980" s="114" t="str">
        <f>VLOOKUP(A2980,'Data pick slip'!B:F,5,FALSE)</f>
        <v>KHJ-MC700-00</v>
      </c>
      <c r="F2980" s="157" t="s">
        <v>1381</v>
      </c>
      <c r="I2980" s="269" t="s">
        <v>3413</v>
      </c>
      <c r="J2980" s="139" t="s">
        <v>3436</v>
      </c>
      <c r="K2980" s="51" t="s">
        <v>1246</v>
      </c>
      <c r="L2980" s="4">
        <v>44322</v>
      </c>
      <c r="M2980" s="140">
        <v>2</v>
      </c>
      <c r="P2980" s="4" t="s">
        <v>291</v>
      </c>
      <c r="Q2980" s="143"/>
      <c r="T2980" s="144"/>
      <c r="U2980" s="145" t="e">
        <f>VLOOKUP(H2980,Stock_list!A:N,14,FALSE)</f>
        <v>#N/A</v>
      </c>
    </row>
    <row r="2981" spans="1:21" ht="16.5" customHeight="1">
      <c r="A2981" s="159" t="s">
        <v>2744</v>
      </c>
      <c r="B2981" s="114" t="str">
        <f>VLOOKUP(A2981,'Data pick slip'!B:F,5,FALSE)</f>
        <v>KHJ-MC100-00</v>
      </c>
      <c r="F2981" s="157" t="s">
        <v>1381</v>
      </c>
      <c r="I2981" s="269" t="s">
        <v>3413</v>
      </c>
      <c r="J2981" s="139" t="s">
        <v>3437</v>
      </c>
      <c r="K2981" s="51" t="s">
        <v>1246</v>
      </c>
      <c r="L2981" s="4">
        <v>44327</v>
      </c>
      <c r="M2981" s="140">
        <v>100</v>
      </c>
      <c r="P2981" s="4" t="s">
        <v>291</v>
      </c>
      <c r="Q2981" s="143"/>
      <c r="T2981" s="144"/>
      <c r="U2981" s="145" t="e">
        <f>VLOOKUP(H2981,Stock_list!A:N,14,FALSE)</f>
        <v>#N/A</v>
      </c>
    </row>
    <row r="2982" spans="1:21" ht="16.5" customHeight="1">
      <c r="A2982" s="159" t="s">
        <v>2747</v>
      </c>
      <c r="B2982" s="114" t="str">
        <f>VLOOKUP(A2982,'Data pick slip'!B:F,5,FALSE)</f>
        <v>KHJ-MC200-00</v>
      </c>
      <c r="F2982" s="157" t="s">
        <v>1381</v>
      </c>
      <c r="I2982" s="269" t="s">
        <v>3413</v>
      </c>
      <c r="J2982" s="139" t="s">
        <v>3437</v>
      </c>
      <c r="K2982" s="51" t="s">
        <v>1246</v>
      </c>
      <c r="L2982" s="4">
        <v>44327</v>
      </c>
      <c r="M2982" s="140">
        <v>30</v>
      </c>
      <c r="P2982" s="4" t="s">
        <v>291</v>
      </c>
      <c r="Q2982" s="143"/>
      <c r="T2982" s="144"/>
      <c r="U2982" s="145" t="e">
        <f>VLOOKUP(H2982,Stock_list!A:N,14,FALSE)</f>
        <v>#N/A</v>
      </c>
    </row>
    <row r="2983" spans="1:21" ht="16.5" customHeight="1">
      <c r="A2983" s="159" t="s">
        <v>2751</v>
      </c>
      <c r="B2983" s="114" t="str">
        <f>VLOOKUP(A2983,'Data pick slip'!B:F,5,FALSE)</f>
        <v>KHJ-MC700-00</v>
      </c>
      <c r="F2983" s="157" t="s">
        <v>1381</v>
      </c>
      <c r="I2983" s="269" t="s">
        <v>3413</v>
      </c>
      <c r="J2983" s="139" t="s">
        <v>3437</v>
      </c>
      <c r="K2983" s="51" t="s">
        <v>1246</v>
      </c>
      <c r="L2983" s="4">
        <v>44327</v>
      </c>
      <c r="M2983" s="140">
        <v>3</v>
      </c>
      <c r="P2983" s="4" t="s">
        <v>291</v>
      </c>
      <c r="Q2983" s="143"/>
      <c r="T2983" s="144"/>
      <c r="U2983" s="145" t="e">
        <f>VLOOKUP(H2983,Stock_list!A:N,14,FALSE)</f>
        <v>#N/A</v>
      </c>
    </row>
    <row r="2984" spans="1:21" ht="16.5" customHeight="1">
      <c r="A2984" s="159" t="s">
        <v>2752</v>
      </c>
      <c r="B2984" s="114" t="str">
        <f>VLOOKUP(A2984,'Data pick slip'!B:F,5,FALSE)</f>
        <v>KHJ-MC800-00</v>
      </c>
      <c r="F2984" s="157" t="s">
        <v>1381</v>
      </c>
      <c r="I2984" s="269" t="s">
        <v>3413</v>
      </c>
      <c r="J2984" s="139" t="s">
        <v>3437</v>
      </c>
      <c r="K2984" s="51" t="s">
        <v>1246</v>
      </c>
      <c r="L2984" s="4">
        <v>44327</v>
      </c>
      <c r="M2984" s="140">
        <v>1</v>
      </c>
      <c r="P2984" s="4" t="s">
        <v>291</v>
      </c>
      <c r="Q2984" s="143"/>
      <c r="T2984" s="144"/>
      <c r="U2984" s="145" t="e">
        <f>VLOOKUP(H2984,Stock_list!A:N,14,FALSE)</f>
        <v>#N/A</v>
      </c>
    </row>
    <row r="2985" spans="1:21" ht="16.5" customHeight="1">
      <c r="A2985" s="159" t="s">
        <v>2744</v>
      </c>
      <c r="B2985" s="114" t="str">
        <f>VLOOKUP(A2985,'Data pick slip'!B:F,5,FALSE)</f>
        <v>KHJ-MC100-00</v>
      </c>
      <c r="F2985" s="157" t="s">
        <v>2753</v>
      </c>
      <c r="H2985" s="138">
        <v>1365</v>
      </c>
      <c r="I2985" s="139" t="str">
        <f>VLOOKUP(H2985,Stock_list!A:R,18,FALSE)</f>
        <v>东陆</v>
      </c>
      <c r="J2985" s="139" t="str">
        <f>VLOOKUP(H2985,Stock_list!A:S,17,FALSE)</f>
        <v>C49SZX20210145SX</v>
      </c>
      <c r="K2985" s="51" t="str">
        <f>VLOOKUP(H2985,Stock_list!A:T,16,FALSE)</f>
        <v>RMB</v>
      </c>
      <c r="L2985" s="4">
        <v>44337</v>
      </c>
      <c r="M2985" s="140">
        <v>30</v>
      </c>
      <c r="P2985" s="4" t="str">
        <f>VLOOKUP(H2985,Stock_list!A:Y,25,FALSE)</f>
        <v>Yes</v>
      </c>
      <c r="Q2985" s="143"/>
      <c r="T2985" s="144"/>
      <c r="U2985" s="145" t="str">
        <f>VLOOKUP(H2985,Stock_list!A:N,14,FALSE)</f>
        <v>MAY 21</v>
      </c>
    </row>
    <row r="2986" spans="1:21" ht="16.5" customHeight="1">
      <c r="A2986" s="159" t="s">
        <v>2744</v>
      </c>
      <c r="B2986" s="114" t="str">
        <f>VLOOKUP(A2986,'Data pick slip'!B:F,5,FALSE)</f>
        <v>KHJ-MC100-00</v>
      </c>
      <c r="F2986" s="157" t="s">
        <v>1381</v>
      </c>
      <c r="H2986" s="138">
        <v>1366</v>
      </c>
      <c r="I2986" s="139" t="str">
        <f>VLOOKUP(H2986,Stock_list!A:R,18,FALSE)</f>
        <v>锘铧</v>
      </c>
      <c r="J2986" s="139" t="str">
        <f>VLOOKUP(H2986,Stock_list!A:S,17,FALSE)</f>
        <v>C49SZX20210140DZ</v>
      </c>
      <c r="K2986" s="51" t="str">
        <f>VLOOKUP(H2986,Stock_list!A:T,16,FALSE)</f>
        <v>JPY</v>
      </c>
      <c r="L2986" s="4">
        <v>44335</v>
      </c>
      <c r="M2986" s="140">
        <v>50</v>
      </c>
      <c r="P2986" s="4" t="s">
        <v>291</v>
      </c>
      <c r="Q2986" s="143"/>
      <c r="T2986" s="144"/>
      <c r="U2986" s="145" t="str">
        <f>VLOOKUP(H2986,Stock_list!A:N,14,FALSE)</f>
        <v>MAY 21</v>
      </c>
    </row>
    <row r="2987" spans="1:21" ht="16.5" customHeight="1">
      <c r="A2987" s="159" t="s">
        <v>2744</v>
      </c>
      <c r="B2987" s="114" t="str">
        <f>VLOOKUP(A2987,'Data pick slip'!B:F,5,FALSE)</f>
        <v>KHJ-MC100-00</v>
      </c>
      <c r="F2987" s="157" t="s">
        <v>2753</v>
      </c>
      <c r="I2987" s="139" t="s">
        <v>3093</v>
      </c>
      <c r="J2987" s="267" t="s">
        <v>3438</v>
      </c>
      <c r="K2987" s="51" t="s">
        <v>1246</v>
      </c>
      <c r="L2987" s="4">
        <v>44327</v>
      </c>
      <c r="M2987" s="140">
        <v>15</v>
      </c>
      <c r="P2987" s="4" t="s">
        <v>291</v>
      </c>
      <c r="Q2987" s="143"/>
      <c r="T2987" s="144"/>
      <c r="U2987" s="145" t="e">
        <f>VLOOKUP(H2987,Stock_list!A:N,14,FALSE)</f>
        <v>#N/A</v>
      </c>
    </row>
    <row r="2988" spans="1:21" ht="16.5" customHeight="1">
      <c r="A2988" s="159" t="s">
        <v>2768</v>
      </c>
      <c r="B2988" s="114" t="str">
        <f>VLOOKUP(A2988,'Data pick slip'!B:F,5,FALSE)</f>
        <v>KHJ-MC100-00</v>
      </c>
      <c r="F2988" s="157" t="s">
        <v>1381</v>
      </c>
      <c r="H2988" s="138">
        <v>1369</v>
      </c>
      <c r="I2988" s="139" t="str">
        <f>VLOOKUP(H2988,Stock_list!A:R,18,FALSE)</f>
        <v>格隆</v>
      </c>
      <c r="J2988" s="139" t="str">
        <f>VLOOKUP(H2988,Stock_list!A:S,17,FALSE)</f>
        <v>C49SZX20210149DY</v>
      </c>
      <c r="K2988" s="51" t="str">
        <f>VLOOKUP(H2988,Stock_list!A:T,16,FALSE)</f>
        <v>JPY</v>
      </c>
      <c r="L2988" s="4">
        <v>44363</v>
      </c>
      <c r="M2988" s="132">
        <v>20</v>
      </c>
      <c r="N2988" s="146"/>
      <c r="P2988" s="4" t="str">
        <f>VLOOKUP(H2988,Stock_list!A:Y,25,FALSE)</f>
        <v>Yes</v>
      </c>
      <c r="Q2988" s="143"/>
      <c r="T2988" s="144"/>
      <c r="U2988" s="145" t="str">
        <f>VLOOKUP(H2988,Stock_list!A:N,14,FALSE)</f>
        <v>MAR 22</v>
      </c>
    </row>
    <row r="2989" spans="1:21" ht="16.5" customHeight="1">
      <c r="A2989" s="159" t="s">
        <v>2747</v>
      </c>
      <c r="B2989" s="114" t="str">
        <f>VLOOKUP(A2989,'Data pick slip'!B:F,5,FALSE)</f>
        <v>KHJ-MC200-00</v>
      </c>
      <c r="F2989" s="157" t="s">
        <v>1381</v>
      </c>
      <c r="H2989" s="138">
        <v>1369</v>
      </c>
      <c r="I2989" s="139" t="str">
        <f>VLOOKUP(H2989,Stock_list!A:R,18,FALSE)</f>
        <v>格隆</v>
      </c>
      <c r="J2989" s="139" t="str">
        <f>VLOOKUP(H2989,Stock_list!A:S,17,FALSE)</f>
        <v>C49SZX20210149DY</v>
      </c>
      <c r="K2989" s="51" t="str">
        <f>VLOOKUP(H2989,Stock_list!A:T,16,FALSE)</f>
        <v>JPY</v>
      </c>
      <c r="L2989" s="4">
        <v>44363</v>
      </c>
      <c r="M2989" s="132">
        <v>5</v>
      </c>
      <c r="N2989" s="146"/>
      <c r="P2989" s="4" t="str">
        <f>VLOOKUP(H2989,Stock_list!A:Y,25,FALSE)</f>
        <v>Yes</v>
      </c>
      <c r="Q2989" s="143"/>
      <c r="T2989" s="144"/>
      <c r="U2989" s="145" t="str">
        <f>VLOOKUP(H2989,Stock_list!A:N,14,FALSE)</f>
        <v>MAR 22</v>
      </c>
    </row>
    <row r="2990" spans="1:21" ht="16.5" customHeight="1">
      <c r="A2990" s="159" t="s">
        <v>2748</v>
      </c>
      <c r="B2990" s="114" t="str">
        <f>VLOOKUP(A2990,'Data pick slip'!B:F,5,FALSE)</f>
        <v>KHJ-MC400-00</v>
      </c>
      <c r="F2990" s="157" t="s">
        <v>1381</v>
      </c>
      <c r="H2990" s="138">
        <v>1369</v>
      </c>
      <c r="I2990" s="139" t="str">
        <f>VLOOKUP(H2990,Stock_list!A:R,18,FALSE)</f>
        <v>格隆</v>
      </c>
      <c r="J2990" s="139" t="str">
        <f>VLOOKUP(H2990,Stock_list!A:S,17,FALSE)</f>
        <v>C49SZX20210149DY</v>
      </c>
      <c r="K2990" s="51" t="str">
        <f>VLOOKUP(H2990,Stock_list!A:T,16,FALSE)</f>
        <v>JPY</v>
      </c>
      <c r="L2990" s="4">
        <v>44363</v>
      </c>
      <c r="M2990" s="132">
        <v>2</v>
      </c>
      <c r="N2990" s="146"/>
      <c r="P2990" s="4" t="str">
        <f>VLOOKUP(H2990,Stock_list!A:Y,25,FALSE)</f>
        <v>Yes</v>
      </c>
      <c r="Q2990" s="143"/>
      <c r="T2990" s="144"/>
      <c r="U2990" s="145" t="str">
        <f>VLOOKUP(H2990,Stock_list!A:N,14,FALSE)</f>
        <v>MAR 22</v>
      </c>
    </row>
    <row r="2991" spans="1:21" ht="16.5" customHeight="1">
      <c r="A2991" s="159" t="s">
        <v>2768</v>
      </c>
      <c r="B2991" s="114" t="str">
        <f>VLOOKUP(A2991,'Data pick slip'!B:F,5,FALSE)</f>
        <v>KHJ-MC100-00</v>
      </c>
      <c r="F2991" s="157" t="s">
        <v>2753</v>
      </c>
      <c r="H2991" s="138">
        <v>1369</v>
      </c>
      <c r="I2991" s="139" t="str">
        <f>VLOOKUP(H2991,Stock_list!A:R,18,FALSE)</f>
        <v>格隆</v>
      </c>
      <c r="J2991" s="139" t="str">
        <f>VLOOKUP(H2991,Stock_list!A:S,17,FALSE)</f>
        <v>C49SZX20210149DY</v>
      </c>
      <c r="K2991" s="51" t="str">
        <f>VLOOKUP(H2991,Stock_list!A:T,16,FALSE)</f>
        <v>JPY</v>
      </c>
      <c r="L2991" s="4">
        <v>44377</v>
      </c>
      <c r="O2991" s="132">
        <f>10-10</f>
        <v>0</v>
      </c>
      <c r="P2991" s="4" t="str">
        <f>VLOOKUP(H2991,Stock_list!A:Y,25,FALSE)</f>
        <v>Yes</v>
      </c>
      <c r="Q2991" s="143"/>
      <c r="T2991" s="144"/>
      <c r="U2991" s="145" t="str">
        <f>VLOOKUP(H2991,Stock_list!A:N,14,FALSE)</f>
        <v>MAR 22</v>
      </c>
    </row>
    <row r="2992" spans="1:21" ht="16.5" customHeight="1">
      <c r="A2992" s="159" t="s">
        <v>2768</v>
      </c>
      <c r="B2992" s="114" t="str">
        <f>VLOOKUP(A2992,'Data pick slip'!B:F,5,FALSE)</f>
        <v>KHJ-MC100-00</v>
      </c>
      <c r="F2992" s="157" t="s">
        <v>1381</v>
      </c>
      <c r="H2992" s="138">
        <v>1369</v>
      </c>
      <c r="I2992" s="139" t="str">
        <f>VLOOKUP(H2992,Stock_list!A:R,18,FALSE)</f>
        <v>格隆</v>
      </c>
      <c r="J2992" s="139" t="str">
        <f>VLOOKUP(H2992,Stock_list!A:S,17,FALSE)</f>
        <v>C49SZX20210149DY</v>
      </c>
      <c r="K2992" s="51" t="str">
        <f>VLOOKUP(H2992,Stock_list!A:T,16,FALSE)</f>
        <v>JPY</v>
      </c>
      <c r="L2992" s="4">
        <v>44648</v>
      </c>
      <c r="M2992" s="140">
        <v>30</v>
      </c>
      <c r="P2992" s="4" t="str">
        <f>VLOOKUP(H2992,Stock_list!A:Y,25,FALSE)</f>
        <v>Yes</v>
      </c>
      <c r="Q2992" s="143"/>
      <c r="T2992" s="144"/>
      <c r="U2992" s="145" t="str">
        <f>VLOOKUP(H2992,Stock_list!A:N,14,FALSE)</f>
        <v>MAR 22</v>
      </c>
    </row>
    <row r="2993" spans="1:21" ht="16.5" customHeight="1">
      <c r="A2993" s="159" t="s">
        <v>2750</v>
      </c>
      <c r="B2993" s="114" t="str">
        <f>VLOOKUP(A2993,'Data pick slip'!B:F,5,FALSE)</f>
        <v>KHJ-MC600-00</v>
      </c>
      <c r="F2993" s="157" t="s">
        <v>2753</v>
      </c>
      <c r="I2993" s="139" t="s">
        <v>3093</v>
      </c>
      <c r="J2993" s="270" t="s">
        <v>3439</v>
      </c>
      <c r="K2993" s="51" t="s">
        <v>1246</v>
      </c>
      <c r="L2993" s="4">
        <v>44333</v>
      </c>
      <c r="M2993" s="140">
        <v>1</v>
      </c>
      <c r="P2993" s="4" t="s">
        <v>291</v>
      </c>
      <c r="Q2993" s="143"/>
      <c r="T2993" s="144"/>
      <c r="U2993" s="145" t="e">
        <f>VLOOKUP(H2993,Stock_list!A:N,14,FALSE)</f>
        <v>#N/A</v>
      </c>
    </row>
    <row r="2994" spans="1:21" ht="16.5" customHeight="1">
      <c r="A2994" s="159" t="s">
        <v>2768</v>
      </c>
      <c r="B2994" s="114" t="str">
        <f>VLOOKUP(A2994,'Data pick slip'!B:F,5,FALSE)</f>
        <v>KHJ-MC100-00</v>
      </c>
      <c r="F2994" s="157" t="s">
        <v>1381</v>
      </c>
      <c r="H2994" s="138">
        <v>1371</v>
      </c>
      <c r="I2994" s="139" t="str">
        <f>VLOOKUP(H2994,Stock_list!A:R,18,FALSE)</f>
        <v>朗迅</v>
      </c>
      <c r="J2994" s="139" t="str">
        <f>VLOOKUP(H2994,Stock_list!A:S,17,FALSE)</f>
        <v>C49SZX20210147DY</v>
      </c>
      <c r="K2994" s="51" t="str">
        <f>VLOOKUP(H2994,Stock_list!A:T,16,FALSE)</f>
        <v>JPY</v>
      </c>
      <c r="L2994" s="4">
        <v>44645</v>
      </c>
      <c r="M2994" s="132">
        <v>30</v>
      </c>
      <c r="P2994" s="4" t="str">
        <f>VLOOKUP(H2994,Stock_list!A:Y,25,FALSE)</f>
        <v>Yes</v>
      </c>
      <c r="Q2994" s="143"/>
      <c r="T2994" s="144"/>
      <c r="U2994" s="145" t="str">
        <f>VLOOKUP(H2994,Stock_list!A:N,14,FALSE)</f>
        <v>NOV 21</v>
      </c>
    </row>
    <row r="2995" spans="1:21" ht="16.5" customHeight="1">
      <c r="A2995" s="159" t="s">
        <v>2747</v>
      </c>
      <c r="B2995" s="114" t="str">
        <f>VLOOKUP(A2995,'Data pick slip'!B:F,5,FALSE)</f>
        <v>KHJ-MC200-00</v>
      </c>
      <c r="F2995" s="157" t="s">
        <v>1381</v>
      </c>
      <c r="H2995" s="138">
        <v>1371</v>
      </c>
      <c r="I2995" s="139" t="str">
        <f>VLOOKUP(H2995,Stock_list!A:R,18,FALSE)</f>
        <v>朗迅</v>
      </c>
      <c r="J2995" s="139" t="str">
        <f>VLOOKUP(H2995,Stock_list!A:S,17,FALSE)</f>
        <v>C49SZX20210147DY</v>
      </c>
      <c r="K2995" s="51" t="str">
        <f>VLOOKUP(H2995,Stock_list!A:T,16,FALSE)</f>
        <v>JPY</v>
      </c>
      <c r="L2995" s="4">
        <v>44645</v>
      </c>
      <c r="M2995" s="132">
        <v>2</v>
      </c>
      <c r="P2995" s="4" t="str">
        <f>VLOOKUP(H2995,Stock_list!A:Y,25,FALSE)</f>
        <v>Yes</v>
      </c>
      <c r="Q2995" s="143"/>
      <c r="T2995" s="144"/>
      <c r="U2995" s="145" t="str">
        <f>VLOOKUP(H2995,Stock_list!A:N,14,FALSE)</f>
        <v>NOV 21</v>
      </c>
    </row>
    <row r="2996" spans="1:21" ht="16.5" customHeight="1">
      <c r="A2996" s="159" t="s">
        <v>2748</v>
      </c>
      <c r="B2996" s="114" t="str">
        <f>VLOOKUP(A2996,'Data pick slip'!B:F,5,FALSE)</f>
        <v>KHJ-MC400-00</v>
      </c>
      <c r="F2996" s="157" t="s">
        <v>1381</v>
      </c>
      <c r="H2996" s="138">
        <v>1371</v>
      </c>
      <c r="I2996" s="139" t="str">
        <f>VLOOKUP(H2996,Stock_list!A:R,18,FALSE)</f>
        <v>朗迅</v>
      </c>
      <c r="J2996" s="139" t="str">
        <f>VLOOKUP(H2996,Stock_list!A:S,17,FALSE)</f>
        <v>C49SZX20210147DY</v>
      </c>
      <c r="K2996" s="51" t="str">
        <f>VLOOKUP(H2996,Stock_list!A:T,16,FALSE)</f>
        <v>JPY</v>
      </c>
      <c r="L2996" s="4">
        <v>44645</v>
      </c>
      <c r="M2996" s="132">
        <v>2</v>
      </c>
      <c r="P2996" s="4" t="str">
        <f>VLOOKUP(H2996,Stock_list!A:Y,25,FALSE)</f>
        <v>Yes</v>
      </c>
      <c r="Q2996" s="143"/>
      <c r="T2996" s="144"/>
      <c r="U2996" s="145" t="str">
        <f>VLOOKUP(H2996,Stock_list!A:N,14,FALSE)</f>
        <v>NOV 21</v>
      </c>
    </row>
    <row r="2997" spans="1:21" ht="16.5" customHeight="1">
      <c r="A2997" s="159" t="s">
        <v>2768</v>
      </c>
      <c r="B2997" s="114" t="str">
        <f>VLOOKUP(A2997,'Data pick slip'!B:F,5,FALSE)</f>
        <v>KHJ-MC100-00</v>
      </c>
      <c r="F2997" s="157" t="s">
        <v>1381</v>
      </c>
      <c r="H2997" s="138">
        <v>1371</v>
      </c>
      <c r="I2997" s="139" t="str">
        <f>VLOOKUP(H2997,Stock_list!A:R,18,FALSE)</f>
        <v>朗迅</v>
      </c>
      <c r="J2997" s="139" t="str">
        <f>VLOOKUP(H2997,Stock_list!A:S,17,FALSE)</f>
        <v>C49SZX20210147DY</v>
      </c>
      <c r="K2997" s="51" t="str">
        <f>VLOOKUP(H2997,Stock_list!A:T,16,FALSE)</f>
        <v>JPY</v>
      </c>
      <c r="L2997" s="4">
        <v>44512</v>
      </c>
      <c r="M2997" s="132">
        <v>20</v>
      </c>
      <c r="P2997" s="4" t="str">
        <f>VLOOKUP(H2997,Stock_list!A:Y,25,FALSE)</f>
        <v>Yes</v>
      </c>
      <c r="Q2997" s="143"/>
      <c r="T2997" s="144"/>
      <c r="U2997" s="145" t="str">
        <f>VLOOKUP(H2997,Stock_list!A:N,14,FALSE)</f>
        <v>NOV 21</v>
      </c>
    </row>
    <row r="2998" spans="1:21" ht="16.5" customHeight="1">
      <c r="A2998" s="159" t="s">
        <v>2768</v>
      </c>
      <c r="B2998" s="114" t="str">
        <f>VLOOKUP(A2998,'Data pick slip'!B:F,5,FALSE)</f>
        <v>KHJ-MC100-00</v>
      </c>
      <c r="F2998" s="157" t="s">
        <v>1381</v>
      </c>
      <c r="H2998" s="138">
        <v>1371</v>
      </c>
      <c r="I2998" s="139" t="str">
        <f>VLOOKUP(H2998,Stock_list!A:R,18,FALSE)</f>
        <v>朗迅</v>
      </c>
      <c r="J2998" s="139" t="str">
        <f>VLOOKUP(H2998,Stock_list!A:S,17,FALSE)</f>
        <v>C49SZX20210147DY</v>
      </c>
      <c r="K2998" s="51" t="str">
        <f>VLOOKUP(H2998,Stock_list!A:T,16,FALSE)</f>
        <v>JPY</v>
      </c>
      <c r="L2998" s="4">
        <v>44512</v>
      </c>
      <c r="M2998" s="132">
        <v>20</v>
      </c>
      <c r="P2998" s="4" t="str">
        <f>VLOOKUP(H2998,Stock_list!A:Y,25,FALSE)</f>
        <v>Yes</v>
      </c>
      <c r="Q2998" s="143"/>
      <c r="T2998" s="144"/>
      <c r="U2998" s="145" t="str">
        <f>VLOOKUP(H2998,Stock_list!A:N,14,FALSE)</f>
        <v>NOV 21</v>
      </c>
    </row>
    <row r="2999" spans="1:21" ht="16.5" customHeight="1">
      <c r="A2999" s="159" t="s">
        <v>2747</v>
      </c>
      <c r="B2999" s="114" t="str">
        <f>VLOOKUP(A2999,'Data pick slip'!B:F,5,FALSE)</f>
        <v>KHJ-MC200-00</v>
      </c>
      <c r="F2999" s="157" t="s">
        <v>1381</v>
      </c>
      <c r="H2999" s="138">
        <v>1371</v>
      </c>
      <c r="I2999" s="139" t="str">
        <f>VLOOKUP(H2999,Stock_list!A:R,18,FALSE)</f>
        <v>朗迅</v>
      </c>
      <c r="J2999" s="139" t="str">
        <f>VLOOKUP(H2999,Stock_list!A:S,17,FALSE)</f>
        <v>C49SZX20210147DY</v>
      </c>
      <c r="K2999" s="51" t="str">
        <f>VLOOKUP(H2999,Stock_list!A:T,16,FALSE)</f>
        <v>JPY</v>
      </c>
      <c r="L2999" s="4">
        <v>44512</v>
      </c>
      <c r="M2999" s="132">
        <v>8</v>
      </c>
      <c r="P2999" s="4" t="str">
        <f>VLOOKUP(H2999,Stock_list!A:Y,25,FALSE)</f>
        <v>Yes</v>
      </c>
      <c r="Q2999" s="143"/>
      <c r="T2999" s="144"/>
      <c r="U2999" s="145" t="str">
        <f>VLOOKUP(H2999,Stock_list!A:N,14,FALSE)</f>
        <v>NOV 21</v>
      </c>
    </row>
    <row r="3000" spans="1:21" ht="16.5" customHeight="1">
      <c r="A3000" s="159" t="s">
        <v>2748</v>
      </c>
      <c r="B3000" s="114" t="str">
        <f>VLOOKUP(A3000,'Data pick slip'!B:F,5,FALSE)</f>
        <v>KHJ-MC400-00</v>
      </c>
      <c r="F3000" s="157" t="s">
        <v>1381</v>
      </c>
      <c r="H3000" s="138">
        <v>1371</v>
      </c>
      <c r="I3000" s="139" t="str">
        <f>VLOOKUP(H3000,Stock_list!A:R,18,FALSE)</f>
        <v>朗迅</v>
      </c>
      <c r="J3000" s="139" t="str">
        <f>VLOOKUP(H3000,Stock_list!A:S,17,FALSE)</f>
        <v>C49SZX20210147DY</v>
      </c>
      <c r="K3000" s="51" t="str">
        <f>VLOOKUP(H3000,Stock_list!A:T,16,FALSE)</f>
        <v>JPY</v>
      </c>
      <c r="L3000" s="4">
        <v>44512</v>
      </c>
      <c r="M3000" s="132">
        <v>2</v>
      </c>
      <c r="P3000" s="4" t="str">
        <f>VLOOKUP(H3000,Stock_list!A:Y,25,FALSE)</f>
        <v>Yes</v>
      </c>
      <c r="Q3000" s="143"/>
      <c r="T3000" s="144"/>
      <c r="U3000" s="145" t="str">
        <f>VLOOKUP(H3000,Stock_list!A:N,14,FALSE)</f>
        <v>NOV 21</v>
      </c>
    </row>
    <row r="3001" spans="1:21" ht="16.5" customHeight="1">
      <c r="A3001" s="159" t="s">
        <v>2768</v>
      </c>
      <c r="B3001" s="114" t="str">
        <f>VLOOKUP(A3001,'Data pick slip'!B:F,5,FALSE)</f>
        <v>KHJ-MC100-00</v>
      </c>
      <c r="F3001" s="157" t="s">
        <v>2753</v>
      </c>
      <c r="H3001" s="138">
        <v>1371</v>
      </c>
      <c r="I3001" s="139" t="str">
        <f>VLOOKUP(H3001,Stock_list!A:R,18,FALSE)</f>
        <v>朗迅</v>
      </c>
      <c r="J3001" s="139" t="str">
        <f>VLOOKUP(H3001,Stock_list!A:S,17,FALSE)</f>
        <v>C49SZX20210147DY</v>
      </c>
      <c r="K3001" s="51" t="str">
        <f>VLOOKUP(H3001,Stock_list!A:T,16,FALSE)</f>
        <v>JPY</v>
      </c>
      <c r="L3001" s="4">
        <v>44512</v>
      </c>
      <c r="M3001" s="132"/>
      <c r="O3001" s="132">
        <f>20-20</f>
        <v>0</v>
      </c>
      <c r="P3001" s="4" t="str">
        <f>VLOOKUP(H3001,Stock_list!A:Y,25,FALSE)</f>
        <v>Yes</v>
      </c>
      <c r="Q3001" s="143"/>
      <c r="T3001" s="144"/>
      <c r="U3001" s="145" t="str">
        <f>VLOOKUP(H3001,Stock_list!A:N,14,FALSE)</f>
        <v>NOV 21</v>
      </c>
    </row>
    <row r="3002" spans="1:21" ht="16.5" customHeight="1">
      <c r="A3002" s="159" t="s">
        <v>2747</v>
      </c>
      <c r="B3002" s="114" t="str">
        <f>VLOOKUP(A3002,'Data pick slip'!B:F,5,FALSE)</f>
        <v>KHJ-MC200-00</v>
      </c>
      <c r="F3002" s="157" t="s">
        <v>2753</v>
      </c>
      <c r="H3002" s="138">
        <v>1371</v>
      </c>
      <c r="I3002" s="139" t="str">
        <f>VLOOKUP(H3002,Stock_list!A:R,18,FALSE)</f>
        <v>朗迅</v>
      </c>
      <c r="J3002" s="139" t="str">
        <f>VLOOKUP(H3002,Stock_list!A:S,17,FALSE)</f>
        <v>C49SZX20210147DY</v>
      </c>
      <c r="K3002" s="51" t="str">
        <f>VLOOKUP(H3002,Stock_list!A:T,16,FALSE)</f>
        <v>JPY</v>
      </c>
      <c r="L3002" s="4">
        <v>44512</v>
      </c>
      <c r="M3002" s="132"/>
      <c r="O3002" s="132">
        <f>8-8</f>
        <v>0</v>
      </c>
      <c r="P3002" s="4" t="str">
        <f>VLOOKUP(H3002,Stock_list!A:Y,25,FALSE)</f>
        <v>Yes</v>
      </c>
      <c r="Q3002" s="143"/>
      <c r="T3002" s="144"/>
      <c r="U3002" s="145" t="str">
        <f>VLOOKUP(H3002,Stock_list!A:N,14,FALSE)</f>
        <v>NOV 21</v>
      </c>
    </row>
    <row r="3003" spans="1:21" ht="16.5" customHeight="1">
      <c r="A3003" s="159" t="s">
        <v>2748</v>
      </c>
      <c r="B3003" s="114" t="str">
        <f>VLOOKUP(A3003,'Data pick slip'!B:F,5,FALSE)</f>
        <v>KHJ-MC400-00</v>
      </c>
      <c r="F3003" s="157" t="s">
        <v>2753</v>
      </c>
      <c r="H3003" s="138">
        <v>1371</v>
      </c>
      <c r="I3003" s="139" t="str">
        <f>VLOOKUP(H3003,Stock_list!A:R,18,FALSE)</f>
        <v>朗迅</v>
      </c>
      <c r="J3003" s="139" t="str">
        <f>VLOOKUP(H3003,Stock_list!A:S,17,FALSE)</f>
        <v>C49SZX20210147DY</v>
      </c>
      <c r="K3003" s="51" t="str">
        <f>VLOOKUP(H3003,Stock_list!A:T,16,FALSE)</f>
        <v>JPY</v>
      </c>
      <c r="L3003" s="4">
        <v>44512</v>
      </c>
      <c r="M3003" s="132"/>
      <c r="O3003" s="132">
        <f>2-2</f>
        <v>0</v>
      </c>
      <c r="P3003" s="4" t="str">
        <f>VLOOKUP(H3003,Stock_list!A:Y,25,FALSE)</f>
        <v>Yes</v>
      </c>
      <c r="Q3003" s="143"/>
      <c r="T3003" s="144"/>
      <c r="U3003" s="145" t="str">
        <f>VLOOKUP(H3003,Stock_list!A:N,14,FALSE)</f>
        <v>NOV 21</v>
      </c>
    </row>
    <row r="3004" spans="1:21" ht="16.5" customHeight="1">
      <c r="A3004" s="159" t="s">
        <v>2768</v>
      </c>
      <c r="B3004" s="114" t="str">
        <f>VLOOKUP(A3004,'Data pick slip'!B:F,5,FALSE)</f>
        <v>KHJ-MC100-00</v>
      </c>
      <c r="F3004" s="157" t="s">
        <v>2753</v>
      </c>
      <c r="H3004" s="138">
        <v>1371</v>
      </c>
      <c r="I3004" s="139" t="str">
        <f>VLOOKUP(H3004,Stock_list!A:R,18,FALSE)</f>
        <v>朗迅</v>
      </c>
      <c r="J3004" s="139" t="str">
        <f>VLOOKUP(H3004,Stock_list!A:S,17,FALSE)</f>
        <v>C49SZX20210147DY</v>
      </c>
      <c r="K3004" s="51" t="str">
        <f>VLOOKUP(H3004,Stock_list!A:T,16,FALSE)</f>
        <v>JPY</v>
      </c>
      <c r="L3004" s="4">
        <v>44524</v>
      </c>
      <c r="M3004" s="132"/>
      <c r="N3004" s="146"/>
      <c r="O3004" s="132">
        <f>30-30</f>
        <v>0</v>
      </c>
      <c r="P3004" s="4" t="str">
        <f>VLOOKUP(H3004,Stock_list!A:Y,25,FALSE)</f>
        <v>Yes</v>
      </c>
      <c r="Q3004" s="143"/>
      <c r="T3004" s="144"/>
      <c r="U3004" s="145" t="str">
        <f>VLOOKUP(H3004,Stock_list!A:N,14,FALSE)</f>
        <v>NOV 21</v>
      </c>
    </row>
    <row r="3005" spans="1:21" ht="16.5" customHeight="1">
      <c r="A3005" s="159" t="s">
        <v>2747</v>
      </c>
      <c r="B3005" s="114" t="str">
        <f>VLOOKUP(A3005,'Data pick slip'!B:F,5,FALSE)</f>
        <v>KHJ-MC200-00</v>
      </c>
      <c r="F3005" s="157" t="s">
        <v>2753</v>
      </c>
      <c r="H3005" s="138">
        <v>1371</v>
      </c>
      <c r="I3005" s="139" t="str">
        <f>VLOOKUP(H3005,Stock_list!A:R,18,FALSE)</f>
        <v>朗迅</v>
      </c>
      <c r="J3005" s="139" t="str">
        <f>VLOOKUP(H3005,Stock_list!A:S,17,FALSE)</f>
        <v>C49SZX20210147DY</v>
      </c>
      <c r="K3005" s="51" t="str">
        <f>VLOOKUP(H3005,Stock_list!A:T,16,FALSE)</f>
        <v>JPY</v>
      </c>
      <c r="L3005" s="4">
        <v>44524</v>
      </c>
      <c r="M3005" s="132"/>
      <c r="N3005" s="146"/>
      <c r="O3005" s="132">
        <f>2-2</f>
        <v>0</v>
      </c>
      <c r="P3005" s="4" t="str">
        <f>VLOOKUP(H3005,Stock_list!A:Y,25,FALSE)</f>
        <v>Yes</v>
      </c>
      <c r="Q3005" s="143"/>
      <c r="T3005" s="144"/>
      <c r="U3005" s="145" t="str">
        <f>VLOOKUP(H3005,Stock_list!A:N,14,FALSE)</f>
        <v>NOV 21</v>
      </c>
    </row>
    <row r="3006" spans="1:21" ht="16.5" customHeight="1">
      <c r="A3006" s="159" t="s">
        <v>2748</v>
      </c>
      <c r="B3006" s="114" t="str">
        <f>VLOOKUP(A3006,'Data pick slip'!B:F,5,FALSE)</f>
        <v>KHJ-MC400-00</v>
      </c>
      <c r="F3006" s="157" t="s">
        <v>2753</v>
      </c>
      <c r="H3006" s="138">
        <v>1371</v>
      </c>
      <c r="I3006" s="139" t="str">
        <f>VLOOKUP(H3006,Stock_list!A:R,18,FALSE)</f>
        <v>朗迅</v>
      </c>
      <c r="J3006" s="139" t="str">
        <f>VLOOKUP(H3006,Stock_list!A:S,17,FALSE)</f>
        <v>C49SZX20210147DY</v>
      </c>
      <c r="K3006" s="51" t="str">
        <f>VLOOKUP(H3006,Stock_list!A:T,16,FALSE)</f>
        <v>JPY</v>
      </c>
      <c r="L3006" s="4">
        <v>44524</v>
      </c>
      <c r="M3006" s="132"/>
      <c r="N3006" s="146"/>
      <c r="O3006" s="132">
        <f>2-2</f>
        <v>0</v>
      </c>
      <c r="P3006" s="4" t="str">
        <f>VLOOKUP(H3006,Stock_list!A:Y,25,FALSE)</f>
        <v>Yes</v>
      </c>
      <c r="Q3006" s="143"/>
      <c r="T3006" s="144"/>
      <c r="U3006" s="145" t="str">
        <f>VLOOKUP(H3006,Stock_list!A:N,14,FALSE)</f>
        <v>NOV 21</v>
      </c>
    </row>
    <row r="3007" spans="1:21" ht="16.5" customHeight="1">
      <c r="A3007" s="159" t="s">
        <v>2768</v>
      </c>
      <c r="B3007" s="114" t="str">
        <f>VLOOKUP(A3007,'Data pick slip'!B:F,5,FALSE)</f>
        <v>KHJ-MC100-00</v>
      </c>
      <c r="F3007" s="157" t="s">
        <v>1381</v>
      </c>
      <c r="H3007" s="138">
        <v>1375</v>
      </c>
      <c r="I3007" s="139" t="str">
        <f>VLOOKUP(H3007,Stock_list!A:R,18,FALSE)</f>
        <v>力通威</v>
      </c>
      <c r="J3007" s="139" t="str">
        <f>VLOOKUP(H3007,Stock_list!A:S,17,FALSE)</f>
        <v>C49SZX20210138JL</v>
      </c>
      <c r="K3007" s="51" t="str">
        <f>VLOOKUP(H3007,Stock_list!A:T,16,FALSE)</f>
        <v>JPY</v>
      </c>
      <c r="L3007" s="4">
        <v>44358</v>
      </c>
      <c r="M3007" s="140">
        <v>25</v>
      </c>
      <c r="P3007" s="4" t="str">
        <f>VLOOKUP(H3007,Stock_list!A:Y,25,FALSE)</f>
        <v>Yes</v>
      </c>
      <c r="Q3007" s="143"/>
      <c r="T3007" s="144"/>
      <c r="U3007" s="145" t="str">
        <f>VLOOKUP(H3007,Stock_list!A:N,14,FALSE)</f>
        <v>JUN 21</v>
      </c>
    </row>
    <row r="3008" spans="1:21" ht="16.5" customHeight="1">
      <c r="A3008" s="159" t="s">
        <v>2747</v>
      </c>
      <c r="B3008" s="114" t="str">
        <f>VLOOKUP(A3008,'Data pick slip'!B:F,5,FALSE)</f>
        <v>KHJ-MC200-00</v>
      </c>
      <c r="F3008" s="157" t="s">
        <v>1381</v>
      </c>
      <c r="H3008" s="138">
        <v>1375</v>
      </c>
      <c r="I3008" s="139" t="str">
        <f>VLOOKUP(H3008,Stock_list!A:R,18,FALSE)</f>
        <v>力通威</v>
      </c>
      <c r="J3008" s="139" t="str">
        <f>VLOOKUP(H3008,Stock_list!A:S,17,FALSE)</f>
        <v>C49SZX20210138JL</v>
      </c>
      <c r="K3008" s="51" t="str">
        <f>VLOOKUP(H3008,Stock_list!A:T,16,FALSE)</f>
        <v>JPY</v>
      </c>
      <c r="L3008" s="4">
        <v>44358</v>
      </c>
      <c r="M3008" s="140">
        <v>5</v>
      </c>
      <c r="P3008" s="4" t="str">
        <f>VLOOKUP(H3008,Stock_list!A:Y,25,FALSE)</f>
        <v>Yes</v>
      </c>
      <c r="Q3008" s="143"/>
      <c r="T3008" s="144"/>
      <c r="U3008" s="145" t="str">
        <f>VLOOKUP(H3008,Stock_list!A:N,14,FALSE)</f>
        <v>JUN 21</v>
      </c>
    </row>
    <row r="3009" spans="1:21" ht="16.5" customHeight="1">
      <c r="A3009" s="159" t="s">
        <v>2748</v>
      </c>
      <c r="B3009" s="114" t="str">
        <f>VLOOKUP(A3009,'Data pick slip'!B:F,5,FALSE)</f>
        <v>KHJ-MC400-00</v>
      </c>
      <c r="F3009" s="157" t="s">
        <v>1381</v>
      </c>
      <c r="H3009" s="138">
        <v>1375</v>
      </c>
      <c r="I3009" s="139" t="str">
        <f>VLOOKUP(H3009,Stock_list!A:R,18,FALSE)</f>
        <v>力通威</v>
      </c>
      <c r="J3009" s="139" t="str">
        <f>VLOOKUP(H3009,Stock_list!A:S,17,FALSE)</f>
        <v>C49SZX20210138JL</v>
      </c>
      <c r="K3009" s="51" t="str">
        <f>VLOOKUP(H3009,Stock_list!A:T,16,FALSE)</f>
        <v>JPY</v>
      </c>
      <c r="L3009" s="4">
        <v>44358</v>
      </c>
      <c r="M3009" s="140">
        <v>1</v>
      </c>
      <c r="P3009" s="4" t="str">
        <f>VLOOKUP(H3009,Stock_list!A:Y,25,FALSE)</f>
        <v>Yes</v>
      </c>
      <c r="Q3009" s="143"/>
      <c r="T3009" s="144"/>
      <c r="U3009" s="145" t="str">
        <f>VLOOKUP(H3009,Stock_list!A:N,14,FALSE)</f>
        <v>JUN 21</v>
      </c>
    </row>
    <row r="3010" spans="1:21" ht="16.5" customHeight="1">
      <c r="A3010" s="159" t="s">
        <v>2747</v>
      </c>
      <c r="B3010" s="114" t="str">
        <f>VLOOKUP(A3010,'Data pick slip'!B:F,5,FALSE)</f>
        <v>KHJ-MC200-00</v>
      </c>
      <c r="F3010" s="157" t="s">
        <v>2753</v>
      </c>
      <c r="I3010" s="139" t="s">
        <v>3093</v>
      </c>
      <c r="J3010" s="267" t="s">
        <v>3440</v>
      </c>
      <c r="K3010" s="51" t="s">
        <v>1246</v>
      </c>
      <c r="L3010" s="4">
        <v>44335</v>
      </c>
      <c r="M3010" s="140">
        <v>5</v>
      </c>
      <c r="P3010" s="4" t="s">
        <v>291</v>
      </c>
      <c r="Q3010" s="143"/>
      <c r="T3010" s="144"/>
      <c r="U3010" s="145" t="e">
        <f>VLOOKUP(H3010,Stock_list!A:N,14,FALSE)</f>
        <v>#N/A</v>
      </c>
    </row>
    <row r="3011" spans="1:21" ht="16.5" customHeight="1">
      <c r="A3011" s="159" t="s">
        <v>2768</v>
      </c>
      <c r="B3011" s="114" t="str">
        <f>VLOOKUP(A3011,'Data pick slip'!B:F,5,FALSE)</f>
        <v>KHJ-MC100-00</v>
      </c>
      <c r="F3011" s="157" t="s">
        <v>1381</v>
      </c>
      <c r="I3011" s="269" t="s">
        <v>3413</v>
      </c>
      <c r="J3011" s="139" t="s">
        <v>3441</v>
      </c>
      <c r="K3011" s="51" t="s">
        <v>1246</v>
      </c>
      <c r="L3011" s="4">
        <v>44337</v>
      </c>
      <c r="M3011" s="171">
        <v>100</v>
      </c>
      <c r="P3011" s="4" t="s">
        <v>291</v>
      </c>
      <c r="Q3011" s="143"/>
      <c r="T3011" s="144"/>
      <c r="U3011" s="145" t="e">
        <f>VLOOKUP(H3011,Stock_list!A:N,14,FALSE)</f>
        <v>#N/A</v>
      </c>
    </row>
    <row r="3012" spans="1:21" ht="16.5" customHeight="1">
      <c r="A3012" s="159" t="s">
        <v>2747</v>
      </c>
      <c r="B3012" s="114" t="str">
        <f>VLOOKUP(A3012,'Data pick slip'!B:F,5,FALSE)</f>
        <v>KHJ-MC200-00</v>
      </c>
      <c r="F3012" s="157" t="s">
        <v>1381</v>
      </c>
      <c r="I3012" s="269" t="s">
        <v>3413</v>
      </c>
      <c r="J3012" s="139" t="s">
        <v>3441</v>
      </c>
      <c r="K3012" s="51" t="s">
        <v>1246</v>
      </c>
      <c r="L3012" s="4">
        <v>44337</v>
      </c>
      <c r="M3012" s="171">
        <v>45</v>
      </c>
      <c r="P3012" s="4" t="s">
        <v>291</v>
      </c>
      <c r="Q3012" s="143"/>
      <c r="T3012" s="144"/>
      <c r="U3012" s="145" t="e">
        <f>VLOOKUP(H3012,Stock_list!A:N,14,FALSE)</f>
        <v>#N/A</v>
      </c>
    </row>
    <row r="3013" spans="1:21" ht="16.5" customHeight="1">
      <c r="A3013" s="159" t="s">
        <v>2748</v>
      </c>
      <c r="B3013" s="114" t="str">
        <f>VLOOKUP(A3013,'Data pick slip'!B:F,5,FALSE)</f>
        <v>KHJ-MC400-00</v>
      </c>
      <c r="F3013" s="157" t="s">
        <v>1381</v>
      </c>
      <c r="I3013" s="269" t="s">
        <v>3413</v>
      </c>
      <c r="J3013" s="139" t="s">
        <v>3441</v>
      </c>
      <c r="K3013" s="51" t="s">
        <v>1246</v>
      </c>
      <c r="L3013" s="4">
        <v>44337</v>
      </c>
      <c r="M3013" s="171">
        <v>6</v>
      </c>
      <c r="P3013" s="4" t="s">
        <v>291</v>
      </c>
      <c r="Q3013" s="143"/>
      <c r="T3013" s="144"/>
      <c r="U3013" s="145" t="e">
        <f>VLOOKUP(H3013,Stock_list!A:N,14,FALSE)</f>
        <v>#N/A</v>
      </c>
    </row>
    <row r="3014" spans="1:21" ht="16.5" customHeight="1">
      <c r="A3014" s="159" t="s">
        <v>2751</v>
      </c>
      <c r="B3014" s="114" t="str">
        <f>VLOOKUP(A3014,'Data pick slip'!B:F,5,FALSE)</f>
        <v>KHJ-MC700-00</v>
      </c>
      <c r="F3014" s="157" t="s">
        <v>1381</v>
      </c>
      <c r="I3014" s="269" t="s">
        <v>3413</v>
      </c>
      <c r="J3014" s="139" t="s">
        <v>3441</v>
      </c>
      <c r="K3014" s="51" t="s">
        <v>1246</v>
      </c>
      <c r="L3014" s="4">
        <v>44337</v>
      </c>
      <c r="M3014" s="171">
        <v>1</v>
      </c>
      <c r="P3014" s="4" t="s">
        <v>291</v>
      </c>
      <c r="Q3014" s="143"/>
      <c r="T3014" s="144"/>
      <c r="U3014" s="145" t="e">
        <f>VLOOKUP(H3014,Stock_list!A:N,14,FALSE)</f>
        <v>#N/A</v>
      </c>
    </row>
    <row r="3015" spans="1:21" ht="16.5" customHeight="1">
      <c r="A3015" s="159" t="s">
        <v>2750</v>
      </c>
      <c r="B3015" s="114" t="str">
        <f>VLOOKUP(A3015,'Data pick slip'!B:F,5,FALSE)</f>
        <v>KHJ-MC600-00</v>
      </c>
      <c r="F3015" s="157" t="s">
        <v>2753</v>
      </c>
      <c r="I3015" s="139" t="s">
        <v>3099</v>
      </c>
      <c r="J3015" s="139" t="s">
        <v>3442</v>
      </c>
      <c r="K3015" s="51" t="s">
        <v>1246</v>
      </c>
      <c r="L3015" s="4">
        <v>44337</v>
      </c>
      <c r="M3015" s="140">
        <v>1</v>
      </c>
      <c r="P3015" s="4" t="s">
        <v>291</v>
      </c>
      <c r="Q3015" s="143"/>
      <c r="T3015" s="144"/>
      <c r="U3015" s="145" t="e">
        <f>VLOOKUP(H3015,Stock_list!A:N,14,FALSE)</f>
        <v>#N/A</v>
      </c>
    </row>
    <row r="3016" spans="1:21" ht="16.5" customHeight="1">
      <c r="A3016" s="159" t="s">
        <v>2751</v>
      </c>
      <c r="B3016" s="114" t="str">
        <f>VLOOKUP(A3016,'Data pick slip'!B:F,5,FALSE)</f>
        <v>KHJ-MC700-00</v>
      </c>
      <c r="F3016" s="157" t="s">
        <v>2753</v>
      </c>
      <c r="I3016" s="139" t="s">
        <v>3099</v>
      </c>
      <c r="J3016" s="267" t="s">
        <v>3443</v>
      </c>
      <c r="K3016" s="51" t="s">
        <v>1246</v>
      </c>
      <c r="L3016" s="4">
        <v>44337</v>
      </c>
      <c r="M3016" s="140">
        <v>1</v>
      </c>
      <c r="P3016" s="4" t="s">
        <v>291</v>
      </c>
      <c r="Q3016" s="143"/>
      <c r="T3016" s="144"/>
      <c r="U3016" s="145" t="e">
        <f>VLOOKUP(H3016,Stock_list!A:N,14,FALSE)</f>
        <v>#N/A</v>
      </c>
    </row>
    <row r="3017" spans="1:21" ht="16.5" customHeight="1">
      <c r="A3017" s="159" t="s">
        <v>2749</v>
      </c>
      <c r="B3017" s="114" t="str">
        <f>VLOOKUP(A3017,'Data pick slip'!B:F,5,FALSE)</f>
        <v>KHJ-MC500-00</v>
      </c>
      <c r="F3017" s="157" t="s">
        <v>2753</v>
      </c>
      <c r="I3017" s="139" t="s">
        <v>3099</v>
      </c>
      <c r="J3017" s="267" t="s">
        <v>3444</v>
      </c>
      <c r="K3017" s="51" t="s">
        <v>1246</v>
      </c>
      <c r="L3017" s="4">
        <v>44337</v>
      </c>
      <c r="M3017" s="140">
        <v>6</v>
      </c>
      <c r="P3017" s="4" t="s">
        <v>291</v>
      </c>
      <c r="Q3017" s="143"/>
      <c r="T3017" s="144"/>
      <c r="U3017" s="145" t="e">
        <f>VLOOKUP(H3017,Stock_list!A:N,14,FALSE)</f>
        <v>#N/A</v>
      </c>
    </row>
    <row r="3018" spans="1:21" ht="16.5" customHeight="1">
      <c r="A3018" s="159" t="s">
        <v>2768</v>
      </c>
      <c r="B3018" s="114" t="str">
        <f>VLOOKUP(A3018,'Data pick slip'!B:F,5,FALSE)</f>
        <v>KHJ-MC100-00</v>
      </c>
      <c r="F3018" s="157" t="s">
        <v>1381</v>
      </c>
      <c r="H3018" s="138">
        <v>1376</v>
      </c>
      <c r="I3018" s="139" t="str">
        <f>VLOOKUP(H3018,Stock_list!A:R,18,FALSE)</f>
        <v>莫思特</v>
      </c>
      <c r="J3018" s="139" t="str">
        <f>VLOOKUP(H3018,Stock_list!A:S,17,FALSE)</f>
        <v>C49SZX20210150SX</v>
      </c>
      <c r="K3018" s="51" t="str">
        <f>VLOOKUP(H3018,Stock_list!A:T,16,FALSE)</f>
        <v>JPY</v>
      </c>
      <c r="L3018" s="4">
        <v>44568</v>
      </c>
      <c r="M3018" s="140">
        <v>20</v>
      </c>
      <c r="P3018" s="4" t="str">
        <f>VLOOKUP(H3018,Stock_list!A:Y,25,FALSE)</f>
        <v>Yes</v>
      </c>
      <c r="Q3018" s="143"/>
      <c r="T3018" s="144"/>
      <c r="U3018" s="145" t="str">
        <f>VLOOKUP(H3018,Stock_list!A:N,14,FALSE)</f>
        <v>JAN 22</v>
      </c>
    </row>
    <row r="3019" spans="1:21" ht="16.5" customHeight="1">
      <c r="A3019" s="159" t="s">
        <v>2747</v>
      </c>
      <c r="B3019" s="114" t="str">
        <f>VLOOKUP(A3019,'Data pick slip'!B:F,5,FALSE)</f>
        <v>KHJ-MC200-00</v>
      </c>
      <c r="F3019" s="157" t="s">
        <v>1381</v>
      </c>
      <c r="H3019" s="138">
        <v>1376</v>
      </c>
      <c r="I3019" s="139" t="str">
        <f>VLOOKUP(H3019,Stock_list!A:R,18,FALSE)</f>
        <v>莫思特</v>
      </c>
      <c r="J3019" s="139" t="str">
        <f>VLOOKUP(H3019,Stock_list!A:S,17,FALSE)</f>
        <v>C49SZX20210150SX</v>
      </c>
      <c r="K3019" s="51" t="str">
        <f>VLOOKUP(H3019,Stock_list!A:T,16,FALSE)</f>
        <v>JPY</v>
      </c>
      <c r="L3019" s="4">
        <v>44568</v>
      </c>
      <c r="M3019" s="140">
        <v>5</v>
      </c>
      <c r="P3019" s="4" t="str">
        <f>VLOOKUP(H3019,Stock_list!A:Y,25,FALSE)</f>
        <v>Yes</v>
      </c>
      <c r="Q3019" s="143"/>
      <c r="T3019" s="144"/>
      <c r="U3019" s="145" t="str">
        <f>VLOOKUP(H3019,Stock_list!A:N,14,FALSE)</f>
        <v>JAN 22</v>
      </c>
    </row>
    <row r="3020" spans="1:21" ht="16.5" customHeight="1">
      <c r="A3020" s="159" t="s">
        <v>2768</v>
      </c>
      <c r="B3020" s="114" t="str">
        <f>VLOOKUP(A3020,'Data pick slip'!B:F,5,FALSE)</f>
        <v>KHJ-MC100-00</v>
      </c>
      <c r="F3020" s="157" t="s">
        <v>1381</v>
      </c>
      <c r="H3020" s="138">
        <v>1377</v>
      </c>
      <c r="I3020" s="139" t="str">
        <f>VLOOKUP(H3020,Stock_list!A:R,18,FALSE)</f>
        <v>龙腾共创</v>
      </c>
      <c r="J3020" s="139" t="str">
        <f>VLOOKUP(H3020,Stock_list!A:S,17,FALSE)</f>
        <v>C49SZX20210151SX</v>
      </c>
      <c r="K3020" s="51" t="str">
        <f>VLOOKUP(H3020,Stock_list!A:T,16,FALSE)</f>
        <v>JPY</v>
      </c>
      <c r="L3020" s="286">
        <v>44530</v>
      </c>
      <c r="M3020" s="283">
        <v>20</v>
      </c>
      <c r="P3020" s="4" t="str">
        <f>VLOOKUP(H3020,Stock_list!A:Y,25,FALSE)</f>
        <v>Yes</v>
      </c>
      <c r="Q3020" s="143"/>
      <c r="T3020" s="144"/>
      <c r="U3020" s="145" t="str">
        <f>VLOOKUP(H3020,Stock_list!A:N,14,FALSE)</f>
        <v>NOV 21</v>
      </c>
    </row>
    <row r="3021" spans="1:21" ht="16.5" customHeight="1">
      <c r="A3021" s="159" t="s">
        <v>2747</v>
      </c>
      <c r="B3021" s="114" t="str">
        <f>VLOOKUP(A3021,'Data pick slip'!B:F,5,FALSE)</f>
        <v>KHJ-MC200-00</v>
      </c>
      <c r="F3021" s="157" t="s">
        <v>1381</v>
      </c>
      <c r="H3021" s="138">
        <v>1377</v>
      </c>
      <c r="I3021" s="139" t="str">
        <f>VLOOKUP(H3021,Stock_list!A:R,18,FALSE)</f>
        <v>龙腾共创</v>
      </c>
      <c r="J3021" s="139" t="str">
        <f>VLOOKUP(H3021,Stock_list!A:S,17,FALSE)</f>
        <v>C49SZX20210151SX</v>
      </c>
      <c r="K3021" s="258" t="str">
        <f>VLOOKUP(H3021,Stock_list!A:T,16,FALSE)</f>
        <v>JPY</v>
      </c>
      <c r="L3021" s="286">
        <v>44530</v>
      </c>
      <c r="M3021" s="283">
        <v>20</v>
      </c>
      <c r="P3021" s="4" t="str">
        <f>VLOOKUP(H3021,Stock_list!A:Y,25,FALSE)</f>
        <v>Yes</v>
      </c>
      <c r="Q3021" s="143"/>
      <c r="T3021" s="144"/>
      <c r="U3021" s="145" t="str">
        <f>VLOOKUP(H3021,Stock_list!A:N,14,FALSE)</f>
        <v>NOV 21</v>
      </c>
    </row>
    <row r="3022" spans="1:21" ht="16.5" customHeight="1">
      <c r="A3022" s="159" t="s">
        <v>2744</v>
      </c>
      <c r="B3022" s="114" t="str">
        <f>VLOOKUP(A3022,'Data pick slip'!B:F,5,FALSE)</f>
        <v>KHJ-MC100-00</v>
      </c>
      <c r="F3022" s="157" t="s">
        <v>1381</v>
      </c>
      <c r="H3022" s="138">
        <v>1378</v>
      </c>
      <c r="I3022" s="139" t="str">
        <f>VLOOKUP(H3022,Stock_list!A:R,18,FALSE)</f>
        <v>巨能</v>
      </c>
      <c r="J3022" s="139" t="str">
        <f>VLOOKUP(H3022,Stock_list!A:S,17,FALSE)</f>
        <v>C49SZX20210153MZ</v>
      </c>
      <c r="K3022" s="51" t="str">
        <f>VLOOKUP(H3022,Stock_list!A:T,16,FALSE)</f>
        <v>JPY</v>
      </c>
      <c r="L3022" s="4">
        <v>44370</v>
      </c>
      <c r="M3022" s="132">
        <v>40</v>
      </c>
      <c r="P3022" s="4" t="str">
        <f>VLOOKUP(H3022,Stock_list!A:Y,25,FALSE)</f>
        <v>Yes</v>
      </c>
      <c r="Q3022" s="143"/>
      <c r="T3022" s="144"/>
      <c r="U3022" s="145" t="str">
        <f>VLOOKUP(H3022,Stock_list!A:N,14,FALSE)</f>
        <v>JUN 21</v>
      </c>
    </row>
    <row r="3023" spans="1:21" ht="16.5" customHeight="1">
      <c r="A3023" s="159" t="s">
        <v>2747</v>
      </c>
      <c r="B3023" s="114" t="str">
        <f>VLOOKUP(A3023,'Data pick slip'!B:F,5,FALSE)</f>
        <v>KHJ-MC200-00</v>
      </c>
      <c r="F3023" s="157" t="s">
        <v>1381</v>
      </c>
      <c r="H3023" s="138">
        <v>1378</v>
      </c>
      <c r="I3023" s="139" t="str">
        <f>VLOOKUP(H3023,Stock_list!A:R,18,FALSE)</f>
        <v>巨能</v>
      </c>
      <c r="J3023" s="139" t="str">
        <f>VLOOKUP(H3023,Stock_list!A:S,17,FALSE)</f>
        <v>C49SZX20210153MZ</v>
      </c>
      <c r="K3023" s="51" t="str">
        <f>VLOOKUP(H3023,Stock_list!A:T,16,FALSE)</f>
        <v>JPY</v>
      </c>
      <c r="L3023" s="4">
        <v>44370</v>
      </c>
      <c r="M3023" s="132">
        <v>8</v>
      </c>
      <c r="P3023" s="4" t="str">
        <f>VLOOKUP(H3023,Stock_list!A:Y,25,FALSE)</f>
        <v>Yes</v>
      </c>
      <c r="Q3023" s="143"/>
      <c r="T3023" s="144"/>
      <c r="U3023" s="145" t="str">
        <f>VLOOKUP(H3023,Stock_list!A:N,14,FALSE)</f>
        <v>JUN 21</v>
      </c>
    </row>
    <row r="3024" spans="1:21" ht="16.5" customHeight="1">
      <c r="A3024" s="159" t="s">
        <v>2748</v>
      </c>
      <c r="B3024" s="114" t="str">
        <f>VLOOKUP(A3024,'Data pick slip'!B:F,5,FALSE)</f>
        <v>KHJ-MC400-00</v>
      </c>
      <c r="F3024" s="157" t="s">
        <v>1381</v>
      </c>
      <c r="H3024" s="138">
        <v>1378</v>
      </c>
      <c r="I3024" s="139" t="str">
        <f>VLOOKUP(H3024,Stock_list!A:R,18,FALSE)</f>
        <v>巨能</v>
      </c>
      <c r="J3024" s="139" t="str">
        <f>VLOOKUP(H3024,Stock_list!A:S,17,FALSE)</f>
        <v>C49SZX20210153MZ</v>
      </c>
      <c r="K3024" s="51" t="str">
        <f>VLOOKUP(H3024,Stock_list!A:T,16,FALSE)</f>
        <v>JPY</v>
      </c>
      <c r="L3024" s="4">
        <v>44370</v>
      </c>
      <c r="M3024" s="132">
        <v>2</v>
      </c>
      <c r="P3024" s="4" t="str">
        <f>VLOOKUP(H3024,Stock_list!A:Y,25,FALSE)</f>
        <v>Yes</v>
      </c>
      <c r="Q3024" s="143"/>
      <c r="T3024" s="144"/>
      <c r="U3024" s="145" t="str">
        <f>VLOOKUP(H3024,Stock_list!A:N,14,FALSE)</f>
        <v>JUN 21</v>
      </c>
    </row>
    <row r="3025" spans="1:21" ht="16.5" customHeight="1">
      <c r="A3025" s="159" t="s">
        <v>2749</v>
      </c>
      <c r="B3025" s="114" t="str">
        <f>VLOOKUP(A3025,'Data pick slip'!B:F,5,FALSE)</f>
        <v>KHJ-MC500-00</v>
      </c>
      <c r="F3025" s="157" t="s">
        <v>1381</v>
      </c>
      <c r="H3025" s="138">
        <v>1378</v>
      </c>
      <c r="I3025" s="139" t="str">
        <f>VLOOKUP(H3025,Stock_list!A:R,18,FALSE)</f>
        <v>巨能</v>
      </c>
      <c r="J3025" s="139" t="str">
        <f>VLOOKUP(H3025,Stock_list!A:S,17,FALSE)</f>
        <v>C49SZX20210153MZ</v>
      </c>
      <c r="K3025" s="51" t="str">
        <f>VLOOKUP(H3025,Stock_list!A:T,16,FALSE)</f>
        <v>JPY</v>
      </c>
      <c r="L3025" s="4">
        <v>44370</v>
      </c>
      <c r="M3025" s="132">
        <v>1</v>
      </c>
      <c r="P3025" s="4" t="str">
        <f>VLOOKUP(H3025,Stock_list!A:Y,25,FALSE)</f>
        <v>Yes</v>
      </c>
      <c r="Q3025" s="143"/>
      <c r="T3025" s="144"/>
      <c r="U3025" s="145" t="str">
        <f>VLOOKUP(H3025,Stock_list!A:N,14,FALSE)</f>
        <v>JUN 21</v>
      </c>
    </row>
    <row r="3026" spans="1:21" ht="16.5" customHeight="1">
      <c r="A3026" s="159" t="s">
        <v>2744</v>
      </c>
      <c r="B3026" s="114" t="str">
        <f>VLOOKUP(A3026,'Data pick slip'!B:F,5,FALSE)</f>
        <v>KHJ-MC100-00</v>
      </c>
      <c r="F3026" s="157" t="s">
        <v>1381</v>
      </c>
      <c r="H3026" s="138">
        <v>1379</v>
      </c>
      <c r="I3026" s="139" t="str">
        <f>VLOOKUP(H3026,Stock_list!A:R,18,FALSE)</f>
        <v>巨能</v>
      </c>
      <c r="J3026" s="139" t="str">
        <f>VLOOKUP(H3026,Stock_list!A:S,17,FALSE)</f>
        <v>C49SZX20210154MZ</v>
      </c>
      <c r="K3026" s="51" t="str">
        <f>VLOOKUP(H3026,Stock_list!A:T,16,FALSE)</f>
        <v>JPY</v>
      </c>
      <c r="L3026" s="4">
        <v>44425</v>
      </c>
      <c r="M3026" s="140">
        <v>20</v>
      </c>
      <c r="P3026" s="4" t="str">
        <f>VLOOKUP(H3026,Stock_list!A:Y,25,FALSE)</f>
        <v>Yes</v>
      </c>
      <c r="Q3026" s="143"/>
      <c r="T3026" s="144"/>
      <c r="U3026" s="145" t="str">
        <f>VLOOKUP(H3026,Stock_list!A:N,14,FALSE)</f>
        <v>AUG 21</v>
      </c>
    </row>
    <row r="3027" spans="1:21" ht="16.5" customHeight="1">
      <c r="A3027" s="159" t="s">
        <v>2744</v>
      </c>
      <c r="B3027" s="114" t="str">
        <f>VLOOKUP(A3027,'Data pick slip'!B:F,5,FALSE)</f>
        <v>KHJ-MC100-00</v>
      </c>
      <c r="F3027" s="157" t="s">
        <v>1381</v>
      </c>
      <c r="H3027" s="138">
        <v>1380</v>
      </c>
      <c r="I3027" s="139" t="str">
        <f>VLOOKUP(H3027,Stock_list!A:R,18,FALSE)</f>
        <v>巨能</v>
      </c>
      <c r="J3027" s="139" t="str">
        <f>VLOOKUP(H3027,Stock_list!A:S,17,FALSE)</f>
        <v>C49SZX20210155MZR1</v>
      </c>
      <c r="K3027" s="51" t="str">
        <f>VLOOKUP(H3027,Stock_list!A:T,16,FALSE)</f>
        <v>JPY</v>
      </c>
      <c r="L3027" s="4">
        <v>44672</v>
      </c>
      <c r="M3027" s="132">
        <v>30</v>
      </c>
      <c r="P3027" s="4" t="str">
        <f>VLOOKUP(H3027,Stock_list!A:Y,25,FALSE)</f>
        <v>Yes</v>
      </c>
      <c r="Q3027" s="143"/>
      <c r="T3027" s="144"/>
      <c r="U3027" s="145" t="str">
        <f>VLOOKUP(H3027,Stock_list!A:N,14,FALSE)</f>
        <v>APR 22</v>
      </c>
    </row>
    <row r="3028" spans="1:21" ht="16.5" customHeight="1">
      <c r="A3028" s="159" t="s">
        <v>2747</v>
      </c>
      <c r="B3028" s="114" t="str">
        <f>VLOOKUP(A3028,'Data pick slip'!B:F,5,FALSE)</f>
        <v>KHJ-MC200-00</v>
      </c>
      <c r="F3028" s="157" t="s">
        <v>1381</v>
      </c>
      <c r="H3028" s="138">
        <v>1380</v>
      </c>
      <c r="I3028" s="139" t="str">
        <f>VLOOKUP(H3028,Stock_list!A:R,18,FALSE)</f>
        <v>巨能</v>
      </c>
      <c r="J3028" s="139" t="str">
        <f>VLOOKUP(H3028,Stock_list!A:S,17,FALSE)</f>
        <v>C49SZX20210155MZR1</v>
      </c>
      <c r="K3028" s="51" t="str">
        <f>VLOOKUP(H3028,Stock_list!A:T,16,FALSE)</f>
        <v>JPY</v>
      </c>
      <c r="L3028" s="4">
        <v>44672</v>
      </c>
      <c r="M3028" s="132">
        <v>4</v>
      </c>
      <c r="P3028" s="4" t="str">
        <f>VLOOKUP(H3028,Stock_list!A:Y,25,FALSE)</f>
        <v>Yes</v>
      </c>
      <c r="Q3028" s="143"/>
      <c r="T3028" s="144"/>
      <c r="U3028" s="145" t="str">
        <f>VLOOKUP(H3028,Stock_list!A:N,14,FALSE)</f>
        <v>APR 22</v>
      </c>
    </row>
    <row r="3029" spans="1:21" ht="16.5" customHeight="1">
      <c r="A3029" s="159" t="s">
        <v>2748</v>
      </c>
      <c r="B3029" s="114" t="str">
        <f>VLOOKUP(A3029,'Data pick slip'!B:F,5,FALSE)</f>
        <v>KHJ-MC400-00</v>
      </c>
      <c r="F3029" s="157" t="s">
        <v>1381</v>
      </c>
      <c r="H3029" s="138">
        <v>1380</v>
      </c>
      <c r="I3029" s="139" t="str">
        <f>VLOOKUP(H3029,Stock_list!A:R,18,FALSE)</f>
        <v>巨能</v>
      </c>
      <c r="J3029" s="139" t="str">
        <f>VLOOKUP(H3029,Stock_list!A:S,17,FALSE)</f>
        <v>C49SZX20210155MZR1</v>
      </c>
      <c r="K3029" s="51" t="str">
        <f>VLOOKUP(H3029,Stock_list!A:T,16,FALSE)</f>
        <v>JPY</v>
      </c>
      <c r="L3029" s="4">
        <v>44672</v>
      </c>
      <c r="M3029" s="132">
        <v>1</v>
      </c>
      <c r="P3029" s="4" t="str">
        <f>VLOOKUP(H3029,Stock_list!A:Y,25,FALSE)</f>
        <v>Yes</v>
      </c>
      <c r="Q3029" s="143"/>
      <c r="T3029" s="144"/>
      <c r="U3029" s="145" t="str">
        <f>VLOOKUP(H3029,Stock_list!A:N,14,FALSE)</f>
        <v>APR 22</v>
      </c>
    </row>
    <row r="3030" spans="1:21" ht="16.5" customHeight="1">
      <c r="A3030" s="159" t="s">
        <v>2744</v>
      </c>
      <c r="B3030" s="114" t="str">
        <f>VLOOKUP(A3030,'Data pick slip'!B:F,5,FALSE)</f>
        <v>KHJ-MC100-00</v>
      </c>
      <c r="F3030" s="157" t="s">
        <v>1381</v>
      </c>
      <c r="H3030" s="138">
        <v>1384</v>
      </c>
      <c r="I3030" s="139" t="str">
        <f>VLOOKUP(H3030,Stock_list!A:R,18,FALSE)</f>
        <v>广恒创新（enduser:深圳比尔乔）</v>
      </c>
      <c r="J3030" s="139" t="str">
        <f>VLOOKUP(H3030,Stock_list!A:S,17,FALSE)</f>
        <v>C49SZX20220057DZ</v>
      </c>
      <c r="K3030" s="51" t="str">
        <f>VLOOKUP(H3030,Stock_list!A:T,16,FALSE)</f>
        <v>JPY</v>
      </c>
      <c r="L3030" s="4">
        <v>44377</v>
      </c>
      <c r="M3030" s="140">
        <v>30</v>
      </c>
      <c r="P3030" s="4" t="str">
        <f>VLOOKUP(H3030,Stock_list!A:Y,25,FALSE)</f>
        <v>Yes</v>
      </c>
      <c r="Q3030" s="143"/>
      <c r="T3030" s="144"/>
      <c r="U3030" s="145" t="str">
        <f>VLOOKUP(H3030,Stock_list!A:N,14,FALSE)</f>
        <v>JUL 21</v>
      </c>
    </row>
    <row r="3031" spans="1:21" ht="16.5" customHeight="1">
      <c r="A3031" s="159" t="s">
        <v>2744</v>
      </c>
      <c r="B3031" s="114" t="str">
        <f>VLOOKUP(A3031,'Data pick slip'!B:F,5,FALSE)</f>
        <v>KHJ-MC100-00</v>
      </c>
      <c r="F3031" s="157" t="s">
        <v>1381</v>
      </c>
      <c r="H3031" s="138">
        <v>1384</v>
      </c>
      <c r="I3031" s="139" t="str">
        <f>VLOOKUP(H3031,Stock_list!A:R,18,FALSE)</f>
        <v>广恒创新（enduser:深圳比尔乔）</v>
      </c>
      <c r="J3031" s="139" t="str">
        <f>VLOOKUP(H3031,Stock_list!A:S,17,FALSE)</f>
        <v>C49SZX20220057DZ</v>
      </c>
      <c r="K3031" s="51" t="str">
        <f>VLOOKUP(H3031,Stock_list!A:T,16,FALSE)</f>
        <v>JPY</v>
      </c>
      <c r="L3031" s="4">
        <v>44712</v>
      </c>
      <c r="M3031" s="140">
        <v>20</v>
      </c>
      <c r="P3031" s="4" t="str">
        <f>VLOOKUP(H3031,Stock_list!A:Y,25,FALSE)</f>
        <v>Yes</v>
      </c>
      <c r="Q3031" s="143"/>
      <c r="T3031" s="144"/>
      <c r="U3031" s="145" t="str">
        <f>VLOOKUP(H3031,Stock_list!A:N,14,FALSE)</f>
        <v>JUL 21</v>
      </c>
    </row>
    <row r="3032" spans="1:21" ht="16.5" customHeight="1">
      <c r="A3032" s="159" t="s">
        <v>2768</v>
      </c>
      <c r="B3032" s="114" t="str">
        <f>VLOOKUP(A3032,'Data pick slip'!B:F,5,FALSE)</f>
        <v>KHJ-MC100-00</v>
      </c>
      <c r="F3032" s="157" t="s">
        <v>1381</v>
      </c>
      <c r="H3032" s="138">
        <v>1394</v>
      </c>
      <c r="I3032" s="139" t="str">
        <f>VLOOKUP(H3032,Stock_list!A:R,18,FALSE)</f>
        <v>方案集</v>
      </c>
      <c r="J3032" s="139" t="str">
        <f>VLOOKUP(H3032,Stock_list!A:S,17,FALSE)</f>
        <v>C49SZX20210143DZ</v>
      </c>
      <c r="K3032" s="51" t="str">
        <f>VLOOKUP(H3032,Stock_list!A:T,16,FALSE)</f>
        <v>JPY</v>
      </c>
      <c r="L3032" s="4">
        <v>44572</v>
      </c>
      <c r="M3032" s="140">
        <v>50</v>
      </c>
      <c r="P3032" s="4" t="str">
        <f>VLOOKUP(H3032,Stock_list!A:Y,25,FALSE)</f>
        <v>Yes</v>
      </c>
      <c r="Q3032" s="143"/>
      <c r="T3032" s="144"/>
      <c r="U3032" s="145" t="str">
        <f>VLOOKUP(H3032,Stock_list!A:N,14,FALSE)</f>
        <v>JAN 22</v>
      </c>
    </row>
    <row r="3033" spans="1:21" ht="16.5" customHeight="1">
      <c r="A3033" s="159" t="s">
        <v>2747</v>
      </c>
      <c r="B3033" s="114" t="str">
        <f>VLOOKUP(A3033,'Data pick slip'!B:F,5,FALSE)</f>
        <v>KHJ-MC200-00</v>
      </c>
      <c r="F3033" s="157" t="s">
        <v>1381</v>
      </c>
      <c r="H3033" s="138">
        <v>1394</v>
      </c>
      <c r="I3033" s="139" t="str">
        <f>VLOOKUP(H3033,Stock_list!A:R,18,FALSE)</f>
        <v>方案集</v>
      </c>
      <c r="J3033" s="139" t="str">
        <f>VLOOKUP(H3033,Stock_list!A:S,17,FALSE)</f>
        <v>C49SZX20210143DZ</v>
      </c>
      <c r="K3033" s="51" t="str">
        <f>VLOOKUP(H3033,Stock_list!A:T,16,FALSE)</f>
        <v>JPY</v>
      </c>
      <c r="L3033" s="4">
        <v>44572</v>
      </c>
      <c r="M3033" s="140">
        <v>5</v>
      </c>
      <c r="P3033" s="4" t="str">
        <f>VLOOKUP(H3033,Stock_list!A:Y,25,FALSE)</f>
        <v>Yes</v>
      </c>
      <c r="Q3033" s="143"/>
      <c r="T3033" s="144"/>
      <c r="U3033" s="145" t="str">
        <f>VLOOKUP(H3033,Stock_list!A:N,14,FALSE)</f>
        <v>JAN 22</v>
      </c>
    </row>
    <row r="3034" spans="1:21" ht="16.5" customHeight="1">
      <c r="A3034" s="159" t="s">
        <v>2748</v>
      </c>
      <c r="B3034" s="114" t="str">
        <f>VLOOKUP(A3034,'Data pick slip'!B:F,5,FALSE)</f>
        <v>KHJ-MC400-00</v>
      </c>
      <c r="F3034" s="157" t="s">
        <v>1381</v>
      </c>
      <c r="H3034" s="138">
        <v>1394</v>
      </c>
      <c r="I3034" s="139" t="str">
        <f>VLOOKUP(H3034,Stock_list!A:R,18,FALSE)</f>
        <v>方案集</v>
      </c>
      <c r="J3034" s="139" t="str">
        <f>VLOOKUP(H3034,Stock_list!A:S,17,FALSE)</f>
        <v>C49SZX20210143DZ</v>
      </c>
      <c r="K3034" s="51" t="str">
        <f>VLOOKUP(H3034,Stock_list!A:T,16,FALSE)</f>
        <v>JPY</v>
      </c>
      <c r="L3034" s="4">
        <v>44572</v>
      </c>
      <c r="M3034" s="140">
        <v>2</v>
      </c>
      <c r="P3034" s="4" t="str">
        <f>VLOOKUP(H3034,Stock_list!A:Y,25,FALSE)</f>
        <v>Yes</v>
      </c>
      <c r="Q3034" s="143"/>
      <c r="T3034" s="144"/>
      <c r="U3034" s="145" t="str">
        <f>VLOOKUP(H3034,Stock_list!A:N,14,FALSE)</f>
        <v>JAN 22</v>
      </c>
    </row>
    <row r="3035" spans="1:21" ht="16.5" customHeight="1">
      <c r="A3035" s="159" t="s">
        <v>2750</v>
      </c>
      <c r="B3035" s="114" t="str">
        <f>VLOOKUP(A3035,'Data pick slip'!B:F,5,FALSE)</f>
        <v>KHJ-MC600-00</v>
      </c>
      <c r="F3035" s="157" t="s">
        <v>1381</v>
      </c>
      <c r="H3035" s="138">
        <v>1394</v>
      </c>
      <c r="I3035" s="139" t="str">
        <f>VLOOKUP(H3035,Stock_list!A:R,18,FALSE)</f>
        <v>方案集</v>
      </c>
      <c r="J3035" s="139" t="str">
        <f>VLOOKUP(H3035,Stock_list!A:S,17,FALSE)</f>
        <v>C49SZX20210143DZ</v>
      </c>
      <c r="K3035" s="51" t="str">
        <f>VLOOKUP(H3035,Stock_list!A:T,16,FALSE)</f>
        <v>JPY</v>
      </c>
      <c r="L3035" s="4">
        <v>44572</v>
      </c>
      <c r="M3035" s="140">
        <v>1</v>
      </c>
      <c r="P3035" s="4" t="str">
        <f>VLOOKUP(H3035,Stock_list!A:Y,25,FALSE)</f>
        <v>Yes</v>
      </c>
      <c r="Q3035" s="143"/>
      <c r="T3035" s="144"/>
      <c r="U3035" s="145" t="str">
        <f>VLOOKUP(H3035,Stock_list!A:N,14,FALSE)</f>
        <v>JAN 22</v>
      </c>
    </row>
    <row r="3036" spans="1:21" ht="16.5" customHeight="1">
      <c r="A3036" s="159" t="s">
        <v>2768</v>
      </c>
      <c r="B3036" s="114" t="str">
        <f>VLOOKUP(A3036,'Data pick slip'!B:F,5,FALSE)</f>
        <v>KHJ-MC100-00</v>
      </c>
      <c r="F3036" s="157" t="s">
        <v>1381</v>
      </c>
      <c r="I3036" s="269" t="s">
        <v>3413</v>
      </c>
      <c r="J3036" s="139" t="s">
        <v>3445</v>
      </c>
      <c r="K3036" s="51" t="s">
        <v>1246</v>
      </c>
      <c r="L3036" s="4">
        <v>44341</v>
      </c>
      <c r="M3036" s="140">
        <v>280</v>
      </c>
      <c r="P3036" s="4" t="s">
        <v>291</v>
      </c>
      <c r="Q3036" s="143"/>
      <c r="T3036" s="144"/>
      <c r="U3036" s="145" t="e">
        <f>VLOOKUP(H3036,Stock_list!A:N,14,FALSE)</f>
        <v>#N/A</v>
      </c>
    </row>
    <row r="3037" spans="1:21" ht="16.5" customHeight="1">
      <c r="A3037" s="159" t="s">
        <v>2749</v>
      </c>
      <c r="B3037" s="114" t="str">
        <f>VLOOKUP(A3037,'Data pick slip'!B:F,5,FALSE)</f>
        <v>KHJ-MC500-00</v>
      </c>
      <c r="F3037" s="157" t="s">
        <v>1381</v>
      </c>
      <c r="I3037" s="269" t="s">
        <v>3413</v>
      </c>
      <c r="J3037" s="139" t="s">
        <v>3445</v>
      </c>
      <c r="K3037" s="51" t="s">
        <v>1246</v>
      </c>
      <c r="L3037" s="4">
        <v>44341</v>
      </c>
      <c r="M3037" s="140">
        <v>10</v>
      </c>
      <c r="P3037" s="4" t="s">
        <v>291</v>
      </c>
      <c r="Q3037" s="143"/>
      <c r="T3037" s="144"/>
      <c r="U3037" s="145" t="e">
        <f>VLOOKUP(H3037,Stock_list!A:N,14,FALSE)</f>
        <v>#N/A</v>
      </c>
    </row>
    <row r="3038" spans="1:21" ht="16.5" customHeight="1">
      <c r="A3038" s="159" t="s">
        <v>2768</v>
      </c>
      <c r="B3038" s="114" t="str">
        <f>VLOOKUP(A3038,'Data pick slip'!B:F,5,FALSE)</f>
        <v>KHJ-MC100-00</v>
      </c>
      <c r="F3038" s="157" t="s">
        <v>1381</v>
      </c>
      <c r="H3038" s="138">
        <v>1228</v>
      </c>
      <c r="I3038" s="139" t="str">
        <f>VLOOKUP(H3038,Stock_list!A:R,18,FALSE)</f>
        <v>巴科</v>
      </c>
      <c r="J3038" s="139" t="str">
        <f>VLOOKUP(H3038,Stock_list!A:S,17,FALSE)</f>
        <v>C49SZX20210035SX</v>
      </c>
      <c r="K3038" s="51" t="str">
        <f>VLOOKUP(H3038,Stock_list!A:T,16,FALSE)</f>
        <v>JPY</v>
      </c>
      <c r="L3038" s="4">
        <v>44349</v>
      </c>
      <c r="M3038" s="132">
        <v>350</v>
      </c>
      <c r="P3038" s="4" t="str">
        <f>VLOOKUP(H3038,Stock_list!A:Y,25,FALSE)</f>
        <v>Yes</v>
      </c>
      <c r="Q3038" s="143"/>
      <c r="T3038" s="144"/>
      <c r="U3038" s="145" t="str">
        <f>VLOOKUP(H3038,Stock_list!A:N,14,FALSE)</f>
        <v>JUN 21</v>
      </c>
    </row>
    <row r="3039" spans="1:21" ht="16.5" customHeight="1">
      <c r="A3039" s="159" t="s">
        <v>2747</v>
      </c>
      <c r="B3039" s="114" t="str">
        <f>VLOOKUP(A3039,'Data pick slip'!B:F,5,FALSE)</f>
        <v>KHJ-MC200-00</v>
      </c>
      <c r="F3039" s="157" t="s">
        <v>1381</v>
      </c>
      <c r="H3039" s="138">
        <v>1228</v>
      </c>
      <c r="I3039" s="139" t="str">
        <f>VLOOKUP(H3039,Stock_list!A:R,18,FALSE)</f>
        <v>巴科</v>
      </c>
      <c r="J3039" s="139" t="str">
        <f>VLOOKUP(H3039,Stock_list!A:S,17,FALSE)</f>
        <v>C49SZX20210035SX</v>
      </c>
      <c r="K3039" s="51" t="str">
        <f>VLOOKUP(H3039,Stock_list!A:T,16,FALSE)</f>
        <v>JPY</v>
      </c>
      <c r="L3039" s="4">
        <v>44349</v>
      </c>
      <c r="M3039" s="132">
        <v>15</v>
      </c>
      <c r="P3039" s="4" t="str">
        <f>VLOOKUP(H3039,Stock_list!A:Y,25,FALSE)</f>
        <v>Yes</v>
      </c>
      <c r="Q3039" s="143"/>
      <c r="T3039" s="144"/>
      <c r="U3039" s="145" t="str">
        <f>VLOOKUP(H3039,Stock_list!A:N,14,FALSE)</f>
        <v>JUN 21</v>
      </c>
    </row>
    <row r="3040" spans="1:21" ht="16.5" customHeight="1">
      <c r="A3040" s="159" t="s">
        <v>2768</v>
      </c>
      <c r="B3040" s="114" t="str">
        <f>VLOOKUP(A3040,'Data pick slip'!B:F,5,FALSE)</f>
        <v>KHJ-MC100-00</v>
      </c>
      <c r="F3040" s="157" t="s">
        <v>1381</v>
      </c>
      <c r="H3040" s="138">
        <v>1397</v>
      </c>
      <c r="I3040" s="139" t="str">
        <f>VLOOKUP(H3040,Stock_list!A:R,18,FALSE)</f>
        <v>弛瑞</v>
      </c>
      <c r="J3040" s="139" t="str">
        <f>VLOOKUP(H3040,Stock_list!A:S,17,FALSE)</f>
        <v>C49SZX20210158SS</v>
      </c>
      <c r="K3040" s="51" t="str">
        <f>VLOOKUP(H3040,Stock_list!A:T,16,FALSE)</f>
        <v>JPY</v>
      </c>
      <c r="L3040" s="286">
        <v>44512</v>
      </c>
      <c r="M3040" s="288">
        <v>52</v>
      </c>
      <c r="P3040" s="4" t="str">
        <f>VLOOKUP(H3040,Stock_list!A:Y,25,FALSE)</f>
        <v>Yes</v>
      </c>
      <c r="T3040" s="144"/>
      <c r="U3040" s="145" t="str">
        <f>VLOOKUP(H3040,Stock_list!A:N,14,FALSE)</f>
        <v>NOV 21</v>
      </c>
    </row>
    <row r="3041" spans="1:21" ht="16.5" customHeight="1">
      <c r="A3041" s="159" t="s">
        <v>2747</v>
      </c>
      <c r="B3041" s="114" t="str">
        <f>VLOOKUP(A3041,'Data pick slip'!B:F,5,FALSE)</f>
        <v>KHJ-MC200-00</v>
      </c>
      <c r="F3041" s="157" t="s">
        <v>1381</v>
      </c>
      <c r="H3041" s="138">
        <v>1397</v>
      </c>
      <c r="I3041" s="139" t="str">
        <f>VLOOKUP(H3041,Stock_list!A:R,18,FALSE)</f>
        <v>弛瑞</v>
      </c>
      <c r="J3041" s="139" t="str">
        <f>VLOOKUP(H3041,Stock_list!A:S,17,FALSE)</f>
        <v>C49SZX20210158SS</v>
      </c>
      <c r="K3041" s="258" t="str">
        <f>VLOOKUP(H3041,Stock_list!A:T,16,FALSE)</f>
        <v>JPY</v>
      </c>
      <c r="L3041" s="286">
        <v>44512</v>
      </c>
      <c r="M3041" s="288">
        <v>16</v>
      </c>
      <c r="P3041" s="4" t="str">
        <f>VLOOKUP(H3041,Stock_list!A:Y,25,FALSE)</f>
        <v>Yes</v>
      </c>
      <c r="T3041" s="144"/>
      <c r="U3041" s="145" t="str">
        <f>VLOOKUP(H3041,Stock_list!A:N,14,FALSE)</f>
        <v>NOV 21</v>
      </c>
    </row>
    <row r="3042" spans="1:21" ht="16.5" customHeight="1">
      <c r="A3042" s="159" t="s">
        <v>2748</v>
      </c>
      <c r="B3042" s="114" t="str">
        <f>VLOOKUP(A3042,'Data pick slip'!B:F,5,FALSE)</f>
        <v>KHJ-MC400-00</v>
      </c>
      <c r="F3042" s="157" t="s">
        <v>1381</v>
      </c>
      <c r="H3042" s="138">
        <v>1397</v>
      </c>
      <c r="I3042" s="139" t="str">
        <f>VLOOKUP(H3042,Stock_list!A:R,18,FALSE)</f>
        <v>弛瑞</v>
      </c>
      <c r="J3042" s="139" t="str">
        <f>VLOOKUP(H3042,Stock_list!A:S,17,FALSE)</f>
        <v>C49SZX20210158SS</v>
      </c>
      <c r="K3042" s="51" t="str">
        <f>VLOOKUP(H3042,Stock_list!A:T,16,FALSE)</f>
        <v>JPY</v>
      </c>
      <c r="L3042" s="286">
        <v>44512</v>
      </c>
      <c r="M3042" s="288">
        <v>3</v>
      </c>
      <c r="P3042" s="4" t="str">
        <f>VLOOKUP(H3042,Stock_list!A:Y,25,FALSE)</f>
        <v>Yes</v>
      </c>
      <c r="T3042" s="144"/>
      <c r="U3042" s="145" t="str">
        <f>VLOOKUP(H3042,Stock_list!A:N,14,FALSE)</f>
        <v>NOV 21</v>
      </c>
    </row>
    <row r="3043" spans="1:21" ht="16.5" customHeight="1">
      <c r="A3043" s="159" t="s">
        <v>2768</v>
      </c>
      <c r="B3043" s="114" t="str">
        <f>VLOOKUP(A3043,'Data pick slip'!B:F,5,FALSE)</f>
        <v>KHJ-MC100-00</v>
      </c>
      <c r="F3043" s="157" t="s">
        <v>1381</v>
      </c>
      <c r="H3043" s="138">
        <v>1398</v>
      </c>
      <c r="I3043" s="139" t="str">
        <f>VLOOKUP(H3043,Stock_list!A:R,18,FALSE)</f>
        <v>鑫华锋</v>
      </c>
      <c r="J3043" s="139" t="str">
        <f>VLOOKUP(H3043,Stock_list!A:S,17,FALSE)</f>
        <v>C49SZX20210144VG</v>
      </c>
      <c r="K3043" s="51" t="str">
        <f>VLOOKUP(H3043,Stock_list!A:T,16,FALSE)</f>
        <v>JPY</v>
      </c>
      <c r="L3043" s="4">
        <v>44608</v>
      </c>
      <c r="M3043" s="140">
        <v>46</v>
      </c>
      <c r="N3043" s="143"/>
      <c r="P3043" s="4" t="str">
        <f>VLOOKUP(H3043,Stock_list!A:Y,25,FALSE)</f>
        <v>Yes</v>
      </c>
      <c r="T3043" s="144"/>
      <c r="U3043" s="145" t="str">
        <f>VLOOKUP(H3043,Stock_list!A:N,14,FALSE)</f>
        <v>JUL 21</v>
      </c>
    </row>
    <row r="3044" spans="1:21" ht="16.5" customHeight="1">
      <c r="A3044" s="159" t="s">
        <v>2747</v>
      </c>
      <c r="B3044" s="114" t="str">
        <f>VLOOKUP(A3044,'Data pick slip'!B:F,5,FALSE)</f>
        <v>KHJ-MC200-00</v>
      </c>
      <c r="F3044" s="157" t="s">
        <v>1381</v>
      </c>
      <c r="H3044" s="138">
        <v>1398</v>
      </c>
      <c r="I3044" s="139" t="str">
        <f>VLOOKUP(H3044,Stock_list!A:R,18,FALSE)</f>
        <v>鑫华锋</v>
      </c>
      <c r="J3044" s="139" t="str">
        <f>VLOOKUP(H3044,Stock_list!A:S,17,FALSE)</f>
        <v>C49SZX20210144VG</v>
      </c>
      <c r="K3044" s="51" t="str">
        <f>VLOOKUP(H3044,Stock_list!A:T,16,FALSE)</f>
        <v>JPY</v>
      </c>
      <c r="L3044" s="4">
        <v>44608</v>
      </c>
      <c r="M3044" s="140">
        <v>8</v>
      </c>
      <c r="N3044" s="143"/>
      <c r="P3044" s="4" t="str">
        <f>VLOOKUP(H3044,Stock_list!A:Y,25,FALSE)</f>
        <v>Yes</v>
      </c>
      <c r="T3044" s="144"/>
      <c r="U3044" s="145" t="str">
        <f>VLOOKUP(H3044,Stock_list!A:N,14,FALSE)</f>
        <v>JUL 21</v>
      </c>
    </row>
    <row r="3045" spans="1:21" ht="16.5" customHeight="1">
      <c r="A3045" s="159" t="s">
        <v>2748</v>
      </c>
      <c r="B3045" s="114" t="str">
        <f>VLOOKUP(A3045,'Data pick slip'!B:F,5,FALSE)</f>
        <v>KHJ-MC400-00</v>
      </c>
      <c r="F3045" s="157" t="s">
        <v>1381</v>
      </c>
      <c r="H3045" s="138">
        <v>1398</v>
      </c>
      <c r="I3045" s="139" t="str">
        <f>VLOOKUP(H3045,Stock_list!A:R,18,FALSE)</f>
        <v>鑫华锋</v>
      </c>
      <c r="J3045" s="139" t="str">
        <f>VLOOKUP(H3045,Stock_list!A:S,17,FALSE)</f>
        <v>C49SZX20210144VG</v>
      </c>
      <c r="K3045" s="51" t="str">
        <f>VLOOKUP(H3045,Stock_list!A:T,16,FALSE)</f>
        <v>JPY</v>
      </c>
      <c r="L3045" s="4">
        <v>44608</v>
      </c>
      <c r="M3045" s="140">
        <v>1</v>
      </c>
      <c r="N3045" s="143"/>
      <c r="P3045" s="4" t="str">
        <f>VLOOKUP(H3045,Stock_list!A:Y,25,FALSE)</f>
        <v>Yes</v>
      </c>
      <c r="T3045" s="144"/>
      <c r="U3045" s="145" t="str">
        <f>VLOOKUP(H3045,Stock_list!A:N,14,FALSE)</f>
        <v>JUL 21</v>
      </c>
    </row>
    <row r="3046" spans="1:21" ht="16.5" customHeight="1">
      <c r="A3046" s="159" t="s">
        <v>2768</v>
      </c>
      <c r="B3046" s="114" t="str">
        <f>VLOOKUP(A3046,'Data pick slip'!B:F,5,FALSE)</f>
        <v>KHJ-MC100-00</v>
      </c>
      <c r="F3046" s="157" t="s">
        <v>1381</v>
      </c>
      <c r="H3046" s="138">
        <v>1398</v>
      </c>
      <c r="I3046" s="139" t="str">
        <f>VLOOKUP(H3046,Stock_list!A:R,18,FALSE)</f>
        <v>鑫华锋</v>
      </c>
      <c r="J3046" s="139" t="str">
        <f>VLOOKUP(H3046,Stock_list!A:S,17,FALSE)</f>
        <v>C49SZX20210144VG</v>
      </c>
      <c r="K3046" s="51" t="str">
        <f>VLOOKUP(H3046,Stock_list!A:T,16,FALSE)</f>
        <v>JPY</v>
      </c>
      <c r="L3046" s="4">
        <v>44407</v>
      </c>
      <c r="M3046" s="140">
        <v>84</v>
      </c>
      <c r="N3046" s="143"/>
      <c r="P3046" s="4" t="str">
        <f>VLOOKUP(H3046,Stock_list!A:Y,25,FALSE)</f>
        <v>Yes</v>
      </c>
      <c r="T3046" s="144"/>
      <c r="U3046" s="145" t="str">
        <f>VLOOKUP(H3046,Stock_list!A:N,14,FALSE)</f>
        <v>JUL 21</v>
      </c>
    </row>
    <row r="3047" spans="1:21" ht="16.5" customHeight="1">
      <c r="A3047" s="159" t="s">
        <v>2747</v>
      </c>
      <c r="B3047" s="114" t="str">
        <f>VLOOKUP(A3047,'Data pick slip'!B:F,5,FALSE)</f>
        <v>KHJ-MC200-00</v>
      </c>
      <c r="F3047" s="157" t="s">
        <v>1381</v>
      </c>
      <c r="H3047" s="138">
        <v>1398</v>
      </c>
      <c r="I3047" s="139" t="str">
        <f>VLOOKUP(H3047,Stock_list!A:R,18,FALSE)</f>
        <v>鑫华锋</v>
      </c>
      <c r="J3047" s="139" t="str">
        <f>VLOOKUP(H3047,Stock_list!A:S,17,FALSE)</f>
        <v>C49SZX20210144VG</v>
      </c>
      <c r="K3047" s="51" t="str">
        <f>VLOOKUP(H3047,Stock_list!A:T,16,FALSE)</f>
        <v>JPY</v>
      </c>
      <c r="L3047" s="4">
        <v>44407</v>
      </c>
      <c r="M3047" s="140">
        <v>16</v>
      </c>
      <c r="N3047" s="143"/>
      <c r="P3047" s="4" t="str">
        <f>VLOOKUP(H3047,Stock_list!A:Y,25,FALSE)</f>
        <v>Yes</v>
      </c>
      <c r="T3047" s="144"/>
      <c r="U3047" s="145" t="str">
        <f>VLOOKUP(H3047,Stock_list!A:N,14,FALSE)</f>
        <v>JUL 21</v>
      </c>
    </row>
    <row r="3048" spans="1:21" ht="16.5" customHeight="1">
      <c r="A3048" s="159" t="s">
        <v>2748</v>
      </c>
      <c r="B3048" s="114" t="str">
        <f>VLOOKUP(A3048,'Data pick slip'!B:F,5,FALSE)</f>
        <v>KHJ-MC400-00</v>
      </c>
      <c r="F3048" s="157" t="s">
        <v>1381</v>
      </c>
      <c r="H3048" s="138">
        <v>1398</v>
      </c>
      <c r="I3048" s="139" t="str">
        <f>VLOOKUP(H3048,Stock_list!A:R,18,FALSE)</f>
        <v>鑫华锋</v>
      </c>
      <c r="J3048" s="139" t="str">
        <f>VLOOKUP(H3048,Stock_list!A:S,17,FALSE)</f>
        <v>C49SZX20210144VG</v>
      </c>
      <c r="K3048" s="51" t="str">
        <f>VLOOKUP(H3048,Stock_list!A:T,16,FALSE)</f>
        <v>JPY</v>
      </c>
      <c r="L3048" s="4">
        <v>44407</v>
      </c>
      <c r="M3048" s="140">
        <v>1</v>
      </c>
      <c r="N3048" s="143"/>
      <c r="P3048" s="4" t="str">
        <f>VLOOKUP(H3048,Stock_list!A:Y,25,FALSE)</f>
        <v>Yes</v>
      </c>
      <c r="T3048" s="144"/>
      <c r="U3048" s="145" t="str">
        <f>VLOOKUP(H3048,Stock_list!A:N,14,FALSE)</f>
        <v>JUL 21</v>
      </c>
    </row>
    <row r="3049" spans="1:21" ht="16.5" customHeight="1">
      <c r="A3049" s="159" t="s">
        <v>2768</v>
      </c>
      <c r="B3049" s="114" t="str">
        <f>VLOOKUP(A3049,'Data pick slip'!B:F,5,FALSE)</f>
        <v>KHJ-MC100-00</v>
      </c>
      <c r="F3049" s="157" t="s">
        <v>1381</v>
      </c>
      <c r="I3049" s="269" t="s">
        <v>3413</v>
      </c>
      <c r="J3049" s="139" t="s">
        <v>3446</v>
      </c>
      <c r="K3049" s="51" t="s">
        <v>1246</v>
      </c>
      <c r="L3049" s="4">
        <v>44348</v>
      </c>
      <c r="M3049" s="140">
        <v>50</v>
      </c>
      <c r="P3049" s="4" t="s">
        <v>291</v>
      </c>
      <c r="Q3049" s="143"/>
      <c r="T3049" s="144"/>
      <c r="U3049" s="145" t="e">
        <f>VLOOKUP(H3049,Stock_list!A:N,14,FALSE)</f>
        <v>#N/A</v>
      </c>
    </row>
    <row r="3050" spans="1:21" ht="16.5" customHeight="1">
      <c r="A3050" s="159" t="s">
        <v>2747</v>
      </c>
      <c r="B3050" s="114" t="str">
        <f>VLOOKUP(A3050,'Data pick slip'!B:F,5,FALSE)</f>
        <v>KHJ-MC200-00</v>
      </c>
      <c r="F3050" s="157" t="s">
        <v>1381</v>
      </c>
      <c r="I3050" s="269" t="s">
        <v>3413</v>
      </c>
      <c r="J3050" s="139" t="s">
        <v>3446</v>
      </c>
      <c r="K3050" s="51" t="s">
        <v>1246</v>
      </c>
      <c r="L3050" s="4">
        <v>44348</v>
      </c>
      <c r="M3050" s="140">
        <v>20</v>
      </c>
      <c r="P3050" s="4" t="s">
        <v>291</v>
      </c>
      <c r="Q3050" s="143"/>
      <c r="T3050" s="144"/>
      <c r="U3050" s="145" t="e">
        <f>VLOOKUP(H3050,Stock_list!A:N,14,FALSE)</f>
        <v>#N/A</v>
      </c>
    </row>
    <row r="3051" spans="1:21" ht="16.5" customHeight="1">
      <c r="A3051" s="159" t="s">
        <v>2750</v>
      </c>
      <c r="B3051" s="114" t="str">
        <f>VLOOKUP(A3051,'Data pick slip'!B:F,5,FALSE)</f>
        <v>KHJ-MC600-00</v>
      </c>
      <c r="F3051" s="157" t="s">
        <v>1381</v>
      </c>
      <c r="I3051" s="269" t="s">
        <v>3413</v>
      </c>
      <c r="J3051" s="139" t="s">
        <v>3446</v>
      </c>
      <c r="K3051" s="51" t="s">
        <v>1246</v>
      </c>
      <c r="L3051" s="4">
        <v>44348</v>
      </c>
      <c r="M3051" s="140">
        <v>2</v>
      </c>
      <c r="P3051" s="4" t="s">
        <v>291</v>
      </c>
      <c r="Q3051" s="143"/>
      <c r="T3051" s="144"/>
      <c r="U3051" s="145" t="e">
        <f>VLOOKUP(H3051,Stock_list!A:N,14,FALSE)</f>
        <v>#N/A</v>
      </c>
    </row>
    <row r="3052" spans="1:21" ht="16.5" customHeight="1">
      <c r="A3052" s="159" t="s">
        <v>2768</v>
      </c>
      <c r="B3052" s="114" t="str">
        <f>VLOOKUP(A3052,'Data pick slip'!B:F,5,FALSE)</f>
        <v>KHJ-MC100-00</v>
      </c>
      <c r="F3052" s="157" t="s">
        <v>1381</v>
      </c>
      <c r="H3052" s="138">
        <v>1401</v>
      </c>
      <c r="I3052" s="139" t="str">
        <f>VLOOKUP(H3052,Stock_list!A:R,18,FALSE)</f>
        <v>艺通能</v>
      </c>
      <c r="J3052" s="139" t="str">
        <f>VLOOKUP(H3052,Stock_list!A:S,17,FALSE)</f>
        <v>C49SZX20210157SS</v>
      </c>
      <c r="K3052" s="51" t="str">
        <f>VLOOKUP(H3052,Stock_list!A:T,16,FALSE)</f>
        <v>JPY</v>
      </c>
      <c r="L3052" s="286">
        <v>44530</v>
      </c>
      <c r="M3052" s="289">
        <v>20</v>
      </c>
      <c r="N3052" s="143"/>
      <c r="P3052" s="4" t="str">
        <f>VLOOKUP(H3052,Stock_list!A:Y,25,FALSE)</f>
        <v>Yes</v>
      </c>
      <c r="T3052" s="144"/>
      <c r="U3052" s="145" t="str">
        <f>VLOOKUP(H3052,Stock_list!A:N,14,FALSE)</f>
        <v>NOV 21</v>
      </c>
    </row>
    <row r="3053" spans="1:21" ht="16.5" customHeight="1">
      <c r="A3053" s="159" t="s">
        <v>2747</v>
      </c>
      <c r="B3053" s="114" t="str">
        <f>VLOOKUP(A3053,'Data pick slip'!B:F,5,FALSE)</f>
        <v>KHJ-MC200-00</v>
      </c>
      <c r="F3053" s="157" t="s">
        <v>1381</v>
      </c>
      <c r="H3053" s="138">
        <v>1401</v>
      </c>
      <c r="I3053" s="139" t="str">
        <f>VLOOKUP(H3053,Stock_list!A:R,18,FALSE)</f>
        <v>艺通能</v>
      </c>
      <c r="J3053" s="139" t="str">
        <f>VLOOKUP(H3053,Stock_list!A:S,17,FALSE)</f>
        <v>C49SZX20210157SS</v>
      </c>
      <c r="K3053" s="258" t="str">
        <f>VLOOKUP(H3053,Stock_list!A:T,16,FALSE)</f>
        <v>JPY</v>
      </c>
      <c r="L3053" s="286">
        <v>44530</v>
      </c>
      <c r="M3053" s="289">
        <v>2</v>
      </c>
      <c r="N3053" s="143"/>
      <c r="P3053" s="4" t="str">
        <f>VLOOKUP(H3053,Stock_list!A:Y,25,FALSE)</f>
        <v>Yes</v>
      </c>
      <c r="T3053" s="144"/>
      <c r="U3053" s="145" t="str">
        <f>VLOOKUP(H3053,Stock_list!A:N,14,FALSE)</f>
        <v>NOV 21</v>
      </c>
    </row>
    <row r="3054" spans="1:21" ht="16.5" customHeight="1">
      <c r="A3054" s="159" t="s">
        <v>2768</v>
      </c>
      <c r="B3054" s="114" t="str">
        <f>VLOOKUP(A3054,'Data pick slip'!B:F,5,FALSE)</f>
        <v>KHJ-MC100-00</v>
      </c>
      <c r="F3054" s="157" t="s">
        <v>1381</v>
      </c>
      <c r="H3054" s="138">
        <v>1402</v>
      </c>
      <c r="I3054" s="139" t="str">
        <f>VLOOKUP(H3054,Stock_list!A:R,18,FALSE)</f>
        <v>清禾</v>
      </c>
      <c r="J3054" s="139" t="str">
        <f>VLOOKUP(H3054,Stock_list!A:S,17,FALSE)</f>
        <v>C49SZX20220034AY</v>
      </c>
      <c r="K3054" s="51" t="str">
        <f>VLOOKUP(H3054,Stock_list!A:T,16,FALSE)</f>
        <v>RMB</v>
      </c>
      <c r="L3054" s="4">
        <v>44666</v>
      </c>
      <c r="M3054" s="140">
        <v>20</v>
      </c>
      <c r="P3054" s="4" t="str">
        <f>VLOOKUP(H3054,Stock_list!A:Y,25,FALSE)</f>
        <v>Yes</v>
      </c>
      <c r="Q3054" s="143"/>
      <c r="T3054" s="144"/>
      <c r="U3054" s="145" t="str">
        <f>VLOOKUP(H3054,Stock_list!A:N,14,FALSE)</f>
        <v>APR 22</v>
      </c>
    </row>
    <row r="3055" spans="1:21" ht="16.5" customHeight="1">
      <c r="A3055" s="159" t="s">
        <v>2747</v>
      </c>
      <c r="B3055" s="114" t="str">
        <f>VLOOKUP(A3055,'Data pick slip'!B:F,5,FALSE)</f>
        <v>KHJ-MC200-00</v>
      </c>
      <c r="F3055" s="157" t="s">
        <v>1381</v>
      </c>
      <c r="H3055" s="138">
        <v>1402</v>
      </c>
      <c r="I3055" s="139" t="str">
        <f>VLOOKUP(H3055,Stock_list!A:R,18,FALSE)</f>
        <v>清禾</v>
      </c>
      <c r="J3055" s="139" t="str">
        <f>VLOOKUP(H3055,Stock_list!A:S,17,FALSE)</f>
        <v>C49SZX20220034AY</v>
      </c>
      <c r="K3055" s="51" t="str">
        <f>VLOOKUP(H3055,Stock_list!A:T,16,FALSE)</f>
        <v>RMB</v>
      </c>
      <c r="L3055" s="4">
        <v>44666</v>
      </c>
      <c r="M3055" s="140">
        <v>2</v>
      </c>
      <c r="P3055" s="4" t="str">
        <f>VLOOKUP(H3055,Stock_list!A:Y,25,FALSE)</f>
        <v>Yes</v>
      </c>
      <c r="Q3055" s="143"/>
      <c r="T3055" s="144"/>
      <c r="U3055" s="145" t="str">
        <f>VLOOKUP(H3055,Stock_list!A:N,14,FALSE)</f>
        <v>APR 22</v>
      </c>
    </row>
    <row r="3056" spans="1:21" ht="16.5" customHeight="1">
      <c r="A3056" s="159" t="s">
        <v>2768</v>
      </c>
      <c r="B3056" s="114" t="str">
        <f>VLOOKUP(A3056,'Data pick slip'!B:F,5,FALSE)</f>
        <v>KHJ-MC100-00</v>
      </c>
      <c r="F3056" s="157" t="s">
        <v>1381</v>
      </c>
      <c r="H3056" s="138">
        <v>1403</v>
      </c>
      <c r="I3056" s="139" t="str">
        <f>VLOOKUP(H3056,Stock_list!A:R,18,FALSE)</f>
        <v>派勤</v>
      </c>
      <c r="J3056" s="139" t="str">
        <f>VLOOKUP(H3056,Stock_list!A:S,17,FALSE)</f>
        <v>C49SZX20210164SS</v>
      </c>
      <c r="K3056" s="51" t="str">
        <f>VLOOKUP(H3056,Stock_list!A:T,16,FALSE)</f>
        <v>JPY</v>
      </c>
      <c r="L3056" s="286">
        <v>44526</v>
      </c>
      <c r="M3056" s="288">
        <v>112</v>
      </c>
      <c r="P3056" s="4" t="str">
        <f>VLOOKUP(H3056,Stock_list!A:Y,25,FALSE)</f>
        <v>Yes</v>
      </c>
      <c r="Q3056" s="146"/>
      <c r="T3056" s="144"/>
      <c r="U3056" s="145" t="str">
        <f>VLOOKUP(H3056,Stock_list!A:N,14,FALSE)</f>
        <v>NOV 21</v>
      </c>
    </row>
    <row r="3057" spans="1:21" ht="16.5" customHeight="1">
      <c r="A3057" s="159" t="s">
        <v>2747</v>
      </c>
      <c r="B3057" s="114" t="str">
        <f>VLOOKUP(A3057,'Data pick slip'!B:F,5,FALSE)</f>
        <v>KHJ-MC200-00</v>
      </c>
      <c r="F3057" s="157" t="s">
        <v>1381</v>
      </c>
      <c r="H3057" s="138">
        <v>1403</v>
      </c>
      <c r="I3057" s="139" t="str">
        <f>VLOOKUP(H3057,Stock_list!A:R,18,FALSE)</f>
        <v>派勤</v>
      </c>
      <c r="J3057" s="139" t="str">
        <f>VLOOKUP(H3057,Stock_list!A:S,17,FALSE)</f>
        <v>C49SZX20210164SS</v>
      </c>
      <c r="K3057" s="258" t="str">
        <f>VLOOKUP(H3057,Stock_list!A:T,16,FALSE)</f>
        <v>JPY</v>
      </c>
      <c r="L3057" s="286">
        <v>44526</v>
      </c>
      <c r="M3057" s="288">
        <v>16</v>
      </c>
      <c r="P3057" s="4" t="str">
        <f>VLOOKUP(H3057,Stock_list!A:Y,25,FALSE)</f>
        <v>Yes</v>
      </c>
      <c r="Q3057" s="146"/>
      <c r="T3057" s="144"/>
      <c r="U3057" s="145" t="str">
        <f>VLOOKUP(H3057,Stock_list!A:N,14,FALSE)</f>
        <v>NOV 21</v>
      </c>
    </row>
    <row r="3058" spans="1:21" ht="16.5" customHeight="1">
      <c r="A3058" s="159" t="s">
        <v>2748</v>
      </c>
      <c r="B3058" s="114" t="str">
        <f>VLOOKUP(A3058,'Data pick slip'!B:F,5,FALSE)</f>
        <v>KHJ-MC400-00</v>
      </c>
      <c r="F3058" s="157" t="s">
        <v>1381</v>
      </c>
      <c r="H3058" s="138">
        <v>1403</v>
      </c>
      <c r="I3058" s="139" t="str">
        <f>VLOOKUP(H3058,Stock_list!A:R,18,FALSE)</f>
        <v>派勤</v>
      </c>
      <c r="J3058" s="139" t="str">
        <f>VLOOKUP(H3058,Stock_list!A:S,17,FALSE)</f>
        <v>C49SZX20210164SS</v>
      </c>
      <c r="K3058" s="51" t="str">
        <f>VLOOKUP(H3058,Stock_list!A:T,16,FALSE)</f>
        <v>JPY</v>
      </c>
      <c r="L3058" s="286">
        <v>44526</v>
      </c>
      <c r="M3058" s="288">
        <v>4</v>
      </c>
      <c r="P3058" s="4" t="str">
        <f>VLOOKUP(H3058,Stock_list!A:Y,25,FALSE)</f>
        <v>Yes</v>
      </c>
      <c r="Q3058" s="146"/>
      <c r="T3058" s="144"/>
      <c r="U3058" s="145" t="str">
        <f>VLOOKUP(H3058,Stock_list!A:N,14,FALSE)</f>
        <v>NOV 21</v>
      </c>
    </row>
    <row r="3059" spans="1:21" ht="16.5" customHeight="1">
      <c r="A3059" s="159" t="s">
        <v>2749</v>
      </c>
      <c r="B3059" s="114" t="str">
        <f>VLOOKUP(A3059,'Data pick slip'!B:F,5,FALSE)</f>
        <v>KHJ-MC500-00</v>
      </c>
      <c r="F3059" s="157" t="s">
        <v>1381</v>
      </c>
      <c r="H3059" s="138">
        <v>1403</v>
      </c>
      <c r="I3059" s="139" t="str">
        <f>VLOOKUP(H3059,Stock_list!A:R,18,FALSE)</f>
        <v>派勤</v>
      </c>
      <c r="J3059" s="139" t="str">
        <f>VLOOKUP(H3059,Stock_list!A:S,17,FALSE)</f>
        <v>C49SZX20210164SS</v>
      </c>
      <c r="K3059" s="51" t="str">
        <f>VLOOKUP(H3059,Stock_list!A:T,16,FALSE)</f>
        <v>JPY</v>
      </c>
      <c r="L3059" s="4">
        <v>44526</v>
      </c>
      <c r="M3059" s="143">
        <v>3</v>
      </c>
      <c r="P3059" s="4" t="str">
        <f>VLOOKUP(H3059,Stock_list!A:Y,25,FALSE)</f>
        <v>Yes</v>
      </c>
      <c r="Q3059" s="146"/>
      <c r="T3059" s="144"/>
      <c r="U3059" s="145" t="str">
        <f>VLOOKUP(H3059,Stock_list!A:N,14,FALSE)</f>
        <v>NOV 21</v>
      </c>
    </row>
    <row r="3060" spans="1:21" ht="16.5" customHeight="1">
      <c r="A3060" s="159" t="s">
        <v>2750</v>
      </c>
      <c r="B3060" s="114" t="str">
        <f>VLOOKUP(A3060,'Data pick slip'!B:F,5,FALSE)</f>
        <v>KHJ-MC600-00</v>
      </c>
      <c r="F3060" s="157" t="s">
        <v>1381</v>
      </c>
      <c r="H3060" s="138">
        <v>1403</v>
      </c>
      <c r="I3060" s="139" t="str">
        <f>VLOOKUP(H3060,Stock_list!A:R,18,FALSE)</f>
        <v>派勤</v>
      </c>
      <c r="J3060" s="139" t="str">
        <f>VLOOKUP(H3060,Stock_list!A:S,17,FALSE)</f>
        <v>C49SZX20210164SS</v>
      </c>
      <c r="K3060" s="51" t="str">
        <f>VLOOKUP(H3060,Stock_list!A:T,16,FALSE)</f>
        <v>JPY</v>
      </c>
      <c r="L3060" s="4">
        <v>44526</v>
      </c>
      <c r="M3060" s="143">
        <v>2</v>
      </c>
      <c r="P3060" s="4" t="str">
        <f>VLOOKUP(H3060,Stock_list!A:Y,25,FALSE)</f>
        <v>Yes</v>
      </c>
      <c r="Q3060" s="146"/>
      <c r="T3060" s="144"/>
      <c r="U3060" s="145" t="str">
        <f>VLOOKUP(H3060,Stock_list!A:N,14,FALSE)</f>
        <v>NOV 21</v>
      </c>
    </row>
    <row r="3061" spans="1:21" ht="16.5" customHeight="1">
      <c r="A3061" s="159" t="s">
        <v>2768</v>
      </c>
      <c r="B3061" s="114" t="str">
        <f>VLOOKUP(A3061,'Data pick slip'!B:F,5,FALSE)</f>
        <v>KHJ-MC100-00</v>
      </c>
      <c r="F3061" s="157" t="s">
        <v>2753</v>
      </c>
      <c r="H3061" s="138">
        <v>1403</v>
      </c>
      <c r="I3061" s="139" t="str">
        <f>VLOOKUP(H3061,Stock_list!A:R,18,FALSE)</f>
        <v>派勤</v>
      </c>
      <c r="J3061" s="139" t="str">
        <f>VLOOKUP(H3061,Stock_list!A:S,17,FALSE)</f>
        <v>C49SZX20210164SS</v>
      </c>
      <c r="K3061" s="51" t="str">
        <f>VLOOKUP(H3061,Stock_list!A:T,16,FALSE)</f>
        <v>JPY</v>
      </c>
      <c r="L3061" s="4">
        <v>44357</v>
      </c>
      <c r="O3061" s="132">
        <f>40-40</f>
        <v>0</v>
      </c>
      <c r="P3061" s="4" t="str">
        <f>VLOOKUP(H3061,Stock_list!A:Y,25,FALSE)</f>
        <v>Yes</v>
      </c>
      <c r="Q3061" s="143"/>
      <c r="T3061" s="144"/>
      <c r="U3061" s="145" t="str">
        <f>VLOOKUP(H3061,Stock_list!A:N,14,FALSE)</f>
        <v>NOV 21</v>
      </c>
    </row>
    <row r="3062" spans="1:21" ht="16.5" customHeight="1">
      <c r="A3062" s="159" t="s">
        <v>2747</v>
      </c>
      <c r="B3062" s="114" t="str">
        <f>VLOOKUP(A3062,'Data pick slip'!B:F,5,FALSE)</f>
        <v>KHJ-MC200-00</v>
      </c>
      <c r="F3062" s="157" t="s">
        <v>2753</v>
      </c>
      <c r="H3062" s="138">
        <v>1403</v>
      </c>
      <c r="I3062" s="139" t="str">
        <f>VLOOKUP(H3062,Stock_list!A:R,18,FALSE)</f>
        <v>派勤</v>
      </c>
      <c r="J3062" s="139" t="str">
        <f>VLOOKUP(H3062,Stock_list!A:S,17,FALSE)</f>
        <v>C49SZX20210164SS</v>
      </c>
      <c r="K3062" s="51" t="str">
        <f>VLOOKUP(H3062,Stock_list!A:T,16,FALSE)</f>
        <v>JPY</v>
      </c>
      <c r="L3062" s="4">
        <v>44357</v>
      </c>
      <c r="O3062" s="132">
        <f>10-10</f>
        <v>0</v>
      </c>
      <c r="P3062" s="4" t="str">
        <f>VLOOKUP(H3062,Stock_list!A:Y,25,FALSE)</f>
        <v>Yes</v>
      </c>
      <c r="Q3062" s="143"/>
      <c r="T3062" s="144"/>
      <c r="U3062" s="145" t="str">
        <f>VLOOKUP(H3062,Stock_list!A:N,14,FALSE)</f>
        <v>NOV 21</v>
      </c>
    </row>
    <row r="3063" spans="1:21" ht="16.5" customHeight="1">
      <c r="A3063" s="159" t="s">
        <v>2748</v>
      </c>
      <c r="B3063" s="114" t="str">
        <f>VLOOKUP(A3063,'Data pick slip'!B:F,5,FALSE)</f>
        <v>KHJ-MC400-00</v>
      </c>
      <c r="F3063" s="157" t="s">
        <v>2753</v>
      </c>
      <c r="H3063" s="138">
        <v>1403</v>
      </c>
      <c r="I3063" s="139" t="str">
        <f>VLOOKUP(H3063,Stock_list!A:R,18,FALSE)</f>
        <v>派勤</v>
      </c>
      <c r="J3063" s="139" t="str">
        <f>VLOOKUP(H3063,Stock_list!A:S,17,FALSE)</f>
        <v>C49SZX20210164SS</v>
      </c>
      <c r="K3063" s="51" t="str">
        <f>VLOOKUP(H3063,Stock_list!A:T,16,FALSE)</f>
        <v>JPY</v>
      </c>
      <c r="L3063" s="4">
        <v>44357</v>
      </c>
      <c r="O3063" s="132">
        <f>3-3</f>
        <v>0</v>
      </c>
      <c r="P3063" s="4" t="str">
        <f>VLOOKUP(H3063,Stock_list!A:Y,25,FALSE)</f>
        <v>Yes</v>
      </c>
      <c r="Q3063" s="143"/>
      <c r="T3063" s="144"/>
      <c r="U3063" s="145" t="str">
        <f>VLOOKUP(H3063,Stock_list!A:N,14,FALSE)</f>
        <v>NOV 21</v>
      </c>
    </row>
    <row r="3064" spans="1:21" ht="16.5" customHeight="1">
      <c r="A3064" s="159" t="s">
        <v>2749</v>
      </c>
      <c r="B3064" s="114" t="str">
        <f>VLOOKUP(A3064,'Data pick slip'!B:F,5,FALSE)</f>
        <v>KHJ-MC500-00</v>
      </c>
      <c r="F3064" s="157" t="s">
        <v>2753</v>
      </c>
      <c r="H3064" s="138">
        <v>1403</v>
      </c>
      <c r="I3064" s="139" t="str">
        <f>VLOOKUP(H3064,Stock_list!A:R,18,FALSE)</f>
        <v>派勤</v>
      </c>
      <c r="J3064" s="139" t="str">
        <f>VLOOKUP(H3064,Stock_list!A:S,17,FALSE)</f>
        <v>C49SZX20210164SS</v>
      </c>
      <c r="K3064" s="51" t="str">
        <f>VLOOKUP(H3064,Stock_list!A:T,16,FALSE)</f>
        <v>JPY</v>
      </c>
      <c r="L3064" s="4">
        <v>44357</v>
      </c>
      <c r="O3064" s="132">
        <f>3-3</f>
        <v>0</v>
      </c>
      <c r="P3064" s="4" t="str">
        <f>VLOOKUP(H3064,Stock_list!A:Y,25,FALSE)</f>
        <v>Yes</v>
      </c>
      <c r="Q3064" s="143"/>
      <c r="T3064" s="144"/>
      <c r="U3064" s="145" t="str">
        <f>VLOOKUP(H3064,Stock_list!A:N,14,FALSE)</f>
        <v>NOV 21</v>
      </c>
    </row>
    <row r="3065" spans="1:21" ht="16.5" customHeight="1">
      <c r="A3065" s="159" t="s">
        <v>2750</v>
      </c>
      <c r="B3065" s="114" t="str">
        <f>VLOOKUP(A3065,'Data pick slip'!B:F,5,FALSE)</f>
        <v>KHJ-MC600-00</v>
      </c>
      <c r="F3065" s="157" t="s">
        <v>2753</v>
      </c>
      <c r="H3065" s="138">
        <v>1403</v>
      </c>
      <c r="I3065" s="139" t="str">
        <f>VLOOKUP(H3065,Stock_list!A:R,18,FALSE)</f>
        <v>派勤</v>
      </c>
      <c r="J3065" s="139" t="str">
        <f>VLOOKUP(H3065,Stock_list!A:S,17,FALSE)</f>
        <v>C49SZX20210164SS</v>
      </c>
      <c r="K3065" s="51" t="str">
        <f>VLOOKUP(H3065,Stock_list!A:T,16,FALSE)</f>
        <v>JPY</v>
      </c>
      <c r="L3065" s="4">
        <v>44357</v>
      </c>
      <c r="O3065" s="132">
        <f>2-2</f>
        <v>0</v>
      </c>
      <c r="P3065" s="4" t="str">
        <f>VLOOKUP(H3065,Stock_list!A:Y,25,FALSE)</f>
        <v>Yes</v>
      </c>
      <c r="Q3065" s="143"/>
      <c r="T3065" s="144"/>
      <c r="U3065" s="145" t="str">
        <f>VLOOKUP(H3065,Stock_list!A:N,14,FALSE)</f>
        <v>NOV 21</v>
      </c>
    </row>
    <row r="3066" spans="1:21" ht="16.5" customHeight="1">
      <c r="A3066" s="159" t="s">
        <v>2748</v>
      </c>
      <c r="B3066" s="114" t="str">
        <f>VLOOKUP(A3066,'Data pick slip'!B:F,5,FALSE)</f>
        <v>KHJ-MC400-00</v>
      </c>
      <c r="F3066" s="157" t="s">
        <v>2753</v>
      </c>
      <c r="I3066" s="139" t="s">
        <v>3093</v>
      </c>
      <c r="J3066" s="267" t="s">
        <v>3447</v>
      </c>
      <c r="K3066" s="51" t="s">
        <v>1246</v>
      </c>
      <c r="L3066" s="4">
        <v>44344</v>
      </c>
      <c r="M3066" s="140">
        <v>2</v>
      </c>
      <c r="P3066" s="4" t="s">
        <v>291</v>
      </c>
      <c r="Q3066" s="143"/>
      <c r="T3066" s="144"/>
      <c r="U3066" s="145" t="e">
        <f>VLOOKUP(H3066,Stock_list!A:N,14,FALSE)</f>
        <v>#N/A</v>
      </c>
    </row>
    <row r="3067" spans="1:21" ht="16.5" customHeight="1">
      <c r="A3067" s="159" t="s">
        <v>2747</v>
      </c>
      <c r="B3067" s="114" t="str">
        <f>VLOOKUP(A3067,'Data pick slip'!B:F,5,FALSE)</f>
        <v>KHJ-MC200-00</v>
      </c>
      <c r="F3067" s="157" t="s">
        <v>2753</v>
      </c>
      <c r="I3067" s="139" t="s">
        <v>3099</v>
      </c>
      <c r="J3067" s="267" t="s">
        <v>3448</v>
      </c>
      <c r="K3067" s="51" t="s">
        <v>1246</v>
      </c>
      <c r="L3067" s="4">
        <v>44340</v>
      </c>
      <c r="M3067" s="140">
        <v>2</v>
      </c>
      <c r="P3067" s="4" t="s">
        <v>291</v>
      </c>
      <c r="Q3067" s="143"/>
      <c r="T3067" s="144"/>
      <c r="U3067" s="145" t="e">
        <f>VLOOKUP(H3067,Stock_list!A:N,14,FALSE)</f>
        <v>#N/A</v>
      </c>
    </row>
    <row r="3068" spans="1:21" ht="16.5" customHeight="1">
      <c r="A3068" s="159" t="s">
        <v>2748</v>
      </c>
      <c r="B3068" s="114" t="str">
        <f>VLOOKUP(A3068,'Data pick slip'!B:F,5,FALSE)</f>
        <v>KHJ-MC400-00</v>
      </c>
      <c r="F3068" s="157" t="s">
        <v>2753</v>
      </c>
      <c r="I3068" s="139" t="s">
        <v>3099</v>
      </c>
      <c r="J3068" s="267" t="s">
        <v>3448</v>
      </c>
      <c r="K3068" s="51" t="s">
        <v>1246</v>
      </c>
      <c r="L3068" s="4">
        <v>44340</v>
      </c>
      <c r="M3068" s="140">
        <v>2</v>
      </c>
      <c r="P3068" s="4" t="s">
        <v>291</v>
      </c>
      <c r="Q3068" s="143"/>
      <c r="T3068" s="144"/>
      <c r="U3068" s="145" t="e">
        <f>VLOOKUP(H3068,Stock_list!A:N,14,FALSE)</f>
        <v>#N/A</v>
      </c>
    </row>
    <row r="3069" spans="1:21" ht="16.5" customHeight="1">
      <c r="A3069" s="159" t="s">
        <v>2748</v>
      </c>
      <c r="B3069" s="114" t="str">
        <f>VLOOKUP(A3069,'Data pick slip'!B:F,5,FALSE)</f>
        <v>KHJ-MC400-00</v>
      </c>
      <c r="F3069" s="157" t="s">
        <v>2753</v>
      </c>
      <c r="I3069" s="139" t="s">
        <v>3099</v>
      </c>
      <c r="J3069" s="267" t="s">
        <v>3449</v>
      </c>
      <c r="K3069" s="51" t="s">
        <v>1246</v>
      </c>
      <c r="L3069" s="4">
        <v>44347</v>
      </c>
      <c r="M3069" s="140">
        <v>2</v>
      </c>
      <c r="P3069" s="4" t="s">
        <v>291</v>
      </c>
      <c r="Q3069" s="143"/>
      <c r="T3069" s="144"/>
      <c r="U3069" s="145" t="e">
        <f>VLOOKUP(H3069,Stock_list!A:N,14,FALSE)</f>
        <v>#N/A</v>
      </c>
    </row>
    <row r="3070" spans="1:21" ht="16.5" customHeight="1">
      <c r="A3070" s="159" t="s">
        <v>2754</v>
      </c>
      <c r="B3070" s="114" t="str">
        <f>VLOOKUP(A3070,'Data pick slip'!B:F,5,FALSE)</f>
        <v>KLJ-MCN00-20</v>
      </c>
      <c r="F3070" s="157" t="s">
        <v>2753</v>
      </c>
      <c r="H3070" s="138">
        <v>1406</v>
      </c>
      <c r="I3070" s="139" t="str">
        <f>VLOOKUP(H3070,Stock_list!A:R,18,FALSE)</f>
        <v>比泰利</v>
      </c>
      <c r="J3070" s="139" t="str">
        <f>VLOOKUP(H3070,Stock_list!A:S,17,FALSE)</f>
        <v>C49SZX20210141DZ</v>
      </c>
      <c r="K3070" s="51" t="str">
        <f>VLOOKUP(H3070,Stock_list!A:T,16,FALSE)</f>
        <v>JPY</v>
      </c>
      <c r="L3070" s="4">
        <v>44530</v>
      </c>
      <c r="M3070" s="132">
        <v>2</v>
      </c>
      <c r="P3070" s="4" t="str">
        <f>VLOOKUP(H3070,Stock_list!A:Y,25,FALSE)</f>
        <v>Yes</v>
      </c>
      <c r="Q3070" s="143"/>
      <c r="S3070" s="268" t="s">
        <v>2778</v>
      </c>
      <c r="T3070" s="266" t="s">
        <v>3450</v>
      </c>
      <c r="U3070" s="145" t="str">
        <f>VLOOKUP(H3070,Stock_list!A:N,14,FALSE)</f>
        <v>NOV 21</v>
      </c>
    </row>
    <row r="3071" spans="1:21" ht="16.5" customHeight="1">
      <c r="A3071" s="159" t="s">
        <v>2768</v>
      </c>
      <c r="B3071" s="114" t="str">
        <f>VLOOKUP(A3071,'Data pick slip'!B:F,5,FALSE)</f>
        <v>KHJ-MC100-00</v>
      </c>
      <c r="F3071" s="157" t="s">
        <v>1381</v>
      </c>
      <c r="H3071" s="138">
        <v>1406</v>
      </c>
      <c r="I3071" s="139" t="str">
        <f>VLOOKUP(H3071,Stock_list!A:R,18,FALSE)</f>
        <v>比泰利</v>
      </c>
      <c r="J3071" s="139" t="str">
        <f>VLOOKUP(H3071,Stock_list!A:S,17,FALSE)</f>
        <v>C49SZX20210141DZ</v>
      </c>
      <c r="K3071" s="51" t="str">
        <f>VLOOKUP(H3071,Stock_list!A:T,16,FALSE)</f>
        <v>JPY</v>
      </c>
      <c r="L3071" s="286">
        <v>44530</v>
      </c>
      <c r="M3071" s="283">
        <v>200</v>
      </c>
      <c r="P3071" s="4" t="str">
        <f>VLOOKUP(H3071,Stock_list!A:Y,25,FALSE)</f>
        <v>Yes</v>
      </c>
      <c r="Q3071" s="143"/>
      <c r="T3071" s="144"/>
      <c r="U3071" s="145" t="str">
        <f>VLOOKUP(H3071,Stock_list!A:N,14,FALSE)</f>
        <v>NOV 21</v>
      </c>
    </row>
    <row r="3072" spans="1:21" ht="16.5" customHeight="1">
      <c r="A3072" s="159" t="s">
        <v>2747</v>
      </c>
      <c r="B3072" s="114" t="str">
        <f>VLOOKUP(A3072,'Data pick slip'!B:F,5,FALSE)</f>
        <v>KHJ-MC200-00</v>
      </c>
      <c r="F3072" s="157" t="s">
        <v>1381</v>
      </c>
      <c r="H3072" s="138">
        <v>1406</v>
      </c>
      <c r="I3072" s="139" t="str">
        <f>VLOOKUP(H3072,Stock_list!A:R,18,FALSE)</f>
        <v>比泰利</v>
      </c>
      <c r="J3072" s="139" t="str">
        <f>VLOOKUP(H3072,Stock_list!A:S,17,FALSE)</f>
        <v>C49SZX20210141DZ</v>
      </c>
      <c r="K3072" s="258" t="str">
        <f>VLOOKUP(H3072,Stock_list!A:T,16,FALSE)</f>
        <v>JPY</v>
      </c>
      <c r="L3072" s="286">
        <v>44530</v>
      </c>
      <c r="M3072" s="283">
        <v>40</v>
      </c>
      <c r="P3072" s="4" t="str">
        <f>VLOOKUP(H3072,Stock_list!A:Y,25,FALSE)</f>
        <v>Yes</v>
      </c>
      <c r="Q3072" s="143"/>
      <c r="T3072" s="144"/>
      <c r="U3072" s="145" t="str">
        <f>VLOOKUP(H3072,Stock_list!A:N,14,FALSE)</f>
        <v>NOV 21</v>
      </c>
    </row>
    <row r="3073" spans="1:21" ht="16.5" customHeight="1">
      <c r="A3073" s="159" t="s">
        <v>2748</v>
      </c>
      <c r="B3073" s="114" t="str">
        <f>VLOOKUP(A3073,'Data pick slip'!B:F,5,FALSE)</f>
        <v>KHJ-MC400-00</v>
      </c>
      <c r="F3073" s="157" t="s">
        <v>1381</v>
      </c>
      <c r="H3073" s="138">
        <v>1406</v>
      </c>
      <c r="I3073" s="139" t="str">
        <f>VLOOKUP(H3073,Stock_list!A:R,18,FALSE)</f>
        <v>比泰利</v>
      </c>
      <c r="J3073" s="139" t="str">
        <f>VLOOKUP(H3073,Stock_list!A:S,17,FALSE)</f>
        <v>C49SZX20210141DZ</v>
      </c>
      <c r="K3073" s="51" t="str">
        <f>VLOOKUP(H3073,Stock_list!A:T,16,FALSE)</f>
        <v>JPY</v>
      </c>
      <c r="L3073" s="286">
        <v>44530</v>
      </c>
      <c r="M3073" s="283">
        <v>12</v>
      </c>
      <c r="P3073" s="4" t="str">
        <f>VLOOKUP(H3073,Stock_list!A:Y,25,FALSE)</f>
        <v>Yes</v>
      </c>
      <c r="Q3073" s="143"/>
      <c r="T3073" s="144"/>
      <c r="U3073" s="145" t="str">
        <f>VLOOKUP(H3073,Stock_list!A:N,14,FALSE)</f>
        <v>NOV 21</v>
      </c>
    </row>
    <row r="3074" spans="1:21" ht="16.5" customHeight="1">
      <c r="A3074" s="159" t="s">
        <v>2749</v>
      </c>
      <c r="B3074" s="114" t="str">
        <f>VLOOKUP(A3074,'Data pick slip'!B:F,5,FALSE)</f>
        <v>KHJ-MC500-00</v>
      </c>
      <c r="F3074" s="157" t="s">
        <v>1381</v>
      </c>
      <c r="H3074" s="138">
        <v>1406</v>
      </c>
      <c r="I3074" s="139" t="str">
        <f>VLOOKUP(H3074,Stock_list!A:R,18,FALSE)</f>
        <v>比泰利</v>
      </c>
      <c r="J3074" s="139" t="str">
        <f>VLOOKUP(H3074,Stock_list!A:S,17,FALSE)</f>
        <v>C49SZX20210141DZ</v>
      </c>
      <c r="K3074" s="51" t="str">
        <f>VLOOKUP(H3074,Stock_list!A:T,16,FALSE)</f>
        <v>JPY</v>
      </c>
      <c r="L3074" s="4">
        <v>44530</v>
      </c>
      <c r="M3074" s="132">
        <v>2</v>
      </c>
      <c r="P3074" s="4" t="str">
        <f>VLOOKUP(H3074,Stock_list!A:Y,25,FALSE)</f>
        <v>Yes</v>
      </c>
      <c r="Q3074" s="143"/>
      <c r="T3074" s="144"/>
      <c r="U3074" s="145" t="str">
        <f>VLOOKUP(H3074,Stock_list!A:N,14,FALSE)</f>
        <v>NOV 21</v>
      </c>
    </row>
    <row r="3075" spans="1:21" ht="16.5" customHeight="1">
      <c r="A3075" s="159" t="s">
        <v>2750</v>
      </c>
      <c r="B3075" s="114" t="str">
        <f>VLOOKUP(A3075,'Data pick slip'!B:F,5,FALSE)</f>
        <v>KHJ-MC600-00</v>
      </c>
      <c r="F3075" s="157" t="s">
        <v>1381</v>
      </c>
      <c r="H3075" s="138">
        <v>1406</v>
      </c>
      <c r="I3075" s="139" t="str">
        <f>VLOOKUP(H3075,Stock_list!A:R,18,FALSE)</f>
        <v>比泰利</v>
      </c>
      <c r="J3075" s="139" t="str">
        <f>VLOOKUP(H3075,Stock_list!A:S,17,FALSE)</f>
        <v>C49SZX20210141DZ</v>
      </c>
      <c r="K3075" s="51" t="str">
        <f>VLOOKUP(H3075,Stock_list!A:T,16,FALSE)</f>
        <v>JPY</v>
      </c>
      <c r="L3075" s="4">
        <v>44530</v>
      </c>
      <c r="M3075" s="132">
        <v>1</v>
      </c>
      <c r="P3075" s="4" t="str">
        <f>VLOOKUP(H3075,Stock_list!A:Y,25,FALSE)</f>
        <v>Yes</v>
      </c>
      <c r="Q3075" s="143"/>
      <c r="T3075" s="144"/>
      <c r="U3075" s="145" t="str">
        <f>VLOOKUP(H3075,Stock_list!A:N,14,FALSE)</f>
        <v>NOV 21</v>
      </c>
    </row>
    <row r="3076" spans="1:21" ht="16.5" customHeight="1">
      <c r="A3076" s="159" t="s">
        <v>2751</v>
      </c>
      <c r="B3076" s="114" t="str">
        <f>VLOOKUP(A3076,'Data pick slip'!B:F,5,FALSE)</f>
        <v>KHJ-MC700-00</v>
      </c>
      <c r="F3076" s="157" t="s">
        <v>1381</v>
      </c>
      <c r="H3076" s="138">
        <v>1406</v>
      </c>
      <c r="I3076" s="139" t="str">
        <f>VLOOKUP(H3076,Stock_list!A:R,18,FALSE)</f>
        <v>比泰利</v>
      </c>
      <c r="J3076" s="139" t="str">
        <f>VLOOKUP(H3076,Stock_list!A:S,17,FALSE)</f>
        <v>C49SZX20210141DZ</v>
      </c>
      <c r="K3076" s="51" t="str">
        <f>VLOOKUP(H3076,Stock_list!A:T,16,FALSE)</f>
        <v>JPY</v>
      </c>
      <c r="L3076" s="4">
        <v>44530</v>
      </c>
      <c r="M3076" s="132">
        <v>1</v>
      </c>
      <c r="P3076" s="4" t="str">
        <f>VLOOKUP(H3076,Stock_list!A:Y,25,FALSE)</f>
        <v>Yes</v>
      </c>
      <c r="Q3076" s="143"/>
      <c r="T3076" s="144"/>
      <c r="U3076" s="145" t="str">
        <f>VLOOKUP(H3076,Stock_list!A:N,14,FALSE)</f>
        <v>NOV 21</v>
      </c>
    </row>
    <row r="3077" spans="1:21" ht="16.5" customHeight="1">
      <c r="A3077" s="159" t="s">
        <v>2752</v>
      </c>
      <c r="B3077" s="114" t="str">
        <f>VLOOKUP(A3077,'Data pick slip'!B:F,5,FALSE)</f>
        <v>KHJ-MC800-00</v>
      </c>
      <c r="F3077" s="157" t="s">
        <v>1381</v>
      </c>
      <c r="H3077" s="138">
        <v>1406</v>
      </c>
      <c r="I3077" s="139" t="str">
        <f>VLOOKUP(H3077,Stock_list!A:R,18,FALSE)</f>
        <v>比泰利</v>
      </c>
      <c r="J3077" s="139" t="str">
        <f>VLOOKUP(H3077,Stock_list!A:S,17,FALSE)</f>
        <v>C49SZX20210141DZ</v>
      </c>
      <c r="K3077" s="51" t="str">
        <f>VLOOKUP(H3077,Stock_list!A:T,16,FALSE)</f>
        <v>JPY</v>
      </c>
      <c r="L3077" s="4">
        <v>44530</v>
      </c>
      <c r="M3077" s="132">
        <v>1</v>
      </c>
      <c r="P3077" s="4" t="str">
        <f>VLOOKUP(H3077,Stock_list!A:Y,25,FALSE)</f>
        <v>Yes</v>
      </c>
      <c r="Q3077" s="143"/>
      <c r="T3077" s="144"/>
      <c r="U3077" s="145" t="str">
        <f>VLOOKUP(H3077,Stock_list!A:N,14,FALSE)</f>
        <v>NOV 21</v>
      </c>
    </row>
    <row r="3078" spans="1:21" ht="16.5" customHeight="1">
      <c r="A3078" s="159" t="s">
        <v>2768</v>
      </c>
      <c r="B3078" s="114" t="str">
        <f>VLOOKUP(A3078,'Data pick slip'!B:F,5,FALSE)</f>
        <v>KHJ-MC100-00</v>
      </c>
      <c r="F3078" s="157" t="s">
        <v>2753</v>
      </c>
      <c r="I3078" s="139" t="s">
        <v>3099</v>
      </c>
      <c r="J3078" s="267" t="s">
        <v>3451</v>
      </c>
      <c r="K3078" s="51" t="s">
        <v>1246</v>
      </c>
      <c r="L3078" s="4">
        <v>44350</v>
      </c>
      <c r="M3078" s="140">
        <v>30</v>
      </c>
      <c r="P3078" s="4" t="s">
        <v>291</v>
      </c>
      <c r="Q3078" s="143"/>
      <c r="T3078" s="144"/>
      <c r="U3078" s="145" t="e">
        <f>VLOOKUP(H3078,Stock_list!A:N,14,FALSE)</f>
        <v>#N/A</v>
      </c>
    </row>
    <row r="3079" spans="1:21" ht="16.5" customHeight="1">
      <c r="A3079" s="159" t="s">
        <v>2749</v>
      </c>
      <c r="B3079" s="114" t="str">
        <f>VLOOKUP(A3079,'Data pick slip'!B:F,5,FALSE)</f>
        <v>KHJ-MC500-00</v>
      </c>
      <c r="F3079" s="157" t="s">
        <v>2753</v>
      </c>
      <c r="I3079" s="139" t="s">
        <v>3452</v>
      </c>
      <c r="J3079" s="267" t="s">
        <v>3453</v>
      </c>
      <c r="K3079" s="51" t="s">
        <v>1246</v>
      </c>
      <c r="L3079" s="4">
        <v>44357</v>
      </c>
      <c r="M3079" s="140">
        <v>1</v>
      </c>
      <c r="P3079" s="4" t="s">
        <v>291</v>
      </c>
      <c r="Q3079" s="143"/>
      <c r="T3079" s="144"/>
      <c r="U3079" s="145" t="e">
        <f>VLOOKUP(H3079,Stock_list!A:N,14,FALSE)</f>
        <v>#N/A</v>
      </c>
    </row>
    <row r="3080" spans="1:21" ht="16.5" customHeight="1">
      <c r="A3080" s="159" t="s">
        <v>2744</v>
      </c>
      <c r="B3080" s="114" t="str">
        <f>VLOOKUP(A3080,'Data pick slip'!B:F,5,FALSE)</f>
        <v>KHJ-MC100-00</v>
      </c>
      <c r="F3080" s="157" t="s">
        <v>2753</v>
      </c>
      <c r="I3080" s="139" t="s">
        <v>3290</v>
      </c>
      <c r="J3080" s="139" t="s">
        <v>3454</v>
      </c>
      <c r="K3080" s="51" t="s">
        <v>1246</v>
      </c>
      <c r="L3080" s="4">
        <v>44357</v>
      </c>
      <c r="M3080" s="140">
        <v>30</v>
      </c>
      <c r="P3080" s="4" t="s">
        <v>291</v>
      </c>
      <c r="Q3080" s="143"/>
      <c r="T3080" s="144"/>
      <c r="U3080" s="145" t="e">
        <f>VLOOKUP(H3080,Stock_list!A:N,14,FALSE)</f>
        <v>#N/A</v>
      </c>
    </row>
    <row r="3081" spans="1:21" ht="16.5" customHeight="1">
      <c r="A3081" s="159" t="s">
        <v>2768</v>
      </c>
      <c r="B3081" s="114" t="str">
        <f>VLOOKUP(A3081,'Data pick slip'!B:F,5,FALSE)</f>
        <v>KHJ-MC100-00</v>
      </c>
      <c r="F3081" s="157" t="s">
        <v>1381</v>
      </c>
      <c r="H3081" s="138">
        <v>1408</v>
      </c>
      <c r="I3081" s="139" t="str">
        <f>VLOOKUP(H3081,Stock_list!A:R,18,FALSE)</f>
        <v>晨鑫达</v>
      </c>
      <c r="J3081" s="139" t="str">
        <f>VLOOKUP(H3081,Stock_list!A:S,17,FALSE)</f>
        <v>C49SZX20210166SX</v>
      </c>
      <c r="K3081" s="51" t="str">
        <f>VLOOKUP(H3081,Stock_list!A:T,16,FALSE)</f>
        <v>JPY</v>
      </c>
      <c r="L3081" s="4">
        <v>44645</v>
      </c>
      <c r="M3081" s="132">
        <v>80</v>
      </c>
      <c r="P3081" s="4" t="str">
        <f>VLOOKUP(H3081,Stock_list!A:Y,25,FALSE)</f>
        <v>Yes</v>
      </c>
      <c r="Q3081" s="143"/>
      <c r="T3081" s="144"/>
      <c r="U3081" s="145" t="str">
        <f>VLOOKUP(H3081,Stock_list!A:N,14,FALSE)</f>
        <v>MAR 22</v>
      </c>
    </row>
    <row r="3082" spans="1:21" ht="16.5" customHeight="1">
      <c r="A3082" s="159" t="s">
        <v>2747</v>
      </c>
      <c r="B3082" s="114" t="str">
        <f>VLOOKUP(A3082,'Data pick slip'!B:F,5,FALSE)</f>
        <v>KHJ-MC200-00</v>
      </c>
      <c r="F3082" s="157" t="s">
        <v>1381</v>
      </c>
      <c r="H3082" s="138">
        <v>1408</v>
      </c>
      <c r="I3082" s="139" t="str">
        <f>VLOOKUP(H3082,Stock_list!A:R,18,FALSE)</f>
        <v>晨鑫达</v>
      </c>
      <c r="J3082" s="139" t="str">
        <f>VLOOKUP(H3082,Stock_list!A:S,17,FALSE)</f>
        <v>C49SZX20210166SX</v>
      </c>
      <c r="K3082" s="51" t="str">
        <f>VLOOKUP(H3082,Stock_list!A:T,16,FALSE)</f>
        <v>JPY</v>
      </c>
      <c r="L3082" s="4">
        <v>44645</v>
      </c>
      <c r="M3082" s="132">
        <v>14</v>
      </c>
      <c r="P3082" s="4" t="str">
        <f>VLOOKUP(H3082,Stock_list!A:Y,25,FALSE)</f>
        <v>Yes</v>
      </c>
      <c r="Q3082" s="143"/>
      <c r="T3082" s="144"/>
      <c r="U3082" s="145" t="str">
        <f>VLOOKUP(H3082,Stock_list!A:N,14,FALSE)</f>
        <v>MAR 22</v>
      </c>
    </row>
    <row r="3083" spans="1:21" ht="16.5" customHeight="1">
      <c r="A3083" s="159" t="s">
        <v>2749</v>
      </c>
      <c r="B3083" s="114" t="str">
        <f>VLOOKUP(A3083,'Data pick slip'!B:F,5,FALSE)</f>
        <v>KHJ-MC500-00</v>
      </c>
      <c r="F3083" s="157" t="s">
        <v>1381</v>
      </c>
      <c r="H3083" s="138">
        <v>1408</v>
      </c>
      <c r="I3083" s="139" t="str">
        <f>VLOOKUP(H3083,Stock_list!A:R,18,FALSE)</f>
        <v>晨鑫达</v>
      </c>
      <c r="J3083" s="139" t="str">
        <f>VLOOKUP(H3083,Stock_list!A:S,17,FALSE)</f>
        <v>C49SZX20210166SX</v>
      </c>
      <c r="K3083" s="51" t="str">
        <f>VLOOKUP(H3083,Stock_list!A:T,16,FALSE)</f>
        <v>JPY</v>
      </c>
      <c r="L3083" s="4">
        <v>44645</v>
      </c>
      <c r="M3083" s="132">
        <v>4</v>
      </c>
      <c r="P3083" s="4" t="str">
        <f>VLOOKUP(H3083,Stock_list!A:Y,25,FALSE)</f>
        <v>Yes</v>
      </c>
      <c r="Q3083" s="143"/>
      <c r="T3083" s="144"/>
      <c r="U3083" s="145" t="str">
        <f>VLOOKUP(H3083,Stock_list!A:N,14,FALSE)</f>
        <v>MAR 22</v>
      </c>
    </row>
    <row r="3084" spans="1:21" ht="16.5" customHeight="1">
      <c r="A3084" s="159" t="s">
        <v>2750</v>
      </c>
      <c r="B3084" s="114" t="str">
        <f>VLOOKUP(A3084,'Data pick slip'!B:F,5,FALSE)</f>
        <v>KHJ-MC600-00</v>
      </c>
      <c r="F3084" s="157" t="s">
        <v>1381</v>
      </c>
      <c r="H3084" s="138">
        <v>1408</v>
      </c>
      <c r="I3084" s="139" t="str">
        <f>VLOOKUP(H3084,Stock_list!A:R,18,FALSE)</f>
        <v>晨鑫达</v>
      </c>
      <c r="J3084" s="139" t="str">
        <f>VLOOKUP(H3084,Stock_list!A:S,17,FALSE)</f>
        <v>C49SZX20210166SX</v>
      </c>
      <c r="K3084" s="51" t="str">
        <f>VLOOKUP(H3084,Stock_list!A:T,16,FALSE)</f>
        <v>JPY</v>
      </c>
      <c r="L3084" s="4">
        <v>44645</v>
      </c>
      <c r="M3084" s="132">
        <v>2</v>
      </c>
      <c r="P3084" s="4" t="str">
        <f>VLOOKUP(H3084,Stock_list!A:Y,25,FALSE)</f>
        <v>Yes</v>
      </c>
      <c r="Q3084" s="143"/>
      <c r="T3084" s="144"/>
      <c r="U3084" s="145" t="str">
        <f>VLOOKUP(H3084,Stock_list!A:N,14,FALSE)</f>
        <v>MAR 22</v>
      </c>
    </row>
    <row r="3085" spans="1:21" ht="16.5" customHeight="1">
      <c r="A3085" s="159" t="s">
        <v>2768</v>
      </c>
      <c r="B3085" s="114" t="str">
        <f>VLOOKUP(A3085,'Data pick slip'!B:F,5,FALSE)</f>
        <v>KHJ-MC100-00</v>
      </c>
      <c r="F3085" s="157" t="s">
        <v>1381</v>
      </c>
      <c r="H3085" s="138">
        <v>1411</v>
      </c>
      <c r="I3085" s="139" t="str">
        <f>VLOOKUP(H3085,Stock_list!A:R,18,FALSE)</f>
        <v>众华</v>
      </c>
      <c r="J3085" s="139" t="str">
        <f>VLOOKUP(H3085,Stock_list!A:S,17,FALSE)</f>
        <v>C49SZX20210167MW</v>
      </c>
      <c r="K3085" s="51" t="str">
        <f>VLOOKUP(H3085,Stock_list!A:T,16,FALSE)</f>
        <v>JPY</v>
      </c>
      <c r="L3085" s="4">
        <v>44571</v>
      </c>
      <c r="M3085" s="140">
        <v>15</v>
      </c>
      <c r="P3085" s="4" t="str">
        <f>VLOOKUP(H3085,Stock_list!A:Y,25,FALSE)</f>
        <v>Yes</v>
      </c>
      <c r="Q3085" s="143"/>
      <c r="T3085" s="144"/>
      <c r="U3085" s="145" t="str">
        <f>VLOOKUP(H3085,Stock_list!A:N,14,FALSE)</f>
        <v>JAN 22</v>
      </c>
    </row>
    <row r="3086" spans="1:21" ht="16.5" customHeight="1">
      <c r="A3086" s="159" t="s">
        <v>2747</v>
      </c>
      <c r="B3086" s="114" t="str">
        <f>VLOOKUP(A3086,'Data pick slip'!B:F,5,FALSE)</f>
        <v>KHJ-MC200-00</v>
      </c>
      <c r="F3086" s="157" t="s">
        <v>1381</v>
      </c>
      <c r="H3086" s="138">
        <v>1411</v>
      </c>
      <c r="I3086" s="139" t="str">
        <f>VLOOKUP(H3086,Stock_list!A:R,18,FALSE)</f>
        <v>众华</v>
      </c>
      <c r="J3086" s="139" t="str">
        <f>VLOOKUP(H3086,Stock_list!A:S,17,FALSE)</f>
        <v>C49SZX20210167MW</v>
      </c>
      <c r="K3086" s="51" t="str">
        <f>VLOOKUP(H3086,Stock_list!A:T,16,FALSE)</f>
        <v>JPY</v>
      </c>
      <c r="L3086" s="4">
        <v>44571</v>
      </c>
      <c r="M3086" s="140">
        <v>4</v>
      </c>
      <c r="P3086" s="4" t="str">
        <f>VLOOKUP(H3086,Stock_list!A:Y,25,FALSE)</f>
        <v>Yes</v>
      </c>
      <c r="Q3086" s="143"/>
      <c r="T3086" s="144"/>
      <c r="U3086" s="145" t="str">
        <f>VLOOKUP(H3086,Stock_list!A:N,14,FALSE)</f>
        <v>JAN 22</v>
      </c>
    </row>
    <row r="3087" spans="1:21" ht="16.5" customHeight="1">
      <c r="A3087" s="159" t="s">
        <v>2748</v>
      </c>
      <c r="B3087" s="114" t="str">
        <f>VLOOKUP(A3087,'Data pick slip'!B:F,5,FALSE)</f>
        <v>KHJ-MC400-00</v>
      </c>
      <c r="F3087" s="157" t="s">
        <v>1381</v>
      </c>
      <c r="H3087" s="138">
        <v>1411</v>
      </c>
      <c r="I3087" s="139" t="str">
        <f>VLOOKUP(H3087,Stock_list!A:R,18,FALSE)</f>
        <v>众华</v>
      </c>
      <c r="J3087" s="139" t="str">
        <f>VLOOKUP(H3087,Stock_list!A:S,17,FALSE)</f>
        <v>C49SZX20210167MW</v>
      </c>
      <c r="K3087" s="51" t="str">
        <f>VLOOKUP(H3087,Stock_list!A:T,16,FALSE)</f>
        <v>JPY</v>
      </c>
      <c r="L3087" s="4">
        <v>44571</v>
      </c>
      <c r="M3087" s="140">
        <v>1</v>
      </c>
      <c r="P3087" s="4" t="str">
        <f>VLOOKUP(H3087,Stock_list!A:Y,25,FALSE)</f>
        <v>Yes</v>
      </c>
      <c r="Q3087" s="143"/>
      <c r="T3087" s="144"/>
      <c r="U3087" s="145" t="str">
        <f>VLOOKUP(H3087,Stock_list!A:N,14,FALSE)</f>
        <v>JAN 22</v>
      </c>
    </row>
    <row r="3088" spans="1:21" ht="16.5" customHeight="1">
      <c r="A3088" s="159" t="s">
        <v>2768</v>
      </c>
      <c r="B3088" s="114" t="str">
        <f>VLOOKUP(A3088,'Data pick slip'!B:F,5,FALSE)</f>
        <v>KHJ-MC100-00</v>
      </c>
      <c r="F3088" s="157" t="s">
        <v>1381</v>
      </c>
      <c r="H3088" s="138">
        <v>1412</v>
      </c>
      <c r="I3088" s="139" t="str">
        <f>VLOOKUP(H3088,Stock_list!A:R,18,FALSE)</f>
        <v>伟盛贸易(富洛）/晶科</v>
      </c>
      <c r="J3088" s="139" t="str">
        <f>VLOOKUP(H3088,Stock_list!A:S,17,FALSE)</f>
        <v>C49SZX20210095JL</v>
      </c>
      <c r="K3088" s="51" t="str">
        <f>VLOOKUP(H3088,Stock_list!A:T,16,FALSE)</f>
        <v>JPY</v>
      </c>
      <c r="L3088" s="4">
        <v>44379</v>
      </c>
      <c r="M3088" s="140">
        <v>60</v>
      </c>
      <c r="P3088" s="4" t="str">
        <f>VLOOKUP(H3088,Stock_list!A:Y,25,FALSE)</f>
        <v>Yes</v>
      </c>
      <c r="Q3088" s="143"/>
      <c r="T3088" s="144"/>
      <c r="U3088" s="145" t="str">
        <f>VLOOKUP(H3088,Stock_list!A:N,14,FALSE)</f>
        <v>JUL 21</v>
      </c>
    </row>
    <row r="3089" spans="1:21" ht="16.5" customHeight="1">
      <c r="A3089" s="159" t="s">
        <v>2747</v>
      </c>
      <c r="B3089" s="114" t="str">
        <f>VLOOKUP(A3089,'Data pick slip'!B:F,5,FALSE)</f>
        <v>KHJ-MC200-00</v>
      </c>
      <c r="F3089" s="157" t="s">
        <v>1381</v>
      </c>
      <c r="H3089" s="138">
        <v>1412</v>
      </c>
      <c r="I3089" s="139" t="str">
        <f>VLOOKUP(H3089,Stock_list!A:R,18,FALSE)</f>
        <v>伟盛贸易(富洛）/晶科</v>
      </c>
      <c r="J3089" s="139" t="str">
        <f>VLOOKUP(H3089,Stock_list!A:S,17,FALSE)</f>
        <v>C49SZX20210095JL</v>
      </c>
      <c r="K3089" s="51" t="str">
        <f>VLOOKUP(H3089,Stock_list!A:T,16,FALSE)</f>
        <v>JPY</v>
      </c>
      <c r="L3089" s="4">
        <v>44379</v>
      </c>
      <c r="M3089" s="140">
        <v>20</v>
      </c>
      <c r="P3089" s="4" t="str">
        <f>VLOOKUP(H3089,Stock_list!A:Y,25,FALSE)</f>
        <v>Yes</v>
      </c>
      <c r="Q3089" s="143"/>
      <c r="T3089" s="144"/>
      <c r="U3089" s="145" t="str">
        <f>VLOOKUP(H3089,Stock_list!A:N,14,FALSE)</f>
        <v>JUL 21</v>
      </c>
    </row>
    <row r="3090" spans="1:21" ht="16.5" customHeight="1">
      <c r="A3090" s="159" t="s">
        <v>2748</v>
      </c>
      <c r="B3090" s="114" t="str">
        <f>VLOOKUP(A3090,'Data pick slip'!B:F,5,FALSE)</f>
        <v>KHJ-MC400-00</v>
      </c>
      <c r="F3090" s="157" t="s">
        <v>1381</v>
      </c>
      <c r="H3090" s="138">
        <v>1412</v>
      </c>
      <c r="I3090" s="139" t="str">
        <f>VLOOKUP(H3090,Stock_list!A:R,18,FALSE)</f>
        <v>伟盛贸易(富洛）/晶科</v>
      </c>
      <c r="J3090" s="139" t="str">
        <f>VLOOKUP(H3090,Stock_list!A:S,17,FALSE)</f>
        <v>C49SZX20210095JL</v>
      </c>
      <c r="K3090" s="51" t="str">
        <f>VLOOKUP(H3090,Stock_list!A:T,16,FALSE)</f>
        <v>JPY</v>
      </c>
      <c r="L3090" s="4">
        <v>44379</v>
      </c>
      <c r="M3090" s="140">
        <v>4</v>
      </c>
      <c r="P3090" s="4" t="str">
        <f>VLOOKUP(H3090,Stock_list!A:Y,25,FALSE)</f>
        <v>Yes</v>
      </c>
      <c r="Q3090" s="143"/>
      <c r="T3090" s="144"/>
      <c r="U3090" s="145" t="str">
        <f>VLOOKUP(H3090,Stock_list!A:N,14,FALSE)</f>
        <v>JUL 21</v>
      </c>
    </row>
    <row r="3091" spans="1:21" ht="16.5" customHeight="1">
      <c r="A3091" s="159" t="s">
        <v>2749</v>
      </c>
      <c r="B3091" s="114" t="str">
        <f>VLOOKUP(A3091,'Data pick slip'!B:F,5,FALSE)</f>
        <v>KHJ-MC500-00</v>
      </c>
      <c r="F3091" s="157" t="s">
        <v>1381</v>
      </c>
      <c r="H3091" s="138">
        <v>1412</v>
      </c>
      <c r="I3091" s="139" t="str">
        <f>VLOOKUP(H3091,Stock_list!A:R,18,FALSE)</f>
        <v>伟盛贸易(富洛）/晶科</v>
      </c>
      <c r="J3091" s="139" t="str">
        <f>VLOOKUP(H3091,Stock_list!A:S,17,FALSE)</f>
        <v>C49SZX20210095JL</v>
      </c>
      <c r="K3091" s="51" t="str">
        <f>VLOOKUP(H3091,Stock_list!A:T,16,FALSE)</f>
        <v>JPY</v>
      </c>
      <c r="L3091" s="4">
        <v>44379</v>
      </c>
      <c r="M3091" s="140">
        <v>4</v>
      </c>
      <c r="P3091" s="4" t="str">
        <f>VLOOKUP(H3091,Stock_list!A:Y,25,FALSE)</f>
        <v>Yes</v>
      </c>
      <c r="Q3091" s="143"/>
      <c r="T3091" s="144"/>
      <c r="U3091" s="145" t="str">
        <f>VLOOKUP(H3091,Stock_list!A:N,14,FALSE)</f>
        <v>JUL 21</v>
      </c>
    </row>
    <row r="3092" spans="1:21" ht="16.5" customHeight="1">
      <c r="A3092" s="159" t="s">
        <v>2768</v>
      </c>
      <c r="B3092" s="114" t="str">
        <f>VLOOKUP(A3092,'Data pick slip'!B:F,5,FALSE)</f>
        <v>KHJ-MC100-00</v>
      </c>
      <c r="F3092" s="157" t="s">
        <v>1381</v>
      </c>
      <c r="H3092" s="138">
        <v>1414</v>
      </c>
      <c r="I3092" s="139" t="str">
        <f>VLOOKUP(H3092,Stock_list!A:R,18,FALSE)</f>
        <v>鸿通宇</v>
      </c>
      <c r="J3092" s="139" t="str">
        <f>VLOOKUP(H3092,Stock_list!A:S,17,FALSE)</f>
        <v>C49SZX20210170DZ</v>
      </c>
      <c r="K3092" s="51" t="str">
        <f>VLOOKUP(H3092,Stock_list!A:T,16,FALSE)</f>
        <v>JPY</v>
      </c>
      <c r="L3092" s="4">
        <v>44580</v>
      </c>
      <c r="M3092" s="140">
        <v>130</v>
      </c>
      <c r="P3092" s="4" t="str">
        <f>VLOOKUP(H3092,Stock_list!A:Y,25,FALSE)</f>
        <v>Yes</v>
      </c>
      <c r="Q3092" s="143"/>
      <c r="T3092" s="144"/>
      <c r="U3092" s="145" t="str">
        <f>VLOOKUP(H3092,Stock_list!A:N,14,FALSE)</f>
        <v>JAN 22</v>
      </c>
    </row>
    <row r="3093" spans="1:21" ht="16.5" customHeight="1">
      <c r="A3093" s="159" t="s">
        <v>2747</v>
      </c>
      <c r="B3093" s="114" t="str">
        <f>VLOOKUP(A3093,'Data pick slip'!B:F,5,FALSE)</f>
        <v>KHJ-MC200-00</v>
      </c>
      <c r="F3093" s="157" t="s">
        <v>1381</v>
      </c>
      <c r="H3093" s="138">
        <v>1414</v>
      </c>
      <c r="I3093" s="139" t="str">
        <f>VLOOKUP(H3093,Stock_list!A:R,18,FALSE)</f>
        <v>鸿通宇</v>
      </c>
      <c r="J3093" s="139" t="str">
        <f>VLOOKUP(H3093,Stock_list!A:S,17,FALSE)</f>
        <v>C49SZX20210170DZ</v>
      </c>
      <c r="K3093" s="51" t="str">
        <f>VLOOKUP(H3093,Stock_list!A:T,16,FALSE)</f>
        <v>JPY</v>
      </c>
      <c r="L3093" s="4">
        <v>44580</v>
      </c>
      <c r="M3093" s="140">
        <v>12</v>
      </c>
      <c r="P3093" s="4" t="str">
        <f>VLOOKUP(H3093,Stock_list!A:Y,25,FALSE)</f>
        <v>Yes</v>
      </c>
      <c r="Q3093" s="143"/>
      <c r="T3093" s="144"/>
      <c r="U3093" s="145" t="str">
        <f>VLOOKUP(H3093,Stock_list!A:N,14,FALSE)</f>
        <v>JAN 22</v>
      </c>
    </row>
    <row r="3094" spans="1:21" ht="16.5" customHeight="1">
      <c r="A3094" s="159" t="s">
        <v>2748</v>
      </c>
      <c r="B3094" s="114" t="str">
        <f>VLOOKUP(A3094,'Data pick slip'!B:F,5,FALSE)</f>
        <v>KHJ-MC400-00</v>
      </c>
      <c r="F3094" s="157" t="s">
        <v>1381</v>
      </c>
      <c r="H3094" s="138">
        <v>1414</v>
      </c>
      <c r="I3094" s="139" t="str">
        <f>VLOOKUP(H3094,Stock_list!A:R,18,FALSE)</f>
        <v>鸿通宇</v>
      </c>
      <c r="J3094" s="139" t="str">
        <f>VLOOKUP(H3094,Stock_list!A:S,17,FALSE)</f>
        <v>C49SZX20210170DZ</v>
      </c>
      <c r="K3094" s="51" t="str">
        <f>VLOOKUP(H3094,Stock_list!A:T,16,FALSE)</f>
        <v>JPY</v>
      </c>
      <c r="L3094" s="4">
        <v>44580</v>
      </c>
      <c r="M3094" s="140">
        <v>2</v>
      </c>
      <c r="P3094" s="4" t="str">
        <f>VLOOKUP(H3094,Stock_list!A:Y,25,FALSE)</f>
        <v>Yes</v>
      </c>
      <c r="Q3094" s="143"/>
      <c r="T3094" s="144"/>
      <c r="U3094" s="145" t="str">
        <f>VLOOKUP(H3094,Stock_list!A:N,14,FALSE)</f>
        <v>JAN 22</v>
      </c>
    </row>
    <row r="3095" spans="1:21" ht="16.5" customHeight="1">
      <c r="A3095" s="159" t="s">
        <v>2749</v>
      </c>
      <c r="B3095" s="114" t="str">
        <f>VLOOKUP(A3095,'Data pick slip'!B:F,5,FALSE)</f>
        <v>KHJ-MC500-00</v>
      </c>
      <c r="F3095" s="157" t="s">
        <v>1381</v>
      </c>
      <c r="H3095" s="138">
        <v>1414</v>
      </c>
      <c r="I3095" s="139" t="str">
        <f>VLOOKUP(H3095,Stock_list!A:R,18,FALSE)</f>
        <v>鸿通宇</v>
      </c>
      <c r="J3095" s="139" t="str">
        <f>VLOOKUP(H3095,Stock_list!A:S,17,FALSE)</f>
        <v>C49SZX20210170DZ</v>
      </c>
      <c r="K3095" s="51" t="str">
        <f>VLOOKUP(H3095,Stock_list!A:T,16,FALSE)</f>
        <v>JPY</v>
      </c>
      <c r="L3095" s="4">
        <v>44580</v>
      </c>
      <c r="M3095" s="140">
        <v>2</v>
      </c>
      <c r="P3095" s="4" t="str">
        <f>VLOOKUP(H3095,Stock_list!A:Y,25,FALSE)</f>
        <v>Yes</v>
      </c>
      <c r="Q3095" s="143"/>
      <c r="T3095" s="144"/>
      <c r="U3095" s="145" t="str">
        <f>VLOOKUP(H3095,Stock_list!A:N,14,FALSE)</f>
        <v>JAN 22</v>
      </c>
    </row>
    <row r="3096" spans="1:21" ht="16.5" customHeight="1">
      <c r="A3096" s="159" t="s">
        <v>2768</v>
      </c>
      <c r="B3096" s="114" t="str">
        <f>VLOOKUP(A3096,'Data pick slip'!B:F,5,FALSE)</f>
        <v>KHJ-MC100-00</v>
      </c>
      <c r="F3096" s="157" t="s">
        <v>1381</v>
      </c>
      <c r="H3096" s="138">
        <v>1419</v>
      </c>
      <c r="I3096" s="139" t="str">
        <f>VLOOKUP(H3096,Stock_list!A:R,18,FALSE)</f>
        <v>太美亚</v>
      </c>
      <c r="J3096" s="139" t="str">
        <f>VLOOKUP(H3096,Stock_list!A:S,17,FALSE)</f>
        <v>C49SZX20210152SX</v>
      </c>
      <c r="K3096" s="51" t="str">
        <f>VLOOKUP(H3096,Stock_list!A:T,16,FALSE)</f>
        <v>JPY</v>
      </c>
      <c r="L3096" s="4">
        <v>44439</v>
      </c>
      <c r="M3096" s="132">
        <v>56</v>
      </c>
      <c r="N3096" s="146"/>
      <c r="P3096" s="4" t="str">
        <f>VLOOKUP(H3096,Stock_list!A:Y,25,FALSE)</f>
        <v>Yes</v>
      </c>
      <c r="Q3096" s="143"/>
      <c r="T3096" s="144"/>
      <c r="U3096" s="145" t="str">
        <f>VLOOKUP(H3096,Stock_list!A:N,14,FALSE)</f>
        <v>AUG 21</v>
      </c>
    </row>
    <row r="3097" spans="1:21" ht="16.5" customHeight="1">
      <c r="A3097" s="159" t="s">
        <v>2747</v>
      </c>
      <c r="B3097" s="114" t="str">
        <f>VLOOKUP(A3097,'Data pick slip'!B:F,5,FALSE)</f>
        <v>KHJ-MC200-00</v>
      </c>
      <c r="F3097" s="157" t="s">
        <v>1381</v>
      </c>
      <c r="H3097" s="138">
        <v>1419</v>
      </c>
      <c r="I3097" s="139" t="str">
        <f>VLOOKUP(H3097,Stock_list!A:R,18,FALSE)</f>
        <v>太美亚</v>
      </c>
      <c r="J3097" s="139" t="str">
        <f>VLOOKUP(H3097,Stock_list!A:S,17,FALSE)</f>
        <v>C49SZX20210152SX</v>
      </c>
      <c r="K3097" s="51" t="str">
        <f>VLOOKUP(H3097,Stock_list!A:T,16,FALSE)</f>
        <v>JPY</v>
      </c>
      <c r="L3097" s="4">
        <v>44439</v>
      </c>
      <c r="M3097" s="132">
        <v>11</v>
      </c>
      <c r="N3097" s="146"/>
      <c r="P3097" s="4" t="str">
        <f>VLOOKUP(H3097,Stock_list!A:Y,25,FALSE)</f>
        <v>Yes</v>
      </c>
      <c r="Q3097" s="143"/>
      <c r="T3097" s="144"/>
      <c r="U3097" s="145" t="str">
        <f>VLOOKUP(H3097,Stock_list!A:N,14,FALSE)</f>
        <v>AUG 21</v>
      </c>
    </row>
    <row r="3098" spans="1:21" ht="16.5" customHeight="1">
      <c r="A3098" s="159" t="s">
        <v>2748</v>
      </c>
      <c r="B3098" s="114" t="str">
        <f>VLOOKUP(A3098,'Data pick slip'!B:F,5,FALSE)</f>
        <v>KHJ-MC400-00</v>
      </c>
      <c r="F3098" s="157" t="s">
        <v>1381</v>
      </c>
      <c r="H3098" s="138">
        <v>1419</v>
      </c>
      <c r="I3098" s="139" t="str">
        <f>VLOOKUP(H3098,Stock_list!A:R,18,FALSE)</f>
        <v>太美亚</v>
      </c>
      <c r="J3098" s="139" t="str">
        <f>VLOOKUP(H3098,Stock_list!A:S,17,FALSE)</f>
        <v>C49SZX20210152SX</v>
      </c>
      <c r="K3098" s="51" t="str">
        <f>VLOOKUP(H3098,Stock_list!A:T,16,FALSE)</f>
        <v>JPY</v>
      </c>
      <c r="L3098" s="4">
        <v>44439</v>
      </c>
      <c r="M3098" s="132">
        <v>3</v>
      </c>
      <c r="N3098" s="146"/>
      <c r="P3098" s="4" t="str">
        <f>VLOOKUP(H3098,Stock_list!A:Y,25,FALSE)</f>
        <v>Yes</v>
      </c>
      <c r="Q3098" s="143"/>
      <c r="T3098" s="144"/>
      <c r="U3098" s="145" t="str">
        <f>VLOOKUP(H3098,Stock_list!A:N,14,FALSE)</f>
        <v>AUG 21</v>
      </c>
    </row>
    <row r="3099" spans="1:21" ht="16.5" customHeight="1">
      <c r="A3099" s="159" t="s">
        <v>2768</v>
      </c>
      <c r="B3099" s="114" t="str">
        <f>VLOOKUP(A3099,'Data pick slip'!B:F,5,FALSE)</f>
        <v>KHJ-MC100-00</v>
      </c>
      <c r="F3099" s="157" t="s">
        <v>1381</v>
      </c>
      <c r="H3099" s="138">
        <v>1419</v>
      </c>
      <c r="I3099" s="139" t="str">
        <f>VLOOKUP(H3099,Stock_list!A:R,18,FALSE)</f>
        <v>太美亚</v>
      </c>
      <c r="J3099" s="139" t="str">
        <f>VLOOKUP(H3099,Stock_list!A:S,17,FALSE)</f>
        <v>C49SZX20210152SX</v>
      </c>
      <c r="K3099" s="51" t="str">
        <f>VLOOKUP(H3099,Stock_list!A:T,16,FALSE)</f>
        <v>JPY</v>
      </c>
      <c r="L3099" s="4">
        <v>44558</v>
      </c>
      <c r="M3099" s="140">
        <v>28</v>
      </c>
      <c r="P3099" s="4" t="str">
        <f>VLOOKUP(H3099,Stock_list!A:Y,25,FALSE)</f>
        <v>Yes</v>
      </c>
      <c r="Q3099" s="143"/>
      <c r="T3099" s="144"/>
      <c r="U3099" s="145" t="str">
        <f>VLOOKUP(H3099,Stock_list!A:N,14,FALSE)</f>
        <v>AUG 21</v>
      </c>
    </row>
    <row r="3100" spans="1:21" ht="16.5" customHeight="1">
      <c r="A3100" s="159" t="s">
        <v>2747</v>
      </c>
      <c r="B3100" s="114" t="str">
        <f>VLOOKUP(A3100,'Data pick slip'!B:F,5,FALSE)</f>
        <v>KHJ-MC200-00</v>
      </c>
      <c r="F3100" s="157" t="s">
        <v>1381</v>
      </c>
      <c r="H3100" s="138">
        <v>1419</v>
      </c>
      <c r="I3100" s="139" t="str">
        <f>VLOOKUP(H3100,Stock_list!A:R,18,FALSE)</f>
        <v>太美亚</v>
      </c>
      <c r="J3100" s="139" t="str">
        <f>VLOOKUP(H3100,Stock_list!A:S,17,FALSE)</f>
        <v>C49SZX20210152SX</v>
      </c>
      <c r="K3100" s="51" t="str">
        <f>VLOOKUP(H3100,Stock_list!A:T,16,FALSE)</f>
        <v>JPY</v>
      </c>
      <c r="L3100" s="4">
        <v>44558</v>
      </c>
      <c r="M3100" s="140">
        <v>5</v>
      </c>
      <c r="P3100" s="4" t="str">
        <f>VLOOKUP(H3100,Stock_list!A:Y,25,FALSE)</f>
        <v>Yes</v>
      </c>
      <c r="Q3100" s="143"/>
      <c r="T3100" s="144"/>
      <c r="U3100" s="145" t="str">
        <f>VLOOKUP(H3100,Stock_list!A:N,14,FALSE)</f>
        <v>AUG 21</v>
      </c>
    </row>
    <row r="3101" spans="1:21" ht="16.5" customHeight="1">
      <c r="A3101" s="159" t="s">
        <v>2748</v>
      </c>
      <c r="B3101" s="114" t="str">
        <f>VLOOKUP(A3101,'Data pick slip'!B:F,5,FALSE)</f>
        <v>KHJ-MC400-00</v>
      </c>
      <c r="F3101" s="157" t="s">
        <v>1381</v>
      </c>
      <c r="H3101" s="138">
        <v>1419</v>
      </c>
      <c r="I3101" s="139" t="str">
        <f>VLOOKUP(H3101,Stock_list!A:R,18,FALSE)</f>
        <v>太美亚</v>
      </c>
      <c r="J3101" s="139" t="str">
        <f>VLOOKUP(H3101,Stock_list!A:S,17,FALSE)</f>
        <v>C49SZX20210152SX</v>
      </c>
      <c r="K3101" s="51" t="str">
        <f>VLOOKUP(H3101,Stock_list!A:T,16,FALSE)</f>
        <v>JPY</v>
      </c>
      <c r="L3101" s="4">
        <v>44558</v>
      </c>
      <c r="M3101" s="140">
        <v>2</v>
      </c>
      <c r="P3101" s="4" t="str">
        <f>VLOOKUP(H3101,Stock_list!A:Y,25,FALSE)</f>
        <v>Yes</v>
      </c>
      <c r="Q3101" s="143"/>
      <c r="T3101" s="144"/>
      <c r="U3101" s="145" t="str">
        <f>VLOOKUP(H3101,Stock_list!A:N,14,FALSE)</f>
        <v>AUG 21</v>
      </c>
    </row>
    <row r="3102" spans="1:21" ht="16.5" customHeight="1">
      <c r="A3102" s="159" t="s">
        <v>2768</v>
      </c>
      <c r="B3102" s="114" t="str">
        <f>VLOOKUP(A3102,'Data pick slip'!B:F,5,FALSE)</f>
        <v>KHJ-MC100-00</v>
      </c>
      <c r="F3102" s="157" t="s">
        <v>1381</v>
      </c>
      <c r="H3102" s="138">
        <v>1419</v>
      </c>
      <c r="I3102" s="139" t="str">
        <f>VLOOKUP(H3102,Stock_list!A:R,18,FALSE)</f>
        <v>太美亚</v>
      </c>
      <c r="J3102" s="139" t="str">
        <f>VLOOKUP(H3102,Stock_list!A:S,17,FALSE)</f>
        <v>C49SZX20210152SX</v>
      </c>
      <c r="K3102" s="51" t="str">
        <f>VLOOKUP(H3102,Stock_list!A:T,16,FALSE)</f>
        <v>JPY</v>
      </c>
      <c r="L3102" s="4">
        <v>44511</v>
      </c>
      <c r="M3102" s="140">
        <v>28</v>
      </c>
      <c r="P3102" s="4" t="str">
        <f>VLOOKUP(H3102,Stock_list!A:Y,25,FALSE)</f>
        <v>Yes</v>
      </c>
      <c r="Q3102" s="143"/>
      <c r="T3102" s="144"/>
      <c r="U3102" s="145" t="str">
        <f>VLOOKUP(H3102,Stock_list!A:N,14,FALSE)</f>
        <v>AUG 21</v>
      </c>
    </row>
    <row r="3103" spans="1:21" ht="16.5" customHeight="1">
      <c r="A3103" s="159" t="s">
        <v>2747</v>
      </c>
      <c r="B3103" s="114" t="str">
        <f>VLOOKUP(A3103,'Data pick slip'!B:F,5,FALSE)</f>
        <v>KHJ-MC200-00</v>
      </c>
      <c r="F3103" s="157" t="s">
        <v>1381</v>
      </c>
      <c r="H3103" s="138">
        <v>1419</v>
      </c>
      <c r="I3103" s="139" t="str">
        <f>VLOOKUP(H3103,Stock_list!A:R,18,FALSE)</f>
        <v>太美亚</v>
      </c>
      <c r="J3103" s="139" t="str">
        <f>VLOOKUP(H3103,Stock_list!A:S,17,FALSE)</f>
        <v>C49SZX20210152SX</v>
      </c>
      <c r="K3103" s="51" t="str">
        <f>VLOOKUP(H3103,Stock_list!A:T,16,FALSE)</f>
        <v>JPY</v>
      </c>
      <c r="L3103" s="4">
        <v>44511</v>
      </c>
      <c r="M3103" s="140">
        <v>5</v>
      </c>
      <c r="P3103" s="4" t="str">
        <f>VLOOKUP(H3103,Stock_list!A:Y,25,FALSE)</f>
        <v>Yes</v>
      </c>
      <c r="Q3103" s="143"/>
      <c r="T3103" s="144"/>
      <c r="U3103" s="145" t="str">
        <f>VLOOKUP(H3103,Stock_list!A:N,14,FALSE)</f>
        <v>AUG 21</v>
      </c>
    </row>
    <row r="3104" spans="1:21" ht="16.5" customHeight="1">
      <c r="A3104" s="159" t="s">
        <v>2748</v>
      </c>
      <c r="B3104" s="114" t="str">
        <f>VLOOKUP(A3104,'Data pick slip'!B:F,5,FALSE)</f>
        <v>KHJ-MC400-00</v>
      </c>
      <c r="F3104" s="157" t="s">
        <v>1381</v>
      </c>
      <c r="H3104" s="138">
        <v>1419</v>
      </c>
      <c r="I3104" s="139" t="str">
        <f>VLOOKUP(H3104,Stock_list!A:R,18,FALSE)</f>
        <v>太美亚</v>
      </c>
      <c r="J3104" s="139" t="str">
        <f>VLOOKUP(H3104,Stock_list!A:S,17,FALSE)</f>
        <v>C49SZX20210152SX</v>
      </c>
      <c r="K3104" s="51" t="str">
        <f>VLOOKUP(H3104,Stock_list!A:T,16,FALSE)</f>
        <v>JPY</v>
      </c>
      <c r="L3104" s="4">
        <v>44511</v>
      </c>
      <c r="M3104" s="140">
        <v>2</v>
      </c>
      <c r="P3104" s="4" t="str">
        <f>VLOOKUP(H3104,Stock_list!A:Y,25,FALSE)</f>
        <v>Yes</v>
      </c>
      <c r="Q3104" s="143"/>
      <c r="T3104" s="144"/>
      <c r="U3104" s="145" t="str">
        <f>VLOOKUP(H3104,Stock_list!A:N,14,FALSE)</f>
        <v>AUG 21</v>
      </c>
    </row>
    <row r="3105" spans="1:21" ht="16.5" customHeight="1">
      <c r="A3105" s="159" t="s">
        <v>2768</v>
      </c>
      <c r="B3105" s="114" t="str">
        <f>VLOOKUP(A3105,'Data pick slip'!B:F,5,FALSE)</f>
        <v>KHJ-MC100-00</v>
      </c>
      <c r="F3105" s="157" t="s">
        <v>2753</v>
      </c>
      <c r="H3105" s="138">
        <v>1419</v>
      </c>
      <c r="I3105" s="139" t="str">
        <f>VLOOKUP(H3105,Stock_list!A:R,18,FALSE)</f>
        <v>太美亚</v>
      </c>
      <c r="J3105" s="139" t="str">
        <f>VLOOKUP(H3105,Stock_list!A:S,17,FALSE)</f>
        <v>C49SZX20210152SX</v>
      </c>
      <c r="K3105" s="51" t="str">
        <f>VLOOKUP(H3105,Stock_list!A:T,16,FALSE)</f>
        <v>JPY</v>
      </c>
      <c r="L3105" s="4">
        <v>44511</v>
      </c>
      <c r="O3105" s="132">
        <f>28-28</f>
        <v>0</v>
      </c>
      <c r="P3105" s="4" t="str">
        <f>VLOOKUP(H3105,Stock_list!A:Y,25,FALSE)</f>
        <v>Yes</v>
      </c>
      <c r="Q3105" s="143"/>
      <c r="T3105" s="144"/>
      <c r="U3105" s="145" t="str">
        <f>VLOOKUP(H3105,Stock_list!A:N,14,FALSE)</f>
        <v>AUG 21</v>
      </c>
    </row>
    <row r="3106" spans="1:21" ht="16.5" customHeight="1">
      <c r="A3106" s="159" t="s">
        <v>2747</v>
      </c>
      <c r="B3106" s="114" t="str">
        <f>VLOOKUP(A3106,'Data pick slip'!B:F,5,FALSE)</f>
        <v>KHJ-MC200-00</v>
      </c>
      <c r="F3106" s="157" t="s">
        <v>2753</v>
      </c>
      <c r="H3106" s="138">
        <v>1419</v>
      </c>
      <c r="I3106" s="139" t="str">
        <f>VLOOKUP(H3106,Stock_list!A:R,18,FALSE)</f>
        <v>太美亚</v>
      </c>
      <c r="J3106" s="139" t="str">
        <f>VLOOKUP(H3106,Stock_list!A:S,17,FALSE)</f>
        <v>C49SZX20210152SX</v>
      </c>
      <c r="K3106" s="51" t="str">
        <f>VLOOKUP(H3106,Stock_list!A:T,16,FALSE)</f>
        <v>JPY</v>
      </c>
      <c r="L3106" s="4">
        <v>44511</v>
      </c>
      <c r="O3106" s="132">
        <f>5-5</f>
        <v>0</v>
      </c>
      <c r="P3106" s="4" t="str">
        <f>VLOOKUP(H3106,Stock_list!A:Y,25,FALSE)</f>
        <v>Yes</v>
      </c>
      <c r="Q3106" s="143"/>
      <c r="T3106" s="144"/>
      <c r="U3106" s="145" t="str">
        <f>VLOOKUP(H3106,Stock_list!A:N,14,FALSE)</f>
        <v>AUG 21</v>
      </c>
    </row>
    <row r="3107" spans="1:21" ht="16.5" customHeight="1">
      <c r="A3107" s="159" t="s">
        <v>2748</v>
      </c>
      <c r="B3107" s="114" t="str">
        <f>VLOOKUP(A3107,'Data pick slip'!B:F,5,FALSE)</f>
        <v>KHJ-MC400-00</v>
      </c>
      <c r="F3107" s="157" t="s">
        <v>2753</v>
      </c>
      <c r="H3107" s="138">
        <v>1419</v>
      </c>
      <c r="I3107" s="139" t="str">
        <f>VLOOKUP(H3107,Stock_list!A:R,18,FALSE)</f>
        <v>太美亚</v>
      </c>
      <c r="J3107" s="139" t="str">
        <f>VLOOKUP(H3107,Stock_list!A:S,17,FALSE)</f>
        <v>C49SZX20210152SX</v>
      </c>
      <c r="K3107" s="51" t="str">
        <f>VLOOKUP(H3107,Stock_list!A:T,16,FALSE)</f>
        <v>JPY</v>
      </c>
      <c r="L3107" s="4">
        <v>44511</v>
      </c>
      <c r="O3107" s="132">
        <f>2-2</f>
        <v>0</v>
      </c>
      <c r="P3107" s="4" t="str">
        <f>VLOOKUP(H3107,Stock_list!A:Y,25,FALSE)</f>
        <v>Yes</v>
      </c>
      <c r="Q3107" s="143"/>
      <c r="T3107" s="144"/>
      <c r="U3107" s="145" t="str">
        <f>VLOOKUP(H3107,Stock_list!A:N,14,FALSE)</f>
        <v>AUG 21</v>
      </c>
    </row>
    <row r="3108" spans="1:21" ht="16.5" customHeight="1">
      <c r="A3108" s="159" t="s">
        <v>2768</v>
      </c>
      <c r="B3108" s="114" t="str">
        <f>VLOOKUP(A3108,'Data pick slip'!B:F,5,FALSE)</f>
        <v>KHJ-MC100-00</v>
      </c>
      <c r="F3108" s="157" t="s">
        <v>1381</v>
      </c>
      <c r="H3108" s="138">
        <v>1427</v>
      </c>
      <c r="I3108" s="139" t="str">
        <f>VLOOKUP(H3108,Stock_list!A:R,18,FALSE)</f>
        <v>狂热者</v>
      </c>
      <c r="J3108" s="139" t="str">
        <f>VLOOKUP(H3108,Stock_list!A:S,17,FALSE)</f>
        <v>C49SZX20210169VG</v>
      </c>
      <c r="K3108" s="51" t="str">
        <f>VLOOKUP(H3108,Stock_list!A:T,16,FALSE)</f>
        <v>JPY</v>
      </c>
      <c r="L3108" s="4"/>
      <c r="N3108" s="132">
        <v>70</v>
      </c>
      <c r="P3108" s="4" t="str">
        <f>VLOOKUP(H3108,Stock_list!A:Y,25,FALSE)</f>
        <v>Yes</v>
      </c>
      <c r="Q3108" s="143"/>
      <c r="T3108" s="144"/>
      <c r="U3108" s="145">
        <f>VLOOKUP(H3108,Stock_list!A:N,14,FALSE)</f>
        <v>0</v>
      </c>
    </row>
    <row r="3109" spans="1:21" ht="16.5" customHeight="1">
      <c r="A3109" s="159" t="s">
        <v>2768</v>
      </c>
      <c r="B3109" s="114" t="str">
        <f>VLOOKUP(A3109,'Data pick slip'!B:F,5,FALSE)</f>
        <v>KHJ-MC100-00</v>
      </c>
      <c r="F3109" s="157" t="s">
        <v>2753</v>
      </c>
      <c r="H3109" s="138">
        <v>1427</v>
      </c>
      <c r="I3109" s="139" t="str">
        <f>VLOOKUP(H3109,Stock_list!A:R,18,FALSE)</f>
        <v>狂热者</v>
      </c>
      <c r="J3109" s="139" t="str">
        <f>VLOOKUP(H3109,Stock_list!A:S,17,FALSE)</f>
        <v>C49SZX20210169VG</v>
      </c>
      <c r="K3109" s="51" t="str">
        <f>VLOOKUP(H3109,Stock_list!A:T,16,FALSE)</f>
        <v>JPY</v>
      </c>
      <c r="L3109" s="4">
        <v>44454</v>
      </c>
      <c r="O3109" s="132">
        <v>40</v>
      </c>
      <c r="P3109" s="4" t="str">
        <f>VLOOKUP(H3109,Stock_list!A:Y,25,FALSE)</f>
        <v>Yes</v>
      </c>
      <c r="Q3109" s="143"/>
      <c r="T3109" s="144"/>
      <c r="U3109" s="145">
        <f>VLOOKUP(H3109,Stock_list!A:N,14,FALSE)</f>
        <v>0</v>
      </c>
    </row>
    <row r="3110" spans="1:21" ht="16.5" customHeight="1">
      <c r="A3110" s="159" t="s">
        <v>2747</v>
      </c>
      <c r="B3110" s="114" t="str">
        <f>VLOOKUP(A3110,'Data pick slip'!B:F,5,FALSE)</f>
        <v>KHJ-MC200-00</v>
      </c>
      <c r="F3110" s="157" t="s">
        <v>1381</v>
      </c>
      <c r="H3110" s="138">
        <v>1427</v>
      </c>
      <c r="I3110" s="139" t="str">
        <f>VLOOKUP(H3110,Stock_list!A:R,18,FALSE)</f>
        <v>狂热者</v>
      </c>
      <c r="J3110" s="139" t="str">
        <f>VLOOKUP(H3110,Stock_list!A:S,17,FALSE)</f>
        <v>C49SZX20210169VG</v>
      </c>
      <c r="K3110" s="51" t="str">
        <f>VLOOKUP(H3110,Stock_list!A:T,16,FALSE)</f>
        <v>JPY</v>
      </c>
      <c r="L3110" s="4"/>
      <c r="N3110" s="132">
        <v>20</v>
      </c>
      <c r="P3110" s="4" t="str">
        <f>VLOOKUP(H3110,Stock_list!A:Y,25,FALSE)</f>
        <v>Yes</v>
      </c>
      <c r="Q3110" s="143"/>
      <c r="T3110" s="144"/>
      <c r="U3110" s="145">
        <f>VLOOKUP(H3110,Stock_list!A:N,14,FALSE)</f>
        <v>0</v>
      </c>
    </row>
    <row r="3111" spans="1:21" ht="16.5" customHeight="1">
      <c r="A3111" s="159" t="s">
        <v>2748</v>
      </c>
      <c r="B3111" s="114" t="str">
        <f>VLOOKUP(A3111,'Data pick slip'!B:F,5,FALSE)</f>
        <v>KHJ-MC400-00</v>
      </c>
      <c r="F3111" s="157" t="s">
        <v>1381</v>
      </c>
      <c r="H3111" s="138">
        <v>1427</v>
      </c>
      <c r="I3111" s="139" t="str">
        <f>VLOOKUP(H3111,Stock_list!A:R,18,FALSE)</f>
        <v>狂热者</v>
      </c>
      <c r="J3111" s="139" t="str">
        <f>VLOOKUP(H3111,Stock_list!A:S,17,FALSE)</f>
        <v>C49SZX20210169VG</v>
      </c>
      <c r="K3111" s="51" t="str">
        <f>VLOOKUP(H3111,Stock_list!A:T,16,FALSE)</f>
        <v>JPY</v>
      </c>
      <c r="L3111" s="4"/>
      <c r="N3111" s="132">
        <v>4</v>
      </c>
      <c r="P3111" s="4" t="str">
        <f>VLOOKUP(H3111,Stock_list!A:Y,25,FALSE)</f>
        <v>Yes</v>
      </c>
      <c r="Q3111" s="143"/>
      <c r="T3111" s="144"/>
      <c r="U3111" s="145">
        <f>VLOOKUP(H3111,Stock_list!A:N,14,FALSE)</f>
        <v>0</v>
      </c>
    </row>
    <row r="3112" spans="1:21" ht="16.5" customHeight="1">
      <c r="A3112" s="159" t="s">
        <v>2768</v>
      </c>
      <c r="B3112" s="114" t="str">
        <f>VLOOKUP(A3112,'Data pick slip'!B:F,5,FALSE)</f>
        <v>KHJ-MC100-00</v>
      </c>
      <c r="E3112" s="160" t="s">
        <v>3455</v>
      </c>
      <c r="F3112" s="157" t="s">
        <v>1381</v>
      </c>
      <c r="I3112" s="139" t="s">
        <v>2853</v>
      </c>
      <c r="J3112" s="267" t="s">
        <v>3456</v>
      </c>
      <c r="K3112" s="51" t="s">
        <v>3002</v>
      </c>
      <c r="L3112" s="4">
        <v>44356</v>
      </c>
      <c r="M3112" s="140">
        <v>2</v>
      </c>
      <c r="P3112" s="4" t="s">
        <v>291</v>
      </c>
      <c r="Q3112" s="143"/>
      <c r="T3112" s="144"/>
      <c r="U3112" s="145" t="e">
        <f>VLOOKUP(H3112,Stock_list!A:N,14,FALSE)</f>
        <v>#N/A</v>
      </c>
    </row>
    <row r="3113" spans="1:21" ht="16.5" customHeight="1">
      <c r="A3113" s="159" t="s">
        <v>2768</v>
      </c>
      <c r="B3113" s="114" t="str">
        <f>VLOOKUP(A3113,'Data pick slip'!B:F,5,FALSE)</f>
        <v>KHJ-MC100-00</v>
      </c>
      <c r="F3113" s="157" t="s">
        <v>1381</v>
      </c>
      <c r="I3113" s="269" t="s">
        <v>3413</v>
      </c>
      <c r="J3113" s="139" t="s">
        <v>3457</v>
      </c>
      <c r="K3113" s="51" t="s">
        <v>1246</v>
      </c>
      <c r="L3113" s="4">
        <v>44369</v>
      </c>
      <c r="M3113" s="140">
        <v>60</v>
      </c>
      <c r="P3113" s="4" t="s">
        <v>291</v>
      </c>
      <c r="Q3113" s="143"/>
      <c r="T3113" s="144"/>
      <c r="U3113" s="145" t="e">
        <f>VLOOKUP(H3113,Stock_list!A:N,14,FALSE)</f>
        <v>#N/A</v>
      </c>
    </row>
    <row r="3114" spans="1:21" ht="16.5" customHeight="1">
      <c r="A3114" s="159" t="s">
        <v>2750</v>
      </c>
      <c r="B3114" s="114" t="str">
        <f>VLOOKUP(A3114,'Data pick slip'!B:F,5,FALSE)</f>
        <v>KHJ-MC600-00</v>
      </c>
      <c r="F3114" s="157" t="s">
        <v>1381</v>
      </c>
      <c r="I3114" s="269" t="s">
        <v>3413</v>
      </c>
      <c r="J3114" s="139" t="s">
        <v>3457</v>
      </c>
      <c r="K3114" s="51" t="s">
        <v>1246</v>
      </c>
      <c r="L3114" s="4">
        <v>44369</v>
      </c>
      <c r="M3114" s="140">
        <v>4</v>
      </c>
      <c r="P3114" s="4" t="s">
        <v>291</v>
      </c>
      <c r="Q3114" s="143"/>
      <c r="T3114" s="144"/>
      <c r="U3114" s="145" t="e">
        <f>VLOOKUP(H3114,Stock_list!A:N,14,FALSE)</f>
        <v>#N/A</v>
      </c>
    </row>
    <row r="3115" spans="1:21" ht="16.5" customHeight="1">
      <c r="A3115" s="159" t="s">
        <v>2751</v>
      </c>
      <c r="B3115" s="114" t="str">
        <f>VLOOKUP(A3115,'Data pick slip'!B:F,5,FALSE)</f>
        <v>KHJ-MC700-00</v>
      </c>
      <c r="F3115" s="157" t="s">
        <v>1381</v>
      </c>
      <c r="I3115" s="269" t="s">
        <v>3413</v>
      </c>
      <c r="J3115" s="139" t="s">
        <v>3457</v>
      </c>
      <c r="K3115" s="51" t="s">
        <v>1246</v>
      </c>
      <c r="L3115" s="4">
        <v>44369</v>
      </c>
      <c r="M3115" s="140">
        <v>2</v>
      </c>
      <c r="P3115" s="4" t="s">
        <v>291</v>
      </c>
      <c r="Q3115" s="143"/>
      <c r="T3115" s="144"/>
      <c r="U3115" s="145" t="e">
        <f>VLOOKUP(H3115,Stock_list!A:N,14,FALSE)</f>
        <v>#N/A</v>
      </c>
    </row>
    <row r="3116" spans="1:21" ht="16.5" customHeight="1">
      <c r="A3116" s="159" t="s">
        <v>2768</v>
      </c>
      <c r="B3116" s="114" t="str">
        <f>VLOOKUP(A3116,'Data pick slip'!B:F,5,FALSE)</f>
        <v>KHJ-MC100-00</v>
      </c>
      <c r="F3116" s="157" t="s">
        <v>2753</v>
      </c>
      <c r="H3116" s="138">
        <v>1434</v>
      </c>
      <c r="I3116" s="139" t="str">
        <f>VLOOKUP(H3116,Stock_list!A:R,18,FALSE)</f>
        <v>科华/End user 美斯特</v>
      </c>
      <c r="J3116" s="139" t="str">
        <f>VLOOKUP(H3116,Stock_list!A:S,17,FALSE)</f>
        <v>C49SZX20210172EC</v>
      </c>
      <c r="K3116" s="51" t="str">
        <f>VLOOKUP(H3116,Stock_list!A:T,16,FALSE)</f>
        <v>RMB</v>
      </c>
      <c r="L3116" s="4">
        <v>44512</v>
      </c>
      <c r="M3116" s="132">
        <v>30</v>
      </c>
      <c r="P3116" s="4" t="str">
        <f>VLOOKUP(H3116,Stock_list!A:Y,25,FALSE)</f>
        <v>Yes</v>
      </c>
      <c r="Q3116" s="143"/>
      <c r="T3116" s="144"/>
      <c r="U3116" s="145" t="str">
        <f>VLOOKUP(H3116,Stock_list!A:N,14,FALSE)</f>
        <v>NOV 21</v>
      </c>
    </row>
    <row r="3117" spans="1:21" ht="16.5" customHeight="1">
      <c r="A3117" s="159" t="s">
        <v>2747</v>
      </c>
      <c r="B3117" s="114" t="str">
        <f>VLOOKUP(A3117,'Data pick slip'!B:F,5,FALSE)</f>
        <v>KHJ-MC200-00</v>
      </c>
      <c r="F3117" s="157" t="s">
        <v>2753</v>
      </c>
      <c r="H3117" s="138">
        <v>1434</v>
      </c>
      <c r="I3117" s="139" t="str">
        <f>VLOOKUP(H3117,Stock_list!A:R,18,FALSE)</f>
        <v>科华/End user 美斯特</v>
      </c>
      <c r="J3117" s="139" t="str">
        <f>VLOOKUP(H3117,Stock_list!A:S,17,FALSE)</f>
        <v>C49SZX20210172EC</v>
      </c>
      <c r="K3117" s="51" t="str">
        <f>VLOOKUP(H3117,Stock_list!A:T,16,FALSE)</f>
        <v>RMB</v>
      </c>
      <c r="L3117" s="4">
        <v>44512</v>
      </c>
      <c r="M3117" s="132">
        <v>2</v>
      </c>
      <c r="P3117" s="4" t="str">
        <f>VLOOKUP(H3117,Stock_list!A:Y,25,FALSE)</f>
        <v>Yes</v>
      </c>
      <c r="Q3117" s="143"/>
      <c r="T3117" s="144"/>
      <c r="U3117" s="145" t="str">
        <f>VLOOKUP(H3117,Stock_list!A:N,14,FALSE)</f>
        <v>NOV 21</v>
      </c>
    </row>
    <row r="3118" spans="1:21" ht="16.5" customHeight="1">
      <c r="A3118" s="159" t="s">
        <v>2748</v>
      </c>
      <c r="B3118" s="114" t="str">
        <f>VLOOKUP(A3118,'Data pick slip'!B:F,5,FALSE)</f>
        <v>KHJ-MC400-00</v>
      </c>
      <c r="F3118" s="157" t="s">
        <v>2753</v>
      </c>
      <c r="H3118" s="138">
        <v>1434</v>
      </c>
      <c r="I3118" s="139" t="str">
        <f>VLOOKUP(H3118,Stock_list!A:R,18,FALSE)</f>
        <v>科华/End user 美斯特</v>
      </c>
      <c r="J3118" s="139" t="str">
        <f>VLOOKUP(H3118,Stock_list!A:S,17,FALSE)</f>
        <v>C49SZX20210172EC</v>
      </c>
      <c r="K3118" s="51" t="str">
        <f>VLOOKUP(H3118,Stock_list!A:T,16,FALSE)</f>
        <v>RMB</v>
      </c>
      <c r="L3118" s="4">
        <v>44512</v>
      </c>
      <c r="M3118" s="132">
        <v>1</v>
      </c>
      <c r="P3118" s="4" t="str">
        <f>VLOOKUP(H3118,Stock_list!A:Y,25,FALSE)</f>
        <v>Yes</v>
      </c>
      <c r="Q3118" s="143"/>
      <c r="T3118" s="144"/>
      <c r="U3118" s="145" t="str">
        <f>VLOOKUP(H3118,Stock_list!A:N,14,FALSE)</f>
        <v>NOV 21</v>
      </c>
    </row>
    <row r="3119" spans="1:21" ht="16.5" customHeight="1">
      <c r="A3119" s="159" t="s">
        <v>2744</v>
      </c>
      <c r="B3119" s="114" t="str">
        <f>VLOOKUP(A3119,'Data pick slip'!B:F,5,FALSE)</f>
        <v>KHJ-MC100-00</v>
      </c>
      <c r="F3119" s="157" t="s">
        <v>2753</v>
      </c>
      <c r="I3119" s="139" t="s">
        <v>3093</v>
      </c>
      <c r="J3119" s="270" t="s">
        <v>3458</v>
      </c>
      <c r="K3119" s="51" t="s">
        <v>1246</v>
      </c>
      <c r="L3119" s="4">
        <v>44369</v>
      </c>
      <c r="M3119" s="140">
        <v>2</v>
      </c>
      <c r="P3119" s="4" t="s">
        <v>291</v>
      </c>
      <c r="Q3119" s="143"/>
      <c r="T3119" s="144"/>
      <c r="U3119" s="145" t="e">
        <f>VLOOKUP(H3119,Stock_list!A:N,14,FALSE)</f>
        <v>#N/A</v>
      </c>
    </row>
    <row r="3120" spans="1:21" ht="16.5" customHeight="1">
      <c r="A3120" s="159" t="s">
        <v>2768</v>
      </c>
      <c r="B3120" s="114" t="str">
        <f>VLOOKUP(A3120,'Data pick slip'!B:F,5,FALSE)</f>
        <v>KHJ-MC100-00</v>
      </c>
      <c r="F3120" s="157" t="s">
        <v>1381</v>
      </c>
      <c r="H3120" s="138">
        <v>1435</v>
      </c>
      <c r="I3120" s="139" t="str">
        <f>VLOOKUP(H3120,Stock_list!A:R,18,FALSE)</f>
        <v>三丽（End user:东莞长志）</v>
      </c>
      <c r="J3120" s="139" t="str">
        <f>VLOOKUP(H3120,Stock_list!A:S,17,FALSE)</f>
        <v>C49SZX20210173AY</v>
      </c>
      <c r="K3120" s="51" t="str">
        <f>VLOOKUP(H3120,Stock_list!A:T,16,FALSE)</f>
        <v>JPY</v>
      </c>
      <c r="L3120" s="4">
        <v>44782</v>
      </c>
      <c r="M3120" s="132">
        <v>14</v>
      </c>
      <c r="P3120" s="4" t="str">
        <f>VLOOKUP(H3120,Stock_list!A:Y,25,FALSE)</f>
        <v>Yes</v>
      </c>
      <c r="Q3120" s="143"/>
      <c r="T3120" s="144"/>
      <c r="U3120" s="145" t="str">
        <f>VLOOKUP(H3120,Stock_list!A:N,14,FALSE)</f>
        <v>AUG 22</v>
      </c>
    </row>
    <row r="3121" spans="1:21" ht="16.5" customHeight="1">
      <c r="A3121" s="159" t="s">
        <v>2747</v>
      </c>
      <c r="B3121" s="114" t="str">
        <f>VLOOKUP(A3121,'Data pick slip'!B:F,5,FALSE)</f>
        <v>KHJ-MC200-00</v>
      </c>
      <c r="F3121" s="157" t="s">
        <v>1381</v>
      </c>
      <c r="H3121" s="138">
        <v>1435</v>
      </c>
      <c r="I3121" s="139" t="str">
        <f>VLOOKUP(H3121,Stock_list!A:R,18,FALSE)</f>
        <v>三丽（End user:东莞长志）</v>
      </c>
      <c r="J3121" s="139" t="str">
        <f>VLOOKUP(H3121,Stock_list!A:S,17,FALSE)</f>
        <v>C49SZX20210173AY</v>
      </c>
      <c r="K3121" s="51" t="str">
        <f>VLOOKUP(H3121,Stock_list!A:T,16,FALSE)</f>
        <v>JPY</v>
      </c>
      <c r="L3121" s="4">
        <v>44782</v>
      </c>
      <c r="M3121" s="132">
        <v>18</v>
      </c>
      <c r="P3121" s="4" t="str">
        <f>VLOOKUP(H3121,Stock_list!A:Y,25,FALSE)</f>
        <v>Yes</v>
      </c>
      <c r="Q3121" s="143"/>
      <c r="T3121" s="144"/>
      <c r="U3121" s="145" t="str">
        <f>VLOOKUP(H3121,Stock_list!A:N,14,FALSE)</f>
        <v>AUG 22</v>
      </c>
    </row>
    <row r="3122" spans="1:21" ht="16.5" customHeight="1">
      <c r="A3122" s="159" t="s">
        <v>2748</v>
      </c>
      <c r="B3122" s="114" t="str">
        <f>VLOOKUP(A3122,'Data pick slip'!B:F,5,FALSE)</f>
        <v>KHJ-MC400-00</v>
      </c>
      <c r="F3122" s="157" t="s">
        <v>1381</v>
      </c>
      <c r="H3122" s="138">
        <v>1435</v>
      </c>
      <c r="I3122" s="139" t="str">
        <f>VLOOKUP(H3122,Stock_list!A:R,18,FALSE)</f>
        <v>三丽（End user:东莞长志）</v>
      </c>
      <c r="J3122" s="139" t="str">
        <f>VLOOKUP(H3122,Stock_list!A:S,17,FALSE)</f>
        <v>C49SZX20210173AY</v>
      </c>
      <c r="K3122" s="51" t="str">
        <f>VLOOKUP(H3122,Stock_list!A:T,16,FALSE)</f>
        <v>JPY</v>
      </c>
      <c r="L3122" s="4">
        <v>44782</v>
      </c>
      <c r="M3122" s="132">
        <v>2</v>
      </c>
      <c r="P3122" s="4" t="str">
        <f>VLOOKUP(H3122,Stock_list!A:Y,25,FALSE)</f>
        <v>Yes</v>
      </c>
      <c r="Q3122" s="143"/>
      <c r="T3122" s="144"/>
      <c r="U3122" s="145" t="str">
        <f>VLOOKUP(H3122,Stock_list!A:N,14,FALSE)</f>
        <v>AUG 22</v>
      </c>
    </row>
    <row r="3123" spans="1:21" ht="16.5" customHeight="1">
      <c r="A3123" s="159" t="s">
        <v>2751</v>
      </c>
      <c r="B3123" s="114" t="str">
        <f>VLOOKUP(A3123,'Data pick slip'!B:F,5,FALSE)</f>
        <v>KHJ-MC700-00</v>
      </c>
      <c r="F3123" s="157" t="s">
        <v>2753</v>
      </c>
      <c r="I3123" s="139" t="s">
        <v>3099</v>
      </c>
      <c r="J3123" s="267" t="s">
        <v>3459</v>
      </c>
      <c r="K3123" s="51" t="s">
        <v>1246</v>
      </c>
      <c r="L3123" s="4">
        <v>44371</v>
      </c>
      <c r="M3123" s="140">
        <v>1</v>
      </c>
      <c r="P3123" s="4" t="s">
        <v>291</v>
      </c>
      <c r="Q3123" s="143"/>
      <c r="T3123" s="144"/>
      <c r="U3123" s="145" t="e">
        <f>VLOOKUP(H3123,Stock_list!A:N,14,FALSE)</f>
        <v>#N/A</v>
      </c>
    </row>
    <row r="3124" spans="1:21" ht="16.5" customHeight="1">
      <c r="A3124" s="159" t="s">
        <v>2768</v>
      </c>
      <c r="B3124" s="114" t="str">
        <f>VLOOKUP(A3124,'Data pick slip'!B:F,5,FALSE)</f>
        <v>KHJ-MC100-00</v>
      </c>
      <c r="F3124" s="157" t="s">
        <v>1381</v>
      </c>
      <c r="H3124" s="138">
        <v>1439</v>
      </c>
      <c r="I3124" s="139" t="str">
        <f>VLOOKUP(H3124,Stock_list!A:R,18,FALSE)</f>
        <v>海松微</v>
      </c>
      <c r="J3124" s="139" t="str">
        <f>VLOOKUP(H3124,Stock_list!A:S,17,FALSE)</f>
        <v>C49SZX20210130R1JY</v>
      </c>
      <c r="K3124" s="51" t="str">
        <f>VLOOKUP(H3124,Stock_list!A:T,16,FALSE)</f>
        <v>JPY</v>
      </c>
      <c r="L3124" s="4">
        <v>44672</v>
      </c>
      <c r="M3124" s="132">
        <v>57</v>
      </c>
      <c r="P3124" s="4" t="str">
        <f>VLOOKUP(H3124,Stock_list!A:Y,25,FALSE)</f>
        <v>Yes</v>
      </c>
      <c r="Q3124" s="143"/>
      <c r="T3124" s="144"/>
      <c r="U3124" s="145" t="str">
        <f>VLOOKUP(H3124,Stock_list!A:N,14,FALSE)</f>
        <v>APR 22</v>
      </c>
    </row>
    <row r="3125" spans="1:21" ht="16.5" customHeight="1">
      <c r="A3125" s="159" t="s">
        <v>2747</v>
      </c>
      <c r="B3125" s="114" t="str">
        <f>VLOOKUP(A3125,'Data pick slip'!B:F,5,FALSE)</f>
        <v>KHJ-MC200-00</v>
      </c>
      <c r="F3125" s="157" t="s">
        <v>1381</v>
      </c>
      <c r="H3125" s="138">
        <v>1439</v>
      </c>
      <c r="I3125" s="139" t="str">
        <f>VLOOKUP(H3125,Stock_list!A:R,18,FALSE)</f>
        <v>海松微</v>
      </c>
      <c r="J3125" s="139" t="str">
        <f>VLOOKUP(H3125,Stock_list!A:S,17,FALSE)</f>
        <v>C49SZX20210130R1JY</v>
      </c>
      <c r="K3125" s="51" t="str">
        <f>VLOOKUP(H3125,Stock_list!A:T,16,FALSE)</f>
        <v>JPY</v>
      </c>
      <c r="L3125" s="4">
        <v>44672</v>
      </c>
      <c r="M3125" s="132">
        <v>20</v>
      </c>
      <c r="P3125" s="4" t="str">
        <f>VLOOKUP(H3125,Stock_list!A:Y,25,FALSE)</f>
        <v>Yes</v>
      </c>
      <c r="Q3125" s="143"/>
      <c r="T3125" s="144"/>
      <c r="U3125" s="145" t="str">
        <f>VLOOKUP(H3125,Stock_list!A:N,14,FALSE)</f>
        <v>APR 22</v>
      </c>
    </row>
    <row r="3126" spans="1:21" ht="16.5" customHeight="1">
      <c r="A3126" s="159" t="s">
        <v>2748</v>
      </c>
      <c r="B3126" s="114" t="str">
        <f>VLOOKUP(A3126,'Data pick slip'!B:F,5,FALSE)</f>
        <v>KHJ-MC400-00</v>
      </c>
      <c r="F3126" s="157" t="s">
        <v>1381</v>
      </c>
      <c r="H3126" s="138">
        <v>1439</v>
      </c>
      <c r="I3126" s="139" t="str">
        <f>VLOOKUP(H3126,Stock_list!A:R,18,FALSE)</f>
        <v>海松微</v>
      </c>
      <c r="J3126" s="139" t="str">
        <f>VLOOKUP(H3126,Stock_list!A:S,17,FALSE)</f>
        <v>C49SZX20210130R1JY</v>
      </c>
      <c r="K3126" s="51" t="str">
        <f>VLOOKUP(H3126,Stock_list!A:T,16,FALSE)</f>
        <v>JPY</v>
      </c>
      <c r="L3126" s="4">
        <v>44672</v>
      </c>
      <c r="M3126" s="132">
        <v>7</v>
      </c>
      <c r="P3126" s="4" t="str">
        <f>VLOOKUP(H3126,Stock_list!A:Y,25,FALSE)</f>
        <v>Yes</v>
      </c>
      <c r="Q3126" s="143"/>
      <c r="T3126" s="144"/>
      <c r="U3126" s="145" t="str">
        <f>VLOOKUP(H3126,Stock_list!A:N,14,FALSE)</f>
        <v>APR 22</v>
      </c>
    </row>
    <row r="3127" spans="1:21" ht="16.5" customHeight="1">
      <c r="A3127" s="159" t="s">
        <v>2768</v>
      </c>
      <c r="B3127" s="114" t="str">
        <f>VLOOKUP(A3127,'Data pick slip'!B:F,5,FALSE)</f>
        <v>KHJ-MC100-00</v>
      </c>
      <c r="F3127" s="157" t="s">
        <v>1381</v>
      </c>
      <c r="H3127" s="138">
        <v>1442</v>
      </c>
      <c r="I3127" s="139" t="str">
        <f>VLOOKUP(H3127,Stock_list!A:R,18,FALSE)</f>
        <v>建航</v>
      </c>
      <c r="J3127" s="139" t="str">
        <f>VLOOKUP(H3127,Stock_list!A:S,17,FALSE)</f>
        <v>C49SZX20210176R1JY</v>
      </c>
      <c r="K3127" s="51" t="str">
        <f>VLOOKUP(H3127,Stock_list!A:T,16,FALSE)</f>
        <v>JPY</v>
      </c>
      <c r="L3127" s="4">
        <v>44741</v>
      </c>
      <c r="M3127" s="140">
        <v>50</v>
      </c>
      <c r="P3127" s="4" t="str">
        <f>VLOOKUP(H3127,Stock_list!A:Y,25,FALSE)</f>
        <v>Yes</v>
      </c>
      <c r="Q3127" s="143"/>
      <c r="T3127" s="144"/>
      <c r="U3127" s="145" t="str">
        <f>VLOOKUP(H3127,Stock_list!A:N,14,FALSE)</f>
        <v>JAN 22</v>
      </c>
    </row>
    <row r="3128" spans="1:21" ht="16.5" customHeight="1">
      <c r="A3128" s="159" t="s">
        <v>2747</v>
      </c>
      <c r="B3128" s="114" t="str">
        <f>VLOOKUP(A3128,'Data pick slip'!B:F,5,FALSE)</f>
        <v>KHJ-MC200-00</v>
      </c>
      <c r="F3128" s="157" t="s">
        <v>1381</v>
      </c>
      <c r="H3128" s="138">
        <v>1442</v>
      </c>
      <c r="I3128" s="139" t="str">
        <f>VLOOKUP(H3128,Stock_list!A:R,18,FALSE)</f>
        <v>建航</v>
      </c>
      <c r="J3128" s="139" t="str">
        <f>VLOOKUP(H3128,Stock_list!A:S,17,FALSE)</f>
        <v>C49SZX20210176R1JY</v>
      </c>
      <c r="K3128" s="51" t="str">
        <f>VLOOKUP(H3128,Stock_list!A:T,16,FALSE)</f>
        <v>JPY</v>
      </c>
      <c r="L3128" s="4">
        <v>44586</v>
      </c>
      <c r="M3128" s="140">
        <v>10</v>
      </c>
      <c r="P3128" s="4" t="str">
        <f>VLOOKUP(H3128,Stock_list!A:Y,25,FALSE)</f>
        <v>Yes</v>
      </c>
      <c r="Q3128" s="143"/>
      <c r="T3128" s="144"/>
      <c r="U3128" s="145" t="str">
        <f>VLOOKUP(H3128,Stock_list!A:N,14,FALSE)</f>
        <v>JAN 22</v>
      </c>
    </row>
    <row r="3129" spans="1:21" ht="16.5" customHeight="1">
      <c r="A3129" s="159" t="s">
        <v>2750</v>
      </c>
      <c r="B3129" s="114" t="str">
        <f>VLOOKUP(A3129,'Data pick slip'!B:F,5,FALSE)</f>
        <v>KHJ-MC600-00</v>
      </c>
      <c r="F3129" s="157" t="s">
        <v>1381</v>
      </c>
      <c r="H3129" s="138">
        <v>1442</v>
      </c>
      <c r="I3129" s="139" t="str">
        <f>VLOOKUP(H3129,Stock_list!A:R,18,FALSE)</f>
        <v>建航</v>
      </c>
      <c r="J3129" s="139" t="str">
        <f>VLOOKUP(H3129,Stock_list!A:S,17,FALSE)</f>
        <v>C49SZX20210176R1JY</v>
      </c>
      <c r="K3129" s="51" t="str">
        <f>VLOOKUP(H3129,Stock_list!A:T,16,FALSE)</f>
        <v>JPY</v>
      </c>
      <c r="L3129" s="4">
        <v>44586</v>
      </c>
      <c r="M3129" s="140">
        <v>1</v>
      </c>
      <c r="P3129" s="4" t="str">
        <f>VLOOKUP(H3129,Stock_list!A:Y,25,FALSE)</f>
        <v>Yes</v>
      </c>
      <c r="Q3129" s="143"/>
      <c r="T3129" s="144"/>
      <c r="U3129" s="145" t="str">
        <f>VLOOKUP(H3129,Stock_list!A:N,14,FALSE)</f>
        <v>JAN 22</v>
      </c>
    </row>
    <row r="3130" spans="1:21" ht="16.5" customHeight="1">
      <c r="A3130" s="159" t="s">
        <v>2768</v>
      </c>
      <c r="B3130" s="114" t="str">
        <f>VLOOKUP(A3130,'Data pick slip'!B:F,5,FALSE)</f>
        <v>KHJ-MC100-00</v>
      </c>
      <c r="F3130" s="157" t="s">
        <v>1381</v>
      </c>
      <c r="H3130" s="138">
        <v>1445</v>
      </c>
      <c r="I3130" s="139" t="str">
        <f>VLOOKUP(H3130,Stock_list!A:R,18,FALSE)</f>
        <v>乐凡电子</v>
      </c>
      <c r="J3130" s="139" t="str">
        <f>VLOOKUP(H3130,Stock_list!A:S,17,FALSE)</f>
        <v>C49SZX20210177SS</v>
      </c>
      <c r="K3130" s="51" t="str">
        <f>VLOOKUP(H3130,Stock_list!A:T,16,FALSE)</f>
        <v>JPY</v>
      </c>
      <c r="L3130" s="4">
        <v>44665</v>
      </c>
      <c r="M3130" s="140">
        <v>40</v>
      </c>
      <c r="P3130" s="4" t="str">
        <f>VLOOKUP(H3130,Stock_list!A:Y,25,FALSE)</f>
        <v>Yes</v>
      </c>
      <c r="Q3130" s="143"/>
      <c r="T3130" s="144"/>
      <c r="U3130" s="145" t="str">
        <f>VLOOKUP(H3130,Stock_list!A:N,14,FALSE)</f>
        <v>APR 22</v>
      </c>
    </row>
    <row r="3131" spans="1:21" ht="16.5" customHeight="1">
      <c r="A3131" s="159" t="s">
        <v>2747</v>
      </c>
      <c r="B3131" s="114" t="str">
        <f>VLOOKUP(A3131,'Data pick slip'!B:F,5,FALSE)</f>
        <v>KHJ-MC200-00</v>
      </c>
      <c r="F3131" s="157" t="s">
        <v>1381</v>
      </c>
      <c r="H3131" s="138">
        <v>1445</v>
      </c>
      <c r="I3131" s="139" t="str">
        <f>VLOOKUP(H3131,Stock_list!A:R,18,FALSE)</f>
        <v>乐凡电子</v>
      </c>
      <c r="J3131" s="139" t="str">
        <f>VLOOKUP(H3131,Stock_list!A:S,17,FALSE)</f>
        <v>C49SZX20210177SS</v>
      </c>
      <c r="K3131" s="51" t="str">
        <f>VLOOKUP(H3131,Stock_list!A:T,16,FALSE)</f>
        <v>JPY</v>
      </c>
      <c r="L3131" s="4">
        <v>44665</v>
      </c>
      <c r="M3131" s="140">
        <v>8</v>
      </c>
      <c r="P3131" s="4" t="str">
        <f>VLOOKUP(H3131,Stock_list!A:Y,25,FALSE)</f>
        <v>Yes</v>
      </c>
      <c r="Q3131" s="143"/>
      <c r="T3131" s="144"/>
      <c r="U3131" s="145" t="str">
        <f>VLOOKUP(H3131,Stock_list!A:N,14,FALSE)</f>
        <v>APR 22</v>
      </c>
    </row>
    <row r="3132" spans="1:21" ht="16.5" customHeight="1">
      <c r="A3132" s="159" t="s">
        <v>2748</v>
      </c>
      <c r="B3132" s="114" t="str">
        <f>VLOOKUP(A3132,'Data pick slip'!B:F,5,FALSE)</f>
        <v>KHJ-MC400-00</v>
      </c>
      <c r="F3132" s="157" t="s">
        <v>1381</v>
      </c>
      <c r="H3132" s="138">
        <v>1445</v>
      </c>
      <c r="I3132" s="139" t="str">
        <f>VLOOKUP(H3132,Stock_list!A:R,18,FALSE)</f>
        <v>乐凡电子</v>
      </c>
      <c r="J3132" s="139" t="str">
        <f>VLOOKUP(H3132,Stock_list!A:S,17,FALSE)</f>
        <v>C49SZX20210177SS</v>
      </c>
      <c r="K3132" s="51" t="str">
        <f>VLOOKUP(H3132,Stock_list!A:T,16,FALSE)</f>
        <v>JPY</v>
      </c>
      <c r="L3132" s="4">
        <v>44665</v>
      </c>
      <c r="M3132" s="140">
        <v>8</v>
      </c>
      <c r="P3132" s="4" t="str">
        <f>VLOOKUP(H3132,Stock_list!A:Y,25,FALSE)</f>
        <v>Yes</v>
      </c>
      <c r="Q3132" s="143"/>
      <c r="T3132" s="144"/>
      <c r="U3132" s="145" t="str">
        <f>VLOOKUP(H3132,Stock_list!A:N,14,FALSE)</f>
        <v>APR 22</v>
      </c>
    </row>
    <row r="3133" spans="1:21" ht="16.5" customHeight="1">
      <c r="A3133" s="159" t="s">
        <v>2748</v>
      </c>
      <c r="B3133" s="114" t="str">
        <f>VLOOKUP(A3133,'Data pick slip'!B:F,5,FALSE)</f>
        <v>KHJ-MC400-00</v>
      </c>
      <c r="F3133" s="157" t="s">
        <v>2753</v>
      </c>
      <c r="I3133" s="139" t="s">
        <v>3093</v>
      </c>
      <c r="J3133" s="270" t="s">
        <v>3460</v>
      </c>
      <c r="K3133" s="51" t="s">
        <v>1246</v>
      </c>
      <c r="L3133" s="4">
        <v>44382</v>
      </c>
      <c r="M3133" s="140">
        <v>2</v>
      </c>
      <c r="P3133" s="4" t="s">
        <v>291</v>
      </c>
      <c r="Q3133" s="143"/>
      <c r="T3133" s="144"/>
      <c r="U3133" s="145" t="e">
        <f>VLOOKUP(H3133,Stock_list!A:N,14,FALSE)</f>
        <v>#N/A</v>
      </c>
    </row>
    <row r="3134" spans="1:21" ht="16.5" customHeight="1">
      <c r="A3134" s="159" t="s">
        <v>2749</v>
      </c>
      <c r="B3134" s="114" t="str">
        <f>VLOOKUP(A3134,'Data pick slip'!B:F,5,FALSE)</f>
        <v>KHJ-MC500-00</v>
      </c>
      <c r="F3134" s="157" t="s">
        <v>2753</v>
      </c>
      <c r="I3134" s="139" t="s">
        <v>3093</v>
      </c>
      <c r="J3134" s="270" t="s">
        <v>3461</v>
      </c>
      <c r="K3134" s="51" t="s">
        <v>1246</v>
      </c>
      <c r="L3134" s="4">
        <v>44382</v>
      </c>
      <c r="M3134" s="140">
        <v>2</v>
      </c>
      <c r="P3134" s="4" t="s">
        <v>291</v>
      </c>
      <c r="Q3134" s="143"/>
      <c r="T3134" s="144"/>
      <c r="U3134" s="145" t="e">
        <f>VLOOKUP(H3134,Stock_list!A:N,14,FALSE)</f>
        <v>#N/A</v>
      </c>
    </row>
    <row r="3135" spans="1:21" ht="16.5" customHeight="1">
      <c r="A3135" s="159" t="s">
        <v>2750</v>
      </c>
      <c r="B3135" s="114" t="str">
        <f>VLOOKUP(A3135,'Data pick slip'!B:F,5,FALSE)</f>
        <v>KHJ-MC600-00</v>
      </c>
      <c r="F3135" s="157" t="s">
        <v>2753</v>
      </c>
      <c r="I3135" s="139" t="s">
        <v>3093</v>
      </c>
      <c r="J3135" s="270" t="s">
        <v>3461</v>
      </c>
      <c r="K3135" s="51" t="s">
        <v>1246</v>
      </c>
      <c r="L3135" s="4">
        <v>44382</v>
      </c>
      <c r="M3135" s="140">
        <v>1</v>
      </c>
      <c r="P3135" s="4" t="s">
        <v>291</v>
      </c>
      <c r="Q3135" s="143"/>
      <c r="T3135" s="144"/>
      <c r="U3135" s="145" t="e">
        <f>VLOOKUP(H3135,Stock_list!A:N,14,FALSE)</f>
        <v>#N/A</v>
      </c>
    </row>
    <row r="3136" spans="1:21" ht="16.5" customHeight="1">
      <c r="A3136" s="159" t="s">
        <v>2747</v>
      </c>
      <c r="B3136" s="114" t="str">
        <f>VLOOKUP(A3136,'Data pick slip'!B:F,5,FALSE)</f>
        <v>KHJ-MC200-00</v>
      </c>
      <c r="F3136" s="157" t="s">
        <v>2753</v>
      </c>
      <c r="I3136" s="139" t="s">
        <v>3099</v>
      </c>
      <c r="J3136" s="270" t="s">
        <v>3462</v>
      </c>
      <c r="K3136" s="51" t="s">
        <v>1246</v>
      </c>
      <c r="L3136" s="4">
        <v>44379</v>
      </c>
      <c r="M3136" s="140">
        <v>20</v>
      </c>
      <c r="P3136" s="4" t="s">
        <v>291</v>
      </c>
      <c r="Q3136" s="143"/>
      <c r="T3136" s="144"/>
      <c r="U3136" s="145" t="e">
        <f>VLOOKUP(H3136,Stock_list!A:N,14,FALSE)</f>
        <v>#N/A</v>
      </c>
    </row>
    <row r="3137" spans="1:21" ht="16.5" customHeight="1">
      <c r="A3137" s="159" t="s">
        <v>2750</v>
      </c>
      <c r="B3137" s="114" t="str">
        <f>VLOOKUP(A3137,'Data pick slip'!B:F,5,FALSE)</f>
        <v>KHJ-MC600-00</v>
      </c>
      <c r="F3137" s="157" t="s">
        <v>2753</v>
      </c>
      <c r="I3137" s="139" t="s">
        <v>3099</v>
      </c>
      <c r="J3137" s="267" t="s">
        <v>3463</v>
      </c>
      <c r="K3137" s="51" t="s">
        <v>1246</v>
      </c>
      <c r="L3137" s="4">
        <v>44383</v>
      </c>
      <c r="M3137" s="140">
        <v>1</v>
      </c>
      <c r="P3137" s="4" t="s">
        <v>291</v>
      </c>
      <c r="Q3137" s="143"/>
      <c r="T3137" s="144"/>
      <c r="U3137" s="145" t="e">
        <f>VLOOKUP(H3137,Stock_list!A:N,14,FALSE)</f>
        <v>#N/A</v>
      </c>
    </row>
    <row r="3138" spans="1:21" ht="16.5" customHeight="1">
      <c r="A3138" s="159" t="s">
        <v>2751</v>
      </c>
      <c r="B3138" s="114" t="str">
        <f>VLOOKUP(A3138,'Data pick slip'!B:F,5,FALSE)</f>
        <v>KHJ-MC700-00</v>
      </c>
      <c r="F3138" s="157" t="s">
        <v>2753</v>
      </c>
      <c r="I3138" s="139" t="s">
        <v>3093</v>
      </c>
      <c r="J3138" s="270" t="s">
        <v>3464</v>
      </c>
      <c r="K3138" s="51" t="s">
        <v>1246</v>
      </c>
      <c r="L3138" s="4">
        <v>44370</v>
      </c>
      <c r="M3138" s="140">
        <v>1</v>
      </c>
      <c r="P3138" s="4" t="s">
        <v>291</v>
      </c>
      <c r="Q3138" s="143"/>
      <c r="T3138" s="144"/>
      <c r="U3138" s="145" t="e">
        <f>VLOOKUP(H3138,Stock_list!A:N,14,FALSE)</f>
        <v>#N/A</v>
      </c>
    </row>
    <row r="3139" spans="1:21" ht="16.5" customHeight="1">
      <c r="A3139" s="159" t="s">
        <v>2744</v>
      </c>
      <c r="B3139" s="114" t="str">
        <f>VLOOKUP(A3139,'Data pick slip'!B:F,5,FALSE)</f>
        <v>KHJ-MC100-00</v>
      </c>
      <c r="F3139" s="157" t="s">
        <v>2753</v>
      </c>
      <c r="H3139" s="138">
        <v>1459</v>
      </c>
      <c r="I3139" s="139" t="str">
        <f>VLOOKUP(H3139,Stock_list!A:R,18,FALSE)</f>
        <v>力侬</v>
      </c>
      <c r="J3139" s="139" t="str">
        <f>VLOOKUP(H3139,Stock_list!A:S,17,FALSE)</f>
        <v>C49SZX20210139DZ</v>
      </c>
      <c r="K3139" s="51" t="str">
        <f>VLOOKUP(H3139,Stock_list!A:T,16,FALSE)</f>
        <v>RMB</v>
      </c>
      <c r="L3139" s="4">
        <v>44643</v>
      </c>
      <c r="M3139" s="140">
        <v>20</v>
      </c>
      <c r="P3139" s="4" t="str">
        <f>VLOOKUP(H3139,Stock_list!A:Y,25,FALSE)</f>
        <v>Yes</v>
      </c>
      <c r="Q3139" s="143"/>
      <c r="T3139" s="144"/>
      <c r="U3139" s="145" t="str">
        <f>VLOOKUP(H3139,Stock_list!A:N,14,FALSE)</f>
        <v>MAR 22</v>
      </c>
    </row>
    <row r="3140" spans="1:21" ht="16.5" customHeight="1">
      <c r="A3140" s="159" t="s">
        <v>2744</v>
      </c>
      <c r="B3140" s="114" t="str">
        <f>VLOOKUP(A3140,'Data pick slip'!B:F,5,FALSE)</f>
        <v>KHJ-MC100-00</v>
      </c>
      <c r="F3140" s="157" t="s">
        <v>2753</v>
      </c>
      <c r="I3140" s="139" t="s">
        <v>3290</v>
      </c>
      <c r="J3140" s="269" t="s">
        <v>3465</v>
      </c>
      <c r="K3140" s="51" t="s">
        <v>1246</v>
      </c>
      <c r="L3140" s="4">
        <v>44403</v>
      </c>
      <c r="M3140" s="140">
        <v>70</v>
      </c>
      <c r="P3140" s="4" t="s">
        <v>291</v>
      </c>
      <c r="Q3140" s="143"/>
      <c r="T3140" s="144"/>
      <c r="U3140" s="145" t="e">
        <f>VLOOKUP(H3140,Stock_list!A:N,14,FALSE)</f>
        <v>#N/A</v>
      </c>
    </row>
    <row r="3141" spans="1:21" ht="16.5" customHeight="1">
      <c r="A3141" s="159" t="s">
        <v>2747</v>
      </c>
      <c r="B3141" s="114" t="str">
        <f>VLOOKUP(A3141,'Data pick slip'!B:F,5,FALSE)</f>
        <v>KHJ-MC200-00</v>
      </c>
      <c r="F3141" s="157" t="s">
        <v>2753</v>
      </c>
      <c r="I3141" s="139" t="s">
        <v>3290</v>
      </c>
      <c r="J3141" s="269" t="s">
        <v>3465</v>
      </c>
      <c r="K3141" s="51" t="s">
        <v>1246</v>
      </c>
      <c r="L3141" s="4">
        <v>44403</v>
      </c>
      <c r="M3141" s="140">
        <v>26</v>
      </c>
      <c r="P3141" s="4" t="e">
        <f>VLOOKUP(H3141,Stock_list!A:Y,25,FALSE)</f>
        <v>#N/A</v>
      </c>
      <c r="Q3141" s="143"/>
      <c r="T3141" s="144"/>
      <c r="U3141" s="145" t="e">
        <f>VLOOKUP(H3141,Stock_list!A:N,14,FALSE)</f>
        <v>#N/A</v>
      </c>
    </row>
    <row r="3142" spans="1:21" ht="16.5" customHeight="1">
      <c r="A3142" s="159" t="s">
        <v>2749</v>
      </c>
      <c r="B3142" s="114" t="str">
        <f>VLOOKUP(A3142,'Data pick slip'!B:F,5,FALSE)</f>
        <v>KHJ-MC500-00</v>
      </c>
      <c r="F3142" s="157" t="s">
        <v>2753</v>
      </c>
      <c r="I3142" s="139" t="s">
        <v>3290</v>
      </c>
      <c r="J3142" s="269" t="s">
        <v>3465</v>
      </c>
      <c r="K3142" s="51" t="s">
        <v>1246</v>
      </c>
      <c r="L3142" s="4">
        <v>44403</v>
      </c>
      <c r="M3142" s="140">
        <v>4</v>
      </c>
      <c r="P3142" s="4" t="e">
        <f>VLOOKUP(H3142,Stock_list!A:Y,25,FALSE)</f>
        <v>#N/A</v>
      </c>
      <c r="Q3142" s="143"/>
      <c r="T3142" s="144"/>
      <c r="U3142" s="145" t="e">
        <f>VLOOKUP(H3142,Stock_list!A:N,14,FALSE)</f>
        <v>#N/A</v>
      </c>
    </row>
    <row r="3143" spans="1:21" ht="16.5" customHeight="1">
      <c r="A3143" s="159" t="s">
        <v>2751</v>
      </c>
      <c r="B3143" s="114" t="str">
        <f>VLOOKUP(A3143,'Data pick slip'!B:F,5,FALSE)</f>
        <v>KHJ-MC700-00</v>
      </c>
      <c r="F3143" s="157" t="s">
        <v>1381</v>
      </c>
      <c r="I3143" s="139" t="s">
        <v>3099</v>
      </c>
      <c r="J3143" s="267" t="s">
        <v>3466</v>
      </c>
      <c r="K3143" s="51" t="s">
        <v>1246</v>
      </c>
      <c r="L3143" s="4">
        <v>44403</v>
      </c>
      <c r="M3143" s="140">
        <v>1</v>
      </c>
      <c r="P3143" s="4" t="s">
        <v>291</v>
      </c>
      <c r="Q3143" s="143"/>
      <c r="T3143" s="144"/>
      <c r="U3143" s="145" t="e">
        <f>VLOOKUP(H3143,Stock_list!A:N,14,FALSE)</f>
        <v>#N/A</v>
      </c>
    </row>
    <row r="3144" spans="1:21" ht="16.5" customHeight="1">
      <c r="A3144" s="159" t="s">
        <v>2751</v>
      </c>
      <c r="B3144" s="114" t="str">
        <f>VLOOKUP(A3144,'Data pick slip'!B:F,5,FALSE)</f>
        <v>KHJ-MC700-00</v>
      </c>
      <c r="F3144" s="157" t="s">
        <v>2753</v>
      </c>
      <c r="I3144" s="139" t="s">
        <v>3099</v>
      </c>
      <c r="J3144" s="267" t="s">
        <v>3467</v>
      </c>
      <c r="K3144" s="51" t="s">
        <v>1246</v>
      </c>
      <c r="L3144" s="4">
        <v>44403</v>
      </c>
      <c r="M3144" s="140">
        <v>1</v>
      </c>
      <c r="P3144" s="4" t="s">
        <v>291</v>
      </c>
      <c r="Q3144" s="143"/>
      <c r="T3144" s="144"/>
      <c r="U3144" s="145" t="e">
        <f>VLOOKUP(H3144,Stock_list!A:N,14,FALSE)</f>
        <v>#N/A</v>
      </c>
    </row>
    <row r="3145" spans="1:21" ht="16.5" customHeight="1">
      <c r="A3145" s="159" t="s">
        <v>2768</v>
      </c>
      <c r="B3145" s="114" t="str">
        <f>VLOOKUP(A3145,'Data pick slip'!B:F,5,FALSE)</f>
        <v>KHJ-MC100-00</v>
      </c>
      <c r="F3145" s="157" t="s">
        <v>1381</v>
      </c>
      <c r="H3145" s="138">
        <v>1465</v>
      </c>
      <c r="I3145" s="139" t="str">
        <f>VLOOKUP(H3145,Stock_list!A:R,18,FALSE)</f>
        <v>长沙健科</v>
      </c>
      <c r="J3145" s="139" t="str">
        <f>VLOOKUP(H3145,Stock_list!A:S,17,FALSE)</f>
        <v>C49SZX20210184DZ</v>
      </c>
      <c r="K3145" s="51" t="str">
        <f>VLOOKUP(H3145,Stock_list!A:T,16,FALSE)</f>
        <v>JPY</v>
      </c>
      <c r="L3145" s="4">
        <v>44510</v>
      </c>
      <c r="M3145" s="132">
        <v>90</v>
      </c>
      <c r="P3145" s="4" t="str">
        <f>VLOOKUP(H3145,Stock_list!A:Y,25,FALSE)</f>
        <v>Yes</v>
      </c>
      <c r="Q3145" s="143"/>
      <c r="T3145" s="144"/>
      <c r="U3145" s="145" t="str">
        <f>VLOOKUP(H3145,Stock_list!A:N,14,FALSE)</f>
        <v>NOV 21</v>
      </c>
    </row>
    <row r="3146" spans="1:21" ht="16.5" customHeight="1">
      <c r="A3146" s="159" t="s">
        <v>2747</v>
      </c>
      <c r="B3146" s="114" t="str">
        <f>VLOOKUP(A3146,'Data pick slip'!B:F,5,FALSE)</f>
        <v>KHJ-MC200-00</v>
      </c>
      <c r="F3146" s="157" t="s">
        <v>1381</v>
      </c>
      <c r="H3146" s="138">
        <v>1465</v>
      </c>
      <c r="I3146" s="139" t="str">
        <f>VLOOKUP(H3146,Stock_list!A:R,18,FALSE)</f>
        <v>长沙健科</v>
      </c>
      <c r="J3146" s="139" t="str">
        <f>VLOOKUP(H3146,Stock_list!A:S,17,FALSE)</f>
        <v>C49SZX20210184DZ</v>
      </c>
      <c r="K3146" s="51" t="str">
        <f>VLOOKUP(H3146,Stock_list!A:T,16,FALSE)</f>
        <v>JPY</v>
      </c>
      <c r="L3146" s="4">
        <v>44510</v>
      </c>
      <c r="M3146" s="132">
        <v>12</v>
      </c>
      <c r="P3146" s="4" t="str">
        <f>VLOOKUP(H3146,Stock_list!A:Y,25,FALSE)</f>
        <v>Yes</v>
      </c>
      <c r="Q3146" s="143"/>
      <c r="T3146" s="144"/>
      <c r="U3146" s="145" t="str">
        <f>VLOOKUP(H3146,Stock_list!A:N,14,FALSE)</f>
        <v>NOV 21</v>
      </c>
    </row>
    <row r="3147" spans="1:21" ht="16.5" customHeight="1">
      <c r="A3147" s="159" t="s">
        <v>2768</v>
      </c>
      <c r="B3147" s="114" t="str">
        <f>VLOOKUP(A3147,'Data pick slip'!B:F,5,FALSE)</f>
        <v>KHJ-MC100-00</v>
      </c>
      <c r="F3147" s="157" t="s">
        <v>1381</v>
      </c>
      <c r="H3147" s="138">
        <v>1467</v>
      </c>
      <c r="I3147" s="139" t="str">
        <f>VLOOKUP(H3147,Stock_list!A:R,18,FALSE)</f>
        <v>恒业信</v>
      </c>
      <c r="J3147" s="139" t="str">
        <f>VLOOKUP(H3147,Stock_list!A:S,17,FALSE)</f>
        <v>C49SZX20210186SS</v>
      </c>
      <c r="K3147" s="51" t="str">
        <f>VLOOKUP(H3147,Stock_list!A:T,16,FALSE)</f>
        <v>JPY</v>
      </c>
      <c r="L3147" s="4">
        <v>44532</v>
      </c>
      <c r="M3147" s="140">
        <v>33</v>
      </c>
      <c r="P3147" s="4" t="str">
        <f>VLOOKUP(H3147,Stock_list!A:Y,25,FALSE)</f>
        <v>Yes</v>
      </c>
      <c r="Q3147" s="143"/>
      <c r="T3147" s="144"/>
      <c r="U3147" s="145" t="str">
        <f>VLOOKUP(H3147,Stock_list!A:N,14,FALSE)</f>
        <v>DEC 21</v>
      </c>
    </row>
    <row r="3148" spans="1:21" ht="16.5" customHeight="1">
      <c r="A3148" s="159" t="s">
        <v>2747</v>
      </c>
      <c r="B3148" s="114" t="str">
        <f>VLOOKUP(A3148,'Data pick slip'!B:F,5,FALSE)</f>
        <v>KHJ-MC200-00</v>
      </c>
      <c r="F3148" s="157" t="s">
        <v>1381</v>
      </c>
      <c r="H3148" s="138">
        <v>1467</v>
      </c>
      <c r="I3148" s="139" t="str">
        <f>VLOOKUP(H3148,Stock_list!A:R,18,FALSE)</f>
        <v>恒业信</v>
      </c>
      <c r="J3148" s="139" t="str">
        <f>VLOOKUP(H3148,Stock_list!A:S,17,FALSE)</f>
        <v>C49SZX20210186SS</v>
      </c>
      <c r="K3148" s="51" t="str">
        <f>VLOOKUP(H3148,Stock_list!A:T,16,FALSE)</f>
        <v>JPY</v>
      </c>
      <c r="L3148" s="4">
        <v>44532</v>
      </c>
      <c r="M3148" s="140">
        <v>10</v>
      </c>
      <c r="P3148" s="4" t="str">
        <f>VLOOKUP(H3148,Stock_list!A:Y,25,FALSE)</f>
        <v>Yes</v>
      </c>
      <c r="Q3148" s="143"/>
      <c r="T3148" s="144"/>
      <c r="U3148" s="145" t="str">
        <f>VLOOKUP(H3148,Stock_list!A:N,14,FALSE)</f>
        <v>DEC 21</v>
      </c>
    </row>
    <row r="3149" spans="1:21" ht="16.5" customHeight="1">
      <c r="A3149" s="159" t="s">
        <v>2768</v>
      </c>
      <c r="B3149" s="114" t="str">
        <f>VLOOKUP(A3149,'Data pick slip'!B:F,5,FALSE)</f>
        <v>KHJ-MC100-00</v>
      </c>
      <c r="F3149" s="157" t="s">
        <v>1381</v>
      </c>
      <c r="H3149" s="138">
        <v>1468</v>
      </c>
      <c r="I3149" s="139" t="str">
        <f>VLOOKUP(H3149,Stock_list!A:R,18,FALSE)</f>
        <v>宝捷信</v>
      </c>
      <c r="J3149" s="139" t="str">
        <f>VLOOKUP(H3149,Stock_list!A:S,17,FALSE)</f>
        <v>C49SZX20210185DZ</v>
      </c>
      <c r="K3149" s="51" t="str">
        <f>VLOOKUP(H3149,Stock_list!A:T,16,FALSE)</f>
        <v>JPY</v>
      </c>
      <c r="L3149" s="4">
        <v>44648</v>
      </c>
      <c r="M3149" s="140">
        <v>60</v>
      </c>
      <c r="P3149" s="4" t="str">
        <f>VLOOKUP(H3149,Stock_list!A:Y,25,FALSE)</f>
        <v>Yes</v>
      </c>
      <c r="Q3149" s="143"/>
      <c r="T3149" s="144"/>
      <c r="U3149" s="145" t="str">
        <f>VLOOKUP(H3149,Stock_list!A:N,14,FALSE)</f>
        <v>MAR 22</v>
      </c>
    </row>
    <row r="3150" spans="1:21" ht="16.5" customHeight="1">
      <c r="A3150" s="159" t="s">
        <v>2747</v>
      </c>
      <c r="B3150" s="114" t="str">
        <f>VLOOKUP(A3150,'Data pick slip'!B:F,5,FALSE)</f>
        <v>KHJ-MC200-00</v>
      </c>
      <c r="F3150" s="157" t="s">
        <v>1381</v>
      </c>
      <c r="H3150" s="138">
        <v>1468</v>
      </c>
      <c r="I3150" s="139" t="str">
        <f>VLOOKUP(H3150,Stock_list!A:R,18,FALSE)</f>
        <v>宝捷信</v>
      </c>
      <c r="J3150" s="139" t="str">
        <f>VLOOKUP(H3150,Stock_list!A:S,17,FALSE)</f>
        <v>C49SZX20210185DZ</v>
      </c>
      <c r="K3150" s="51" t="str">
        <f>VLOOKUP(H3150,Stock_list!A:T,16,FALSE)</f>
        <v>JPY</v>
      </c>
      <c r="L3150" s="4">
        <v>44648</v>
      </c>
      <c r="M3150" s="140">
        <v>20</v>
      </c>
      <c r="P3150" s="4" t="str">
        <f>VLOOKUP(H3150,Stock_list!A:Y,25,FALSE)</f>
        <v>Yes</v>
      </c>
      <c r="Q3150" s="143"/>
      <c r="T3150" s="144"/>
      <c r="U3150" s="145" t="str">
        <f>VLOOKUP(H3150,Stock_list!A:N,14,FALSE)</f>
        <v>MAR 22</v>
      </c>
    </row>
    <row r="3151" spans="1:21" ht="16.5" customHeight="1">
      <c r="A3151" s="159" t="s">
        <v>2748</v>
      </c>
      <c r="B3151" s="114" t="str">
        <f>VLOOKUP(A3151,'Data pick slip'!B:F,5,FALSE)</f>
        <v>KHJ-MC400-00</v>
      </c>
      <c r="F3151" s="157" t="s">
        <v>1381</v>
      </c>
      <c r="H3151" s="138">
        <v>1468</v>
      </c>
      <c r="I3151" s="139" t="str">
        <f>VLOOKUP(H3151,Stock_list!A:R,18,FALSE)</f>
        <v>宝捷信</v>
      </c>
      <c r="J3151" s="139" t="str">
        <f>VLOOKUP(H3151,Stock_list!A:S,17,FALSE)</f>
        <v>C49SZX20210185DZ</v>
      </c>
      <c r="K3151" s="51" t="str">
        <f>VLOOKUP(H3151,Stock_list!A:T,16,FALSE)</f>
        <v>JPY</v>
      </c>
      <c r="L3151" s="4">
        <v>44648</v>
      </c>
      <c r="M3151" s="140">
        <v>5</v>
      </c>
      <c r="P3151" s="4" t="str">
        <f>VLOOKUP(H3151,Stock_list!A:Y,25,FALSE)</f>
        <v>Yes</v>
      </c>
      <c r="Q3151" s="143"/>
      <c r="T3151" s="144"/>
      <c r="U3151" s="145" t="str">
        <f>VLOOKUP(H3151,Stock_list!A:N,14,FALSE)</f>
        <v>MAR 22</v>
      </c>
    </row>
    <row r="3152" spans="1:21" ht="16.5" customHeight="1">
      <c r="A3152" s="159" t="s">
        <v>2749</v>
      </c>
      <c r="B3152" s="114" t="str">
        <f>VLOOKUP(A3152,'Data pick slip'!B:F,5,FALSE)</f>
        <v>KHJ-MC500-00</v>
      </c>
      <c r="F3152" s="157" t="s">
        <v>1381</v>
      </c>
      <c r="H3152" s="138">
        <v>1468</v>
      </c>
      <c r="I3152" s="139" t="str">
        <f>VLOOKUP(H3152,Stock_list!A:R,18,FALSE)</f>
        <v>宝捷信</v>
      </c>
      <c r="J3152" s="139" t="str">
        <f>VLOOKUP(H3152,Stock_list!A:S,17,FALSE)</f>
        <v>C49SZX20210185DZ</v>
      </c>
      <c r="K3152" s="51" t="str">
        <f>VLOOKUP(H3152,Stock_list!A:T,16,FALSE)</f>
        <v>JPY</v>
      </c>
      <c r="L3152" s="4">
        <v>44648</v>
      </c>
      <c r="M3152" s="140">
        <v>2</v>
      </c>
      <c r="P3152" s="4" t="str">
        <f>VLOOKUP(H3152,Stock_list!A:Y,25,FALSE)</f>
        <v>Yes</v>
      </c>
      <c r="Q3152" s="143"/>
      <c r="T3152" s="144"/>
      <c r="U3152" s="145" t="str">
        <f>VLOOKUP(H3152,Stock_list!A:N,14,FALSE)</f>
        <v>MAR 22</v>
      </c>
    </row>
    <row r="3153" spans="1:21" ht="16.5" customHeight="1">
      <c r="A3153" s="159" t="s">
        <v>2768</v>
      </c>
      <c r="B3153" s="114" t="str">
        <f>VLOOKUP(A3153,'Data pick slip'!B:F,5,FALSE)</f>
        <v>KHJ-MC100-00</v>
      </c>
      <c r="F3153" s="157" t="s">
        <v>1381</v>
      </c>
      <c r="H3153" s="138">
        <v>1468</v>
      </c>
      <c r="I3153" s="139" t="str">
        <f>VLOOKUP(H3153,Stock_list!A:R,18,FALSE)</f>
        <v>宝捷信</v>
      </c>
      <c r="J3153" s="139" t="str">
        <f>VLOOKUP(H3153,Stock_list!A:S,17,FALSE)</f>
        <v>C49SZX20210185DZ</v>
      </c>
      <c r="K3153" s="51" t="str">
        <f>VLOOKUP(H3153,Stock_list!A:T,16,FALSE)</f>
        <v>JPY</v>
      </c>
      <c r="L3153" s="290">
        <v>44671</v>
      </c>
      <c r="M3153" s="140">
        <v>160</v>
      </c>
      <c r="P3153" s="4" t="str">
        <f>VLOOKUP(H3153,Stock_list!A:Y,25,FALSE)</f>
        <v>Yes</v>
      </c>
      <c r="Q3153" s="143"/>
      <c r="T3153" s="144"/>
      <c r="U3153" s="145" t="str">
        <f>VLOOKUP(H3153,Stock_list!A:N,14,FALSE)</f>
        <v>MAR 22</v>
      </c>
    </row>
    <row r="3154" spans="1:21" ht="16.5" customHeight="1">
      <c r="A3154" s="159" t="s">
        <v>2747</v>
      </c>
      <c r="B3154" s="114" t="str">
        <f>VLOOKUP(A3154,'Data pick slip'!B:F,5,FALSE)</f>
        <v>KHJ-MC200-00</v>
      </c>
      <c r="F3154" s="157" t="s">
        <v>1381</v>
      </c>
      <c r="H3154" s="138">
        <v>1468</v>
      </c>
      <c r="I3154" s="139" t="str">
        <f>VLOOKUP(H3154,Stock_list!A:R,18,FALSE)</f>
        <v>宝捷信</v>
      </c>
      <c r="J3154" s="139" t="str">
        <f>VLOOKUP(H3154,Stock_list!A:S,17,FALSE)</f>
        <v>C49SZX20210185DZ</v>
      </c>
      <c r="K3154" s="51" t="str">
        <f>VLOOKUP(H3154,Stock_list!A:T,16,FALSE)</f>
        <v>JPY</v>
      </c>
      <c r="L3154" s="290">
        <v>44671</v>
      </c>
      <c r="M3154" s="140">
        <v>56</v>
      </c>
      <c r="P3154" s="4" t="str">
        <f>VLOOKUP(H3154,Stock_list!A:Y,25,FALSE)</f>
        <v>Yes</v>
      </c>
      <c r="Q3154" s="143"/>
      <c r="T3154" s="144"/>
      <c r="U3154" s="145" t="str">
        <f>VLOOKUP(H3154,Stock_list!A:N,14,FALSE)</f>
        <v>MAR 22</v>
      </c>
    </row>
    <row r="3155" spans="1:21" ht="16.5" customHeight="1">
      <c r="A3155" s="159" t="s">
        <v>2748</v>
      </c>
      <c r="B3155" s="114" t="str">
        <f>VLOOKUP(A3155,'Data pick slip'!B:F,5,FALSE)</f>
        <v>KHJ-MC400-00</v>
      </c>
      <c r="F3155" s="157" t="s">
        <v>1381</v>
      </c>
      <c r="H3155" s="138">
        <v>1468</v>
      </c>
      <c r="I3155" s="139" t="str">
        <f>VLOOKUP(H3155,Stock_list!A:R,18,FALSE)</f>
        <v>宝捷信</v>
      </c>
      <c r="J3155" s="139" t="str">
        <f>VLOOKUP(H3155,Stock_list!A:S,17,FALSE)</f>
        <v>C49SZX20210185DZ</v>
      </c>
      <c r="K3155" s="51" t="str">
        <f>VLOOKUP(H3155,Stock_list!A:T,16,FALSE)</f>
        <v>JPY</v>
      </c>
      <c r="L3155" s="290">
        <v>44671</v>
      </c>
      <c r="M3155" s="140">
        <v>5</v>
      </c>
      <c r="P3155" s="4" t="str">
        <f>VLOOKUP(H3155,Stock_list!A:Y,25,FALSE)</f>
        <v>Yes</v>
      </c>
      <c r="Q3155" s="143"/>
      <c r="T3155" s="144"/>
      <c r="U3155" s="145" t="str">
        <f>VLOOKUP(H3155,Stock_list!A:N,14,FALSE)</f>
        <v>MAR 22</v>
      </c>
    </row>
    <row r="3156" spans="1:21" ht="16.5" customHeight="1">
      <c r="A3156" s="159" t="s">
        <v>2768</v>
      </c>
      <c r="B3156" s="114" t="str">
        <f>VLOOKUP(A3156,'Data pick slip'!B:F,5,FALSE)</f>
        <v>KHJ-MC100-00</v>
      </c>
      <c r="F3156" s="157" t="s">
        <v>1381</v>
      </c>
      <c r="H3156" s="138">
        <v>1381</v>
      </c>
      <c r="I3156" s="139" t="str">
        <f>VLOOKUP(H3156,Stock_list!A:R,18,FALSE)</f>
        <v>巨能</v>
      </c>
      <c r="J3156" s="139" t="str">
        <f>VLOOKUP(H3156,Stock_list!A:S,17,FALSE)</f>
        <v>C49SZX20210182MZ</v>
      </c>
      <c r="K3156" s="51" t="str">
        <f>VLOOKUP(H3156,Stock_list!A:T,16,FALSE)</f>
        <v>JPY</v>
      </c>
      <c r="L3156" s="4">
        <v>44672</v>
      </c>
      <c r="M3156" s="132">
        <v>30</v>
      </c>
      <c r="P3156" s="4" t="str">
        <f>VLOOKUP(H3156,Stock_list!A:Y,25,FALSE)</f>
        <v>Yes</v>
      </c>
      <c r="Q3156" s="143"/>
      <c r="T3156" s="144"/>
      <c r="U3156" s="145" t="str">
        <f>VLOOKUP(H3156,Stock_list!A:N,14,FALSE)</f>
        <v>APR 22</v>
      </c>
    </row>
    <row r="3157" spans="1:21" ht="16.5" customHeight="1">
      <c r="A3157" s="159" t="s">
        <v>2747</v>
      </c>
      <c r="B3157" s="114" t="str">
        <f>VLOOKUP(A3157,'Data pick slip'!B:F,5,FALSE)</f>
        <v>KHJ-MC200-00</v>
      </c>
      <c r="F3157" s="157" t="s">
        <v>1381</v>
      </c>
      <c r="H3157" s="138">
        <v>1381</v>
      </c>
      <c r="I3157" s="139" t="str">
        <f>VLOOKUP(H3157,Stock_list!A:R,18,FALSE)</f>
        <v>巨能</v>
      </c>
      <c r="J3157" s="139" t="str">
        <f>VLOOKUP(H3157,Stock_list!A:S,17,FALSE)</f>
        <v>C49SZX20210182MZ</v>
      </c>
      <c r="K3157" s="51" t="str">
        <f>VLOOKUP(H3157,Stock_list!A:T,16,FALSE)</f>
        <v>JPY</v>
      </c>
      <c r="L3157" s="4">
        <v>44672</v>
      </c>
      <c r="M3157" s="132">
        <v>4</v>
      </c>
      <c r="P3157" s="4" t="str">
        <f>VLOOKUP(H3157,Stock_list!A:Y,25,FALSE)</f>
        <v>Yes</v>
      </c>
      <c r="Q3157" s="143"/>
      <c r="T3157" s="144"/>
      <c r="U3157" s="145" t="str">
        <f>VLOOKUP(H3157,Stock_list!A:N,14,FALSE)</f>
        <v>APR 22</v>
      </c>
    </row>
    <row r="3158" spans="1:21" ht="16.5" customHeight="1">
      <c r="A3158" s="159" t="s">
        <v>2748</v>
      </c>
      <c r="B3158" s="114" t="str">
        <f>VLOOKUP(A3158,'Data pick slip'!B:F,5,FALSE)</f>
        <v>KHJ-MC400-00</v>
      </c>
      <c r="F3158" s="157" t="s">
        <v>1381</v>
      </c>
      <c r="H3158" s="138">
        <v>1381</v>
      </c>
      <c r="I3158" s="139" t="str">
        <f>VLOOKUP(H3158,Stock_list!A:R,18,FALSE)</f>
        <v>巨能</v>
      </c>
      <c r="J3158" s="139" t="str">
        <f>VLOOKUP(H3158,Stock_list!A:S,17,FALSE)</f>
        <v>C49SZX20210182MZ</v>
      </c>
      <c r="K3158" s="51" t="str">
        <f>VLOOKUP(H3158,Stock_list!A:T,16,FALSE)</f>
        <v>JPY</v>
      </c>
      <c r="L3158" s="4">
        <v>44672</v>
      </c>
      <c r="M3158" s="132">
        <v>1</v>
      </c>
      <c r="P3158" s="4" t="str">
        <f>VLOOKUP(H3158,Stock_list!A:Y,25,FALSE)</f>
        <v>Yes</v>
      </c>
      <c r="Q3158" s="143"/>
      <c r="T3158" s="144"/>
      <c r="U3158" s="145" t="str">
        <f>VLOOKUP(H3158,Stock_list!A:N,14,FALSE)</f>
        <v>APR 22</v>
      </c>
    </row>
    <row r="3159" spans="1:21" ht="16.5" customHeight="1">
      <c r="A3159" s="159" t="s">
        <v>2768</v>
      </c>
      <c r="B3159" s="114" t="str">
        <f>VLOOKUP(A3159,'Data pick slip'!B:F,5,FALSE)</f>
        <v>KHJ-MC100-00</v>
      </c>
      <c r="F3159" s="157" t="s">
        <v>1381</v>
      </c>
      <c r="H3159" s="138">
        <v>1381</v>
      </c>
      <c r="I3159" s="139" t="str">
        <f>VLOOKUP(H3159,Stock_list!A:R,18,FALSE)</f>
        <v>巨能</v>
      </c>
      <c r="J3159" s="139" t="str">
        <f>VLOOKUP(H3159,Stock_list!A:S,17,FALSE)</f>
        <v>C49SZX20210182MZ</v>
      </c>
      <c r="K3159" s="51" t="str">
        <f>VLOOKUP(H3159,Stock_list!A:T,16,FALSE)</f>
        <v>JPY</v>
      </c>
      <c r="L3159" s="4">
        <v>44650</v>
      </c>
      <c r="M3159" s="140">
        <v>30</v>
      </c>
      <c r="P3159" s="4" t="str">
        <f>VLOOKUP(H3159,Stock_list!A:Y,25,FALSE)</f>
        <v>Yes</v>
      </c>
      <c r="Q3159" s="143"/>
      <c r="T3159" s="144"/>
      <c r="U3159" s="145" t="str">
        <f>VLOOKUP(H3159,Stock_list!A:N,14,FALSE)</f>
        <v>APR 22</v>
      </c>
    </row>
    <row r="3160" spans="1:21" ht="16.5" customHeight="1">
      <c r="A3160" s="159" t="s">
        <v>2747</v>
      </c>
      <c r="B3160" s="114" t="str">
        <f>VLOOKUP(A3160,'Data pick slip'!B:F,5,FALSE)</f>
        <v>KHJ-MC200-00</v>
      </c>
      <c r="F3160" s="157" t="s">
        <v>1381</v>
      </c>
      <c r="H3160" s="138">
        <v>1381</v>
      </c>
      <c r="I3160" s="139" t="str">
        <f>VLOOKUP(H3160,Stock_list!A:R,18,FALSE)</f>
        <v>巨能</v>
      </c>
      <c r="J3160" s="139" t="str">
        <f>VLOOKUP(H3160,Stock_list!A:S,17,FALSE)</f>
        <v>C49SZX20210182MZ</v>
      </c>
      <c r="K3160" s="51" t="str">
        <f>VLOOKUP(H3160,Stock_list!A:T,16,FALSE)</f>
        <v>JPY</v>
      </c>
      <c r="L3160" s="4">
        <v>44650</v>
      </c>
      <c r="M3160" s="140">
        <v>4</v>
      </c>
      <c r="P3160" s="4" t="str">
        <f>VLOOKUP(H3160,Stock_list!A:Y,25,FALSE)</f>
        <v>Yes</v>
      </c>
      <c r="Q3160" s="143"/>
      <c r="T3160" s="144"/>
      <c r="U3160" s="145" t="str">
        <f>VLOOKUP(H3160,Stock_list!A:N,14,FALSE)</f>
        <v>APR 22</v>
      </c>
    </row>
    <row r="3161" spans="1:21" ht="16.5" customHeight="1">
      <c r="A3161" s="159" t="s">
        <v>2748</v>
      </c>
      <c r="B3161" s="114" t="str">
        <f>VLOOKUP(A3161,'Data pick slip'!B:F,5,FALSE)</f>
        <v>KHJ-MC400-00</v>
      </c>
      <c r="F3161" s="157" t="s">
        <v>1381</v>
      </c>
      <c r="H3161" s="138">
        <v>1381</v>
      </c>
      <c r="I3161" s="139" t="str">
        <f>VLOOKUP(H3161,Stock_list!A:R,18,FALSE)</f>
        <v>巨能</v>
      </c>
      <c r="J3161" s="139" t="str">
        <f>VLOOKUP(H3161,Stock_list!A:S,17,FALSE)</f>
        <v>C49SZX20210182MZ</v>
      </c>
      <c r="K3161" s="51" t="str">
        <f>VLOOKUP(H3161,Stock_list!A:T,16,FALSE)</f>
        <v>JPY</v>
      </c>
      <c r="L3161" s="4">
        <v>44650</v>
      </c>
      <c r="M3161" s="140">
        <v>1</v>
      </c>
      <c r="P3161" s="4" t="str">
        <f>VLOOKUP(H3161,Stock_list!A:Y,25,FALSE)</f>
        <v>Yes</v>
      </c>
      <c r="Q3161" s="143"/>
      <c r="T3161" s="144"/>
      <c r="U3161" s="145" t="str">
        <f>VLOOKUP(H3161,Stock_list!A:N,14,FALSE)</f>
        <v>APR 22</v>
      </c>
    </row>
    <row r="3162" spans="1:21" ht="16.5" customHeight="1">
      <c r="A3162" s="159" t="s">
        <v>2749</v>
      </c>
      <c r="B3162" s="114" t="str">
        <f>VLOOKUP(A3162,'Data pick slip'!B:F,5,FALSE)</f>
        <v>KHJ-MC500-00</v>
      </c>
      <c r="F3162" s="157" t="s">
        <v>1381</v>
      </c>
      <c r="H3162" s="138">
        <v>1381</v>
      </c>
      <c r="I3162" s="139" t="str">
        <f>VLOOKUP(H3162,Stock_list!A:R,18,FALSE)</f>
        <v>巨能</v>
      </c>
      <c r="J3162" s="139" t="str">
        <f>VLOOKUP(H3162,Stock_list!A:S,17,FALSE)</f>
        <v>C49SZX20210182MZ</v>
      </c>
      <c r="K3162" s="51" t="str">
        <f>VLOOKUP(H3162,Stock_list!A:T,16,FALSE)</f>
        <v>JPY</v>
      </c>
      <c r="L3162" s="4">
        <v>44650</v>
      </c>
      <c r="M3162" s="140">
        <v>1</v>
      </c>
      <c r="P3162" s="4" t="str">
        <f>VLOOKUP(H3162,Stock_list!A:Y,25,FALSE)</f>
        <v>Yes</v>
      </c>
      <c r="Q3162" s="143"/>
      <c r="T3162" s="144"/>
      <c r="U3162" s="145" t="str">
        <f>VLOOKUP(H3162,Stock_list!A:N,14,FALSE)</f>
        <v>APR 22</v>
      </c>
    </row>
    <row r="3163" spans="1:21" ht="16.5" customHeight="1">
      <c r="A3163" s="159" t="s">
        <v>2768</v>
      </c>
      <c r="B3163" s="114" t="str">
        <f>VLOOKUP(A3163,'Data pick slip'!B:F,5,FALSE)</f>
        <v>KHJ-MC100-00</v>
      </c>
      <c r="F3163" s="157" t="s">
        <v>2753</v>
      </c>
      <c r="H3163" s="138">
        <v>1188</v>
      </c>
      <c r="I3163" s="139" t="str">
        <f>VLOOKUP(H3163,Stock_list!A:R,18,FALSE)</f>
        <v>海星</v>
      </c>
      <c r="J3163" s="139" t="str">
        <f>VLOOKUP(H3163,Stock_list!A:S,17,FALSE)</f>
        <v>C49SZX20210156DZ</v>
      </c>
      <c r="K3163" s="51" t="str">
        <f>VLOOKUP(H3163,Stock_list!A:T,16,FALSE)</f>
        <v>RMB</v>
      </c>
      <c r="L3163" s="4">
        <v>44376</v>
      </c>
      <c r="M3163" s="140">
        <v>150</v>
      </c>
      <c r="P3163" s="4" t="str">
        <f>VLOOKUP(H3163,Stock_list!A:Y,25,FALSE)</f>
        <v>Yes</v>
      </c>
      <c r="Q3163" s="143"/>
      <c r="T3163" s="144"/>
      <c r="U3163" s="145" t="str">
        <f>VLOOKUP(H3163,Stock_list!A:N,14,FALSE)</f>
        <v>JUN 21</v>
      </c>
    </row>
    <row r="3164" spans="1:21" ht="16.5" customHeight="1">
      <c r="A3164" s="159" t="s">
        <v>2747</v>
      </c>
      <c r="B3164" s="114" t="str">
        <f>VLOOKUP(A3164,'Data pick slip'!B:F,5,FALSE)</f>
        <v>KHJ-MC200-00</v>
      </c>
      <c r="F3164" s="157" t="s">
        <v>2753</v>
      </c>
      <c r="H3164" s="138">
        <v>1188</v>
      </c>
      <c r="I3164" s="139" t="str">
        <f>VLOOKUP(H3164,Stock_list!A:R,18,FALSE)</f>
        <v>海星</v>
      </c>
      <c r="J3164" s="139" t="str">
        <f>VLOOKUP(H3164,Stock_list!A:S,17,FALSE)</f>
        <v>C49SZX20210156DZ</v>
      </c>
      <c r="K3164" s="51" t="str">
        <f>VLOOKUP(H3164,Stock_list!A:T,16,FALSE)</f>
        <v>RMB</v>
      </c>
      <c r="L3164" s="4">
        <v>44376</v>
      </c>
      <c r="M3164" s="140">
        <v>8</v>
      </c>
      <c r="P3164" s="4" t="str">
        <f>VLOOKUP(H3164,Stock_list!A:Y,25,FALSE)</f>
        <v>Yes</v>
      </c>
      <c r="Q3164" s="143"/>
      <c r="T3164" s="144"/>
      <c r="U3164" s="145" t="str">
        <f>VLOOKUP(H3164,Stock_list!A:N,14,FALSE)</f>
        <v>JUN 21</v>
      </c>
    </row>
    <row r="3165" spans="1:21" ht="16.5" customHeight="1">
      <c r="A3165" s="159" t="s">
        <v>2747</v>
      </c>
      <c r="B3165" s="114" t="str">
        <f>VLOOKUP(A3165,'Data pick slip'!B:F,5,FALSE)</f>
        <v>KHJ-MC200-00</v>
      </c>
      <c r="F3165" s="157" t="s">
        <v>1381</v>
      </c>
      <c r="I3165" s="296" t="s">
        <v>3468</v>
      </c>
      <c r="J3165" s="297" t="s">
        <v>3469</v>
      </c>
      <c r="K3165" s="261" t="s">
        <v>1246</v>
      </c>
      <c r="L3165" s="298">
        <v>44418</v>
      </c>
      <c r="M3165" s="299">
        <v>30</v>
      </c>
      <c r="P3165" s="4" t="e">
        <f>VLOOKUP(H3165,Stock_list!A:Y,25,FALSE)</f>
        <v>#N/A</v>
      </c>
      <c r="Q3165" s="143"/>
      <c r="T3165" s="144"/>
      <c r="U3165" s="145" t="e">
        <f>VLOOKUP(H3165,Stock_list!A:N,14,FALSE)</f>
        <v>#N/A</v>
      </c>
    </row>
    <row r="3166" spans="1:21" ht="16.5" customHeight="1">
      <c r="A3166" s="159" t="s">
        <v>2755</v>
      </c>
      <c r="B3166" s="114" t="str">
        <f>VLOOKUP(A3166,'Data pick slip'!B:F,5,FALSE)</f>
        <v>KLJ-MC100-00</v>
      </c>
      <c r="F3166" s="157" t="s">
        <v>1381</v>
      </c>
      <c r="I3166" s="269" t="s">
        <v>3413</v>
      </c>
      <c r="J3166" s="139" t="s">
        <v>3470</v>
      </c>
      <c r="K3166" s="51" t="s">
        <v>1246</v>
      </c>
      <c r="L3166" s="4">
        <v>44413</v>
      </c>
      <c r="M3166" s="140">
        <v>80</v>
      </c>
      <c r="P3166" s="4" t="s">
        <v>291</v>
      </c>
      <c r="Q3166" s="143"/>
      <c r="T3166" s="144"/>
      <c r="U3166" s="145" t="e">
        <f>VLOOKUP(H3166,Stock_list!A:N,14,FALSE)</f>
        <v>#N/A</v>
      </c>
    </row>
    <row r="3167" spans="1:21" ht="16.5" customHeight="1">
      <c r="A3167" s="159" t="s">
        <v>2756</v>
      </c>
      <c r="B3167" s="114" t="str">
        <f>VLOOKUP(A3167,'Data pick slip'!B:F,5,FALSE)</f>
        <v>KLJ-MC200-00</v>
      </c>
      <c r="F3167" s="157" t="s">
        <v>1381</v>
      </c>
      <c r="I3167" s="269" t="s">
        <v>3413</v>
      </c>
      <c r="J3167" s="139" t="s">
        <v>3470</v>
      </c>
      <c r="K3167" s="51" t="s">
        <v>1246</v>
      </c>
      <c r="L3167" s="4">
        <v>44413</v>
      </c>
      <c r="M3167" s="140">
        <v>15</v>
      </c>
      <c r="P3167" s="4" t="s">
        <v>291</v>
      </c>
      <c r="Q3167" s="143"/>
      <c r="T3167" s="144"/>
      <c r="U3167" s="145" t="e">
        <f>VLOOKUP(H3167,Stock_list!A:N,14,FALSE)</f>
        <v>#N/A</v>
      </c>
    </row>
    <row r="3168" spans="1:21" ht="16.5" customHeight="1">
      <c r="A3168" s="159" t="s">
        <v>2757</v>
      </c>
      <c r="B3168" s="114" t="str">
        <f>VLOOKUP(A3168,'Data pick slip'!B:F,5,FALSE)</f>
        <v>KLJ-MC400-00</v>
      </c>
      <c r="F3168" s="157" t="s">
        <v>1381</v>
      </c>
      <c r="I3168" s="269" t="s">
        <v>3413</v>
      </c>
      <c r="J3168" s="139" t="s">
        <v>3470</v>
      </c>
      <c r="K3168" s="51" t="s">
        <v>1246</v>
      </c>
      <c r="L3168" s="4">
        <v>44413</v>
      </c>
      <c r="M3168" s="140">
        <v>5</v>
      </c>
      <c r="P3168" s="4" t="s">
        <v>291</v>
      </c>
      <c r="Q3168" s="143"/>
      <c r="T3168" s="144"/>
      <c r="U3168" s="145" t="e">
        <f>VLOOKUP(H3168,Stock_list!A:N,14,FALSE)</f>
        <v>#N/A</v>
      </c>
    </row>
    <row r="3169" spans="1:21" ht="16.5" customHeight="1">
      <c r="A3169" s="159" t="s">
        <v>2758</v>
      </c>
      <c r="B3169" s="114" t="str">
        <f>VLOOKUP(A3169,'Data pick slip'!B:F,5,FALSE)</f>
        <v>KLJ-MC500-00</v>
      </c>
      <c r="F3169" s="157" t="s">
        <v>1381</v>
      </c>
      <c r="I3169" s="269" t="s">
        <v>3413</v>
      </c>
      <c r="J3169" s="139" t="s">
        <v>3470</v>
      </c>
      <c r="K3169" s="51" t="s">
        <v>1246</v>
      </c>
      <c r="L3169" s="4">
        <v>44413</v>
      </c>
      <c r="M3169" s="140">
        <v>2</v>
      </c>
      <c r="P3169" s="4" t="s">
        <v>291</v>
      </c>
      <c r="Q3169" s="143"/>
      <c r="T3169" s="144"/>
      <c r="U3169" s="145" t="e">
        <f>VLOOKUP(H3169,Stock_list!A:N,14,FALSE)</f>
        <v>#N/A</v>
      </c>
    </row>
    <row r="3170" spans="1:21" ht="16.5" customHeight="1">
      <c r="A3170" s="159" t="s">
        <v>2759</v>
      </c>
      <c r="B3170" s="114" t="str">
        <f>VLOOKUP(A3170,'Data pick slip'!B:F,5,FALSE)</f>
        <v>KLJ-MC600-00</v>
      </c>
      <c r="F3170" s="157" t="s">
        <v>1381</v>
      </c>
      <c r="I3170" s="269" t="s">
        <v>3413</v>
      </c>
      <c r="J3170" s="139" t="s">
        <v>3470</v>
      </c>
      <c r="K3170" s="51" t="s">
        <v>1246</v>
      </c>
      <c r="L3170" s="4">
        <v>44413</v>
      </c>
      <c r="M3170" s="140">
        <v>2</v>
      </c>
      <c r="P3170" s="4" t="s">
        <v>291</v>
      </c>
      <c r="Q3170" s="143"/>
      <c r="T3170" s="144"/>
      <c r="U3170" s="145" t="e">
        <f>VLOOKUP(H3170,Stock_list!A:N,14,FALSE)</f>
        <v>#N/A</v>
      </c>
    </row>
    <row r="3171" spans="1:21" ht="16.5" customHeight="1">
      <c r="A3171" s="159" t="s">
        <v>2768</v>
      </c>
      <c r="B3171" s="114" t="str">
        <f>VLOOKUP(A3171,'Data pick slip'!B:F,5,FALSE)</f>
        <v>KHJ-MC100-00</v>
      </c>
      <c r="F3171" s="157" t="s">
        <v>1381</v>
      </c>
      <c r="I3171" s="139" t="s">
        <v>2853</v>
      </c>
      <c r="J3171" s="270" t="s">
        <v>3471</v>
      </c>
      <c r="K3171" s="51" t="s">
        <v>3002</v>
      </c>
      <c r="L3171" s="4">
        <v>44421</v>
      </c>
      <c r="M3171" s="140">
        <v>1</v>
      </c>
      <c r="P3171" s="4" t="s">
        <v>291</v>
      </c>
      <c r="Q3171" s="143"/>
      <c r="T3171" s="144"/>
      <c r="U3171" s="145" t="e">
        <f>VLOOKUP(H3171,Stock_list!A:N,14,FALSE)</f>
        <v>#N/A</v>
      </c>
    </row>
    <row r="3172" spans="1:21" ht="16.5" customHeight="1">
      <c r="A3172" s="159" t="s">
        <v>2768</v>
      </c>
      <c r="B3172" s="114" t="str">
        <f>VLOOKUP(A3172,'Data pick slip'!B:F,5,FALSE)</f>
        <v>KHJ-MC100-00</v>
      </c>
      <c r="F3172" s="157" t="s">
        <v>2753</v>
      </c>
      <c r="I3172" s="139" t="s">
        <v>3093</v>
      </c>
      <c r="J3172" s="270" t="s">
        <v>3472</v>
      </c>
      <c r="K3172" s="51" t="s">
        <v>1246</v>
      </c>
      <c r="L3172" s="4">
        <v>44421</v>
      </c>
      <c r="M3172" s="140">
        <v>15</v>
      </c>
      <c r="P3172" s="4" t="s">
        <v>291</v>
      </c>
      <c r="Q3172" s="143"/>
      <c r="T3172" s="144"/>
      <c r="U3172" s="145" t="e">
        <f>VLOOKUP(H3172,Stock_list!A:N,14,FALSE)</f>
        <v>#N/A</v>
      </c>
    </row>
    <row r="3173" spans="1:21" ht="16.5" customHeight="1">
      <c r="A3173" s="159" t="s">
        <v>2755</v>
      </c>
      <c r="B3173" s="114" t="str">
        <f>VLOOKUP(A3173,'Data pick slip'!B:F,5,FALSE)</f>
        <v>KLJ-MC100-00</v>
      </c>
      <c r="F3173" s="157" t="s">
        <v>2753</v>
      </c>
      <c r="H3173" s="138">
        <v>1436</v>
      </c>
      <c r="I3173" s="139" t="str">
        <f>VLOOKUP(H3173,Stock_list!A:R,18,FALSE)</f>
        <v>拓新伟业</v>
      </c>
      <c r="J3173" s="139" t="str">
        <f>VLOOKUP(H3173,Stock_list!A:S,17,FALSE)</f>
        <v>C49SZX20210175SX</v>
      </c>
      <c r="K3173" s="51" t="str">
        <f>VLOOKUP(H3173,Stock_list!A:T,16,FALSE)</f>
        <v>RMB</v>
      </c>
      <c r="L3173" s="4">
        <v>44434</v>
      </c>
      <c r="M3173" s="140">
        <v>84</v>
      </c>
      <c r="P3173" s="4" t="str">
        <f>VLOOKUP(H3173,Stock_list!A:Y,25,FALSE)</f>
        <v>Yes</v>
      </c>
      <c r="Q3173" s="143"/>
      <c r="T3173" s="144"/>
      <c r="U3173" s="145" t="str">
        <f>VLOOKUP(H3173,Stock_list!A:N,14,FALSE)</f>
        <v>AUG 21</v>
      </c>
    </row>
    <row r="3174" spans="1:21" ht="16.5" customHeight="1">
      <c r="A3174" s="159" t="s">
        <v>2768</v>
      </c>
      <c r="B3174" s="114" t="str">
        <f>VLOOKUP(A3174,'Data pick slip'!B:F,5,FALSE)</f>
        <v>KHJ-MC100-00</v>
      </c>
      <c r="F3174" s="157" t="s">
        <v>1381</v>
      </c>
      <c r="H3174" s="138">
        <v>1470</v>
      </c>
      <c r="I3174" s="139" t="str">
        <f>VLOOKUP(H3174,Stock_list!A:R,18,FALSE)</f>
        <v>盈通恒翼</v>
      </c>
      <c r="J3174" s="139" t="str">
        <f>VLOOKUP(H3174,Stock_list!A:S,17,FALSE)</f>
        <v>C49SZX20210187SS</v>
      </c>
      <c r="K3174" s="51" t="str">
        <f>VLOOKUP(H3174,Stock_list!A:T,16,FALSE)</f>
        <v>JPY</v>
      </c>
      <c r="L3174" s="4">
        <v>44659</v>
      </c>
      <c r="M3174" s="140">
        <v>40</v>
      </c>
      <c r="P3174" s="4" t="str">
        <f>VLOOKUP(H3174,Stock_list!A:Y,25,FALSE)</f>
        <v>Yes</v>
      </c>
      <c r="Q3174" s="143"/>
      <c r="T3174" s="144"/>
      <c r="U3174" s="145" t="str">
        <f>VLOOKUP(H3174,Stock_list!A:N,14,FALSE)</f>
        <v>APR 22</v>
      </c>
    </row>
    <row r="3175" spans="1:21" ht="16.5" customHeight="1">
      <c r="A3175" s="159" t="s">
        <v>2768</v>
      </c>
      <c r="B3175" s="114" t="str">
        <f>VLOOKUP(A3175,'Data pick slip'!B:F,5,FALSE)</f>
        <v>KHJ-MC100-00</v>
      </c>
      <c r="F3175" s="157" t="s">
        <v>1381</v>
      </c>
      <c r="H3175" s="138">
        <v>1474</v>
      </c>
      <c r="I3175" s="139" t="str">
        <f>VLOOKUP(H3175,Stock_list!A:R,18,FALSE)</f>
        <v>长沙健科</v>
      </c>
      <c r="J3175" s="139" t="str">
        <f>VLOOKUP(H3175,Stock_list!A:S,17,FALSE)</f>
        <v>C49SZX20210189DZ</v>
      </c>
      <c r="K3175" s="51" t="str">
        <f>VLOOKUP(H3175,Stock_list!A:T,16,FALSE)</f>
        <v>JPY</v>
      </c>
      <c r="L3175" s="4">
        <v>44620</v>
      </c>
      <c r="M3175" s="140">
        <v>5</v>
      </c>
      <c r="P3175" s="4" t="str">
        <f>VLOOKUP(H3175,Stock_list!A:Y,25,FALSE)</f>
        <v>Yes</v>
      </c>
      <c r="Q3175" s="143"/>
      <c r="T3175" s="144"/>
      <c r="U3175" s="145" t="str">
        <f>VLOOKUP(H3175,Stock_list!A:N,14,FALSE)</f>
        <v>FEB 22</v>
      </c>
    </row>
    <row r="3176" spans="1:21" ht="16.5" customHeight="1">
      <c r="A3176" s="159" t="s">
        <v>2747</v>
      </c>
      <c r="B3176" s="114" t="str">
        <f>VLOOKUP(A3176,'Data pick slip'!B:F,5,FALSE)</f>
        <v>KHJ-MC200-00</v>
      </c>
      <c r="F3176" s="157" t="s">
        <v>2753</v>
      </c>
      <c r="I3176" s="139" t="s">
        <v>3290</v>
      </c>
      <c r="J3176" s="269" t="s">
        <v>3473</v>
      </c>
      <c r="K3176" s="51" t="s">
        <v>1246</v>
      </c>
      <c r="L3176" s="4">
        <v>44453</v>
      </c>
      <c r="M3176" s="140">
        <v>15</v>
      </c>
      <c r="P3176" s="4" t="s">
        <v>291</v>
      </c>
      <c r="Q3176" s="143"/>
      <c r="T3176" s="144"/>
      <c r="U3176" s="145" t="e">
        <f>VLOOKUP(H3176,Stock_list!A:N,14,FALSE)</f>
        <v>#N/A</v>
      </c>
    </row>
    <row r="3177" spans="1:21" ht="16.5" customHeight="1">
      <c r="A3177" s="159" t="s">
        <v>2768</v>
      </c>
      <c r="B3177" s="114" t="str">
        <f>VLOOKUP(A3177,'Data pick slip'!B:F,5,FALSE)</f>
        <v>KHJ-MC100-00</v>
      </c>
      <c r="F3177" s="157" t="s">
        <v>1381</v>
      </c>
      <c r="H3177" s="138">
        <v>1475</v>
      </c>
      <c r="I3177" s="139" t="str">
        <f>VLOOKUP(H3177,Stock_list!A:R,18,FALSE)</f>
        <v>穗晖</v>
      </c>
      <c r="J3177" s="139" t="str">
        <f>VLOOKUP(H3177,Stock_list!A:S,17,FALSE)</f>
        <v>C49SZX20210191DY</v>
      </c>
      <c r="K3177" s="51" t="str">
        <f>VLOOKUP(H3177,Stock_list!A:T,16,FALSE)</f>
        <v>JPY</v>
      </c>
      <c r="L3177" s="4">
        <v>44580</v>
      </c>
      <c r="M3177" s="140">
        <v>20</v>
      </c>
      <c r="P3177" s="4" t="str">
        <f>VLOOKUP(H3177,Stock_list!A:Y,25,FALSE)</f>
        <v>Yes</v>
      </c>
      <c r="Q3177" s="143"/>
      <c r="T3177" s="144"/>
      <c r="U3177" s="145" t="str">
        <f>VLOOKUP(H3177,Stock_list!A:N,14,FALSE)</f>
        <v>JAN 22</v>
      </c>
    </row>
    <row r="3178" spans="1:21" ht="16.5" customHeight="1">
      <c r="A3178" s="159" t="s">
        <v>2750</v>
      </c>
      <c r="B3178" s="114" t="str">
        <f>VLOOKUP(A3178,'Data pick slip'!B:F,5,FALSE)</f>
        <v>KHJ-MC600-00</v>
      </c>
      <c r="F3178" s="157" t="s">
        <v>1381</v>
      </c>
      <c r="I3178" s="139" t="s">
        <v>2853</v>
      </c>
      <c r="J3178" s="270" t="s">
        <v>3474</v>
      </c>
      <c r="K3178" s="51" t="s">
        <v>3002</v>
      </c>
      <c r="L3178" s="4">
        <v>44455</v>
      </c>
      <c r="M3178" s="140">
        <v>1</v>
      </c>
      <c r="P3178" s="4" t="s">
        <v>291</v>
      </c>
      <c r="Q3178" s="143"/>
      <c r="T3178" s="144"/>
      <c r="U3178" s="145" t="e">
        <f>VLOOKUP(H3178,Stock_list!A:N,14,FALSE)</f>
        <v>#N/A</v>
      </c>
    </row>
    <row r="3179" spans="1:21" ht="16.5" customHeight="1">
      <c r="A3179" s="159" t="s">
        <v>2744</v>
      </c>
      <c r="B3179" s="114" t="str">
        <f>VLOOKUP(A3179,'Data pick slip'!B:F,5,FALSE)</f>
        <v>KHJ-MC100-00</v>
      </c>
      <c r="F3179" s="157" t="s">
        <v>1381</v>
      </c>
      <c r="I3179" s="269" t="s">
        <v>3413</v>
      </c>
      <c r="J3179" s="139" t="s">
        <v>3475</v>
      </c>
      <c r="K3179" s="51" t="s">
        <v>1246</v>
      </c>
      <c r="L3179" s="4">
        <v>44455</v>
      </c>
      <c r="M3179" s="140">
        <v>50</v>
      </c>
      <c r="P3179" s="4" t="s">
        <v>291</v>
      </c>
      <c r="Q3179" s="143"/>
      <c r="T3179" s="144"/>
      <c r="U3179" s="145" t="e">
        <f>VLOOKUP(H3179,Stock_list!A:N,14,FALSE)</f>
        <v>#N/A</v>
      </c>
    </row>
    <row r="3180" spans="1:21" ht="16.5" customHeight="1">
      <c r="A3180" s="159" t="s">
        <v>2749</v>
      </c>
      <c r="B3180" s="114" t="str">
        <f>VLOOKUP(A3180,'Data pick slip'!B:F,5,FALSE)</f>
        <v>KHJ-MC500-00</v>
      </c>
      <c r="F3180" s="157" t="s">
        <v>1381</v>
      </c>
      <c r="I3180" s="269" t="s">
        <v>3413</v>
      </c>
      <c r="J3180" s="139" t="s">
        <v>3475</v>
      </c>
      <c r="K3180" s="51" t="s">
        <v>1246</v>
      </c>
      <c r="L3180" s="4">
        <v>44455</v>
      </c>
      <c r="M3180" s="140">
        <v>5</v>
      </c>
      <c r="P3180" s="4" t="s">
        <v>291</v>
      </c>
      <c r="Q3180" s="143"/>
      <c r="T3180" s="144"/>
      <c r="U3180" s="145" t="e">
        <f>VLOOKUP(H3180,Stock_list!A:N,14,FALSE)</f>
        <v>#N/A</v>
      </c>
    </row>
    <row r="3181" spans="1:21" ht="16.5" customHeight="1">
      <c r="A3181" s="159" t="s">
        <v>2755</v>
      </c>
      <c r="B3181" s="114" t="str">
        <f>VLOOKUP(A3181,'Data pick slip'!B:F,5,FALSE)</f>
        <v>KLJ-MC100-00</v>
      </c>
      <c r="F3181" s="157" t="s">
        <v>1381</v>
      </c>
      <c r="I3181" s="269" t="s">
        <v>3413</v>
      </c>
      <c r="J3181" s="139" t="s">
        <v>3475</v>
      </c>
      <c r="K3181" s="51" t="s">
        <v>1246</v>
      </c>
      <c r="L3181" s="4">
        <v>44455</v>
      </c>
      <c r="M3181" s="140">
        <v>20</v>
      </c>
      <c r="P3181" s="4" t="s">
        <v>291</v>
      </c>
      <c r="Q3181" s="143"/>
      <c r="T3181" s="144"/>
      <c r="U3181" s="145" t="e">
        <f>VLOOKUP(H3181,Stock_list!A:N,14,FALSE)</f>
        <v>#N/A</v>
      </c>
    </row>
    <row r="3182" spans="1:21" ht="16.5" customHeight="1">
      <c r="A3182" s="159" t="s">
        <v>2756</v>
      </c>
      <c r="B3182" s="114" t="str">
        <f>VLOOKUP(A3182,'Data pick slip'!B:F,5,FALSE)</f>
        <v>KLJ-MC200-00</v>
      </c>
      <c r="F3182" s="157" t="s">
        <v>1381</v>
      </c>
      <c r="I3182" s="269" t="s">
        <v>3413</v>
      </c>
      <c r="J3182" s="139" t="s">
        <v>3475</v>
      </c>
      <c r="K3182" s="51" t="s">
        <v>1246</v>
      </c>
      <c r="L3182" s="4">
        <v>44455</v>
      </c>
      <c r="M3182" s="140">
        <v>20</v>
      </c>
      <c r="P3182" s="4" t="s">
        <v>291</v>
      </c>
      <c r="Q3182" s="143"/>
      <c r="T3182" s="144"/>
      <c r="U3182" s="145" t="e">
        <f>VLOOKUP(H3182,Stock_list!A:N,14,FALSE)</f>
        <v>#N/A</v>
      </c>
    </row>
    <row r="3183" spans="1:21" ht="16.5" customHeight="1">
      <c r="A3183" s="159" t="s">
        <v>2768</v>
      </c>
      <c r="B3183" s="114" t="str">
        <f>VLOOKUP(A3183,'Data pick slip'!B:F,5,FALSE)</f>
        <v>KHJ-MC100-00</v>
      </c>
      <c r="F3183" s="157" t="s">
        <v>1381</v>
      </c>
      <c r="H3183" s="138">
        <v>1477</v>
      </c>
      <c r="I3183" s="139" t="str">
        <f>VLOOKUP(H3183,Stock_list!A:R,18,FALSE)</f>
        <v>正讯</v>
      </c>
      <c r="J3183" s="139" t="str">
        <f>VLOOKUP(H3183,Stock_list!A:S,17,FALSE)</f>
        <v>C49SZX20210192SX</v>
      </c>
      <c r="K3183" s="51" t="str">
        <f>VLOOKUP(H3183,Stock_list!A:T,16,FALSE)</f>
        <v>JPY</v>
      </c>
      <c r="L3183" s="4">
        <v>44669</v>
      </c>
      <c r="M3183" s="140">
        <v>100</v>
      </c>
      <c r="P3183" s="4" t="str">
        <f>VLOOKUP(H3183,Stock_list!A:Y,25,FALSE)</f>
        <v>Yes</v>
      </c>
      <c r="Q3183" s="143"/>
      <c r="T3183" s="144"/>
      <c r="U3183" s="145" t="str">
        <f>VLOOKUP(H3183,Stock_list!A:N,14,FALSE)</f>
        <v>APR 22</v>
      </c>
    </row>
    <row r="3184" spans="1:21" ht="16.5" customHeight="1">
      <c r="A3184" s="159" t="s">
        <v>2747</v>
      </c>
      <c r="B3184" s="114" t="str">
        <f>VLOOKUP(A3184,'Data pick slip'!B:F,5,FALSE)</f>
        <v>KHJ-MC200-00</v>
      </c>
      <c r="F3184" s="157" t="s">
        <v>1381</v>
      </c>
      <c r="H3184" s="138">
        <v>1477</v>
      </c>
      <c r="I3184" s="139" t="str">
        <f>VLOOKUP(H3184,Stock_list!A:R,18,FALSE)</f>
        <v>正讯</v>
      </c>
      <c r="J3184" s="139" t="str">
        <f>VLOOKUP(H3184,Stock_list!A:S,17,FALSE)</f>
        <v>C49SZX20210192SX</v>
      </c>
      <c r="K3184" s="51" t="str">
        <f>VLOOKUP(H3184,Stock_list!A:T,16,FALSE)</f>
        <v>JPY</v>
      </c>
      <c r="L3184" s="4">
        <v>44669</v>
      </c>
      <c r="M3184" s="140">
        <v>28</v>
      </c>
      <c r="P3184" s="4" t="str">
        <f>VLOOKUP(H3184,Stock_list!A:Y,25,FALSE)</f>
        <v>Yes</v>
      </c>
      <c r="Q3184" s="143"/>
      <c r="T3184" s="144"/>
      <c r="U3184" s="145" t="str">
        <f>VLOOKUP(H3184,Stock_list!A:N,14,FALSE)</f>
        <v>APR 22</v>
      </c>
    </row>
    <row r="3185" spans="1:21" ht="16.5" customHeight="1">
      <c r="A3185" s="159" t="s">
        <v>2748</v>
      </c>
      <c r="B3185" s="114" t="str">
        <f>VLOOKUP(A3185,'Data pick slip'!B:F,5,FALSE)</f>
        <v>KHJ-MC400-00</v>
      </c>
      <c r="F3185" s="157" t="s">
        <v>1381</v>
      </c>
      <c r="H3185" s="138">
        <v>1477</v>
      </c>
      <c r="I3185" s="139" t="str">
        <f>VLOOKUP(H3185,Stock_list!A:R,18,FALSE)</f>
        <v>正讯</v>
      </c>
      <c r="J3185" s="139" t="str">
        <f>VLOOKUP(H3185,Stock_list!A:S,17,FALSE)</f>
        <v>C49SZX20210192SX</v>
      </c>
      <c r="K3185" s="51" t="str">
        <f>VLOOKUP(H3185,Stock_list!A:T,16,FALSE)</f>
        <v>JPY</v>
      </c>
      <c r="L3185" s="4">
        <v>44669</v>
      </c>
      <c r="M3185" s="140">
        <v>2</v>
      </c>
      <c r="P3185" s="4" t="str">
        <f>VLOOKUP(H3185,Stock_list!A:Y,25,FALSE)</f>
        <v>Yes</v>
      </c>
      <c r="Q3185" s="143"/>
      <c r="T3185" s="144"/>
      <c r="U3185" s="145" t="str">
        <f>VLOOKUP(H3185,Stock_list!A:N,14,FALSE)</f>
        <v>APR 22</v>
      </c>
    </row>
    <row r="3186" spans="1:21" ht="16.5" customHeight="1">
      <c r="A3186" s="159" t="s">
        <v>2768</v>
      </c>
      <c r="B3186" s="114" t="str">
        <f>VLOOKUP(A3186,'Data pick slip'!B:F,5,FALSE)</f>
        <v>KHJ-MC100-00</v>
      </c>
      <c r="F3186" s="157" t="s">
        <v>2753</v>
      </c>
      <c r="I3186" s="139" t="s">
        <v>3099</v>
      </c>
      <c r="J3186" s="267" t="s">
        <v>3476</v>
      </c>
      <c r="K3186" s="51" t="s">
        <v>1246</v>
      </c>
      <c r="L3186" s="4">
        <v>44461</v>
      </c>
      <c r="M3186" s="140">
        <v>20</v>
      </c>
      <c r="P3186" s="4" t="s">
        <v>291</v>
      </c>
      <c r="Q3186" s="143"/>
      <c r="T3186" s="144"/>
      <c r="U3186" s="145" t="e">
        <f>VLOOKUP(H3186,Stock_list!A:N,14,FALSE)</f>
        <v>#N/A</v>
      </c>
    </row>
    <row r="3187" spans="1:21" ht="16.5" customHeight="1">
      <c r="A3187" s="159" t="s">
        <v>2747</v>
      </c>
      <c r="B3187" s="114" t="str">
        <f>VLOOKUP(A3187,'Data pick slip'!B:F,5,FALSE)</f>
        <v>KHJ-MC200-00</v>
      </c>
      <c r="F3187" s="157" t="s">
        <v>2753</v>
      </c>
      <c r="I3187" s="139" t="s">
        <v>3099</v>
      </c>
      <c r="J3187" s="267" t="s">
        <v>3476</v>
      </c>
      <c r="K3187" s="51" t="s">
        <v>1246</v>
      </c>
      <c r="L3187" s="4">
        <v>44461</v>
      </c>
      <c r="M3187" s="140">
        <v>5</v>
      </c>
      <c r="P3187" s="4" t="s">
        <v>291</v>
      </c>
      <c r="Q3187" s="143"/>
      <c r="T3187" s="144"/>
      <c r="U3187" s="145" t="e">
        <f>VLOOKUP(H3187,Stock_list!A:N,14,FALSE)</f>
        <v>#N/A</v>
      </c>
    </row>
    <row r="3188" spans="1:21" ht="16.5" customHeight="1">
      <c r="A3188" s="159" t="s">
        <v>2755</v>
      </c>
      <c r="B3188" s="114" t="str">
        <f>VLOOKUP(A3188,'Data pick slip'!B:F,5,FALSE)</f>
        <v>KLJ-MC100-00</v>
      </c>
      <c r="F3188" s="157" t="s">
        <v>1381</v>
      </c>
      <c r="H3188" s="138">
        <v>1479</v>
      </c>
      <c r="I3188" s="139" t="str">
        <f>VLOOKUP(H3188,Stock_list!A:R,18,FALSE)</f>
        <v>锐诚</v>
      </c>
      <c r="J3188" s="139" t="str">
        <f>VLOOKUP(H3188,Stock_list!A:S,17,FALSE)</f>
        <v>C49SZX20210193SX</v>
      </c>
      <c r="K3188" s="51" t="str">
        <f>VLOOKUP(H3188,Stock_list!A:T,16,FALSE)</f>
        <v>JPY</v>
      </c>
      <c r="L3188" s="4">
        <v>44481</v>
      </c>
      <c r="M3188" s="143">
        <v>20</v>
      </c>
      <c r="P3188" s="4" t="str">
        <f>VLOOKUP(H3188,Stock_list!A:Y,25,FALSE)</f>
        <v>Yes</v>
      </c>
      <c r="T3188" s="144"/>
      <c r="U3188" s="145" t="str">
        <f>VLOOKUP(H3188,Stock_list!A:N,14,FALSE)</f>
        <v>OCT 21</v>
      </c>
    </row>
    <row r="3189" spans="1:21" ht="16.5" customHeight="1">
      <c r="A3189" s="159" t="s">
        <v>2756</v>
      </c>
      <c r="B3189" s="114" t="str">
        <f>VLOOKUP(A3189,'Data pick slip'!B:F,5,FALSE)</f>
        <v>KLJ-MC200-00</v>
      </c>
      <c r="F3189" s="157" t="s">
        <v>1381</v>
      </c>
      <c r="H3189" s="138">
        <v>1479</v>
      </c>
      <c r="I3189" s="139" t="str">
        <f>VLOOKUP(H3189,Stock_list!A:R,18,FALSE)</f>
        <v>锐诚</v>
      </c>
      <c r="J3189" s="139" t="str">
        <f>VLOOKUP(H3189,Stock_list!A:S,17,FALSE)</f>
        <v>C49SZX20210193SX</v>
      </c>
      <c r="K3189" s="51" t="str">
        <f>VLOOKUP(H3189,Stock_list!A:T,16,FALSE)</f>
        <v>JPY</v>
      </c>
      <c r="L3189" s="4">
        <v>44481</v>
      </c>
      <c r="M3189" s="143">
        <v>5</v>
      </c>
      <c r="P3189" s="4" t="str">
        <f>VLOOKUP(H3189,Stock_list!A:Y,25,FALSE)</f>
        <v>Yes</v>
      </c>
      <c r="T3189" s="144"/>
      <c r="U3189" s="145" t="str">
        <f>VLOOKUP(H3189,Stock_list!A:N,14,FALSE)</f>
        <v>OCT 21</v>
      </c>
    </row>
    <row r="3190" spans="1:21" ht="16.5" customHeight="1">
      <c r="A3190" s="159" t="s">
        <v>2758</v>
      </c>
      <c r="B3190" s="114" t="str">
        <f>VLOOKUP(A3190,'Data pick slip'!B:F,5,FALSE)</f>
        <v>KLJ-MC500-00</v>
      </c>
      <c r="F3190" s="157" t="s">
        <v>1381</v>
      </c>
      <c r="H3190" s="138">
        <v>1479</v>
      </c>
      <c r="I3190" s="139" t="str">
        <f>VLOOKUP(H3190,Stock_list!A:R,18,FALSE)</f>
        <v>锐诚</v>
      </c>
      <c r="J3190" s="139" t="str">
        <f>VLOOKUP(H3190,Stock_list!A:S,17,FALSE)</f>
        <v>C49SZX20210193SX</v>
      </c>
      <c r="K3190" s="51" t="str">
        <f>VLOOKUP(H3190,Stock_list!A:T,16,FALSE)</f>
        <v>JPY</v>
      </c>
      <c r="L3190" s="4">
        <v>44481</v>
      </c>
      <c r="M3190" s="143">
        <v>1</v>
      </c>
      <c r="P3190" s="4" t="str">
        <f>VLOOKUP(H3190,Stock_list!A:Y,25,FALSE)</f>
        <v>Yes</v>
      </c>
      <c r="T3190" s="144"/>
      <c r="U3190" s="145" t="str">
        <f>VLOOKUP(H3190,Stock_list!A:N,14,FALSE)</f>
        <v>OCT 21</v>
      </c>
    </row>
    <row r="3191" spans="1:21" ht="16.5" customHeight="1">
      <c r="A3191" s="159" t="s">
        <v>2768</v>
      </c>
      <c r="B3191" s="114" t="str">
        <f>VLOOKUP(A3191,'Data pick slip'!B:F,5,FALSE)</f>
        <v>KHJ-MC100-00</v>
      </c>
      <c r="F3191" s="157" t="s">
        <v>2753</v>
      </c>
      <c r="I3191" s="139" t="s">
        <v>3099</v>
      </c>
      <c r="J3191" s="267" t="s">
        <v>3477</v>
      </c>
      <c r="K3191" s="51" t="s">
        <v>1246</v>
      </c>
      <c r="L3191" s="4">
        <v>44461</v>
      </c>
      <c r="M3191" s="140">
        <v>30</v>
      </c>
      <c r="P3191" s="4" t="s">
        <v>291</v>
      </c>
      <c r="Q3191" s="143"/>
      <c r="T3191" s="144"/>
      <c r="U3191" s="145" t="e">
        <f>VLOOKUP(H3191,Stock_list!A:N,14,FALSE)</f>
        <v>#N/A</v>
      </c>
    </row>
    <row r="3192" spans="1:21" ht="16.5" customHeight="1">
      <c r="A3192" s="159" t="s">
        <v>2768</v>
      </c>
      <c r="B3192" s="114" t="str">
        <f>VLOOKUP(A3192,'Data pick slip'!B:F,5,FALSE)</f>
        <v>KHJ-MC100-00</v>
      </c>
      <c r="F3192" s="157" t="s">
        <v>1381</v>
      </c>
      <c r="H3192" s="138">
        <v>1480</v>
      </c>
      <c r="I3192" s="139" t="str">
        <f>VLOOKUP(H3192,Stock_list!A:R,18,FALSE)</f>
        <v>宇翔</v>
      </c>
      <c r="J3192" s="139" t="str">
        <f>VLOOKUP(H3192,Stock_list!A:S,17,FALSE)</f>
        <v>C49SZX20220082MX</v>
      </c>
      <c r="K3192" s="51" t="str">
        <f>VLOOKUP(H3192,Stock_list!A:T,16,FALSE)</f>
        <v>JPY</v>
      </c>
      <c r="L3192" s="4"/>
      <c r="N3192" s="143">
        <v>60</v>
      </c>
      <c r="P3192" s="4" t="str">
        <f>VLOOKUP(H3192,Stock_list!A:Y,25,FALSE)</f>
        <v>Yes</v>
      </c>
      <c r="T3192" s="144"/>
      <c r="U3192" s="145" t="str">
        <f>VLOOKUP(H3192,Stock_list!A:N,14,FALSE)</f>
        <v>MAY 23</v>
      </c>
    </row>
    <row r="3193" spans="1:21" ht="16.5" customHeight="1">
      <c r="A3193" s="159" t="s">
        <v>2747</v>
      </c>
      <c r="B3193" s="114" t="str">
        <f>VLOOKUP(A3193,'Data pick slip'!B:F,5,FALSE)</f>
        <v>KHJ-MC200-00</v>
      </c>
      <c r="F3193" s="157" t="s">
        <v>1381</v>
      </c>
      <c r="H3193" s="138">
        <v>1480</v>
      </c>
      <c r="I3193" s="139" t="str">
        <f>VLOOKUP(H3193,Stock_list!A:R,18,FALSE)</f>
        <v>宇翔</v>
      </c>
      <c r="J3193" s="139" t="str">
        <f>VLOOKUP(H3193,Stock_list!A:S,17,FALSE)</f>
        <v>C49SZX20220082MX</v>
      </c>
      <c r="K3193" s="51" t="str">
        <f>VLOOKUP(H3193,Stock_list!A:T,16,FALSE)</f>
        <v>JPY</v>
      </c>
      <c r="L3193" s="4"/>
      <c r="N3193" s="143">
        <v>11</v>
      </c>
      <c r="P3193" s="4" t="str">
        <f>VLOOKUP(H3193,Stock_list!A:Y,25,FALSE)</f>
        <v>Yes</v>
      </c>
      <c r="T3193" s="144"/>
      <c r="U3193" s="145" t="str">
        <f>VLOOKUP(H3193,Stock_list!A:N,14,FALSE)</f>
        <v>MAY 23</v>
      </c>
    </row>
    <row r="3194" spans="1:21" ht="16.5" customHeight="1">
      <c r="A3194" s="159" t="s">
        <v>2748</v>
      </c>
      <c r="B3194" s="114" t="str">
        <f>VLOOKUP(A3194,'Data pick slip'!B:F,5,FALSE)</f>
        <v>KHJ-MC400-00</v>
      </c>
      <c r="F3194" s="157" t="s">
        <v>1381</v>
      </c>
      <c r="H3194" s="138">
        <v>1480</v>
      </c>
      <c r="I3194" s="139" t="str">
        <f>VLOOKUP(H3194,Stock_list!A:R,18,FALSE)</f>
        <v>宇翔</v>
      </c>
      <c r="J3194" s="139" t="str">
        <f>VLOOKUP(H3194,Stock_list!A:S,17,FALSE)</f>
        <v>C49SZX20220082MX</v>
      </c>
      <c r="K3194" s="51" t="str">
        <f>VLOOKUP(H3194,Stock_list!A:T,16,FALSE)</f>
        <v>JPY</v>
      </c>
      <c r="L3194" s="4"/>
      <c r="N3194" s="143">
        <v>4</v>
      </c>
      <c r="P3194" s="4" t="str">
        <f>VLOOKUP(H3194,Stock_list!A:Y,25,FALSE)</f>
        <v>Yes</v>
      </c>
      <c r="T3194" s="144"/>
      <c r="U3194" s="145" t="str">
        <f>VLOOKUP(H3194,Stock_list!A:N,14,FALSE)</f>
        <v>MAY 23</v>
      </c>
    </row>
    <row r="3195" spans="1:21" ht="16.5" customHeight="1">
      <c r="A3195" s="159" t="s">
        <v>2749</v>
      </c>
      <c r="B3195" s="114" t="str">
        <f>VLOOKUP(A3195,'Data pick slip'!B:F,5,FALSE)</f>
        <v>KHJ-MC500-00</v>
      </c>
      <c r="F3195" s="157" t="s">
        <v>1381</v>
      </c>
      <c r="H3195" s="138">
        <v>1480</v>
      </c>
      <c r="I3195" s="139" t="str">
        <f>VLOOKUP(H3195,Stock_list!A:R,18,FALSE)</f>
        <v>宇翔</v>
      </c>
      <c r="J3195" s="139" t="str">
        <f>VLOOKUP(H3195,Stock_list!A:S,17,FALSE)</f>
        <v>C49SZX20220082MX</v>
      </c>
      <c r="K3195" s="51" t="str">
        <f>VLOOKUP(H3195,Stock_list!A:T,16,FALSE)</f>
        <v>JPY</v>
      </c>
      <c r="L3195" s="4"/>
      <c r="N3195" s="143">
        <v>1</v>
      </c>
      <c r="P3195" s="4" t="str">
        <f>VLOOKUP(H3195,Stock_list!A:Y,25,FALSE)</f>
        <v>Yes</v>
      </c>
      <c r="T3195" s="144"/>
      <c r="U3195" s="145" t="str">
        <f>VLOOKUP(H3195,Stock_list!A:N,14,FALSE)</f>
        <v>MAY 23</v>
      </c>
    </row>
    <row r="3196" spans="1:21" ht="16.5" customHeight="1">
      <c r="A3196" s="159" t="s">
        <v>2768</v>
      </c>
      <c r="B3196" s="114" t="str">
        <f>VLOOKUP(A3196,'Data pick slip'!B:F,5,FALSE)</f>
        <v>KHJ-MC100-00</v>
      </c>
      <c r="F3196" s="157" t="s">
        <v>2753</v>
      </c>
      <c r="H3196" s="138">
        <v>1482</v>
      </c>
      <c r="I3196" s="139" t="str">
        <f>VLOOKUP(H3196,Stock_list!A:R,18,FALSE)</f>
        <v>派诺</v>
      </c>
      <c r="J3196" s="139" t="str">
        <f>VLOOKUP(H3196,Stock_list!A:S,17,FALSE)</f>
        <v>C49SZX20210196MZ</v>
      </c>
      <c r="K3196" s="51" t="str">
        <f>VLOOKUP(H3196,Stock_list!A:T,16,FALSE)</f>
        <v>RMB</v>
      </c>
      <c r="L3196" s="4">
        <v>44608</v>
      </c>
      <c r="M3196" s="140">
        <v>8</v>
      </c>
      <c r="N3196" s="143"/>
      <c r="P3196" s="4" t="str">
        <f>VLOOKUP(H3196,Stock_list!A:Y,25,FALSE)</f>
        <v>Yes</v>
      </c>
      <c r="T3196" s="144"/>
      <c r="U3196" s="145" t="str">
        <f>VLOOKUP(H3196,Stock_list!A:N,14,FALSE)</f>
        <v>FEB 22</v>
      </c>
    </row>
    <row r="3197" spans="1:21" ht="16.5" customHeight="1">
      <c r="A3197" s="159" t="s">
        <v>2750</v>
      </c>
      <c r="B3197" s="114" t="str">
        <f>VLOOKUP(A3197,'Data pick slip'!B:F,5,FALSE)</f>
        <v>KHJ-MC600-00</v>
      </c>
      <c r="F3197" s="157" t="s">
        <v>2753</v>
      </c>
      <c r="H3197" s="138">
        <v>1482</v>
      </c>
      <c r="I3197" s="139" t="str">
        <f>VLOOKUP(H3197,Stock_list!A:R,18,FALSE)</f>
        <v>派诺</v>
      </c>
      <c r="J3197" s="139" t="str">
        <f>VLOOKUP(H3197,Stock_list!A:S,17,FALSE)</f>
        <v>C49SZX20210196MZ</v>
      </c>
      <c r="K3197" s="51" t="str">
        <f>VLOOKUP(H3197,Stock_list!A:T,16,FALSE)</f>
        <v>RMB</v>
      </c>
      <c r="L3197" s="4">
        <v>44608</v>
      </c>
      <c r="M3197" s="140">
        <v>1</v>
      </c>
      <c r="N3197" s="143"/>
      <c r="P3197" s="4" t="str">
        <f>VLOOKUP(H3197,Stock_list!A:Y,25,FALSE)</f>
        <v>Yes</v>
      </c>
      <c r="T3197" s="144"/>
      <c r="U3197" s="145" t="str">
        <f>VLOOKUP(H3197,Stock_list!A:N,14,FALSE)</f>
        <v>FEB 22</v>
      </c>
    </row>
    <row r="3198" spans="1:21" ht="16.5" customHeight="1">
      <c r="A3198" s="159" t="s">
        <v>2768</v>
      </c>
      <c r="B3198" s="114" t="str">
        <f>VLOOKUP(A3198,'Data pick slip'!B:F,5,FALSE)</f>
        <v>KHJ-MC100-00</v>
      </c>
      <c r="F3198" s="157" t="s">
        <v>2753</v>
      </c>
      <c r="H3198" s="138">
        <v>1482</v>
      </c>
      <c r="I3198" s="139" t="str">
        <f>VLOOKUP(H3198,Stock_list!A:R,18,FALSE)</f>
        <v>派诺</v>
      </c>
      <c r="J3198" s="139" t="str">
        <f>VLOOKUP(H3198,Stock_list!A:S,17,FALSE)</f>
        <v>C49SZX20210196MZ</v>
      </c>
      <c r="K3198" s="51" t="str">
        <f>VLOOKUP(H3198,Stock_list!A:T,16,FALSE)</f>
        <v>RMB</v>
      </c>
      <c r="L3198" s="4">
        <v>44477</v>
      </c>
      <c r="M3198" s="140">
        <v>10</v>
      </c>
      <c r="N3198" s="143"/>
      <c r="P3198" s="4" t="str">
        <f>VLOOKUP(H3198,Stock_list!A:Y,25,FALSE)</f>
        <v>Yes</v>
      </c>
      <c r="T3198" s="144"/>
      <c r="U3198" s="145" t="str">
        <f>VLOOKUP(H3198,Stock_list!A:N,14,FALSE)</f>
        <v>FEB 22</v>
      </c>
    </row>
    <row r="3199" spans="1:21" ht="16.5" customHeight="1">
      <c r="A3199" s="159" t="s">
        <v>2747</v>
      </c>
      <c r="B3199" s="114" t="str">
        <f>VLOOKUP(A3199,'Data pick slip'!B:F,5,FALSE)</f>
        <v>KHJ-MC200-00</v>
      </c>
      <c r="F3199" s="157" t="s">
        <v>2753</v>
      </c>
      <c r="H3199" s="138">
        <v>1482</v>
      </c>
      <c r="I3199" s="139" t="str">
        <f>VLOOKUP(H3199,Stock_list!A:R,18,FALSE)</f>
        <v>派诺</v>
      </c>
      <c r="J3199" s="139" t="str">
        <f>VLOOKUP(H3199,Stock_list!A:S,17,FALSE)</f>
        <v>C49SZX20210196MZ</v>
      </c>
      <c r="K3199" s="51" t="str">
        <f>VLOOKUP(H3199,Stock_list!A:T,16,FALSE)</f>
        <v>RMB</v>
      </c>
      <c r="L3199" s="4">
        <v>44477</v>
      </c>
      <c r="M3199" s="140">
        <v>20</v>
      </c>
      <c r="N3199" s="143"/>
      <c r="P3199" s="4" t="str">
        <f>VLOOKUP(H3199,Stock_list!A:Y,25,FALSE)</f>
        <v>Yes</v>
      </c>
      <c r="T3199" s="144"/>
      <c r="U3199" s="145" t="str">
        <f>VLOOKUP(H3199,Stock_list!A:N,14,FALSE)</f>
        <v>FEB 22</v>
      </c>
    </row>
    <row r="3200" spans="1:21" ht="16.5" customHeight="1">
      <c r="A3200" s="159" t="s">
        <v>2768</v>
      </c>
      <c r="B3200" s="114" t="str">
        <f>VLOOKUP(A3200,'Data pick slip'!B:F,5,FALSE)</f>
        <v>KHJ-MC100-00</v>
      </c>
      <c r="F3200" s="157" t="s">
        <v>1381</v>
      </c>
      <c r="H3200" s="138">
        <v>1483</v>
      </c>
      <c r="I3200" s="139" t="str">
        <f>VLOOKUP(H3200,Stock_list!A:R,18,FALSE)</f>
        <v>汇海通达</v>
      </c>
      <c r="J3200" s="139" t="str">
        <f>VLOOKUP(H3200,Stock_list!A:S,17,FALSE)</f>
        <v>C49SZX20210198DZ</v>
      </c>
      <c r="K3200" s="51" t="str">
        <f>VLOOKUP(H3200,Stock_list!A:T,16,FALSE)</f>
        <v>JPY</v>
      </c>
      <c r="L3200" s="4">
        <v>44732</v>
      </c>
      <c r="M3200" s="140">
        <v>5</v>
      </c>
      <c r="P3200" s="4" t="str">
        <f>VLOOKUP(H3200,Stock_list!A:Y,25,FALSE)</f>
        <v>Yes</v>
      </c>
      <c r="Q3200" s="143"/>
      <c r="T3200" s="144"/>
      <c r="U3200" s="145" t="str">
        <f>VLOOKUP(H3200,Stock_list!A:N,14,FALSE)</f>
        <v>JUN 22</v>
      </c>
    </row>
    <row r="3201" spans="1:21" ht="16.5" customHeight="1">
      <c r="A3201" s="159" t="s">
        <v>2747</v>
      </c>
      <c r="B3201" s="114" t="str">
        <f>VLOOKUP(A3201,'Data pick slip'!B:F,5,FALSE)</f>
        <v>KHJ-MC200-00</v>
      </c>
      <c r="F3201" s="157" t="s">
        <v>1381</v>
      </c>
      <c r="H3201" s="138">
        <v>1483</v>
      </c>
      <c r="I3201" s="139" t="str">
        <f>VLOOKUP(H3201,Stock_list!A:R,18,FALSE)</f>
        <v>汇海通达</v>
      </c>
      <c r="J3201" s="139" t="str">
        <f>VLOOKUP(H3201,Stock_list!A:S,17,FALSE)</f>
        <v>C49SZX20210198DZ</v>
      </c>
      <c r="K3201" s="51" t="str">
        <f>VLOOKUP(H3201,Stock_list!A:T,16,FALSE)</f>
        <v>JPY</v>
      </c>
      <c r="L3201" s="4">
        <v>44732</v>
      </c>
      <c r="M3201" s="140">
        <v>2</v>
      </c>
      <c r="P3201" s="4" t="str">
        <f>VLOOKUP(H3201,Stock_list!A:Y,25,FALSE)</f>
        <v>Yes</v>
      </c>
      <c r="Q3201" s="143"/>
      <c r="T3201" s="144"/>
      <c r="U3201" s="145" t="str">
        <f>VLOOKUP(H3201,Stock_list!A:N,14,FALSE)</f>
        <v>JUN 22</v>
      </c>
    </row>
    <row r="3202" spans="1:21" ht="16.5" customHeight="1">
      <c r="A3202" s="159" t="s">
        <v>2751</v>
      </c>
      <c r="B3202" s="114" t="str">
        <f>VLOOKUP(A3202,'Data pick slip'!B:F,5,FALSE)</f>
        <v>KHJ-MC700-00</v>
      </c>
      <c r="F3202" s="157" t="s">
        <v>2753</v>
      </c>
      <c r="I3202" s="139" t="s">
        <v>3093</v>
      </c>
      <c r="J3202" s="270" t="s">
        <v>3478</v>
      </c>
      <c r="K3202" s="51" t="s">
        <v>1246</v>
      </c>
      <c r="L3202" s="4">
        <v>44487</v>
      </c>
      <c r="M3202" s="140">
        <v>2</v>
      </c>
      <c r="P3202" s="4" t="s">
        <v>291</v>
      </c>
      <c r="Q3202" s="143"/>
      <c r="T3202" s="144"/>
      <c r="U3202" s="145" t="e">
        <f>VLOOKUP(H3202,Stock_list!A:N,14,FALSE)</f>
        <v>#N/A</v>
      </c>
    </row>
    <row r="3203" spans="1:21" ht="16.5" customHeight="1">
      <c r="A3203" s="159" t="s">
        <v>2768</v>
      </c>
      <c r="B3203" s="114" t="str">
        <f>VLOOKUP(A3203,'Data pick slip'!B:F,5,FALSE)</f>
        <v>KHJ-MC100-00</v>
      </c>
      <c r="F3203" s="157" t="s">
        <v>2753</v>
      </c>
      <c r="H3203" s="138">
        <v>1484</v>
      </c>
      <c r="I3203" s="139" t="str">
        <f>VLOOKUP(H3203,Stock_list!A:R,18,FALSE)</f>
        <v>高华（End user:龙高）</v>
      </c>
      <c r="J3203" s="139" t="str">
        <f>VLOOKUP(H3203,Stock_list!A:S,17,FALSE)</f>
        <v>C49SZX20210197JY</v>
      </c>
      <c r="K3203" s="51" t="str">
        <f>VLOOKUP(H3203,Stock_list!A:T,16,FALSE)</f>
        <v>RMB</v>
      </c>
      <c r="L3203" s="4">
        <v>44629</v>
      </c>
      <c r="M3203" s="132">
        <v>10</v>
      </c>
      <c r="P3203" s="4" t="str">
        <f>VLOOKUP(H3203,Stock_list!A:Y,25,FALSE)</f>
        <v>Yes</v>
      </c>
      <c r="Q3203" s="143"/>
      <c r="T3203" s="144"/>
      <c r="U3203" s="145" t="str">
        <f>VLOOKUP(H3203,Stock_list!A:N,14,FALSE)</f>
        <v>MAR 22</v>
      </c>
    </row>
    <row r="3204" spans="1:21" ht="16.5" customHeight="1">
      <c r="A3204" s="159" t="s">
        <v>2747</v>
      </c>
      <c r="B3204" s="114" t="str">
        <f>VLOOKUP(A3204,'Data pick slip'!B:F,5,FALSE)</f>
        <v>KHJ-MC200-00</v>
      </c>
      <c r="F3204" s="157" t="s">
        <v>2753</v>
      </c>
      <c r="H3204" s="138">
        <v>1484</v>
      </c>
      <c r="I3204" s="139" t="str">
        <f>VLOOKUP(H3204,Stock_list!A:R,18,FALSE)</f>
        <v>高华（End user:龙高）</v>
      </c>
      <c r="J3204" s="139" t="str">
        <f>VLOOKUP(H3204,Stock_list!A:S,17,FALSE)</f>
        <v>C49SZX20210197JY</v>
      </c>
      <c r="K3204" s="51" t="str">
        <f>VLOOKUP(H3204,Stock_list!A:T,16,FALSE)</f>
        <v>RMB</v>
      </c>
      <c r="L3204" s="4">
        <v>44629</v>
      </c>
      <c r="M3204" s="132">
        <v>3</v>
      </c>
      <c r="P3204" s="4" t="str">
        <f>VLOOKUP(H3204,Stock_list!A:Y,25,FALSE)</f>
        <v>Yes</v>
      </c>
      <c r="Q3204" s="143"/>
      <c r="T3204" s="144"/>
      <c r="U3204" s="145" t="str">
        <f>VLOOKUP(H3204,Stock_list!A:N,14,FALSE)</f>
        <v>MAR 22</v>
      </c>
    </row>
    <row r="3205" spans="1:21" ht="16.5" customHeight="1">
      <c r="A3205" s="159" t="s">
        <v>2748</v>
      </c>
      <c r="B3205" s="114" t="str">
        <f>VLOOKUP(A3205,'Data pick slip'!B:F,5,FALSE)</f>
        <v>KHJ-MC400-00</v>
      </c>
      <c r="F3205" s="157" t="s">
        <v>2753</v>
      </c>
      <c r="H3205" s="138">
        <v>1484</v>
      </c>
      <c r="I3205" s="139" t="str">
        <f>VLOOKUP(H3205,Stock_list!A:R,18,FALSE)</f>
        <v>高华（End user:龙高）</v>
      </c>
      <c r="J3205" s="139" t="str">
        <f>VLOOKUP(H3205,Stock_list!A:S,17,FALSE)</f>
        <v>C49SZX20210197JY</v>
      </c>
      <c r="K3205" s="51" t="str">
        <f>VLOOKUP(H3205,Stock_list!A:T,16,FALSE)</f>
        <v>RMB</v>
      </c>
      <c r="L3205" s="4">
        <v>44629</v>
      </c>
      <c r="M3205" s="132">
        <v>1</v>
      </c>
      <c r="P3205" s="4" t="str">
        <f>VLOOKUP(H3205,Stock_list!A:Y,25,FALSE)</f>
        <v>Yes</v>
      </c>
      <c r="Q3205" s="143"/>
      <c r="T3205" s="144"/>
      <c r="U3205" s="145" t="str">
        <f>VLOOKUP(H3205,Stock_list!A:N,14,FALSE)</f>
        <v>MAR 22</v>
      </c>
    </row>
    <row r="3206" spans="1:21" ht="16.5" customHeight="1">
      <c r="A3206" s="159" t="s">
        <v>2749</v>
      </c>
      <c r="B3206" s="114" t="str">
        <f>VLOOKUP(A3206,'Data pick slip'!B:F,5,FALSE)</f>
        <v>KHJ-MC500-00</v>
      </c>
      <c r="F3206" s="157" t="s">
        <v>2753</v>
      </c>
      <c r="H3206" s="138">
        <v>1484</v>
      </c>
      <c r="I3206" s="139" t="str">
        <f>VLOOKUP(H3206,Stock_list!A:R,18,FALSE)</f>
        <v>高华（End user:龙高）</v>
      </c>
      <c r="J3206" s="139" t="str">
        <f>VLOOKUP(H3206,Stock_list!A:S,17,FALSE)</f>
        <v>C49SZX20210197JY</v>
      </c>
      <c r="K3206" s="51" t="str">
        <f>VLOOKUP(H3206,Stock_list!A:T,16,FALSE)</f>
        <v>RMB</v>
      </c>
      <c r="L3206" s="4">
        <v>44629</v>
      </c>
      <c r="M3206" s="132">
        <v>1</v>
      </c>
      <c r="P3206" s="4" t="str">
        <f>VLOOKUP(H3206,Stock_list!A:Y,25,FALSE)</f>
        <v>Yes</v>
      </c>
      <c r="Q3206" s="143"/>
      <c r="T3206" s="144"/>
      <c r="U3206" s="145" t="str">
        <f>VLOOKUP(H3206,Stock_list!A:N,14,FALSE)</f>
        <v>MAR 22</v>
      </c>
    </row>
    <row r="3207" spans="1:21" ht="16.5" customHeight="1">
      <c r="A3207" s="159" t="s">
        <v>2768</v>
      </c>
      <c r="B3207" s="114" t="str">
        <f>VLOOKUP(A3207,'Data pick slip'!B:F,5,FALSE)</f>
        <v>KHJ-MC100-00</v>
      </c>
      <c r="F3207" s="157" t="s">
        <v>1381</v>
      </c>
      <c r="H3207" s="138">
        <v>1485</v>
      </c>
      <c r="I3207" s="139" t="str">
        <f>VLOOKUP(H3207,Stock_list!A:R,18,FALSE)</f>
        <v>力通威</v>
      </c>
      <c r="J3207" s="139" t="str">
        <f>VLOOKUP(H3207,Stock_list!A:S,17,FALSE)</f>
        <v>C49SZX20210195JL</v>
      </c>
      <c r="K3207" s="51" t="str">
        <f>VLOOKUP(H3207,Stock_list!A:T,16,FALSE)</f>
        <v>JPY</v>
      </c>
      <c r="L3207" s="4">
        <v>44501</v>
      </c>
      <c r="M3207" s="143">
        <v>24</v>
      </c>
      <c r="P3207" s="4" t="str">
        <f>VLOOKUP(H3207,Stock_list!A:Y,25,FALSE)</f>
        <v>Yes</v>
      </c>
      <c r="Q3207" s="143"/>
      <c r="T3207" s="144"/>
      <c r="U3207" s="145" t="str">
        <f>VLOOKUP(H3207,Stock_list!A:N,14,FALSE)</f>
        <v>NOV 21</v>
      </c>
    </row>
    <row r="3208" spans="1:21" ht="16.5" customHeight="1">
      <c r="A3208" s="159" t="s">
        <v>2747</v>
      </c>
      <c r="B3208" s="114" t="str">
        <f>VLOOKUP(A3208,'Data pick slip'!B:F,5,FALSE)</f>
        <v>KHJ-MC200-00</v>
      </c>
      <c r="F3208" s="157" t="s">
        <v>1381</v>
      </c>
      <c r="H3208" s="138">
        <v>1485</v>
      </c>
      <c r="I3208" s="139" t="str">
        <f>VLOOKUP(H3208,Stock_list!A:R,18,FALSE)</f>
        <v>力通威</v>
      </c>
      <c r="J3208" s="139" t="str">
        <f>VLOOKUP(H3208,Stock_list!A:S,17,FALSE)</f>
        <v>C49SZX20210195JL</v>
      </c>
      <c r="K3208" s="51" t="str">
        <f>VLOOKUP(H3208,Stock_list!A:T,16,FALSE)</f>
        <v>JPY</v>
      </c>
      <c r="L3208" s="4">
        <v>44501</v>
      </c>
      <c r="M3208" s="143">
        <v>10</v>
      </c>
      <c r="P3208" s="4" t="str">
        <f>VLOOKUP(H3208,Stock_list!A:Y,25,FALSE)</f>
        <v>Yes</v>
      </c>
      <c r="Q3208" s="143"/>
      <c r="T3208" s="144"/>
      <c r="U3208" s="145" t="str">
        <f>VLOOKUP(H3208,Stock_list!A:N,14,FALSE)</f>
        <v>NOV 21</v>
      </c>
    </row>
    <row r="3209" spans="1:21" ht="16.5" customHeight="1">
      <c r="A3209" s="159" t="s">
        <v>2768</v>
      </c>
      <c r="B3209" s="114" t="str">
        <f>VLOOKUP(A3209,'Data pick slip'!B:F,5,FALSE)</f>
        <v>KHJ-MC100-00</v>
      </c>
      <c r="F3209" s="157" t="s">
        <v>1381</v>
      </c>
      <c r="H3209" s="138">
        <v>1486</v>
      </c>
      <c r="I3209" s="139" t="str">
        <f>VLOOKUP(H3209,Stock_list!A:R,18,FALSE)</f>
        <v>恒磊</v>
      </c>
      <c r="J3209" s="139" t="str">
        <f>VLOOKUP(H3209,Stock_list!A:S,17,FALSE)</f>
        <v>C49SZX20210180SX</v>
      </c>
      <c r="K3209" s="51" t="str">
        <f>VLOOKUP(H3209,Stock_list!A:T,16,FALSE)</f>
        <v>JPY</v>
      </c>
      <c r="L3209" s="4">
        <v>44670</v>
      </c>
      <c r="M3209" s="140">
        <v>40</v>
      </c>
      <c r="P3209" s="4" t="str">
        <f>VLOOKUP(H3209,Stock_list!A:Y,25,FALSE)</f>
        <v>Yes</v>
      </c>
      <c r="Q3209" s="143"/>
      <c r="T3209" s="144"/>
      <c r="U3209" s="145" t="str">
        <f>VLOOKUP(H3209,Stock_list!A:N,14,FALSE)</f>
        <v>APR 22</v>
      </c>
    </row>
    <row r="3210" spans="1:21" ht="16.5" customHeight="1">
      <c r="A3210" s="159" t="s">
        <v>2768</v>
      </c>
      <c r="B3210" s="114" t="str">
        <f>VLOOKUP(A3210,'Data pick slip'!B:F,5,FALSE)</f>
        <v>KHJ-MC100-00</v>
      </c>
      <c r="F3210" s="157" t="s">
        <v>1381</v>
      </c>
      <c r="H3210" s="138">
        <v>1487</v>
      </c>
      <c r="I3210" s="139" t="str">
        <f>VLOOKUP(H3210,Stock_list!A:R,18,FALSE)</f>
        <v>英拓邦（End user:深圳傲尔）</v>
      </c>
      <c r="J3210" s="139" t="str">
        <f>VLOOKUP(H3210,Stock_list!A:S,17,FALSE)</f>
        <v>C49SZX20210200JY</v>
      </c>
      <c r="K3210" s="51" t="str">
        <f>VLOOKUP(H3210,Stock_list!A:T,16,FALSE)</f>
        <v>JPY</v>
      </c>
      <c r="L3210" s="4">
        <v>44663</v>
      </c>
      <c r="M3210" s="140">
        <v>166</v>
      </c>
      <c r="P3210" s="4" t="str">
        <f>VLOOKUP(H3210,Stock_list!A:Y,25,FALSE)</f>
        <v>Yes</v>
      </c>
      <c r="Q3210" s="143"/>
      <c r="T3210" s="144"/>
      <c r="U3210" s="145" t="str">
        <f>VLOOKUP(H3210,Stock_list!A:N,14,FALSE)</f>
        <v>MAR 22</v>
      </c>
    </row>
    <row r="3211" spans="1:21" ht="16.5" customHeight="1">
      <c r="A3211" s="159" t="s">
        <v>2747</v>
      </c>
      <c r="B3211" s="114" t="str">
        <f>VLOOKUP(A3211,'Data pick slip'!B:F,5,FALSE)</f>
        <v>KHJ-MC200-00</v>
      </c>
      <c r="F3211" s="157" t="s">
        <v>1381</v>
      </c>
      <c r="H3211" s="138">
        <v>1487</v>
      </c>
      <c r="I3211" s="139" t="str">
        <f>VLOOKUP(H3211,Stock_list!A:R,18,FALSE)</f>
        <v>英拓邦（End user:深圳傲尔）</v>
      </c>
      <c r="J3211" s="139" t="str">
        <f>VLOOKUP(H3211,Stock_list!A:S,17,FALSE)</f>
        <v>C49SZX20210200JY</v>
      </c>
      <c r="K3211" s="51" t="str">
        <f>VLOOKUP(H3211,Stock_list!A:T,16,FALSE)</f>
        <v>JPY</v>
      </c>
      <c r="L3211" s="4">
        <v>44663</v>
      </c>
      <c r="M3211" s="140">
        <v>27</v>
      </c>
      <c r="P3211" s="4" t="str">
        <f>VLOOKUP(H3211,Stock_list!A:Y,25,FALSE)</f>
        <v>Yes</v>
      </c>
      <c r="Q3211" s="143"/>
      <c r="T3211" s="144"/>
      <c r="U3211" s="145" t="str">
        <f>VLOOKUP(H3211,Stock_list!A:N,14,FALSE)</f>
        <v>MAR 22</v>
      </c>
    </row>
    <row r="3212" spans="1:21" ht="16.5" customHeight="1">
      <c r="A3212" s="159" t="s">
        <v>2748</v>
      </c>
      <c r="B3212" s="114" t="str">
        <f>VLOOKUP(A3212,'Data pick slip'!B:F,5,FALSE)</f>
        <v>KHJ-MC400-00</v>
      </c>
      <c r="F3212" s="157" t="s">
        <v>1381</v>
      </c>
      <c r="H3212" s="138">
        <v>1487</v>
      </c>
      <c r="I3212" s="139" t="str">
        <f>VLOOKUP(H3212,Stock_list!A:R,18,FALSE)</f>
        <v>英拓邦（End user:深圳傲尔）</v>
      </c>
      <c r="J3212" s="139" t="str">
        <f>VLOOKUP(H3212,Stock_list!A:S,17,FALSE)</f>
        <v>C49SZX20210200JY</v>
      </c>
      <c r="K3212" s="51" t="str">
        <f>VLOOKUP(H3212,Stock_list!A:T,16,FALSE)</f>
        <v>JPY</v>
      </c>
      <c r="L3212" s="4">
        <v>44663</v>
      </c>
      <c r="M3212" s="140">
        <v>4</v>
      </c>
      <c r="P3212" s="4" t="str">
        <f>VLOOKUP(H3212,Stock_list!A:Y,25,FALSE)</f>
        <v>Yes</v>
      </c>
      <c r="Q3212" s="143"/>
      <c r="T3212" s="144"/>
      <c r="U3212" s="145" t="str">
        <f>VLOOKUP(H3212,Stock_list!A:N,14,FALSE)</f>
        <v>MAR 22</v>
      </c>
    </row>
    <row r="3213" spans="1:21" ht="16.5" customHeight="1">
      <c r="A3213" s="159" t="s">
        <v>2749</v>
      </c>
      <c r="B3213" s="114" t="str">
        <f>VLOOKUP(A3213,'Data pick slip'!B:F,5,FALSE)</f>
        <v>KHJ-MC500-00</v>
      </c>
      <c r="F3213" s="157" t="s">
        <v>1381</v>
      </c>
      <c r="H3213" s="138">
        <v>1487</v>
      </c>
      <c r="I3213" s="139" t="str">
        <f>VLOOKUP(H3213,Stock_list!A:R,18,FALSE)</f>
        <v>英拓邦（End user:深圳傲尔）</v>
      </c>
      <c r="J3213" s="139" t="str">
        <f>VLOOKUP(H3213,Stock_list!A:S,17,FALSE)</f>
        <v>C49SZX20210200JY</v>
      </c>
      <c r="K3213" s="51" t="str">
        <f>VLOOKUP(H3213,Stock_list!A:T,16,FALSE)</f>
        <v>JPY</v>
      </c>
      <c r="L3213" s="4">
        <v>44663</v>
      </c>
      <c r="M3213" s="140">
        <v>2</v>
      </c>
      <c r="P3213" s="4" t="str">
        <f>VLOOKUP(H3213,Stock_list!A:Y,25,FALSE)</f>
        <v>Yes</v>
      </c>
      <c r="Q3213" s="143"/>
      <c r="T3213" s="144"/>
      <c r="U3213" s="145" t="str">
        <f>VLOOKUP(H3213,Stock_list!A:N,14,FALSE)</f>
        <v>MAR 22</v>
      </c>
    </row>
    <row r="3214" spans="1:21" ht="16.5" customHeight="1">
      <c r="A3214" s="159" t="s">
        <v>2750</v>
      </c>
      <c r="B3214" s="114" t="str">
        <f>VLOOKUP(A3214,'Data pick slip'!B:F,5,FALSE)</f>
        <v>KHJ-MC600-00</v>
      </c>
      <c r="F3214" s="157" t="s">
        <v>1381</v>
      </c>
      <c r="H3214" s="138">
        <v>1487</v>
      </c>
      <c r="I3214" s="139" t="str">
        <f>VLOOKUP(H3214,Stock_list!A:R,18,FALSE)</f>
        <v>英拓邦（End user:深圳傲尔）</v>
      </c>
      <c r="J3214" s="139" t="str">
        <f>VLOOKUP(H3214,Stock_list!A:S,17,FALSE)</f>
        <v>C49SZX20210200JY</v>
      </c>
      <c r="K3214" s="51" t="str">
        <f>VLOOKUP(H3214,Stock_list!A:T,16,FALSE)</f>
        <v>JPY</v>
      </c>
      <c r="L3214" s="4">
        <v>44663</v>
      </c>
      <c r="M3214" s="140">
        <v>1</v>
      </c>
      <c r="P3214" s="4" t="str">
        <f>VLOOKUP(H3214,Stock_list!A:Y,25,FALSE)</f>
        <v>Yes</v>
      </c>
      <c r="Q3214" s="143"/>
      <c r="T3214" s="144"/>
      <c r="U3214" s="145" t="str">
        <f>VLOOKUP(H3214,Stock_list!A:N,14,FALSE)</f>
        <v>MAR 22</v>
      </c>
    </row>
    <row r="3215" spans="1:21" ht="16.5" customHeight="1">
      <c r="A3215" s="159" t="s">
        <v>2768</v>
      </c>
      <c r="B3215" s="114" t="str">
        <f>VLOOKUP(A3215,'Data pick slip'!B:F,5,FALSE)</f>
        <v>KHJ-MC100-00</v>
      </c>
      <c r="F3215" s="157" t="s">
        <v>1381</v>
      </c>
      <c r="H3215" s="138">
        <v>1487</v>
      </c>
      <c r="I3215" s="139" t="str">
        <f>VLOOKUP(H3215,Stock_list!A:R,18,FALSE)</f>
        <v>英拓邦（End user:深圳傲尔）</v>
      </c>
      <c r="J3215" s="139" t="str">
        <f>VLOOKUP(H3215,Stock_list!A:S,17,FALSE)</f>
        <v>C49SZX20210200JY</v>
      </c>
      <c r="K3215" s="51" t="str">
        <f>VLOOKUP(H3215,Stock_list!A:T,16,FALSE)</f>
        <v>JPY</v>
      </c>
      <c r="L3215" s="4">
        <v>44642</v>
      </c>
      <c r="M3215" s="140">
        <v>97</v>
      </c>
      <c r="P3215" s="4" t="str">
        <f>VLOOKUP(H3215,Stock_list!A:Y,25,FALSE)</f>
        <v>Yes</v>
      </c>
      <c r="Q3215" s="143"/>
      <c r="T3215" s="144"/>
      <c r="U3215" s="145" t="str">
        <f>VLOOKUP(H3215,Stock_list!A:N,14,FALSE)</f>
        <v>MAR 22</v>
      </c>
    </row>
    <row r="3216" spans="1:21" ht="16.5" customHeight="1">
      <c r="A3216" s="159" t="s">
        <v>2747</v>
      </c>
      <c r="B3216" s="114" t="str">
        <f>VLOOKUP(A3216,'Data pick slip'!B:F,5,FALSE)</f>
        <v>KHJ-MC200-00</v>
      </c>
      <c r="F3216" s="157" t="s">
        <v>1381</v>
      </c>
      <c r="H3216" s="138">
        <v>1487</v>
      </c>
      <c r="I3216" s="139" t="str">
        <f>VLOOKUP(H3216,Stock_list!A:R,18,FALSE)</f>
        <v>英拓邦（End user:深圳傲尔）</v>
      </c>
      <c r="J3216" s="139" t="str">
        <f>VLOOKUP(H3216,Stock_list!A:S,17,FALSE)</f>
        <v>C49SZX20210200JY</v>
      </c>
      <c r="K3216" s="51" t="str">
        <f>VLOOKUP(H3216,Stock_list!A:T,16,FALSE)</f>
        <v>JPY</v>
      </c>
      <c r="L3216" s="4">
        <v>44642</v>
      </c>
      <c r="M3216" s="140">
        <v>8</v>
      </c>
      <c r="P3216" s="4" t="str">
        <f>VLOOKUP(H3216,Stock_list!A:Y,25,FALSE)</f>
        <v>Yes</v>
      </c>
      <c r="Q3216" s="143"/>
      <c r="T3216" s="144"/>
      <c r="U3216" s="145" t="str">
        <f>VLOOKUP(H3216,Stock_list!A:N,14,FALSE)</f>
        <v>MAR 22</v>
      </c>
    </row>
    <row r="3217" spans="1:21" ht="16.5" customHeight="1">
      <c r="A3217" s="159" t="s">
        <v>2748</v>
      </c>
      <c r="B3217" s="114" t="str">
        <f>VLOOKUP(A3217,'Data pick slip'!B:F,5,FALSE)</f>
        <v>KHJ-MC400-00</v>
      </c>
      <c r="F3217" s="157" t="s">
        <v>1381</v>
      </c>
      <c r="H3217" s="138">
        <v>1487</v>
      </c>
      <c r="I3217" s="139" t="str">
        <f>VLOOKUP(H3217,Stock_list!A:R,18,FALSE)</f>
        <v>英拓邦（End user:深圳傲尔）</v>
      </c>
      <c r="J3217" s="139" t="str">
        <f>VLOOKUP(H3217,Stock_list!A:S,17,FALSE)</f>
        <v>C49SZX20210200JY</v>
      </c>
      <c r="K3217" s="51" t="str">
        <f>VLOOKUP(H3217,Stock_list!A:T,16,FALSE)</f>
        <v>JPY</v>
      </c>
      <c r="L3217" s="4">
        <v>44642</v>
      </c>
      <c r="M3217" s="140">
        <v>2</v>
      </c>
      <c r="P3217" s="4" t="str">
        <f>VLOOKUP(H3217,Stock_list!A:Y,25,FALSE)</f>
        <v>Yes</v>
      </c>
      <c r="Q3217" s="143"/>
      <c r="T3217" s="144"/>
      <c r="U3217" s="145" t="str">
        <f>VLOOKUP(H3217,Stock_list!A:N,14,FALSE)</f>
        <v>MAR 22</v>
      </c>
    </row>
    <row r="3218" spans="1:21" ht="16.5" customHeight="1">
      <c r="A3218" s="159" t="s">
        <v>2768</v>
      </c>
      <c r="B3218" s="114" t="str">
        <f>VLOOKUP(A3218,'Data pick slip'!B:F,5,FALSE)</f>
        <v>KHJ-MC100-00</v>
      </c>
      <c r="F3218" s="157" t="s">
        <v>1381</v>
      </c>
      <c r="H3218" s="138">
        <v>1455</v>
      </c>
      <c r="I3218" s="139" t="str">
        <f>VLOOKUP(H3218,Stock_list!A:R,18,FALSE)</f>
        <v>新明海</v>
      </c>
      <c r="J3218" s="139" t="str">
        <f>VLOOKUP(H3218,Stock_list!A:S,17,FALSE)</f>
        <v>C49SZX20210160EC</v>
      </c>
      <c r="K3218" s="51" t="str">
        <f>VLOOKUP(H3218,Stock_list!A:T,16,FALSE)</f>
        <v>JPY</v>
      </c>
      <c r="L3218" s="4">
        <v>44498</v>
      </c>
      <c r="M3218" s="140">
        <v>60</v>
      </c>
      <c r="P3218" s="4" t="str">
        <f>VLOOKUP(H3218,Stock_list!A:Y,25,FALSE)</f>
        <v>Yes</v>
      </c>
      <c r="Q3218" s="143"/>
      <c r="T3218" s="144"/>
      <c r="U3218" s="145" t="str">
        <f>VLOOKUP(H3218,Stock_list!A:N,14,FALSE)</f>
        <v>OCT 21</v>
      </c>
    </row>
    <row r="3219" spans="1:21" ht="16.5" customHeight="1">
      <c r="A3219" s="159" t="s">
        <v>2747</v>
      </c>
      <c r="B3219" s="114" t="str">
        <f>VLOOKUP(A3219,'Data pick slip'!B:F,5,FALSE)</f>
        <v>KHJ-MC200-00</v>
      </c>
      <c r="F3219" s="157" t="s">
        <v>1381</v>
      </c>
      <c r="H3219" s="138">
        <v>1455</v>
      </c>
      <c r="I3219" s="139" t="str">
        <f>VLOOKUP(H3219,Stock_list!A:R,18,FALSE)</f>
        <v>新明海</v>
      </c>
      <c r="J3219" s="139" t="str">
        <f>VLOOKUP(H3219,Stock_list!A:S,17,FALSE)</f>
        <v>C49SZX20210160EC</v>
      </c>
      <c r="K3219" s="51" t="str">
        <f>VLOOKUP(H3219,Stock_list!A:T,16,FALSE)</f>
        <v>JPY</v>
      </c>
      <c r="L3219" s="4">
        <v>44498</v>
      </c>
      <c r="M3219" s="140">
        <v>10</v>
      </c>
      <c r="P3219" s="4" t="str">
        <f>VLOOKUP(H3219,Stock_list!A:Y,25,FALSE)</f>
        <v>Yes</v>
      </c>
      <c r="Q3219" s="143"/>
      <c r="T3219" s="144"/>
      <c r="U3219" s="145" t="str">
        <f>VLOOKUP(H3219,Stock_list!A:N,14,FALSE)</f>
        <v>OCT 21</v>
      </c>
    </row>
    <row r="3220" spans="1:21" ht="16.5" customHeight="1">
      <c r="A3220" s="159" t="s">
        <v>2748</v>
      </c>
      <c r="B3220" s="114" t="str">
        <f>VLOOKUP(A3220,'Data pick slip'!B:F,5,FALSE)</f>
        <v>KHJ-MC400-00</v>
      </c>
      <c r="F3220" s="157" t="s">
        <v>1381</v>
      </c>
      <c r="H3220" s="138">
        <v>1455</v>
      </c>
      <c r="I3220" s="139" t="str">
        <f>VLOOKUP(H3220,Stock_list!A:R,18,FALSE)</f>
        <v>新明海</v>
      </c>
      <c r="J3220" s="139" t="str">
        <f>VLOOKUP(H3220,Stock_list!A:S,17,FALSE)</f>
        <v>C49SZX20210160EC</v>
      </c>
      <c r="K3220" s="51" t="str">
        <f>VLOOKUP(H3220,Stock_list!A:T,16,FALSE)</f>
        <v>JPY</v>
      </c>
      <c r="L3220" s="4">
        <v>44498</v>
      </c>
      <c r="M3220" s="140">
        <v>10</v>
      </c>
      <c r="N3220" s="132" t="s">
        <v>3479</v>
      </c>
      <c r="P3220" s="4" t="str">
        <f>VLOOKUP(H3220,Stock_list!A:Y,25,FALSE)</f>
        <v>Yes</v>
      </c>
      <c r="Q3220" s="143"/>
      <c r="T3220" s="144"/>
      <c r="U3220" s="145" t="str">
        <f>VLOOKUP(H3220,Stock_list!A:N,14,FALSE)</f>
        <v>OCT 21</v>
      </c>
    </row>
    <row r="3221" spans="1:21" ht="16.5" customHeight="1">
      <c r="A3221" s="159" t="s">
        <v>2768</v>
      </c>
      <c r="B3221" s="114" t="str">
        <f>VLOOKUP(A3221,'Data pick slip'!B:F,5,FALSE)</f>
        <v>KHJ-MC100-00</v>
      </c>
      <c r="F3221" s="157" t="s">
        <v>1381</v>
      </c>
      <c r="H3221" s="138">
        <v>1455</v>
      </c>
      <c r="I3221" s="139" t="str">
        <f>VLOOKUP(H3221,Stock_list!A:R,18,FALSE)</f>
        <v>新明海</v>
      </c>
      <c r="J3221" s="139" t="str">
        <f>VLOOKUP(H3221,Stock_list!A:S,17,FALSE)</f>
        <v>C49SZX20210160EC</v>
      </c>
      <c r="K3221" s="51" t="str">
        <f>VLOOKUP(H3221,Stock_list!A:T,16,FALSE)</f>
        <v>JPY</v>
      </c>
      <c r="L3221" s="4">
        <v>44531</v>
      </c>
      <c r="M3221" s="132">
        <v>140</v>
      </c>
      <c r="P3221" s="4" t="str">
        <f>VLOOKUP(H3221,Stock_list!A:Y,25,FALSE)</f>
        <v>Yes</v>
      </c>
      <c r="Q3221" s="143"/>
      <c r="T3221" s="144"/>
      <c r="U3221" s="145" t="str">
        <f>VLOOKUP(H3221,Stock_list!A:N,14,FALSE)</f>
        <v>OCT 21</v>
      </c>
    </row>
    <row r="3222" spans="1:21" ht="16.5" customHeight="1">
      <c r="A3222" s="159" t="s">
        <v>2747</v>
      </c>
      <c r="B3222" s="114" t="str">
        <f>VLOOKUP(A3222,'Data pick slip'!B:F,5,FALSE)</f>
        <v>KHJ-MC200-00</v>
      </c>
      <c r="F3222" s="157" t="s">
        <v>1381</v>
      </c>
      <c r="H3222" s="138">
        <v>1455</v>
      </c>
      <c r="I3222" s="139" t="str">
        <f>VLOOKUP(H3222,Stock_list!A:R,18,FALSE)</f>
        <v>新明海</v>
      </c>
      <c r="J3222" s="139" t="str">
        <f>VLOOKUP(H3222,Stock_list!A:S,17,FALSE)</f>
        <v>C49SZX20210160EC</v>
      </c>
      <c r="K3222" s="51" t="str">
        <f>VLOOKUP(H3222,Stock_list!A:T,16,FALSE)</f>
        <v>JPY</v>
      </c>
      <c r="L3222" s="4">
        <v>44531</v>
      </c>
      <c r="M3222" s="132">
        <v>20</v>
      </c>
      <c r="P3222" s="4" t="str">
        <f>VLOOKUP(H3222,Stock_list!A:Y,25,FALSE)</f>
        <v>Yes</v>
      </c>
      <c r="Q3222" s="143"/>
      <c r="T3222" s="144"/>
      <c r="U3222" s="145" t="str">
        <f>VLOOKUP(H3222,Stock_list!A:N,14,FALSE)</f>
        <v>OCT 21</v>
      </c>
    </row>
    <row r="3223" spans="1:21" ht="16.5" customHeight="1">
      <c r="A3223" s="159" t="s">
        <v>2748</v>
      </c>
      <c r="B3223" s="114" t="str">
        <f>VLOOKUP(A3223,'Data pick slip'!B:F,5,FALSE)</f>
        <v>KHJ-MC400-00</v>
      </c>
      <c r="F3223" s="157" t="s">
        <v>1381</v>
      </c>
      <c r="H3223" s="138">
        <v>1455</v>
      </c>
      <c r="I3223" s="139" t="str">
        <f>VLOOKUP(H3223,Stock_list!A:R,18,FALSE)</f>
        <v>新明海</v>
      </c>
      <c r="J3223" s="139" t="str">
        <f>VLOOKUP(H3223,Stock_list!A:S,17,FALSE)</f>
        <v>C49SZX20210160EC</v>
      </c>
      <c r="K3223" s="51" t="str">
        <f>VLOOKUP(H3223,Stock_list!A:T,16,FALSE)</f>
        <v>JPY</v>
      </c>
      <c r="L3223" s="4">
        <v>44531</v>
      </c>
      <c r="M3223" s="132">
        <v>10</v>
      </c>
      <c r="P3223" s="4" t="str">
        <f>VLOOKUP(H3223,Stock_list!A:Y,25,FALSE)</f>
        <v>Yes</v>
      </c>
      <c r="Q3223" s="143"/>
      <c r="T3223" s="144"/>
      <c r="U3223" s="145" t="str">
        <f>VLOOKUP(H3223,Stock_list!A:N,14,FALSE)</f>
        <v>OCT 21</v>
      </c>
    </row>
    <row r="3224" spans="1:21" ht="16.5" customHeight="1">
      <c r="A3224" s="159" t="s">
        <v>2768</v>
      </c>
      <c r="B3224" s="114" t="str">
        <f>VLOOKUP(A3224,'Data pick slip'!B:F,5,FALSE)</f>
        <v>KHJ-MC100-00</v>
      </c>
      <c r="F3224" s="157" t="s">
        <v>1381</v>
      </c>
      <c r="H3224" s="138">
        <v>1492</v>
      </c>
      <c r="I3224" s="139" t="str">
        <f>VLOOKUP(H3224,Stock_list!A:R,18,FALSE)</f>
        <v>旭协（End user 驰电）</v>
      </c>
      <c r="J3224" s="139" t="str">
        <f>VLOOKUP(H3224,Stock_list!A:S,17,FALSE)</f>
        <v>C49SZX20210194SQ</v>
      </c>
      <c r="K3224" s="51" t="str">
        <f>VLOOKUP(H3224,Stock_list!A:T,16,FALSE)</f>
        <v>JPY</v>
      </c>
      <c r="L3224" s="4">
        <v>44662</v>
      </c>
      <c r="M3224" s="140">
        <v>40</v>
      </c>
      <c r="N3224" s="143"/>
      <c r="P3224" s="4" t="str">
        <f>VLOOKUP(H3224,Stock_list!A:Y,25,FALSE)</f>
        <v>Yes</v>
      </c>
      <c r="T3224" s="144"/>
      <c r="U3224" s="145" t="str">
        <f>VLOOKUP(H3224,Stock_list!A:N,14,FALSE)</f>
        <v>APR 22</v>
      </c>
    </row>
    <row r="3225" spans="1:21" ht="16.5" customHeight="1">
      <c r="A3225" s="159" t="s">
        <v>2747</v>
      </c>
      <c r="B3225" s="114" t="str">
        <f>VLOOKUP(A3225,'Data pick slip'!B:F,5,FALSE)</f>
        <v>KHJ-MC200-00</v>
      </c>
      <c r="F3225" s="157" t="s">
        <v>1381</v>
      </c>
      <c r="H3225" s="138">
        <v>1492</v>
      </c>
      <c r="I3225" s="139" t="str">
        <f>VLOOKUP(H3225,Stock_list!A:R,18,FALSE)</f>
        <v>旭协（End user 驰电）</v>
      </c>
      <c r="J3225" s="139" t="str">
        <f>VLOOKUP(H3225,Stock_list!A:S,17,FALSE)</f>
        <v>C49SZX20210194SQ</v>
      </c>
      <c r="K3225" s="51" t="str">
        <f>VLOOKUP(H3225,Stock_list!A:T,16,FALSE)</f>
        <v>JPY</v>
      </c>
      <c r="L3225" s="4">
        <v>44662</v>
      </c>
      <c r="M3225" s="140">
        <v>1</v>
      </c>
      <c r="N3225" s="143"/>
      <c r="P3225" s="4" t="str">
        <f>VLOOKUP(H3225,Stock_list!A:Y,25,FALSE)</f>
        <v>Yes</v>
      </c>
      <c r="T3225" s="144"/>
      <c r="U3225" s="145" t="str">
        <f>VLOOKUP(H3225,Stock_list!A:N,14,FALSE)</f>
        <v>APR 22</v>
      </c>
    </row>
    <row r="3226" spans="1:21" ht="16.5" customHeight="1">
      <c r="A3226" s="159" t="s">
        <v>2748</v>
      </c>
      <c r="B3226" s="114" t="str">
        <f>VLOOKUP(A3226,'Data pick slip'!B:F,5,FALSE)</f>
        <v>KHJ-MC400-00</v>
      </c>
      <c r="F3226" s="157" t="s">
        <v>1381</v>
      </c>
      <c r="H3226" s="138">
        <v>1492</v>
      </c>
      <c r="I3226" s="139" t="str">
        <f>VLOOKUP(H3226,Stock_list!A:R,18,FALSE)</f>
        <v>旭协（End user 驰电）</v>
      </c>
      <c r="J3226" s="139" t="str">
        <f>VLOOKUP(H3226,Stock_list!A:S,17,FALSE)</f>
        <v>C49SZX20210194SQ</v>
      </c>
      <c r="K3226" s="51" t="str">
        <f>VLOOKUP(H3226,Stock_list!A:T,16,FALSE)</f>
        <v>JPY</v>
      </c>
      <c r="L3226" s="4">
        <v>44662</v>
      </c>
      <c r="M3226" s="140">
        <v>1</v>
      </c>
      <c r="N3226" s="143"/>
      <c r="P3226" s="4" t="str">
        <f>VLOOKUP(H3226,Stock_list!A:Y,25,FALSE)</f>
        <v>Yes</v>
      </c>
      <c r="T3226" s="144"/>
      <c r="U3226" s="145" t="str">
        <f>VLOOKUP(H3226,Stock_list!A:N,14,FALSE)</f>
        <v>APR 22</v>
      </c>
    </row>
    <row r="3227" spans="1:21" ht="16.5" customHeight="1">
      <c r="A3227" s="159" t="s">
        <v>2749</v>
      </c>
      <c r="B3227" s="114" t="str">
        <f>VLOOKUP(A3227,'Data pick slip'!B:F,5,FALSE)</f>
        <v>KHJ-MC500-00</v>
      </c>
      <c r="F3227" s="157" t="s">
        <v>1381</v>
      </c>
      <c r="H3227" s="138">
        <v>1492</v>
      </c>
      <c r="I3227" s="139" t="str">
        <f>VLOOKUP(H3227,Stock_list!A:R,18,FALSE)</f>
        <v>旭协（End user 驰电）</v>
      </c>
      <c r="J3227" s="139" t="str">
        <f>VLOOKUP(H3227,Stock_list!A:S,17,FALSE)</f>
        <v>C49SZX20210194SQ</v>
      </c>
      <c r="K3227" s="51" t="str">
        <f>VLOOKUP(H3227,Stock_list!A:T,16,FALSE)</f>
        <v>JPY</v>
      </c>
      <c r="L3227" s="4">
        <v>44662</v>
      </c>
      <c r="M3227" s="140">
        <v>1</v>
      </c>
      <c r="N3227" s="143"/>
      <c r="P3227" s="4" t="str">
        <f>VLOOKUP(H3227,Stock_list!A:Y,25,FALSE)</f>
        <v>Yes</v>
      </c>
      <c r="T3227" s="144"/>
      <c r="U3227" s="145" t="str">
        <f>VLOOKUP(H3227,Stock_list!A:N,14,FALSE)</f>
        <v>APR 22</v>
      </c>
    </row>
    <row r="3228" spans="1:21" ht="16.5" customHeight="1">
      <c r="A3228" s="159" t="s">
        <v>2768</v>
      </c>
      <c r="B3228" s="114" t="str">
        <f>VLOOKUP(A3228,'Data pick slip'!B:F,5,FALSE)</f>
        <v>KHJ-MC100-00</v>
      </c>
      <c r="F3228" s="157" t="s">
        <v>2753</v>
      </c>
      <c r="H3228" s="138">
        <v>1492</v>
      </c>
      <c r="I3228" s="139" t="str">
        <f>VLOOKUP(H3228,Stock_list!A:R,18,FALSE)</f>
        <v>旭协（End user 驰电）</v>
      </c>
      <c r="J3228" s="139" t="str">
        <f>VLOOKUP(H3228,Stock_list!A:S,17,FALSE)</f>
        <v>C49SZX20210194SQ</v>
      </c>
      <c r="K3228" s="51" t="str">
        <f>VLOOKUP(H3228,Stock_list!A:T,16,FALSE)</f>
        <v>JPY</v>
      </c>
      <c r="L3228" s="4">
        <v>44509</v>
      </c>
      <c r="N3228" s="143"/>
      <c r="O3228" s="132">
        <f>30-30</f>
        <v>0</v>
      </c>
      <c r="P3228" s="4" t="str">
        <f>VLOOKUP(H3228,Stock_list!A:Y,25,FALSE)</f>
        <v>Yes</v>
      </c>
      <c r="T3228" s="144"/>
      <c r="U3228" s="145" t="str">
        <f>VLOOKUP(H3228,Stock_list!A:N,14,FALSE)</f>
        <v>APR 22</v>
      </c>
    </row>
    <row r="3229" spans="1:21" ht="16.5" customHeight="1">
      <c r="A3229" s="159" t="s">
        <v>2747</v>
      </c>
      <c r="B3229" s="114" t="str">
        <f>VLOOKUP(A3229,'Data pick slip'!B:F,5,FALSE)</f>
        <v>KHJ-MC200-00</v>
      </c>
      <c r="F3229" s="157" t="s">
        <v>2753</v>
      </c>
      <c r="H3229" s="138">
        <v>1492</v>
      </c>
      <c r="I3229" s="139" t="str">
        <f>VLOOKUP(H3229,Stock_list!A:R,18,FALSE)</f>
        <v>旭协（End user 驰电）</v>
      </c>
      <c r="J3229" s="139" t="str">
        <f>VLOOKUP(H3229,Stock_list!A:S,17,FALSE)</f>
        <v>C49SZX20210194SQ</v>
      </c>
      <c r="K3229" s="51" t="str">
        <f>VLOOKUP(H3229,Stock_list!A:T,16,FALSE)</f>
        <v>JPY</v>
      </c>
      <c r="L3229" s="4">
        <v>44509</v>
      </c>
      <c r="N3229" s="143"/>
      <c r="O3229" s="132">
        <f>1-1</f>
        <v>0</v>
      </c>
      <c r="P3229" s="4" t="str">
        <f>VLOOKUP(H3229,Stock_list!A:Y,25,FALSE)</f>
        <v>Yes</v>
      </c>
      <c r="T3229" s="144"/>
      <c r="U3229" s="145" t="str">
        <f>VLOOKUP(H3229,Stock_list!A:N,14,FALSE)</f>
        <v>APR 22</v>
      </c>
    </row>
    <row r="3230" spans="1:21" ht="16.5" customHeight="1">
      <c r="A3230" s="159" t="s">
        <v>2748</v>
      </c>
      <c r="B3230" s="114" t="str">
        <f>VLOOKUP(A3230,'Data pick slip'!B:F,5,FALSE)</f>
        <v>KHJ-MC400-00</v>
      </c>
      <c r="F3230" s="157" t="s">
        <v>2753</v>
      </c>
      <c r="H3230" s="138">
        <v>1492</v>
      </c>
      <c r="I3230" s="139" t="str">
        <f>VLOOKUP(H3230,Stock_list!A:R,18,FALSE)</f>
        <v>旭协（End user 驰电）</v>
      </c>
      <c r="J3230" s="139" t="str">
        <f>VLOOKUP(H3230,Stock_list!A:S,17,FALSE)</f>
        <v>C49SZX20210194SQ</v>
      </c>
      <c r="K3230" s="51" t="str">
        <f>VLOOKUP(H3230,Stock_list!A:T,16,FALSE)</f>
        <v>JPY</v>
      </c>
      <c r="L3230" s="4">
        <v>44509</v>
      </c>
      <c r="N3230" s="143"/>
      <c r="O3230" s="132">
        <f>1-1</f>
        <v>0</v>
      </c>
      <c r="P3230" s="4" t="str">
        <f>VLOOKUP(H3230,Stock_list!A:Y,25,FALSE)</f>
        <v>Yes</v>
      </c>
      <c r="T3230" s="144"/>
      <c r="U3230" s="145" t="str">
        <f>VLOOKUP(H3230,Stock_list!A:N,14,FALSE)</f>
        <v>APR 22</v>
      </c>
    </row>
    <row r="3231" spans="1:21" ht="16.5" customHeight="1">
      <c r="A3231" s="159" t="s">
        <v>2749</v>
      </c>
      <c r="B3231" s="114" t="str">
        <f>VLOOKUP(A3231,'Data pick slip'!B:F,5,FALSE)</f>
        <v>KHJ-MC500-00</v>
      </c>
      <c r="F3231" s="157" t="s">
        <v>2753</v>
      </c>
      <c r="H3231" s="138">
        <v>1492</v>
      </c>
      <c r="I3231" s="139" t="str">
        <f>VLOOKUP(H3231,Stock_list!A:R,18,FALSE)</f>
        <v>旭协（End user 驰电）</v>
      </c>
      <c r="J3231" s="139" t="str">
        <f>VLOOKUP(H3231,Stock_list!A:S,17,FALSE)</f>
        <v>C49SZX20210194SQ</v>
      </c>
      <c r="K3231" s="51" t="str">
        <f>VLOOKUP(H3231,Stock_list!A:T,16,FALSE)</f>
        <v>JPY</v>
      </c>
      <c r="L3231" s="4">
        <v>44509</v>
      </c>
      <c r="N3231" s="143"/>
      <c r="O3231" s="132">
        <f>1-1</f>
        <v>0</v>
      </c>
      <c r="P3231" s="4" t="str">
        <f>VLOOKUP(H3231,Stock_list!A:Y,25,FALSE)</f>
        <v>Yes</v>
      </c>
      <c r="T3231" s="144"/>
      <c r="U3231" s="145" t="str">
        <f>VLOOKUP(H3231,Stock_list!A:N,14,FALSE)</f>
        <v>APR 22</v>
      </c>
    </row>
    <row r="3232" spans="1:21" ht="16.5" customHeight="1">
      <c r="A3232" s="159" t="s">
        <v>2744</v>
      </c>
      <c r="B3232" s="114" t="str">
        <f>VLOOKUP(A3232,'Data pick slip'!B:F,5,FALSE)</f>
        <v>KHJ-MC100-00</v>
      </c>
      <c r="F3232" s="157" t="s">
        <v>2753</v>
      </c>
      <c r="I3232" s="139" t="s">
        <v>3093</v>
      </c>
      <c r="J3232" s="267" t="s">
        <v>3480</v>
      </c>
      <c r="K3232" s="51" t="s">
        <v>1246</v>
      </c>
      <c r="L3232" s="4">
        <v>44496</v>
      </c>
      <c r="M3232" s="140">
        <v>20</v>
      </c>
      <c r="P3232" s="4" t="s">
        <v>291</v>
      </c>
      <c r="Q3232" s="143"/>
      <c r="T3232" s="144"/>
      <c r="U3232" s="145" t="e">
        <f>VLOOKUP(H3232,Stock_list!A:N,14,FALSE)</f>
        <v>#N/A</v>
      </c>
    </row>
    <row r="3233" spans="1:21" ht="16.5" customHeight="1">
      <c r="A3233" s="159" t="s">
        <v>2747</v>
      </c>
      <c r="B3233" s="114" t="str">
        <f>VLOOKUP(A3233,'Data pick slip'!B:F,5,FALSE)</f>
        <v>KHJ-MC200-00</v>
      </c>
      <c r="F3233" s="157" t="s">
        <v>2753</v>
      </c>
      <c r="I3233" s="139" t="s">
        <v>3093</v>
      </c>
      <c r="J3233" s="267" t="s">
        <v>3480</v>
      </c>
      <c r="K3233" s="51" t="s">
        <v>1246</v>
      </c>
      <c r="L3233" s="4">
        <v>44496</v>
      </c>
      <c r="M3233" s="140">
        <v>10</v>
      </c>
      <c r="P3233" s="4" t="s">
        <v>291</v>
      </c>
      <c r="Q3233" s="143"/>
      <c r="T3233" s="144"/>
      <c r="U3233" s="145" t="e">
        <f>VLOOKUP(H3233,Stock_list!A:N,14,FALSE)</f>
        <v>#N/A</v>
      </c>
    </row>
    <row r="3234" spans="1:21" ht="16.5" customHeight="1">
      <c r="A3234" s="159" t="s">
        <v>2750</v>
      </c>
      <c r="B3234" s="114" t="str">
        <f>VLOOKUP(A3234,'Data pick slip'!B:F,5,FALSE)</f>
        <v>KHJ-MC600-00</v>
      </c>
      <c r="F3234" s="157" t="s">
        <v>2753</v>
      </c>
      <c r="I3234" s="139" t="s">
        <v>3093</v>
      </c>
      <c r="J3234" s="267" t="s">
        <v>3480</v>
      </c>
      <c r="K3234" s="51" t="s">
        <v>1246</v>
      </c>
      <c r="L3234" s="4">
        <v>44496</v>
      </c>
      <c r="M3234" s="140">
        <v>1</v>
      </c>
      <c r="P3234" s="4" t="s">
        <v>291</v>
      </c>
      <c r="Q3234" s="143"/>
      <c r="T3234" s="144"/>
      <c r="U3234" s="145" t="e">
        <f>VLOOKUP(H3234,Stock_list!A:N,14,FALSE)</f>
        <v>#N/A</v>
      </c>
    </row>
    <row r="3235" spans="1:21" ht="16.5" customHeight="1">
      <c r="A3235" s="159" t="s">
        <v>2747</v>
      </c>
      <c r="B3235" s="114" t="str">
        <f>VLOOKUP(A3235,'Data pick slip'!B:F,5,FALSE)</f>
        <v>KHJ-MC200-00</v>
      </c>
      <c r="F3235" s="157" t="s">
        <v>2753</v>
      </c>
      <c r="I3235" s="139" t="s">
        <v>3093</v>
      </c>
      <c r="J3235" s="270" t="s">
        <v>3481</v>
      </c>
      <c r="K3235" s="51" t="s">
        <v>1246</v>
      </c>
      <c r="L3235" s="4">
        <v>44497</v>
      </c>
      <c r="M3235" s="140">
        <v>1</v>
      </c>
      <c r="P3235" s="4" t="s">
        <v>291</v>
      </c>
      <c r="Q3235" s="143"/>
      <c r="T3235" s="144"/>
      <c r="U3235" s="145" t="e">
        <f>VLOOKUP(H3235,Stock_list!A:N,14,FALSE)</f>
        <v>#N/A</v>
      </c>
    </row>
    <row r="3236" spans="1:21" ht="21.75" customHeight="1">
      <c r="A3236" s="159" t="s">
        <v>2748</v>
      </c>
      <c r="B3236" s="114" t="str">
        <f>VLOOKUP(A3236,'Data pick slip'!B:F,5,FALSE)</f>
        <v>KHJ-MC400-00</v>
      </c>
      <c r="F3236" s="157" t="s">
        <v>2753</v>
      </c>
      <c r="I3236" s="139" t="s">
        <v>3093</v>
      </c>
      <c r="J3236" s="267" t="s">
        <v>3482</v>
      </c>
      <c r="K3236" s="51" t="s">
        <v>1246</v>
      </c>
      <c r="L3236" s="4">
        <v>44497</v>
      </c>
      <c r="M3236" s="140">
        <v>2</v>
      </c>
      <c r="P3236" s="4" t="s">
        <v>291</v>
      </c>
      <c r="Q3236" s="143"/>
      <c r="T3236" s="144"/>
      <c r="U3236" s="145" t="e">
        <f>VLOOKUP(H3236,Stock_list!A:N,14,FALSE)</f>
        <v>#N/A</v>
      </c>
    </row>
    <row r="3237" spans="1:21" ht="16.5" customHeight="1">
      <c r="A3237" s="159" t="s">
        <v>2744</v>
      </c>
      <c r="B3237" s="114" t="str">
        <f>VLOOKUP(A3237,'Data pick slip'!B:F,5,FALSE)</f>
        <v>KHJ-MC100-00</v>
      </c>
      <c r="F3237" s="157" t="s">
        <v>1381</v>
      </c>
      <c r="I3237" s="139" t="s">
        <v>3015</v>
      </c>
      <c r="J3237" s="139" t="s">
        <v>3483</v>
      </c>
      <c r="K3237" s="51" t="s">
        <v>1246</v>
      </c>
      <c r="L3237" s="4">
        <v>44509</v>
      </c>
      <c r="M3237" s="308">
        <v>48</v>
      </c>
      <c r="P3237" s="4" t="s">
        <v>291</v>
      </c>
      <c r="Q3237" s="143"/>
      <c r="T3237" s="144"/>
      <c r="U3237" s="145" t="e">
        <f>VLOOKUP(H3237,Stock_list!A:N,14,FALSE)</f>
        <v>#N/A</v>
      </c>
    </row>
    <row r="3238" spans="1:21" ht="16.5" customHeight="1">
      <c r="A3238" s="159" t="s">
        <v>2747</v>
      </c>
      <c r="B3238" s="114" t="str">
        <f>VLOOKUP(A3238,'Data pick slip'!B:F,5,FALSE)</f>
        <v>KHJ-MC200-00</v>
      </c>
      <c r="F3238" s="157" t="s">
        <v>1381</v>
      </c>
      <c r="I3238" s="139" t="s">
        <v>3015</v>
      </c>
      <c r="J3238" s="139" t="s">
        <v>3483</v>
      </c>
      <c r="K3238" s="51" t="s">
        <v>1246</v>
      </c>
      <c r="L3238" s="4">
        <v>44509</v>
      </c>
      <c r="M3238" s="308">
        <v>10</v>
      </c>
      <c r="P3238" s="4" t="s">
        <v>291</v>
      </c>
      <c r="Q3238" s="143"/>
      <c r="T3238" s="144"/>
      <c r="U3238" s="145" t="e">
        <f>VLOOKUP(H3238,Stock_list!A:N,14,FALSE)</f>
        <v>#N/A</v>
      </c>
    </row>
    <row r="3239" spans="1:21" ht="16.5" customHeight="1">
      <c r="A3239" s="159" t="s">
        <v>2748</v>
      </c>
      <c r="B3239" s="114" t="str">
        <f>VLOOKUP(A3239,'Data pick slip'!B:F,5,FALSE)</f>
        <v>KHJ-MC400-00</v>
      </c>
      <c r="F3239" s="157" t="s">
        <v>1381</v>
      </c>
      <c r="I3239" s="139" t="s">
        <v>3015</v>
      </c>
      <c r="J3239" s="139" t="s">
        <v>3483</v>
      </c>
      <c r="K3239" s="51" t="s">
        <v>1246</v>
      </c>
      <c r="L3239" s="4">
        <v>44509</v>
      </c>
      <c r="M3239" s="308">
        <v>10</v>
      </c>
      <c r="P3239" s="4" t="s">
        <v>291</v>
      </c>
      <c r="Q3239" s="143"/>
      <c r="T3239" s="144"/>
      <c r="U3239" s="145" t="e">
        <f>VLOOKUP(H3239,Stock_list!A:N,14,FALSE)</f>
        <v>#N/A</v>
      </c>
    </row>
    <row r="3240" spans="1:21" ht="16.5" customHeight="1">
      <c r="A3240" s="159" t="s">
        <v>2749</v>
      </c>
      <c r="B3240" s="114" t="str">
        <f>VLOOKUP(A3240,'Data pick slip'!B:F,5,FALSE)</f>
        <v>KHJ-MC500-00</v>
      </c>
      <c r="F3240" s="157" t="s">
        <v>1381</v>
      </c>
      <c r="I3240" s="139" t="s">
        <v>3015</v>
      </c>
      <c r="J3240" s="139" t="s">
        <v>3483</v>
      </c>
      <c r="K3240" s="51" t="s">
        <v>1246</v>
      </c>
      <c r="L3240" s="4">
        <v>44509</v>
      </c>
      <c r="M3240" s="308">
        <v>5</v>
      </c>
      <c r="P3240" s="4" t="s">
        <v>291</v>
      </c>
      <c r="Q3240" s="143"/>
      <c r="T3240" s="144"/>
      <c r="U3240" s="145" t="e">
        <f>VLOOKUP(H3240,Stock_list!A:N,14,FALSE)</f>
        <v>#N/A</v>
      </c>
    </row>
    <row r="3241" spans="1:21" ht="16.5" customHeight="1">
      <c r="A3241" s="159" t="s">
        <v>2750</v>
      </c>
      <c r="B3241" s="114" t="str">
        <f>VLOOKUP(A3241,'Data pick slip'!B:F,5,FALSE)</f>
        <v>KHJ-MC600-00</v>
      </c>
      <c r="F3241" s="157" t="s">
        <v>1381</v>
      </c>
      <c r="I3241" s="139" t="s">
        <v>3015</v>
      </c>
      <c r="J3241" s="139" t="s">
        <v>3483</v>
      </c>
      <c r="K3241" s="51" t="s">
        <v>1246</v>
      </c>
      <c r="L3241" s="4">
        <v>44509</v>
      </c>
      <c r="M3241" s="308">
        <v>9</v>
      </c>
      <c r="P3241" s="4" t="s">
        <v>291</v>
      </c>
      <c r="Q3241" s="143"/>
      <c r="T3241" s="144"/>
      <c r="U3241" s="145" t="e">
        <f>VLOOKUP(H3241,Stock_list!A:N,14,FALSE)</f>
        <v>#N/A</v>
      </c>
    </row>
    <row r="3242" spans="1:21" ht="16.5" customHeight="1">
      <c r="A3242" s="159" t="s">
        <v>2751</v>
      </c>
      <c r="B3242" s="114" t="str">
        <f>VLOOKUP(A3242,'Data pick slip'!B:F,5,FALSE)</f>
        <v>KHJ-MC700-00</v>
      </c>
      <c r="F3242" s="157" t="s">
        <v>1381</v>
      </c>
      <c r="I3242" s="139" t="s">
        <v>3015</v>
      </c>
      <c r="J3242" s="139" t="s">
        <v>3483</v>
      </c>
      <c r="K3242" s="51" t="s">
        <v>1246</v>
      </c>
      <c r="L3242" s="4">
        <v>44509</v>
      </c>
      <c r="M3242" s="308">
        <v>1</v>
      </c>
      <c r="P3242" s="4" t="s">
        <v>291</v>
      </c>
      <c r="Q3242" s="143"/>
      <c r="T3242" s="144"/>
      <c r="U3242" s="145" t="e">
        <f>VLOOKUP(H3242,Stock_list!A:N,14,FALSE)</f>
        <v>#N/A</v>
      </c>
    </row>
    <row r="3243" spans="1:21" ht="16.5" customHeight="1">
      <c r="A3243" s="159" t="s">
        <v>2744</v>
      </c>
      <c r="B3243" s="114" t="str">
        <f>VLOOKUP(A3243,'Data pick slip'!B:F,5,FALSE)</f>
        <v>KHJ-MC100-00</v>
      </c>
      <c r="F3243" s="157" t="s">
        <v>2753</v>
      </c>
      <c r="H3243" s="138">
        <v>1495</v>
      </c>
      <c r="I3243" s="139" t="str">
        <f>VLOOKUP(H3243,Stock_list!A:R,18,FALSE)</f>
        <v>湖北奕宏</v>
      </c>
      <c r="J3243" s="139" t="str">
        <f>VLOOKUP(H3243,Stock_list!A:S,17,FALSE)</f>
        <v>C49SZX20210199R1SX</v>
      </c>
      <c r="K3243" s="51" t="str">
        <f>VLOOKUP(H3243,Stock_list!A:T,16,FALSE)</f>
        <v>RMB</v>
      </c>
      <c r="L3243" s="4">
        <v>44532</v>
      </c>
      <c r="M3243" s="132">
        <v>60</v>
      </c>
      <c r="P3243" s="4" t="str">
        <f>VLOOKUP(H3243,Stock_list!A:Y,25,FALSE)</f>
        <v>Yes</v>
      </c>
      <c r="Q3243" s="143"/>
      <c r="T3243" s="144"/>
      <c r="U3243" s="145" t="str">
        <f>VLOOKUP(H3243,Stock_list!A:N,14,FALSE)</f>
        <v>DEC 21</v>
      </c>
    </row>
    <row r="3244" spans="1:21" ht="16.5" customHeight="1">
      <c r="A3244" s="159" t="s">
        <v>2747</v>
      </c>
      <c r="B3244" s="114" t="str">
        <f>VLOOKUP(A3244,'Data pick slip'!B:F,5,FALSE)</f>
        <v>KHJ-MC200-00</v>
      </c>
      <c r="F3244" s="157" t="s">
        <v>2753</v>
      </c>
      <c r="H3244" s="138">
        <v>1495</v>
      </c>
      <c r="I3244" s="139" t="str">
        <f>VLOOKUP(H3244,Stock_list!A:R,18,FALSE)</f>
        <v>湖北奕宏</v>
      </c>
      <c r="J3244" s="139" t="str">
        <f>VLOOKUP(H3244,Stock_list!A:S,17,FALSE)</f>
        <v>C49SZX20210199R1SX</v>
      </c>
      <c r="K3244" s="51" t="str">
        <f>VLOOKUP(H3244,Stock_list!A:T,16,FALSE)</f>
        <v>RMB</v>
      </c>
      <c r="L3244" s="4">
        <v>44532</v>
      </c>
      <c r="M3244" s="132">
        <v>48</v>
      </c>
      <c r="P3244" s="4" t="str">
        <f>VLOOKUP(H3244,Stock_list!A:Y,25,FALSE)</f>
        <v>Yes</v>
      </c>
      <c r="Q3244" s="143"/>
      <c r="T3244" s="144"/>
      <c r="U3244" s="145" t="str">
        <f>VLOOKUP(H3244,Stock_list!A:N,14,FALSE)</f>
        <v>DEC 21</v>
      </c>
    </row>
    <row r="3245" spans="1:21" ht="16.5" customHeight="1">
      <c r="A3245" s="159" t="s">
        <v>2748</v>
      </c>
      <c r="B3245" s="114" t="str">
        <f>VLOOKUP(A3245,'Data pick slip'!B:F,5,FALSE)</f>
        <v>KHJ-MC400-00</v>
      </c>
      <c r="F3245" s="157" t="s">
        <v>2753</v>
      </c>
      <c r="H3245" s="138">
        <v>1495</v>
      </c>
      <c r="I3245" s="139" t="str">
        <f>VLOOKUP(H3245,Stock_list!A:R,18,FALSE)</f>
        <v>湖北奕宏</v>
      </c>
      <c r="J3245" s="139" t="str">
        <f>VLOOKUP(H3245,Stock_list!A:S,17,FALSE)</f>
        <v>C49SZX20210199R1SX</v>
      </c>
      <c r="K3245" s="51" t="str">
        <f>VLOOKUP(H3245,Stock_list!A:T,16,FALSE)</f>
        <v>RMB</v>
      </c>
      <c r="L3245" s="4">
        <v>44532</v>
      </c>
      <c r="M3245" s="132">
        <v>24</v>
      </c>
      <c r="P3245" s="4" t="str">
        <f>VLOOKUP(H3245,Stock_list!A:Y,25,FALSE)</f>
        <v>Yes</v>
      </c>
      <c r="Q3245" s="143"/>
      <c r="T3245" s="144"/>
      <c r="U3245" s="145" t="str">
        <f>VLOOKUP(H3245,Stock_list!A:N,14,FALSE)</f>
        <v>DEC 21</v>
      </c>
    </row>
    <row r="3246" spans="1:21" ht="16.5" customHeight="1">
      <c r="A3246" s="159" t="s">
        <v>2749</v>
      </c>
      <c r="B3246" s="114" t="str">
        <f>VLOOKUP(A3246,'Data pick slip'!B:F,5,FALSE)</f>
        <v>KHJ-MC500-00</v>
      </c>
      <c r="F3246" s="157" t="s">
        <v>2753</v>
      </c>
      <c r="H3246" s="138">
        <v>1495</v>
      </c>
      <c r="I3246" s="139" t="str">
        <f>VLOOKUP(H3246,Stock_list!A:R,18,FALSE)</f>
        <v>湖北奕宏</v>
      </c>
      <c r="J3246" s="139" t="str">
        <f>VLOOKUP(H3246,Stock_list!A:S,17,FALSE)</f>
        <v>C49SZX20210199R1SX</v>
      </c>
      <c r="K3246" s="51" t="str">
        <f>VLOOKUP(H3246,Stock_list!A:T,16,FALSE)</f>
        <v>RMB</v>
      </c>
      <c r="L3246" s="4">
        <v>44532</v>
      </c>
      <c r="M3246" s="132">
        <v>12</v>
      </c>
      <c r="P3246" s="4" t="str">
        <f>VLOOKUP(H3246,Stock_list!A:Y,25,FALSE)</f>
        <v>Yes</v>
      </c>
      <c r="Q3246" s="143"/>
      <c r="T3246" s="144"/>
      <c r="U3246" s="145" t="str">
        <f>VLOOKUP(H3246,Stock_list!A:N,14,FALSE)</f>
        <v>DEC 21</v>
      </c>
    </row>
    <row r="3247" spans="1:21" ht="16.5" customHeight="1">
      <c r="A3247" s="159" t="s">
        <v>2750</v>
      </c>
      <c r="B3247" s="114" t="str">
        <f>VLOOKUP(A3247,'Data pick slip'!B:F,5,FALSE)</f>
        <v>KHJ-MC600-00</v>
      </c>
      <c r="F3247" s="157" t="s">
        <v>2753</v>
      </c>
      <c r="H3247" s="138">
        <v>1495</v>
      </c>
      <c r="I3247" s="139" t="str">
        <f>VLOOKUP(H3247,Stock_list!A:R,18,FALSE)</f>
        <v>湖北奕宏</v>
      </c>
      <c r="J3247" s="139" t="str">
        <f>VLOOKUP(H3247,Stock_list!A:S,17,FALSE)</f>
        <v>C49SZX20210199R1SX</v>
      </c>
      <c r="K3247" s="51" t="str">
        <f>VLOOKUP(H3247,Stock_list!A:T,16,FALSE)</f>
        <v>RMB</v>
      </c>
      <c r="L3247" s="4">
        <v>44532</v>
      </c>
      <c r="M3247" s="132">
        <v>4</v>
      </c>
      <c r="P3247" s="4" t="str">
        <f>VLOOKUP(H3247,Stock_list!A:Y,25,FALSE)</f>
        <v>Yes</v>
      </c>
      <c r="Q3247" s="143"/>
      <c r="T3247" s="144"/>
      <c r="U3247" s="145" t="str">
        <f>VLOOKUP(H3247,Stock_list!A:N,14,FALSE)</f>
        <v>DEC 21</v>
      </c>
    </row>
    <row r="3248" spans="1:21" ht="16.5" customHeight="1">
      <c r="A3248" s="159" t="s">
        <v>2744</v>
      </c>
      <c r="B3248" s="114" t="str">
        <f>VLOOKUP(A3248,'Data pick slip'!B:F,5,FALSE)</f>
        <v>KHJ-MC100-00</v>
      </c>
      <c r="F3248" s="157" t="s">
        <v>1381</v>
      </c>
      <c r="H3248" s="138">
        <v>1497</v>
      </c>
      <c r="I3248" s="139" t="str">
        <f>VLOOKUP(H3248,Stock_list!A:R,18,FALSE)</f>
        <v>领德创</v>
      </c>
      <c r="J3248" s="139" t="str">
        <f>VLOOKUP(H3248,Stock_list!A:S,17,FALSE)</f>
        <v>C49SZX20210203EC</v>
      </c>
      <c r="K3248" s="51" t="str">
        <f>VLOOKUP(H3248,Stock_list!A:T,16,FALSE)</f>
        <v>JPY</v>
      </c>
      <c r="L3248" s="4">
        <v>44617</v>
      </c>
      <c r="M3248" s="132">
        <v>100</v>
      </c>
      <c r="P3248" s="4" t="str">
        <f>VLOOKUP(H3248,Stock_list!A:Y,25,FALSE)</f>
        <v>Yes</v>
      </c>
      <c r="Q3248" s="143"/>
      <c r="T3248" s="144"/>
      <c r="U3248" s="145" t="str">
        <f>VLOOKUP(H3248,Stock_list!A:N,14,FALSE)</f>
        <v>FEB 22</v>
      </c>
    </row>
    <row r="3249" spans="1:21" ht="16.5" customHeight="1">
      <c r="A3249" s="159" t="s">
        <v>2747</v>
      </c>
      <c r="B3249" s="114" t="str">
        <f>VLOOKUP(A3249,'Data pick slip'!B:F,5,FALSE)</f>
        <v>KHJ-MC200-00</v>
      </c>
      <c r="F3249" s="157" t="s">
        <v>1381</v>
      </c>
      <c r="H3249" s="138">
        <v>1497</v>
      </c>
      <c r="I3249" s="139" t="str">
        <f>VLOOKUP(H3249,Stock_list!A:R,18,FALSE)</f>
        <v>领德创</v>
      </c>
      <c r="J3249" s="139" t="str">
        <f>VLOOKUP(H3249,Stock_list!A:S,17,FALSE)</f>
        <v>C49SZX20210203EC</v>
      </c>
      <c r="K3249" s="51" t="str">
        <f>VLOOKUP(H3249,Stock_list!A:T,16,FALSE)</f>
        <v>JPY</v>
      </c>
      <c r="L3249" s="4">
        <v>44617</v>
      </c>
      <c r="M3249" s="132">
        <v>6</v>
      </c>
      <c r="P3249" s="4" t="str">
        <f>VLOOKUP(H3249,Stock_list!A:Y,25,FALSE)</f>
        <v>Yes</v>
      </c>
      <c r="Q3249" s="143"/>
      <c r="T3249" s="144"/>
      <c r="U3249" s="145" t="str">
        <f>VLOOKUP(H3249,Stock_list!A:N,14,FALSE)</f>
        <v>FEB 22</v>
      </c>
    </row>
    <row r="3250" spans="1:21" ht="16.5" customHeight="1">
      <c r="A3250" s="159" t="s">
        <v>2748</v>
      </c>
      <c r="B3250" s="114" t="str">
        <f>VLOOKUP(A3250,'Data pick slip'!B:F,5,FALSE)</f>
        <v>KHJ-MC400-00</v>
      </c>
      <c r="F3250" s="157" t="s">
        <v>1381</v>
      </c>
      <c r="H3250" s="138">
        <v>1497</v>
      </c>
      <c r="I3250" s="139" t="str">
        <f>VLOOKUP(H3250,Stock_list!A:R,18,FALSE)</f>
        <v>领德创</v>
      </c>
      <c r="J3250" s="139" t="str">
        <f>VLOOKUP(H3250,Stock_list!A:S,17,FALSE)</f>
        <v>C49SZX20210203EC</v>
      </c>
      <c r="K3250" s="51" t="str">
        <f>VLOOKUP(H3250,Stock_list!A:T,16,FALSE)</f>
        <v>JPY</v>
      </c>
      <c r="L3250" s="4">
        <v>44617</v>
      </c>
      <c r="M3250" s="132">
        <v>2</v>
      </c>
      <c r="P3250" s="4" t="str">
        <f>VLOOKUP(H3250,Stock_list!A:Y,25,FALSE)</f>
        <v>Yes</v>
      </c>
      <c r="Q3250" s="143"/>
      <c r="T3250" s="144"/>
      <c r="U3250" s="145" t="str">
        <f>VLOOKUP(H3250,Stock_list!A:N,14,FALSE)</f>
        <v>FEB 22</v>
      </c>
    </row>
    <row r="3251" spans="1:21" ht="16.5" customHeight="1">
      <c r="A3251" s="159" t="s">
        <v>2749</v>
      </c>
      <c r="B3251" s="114" t="str">
        <f>VLOOKUP(A3251,'Data pick slip'!B:F,5,FALSE)</f>
        <v>KHJ-MC500-00</v>
      </c>
      <c r="F3251" s="157" t="s">
        <v>1381</v>
      </c>
      <c r="H3251" s="138">
        <v>1497</v>
      </c>
      <c r="I3251" s="139" t="str">
        <f>VLOOKUP(H3251,Stock_list!A:R,18,FALSE)</f>
        <v>领德创</v>
      </c>
      <c r="J3251" s="139" t="str">
        <f>VLOOKUP(H3251,Stock_list!A:S,17,FALSE)</f>
        <v>C49SZX20210203EC</v>
      </c>
      <c r="K3251" s="51" t="str">
        <f>VLOOKUP(H3251,Stock_list!A:T,16,FALSE)</f>
        <v>JPY</v>
      </c>
      <c r="L3251" s="4">
        <v>44617</v>
      </c>
      <c r="M3251" s="132">
        <v>1</v>
      </c>
      <c r="P3251" s="4" t="str">
        <f>VLOOKUP(H3251,Stock_list!A:Y,25,FALSE)</f>
        <v>Yes</v>
      </c>
      <c r="Q3251" s="143"/>
      <c r="T3251" s="144"/>
      <c r="U3251" s="145" t="str">
        <f>VLOOKUP(H3251,Stock_list!A:N,14,FALSE)</f>
        <v>FEB 22</v>
      </c>
    </row>
    <row r="3252" spans="1:21" ht="16.5" customHeight="1">
      <c r="A3252" s="159" t="s">
        <v>2744</v>
      </c>
      <c r="B3252" s="114" t="str">
        <f>VLOOKUP(A3252,'Data pick slip'!B:F,5,FALSE)</f>
        <v>KHJ-MC100-00</v>
      </c>
      <c r="F3252" s="157" t="s">
        <v>2753</v>
      </c>
      <c r="H3252" s="138">
        <v>1501</v>
      </c>
      <c r="I3252" s="139" t="str">
        <f>VLOOKUP(H3252,Stock_list!A:R,18,FALSE)</f>
        <v>嘉力达</v>
      </c>
      <c r="J3252" s="139" t="str">
        <f>VLOOKUP(H3252,Stock_list!A:S,17,FALSE)</f>
        <v>C49SZX20210204SS</v>
      </c>
      <c r="K3252" s="51" t="str">
        <f>VLOOKUP(H3252,Stock_list!A:T,16,FALSE)</f>
        <v>RMB</v>
      </c>
      <c r="L3252" s="4">
        <v>44543</v>
      </c>
      <c r="M3252" s="143">
        <v>40</v>
      </c>
      <c r="P3252" s="4" t="str">
        <f>VLOOKUP(H3252,Stock_list!A:Y,25,FALSE)</f>
        <v>Yes</v>
      </c>
      <c r="T3252" s="144"/>
      <c r="U3252" s="145" t="str">
        <f>VLOOKUP(H3252,Stock_list!A:N,14,FALSE)</f>
        <v>DEC 21</v>
      </c>
    </row>
    <row r="3253" spans="1:21" ht="16.5" customHeight="1">
      <c r="A3253" s="159" t="s">
        <v>2747</v>
      </c>
      <c r="B3253" s="114" t="str">
        <f>VLOOKUP(A3253,'Data pick slip'!B:F,5,FALSE)</f>
        <v>KHJ-MC200-00</v>
      </c>
      <c r="F3253" s="157" t="s">
        <v>2753</v>
      </c>
      <c r="H3253" s="138">
        <v>1501</v>
      </c>
      <c r="I3253" s="139" t="str">
        <f>VLOOKUP(H3253,Stock_list!A:R,18,FALSE)</f>
        <v>嘉力达</v>
      </c>
      <c r="J3253" s="139" t="str">
        <f>VLOOKUP(H3253,Stock_list!A:S,17,FALSE)</f>
        <v>C49SZX20210204SS</v>
      </c>
      <c r="K3253" s="51" t="str">
        <f>VLOOKUP(H3253,Stock_list!A:T,16,FALSE)</f>
        <v>RMB</v>
      </c>
      <c r="L3253" s="4">
        <v>44543</v>
      </c>
      <c r="M3253" s="143">
        <v>10</v>
      </c>
      <c r="P3253" s="4" t="str">
        <f>VLOOKUP(H3253,Stock_list!A:Y,25,FALSE)</f>
        <v>Yes</v>
      </c>
      <c r="T3253" s="144"/>
      <c r="U3253" s="145" t="str">
        <f>VLOOKUP(H3253,Stock_list!A:N,14,FALSE)</f>
        <v>DEC 21</v>
      </c>
    </row>
    <row r="3254" spans="1:21" ht="16.5" customHeight="1">
      <c r="A3254" s="159" t="s">
        <v>2748</v>
      </c>
      <c r="B3254" s="114" t="str">
        <f>VLOOKUP(A3254,'Data pick slip'!B:F,5,FALSE)</f>
        <v>KHJ-MC400-00</v>
      </c>
      <c r="F3254" s="157" t="s">
        <v>2753</v>
      </c>
      <c r="H3254" s="138">
        <v>1501</v>
      </c>
      <c r="I3254" s="139" t="str">
        <f>VLOOKUP(H3254,Stock_list!A:R,18,FALSE)</f>
        <v>嘉力达</v>
      </c>
      <c r="J3254" s="139" t="str">
        <f>VLOOKUP(H3254,Stock_list!A:S,17,FALSE)</f>
        <v>C49SZX20210204SS</v>
      </c>
      <c r="K3254" s="51" t="str">
        <f>VLOOKUP(H3254,Stock_list!A:T,16,FALSE)</f>
        <v>RMB</v>
      </c>
      <c r="L3254" s="4">
        <v>44543</v>
      </c>
      <c r="M3254" s="143">
        <v>2</v>
      </c>
      <c r="P3254" s="4" t="str">
        <f>VLOOKUP(H3254,Stock_list!A:Y,25,FALSE)</f>
        <v>Yes</v>
      </c>
      <c r="T3254" s="144"/>
      <c r="U3254" s="145" t="str">
        <f>VLOOKUP(H3254,Stock_list!A:N,14,FALSE)</f>
        <v>DEC 21</v>
      </c>
    </row>
    <row r="3255" spans="1:21" ht="16.5" customHeight="1">
      <c r="A3255" s="159" t="s">
        <v>2751</v>
      </c>
      <c r="B3255" s="114" t="str">
        <f>VLOOKUP(A3255,'Data pick slip'!B:F,5,FALSE)</f>
        <v>KHJ-MC700-00</v>
      </c>
      <c r="F3255" s="157" t="s">
        <v>2753</v>
      </c>
      <c r="I3255" s="139" t="s">
        <v>3093</v>
      </c>
      <c r="J3255" s="270" t="s">
        <v>3484</v>
      </c>
      <c r="K3255" s="51" t="s">
        <v>1246</v>
      </c>
      <c r="L3255" s="4">
        <v>44498</v>
      </c>
      <c r="M3255" s="140">
        <v>1</v>
      </c>
      <c r="P3255" s="4" t="s">
        <v>291</v>
      </c>
      <c r="Q3255" s="143"/>
      <c r="T3255" s="144"/>
      <c r="U3255" s="145" t="e">
        <f>VLOOKUP(H3255,Stock_list!A:N,14,FALSE)</f>
        <v>#N/A</v>
      </c>
    </row>
    <row r="3256" spans="1:21" ht="16.5" customHeight="1">
      <c r="A3256" s="159" t="s">
        <v>2744</v>
      </c>
      <c r="B3256" s="114" t="str">
        <f>VLOOKUP(A3256,'Data pick slip'!B:F,5,FALSE)</f>
        <v>KHJ-MC100-00</v>
      </c>
      <c r="F3256" s="157" t="s">
        <v>2762</v>
      </c>
      <c r="H3256" s="138">
        <v>1503</v>
      </c>
      <c r="I3256" s="139" t="e">
        <f>VLOOKUP(H3256,Stock_list!A:R,18,FALSE)</f>
        <v>#N/A</v>
      </c>
      <c r="J3256" s="139" t="e">
        <f>VLOOKUP(H3256,Stock_list!A:S,17,FALSE)</f>
        <v>#N/A</v>
      </c>
      <c r="K3256" s="51" t="e">
        <f>VLOOKUP(H3256,Stock_list!A:T,16,FALSE)</f>
        <v>#N/A</v>
      </c>
      <c r="L3256" s="4"/>
      <c r="P3256" s="4" t="e">
        <f>VLOOKUP(H3256,Stock_list!A:Y,25,FALSE)</f>
        <v>#N/A</v>
      </c>
      <c r="Q3256" s="143">
        <v>20</v>
      </c>
      <c r="T3256" s="144"/>
      <c r="U3256" s="145" t="e">
        <f>VLOOKUP(H3256,Stock_list!A:N,14,FALSE)</f>
        <v>#N/A</v>
      </c>
    </row>
    <row r="3257" spans="1:21" ht="16.5" customHeight="1">
      <c r="A3257" s="159" t="s">
        <v>2747</v>
      </c>
      <c r="B3257" s="114" t="str">
        <f>VLOOKUP(A3257,'Data pick slip'!B:F,5,FALSE)</f>
        <v>KHJ-MC200-00</v>
      </c>
      <c r="F3257" s="157" t="s">
        <v>2762</v>
      </c>
      <c r="H3257" s="138">
        <v>1503</v>
      </c>
      <c r="I3257" s="139" t="e">
        <f>VLOOKUP(H3257,Stock_list!A:R,18,FALSE)</f>
        <v>#N/A</v>
      </c>
      <c r="J3257" s="139" t="e">
        <f>VLOOKUP(H3257,Stock_list!A:S,17,FALSE)</f>
        <v>#N/A</v>
      </c>
      <c r="K3257" s="51" t="e">
        <f>VLOOKUP(H3257,Stock_list!A:T,16,FALSE)</f>
        <v>#N/A</v>
      </c>
      <c r="L3257" s="4"/>
      <c r="P3257" s="4" t="e">
        <f>VLOOKUP(H3257,Stock_list!A:Y,25,FALSE)</f>
        <v>#N/A</v>
      </c>
      <c r="Q3257" s="143">
        <v>2</v>
      </c>
      <c r="T3257" s="144"/>
      <c r="U3257" s="145" t="e">
        <f>VLOOKUP(H3257,Stock_list!A:N,14,FALSE)</f>
        <v>#N/A</v>
      </c>
    </row>
    <row r="3258" spans="1:21" ht="16.5" customHeight="1">
      <c r="A3258" s="159" t="s">
        <v>2744</v>
      </c>
      <c r="B3258" s="114" t="str">
        <f>VLOOKUP(A3258,'Data pick slip'!B:F,5,FALSE)</f>
        <v>KHJ-MC100-00</v>
      </c>
      <c r="F3258" s="157" t="s">
        <v>1381</v>
      </c>
      <c r="I3258" s="139" t="s">
        <v>3015</v>
      </c>
      <c r="J3258" s="139" t="s">
        <v>3485</v>
      </c>
      <c r="K3258" s="51" t="s">
        <v>1246</v>
      </c>
      <c r="L3258" s="4">
        <v>44529</v>
      </c>
      <c r="M3258" s="308">
        <v>70</v>
      </c>
      <c r="P3258" s="4" t="s">
        <v>291</v>
      </c>
      <c r="Q3258" s="143"/>
      <c r="T3258" s="144"/>
      <c r="U3258" s="145" t="e">
        <f>VLOOKUP(H3258,Stock_list!A:N,14,FALSE)</f>
        <v>#N/A</v>
      </c>
    </row>
    <row r="3259" spans="1:21" ht="16.5" customHeight="1">
      <c r="A3259" s="159" t="s">
        <v>2748</v>
      </c>
      <c r="B3259" s="114" t="str">
        <f>VLOOKUP(A3259,'Data pick slip'!B:F,5,FALSE)</f>
        <v>KHJ-MC400-00</v>
      </c>
      <c r="F3259" s="157" t="s">
        <v>1381</v>
      </c>
      <c r="I3259" s="139" t="s">
        <v>3015</v>
      </c>
      <c r="J3259" s="139" t="s">
        <v>3485</v>
      </c>
      <c r="K3259" s="51" t="s">
        <v>1246</v>
      </c>
      <c r="L3259" s="4">
        <v>44529</v>
      </c>
      <c r="M3259" s="308">
        <v>20</v>
      </c>
      <c r="P3259" s="4" t="s">
        <v>291</v>
      </c>
      <c r="Q3259" s="143"/>
      <c r="T3259" s="144"/>
      <c r="U3259" s="145" t="e">
        <f>VLOOKUP(H3259,Stock_list!A:N,14,FALSE)</f>
        <v>#N/A</v>
      </c>
    </row>
    <row r="3260" spans="1:21" ht="16.5" customHeight="1">
      <c r="A3260" s="159" t="s">
        <v>2749</v>
      </c>
      <c r="B3260" s="114" t="str">
        <f>VLOOKUP(A3260,'Data pick slip'!B:F,5,FALSE)</f>
        <v>KHJ-MC500-00</v>
      </c>
      <c r="F3260" s="157" t="s">
        <v>1381</v>
      </c>
      <c r="I3260" s="139" t="s">
        <v>3015</v>
      </c>
      <c r="J3260" s="139" t="s">
        <v>3485</v>
      </c>
      <c r="K3260" s="51" t="s">
        <v>1246</v>
      </c>
      <c r="L3260" s="4">
        <v>44529</v>
      </c>
      <c r="M3260" s="308">
        <f>20+13</f>
        <v>33</v>
      </c>
      <c r="P3260" s="4" t="s">
        <v>291</v>
      </c>
      <c r="Q3260" s="143"/>
      <c r="T3260" s="144"/>
      <c r="U3260" s="145" t="e">
        <f>VLOOKUP(H3260,Stock_list!A:N,14,FALSE)</f>
        <v>#N/A</v>
      </c>
    </row>
    <row r="3261" spans="1:21" ht="16.5" customHeight="1">
      <c r="A3261" s="159" t="s">
        <v>2750</v>
      </c>
      <c r="B3261" s="114" t="str">
        <f>VLOOKUP(A3261,'Data pick slip'!B:F,5,FALSE)</f>
        <v>KHJ-MC600-00</v>
      </c>
      <c r="F3261" s="157" t="s">
        <v>1381</v>
      </c>
      <c r="I3261" s="139" t="s">
        <v>3015</v>
      </c>
      <c r="J3261" s="139" t="s">
        <v>3485</v>
      </c>
      <c r="K3261" s="51" t="s">
        <v>1246</v>
      </c>
      <c r="L3261" s="4">
        <v>44529</v>
      </c>
      <c r="M3261" s="308">
        <v>5</v>
      </c>
      <c r="P3261" s="4" t="s">
        <v>291</v>
      </c>
      <c r="Q3261" s="143"/>
      <c r="T3261" s="144"/>
      <c r="U3261" s="145" t="e">
        <f>VLOOKUP(H3261,Stock_list!A:N,14,FALSE)</f>
        <v>#N/A</v>
      </c>
    </row>
    <row r="3262" spans="1:21" ht="16.5" customHeight="1">
      <c r="A3262" s="159" t="s">
        <v>2751</v>
      </c>
      <c r="B3262" s="114" t="str">
        <f>VLOOKUP(A3262,'Data pick slip'!B:F,5,FALSE)</f>
        <v>KHJ-MC700-00</v>
      </c>
      <c r="F3262" s="157" t="s">
        <v>1381</v>
      </c>
      <c r="I3262" s="139" t="s">
        <v>3015</v>
      </c>
      <c r="J3262" s="139" t="s">
        <v>3485</v>
      </c>
      <c r="K3262" s="51" t="s">
        <v>1246</v>
      </c>
      <c r="L3262" s="4">
        <v>44529</v>
      </c>
      <c r="M3262" s="308">
        <v>1</v>
      </c>
      <c r="P3262" s="4" t="s">
        <v>291</v>
      </c>
      <c r="Q3262" s="143"/>
      <c r="T3262" s="144"/>
      <c r="U3262" s="145" t="e">
        <f>VLOOKUP(H3262,Stock_list!A:N,14,FALSE)</f>
        <v>#N/A</v>
      </c>
    </row>
    <row r="3263" spans="1:21" ht="16.5" customHeight="1">
      <c r="A3263" s="159" t="s">
        <v>2752</v>
      </c>
      <c r="B3263" s="114" t="str">
        <f>VLOOKUP(A3263,'Data pick slip'!B:F,5,FALSE)</f>
        <v>KHJ-MC800-00</v>
      </c>
      <c r="F3263" s="157" t="s">
        <v>1381</v>
      </c>
      <c r="I3263" s="139" t="s">
        <v>3015</v>
      </c>
      <c r="J3263" s="139" t="s">
        <v>3485</v>
      </c>
      <c r="K3263" s="51" t="s">
        <v>1246</v>
      </c>
      <c r="L3263" s="4">
        <v>44529</v>
      </c>
      <c r="M3263" s="308">
        <v>1</v>
      </c>
      <c r="P3263" s="4" t="s">
        <v>291</v>
      </c>
      <c r="Q3263" s="143"/>
      <c r="T3263" s="144"/>
      <c r="U3263" s="145" t="e">
        <f>VLOOKUP(H3263,Stock_list!A:N,14,FALSE)</f>
        <v>#N/A</v>
      </c>
    </row>
    <row r="3264" spans="1:21" ht="16.5" customHeight="1">
      <c r="A3264" s="159" t="s">
        <v>2744</v>
      </c>
      <c r="B3264" s="114" t="str">
        <f>VLOOKUP(A3264,'Data pick slip'!B:F,5,FALSE)</f>
        <v>KHJ-MC100-00</v>
      </c>
      <c r="F3264" s="157" t="s">
        <v>1381</v>
      </c>
      <c r="H3264" s="138">
        <v>1504</v>
      </c>
      <c r="I3264" s="139" t="str">
        <f>VLOOKUP(H3264,Stock_list!A:R,18,FALSE)</f>
        <v>河南融创</v>
      </c>
      <c r="J3264" s="139" t="str">
        <f>VLOOKUP(H3264,Stock_list!A:S,17,FALSE)</f>
        <v>C49SZX20210103MZ</v>
      </c>
      <c r="K3264" s="51" t="str">
        <f>VLOOKUP(H3264,Stock_list!A:T,16,FALSE)</f>
        <v>JPY</v>
      </c>
      <c r="L3264" s="4">
        <v>44701</v>
      </c>
      <c r="M3264" s="132">
        <v>80</v>
      </c>
      <c r="P3264" s="4" t="str">
        <f>VLOOKUP(H3264,Stock_list!A:Y,25,FALSE)</f>
        <v>Yes</v>
      </c>
      <c r="Q3264" s="143"/>
      <c r="T3264" s="144"/>
      <c r="U3264" s="145" t="str">
        <f>VLOOKUP(H3264,Stock_list!A:N,14,FALSE)</f>
        <v>MAY 22</v>
      </c>
    </row>
    <row r="3265" spans="1:21" ht="16.5" customHeight="1">
      <c r="A3265" s="159" t="s">
        <v>2747</v>
      </c>
      <c r="B3265" s="114" t="str">
        <f>VLOOKUP(A3265,'Data pick slip'!B:F,5,FALSE)</f>
        <v>KHJ-MC200-00</v>
      </c>
      <c r="F3265" s="157" t="s">
        <v>1381</v>
      </c>
      <c r="H3265" s="138">
        <v>1504</v>
      </c>
      <c r="I3265" s="139" t="str">
        <f>VLOOKUP(H3265,Stock_list!A:R,18,FALSE)</f>
        <v>河南融创</v>
      </c>
      <c r="J3265" s="139" t="str">
        <f>VLOOKUP(H3265,Stock_list!A:S,17,FALSE)</f>
        <v>C49SZX20210103MZ</v>
      </c>
      <c r="K3265" s="51" t="str">
        <f>VLOOKUP(H3265,Stock_list!A:T,16,FALSE)</f>
        <v>JPY</v>
      </c>
      <c r="L3265" s="4">
        <v>44701</v>
      </c>
      <c r="M3265" s="132">
        <v>20</v>
      </c>
      <c r="P3265" s="4" t="str">
        <f>VLOOKUP(H3265,Stock_list!A:Y,25,FALSE)</f>
        <v>Yes</v>
      </c>
      <c r="Q3265" s="143"/>
      <c r="T3265" s="144"/>
      <c r="U3265" s="145" t="str">
        <f>VLOOKUP(H3265,Stock_list!A:N,14,FALSE)</f>
        <v>MAY 22</v>
      </c>
    </row>
    <row r="3266" spans="1:21" ht="16.5" customHeight="1">
      <c r="A3266" s="159" t="s">
        <v>2748</v>
      </c>
      <c r="B3266" s="114" t="str">
        <f>VLOOKUP(A3266,'Data pick slip'!B:F,5,FALSE)</f>
        <v>KHJ-MC400-00</v>
      </c>
      <c r="F3266" s="157" t="s">
        <v>1381</v>
      </c>
      <c r="H3266" s="138">
        <v>1504</v>
      </c>
      <c r="I3266" s="139" t="str">
        <f>VLOOKUP(H3266,Stock_list!A:R,18,FALSE)</f>
        <v>河南融创</v>
      </c>
      <c r="J3266" s="139" t="str">
        <f>VLOOKUP(H3266,Stock_list!A:S,17,FALSE)</f>
        <v>C49SZX20210103MZ</v>
      </c>
      <c r="K3266" s="51" t="str">
        <f>VLOOKUP(H3266,Stock_list!A:T,16,FALSE)</f>
        <v>JPY</v>
      </c>
      <c r="L3266" s="4">
        <v>44701</v>
      </c>
      <c r="M3266" s="132">
        <v>3</v>
      </c>
      <c r="P3266" s="4" t="str">
        <f>VLOOKUP(H3266,Stock_list!A:Y,25,FALSE)</f>
        <v>Yes</v>
      </c>
      <c r="Q3266" s="143"/>
      <c r="T3266" s="144"/>
      <c r="U3266" s="145" t="str">
        <f>VLOOKUP(H3266,Stock_list!A:N,14,FALSE)</f>
        <v>MAY 22</v>
      </c>
    </row>
    <row r="3267" spans="1:21" ht="16.5" customHeight="1">
      <c r="A3267" s="159" t="s">
        <v>2749</v>
      </c>
      <c r="B3267" s="114" t="str">
        <f>VLOOKUP(A3267,'Data pick slip'!B:F,5,FALSE)</f>
        <v>KHJ-MC500-00</v>
      </c>
      <c r="F3267" s="157" t="s">
        <v>1381</v>
      </c>
      <c r="H3267" s="138">
        <v>1504</v>
      </c>
      <c r="I3267" s="139" t="str">
        <f>VLOOKUP(H3267,Stock_list!A:R,18,FALSE)</f>
        <v>河南融创</v>
      </c>
      <c r="J3267" s="139" t="str">
        <f>VLOOKUP(H3267,Stock_list!A:S,17,FALSE)</f>
        <v>C49SZX20210103MZ</v>
      </c>
      <c r="K3267" s="51" t="str">
        <f>VLOOKUP(H3267,Stock_list!A:T,16,FALSE)</f>
        <v>JPY</v>
      </c>
      <c r="L3267" s="4">
        <v>44701</v>
      </c>
      <c r="M3267" s="132">
        <v>2</v>
      </c>
      <c r="P3267" s="4" t="str">
        <f>VLOOKUP(H3267,Stock_list!A:Y,25,FALSE)</f>
        <v>Yes</v>
      </c>
      <c r="Q3267" s="143"/>
      <c r="T3267" s="144"/>
      <c r="U3267" s="145" t="str">
        <f>VLOOKUP(H3267,Stock_list!A:N,14,FALSE)</f>
        <v>MAY 22</v>
      </c>
    </row>
    <row r="3268" spans="1:21" ht="16.5" customHeight="1">
      <c r="A3268" s="159" t="s">
        <v>2750</v>
      </c>
      <c r="B3268" s="114" t="str">
        <f>VLOOKUP(A3268,'Data pick slip'!B:F,5,FALSE)</f>
        <v>KHJ-MC600-00</v>
      </c>
      <c r="F3268" s="157" t="s">
        <v>1381</v>
      </c>
      <c r="H3268" s="138">
        <v>1504</v>
      </c>
      <c r="I3268" s="139" t="str">
        <f>VLOOKUP(H3268,Stock_list!A:R,18,FALSE)</f>
        <v>河南融创</v>
      </c>
      <c r="J3268" s="139" t="str">
        <f>VLOOKUP(H3268,Stock_list!A:S,17,FALSE)</f>
        <v>C49SZX20210103MZ</v>
      </c>
      <c r="K3268" s="51" t="str">
        <f>VLOOKUP(H3268,Stock_list!A:T,16,FALSE)</f>
        <v>JPY</v>
      </c>
      <c r="L3268" s="4">
        <v>44701</v>
      </c>
      <c r="M3268" s="132">
        <v>2</v>
      </c>
      <c r="P3268" s="4" t="str">
        <f>VLOOKUP(H3268,Stock_list!A:Y,25,FALSE)</f>
        <v>Yes</v>
      </c>
      <c r="Q3268" s="143"/>
      <c r="T3268" s="144"/>
      <c r="U3268" s="145" t="str">
        <f>VLOOKUP(H3268,Stock_list!A:N,14,FALSE)</f>
        <v>MAY 22</v>
      </c>
    </row>
    <row r="3269" spans="1:21" ht="16.5" customHeight="1">
      <c r="A3269" s="159" t="s">
        <v>2744</v>
      </c>
      <c r="B3269" s="114" t="str">
        <f>VLOOKUP(A3269,'Data pick slip'!B:F,5,FALSE)</f>
        <v>KHJ-MC100-00</v>
      </c>
      <c r="F3269" s="157" t="s">
        <v>1381</v>
      </c>
      <c r="H3269" s="138">
        <v>1504</v>
      </c>
      <c r="I3269" s="139" t="str">
        <f>VLOOKUP(H3269,Stock_list!A:R,18,FALSE)</f>
        <v>河南融创</v>
      </c>
      <c r="J3269" s="139" t="str">
        <f>VLOOKUP(H3269,Stock_list!A:S,17,FALSE)</f>
        <v>C49SZX20210103MZ</v>
      </c>
      <c r="K3269" s="51" t="str">
        <f>VLOOKUP(H3269,Stock_list!A:T,16,FALSE)</f>
        <v>JPY</v>
      </c>
      <c r="L3269" s="4">
        <v>44642</v>
      </c>
      <c r="M3269" s="132">
        <v>80</v>
      </c>
      <c r="P3269" s="4" t="str">
        <f>VLOOKUP(H3269,Stock_list!A:Y,25,FALSE)</f>
        <v>Yes</v>
      </c>
      <c r="Q3269" s="143"/>
      <c r="T3269" s="144"/>
      <c r="U3269" s="145" t="str">
        <f>VLOOKUP(H3269,Stock_list!A:N,14,FALSE)</f>
        <v>MAY 22</v>
      </c>
    </row>
    <row r="3270" spans="1:21" ht="16.5" customHeight="1">
      <c r="A3270" s="159" t="s">
        <v>2747</v>
      </c>
      <c r="B3270" s="114" t="str">
        <f>VLOOKUP(A3270,'Data pick slip'!B:F,5,FALSE)</f>
        <v>KHJ-MC200-00</v>
      </c>
      <c r="F3270" s="157" t="s">
        <v>1381</v>
      </c>
      <c r="H3270" s="138">
        <v>1504</v>
      </c>
      <c r="I3270" s="139" t="str">
        <f>VLOOKUP(H3270,Stock_list!A:R,18,FALSE)</f>
        <v>河南融创</v>
      </c>
      <c r="J3270" s="139" t="str">
        <f>VLOOKUP(H3270,Stock_list!A:S,17,FALSE)</f>
        <v>C49SZX20210103MZ</v>
      </c>
      <c r="K3270" s="51" t="str">
        <f>VLOOKUP(H3270,Stock_list!A:T,16,FALSE)</f>
        <v>JPY</v>
      </c>
      <c r="L3270" s="4">
        <v>44642</v>
      </c>
      <c r="M3270" s="132">
        <v>20</v>
      </c>
      <c r="P3270" s="4" t="str">
        <f>VLOOKUP(H3270,Stock_list!A:Y,25,FALSE)</f>
        <v>Yes</v>
      </c>
      <c r="Q3270" s="143"/>
      <c r="T3270" s="144"/>
      <c r="U3270" s="145" t="str">
        <f>VLOOKUP(H3270,Stock_list!A:N,14,FALSE)</f>
        <v>MAY 22</v>
      </c>
    </row>
    <row r="3271" spans="1:21" ht="16.5" customHeight="1">
      <c r="A3271" s="159" t="s">
        <v>2748</v>
      </c>
      <c r="B3271" s="114" t="str">
        <f>VLOOKUP(A3271,'Data pick slip'!B:F,5,FALSE)</f>
        <v>KHJ-MC400-00</v>
      </c>
      <c r="F3271" s="157" t="s">
        <v>1381</v>
      </c>
      <c r="H3271" s="138">
        <v>1504</v>
      </c>
      <c r="I3271" s="139" t="str">
        <f>VLOOKUP(H3271,Stock_list!A:R,18,FALSE)</f>
        <v>河南融创</v>
      </c>
      <c r="J3271" s="139" t="str">
        <f>VLOOKUP(H3271,Stock_list!A:S,17,FALSE)</f>
        <v>C49SZX20210103MZ</v>
      </c>
      <c r="K3271" s="51" t="str">
        <f>VLOOKUP(H3271,Stock_list!A:T,16,FALSE)</f>
        <v>JPY</v>
      </c>
      <c r="L3271" s="4">
        <v>44642</v>
      </c>
      <c r="M3271" s="140">
        <v>3</v>
      </c>
      <c r="P3271" s="4" t="str">
        <f>VLOOKUP(H3271,Stock_list!A:Y,25,FALSE)</f>
        <v>Yes</v>
      </c>
      <c r="Q3271" s="143"/>
      <c r="T3271" s="144"/>
      <c r="U3271" s="145" t="str">
        <f>VLOOKUP(H3271,Stock_list!A:N,14,FALSE)</f>
        <v>MAY 22</v>
      </c>
    </row>
    <row r="3272" spans="1:21" ht="16.5" customHeight="1">
      <c r="A3272" s="159" t="s">
        <v>2749</v>
      </c>
      <c r="B3272" s="114" t="str">
        <f>VLOOKUP(A3272,'Data pick slip'!B:F,5,FALSE)</f>
        <v>KHJ-MC500-00</v>
      </c>
      <c r="F3272" s="157" t="s">
        <v>1381</v>
      </c>
      <c r="H3272" s="138">
        <v>1504</v>
      </c>
      <c r="I3272" s="139" t="str">
        <f>VLOOKUP(H3272,Stock_list!A:R,18,FALSE)</f>
        <v>河南融创</v>
      </c>
      <c r="J3272" s="139" t="str">
        <f>VLOOKUP(H3272,Stock_list!A:S,17,FALSE)</f>
        <v>C49SZX20210103MZ</v>
      </c>
      <c r="K3272" s="51" t="str">
        <f>VLOOKUP(H3272,Stock_list!A:T,16,FALSE)</f>
        <v>JPY</v>
      </c>
      <c r="L3272" s="4">
        <v>44642</v>
      </c>
      <c r="M3272" s="140">
        <v>2</v>
      </c>
      <c r="P3272" s="4" t="str">
        <f>VLOOKUP(H3272,Stock_list!A:Y,25,FALSE)</f>
        <v>Yes</v>
      </c>
      <c r="Q3272" s="143"/>
      <c r="T3272" s="144"/>
      <c r="U3272" s="145" t="str">
        <f>VLOOKUP(H3272,Stock_list!A:N,14,FALSE)</f>
        <v>MAY 22</v>
      </c>
    </row>
    <row r="3273" spans="1:21" ht="16.5" customHeight="1">
      <c r="A3273" s="159" t="s">
        <v>2750</v>
      </c>
      <c r="B3273" s="114" t="str">
        <f>VLOOKUP(A3273,'Data pick slip'!B:F,5,FALSE)</f>
        <v>KHJ-MC600-00</v>
      </c>
      <c r="F3273" s="157" t="s">
        <v>1381</v>
      </c>
      <c r="H3273" s="138">
        <v>1504</v>
      </c>
      <c r="I3273" s="139" t="str">
        <f>VLOOKUP(H3273,Stock_list!A:R,18,FALSE)</f>
        <v>河南融创</v>
      </c>
      <c r="J3273" s="139" t="str">
        <f>VLOOKUP(H3273,Stock_list!A:S,17,FALSE)</f>
        <v>C49SZX20210103MZ</v>
      </c>
      <c r="K3273" s="51" t="str">
        <f>VLOOKUP(H3273,Stock_list!A:T,16,FALSE)</f>
        <v>JPY</v>
      </c>
      <c r="L3273" s="4">
        <v>44642</v>
      </c>
      <c r="M3273" s="140">
        <v>2</v>
      </c>
      <c r="P3273" s="4" t="str">
        <f>VLOOKUP(H3273,Stock_list!A:Y,25,FALSE)</f>
        <v>Yes</v>
      </c>
      <c r="Q3273" s="143"/>
      <c r="T3273" s="144"/>
      <c r="U3273" s="145" t="str">
        <f>VLOOKUP(H3273,Stock_list!A:N,14,FALSE)</f>
        <v>MAY 22</v>
      </c>
    </row>
    <row r="3274" spans="1:21" ht="16.5" customHeight="1">
      <c r="A3274" s="159" t="s">
        <v>2744</v>
      </c>
      <c r="B3274" s="114" t="str">
        <f>VLOOKUP(A3274,'Data pick slip'!B:F,5,FALSE)</f>
        <v>KHJ-MC100-00</v>
      </c>
      <c r="F3274" s="157" t="s">
        <v>1381</v>
      </c>
      <c r="H3274" s="138">
        <v>1508</v>
      </c>
      <c r="I3274" s="139" t="str">
        <f>VLOOKUP(H3274,Stock_list!A:R,18,FALSE)</f>
        <v>海凌科达</v>
      </c>
      <c r="J3274" s="139" t="str">
        <f>VLOOKUP(H3274,Stock_list!A:S,17,FALSE)</f>
        <v>C49SZX20210207JY</v>
      </c>
      <c r="K3274" s="51" t="str">
        <f>VLOOKUP(H3274,Stock_list!A:T,16,FALSE)</f>
        <v>JPY</v>
      </c>
      <c r="L3274" s="4">
        <v>44691</v>
      </c>
      <c r="M3274" s="132">
        <v>15</v>
      </c>
      <c r="P3274" s="4" t="str">
        <f>VLOOKUP(H3274,Stock_list!A:Y,25,FALSE)</f>
        <v>Yes</v>
      </c>
      <c r="Q3274" s="143"/>
      <c r="T3274" s="144"/>
      <c r="U3274" s="145" t="str">
        <f>VLOOKUP(H3274,Stock_list!A:N,14,FALSE)</f>
        <v>MAY 22</v>
      </c>
    </row>
    <row r="3275" spans="1:21" ht="16.5" customHeight="1">
      <c r="A3275" s="159" t="s">
        <v>2748</v>
      </c>
      <c r="B3275" s="114" t="str">
        <f>VLOOKUP(A3275,'Data pick slip'!B:F,5,FALSE)</f>
        <v>KHJ-MC400-00</v>
      </c>
      <c r="F3275" s="157" t="s">
        <v>1381</v>
      </c>
      <c r="H3275" s="138">
        <v>1508</v>
      </c>
      <c r="I3275" s="139" t="str">
        <f>VLOOKUP(H3275,Stock_list!A:R,18,FALSE)</f>
        <v>海凌科达</v>
      </c>
      <c r="J3275" s="139" t="str">
        <f>VLOOKUP(H3275,Stock_list!A:S,17,FALSE)</f>
        <v>C49SZX20210207JY</v>
      </c>
      <c r="K3275" s="51" t="str">
        <f>VLOOKUP(H3275,Stock_list!A:T,16,FALSE)</f>
        <v>JPY</v>
      </c>
      <c r="L3275" s="4">
        <v>44691</v>
      </c>
      <c r="M3275" s="132">
        <v>2</v>
      </c>
      <c r="P3275" s="4" t="str">
        <f>VLOOKUP(H3275,Stock_list!A:Y,25,FALSE)</f>
        <v>Yes</v>
      </c>
      <c r="Q3275" s="143"/>
      <c r="T3275" s="144"/>
      <c r="U3275" s="145" t="str">
        <f>VLOOKUP(H3275,Stock_list!A:N,14,FALSE)</f>
        <v>MAY 22</v>
      </c>
    </row>
    <row r="3276" spans="1:21" ht="16.5" customHeight="1">
      <c r="A3276" s="159" t="s">
        <v>2751</v>
      </c>
      <c r="B3276" s="114" t="str">
        <f>VLOOKUP(A3276,'Data pick slip'!B:F,5,FALSE)</f>
        <v>KHJ-MC700-00</v>
      </c>
      <c r="F3276" s="157" t="s">
        <v>1381</v>
      </c>
      <c r="H3276" s="138">
        <v>1508</v>
      </c>
      <c r="I3276" s="139" t="str">
        <f>VLOOKUP(H3276,Stock_list!A:R,18,FALSE)</f>
        <v>海凌科达</v>
      </c>
      <c r="J3276" s="139" t="str">
        <f>VLOOKUP(H3276,Stock_list!A:S,17,FALSE)</f>
        <v>C49SZX20210207JY</v>
      </c>
      <c r="K3276" s="51" t="str">
        <f>VLOOKUP(H3276,Stock_list!A:T,16,FALSE)</f>
        <v>JPY</v>
      </c>
      <c r="L3276" s="4">
        <v>44691</v>
      </c>
      <c r="M3276" s="132">
        <v>1</v>
      </c>
      <c r="P3276" s="4" t="str">
        <f>VLOOKUP(H3276,Stock_list!A:Y,25,FALSE)</f>
        <v>Yes</v>
      </c>
      <c r="Q3276" s="143"/>
      <c r="T3276" s="144"/>
      <c r="U3276" s="145" t="str">
        <f>VLOOKUP(H3276,Stock_list!A:N,14,FALSE)</f>
        <v>MAY 22</v>
      </c>
    </row>
    <row r="3277" spans="1:21" ht="16.5" customHeight="1">
      <c r="A3277" s="159" t="s">
        <v>2747</v>
      </c>
      <c r="B3277" s="114" t="str">
        <f>VLOOKUP(A3277,'Data pick slip'!B:F,5,FALSE)</f>
        <v>KHJ-MC200-00</v>
      </c>
      <c r="F3277" s="157" t="s">
        <v>1381</v>
      </c>
      <c r="H3277" s="138">
        <v>1510</v>
      </c>
      <c r="I3277" s="139" t="str">
        <f>VLOOKUP(H3277,Stock_list!A:R,18,FALSE)</f>
        <v>维益</v>
      </c>
      <c r="J3277" s="139" t="str">
        <f>VLOOKUP(H3277,Stock_list!A:S,17,FALSE)</f>
        <v>C49SZX20210213SS</v>
      </c>
      <c r="K3277" s="51" t="str">
        <f>VLOOKUP(H3277,Stock_list!A:T,16,FALSE)</f>
        <v>JPY</v>
      </c>
      <c r="L3277" s="4">
        <v>44660</v>
      </c>
      <c r="M3277" s="132">
        <v>2</v>
      </c>
      <c r="P3277" s="4" t="str">
        <f>VLOOKUP(H3277,Stock_list!A:Y,25,FALSE)</f>
        <v>Yes</v>
      </c>
      <c r="Q3277" s="143"/>
      <c r="T3277" s="144"/>
      <c r="U3277" s="145" t="str">
        <f>VLOOKUP(H3277,Stock_list!A:N,14,FALSE)</f>
        <v>APR 22</v>
      </c>
    </row>
    <row r="3278" spans="1:21" ht="16.5" customHeight="1">
      <c r="A3278" s="159" t="s">
        <v>2748</v>
      </c>
      <c r="B3278" s="114" t="str">
        <f>VLOOKUP(A3278,'Data pick slip'!B:F,5,FALSE)</f>
        <v>KHJ-MC400-00</v>
      </c>
      <c r="F3278" s="157" t="s">
        <v>1381</v>
      </c>
      <c r="H3278" s="138">
        <v>1510</v>
      </c>
      <c r="I3278" s="139" t="str">
        <f>VLOOKUP(H3278,Stock_list!A:R,18,FALSE)</f>
        <v>维益</v>
      </c>
      <c r="J3278" s="139" t="str">
        <f>VLOOKUP(H3278,Stock_list!A:S,17,FALSE)</f>
        <v>C49SZX20210213SS</v>
      </c>
      <c r="K3278" s="51" t="str">
        <f>VLOOKUP(H3278,Stock_list!A:T,16,FALSE)</f>
        <v>JPY</v>
      </c>
      <c r="L3278" s="4">
        <v>44660</v>
      </c>
      <c r="M3278" s="132">
        <v>2</v>
      </c>
      <c r="P3278" s="4" t="str">
        <f>VLOOKUP(H3278,Stock_list!A:Y,25,FALSE)</f>
        <v>Yes</v>
      </c>
      <c r="Q3278" s="143"/>
      <c r="T3278" s="144"/>
      <c r="U3278" s="145" t="str">
        <f>VLOOKUP(H3278,Stock_list!A:N,14,FALSE)</f>
        <v>APR 22</v>
      </c>
    </row>
    <row r="3279" spans="1:21" ht="16.5" customHeight="1">
      <c r="A3279" s="159" t="s">
        <v>2749</v>
      </c>
      <c r="B3279" s="114" t="str">
        <f>VLOOKUP(A3279,'Data pick slip'!B:F,5,FALSE)</f>
        <v>KHJ-MC500-00</v>
      </c>
      <c r="F3279" s="157" t="s">
        <v>1381</v>
      </c>
      <c r="H3279" s="138">
        <v>1510</v>
      </c>
      <c r="I3279" s="139" t="str">
        <f>VLOOKUP(H3279,Stock_list!A:R,18,FALSE)</f>
        <v>维益</v>
      </c>
      <c r="J3279" s="139" t="str">
        <f>VLOOKUP(H3279,Stock_list!A:S,17,FALSE)</f>
        <v>C49SZX20210213SS</v>
      </c>
      <c r="K3279" s="51" t="str">
        <f>VLOOKUP(H3279,Stock_list!A:T,16,FALSE)</f>
        <v>JPY</v>
      </c>
      <c r="L3279" s="4">
        <v>44660</v>
      </c>
      <c r="M3279" s="132">
        <v>1</v>
      </c>
      <c r="P3279" s="4" t="str">
        <f>VLOOKUP(H3279,Stock_list!A:Y,25,FALSE)</f>
        <v>Yes</v>
      </c>
      <c r="Q3279" s="143"/>
      <c r="T3279" s="144"/>
      <c r="U3279" s="145" t="str">
        <f>VLOOKUP(H3279,Stock_list!A:N,14,FALSE)</f>
        <v>APR 22</v>
      </c>
    </row>
    <row r="3280" spans="1:21" ht="16.5" customHeight="1">
      <c r="A3280" s="159" t="s">
        <v>2750</v>
      </c>
      <c r="B3280" s="114" t="str">
        <f>VLOOKUP(A3280,'Data pick slip'!B:F,5,FALSE)</f>
        <v>KHJ-MC600-00</v>
      </c>
      <c r="F3280" s="157" t="s">
        <v>1381</v>
      </c>
      <c r="H3280" s="138">
        <v>1510</v>
      </c>
      <c r="I3280" s="139" t="str">
        <f>VLOOKUP(H3280,Stock_list!A:R,18,FALSE)</f>
        <v>维益</v>
      </c>
      <c r="J3280" s="139" t="str">
        <f>VLOOKUP(H3280,Stock_list!A:S,17,FALSE)</f>
        <v>C49SZX20210213SS</v>
      </c>
      <c r="K3280" s="51" t="str">
        <f>VLOOKUP(H3280,Stock_list!A:T,16,FALSE)</f>
        <v>JPY</v>
      </c>
      <c r="L3280" s="4">
        <v>44660</v>
      </c>
      <c r="M3280" s="132">
        <v>1</v>
      </c>
      <c r="P3280" s="4" t="str">
        <f>VLOOKUP(H3280,Stock_list!A:Y,25,FALSE)</f>
        <v>Yes</v>
      </c>
      <c r="Q3280" s="143"/>
      <c r="T3280" s="144"/>
      <c r="U3280" s="145" t="str">
        <f>VLOOKUP(H3280,Stock_list!A:N,14,FALSE)</f>
        <v>APR 22</v>
      </c>
    </row>
    <row r="3281" spans="1:21" ht="16.5" customHeight="1">
      <c r="A3281" s="159" t="s">
        <v>2744</v>
      </c>
      <c r="B3281" s="114" t="str">
        <f>VLOOKUP(A3281,'Data pick slip'!B:F,5,FALSE)</f>
        <v>KHJ-MC100-00</v>
      </c>
      <c r="F3281" s="157" t="s">
        <v>2753</v>
      </c>
      <c r="H3281" s="138">
        <v>1511</v>
      </c>
      <c r="I3281" s="139" t="str">
        <f>VLOOKUP(H3281,Stock_list!A:R,18,FALSE)</f>
        <v>骏孚</v>
      </c>
      <c r="J3281" s="139" t="str">
        <f>VLOOKUP(H3281,Stock_list!A:S,17,FALSE)</f>
        <v>C49SZX20210214EC</v>
      </c>
      <c r="K3281" s="51" t="str">
        <f>VLOOKUP(H3281,Stock_list!A:T,16,FALSE)</f>
        <v>RMB</v>
      </c>
      <c r="L3281" s="4">
        <v>44539</v>
      </c>
      <c r="M3281" s="143">
        <v>163</v>
      </c>
      <c r="P3281" s="4" t="str">
        <f>VLOOKUP(H3281,Stock_list!A:Y,25,FALSE)</f>
        <v>Yes</v>
      </c>
      <c r="T3281" s="144"/>
      <c r="U3281" s="145" t="str">
        <f>VLOOKUP(H3281,Stock_list!A:N,14,FALSE)</f>
        <v>DEC 21</v>
      </c>
    </row>
    <row r="3282" spans="1:21" ht="16.5" customHeight="1">
      <c r="A3282" s="159" t="s">
        <v>2747</v>
      </c>
      <c r="B3282" s="114" t="str">
        <f>VLOOKUP(A3282,'Data pick slip'!B:F,5,FALSE)</f>
        <v>KHJ-MC200-00</v>
      </c>
      <c r="F3282" s="157" t="s">
        <v>2753</v>
      </c>
      <c r="H3282" s="138">
        <v>1511</v>
      </c>
      <c r="I3282" s="139" t="str">
        <f>VLOOKUP(H3282,Stock_list!A:R,18,FALSE)</f>
        <v>骏孚</v>
      </c>
      <c r="J3282" s="139" t="str">
        <f>VLOOKUP(H3282,Stock_list!A:S,17,FALSE)</f>
        <v>C49SZX20210214EC</v>
      </c>
      <c r="K3282" s="51" t="str">
        <f>VLOOKUP(H3282,Stock_list!A:T,16,FALSE)</f>
        <v>RMB</v>
      </c>
      <c r="L3282" s="4">
        <v>44539</v>
      </c>
      <c r="M3282" s="143">
        <v>15</v>
      </c>
      <c r="P3282" s="4" t="str">
        <f>VLOOKUP(H3282,Stock_list!A:Y,25,FALSE)</f>
        <v>Yes</v>
      </c>
      <c r="T3282" s="144"/>
      <c r="U3282" s="145" t="str">
        <f>VLOOKUP(H3282,Stock_list!A:N,14,FALSE)</f>
        <v>DEC 21</v>
      </c>
    </row>
    <row r="3283" spans="1:21" ht="16.5" customHeight="1">
      <c r="A3283" s="159" t="s">
        <v>2748</v>
      </c>
      <c r="B3283" s="114" t="str">
        <f>VLOOKUP(A3283,'Data pick slip'!B:F,5,FALSE)</f>
        <v>KHJ-MC400-00</v>
      </c>
      <c r="F3283" s="157" t="s">
        <v>2753</v>
      </c>
      <c r="H3283" s="138">
        <v>1511</v>
      </c>
      <c r="I3283" s="139" t="str">
        <f>VLOOKUP(H3283,Stock_list!A:R,18,FALSE)</f>
        <v>骏孚</v>
      </c>
      <c r="J3283" s="139" t="str">
        <f>VLOOKUP(H3283,Stock_list!A:S,17,FALSE)</f>
        <v>C49SZX20210214EC</v>
      </c>
      <c r="K3283" s="51" t="str">
        <f>VLOOKUP(H3283,Stock_list!A:T,16,FALSE)</f>
        <v>RMB</v>
      </c>
      <c r="L3283" s="4">
        <v>44539</v>
      </c>
      <c r="M3283" s="143">
        <v>5</v>
      </c>
      <c r="P3283" s="4" t="str">
        <f>VLOOKUP(H3283,Stock_list!A:Y,25,FALSE)</f>
        <v>Yes</v>
      </c>
      <c r="T3283" s="144"/>
      <c r="U3283" s="145" t="str">
        <f>VLOOKUP(H3283,Stock_list!A:N,14,FALSE)</f>
        <v>DEC 21</v>
      </c>
    </row>
    <row r="3284" spans="1:21" ht="16.5" customHeight="1">
      <c r="A3284" s="159" t="s">
        <v>2744</v>
      </c>
      <c r="B3284" s="114" t="str">
        <f>VLOOKUP(A3284,'Data pick slip'!B:F,5,FALSE)</f>
        <v>KHJ-MC100-00</v>
      </c>
      <c r="F3284" s="157" t="s">
        <v>2753</v>
      </c>
      <c r="H3284" s="138">
        <v>1512</v>
      </c>
      <c r="I3284" s="139" t="str">
        <f>VLOOKUP(H3284,Stock_list!A:R,18,FALSE)</f>
        <v>勃旭</v>
      </c>
      <c r="J3284" s="139" t="str">
        <f>VLOOKUP(H3284,Stock_list!A:S,17,FALSE)</f>
        <v>C49SZX20210216AY</v>
      </c>
      <c r="K3284" s="51" t="str">
        <f>VLOOKUP(H3284,Stock_list!A:T,16,FALSE)</f>
        <v>RMB</v>
      </c>
      <c r="L3284" s="4">
        <v>44616</v>
      </c>
      <c r="M3284" s="140">
        <v>20</v>
      </c>
      <c r="P3284" s="4" t="str">
        <f>VLOOKUP(H3284,Stock_list!A:Y,25,FALSE)</f>
        <v>Yes</v>
      </c>
      <c r="Q3284" s="143"/>
      <c r="T3284" s="144"/>
      <c r="U3284" s="145" t="str">
        <f>VLOOKUP(H3284,Stock_list!A:N,14,FALSE)</f>
        <v>FEB 22</v>
      </c>
    </row>
    <row r="3285" spans="1:21" ht="16.5" customHeight="1">
      <c r="A3285" s="159" t="s">
        <v>2747</v>
      </c>
      <c r="B3285" s="114" t="str">
        <f>VLOOKUP(A3285,'Data pick slip'!B:F,5,FALSE)</f>
        <v>KHJ-MC200-00</v>
      </c>
      <c r="F3285" s="157" t="s">
        <v>2753</v>
      </c>
      <c r="H3285" s="138">
        <v>1512</v>
      </c>
      <c r="I3285" s="139" t="str">
        <f>VLOOKUP(H3285,Stock_list!A:R,18,FALSE)</f>
        <v>勃旭</v>
      </c>
      <c r="J3285" s="139" t="str">
        <f>VLOOKUP(H3285,Stock_list!A:S,17,FALSE)</f>
        <v>C49SZX20210216AY</v>
      </c>
      <c r="K3285" s="51" t="str">
        <f>VLOOKUP(H3285,Stock_list!A:T,16,FALSE)</f>
        <v>RMB</v>
      </c>
      <c r="L3285" s="4">
        <v>44616</v>
      </c>
      <c r="M3285" s="140">
        <v>4</v>
      </c>
      <c r="P3285" s="4" t="str">
        <f>VLOOKUP(H3285,Stock_list!A:Y,25,FALSE)</f>
        <v>Yes</v>
      </c>
      <c r="Q3285" s="143"/>
      <c r="T3285" s="144"/>
      <c r="U3285" s="145" t="str">
        <f>VLOOKUP(H3285,Stock_list!A:N,14,FALSE)</f>
        <v>FEB 22</v>
      </c>
    </row>
    <row r="3286" spans="1:21" ht="16.5" customHeight="1">
      <c r="A3286" s="159" t="s">
        <v>2744</v>
      </c>
      <c r="B3286" s="114" t="str">
        <f>VLOOKUP(A3286,'Data pick slip'!B:F,5,FALSE)</f>
        <v>KHJ-MC100-00</v>
      </c>
      <c r="F3286" s="157" t="s">
        <v>2753</v>
      </c>
      <c r="H3286" s="138">
        <v>1512</v>
      </c>
      <c r="I3286" s="139" t="str">
        <f>VLOOKUP(H3286,Stock_list!A:R,18,FALSE)</f>
        <v>勃旭</v>
      </c>
      <c r="J3286" s="139" t="str">
        <f>VLOOKUP(H3286,Stock_list!A:S,17,FALSE)</f>
        <v>C49SZX20210216AY</v>
      </c>
      <c r="K3286" s="51" t="str">
        <f>VLOOKUP(H3286,Stock_list!A:T,16,FALSE)</f>
        <v>RMB</v>
      </c>
      <c r="L3286" s="4">
        <v>44583</v>
      </c>
      <c r="M3286" s="140">
        <v>20</v>
      </c>
      <c r="P3286" s="4" t="str">
        <f>VLOOKUP(H3286,Stock_list!A:Y,25,FALSE)</f>
        <v>Yes</v>
      </c>
      <c r="Q3286" s="143"/>
      <c r="T3286" s="144"/>
      <c r="U3286" s="145" t="str">
        <f>VLOOKUP(H3286,Stock_list!A:N,14,FALSE)</f>
        <v>FEB 22</v>
      </c>
    </row>
    <row r="3287" spans="1:21" ht="16.5" customHeight="1">
      <c r="A3287" s="159" t="s">
        <v>2747</v>
      </c>
      <c r="B3287" s="114" t="str">
        <f>VLOOKUP(A3287,'Data pick slip'!B:F,5,FALSE)</f>
        <v>KHJ-MC200-00</v>
      </c>
      <c r="F3287" s="157" t="s">
        <v>2753</v>
      </c>
      <c r="H3287" s="138">
        <v>1512</v>
      </c>
      <c r="I3287" s="139" t="str">
        <f>VLOOKUP(H3287,Stock_list!A:R,18,FALSE)</f>
        <v>勃旭</v>
      </c>
      <c r="J3287" s="139" t="str">
        <f>VLOOKUP(H3287,Stock_list!A:S,17,FALSE)</f>
        <v>C49SZX20210216AY</v>
      </c>
      <c r="K3287" s="51" t="str">
        <f>VLOOKUP(H3287,Stock_list!A:T,16,FALSE)</f>
        <v>RMB</v>
      </c>
      <c r="L3287" s="4">
        <v>44583</v>
      </c>
      <c r="M3287" s="140">
        <v>4</v>
      </c>
      <c r="P3287" s="4" t="str">
        <f>VLOOKUP(H3287,Stock_list!A:Y,25,FALSE)</f>
        <v>Yes</v>
      </c>
      <c r="Q3287" s="143"/>
      <c r="T3287" s="144"/>
      <c r="U3287" s="145" t="str">
        <f>VLOOKUP(H3287,Stock_list!A:N,14,FALSE)</f>
        <v>FEB 22</v>
      </c>
    </row>
    <row r="3288" spans="1:21" ht="16.5" customHeight="1">
      <c r="A3288" s="159" t="s">
        <v>2747</v>
      </c>
      <c r="B3288" s="114" t="str">
        <f>VLOOKUP(A3288,'Data pick slip'!B:F,5,FALSE)</f>
        <v>KHJ-MC200-00</v>
      </c>
      <c r="F3288" s="157" t="s">
        <v>2753</v>
      </c>
      <c r="I3288" s="139" t="s">
        <v>3099</v>
      </c>
      <c r="J3288" s="267" t="s">
        <v>3486</v>
      </c>
      <c r="K3288" s="51" t="s">
        <v>1246</v>
      </c>
      <c r="L3288" s="4">
        <v>44539</v>
      </c>
      <c r="M3288" s="140">
        <v>1</v>
      </c>
      <c r="P3288" s="4" t="s">
        <v>291</v>
      </c>
      <c r="Q3288" s="143"/>
      <c r="T3288" s="144"/>
      <c r="U3288" s="145" t="e">
        <f>VLOOKUP(H3288,Stock_list!A:N,14,FALSE)</f>
        <v>#N/A</v>
      </c>
    </row>
    <row r="3289" spans="1:21" ht="16.5" customHeight="1">
      <c r="A3289" s="159" t="s">
        <v>2755</v>
      </c>
      <c r="B3289" s="114" t="str">
        <f>VLOOKUP(A3289,'Data pick slip'!B:F,5,FALSE)</f>
        <v>KLJ-MC100-00</v>
      </c>
      <c r="F3289" s="157" t="s">
        <v>2861</v>
      </c>
      <c r="H3289" s="138">
        <v>1514</v>
      </c>
      <c r="I3289" s="139" t="str">
        <f>VLOOKUP(H3289,Stock_list!A:R,18,FALSE)</f>
        <v>魔乐视</v>
      </c>
      <c r="J3289" s="139" t="str">
        <f>VLOOKUP(H3289,Stock_list!A:S,17,FALSE)</f>
        <v>C49SZX20210206MZ</v>
      </c>
      <c r="K3289" s="51" t="str">
        <f>VLOOKUP(H3289,Stock_list!A:T,16,FALSE)</f>
        <v>JPY</v>
      </c>
      <c r="L3289" s="4">
        <v>44670</v>
      </c>
      <c r="M3289" s="143">
        <v>160</v>
      </c>
      <c r="P3289" s="4" t="str">
        <f>VLOOKUP(H3289,Stock_list!A:Y,25,FALSE)</f>
        <v>Yes</v>
      </c>
      <c r="T3289" s="144"/>
      <c r="U3289" s="145" t="str">
        <f>VLOOKUP(H3289,Stock_list!A:N,14,FALSE)</f>
        <v>APR 22</v>
      </c>
    </row>
    <row r="3290" spans="1:21" ht="16.5" customHeight="1">
      <c r="A3290" s="159" t="s">
        <v>2757</v>
      </c>
      <c r="B3290" s="114" t="str">
        <f>VLOOKUP(A3290,'Data pick slip'!B:F,5,FALSE)</f>
        <v>KLJ-MC400-00</v>
      </c>
      <c r="F3290" s="157" t="s">
        <v>2861</v>
      </c>
      <c r="H3290" s="138">
        <v>1514</v>
      </c>
      <c r="I3290" s="139" t="str">
        <f>VLOOKUP(H3290,Stock_list!A:R,18,FALSE)</f>
        <v>魔乐视</v>
      </c>
      <c r="J3290" s="139" t="str">
        <f>VLOOKUP(H3290,Stock_list!A:S,17,FALSE)</f>
        <v>C49SZX20210206MZ</v>
      </c>
      <c r="K3290" s="51" t="str">
        <f>VLOOKUP(H3290,Stock_list!A:T,16,FALSE)</f>
        <v>JPY</v>
      </c>
      <c r="L3290" s="4">
        <v>44670</v>
      </c>
      <c r="M3290" s="143">
        <v>10</v>
      </c>
      <c r="P3290" s="4" t="str">
        <f>VLOOKUP(H3290,Stock_list!A:Y,25,FALSE)</f>
        <v>Yes</v>
      </c>
      <c r="T3290" s="144"/>
      <c r="U3290" s="145" t="str">
        <f>VLOOKUP(H3290,Stock_list!A:N,14,FALSE)</f>
        <v>APR 22</v>
      </c>
    </row>
    <row r="3291" spans="1:21" ht="16.5" customHeight="1">
      <c r="A3291" s="159" t="s">
        <v>2758</v>
      </c>
      <c r="B3291" s="114" t="str">
        <f>VLOOKUP(A3291,'Data pick slip'!B:F,5,FALSE)</f>
        <v>KLJ-MC500-00</v>
      </c>
      <c r="F3291" s="157" t="s">
        <v>2861</v>
      </c>
      <c r="H3291" s="138">
        <v>1514</v>
      </c>
      <c r="I3291" s="139" t="str">
        <f>VLOOKUP(H3291,Stock_list!A:R,18,FALSE)</f>
        <v>魔乐视</v>
      </c>
      <c r="J3291" s="139" t="str">
        <f>VLOOKUP(H3291,Stock_list!A:S,17,FALSE)</f>
        <v>C49SZX20210206MZ</v>
      </c>
      <c r="K3291" s="51" t="str">
        <f>VLOOKUP(H3291,Stock_list!A:T,16,FALSE)</f>
        <v>JPY</v>
      </c>
      <c r="L3291" s="4">
        <v>44670</v>
      </c>
      <c r="M3291" s="143">
        <v>2</v>
      </c>
      <c r="P3291" s="4" t="str">
        <f>VLOOKUP(H3291,Stock_list!A:Y,25,FALSE)</f>
        <v>Yes</v>
      </c>
      <c r="T3291" s="144"/>
      <c r="U3291" s="145" t="str">
        <f>VLOOKUP(H3291,Stock_list!A:N,14,FALSE)</f>
        <v>APR 22</v>
      </c>
    </row>
    <row r="3292" spans="1:21" ht="16.5" customHeight="1">
      <c r="A3292" s="159" t="s">
        <v>2759</v>
      </c>
      <c r="B3292" s="114" t="str">
        <f>VLOOKUP(A3292,'Data pick slip'!B:F,5,FALSE)</f>
        <v>KLJ-MC600-00</v>
      </c>
      <c r="F3292" s="157" t="s">
        <v>2861</v>
      </c>
      <c r="H3292" s="138">
        <v>1514</v>
      </c>
      <c r="I3292" s="139" t="str">
        <f>VLOOKUP(H3292,Stock_list!A:R,18,FALSE)</f>
        <v>魔乐视</v>
      </c>
      <c r="J3292" s="139" t="str">
        <f>VLOOKUP(H3292,Stock_list!A:S,17,FALSE)</f>
        <v>C49SZX20210206MZ</v>
      </c>
      <c r="K3292" s="51" t="str">
        <f>VLOOKUP(H3292,Stock_list!A:T,16,FALSE)</f>
        <v>JPY</v>
      </c>
      <c r="L3292" s="4">
        <v>44670</v>
      </c>
      <c r="M3292" s="143">
        <v>2</v>
      </c>
      <c r="P3292" s="4" t="str">
        <f>VLOOKUP(H3292,Stock_list!A:Y,25,FALSE)</f>
        <v>Yes</v>
      </c>
      <c r="T3292" s="144"/>
      <c r="U3292" s="145" t="str">
        <f>VLOOKUP(H3292,Stock_list!A:N,14,FALSE)</f>
        <v>APR 22</v>
      </c>
    </row>
    <row r="3293" spans="1:21" ht="16.5" customHeight="1">
      <c r="A3293" s="159" t="s">
        <v>2755</v>
      </c>
      <c r="B3293" s="114" t="str">
        <f>VLOOKUP(A3293,'Data pick slip'!B:F,5,FALSE)</f>
        <v>KLJ-MC100-00</v>
      </c>
      <c r="F3293" s="157" t="s">
        <v>2861</v>
      </c>
      <c r="H3293" s="138">
        <v>1518</v>
      </c>
      <c r="I3293" s="139" t="str">
        <f>VLOOKUP(H3293,Stock_list!A:R,18,FALSE)</f>
        <v>魔乐视</v>
      </c>
      <c r="J3293" s="139" t="str">
        <f>VLOOKUP(H3293,Stock_list!A:S,17,FALSE)</f>
        <v>C49SZX20210215MZ</v>
      </c>
      <c r="K3293" s="51" t="str">
        <f>VLOOKUP(H3293,Stock_list!A:T,16,FALSE)</f>
        <v>JPY</v>
      </c>
      <c r="L3293" s="4">
        <v>44843</v>
      </c>
      <c r="M3293" s="140">
        <v>160</v>
      </c>
      <c r="N3293" s="143"/>
      <c r="P3293" s="4" t="str">
        <f>VLOOKUP(H3293,Stock_list!A:Y,25,FALSE)</f>
        <v>Yes</v>
      </c>
      <c r="T3293" s="144"/>
      <c r="U3293" s="145" t="str">
        <f>VLOOKUP(H3293,Stock_list!A:N,14,FALSE)</f>
        <v>SEP 22</v>
      </c>
    </row>
    <row r="3294" spans="1:21" ht="16.5" customHeight="1">
      <c r="A3294" s="159" t="s">
        <v>2757</v>
      </c>
      <c r="B3294" s="114" t="str">
        <f>VLOOKUP(A3294,'Data pick slip'!B:F,5,FALSE)</f>
        <v>KLJ-MC400-00</v>
      </c>
      <c r="F3294" s="157" t="s">
        <v>2861</v>
      </c>
      <c r="H3294" s="138">
        <v>1518</v>
      </c>
      <c r="I3294" s="139" t="str">
        <f>VLOOKUP(H3294,Stock_list!A:R,18,FALSE)</f>
        <v>魔乐视</v>
      </c>
      <c r="J3294" s="139" t="str">
        <f>VLOOKUP(H3294,Stock_list!A:S,17,FALSE)</f>
        <v>C49SZX20210215MZ</v>
      </c>
      <c r="K3294" s="51" t="str">
        <f>VLOOKUP(H3294,Stock_list!A:T,16,FALSE)</f>
        <v>JPY</v>
      </c>
      <c r="L3294" s="4">
        <v>44843</v>
      </c>
      <c r="M3294" s="140">
        <v>10</v>
      </c>
      <c r="N3294" s="143"/>
      <c r="P3294" s="4" t="str">
        <f>VLOOKUP(H3294,Stock_list!A:Y,25,FALSE)</f>
        <v>Yes</v>
      </c>
      <c r="T3294" s="144"/>
      <c r="U3294" s="145" t="str">
        <f>VLOOKUP(H3294,Stock_list!A:N,14,FALSE)</f>
        <v>SEP 22</v>
      </c>
    </row>
    <row r="3295" spans="1:21" ht="16.5" customHeight="1">
      <c r="A3295" s="159" t="s">
        <v>2758</v>
      </c>
      <c r="B3295" s="114" t="str">
        <f>VLOOKUP(A3295,'Data pick slip'!B:F,5,FALSE)</f>
        <v>KLJ-MC500-00</v>
      </c>
      <c r="F3295" s="157" t="s">
        <v>2861</v>
      </c>
      <c r="H3295" s="138">
        <v>1518</v>
      </c>
      <c r="I3295" s="139" t="str">
        <f>VLOOKUP(H3295,Stock_list!A:R,18,FALSE)</f>
        <v>魔乐视</v>
      </c>
      <c r="J3295" s="139" t="str">
        <f>VLOOKUP(H3295,Stock_list!A:S,17,FALSE)</f>
        <v>C49SZX20210215MZ</v>
      </c>
      <c r="K3295" s="51" t="str">
        <f>VLOOKUP(H3295,Stock_list!A:T,16,FALSE)</f>
        <v>JPY</v>
      </c>
      <c r="L3295" s="4">
        <v>44843</v>
      </c>
      <c r="M3295" s="140">
        <v>2</v>
      </c>
      <c r="N3295" s="143"/>
      <c r="P3295" s="4" t="str">
        <f>VLOOKUP(H3295,Stock_list!A:Y,25,FALSE)</f>
        <v>Yes</v>
      </c>
      <c r="T3295" s="144"/>
      <c r="U3295" s="145" t="str">
        <f>VLOOKUP(H3295,Stock_list!A:N,14,FALSE)</f>
        <v>SEP 22</v>
      </c>
    </row>
    <row r="3296" spans="1:21" ht="16.5" customHeight="1">
      <c r="A3296" s="159" t="s">
        <v>2759</v>
      </c>
      <c r="B3296" s="114" t="str">
        <f>VLOOKUP(A3296,'Data pick slip'!B:F,5,FALSE)</f>
        <v>KLJ-MC600-00</v>
      </c>
      <c r="F3296" s="157" t="s">
        <v>2861</v>
      </c>
      <c r="H3296" s="138">
        <v>1518</v>
      </c>
      <c r="I3296" s="139" t="str">
        <f>VLOOKUP(H3296,Stock_list!A:R,18,FALSE)</f>
        <v>魔乐视</v>
      </c>
      <c r="J3296" s="139" t="str">
        <f>VLOOKUP(H3296,Stock_list!A:S,17,FALSE)</f>
        <v>C49SZX20210215MZ</v>
      </c>
      <c r="K3296" s="51" t="str">
        <f>VLOOKUP(H3296,Stock_list!A:T,16,FALSE)</f>
        <v>JPY</v>
      </c>
      <c r="L3296" s="4">
        <v>44843</v>
      </c>
      <c r="M3296" s="140">
        <v>1</v>
      </c>
      <c r="N3296" s="143"/>
      <c r="P3296" s="4" t="str">
        <f>VLOOKUP(H3296,Stock_list!A:Y,25,FALSE)</f>
        <v>Yes</v>
      </c>
      <c r="T3296" s="144"/>
      <c r="U3296" s="145" t="str">
        <f>VLOOKUP(H3296,Stock_list!A:N,14,FALSE)</f>
        <v>SEP 22</v>
      </c>
    </row>
    <row r="3297" spans="1:21" ht="21" customHeight="1">
      <c r="A3297" s="159" t="s">
        <v>2757</v>
      </c>
      <c r="B3297" s="114" t="str">
        <f>VLOOKUP(A3297,'Data pick slip'!B:F,5,FALSE)</f>
        <v>KLJ-MC400-00</v>
      </c>
      <c r="F3297" s="157" t="s">
        <v>2753</v>
      </c>
      <c r="I3297" s="139" t="s">
        <v>3093</v>
      </c>
      <c r="J3297" s="270" t="s">
        <v>3487</v>
      </c>
      <c r="K3297" s="51" t="s">
        <v>1246</v>
      </c>
      <c r="L3297" s="4">
        <v>44544</v>
      </c>
      <c r="M3297" s="140">
        <v>15</v>
      </c>
      <c r="P3297" s="4" t="s">
        <v>291</v>
      </c>
      <c r="Q3297" s="143"/>
      <c r="T3297" s="144"/>
      <c r="U3297" s="145" t="e">
        <f>VLOOKUP(H3297,Stock_list!A:N,14,FALSE)</f>
        <v>#N/A</v>
      </c>
    </row>
    <row r="3298" spans="1:21" ht="16.5" customHeight="1">
      <c r="A3298" s="159" t="s">
        <v>2749</v>
      </c>
      <c r="B3298" s="114" t="str">
        <f>VLOOKUP(A3298,'Data pick slip'!B:F,5,FALSE)</f>
        <v>KHJ-MC500-00</v>
      </c>
      <c r="F3298" s="157" t="s">
        <v>2753</v>
      </c>
      <c r="I3298" s="139" t="s">
        <v>3286</v>
      </c>
      <c r="J3298" s="267" t="s">
        <v>3488</v>
      </c>
      <c r="K3298" s="51" t="s">
        <v>1246</v>
      </c>
      <c r="L3298" s="4">
        <v>44547</v>
      </c>
      <c r="M3298" s="140">
        <v>4</v>
      </c>
      <c r="P3298" s="4" t="s">
        <v>291</v>
      </c>
      <c r="Q3298" s="143"/>
      <c r="T3298" s="144"/>
      <c r="U3298" s="145" t="e">
        <f>VLOOKUP(H3298,Stock_list!A:N,14,FALSE)</f>
        <v>#N/A</v>
      </c>
    </row>
    <row r="3299" spans="1:21" ht="24" customHeight="1">
      <c r="A3299" s="159" t="s">
        <v>2744</v>
      </c>
      <c r="B3299" s="114" t="str">
        <f>VLOOKUP(A3299,'Data pick slip'!B:F,5,FALSE)</f>
        <v>KHJ-MC100-00</v>
      </c>
      <c r="F3299" s="157" t="s">
        <v>2753</v>
      </c>
      <c r="I3299" s="139" t="s">
        <v>3099</v>
      </c>
      <c r="J3299" s="139" t="s">
        <v>3489</v>
      </c>
      <c r="K3299" s="51" t="s">
        <v>1246</v>
      </c>
      <c r="L3299" s="4">
        <v>44547</v>
      </c>
      <c r="M3299" s="140">
        <v>18</v>
      </c>
      <c r="P3299" s="4" t="s">
        <v>291</v>
      </c>
      <c r="Q3299" s="143"/>
      <c r="T3299" s="144"/>
      <c r="U3299" s="145" t="e">
        <f>VLOOKUP(H3299,Stock_list!A:N,14,FALSE)</f>
        <v>#N/A</v>
      </c>
    </row>
    <row r="3300" spans="1:21" ht="24" customHeight="1">
      <c r="A3300" s="159" t="s">
        <v>2747</v>
      </c>
      <c r="B3300" s="114" t="str">
        <f>VLOOKUP(A3300,'Data pick slip'!B:F,5,FALSE)</f>
        <v>KHJ-MC200-00</v>
      </c>
      <c r="F3300" s="157" t="s">
        <v>2753</v>
      </c>
      <c r="I3300" s="139" t="s">
        <v>3490</v>
      </c>
      <c r="J3300" s="267" t="s">
        <v>3491</v>
      </c>
      <c r="K3300" s="51" t="s">
        <v>36</v>
      </c>
      <c r="L3300" s="4">
        <v>44547</v>
      </c>
      <c r="M3300" s="140">
        <v>10</v>
      </c>
      <c r="P3300" s="4" t="s">
        <v>291</v>
      </c>
      <c r="Q3300" s="143"/>
      <c r="T3300" s="144"/>
      <c r="U3300" s="145" t="e">
        <f>VLOOKUP(H3300,Stock_list!A:N,14,FALSE)</f>
        <v>#N/A</v>
      </c>
    </row>
    <row r="3301" spans="1:21" ht="22.5" customHeight="1">
      <c r="A3301" s="159" t="s">
        <v>2748</v>
      </c>
      <c r="B3301" s="114" t="str">
        <f>VLOOKUP(A3301,'Data pick slip'!B:F,5,FALSE)</f>
        <v>KHJ-MC400-00</v>
      </c>
      <c r="F3301" s="157" t="s">
        <v>2753</v>
      </c>
      <c r="I3301" s="139" t="s">
        <v>3490</v>
      </c>
      <c r="J3301" s="139" t="s">
        <v>3489</v>
      </c>
      <c r="K3301" s="51" t="s">
        <v>36</v>
      </c>
      <c r="L3301" s="4">
        <v>44547</v>
      </c>
      <c r="M3301" s="140">
        <v>1</v>
      </c>
      <c r="P3301" s="4" t="s">
        <v>291</v>
      </c>
      <c r="Q3301" s="143"/>
      <c r="T3301" s="144"/>
      <c r="U3301" s="145" t="e">
        <f>VLOOKUP(H3301,Stock_list!A:N,14,FALSE)</f>
        <v>#N/A</v>
      </c>
    </row>
    <row r="3302" spans="1:21" ht="16.5" customHeight="1">
      <c r="A3302" s="159" t="s">
        <v>2744</v>
      </c>
      <c r="B3302" s="114" t="str">
        <f>VLOOKUP(A3302,'Data pick slip'!B:F,5,FALSE)</f>
        <v>KHJ-MC100-00</v>
      </c>
      <c r="F3302" s="157" t="s">
        <v>1381</v>
      </c>
      <c r="H3302" s="138">
        <v>1523</v>
      </c>
      <c r="I3302" s="139" t="str">
        <f>VLOOKUP(H3302,Stock_list!A:R,18,FALSE)</f>
        <v>赛美达</v>
      </c>
      <c r="J3302" s="139" t="str">
        <f>VLOOKUP(H3302,Stock_list!A:S,17,FALSE)</f>
        <v>C49SZX20210220SX</v>
      </c>
      <c r="K3302" s="51" t="str">
        <f>VLOOKUP(H3302,Stock_list!A:T,16,FALSE)</f>
        <v>JPY</v>
      </c>
      <c r="L3302" s="4">
        <v>44776</v>
      </c>
      <c r="M3302" s="132">
        <v>52</v>
      </c>
      <c r="P3302" s="4" t="str">
        <f>VLOOKUP(H3302,Stock_list!A:Y,25,FALSE)</f>
        <v>Yes</v>
      </c>
      <c r="Q3302" s="143"/>
      <c r="T3302" s="144"/>
      <c r="U3302" s="145" t="str">
        <f>VLOOKUP(H3302,Stock_list!A:N,14,FALSE)</f>
        <v>AUG 22</v>
      </c>
    </row>
    <row r="3303" spans="1:21" ht="16.5" customHeight="1">
      <c r="A3303" s="159" t="s">
        <v>2747</v>
      </c>
      <c r="B3303" s="114" t="str">
        <f>VLOOKUP(A3303,'Data pick slip'!B:F,5,FALSE)</f>
        <v>KHJ-MC200-00</v>
      </c>
      <c r="F3303" s="157" t="s">
        <v>1381</v>
      </c>
      <c r="H3303" s="138">
        <v>1523</v>
      </c>
      <c r="I3303" s="139" t="str">
        <f>VLOOKUP(H3303,Stock_list!A:R,18,FALSE)</f>
        <v>赛美达</v>
      </c>
      <c r="J3303" s="139" t="str">
        <f>VLOOKUP(H3303,Stock_list!A:S,17,FALSE)</f>
        <v>C49SZX20210220SX</v>
      </c>
      <c r="K3303" s="51" t="str">
        <f>VLOOKUP(H3303,Stock_list!A:T,16,FALSE)</f>
        <v>JPY</v>
      </c>
      <c r="L3303" s="4">
        <v>44776</v>
      </c>
      <c r="M3303" s="132">
        <v>15</v>
      </c>
      <c r="P3303" s="4" t="str">
        <f>VLOOKUP(H3303,Stock_list!A:Y,25,FALSE)</f>
        <v>Yes</v>
      </c>
      <c r="Q3303" s="143"/>
      <c r="T3303" s="144"/>
      <c r="U3303" s="145" t="str">
        <f>VLOOKUP(H3303,Stock_list!A:N,14,FALSE)</f>
        <v>AUG 22</v>
      </c>
    </row>
    <row r="3304" spans="1:21" ht="16.5" customHeight="1">
      <c r="A3304" s="159" t="s">
        <v>2748</v>
      </c>
      <c r="B3304" s="114" t="str">
        <f>VLOOKUP(A3304,'Data pick slip'!B:F,5,FALSE)</f>
        <v>KHJ-MC400-00</v>
      </c>
      <c r="F3304" s="157" t="s">
        <v>1381</v>
      </c>
      <c r="H3304" s="138">
        <v>1523</v>
      </c>
      <c r="I3304" s="139" t="str">
        <f>VLOOKUP(H3304,Stock_list!A:R,18,FALSE)</f>
        <v>赛美达</v>
      </c>
      <c r="J3304" s="139" t="str">
        <f>VLOOKUP(H3304,Stock_list!A:S,17,FALSE)</f>
        <v>C49SZX20210220SX</v>
      </c>
      <c r="K3304" s="51" t="str">
        <f>VLOOKUP(H3304,Stock_list!A:T,16,FALSE)</f>
        <v>JPY</v>
      </c>
      <c r="L3304" s="4">
        <v>44776</v>
      </c>
      <c r="M3304" s="132">
        <v>2</v>
      </c>
      <c r="P3304" s="4" t="str">
        <f>VLOOKUP(H3304,Stock_list!A:Y,25,FALSE)</f>
        <v>Yes</v>
      </c>
      <c r="Q3304" s="143"/>
      <c r="T3304" s="144"/>
      <c r="U3304" s="145" t="str">
        <f>VLOOKUP(H3304,Stock_list!A:N,14,FALSE)</f>
        <v>AUG 22</v>
      </c>
    </row>
    <row r="3305" spans="1:21" ht="16.5" customHeight="1">
      <c r="A3305" s="159" t="s">
        <v>2749</v>
      </c>
      <c r="B3305" s="114" t="str">
        <f>VLOOKUP(A3305,'Data pick slip'!B:F,5,FALSE)</f>
        <v>KHJ-MC500-00</v>
      </c>
      <c r="F3305" s="157" t="s">
        <v>1381</v>
      </c>
      <c r="H3305" s="138">
        <v>1523</v>
      </c>
      <c r="I3305" s="139" t="str">
        <f>VLOOKUP(H3305,Stock_list!A:R,18,FALSE)</f>
        <v>赛美达</v>
      </c>
      <c r="J3305" s="139" t="str">
        <f>VLOOKUP(H3305,Stock_list!A:S,17,FALSE)</f>
        <v>C49SZX20210220SX</v>
      </c>
      <c r="K3305" s="51" t="str">
        <f>VLOOKUP(H3305,Stock_list!A:T,16,FALSE)</f>
        <v>JPY</v>
      </c>
      <c r="L3305" s="4">
        <v>44776</v>
      </c>
      <c r="M3305" s="132">
        <v>1</v>
      </c>
      <c r="P3305" s="4" t="str">
        <f>VLOOKUP(H3305,Stock_list!A:Y,25,FALSE)</f>
        <v>Yes</v>
      </c>
      <c r="Q3305" s="143"/>
      <c r="T3305" s="144"/>
      <c r="U3305" s="145" t="str">
        <f>VLOOKUP(H3305,Stock_list!A:N,14,FALSE)</f>
        <v>AUG 22</v>
      </c>
    </row>
    <row r="3306" spans="1:21" ht="16.5" customHeight="1">
      <c r="A3306" s="159" t="s">
        <v>2744</v>
      </c>
      <c r="B3306" s="114" t="str">
        <f>VLOOKUP(A3306,'Data pick slip'!B:F,5,FALSE)</f>
        <v>KHJ-MC100-00</v>
      </c>
      <c r="F3306" s="157" t="s">
        <v>1381</v>
      </c>
      <c r="H3306" s="138">
        <v>1525</v>
      </c>
      <c r="I3306" s="139" t="str">
        <f>VLOOKUP(H3306,Stock_list!A:R,18,FALSE)</f>
        <v>微克（end user：蓝极光）</v>
      </c>
      <c r="J3306" s="139" t="str">
        <f>VLOOKUP(H3306,Stock_list!A:S,17,FALSE)</f>
        <v>C49SZX20220030SS</v>
      </c>
      <c r="K3306" s="51" t="str">
        <f>VLOOKUP(H3306,Stock_list!A:T,16,FALSE)</f>
        <v>JPY</v>
      </c>
      <c r="L3306" s="4">
        <v>44712</v>
      </c>
      <c r="M3306" s="140">
        <v>120</v>
      </c>
      <c r="P3306" s="4" t="str">
        <f>VLOOKUP(H3306,Stock_list!A:Y,25,FALSE)</f>
        <v>Yes</v>
      </c>
      <c r="Q3306" s="143"/>
      <c r="T3306" s="144"/>
      <c r="U3306" s="145" t="str">
        <f>VLOOKUP(H3306,Stock_list!A:N,14,FALSE)</f>
        <v>MAY 22</v>
      </c>
    </row>
    <row r="3307" spans="1:21" ht="16.5" customHeight="1">
      <c r="A3307" s="159" t="s">
        <v>2744</v>
      </c>
      <c r="B3307" s="114" t="str">
        <f>VLOOKUP(A3307,'Data pick slip'!B:F,5,FALSE)</f>
        <v>KHJ-MC100-00</v>
      </c>
      <c r="F3307" s="157" t="s">
        <v>1381</v>
      </c>
      <c r="I3307" s="269" t="s">
        <v>3413</v>
      </c>
      <c r="J3307" s="139" t="s">
        <v>3492</v>
      </c>
      <c r="K3307" s="51" t="s">
        <v>1246</v>
      </c>
      <c r="L3307" s="4">
        <v>44558</v>
      </c>
      <c r="M3307" s="140">
        <v>3</v>
      </c>
      <c r="P3307" s="4" t="s">
        <v>291</v>
      </c>
      <c r="Q3307" s="143"/>
      <c r="T3307" s="144"/>
      <c r="U3307" s="145" t="e">
        <f>VLOOKUP(H3307,Stock_list!A:N,14,FALSE)</f>
        <v>#N/A</v>
      </c>
    </row>
    <row r="3308" spans="1:21" ht="16.5" customHeight="1">
      <c r="A3308" s="159" t="s">
        <v>2755</v>
      </c>
      <c r="B3308" s="114" t="str">
        <f>VLOOKUP(A3308,'Data pick slip'!B:F,5,FALSE)</f>
        <v>KLJ-MC100-00</v>
      </c>
      <c r="F3308" s="157" t="s">
        <v>2753</v>
      </c>
      <c r="H3308" s="138">
        <v>1529</v>
      </c>
      <c r="I3308" s="139" t="str">
        <f>VLOOKUP(H3308,Stock_list!A:R,18,FALSE)</f>
        <v>湖南新亚胜</v>
      </c>
      <c r="J3308" s="139" t="str">
        <f>VLOOKUP(H3308,Stock_list!A:S,17,FALSE)</f>
        <v>C49SZX20210210DZ</v>
      </c>
      <c r="K3308" s="51" t="str">
        <f>VLOOKUP(H3308,Stock_list!A:T,16,FALSE)</f>
        <v>RMB</v>
      </c>
      <c r="L3308" s="4">
        <v>44629</v>
      </c>
      <c r="M3308" s="140">
        <v>20</v>
      </c>
      <c r="P3308" s="4" t="str">
        <f>VLOOKUP(H3308,Stock_list!A:Y,25,FALSE)</f>
        <v>Yes</v>
      </c>
      <c r="Q3308" s="143"/>
      <c r="T3308" s="144"/>
      <c r="U3308" s="145" t="str">
        <f>VLOOKUP(H3308,Stock_list!A:N,14,FALSE)</f>
        <v>MAR 22</v>
      </c>
    </row>
    <row r="3309" spans="1:21" ht="16.5" customHeight="1">
      <c r="A3309" s="159" t="s">
        <v>2755</v>
      </c>
      <c r="B3309" s="114" t="str">
        <f>VLOOKUP(A3309,'Data pick slip'!B:F,5,FALSE)</f>
        <v>KLJ-MC100-00</v>
      </c>
      <c r="F3309" s="157" t="s">
        <v>1381</v>
      </c>
      <c r="H3309" s="138">
        <v>1531</v>
      </c>
      <c r="I3309" s="139" t="str">
        <f>VLOOKUP(H3309,Stock_list!A:R,18,FALSE)</f>
        <v>东莞鸿楠</v>
      </c>
      <c r="J3309" s="139" t="str">
        <f>VLOOKUP(H3309,Stock_list!A:S,17,FALSE)</f>
        <v>C49SZX20210223MZR1</v>
      </c>
      <c r="K3309" s="51" t="str">
        <f>VLOOKUP(H3309,Stock_list!A:T,16,FALSE)</f>
        <v>JPY</v>
      </c>
      <c r="L3309" s="4"/>
      <c r="N3309" s="132">
        <f>300-30</f>
        <v>270</v>
      </c>
      <c r="P3309" s="4" t="str">
        <f>VLOOKUP(H3309,Stock_list!A:Y,25,FALSE)</f>
        <v>Yes</v>
      </c>
      <c r="Q3309" s="143"/>
      <c r="T3309" s="144"/>
      <c r="U3309" s="145" t="str">
        <f>VLOOKUP(H3309,Stock_list!A:N,14,FALSE)</f>
        <v>FEB 22</v>
      </c>
    </row>
    <row r="3310" spans="1:21" ht="16.5" customHeight="1">
      <c r="A3310" s="159" t="s">
        <v>2756</v>
      </c>
      <c r="B3310" s="114" t="str">
        <f>VLOOKUP(A3310,'Data pick slip'!B:F,5,FALSE)</f>
        <v>KLJ-MC200-00</v>
      </c>
      <c r="F3310" s="157" t="s">
        <v>1381</v>
      </c>
      <c r="H3310" s="138">
        <v>1531</v>
      </c>
      <c r="I3310" s="139" t="str">
        <f>VLOOKUP(H3310,Stock_list!A:R,18,FALSE)</f>
        <v>东莞鸿楠</v>
      </c>
      <c r="J3310" s="139" t="str">
        <f>VLOOKUP(H3310,Stock_list!A:S,17,FALSE)</f>
        <v>C49SZX20210223MZR1</v>
      </c>
      <c r="K3310" s="51" t="str">
        <f>VLOOKUP(H3310,Stock_list!A:T,16,FALSE)</f>
        <v>JPY</v>
      </c>
      <c r="L3310" s="4"/>
      <c r="N3310" s="132">
        <v>20</v>
      </c>
      <c r="P3310" s="4" t="str">
        <f>VLOOKUP(H3310,Stock_list!A:Y,25,FALSE)</f>
        <v>Yes</v>
      </c>
      <c r="Q3310" s="143"/>
      <c r="T3310" s="144"/>
      <c r="U3310" s="145" t="str">
        <f>VLOOKUP(H3310,Stock_list!A:N,14,FALSE)</f>
        <v>FEB 22</v>
      </c>
    </row>
    <row r="3311" spans="1:21" ht="16.5" customHeight="1">
      <c r="A3311" s="159" t="s">
        <v>2755</v>
      </c>
      <c r="B3311" s="114" t="str">
        <f>VLOOKUP(A3311,'Data pick slip'!B:F,5,FALSE)</f>
        <v>KLJ-MC100-00</v>
      </c>
      <c r="F3311" s="157" t="s">
        <v>1381</v>
      </c>
      <c r="H3311" s="138">
        <v>1531</v>
      </c>
      <c r="I3311" s="139" t="str">
        <f>VLOOKUP(H3311,Stock_list!A:R,18,FALSE)</f>
        <v>东莞鸿楠</v>
      </c>
      <c r="J3311" s="139" t="str">
        <f>VLOOKUP(H3311,Stock_list!A:S,17,FALSE)</f>
        <v>C49SZX20210223MZR1</v>
      </c>
      <c r="K3311" s="51" t="str">
        <f>VLOOKUP(H3311,Stock_list!A:T,16,FALSE)</f>
        <v>JPY</v>
      </c>
      <c r="L3311" s="4">
        <v>44613</v>
      </c>
      <c r="M3311" s="140">
        <v>30</v>
      </c>
      <c r="P3311" s="4" t="str">
        <f>VLOOKUP(H3311,Stock_list!A:Y,25,FALSE)</f>
        <v>Yes</v>
      </c>
      <c r="Q3311" s="143"/>
      <c r="T3311" s="144"/>
      <c r="U3311" s="145" t="str">
        <f>VLOOKUP(H3311,Stock_list!A:N,14,FALSE)</f>
        <v>FEB 22</v>
      </c>
    </row>
    <row r="3312" spans="1:21" ht="16.5" customHeight="1">
      <c r="A3312" s="159" t="s">
        <v>2756</v>
      </c>
      <c r="B3312" s="114" t="str">
        <f>VLOOKUP(A3312,'Data pick slip'!B:F,5,FALSE)</f>
        <v>KLJ-MC200-00</v>
      </c>
      <c r="F3312" s="157" t="s">
        <v>1381</v>
      </c>
      <c r="H3312" s="138">
        <v>1531</v>
      </c>
      <c r="I3312" s="139" t="str">
        <f>VLOOKUP(H3312,Stock_list!A:R,18,FALSE)</f>
        <v>东莞鸿楠</v>
      </c>
      <c r="J3312" s="139" t="str">
        <f>VLOOKUP(H3312,Stock_list!A:S,17,FALSE)</f>
        <v>C49SZX20210223MZR1</v>
      </c>
      <c r="K3312" s="51" t="str">
        <f>VLOOKUP(H3312,Stock_list!A:T,16,FALSE)</f>
        <v>JPY</v>
      </c>
      <c r="L3312" s="4">
        <v>44613</v>
      </c>
      <c r="M3312" s="140">
        <v>10</v>
      </c>
      <c r="P3312" s="4" t="str">
        <f>VLOOKUP(H3312,Stock_list!A:Y,25,FALSE)</f>
        <v>Yes</v>
      </c>
      <c r="Q3312" s="143"/>
      <c r="T3312" s="144"/>
      <c r="U3312" s="145" t="str">
        <f>VLOOKUP(H3312,Stock_list!A:N,14,FALSE)</f>
        <v>FEB 22</v>
      </c>
    </row>
    <row r="3313" spans="1:21" ht="16.5" customHeight="1">
      <c r="A3313" s="159" t="s">
        <v>2757</v>
      </c>
      <c r="B3313" s="114" t="str">
        <f>VLOOKUP(A3313,'Data pick slip'!B:F,5,FALSE)</f>
        <v>KLJ-MC400-00</v>
      </c>
      <c r="F3313" s="157" t="s">
        <v>1381</v>
      </c>
      <c r="H3313" s="138">
        <v>1531</v>
      </c>
      <c r="I3313" s="139" t="str">
        <f>VLOOKUP(H3313,Stock_list!A:R,18,FALSE)</f>
        <v>东莞鸿楠</v>
      </c>
      <c r="J3313" s="139" t="str">
        <f>VLOOKUP(H3313,Stock_list!A:S,17,FALSE)</f>
        <v>C49SZX20210223MZR1</v>
      </c>
      <c r="K3313" s="51" t="str">
        <f>VLOOKUP(H3313,Stock_list!A:T,16,FALSE)</f>
        <v>JPY</v>
      </c>
      <c r="L3313" s="4">
        <v>44575</v>
      </c>
      <c r="M3313" s="140">
        <v>10</v>
      </c>
      <c r="P3313" s="4" t="str">
        <f>VLOOKUP(H3313,Stock_list!A:Y,25,FALSE)</f>
        <v>Yes</v>
      </c>
      <c r="Q3313" s="143"/>
      <c r="T3313" s="144"/>
      <c r="U3313" s="145" t="str">
        <f>VLOOKUP(H3313,Stock_list!A:N,14,FALSE)</f>
        <v>FEB 22</v>
      </c>
    </row>
    <row r="3314" spans="1:21" ht="16.5" customHeight="1">
      <c r="A3314" s="159" t="s">
        <v>2756</v>
      </c>
      <c r="B3314" s="114" t="str">
        <f>VLOOKUP(A3314,'Data pick slip'!B:F,5,FALSE)</f>
        <v>KLJ-MC200-00</v>
      </c>
      <c r="F3314" s="157" t="s">
        <v>2753</v>
      </c>
      <c r="H3314" s="138">
        <v>1540</v>
      </c>
      <c r="I3314" s="139" t="str">
        <f>VLOOKUP(H3314,Stock_list!A:R,18,FALSE)</f>
        <v>深圳快宇</v>
      </c>
      <c r="J3314" s="139" t="str">
        <f>VLOOKUP(H3314,Stock_list!A:S,17,FALSE)</f>
        <v>C49SZX20210222JL</v>
      </c>
      <c r="K3314" s="51" t="str">
        <f>VLOOKUP(H3314,Stock_list!A:T,16,FALSE)</f>
        <v>RMB</v>
      </c>
      <c r="L3314" s="4">
        <v>44574</v>
      </c>
      <c r="M3314" s="140">
        <v>16</v>
      </c>
      <c r="P3314" s="4" t="str">
        <f>VLOOKUP(H3314,Stock_list!A:Y,25,FALSE)</f>
        <v>Yes</v>
      </c>
      <c r="Q3314" s="143"/>
      <c r="T3314" s="144"/>
      <c r="U3314" s="145" t="str">
        <f>VLOOKUP(H3314,Stock_list!A:N,14,FALSE)</f>
        <v>JAN 22</v>
      </c>
    </row>
    <row r="3315" spans="1:21" ht="16.5" customHeight="1">
      <c r="A3315" s="159" t="s">
        <v>2744</v>
      </c>
      <c r="B3315" s="114" t="str">
        <f>VLOOKUP(A3315,'Data pick slip'!B:F,5,FALSE)</f>
        <v>KHJ-MC100-00</v>
      </c>
      <c r="F3315" s="157" t="s">
        <v>2753</v>
      </c>
      <c r="I3315" s="139" t="s">
        <v>3105</v>
      </c>
      <c r="J3315" s="139" t="s">
        <v>3493</v>
      </c>
      <c r="K3315" s="51" t="s">
        <v>1246</v>
      </c>
      <c r="L3315" s="4">
        <v>44617</v>
      </c>
      <c r="O3315" s="132">
        <f>4-4</f>
        <v>0</v>
      </c>
      <c r="P3315" s="4" t="s">
        <v>291</v>
      </c>
      <c r="Q3315" s="143"/>
      <c r="T3315" s="144"/>
      <c r="U3315" s="145" t="e">
        <f>VLOOKUP(H3315,Stock_list!A:N,14,FALSE)</f>
        <v>#N/A</v>
      </c>
    </row>
    <row r="3316" spans="1:21" ht="16.5" customHeight="1">
      <c r="A3316" s="159" t="s">
        <v>2744</v>
      </c>
      <c r="B3316" s="114" t="str">
        <f>VLOOKUP(A3316,'Data pick slip'!B:F,5,FALSE)</f>
        <v>KHJ-MC100-00</v>
      </c>
      <c r="F3316" s="157" t="s">
        <v>2753</v>
      </c>
      <c r="I3316" s="139" t="s">
        <v>3099</v>
      </c>
      <c r="J3316" s="309" t="s">
        <v>3494</v>
      </c>
      <c r="K3316" s="51" t="s">
        <v>1246</v>
      </c>
      <c r="L3316" s="4">
        <v>44565</v>
      </c>
      <c r="M3316" s="140">
        <v>2</v>
      </c>
      <c r="P3316" s="4" t="s">
        <v>291</v>
      </c>
      <c r="Q3316" s="143"/>
      <c r="T3316" s="144"/>
      <c r="U3316" s="145" t="e">
        <f>VLOOKUP(H3316,Stock_list!A:N,14,FALSE)</f>
        <v>#N/A</v>
      </c>
    </row>
    <row r="3317" spans="1:21" ht="16.5" customHeight="1">
      <c r="A3317" s="159" t="s">
        <v>2744</v>
      </c>
      <c r="B3317" s="114" t="str">
        <f>VLOOKUP(A3317,'Data pick slip'!B:F,5,FALSE)</f>
        <v>KHJ-MC100-00</v>
      </c>
      <c r="F3317" s="157" t="s">
        <v>2753</v>
      </c>
      <c r="I3317" s="139" t="s">
        <v>3099</v>
      </c>
      <c r="J3317" s="309" t="s">
        <v>3495</v>
      </c>
      <c r="K3317" s="51" t="s">
        <v>1246</v>
      </c>
      <c r="L3317" s="4">
        <v>44565</v>
      </c>
      <c r="M3317" s="140">
        <v>10</v>
      </c>
      <c r="P3317" s="4" t="s">
        <v>291</v>
      </c>
      <c r="Q3317" s="143"/>
      <c r="T3317" s="144"/>
      <c r="U3317" s="145" t="e">
        <f>VLOOKUP(H3317,Stock_list!A:N,14,FALSE)</f>
        <v>#N/A</v>
      </c>
    </row>
    <row r="3318" spans="1:21" ht="16.5" customHeight="1">
      <c r="A3318" s="159" t="s">
        <v>2755</v>
      </c>
      <c r="B3318" s="114" t="str">
        <f>VLOOKUP(A3318,'Data pick slip'!B:F,5,FALSE)</f>
        <v>KLJ-MC100-00</v>
      </c>
      <c r="F3318" s="157" t="s">
        <v>2753</v>
      </c>
      <c r="H3318" s="138">
        <v>1541</v>
      </c>
      <c r="I3318" s="139" t="str">
        <f>VLOOKUP(H3318,Stock_list!A:R,18,FALSE)</f>
        <v>深圳世达威</v>
      </c>
      <c r="J3318" s="139" t="str">
        <f>VLOOKUP(H3318,Stock_list!A:S,17,FALSE)</f>
        <v>C49SZX20220001SS</v>
      </c>
      <c r="K3318" s="51" t="str">
        <f>VLOOKUP(H3318,Stock_list!A:T,16,FALSE)</f>
        <v>RMB</v>
      </c>
      <c r="L3318" s="4">
        <v>44625</v>
      </c>
      <c r="M3318" s="140">
        <v>16</v>
      </c>
      <c r="P3318" s="4" t="str">
        <f>VLOOKUP(H3318,Stock_list!A:Y,25,FALSE)</f>
        <v>Yes</v>
      </c>
      <c r="Q3318" s="143"/>
      <c r="T3318" s="144"/>
      <c r="U3318" s="145">
        <f>VLOOKUP(H3318,Stock_list!A:N,14,FALSE)</f>
        <v>0</v>
      </c>
    </row>
    <row r="3319" spans="1:21" ht="16.5" customHeight="1">
      <c r="A3319" s="159" t="s">
        <v>2744</v>
      </c>
      <c r="B3319" s="114" t="str">
        <f>VLOOKUP(A3319,'Data pick slip'!B:F,5,FALSE)</f>
        <v>KHJ-MC100-00</v>
      </c>
      <c r="F3319" s="157" t="s">
        <v>1381</v>
      </c>
      <c r="H3319" s="138">
        <v>1542</v>
      </c>
      <c r="I3319" s="139" t="str">
        <f>VLOOKUP(H3319,Stock_list!A:R,18,FALSE)</f>
        <v>恒泰创新</v>
      </c>
      <c r="J3319" s="139" t="str">
        <f>VLOOKUP(H3319,Stock_list!A:S,17,FALSE)</f>
        <v>C49SZX20220004EC</v>
      </c>
      <c r="K3319" s="51" t="str">
        <f>VLOOKUP(H3319,Stock_list!A:T,16,FALSE)</f>
        <v>JPY</v>
      </c>
      <c r="L3319" s="4">
        <v>44823</v>
      </c>
      <c r="M3319" s="140">
        <v>53</v>
      </c>
      <c r="P3319" s="4" t="str">
        <f>VLOOKUP(H3319,Stock_list!A:Y,25,FALSE)</f>
        <v>Yes</v>
      </c>
      <c r="Q3319" s="143"/>
      <c r="T3319" s="144"/>
      <c r="U3319" s="145" t="str">
        <f>VLOOKUP(H3319,Stock_list!A:N,14,FALSE)</f>
        <v>SEP 22</v>
      </c>
    </row>
    <row r="3320" spans="1:21" ht="16.5" customHeight="1">
      <c r="A3320" s="159" t="s">
        <v>2747</v>
      </c>
      <c r="B3320" s="114" t="str">
        <f>VLOOKUP(A3320,'Data pick slip'!B:F,5,FALSE)</f>
        <v>KHJ-MC200-00</v>
      </c>
      <c r="F3320" s="157" t="s">
        <v>1381</v>
      </c>
      <c r="H3320" s="138">
        <v>1542</v>
      </c>
      <c r="I3320" s="139" t="str">
        <f>VLOOKUP(H3320,Stock_list!A:R,18,FALSE)</f>
        <v>恒泰创新</v>
      </c>
      <c r="J3320" s="139" t="str">
        <f>VLOOKUP(H3320,Stock_list!A:S,17,FALSE)</f>
        <v>C49SZX20220004EC</v>
      </c>
      <c r="K3320" s="51" t="str">
        <f>VLOOKUP(H3320,Stock_list!A:T,16,FALSE)</f>
        <v>JPY</v>
      </c>
      <c r="L3320" s="4">
        <v>44823</v>
      </c>
      <c r="M3320" s="140">
        <v>10</v>
      </c>
      <c r="P3320" s="4" t="str">
        <f>VLOOKUP(H3320,Stock_list!A:Y,25,FALSE)</f>
        <v>Yes</v>
      </c>
      <c r="Q3320" s="143"/>
      <c r="T3320" s="144"/>
      <c r="U3320" s="145" t="str">
        <f>VLOOKUP(H3320,Stock_list!A:N,14,FALSE)</f>
        <v>SEP 22</v>
      </c>
    </row>
    <row r="3321" spans="1:21" ht="16.5" customHeight="1">
      <c r="A3321" s="159" t="s">
        <v>2748</v>
      </c>
      <c r="B3321" s="114" t="str">
        <f>VLOOKUP(A3321,'Data pick slip'!B:F,5,FALSE)</f>
        <v>KHJ-MC400-00</v>
      </c>
      <c r="F3321" s="157" t="s">
        <v>1381</v>
      </c>
      <c r="H3321" s="138">
        <v>1542</v>
      </c>
      <c r="I3321" s="139" t="str">
        <f>VLOOKUP(H3321,Stock_list!A:R,18,FALSE)</f>
        <v>恒泰创新</v>
      </c>
      <c r="J3321" s="139" t="str">
        <f>VLOOKUP(H3321,Stock_list!A:S,17,FALSE)</f>
        <v>C49SZX20220004EC</v>
      </c>
      <c r="K3321" s="51" t="str">
        <f>VLOOKUP(H3321,Stock_list!A:T,16,FALSE)</f>
        <v>JPY</v>
      </c>
      <c r="L3321" s="4">
        <v>44823</v>
      </c>
      <c r="M3321" s="140">
        <v>5</v>
      </c>
      <c r="P3321" s="4" t="str">
        <f>VLOOKUP(H3321,Stock_list!A:Y,25,FALSE)</f>
        <v>Yes</v>
      </c>
      <c r="Q3321" s="143"/>
      <c r="T3321" s="144"/>
      <c r="U3321" s="145" t="str">
        <f>VLOOKUP(H3321,Stock_list!A:N,14,FALSE)</f>
        <v>SEP 22</v>
      </c>
    </row>
    <row r="3322" spans="1:21" ht="16.5" customHeight="1">
      <c r="A3322" s="159" t="s">
        <v>2755</v>
      </c>
      <c r="B3322" s="114" t="str">
        <f>VLOOKUP(A3322,'Data pick slip'!B:F,5,FALSE)</f>
        <v>KLJ-MC100-00</v>
      </c>
      <c r="F3322" s="157" t="s">
        <v>2753</v>
      </c>
      <c r="H3322" s="138">
        <v>1543</v>
      </c>
      <c r="I3322" s="139" t="str">
        <f>VLOOKUP(H3322,Stock_list!A:R,18,FALSE)</f>
        <v>龙大光电</v>
      </c>
      <c r="J3322" s="139" t="str">
        <f>VLOOKUP(H3322,Stock_list!A:S,17,FALSE)</f>
        <v>C49SZX20220005SS</v>
      </c>
      <c r="K3322" s="51" t="str">
        <f>VLOOKUP(H3322,Stock_list!A:T,16,FALSE)</f>
        <v>RMB</v>
      </c>
      <c r="L3322" s="4">
        <v>44614</v>
      </c>
      <c r="M3322" s="140">
        <v>100</v>
      </c>
      <c r="P3322" s="4" t="str">
        <f>VLOOKUP(H3322,Stock_list!A:Y,25,FALSE)</f>
        <v>Yes</v>
      </c>
      <c r="Q3322" s="143"/>
      <c r="T3322" s="144"/>
      <c r="U3322" s="145" t="str">
        <f>VLOOKUP(H3322,Stock_list!A:N,14,FALSE)</f>
        <v>FEB 22</v>
      </c>
    </row>
    <row r="3323" spans="1:21" ht="16.5" customHeight="1">
      <c r="A3323" s="159" t="s">
        <v>2750</v>
      </c>
      <c r="B3323" s="114" t="str">
        <f>VLOOKUP(A3323,'Data pick slip'!B:F,5,FALSE)</f>
        <v>KHJ-MC600-00</v>
      </c>
      <c r="F3323" s="157" t="s">
        <v>2753</v>
      </c>
      <c r="I3323" s="139" t="s">
        <v>3115</v>
      </c>
      <c r="J3323" s="270" t="s">
        <v>3496</v>
      </c>
      <c r="K3323" s="51" t="s">
        <v>1246</v>
      </c>
      <c r="L3323" s="4">
        <v>44574</v>
      </c>
      <c r="M3323" s="140">
        <v>2</v>
      </c>
      <c r="P3323" s="4" t="s">
        <v>291</v>
      </c>
      <c r="Q3323" s="143"/>
      <c r="T3323" s="144"/>
      <c r="U3323" s="145" t="e">
        <f>VLOOKUP(H3323,Stock_list!A:N,14,FALSE)</f>
        <v>#N/A</v>
      </c>
    </row>
    <row r="3324" spans="1:21" ht="16.5" customHeight="1">
      <c r="A3324" s="159" t="s">
        <v>2744</v>
      </c>
      <c r="B3324" s="114" t="str">
        <f>VLOOKUP(A3324,'Data pick slip'!B:F,5,FALSE)</f>
        <v>KHJ-MC100-00</v>
      </c>
      <c r="F3324" s="157" t="s">
        <v>1381</v>
      </c>
      <c r="H3324" s="138">
        <v>1556</v>
      </c>
      <c r="I3324" s="139" t="str">
        <f>VLOOKUP(H3324,Stock_list!A:R,18,FALSE)</f>
        <v>渝溢三甲</v>
      </c>
      <c r="J3324" s="139" t="str">
        <f>VLOOKUP(H3324,Stock_list!A:S,17,FALSE)</f>
        <v>C49SZX20220002BX</v>
      </c>
      <c r="K3324" s="51" t="str">
        <f>VLOOKUP(H3324,Stock_list!A:T,16,FALSE)</f>
        <v>JPY</v>
      </c>
      <c r="L3324" s="4">
        <v>44606</v>
      </c>
      <c r="M3324" s="140">
        <v>4</v>
      </c>
      <c r="P3324" s="4" t="str">
        <f>VLOOKUP(H3324,Stock_list!A:Y,25,FALSE)</f>
        <v>Yes</v>
      </c>
      <c r="Q3324" s="143"/>
      <c r="T3324" s="144"/>
      <c r="U3324" s="145" t="str">
        <f>VLOOKUP(H3324,Stock_list!A:N,14,FALSE)</f>
        <v>FEB 22</v>
      </c>
    </row>
    <row r="3325" spans="1:21" ht="16.5" customHeight="1">
      <c r="A3325" s="159" t="s">
        <v>2744</v>
      </c>
      <c r="B3325" s="114" t="str">
        <f>VLOOKUP(A3325,'Data pick slip'!B:F,5,FALSE)</f>
        <v>KHJ-MC100-00</v>
      </c>
      <c r="F3325" s="157" t="s">
        <v>1381</v>
      </c>
      <c r="H3325" s="138">
        <v>1558</v>
      </c>
      <c r="I3325" s="139" t="str">
        <f>VLOOKUP(H3325,Stock_list!A:R,18,FALSE)</f>
        <v>达锂</v>
      </c>
      <c r="J3325" s="139" t="str">
        <f>VLOOKUP(H3325,Stock_list!A:S,17,FALSE)</f>
        <v>C49SZX20220010SQ</v>
      </c>
      <c r="K3325" s="51" t="str">
        <f>VLOOKUP(H3325,Stock_list!A:T,16,FALSE)</f>
        <v>JPY</v>
      </c>
      <c r="L3325" s="4">
        <v>44659</v>
      </c>
      <c r="M3325" s="132">
        <v>101</v>
      </c>
      <c r="P3325" s="4" t="str">
        <f>VLOOKUP(H3325,Stock_list!A:Y,25,FALSE)</f>
        <v>Yes</v>
      </c>
      <c r="Q3325" s="143"/>
      <c r="T3325" s="144"/>
      <c r="U3325" s="145" t="str">
        <f>VLOOKUP(H3325,Stock_list!A:N,14,FALSE)</f>
        <v>APR 22</v>
      </c>
    </row>
    <row r="3326" spans="1:21" ht="16.5" customHeight="1">
      <c r="A3326" s="159" t="s">
        <v>2747</v>
      </c>
      <c r="B3326" s="114" t="str">
        <f>VLOOKUP(A3326,'Data pick slip'!B:F,5,FALSE)</f>
        <v>KHJ-MC200-00</v>
      </c>
      <c r="F3326" s="157" t="s">
        <v>1381</v>
      </c>
      <c r="H3326" s="138">
        <v>1558</v>
      </c>
      <c r="I3326" s="139" t="str">
        <f>VLOOKUP(H3326,Stock_list!A:R,18,FALSE)</f>
        <v>达锂</v>
      </c>
      <c r="J3326" s="139" t="str">
        <f>VLOOKUP(H3326,Stock_list!A:S,17,FALSE)</f>
        <v>C49SZX20220010SQ</v>
      </c>
      <c r="K3326" s="51" t="str">
        <f>VLOOKUP(H3326,Stock_list!A:T,16,FALSE)</f>
        <v>JPY</v>
      </c>
      <c r="L3326" s="4">
        <v>44659</v>
      </c>
      <c r="M3326" s="132">
        <v>20</v>
      </c>
      <c r="P3326" s="4" t="str">
        <f>VLOOKUP(H3326,Stock_list!A:Y,25,FALSE)</f>
        <v>Yes</v>
      </c>
      <c r="Q3326" s="143"/>
      <c r="T3326" s="144"/>
      <c r="U3326" s="145" t="str">
        <f>VLOOKUP(H3326,Stock_list!A:N,14,FALSE)</f>
        <v>APR 22</v>
      </c>
    </row>
    <row r="3327" spans="1:21" ht="16.5" customHeight="1">
      <c r="A3327" s="159" t="s">
        <v>2748</v>
      </c>
      <c r="B3327" s="114" t="str">
        <f>VLOOKUP(A3327,'Data pick slip'!B:F,5,FALSE)</f>
        <v>KHJ-MC400-00</v>
      </c>
      <c r="F3327" s="157" t="s">
        <v>1381</v>
      </c>
      <c r="H3327" s="138">
        <v>1558</v>
      </c>
      <c r="I3327" s="139" t="str">
        <f>VLOOKUP(H3327,Stock_list!A:R,18,FALSE)</f>
        <v>达锂</v>
      </c>
      <c r="J3327" s="139" t="str">
        <f>VLOOKUP(H3327,Stock_list!A:S,17,FALSE)</f>
        <v>C49SZX20220010SQ</v>
      </c>
      <c r="K3327" s="51" t="str">
        <f>VLOOKUP(H3327,Stock_list!A:T,16,FALSE)</f>
        <v>JPY</v>
      </c>
      <c r="L3327" s="4">
        <v>44659</v>
      </c>
      <c r="M3327" s="132">
        <v>5</v>
      </c>
      <c r="P3327" s="4" t="str">
        <f>VLOOKUP(H3327,Stock_list!A:Y,25,FALSE)</f>
        <v>Yes</v>
      </c>
      <c r="Q3327" s="143"/>
      <c r="T3327" s="144"/>
      <c r="U3327" s="145" t="str">
        <f>VLOOKUP(H3327,Stock_list!A:N,14,FALSE)</f>
        <v>APR 22</v>
      </c>
    </row>
    <row r="3328" spans="1:21" ht="16.5" customHeight="1">
      <c r="A3328" s="159" t="s">
        <v>2749</v>
      </c>
      <c r="B3328" s="114" t="str">
        <f>VLOOKUP(A3328,'Data pick slip'!B:F,5,FALSE)</f>
        <v>KHJ-MC500-00</v>
      </c>
      <c r="F3328" s="157" t="s">
        <v>1381</v>
      </c>
      <c r="H3328" s="138">
        <v>1558</v>
      </c>
      <c r="I3328" s="139" t="str">
        <f>VLOOKUP(H3328,Stock_list!A:R,18,FALSE)</f>
        <v>达锂</v>
      </c>
      <c r="J3328" s="139" t="str">
        <f>VLOOKUP(H3328,Stock_list!A:S,17,FALSE)</f>
        <v>C49SZX20220010SQ</v>
      </c>
      <c r="K3328" s="51" t="str">
        <f>VLOOKUP(H3328,Stock_list!A:T,16,FALSE)</f>
        <v>JPY</v>
      </c>
      <c r="L3328" s="4">
        <v>44659</v>
      </c>
      <c r="M3328" s="132">
        <v>2</v>
      </c>
      <c r="P3328" s="4" t="str">
        <f>VLOOKUP(H3328,Stock_list!A:Y,25,FALSE)</f>
        <v>Yes</v>
      </c>
      <c r="Q3328" s="143"/>
      <c r="T3328" s="144"/>
      <c r="U3328" s="145" t="str">
        <f>VLOOKUP(H3328,Stock_list!A:N,14,FALSE)</f>
        <v>APR 22</v>
      </c>
    </row>
    <row r="3329" spans="1:21" ht="16.5" customHeight="1">
      <c r="A3329" s="159" t="s">
        <v>2750</v>
      </c>
      <c r="B3329" s="114" t="str">
        <f>VLOOKUP(A3329,'Data pick slip'!B:F,5,FALSE)</f>
        <v>KHJ-MC600-00</v>
      </c>
      <c r="F3329" s="157" t="s">
        <v>1381</v>
      </c>
      <c r="H3329" s="138">
        <v>1558</v>
      </c>
      <c r="I3329" s="139" t="str">
        <f>VLOOKUP(H3329,Stock_list!A:R,18,FALSE)</f>
        <v>达锂</v>
      </c>
      <c r="J3329" s="139" t="str">
        <f>VLOOKUP(H3329,Stock_list!A:S,17,FALSE)</f>
        <v>C49SZX20220010SQ</v>
      </c>
      <c r="K3329" s="51" t="str">
        <f>VLOOKUP(H3329,Stock_list!A:T,16,FALSE)</f>
        <v>JPY</v>
      </c>
      <c r="L3329" s="4">
        <v>44659</v>
      </c>
      <c r="M3329" s="132">
        <v>1</v>
      </c>
      <c r="P3329" s="4" t="str">
        <f>VLOOKUP(H3329,Stock_list!A:Y,25,FALSE)</f>
        <v>Yes</v>
      </c>
      <c r="Q3329" s="143"/>
      <c r="T3329" s="144"/>
      <c r="U3329" s="145" t="str">
        <f>VLOOKUP(H3329,Stock_list!A:N,14,FALSE)</f>
        <v>APR 22</v>
      </c>
    </row>
    <row r="3330" spans="1:21" ht="16.5" customHeight="1">
      <c r="A3330" s="159" t="s">
        <v>2744</v>
      </c>
      <c r="B3330" s="114" t="str">
        <f>VLOOKUP(A3330,'Data pick slip'!B:F,5,FALSE)</f>
        <v>KHJ-MC100-00</v>
      </c>
      <c r="F3330" s="157" t="s">
        <v>2753</v>
      </c>
      <c r="I3330" s="139" t="s">
        <v>3093</v>
      </c>
      <c r="J3330" s="270" t="s">
        <v>3497</v>
      </c>
      <c r="K3330" s="51" t="s">
        <v>1246</v>
      </c>
      <c r="L3330" s="4">
        <v>44582</v>
      </c>
      <c r="M3330" s="140">
        <v>3</v>
      </c>
      <c r="P3330" s="4" t="s">
        <v>291</v>
      </c>
      <c r="Q3330" s="143"/>
      <c r="T3330" s="144"/>
      <c r="U3330" s="145" t="e">
        <f>VLOOKUP(H3330,Stock_list!A:N,14,FALSE)</f>
        <v>#N/A</v>
      </c>
    </row>
    <row r="3331" spans="1:21" ht="16.5" customHeight="1">
      <c r="A3331" s="159" t="s">
        <v>2747</v>
      </c>
      <c r="B3331" s="114" t="str">
        <f>VLOOKUP(A3331,'Data pick slip'!B:F,5,FALSE)</f>
        <v>KHJ-MC200-00</v>
      </c>
      <c r="F3331" s="157" t="s">
        <v>2753</v>
      </c>
      <c r="I3331" s="139" t="s">
        <v>3093</v>
      </c>
      <c r="J3331" s="270" t="s">
        <v>3497</v>
      </c>
      <c r="K3331" s="51" t="s">
        <v>1246</v>
      </c>
      <c r="L3331" s="4">
        <v>44582</v>
      </c>
      <c r="M3331" s="140">
        <v>3</v>
      </c>
      <c r="P3331" s="4" t="s">
        <v>291</v>
      </c>
      <c r="Q3331" s="143"/>
      <c r="T3331" s="144"/>
      <c r="U3331" s="145" t="e">
        <f>VLOOKUP(H3331,Stock_list!A:N,14,FALSE)</f>
        <v>#N/A</v>
      </c>
    </row>
    <row r="3332" spans="1:21" ht="16.5" customHeight="1">
      <c r="A3332" s="159" t="s">
        <v>2744</v>
      </c>
      <c r="B3332" s="114" t="str">
        <f>VLOOKUP(A3332,'Data pick slip'!B:F,5,FALSE)</f>
        <v>KHJ-MC100-00</v>
      </c>
      <c r="F3332" s="157" t="s">
        <v>1381</v>
      </c>
      <c r="H3332" s="138">
        <v>1561</v>
      </c>
      <c r="I3332" s="139" t="str">
        <f>VLOOKUP(H3332,Stock_list!A:R,18,FALSE)</f>
        <v>海红天远</v>
      </c>
      <c r="J3332" s="139" t="str">
        <f>VLOOKUP(H3332,Stock_list!A:S,17,FALSE)</f>
        <v>C49SZX20220003EC</v>
      </c>
      <c r="K3332" s="51" t="str">
        <f>VLOOKUP(H3332,Stock_list!A:T,16,FALSE)</f>
        <v>JPY</v>
      </c>
      <c r="L3332" s="4">
        <v>44691</v>
      </c>
      <c r="M3332" s="132">
        <v>400</v>
      </c>
      <c r="P3332" s="4" t="str">
        <f>VLOOKUP(H3332,Stock_list!A:Y,25,FALSE)</f>
        <v>Yes</v>
      </c>
      <c r="Q3332" s="143"/>
      <c r="T3332" s="144"/>
      <c r="U3332" s="145" t="str">
        <f>VLOOKUP(H3332,Stock_list!A:N,14,FALSE)</f>
        <v>MAY 22</v>
      </c>
    </row>
    <row r="3333" spans="1:21" ht="16.5" customHeight="1">
      <c r="A3333" s="159" t="s">
        <v>2747</v>
      </c>
      <c r="B3333" s="114" t="str">
        <f>VLOOKUP(A3333,'Data pick slip'!B:F,5,FALSE)</f>
        <v>KHJ-MC200-00</v>
      </c>
      <c r="F3333" s="157" t="s">
        <v>1381</v>
      </c>
      <c r="H3333" s="138">
        <v>1561</v>
      </c>
      <c r="I3333" s="139" t="str">
        <f>VLOOKUP(H3333,Stock_list!A:R,18,FALSE)</f>
        <v>海红天远</v>
      </c>
      <c r="J3333" s="139" t="str">
        <f>VLOOKUP(H3333,Stock_list!A:S,17,FALSE)</f>
        <v>C49SZX20220003EC</v>
      </c>
      <c r="K3333" s="51" t="str">
        <f>VLOOKUP(H3333,Stock_list!A:T,16,FALSE)</f>
        <v>JPY</v>
      </c>
      <c r="L3333" s="4">
        <v>44691</v>
      </c>
      <c r="M3333" s="132">
        <v>80</v>
      </c>
      <c r="P3333" s="4" t="str">
        <f>VLOOKUP(H3333,Stock_list!A:Y,25,FALSE)</f>
        <v>Yes</v>
      </c>
      <c r="Q3333" s="143"/>
      <c r="T3333" s="144"/>
      <c r="U3333" s="145" t="str">
        <f>VLOOKUP(H3333,Stock_list!A:N,14,FALSE)</f>
        <v>MAY 22</v>
      </c>
    </row>
    <row r="3334" spans="1:21" ht="16.5" customHeight="1">
      <c r="A3334" s="159" t="s">
        <v>2749</v>
      </c>
      <c r="B3334" s="114" t="str">
        <f>VLOOKUP(A3334,'Data pick slip'!B:F,5,FALSE)</f>
        <v>KHJ-MC500-00</v>
      </c>
      <c r="F3334" s="157" t="s">
        <v>1381</v>
      </c>
      <c r="H3334" s="138">
        <v>1561</v>
      </c>
      <c r="I3334" s="139" t="str">
        <f>VLOOKUP(H3334,Stock_list!A:R,18,FALSE)</f>
        <v>海红天远</v>
      </c>
      <c r="J3334" s="139" t="str">
        <f>VLOOKUP(H3334,Stock_list!A:S,17,FALSE)</f>
        <v>C49SZX20220003EC</v>
      </c>
      <c r="K3334" s="51" t="str">
        <f>VLOOKUP(H3334,Stock_list!A:T,16,FALSE)</f>
        <v>JPY</v>
      </c>
      <c r="L3334" s="4">
        <v>44691</v>
      </c>
      <c r="M3334" s="132">
        <v>4</v>
      </c>
      <c r="P3334" s="4" t="str">
        <f>VLOOKUP(H3334,Stock_list!A:Y,25,FALSE)</f>
        <v>Yes</v>
      </c>
      <c r="Q3334" s="143"/>
      <c r="T3334" s="144"/>
      <c r="U3334" s="145" t="str">
        <f>VLOOKUP(H3334,Stock_list!A:N,14,FALSE)</f>
        <v>MAY 22</v>
      </c>
    </row>
    <row r="3335" spans="1:21" ht="16.5" customHeight="1">
      <c r="A3335" s="159" t="s">
        <v>2750</v>
      </c>
      <c r="B3335" s="114" t="str">
        <f>VLOOKUP(A3335,'Data pick slip'!B:F,5,FALSE)</f>
        <v>KHJ-MC600-00</v>
      </c>
      <c r="F3335" s="157" t="s">
        <v>1381</v>
      </c>
      <c r="H3335" s="138">
        <v>1561</v>
      </c>
      <c r="I3335" s="139" t="str">
        <f>VLOOKUP(H3335,Stock_list!A:R,18,FALSE)</f>
        <v>海红天远</v>
      </c>
      <c r="J3335" s="139" t="str">
        <f>VLOOKUP(H3335,Stock_list!A:S,17,FALSE)</f>
        <v>C49SZX20220003EC</v>
      </c>
      <c r="K3335" s="51" t="str">
        <f>VLOOKUP(H3335,Stock_list!A:T,16,FALSE)</f>
        <v>JPY</v>
      </c>
      <c r="L3335" s="4">
        <v>44691</v>
      </c>
      <c r="M3335" s="132">
        <v>4</v>
      </c>
      <c r="P3335" s="4" t="str">
        <f>VLOOKUP(H3335,Stock_list!A:Y,25,FALSE)</f>
        <v>Yes</v>
      </c>
      <c r="Q3335" s="143"/>
      <c r="T3335" s="144"/>
      <c r="U3335" s="145" t="str">
        <f>VLOOKUP(H3335,Stock_list!A:N,14,FALSE)</f>
        <v>MAY 22</v>
      </c>
    </row>
    <row r="3336" spans="1:21" ht="16.5" customHeight="1">
      <c r="A3336" s="159" t="s">
        <v>2751</v>
      </c>
      <c r="B3336" s="114" t="str">
        <f>VLOOKUP(A3336,'Data pick slip'!B:F,5,FALSE)</f>
        <v>KHJ-MC700-00</v>
      </c>
      <c r="F3336" s="157" t="s">
        <v>1381</v>
      </c>
      <c r="H3336" s="138">
        <v>1561</v>
      </c>
      <c r="I3336" s="139" t="str">
        <f>VLOOKUP(H3336,Stock_list!A:R,18,FALSE)</f>
        <v>海红天远</v>
      </c>
      <c r="J3336" s="139" t="str">
        <f>VLOOKUP(H3336,Stock_list!A:S,17,FALSE)</f>
        <v>C49SZX20220003EC</v>
      </c>
      <c r="K3336" s="51" t="str">
        <f>VLOOKUP(H3336,Stock_list!A:T,16,FALSE)</f>
        <v>JPY</v>
      </c>
      <c r="L3336" s="4">
        <v>44691</v>
      </c>
      <c r="M3336" s="132">
        <v>4</v>
      </c>
      <c r="P3336" s="4" t="str">
        <f>VLOOKUP(H3336,Stock_list!A:Y,25,FALSE)</f>
        <v>Yes</v>
      </c>
      <c r="Q3336" s="143"/>
      <c r="T3336" s="144"/>
      <c r="U3336" s="145" t="str">
        <f>VLOOKUP(H3336,Stock_list!A:N,14,FALSE)</f>
        <v>MAY 22</v>
      </c>
    </row>
    <row r="3337" spans="1:21" ht="16.5" customHeight="1">
      <c r="A3337" s="159" t="s">
        <v>2748</v>
      </c>
      <c r="B3337" s="114" t="str">
        <f>VLOOKUP(A3337,'Data pick slip'!B:F,5,FALSE)</f>
        <v>KHJ-MC400-00</v>
      </c>
      <c r="F3337" s="157" t="s">
        <v>2753</v>
      </c>
      <c r="I3337" s="139" t="s">
        <v>3099</v>
      </c>
      <c r="J3337" s="267" t="s">
        <v>3498</v>
      </c>
      <c r="K3337" s="51" t="s">
        <v>1246</v>
      </c>
      <c r="L3337" s="4">
        <v>44586</v>
      </c>
      <c r="M3337" s="140">
        <v>4</v>
      </c>
      <c r="P3337" s="4" t="s">
        <v>291</v>
      </c>
      <c r="Q3337" s="143"/>
      <c r="T3337" s="144"/>
      <c r="U3337" s="145" t="e">
        <f>VLOOKUP(H3337,Stock_list!A:N,14,FALSE)</f>
        <v>#N/A</v>
      </c>
    </row>
    <row r="3338" spans="1:21" ht="16.5" customHeight="1">
      <c r="A3338" s="159" t="s">
        <v>2744</v>
      </c>
      <c r="B3338" s="114" t="str">
        <f>VLOOKUP(A3338,'Data pick slip'!B:F,5,FALSE)</f>
        <v>KHJ-MC100-00</v>
      </c>
      <c r="F3338" s="157" t="s">
        <v>1381</v>
      </c>
      <c r="H3338" s="138">
        <v>1567</v>
      </c>
      <c r="I3338" s="139" t="str">
        <f>VLOOKUP(H3338,Stock_list!A:R,18,FALSE)</f>
        <v>捷舜诚</v>
      </c>
      <c r="J3338" s="139" t="str">
        <f>VLOOKUP(H3338,Stock_list!A:S,17,FALSE)</f>
        <v>C49SZX20220014JL</v>
      </c>
      <c r="K3338" s="51" t="str">
        <f>VLOOKUP(H3338,Stock_list!A:T,16,FALSE)</f>
        <v>JPY</v>
      </c>
      <c r="L3338" s="4">
        <v>44616</v>
      </c>
      <c r="M3338" s="140">
        <v>40</v>
      </c>
      <c r="P3338" s="4" t="str">
        <f>VLOOKUP(H3338,Stock_list!A:Y,25,FALSE)</f>
        <v>Yes</v>
      </c>
      <c r="Q3338" s="143"/>
      <c r="T3338" s="144"/>
      <c r="U3338" s="145" t="str">
        <f>VLOOKUP(H3338,Stock_list!A:N,14,FALSE)</f>
        <v>FEB 22</v>
      </c>
    </row>
    <row r="3339" spans="1:21" ht="16.5" customHeight="1">
      <c r="A3339" s="159" t="s">
        <v>2744</v>
      </c>
      <c r="B3339" s="114" t="str">
        <f>VLOOKUP(A3339,'Data pick slip'!B:F,5,FALSE)</f>
        <v>KHJ-MC100-00</v>
      </c>
      <c r="F3339" s="157" t="s">
        <v>1381</v>
      </c>
      <c r="H3339" s="138">
        <v>1567</v>
      </c>
      <c r="I3339" s="139" t="str">
        <f>VLOOKUP(H3339,Stock_list!A:R,18,FALSE)</f>
        <v>捷舜诚</v>
      </c>
      <c r="J3339" s="139" t="str">
        <f>VLOOKUP(H3339,Stock_list!A:S,17,FALSE)</f>
        <v>C49SZX20220014JL</v>
      </c>
      <c r="K3339" s="51" t="str">
        <f>VLOOKUP(H3339,Stock_list!A:T,16,FALSE)</f>
        <v>JPY</v>
      </c>
      <c r="L3339" s="4">
        <v>44672</v>
      </c>
      <c r="M3339" s="140">
        <v>40</v>
      </c>
      <c r="P3339" s="4" t="str">
        <f>VLOOKUP(H3339,Stock_list!A:Y,25,FALSE)</f>
        <v>Yes</v>
      </c>
      <c r="Q3339" s="143"/>
      <c r="T3339" s="144"/>
      <c r="U3339" s="145" t="str">
        <f>VLOOKUP(H3339,Stock_list!A:N,14,FALSE)</f>
        <v>FEB 22</v>
      </c>
    </row>
    <row r="3340" spans="1:21" ht="16.5" customHeight="1">
      <c r="A3340" s="159" t="s">
        <v>2744</v>
      </c>
      <c r="B3340" s="114" t="str">
        <f>VLOOKUP(A3340,'Data pick slip'!B:F,5,FALSE)</f>
        <v>KHJ-MC100-00</v>
      </c>
      <c r="F3340" s="157" t="s">
        <v>1381</v>
      </c>
      <c r="H3340" s="138">
        <v>1574</v>
      </c>
      <c r="I3340" s="139" t="str">
        <f>VLOOKUP(H3340,Stock_list!A:R,18,FALSE)</f>
        <v>普德新星</v>
      </c>
      <c r="J3340" s="139" t="str">
        <f>VLOOKUP(H3340,Stock_list!A:S,17,FALSE)</f>
        <v>C49SZX20220015SX</v>
      </c>
      <c r="K3340" s="51" t="str">
        <f>VLOOKUP(H3340,Stock_list!A:T,16,FALSE)</f>
        <v>JPY</v>
      </c>
      <c r="L3340" s="4">
        <v>44691</v>
      </c>
      <c r="M3340" s="140">
        <v>280</v>
      </c>
      <c r="P3340" s="4" t="str">
        <f>VLOOKUP(H3340,Stock_list!A:Y,25,FALSE)</f>
        <v>Yes</v>
      </c>
      <c r="Q3340" s="143"/>
      <c r="T3340" s="144"/>
      <c r="U3340" s="145" t="str">
        <f>VLOOKUP(H3340,Stock_list!A:N,14,FALSE)</f>
        <v>MAY 22</v>
      </c>
    </row>
    <row r="3341" spans="1:21" ht="16.5" customHeight="1">
      <c r="A3341" s="159" t="s">
        <v>2747</v>
      </c>
      <c r="B3341" s="114" t="str">
        <f>VLOOKUP(A3341,'Data pick slip'!B:F,5,FALSE)</f>
        <v>KHJ-MC200-00</v>
      </c>
      <c r="F3341" s="157" t="s">
        <v>1381</v>
      </c>
      <c r="H3341" s="138">
        <v>1574</v>
      </c>
      <c r="I3341" s="139" t="str">
        <f>VLOOKUP(H3341,Stock_list!A:R,18,FALSE)</f>
        <v>普德新星</v>
      </c>
      <c r="J3341" s="139" t="str">
        <f>VLOOKUP(H3341,Stock_list!A:S,17,FALSE)</f>
        <v>C49SZX20220015SX</v>
      </c>
      <c r="K3341" s="51" t="str">
        <f>VLOOKUP(H3341,Stock_list!A:T,16,FALSE)</f>
        <v>JPY</v>
      </c>
      <c r="L3341" s="4">
        <v>44691</v>
      </c>
      <c r="M3341" s="140">
        <v>45</v>
      </c>
      <c r="P3341" s="4" t="str">
        <f>VLOOKUP(H3341,Stock_list!A:Y,25,FALSE)</f>
        <v>Yes</v>
      </c>
      <c r="Q3341" s="143"/>
      <c r="T3341" s="144"/>
      <c r="U3341" s="145" t="str">
        <f>VLOOKUP(H3341,Stock_list!A:N,14,FALSE)</f>
        <v>MAY 22</v>
      </c>
    </row>
    <row r="3342" spans="1:21" ht="16.5" customHeight="1">
      <c r="A3342" s="159" t="s">
        <v>2748</v>
      </c>
      <c r="B3342" s="114" t="str">
        <f>VLOOKUP(A3342,'Data pick slip'!B:F,5,FALSE)</f>
        <v>KHJ-MC400-00</v>
      </c>
      <c r="F3342" s="157" t="s">
        <v>1381</v>
      </c>
      <c r="H3342" s="138">
        <v>1574</v>
      </c>
      <c r="I3342" s="139" t="str">
        <f>VLOOKUP(H3342,Stock_list!A:R,18,FALSE)</f>
        <v>普德新星</v>
      </c>
      <c r="J3342" s="139" t="str">
        <f>VLOOKUP(H3342,Stock_list!A:S,17,FALSE)</f>
        <v>C49SZX20220015SX</v>
      </c>
      <c r="K3342" s="51" t="str">
        <f>VLOOKUP(H3342,Stock_list!A:T,16,FALSE)</f>
        <v>JPY</v>
      </c>
      <c r="L3342" s="4">
        <v>44691</v>
      </c>
      <c r="M3342" s="140">
        <v>6</v>
      </c>
      <c r="P3342" s="4" t="str">
        <f>VLOOKUP(H3342,Stock_list!A:Y,25,FALSE)</f>
        <v>Yes</v>
      </c>
      <c r="Q3342" s="143"/>
      <c r="T3342" s="144"/>
      <c r="U3342" s="145" t="str">
        <f>VLOOKUP(H3342,Stock_list!A:N,14,FALSE)</f>
        <v>MAY 22</v>
      </c>
    </row>
    <row r="3343" spans="1:21" ht="16.5" customHeight="1">
      <c r="A3343" s="159" t="s">
        <v>2749</v>
      </c>
      <c r="B3343" s="114" t="str">
        <f>VLOOKUP(A3343,'Data pick slip'!B:F,5,FALSE)</f>
        <v>KHJ-MC500-00</v>
      </c>
      <c r="F3343" s="157" t="s">
        <v>1381</v>
      </c>
      <c r="H3343" s="138">
        <v>1574</v>
      </c>
      <c r="I3343" s="139" t="str">
        <f>VLOOKUP(H3343,Stock_list!A:R,18,FALSE)</f>
        <v>普德新星</v>
      </c>
      <c r="J3343" s="139" t="str">
        <f>VLOOKUP(H3343,Stock_list!A:S,17,FALSE)</f>
        <v>C49SZX20220015SX</v>
      </c>
      <c r="K3343" s="51" t="str">
        <f>VLOOKUP(H3343,Stock_list!A:T,16,FALSE)</f>
        <v>JPY</v>
      </c>
      <c r="L3343" s="4">
        <v>44691</v>
      </c>
      <c r="M3343" s="140">
        <v>2</v>
      </c>
      <c r="P3343" s="4" t="str">
        <f>VLOOKUP(H3343,Stock_list!A:Y,25,FALSE)</f>
        <v>Yes</v>
      </c>
      <c r="Q3343" s="143"/>
      <c r="T3343" s="144"/>
      <c r="U3343" s="145" t="str">
        <f>VLOOKUP(H3343,Stock_list!A:N,14,FALSE)</f>
        <v>MAY 22</v>
      </c>
    </row>
    <row r="3344" spans="1:21" ht="16.5" customHeight="1">
      <c r="A3344" s="159" t="s">
        <v>2744</v>
      </c>
      <c r="B3344" s="114" t="str">
        <f>VLOOKUP(A3344,'Data pick slip'!B:F,5,FALSE)</f>
        <v>KHJ-MC100-00</v>
      </c>
      <c r="F3344" s="157" t="s">
        <v>2753</v>
      </c>
      <c r="H3344" s="138">
        <v>1578</v>
      </c>
      <c r="I3344" s="139" t="str">
        <f>VLOOKUP(H3344,Stock_list!A:R,18,FALSE)</f>
        <v>昌大</v>
      </c>
      <c r="J3344" s="139" t="str">
        <f>VLOOKUP(H3344,Stock_list!A:S,17,FALSE)</f>
        <v>C49SZX20220011DZ</v>
      </c>
      <c r="K3344" s="51" t="str">
        <f>VLOOKUP(H3344,Stock_list!A:T,16,FALSE)</f>
        <v>RMB</v>
      </c>
      <c r="L3344" s="290">
        <v>44677</v>
      </c>
      <c r="M3344" s="140">
        <v>10</v>
      </c>
      <c r="P3344" s="4" t="str">
        <f>VLOOKUP(H3344,Stock_list!A:Y,25,FALSE)</f>
        <v>Yes</v>
      </c>
      <c r="Q3344" s="143"/>
      <c r="T3344" s="144"/>
      <c r="U3344" s="145" t="str">
        <f>VLOOKUP(H3344,Stock_list!A:N,14,FALSE)</f>
        <v>APR 22</v>
      </c>
    </row>
    <row r="3345" spans="1:21" ht="16.5" customHeight="1">
      <c r="A3345" s="159" t="s">
        <v>2744</v>
      </c>
      <c r="B3345" s="114" t="str">
        <f>VLOOKUP(A3345,'Data pick slip'!B:F,5,FALSE)</f>
        <v>KHJ-MC100-00</v>
      </c>
      <c r="F3345" s="157" t="s">
        <v>2753</v>
      </c>
      <c r="H3345" s="138">
        <v>1569</v>
      </c>
      <c r="I3345" s="139" t="str">
        <f>VLOOKUP(H3345,Stock_list!A:R,18,FALSE)</f>
        <v>奕东(End user:湖北奕宏)</v>
      </c>
      <c r="J3345" s="139" t="str">
        <f>VLOOKUP(H3345,Stock_list!A:S,17,FALSE)</f>
        <v>C49SZX20220012SX</v>
      </c>
      <c r="K3345" s="51" t="str">
        <f>VLOOKUP(H3345,Stock_list!A:T,16,FALSE)</f>
        <v>RMB</v>
      </c>
      <c r="L3345" s="4">
        <v>44669</v>
      </c>
      <c r="M3345" s="132">
        <v>20</v>
      </c>
      <c r="P3345" s="4" t="str">
        <f>VLOOKUP(H3345,Stock_list!A:Y,25,FALSE)</f>
        <v>Yes</v>
      </c>
      <c r="Q3345" s="143"/>
      <c r="T3345" s="144"/>
      <c r="U3345" s="145" t="str">
        <f>VLOOKUP(H3345,Stock_list!A:N,14,FALSE)</f>
        <v>APR 22</v>
      </c>
    </row>
    <row r="3346" spans="1:21" ht="16.5" customHeight="1">
      <c r="A3346" s="159" t="s">
        <v>2747</v>
      </c>
      <c r="B3346" s="114" t="str">
        <f>VLOOKUP(A3346,'Data pick slip'!B:F,5,FALSE)</f>
        <v>KHJ-MC200-00</v>
      </c>
      <c r="F3346" s="157" t="s">
        <v>2753</v>
      </c>
      <c r="H3346" s="138">
        <v>1569</v>
      </c>
      <c r="I3346" s="139" t="str">
        <f>VLOOKUP(H3346,Stock_list!A:R,18,FALSE)</f>
        <v>奕东(End user:湖北奕宏)</v>
      </c>
      <c r="J3346" s="139" t="str">
        <f>VLOOKUP(H3346,Stock_list!A:S,17,FALSE)</f>
        <v>C49SZX20220012SX</v>
      </c>
      <c r="K3346" s="51" t="str">
        <f>VLOOKUP(H3346,Stock_list!A:T,16,FALSE)</f>
        <v>RMB</v>
      </c>
      <c r="L3346" s="4">
        <v>44669</v>
      </c>
      <c r="M3346" s="132">
        <v>20</v>
      </c>
      <c r="P3346" s="4" t="str">
        <f>VLOOKUP(H3346,Stock_list!A:Y,25,FALSE)</f>
        <v>Yes</v>
      </c>
      <c r="Q3346" s="143"/>
      <c r="T3346" s="144"/>
      <c r="U3346" s="145" t="str">
        <f>VLOOKUP(H3346,Stock_list!A:N,14,FALSE)</f>
        <v>APR 22</v>
      </c>
    </row>
    <row r="3347" spans="1:21" ht="16.5" customHeight="1">
      <c r="A3347" s="159" t="s">
        <v>2748</v>
      </c>
      <c r="B3347" s="114" t="str">
        <f>VLOOKUP(A3347,'Data pick slip'!B:F,5,FALSE)</f>
        <v>KHJ-MC400-00</v>
      </c>
      <c r="F3347" s="157" t="s">
        <v>2753</v>
      </c>
      <c r="H3347" s="138">
        <v>1569</v>
      </c>
      <c r="I3347" s="139" t="str">
        <f>VLOOKUP(H3347,Stock_list!A:R,18,FALSE)</f>
        <v>奕东(End user:湖北奕宏)</v>
      </c>
      <c r="J3347" s="139" t="str">
        <f>VLOOKUP(H3347,Stock_list!A:S,17,FALSE)</f>
        <v>C49SZX20220012SX</v>
      </c>
      <c r="K3347" s="51" t="str">
        <f>VLOOKUP(H3347,Stock_list!A:T,16,FALSE)</f>
        <v>RMB</v>
      </c>
      <c r="L3347" s="4">
        <v>44669</v>
      </c>
      <c r="M3347" s="132">
        <v>12</v>
      </c>
      <c r="P3347" s="4" t="str">
        <f>VLOOKUP(H3347,Stock_list!A:Y,25,FALSE)</f>
        <v>Yes</v>
      </c>
      <c r="Q3347" s="143"/>
      <c r="T3347" s="144"/>
      <c r="U3347" s="145" t="str">
        <f>VLOOKUP(H3347,Stock_list!A:N,14,FALSE)</f>
        <v>APR 22</v>
      </c>
    </row>
    <row r="3348" spans="1:21" ht="16.5" customHeight="1">
      <c r="A3348" s="159" t="s">
        <v>2749</v>
      </c>
      <c r="B3348" s="114" t="str">
        <f>VLOOKUP(A3348,'Data pick slip'!B:F,5,FALSE)</f>
        <v>KHJ-MC500-00</v>
      </c>
      <c r="F3348" s="157" t="s">
        <v>2753</v>
      </c>
      <c r="H3348" s="138">
        <v>1569</v>
      </c>
      <c r="I3348" s="139" t="str">
        <f>VLOOKUP(H3348,Stock_list!A:R,18,FALSE)</f>
        <v>奕东(End user:湖北奕宏)</v>
      </c>
      <c r="J3348" s="139" t="str">
        <f>VLOOKUP(H3348,Stock_list!A:S,17,FALSE)</f>
        <v>C49SZX20220012SX</v>
      </c>
      <c r="K3348" s="51" t="str">
        <f>VLOOKUP(H3348,Stock_list!A:T,16,FALSE)</f>
        <v>RMB</v>
      </c>
      <c r="L3348" s="4">
        <v>44669</v>
      </c>
      <c r="M3348" s="132">
        <v>12</v>
      </c>
      <c r="P3348" s="4" t="str">
        <f>VLOOKUP(H3348,Stock_list!A:Y,25,FALSE)</f>
        <v>Yes</v>
      </c>
      <c r="Q3348" s="143"/>
      <c r="T3348" s="144"/>
      <c r="U3348" s="145" t="str">
        <f>VLOOKUP(H3348,Stock_list!A:N,14,FALSE)</f>
        <v>APR 22</v>
      </c>
    </row>
    <row r="3349" spans="1:21" ht="16.5" customHeight="1">
      <c r="A3349" s="159" t="s">
        <v>2750</v>
      </c>
      <c r="B3349" s="114" t="str">
        <f>VLOOKUP(A3349,'Data pick slip'!B:F,5,FALSE)</f>
        <v>KHJ-MC600-00</v>
      </c>
      <c r="F3349" s="157" t="s">
        <v>2753</v>
      </c>
      <c r="H3349" s="138">
        <v>1569</v>
      </c>
      <c r="I3349" s="139" t="str">
        <f>VLOOKUP(H3349,Stock_list!A:R,18,FALSE)</f>
        <v>奕东(End user:湖北奕宏)</v>
      </c>
      <c r="J3349" s="139" t="str">
        <f>VLOOKUP(H3349,Stock_list!A:S,17,FALSE)</f>
        <v>C49SZX20220012SX</v>
      </c>
      <c r="K3349" s="51" t="str">
        <f>VLOOKUP(H3349,Stock_list!A:T,16,FALSE)</f>
        <v>RMB</v>
      </c>
      <c r="L3349" s="4">
        <v>44669</v>
      </c>
      <c r="M3349" s="132">
        <v>10</v>
      </c>
      <c r="P3349" s="4" t="str">
        <f>VLOOKUP(H3349,Stock_list!A:Y,25,FALSE)</f>
        <v>Yes</v>
      </c>
      <c r="Q3349" s="143"/>
      <c r="T3349" s="144"/>
      <c r="U3349" s="145" t="str">
        <f>VLOOKUP(H3349,Stock_list!A:N,14,FALSE)</f>
        <v>APR 22</v>
      </c>
    </row>
    <row r="3350" spans="1:21" ht="16.5" customHeight="1">
      <c r="A3350" s="159" t="s">
        <v>2751</v>
      </c>
      <c r="B3350" s="114" t="str">
        <f>VLOOKUP(A3350,'Data pick slip'!B:F,5,FALSE)</f>
        <v>KHJ-MC700-00</v>
      </c>
      <c r="F3350" s="157" t="s">
        <v>2753</v>
      </c>
      <c r="H3350" s="138">
        <v>1569</v>
      </c>
      <c r="I3350" s="139" t="str">
        <f>VLOOKUP(H3350,Stock_list!A:R,18,FALSE)</f>
        <v>奕东(End user:湖北奕宏)</v>
      </c>
      <c r="J3350" s="139" t="str">
        <f>VLOOKUP(H3350,Stock_list!A:S,17,FALSE)</f>
        <v>C49SZX20220012SX</v>
      </c>
      <c r="K3350" s="51" t="str">
        <f>VLOOKUP(H3350,Stock_list!A:T,16,FALSE)</f>
        <v>RMB</v>
      </c>
      <c r="L3350" s="4">
        <v>44669</v>
      </c>
      <c r="M3350" s="132">
        <v>10</v>
      </c>
      <c r="P3350" s="4" t="str">
        <f>VLOOKUP(H3350,Stock_list!A:Y,25,FALSE)</f>
        <v>Yes</v>
      </c>
      <c r="Q3350" s="143"/>
      <c r="T3350" s="144"/>
      <c r="U3350" s="145" t="str">
        <f>VLOOKUP(H3350,Stock_list!A:N,14,FALSE)</f>
        <v>APR 22</v>
      </c>
    </row>
    <row r="3351" spans="1:21" ht="16.5" customHeight="1">
      <c r="A3351" s="159" t="s">
        <v>2752</v>
      </c>
      <c r="B3351" s="114" t="str">
        <f>VLOOKUP(A3351,'Data pick slip'!B:F,5,FALSE)</f>
        <v>KHJ-MC800-00</v>
      </c>
      <c r="F3351" s="157" t="s">
        <v>2753</v>
      </c>
      <c r="H3351" s="138">
        <v>1569</v>
      </c>
      <c r="I3351" s="139" t="str">
        <f>VLOOKUP(H3351,Stock_list!A:R,18,FALSE)</f>
        <v>奕东(End user:湖北奕宏)</v>
      </c>
      <c r="J3351" s="139" t="str">
        <f>VLOOKUP(H3351,Stock_list!A:S,17,FALSE)</f>
        <v>C49SZX20220012SX</v>
      </c>
      <c r="K3351" s="51" t="str">
        <f>VLOOKUP(H3351,Stock_list!A:T,16,FALSE)</f>
        <v>RMB</v>
      </c>
      <c r="L3351" s="4">
        <v>44669</v>
      </c>
      <c r="M3351" s="132">
        <v>10</v>
      </c>
      <c r="P3351" s="4" t="str">
        <f>VLOOKUP(H3351,Stock_list!A:Y,25,FALSE)</f>
        <v>Yes</v>
      </c>
      <c r="Q3351" s="143"/>
      <c r="T3351" s="144"/>
      <c r="U3351" s="145" t="str">
        <f>VLOOKUP(H3351,Stock_list!A:N,14,FALSE)</f>
        <v>APR 22</v>
      </c>
    </row>
    <row r="3352" spans="1:21" ht="16.5" customHeight="1">
      <c r="A3352" s="159" t="s">
        <v>2744</v>
      </c>
      <c r="B3352" s="114" t="str">
        <f>VLOOKUP(A3352,'Data pick slip'!B:F,5,FALSE)</f>
        <v>KHJ-MC100-00</v>
      </c>
      <c r="F3352" s="157" t="s">
        <v>1381</v>
      </c>
      <c r="I3352" s="139" t="s">
        <v>3099</v>
      </c>
      <c r="J3352" s="139" t="s">
        <v>3499</v>
      </c>
      <c r="K3352" s="51" t="s">
        <v>1246</v>
      </c>
      <c r="L3352" s="4">
        <v>44606</v>
      </c>
      <c r="M3352" s="140">
        <v>50</v>
      </c>
      <c r="P3352" s="4" t="s">
        <v>291</v>
      </c>
      <c r="Q3352" s="143"/>
      <c r="T3352" s="144"/>
      <c r="U3352" s="145" t="e">
        <f>VLOOKUP(H3352,Stock_list!A:N,14,FALSE)</f>
        <v>#N/A</v>
      </c>
    </row>
    <row r="3353" spans="1:21" ht="16.5" customHeight="1">
      <c r="A3353" s="159" t="s">
        <v>2750</v>
      </c>
      <c r="B3353" s="114" t="str">
        <f>VLOOKUP(A3353,'Data pick slip'!B:F,5,FALSE)</f>
        <v>KHJ-MC600-00</v>
      </c>
      <c r="F3353" s="157" t="s">
        <v>1381</v>
      </c>
      <c r="H3353" s="138">
        <v>1580</v>
      </c>
      <c r="I3353" s="139" t="str">
        <f>VLOOKUP(H3353,Stock_list!A:R,18,FALSE)</f>
        <v>伯莱科</v>
      </c>
      <c r="J3353" s="139" t="str">
        <f>VLOOKUP(H3353,Stock_list!A:S,17,FALSE)</f>
        <v>C49SZX20220016JL</v>
      </c>
      <c r="K3353" s="51" t="str">
        <f>VLOOKUP(H3353,Stock_list!A:T,16,FALSE)</f>
        <v>JPY</v>
      </c>
      <c r="L3353" s="4">
        <v>44725</v>
      </c>
      <c r="M3353" s="140">
        <v>1</v>
      </c>
      <c r="P3353" s="4" t="str">
        <f>VLOOKUP(H3353,Stock_list!A:Y,25,FALSE)</f>
        <v>Yes</v>
      </c>
      <c r="Q3353" s="143"/>
      <c r="T3353" s="144"/>
      <c r="U3353" s="145" t="str">
        <f>VLOOKUP(H3353,Stock_list!A:N,14,FALSE)</f>
        <v>JUN 22</v>
      </c>
    </row>
    <row r="3354" spans="1:21" ht="16.5" customHeight="1">
      <c r="A3354" s="159" t="s">
        <v>2744</v>
      </c>
      <c r="B3354" s="114" t="str">
        <f>VLOOKUP(A3354,'Data pick slip'!B:F,5,FALSE)</f>
        <v>KHJ-MC100-00</v>
      </c>
      <c r="F3354" s="157" t="s">
        <v>1381</v>
      </c>
      <c r="H3354" s="138">
        <v>1581</v>
      </c>
      <c r="I3354" s="139" t="str">
        <f>VLOOKUP(H3354,Stock_list!A:R,18,FALSE)</f>
        <v>岚新</v>
      </c>
      <c r="J3354" s="139" t="str">
        <f>VLOOKUP(H3354,Stock_list!A:S,17,FALSE)</f>
        <v>C49SZX20220018SX</v>
      </c>
      <c r="K3354" s="51" t="str">
        <f>VLOOKUP(H3354,Stock_list!A:T,16,FALSE)</f>
        <v>JPY</v>
      </c>
      <c r="L3354" s="4">
        <v>44699</v>
      </c>
      <c r="M3354" s="140">
        <v>40</v>
      </c>
      <c r="P3354" s="4" t="str">
        <f>VLOOKUP(H3354,Stock_list!A:Y,25,FALSE)</f>
        <v>Yes</v>
      </c>
      <c r="Q3354" s="143"/>
      <c r="T3354" s="144"/>
      <c r="U3354" s="145" t="str">
        <f>VLOOKUP(H3354,Stock_list!A:N,14,FALSE)</f>
        <v>MAY 22</v>
      </c>
    </row>
    <row r="3355" spans="1:21" ht="16.5" customHeight="1">
      <c r="A3355" s="159" t="s">
        <v>2747</v>
      </c>
      <c r="B3355" s="114" t="str">
        <f>VLOOKUP(A3355,'Data pick slip'!B:F,5,FALSE)</f>
        <v>KHJ-MC200-00</v>
      </c>
      <c r="F3355" s="157" t="s">
        <v>1381</v>
      </c>
      <c r="H3355" s="138">
        <v>1581</v>
      </c>
      <c r="I3355" s="139" t="str">
        <f>VLOOKUP(H3355,Stock_list!A:R,18,FALSE)</f>
        <v>岚新</v>
      </c>
      <c r="J3355" s="139" t="str">
        <f>VLOOKUP(H3355,Stock_list!A:S,17,FALSE)</f>
        <v>C49SZX20220018SX</v>
      </c>
      <c r="K3355" s="51" t="str">
        <f>VLOOKUP(H3355,Stock_list!A:T,16,FALSE)</f>
        <v>JPY</v>
      </c>
      <c r="L3355" s="4">
        <v>44699</v>
      </c>
      <c r="M3355" s="140">
        <v>4</v>
      </c>
      <c r="P3355" s="4" t="str">
        <f>VLOOKUP(H3355,Stock_list!A:Y,25,FALSE)</f>
        <v>Yes</v>
      </c>
      <c r="Q3355" s="143"/>
      <c r="T3355" s="144"/>
      <c r="U3355" s="145" t="str">
        <f>VLOOKUP(H3355,Stock_list!A:N,14,FALSE)</f>
        <v>MAY 22</v>
      </c>
    </row>
    <row r="3356" spans="1:21" ht="16.5" customHeight="1">
      <c r="A3356" s="159" t="s">
        <v>2748</v>
      </c>
      <c r="B3356" s="114" t="str">
        <f>VLOOKUP(A3356,'Data pick slip'!B:F,5,FALSE)</f>
        <v>KHJ-MC400-00</v>
      </c>
      <c r="F3356" s="157" t="s">
        <v>1381</v>
      </c>
      <c r="H3356" s="138">
        <v>1581</v>
      </c>
      <c r="I3356" s="139" t="str">
        <f>VLOOKUP(H3356,Stock_list!A:R,18,FALSE)</f>
        <v>岚新</v>
      </c>
      <c r="J3356" s="139" t="str">
        <f>VLOOKUP(H3356,Stock_list!A:S,17,FALSE)</f>
        <v>C49SZX20220018SX</v>
      </c>
      <c r="K3356" s="51" t="str">
        <f>VLOOKUP(H3356,Stock_list!A:T,16,FALSE)</f>
        <v>JPY</v>
      </c>
      <c r="L3356" s="4">
        <v>44699</v>
      </c>
      <c r="M3356" s="140">
        <v>2</v>
      </c>
      <c r="P3356" s="4" t="str">
        <f>VLOOKUP(H3356,Stock_list!A:Y,25,FALSE)</f>
        <v>Yes</v>
      </c>
      <c r="Q3356" s="143"/>
      <c r="T3356" s="144"/>
      <c r="U3356" s="145" t="str">
        <f>VLOOKUP(H3356,Stock_list!A:N,14,FALSE)</f>
        <v>MAY 22</v>
      </c>
    </row>
    <row r="3357" spans="1:21" ht="16.5" customHeight="1">
      <c r="A3357" s="159" t="s">
        <v>2744</v>
      </c>
      <c r="B3357" s="114" t="str">
        <f>VLOOKUP(A3357,'Data pick slip'!B:F,5,FALSE)</f>
        <v>KHJ-MC100-00</v>
      </c>
      <c r="F3357" s="157" t="s">
        <v>1381</v>
      </c>
      <c r="I3357" s="269" t="s">
        <v>3413</v>
      </c>
      <c r="J3357" s="139" t="s">
        <v>3500</v>
      </c>
      <c r="K3357" s="51" t="s">
        <v>1246</v>
      </c>
      <c r="L3357" s="4">
        <v>44607</v>
      </c>
      <c r="M3357" s="140">
        <v>90</v>
      </c>
      <c r="P3357" s="4" t="s">
        <v>291</v>
      </c>
      <c r="Q3357" s="143"/>
      <c r="T3357" s="144"/>
      <c r="U3357" s="145" t="e">
        <f>VLOOKUP(H3357,Stock_list!A:N,14,FALSE)</f>
        <v>#N/A</v>
      </c>
    </row>
    <row r="3358" spans="1:21" ht="16.5" customHeight="1">
      <c r="A3358" s="159" t="s">
        <v>2748</v>
      </c>
      <c r="B3358" s="114" t="str">
        <f>VLOOKUP(A3358,'Data pick slip'!B:F,5,FALSE)</f>
        <v>KHJ-MC400-00</v>
      </c>
      <c r="F3358" s="157" t="s">
        <v>1381</v>
      </c>
      <c r="I3358" s="269" t="s">
        <v>3413</v>
      </c>
      <c r="J3358" s="139" t="s">
        <v>3500</v>
      </c>
      <c r="K3358" s="51" t="s">
        <v>1246</v>
      </c>
      <c r="L3358" s="4">
        <v>44607</v>
      </c>
      <c r="M3358" s="140">
        <v>10</v>
      </c>
      <c r="P3358" s="4" t="s">
        <v>291</v>
      </c>
      <c r="Q3358" s="143"/>
      <c r="T3358" s="144"/>
      <c r="U3358" s="145" t="e">
        <f>VLOOKUP(H3358,Stock_list!A:N,14,FALSE)</f>
        <v>#N/A</v>
      </c>
    </row>
    <row r="3359" spans="1:21" ht="16.5" customHeight="1">
      <c r="A3359" s="159" t="s">
        <v>2755</v>
      </c>
      <c r="B3359" s="114" t="str">
        <f>VLOOKUP(A3359,'Data pick slip'!B:F,5,FALSE)</f>
        <v>KLJ-MC100-00</v>
      </c>
      <c r="F3359" s="157" t="s">
        <v>1381</v>
      </c>
      <c r="I3359" s="269" t="s">
        <v>3413</v>
      </c>
      <c r="J3359" s="139" t="s">
        <v>3500</v>
      </c>
      <c r="K3359" s="51" t="s">
        <v>1246</v>
      </c>
      <c r="L3359" s="4">
        <v>44607</v>
      </c>
      <c r="M3359" s="140">
        <v>60</v>
      </c>
      <c r="P3359" s="4" t="s">
        <v>291</v>
      </c>
      <c r="Q3359" s="143"/>
      <c r="T3359" s="144"/>
      <c r="U3359" s="145" t="e">
        <f>VLOOKUP(H3359,Stock_list!A:N,14,FALSE)</f>
        <v>#N/A</v>
      </c>
    </row>
    <row r="3360" spans="1:21" ht="16.5" customHeight="1">
      <c r="A3360" s="159" t="s">
        <v>2744</v>
      </c>
      <c r="B3360" s="114" t="str">
        <f>VLOOKUP(A3360,'Data pick slip'!B:F,5,FALSE)</f>
        <v>KHJ-MC100-00</v>
      </c>
      <c r="F3360" s="157" t="s">
        <v>1381</v>
      </c>
      <c r="H3360" s="138">
        <v>1583</v>
      </c>
      <c r="I3360" s="139" t="str">
        <f>VLOOKUP(H3360,Stock_list!A:R,18,FALSE)</f>
        <v>弛瑞</v>
      </c>
      <c r="J3360" s="139" t="str">
        <f>VLOOKUP(H3360,Stock_list!A:S,17,FALSE)</f>
        <v>C49SZX20220020R1SS</v>
      </c>
      <c r="K3360" s="51" t="str">
        <f>VLOOKUP(H3360,Stock_list!A:T,16,FALSE)</f>
        <v>JPY</v>
      </c>
      <c r="L3360" s="4">
        <v>44746</v>
      </c>
      <c r="M3360" s="132">
        <v>35</v>
      </c>
      <c r="P3360" s="4" t="str">
        <f>VLOOKUP(H3360,Stock_list!A:Y,25,FALSE)</f>
        <v>Yes</v>
      </c>
      <c r="Q3360" s="143"/>
      <c r="T3360" s="144"/>
      <c r="U3360" s="145"/>
    </row>
    <row r="3361" spans="1:21" ht="16.5" customHeight="1">
      <c r="A3361" s="159" t="s">
        <v>2747</v>
      </c>
      <c r="B3361" s="114" t="str">
        <f>VLOOKUP(A3361,'Data pick slip'!B:F,5,FALSE)</f>
        <v>KHJ-MC200-00</v>
      </c>
      <c r="F3361" s="157" t="s">
        <v>1381</v>
      </c>
      <c r="H3361" s="138">
        <v>1583</v>
      </c>
      <c r="I3361" s="139" t="str">
        <f>VLOOKUP(H3361,Stock_list!A:R,18,FALSE)</f>
        <v>弛瑞</v>
      </c>
      <c r="J3361" s="139" t="str">
        <f>VLOOKUP(H3361,Stock_list!A:S,17,FALSE)</f>
        <v>C49SZX20220020R1SS</v>
      </c>
      <c r="K3361" s="51" t="str">
        <f>VLOOKUP(H3361,Stock_list!A:T,16,FALSE)</f>
        <v>JPY</v>
      </c>
      <c r="L3361" s="4">
        <v>44746</v>
      </c>
      <c r="M3361" s="132">
        <v>10</v>
      </c>
      <c r="P3361" s="4" t="str">
        <f>VLOOKUP(H3361,Stock_list!A:Y,25,FALSE)</f>
        <v>Yes</v>
      </c>
      <c r="Q3361" s="143"/>
      <c r="T3361" s="144"/>
      <c r="U3361" s="145"/>
    </row>
    <row r="3362" spans="1:21" ht="16.5" customHeight="1">
      <c r="A3362" s="159" t="s">
        <v>2748</v>
      </c>
      <c r="B3362" s="114" t="str">
        <f>VLOOKUP(A3362,'Data pick slip'!B:F,5,FALSE)</f>
        <v>KHJ-MC400-00</v>
      </c>
      <c r="F3362" s="157" t="s">
        <v>1381</v>
      </c>
      <c r="H3362" s="138">
        <v>1583</v>
      </c>
      <c r="I3362" s="139" t="str">
        <f>VLOOKUP(H3362,Stock_list!A:R,18,FALSE)</f>
        <v>弛瑞</v>
      </c>
      <c r="J3362" s="139" t="str">
        <f>VLOOKUP(H3362,Stock_list!A:S,17,FALSE)</f>
        <v>C49SZX20220020R1SS</v>
      </c>
      <c r="K3362" s="51" t="str">
        <f>VLOOKUP(H3362,Stock_list!A:T,16,FALSE)</f>
        <v>JPY</v>
      </c>
      <c r="L3362" s="4">
        <v>44746</v>
      </c>
      <c r="M3362" s="132">
        <v>2</v>
      </c>
      <c r="P3362" s="4" t="str">
        <f>VLOOKUP(H3362,Stock_list!A:Y,25,FALSE)</f>
        <v>Yes</v>
      </c>
      <c r="Q3362" s="143"/>
      <c r="T3362" s="144"/>
      <c r="U3362" s="145"/>
    </row>
    <row r="3363" spans="1:21" ht="16.5" customHeight="1">
      <c r="A3363" s="159" t="s">
        <v>2749</v>
      </c>
      <c r="B3363" s="114" t="str">
        <f>VLOOKUP(A3363,'Data pick slip'!B:F,5,FALSE)</f>
        <v>KHJ-MC500-00</v>
      </c>
      <c r="F3363" s="157" t="s">
        <v>1381</v>
      </c>
      <c r="H3363" s="138">
        <v>1583</v>
      </c>
      <c r="I3363" s="139" t="str">
        <f>VLOOKUP(H3363,Stock_list!A:R,18,FALSE)</f>
        <v>弛瑞</v>
      </c>
      <c r="J3363" s="139" t="str">
        <f>VLOOKUP(H3363,Stock_list!A:S,17,FALSE)</f>
        <v>C49SZX20220020R1SS</v>
      </c>
      <c r="K3363" s="51" t="str">
        <f>VLOOKUP(H3363,Stock_list!A:T,16,FALSE)</f>
        <v>JPY</v>
      </c>
      <c r="L3363" s="4">
        <v>44746</v>
      </c>
      <c r="M3363" s="132">
        <v>1</v>
      </c>
      <c r="P3363" s="4" t="str">
        <f>VLOOKUP(H3363,Stock_list!A:Y,25,FALSE)</f>
        <v>Yes</v>
      </c>
      <c r="Q3363" s="143"/>
      <c r="T3363" s="144"/>
      <c r="U3363" s="145"/>
    </row>
    <row r="3364" spans="1:21" ht="16.5" customHeight="1">
      <c r="A3364" s="159" t="s">
        <v>2744</v>
      </c>
      <c r="B3364" s="114" t="str">
        <f>VLOOKUP(A3364,'Data pick slip'!B:F,5,FALSE)</f>
        <v>KHJ-MC100-00</v>
      </c>
      <c r="F3364" s="157" t="s">
        <v>1381</v>
      </c>
      <c r="H3364" s="138">
        <v>1585</v>
      </c>
      <c r="I3364" s="139" t="str">
        <f>VLOOKUP(H3364,Stock_list!A:R,18,FALSE)</f>
        <v>朗特</v>
      </c>
      <c r="J3364" s="139" t="str">
        <f>VLOOKUP(H3364,Stock_list!A:S,17,FALSE)</f>
        <v>C49SZX20220013DZ</v>
      </c>
      <c r="K3364" s="51" t="str">
        <f>VLOOKUP(H3364,Stock_list!A:T,16,FALSE)</f>
        <v>JPY</v>
      </c>
      <c r="L3364" s="4">
        <v>44692</v>
      </c>
      <c r="M3364" s="140">
        <f>300+47</f>
        <v>347</v>
      </c>
      <c r="P3364" s="4" t="str">
        <f>VLOOKUP(H3364,Stock_list!A:Y,25,FALSE)</f>
        <v>Yes</v>
      </c>
      <c r="Q3364" s="143"/>
      <c r="T3364" s="144"/>
      <c r="U3364" s="145" t="str">
        <f>VLOOKUP(H3364,Stock_list!A:N,14,FALSE)</f>
        <v>MAY 22</v>
      </c>
    </row>
    <row r="3365" spans="1:21" ht="16.5" customHeight="1">
      <c r="A3365" s="159" t="s">
        <v>2747</v>
      </c>
      <c r="B3365" s="114" t="str">
        <f>VLOOKUP(A3365,'Data pick slip'!B:F,5,FALSE)</f>
        <v>KHJ-MC200-00</v>
      </c>
      <c r="F3365" s="157" t="s">
        <v>1381</v>
      </c>
      <c r="H3365" s="138">
        <v>1585</v>
      </c>
      <c r="I3365" s="139" t="str">
        <f>VLOOKUP(H3365,Stock_list!A:R,18,FALSE)</f>
        <v>朗特</v>
      </c>
      <c r="J3365" s="139" t="str">
        <f>VLOOKUP(H3365,Stock_list!A:S,17,FALSE)</f>
        <v>C49SZX20220013DZ</v>
      </c>
      <c r="K3365" s="51" t="str">
        <f>VLOOKUP(H3365,Stock_list!A:T,16,FALSE)</f>
        <v>JPY</v>
      </c>
      <c r="L3365" s="4">
        <v>44692</v>
      </c>
      <c r="M3365" s="140">
        <f>100+50</f>
        <v>150</v>
      </c>
      <c r="P3365" s="4" t="str">
        <f>VLOOKUP(H3365,Stock_list!A:Y,25,FALSE)</f>
        <v>Yes</v>
      </c>
      <c r="Q3365" s="143"/>
      <c r="T3365" s="144"/>
      <c r="U3365" s="145" t="str">
        <f>VLOOKUP(H3365,Stock_list!A:N,14,FALSE)</f>
        <v>MAY 22</v>
      </c>
    </row>
    <row r="3366" spans="1:21" ht="16.5" customHeight="1">
      <c r="A3366" s="159" t="s">
        <v>2748</v>
      </c>
      <c r="B3366" s="114" t="str">
        <f>VLOOKUP(A3366,'Data pick slip'!B:F,5,FALSE)</f>
        <v>KHJ-MC400-00</v>
      </c>
      <c r="F3366" s="157" t="s">
        <v>1381</v>
      </c>
      <c r="H3366" s="138">
        <v>1585</v>
      </c>
      <c r="I3366" s="139" t="str">
        <f>VLOOKUP(H3366,Stock_list!A:R,18,FALSE)</f>
        <v>朗特</v>
      </c>
      <c r="J3366" s="139" t="str">
        <f>VLOOKUP(H3366,Stock_list!A:S,17,FALSE)</f>
        <v>C49SZX20220013DZ</v>
      </c>
      <c r="K3366" s="51" t="str">
        <f>VLOOKUP(H3366,Stock_list!A:T,16,FALSE)</f>
        <v>JPY</v>
      </c>
      <c r="L3366" s="4">
        <v>44692</v>
      </c>
      <c r="M3366" s="140">
        <v>40</v>
      </c>
      <c r="P3366" s="4" t="str">
        <f>VLOOKUP(H3366,Stock_list!A:Y,25,FALSE)</f>
        <v>Yes</v>
      </c>
      <c r="Q3366" s="143"/>
      <c r="T3366" s="144"/>
      <c r="U3366" s="145" t="str">
        <f>VLOOKUP(H3366,Stock_list!A:N,14,FALSE)</f>
        <v>MAY 22</v>
      </c>
    </row>
    <row r="3367" spans="1:21" ht="16.5" customHeight="1">
      <c r="A3367" s="159" t="s">
        <v>2749</v>
      </c>
      <c r="B3367" s="114" t="str">
        <f>VLOOKUP(A3367,'Data pick slip'!B:F,5,FALSE)</f>
        <v>KHJ-MC500-00</v>
      </c>
      <c r="F3367" s="157" t="s">
        <v>1381</v>
      </c>
      <c r="H3367" s="138">
        <v>1585</v>
      </c>
      <c r="I3367" s="139" t="str">
        <f>VLOOKUP(H3367,Stock_list!A:R,18,FALSE)</f>
        <v>朗特</v>
      </c>
      <c r="J3367" s="139" t="str">
        <f>VLOOKUP(H3367,Stock_list!A:S,17,FALSE)</f>
        <v>C49SZX20220013DZ</v>
      </c>
      <c r="K3367" s="51" t="str">
        <f>VLOOKUP(H3367,Stock_list!A:T,16,FALSE)</f>
        <v>JPY</v>
      </c>
      <c r="L3367" s="4">
        <v>44692</v>
      </c>
      <c r="M3367" s="140">
        <v>13</v>
      </c>
      <c r="P3367" s="4" t="str">
        <f>VLOOKUP(H3367,Stock_list!A:Y,25,FALSE)</f>
        <v>Yes</v>
      </c>
      <c r="Q3367" s="143"/>
      <c r="T3367" s="144"/>
      <c r="U3367" s="145" t="str">
        <f>VLOOKUP(H3367,Stock_list!A:N,14,FALSE)</f>
        <v>MAY 22</v>
      </c>
    </row>
    <row r="3368" spans="1:21" ht="16.5" customHeight="1">
      <c r="A3368" s="159" t="s">
        <v>2750</v>
      </c>
      <c r="B3368" s="114" t="str">
        <f>VLOOKUP(A3368,'Data pick slip'!B:F,5,FALSE)</f>
        <v>KHJ-MC600-00</v>
      </c>
      <c r="F3368" s="157" t="s">
        <v>1381</v>
      </c>
      <c r="H3368" s="138">
        <v>1585</v>
      </c>
      <c r="I3368" s="139" t="str">
        <f>VLOOKUP(H3368,Stock_list!A:R,18,FALSE)</f>
        <v>朗特</v>
      </c>
      <c r="J3368" s="139" t="str">
        <f>VLOOKUP(H3368,Stock_list!A:S,17,FALSE)</f>
        <v>C49SZX20220013DZ</v>
      </c>
      <c r="K3368" s="51" t="str">
        <f>VLOOKUP(H3368,Stock_list!A:T,16,FALSE)</f>
        <v>JPY</v>
      </c>
      <c r="L3368" s="4">
        <v>44692</v>
      </c>
      <c r="M3368" s="140">
        <v>7</v>
      </c>
      <c r="P3368" s="4" t="str">
        <f>VLOOKUP(H3368,Stock_list!A:Y,25,FALSE)</f>
        <v>Yes</v>
      </c>
      <c r="Q3368" s="143"/>
      <c r="T3368" s="144"/>
      <c r="U3368" s="145" t="str">
        <f>VLOOKUP(H3368,Stock_list!A:N,14,FALSE)</f>
        <v>MAY 22</v>
      </c>
    </row>
    <row r="3369" spans="1:21" ht="25.5" customHeight="1">
      <c r="A3369" s="159" t="s">
        <v>2748</v>
      </c>
      <c r="B3369" s="114" t="str">
        <f>VLOOKUP(A3369,'Data pick slip'!B:F,5,FALSE)</f>
        <v>KHJ-MC400-00</v>
      </c>
      <c r="F3369" s="157" t="s">
        <v>2753</v>
      </c>
      <c r="I3369" s="139" t="s">
        <v>3099</v>
      </c>
      <c r="J3369" s="267" t="s">
        <v>3501</v>
      </c>
      <c r="K3369" s="51" t="s">
        <v>1246</v>
      </c>
      <c r="L3369" s="4">
        <v>44616</v>
      </c>
      <c r="M3369" s="140">
        <v>3</v>
      </c>
      <c r="P3369" s="4" t="s">
        <v>291</v>
      </c>
      <c r="Q3369" s="143"/>
      <c r="T3369" s="144"/>
      <c r="U3369" s="145" t="e">
        <f>VLOOKUP(H3369,Stock_list!A:N,14,FALSE)</f>
        <v>#N/A</v>
      </c>
    </row>
    <row r="3370" spans="1:21" ht="16.5" customHeight="1">
      <c r="A3370" s="159" t="s">
        <v>2744</v>
      </c>
      <c r="B3370" s="114" t="str">
        <f>VLOOKUP(A3370,'Data pick slip'!B:F,5,FALSE)</f>
        <v>KHJ-MC100-00</v>
      </c>
      <c r="F3370" s="157" t="s">
        <v>1381</v>
      </c>
      <c r="H3370" s="138">
        <v>1597</v>
      </c>
      <c r="I3370" s="139" t="str">
        <f>VLOOKUP(H3370,Stock_list!A:R,18,FALSE)</f>
        <v>钧溢电子</v>
      </c>
      <c r="J3370" s="139" t="str">
        <f>VLOOKUP(H3370,Stock_list!A:S,17,FALSE)</f>
        <v>C49SZX20220021SS</v>
      </c>
      <c r="K3370" s="51" t="str">
        <f>VLOOKUP(H3370,Stock_list!A:T,16,FALSE)</f>
        <v>JPY</v>
      </c>
      <c r="L3370" s="4">
        <v>44725</v>
      </c>
      <c r="M3370" s="140">
        <v>42</v>
      </c>
      <c r="P3370" s="4" t="str">
        <f>VLOOKUP(H3370,Stock_list!A:Y,25,FALSE)</f>
        <v>Yes</v>
      </c>
      <c r="Q3370" s="143"/>
      <c r="T3370" s="144"/>
      <c r="U3370" s="145" t="str">
        <f>VLOOKUP(H3370,Stock_list!A:N,14,FALSE)</f>
        <v>JUN 22</v>
      </c>
    </row>
    <row r="3371" spans="1:21" ht="16.5" customHeight="1">
      <c r="A3371" s="159" t="s">
        <v>2748</v>
      </c>
      <c r="B3371" s="114" t="str">
        <f>VLOOKUP(A3371,'Data pick slip'!B:F,5,FALSE)</f>
        <v>KHJ-MC400-00</v>
      </c>
      <c r="F3371" s="157" t="s">
        <v>1381</v>
      </c>
      <c r="H3371" s="138">
        <v>1597</v>
      </c>
      <c r="I3371" s="139" t="str">
        <f>VLOOKUP(H3371,Stock_list!A:R,18,FALSE)</f>
        <v>钧溢电子</v>
      </c>
      <c r="J3371" s="139" t="str">
        <f>VLOOKUP(H3371,Stock_list!A:S,17,FALSE)</f>
        <v>C49SZX20220021SS</v>
      </c>
      <c r="K3371" s="51" t="str">
        <f>VLOOKUP(H3371,Stock_list!A:T,16,FALSE)</f>
        <v>JPY</v>
      </c>
      <c r="L3371" s="4">
        <v>44725</v>
      </c>
      <c r="M3371" s="140">
        <v>2</v>
      </c>
      <c r="P3371" s="4" t="str">
        <f>VLOOKUP(H3371,Stock_list!A:Y,25,FALSE)</f>
        <v>Yes</v>
      </c>
      <c r="Q3371" s="143"/>
      <c r="T3371" s="144"/>
      <c r="U3371" s="145" t="str">
        <f>VLOOKUP(H3371,Stock_list!A:N,14,FALSE)</f>
        <v>JUN 22</v>
      </c>
    </row>
    <row r="3372" spans="1:21" ht="16.5" customHeight="1">
      <c r="A3372" s="159" t="s">
        <v>2755</v>
      </c>
      <c r="B3372" s="114" t="str">
        <f>VLOOKUP(A3372,'Data pick slip'!B:F,5,FALSE)</f>
        <v>KLJ-MC100-00</v>
      </c>
      <c r="F3372" s="157" t="s">
        <v>2753</v>
      </c>
      <c r="H3372" s="138">
        <v>1598</v>
      </c>
      <c r="I3372" s="139" t="str">
        <f>VLOOKUP(H3372,Stock_list!A:R,18,FALSE)</f>
        <v>拓新伟业</v>
      </c>
      <c r="J3372" s="139" t="str">
        <f>VLOOKUP(H3372,Stock_list!A:S,17,FALSE)</f>
        <v>C49SZX20220023SX</v>
      </c>
      <c r="K3372" s="51" t="str">
        <f>VLOOKUP(H3372,Stock_list!A:T,16,FALSE)</f>
        <v>RMB</v>
      </c>
      <c r="L3372" s="4">
        <v>44625</v>
      </c>
      <c r="M3372" s="140">
        <v>4</v>
      </c>
      <c r="P3372" s="4" t="str">
        <f>VLOOKUP(H3372,Stock_list!A:Y,25,FALSE)</f>
        <v>Yes</v>
      </c>
      <c r="Q3372" s="143"/>
      <c r="T3372" s="144"/>
      <c r="U3372" s="145" t="str">
        <f>VLOOKUP(H3372,Stock_list!A:N,14,FALSE)</f>
        <v>MAR 22</v>
      </c>
    </row>
    <row r="3373" spans="1:21" ht="16.5" customHeight="1">
      <c r="A3373" s="159" t="s">
        <v>2755</v>
      </c>
      <c r="B3373" s="114" t="str">
        <f>VLOOKUP(A3373,'Data pick slip'!B:F,5,FALSE)</f>
        <v>KLJ-MC100-00</v>
      </c>
      <c r="F3373" s="157" t="s">
        <v>2753</v>
      </c>
      <c r="H3373" s="138">
        <v>1598</v>
      </c>
      <c r="I3373" s="139" t="str">
        <f>VLOOKUP(H3373,Stock_list!A:R,18,FALSE)</f>
        <v>拓新伟业</v>
      </c>
      <c r="J3373" s="139" t="str">
        <f>VLOOKUP(H3373,Stock_list!A:S,17,FALSE)</f>
        <v>C49SZX20220023SX</v>
      </c>
      <c r="K3373" s="51" t="str">
        <f>VLOOKUP(H3373,Stock_list!A:T,16,FALSE)</f>
        <v>RMB</v>
      </c>
      <c r="L3373" s="4">
        <v>44638</v>
      </c>
      <c r="M3373" s="140">
        <v>21</v>
      </c>
      <c r="P3373" s="4" t="str">
        <f>VLOOKUP(H3373,Stock_list!A:Y,25,FALSE)</f>
        <v>Yes</v>
      </c>
      <c r="Q3373" s="143"/>
      <c r="T3373" s="144"/>
      <c r="U3373" s="145" t="str">
        <f>VLOOKUP(H3373,Stock_list!A:N,14,FALSE)</f>
        <v>MAR 22</v>
      </c>
    </row>
    <row r="3374" spans="1:21" ht="16.5" customHeight="1">
      <c r="A3374" s="159" t="s">
        <v>2756</v>
      </c>
      <c r="B3374" s="114" t="str">
        <f>VLOOKUP(A3374,'Data pick slip'!B:F,5,FALSE)</f>
        <v>KLJ-MC200-00</v>
      </c>
      <c r="F3374" s="157" t="s">
        <v>2753</v>
      </c>
      <c r="H3374" s="138">
        <v>1598</v>
      </c>
      <c r="I3374" s="139" t="str">
        <f>VLOOKUP(H3374,Stock_list!A:R,18,FALSE)</f>
        <v>拓新伟业</v>
      </c>
      <c r="J3374" s="139" t="str">
        <f>VLOOKUP(H3374,Stock_list!A:S,17,FALSE)</f>
        <v>C49SZX20220023SX</v>
      </c>
      <c r="K3374" s="51" t="str">
        <f>VLOOKUP(H3374,Stock_list!A:T,16,FALSE)</f>
        <v>RMB</v>
      </c>
      <c r="L3374" s="4">
        <v>44638</v>
      </c>
      <c r="M3374" s="140">
        <v>6</v>
      </c>
      <c r="P3374" s="4" t="str">
        <f>VLOOKUP(H3374,Stock_list!A:Y,25,FALSE)</f>
        <v>Yes</v>
      </c>
      <c r="Q3374" s="143"/>
      <c r="T3374" s="144"/>
      <c r="U3374" s="145" t="str">
        <f>VLOOKUP(H3374,Stock_list!A:N,14,FALSE)</f>
        <v>MAR 22</v>
      </c>
    </row>
    <row r="3375" spans="1:21" ht="16.5" customHeight="1">
      <c r="A3375" s="159" t="s">
        <v>2757</v>
      </c>
      <c r="B3375" s="114" t="str">
        <f>VLOOKUP(A3375,'Data pick slip'!B:F,5,FALSE)</f>
        <v>KLJ-MC400-00</v>
      </c>
      <c r="F3375" s="157" t="s">
        <v>2753</v>
      </c>
      <c r="H3375" s="138">
        <v>1598</v>
      </c>
      <c r="I3375" s="139" t="str">
        <f>VLOOKUP(H3375,Stock_list!A:R,18,FALSE)</f>
        <v>拓新伟业</v>
      </c>
      <c r="J3375" s="139" t="str">
        <f>VLOOKUP(H3375,Stock_list!A:S,17,FALSE)</f>
        <v>C49SZX20220023SX</v>
      </c>
      <c r="K3375" s="51" t="str">
        <f>VLOOKUP(H3375,Stock_list!A:T,16,FALSE)</f>
        <v>RMB</v>
      </c>
      <c r="L3375" s="4">
        <v>44638</v>
      </c>
      <c r="M3375" s="140">
        <v>2</v>
      </c>
      <c r="P3375" s="4" t="str">
        <f>VLOOKUP(H3375,Stock_list!A:Y,25,FALSE)</f>
        <v>Yes</v>
      </c>
      <c r="Q3375" s="143"/>
      <c r="T3375" s="144"/>
      <c r="U3375" s="145" t="str">
        <f>VLOOKUP(H3375,Stock_list!A:N,14,FALSE)</f>
        <v>MAR 22</v>
      </c>
    </row>
    <row r="3376" spans="1:21" ht="16.5" customHeight="1">
      <c r="A3376" s="159" t="s">
        <v>2744</v>
      </c>
      <c r="B3376" s="114" t="str">
        <f>VLOOKUP(A3376,'Data pick slip'!B:F,5,FALSE)</f>
        <v>KHJ-MC100-00</v>
      </c>
      <c r="F3376" s="157" t="s">
        <v>2753</v>
      </c>
      <c r="I3376" s="139" t="s">
        <v>3093</v>
      </c>
      <c r="J3376" s="267" t="s">
        <v>3502</v>
      </c>
      <c r="K3376" s="51" t="s">
        <v>1246</v>
      </c>
      <c r="L3376" s="4">
        <v>44621</v>
      </c>
      <c r="M3376" s="140">
        <v>1</v>
      </c>
      <c r="P3376" s="4" t="s">
        <v>291</v>
      </c>
      <c r="Q3376" s="143"/>
      <c r="T3376" s="144"/>
      <c r="U3376" s="145" t="e">
        <f>VLOOKUP(H3376,Stock_list!A:N,14,FALSE)</f>
        <v>#N/A</v>
      </c>
    </row>
    <row r="3377" spans="1:21" ht="16.5" customHeight="1">
      <c r="A3377" s="159" t="s">
        <v>2744</v>
      </c>
      <c r="B3377" s="114" t="str">
        <f>VLOOKUP(A3377,'Data pick slip'!B:F,5,FALSE)</f>
        <v>KHJ-MC100-00</v>
      </c>
      <c r="F3377" s="157" t="s">
        <v>1381</v>
      </c>
      <c r="H3377" s="138">
        <v>1599</v>
      </c>
      <c r="I3377" s="139" t="str">
        <f>VLOOKUP(H3377,Stock_list!A:R,18,FALSE)</f>
        <v>英特莱</v>
      </c>
      <c r="J3377" s="139" t="str">
        <f>VLOOKUP(H3377,Stock_list!A:S,17,FALSE)</f>
        <v>C49SZX20220017JL</v>
      </c>
      <c r="K3377" s="51" t="str">
        <f>VLOOKUP(H3377,Stock_list!A:T,16,FALSE)</f>
        <v>JPY</v>
      </c>
      <c r="L3377" s="4">
        <v>44644</v>
      </c>
      <c r="M3377" s="140">
        <v>20</v>
      </c>
      <c r="P3377" s="4" t="str">
        <f>VLOOKUP(H3377,Stock_list!A:Y,25,FALSE)</f>
        <v>Yes</v>
      </c>
      <c r="Q3377" s="143"/>
      <c r="T3377" s="144"/>
      <c r="U3377" s="145" t="str">
        <f>VLOOKUP(H3377,Stock_list!A:N,14,FALSE)</f>
        <v>MAR 22</v>
      </c>
    </row>
    <row r="3378" spans="1:21" ht="16.5" customHeight="1">
      <c r="A3378" s="159" t="s">
        <v>2747</v>
      </c>
      <c r="B3378" s="114" t="str">
        <f>VLOOKUP(A3378,'Data pick slip'!B:F,5,FALSE)</f>
        <v>KHJ-MC200-00</v>
      </c>
      <c r="F3378" s="157" t="s">
        <v>1381</v>
      </c>
      <c r="H3378" s="138">
        <v>1599</v>
      </c>
      <c r="I3378" s="139" t="str">
        <f>VLOOKUP(H3378,Stock_list!A:R,18,FALSE)</f>
        <v>英特莱</v>
      </c>
      <c r="J3378" s="139" t="str">
        <f>VLOOKUP(H3378,Stock_list!A:S,17,FALSE)</f>
        <v>C49SZX20220017JL</v>
      </c>
      <c r="K3378" s="51" t="str">
        <f>VLOOKUP(H3378,Stock_list!A:T,16,FALSE)</f>
        <v>JPY</v>
      </c>
      <c r="L3378" s="4">
        <v>44644</v>
      </c>
      <c r="M3378" s="140">
        <v>3</v>
      </c>
      <c r="P3378" s="4" t="str">
        <f>VLOOKUP(H3378,Stock_list!A:Y,25,FALSE)</f>
        <v>Yes</v>
      </c>
      <c r="Q3378" s="143"/>
      <c r="T3378" s="144"/>
      <c r="U3378" s="145" t="str">
        <f>VLOOKUP(H3378,Stock_list!A:N,14,FALSE)</f>
        <v>MAR 22</v>
      </c>
    </row>
    <row r="3379" spans="1:21" ht="16.5" customHeight="1">
      <c r="A3379" s="159" t="s">
        <v>2744</v>
      </c>
      <c r="B3379" s="114" t="str">
        <f>VLOOKUP(A3379,'Data pick slip'!B:F,5,FALSE)</f>
        <v>KHJ-MC100-00</v>
      </c>
      <c r="F3379" s="157" t="s">
        <v>1381</v>
      </c>
      <c r="H3379" s="138">
        <v>1600</v>
      </c>
      <c r="I3379" s="139" t="str">
        <f>VLOOKUP(H3379,Stock_list!A:R,18,FALSE)</f>
        <v>友艺</v>
      </c>
      <c r="J3379" s="139" t="str">
        <f>VLOOKUP(H3379,Stock_list!A:S,17,FALSE)</f>
        <v>C49SZX20220024VC</v>
      </c>
      <c r="K3379" s="51" t="str">
        <f>VLOOKUP(H3379,Stock_list!A:T,16,FALSE)</f>
        <v>JPY</v>
      </c>
      <c r="L3379" s="4">
        <v>44748</v>
      </c>
      <c r="M3379" s="132">
        <v>100</v>
      </c>
      <c r="P3379" s="4" t="str">
        <f>VLOOKUP(H3379,Stock_list!A:Y,25,FALSE)</f>
        <v>Yes</v>
      </c>
      <c r="Q3379" s="143"/>
      <c r="T3379" s="144"/>
      <c r="U3379" s="145" t="str">
        <f>VLOOKUP(H3379,Stock_list!A:N,14,FALSE)</f>
        <v>JUL 22</v>
      </c>
    </row>
    <row r="3380" spans="1:21" ht="16.5" customHeight="1">
      <c r="A3380" s="159" t="s">
        <v>2747</v>
      </c>
      <c r="B3380" s="114" t="str">
        <f>VLOOKUP(A3380,'Data pick slip'!B:F,5,FALSE)</f>
        <v>KHJ-MC200-00</v>
      </c>
      <c r="F3380" s="157" t="s">
        <v>1381</v>
      </c>
      <c r="H3380" s="138">
        <v>1600</v>
      </c>
      <c r="I3380" s="139" t="str">
        <f>VLOOKUP(H3380,Stock_list!A:R,18,FALSE)</f>
        <v>友艺</v>
      </c>
      <c r="J3380" s="139" t="str">
        <f>VLOOKUP(H3380,Stock_list!A:S,17,FALSE)</f>
        <v>C49SZX20220024VC</v>
      </c>
      <c r="K3380" s="51" t="str">
        <f>VLOOKUP(H3380,Stock_list!A:T,16,FALSE)</f>
        <v>JPY</v>
      </c>
      <c r="L3380" s="4">
        <v>44748</v>
      </c>
      <c r="M3380" s="132">
        <v>6</v>
      </c>
      <c r="P3380" s="4" t="str">
        <f>VLOOKUP(H3380,Stock_list!A:Y,25,FALSE)</f>
        <v>Yes</v>
      </c>
      <c r="Q3380" s="143"/>
      <c r="T3380" s="144"/>
      <c r="U3380" s="145" t="str">
        <f>VLOOKUP(H3380,Stock_list!A:N,14,FALSE)</f>
        <v>JUL 22</v>
      </c>
    </row>
    <row r="3381" spans="1:21" ht="16.5" customHeight="1">
      <c r="A3381" s="159" t="s">
        <v>2744</v>
      </c>
      <c r="B3381" s="114" t="str">
        <f>VLOOKUP(A3381,'Data pick slip'!B:F,5,FALSE)</f>
        <v>KHJ-MC100-00</v>
      </c>
      <c r="F3381" s="157" t="s">
        <v>1381</v>
      </c>
      <c r="H3381" s="138">
        <v>1601</v>
      </c>
      <c r="I3381" s="139" t="str">
        <f>VLOOKUP(H3381,Stock_list!A:R,18,FALSE)</f>
        <v>骏仁达</v>
      </c>
      <c r="J3381" s="139" t="str">
        <f>VLOOKUP(H3381,Stock_list!A:S,17,FALSE)</f>
        <v>C49SZX20220026SX</v>
      </c>
      <c r="K3381" s="51" t="str">
        <f>VLOOKUP(H3381,Stock_list!A:T,16,FALSE)</f>
        <v>JPY</v>
      </c>
      <c r="L3381" s="4">
        <v>44729</v>
      </c>
      <c r="M3381" s="132">
        <v>59</v>
      </c>
      <c r="P3381" s="4" t="str">
        <f>VLOOKUP(H3381,Stock_list!A:Y,25,FALSE)</f>
        <v>Yes</v>
      </c>
      <c r="Q3381" s="143"/>
      <c r="T3381" s="144"/>
      <c r="U3381" s="145" t="str">
        <f>VLOOKUP(H3381,Stock_list!A:N,14,FALSE)</f>
        <v>JUN 22</v>
      </c>
    </row>
    <row r="3382" spans="1:21" ht="16.5" customHeight="1">
      <c r="A3382" s="159" t="s">
        <v>2747</v>
      </c>
      <c r="B3382" s="114" t="str">
        <f>VLOOKUP(A3382,'Data pick slip'!B:F,5,FALSE)</f>
        <v>KHJ-MC200-00</v>
      </c>
      <c r="F3382" s="157" t="s">
        <v>1381</v>
      </c>
      <c r="H3382" s="138">
        <v>1601</v>
      </c>
      <c r="I3382" s="139" t="str">
        <f>VLOOKUP(H3382,Stock_list!A:R,18,FALSE)</f>
        <v>骏仁达</v>
      </c>
      <c r="J3382" s="139" t="str">
        <f>VLOOKUP(H3382,Stock_list!A:S,17,FALSE)</f>
        <v>C49SZX20220026SX</v>
      </c>
      <c r="K3382" s="51" t="str">
        <f>VLOOKUP(H3382,Stock_list!A:T,16,FALSE)</f>
        <v>JPY</v>
      </c>
      <c r="L3382" s="4">
        <v>44729</v>
      </c>
      <c r="M3382" s="132">
        <v>20</v>
      </c>
      <c r="P3382" s="4" t="str">
        <f>VLOOKUP(H3382,Stock_list!A:Y,25,FALSE)</f>
        <v>Yes</v>
      </c>
      <c r="Q3382" s="143"/>
      <c r="T3382" s="144"/>
      <c r="U3382" s="145" t="str">
        <f>VLOOKUP(H3382,Stock_list!A:N,14,FALSE)</f>
        <v>JUN 22</v>
      </c>
    </row>
    <row r="3383" spans="1:21" ht="16.5" customHeight="1">
      <c r="A3383" s="159" t="s">
        <v>2748</v>
      </c>
      <c r="B3383" s="114" t="str">
        <f>VLOOKUP(A3383,'Data pick slip'!B:F,5,FALSE)</f>
        <v>KHJ-MC400-00</v>
      </c>
      <c r="F3383" s="157" t="s">
        <v>1381</v>
      </c>
      <c r="H3383" s="138">
        <v>1601</v>
      </c>
      <c r="I3383" s="139" t="str">
        <f>VLOOKUP(H3383,Stock_list!A:R,18,FALSE)</f>
        <v>骏仁达</v>
      </c>
      <c r="J3383" s="139" t="str">
        <f>VLOOKUP(H3383,Stock_list!A:S,17,FALSE)</f>
        <v>C49SZX20220026SX</v>
      </c>
      <c r="K3383" s="51" t="str">
        <f>VLOOKUP(H3383,Stock_list!A:T,16,FALSE)</f>
        <v>JPY</v>
      </c>
      <c r="L3383" s="4">
        <v>44729</v>
      </c>
      <c r="M3383" s="132">
        <v>10</v>
      </c>
      <c r="P3383" s="4" t="str">
        <f>VLOOKUP(H3383,Stock_list!A:Y,25,FALSE)</f>
        <v>Yes</v>
      </c>
      <c r="Q3383" s="143"/>
      <c r="T3383" s="144"/>
      <c r="U3383" s="145" t="str">
        <f>VLOOKUP(H3383,Stock_list!A:N,14,FALSE)</f>
        <v>JUN 22</v>
      </c>
    </row>
    <row r="3384" spans="1:21" ht="16.5" customHeight="1">
      <c r="A3384" s="159" t="s">
        <v>2749</v>
      </c>
      <c r="B3384" s="114" t="str">
        <f>VLOOKUP(A3384,'Data pick slip'!B:F,5,FALSE)</f>
        <v>KHJ-MC500-00</v>
      </c>
      <c r="F3384" s="157" t="s">
        <v>1381</v>
      </c>
      <c r="H3384" s="138">
        <v>1601</v>
      </c>
      <c r="I3384" s="139" t="str">
        <f>VLOOKUP(H3384,Stock_list!A:R,18,FALSE)</f>
        <v>骏仁达</v>
      </c>
      <c r="J3384" s="139" t="str">
        <f>VLOOKUP(H3384,Stock_list!A:S,17,FALSE)</f>
        <v>C49SZX20220026SX</v>
      </c>
      <c r="K3384" s="51" t="str">
        <f>VLOOKUP(H3384,Stock_list!A:T,16,FALSE)</f>
        <v>JPY</v>
      </c>
      <c r="L3384" s="4">
        <v>44729</v>
      </c>
      <c r="M3384" s="132">
        <v>4</v>
      </c>
      <c r="P3384" s="4" t="str">
        <f>VLOOKUP(H3384,Stock_list!A:Y,25,FALSE)</f>
        <v>Yes</v>
      </c>
      <c r="Q3384" s="143"/>
      <c r="T3384" s="144"/>
      <c r="U3384" s="145" t="str">
        <f>VLOOKUP(H3384,Stock_list!A:N,14,FALSE)</f>
        <v>JUN 22</v>
      </c>
    </row>
    <row r="3385" spans="1:21" ht="16.5" customHeight="1">
      <c r="A3385" s="159" t="s">
        <v>2751</v>
      </c>
      <c r="B3385" s="114" t="str">
        <f>VLOOKUP(A3385,'Data pick slip'!B:F,5,FALSE)</f>
        <v>KHJ-MC700-00</v>
      </c>
      <c r="F3385" s="157" t="s">
        <v>1381</v>
      </c>
      <c r="H3385" s="138">
        <v>1601</v>
      </c>
      <c r="I3385" s="139" t="str">
        <f>VLOOKUP(H3385,Stock_list!A:R,18,FALSE)</f>
        <v>骏仁达</v>
      </c>
      <c r="J3385" s="139" t="str">
        <f>VLOOKUP(H3385,Stock_list!A:S,17,FALSE)</f>
        <v>C49SZX20220026SX</v>
      </c>
      <c r="K3385" s="51" t="str">
        <f>VLOOKUP(H3385,Stock_list!A:T,16,FALSE)</f>
        <v>JPY</v>
      </c>
      <c r="L3385" s="4">
        <v>44729</v>
      </c>
      <c r="M3385" s="132">
        <v>1</v>
      </c>
      <c r="P3385" s="4" t="str">
        <f>VLOOKUP(H3385,Stock_list!A:Y,25,FALSE)</f>
        <v>Yes</v>
      </c>
      <c r="Q3385" s="143"/>
      <c r="T3385" s="144"/>
      <c r="U3385" s="145" t="str">
        <f>VLOOKUP(H3385,Stock_list!A:N,14,FALSE)</f>
        <v>JUN 22</v>
      </c>
    </row>
    <row r="3386" spans="1:21" ht="16.5" customHeight="1">
      <c r="A3386" s="159" t="s">
        <v>2744</v>
      </c>
      <c r="B3386" s="114" t="str">
        <f>VLOOKUP(A3386,'Data pick slip'!B:F,5,FALSE)</f>
        <v>KHJ-MC100-00</v>
      </c>
      <c r="F3386" s="157" t="s">
        <v>1381</v>
      </c>
      <c r="H3386" s="138">
        <v>1606</v>
      </c>
      <c r="I3386" s="139" t="str">
        <f>VLOOKUP(H3386,Stock_list!A:R,18,FALSE)</f>
        <v>通达科信</v>
      </c>
      <c r="J3386" s="139" t="str">
        <f>VLOOKUP(H3386,Stock_list!A:S,17,FALSE)</f>
        <v>C49SZX20220028R1SX</v>
      </c>
      <c r="K3386" s="51" t="str">
        <f>VLOOKUP(H3386,Stock_list!A:T,16,FALSE)</f>
        <v>JPY</v>
      </c>
      <c r="L3386" s="4">
        <v>44735</v>
      </c>
      <c r="M3386" s="140">
        <v>110</v>
      </c>
      <c r="P3386" s="4" t="str">
        <f>VLOOKUP(H3386,Stock_list!A:Y,25,FALSE)</f>
        <v>Yes</v>
      </c>
      <c r="Q3386" s="143"/>
      <c r="T3386" s="144"/>
      <c r="U3386" s="145" t="str">
        <f>VLOOKUP(H3386,Stock_list!A:N,14,FALSE)</f>
        <v>JUN 22</v>
      </c>
    </row>
    <row r="3387" spans="1:21" ht="16.5" customHeight="1">
      <c r="A3387" s="159" t="s">
        <v>2747</v>
      </c>
      <c r="B3387" s="114" t="str">
        <f>VLOOKUP(A3387,'Data pick slip'!B:F,5,FALSE)</f>
        <v>KHJ-MC200-00</v>
      </c>
      <c r="F3387" s="157" t="s">
        <v>1381</v>
      </c>
      <c r="H3387" s="138">
        <v>1606</v>
      </c>
      <c r="I3387" s="139" t="str">
        <f>VLOOKUP(H3387,Stock_list!A:R,18,FALSE)</f>
        <v>通达科信</v>
      </c>
      <c r="J3387" s="139" t="str">
        <f>VLOOKUP(H3387,Stock_list!A:S,17,FALSE)</f>
        <v>C49SZX20220028R1SX</v>
      </c>
      <c r="K3387" s="51" t="str">
        <f>VLOOKUP(H3387,Stock_list!A:T,16,FALSE)</f>
        <v>JPY</v>
      </c>
      <c r="L3387" s="4">
        <v>44735</v>
      </c>
      <c r="M3387" s="140">
        <v>20</v>
      </c>
      <c r="P3387" s="4" t="str">
        <f>VLOOKUP(H3387,Stock_list!A:Y,25,FALSE)</f>
        <v>Yes</v>
      </c>
      <c r="Q3387" s="143"/>
      <c r="T3387" s="144"/>
      <c r="U3387" s="145" t="str">
        <f>VLOOKUP(H3387,Stock_list!A:N,14,FALSE)</f>
        <v>JUN 22</v>
      </c>
    </row>
    <row r="3388" spans="1:21" ht="16.5" customHeight="1">
      <c r="A3388" s="159" t="s">
        <v>2748</v>
      </c>
      <c r="B3388" s="114" t="str">
        <f>VLOOKUP(A3388,'Data pick slip'!B:F,5,FALSE)</f>
        <v>KHJ-MC400-00</v>
      </c>
      <c r="F3388" s="157" t="s">
        <v>1381</v>
      </c>
      <c r="H3388" s="138">
        <v>1606</v>
      </c>
      <c r="I3388" s="139" t="str">
        <f>VLOOKUP(H3388,Stock_list!A:R,18,FALSE)</f>
        <v>通达科信</v>
      </c>
      <c r="J3388" s="139" t="str">
        <f>VLOOKUP(H3388,Stock_list!A:S,17,FALSE)</f>
        <v>C49SZX20220028R1SX</v>
      </c>
      <c r="K3388" s="51" t="str">
        <f>VLOOKUP(H3388,Stock_list!A:T,16,FALSE)</f>
        <v>JPY</v>
      </c>
      <c r="L3388" s="4">
        <v>44735</v>
      </c>
      <c r="M3388" s="140">
        <v>6</v>
      </c>
      <c r="P3388" s="4" t="str">
        <f>VLOOKUP(H3388,Stock_list!A:Y,25,FALSE)</f>
        <v>Yes</v>
      </c>
      <c r="Q3388" s="143"/>
      <c r="T3388" s="144"/>
      <c r="U3388" s="145" t="str">
        <f>VLOOKUP(H3388,Stock_list!A:N,14,FALSE)</f>
        <v>JUN 22</v>
      </c>
    </row>
    <row r="3389" spans="1:21" ht="16.5" customHeight="1">
      <c r="A3389" s="159" t="s">
        <v>2768</v>
      </c>
      <c r="B3389" s="114" t="str">
        <f>VLOOKUP(A3389,'Data pick slip'!B:F,5,FALSE)</f>
        <v>KHJ-MC100-00</v>
      </c>
      <c r="F3389" s="157" t="s">
        <v>1381</v>
      </c>
      <c r="H3389" s="138">
        <v>1382</v>
      </c>
      <c r="I3389" s="139" t="str">
        <f>VLOOKUP(H3389,Stock_list!A:R,18,FALSE)</f>
        <v>巨能</v>
      </c>
      <c r="J3389" s="139" t="str">
        <f>VLOOKUP(H3389,Stock_list!A:S,17,FALSE)</f>
        <v>C49SZX20210155MZR1</v>
      </c>
      <c r="K3389" s="51" t="str">
        <f>VLOOKUP(H3389,Stock_list!A:T,16,FALSE)</f>
        <v>JPY</v>
      </c>
      <c r="L3389" s="4">
        <v>44650</v>
      </c>
      <c r="M3389" s="140">
        <v>30</v>
      </c>
      <c r="P3389" s="4" t="str">
        <f>VLOOKUP(H3389,Stock_list!A:Y,25,FALSE)</f>
        <v>Yes</v>
      </c>
      <c r="Q3389" s="143"/>
      <c r="T3389" s="144"/>
      <c r="U3389" s="145" t="str">
        <f>VLOOKUP(H3389,Stock_list!A:N,14,FALSE)</f>
        <v>MAR 22</v>
      </c>
    </row>
    <row r="3390" spans="1:21" ht="16.5" customHeight="1">
      <c r="A3390" s="159" t="s">
        <v>2747</v>
      </c>
      <c r="B3390" s="114" t="str">
        <f>VLOOKUP(A3390,'Data pick slip'!B:F,5,FALSE)</f>
        <v>KHJ-MC200-00</v>
      </c>
      <c r="F3390" s="157" t="s">
        <v>1381</v>
      </c>
      <c r="H3390" s="138">
        <v>1382</v>
      </c>
      <c r="I3390" s="139" t="str">
        <f>VLOOKUP(H3390,Stock_list!A:R,18,FALSE)</f>
        <v>巨能</v>
      </c>
      <c r="J3390" s="139" t="str">
        <f>VLOOKUP(H3390,Stock_list!A:S,17,FALSE)</f>
        <v>C49SZX20210155MZR1</v>
      </c>
      <c r="K3390" s="51" t="str">
        <f>VLOOKUP(H3390,Stock_list!A:T,16,FALSE)</f>
        <v>JPY</v>
      </c>
      <c r="L3390" s="4">
        <v>44650</v>
      </c>
      <c r="M3390" s="140">
        <v>4</v>
      </c>
      <c r="P3390" s="4" t="str">
        <f>VLOOKUP(H3390,Stock_list!A:Y,25,FALSE)</f>
        <v>Yes</v>
      </c>
      <c r="Q3390" s="143"/>
      <c r="T3390" s="144"/>
      <c r="U3390" s="145" t="str">
        <f>VLOOKUP(H3390,Stock_list!A:N,14,FALSE)</f>
        <v>MAR 22</v>
      </c>
    </row>
    <row r="3391" spans="1:21" ht="16.5" customHeight="1">
      <c r="A3391" s="159" t="s">
        <v>2748</v>
      </c>
      <c r="B3391" s="114" t="str">
        <f>VLOOKUP(A3391,'Data pick slip'!B:F,5,FALSE)</f>
        <v>KHJ-MC400-00</v>
      </c>
      <c r="F3391" s="157" t="s">
        <v>1381</v>
      </c>
      <c r="H3391" s="138">
        <v>1382</v>
      </c>
      <c r="I3391" s="139" t="str">
        <f>VLOOKUP(H3391,Stock_list!A:R,18,FALSE)</f>
        <v>巨能</v>
      </c>
      <c r="J3391" s="139" t="str">
        <f>VLOOKUP(H3391,Stock_list!A:S,17,FALSE)</f>
        <v>C49SZX20210155MZR1</v>
      </c>
      <c r="K3391" s="51" t="str">
        <f>VLOOKUP(H3391,Stock_list!A:T,16,FALSE)</f>
        <v>JPY</v>
      </c>
      <c r="L3391" s="4">
        <v>44650</v>
      </c>
      <c r="M3391" s="140">
        <v>1</v>
      </c>
      <c r="P3391" s="4" t="str">
        <f>VLOOKUP(H3391,Stock_list!A:Y,25,FALSE)</f>
        <v>Yes</v>
      </c>
      <c r="Q3391" s="143"/>
      <c r="T3391" s="144"/>
      <c r="U3391" s="145" t="str">
        <f>VLOOKUP(H3391,Stock_list!A:N,14,FALSE)</f>
        <v>MAR 22</v>
      </c>
    </row>
    <row r="3392" spans="1:21" ht="16.5" customHeight="1">
      <c r="A3392" s="159" t="s">
        <v>2749</v>
      </c>
      <c r="B3392" s="114" t="str">
        <f>VLOOKUP(A3392,'Data pick slip'!B:F,5,FALSE)</f>
        <v>KHJ-MC500-00</v>
      </c>
      <c r="F3392" s="157" t="s">
        <v>1381</v>
      </c>
      <c r="H3392" s="138">
        <v>1382</v>
      </c>
      <c r="I3392" s="139" t="str">
        <f>VLOOKUP(H3392,Stock_list!A:R,18,FALSE)</f>
        <v>巨能</v>
      </c>
      <c r="J3392" s="139" t="str">
        <f>VLOOKUP(H3392,Stock_list!A:S,17,FALSE)</f>
        <v>C49SZX20210155MZR1</v>
      </c>
      <c r="K3392" s="51" t="str">
        <f>VLOOKUP(H3392,Stock_list!A:T,16,FALSE)</f>
        <v>JPY</v>
      </c>
      <c r="L3392" s="4">
        <v>44650</v>
      </c>
      <c r="M3392" s="140">
        <v>1</v>
      </c>
      <c r="P3392" s="4" t="str">
        <f>VLOOKUP(H3392,Stock_list!A:Y,25,FALSE)</f>
        <v>Yes</v>
      </c>
      <c r="Q3392" s="143"/>
      <c r="T3392" s="144"/>
      <c r="U3392" s="145" t="str">
        <f>VLOOKUP(H3392,Stock_list!A:N,14,FALSE)</f>
        <v>MAR 22</v>
      </c>
    </row>
    <row r="3393" spans="1:21" ht="24" customHeight="1">
      <c r="A3393" s="159" t="s">
        <v>2749</v>
      </c>
      <c r="B3393" s="114" t="str">
        <f>VLOOKUP(A3393,'Data pick slip'!B:F,5,FALSE)</f>
        <v>KHJ-MC500-00</v>
      </c>
      <c r="F3393" s="157" t="s">
        <v>2753</v>
      </c>
      <c r="I3393" s="139" t="s">
        <v>3099</v>
      </c>
      <c r="J3393" s="139" t="s">
        <v>3503</v>
      </c>
      <c r="K3393" s="51" t="s">
        <v>1246</v>
      </c>
      <c r="L3393" s="4">
        <v>44627</v>
      </c>
      <c r="M3393" s="140">
        <v>1</v>
      </c>
      <c r="P3393" s="4" t="s">
        <v>291</v>
      </c>
      <c r="Q3393" s="143"/>
      <c r="T3393" s="144"/>
      <c r="U3393" s="145" t="e">
        <f>VLOOKUP(H3393,Stock_list!A:N,14,FALSE)</f>
        <v>#N/A</v>
      </c>
    </row>
    <row r="3394" spans="1:21" ht="24" customHeight="1">
      <c r="A3394" s="159" t="s">
        <v>2750</v>
      </c>
      <c r="B3394" s="114" t="str">
        <f>VLOOKUP(A3394,'Data pick slip'!B:F,5,FALSE)</f>
        <v>KHJ-MC600-00</v>
      </c>
      <c r="F3394" s="157" t="s">
        <v>2753</v>
      </c>
      <c r="I3394" s="139" t="s">
        <v>3099</v>
      </c>
      <c r="J3394" s="139" t="s">
        <v>3503</v>
      </c>
      <c r="K3394" s="51" t="s">
        <v>1246</v>
      </c>
      <c r="L3394" s="4">
        <v>44627</v>
      </c>
      <c r="M3394" s="140">
        <v>1</v>
      </c>
      <c r="P3394" s="4" t="s">
        <v>291</v>
      </c>
      <c r="Q3394" s="143"/>
      <c r="T3394" s="144"/>
      <c r="U3394" s="145" t="e">
        <f>VLOOKUP(H3394,Stock_list!A:N,14,FALSE)</f>
        <v>#N/A</v>
      </c>
    </row>
    <row r="3395" spans="1:21" ht="24.75" customHeight="1">
      <c r="A3395" s="159" t="s">
        <v>2768</v>
      </c>
      <c r="B3395" s="114" t="str">
        <f>VLOOKUP(A3395,'Data pick slip'!B:F,5,FALSE)</f>
        <v>KHJ-MC100-00</v>
      </c>
      <c r="F3395" s="157" t="s">
        <v>2753</v>
      </c>
      <c r="I3395" s="139" t="s">
        <v>3093</v>
      </c>
      <c r="J3395" s="270" t="s">
        <v>3504</v>
      </c>
      <c r="K3395" s="51" t="s">
        <v>1246</v>
      </c>
      <c r="L3395" s="4">
        <v>44629</v>
      </c>
      <c r="M3395" s="140">
        <v>20</v>
      </c>
      <c r="P3395" s="4" t="s">
        <v>291</v>
      </c>
      <c r="Q3395" s="143"/>
      <c r="T3395" s="144"/>
      <c r="U3395" s="145" t="e">
        <f>VLOOKUP(H3395,Stock_list!A:N,14,FALSE)</f>
        <v>#N/A</v>
      </c>
    </row>
    <row r="3396" spans="1:21" ht="16.5" customHeight="1">
      <c r="A3396" s="159" t="s">
        <v>2768</v>
      </c>
      <c r="B3396" s="114" t="str">
        <f>VLOOKUP(A3396,'Data pick slip'!B:F,5,FALSE)</f>
        <v>KHJ-MC100-00</v>
      </c>
      <c r="F3396" s="157" t="s">
        <v>1381</v>
      </c>
      <c r="H3396" s="138">
        <v>1608</v>
      </c>
      <c r="I3396" s="269" t="s">
        <v>3413</v>
      </c>
      <c r="J3396" s="139" t="s">
        <v>3505</v>
      </c>
      <c r="K3396" s="51" t="s">
        <v>1246</v>
      </c>
      <c r="L3396" s="4">
        <v>44614</v>
      </c>
      <c r="M3396" s="140">
        <v>23</v>
      </c>
      <c r="P3396" s="4" t="s">
        <v>291</v>
      </c>
      <c r="Q3396" s="143"/>
      <c r="T3396" s="144"/>
      <c r="U3396" s="145" t="e">
        <f>VLOOKUP(H3396,Stock_list!A:N,14,FALSE)</f>
        <v>#N/A</v>
      </c>
    </row>
    <row r="3397" spans="1:21" ht="16.5" customHeight="1">
      <c r="A3397" s="159" t="s">
        <v>2747</v>
      </c>
      <c r="B3397" s="114" t="str">
        <f>VLOOKUP(A3397,'Data pick slip'!B:F,5,FALSE)</f>
        <v>KHJ-MC200-00</v>
      </c>
      <c r="F3397" s="157" t="s">
        <v>1381</v>
      </c>
      <c r="H3397" s="138">
        <v>1608</v>
      </c>
      <c r="I3397" s="269" t="s">
        <v>3413</v>
      </c>
      <c r="J3397" s="139" t="s">
        <v>3505</v>
      </c>
      <c r="K3397" s="51" t="s">
        <v>1246</v>
      </c>
      <c r="L3397" s="4">
        <v>44614</v>
      </c>
      <c r="M3397" s="140">
        <v>10</v>
      </c>
      <c r="P3397" s="4" t="s">
        <v>291</v>
      </c>
      <c r="Q3397" s="143"/>
      <c r="T3397" s="144"/>
      <c r="U3397" s="145" t="e">
        <f>VLOOKUP(H3397,Stock_list!A:N,14,FALSE)</f>
        <v>#N/A</v>
      </c>
    </row>
    <row r="3398" spans="1:21" ht="16.5" customHeight="1">
      <c r="A3398" s="159" t="s">
        <v>2744</v>
      </c>
      <c r="B3398" s="114" t="str">
        <f>VLOOKUP(A3398,'Data pick slip'!B:F,5,FALSE)</f>
        <v>KHJ-MC100-00</v>
      </c>
      <c r="F3398" s="157" t="s">
        <v>2753</v>
      </c>
      <c r="H3398" s="138">
        <v>1608</v>
      </c>
      <c r="I3398" s="139" t="e">
        <f>VLOOKUP(H3398,Stock_list!A:R,18,FALSE)</f>
        <v>#N/A</v>
      </c>
      <c r="J3398" s="139" t="e">
        <f>VLOOKUP(H3398,Stock_list!A:S,17,FALSE)</f>
        <v>#N/A</v>
      </c>
      <c r="K3398" s="51" t="e">
        <f>VLOOKUP(H3398,Stock_list!A:T,16,FALSE)</f>
        <v>#N/A</v>
      </c>
      <c r="L3398" s="4"/>
      <c r="N3398" s="132">
        <v>30</v>
      </c>
      <c r="P3398" s="4" t="e">
        <f>VLOOKUP(H3398,Stock_list!A:Y,25,FALSE)</f>
        <v>#N/A</v>
      </c>
      <c r="Q3398" s="143"/>
      <c r="T3398" s="144"/>
      <c r="U3398" s="145" t="e">
        <f>VLOOKUP(H3398,Stock_list!A:N,14,FALSE)</f>
        <v>#N/A</v>
      </c>
    </row>
    <row r="3399" spans="1:21" ht="16.5" customHeight="1">
      <c r="A3399" s="159" t="s">
        <v>2747</v>
      </c>
      <c r="B3399" s="114" t="str">
        <f>VLOOKUP(A3399,'Data pick slip'!B:F,5,FALSE)</f>
        <v>KHJ-MC200-00</v>
      </c>
      <c r="F3399" s="157" t="s">
        <v>2753</v>
      </c>
      <c r="H3399" s="138">
        <v>1608</v>
      </c>
      <c r="I3399" s="139" t="e">
        <f>VLOOKUP(H3399,Stock_list!A:R,18,FALSE)</f>
        <v>#N/A</v>
      </c>
      <c r="J3399" s="139" t="e">
        <f>VLOOKUP(H3399,Stock_list!A:S,17,FALSE)</f>
        <v>#N/A</v>
      </c>
      <c r="K3399" s="51" t="e">
        <f>VLOOKUP(H3399,Stock_list!A:T,16,FALSE)</f>
        <v>#N/A</v>
      </c>
      <c r="L3399" s="4"/>
      <c r="N3399" s="132">
        <v>6</v>
      </c>
      <c r="P3399" s="4" t="e">
        <f>VLOOKUP(H3399,Stock_list!A:Y,25,FALSE)</f>
        <v>#N/A</v>
      </c>
      <c r="Q3399" s="143"/>
      <c r="T3399" s="144"/>
      <c r="U3399" s="145" t="e">
        <f>VLOOKUP(H3399,Stock_list!A:N,14,FALSE)</f>
        <v>#N/A</v>
      </c>
    </row>
    <row r="3400" spans="1:21" ht="16.5" customHeight="1">
      <c r="A3400" s="159" t="s">
        <v>2748</v>
      </c>
      <c r="B3400" s="114" t="str">
        <f>VLOOKUP(A3400,'Data pick slip'!B:F,5,FALSE)</f>
        <v>KHJ-MC400-00</v>
      </c>
      <c r="F3400" s="157" t="s">
        <v>2753</v>
      </c>
      <c r="H3400" s="138">
        <v>1608</v>
      </c>
      <c r="I3400" s="139" t="e">
        <f>VLOOKUP(H3400,Stock_list!A:R,18,FALSE)</f>
        <v>#N/A</v>
      </c>
      <c r="J3400" s="139" t="e">
        <f>VLOOKUP(H3400,Stock_list!A:S,17,FALSE)</f>
        <v>#N/A</v>
      </c>
      <c r="K3400" s="51" t="e">
        <f>VLOOKUP(H3400,Stock_list!A:T,16,FALSE)</f>
        <v>#N/A</v>
      </c>
      <c r="L3400" s="4"/>
      <c r="N3400" s="132">
        <v>2</v>
      </c>
      <c r="P3400" s="4" t="e">
        <f>VLOOKUP(H3400,Stock_list!A:Y,25,FALSE)</f>
        <v>#N/A</v>
      </c>
      <c r="Q3400" s="143"/>
      <c r="T3400" s="144"/>
      <c r="U3400" s="145" t="e">
        <f>VLOOKUP(H3400,Stock_list!A:N,14,FALSE)</f>
        <v>#N/A</v>
      </c>
    </row>
    <row r="3401" spans="1:21" ht="16.5" customHeight="1">
      <c r="A3401" s="159" t="s">
        <v>2747</v>
      </c>
      <c r="B3401" s="114" t="str">
        <f>VLOOKUP(A3401,'Data pick slip'!B:F,5,FALSE)</f>
        <v>KHJ-MC200-00</v>
      </c>
      <c r="F3401" s="157" t="s">
        <v>2753</v>
      </c>
      <c r="I3401" s="139" t="s">
        <v>3115</v>
      </c>
      <c r="J3401" s="270" t="s">
        <v>3506</v>
      </c>
      <c r="K3401" s="51" t="s">
        <v>1246</v>
      </c>
      <c r="L3401" s="4">
        <v>44631</v>
      </c>
      <c r="M3401" s="140">
        <v>10</v>
      </c>
      <c r="P3401" s="4" t="e">
        <f>VLOOKUP(H3401,Stock_list!A:Y,25,FALSE)</f>
        <v>#N/A</v>
      </c>
      <c r="Q3401" s="143"/>
      <c r="T3401" s="144"/>
      <c r="U3401" s="145" t="e">
        <f>VLOOKUP(H3401,Stock_list!A:N,14,FALSE)</f>
        <v>#N/A</v>
      </c>
    </row>
    <row r="3402" spans="1:21" ht="16.5" customHeight="1">
      <c r="A3402" s="159" t="s">
        <v>2768</v>
      </c>
      <c r="B3402" s="114" t="str">
        <f>VLOOKUP(A3402,'Data pick slip'!B:F,5,FALSE)</f>
        <v>KHJ-MC100-00</v>
      </c>
      <c r="F3402" s="157" t="s">
        <v>2753</v>
      </c>
      <c r="H3402" s="138">
        <v>1618</v>
      </c>
      <c r="I3402" s="139" t="str">
        <f>VLOOKUP(H3402,Stock_list!A:R,18,FALSE)</f>
        <v>创舰</v>
      </c>
      <c r="J3402" s="139" t="str">
        <f>VLOOKUP(H3402,Stock_list!A:S,17,FALSE)</f>
        <v>C49SZX20220025AY</v>
      </c>
      <c r="K3402" s="51" t="str">
        <f>VLOOKUP(H3402,Stock_list!A:T,16,FALSE)</f>
        <v>RMB</v>
      </c>
      <c r="L3402" s="4">
        <v>44711</v>
      </c>
      <c r="M3402" s="140">
        <v>30</v>
      </c>
      <c r="P3402" s="4" t="str">
        <f>VLOOKUP(H3402,Stock_list!A:Y,25,FALSE)</f>
        <v>Yes</v>
      </c>
      <c r="Q3402" s="143"/>
      <c r="T3402" s="144"/>
      <c r="U3402" s="145">
        <f>VLOOKUP(H3402,Stock_list!A:N,14,FALSE)</f>
        <v>0</v>
      </c>
    </row>
    <row r="3403" spans="1:21" ht="16.5" customHeight="1">
      <c r="A3403" s="159" t="s">
        <v>2747</v>
      </c>
      <c r="B3403" s="114" t="str">
        <f>VLOOKUP(A3403,'Data pick slip'!B:F,5,FALSE)</f>
        <v>KHJ-MC200-00</v>
      </c>
      <c r="F3403" s="157" t="s">
        <v>2753</v>
      </c>
      <c r="H3403" s="138">
        <v>1618</v>
      </c>
      <c r="I3403" s="139" t="str">
        <f>VLOOKUP(H3403,Stock_list!A:R,18,FALSE)</f>
        <v>创舰</v>
      </c>
      <c r="J3403" s="139" t="str">
        <f>VLOOKUP(H3403,Stock_list!A:S,17,FALSE)</f>
        <v>C49SZX20220025AY</v>
      </c>
      <c r="K3403" s="51" t="str">
        <f>VLOOKUP(H3403,Stock_list!A:T,16,FALSE)</f>
        <v>RMB</v>
      </c>
      <c r="L3403" s="4">
        <v>44711</v>
      </c>
      <c r="M3403" s="140">
        <v>5</v>
      </c>
      <c r="P3403" s="4" t="str">
        <f>VLOOKUP(H3403,Stock_list!A:Y,25,FALSE)</f>
        <v>Yes</v>
      </c>
      <c r="Q3403" s="143"/>
      <c r="T3403" s="144"/>
      <c r="U3403" s="145">
        <f>VLOOKUP(H3403,Stock_list!A:N,14,FALSE)</f>
        <v>0</v>
      </c>
    </row>
    <row r="3404" spans="1:21" ht="16.5" customHeight="1">
      <c r="A3404" s="159" t="s">
        <v>2744</v>
      </c>
      <c r="B3404" s="114" t="str">
        <f>VLOOKUP(A3404,'Data pick slip'!B:F,5,FALSE)</f>
        <v>KHJ-MC100-00</v>
      </c>
      <c r="F3404" s="157" t="s">
        <v>1381</v>
      </c>
      <c r="H3404" s="138">
        <v>1625</v>
      </c>
      <c r="I3404" s="139" t="str">
        <f>VLOOKUP(H3404,Stock_list!A:R,18,FALSE)</f>
        <v>中润互联</v>
      </c>
      <c r="J3404" s="139" t="str">
        <f>VLOOKUP(H3404,Stock_list!A:S,17,FALSE)</f>
        <v>C49SZX20220035R1SS</v>
      </c>
      <c r="K3404" s="51" t="str">
        <f>VLOOKUP(H3404,Stock_list!A:T,16,FALSE)</f>
        <v>JPY</v>
      </c>
      <c r="L3404" s="4">
        <v>44767</v>
      </c>
      <c r="M3404" s="140">
        <v>157</v>
      </c>
      <c r="P3404" s="4" t="str">
        <f>VLOOKUP(H3404,Stock_list!A:Y,25,FALSE)</f>
        <v>Yes</v>
      </c>
      <c r="Q3404" s="143"/>
      <c r="T3404" s="144"/>
      <c r="U3404" s="145" t="str">
        <f>VLOOKUP(H3404,Stock_list!A:N,14,FALSE)</f>
        <v>JUL 22</v>
      </c>
    </row>
    <row r="3405" spans="1:21" ht="16.5" customHeight="1">
      <c r="A3405" s="159" t="s">
        <v>2747</v>
      </c>
      <c r="B3405" s="114" t="str">
        <f>VLOOKUP(A3405,'Data pick slip'!B:F,5,FALSE)</f>
        <v>KHJ-MC200-00</v>
      </c>
      <c r="F3405" s="157" t="s">
        <v>1381</v>
      </c>
      <c r="H3405" s="138">
        <v>1625</v>
      </c>
      <c r="I3405" s="139" t="str">
        <f>VLOOKUP(H3405,Stock_list!A:R,18,FALSE)</f>
        <v>中润互联</v>
      </c>
      <c r="J3405" s="139" t="str">
        <f>VLOOKUP(H3405,Stock_list!A:S,17,FALSE)</f>
        <v>C49SZX20220035R1SS</v>
      </c>
      <c r="K3405" s="51" t="str">
        <f>VLOOKUP(H3405,Stock_list!A:T,16,FALSE)</f>
        <v>JPY</v>
      </c>
      <c r="L3405" s="4">
        <v>44767</v>
      </c>
      <c r="M3405" s="140">
        <v>30</v>
      </c>
      <c r="P3405" s="4" t="str">
        <f>VLOOKUP(H3405,Stock_list!A:Y,25,FALSE)</f>
        <v>Yes</v>
      </c>
      <c r="Q3405" s="143"/>
      <c r="T3405" s="144"/>
      <c r="U3405" s="145" t="str">
        <f>VLOOKUP(H3405,Stock_list!A:N,14,FALSE)</f>
        <v>JUL 22</v>
      </c>
    </row>
    <row r="3406" spans="1:21" ht="16.5" customHeight="1">
      <c r="A3406" s="159" t="s">
        <v>2748</v>
      </c>
      <c r="B3406" s="114" t="str">
        <f>VLOOKUP(A3406,'Data pick slip'!B:F,5,FALSE)</f>
        <v>KHJ-MC400-00</v>
      </c>
      <c r="F3406" s="157" t="s">
        <v>1381</v>
      </c>
      <c r="H3406" s="138">
        <v>1625</v>
      </c>
      <c r="I3406" s="139" t="str">
        <f>VLOOKUP(H3406,Stock_list!A:R,18,FALSE)</f>
        <v>中润互联</v>
      </c>
      <c r="J3406" s="139" t="str">
        <f>VLOOKUP(H3406,Stock_list!A:S,17,FALSE)</f>
        <v>C49SZX20220035R1SS</v>
      </c>
      <c r="K3406" s="51" t="str">
        <f>VLOOKUP(H3406,Stock_list!A:T,16,FALSE)</f>
        <v>JPY</v>
      </c>
      <c r="L3406" s="4">
        <v>44767</v>
      </c>
      <c r="M3406" s="140">
        <v>5</v>
      </c>
      <c r="P3406" s="4" t="str">
        <f>VLOOKUP(H3406,Stock_list!A:Y,25,FALSE)</f>
        <v>Yes</v>
      </c>
      <c r="Q3406" s="143"/>
      <c r="T3406" s="144"/>
      <c r="U3406" s="145" t="str">
        <f>VLOOKUP(H3406,Stock_list!A:N,14,FALSE)</f>
        <v>JUL 22</v>
      </c>
    </row>
    <row r="3407" spans="1:21" ht="16.5" customHeight="1">
      <c r="A3407" s="159" t="s">
        <v>2749</v>
      </c>
      <c r="B3407" s="114" t="str">
        <f>VLOOKUP(A3407,'Data pick slip'!B:F,5,FALSE)</f>
        <v>KHJ-MC500-00</v>
      </c>
      <c r="F3407" s="157" t="s">
        <v>1381</v>
      </c>
      <c r="H3407" s="138">
        <v>1625</v>
      </c>
      <c r="I3407" s="139" t="str">
        <f>VLOOKUP(H3407,Stock_list!A:R,18,FALSE)</f>
        <v>中润互联</v>
      </c>
      <c r="J3407" s="139" t="str">
        <f>VLOOKUP(H3407,Stock_list!A:S,17,FALSE)</f>
        <v>C49SZX20220035R1SS</v>
      </c>
      <c r="K3407" s="51" t="str">
        <f>VLOOKUP(H3407,Stock_list!A:T,16,FALSE)</f>
        <v>JPY</v>
      </c>
      <c r="L3407" s="4">
        <v>44767</v>
      </c>
      <c r="M3407" s="140">
        <v>2</v>
      </c>
      <c r="P3407" s="4" t="str">
        <f>VLOOKUP(H3407,Stock_list!A:Y,25,FALSE)</f>
        <v>Yes</v>
      </c>
      <c r="Q3407" s="143"/>
      <c r="T3407" s="144"/>
      <c r="U3407" s="145" t="str">
        <f>VLOOKUP(H3407,Stock_list!A:N,14,FALSE)</f>
        <v>JUL 22</v>
      </c>
    </row>
    <row r="3408" spans="1:21" ht="16.5" customHeight="1">
      <c r="A3408" s="159" t="s">
        <v>2750</v>
      </c>
      <c r="B3408" s="114" t="str">
        <f>VLOOKUP(A3408,'Data pick slip'!B:F,5,FALSE)</f>
        <v>KHJ-MC600-00</v>
      </c>
      <c r="F3408" s="157" t="s">
        <v>1381</v>
      </c>
      <c r="H3408" s="138">
        <v>1625</v>
      </c>
      <c r="I3408" s="139" t="str">
        <f>VLOOKUP(H3408,Stock_list!A:R,18,FALSE)</f>
        <v>中润互联</v>
      </c>
      <c r="J3408" s="139" t="str">
        <f>VLOOKUP(H3408,Stock_list!A:S,17,FALSE)</f>
        <v>C49SZX20220035R1SS</v>
      </c>
      <c r="K3408" s="51" t="str">
        <f>VLOOKUP(H3408,Stock_list!A:T,16,FALSE)</f>
        <v>JPY</v>
      </c>
      <c r="L3408" s="4">
        <v>44767</v>
      </c>
      <c r="M3408" s="140">
        <v>2</v>
      </c>
      <c r="P3408" s="4" t="str">
        <f>VLOOKUP(H3408,Stock_list!A:Y,25,FALSE)</f>
        <v>Yes</v>
      </c>
      <c r="Q3408" s="143"/>
      <c r="T3408" s="144"/>
      <c r="U3408" s="145" t="str">
        <f>VLOOKUP(H3408,Stock_list!A:N,14,FALSE)</f>
        <v>JUL 22</v>
      </c>
    </row>
    <row r="3409" spans="1:21" ht="16.5" customHeight="1">
      <c r="A3409" s="159" t="s">
        <v>2751</v>
      </c>
      <c r="B3409" s="114" t="str">
        <f>VLOOKUP(A3409,'Data pick slip'!B:F,5,FALSE)</f>
        <v>KHJ-MC700-00</v>
      </c>
      <c r="F3409" s="157" t="s">
        <v>1381</v>
      </c>
      <c r="H3409" s="138">
        <v>1625</v>
      </c>
      <c r="I3409" s="139" t="str">
        <f>VLOOKUP(H3409,Stock_list!A:R,18,FALSE)</f>
        <v>中润互联</v>
      </c>
      <c r="J3409" s="139" t="str">
        <f>VLOOKUP(H3409,Stock_list!A:S,17,FALSE)</f>
        <v>C49SZX20220035R1SS</v>
      </c>
      <c r="K3409" s="51" t="str">
        <f>VLOOKUP(H3409,Stock_list!A:T,16,FALSE)</f>
        <v>JPY</v>
      </c>
      <c r="L3409" s="4">
        <v>44767</v>
      </c>
      <c r="M3409" s="140">
        <v>1</v>
      </c>
      <c r="P3409" s="4" t="str">
        <f>VLOOKUP(H3409,Stock_list!A:Y,25,FALSE)</f>
        <v>Yes</v>
      </c>
      <c r="Q3409" s="143"/>
      <c r="T3409" s="144"/>
      <c r="U3409" s="145" t="str">
        <f>VLOOKUP(H3409,Stock_list!A:N,14,FALSE)</f>
        <v>JUL 22</v>
      </c>
    </row>
    <row r="3410" spans="1:21" ht="16.5" customHeight="1">
      <c r="A3410" s="159" t="s">
        <v>2744</v>
      </c>
      <c r="B3410" s="114" t="str">
        <f>VLOOKUP(A3410,'Data pick slip'!B:F,5,FALSE)</f>
        <v>KHJ-MC100-00</v>
      </c>
      <c r="F3410" s="157" t="s">
        <v>1381</v>
      </c>
      <c r="H3410" s="138">
        <v>1630</v>
      </c>
      <c r="I3410" s="139" t="str">
        <f>VLOOKUP(H3410,Stock_list!A:R,18,FALSE)</f>
        <v>泰鑫荣</v>
      </c>
      <c r="J3410" s="139" t="str">
        <f>VLOOKUP(H3410,Stock_list!A:S,17,FALSE)</f>
        <v>C49SZX20220036SS</v>
      </c>
      <c r="K3410" s="51" t="str">
        <f>VLOOKUP(H3410,Stock_list!A:T,16,FALSE)</f>
        <v>JPY</v>
      </c>
      <c r="L3410" s="4">
        <v>44775</v>
      </c>
      <c r="M3410" s="140">
        <v>25</v>
      </c>
      <c r="P3410" s="4" t="str">
        <f>VLOOKUP(H3410,Stock_list!A:Y,25,FALSE)</f>
        <v>Yes</v>
      </c>
      <c r="Q3410" s="143"/>
      <c r="T3410" s="144"/>
      <c r="U3410" s="145" t="str">
        <f>VLOOKUP(H3410,Stock_list!A:N,14,FALSE)</f>
        <v>AUG 22</v>
      </c>
    </row>
    <row r="3411" spans="1:21" ht="16.5" customHeight="1">
      <c r="A3411" s="159" t="s">
        <v>2747</v>
      </c>
      <c r="B3411" s="114" t="str">
        <f>VLOOKUP(A3411,'Data pick slip'!B:F,5,FALSE)</f>
        <v>KHJ-MC200-00</v>
      </c>
      <c r="F3411" s="157" t="s">
        <v>1381</v>
      </c>
      <c r="H3411" s="138">
        <v>1630</v>
      </c>
      <c r="I3411" s="139" t="str">
        <f>VLOOKUP(H3411,Stock_list!A:R,18,FALSE)</f>
        <v>泰鑫荣</v>
      </c>
      <c r="J3411" s="139" t="str">
        <f>VLOOKUP(H3411,Stock_list!A:S,17,FALSE)</f>
        <v>C49SZX20220036SS</v>
      </c>
      <c r="K3411" s="51" t="str">
        <f>VLOOKUP(H3411,Stock_list!A:T,16,FALSE)</f>
        <v>JPY</v>
      </c>
      <c r="L3411" s="4">
        <v>44775</v>
      </c>
      <c r="M3411" s="140">
        <v>5</v>
      </c>
      <c r="P3411" s="4" t="str">
        <f>VLOOKUP(H3411,Stock_list!A:Y,25,FALSE)</f>
        <v>Yes</v>
      </c>
      <c r="Q3411" s="143"/>
      <c r="T3411" s="144"/>
      <c r="U3411" s="145" t="str">
        <f>VLOOKUP(H3411,Stock_list!A:N,14,FALSE)</f>
        <v>AUG 22</v>
      </c>
    </row>
    <row r="3412" spans="1:21" ht="16.5" customHeight="1">
      <c r="A3412" s="159" t="s">
        <v>2744</v>
      </c>
      <c r="B3412" s="114" t="str">
        <f>VLOOKUP(A3412,'Data pick slip'!B:F,5,FALSE)</f>
        <v>KHJ-MC100-00</v>
      </c>
      <c r="F3412" s="157" t="s">
        <v>1381</v>
      </c>
      <c r="H3412" s="138">
        <v>1633</v>
      </c>
      <c r="I3412" s="139" t="str">
        <f>VLOOKUP(H3412,Stock_list!A:R,18,FALSE)</f>
        <v>和创永泰</v>
      </c>
      <c r="J3412" s="139" t="str">
        <f>VLOOKUP(H3412,Stock_list!A:S,17,FALSE)</f>
        <v>C49SZX20220038JY</v>
      </c>
      <c r="K3412" s="51" t="str">
        <f>VLOOKUP(H3412,Stock_list!A:T,16,FALSE)</f>
        <v>RMB</v>
      </c>
      <c r="L3412" s="4">
        <v>44712</v>
      </c>
      <c r="M3412" s="132">
        <v>20</v>
      </c>
      <c r="P3412" s="4" t="str">
        <f>VLOOKUP(H3412,Stock_list!A:Y,25,FALSE)</f>
        <v>Yes</v>
      </c>
      <c r="Q3412" s="143"/>
      <c r="T3412" s="144"/>
      <c r="U3412" s="145" t="str">
        <f>VLOOKUP(H3412,Stock_list!A:N,14,FALSE)</f>
        <v>JUN 22</v>
      </c>
    </row>
    <row r="3413" spans="1:21" ht="16.5" customHeight="1">
      <c r="A3413" s="159" t="s">
        <v>2747</v>
      </c>
      <c r="B3413" s="114" t="str">
        <f>VLOOKUP(A3413,'Data pick slip'!B:F,5,FALSE)</f>
        <v>KHJ-MC200-00</v>
      </c>
      <c r="F3413" s="157" t="s">
        <v>1381</v>
      </c>
      <c r="H3413" s="138">
        <v>1633</v>
      </c>
      <c r="I3413" s="139" t="str">
        <f>VLOOKUP(H3413,Stock_list!A:R,18,FALSE)</f>
        <v>和创永泰</v>
      </c>
      <c r="J3413" s="139" t="str">
        <f>VLOOKUP(H3413,Stock_list!A:S,17,FALSE)</f>
        <v>C49SZX20220038JY</v>
      </c>
      <c r="K3413" s="51" t="str">
        <f>VLOOKUP(H3413,Stock_list!A:T,16,FALSE)</f>
        <v>RMB</v>
      </c>
      <c r="L3413" s="4">
        <v>44712</v>
      </c>
      <c r="M3413" s="132">
        <v>5</v>
      </c>
      <c r="P3413" s="4" t="str">
        <f>VLOOKUP(H3413,Stock_list!A:Y,25,FALSE)</f>
        <v>Yes</v>
      </c>
      <c r="Q3413" s="143"/>
      <c r="T3413" s="144"/>
      <c r="U3413" s="145" t="str">
        <f>VLOOKUP(H3413,Stock_list!A:N,14,FALSE)</f>
        <v>JUN 22</v>
      </c>
    </row>
    <row r="3414" spans="1:21" ht="16.5" customHeight="1">
      <c r="A3414" s="159" t="s">
        <v>2748</v>
      </c>
      <c r="B3414" s="114" t="str">
        <f>VLOOKUP(A3414,'Data pick slip'!B:F,5,FALSE)</f>
        <v>KHJ-MC400-00</v>
      </c>
      <c r="F3414" s="157" t="s">
        <v>1381</v>
      </c>
      <c r="H3414" s="138">
        <v>1633</v>
      </c>
      <c r="I3414" s="139" t="str">
        <f>VLOOKUP(H3414,Stock_list!A:R,18,FALSE)</f>
        <v>和创永泰</v>
      </c>
      <c r="J3414" s="139" t="str">
        <f>VLOOKUP(H3414,Stock_list!A:S,17,FALSE)</f>
        <v>C49SZX20220038JY</v>
      </c>
      <c r="K3414" s="51" t="str">
        <f>VLOOKUP(H3414,Stock_list!A:T,16,FALSE)</f>
        <v>RMB</v>
      </c>
      <c r="L3414" s="4">
        <v>44712</v>
      </c>
      <c r="M3414" s="132">
        <v>3</v>
      </c>
      <c r="P3414" s="4" t="str">
        <f>VLOOKUP(H3414,Stock_list!A:Y,25,FALSE)</f>
        <v>Yes</v>
      </c>
      <c r="Q3414" s="143"/>
      <c r="T3414" s="144"/>
      <c r="U3414" s="145" t="str">
        <f>VLOOKUP(H3414,Stock_list!A:N,14,FALSE)</f>
        <v>JUN 22</v>
      </c>
    </row>
    <row r="3415" spans="1:21" ht="16.5" customHeight="1">
      <c r="A3415" s="159" t="s">
        <v>2744</v>
      </c>
      <c r="B3415" s="114" t="str">
        <f>VLOOKUP(A3415,'Data pick slip'!B:F,5,FALSE)</f>
        <v>KHJ-MC100-00</v>
      </c>
      <c r="F3415" s="157" t="s">
        <v>2753</v>
      </c>
      <c r="H3415" s="138">
        <v>1634</v>
      </c>
      <c r="I3415" s="139" t="str">
        <f>VLOOKUP(H3415,Stock_list!A:R,18,FALSE)</f>
        <v>顺禾</v>
      </c>
      <c r="J3415" s="139" t="str">
        <f>VLOOKUP(H3415,Stock_list!A:S,17,FALSE)</f>
        <v>C49SZX20220039JY</v>
      </c>
      <c r="K3415" s="51" t="str">
        <f>VLOOKUP(H3415,Stock_list!A:T,16,FALSE)</f>
        <v>RMB</v>
      </c>
      <c r="L3415" s="4">
        <v>44676</v>
      </c>
      <c r="M3415" s="140">
        <v>30</v>
      </c>
      <c r="P3415" s="4" t="str">
        <f>VLOOKUP(H3415,Stock_list!A:Y,25,FALSE)</f>
        <v>Yes</v>
      </c>
      <c r="Q3415" s="143"/>
      <c r="T3415" s="144"/>
      <c r="U3415" s="145" t="str">
        <f>VLOOKUP(H3415,Stock_list!A:N,14,FALSE)</f>
        <v>APR 22</v>
      </c>
    </row>
    <row r="3416" spans="1:21" ht="16.5" customHeight="1">
      <c r="A3416" s="159" t="s">
        <v>2747</v>
      </c>
      <c r="B3416" s="114" t="str">
        <f>VLOOKUP(A3416,'Data pick slip'!B:F,5,FALSE)</f>
        <v>KHJ-MC200-00</v>
      </c>
      <c r="F3416" s="157" t="s">
        <v>2753</v>
      </c>
      <c r="H3416" s="138">
        <v>1634</v>
      </c>
      <c r="I3416" s="139" t="str">
        <f>VLOOKUP(H3416,Stock_list!A:R,18,FALSE)</f>
        <v>顺禾</v>
      </c>
      <c r="J3416" s="139" t="str">
        <f>VLOOKUP(H3416,Stock_list!A:S,17,FALSE)</f>
        <v>C49SZX20220039JY</v>
      </c>
      <c r="K3416" s="51" t="str">
        <f>VLOOKUP(H3416,Stock_list!A:T,16,FALSE)</f>
        <v>RMB</v>
      </c>
      <c r="L3416" s="4">
        <v>44676</v>
      </c>
      <c r="M3416" s="140">
        <v>3</v>
      </c>
      <c r="P3416" s="4" t="str">
        <f>VLOOKUP(H3416,Stock_list!A:Y,25,FALSE)</f>
        <v>Yes</v>
      </c>
      <c r="Q3416" s="143"/>
      <c r="T3416" s="144"/>
      <c r="U3416" s="145" t="str">
        <f>VLOOKUP(H3416,Stock_list!A:N,14,FALSE)</f>
        <v>APR 22</v>
      </c>
    </row>
    <row r="3417" spans="1:21" ht="16.5" customHeight="1">
      <c r="A3417" s="159" t="s">
        <v>2749</v>
      </c>
      <c r="B3417" s="114" t="str">
        <f>VLOOKUP(A3417,'Data pick slip'!B:F,5,FALSE)</f>
        <v>KHJ-MC500-00</v>
      </c>
      <c r="F3417" s="157" t="s">
        <v>2753</v>
      </c>
      <c r="I3417" s="139" t="s">
        <v>3099</v>
      </c>
      <c r="J3417" s="267" t="s">
        <v>3507</v>
      </c>
      <c r="K3417" s="51" t="s">
        <v>1246</v>
      </c>
      <c r="L3417" s="4">
        <v>44646</v>
      </c>
      <c r="M3417" s="140">
        <v>3</v>
      </c>
      <c r="P3417" s="4" t="s">
        <v>291</v>
      </c>
      <c r="Q3417" s="143"/>
      <c r="T3417" s="144"/>
      <c r="U3417" s="145" t="e">
        <f>VLOOKUP(H3417,Stock_list!A:N,14,FALSE)</f>
        <v>#N/A</v>
      </c>
    </row>
    <row r="3418" spans="1:21" ht="16.5" customHeight="1">
      <c r="A3418" s="159" t="s">
        <v>2750</v>
      </c>
      <c r="B3418" s="114" t="str">
        <f>VLOOKUP(A3418,'Data pick slip'!B:F,5,FALSE)</f>
        <v>KHJ-MC600-00</v>
      </c>
      <c r="F3418" s="157" t="s">
        <v>2753</v>
      </c>
      <c r="I3418" s="139" t="s">
        <v>3099</v>
      </c>
      <c r="J3418" s="267" t="s">
        <v>3507</v>
      </c>
      <c r="K3418" s="51" t="s">
        <v>1246</v>
      </c>
      <c r="L3418" s="4">
        <v>44646</v>
      </c>
      <c r="M3418" s="140">
        <v>1</v>
      </c>
      <c r="P3418" s="4" t="s">
        <v>291</v>
      </c>
      <c r="Q3418" s="143"/>
      <c r="T3418" s="144"/>
      <c r="U3418" s="145" t="e">
        <f>VLOOKUP(H3418,Stock_list!A:N,14,FALSE)</f>
        <v>#N/A</v>
      </c>
    </row>
    <row r="3419" spans="1:21" ht="16.5" customHeight="1">
      <c r="A3419" s="159" t="s">
        <v>2744</v>
      </c>
      <c r="B3419" s="114" t="str">
        <f>VLOOKUP(A3419,'Data pick slip'!B:F,5,FALSE)</f>
        <v>KHJ-MC100-00</v>
      </c>
      <c r="F3419" s="157" t="s">
        <v>1381</v>
      </c>
      <c r="I3419" s="269" t="s">
        <v>3413</v>
      </c>
      <c r="J3419" s="139" t="s">
        <v>3508</v>
      </c>
      <c r="K3419" s="51" t="s">
        <v>1246</v>
      </c>
      <c r="L3419" s="4">
        <v>44642</v>
      </c>
      <c r="M3419" s="140">
        <v>20</v>
      </c>
      <c r="P3419" s="4" t="s">
        <v>291</v>
      </c>
      <c r="Q3419" s="143"/>
      <c r="T3419" s="144"/>
      <c r="U3419" s="145" t="e">
        <f>VLOOKUP(H3419,Stock_list!A:N,14,FALSE)</f>
        <v>#N/A</v>
      </c>
    </row>
    <row r="3420" spans="1:21" ht="16.5" customHeight="1">
      <c r="A3420" s="159" t="s">
        <v>2747</v>
      </c>
      <c r="B3420" s="114" t="str">
        <f>VLOOKUP(A3420,'Data pick slip'!B:F,5,FALSE)</f>
        <v>KHJ-MC200-00</v>
      </c>
      <c r="F3420" s="157" t="s">
        <v>1381</v>
      </c>
      <c r="I3420" s="269" t="s">
        <v>3413</v>
      </c>
      <c r="J3420" s="139" t="s">
        <v>3508</v>
      </c>
      <c r="K3420" s="51" t="s">
        <v>1246</v>
      </c>
      <c r="L3420" s="4">
        <v>44642</v>
      </c>
      <c r="M3420" s="140">
        <v>15</v>
      </c>
      <c r="P3420" s="4" t="s">
        <v>291</v>
      </c>
      <c r="Q3420" s="143"/>
      <c r="T3420" s="144"/>
      <c r="U3420" s="145" t="e">
        <f>VLOOKUP(H3420,Stock_list!A:N,14,FALSE)</f>
        <v>#N/A</v>
      </c>
    </row>
    <row r="3421" spans="1:21" ht="16.5" customHeight="1">
      <c r="A3421" s="159" t="s">
        <v>2748</v>
      </c>
      <c r="B3421" s="114" t="str">
        <f>VLOOKUP(A3421,'Data pick slip'!B:F,5,FALSE)</f>
        <v>KHJ-MC400-00</v>
      </c>
      <c r="F3421" s="157" t="s">
        <v>1381</v>
      </c>
      <c r="I3421" s="269" t="s">
        <v>3413</v>
      </c>
      <c r="J3421" s="139" t="s">
        <v>3508</v>
      </c>
      <c r="K3421" s="51" t="s">
        <v>1246</v>
      </c>
      <c r="L3421" s="4">
        <v>44642</v>
      </c>
      <c r="M3421" s="140">
        <v>10</v>
      </c>
      <c r="P3421" s="4" t="s">
        <v>291</v>
      </c>
      <c r="Q3421" s="143"/>
      <c r="T3421" s="144"/>
      <c r="U3421" s="145" t="e">
        <f>VLOOKUP(H3421,Stock_list!A:N,14,FALSE)</f>
        <v>#N/A</v>
      </c>
    </row>
    <row r="3422" spans="1:21" ht="16.5" customHeight="1">
      <c r="A3422" s="159" t="s">
        <v>2750</v>
      </c>
      <c r="B3422" s="114" t="str">
        <f>VLOOKUP(A3422,'Data pick slip'!B:F,5,FALSE)</f>
        <v>KHJ-MC600-00</v>
      </c>
      <c r="F3422" s="157" t="s">
        <v>1381</v>
      </c>
      <c r="I3422" s="269" t="s">
        <v>3413</v>
      </c>
      <c r="J3422" s="139" t="s">
        <v>3508</v>
      </c>
      <c r="K3422" s="51" t="s">
        <v>1246</v>
      </c>
      <c r="L3422" s="4">
        <v>44642</v>
      </c>
      <c r="M3422" s="140">
        <v>2</v>
      </c>
      <c r="P3422" s="4" t="s">
        <v>291</v>
      </c>
      <c r="Q3422" s="143"/>
      <c r="T3422" s="144"/>
      <c r="U3422" s="145" t="e">
        <f>VLOOKUP(H3422,Stock_list!A:N,14,FALSE)</f>
        <v>#N/A</v>
      </c>
    </row>
    <row r="3423" spans="1:21" ht="16.5" customHeight="1">
      <c r="A3423" s="159" t="s">
        <v>2751</v>
      </c>
      <c r="B3423" s="114" t="str">
        <f>VLOOKUP(A3423,'Data pick slip'!B:F,5,FALSE)</f>
        <v>KHJ-MC700-00</v>
      </c>
      <c r="F3423" s="157" t="s">
        <v>1381</v>
      </c>
      <c r="I3423" s="269" t="s">
        <v>3413</v>
      </c>
      <c r="J3423" s="139" t="s">
        <v>3508</v>
      </c>
      <c r="K3423" s="51" t="s">
        <v>1246</v>
      </c>
      <c r="L3423" s="4">
        <v>44642</v>
      </c>
      <c r="M3423" s="140">
        <v>1</v>
      </c>
      <c r="P3423" s="4" t="s">
        <v>291</v>
      </c>
      <c r="Q3423" s="143"/>
      <c r="T3423" s="144"/>
      <c r="U3423" s="145" t="e">
        <f>VLOOKUP(H3423,Stock_list!A:N,14,FALSE)</f>
        <v>#N/A</v>
      </c>
    </row>
    <row r="3424" spans="1:21" ht="16.5" customHeight="1">
      <c r="A3424" s="159" t="s">
        <v>2744</v>
      </c>
      <c r="B3424" s="114" t="str">
        <f>VLOOKUP(A3424,'Data pick slip'!B:F,5,FALSE)</f>
        <v>KHJ-MC100-00</v>
      </c>
      <c r="F3424" s="157" t="s">
        <v>1381</v>
      </c>
      <c r="H3424" s="138">
        <v>1635</v>
      </c>
      <c r="I3424" s="139" t="str">
        <f>VLOOKUP(H3424,Stock_list!A:R,18,FALSE)</f>
        <v>华富快捷</v>
      </c>
      <c r="J3424" s="139" t="str">
        <f>VLOOKUP(H3424,Stock_list!A:S,17,FALSE)</f>
        <v>C49SZX20220041SQ</v>
      </c>
      <c r="K3424" s="51" t="str">
        <f>VLOOKUP(H3424,Stock_list!A:T,16,FALSE)</f>
        <v>JPY</v>
      </c>
      <c r="L3424" s="4">
        <v>44706</v>
      </c>
      <c r="M3424" s="132">
        <v>30</v>
      </c>
      <c r="P3424" s="4" t="str">
        <f>VLOOKUP(H3424,Stock_list!A:Y,25,FALSE)</f>
        <v>Yes</v>
      </c>
      <c r="Q3424" s="143"/>
      <c r="T3424" s="144"/>
      <c r="U3424" s="145" t="str">
        <f>VLOOKUP(H3424,Stock_list!A:N,14,FALSE)</f>
        <v>MAY 22</v>
      </c>
    </row>
    <row r="3425" spans="1:21" ht="16.5" customHeight="1">
      <c r="A3425" s="159" t="s">
        <v>2747</v>
      </c>
      <c r="B3425" s="114" t="str">
        <f>VLOOKUP(A3425,'Data pick slip'!B:F,5,FALSE)</f>
        <v>KHJ-MC200-00</v>
      </c>
      <c r="F3425" s="157" t="s">
        <v>1381</v>
      </c>
      <c r="H3425" s="138">
        <v>1635</v>
      </c>
      <c r="I3425" s="139" t="str">
        <f>VLOOKUP(H3425,Stock_list!A:R,18,FALSE)</f>
        <v>华富快捷</v>
      </c>
      <c r="J3425" s="139" t="str">
        <f>VLOOKUP(H3425,Stock_list!A:S,17,FALSE)</f>
        <v>C49SZX20220041SQ</v>
      </c>
      <c r="K3425" s="51" t="str">
        <f>VLOOKUP(H3425,Stock_list!A:T,16,FALSE)</f>
        <v>JPY</v>
      </c>
      <c r="L3425" s="4">
        <v>44706</v>
      </c>
      <c r="M3425" s="132">
        <v>10</v>
      </c>
      <c r="P3425" s="4" t="str">
        <f>VLOOKUP(H3425,Stock_list!A:Y,25,FALSE)</f>
        <v>Yes</v>
      </c>
      <c r="Q3425" s="143"/>
      <c r="T3425" s="144"/>
      <c r="U3425" s="145" t="str">
        <f>VLOOKUP(H3425,Stock_list!A:N,14,FALSE)</f>
        <v>MAY 22</v>
      </c>
    </row>
    <row r="3426" spans="1:21" ht="16.5" customHeight="1">
      <c r="A3426" s="159" t="s">
        <v>2748</v>
      </c>
      <c r="B3426" s="114" t="str">
        <f>VLOOKUP(A3426,'Data pick slip'!B:F,5,FALSE)</f>
        <v>KHJ-MC400-00</v>
      </c>
      <c r="F3426" s="157" t="s">
        <v>1381</v>
      </c>
      <c r="H3426" s="138">
        <v>1635</v>
      </c>
      <c r="I3426" s="139" t="str">
        <f>VLOOKUP(H3426,Stock_list!A:R,18,FALSE)</f>
        <v>华富快捷</v>
      </c>
      <c r="J3426" s="139" t="str">
        <f>VLOOKUP(H3426,Stock_list!A:S,17,FALSE)</f>
        <v>C49SZX20220041SQ</v>
      </c>
      <c r="K3426" s="51" t="str">
        <f>VLOOKUP(H3426,Stock_list!A:T,16,FALSE)</f>
        <v>JPY</v>
      </c>
      <c r="L3426" s="4">
        <v>44706</v>
      </c>
      <c r="M3426" s="132">
        <v>3</v>
      </c>
      <c r="P3426" s="4" t="str">
        <f>VLOOKUP(H3426,Stock_list!A:Y,25,FALSE)</f>
        <v>Yes</v>
      </c>
      <c r="Q3426" s="143"/>
      <c r="T3426" s="144"/>
      <c r="U3426" s="145" t="str">
        <f>VLOOKUP(H3426,Stock_list!A:N,14,FALSE)</f>
        <v>MAY 22</v>
      </c>
    </row>
    <row r="3427" spans="1:21" ht="16.5" customHeight="1">
      <c r="A3427" s="159" t="s">
        <v>2744</v>
      </c>
      <c r="B3427" s="114" t="str">
        <f>VLOOKUP(A3427,'Data pick slip'!B:F,5,FALSE)</f>
        <v>KHJ-MC100-00</v>
      </c>
      <c r="F3427" s="157" t="s">
        <v>2753</v>
      </c>
      <c r="H3427" s="138">
        <v>1636</v>
      </c>
      <c r="I3427" s="139" t="str">
        <f>VLOOKUP(H3427,Stock_list!A:R,18,FALSE)</f>
        <v>有泽</v>
      </c>
      <c r="J3427" s="139" t="str">
        <f>VLOOKUP(H3427,Stock_list!A:S,17,FALSE)</f>
        <v>C49SZX20220043SQ</v>
      </c>
      <c r="K3427" s="51" t="str">
        <f>VLOOKUP(H3427,Stock_list!A:T,16,FALSE)</f>
        <v>RMB</v>
      </c>
      <c r="L3427" s="4">
        <v>44679</v>
      </c>
      <c r="M3427" s="132">
        <v>35</v>
      </c>
      <c r="P3427" s="4" t="str">
        <f>VLOOKUP(H3427,Stock_list!A:Y,25,FALSE)</f>
        <v>Yes</v>
      </c>
      <c r="Q3427" s="143"/>
      <c r="T3427" s="144"/>
      <c r="U3427" s="145" t="str">
        <f>VLOOKUP(H3427,Stock_list!A:N,14,FALSE)</f>
        <v>APR 22</v>
      </c>
    </row>
    <row r="3428" spans="1:21" ht="16.5" customHeight="1">
      <c r="A3428" s="159" t="s">
        <v>2747</v>
      </c>
      <c r="B3428" s="114" t="str">
        <f>VLOOKUP(A3428,'Data pick slip'!B:F,5,FALSE)</f>
        <v>KHJ-MC200-00</v>
      </c>
      <c r="F3428" s="157" t="s">
        <v>2753</v>
      </c>
      <c r="H3428" s="138">
        <v>1636</v>
      </c>
      <c r="I3428" s="139" t="str">
        <f>VLOOKUP(H3428,Stock_list!A:R,18,FALSE)</f>
        <v>有泽</v>
      </c>
      <c r="J3428" s="139" t="str">
        <f>VLOOKUP(H3428,Stock_list!A:S,17,FALSE)</f>
        <v>C49SZX20220043SQ</v>
      </c>
      <c r="K3428" s="51" t="str">
        <f>VLOOKUP(H3428,Stock_list!A:T,16,FALSE)</f>
        <v>RMB</v>
      </c>
      <c r="L3428" s="4">
        <v>44679</v>
      </c>
      <c r="M3428" s="132">
        <v>4</v>
      </c>
      <c r="P3428" s="4" t="str">
        <f>VLOOKUP(H3428,Stock_list!A:Y,25,FALSE)</f>
        <v>Yes</v>
      </c>
      <c r="Q3428" s="143"/>
      <c r="T3428" s="144"/>
      <c r="U3428" s="145" t="str">
        <f>VLOOKUP(H3428,Stock_list!A:N,14,FALSE)</f>
        <v>APR 22</v>
      </c>
    </row>
    <row r="3429" spans="1:21" ht="16.5" customHeight="1">
      <c r="A3429" s="159" t="s">
        <v>2748</v>
      </c>
      <c r="B3429" s="114" t="str">
        <f>VLOOKUP(A3429,'Data pick slip'!B:F,5,FALSE)</f>
        <v>KHJ-MC400-00</v>
      </c>
      <c r="F3429" s="157" t="s">
        <v>2753</v>
      </c>
      <c r="H3429" s="138">
        <v>1636</v>
      </c>
      <c r="I3429" s="139" t="str">
        <f>VLOOKUP(H3429,Stock_list!A:R,18,FALSE)</f>
        <v>有泽</v>
      </c>
      <c r="J3429" s="139" t="str">
        <f>VLOOKUP(H3429,Stock_list!A:S,17,FALSE)</f>
        <v>C49SZX20220043SQ</v>
      </c>
      <c r="K3429" s="51" t="str">
        <f>VLOOKUP(H3429,Stock_list!A:T,16,FALSE)</f>
        <v>RMB</v>
      </c>
      <c r="L3429" s="4">
        <v>44679</v>
      </c>
      <c r="M3429" s="132">
        <v>2</v>
      </c>
      <c r="P3429" s="4" t="str">
        <f>VLOOKUP(H3429,Stock_list!A:Y,25,FALSE)</f>
        <v>Yes</v>
      </c>
      <c r="Q3429" s="143"/>
      <c r="T3429" s="144"/>
      <c r="U3429" s="145" t="str">
        <f>VLOOKUP(H3429,Stock_list!A:N,14,FALSE)</f>
        <v>APR 22</v>
      </c>
    </row>
    <row r="3430" spans="1:21" ht="16.5" customHeight="1">
      <c r="A3430" s="159" t="s">
        <v>2744</v>
      </c>
      <c r="B3430" s="114" t="str">
        <f>VLOOKUP(A3430,'Data pick slip'!B:F,5,FALSE)</f>
        <v>KHJ-MC100-00</v>
      </c>
      <c r="F3430" s="157" t="s">
        <v>1381</v>
      </c>
      <c r="H3430" s="138">
        <v>1637</v>
      </c>
      <c r="I3430" s="139" t="str">
        <f>VLOOKUP(H3430,Stock_list!A:R,18,FALSE)</f>
        <v>恒磊</v>
      </c>
      <c r="J3430" s="139" t="str">
        <f>VLOOKUP(H3430,Stock_list!A:S,17,FALSE)</f>
        <v>C49SZX20220045SX</v>
      </c>
      <c r="K3430" s="51" t="str">
        <f>VLOOKUP(H3430,Stock_list!A:T,16,FALSE)</f>
        <v>JPY</v>
      </c>
      <c r="L3430" s="4">
        <v>44713</v>
      </c>
      <c r="M3430" s="132">
        <v>20</v>
      </c>
      <c r="P3430" s="4" t="str">
        <f>VLOOKUP(H3430,Stock_list!A:Y,25,FALSE)</f>
        <v>Yes</v>
      </c>
      <c r="Q3430" s="143"/>
      <c r="T3430" s="144"/>
      <c r="U3430" s="145" t="str">
        <f>VLOOKUP(H3430,Stock_list!A:N,14,FALSE)</f>
        <v>JUN 22</v>
      </c>
    </row>
    <row r="3431" spans="1:21" ht="16.5" customHeight="1">
      <c r="A3431" s="159" t="s">
        <v>2747</v>
      </c>
      <c r="B3431" s="114" t="str">
        <f>VLOOKUP(A3431,'Data pick slip'!B:F,5,FALSE)</f>
        <v>KHJ-MC200-00</v>
      </c>
      <c r="F3431" s="157" t="s">
        <v>1381</v>
      </c>
      <c r="H3431" s="138">
        <v>1637</v>
      </c>
      <c r="I3431" s="139" t="str">
        <f>VLOOKUP(H3431,Stock_list!A:R,18,FALSE)</f>
        <v>恒磊</v>
      </c>
      <c r="J3431" s="139" t="str">
        <f>VLOOKUP(H3431,Stock_list!A:S,17,FALSE)</f>
        <v>C49SZX20220045SX</v>
      </c>
      <c r="K3431" s="51" t="str">
        <f>VLOOKUP(H3431,Stock_list!A:T,16,FALSE)</f>
        <v>JPY</v>
      </c>
      <c r="L3431" s="4">
        <v>44713</v>
      </c>
      <c r="M3431" s="132">
        <v>12</v>
      </c>
      <c r="P3431" s="4" t="str">
        <f>VLOOKUP(H3431,Stock_list!A:Y,25,FALSE)</f>
        <v>Yes</v>
      </c>
      <c r="Q3431" s="143"/>
      <c r="T3431" s="144"/>
      <c r="U3431" s="145" t="str">
        <f>VLOOKUP(H3431,Stock_list!A:N,14,FALSE)</f>
        <v>JUN 22</v>
      </c>
    </row>
    <row r="3432" spans="1:21" ht="16.5" customHeight="1">
      <c r="A3432" s="159" t="s">
        <v>2748</v>
      </c>
      <c r="B3432" s="114" t="str">
        <f>VLOOKUP(A3432,'Data pick slip'!B:F,5,FALSE)</f>
        <v>KHJ-MC400-00</v>
      </c>
      <c r="F3432" s="157" t="s">
        <v>1381</v>
      </c>
      <c r="H3432" s="138">
        <v>1637</v>
      </c>
      <c r="I3432" s="139" t="str">
        <f>VLOOKUP(H3432,Stock_list!A:R,18,FALSE)</f>
        <v>恒磊</v>
      </c>
      <c r="J3432" s="139" t="str">
        <f>VLOOKUP(H3432,Stock_list!A:S,17,FALSE)</f>
        <v>C49SZX20220045SX</v>
      </c>
      <c r="K3432" s="51" t="str">
        <f>VLOOKUP(H3432,Stock_list!A:T,16,FALSE)</f>
        <v>JPY</v>
      </c>
      <c r="L3432" s="4">
        <v>44713</v>
      </c>
      <c r="M3432" s="132">
        <v>2</v>
      </c>
      <c r="P3432" s="4" t="str">
        <f>VLOOKUP(H3432,Stock_list!A:Y,25,FALSE)</f>
        <v>Yes</v>
      </c>
      <c r="Q3432" s="143"/>
      <c r="T3432" s="144"/>
      <c r="U3432" s="145" t="str">
        <f>VLOOKUP(H3432,Stock_list!A:N,14,FALSE)</f>
        <v>JUN 22</v>
      </c>
    </row>
    <row r="3433" spans="1:21" ht="16.5" customHeight="1">
      <c r="A3433" s="159" t="s">
        <v>2744</v>
      </c>
      <c r="B3433" s="114" t="str">
        <f>VLOOKUP(A3433,'Data pick slip'!B:F,5,FALSE)</f>
        <v>KHJ-MC100-00</v>
      </c>
      <c r="F3433" s="157" t="s">
        <v>1381</v>
      </c>
      <c r="H3433" s="138">
        <v>1639</v>
      </c>
      <c r="I3433" s="139" t="e">
        <f>VLOOKUP(H3433,Stock_list!A:R,18,FALSE)</f>
        <v>#N/A</v>
      </c>
      <c r="J3433" s="139" t="e">
        <f>VLOOKUP(H3433,Stock_list!A:S,17,FALSE)</f>
        <v>#N/A</v>
      </c>
      <c r="K3433" s="51" t="e">
        <f>VLOOKUP(H3433,Stock_list!A:T,16,FALSE)</f>
        <v>#N/A</v>
      </c>
      <c r="L3433" s="4"/>
      <c r="N3433" s="132">
        <v>120</v>
      </c>
      <c r="P3433" s="4" t="e">
        <f>VLOOKUP(H3433,Stock_list!A:Y,25,FALSE)</f>
        <v>#N/A</v>
      </c>
      <c r="Q3433" s="143"/>
      <c r="T3433" s="144"/>
      <c r="U3433" s="145" t="e">
        <f>VLOOKUP(H3433,Stock_list!A:N,14,FALSE)</f>
        <v>#N/A</v>
      </c>
    </row>
    <row r="3434" spans="1:21" ht="16.5" customHeight="1">
      <c r="A3434" s="159" t="s">
        <v>2747</v>
      </c>
      <c r="B3434" s="114" t="str">
        <f>VLOOKUP(A3434,'Data pick slip'!B:F,5,FALSE)</f>
        <v>KHJ-MC200-00</v>
      </c>
      <c r="F3434" s="157" t="s">
        <v>1381</v>
      </c>
      <c r="H3434" s="138">
        <v>1639</v>
      </c>
      <c r="I3434" s="139" t="e">
        <f>VLOOKUP(H3434,Stock_list!A:R,18,FALSE)</f>
        <v>#N/A</v>
      </c>
      <c r="J3434" s="139" t="e">
        <f>VLOOKUP(H3434,Stock_list!A:S,17,FALSE)</f>
        <v>#N/A</v>
      </c>
      <c r="K3434" s="51" t="e">
        <f>VLOOKUP(H3434,Stock_list!A:T,16,FALSE)</f>
        <v>#N/A</v>
      </c>
      <c r="L3434" s="4"/>
      <c r="N3434" s="132">
        <v>8</v>
      </c>
      <c r="P3434" s="4" t="e">
        <f>VLOOKUP(H3434,Stock_list!A:Y,25,FALSE)</f>
        <v>#N/A</v>
      </c>
      <c r="Q3434" s="143"/>
      <c r="T3434" s="144"/>
      <c r="U3434" s="145" t="e">
        <f>VLOOKUP(H3434,Stock_list!A:N,14,FALSE)</f>
        <v>#N/A</v>
      </c>
    </row>
    <row r="3435" spans="1:21" ht="16.5" customHeight="1">
      <c r="A3435" s="159" t="s">
        <v>2748</v>
      </c>
      <c r="B3435" s="114" t="str">
        <f>VLOOKUP(A3435,'Data pick slip'!B:F,5,FALSE)</f>
        <v>KHJ-MC400-00</v>
      </c>
      <c r="F3435" s="157" t="s">
        <v>1381</v>
      </c>
      <c r="H3435" s="138">
        <v>1639</v>
      </c>
      <c r="I3435" s="139" t="e">
        <f>VLOOKUP(H3435,Stock_list!A:R,18,FALSE)</f>
        <v>#N/A</v>
      </c>
      <c r="J3435" s="139" t="e">
        <f>VLOOKUP(H3435,Stock_list!A:S,17,FALSE)</f>
        <v>#N/A</v>
      </c>
      <c r="K3435" s="51" t="e">
        <f>VLOOKUP(H3435,Stock_list!A:T,16,FALSE)</f>
        <v>#N/A</v>
      </c>
      <c r="L3435" s="4"/>
      <c r="N3435" s="132">
        <v>7</v>
      </c>
      <c r="P3435" s="4" t="e">
        <f>VLOOKUP(H3435,Stock_list!A:Y,25,FALSE)</f>
        <v>#N/A</v>
      </c>
      <c r="Q3435" s="143"/>
      <c r="T3435" s="144"/>
      <c r="U3435" s="145" t="e">
        <f>VLOOKUP(H3435,Stock_list!A:N,14,FALSE)</f>
        <v>#N/A</v>
      </c>
    </row>
    <row r="3436" spans="1:21" ht="16.5" customHeight="1">
      <c r="A3436" s="159" t="s">
        <v>2749</v>
      </c>
      <c r="B3436" s="114" t="str">
        <f>VLOOKUP(A3436,'Data pick slip'!B:F,5,FALSE)</f>
        <v>KHJ-MC500-00</v>
      </c>
      <c r="F3436" s="157" t="s">
        <v>1381</v>
      </c>
      <c r="H3436" s="138">
        <v>1639</v>
      </c>
      <c r="I3436" s="139" t="e">
        <f>VLOOKUP(H3436,Stock_list!A:R,18,FALSE)</f>
        <v>#N/A</v>
      </c>
      <c r="J3436" s="139" t="e">
        <f>VLOOKUP(H3436,Stock_list!A:S,17,FALSE)</f>
        <v>#N/A</v>
      </c>
      <c r="K3436" s="51" t="e">
        <f>VLOOKUP(H3436,Stock_list!A:T,16,FALSE)</f>
        <v>#N/A</v>
      </c>
      <c r="L3436" s="4"/>
      <c r="N3436" s="132">
        <v>2</v>
      </c>
      <c r="P3436" s="4" t="e">
        <f>VLOOKUP(H3436,Stock_list!A:Y,25,FALSE)</f>
        <v>#N/A</v>
      </c>
      <c r="Q3436" s="143"/>
      <c r="T3436" s="144"/>
      <c r="U3436" s="145" t="e">
        <f>VLOOKUP(H3436,Stock_list!A:N,14,FALSE)</f>
        <v>#N/A</v>
      </c>
    </row>
    <row r="3437" spans="1:21" ht="16.5" customHeight="1">
      <c r="A3437" s="159" t="s">
        <v>2744</v>
      </c>
      <c r="B3437" s="114" t="str">
        <f>VLOOKUP(A3437,'Data pick slip'!B:F,5,FALSE)</f>
        <v>KHJ-MC100-00</v>
      </c>
      <c r="F3437" s="157" t="s">
        <v>2753</v>
      </c>
      <c r="I3437" s="139" t="s">
        <v>3093</v>
      </c>
      <c r="J3437" s="139" t="s">
        <v>3509</v>
      </c>
      <c r="K3437" s="51" t="s">
        <v>1246</v>
      </c>
      <c r="L3437" s="4">
        <v>44670</v>
      </c>
      <c r="M3437" s="140">
        <v>41</v>
      </c>
      <c r="P3437" s="4" t="s">
        <v>291</v>
      </c>
      <c r="Q3437" s="143"/>
      <c r="T3437" s="144"/>
      <c r="U3437" s="145" t="e">
        <f>VLOOKUP(H3437,Stock_list!A:N,14,FALSE)</f>
        <v>#N/A</v>
      </c>
    </row>
    <row r="3438" spans="1:21" ht="16.5" customHeight="1">
      <c r="A3438" s="159" t="s">
        <v>2744</v>
      </c>
      <c r="B3438" s="114" t="str">
        <f>VLOOKUP(A3438,'Data pick slip'!B:F,5,FALSE)</f>
        <v>KHJ-MC100-00</v>
      </c>
      <c r="F3438" s="157" t="s">
        <v>2753</v>
      </c>
      <c r="I3438" s="139" t="s">
        <v>3093</v>
      </c>
      <c r="J3438" s="267" t="s">
        <v>3510</v>
      </c>
      <c r="K3438" s="51" t="s">
        <v>1246</v>
      </c>
      <c r="L3438" s="4">
        <v>44670</v>
      </c>
      <c r="M3438" s="140">
        <v>50</v>
      </c>
      <c r="P3438" s="4" t="s">
        <v>291</v>
      </c>
      <c r="Q3438" s="143"/>
      <c r="T3438" s="144"/>
      <c r="U3438" s="145" t="e">
        <f>VLOOKUP(H3438,Stock_list!A:N,14,FALSE)</f>
        <v>#N/A</v>
      </c>
    </row>
    <row r="3439" spans="1:21" ht="16.5" customHeight="1">
      <c r="A3439" s="159" t="s">
        <v>2744</v>
      </c>
      <c r="B3439" s="114" t="str">
        <f>VLOOKUP(A3439,'Data pick slip'!B:F,5,FALSE)</f>
        <v>KHJ-MC100-00</v>
      </c>
      <c r="F3439" s="157" t="s">
        <v>1381</v>
      </c>
      <c r="I3439" s="269" t="s">
        <v>3413</v>
      </c>
      <c r="J3439" s="139" t="s">
        <v>3511</v>
      </c>
      <c r="K3439" s="51" t="s">
        <v>1246</v>
      </c>
      <c r="L3439" s="4">
        <v>44657</v>
      </c>
      <c r="M3439" s="140">
        <v>30</v>
      </c>
      <c r="P3439" s="4" t="s">
        <v>291</v>
      </c>
      <c r="Q3439" s="143"/>
      <c r="T3439" s="144"/>
      <c r="U3439" s="145" t="e">
        <f>VLOOKUP(H3439,Stock_list!A:N,14,FALSE)</f>
        <v>#N/A</v>
      </c>
    </row>
    <row r="3440" spans="1:21" ht="16.5" customHeight="1">
      <c r="A3440" s="159" t="s">
        <v>2747</v>
      </c>
      <c r="B3440" s="114" t="str">
        <f>VLOOKUP(A3440,'Data pick slip'!B:F,5,FALSE)</f>
        <v>KHJ-MC200-00</v>
      </c>
      <c r="F3440" s="157" t="s">
        <v>1381</v>
      </c>
      <c r="I3440" s="269" t="s">
        <v>3413</v>
      </c>
      <c r="J3440" s="139" t="s">
        <v>3511</v>
      </c>
      <c r="K3440" s="51" t="s">
        <v>1246</v>
      </c>
      <c r="L3440" s="4">
        <v>44657</v>
      </c>
      <c r="M3440" s="140">
        <v>20</v>
      </c>
      <c r="P3440" s="4" t="s">
        <v>291</v>
      </c>
      <c r="Q3440" s="143"/>
      <c r="T3440" s="144"/>
      <c r="U3440" s="145" t="e">
        <f>VLOOKUP(H3440,Stock_list!A:N,14,FALSE)</f>
        <v>#N/A</v>
      </c>
    </row>
    <row r="3441" spans="1:21" ht="16.5" customHeight="1">
      <c r="A3441" s="159" t="s">
        <v>2744</v>
      </c>
      <c r="B3441" s="114" t="str">
        <f>VLOOKUP(A3441,'Data pick slip'!B:F,5,FALSE)</f>
        <v>KHJ-MC100-00</v>
      </c>
      <c r="F3441" s="157" t="s">
        <v>1381</v>
      </c>
      <c r="I3441" s="269" t="s">
        <v>3413</v>
      </c>
      <c r="J3441" s="139" t="s">
        <v>3512</v>
      </c>
      <c r="K3441" s="51" t="s">
        <v>1246</v>
      </c>
      <c r="L3441" s="4">
        <v>44669</v>
      </c>
      <c r="M3441" s="140">
        <v>340</v>
      </c>
      <c r="P3441" s="4" t="s">
        <v>291</v>
      </c>
      <c r="Q3441" s="143"/>
      <c r="T3441" s="144"/>
      <c r="U3441" s="145" t="e">
        <f>VLOOKUP(H3441,Stock_list!A:N,14,FALSE)</f>
        <v>#N/A</v>
      </c>
    </row>
    <row r="3442" spans="1:21" ht="16.5" customHeight="1">
      <c r="A3442" s="159" t="s">
        <v>2757</v>
      </c>
      <c r="B3442" s="114" t="str">
        <f>VLOOKUP(A3442,'Data pick slip'!B:F,5,FALSE)</f>
        <v>KLJ-MC400-00</v>
      </c>
      <c r="F3442" s="157" t="s">
        <v>1381</v>
      </c>
      <c r="I3442" s="269" t="s">
        <v>3413</v>
      </c>
      <c r="J3442" s="139" t="s">
        <v>3512</v>
      </c>
      <c r="K3442" s="51" t="s">
        <v>1246</v>
      </c>
      <c r="L3442" s="4">
        <v>44669</v>
      </c>
      <c r="M3442" s="140">
        <v>14</v>
      </c>
      <c r="P3442" s="4" t="s">
        <v>291</v>
      </c>
      <c r="Q3442" s="143"/>
      <c r="T3442" s="144"/>
      <c r="U3442" s="145" t="e">
        <f>VLOOKUP(H3442,Stock_list!A:N,14,FALSE)</f>
        <v>#N/A</v>
      </c>
    </row>
    <row r="3443" spans="1:21" ht="16.5" customHeight="1">
      <c r="A3443" s="159" t="s">
        <v>2751</v>
      </c>
      <c r="B3443" s="114" t="str">
        <f>VLOOKUP(A3443,'Data pick slip'!B:F,5,FALSE)</f>
        <v>KHJ-MC700-00</v>
      </c>
      <c r="F3443" s="157" t="s">
        <v>1381</v>
      </c>
      <c r="I3443" s="269" t="s">
        <v>3413</v>
      </c>
      <c r="J3443" s="139" t="s">
        <v>3512</v>
      </c>
      <c r="K3443" s="51" t="s">
        <v>1246</v>
      </c>
      <c r="L3443" s="4">
        <v>44669</v>
      </c>
      <c r="M3443" s="140">
        <v>4</v>
      </c>
      <c r="P3443" s="4" t="s">
        <v>291</v>
      </c>
      <c r="Q3443" s="143"/>
      <c r="T3443" s="144"/>
      <c r="U3443" s="145" t="e">
        <f>VLOOKUP(H3443,Stock_list!A:N,14,FALSE)</f>
        <v>#N/A</v>
      </c>
    </row>
    <row r="3444" spans="1:21" ht="16.5" customHeight="1">
      <c r="A3444" s="159" t="s">
        <v>2752</v>
      </c>
      <c r="B3444" s="114" t="str">
        <f>VLOOKUP(A3444,'Data pick slip'!B:F,5,FALSE)</f>
        <v>KHJ-MC800-00</v>
      </c>
      <c r="F3444" s="157" t="s">
        <v>1381</v>
      </c>
      <c r="I3444" s="269" t="s">
        <v>3413</v>
      </c>
      <c r="J3444" s="139" t="s">
        <v>3512</v>
      </c>
      <c r="K3444" s="51" t="s">
        <v>1246</v>
      </c>
      <c r="L3444" s="4">
        <v>44669</v>
      </c>
      <c r="M3444" s="140">
        <v>2</v>
      </c>
      <c r="P3444" s="4" t="s">
        <v>291</v>
      </c>
      <c r="Q3444" s="143"/>
      <c r="T3444" s="144"/>
      <c r="U3444" s="145" t="e">
        <f>VLOOKUP(H3444,Stock_list!A:N,14,FALSE)</f>
        <v>#N/A</v>
      </c>
    </row>
    <row r="3445" spans="1:21" ht="16.5" customHeight="1">
      <c r="A3445" s="159" t="s">
        <v>2755</v>
      </c>
      <c r="B3445" s="114" t="str">
        <f>VLOOKUP(A3445,'Data pick slip'!B:F,5,FALSE)</f>
        <v>KLJ-MC100-00</v>
      </c>
      <c r="F3445" s="157" t="s">
        <v>1381</v>
      </c>
      <c r="H3445" s="138">
        <v>1643</v>
      </c>
      <c r="I3445" s="139" t="str">
        <f>VLOOKUP(H3445,Stock_list!A:R,18,FALSE)</f>
        <v>快宇</v>
      </c>
      <c r="J3445" s="139" t="str">
        <f>VLOOKUP(H3445,Stock_list!A:S,17,FALSE)</f>
        <v>C49SZX20220046JL</v>
      </c>
      <c r="K3445" s="51" t="str">
        <f>VLOOKUP(H3445,Stock_list!A:T,16,FALSE)</f>
        <v>JPY</v>
      </c>
      <c r="L3445" s="4">
        <v>44726</v>
      </c>
      <c r="M3445" s="140">
        <v>13</v>
      </c>
      <c r="P3445" s="4" t="str">
        <f>VLOOKUP(H3445,Stock_list!A:Y,25,FALSE)</f>
        <v>Yes</v>
      </c>
      <c r="Q3445" s="143"/>
      <c r="T3445" s="144"/>
      <c r="U3445" s="145" t="str">
        <f>VLOOKUP(H3445,Stock_list!A:N,14,FALSE)</f>
        <v>JUN 22</v>
      </c>
    </row>
    <row r="3446" spans="1:21" ht="16.5" customHeight="1">
      <c r="A3446" s="159" t="s">
        <v>2755</v>
      </c>
      <c r="B3446" s="114" t="str">
        <f>VLOOKUP(A3446,'Data pick slip'!B:F,5,FALSE)</f>
        <v>KLJ-MC100-00</v>
      </c>
      <c r="F3446" s="157" t="s">
        <v>1381</v>
      </c>
      <c r="H3446" s="138">
        <v>1643</v>
      </c>
      <c r="I3446" s="139" t="str">
        <f>VLOOKUP(H3446,Stock_list!A:R,18,FALSE)</f>
        <v>快宇</v>
      </c>
      <c r="J3446" s="139" t="str">
        <f>VLOOKUP(H3446,Stock_list!A:S,17,FALSE)</f>
        <v>C49SZX20220046JL</v>
      </c>
      <c r="K3446" s="51" t="str">
        <f>VLOOKUP(H3446,Stock_list!A:T,16,FALSE)</f>
        <v>JPY</v>
      </c>
      <c r="L3446" s="4">
        <v>44785</v>
      </c>
      <c r="M3446" s="140">
        <v>12</v>
      </c>
      <c r="P3446" s="4" t="str">
        <f>VLOOKUP(H3446,Stock_list!A:Y,25,FALSE)</f>
        <v>Yes</v>
      </c>
      <c r="Q3446" s="143"/>
      <c r="T3446" s="144"/>
      <c r="U3446" s="145" t="str">
        <f>VLOOKUP(H3446,Stock_list!A:N,14,FALSE)</f>
        <v>JUN 22</v>
      </c>
    </row>
    <row r="3447" spans="1:21" ht="16.5" customHeight="1">
      <c r="A3447" s="159" t="s">
        <v>2755</v>
      </c>
      <c r="B3447" s="114" t="str">
        <f>VLOOKUP(A3447,'Data pick slip'!B:F,5,FALSE)</f>
        <v>KLJ-MC100-00</v>
      </c>
      <c r="F3447" s="157" t="s">
        <v>2762</v>
      </c>
      <c r="H3447" s="138">
        <v>1647</v>
      </c>
      <c r="I3447" s="139" t="e">
        <f>VLOOKUP(H3447,Stock_list!A:R,18,FALSE)</f>
        <v>#N/A</v>
      </c>
      <c r="J3447" s="139" t="e">
        <f>VLOOKUP(H3447,Stock_list!A:S,17,FALSE)</f>
        <v>#N/A</v>
      </c>
      <c r="K3447" s="51" t="e">
        <f>VLOOKUP(H3447,Stock_list!A:T,16,FALSE)</f>
        <v>#N/A</v>
      </c>
      <c r="L3447" s="4"/>
      <c r="P3447" s="4" t="e">
        <f>VLOOKUP(H3447,Stock_list!A:Y,25,FALSE)</f>
        <v>#N/A</v>
      </c>
      <c r="Q3447" s="143">
        <v>25</v>
      </c>
      <c r="T3447" s="144"/>
      <c r="U3447" s="145" t="e">
        <f>VLOOKUP(H3447,Stock_list!A:N,14,FALSE)</f>
        <v>#N/A</v>
      </c>
    </row>
    <row r="3448" spans="1:21" ht="16.5" customHeight="1">
      <c r="A3448" s="159" t="s">
        <v>2747</v>
      </c>
      <c r="B3448" s="114" t="str">
        <f>VLOOKUP(A3448,'Data pick slip'!B:F,5,FALSE)</f>
        <v>KHJ-MC200-00</v>
      </c>
      <c r="F3448" s="157" t="s">
        <v>2773</v>
      </c>
      <c r="H3448" s="138">
        <v>1651</v>
      </c>
      <c r="I3448" s="139" t="str">
        <f>VLOOKUP(H3448,Stock_list!A:R,18,FALSE)</f>
        <v>志华鑫</v>
      </c>
      <c r="J3448" s="139" t="str">
        <f>VLOOKUP(H3448,Stock_list!A:S,17,FALSE)</f>
        <v>C49SZX20220048SX</v>
      </c>
      <c r="K3448" s="51" t="str">
        <f>VLOOKUP(H3448,Stock_list!A:T,16,FALSE)</f>
        <v>RMB</v>
      </c>
      <c r="L3448" s="4">
        <v>44714</v>
      </c>
      <c r="M3448" s="140">
        <v>2</v>
      </c>
      <c r="P3448" s="4" t="str">
        <f>VLOOKUP(H3448,Stock_list!A:Y,25,FALSE)</f>
        <v>Yes</v>
      </c>
      <c r="Q3448" s="143"/>
      <c r="T3448" s="144"/>
      <c r="U3448" s="145" t="str">
        <f>VLOOKUP(H3448,Stock_list!A:N,14,FALSE)</f>
        <v>JUN 22</v>
      </c>
    </row>
    <row r="3449" spans="1:21" ht="16.5" customHeight="1">
      <c r="A3449" s="159" t="s">
        <v>2748</v>
      </c>
      <c r="B3449" s="114" t="str">
        <f>VLOOKUP(A3449,'Data pick slip'!B:F,5,FALSE)</f>
        <v>KHJ-MC400-00</v>
      </c>
      <c r="F3449" s="157" t="s">
        <v>2773</v>
      </c>
      <c r="H3449" s="138">
        <v>1651</v>
      </c>
      <c r="I3449" s="139" t="str">
        <f>VLOOKUP(H3449,Stock_list!A:R,18,FALSE)</f>
        <v>志华鑫</v>
      </c>
      <c r="J3449" s="139" t="str">
        <f>VLOOKUP(H3449,Stock_list!A:S,17,FALSE)</f>
        <v>C49SZX20220048SX</v>
      </c>
      <c r="K3449" s="51" t="str">
        <f>VLOOKUP(H3449,Stock_list!A:T,16,FALSE)</f>
        <v>RMB</v>
      </c>
      <c r="L3449" s="4">
        <v>44714</v>
      </c>
      <c r="M3449" s="140">
        <v>2</v>
      </c>
      <c r="P3449" s="4" t="str">
        <f>VLOOKUP(H3449,Stock_list!A:Y,25,FALSE)</f>
        <v>Yes</v>
      </c>
      <c r="Q3449" s="143"/>
      <c r="T3449" s="144"/>
      <c r="U3449" s="145" t="str">
        <f>VLOOKUP(H3449,Stock_list!A:N,14,FALSE)</f>
        <v>JUN 22</v>
      </c>
    </row>
    <row r="3450" spans="1:21" ht="16.5" customHeight="1">
      <c r="A3450" s="159" t="s">
        <v>2744</v>
      </c>
      <c r="B3450" s="114" t="str">
        <f>VLOOKUP(A3450,'Data pick slip'!B:F,5,FALSE)</f>
        <v>KHJ-MC100-00</v>
      </c>
      <c r="F3450" s="157" t="s">
        <v>1381</v>
      </c>
      <c r="H3450" s="138">
        <v>1652</v>
      </c>
      <c r="I3450" s="139" t="str">
        <f>VLOOKUP(H3450,Stock_list!A:R,18,FALSE)</f>
        <v>辉拓</v>
      </c>
      <c r="J3450" s="139" t="str">
        <f>VLOOKUP(H3450,Stock_list!A:S,17,FALSE)</f>
        <v>C49SZX20220049JY</v>
      </c>
      <c r="K3450" s="51" t="str">
        <f>VLOOKUP(H3450,Stock_list!A:T,16,FALSE)</f>
        <v>JPY</v>
      </c>
      <c r="L3450" s="4">
        <v>44789</v>
      </c>
      <c r="M3450" s="143">
        <v>30</v>
      </c>
      <c r="N3450" s="132">
        <v>50</v>
      </c>
      <c r="P3450" s="4" t="str">
        <f>VLOOKUP(H3450,Stock_list!A:Y,25,FALSE)</f>
        <v>Yes</v>
      </c>
      <c r="T3450" s="144"/>
      <c r="U3450" s="145">
        <f>VLOOKUP(H3450,Stock_list!A:N,14,FALSE)</f>
        <v>0</v>
      </c>
    </row>
    <row r="3451" spans="1:21" ht="16.5" customHeight="1">
      <c r="A3451" s="159" t="s">
        <v>2747</v>
      </c>
      <c r="B3451" s="114" t="str">
        <f>VLOOKUP(A3451,'Data pick slip'!B:F,5,FALSE)</f>
        <v>KHJ-MC200-00</v>
      </c>
      <c r="F3451" s="157" t="s">
        <v>1381</v>
      </c>
      <c r="H3451" s="138">
        <v>1652</v>
      </c>
      <c r="I3451" s="139" t="str">
        <f>VLOOKUP(H3451,Stock_list!A:R,18,FALSE)</f>
        <v>辉拓</v>
      </c>
      <c r="J3451" s="139" t="str">
        <f>VLOOKUP(H3451,Stock_list!A:S,17,FALSE)</f>
        <v>C49SZX20220049JY</v>
      </c>
      <c r="K3451" s="51" t="str">
        <f>VLOOKUP(H3451,Stock_list!A:T,16,FALSE)</f>
        <v>JPY</v>
      </c>
      <c r="L3451" s="4">
        <v>44789</v>
      </c>
      <c r="M3451" s="143">
        <v>12</v>
      </c>
      <c r="P3451" s="4" t="str">
        <f>VLOOKUP(H3451,Stock_list!A:Y,25,FALSE)</f>
        <v>Yes</v>
      </c>
      <c r="T3451" s="144"/>
      <c r="U3451" s="145">
        <f>VLOOKUP(H3451,Stock_list!A:N,14,FALSE)</f>
        <v>0</v>
      </c>
    </row>
    <row r="3452" spans="1:21" ht="16.5" customHeight="1">
      <c r="A3452" s="159" t="s">
        <v>2748</v>
      </c>
      <c r="B3452" s="114" t="str">
        <f>VLOOKUP(A3452,'Data pick slip'!B:F,5,FALSE)</f>
        <v>KHJ-MC400-00</v>
      </c>
      <c r="F3452" s="157" t="s">
        <v>1381</v>
      </c>
      <c r="H3452" s="138">
        <v>1652</v>
      </c>
      <c r="I3452" s="139" t="str">
        <f>VLOOKUP(H3452,Stock_list!A:R,18,FALSE)</f>
        <v>辉拓</v>
      </c>
      <c r="J3452" s="139" t="str">
        <f>VLOOKUP(H3452,Stock_list!A:S,17,FALSE)</f>
        <v>C49SZX20220049JY</v>
      </c>
      <c r="K3452" s="51" t="str">
        <f>VLOOKUP(H3452,Stock_list!A:T,16,FALSE)</f>
        <v>JPY</v>
      </c>
      <c r="L3452" s="4">
        <v>44789</v>
      </c>
      <c r="M3452" s="143">
        <v>12</v>
      </c>
      <c r="P3452" s="4" t="str">
        <f>VLOOKUP(H3452,Stock_list!A:Y,25,FALSE)</f>
        <v>Yes</v>
      </c>
      <c r="T3452" s="144"/>
      <c r="U3452" s="145">
        <f>VLOOKUP(H3452,Stock_list!A:N,14,FALSE)</f>
        <v>0</v>
      </c>
    </row>
    <row r="3453" spans="1:21" ht="16.5" customHeight="1">
      <c r="A3453" s="159" t="s">
        <v>2749</v>
      </c>
      <c r="B3453" s="114" t="str">
        <f>VLOOKUP(A3453,'Data pick slip'!B:F,5,FALSE)</f>
        <v>KHJ-MC500-00</v>
      </c>
      <c r="F3453" s="157" t="s">
        <v>1381</v>
      </c>
      <c r="H3453" s="138">
        <v>1652</v>
      </c>
      <c r="I3453" s="139" t="str">
        <f>VLOOKUP(H3453,Stock_list!A:R,18,FALSE)</f>
        <v>辉拓</v>
      </c>
      <c r="J3453" s="139" t="str">
        <f>VLOOKUP(H3453,Stock_list!A:S,17,FALSE)</f>
        <v>C49SZX20220049JY</v>
      </c>
      <c r="K3453" s="51" t="str">
        <f>VLOOKUP(H3453,Stock_list!A:T,16,FALSE)</f>
        <v>JPY</v>
      </c>
      <c r="L3453" s="4">
        <v>44789</v>
      </c>
      <c r="M3453" s="143">
        <v>4</v>
      </c>
      <c r="P3453" s="4" t="str">
        <f>VLOOKUP(H3453,Stock_list!A:Y,25,FALSE)</f>
        <v>Yes</v>
      </c>
      <c r="T3453" s="144"/>
      <c r="U3453" s="145">
        <f>VLOOKUP(H3453,Stock_list!A:N,14,FALSE)</f>
        <v>0</v>
      </c>
    </row>
    <row r="3454" spans="1:21" ht="16.5" customHeight="1">
      <c r="A3454" s="159" t="s">
        <v>2750</v>
      </c>
      <c r="B3454" s="114" t="str">
        <f>VLOOKUP(A3454,'Data pick slip'!B:F,5,FALSE)</f>
        <v>KHJ-MC600-00</v>
      </c>
      <c r="F3454" s="157" t="s">
        <v>1381</v>
      </c>
      <c r="H3454" s="138">
        <v>1652</v>
      </c>
      <c r="I3454" s="139" t="str">
        <f>VLOOKUP(H3454,Stock_list!A:R,18,FALSE)</f>
        <v>辉拓</v>
      </c>
      <c r="J3454" s="139" t="str">
        <f>VLOOKUP(H3454,Stock_list!A:S,17,FALSE)</f>
        <v>C49SZX20220049JY</v>
      </c>
      <c r="K3454" s="51" t="str">
        <f>VLOOKUP(H3454,Stock_list!A:T,16,FALSE)</f>
        <v>JPY</v>
      </c>
      <c r="L3454" s="4">
        <v>44789</v>
      </c>
      <c r="M3454" s="143">
        <v>1</v>
      </c>
      <c r="P3454" s="4" t="str">
        <f>VLOOKUP(H3454,Stock_list!A:Y,25,FALSE)</f>
        <v>Yes</v>
      </c>
      <c r="T3454" s="144"/>
      <c r="U3454" s="145">
        <f>VLOOKUP(H3454,Stock_list!A:N,14,FALSE)</f>
        <v>0</v>
      </c>
    </row>
    <row r="3455" spans="1:21" ht="16.5" customHeight="1">
      <c r="A3455" s="159" t="s">
        <v>2754</v>
      </c>
      <c r="B3455" s="114" t="str">
        <f>VLOOKUP(A3455,'Data pick slip'!B:F,5,FALSE)</f>
        <v>KLJ-MCN00-20</v>
      </c>
      <c r="F3455" s="157" t="s">
        <v>2773</v>
      </c>
      <c r="H3455" s="138">
        <v>1656</v>
      </c>
      <c r="I3455" s="139" t="str">
        <f>VLOOKUP(H3455,Stock_list!A:R,18,FALSE)</f>
        <v>康佳</v>
      </c>
      <c r="J3455" s="139" t="str">
        <f>VLOOKUP(H3455,Stock_list!A:S,17,FALSE)</f>
        <v>SNFPC-CG-2022-008</v>
      </c>
      <c r="K3455" s="51" t="str">
        <f>VLOOKUP(H3455,Stock_list!A:T,16,FALSE)</f>
        <v>RMB</v>
      </c>
      <c r="L3455" s="4"/>
      <c r="N3455" s="132">
        <v>2</v>
      </c>
      <c r="P3455" s="4" t="str">
        <f>VLOOKUP(H3455,Stock_list!A:Y,25,FALSE)</f>
        <v>Yes</v>
      </c>
      <c r="T3455" s="144"/>
      <c r="U3455" s="145"/>
    </row>
    <row r="3456" spans="1:21" ht="16.5" customHeight="1">
      <c r="A3456" s="159" t="s">
        <v>2744</v>
      </c>
      <c r="B3456" s="114" t="str">
        <f>VLOOKUP(A3456,'Data pick slip'!B:F,5,FALSE)</f>
        <v>KHJ-MC100-00</v>
      </c>
      <c r="F3456" s="157" t="s">
        <v>2773</v>
      </c>
      <c r="H3456" s="138">
        <v>1656</v>
      </c>
      <c r="I3456" s="139" t="str">
        <f>VLOOKUP(H3456,Stock_list!A:R,18,FALSE)</f>
        <v>康佳</v>
      </c>
      <c r="J3456" s="139" t="str">
        <f>VLOOKUP(H3456,Stock_list!A:S,17,FALSE)</f>
        <v>SNFPC-CG-2022-008</v>
      </c>
      <c r="K3456" s="51" t="str">
        <f>VLOOKUP(H3456,Stock_list!A:T,16,FALSE)</f>
        <v>RMB</v>
      </c>
      <c r="L3456" s="4"/>
      <c r="N3456" s="132">
        <v>80</v>
      </c>
      <c r="P3456" s="4" t="str">
        <f>VLOOKUP(H3456,Stock_list!A:Y,25,FALSE)</f>
        <v>Yes</v>
      </c>
      <c r="T3456" s="144"/>
      <c r="U3456" s="145"/>
    </row>
    <row r="3457" spans="1:21" ht="16.5" customHeight="1">
      <c r="A3457" s="159" t="s">
        <v>2747</v>
      </c>
      <c r="B3457" s="114" t="str">
        <f>VLOOKUP(A3457,'Data pick slip'!B:F,5,FALSE)</f>
        <v>KHJ-MC200-00</v>
      </c>
      <c r="F3457" s="157" t="s">
        <v>2773</v>
      </c>
      <c r="H3457" s="138">
        <v>1656</v>
      </c>
      <c r="I3457" s="139" t="str">
        <f>VLOOKUP(H3457,Stock_list!A:R,18,FALSE)</f>
        <v>康佳</v>
      </c>
      <c r="J3457" s="139" t="str">
        <f>VLOOKUP(H3457,Stock_list!A:S,17,FALSE)</f>
        <v>SNFPC-CG-2022-008</v>
      </c>
      <c r="K3457" s="51" t="str">
        <f>VLOOKUP(H3457,Stock_list!A:T,16,FALSE)</f>
        <v>RMB</v>
      </c>
      <c r="L3457" s="4"/>
      <c r="N3457" s="132">
        <v>20</v>
      </c>
      <c r="P3457" s="4" t="str">
        <f>VLOOKUP(H3457,Stock_list!A:Y,25,FALSE)</f>
        <v>Yes</v>
      </c>
      <c r="T3457" s="144"/>
      <c r="U3457" s="145"/>
    </row>
    <row r="3458" spans="1:21" ht="16.5" customHeight="1">
      <c r="A3458" s="159" t="s">
        <v>2748</v>
      </c>
      <c r="B3458" s="114" t="str">
        <f>VLOOKUP(A3458,'Data pick slip'!B:F,5,FALSE)</f>
        <v>KHJ-MC400-00</v>
      </c>
      <c r="F3458" s="157" t="s">
        <v>2773</v>
      </c>
      <c r="H3458" s="138">
        <v>1656</v>
      </c>
      <c r="I3458" s="139" t="str">
        <f>VLOOKUP(H3458,Stock_list!A:R,18,FALSE)</f>
        <v>康佳</v>
      </c>
      <c r="J3458" s="139" t="str">
        <f>VLOOKUP(H3458,Stock_list!A:S,17,FALSE)</f>
        <v>SNFPC-CG-2022-008</v>
      </c>
      <c r="K3458" s="51" t="str">
        <f>VLOOKUP(H3458,Stock_list!A:T,16,FALSE)</f>
        <v>RMB</v>
      </c>
      <c r="L3458" s="4"/>
      <c r="N3458" s="132">
        <v>10</v>
      </c>
      <c r="P3458" s="4" t="str">
        <f>VLOOKUP(H3458,Stock_list!A:Y,25,FALSE)</f>
        <v>Yes</v>
      </c>
      <c r="T3458" s="144"/>
      <c r="U3458" s="145"/>
    </row>
    <row r="3459" spans="1:21" ht="16.5" customHeight="1">
      <c r="A3459" s="159" t="s">
        <v>2749</v>
      </c>
      <c r="B3459" s="114" t="str">
        <f>VLOOKUP(A3459,'Data pick slip'!B:F,5,FALSE)</f>
        <v>KHJ-MC500-00</v>
      </c>
      <c r="F3459" s="157" t="s">
        <v>2773</v>
      </c>
      <c r="H3459" s="138">
        <v>1656</v>
      </c>
      <c r="I3459" s="139" t="str">
        <f>VLOOKUP(H3459,Stock_list!A:R,18,FALSE)</f>
        <v>康佳</v>
      </c>
      <c r="J3459" s="139" t="str">
        <f>VLOOKUP(H3459,Stock_list!A:S,17,FALSE)</f>
        <v>SNFPC-CG-2022-008</v>
      </c>
      <c r="K3459" s="51" t="str">
        <f>VLOOKUP(H3459,Stock_list!A:T,16,FALSE)</f>
        <v>RMB</v>
      </c>
      <c r="L3459" s="4"/>
      <c r="N3459" s="132">
        <v>2</v>
      </c>
      <c r="P3459" s="4" t="str">
        <f>VLOOKUP(H3459,Stock_list!A:Y,25,FALSE)</f>
        <v>Yes</v>
      </c>
      <c r="T3459" s="144"/>
      <c r="U3459" s="145"/>
    </row>
    <row r="3460" spans="1:21" ht="16.5" customHeight="1">
      <c r="A3460" s="159" t="s">
        <v>2750</v>
      </c>
      <c r="B3460" s="114" t="str">
        <f>VLOOKUP(A3460,'Data pick slip'!B:F,5,FALSE)</f>
        <v>KHJ-MC600-00</v>
      </c>
      <c r="F3460" s="157" t="s">
        <v>2773</v>
      </c>
      <c r="H3460" s="138">
        <v>1656</v>
      </c>
      <c r="I3460" s="139" t="str">
        <f>VLOOKUP(H3460,Stock_list!A:R,18,FALSE)</f>
        <v>康佳</v>
      </c>
      <c r="J3460" s="139" t="str">
        <f>VLOOKUP(H3460,Stock_list!A:S,17,FALSE)</f>
        <v>SNFPC-CG-2022-008</v>
      </c>
      <c r="K3460" s="51" t="str">
        <f>VLOOKUP(H3460,Stock_list!A:T,16,FALSE)</f>
        <v>RMB</v>
      </c>
      <c r="L3460" s="4"/>
      <c r="N3460" s="132">
        <v>1</v>
      </c>
      <c r="P3460" s="4" t="str">
        <f>VLOOKUP(H3460,Stock_list!A:Y,25,FALSE)</f>
        <v>Yes</v>
      </c>
      <c r="T3460" s="144"/>
      <c r="U3460" s="145"/>
    </row>
    <row r="3461" spans="1:21" ht="16.5" customHeight="1">
      <c r="A3461" s="159" t="s">
        <v>2751</v>
      </c>
      <c r="B3461" s="114" t="str">
        <f>VLOOKUP(A3461,'Data pick slip'!B:F,5,FALSE)</f>
        <v>KHJ-MC700-00</v>
      </c>
      <c r="F3461" s="157" t="s">
        <v>2773</v>
      </c>
      <c r="H3461" s="138">
        <v>1656</v>
      </c>
      <c r="I3461" s="139" t="str">
        <f>VLOOKUP(H3461,Stock_list!A:R,18,FALSE)</f>
        <v>康佳</v>
      </c>
      <c r="J3461" s="139" t="str">
        <f>VLOOKUP(H3461,Stock_list!A:S,17,FALSE)</f>
        <v>SNFPC-CG-2022-008</v>
      </c>
      <c r="K3461" s="51" t="str">
        <f>VLOOKUP(H3461,Stock_list!A:T,16,FALSE)</f>
        <v>RMB</v>
      </c>
      <c r="L3461" s="4"/>
      <c r="N3461" s="132">
        <v>1</v>
      </c>
      <c r="P3461" s="4" t="str">
        <f>VLOOKUP(H3461,Stock_list!A:Y,25,FALSE)</f>
        <v>Yes</v>
      </c>
      <c r="T3461" s="144"/>
      <c r="U3461" s="145"/>
    </row>
    <row r="3462" spans="1:21" ht="16.5" customHeight="1">
      <c r="A3462" s="159" t="s">
        <v>2749</v>
      </c>
      <c r="B3462" s="114" t="str">
        <f>VLOOKUP(A3462,'Data pick slip'!B:F,5,FALSE)</f>
        <v>KHJ-MC500-00</v>
      </c>
      <c r="F3462" s="157" t="s">
        <v>2753</v>
      </c>
      <c r="I3462" s="139" t="s">
        <v>3093</v>
      </c>
      <c r="J3462" s="270" t="s">
        <v>3513</v>
      </c>
      <c r="K3462" s="51" t="s">
        <v>1246</v>
      </c>
      <c r="L3462" s="4">
        <v>44671</v>
      </c>
      <c r="M3462" s="140">
        <v>2</v>
      </c>
      <c r="P3462" s="4" t="e">
        <f>VLOOKUP(H3462,Stock_list!A:Y,25,FALSE)</f>
        <v>#N/A</v>
      </c>
      <c r="Q3462" s="143"/>
      <c r="T3462" s="144"/>
      <c r="U3462" s="145" t="e">
        <f>VLOOKUP(H3462,Stock_list!A:N,14,FALSE)</f>
        <v>#N/A</v>
      </c>
    </row>
    <row r="3463" spans="1:21" ht="16.5" customHeight="1">
      <c r="A3463" s="159" t="s">
        <v>2747</v>
      </c>
      <c r="B3463" s="114" t="str">
        <f>VLOOKUP(A3463,'Data pick slip'!B:F,5,FALSE)</f>
        <v>KHJ-MC200-00</v>
      </c>
      <c r="F3463" s="157" t="s">
        <v>2753</v>
      </c>
      <c r="I3463" s="139" t="s">
        <v>3115</v>
      </c>
      <c r="J3463" s="139" t="s">
        <v>3514</v>
      </c>
      <c r="K3463" s="51" t="s">
        <v>1246</v>
      </c>
      <c r="L3463" s="4">
        <v>44690</v>
      </c>
      <c r="M3463" s="140">
        <v>6</v>
      </c>
      <c r="P3463" s="4" t="e">
        <f>VLOOKUP(H3463,Stock_list!A:Y,25,FALSE)</f>
        <v>#N/A</v>
      </c>
      <c r="Q3463" s="143"/>
      <c r="T3463" s="144"/>
      <c r="U3463" s="145" t="e">
        <f>VLOOKUP(H3463,Stock_list!A:N,14,FALSE)</f>
        <v>#N/A</v>
      </c>
    </row>
    <row r="3464" spans="1:21" ht="16.5" customHeight="1">
      <c r="A3464" s="159" t="s">
        <v>2744</v>
      </c>
      <c r="B3464" s="114" t="str">
        <f>VLOOKUP(A3464,'Data pick slip'!B:F,5,FALSE)</f>
        <v>KHJ-MC100-00</v>
      </c>
      <c r="F3464" s="157" t="s">
        <v>1381</v>
      </c>
      <c r="H3464" s="138">
        <v>1275</v>
      </c>
      <c r="I3464" s="139" t="str">
        <f>VLOOKUP(H3464,Stock_list!A:R,18,FALSE)</f>
        <v>鹏鑫达（end user：晶昌鸿业）</v>
      </c>
      <c r="J3464" s="139" t="str">
        <f>VLOOKUP(H3464,Stock_list!A:S,17,FALSE)</f>
        <v>C49SZX20210086JL</v>
      </c>
      <c r="K3464" s="51" t="str">
        <f>VLOOKUP(H3464,Stock_list!A:T,16,FALSE)</f>
        <v>JPY</v>
      </c>
      <c r="L3464" s="4">
        <v>44690</v>
      </c>
      <c r="M3464" s="140">
        <v>40</v>
      </c>
      <c r="P3464" s="4" t="str">
        <f>VLOOKUP(H3464,Stock_list!A:Y,25,FALSE)</f>
        <v>Yes</v>
      </c>
      <c r="Q3464" s="143"/>
      <c r="T3464" s="144"/>
      <c r="U3464" s="145" t="str">
        <f>VLOOKUP(H3464,Stock_list!A:N,14,FALSE)</f>
        <v>APR 22</v>
      </c>
    </row>
    <row r="3465" spans="1:21" ht="16.5" customHeight="1">
      <c r="A3465" s="159" t="s">
        <v>2747</v>
      </c>
      <c r="B3465" s="114" t="str">
        <f>VLOOKUP(A3465,'Data pick slip'!B:F,5,FALSE)</f>
        <v>KHJ-MC200-00</v>
      </c>
      <c r="F3465" s="157" t="s">
        <v>1381</v>
      </c>
      <c r="I3465" s="139" t="s">
        <v>2853</v>
      </c>
      <c r="J3465" s="267" t="s">
        <v>3515</v>
      </c>
      <c r="K3465" s="51" t="s">
        <v>3002</v>
      </c>
      <c r="L3465" s="4">
        <v>44691</v>
      </c>
      <c r="M3465" s="140">
        <v>3</v>
      </c>
      <c r="P3465" s="4" t="s">
        <v>291</v>
      </c>
      <c r="Q3465" s="143"/>
      <c r="T3465" s="144"/>
      <c r="U3465" s="145" t="e">
        <f>VLOOKUP(H3465,Stock_list!A:N,14,FALSE)</f>
        <v>#N/A</v>
      </c>
    </row>
    <row r="3466" spans="1:21" ht="16.5" customHeight="1">
      <c r="A3466" s="159" t="s">
        <v>2744</v>
      </c>
      <c r="B3466" s="114" t="str">
        <f>VLOOKUP(A3466,'Data pick slip'!B:F,5,FALSE)</f>
        <v>KHJ-MC100-00</v>
      </c>
      <c r="F3466" s="157" t="s">
        <v>1381</v>
      </c>
      <c r="H3466" s="138">
        <v>1666</v>
      </c>
      <c r="I3466" s="139" t="str">
        <f>VLOOKUP(H3466,Stock_list!A:R,18,FALSE)</f>
        <v>利速达</v>
      </c>
      <c r="J3466" s="139" t="str">
        <f>VLOOKUP(H3466,Stock_list!A:S,17,FALSE)</f>
        <v>C49SZX20220055SX</v>
      </c>
      <c r="K3466" s="51" t="str">
        <f>VLOOKUP(H3466,Stock_list!A:T,16,FALSE)</f>
        <v>JPY</v>
      </c>
      <c r="L3466" s="4">
        <v>44737</v>
      </c>
      <c r="M3466" s="327">
        <v>41</v>
      </c>
      <c r="P3466" s="4" t="str">
        <f>VLOOKUP(H3466,Stock_list!A:Y,25,FALSE)</f>
        <v>Yes</v>
      </c>
      <c r="Q3466" s="143"/>
      <c r="T3466" s="144"/>
      <c r="U3466" s="145" t="str">
        <f>VLOOKUP(H3466,Stock_list!A:N,14,FALSE)</f>
        <v>SEP 22</v>
      </c>
    </row>
    <row r="3467" spans="1:21" ht="16.5" customHeight="1">
      <c r="A3467" s="159" t="s">
        <v>2747</v>
      </c>
      <c r="B3467" s="114" t="str">
        <f>VLOOKUP(A3467,'Data pick slip'!B:F,5,FALSE)</f>
        <v>KHJ-MC200-00</v>
      </c>
      <c r="F3467" s="157" t="s">
        <v>1381</v>
      </c>
      <c r="H3467" s="138">
        <v>1666</v>
      </c>
      <c r="I3467" s="139" t="str">
        <f>VLOOKUP(H3467,Stock_list!A:R,18,FALSE)</f>
        <v>利速达</v>
      </c>
      <c r="J3467" s="139" t="str">
        <f>VLOOKUP(H3467,Stock_list!A:S,17,FALSE)</f>
        <v>C49SZX20220055SX</v>
      </c>
      <c r="K3467" s="51" t="str">
        <f>VLOOKUP(H3467,Stock_list!A:T,16,FALSE)</f>
        <v>JPY</v>
      </c>
      <c r="L3467" s="4">
        <v>44737</v>
      </c>
      <c r="M3467" s="327">
        <v>15</v>
      </c>
      <c r="P3467" s="4" t="str">
        <f>VLOOKUP(H3467,Stock_list!A:Y,25,FALSE)</f>
        <v>Yes</v>
      </c>
      <c r="Q3467" s="143"/>
      <c r="T3467" s="144"/>
      <c r="U3467" s="145" t="str">
        <f>VLOOKUP(H3467,Stock_list!A:N,14,FALSE)</f>
        <v>SEP 22</v>
      </c>
    </row>
    <row r="3468" spans="1:21" ht="16.5" customHeight="1">
      <c r="A3468" s="159" t="s">
        <v>2748</v>
      </c>
      <c r="B3468" s="114" t="str">
        <f>VLOOKUP(A3468,'Data pick slip'!B:F,5,FALSE)</f>
        <v>KHJ-MC400-00</v>
      </c>
      <c r="F3468" s="157" t="s">
        <v>1381</v>
      </c>
      <c r="H3468" s="138">
        <v>1666</v>
      </c>
      <c r="I3468" s="139" t="str">
        <f>VLOOKUP(H3468,Stock_list!A:R,18,FALSE)</f>
        <v>利速达</v>
      </c>
      <c r="J3468" s="139" t="str">
        <f>VLOOKUP(H3468,Stock_list!A:S,17,FALSE)</f>
        <v>C49SZX20220055SX</v>
      </c>
      <c r="K3468" s="51" t="str">
        <f>VLOOKUP(H3468,Stock_list!A:T,16,FALSE)</f>
        <v>JPY</v>
      </c>
      <c r="L3468" s="4">
        <v>44737</v>
      </c>
      <c r="M3468" s="327">
        <v>4</v>
      </c>
      <c r="P3468" s="4" t="str">
        <f>VLOOKUP(H3468,Stock_list!A:Y,25,FALSE)</f>
        <v>Yes</v>
      </c>
      <c r="Q3468" s="143"/>
      <c r="T3468" s="144"/>
      <c r="U3468" s="145" t="str">
        <f>VLOOKUP(H3468,Stock_list!A:N,14,FALSE)</f>
        <v>SEP 22</v>
      </c>
    </row>
    <row r="3469" spans="1:21" ht="16.5" customHeight="1">
      <c r="A3469" s="159" t="s">
        <v>2744</v>
      </c>
      <c r="B3469" s="114" t="str">
        <f>VLOOKUP(A3469,'Data pick slip'!B:F,5,FALSE)</f>
        <v>KHJ-MC100-00</v>
      </c>
      <c r="F3469" s="157" t="s">
        <v>1381</v>
      </c>
      <c r="H3469" s="138">
        <v>1667</v>
      </c>
      <c r="I3469" s="139" t="str">
        <f>VLOOKUP(H3469,Stock_list!A:R,18,FALSE)</f>
        <v>鑫天泰</v>
      </c>
      <c r="J3469" s="139" t="str">
        <f>VLOOKUP(H3469,Stock_list!A:S,17,FALSE)</f>
        <v>C49SZX20220056EC</v>
      </c>
      <c r="K3469" s="51" t="str">
        <f>VLOOKUP(H3469,Stock_list!A:T,16,FALSE)</f>
        <v>JPY</v>
      </c>
      <c r="L3469" s="4">
        <v>44727</v>
      </c>
      <c r="M3469" s="132">
        <v>50</v>
      </c>
      <c r="P3469" s="4" t="str">
        <f>VLOOKUP(H3469,Stock_list!A:Y,25,FALSE)</f>
        <v>Yes</v>
      </c>
      <c r="Q3469" s="143"/>
      <c r="T3469" s="144"/>
      <c r="U3469" s="145" t="str">
        <f>VLOOKUP(H3469,Stock_list!A:N,14,FALSE)</f>
        <v>JUN 22</v>
      </c>
    </row>
    <row r="3470" spans="1:21" ht="16.5" customHeight="1">
      <c r="A3470" s="159" t="s">
        <v>2747</v>
      </c>
      <c r="B3470" s="114" t="str">
        <f>VLOOKUP(A3470,'Data pick slip'!B:F,5,FALSE)</f>
        <v>KHJ-MC200-00</v>
      </c>
      <c r="F3470" s="157" t="s">
        <v>1381</v>
      </c>
      <c r="H3470" s="138">
        <v>1667</v>
      </c>
      <c r="I3470" s="139" t="str">
        <f>VLOOKUP(H3470,Stock_list!A:R,18,FALSE)</f>
        <v>鑫天泰</v>
      </c>
      <c r="J3470" s="139" t="str">
        <f>VLOOKUP(H3470,Stock_list!A:S,17,FALSE)</f>
        <v>C49SZX20220056EC</v>
      </c>
      <c r="K3470" s="51" t="str">
        <f>VLOOKUP(H3470,Stock_list!A:T,16,FALSE)</f>
        <v>JPY</v>
      </c>
      <c r="L3470" s="4">
        <v>44727</v>
      </c>
      <c r="M3470" s="132">
        <v>10</v>
      </c>
      <c r="P3470" s="4" t="str">
        <f>VLOOKUP(H3470,Stock_list!A:Y,25,FALSE)</f>
        <v>Yes</v>
      </c>
      <c r="Q3470" s="143"/>
      <c r="T3470" s="144"/>
      <c r="U3470" s="145" t="str">
        <f>VLOOKUP(H3470,Stock_list!A:N,14,FALSE)</f>
        <v>JUN 22</v>
      </c>
    </row>
    <row r="3471" spans="1:21" ht="16.5" customHeight="1">
      <c r="A3471" s="159" t="s">
        <v>2748</v>
      </c>
      <c r="B3471" s="114" t="str">
        <f>VLOOKUP(A3471,'Data pick slip'!B:F,5,FALSE)</f>
        <v>KHJ-MC400-00</v>
      </c>
      <c r="F3471" s="157" t="s">
        <v>1381</v>
      </c>
      <c r="H3471" s="138">
        <v>1667</v>
      </c>
      <c r="I3471" s="139" t="str">
        <f>VLOOKUP(H3471,Stock_list!A:R,18,FALSE)</f>
        <v>鑫天泰</v>
      </c>
      <c r="J3471" s="139" t="str">
        <f>VLOOKUP(H3471,Stock_list!A:S,17,FALSE)</f>
        <v>C49SZX20220056EC</v>
      </c>
      <c r="K3471" s="51" t="str">
        <f>VLOOKUP(H3471,Stock_list!A:T,16,FALSE)</f>
        <v>JPY</v>
      </c>
      <c r="L3471" s="4">
        <v>44727</v>
      </c>
      <c r="M3471" s="132">
        <v>2</v>
      </c>
      <c r="P3471" s="4" t="str">
        <f>VLOOKUP(H3471,Stock_list!A:Y,25,FALSE)</f>
        <v>Yes</v>
      </c>
      <c r="Q3471" s="143"/>
      <c r="T3471" s="144"/>
      <c r="U3471" s="145" t="str">
        <f>VLOOKUP(H3471,Stock_list!A:N,14,FALSE)</f>
        <v>JUN 22</v>
      </c>
    </row>
    <row r="3472" spans="1:21" ht="16.5" customHeight="1">
      <c r="A3472" s="159" t="s">
        <v>2744</v>
      </c>
      <c r="B3472" s="114" t="str">
        <f>VLOOKUP(A3472,'Data pick slip'!B:F,5,FALSE)</f>
        <v>KHJ-MC100-00</v>
      </c>
      <c r="F3472" s="157" t="s">
        <v>1381</v>
      </c>
      <c r="I3472" s="269" t="s">
        <v>3413</v>
      </c>
      <c r="J3472" s="139" t="s">
        <v>3516</v>
      </c>
      <c r="K3472" s="51" t="s">
        <v>1246</v>
      </c>
      <c r="L3472" s="4">
        <v>44692</v>
      </c>
      <c r="M3472" s="321">
        <v>410</v>
      </c>
      <c r="P3472" s="4" t="s">
        <v>291</v>
      </c>
      <c r="Q3472" s="143"/>
      <c r="T3472" s="144"/>
      <c r="U3472" s="145" t="e">
        <f>VLOOKUP(H3472,Stock_list!A:N,14,FALSE)</f>
        <v>#N/A</v>
      </c>
    </row>
    <row r="3473" spans="1:21" ht="16.5" customHeight="1">
      <c r="A3473" s="159" t="s">
        <v>2747</v>
      </c>
      <c r="B3473" s="114" t="str">
        <f>VLOOKUP(A3473,'Data pick slip'!B:F,5,FALSE)</f>
        <v>KHJ-MC200-00</v>
      </c>
      <c r="F3473" s="157" t="s">
        <v>1381</v>
      </c>
      <c r="I3473" s="269" t="s">
        <v>3413</v>
      </c>
      <c r="J3473" s="139" t="s">
        <v>3516</v>
      </c>
      <c r="K3473" s="51" t="s">
        <v>1246</v>
      </c>
      <c r="L3473" s="4">
        <v>44692</v>
      </c>
      <c r="M3473" s="321">
        <v>110</v>
      </c>
      <c r="P3473" s="4" t="s">
        <v>291</v>
      </c>
      <c r="Q3473" s="143"/>
      <c r="T3473" s="144"/>
      <c r="U3473" s="145" t="e">
        <f>VLOOKUP(H3473,Stock_list!A:N,14,FALSE)</f>
        <v>#N/A</v>
      </c>
    </row>
    <row r="3474" spans="1:21" ht="16.5" customHeight="1">
      <c r="A3474" s="159" t="s">
        <v>2748</v>
      </c>
      <c r="B3474" s="114" t="str">
        <f>VLOOKUP(A3474,'Data pick slip'!B:F,5,FALSE)</f>
        <v>KHJ-MC400-00</v>
      </c>
      <c r="F3474" s="157" t="s">
        <v>1381</v>
      </c>
      <c r="I3474" s="269" t="s">
        <v>3413</v>
      </c>
      <c r="J3474" s="139" t="s">
        <v>3516</v>
      </c>
      <c r="K3474" s="51" t="s">
        <v>1246</v>
      </c>
      <c r="L3474" s="4">
        <v>44692</v>
      </c>
      <c r="M3474" s="321">
        <v>10</v>
      </c>
      <c r="P3474" s="4" t="s">
        <v>291</v>
      </c>
      <c r="Q3474" s="143"/>
      <c r="T3474" s="144"/>
      <c r="U3474" s="145" t="e">
        <f>VLOOKUP(H3474,Stock_list!A:N,14,FALSE)</f>
        <v>#N/A</v>
      </c>
    </row>
    <row r="3475" spans="1:21" ht="16.5" customHeight="1">
      <c r="A3475" s="159" t="s">
        <v>2751</v>
      </c>
      <c r="B3475" s="114" t="str">
        <f>VLOOKUP(A3475,'Data pick slip'!B:F,5,FALSE)</f>
        <v>KHJ-MC700-00</v>
      </c>
      <c r="F3475" s="157" t="s">
        <v>1381</v>
      </c>
      <c r="I3475" s="269" t="s">
        <v>3413</v>
      </c>
      <c r="J3475" s="139" t="s">
        <v>3516</v>
      </c>
      <c r="K3475" s="51" t="s">
        <v>1246</v>
      </c>
      <c r="L3475" s="4">
        <v>44692</v>
      </c>
      <c r="M3475" s="321">
        <v>5</v>
      </c>
      <c r="P3475" s="4" t="s">
        <v>291</v>
      </c>
      <c r="Q3475" s="143"/>
      <c r="T3475" s="144"/>
      <c r="U3475" s="145" t="e">
        <f>VLOOKUP(H3475,Stock_list!A:N,14,FALSE)</f>
        <v>#N/A</v>
      </c>
    </row>
    <row r="3476" spans="1:21" ht="16.5" customHeight="1">
      <c r="A3476" s="159" t="s">
        <v>2744</v>
      </c>
      <c r="B3476" s="114" t="str">
        <f>VLOOKUP(A3476,'Data pick slip'!B:F,5,FALSE)</f>
        <v>KHJ-MC100-00</v>
      </c>
      <c r="F3476" s="157" t="s">
        <v>1381</v>
      </c>
      <c r="I3476" s="269" t="s">
        <v>3413</v>
      </c>
      <c r="J3476" s="139" t="s">
        <v>3517</v>
      </c>
      <c r="K3476" s="51" t="s">
        <v>1246</v>
      </c>
      <c r="L3476" s="4">
        <v>44695</v>
      </c>
      <c r="M3476" s="321">
        <v>140</v>
      </c>
      <c r="P3476" s="4" t="s">
        <v>291</v>
      </c>
      <c r="Q3476" s="143"/>
      <c r="T3476" s="144"/>
      <c r="U3476" s="145" t="e">
        <f>VLOOKUP(H3476,Stock_list!A:N,14,FALSE)</f>
        <v>#N/A</v>
      </c>
    </row>
    <row r="3477" spans="1:21" ht="16.5" customHeight="1">
      <c r="A3477" s="159" t="s">
        <v>2747</v>
      </c>
      <c r="B3477" s="114" t="str">
        <f>VLOOKUP(A3477,'Data pick slip'!B:F,5,FALSE)</f>
        <v>KHJ-MC200-00</v>
      </c>
      <c r="F3477" s="157" t="s">
        <v>1381</v>
      </c>
      <c r="I3477" s="269" t="s">
        <v>3413</v>
      </c>
      <c r="J3477" s="139" t="s">
        <v>3517</v>
      </c>
      <c r="K3477" s="51" t="s">
        <v>1246</v>
      </c>
      <c r="L3477" s="4">
        <v>44695</v>
      </c>
      <c r="M3477" s="321">
        <v>36</v>
      </c>
      <c r="P3477" s="4" t="s">
        <v>291</v>
      </c>
      <c r="Q3477" s="143"/>
      <c r="T3477" s="144"/>
      <c r="U3477" s="145" t="e">
        <f>VLOOKUP(H3477,Stock_list!A:N,14,FALSE)</f>
        <v>#N/A</v>
      </c>
    </row>
    <row r="3478" spans="1:21" ht="16.5" customHeight="1">
      <c r="A3478" s="159" t="s">
        <v>2748</v>
      </c>
      <c r="B3478" s="114" t="str">
        <f>VLOOKUP(A3478,'Data pick slip'!B:F,5,FALSE)</f>
        <v>KHJ-MC400-00</v>
      </c>
      <c r="F3478" s="157" t="s">
        <v>1381</v>
      </c>
      <c r="I3478" s="269" t="s">
        <v>3413</v>
      </c>
      <c r="J3478" s="139" t="s">
        <v>3517</v>
      </c>
      <c r="K3478" s="51" t="s">
        <v>1246</v>
      </c>
      <c r="L3478" s="4">
        <v>44695</v>
      </c>
      <c r="M3478" s="321">
        <v>4</v>
      </c>
      <c r="P3478" s="4" t="s">
        <v>291</v>
      </c>
      <c r="Q3478" s="143"/>
      <c r="T3478" s="144"/>
      <c r="U3478" s="145" t="e">
        <f>VLOOKUP(H3478,Stock_list!A:N,14,FALSE)</f>
        <v>#N/A</v>
      </c>
    </row>
    <row r="3479" spans="1:21" ht="16.5" customHeight="1">
      <c r="A3479" s="159" t="s">
        <v>2755</v>
      </c>
      <c r="B3479" s="114" t="str">
        <f>VLOOKUP(A3479,'Data pick slip'!B:F,5,FALSE)</f>
        <v>KLJ-MC100-00</v>
      </c>
      <c r="F3479" s="157" t="s">
        <v>1381</v>
      </c>
      <c r="I3479" s="269" t="s">
        <v>3413</v>
      </c>
      <c r="J3479" s="139" t="s">
        <v>3517</v>
      </c>
      <c r="K3479" s="51" t="s">
        <v>1246</v>
      </c>
      <c r="L3479" s="4">
        <v>44695</v>
      </c>
      <c r="M3479" s="321">
        <v>20</v>
      </c>
      <c r="P3479" s="4" t="s">
        <v>291</v>
      </c>
      <c r="Q3479" s="143"/>
      <c r="T3479" s="144"/>
      <c r="U3479" s="145" t="e">
        <f>VLOOKUP(H3479,Stock_list!A:N,14,FALSE)</f>
        <v>#N/A</v>
      </c>
    </row>
    <row r="3480" spans="1:21" ht="16.5" customHeight="1">
      <c r="A3480" s="159" t="s">
        <v>2744</v>
      </c>
      <c r="B3480" s="114" t="str">
        <f>VLOOKUP(A3480,'Data pick slip'!B:F,5,FALSE)</f>
        <v>KHJ-MC100-00</v>
      </c>
      <c r="F3480" s="157" t="s">
        <v>1381</v>
      </c>
      <c r="I3480" s="269" t="s">
        <v>3413</v>
      </c>
      <c r="J3480" s="139" t="s">
        <v>3518</v>
      </c>
      <c r="K3480" s="51" t="s">
        <v>1246</v>
      </c>
      <c r="L3480" s="4">
        <v>44701</v>
      </c>
      <c r="M3480" s="321">
        <v>180</v>
      </c>
      <c r="P3480" s="4" t="s">
        <v>291</v>
      </c>
      <c r="Q3480" s="143"/>
      <c r="T3480" s="144"/>
      <c r="U3480" s="145" t="e">
        <f>VLOOKUP(H3480,Stock_list!A:N,14,FALSE)</f>
        <v>#N/A</v>
      </c>
    </row>
    <row r="3481" spans="1:21" ht="16.5" customHeight="1">
      <c r="A3481" s="159" t="s">
        <v>2747</v>
      </c>
      <c r="B3481" s="114" t="str">
        <f>VLOOKUP(A3481,'Data pick slip'!B:F,5,FALSE)</f>
        <v>KHJ-MC200-00</v>
      </c>
      <c r="F3481" s="157" t="s">
        <v>1381</v>
      </c>
      <c r="I3481" s="269" t="s">
        <v>3413</v>
      </c>
      <c r="J3481" s="139" t="s">
        <v>3518</v>
      </c>
      <c r="K3481" s="51" t="s">
        <v>1246</v>
      </c>
      <c r="L3481" s="4">
        <v>44701</v>
      </c>
      <c r="M3481" s="321">
        <v>30</v>
      </c>
      <c r="P3481" s="4" t="s">
        <v>291</v>
      </c>
      <c r="Q3481" s="143"/>
      <c r="T3481" s="144"/>
      <c r="U3481" s="145" t="e">
        <f>VLOOKUP(H3481,Stock_list!A:N,14,FALSE)</f>
        <v>#N/A</v>
      </c>
    </row>
    <row r="3482" spans="1:21" ht="16.5" customHeight="1">
      <c r="A3482" s="159" t="s">
        <v>2748</v>
      </c>
      <c r="B3482" s="114" t="str">
        <f>VLOOKUP(A3482,'Data pick slip'!B:F,5,FALSE)</f>
        <v>KHJ-MC400-00</v>
      </c>
      <c r="F3482" s="157" t="s">
        <v>1381</v>
      </c>
      <c r="I3482" s="269" t="s">
        <v>3413</v>
      </c>
      <c r="J3482" s="139" t="s">
        <v>3518</v>
      </c>
      <c r="K3482" s="51" t="s">
        <v>1246</v>
      </c>
      <c r="L3482" s="4">
        <v>44701</v>
      </c>
      <c r="M3482" s="321">
        <v>8</v>
      </c>
      <c r="P3482" s="4" t="s">
        <v>291</v>
      </c>
      <c r="Q3482" s="143"/>
      <c r="T3482" s="144"/>
      <c r="U3482" s="145" t="e">
        <f>VLOOKUP(H3482,Stock_list!A:N,14,FALSE)</f>
        <v>#N/A</v>
      </c>
    </row>
    <row r="3483" spans="1:21" ht="16.5" customHeight="1">
      <c r="A3483" s="159" t="s">
        <v>2750</v>
      </c>
      <c r="B3483" s="114" t="str">
        <f>VLOOKUP(A3483,'Data pick slip'!B:F,5,FALSE)</f>
        <v>KHJ-MC600-00</v>
      </c>
      <c r="F3483" s="157" t="s">
        <v>1381</v>
      </c>
      <c r="I3483" s="269" t="s">
        <v>3413</v>
      </c>
      <c r="J3483" s="139" t="s">
        <v>3518</v>
      </c>
      <c r="K3483" s="51" t="s">
        <v>1246</v>
      </c>
      <c r="L3483" s="4">
        <v>44701</v>
      </c>
      <c r="M3483" s="321">
        <v>10</v>
      </c>
      <c r="P3483" s="4" t="s">
        <v>291</v>
      </c>
      <c r="Q3483" s="143"/>
      <c r="T3483" s="144"/>
      <c r="U3483" s="145" t="e">
        <f>VLOOKUP(H3483,Stock_list!A:N,14,FALSE)</f>
        <v>#N/A</v>
      </c>
    </row>
    <row r="3484" spans="1:21" ht="16.5" customHeight="1">
      <c r="A3484" s="159" t="s">
        <v>2751</v>
      </c>
      <c r="B3484" s="114" t="str">
        <f>VLOOKUP(A3484,'Data pick slip'!B:F,5,FALSE)</f>
        <v>KHJ-MC700-00</v>
      </c>
      <c r="F3484" s="157" t="s">
        <v>1381</v>
      </c>
      <c r="I3484" s="269" t="s">
        <v>3413</v>
      </c>
      <c r="J3484" s="139" t="s">
        <v>3518</v>
      </c>
      <c r="K3484" s="51" t="s">
        <v>1246</v>
      </c>
      <c r="L3484" s="4">
        <v>44701</v>
      </c>
      <c r="M3484" s="171">
        <v>2</v>
      </c>
      <c r="P3484" s="4" t="s">
        <v>291</v>
      </c>
      <c r="Q3484" s="143"/>
      <c r="T3484" s="144"/>
      <c r="U3484" s="145" t="e">
        <f>VLOOKUP(H3484,Stock_list!A:N,14,FALSE)</f>
        <v>#N/A</v>
      </c>
    </row>
    <row r="3485" spans="1:21" ht="16.5" customHeight="1">
      <c r="A3485" s="159" t="s">
        <v>2744</v>
      </c>
      <c r="B3485" s="114" t="str">
        <f>VLOOKUP(A3485,'Data pick slip'!B:F,5,FALSE)</f>
        <v>KHJ-MC100-00</v>
      </c>
      <c r="F3485" s="157" t="s">
        <v>2753</v>
      </c>
      <c r="I3485" s="139" t="s">
        <v>3105</v>
      </c>
      <c r="J3485" s="139" t="s">
        <v>3519</v>
      </c>
      <c r="K3485" s="51" t="s">
        <v>1246</v>
      </c>
      <c r="L3485" s="4">
        <v>44705</v>
      </c>
      <c r="M3485" s="140">
        <v>350</v>
      </c>
      <c r="P3485" s="4" t="s">
        <v>291</v>
      </c>
      <c r="Q3485" s="143"/>
      <c r="T3485" s="144"/>
      <c r="U3485" s="145" t="e">
        <f>VLOOKUP(H3485,Stock_list!A:N,14,FALSE)</f>
        <v>#N/A</v>
      </c>
    </row>
    <row r="3486" spans="1:21" ht="16.5" customHeight="1">
      <c r="A3486" s="159" t="s">
        <v>2747</v>
      </c>
      <c r="B3486" s="114" t="str">
        <f>VLOOKUP(A3486,'Data pick slip'!B:F,5,FALSE)</f>
        <v>KHJ-MC200-00</v>
      </c>
      <c r="F3486" s="157" t="s">
        <v>2753</v>
      </c>
      <c r="I3486" s="139" t="s">
        <v>3105</v>
      </c>
      <c r="J3486" s="139" t="s">
        <v>3519</v>
      </c>
      <c r="K3486" s="51" t="s">
        <v>1246</v>
      </c>
      <c r="L3486" s="4">
        <v>44705</v>
      </c>
      <c r="M3486" s="140">
        <v>180</v>
      </c>
      <c r="P3486" s="4" t="s">
        <v>291</v>
      </c>
      <c r="Q3486" s="143"/>
      <c r="T3486" s="144"/>
      <c r="U3486" s="145" t="e">
        <f>VLOOKUP(H3486,Stock_list!A:N,14,FALSE)</f>
        <v>#N/A</v>
      </c>
    </row>
    <row r="3487" spans="1:21" ht="16.5" customHeight="1">
      <c r="A3487" s="159" t="s">
        <v>2748</v>
      </c>
      <c r="B3487" s="114" t="str">
        <f>VLOOKUP(A3487,'Data pick slip'!B:F,5,FALSE)</f>
        <v>KHJ-MC400-00</v>
      </c>
      <c r="F3487" s="157" t="s">
        <v>2753</v>
      </c>
      <c r="I3487" s="139" t="s">
        <v>3105</v>
      </c>
      <c r="J3487" s="139" t="s">
        <v>3519</v>
      </c>
      <c r="K3487" s="51" t="s">
        <v>1246</v>
      </c>
      <c r="L3487" s="4">
        <v>44705</v>
      </c>
      <c r="M3487" s="140">
        <v>30</v>
      </c>
      <c r="P3487" s="4" t="s">
        <v>291</v>
      </c>
      <c r="Q3487" s="143"/>
      <c r="T3487" s="144"/>
      <c r="U3487" s="145" t="e">
        <f>VLOOKUP(H3487,Stock_list!A:N,14,FALSE)</f>
        <v>#N/A</v>
      </c>
    </row>
    <row r="3488" spans="1:21" ht="16.5" customHeight="1">
      <c r="A3488" s="159" t="s">
        <v>2749</v>
      </c>
      <c r="B3488" s="114" t="str">
        <f>VLOOKUP(A3488,'Data pick slip'!B:F,5,FALSE)</f>
        <v>KHJ-MC500-00</v>
      </c>
      <c r="F3488" s="157" t="s">
        <v>2753</v>
      </c>
      <c r="I3488" s="139" t="s">
        <v>3105</v>
      </c>
      <c r="J3488" s="139" t="s">
        <v>3519</v>
      </c>
      <c r="K3488" s="51" t="s">
        <v>1246</v>
      </c>
      <c r="L3488" s="4">
        <v>44705</v>
      </c>
      <c r="M3488" s="140">
        <v>25</v>
      </c>
      <c r="P3488" s="4" t="s">
        <v>291</v>
      </c>
      <c r="Q3488" s="143"/>
      <c r="T3488" s="144"/>
      <c r="U3488" s="145" t="e">
        <f>VLOOKUP(H3488,Stock_list!A:N,14,FALSE)</f>
        <v>#N/A</v>
      </c>
    </row>
    <row r="3489" spans="1:21" ht="16.5" customHeight="1">
      <c r="A3489" s="159" t="s">
        <v>2750</v>
      </c>
      <c r="B3489" s="114" t="str">
        <f>VLOOKUP(A3489,'Data pick slip'!B:F,5,FALSE)</f>
        <v>KHJ-MC600-00</v>
      </c>
      <c r="F3489" s="157" t="s">
        <v>2753</v>
      </c>
      <c r="I3489" s="139" t="s">
        <v>3105</v>
      </c>
      <c r="J3489" s="139" t="s">
        <v>3519</v>
      </c>
      <c r="K3489" s="51" t="s">
        <v>1246</v>
      </c>
      <c r="L3489" s="4">
        <v>44705</v>
      </c>
      <c r="M3489" s="140">
        <v>15</v>
      </c>
      <c r="P3489" s="4" t="s">
        <v>291</v>
      </c>
      <c r="Q3489" s="143"/>
      <c r="T3489" s="144"/>
      <c r="U3489" s="145" t="e">
        <f>VLOOKUP(H3489,Stock_list!A:N,14,FALSE)</f>
        <v>#N/A</v>
      </c>
    </row>
    <row r="3490" spans="1:21" ht="16.5" customHeight="1">
      <c r="A3490" s="159" t="s">
        <v>2751</v>
      </c>
      <c r="B3490" s="114" t="str">
        <f>VLOOKUP(A3490,'Data pick slip'!B:F,5,FALSE)</f>
        <v>KHJ-MC700-00</v>
      </c>
      <c r="F3490" s="157" t="s">
        <v>2753</v>
      </c>
      <c r="I3490" s="139" t="s">
        <v>3105</v>
      </c>
      <c r="J3490" s="139" t="s">
        <v>3519</v>
      </c>
      <c r="K3490" s="51" t="s">
        <v>1246</v>
      </c>
      <c r="L3490" s="4">
        <v>44705</v>
      </c>
      <c r="M3490" s="140">
        <v>5</v>
      </c>
      <c r="P3490" s="4" t="s">
        <v>291</v>
      </c>
      <c r="Q3490" s="143"/>
      <c r="T3490" s="144"/>
      <c r="U3490" s="145" t="e">
        <f>VLOOKUP(H3490,Stock_list!A:N,14,FALSE)</f>
        <v>#N/A</v>
      </c>
    </row>
    <row r="3491" spans="1:21" ht="16.5" customHeight="1">
      <c r="A3491" s="159" t="s">
        <v>2756</v>
      </c>
      <c r="B3491" s="114" t="str">
        <f>VLOOKUP(A3491,'Data pick slip'!B:F,5,FALSE)</f>
        <v>KLJ-MC200-00</v>
      </c>
      <c r="F3491" s="157" t="s">
        <v>2753</v>
      </c>
      <c r="I3491" s="139" t="s">
        <v>3105</v>
      </c>
      <c r="J3491" s="139" t="s">
        <v>3519</v>
      </c>
      <c r="K3491" s="51" t="s">
        <v>1246</v>
      </c>
      <c r="L3491" s="4">
        <v>44705</v>
      </c>
      <c r="M3491" s="140">
        <v>10</v>
      </c>
      <c r="P3491" s="4" t="s">
        <v>291</v>
      </c>
      <c r="Q3491" s="143"/>
      <c r="T3491" s="144"/>
      <c r="U3491" s="145" t="e">
        <f>VLOOKUP(H3491,Stock_list!A:N,14,FALSE)</f>
        <v>#N/A</v>
      </c>
    </row>
    <row r="3492" spans="1:21" ht="16.5" customHeight="1">
      <c r="A3492" s="159" t="s">
        <v>2744</v>
      </c>
      <c r="B3492" s="114" t="str">
        <f>VLOOKUP(A3492,'Data pick slip'!B:F,5,FALSE)</f>
        <v>KHJ-MC100-00</v>
      </c>
      <c r="F3492" s="157" t="s">
        <v>1381</v>
      </c>
      <c r="H3492" s="138">
        <v>1672</v>
      </c>
      <c r="I3492" s="139" t="str">
        <f>VLOOKUP(H3492,Stock_list!A:R,18,FALSE)</f>
        <v>方案集</v>
      </c>
      <c r="J3492" s="139" t="str">
        <f>VLOOKUP(H3492,Stock_list!A:S,17,FALSE)</f>
        <v>C49SZX20220060DZ</v>
      </c>
      <c r="K3492" s="51" t="str">
        <f>VLOOKUP(H3492,Stock_list!A:T,16,FALSE)</f>
        <v>JPY</v>
      </c>
      <c r="L3492" s="4">
        <v>44755</v>
      </c>
      <c r="M3492" s="143">
        <v>60</v>
      </c>
      <c r="P3492" s="4" t="str">
        <f>VLOOKUP(H3492,Stock_list!A:Y,25,FALSE)</f>
        <v>Yes</v>
      </c>
      <c r="T3492" s="144"/>
      <c r="U3492" s="145" t="str">
        <f>VLOOKUP(H3492,Stock_list!A:N,14,FALSE)</f>
        <v>JUL 22</v>
      </c>
    </row>
    <row r="3493" spans="1:21" ht="16.5" customHeight="1">
      <c r="A3493" s="159" t="s">
        <v>2747</v>
      </c>
      <c r="B3493" s="114" t="str">
        <f>VLOOKUP(A3493,'Data pick slip'!B:F,5,FALSE)</f>
        <v>KHJ-MC200-00</v>
      </c>
      <c r="F3493" s="157" t="s">
        <v>1381</v>
      </c>
      <c r="H3493" s="138">
        <v>1672</v>
      </c>
      <c r="I3493" s="139" t="str">
        <f>VLOOKUP(H3493,Stock_list!A:R,18,FALSE)</f>
        <v>方案集</v>
      </c>
      <c r="J3493" s="139" t="str">
        <f>VLOOKUP(H3493,Stock_list!A:S,17,FALSE)</f>
        <v>C49SZX20220060DZ</v>
      </c>
      <c r="K3493" s="51" t="str">
        <f>VLOOKUP(H3493,Stock_list!A:T,16,FALSE)</f>
        <v>JPY</v>
      </c>
      <c r="L3493" s="4">
        <v>44755</v>
      </c>
      <c r="M3493" s="143">
        <v>5</v>
      </c>
      <c r="P3493" s="4" t="str">
        <f>VLOOKUP(H3493,Stock_list!A:Y,25,FALSE)</f>
        <v>Yes</v>
      </c>
      <c r="T3493" s="144"/>
      <c r="U3493" s="145" t="str">
        <f>VLOOKUP(H3493,Stock_list!A:N,14,FALSE)</f>
        <v>JUL 22</v>
      </c>
    </row>
    <row r="3494" spans="1:21" ht="16.5" customHeight="1">
      <c r="A3494" s="159" t="s">
        <v>2748</v>
      </c>
      <c r="B3494" s="114" t="str">
        <f>VLOOKUP(A3494,'Data pick slip'!B:F,5,FALSE)</f>
        <v>KHJ-MC400-00</v>
      </c>
      <c r="F3494" s="157" t="s">
        <v>1381</v>
      </c>
      <c r="H3494" s="138">
        <v>1672</v>
      </c>
      <c r="I3494" s="139" t="str">
        <f>VLOOKUP(H3494,Stock_list!A:R,18,FALSE)</f>
        <v>方案集</v>
      </c>
      <c r="J3494" s="139" t="str">
        <f>VLOOKUP(H3494,Stock_list!A:S,17,FALSE)</f>
        <v>C49SZX20220060DZ</v>
      </c>
      <c r="K3494" s="51" t="str">
        <f>VLOOKUP(H3494,Stock_list!A:T,16,FALSE)</f>
        <v>JPY</v>
      </c>
      <c r="L3494" s="4">
        <v>44755</v>
      </c>
      <c r="M3494" s="143">
        <v>4</v>
      </c>
      <c r="P3494" s="4" t="str">
        <f>VLOOKUP(H3494,Stock_list!A:Y,25,FALSE)</f>
        <v>Yes</v>
      </c>
      <c r="T3494" s="144"/>
      <c r="U3494" s="145" t="str">
        <f>VLOOKUP(H3494,Stock_list!A:N,14,FALSE)</f>
        <v>JUL 22</v>
      </c>
    </row>
    <row r="3495" spans="1:21" ht="16.5" customHeight="1">
      <c r="A3495" s="159" t="s">
        <v>2744</v>
      </c>
      <c r="B3495" s="114" t="str">
        <f>VLOOKUP(A3495,'Data pick slip'!B:F,5,FALSE)</f>
        <v>KHJ-MC100-00</v>
      </c>
      <c r="F3495" s="157" t="s">
        <v>2753</v>
      </c>
      <c r="H3495" s="138">
        <v>1674</v>
      </c>
      <c r="I3495" s="139" t="str">
        <f>VLOOKUP(H3495,Stock_list!A:R,18,FALSE)</f>
        <v>世启纳</v>
      </c>
      <c r="J3495" s="139" t="str">
        <f>VLOOKUP(H3495,Stock_list!A:S,17,FALSE)</f>
        <v>C49SZX20220062SS</v>
      </c>
      <c r="K3495" s="51" t="str">
        <f>VLOOKUP(H3495,Stock_list!A:T,16,FALSE)</f>
        <v>RMB</v>
      </c>
      <c r="L3495" s="4">
        <v>44732</v>
      </c>
      <c r="M3495" s="140">
        <v>22</v>
      </c>
      <c r="P3495" s="4" t="str">
        <f>VLOOKUP(H3495,Stock_list!A:Y,25,FALSE)</f>
        <v>Yes</v>
      </c>
      <c r="Q3495" s="143"/>
      <c r="T3495" s="144"/>
      <c r="U3495" s="145" t="str">
        <f>VLOOKUP(H3495,Stock_list!A:N,14,FALSE)</f>
        <v>JUN 22</v>
      </c>
    </row>
    <row r="3496" spans="1:21" ht="16.5" customHeight="1">
      <c r="A3496" s="159" t="s">
        <v>2744</v>
      </c>
      <c r="B3496" s="114" t="str">
        <f>VLOOKUP(A3496,'Data pick slip'!B:F,5,FALSE)</f>
        <v>KHJ-MC100-00</v>
      </c>
      <c r="F3496" s="157" t="s">
        <v>1381</v>
      </c>
      <c r="H3496" s="138">
        <v>1675</v>
      </c>
      <c r="I3496" s="139" t="str">
        <f>VLOOKUP(H3496,Stock_list!A:R,18,FALSE)</f>
        <v>朗迅</v>
      </c>
      <c r="J3496" s="139" t="str">
        <f>VLOOKUP(H3496,Stock_list!A:S,17,FALSE)</f>
        <v>C49SZX20220059DY</v>
      </c>
      <c r="K3496" s="51" t="str">
        <f>VLOOKUP(H3496,Stock_list!A:T,16,FALSE)</f>
        <v>JPY</v>
      </c>
      <c r="L3496" s="4">
        <v>44804</v>
      </c>
      <c r="M3496" s="140">
        <v>46</v>
      </c>
      <c r="P3496" s="4" t="str">
        <f>VLOOKUP(H3496,Stock_list!A:Y,25,FALSE)</f>
        <v>Yes</v>
      </c>
      <c r="Q3496" s="143"/>
      <c r="T3496" s="144"/>
      <c r="U3496" s="145" t="str">
        <f>VLOOKUP(H3496,Stock_list!A:N,14,FALSE)</f>
        <v>AUG 22</v>
      </c>
    </row>
    <row r="3497" spans="1:21" ht="16.5" customHeight="1">
      <c r="A3497" s="159" t="s">
        <v>2747</v>
      </c>
      <c r="B3497" s="114" t="str">
        <f>VLOOKUP(A3497,'Data pick slip'!B:F,5,FALSE)</f>
        <v>KHJ-MC200-00</v>
      </c>
      <c r="F3497" s="157" t="s">
        <v>1381</v>
      </c>
      <c r="H3497" s="138">
        <v>1675</v>
      </c>
      <c r="I3497" s="139" t="str">
        <f>VLOOKUP(H3497,Stock_list!A:R,18,FALSE)</f>
        <v>朗迅</v>
      </c>
      <c r="J3497" s="139" t="str">
        <f>VLOOKUP(H3497,Stock_list!A:S,17,FALSE)</f>
        <v>C49SZX20220059DY</v>
      </c>
      <c r="K3497" s="51" t="str">
        <f>VLOOKUP(H3497,Stock_list!A:T,16,FALSE)</f>
        <v>JPY</v>
      </c>
      <c r="L3497" s="4">
        <v>44804</v>
      </c>
      <c r="M3497" s="140">
        <v>25</v>
      </c>
      <c r="P3497" s="4" t="str">
        <f>VLOOKUP(H3497,Stock_list!A:Y,25,FALSE)</f>
        <v>Yes</v>
      </c>
      <c r="Q3497" s="143"/>
      <c r="T3497" s="144"/>
      <c r="U3497" s="145" t="str">
        <f>VLOOKUP(H3497,Stock_list!A:N,14,FALSE)</f>
        <v>AUG 22</v>
      </c>
    </row>
    <row r="3498" spans="1:21" ht="16.5" customHeight="1">
      <c r="A3498" s="159" t="s">
        <v>2744</v>
      </c>
      <c r="B3498" s="114" t="str">
        <f>VLOOKUP(A3498,'Data pick slip'!B:F,5,FALSE)</f>
        <v>KHJ-MC100-00</v>
      </c>
      <c r="F3498" s="157" t="s">
        <v>2753</v>
      </c>
      <c r="H3498" s="138">
        <v>1677</v>
      </c>
      <c r="I3498" s="139" t="str">
        <f>VLOOKUP(H3498,Stock_list!A:R,18,FALSE)</f>
        <v>思迈</v>
      </c>
      <c r="J3498" s="139" t="str">
        <f>VLOOKUP(H3498,Stock_list!A:S,17,FALSE)</f>
        <v>C49SZX202200066SS</v>
      </c>
      <c r="K3498" s="51" t="str">
        <f>VLOOKUP(H3498,Stock_list!A:T,16,FALSE)</f>
        <v>RMB</v>
      </c>
      <c r="L3498" s="4">
        <v>44733</v>
      </c>
      <c r="M3498" s="140">
        <v>2</v>
      </c>
      <c r="P3498" s="4" t="str">
        <f>VLOOKUP(H3498,Stock_list!A:Y,25,FALSE)</f>
        <v>Yes</v>
      </c>
      <c r="Q3498" s="143"/>
      <c r="T3498" s="144"/>
      <c r="U3498" s="145" t="str">
        <f>VLOOKUP(H3498,Stock_list!A:N,14,FALSE)</f>
        <v>JUN 22</v>
      </c>
    </row>
    <row r="3499" spans="1:21" ht="16.5" customHeight="1">
      <c r="A3499" s="159" t="s">
        <v>2744</v>
      </c>
      <c r="B3499" s="114" t="str">
        <f>VLOOKUP(A3499,'Data pick slip'!B:F,5,FALSE)</f>
        <v>KHJ-MC100-00</v>
      </c>
      <c r="F3499" s="157" t="s">
        <v>2753</v>
      </c>
      <c r="H3499" s="138">
        <v>1678</v>
      </c>
      <c r="I3499" s="139" t="str">
        <f>VLOOKUP(H3499,Stock_list!A:R,18,FALSE)</f>
        <v>正讯</v>
      </c>
      <c r="J3499" s="139" t="str">
        <f>VLOOKUP(H3499,Stock_list!A:S,17,FALSE)</f>
        <v>C49SZX20220065SX</v>
      </c>
      <c r="K3499" s="51" t="str">
        <f>VLOOKUP(H3499,Stock_list!A:T,16,FALSE)</f>
        <v>RMB</v>
      </c>
      <c r="L3499" s="4">
        <v>44725</v>
      </c>
      <c r="M3499" s="140">
        <v>70</v>
      </c>
      <c r="P3499" s="4" t="str">
        <f>VLOOKUP(H3499,Stock_list!A:Y,25,FALSE)</f>
        <v>Yes</v>
      </c>
      <c r="Q3499" s="143"/>
      <c r="T3499" s="144"/>
      <c r="U3499" s="145" t="str">
        <f>VLOOKUP(H3499,Stock_list!A:N,14,FALSE)</f>
        <v>JUN 22</v>
      </c>
    </row>
    <row r="3500" spans="1:21" ht="16.5" customHeight="1">
      <c r="A3500" s="159" t="s">
        <v>2748</v>
      </c>
      <c r="B3500" s="114" t="str">
        <f>VLOOKUP(A3500,'Data pick slip'!B:F,5,FALSE)</f>
        <v>KHJ-MC400-00</v>
      </c>
      <c r="F3500" s="157" t="s">
        <v>2753</v>
      </c>
      <c r="H3500" s="138">
        <v>1678</v>
      </c>
      <c r="I3500" s="139" t="str">
        <f>VLOOKUP(H3500,Stock_list!A:R,18,FALSE)</f>
        <v>正讯</v>
      </c>
      <c r="J3500" s="139" t="str">
        <f>VLOOKUP(H3500,Stock_list!A:S,17,FALSE)</f>
        <v>C49SZX20220065SX</v>
      </c>
      <c r="K3500" s="51" t="str">
        <f>VLOOKUP(H3500,Stock_list!A:T,16,FALSE)</f>
        <v>RMB</v>
      </c>
      <c r="L3500" s="4">
        <v>44725</v>
      </c>
      <c r="M3500" s="140">
        <v>5</v>
      </c>
      <c r="P3500" s="4" t="str">
        <f>VLOOKUP(H3500,Stock_list!A:Y,25,FALSE)</f>
        <v>Yes</v>
      </c>
      <c r="Q3500" s="143"/>
      <c r="T3500" s="144"/>
      <c r="U3500" s="145" t="str">
        <f>VLOOKUP(H3500,Stock_list!A:N,14,FALSE)</f>
        <v>JUN 22</v>
      </c>
    </row>
    <row r="3501" spans="1:21" ht="16.5" customHeight="1">
      <c r="A3501" s="159" t="s">
        <v>2744</v>
      </c>
      <c r="B3501" s="114" t="str">
        <f>VLOOKUP(A3501,'Data pick slip'!B:F,5,FALSE)</f>
        <v>KHJ-MC100-00</v>
      </c>
      <c r="F3501" s="157" t="s">
        <v>2753</v>
      </c>
      <c r="H3501" s="138">
        <v>1680</v>
      </c>
      <c r="I3501" s="139" t="str">
        <f>VLOOKUP(H3501,Stock_list!A:R,18,FALSE)</f>
        <v>湘浩</v>
      </c>
      <c r="J3501" s="139" t="str">
        <f>VLOOKUP(H3501,Stock_list!A:S,17,FALSE)</f>
        <v>C49SZX20220067SQ</v>
      </c>
      <c r="K3501" s="51" t="str">
        <f>VLOOKUP(H3501,Stock_list!A:T,16,FALSE)</f>
        <v>RMB</v>
      </c>
      <c r="L3501" s="4">
        <v>44757</v>
      </c>
      <c r="M3501" s="132">
        <v>25</v>
      </c>
      <c r="P3501" s="4" t="str">
        <f>VLOOKUP(H3501,Stock_list!A:Y,25,FALSE)</f>
        <v>Yes</v>
      </c>
      <c r="Q3501" s="143"/>
      <c r="T3501" s="144"/>
      <c r="U3501" s="145" t="str">
        <f>VLOOKUP(H3501,Stock_list!A:N,14,FALSE)</f>
        <v>JUL 22</v>
      </c>
    </row>
    <row r="3502" spans="1:21" ht="16.5" customHeight="1">
      <c r="A3502" s="159" t="s">
        <v>2747</v>
      </c>
      <c r="B3502" s="114" t="str">
        <f>VLOOKUP(A3502,'Data pick slip'!B:F,5,FALSE)</f>
        <v>KHJ-MC200-00</v>
      </c>
      <c r="F3502" s="157" t="s">
        <v>2753</v>
      </c>
      <c r="H3502" s="138">
        <v>1680</v>
      </c>
      <c r="I3502" s="139" t="str">
        <f>VLOOKUP(H3502,Stock_list!A:R,18,FALSE)</f>
        <v>湘浩</v>
      </c>
      <c r="J3502" s="139" t="str">
        <f>VLOOKUP(H3502,Stock_list!A:S,17,FALSE)</f>
        <v>C49SZX20220067SQ</v>
      </c>
      <c r="K3502" s="51" t="str">
        <f>VLOOKUP(H3502,Stock_list!A:T,16,FALSE)</f>
        <v>RMB</v>
      </c>
      <c r="L3502" s="4">
        <v>44757</v>
      </c>
      <c r="M3502" s="132">
        <v>12</v>
      </c>
      <c r="P3502" s="4" t="str">
        <f>VLOOKUP(H3502,Stock_list!A:Y,25,FALSE)</f>
        <v>Yes</v>
      </c>
      <c r="Q3502" s="143"/>
      <c r="T3502" s="144"/>
      <c r="U3502" s="145" t="str">
        <f>VLOOKUP(H3502,Stock_list!A:N,14,FALSE)</f>
        <v>JUL 22</v>
      </c>
    </row>
    <row r="3503" spans="1:21" ht="16.5" customHeight="1">
      <c r="A3503" s="159" t="s">
        <v>2744</v>
      </c>
      <c r="B3503" s="114" t="str">
        <f>VLOOKUP(A3503,'Data pick slip'!B:F,5,FALSE)</f>
        <v>KHJ-MC100-00</v>
      </c>
      <c r="F3503" s="157" t="s">
        <v>2762</v>
      </c>
      <c r="H3503" s="138">
        <v>1681</v>
      </c>
      <c r="I3503" s="139" t="e">
        <f>VLOOKUP(H3503,Stock_list!A:R,18,FALSE)</f>
        <v>#N/A</v>
      </c>
      <c r="J3503" s="139" t="e">
        <f>VLOOKUP(H3503,Stock_list!A:S,17,FALSE)</f>
        <v>#N/A</v>
      </c>
      <c r="K3503" s="51" t="e">
        <f>VLOOKUP(H3503,Stock_list!A:T,16,FALSE)</f>
        <v>#N/A</v>
      </c>
      <c r="L3503" s="4"/>
      <c r="P3503" s="4" t="e">
        <f>VLOOKUP(H3503,Stock_list!A:Y,25,FALSE)</f>
        <v>#N/A</v>
      </c>
      <c r="Q3503" s="143">
        <v>30</v>
      </c>
      <c r="T3503" s="144"/>
      <c r="U3503" s="145" t="e">
        <f>VLOOKUP(H3503,Stock_list!A:N,14,FALSE)</f>
        <v>#N/A</v>
      </c>
    </row>
    <row r="3504" spans="1:21" ht="16.5" customHeight="1">
      <c r="A3504" s="159" t="s">
        <v>2747</v>
      </c>
      <c r="B3504" s="114" t="str">
        <f>VLOOKUP(A3504,'Data pick slip'!B:F,5,FALSE)</f>
        <v>KHJ-MC200-00</v>
      </c>
      <c r="F3504" s="157" t="s">
        <v>2762</v>
      </c>
      <c r="H3504" s="138">
        <v>1681</v>
      </c>
      <c r="I3504" s="139" t="e">
        <f>VLOOKUP(H3504,Stock_list!A:R,18,FALSE)</f>
        <v>#N/A</v>
      </c>
      <c r="J3504" s="139" t="e">
        <f>VLOOKUP(H3504,Stock_list!A:S,17,FALSE)</f>
        <v>#N/A</v>
      </c>
      <c r="K3504" s="51" t="e">
        <f>VLOOKUP(H3504,Stock_list!A:T,16,FALSE)</f>
        <v>#N/A</v>
      </c>
      <c r="L3504" s="4"/>
      <c r="P3504" s="4" t="e">
        <f>VLOOKUP(H3504,Stock_list!A:Y,25,FALSE)</f>
        <v>#N/A</v>
      </c>
      <c r="Q3504" s="143">
        <v>15</v>
      </c>
      <c r="T3504" s="144"/>
      <c r="U3504" s="145" t="e">
        <f>VLOOKUP(H3504,Stock_list!A:N,14,FALSE)</f>
        <v>#N/A</v>
      </c>
    </row>
    <row r="3505" spans="1:21" ht="16.5" customHeight="1">
      <c r="A3505" s="159" t="s">
        <v>2748</v>
      </c>
      <c r="B3505" s="114" t="str">
        <f>VLOOKUP(A3505,'Data pick slip'!B:F,5,FALSE)</f>
        <v>KHJ-MC400-00</v>
      </c>
      <c r="F3505" s="157" t="s">
        <v>2762</v>
      </c>
      <c r="H3505" s="138">
        <v>1681</v>
      </c>
      <c r="I3505" s="139" t="e">
        <f>VLOOKUP(H3505,Stock_list!A:R,18,FALSE)</f>
        <v>#N/A</v>
      </c>
      <c r="J3505" s="139" t="e">
        <f>VLOOKUP(H3505,Stock_list!A:S,17,FALSE)</f>
        <v>#N/A</v>
      </c>
      <c r="K3505" s="51" t="e">
        <f>VLOOKUP(H3505,Stock_list!A:T,16,FALSE)</f>
        <v>#N/A</v>
      </c>
      <c r="L3505" s="4"/>
      <c r="P3505" s="4" t="e">
        <f>VLOOKUP(H3505,Stock_list!A:Y,25,FALSE)</f>
        <v>#N/A</v>
      </c>
      <c r="Q3505" s="143">
        <v>3</v>
      </c>
      <c r="T3505" s="144"/>
      <c r="U3505" s="145" t="e">
        <f>VLOOKUP(H3505,Stock_list!A:N,14,FALSE)</f>
        <v>#N/A</v>
      </c>
    </row>
    <row r="3506" spans="1:21" ht="16.5" customHeight="1">
      <c r="A3506" s="159" t="s">
        <v>2748</v>
      </c>
      <c r="B3506" s="114" t="str">
        <f>VLOOKUP(A3506,'Data pick slip'!B:F,5,FALSE)</f>
        <v>KHJ-MC400-00</v>
      </c>
      <c r="F3506" s="157" t="s">
        <v>2773</v>
      </c>
      <c r="H3506" s="138">
        <v>1683</v>
      </c>
      <c r="I3506" s="139" t="str">
        <f>VLOOKUP(H3506,Stock_list!A:R,18,FALSE)</f>
        <v>芯联鑫</v>
      </c>
      <c r="J3506" s="139" t="str">
        <f>VLOOKUP(H3506,Stock_list!A:S,17,FALSE)</f>
        <v>C49SZX20220063JY</v>
      </c>
      <c r="K3506" s="51" t="str">
        <f>VLOOKUP(H3506,Stock_list!A:T,16,FALSE)</f>
        <v>RMB</v>
      </c>
      <c r="L3506" s="4">
        <v>44741</v>
      </c>
      <c r="M3506" s="140">
        <v>3</v>
      </c>
      <c r="P3506" s="4" t="str">
        <f>VLOOKUP(H3506,Stock_list!A:Y,25,FALSE)</f>
        <v>Yes</v>
      </c>
      <c r="Q3506" s="143"/>
      <c r="T3506" s="144"/>
      <c r="U3506" s="145" t="str">
        <f>VLOOKUP(H3506,Stock_list!A:N,14,FALSE)</f>
        <v>JUN 22</v>
      </c>
    </row>
    <row r="3507" spans="1:21" ht="16.5" customHeight="1">
      <c r="A3507" s="159" t="s">
        <v>2744</v>
      </c>
      <c r="B3507" s="114" t="str">
        <f>VLOOKUP(A3507,'Data pick slip'!B:F,5,FALSE)</f>
        <v>KHJ-MC100-00</v>
      </c>
      <c r="F3507" s="157" t="s">
        <v>2773</v>
      </c>
      <c r="H3507" s="138">
        <v>1683</v>
      </c>
      <c r="I3507" s="139" t="str">
        <f>VLOOKUP(H3507,Stock_list!A:R,18,FALSE)</f>
        <v>芯联鑫</v>
      </c>
      <c r="J3507" s="139" t="str">
        <f>VLOOKUP(H3507,Stock_list!A:S,17,FALSE)</f>
        <v>C49SZX20220063JY</v>
      </c>
      <c r="K3507" s="51" t="str">
        <f>VLOOKUP(H3507,Stock_list!A:T,16,FALSE)</f>
        <v>RMB</v>
      </c>
      <c r="L3507" s="4">
        <v>44741</v>
      </c>
      <c r="M3507" s="140">
        <v>6</v>
      </c>
      <c r="P3507" s="4" t="str">
        <f>VLOOKUP(H3507,Stock_list!A:Y,25,FALSE)</f>
        <v>Yes</v>
      </c>
      <c r="Q3507" s="143"/>
      <c r="T3507" s="144"/>
      <c r="U3507" s="145" t="str">
        <f>VLOOKUP(H3507,Stock_list!A:N,14,FALSE)</f>
        <v>JUN 22</v>
      </c>
    </row>
    <row r="3508" spans="1:21" ht="16.5" customHeight="1">
      <c r="A3508" s="159" t="s">
        <v>2748</v>
      </c>
      <c r="B3508" s="114" t="str">
        <f>VLOOKUP(A3508,'Data pick slip'!B:F,5,FALSE)</f>
        <v>KHJ-MC400-00</v>
      </c>
      <c r="F3508" s="157" t="s">
        <v>1381</v>
      </c>
      <c r="I3508" s="139" t="s">
        <v>2853</v>
      </c>
      <c r="J3508" s="270" t="s">
        <v>3520</v>
      </c>
      <c r="K3508" s="51" t="s">
        <v>3002</v>
      </c>
      <c r="L3508" s="4">
        <v>44727</v>
      </c>
      <c r="M3508" s="140">
        <v>2</v>
      </c>
      <c r="P3508" s="4" t="s">
        <v>291</v>
      </c>
      <c r="Q3508" s="143"/>
      <c r="T3508" s="144"/>
      <c r="U3508" s="145" t="e">
        <f>VLOOKUP(H3508,Stock_list!A:N,14,FALSE)</f>
        <v>#N/A</v>
      </c>
    </row>
    <row r="3509" spans="1:21" ht="16.5" customHeight="1">
      <c r="A3509" s="159" t="s">
        <v>2744</v>
      </c>
      <c r="B3509" s="114" t="str">
        <f>VLOOKUP(A3509,'Data pick slip'!B:F,5,FALSE)</f>
        <v>KHJ-MC100-00</v>
      </c>
      <c r="F3509" s="157" t="s">
        <v>1381</v>
      </c>
      <c r="I3509" s="269" t="s">
        <v>3413</v>
      </c>
      <c r="J3509" s="139" t="s">
        <v>3521</v>
      </c>
      <c r="K3509" s="51" t="s">
        <v>1246</v>
      </c>
      <c r="L3509" s="4">
        <v>44720</v>
      </c>
      <c r="M3509" s="140">
        <v>320</v>
      </c>
      <c r="P3509" s="4" t="s">
        <v>291</v>
      </c>
      <c r="Q3509" s="143"/>
      <c r="T3509" s="144"/>
      <c r="U3509" s="145" t="e">
        <f>VLOOKUP(H3509,Stock_list!A:N,14,FALSE)</f>
        <v>#N/A</v>
      </c>
    </row>
    <row r="3510" spans="1:21" ht="16.5" customHeight="1">
      <c r="A3510" s="159" t="s">
        <v>2747</v>
      </c>
      <c r="B3510" s="114" t="str">
        <f>VLOOKUP(A3510,'Data pick slip'!B:F,5,FALSE)</f>
        <v>KHJ-MC200-00</v>
      </c>
      <c r="F3510" s="157" t="s">
        <v>1381</v>
      </c>
      <c r="I3510" s="269" t="s">
        <v>3413</v>
      </c>
      <c r="J3510" s="139" t="s">
        <v>3521</v>
      </c>
      <c r="K3510" s="51" t="s">
        <v>1246</v>
      </c>
      <c r="L3510" s="4">
        <v>44720</v>
      </c>
      <c r="M3510" s="140">
        <v>80</v>
      </c>
      <c r="P3510" s="4" t="s">
        <v>291</v>
      </c>
      <c r="Q3510" s="143"/>
      <c r="T3510" s="144"/>
      <c r="U3510" s="145" t="e">
        <f>VLOOKUP(H3510,Stock_list!A:N,14,FALSE)</f>
        <v>#N/A</v>
      </c>
    </row>
    <row r="3511" spans="1:21" ht="16.5" customHeight="1">
      <c r="A3511" s="159" t="s">
        <v>2748</v>
      </c>
      <c r="B3511" s="114" t="str">
        <f>VLOOKUP(A3511,'Data pick slip'!B:F,5,FALSE)</f>
        <v>KHJ-MC400-00</v>
      </c>
      <c r="F3511" s="157" t="s">
        <v>1381</v>
      </c>
      <c r="I3511" s="269" t="s">
        <v>3413</v>
      </c>
      <c r="J3511" s="139" t="s">
        <v>3521</v>
      </c>
      <c r="K3511" s="51" t="s">
        <v>1246</v>
      </c>
      <c r="L3511" s="4">
        <v>44720</v>
      </c>
      <c r="M3511" s="140">
        <v>20</v>
      </c>
      <c r="P3511" s="4" t="s">
        <v>291</v>
      </c>
      <c r="Q3511" s="143"/>
      <c r="T3511" s="144"/>
      <c r="U3511" s="145" t="e">
        <f>VLOOKUP(H3511,Stock_list!A:N,14,FALSE)</f>
        <v>#N/A</v>
      </c>
    </row>
    <row r="3512" spans="1:21" ht="16.5" customHeight="1">
      <c r="A3512" s="159" t="s">
        <v>2749</v>
      </c>
      <c r="B3512" s="114" t="str">
        <f>VLOOKUP(A3512,'Data pick slip'!B:F,5,FALSE)</f>
        <v>KHJ-MC500-00</v>
      </c>
      <c r="F3512" s="157" t="s">
        <v>1381</v>
      </c>
      <c r="I3512" s="269" t="s">
        <v>3413</v>
      </c>
      <c r="J3512" s="139" t="s">
        <v>3521</v>
      </c>
      <c r="K3512" s="51" t="s">
        <v>1246</v>
      </c>
      <c r="L3512" s="4">
        <v>44720</v>
      </c>
      <c r="M3512" s="140">
        <v>10</v>
      </c>
      <c r="P3512" s="4" t="s">
        <v>291</v>
      </c>
      <c r="Q3512" s="143"/>
      <c r="T3512" s="144"/>
      <c r="U3512" s="145" t="e">
        <f>VLOOKUP(H3512,Stock_list!A:N,14,FALSE)</f>
        <v>#N/A</v>
      </c>
    </row>
    <row r="3513" spans="1:21" ht="16.5" customHeight="1">
      <c r="A3513" s="159" t="s">
        <v>2755</v>
      </c>
      <c r="B3513" s="114" t="str">
        <f>VLOOKUP(A3513,'Data pick slip'!B:F,5,FALSE)</f>
        <v>KLJ-MC100-00</v>
      </c>
      <c r="F3513" s="157" t="s">
        <v>1381</v>
      </c>
      <c r="I3513" s="269" t="s">
        <v>3413</v>
      </c>
      <c r="J3513" s="139" t="s">
        <v>3521</v>
      </c>
      <c r="K3513" s="51" t="s">
        <v>1246</v>
      </c>
      <c r="L3513" s="4">
        <v>44720</v>
      </c>
      <c r="M3513" s="140">
        <v>30</v>
      </c>
      <c r="P3513" s="4" t="s">
        <v>291</v>
      </c>
      <c r="Q3513" s="143"/>
      <c r="T3513" s="144"/>
      <c r="U3513" s="145" t="e">
        <f>VLOOKUP(H3513,Stock_list!A:N,14,FALSE)</f>
        <v>#N/A</v>
      </c>
    </row>
    <row r="3514" spans="1:21" ht="16.5" customHeight="1">
      <c r="A3514" s="159" t="s">
        <v>2756</v>
      </c>
      <c r="B3514" s="114" t="str">
        <f>VLOOKUP(A3514,'Data pick slip'!B:F,5,FALSE)</f>
        <v>KLJ-MC200-00</v>
      </c>
      <c r="F3514" s="157" t="s">
        <v>1381</v>
      </c>
      <c r="I3514" s="269" t="s">
        <v>3413</v>
      </c>
      <c r="J3514" s="139" t="s">
        <v>3521</v>
      </c>
      <c r="K3514" s="51" t="s">
        <v>1246</v>
      </c>
      <c r="L3514" s="4">
        <v>44720</v>
      </c>
      <c r="M3514" s="140">
        <v>20</v>
      </c>
      <c r="P3514" s="4" t="s">
        <v>291</v>
      </c>
      <c r="Q3514" s="143"/>
      <c r="T3514" s="144"/>
      <c r="U3514" s="145" t="e">
        <f>VLOOKUP(H3514,Stock_list!A:N,14,FALSE)</f>
        <v>#N/A</v>
      </c>
    </row>
    <row r="3515" spans="1:21" ht="16.5" customHeight="1">
      <c r="A3515" s="159" t="s">
        <v>2744</v>
      </c>
      <c r="B3515" s="114" t="str">
        <f>VLOOKUP(A3515,'Data pick slip'!B:F,5,FALSE)</f>
        <v>KHJ-MC100-00</v>
      </c>
      <c r="F3515" s="157" t="s">
        <v>1381</v>
      </c>
      <c r="I3515" s="269" t="s">
        <v>3413</v>
      </c>
      <c r="J3515" s="139" t="s">
        <v>3522</v>
      </c>
      <c r="K3515" s="51" t="s">
        <v>1246</v>
      </c>
      <c r="L3515" s="4">
        <v>44721</v>
      </c>
      <c r="M3515" s="140">
        <v>260</v>
      </c>
      <c r="P3515" s="4" t="s">
        <v>291</v>
      </c>
      <c r="Q3515" s="143"/>
      <c r="T3515" s="144"/>
      <c r="U3515" s="145" t="e">
        <f>VLOOKUP(H3515,Stock_list!A:N,14,FALSE)</f>
        <v>#N/A</v>
      </c>
    </row>
    <row r="3516" spans="1:21" ht="16.5" customHeight="1">
      <c r="A3516" s="159" t="s">
        <v>2749</v>
      </c>
      <c r="B3516" s="114" t="str">
        <f>VLOOKUP(A3516,'Data pick slip'!B:F,5,FALSE)</f>
        <v>KHJ-MC500-00</v>
      </c>
      <c r="F3516" s="157" t="s">
        <v>1381</v>
      </c>
      <c r="I3516" s="269" t="s">
        <v>3413</v>
      </c>
      <c r="J3516" s="139" t="s">
        <v>3522</v>
      </c>
      <c r="K3516" s="51" t="s">
        <v>1246</v>
      </c>
      <c r="L3516" s="4">
        <v>44721</v>
      </c>
      <c r="M3516" s="140">
        <v>20</v>
      </c>
      <c r="P3516" s="4" t="s">
        <v>291</v>
      </c>
      <c r="Q3516" s="143"/>
      <c r="T3516" s="144"/>
      <c r="U3516" s="145" t="e">
        <f>VLOOKUP(H3516,Stock_list!A:N,14,FALSE)</f>
        <v>#N/A</v>
      </c>
    </row>
    <row r="3517" spans="1:21" ht="16.5" customHeight="1">
      <c r="A3517" s="159" t="s">
        <v>2744</v>
      </c>
      <c r="B3517" s="114" t="str">
        <f>VLOOKUP(A3517,'Data pick slip'!B:F,5,FALSE)</f>
        <v>KHJ-MC100-00</v>
      </c>
      <c r="F3517" s="157" t="s">
        <v>1381</v>
      </c>
      <c r="I3517" s="269" t="s">
        <v>3413</v>
      </c>
      <c r="J3517" s="139" t="s">
        <v>3523</v>
      </c>
      <c r="K3517" s="51" t="s">
        <v>1246</v>
      </c>
      <c r="L3517" s="4">
        <v>44728</v>
      </c>
      <c r="M3517" s="140">
        <v>280</v>
      </c>
      <c r="P3517" s="4" t="s">
        <v>291</v>
      </c>
      <c r="Q3517" s="143"/>
      <c r="T3517" s="144"/>
      <c r="U3517" s="145" t="e">
        <f>VLOOKUP(H3517,Stock_list!A:N,14,FALSE)</f>
        <v>#N/A</v>
      </c>
    </row>
    <row r="3518" spans="1:21" ht="16.5" customHeight="1">
      <c r="A3518" s="159" t="s">
        <v>2747</v>
      </c>
      <c r="B3518" s="114" t="str">
        <f>VLOOKUP(A3518,'Data pick slip'!B:F,5,FALSE)</f>
        <v>KHJ-MC200-00</v>
      </c>
      <c r="F3518" s="157" t="s">
        <v>1381</v>
      </c>
      <c r="I3518" s="269" t="s">
        <v>3413</v>
      </c>
      <c r="J3518" s="139" t="s">
        <v>3523</v>
      </c>
      <c r="K3518" s="51" t="s">
        <v>1246</v>
      </c>
      <c r="L3518" s="4">
        <v>44728</v>
      </c>
      <c r="M3518" s="140">
        <v>60</v>
      </c>
      <c r="P3518" s="4" t="s">
        <v>291</v>
      </c>
      <c r="Q3518" s="143"/>
      <c r="T3518" s="144"/>
      <c r="U3518" s="145" t="e">
        <f>VLOOKUP(H3518,Stock_list!A:N,14,FALSE)</f>
        <v>#N/A</v>
      </c>
    </row>
    <row r="3519" spans="1:21" ht="16.5" customHeight="1">
      <c r="A3519" s="181" t="s">
        <v>2750</v>
      </c>
      <c r="B3519" s="114" t="str">
        <f>VLOOKUP(A3519,'Data pick slip'!B:F,5,FALSE)</f>
        <v>KHJ-MC600-00</v>
      </c>
      <c r="F3519" s="157" t="s">
        <v>1381</v>
      </c>
      <c r="I3519" s="269" t="s">
        <v>3413</v>
      </c>
      <c r="J3519" s="139" t="s">
        <v>3523</v>
      </c>
      <c r="K3519" s="51" t="s">
        <v>1246</v>
      </c>
      <c r="L3519" s="4">
        <v>44728</v>
      </c>
      <c r="M3519" s="140">
        <v>20</v>
      </c>
      <c r="P3519" s="4" t="s">
        <v>291</v>
      </c>
      <c r="Q3519" s="143"/>
      <c r="T3519" s="144"/>
      <c r="U3519" s="145" t="e">
        <f>VLOOKUP(H3519,Stock_list!A:N,14,FALSE)</f>
        <v>#N/A</v>
      </c>
    </row>
    <row r="3520" spans="1:21" ht="16.5" customHeight="1">
      <c r="A3520" s="159" t="s">
        <v>2744</v>
      </c>
      <c r="B3520" s="114" t="str">
        <f>VLOOKUP(A3520,'Data pick slip'!B:F,5,FALSE)</f>
        <v>KHJ-MC100-00</v>
      </c>
      <c r="F3520" s="157" t="s">
        <v>1381</v>
      </c>
      <c r="H3520" s="138">
        <v>1690</v>
      </c>
      <c r="I3520" s="139" t="str">
        <f>VLOOKUP(H3520,Stock_list!A:R,18,FALSE)</f>
        <v>德天伟</v>
      </c>
      <c r="J3520" s="139" t="str">
        <f>VLOOKUP(H3520,Stock_list!A:S,17,FALSE)</f>
        <v>C49SZX20220042JY</v>
      </c>
      <c r="K3520" s="51" t="str">
        <f>VLOOKUP(H3520,Stock_list!A:T,16,FALSE)</f>
        <v>JPY</v>
      </c>
      <c r="L3520" s="4">
        <v>44861</v>
      </c>
      <c r="M3520" s="143">
        <v>20</v>
      </c>
      <c r="P3520" s="4" t="str">
        <f>VLOOKUP(H3520,Stock_list!A:Y,25,FALSE)</f>
        <v>Yes</v>
      </c>
      <c r="Q3520" s="143"/>
      <c r="T3520" s="144"/>
      <c r="U3520" s="145" t="str">
        <f>VLOOKUP(H3520,Stock_list!A:N,14,FALSE)</f>
        <v>OCT 22</v>
      </c>
    </row>
    <row r="3521" spans="1:21" ht="16.5" customHeight="1">
      <c r="A3521" s="159" t="s">
        <v>2747</v>
      </c>
      <c r="B3521" s="114" t="str">
        <f>VLOOKUP(A3521,'Data pick slip'!B:F,5,FALSE)</f>
        <v>KHJ-MC200-00</v>
      </c>
      <c r="F3521" s="157" t="s">
        <v>1381</v>
      </c>
      <c r="H3521" s="138">
        <v>1690</v>
      </c>
      <c r="I3521" s="139" t="str">
        <f>VLOOKUP(H3521,Stock_list!A:R,18,FALSE)</f>
        <v>德天伟</v>
      </c>
      <c r="J3521" s="139" t="str">
        <f>VLOOKUP(H3521,Stock_list!A:S,17,FALSE)</f>
        <v>C49SZX20220042JY</v>
      </c>
      <c r="K3521" s="51" t="str">
        <f>VLOOKUP(H3521,Stock_list!A:T,16,FALSE)</f>
        <v>JPY</v>
      </c>
      <c r="L3521" s="4">
        <v>44861</v>
      </c>
      <c r="M3521" s="143">
        <v>2</v>
      </c>
      <c r="P3521" s="4" t="str">
        <f>VLOOKUP(H3521,Stock_list!A:Y,25,FALSE)</f>
        <v>Yes</v>
      </c>
      <c r="Q3521" s="143"/>
      <c r="T3521" s="144"/>
      <c r="U3521" s="145" t="str">
        <f>VLOOKUP(H3521,Stock_list!A:N,14,FALSE)</f>
        <v>OCT 22</v>
      </c>
    </row>
    <row r="3522" spans="1:21" ht="16.5" customHeight="1">
      <c r="A3522" s="159" t="s">
        <v>2748</v>
      </c>
      <c r="B3522" s="114" t="str">
        <f>VLOOKUP(A3522,'Data pick slip'!B:F,5,FALSE)</f>
        <v>KHJ-MC400-00</v>
      </c>
      <c r="F3522" s="157" t="s">
        <v>1381</v>
      </c>
      <c r="H3522" s="138">
        <v>1690</v>
      </c>
      <c r="I3522" s="139" t="str">
        <f>VLOOKUP(H3522,Stock_list!A:R,18,FALSE)</f>
        <v>德天伟</v>
      </c>
      <c r="J3522" s="139" t="str">
        <f>VLOOKUP(H3522,Stock_list!A:S,17,FALSE)</f>
        <v>C49SZX20220042JY</v>
      </c>
      <c r="K3522" s="51" t="str">
        <f>VLOOKUP(H3522,Stock_list!A:T,16,FALSE)</f>
        <v>JPY</v>
      </c>
      <c r="L3522" s="4">
        <v>44861</v>
      </c>
      <c r="M3522" s="143">
        <v>1</v>
      </c>
      <c r="P3522" s="4" t="str">
        <f>VLOOKUP(H3522,Stock_list!A:Y,25,FALSE)</f>
        <v>Yes</v>
      </c>
      <c r="Q3522" s="143"/>
      <c r="T3522" s="144"/>
      <c r="U3522" s="145" t="str">
        <f>VLOOKUP(H3522,Stock_list!A:N,14,FALSE)</f>
        <v>OCT 22</v>
      </c>
    </row>
    <row r="3523" spans="1:21" ht="16.5" customHeight="1">
      <c r="A3523" s="159" t="s">
        <v>2744</v>
      </c>
      <c r="B3523" s="114" t="str">
        <f>VLOOKUP(A3523,'Data pick slip'!B:F,5,FALSE)</f>
        <v>KHJ-MC100-00</v>
      </c>
      <c r="F3523" s="157" t="s">
        <v>2773</v>
      </c>
      <c r="H3523" s="138">
        <v>1691</v>
      </c>
      <c r="I3523" s="139" t="str">
        <f>VLOOKUP(H3523,Stock_list!A:R,18,FALSE)</f>
        <v>柏星</v>
      </c>
      <c r="J3523" s="139" t="str">
        <f>VLOOKUP(H3523,Stock_list!A:S,17,FALSE)</f>
        <v>C49SZX20220075SX</v>
      </c>
      <c r="K3523" s="51" t="str">
        <f>VLOOKUP(H3523,Stock_list!A:T,16,FALSE)</f>
        <v>RMB</v>
      </c>
      <c r="L3523" s="4">
        <v>44746</v>
      </c>
      <c r="M3523" s="140">
        <v>15</v>
      </c>
      <c r="P3523" s="4" t="str">
        <f>VLOOKUP(H3523,Stock_list!A:Y,25,FALSE)</f>
        <v>Yes</v>
      </c>
      <c r="Q3523" s="143"/>
      <c r="T3523" s="144"/>
      <c r="U3523" s="145" t="str">
        <f>VLOOKUP(H3523,Stock_list!A:N,14,FALSE)</f>
        <v>JUL 22</v>
      </c>
    </row>
    <row r="3524" spans="1:21" ht="16.5" customHeight="1">
      <c r="A3524" s="159" t="s">
        <v>2747</v>
      </c>
      <c r="B3524" s="114" t="str">
        <f>VLOOKUP(A3524,'Data pick slip'!B:F,5,FALSE)</f>
        <v>KHJ-MC200-00</v>
      </c>
      <c r="F3524" s="157" t="s">
        <v>2773</v>
      </c>
      <c r="H3524" s="138">
        <v>1691</v>
      </c>
      <c r="I3524" s="139" t="str">
        <f>VLOOKUP(H3524,Stock_list!A:R,18,FALSE)</f>
        <v>柏星</v>
      </c>
      <c r="J3524" s="139" t="str">
        <f>VLOOKUP(H3524,Stock_list!A:S,17,FALSE)</f>
        <v>C49SZX20220075SX</v>
      </c>
      <c r="K3524" s="51" t="str">
        <f>VLOOKUP(H3524,Stock_list!A:T,16,FALSE)</f>
        <v>RMB</v>
      </c>
      <c r="L3524" s="4">
        <v>44746</v>
      </c>
      <c r="M3524" s="140">
        <v>10</v>
      </c>
      <c r="P3524" s="4" t="str">
        <f>VLOOKUP(H3524,Stock_list!A:Y,25,FALSE)</f>
        <v>Yes</v>
      </c>
      <c r="Q3524" s="143"/>
      <c r="T3524" s="144"/>
      <c r="U3524" s="145" t="str">
        <f>VLOOKUP(H3524,Stock_list!A:N,14,FALSE)</f>
        <v>JUL 22</v>
      </c>
    </row>
    <row r="3525" spans="1:21" ht="16.5" customHeight="1">
      <c r="A3525" s="159" t="s">
        <v>2748</v>
      </c>
      <c r="B3525" s="114" t="str">
        <f>VLOOKUP(A3525,'Data pick slip'!B:F,5,FALSE)</f>
        <v>KHJ-MC400-00</v>
      </c>
      <c r="F3525" s="157" t="s">
        <v>2773</v>
      </c>
      <c r="H3525" s="138">
        <v>1691</v>
      </c>
      <c r="I3525" s="139" t="str">
        <f>VLOOKUP(H3525,Stock_list!A:R,18,FALSE)</f>
        <v>柏星</v>
      </c>
      <c r="J3525" s="139" t="str">
        <f>VLOOKUP(H3525,Stock_list!A:S,17,FALSE)</f>
        <v>C49SZX20220075SX</v>
      </c>
      <c r="K3525" s="51" t="str">
        <f>VLOOKUP(H3525,Stock_list!A:T,16,FALSE)</f>
        <v>RMB</v>
      </c>
      <c r="L3525" s="4">
        <v>44746</v>
      </c>
      <c r="M3525" s="140">
        <v>4</v>
      </c>
      <c r="P3525" s="4" t="str">
        <f>VLOOKUP(H3525,Stock_list!A:Y,25,FALSE)</f>
        <v>Yes</v>
      </c>
      <c r="Q3525" s="143"/>
      <c r="T3525" s="144"/>
      <c r="U3525" s="145" t="str">
        <f>VLOOKUP(H3525,Stock_list!A:N,14,FALSE)</f>
        <v>JUL 22</v>
      </c>
    </row>
    <row r="3526" spans="1:21" ht="16.5" customHeight="1">
      <c r="A3526" s="159" t="s">
        <v>2744</v>
      </c>
      <c r="B3526" s="114" t="str">
        <f>VLOOKUP(A3526,'Data pick slip'!B:F,5,FALSE)</f>
        <v>KHJ-MC100-00</v>
      </c>
      <c r="F3526" s="157" t="s">
        <v>1381</v>
      </c>
      <c r="H3526" s="138">
        <v>959</v>
      </c>
      <c r="I3526" s="139" t="str">
        <f>VLOOKUP(H3526,Stock_list!A:R,18,FALSE)</f>
        <v>音品（End user:厚朴）</v>
      </c>
      <c r="J3526" s="139" t="str">
        <f>VLOOKUP(H3526,Stock_list!A:S,17,FALSE)</f>
        <v>C49SZX20200213MX</v>
      </c>
      <c r="K3526" s="51" t="str">
        <f>VLOOKUP(H3526,Stock_list!A:T,16,FALSE)</f>
        <v>JPY</v>
      </c>
      <c r="L3526" s="4">
        <v>44737</v>
      </c>
      <c r="M3526" s="140">
        <v>13</v>
      </c>
      <c r="P3526" s="4" t="str">
        <f>VLOOKUP(H3526,Stock_list!A:Y,25,FALSE)</f>
        <v>Yes</v>
      </c>
      <c r="Q3526" s="143"/>
      <c r="T3526" s="144"/>
      <c r="U3526" s="145" t="str">
        <f>VLOOKUP(H3526,Stock_list!A:N,14,FALSE)</f>
        <v>FEB 21</v>
      </c>
    </row>
    <row r="3527" spans="1:21" ht="16.5" customHeight="1">
      <c r="A3527" s="159" t="s">
        <v>2744</v>
      </c>
      <c r="B3527" s="114" t="str">
        <f>VLOOKUP(A3527,'Data pick slip'!B:F,5,FALSE)</f>
        <v>KHJ-MC100-00</v>
      </c>
      <c r="F3527" s="157" t="s">
        <v>2773</v>
      </c>
      <c r="H3527" s="138">
        <v>1695</v>
      </c>
      <c r="I3527" s="139" t="str">
        <f>VLOOKUP(H3527,Stock_list!A:R,18,FALSE)</f>
        <v>世启纳</v>
      </c>
      <c r="J3527" s="139" t="str">
        <f>VLOOKUP(H3527,Stock_list!A:S,17,FALSE)</f>
        <v>C49SZX20220077SS</v>
      </c>
      <c r="K3527" s="51" t="str">
        <f>VLOOKUP(H3527,Stock_list!A:T,16,FALSE)</f>
        <v>RMB</v>
      </c>
      <c r="L3527" s="4">
        <v>44760</v>
      </c>
      <c r="M3527" s="140">
        <v>2</v>
      </c>
      <c r="P3527" s="4" t="str">
        <f>VLOOKUP(H3527,Stock_list!A:Y,25,FALSE)</f>
        <v>Yes</v>
      </c>
      <c r="Q3527" s="143"/>
      <c r="T3527" s="144"/>
      <c r="U3527" s="145" t="str">
        <f>VLOOKUP(H3527,Stock_list!A:N,14,FALSE)</f>
        <v>JUL 22</v>
      </c>
    </row>
    <row r="3528" spans="1:21" ht="16.5" customHeight="1">
      <c r="A3528" s="159" t="s">
        <v>2744</v>
      </c>
      <c r="B3528" s="114" t="str">
        <f>VLOOKUP(A3528,'Data pick slip'!B:F,5,FALSE)</f>
        <v>KHJ-MC100-00</v>
      </c>
      <c r="F3528" s="157" t="s">
        <v>1381</v>
      </c>
      <c r="I3528" s="269" t="s">
        <v>3413</v>
      </c>
      <c r="J3528" s="139" t="s">
        <v>3524</v>
      </c>
      <c r="K3528" s="51" t="s">
        <v>1246</v>
      </c>
      <c r="L3528" s="4">
        <v>44740</v>
      </c>
      <c r="M3528" s="140">
        <v>240</v>
      </c>
      <c r="P3528" s="4" t="s">
        <v>291</v>
      </c>
      <c r="Q3528" s="143"/>
      <c r="T3528" s="144"/>
      <c r="U3528" s="145" t="e">
        <f>VLOOKUP(H3528,Stock_list!A:N,14,FALSE)</f>
        <v>#N/A</v>
      </c>
    </row>
    <row r="3529" spans="1:21" ht="16.5" customHeight="1">
      <c r="A3529" s="159" t="s">
        <v>2747</v>
      </c>
      <c r="B3529" s="114" t="str">
        <f>VLOOKUP(A3529,'Data pick slip'!B:F,5,FALSE)</f>
        <v>KHJ-MC200-00</v>
      </c>
      <c r="F3529" s="157" t="s">
        <v>1381</v>
      </c>
      <c r="I3529" s="269" t="s">
        <v>3413</v>
      </c>
      <c r="J3529" s="139" t="s">
        <v>3524</v>
      </c>
      <c r="K3529" s="51" t="s">
        <v>1246</v>
      </c>
      <c r="L3529" s="4">
        <v>44740</v>
      </c>
      <c r="M3529" s="140">
        <v>20</v>
      </c>
      <c r="P3529" s="4" t="s">
        <v>291</v>
      </c>
      <c r="Q3529" s="143"/>
      <c r="T3529" s="144"/>
      <c r="U3529" s="145" t="e">
        <f>VLOOKUP(H3529,Stock_list!A:N,14,FALSE)</f>
        <v>#N/A</v>
      </c>
    </row>
    <row r="3530" spans="1:21" ht="16.5" customHeight="1">
      <c r="A3530" s="159" t="s">
        <v>2748</v>
      </c>
      <c r="B3530" s="114" t="str">
        <f>VLOOKUP(A3530,'Data pick slip'!B:F,5,FALSE)</f>
        <v>KHJ-MC400-00</v>
      </c>
      <c r="F3530" s="157" t="s">
        <v>1381</v>
      </c>
      <c r="I3530" s="269" t="s">
        <v>3413</v>
      </c>
      <c r="J3530" s="139" t="s">
        <v>3524</v>
      </c>
      <c r="K3530" s="51" t="s">
        <v>1246</v>
      </c>
      <c r="L3530" s="4">
        <v>44740</v>
      </c>
      <c r="M3530" s="140">
        <v>12</v>
      </c>
      <c r="P3530" s="4" t="s">
        <v>291</v>
      </c>
      <c r="Q3530" s="143"/>
      <c r="T3530" s="144"/>
      <c r="U3530" s="145" t="e">
        <f>VLOOKUP(H3530,Stock_list!A:N,14,FALSE)</f>
        <v>#N/A</v>
      </c>
    </row>
    <row r="3531" spans="1:21" ht="16.5" customHeight="1">
      <c r="A3531" s="159" t="s">
        <v>2747</v>
      </c>
      <c r="B3531" s="114" t="str">
        <f>VLOOKUP(A3531,'Data pick slip'!B:F,5,FALSE)</f>
        <v>KHJ-MC200-00</v>
      </c>
      <c r="F3531" s="157" t="s">
        <v>2762</v>
      </c>
      <c r="H3531" s="138">
        <v>1698</v>
      </c>
      <c r="I3531" s="139" t="e">
        <f>VLOOKUP(H3531,Stock_list!A:R,18,FALSE)</f>
        <v>#N/A</v>
      </c>
      <c r="J3531" s="139" t="e">
        <f>VLOOKUP(H3531,Stock_list!A:S,17,FALSE)</f>
        <v>#N/A</v>
      </c>
      <c r="K3531" s="51" t="e">
        <f>VLOOKUP(H3531,Stock_list!A:T,16,FALSE)</f>
        <v>#N/A</v>
      </c>
      <c r="L3531" s="4"/>
      <c r="P3531" s="4" t="e">
        <f>VLOOKUP(H3531,Stock_list!A:Y,25,FALSE)</f>
        <v>#N/A</v>
      </c>
      <c r="Q3531" s="143">
        <v>6</v>
      </c>
      <c r="T3531" s="144"/>
      <c r="U3531" s="145" t="e">
        <f>VLOOKUP(H3531,Stock_list!A:N,14,FALSE)</f>
        <v>#N/A</v>
      </c>
    </row>
    <row r="3532" spans="1:21" ht="16.5" customHeight="1">
      <c r="A3532" s="159" t="s">
        <v>2748</v>
      </c>
      <c r="B3532" s="114" t="str">
        <f>VLOOKUP(A3532,'Data pick slip'!B:F,5,FALSE)</f>
        <v>KHJ-MC400-00</v>
      </c>
      <c r="F3532" s="157" t="s">
        <v>2762</v>
      </c>
      <c r="H3532" s="138">
        <v>1698</v>
      </c>
      <c r="I3532" s="139" t="e">
        <f>VLOOKUP(H3532,Stock_list!A:R,18,FALSE)</f>
        <v>#N/A</v>
      </c>
      <c r="J3532" s="139" t="e">
        <f>VLOOKUP(H3532,Stock_list!A:S,17,FALSE)</f>
        <v>#N/A</v>
      </c>
      <c r="K3532" s="51" t="e">
        <f>VLOOKUP(H3532,Stock_list!A:T,16,FALSE)</f>
        <v>#N/A</v>
      </c>
      <c r="L3532" s="4"/>
      <c r="P3532" s="4" t="e">
        <f>VLOOKUP(H3532,Stock_list!A:Y,25,FALSE)</f>
        <v>#N/A</v>
      </c>
      <c r="Q3532" s="143">
        <v>1</v>
      </c>
      <c r="T3532" s="144"/>
      <c r="U3532" s="145" t="e">
        <f>VLOOKUP(H3532,Stock_list!A:N,14,FALSE)</f>
        <v>#N/A</v>
      </c>
    </row>
    <row r="3533" spans="1:21" ht="16.5" customHeight="1">
      <c r="A3533" s="159" t="s">
        <v>2749</v>
      </c>
      <c r="B3533" s="114" t="str">
        <f>VLOOKUP(A3533,'Data pick slip'!B:F,5,FALSE)</f>
        <v>KHJ-MC500-00</v>
      </c>
      <c r="F3533" s="157" t="s">
        <v>2762</v>
      </c>
      <c r="H3533" s="138">
        <v>1698</v>
      </c>
      <c r="I3533" s="139" t="e">
        <f>VLOOKUP(H3533,Stock_list!A:R,18,FALSE)</f>
        <v>#N/A</v>
      </c>
      <c r="J3533" s="139" t="e">
        <f>VLOOKUP(H3533,Stock_list!A:S,17,FALSE)</f>
        <v>#N/A</v>
      </c>
      <c r="K3533" s="51" t="e">
        <f>VLOOKUP(H3533,Stock_list!A:T,16,FALSE)</f>
        <v>#N/A</v>
      </c>
      <c r="L3533" s="4"/>
      <c r="P3533" s="4" t="e">
        <f>VLOOKUP(H3533,Stock_list!A:Y,25,FALSE)</f>
        <v>#N/A</v>
      </c>
      <c r="Q3533" s="143">
        <v>1</v>
      </c>
      <c r="T3533" s="144"/>
      <c r="U3533" s="145" t="e">
        <f>VLOOKUP(H3533,Stock_list!A:N,14,FALSE)</f>
        <v>#N/A</v>
      </c>
    </row>
    <row r="3534" spans="1:21" ht="16.5" customHeight="1">
      <c r="A3534" s="159" t="s">
        <v>2744</v>
      </c>
      <c r="B3534" s="114" t="str">
        <f>VLOOKUP(A3534,'Data pick slip'!B:F,5,FALSE)</f>
        <v>KHJ-MC100-00</v>
      </c>
      <c r="F3534" s="157" t="s">
        <v>2773</v>
      </c>
      <c r="H3534" s="138">
        <v>1699</v>
      </c>
      <c r="I3534" s="139" t="str">
        <f>VLOOKUP(H3534,Stock_list!A:R,18,FALSE)</f>
        <v>铭翔</v>
      </c>
      <c r="J3534" s="139" t="str">
        <f>VLOOKUP(H3534,Stock_list!A:S,17,FALSE)</f>
        <v>C49SZX20220079JL</v>
      </c>
      <c r="K3534" s="51" t="str">
        <f>VLOOKUP(H3534,Stock_list!A:T,16,FALSE)</f>
        <v>RMB</v>
      </c>
      <c r="L3534" s="326">
        <v>44827</v>
      </c>
      <c r="M3534" s="140">
        <v>20</v>
      </c>
      <c r="P3534" s="4" t="str">
        <f>VLOOKUP(H3534,Stock_list!A:Y,25,FALSE)</f>
        <v>Yes</v>
      </c>
      <c r="Q3534" s="143"/>
      <c r="T3534" s="144"/>
      <c r="U3534" s="145" t="str">
        <f>VLOOKUP(H3534,Stock_list!A:N,14,FALSE)</f>
        <v>SEP 22</v>
      </c>
    </row>
    <row r="3535" spans="1:21" ht="16.5" customHeight="1">
      <c r="A3535" s="159" t="s">
        <v>2747</v>
      </c>
      <c r="B3535" s="114" t="str">
        <f>VLOOKUP(A3535,'Data pick slip'!B:F,5,FALSE)</f>
        <v>KHJ-MC200-00</v>
      </c>
      <c r="F3535" s="157" t="s">
        <v>2773</v>
      </c>
      <c r="H3535" s="138">
        <v>1699</v>
      </c>
      <c r="I3535" s="139" t="str">
        <f>VLOOKUP(H3535,Stock_list!A:R,18,FALSE)</f>
        <v>铭翔</v>
      </c>
      <c r="J3535" s="139" t="str">
        <f>VLOOKUP(H3535,Stock_list!A:S,17,FALSE)</f>
        <v>C49SZX20220079JL</v>
      </c>
      <c r="K3535" s="51" t="str">
        <f>VLOOKUP(H3535,Stock_list!A:T,16,FALSE)</f>
        <v>RMB</v>
      </c>
      <c r="L3535" s="326">
        <v>44827</v>
      </c>
      <c r="M3535" s="140">
        <v>10</v>
      </c>
      <c r="P3535" s="4" t="str">
        <f>VLOOKUP(H3535,Stock_list!A:Y,25,FALSE)</f>
        <v>Yes</v>
      </c>
      <c r="Q3535" s="143"/>
      <c r="T3535" s="144"/>
      <c r="U3535" s="145" t="str">
        <f>VLOOKUP(H3535,Stock_list!A:N,14,FALSE)</f>
        <v>SEP 22</v>
      </c>
    </row>
    <row r="3536" spans="1:21" ht="16.5" customHeight="1">
      <c r="A3536" s="159" t="s">
        <v>2744</v>
      </c>
      <c r="B3536" s="114" t="str">
        <f>VLOOKUP(A3536,'Data pick slip'!B:F,5,FALSE)</f>
        <v>KHJ-MC100-00</v>
      </c>
      <c r="F3536" s="157" t="s">
        <v>1381</v>
      </c>
      <c r="H3536" s="138">
        <v>1701</v>
      </c>
      <c r="I3536" s="139" t="str">
        <f>VLOOKUP(H3536,Stock_list!A:R,18,FALSE)</f>
        <v>朗特</v>
      </c>
      <c r="J3536" s="139" t="str">
        <f>VLOOKUP(H3536,Stock_list!A:S,17,FALSE)</f>
        <v>C49SZX20220073DZ</v>
      </c>
      <c r="K3536" s="51" t="str">
        <f>VLOOKUP(H3536,Stock_list!A:T,16,FALSE)</f>
        <v>JPY</v>
      </c>
      <c r="L3536" s="4">
        <v>44777</v>
      </c>
      <c r="M3536" s="140">
        <v>260</v>
      </c>
      <c r="N3536" s="143"/>
      <c r="P3536" s="4" t="str">
        <f>VLOOKUP(H3536,Stock_list!A:Y,25,FALSE)</f>
        <v>Yes</v>
      </c>
      <c r="T3536" s="144"/>
      <c r="U3536" s="145" t="str">
        <f>VLOOKUP(H3536,Stock_list!A:N,14,FALSE)</f>
        <v>AUG 22</v>
      </c>
    </row>
    <row r="3537" spans="1:21" ht="16.5" customHeight="1">
      <c r="A3537" s="159" t="s">
        <v>2747</v>
      </c>
      <c r="B3537" s="114" t="str">
        <f>VLOOKUP(A3537,'Data pick slip'!B:F,5,FALSE)</f>
        <v>KHJ-MC200-00</v>
      </c>
      <c r="F3537" s="157" t="s">
        <v>1381</v>
      </c>
      <c r="H3537" s="138">
        <v>1701</v>
      </c>
      <c r="I3537" s="139" t="str">
        <f>VLOOKUP(H3537,Stock_list!A:R,18,FALSE)</f>
        <v>朗特</v>
      </c>
      <c r="J3537" s="139" t="str">
        <f>VLOOKUP(H3537,Stock_list!A:S,17,FALSE)</f>
        <v>C49SZX20220073DZ</v>
      </c>
      <c r="K3537" s="51" t="str">
        <f>VLOOKUP(H3537,Stock_list!A:T,16,FALSE)</f>
        <v>JPY</v>
      </c>
      <c r="L3537" s="4">
        <v>44777</v>
      </c>
      <c r="M3537" s="140">
        <v>60</v>
      </c>
      <c r="N3537" s="143"/>
      <c r="P3537" s="4" t="str">
        <f>VLOOKUP(H3537,Stock_list!A:Y,25,FALSE)</f>
        <v>Yes</v>
      </c>
      <c r="T3537" s="144"/>
      <c r="U3537" s="145" t="str">
        <f>VLOOKUP(H3537,Stock_list!A:N,14,FALSE)</f>
        <v>AUG 22</v>
      </c>
    </row>
    <row r="3538" spans="1:21" ht="16.5" customHeight="1">
      <c r="A3538" s="159" t="s">
        <v>2748</v>
      </c>
      <c r="B3538" s="114" t="str">
        <f>VLOOKUP(A3538,'Data pick slip'!B:F,5,FALSE)</f>
        <v>KHJ-MC400-00</v>
      </c>
      <c r="F3538" s="157" t="s">
        <v>1381</v>
      </c>
      <c r="H3538" s="138">
        <v>1701</v>
      </c>
      <c r="I3538" s="139" t="str">
        <f>VLOOKUP(H3538,Stock_list!A:R,18,FALSE)</f>
        <v>朗特</v>
      </c>
      <c r="J3538" s="139" t="str">
        <f>VLOOKUP(H3538,Stock_list!A:S,17,FALSE)</f>
        <v>C49SZX20220073DZ</v>
      </c>
      <c r="K3538" s="51" t="str">
        <f>VLOOKUP(H3538,Stock_list!A:T,16,FALSE)</f>
        <v>JPY</v>
      </c>
      <c r="L3538" s="4">
        <v>44777</v>
      </c>
      <c r="M3538" s="140">
        <v>30</v>
      </c>
      <c r="N3538" s="143"/>
      <c r="P3538" s="4" t="str">
        <f>VLOOKUP(H3538,Stock_list!A:Y,25,FALSE)</f>
        <v>Yes</v>
      </c>
      <c r="T3538" s="144"/>
      <c r="U3538" s="145" t="str">
        <f>VLOOKUP(H3538,Stock_list!A:N,14,FALSE)</f>
        <v>AUG 22</v>
      </c>
    </row>
    <row r="3539" spans="1:21" ht="16.5" customHeight="1">
      <c r="A3539" s="159" t="s">
        <v>2749</v>
      </c>
      <c r="B3539" s="114" t="str">
        <f>VLOOKUP(A3539,'Data pick slip'!B:F,5,FALSE)</f>
        <v>KHJ-MC500-00</v>
      </c>
      <c r="F3539" s="157" t="s">
        <v>1381</v>
      </c>
      <c r="H3539" s="138">
        <v>1701</v>
      </c>
      <c r="I3539" s="139" t="str">
        <f>VLOOKUP(H3539,Stock_list!A:R,18,FALSE)</f>
        <v>朗特</v>
      </c>
      <c r="J3539" s="139" t="str">
        <f>VLOOKUP(H3539,Stock_list!A:S,17,FALSE)</f>
        <v>C49SZX20220073DZ</v>
      </c>
      <c r="K3539" s="51" t="str">
        <f>VLOOKUP(H3539,Stock_list!A:T,16,FALSE)</f>
        <v>JPY</v>
      </c>
      <c r="L3539" s="4">
        <v>44777</v>
      </c>
      <c r="M3539" s="140">
        <v>12</v>
      </c>
      <c r="N3539" s="143"/>
      <c r="P3539" s="4" t="str">
        <f>VLOOKUP(H3539,Stock_list!A:Y,25,FALSE)</f>
        <v>Yes</v>
      </c>
      <c r="T3539" s="144"/>
      <c r="U3539" s="145" t="str">
        <f>VLOOKUP(H3539,Stock_list!A:N,14,FALSE)</f>
        <v>AUG 22</v>
      </c>
    </row>
    <row r="3540" spans="1:21" ht="16.5" customHeight="1">
      <c r="A3540" s="159" t="s">
        <v>2750</v>
      </c>
      <c r="B3540" s="114" t="str">
        <f>VLOOKUP(A3540,'Data pick slip'!B:F,5,FALSE)</f>
        <v>KHJ-MC600-00</v>
      </c>
      <c r="F3540" s="157" t="s">
        <v>1381</v>
      </c>
      <c r="H3540" s="138">
        <v>1701</v>
      </c>
      <c r="I3540" s="139" t="str">
        <f>VLOOKUP(H3540,Stock_list!A:R,18,FALSE)</f>
        <v>朗特</v>
      </c>
      <c r="J3540" s="139" t="str">
        <f>VLOOKUP(H3540,Stock_list!A:S,17,FALSE)</f>
        <v>C49SZX20220073DZ</v>
      </c>
      <c r="K3540" s="51" t="str">
        <f>VLOOKUP(H3540,Stock_list!A:T,16,FALSE)</f>
        <v>JPY</v>
      </c>
      <c r="L3540" s="4">
        <v>44777</v>
      </c>
      <c r="M3540" s="140">
        <v>4</v>
      </c>
      <c r="N3540" s="143"/>
      <c r="P3540" s="4" t="str">
        <f>VLOOKUP(H3540,Stock_list!A:Y,25,FALSE)</f>
        <v>Yes</v>
      </c>
      <c r="T3540" s="144"/>
      <c r="U3540" s="145" t="str">
        <f>VLOOKUP(H3540,Stock_list!A:N,14,FALSE)</f>
        <v>AUG 22</v>
      </c>
    </row>
    <row r="3541" spans="1:21" ht="16.5" customHeight="1">
      <c r="A3541" s="159" t="s">
        <v>2744</v>
      </c>
      <c r="B3541" s="114" t="str">
        <f>VLOOKUP(A3541,'Data pick slip'!B:F,5,FALSE)</f>
        <v>KHJ-MC100-00</v>
      </c>
      <c r="F3541" s="157" t="s">
        <v>1381</v>
      </c>
      <c r="I3541" s="139" t="s">
        <v>2853</v>
      </c>
      <c r="J3541" s="139" t="s">
        <v>3525</v>
      </c>
      <c r="K3541" s="51" t="s">
        <v>3526</v>
      </c>
      <c r="L3541" s="4">
        <v>44755</v>
      </c>
      <c r="M3541" s="140">
        <v>5</v>
      </c>
      <c r="P3541" s="4" t="s">
        <v>291</v>
      </c>
      <c r="Q3541" s="143"/>
      <c r="T3541" s="144"/>
      <c r="U3541" s="145" t="e">
        <f>VLOOKUP(H3541,Stock_list!A:N,14,FALSE)</f>
        <v>#N/A</v>
      </c>
    </row>
    <row r="3542" spans="1:21" ht="16.5" customHeight="1">
      <c r="A3542" s="159" t="s">
        <v>2744</v>
      </c>
      <c r="B3542" s="114" t="str">
        <f>VLOOKUP(A3542,'Data pick slip'!B:F,5,FALSE)</f>
        <v>KHJ-MC100-00</v>
      </c>
      <c r="F3542" s="157" t="s">
        <v>1381</v>
      </c>
      <c r="I3542" s="269" t="s">
        <v>3413</v>
      </c>
      <c r="J3542" s="139" t="s">
        <v>2989</v>
      </c>
      <c r="K3542" s="51" t="s">
        <v>1246</v>
      </c>
      <c r="L3542" s="4">
        <v>44746</v>
      </c>
      <c r="M3542" s="140">
        <v>755</v>
      </c>
      <c r="P3542" s="4" t="s">
        <v>291</v>
      </c>
      <c r="Q3542" s="143"/>
      <c r="T3542" s="144"/>
      <c r="U3542" s="145" t="e">
        <f>VLOOKUP(H3542,Stock_list!A:N,14,FALSE)</f>
        <v>#N/A</v>
      </c>
    </row>
    <row r="3543" spans="1:21" ht="16.5" customHeight="1">
      <c r="A3543" s="159" t="s">
        <v>2747</v>
      </c>
      <c r="B3543" s="114" t="str">
        <f>VLOOKUP(A3543,'Data pick slip'!B:F,5,FALSE)</f>
        <v>KHJ-MC200-00</v>
      </c>
      <c r="F3543" s="157" t="s">
        <v>1381</v>
      </c>
      <c r="I3543" s="269" t="s">
        <v>3413</v>
      </c>
      <c r="J3543" s="139" t="s">
        <v>2989</v>
      </c>
      <c r="K3543" s="51" t="s">
        <v>1246</v>
      </c>
      <c r="L3543" s="4">
        <v>44746</v>
      </c>
      <c r="M3543" s="140">
        <v>75</v>
      </c>
      <c r="P3543" s="4" t="s">
        <v>291</v>
      </c>
      <c r="Q3543" s="143"/>
      <c r="T3543" s="144"/>
      <c r="U3543" s="145" t="e">
        <f>VLOOKUP(H3543,Stock_list!A:N,14,FALSE)</f>
        <v>#N/A</v>
      </c>
    </row>
    <row r="3544" spans="1:21" ht="16.5" customHeight="1">
      <c r="A3544" s="159" t="s">
        <v>2755</v>
      </c>
      <c r="B3544" s="114" t="str">
        <f>VLOOKUP(A3544,'Data pick slip'!B:F,5,FALSE)</f>
        <v>KLJ-MC100-00</v>
      </c>
      <c r="F3544" s="157" t="s">
        <v>1381</v>
      </c>
      <c r="I3544" s="269" t="s">
        <v>3413</v>
      </c>
      <c r="J3544" s="139" t="s">
        <v>2989</v>
      </c>
      <c r="K3544" s="51" t="s">
        <v>1246</v>
      </c>
      <c r="L3544" s="4">
        <v>44746</v>
      </c>
      <c r="M3544" s="140">
        <v>280</v>
      </c>
      <c r="P3544" s="4" t="s">
        <v>291</v>
      </c>
      <c r="Q3544" s="143"/>
      <c r="T3544" s="144"/>
      <c r="U3544" s="145" t="e">
        <f>VLOOKUP(H3544,Stock_list!A:N,14,FALSE)</f>
        <v>#N/A</v>
      </c>
    </row>
    <row r="3545" spans="1:21" ht="16.5" customHeight="1">
      <c r="A3545" s="159" t="s">
        <v>2756</v>
      </c>
      <c r="B3545" s="114" t="str">
        <f>VLOOKUP(A3545,'Data pick slip'!B:F,5,FALSE)</f>
        <v>KLJ-MC200-00</v>
      </c>
      <c r="F3545" s="157" t="s">
        <v>1381</v>
      </c>
      <c r="I3545" s="269" t="s">
        <v>3413</v>
      </c>
      <c r="J3545" s="139" t="s">
        <v>2989</v>
      </c>
      <c r="K3545" s="51" t="s">
        <v>1246</v>
      </c>
      <c r="L3545" s="4">
        <v>44746</v>
      </c>
      <c r="M3545" s="140">
        <v>60</v>
      </c>
      <c r="P3545" s="4" t="s">
        <v>291</v>
      </c>
      <c r="Q3545" s="143"/>
      <c r="T3545" s="144"/>
      <c r="U3545" s="145" t="e">
        <f>VLOOKUP(H3545,Stock_list!A:N,14,FALSE)</f>
        <v>#N/A</v>
      </c>
    </row>
    <row r="3546" spans="1:21" ht="16.5" customHeight="1">
      <c r="A3546" s="159" t="s">
        <v>2758</v>
      </c>
      <c r="B3546" s="114" t="str">
        <f>VLOOKUP(A3546,'Data pick slip'!B:F,5,FALSE)</f>
        <v>KLJ-MC500-00</v>
      </c>
      <c r="F3546" s="157" t="s">
        <v>1381</v>
      </c>
      <c r="I3546" s="269" t="s">
        <v>3413</v>
      </c>
      <c r="J3546" s="139" t="s">
        <v>2989</v>
      </c>
      <c r="K3546" s="51" t="s">
        <v>1246</v>
      </c>
      <c r="L3546" s="4">
        <v>44746</v>
      </c>
      <c r="M3546" s="140">
        <v>20</v>
      </c>
      <c r="P3546" s="4" t="s">
        <v>291</v>
      </c>
      <c r="Q3546" s="143"/>
      <c r="T3546" s="144"/>
      <c r="U3546" s="145" t="e">
        <f>VLOOKUP(H3546,Stock_list!A:N,14,FALSE)</f>
        <v>#N/A</v>
      </c>
    </row>
    <row r="3547" spans="1:21" ht="16.5" customHeight="1">
      <c r="A3547" s="159" t="s">
        <v>2744</v>
      </c>
      <c r="B3547" s="114" t="str">
        <f>VLOOKUP(A3547,'Data pick slip'!B:F,5,FALSE)</f>
        <v>KHJ-MC100-00</v>
      </c>
      <c r="F3547" s="157" t="s">
        <v>1381</v>
      </c>
      <c r="I3547" s="269" t="s">
        <v>3413</v>
      </c>
      <c r="J3547" s="139" t="s">
        <v>2990</v>
      </c>
      <c r="K3547" s="51" t="s">
        <v>1246</v>
      </c>
      <c r="L3547" s="4">
        <v>44750</v>
      </c>
      <c r="M3547" s="140">
        <v>445</v>
      </c>
      <c r="P3547" s="4" t="s">
        <v>291</v>
      </c>
      <c r="Q3547" s="143"/>
      <c r="T3547" s="144"/>
      <c r="U3547" s="145" t="e">
        <f>VLOOKUP(H3547,Stock_list!A:N,14,FALSE)</f>
        <v>#N/A</v>
      </c>
    </row>
    <row r="3548" spans="1:21" ht="16.5" customHeight="1">
      <c r="A3548" s="159" t="s">
        <v>2747</v>
      </c>
      <c r="B3548" s="114" t="str">
        <f>VLOOKUP(A3548,'Data pick slip'!B:F,5,FALSE)</f>
        <v>KHJ-MC200-00</v>
      </c>
      <c r="F3548" s="157" t="s">
        <v>1381</v>
      </c>
      <c r="I3548" s="269" t="s">
        <v>3413</v>
      </c>
      <c r="J3548" s="139" t="s">
        <v>2990</v>
      </c>
      <c r="K3548" s="51" t="s">
        <v>1246</v>
      </c>
      <c r="L3548" s="4">
        <v>44750</v>
      </c>
      <c r="M3548" s="140">
        <v>70</v>
      </c>
      <c r="P3548" s="4" t="s">
        <v>291</v>
      </c>
      <c r="Q3548" s="143"/>
      <c r="T3548" s="144"/>
      <c r="U3548" s="145" t="e">
        <f>VLOOKUP(H3548,Stock_list!A:N,14,FALSE)</f>
        <v>#N/A</v>
      </c>
    </row>
    <row r="3549" spans="1:21" ht="16.5" customHeight="1">
      <c r="A3549" s="159" t="s">
        <v>2748</v>
      </c>
      <c r="B3549" s="114" t="str">
        <f>VLOOKUP(A3549,'Data pick slip'!B:F,5,FALSE)</f>
        <v>KHJ-MC400-00</v>
      </c>
      <c r="F3549" s="157" t="s">
        <v>1381</v>
      </c>
      <c r="I3549" s="269" t="s">
        <v>3413</v>
      </c>
      <c r="J3549" s="139" t="s">
        <v>2990</v>
      </c>
      <c r="K3549" s="51" t="s">
        <v>1246</v>
      </c>
      <c r="L3549" s="4">
        <v>44750</v>
      </c>
      <c r="M3549" s="140">
        <v>51</v>
      </c>
      <c r="P3549" s="4" t="s">
        <v>291</v>
      </c>
      <c r="Q3549" s="143"/>
      <c r="T3549" s="144"/>
      <c r="U3549" s="145" t="e">
        <f>VLOOKUP(H3549,Stock_list!A:N,14,FALSE)</f>
        <v>#N/A</v>
      </c>
    </row>
    <row r="3550" spans="1:21" ht="16.5" customHeight="1">
      <c r="A3550" s="159" t="s">
        <v>2749</v>
      </c>
      <c r="B3550" s="114" t="str">
        <f>VLOOKUP(A3550,'Data pick slip'!B:F,5,FALSE)</f>
        <v>KHJ-MC500-00</v>
      </c>
      <c r="F3550" s="157" t="s">
        <v>1381</v>
      </c>
      <c r="I3550" s="269" t="s">
        <v>3413</v>
      </c>
      <c r="J3550" s="139" t="s">
        <v>2990</v>
      </c>
      <c r="K3550" s="51" t="s">
        <v>1246</v>
      </c>
      <c r="L3550" s="4">
        <v>44750</v>
      </c>
      <c r="M3550" s="140">
        <v>18</v>
      </c>
      <c r="P3550" s="4" t="s">
        <v>291</v>
      </c>
      <c r="Q3550" s="143"/>
      <c r="T3550" s="144"/>
      <c r="U3550" s="145" t="e">
        <f>VLOOKUP(H3550,Stock_list!A:N,14,FALSE)</f>
        <v>#N/A</v>
      </c>
    </row>
    <row r="3551" spans="1:21" ht="16.5" customHeight="1">
      <c r="A3551" s="159" t="s">
        <v>2750</v>
      </c>
      <c r="B3551" s="114" t="str">
        <f>VLOOKUP(A3551,'Data pick slip'!B:F,5,FALSE)</f>
        <v>KHJ-MC600-00</v>
      </c>
      <c r="F3551" s="157" t="s">
        <v>1381</v>
      </c>
      <c r="I3551" s="269" t="s">
        <v>3413</v>
      </c>
      <c r="J3551" s="139" t="s">
        <v>2990</v>
      </c>
      <c r="K3551" s="51" t="s">
        <v>1246</v>
      </c>
      <c r="L3551" s="4">
        <v>44750</v>
      </c>
      <c r="M3551" s="140">
        <v>6</v>
      </c>
      <c r="P3551" s="4" t="s">
        <v>291</v>
      </c>
      <c r="Q3551" s="143"/>
      <c r="T3551" s="144"/>
      <c r="U3551" s="145" t="e">
        <f>VLOOKUP(H3551,Stock_list!A:N,14,FALSE)</f>
        <v>#N/A</v>
      </c>
    </row>
    <row r="3552" spans="1:21" ht="16.5" customHeight="1">
      <c r="A3552" s="159" t="s">
        <v>2757</v>
      </c>
      <c r="B3552" s="114" t="str">
        <f>VLOOKUP(A3552,'Data pick slip'!B:F,5,FALSE)</f>
        <v>KLJ-MC400-00</v>
      </c>
      <c r="F3552" s="157" t="s">
        <v>1381</v>
      </c>
      <c r="I3552" s="269" t="s">
        <v>3413</v>
      </c>
      <c r="J3552" s="139" t="s">
        <v>2990</v>
      </c>
      <c r="K3552" s="51" t="s">
        <v>1246</v>
      </c>
      <c r="L3552" s="4">
        <v>44750</v>
      </c>
      <c r="M3552" s="140">
        <v>36</v>
      </c>
      <c r="P3552" s="4" t="s">
        <v>291</v>
      </c>
      <c r="Q3552" s="143"/>
      <c r="T3552" s="144"/>
      <c r="U3552" s="145" t="e">
        <f>VLOOKUP(H3552,Stock_list!A:N,14,FALSE)</f>
        <v>#N/A</v>
      </c>
    </row>
    <row r="3553" spans="1:21" ht="16.5" customHeight="1">
      <c r="A3553" s="159" t="s">
        <v>2744</v>
      </c>
      <c r="B3553" s="114" t="str">
        <f>VLOOKUP(A3553,'Data pick slip'!B:F,5,FALSE)</f>
        <v>KHJ-MC100-00</v>
      </c>
      <c r="F3553" s="157" t="s">
        <v>2753</v>
      </c>
      <c r="H3553" s="138">
        <v>1709</v>
      </c>
      <c r="I3553" s="139" t="str">
        <f>VLOOKUP(H3553,Stock_list!A:R,18,FALSE)</f>
        <v>顺禾</v>
      </c>
      <c r="J3553" s="139" t="str">
        <f>VLOOKUP(H3553,Stock_list!A:S,17,FALSE)</f>
        <v>C49SZX20220080JY</v>
      </c>
      <c r="K3553" s="51" t="str">
        <f>VLOOKUP(H3553,Stock_list!A:T,16,FALSE)</f>
        <v>RMB</v>
      </c>
      <c r="L3553" s="4">
        <v>44785</v>
      </c>
      <c r="M3553" s="140">
        <v>28</v>
      </c>
      <c r="P3553" s="4" t="str">
        <f>VLOOKUP(H3553,Stock_list!A:Y,25,FALSE)</f>
        <v>Yes</v>
      </c>
      <c r="Q3553" s="143"/>
      <c r="T3553" s="144"/>
      <c r="U3553" s="145" t="str">
        <f>VLOOKUP(H3553,Stock_list!A:N,14,FALSE)</f>
        <v>AUG 22</v>
      </c>
    </row>
    <row r="3554" spans="1:21" ht="16.5" customHeight="1">
      <c r="A3554" s="159" t="s">
        <v>2747</v>
      </c>
      <c r="B3554" s="114" t="str">
        <f>VLOOKUP(A3554,'Data pick slip'!B:F,5,FALSE)</f>
        <v>KHJ-MC200-00</v>
      </c>
      <c r="F3554" s="157" t="s">
        <v>2753</v>
      </c>
      <c r="H3554" s="138">
        <v>1709</v>
      </c>
      <c r="I3554" s="139" t="str">
        <f>VLOOKUP(H3554,Stock_list!A:R,18,FALSE)</f>
        <v>顺禾</v>
      </c>
      <c r="J3554" s="139" t="str">
        <f>VLOOKUP(H3554,Stock_list!A:S,17,FALSE)</f>
        <v>C49SZX20220080JY</v>
      </c>
      <c r="K3554" s="51" t="str">
        <f>VLOOKUP(H3554,Stock_list!A:T,16,FALSE)</f>
        <v>RMB</v>
      </c>
      <c r="L3554" s="4">
        <v>44785</v>
      </c>
      <c r="M3554" s="140">
        <v>12</v>
      </c>
      <c r="P3554" s="4" t="str">
        <f>VLOOKUP(H3554,Stock_list!A:Y,25,FALSE)</f>
        <v>Yes</v>
      </c>
      <c r="Q3554" s="143"/>
      <c r="T3554" s="144"/>
      <c r="U3554" s="145" t="str">
        <f>VLOOKUP(H3554,Stock_list!A:N,14,FALSE)</f>
        <v>AUG 22</v>
      </c>
    </row>
    <row r="3555" spans="1:21" ht="16.5" customHeight="1">
      <c r="A3555" s="159" t="s">
        <v>2748</v>
      </c>
      <c r="B3555" s="114" t="str">
        <f>VLOOKUP(A3555,'Data pick slip'!B:F,5,FALSE)</f>
        <v>KHJ-MC400-00</v>
      </c>
      <c r="F3555" s="157" t="s">
        <v>2753</v>
      </c>
      <c r="H3555" s="138">
        <v>1709</v>
      </c>
      <c r="I3555" s="139" t="str">
        <f>VLOOKUP(H3555,Stock_list!A:R,18,FALSE)</f>
        <v>顺禾</v>
      </c>
      <c r="J3555" s="139" t="str">
        <f>VLOOKUP(H3555,Stock_list!A:S,17,FALSE)</f>
        <v>C49SZX20220080JY</v>
      </c>
      <c r="K3555" s="51" t="str">
        <f>VLOOKUP(H3555,Stock_list!A:T,16,FALSE)</f>
        <v>RMB</v>
      </c>
      <c r="L3555" s="4">
        <v>44785</v>
      </c>
      <c r="M3555" s="140">
        <v>4</v>
      </c>
      <c r="P3555" s="4" t="str">
        <f>VLOOKUP(H3555,Stock_list!A:Y,25,FALSE)</f>
        <v>Yes</v>
      </c>
      <c r="Q3555" s="143"/>
      <c r="T3555" s="144"/>
      <c r="U3555" s="145" t="str">
        <f>VLOOKUP(H3555,Stock_list!A:N,14,FALSE)</f>
        <v>AUG 22</v>
      </c>
    </row>
    <row r="3556" spans="1:21" ht="16.5" customHeight="1">
      <c r="A3556" s="159" t="s">
        <v>2744</v>
      </c>
      <c r="B3556" s="114" t="str">
        <f>VLOOKUP(A3556,'Data pick slip'!B:F,5,FALSE)</f>
        <v>KHJ-MC100-00</v>
      </c>
      <c r="F3556" s="157" t="s">
        <v>1381</v>
      </c>
      <c r="I3556" s="269" t="s">
        <v>3413</v>
      </c>
      <c r="J3556" s="139" t="s">
        <v>2991</v>
      </c>
      <c r="K3556" s="51" t="s">
        <v>1246</v>
      </c>
      <c r="L3556" s="4">
        <v>44763</v>
      </c>
      <c r="M3556" s="140">
        <v>120</v>
      </c>
      <c r="P3556" s="4" t="s">
        <v>291</v>
      </c>
      <c r="Q3556" s="143"/>
      <c r="T3556" s="144"/>
      <c r="U3556" s="145" t="e">
        <f>VLOOKUP(H3556,Stock_list!A:N,14,FALSE)</f>
        <v>#N/A</v>
      </c>
    </row>
    <row r="3557" spans="1:21" ht="16.5" customHeight="1">
      <c r="A3557" s="159" t="s">
        <v>2747</v>
      </c>
      <c r="B3557" s="114" t="str">
        <f>VLOOKUP(A3557,'Data pick slip'!B:F,5,FALSE)</f>
        <v>KHJ-MC200-00</v>
      </c>
      <c r="F3557" s="157" t="s">
        <v>1381</v>
      </c>
      <c r="I3557" s="269" t="s">
        <v>3413</v>
      </c>
      <c r="J3557" s="139" t="s">
        <v>2991</v>
      </c>
      <c r="K3557" s="51" t="s">
        <v>1246</v>
      </c>
      <c r="L3557" s="4">
        <v>44763</v>
      </c>
      <c r="M3557" s="140">
        <v>13</v>
      </c>
      <c r="P3557" s="4" t="s">
        <v>291</v>
      </c>
      <c r="Q3557" s="143"/>
      <c r="T3557" s="144"/>
      <c r="U3557" s="145" t="e">
        <f>VLOOKUP(H3557,Stock_list!A:N,14,FALSE)</f>
        <v>#N/A</v>
      </c>
    </row>
    <row r="3558" spans="1:21" ht="16.5" customHeight="1">
      <c r="A3558" s="159" t="s">
        <v>2748</v>
      </c>
      <c r="B3558" s="114" t="str">
        <f>VLOOKUP(A3558,'Data pick slip'!B:F,5,FALSE)</f>
        <v>KHJ-MC400-00</v>
      </c>
      <c r="F3558" s="157" t="s">
        <v>1381</v>
      </c>
      <c r="I3558" s="269" t="s">
        <v>3413</v>
      </c>
      <c r="J3558" s="139" t="s">
        <v>2991</v>
      </c>
      <c r="K3558" s="51" t="s">
        <v>1246</v>
      </c>
      <c r="L3558" s="4">
        <v>44763</v>
      </c>
      <c r="M3558" s="140">
        <v>5</v>
      </c>
      <c r="P3558" s="4" t="s">
        <v>291</v>
      </c>
      <c r="Q3558" s="143"/>
      <c r="T3558" s="144"/>
      <c r="U3558" s="145" t="e">
        <f>VLOOKUP(H3558,Stock_list!A:N,14,FALSE)</f>
        <v>#N/A</v>
      </c>
    </row>
    <row r="3559" spans="1:21" ht="16.5" customHeight="1">
      <c r="A3559" s="159" t="s">
        <v>2749</v>
      </c>
      <c r="B3559" s="114" t="str">
        <f>VLOOKUP(A3559,'Data pick slip'!B:F,5,FALSE)</f>
        <v>KHJ-MC500-00</v>
      </c>
      <c r="F3559" s="157" t="s">
        <v>1381</v>
      </c>
      <c r="I3559" s="269" t="s">
        <v>3413</v>
      </c>
      <c r="J3559" s="139" t="s">
        <v>2991</v>
      </c>
      <c r="K3559" s="51" t="s">
        <v>1246</v>
      </c>
      <c r="L3559" s="4">
        <v>44763</v>
      </c>
      <c r="M3559" s="140">
        <v>5</v>
      </c>
      <c r="P3559" s="4" t="s">
        <v>291</v>
      </c>
      <c r="Q3559" s="143"/>
      <c r="T3559" s="144"/>
      <c r="U3559" s="145" t="e">
        <f>VLOOKUP(H3559,Stock_list!A:N,14,FALSE)</f>
        <v>#N/A</v>
      </c>
    </row>
    <row r="3560" spans="1:21" ht="16.5" customHeight="1">
      <c r="A3560" s="159" t="s">
        <v>2744</v>
      </c>
      <c r="B3560" s="114" t="str">
        <f>VLOOKUP(A3560,'Data pick slip'!B:F,5,FALSE)</f>
        <v>KHJ-MC100-00</v>
      </c>
      <c r="F3560" s="157" t="s">
        <v>1381</v>
      </c>
      <c r="I3560" s="269" t="s">
        <v>3413</v>
      </c>
      <c r="J3560" s="139" t="s">
        <v>2992</v>
      </c>
      <c r="K3560" s="51" t="s">
        <v>1246</v>
      </c>
      <c r="L3560" s="4">
        <v>44775</v>
      </c>
      <c r="M3560" s="140">
        <v>210</v>
      </c>
      <c r="P3560" s="4" t="s">
        <v>291</v>
      </c>
      <c r="Q3560" s="143"/>
      <c r="T3560" s="144"/>
      <c r="U3560" s="145" t="e">
        <f>VLOOKUP(H3560,Stock_list!A:N,14,FALSE)</f>
        <v>#N/A</v>
      </c>
    </row>
    <row r="3561" spans="1:21" ht="16.5" customHeight="1">
      <c r="A3561" s="159" t="s">
        <v>2747</v>
      </c>
      <c r="B3561" s="114" t="str">
        <f>VLOOKUP(A3561,'Data pick slip'!B:F,5,FALSE)</f>
        <v>KHJ-MC200-00</v>
      </c>
      <c r="F3561" s="157" t="s">
        <v>1381</v>
      </c>
      <c r="I3561" s="269" t="s">
        <v>3413</v>
      </c>
      <c r="J3561" s="139" t="s">
        <v>2992</v>
      </c>
      <c r="K3561" s="51" t="s">
        <v>1246</v>
      </c>
      <c r="L3561" s="4">
        <v>44775</v>
      </c>
      <c r="M3561" s="140">
        <v>20</v>
      </c>
      <c r="P3561" s="4" t="s">
        <v>291</v>
      </c>
      <c r="Q3561" s="143"/>
      <c r="T3561" s="144"/>
      <c r="U3561" s="145" t="e">
        <f>VLOOKUP(H3561,Stock_list!A:N,14,FALSE)</f>
        <v>#N/A</v>
      </c>
    </row>
    <row r="3562" spans="1:21" ht="16.5" customHeight="1">
      <c r="A3562" s="159" t="s">
        <v>2755</v>
      </c>
      <c r="B3562" s="114" t="str">
        <f>VLOOKUP(A3562,'Data pick slip'!B:F,5,FALSE)</f>
        <v>KLJ-MC100-00</v>
      </c>
      <c r="F3562" s="157" t="s">
        <v>1381</v>
      </c>
      <c r="I3562" s="269" t="s">
        <v>3413</v>
      </c>
      <c r="J3562" s="139" t="s">
        <v>2992</v>
      </c>
      <c r="K3562" s="51" t="s">
        <v>1246</v>
      </c>
      <c r="L3562" s="4">
        <v>44775</v>
      </c>
      <c r="M3562" s="140">
        <v>95</v>
      </c>
      <c r="P3562" s="4" t="s">
        <v>291</v>
      </c>
      <c r="Q3562" s="143"/>
      <c r="T3562" s="144"/>
      <c r="U3562" s="145" t="e">
        <f>VLOOKUP(H3562,Stock_list!A:N,14,FALSE)</f>
        <v>#N/A</v>
      </c>
    </row>
    <row r="3563" spans="1:21" ht="16.5" customHeight="1">
      <c r="A3563" s="159" t="s">
        <v>2744</v>
      </c>
      <c r="B3563" s="114" t="str">
        <f>VLOOKUP(A3563,'Data pick slip'!B:F,5,FALSE)</f>
        <v>KHJ-MC100-00</v>
      </c>
      <c r="F3563" s="157" t="s">
        <v>1381</v>
      </c>
      <c r="H3563" s="138">
        <v>1710</v>
      </c>
      <c r="I3563" s="139" t="str">
        <f>VLOOKUP(H3563,Stock_list!A:R,18,FALSE)</f>
        <v>朗特</v>
      </c>
      <c r="J3563" s="139" t="str">
        <f>VLOOKUP(H3563,Stock_list!A:S,17,FALSE)</f>
        <v>C49SZX20220084DZ</v>
      </c>
      <c r="K3563" s="51" t="str">
        <f>VLOOKUP(H3563,Stock_list!A:T,16,FALSE)</f>
        <v>JPY</v>
      </c>
      <c r="L3563" s="4">
        <v>44779</v>
      </c>
      <c r="M3563" s="140">
        <v>123</v>
      </c>
      <c r="O3563" s="132">
        <f>123-123</f>
        <v>0</v>
      </c>
      <c r="P3563" s="4" t="str">
        <f>VLOOKUP(H3563,Stock_list!A:Y,25,FALSE)</f>
        <v>Yes</v>
      </c>
      <c r="Q3563" s="143"/>
      <c r="T3563" s="144"/>
      <c r="U3563" s="145" t="str">
        <f>VLOOKUP(H3563,Stock_list!A:N,14,FALSE)</f>
        <v>SEP 22</v>
      </c>
    </row>
    <row r="3564" spans="1:21" ht="16.5" customHeight="1">
      <c r="A3564" s="159" t="s">
        <v>2744</v>
      </c>
      <c r="B3564" s="114" t="str">
        <f>VLOOKUP(A3564,'Data pick slip'!B:F,5,FALSE)</f>
        <v>KHJ-MC100-00</v>
      </c>
      <c r="F3564" s="157" t="s">
        <v>1381</v>
      </c>
      <c r="H3564" s="138">
        <v>1713</v>
      </c>
      <c r="I3564" s="139" t="str">
        <f>VLOOKUP(H3564,Stock_list!A:R,18,FALSE)</f>
        <v>WKK(end user:熵基）</v>
      </c>
      <c r="J3564" s="139" t="str">
        <f>VLOOKUP(H3564,Stock_list!A:S,17,FALSE)</f>
        <v>C49SZX20220086VG/ESE220803STOCK-OS</v>
      </c>
      <c r="K3564" s="51" t="str">
        <f>VLOOKUP(H3564,Stock_list!A:T,16,FALSE)</f>
        <v>JPY</v>
      </c>
      <c r="L3564" s="4">
        <v>44883</v>
      </c>
      <c r="M3564" s="140" t="s">
        <v>3527</v>
      </c>
      <c r="N3564" s="143"/>
      <c r="P3564" s="4" t="str">
        <f>VLOOKUP(H3564,Stock_list!A:Y,25,FALSE)</f>
        <v>Yes</v>
      </c>
      <c r="Q3564" s="143"/>
      <c r="T3564" s="144"/>
      <c r="U3564" s="145" t="str">
        <f>VLOOKUP(H3564,Stock_list!A:N,14,FALSE)</f>
        <v>NOV 22</v>
      </c>
    </row>
    <row r="3565" spans="1:21" ht="16.5" customHeight="1">
      <c r="A3565" s="159" t="s">
        <v>2747</v>
      </c>
      <c r="B3565" s="114" t="str">
        <f>VLOOKUP(A3565,'Data pick slip'!B:F,5,FALSE)</f>
        <v>KHJ-MC200-00</v>
      </c>
      <c r="F3565" s="157" t="s">
        <v>1381</v>
      </c>
      <c r="H3565" s="138">
        <v>1713</v>
      </c>
      <c r="I3565" s="139" t="str">
        <f>VLOOKUP(H3565,Stock_list!A:R,18,FALSE)</f>
        <v>WKK(end user:熵基）</v>
      </c>
      <c r="J3565" s="139" t="str">
        <f>VLOOKUP(H3565,Stock_list!A:S,17,FALSE)</f>
        <v>C49SZX20220086VG/ESE220803STOCK-OS</v>
      </c>
      <c r="K3565" s="51" t="str">
        <f>VLOOKUP(H3565,Stock_list!A:T,16,FALSE)</f>
        <v>JPY</v>
      </c>
      <c r="L3565" s="4">
        <v>44883</v>
      </c>
      <c r="M3565" s="140" t="s">
        <v>3528</v>
      </c>
      <c r="N3565" s="143"/>
      <c r="P3565" s="4" t="str">
        <f>VLOOKUP(H3565,Stock_list!A:Y,25,FALSE)</f>
        <v>Yes</v>
      </c>
      <c r="Q3565" s="143"/>
      <c r="T3565" s="144"/>
      <c r="U3565" s="145" t="str">
        <f>VLOOKUP(H3565,Stock_list!A:N,14,FALSE)</f>
        <v>NOV 22</v>
      </c>
    </row>
    <row r="3566" spans="1:21" ht="16.5" customHeight="1">
      <c r="A3566" s="159" t="s">
        <v>2748</v>
      </c>
      <c r="B3566" s="114" t="str">
        <f>VLOOKUP(A3566,'Data pick slip'!B:F,5,FALSE)</f>
        <v>KHJ-MC400-00</v>
      </c>
      <c r="F3566" s="157" t="s">
        <v>1381</v>
      </c>
      <c r="H3566" s="138">
        <v>1713</v>
      </c>
      <c r="I3566" s="139" t="str">
        <f>VLOOKUP(H3566,Stock_list!A:R,18,FALSE)</f>
        <v>WKK(end user:熵基）</v>
      </c>
      <c r="J3566" s="139" t="str">
        <f>VLOOKUP(H3566,Stock_list!A:S,17,FALSE)</f>
        <v>C49SZX20220086VG/ESE220803STOCK-OS</v>
      </c>
      <c r="K3566" s="51" t="str">
        <f>VLOOKUP(H3566,Stock_list!A:T,16,FALSE)</f>
        <v>JPY</v>
      </c>
      <c r="L3566" s="4">
        <v>44883</v>
      </c>
      <c r="M3566" s="140" t="s">
        <v>3529</v>
      </c>
      <c r="N3566" s="143"/>
      <c r="P3566" s="4" t="str">
        <f>VLOOKUP(H3566,Stock_list!A:Y,25,FALSE)</f>
        <v>Yes</v>
      </c>
      <c r="Q3566" s="143"/>
      <c r="T3566" s="144"/>
      <c r="U3566" s="145" t="str">
        <f>VLOOKUP(H3566,Stock_list!A:N,14,FALSE)</f>
        <v>NOV 22</v>
      </c>
    </row>
    <row r="3567" spans="1:21" ht="16.5" customHeight="1">
      <c r="A3567" s="159" t="s">
        <v>2749</v>
      </c>
      <c r="B3567" s="114" t="str">
        <f>VLOOKUP(A3567,'Data pick slip'!B:F,5,FALSE)</f>
        <v>KHJ-MC500-00</v>
      </c>
      <c r="F3567" s="157" t="s">
        <v>1381</v>
      </c>
      <c r="H3567" s="138">
        <v>1713</v>
      </c>
      <c r="I3567" s="139" t="str">
        <f>VLOOKUP(H3567,Stock_list!A:R,18,FALSE)</f>
        <v>WKK(end user:熵基）</v>
      </c>
      <c r="J3567" s="139" t="str">
        <f>VLOOKUP(H3567,Stock_list!A:S,17,FALSE)</f>
        <v>C49SZX20220086VG/ESE220803STOCK-OS</v>
      </c>
      <c r="K3567" s="51" t="str">
        <f>VLOOKUP(H3567,Stock_list!A:T,16,FALSE)</f>
        <v>JPY</v>
      </c>
      <c r="L3567" s="4">
        <v>44883</v>
      </c>
      <c r="M3567" s="140" t="s">
        <v>3530</v>
      </c>
      <c r="N3567" s="143"/>
      <c r="P3567" s="4" t="str">
        <f>VLOOKUP(H3567,Stock_list!A:Y,25,FALSE)</f>
        <v>Yes</v>
      </c>
      <c r="Q3567" s="143"/>
      <c r="T3567" s="144"/>
      <c r="U3567" s="145" t="str">
        <f>VLOOKUP(H3567,Stock_list!A:N,14,FALSE)</f>
        <v>NOV 22</v>
      </c>
    </row>
    <row r="3568" spans="1:21" ht="16.5" customHeight="1">
      <c r="A3568" s="159" t="s">
        <v>2750</v>
      </c>
      <c r="B3568" s="114" t="str">
        <f>VLOOKUP(A3568,'Data pick slip'!B:F,5,FALSE)</f>
        <v>KHJ-MC600-00</v>
      </c>
      <c r="F3568" s="157" t="s">
        <v>1381</v>
      </c>
      <c r="H3568" s="138">
        <v>1713</v>
      </c>
      <c r="I3568" s="139" t="str">
        <f>VLOOKUP(H3568,Stock_list!A:R,18,FALSE)</f>
        <v>WKK(end user:熵基）</v>
      </c>
      <c r="J3568" s="139" t="str">
        <f>VLOOKUP(H3568,Stock_list!A:S,17,FALSE)</f>
        <v>C49SZX20220086VG/ESE220803STOCK-OS</v>
      </c>
      <c r="K3568" s="51" t="str">
        <f>VLOOKUP(H3568,Stock_list!A:T,16,FALSE)</f>
        <v>JPY</v>
      </c>
      <c r="L3568" s="4">
        <v>44883</v>
      </c>
      <c r="M3568" s="140" t="s">
        <v>3530</v>
      </c>
      <c r="N3568" s="143"/>
      <c r="P3568" s="4" t="str">
        <f>VLOOKUP(H3568,Stock_list!A:Y,25,FALSE)</f>
        <v>Yes</v>
      </c>
      <c r="Q3568" s="143"/>
      <c r="T3568" s="144"/>
      <c r="U3568" s="145" t="str">
        <f>VLOOKUP(H3568,Stock_list!A:N,14,FALSE)</f>
        <v>NOV 22</v>
      </c>
    </row>
    <row r="3569" spans="1:21" ht="16.5" customHeight="1">
      <c r="A3569" s="159" t="s">
        <v>2744</v>
      </c>
      <c r="B3569" s="114" t="str">
        <f>VLOOKUP(A3569,'Data pick slip'!B:F,5,FALSE)</f>
        <v>KHJ-MC100-00</v>
      </c>
      <c r="F3569" s="157" t="s">
        <v>1381</v>
      </c>
      <c r="I3569" s="269" t="s">
        <v>3413</v>
      </c>
      <c r="J3569" s="139" t="s">
        <v>2993</v>
      </c>
      <c r="K3569" s="51" t="s">
        <v>1246</v>
      </c>
      <c r="L3569" s="4">
        <v>44778</v>
      </c>
      <c r="M3569" s="140">
        <v>124</v>
      </c>
      <c r="P3569" s="4" t="s">
        <v>291</v>
      </c>
      <c r="Q3569" s="143"/>
      <c r="T3569" s="144"/>
      <c r="U3569" s="145" t="e">
        <f>VLOOKUP(H3569,Stock_list!A:N,14,FALSE)</f>
        <v>#N/A</v>
      </c>
    </row>
    <row r="3570" spans="1:21" ht="16.5" customHeight="1">
      <c r="A3570" s="159" t="s">
        <v>2747</v>
      </c>
      <c r="B3570" s="114" t="str">
        <f>VLOOKUP(A3570,'Data pick slip'!B:F,5,FALSE)</f>
        <v>KHJ-MC200-00</v>
      </c>
      <c r="F3570" s="157" t="s">
        <v>1381</v>
      </c>
      <c r="I3570" s="269" t="s">
        <v>3413</v>
      </c>
      <c r="J3570" s="139" t="s">
        <v>2993</v>
      </c>
      <c r="K3570" s="51" t="s">
        <v>1246</v>
      </c>
      <c r="L3570" s="4">
        <v>44778</v>
      </c>
      <c r="M3570" s="140">
        <v>5</v>
      </c>
      <c r="P3570" s="4" t="s">
        <v>291</v>
      </c>
      <c r="Q3570" s="143"/>
      <c r="T3570" s="144"/>
      <c r="U3570" s="145" t="e">
        <f>VLOOKUP(H3570,Stock_list!A:N,14,FALSE)</f>
        <v>#N/A</v>
      </c>
    </row>
    <row r="3571" spans="1:21" ht="16.5" customHeight="1">
      <c r="A3571" s="159" t="s">
        <v>2748</v>
      </c>
      <c r="B3571" s="114" t="str">
        <f>VLOOKUP(A3571,'Data pick slip'!B:F,5,FALSE)</f>
        <v>KHJ-MC400-00</v>
      </c>
      <c r="F3571" s="157" t="s">
        <v>1381</v>
      </c>
      <c r="I3571" s="269" t="s">
        <v>3413</v>
      </c>
      <c r="J3571" s="139" t="s">
        <v>2993</v>
      </c>
      <c r="K3571" s="51" t="s">
        <v>1246</v>
      </c>
      <c r="L3571" s="4">
        <v>44778</v>
      </c>
      <c r="M3571" s="140">
        <v>3</v>
      </c>
      <c r="P3571" s="4" t="s">
        <v>291</v>
      </c>
      <c r="Q3571" s="143"/>
      <c r="T3571" s="144"/>
      <c r="U3571" s="145" t="e">
        <f>VLOOKUP(H3571,Stock_list!A:N,14,FALSE)</f>
        <v>#N/A</v>
      </c>
    </row>
    <row r="3572" spans="1:21" ht="16.5" customHeight="1">
      <c r="A3572" s="159" t="s">
        <v>2749</v>
      </c>
      <c r="B3572" s="114" t="str">
        <f>VLOOKUP(A3572,'Data pick slip'!B:F,5,FALSE)</f>
        <v>KHJ-MC500-00</v>
      </c>
      <c r="F3572" s="157" t="s">
        <v>1381</v>
      </c>
      <c r="I3572" s="269" t="s">
        <v>3413</v>
      </c>
      <c r="J3572" s="139" t="s">
        <v>2993</v>
      </c>
      <c r="K3572" s="51" t="s">
        <v>1246</v>
      </c>
      <c r="L3572" s="4">
        <v>44778</v>
      </c>
      <c r="M3572" s="140">
        <v>7</v>
      </c>
      <c r="P3572" s="4" t="s">
        <v>291</v>
      </c>
      <c r="Q3572" s="143"/>
      <c r="T3572" s="144"/>
      <c r="U3572" s="145" t="e">
        <f>VLOOKUP(H3572,Stock_list!A:N,14,FALSE)</f>
        <v>#N/A</v>
      </c>
    </row>
    <row r="3573" spans="1:21" ht="16.5" customHeight="1">
      <c r="A3573" s="159" t="s">
        <v>2744</v>
      </c>
      <c r="B3573" s="114" t="str">
        <f>VLOOKUP(A3573,'Data pick slip'!B:F,5,FALSE)</f>
        <v>KHJ-MC100-00</v>
      </c>
      <c r="F3573" s="157" t="s">
        <v>2773</v>
      </c>
      <c r="H3573" s="138">
        <v>1715</v>
      </c>
      <c r="I3573" s="139" t="str">
        <f>VLOOKUP(H3573,Stock_list!A:R,18,FALSE)</f>
        <v>安林</v>
      </c>
      <c r="J3573" s="139" t="str">
        <f>VLOOKUP(H3573,Stock_list!A:S,17,FALSE)</f>
        <v>C49SZX20220088SX</v>
      </c>
      <c r="K3573" s="51" t="str">
        <f>VLOOKUP(H3573,Stock_list!A:T,16,FALSE)</f>
        <v>RMB</v>
      </c>
      <c r="L3573" s="4">
        <v>44790</v>
      </c>
      <c r="M3573" s="140">
        <v>8</v>
      </c>
      <c r="P3573" s="4" t="str">
        <f>VLOOKUP(H3573,Stock_list!A:Y,25,FALSE)</f>
        <v>Yes</v>
      </c>
      <c r="Q3573" s="143"/>
      <c r="T3573" s="144"/>
      <c r="U3573" s="145" t="str">
        <f>VLOOKUP(H3573,Stock_list!A:N,14,FALSE)</f>
        <v>AUG 22</v>
      </c>
    </row>
    <row r="3574" spans="1:21" ht="16.5" customHeight="1">
      <c r="A3574" s="159" t="s">
        <v>2755</v>
      </c>
      <c r="B3574" s="114" t="str">
        <f>VLOOKUP(A3574,'Data pick slip'!B:F,5,FALSE)</f>
        <v>KLJ-MC100-00</v>
      </c>
      <c r="F3574" s="157" t="s">
        <v>2753</v>
      </c>
      <c r="H3574" s="138">
        <v>1707</v>
      </c>
      <c r="I3574" s="139" t="str">
        <f>VLOOKUP(H3574,Stock_list!A:R,18,FALSE)</f>
        <v>惠州耕创</v>
      </c>
      <c r="J3574" s="139" t="str">
        <f>VLOOKUP(H3574,Stock_list!A:S,17,FALSE)</f>
        <v>C49SZX20220083DZ</v>
      </c>
      <c r="K3574" s="51" t="str">
        <f>VLOOKUP(H3574,Stock_list!A:T,16,FALSE)</f>
        <v>RMB</v>
      </c>
      <c r="L3574" s="4">
        <v>44789</v>
      </c>
      <c r="M3574" s="140">
        <v>55</v>
      </c>
      <c r="P3574" s="4" t="str">
        <f>VLOOKUP(H3574,Stock_list!A:Y,25,FALSE)</f>
        <v>Yes</v>
      </c>
      <c r="Q3574" s="143"/>
      <c r="T3574" s="144"/>
      <c r="U3574" s="145" t="str">
        <f>VLOOKUP(H3574,Stock_list!A:N,14,FALSE)</f>
        <v>AUG 22</v>
      </c>
    </row>
    <row r="3575" spans="1:21" ht="16.5" customHeight="1">
      <c r="A3575" s="159" t="s">
        <v>2748</v>
      </c>
      <c r="B3575" s="114" t="str">
        <f>VLOOKUP(A3575,'Data pick slip'!B:F,5,FALSE)</f>
        <v>KHJ-MC400-00</v>
      </c>
      <c r="F3575" s="157" t="s">
        <v>1381</v>
      </c>
      <c r="I3575" s="139" t="s">
        <v>2853</v>
      </c>
      <c r="J3575" s="267" t="s">
        <v>3531</v>
      </c>
      <c r="K3575" s="51" t="s">
        <v>3002</v>
      </c>
      <c r="L3575" s="4">
        <v>44795</v>
      </c>
      <c r="M3575" s="140">
        <v>1</v>
      </c>
      <c r="P3575" s="4" t="s">
        <v>291</v>
      </c>
      <c r="Q3575" s="143"/>
      <c r="T3575" s="144"/>
      <c r="U3575" s="145" t="e">
        <f>VLOOKUP(H3575,Stock_list!A:N,14,FALSE)</f>
        <v>#N/A</v>
      </c>
    </row>
    <row r="3576" spans="1:21" ht="16.5" customHeight="1">
      <c r="A3576" s="159" t="s">
        <v>2744</v>
      </c>
      <c r="B3576" s="114" t="str">
        <f>VLOOKUP(A3576,'Data pick slip'!B:F,5,FALSE)</f>
        <v>KHJ-MC100-00</v>
      </c>
      <c r="F3576" s="157" t="s">
        <v>2753</v>
      </c>
      <c r="H3576" s="138">
        <v>1717</v>
      </c>
      <c r="I3576" s="139" t="str">
        <f>VLOOKUP(H3576,Stock_list!A:R,18,FALSE)</f>
        <v>维创斯特</v>
      </c>
      <c r="J3576" s="139" t="str">
        <f>VLOOKUP(H3576,Stock_list!A:S,17,FALSE)</f>
        <v>C49SZX20220090SQ</v>
      </c>
      <c r="K3576" s="51" t="str">
        <f>VLOOKUP(H3576,Stock_list!A:T,16,FALSE)</f>
        <v>RMB</v>
      </c>
      <c r="L3576" s="4">
        <v>44831</v>
      </c>
      <c r="M3576" s="143">
        <v>35</v>
      </c>
      <c r="P3576" s="4" t="str">
        <f>VLOOKUP(H3576,Stock_list!A:Y,25,FALSE)</f>
        <v>Yes</v>
      </c>
      <c r="Q3576" s="143"/>
      <c r="T3576" s="144"/>
      <c r="U3576" s="145" t="str">
        <f>VLOOKUP(H3576,Stock_list!A:N,14,FALSE)</f>
        <v>SEP 22</v>
      </c>
    </row>
    <row r="3577" spans="1:21" ht="16.5" customHeight="1">
      <c r="A3577" s="159" t="s">
        <v>2747</v>
      </c>
      <c r="B3577" s="114" t="str">
        <f>VLOOKUP(A3577,'Data pick slip'!B:F,5,FALSE)</f>
        <v>KHJ-MC200-00</v>
      </c>
      <c r="F3577" s="157" t="s">
        <v>2753</v>
      </c>
      <c r="H3577" s="138">
        <v>1717</v>
      </c>
      <c r="I3577" s="139" t="str">
        <f>VLOOKUP(H3577,Stock_list!A:R,18,FALSE)</f>
        <v>维创斯特</v>
      </c>
      <c r="J3577" s="139" t="str">
        <f>VLOOKUP(H3577,Stock_list!A:S,17,FALSE)</f>
        <v>C49SZX20220090SQ</v>
      </c>
      <c r="K3577" s="51" t="str">
        <f>VLOOKUP(H3577,Stock_list!A:T,16,FALSE)</f>
        <v>RMB</v>
      </c>
      <c r="L3577" s="4">
        <v>44831</v>
      </c>
      <c r="M3577" s="143">
        <v>15</v>
      </c>
      <c r="P3577" s="4" t="str">
        <f>VLOOKUP(H3577,Stock_list!A:Y,25,FALSE)</f>
        <v>Yes</v>
      </c>
      <c r="Q3577" s="143"/>
      <c r="T3577" s="144"/>
      <c r="U3577" s="145" t="str">
        <f>VLOOKUP(H3577,Stock_list!A:N,14,FALSE)</f>
        <v>SEP 22</v>
      </c>
    </row>
    <row r="3578" spans="1:21" ht="16.5" customHeight="1">
      <c r="A3578" s="159" t="s">
        <v>2748</v>
      </c>
      <c r="B3578" s="114" t="str">
        <f>VLOOKUP(A3578,'Data pick slip'!B:F,5,FALSE)</f>
        <v>KHJ-MC400-00</v>
      </c>
      <c r="F3578" s="157" t="s">
        <v>2753</v>
      </c>
      <c r="H3578" s="138">
        <v>1717</v>
      </c>
      <c r="I3578" s="139" t="str">
        <f>VLOOKUP(H3578,Stock_list!A:R,18,FALSE)</f>
        <v>维创斯特</v>
      </c>
      <c r="J3578" s="139" t="str">
        <f>VLOOKUP(H3578,Stock_list!A:S,17,FALSE)</f>
        <v>C49SZX20220090SQ</v>
      </c>
      <c r="K3578" s="51" t="str">
        <f>VLOOKUP(H3578,Stock_list!A:T,16,FALSE)</f>
        <v>RMB</v>
      </c>
      <c r="L3578" s="4">
        <v>44831</v>
      </c>
      <c r="M3578" s="143">
        <v>2</v>
      </c>
      <c r="P3578" s="4" t="str">
        <f>VLOOKUP(H3578,Stock_list!A:Y,25,FALSE)</f>
        <v>Yes</v>
      </c>
      <c r="Q3578" s="143"/>
      <c r="T3578" s="144"/>
      <c r="U3578" s="145" t="str">
        <f>VLOOKUP(H3578,Stock_list!A:N,14,FALSE)</f>
        <v>SEP 22</v>
      </c>
    </row>
    <row r="3579" spans="1:21" ht="16.5" customHeight="1">
      <c r="A3579" s="159" t="s">
        <v>2744</v>
      </c>
      <c r="B3579" s="114" t="str">
        <f>VLOOKUP(A3579,'Data pick slip'!B:F,5,FALSE)</f>
        <v>KHJ-MC100-00</v>
      </c>
      <c r="F3579" s="157" t="s">
        <v>1381</v>
      </c>
      <c r="I3579" s="269" t="s">
        <v>3413</v>
      </c>
      <c r="J3579" s="139" t="s">
        <v>2995</v>
      </c>
      <c r="K3579" s="51" t="s">
        <v>1246</v>
      </c>
      <c r="L3579" s="4">
        <v>44790</v>
      </c>
      <c r="M3579" s="140">
        <v>350</v>
      </c>
      <c r="P3579" s="4" t="s">
        <v>291</v>
      </c>
      <c r="Q3579" s="143"/>
      <c r="T3579" s="144"/>
      <c r="U3579" s="145" t="e">
        <f>VLOOKUP(H3579,Stock_list!A:N,14,FALSE)</f>
        <v>#N/A</v>
      </c>
    </row>
    <row r="3580" spans="1:21" ht="16.5" customHeight="1">
      <c r="A3580" s="159" t="s">
        <v>2747</v>
      </c>
      <c r="B3580" s="114" t="str">
        <f>VLOOKUP(A3580,'Data pick slip'!B:F,5,FALSE)</f>
        <v>KHJ-MC200-00</v>
      </c>
      <c r="F3580" s="157" t="s">
        <v>1381</v>
      </c>
      <c r="I3580" s="269" t="s">
        <v>3413</v>
      </c>
      <c r="J3580" s="139" t="s">
        <v>2995</v>
      </c>
      <c r="K3580" s="51" t="s">
        <v>1246</v>
      </c>
      <c r="L3580" s="4">
        <v>44790</v>
      </c>
      <c r="M3580" s="140">
        <v>70</v>
      </c>
      <c r="P3580" s="4" t="s">
        <v>291</v>
      </c>
      <c r="Q3580" s="143"/>
      <c r="T3580" s="144"/>
      <c r="U3580" s="145" t="e">
        <f>VLOOKUP(H3580,Stock_list!A:N,14,FALSE)</f>
        <v>#N/A</v>
      </c>
    </row>
    <row r="3581" spans="1:21" ht="16.5" customHeight="1">
      <c r="A3581" s="159" t="s">
        <v>2748</v>
      </c>
      <c r="B3581" s="114" t="str">
        <f>VLOOKUP(A3581,'Data pick slip'!B:F,5,FALSE)</f>
        <v>KHJ-MC400-00</v>
      </c>
      <c r="F3581" s="157" t="s">
        <v>1381</v>
      </c>
      <c r="I3581" s="269" t="s">
        <v>3413</v>
      </c>
      <c r="J3581" s="139" t="s">
        <v>2995</v>
      </c>
      <c r="K3581" s="51" t="s">
        <v>1246</v>
      </c>
      <c r="L3581" s="4">
        <v>44790</v>
      </c>
      <c r="M3581" s="140">
        <v>10</v>
      </c>
      <c r="P3581" s="4" t="s">
        <v>291</v>
      </c>
      <c r="Q3581" s="143"/>
      <c r="T3581" s="144"/>
      <c r="U3581" s="145" t="e">
        <f>VLOOKUP(H3581,Stock_list!A:N,14,FALSE)</f>
        <v>#N/A</v>
      </c>
    </row>
    <row r="3582" spans="1:21" ht="16.5" customHeight="1">
      <c r="A3582" s="159" t="s">
        <v>2744</v>
      </c>
      <c r="B3582" s="114" t="str">
        <f>VLOOKUP(A3582,'Data pick slip'!B:F,5,FALSE)</f>
        <v>KHJ-MC100-00</v>
      </c>
      <c r="F3582" s="157" t="s">
        <v>2753</v>
      </c>
      <c r="H3582" s="138">
        <v>1719</v>
      </c>
      <c r="I3582" s="139" t="str">
        <f>VLOOKUP(H3582,Stock_list!A:R,18,FALSE)</f>
        <v>华烨(end user:华煜）</v>
      </c>
      <c r="J3582" s="139" t="str">
        <f>VLOOKUP(H3582,Stock_list!A:S,17,FALSE)</f>
        <v>C49SZX20220091MZ</v>
      </c>
      <c r="K3582" s="51" t="str">
        <f>VLOOKUP(H3582,Stock_list!A:T,16,FALSE)</f>
        <v>RMB</v>
      </c>
      <c r="L3582" s="4"/>
      <c r="N3582" s="132">
        <v>32</v>
      </c>
      <c r="P3582" s="4" t="str">
        <f>VLOOKUP(H3582,Stock_list!A:Y,25,FALSE)</f>
        <v>Yes</v>
      </c>
      <c r="Q3582" s="143"/>
      <c r="T3582" s="144"/>
      <c r="U3582" s="145" t="str">
        <f>VLOOKUP(H3582,Stock_list!A:N,14,FALSE)</f>
        <v>JUL 23</v>
      </c>
    </row>
    <row r="3583" spans="1:21" ht="16.5" customHeight="1">
      <c r="A3583" s="159" t="s">
        <v>2747</v>
      </c>
      <c r="B3583" s="114" t="str">
        <f>VLOOKUP(A3583,'Data pick slip'!B:F,5,FALSE)</f>
        <v>KHJ-MC200-00</v>
      </c>
      <c r="F3583" s="157" t="s">
        <v>2753</v>
      </c>
      <c r="H3583" s="138">
        <v>1719</v>
      </c>
      <c r="I3583" s="139" t="str">
        <f>VLOOKUP(H3583,Stock_list!A:R,18,FALSE)</f>
        <v>华烨(end user:华煜）</v>
      </c>
      <c r="J3583" s="139" t="str">
        <f>VLOOKUP(H3583,Stock_list!A:S,17,FALSE)</f>
        <v>C49SZX20220091MZ</v>
      </c>
      <c r="K3583" s="51" t="str">
        <f>VLOOKUP(H3583,Stock_list!A:T,16,FALSE)</f>
        <v>RMB</v>
      </c>
      <c r="L3583" s="4"/>
      <c r="N3583" s="132">
        <v>7</v>
      </c>
      <c r="P3583" s="4" t="str">
        <f>VLOOKUP(H3583,Stock_list!A:Y,25,FALSE)</f>
        <v>Yes</v>
      </c>
      <c r="Q3583" s="143"/>
      <c r="T3583" s="144"/>
      <c r="U3583" s="145" t="str">
        <f>VLOOKUP(H3583,Stock_list!A:N,14,FALSE)</f>
        <v>JUL 23</v>
      </c>
    </row>
    <row r="3584" spans="1:21" ht="16.5" customHeight="1">
      <c r="A3584" s="159" t="s">
        <v>2748</v>
      </c>
      <c r="B3584" s="114" t="str">
        <f>VLOOKUP(A3584,'Data pick slip'!B:F,5,FALSE)</f>
        <v>KHJ-MC400-00</v>
      </c>
      <c r="F3584" s="157" t="s">
        <v>2753</v>
      </c>
      <c r="H3584" s="138">
        <v>1719</v>
      </c>
      <c r="I3584" s="139" t="str">
        <f>VLOOKUP(H3584,Stock_list!A:R,18,FALSE)</f>
        <v>华烨(end user:华煜）</v>
      </c>
      <c r="J3584" s="139" t="str">
        <f>VLOOKUP(H3584,Stock_list!A:S,17,FALSE)</f>
        <v>C49SZX20220091MZ</v>
      </c>
      <c r="K3584" s="51" t="str">
        <f>VLOOKUP(H3584,Stock_list!A:T,16,FALSE)</f>
        <v>RMB</v>
      </c>
      <c r="L3584" s="4"/>
      <c r="N3584" s="132">
        <v>2</v>
      </c>
      <c r="P3584" s="4" t="str">
        <f>VLOOKUP(H3584,Stock_list!A:Y,25,FALSE)</f>
        <v>Yes</v>
      </c>
      <c r="Q3584" s="143"/>
      <c r="T3584" s="144"/>
      <c r="U3584" s="145" t="str">
        <f>VLOOKUP(H3584,Stock_list!A:N,14,FALSE)</f>
        <v>JUL 23</v>
      </c>
    </row>
    <row r="3585" spans="1:21" ht="16.5" customHeight="1">
      <c r="A3585" s="159" t="s">
        <v>2744</v>
      </c>
      <c r="B3585" s="114" t="str">
        <f>VLOOKUP(A3585,'Data pick slip'!B:F,5,FALSE)</f>
        <v>KHJ-MC100-00</v>
      </c>
      <c r="F3585" s="157" t="s">
        <v>1381</v>
      </c>
      <c r="I3585" s="269" t="s">
        <v>3413</v>
      </c>
      <c r="J3585" s="139" t="s">
        <v>2994</v>
      </c>
      <c r="K3585" s="51" t="s">
        <v>1246</v>
      </c>
      <c r="L3585" s="4">
        <v>44789</v>
      </c>
      <c r="M3585" s="140">
        <v>410</v>
      </c>
      <c r="P3585" s="4" t="s">
        <v>291</v>
      </c>
      <c r="Q3585" s="143"/>
      <c r="T3585" s="144"/>
      <c r="U3585" s="145" t="e">
        <f>VLOOKUP(H3585,Stock_list!A:N,14,FALSE)</f>
        <v>#N/A</v>
      </c>
    </row>
    <row r="3586" spans="1:21" ht="16.5" customHeight="1">
      <c r="A3586" s="159" t="s">
        <v>2747</v>
      </c>
      <c r="B3586" s="114" t="str">
        <f>VLOOKUP(A3586,'Data pick slip'!B:F,5,FALSE)</f>
        <v>KHJ-MC200-00</v>
      </c>
      <c r="F3586" s="157" t="s">
        <v>1381</v>
      </c>
      <c r="I3586" s="269" t="s">
        <v>3413</v>
      </c>
      <c r="J3586" s="139" t="s">
        <v>2994</v>
      </c>
      <c r="K3586" s="51" t="s">
        <v>1246</v>
      </c>
      <c r="L3586" s="4">
        <v>44789</v>
      </c>
      <c r="M3586" s="140">
        <v>20</v>
      </c>
      <c r="P3586" s="4" t="s">
        <v>291</v>
      </c>
      <c r="Q3586" s="143"/>
      <c r="T3586" s="144"/>
      <c r="U3586" s="145" t="e">
        <f>VLOOKUP(H3586,Stock_list!A:N,14,FALSE)</f>
        <v>#N/A</v>
      </c>
    </row>
    <row r="3587" spans="1:21" ht="16.5" customHeight="1">
      <c r="A3587" s="159" t="s">
        <v>2748</v>
      </c>
      <c r="B3587" s="114" t="str">
        <f>VLOOKUP(A3587,'Data pick slip'!B:F,5,FALSE)</f>
        <v>KHJ-MC400-00</v>
      </c>
      <c r="F3587" s="157" t="s">
        <v>1381</v>
      </c>
      <c r="I3587" s="269" t="s">
        <v>3413</v>
      </c>
      <c r="J3587" s="139" t="s">
        <v>2994</v>
      </c>
      <c r="K3587" s="51" t="s">
        <v>1246</v>
      </c>
      <c r="L3587" s="4">
        <v>44789</v>
      </c>
      <c r="M3587" s="140">
        <v>20</v>
      </c>
      <c r="P3587" s="4" t="s">
        <v>291</v>
      </c>
      <c r="Q3587" s="143"/>
      <c r="T3587" s="144"/>
      <c r="U3587" s="145" t="e">
        <f>VLOOKUP(H3587,Stock_list!A:N,14,FALSE)</f>
        <v>#N/A</v>
      </c>
    </row>
    <row r="3588" spans="1:21" ht="16.5" customHeight="1">
      <c r="A3588" s="159" t="s">
        <v>2750</v>
      </c>
      <c r="B3588" s="114" t="str">
        <f>VLOOKUP(A3588,'Data pick slip'!B:F,5,FALSE)</f>
        <v>KHJ-MC600-00</v>
      </c>
      <c r="F3588" s="157" t="s">
        <v>1381</v>
      </c>
      <c r="I3588" s="269" t="s">
        <v>3413</v>
      </c>
      <c r="J3588" s="139" t="s">
        <v>2994</v>
      </c>
      <c r="K3588" s="51" t="s">
        <v>1246</v>
      </c>
      <c r="L3588" s="4">
        <v>44789</v>
      </c>
      <c r="M3588" s="140">
        <v>25</v>
      </c>
      <c r="P3588" s="4" t="s">
        <v>291</v>
      </c>
      <c r="Q3588" s="143"/>
      <c r="T3588" s="144"/>
      <c r="U3588" s="145" t="e">
        <f>VLOOKUP(H3588,Stock_list!A:N,14,FALSE)</f>
        <v>#N/A</v>
      </c>
    </row>
    <row r="3589" spans="1:21" ht="16.5" customHeight="1">
      <c r="A3589" s="159" t="s">
        <v>2744</v>
      </c>
      <c r="B3589" s="114" t="str">
        <f>VLOOKUP(A3589,'Data pick slip'!B:F,5,FALSE)</f>
        <v>KHJ-MC100-00</v>
      </c>
      <c r="F3589" s="157" t="s">
        <v>1381</v>
      </c>
      <c r="I3589" s="269" t="s">
        <v>3413</v>
      </c>
      <c r="J3589" s="139" t="s">
        <v>2995</v>
      </c>
      <c r="K3589" s="51" t="s">
        <v>1246</v>
      </c>
      <c r="L3589" s="4">
        <v>44790</v>
      </c>
      <c r="M3589" s="140">
        <v>200</v>
      </c>
      <c r="P3589" s="4" t="s">
        <v>291</v>
      </c>
      <c r="Q3589" s="143"/>
      <c r="T3589" s="144"/>
      <c r="U3589" s="145" t="e">
        <f>VLOOKUP(H3589,Stock_list!A:N,14,FALSE)</f>
        <v>#N/A</v>
      </c>
    </row>
    <row r="3590" spans="1:21" ht="16.5" customHeight="1">
      <c r="A3590" s="159" t="s">
        <v>2747</v>
      </c>
      <c r="B3590" s="114" t="str">
        <f>VLOOKUP(A3590,'Data pick slip'!B:F,5,FALSE)</f>
        <v>KHJ-MC200-00</v>
      </c>
      <c r="F3590" s="157" t="s">
        <v>1381</v>
      </c>
      <c r="I3590" s="269" t="s">
        <v>3413</v>
      </c>
      <c r="J3590" s="139" t="s">
        <v>2995</v>
      </c>
      <c r="K3590" s="51" t="s">
        <v>1246</v>
      </c>
      <c r="L3590" s="4">
        <v>44790</v>
      </c>
      <c r="M3590" s="140">
        <v>240</v>
      </c>
      <c r="P3590" s="4" t="s">
        <v>291</v>
      </c>
      <c r="Q3590" s="143"/>
      <c r="T3590" s="144"/>
      <c r="U3590" s="145" t="e">
        <f>VLOOKUP(H3590,Stock_list!A:N,14,FALSE)</f>
        <v>#N/A</v>
      </c>
    </row>
    <row r="3591" spans="1:21" ht="16.5" customHeight="1">
      <c r="A3591" s="159" t="s">
        <v>2748</v>
      </c>
      <c r="B3591" s="114" t="str">
        <f>VLOOKUP(A3591,'Data pick slip'!B:F,5,FALSE)</f>
        <v>KHJ-MC400-00</v>
      </c>
      <c r="F3591" s="157" t="s">
        <v>1381</v>
      </c>
      <c r="I3591" s="269" t="s">
        <v>3413</v>
      </c>
      <c r="J3591" s="139" t="s">
        <v>2995</v>
      </c>
      <c r="K3591" s="51" t="s">
        <v>1246</v>
      </c>
      <c r="L3591" s="4">
        <v>44790</v>
      </c>
      <c r="M3591" s="140">
        <v>20</v>
      </c>
      <c r="P3591" s="4" t="s">
        <v>291</v>
      </c>
      <c r="Q3591" s="143"/>
      <c r="T3591" s="144"/>
      <c r="U3591" s="145" t="e">
        <f>VLOOKUP(H3591,Stock_list!A:N,14,FALSE)</f>
        <v>#N/A</v>
      </c>
    </row>
    <row r="3592" spans="1:21" ht="16.5" customHeight="1">
      <c r="A3592" s="159" t="s">
        <v>2749</v>
      </c>
      <c r="B3592" s="114" t="str">
        <f>VLOOKUP(A3592,'Data pick slip'!B:F,5,FALSE)</f>
        <v>KHJ-MC500-00</v>
      </c>
      <c r="F3592" s="157" t="s">
        <v>1381</v>
      </c>
      <c r="I3592" s="269" t="s">
        <v>3413</v>
      </c>
      <c r="J3592" s="139" t="s">
        <v>2995</v>
      </c>
      <c r="K3592" s="51" t="s">
        <v>1246</v>
      </c>
      <c r="L3592" s="4">
        <v>44790</v>
      </c>
      <c r="M3592" s="140">
        <v>20</v>
      </c>
      <c r="P3592" s="4" t="s">
        <v>291</v>
      </c>
      <c r="Q3592" s="143"/>
      <c r="T3592" s="144"/>
      <c r="U3592" s="145" t="e">
        <f>VLOOKUP(H3592,Stock_list!A:N,14,FALSE)</f>
        <v>#N/A</v>
      </c>
    </row>
    <row r="3593" spans="1:21" ht="16.5" customHeight="1">
      <c r="A3593" s="159" t="s">
        <v>2744</v>
      </c>
      <c r="B3593" s="114" t="str">
        <f>VLOOKUP(A3593,'Data pick slip'!B:F,5,FALSE)</f>
        <v>KHJ-MC100-00</v>
      </c>
      <c r="F3593" s="157" t="s">
        <v>1381</v>
      </c>
      <c r="I3593" s="269" t="s">
        <v>3413</v>
      </c>
      <c r="J3593" s="139" t="s">
        <v>2996</v>
      </c>
      <c r="K3593" s="51" t="s">
        <v>1246</v>
      </c>
      <c r="L3593" s="4">
        <v>44791</v>
      </c>
      <c r="M3593" s="140">
        <v>330</v>
      </c>
      <c r="P3593" s="4" t="s">
        <v>291</v>
      </c>
      <c r="Q3593" s="143"/>
      <c r="T3593" s="144"/>
      <c r="U3593" s="145" t="e">
        <f>VLOOKUP(H3593,Stock_list!A:N,14,FALSE)</f>
        <v>#N/A</v>
      </c>
    </row>
    <row r="3594" spans="1:21" ht="16.5" customHeight="1">
      <c r="A3594" s="159" t="s">
        <v>2747</v>
      </c>
      <c r="B3594" s="114" t="str">
        <f>VLOOKUP(A3594,'Data pick slip'!B:F,5,FALSE)</f>
        <v>KHJ-MC200-00</v>
      </c>
      <c r="F3594" s="157" t="s">
        <v>1381</v>
      </c>
      <c r="I3594" s="269" t="s">
        <v>3413</v>
      </c>
      <c r="J3594" s="139" t="s">
        <v>2996</v>
      </c>
      <c r="K3594" s="51" t="s">
        <v>1246</v>
      </c>
      <c r="L3594" s="4">
        <v>44791</v>
      </c>
      <c r="M3594" s="140">
        <v>50</v>
      </c>
      <c r="P3594" s="4" t="s">
        <v>291</v>
      </c>
      <c r="Q3594" s="143"/>
      <c r="T3594" s="144"/>
      <c r="U3594" s="145" t="e">
        <f>VLOOKUP(H3594,Stock_list!A:N,14,FALSE)</f>
        <v>#N/A</v>
      </c>
    </row>
    <row r="3595" spans="1:21" ht="16.5" customHeight="1">
      <c r="A3595" s="159" t="s">
        <v>2748</v>
      </c>
      <c r="B3595" s="114" t="str">
        <f>VLOOKUP(A3595,'Data pick slip'!B:F,5,FALSE)</f>
        <v>KHJ-MC400-00</v>
      </c>
      <c r="F3595" s="157" t="s">
        <v>1381</v>
      </c>
      <c r="I3595" s="269" t="s">
        <v>3413</v>
      </c>
      <c r="J3595" s="139" t="s">
        <v>2996</v>
      </c>
      <c r="K3595" s="51" t="s">
        <v>1246</v>
      </c>
      <c r="L3595" s="4">
        <v>44791</v>
      </c>
      <c r="M3595" s="140">
        <v>30</v>
      </c>
      <c r="P3595" s="4" t="s">
        <v>291</v>
      </c>
      <c r="Q3595" s="143"/>
      <c r="T3595" s="144"/>
      <c r="U3595" s="145" t="e">
        <f>VLOOKUP(H3595,Stock_list!A:N,14,FALSE)</f>
        <v>#N/A</v>
      </c>
    </row>
    <row r="3596" spans="1:21" ht="16.5" customHeight="1">
      <c r="A3596" s="159" t="s">
        <v>2749</v>
      </c>
      <c r="B3596" s="114" t="str">
        <f>VLOOKUP(A3596,'Data pick slip'!B:F,5,FALSE)</f>
        <v>KHJ-MC500-00</v>
      </c>
      <c r="F3596" s="157" t="s">
        <v>1381</v>
      </c>
      <c r="I3596" s="269" t="s">
        <v>3413</v>
      </c>
      <c r="J3596" s="139" t="s">
        <v>2996</v>
      </c>
      <c r="K3596" s="51" t="s">
        <v>1246</v>
      </c>
      <c r="L3596" s="4">
        <v>44791</v>
      </c>
      <c r="M3596" s="140">
        <v>20</v>
      </c>
      <c r="P3596" s="4" t="s">
        <v>291</v>
      </c>
      <c r="Q3596" s="143"/>
      <c r="T3596" s="144"/>
      <c r="U3596" s="145" t="e">
        <f>VLOOKUP(H3596,Stock_list!A:N,14,FALSE)</f>
        <v>#N/A</v>
      </c>
    </row>
    <row r="3597" spans="1:21" ht="16.5" customHeight="1">
      <c r="A3597" s="159" t="s">
        <v>2750</v>
      </c>
      <c r="B3597" s="114" t="str">
        <f>VLOOKUP(A3597,'Data pick slip'!B:F,5,FALSE)</f>
        <v>KHJ-MC600-00</v>
      </c>
      <c r="F3597" s="157" t="s">
        <v>1381</v>
      </c>
      <c r="I3597" s="269" t="s">
        <v>3413</v>
      </c>
      <c r="J3597" s="139" t="s">
        <v>2996</v>
      </c>
      <c r="K3597" s="51" t="s">
        <v>1246</v>
      </c>
      <c r="L3597" s="4">
        <v>44791</v>
      </c>
      <c r="M3597" s="140">
        <v>10</v>
      </c>
      <c r="P3597" s="4" t="s">
        <v>291</v>
      </c>
      <c r="Q3597" s="143"/>
      <c r="T3597" s="144"/>
      <c r="U3597" s="145" t="e">
        <f>VLOOKUP(H3597,Stock_list!A:N,14,FALSE)</f>
        <v>#N/A</v>
      </c>
    </row>
    <row r="3598" spans="1:21" ht="16.5" customHeight="1">
      <c r="A3598" s="159" t="s">
        <v>2751</v>
      </c>
      <c r="B3598" s="114" t="str">
        <f>VLOOKUP(A3598,'Data pick slip'!B:F,5,FALSE)</f>
        <v>KHJ-MC700-00</v>
      </c>
      <c r="F3598" s="157" t="s">
        <v>1381</v>
      </c>
      <c r="I3598" s="269" t="s">
        <v>3413</v>
      </c>
      <c r="J3598" s="139" t="s">
        <v>2996</v>
      </c>
      <c r="K3598" s="51" t="s">
        <v>1246</v>
      </c>
      <c r="L3598" s="4">
        <v>44791</v>
      </c>
      <c r="M3598" s="140">
        <v>10</v>
      </c>
      <c r="P3598" s="4" t="s">
        <v>291</v>
      </c>
      <c r="Q3598" s="143"/>
      <c r="T3598" s="144"/>
      <c r="U3598" s="145" t="e">
        <f>VLOOKUP(H3598,Stock_list!A:N,14,FALSE)</f>
        <v>#N/A</v>
      </c>
    </row>
    <row r="3599" spans="1:21" ht="16.5" customHeight="1">
      <c r="A3599" s="159" t="s">
        <v>2744</v>
      </c>
      <c r="B3599" s="114" t="str">
        <f>VLOOKUP(A3599,'Data pick slip'!B:F,5,FALSE)</f>
        <v>KHJ-MC100-00</v>
      </c>
      <c r="F3599" s="157" t="s">
        <v>1381</v>
      </c>
      <c r="I3599" s="269" t="s">
        <v>3413</v>
      </c>
      <c r="J3599" s="139" t="s">
        <v>2997</v>
      </c>
      <c r="K3599" s="51" t="s">
        <v>1246</v>
      </c>
      <c r="L3599" s="4">
        <v>44803</v>
      </c>
      <c r="M3599" s="140">
        <v>390</v>
      </c>
      <c r="P3599" s="4" t="s">
        <v>291</v>
      </c>
      <c r="Q3599" s="143"/>
      <c r="T3599" s="144"/>
      <c r="U3599" s="145" t="e">
        <f>VLOOKUP(H3599,Stock_list!A:N,14,FALSE)</f>
        <v>#N/A</v>
      </c>
    </row>
    <row r="3600" spans="1:21" ht="16.5" customHeight="1">
      <c r="A3600" s="159" t="s">
        <v>2747</v>
      </c>
      <c r="B3600" s="114" t="str">
        <f>VLOOKUP(A3600,'Data pick slip'!B:F,5,FALSE)</f>
        <v>KHJ-MC200-00</v>
      </c>
      <c r="F3600" s="157" t="s">
        <v>1381</v>
      </c>
      <c r="I3600" s="269" t="s">
        <v>3413</v>
      </c>
      <c r="J3600" s="139" t="s">
        <v>2997</v>
      </c>
      <c r="K3600" s="51" t="s">
        <v>1246</v>
      </c>
      <c r="L3600" s="4">
        <v>44803</v>
      </c>
      <c r="M3600" s="140">
        <v>60</v>
      </c>
      <c r="P3600" s="4" t="s">
        <v>291</v>
      </c>
      <c r="Q3600" s="143"/>
      <c r="T3600" s="144"/>
      <c r="U3600" s="145" t="e">
        <f>VLOOKUP(H3600,Stock_list!A:N,14,FALSE)</f>
        <v>#N/A</v>
      </c>
    </row>
    <row r="3601" spans="1:21" ht="16.5" customHeight="1">
      <c r="A3601" s="159" t="s">
        <v>2749</v>
      </c>
      <c r="B3601" s="114" t="str">
        <f>VLOOKUP(A3601,'Data pick slip'!B:F,5,FALSE)</f>
        <v>KHJ-MC500-00</v>
      </c>
      <c r="F3601" s="157" t="s">
        <v>1381</v>
      </c>
      <c r="I3601" s="269" t="s">
        <v>3413</v>
      </c>
      <c r="J3601" s="139" t="s">
        <v>2997</v>
      </c>
      <c r="K3601" s="51" t="s">
        <v>1246</v>
      </c>
      <c r="L3601" s="4">
        <v>44803</v>
      </c>
      <c r="M3601" s="140">
        <v>30</v>
      </c>
      <c r="P3601" s="4" t="s">
        <v>291</v>
      </c>
      <c r="Q3601" s="143"/>
      <c r="T3601" s="144"/>
      <c r="U3601" s="145" t="e">
        <f>VLOOKUP(H3601,Stock_list!A:N,14,FALSE)</f>
        <v>#N/A</v>
      </c>
    </row>
    <row r="3602" spans="1:21" ht="16.5" customHeight="1">
      <c r="A3602" s="159" t="s">
        <v>2744</v>
      </c>
      <c r="B3602" s="114" t="str">
        <f>VLOOKUP(A3602,'Data pick slip'!B:F,5,FALSE)</f>
        <v>KHJ-MC100-00</v>
      </c>
      <c r="F3602" s="157" t="s">
        <v>1381</v>
      </c>
      <c r="I3602" s="269" t="s">
        <v>3413</v>
      </c>
      <c r="J3602" s="139" t="s">
        <v>2997</v>
      </c>
      <c r="K3602" s="51" t="s">
        <v>1246</v>
      </c>
      <c r="L3602" s="4">
        <v>44803</v>
      </c>
      <c r="M3602" s="140">
        <v>420</v>
      </c>
      <c r="P3602" s="4" t="s">
        <v>291</v>
      </c>
      <c r="Q3602" s="143"/>
      <c r="T3602" s="144"/>
      <c r="U3602" s="145" t="e">
        <f>VLOOKUP(H3602,Stock_list!A:N,14,FALSE)</f>
        <v>#N/A</v>
      </c>
    </row>
    <row r="3603" spans="1:21" ht="16.5" customHeight="1">
      <c r="A3603" s="159" t="s">
        <v>2747</v>
      </c>
      <c r="B3603" s="114" t="str">
        <f>VLOOKUP(A3603,'Data pick slip'!B:F,5,FALSE)</f>
        <v>KHJ-MC200-00</v>
      </c>
      <c r="F3603" s="157" t="s">
        <v>1381</v>
      </c>
      <c r="I3603" s="269" t="s">
        <v>3413</v>
      </c>
      <c r="J3603" s="139" t="s">
        <v>2997</v>
      </c>
      <c r="K3603" s="51" t="s">
        <v>1246</v>
      </c>
      <c r="L3603" s="4">
        <v>44803</v>
      </c>
      <c r="M3603" s="140">
        <v>100</v>
      </c>
      <c r="P3603" s="4" t="s">
        <v>291</v>
      </c>
      <c r="Q3603" s="143"/>
      <c r="T3603" s="144"/>
      <c r="U3603" s="145" t="e">
        <f>VLOOKUP(H3603,Stock_list!A:N,14,FALSE)</f>
        <v>#N/A</v>
      </c>
    </row>
    <row r="3604" spans="1:21" ht="16.5" customHeight="1">
      <c r="A3604" s="159" t="s">
        <v>2748</v>
      </c>
      <c r="B3604" s="114" t="str">
        <f>VLOOKUP(A3604,'Data pick slip'!B:F,5,FALSE)</f>
        <v>KHJ-MC400-00</v>
      </c>
      <c r="F3604" s="157" t="s">
        <v>1381</v>
      </c>
      <c r="I3604" s="269" t="s">
        <v>3413</v>
      </c>
      <c r="J3604" s="139" t="s">
        <v>2997</v>
      </c>
      <c r="K3604" s="51" t="s">
        <v>1246</v>
      </c>
      <c r="L3604" s="4">
        <v>44803</v>
      </c>
      <c r="M3604" s="140">
        <v>50</v>
      </c>
      <c r="P3604" s="4" t="s">
        <v>291</v>
      </c>
      <c r="Q3604" s="143"/>
      <c r="T3604" s="144"/>
      <c r="U3604" s="145" t="e">
        <f>VLOOKUP(H3604,Stock_list!A:N,14,FALSE)</f>
        <v>#N/A</v>
      </c>
    </row>
    <row r="3605" spans="1:21" ht="16.5" customHeight="1">
      <c r="A3605" s="159" t="s">
        <v>2749</v>
      </c>
      <c r="B3605" s="114" t="str">
        <f>VLOOKUP(A3605,'Data pick slip'!B:F,5,FALSE)</f>
        <v>KHJ-MC500-00</v>
      </c>
      <c r="F3605" s="157" t="s">
        <v>1381</v>
      </c>
      <c r="I3605" s="269" t="s">
        <v>3413</v>
      </c>
      <c r="J3605" s="139" t="s">
        <v>2997</v>
      </c>
      <c r="K3605" s="51" t="s">
        <v>1246</v>
      </c>
      <c r="L3605" s="4">
        <v>44803</v>
      </c>
      <c r="M3605" s="140">
        <v>20</v>
      </c>
      <c r="P3605" s="4" t="s">
        <v>291</v>
      </c>
      <c r="Q3605" s="143"/>
      <c r="T3605" s="144"/>
      <c r="U3605" s="145" t="e">
        <f>VLOOKUP(H3605,Stock_list!A:N,14,FALSE)</f>
        <v>#N/A</v>
      </c>
    </row>
    <row r="3606" spans="1:21" ht="16.5" customHeight="1">
      <c r="A3606" s="159" t="s">
        <v>2744</v>
      </c>
      <c r="B3606" s="114" t="str">
        <f>VLOOKUP(A3606,'Data pick slip'!B:F,5,FALSE)</f>
        <v>KHJ-MC100-00</v>
      </c>
      <c r="F3606" s="157" t="s">
        <v>1381</v>
      </c>
      <c r="I3606" s="269" t="s">
        <v>3413</v>
      </c>
      <c r="J3606" s="139" t="s">
        <v>3532</v>
      </c>
      <c r="K3606" s="51" t="s">
        <v>1246</v>
      </c>
      <c r="L3606" s="4">
        <v>44819</v>
      </c>
      <c r="M3606" s="140">
        <v>280</v>
      </c>
      <c r="P3606" s="4" t="s">
        <v>291</v>
      </c>
      <c r="Q3606" s="143"/>
      <c r="T3606" s="144"/>
      <c r="U3606" s="145" t="e">
        <f>VLOOKUP(H3606,Stock_list!A:N,14,FALSE)</f>
        <v>#N/A</v>
      </c>
    </row>
    <row r="3607" spans="1:21" ht="16.5" customHeight="1">
      <c r="A3607" s="159" t="s">
        <v>2744</v>
      </c>
      <c r="B3607" s="114" t="str">
        <f>VLOOKUP(A3607,'Data pick slip'!B:F,5,FALSE)</f>
        <v>KHJ-MC100-00</v>
      </c>
      <c r="F3607" s="157" t="s">
        <v>1381</v>
      </c>
      <c r="I3607" s="269" t="s">
        <v>3413</v>
      </c>
      <c r="J3607" s="139" t="s">
        <v>2999</v>
      </c>
      <c r="K3607" s="51" t="s">
        <v>1246</v>
      </c>
      <c r="L3607" s="4">
        <v>44825</v>
      </c>
      <c r="M3607" s="140">
        <v>247</v>
      </c>
      <c r="P3607" s="4" t="s">
        <v>291</v>
      </c>
      <c r="Q3607" s="143"/>
      <c r="T3607" s="144"/>
      <c r="U3607" s="145" t="e">
        <f>VLOOKUP(H3607,Stock_list!A:N,14,FALSE)</f>
        <v>#N/A</v>
      </c>
    </row>
    <row r="3608" spans="1:21" ht="16.5" customHeight="1">
      <c r="A3608" s="159" t="s">
        <v>2747</v>
      </c>
      <c r="B3608" s="114" t="str">
        <f>VLOOKUP(A3608,'Data pick slip'!B:F,5,FALSE)</f>
        <v>KHJ-MC200-00</v>
      </c>
      <c r="F3608" s="157" t="s">
        <v>1381</v>
      </c>
      <c r="I3608" s="269" t="s">
        <v>3413</v>
      </c>
      <c r="J3608" s="139" t="s">
        <v>2999</v>
      </c>
      <c r="K3608" s="51" t="s">
        <v>1246</v>
      </c>
      <c r="L3608" s="4">
        <v>44825</v>
      </c>
      <c r="M3608" s="140">
        <v>50</v>
      </c>
      <c r="P3608" s="4" t="s">
        <v>291</v>
      </c>
      <c r="Q3608" s="143"/>
      <c r="T3608" s="144"/>
      <c r="U3608" s="145" t="e">
        <f>VLOOKUP(H3608,Stock_list!A:N,14,FALSE)</f>
        <v>#N/A</v>
      </c>
    </row>
    <row r="3609" spans="1:21" ht="16.5" customHeight="1">
      <c r="A3609" s="159" t="s">
        <v>2748</v>
      </c>
      <c r="B3609" s="114" t="str">
        <f>VLOOKUP(A3609,'Data pick slip'!B:F,5,FALSE)</f>
        <v>KHJ-MC400-00</v>
      </c>
      <c r="F3609" s="157" t="s">
        <v>1381</v>
      </c>
      <c r="I3609" s="269" t="s">
        <v>3413</v>
      </c>
      <c r="J3609" s="139" t="s">
        <v>2999</v>
      </c>
      <c r="K3609" s="51" t="s">
        <v>1246</v>
      </c>
      <c r="L3609" s="4">
        <v>44825</v>
      </c>
      <c r="M3609" s="140">
        <v>5</v>
      </c>
      <c r="P3609" s="4" t="s">
        <v>291</v>
      </c>
      <c r="Q3609" s="143"/>
      <c r="T3609" s="144"/>
      <c r="U3609" s="145" t="e">
        <f>VLOOKUP(H3609,Stock_list!A:N,14,FALSE)</f>
        <v>#N/A</v>
      </c>
    </row>
    <row r="3610" spans="1:21" ht="16.5" customHeight="1">
      <c r="A3610" s="159" t="s">
        <v>2744</v>
      </c>
      <c r="B3610" s="114" t="str">
        <f>VLOOKUP(A3610,'Data pick slip'!B:F,5,FALSE)</f>
        <v>KHJ-MC100-00</v>
      </c>
      <c r="F3610" s="157" t="s">
        <v>1381</v>
      </c>
      <c r="I3610" s="269" t="s">
        <v>3413</v>
      </c>
      <c r="J3610" s="139" t="s">
        <v>2999</v>
      </c>
      <c r="K3610" s="51" t="s">
        <v>1246</v>
      </c>
      <c r="L3610" s="4">
        <v>44825</v>
      </c>
      <c r="M3610" s="140">
        <v>350</v>
      </c>
      <c r="P3610" s="4" t="s">
        <v>291</v>
      </c>
      <c r="Q3610" s="143"/>
      <c r="T3610" s="144"/>
      <c r="U3610" s="145" t="e">
        <f>VLOOKUP(H3610,Stock_list!A:N,14,FALSE)</f>
        <v>#N/A</v>
      </c>
    </row>
    <row r="3611" spans="1:21" ht="16.5" customHeight="1">
      <c r="A3611" s="159" t="s">
        <v>2747</v>
      </c>
      <c r="B3611" s="114" t="str">
        <f>VLOOKUP(A3611,'Data pick slip'!B:F,5,FALSE)</f>
        <v>KHJ-MC200-00</v>
      </c>
      <c r="F3611" s="157" t="s">
        <v>1381</v>
      </c>
      <c r="I3611" s="269" t="s">
        <v>3413</v>
      </c>
      <c r="J3611" s="139" t="s">
        <v>2999</v>
      </c>
      <c r="K3611" s="51" t="s">
        <v>1246</v>
      </c>
      <c r="L3611" s="4">
        <v>44825</v>
      </c>
      <c r="M3611" s="140">
        <v>50</v>
      </c>
      <c r="P3611" s="4" t="s">
        <v>291</v>
      </c>
      <c r="Q3611" s="143"/>
      <c r="T3611" s="144"/>
      <c r="U3611" s="145" t="e">
        <f>VLOOKUP(H3611,Stock_list!A:N,14,FALSE)</f>
        <v>#N/A</v>
      </c>
    </row>
    <row r="3612" spans="1:21" ht="16.5" customHeight="1">
      <c r="A3612" s="159" t="s">
        <v>2748</v>
      </c>
      <c r="B3612" s="114" t="str">
        <f>VLOOKUP(A3612,'Data pick slip'!B:F,5,FALSE)</f>
        <v>KHJ-MC400-00</v>
      </c>
      <c r="F3612" s="157" t="s">
        <v>1381</v>
      </c>
      <c r="I3612" s="269" t="s">
        <v>3413</v>
      </c>
      <c r="J3612" s="139" t="s">
        <v>2999</v>
      </c>
      <c r="K3612" s="51" t="s">
        <v>1246</v>
      </c>
      <c r="L3612" s="4">
        <v>44825</v>
      </c>
      <c r="M3612" s="140">
        <v>90</v>
      </c>
      <c r="P3612" s="4" t="s">
        <v>291</v>
      </c>
      <c r="Q3612" s="143"/>
      <c r="T3612" s="144"/>
      <c r="U3612" s="145" t="e">
        <f>VLOOKUP(H3612,Stock_list!A:N,14,FALSE)</f>
        <v>#N/A</v>
      </c>
    </row>
    <row r="3613" spans="1:21" ht="16.5" customHeight="1">
      <c r="A3613" s="159" t="s">
        <v>2749</v>
      </c>
      <c r="B3613" s="114" t="str">
        <f>VLOOKUP(A3613,'Data pick slip'!B:F,5,FALSE)</f>
        <v>KHJ-MC500-00</v>
      </c>
      <c r="F3613" s="157" t="s">
        <v>1381</v>
      </c>
      <c r="I3613" s="269" t="s">
        <v>3413</v>
      </c>
      <c r="J3613" s="139" t="s">
        <v>2999</v>
      </c>
      <c r="K3613" s="51" t="s">
        <v>1246</v>
      </c>
      <c r="L3613" s="4">
        <v>44825</v>
      </c>
      <c r="M3613" s="140">
        <v>5</v>
      </c>
      <c r="P3613" s="4" t="s">
        <v>291</v>
      </c>
      <c r="Q3613" s="143"/>
      <c r="T3613" s="144"/>
      <c r="U3613" s="145" t="e">
        <f>VLOOKUP(H3613,Stock_list!A:N,14,FALSE)</f>
        <v>#N/A</v>
      </c>
    </row>
    <row r="3614" spans="1:21" ht="16.5" customHeight="1">
      <c r="A3614" s="159" t="s">
        <v>2750</v>
      </c>
      <c r="B3614" s="114" t="str">
        <f>VLOOKUP(A3614,'Data pick slip'!B:F,5,FALSE)</f>
        <v>KHJ-MC600-00</v>
      </c>
      <c r="F3614" s="157" t="s">
        <v>1381</v>
      </c>
      <c r="I3614" s="269" t="s">
        <v>3413</v>
      </c>
      <c r="J3614" s="139" t="s">
        <v>2999</v>
      </c>
      <c r="K3614" s="51" t="s">
        <v>1246</v>
      </c>
      <c r="L3614" s="4">
        <v>44825</v>
      </c>
      <c r="M3614" s="140">
        <v>19</v>
      </c>
      <c r="P3614" s="4" t="s">
        <v>291</v>
      </c>
      <c r="Q3614" s="143"/>
      <c r="T3614" s="144"/>
      <c r="U3614" s="145" t="e">
        <f>VLOOKUP(H3614,Stock_list!A:N,14,FALSE)</f>
        <v>#N/A</v>
      </c>
    </row>
    <row r="3615" spans="1:21" ht="16.5" customHeight="1">
      <c r="A3615" s="159" t="s">
        <v>2744</v>
      </c>
      <c r="B3615" s="114" t="str">
        <f>VLOOKUP(A3615,'Data pick slip'!B:F,5,FALSE)</f>
        <v>KHJ-MC100-00</v>
      </c>
      <c r="F3615" s="157" t="s">
        <v>2753</v>
      </c>
      <c r="H3615" s="138">
        <v>1728</v>
      </c>
      <c r="I3615" s="139" t="str">
        <f>VLOOKUP(H3615,Stock_list!A:R,18,FALSE)</f>
        <v>世启纳</v>
      </c>
      <c r="J3615" s="139" t="str">
        <f>VLOOKUP(H3615,Stock_list!A:S,17,FALSE)</f>
        <v>C49SZX20220100SS</v>
      </c>
      <c r="K3615" s="51" t="str">
        <f>VLOOKUP(H3615,Stock_list!A:T,16,FALSE)</f>
        <v>RMB</v>
      </c>
      <c r="L3615" s="4">
        <v>44846</v>
      </c>
      <c r="M3615" s="140">
        <v>2</v>
      </c>
      <c r="P3615" s="4" t="str">
        <f>VLOOKUP(H3615,Stock_list!A:Y,25,FALSE)</f>
        <v>Yes</v>
      </c>
      <c r="Q3615" s="143"/>
      <c r="T3615" s="144"/>
      <c r="U3615" s="145" t="str">
        <f>VLOOKUP(H3615,Stock_list!A:N,14,FALSE)</f>
        <v>OCT 22</v>
      </c>
    </row>
    <row r="3616" spans="1:21" ht="16.5" customHeight="1">
      <c r="A3616" s="159" t="s">
        <v>2748</v>
      </c>
      <c r="B3616" s="114" t="str">
        <f>VLOOKUP(A3616,'Data pick slip'!B:F,5,FALSE)</f>
        <v>KHJ-MC400-00</v>
      </c>
      <c r="F3616" s="157" t="s">
        <v>2753</v>
      </c>
      <c r="H3616" s="138">
        <v>1728</v>
      </c>
      <c r="I3616" s="139" t="str">
        <f>VLOOKUP(H3616,Stock_list!A:R,18,FALSE)</f>
        <v>世启纳</v>
      </c>
      <c r="J3616" s="139" t="str">
        <f>VLOOKUP(H3616,Stock_list!A:S,17,FALSE)</f>
        <v>C49SZX20220100SS</v>
      </c>
      <c r="K3616" s="51" t="str">
        <f>VLOOKUP(H3616,Stock_list!A:T,16,FALSE)</f>
        <v>RMB</v>
      </c>
      <c r="L3616" s="4">
        <v>44846</v>
      </c>
      <c r="M3616" s="140">
        <v>1</v>
      </c>
      <c r="P3616" s="4" t="str">
        <f>VLOOKUP(H3616,Stock_list!A:Y,25,FALSE)</f>
        <v>Yes</v>
      </c>
      <c r="Q3616" s="143"/>
      <c r="T3616" s="144"/>
      <c r="U3616" s="145" t="str">
        <f>VLOOKUP(H3616,Stock_list!A:N,14,FALSE)</f>
        <v>OCT 22</v>
      </c>
    </row>
    <row r="3617" spans="1:21" ht="16.5" customHeight="1">
      <c r="A3617" s="159" t="s">
        <v>2744</v>
      </c>
      <c r="B3617" s="114" t="str">
        <f>VLOOKUP(A3617,'Data pick slip'!B:F,5,FALSE)</f>
        <v>KHJ-MC100-00</v>
      </c>
      <c r="F3617" s="157" t="s">
        <v>2753</v>
      </c>
      <c r="H3617" s="138">
        <v>1733</v>
      </c>
      <c r="I3617" s="139" t="str">
        <f>VLOOKUP(H3617,Stock_list!A:R,18,FALSE)</f>
        <v>朗特</v>
      </c>
      <c r="J3617" s="139" t="str">
        <f>VLOOKUP(H3617,Stock_list!A:S,17,FALSE)</f>
        <v>C49SZX20220102DZ</v>
      </c>
      <c r="K3617" s="51" t="str">
        <f>VLOOKUP(H3617,Stock_list!A:T,16,FALSE)</f>
        <v>RMB</v>
      </c>
      <c r="L3617" s="4">
        <v>44834</v>
      </c>
      <c r="M3617" s="140">
        <v>123</v>
      </c>
      <c r="P3617" s="4" t="str">
        <f>VLOOKUP(H3617,Stock_list!A:Y,25,FALSE)</f>
        <v>Yes</v>
      </c>
      <c r="Q3617" s="143"/>
      <c r="T3617" s="144"/>
      <c r="U3617" s="145" t="str">
        <f>VLOOKUP(H3617,Stock_list!A:N,14,FALSE)</f>
        <v>SEP 22</v>
      </c>
    </row>
    <row r="3618" spans="1:21" ht="16.5" customHeight="1">
      <c r="A3618" s="159" t="s">
        <v>2744</v>
      </c>
      <c r="B3618" s="114" t="str">
        <f>VLOOKUP(A3618,'Data pick slip'!B:F,5,FALSE)</f>
        <v>KHJ-MC100-00</v>
      </c>
      <c r="F3618" s="157" t="s">
        <v>2753</v>
      </c>
      <c r="H3618" s="138">
        <v>1739</v>
      </c>
      <c r="I3618" s="139" t="str">
        <f>VLOOKUP(H3618,Stock_list!A:R,18,FALSE)</f>
        <v>锐诚</v>
      </c>
      <c r="J3618" s="139" t="str">
        <f>VLOOKUP(H3618,Stock_list!A:S,17,FALSE)</f>
        <v>C49SZX20220106SX</v>
      </c>
      <c r="K3618" s="51" t="str">
        <f>VLOOKUP(H3618,Stock_list!A:T,16,FALSE)</f>
        <v>RMB</v>
      </c>
      <c r="L3618" s="141">
        <v>44854</v>
      </c>
      <c r="M3618" s="143">
        <v>30</v>
      </c>
      <c r="P3618" s="4" t="str">
        <f>VLOOKUP(H3618,Stock_list!A:Y,25,FALSE)</f>
        <v>Yes</v>
      </c>
      <c r="T3618" s="144"/>
      <c r="U3618" s="145" t="str">
        <f>VLOOKUP(H3618,Stock_list!A:N,14,FALSE)</f>
        <v>OCT 22</v>
      </c>
    </row>
    <row r="3619" spans="1:21" ht="16.5" customHeight="1">
      <c r="A3619" s="159" t="s">
        <v>2747</v>
      </c>
      <c r="B3619" s="114" t="str">
        <f>VLOOKUP(A3619,'Data pick slip'!B:F,5,FALSE)</f>
        <v>KHJ-MC200-00</v>
      </c>
      <c r="F3619" s="157" t="s">
        <v>2753</v>
      </c>
      <c r="H3619" s="138">
        <v>1739</v>
      </c>
      <c r="I3619" s="139" t="str">
        <f>VLOOKUP(H3619,Stock_list!A:R,18,FALSE)</f>
        <v>锐诚</v>
      </c>
      <c r="J3619" s="139" t="str">
        <f>VLOOKUP(H3619,Stock_list!A:S,17,FALSE)</f>
        <v>C49SZX20220106SX</v>
      </c>
      <c r="K3619" s="51" t="str">
        <f>VLOOKUP(H3619,Stock_list!A:T,16,FALSE)</f>
        <v>RMB</v>
      </c>
      <c r="L3619" s="141">
        <v>44854</v>
      </c>
      <c r="M3619" s="143">
        <v>6</v>
      </c>
      <c r="P3619" s="4" t="str">
        <f>VLOOKUP(H3619,Stock_list!A:Y,25,FALSE)</f>
        <v>Yes</v>
      </c>
      <c r="T3619" s="144"/>
      <c r="U3619" s="145" t="str">
        <f>VLOOKUP(H3619,Stock_list!A:N,14,FALSE)</f>
        <v>OCT 22</v>
      </c>
    </row>
    <row r="3620" spans="1:21" ht="16.5" customHeight="1">
      <c r="A3620" s="159" t="s">
        <v>2749</v>
      </c>
      <c r="B3620" s="114" t="str">
        <f>VLOOKUP(A3620,'Data pick slip'!B:F,5,FALSE)</f>
        <v>KHJ-MC500-00</v>
      </c>
      <c r="F3620" s="157" t="s">
        <v>2753</v>
      </c>
      <c r="H3620" s="138">
        <v>1739</v>
      </c>
      <c r="I3620" s="139" t="str">
        <f>VLOOKUP(H3620,Stock_list!A:R,18,FALSE)</f>
        <v>锐诚</v>
      </c>
      <c r="J3620" s="139" t="str">
        <f>VLOOKUP(H3620,Stock_list!A:S,17,FALSE)</f>
        <v>C49SZX20220106SX</v>
      </c>
      <c r="K3620" s="51" t="str">
        <f>VLOOKUP(H3620,Stock_list!A:T,16,FALSE)</f>
        <v>RMB</v>
      </c>
      <c r="L3620" s="141">
        <v>44854</v>
      </c>
      <c r="M3620" s="143">
        <v>1</v>
      </c>
      <c r="P3620" s="4" t="str">
        <f>VLOOKUP(H3620,Stock_list!A:Y,25,FALSE)</f>
        <v>Yes</v>
      </c>
      <c r="T3620" s="144"/>
      <c r="U3620" s="145" t="str">
        <f>VLOOKUP(H3620,Stock_list!A:N,14,FALSE)</f>
        <v>OCT 22</v>
      </c>
    </row>
    <row r="3621" spans="1:21" ht="16.5" customHeight="1">
      <c r="A3621" s="159" t="s">
        <v>2750</v>
      </c>
      <c r="B3621" s="114" t="str">
        <f>VLOOKUP(A3621,'Data pick slip'!B:F,5,FALSE)</f>
        <v>KHJ-MC600-00</v>
      </c>
      <c r="F3621" s="157" t="s">
        <v>2753</v>
      </c>
      <c r="H3621" s="138">
        <v>1739</v>
      </c>
      <c r="I3621" s="139" t="str">
        <f>VLOOKUP(H3621,Stock_list!A:R,18,FALSE)</f>
        <v>锐诚</v>
      </c>
      <c r="J3621" s="139" t="str">
        <f>VLOOKUP(H3621,Stock_list!A:S,17,FALSE)</f>
        <v>C49SZX20220106SX</v>
      </c>
      <c r="K3621" s="51" t="str">
        <f>VLOOKUP(H3621,Stock_list!A:T,16,FALSE)</f>
        <v>RMB</v>
      </c>
      <c r="L3621" s="141">
        <v>44854</v>
      </c>
      <c r="M3621" s="143">
        <v>1</v>
      </c>
      <c r="P3621" s="4" t="str">
        <f>VLOOKUP(H3621,Stock_list!A:Y,25,FALSE)</f>
        <v>Yes</v>
      </c>
      <c r="T3621" s="144"/>
      <c r="U3621" s="145" t="str">
        <f>VLOOKUP(H3621,Stock_list!A:N,14,FALSE)</f>
        <v>OCT 22</v>
      </c>
    </row>
    <row r="3622" spans="1:21" ht="16.5" customHeight="1">
      <c r="A3622" s="159" t="s">
        <v>2744</v>
      </c>
      <c r="B3622" s="114" t="str">
        <f>VLOOKUP(A3622,'Data pick slip'!B:F,5,FALSE)</f>
        <v>KHJ-MC100-00</v>
      </c>
      <c r="F3622" s="157" t="s">
        <v>2753</v>
      </c>
      <c r="H3622" s="138">
        <v>1739</v>
      </c>
      <c r="I3622" s="139" t="str">
        <f>VLOOKUP(H3622,Stock_list!A:R,18,FALSE)</f>
        <v>锐诚</v>
      </c>
      <c r="J3622" s="139" t="str">
        <f>VLOOKUP(H3622,Stock_list!A:S,17,FALSE)</f>
        <v>C49SZX20220106SX</v>
      </c>
      <c r="K3622" s="51" t="str">
        <f>VLOOKUP(H3622,Stock_list!A:T,16,FALSE)</f>
        <v>RMB</v>
      </c>
      <c r="L3622" s="141">
        <v>44848</v>
      </c>
      <c r="M3622" s="140">
        <v>2</v>
      </c>
      <c r="P3622" s="4" t="str">
        <f>VLOOKUP(H3622,Stock_list!A:Y,25,FALSE)</f>
        <v>Yes</v>
      </c>
      <c r="Q3622" s="143"/>
      <c r="T3622" s="144"/>
      <c r="U3622" s="145" t="str">
        <f>VLOOKUP(H3622,Stock_list!A:N,14,FALSE)</f>
        <v>OCT 22</v>
      </c>
    </row>
    <row r="3623" spans="1:21" ht="16.5" customHeight="1">
      <c r="A3623" s="159" t="s">
        <v>2744</v>
      </c>
      <c r="B3623" s="114" t="str">
        <f>VLOOKUP(A3623,'Data pick slip'!B:F,5,FALSE)</f>
        <v>KHJ-MC100-00</v>
      </c>
      <c r="F3623" s="157" t="s">
        <v>2753</v>
      </c>
      <c r="H3623" s="138">
        <v>1740</v>
      </c>
      <c r="I3623" s="139" t="str">
        <f>VLOOKUP(H3623,Stock_list!A:R,18,FALSE)</f>
        <v>朗特</v>
      </c>
      <c r="J3623" s="139" t="str">
        <f>VLOOKUP(H3623,Stock_list!A:S,17,FALSE)</f>
        <v>C49SZX20220107DZ</v>
      </c>
      <c r="K3623" s="51" t="str">
        <f>VLOOKUP(H3623,Stock_list!A:T,16,FALSE)</f>
        <v>RMB</v>
      </c>
      <c r="L3623" s="4">
        <v>44853</v>
      </c>
      <c r="M3623" s="143">
        <v>240</v>
      </c>
      <c r="P3623" s="4" t="str">
        <f>VLOOKUP(H3623,Stock_list!A:Y,25,FALSE)</f>
        <v>Yes</v>
      </c>
      <c r="Q3623" s="143"/>
      <c r="T3623" s="144"/>
      <c r="U3623" s="145" t="str">
        <f>VLOOKUP(H3623,Stock_list!A:N,14,FALSE)</f>
        <v>OCT 22</v>
      </c>
    </row>
    <row r="3624" spans="1:21" ht="16.5" customHeight="1">
      <c r="A3624" s="159" t="s">
        <v>2747</v>
      </c>
      <c r="B3624" s="114" t="str">
        <f>VLOOKUP(A3624,'Data pick slip'!B:F,5,FALSE)</f>
        <v>KHJ-MC200-00</v>
      </c>
      <c r="F3624" s="157" t="s">
        <v>2753</v>
      </c>
      <c r="H3624" s="138">
        <v>1740</v>
      </c>
      <c r="I3624" s="139" t="str">
        <f>VLOOKUP(H3624,Stock_list!A:R,18,FALSE)</f>
        <v>朗特</v>
      </c>
      <c r="J3624" s="139" t="str">
        <f>VLOOKUP(H3624,Stock_list!A:S,17,FALSE)</f>
        <v>C49SZX20220107DZ</v>
      </c>
      <c r="K3624" s="51" t="str">
        <f>VLOOKUP(H3624,Stock_list!A:T,16,FALSE)</f>
        <v>RMB</v>
      </c>
      <c r="L3624" s="4">
        <v>44853</v>
      </c>
      <c r="M3624" s="143">
        <v>60</v>
      </c>
      <c r="P3624" s="4" t="str">
        <f>VLOOKUP(H3624,Stock_list!A:Y,25,FALSE)</f>
        <v>Yes</v>
      </c>
      <c r="Q3624" s="143"/>
      <c r="T3624" s="144"/>
      <c r="U3624" s="145" t="str">
        <f>VLOOKUP(H3624,Stock_list!A:N,14,FALSE)</f>
        <v>OCT 22</v>
      </c>
    </row>
    <row r="3625" spans="1:21" ht="16.5" customHeight="1">
      <c r="A3625" s="159" t="s">
        <v>2748</v>
      </c>
      <c r="B3625" s="114" t="str">
        <f>VLOOKUP(A3625,'Data pick slip'!B:F,5,FALSE)</f>
        <v>KHJ-MC400-00</v>
      </c>
      <c r="F3625" s="157" t="s">
        <v>2753</v>
      </c>
      <c r="H3625" s="138">
        <v>1740</v>
      </c>
      <c r="I3625" s="139" t="str">
        <f>VLOOKUP(H3625,Stock_list!A:R,18,FALSE)</f>
        <v>朗特</v>
      </c>
      <c r="J3625" s="139" t="str">
        <f>VLOOKUP(H3625,Stock_list!A:S,17,FALSE)</f>
        <v>C49SZX20220107DZ</v>
      </c>
      <c r="K3625" s="51" t="str">
        <f>VLOOKUP(H3625,Stock_list!A:T,16,FALSE)</f>
        <v>RMB</v>
      </c>
      <c r="L3625" s="4">
        <v>44853</v>
      </c>
      <c r="M3625" s="143">
        <v>30</v>
      </c>
      <c r="P3625" s="4" t="str">
        <f>VLOOKUP(H3625,Stock_list!A:Y,25,FALSE)</f>
        <v>Yes</v>
      </c>
      <c r="Q3625" s="143"/>
      <c r="T3625" s="144"/>
      <c r="U3625" s="145" t="str">
        <f>VLOOKUP(H3625,Stock_list!A:N,14,FALSE)</f>
        <v>OCT 22</v>
      </c>
    </row>
    <row r="3626" spans="1:21" ht="16.5" customHeight="1">
      <c r="A3626" s="159" t="s">
        <v>2749</v>
      </c>
      <c r="B3626" s="114" t="str">
        <f>VLOOKUP(A3626,'Data pick slip'!B:F,5,FALSE)</f>
        <v>KHJ-MC500-00</v>
      </c>
      <c r="F3626" s="157" t="s">
        <v>2753</v>
      </c>
      <c r="H3626" s="138">
        <v>1740</v>
      </c>
      <c r="I3626" s="139" t="str">
        <f>VLOOKUP(H3626,Stock_list!A:R,18,FALSE)</f>
        <v>朗特</v>
      </c>
      <c r="J3626" s="139" t="str">
        <f>VLOOKUP(H3626,Stock_list!A:S,17,FALSE)</f>
        <v>C49SZX20220107DZ</v>
      </c>
      <c r="K3626" s="51" t="str">
        <f>VLOOKUP(H3626,Stock_list!A:T,16,FALSE)</f>
        <v>RMB</v>
      </c>
      <c r="L3626" s="4">
        <v>44853</v>
      </c>
      <c r="M3626" s="143">
        <v>8</v>
      </c>
      <c r="P3626" s="4" t="str">
        <f>VLOOKUP(H3626,Stock_list!A:Y,25,FALSE)</f>
        <v>Yes</v>
      </c>
      <c r="Q3626" s="143"/>
      <c r="T3626" s="144"/>
      <c r="U3626" s="145" t="str">
        <f>VLOOKUP(H3626,Stock_list!A:N,14,FALSE)</f>
        <v>OCT 22</v>
      </c>
    </row>
    <row r="3627" spans="1:21" ht="16.5" customHeight="1">
      <c r="A3627" s="159" t="s">
        <v>2750</v>
      </c>
      <c r="B3627" s="114" t="str">
        <f>VLOOKUP(A3627,'Data pick slip'!B:F,5,FALSE)</f>
        <v>KHJ-MC600-00</v>
      </c>
      <c r="F3627" s="157" t="s">
        <v>2753</v>
      </c>
      <c r="H3627" s="138">
        <v>1740</v>
      </c>
      <c r="I3627" s="139" t="str">
        <f>VLOOKUP(H3627,Stock_list!A:R,18,FALSE)</f>
        <v>朗特</v>
      </c>
      <c r="J3627" s="139" t="str">
        <f>VLOOKUP(H3627,Stock_list!A:S,17,FALSE)</f>
        <v>C49SZX20220107DZ</v>
      </c>
      <c r="K3627" s="51" t="str">
        <f>VLOOKUP(H3627,Stock_list!A:T,16,FALSE)</f>
        <v>RMB</v>
      </c>
      <c r="L3627" s="4">
        <v>44853</v>
      </c>
      <c r="M3627" s="143">
        <v>4</v>
      </c>
      <c r="P3627" s="4" t="str">
        <f>VLOOKUP(H3627,Stock_list!A:Y,25,FALSE)</f>
        <v>Yes</v>
      </c>
      <c r="Q3627" s="143"/>
      <c r="T3627" s="144"/>
      <c r="U3627" s="145" t="str">
        <f>VLOOKUP(H3627,Stock_list!A:N,14,FALSE)</f>
        <v>OCT 22</v>
      </c>
    </row>
    <row r="3628" spans="1:21" ht="16.5" customHeight="1">
      <c r="A3628" s="159" t="s">
        <v>2744</v>
      </c>
      <c r="B3628" s="114" t="str">
        <f>VLOOKUP(A3628,'Data pick slip'!B:F,5,FALSE)</f>
        <v>KHJ-MC100-00</v>
      </c>
      <c r="F3628" s="157" t="s">
        <v>1381</v>
      </c>
      <c r="H3628" s="138">
        <v>1747</v>
      </c>
      <c r="I3628" s="139" t="str">
        <f>VLOOKUP(H3628,Stock_list!A:R,18,FALSE)</f>
        <v>银杏（虽然机器安装在银杏，但是给到Yamaha的资料都是三才）</v>
      </c>
      <c r="J3628" s="139" t="str">
        <f>VLOOKUP(H3628,Stock_list!A:S,17,FALSE)</f>
        <v>C49SZX20220103SS</v>
      </c>
      <c r="K3628" s="51" t="str">
        <f>VLOOKUP(H3628,Stock_list!A:T,16,FALSE)</f>
        <v>JPY</v>
      </c>
      <c r="L3628" s="4">
        <v>44865</v>
      </c>
      <c r="M3628" s="143">
        <v>112</v>
      </c>
      <c r="P3628" s="4" t="str">
        <f>VLOOKUP(H3628,Stock_list!A:Y,25,FALSE)</f>
        <v>Yes</v>
      </c>
      <c r="T3628" s="144"/>
      <c r="U3628" s="145" t="str">
        <f>VLOOKUP(H3628,Stock_list!A:N,14,FALSE)</f>
        <v>OCT 22</v>
      </c>
    </row>
    <row r="3629" spans="1:21" ht="16.5" customHeight="1">
      <c r="A3629" s="159" t="s">
        <v>2747</v>
      </c>
      <c r="B3629" s="114" t="str">
        <f>VLOOKUP(A3629,'Data pick slip'!B:F,5,FALSE)</f>
        <v>KHJ-MC200-00</v>
      </c>
      <c r="F3629" s="157" t="s">
        <v>1381</v>
      </c>
      <c r="H3629" s="138">
        <v>1747</v>
      </c>
      <c r="I3629" s="139" t="str">
        <f>VLOOKUP(H3629,Stock_list!A:R,18,FALSE)</f>
        <v>银杏（虽然机器安装在银杏，但是给到Yamaha的资料都是三才）</v>
      </c>
      <c r="J3629" s="139" t="str">
        <f>VLOOKUP(H3629,Stock_list!A:S,17,FALSE)</f>
        <v>C49SZX20220103SS</v>
      </c>
      <c r="K3629" s="51" t="str">
        <f>VLOOKUP(H3629,Stock_list!A:T,16,FALSE)</f>
        <v>JPY</v>
      </c>
      <c r="L3629" s="4">
        <v>44865</v>
      </c>
      <c r="M3629" s="143">
        <v>35</v>
      </c>
      <c r="P3629" s="4" t="str">
        <f>VLOOKUP(H3629,Stock_list!A:Y,25,FALSE)</f>
        <v>Yes</v>
      </c>
      <c r="T3629" s="144"/>
      <c r="U3629" s="145" t="str">
        <f>VLOOKUP(H3629,Stock_list!A:N,14,FALSE)</f>
        <v>OCT 22</v>
      </c>
    </row>
    <row r="3630" spans="1:21" ht="16.5" customHeight="1">
      <c r="A3630" s="159" t="s">
        <v>2748</v>
      </c>
      <c r="B3630" s="114" t="str">
        <f>VLOOKUP(A3630,'Data pick slip'!B:F,5,FALSE)</f>
        <v>KHJ-MC400-00</v>
      </c>
      <c r="F3630" s="157" t="s">
        <v>1381</v>
      </c>
      <c r="H3630" s="138">
        <v>1747</v>
      </c>
      <c r="I3630" s="139" t="str">
        <f>VLOOKUP(H3630,Stock_list!A:R,18,FALSE)</f>
        <v>银杏（虽然机器安装在银杏，但是给到Yamaha的资料都是三才）</v>
      </c>
      <c r="J3630" s="139" t="str">
        <f>VLOOKUP(H3630,Stock_list!A:S,17,FALSE)</f>
        <v>C49SZX20220103SS</v>
      </c>
      <c r="K3630" s="51" t="str">
        <f>VLOOKUP(H3630,Stock_list!A:T,16,FALSE)</f>
        <v>JPY</v>
      </c>
      <c r="L3630" s="4">
        <v>44865</v>
      </c>
      <c r="M3630" s="143">
        <v>12</v>
      </c>
      <c r="P3630" s="4" t="str">
        <f>VLOOKUP(H3630,Stock_list!A:Y,25,FALSE)</f>
        <v>Yes</v>
      </c>
      <c r="T3630" s="144"/>
      <c r="U3630" s="145" t="str">
        <f>VLOOKUP(H3630,Stock_list!A:N,14,FALSE)</f>
        <v>OCT 22</v>
      </c>
    </row>
    <row r="3631" spans="1:21" ht="16.5" customHeight="1">
      <c r="A3631" s="159" t="s">
        <v>2749</v>
      </c>
      <c r="B3631" s="114" t="str">
        <f>VLOOKUP(A3631,'Data pick slip'!B:F,5,FALSE)</f>
        <v>KHJ-MC500-00</v>
      </c>
      <c r="F3631" s="157" t="s">
        <v>1381</v>
      </c>
      <c r="H3631" s="138">
        <v>1747</v>
      </c>
      <c r="I3631" s="139" t="str">
        <f>VLOOKUP(H3631,Stock_list!A:R,18,FALSE)</f>
        <v>银杏（虽然机器安装在银杏，但是给到Yamaha的资料都是三才）</v>
      </c>
      <c r="J3631" s="139" t="str">
        <f>VLOOKUP(H3631,Stock_list!A:S,17,FALSE)</f>
        <v>C49SZX20220103SS</v>
      </c>
      <c r="K3631" s="51" t="str">
        <f>VLOOKUP(H3631,Stock_list!A:T,16,FALSE)</f>
        <v>JPY</v>
      </c>
      <c r="L3631" s="4">
        <v>44865</v>
      </c>
      <c r="M3631" s="143">
        <v>2</v>
      </c>
      <c r="P3631" s="4" t="str">
        <f>VLOOKUP(H3631,Stock_list!A:Y,25,FALSE)</f>
        <v>Yes</v>
      </c>
      <c r="T3631" s="144"/>
      <c r="U3631" s="145" t="str">
        <f>VLOOKUP(H3631,Stock_list!A:N,14,FALSE)</f>
        <v>OCT 22</v>
      </c>
    </row>
    <row r="3632" spans="1:21" ht="16.5" customHeight="1">
      <c r="A3632" s="159" t="s">
        <v>2750</v>
      </c>
      <c r="B3632" s="114" t="str">
        <f>VLOOKUP(A3632,'Data pick slip'!B:F,5,FALSE)</f>
        <v>KHJ-MC600-00</v>
      </c>
      <c r="F3632" s="157" t="s">
        <v>1381</v>
      </c>
      <c r="H3632" s="138">
        <v>1747</v>
      </c>
      <c r="I3632" s="139" t="str">
        <f>VLOOKUP(H3632,Stock_list!A:R,18,FALSE)</f>
        <v>银杏（虽然机器安装在银杏，但是给到Yamaha的资料都是三才）</v>
      </c>
      <c r="J3632" s="139" t="str">
        <f>VLOOKUP(H3632,Stock_list!A:S,17,FALSE)</f>
        <v>C49SZX20220103SS</v>
      </c>
      <c r="K3632" s="51" t="str">
        <f>VLOOKUP(H3632,Stock_list!A:T,16,FALSE)</f>
        <v>JPY</v>
      </c>
      <c r="L3632" s="4">
        <v>44865</v>
      </c>
      <c r="M3632" s="143">
        <v>6</v>
      </c>
      <c r="P3632" s="4" t="str">
        <f>VLOOKUP(H3632,Stock_list!A:Y,25,FALSE)</f>
        <v>Yes</v>
      </c>
      <c r="T3632" s="144"/>
      <c r="U3632" s="145" t="str">
        <f>VLOOKUP(H3632,Stock_list!A:N,14,FALSE)</f>
        <v>OCT 22</v>
      </c>
    </row>
    <row r="3633" spans="1:21" ht="16.5" customHeight="1">
      <c r="A3633" s="159" t="s">
        <v>2751</v>
      </c>
      <c r="B3633" s="114" t="str">
        <f>VLOOKUP(A3633,'Data pick slip'!B:F,5,FALSE)</f>
        <v>KHJ-MC700-00</v>
      </c>
      <c r="F3633" s="157" t="s">
        <v>1381</v>
      </c>
      <c r="H3633" s="138">
        <v>1747</v>
      </c>
      <c r="I3633" s="139" t="str">
        <f>VLOOKUP(H3633,Stock_list!A:R,18,FALSE)</f>
        <v>银杏（虽然机器安装在银杏，但是给到Yamaha的资料都是三才）</v>
      </c>
      <c r="J3633" s="139" t="str">
        <f>VLOOKUP(H3633,Stock_list!A:S,17,FALSE)</f>
        <v>C49SZX20220103SS</v>
      </c>
      <c r="K3633" s="51" t="str">
        <f>VLOOKUP(H3633,Stock_list!A:T,16,FALSE)</f>
        <v>JPY</v>
      </c>
      <c r="L3633" s="4">
        <v>44865</v>
      </c>
      <c r="M3633" s="143">
        <v>2</v>
      </c>
      <c r="P3633" s="4" t="str">
        <f>VLOOKUP(H3633,Stock_list!A:Y,25,FALSE)</f>
        <v>Yes</v>
      </c>
      <c r="T3633" s="144"/>
      <c r="U3633" s="145" t="str">
        <f>VLOOKUP(H3633,Stock_list!A:N,14,FALSE)</f>
        <v>OCT 22</v>
      </c>
    </row>
    <row r="3634" spans="1:21" ht="16.5" customHeight="1">
      <c r="A3634" s="159" t="s">
        <v>2744</v>
      </c>
      <c r="B3634" s="114" t="str">
        <f>VLOOKUP(A3634,'Data pick slip'!B:F,5,FALSE)</f>
        <v>KHJ-MC100-00</v>
      </c>
      <c r="F3634" s="157" t="s">
        <v>2753</v>
      </c>
      <c r="H3634" s="138">
        <v>1750</v>
      </c>
      <c r="I3634" s="139" t="str">
        <f>VLOOKUP(H3634,Stock_list!A:R,18,FALSE)</f>
        <v>格美通</v>
      </c>
      <c r="J3634" s="139" t="str">
        <f>VLOOKUP(H3634,Stock_list!A:S,17,FALSE)</f>
        <v>C49SZX20220093EC</v>
      </c>
      <c r="K3634" s="51" t="str">
        <f>VLOOKUP(H3634,Stock_list!A:T,16,FALSE)</f>
        <v>RMB</v>
      </c>
      <c r="L3634" s="4">
        <v>44868</v>
      </c>
      <c r="M3634" s="140">
        <v>60</v>
      </c>
      <c r="P3634" s="4" t="str">
        <f>VLOOKUP(H3634,Stock_list!A:Y,25,FALSE)</f>
        <v>Yes</v>
      </c>
      <c r="Q3634" s="143"/>
      <c r="T3634" s="144"/>
      <c r="U3634" s="145" t="str">
        <f>VLOOKUP(H3634,Stock_list!A:N,14,FALSE)</f>
        <v>NOV 22</v>
      </c>
    </row>
    <row r="3635" spans="1:21" ht="16.5" customHeight="1">
      <c r="A3635" s="159" t="s">
        <v>2744</v>
      </c>
      <c r="B3635" s="114" t="str">
        <f>VLOOKUP(A3635,'Data pick slip'!B:F,5,FALSE)</f>
        <v>KHJ-MC100-00</v>
      </c>
      <c r="F3635" s="157" t="s">
        <v>2753</v>
      </c>
      <c r="H3635" s="138">
        <v>1751</v>
      </c>
      <c r="I3635" s="139" t="str">
        <f>VLOOKUP(H3635,Stock_list!A:R,18,FALSE)</f>
        <v>比泰利</v>
      </c>
      <c r="J3635" s="139" t="str">
        <f>VLOOKUP(H3635,Stock_list!A:S,17,FALSE)</f>
        <v>C49SZX20220113DZ</v>
      </c>
      <c r="K3635" s="51" t="str">
        <f>VLOOKUP(H3635,Stock_list!A:T,16,FALSE)</f>
        <v>RMB</v>
      </c>
      <c r="L3635" s="4">
        <v>44880</v>
      </c>
      <c r="M3635" s="143">
        <v>300</v>
      </c>
      <c r="P3635" s="4" t="str">
        <f>VLOOKUP(H3635,Stock_list!A:Y,25,FALSE)</f>
        <v>Yes</v>
      </c>
      <c r="T3635" s="144"/>
      <c r="U3635" s="145" t="str">
        <f>VLOOKUP(H3635,Stock_list!A:N,14,FALSE)</f>
        <v>NOV 22</v>
      </c>
    </row>
    <row r="3636" spans="1:21" ht="16.5" customHeight="1">
      <c r="A3636" s="159" t="s">
        <v>2747</v>
      </c>
      <c r="B3636" s="114" t="str">
        <f>VLOOKUP(A3636,'Data pick slip'!B:F,5,FALSE)</f>
        <v>KHJ-MC200-00</v>
      </c>
      <c r="F3636" s="157" t="s">
        <v>2753</v>
      </c>
      <c r="H3636" s="138">
        <v>1751</v>
      </c>
      <c r="I3636" s="139" t="str">
        <f>VLOOKUP(H3636,Stock_list!A:R,18,FALSE)</f>
        <v>比泰利</v>
      </c>
      <c r="J3636" s="139" t="str">
        <f>VLOOKUP(H3636,Stock_list!A:S,17,FALSE)</f>
        <v>C49SZX20220113DZ</v>
      </c>
      <c r="K3636" s="51" t="str">
        <f>VLOOKUP(H3636,Stock_list!A:T,16,FALSE)</f>
        <v>RMB</v>
      </c>
      <c r="L3636" s="4">
        <v>44880</v>
      </c>
      <c r="M3636" s="143">
        <v>40</v>
      </c>
      <c r="P3636" s="4" t="str">
        <f>VLOOKUP(H3636,Stock_list!A:Y,25,FALSE)</f>
        <v>Yes</v>
      </c>
      <c r="T3636" s="144"/>
      <c r="U3636" s="145" t="str">
        <f>VLOOKUP(H3636,Stock_list!A:N,14,FALSE)</f>
        <v>NOV 22</v>
      </c>
    </row>
    <row r="3637" spans="1:21" ht="16.5" customHeight="1">
      <c r="A3637" s="159" t="s">
        <v>2748</v>
      </c>
      <c r="B3637" s="114" t="str">
        <f>VLOOKUP(A3637,'Data pick slip'!B:F,5,FALSE)</f>
        <v>KHJ-MC400-00</v>
      </c>
      <c r="F3637" s="157" t="s">
        <v>2753</v>
      </c>
      <c r="H3637" s="138">
        <v>1751</v>
      </c>
      <c r="I3637" s="139" t="str">
        <f>VLOOKUP(H3637,Stock_list!A:R,18,FALSE)</f>
        <v>比泰利</v>
      </c>
      <c r="J3637" s="139" t="str">
        <f>VLOOKUP(H3637,Stock_list!A:S,17,FALSE)</f>
        <v>C49SZX20220113DZ</v>
      </c>
      <c r="K3637" s="51" t="str">
        <f>VLOOKUP(H3637,Stock_list!A:T,16,FALSE)</f>
        <v>RMB</v>
      </c>
      <c r="L3637" s="4">
        <v>44880</v>
      </c>
      <c r="M3637" s="143">
        <v>12</v>
      </c>
      <c r="P3637" s="4" t="str">
        <f>VLOOKUP(H3637,Stock_list!A:Y,25,FALSE)</f>
        <v>Yes</v>
      </c>
      <c r="T3637" s="144"/>
      <c r="U3637" s="145" t="str">
        <f>VLOOKUP(H3637,Stock_list!A:N,14,FALSE)</f>
        <v>NOV 22</v>
      </c>
    </row>
    <row r="3638" spans="1:21" ht="16.5" customHeight="1">
      <c r="A3638" s="159" t="s">
        <v>2749</v>
      </c>
      <c r="B3638" s="114" t="str">
        <f>VLOOKUP(A3638,'Data pick slip'!B:F,5,FALSE)</f>
        <v>KHJ-MC500-00</v>
      </c>
      <c r="F3638" s="157" t="s">
        <v>2753</v>
      </c>
      <c r="H3638" s="138">
        <v>1751</v>
      </c>
      <c r="I3638" s="139" t="str">
        <f>VLOOKUP(H3638,Stock_list!A:R,18,FALSE)</f>
        <v>比泰利</v>
      </c>
      <c r="J3638" s="139" t="str">
        <f>VLOOKUP(H3638,Stock_list!A:S,17,FALSE)</f>
        <v>C49SZX20220113DZ</v>
      </c>
      <c r="K3638" s="51" t="str">
        <f>VLOOKUP(H3638,Stock_list!A:T,16,FALSE)</f>
        <v>RMB</v>
      </c>
      <c r="L3638" s="4">
        <v>44880</v>
      </c>
      <c r="M3638" s="143">
        <v>2</v>
      </c>
      <c r="P3638" s="4" t="str">
        <f>VLOOKUP(H3638,Stock_list!A:Y,25,FALSE)</f>
        <v>Yes</v>
      </c>
      <c r="T3638" s="144"/>
      <c r="U3638" s="145" t="str">
        <f>VLOOKUP(H3638,Stock_list!A:N,14,FALSE)</f>
        <v>NOV 22</v>
      </c>
    </row>
    <row r="3639" spans="1:21" ht="16.5" customHeight="1">
      <c r="A3639" s="159" t="s">
        <v>2750</v>
      </c>
      <c r="B3639" s="114" t="str">
        <f>VLOOKUP(A3639,'Data pick slip'!B:F,5,FALSE)</f>
        <v>KHJ-MC600-00</v>
      </c>
      <c r="F3639" s="157" t="s">
        <v>2753</v>
      </c>
      <c r="H3639" s="138">
        <v>1751</v>
      </c>
      <c r="I3639" s="139" t="str">
        <f>VLOOKUP(H3639,Stock_list!A:R,18,FALSE)</f>
        <v>比泰利</v>
      </c>
      <c r="J3639" s="139" t="str">
        <f>VLOOKUP(H3639,Stock_list!A:S,17,FALSE)</f>
        <v>C49SZX20220113DZ</v>
      </c>
      <c r="K3639" s="51" t="str">
        <f>VLOOKUP(H3639,Stock_list!A:T,16,FALSE)</f>
        <v>RMB</v>
      </c>
      <c r="L3639" s="4">
        <v>44880</v>
      </c>
      <c r="M3639" s="143">
        <v>2</v>
      </c>
      <c r="P3639" s="4" t="str">
        <f>VLOOKUP(H3639,Stock_list!A:Y,25,FALSE)</f>
        <v>Yes</v>
      </c>
      <c r="T3639" s="144"/>
      <c r="U3639" s="145" t="str">
        <f>VLOOKUP(H3639,Stock_list!A:N,14,FALSE)</f>
        <v>NOV 22</v>
      </c>
    </row>
    <row r="3640" spans="1:21" ht="16.5" customHeight="1">
      <c r="A3640" s="159" t="s">
        <v>2751</v>
      </c>
      <c r="B3640" s="114" t="str">
        <f>VLOOKUP(A3640,'Data pick slip'!B:F,5,FALSE)</f>
        <v>KHJ-MC700-00</v>
      </c>
      <c r="F3640" s="157" t="s">
        <v>2753</v>
      </c>
      <c r="H3640" s="138">
        <v>1751</v>
      </c>
      <c r="I3640" s="139" t="str">
        <f>VLOOKUP(H3640,Stock_list!A:R,18,FALSE)</f>
        <v>比泰利</v>
      </c>
      <c r="J3640" s="139" t="str">
        <f>VLOOKUP(H3640,Stock_list!A:S,17,FALSE)</f>
        <v>C49SZX20220113DZ</v>
      </c>
      <c r="K3640" s="51" t="str">
        <f>VLOOKUP(H3640,Stock_list!A:T,16,FALSE)</f>
        <v>RMB</v>
      </c>
      <c r="L3640" s="4">
        <v>44880</v>
      </c>
      <c r="M3640" s="143">
        <v>1</v>
      </c>
      <c r="P3640" s="4" t="str">
        <f>VLOOKUP(H3640,Stock_list!A:Y,25,FALSE)</f>
        <v>Yes</v>
      </c>
      <c r="T3640" s="144"/>
      <c r="U3640" s="145" t="str">
        <f>VLOOKUP(H3640,Stock_list!A:N,14,FALSE)</f>
        <v>NOV 22</v>
      </c>
    </row>
    <row r="3641" spans="1:21" ht="16.5" customHeight="1">
      <c r="A3641" s="159" t="s">
        <v>2744</v>
      </c>
      <c r="B3641" s="114" t="str">
        <f>VLOOKUP(A3641,'Data pick slip'!B:F,5,FALSE)</f>
        <v>KHJ-MC100-00</v>
      </c>
      <c r="F3641" s="157" t="s">
        <v>2753</v>
      </c>
      <c r="H3641" s="138">
        <v>1753</v>
      </c>
      <c r="I3641" s="139" t="str">
        <f>VLOOKUP(H3641,Stock_list!A:R,18,FALSE)</f>
        <v>永诺精密</v>
      </c>
      <c r="J3641" s="139" t="str">
        <f>VLOOKUP(H3641,Stock_list!A:S,17,FALSE)</f>
        <v>C49SZX20220112SX</v>
      </c>
      <c r="K3641" s="51" t="str">
        <f>VLOOKUP(H3641,Stock_list!A:T,16,FALSE)</f>
        <v>RMB</v>
      </c>
      <c r="L3641" s="4">
        <v>44887</v>
      </c>
      <c r="M3641" s="140">
        <v>10</v>
      </c>
      <c r="P3641" s="4" t="str">
        <f>VLOOKUP(H3641,Stock_list!A:Y,25,FALSE)</f>
        <v>Yes</v>
      </c>
      <c r="Q3641" s="143"/>
      <c r="T3641" s="144"/>
      <c r="U3641" s="145" t="str">
        <f>VLOOKUP(H3641,Stock_list!A:N,14,FALSE)</f>
        <v>NOV 22</v>
      </c>
    </row>
    <row r="3642" spans="1:21" ht="16.5" customHeight="1">
      <c r="A3642" s="159" t="s">
        <v>2744</v>
      </c>
      <c r="B3642" s="114" t="str">
        <f>VLOOKUP(A3642,'Data pick slip'!B:F,5,FALSE)</f>
        <v>KHJ-MC100-00</v>
      </c>
      <c r="F3642" s="157" t="s">
        <v>2753</v>
      </c>
      <c r="H3642" s="138">
        <v>1754</v>
      </c>
      <c r="I3642" s="139" t="str">
        <f>VLOOKUP(H3642,Stock_list!A:R,18,FALSE)</f>
        <v>深圳健科</v>
      </c>
      <c r="J3642" s="139" t="str">
        <f>VLOOKUP(H3642,Stock_list!A:S,17,FALSE)</f>
        <v>C49SZX20220119DZ</v>
      </c>
      <c r="K3642" s="51" t="str">
        <f>VLOOKUP(H3642,Stock_list!A:T,16,FALSE)</f>
        <v>RMB</v>
      </c>
      <c r="L3642" s="4">
        <v>44894</v>
      </c>
      <c r="M3642" s="143">
        <v>80</v>
      </c>
      <c r="P3642" s="4" t="str">
        <f>VLOOKUP(H3642,Stock_list!A:Y,25,FALSE)</f>
        <v>Yes</v>
      </c>
      <c r="T3642" s="144"/>
      <c r="U3642" s="145" t="str">
        <f>VLOOKUP(H3642,Stock_list!A:N,14,FALSE)</f>
        <v>NOV 22</v>
      </c>
    </row>
    <row r="3643" spans="1:21" ht="16.5" customHeight="1">
      <c r="A3643" s="159" t="s">
        <v>2747</v>
      </c>
      <c r="B3643" s="114" t="str">
        <f>VLOOKUP(A3643,'Data pick slip'!B:F,5,FALSE)</f>
        <v>KHJ-MC200-00</v>
      </c>
      <c r="F3643" s="157" t="s">
        <v>2753</v>
      </c>
      <c r="H3643" s="138">
        <v>1754</v>
      </c>
      <c r="I3643" s="139" t="str">
        <f>VLOOKUP(H3643,Stock_list!A:R,18,FALSE)</f>
        <v>深圳健科</v>
      </c>
      <c r="J3643" s="139" t="str">
        <f>VLOOKUP(H3643,Stock_list!A:S,17,FALSE)</f>
        <v>C49SZX20220119DZ</v>
      </c>
      <c r="K3643" s="51" t="str">
        <f>VLOOKUP(H3643,Stock_list!A:T,16,FALSE)</f>
        <v>RMB</v>
      </c>
      <c r="L3643" s="4">
        <v>44894</v>
      </c>
      <c r="M3643" s="143">
        <v>8</v>
      </c>
      <c r="P3643" s="4" t="str">
        <f>VLOOKUP(H3643,Stock_list!A:Y,25,FALSE)</f>
        <v>Yes</v>
      </c>
      <c r="T3643" s="144"/>
      <c r="U3643" s="145" t="str">
        <f>VLOOKUP(H3643,Stock_list!A:N,14,FALSE)</f>
        <v>NOV 22</v>
      </c>
    </row>
    <row r="3644" spans="1:21" ht="16.5" customHeight="1">
      <c r="A3644" s="159" t="s">
        <v>2749</v>
      </c>
      <c r="B3644" s="114" t="str">
        <f>VLOOKUP(A3644,'Data pick slip'!B:F,5,FALSE)</f>
        <v>KHJ-MC500-00</v>
      </c>
      <c r="F3644" s="157" t="s">
        <v>2753</v>
      </c>
      <c r="H3644" s="138">
        <v>1754</v>
      </c>
      <c r="I3644" s="139" t="str">
        <f>VLOOKUP(H3644,Stock_list!A:R,18,FALSE)</f>
        <v>深圳健科</v>
      </c>
      <c r="J3644" s="139" t="str">
        <f>VLOOKUP(H3644,Stock_list!A:S,17,FALSE)</f>
        <v>C49SZX20220119DZ</v>
      </c>
      <c r="K3644" s="51" t="str">
        <f>VLOOKUP(H3644,Stock_list!A:T,16,FALSE)</f>
        <v>RMB</v>
      </c>
      <c r="L3644" s="4">
        <v>44894</v>
      </c>
      <c r="M3644" s="143">
        <v>1</v>
      </c>
      <c r="P3644" s="4" t="str">
        <f>VLOOKUP(H3644,Stock_list!A:Y,25,FALSE)</f>
        <v>Yes</v>
      </c>
      <c r="T3644" s="144"/>
      <c r="U3644" s="145" t="str">
        <f>VLOOKUP(H3644,Stock_list!A:N,14,FALSE)</f>
        <v>NOV 22</v>
      </c>
    </row>
    <row r="3645" spans="1:21" ht="16.5" customHeight="1">
      <c r="A3645" s="159" t="s">
        <v>2750</v>
      </c>
      <c r="B3645" s="114" t="str">
        <f>VLOOKUP(A3645,'Data pick slip'!B:F,5,FALSE)</f>
        <v>KHJ-MC600-00</v>
      </c>
      <c r="F3645" s="157" t="s">
        <v>2753</v>
      </c>
      <c r="H3645" s="138">
        <v>1754</v>
      </c>
      <c r="I3645" s="139" t="str">
        <f>VLOOKUP(H3645,Stock_list!A:R,18,FALSE)</f>
        <v>深圳健科</v>
      </c>
      <c r="J3645" s="139" t="str">
        <f>VLOOKUP(H3645,Stock_list!A:S,17,FALSE)</f>
        <v>C49SZX20220119DZ</v>
      </c>
      <c r="K3645" s="51" t="str">
        <f>VLOOKUP(H3645,Stock_list!A:T,16,FALSE)</f>
        <v>RMB</v>
      </c>
      <c r="L3645" s="4">
        <v>44894</v>
      </c>
      <c r="M3645" s="143">
        <v>1</v>
      </c>
      <c r="P3645" s="4" t="str">
        <f>VLOOKUP(H3645,Stock_list!A:Y,25,FALSE)</f>
        <v>Yes</v>
      </c>
      <c r="T3645" s="144"/>
      <c r="U3645" s="145" t="str">
        <f>VLOOKUP(H3645,Stock_list!A:N,14,FALSE)</f>
        <v>NOV 22</v>
      </c>
    </row>
    <row r="3646" spans="1:21" ht="16.5" customHeight="1">
      <c r="A3646" s="159" t="s">
        <v>2751</v>
      </c>
      <c r="B3646" s="114" t="str">
        <f>VLOOKUP(A3646,'Data pick slip'!B:F,5,FALSE)</f>
        <v>KHJ-MC700-00</v>
      </c>
      <c r="F3646" s="157" t="s">
        <v>2753</v>
      </c>
      <c r="H3646" s="138">
        <v>1754</v>
      </c>
      <c r="I3646" s="139" t="str">
        <f>VLOOKUP(H3646,Stock_list!A:R,18,FALSE)</f>
        <v>深圳健科</v>
      </c>
      <c r="J3646" s="139" t="str">
        <f>VLOOKUP(H3646,Stock_list!A:S,17,FALSE)</f>
        <v>C49SZX20220119DZ</v>
      </c>
      <c r="K3646" s="51" t="str">
        <f>VLOOKUP(H3646,Stock_list!A:T,16,FALSE)</f>
        <v>RMB</v>
      </c>
      <c r="L3646" s="4">
        <v>44894</v>
      </c>
      <c r="M3646" s="143">
        <v>1</v>
      </c>
      <c r="P3646" s="4" t="str">
        <f>VLOOKUP(H3646,Stock_list!A:Y,25,FALSE)</f>
        <v>Yes</v>
      </c>
      <c r="T3646" s="144"/>
      <c r="U3646" s="145" t="str">
        <f>VLOOKUP(H3646,Stock_list!A:N,14,FALSE)</f>
        <v>NOV 22</v>
      </c>
    </row>
    <row r="3647" spans="1:21" ht="16.5" customHeight="1">
      <c r="A3647" s="159" t="s">
        <v>2744</v>
      </c>
      <c r="B3647" s="114" t="str">
        <f>VLOOKUP(A3647,'Data pick slip'!B:F,5,FALSE)</f>
        <v>KHJ-MC100-00</v>
      </c>
      <c r="F3647" s="157" t="s">
        <v>2753</v>
      </c>
      <c r="H3647" s="138">
        <v>1755</v>
      </c>
      <c r="I3647" s="139" t="str">
        <f>VLOOKUP(H3647,Stock_list!A:R,18,FALSE)</f>
        <v>朗特</v>
      </c>
      <c r="J3647" s="139" t="str">
        <f>VLOOKUP(H3647,Stock_list!A:S,17,FALSE)</f>
        <v>C49SZX20220117DZ</v>
      </c>
      <c r="K3647" s="51" t="str">
        <f>VLOOKUP(H3647,Stock_list!A:T,16,FALSE)</f>
        <v>RMB</v>
      </c>
      <c r="L3647" s="4">
        <v>44890</v>
      </c>
      <c r="M3647" s="143">
        <v>480</v>
      </c>
      <c r="P3647" s="4" t="str">
        <f>VLOOKUP(H3647,Stock_list!A:Y,25,FALSE)</f>
        <v>Yes</v>
      </c>
      <c r="T3647" s="144"/>
      <c r="U3647" s="145" t="str">
        <f>VLOOKUP(H3647,Stock_list!A:N,14,FALSE)</f>
        <v>NOV 22</v>
      </c>
    </row>
    <row r="3648" spans="1:21" ht="16.5" customHeight="1">
      <c r="A3648" s="159" t="s">
        <v>2747</v>
      </c>
      <c r="B3648" s="114" t="str">
        <f>VLOOKUP(A3648,'Data pick slip'!B:F,5,FALSE)</f>
        <v>KHJ-MC200-00</v>
      </c>
      <c r="F3648" s="157" t="s">
        <v>2753</v>
      </c>
      <c r="H3648" s="138">
        <v>1755</v>
      </c>
      <c r="I3648" s="139" t="str">
        <f>VLOOKUP(H3648,Stock_list!A:R,18,FALSE)</f>
        <v>朗特</v>
      </c>
      <c r="J3648" s="139" t="str">
        <f>VLOOKUP(H3648,Stock_list!A:S,17,FALSE)</f>
        <v>C49SZX20220117DZ</v>
      </c>
      <c r="K3648" s="51" t="str">
        <f>VLOOKUP(H3648,Stock_list!A:T,16,FALSE)</f>
        <v>RMB</v>
      </c>
      <c r="L3648" s="4">
        <v>44890</v>
      </c>
      <c r="M3648" s="143">
        <v>120</v>
      </c>
      <c r="P3648" s="4" t="str">
        <f>VLOOKUP(H3648,Stock_list!A:Y,25,FALSE)</f>
        <v>Yes</v>
      </c>
      <c r="T3648" s="144"/>
      <c r="U3648" s="145" t="str">
        <f>VLOOKUP(H3648,Stock_list!A:N,14,FALSE)</f>
        <v>NOV 22</v>
      </c>
    </row>
    <row r="3649" spans="1:21" ht="16.5" customHeight="1">
      <c r="A3649" s="159" t="s">
        <v>2748</v>
      </c>
      <c r="B3649" s="114" t="str">
        <f>VLOOKUP(A3649,'Data pick slip'!B:F,5,FALSE)</f>
        <v>KHJ-MC400-00</v>
      </c>
      <c r="F3649" s="157" t="s">
        <v>2753</v>
      </c>
      <c r="H3649" s="138">
        <v>1755</v>
      </c>
      <c r="I3649" s="139" t="str">
        <f>VLOOKUP(H3649,Stock_list!A:R,18,FALSE)</f>
        <v>朗特</v>
      </c>
      <c r="J3649" s="139" t="str">
        <f>VLOOKUP(H3649,Stock_list!A:S,17,FALSE)</f>
        <v>C49SZX20220117DZ</v>
      </c>
      <c r="K3649" s="51" t="str">
        <f>VLOOKUP(H3649,Stock_list!A:T,16,FALSE)</f>
        <v>RMB</v>
      </c>
      <c r="L3649" s="4">
        <v>44890</v>
      </c>
      <c r="M3649" s="143">
        <v>60</v>
      </c>
      <c r="P3649" s="4" t="str">
        <f>VLOOKUP(H3649,Stock_list!A:Y,25,FALSE)</f>
        <v>Yes</v>
      </c>
      <c r="T3649" s="144"/>
      <c r="U3649" s="145" t="str">
        <f>VLOOKUP(H3649,Stock_list!A:N,14,FALSE)</f>
        <v>NOV 22</v>
      </c>
    </row>
    <row r="3650" spans="1:21" ht="16.5" customHeight="1">
      <c r="A3650" s="159" t="s">
        <v>2749</v>
      </c>
      <c r="B3650" s="114" t="str">
        <f>VLOOKUP(A3650,'Data pick slip'!B:F,5,FALSE)</f>
        <v>KHJ-MC500-00</v>
      </c>
      <c r="F3650" s="157" t="s">
        <v>2753</v>
      </c>
      <c r="H3650" s="138">
        <v>1755</v>
      </c>
      <c r="I3650" s="139" t="str">
        <f>VLOOKUP(H3650,Stock_list!A:R,18,FALSE)</f>
        <v>朗特</v>
      </c>
      <c r="J3650" s="139" t="str">
        <f>VLOOKUP(H3650,Stock_list!A:S,17,FALSE)</f>
        <v>C49SZX20220117DZ</v>
      </c>
      <c r="K3650" s="51" t="str">
        <f>VLOOKUP(H3650,Stock_list!A:T,16,FALSE)</f>
        <v>RMB</v>
      </c>
      <c r="L3650" s="4">
        <v>44890</v>
      </c>
      <c r="M3650" s="143">
        <v>16</v>
      </c>
      <c r="P3650" s="4" t="str">
        <f>VLOOKUP(H3650,Stock_list!A:Y,25,FALSE)</f>
        <v>Yes</v>
      </c>
      <c r="T3650" s="144"/>
      <c r="U3650" s="145" t="str">
        <f>VLOOKUP(H3650,Stock_list!A:N,14,FALSE)</f>
        <v>NOV 22</v>
      </c>
    </row>
    <row r="3651" spans="1:21" ht="16.5" customHeight="1">
      <c r="A3651" s="159" t="s">
        <v>2750</v>
      </c>
      <c r="B3651" s="114" t="str">
        <f>VLOOKUP(A3651,'Data pick slip'!B:F,5,FALSE)</f>
        <v>KHJ-MC600-00</v>
      </c>
      <c r="F3651" s="157" t="s">
        <v>2753</v>
      </c>
      <c r="H3651" s="138">
        <v>1755</v>
      </c>
      <c r="I3651" s="139" t="str">
        <f>VLOOKUP(H3651,Stock_list!A:R,18,FALSE)</f>
        <v>朗特</v>
      </c>
      <c r="J3651" s="139" t="str">
        <f>VLOOKUP(H3651,Stock_list!A:S,17,FALSE)</f>
        <v>C49SZX20220117DZ</v>
      </c>
      <c r="K3651" s="51" t="str">
        <f>VLOOKUP(H3651,Stock_list!A:T,16,FALSE)</f>
        <v>RMB</v>
      </c>
      <c r="L3651" s="4">
        <v>44890</v>
      </c>
      <c r="M3651" s="143">
        <v>6</v>
      </c>
      <c r="P3651" s="4" t="str">
        <f>VLOOKUP(H3651,Stock_list!A:Y,25,FALSE)</f>
        <v>Yes</v>
      </c>
      <c r="T3651" s="144"/>
      <c r="U3651" s="145" t="str">
        <f>VLOOKUP(H3651,Stock_list!A:N,14,FALSE)</f>
        <v>NOV 22</v>
      </c>
    </row>
    <row r="3652" spans="1:21" ht="16.5" customHeight="1">
      <c r="A3652" s="159" t="s">
        <v>2744</v>
      </c>
      <c r="B3652" s="114" t="str">
        <f>VLOOKUP(A3652,'Data pick slip'!B:F,5,FALSE)</f>
        <v>KHJ-MC100-00</v>
      </c>
      <c r="F3652" s="157" t="s">
        <v>2753</v>
      </c>
      <c r="H3652" s="138">
        <v>1763</v>
      </c>
      <c r="I3652" s="139" t="str">
        <f>VLOOKUP(H3652,Stock_list!A:R,18,FALSE)</f>
        <v>莫思特</v>
      </c>
      <c r="J3652" s="139" t="str">
        <f>VLOOKUP(H3652,Stock_list!A:S,17,FALSE)</f>
        <v>C49SZX20220122SX</v>
      </c>
      <c r="K3652" s="51" t="str">
        <f>VLOOKUP(H3652,Stock_list!A:T,16,FALSE)</f>
        <v>RMB</v>
      </c>
      <c r="L3652" s="4">
        <v>44900</v>
      </c>
      <c r="M3652" s="143">
        <v>30</v>
      </c>
      <c r="P3652" s="4" t="str">
        <f>VLOOKUP(H3652,Stock_list!A:Y,25,FALSE)</f>
        <v>Yes</v>
      </c>
      <c r="T3652" s="144"/>
      <c r="U3652" s="145" t="str">
        <f>VLOOKUP(H3652,Stock_list!A:N,14,FALSE)</f>
        <v>DEC 22</v>
      </c>
    </row>
    <row r="3653" spans="1:21" ht="16.5" customHeight="1">
      <c r="A3653" s="159" t="s">
        <v>2747</v>
      </c>
      <c r="B3653" s="114" t="str">
        <f>VLOOKUP(A3653,'Data pick slip'!B:F,5,FALSE)</f>
        <v>KHJ-MC200-00</v>
      </c>
      <c r="F3653" s="157" t="s">
        <v>2753</v>
      </c>
      <c r="H3653" s="138">
        <v>1763</v>
      </c>
      <c r="I3653" s="139" t="str">
        <f>VLOOKUP(H3653,Stock_list!A:R,18,FALSE)</f>
        <v>莫思特</v>
      </c>
      <c r="J3653" s="139" t="str">
        <f>VLOOKUP(H3653,Stock_list!A:S,17,FALSE)</f>
        <v>C49SZX20220122SX</v>
      </c>
      <c r="K3653" s="51" t="str">
        <f>VLOOKUP(H3653,Stock_list!A:T,16,FALSE)</f>
        <v>RMB</v>
      </c>
      <c r="L3653" s="4">
        <v>44900</v>
      </c>
      <c r="M3653" s="143">
        <v>10</v>
      </c>
      <c r="P3653" s="4" t="str">
        <f>VLOOKUP(H3653,Stock_list!A:Y,25,FALSE)</f>
        <v>Yes</v>
      </c>
      <c r="T3653" s="144"/>
      <c r="U3653" s="145" t="str">
        <f>VLOOKUP(H3653,Stock_list!A:N,14,FALSE)</f>
        <v>DEC 22</v>
      </c>
    </row>
    <row r="3654" spans="1:21" ht="16.5" customHeight="1">
      <c r="A3654" s="159" t="s">
        <v>2748</v>
      </c>
      <c r="B3654" s="114" t="str">
        <f>VLOOKUP(A3654,'Data pick slip'!B:F,5,FALSE)</f>
        <v>KHJ-MC400-00</v>
      </c>
      <c r="F3654" s="157" t="s">
        <v>2753</v>
      </c>
      <c r="H3654" s="138">
        <v>1763</v>
      </c>
      <c r="I3654" s="139" t="str">
        <f>VLOOKUP(H3654,Stock_list!A:R,18,FALSE)</f>
        <v>莫思特</v>
      </c>
      <c r="J3654" s="139" t="str">
        <f>VLOOKUP(H3654,Stock_list!A:S,17,FALSE)</f>
        <v>C49SZX20220122SX</v>
      </c>
      <c r="K3654" s="51" t="str">
        <f>VLOOKUP(H3654,Stock_list!A:T,16,FALSE)</f>
        <v>RMB</v>
      </c>
      <c r="L3654" s="4">
        <v>44900</v>
      </c>
      <c r="M3654" s="143">
        <v>5</v>
      </c>
      <c r="P3654" s="4" t="str">
        <f>VLOOKUP(H3654,Stock_list!A:Y,25,FALSE)</f>
        <v>Yes</v>
      </c>
      <c r="T3654" s="144"/>
      <c r="U3654" s="145" t="str">
        <f>VLOOKUP(H3654,Stock_list!A:N,14,FALSE)</f>
        <v>DEC 22</v>
      </c>
    </row>
    <row r="3655" spans="1:21" ht="16.5" customHeight="1">
      <c r="A3655" s="159" t="s">
        <v>2744</v>
      </c>
      <c r="B3655" s="114" t="str">
        <f>VLOOKUP(A3655,'Data pick slip'!B:F,5,FALSE)</f>
        <v>KHJ-MC100-00</v>
      </c>
      <c r="F3655" s="157" t="s">
        <v>2753</v>
      </c>
      <c r="H3655" s="138">
        <v>1764</v>
      </c>
      <c r="I3655" s="139" t="str">
        <f>VLOOKUP(H3655,Stock_list!A:R,18,FALSE)</f>
        <v>乐迪泰</v>
      </c>
      <c r="J3655" s="139" t="str">
        <f>VLOOKUP(H3655,Stock_list!A:S,17,FALSE)</f>
        <v>C49SZX20220125RZ</v>
      </c>
      <c r="K3655" s="51" t="str">
        <f>VLOOKUP(H3655,Stock_list!A:T,16,FALSE)</f>
        <v>RMB</v>
      </c>
      <c r="L3655" s="4"/>
      <c r="N3655" s="143">
        <v>10</v>
      </c>
      <c r="P3655" s="4" t="str">
        <f>VLOOKUP(H3655,Stock_list!A:Y,25,FALSE)</f>
        <v>Yes</v>
      </c>
      <c r="Q3655" s="143"/>
      <c r="T3655" s="144"/>
      <c r="U3655" s="145" t="str">
        <f>VLOOKUP(H3655,Stock_list!A:N,14,FALSE)</f>
        <v>DEC 22</v>
      </c>
    </row>
    <row r="3656" spans="1:21" ht="16.5" customHeight="1">
      <c r="A3656" s="159" t="s">
        <v>2747</v>
      </c>
      <c r="B3656" s="114" t="str">
        <f>VLOOKUP(A3656,'Data pick slip'!B:F,5,FALSE)</f>
        <v>KHJ-MC200-00</v>
      </c>
      <c r="F3656" s="157" t="s">
        <v>2753</v>
      </c>
      <c r="H3656" s="138">
        <v>1764</v>
      </c>
      <c r="I3656" s="139" t="str">
        <f>VLOOKUP(H3656,Stock_list!A:R,18,FALSE)</f>
        <v>乐迪泰</v>
      </c>
      <c r="J3656" s="139" t="str">
        <f>VLOOKUP(H3656,Stock_list!A:S,17,FALSE)</f>
        <v>C49SZX20220125RZ</v>
      </c>
      <c r="K3656" s="51" t="str">
        <f>VLOOKUP(H3656,Stock_list!A:T,16,FALSE)</f>
        <v>RMB</v>
      </c>
      <c r="L3656" s="4"/>
      <c r="N3656" s="143">
        <v>10</v>
      </c>
      <c r="P3656" s="4" t="str">
        <f>VLOOKUP(H3656,Stock_list!A:Y,25,FALSE)</f>
        <v>Yes</v>
      </c>
      <c r="Q3656" s="143"/>
      <c r="T3656" s="144"/>
      <c r="U3656" s="145" t="str">
        <f>VLOOKUP(H3656,Stock_list!A:N,14,FALSE)</f>
        <v>DEC 22</v>
      </c>
    </row>
    <row r="3657" spans="1:21" ht="16.5" customHeight="1">
      <c r="A3657" s="159" t="s">
        <v>2755</v>
      </c>
      <c r="B3657" s="114" t="str">
        <f>VLOOKUP(A3657,'Data pick slip'!B:F,5,FALSE)</f>
        <v>KLJ-MC100-00</v>
      </c>
      <c r="F3657" s="157" t="s">
        <v>2753</v>
      </c>
      <c r="H3657" s="138">
        <v>1767</v>
      </c>
      <c r="I3657" s="139" t="str">
        <f>VLOOKUP(H3657,Stock_list!A:R,18,FALSE)</f>
        <v>龙大光电</v>
      </c>
      <c r="J3657" s="139" t="str">
        <f>VLOOKUP(H3657,Stock_list!A:S,17,FALSE)</f>
        <v>C49SZX20220110SS</v>
      </c>
      <c r="K3657" s="51" t="str">
        <f>VLOOKUP(H3657,Stock_list!A:T,16,FALSE)</f>
        <v>RMB</v>
      </c>
      <c r="L3657" s="4"/>
      <c r="N3657" s="132">
        <v>6</v>
      </c>
      <c r="P3657" s="4" t="str">
        <f>VLOOKUP(H3657,Stock_list!A:Y,25,FALSE)</f>
        <v>Yes</v>
      </c>
      <c r="Q3657" s="143"/>
      <c r="T3657" s="144"/>
      <c r="U3657" s="145" t="str">
        <f>VLOOKUP(H3657,Stock_list!A:N,14,FALSE)</f>
        <v>DEC 22</v>
      </c>
    </row>
    <row r="3658" spans="1:21" ht="16.5" customHeight="1">
      <c r="A3658" s="159" t="s">
        <v>2744</v>
      </c>
      <c r="B3658" s="114" t="str">
        <f>VLOOKUP(A3658,'Data pick slip'!B:F,5,FALSE)</f>
        <v>KHJ-MC100-00</v>
      </c>
      <c r="F3658" s="157" t="s">
        <v>2762</v>
      </c>
      <c r="H3658" s="138">
        <v>1770</v>
      </c>
      <c r="I3658" s="139" t="str">
        <f>VLOOKUP(H3658,Stock_list!A:R,18,FALSE)</f>
        <v>益田科技</v>
      </c>
      <c r="J3658" s="139" t="str">
        <f>VLOOKUP(H3658,Stock_list!A:S,17,FALSE)</f>
        <v>C49SZX20220130SX</v>
      </c>
      <c r="K3658" s="51" t="str">
        <f>VLOOKUP(H3658,Stock_list!A:T,16,FALSE)</f>
        <v>RMB</v>
      </c>
      <c r="L3658" s="4"/>
      <c r="P3658" s="4" t="str">
        <f>VLOOKUP(H3658,Stock_list!A:Y,25,FALSE)</f>
        <v>Yes</v>
      </c>
      <c r="Q3658" s="143">
        <v>113</v>
      </c>
      <c r="T3658" s="144"/>
      <c r="U3658" s="145" t="str">
        <f>VLOOKUP(H3658,Stock_list!A:N,14,FALSE)</f>
        <v>FEB 23</v>
      </c>
    </row>
    <row r="3659" spans="1:21" ht="16.5" customHeight="1">
      <c r="A3659" s="159" t="s">
        <v>2747</v>
      </c>
      <c r="B3659" s="114" t="str">
        <f>VLOOKUP(A3659,'Data pick slip'!B:F,5,FALSE)</f>
        <v>KHJ-MC200-00</v>
      </c>
      <c r="F3659" s="157" t="s">
        <v>2762</v>
      </c>
      <c r="H3659" s="138">
        <v>1770</v>
      </c>
      <c r="I3659" s="139" t="str">
        <f>VLOOKUP(H3659,Stock_list!A:R,18,FALSE)</f>
        <v>益田科技</v>
      </c>
      <c r="J3659" s="139" t="str">
        <f>VLOOKUP(H3659,Stock_list!A:S,17,FALSE)</f>
        <v>C49SZX20220130SX</v>
      </c>
      <c r="K3659" s="51" t="str">
        <f>VLOOKUP(H3659,Stock_list!A:T,16,FALSE)</f>
        <v>RMB</v>
      </c>
      <c r="L3659" s="4"/>
      <c r="P3659" s="4" t="str">
        <f>VLOOKUP(H3659,Stock_list!A:Y,25,FALSE)</f>
        <v>Yes</v>
      </c>
      <c r="Q3659" s="143">
        <v>10</v>
      </c>
      <c r="T3659" s="144"/>
      <c r="U3659" s="145" t="str">
        <f>VLOOKUP(H3659,Stock_list!A:N,14,FALSE)</f>
        <v>FEB 23</v>
      </c>
    </row>
    <row r="3660" spans="1:21" ht="16.5" customHeight="1">
      <c r="A3660" s="159" t="s">
        <v>2748</v>
      </c>
      <c r="B3660" s="114" t="str">
        <f>VLOOKUP(A3660,'Data pick slip'!B:F,5,FALSE)</f>
        <v>KHJ-MC400-00</v>
      </c>
      <c r="F3660" s="157" t="s">
        <v>2762</v>
      </c>
      <c r="H3660" s="138">
        <v>1770</v>
      </c>
      <c r="I3660" s="139" t="str">
        <f>VLOOKUP(H3660,Stock_list!A:R,18,FALSE)</f>
        <v>益田科技</v>
      </c>
      <c r="J3660" s="139" t="str">
        <f>VLOOKUP(H3660,Stock_list!A:S,17,FALSE)</f>
        <v>C49SZX20220130SX</v>
      </c>
      <c r="K3660" s="51" t="str">
        <f>VLOOKUP(H3660,Stock_list!A:T,16,FALSE)</f>
        <v>RMB</v>
      </c>
      <c r="L3660" s="4"/>
      <c r="P3660" s="4" t="str">
        <f>VLOOKUP(H3660,Stock_list!A:Y,25,FALSE)</f>
        <v>Yes</v>
      </c>
      <c r="Q3660" s="143">
        <v>5</v>
      </c>
      <c r="T3660" s="144"/>
      <c r="U3660" s="145" t="str">
        <f>VLOOKUP(H3660,Stock_list!A:N,14,FALSE)</f>
        <v>FEB 23</v>
      </c>
    </row>
    <row r="3661" spans="1:21" ht="16.5" customHeight="1">
      <c r="A3661" s="159"/>
      <c r="B3661" s="114" t="e">
        <f>VLOOKUP(A3661,'Data pick slip'!B:F,5,FALSE)</f>
        <v>#N/A</v>
      </c>
      <c r="I3661" s="139" t="e">
        <f>VLOOKUP(H3661,Stock_list!A:R,18,FALSE)</f>
        <v>#N/A</v>
      </c>
      <c r="J3661" s="139" t="e">
        <f>VLOOKUP(H3661,Stock_list!A:S,17,FALSE)</f>
        <v>#N/A</v>
      </c>
      <c r="K3661" s="51" t="e">
        <f>VLOOKUP(H3661,Stock_list!A:T,16,FALSE)</f>
        <v>#N/A</v>
      </c>
      <c r="L3661" s="4"/>
      <c r="P3661" s="4" t="e">
        <f>VLOOKUP(H3661,Stock_list!A:Y,25,FALSE)</f>
        <v>#N/A</v>
      </c>
      <c r="Q3661" s="143"/>
      <c r="T3661" s="144"/>
      <c r="U3661" s="145" t="e">
        <f>VLOOKUP(H3661,Stock_list!A:N,14,FALSE)</f>
        <v>#N/A</v>
      </c>
    </row>
    <row r="3662" spans="1:21" ht="16.5" customHeight="1">
      <c r="A3662" s="159"/>
      <c r="B3662" s="114" t="e">
        <f>VLOOKUP(A3662,'Data pick slip'!B:F,5,FALSE)</f>
        <v>#N/A</v>
      </c>
      <c r="I3662" s="139" t="e">
        <f>VLOOKUP(H3662,Stock_list!A:R,18,FALSE)</f>
        <v>#N/A</v>
      </c>
      <c r="J3662" s="139" t="e">
        <f>VLOOKUP(H3662,Stock_list!A:S,17,FALSE)</f>
        <v>#N/A</v>
      </c>
      <c r="K3662" s="51" t="e">
        <f>VLOOKUP(H3662,Stock_list!A:T,16,FALSE)</f>
        <v>#N/A</v>
      </c>
      <c r="L3662" s="4"/>
      <c r="P3662" s="4" t="e">
        <f>VLOOKUP(H3662,Stock_list!A:Y,25,FALSE)</f>
        <v>#N/A</v>
      </c>
      <c r="Q3662" s="143"/>
      <c r="T3662" s="144"/>
      <c r="U3662" s="145" t="e">
        <f>VLOOKUP(H3662,Stock_list!A:N,14,FALSE)</f>
        <v>#N/A</v>
      </c>
    </row>
    <row r="3663" spans="1:21" ht="16.5" customHeight="1">
      <c r="A3663" s="159"/>
      <c r="B3663" s="114" t="e">
        <f>VLOOKUP(A3663,'Data pick slip'!B:F,5,FALSE)</f>
        <v>#N/A</v>
      </c>
      <c r="I3663" s="139" t="e">
        <f>VLOOKUP(H3663,Stock_list!A:R,18,FALSE)</f>
        <v>#N/A</v>
      </c>
      <c r="J3663" s="139" t="e">
        <f>VLOOKUP(H3663,Stock_list!A:S,17,FALSE)</f>
        <v>#N/A</v>
      </c>
      <c r="K3663" s="51" t="e">
        <f>VLOOKUP(H3663,Stock_list!A:T,16,FALSE)</f>
        <v>#N/A</v>
      </c>
      <c r="L3663" s="4"/>
      <c r="P3663" s="4" t="e">
        <f>VLOOKUP(H3663,Stock_list!A:Y,25,FALSE)</f>
        <v>#N/A</v>
      </c>
      <c r="Q3663" s="143"/>
      <c r="T3663" s="144"/>
      <c r="U3663" s="145" t="e">
        <f>VLOOKUP(H3663,Stock_list!A:N,14,FALSE)</f>
        <v>#N/A</v>
      </c>
    </row>
    <row r="3664" spans="1:21" ht="16.5" customHeight="1">
      <c r="A3664" s="159"/>
      <c r="B3664" s="114" t="e">
        <f>VLOOKUP(A3664,'Data pick slip'!B:F,5,FALSE)</f>
        <v>#N/A</v>
      </c>
      <c r="I3664" s="139" t="e">
        <f>VLOOKUP(H3664,Stock_list!A:R,18,FALSE)</f>
        <v>#N/A</v>
      </c>
      <c r="J3664" s="139" t="e">
        <f>VLOOKUP(H3664,Stock_list!A:S,17,FALSE)</f>
        <v>#N/A</v>
      </c>
      <c r="K3664" s="51" t="e">
        <f>VLOOKUP(H3664,Stock_list!A:T,16,FALSE)</f>
        <v>#N/A</v>
      </c>
      <c r="L3664" s="4"/>
      <c r="P3664" s="4" t="e">
        <f>VLOOKUP(H3664,Stock_list!A:Y,25,FALSE)</f>
        <v>#N/A</v>
      </c>
      <c r="Q3664" s="143"/>
      <c r="T3664" s="144"/>
      <c r="U3664" s="145" t="e">
        <f>VLOOKUP(H3664,Stock_list!A:N,14,FALSE)</f>
        <v>#N/A</v>
      </c>
    </row>
    <row r="3665" spans="1:21" ht="16.5" customHeight="1">
      <c r="A3665" s="159"/>
      <c r="B3665" s="114" t="e">
        <f>VLOOKUP(A3665,'Data pick slip'!B:F,5,FALSE)</f>
        <v>#N/A</v>
      </c>
      <c r="I3665" s="139" t="e">
        <f>VLOOKUP(H3665,Stock_list!A:R,18,FALSE)</f>
        <v>#N/A</v>
      </c>
      <c r="J3665" s="139" t="e">
        <f>VLOOKUP(H3665,Stock_list!A:S,17,FALSE)</f>
        <v>#N/A</v>
      </c>
      <c r="K3665" s="51" t="e">
        <f>VLOOKUP(H3665,Stock_list!A:T,16,FALSE)</f>
        <v>#N/A</v>
      </c>
      <c r="L3665" s="4"/>
      <c r="P3665" s="4" t="e">
        <f>VLOOKUP(H3665,Stock_list!A:Y,25,FALSE)</f>
        <v>#N/A</v>
      </c>
      <c r="Q3665" s="143"/>
      <c r="T3665" s="144"/>
      <c r="U3665" s="145" t="e">
        <f>VLOOKUP(H3665,Stock_list!A:N,14,FALSE)</f>
        <v>#N/A</v>
      </c>
    </row>
    <row r="3666" spans="1:21" ht="16.5" customHeight="1">
      <c r="A3666" s="159"/>
      <c r="B3666" s="114" t="e">
        <f>VLOOKUP(A3666,'Data pick slip'!B:F,5,FALSE)</f>
        <v>#N/A</v>
      </c>
      <c r="I3666" s="139" t="e">
        <f>VLOOKUP(H3666,Stock_list!A:R,18,FALSE)</f>
        <v>#N/A</v>
      </c>
      <c r="J3666" s="139" t="e">
        <f>VLOOKUP(H3666,Stock_list!A:S,17,FALSE)</f>
        <v>#N/A</v>
      </c>
      <c r="K3666" s="51" t="e">
        <f>VLOOKUP(H3666,Stock_list!A:T,16,FALSE)</f>
        <v>#N/A</v>
      </c>
      <c r="L3666" s="4"/>
      <c r="P3666" s="4" t="e">
        <f>VLOOKUP(H3666,Stock_list!A:Y,25,FALSE)</f>
        <v>#N/A</v>
      </c>
      <c r="Q3666" s="143"/>
      <c r="T3666" s="144"/>
      <c r="U3666" s="145" t="e">
        <f>VLOOKUP(H3666,Stock_list!A:N,14,FALSE)</f>
        <v>#N/A</v>
      </c>
    </row>
    <row r="3667" spans="1:21" ht="16.5" customHeight="1">
      <c r="A3667" s="159"/>
      <c r="B3667" s="114" t="e">
        <f>VLOOKUP(A3667,'Data pick slip'!B:F,5,FALSE)</f>
        <v>#N/A</v>
      </c>
      <c r="I3667" s="139" t="e">
        <f>VLOOKUP(H3667,Stock_list!A:R,18,FALSE)</f>
        <v>#N/A</v>
      </c>
      <c r="J3667" s="139" t="e">
        <f>VLOOKUP(H3667,Stock_list!A:S,17,FALSE)</f>
        <v>#N/A</v>
      </c>
      <c r="K3667" s="51" t="e">
        <f>VLOOKUP(H3667,Stock_list!A:T,16,FALSE)</f>
        <v>#N/A</v>
      </c>
      <c r="L3667" s="4"/>
      <c r="P3667" s="4" t="e">
        <f>VLOOKUP(H3667,Stock_list!A:Y,25,FALSE)</f>
        <v>#N/A</v>
      </c>
      <c r="Q3667" s="143"/>
      <c r="T3667" s="144"/>
      <c r="U3667" s="145" t="e">
        <f>VLOOKUP(H3667,Stock_list!A:N,14,FALSE)</f>
        <v>#N/A</v>
      </c>
    </row>
    <row r="3668" spans="1:21" ht="16.5" customHeight="1">
      <c r="A3668" s="159"/>
      <c r="B3668" s="114" t="e">
        <f>VLOOKUP(A3668,'Data pick slip'!B:F,5,FALSE)</f>
        <v>#N/A</v>
      </c>
      <c r="I3668" s="139" t="e">
        <f>VLOOKUP(H3668,Stock_list!A:R,18,FALSE)</f>
        <v>#N/A</v>
      </c>
      <c r="J3668" s="139" t="e">
        <f>VLOOKUP(H3668,Stock_list!A:S,17,FALSE)</f>
        <v>#N/A</v>
      </c>
      <c r="K3668" s="51" t="e">
        <f>VLOOKUP(H3668,Stock_list!A:T,16,FALSE)</f>
        <v>#N/A</v>
      </c>
      <c r="L3668" s="4"/>
      <c r="P3668" s="4" t="e">
        <f>VLOOKUP(H3668,Stock_list!A:Y,25,FALSE)</f>
        <v>#N/A</v>
      </c>
      <c r="Q3668" s="143"/>
      <c r="T3668" s="144"/>
      <c r="U3668" s="145" t="e">
        <f>VLOOKUP(H3668,Stock_list!A:N,14,FALSE)</f>
        <v>#N/A</v>
      </c>
    </row>
    <row r="3669" spans="1:21" ht="16.5" customHeight="1">
      <c r="A3669" s="159"/>
      <c r="B3669" s="114" t="e">
        <f>VLOOKUP(A3669,'Data pick slip'!B:F,5,FALSE)</f>
        <v>#N/A</v>
      </c>
      <c r="I3669" s="139" t="e">
        <f>VLOOKUP(H3669,Stock_list!A:R,18,FALSE)</f>
        <v>#N/A</v>
      </c>
      <c r="J3669" s="139" t="e">
        <f>VLOOKUP(H3669,Stock_list!A:S,17,FALSE)</f>
        <v>#N/A</v>
      </c>
      <c r="K3669" s="51" t="e">
        <f>VLOOKUP(H3669,Stock_list!A:T,16,FALSE)</f>
        <v>#N/A</v>
      </c>
      <c r="L3669" s="4"/>
      <c r="P3669" s="4" t="e">
        <f>VLOOKUP(H3669,Stock_list!A:Y,25,FALSE)</f>
        <v>#N/A</v>
      </c>
      <c r="Q3669" s="143"/>
      <c r="T3669" s="144"/>
      <c r="U3669" s="145" t="e">
        <f>VLOOKUP(H3669,Stock_list!A:N,14,FALSE)</f>
        <v>#N/A</v>
      </c>
    </row>
    <row r="3670" spans="1:21" ht="16.5" customHeight="1">
      <c r="A3670" s="210" t="s">
        <v>2744</v>
      </c>
      <c r="B3670" s="114" t="str">
        <f>VLOOKUP(A3670,'Data pick slip'!B:F,5,FALSE)</f>
        <v>KHJ-MC100-00</v>
      </c>
      <c r="C3670" s="211"/>
      <c r="D3670" s="212"/>
      <c r="E3670" s="306"/>
      <c r="F3670" s="213" t="s">
        <v>2783</v>
      </c>
      <c r="G3670" s="214"/>
      <c r="H3670" s="215"/>
      <c r="I3670" s="216" t="s">
        <v>2784</v>
      </c>
      <c r="J3670" s="216" t="s">
        <v>2784</v>
      </c>
      <c r="K3670" s="93"/>
      <c r="L3670" s="9"/>
      <c r="M3670" s="217"/>
      <c r="N3670" s="214">
        <f>500</f>
        <v>500</v>
      </c>
      <c r="P3670" s="4"/>
      <c r="Q3670" s="143"/>
      <c r="T3670" s="144"/>
      <c r="U3670" s="145" t="e">
        <f>VLOOKUP(H3670,Stock_list!A:N,14,FALSE)</f>
        <v>#N/A</v>
      </c>
    </row>
    <row r="3671" spans="1:21" ht="16.5" customHeight="1">
      <c r="A3671" s="210" t="s">
        <v>2747</v>
      </c>
      <c r="B3671" s="114" t="str">
        <f>VLOOKUP(A3671,'Data pick slip'!B:F,5,FALSE)</f>
        <v>KHJ-MC200-00</v>
      </c>
      <c r="C3671" s="211"/>
      <c r="D3671" s="212"/>
      <c r="E3671" s="306"/>
      <c r="F3671" s="213" t="s">
        <v>2783</v>
      </c>
      <c r="G3671" s="214"/>
      <c r="H3671" s="215"/>
      <c r="I3671" s="216" t="s">
        <v>2784</v>
      </c>
      <c r="J3671" s="216" t="s">
        <v>2784</v>
      </c>
      <c r="K3671" s="93"/>
      <c r="L3671" s="9"/>
      <c r="M3671" s="217"/>
      <c r="N3671" s="214">
        <f>100</f>
        <v>100</v>
      </c>
      <c r="P3671" s="4"/>
      <c r="Q3671" s="143"/>
      <c r="T3671" s="144"/>
      <c r="U3671" s="145" t="e">
        <f>VLOOKUP(H3671,Stock_list!A:N,14,FALSE)</f>
        <v>#N/A</v>
      </c>
    </row>
    <row r="3672" spans="1:21" ht="16.5" customHeight="1">
      <c r="A3672" s="210" t="s">
        <v>2748</v>
      </c>
      <c r="B3672" s="114" t="str">
        <f>VLOOKUP(A3672,'Data pick slip'!B:F,5,FALSE)</f>
        <v>KHJ-MC400-00</v>
      </c>
      <c r="C3672" s="211"/>
      <c r="D3672" s="212"/>
      <c r="E3672" s="306"/>
      <c r="F3672" s="213" t="s">
        <v>2783</v>
      </c>
      <c r="G3672" s="214"/>
      <c r="H3672" s="215"/>
      <c r="I3672" s="216" t="s">
        <v>2784</v>
      </c>
      <c r="J3672" s="216" t="s">
        <v>2784</v>
      </c>
      <c r="K3672" s="93"/>
      <c r="L3672" s="9"/>
      <c r="M3672" s="217"/>
      <c r="N3672" s="214">
        <f>30</f>
        <v>30</v>
      </c>
      <c r="P3672" s="4"/>
      <c r="Q3672" s="143"/>
      <c r="T3672" s="144"/>
      <c r="U3672" s="145"/>
    </row>
    <row r="3673" spans="1:21" ht="16.5" customHeight="1">
      <c r="A3673" s="210" t="s">
        <v>2749</v>
      </c>
      <c r="B3673" s="114" t="str">
        <f>VLOOKUP(A3673,'Data pick slip'!B:F,5,FALSE)</f>
        <v>KHJ-MC500-00</v>
      </c>
      <c r="C3673" s="211"/>
      <c r="D3673" s="212"/>
      <c r="E3673" s="306"/>
      <c r="F3673" s="213" t="s">
        <v>2783</v>
      </c>
      <c r="G3673" s="214"/>
      <c r="H3673" s="215"/>
      <c r="I3673" s="216" t="s">
        <v>2784</v>
      </c>
      <c r="J3673" s="216" t="s">
        <v>2784</v>
      </c>
      <c r="K3673" s="93"/>
      <c r="L3673" s="9"/>
      <c r="M3673" s="217"/>
      <c r="N3673" s="214">
        <f>15</f>
        <v>15</v>
      </c>
      <c r="P3673" s="4"/>
      <c r="Q3673" s="143"/>
      <c r="T3673" s="144"/>
      <c r="U3673" s="145"/>
    </row>
    <row r="3674" spans="1:21" ht="16.5" customHeight="1">
      <c r="A3674" s="210" t="s">
        <v>2750</v>
      </c>
      <c r="B3674" s="114" t="str">
        <f>VLOOKUP(A3674,'Data pick slip'!B:F,5,FALSE)</f>
        <v>KHJ-MC600-00</v>
      </c>
      <c r="C3674" s="211"/>
      <c r="D3674" s="212"/>
      <c r="E3674" s="306"/>
      <c r="F3674" s="213" t="s">
        <v>2783</v>
      </c>
      <c r="G3674" s="214"/>
      <c r="H3674" s="215"/>
      <c r="I3674" s="216" t="s">
        <v>2784</v>
      </c>
      <c r="J3674" s="216" t="s">
        <v>2784</v>
      </c>
      <c r="K3674" s="93"/>
      <c r="L3674" s="9"/>
      <c r="M3674" s="217"/>
      <c r="N3674" s="214">
        <f>6</f>
        <v>6</v>
      </c>
      <c r="P3674" s="4"/>
      <c r="Q3674" s="143"/>
      <c r="T3674" s="144"/>
      <c r="U3674" s="145"/>
    </row>
    <row r="3675" spans="1:21" ht="16.5" customHeight="1">
      <c r="A3675" s="210" t="s">
        <v>2751</v>
      </c>
      <c r="B3675" s="114" t="str">
        <f>VLOOKUP(A3675,'Data pick slip'!B:F,5,FALSE)</f>
        <v>KHJ-MC700-00</v>
      </c>
      <c r="C3675" s="211"/>
      <c r="D3675" s="212"/>
      <c r="E3675" s="306"/>
      <c r="F3675" s="213" t="s">
        <v>2783</v>
      </c>
      <c r="G3675" s="214"/>
      <c r="H3675" s="215"/>
      <c r="I3675" s="216" t="s">
        <v>2784</v>
      </c>
      <c r="J3675" s="216" t="s">
        <v>2784</v>
      </c>
      <c r="K3675" s="93"/>
      <c r="L3675" s="9"/>
      <c r="M3675" s="217"/>
      <c r="N3675" s="214">
        <f>2</f>
        <v>2</v>
      </c>
      <c r="P3675" s="4"/>
      <c r="Q3675" s="143"/>
      <c r="T3675" s="144"/>
      <c r="U3675" s="145"/>
    </row>
    <row r="3676" spans="1:21" ht="16.5" customHeight="1">
      <c r="A3676" s="210" t="s">
        <v>2752</v>
      </c>
      <c r="B3676" s="114" t="str">
        <f>VLOOKUP(A3676,'Data pick slip'!B:F,5,FALSE)</f>
        <v>KHJ-MC800-00</v>
      </c>
      <c r="C3676" s="211"/>
      <c r="D3676" s="212"/>
      <c r="E3676" s="306"/>
      <c r="F3676" s="213" t="s">
        <v>2783</v>
      </c>
      <c r="G3676" s="214"/>
      <c r="H3676" s="215"/>
      <c r="I3676" s="216" t="s">
        <v>2784</v>
      </c>
      <c r="J3676" s="216" t="s">
        <v>2784</v>
      </c>
      <c r="K3676" s="93"/>
      <c r="L3676" s="9"/>
      <c r="M3676" s="217"/>
      <c r="N3676" s="214">
        <v>0</v>
      </c>
      <c r="P3676" s="4"/>
      <c r="Q3676" s="143"/>
      <c r="T3676" s="144"/>
      <c r="U3676" s="145"/>
    </row>
    <row r="3677" spans="1:21" ht="16.5" customHeight="1">
      <c r="A3677" s="210" t="s">
        <v>2755</v>
      </c>
      <c r="B3677" s="114" t="str">
        <f>VLOOKUP(A3677,'Data pick slip'!B:F,5,FALSE)</f>
        <v>KLJ-MC100-00</v>
      </c>
      <c r="C3677" s="211"/>
      <c r="D3677" s="212"/>
      <c r="E3677" s="306"/>
      <c r="F3677" s="213" t="s">
        <v>2783</v>
      </c>
      <c r="G3677" s="214"/>
      <c r="H3677" s="215"/>
      <c r="I3677" s="216" t="s">
        <v>2784</v>
      </c>
      <c r="J3677" s="216" t="s">
        <v>2784</v>
      </c>
      <c r="K3677" s="93"/>
      <c r="L3677" s="9"/>
      <c r="M3677" s="217"/>
      <c r="N3677" s="214">
        <v>200</v>
      </c>
      <c r="P3677" s="4"/>
      <c r="Q3677" s="143"/>
      <c r="T3677" s="144"/>
      <c r="U3677" s="145"/>
    </row>
    <row r="3678" spans="1:21" ht="16.5" customHeight="1">
      <c r="A3678" s="210" t="s">
        <v>2756</v>
      </c>
      <c r="B3678" s="114" t="str">
        <f>VLOOKUP(A3678,'Data pick slip'!B:F,5,FALSE)</f>
        <v>KLJ-MC200-00</v>
      </c>
      <c r="C3678" s="211"/>
      <c r="D3678" s="212"/>
      <c r="E3678" s="306"/>
      <c r="F3678" s="213" t="s">
        <v>2783</v>
      </c>
      <c r="G3678" s="214"/>
      <c r="H3678" s="215"/>
      <c r="I3678" s="216" t="s">
        <v>2784</v>
      </c>
      <c r="J3678" s="216" t="s">
        <v>2784</v>
      </c>
      <c r="K3678" s="93"/>
      <c r="L3678" s="9"/>
      <c r="M3678" s="217"/>
      <c r="N3678" s="214">
        <v>30</v>
      </c>
      <c r="P3678" s="4"/>
      <c r="T3678" s="144"/>
      <c r="U3678" s="145"/>
    </row>
    <row r="3679" spans="1:21" ht="16.5" customHeight="1">
      <c r="A3679" s="210" t="s">
        <v>2757</v>
      </c>
      <c r="B3679" s="114" t="str">
        <f>VLOOKUP(A3679,'Data pick slip'!B:F,5,FALSE)</f>
        <v>KLJ-MC400-00</v>
      </c>
      <c r="C3679" s="211"/>
      <c r="D3679" s="212"/>
      <c r="E3679" s="306"/>
      <c r="F3679" s="213" t="s">
        <v>2783</v>
      </c>
      <c r="G3679" s="214"/>
      <c r="H3679" s="215"/>
      <c r="I3679" s="216" t="s">
        <v>2784</v>
      </c>
      <c r="J3679" s="216" t="s">
        <v>2784</v>
      </c>
      <c r="K3679" s="93"/>
      <c r="L3679" s="9"/>
      <c r="M3679" s="217"/>
      <c r="N3679" s="214">
        <v>10</v>
      </c>
      <c r="P3679" s="4"/>
      <c r="Q3679" s="143"/>
      <c r="T3679" s="144"/>
      <c r="U3679" s="145"/>
    </row>
    <row r="3680" spans="1:21" ht="16.5" customHeight="1">
      <c r="A3680" s="210" t="s">
        <v>2758</v>
      </c>
      <c r="B3680" s="114" t="str">
        <f>VLOOKUP(A3680,'Data pick slip'!B:F,5,FALSE)</f>
        <v>KLJ-MC500-00</v>
      </c>
      <c r="C3680" s="211"/>
      <c r="D3680" s="212"/>
      <c r="E3680" s="306"/>
      <c r="F3680" s="213" t="s">
        <v>2783</v>
      </c>
      <c r="G3680" s="214"/>
      <c r="H3680" s="215"/>
      <c r="I3680" s="216" t="s">
        <v>2784</v>
      </c>
      <c r="J3680" s="216" t="s">
        <v>2784</v>
      </c>
      <c r="K3680" s="93"/>
      <c r="L3680" s="9"/>
      <c r="M3680" s="217"/>
      <c r="N3680" s="214">
        <v>5</v>
      </c>
      <c r="P3680" s="4"/>
      <c r="Q3680" s="143"/>
      <c r="T3680" s="144"/>
      <c r="U3680" s="145"/>
    </row>
    <row r="3681" spans="1:21" ht="16.5" customHeight="1">
      <c r="A3681" s="210" t="s">
        <v>2759</v>
      </c>
      <c r="B3681" s="114" t="str">
        <f>VLOOKUP(A3681,'Data pick slip'!B:F,5,FALSE)</f>
        <v>KLJ-MC600-00</v>
      </c>
      <c r="C3681" s="211"/>
      <c r="D3681" s="212"/>
      <c r="E3681" s="306"/>
      <c r="F3681" s="213" t="s">
        <v>2783</v>
      </c>
      <c r="G3681" s="214"/>
      <c r="H3681" s="215"/>
      <c r="I3681" s="216" t="s">
        <v>2784</v>
      </c>
      <c r="J3681" s="216" t="s">
        <v>2784</v>
      </c>
      <c r="K3681" s="93"/>
      <c r="L3681" s="9"/>
      <c r="M3681" s="217"/>
      <c r="N3681" s="214">
        <v>0</v>
      </c>
      <c r="P3681" s="4"/>
      <c r="Q3681" s="143"/>
      <c r="T3681" s="144"/>
      <c r="U3681" s="145"/>
    </row>
    <row r="3682" spans="1:21" ht="16.5" customHeight="1">
      <c r="A3682" s="210" t="s">
        <v>2760</v>
      </c>
      <c r="B3682" s="114" t="str">
        <f>VLOOKUP(A3682,'Data pick slip'!B:F,5,FALSE)</f>
        <v>KLJ-MC700-00</v>
      </c>
      <c r="C3682" s="211"/>
      <c r="D3682" s="212"/>
      <c r="E3682" s="306"/>
      <c r="F3682" s="213" t="s">
        <v>2783</v>
      </c>
      <c r="G3682" s="214"/>
      <c r="H3682" s="215"/>
      <c r="I3682" s="216" t="s">
        <v>2784</v>
      </c>
      <c r="J3682" s="216" t="s">
        <v>2784</v>
      </c>
      <c r="K3682" s="93"/>
      <c r="L3682" s="9"/>
      <c r="M3682" s="217"/>
      <c r="N3682" s="214">
        <v>0</v>
      </c>
      <c r="P3682" s="4"/>
      <c r="Q3682" s="143"/>
      <c r="T3682" s="144"/>
      <c r="U3682" s="145"/>
    </row>
    <row r="3683" spans="1:21" ht="16.5" customHeight="1">
      <c r="A3683" s="210" t="s">
        <v>2761</v>
      </c>
      <c r="B3683" s="114" t="str">
        <f>VLOOKUP(A3683,'Data pick slip'!B:F,5,FALSE)</f>
        <v>KLJ-MC800-00</v>
      </c>
      <c r="C3683" s="211"/>
      <c r="D3683" s="212"/>
      <c r="E3683" s="306"/>
      <c r="F3683" s="213" t="s">
        <v>2783</v>
      </c>
      <c r="G3683" s="214"/>
      <c r="H3683" s="215"/>
      <c r="I3683" s="216" t="s">
        <v>2784</v>
      </c>
      <c r="J3683" s="216" t="s">
        <v>2784</v>
      </c>
      <c r="K3683" s="93"/>
      <c r="L3683" s="9"/>
      <c r="M3683" s="217"/>
      <c r="N3683" s="214">
        <v>0</v>
      </c>
      <c r="P3683" s="4"/>
      <c r="Q3683" s="143"/>
      <c r="T3683" s="144"/>
      <c r="U3683" s="145"/>
    </row>
    <row r="3684" spans="1:21" ht="16.5" customHeight="1">
      <c r="A3684" s="218" t="s">
        <v>2744</v>
      </c>
      <c r="B3684" s="114" t="str">
        <f>VLOOKUP(A3684,'Data pick slip'!B:F,5,FALSE)</f>
        <v>KHJ-MC100-00</v>
      </c>
      <c r="C3684" s="219"/>
      <c r="D3684" s="220"/>
      <c r="E3684" s="255"/>
      <c r="F3684" s="221" t="s">
        <v>2785</v>
      </c>
      <c r="G3684" s="222"/>
      <c r="H3684" s="223"/>
      <c r="I3684" s="224" t="s">
        <v>2786</v>
      </c>
      <c r="J3684" s="224" t="s">
        <v>2786</v>
      </c>
      <c r="K3684" s="94"/>
      <c r="L3684" s="10"/>
      <c r="M3684" s="225"/>
      <c r="N3684" s="222">
        <f>300</f>
        <v>300</v>
      </c>
      <c r="P3684" s="4"/>
      <c r="Q3684" s="143"/>
      <c r="T3684" s="144"/>
      <c r="U3684" s="145"/>
    </row>
    <row r="3685" spans="1:21" ht="16.5" customHeight="1">
      <c r="A3685" s="218" t="s">
        <v>2747</v>
      </c>
      <c r="B3685" s="114" t="str">
        <f>VLOOKUP(A3685,'Data pick slip'!B:F,5,FALSE)</f>
        <v>KHJ-MC200-00</v>
      </c>
      <c r="C3685" s="219"/>
      <c r="D3685" s="220"/>
      <c r="E3685" s="255"/>
      <c r="F3685" s="221" t="s">
        <v>2785</v>
      </c>
      <c r="G3685" s="222"/>
      <c r="H3685" s="223"/>
      <c r="I3685" s="224" t="s">
        <v>2786</v>
      </c>
      <c r="J3685" s="224" t="s">
        <v>2786</v>
      </c>
      <c r="K3685" s="94"/>
      <c r="L3685" s="10"/>
      <c r="M3685" s="225"/>
      <c r="N3685" s="222">
        <f>150</f>
        <v>150</v>
      </c>
      <c r="P3685" s="4"/>
      <c r="Q3685" s="143"/>
      <c r="T3685" s="144"/>
      <c r="U3685" s="145"/>
    </row>
    <row r="3686" spans="1:21" ht="16.5" customHeight="1">
      <c r="A3686" s="218" t="s">
        <v>2748</v>
      </c>
      <c r="B3686" s="114" t="str">
        <f>VLOOKUP(A3686,'Data pick slip'!B:F,5,FALSE)</f>
        <v>KHJ-MC400-00</v>
      </c>
      <c r="C3686" s="219"/>
      <c r="D3686" s="220"/>
      <c r="E3686" s="255"/>
      <c r="F3686" s="221" t="s">
        <v>2785</v>
      </c>
      <c r="G3686" s="222"/>
      <c r="H3686" s="223"/>
      <c r="I3686" s="224" t="s">
        <v>2786</v>
      </c>
      <c r="J3686" s="224" t="s">
        <v>2786</v>
      </c>
      <c r="K3686" s="94"/>
      <c r="L3686" s="10"/>
      <c r="M3686" s="225"/>
      <c r="N3686" s="222">
        <f>25</f>
        <v>25</v>
      </c>
      <c r="P3686" s="4"/>
      <c r="Q3686" s="143"/>
      <c r="T3686" s="144"/>
      <c r="U3686" s="145"/>
    </row>
    <row r="3687" spans="1:21" ht="16.5" customHeight="1">
      <c r="A3687" s="218" t="s">
        <v>2749</v>
      </c>
      <c r="B3687" s="114" t="str">
        <f>VLOOKUP(A3687,'Data pick slip'!B:F,5,FALSE)</f>
        <v>KHJ-MC500-00</v>
      </c>
      <c r="C3687" s="219"/>
      <c r="D3687" s="220"/>
      <c r="E3687" s="255"/>
      <c r="F3687" s="221" t="s">
        <v>2785</v>
      </c>
      <c r="G3687" s="222"/>
      <c r="H3687" s="223"/>
      <c r="I3687" s="224" t="s">
        <v>2786</v>
      </c>
      <c r="J3687" s="224" t="s">
        <v>2786</v>
      </c>
      <c r="K3687" s="94"/>
      <c r="L3687" s="10"/>
      <c r="M3687" s="225"/>
      <c r="N3687" s="222">
        <f>15</f>
        <v>15</v>
      </c>
      <c r="P3687" s="4"/>
      <c r="Q3687" s="143"/>
      <c r="T3687" s="144"/>
      <c r="U3687" s="145"/>
    </row>
    <row r="3688" spans="1:21" ht="16.5" customHeight="1">
      <c r="A3688" s="218" t="s">
        <v>2750</v>
      </c>
      <c r="B3688" s="114" t="str">
        <f>VLOOKUP(A3688,'Data pick slip'!B:F,5,FALSE)</f>
        <v>KHJ-MC600-00</v>
      </c>
      <c r="C3688" s="219"/>
      <c r="D3688" s="220"/>
      <c r="E3688" s="255"/>
      <c r="F3688" s="221" t="s">
        <v>2785</v>
      </c>
      <c r="G3688" s="222"/>
      <c r="H3688" s="223"/>
      <c r="I3688" s="224" t="s">
        <v>2786</v>
      </c>
      <c r="J3688" s="224" t="s">
        <v>2786</v>
      </c>
      <c r="K3688" s="94"/>
      <c r="L3688" s="10"/>
      <c r="M3688" s="225"/>
      <c r="N3688" s="222">
        <f>12</f>
        <v>12</v>
      </c>
      <c r="P3688" s="4"/>
      <c r="Q3688" s="143"/>
      <c r="T3688" s="144"/>
      <c r="U3688" s="145"/>
    </row>
    <row r="3689" spans="1:21" ht="16.5" customHeight="1">
      <c r="A3689" s="218" t="s">
        <v>2751</v>
      </c>
      <c r="B3689" s="114" t="str">
        <f>VLOOKUP(A3689,'Data pick slip'!B:F,5,FALSE)</f>
        <v>KHJ-MC700-00</v>
      </c>
      <c r="C3689" s="219"/>
      <c r="D3689" s="220"/>
      <c r="E3689" s="255"/>
      <c r="F3689" s="221" t="s">
        <v>2785</v>
      </c>
      <c r="G3689" s="222"/>
      <c r="H3689" s="223"/>
      <c r="I3689" s="224" t="s">
        <v>2786</v>
      </c>
      <c r="J3689" s="224" t="s">
        <v>2786</v>
      </c>
      <c r="K3689" s="94"/>
      <c r="L3689" s="10"/>
      <c r="M3689" s="225"/>
      <c r="N3689" s="222">
        <f>5</f>
        <v>5</v>
      </c>
      <c r="P3689" s="4"/>
      <c r="Q3689" s="143"/>
      <c r="T3689" s="144"/>
      <c r="U3689" s="145"/>
    </row>
    <row r="3690" spans="1:21" ht="16.5" customHeight="1">
      <c r="A3690" s="218" t="s">
        <v>2752</v>
      </c>
      <c r="B3690" s="114" t="str">
        <f>VLOOKUP(A3690,'Data pick slip'!B:F,5,FALSE)</f>
        <v>KHJ-MC800-00</v>
      </c>
      <c r="C3690" s="219"/>
      <c r="D3690" s="220"/>
      <c r="E3690" s="255"/>
      <c r="F3690" s="221" t="s">
        <v>2785</v>
      </c>
      <c r="G3690" s="222"/>
      <c r="H3690" s="223"/>
      <c r="I3690" s="224" t="s">
        <v>2786</v>
      </c>
      <c r="J3690" s="224" t="s">
        <v>2786</v>
      </c>
      <c r="K3690" s="94"/>
      <c r="L3690" s="10"/>
      <c r="M3690" s="225"/>
      <c r="N3690" s="222">
        <v>0</v>
      </c>
      <c r="P3690" s="4"/>
      <c r="Q3690" s="143"/>
      <c r="T3690" s="144"/>
      <c r="U3690" s="145"/>
    </row>
    <row r="3691" spans="1:21" ht="16.5" customHeight="1">
      <c r="A3691" s="218" t="s">
        <v>2755</v>
      </c>
      <c r="B3691" s="114" t="str">
        <f>VLOOKUP(A3691,'Data pick slip'!B:F,5,FALSE)</f>
        <v>KLJ-MC100-00</v>
      </c>
      <c r="C3691" s="219"/>
      <c r="D3691" s="220"/>
      <c r="E3691" s="255"/>
      <c r="F3691" s="221" t="s">
        <v>2785</v>
      </c>
      <c r="G3691" s="222"/>
      <c r="H3691" s="223"/>
      <c r="I3691" s="224" t="s">
        <v>2786</v>
      </c>
      <c r="J3691" s="224" t="s">
        <v>2786</v>
      </c>
      <c r="K3691" s="94"/>
      <c r="L3691" s="10"/>
      <c r="M3691" s="225"/>
      <c r="N3691" s="222">
        <v>100</v>
      </c>
      <c r="P3691" s="4"/>
      <c r="Q3691" s="143"/>
      <c r="T3691" s="144"/>
      <c r="U3691" s="145"/>
    </row>
    <row r="3692" spans="1:21" ht="16.5" customHeight="1">
      <c r="A3692" s="218" t="s">
        <v>2756</v>
      </c>
      <c r="B3692" s="114" t="str">
        <f>VLOOKUP(A3692,'Data pick slip'!B:F,5,FALSE)</f>
        <v>KLJ-MC200-00</v>
      </c>
      <c r="C3692" s="219"/>
      <c r="D3692" s="220"/>
      <c r="E3692" s="255"/>
      <c r="F3692" s="221" t="s">
        <v>2785</v>
      </c>
      <c r="G3692" s="222"/>
      <c r="H3692" s="223"/>
      <c r="I3692" s="224" t="s">
        <v>2786</v>
      </c>
      <c r="J3692" s="224" t="s">
        <v>2786</v>
      </c>
      <c r="K3692" s="94"/>
      <c r="L3692" s="10"/>
      <c r="M3692" s="225"/>
      <c r="N3692" s="222">
        <v>10</v>
      </c>
      <c r="P3692" s="4"/>
      <c r="T3692" s="144"/>
      <c r="U3692" s="145"/>
    </row>
    <row r="3693" spans="1:21" ht="16.5" customHeight="1">
      <c r="A3693" s="218" t="s">
        <v>2757</v>
      </c>
      <c r="B3693" s="114" t="str">
        <f>VLOOKUP(A3693,'Data pick slip'!B:F,5,FALSE)</f>
        <v>KLJ-MC400-00</v>
      </c>
      <c r="C3693" s="219"/>
      <c r="D3693" s="220"/>
      <c r="E3693" s="255"/>
      <c r="F3693" s="221" t="s">
        <v>2785</v>
      </c>
      <c r="G3693" s="222"/>
      <c r="H3693" s="223"/>
      <c r="I3693" s="224" t="s">
        <v>2786</v>
      </c>
      <c r="J3693" s="224" t="s">
        <v>2786</v>
      </c>
      <c r="K3693" s="94"/>
      <c r="L3693" s="10"/>
      <c r="M3693" s="225"/>
      <c r="N3693" s="222">
        <v>0</v>
      </c>
      <c r="P3693" s="4"/>
      <c r="Q3693" s="143"/>
      <c r="T3693" s="144"/>
      <c r="U3693" s="145"/>
    </row>
    <row r="3694" spans="1:21" ht="16.5" customHeight="1">
      <c r="A3694" s="218" t="s">
        <v>2758</v>
      </c>
      <c r="B3694" s="114" t="str">
        <f>VLOOKUP(A3694,'Data pick slip'!B:F,5,FALSE)</f>
        <v>KLJ-MC500-00</v>
      </c>
      <c r="C3694" s="219"/>
      <c r="D3694" s="220"/>
      <c r="E3694" s="255"/>
      <c r="F3694" s="221" t="s">
        <v>2785</v>
      </c>
      <c r="G3694" s="222"/>
      <c r="H3694" s="223"/>
      <c r="I3694" s="224" t="s">
        <v>2786</v>
      </c>
      <c r="J3694" s="224" t="s">
        <v>2786</v>
      </c>
      <c r="K3694" s="94"/>
      <c r="L3694" s="10"/>
      <c r="M3694" s="225"/>
      <c r="N3694" s="222">
        <v>0</v>
      </c>
      <c r="P3694" s="4"/>
      <c r="Q3694" s="143"/>
      <c r="T3694" s="144"/>
      <c r="U3694" s="145"/>
    </row>
    <row r="3695" spans="1:21" ht="16.5" customHeight="1">
      <c r="A3695" s="218" t="s">
        <v>2759</v>
      </c>
      <c r="B3695" s="114" t="str">
        <f>VLOOKUP(A3695,'Data pick slip'!B:F,5,FALSE)</f>
        <v>KLJ-MC600-00</v>
      </c>
      <c r="C3695" s="219"/>
      <c r="D3695" s="220"/>
      <c r="E3695" s="255"/>
      <c r="F3695" s="221" t="s">
        <v>2785</v>
      </c>
      <c r="G3695" s="222"/>
      <c r="H3695" s="223"/>
      <c r="I3695" s="224" t="s">
        <v>2786</v>
      </c>
      <c r="J3695" s="224" t="s">
        <v>2786</v>
      </c>
      <c r="K3695" s="94"/>
      <c r="L3695" s="10"/>
      <c r="M3695" s="225"/>
      <c r="N3695" s="222">
        <v>0</v>
      </c>
      <c r="P3695" s="4"/>
      <c r="Q3695" s="143"/>
      <c r="T3695" s="144"/>
      <c r="U3695" s="145"/>
    </row>
    <row r="3696" spans="1:21" ht="16.5" customHeight="1">
      <c r="A3696" s="218" t="s">
        <v>2760</v>
      </c>
      <c r="B3696" s="114" t="str">
        <f>VLOOKUP(A3696,'Data pick slip'!B:F,5,FALSE)</f>
        <v>KLJ-MC700-00</v>
      </c>
      <c r="C3696" s="219"/>
      <c r="D3696" s="220"/>
      <c r="E3696" s="255"/>
      <c r="F3696" s="221" t="s">
        <v>2785</v>
      </c>
      <c r="G3696" s="222"/>
      <c r="H3696" s="223"/>
      <c r="I3696" s="224" t="s">
        <v>2786</v>
      </c>
      <c r="J3696" s="224" t="s">
        <v>2786</v>
      </c>
      <c r="K3696" s="94"/>
      <c r="L3696" s="10"/>
      <c r="M3696" s="225"/>
      <c r="N3696" s="222">
        <v>0</v>
      </c>
      <c r="P3696" s="4"/>
      <c r="Q3696" s="143"/>
      <c r="T3696" s="144"/>
      <c r="U3696" s="145"/>
    </row>
    <row r="3697" spans="1:21" ht="16.5" customHeight="1">
      <c r="A3697" s="218" t="s">
        <v>2761</v>
      </c>
      <c r="B3697" s="114" t="str">
        <f>VLOOKUP(A3697,'Data pick slip'!B:F,5,FALSE)</f>
        <v>KLJ-MC800-00</v>
      </c>
      <c r="C3697" s="219"/>
      <c r="D3697" s="220"/>
      <c r="E3697" s="255"/>
      <c r="F3697" s="221" t="s">
        <v>2785</v>
      </c>
      <c r="G3697" s="222"/>
      <c r="H3697" s="223"/>
      <c r="I3697" s="224" t="s">
        <v>2786</v>
      </c>
      <c r="J3697" s="224" t="s">
        <v>2786</v>
      </c>
      <c r="K3697" s="94"/>
      <c r="L3697" s="10"/>
      <c r="M3697" s="225"/>
      <c r="N3697" s="222">
        <v>0</v>
      </c>
      <c r="P3697" s="4"/>
      <c r="Q3697" s="143"/>
      <c r="T3697" s="144"/>
      <c r="U3697" s="145"/>
    </row>
    <row r="3698" spans="1:21" ht="16.5" customHeight="1">
      <c r="A3698" s="210" t="s">
        <v>2744</v>
      </c>
      <c r="B3698" s="114" t="str">
        <f>VLOOKUP(A3698,'Data pick slip'!B:F,5,FALSE)</f>
        <v>KHJ-MC100-00</v>
      </c>
      <c r="C3698" s="211"/>
      <c r="D3698" s="212">
        <v>25</v>
      </c>
      <c r="E3698" s="306" t="e">
        <f>VLOOKUP(C3698,Stock_list!D:L,9,FALSE)</f>
        <v>#N/A</v>
      </c>
      <c r="F3698" s="213" t="s">
        <v>2783</v>
      </c>
      <c r="G3698" s="214"/>
      <c r="H3698" s="215"/>
      <c r="I3698" s="216" t="s">
        <v>2787</v>
      </c>
      <c r="J3698" s="216" t="s">
        <v>2788</v>
      </c>
      <c r="K3698" s="93">
        <v>28</v>
      </c>
      <c r="L3698" s="9"/>
      <c r="M3698" s="217"/>
      <c r="N3698" s="214">
        <f t="shared" ref="N3698:N3715" si="0">D3698*K3698</f>
        <v>700</v>
      </c>
      <c r="O3698" s="122"/>
      <c r="P3698" s="4"/>
      <c r="Q3698" s="143"/>
      <c r="T3698" s="144"/>
      <c r="U3698" s="145"/>
    </row>
    <row r="3699" spans="1:21" ht="16.5" customHeight="1">
      <c r="A3699" s="210" t="s">
        <v>2747</v>
      </c>
      <c r="B3699" s="114" t="str">
        <f>VLOOKUP(A3699,'Data pick slip'!B:F,5,FALSE)</f>
        <v>KHJ-MC200-00</v>
      </c>
      <c r="C3699" s="211"/>
      <c r="D3699" s="212">
        <v>10</v>
      </c>
      <c r="E3699" s="306" t="e">
        <f>VLOOKUP(C3699,Stock_list!D:L,9,FALSE)</f>
        <v>#N/A</v>
      </c>
      <c r="F3699" s="213" t="s">
        <v>2783</v>
      </c>
      <c r="G3699" s="214"/>
      <c r="H3699" s="215"/>
      <c r="I3699" s="216" t="s">
        <v>2787</v>
      </c>
      <c r="J3699" s="216" t="s">
        <v>2788</v>
      </c>
      <c r="K3699" s="93">
        <v>28</v>
      </c>
      <c r="L3699" s="9"/>
      <c r="M3699" s="217"/>
      <c r="N3699" s="214">
        <f t="shared" si="0"/>
        <v>280</v>
      </c>
      <c r="O3699" s="122"/>
      <c r="P3699" s="4"/>
      <c r="Q3699" s="143"/>
      <c r="T3699" s="144"/>
      <c r="U3699" s="145"/>
    </row>
    <row r="3700" spans="1:21" ht="16.5" customHeight="1">
      <c r="A3700" s="210" t="s">
        <v>2748</v>
      </c>
      <c r="B3700" s="114" t="str">
        <f>VLOOKUP(A3700,'Data pick slip'!B:F,5,FALSE)</f>
        <v>KHJ-MC400-00</v>
      </c>
      <c r="C3700" s="211"/>
      <c r="D3700" s="212">
        <v>2</v>
      </c>
      <c r="E3700" s="306" t="e">
        <f>VLOOKUP(C3700,Stock_list!D:L,9,FALSE)</f>
        <v>#N/A</v>
      </c>
      <c r="F3700" s="213" t="s">
        <v>2783</v>
      </c>
      <c r="G3700" s="214"/>
      <c r="H3700" s="215"/>
      <c r="I3700" s="216" t="s">
        <v>2787</v>
      </c>
      <c r="J3700" s="216" t="s">
        <v>2788</v>
      </c>
      <c r="K3700" s="93">
        <v>28</v>
      </c>
      <c r="L3700" s="9"/>
      <c r="M3700" s="217"/>
      <c r="N3700" s="214">
        <f>D3700*K3700</f>
        <v>56</v>
      </c>
      <c r="O3700" s="122"/>
      <c r="P3700" s="4"/>
      <c r="Q3700" s="143"/>
      <c r="T3700" s="144"/>
      <c r="U3700" s="145"/>
    </row>
    <row r="3701" spans="1:21" ht="16.5" customHeight="1">
      <c r="A3701" s="210" t="s">
        <v>2744</v>
      </c>
      <c r="B3701" s="114" t="str">
        <f>VLOOKUP(A3701,'Data pick slip'!B:F,5,FALSE)</f>
        <v>KHJ-MC100-00</v>
      </c>
      <c r="C3701" s="211"/>
      <c r="D3701" s="212">
        <v>25</v>
      </c>
      <c r="E3701" s="306" t="e">
        <f>VLOOKUP(C3701,Stock_list!D:L,9,FALSE)</f>
        <v>#N/A</v>
      </c>
      <c r="F3701" s="213" t="s">
        <v>2789</v>
      </c>
      <c r="G3701" s="214"/>
      <c r="H3701" s="215"/>
      <c r="I3701" s="216" t="s">
        <v>2787</v>
      </c>
      <c r="J3701" s="216" t="s">
        <v>2788</v>
      </c>
      <c r="K3701" s="93">
        <v>28</v>
      </c>
      <c r="L3701" s="9"/>
      <c r="M3701" s="217"/>
      <c r="N3701" s="214">
        <f t="shared" si="0"/>
        <v>700</v>
      </c>
      <c r="O3701" s="122"/>
      <c r="P3701" s="4"/>
      <c r="Q3701" s="143"/>
      <c r="T3701" s="144"/>
      <c r="U3701" s="145"/>
    </row>
    <row r="3702" spans="1:21" ht="16.5" customHeight="1">
      <c r="A3702" s="210" t="s">
        <v>2747</v>
      </c>
      <c r="B3702" s="114" t="str">
        <f>VLOOKUP(A3702,'Data pick slip'!B:F,5,FALSE)</f>
        <v>KHJ-MC200-00</v>
      </c>
      <c r="C3702" s="211"/>
      <c r="D3702" s="212">
        <v>10</v>
      </c>
      <c r="E3702" s="306" t="e">
        <f>VLOOKUP(C3702,Stock_list!D:L,9,FALSE)</f>
        <v>#N/A</v>
      </c>
      <c r="F3702" s="213" t="s">
        <v>2789</v>
      </c>
      <c r="G3702" s="214"/>
      <c r="H3702" s="215"/>
      <c r="I3702" s="216" t="s">
        <v>2787</v>
      </c>
      <c r="J3702" s="216" t="s">
        <v>2788</v>
      </c>
      <c r="K3702" s="93">
        <v>28</v>
      </c>
      <c r="L3702" s="9"/>
      <c r="M3702" s="217"/>
      <c r="N3702" s="214">
        <f t="shared" si="0"/>
        <v>280</v>
      </c>
      <c r="O3702" s="122"/>
      <c r="P3702" s="4"/>
      <c r="Q3702" s="143"/>
      <c r="T3702" s="144"/>
      <c r="U3702" s="145"/>
    </row>
    <row r="3703" spans="1:21" ht="16.5" customHeight="1">
      <c r="A3703" s="210" t="s">
        <v>2748</v>
      </c>
      <c r="B3703" s="114" t="str">
        <f>VLOOKUP(A3703,'Data pick slip'!B:F,5,FALSE)</f>
        <v>KHJ-MC400-00</v>
      </c>
      <c r="C3703" s="211"/>
      <c r="D3703" s="212">
        <v>2</v>
      </c>
      <c r="E3703" s="306" t="e">
        <f>VLOOKUP(C3703,Stock_list!D:L,9,FALSE)</f>
        <v>#N/A</v>
      </c>
      <c r="F3703" s="213" t="s">
        <v>2789</v>
      </c>
      <c r="G3703" s="214"/>
      <c r="H3703" s="215"/>
      <c r="I3703" s="216" t="s">
        <v>2787</v>
      </c>
      <c r="J3703" s="216" t="s">
        <v>2788</v>
      </c>
      <c r="K3703" s="93">
        <v>28</v>
      </c>
      <c r="L3703" s="9"/>
      <c r="M3703" s="217"/>
      <c r="N3703" s="214">
        <f t="shared" si="0"/>
        <v>56</v>
      </c>
      <c r="O3703" s="122"/>
      <c r="P3703" s="4"/>
      <c r="Q3703" s="143"/>
      <c r="T3703" s="144"/>
      <c r="U3703" s="145"/>
    </row>
    <row r="3704" spans="1:21" ht="16.5" customHeight="1">
      <c r="A3704" s="210" t="s">
        <v>2744</v>
      </c>
      <c r="B3704" s="114" t="str">
        <f>VLOOKUP(A3704,'Data pick slip'!B:F,5,FALSE)</f>
        <v>KHJ-MC100-00</v>
      </c>
      <c r="C3704" s="211"/>
      <c r="D3704" s="212">
        <v>25</v>
      </c>
      <c r="E3704" s="306" t="e">
        <f>VLOOKUP(C3704,Stock_list!D:L,9,FALSE)</f>
        <v>#N/A</v>
      </c>
      <c r="F3704" s="213" t="s">
        <v>2762</v>
      </c>
      <c r="G3704" s="214"/>
      <c r="H3704" s="215"/>
      <c r="I3704" s="216" t="s">
        <v>2787</v>
      </c>
      <c r="J3704" s="216" t="s">
        <v>2788</v>
      </c>
      <c r="K3704" s="93">
        <v>20</v>
      </c>
      <c r="L3704" s="9"/>
      <c r="M3704" s="217"/>
      <c r="N3704" s="214">
        <f t="shared" si="0"/>
        <v>500</v>
      </c>
      <c r="O3704" s="122"/>
      <c r="P3704" s="4"/>
      <c r="Q3704" s="143"/>
      <c r="T3704" s="144"/>
      <c r="U3704" s="145"/>
    </row>
    <row r="3705" spans="1:21" ht="16.5" customHeight="1">
      <c r="A3705" s="210" t="s">
        <v>2747</v>
      </c>
      <c r="B3705" s="114" t="str">
        <f>VLOOKUP(A3705,'Data pick slip'!B:F,5,FALSE)</f>
        <v>KHJ-MC200-00</v>
      </c>
      <c r="C3705" s="211"/>
      <c r="D3705" s="212">
        <v>10</v>
      </c>
      <c r="E3705" s="306" t="e">
        <f>VLOOKUP(C3705,Stock_list!D:L,9,FALSE)</f>
        <v>#N/A</v>
      </c>
      <c r="F3705" s="213" t="s">
        <v>2762</v>
      </c>
      <c r="G3705" s="214"/>
      <c r="H3705" s="215"/>
      <c r="I3705" s="216" t="s">
        <v>2787</v>
      </c>
      <c r="J3705" s="216" t="s">
        <v>2788</v>
      </c>
      <c r="K3705" s="93">
        <v>20</v>
      </c>
      <c r="L3705" s="9"/>
      <c r="M3705" s="217"/>
      <c r="N3705" s="214">
        <f t="shared" si="0"/>
        <v>200</v>
      </c>
      <c r="O3705" s="122"/>
      <c r="P3705" s="4"/>
      <c r="Q3705" s="143"/>
      <c r="T3705" s="144"/>
      <c r="U3705" s="145"/>
    </row>
    <row r="3706" spans="1:21" ht="16.5" customHeight="1">
      <c r="A3706" s="210" t="s">
        <v>2748</v>
      </c>
      <c r="B3706" s="114" t="str">
        <f>VLOOKUP(A3706,'Data pick slip'!B:F,5,FALSE)</f>
        <v>KHJ-MC400-00</v>
      </c>
      <c r="C3706" s="211"/>
      <c r="D3706" s="212">
        <v>2</v>
      </c>
      <c r="E3706" s="306" t="e">
        <f>VLOOKUP(C3706,Stock_list!D:L,9,FALSE)</f>
        <v>#N/A</v>
      </c>
      <c r="F3706" s="213" t="s">
        <v>2762</v>
      </c>
      <c r="G3706" s="214"/>
      <c r="H3706" s="215"/>
      <c r="I3706" s="216" t="s">
        <v>2787</v>
      </c>
      <c r="J3706" s="216" t="s">
        <v>2788</v>
      </c>
      <c r="K3706" s="93">
        <v>20</v>
      </c>
      <c r="L3706" s="9"/>
      <c r="M3706" s="217"/>
      <c r="N3706" s="214">
        <f t="shared" si="0"/>
        <v>40</v>
      </c>
      <c r="O3706" s="122"/>
      <c r="P3706" s="4"/>
      <c r="Q3706" s="143"/>
      <c r="T3706" s="144"/>
      <c r="U3706" s="145"/>
    </row>
    <row r="3707" spans="1:21" ht="16.5" customHeight="1">
      <c r="A3707" s="210" t="s">
        <v>2744</v>
      </c>
      <c r="B3707" s="114" t="str">
        <f>VLOOKUP(A3707,'Data pick slip'!B:F,5,FALSE)</f>
        <v>KHJ-MC100-00</v>
      </c>
      <c r="C3707" s="211"/>
      <c r="D3707" s="212">
        <v>50</v>
      </c>
      <c r="E3707" s="306" t="e">
        <f>VLOOKUP(C3707,Stock_list!D:L,9,FALSE)</f>
        <v>#N/A</v>
      </c>
      <c r="F3707" s="213" t="s">
        <v>2783</v>
      </c>
      <c r="G3707" s="214"/>
      <c r="H3707" s="215"/>
      <c r="I3707" s="216" t="s">
        <v>2787</v>
      </c>
      <c r="J3707" s="216" t="s">
        <v>2790</v>
      </c>
      <c r="K3707" s="93">
        <v>26</v>
      </c>
      <c r="L3707" s="9"/>
      <c r="M3707" s="217"/>
      <c r="N3707" s="214">
        <f t="shared" si="0"/>
        <v>1300</v>
      </c>
      <c r="O3707" s="122"/>
      <c r="P3707" s="4"/>
      <c r="Q3707" s="143"/>
      <c r="T3707" s="144"/>
      <c r="U3707" s="145"/>
    </row>
    <row r="3708" spans="1:21" ht="16.5" customHeight="1">
      <c r="A3708" s="210" t="s">
        <v>2747</v>
      </c>
      <c r="B3708" s="114" t="str">
        <f>VLOOKUP(A3708,'Data pick slip'!B:F,5,FALSE)</f>
        <v>KHJ-MC200-00</v>
      </c>
      <c r="C3708" s="211"/>
      <c r="D3708" s="212">
        <v>5</v>
      </c>
      <c r="E3708" s="306" t="e">
        <f>VLOOKUP(C3708,Stock_list!D:L,9,FALSE)</f>
        <v>#N/A</v>
      </c>
      <c r="F3708" s="213" t="s">
        <v>2783</v>
      </c>
      <c r="G3708" s="214"/>
      <c r="H3708" s="215"/>
      <c r="I3708" s="216" t="s">
        <v>2787</v>
      </c>
      <c r="J3708" s="216" t="s">
        <v>2790</v>
      </c>
      <c r="K3708" s="93">
        <v>26</v>
      </c>
      <c r="L3708" s="9"/>
      <c r="M3708" s="217"/>
      <c r="N3708" s="214">
        <f t="shared" si="0"/>
        <v>130</v>
      </c>
      <c r="O3708" s="122"/>
      <c r="P3708" s="4"/>
      <c r="Q3708" s="143"/>
      <c r="T3708" s="144"/>
      <c r="U3708" s="145"/>
    </row>
    <row r="3709" spans="1:21" ht="16.5" customHeight="1">
      <c r="A3709" s="210" t="s">
        <v>2748</v>
      </c>
      <c r="B3709" s="114" t="str">
        <f>VLOOKUP(A3709,'Data pick slip'!B:F,5,FALSE)</f>
        <v>KHJ-MC400-00</v>
      </c>
      <c r="C3709" s="211"/>
      <c r="D3709" s="212">
        <v>1</v>
      </c>
      <c r="E3709" s="306" t="e">
        <f>VLOOKUP(C3709,Stock_list!D:L,9,FALSE)</f>
        <v>#N/A</v>
      </c>
      <c r="F3709" s="213" t="s">
        <v>2783</v>
      </c>
      <c r="G3709" s="214"/>
      <c r="H3709" s="215"/>
      <c r="I3709" s="216" t="s">
        <v>2787</v>
      </c>
      <c r="J3709" s="216" t="s">
        <v>2790</v>
      </c>
      <c r="K3709" s="93">
        <v>26</v>
      </c>
      <c r="L3709" s="9"/>
      <c r="M3709" s="217"/>
      <c r="N3709" s="214">
        <f t="shared" si="0"/>
        <v>26</v>
      </c>
      <c r="O3709" s="122"/>
      <c r="P3709" s="4"/>
      <c r="Q3709" s="143"/>
      <c r="T3709" s="144"/>
      <c r="U3709" s="145"/>
    </row>
    <row r="3710" spans="1:21" ht="16.5" customHeight="1">
      <c r="A3710" s="210" t="s">
        <v>2744</v>
      </c>
      <c r="B3710" s="114" t="str">
        <f>VLOOKUP(A3710,'Data pick slip'!B:F,5,FALSE)</f>
        <v>KHJ-MC100-00</v>
      </c>
      <c r="C3710" s="211"/>
      <c r="D3710" s="212">
        <v>50</v>
      </c>
      <c r="E3710" s="306" t="e">
        <f>VLOOKUP(C3710,Stock_list!D:L,9,FALSE)</f>
        <v>#N/A</v>
      </c>
      <c r="F3710" s="213" t="s">
        <v>2789</v>
      </c>
      <c r="G3710" s="214"/>
      <c r="H3710" s="215"/>
      <c r="I3710" s="216" t="s">
        <v>2787</v>
      </c>
      <c r="J3710" s="216" t="s">
        <v>2790</v>
      </c>
      <c r="K3710" s="93">
        <v>2</v>
      </c>
      <c r="L3710" s="9"/>
      <c r="M3710" s="217"/>
      <c r="N3710" s="214">
        <f t="shared" si="0"/>
        <v>100</v>
      </c>
      <c r="O3710" s="122"/>
      <c r="P3710" s="4"/>
      <c r="Q3710" s="143"/>
      <c r="T3710" s="144"/>
      <c r="U3710" s="145"/>
    </row>
    <row r="3711" spans="1:21" ht="16.5" customHeight="1">
      <c r="A3711" s="210" t="s">
        <v>2747</v>
      </c>
      <c r="B3711" s="114" t="str">
        <f>VLOOKUP(A3711,'Data pick slip'!B:F,5,FALSE)</f>
        <v>KHJ-MC200-00</v>
      </c>
      <c r="C3711" s="211"/>
      <c r="D3711" s="212">
        <v>5</v>
      </c>
      <c r="E3711" s="306" t="e">
        <f>VLOOKUP(C3711,Stock_list!D:L,9,FALSE)</f>
        <v>#N/A</v>
      </c>
      <c r="F3711" s="213" t="s">
        <v>2789</v>
      </c>
      <c r="G3711" s="214"/>
      <c r="H3711" s="215"/>
      <c r="I3711" s="216" t="s">
        <v>2787</v>
      </c>
      <c r="J3711" s="216" t="s">
        <v>2790</v>
      </c>
      <c r="K3711" s="93">
        <v>2</v>
      </c>
      <c r="L3711" s="9"/>
      <c r="M3711" s="217"/>
      <c r="N3711" s="214">
        <f t="shared" si="0"/>
        <v>10</v>
      </c>
      <c r="O3711" s="122"/>
      <c r="P3711" s="4"/>
      <c r="Q3711" s="143"/>
      <c r="T3711" s="144"/>
      <c r="U3711" s="145"/>
    </row>
    <row r="3712" spans="1:21" ht="16.5" customHeight="1">
      <c r="A3712" s="210" t="s">
        <v>2748</v>
      </c>
      <c r="B3712" s="114" t="str">
        <f>VLOOKUP(A3712,'Data pick slip'!B:F,5,FALSE)</f>
        <v>KHJ-MC400-00</v>
      </c>
      <c r="C3712" s="211"/>
      <c r="D3712" s="212">
        <v>1</v>
      </c>
      <c r="E3712" s="306" t="e">
        <f>VLOOKUP(C3712,Stock_list!D:L,9,FALSE)</f>
        <v>#N/A</v>
      </c>
      <c r="F3712" s="213" t="s">
        <v>2789</v>
      </c>
      <c r="G3712" s="214"/>
      <c r="H3712" s="215"/>
      <c r="I3712" s="216" t="s">
        <v>2787</v>
      </c>
      <c r="J3712" s="216" t="s">
        <v>2790</v>
      </c>
      <c r="K3712" s="93">
        <v>2</v>
      </c>
      <c r="L3712" s="9"/>
      <c r="M3712" s="217"/>
      <c r="N3712" s="214">
        <f t="shared" si="0"/>
        <v>2</v>
      </c>
      <c r="O3712" s="122"/>
      <c r="P3712" s="4"/>
      <c r="Q3712" s="143"/>
      <c r="T3712" s="144"/>
      <c r="U3712" s="145"/>
    </row>
    <row r="3713" spans="1:21" ht="16.5" customHeight="1">
      <c r="A3713" s="210" t="s">
        <v>2744</v>
      </c>
      <c r="B3713" s="114" t="str">
        <f>VLOOKUP(A3713,'Data pick slip'!B:F,5,FALSE)</f>
        <v>KHJ-MC100-00</v>
      </c>
      <c r="C3713" s="211"/>
      <c r="D3713" s="212">
        <v>50</v>
      </c>
      <c r="E3713" s="306" t="e">
        <f>VLOOKUP(C3713,Stock_list!D:L,9,FALSE)</f>
        <v>#N/A</v>
      </c>
      <c r="F3713" s="213" t="s">
        <v>2762</v>
      </c>
      <c r="G3713" s="214"/>
      <c r="H3713" s="215"/>
      <c r="I3713" s="216" t="s">
        <v>2787</v>
      </c>
      <c r="J3713" s="216" t="s">
        <v>2790</v>
      </c>
      <c r="K3713" s="93">
        <v>25</v>
      </c>
      <c r="L3713" s="9"/>
      <c r="M3713" s="217"/>
      <c r="N3713" s="214">
        <f t="shared" si="0"/>
        <v>1250</v>
      </c>
      <c r="O3713" s="122"/>
      <c r="P3713" s="4"/>
      <c r="Q3713" s="143"/>
      <c r="T3713" s="144"/>
      <c r="U3713" s="145"/>
    </row>
    <row r="3714" spans="1:21" ht="16.5" customHeight="1">
      <c r="A3714" s="210" t="s">
        <v>2747</v>
      </c>
      <c r="B3714" s="114" t="str">
        <f>VLOOKUP(A3714,'Data pick slip'!B:F,5,FALSE)</f>
        <v>KHJ-MC200-00</v>
      </c>
      <c r="C3714" s="211"/>
      <c r="D3714" s="212">
        <v>5</v>
      </c>
      <c r="E3714" s="306" t="e">
        <f>VLOOKUP(C3714,Stock_list!D:L,9,FALSE)</f>
        <v>#N/A</v>
      </c>
      <c r="F3714" s="213" t="s">
        <v>2762</v>
      </c>
      <c r="G3714" s="214"/>
      <c r="H3714" s="215"/>
      <c r="I3714" s="216" t="s">
        <v>2787</v>
      </c>
      <c r="J3714" s="216" t="s">
        <v>2790</v>
      </c>
      <c r="K3714" s="93">
        <v>25</v>
      </c>
      <c r="L3714" s="9"/>
      <c r="M3714" s="217"/>
      <c r="N3714" s="214">
        <f t="shared" si="0"/>
        <v>125</v>
      </c>
      <c r="O3714" s="122"/>
      <c r="P3714" s="4"/>
      <c r="Q3714" s="143"/>
      <c r="T3714" s="144"/>
      <c r="U3714" s="145"/>
    </row>
    <row r="3715" spans="1:21" s="241" customFormat="1" ht="17.25" customHeight="1" thickBot="1">
      <c r="A3715" s="226" t="s">
        <v>2748</v>
      </c>
      <c r="B3715" s="227" t="str">
        <f>VLOOKUP(A3715,'Data pick slip'!B:F,5,FALSE)</f>
        <v>KHJ-MC400-00</v>
      </c>
      <c r="C3715" s="228"/>
      <c r="D3715" s="229">
        <v>1</v>
      </c>
      <c r="E3715" s="307" t="e">
        <f>VLOOKUP(C3715,Stock_list!D:L,9,FALSE)</f>
        <v>#N/A</v>
      </c>
      <c r="F3715" s="230" t="s">
        <v>2762</v>
      </c>
      <c r="G3715" s="231"/>
      <c r="H3715" s="232"/>
      <c r="I3715" s="233" t="s">
        <v>2787</v>
      </c>
      <c r="J3715" s="233" t="s">
        <v>2790</v>
      </c>
      <c r="K3715" s="95">
        <v>25</v>
      </c>
      <c r="L3715" s="11"/>
      <c r="M3715" s="234"/>
      <c r="N3715" s="231">
        <f t="shared" si="0"/>
        <v>25</v>
      </c>
      <c r="O3715" s="235"/>
      <c r="P3715" s="8"/>
      <c r="Q3715" s="236"/>
      <c r="R3715" s="237"/>
      <c r="S3715" s="238"/>
      <c r="T3715" s="239"/>
      <c r="U3715" s="240"/>
    </row>
    <row r="3716" spans="1:21" s="251" customFormat="1" ht="16.5" customHeight="1">
      <c r="A3716" s="242"/>
      <c r="B3716" s="242"/>
      <c r="C3716" s="197"/>
      <c r="D3716" s="243"/>
      <c r="E3716" s="305"/>
      <c r="F3716" s="198"/>
      <c r="G3716" s="244">
        <f>SUM(G2:G3715)</f>
        <v>83296</v>
      </c>
      <c r="H3716" s="200"/>
      <c r="I3716" s="201"/>
      <c r="J3716" s="201"/>
      <c r="K3716" s="245"/>
      <c r="L3716" s="246"/>
      <c r="M3716" s="247">
        <f>SUM(M2:M3715)</f>
        <v>69519</v>
      </c>
      <c r="N3716" s="244">
        <f>SUM(N2:N3715)</f>
        <v>8244</v>
      </c>
      <c r="O3716" s="244">
        <f>SUM(O2:O3715)</f>
        <v>40</v>
      </c>
      <c r="P3716" s="248"/>
      <c r="Q3716" s="202"/>
      <c r="R3716" s="249"/>
      <c r="S3716" s="203"/>
      <c r="T3716" s="203"/>
      <c r="U3716" s="250"/>
    </row>
    <row r="3717" spans="1:21" ht="16.5" customHeight="1">
      <c r="B3717" s="114"/>
      <c r="P3717" s="4"/>
      <c r="Q3717" s="143"/>
    </row>
    <row r="3718" spans="1:21" ht="16.5" customHeight="1">
      <c r="B3718" s="114"/>
      <c r="M3718" s="253"/>
      <c r="P3718" s="4"/>
      <c r="Q3718" s="143"/>
    </row>
    <row r="3719" spans="1:21" ht="16.5" customHeight="1">
      <c r="B3719" s="114"/>
      <c r="P3719" s="4"/>
      <c r="Q3719" s="143"/>
    </row>
    <row r="3720" spans="1:21" ht="16.5" customHeight="1">
      <c r="B3720" s="114"/>
      <c r="M3720" s="253"/>
      <c r="P3720" s="4"/>
      <c r="Q3720" s="143"/>
    </row>
    <row r="3721" spans="1:21" ht="16.5" customHeight="1">
      <c r="B3721" s="114"/>
      <c r="Q3721" s="143"/>
    </row>
    <row r="3722" spans="1:21" ht="16.5" customHeight="1">
      <c r="M3722" s="253" t="s">
        <v>2791</v>
      </c>
      <c r="N3722" s="132">
        <f>SUM(N3670:N3715)</f>
        <v>7295</v>
      </c>
      <c r="Q3722" s="143"/>
    </row>
    <row r="3723" spans="1:21">
      <c r="Q3723" s="133"/>
    </row>
    <row r="3724" spans="1:21" ht="15">
      <c r="A3724" s="218" t="s">
        <v>2792</v>
      </c>
      <c r="B3724" s="254"/>
      <c r="C3724" s="219"/>
      <c r="D3724" s="220"/>
      <c r="E3724" s="255"/>
      <c r="F3724" s="221" t="s">
        <v>2762</v>
      </c>
      <c r="G3724" s="222"/>
      <c r="H3724" s="223"/>
      <c r="I3724" s="224" t="s">
        <v>2784</v>
      </c>
      <c r="J3724" s="224" t="s">
        <v>2784</v>
      </c>
      <c r="K3724" s="94"/>
      <c r="L3724" s="10"/>
      <c r="M3724" s="225"/>
      <c r="N3724" s="222">
        <v>10</v>
      </c>
      <c r="P3724" s="4"/>
      <c r="Q3724" s="133"/>
      <c r="T3724" s="144"/>
      <c r="U3724" s="145"/>
    </row>
    <row r="3725" spans="1:21">
      <c r="A3725" s="252" t="s">
        <v>2793</v>
      </c>
      <c r="B3725" s="114"/>
      <c r="F3725" s="221" t="s">
        <v>2762</v>
      </c>
      <c r="G3725" s="222"/>
      <c r="H3725" s="223"/>
      <c r="I3725" s="224" t="s">
        <v>2784</v>
      </c>
      <c r="J3725" s="224" t="s">
        <v>2784</v>
      </c>
      <c r="K3725" s="51"/>
      <c r="N3725" s="132">
        <v>1</v>
      </c>
      <c r="P3725" s="4"/>
    </row>
    <row r="3726" spans="1:21">
      <c r="A3726" s="252" t="s">
        <v>2794</v>
      </c>
      <c r="B3726" s="114"/>
      <c r="F3726" s="221" t="s">
        <v>2762</v>
      </c>
      <c r="G3726" s="222"/>
      <c r="H3726" s="223"/>
      <c r="I3726" s="224" t="s">
        <v>2784</v>
      </c>
      <c r="J3726" s="224" t="s">
        <v>2784</v>
      </c>
      <c r="N3726" s="132">
        <v>4</v>
      </c>
      <c r="P3726" s="4"/>
    </row>
    <row r="3745" spans="4:4">
      <c r="D3745" s="206" t="s">
        <v>2795</v>
      </c>
    </row>
  </sheetData>
  <autoFilter ref="A1:U3726" xr:uid="{00000000-0009-0000-0000-000002000000}"/>
  <phoneticPr fontId="3" type="noConversion"/>
  <conditionalFormatting sqref="A512">
    <cfRule type="duplicateValues" dxfId="93" priority="53"/>
  </conditionalFormatting>
  <conditionalFormatting sqref="A514">
    <cfRule type="duplicateValues" dxfId="92" priority="52"/>
  </conditionalFormatting>
  <conditionalFormatting sqref="A515">
    <cfRule type="duplicateValues" dxfId="91" priority="51"/>
  </conditionalFormatting>
  <conditionalFormatting sqref="A516">
    <cfRule type="duplicateValues" dxfId="90" priority="50"/>
  </conditionalFormatting>
  <conditionalFormatting sqref="A517">
    <cfRule type="duplicateValues" dxfId="89" priority="49"/>
  </conditionalFormatting>
  <conditionalFormatting sqref="A2468:A2470">
    <cfRule type="duplicateValues" dxfId="88" priority="78"/>
  </conditionalFormatting>
  <conditionalFormatting sqref="A2471:A2473">
    <cfRule type="duplicateValues" dxfId="87" priority="8"/>
  </conditionalFormatting>
  <conditionalFormatting sqref="A2477:A2479">
    <cfRule type="duplicateValues" dxfId="86" priority="69"/>
  </conditionalFormatting>
  <conditionalFormatting sqref="A2486:A2488">
    <cfRule type="duplicateValues" dxfId="85" priority="77"/>
  </conditionalFormatting>
  <conditionalFormatting sqref="A2489:A2490">
    <cfRule type="duplicateValues" dxfId="84" priority="76"/>
  </conditionalFormatting>
  <conditionalFormatting sqref="A2501:A2503">
    <cfRule type="duplicateValues" dxfId="83" priority="75"/>
  </conditionalFormatting>
  <conditionalFormatting sqref="A2506 A2508:A2509">
    <cfRule type="duplicateValues" dxfId="82" priority="79"/>
  </conditionalFormatting>
  <conditionalFormatting sqref="A2507">
    <cfRule type="duplicateValues" dxfId="81" priority="13"/>
  </conditionalFormatting>
  <conditionalFormatting sqref="A2510:A2512">
    <cfRule type="duplicateValues" dxfId="80" priority="74"/>
  </conditionalFormatting>
  <conditionalFormatting sqref="A2513">
    <cfRule type="duplicateValues" dxfId="79" priority="73"/>
  </conditionalFormatting>
  <conditionalFormatting sqref="A2514:A2515">
    <cfRule type="duplicateValues" dxfId="78" priority="72"/>
  </conditionalFormatting>
  <conditionalFormatting sqref="A2516">
    <cfRule type="duplicateValues" dxfId="77" priority="71"/>
  </conditionalFormatting>
  <conditionalFormatting sqref="A2517">
    <cfRule type="duplicateValues" dxfId="76" priority="70"/>
  </conditionalFormatting>
  <conditionalFormatting sqref="A2518">
    <cfRule type="duplicateValues" dxfId="75" priority="68"/>
  </conditionalFormatting>
  <conditionalFormatting sqref="A2519">
    <cfRule type="duplicateValues" dxfId="74" priority="67"/>
  </conditionalFormatting>
  <conditionalFormatting sqref="A2522">
    <cfRule type="duplicateValues" dxfId="73" priority="66"/>
  </conditionalFormatting>
  <conditionalFormatting sqref="A2523">
    <cfRule type="duplicateValues" dxfId="72" priority="65"/>
  </conditionalFormatting>
  <conditionalFormatting sqref="A2524">
    <cfRule type="duplicateValues" dxfId="71" priority="64"/>
  </conditionalFormatting>
  <conditionalFormatting sqref="A2526">
    <cfRule type="duplicateValues" dxfId="70" priority="7"/>
  </conditionalFormatting>
  <conditionalFormatting sqref="A2527">
    <cfRule type="duplicateValues" dxfId="69" priority="6"/>
  </conditionalFormatting>
  <conditionalFormatting sqref="A2528">
    <cfRule type="duplicateValues" dxfId="68" priority="5"/>
  </conditionalFormatting>
  <conditionalFormatting sqref="A2531">
    <cfRule type="duplicateValues" dxfId="67" priority="63"/>
  </conditionalFormatting>
  <conditionalFormatting sqref="A2532">
    <cfRule type="duplicateValues" dxfId="66" priority="59"/>
  </conditionalFormatting>
  <conditionalFormatting sqref="A2533">
    <cfRule type="duplicateValues" dxfId="65" priority="62"/>
  </conditionalFormatting>
  <conditionalFormatting sqref="A2534">
    <cfRule type="duplicateValues" dxfId="64" priority="61"/>
  </conditionalFormatting>
  <conditionalFormatting sqref="A2535">
    <cfRule type="duplicateValues" dxfId="63" priority="60"/>
  </conditionalFormatting>
  <conditionalFormatting sqref="A2536">
    <cfRule type="duplicateValues" dxfId="62" priority="58"/>
  </conditionalFormatting>
  <conditionalFormatting sqref="A2538">
    <cfRule type="duplicateValues" dxfId="61" priority="57"/>
  </conditionalFormatting>
  <conditionalFormatting sqref="A2539">
    <cfRule type="duplicateValues" dxfId="60" priority="56"/>
  </conditionalFormatting>
  <conditionalFormatting sqref="A2540">
    <cfRule type="duplicateValues" dxfId="59" priority="55"/>
  </conditionalFormatting>
  <conditionalFormatting sqref="A2541">
    <cfRule type="duplicateValues" dxfId="58" priority="54"/>
  </conditionalFormatting>
  <conditionalFormatting sqref="A2543">
    <cfRule type="duplicateValues" dxfId="57" priority="48"/>
  </conditionalFormatting>
  <conditionalFormatting sqref="A2544">
    <cfRule type="duplicateValues" dxfId="56" priority="47"/>
  </conditionalFormatting>
  <conditionalFormatting sqref="A2545">
    <cfRule type="duplicateValues" dxfId="55" priority="46"/>
  </conditionalFormatting>
  <conditionalFormatting sqref="A2547">
    <cfRule type="duplicateValues" dxfId="54" priority="45"/>
  </conditionalFormatting>
  <conditionalFormatting sqref="A2548">
    <cfRule type="duplicateValues" dxfId="53" priority="44"/>
  </conditionalFormatting>
  <conditionalFormatting sqref="A2549">
    <cfRule type="duplicateValues" dxfId="52" priority="41"/>
  </conditionalFormatting>
  <conditionalFormatting sqref="A2550">
    <cfRule type="duplicateValues" dxfId="51" priority="43"/>
  </conditionalFormatting>
  <conditionalFormatting sqref="A2551">
    <cfRule type="duplicateValues" dxfId="50" priority="42"/>
  </conditionalFormatting>
  <conditionalFormatting sqref="A2553">
    <cfRule type="duplicateValues" dxfId="49" priority="38"/>
  </conditionalFormatting>
  <conditionalFormatting sqref="A2554">
    <cfRule type="duplicateValues" dxfId="48" priority="40"/>
  </conditionalFormatting>
  <conditionalFormatting sqref="A2555">
    <cfRule type="duplicateValues" dxfId="47" priority="39"/>
  </conditionalFormatting>
  <conditionalFormatting sqref="A2558">
    <cfRule type="duplicateValues" dxfId="46" priority="35"/>
  </conditionalFormatting>
  <conditionalFormatting sqref="A2559">
    <cfRule type="duplicateValues" dxfId="45" priority="37"/>
  </conditionalFormatting>
  <conditionalFormatting sqref="A2560">
    <cfRule type="duplicateValues" dxfId="44" priority="36"/>
  </conditionalFormatting>
  <conditionalFormatting sqref="A2564">
    <cfRule type="duplicateValues" dxfId="43" priority="32"/>
  </conditionalFormatting>
  <conditionalFormatting sqref="A2565">
    <cfRule type="duplicateValues" dxfId="42" priority="34"/>
  </conditionalFormatting>
  <conditionalFormatting sqref="A2566">
    <cfRule type="duplicateValues" dxfId="41" priority="33"/>
  </conditionalFormatting>
  <conditionalFormatting sqref="A2578">
    <cfRule type="duplicateValues" dxfId="40" priority="31"/>
  </conditionalFormatting>
  <conditionalFormatting sqref="A2579">
    <cfRule type="duplicateValues" dxfId="39" priority="28"/>
  </conditionalFormatting>
  <conditionalFormatting sqref="A2580">
    <cfRule type="duplicateValues" dxfId="38" priority="30"/>
  </conditionalFormatting>
  <conditionalFormatting sqref="A2581">
    <cfRule type="duplicateValues" dxfId="37" priority="29"/>
  </conditionalFormatting>
  <conditionalFormatting sqref="A2582">
    <cfRule type="duplicateValues" dxfId="36" priority="27"/>
  </conditionalFormatting>
  <conditionalFormatting sqref="A2587">
    <cfRule type="duplicateValues" dxfId="35" priority="25"/>
  </conditionalFormatting>
  <conditionalFormatting sqref="A2588">
    <cfRule type="duplicateValues" dxfId="34" priority="26"/>
  </conditionalFormatting>
  <conditionalFormatting sqref="A2592">
    <cfRule type="duplicateValues" dxfId="33" priority="23"/>
  </conditionalFormatting>
  <conditionalFormatting sqref="A2593">
    <cfRule type="duplicateValues" dxfId="32" priority="24"/>
  </conditionalFormatting>
  <conditionalFormatting sqref="A2595">
    <cfRule type="duplicateValues" dxfId="31" priority="21"/>
  </conditionalFormatting>
  <conditionalFormatting sqref="A2596">
    <cfRule type="duplicateValues" dxfId="30" priority="22"/>
  </conditionalFormatting>
  <conditionalFormatting sqref="A2597">
    <cfRule type="duplicateValues" dxfId="29" priority="19"/>
  </conditionalFormatting>
  <conditionalFormatting sqref="A2598">
    <cfRule type="duplicateValues" dxfId="28" priority="20"/>
  </conditionalFormatting>
  <conditionalFormatting sqref="A2600">
    <cfRule type="duplicateValues" dxfId="27" priority="1"/>
  </conditionalFormatting>
  <conditionalFormatting sqref="A2601">
    <cfRule type="duplicateValues" dxfId="26" priority="2"/>
  </conditionalFormatting>
  <conditionalFormatting sqref="A2612">
    <cfRule type="duplicateValues" dxfId="25" priority="17"/>
  </conditionalFormatting>
  <conditionalFormatting sqref="A2613">
    <cfRule type="duplicateValues" dxfId="24" priority="18"/>
  </conditionalFormatting>
  <conditionalFormatting sqref="A2618">
    <cfRule type="duplicateValues" dxfId="23" priority="15"/>
  </conditionalFormatting>
  <conditionalFormatting sqref="A2619">
    <cfRule type="duplicateValues" dxfId="22" priority="16"/>
  </conditionalFormatting>
  <conditionalFormatting sqref="A2623">
    <cfRule type="duplicateValues" dxfId="21" priority="14"/>
  </conditionalFormatting>
  <conditionalFormatting sqref="A2626">
    <cfRule type="duplicateValues" dxfId="20" priority="12"/>
  </conditionalFormatting>
  <conditionalFormatting sqref="A2629">
    <cfRule type="duplicateValues" dxfId="19" priority="11"/>
  </conditionalFormatting>
  <conditionalFormatting sqref="A2662">
    <cfRule type="duplicateValues" dxfId="18" priority="9"/>
  </conditionalFormatting>
  <conditionalFormatting sqref="A2663">
    <cfRule type="duplicateValues" dxfId="17" priority="10"/>
  </conditionalFormatting>
  <conditionalFormatting sqref="A2695">
    <cfRule type="duplicateValues" dxfId="16" priority="4"/>
  </conditionalFormatting>
  <conditionalFormatting sqref="A2704">
    <cfRule type="duplicateValues" dxfId="15" priority="3"/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36E15E4B-FBB6-4411-9FA2-3715D22F3B34}">
          <x14:formula1>
            <xm:f>'Data pick slip'!$B$1:$B$44</xm:f>
          </x14:formula1>
          <xm:sqref>A1825</xm:sqref>
        </x14:dataValidation>
        <x14:dataValidation type="list" allowBlank="1" showInputMessage="1" showErrorMessage="1" xr:uid="{93B147B2-8AD4-4DEA-ACB5-F092670EF367}">
          <x14:formula1>
            <xm:f>'Data pick slip'!$B$1:$B$72</xm:f>
          </x14:formula1>
          <xm:sqref>A1:A1824 A1826:A1048576</xm:sqref>
        </x14:dataValidation>
        <x14:dataValidation type="list" allowBlank="1" showInputMessage="1" showErrorMessage="1" xr:uid="{11F93683-01B5-4597-A58F-BC21471C0F1E}">
          <x14:formula1>
            <xm:f>'Data pick slip'!$E$1:$E$41</xm:f>
          </x14:formula1>
          <xm:sqref>F1:F1048576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0"/>
  <dimension ref="A1:N363"/>
  <sheetViews>
    <sheetView workbookViewId="0">
      <selection activeCell="C14" sqref="C14"/>
    </sheetView>
  </sheetViews>
  <sheetFormatPr defaultColWidth="9" defaultRowHeight="13.5"/>
  <cols>
    <col min="1" max="1" width="19.75" customWidth="1"/>
    <col min="2" max="2" width="15.75" style="256" customWidth="1"/>
    <col min="3" max="3" width="26.625" customWidth="1"/>
    <col min="4" max="4" width="17.375" bestFit="1" customWidth="1"/>
    <col min="5" max="5" width="13.75" bestFit="1" customWidth="1"/>
    <col min="6" max="6" width="33.5" style="17" bestFit="1" customWidth="1"/>
    <col min="7" max="9" width="33.375" bestFit="1" customWidth="1"/>
  </cols>
  <sheetData>
    <row r="1" spans="1:14">
      <c r="B1"/>
    </row>
    <row r="2" spans="1:14">
      <c r="A2" s="262" t="s">
        <v>3533</v>
      </c>
      <c r="B2" t="s">
        <v>3534</v>
      </c>
    </row>
    <row r="3" spans="1:14">
      <c r="A3" s="262" t="s">
        <v>3535</v>
      </c>
      <c r="B3" s="330">
        <v>2023</v>
      </c>
    </row>
    <row r="4" spans="1:14">
      <c r="A4" s="262" t="s">
        <v>3536</v>
      </c>
      <c r="B4" t="s">
        <v>231</v>
      </c>
    </row>
    <row r="6" spans="1:14">
      <c r="B6"/>
      <c r="E6" s="262" t="s">
        <v>3537</v>
      </c>
    </row>
    <row r="7" spans="1:14">
      <c r="A7" s="262" t="s">
        <v>3538</v>
      </c>
      <c r="B7" s="262" t="s">
        <v>3539</v>
      </c>
      <c r="C7" s="262" t="s">
        <v>3540</v>
      </c>
      <c r="D7" s="262" t="s">
        <v>3541</v>
      </c>
      <c r="E7" t="s">
        <v>3542</v>
      </c>
      <c r="F7" s="17" t="s">
        <v>3543</v>
      </c>
      <c r="H7" s="16"/>
      <c r="I7" s="16"/>
      <c r="J7" s="16"/>
      <c r="K7" s="16"/>
      <c r="L7" s="16"/>
      <c r="M7" s="16"/>
      <c r="N7" s="16"/>
    </row>
    <row r="8" spans="1:14">
      <c r="A8">
        <v>111222</v>
      </c>
      <c r="B8" s="256">
        <v>44964</v>
      </c>
      <c r="C8" t="s">
        <v>343</v>
      </c>
      <c r="D8" t="s">
        <v>4314</v>
      </c>
      <c r="E8">
        <v>1</v>
      </c>
      <c r="F8" s="17">
        <v>17344670</v>
      </c>
    </row>
    <row r="9" spans="1:14">
      <c r="A9">
        <v>111247</v>
      </c>
      <c r="B9" s="256">
        <v>44984</v>
      </c>
      <c r="C9" t="s">
        <v>149</v>
      </c>
      <c r="D9" t="s">
        <v>4315</v>
      </c>
      <c r="E9">
        <v>4</v>
      </c>
      <c r="F9" s="17">
        <v>56947924</v>
      </c>
    </row>
    <row r="10" spans="1:14">
      <c r="A10">
        <v>111252</v>
      </c>
      <c r="B10" s="256">
        <v>44988</v>
      </c>
      <c r="C10" t="s">
        <v>149</v>
      </c>
      <c r="D10" t="s">
        <v>148</v>
      </c>
      <c r="E10">
        <v>4</v>
      </c>
      <c r="F10" s="17">
        <v>58914320</v>
      </c>
    </row>
    <row r="11" spans="1:14">
      <c r="A11">
        <v>111253</v>
      </c>
      <c r="B11" s="256">
        <v>44991</v>
      </c>
      <c r="C11" t="s">
        <v>343</v>
      </c>
      <c r="D11" t="s">
        <v>76</v>
      </c>
      <c r="E11">
        <v>10</v>
      </c>
      <c r="F11" s="17">
        <v>100167020</v>
      </c>
    </row>
    <row r="12" spans="1:14">
      <c r="A12">
        <v>111254</v>
      </c>
      <c r="B12" s="256">
        <v>44991</v>
      </c>
      <c r="C12" t="s">
        <v>17</v>
      </c>
      <c r="D12" t="s">
        <v>76</v>
      </c>
      <c r="E12">
        <v>5</v>
      </c>
      <c r="F12" s="17">
        <v>28495965</v>
      </c>
    </row>
    <row r="13" spans="1:14">
      <c r="A13">
        <v>111258</v>
      </c>
      <c r="B13" s="256">
        <v>44995</v>
      </c>
      <c r="C13" t="s">
        <v>149</v>
      </c>
      <c r="D13" t="s">
        <v>148</v>
      </c>
      <c r="E13">
        <v>2</v>
      </c>
      <c r="F13" s="17">
        <v>29457160</v>
      </c>
    </row>
    <row r="14" spans="1:14">
      <c r="A14">
        <v>111277</v>
      </c>
      <c r="B14" s="256">
        <v>45016</v>
      </c>
      <c r="C14" t="s">
        <v>17</v>
      </c>
      <c r="D14" t="s">
        <v>76</v>
      </c>
      <c r="E14">
        <v>10</v>
      </c>
      <c r="F14" s="17">
        <v>60491050</v>
      </c>
    </row>
    <row r="15" spans="1:14">
      <c r="A15">
        <v>111278</v>
      </c>
      <c r="B15" s="256">
        <v>45016</v>
      </c>
      <c r="C15" t="s">
        <v>343</v>
      </c>
      <c r="D15" t="s">
        <v>76</v>
      </c>
      <c r="E15">
        <v>10</v>
      </c>
      <c r="F15" s="17">
        <v>100167020</v>
      </c>
    </row>
    <row r="16" spans="1:14">
      <c r="A16">
        <v>111309</v>
      </c>
      <c r="B16" s="256">
        <v>45057</v>
      </c>
      <c r="C16" t="s">
        <v>17</v>
      </c>
      <c r="D16" t="s">
        <v>76</v>
      </c>
      <c r="E16">
        <v>10</v>
      </c>
      <c r="F16" s="17">
        <v>58417346</v>
      </c>
    </row>
    <row r="17" spans="1:6">
      <c r="A17">
        <v>111310</v>
      </c>
      <c r="B17" s="256">
        <v>45057</v>
      </c>
      <c r="C17" t="s">
        <v>343</v>
      </c>
      <c r="D17" t="s">
        <v>76</v>
      </c>
      <c r="E17">
        <v>10</v>
      </c>
      <c r="F17" s="17">
        <v>100167020</v>
      </c>
    </row>
    <row r="18" spans="1:6">
      <c r="A18">
        <v>111341</v>
      </c>
      <c r="B18" s="256">
        <v>45093</v>
      </c>
      <c r="C18" t="s">
        <v>17</v>
      </c>
      <c r="D18" t="s">
        <v>76</v>
      </c>
      <c r="E18">
        <v>5</v>
      </c>
      <c r="F18" s="17">
        <v>29195788</v>
      </c>
    </row>
    <row r="19" spans="1:6">
      <c r="B19"/>
      <c r="C19" t="s">
        <v>4316</v>
      </c>
      <c r="D19" t="s">
        <v>76</v>
      </c>
      <c r="E19">
        <v>0</v>
      </c>
      <c r="F19" s="17">
        <v>130000</v>
      </c>
    </row>
    <row r="20" spans="1:6">
      <c r="A20">
        <v>111342</v>
      </c>
      <c r="B20" s="256">
        <v>45093</v>
      </c>
      <c r="C20" t="s">
        <v>343</v>
      </c>
      <c r="D20" t="s">
        <v>76</v>
      </c>
      <c r="E20">
        <v>5</v>
      </c>
      <c r="F20" s="17">
        <v>50083510</v>
      </c>
    </row>
    <row r="21" spans="1:6">
      <c r="A21">
        <v>111361</v>
      </c>
      <c r="B21" s="256">
        <v>45119</v>
      </c>
      <c r="C21" t="s">
        <v>17</v>
      </c>
      <c r="D21" t="s">
        <v>76</v>
      </c>
      <c r="E21">
        <v>5</v>
      </c>
      <c r="F21" s="17">
        <v>29156413</v>
      </c>
    </row>
    <row r="22" spans="1:6">
      <c r="B22"/>
      <c r="C22" t="s">
        <v>4316</v>
      </c>
      <c r="D22" t="s">
        <v>76</v>
      </c>
      <c r="E22">
        <v>0</v>
      </c>
      <c r="F22" s="17">
        <v>200000</v>
      </c>
    </row>
    <row r="23" spans="1:6">
      <c r="A23">
        <v>111362</v>
      </c>
      <c r="B23" s="256">
        <v>45119</v>
      </c>
      <c r="C23" t="s">
        <v>343</v>
      </c>
      <c r="D23" t="s">
        <v>76</v>
      </c>
      <c r="E23">
        <v>5</v>
      </c>
      <c r="F23" s="17">
        <v>50757030</v>
      </c>
    </row>
    <row r="24" spans="1:6">
      <c r="A24">
        <v>111390</v>
      </c>
      <c r="B24" s="256">
        <v>45146</v>
      </c>
      <c r="C24" t="s">
        <v>3546</v>
      </c>
      <c r="D24" t="s">
        <v>3582</v>
      </c>
      <c r="E24">
        <v>1</v>
      </c>
      <c r="F24" s="17">
        <v>8255220</v>
      </c>
    </row>
    <row r="25" spans="1:6">
      <c r="A25">
        <v>111421</v>
      </c>
      <c r="B25" s="256">
        <v>45180</v>
      </c>
      <c r="C25" t="s">
        <v>17</v>
      </c>
      <c r="D25" t="s">
        <v>76</v>
      </c>
      <c r="E25">
        <v>5</v>
      </c>
      <c r="F25" s="17">
        <v>28076530</v>
      </c>
    </row>
    <row r="26" spans="1:6">
      <c r="A26">
        <v>111440</v>
      </c>
      <c r="B26" s="256">
        <v>45194</v>
      </c>
      <c r="C26" t="s">
        <v>4163</v>
      </c>
      <c r="D26" t="s">
        <v>4317</v>
      </c>
      <c r="E26">
        <v>1</v>
      </c>
      <c r="F26" s="17">
        <v>6447722</v>
      </c>
    </row>
    <row r="27" spans="1:6">
      <c r="A27">
        <v>111452</v>
      </c>
      <c r="B27" s="256">
        <v>45217</v>
      </c>
      <c r="C27" t="s">
        <v>343</v>
      </c>
      <c r="D27" t="s">
        <v>76</v>
      </c>
      <c r="E27">
        <v>5</v>
      </c>
      <c r="F27" s="17">
        <v>49993270</v>
      </c>
    </row>
    <row r="28" spans="1:6">
      <c r="A28">
        <v>111465</v>
      </c>
      <c r="B28" s="256">
        <v>45233</v>
      </c>
      <c r="C28" t="s">
        <v>17</v>
      </c>
      <c r="D28" t="s">
        <v>76</v>
      </c>
      <c r="E28">
        <v>5</v>
      </c>
      <c r="F28" s="17">
        <v>30626085</v>
      </c>
    </row>
    <row r="29" spans="1:6">
      <c r="A29">
        <v>111464</v>
      </c>
      <c r="B29" s="256">
        <v>45217</v>
      </c>
      <c r="C29" t="s">
        <v>343</v>
      </c>
      <c r="D29" t="s">
        <v>76</v>
      </c>
      <c r="E29">
        <v>4</v>
      </c>
      <c r="F29" s="17">
        <v>39440210</v>
      </c>
    </row>
    <row r="30" spans="1:6">
      <c r="A30">
        <v>111482</v>
      </c>
      <c r="B30" s="256">
        <v>45217</v>
      </c>
      <c r="C30" t="s">
        <v>343</v>
      </c>
      <c r="D30" t="s">
        <v>76</v>
      </c>
      <c r="E30">
        <v>1</v>
      </c>
      <c r="F30" s="17">
        <v>12298832</v>
      </c>
    </row>
    <row r="31" spans="1:6">
      <c r="A31">
        <v>111487</v>
      </c>
      <c r="B31" s="256">
        <v>45257</v>
      </c>
      <c r="C31" t="s">
        <v>3546</v>
      </c>
      <c r="D31" t="s">
        <v>4313</v>
      </c>
      <c r="E31">
        <v>1</v>
      </c>
      <c r="F31" s="17">
        <v>5910488</v>
      </c>
    </row>
    <row r="32" spans="1:6">
      <c r="A32">
        <v>111489</v>
      </c>
      <c r="B32" s="256">
        <v>45261</v>
      </c>
      <c r="C32" t="s">
        <v>3546</v>
      </c>
      <c r="D32" t="s">
        <v>76</v>
      </c>
      <c r="E32">
        <v>2</v>
      </c>
      <c r="F32" s="17">
        <v>11500954</v>
      </c>
    </row>
    <row r="33" spans="1:6">
      <c r="A33">
        <v>111501</v>
      </c>
      <c r="B33" s="256">
        <v>45268</v>
      </c>
      <c r="C33" t="s">
        <v>17</v>
      </c>
      <c r="D33" t="s">
        <v>4320</v>
      </c>
      <c r="E33">
        <v>2</v>
      </c>
      <c r="F33" s="17">
        <v>11319635</v>
      </c>
    </row>
    <row r="34" spans="1:6">
      <c r="A34">
        <v>111503</v>
      </c>
      <c r="B34" s="256">
        <v>45272</v>
      </c>
      <c r="C34" t="s">
        <v>343</v>
      </c>
      <c r="D34" t="s">
        <v>4321</v>
      </c>
      <c r="E34">
        <v>2</v>
      </c>
      <c r="F34" s="17">
        <v>24424576</v>
      </c>
    </row>
    <row r="35" spans="1:6">
      <c r="A35" t="s">
        <v>214</v>
      </c>
      <c r="B35"/>
      <c r="E35">
        <v>115</v>
      </c>
      <c r="F35" s="17">
        <v>998385758</v>
      </c>
    </row>
    <row r="36" spans="1:6">
      <c r="B36"/>
      <c r="F36"/>
    </row>
    <row r="37" spans="1:6">
      <c r="B37"/>
      <c r="F37"/>
    </row>
    <row r="38" spans="1:6">
      <c r="B38"/>
      <c r="F38"/>
    </row>
    <row r="39" spans="1:6">
      <c r="B39"/>
      <c r="F39"/>
    </row>
    <row r="40" spans="1:6">
      <c r="B40"/>
      <c r="F40"/>
    </row>
    <row r="41" spans="1:6">
      <c r="B41"/>
      <c r="F41"/>
    </row>
    <row r="42" spans="1:6">
      <c r="B42"/>
      <c r="F42"/>
    </row>
    <row r="43" spans="1:6">
      <c r="B43"/>
      <c r="F43"/>
    </row>
    <row r="44" spans="1:6">
      <c r="B44"/>
      <c r="F44"/>
    </row>
    <row r="45" spans="1:6">
      <c r="B45"/>
      <c r="F45"/>
    </row>
    <row r="46" spans="1:6">
      <c r="B46"/>
      <c r="F46"/>
    </row>
    <row r="47" spans="1:6">
      <c r="B47"/>
      <c r="F47"/>
    </row>
    <row r="48" spans="1:6">
      <c r="B48"/>
      <c r="F48"/>
    </row>
    <row r="49" spans="2:6">
      <c r="B49"/>
      <c r="F49"/>
    </row>
    <row r="50" spans="2:6">
      <c r="B50"/>
      <c r="F50"/>
    </row>
    <row r="51" spans="2:6">
      <c r="B51"/>
      <c r="F51"/>
    </row>
    <row r="52" spans="2:6">
      <c r="B52"/>
      <c r="F52"/>
    </row>
    <row r="53" spans="2:6">
      <c r="B53"/>
      <c r="F53"/>
    </row>
    <row r="54" spans="2:6">
      <c r="B54"/>
      <c r="F54"/>
    </row>
    <row r="55" spans="2:6">
      <c r="B55"/>
      <c r="F55"/>
    </row>
    <row r="56" spans="2:6">
      <c r="B56"/>
      <c r="F56"/>
    </row>
    <row r="57" spans="2:6">
      <c r="B57"/>
      <c r="F57"/>
    </row>
    <row r="58" spans="2:6">
      <c r="B58"/>
      <c r="F58"/>
    </row>
    <row r="59" spans="2:6">
      <c r="B59"/>
      <c r="F59"/>
    </row>
    <row r="60" spans="2:6">
      <c r="B60"/>
      <c r="F60"/>
    </row>
    <row r="61" spans="2:6">
      <c r="B61"/>
      <c r="F61"/>
    </row>
    <row r="62" spans="2:6">
      <c r="B62"/>
      <c r="F62"/>
    </row>
    <row r="63" spans="2:6">
      <c r="B63"/>
      <c r="F63"/>
    </row>
    <row r="64" spans="2:6">
      <c r="B64"/>
      <c r="F64"/>
    </row>
    <row r="65" spans="2:6">
      <c r="B65"/>
      <c r="F65"/>
    </row>
    <row r="66" spans="2:6">
      <c r="B66"/>
      <c r="F66"/>
    </row>
    <row r="67" spans="2:6">
      <c r="B67"/>
      <c r="F67"/>
    </row>
    <row r="68" spans="2:6">
      <c r="B68"/>
      <c r="F68"/>
    </row>
    <row r="69" spans="2:6">
      <c r="B69"/>
      <c r="F69"/>
    </row>
    <row r="70" spans="2:6">
      <c r="B70"/>
      <c r="F70"/>
    </row>
    <row r="71" spans="2:6">
      <c r="B71"/>
      <c r="F71"/>
    </row>
    <row r="72" spans="2:6">
      <c r="B72"/>
      <c r="F72"/>
    </row>
    <row r="73" spans="2:6">
      <c r="B73"/>
      <c r="F73"/>
    </row>
    <row r="74" spans="2:6">
      <c r="B74"/>
      <c r="F74"/>
    </row>
    <row r="75" spans="2:6">
      <c r="B75"/>
      <c r="F75"/>
    </row>
    <row r="76" spans="2:6">
      <c r="B76"/>
      <c r="F76"/>
    </row>
    <row r="77" spans="2:6">
      <c r="B77"/>
      <c r="F77"/>
    </row>
    <row r="78" spans="2:6">
      <c r="B78"/>
      <c r="F78"/>
    </row>
    <row r="79" spans="2:6">
      <c r="B79"/>
      <c r="F79"/>
    </row>
    <row r="80" spans="2:6">
      <c r="B80"/>
      <c r="F80"/>
    </row>
    <row r="81" spans="2:6">
      <c r="B81"/>
      <c r="F81"/>
    </row>
    <row r="82" spans="2:6">
      <c r="B82"/>
      <c r="F82"/>
    </row>
    <row r="83" spans="2:6">
      <c r="B83"/>
      <c r="F83"/>
    </row>
    <row r="84" spans="2:6">
      <c r="B84"/>
      <c r="F84"/>
    </row>
    <row r="85" spans="2:6">
      <c r="B85"/>
      <c r="F85"/>
    </row>
    <row r="86" spans="2:6">
      <c r="B86"/>
      <c r="F86"/>
    </row>
    <row r="87" spans="2:6">
      <c r="B87"/>
      <c r="F87"/>
    </row>
    <row r="88" spans="2:6">
      <c r="B88"/>
      <c r="F88"/>
    </row>
    <row r="89" spans="2:6">
      <c r="B89"/>
      <c r="F89"/>
    </row>
    <row r="90" spans="2:6">
      <c r="B90"/>
      <c r="F90"/>
    </row>
    <row r="91" spans="2:6">
      <c r="B91"/>
      <c r="F91"/>
    </row>
    <row r="92" spans="2:6">
      <c r="B92"/>
      <c r="F92"/>
    </row>
    <row r="93" spans="2:6">
      <c r="B93"/>
      <c r="F93"/>
    </row>
    <row r="94" spans="2:6">
      <c r="B94"/>
      <c r="F94"/>
    </row>
    <row r="95" spans="2:6">
      <c r="B95"/>
      <c r="F95"/>
    </row>
    <row r="96" spans="2:6">
      <c r="B96"/>
      <c r="F96"/>
    </row>
    <row r="97" spans="2:6">
      <c r="B97"/>
      <c r="F97"/>
    </row>
    <row r="98" spans="2:6">
      <c r="B98"/>
      <c r="F98"/>
    </row>
    <row r="99" spans="2:6">
      <c r="B99"/>
      <c r="F99"/>
    </row>
    <row r="100" spans="2:6">
      <c r="B100"/>
      <c r="F100"/>
    </row>
    <row r="101" spans="2:6">
      <c r="B101"/>
      <c r="F101"/>
    </row>
    <row r="102" spans="2:6">
      <c r="B102"/>
      <c r="F102"/>
    </row>
    <row r="103" spans="2:6">
      <c r="B103"/>
      <c r="F103"/>
    </row>
    <row r="104" spans="2:6">
      <c r="B104"/>
      <c r="F104"/>
    </row>
    <row r="105" spans="2:6">
      <c r="B105"/>
      <c r="F105"/>
    </row>
    <row r="106" spans="2:6">
      <c r="B106"/>
      <c r="F106"/>
    </row>
    <row r="107" spans="2:6">
      <c r="B107"/>
      <c r="F107"/>
    </row>
    <row r="108" spans="2:6">
      <c r="B108"/>
      <c r="F108"/>
    </row>
    <row r="109" spans="2:6">
      <c r="B109"/>
      <c r="F109"/>
    </row>
    <row r="110" spans="2:6">
      <c r="B110"/>
      <c r="F110"/>
    </row>
    <row r="111" spans="2:6">
      <c r="B111"/>
      <c r="F111"/>
    </row>
    <row r="112" spans="2:6">
      <c r="B112"/>
      <c r="F112"/>
    </row>
    <row r="113" spans="2:6">
      <c r="B113"/>
      <c r="F113"/>
    </row>
    <row r="114" spans="2:6">
      <c r="B114"/>
      <c r="F114"/>
    </row>
    <row r="115" spans="2:6">
      <c r="B115"/>
      <c r="F115"/>
    </row>
    <row r="116" spans="2:6">
      <c r="B116"/>
      <c r="F116"/>
    </row>
    <row r="117" spans="2:6">
      <c r="B117"/>
      <c r="F117"/>
    </row>
    <row r="118" spans="2:6">
      <c r="B118"/>
      <c r="F118"/>
    </row>
    <row r="119" spans="2:6">
      <c r="B119"/>
      <c r="F119"/>
    </row>
    <row r="120" spans="2:6">
      <c r="B120"/>
      <c r="F120"/>
    </row>
    <row r="121" spans="2:6">
      <c r="B121"/>
      <c r="F121"/>
    </row>
    <row r="122" spans="2:6">
      <c r="B122"/>
      <c r="F122"/>
    </row>
    <row r="123" spans="2:6">
      <c r="B123"/>
      <c r="F123"/>
    </row>
    <row r="124" spans="2:6">
      <c r="B124"/>
      <c r="F124"/>
    </row>
    <row r="125" spans="2:6">
      <c r="B125"/>
      <c r="F125"/>
    </row>
    <row r="126" spans="2:6">
      <c r="B126"/>
      <c r="F126"/>
    </row>
    <row r="127" spans="2:6">
      <c r="B127"/>
      <c r="F127"/>
    </row>
    <row r="128" spans="2:6">
      <c r="B128"/>
      <c r="F128"/>
    </row>
    <row r="129" spans="2:6">
      <c r="B129"/>
      <c r="F129"/>
    </row>
    <row r="130" spans="2:6">
      <c r="B130"/>
      <c r="F130"/>
    </row>
    <row r="131" spans="2:6">
      <c r="B131"/>
      <c r="F131"/>
    </row>
    <row r="132" spans="2:6">
      <c r="B132"/>
      <c r="F132"/>
    </row>
    <row r="133" spans="2:6">
      <c r="B133"/>
      <c r="F133"/>
    </row>
    <row r="134" spans="2:6">
      <c r="B134"/>
      <c r="F134"/>
    </row>
    <row r="135" spans="2:6">
      <c r="B135"/>
      <c r="F135"/>
    </row>
    <row r="136" spans="2:6">
      <c r="B136"/>
      <c r="F136"/>
    </row>
    <row r="137" spans="2:6">
      <c r="B137"/>
      <c r="F137"/>
    </row>
    <row r="138" spans="2:6">
      <c r="B138"/>
      <c r="F138"/>
    </row>
    <row r="139" spans="2:6">
      <c r="B139"/>
      <c r="F139"/>
    </row>
    <row r="140" spans="2:6">
      <c r="B140"/>
      <c r="F140"/>
    </row>
    <row r="141" spans="2:6">
      <c r="B141"/>
      <c r="F141"/>
    </row>
    <row r="142" spans="2:6">
      <c r="B142"/>
      <c r="F142"/>
    </row>
    <row r="143" spans="2:6">
      <c r="B143"/>
      <c r="F143"/>
    </row>
    <row r="144" spans="2:6">
      <c r="B144"/>
      <c r="F144"/>
    </row>
    <row r="145" spans="2:6">
      <c r="B145"/>
      <c r="F145"/>
    </row>
    <row r="146" spans="2:6">
      <c r="B146"/>
      <c r="F146"/>
    </row>
    <row r="147" spans="2:6">
      <c r="B147"/>
      <c r="F147"/>
    </row>
    <row r="148" spans="2:6">
      <c r="B148"/>
      <c r="F148"/>
    </row>
    <row r="149" spans="2:6">
      <c r="B149"/>
      <c r="F149"/>
    </row>
    <row r="150" spans="2:6">
      <c r="B150"/>
      <c r="F150"/>
    </row>
    <row r="151" spans="2:6">
      <c r="B151"/>
      <c r="F151"/>
    </row>
    <row r="152" spans="2:6">
      <c r="B152"/>
      <c r="F152"/>
    </row>
    <row r="153" spans="2:6">
      <c r="B153"/>
      <c r="F153"/>
    </row>
    <row r="154" spans="2:6">
      <c r="B154"/>
      <c r="F154"/>
    </row>
    <row r="155" spans="2:6">
      <c r="B155"/>
      <c r="F155"/>
    </row>
    <row r="156" spans="2:6">
      <c r="B156"/>
      <c r="F156"/>
    </row>
    <row r="157" spans="2:6">
      <c r="B157"/>
      <c r="F157"/>
    </row>
    <row r="158" spans="2:6">
      <c r="B158"/>
      <c r="F158"/>
    </row>
    <row r="159" spans="2:6">
      <c r="B159"/>
      <c r="F159"/>
    </row>
    <row r="160" spans="2:6">
      <c r="B160"/>
      <c r="F160"/>
    </row>
    <row r="161" spans="2:6">
      <c r="B161"/>
      <c r="F161"/>
    </row>
    <row r="162" spans="2:6">
      <c r="B162"/>
      <c r="F162"/>
    </row>
    <row r="163" spans="2:6">
      <c r="B163"/>
      <c r="F163"/>
    </row>
    <row r="164" spans="2:6">
      <c r="B164"/>
      <c r="F164"/>
    </row>
    <row r="165" spans="2:6">
      <c r="B165"/>
      <c r="F165"/>
    </row>
    <row r="166" spans="2:6">
      <c r="B166"/>
      <c r="F166"/>
    </row>
    <row r="167" spans="2:6">
      <c r="B167"/>
      <c r="F167"/>
    </row>
    <row r="168" spans="2:6">
      <c r="B168"/>
      <c r="F168"/>
    </row>
    <row r="169" spans="2:6">
      <c r="B169"/>
      <c r="F169"/>
    </row>
    <row r="170" spans="2:6">
      <c r="B170"/>
      <c r="F170"/>
    </row>
    <row r="171" spans="2:6">
      <c r="B171"/>
      <c r="F171"/>
    </row>
    <row r="172" spans="2:6">
      <c r="B172"/>
      <c r="F172"/>
    </row>
    <row r="173" spans="2:6">
      <c r="B173"/>
      <c r="F173"/>
    </row>
    <row r="174" spans="2:6">
      <c r="B174"/>
      <c r="F174"/>
    </row>
    <row r="175" spans="2:6">
      <c r="B175"/>
      <c r="F175"/>
    </row>
    <row r="176" spans="2:6">
      <c r="B176"/>
      <c r="F176"/>
    </row>
    <row r="177" spans="2:6">
      <c r="B177"/>
      <c r="F177"/>
    </row>
    <row r="178" spans="2:6">
      <c r="B178"/>
      <c r="F178"/>
    </row>
    <row r="179" spans="2:6">
      <c r="B179"/>
      <c r="F179"/>
    </row>
    <row r="180" spans="2:6">
      <c r="B180"/>
      <c r="F180"/>
    </row>
    <row r="181" spans="2:6">
      <c r="B181"/>
      <c r="F181"/>
    </row>
    <row r="182" spans="2:6">
      <c r="B182"/>
      <c r="F182"/>
    </row>
    <row r="183" spans="2:6">
      <c r="B183"/>
      <c r="F183"/>
    </row>
    <row r="184" spans="2:6">
      <c r="B184"/>
      <c r="F184"/>
    </row>
    <row r="185" spans="2:6">
      <c r="B185"/>
      <c r="F185"/>
    </row>
    <row r="186" spans="2:6">
      <c r="B186"/>
      <c r="F186"/>
    </row>
    <row r="187" spans="2:6">
      <c r="B187"/>
      <c r="F187"/>
    </row>
    <row r="188" spans="2:6">
      <c r="B188"/>
      <c r="F188"/>
    </row>
    <row r="189" spans="2:6">
      <c r="B189"/>
      <c r="F189"/>
    </row>
    <row r="190" spans="2:6">
      <c r="B190"/>
      <c r="F190"/>
    </row>
    <row r="191" spans="2:6">
      <c r="B191"/>
      <c r="F191"/>
    </row>
    <row r="192" spans="2:6">
      <c r="B192"/>
      <c r="F192"/>
    </row>
    <row r="193" spans="2:6">
      <c r="B193"/>
      <c r="F193"/>
    </row>
    <row r="194" spans="2:6">
      <c r="B194"/>
      <c r="F194"/>
    </row>
    <row r="195" spans="2:6">
      <c r="B195"/>
      <c r="F195"/>
    </row>
    <row r="196" spans="2:6">
      <c r="B196"/>
      <c r="F196"/>
    </row>
    <row r="197" spans="2:6">
      <c r="B197"/>
      <c r="F197"/>
    </row>
    <row r="198" spans="2:6">
      <c r="B198"/>
      <c r="F198"/>
    </row>
    <row r="199" spans="2:6">
      <c r="B199"/>
      <c r="F199"/>
    </row>
    <row r="200" spans="2:6">
      <c r="B200"/>
      <c r="F200"/>
    </row>
    <row r="201" spans="2:6">
      <c r="B201"/>
      <c r="F201"/>
    </row>
    <row r="202" spans="2:6">
      <c r="B202"/>
      <c r="F202"/>
    </row>
    <row r="203" spans="2:6">
      <c r="B203"/>
      <c r="F203"/>
    </row>
    <row r="204" spans="2:6">
      <c r="B204"/>
      <c r="F204"/>
    </row>
    <row r="205" spans="2:6">
      <c r="B205"/>
      <c r="F205"/>
    </row>
    <row r="206" spans="2:6">
      <c r="B206"/>
      <c r="F206"/>
    </row>
    <row r="207" spans="2:6">
      <c r="B207"/>
      <c r="F207"/>
    </row>
    <row r="208" spans="2:6">
      <c r="B208"/>
      <c r="F208"/>
    </row>
    <row r="209" spans="2:6">
      <c r="B209"/>
      <c r="F209"/>
    </row>
    <row r="210" spans="2:6">
      <c r="B210"/>
      <c r="F210"/>
    </row>
    <row r="211" spans="2:6">
      <c r="B211"/>
      <c r="F211"/>
    </row>
    <row r="212" spans="2:6">
      <c r="B212"/>
      <c r="F212"/>
    </row>
    <row r="213" spans="2:6">
      <c r="B213"/>
      <c r="F213"/>
    </row>
    <row r="214" spans="2:6">
      <c r="B214"/>
      <c r="F214"/>
    </row>
    <row r="215" spans="2:6">
      <c r="B215"/>
      <c r="F215"/>
    </row>
    <row r="216" spans="2:6">
      <c r="B216"/>
      <c r="F216"/>
    </row>
    <row r="217" spans="2:6">
      <c r="B217"/>
      <c r="F217"/>
    </row>
    <row r="218" spans="2:6">
      <c r="B218"/>
      <c r="F218"/>
    </row>
    <row r="219" spans="2:6">
      <c r="B219"/>
      <c r="F219"/>
    </row>
    <row r="220" spans="2:6">
      <c r="B220"/>
      <c r="F220"/>
    </row>
    <row r="221" spans="2:6">
      <c r="B221"/>
      <c r="F221"/>
    </row>
    <row r="222" spans="2:6">
      <c r="B222"/>
      <c r="F222"/>
    </row>
    <row r="223" spans="2:6">
      <c r="B223"/>
      <c r="F223"/>
    </row>
    <row r="224" spans="2:6">
      <c r="B224"/>
      <c r="F224"/>
    </row>
    <row r="225" spans="2:6">
      <c r="B225"/>
      <c r="F225"/>
    </row>
    <row r="226" spans="2:6">
      <c r="B226"/>
      <c r="F226"/>
    </row>
    <row r="227" spans="2:6">
      <c r="B227"/>
      <c r="F227"/>
    </row>
    <row r="228" spans="2:6">
      <c r="B228"/>
      <c r="F228"/>
    </row>
    <row r="229" spans="2:6">
      <c r="B229"/>
      <c r="F229"/>
    </row>
    <row r="230" spans="2:6">
      <c r="B230"/>
      <c r="F230"/>
    </row>
    <row r="231" spans="2:6">
      <c r="B231"/>
      <c r="F231"/>
    </row>
    <row r="232" spans="2:6">
      <c r="B232"/>
      <c r="F232"/>
    </row>
    <row r="233" spans="2:6">
      <c r="B233"/>
      <c r="F233"/>
    </row>
    <row r="234" spans="2:6">
      <c r="B234"/>
      <c r="F234"/>
    </row>
    <row r="235" spans="2:6">
      <c r="B235"/>
      <c r="F235"/>
    </row>
    <row r="236" spans="2:6">
      <c r="B236"/>
      <c r="F236"/>
    </row>
    <row r="237" spans="2:6">
      <c r="B237"/>
      <c r="F237"/>
    </row>
    <row r="238" spans="2:6">
      <c r="B238"/>
      <c r="F238"/>
    </row>
    <row r="239" spans="2:6">
      <c r="B239"/>
      <c r="F239"/>
    </row>
    <row r="240" spans="2:6">
      <c r="B240"/>
      <c r="F240"/>
    </row>
    <row r="241" spans="2:6">
      <c r="B241"/>
      <c r="F241"/>
    </row>
    <row r="242" spans="2:6">
      <c r="B242"/>
      <c r="F242"/>
    </row>
    <row r="243" spans="2:6">
      <c r="B243"/>
      <c r="F243"/>
    </row>
    <row r="244" spans="2:6">
      <c r="B244"/>
      <c r="F244"/>
    </row>
    <row r="245" spans="2:6">
      <c r="B245"/>
      <c r="F245"/>
    </row>
    <row r="246" spans="2:6">
      <c r="B246"/>
      <c r="F246"/>
    </row>
    <row r="247" spans="2:6">
      <c r="B247"/>
      <c r="F247"/>
    </row>
    <row r="248" spans="2:6">
      <c r="B248"/>
      <c r="F248"/>
    </row>
    <row r="249" spans="2:6">
      <c r="B249"/>
      <c r="F249"/>
    </row>
    <row r="250" spans="2:6">
      <c r="B250"/>
      <c r="F250"/>
    </row>
    <row r="251" spans="2:6">
      <c r="B251"/>
      <c r="F251"/>
    </row>
    <row r="252" spans="2:6">
      <c r="B252"/>
      <c r="F252"/>
    </row>
    <row r="253" spans="2:6">
      <c r="B253"/>
      <c r="F253"/>
    </row>
    <row r="254" spans="2:6">
      <c r="B254"/>
      <c r="F254"/>
    </row>
    <row r="255" spans="2:6">
      <c r="B255"/>
      <c r="F255"/>
    </row>
    <row r="256" spans="2:6">
      <c r="B256"/>
      <c r="F256"/>
    </row>
    <row r="257" spans="2:6">
      <c r="B257"/>
      <c r="F257"/>
    </row>
    <row r="258" spans="2:6">
      <c r="B258"/>
      <c r="F258"/>
    </row>
    <row r="259" spans="2:6">
      <c r="B259"/>
      <c r="F259"/>
    </row>
    <row r="260" spans="2:6">
      <c r="B260"/>
      <c r="F260"/>
    </row>
    <row r="261" spans="2:6">
      <c r="B261"/>
      <c r="F261"/>
    </row>
    <row r="262" spans="2:6">
      <c r="B262"/>
      <c r="F262"/>
    </row>
    <row r="263" spans="2:6">
      <c r="B263"/>
      <c r="F263"/>
    </row>
    <row r="264" spans="2:6">
      <c r="B264"/>
      <c r="F264"/>
    </row>
    <row r="265" spans="2:6">
      <c r="B265"/>
      <c r="F265"/>
    </row>
    <row r="266" spans="2:6">
      <c r="B266"/>
      <c r="F266"/>
    </row>
    <row r="267" spans="2:6">
      <c r="B267"/>
      <c r="F267"/>
    </row>
    <row r="268" spans="2:6">
      <c r="B268"/>
      <c r="F268"/>
    </row>
    <row r="269" spans="2:6">
      <c r="B269"/>
      <c r="F269"/>
    </row>
    <row r="270" spans="2:6">
      <c r="B270"/>
      <c r="F270"/>
    </row>
    <row r="271" spans="2:6">
      <c r="B271"/>
      <c r="F271"/>
    </row>
    <row r="272" spans="2:6">
      <c r="B272"/>
      <c r="F272"/>
    </row>
    <row r="273" spans="2:6">
      <c r="B273"/>
      <c r="F273"/>
    </row>
    <row r="274" spans="2:6">
      <c r="B274"/>
      <c r="F274"/>
    </row>
    <row r="275" spans="2:6">
      <c r="B275"/>
      <c r="F275"/>
    </row>
    <row r="276" spans="2:6">
      <c r="B276"/>
      <c r="F276"/>
    </row>
    <row r="277" spans="2:6">
      <c r="B277"/>
      <c r="F277"/>
    </row>
    <row r="278" spans="2:6">
      <c r="B278"/>
      <c r="F278"/>
    </row>
    <row r="279" spans="2:6">
      <c r="B279"/>
      <c r="F279"/>
    </row>
    <row r="280" spans="2:6">
      <c r="B280"/>
      <c r="F280"/>
    </row>
    <row r="281" spans="2:6">
      <c r="B281"/>
      <c r="F281"/>
    </row>
    <row r="282" spans="2:6">
      <c r="B282"/>
      <c r="F282"/>
    </row>
    <row r="283" spans="2:6">
      <c r="B283"/>
      <c r="F283"/>
    </row>
    <row r="284" spans="2:6">
      <c r="B284"/>
      <c r="F284"/>
    </row>
    <row r="285" spans="2:6">
      <c r="B285"/>
      <c r="F285"/>
    </row>
    <row r="286" spans="2:6">
      <c r="B286"/>
      <c r="F286"/>
    </row>
    <row r="287" spans="2:6">
      <c r="B287"/>
      <c r="F287"/>
    </row>
    <row r="288" spans="2:6">
      <c r="B288"/>
      <c r="F288"/>
    </row>
    <row r="289" spans="2:6">
      <c r="B289"/>
      <c r="F289"/>
    </row>
    <row r="290" spans="2:6">
      <c r="B290"/>
      <c r="F290"/>
    </row>
    <row r="291" spans="2:6">
      <c r="B291"/>
      <c r="F291"/>
    </row>
    <row r="292" spans="2:6">
      <c r="B292"/>
      <c r="F292"/>
    </row>
    <row r="293" spans="2:6">
      <c r="B293"/>
      <c r="F293"/>
    </row>
    <row r="294" spans="2:6">
      <c r="B294"/>
      <c r="F294"/>
    </row>
    <row r="295" spans="2:6">
      <c r="B295"/>
      <c r="F295"/>
    </row>
    <row r="296" spans="2:6">
      <c r="B296"/>
      <c r="F296"/>
    </row>
    <row r="297" spans="2:6">
      <c r="B297"/>
      <c r="F297"/>
    </row>
    <row r="298" spans="2:6">
      <c r="B298"/>
      <c r="F298"/>
    </row>
    <row r="299" spans="2:6">
      <c r="B299"/>
      <c r="F299"/>
    </row>
    <row r="300" spans="2:6">
      <c r="B300"/>
      <c r="F300"/>
    </row>
    <row r="301" spans="2:6">
      <c r="B301"/>
      <c r="F301"/>
    </row>
    <row r="302" spans="2:6">
      <c r="B302"/>
      <c r="F302"/>
    </row>
    <row r="303" spans="2:6">
      <c r="B303"/>
      <c r="F303"/>
    </row>
    <row r="304" spans="2:6">
      <c r="B304"/>
      <c r="F304"/>
    </row>
    <row r="305" spans="2:6">
      <c r="B305"/>
      <c r="F305"/>
    </row>
    <row r="306" spans="2:6">
      <c r="B306"/>
      <c r="F306"/>
    </row>
    <row r="307" spans="2:6">
      <c r="B307"/>
      <c r="F307"/>
    </row>
    <row r="308" spans="2:6">
      <c r="B308"/>
      <c r="F308"/>
    </row>
    <row r="309" spans="2:6">
      <c r="B309"/>
      <c r="F309"/>
    </row>
    <row r="310" spans="2:6">
      <c r="B310"/>
      <c r="F310"/>
    </row>
    <row r="311" spans="2:6">
      <c r="B311"/>
      <c r="F311"/>
    </row>
    <row r="312" spans="2:6">
      <c r="B312"/>
      <c r="F312"/>
    </row>
    <row r="313" spans="2:6">
      <c r="B313"/>
      <c r="F313"/>
    </row>
    <row r="314" spans="2:6">
      <c r="B314"/>
      <c r="F314"/>
    </row>
    <row r="315" spans="2:6">
      <c r="B315"/>
      <c r="F315"/>
    </row>
    <row r="316" spans="2:6">
      <c r="B316"/>
      <c r="F316"/>
    </row>
    <row r="317" spans="2:6">
      <c r="B317"/>
      <c r="F317"/>
    </row>
    <row r="318" spans="2:6">
      <c r="B318"/>
      <c r="F318"/>
    </row>
    <row r="319" spans="2:6">
      <c r="B319"/>
      <c r="F319"/>
    </row>
    <row r="320" spans="2:6">
      <c r="B320"/>
      <c r="F320"/>
    </row>
    <row r="321" spans="2:6">
      <c r="B321"/>
      <c r="F321"/>
    </row>
    <row r="322" spans="2:6">
      <c r="B322"/>
      <c r="F322"/>
    </row>
    <row r="323" spans="2:6">
      <c r="B323"/>
      <c r="F323"/>
    </row>
    <row r="324" spans="2:6">
      <c r="B324"/>
      <c r="F324"/>
    </row>
    <row r="325" spans="2:6">
      <c r="B325"/>
      <c r="F325"/>
    </row>
    <row r="326" spans="2:6">
      <c r="B326"/>
      <c r="F326"/>
    </row>
    <row r="327" spans="2:6">
      <c r="B327"/>
      <c r="F327"/>
    </row>
    <row r="328" spans="2:6">
      <c r="B328"/>
      <c r="F328"/>
    </row>
    <row r="329" spans="2:6">
      <c r="B329"/>
      <c r="F329"/>
    </row>
    <row r="330" spans="2:6">
      <c r="B330"/>
      <c r="F330"/>
    </row>
    <row r="331" spans="2:6">
      <c r="B331"/>
      <c r="F331"/>
    </row>
    <row r="332" spans="2:6">
      <c r="B332"/>
      <c r="F332"/>
    </row>
    <row r="333" spans="2:6">
      <c r="B333"/>
      <c r="F333"/>
    </row>
    <row r="334" spans="2:6">
      <c r="B334"/>
      <c r="F334"/>
    </row>
    <row r="335" spans="2:6">
      <c r="B335"/>
      <c r="F335"/>
    </row>
    <row r="336" spans="2:6">
      <c r="B336"/>
      <c r="F336"/>
    </row>
    <row r="337" spans="2:6">
      <c r="B337"/>
      <c r="F337"/>
    </row>
    <row r="338" spans="2:6">
      <c r="B338"/>
      <c r="F338"/>
    </row>
    <row r="339" spans="2:6">
      <c r="B339"/>
      <c r="F339"/>
    </row>
    <row r="340" spans="2:6">
      <c r="B340"/>
      <c r="F340"/>
    </row>
    <row r="341" spans="2:6">
      <c r="B341"/>
      <c r="F341"/>
    </row>
    <row r="342" spans="2:6">
      <c r="B342"/>
      <c r="F342"/>
    </row>
    <row r="343" spans="2:6">
      <c r="B343"/>
      <c r="F343"/>
    </row>
    <row r="344" spans="2:6">
      <c r="B344"/>
      <c r="F344"/>
    </row>
    <row r="345" spans="2:6">
      <c r="B345"/>
      <c r="F345"/>
    </row>
    <row r="346" spans="2:6">
      <c r="B346"/>
      <c r="F346"/>
    </row>
    <row r="347" spans="2:6">
      <c r="B347"/>
      <c r="F347"/>
    </row>
    <row r="348" spans="2:6">
      <c r="B348"/>
      <c r="F348"/>
    </row>
    <row r="349" spans="2:6">
      <c r="B349"/>
      <c r="F349"/>
    </row>
    <row r="350" spans="2:6">
      <c r="B350"/>
      <c r="F350"/>
    </row>
    <row r="351" spans="2:6">
      <c r="B351"/>
      <c r="F351"/>
    </row>
    <row r="352" spans="2:6">
      <c r="B352"/>
      <c r="F352"/>
    </row>
    <row r="353" spans="2:6">
      <c r="B353"/>
      <c r="F353"/>
    </row>
    <row r="354" spans="2:6">
      <c r="B354"/>
      <c r="F354"/>
    </row>
    <row r="355" spans="2:6">
      <c r="B355"/>
      <c r="F355"/>
    </row>
    <row r="356" spans="2:6">
      <c r="B356"/>
      <c r="F356"/>
    </row>
    <row r="357" spans="2:6">
      <c r="B357"/>
      <c r="F357"/>
    </row>
    <row r="358" spans="2:6">
      <c r="B358"/>
      <c r="F358"/>
    </row>
    <row r="359" spans="2:6">
      <c r="B359"/>
      <c r="F359"/>
    </row>
    <row r="360" spans="2:6">
      <c r="B360"/>
      <c r="F360"/>
    </row>
    <row r="361" spans="2:6">
      <c r="B361"/>
      <c r="F361"/>
    </row>
    <row r="362" spans="2:6">
      <c r="B362"/>
      <c r="F362"/>
    </row>
    <row r="363" spans="2:6">
      <c r="B363"/>
      <c r="F363"/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A0D14-8909-4D44-B60F-33D6AB3D7EA4}">
  <sheetPr codeName="Sheet16"/>
  <dimension ref="A2:F714"/>
  <sheetViews>
    <sheetView workbookViewId="0">
      <selection activeCell="F9" sqref="F9"/>
    </sheetView>
  </sheetViews>
  <sheetFormatPr defaultColWidth="9" defaultRowHeight="13.5"/>
  <cols>
    <col min="1" max="1" width="19.75" customWidth="1"/>
    <col min="2" max="2" width="15.75" customWidth="1"/>
    <col min="3" max="3" width="31.625" bestFit="1" customWidth="1"/>
    <col min="4" max="4" width="27.25" bestFit="1" customWidth="1"/>
    <col min="5" max="5" width="13.75" bestFit="1" customWidth="1"/>
    <col min="6" max="6" width="33.5" style="17" bestFit="1" customWidth="1"/>
    <col min="7" max="9" width="33.375" bestFit="1" customWidth="1"/>
  </cols>
  <sheetData>
    <row r="2" spans="1:6">
      <c r="A2" s="262" t="s">
        <v>3638</v>
      </c>
      <c r="B2" t="s">
        <v>231</v>
      </c>
    </row>
    <row r="3" spans="1:6">
      <c r="A3" s="262" t="s">
        <v>3533</v>
      </c>
      <c r="B3" t="s">
        <v>3534</v>
      </c>
    </row>
    <row r="4" spans="1:6">
      <c r="A4" s="262" t="s">
        <v>3535</v>
      </c>
      <c r="B4" s="330">
        <v>2023</v>
      </c>
    </row>
    <row r="5" spans="1:6">
      <c r="A5" s="262" t="s">
        <v>3536</v>
      </c>
      <c r="B5" t="s">
        <v>3534</v>
      </c>
    </row>
    <row r="6" spans="1:6">
      <c r="A6" s="262" t="s">
        <v>3539</v>
      </c>
      <c r="B6" t="s">
        <v>231</v>
      </c>
      <c r="F6"/>
    </row>
    <row r="7" spans="1:6">
      <c r="F7"/>
    </row>
    <row r="8" spans="1:6">
      <c r="E8" s="262" t="s">
        <v>3537</v>
      </c>
    </row>
    <row r="9" spans="1:6">
      <c r="A9" s="262" t="s">
        <v>3538</v>
      </c>
      <c r="B9" s="262" t="s">
        <v>3540</v>
      </c>
      <c r="C9" s="262" t="s">
        <v>3541</v>
      </c>
      <c r="D9" s="262" t="s">
        <v>3639</v>
      </c>
      <c r="E9" t="s">
        <v>3542</v>
      </c>
      <c r="F9" s="17" t="s">
        <v>3543</v>
      </c>
    </row>
    <row r="10" spans="1:6">
      <c r="A10">
        <v>111222</v>
      </c>
      <c r="B10" t="s">
        <v>343</v>
      </c>
      <c r="C10" t="s">
        <v>4314</v>
      </c>
      <c r="D10" s="256">
        <v>45016</v>
      </c>
      <c r="E10">
        <v>1</v>
      </c>
      <c r="F10" s="17">
        <v>17344670</v>
      </c>
    </row>
    <row r="11" spans="1:6">
      <c r="A11">
        <v>111247</v>
      </c>
      <c r="B11" t="s">
        <v>149</v>
      </c>
      <c r="C11" t="s">
        <v>4315</v>
      </c>
      <c r="D11" s="256">
        <v>45042</v>
      </c>
      <c r="E11">
        <v>4</v>
      </c>
      <c r="F11" s="17">
        <v>56947924</v>
      </c>
    </row>
    <row r="12" spans="1:6">
      <c r="A12">
        <v>111252</v>
      </c>
      <c r="B12" t="s">
        <v>149</v>
      </c>
      <c r="C12" t="s">
        <v>148</v>
      </c>
      <c r="D12" s="256">
        <v>45023</v>
      </c>
      <c r="E12">
        <v>4</v>
      </c>
      <c r="F12" s="17">
        <v>58914320</v>
      </c>
    </row>
    <row r="13" spans="1:6">
      <c r="A13">
        <v>111253</v>
      </c>
      <c r="B13" t="s">
        <v>343</v>
      </c>
      <c r="C13" t="s">
        <v>76</v>
      </c>
      <c r="D13" s="256">
        <v>45049</v>
      </c>
      <c r="E13">
        <v>10</v>
      </c>
      <c r="F13" s="17">
        <v>100167020</v>
      </c>
    </row>
    <row r="14" spans="1:6">
      <c r="A14">
        <v>111254</v>
      </c>
      <c r="B14" t="s">
        <v>17</v>
      </c>
      <c r="C14" t="s">
        <v>76</v>
      </c>
      <c r="D14" s="256">
        <v>45042</v>
      </c>
      <c r="E14">
        <v>5</v>
      </c>
      <c r="F14" s="17">
        <v>28495965</v>
      </c>
    </row>
    <row r="15" spans="1:6">
      <c r="A15">
        <v>111258</v>
      </c>
      <c r="B15" t="s">
        <v>149</v>
      </c>
      <c r="C15" t="s">
        <v>148</v>
      </c>
      <c r="D15" s="256">
        <v>45044</v>
      </c>
      <c r="E15">
        <v>2</v>
      </c>
      <c r="F15" s="17">
        <v>29457160</v>
      </c>
    </row>
    <row r="16" spans="1:6">
      <c r="A16">
        <v>111277</v>
      </c>
      <c r="B16" t="s">
        <v>17</v>
      </c>
      <c r="C16" t="s">
        <v>76</v>
      </c>
      <c r="D16" s="256">
        <v>45092</v>
      </c>
      <c r="E16">
        <v>10</v>
      </c>
      <c r="F16" s="17">
        <v>60491050</v>
      </c>
    </row>
    <row r="17" spans="1:6">
      <c r="A17">
        <v>111278</v>
      </c>
      <c r="B17" t="s">
        <v>343</v>
      </c>
      <c r="C17" t="s">
        <v>76</v>
      </c>
      <c r="D17" s="256">
        <v>45096</v>
      </c>
      <c r="E17">
        <v>10</v>
      </c>
      <c r="F17" s="17">
        <v>100167020</v>
      </c>
    </row>
    <row r="18" spans="1:6">
      <c r="A18">
        <v>111293</v>
      </c>
      <c r="B18" t="s">
        <v>17</v>
      </c>
      <c r="C18" t="s">
        <v>3544</v>
      </c>
      <c r="D18" s="256">
        <v>45107</v>
      </c>
      <c r="E18">
        <v>4</v>
      </c>
      <c r="F18" s="17">
        <v>26536784</v>
      </c>
    </row>
    <row r="19" spans="1:6">
      <c r="B19" t="s">
        <v>343</v>
      </c>
      <c r="C19" t="s">
        <v>3544</v>
      </c>
      <c r="D19" s="256">
        <v>45107</v>
      </c>
      <c r="E19">
        <v>6</v>
      </c>
      <c r="F19" s="17">
        <v>60951588</v>
      </c>
    </row>
    <row r="20" spans="1:6">
      <c r="A20">
        <v>111309</v>
      </c>
      <c r="B20" t="s">
        <v>17</v>
      </c>
      <c r="C20" t="s">
        <v>76</v>
      </c>
      <c r="D20" s="256">
        <v>45142</v>
      </c>
      <c r="E20">
        <v>10</v>
      </c>
      <c r="F20" s="17">
        <v>58417346</v>
      </c>
    </row>
    <row r="21" spans="1:6">
      <c r="A21">
        <v>111310</v>
      </c>
      <c r="B21" t="s">
        <v>343</v>
      </c>
      <c r="C21" t="s">
        <v>76</v>
      </c>
      <c r="D21" s="256">
        <v>45133</v>
      </c>
      <c r="E21">
        <v>10</v>
      </c>
      <c r="F21" s="17">
        <v>100167020</v>
      </c>
    </row>
    <row r="22" spans="1:6">
      <c r="A22">
        <v>111341</v>
      </c>
      <c r="B22" t="s">
        <v>17</v>
      </c>
      <c r="C22" t="s">
        <v>76</v>
      </c>
      <c r="D22" s="256">
        <v>45167</v>
      </c>
      <c r="E22">
        <v>5</v>
      </c>
      <c r="F22" s="17">
        <v>29195788</v>
      </c>
    </row>
    <row r="23" spans="1:6">
      <c r="B23" t="s">
        <v>4316</v>
      </c>
      <c r="C23" t="s">
        <v>76</v>
      </c>
      <c r="D23" s="256">
        <v>45167</v>
      </c>
      <c r="E23">
        <v>0</v>
      </c>
      <c r="F23" s="17">
        <v>130000</v>
      </c>
    </row>
    <row r="24" spans="1:6">
      <c r="A24">
        <v>111342</v>
      </c>
      <c r="B24" t="s">
        <v>343</v>
      </c>
      <c r="C24" t="s">
        <v>76</v>
      </c>
      <c r="D24" s="256">
        <v>45167</v>
      </c>
      <c r="E24">
        <v>5</v>
      </c>
      <c r="F24" s="17">
        <v>50083510</v>
      </c>
    </row>
    <row r="25" spans="1:6">
      <c r="A25">
        <v>111361</v>
      </c>
      <c r="B25" t="s">
        <v>17</v>
      </c>
      <c r="C25" t="s">
        <v>76</v>
      </c>
      <c r="D25" s="256">
        <v>45198</v>
      </c>
      <c r="E25">
        <v>5</v>
      </c>
      <c r="F25" s="17">
        <v>29156413</v>
      </c>
    </row>
    <row r="26" spans="1:6">
      <c r="B26" t="s">
        <v>4316</v>
      </c>
      <c r="C26" t="s">
        <v>76</v>
      </c>
      <c r="D26" s="256">
        <v>45198</v>
      </c>
      <c r="E26">
        <v>0</v>
      </c>
      <c r="F26" s="17">
        <v>200000</v>
      </c>
    </row>
    <row r="27" spans="1:6">
      <c r="A27">
        <v>111362</v>
      </c>
      <c r="B27" t="s">
        <v>343</v>
      </c>
      <c r="C27" t="s">
        <v>76</v>
      </c>
      <c r="D27" s="256">
        <v>45198</v>
      </c>
      <c r="E27">
        <v>5</v>
      </c>
      <c r="F27" s="17">
        <v>50757030</v>
      </c>
    </row>
    <row r="28" spans="1:6">
      <c r="A28">
        <v>111390</v>
      </c>
      <c r="B28" t="s">
        <v>3546</v>
      </c>
      <c r="C28" t="s">
        <v>3582</v>
      </c>
      <c r="D28" s="256">
        <v>45231</v>
      </c>
      <c r="E28">
        <v>1</v>
      </c>
      <c r="F28" s="17">
        <v>8255220</v>
      </c>
    </row>
    <row r="29" spans="1:6">
      <c r="A29">
        <v>111421</v>
      </c>
      <c r="B29" t="s">
        <v>17</v>
      </c>
      <c r="C29" t="s">
        <v>76</v>
      </c>
      <c r="D29" s="256">
        <v>45252</v>
      </c>
      <c r="E29">
        <v>5</v>
      </c>
      <c r="F29" s="17">
        <v>28076530</v>
      </c>
    </row>
    <row r="30" spans="1:6">
      <c r="A30">
        <v>111440</v>
      </c>
      <c r="B30" t="s">
        <v>4163</v>
      </c>
      <c r="C30" t="s">
        <v>4317</v>
      </c>
      <c r="D30" s="256">
        <v>45287</v>
      </c>
      <c r="E30">
        <v>1</v>
      </c>
      <c r="F30" s="17">
        <v>6447722</v>
      </c>
    </row>
    <row r="31" spans="1:6">
      <c r="A31">
        <v>111452</v>
      </c>
      <c r="B31" t="s">
        <v>343</v>
      </c>
      <c r="C31" t="s">
        <v>76</v>
      </c>
      <c r="D31" s="256">
        <v>45259</v>
      </c>
      <c r="E31">
        <v>5</v>
      </c>
      <c r="F31" s="17">
        <v>49993270</v>
      </c>
    </row>
    <row r="32" spans="1:6">
      <c r="A32">
        <v>111465</v>
      </c>
      <c r="B32" t="s">
        <v>17</v>
      </c>
      <c r="C32" t="s">
        <v>76</v>
      </c>
      <c r="D32" s="256">
        <v>45289</v>
      </c>
      <c r="E32">
        <v>5</v>
      </c>
      <c r="F32" s="17">
        <v>30626085</v>
      </c>
    </row>
    <row r="33" spans="1:6">
      <c r="A33">
        <v>111464</v>
      </c>
      <c r="B33" t="s">
        <v>343</v>
      </c>
      <c r="C33" t="s">
        <v>76</v>
      </c>
      <c r="D33" s="256">
        <v>45287</v>
      </c>
      <c r="E33">
        <v>4</v>
      </c>
      <c r="F33" s="17">
        <v>39440210</v>
      </c>
    </row>
    <row r="34" spans="1:6">
      <c r="A34">
        <v>111482</v>
      </c>
      <c r="B34" t="s">
        <v>343</v>
      </c>
      <c r="C34" t="s">
        <v>76</v>
      </c>
      <c r="D34" t="s">
        <v>4318</v>
      </c>
      <c r="E34">
        <v>1</v>
      </c>
      <c r="F34" s="17">
        <v>12298832</v>
      </c>
    </row>
    <row r="35" spans="1:6">
      <c r="A35">
        <v>111487</v>
      </c>
      <c r="B35" t="s">
        <v>3546</v>
      </c>
      <c r="C35" t="s">
        <v>4313</v>
      </c>
      <c r="D35" t="s">
        <v>4318</v>
      </c>
      <c r="E35">
        <v>1</v>
      </c>
      <c r="F35" s="17">
        <v>5910488</v>
      </c>
    </row>
    <row r="36" spans="1:6">
      <c r="A36">
        <v>111489</v>
      </c>
      <c r="B36" t="s">
        <v>3546</v>
      </c>
      <c r="C36" t="s">
        <v>76</v>
      </c>
      <c r="D36" t="s">
        <v>4319</v>
      </c>
      <c r="E36">
        <v>2</v>
      </c>
      <c r="F36" s="17">
        <v>11500954</v>
      </c>
    </row>
    <row r="37" spans="1:6">
      <c r="A37">
        <v>111501</v>
      </c>
      <c r="B37" t="s">
        <v>17</v>
      </c>
      <c r="C37" t="s">
        <v>4320</v>
      </c>
      <c r="D37" t="s">
        <v>4319</v>
      </c>
      <c r="E37">
        <v>2</v>
      </c>
      <c r="F37" s="17">
        <v>11319635</v>
      </c>
    </row>
    <row r="38" spans="1:6">
      <c r="A38">
        <v>111503</v>
      </c>
      <c r="B38" t="s">
        <v>343</v>
      </c>
      <c r="C38" t="s">
        <v>4321</v>
      </c>
      <c r="D38" t="s">
        <v>4322</v>
      </c>
      <c r="E38">
        <v>2</v>
      </c>
      <c r="F38" s="17">
        <v>24424576</v>
      </c>
    </row>
    <row r="39" spans="1:6">
      <c r="A39" t="s">
        <v>214</v>
      </c>
      <c r="E39">
        <v>125</v>
      </c>
      <c r="F39" s="17">
        <v>1085874130</v>
      </c>
    </row>
    <row r="40" spans="1:6">
      <c r="F40"/>
    </row>
    <row r="41" spans="1:6">
      <c r="F41"/>
    </row>
    <row r="42" spans="1:6">
      <c r="F42"/>
    </row>
    <row r="43" spans="1:6">
      <c r="F43"/>
    </row>
    <row r="44" spans="1:6">
      <c r="F44"/>
    </row>
    <row r="45" spans="1:6">
      <c r="F45"/>
    </row>
    <row r="46" spans="1:6">
      <c r="F46"/>
    </row>
    <row r="47" spans="1:6">
      <c r="F47"/>
    </row>
    <row r="48" spans="1:6">
      <c r="F48"/>
    </row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spans="6:6">
      <c r="F113"/>
    </row>
    <row r="114" spans="6:6">
      <c r="F114"/>
    </row>
    <row r="115" spans="6:6">
      <c r="F115"/>
    </row>
    <row r="116" spans="6:6">
      <c r="F116"/>
    </row>
    <row r="117" spans="6:6">
      <c r="F117"/>
    </row>
    <row r="118" spans="6:6">
      <c r="F118"/>
    </row>
    <row r="119" spans="6:6">
      <c r="F119"/>
    </row>
    <row r="120" spans="6:6">
      <c r="F120"/>
    </row>
    <row r="121" spans="6:6">
      <c r="F121"/>
    </row>
    <row r="122" spans="6:6">
      <c r="F122"/>
    </row>
    <row r="123" spans="6:6">
      <c r="F123"/>
    </row>
    <row r="124" spans="6:6">
      <c r="F124"/>
    </row>
    <row r="125" spans="6:6">
      <c r="F125"/>
    </row>
    <row r="126" spans="6:6">
      <c r="F126"/>
    </row>
    <row r="127" spans="6:6">
      <c r="F127"/>
    </row>
    <row r="128" spans="6:6">
      <c r="F128"/>
    </row>
    <row r="129" spans="6:6">
      <c r="F129"/>
    </row>
    <row r="130" spans="6:6">
      <c r="F130"/>
    </row>
    <row r="131" spans="6:6">
      <c r="F131"/>
    </row>
    <row r="132" spans="6:6">
      <c r="F132"/>
    </row>
    <row r="133" spans="6:6">
      <c r="F133"/>
    </row>
    <row r="134" spans="6:6">
      <c r="F134"/>
    </row>
    <row r="135" spans="6:6">
      <c r="F135"/>
    </row>
    <row r="136" spans="6:6">
      <c r="F136"/>
    </row>
    <row r="137" spans="6:6">
      <c r="F137"/>
    </row>
    <row r="138" spans="6:6">
      <c r="F138"/>
    </row>
    <row r="139" spans="6:6">
      <c r="F139"/>
    </row>
    <row r="140" spans="6:6">
      <c r="F140"/>
    </row>
    <row r="141" spans="6:6">
      <c r="F141"/>
    </row>
    <row r="142" spans="6:6">
      <c r="F142"/>
    </row>
    <row r="143" spans="6:6">
      <c r="F143"/>
    </row>
    <row r="144" spans="6:6">
      <c r="F144"/>
    </row>
    <row r="145" spans="6:6">
      <c r="F145"/>
    </row>
    <row r="146" spans="6:6">
      <c r="F146"/>
    </row>
    <row r="147" spans="6:6">
      <c r="F147"/>
    </row>
    <row r="148" spans="6:6">
      <c r="F148"/>
    </row>
    <row r="149" spans="6:6">
      <c r="F149"/>
    </row>
    <row r="150" spans="6:6">
      <c r="F150"/>
    </row>
    <row r="151" spans="6:6">
      <c r="F151"/>
    </row>
    <row r="152" spans="6:6">
      <c r="F152"/>
    </row>
    <row r="153" spans="6:6">
      <c r="F153"/>
    </row>
    <row r="154" spans="6:6">
      <c r="F154"/>
    </row>
    <row r="155" spans="6:6">
      <c r="F155"/>
    </row>
    <row r="156" spans="6:6">
      <c r="F156"/>
    </row>
    <row r="157" spans="6:6">
      <c r="F157"/>
    </row>
    <row r="158" spans="6:6">
      <c r="F158"/>
    </row>
    <row r="159" spans="6:6">
      <c r="F159"/>
    </row>
    <row r="160" spans="6:6">
      <c r="F160"/>
    </row>
    <row r="161" spans="6:6">
      <c r="F161"/>
    </row>
    <row r="162" spans="6:6">
      <c r="F162"/>
    </row>
    <row r="163" spans="6:6">
      <c r="F163"/>
    </row>
    <row r="164" spans="6:6">
      <c r="F164"/>
    </row>
    <row r="165" spans="6:6">
      <c r="F165"/>
    </row>
    <row r="166" spans="6:6">
      <c r="F166"/>
    </row>
    <row r="167" spans="6:6">
      <c r="F167"/>
    </row>
    <row r="168" spans="6:6">
      <c r="F168"/>
    </row>
    <row r="169" spans="6:6">
      <c r="F169"/>
    </row>
    <row r="170" spans="6:6">
      <c r="F170"/>
    </row>
    <row r="171" spans="6:6">
      <c r="F171"/>
    </row>
    <row r="172" spans="6:6">
      <c r="F172"/>
    </row>
    <row r="173" spans="6:6">
      <c r="F173"/>
    </row>
    <row r="174" spans="6:6">
      <c r="F174"/>
    </row>
    <row r="175" spans="6:6">
      <c r="F175"/>
    </row>
    <row r="176" spans="6:6">
      <c r="F176"/>
    </row>
    <row r="177" spans="6:6">
      <c r="F177"/>
    </row>
    <row r="178" spans="6:6">
      <c r="F178"/>
    </row>
    <row r="179" spans="6:6">
      <c r="F179"/>
    </row>
    <row r="180" spans="6:6">
      <c r="F180"/>
    </row>
    <row r="181" spans="6:6">
      <c r="F181"/>
    </row>
    <row r="182" spans="6:6">
      <c r="F182"/>
    </row>
    <row r="183" spans="6:6">
      <c r="F183"/>
    </row>
    <row r="184" spans="6:6">
      <c r="F184"/>
    </row>
    <row r="185" spans="6:6">
      <c r="F185"/>
    </row>
    <row r="186" spans="6:6">
      <c r="F186"/>
    </row>
    <row r="187" spans="6:6">
      <c r="F187"/>
    </row>
    <row r="188" spans="6:6">
      <c r="F188"/>
    </row>
    <row r="189" spans="6:6">
      <c r="F189"/>
    </row>
    <row r="190" spans="6:6">
      <c r="F190"/>
    </row>
    <row r="191" spans="6:6">
      <c r="F191"/>
    </row>
    <row r="192" spans="6:6">
      <c r="F192"/>
    </row>
    <row r="193" spans="6:6">
      <c r="F193"/>
    </row>
    <row r="194" spans="6:6">
      <c r="F194"/>
    </row>
    <row r="195" spans="6:6">
      <c r="F195"/>
    </row>
    <row r="196" spans="6:6">
      <c r="F196"/>
    </row>
    <row r="197" spans="6:6">
      <c r="F197"/>
    </row>
    <row r="198" spans="6:6">
      <c r="F198"/>
    </row>
    <row r="199" spans="6:6">
      <c r="F199"/>
    </row>
    <row r="200" spans="6:6">
      <c r="F200"/>
    </row>
    <row r="201" spans="6:6">
      <c r="F201"/>
    </row>
    <row r="202" spans="6:6">
      <c r="F202"/>
    </row>
    <row r="203" spans="6:6">
      <c r="F203"/>
    </row>
    <row r="204" spans="6:6">
      <c r="F204"/>
    </row>
    <row r="205" spans="6:6">
      <c r="F205"/>
    </row>
    <row r="206" spans="6:6">
      <c r="F206"/>
    </row>
    <row r="207" spans="6:6">
      <c r="F207"/>
    </row>
    <row r="208" spans="6:6">
      <c r="F208"/>
    </row>
    <row r="209" spans="6:6">
      <c r="F209"/>
    </row>
    <row r="210" spans="6:6">
      <c r="F210"/>
    </row>
    <row r="211" spans="6:6">
      <c r="F211"/>
    </row>
    <row r="212" spans="6:6">
      <c r="F212"/>
    </row>
    <row r="213" spans="6:6">
      <c r="F213"/>
    </row>
    <row r="214" spans="6:6">
      <c r="F214"/>
    </row>
    <row r="215" spans="6:6">
      <c r="F215"/>
    </row>
    <row r="216" spans="6:6">
      <c r="F216"/>
    </row>
    <row r="217" spans="6:6">
      <c r="F217"/>
    </row>
    <row r="218" spans="6:6">
      <c r="F218"/>
    </row>
    <row r="219" spans="6:6">
      <c r="F219"/>
    </row>
    <row r="220" spans="6:6">
      <c r="F220"/>
    </row>
    <row r="221" spans="6:6">
      <c r="F221"/>
    </row>
    <row r="222" spans="6:6">
      <c r="F222"/>
    </row>
    <row r="223" spans="6:6">
      <c r="F223"/>
    </row>
    <row r="224" spans="6:6">
      <c r="F224"/>
    </row>
    <row r="225" spans="6:6">
      <c r="F225"/>
    </row>
    <row r="226" spans="6:6">
      <c r="F226"/>
    </row>
    <row r="227" spans="6:6">
      <c r="F227"/>
    </row>
    <row r="228" spans="6:6">
      <c r="F228"/>
    </row>
    <row r="229" spans="6:6">
      <c r="F229"/>
    </row>
    <row r="230" spans="6:6">
      <c r="F230"/>
    </row>
    <row r="231" spans="6:6">
      <c r="F231"/>
    </row>
    <row r="232" spans="6:6">
      <c r="F232"/>
    </row>
    <row r="233" spans="6:6">
      <c r="F233"/>
    </row>
    <row r="234" spans="6:6">
      <c r="F234"/>
    </row>
    <row r="235" spans="6:6">
      <c r="F235"/>
    </row>
    <row r="236" spans="6:6">
      <c r="F236"/>
    </row>
    <row r="237" spans="6:6">
      <c r="F237"/>
    </row>
    <row r="238" spans="6:6">
      <c r="F238"/>
    </row>
    <row r="239" spans="6:6">
      <c r="F239"/>
    </row>
    <row r="240" spans="6:6">
      <c r="F240"/>
    </row>
    <row r="241" spans="6:6">
      <c r="F241"/>
    </row>
    <row r="242" spans="6:6">
      <c r="F242"/>
    </row>
    <row r="243" spans="6:6">
      <c r="F243"/>
    </row>
    <row r="244" spans="6:6">
      <c r="F244"/>
    </row>
    <row r="245" spans="6:6">
      <c r="F245"/>
    </row>
    <row r="246" spans="6:6">
      <c r="F246"/>
    </row>
    <row r="247" spans="6:6">
      <c r="F247"/>
    </row>
    <row r="248" spans="6:6">
      <c r="F248"/>
    </row>
    <row r="249" spans="6:6">
      <c r="F249"/>
    </row>
    <row r="250" spans="6:6">
      <c r="F250"/>
    </row>
    <row r="251" spans="6:6">
      <c r="F251"/>
    </row>
    <row r="252" spans="6:6">
      <c r="F252"/>
    </row>
    <row r="253" spans="6:6">
      <c r="F253"/>
    </row>
    <row r="254" spans="6:6">
      <c r="F254"/>
    </row>
    <row r="255" spans="6:6">
      <c r="F255"/>
    </row>
    <row r="256" spans="6:6">
      <c r="F256"/>
    </row>
    <row r="257" spans="6:6">
      <c r="F257"/>
    </row>
    <row r="258" spans="6:6">
      <c r="F258"/>
    </row>
    <row r="259" spans="6:6">
      <c r="F259"/>
    </row>
    <row r="260" spans="6:6">
      <c r="F260"/>
    </row>
    <row r="261" spans="6:6">
      <c r="F261"/>
    </row>
    <row r="262" spans="6:6">
      <c r="F262"/>
    </row>
    <row r="263" spans="6:6">
      <c r="F263"/>
    </row>
    <row r="264" spans="6:6">
      <c r="F264"/>
    </row>
    <row r="265" spans="6:6">
      <c r="F265"/>
    </row>
    <row r="266" spans="6:6">
      <c r="F266"/>
    </row>
    <row r="267" spans="6:6">
      <c r="F267"/>
    </row>
    <row r="268" spans="6:6">
      <c r="F268"/>
    </row>
    <row r="269" spans="6:6">
      <c r="F269"/>
    </row>
    <row r="270" spans="6:6">
      <c r="F270"/>
    </row>
    <row r="271" spans="6:6">
      <c r="F271"/>
    </row>
    <row r="272" spans="6:6">
      <c r="F272"/>
    </row>
    <row r="273" spans="6:6">
      <c r="F273"/>
    </row>
    <row r="274" spans="6:6">
      <c r="F274"/>
    </row>
    <row r="275" spans="6:6">
      <c r="F275"/>
    </row>
    <row r="276" spans="6:6">
      <c r="F276"/>
    </row>
    <row r="277" spans="6:6">
      <c r="F277"/>
    </row>
    <row r="278" spans="6:6">
      <c r="F278"/>
    </row>
    <row r="279" spans="6:6">
      <c r="F279"/>
    </row>
    <row r="280" spans="6:6">
      <c r="F280"/>
    </row>
    <row r="281" spans="6:6">
      <c r="F281"/>
    </row>
    <row r="282" spans="6:6">
      <c r="F282"/>
    </row>
    <row r="283" spans="6:6">
      <c r="F283"/>
    </row>
    <row r="284" spans="6:6">
      <c r="F284"/>
    </row>
    <row r="285" spans="6:6">
      <c r="F285"/>
    </row>
    <row r="286" spans="6:6">
      <c r="F286"/>
    </row>
    <row r="287" spans="6:6">
      <c r="F287"/>
    </row>
    <row r="288" spans="6:6">
      <c r="F288"/>
    </row>
    <row r="289" spans="6:6">
      <c r="F289"/>
    </row>
    <row r="290" spans="6:6">
      <c r="F290"/>
    </row>
    <row r="291" spans="6:6">
      <c r="F291"/>
    </row>
    <row r="292" spans="6:6">
      <c r="F292"/>
    </row>
    <row r="293" spans="6:6">
      <c r="F293"/>
    </row>
    <row r="294" spans="6:6">
      <c r="F294"/>
    </row>
    <row r="295" spans="6:6">
      <c r="F295"/>
    </row>
    <row r="296" spans="6:6">
      <c r="F296"/>
    </row>
    <row r="297" spans="6:6">
      <c r="F297"/>
    </row>
    <row r="298" spans="6:6">
      <c r="F298"/>
    </row>
    <row r="299" spans="6:6">
      <c r="F299"/>
    </row>
    <row r="300" spans="6:6">
      <c r="F300"/>
    </row>
    <row r="301" spans="6:6">
      <c r="F301"/>
    </row>
    <row r="302" spans="6:6">
      <c r="F302"/>
    </row>
    <row r="303" spans="6:6">
      <c r="F303"/>
    </row>
    <row r="304" spans="6:6">
      <c r="F304"/>
    </row>
    <row r="305" spans="6:6">
      <c r="F305"/>
    </row>
    <row r="306" spans="6:6">
      <c r="F306"/>
    </row>
    <row r="307" spans="6:6">
      <c r="F307"/>
    </row>
    <row r="308" spans="6:6">
      <c r="F308"/>
    </row>
    <row r="309" spans="6:6">
      <c r="F309"/>
    </row>
    <row r="310" spans="6:6">
      <c r="F310"/>
    </row>
    <row r="311" spans="6:6">
      <c r="F311"/>
    </row>
    <row r="312" spans="6:6">
      <c r="F312"/>
    </row>
    <row r="313" spans="6:6">
      <c r="F313"/>
    </row>
    <row r="314" spans="6:6">
      <c r="F314"/>
    </row>
    <row r="315" spans="6:6">
      <c r="F315"/>
    </row>
    <row r="316" spans="6:6">
      <c r="F316"/>
    </row>
    <row r="317" spans="6:6">
      <c r="F317"/>
    </row>
    <row r="318" spans="6:6">
      <c r="F318"/>
    </row>
    <row r="319" spans="6:6">
      <c r="F319"/>
    </row>
    <row r="320" spans="6:6">
      <c r="F320"/>
    </row>
    <row r="321" spans="6:6">
      <c r="F321"/>
    </row>
    <row r="322" spans="6:6">
      <c r="F322"/>
    </row>
    <row r="323" spans="6:6">
      <c r="F323"/>
    </row>
    <row r="324" spans="6:6">
      <c r="F324"/>
    </row>
    <row r="325" spans="6:6">
      <c r="F325"/>
    </row>
    <row r="326" spans="6:6">
      <c r="F326"/>
    </row>
    <row r="327" spans="6:6">
      <c r="F327"/>
    </row>
    <row r="328" spans="6:6">
      <c r="F328"/>
    </row>
    <row r="329" spans="6:6">
      <c r="F329"/>
    </row>
    <row r="330" spans="6:6">
      <c r="F330"/>
    </row>
    <row r="331" spans="6:6">
      <c r="F331"/>
    </row>
    <row r="332" spans="6:6">
      <c r="F332"/>
    </row>
    <row r="333" spans="6:6">
      <c r="F333"/>
    </row>
    <row r="334" spans="6:6">
      <c r="F334"/>
    </row>
    <row r="335" spans="6:6">
      <c r="F335"/>
    </row>
    <row r="336" spans="6:6">
      <c r="F336"/>
    </row>
    <row r="337" spans="6:6">
      <c r="F337"/>
    </row>
    <row r="338" spans="6:6">
      <c r="F338"/>
    </row>
    <row r="339" spans="6:6">
      <c r="F339"/>
    </row>
    <row r="340" spans="6:6">
      <c r="F340"/>
    </row>
    <row r="341" spans="6:6">
      <c r="F341"/>
    </row>
    <row r="342" spans="6:6">
      <c r="F342"/>
    </row>
    <row r="343" spans="6:6">
      <c r="F343"/>
    </row>
    <row r="344" spans="6:6">
      <c r="F344"/>
    </row>
    <row r="345" spans="6:6">
      <c r="F345"/>
    </row>
    <row r="346" spans="6:6">
      <c r="F346"/>
    </row>
    <row r="347" spans="6:6">
      <c r="F347"/>
    </row>
    <row r="348" spans="6:6">
      <c r="F348"/>
    </row>
    <row r="349" spans="6:6">
      <c r="F349"/>
    </row>
    <row r="350" spans="6:6">
      <c r="F350"/>
    </row>
    <row r="351" spans="6:6">
      <c r="F351"/>
    </row>
    <row r="352" spans="6:6">
      <c r="F352"/>
    </row>
    <row r="353" spans="6:6">
      <c r="F353"/>
    </row>
    <row r="354" spans="6:6">
      <c r="F354"/>
    </row>
    <row r="355" spans="6:6">
      <c r="F355"/>
    </row>
    <row r="356" spans="6:6">
      <c r="F356"/>
    </row>
    <row r="357" spans="6:6">
      <c r="F357"/>
    </row>
    <row r="358" spans="6:6">
      <c r="F358"/>
    </row>
    <row r="359" spans="6:6">
      <c r="F359"/>
    </row>
    <row r="360" spans="6:6">
      <c r="F360"/>
    </row>
    <row r="361" spans="6:6">
      <c r="F361"/>
    </row>
    <row r="362" spans="6:6">
      <c r="F362"/>
    </row>
    <row r="363" spans="6:6">
      <c r="F363"/>
    </row>
    <row r="364" spans="6:6">
      <c r="F364"/>
    </row>
    <row r="365" spans="6:6">
      <c r="F365"/>
    </row>
    <row r="366" spans="6:6">
      <c r="F366"/>
    </row>
    <row r="367" spans="6:6">
      <c r="F367"/>
    </row>
    <row r="368" spans="6:6">
      <c r="F368"/>
    </row>
    <row r="369" spans="6:6">
      <c r="F369"/>
    </row>
    <row r="370" spans="6:6">
      <c r="F370"/>
    </row>
    <row r="371" spans="6:6">
      <c r="F371"/>
    </row>
    <row r="372" spans="6:6">
      <c r="F372"/>
    </row>
    <row r="373" spans="6:6">
      <c r="F373"/>
    </row>
    <row r="374" spans="6:6">
      <c r="F374"/>
    </row>
    <row r="375" spans="6:6">
      <c r="F375"/>
    </row>
    <row r="376" spans="6:6">
      <c r="F376"/>
    </row>
    <row r="377" spans="6:6">
      <c r="F377"/>
    </row>
    <row r="378" spans="6:6">
      <c r="F378"/>
    </row>
    <row r="379" spans="6:6">
      <c r="F379"/>
    </row>
    <row r="380" spans="6:6">
      <c r="F380"/>
    </row>
    <row r="381" spans="6:6">
      <c r="F381"/>
    </row>
    <row r="382" spans="6:6">
      <c r="F382"/>
    </row>
    <row r="383" spans="6:6">
      <c r="F383"/>
    </row>
    <row r="384" spans="6:6">
      <c r="F384"/>
    </row>
    <row r="385" spans="6:6">
      <c r="F385"/>
    </row>
    <row r="386" spans="6:6">
      <c r="F386"/>
    </row>
    <row r="387" spans="6:6">
      <c r="F387"/>
    </row>
    <row r="388" spans="6:6">
      <c r="F388"/>
    </row>
    <row r="389" spans="6:6">
      <c r="F389"/>
    </row>
    <row r="390" spans="6:6">
      <c r="F390"/>
    </row>
    <row r="391" spans="6:6">
      <c r="F391"/>
    </row>
    <row r="392" spans="6:6">
      <c r="F392"/>
    </row>
    <row r="393" spans="6:6">
      <c r="F393"/>
    </row>
    <row r="394" spans="6:6">
      <c r="F394"/>
    </row>
    <row r="395" spans="6:6">
      <c r="F395"/>
    </row>
    <row r="396" spans="6:6">
      <c r="F396"/>
    </row>
    <row r="397" spans="6:6">
      <c r="F397"/>
    </row>
    <row r="398" spans="6:6">
      <c r="F398"/>
    </row>
    <row r="399" spans="6:6">
      <c r="F399"/>
    </row>
    <row r="400" spans="6:6">
      <c r="F400"/>
    </row>
    <row r="401" spans="6:6">
      <c r="F401"/>
    </row>
    <row r="402" spans="6:6">
      <c r="F402"/>
    </row>
    <row r="403" spans="6:6">
      <c r="F403"/>
    </row>
    <row r="404" spans="6:6">
      <c r="F404"/>
    </row>
    <row r="405" spans="6:6">
      <c r="F405"/>
    </row>
    <row r="406" spans="6:6">
      <c r="F406"/>
    </row>
    <row r="407" spans="6:6">
      <c r="F407"/>
    </row>
    <row r="408" spans="6:6">
      <c r="F408"/>
    </row>
    <row r="409" spans="6:6">
      <c r="F409"/>
    </row>
    <row r="410" spans="6:6">
      <c r="F410"/>
    </row>
    <row r="411" spans="6:6">
      <c r="F411"/>
    </row>
    <row r="412" spans="6:6">
      <c r="F412"/>
    </row>
    <row r="413" spans="6:6">
      <c r="F413"/>
    </row>
    <row r="414" spans="6:6">
      <c r="F414"/>
    </row>
    <row r="415" spans="6:6">
      <c r="F415"/>
    </row>
    <row r="416" spans="6:6">
      <c r="F416"/>
    </row>
    <row r="417" spans="6:6">
      <c r="F417"/>
    </row>
    <row r="418" spans="6:6">
      <c r="F418"/>
    </row>
    <row r="419" spans="6:6">
      <c r="F419"/>
    </row>
    <row r="420" spans="6:6">
      <c r="F420"/>
    </row>
    <row r="421" spans="6:6">
      <c r="F421"/>
    </row>
    <row r="422" spans="6:6">
      <c r="F422"/>
    </row>
    <row r="423" spans="6:6">
      <c r="F423"/>
    </row>
    <row r="424" spans="6:6">
      <c r="F424"/>
    </row>
    <row r="425" spans="6:6">
      <c r="F425"/>
    </row>
    <row r="426" spans="6:6">
      <c r="F426"/>
    </row>
    <row r="427" spans="6:6">
      <c r="F427"/>
    </row>
    <row r="428" spans="6:6">
      <c r="F428"/>
    </row>
    <row r="429" spans="6:6">
      <c r="F429"/>
    </row>
    <row r="430" spans="6:6">
      <c r="F430"/>
    </row>
    <row r="431" spans="6:6">
      <c r="F431"/>
    </row>
    <row r="432" spans="6:6">
      <c r="F432"/>
    </row>
    <row r="433" spans="6:6">
      <c r="F433"/>
    </row>
    <row r="434" spans="6:6">
      <c r="F434"/>
    </row>
    <row r="435" spans="6:6">
      <c r="F435"/>
    </row>
    <row r="436" spans="6:6">
      <c r="F436"/>
    </row>
    <row r="437" spans="6:6">
      <c r="F437"/>
    </row>
    <row r="438" spans="6:6">
      <c r="F438"/>
    </row>
    <row r="439" spans="6:6">
      <c r="F439"/>
    </row>
    <row r="440" spans="6:6">
      <c r="F440"/>
    </row>
    <row r="441" spans="6:6">
      <c r="F441"/>
    </row>
    <row r="442" spans="6:6">
      <c r="F442"/>
    </row>
    <row r="443" spans="6:6">
      <c r="F443"/>
    </row>
    <row r="444" spans="6:6">
      <c r="F444"/>
    </row>
    <row r="445" spans="6:6">
      <c r="F445"/>
    </row>
    <row r="446" spans="6:6">
      <c r="F446"/>
    </row>
    <row r="447" spans="6:6">
      <c r="F447"/>
    </row>
    <row r="448" spans="6:6">
      <c r="F448"/>
    </row>
    <row r="449" spans="6:6">
      <c r="F449"/>
    </row>
    <row r="450" spans="6:6">
      <c r="F450"/>
    </row>
    <row r="451" spans="6:6">
      <c r="F451"/>
    </row>
    <row r="452" spans="6:6">
      <c r="F452"/>
    </row>
    <row r="453" spans="6:6">
      <c r="F453"/>
    </row>
    <row r="454" spans="6:6">
      <c r="F454"/>
    </row>
    <row r="455" spans="6:6">
      <c r="F455"/>
    </row>
    <row r="456" spans="6:6">
      <c r="F456"/>
    </row>
    <row r="457" spans="6:6">
      <c r="F457"/>
    </row>
    <row r="458" spans="6:6">
      <c r="F458"/>
    </row>
    <row r="459" spans="6:6">
      <c r="F459"/>
    </row>
    <row r="460" spans="6:6">
      <c r="F460"/>
    </row>
    <row r="461" spans="6:6">
      <c r="F461"/>
    </row>
    <row r="462" spans="6:6">
      <c r="F462"/>
    </row>
    <row r="463" spans="6:6">
      <c r="F463"/>
    </row>
    <row r="464" spans="6:6">
      <c r="F464"/>
    </row>
    <row r="465" spans="6:6">
      <c r="F465"/>
    </row>
    <row r="466" spans="6:6">
      <c r="F466"/>
    </row>
    <row r="467" spans="6:6">
      <c r="F467"/>
    </row>
    <row r="468" spans="6:6">
      <c r="F468"/>
    </row>
    <row r="469" spans="6:6">
      <c r="F469"/>
    </row>
    <row r="470" spans="6:6">
      <c r="F470"/>
    </row>
    <row r="471" spans="6:6">
      <c r="F471"/>
    </row>
    <row r="472" spans="6:6">
      <c r="F472"/>
    </row>
    <row r="473" spans="6:6">
      <c r="F473"/>
    </row>
    <row r="474" spans="6:6">
      <c r="F474"/>
    </row>
    <row r="475" spans="6:6">
      <c r="F475"/>
    </row>
    <row r="476" spans="6:6">
      <c r="F476"/>
    </row>
    <row r="477" spans="6:6">
      <c r="F477"/>
    </row>
    <row r="478" spans="6:6">
      <c r="F478"/>
    </row>
    <row r="479" spans="6:6">
      <c r="F479"/>
    </row>
    <row r="480" spans="6:6">
      <c r="F480"/>
    </row>
    <row r="481" spans="6:6">
      <c r="F481"/>
    </row>
    <row r="482" spans="6:6">
      <c r="F482"/>
    </row>
    <row r="483" spans="6:6">
      <c r="F483"/>
    </row>
    <row r="484" spans="6:6">
      <c r="F484"/>
    </row>
    <row r="485" spans="6:6">
      <c r="F485"/>
    </row>
    <row r="486" spans="6:6">
      <c r="F486"/>
    </row>
    <row r="487" spans="6:6">
      <c r="F487"/>
    </row>
    <row r="488" spans="6:6">
      <c r="F488"/>
    </row>
    <row r="489" spans="6:6">
      <c r="F489"/>
    </row>
    <row r="490" spans="6:6">
      <c r="F490"/>
    </row>
    <row r="491" spans="6:6">
      <c r="F491"/>
    </row>
    <row r="492" spans="6:6">
      <c r="F492"/>
    </row>
    <row r="493" spans="6:6">
      <c r="F493"/>
    </row>
    <row r="494" spans="6:6">
      <c r="F494"/>
    </row>
    <row r="495" spans="6:6">
      <c r="F495"/>
    </row>
    <row r="496" spans="6:6">
      <c r="F496"/>
    </row>
    <row r="497" spans="6:6">
      <c r="F497"/>
    </row>
    <row r="498" spans="6:6">
      <c r="F498"/>
    </row>
    <row r="499" spans="6:6">
      <c r="F499"/>
    </row>
    <row r="500" spans="6:6">
      <c r="F500"/>
    </row>
    <row r="501" spans="6:6">
      <c r="F501"/>
    </row>
    <row r="502" spans="6:6">
      <c r="F502"/>
    </row>
    <row r="503" spans="6:6">
      <c r="F503"/>
    </row>
    <row r="504" spans="6:6">
      <c r="F504"/>
    </row>
    <row r="505" spans="6:6">
      <c r="F505"/>
    </row>
    <row r="506" spans="6:6">
      <c r="F506"/>
    </row>
    <row r="507" spans="6:6">
      <c r="F507"/>
    </row>
    <row r="508" spans="6:6">
      <c r="F508"/>
    </row>
    <row r="509" spans="6:6">
      <c r="F509"/>
    </row>
    <row r="510" spans="6:6">
      <c r="F510"/>
    </row>
    <row r="511" spans="6:6">
      <c r="F511"/>
    </row>
    <row r="512" spans="6:6">
      <c r="F512"/>
    </row>
    <row r="513" spans="6:6">
      <c r="F513"/>
    </row>
    <row r="514" spans="6:6">
      <c r="F514"/>
    </row>
    <row r="515" spans="6:6">
      <c r="F515"/>
    </row>
    <row r="516" spans="6:6">
      <c r="F516"/>
    </row>
    <row r="517" spans="6:6">
      <c r="F517"/>
    </row>
    <row r="518" spans="6:6">
      <c r="F518"/>
    </row>
    <row r="519" spans="6:6">
      <c r="F519"/>
    </row>
    <row r="520" spans="6:6">
      <c r="F520"/>
    </row>
    <row r="521" spans="6:6">
      <c r="F521"/>
    </row>
    <row r="522" spans="6:6">
      <c r="F522"/>
    </row>
    <row r="523" spans="6:6">
      <c r="F523"/>
    </row>
    <row r="524" spans="6:6">
      <c r="F524"/>
    </row>
    <row r="525" spans="6:6">
      <c r="F525"/>
    </row>
    <row r="526" spans="6:6">
      <c r="F526"/>
    </row>
    <row r="527" spans="6:6">
      <c r="F527"/>
    </row>
    <row r="528" spans="6:6">
      <c r="F528"/>
    </row>
    <row r="529" spans="6:6">
      <c r="F529"/>
    </row>
    <row r="530" spans="6:6">
      <c r="F530"/>
    </row>
    <row r="531" spans="6:6">
      <c r="F531"/>
    </row>
    <row r="532" spans="6:6">
      <c r="F532"/>
    </row>
    <row r="533" spans="6:6">
      <c r="F533"/>
    </row>
    <row r="534" spans="6:6">
      <c r="F534"/>
    </row>
    <row r="535" spans="6:6">
      <c r="F535"/>
    </row>
    <row r="536" spans="6:6">
      <c r="F536"/>
    </row>
    <row r="537" spans="6:6">
      <c r="F537"/>
    </row>
    <row r="538" spans="6:6">
      <c r="F538"/>
    </row>
    <row r="539" spans="6:6">
      <c r="F539"/>
    </row>
    <row r="540" spans="6:6">
      <c r="F540"/>
    </row>
    <row r="541" spans="6:6">
      <c r="F541"/>
    </row>
    <row r="542" spans="6:6">
      <c r="F542"/>
    </row>
    <row r="543" spans="6:6">
      <c r="F543"/>
    </row>
    <row r="544" spans="6:6">
      <c r="F544"/>
    </row>
    <row r="545" spans="6:6">
      <c r="F545"/>
    </row>
    <row r="546" spans="6:6">
      <c r="F546"/>
    </row>
    <row r="547" spans="6:6">
      <c r="F547"/>
    </row>
    <row r="548" spans="6:6">
      <c r="F548"/>
    </row>
    <row r="549" spans="6:6">
      <c r="F549"/>
    </row>
    <row r="550" spans="6:6">
      <c r="F550"/>
    </row>
    <row r="551" spans="6:6">
      <c r="F551"/>
    </row>
    <row r="552" spans="6:6">
      <c r="F552"/>
    </row>
    <row r="553" spans="6:6">
      <c r="F553"/>
    </row>
    <row r="554" spans="6:6">
      <c r="F554"/>
    </row>
    <row r="555" spans="6:6">
      <c r="F555"/>
    </row>
    <row r="556" spans="6:6">
      <c r="F556"/>
    </row>
    <row r="557" spans="6:6">
      <c r="F557"/>
    </row>
    <row r="558" spans="6:6">
      <c r="F558"/>
    </row>
    <row r="559" spans="6:6">
      <c r="F559"/>
    </row>
    <row r="560" spans="6:6">
      <c r="F560"/>
    </row>
    <row r="561" spans="6:6">
      <c r="F561"/>
    </row>
    <row r="562" spans="6:6">
      <c r="F562"/>
    </row>
    <row r="563" spans="6:6">
      <c r="F563"/>
    </row>
    <row r="564" spans="6:6">
      <c r="F564"/>
    </row>
    <row r="565" spans="6:6">
      <c r="F565"/>
    </row>
    <row r="566" spans="6:6">
      <c r="F566"/>
    </row>
    <row r="567" spans="6:6">
      <c r="F567"/>
    </row>
    <row r="568" spans="6:6">
      <c r="F568"/>
    </row>
    <row r="569" spans="6:6">
      <c r="F569"/>
    </row>
    <row r="570" spans="6:6">
      <c r="F570"/>
    </row>
    <row r="571" spans="6:6">
      <c r="F571"/>
    </row>
    <row r="572" spans="6:6">
      <c r="F572"/>
    </row>
    <row r="573" spans="6:6">
      <c r="F573"/>
    </row>
    <row r="574" spans="6:6">
      <c r="F574"/>
    </row>
    <row r="575" spans="6:6">
      <c r="F575"/>
    </row>
    <row r="576" spans="6:6">
      <c r="F576"/>
    </row>
    <row r="577" spans="6:6">
      <c r="F577"/>
    </row>
    <row r="578" spans="6:6">
      <c r="F578"/>
    </row>
    <row r="579" spans="6:6">
      <c r="F579"/>
    </row>
    <row r="580" spans="6:6">
      <c r="F580"/>
    </row>
    <row r="581" spans="6:6">
      <c r="F581"/>
    </row>
    <row r="582" spans="6:6">
      <c r="F582"/>
    </row>
    <row r="583" spans="6:6">
      <c r="F583"/>
    </row>
    <row r="584" spans="6:6">
      <c r="F584"/>
    </row>
    <row r="585" spans="6:6">
      <c r="F585"/>
    </row>
    <row r="586" spans="6:6">
      <c r="F586"/>
    </row>
    <row r="587" spans="6:6">
      <c r="F587"/>
    </row>
    <row r="588" spans="6:6">
      <c r="F588"/>
    </row>
    <row r="589" spans="6:6">
      <c r="F589"/>
    </row>
    <row r="590" spans="6:6">
      <c r="F590"/>
    </row>
    <row r="591" spans="6:6">
      <c r="F591"/>
    </row>
    <row r="592" spans="6:6">
      <c r="F592"/>
    </row>
    <row r="593" spans="6:6">
      <c r="F593"/>
    </row>
    <row r="594" spans="6:6">
      <c r="F594"/>
    </row>
    <row r="595" spans="6:6">
      <c r="F595"/>
    </row>
    <row r="596" spans="6:6">
      <c r="F596"/>
    </row>
    <row r="597" spans="6:6">
      <c r="F597"/>
    </row>
    <row r="598" spans="6:6">
      <c r="F598"/>
    </row>
    <row r="599" spans="6:6">
      <c r="F599"/>
    </row>
    <row r="600" spans="6:6">
      <c r="F600"/>
    </row>
    <row r="601" spans="6:6">
      <c r="F601"/>
    </row>
    <row r="602" spans="6:6">
      <c r="F602"/>
    </row>
    <row r="603" spans="6:6">
      <c r="F603"/>
    </row>
    <row r="604" spans="6:6">
      <c r="F604"/>
    </row>
    <row r="605" spans="6:6">
      <c r="F605"/>
    </row>
    <row r="606" spans="6:6">
      <c r="F606"/>
    </row>
    <row r="607" spans="6:6">
      <c r="F607"/>
    </row>
    <row r="608" spans="6:6">
      <c r="F608"/>
    </row>
    <row r="609" spans="6:6">
      <c r="F609"/>
    </row>
    <row r="610" spans="6:6">
      <c r="F610"/>
    </row>
    <row r="611" spans="6:6">
      <c r="F611"/>
    </row>
    <row r="612" spans="6:6">
      <c r="F612"/>
    </row>
    <row r="613" spans="6:6">
      <c r="F613"/>
    </row>
    <row r="614" spans="6:6">
      <c r="F614"/>
    </row>
    <row r="615" spans="6:6">
      <c r="F615"/>
    </row>
    <row r="616" spans="6:6">
      <c r="F616"/>
    </row>
    <row r="617" spans="6:6">
      <c r="F617"/>
    </row>
    <row r="618" spans="6:6">
      <c r="F618"/>
    </row>
    <row r="619" spans="6:6">
      <c r="F619"/>
    </row>
    <row r="620" spans="6:6">
      <c r="F620"/>
    </row>
    <row r="621" spans="6:6">
      <c r="F621"/>
    </row>
    <row r="622" spans="6:6">
      <c r="F622"/>
    </row>
    <row r="623" spans="6:6">
      <c r="F623"/>
    </row>
    <row r="624" spans="6:6">
      <c r="F624"/>
    </row>
    <row r="625" spans="6:6">
      <c r="F625"/>
    </row>
    <row r="626" spans="6:6">
      <c r="F626"/>
    </row>
    <row r="627" spans="6:6">
      <c r="F627"/>
    </row>
    <row r="628" spans="6:6">
      <c r="F628"/>
    </row>
    <row r="629" spans="6:6">
      <c r="F629"/>
    </row>
    <row r="630" spans="6:6">
      <c r="F630"/>
    </row>
    <row r="631" spans="6:6">
      <c r="F631"/>
    </row>
    <row r="632" spans="6:6">
      <c r="F632"/>
    </row>
    <row r="633" spans="6:6">
      <c r="F633"/>
    </row>
    <row r="634" spans="6:6">
      <c r="F634"/>
    </row>
    <row r="635" spans="6:6">
      <c r="F635"/>
    </row>
    <row r="636" spans="6:6">
      <c r="F636"/>
    </row>
    <row r="637" spans="6:6">
      <c r="F637"/>
    </row>
    <row r="638" spans="6:6">
      <c r="F638"/>
    </row>
    <row r="639" spans="6:6">
      <c r="F639"/>
    </row>
    <row r="640" spans="6:6">
      <c r="F640"/>
    </row>
    <row r="641" spans="6:6">
      <c r="F641"/>
    </row>
    <row r="642" spans="6:6">
      <c r="F642"/>
    </row>
    <row r="643" spans="6:6">
      <c r="F643"/>
    </row>
    <row r="644" spans="6:6">
      <c r="F644"/>
    </row>
    <row r="645" spans="6:6">
      <c r="F645"/>
    </row>
    <row r="646" spans="6:6">
      <c r="F646"/>
    </row>
    <row r="647" spans="6:6">
      <c r="F647"/>
    </row>
    <row r="648" spans="6:6">
      <c r="F648"/>
    </row>
    <row r="649" spans="6:6">
      <c r="F649"/>
    </row>
    <row r="650" spans="6:6">
      <c r="F650"/>
    </row>
    <row r="651" spans="6:6">
      <c r="F651"/>
    </row>
    <row r="652" spans="6:6">
      <c r="F652"/>
    </row>
    <row r="653" spans="6:6">
      <c r="F653"/>
    </row>
    <row r="654" spans="6:6">
      <c r="F654"/>
    </row>
    <row r="655" spans="6:6">
      <c r="F655"/>
    </row>
    <row r="656" spans="6:6">
      <c r="F656"/>
    </row>
    <row r="657" spans="6:6">
      <c r="F657"/>
    </row>
    <row r="658" spans="6:6">
      <c r="F658"/>
    </row>
    <row r="659" spans="6:6">
      <c r="F659"/>
    </row>
    <row r="660" spans="6:6">
      <c r="F660"/>
    </row>
    <row r="661" spans="6:6">
      <c r="F661"/>
    </row>
    <row r="662" spans="6:6">
      <c r="F662"/>
    </row>
    <row r="663" spans="6:6">
      <c r="F663"/>
    </row>
    <row r="664" spans="6:6">
      <c r="F664"/>
    </row>
    <row r="665" spans="6:6">
      <c r="F665"/>
    </row>
    <row r="666" spans="6:6">
      <c r="F666"/>
    </row>
    <row r="667" spans="6:6">
      <c r="F667"/>
    </row>
    <row r="668" spans="6:6">
      <c r="F668"/>
    </row>
    <row r="669" spans="6:6">
      <c r="F669"/>
    </row>
    <row r="670" spans="6:6">
      <c r="F670"/>
    </row>
    <row r="671" spans="6:6">
      <c r="F671"/>
    </row>
    <row r="672" spans="6:6">
      <c r="F672"/>
    </row>
    <row r="673" spans="6:6">
      <c r="F673"/>
    </row>
    <row r="674" spans="6:6">
      <c r="F674"/>
    </row>
    <row r="675" spans="6:6">
      <c r="F675"/>
    </row>
    <row r="676" spans="6:6">
      <c r="F676"/>
    </row>
    <row r="677" spans="6:6">
      <c r="F677"/>
    </row>
    <row r="678" spans="6:6">
      <c r="F678"/>
    </row>
    <row r="679" spans="6:6">
      <c r="F679"/>
    </row>
    <row r="680" spans="6:6">
      <c r="F680"/>
    </row>
    <row r="681" spans="6:6">
      <c r="F681"/>
    </row>
    <row r="682" spans="6:6">
      <c r="F682"/>
    </row>
    <row r="683" spans="6:6">
      <c r="F683"/>
    </row>
    <row r="684" spans="6:6">
      <c r="F684"/>
    </row>
    <row r="685" spans="6:6">
      <c r="F685"/>
    </row>
    <row r="686" spans="6:6">
      <c r="F686"/>
    </row>
    <row r="687" spans="6:6">
      <c r="F687"/>
    </row>
    <row r="688" spans="6:6">
      <c r="F688"/>
    </row>
    <row r="689" spans="6:6">
      <c r="F689"/>
    </row>
    <row r="690" spans="6:6">
      <c r="F690"/>
    </row>
    <row r="691" spans="6:6">
      <c r="F691"/>
    </row>
    <row r="692" spans="6:6">
      <c r="F692"/>
    </row>
    <row r="693" spans="6:6">
      <c r="F693"/>
    </row>
    <row r="694" spans="6:6">
      <c r="F694"/>
    </row>
    <row r="695" spans="6:6">
      <c r="F695"/>
    </row>
    <row r="696" spans="6:6">
      <c r="F696"/>
    </row>
    <row r="697" spans="6:6">
      <c r="F697"/>
    </row>
    <row r="698" spans="6:6">
      <c r="F698"/>
    </row>
    <row r="699" spans="6:6">
      <c r="F699"/>
    </row>
    <row r="700" spans="6:6">
      <c r="F700"/>
    </row>
    <row r="701" spans="6:6">
      <c r="F701"/>
    </row>
    <row r="702" spans="6:6">
      <c r="F702"/>
    </row>
    <row r="703" spans="6:6">
      <c r="F703"/>
    </row>
    <row r="704" spans="6:6">
      <c r="F704"/>
    </row>
    <row r="705" spans="6:6">
      <c r="F705"/>
    </row>
    <row r="706" spans="6:6">
      <c r="F706"/>
    </row>
    <row r="707" spans="6:6">
      <c r="F707"/>
    </row>
    <row r="708" spans="6:6">
      <c r="F708"/>
    </row>
    <row r="709" spans="6:6">
      <c r="F709"/>
    </row>
    <row r="710" spans="6:6">
      <c r="F710"/>
    </row>
    <row r="711" spans="6:6">
      <c r="F711"/>
    </row>
    <row r="712" spans="6:6">
      <c r="F712"/>
    </row>
    <row r="713" spans="6:6">
      <c r="F713"/>
    </row>
    <row r="714" spans="6:6">
      <c r="F714"/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C05C3-9440-45CC-955D-BA2F4277CCFA}">
  <dimension ref="A1"/>
  <sheetViews>
    <sheetView workbookViewId="0"/>
  </sheetViews>
  <sheetFormatPr defaultRowHeight="13.5"/>
  <sheetData/>
  <phoneticPr fontId="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3DAC8-ADE9-47B5-9CE5-697CD472A728}">
  <sheetPr codeName="Sheet17"/>
  <dimension ref="A1:F357"/>
  <sheetViews>
    <sheetView topLeftCell="A112" workbookViewId="0">
      <selection activeCell="D1475" sqref="D1475"/>
    </sheetView>
  </sheetViews>
  <sheetFormatPr defaultColWidth="9" defaultRowHeight="13.5"/>
  <cols>
    <col min="1" max="1" width="19.75" style="310" customWidth="1"/>
    <col min="2" max="2" width="15.75" customWidth="1"/>
    <col min="3" max="3" width="26.625" customWidth="1"/>
    <col min="4" max="4" width="12.75" style="256" bestFit="1" customWidth="1"/>
    <col min="5" max="5" width="13.75" bestFit="1" customWidth="1"/>
    <col min="6" max="6" width="33.5" style="17" bestFit="1" customWidth="1"/>
    <col min="7" max="7" width="33.5" bestFit="1" customWidth="1"/>
    <col min="8" max="9" width="33.375" bestFit="1" customWidth="1"/>
  </cols>
  <sheetData>
    <row r="1" spans="1:6">
      <c r="A1" s="16" t="s">
        <v>3638</v>
      </c>
      <c r="B1" t="s">
        <v>231</v>
      </c>
    </row>
    <row r="2" spans="1:6">
      <c r="A2" s="16" t="s">
        <v>3533</v>
      </c>
      <c r="B2" t="s">
        <v>3534</v>
      </c>
    </row>
    <row r="3" spans="1:6">
      <c r="A3" s="16" t="s">
        <v>3535</v>
      </c>
      <c r="B3" s="330">
        <v>2022</v>
      </c>
    </row>
    <row r="4" spans="1:6">
      <c r="A4" s="16" t="s">
        <v>3536</v>
      </c>
      <c r="B4" t="s">
        <v>231</v>
      </c>
    </row>
    <row r="5" spans="1:6">
      <c r="A5" s="16" t="s">
        <v>3639</v>
      </c>
      <c r="B5" t="s">
        <v>3534</v>
      </c>
    </row>
    <row r="6" spans="1:6">
      <c r="A6"/>
      <c r="F6"/>
    </row>
    <row r="7" spans="1:6">
      <c r="C7" s="310"/>
      <c r="E7" s="16" t="s">
        <v>3537</v>
      </c>
    </row>
    <row r="8" spans="1:6">
      <c r="A8" s="16" t="s">
        <v>3540</v>
      </c>
      <c r="B8" s="262" t="s">
        <v>3538</v>
      </c>
      <c r="C8" s="16" t="s">
        <v>3541</v>
      </c>
      <c r="D8" s="322" t="s">
        <v>3539</v>
      </c>
      <c r="E8" t="s">
        <v>3542</v>
      </c>
      <c r="F8" s="17" t="s">
        <v>3543</v>
      </c>
    </row>
    <row r="9" spans="1:6">
      <c r="A9" t="s">
        <v>153</v>
      </c>
      <c r="B9">
        <v>110803</v>
      </c>
      <c r="C9" t="s">
        <v>3583</v>
      </c>
      <c r="D9" s="256">
        <v>44581</v>
      </c>
      <c r="E9">
        <v>6</v>
      </c>
      <c r="F9" s="17">
        <v>82439520</v>
      </c>
    </row>
    <row r="10" spans="1:6">
      <c r="A10" s="323" t="s">
        <v>3640</v>
      </c>
      <c r="B10" s="263"/>
      <c r="C10" s="323"/>
      <c r="D10" s="325"/>
      <c r="E10" s="263">
        <v>6</v>
      </c>
      <c r="F10" s="324">
        <v>82439520</v>
      </c>
    </row>
    <row r="11" spans="1:6">
      <c r="A11" t="s">
        <v>551</v>
      </c>
      <c r="B11">
        <v>110877</v>
      </c>
      <c r="C11" t="s">
        <v>3594</v>
      </c>
      <c r="D11" s="256">
        <v>44637</v>
      </c>
      <c r="E11">
        <v>1</v>
      </c>
      <c r="F11" s="17">
        <v>4700360</v>
      </c>
    </row>
    <row r="12" spans="1:6">
      <c r="A12" s="323" t="s">
        <v>3641</v>
      </c>
      <c r="B12" s="263"/>
      <c r="C12" s="323"/>
      <c r="D12" s="325"/>
      <c r="E12" s="263">
        <v>1</v>
      </c>
      <c r="F12" s="324">
        <v>4700360</v>
      </c>
    </row>
    <row r="13" spans="1:6">
      <c r="A13" t="s">
        <v>3546</v>
      </c>
      <c r="B13">
        <v>110666</v>
      </c>
      <c r="C13" t="s">
        <v>76</v>
      </c>
      <c r="D13" s="256">
        <v>44516</v>
      </c>
      <c r="E13">
        <v>2</v>
      </c>
      <c r="F13" s="17">
        <v>16039000</v>
      </c>
    </row>
    <row r="14" spans="1:6">
      <c r="A14"/>
      <c r="B14">
        <v>110791</v>
      </c>
      <c r="C14" t="s">
        <v>3582</v>
      </c>
      <c r="D14" s="256">
        <v>44571</v>
      </c>
      <c r="E14">
        <v>1</v>
      </c>
      <c r="F14" s="17">
        <v>8641981</v>
      </c>
    </row>
    <row r="15" spans="1:6">
      <c r="A15"/>
      <c r="B15">
        <v>110940</v>
      </c>
      <c r="C15" t="s">
        <v>3607</v>
      </c>
      <c r="D15" s="256">
        <v>44680</v>
      </c>
      <c r="E15">
        <v>4</v>
      </c>
      <c r="F15" s="17">
        <v>35339280</v>
      </c>
    </row>
    <row r="16" spans="1:6">
      <c r="A16"/>
      <c r="B16">
        <v>111077</v>
      </c>
      <c r="C16" t="s">
        <v>3548</v>
      </c>
      <c r="D16" s="256">
        <v>44782</v>
      </c>
      <c r="E16">
        <v>1</v>
      </c>
      <c r="F16" s="17">
        <v>8528445</v>
      </c>
    </row>
    <row r="17" spans="1:6">
      <c r="A17"/>
      <c r="B17" t="s">
        <v>3642</v>
      </c>
      <c r="C17" t="s">
        <v>3643</v>
      </c>
      <c r="D17" s="256">
        <v>44791</v>
      </c>
      <c r="E17">
        <v>2</v>
      </c>
      <c r="F17" s="17">
        <v>13860020</v>
      </c>
    </row>
    <row r="18" spans="1:6">
      <c r="A18" s="323" t="s">
        <v>3644</v>
      </c>
      <c r="B18" s="263"/>
      <c r="C18" s="323"/>
      <c r="D18" s="325"/>
      <c r="E18" s="263">
        <v>10</v>
      </c>
      <c r="F18" s="324">
        <v>82408726</v>
      </c>
    </row>
    <row r="19" spans="1:6">
      <c r="A19" t="s">
        <v>17</v>
      </c>
      <c r="B19">
        <v>110436</v>
      </c>
      <c r="C19" t="s">
        <v>76</v>
      </c>
      <c r="D19" s="256">
        <v>44179</v>
      </c>
      <c r="E19">
        <v>1</v>
      </c>
      <c r="F19" s="17">
        <v>12450765</v>
      </c>
    </row>
    <row r="20" spans="1:6">
      <c r="A20"/>
      <c r="B20">
        <v>110689</v>
      </c>
      <c r="C20" t="s">
        <v>3555</v>
      </c>
      <c r="D20" s="256">
        <v>44516</v>
      </c>
      <c r="E20">
        <v>1</v>
      </c>
      <c r="F20" s="17">
        <v>11684645</v>
      </c>
    </row>
    <row r="21" spans="1:6">
      <c r="A21"/>
      <c r="B21">
        <v>110690</v>
      </c>
      <c r="C21" t="s">
        <v>3557</v>
      </c>
      <c r="D21" s="256">
        <v>44516</v>
      </c>
      <c r="E21">
        <v>1</v>
      </c>
      <c r="F21" s="17">
        <v>11684645</v>
      </c>
    </row>
    <row r="22" spans="1:6">
      <c r="A22"/>
      <c r="B22">
        <v>110691</v>
      </c>
      <c r="C22" t="s">
        <v>3563</v>
      </c>
      <c r="D22" s="256">
        <v>44516</v>
      </c>
      <c r="E22">
        <v>1</v>
      </c>
      <c r="F22" s="17">
        <v>11684645</v>
      </c>
    </row>
    <row r="23" spans="1:6">
      <c r="A23"/>
      <c r="B23">
        <v>110692</v>
      </c>
      <c r="C23" t="s">
        <v>3564</v>
      </c>
      <c r="D23" s="256">
        <v>44516</v>
      </c>
      <c r="E23">
        <v>1</v>
      </c>
      <c r="F23" s="17">
        <v>10074695</v>
      </c>
    </row>
    <row r="24" spans="1:6">
      <c r="A24"/>
      <c r="B24">
        <v>110726</v>
      </c>
      <c r="C24" t="s">
        <v>3565</v>
      </c>
      <c r="D24" s="256">
        <v>44539</v>
      </c>
      <c r="E24">
        <v>2</v>
      </c>
      <c r="F24" s="17">
        <v>18436090</v>
      </c>
    </row>
    <row r="25" spans="1:6">
      <c r="A25"/>
      <c r="B25">
        <v>110727</v>
      </c>
      <c r="C25" t="s">
        <v>3566</v>
      </c>
      <c r="D25" s="256">
        <v>44539</v>
      </c>
      <c r="E25">
        <v>2</v>
      </c>
      <c r="F25" s="17">
        <v>17783290</v>
      </c>
    </row>
    <row r="26" spans="1:6">
      <c r="A26"/>
      <c r="B26">
        <v>110729</v>
      </c>
      <c r="C26" t="s">
        <v>3567</v>
      </c>
      <c r="D26" s="256">
        <v>44539</v>
      </c>
      <c r="E26">
        <v>2</v>
      </c>
      <c r="F26" s="17">
        <v>17889340</v>
      </c>
    </row>
    <row r="27" spans="1:6">
      <c r="A27"/>
      <c r="B27">
        <v>110728</v>
      </c>
      <c r="C27" t="s">
        <v>3568</v>
      </c>
      <c r="D27" s="256">
        <v>44539</v>
      </c>
      <c r="E27">
        <v>1</v>
      </c>
      <c r="F27" s="17">
        <v>9338045</v>
      </c>
    </row>
    <row r="28" spans="1:6">
      <c r="A28"/>
      <c r="B28">
        <v>110730</v>
      </c>
      <c r="C28" t="s">
        <v>3560</v>
      </c>
      <c r="D28" s="256">
        <v>44539</v>
      </c>
      <c r="E28">
        <v>2</v>
      </c>
      <c r="F28" s="17">
        <v>20100760</v>
      </c>
    </row>
    <row r="29" spans="1:6">
      <c r="A29"/>
      <c r="B29">
        <v>110800</v>
      </c>
      <c r="C29" t="s">
        <v>76</v>
      </c>
      <c r="D29" s="256">
        <v>44179</v>
      </c>
      <c r="E29">
        <v>2</v>
      </c>
      <c r="F29" s="17">
        <v>10789530</v>
      </c>
    </row>
    <row r="30" spans="1:6">
      <c r="A30"/>
      <c r="B30">
        <v>110771</v>
      </c>
      <c r="C30" t="s">
        <v>76</v>
      </c>
      <c r="D30" s="256">
        <v>44179</v>
      </c>
      <c r="E30">
        <v>2</v>
      </c>
      <c r="F30" s="17">
        <v>12114330</v>
      </c>
    </row>
    <row r="31" spans="1:6">
      <c r="A31"/>
      <c r="B31">
        <v>110472</v>
      </c>
      <c r="C31" t="s">
        <v>76</v>
      </c>
      <c r="D31" s="256">
        <v>44179</v>
      </c>
      <c r="E31">
        <v>3</v>
      </c>
      <c r="F31" s="17">
        <v>16859295</v>
      </c>
    </row>
    <row r="32" spans="1:6">
      <c r="A32"/>
      <c r="B32">
        <v>110755</v>
      </c>
      <c r="C32" t="s">
        <v>3572</v>
      </c>
      <c r="D32" s="256">
        <v>44559</v>
      </c>
      <c r="E32">
        <v>1</v>
      </c>
      <c r="F32" s="17">
        <v>6184445</v>
      </c>
    </row>
    <row r="33" spans="1:6">
      <c r="A33"/>
      <c r="B33">
        <v>110756</v>
      </c>
      <c r="C33" t="s">
        <v>3573</v>
      </c>
      <c r="D33" s="256">
        <v>44559</v>
      </c>
      <c r="E33">
        <v>2</v>
      </c>
      <c r="F33" s="17">
        <v>14809690</v>
      </c>
    </row>
    <row r="34" spans="1:6">
      <c r="A34"/>
      <c r="B34">
        <v>110757</v>
      </c>
      <c r="C34" t="s">
        <v>3574</v>
      </c>
      <c r="D34" s="256">
        <v>44559</v>
      </c>
      <c r="E34">
        <v>2</v>
      </c>
      <c r="F34" s="17">
        <v>14215290</v>
      </c>
    </row>
    <row r="35" spans="1:6">
      <c r="A35"/>
      <c r="B35">
        <v>110758</v>
      </c>
      <c r="C35" t="s">
        <v>3561</v>
      </c>
      <c r="D35" s="256">
        <v>44559</v>
      </c>
      <c r="E35">
        <v>1</v>
      </c>
      <c r="F35" s="17">
        <v>6184445</v>
      </c>
    </row>
    <row r="36" spans="1:6">
      <c r="A36"/>
      <c r="B36">
        <v>110759</v>
      </c>
      <c r="C36" t="s">
        <v>3575</v>
      </c>
      <c r="D36" s="256">
        <v>44559</v>
      </c>
      <c r="E36">
        <v>1</v>
      </c>
      <c r="F36" s="17">
        <v>6184445</v>
      </c>
    </row>
    <row r="37" spans="1:6">
      <c r="A37"/>
      <c r="B37">
        <v>110760</v>
      </c>
      <c r="C37" t="s">
        <v>3576</v>
      </c>
      <c r="D37" s="256">
        <v>44559</v>
      </c>
      <c r="E37">
        <v>1</v>
      </c>
      <c r="F37" s="17">
        <v>5784445</v>
      </c>
    </row>
    <row r="38" spans="1:6">
      <c r="A38"/>
      <c r="B38">
        <v>110761</v>
      </c>
      <c r="C38" t="s">
        <v>3577</v>
      </c>
      <c r="D38" s="256">
        <v>44559</v>
      </c>
      <c r="E38">
        <v>1</v>
      </c>
      <c r="F38" s="17">
        <v>5784445</v>
      </c>
    </row>
    <row r="39" spans="1:6">
      <c r="A39"/>
      <c r="B39">
        <v>110762</v>
      </c>
      <c r="C39" t="s">
        <v>3578</v>
      </c>
      <c r="D39" s="256">
        <v>44559</v>
      </c>
      <c r="E39">
        <v>1</v>
      </c>
      <c r="F39" s="17">
        <v>6184445</v>
      </c>
    </row>
    <row r="40" spans="1:6">
      <c r="A40"/>
      <c r="B40">
        <v>110763</v>
      </c>
      <c r="C40" t="s">
        <v>3562</v>
      </c>
      <c r="D40" s="256">
        <v>44559</v>
      </c>
      <c r="E40">
        <v>3</v>
      </c>
      <c r="F40" s="17">
        <v>23533635</v>
      </c>
    </row>
    <row r="41" spans="1:6">
      <c r="A41"/>
      <c r="B41">
        <v>110764</v>
      </c>
      <c r="C41" t="s">
        <v>3560</v>
      </c>
      <c r="D41" s="256">
        <v>44559</v>
      </c>
      <c r="E41">
        <v>1</v>
      </c>
      <c r="F41" s="17">
        <v>6933095</v>
      </c>
    </row>
    <row r="42" spans="1:6">
      <c r="A42"/>
      <c r="B42">
        <v>110765</v>
      </c>
      <c r="C42" t="s">
        <v>3580</v>
      </c>
      <c r="D42" s="256">
        <v>44559</v>
      </c>
      <c r="E42">
        <v>1</v>
      </c>
      <c r="F42" s="17">
        <v>6184445</v>
      </c>
    </row>
    <row r="43" spans="1:6">
      <c r="A43"/>
      <c r="B43">
        <v>110812</v>
      </c>
      <c r="C43" t="s">
        <v>76</v>
      </c>
      <c r="D43" s="256">
        <v>44179</v>
      </c>
      <c r="E43">
        <v>3</v>
      </c>
      <c r="F43" s="17">
        <v>16521795</v>
      </c>
    </row>
    <row r="44" spans="1:6">
      <c r="A44"/>
      <c r="B44">
        <v>110809</v>
      </c>
      <c r="C44" t="s">
        <v>200</v>
      </c>
      <c r="D44" s="256">
        <v>44582</v>
      </c>
      <c r="E44">
        <v>4</v>
      </c>
      <c r="F44" s="17">
        <v>27932380</v>
      </c>
    </row>
    <row r="45" spans="1:6">
      <c r="A45"/>
      <c r="B45">
        <v>110810</v>
      </c>
      <c r="C45" t="s">
        <v>200</v>
      </c>
      <c r="D45" s="256">
        <v>44582</v>
      </c>
      <c r="E45">
        <v>10</v>
      </c>
      <c r="F45" s="17">
        <v>83188600</v>
      </c>
    </row>
    <row r="46" spans="1:6">
      <c r="A46"/>
      <c r="B46">
        <v>110813</v>
      </c>
      <c r="C46" t="s">
        <v>3574</v>
      </c>
      <c r="D46" s="256">
        <v>44587</v>
      </c>
      <c r="E46">
        <v>2</v>
      </c>
      <c r="F46" s="17">
        <v>18182340</v>
      </c>
    </row>
    <row r="47" spans="1:6">
      <c r="A47"/>
      <c r="B47">
        <v>110824</v>
      </c>
      <c r="C47" t="s">
        <v>101</v>
      </c>
      <c r="D47" s="256">
        <v>44223</v>
      </c>
      <c r="E47">
        <v>1</v>
      </c>
      <c r="F47" s="17">
        <v>6849315</v>
      </c>
    </row>
    <row r="48" spans="1:6">
      <c r="A48"/>
      <c r="B48">
        <v>110829</v>
      </c>
      <c r="C48" t="s">
        <v>3578</v>
      </c>
      <c r="D48" s="256">
        <v>44607</v>
      </c>
      <c r="E48">
        <v>1</v>
      </c>
      <c r="F48" s="17">
        <v>15833695</v>
      </c>
    </row>
    <row r="49" spans="1:6">
      <c r="A49"/>
      <c r="B49">
        <v>110825</v>
      </c>
      <c r="C49" t="s">
        <v>3552</v>
      </c>
      <c r="D49" s="256">
        <v>44607</v>
      </c>
      <c r="E49">
        <v>2</v>
      </c>
      <c r="F49" s="17">
        <v>23290790</v>
      </c>
    </row>
    <row r="50" spans="1:6">
      <c r="A50"/>
      <c r="B50">
        <v>110831</v>
      </c>
      <c r="C50" t="s">
        <v>3586</v>
      </c>
      <c r="D50" s="256">
        <v>44607</v>
      </c>
      <c r="E50">
        <v>1</v>
      </c>
      <c r="F50" s="17">
        <v>13929445</v>
      </c>
    </row>
    <row r="51" spans="1:6">
      <c r="A51"/>
      <c r="B51">
        <v>110830</v>
      </c>
      <c r="C51" t="s">
        <v>3557</v>
      </c>
      <c r="D51" s="256">
        <v>44607</v>
      </c>
      <c r="E51">
        <v>2</v>
      </c>
      <c r="F51" s="17">
        <v>21351990</v>
      </c>
    </row>
    <row r="52" spans="1:6">
      <c r="A52"/>
      <c r="B52">
        <v>110826</v>
      </c>
      <c r="C52" t="s">
        <v>3584</v>
      </c>
      <c r="D52" s="256">
        <v>44607</v>
      </c>
      <c r="E52">
        <v>1</v>
      </c>
      <c r="F52" s="17">
        <v>15741195</v>
      </c>
    </row>
    <row r="53" spans="1:6">
      <c r="A53"/>
      <c r="B53">
        <v>110827</v>
      </c>
      <c r="C53" t="s">
        <v>3585</v>
      </c>
      <c r="D53" s="256">
        <v>44607</v>
      </c>
      <c r="E53">
        <v>1</v>
      </c>
      <c r="F53" s="17">
        <v>15357645</v>
      </c>
    </row>
    <row r="54" spans="1:6">
      <c r="A54"/>
      <c r="B54">
        <v>110828</v>
      </c>
      <c r="C54" t="s">
        <v>3568</v>
      </c>
      <c r="D54" s="256">
        <v>44607</v>
      </c>
      <c r="E54">
        <v>1</v>
      </c>
      <c r="F54" s="17">
        <v>15514995</v>
      </c>
    </row>
    <row r="55" spans="1:6">
      <c r="A55"/>
      <c r="B55">
        <v>110832</v>
      </c>
      <c r="C55" t="s">
        <v>3562</v>
      </c>
      <c r="D55" s="256">
        <v>44607</v>
      </c>
      <c r="E55">
        <v>2</v>
      </c>
      <c r="F55" s="17">
        <v>20018590</v>
      </c>
    </row>
    <row r="56" spans="1:6">
      <c r="A56"/>
      <c r="B56">
        <v>110429</v>
      </c>
      <c r="C56" t="s">
        <v>76</v>
      </c>
      <c r="D56" s="256">
        <v>44179</v>
      </c>
      <c r="E56">
        <v>3</v>
      </c>
      <c r="F56" s="17">
        <v>16184295</v>
      </c>
    </row>
    <row r="57" spans="1:6">
      <c r="A57"/>
      <c r="B57">
        <v>110870</v>
      </c>
      <c r="C57" t="s">
        <v>3591</v>
      </c>
      <c r="D57" s="256">
        <v>44637</v>
      </c>
      <c r="E57">
        <v>2</v>
      </c>
      <c r="F57" s="17">
        <v>20207990</v>
      </c>
    </row>
    <row r="58" spans="1:6">
      <c r="A58"/>
      <c r="B58">
        <v>110874</v>
      </c>
      <c r="C58" t="s">
        <v>3592</v>
      </c>
      <c r="D58" s="256">
        <v>44637</v>
      </c>
      <c r="E58">
        <v>1</v>
      </c>
      <c r="F58" s="17">
        <v>10066645</v>
      </c>
    </row>
    <row r="59" spans="1:6">
      <c r="A59"/>
      <c r="B59">
        <v>110873</v>
      </c>
      <c r="C59" t="s">
        <v>3593</v>
      </c>
      <c r="D59" s="256">
        <v>44637</v>
      </c>
      <c r="E59">
        <v>3</v>
      </c>
      <c r="F59" s="17">
        <v>32856885</v>
      </c>
    </row>
    <row r="60" spans="1:6">
      <c r="A60"/>
      <c r="B60">
        <v>110883</v>
      </c>
      <c r="C60" t="s">
        <v>3596</v>
      </c>
      <c r="D60" s="256">
        <v>44645</v>
      </c>
      <c r="E60">
        <v>3</v>
      </c>
      <c r="F60" s="17">
        <v>25442535</v>
      </c>
    </row>
    <row r="61" spans="1:6">
      <c r="A61"/>
      <c r="B61">
        <v>110872</v>
      </c>
      <c r="C61" t="s">
        <v>3598</v>
      </c>
      <c r="D61" s="256">
        <v>44637</v>
      </c>
      <c r="E61">
        <v>2</v>
      </c>
      <c r="F61" s="17">
        <v>20207990</v>
      </c>
    </row>
    <row r="62" spans="1:6">
      <c r="A62"/>
      <c r="B62">
        <v>110896</v>
      </c>
      <c r="C62" t="s">
        <v>200</v>
      </c>
      <c r="D62" s="256">
        <v>44582</v>
      </c>
      <c r="E62">
        <v>6</v>
      </c>
      <c r="F62" s="17">
        <v>55256220</v>
      </c>
    </row>
    <row r="63" spans="1:6">
      <c r="A63"/>
      <c r="B63">
        <v>110910</v>
      </c>
      <c r="C63" t="s">
        <v>76</v>
      </c>
      <c r="D63" s="256">
        <v>44179</v>
      </c>
      <c r="E63">
        <v>1</v>
      </c>
      <c r="F63" s="17">
        <v>5394765</v>
      </c>
    </row>
    <row r="64" spans="1:6">
      <c r="A64"/>
      <c r="B64" t="s">
        <v>3600</v>
      </c>
      <c r="C64" t="s">
        <v>200</v>
      </c>
      <c r="D64" s="256">
        <v>44582</v>
      </c>
      <c r="E64">
        <v>5</v>
      </c>
      <c r="F64" s="17">
        <v>41364930</v>
      </c>
    </row>
    <row r="65" spans="1:6">
      <c r="A65"/>
      <c r="B65">
        <v>110871</v>
      </c>
      <c r="C65" t="s">
        <v>3597</v>
      </c>
      <c r="D65" s="256">
        <v>44637</v>
      </c>
      <c r="E65">
        <v>1</v>
      </c>
      <c r="F65" s="17">
        <v>10021195</v>
      </c>
    </row>
    <row r="66" spans="1:6">
      <c r="A66"/>
      <c r="B66">
        <v>110875</v>
      </c>
      <c r="C66" t="s">
        <v>3595</v>
      </c>
      <c r="D66" s="256">
        <v>44637</v>
      </c>
      <c r="E66">
        <v>2</v>
      </c>
      <c r="F66" s="17">
        <v>19408790</v>
      </c>
    </row>
    <row r="67" spans="1:6">
      <c r="A67"/>
      <c r="B67">
        <v>110887</v>
      </c>
      <c r="C67" t="s">
        <v>3596</v>
      </c>
      <c r="D67" s="256">
        <v>44645</v>
      </c>
      <c r="E67">
        <v>1</v>
      </c>
      <c r="F67" s="17">
        <v>9909445</v>
      </c>
    </row>
    <row r="68" spans="1:6">
      <c r="A68"/>
      <c r="B68">
        <v>110918</v>
      </c>
      <c r="C68" t="s">
        <v>3560</v>
      </c>
      <c r="D68" s="256">
        <v>44672</v>
      </c>
      <c r="E68">
        <v>2</v>
      </c>
      <c r="F68" s="17">
        <v>22504490</v>
      </c>
    </row>
    <row r="69" spans="1:6">
      <c r="A69"/>
      <c r="B69">
        <v>110919</v>
      </c>
      <c r="C69" t="s">
        <v>3593</v>
      </c>
      <c r="D69" s="256">
        <v>44672</v>
      </c>
      <c r="E69">
        <v>6</v>
      </c>
      <c r="F69" s="17">
        <v>60387098</v>
      </c>
    </row>
    <row r="70" spans="1:6">
      <c r="A70"/>
      <c r="B70">
        <v>110920</v>
      </c>
      <c r="C70" t="s">
        <v>3603</v>
      </c>
      <c r="D70" s="256">
        <v>44672</v>
      </c>
      <c r="E70">
        <v>2</v>
      </c>
      <c r="F70" s="17">
        <v>20402792</v>
      </c>
    </row>
    <row r="71" spans="1:6">
      <c r="A71"/>
      <c r="B71">
        <v>110921</v>
      </c>
      <c r="C71" t="s">
        <v>3604</v>
      </c>
      <c r="D71" s="256">
        <v>44672</v>
      </c>
      <c r="E71">
        <v>1</v>
      </c>
      <c r="F71" s="17">
        <v>8257195</v>
      </c>
    </row>
    <row r="72" spans="1:6">
      <c r="A72"/>
      <c r="B72">
        <v>110922</v>
      </c>
      <c r="C72" t="s">
        <v>3602</v>
      </c>
      <c r="D72" s="256">
        <v>44672</v>
      </c>
      <c r="E72">
        <v>4</v>
      </c>
      <c r="F72" s="17">
        <v>40009030</v>
      </c>
    </row>
    <row r="73" spans="1:6">
      <c r="A73"/>
      <c r="B73">
        <v>110923</v>
      </c>
      <c r="C73" t="s">
        <v>3605</v>
      </c>
      <c r="D73" s="256">
        <v>44672</v>
      </c>
      <c r="E73">
        <v>2</v>
      </c>
      <c r="F73" s="17">
        <v>19243190</v>
      </c>
    </row>
    <row r="74" spans="1:6">
      <c r="A74"/>
      <c r="B74">
        <v>110924</v>
      </c>
      <c r="C74" t="s">
        <v>3606</v>
      </c>
      <c r="D74" s="256">
        <v>44672</v>
      </c>
      <c r="E74">
        <v>1</v>
      </c>
      <c r="F74" s="17">
        <v>8257195</v>
      </c>
    </row>
    <row r="75" spans="1:6">
      <c r="A75"/>
      <c r="B75">
        <v>110935</v>
      </c>
      <c r="C75" t="s">
        <v>94</v>
      </c>
      <c r="D75" s="256">
        <v>44266</v>
      </c>
      <c r="E75">
        <v>2</v>
      </c>
      <c r="F75" s="17">
        <v>11084995</v>
      </c>
    </row>
    <row r="76" spans="1:6">
      <c r="A76"/>
      <c r="B76">
        <v>110965</v>
      </c>
      <c r="C76" t="s">
        <v>94</v>
      </c>
      <c r="D76" s="256">
        <v>44266</v>
      </c>
      <c r="E76">
        <v>1</v>
      </c>
      <c r="F76" s="17">
        <v>5542497.5000000009</v>
      </c>
    </row>
    <row r="77" spans="1:6">
      <c r="A77"/>
      <c r="B77">
        <v>110928</v>
      </c>
      <c r="C77" t="s">
        <v>3607</v>
      </c>
      <c r="D77" s="256">
        <v>44679</v>
      </c>
      <c r="E77">
        <v>1</v>
      </c>
      <c r="F77" s="17">
        <v>8173265.5</v>
      </c>
    </row>
    <row r="78" spans="1:6">
      <c r="A78"/>
      <c r="B78">
        <v>110929</v>
      </c>
      <c r="C78" t="s">
        <v>3607</v>
      </c>
      <c r="D78" s="256">
        <v>44679</v>
      </c>
      <c r="E78">
        <v>1</v>
      </c>
      <c r="F78" s="17">
        <v>7874094</v>
      </c>
    </row>
    <row r="79" spans="1:6">
      <c r="A79"/>
      <c r="B79">
        <v>110930</v>
      </c>
      <c r="C79" t="s">
        <v>3608</v>
      </c>
      <c r="D79" s="256">
        <v>44680</v>
      </c>
      <c r="E79">
        <v>1</v>
      </c>
      <c r="F79" s="17">
        <v>9229495</v>
      </c>
    </row>
    <row r="80" spans="1:6">
      <c r="A80"/>
      <c r="B80">
        <v>110931</v>
      </c>
      <c r="C80" t="s">
        <v>3553</v>
      </c>
      <c r="D80" s="256">
        <v>44680</v>
      </c>
      <c r="E80">
        <v>2</v>
      </c>
      <c r="F80" s="17">
        <v>15996890</v>
      </c>
    </row>
    <row r="81" spans="1:6">
      <c r="A81"/>
      <c r="B81">
        <v>110932</v>
      </c>
      <c r="C81" t="s">
        <v>3609</v>
      </c>
      <c r="D81" s="256">
        <v>44680</v>
      </c>
      <c r="E81">
        <v>1</v>
      </c>
      <c r="F81" s="17">
        <v>8257195</v>
      </c>
    </row>
    <row r="82" spans="1:6">
      <c r="A82"/>
      <c r="B82">
        <v>110956</v>
      </c>
      <c r="C82" t="s">
        <v>3614</v>
      </c>
      <c r="D82" s="256">
        <v>44699</v>
      </c>
      <c r="E82">
        <v>1</v>
      </c>
      <c r="F82" s="17">
        <v>8231802.5</v>
      </c>
    </row>
    <row r="83" spans="1:6">
      <c r="A83"/>
      <c r="B83">
        <v>110953</v>
      </c>
      <c r="C83" t="s">
        <v>3615</v>
      </c>
      <c r="D83" s="256">
        <v>44699</v>
      </c>
      <c r="E83">
        <v>2</v>
      </c>
      <c r="F83" s="17">
        <v>15776985</v>
      </c>
    </row>
    <row r="84" spans="1:6">
      <c r="A84"/>
      <c r="B84">
        <v>110952</v>
      </c>
      <c r="C84" t="s">
        <v>3616</v>
      </c>
      <c r="D84" s="256">
        <v>44699</v>
      </c>
      <c r="E84">
        <v>1</v>
      </c>
      <c r="F84" s="17">
        <v>8237847.5</v>
      </c>
    </row>
    <row r="85" spans="1:6">
      <c r="A85"/>
      <c r="B85">
        <v>110951</v>
      </c>
      <c r="C85" t="s">
        <v>3616</v>
      </c>
      <c r="D85" s="256">
        <v>44699</v>
      </c>
      <c r="E85">
        <v>3</v>
      </c>
      <c r="F85" s="17">
        <v>24261667.5</v>
      </c>
    </row>
    <row r="86" spans="1:6">
      <c r="A86"/>
      <c r="B86">
        <v>110954</v>
      </c>
      <c r="C86" t="s">
        <v>3617</v>
      </c>
      <c r="D86" s="256">
        <v>44699</v>
      </c>
      <c r="E86">
        <v>2</v>
      </c>
      <c r="F86" s="17">
        <v>14699605</v>
      </c>
    </row>
    <row r="87" spans="1:6">
      <c r="A87"/>
      <c r="B87">
        <v>110963</v>
      </c>
      <c r="C87" t="s">
        <v>3618</v>
      </c>
      <c r="D87" s="256">
        <v>44699</v>
      </c>
      <c r="E87">
        <v>1</v>
      </c>
      <c r="F87" s="17">
        <v>8231802.5</v>
      </c>
    </row>
    <row r="88" spans="1:6">
      <c r="A88"/>
      <c r="B88">
        <v>110995</v>
      </c>
      <c r="C88" t="s">
        <v>3627</v>
      </c>
      <c r="D88" s="256">
        <v>44719</v>
      </c>
      <c r="E88">
        <v>2</v>
      </c>
      <c r="F88" s="17">
        <v>12928395</v>
      </c>
    </row>
    <row r="89" spans="1:6">
      <c r="A89"/>
      <c r="B89">
        <v>110996</v>
      </c>
      <c r="C89" t="s">
        <v>3628</v>
      </c>
      <c r="D89" s="256">
        <v>44719</v>
      </c>
      <c r="E89">
        <v>2</v>
      </c>
      <c r="F89" s="17">
        <v>12048765</v>
      </c>
    </row>
    <row r="90" spans="1:6">
      <c r="A90"/>
      <c r="B90">
        <v>110997</v>
      </c>
      <c r="C90" t="s">
        <v>3629</v>
      </c>
      <c r="D90" s="256">
        <v>44719</v>
      </c>
      <c r="E90">
        <v>2</v>
      </c>
      <c r="F90" s="17">
        <v>12024585</v>
      </c>
    </row>
    <row r="91" spans="1:6">
      <c r="A91"/>
      <c r="B91">
        <v>110998</v>
      </c>
      <c r="C91" t="s">
        <v>3630</v>
      </c>
      <c r="D91" s="256">
        <v>44719</v>
      </c>
      <c r="E91">
        <v>1</v>
      </c>
      <c r="F91" s="17">
        <v>6464198</v>
      </c>
    </row>
    <row r="92" spans="1:6">
      <c r="A92"/>
      <c r="B92">
        <v>110999</v>
      </c>
      <c r="C92" t="s">
        <v>3631</v>
      </c>
      <c r="D92" s="256">
        <v>44719</v>
      </c>
      <c r="E92">
        <v>2</v>
      </c>
      <c r="F92" s="17">
        <v>12024585</v>
      </c>
    </row>
    <row r="93" spans="1:6">
      <c r="A93"/>
      <c r="B93">
        <v>111000</v>
      </c>
      <c r="C93" t="s">
        <v>3632</v>
      </c>
      <c r="D93" s="256">
        <v>44719</v>
      </c>
      <c r="E93">
        <v>2</v>
      </c>
      <c r="F93" s="17">
        <v>12680980</v>
      </c>
    </row>
    <row r="94" spans="1:6">
      <c r="A94"/>
      <c r="B94">
        <v>111001</v>
      </c>
      <c r="C94" t="s">
        <v>3633</v>
      </c>
      <c r="D94" s="256">
        <v>44719</v>
      </c>
      <c r="E94">
        <v>2</v>
      </c>
      <c r="F94" s="17">
        <v>12680980</v>
      </c>
    </row>
    <row r="95" spans="1:6">
      <c r="A95"/>
      <c r="B95">
        <v>111002</v>
      </c>
      <c r="C95" t="s">
        <v>3634</v>
      </c>
      <c r="D95" s="256">
        <v>44719</v>
      </c>
      <c r="E95">
        <v>2</v>
      </c>
      <c r="F95" s="17">
        <v>12680980</v>
      </c>
    </row>
    <row r="96" spans="1:6">
      <c r="A96"/>
      <c r="B96">
        <v>111003</v>
      </c>
      <c r="C96" t="s">
        <v>3635</v>
      </c>
      <c r="D96" s="256">
        <v>44719</v>
      </c>
      <c r="E96">
        <v>2</v>
      </c>
      <c r="F96" s="17">
        <v>12680980</v>
      </c>
    </row>
    <row r="97" spans="1:6">
      <c r="A97"/>
      <c r="B97">
        <v>111004</v>
      </c>
      <c r="C97" t="s">
        <v>3636</v>
      </c>
      <c r="D97" s="256">
        <v>44719</v>
      </c>
      <c r="E97">
        <v>3</v>
      </c>
      <c r="F97" s="17">
        <v>19021470</v>
      </c>
    </row>
    <row r="98" spans="1:6">
      <c r="A98"/>
      <c r="B98">
        <v>111006</v>
      </c>
      <c r="C98" t="s">
        <v>3637</v>
      </c>
      <c r="D98" s="256">
        <v>44721</v>
      </c>
      <c r="E98">
        <v>10</v>
      </c>
      <c r="F98" s="17">
        <v>75153525</v>
      </c>
    </row>
    <row r="99" spans="1:6">
      <c r="A99"/>
      <c r="B99" t="s">
        <v>3645</v>
      </c>
      <c r="C99" t="s">
        <v>3646</v>
      </c>
      <c r="D99" s="256">
        <v>44756</v>
      </c>
      <c r="E99">
        <v>5</v>
      </c>
      <c r="F99" s="17">
        <v>31430887.500000004</v>
      </c>
    </row>
    <row r="100" spans="1:6">
      <c r="A100"/>
      <c r="B100">
        <v>111053</v>
      </c>
      <c r="C100" t="s">
        <v>3552</v>
      </c>
      <c r="D100" s="256">
        <v>44756</v>
      </c>
      <c r="E100">
        <v>3</v>
      </c>
      <c r="F100" s="17">
        <v>18036877.500000004</v>
      </c>
    </row>
    <row r="101" spans="1:6">
      <c r="A101"/>
      <c r="B101" t="s">
        <v>3647</v>
      </c>
      <c r="C101" t="s">
        <v>3593</v>
      </c>
      <c r="D101" s="256">
        <v>44756</v>
      </c>
      <c r="E101">
        <v>4</v>
      </c>
      <c r="F101" s="17">
        <v>25448820.000000004</v>
      </c>
    </row>
    <row r="102" spans="1:6">
      <c r="A102"/>
      <c r="B102" t="s">
        <v>3648</v>
      </c>
      <c r="C102" t="s">
        <v>3649</v>
      </c>
      <c r="D102" s="256">
        <v>44756</v>
      </c>
      <c r="E102">
        <v>5</v>
      </c>
      <c r="F102" s="17">
        <v>30761288</v>
      </c>
    </row>
    <row r="103" spans="1:6">
      <c r="A103"/>
      <c r="B103" t="s">
        <v>3650</v>
      </c>
      <c r="C103" t="s">
        <v>3651</v>
      </c>
      <c r="D103" s="256">
        <v>44756</v>
      </c>
      <c r="E103">
        <v>3</v>
      </c>
      <c r="F103" s="17">
        <v>18036877.500000004</v>
      </c>
    </row>
    <row r="104" spans="1:6">
      <c r="A104"/>
      <c r="B104">
        <v>111095</v>
      </c>
      <c r="C104" t="s">
        <v>3545</v>
      </c>
      <c r="D104" s="256">
        <v>44791</v>
      </c>
      <c r="E104">
        <v>5</v>
      </c>
      <c r="F104" s="17">
        <v>30061465</v>
      </c>
    </row>
    <row r="105" spans="1:6">
      <c r="A105" s="323" t="s">
        <v>3652</v>
      </c>
      <c r="B105" s="263"/>
      <c r="C105" s="323"/>
      <c r="D105" s="325"/>
      <c r="E105" s="263">
        <v>189</v>
      </c>
      <c r="F105" s="324">
        <v>1521732150.5</v>
      </c>
    </row>
    <row r="106" spans="1:6">
      <c r="A106" t="s">
        <v>58</v>
      </c>
      <c r="B106">
        <v>110249</v>
      </c>
      <c r="C106" t="s">
        <v>76</v>
      </c>
      <c r="D106" s="256">
        <v>44179</v>
      </c>
      <c r="E106">
        <v>1</v>
      </c>
      <c r="F106" s="17">
        <v>9428970</v>
      </c>
    </row>
    <row r="107" spans="1:6">
      <c r="A107"/>
      <c r="B107">
        <v>110665</v>
      </c>
      <c r="C107" t="s">
        <v>3554</v>
      </c>
      <c r="D107" s="256">
        <v>44492</v>
      </c>
      <c r="E107">
        <v>2</v>
      </c>
      <c r="F107" s="17">
        <v>24796588</v>
      </c>
    </row>
    <row r="108" spans="1:6">
      <c r="A108"/>
      <c r="B108">
        <v>110693</v>
      </c>
      <c r="C108" t="s">
        <v>3555</v>
      </c>
      <c r="D108" s="256">
        <v>44516</v>
      </c>
      <c r="E108">
        <v>2</v>
      </c>
      <c r="F108" s="17">
        <v>30498868</v>
      </c>
    </row>
    <row r="109" spans="1:6">
      <c r="A109"/>
      <c r="B109">
        <v>110694</v>
      </c>
      <c r="C109" t="s">
        <v>3556</v>
      </c>
      <c r="D109" s="256">
        <v>44516</v>
      </c>
      <c r="E109">
        <v>1</v>
      </c>
      <c r="F109" s="17">
        <v>16335434</v>
      </c>
    </row>
    <row r="110" spans="1:6">
      <c r="A110"/>
      <c r="B110">
        <v>110695</v>
      </c>
      <c r="C110" t="s">
        <v>3557</v>
      </c>
      <c r="D110" s="256">
        <v>44516</v>
      </c>
      <c r="E110">
        <v>1</v>
      </c>
      <c r="F110" s="17">
        <v>17781074</v>
      </c>
    </row>
    <row r="111" spans="1:6">
      <c r="A111"/>
      <c r="B111">
        <v>110697</v>
      </c>
      <c r="C111" t="s">
        <v>3558</v>
      </c>
      <c r="D111" s="256">
        <v>44516</v>
      </c>
      <c r="E111">
        <v>1</v>
      </c>
      <c r="F111" s="17">
        <v>16849034</v>
      </c>
    </row>
    <row r="112" spans="1:6">
      <c r="A112"/>
      <c r="B112">
        <v>110696</v>
      </c>
      <c r="C112" t="s">
        <v>3559</v>
      </c>
      <c r="D112" s="256">
        <v>44516</v>
      </c>
      <c r="E112">
        <v>2</v>
      </c>
      <c r="F112" s="17">
        <v>31813228</v>
      </c>
    </row>
    <row r="113" spans="1:6">
      <c r="A113"/>
      <c r="B113">
        <v>110698</v>
      </c>
      <c r="C113" t="s">
        <v>3560</v>
      </c>
      <c r="D113" s="256">
        <v>44516</v>
      </c>
      <c r="E113">
        <v>2</v>
      </c>
      <c r="F113" s="17">
        <v>26324068</v>
      </c>
    </row>
    <row r="114" spans="1:6">
      <c r="A114"/>
      <c r="B114">
        <v>110734</v>
      </c>
      <c r="C114" t="s">
        <v>3561</v>
      </c>
      <c r="D114" s="256">
        <v>44539</v>
      </c>
      <c r="E114">
        <v>1</v>
      </c>
      <c r="F114" s="17">
        <v>14497934</v>
      </c>
    </row>
    <row r="115" spans="1:6">
      <c r="A115"/>
      <c r="B115">
        <v>110731</v>
      </c>
      <c r="C115" t="s">
        <v>3562</v>
      </c>
      <c r="D115" s="256">
        <v>44539</v>
      </c>
      <c r="E115">
        <v>1</v>
      </c>
      <c r="F115" s="17">
        <v>13878574</v>
      </c>
    </row>
    <row r="116" spans="1:6">
      <c r="A116"/>
      <c r="B116">
        <v>110729</v>
      </c>
      <c r="C116" t="s">
        <v>3567</v>
      </c>
      <c r="D116" s="256">
        <v>44539</v>
      </c>
      <c r="E116">
        <v>2</v>
      </c>
      <c r="F116" s="17">
        <v>25571818</v>
      </c>
    </row>
    <row r="117" spans="1:6">
      <c r="A117"/>
      <c r="B117">
        <v>110728</v>
      </c>
      <c r="C117" t="s">
        <v>3568</v>
      </c>
      <c r="D117" s="256">
        <v>44539</v>
      </c>
      <c r="E117">
        <v>1</v>
      </c>
      <c r="F117" s="17">
        <v>13179284</v>
      </c>
    </row>
    <row r="118" spans="1:6">
      <c r="A118"/>
      <c r="B118">
        <v>110730</v>
      </c>
      <c r="C118" t="s">
        <v>3560</v>
      </c>
      <c r="D118" s="256">
        <v>44539</v>
      </c>
      <c r="E118">
        <v>2</v>
      </c>
      <c r="F118" s="17">
        <v>26285938</v>
      </c>
    </row>
    <row r="119" spans="1:6">
      <c r="A119"/>
      <c r="B119">
        <v>110773</v>
      </c>
      <c r="C119" t="s">
        <v>76</v>
      </c>
      <c r="D119" s="256">
        <v>44179</v>
      </c>
      <c r="E119">
        <v>1</v>
      </c>
      <c r="F119" s="17">
        <v>9788970</v>
      </c>
    </row>
    <row r="120" spans="1:6">
      <c r="A120"/>
      <c r="B120">
        <v>110775</v>
      </c>
      <c r="C120" t="s">
        <v>76</v>
      </c>
      <c r="D120" s="256">
        <v>44179</v>
      </c>
      <c r="E120">
        <v>3</v>
      </c>
      <c r="F120" s="17">
        <v>28618110</v>
      </c>
    </row>
    <row r="121" spans="1:6">
      <c r="A121"/>
      <c r="B121">
        <v>110774</v>
      </c>
      <c r="C121" t="s">
        <v>76</v>
      </c>
      <c r="D121" s="256">
        <v>44179</v>
      </c>
      <c r="E121">
        <v>1</v>
      </c>
      <c r="F121" s="17">
        <v>11137770</v>
      </c>
    </row>
    <row r="122" spans="1:6">
      <c r="A122"/>
      <c r="B122">
        <v>110732</v>
      </c>
      <c r="C122" t="s">
        <v>3570</v>
      </c>
      <c r="D122" s="256">
        <v>44539</v>
      </c>
      <c r="E122">
        <v>1</v>
      </c>
      <c r="F122" s="17">
        <v>20947094</v>
      </c>
    </row>
    <row r="123" spans="1:6">
      <c r="A123"/>
      <c r="B123">
        <v>110733</v>
      </c>
      <c r="C123" t="s">
        <v>3571</v>
      </c>
      <c r="D123" s="256">
        <v>44539</v>
      </c>
      <c r="E123">
        <v>1</v>
      </c>
      <c r="F123" s="17">
        <v>19739894</v>
      </c>
    </row>
    <row r="124" spans="1:6">
      <c r="A124"/>
      <c r="B124">
        <v>110737</v>
      </c>
      <c r="C124" t="s">
        <v>3569</v>
      </c>
      <c r="D124" s="256">
        <v>44540</v>
      </c>
      <c r="E124">
        <v>1</v>
      </c>
      <c r="F124" s="17">
        <v>12048434</v>
      </c>
    </row>
    <row r="125" spans="1:6">
      <c r="A125"/>
      <c r="B125">
        <v>110767</v>
      </c>
      <c r="C125" t="s">
        <v>3562</v>
      </c>
      <c r="D125" s="256">
        <v>44559</v>
      </c>
      <c r="E125">
        <v>2</v>
      </c>
      <c r="F125" s="17">
        <v>20568868</v>
      </c>
    </row>
    <row r="126" spans="1:6">
      <c r="A126"/>
      <c r="B126">
        <v>110769</v>
      </c>
      <c r="C126" t="s">
        <v>3579</v>
      </c>
      <c r="D126" s="256">
        <v>44559</v>
      </c>
      <c r="E126">
        <v>1</v>
      </c>
      <c r="F126" s="17">
        <v>10284434</v>
      </c>
    </row>
    <row r="127" spans="1:6">
      <c r="A127"/>
      <c r="B127">
        <v>110766</v>
      </c>
      <c r="C127" t="s">
        <v>3581</v>
      </c>
      <c r="D127" s="256">
        <v>44559</v>
      </c>
      <c r="E127">
        <v>2</v>
      </c>
      <c r="F127" s="17">
        <v>24137668</v>
      </c>
    </row>
    <row r="128" spans="1:6">
      <c r="A128"/>
      <c r="B128">
        <v>110768</v>
      </c>
      <c r="C128" t="s">
        <v>3547</v>
      </c>
      <c r="D128" s="256">
        <v>44559</v>
      </c>
      <c r="E128">
        <v>1</v>
      </c>
      <c r="F128" s="17">
        <v>10284434</v>
      </c>
    </row>
    <row r="129" spans="1:6">
      <c r="A129"/>
      <c r="B129">
        <v>110770</v>
      </c>
      <c r="C129" t="s">
        <v>3548</v>
      </c>
      <c r="D129" s="256">
        <v>44559</v>
      </c>
      <c r="E129">
        <v>1</v>
      </c>
      <c r="F129" s="17">
        <v>9684434</v>
      </c>
    </row>
    <row r="130" spans="1:6">
      <c r="A130"/>
      <c r="B130">
        <v>110823</v>
      </c>
      <c r="C130" t="s">
        <v>76</v>
      </c>
      <c r="D130" s="256">
        <v>44179</v>
      </c>
      <c r="E130">
        <v>3</v>
      </c>
      <c r="F130" s="17">
        <v>28286910</v>
      </c>
    </row>
    <row r="131" spans="1:6">
      <c r="A131"/>
      <c r="B131">
        <v>110838</v>
      </c>
      <c r="C131" t="s">
        <v>3590</v>
      </c>
      <c r="D131" s="256">
        <v>44607</v>
      </c>
      <c r="E131">
        <v>2</v>
      </c>
      <c r="F131" s="17">
        <v>27724868</v>
      </c>
    </row>
    <row r="132" spans="1:6">
      <c r="A132"/>
      <c r="B132">
        <v>110833</v>
      </c>
      <c r="C132" t="s">
        <v>3587</v>
      </c>
      <c r="D132" s="256">
        <v>44607</v>
      </c>
      <c r="E132">
        <v>1</v>
      </c>
      <c r="F132" s="17">
        <v>20156514</v>
      </c>
    </row>
    <row r="133" spans="1:6">
      <c r="A133"/>
      <c r="B133">
        <v>110834</v>
      </c>
      <c r="C133" t="s">
        <v>3588</v>
      </c>
      <c r="D133" s="256">
        <v>44607</v>
      </c>
      <c r="E133">
        <v>1</v>
      </c>
      <c r="F133" s="17">
        <v>17834274</v>
      </c>
    </row>
    <row r="134" spans="1:6">
      <c r="A134"/>
      <c r="B134">
        <v>110835</v>
      </c>
      <c r="C134" t="s">
        <v>3589</v>
      </c>
      <c r="D134" s="256">
        <v>44607</v>
      </c>
      <c r="E134">
        <v>1</v>
      </c>
      <c r="F134" s="17">
        <v>13862434</v>
      </c>
    </row>
    <row r="135" spans="1:6">
      <c r="A135"/>
      <c r="B135">
        <v>110836</v>
      </c>
      <c r="C135" t="s">
        <v>1967</v>
      </c>
      <c r="D135" s="256">
        <v>44607</v>
      </c>
      <c r="E135">
        <v>1</v>
      </c>
      <c r="F135" s="17">
        <v>12067074</v>
      </c>
    </row>
    <row r="136" spans="1:6">
      <c r="A136"/>
      <c r="B136">
        <v>110837</v>
      </c>
      <c r="C136" t="s">
        <v>3550</v>
      </c>
      <c r="D136" s="256">
        <v>44607</v>
      </c>
      <c r="E136">
        <v>1</v>
      </c>
      <c r="F136" s="17">
        <v>12067074</v>
      </c>
    </row>
    <row r="137" spans="1:6">
      <c r="A137"/>
      <c r="B137">
        <v>110882</v>
      </c>
      <c r="C137" t="s">
        <v>76</v>
      </c>
      <c r="D137" s="256">
        <v>44179</v>
      </c>
      <c r="E137">
        <v>3</v>
      </c>
      <c r="F137" s="17">
        <v>28646910</v>
      </c>
    </row>
    <row r="138" spans="1:6">
      <c r="A138"/>
      <c r="B138">
        <v>110869</v>
      </c>
      <c r="C138" t="s">
        <v>3594</v>
      </c>
      <c r="D138" s="256">
        <v>44637</v>
      </c>
      <c r="E138">
        <v>1</v>
      </c>
      <c r="F138" s="17">
        <v>20233112</v>
      </c>
    </row>
    <row r="139" spans="1:6">
      <c r="A139"/>
      <c r="B139">
        <v>110863</v>
      </c>
      <c r="C139" t="s">
        <v>3551</v>
      </c>
      <c r="D139" s="256">
        <v>44637</v>
      </c>
      <c r="E139">
        <v>1</v>
      </c>
      <c r="F139" s="17">
        <v>17066994</v>
      </c>
    </row>
    <row r="140" spans="1:6">
      <c r="A140"/>
      <c r="B140">
        <v>110866</v>
      </c>
      <c r="C140" t="s">
        <v>3595</v>
      </c>
      <c r="D140" s="256">
        <v>44637</v>
      </c>
      <c r="E140">
        <v>2</v>
      </c>
      <c r="F140" s="17">
        <v>32891368</v>
      </c>
    </row>
    <row r="141" spans="1:6">
      <c r="A141"/>
      <c r="B141">
        <v>110867</v>
      </c>
      <c r="C141" t="s">
        <v>3593</v>
      </c>
      <c r="D141" s="256">
        <v>44637</v>
      </c>
      <c r="E141">
        <v>3</v>
      </c>
      <c r="F141" s="17">
        <v>52656537</v>
      </c>
    </row>
    <row r="142" spans="1:6">
      <c r="A142"/>
      <c r="B142">
        <v>110864</v>
      </c>
      <c r="C142" t="s">
        <v>3597</v>
      </c>
      <c r="D142" s="256">
        <v>44637</v>
      </c>
      <c r="E142">
        <v>1</v>
      </c>
      <c r="F142" s="17">
        <v>15357634</v>
      </c>
    </row>
    <row r="143" spans="1:6">
      <c r="A143"/>
      <c r="B143">
        <v>110865</v>
      </c>
      <c r="C143" t="s">
        <v>3592</v>
      </c>
      <c r="D143" s="256">
        <v>44637</v>
      </c>
      <c r="E143">
        <v>1</v>
      </c>
      <c r="F143" s="17">
        <v>16194434</v>
      </c>
    </row>
    <row r="144" spans="1:6">
      <c r="A144"/>
      <c r="B144">
        <v>110868</v>
      </c>
      <c r="C144" t="s">
        <v>3599</v>
      </c>
      <c r="D144" s="256">
        <v>44637</v>
      </c>
      <c r="E144">
        <v>1</v>
      </c>
      <c r="F144" s="17">
        <v>15591934</v>
      </c>
    </row>
    <row r="145" spans="1:6">
      <c r="A145"/>
      <c r="B145">
        <v>110915</v>
      </c>
      <c r="C145" t="s">
        <v>3551</v>
      </c>
      <c r="D145" s="256">
        <v>44671</v>
      </c>
      <c r="E145">
        <v>3</v>
      </c>
      <c r="F145" s="17">
        <v>54772602</v>
      </c>
    </row>
    <row r="146" spans="1:6">
      <c r="A146"/>
      <c r="B146">
        <v>110916</v>
      </c>
      <c r="C146" t="s">
        <v>3601</v>
      </c>
      <c r="D146" s="256">
        <v>44671</v>
      </c>
      <c r="E146">
        <v>2</v>
      </c>
      <c r="F146" s="17">
        <v>30364548</v>
      </c>
    </row>
    <row r="147" spans="1:6">
      <c r="A147"/>
      <c r="B147">
        <v>110917</v>
      </c>
      <c r="C147" t="s">
        <v>3602</v>
      </c>
      <c r="D147" s="256">
        <v>44671</v>
      </c>
      <c r="E147">
        <v>3</v>
      </c>
      <c r="F147" s="17">
        <v>42036672</v>
      </c>
    </row>
    <row r="148" spans="1:6">
      <c r="A148"/>
      <c r="B148">
        <v>110949</v>
      </c>
      <c r="C148" t="s">
        <v>76</v>
      </c>
      <c r="D148" s="256">
        <v>44223</v>
      </c>
      <c r="E148">
        <v>3</v>
      </c>
      <c r="F148" s="17">
        <v>28913508</v>
      </c>
    </row>
    <row r="149" spans="1:6">
      <c r="A149"/>
      <c r="B149">
        <v>110928</v>
      </c>
      <c r="C149" t="s">
        <v>3607</v>
      </c>
      <c r="D149" s="256">
        <v>44679</v>
      </c>
      <c r="E149">
        <v>3</v>
      </c>
      <c r="F149" s="17">
        <v>34129513.5</v>
      </c>
    </row>
    <row r="150" spans="1:6">
      <c r="A150"/>
      <c r="B150">
        <v>110929</v>
      </c>
      <c r="C150" t="s">
        <v>3607</v>
      </c>
      <c r="D150" s="256">
        <v>44679</v>
      </c>
      <c r="E150">
        <v>3</v>
      </c>
      <c r="F150" s="17">
        <v>33141765</v>
      </c>
    </row>
    <row r="151" spans="1:6">
      <c r="A151"/>
      <c r="B151">
        <v>110933</v>
      </c>
      <c r="C151" t="s">
        <v>3610</v>
      </c>
      <c r="D151" s="256">
        <v>44680</v>
      </c>
      <c r="E151">
        <v>1</v>
      </c>
      <c r="F151" s="17">
        <v>13184434</v>
      </c>
    </row>
    <row r="152" spans="1:6">
      <c r="A152"/>
      <c r="B152">
        <v>110934</v>
      </c>
      <c r="C152" t="s">
        <v>3611</v>
      </c>
      <c r="D152" s="256">
        <v>44680</v>
      </c>
      <c r="E152">
        <v>1</v>
      </c>
      <c r="F152" s="17">
        <v>13184434</v>
      </c>
    </row>
    <row r="153" spans="1:6">
      <c r="A153"/>
      <c r="B153">
        <v>110948</v>
      </c>
      <c r="C153" t="s">
        <v>76</v>
      </c>
      <c r="D153" s="256">
        <v>44179</v>
      </c>
      <c r="E153">
        <v>1</v>
      </c>
      <c r="F153" s="17">
        <v>9428970</v>
      </c>
    </row>
    <row r="154" spans="1:6">
      <c r="A154"/>
      <c r="B154">
        <v>110962</v>
      </c>
      <c r="C154" t="s">
        <v>3597</v>
      </c>
      <c r="D154" s="256">
        <v>44699</v>
      </c>
      <c r="E154">
        <v>2</v>
      </c>
      <c r="F154" s="17">
        <v>23468332</v>
      </c>
    </row>
    <row r="155" spans="1:6">
      <c r="A155"/>
      <c r="B155">
        <v>110961</v>
      </c>
      <c r="C155" t="s">
        <v>3612</v>
      </c>
      <c r="D155" s="256">
        <v>44699</v>
      </c>
      <c r="E155">
        <v>3</v>
      </c>
      <c r="F155" s="17">
        <v>23468332</v>
      </c>
    </row>
    <row r="156" spans="1:6">
      <c r="A156"/>
      <c r="B156">
        <v>110960</v>
      </c>
      <c r="C156" t="s">
        <v>3608</v>
      </c>
      <c r="D156" s="256">
        <v>44699</v>
      </c>
      <c r="E156">
        <v>3</v>
      </c>
      <c r="F156" s="17">
        <v>34320498</v>
      </c>
    </row>
    <row r="157" spans="1:6">
      <c r="A157"/>
      <c r="B157">
        <v>110957</v>
      </c>
      <c r="C157" t="s">
        <v>3601</v>
      </c>
      <c r="D157" s="256">
        <v>44699</v>
      </c>
      <c r="E157">
        <v>3</v>
      </c>
      <c r="F157" s="17">
        <v>35061498</v>
      </c>
    </row>
    <row r="158" spans="1:6">
      <c r="A158"/>
      <c r="B158">
        <v>110959</v>
      </c>
      <c r="C158" t="s">
        <v>3596</v>
      </c>
      <c r="D158" s="256">
        <v>44699</v>
      </c>
      <c r="E158">
        <v>8</v>
      </c>
      <c r="F158" s="17">
        <v>89859845</v>
      </c>
    </row>
    <row r="159" spans="1:6">
      <c r="A159"/>
      <c r="B159">
        <v>110958</v>
      </c>
      <c r="C159" t="s">
        <v>3613</v>
      </c>
      <c r="D159" s="256">
        <v>44699</v>
      </c>
      <c r="E159">
        <v>2</v>
      </c>
      <c r="F159" s="17">
        <v>23468332</v>
      </c>
    </row>
    <row r="160" spans="1:6">
      <c r="A160"/>
      <c r="B160">
        <v>110986</v>
      </c>
      <c r="C160" t="s">
        <v>3619</v>
      </c>
      <c r="D160" s="256">
        <v>44719</v>
      </c>
      <c r="E160">
        <v>2</v>
      </c>
      <c r="F160" s="17">
        <v>20980792</v>
      </c>
    </row>
    <row r="161" spans="1:6">
      <c r="A161"/>
      <c r="B161">
        <v>110987</v>
      </c>
      <c r="C161" t="s">
        <v>3620</v>
      </c>
      <c r="D161" s="256">
        <v>44719</v>
      </c>
      <c r="E161">
        <v>2</v>
      </c>
      <c r="F161" s="17">
        <v>21039672</v>
      </c>
    </row>
    <row r="162" spans="1:6">
      <c r="A162"/>
      <c r="B162">
        <v>110988</v>
      </c>
      <c r="C162" t="s">
        <v>3621</v>
      </c>
      <c r="D162" s="256">
        <v>44719</v>
      </c>
      <c r="E162">
        <v>2</v>
      </c>
      <c r="F162" s="17">
        <v>21554472</v>
      </c>
    </row>
    <row r="163" spans="1:6">
      <c r="A163"/>
      <c r="B163">
        <v>110989</v>
      </c>
      <c r="C163" t="s">
        <v>3622</v>
      </c>
      <c r="D163" s="256">
        <v>44719</v>
      </c>
      <c r="E163">
        <v>2</v>
      </c>
      <c r="F163" s="17">
        <v>21039672</v>
      </c>
    </row>
    <row r="164" spans="1:6">
      <c r="A164"/>
      <c r="B164">
        <v>110990</v>
      </c>
      <c r="C164" t="s">
        <v>3623</v>
      </c>
      <c r="D164" s="256">
        <v>44719</v>
      </c>
      <c r="E164">
        <v>2</v>
      </c>
      <c r="F164" s="17">
        <v>22632868</v>
      </c>
    </row>
    <row r="165" spans="1:6">
      <c r="A165"/>
      <c r="B165">
        <v>110991</v>
      </c>
      <c r="C165" t="s">
        <v>3624</v>
      </c>
      <c r="D165" s="256">
        <v>44719</v>
      </c>
      <c r="E165">
        <v>2</v>
      </c>
      <c r="F165" s="17">
        <v>22632868</v>
      </c>
    </row>
    <row r="166" spans="1:6">
      <c r="A166"/>
      <c r="B166">
        <v>110992</v>
      </c>
      <c r="C166" t="s">
        <v>3625</v>
      </c>
      <c r="D166" s="256">
        <v>44719</v>
      </c>
      <c r="E166">
        <v>2</v>
      </c>
      <c r="F166" s="17">
        <v>22632868</v>
      </c>
    </row>
    <row r="167" spans="1:6">
      <c r="A167"/>
      <c r="B167">
        <v>110993</v>
      </c>
      <c r="C167" t="s">
        <v>3626</v>
      </c>
      <c r="D167" s="256">
        <v>44719</v>
      </c>
      <c r="E167">
        <v>2</v>
      </c>
      <c r="F167" s="17">
        <v>22570148</v>
      </c>
    </row>
    <row r="168" spans="1:6">
      <c r="A168"/>
      <c r="B168">
        <v>111020</v>
      </c>
      <c r="C168" t="s">
        <v>3653</v>
      </c>
      <c r="D168" s="256">
        <v>44736</v>
      </c>
      <c r="E168">
        <v>9</v>
      </c>
      <c r="F168" s="17">
        <v>113890114</v>
      </c>
    </row>
    <row r="169" spans="1:6">
      <c r="A169"/>
      <c r="B169" t="s">
        <v>3654</v>
      </c>
      <c r="C169" t="s">
        <v>3655</v>
      </c>
      <c r="D169" s="256">
        <v>44756</v>
      </c>
      <c r="E169">
        <v>4</v>
      </c>
      <c r="F169" s="17">
        <v>41675016</v>
      </c>
    </row>
    <row r="170" spans="1:6">
      <c r="A170"/>
      <c r="B170" t="s">
        <v>3656</v>
      </c>
      <c r="C170" t="s">
        <v>3649</v>
      </c>
      <c r="D170" s="256">
        <v>44756</v>
      </c>
      <c r="E170">
        <v>5</v>
      </c>
      <c r="F170" s="17">
        <v>48012540</v>
      </c>
    </row>
    <row r="171" spans="1:6">
      <c r="A171"/>
      <c r="B171" t="s">
        <v>3657</v>
      </c>
      <c r="C171" t="s">
        <v>3646</v>
      </c>
      <c r="D171" s="256">
        <v>44756</v>
      </c>
      <c r="E171">
        <v>5</v>
      </c>
      <c r="F171" s="17">
        <v>48130300</v>
      </c>
    </row>
    <row r="172" spans="1:6">
      <c r="A172"/>
      <c r="B172" t="s">
        <v>3658</v>
      </c>
      <c r="C172" t="s">
        <v>3593</v>
      </c>
      <c r="D172" s="256">
        <v>44756</v>
      </c>
      <c r="E172">
        <v>5</v>
      </c>
      <c r="F172" s="17">
        <v>48294100</v>
      </c>
    </row>
    <row r="173" spans="1:6">
      <c r="A173"/>
      <c r="B173">
        <v>111051</v>
      </c>
      <c r="C173" t="s">
        <v>3560</v>
      </c>
      <c r="D173" s="256">
        <v>44756</v>
      </c>
      <c r="E173">
        <v>6</v>
      </c>
      <c r="F173" s="17">
        <v>62606604</v>
      </c>
    </row>
    <row r="174" spans="1:6">
      <c r="A174"/>
      <c r="B174">
        <v>111096</v>
      </c>
      <c r="C174" t="s">
        <v>3603</v>
      </c>
      <c r="D174" s="256">
        <v>44791</v>
      </c>
      <c r="E174">
        <v>7</v>
      </c>
      <c r="F174" s="17">
        <v>67347092</v>
      </c>
    </row>
    <row r="175" spans="1:6">
      <c r="A175"/>
      <c r="B175">
        <v>111097</v>
      </c>
      <c r="C175" t="s">
        <v>3659</v>
      </c>
      <c r="D175" s="256">
        <v>44791</v>
      </c>
      <c r="E175">
        <v>2</v>
      </c>
      <c r="F175" s="17">
        <v>34084770</v>
      </c>
    </row>
    <row r="176" spans="1:6">
      <c r="A176" s="323" t="s">
        <v>3660</v>
      </c>
      <c r="B176" s="263"/>
      <c r="C176" s="323"/>
      <c r="D176" s="325"/>
      <c r="E176" s="263">
        <v>157</v>
      </c>
      <c r="F176" s="324">
        <v>1903046172.5</v>
      </c>
    </row>
    <row r="177" spans="1:6">
      <c r="A177" t="s">
        <v>2026</v>
      </c>
      <c r="B177">
        <v>110630</v>
      </c>
      <c r="C177" t="s">
        <v>3549</v>
      </c>
      <c r="D177" s="256">
        <v>44455</v>
      </c>
      <c r="E177">
        <v>1</v>
      </c>
      <c r="F177" s="17">
        <v>17687520</v>
      </c>
    </row>
    <row r="178" spans="1:6">
      <c r="A178" s="323" t="s">
        <v>3661</v>
      </c>
      <c r="B178" s="263"/>
      <c r="C178" s="323"/>
      <c r="D178" s="325"/>
      <c r="E178" s="263">
        <v>1</v>
      </c>
      <c r="F178" s="324">
        <v>17687520</v>
      </c>
    </row>
    <row r="179" spans="1:6">
      <c r="A179" t="s">
        <v>214</v>
      </c>
      <c r="E179">
        <v>364</v>
      </c>
      <c r="F179" s="17">
        <v>3612014449</v>
      </c>
    </row>
    <row r="180" spans="1:6">
      <c r="A180"/>
      <c r="F180"/>
    </row>
    <row r="181" spans="1:6">
      <c r="A181"/>
      <c r="F181"/>
    </row>
    <row r="182" spans="1:6">
      <c r="A182"/>
      <c r="F182"/>
    </row>
    <row r="183" spans="1:6">
      <c r="A183"/>
      <c r="F183"/>
    </row>
    <row r="184" spans="1:6">
      <c r="A184"/>
      <c r="F184"/>
    </row>
    <row r="185" spans="1:6">
      <c r="A185"/>
      <c r="F185"/>
    </row>
    <row r="186" spans="1:6">
      <c r="A186"/>
      <c r="F186"/>
    </row>
    <row r="187" spans="1:6">
      <c r="A187"/>
      <c r="F187"/>
    </row>
    <row r="188" spans="1:6">
      <c r="A188"/>
      <c r="F188"/>
    </row>
    <row r="189" spans="1:6">
      <c r="A189"/>
      <c r="F189"/>
    </row>
    <row r="190" spans="1:6">
      <c r="A190"/>
      <c r="F190"/>
    </row>
    <row r="191" spans="1:6">
      <c r="A191"/>
      <c r="F191"/>
    </row>
    <row r="192" spans="1:6">
      <c r="A192"/>
      <c r="F192"/>
    </row>
    <row r="193" spans="1:6">
      <c r="A193"/>
      <c r="F193"/>
    </row>
    <row r="194" spans="1:6">
      <c r="A194"/>
      <c r="F194"/>
    </row>
    <row r="195" spans="1:6">
      <c r="A195"/>
      <c r="F195"/>
    </row>
    <row r="196" spans="1:6">
      <c r="A196"/>
      <c r="F196"/>
    </row>
    <row r="197" spans="1:6">
      <c r="A197"/>
      <c r="F197"/>
    </row>
    <row r="198" spans="1:6">
      <c r="A198"/>
      <c r="F198"/>
    </row>
    <row r="199" spans="1:6">
      <c r="A199"/>
      <c r="F199"/>
    </row>
    <row r="200" spans="1:6">
      <c r="A200"/>
      <c r="F200"/>
    </row>
    <row r="201" spans="1:6">
      <c r="A201"/>
      <c r="F201"/>
    </row>
    <row r="202" spans="1:6">
      <c r="A202"/>
      <c r="F202"/>
    </row>
    <row r="203" spans="1:6">
      <c r="A203"/>
      <c r="F203"/>
    </row>
    <row r="204" spans="1:6">
      <c r="A204"/>
      <c r="F204"/>
    </row>
    <row r="205" spans="1:6">
      <c r="A205"/>
      <c r="F205"/>
    </row>
    <row r="206" spans="1:6">
      <c r="A206"/>
      <c r="F206"/>
    </row>
    <row r="207" spans="1:6">
      <c r="A207"/>
      <c r="F207"/>
    </row>
    <row r="208" spans="1:6">
      <c r="A208"/>
      <c r="F208"/>
    </row>
    <row r="209" spans="1:6">
      <c r="A209"/>
      <c r="F209"/>
    </row>
    <row r="210" spans="1:6">
      <c r="A210"/>
      <c r="F210"/>
    </row>
    <row r="211" spans="1:6">
      <c r="A211"/>
      <c r="F211"/>
    </row>
    <row r="212" spans="1:6">
      <c r="A212"/>
      <c r="F212"/>
    </row>
    <row r="213" spans="1:6">
      <c r="A213"/>
      <c r="F213"/>
    </row>
    <row r="214" spans="1:6">
      <c r="A214"/>
      <c r="F214"/>
    </row>
    <row r="215" spans="1:6">
      <c r="A215"/>
      <c r="F215"/>
    </row>
    <row r="216" spans="1:6">
      <c r="A216"/>
      <c r="F216"/>
    </row>
    <row r="217" spans="1:6">
      <c r="A217"/>
      <c r="F217"/>
    </row>
    <row r="218" spans="1:6">
      <c r="A218"/>
      <c r="F218"/>
    </row>
    <row r="219" spans="1:6">
      <c r="A219"/>
      <c r="F219"/>
    </row>
    <row r="220" spans="1:6">
      <c r="A220"/>
      <c r="F220"/>
    </row>
    <row r="221" spans="1:6">
      <c r="A221"/>
      <c r="F221"/>
    </row>
    <row r="222" spans="1:6">
      <c r="A222"/>
      <c r="F222"/>
    </row>
    <row r="223" spans="1:6">
      <c r="A223"/>
      <c r="F223"/>
    </row>
    <row r="224" spans="1:6">
      <c r="A224"/>
      <c r="F224"/>
    </row>
    <row r="225" spans="1:6">
      <c r="A225"/>
      <c r="F225"/>
    </row>
    <row r="226" spans="1:6">
      <c r="A226"/>
      <c r="F226"/>
    </row>
    <row r="227" spans="1:6">
      <c r="A227"/>
      <c r="F227"/>
    </row>
    <row r="228" spans="1:6">
      <c r="A228"/>
      <c r="F228"/>
    </row>
    <row r="229" spans="1:6">
      <c r="A229"/>
      <c r="F229"/>
    </row>
    <row r="230" spans="1:6">
      <c r="A230"/>
      <c r="F230"/>
    </row>
    <row r="231" spans="1:6">
      <c r="A231"/>
      <c r="F231"/>
    </row>
    <row r="232" spans="1:6">
      <c r="A232"/>
      <c r="F232"/>
    </row>
    <row r="233" spans="1:6">
      <c r="A233"/>
      <c r="F233"/>
    </row>
    <row r="234" spans="1:6">
      <c r="A234"/>
      <c r="F234"/>
    </row>
    <row r="235" spans="1:6">
      <c r="A235"/>
      <c r="F235"/>
    </row>
    <row r="236" spans="1:6">
      <c r="A236"/>
      <c r="F236"/>
    </row>
    <row r="237" spans="1:6">
      <c r="A237"/>
      <c r="F237"/>
    </row>
    <row r="238" spans="1:6">
      <c r="A238"/>
      <c r="F238"/>
    </row>
    <row r="239" spans="1:6">
      <c r="A239"/>
      <c r="F239"/>
    </row>
    <row r="240" spans="1:6">
      <c r="A240"/>
      <c r="F240"/>
    </row>
    <row r="241" spans="1:6">
      <c r="A241"/>
      <c r="F241"/>
    </row>
    <row r="242" spans="1:6">
      <c r="A242"/>
      <c r="F242"/>
    </row>
    <row r="243" spans="1:6">
      <c r="A243"/>
      <c r="F243"/>
    </row>
    <row r="244" spans="1:6">
      <c r="A244"/>
      <c r="F244"/>
    </row>
    <row r="245" spans="1:6">
      <c r="A245"/>
      <c r="F245"/>
    </row>
    <row r="246" spans="1:6">
      <c r="A246"/>
      <c r="F246"/>
    </row>
    <row r="247" spans="1:6">
      <c r="A247"/>
      <c r="F247"/>
    </row>
    <row r="248" spans="1:6">
      <c r="A248"/>
      <c r="F248"/>
    </row>
    <row r="249" spans="1:6">
      <c r="A249"/>
      <c r="F249"/>
    </row>
    <row r="250" spans="1:6">
      <c r="A250"/>
      <c r="F250"/>
    </row>
    <row r="251" spans="1:6">
      <c r="A251"/>
      <c r="F251"/>
    </row>
    <row r="252" spans="1:6">
      <c r="A252"/>
      <c r="F252"/>
    </row>
    <row r="253" spans="1:6">
      <c r="A253"/>
      <c r="F253"/>
    </row>
    <row r="254" spans="1:6">
      <c r="A254"/>
      <c r="F254"/>
    </row>
    <row r="255" spans="1:6">
      <c r="A255"/>
      <c r="F255"/>
    </row>
    <row r="256" spans="1:6">
      <c r="A256"/>
      <c r="F256"/>
    </row>
    <row r="257" spans="1:6">
      <c r="A257"/>
      <c r="F257"/>
    </row>
    <row r="258" spans="1:6">
      <c r="A258"/>
      <c r="F258"/>
    </row>
    <row r="259" spans="1:6">
      <c r="A259"/>
      <c r="F259"/>
    </row>
    <row r="260" spans="1:6">
      <c r="A260"/>
      <c r="F260"/>
    </row>
    <row r="261" spans="1:6">
      <c r="A261"/>
      <c r="F261"/>
    </row>
    <row r="262" spans="1:6">
      <c r="A262"/>
      <c r="F262"/>
    </row>
    <row r="263" spans="1:6">
      <c r="A263"/>
      <c r="F263"/>
    </row>
    <row r="264" spans="1:6">
      <c r="A264"/>
      <c r="F264"/>
    </row>
    <row r="265" spans="1:6">
      <c r="A265"/>
      <c r="F265"/>
    </row>
    <row r="266" spans="1:6">
      <c r="A266"/>
      <c r="F266"/>
    </row>
    <row r="267" spans="1:6">
      <c r="A267"/>
      <c r="F267"/>
    </row>
    <row r="268" spans="1:6">
      <c r="A268"/>
      <c r="F268"/>
    </row>
    <row r="269" spans="1:6">
      <c r="A269"/>
      <c r="F269"/>
    </row>
    <row r="270" spans="1:6">
      <c r="A270"/>
      <c r="F270"/>
    </row>
    <row r="271" spans="1:6">
      <c r="A271"/>
      <c r="F271"/>
    </row>
    <row r="272" spans="1:6">
      <c r="A272"/>
      <c r="F272"/>
    </row>
    <row r="273" spans="1:6">
      <c r="A273"/>
      <c r="F273"/>
    </row>
    <row r="274" spans="1:6">
      <c r="A274"/>
      <c r="F274"/>
    </row>
    <row r="275" spans="1:6">
      <c r="A275"/>
      <c r="F275"/>
    </row>
    <row r="276" spans="1:6">
      <c r="A276"/>
      <c r="F276"/>
    </row>
    <row r="277" spans="1:6">
      <c r="A277"/>
      <c r="F277"/>
    </row>
    <row r="278" spans="1:6">
      <c r="A278"/>
      <c r="F278"/>
    </row>
    <row r="279" spans="1:6">
      <c r="A279"/>
      <c r="F279"/>
    </row>
    <row r="280" spans="1:6">
      <c r="A280"/>
      <c r="F280"/>
    </row>
    <row r="281" spans="1:6">
      <c r="A281"/>
      <c r="F281"/>
    </row>
    <row r="282" spans="1:6">
      <c r="A282"/>
      <c r="F282"/>
    </row>
    <row r="283" spans="1:6">
      <c r="A283"/>
      <c r="F283"/>
    </row>
    <row r="284" spans="1:6">
      <c r="A284"/>
      <c r="F284"/>
    </row>
    <row r="285" spans="1:6">
      <c r="A285"/>
      <c r="F285"/>
    </row>
    <row r="286" spans="1:6">
      <c r="A286"/>
      <c r="F286"/>
    </row>
    <row r="287" spans="1:6">
      <c r="A287"/>
      <c r="F287"/>
    </row>
    <row r="288" spans="1:6">
      <c r="A288"/>
      <c r="F288"/>
    </row>
    <row r="289" spans="1:6">
      <c r="A289"/>
      <c r="F289"/>
    </row>
    <row r="290" spans="1:6">
      <c r="A290"/>
      <c r="F290"/>
    </row>
    <row r="291" spans="1:6">
      <c r="A291"/>
      <c r="F291"/>
    </row>
    <row r="292" spans="1:6">
      <c r="A292"/>
      <c r="F292"/>
    </row>
    <row r="293" spans="1:6">
      <c r="A293"/>
      <c r="F293"/>
    </row>
    <row r="294" spans="1:6">
      <c r="A294"/>
      <c r="F294"/>
    </row>
    <row r="295" spans="1:6">
      <c r="A295"/>
      <c r="F295"/>
    </row>
    <row r="296" spans="1:6">
      <c r="A296"/>
      <c r="F296"/>
    </row>
    <row r="297" spans="1:6">
      <c r="A297"/>
      <c r="F297"/>
    </row>
    <row r="298" spans="1:6">
      <c r="A298"/>
      <c r="F298"/>
    </row>
    <row r="299" spans="1:6">
      <c r="A299"/>
      <c r="F299"/>
    </row>
    <row r="300" spans="1:6">
      <c r="A300"/>
      <c r="F300"/>
    </row>
    <row r="301" spans="1:6">
      <c r="A301"/>
      <c r="F301"/>
    </row>
    <row r="302" spans="1:6">
      <c r="A302"/>
      <c r="F302"/>
    </row>
    <row r="303" spans="1:6">
      <c r="A303"/>
      <c r="F303"/>
    </row>
    <row r="304" spans="1:6">
      <c r="A304"/>
      <c r="F304"/>
    </row>
    <row r="305" spans="1:6">
      <c r="A305"/>
      <c r="F305"/>
    </row>
    <row r="306" spans="1:6">
      <c r="A306"/>
      <c r="F306"/>
    </row>
    <row r="307" spans="1:6">
      <c r="A307"/>
      <c r="F307"/>
    </row>
    <row r="308" spans="1:6">
      <c r="A308"/>
      <c r="F308"/>
    </row>
    <row r="309" spans="1:6">
      <c r="A309"/>
      <c r="F309"/>
    </row>
    <row r="310" spans="1:6">
      <c r="A310"/>
      <c r="F310"/>
    </row>
    <row r="311" spans="1:6">
      <c r="A311"/>
      <c r="F311"/>
    </row>
    <row r="312" spans="1:6">
      <c r="A312"/>
      <c r="F312"/>
    </row>
    <row r="313" spans="1:6">
      <c r="A313"/>
      <c r="F313"/>
    </row>
    <row r="314" spans="1:6">
      <c r="A314"/>
      <c r="F314"/>
    </row>
    <row r="315" spans="1:6">
      <c r="A315"/>
      <c r="F315"/>
    </row>
    <row r="316" spans="1:6">
      <c r="A316"/>
      <c r="F316"/>
    </row>
    <row r="317" spans="1:6">
      <c r="A317"/>
      <c r="F317"/>
    </row>
    <row r="318" spans="1:6">
      <c r="A318"/>
      <c r="F318"/>
    </row>
    <row r="319" spans="1:6">
      <c r="A319"/>
      <c r="F319"/>
    </row>
    <row r="320" spans="1:6">
      <c r="A320"/>
      <c r="F320"/>
    </row>
    <row r="321" spans="1:6">
      <c r="A321"/>
      <c r="F321"/>
    </row>
    <row r="322" spans="1:6">
      <c r="A322"/>
      <c r="F322"/>
    </row>
    <row r="323" spans="1:6">
      <c r="A323"/>
      <c r="F323"/>
    </row>
    <row r="324" spans="1:6">
      <c r="A324"/>
      <c r="F324"/>
    </row>
    <row r="325" spans="1:6">
      <c r="A325"/>
      <c r="F325"/>
    </row>
    <row r="326" spans="1:6">
      <c r="A326"/>
      <c r="F326"/>
    </row>
    <row r="327" spans="1:6">
      <c r="A327"/>
      <c r="F327"/>
    </row>
    <row r="328" spans="1:6">
      <c r="A328"/>
      <c r="F328"/>
    </row>
    <row r="329" spans="1:6">
      <c r="A329"/>
      <c r="F329"/>
    </row>
    <row r="330" spans="1:6">
      <c r="A330"/>
      <c r="F330"/>
    </row>
    <row r="331" spans="1:6">
      <c r="A331"/>
      <c r="F331"/>
    </row>
    <row r="332" spans="1:6">
      <c r="A332"/>
      <c r="F332"/>
    </row>
    <row r="333" spans="1:6">
      <c r="A333"/>
      <c r="F333"/>
    </row>
    <row r="334" spans="1:6">
      <c r="A334"/>
      <c r="F334"/>
    </row>
    <row r="335" spans="1:6">
      <c r="A335"/>
      <c r="F335"/>
    </row>
    <row r="336" spans="1:6">
      <c r="A336"/>
      <c r="F336"/>
    </row>
    <row r="337" spans="1:6">
      <c r="A337"/>
      <c r="F337"/>
    </row>
    <row r="338" spans="1:6">
      <c r="A338"/>
      <c r="F338"/>
    </row>
    <row r="339" spans="1:6">
      <c r="A339"/>
      <c r="F339"/>
    </row>
    <row r="340" spans="1:6">
      <c r="A340"/>
      <c r="F340"/>
    </row>
    <row r="341" spans="1:6">
      <c r="A341"/>
      <c r="F341"/>
    </row>
    <row r="342" spans="1:6">
      <c r="A342"/>
      <c r="F342"/>
    </row>
    <row r="343" spans="1:6">
      <c r="A343"/>
      <c r="F343"/>
    </row>
    <row r="344" spans="1:6">
      <c r="A344"/>
      <c r="F344"/>
    </row>
    <row r="345" spans="1:6">
      <c r="A345"/>
      <c r="F345"/>
    </row>
    <row r="346" spans="1:6">
      <c r="A346"/>
      <c r="F346"/>
    </row>
    <row r="347" spans="1:6">
      <c r="A347"/>
      <c r="F347"/>
    </row>
    <row r="348" spans="1:6">
      <c r="A348"/>
      <c r="F348"/>
    </row>
    <row r="349" spans="1:6">
      <c r="A349"/>
      <c r="F349"/>
    </row>
    <row r="350" spans="1:6">
      <c r="A350"/>
      <c r="F350"/>
    </row>
    <row r="351" spans="1:6">
      <c r="A351"/>
      <c r="F351"/>
    </row>
    <row r="352" spans="1:6">
      <c r="A352"/>
      <c r="F352"/>
    </row>
    <row r="353" spans="1:6">
      <c r="A353"/>
      <c r="F353"/>
    </row>
    <row r="354" spans="1:6">
      <c r="A354"/>
      <c r="F354"/>
    </row>
    <row r="355" spans="1:6">
      <c r="A355"/>
      <c r="F355"/>
    </row>
    <row r="356" spans="1:6">
      <c r="A356"/>
      <c r="F356"/>
    </row>
    <row r="357" spans="1:6">
      <c r="A357"/>
      <c r="F357"/>
    </row>
  </sheetData>
  <phoneticPr fontId="3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8F8F8-877D-4B24-B5A3-8CF2930BECC3}">
  <sheetPr codeName="Sheet9"/>
  <dimension ref="A3:E80"/>
  <sheetViews>
    <sheetView topLeftCell="A16" workbookViewId="0">
      <selection activeCell="D1475" sqref="D1475"/>
    </sheetView>
  </sheetViews>
  <sheetFormatPr defaultColWidth="9" defaultRowHeight="13.5"/>
  <cols>
    <col min="1" max="1" width="15.75" customWidth="1"/>
    <col min="2" max="2" width="20.25" customWidth="1"/>
    <col min="3" max="3" width="27.75" customWidth="1"/>
  </cols>
  <sheetData>
    <row r="3" spans="1:5">
      <c r="A3" s="16" t="s">
        <v>3662</v>
      </c>
    </row>
    <row r="4" spans="1:5">
      <c r="A4" s="16" t="s">
        <v>6</v>
      </c>
      <c r="B4" s="16" t="s">
        <v>9</v>
      </c>
      <c r="C4" s="16" t="s">
        <v>8</v>
      </c>
      <c r="D4" s="16" t="s">
        <v>10</v>
      </c>
      <c r="E4" t="s">
        <v>204</v>
      </c>
    </row>
    <row r="5" spans="1:5">
      <c r="A5" t="s">
        <v>14</v>
      </c>
      <c r="B5" t="s">
        <v>68</v>
      </c>
      <c r="C5" t="s">
        <v>67</v>
      </c>
      <c r="D5" t="s">
        <v>58</v>
      </c>
      <c r="E5">
        <v>2</v>
      </c>
    </row>
    <row r="6" spans="1:5">
      <c r="B6" t="s">
        <v>23</v>
      </c>
      <c r="C6" t="s">
        <v>22</v>
      </c>
      <c r="D6" t="s">
        <v>17</v>
      </c>
      <c r="E6">
        <v>1</v>
      </c>
    </row>
    <row r="7" spans="1:5">
      <c r="D7" t="s">
        <v>58</v>
      </c>
      <c r="E7">
        <v>2</v>
      </c>
    </row>
    <row r="8" spans="1:5">
      <c r="B8" t="s">
        <v>87</v>
      </c>
      <c r="C8" t="s">
        <v>86</v>
      </c>
      <c r="D8" t="s">
        <v>17</v>
      </c>
      <c r="E8">
        <v>1</v>
      </c>
    </row>
    <row r="9" spans="1:5">
      <c r="B9" t="s">
        <v>72</v>
      </c>
      <c r="C9" t="s">
        <v>71</v>
      </c>
      <c r="D9" t="s">
        <v>17</v>
      </c>
      <c r="E9">
        <v>1</v>
      </c>
    </row>
    <row r="10" spans="1:5">
      <c r="D10" t="s">
        <v>58</v>
      </c>
      <c r="E10">
        <v>1</v>
      </c>
    </row>
    <row r="11" spans="1:5">
      <c r="B11" t="s">
        <v>64</v>
      </c>
      <c r="C11" t="s">
        <v>63</v>
      </c>
      <c r="D11" t="s">
        <v>58</v>
      </c>
      <c r="E11">
        <v>1</v>
      </c>
    </row>
    <row r="12" spans="1:5">
      <c r="B12" t="s">
        <v>44</v>
      </c>
      <c r="C12" t="s">
        <v>43</v>
      </c>
      <c r="D12" t="s">
        <v>17</v>
      </c>
      <c r="E12">
        <v>2</v>
      </c>
    </row>
    <row r="13" spans="1:5">
      <c r="B13" t="s">
        <v>57</v>
      </c>
      <c r="C13" t="s">
        <v>56</v>
      </c>
      <c r="D13" t="s">
        <v>17</v>
      </c>
      <c r="E13">
        <v>2</v>
      </c>
    </row>
    <row r="14" spans="1:5">
      <c r="B14" t="s">
        <v>3663</v>
      </c>
      <c r="C14" t="s">
        <v>3664</v>
      </c>
      <c r="D14" t="s">
        <v>58</v>
      </c>
      <c r="E14">
        <v>1</v>
      </c>
    </row>
    <row r="15" spans="1:5">
      <c r="B15" t="s">
        <v>70</v>
      </c>
      <c r="C15" t="s">
        <v>69</v>
      </c>
      <c r="D15" t="s">
        <v>58</v>
      </c>
      <c r="E15">
        <v>2</v>
      </c>
    </row>
    <row r="16" spans="1:5">
      <c r="B16" t="s">
        <v>42</v>
      </c>
      <c r="C16" t="s">
        <v>41</v>
      </c>
      <c r="D16" t="s">
        <v>17</v>
      </c>
      <c r="E16">
        <v>1</v>
      </c>
    </row>
    <row r="17" spans="1:5">
      <c r="D17" t="s">
        <v>58</v>
      </c>
      <c r="E17">
        <v>2</v>
      </c>
    </row>
    <row r="18" spans="1:5">
      <c r="B18" t="s">
        <v>52</v>
      </c>
      <c r="C18" t="s">
        <v>51</v>
      </c>
      <c r="D18" t="s">
        <v>17</v>
      </c>
      <c r="E18">
        <v>3</v>
      </c>
    </row>
    <row r="19" spans="1:5">
      <c r="D19" t="s">
        <v>58</v>
      </c>
      <c r="E19">
        <v>7</v>
      </c>
    </row>
    <row r="20" spans="1:5">
      <c r="B20" t="s">
        <v>46</v>
      </c>
      <c r="C20" t="s">
        <v>45</v>
      </c>
      <c r="D20" t="s">
        <v>17</v>
      </c>
      <c r="E20">
        <v>3</v>
      </c>
    </row>
    <row r="21" spans="1:5">
      <c r="D21" t="s">
        <v>58</v>
      </c>
      <c r="E21">
        <v>3</v>
      </c>
    </row>
    <row r="22" spans="1:5">
      <c r="B22" t="s">
        <v>54</v>
      </c>
      <c r="C22" t="s">
        <v>53</v>
      </c>
      <c r="D22" t="s">
        <v>17</v>
      </c>
      <c r="E22">
        <v>3</v>
      </c>
    </row>
    <row r="23" spans="1:5">
      <c r="C23" t="s">
        <v>55</v>
      </c>
      <c r="D23" t="s">
        <v>17</v>
      </c>
      <c r="E23">
        <v>1</v>
      </c>
    </row>
    <row r="24" spans="1:5">
      <c r="B24" t="s">
        <v>181</v>
      </c>
      <c r="C24" t="s">
        <v>180</v>
      </c>
      <c r="D24" t="s">
        <v>58</v>
      </c>
      <c r="E24">
        <v>2</v>
      </c>
    </row>
    <row r="25" spans="1:5">
      <c r="B25" t="s">
        <v>3665</v>
      </c>
      <c r="C25" t="s">
        <v>3666</v>
      </c>
      <c r="D25" t="s">
        <v>58</v>
      </c>
      <c r="E25">
        <v>1</v>
      </c>
    </row>
    <row r="26" spans="1:5">
      <c r="A26" t="s">
        <v>1127</v>
      </c>
      <c r="B26" t="s">
        <v>223</v>
      </c>
      <c r="C26" t="s">
        <v>3667</v>
      </c>
      <c r="D26" t="s">
        <v>58</v>
      </c>
      <c r="E26">
        <v>1</v>
      </c>
    </row>
    <row r="27" spans="1:5">
      <c r="B27" t="s">
        <v>30</v>
      </c>
      <c r="C27" t="s">
        <v>29</v>
      </c>
      <c r="D27" t="s">
        <v>17</v>
      </c>
      <c r="E27">
        <v>1</v>
      </c>
    </row>
    <row r="28" spans="1:5">
      <c r="B28" t="s">
        <v>3668</v>
      </c>
      <c r="C28" t="s">
        <v>3669</v>
      </c>
      <c r="D28" t="s">
        <v>17</v>
      </c>
      <c r="E28">
        <v>2</v>
      </c>
    </row>
    <row r="29" spans="1:5">
      <c r="B29" t="s">
        <v>3670</v>
      </c>
      <c r="C29" t="s">
        <v>3671</v>
      </c>
      <c r="D29" t="s">
        <v>58</v>
      </c>
      <c r="E29">
        <v>2</v>
      </c>
    </row>
    <row r="30" spans="1:5">
      <c r="B30" t="s">
        <v>3672</v>
      </c>
      <c r="C30" t="s">
        <v>3673</v>
      </c>
      <c r="D30" t="s">
        <v>17</v>
      </c>
      <c r="E30">
        <v>2</v>
      </c>
    </row>
    <row r="31" spans="1:5">
      <c r="B31" t="s">
        <v>3674</v>
      </c>
      <c r="C31" t="s">
        <v>3675</v>
      </c>
      <c r="D31" t="s">
        <v>17</v>
      </c>
      <c r="E31">
        <v>3</v>
      </c>
    </row>
    <row r="32" spans="1:5">
      <c r="B32" t="s">
        <v>3676</v>
      </c>
      <c r="C32" t="s">
        <v>3677</v>
      </c>
      <c r="D32" t="s">
        <v>17</v>
      </c>
      <c r="E32">
        <v>1</v>
      </c>
    </row>
    <row r="33" spans="2:5">
      <c r="D33" t="s">
        <v>58</v>
      </c>
      <c r="E33">
        <v>2</v>
      </c>
    </row>
    <row r="34" spans="2:5">
      <c r="B34" t="s">
        <v>203</v>
      </c>
      <c r="C34" t="s">
        <v>202</v>
      </c>
      <c r="D34" t="s">
        <v>201</v>
      </c>
      <c r="E34">
        <v>1</v>
      </c>
    </row>
    <row r="35" spans="2:5">
      <c r="B35" t="s">
        <v>167</v>
      </c>
      <c r="C35" t="s">
        <v>3678</v>
      </c>
      <c r="D35" t="s">
        <v>17</v>
      </c>
      <c r="E35">
        <v>1</v>
      </c>
    </row>
    <row r="36" spans="2:5">
      <c r="D36" t="s">
        <v>58</v>
      </c>
      <c r="E36">
        <v>1</v>
      </c>
    </row>
    <row r="37" spans="2:5">
      <c r="B37" t="s">
        <v>32</v>
      </c>
      <c r="C37" t="s">
        <v>31</v>
      </c>
      <c r="D37" t="s">
        <v>17</v>
      </c>
      <c r="E37">
        <v>1</v>
      </c>
    </row>
    <row r="38" spans="2:5">
      <c r="B38" t="s">
        <v>3679</v>
      </c>
      <c r="C38" t="s">
        <v>3680</v>
      </c>
      <c r="D38" t="s">
        <v>17</v>
      </c>
      <c r="E38">
        <v>1</v>
      </c>
    </row>
    <row r="39" spans="2:5">
      <c r="B39" t="s">
        <v>50</v>
      </c>
      <c r="C39" t="s">
        <v>3681</v>
      </c>
      <c r="D39" t="s">
        <v>17</v>
      </c>
      <c r="E39">
        <v>2</v>
      </c>
    </row>
    <row r="40" spans="2:5">
      <c r="B40" t="s">
        <v>3682</v>
      </c>
      <c r="C40" t="s">
        <v>3683</v>
      </c>
      <c r="D40" t="s">
        <v>58</v>
      </c>
      <c r="E40">
        <v>2</v>
      </c>
    </row>
    <row r="41" spans="2:5">
      <c r="B41" t="s">
        <v>60</v>
      </c>
      <c r="C41" t="s">
        <v>3684</v>
      </c>
      <c r="D41" t="s">
        <v>58</v>
      </c>
      <c r="E41">
        <v>1</v>
      </c>
    </row>
    <row r="42" spans="2:5">
      <c r="B42" t="s">
        <v>107</v>
      </c>
      <c r="C42" t="s">
        <v>3685</v>
      </c>
      <c r="D42" t="s">
        <v>17</v>
      </c>
      <c r="E42">
        <v>2</v>
      </c>
    </row>
    <row r="43" spans="2:5">
      <c r="D43" t="s">
        <v>58</v>
      </c>
      <c r="E43">
        <v>2</v>
      </c>
    </row>
    <row r="44" spans="2:5">
      <c r="C44" t="s">
        <v>3686</v>
      </c>
      <c r="D44" t="s">
        <v>17</v>
      </c>
      <c r="E44">
        <v>2</v>
      </c>
    </row>
    <row r="45" spans="2:5">
      <c r="D45" t="s">
        <v>58</v>
      </c>
      <c r="E45">
        <v>1</v>
      </c>
    </row>
    <row r="46" spans="2:5">
      <c r="B46" t="s">
        <v>3687</v>
      </c>
      <c r="C46" t="s">
        <v>3688</v>
      </c>
      <c r="D46" t="s">
        <v>149</v>
      </c>
      <c r="E46">
        <v>2</v>
      </c>
    </row>
    <row r="47" spans="2:5">
      <c r="B47" t="s">
        <v>3689</v>
      </c>
      <c r="C47" t="s">
        <v>3690</v>
      </c>
      <c r="D47" t="s">
        <v>58</v>
      </c>
      <c r="E47">
        <v>1</v>
      </c>
    </row>
    <row r="48" spans="2:5">
      <c r="B48" t="s">
        <v>3691</v>
      </c>
      <c r="C48" t="s">
        <v>3692</v>
      </c>
      <c r="D48" t="s">
        <v>17</v>
      </c>
      <c r="E48">
        <v>1</v>
      </c>
    </row>
    <row r="49" spans="1:5">
      <c r="D49" t="s">
        <v>58</v>
      </c>
      <c r="E49">
        <v>1</v>
      </c>
    </row>
    <row r="50" spans="1:5">
      <c r="B50" t="s">
        <v>42</v>
      </c>
      <c r="C50" t="s">
        <v>3693</v>
      </c>
      <c r="D50" t="s">
        <v>17</v>
      </c>
      <c r="E50">
        <v>1</v>
      </c>
    </row>
    <row r="51" spans="1:5">
      <c r="D51" t="s">
        <v>58</v>
      </c>
      <c r="E51">
        <v>1</v>
      </c>
    </row>
    <row r="52" spans="1:5">
      <c r="B52" t="s">
        <v>3694</v>
      </c>
      <c r="C52" t="s">
        <v>3695</v>
      </c>
      <c r="D52" t="s">
        <v>17</v>
      </c>
      <c r="E52">
        <v>1</v>
      </c>
    </row>
    <row r="53" spans="1:5">
      <c r="D53" t="s">
        <v>58</v>
      </c>
      <c r="E53">
        <v>1</v>
      </c>
    </row>
    <row r="54" spans="1:5">
      <c r="B54" t="s">
        <v>3696</v>
      </c>
      <c r="C54" t="s">
        <v>3697</v>
      </c>
      <c r="D54" t="s">
        <v>256</v>
      </c>
      <c r="E54">
        <v>1</v>
      </c>
    </row>
    <row r="55" spans="1:5">
      <c r="D55" t="s">
        <v>58</v>
      </c>
      <c r="E55">
        <v>1</v>
      </c>
    </row>
    <row r="56" spans="1:5">
      <c r="B56" t="s">
        <v>46</v>
      </c>
      <c r="C56" t="s">
        <v>45</v>
      </c>
      <c r="D56" t="s">
        <v>17</v>
      </c>
      <c r="E56">
        <v>1</v>
      </c>
    </row>
    <row r="57" spans="1:5">
      <c r="D57" t="s">
        <v>58</v>
      </c>
      <c r="E57">
        <v>1</v>
      </c>
    </row>
    <row r="58" spans="1:5">
      <c r="B58" t="s">
        <v>66</v>
      </c>
      <c r="C58" t="s">
        <v>65</v>
      </c>
      <c r="D58" t="s">
        <v>17</v>
      </c>
      <c r="E58">
        <v>2</v>
      </c>
    </row>
    <row r="59" spans="1:5">
      <c r="D59" t="s">
        <v>58</v>
      </c>
      <c r="E59">
        <v>2</v>
      </c>
    </row>
    <row r="60" spans="1:5">
      <c r="B60" t="s">
        <v>206</v>
      </c>
      <c r="C60" t="s">
        <v>206</v>
      </c>
      <c r="D60" t="s">
        <v>206</v>
      </c>
      <c r="E60">
        <v>1</v>
      </c>
    </row>
    <row r="61" spans="1:5">
      <c r="A61" t="s">
        <v>28</v>
      </c>
      <c r="B61" t="s">
        <v>23</v>
      </c>
      <c r="C61" t="s">
        <v>22</v>
      </c>
      <c r="D61" t="s">
        <v>17</v>
      </c>
      <c r="E61">
        <v>1</v>
      </c>
    </row>
    <row r="62" spans="1:5">
      <c r="B62" t="s">
        <v>40</v>
      </c>
      <c r="C62" t="s">
        <v>39</v>
      </c>
      <c r="D62" t="s">
        <v>17</v>
      </c>
      <c r="E62">
        <v>4</v>
      </c>
    </row>
    <row r="63" spans="1:5">
      <c r="B63" t="s">
        <v>3698</v>
      </c>
      <c r="C63" t="s">
        <v>3699</v>
      </c>
      <c r="D63" t="s">
        <v>17</v>
      </c>
      <c r="E63">
        <v>1</v>
      </c>
    </row>
    <row r="64" spans="1:5">
      <c r="B64" t="s">
        <v>62</v>
      </c>
      <c r="C64" t="s">
        <v>61</v>
      </c>
      <c r="D64" t="s">
        <v>17</v>
      </c>
      <c r="E64">
        <v>2</v>
      </c>
    </row>
    <row r="65" spans="1:5">
      <c r="D65" t="s">
        <v>58</v>
      </c>
      <c r="E65">
        <v>2</v>
      </c>
    </row>
    <row r="66" spans="1:5">
      <c r="B66" t="s">
        <v>92</v>
      </c>
      <c r="C66" t="s">
        <v>91</v>
      </c>
      <c r="D66" t="s">
        <v>17</v>
      </c>
      <c r="E66">
        <v>2</v>
      </c>
    </row>
    <row r="67" spans="1:5">
      <c r="D67" t="s">
        <v>58</v>
      </c>
      <c r="E67">
        <v>2</v>
      </c>
    </row>
    <row r="68" spans="1:5">
      <c r="B68" t="s">
        <v>50</v>
      </c>
      <c r="C68" t="s">
        <v>49</v>
      </c>
      <c r="D68" t="s">
        <v>17</v>
      </c>
      <c r="E68">
        <v>7</v>
      </c>
    </row>
    <row r="69" spans="1:5">
      <c r="D69" t="s">
        <v>58</v>
      </c>
      <c r="E69">
        <v>3</v>
      </c>
    </row>
    <row r="70" spans="1:5">
      <c r="B70" t="s">
        <v>198</v>
      </c>
      <c r="C70" t="s">
        <v>197</v>
      </c>
      <c r="D70" t="s">
        <v>58</v>
      </c>
      <c r="E70">
        <v>1</v>
      </c>
    </row>
    <row r="71" spans="1:5">
      <c r="B71" t="s">
        <v>60</v>
      </c>
      <c r="C71" t="s">
        <v>59</v>
      </c>
      <c r="D71" t="s">
        <v>17</v>
      </c>
      <c r="E71">
        <v>2</v>
      </c>
    </row>
    <row r="72" spans="1:5">
      <c r="D72" t="s">
        <v>58</v>
      </c>
      <c r="E72">
        <v>2</v>
      </c>
    </row>
    <row r="73" spans="1:5">
      <c r="B73" t="s">
        <v>107</v>
      </c>
      <c r="C73" t="s">
        <v>3700</v>
      </c>
      <c r="D73" t="s">
        <v>58</v>
      </c>
      <c r="E73">
        <v>1</v>
      </c>
    </row>
    <row r="74" spans="1:5">
      <c r="B74" t="s">
        <v>3701</v>
      </c>
      <c r="C74" t="s">
        <v>3702</v>
      </c>
      <c r="D74" t="s">
        <v>58</v>
      </c>
      <c r="E74">
        <v>1</v>
      </c>
    </row>
    <row r="75" spans="1:5">
      <c r="B75" t="s">
        <v>74</v>
      </c>
      <c r="C75" t="s">
        <v>73</v>
      </c>
      <c r="D75" t="s">
        <v>58</v>
      </c>
      <c r="E75">
        <v>1</v>
      </c>
    </row>
    <row r="76" spans="1:5">
      <c r="B76" t="s">
        <v>52</v>
      </c>
      <c r="C76" t="s">
        <v>51</v>
      </c>
      <c r="D76" t="s">
        <v>17</v>
      </c>
      <c r="E76">
        <v>2</v>
      </c>
    </row>
    <row r="77" spans="1:5">
      <c r="D77" t="s">
        <v>58</v>
      </c>
      <c r="E77">
        <v>3</v>
      </c>
    </row>
    <row r="78" spans="1:5">
      <c r="B78" t="s">
        <v>222</v>
      </c>
      <c r="C78" t="s">
        <v>3703</v>
      </c>
      <c r="D78" t="s">
        <v>17</v>
      </c>
      <c r="E78">
        <v>1</v>
      </c>
    </row>
    <row r="79" spans="1:5">
      <c r="B79" t="s">
        <v>144</v>
      </c>
      <c r="C79" t="s">
        <v>143</v>
      </c>
      <c r="D79" t="s">
        <v>17</v>
      </c>
      <c r="E79">
        <v>2</v>
      </c>
    </row>
    <row r="80" spans="1:5">
      <c r="A80" t="s">
        <v>214</v>
      </c>
      <c r="E80">
        <v>131</v>
      </c>
    </row>
  </sheetData>
  <phoneticPr fontId="3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04DDC-9F3C-44AB-A934-5128E86FA495}">
  <sheetPr codeName="Sheet14"/>
  <dimension ref="A1"/>
  <sheetViews>
    <sheetView workbookViewId="0"/>
  </sheetViews>
  <sheetFormatPr defaultColWidth="9" defaultRowHeight="13.5"/>
  <sheetData/>
  <phoneticPr fontId="3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J62"/>
  <sheetViews>
    <sheetView topLeftCell="A25" workbookViewId="0">
      <selection activeCell="B63" sqref="B63"/>
    </sheetView>
  </sheetViews>
  <sheetFormatPr defaultColWidth="9" defaultRowHeight="14.25"/>
  <cols>
    <col min="1" max="1" width="14.25" style="1" customWidth="1"/>
    <col min="2" max="2" width="22.75" style="49" customWidth="1"/>
    <col min="3" max="3" width="17.75" style="15" customWidth="1"/>
    <col min="4" max="4" width="40.25" style="1" customWidth="1"/>
    <col min="5" max="5" width="19.25" style="415" customWidth="1"/>
    <col min="6" max="6" width="14.75" style="1" customWidth="1"/>
    <col min="7" max="7" width="9" style="1"/>
    <col min="8" max="8" width="9.75" style="1" customWidth="1"/>
    <col min="9" max="9" width="9" style="1"/>
    <col min="10" max="10" width="15.25" style="1" customWidth="1"/>
    <col min="11" max="16384" width="9" style="1"/>
  </cols>
  <sheetData>
    <row r="1" spans="1:10">
      <c r="A1" s="2" t="s">
        <v>3704</v>
      </c>
      <c r="B1" s="97" t="s">
        <v>235</v>
      </c>
      <c r="C1" s="2" t="s">
        <v>271</v>
      </c>
      <c r="D1" s="2" t="s">
        <v>272</v>
      </c>
      <c r="E1" s="414" t="s">
        <v>265</v>
      </c>
      <c r="F1" s="2" t="s">
        <v>2728</v>
      </c>
      <c r="G1" s="2" t="s">
        <v>2852</v>
      </c>
      <c r="H1" s="431" t="s">
        <v>4185</v>
      </c>
      <c r="I1" s="431" t="s">
        <v>4190</v>
      </c>
      <c r="J1" s="431" t="s">
        <v>4196</v>
      </c>
    </row>
    <row r="2" spans="1:10">
      <c r="A2" s="1" t="s">
        <v>3705</v>
      </c>
      <c r="B2" s="49" t="s">
        <v>298</v>
      </c>
      <c r="C2" s="15" t="s">
        <v>3706</v>
      </c>
      <c r="D2" s="1" t="s">
        <v>3707</v>
      </c>
      <c r="E2" s="415" t="s">
        <v>4131</v>
      </c>
      <c r="G2" s="1" t="s">
        <v>281</v>
      </c>
      <c r="H2" s="1" t="s">
        <v>4187</v>
      </c>
      <c r="I2" s="1" t="s">
        <v>4193</v>
      </c>
      <c r="J2" s="1" t="s">
        <v>236</v>
      </c>
    </row>
    <row r="3" spans="1:10">
      <c r="A3" s="3" t="s">
        <v>2030</v>
      </c>
      <c r="B3" s="49" t="s">
        <v>241</v>
      </c>
      <c r="C3" s="15" t="s">
        <v>3708</v>
      </c>
      <c r="D3" s="1" t="s">
        <v>292</v>
      </c>
      <c r="E3" s="415" t="s">
        <v>4132</v>
      </c>
      <c r="G3" s="1" t="s">
        <v>4182</v>
      </c>
      <c r="H3" s="1" t="s">
        <v>4189</v>
      </c>
      <c r="I3" s="1" t="s">
        <v>4192</v>
      </c>
      <c r="J3" s="1" t="s">
        <v>2797</v>
      </c>
    </row>
    <row r="4" spans="1:10" ht="13.5" customHeight="1">
      <c r="A4" s="13" t="s">
        <v>4244</v>
      </c>
      <c r="B4" s="49" t="s">
        <v>3709</v>
      </c>
      <c r="C4" s="15" t="s">
        <v>3710</v>
      </c>
      <c r="D4" s="1" t="s">
        <v>3711</v>
      </c>
      <c r="E4" s="415" t="s">
        <v>4133</v>
      </c>
      <c r="G4" s="1" t="s">
        <v>4183</v>
      </c>
      <c r="H4" s="432" t="s">
        <v>236</v>
      </c>
      <c r="J4" s="1" t="s">
        <v>258</v>
      </c>
    </row>
    <row r="5" spans="1:10">
      <c r="A5" s="13" t="s">
        <v>4165</v>
      </c>
      <c r="B5" s="49">
        <v>305</v>
      </c>
      <c r="C5" s="15" t="s">
        <v>4011</v>
      </c>
      <c r="D5" s="1" t="s">
        <v>3713</v>
      </c>
      <c r="E5" s="415" t="s">
        <v>258</v>
      </c>
      <c r="F5" s="1" t="s">
        <v>4180</v>
      </c>
      <c r="G5" s="1" t="s">
        <v>4184</v>
      </c>
      <c r="H5" s="432" t="s">
        <v>4204</v>
      </c>
    </row>
    <row r="6" spans="1:10">
      <c r="A6" s="13" t="s">
        <v>4166</v>
      </c>
      <c r="B6" s="49" t="s">
        <v>243</v>
      </c>
      <c r="C6" s="15" t="s">
        <v>4012</v>
      </c>
      <c r="D6" s="1" t="s">
        <v>4268</v>
      </c>
      <c r="E6" s="415" t="s">
        <v>4134</v>
      </c>
      <c r="G6" s="1" t="s">
        <v>4014</v>
      </c>
    </row>
    <row r="7" spans="1:10">
      <c r="A7" s="13" t="s">
        <v>4167</v>
      </c>
      <c r="B7" s="49">
        <v>310</v>
      </c>
      <c r="D7" s="1" t="s">
        <v>3716</v>
      </c>
      <c r="E7" s="415" t="s">
        <v>4135</v>
      </c>
      <c r="F7" s="1" t="s">
        <v>4181</v>
      </c>
      <c r="G7" s="1" t="s">
        <v>4349</v>
      </c>
    </row>
    <row r="8" spans="1:10">
      <c r="A8" s="13" t="s">
        <v>4168</v>
      </c>
      <c r="B8" s="49" t="s">
        <v>2768</v>
      </c>
      <c r="D8" s="1" t="s">
        <v>307</v>
      </c>
      <c r="E8" s="415" t="s">
        <v>4136</v>
      </c>
      <c r="F8" s="1" t="s">
        <v>3718</v>
      </c>
    </row>
    <row r="9" spans="1:10">
      <c r="A9" s="13" t="s">
        <v>4169</v>
      </c>
      <c r="B9" s="49" t="s">
        <v>2809</v>
      </c>
      <c r="D9" s="1" t="s">
        <v>2168</v>
      </c>
      <c r="E9" s="415" t="s">
        <v>2797</v>
      </c>
      <c r="F9" s="1" t="s">
        <v>3720</v>
      </c>
    </row>
    <row r="10" spans="1:10">
      <c r="A10" s="13" t="s">
        <v>4170</v>
      </c>
      <c r="B10" s="49" t="s">
        <v>2777</v>
      </c>
      <c r="D10" s="1" t="s">
        <v>934</v>
      </c>
      <c r="E10" s="415" t="s">
        <v>4137</v>
      </c>
      <c r="F10" s="1" t="s">
        <v>3722</v>
      </c>
    </row>
    <row r="11" spans="1:10">
      <c r="A11" s="13" t="s">
        <v>4171</v>
      </c>
      <c r="B11" s="49" t="s">
        <v>2812</v>
      </c>
      <c r="D11" s="1" t="s">
        <v>3724</v>
      </c>
      <c r="E11" s="415" t="s">
        <v>3725</v>
      </c>
      <c r="F11" s="1" t="s">
        <v>3726</v>
      </c>
    </row>
    <row r="12" spans="1:10">
      <c r="A12" s="13" t="s">
        <v>4172</v>
      </c>
      <c r="B12" s="49" t="s">
        <v>2814</v>
      </c>
      <c r="D12" s="1" t="s">
        <v>3728</v>
      </c>
      <c r="E12" s="415" t="s">
        <v>4138</v>
      </c>
      <c r="F12" s="1" t="s">
        <v>3729</v>
      </c>
    </row>
    <row r="13" spans="1:10">
      <c r="A13" s="13" t="s">
        <v>3730</v>
      </c>
      <c r="B13" s="49" t="s">
        <v>2816</v>
      </c>
      <c r="D13" s="1" t="s">
        <v>3731</v>
      </c>
      <c r="E13" s="415" t="s">
        <v>4146</v>
      </c>
      <c r="F13" s="1" t="s">
        <v>3732</v>
      </c>
    </row>
    <row r="14" spans="1:10">
      <c r="A14" s="13" t="s">
        <v>3733</v>
      </c>
      <c r="B14" s="49" t="s">
        <v>2818</v>
      </c>
      <c r="D14" s="1" t="s">
        <v>3734</v>
      </c>
      <c r="E14" s="415" t="s">
        <v>4145</v>
      </c>
      <c r="F14" s="1" t="s">
        <v>3735</v>
      </c>
    </row>
    <row r="15" spans="1:10">
      <c r="A15" s="13" t="s">
        <v>3869</v>
      </c>
      <c r="B15" s="49" t="s">
        <v>2845</v>
      </c>
      <c r="D15" s="1" t="s">
        <v>3736</v>
      </c>
      <c r="E15" s="415" t="s">
        <v>4139</v>
      </c>
      <c r="F15" s="1" t="s">
        <v>3737</v>
      </c>
    </row>
    <row r="16" spans="1:10">
      <c r="A16" s="13" t="s">
        <v>3870</v>
      </c>
      <c r="B16" s="49" t="s">
        <v>2846</v>
      </c>
      <c r="D16" s="1" t="s">
        <v>3738</v>
      </c>
      <c r="E16" s="415" t="s">
        <v>4140</v>
      </c>
      <c r="F16" s="1" t="s">
        <v>3739</v>
      </c>
    </row>
    <row r="17" spans="1:6">
      <c r="A17" s="1" t="s">
        <v>3740</v>
      </c>
      <c r="B17" s="49" t="s">
        <v>2824</v>
      </c>
      <c r="D17" s="1" t="s">
        <v>1833</v>
      </c>
      <c r="E17" s="415" t="s">
        <v>3741</v>
      </c>
      <c r="F17" s="1" t="s">
        <v>3742</v>
      </c>
    </row>
    <row r="18" spans="1:6">
      <c r="A18" s="383" t="s">
        <v>4018</v>
      </c>
      <c r="B18" s="49" t="s">
        <v>2826</v>
      </c>
      <c r="D18" s="1" t="s">
        <v>3743</v>
      </c>
      <c r="E18" s="415" t="s">
        <v>4141</v>
      </c>
      <c r="F18" s="1" t="s">
        <v>3744</v>
      </c>
    </row>
    <row r="19" spans="1:6">
      <c r="B19" s="49" t="s">
        <v>2828</v>
      </c>
      <c r="D19" s="1" t="s">
        <v>3745</v>
      </c>
      <c r="E19" s="415" t="s">
        <v>4147</v>
      </c>
      <c r="F19" s="1" t="s">
        <v>3746</v>
      </c>
    </row>
    <row r="20" spans="1:6">
      <c r="B20" s="49" t="s">
        <v>2830</v>
      </c>
      <c r="D20" s="1" t="s">
        <v>2413</v>
      </c>
      <c r="E20" s="415" t="s">
        <v>3747</v>
      </c>
      <c r="F20" s="1" t="s">
        <v>3748</v>
      </c>
    </row>
    <row r="21" spans="1:6">
      <c r="B21" s="49" t="s">
        <v>2832</v>
      </c>
      <c r="D21" s="1" t="s">
        <v>3749</v>
      </c>
      <c r="E21" s="415" t="s">
        <v>4148</v>
      </c>
      <c r="F21" s="1" t="s">
        <v>3750</v>
      </c>
    </row>
    <row r="22" spans="1:6">
      <c r="B22" s="49" t="s">
        <v>2834</v>
      </c>
      <c r="D22" s="1" t="s">
        <v>3751</v>
      </c>
      <c r="E22" s="415" t="s">
        <v>4142</v>
      </c>
      <c r="F22" s="1" t="s">
        <v>3752</v>
      </c>
    </row>
    <row r="23" spans="1:6">
      <c r="A23" s="13"/>
      <c r="B23" s="49" t="s">
        <v>4161</v>
      </c>
      <c r="D23" s="1" t="s">
        <v>1687</v>
      </c>
      <c r="E23" s="415" t="s">
        <v>4149</v>
      </c>
    </row>
    <row r="24" spans="1:6">
      <c r="B24" s="49" t="s">
        <v>3754</v>
      </c>
      <c r="D24" s="1" t="s">
        <v>1821</v>
      </c>
      <c r="E24" s="415" t="s">
        <v>4150</v>
      </c>
    </row>
    <row r="25" spans="1:6">
      <c r="B25" s="49" t="s">
        <v>3755</v>
      </c>
      <c r="D25" s="1" t="s">
        <v>3756</v>
      </c>
      <c r="E25" s="415" t="s">
        <v>3757</v>
      </c>
    </row>
    <row r="26" spans="1:6">
      <c r="B26" s="49" t="s">
        <v>3758</v>
      </c>
      <c r="D26" s="1" t="s">
        <v>3759</v>
      </c>
      <c r="E26" s="415" t="s">
        <v>3760</v>
      </c>
    </row>
    <row r="27" spans="1:6">
      <c r="B27" s="49" t="s">
        <v>3761</v>
      </c>
      <c r="D27" s="1" t="s">
        <v>3762</v>
      </c>
      <c r="E27" s="415" t="s">
        <v>4143</v>
      </c>
    </row>
    <row r="28" spans="1:6">
      <c r="B28" s="49" t="s">
        <v>3763</v>
      </c>
      <c r="D28" s="1" t="s">
        <v>3764</v>
      </c>
      <c r="E28" s="415" t="s">
        <v>4144</v>
      </c>
    </row>
    <row r="29" spans="1:6">
      <c r="B29" s="49">
        <v>302</v>
      </c>
      <c r="D29" s="1" t="s">
        <v>3765</v>
      </c>
      <c r="E29" s="415" t="s">
        <v>3766</v>
      </c>
      <c r="F29" s="1" t="s">
        <v>4175</v>
      </c>
    </row>
    <row r="30" spans="1:6">
      <c r="B30" s="49">
        <v>301</v>
      </c>
      <c r="D30" s="1" t="s">
        <v>3767</v>
      </c>
      <c r="E30" s="415" t="s">
        <v>3768</v>
      </c>
      <c r="F30" s="1" t="s">
        <v>4178</v>
      </c>
    </row>
    <row r="31" spans="1:6">
      <c r="B31" s="49">
        <v>303</v>
      </c>
      <c r="D31" s="1" t="s">
        <v>3769</v>
      </c>
      <c r="E31" s="415" t="s">
        <v>258</v>
      </c>
      <c r="F31" s="1" t="s">
        <v>4177</v>
      </c>
    </row>
    <row r="32" spans="1:6">
      <c r="B32" s="49">
        <v>312</v>
      </c>
      <c r="D32" s="1" t="s">
        <v>3770</v>
      </c>
      <c r="E32" s="415" t="s">
        <v>3865</v>
      </c>
      <c r="F32" s="1" t="s">
        <v>4176</v>
      </c>
    </row>
    <row r="33" spans="1:6">
      <c r="B33" s="49">
        <v>311</v>
      </c>
      <c r="D33" s="1" t="s">
        <v>3771</v>
      </c>
      <c r="E33" s="415" t="s">
        <v>2791</v>
      </c>
      <c r="F33" s="1" t="s">
        <v>4173</v>
      </c>
    </row>
    <row r="34" spans="1:6">
      <c r="B34" s="49" t="s">
        <v>339</v>
      </c>
      <c r="D34" s="1" t="s">
        <v>3772</v>
      </c>
      <c r="E34" s="416" t="s">
        <v>3712</v>
      </c>
    </row>
    <row r="35" spans="1:6">
      <c r="B35" s="49">
        <v>304</v>
      </c>
      <c r="D35" s="1" t="s">
        <v>3773</v>
      </c>
      <c r="E35" s="416" t="s">
        <v>3714</v>
      </c>
      <c r="F35" s="1" t="s">
        <v>4179</v>
      </c>
    </row>
    <row r="36" spans="1:6">
      <c r="B36" s="49" t="s">
        <v>3774</v>
      </c>
      <c r="D36" s="1" t="s">
        <v>4023</v>
      </c>
      <c r="E36" s="416" t="s">
        <v>3715</v>
      </c>
    </row>
    <row r="37" spans="1:6">
      <c r="B37" s="49">
        <v>313</v>
      </c>
      <c r="D37" s="1" t="s">
        <v>4108</v>
      </c>
      <c r="E37" s="416" t="s">
        <v>3717</v>
      </c>
      <c r="F37" s="1" t="s">
        <v>4174</v>
      </c>
    </row>
    <row r="38" spans="1:6">
      <c r="B38" s="49" t="s">
        <v>3775</v>
      </c>
      <c r="D38" s="1" t="s">
        <v>4371</v>
      </c>
      <c r="E38" s="416" t="s">
        <v>3719</v>
      </c>
    </row>
    <row r="39" spans="1:6">
      <c r="B39" s="49">
        <v>306</v>
      </c>
      <c r="E39" s="416" t="s">
        <v>3721</v>
      </c>
      <c r="F39" s="1" t="s">
        <v>3845</v>
      </c>
    </row>
    <row r="40" spans="1:6">
      <c r="B40" s="49" t="s">
        <v>1163</v>
      </c>
      <c r="E40" s="416" t="s">
        <v>3723</v>
      </c>
    </row>
    <row r="41" spans="1:6">
      <c r="B41" s="49" t="s">
        <v>4153</v>
      </c>
      <c r="E41" s="416" t="s">
        <v>3727</v>
      </c>
      <c r="F41" s="1" t="s">
        <v>4152</v>
      </c>
    </row>
    <row r="42" spans="1:6">
      <c r="A42" s="13"/>
      <c r="B42" s="49" t="s">
        <v>1737</v>
      </c>
      <c r="E42" s="416" t="s">
        <v>3730</v>
      </c>
    </row>
    <row r="43" spans="1:6">
      <c r="A43" s="13"/>
      <c r="B43" s="49" t="s">
        <v>3776</v>
      </c>
      <c r="E43" s="416" t="s">
        <v>3733</v>
      </c>
    </row>
    <row r="44" spans="1:6">
      <c r="A44" s="13"/>
      <c r="B44" s="49" t="s">
        <v>4405</v>
      </c>
      <c r="E44" s="416" t="s">
        <v>3869</v>
      </c>
    </row>
    <row r="45" spans="1:6">
      <c r="A45" s="13"/>
      <c r="B45" s="49">
        <v>307</v>
      </c>
      <c r="E45" s="416" t="s">
        <v>3870</v>
      </c>
    </row>
    <row r="46" spans="1:6">
      <c r="A46" s="13"/>
      <c r="B46" s="49" t="s">
        <v>3753</v>
      </c>
    </row>
    <row r="47" spans="1:6">
      <c r="A47" s="13"/>
      <c r="B47" s="49">
        <v>7202</v>
      </c>
    </row>
    <row r="48" spans="1:6">
      <c r="A48" s="13"/>
      <c r="B48" s="49">
        <v>7203</v>
      </c>
    </row>
    <row r="49" spans="1:2">
      <c r="A49" s="13"/>
      <c r="B49" s="49">
        <v>7204</v>
      </c>
    </row>
    <row r="50" spans="1:2">
      <c r="A50" s="13"/>
      <c r="B50" s="49">
        <v>7205</v>
      </c>
    </row>
    <row r="51" spans="1:2">
      <c r="A51" s="13"/>
      <c r="B51" s="49" t="s">
        <v>3777</v>
      </c>
    </row>
    <row r="52" spans="1:2">
      <c r="B52" s="49">
        <v>7207</v>
      </c>
    </row>
    <row r="53" spans="1:2">
      <c r="B53" s="49">
        <v>7208</v>
      </c>
    </row>
    <row r="54" spans="1:2">
      <c r="B54" s="49" t="s">
        <v>3778</v>
      </c>
    </row>
    <row r="55" spans="1:2">
      <c r="B55" s="49" t="s">
        <v>3779</v>
      </c>
    </row>
    <row r="56" spans="1:2">
      <c r="B56" s="49">
        <v>309</v>
      </c>
    </row>
    <row r="57" spans="1:2">
      <c r="B57" s="49">
        <v>7206</v>
      </c>
    </row>
    <row r="58" spans="1:2">
      <c r="B58" s="49" t="s">
        <v>4051</v>
      </c>
    </row>
    <row r="59" spans="1:2">
      <c r="B59" s="49">
        <v>8151</v>
      </c>
    </row>
    <row r="60" spans="1:2">
      <c r="B60" s="49" t="s">
        <v>3780</v>
      </c>
    </row>
    <row r="61" spans="1:2" ht="15">
      <c r="B61" s="312" t="s">
        <v>2794</v>
      </c>
    </row>
    <row r="62" spans="1:2">
      <c r="B62" s="49" t="s">
        <v>4407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1"/>
  <dimension ref="A1:AZ198"/>
  <sheetViews>
    <sheetView topLeftCell="A19" workbookViewId="0">
      <selection activeCell="D1475" sqref="D1475"/>
    </sheetView>
  </sheetViews>
  <sheetFormatPr defaultColWidth="8.75" defaultRowHeight="15.75"/>
  <cols>
    <col min="1" max="1" width="12.25" style="275" customWidth="1"/>
    <col min="2" max="2" width="14.75" style="275" customWidth="1"/>
    <col min="3" max="3" width="21.25" style="275" customWidth="1"/>
    <col min="4" max="4" width="19" style="275" customWidth="1"/>
    <col min="5" max="5" width="8.75" style="276"/>
    <col min="6" max="6" width="18.75" style="275" customWidth="1"/>
    <col min="7" max="7" width="8.75" style="275"/>
    <col min="8" max="8" width="19.75" style="275" customWidth="1"/>
    <col min="9" max="10" width="8.75" style="275"/>
    <col min="11" max="11" width="22.75" style="275" bestFit="1" customWidth="1"/>
    <col min="12" max="12" width="13.375" style="276" bestFit="1" customWidth="1"/>
    <col min="13" max="16" width="9.75" style="275" bestFit="1" customWidth="1"/>
    <col min="17" max="17" width="8.375" style="275" bestFit="1" customWidth="1"/>
    <col min="18" max="18" width="13.375" style="275" bestFit="1" customWidth="1"/>
    <col min="19" max="21" width="9.75" style="275" bestFit="1" customWidth="1"/>
    <col min="22" max="22" width="8.375" style="275" bestFit="1" customWidth="1"/>
    <col min="23" max="23" width="6.25" style="275" bestFit="1" customWidth="1"/>
    <col min="24" max="24" width="6.625" style="275" bestFit="1" customWidth="1"/>
    <col min="25" max="25" width="10.75" style="275" bestFit="1" customWidth="1"/>
    <col min="26" max="27" width="8.375" style="275" bestFit="1" customWidth="1"/>
    <col min="28" max="28" width="10.75" style="275" bestFit="1" customWidth="1"/>
    <col min="29" max="30" width="8.375" style="275" bestFit="1" customWidth="1"/>
    <col min="31" max="31" width="12.75" style="275" bestFit="1" customWidth="1"/>
    <col min="32" max="32" width="10.75" style="275" bestFit="1" customWidth="1"/>
    <col min="33" max="33" width="6.25" style="275" bestFit="1" customWidth="1"/>
    <col min="34" max="34" width="8.375" style="275" bestFit="1" customWidth="1"/>
    <col min="35" max="35" width="10.75" style="275" bestFit="1" customWidth="1"/>
    <col min="36" max="36" width="6.25" style="275" bestFit="1" customWidth="1"/>
    <col min="37" max="38" width="10.75" style="275" bestFit="1" customWidth="1"/>
    <col min="39" max="39" width="6.25" style="275" bestFit="1" customWidth="1"/>
    <col min="40" max="40" width="10.75" style="275" bestFit="1" customWidth="1"/>
    <col min="41" max="42" width="8.375" style="275" bestFit="1" customWidth="1"/>
    <col min="43" max="44" width="6.25" style="275" bestFit="1" customWidth="1"/>
    <col min="45" max="45" width="8.375" style="275" bestFit="1" customWidth="1"/>
    <col min="46" max="46" width="6.25" style="275" bestFit="1" customWidth="1"/>
    <col min="47" max="50" width="8.375" style="275" bestFit="1" customWidth="1"/>
    <col min="51" max="51" width="6.25" style="275" bestFit="1" customWidth="1"/>
    <col min="52" max="52" width="6.625" style="275" bestFit="1" customWidth="1"/>
    <col min="53" max="16384" width="8.75" style="275"/>
  </cols>
  <sheetData>
    <row r="1" spans="1:52" ht="25.5">
      <c r="A1" s="272" t="s">
        <v>235</v>
      </c>
      <c r="B1" s="272" t="s">
        <v>2733</v>
      </c>
      <c r="C1" s="272" t="s">
        <v>2734</v>
      </c>
      <c r="D1" s="273" t="s">
        <v>269</v>
      </c>
      <c r="E1" s="274" t="s">
        <v>3781</v>
      </c>
      <c r="F1" s="274" t="s">
        <v>3782</v>
      </c>
    </row>
    <row r="2" spans="1:52">
      <c r="A2" s="159" t="s">
        <v>2744</v>
      </c>
      <c r="B2" s="139" t="s">
        <v>114</v>
      </c>
      <c r="C2" s="139" t="s">
        <v>113</v>
      </c>
      <c r="D2" s="51" t="s">
        <v>21</v>
      </c>
      <c r="E2" s="132">
        <v>20</v>
      </c>
      <c r="F2" s="145" t="s">
        <v>97</v>
      </c>
      <c r="H2" s="259"/>
      <c r="I2" s="259"/>
    </row>
    <row r="3" spans="1:52">
      <c r="A3" s="159" t="s">
        <v>2747</v>
      </c>
      <c r="B3" s="139" t="s">
        <v>114</v>
      </c>
      <c r="C3" s="139" t="s">
        <v>113</v>
      </c>
      <c r="D3" s="51" t="s">
        <v>21</v>
      </c>
      <c r="E3" s="132">
        <v>10</v>
      </c>
      <c r="F3" s="145" t="s">
        <v>97</v>
      </c>
      <c r="H3" s="259"/>
      <c r="I3" s="259"/>
    </row>
    <row r="4" spans="1:52">
      <c r="A4" s="159" t="s">
        <v>2748</v>
      </c>
      <c r="B4" s="139" t="s">
        <v>114</v>
      </c>
      <c r="C4" s="139" t="s">
        <v>113</v>
      </c>
      <c r="D4" s="51" t="s">
        <v>21</v>
      </c>
      <c r="E4" s="132">
        <v>2</v>
      </c>
      <c r="F4" s="145" t="s">
        <v>97</v>
      </c>
      <c r="H4" s="259"/>
      <c r="I4" s="259"/>
    </row>
    <row r="5" spans="1:52">
      <c r="A5" s="159" t="s">
        <v>2749</v>
      </c>
      <c r="B5" s="139" t="s">
        <v>114</v>
      </c>
      <c r="C5" s="139" t="s">
        <v>113</v>
      </c>
      <c r="D5" s="51" t="s">
        <v>21</v>
      </c>
      <c r="E5" s="132">
        <v>1</v>
      </c>
      <c r="F5" s="145" t="s">
        <v>97</v>
      </c>
      <c r="H5" s="259"/>
      <c r="I5" s="259"/>
    </row>
    <row r="6" spans="1:52">
      <c r="A6" s="159" t="s">
        <v>2755</v>
      </c>
      <c r="B6" s="139" t="s">
        <v>66</v>
      </c>
      <c r="C6" s="139" t="s">
        <v>65</v>
      </c>
      <c r="D6" s="51" t="s">
        <v>21</v>
      </c>
      <c r="E6" s="132">
        <v>80</v>
      </c>
      <c r="F6" s="145" t="s">
        <v>97</v>
      </c>
      <c r="H6" s="259"/>
      <c r="I6" s="259"/>
    </row>
    <row r="7" spans="1:52">
      <c r="A7" s="159" t="s">
        <v>2756</v>
      </c>
      <c r="B7" s="139" t="s">
        <v>66</v>
      </c>
      <c r="C7" s="139" t="s">
        <v>65</v>
      </c>
      <c r="D7" s="51" t="s">
        <v>21</v>
      </c>
      <c r="E7" s="132">
        <v>15</v>
      </c>
      <c r="F7" s="145" t="s">
        <v>97</v>
      </c>
      <c r="H7" s="259"/>
      <c r="I7" s="259"/>
      <c r="L7" s="275"/>
    </row>
    <row r="8" spans="1:52">
      <c r="A8" s="159" t="s">
        <v>2757</v>
      </c>
      <c r="B8" s="139" t="s">
        <v>66</v>
      </c>
      <c r="C8" s="139" t="s">
        <v>65</v>
      </c>
      <c r="D8" s="51" t="s">
        <v>21</v>
      </c>
      <c r="E8" s="132">
        <v>5</v>
      </c>
      <c r="F8" s="145" t="s">
        <v>97</v>
      </c>
      <c r="H8" s="259"/>
      <c r="I8" s="259"/>
      <c r="K8" s="275" t="s">
        <v>7</v>
      </c>
      <c r="L8" s="275" t="s">
        <v>3534</v>
      </c>
    </row>
    <row r="9" spans="1:52">
      <c r="A9" s="159" t="s">
        <v>2758</v>
      </c>
      <c r="B9" s="139" t="s">
        <v>66</v>
      </c>
      <c r="C9" s="139" t="s">
        <v>65</v>
      </c>
      <c r="D9" s="51" t="s">
        <v>21</v>
      </c>
      <c r="E9" s="132">
        <v>2</v>
      </c>
      <c r="F9" s="145" t="s">
        <v>97</v>
      </c>
      <c r="H9" s="259"/>
      <c r="I9" s="259"/>
    </row>
    <row r="10" spans="1:52">
      <c r="A10" s="159" t="s">
        <v>2759</v>
      </c>
      <c r="B10" s="139" t="s">
        <v>66</v>
      </c>
      <c r="C10" s="139" t="s">
        <v>65</v>
      </c>
      <c r="D10" s="51" t="s">
        <v>21</v>
      </c>
      <c r="E10" s="132">
        <v>2</v>
      </c>
      <c r="F10" s="145" t="s">
        <v>97</v>
      </c>
      <c r="H10" s="259"/>
      <c r="I10" s="259"/>
      <c r="K10" s="275" t="s">
        <v>3783</v>
      </c>
      <c r="L10" s="275" t="s">
        <v>233</v>
      </c>
    </row>
    <row r="11" spans="1:52">
      <c r="A11" s="159" t="s">
        <v>2744</v>
      </c>
      <c r="B11" s="139" t="s">
        <v>62</v>
      </c>
      <c r="C11" s="139" t="s">
        <v>61</v>
      </c>
      <c r="D11" s="51" t="s">
        <v>21</v>
      </c>
      <c r="E11" s="143">
        <v>90</v>
      </c>
      <c r="F11" s="145" t="s">
        <v>1798</v>
      </c>
      <c r="H11" s="259"/>
      <c r="I11" s="259"/>
      <c r="K11" s="275" t="s">
        <v>234</v>
      </c>
      <c r="L11" s="275" t="s">
        <v>23</v>
      </c>
      <c r="M11" s="275" t="s">
        <v>87</v>
      </c>
      <c r="N11" s="275" t="s">
        <v>3670</v>
      </c>
      <c r="O11" s="275" t="s">
        <v>32</v>
      </c>
      <c r="P11" s="275" t="s">
        <v>44</v>
      </c>
      <c r="Q11" s="275" t="s">
        <v>57</v>
      </c>
      <c r="R11" s="275" t="s">
        <v>60</v>
      </c>
      <c r="S11" s="275" t="s">
        <v>3663</v>
      </c>
      <c r="T11" s="275" t="s">
        <v>70</v>
      </c>
      <c r="U11" s="275" t="s">
        <v>3691</v>
      </c>
      <c r="V11" s="275" t="s">
        <v>42</v>
      </c>
      <c r="W11" s="275" t="s">
        <v>52</v>
      </c>
      <c r="X11" s="275" t="s">
        <v>46</v>
      </c>
      <c r="Y11" s="275" t="s">
        <v>54</v>
      </c>
      <c r="Z11" s="275" t="s">
        <v>66</v>
      </c>
      <c r="AA11" s="275" t="s">
        <v>207</v>
      </c>
      <c r="AB11" s="275" t="s">
        <v>152</v>
      </c>
      <c r="AC11" s="275" t="s">
        <v>62</v>
      </c>
      <c r="AD11" s="275" t="s">
        <v>74</v>
      </c>
      <c r="AE11" s="275" t="s">
        <v>3701</v>
      </c>
      <c r="AF11" s="275" t="s">
        <v>40</v>
      </c>
      <c r="AG11" s="275" t="s">
        <v>50</v>
      </c>
      <c r="AH11" s="275" t="s">
        <v>144</v>
      </c>
      <c r="AI11" s="275" t="s">
        <v>222</v>
      </c>
      <c r="AJ11" s="275" t="s">
        <v>198</v>
      </c>
      <c r="AK11" s="275" t="s">
        <v>136</v>
      </c>
      <c r="AL11" s="275" t="s">
        <v>175</v>
      </c>
      <c r="AM11" s="275" t="s">
        <v>120</v>
      </c>
      <c r="AN11" s="275" t="s">
        <v>129</v>
      </c>
      <c r="AO11" s="275" t="s">
        <v>194</v>
      </c>
      <c r="AP11" s="275" t="s">
        <v>166</v>
      </c>
      <c r="AQ11" s="275" t="s">
        <v>184</v>
      </c>
      <c r="AR11" s="275" t="s">
        <v>162</v>
      </c>
      <c r="AS11" s="275" t="s">
        <v>131</v>
      </c>
      <c r="AT11" s="275" t="s">
        <v>89</v>
      </c>
      <c r="AU11" s="275" t="s">
        <v>103</v>
      </c>
      <c r="AV11" s="275" t="s">
        <v>119</v>
      </c>
      <c r="AW11" s="275" t="s">
        <v>124</v>
      </c>
      <c r="AX11" s="275" t="s">
        <v>145</v>
      </c>
      <c r="AY11" s="275" t="s">
        <v>177</v>
      </c>
      <c r="AZ11" s="275" t="s">
        <v>214</v>
      </c>
    </row>
    <row r="12" spans="1:52">
      <c r="A12" s="159" t="s">
        <v>2747</v>
      </c>
      <c r="B12" s="139" t="s">
        <v>62</v>
      </c>
      <c r="C12" s="139" t="s">
        <v>61</v>
      </c>
      <c r="D12" s="51" t="s">
        <v>21</v>
      </c>
      <c r="E12" s="143">
        <v>9</v>
      </c>
      <c r="F12" s="145" t="s">
        <v>1798</v>
      </c>
      <c r="H12" s="259"/>
      <c r="I12" s="259"/>
      <c r="K12" s="277" t="s">
        <v>2747</v>
      </c>
      <c r="L12" s="276">
        <v>50</v>
      </c>
      <c r="M12" s="276">
        <v>10</v>
      </c>
      <c r="N12" s="276">
        <v>1</v>
      </c>
      <c r="O12" s="276">
        <v>3</v>
      </c>
      <c r="P12" s="276">
        <v>6</v>
      </c>
      <c r="Q12" s="276">
        <v>2</v>
      </c>
      <c r="R12" s="276">
        <v>9</v>
      </c>
      <c r="S12" s="276">
        <v>3</v>
      </c>
      <c r="T12" s="276"/>
      <c r="U12" s="276">
        <v>5</v>
      </c>
      <c r="V12" s="276">
        <v>16</v>
      </c>
      <c r="W12" s="276"/>
      <c r="X12" s="276">
        <v>60</v>
      </c>
      <c r="Y12" s="276">
        <v>5</v>
      </c>
      <c r="Z12" s="276"/>
      <c r="AA12" s="276"/>
      <c r="AB12" s="276"/>
      <c r="AC12" s="276">
        <v>9</v>
      </c>
      <c r="AD12" s="276"/>
      <c r="AE12" s="276">
        <v>10</v>
      </c>
      <c r="AF12" s="276">
        <v>12</v>
      </c>
      <c r="AG12" s="276"/>
      <c r="AH12" s="276">
        <v>12</v>
      </c>
      <c r="AI12" s="276">
        <v>4</v>
      </c>
      <c r="AJ12" s="276">
        <v>5</v>
      </c>
      <c r="AK12" s="276">
        <v>8</v>
      </c>
      <c r="AL12" s="276">
        <v>30</v>
      </c>
      <c r="AM12" s="276">
        <v>10</v>
      </c>
      <c r="AN12" s="276">
        <v>8</v>
      </c>
      <c r="AO12" s="276">
        <v>5</v>
      </c>
      <c r="AP12" s="276">
        <v>2</v>
      </c>
      <c r="AQ12" s="276">
        <v>10</v>
      </c>
      <c r="AR12" s="276">
        <v>35</v>
      </c>
      <c r="AS12" s="276">
        <v>8</v>
      </c>
      <c r="AT12" s="276">
        <v>20</v>
      </c>
      <c r="AU12" s="276">
        <v>2</v>
      </c>
      <c r="AV12" s="276">
        <v>10</v>
      </c>
      <c r="AW12" s="276">
        <v>26</v>
      </c>
      <c r="AX12" s="276">
        <v>25</v>
      </c>
      <c r="AY12" s="276">
        <v>30</v>
      </c>
      <c r="AZ12" s="276">
        <v>451</v>
      </c>
    </row>
    <row r="13" spans="1:52">
      <c r="A13" s="159" t="s">
        <v>2812</v>
      </c>
      <c r="B13" s="139" t="s">
        <v>62</v>
      </c>
      <c r="C13" s="139" t="s">
        <v>61</v>
      </c>
      <c r="D13" s="51" t="s">
        <v>21</v>
      </c>
      <c r="E13" s="143">
        <v>2</v>
      </c>
      <c r="F13" s="145" t="s">
        <v>1798</v>
      </c>
      <c r="H13" s="259"/>
      <c r="I13" s="259"/>
      <c r="K13" s="277" t="s">
        <v>2748</v>
      </c>
      <c r="L13" s="276">
        <v>10</v>
      </c>
      <c r="M13" s="276">
        <v>3</v>
      </c>
      <c r="N13" s="276">
        <v>1</v>
      </c>
      <c r="O13" s="276">
        <v>2</v>
      </c>
      <c r="P13" s="276">
        <v>2</v>
      </c>
      <c r="Q13" s="276"/>
      <c r="R13" s="276"/>
      <c r="S13" s="276">
        <v>1</v>
      </c>
      <c r="T13" s="276"/>
      <c r="U13" s="276">
        <v>2</v>
      </c>
      <c r="V13" s="276">
        <v>10</v>
      </c>
      <c r="W13" s="276"/>
      <c r="X13" s="276">
        <v>20</v>
      </c>
      <c r="Y13" s="276">
        <v>1</v>
      </c>
      <c r="Z13" s="276"/>
      <c r="AA13" s="276"/>
      <c r="AB13" s="276"/>
      <c r="AC13" s="276"/>
      <c r="AD13" s="276"/>
      <c r="AE13" s="276">
        <v>2</v>
      </c>
      <c r="AF13" s="276"/>
      <c r="AG13" s="276"/>
      <c r="AH13" s="276"/>
      <c r="AI13" s="276">
        <v>2</v>
      </c>
      <c r="AJ13" s="276"/>
      <c r="AK13" s="276">
        <v>2</v>
      </c>
      <c r="AL13" s="276"/>
      <c r="AM13" s="276">
        <v>2</v>
      </c>
      <c r="AN13" s="276">
        <v>5</v>
      </c>
      <c r="AO13" s="276"/>
      <c r="AP13" s="276"/>
      <c r="AQ13" s="276"/>
      <c r="AR13" s="276">
        <v>10</v>
      </c>
      <c r="AS13" s="276">
        <v>1</v>
      </c>
      <c r="AT13" s="276"/>
      <c r="AU13" s="276">
        <v>2</v>
      </c>
      <c r="AV13" s="276">
        <v>1</v>
      </c>
      <c r="AW13" s="276">
        <v>6</v>
      </c>
      <c r="AX13" s="276">
        <v>4</v>
      </c>
      <c r="AY13" s="276">
        <v>8</v>
      </c>
      <c r="AZ13" s="276">
        <v>97</v>
      </c>
    </row>
    <row r="14" spans="1:52">
      <c r="A14" s="159" t="s">
        <v>2744</v>
      </c>
      <c r="B14" s="139" t="s">
        <v>60</v>
      </c>
      <c r="C14" s="139" t="s">
        <v>3784</v>
      </c>
      <c r="D14" s="51" t="s">
        <v>21</v>
      </c>
      <c r="E14" s="143">
        <v>90</v>
      </c>
      <c r="F14" s="145" t="s">
        <v>97</v>
      </c>
      <c r="H14" s="259"/>
      <c r="I14" s="259"/>
      <c r="K14" s="277" t="s">
        <v>2749</v>
      </c>
      <c r="L14" s="276">
        <v>10</v>
      </c>
      <c r="M14" s="276"/>
      <c r="N14" s="276"/>
      <c r="O14" s="276"/>
      <c r="P14" s="276"/>
      <c r="Q14" s="276"/>
      <c r="R14" s="276">
        <v>2</v>
      </c>
      <c r="S14" s="276">
        <v>1</v>
      </c>
      <c r="T14" s="276"/>
      <c r="U14" s="276">
        <v>1</v>
      </c>
      <c r="V14" s="276">
        <v>2</v>
      </c>
      <c r="W14" s="276"/>
      <c r="X14" s="276">
        <v>3</v>
      </c>
      <c r="Y14" s="276">
        <v>1</v>
      </c>
      <c r="Z14" s="276"/>
      <c r="AA14" s="276"/>
      <c r="AB14" s="276"/>
      <c r="AC14" s="276">
        <v>2</v>
      </c>
      <c r="AD14" s="276"/>
      <c r="AE14" s="276"/>
      <c r="AF14" s="276"/>
      <c r="AG14" s="276"/>
      <c r="AH14" s="276"/>
      <c r="AI14" s="276"/>
      <c r="AJ14" s="276"/>
      <c r="AK14" s="276"/>
      <c r="AL14" s="276"/>
      <c r="AM14" s="276"/>
      <c r="AN14" s="276"/>
      <c r="AO14" s="276"/>
      <c r="AP14" s="276"/>
      <c r="AQ14" s="276"/>
      <c r="AR14" s="276">
        <v>5</v>
      </c>
      <c r="AS14" s="276">
        <v>1</v>
      </c>
      <c r="AT14" s="276"/>
      <c r="AU14" s="276"/>
      <c r="AV14" s="276"/>
      <c r="AW14" s="276"/>
      <c r="AX14" s="276"/>
      <c r="AY14" s="276">
        <v>5</v>
      </c>
      <c r="AZ14" s="276">
        <v>33</v>
      </c>
    </row>
    <row r="15" spans="1:52">
      <c r="A15" s="159" t="s">
        <v>2747</v>
      </c>
      <c r="B15" s="139" t="s">
        <v>60</v>
      </c>
      <c r="C15" s="139" t="s">
        <v>3784</v>
      </c>
      <c r="D15" s="51" t="s">
        <v>21</v>
      </c>
      <c r="E15" s="143">
        <v>9</v>
      </c>
      <c r="F15" s="145" t="s">
        <v>97</v>
      </c>
      <c r="H15" s="259"/>
      <c r="I15" s="259"/>
      <c r="K15" s="277" t="s">
        <v>2750</v>
      </c>
      <c r="L15" s="276">
        <v>5</v>
      </c>
      <c r="M15" s="276"/>
      <c r="N15" s="276"/>
      <c r="O15" s="276"/>
      <c r="P15" s="276"/>
      <c r="Q15" s="276"/>
      <c r="R15" s="276"/>
      <c r="S15" s="276">
        <v>1</v>
      </c>
      <c r="T15" s="276"/>
      <c r="U15" s="276">
        <v>1</v>
      </c>
      <c r="V15" s="276"/>
      <c r="W15" s="276"/>
      <c r="X15" s="276">
        <v>2</v>
      </c>
      <c r="Y15" s="276">
        <v>1</v>
      </c>
      <c r="Z15" s="276"/>
      <c r="AA15" s="276"/>
      <c r="AB15" s="276"/>
      <c r="AC15" s="276"/>
      <c r="AD15" s="276"/>
      <c r="AE15" s="276"/>
      <c r="AF15" s="276"/>
      <c r="AG15" s="276"/>
      <c r="AH15" s="276">
        <v>2</v>
      </c>
      <c r="AI15" s="276"/>
      <c r="AJ15" s="276"/>
      <c r="AK15" s="276"/>
      <c r="AL15" s="276"/>
      <c r="AM15" s="276"/>
      <c r="AN15" s="276"/>
      <c r="AO15" s="276"/>
      <c r="AP15" s="276"/>
      <c r="AQ15" s="276"/>
      <c r="AR15" s="276">
        <v>2</v>
      </c>
      <c r="AS15" s="276"/>
      <c r="AT15" s="276"/>
      <c r="AU15" s="276"/>
      <c r="AV15" s="276"/>
      <c r="AW15" s="276"/>
      <c r="AX15" s="276"/>
      <c r="AY15" s="276">
        <v>2</v>
      </c>
      <c r="AZ15" s="276">
        <v>16</v>
      </c>
    </row>
    <row r="16" spans="1:52">
      <c r="A16" s="159" t="s">
        <v>2812</v>
      </c>
      <c r="B16" s="139" t="s">
        <v>60</v>
      </c>
      <c r="C16" s="139" t="s">
        <v>3784</v>
      </c>
      <c r="D16" s="51" t="s">
        <v>21</v>
      </c>
      <c r="E16" s="143">
        <v>2</v>
      </c>
      <c r="F16" s="145" t="s">
        <v>97</v>
      </c>
      <c r="H16" s="259"/>
      <c r="I16" s="259"/>
      <c r="K16" s="277" t="s">
        <v>2751</v>
      </c>
      <c r="L16" s="276">
        <v>1</v>
      </c>
      <c r="M16" s="276"/>
      <c r="N16" s="276"/>
      <c r="O16" s="276"/>
      <c r="P16" s="276"/>
      <c r="Q16" s="276"/>
      <c r="R16" s="276"/>
      <c r="S16" s="276"/>
      <c r="T16" s="276"/>
      <c r="U16" s="276"/>
      <c r="V16" s="276"/>
      <c r="W16" s="276"/>
      <c r="X16" s="276">
        <v>1</v>
      </c>
      <c r="Y16" s="276">
        <v>1</v>
      </c>
      <c r="Z16" s="276"/>
      <c r="AA16" s="276"/>
      <c r="AB16" s="276"/>
      <c r="AC16" s="276"/>
      <c r="AD16" s="276"/>
      <c r="AE16" s="276"/>
      <c r="AF16" s="276"/>
      <c r="AG16" s="276"/>
      <c r="AH16" s="276"/>
      <c r="AI16" s="276"/>
      <c r="AJ16" s="276"/>
      <c r="AK16" s="276"/>
      <c r="AL16" s="276"/>
      <c r="AM16" s="276"/>
      <c r="AN16" s="276"/>
      <c r="AO16" s="276"/>
      <c r="AP16" s="276"/>
      <c r="AQ16" s="276"/>
      <c r="AR16" s="276"/>
      <c r="AS16" s="276"/>
      <c r="AT16" s="276"/>
      <c r="AU16" s="276"/>
      <c r="AV16" s="276"/>
      <c r="AW16" s="276"/>
      <c r="AX16" s="276"/>
      <c r="AY16" s="276"/>
      <c r="AZ16" s="276">
        <v>3</v>
      </c>
    </row>
    <row r="17" spans="1:52">
      <c r="A17" s="159" t="s">
        <v>2744</v>
      </c>
      <c r="B17" s="139" t="s">
        <v>117</v>
      </c>
      <c r="C17" s="139" t="s">
        <v>116</v>
      </c>
      <c r="D17" s="51" t="s">
        <v>36</v>
      </c>
      <c r="E17" s="132">
        <v>30</v>
      </c>
      <c r="F17" s="145" t="s">
        <v>97</v>
      </c>
      <c r="H17" s="259"/>
      <c r="I17" s="259"/>
      <c r="K17" s="277" t="s">
        <v>2752</v>
      </c>
      <c r="L17" s="276">
        <v>1</v>
      </c>
      <c r="M17" s="276"/>
      <c r="N17" s="276"/>
      <c r="O17" s="276"/>
      <c r="P17" s="276"/>
      <c r="Q17" s="276"/>
      <c r="R17" s="276"/>
      <c r="S17" s="276"/>
      <c r="T17" s="276"/>
      <c r="U17" s="276"/>
      <c r="V17" s="276"/>
      <c r="W17" s="276"/>
      <c r="X17" s="276"/>
      <c r="Y17" s="276"/>
      <c r="Z17" s="276"/>
      <c r="AA17" s="276"/>
      <c r="AB17" s="276"/>
      <c r="AC17" s="276"/>
      <c r="AD17" s="276"/>
      <c r="AE17" s="276"/>
      <c r="AF17" s="276"/>
      <c r="AG17" s="276"/>
      <c r="AH17" s="276"/>
      <c r="AI17" s="276"/>
      <c r="AJ17" s="276"/>
      <c r="AK17" s="276"/>
      <c r="AL17" s="276"/>
      <c r="AM17" s="276"/>
      <c r="AN17" s="276"/>
      <c r="AO17" s="276"/>
      <c r="AP17" s="276"/>
      <c r="AQ17" s="276"/>
      <c r="AR17" s="276"/>
      <c r="AS17" s="276"/>
      <c r="AT17" s="276"/>
      <c r="AU17" s="276"/>
      <c r="AV17" s="276"/>
      <c r="AW17" s="276"/>
      <c r="AX17" s="276"/>
      <c r="AY17" s="276"/>
      <c r="AZ17" s="276">
        <v>1</v>
      </c>
    </row>
    <row r="18" spans="1:52">
      <c r="A18" s="159" t="s">
        <v>2747</v>
      </c>
      <c r="B18" s="139" t="s">
        <v>117</v>
      </c>
      <c r="C18" s="139" t="s">
        <v>116</v>
      </c>
      <c r="D18" s="51" t="s">
        <v>36</v>
      </c>
      <c r="E18" s="132">
        <v>10</v>
      </c>
      <c r="F18" s="145" t="s">
        <v>97</v>
      </c>
      <c r="H18" s="259"/>
      <c r="I18" s="259"/>
      <c r="K18" s="277" t="s">
        <v>2744</v>
      </c>
      <c r="M18" s="276">
        <v>20</v>
      </c>
      <c r="N18" s="276">
        <v>40</v>
      </c>
      <c r="O18" s="276">
        <v>15</v>
      </c>
      <c r="P18" s="276">
        <v>5</v>
      </c>
      <c r="Q18" s="276">
        <v>60</v>
      </c>
      <c r="R18" s="276">
        <v>90</v>
      </c>
      <c r="S18" s="276">
        <v>48</v>
      </c>
      <c r="T18" s="276">
        <v>100</v>
      </c>
      <c r="U18" s="276">
        <v>65</v>
      </c>
      <c r="V18" s="276">
        <v>80</v>
      </c>
      <c r="W18" s="276">
        <v>40</v>
      </c>
      <c r="X18" s="276">
        <v>400</v>
      </c>
      <c r="Y18" s="276">
        <v>10</v>
      </c>
      <c r="Z18" s="276"/>
      <c r="AA18" s="276"/>
      <c r="AB18" s="276"/>
      <c r="AC18" s="276">
        <v>90</v>
      </c>
      <c r="AD18" s="276">
        <v>40</v>
      </c>
      <c r="AE18" s="276">
        <v>30</v>
      </c>
      <c r="AF18" s="276">
        <v>72</v>
      </c>
      <c r="AG18" s="276">
        <v>18</v>
      </c>
      <c r="AH18" s="276">
        <v>40</v>
      </c>
      <c r="AI18" s="276">
        <v>23</v>
      </c>
      <c r="AJ18" s="276">
        <v>32</v>
      </c>
      <c r="AK18" s="276">
        <v>25</v>
      </c>
      <c r="AL18" s="276">
        <v>90</v>
      </c>
      <c r="AM18" s="276">
        <v>45</v>
      </c>
      <c r="AN18" s="276">
        <v>110</v>
      </c>
      <c r="AO18" s="276">
        <v>20</v>
      </c>
      <c r="AP18" s="276">
        <v>35</v>
      </c>
      <c r="AQ18" s="276">
        <v>90</v>
      </c>
      <c r="AR18" s="276">
        <v>133</v>
      </c>
      <c r="AS18" s="276">
        <v>23</v>
      </c>
      <c r="AT18" s="276">
        <v>100</v>
      </c>
      <c r="AU18" s="276">
        <v>56</v>
      </c>
      <c r="AV18" s="276">
        <v>20</v>
      </c>
      <c r="AW18" s="276">
        <v>70</v>
      </c>
      <c r="AX18" s="276">
        <v>90</v>
      </c>
      <c r="AY18" s="276">
        <v>150</v>
      </c>
      <c r="AZ18" s="276">
        <v>2375</v>
      </c>
    </row>
    <row r="19" spans="1:52">
      <c r="A19" s="159" t="s">
        <v>2748</v>
      </c>
      <c r="B19" s="139" t="s">
        <v>117</v>
      </c>
      <c r="C19" s="139" t="s">
        <v>116</v>
      </c>
      <c r="D19" s="51" t="s">
        <v>36</v>
      </c>
      <c r="E19" s="132">
        <v>2</v>
      </c>
      <c r="F19" s="145" t="s">
        <v>97</v>
      </c>
      <c r="H19" s="259"/>
      <c r="I19" s="259"/>
      <c r="K19" s="277" t="s">
        <v>2756</v>
      </c>
      <c r="M19" s="276"/>
      <c r="N19" s="276"/>
      <c r="O19" s="276"/>
      <c r="P19" s="276"/>
      <c r="Q19" s="276"/>
      <c r="R19" s="276"/>
      <c r="S19" s="276"/>
      <c r="T19" s="276"/>
      <c r="U19" s="276"/>
      <c r="V19" s="276"/>
      <c r="W19" s="276"/>
      <c r="X19" s="276"/>
      <c r="Y19" s="276"/>
      <c r="Z19" s="276">
        <v>15</v>
      </c>
      <c r="AA19" s="276"/>
      <c r="AB19" s="276">
        <v>10</v>
      </c>
      <c r="AC19" s="276"/>
      <c r="AD19" s="276"/>
      <c r="AE19" s="276"/>
      <c r="AF19" s="276"/>
      <c r="AG19" s="276"/>
      <c r="AH19" s="276"/>
      <c r="AI19" s="276"/>
      <c r="AJ19" s="276"/>
      <c r="AK19" s="276"/>
      <c r="AL19" s="276"/>
      <c r="AM19" s="276"/>
      <c r="AN19" s="276"/>
      <c r="AO19" s="276"/>
      <c r="AP19" s="276"/>
      <c r="AQ19" s="276"/>
      <c r="AR19" s="276"/>
      <c r="AS19" s="276"/>
      <c r="AT19" s="276"/>
      <c r="AU19" s="276"/>
      <c r="AV19" s="276"/>
      <c r="AW19" s="276"/>
      <c r="AX19" s="276"/>
      <c r="AY19" s="276"/>
      <c r="AZ19" s="276">
        <v>25</v>
      </c>
    </row>
    <row r="20" spans="1:52">
      <c r="A20" s="159" t="s">
        <v>2749</v>
      </c>
      <c r="B20" s="139" t="s">
        <v>117</v>
      </c>
      <c r="C20" s="139" t="s">
        <v>116</v>
      </c>
      <c r="D20" s="51" t="s">
        <v>36</v>
      </c>
      <c r="E20" s="132">
        <v>1</v>
      </c>
      <c r="F20" s="145" t="s">
        <v>97</v>
      </c>
      <c r="H20" s="259"/>
      <c r="I20" s="259"/>
      <c r="K20" s="277" t="s">
        <v>2757</v>
      </c>
      <c r="M20" s="276"/>
      <c r="N20" s="276"/>
      <c r="O20" s="276"/>
      <c r="P20" s="276"/>
      <c r="Q20" s="276"/>
      <c r="R20" s="276"/>
      <c r="S20" s="276"/>
      <c r="T20" s="276"/>
      <c r="U20" s="276"/>
      <c r="V20" s="276"/>
      <c r="W20" s="276"/>
      <c r="X20" s="276"/>
      <c r="Y20" s="276"/>
      <c r="Z20" s="276">
        <v>5</v>
      </c>
      <c r="AA20" s="276"/>
      <c r="AB20" s="276">
        <v>2</v>
      </c>
      <c r="AC20" s="276"/>
      <c r="AD20" s="276"/>
      <c r="AE20" s="276"/>
      <c r="AF20" s="276"/>
      <c r="AG20" s="276"/>
      <c r="AH20" s="276"/>
      <c r="AI20" s="276"/>
      <c r="AJ20" s="276"/>
      <c r="AK20" s="276"/>
      <c r="AL20" s="276"/>
      <c r="AM20" s="276"/>
      <c r="AN20" s="276"/>
      <c r="AO20" s="276"/>
      <c r="AP20" s="276"/>
      <c r="AQ20" s="276"/>
      <c r="AR20" s="276"/>
      <c r="AS20" s="276"/>
      <c r="AT20" s="276"/>
      <c r="AU20" s="276"/>
      <c r="AV20" s="276"/>
      <c r="AW20" s="276"/>
      <c r="AX20" s="276"/>
      <c r="AY20" s="276"/>
      <c r="AZ20" s="276">
        <v>7</v>
      </c>
    </row>
    <row r="21" spans="1:52">
      <c r="A21" s="159" t="s">
        <v>2744</v>
      </c>
      <c r="B21" s="139" t="s">
        <v>129</v>
      </c>
      <c r="C21" s="139" t="s">
        <v>128</v>
      </c>
      <c r="D21" s="51" t="s">
        <v>21</v>
      </c>
      <c r="E21" s="132">
        <v>110</v>
      </c>
      <c r="F21" s="145" t="s">
        <v>1798</v>
      </c>
      <c r="H21" s="259"/>
      <c r="I21" s="259"/>
      <c r="K21" s="277" t="s">
        <v>2758</v>
      </c>
      <c r="M21" s="276"/>
      <c r="N21" s="276"/>
      <c r="O21" s="276"/>
      <c r="P21" s="276"/>
      <c r="Q21" s="276"/>
      <c r="R21" s="276"/>
      <c r="S21" s="276"/>
      <c r="T21" s="276"/>
      <c r="U21" s="276"/>
      <c r="V21" s="276"/>
      <c r="W21" s="276"/>
      <c r="X21" s="276"/>
      <c r="Y21" s="276"/>
      <c r="Z21" s="276">
        <v>2</v>
      </c>
      <c r="AA21" s="276"/>
      <c r="AB21" s="276"/>
      <c r="AC21" s="276"/>
      <c r="AD21" s="276"/>
      <c r="AE21" s="276"/>
      <c r="AF21" s="276"/>
      <c r="AG21" s="276"/>
      <c r="AH21" s="276"/>
      <c r="AI21" s="276"/>
      <c r="AJ21" s="276"/>
      <c r="AK21" s="276"/>
      <c r="AL21" s="276"/>
      <c r="AM21" s="276"/>
      <c r="AN21" s="276"/>
      <c r="AO21" s="276"/>
      <c r="AP21" s="276"/>
      <c r="AQ21" s="276"/>
      <c r="AR21" s="276"/>
      <c r="AS21" s="276"/>
      <c r="AT21" s="276"/>
      <c r="AU21" s="276"/>
      <c r="AV21" s="276"/>
      <c r="AW21" s="276"/>
      <c r="AX21" s="276"/>
      <c r="AY21" s="276"/>
      <c r="AZ21" s="276">
        <v>2</v>
      </c>
    </row>
    <row r="22" spans="1:52">
      <c r="A22" s="159" t="s">
        <v>2747</v>
      </c>
      <c r="B22" s="139" t="s">
        <v>129</v>
      </c>
      <c r="C22" s="139" t="s">
        <v>128</v>
      </c>
      <c r="D22" s="51" t="s">
        <v>21</v>
      </c>
      <c r="E22" s="132">
        <v>8</v>
      </c>
      <c r="F22" s="145" t="s">
        <v>1798</v>
      </c>
      <c r="H22" s="259"/>
      <c r="I22" s="259"/>
      <c r="K22" s="277" t="s">
        <v>2759</v>
      </c>
      <c r="M22" s="276"/>
      <c r="N22" s="276"/>
      <c r="O22" s="276"/>
      <c r="P22" s="276"/>
      <c r="Q22" s="276"/>
      <c r="R22" s="276"/>
      <c r="S22" s="276"/>
      <c r="T22" s="276"/>
      <c r="U22" s="276"/>
      <c r="V22" s="276"/>
      <c r="W22" s="276"/>
      <c r="X22" s="276"/>
      <c r="Y22" s="276"/>
      <c r="Z22" s="276">
        <v>2</v>
      </c>
      <c r="AA22" s="276"/>
      <c r="AB22" s="276"/>
      <c r="AC22" s="276"/>
      <c r="AD22" s="276"/>
      <c r="AE22" s="276"/>
      <c r="AF22" s="276"/>
      <c r="AG22" s="276"/>
      <c r="AH22" s="276"/>
      <c r="AI22" s="276"/>
      <c r="AJ22" s="276"/>
      <c r="AK22" s="276"/>
      <c r="AL22" s="276"/>
      <c r="AM22" s="276"/>
      <c r="AN22" s="276"/>
      <c r="AO22" s="276"/>
      <c r="AP22" s="276"/>
      <c r="AQ22" s="276"/>
      <c r="AR22" s="276"/>
      <c r="AS22" s="276"/>
      <c r="AT22" s="276"/>
      <c r="AU22" s="276"/>
      <c r="AV22" s="276"/>
      <c r="AW22" s="276"/>
      <c r="AX22" s="276"/>
      <c r="AY22" s="276"/>
      <c r="AZ22" s="276">
        <v>2</v>
      </c>
    </row>
    <row r="23" spans="1:52">
      <c r="A23" s="159" t="s">
        <v>2748</v>
      </c>
      <c r="B23" s="139" t="s">
        <v>129</v>
      </c>
      <c r="C23" s="139" t="s">
        <v>128</v>
      </c>
      <c r="D23" s="51" t="s">
        <v>21</v>
      </c>
      <c r="E23" s="132">
        <v>5</v>
      </c>
      <c r="F23" s="145" t="s">
        <v>1798</v>
      </c>
      <c r="H23" s="259"/>
      <c r="I23" s="259"/>
      <c r="K23" s="277" t="s">
        <v>2755</v>
      </c>
      <c r="L23" s="276">
        <v>300</v>
      </c>
      <c r="M23" s="276"/>
      <c r="N23" s="276"/>
      <c r="O23" s="276"/>
      <c r="P23" s="276"/>
      <c r="Q23" s="276"/>
      <c r="R23" s="276"/>
      <c r="S23" s="276"/>
      <c r="T23" s="276"/>
      <c r="U23" s="276"/>
      <c r="V23" s="276"/>
      <c r="W23" s="276"/>
      <c r="X23" s="276"/>
      <c r="Y23" s="276"/>
      <c r="Z23" s="276">
        <v>80</v>
      </c>
      <c r="AA23" s="276"/>
      <c r="AB23" s="276">
        <v>75</v>
      </c>
      <c r="AC23" s="276"/>
      <c r="AD23" s="276"/>
      <c r="AE23" s="276"/>
      <c r="AF23" s="276"/>
      <c r="AG23" s="276"/>
      <c r="AH23" s="276"/>
      <c r="AI23" s="276"/>
      <c r="AJ23" s="276"/>
      <c r="AK23" s="276"/>
      <c r="AL23" s="276"/>
      <c r="AM23" s="276"/>
      <c r="AN23" s="276"/>
      <c r="AO23" s="276"/>
      <c r="AP23" s="276"/>
      <c r="AQ23" s="276"/>
      <c r="AR23" s="276"/>
      <c r="AS23" s="276"/>
      <c r="AT23" s="276"/>
      <c r="AU23" s="276"/>
      <c r="AV23" s="276"/>
      <c r="AW23" s="276"/>
      <c r="AX23" s="276"/>
      <c r="AY23" s="276"/>
      <c r="AZ23" s="276">
        <v>455</v>
      </c>
    </row>
    <row r="24" spans="1:52">
      <c r="A24" s="159" t="s">
        <v>2744</v>
      </c>
      <c r="B24" s="139" t="s">
        <v>158</v>
      </c>
      <c r="C24" s="139" t="s">
        <v>157</v>
      </c>
      <c r="D24" s="51" t="s">
        <v>21</v>
      </c>
      <c r="E24" s="132">
        <v>107</v>
      </c>
      <c r="F24" s="145" t="s">
        <v>97</v>
      </c>
      <c r="H24" s="259"/>
      <c r="I24" s="259"/>
      <c r="K24" s="277" t="s">
        <v>207</v>
      </c>
      <c r="M24" s="276"/>
      <c r="N24" s="276"/>
      <c r="O24" s="276"/>
      <c r="P24" s="276"/>
      <c r="Q24" s="276"/>
      <c r="R24" s="276"/>
      <c r="S24" s="276"/>
      <c r="T24" s="276"/>
      <c r="U24" s="276"/>
      <c r="V24" s="276"/>
      <c r="W24" s="276"/>
      <c r="X24" s="276"/>
      <c r="Y24" s="276"/>
      <c r="Z24" s="276"/>
      <c r="AA24" s="276"/>
      <c r="AB24" s="276"/>
      <c r="AC24" s="276"/>
      <c r="AD24" s="276"/>
      <c r="AE24" s="276"/>
      <c r="AF24" s="276"/>
      <c r="AG24" s="276"/>
      <c r="AH24" s="276"/>
      <c r="AI24" s="276"/>
      <c r="AJ24" s="276"/>
      <c r="AK24" s="276"/>
      <c r="AL24" s="276"/>
      <c r="AM24" s="276"/>
      <c r="AN24" s="276"/>
      <c r="AO24" s="276"/>
      <c r="AP24" s="276"/>
      <c r="AQ24" s="276"/>
      <c r="AR24" s="276"/>
      <c r="AS24" s="276"/>
      <c r="AT24" s="276"/>
      <c r="AU24" s="276"/>
      <c r="AV24" s="276"/>
      <c r="AW24" s="276"/>
      <c r="AX24" s="276"/>
      <c r="AY24" s="276"/>
      <c r="AZ24" s="276"/>
    </row>
    <row r="25" spans="1:52">
      <c r="A25" s="159" t="s">
        <v>2747</v>
      </c>
      <c r="B25" s="139" t="s">
        <v>158</v>
      </c>
      <c r="C25" s="139" t="s">
        <v>157</v>
      </c>
      <c r="D25" s="51" t="s">
        <v>21</v>
      </c>
      <c r="E25" s="132">
        <v>2</v>
      </c>
      <c r="F25" s="145" t="s">
        <v>97</v>
      </c>
      <c r="H25" s="259"/>
      <c r="I25" s="259"/>
      <c r="K25" s="277" t="s">
        <v>214</v>
      </c>
      <c r="L25" s="276">
        <v>377</v>
      </c>
      <c r="M25" s="276">
        <v>33</v>
      </c>
      <c r="N25" s="276">
        <v>42</v>
      </c>
      <c r="O25" s="276">
        <v>20</v>
      </c>
      <c r="P25" s="276">
        <v>13</v>
      </c>
      <c r="Q25" s="276">
        <v>62</v>
      </c>
      <c r="R25" s="276">
        <v>101</v>
      </c>
      <c r="S25" s="276">
        <v>54</v>
      </c>
      <c r="T25" s="276">
        <v>100</v>
      </c>
      <c r="U25" s="276">
        <v>74</v>
      </c>
      <c r="V25" s="276">
        <v>108</v>
      </c>
      <c r="W25" s="276">
        <v>40</v>
      </c>
      <c r="X25" s="276">
        <v>486</v>
      </c>
      <c r="Y25" s="276">
        <v>19</v>
      </c>
      <c r="Z25" s="276">
        <v>104</v>
      </c>
      <c r="AA25" s="276"/>
      <c r="AB25" s="276">
        <v>87</v>
      </c>
      <c r="AC25" s="276">
        <v>101</v>
      </c>
      <c r="AD25" s="276">
        <v>40</v>
      </c>
      <c r="AE25" s="276">
        <v>42</v>
      </c>
      <c r="AF25" s="276">
        <v>84</v>
      </c>
      <c r="AG25" s="276">
        <v>18</v>
      </c>
      <c r="AH25" s="276">
        <v>54</v>
      </c>
      <c r="AI25" s="276">
        <v>29</v>
      </c>
      <c r="AJ25" s="276">
        <v>37</v>
      </c>
      <c r="AK25" s="276">
        <v>35</v>
      </c>
      <c r="AL25" s="276">
        <v>120</v>
      </c>
      <c r="AM25" s="276">
        <v>57</v>
      </c>
      <c r="AN25" s="276">
        <v>123</v>
      </c>
      <c r="AO25" s="276">
        <v>25</v>
      </c>
      <c r="AP25" s="276">
        <v>37</v>
      </c>
      <c r="AQ25" s="276">
        <v>100</v>
      </c>
      <c r="AR25" s="276">
        <v>185</v>
      </c>
      <c r="AS25" s="276">
        <v>33</v>
      </c>
      <c r="AT25" s="276">
        <v>120</v>
      </c>
      <c r="AU25" s="276">
        <v>60</v>
      </c>
      <c r="AV25" s="276">
        <v>31</v>
      </c>
      <c r="AW25" s="276">
        <v>102</v>
      </c>
      <c r="AX25" s="276">
        <v>119</v>
      </c>
      <c r="AY25" s="276">
        <v>195</v>
      </c>
      <c r="AZ25" s="276">
        <v>3467</v>
      </c>
    </row>
    <row r="26" spans="1:52">
      <c r="A26" s="159" t="s">
        <v>2777</v>
      </c>
      <c r="B26" s="139" t="s">
        <v>158</v>
      </c>
      <c r="C26" s="139" t="s">
        <v>157</v>
      </c>
      <c r="D26" s="51" t="s">
        <v>21</v>
      </c>
      <c r="E26" s="132">
        <v>5</v>
      </c>
      <c r="F26" s="145" t="s">
        <v>97</v>
      </c>
      <c r="H26" s="259"/>
      <c r="I26" s="259"/>
      <c r="L26" s="275"/>
    </row>
    <row r="27" spans="1:52">
      <c r="A27" s="159" t="s">
        <v>2749</v>
      </c>
      <c r="B27" s="139" t="s">
        <v>158</v>
      </c>
      <c r="C27" s="139" t="s">
        <v>157</v>
      </c>
      <c r="D27" s="51" t="s">
        <v>21</v>
      </c>
      <c r="E27" s="132">
        <v>1</v>
      </c>
      <c r="F27" s="145" t="s">
        <v>97</v>
      </c>
      <c r="H27" s="259"/>
      <c r="I27" s="259"/>
      <c r="L27" s="275"/>
    </row>
    <row r="28" spans="1:52">
      <c r="A28" s="159" t="s">
        <v>2750</v>
      </c>
      <c r="B28" s="139" t="s">
        <v>158</v>
      </c>
      <c r="C28" s="139" t="s">
        <v>157</v>
      </c>
      <c r="D28" s="51" t="s">
        <v>21</v>
      </c>
      <c r="E28" s="132">
        <v>1</v>
      </c>
      <c r="F28" s="145" t="s">
        <v>97</v>
      </c>
      <c r="H28" s="259"/>
      <c r="I28" s="259"/>
      <c r="K28" s="16" t="s">
        <v>7</v>
      </c>
      <c r="L28" t="s">
        <v>231</v>
      </c>
    </row>
    <row r="29" spans="1:52">
      <c r="A29" s="159" t="s">
        <v>2751</v>
      </c>
      <c r="B29" s="139" t="s">
        <v>158</v>
      </c>
      <c r="C29" s="139" t="s">
        <v>157</v>
      </c>
      <c r="D29" s="51" t="s">
        <v>21</v>
      </c>
      <c r="E29" s="132">
        <v>1</v>
      </c>
      <c r="F29" s="145" t="s">
        <v>97</v>
      </c>
      <c r="H29" s="259"/>
      <c r="I29" s="259"/>
      <c r="L29" s="275"/>
    </row>
    <row r="30" spans="1:52">
      <c r="A30" s="159" t="s">
        <v>2744</v>
      </c>
      <c r="B30" s="139" t="s">
        <v>95</v>
      </c>
      <c r="C30" s="139" t="s">
        <v>98</v>
      </c>
      <c r="D30" s="51" t="s">
        <v>21</v>
      </c>
      <c r="E30" s="132">
        <v>420</v>
      </c>
      <c r="F30" s="145" t="s">
        <v>1798</v>
      </c>
      <c r="H30" s="259"/>
      <c r="I30" s="259"/>
      <c r="K30" s="16" t="s">
        <v>3783</v>
      </c>
      <c r="L30" s="16" t="s">
        <v>233</v>
      </c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</row>
    <row r="31" spans="1:52">
      <c r="A31" s="159" t="s">
        <v>2747</v>
      </c>
      <c r="B31" s="139" t="s">
        <v>95</v>
      </c>
      <c r="C31" s="139" t="s">
        <v>98</v>
      </c>
      <c r="D31" s="51" t="s">
        <v>21</v>
      </c>
      <c r="E31" s="132">
        <v>50</v>
      </c>
      <c r="F31" s="145" t="s">
        <v>1798</v>
      </c>
      <c r="H31" s="259"/>
      <c r="I31" s="259"/>
      <c r="K31" s="16" t="s">
        <v>234</v>
      </c>
      <c r="L31" t="s">
        <v>2747</v>
      </c>
      <c r="M31" t="s">
        <v>2748</v>
      </c>
      <c r="N31" t="s">
        <v>2749</v>
      </c>
      <c r="O31" t="s">
        <v>2750</v>
      </c>
      <c r="P31" t="s">
        <v>2751</v>
      </c>
      <c r="Q31" t="s">
        <v>2744</v>
      </c>
      <c r="R31" t="s">
        <v>2756</v>
      </c>
      <c r="S31" t="s">
        <v>2757</v>
      </c>
      <c r="T31" t="s">
        <v>2758</v>
      </c>
      <c r="U31" t="s">
        <v>2759</v>
      </c>
      <c r="V31" t="s">
        <v>2755</v>
      </c>
      <c r="W31" t="s">
        <v>214</v>
      </c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</row>
    <row r="32" spans="1:52">
      <c r="A32" s="159" t="s">
        <v>2748</v>
      </c>
      <c r="B32" s="139" t="s">
        <v>95</v>
      </c>
      <c r="C32" s="139" t="s">
        <v>98</v>
      </c>
      <c r="D32" s="51" t="s">
        <v>21</v>
      </c>
      <c r="E32" s="132">
        <v>11</v>
      </c>
      <c r="F32" s="145" t="s">
        <v>1798</v>
      </c>
      <c r="H32" s="259"/>
      <c r="I32" s="259"/>
      <c r="K32" s="96" t="s">
        <v>97</v>
      </c>
      <c r="L32">
        <v>135</v>
      </c>
      <c r="M32">
        <v>36</v>
      </c>
      <c r="N32">
        <v>6</v>
      </c>
      <c r="O32">
        <v>1</v>
      </c>
      <c r="P32">
        <v>1</v>
      </c>
      <c r="Q32">
        <v>1072</v>
      </c>
      <c r="R32">
        <v>195</v>
      </c>
      <c r="S32">
        <v>21</v>
      </c>
      <c r="T32">
        <v>6</v>
      </c>
      <c r="U32">
        <v>6</v>
      </c>
      <c r="V32">
        <v>850</v>
      </c>
      <c r="W32">
        <v>2329</v>
      </c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</row>
    <row r="33" spans="1:52">
      <c r="A33" s="159" t="s">
        <v>2749</v>
      </c>
      <c r="B33" s="139" t="s">
        <v>95</v>
      </c>
      <c r="C33" s="139" t="s">
        <v>98</v>
      </c>
      <c r="D33" s="51" t="s">
        <v>21</v>
      </c>
      <c r="E33" s="132">
        <v>4</v>
      </c>
      <c r="F33" s="145" t="s">
        <v>1798</v>
      </c>
      <c r="H33" s="259"/>
      <c r="I33" s="259"/>
      <c r="K33" s="96" t="s">
        <v>1337</v>
      </c>
      <c r="L33">
        <v>193</v>
      </c>
      <c r="M33">
        <v>41</v>
      </c>
      <c r="N33">
        <v>12</v>
      </c>
      <c r="O33">
        <v>4</v>
      </c>
      <c r="P33"/>
      <c r="Q33">
        <v>983</v>
      </c>
      <c r="R33"/>
      <c r="S33"/>
      <c r="T33"/>
      <c r="U33"/>
      <c r="V33"/>
      <c r="W33">
        <v>1233</v>
      </c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</row>
    <row r="34" spans="1:52">
      <c r="A34" s="159" t="s">
        <v>2750</v>
      </c>
      <c r="B34" s="139" t="s">
        <v>95</v>
      </c>
      <c r="C34" s="139" t="s">
        <v>98</v>
      </c>
      <c r="D34" s="51" t="s">
        <v>21</v>
      </c>
      <c r="E34" s="132">
        <v>4</v>
      </c>
      <c r="F34" s="145" t="s">
        <v>1798</v>
      </c>
      <c r="H34" s="259"/>
      <c r="I34" s="259"/>
      <c r="K34" s="96" t="s">
        <v>1798</v>
      </c>
      <c r="L34">
        <v>90</v>
      </c>
      <c r="M34">
        <v>27</v>
      </c>
      <c r="N34">
        <v>16</v>
      </c>
      <c r="O34">
        <v>5</v>
      </c>
      <c r="P34">
        <v>3</v>
      </c>
      <c r="Q34">
        <v>750</v>
      </c>
      <c r="R34"/>
      <c r="S34"/>
      <c r="T34"/>
      <c r="U34"/>
      <c r="V34"/>
      <c r="W34">
        <v>891</v>
      </c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</row>
    <row r="35" spans="1:52">
      <c r="A35" s="159" t="s">
        <v>2751</v>
      </c>
      <c r="B35" s="139" t="s">
        <v>95</v>
      </c>
      <c r="C35" s="139" t="s">
        <v>98</v>
      </c>
      <c r="D35" s="51" t="s">
        <v>21</v>
      </c>
      <c r="E35" s="132">
        <v>3</v>
      </c>
      <c r="F35" s="145" t="s">
        <v>1798</v>
      </c>
      <c r="H35" s="259"/>
      <c r="I35" s="259"/>
      <c r="K35" s="96" t="s">
        <v>214</v>
      </c>
      <c r="L35">
        <v>418</v>
      </c>
      <c r="M35">
        <v>104</v>
      </c>
      <c r="N35">
        <v>34</v>
      </c>
      <c r="O35">
        <v>10</v>
      </c>
      <c r="P35">
        <v>4</v>
      </c>
      <c r="Q35">
        <v>2805</v>
      </c>
      <c r="R35">
        <v>195</v>
      </c>
      <c r="S35">
        <v>21</v>
      </c>
      <c r="T35">
        <v>6</v>
      </c>
      <c r="U35">
        <v>6</v>
      </c>
      <c r="V35">
        <v>850</v>
      </c>
      <c r="W35">
        <v>4453</v>
      </c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</row>
    <row r="36" spans="1:52">
      <c r="A36" s="159" t="s">
        <v>2744</v>
      </c>
      <c r="B36" s="139" t="s">
        <v>160</v>
      </c>
      <c r="C36" s="139" t="s">
        <v>3785</v>
      </c>
      <c r="D36" s="51" t="s">
        <v>21</v>
      </c>
      <c r="E36" s="132">
        <v>200</v>
      </c>
      <c r="F36" s="145" t="s">
        <v>97</v>
      </c>
      <c r="H36" s="259"/>
      <c r="I36" s="259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</row>
    <row r="37" spans="1:52">
      <c r="A37" s="159" t="s">
        <v>2777</v>
      </c>
      <c r="B37" s="139" t="s">
        <v>160</v>
      </c>
      <c r="C37" s="139" t="s">
        <v>3785</v>
      </c>
      <c r="D37" s="51" t="s">
        <v>21</v>
      </c>
      <c r="E37" s="132">
        <v>20</v>
      </c>
      <c r="F37" s="145" t="s">
        <v>97</v>
      </c>
      <c r="H37" s="259"/>
      <c r="I37" s="259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</row>
    <row r="38" spans="1:52">
      <c r="A38" s="159" t="s">
        <v>2749</v>
      </c>
      <c r="B38" s="139" t="s">
        <v>160</v>
      </c>
      <c r="C38" s="139" t="s">
        <v>3785</v>
      </c>
      <c r="D38" s="51" t="s">
        <v>21</v>
      </c>
      <c r="E38" s="132">
        <v>1</v>
      </c>
      <c r="F38" s="145" t="s">
        <v>97</v>
      </c>
      <c r="H38" s="259"/>
      <c r="I38" s="259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</row>
    <row r="39" spans="1:52">
      <c r="A39" s="159" t="s">
        <v>2744</v>
      </c>
      <c r="B39" s="139" t="s">
        <v>100</v>
      </c>
      <c r="C39" s="139" t="s">
        <v>99</v>
      </c>
      <c r="D39" s="51" t="s">
        <v>21</v>
      </c>
      <c r="E39" s="132">
        <v>5</v>
      </c>
      <c r="F39" s="145" t="s">
        <v>1337</v>
      </c>
      <c r="H39" s="259"/>
      <c r="I39" s="25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</row>
    <row r="40" spans="1:52">
      <c r="A40" s="159" t="s">
        <v>2744</v>
      </c>
      <c r="B40" s="139" t="s">
        <v>100</v>
      </c>
      <c r="C40" s="139" t="s">
        <v>99</v>
      </c>
      <c r="D40" s="51" t="s">
        <v>21</v>
      </c>
      <c r="E40" s="132">
        <v>310</v>
      </c>
      <c r="F40" s="145" t="s">
        <v>1337</v>
      </c>
      <c r="H40" s="259"/>
      <c r="I40" s="259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</row>
    <row r="41" spans="1:52">
      <c r="A41" s="159" t="s">
        <v>2747</v>
      </c>
      <c r="B41" s="139" t="s">
        <v>100</v>
      </c>
      <c r="C41" s="139" t="s">
        <v>99</v>
      </c>
      <c r="D41" s="51" t="s">
        <v>21</v>
      </c>
      <c r="E41" s="132">
        <v>15</v>
      </c>
      <c r="F41" s="145" t="s">
        <v>1337</v>
      </c>
      <c r="H41" s="259"/>
      <c r="I41" s="259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</row>
    <row r="42" spans="1:52">
      <c r="A42" s="159" t="s">
        <v>2744</v>
      </c>
      <c r="B42" s="139" t="s">
        <v>106</v>
      </c>
      <c r="C42" s="139" t="s">
        <v>105</v>
      </c>
      <c r="D42" s="51" t="s">
        <v>21</v>
      </c>
      <c r="E42" s="132">
        <v>40</v>
      </c>
      <c r="F42" s="145" t="s">
        <v>1337</v>
      </c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</row>
    <row r="43" spans="1:52">
      <c r="A43" s="159" t="s">
        <v>2747</v>
      </c>
      <c r="B43" s="139" t="s">
        <v>106</v>
      </c>
      <c r="C43" s="139" t="s">
        <v>105</v>
      </c>
      <c r="D43" s="51" t="s">
        <v>21</v>
      </c>
      <c r="E43" s="132">
        <v>12</v>
      </c>
      <c r="F43" s="145" t="s">
        <v>1337</v>
      </c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</row>
    <row r="44" spans="1:52">
      <c r="A44" s="159" t="s">
        <v>2748</v>
      </c>
      <c r="B44" s="139" t="s">
        <v>106</v>
      </c>
      <c r="C44" s="139" t="s">
        <v>105</v>
      </c>
      <c r="D44" s="51" t="s">
        <v>21</v>
      </c>
      <c r="E44" s="132">
        <v>3</v>
      </c>
      <c r="F44" s="145" t="s">
        <v>1337</v>
      </c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</row>
    <row r="45" spans="1:52">
      <c r="A45" s="159" t="s">
        <v>2749</v>
      </c>
      <c r="B45" s="139" t="s">
        <v>106</v>
      </c>
      <c r="C45" s="139" t="s">
        <v>105</v>
      </c>
      <c r="D45" s="51" t="s">
        <v>21</v>
      </c>
      <c r="E45" s="132">
        <v>2</v>
      </c>
      <c r="F45" s="145" t="s">
        <v>1337</v>
      </c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</row>
    <row r="46" spans="1:52">
      <c r="A46" s="159" t="s">
        <v>2744</v>
      </c>
      <c r="B46" s="139" t="s">
        <v>112</v>
      </c>
      <c r="C46" s="139" t="s">
        <v>111</v>
      </c>
      <c r="D46" s="51" t="s">
        <v>21</v>
      </c>
      <c r="E46" s="132">
        <v>5</v>
      </c>
      <c r="F46" s="145" t="s">
        <v>1337</v>
      </c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</row>
    <row r="47" spans="1:52">
      <c r="A47" s="159" t="s">
        <v>2744</v>
      </c>
      <c r="B47" s="139" t="s">
        <v>109</v>
      </c>
      <c r="C47" s="139" t="s">
        <v>108</v>
      </c>
      <c r="D47" s="51" t="s">
        <v>21</v>
      </c>
      <c r="E47" s="132">
        <v>60</v>
      </c>
      <c r="F47" s="145" t="s">
        <v>97</v>
      </c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</row>
    <row r="48" spans="1:52">
      <c r="A48" s="159" t="s">
        <v>2747</v>
      </c>
      <c r="B48" s="139" t="s">
        <v>109</v>
      </c>
      <c r="C48" s="139" t="s">
        <v>108</v>
      </c>
      <c r="D48" s="51" t="s">
        <v>21</v>
      </c>
      <c r="E48" s="132">
        <v>10</v>
      </c>
      <c r="F48" s="145" t="s">
        <v>97</v>
      </c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</row>
    <row r="49" spans="1:52">
      <c r="A49" s="159" t="s">
        <v>2748</v>
      </c>
      <c r="B49" s="139" t="s">
        <v>109</v>
      </c>
      <c r="C49" s="139" t="s">
        <v>108</v>
      </c>
      <c r="D49" s="51" t="s">
        <v>21</v>
      </c>
      <c r="E49" s="132">
        <v>3</v>
      </c>
      <c r="F49" s="145" t="s">
        <v>97</v>
      </c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</row>
    <row r="50" spans="1:52">
      <c r="A50" s="159" t="s">
        <v>2744</v>
      </c>
      <c r="B50" s="139" t="s">
        <v>107</v>
      </c>
      <c r="C50" s="139" t="s">
        <v>156</v>
      </c>
      <c r="D50" s="51" t="s">
        <v>21</v>
      </c>
      <c r="E50" s="132">
        <v>240</v>
      </c>
      <c r="F50" s="145" t="s">
        <v>97</v>
      </c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</row>
    <row r="51" spans="1:52">
      <c r="A51" s="159" t="s">
        <v>2747</v>
      </c>
      <c r="B51" s="139" t="s">
        <v>107</v>
      </c>
      <c r="C51" s="139" t="s">
        <v>156</v>
      </c>
      <c r="D51" s="51" t="s">
        <v>21</v>
      </c>
      <c r="E51" s="132">
        <v>50</v>
      </c>
      <c r="F51" s="145" t="s">
        <v>97</v>
      </c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</row>
    <row r="52" spans="1:52">
      <c r="A52" s="159" t="s">
        <v>2744</v>
      </c>
      <c r="B52" s="139" t="s">
        <v>3786</v>
      </c>
      <c r="C52" s="139" t="s">
        <v>3787</v>
      </c>
      <c r="D52" s="51" t="s">
        <v>21</v>
      </c>
      <c r="E52" s="132">
        <v>60</v>
      </c>
      <c r="F52" s="145" t="s">
        <v>1337</v>
      </c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</row>
    <row r="53" spans="1:52">
      <c r="A53" s="159" t="s">
        <v>2747</v>
      </c>
      <c r="B53" s="139" t="s">
        <v>3786</v>
      </c>
      <c r="C53" s="139" t="s">
        <v>3787</v>
      </c>
      <c r="D53" s="51" t="s">
        <v>21</v>
      </c>
      <c r="E53" s="132">
        <v>25</v>
      </c>
      <c r="F53" s="145" t="s">
        <v>1337</v>
      </c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</row>
    <row r="54" spans="1:52">
      <c r="A54" s="159" t="s">
        <v>2748</v>
      </c>
      <c r="B54" s="139" t="s">
        <v>3786</v>
      </c>
      <c r="C54" s="139" t="s">
        <v>3787</v>
      </c>
      <c r="D54" s="51" t="s">
        <v>21</v>
      </c>
      <c r="E54" s="132">
        <v>15</v>
      </c>
      <c r="F54" s="145" t="s">
        <v>1337</v>
      </c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</row>
    <row r="55" spans="1:52">
      <c r="A55" s="159" t="s">
        <v>2749</v>
      </c>
      <c r="B55" s="139" t="s">
        <v>3786</v>
      </c>
      <c r="C55" s="139" t="s">
        <v>3787</v>
      </c>
      <c r="D55" s="51" t="s">
        <v>21</v>
      </c>
      <c r="E55" s="132">
        <v>4</v>
      </c>
      <c r="F55" s="145" t="s">
        <v>1337</v>
      </c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</row>
    <row r="56" spans="1:52">
      <c r="A56" s="159" t="s">
        <v>2750</v>
      </c>
      <c r="B56" s="139" t="s">
        <v>3786</v>
      </c>
      <c r="C56" s="139" t="s">
        <v>3787</v>
      </c>
      <c r="D56" s="51" t="s">
        <v>21</v>
      </c>
      <c r="E56" s="132">
        <v>2</v>
      </c>
      <c r="F56" s="145" t="s">
        <v>1337</v>
      </c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</row>
    <row r="57" spans="1:52">
      <c r="A57" s="159" t="s">
        <v>2744</v>
      </c>
      <c r="B57" s="139" t="s">
        <v>3788</v>
      </c>
      <c r="C57" s="139" t="s">
        <v>3789</v>
      </c>
      <c r="D57" s="51" t="s">
        <v>21</v>
      </c>
      <c r="E57" s="132">
        <v>50</v>
      </c>
      <c r="F57" s="145" t="s">
        <v>97</v>
      </c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</row>
    <row r="58" spans="1:52">
      <c r="A58" s="159" t="s">
        <v>2747</v>
      </c>
      <c r="B58" s="139" t="s">
        <v>3788</v>
      </c>
      <c r="C58" s="139" t="s">
        <v>3789</v>
      </c>
      <c r="D58" s="51" t="s">
        <v>21</v>
      </c>
      <c r="E58" s="132">
        <v>10</v>
      </c>
      <c r="F58" s="145" t="s">
        <v>97</v>
      </c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</row>
    <row r="59" spans="1:52">
      <c r="A59" s="159" t="s">
        <v>2744</v>
      </c>
      <c r="B59" s="139" t="s">
        <v>2766</v>
      </c>
      <c r="C59" s="139" t="s">
        <v>2767</v>
      </c>
      <c r="D59" s="51" t="s">
        <v>21</v>
      </c>
      <c r="E59" s="132">
        <v>45</v>
      </c>
      <c r="F59" s="145" t="s">
        <v>1337</v>
      </c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</row>
    <row r="60" spans="1:52">
      <c r="A60" s="159" t="s">
        <v>2747</v>
      </c>
      <c r="B60" s="139" t="s">
        <v>2766</v>
      </c>
      <c r="C60" s="139" t="s">
        <v>2767</v>
      </c>
      <c r="D60" s="51" t="s">
        <v>21</v>
      </c>
      <c r="E60" s="132">
        <v>5</v>
      </c>
      <c r="F60" s="145" t="s">
        <v>1337</v>
      </c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</row>
    <row r="61" spans="1:52">
      <c r="A61" s="159" t="s">
        <v>2744</v>
      </c>
      <c r="B61" s="139" t="s">
        <v>211</v>
      </c>
      <c r="C61" s="139" t="s">
        <v>3790</v>
      </c>
      <c r="D61" s="51" t="s">
        <v>21</v>
      </c>
      <c r="E61" s="132">
        <v>40</v>
      </c>
      <c r="F61" s="145" t="s">
        <v>97</v>
      </c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</row>
    <row r="62" spans="1:52">
      <c r="A62" s="159" t="s">
        <v>2755</v>
      </c>
      <c r="B62" s="139" t="s">
        <v>3791</v>
      </c>
      <c r="C62" s="139" t="s">
        <v>3792</v>
      </c>
      <c r="D62" s="51" t="s">
        <v>21</v>
      </c>
      <c r="E62" s="132">
        <v>770</v>
      </c>
      <c r="F62" s="145" t="s">
        <v>97</v>
      </c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</row>
    <row r="63" spans="1:52">
      <c r="A63" s="159" t="s">
        <v>2756</v>
      </c>
      <c r="B63" s="139" t="s">
        <v>3791</v>
      </c>
      <c r="C63" s="139" t="s">
        <v>3792</v>
      </c>
      <c r="D63" s="51" t="s">
        <v>21</v>
      </c>
      <c r="E63" s="132">
        <v>180</v>
      </c>
      <c r="F63" s="145" t="s">
        <v>97</v>
      </c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</row>
    <row r="64" spans="1:52">
      <c r="A64" s="159" t="s">
        <v>2757</v>
      </c>
      <c r="B64" s="139" t="s">
        <v>3791</v>
      </c>
      <c r="C64" s="139" t="s">
        <v>3792</v>
      </c>
      <c r="D64" s="51" t="s">
        <v>21</v>
      </c>
      <c r="E64" s="132">
        <v>16</v>
      </c>
      <c r="F64" s="145" t="s">
        <v>97</v>
      </c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</row>
    <row r="65" spans="1:52">
      <c r="A65" s="159" t="s">
        <v>2758</v>
      </c>
      <c r="B65" s="139" t="s">
        <v>3791</v>
      </c>
      <c r="C65" s="139" t="s">
        <v>3792</v>
      </c>
      <c r="D65" s="51" t="s">
        <v>21</v>
      </c>
      <c r="E65" s="132">
        <v>4</v>
      </c>
      <c r="F65" s="145" t="s">
        <v>97</v>
      </c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</row>
    <row r="66" spans="1:52">
      <c r="A66" s="159" t="s">
        <v>2759</v>
      </c>
      <c r="B66" s="139" t="s">
        <v>3791</v>
      </c>
      <c r="C66" s="139" t="s">
        <v>3792</v>
      </c>
      <c r="D66" s="51" t="s">
        <v>21</v>
      </c>
      <c r="E66" s="132">
        <v>4</v>
      </c>
      <c r="F66" s="145" t="s">
        <v>97</v>
      </c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</row>
    <row r="67" spans="1:52">
      <c r="A67" s="159" t="s">
        <v>2744</v>
      </c>
      <c r="B67" s="139" t="s">
        <v>3793</v>
      </c>
      <c r="C67" s="139" t="s">
        <v>3794</v>
      </c>
      <c r="D67" s="51" t="s">
        <v>21</v>
      </c>
      <c r="E67" s="132">
        <v>60</v>
      </c>
      <c r="F67" s="145" t="s">
        <v>1337</v>
      </c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</row>
    <row r="68" spans="1:52">
      <c r="A68" s="159" t="s">
        <v>2747</v>
      </c>
      <c r="B68" s="139" t="s">
        <v>3793</v>
      </c>
      <c r="C68" s="139" t="s">
        <v>3794</v>
      </c>
      <c r="D68" s="51" t="s">
        <v>21</v>
      </c>
      <c r="E68" s="132">
        <v>15</v>
      </c>
      <c r="F68" s="145" t="s">
        <v>1337</v>
      </c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</row>
    <row r="69" spans="1:52">
      <c r="A69" s="159" t="s">
        <v>2748</v>
      </c>
      <c r="B69" s="139" t="s">
        <v>3793</v>
      </c>
      <c r="C69" s="139" t="s">
        <v>3794</v>
      </c>
      <c r="D69" s="51" t="s">
        <v>21</v>
      </c>
      <c r="E69" s="132">
        <v>5</v>
      </c>
      <c r="F69" s="145" t="s">
        <v>1337</v>
      </c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</row>
    <row r="70" spans="1:52">
      <c r="A70" s="159" t="s">
        <v>2749</v>
      </c>
      <c r="B70" s="139" t="s">
        <v>3793</v>
      </c>
      <c r="C70" s="139" t="s">
        <v>3794</v>
      </c>
      <c r="D70" s="51" t="s">
        <v>21</v>
      </c>
      <c r="E70" s="132">
        <v>1</v>
      </c>
      <c r="F70" s="145" t="s">
        <v>1337</v>
      </c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</row>
    <row r="71" spans="1:52">
      <c r="A71" s="159" t="s">
        <v>2744</v>
      </c>
      <c r="B71" s="139" t="s">
        <v>3795</v>
      </c>
      <c r="C71" s="139" t="s">
        <v>3796</v>
      </c>
      <c r="D71" s="51" t="s">
        <v>36</v>
      </c>
      <c r="E71" s="132">
        <v>46</v>
      </c>
      <c r="F71" s="145" t="s">
        <v>1337</v>
      </c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</row>
    <row r="72" spans="1:52">
      <c r="A72" s="159" t="s">
        <v>2747</v>
      </c>
      <c r="B72" s="139" t="s">
        <v>3795</v>
      </c>
      <c r="C72" s="139" t="s">
        <v>3796</v>
      </c>
      <c r="D72" s="51" t="s">
        <v>36</v>
      </c>
      <c r="E72" s="132">
        <v>6</v>
      </c>
      <c r="F72" s="145" t="s">
        <v>1337</v>
      </c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</row>
    <row r="73" spans="1:52">
      <c r="A73" s="159" t="s">
        <v>2744</v>
      </c>
      <c r="B73" s="139" t="s">
        <v>3797</v>
      </c>
      <c r="C73" s="139" t="s">
        <v>3798</v>
      </c>
      <c r="D73" s="51" t="s">
        <v>21</v>
      </c>
      <c r="E73" s="132">
        <v>75</v>
      </c>
      <c r="F73" s="145" t="s">
        <v>1337</v>
      </c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</row>
    <row r="74" spans="1:52">
      <c r="A74" s="159" t="s">
        <v>2747</v>
      </c>
      <c r="B74" s="139" t="s">
        <v>3797</v>
      </c>
      <c r="C74" s="139" t="s">
        <v>3798</v>
      </c>
      <c r="D74" s="51" t="s">
        <v>21</v>
      </c>
      <c r="E74" s="132">
        <v>5</v>
      </c>
      <c r="F74" s="145" t="s">
        <v>1337</v>
      </c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</row>
    <row r="75" spans="1:52">
      <c r="A75" s="159" t="s">
        <v>2744</v>
      </c>
      <c r="B75" s="139" t="s">
        <v>3799</v>
      </c>
      <c r="C75" s="139" t="s">
        <v>3800</v>
      </c>
      <c r="D75" s="51" t="s">
        <v>36</v>
      </c>
      <c r="E75" s="132">
        <v>80</v>
      </c>
      <c r="F75" s="145" t="s">
        <v>1337</v>
      </c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</row>
    <row r="76" spans="1:52">
      <c r="A76" s="159" t="s">
        <v>2747</v>
      </c>
      <c r="B76" s="139" t="s">
        <v>3799</v>
      </c>
      <c r="C76" s="139" t="s">
        <v>3800</v>
      </c>
      <c r="D76" s="51" t="s">
        <v>36</v>
      </c>
      <c r="E76" s="132">
        <v>14</v>
      </c>
      <c r="F76" s="145" t="s">
        <v>1337</v>
      </c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</row>
    <row r="77" spans="1:52">
      <c r="A77" s="159" t="s">
        <v>2748</v>
      </c>
      <c r="B77" s="139" t="s">
        <v>3799</v>
      </c>
      <c r="C77" s="139" t="s">
        <v>3800</v>
      </c>
      <c r="D77" s="51" t="s">
        <v>36</v>
      </c>
      <c r="E77" s="132">
        <v>2</v>
      </c>
      <c r="F77" s="145" t="s">
        <v>1337</v>
      </c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</row>
    <row r="78" spans="1:52">
      <c r="A78" s="159" t="s">
        <v>2749</v>
      </c>
      <c r="B78" s="139" t="s">
        <v>3799</v>
      </c>
      <c r="C78" s="139" t="s">
        <v>3800</v>
      </c>
      <c r="D78" s="51" t="s">
        <v>36</v>
      </c>
      <c r="E78" s="132">
        <v>2</v>
      </c>
      <c r="F78" s="145" t="s">
        <v>1337</v>
      </c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</row>
    <row r="79" spans="1:52">
      <c r="A79" s="159" t="s">
        <v>2750</v>
      </c>
      <c r="B79" s="139" t="s">
        <v>3799</v>
      </c>
      <c r="C79" s="139" t="s">
        <v>3800</v>
      </c>
      <c r="D79" s="51" t="s">
        <v>36</v>
      </c>
      <c r="E79" s="132">
        <v>2</v>
      </c>
      <c r="F79" s="145" t="s">
        <v>1337</v>
      </c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</row>
    <row r="80" spans="1:52">
      <c r="A80" s="159" t="s">
        <v>2744</v>
      </c>
      <c r="B80" s="139" t="s">
        <v>114</v>
      </c>
      <c r="C80" s="139" t="s">
        <v>3801</v>
      </c>
      <c r="D80" s="51" t="s">
        <v>21</v>
      </c>
      <c r="E80" s="132">
        <v>70</v>
      </c>
      <c r="F80" s="145" t="s">
        <v>1337</v>
      </c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</row>
    <row r="81" spans="1:12">
      <c r="A81" s="159" t="s">
        <v>2747</v>
      </c>
      <c r="B81" s="139" t="s">
        <v>114</v>
      </c>
      <c r="C81" s="139" t="s">
        <v>3801</v>
      </c>
      <c r="D81" s="51" t="s">
        <v>21</v>
      </c>
      <c r="E81" s="132">
        <v>60</v>
      </c>
      <c r="F81" s="145" t="s">
        <v>1337</v>
      </c>
      <c r="K81"/>
      <c r="L81"/>
    </row>
    <row r="82" spans="1:12">
      <c r="A82" s="159" t="s">
        <v>2748</v>
      </c>
      <c r="B82" s="139" t="s">
        <v>114</v>
      </c>
      <c r="C82" s="139" t="s">
        <v>3801</v>
      </c>
      <c r="D82" s="51" t="s">
        <v>21</v>
      </c>
      <c r="E82" s="132">
        <v>7</v>
      </c>
      <c r="F82" s="145" t="s">
        <v>1337</v>
      </c>
      <c r="K82"/>
      <c r="L82"/>
    </row>
    <row r="83" spans="1:12">
      <c r="A83" s="159" t="s">
        <v>2749</v>
      </c>
      <c r="B83" s="139" t="s">
        <v>114</v>
      </c>
      <c r="C83" s="139" t="s">
        <v>3801</v>
      </c>
      <c r="D83" s="51" t="s">
        <v>21</v>
      </c>
      <c r="E83" s="132">
        <v>3</v>
      </c>
      <c r="F83" s="145" t="s">
        <v>1337</v>
      </c>
      <c r="K83"/>
      <c r="L83"/>
    </row>
    <row r="84" spans="1:12">
      <c r="A84" s="159" t="s">
        <v>2744</v>
      </c>
      <c r="B84" s="139" t="s">
        <v>92</v>
      </c>
      <c r="C84" s="139" t="s">
        <v>3802</v>
      </c>
      <c r="D84" s="51" t="s">
        <v>21</v>
      </c>
      <c r="E84" s="132">
        <v>90</v>
      </c>
      <c r="F84" s="145" t="s">
        <v>1798</v>
      </c>
      <c r="K84"/>
      <c r="L84"/>
    </row>
    <row r="85" spans="1:12">
      <c r="A85" s="159" t="s">
        <v>2747</v>
      </c>
      <c r="B85" s="139" t="s">
        <v>92</v>
      </c>
      <c r="C85" s="139" t="s">
        <v>3802</v>
      </c>
      <c r="D85" s="51" t="s">
        <v>21</v>
      </c>
      <c r="E85" s="132">
        <v>13</v>
      </c>
      <c r="F85" s="145" t="s">
        <v>1798</v>
      </c>
      <c r="K85"/>
      <c r="L85"/>
    </row>
    <row r="86" spans="1:12">
      <c r="A86" s="159" t="s">
        <v>2748</v>
      </c>
      <c r="B86" s="139" t="s">
        <v>92</v>
      </c>
      <c r="C86" s="139" t="s">
        <v>3802</v>
      </c>
      <c r="D86" s="51" t="s">
        <v>21</v>
      </c>
      <c r="E86" s="132">
        <v>9</v>
      </c>
      <c r="F86" s="145" t="s">
        <v>1798</v>
      </c>
      <c r="K86"/>
      <c r="L86"/>
    </row>
    <row r="87" spans="1:12">
      <c r="A87" s="159" t="s">
        <v>2749</v>
      </c>
      <c r="B87" s="139" t="s">
        <v>92</v>
      </c>
      <c r="C87" s="139" t="s">
        <v>3802</v>
      </c>
      <c r="D87" s="51" t="s">
        <v>21</v>
      </c>
      <c r="E87" s="132">
        <v>10</v>
      </c>
      <c r="F87" s="145" t="s">
        <v>1798</v>
      </c>
      <c r="K87"/>
      <c r="L87"/>
    </row>
    <row r="88" spans="1:12">
      <c r="A88" s="159" t="s">
        <v>2750</v>
      </c>
      <c r="B88" s="139" t="s">
        <v>92</v>
      </c>
      <c r="C88" s="139" t="s">
        <v>3802</v>
      </c>
      <c r="D88" s="51" t="s">
        <v>21</v>
      </c>
      <c r="E88" s="132">
        <v>1</v>
      </c>
      <c r="F88" s="145" t="s">
        <v>1798</v>
      </c>
      <c r="K88"/>
      <c r="L88"/>
    </row>
    <row r="89" spans="1:12">
      <c r="A89" s="159" t="s">
        <v>2744</v>
      </c>
      <c r="B89" s="139" t="s">
        <v>164</v>
      </c>
      <c r="C89" s="139" t="s">
        <v>3803</v>
      </c>
      <c r="D89" s="51" t="s">
        <v>21</v>
      </c>
      <c r="E89" s="132">
        <v>15</v>
      </c>
      <c r="F89" s="145" t="s">
        <v>97</v>
      </c>
      <c r="K89"/>
      <c r="L89"/>
    </row>
    <row r="90" spans="1:12">
      <c r="A90" s="159" t="s">
        <v>2747</v>
      </c>
      <c r="B90" s="139" t="s">
        <v>164</v>
      </c>
      <c r="C90" s="139" t="s">
        <v>3803</v>
      </c>
      <c r="D90" s="51" t="s">
        <v>21</v>
      </c>
      <c r="E90" s="132">
        <v>10</v>
      </c>
      <c r="F90" s="145" t="s">
        <v>97</v>
      </c>
      <c r="K90"/>
      <c r="L90"/>
    </row>
    <row r="91" spans="1:12">
      <c r="A91" s="159" t="s">
        <v>2748</v>
      </c>
      <c r="B91" s="139" t="s">
        <v>164</v>
      </c>
      <c r="C91" s="139" t="s">
        <v>3803</v>
      </c>
      <c r="D91" s="51" t="s">
        <v>21</v>
      </c>
      <c r="E91" s="132">
        <v>2</v>
      </c>
      <c r="F91" s="145" t="s">
        <v>97</v>
      </c>
      <c r="K91"/>
      <c r="L91"/>
    </row>
    <row r="92" spans="1:12">
      <c r="A92" s="159" t="s">
        <v>2744</v>
      </c>
      <c r="B92" s="139" t="s">
        <v>3804</v>
      </c>
      <c r="C92" s="139" t="s">
        <v>3805</v>
      </c>
      <c r="D92" s="51" t="s">
        <v>21</v>
      </c>
      <c r="E92" s="132">
        <v>40</v>
      </c>
      <c r="F92" s="145" t="s">
        <v>1798</v>
      </c>
      <c r="K92"/>
      <c r="L92"/>
    </row>
    <row r="93" spans="1:12">
      <c r="A93" s="159" t="s">
        <v>2747</v>
      </c>
      <c r="B93" s="139" t="s">
        <v>3804</v>
      </c>
      <c r="C93" s="139" t="s">
        <v>3805</v>
      </c>
      <c r="D93" s="51" t="s">
        <v>21</v>
      </c>
      <c r="E93" s="132">
        <v>10</v>
      </c>
      <c r="F93" s="145" t="s">
        <v>1798</v>
      </c>
      <c r="K93"/>
      <c r="L93"/>
    </row>
    <row r="94" spans="1:12">
      <c r="A94" s="159" t="s">
        <v>2748</v>
      </c>
      <c r="B94" s="139" t="s">
        <v>3804</v>
      </c>
      <c r="C94" s="139" t="s">
        <v>3805</v>
      </c>
      <c r="D94" s="51" t="s">
        <v>21</v>
      </c>
      <c r="E94" s="132">
        <v>2</v>
      </c>
      <c r="F94" s="145" t="s">
        <v>1798</v>
      </c>
      <c r="K94"/>
      <c r="L94"/>
    </row>
    <row r="95" spans="1:12">
      <c r="A95" s="159" t="s">
        <v>2744</v>
      </c>
      <c r="B95" s="139" t="s">
        <v>3806</v>
      </c>
      <c r="C95" s="139" t="s">
        <v>3807</v>
      </c>
      <c r="D95" s="51" t="s">
        <v>21</v>
      </c>
      <c r="E95" s="132">
        <v>20</v>
      </c>
      <c r="F95" s="145" t="s">
        <v>97</v>
      </c>
      <c r="K95"/>
      <c r="L95"/>
    </row>
    <row r="96" spans="1:12">
      <c r="A96" s="159" t="s">
        <v>2747</v>
      </c>
      <c r="B96" s="139" t="s">
        <v>3808</v>
      </c>
      <c r="C96" s="139" t="s">
        <v>3809</v>
      </c>
      <c r="D96" s="51" t="s">
        <v>21</v>
      </c>
      <c r="E96" s="132">
        <v>5</v>
      </c>
      <c r="F96" s="145" t="s">
        <v>1337</v>
      </c>
      <c r="K96"/>
      <c r="L96"/>
    </row>
    <row r="97" spans="1:12">
      <c r="A97" s="159" t="s">
        <v>2744</v>
      </c>
      <c r="B97" s="139" t="s">
        <v>165</v>
      </c>
      <c r="C97" s="139" t="s">
        <v>3810</v>
      </c>
      <c r="D97" s="51" t="s">
        <v>21</v>
      </c>
      <c r="E97" s="132">
        <v>30</v>
      </c>
      <c r="F97" s="145" t="s">
        <v>1337</v>
      </c>
      <c r="K97"/>
      <c r="L97"/>
    </row>
    <row r="98" spans="1:12">
      <c r="A98" s="159" t="s">
        <v>2747</v>
      </c>
      <c r="B98" s="139" t="s">
        <v>165</v>
      </c>
      <c r="C98" s="139" t="s">
        <v>3810</v>
      </c>
      <c r="D98" s="51" t="s">
        <v>21</v>
      </c>
      <c r="E98" s="132">
        <v>4</v>
      </c>
      <c r="F98" s="145" t="s">
        <v>1337</v>
      </c>
      <c r="K98"/>
      <c r="L98"/>
    </row>
    <row r="99" spans="1:12" ht="24">
      <c r="A99" s="159" t="s">
        <v>2744</v>
      </c>
      <c r="B99" s="139" t="s">
        <v>3811</v>
      </c>
      <c r="C99" s="139" t="s">
        <v>3812</v>
      </c>
      <c r="D99" s="51" t="s">
        <v>21</v>
      </c>
      <c r="E99" s="132">
        <v>70</v>
      </c>
      <c r="F99" s="145" t="s">
        <v>97</v>
      </c>
      <c r="K99"/>
      <c r="L99"/>
    </row>
    <row r="100" spans="1:12">
      <c r="A100" s="159" t="s">
        <v>2768</v>
      </c>
      <c r="B100" s="139" t="s">
        <v>3813</v>
      </c>
      <c r="C100" s="139" t="s">
        <v>3814</v>
      </c>
      <c r="D100" s="51" t="s">
        <v>21</v>
      </c>
      <c r="E100" s="143">
        <v>130</v>
      </c>
      <c r="F100" s="145" t="s">
        <v>97</v>
      </c>
      <c r="K100"/>
      <c r="L100"/>
    </row>
    <row r="101" spans="1:12">
      <c r="A101" s="159" t="s">
        <v>2747</v>
      </c>
      <c r="B101" s="139" t="s">
        <v>3813</v>
      </c>
      <c r="C101" s="139" t="s">
        <v>3814</v>
      </c>
      <c r="D101" s="51" t="s">
        <v>21</v>
      </c>
      <c r="E101" s="143">
        <v>24</v>
      </c>
      <c r="F101" s="145" t="s">
        <v>97</v>
      </c>
      <c r="K101"/>
      <c r="L101"/>
    </row>
    <row r="102" spans="1:12">
      <c r="A102" s="159" t="s">
        <v>2748</v>
      </c>
      <c r="B102" s="139" t="s">
        <v>3813</v>
      </c>
      <c r="C102" s="139" t="s">
        <v>3814</v>
      </c>
      <c r="D102" s="51" t="s">
        <v>21</v>
      </c>
      <c r="E102" s="143">
        <v>2</v>
      </c>
      <c r="F102" s="145" t="s">
        <v>97</v>
      </c>
      <c r="K102"/>
      <c r="L102"/>
    </row>
    <row r="103" spans="1:12">
      <c r="A103" s="159" t="s">
        <v>2768</v>
      </c>
      <c r="B103" s="139" t="s">
        <v>3815</v>
      </c>
      <c r="C103" s="139" t="s">
        <v>3816</v>
      </c>
      <c r="D103" s="51" t="s">
        <v>21</v>
      </c>
      <c r="E103" s="132">
        <v>15</v>
      </c>
      <c r="F103" s="145" t="s">
        <v>1337</v>
      </c>
      <c r="K103"/>
      <c r="L103"/>
    </row>
    <row r="104" spans="1:12">
      <c r="A104" s="159" t="s">
        <v>2747</v>
      </c>
      <c r="B104" s="139" t="s">
        <v>3815</v>
      </c>
      <c r="C104" s="139" t="s">
        <v>3816</v>
      </c>
      <c r="D104" s="51" t="s">
        <v>21</v>
      </c>
      <c r="E104" s="132">
        <v>4</v>
      </c>
      <c r="F104" s="145" t="s">
        <v>1337</v>
      </c>
      <c r="K104"/>
      <c r="L104"/>
    </row>
    <row r="105" spans="1:12">
      <c r="A105" s="159" t="s">
        <v>2748</v>
      </c>
      <c r="B105" s="139" t="s">
        <v>3815</v>
      </c>
      <c r="C105" s="139" t="s">
        <v>3816</v>
      </c>
      <c r="D105" s="51" t="s">
        <v>21</v>
      </c>
      <c r="E105" s="132">
        <v>1</v>
      </c>
      <c r="F105" s="145" t="s">
        <v>1337</v>
      </c>
      <c r="K105"/>
      <c r="L105"/>
    </row>
    <row r="106" spans="1:12">
      <c r="A106" s="159" t="s">
        <v>2768</v>
      </c>
      <c r="B106" s="139" t="s">
        <v>3817</v>
      </c>
      <c r="C106" s="139" t="s">
        <v>3818</v>
      </c>
      <c r="D106" s="51" t="s">
        <v>21</v>
      </c>
      <c r="E106" s="132">
        <v>112</v>
      </c>
      <c r="F106" s="145" t="s">
        <v>1337</v>
      </c>
      <c r="K106"/>
      <c r="L106"/>
    </row>
    <row r="107" spans="1:12">
      <c r="A107" s="159" t="s">
        <v>2747</v>
      </c>
      <c r="B107" s="139" t="s">
        <v>3817</v>
      </c>
      <c r="C107" s="139" t="s">
        <v>3818</v>
      </c>
      <c r="D107" s="51" t="s">
        <v>21</v>
      </c>
      <c r="E107" s="132">
        <v>21</v>
      </c>
      <c r="F107" s="145" t="s">
        <v>1337</v>
      </c>
      <c r="K107"/>
      <c r="L107"/>
    </row>
    <row r="108" spans="1:12">
      <c r="A108" s="159" t="s">
        <v>2748</v>
      </c>
      <c r="B108" s="139" t="s">
        <v>3817</v>
      </c>
      <c r="C108" s="139" t="s">
        <v>3818</v>
      </c>
      <c r="D108" s="51" t="s">
        <v>21</v>
      </c>
      <c r="E108" s="132">
        <v>7</v>
      </c>
      <c r="F108" s="145" t="s">
        <v>1337</v>
      </c>
      <c r="K108"/>
      <c r="L108"/>
    </row>
    <row r="109" spans="1:12" ht="24">
      <c r="A109" s="159" t="s">
        <v>2768</v>
      </c>
      <c r="B109" s="139" t="s">
        <v>3819</v>
      </c>
      <c r="C109" s="139" t="s">
        <v>3820</v>
      </c>
      <c r="D109" s="51" t="s">
        <v>36</v>
      </c>
      <c r="E109" s="132">
        <v>30</v>
      </c>
      <c r="F109" s="145" t="s">
        <v>1337</v>
      </c>
      <c r="K109"/>
      <c r="L109"/>
    </row>
    <row r="110" spans="1:12" ht="24">
      <c r="A110" s="159" t="s">
        <v>2747</v>
      </c>
      <c r="B110" s="139" t="s">
        <v>3819</v>
      </c>
      <c r="C110" s="139" t="s">
        <v>3820</v>
      </c>
      <c r="D110" s="51" t="s">
        <v>36</v>
      </c>
      <c r="E110" s="132">
        <v>2</v>
      </c>
      <c r="F110" s="145" t="s">
        <v>1337</v>
      </c>
      <c r="K110"/>
      <c r="L110"/>
    </row>
    <row r="111" spans="1:12" ht="24">
      <c r="A111" s="159" t="s">
        <v>2748</v>
      </c>
      <c r="B111" s="139" t="s">
        <v>3819</v>
      </c>
      <c r="C111" s="139" t="s">
        <v>3820</v>
      </c>
      <c r="D111" s="51" t="s">
        <v>36</v>
      </c>
      <c r="E111" s="132">
        <v>1</v>
      </c>
      <c r="F111" s="145" t="s">
        <v>1337</v>
      </c>
      <c r="K111"/>
      <c r="L111"/>
    </row>
    <row r="112" spans="1:12">
      <c r="K112"/>
      <c r="L112"/>
    </row>
    <row r="113" spans="11:12">
      <c r="K113"/>
      <c r="L113"/>
    </row>
    <row r="114" spans="11:12">
      <c r="K114"/>
      <c r="L114"/>
    </row>
    <row r="115" spans="11:12">
      <c r="K115"/>
      <c r="L115"/>
    </row>
    <row r="116" spans="11:12">
      <c r="K116"/>
      <c r="L116"/>
    </row>
    <row r="117" spans="11:12">
      <c r="K117"/>
      <c r="L117"/>
    </row>
    <row r="118" spans="11:12">
      <c r="K118"/>
      <c r="L118"/>
    </row>
    <row r="119" spans="11:12">
      <c r="K119"/>
      <c r="L119"/>
    </row>
    <row r="120" spans="11:12">
      <c r="K120"/>
      <c r="L120"/>
    </row>
    <row r="121" spans="11:12">
      <c r="K121"/>
      <c r="L121"/>
    </row>
    <row r="122" spans="11:12">
      <c r="K122"/>
      <c r="L122"/>
    </row>
    <row r="123" spans="11:12">
      <c r="K123"/>
      <c r="L123"/>
    </row>
    <row r="124" spans="11:12">
      <c r="K124"/>
      <c r="L124"/>
    </row>
    <row r="125" spans="11:12">
      <c r="K125"/>
      <c r="L125"/>
    </row>
    <row r="126" spans="11:12">
      <c r="K126"/>
      <c r="L126"/>
    </row>
    <row r="127" spans="11:12">
      <c r="K127"/>
      <c r="L127"/>
    </row>
    <row r="128" spans="11:12">
      <c r="K128"/>
      <c r="L128"/>
    </row>
    <row r="129" spans="11:12">
      <c r="K129"/>
      <c r="L129"/>
    </row>
    <row r="130" spans="11:12">
      <c r="K130"/>
      <c r="L130"/>
    </row>
    <row r="131" spans="11:12">
      <c r="K131"/>
      <c r="L131"/>
    </row>
    <row r="132" spans="11:12">
      <c r="K132"/>
      <c r="L132"/>
    </row>
    <row r="133" spans="11:12">
      <c r="K133"/>
      <c r="L133"/>
    </row>
    <row r="134" spans="11:12">
      <c r="K134"/>
      <c r="L134"/>
    </row>
    <row r="135" spans="11:12">
      <c r="K135"/>
      <c r="L135"/>
    </row>
    <row r="136" spans="11:12">
      <c r="K136"/>
      <c r="L136"/>
    </row>
    <row r="137" spans="11:12">
      <c r="K137"/>
      <c r="L137"/>
    </row>
    <row r="138" spans="11:12">
      <c r="K138"/>
      <c r="L138"/>
    </row>
    <row r="139" spans="11:12">
      <c r="K139"/>
      <c r="L139"/>
    </row>
    <row r="140" spans="11:12">
      <c r="K140"/>
      <c r="L140"/>
    </row>
    <row r="141" spans="11:12">
      <c r="K141"/>
      <c r="L141"/>
    </row>
    <row r="142" spans="11:12">
      <c r="K142"/>
      <c r="L142"/>
    </row>
    <row r="143" spans="11:12">
      <c r="K143"/>
      <c r="L143"/>
    </row>
    <row r="144" spans="11:12">
      <c r="K144"/>
      <c r="L144"/>
    </row>
    <row r="145" spans="11:12">
      <c r="K145"/>
      <c r="L145"/>
    </row>
    <row r="146" spans="11:12">
      <c r="K146"/>
      <c r="L146"/>
    </row>
    <row r="147" spans="11:12">
      <c r="K147"/>
      <c r="L147"/>
    </row>
    <row r="148" spans="11:12">
      <c r="K148"/>
      <c r="L148"/>
    </row>
    <row r="149" spans="11:12">
      <c r="K149"/>
      <c r="L149"/>
    </row>
    <row r="150" spans="11:12">
      <c r="K150"/>
      <c r="L150"/>
    </row>
    <row r="151" spans="11:12">
      <c r="K151"/>
      <c r="L151"/>
    </row>
    <row r="152" spans="11:12">
      <c r="K152"/>
      <c r="L152"/>
    </row>
    <row r="153" spans="11:12">
      <c r="K153"/>
      <c r="L153"/>
    </row>
    <row r="154" spans="11:12">
      <c r="K154"/>
      <c r="L154"/>
    </row>
    <row r="155" spans="11:12">
      <c r="K155"/>
      <c r="L155"/>
    </row>
    <row r="156" spans="11:12">
      <c r="K156"/>
      <c r="L156"/>
    </row>
    <row r="157" spans="11:12">
      <c r="K157"/>
      <c r="L157"/>
    </row>
    <row r="158" spans="11:12">
      <c r="K158"/>
      <c r="L158"/>
    </row>
    <row r="159" spans="11:12">
      <c r="K159"/>
      <c r="L159"/>
    </row>
    <row r="160" spans="11:12">
      <c r="K160"/>
      <c r="L160"/>
    </row>
    <row r="161" spans="11:12">
      <c r="K161"/>
      <c r="L161"/>
    </row>
    <row r="162" spans="11:12">
      <c r="K162"/>
      <c r="L162"/>
    </row>
    <row r="163" spans="11:12">
      <c r="K163"/>
      <c r="L163"/>
    </row>
    <row r="164" spans="11:12">
      <c r="K164"/>
      <c r="L164"/>
    </row>
    <row r="165" spans="11:12">
      <c r="K165"/>
      <c r="L165"/>
    </row>
    <row r="166" spans="11:12">
      <c r="K166"/>
      <c r="L166"/>
    </row>
    <row r="167" spans="11:12">
      <c r="K167"/>
      <c r="L167"/>
    </row>
    <row r="168" spans="11:12">
      <c r="K168"/>
      <c r="L168"/>
    </row>
    <row r="169" spans="11:12">
      <c r="K169"/>
      <c r="L169"/>
    </row>
    <row r="170" spans="11:12">
      <c r="K170"/>
      <c r="L170"/>
    </row>
    <row r="171" spans="11:12">
      <c r="K171"/>
      <c r="L171"/>
    </row>
    <row r="172" spans="11:12">
      <c r="K172"/>
      <c r="L172"/>
    </row>
    <row r="173" spans="11:12">
      <c r="K173"/>
      <c r="L173"/>
    </row>
    <row r="174" spans="11:12">
      <c r="K174"/>
      <c r="L174"/>
    </row>
    <row r="175" spans="11:12">
      <c r="K175"/>
      <c r="L175"/>
    </row>
    <row r="176" spans="11:12">
      <c r="K176"/>
      <c r="L176"/>
    </row>
    <row r="177" spans="11:12">
      <c r="K177"/>
      <c r="L177"/>
    </row>
    <row r="178" spans="11:12">
      <c r="K178"/>
      <c r="L178"/>
    </row>
    <row r="179" spans="11:12">
      <c r="K179"/>
      <c r="L179"/>
    </row>
    <row r="180" spans="11:12">
      <c r="K180"/>
      <c r="L180"/>
    </row>
    <row r="181" spans="11:12">
      <c r="K181"/>
      <c r="L181"/>
    </row>
    <row r="182" spans="11:12">
      <c r="K182"/>
      <c r="L182"/>
    </row>
    <row r="183" spans="11:12">
      <c r="K183"/>
      <c r="L183"/>
    </row>
    <row r="184" spans="11:12">
      <c r="K184"/>
      <c r="L184"/>
    </row>
    <row r="185" spans="11:12">
      <c r="K185"/>
      <c r="L185"/>
    </row>
    <row r="186" spans="11:12">
      <c r="K186"/>
      <c r="L186"/>
    </row>
    <row r="187" spans="11:12">
      <c r="K187"/>
      <c r="L187"/>
    </row>
    <row r="188" spans="11:12">
      <c r="K188"/>
      <c r="L188"/>
    </row>
    <row r="189" spans="11:12">
      <c r="K189"/>
      <c r="L189"/>
    </row>
    <row r="190" spans="11:12">
      <c r="K190"/>
      <c r="L190"/>
    </row>
    <row r="191" spans="11:12">
      <c r="K191"/>
      <c r="L191"/>
    </row>
    <row r="192" spans="11:12">
      <c r="K192"/>
      <c r="L192"/>
    </row>
    <row r="193" spans="11:12">
      <c r="K193"/>
      <c r="L193"/>
    </row>
    <row r="194" spans="11:12">
      <c r="K194"/>
      <c r="L194"/>
    </row>
    <row r="195" spans="11:12">
      <c r="K195"/>
      <c r="L195"/>
    </row>
    <row r="196" spans="11:12">
      <c r="K196"/>
      <c r="L196"/>
    </row>
    <row r="197" spans="11:12">
      <c r="K197"/>
      <c r="L197"/>
    </row>
    <row r="198" spans="11:12">
      <c r="K198"/>
      <c r="L198"/>
    </row>
  </sheetData>
  <autoFilter ref="A1:F180" xr:uid="{B58459B0-BCAD-4485-BC04-9F7A09B344EE}"/>
  <phoneticPr fontId="3" type="noConversion"/>
  <conditionalFormatting sqref="A11">
    <cfRule type="duplicateValues" dxfId="14" priority="3"/>
  </conditionalFormatting>
  <conditionalFormatting sqref="A12">
    <cfRule type="duplicateValues" dxfId="13" priority="4"/>
  </conditionalFormatting>
  <conditionalFormatting sqref="A14">
    <cfRule type="duplicateValues" dxfId="12" priority="1"/>
  </conditionalFormatting>
  <conditionalFormatting sqref="A15">
    <cfRule type="duplicateValues" dxfId="11" priority="2"/>
  </conditionalFormatting>
  <pageMargins left="0.7" right="0.7" top="0.75" bottom="0.75" header="0.3" footer="0.3"/>
  <pageSetup paperSize="9" orientation="portrait" verticalDpi="0"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C2C1FBD-F1F4-4846-9647-65F0B95BF0D3}">
          <x14:formula1>
            <xm:f>'Data pick slip'!$B$1:$B$72</xm:f>
          </x14:formula1>
          <xm:sqref>A2:A111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F9FAF-135E-4DA1-850E-6D0AB3D304F8}">
  <sheetPr codeName="Sheet12"/>
  <dimension ref="A1:X149"/>
  <sheetViews>
    <sheetView topLeftCell="A121" workbookViewId="0">
      <selection activeCell="D158" sqref="D158"/>
    </sheetView>
  </sheetViews>
  <sheetFormatPr defaultColWidth="9" defaultRowHeight="13.5"/>
  <cols>
    <col min="1" max="1" width="11.625" customWidth="1"/>
    <col min="2" max="2" width="13.375" customWidth="1"/>
    <col min="3" max="3" width="12.25" customWidth="1"/>
    <col min="4" max="4" width="17.375" customWidth="1"/>
    <col min="6" max="6" width="11" customWidth="1"/>
    <col min="7" max="7" width="14.375" customWidth="1"/>
    <col min="8" max="8" width="11.25" customWidth="1"/>
    <col min="9" max="9" width="10.25" customWidth="1"/>
    <col min="10" max="10" width="15.375" customWidth="1"/>
    <col min="11" max="11" width="10.75" customWidth="1"/>
    <col min="12" max="12" width="14" customWidth="1"/>
    <col min="13" max="13" width="9.25" customWidth="1"/>
    <col min="14" max="14" width="8.375" customWidth="1"/>
    <col min="15" max="15" width="10.25" customWidth="1"/>
    <col min="16" max="16" width="8.75" customWidth="1"/>
    <col min="17" max="17" width="9.75" customWidth="1"/>
    <col min="18" max="18" width="8.75" customWidth="1"/>
    <col min="19" max="19" width="9" customWidth="1"/>
    <col min="20" max="20" width="6.625" customWidth="1"/>
    <col min="21" max="22" width="7.25" customWidth="1"/>
    <col min="23" max="23" width="13.375" bestFit="1" customWidth="1"/>
    <col min="24" max="24" width="5.75" bestFit="1" customWidth="1"/>
  </cols>
  <sheetData>
    <row r="1" spans="1:24" ht="22.5">
      <c r="A1" s="98" t="s">
        <v>235</v>
      </c>
      <c r="B1" s="99" t="s">
        <v>2728</v>
      </c>
      <c r="C1" s="100" t="s">
        <v>2729</v>
      </c>
      <c r="D1" s="100" t="s">
        <v>262</v>
      </c>
      <c r="E1" s="101" t="s">
        <v>2730</v>
      </c>
      <c r="F1" s="102" t="s">
        <v>265</v>
      </c>
      <c r="G1" s="100" t="s">
        <v>2731</v>
      </c>
    </row>
    <row r="2" spans="1:24">
      <c r="A2" s="159" t="s">
        <v>2744</v>
      </c>
      <c r="B2" s="114" t="s">
        <v>2763</v>
      </c>
      <c r="C2" s="169">
        <v>110066</v>
      </c>
      <c r="D2" s="156" t="s">
        <v>16</v>
      </c>
      <c r="E2" s="157">
        <v>44200</v>
      </c>
      <c r="F2" s="157" t="s">
        <v>3821</v>
      </c>
      <c r="G2" s="171">
        <v>200</v>
      </c>
    </row>
    <row r="3" spans="1:24" ht="22.5">
      <c r="A3" s="159" t="s">
        <v>2744</v>
      </c>
      <c r="B3" s="114" t="s">
        <v>2763</v>
      </c>
      <c r="C3" s="169">
        <v>110230</v>
      </c>
      <c r="D3" s="156" t="s">
        <v>33</v>
      </c>
      <c r="E3" s="157" t="s">
        <v>3822</v>
      </c>
      <c r="F3" s="170" t="s">
        <v>3821</v>
      </c>
      <c r="G3" s="171">
        <v>200</v>
      </c>
    </row>
    <row r="4" spans="1:24" ht="22.5">
      <c r="A4" s="159" t="s">
        <v>2747</v>
      </c>
      <c r="B4" s="114" t="s">
        <v>2764</v>
      </c>
      <c r="C4" s="169">
        <v>110230</v>
      </c>
      <c r="D4" s="156" t="s">
        <v>33</v>
      </c>
      <c r="E4" s="157" t="s">
        <v>3822</v>
      </c>
      <c r="F4" s="170" t="s">
        <v>3821</v>
      </c>
      <c r="G4" s="171">
        <v>60</v>
      </c>
    </row>
    <row r="5" spans="1:24" ht="22.5">
      <c r="A5" s="159" t="s">
        <v>2748</v>
      </c>
      <c r="B5" s="114" t="s">
        <v>2765</v>
      </c>
      <c r="C5" s="169">
        <v>110230</v>
      </c>
      <c r="D5" s="156" t="s">
        <v>33</v>
      </c>
      <c r="E5" s="157" t="s">
        <v>3822</v>
      </c>
      <c r="F5" s="170" t="s">
        <v>3821</v>
      </c>
      <c r="G5" s="171">
        <v>10</v>
      </c>
    </row>
    <row r="6" spans="1:24" ht="22.5">
      <c r="A6" s="159" t="s">
        <v>2749</v>
      </c>
      <c r="B6" s="114" t="s">
        <v>2769</v>
      </c>
      <c r="C6" s="169">
        <v>110230</v>
      </c>
      <c r="D6" s="156" t="s">
        <v>33</v>
      </c>
      <c r="E6" s="157" t="s">
        <v>3822</v>
      </c>
      <c r="F6" s="170" t="s">
        <v>3821</v>
      </c>
      <c r="G6" s="171">
        <v>5</v>
      </c>
    </row>
    <row r="7" spans="1:24">
      <c r="A7" s="159" t="s">
        <v>2744</v>
      </c>
      <c r="B7" s="114" t="s">
        <v>2763</v>
      </c>
      <c r="C7" s="169">
        <v>110096</v>
      </c>
      <c r="D7" s="156" t="s">
        <v>33</v>
      </c>
      <c r="E7" s="157">
        <v>44218</v>
      </c>
      <c r="F7" s="170" t="s">
        <v>3821</v>
      </c>
      <c r="G7" s="171">
        <v>200</v>
      </c>
      <c r="M7" s="262" t="s">
        <v>2</v>
      </c>
    </row>
    <row r="8" spans="1:24">
      <c r="A8" s="159" t="s">
        <v>2747</v>
      </c>
      <c r="B8" s="114" t="s">
        <v>2764</v>
      </c>
      <c r="C8" s="169">
        <v>110096</v>
      </c>
      <c r="D8" s="156" t="s">
        <v>33</v>
      </c>
      <c r="E8" s="157">
        <v>44218</v>
      </c>
      <c r="F8" s="170" t="s">
        <v>3821</v>
      </c>
      <c r="G8" s="171">
        <v>60</v>
      </c>
      <c r="J8" s="262" t="s">
        <v>3823</v>
      </c>
      <c r="K8" s="262" t="s">
        <v>1</v>
      </c>
      <c r="L8" s="262" t="s">
        <v>3824</v>
      </c>
      <c r="M8" t="s">
        <v>2747</v>
      </c>
      <c r="N8" t="s">
        <v>2748</v>
      </c>
      <c r="O8" t="s">
        <v>2749</v>
      </c>
      <c r="P8" t="s">
        <v>2750</v>
      </c>
      <c r="Q8" t="s">
        <v>2751</v>
      </c>
      <c r="R8" t="s">
        <v>2744</v>
      </c>
      <c r="S8" t="s">
        <v>2756</v>
      </c>
      <c r="T8" t="s">
        <v>2757</v>
      </c>
      <c r="U8" t="s">
        <v>2758</v>
      </c>
      <c r="V8" t="s">
        <v>2759</v>
      </c>
      <c r="W8" t="s">
        <v>2755</v>
      </c>
      <c r="X8" t="s">
        <v>214</v>
      </c>
    </row>
    <row r="9" spans="1:24">
      <c r="A9" s="159" t="s">
        <v>2744</v>
      </c>
      <c r="B9" s="114" t="s">
        <v>2763</v>
      </c>
      <c r="C9" s="169">
        <v>110105</v>
      </c>
      <c r="D9" s="156" t="s">
        <v>3547</v>
      </c>
      <c r="E9" s="157">
        <v>44212</v>
      </c>
      <c r="F9" s="170" t="s">
        <v>3821</v>
      </c>
      <c r="G9" s="171">
        <v>300</v>
      </c>
      <c r="J9">
        <v>110066</v>
      </c>
      <c r="K9" t="s">
        <v>16</v>
      </c>
      <c r="L9">
        <v>44200</v>
      </c>
    </row>
    <row r="10" spans="1:24">
      <c r="A10" s="159" t="s">
        <v>2747</v>
      </c>
      <c r="B10" s="114" t="s">
        <v>2764</v>
      </c>
      <c r="C10" s="169">
        <v>110105</v>
      </c>
      <c r="D10" s="156" t="s">
        <v>3547</v>
      </c>
      <c r="E10" s="157">
        <v>44212</v>
      </c>
      <c r="F10" s="170" t="s">
        <v>3821</v>
      </c>
      <c r="G10" s="171">
        <v>30</v>
      </c>
      <c r="J10">
        <v>110096</v>
      </c>
      <c r="K10" t="s">
        <v>33</v>
      </c>
      <c r="L10">
        <v>44218</v>
      </c>
    </row>
    <row r="11" spans="1:24">
      <c r="A11" s="159" t="s">
        <v>2748</v>
      </c>
      <c r="B11" s="114" t="s">
        <v>2765</v>
      </c>
      <c r="C11" s="169">
        <v>110105</v>
      </c>
      <c r="D11" s="156" t="s">
        <v>3547</v>
      </c>
      <c r="E11" s="157">
        <v>44212</v>
      </c>
      <c r="F11" s="170" t="s">
        <v>3821</v>
      </c>
      <c r="G11" s="171">
        <v>10</v>
      </c>
      <c r="J11">
        <v>110105</v>
      </c>
      <c r="K11" t="s">
        <v>3547</v>
      </c>
      <c r="L11">
        <v>44212</v>
      </c>
    </row>
    <row r="12" spans="1:24">
      <c r="A12" s="159" t="s">
        <v>2751</v>
      </c>
      <c r="B12" s="114" t="s">
        <v>2775</v>
      </c>
      <c r="C12" s="169">
        <v>110105</v>
      </c>
      <c r="D12" s="156" t="s">
        <v>3547</v>
      </c>
      <c r="E12" s="157">
        <v>44212</v>
      </c>
      <c r="F12" s="170" t="s">
        <v>3821</v>
      </c>
      <c r="G12" s="171">
        <v>1</v>
      </c>
      <c r="J12">
        <v>110106</v>
      </c>
      <c r="K12" t="s">
        <v>3547</v>
      </c>
      <c r="L12">
        <v>44212</v>
      </c>
    </row>
    <row r="13" spans="1:24">
      <c r="A13" s="159" t="s">
        <v>2744</v>
      </c>
      <c r="B13" s="114" t="s">
        <v>2763</v>
      </c>
      <c r="C13" s="169">
        <v>110106</v>
      </c>
      <c r="D13" s="156" t="s">
        <v>3547</v>
      </c>
      <c r="E13" s="157">
        <v>44212</v>
      </c>
      <c r="F13" s="170" t="s">
        <v>3821</v>
      </c>
      <c r="G13" s="171">
        <v>300</v>
      </c>
      <c r="J13">
        <v>110107</v>
      </c>
      <c r="K13" t="s">
        <v>155</v>
      </c>
      <c r="L13">
        <v>44221</v>
      </c>
    </row>
    <row r="14" spans="1:24">
      <c r="A14" s="159" t="s">
        <v>2747</v>
      </c>
      <c r="B14" s="114" t="s">
        <v>2764</v>
      </c>
      <c r="C14" s="169">
        <v>110106</v>
      </c>
      <c r="D14" s="156" t="s">
        <v>3547</v>
      </c>
      <c r="E14" s="157">
        <v>44212</v>
      </c>
      <c r="F14" s="170" t="s">
        <v>3821</v>
      </c>
      <c r="G14" s="171">
        <v>60</v>
      </c>
      <c r="J14">
        <v>110130</v>
      </c>
      <c r="K14" t="s">
        <v>16</v>
      </c>
      <c r="L14">
        <v>44233</v>
      </c>
    </row>
    <row r="15" spans="1:24">
      <c r="A15" s="159" t="s">
        <v>2744</v>
      </c>
      <c r="B15" s="114" t="s">
        <v>2763</v>
      </c>
      <c r="C15" s="169">
        <v>110107</v>
      </c>
      <c r="D15" s="156" t="s">
        <v>155</v>
      </c>
      <c r="E15" s="157">
        <v>44221</v>
      </c>
      <c r="F15" s="170" t="s">
        <v>3821</v>
      </c>
      <c r="G15" s="171">
        <v>200</v>
      </c>
      <c r="J15">
        <v>110131</v>
      </c>
      <c r="K15" t="s">
        <v>16</v>
      </c>
      <c r="L15" t="s">
        <v>3825</v>
      </c>
    </row>
    <row r="16" spans="1:24">
      <c r="A16" s="159" t="s">
        <v>2747</v>
      </c>
      <c r="B16" s="114" t="s">
        <v>2764</v>
      </c>
      <c r="C16" s="169">
        <v>110107</v>
      </c>
      <c r="D16" s="156" t="s">
        <v>155</v>
      </c>
      <c r="E16" s="157">
        <v>44221</v>
      </c>
      <c r="F16" s="170" t="s">
        <v>3821</v>
      </c>
      <c r="G16" s="171">
        <v>20</v>
      </c>
      <c r="J16">
        <v>110132</v>
      </c>
      <c r="K16" t="s">
        <v>16</v>
      </c>
      <c r="L16">
        <v>44233</v>
      </c>
    </row>
    <row r="17" spans="1:12">
      <c r="A17" s="159" t="s">
        <v>2748</v>
      </c>
      <c r="B17" s="114" t="s">
        <v>2765</v>
      </c>
      <c r="C17" s="169">
        <v>110107</v>
      </c>
      <c r="D17" s="156" t="s">
        <v>155</v>
      </c>
      <c r="E17" s="157">
        <v>44221</v>
      </c>
      <c r="F17" s="170" t="s">
        <v>3821</v>
      </c>
      <c r="G17" s="171">
        <v>5</v>
      </c>
      <c r="J17">
        <v>110133</v>
      </c>
      <c r="K17" t="s">
        <v>16</v>
      </c>
      <c r="L17">
        <v>44233</v>
      </c>
    </row>
    <row r="18" spans="1:12">
      <c r="A18" s="159" t="s">
        <v>2744</v>
      </c>
      <c r="B18" s="114" t="s">
        <v>2763</v>
      </c>
      <c r="C18" s="169">
        <v>110199</v>
      </c>
      <c r="D18" s="156" t="s">
        <v>16</v>
      </c>
      <c r="E18" s="157">
        <v>44218</v>
      </c>
      <c r="F18" s="170" t="s">
        <v>3821</v>
      </c>
      <c r="G18" s="171">
        <v>200</v>
      </c>
      <c r="J18">
        <v>110150</v>
      </c>
      <c r="K18" t="s">
        <v>16</v>
      </c>
      <c r="L18" t="s">
        <v>3826</v>
      </c>
    </row>
    <row r="19" spans="1:12">
      <c r="A19" s="159" t="s">
        <v>2747</v>
      </c>
      <c r="B19" s="114" t="s">
        <v>2764</v>
      </c>
      <c r="C19" s="169">
        <v>110199</v>
      </c>
      <c r="D19" s="156" t="s">
        <v>16</v>
      </c>
      <c r="E19" s="157">
        <v>44218</v>
      </c>
      <c r="F19" s="170" t="s">
        <v>3821</v>
      </c>
      <c r="G19" s="171">
        <v>30</v>
      </c>
      <c r="J19">
        <v>110151</v>
      </c>
      <c r="K19" t="s">
        <v>16</v>
      </c>
      <c r="L19" t="s">
        <v>3827</v>
      </c>
    </row>
    <row r="20" spans="1:12">
      <c r="A20" s="159" t="s">
        <v>2744</v>
      </c>
      <c r="B20" s="114" t="s">
        <v>2763</v>
      </c>
      <c r="C20" s="169">
        <v>110130</v>
      </c>
      <c r="D20" s="156" t="s">
        <v>16</v>
      </c>
      <c r="E20" s="157">
        <v>44233</v>
      </c>
      <c r="F20" s="170" t="s">
        <v>3821</v>
      </c>
      <c r="G20" s="171">
        <v>200</v>
      </c>
      <c r="J20">
        <v>110153</v>
      </c>
      <c r="K20" t="s">
        <v>16</v>
      </c>
      <c r="L20" t="s">
        <v>20</v>
      </c>
    </row>
    <row r="21" spans="1:12">
      <c r="A21" s="159" t="s">
        <v>2747</v>
      </c>
      <c r="B21" s="114" t="s">
        <v>2764</v>
      </c>
      <c r="C21" s="169">
        <v>110130</v>
      </c>
      <c r="D21" s="156" t="s">
        <v>16</v>
      </c>
      <c r="E21" s="157">
        <v>44233</v>
      </c>
      <c r="F21" s="170" t="s">
        <v>3821</v>
      </c>
      <c r="G21" s="171">
        <v>100</v>
      </c>
      <c r="J21">
        <v>110172</v>
      </c>
      <c r="K21" t="s">
        <v>38</v>
      </c>
      <c r="L21" t="s">
        <v>3828</v>
      </c>
    </row>
    <row r="22" spans="1:12">
      <c r="A22" s="159" t="s">
        <v>2744</v>
      </c>
      <c r="B22" s="114" t="s">
        <v>2763</v>
      </c>
      <c r="C22" s="169">
        <v>110131</v>
      </c>
      <c r="D22" s="156" t="s">
        <v>16</v>
      </c>
      <c r="E22" s="157" t="s">
        <v>3825</v>
      </c>
      <c r="F22" s="170" t="s">
        <v>2762</v>
      </c>
      <c r="G22" s="171">
        <v>200</v>
      </c>
      <c r="J22">
        <v>110173</v>
      </c>
      <c r="K22" t="s">
        <v>38</v>
      </c>
      <c r="L22" t="s">
        <v>3829</v>
      </c>
    </row>
    <row r="23" spans="1:12">
      <c r="A23" s="159" t="s">
        <v>2744</v>
      </c>
      <c r="B23" s="114" t="s">
        <v>2763</v>
      </c>
      <c r="C23" s="169">
        <v>110132</v>
      </c>
      <c r="D23" s="156" t="s">
        <v>16</v>
      </c>
      <c r="E23" s="157">
        <v>44233</v>
      </c>
      <c r="F23" s="170" t="s">
        <v>3821</v>
      </c>
      <c r="G23" s="171">
        <v>350</v>
      </c>
      <c r="J23">
        <v>110174</v>
      </c>
      <c r="K23" t="s">
        <v>38</v>
      </c>
      <c r="L23" t="s">
        <v>3830</v>
      </c>
    </row>
    <row r="24" spans="1:12">
      <c r="A24" s="159" t="s">
        <v>2747</v>
      </c>
      <c r="B24" s="114" t="s">
        <v>2764</v>
      </c>
      <c r="C24" s="169">
        <v>110132</v>
      </c>
      <c r="D24" s="156" t="s">
        <v>16</v>
      </c>
      <c r="E24" s="157">
        <v>44233</v>
      </c>
      <c r="F24" s="170" t="s">
        <v>3821</v>
      </c>
      <c r="G24" s="171">
        <v>50</v>
      </c>
      <c r="J24">
        <v>110175</v>
      </c>
      <c r="K24" t="s">
        <v>38</v>
      </c>
      <c r="L24" t="s">
        <v>3831</v>
      </c>
    </row>
    <row r="25" spans="1:12">
      <c r="A25" s="159" t="s">
        <v>2748</v>
      </c>
      <c r="B25" s="114" t="s">
        <v>2765</v>
      </c>
      <c r="C25" s="169">
        <v>110132</v>
      </c>
      <c r="D25" s="156" t="s">
        <v>16</v>
      </c>
      <c r="E25" s="157">
        <v>44233</v>
      </c>
      <c r="F25" s="170" t="s">
        <v>3821</v>
      </c>
      <c r="G25" s="171">
        <v>5</v>
      </c>
      <c r="J25">
        <v>110176</v>
      </c>
      <c r="K25" t="s">
        <v>38</v>
      </c>
      <c r="L25" t="s">
        <v>3832</v>
      </c>
    </row>
    <row r="26" spans="1:12">
      <c r="A26" s="159" t="s">
        <v>2751</v>
      </c>
      <c r="B26" s="114" t="s">
        <v>2775</v>
      </c>
      <c r="C26" s="169">
        <v>110132</v>
      </c>
      <c r="D26" s="156" t="s">
        <v>16</v>
      </c>
      <c r="E26" s="157">
        <v>44233</v>
      </c>
      <c r="F26" s="170" t="s">
        <v>3821</v>
      </c>
      <c r="G26" s="171">
        <v>2</v>
      </c>
      <c r="J26">
        <v>110199</v>
      </c>
      <c r="K26" t="s">
        <v>16</v>
      </c>
      <c r="L26">
        <v>44218</v>
      </c>
    </row>
    <row r="27" spans="1:12">
      <c r="A27" s="159" t="s">
        <v>2744</v>
      </c>
      <c r="B27" s="114" t="s">
        <v>2763</v>
      </c>
      <c r="C27" s="169">
        <v>110133</v>
      </c>
      <c r="D27" s="156" t="s">
        <v>16</v>
      </c>
      <c r="E27" s="157">
        <v>44233</v>
      </c>
      <c r="F27" s="170" t="s">
        <v>3821</v>
      </c>
      <c r="G27" s="171">
        <v>250</v>
      </c>
      <c r="J27">
        <v>110210</v>
      </c>
      <c r="K27" t="s">
        <v>47</v>
      </c>
      <c r="L27" t="s">
        <v>3833</v>
      </c>
    </row>
    <row r="28" spans="1:12">
      <c r="A28" s="159" t="s">
        <v>2744</v>
      </c>
      <c r="B28" s="114" t="s">
        <v>2763</v>
      </c>
      <c r="C28" s="169">
        <v>110150</v>
      </c>
      <c r="D28" s="156" t="s">
        <v>16</v>
      </c>
      <c r="E28" s="157" t="s">
        <v>3826</v>
      </c>
      <c r="F28" s="170" t="s">
        <v>2762</v>
      </c>
      <c r="G28" s="171">
        <v>250</v>
      </c>
      <c r="J28">
        <v>110211</v>
      </c>
      <c r="K28" t="s">
        <v>16</v>
      </c>
      <c r="L28" t="s">
        <v>20</v>
      </c>
    </row>
    <row r="29" spans="1:12">
      <c r="A29" s="159" t="s">
        <v>2747</v>
      </c>
      <c r="B29" s="114" t="s">
        <v>2764</v>
      </c>
      <c r="C29" s="169">
        <v>110150</v>
      </c>
      <c r="D29" s="156" t="s">
        <v>16</v>
      </c>
      <c r="E29" s="157" t="s">
        <v>3826</v>
      </c>
      <c r="F29" s="170" t="s">
        <v>2762</v>
      </c>
      <c r="G29" s="171">
        <v>30</v>
      </c>
      <c r="J29">
        <v>110212</v>
      </c>
      <c r="K29" t="s">
        <v>16</v>
      </c>
      <c r="L29" t="s">
        <v>20</v>
      </c>
    </row>
    <row r="30" spans="1:12" ht="22.5">
      <c r="A30" s="159" t="s">
        <v>2744</v>
      </c>
      <c r="B30" s="114" t="s">
        <v>2763</v>
      </c>
      <c r="C30" s="169">
        <v>110151</v>
      </c>
      <c r="D30" s="156" t="s">
        <v>16</v>
      </c>
      <c r="E30" s="157" t="s">
        <v>3827</v>
      </c>
      <c r="F30" s="170" t="s">
        <v>2762</v>
      </c>
      <c r="G30" s="171">
        <v>250</v>
      </c>
      <c r="J30" s="264">
        <v>110227</v>
      </c>
      <c r="K30" t="s">
        <v>115</v>
      </c>
      <c r="L30" t="s">
        <v>20</v>
      </c>
    </row>
    <row r="31" spans="1:12" ht="22.5">
      <c r="A31" s="159" t="s">
        <v>2747</v>
      </c>
      <c r="B31" s="114" t="s">
        <v>2764</v>
      </c>
      <c r="C31" s="169">
        <v>110151</v>
      </c>
      <c r="D31" s="156" t="s">
        <v>16</v>
      </c>
      <c r="E31" s="157" t="s">
        <v>3827</v>
      </c>
      <c r="F31" s="170" t="s">
        <v>2762</v>
      </c>
      <c r="G31" s="171">
        <v>30</v>
      </c>
      <c r="J31" s="264">
        <v>110228</v>
      </c>
      <c r="K31" t="s">
        <v>115</v>
      </c>
      <c r="L31" t="s">
        <v>20</v>
      </c>
    </row>
    <row r="32" spans="1:12">
      <c r="A32" s="159" t="s">
        <v>2744</v>
      </c>
      <c r="B32" s="114" t="s">
        <v>2763</v>
      </c>
      <c r="C32" s="169">
        <v>110153</v>
      </c>
      <c r="D32" s="156" t="s">
        <v>16</v>
      </c>
      <c r="E32" s="157" t="s">
        <v>20</v>
      </c>
      <c r="F32" s="170" t="s">
        <v>2762</v>
      </c>
      <c r="G32" s="171">
        <v>150</v>
      </c>
      <c r="J32">
        <v>110230</v>
      </c>
      <c r="K32" t="s">
        <v>33</v>
      </c>
      <c r="L32" t="s">
        <v>3822</v>
      </c>
    </row>
    <row r="33" spans="1:12">
      <c r="A33" s="159" t="s">
        <v>2747</v>
      </c>
      <c r="B33" s="114" t="s">
        <v>2764</v>
      </c>
      <c r="C33" s="169">
        <v>110153</v>
      </c>
      <c r="D33" s="156" t="s">
        <v>16</v>
      </c>
      <c r="E33" s="157" t="s">
        <v>20</v>
      </c>
      <c r="F33" s="170" t="s">
        <v>2762</v>
      </c>
      <c r="G33" s="171">
        <v>30</v>
      </c>
      <c r="J33" s="263">
        <v>110236</v>
      </c>
      <c r="K33" t="s">
        <v>79</v>
      </c>
      <c r="L33" t="s">
        <v>20</v>
      </c>
    </row>
    <row r="34" spans="1:12">
      <c r="A34" s="159" t="s">
        <v>2750</v>
      </c>
      <c r="B34" s="114" t="s">
        <v>2774</v>
      </c>
      <c r="C34" s="169">
        <v>110153</v>
      </c>
      <c r="D34" s="156" t="s">
        <v>16</v>
      </c>
      <c r="E34" s="157" t="s">
        <v>20</v>
      </c>
      <c r="F34" s="170" t="s">
        <v>2762</v>
      </c>
      <c r="G34" s="171">
        <v>5</v>
      </c>
      <c r="J34" s="263">
        <v>110237</v>
      </c>
      <c r="K34" t="s">
        <v>79</v>
      </c>
      <c r="L34" t="s">
        <v>20</v>
      </c>
    </row>
    <row r="35" spans="1:12" ht="22.5">
      <c r="A35" s="159" t="s">
        <v>2744</v>
      </c>
      <c r="B35" s="114" t="s">
        <v>2763</v>
      </c>
      <c r="C35" s="169">
        <v>110172</v>
      </c>
      <c r="D35" s="156" t="s">
        <v>38</v>
      </c>
      <c r="E35" s="157" t="s">
        <v>3828</v>
      </c>
      <c r="F35" s="170" t="s">
        <v>2762</v>
      </c>
      <c r="G35" s="171">
        <v>220</v>
      </c>
      <c r="J35" s="263">
        <v>110238</v>
      </c>
      <c r="K35" t="s">
        <v>16</v>
      </c>
      <c r="L35" t="s">
        <v>20</v>
      </c>
    </row>
    <row r="36" spans="1:12" ht="22.5">
      <c r="A36" s="159" t="s">
        <v>2744</v>
      </c>
      <c r="B36" s="114" t="s">
        <v>2763</v>
      </c>
      <c r="C36" s="169">
        <v>110173</v>
      </c>
      <c r="D36" s="156" t="s">
        <v>38</v>
      </c>
      <c r="E36" s="157" t="s">
        <v>3829</v>
      </c>
      <c r="F36" s="170" t="s">
        <v>2762</v>
      </c>
      <c r="G36" s="171">
        <v>220</v>
      </c>
      <c r="J36" s="263">
        <v>110244</v>
      </c>
      <c r="K36" t="s">
        <v>16</v>
      </c>
      <c r="L36" t="s">
        <v>20</v>
      </c>
    </row>
    <row r="37" spans="1:12" ht="22.5">
      <c r="A37" s="159" t="s">
        <v>2744</v>
      </c>
      <c r="B37" s="114" t="s">
        <v>2763</v>
      </c>
      <c r="C37" s="169">
        <v>110174</v>
      </c>
      <c r="D37" s="156" t="s">
        <v>38</v>
      </c>
      <c r="E37" s="157" t="s">
        <v>3830</v>
      </c>
      <c r="F37" s="170" t="s">
        <v>2979</v>
      </c>
      <c r="G37" s="171">
        <v>220</v>
      </c>
      <c r="J37" s="263">
        <v>110245</v>
      </c>
      <c r="K37" t="s">
        <v>16</v>
      </c>
      <c r="L37" t="s">
        <v>20</v>
      </c>
    </row>
    <row r="38" spans="1:12" ht="22.5">
      <c r="A38" s="159" t="s">
        <v>2747</v>
      </c>
      <c r="B38" s="114" t="s">
        <v>2764</v>
      </c>
      <c r="C38" s="169">
        <v>110174</v>
      </c>
      <c r="D38" s="156" t="s">
        <v>38</v>
      </c>
      <c r="E38" s="157" t="s">
        <v>3830</v>
      </c>
      <c r="F38" s="170" t="s">
        <v>2979</v>
      </c>
      <c r="G38" s="171">
        <v>40</v>
      </c>
      <c r="J38" s="263">
        <v>110246</v>
      </c>
      <c r="K38" t="s">
        <v>16</v>
      </c>
      <c r="L38" t="s">
        <v>20</v>
      </c>
    </row>
    <row r="39" spans="1:12" ht="22.5">
      <c r="A39" s="159" t="s">
        <v>2744</v>
      </c>
      <c r="B39" s="114" t="s">
        <v>2763</v>
      </c>
      <c r="C39" s="169">
        <v>110175</v>
      </c>
      <c r="D39" s="156" t="s">
        <v>38</v>
      </c>
      <c r="E39" s="157" t="s">
        <v>3831</v>
      </c>
      <c r="F39" s="170" t="s">
        <v>2762</v>
      </c>
      <c r="G39" s="171">
        <v>220</v>
      </c>
      <c r="J39">
        <v>110247</v>
      </c>
      <c r="K39" t="s">
        <v>16</v>
      </c>
      <c r="L39" t="s">
        <v>20</v>
      </c>
    </row>
    <row r="40" spans="1:12" ht="22.5">
      <c r="A40" s="159" t="s">
        <v>2747</v>
      </c>
      <c r="B40" s="114" t="s">
        <v>2764</v>
      </c>
      <c r="C40" s="169">
        <v>110175</v>
      </c>
      <c r="D40" s="156" t="s">
        <v>38</v>
      </c>
      <c r="E40" s="157" t="s">
        <v>3831</v>
      </c>
      <c r="F40" s="170" t="s">
        <v>2762</v>
      </c>
      <c r="G40" s="171">
        <v>40</v>
      </c>
      <c r="J40">
        <v>110248</v>
      </c>
      <c r="K40" t="s">
        <v>16</v>
      </c>
      <c r="L40" t="s">
        <v>20</v>
      </c>
    </row>
    <row r="41" spans="1:12" ht="22.5">
      <c r="A41" s="159" t="s">
        <v>2744</v>
      </c>
      <c r="B41" s="114" t="s">
        <v>2763</v>
      </c>
      <c r="C41" s="169">
        <v>110176</v>
      </c>
      <c r="D41" s="156" t="s">
        <v>38</v>
      </c>
      <c r="E41" s="157" t="s">
        <v>3832</v>
      </c>
      <c r="F41" s="170" t="s">
        <v>2762</v>
      </c>
      <c r="G41" s="171">
        <v>220</v>
      </c>
      <c r="J41">
        <v>110249</v>
      </c>
      <c r="K41" t="s">
        <v>16</v>
      </c>
      <c r="L41" t="s">
        <v>20</v>
      </c>
    </row>
    <row r="42" spans="1:12" ht="22.5">
      <c r="A42" s="159" t="s">
        <v>2747</v>
      </c>
      <c r="B42" s="114" t="s">
        <v>2764</v>
      </c>
      <c r="C42" s="169">
        <v>110176</v>
      </c>
      <c r="D42" s="156" t="s">
        <v>38</v>
      </c>
      <c r="E42" s="157" t="s">
        <v>3832</v>
      </c>
      <c r="F42" s="170" t="s">
        <v>2762</v>
      </c>
      <c r="G42" s="171">
        <v>40</v>
      </c>
      <c r="J42">
        <v>110250</v>
      </c>
      <c r="K42" t="s">
        <v>16</v>
      </c>
      <c r="L42" t="s">
        <v>20</v>
      </c>
    </row>
    <row r="43" spans="1:12" ht="22.5">
      <c r="A43" s="181" t="s">
        <v>2755</v>
      </c>
      <c r="B43" s="114" t="s">
        <v>2770</v>
      </c>
      <c r="C43" s="169">
        <v>110210</v>
      </c>
      <c r="D43" s="156" t="s">
        <v>47</v>
      </c>
      <c r="E43" s="157" t="s">
        <v>3833</v>
      </c>
      <c r="F43" s="170" t="s">
        <v>2762</v>
      </c>
      <c r="G43" s="171">
        <v>320</v>
      </c>
      <c r="J43">
        <v>110251</v>
      </c>
      <c r="K43" t="s">
        <v>16</v>
      </c>
      <c r="L43" t="s">
        <v>20</v>
      </c>
    </row>
    <row r="44" spans="1:12" ht="22.5">
      <c r="A44" s="181" t="s">
        <v>2756</v>
      </c>
      <c r="B44" s="114" t="s">
        <v>2771</v>
      </c>
      <c r="C44" s="169">
        <v>110210</v>
      </c>
      <c r="D44" s="156" t="s">
        <v>47</v>
      </c>
      <c r="E44" s="157" t="s">
        <v>3833</v>
      </c>
      <c r="F44" s="170" t="s">
        <v>2762</v>
      </c>
      <c r="G44" s="171">
        <v>120</v>
      </c>
      <c r="J44">
        <v>110271</v>
      </c>
      <c r="K44" t="s">
        <v>138</v>
      </c>
      <c r="L44" t="s">
        <v>20</v>
      </c>
    </row>
    <row r="45" spans="1:12" ht="22.5">
      <c r="A45" s="181" t="s">
        <v>2757</v>
      </c>
      <c r="B45" s="114" t="s">
        <v>3834</v>
      </c>
      <c r="C45" s="169">
        <v>110210</v>
      </c>
      <c r="D45" s="156" t="s">
        <v>47</v>
      </c>
      <c r="E45" s="157" t="s">
        <v>3833</v>
      </c>
      <c r="F45" s="170" t="s">
        <v>2762</v>
      </c>
      <c r="G45" s="171">
        <v>50</v>
      </c>
      <c r="J45">
        <v>110272</v>
      </c>
      <c r="K45" t="s">
        <v>138</v>
      </c>
      <c r="L45" t="s">
        <v>20</v>
      </c>
    </row>
    <row r="46" spans="1:12" ht="22.5">
      <c r="A46" s="181" t="s">
        <v>2758</v>
      </c>
      <c r="B46" s="114" t="s">
        <v>3835</v>
      </c>
      <c r="C46" s="169">
        <v>110210</v>
      </c>
      <c r="D46" s="156" t="s">
        <v>47</v>
      </c>
      <c r="E46" s="157" t="s">
        <v>3833</v>
      </c>
      <c r="F46" s="170" t="s">
        <v>2762</v>
      </c>
      <c r="G46" s="171">
        <v>10</v>
      </c>
      <c r="J46">
        <v>110274</v>
      </c>
      <c r="K46" t="s">
        <v>151</v>
      </c>
      <c r="L46" t="s">
        <v>20</v>
      </c>
    </row>
    <row r="47" spans="1:12" ht="22.5">
      <c r="A47" s="181" t="s">
        <v>2759</v>
      </c>
      <c r="B47" s="114" t="s">
        <v>3836</v>
      </c>
      <c r="C47" s="169">
        <v>110210</v>
      </c>
      <c r="D47" s="156" t="s">
        <v>47</v>
      </c>
      <c r="E47" s="157" t="s">
        <v>3833</v>
      </c>
      <c r="F47" s="170" t="s">
        <v>2762</v>
      </c>
      <c r="G47" s="171">
        <v>10</v>
      </c>
      <c r="J47" t="s">
        <v>151</v>
      </c>
      <c r="K47" t="s">
        <v>20</v>
      </c>
      <c r="L47" t="s">
        <v>2762</v>
      </c>
    </row>
    <row r="48" spans="1:12">
      <c r="A48" s="159" t="s">
        <v>2744</v>
      </c>
      <c r="B48" s="114" t="s">
        <v>2763</v>
      </c>
      <c r="C48" s="169">
        <v>110211</v>
      </c>
      <c r="D48" s="156" t="s">
        <v>16</v>
      </c>
      <c r="E48" s="157" t="s">
        <v>20</v>
      </c>
      <c r="F48" s="170" t="s">
        <v>2762</v>
      </c>
      <c r="G48" s="171">
        <v>300</v>
      </c>
      <c r="J48" t="s">
        <v>214</v>
      </c>
    </row>
    <row r="49" spans="1:7">
      <c r="A49" s="159" t="s">
        <v>2747</v>
      </c>
      <c r="B49" s="114" t="s">
        <v>2764</v>
      </c>
      <c r="C49" s="169">
        <v>110211</v>
      </c>
      <c r="D49" s="156" t="s">
        <v>16</v>
      </c>
      <c r="E49" s="157" t="s">
        <v>20</v>
      </c>
      <c r="F49" s="170" t="s">
        <v>2762</v>
      </c>
      <c r="G49" s="171">
        <v>60</v>
      </c>
    </row>
    <row r="50" spans="1:7">
      <c r="A50" s="159" t="s">
        <v>2748</v>
      </c>
      <c r="B50" s="114" t="s">
        <v>2765</v>
      </c>
      <c r="C50" s="169">
        <v>110211</v>
      </c>
      <c r="D50" s="156" t="s">
        <v>16</v>
      </c>
      <c r="E50" s="157" t="s">
        <v>20</v>
      </c>
      <c r="F50" s="170" t="s">
        <v>2762</v>
      </c>
      <c r="G50" s="171">
        <v>10</v>
      </c>
    </row>
    <row r="51" spans="1:7">
      <c r="A51" s="159" t="s">
        <v>2749</v>
      </c>
      <c r="B51" s="114" t="s">
        <v>2769</v>
      </c>
      <c r="C51" s="169">
        <v>110211</v>
      </c>
      <c r="D51" s="156" t="s">
        <v>16</v>
      </c>
      <c r="E51" s="157" t="s">
        <v>20</v>
      </c>
      <c r="F51" s="170" t="s">
        <v>2762</v>
      </c>
      <c r="G51" s="171">
        <v>2</v>
      </c>
    </row>
    <row r="52" spans="1:7">
      <c r="A52" s="159" t="s">
        <v>2750</v>
      </c>
      <c r="B52" s="114" t="s">
        <v>2774</v>
      </c>
      <c r="C52" s="169">
        <v>110211</v>
      </c>
      <c r="D52" s="156" t="s">
        <v>16</v>
      </c>
      <c r="E52" s="157" t="s">
        <v>20</v>
      </c>
      <c r="F52" s="170" t="s">
        <v>2762</v>
      </c>
      <c r="G52" s="171">
        <v>1</v>
      </c>
    </row>
    <row r="53" spans="1:7">
      <c r="A53" s="159" t="s">
        <v>2751</v>
      </c>
      <c r="B53" s="114" t="s">
        <v>2775</v>
      </c>
      <c r="C53" s="169">
        <v>110211</v>
      </c>
      <c r="D53" s="156" t="s">
        <v>16</v>
      </c>
      <c r="E53" s="157" t="s">
        <v>20</v>
      </c>
      <c r="F53" s="170" t="s">
        <v>2762</v>
      </c>
      <c r="G53" s="171">
        <v>7</v>
      </c>
    </row>
    <row r="54" spans="1:7">
      <c r="A54" s="159" t="s">
        <v>2744</v>
      </c>
      <c r="B54" s="114" t="s">
        <v>2763</v>
      </c>
      <c r="C54" s="169">
        <v>110212</v>
      </c>
      <c r="D54" s="156" t="s">
        <v>16</v>
      </c>
      <c r="E54" s="157" t="s">
        <v>20</v>
      </c>
      <c r="F54" s="170" t="s">
        <v>2762</v>
      </c>
      <c r="G54" s="171">
        <v>350</v>
      </c>
    </row>
    <row r="55" spans="1:7">
      <c r="A55" s="159" t="s">
        <v>2747</v>
      </c>
      <c r="B55" s="114" t="s">
        <v>2764</v>
      </c>
      <c r="C55" s="169">
        <v>110212</v>
      </c>
      <c r="D55" s="156" t="s">
        <v>16</v>
      </c>
      <c r="E55" s="157" t="s">
        <v>20</v>
      </c>
      <c r="F55" s="170" t="s">
        <v>2762</v>
      </c>
      <c r="G55" s="171">
        <v>80</v>
      </c>
    </row>
    <row r="56" spans="1:7">
      <c r="A56" s="159" t="s">
        <v>2744</v>
      </c>
      <c r="B56" s="114" t="s">
        <v>2763</v>
      </c>
      <c r="C56" s="169">
        <v>110227</v>
      </c>
      <c r="D56" s="156" t="s">
        <v>115</v>
      </c>
      <c r="E56" s="157" t="s">
        <v>20</v>
      </c>
      <c r="F56" s="170" t="s">
        <v>2762</v>
      </c>
      <c r="G56" s="171">
        <v>200</v>
      </c>
    </row>
    <row r="57" spans="1:7">
      <c r="A57" s="159" t="s">
        <v>2747</v>
      </c>
      <c r="B57" s="114" t="s">
        <v>2764</v>
      </c>
      <c r="C57" s="169">
        <v>110227</v>
      </c>
      <c r="D57" s="156" t="s">
        <v>115</v>
      </c>
      <c r="E57" s="157" t="s">
        <v>20</v>
      </c>
      <c r="F57" s="170" t="s">
        <v>2762</v>
      </c>
      <c r="G57" s="171">
        <v>50</v>
      </c>
    </row>
    <row r="58" spans="1:7">
      <c r="A58" s="181" t="s">
        <v>2748</v>
      </c>
      <c r="B58" s="114" t="s">
        <v>2765</v>
      </c>
      <c r="C58" s="169">
        <v>110227</v>
      </c>
      <c r="D58" s="156" t="s">
        <v>115</v>
      </c>
      <c r="E58" s="157" t="s">
        <v>20</v>
      </c>
      <c r="F58" s="170" t="s">
        <v>2762</v>
      </c>
      <c r="G58" s="171">
        <v>10</v>
      </c>
    </row>
    <row r="59" spans="1:7">
      <c r="A59" s="159" t="s">
        <v>2749</v>
      </c>
      <c r="B59" s="114" t="s">
        <v>2769</v>
      </c>
      <c r="C59" s="169">
        <v>110227</v>
      </c>
      <c r="D59" s="156" t="s">
        <v>115</v>
      </c>
      <c r="E59" s="157" t="s">
        <v>20</v>
      </c>
      <c r="F59" s="170" t="s">
        <v>2762</v>
      </c>
      <c r="G59" s="171">
        <v>5</v>
      </c>
    </row>
    <row r="60" spans="1:7">
      <c r="A60" s="159" t="s">
        <v>2750</v>
      </c>
      <c r="B60" s="114" t="s">
        <v>2774</v>
      </c>
      <c r="C60" s="169">
        <v>110227</v>
      </c>
      <c r="D60" s="156" t="s">
        <v>115</v>
      </c>
      <c r="E60" s="157" t="s">
        <v>20</v>
      </c>
      <c r="F60" s="170" t="s">
        <v>2762</v>
      </c>
      <c r="G60" s="171">
        <v>5</v>
      </c>
    </row>
    <row r="61" spans="1:7">
      <c r="A61" s="159" t="s">
        <v>2751</v>
      </c>
      <c r="B61" s="114" t="s">
        <v>2775</v>
      </c>
      <c r="C61" s="169">
        <v>110227</v>
      </c>
      <c r="D61" s="156" t="s">
        <v>115</v>
      </c>
      <c r="E61" s="157" t="s">
        <v>20</v>
      </c>
      <c r="F61" s="170" t="s">
        <v>2762</v>
      </c>
      <c r="G61" s="171">
        <v>2</v>
      </c>
    </row>
    <row r="62" spans="1:7">
      <c r="A62" s="159" t="s">
        <v>2744</v>
      </c>
      <c r="B62" s="114" t="s">
        <v>2763</v>
      </c>
      <c r="C62" s="169">
        <v>110228</v>
      </c>
      <c r="D62" s="156" t="s">
        <v>115</v>
      </c>
      <c r="E62" s="157" t="s">
        <v>20</v>
      </c>
      <c r="F62" s="170" t="s">
        <v>2762</v>
      </c>
      <c r="G62" s="171">
        <v>50</v>
      </c>
    </row>
    <row r="63" spans="1:7">
      <c r="A63" s="159" t="s">
        <v>2747</v>
      </c>
      <c r="B63" s="114" t="s">
        <v>2764</v>
      </c>
      <c r="C63" s="169">
        <v>110228</v>
      </c>
      <c r="D63" s="156" t="s">
        <v>115</v>
      </c>
      <c r="E63" s="157" t="s">
        <v>20</v>
      </c>
      <c r="F63" s="170" t="s">
        <v>2762</v>
      </c>
      <c r="G63" s="171">
        <v>20</v>
      </c>
    </row>
    <row r="64" spans="1:7">
      <c r="A64" s="159" t="s">
        <v>2744</v>
      </c>
      <c r="B64" s="114" t="s">
        <v>2763</v>
      </c>
      <c r="C64" s="169">
        <v>110238</v>
      </c>
      <c r="D64" s="156" t="s">
        <v>16</v>
      </c>
      <c r="E64" s="157" t="s">
        <v>20</v>
      </c>
      <c r="F64" s="170" t="s">
        <v>2762</v>
      </c>
      <c r="G64" s="171">
        <v>150</v>
      </c>
    </row>
    <row r="65" spans="1:7">
      <c r="A65" s="159" t="s">
        <v>2747</v>
      </c>
      <c r="B65" s="114" t="s">
        <v>2764</v>
      </c>
      <c r="C65" s="169">
        <v>110238</v>
      </c>
      <c r="D65" s="156" t="s">
        <v>16</v>
      </c>
      <c r="E65" s="157" t="s">
        <v>20</v>
      </c>
      <c r="F65" s="170" t="s">
        <v>2762</v>
      </c>
      <c r="G65" s="171">
        <v>150</v>
      </c>
    </row>
    <row r="66" spans="1:7">
      <c r="A66" s="181" t="s">
        <v>2748</v>
      </c>
      <c r="B66" s="114" t="s">
        <v>2765</v>
      </c>
      <c r="C66" s="169">
        <v>110238</v>
      </c>
      <c r="D66" s="156" t="s">
        <v>16</v>
      </c>
      <c r="E66" s="157" t="s">
        <v>20</v>
      </c>
      <c r="F66" s="170" t="s">
        <v>2762</v>
      </c>
      <c r="G66" s="171">
        <v>30</v>
      </c>
    </row>
    <row r="67" spans="1:7">
      <c r="A67" s="159" t="s">
        <v>2744</v>
      </c>
      <c r="B67" s="114" t="s">
        <v>2763</v>
      </c>
      <c r="C67" s="169">
        <v>110236</v>
      </c>
      <c r="D67" s="156" t="s">
        <v>79</v>
      </c>
      <c r="E67" s="157" t="s">
        <v>20</v>
      </c>
      <c r="F67" s="170" t="s">
        <v>2762</v>
      </c>
      <c r="G67" s="171">
        <v>400</v>
      </c>
    </row>
    <row r="68" spans="1:7">
      <c r="A68" s="159" t="s">
        <v>2747</v>
      </c>
      <c r="B68" s="114" t="s">
        <v>2764</v>
      </c>
      <c r="C68" s="169">
        <v>110236</v>
      </c>
      <c r="D68" s="156" t="s">
        <v>79</v>
      </c>
      <c r="E68" s="157" t="s">
        <v>20</v>
      </c>
      <c r="F68" s="170" t="s">
        <v>2762</v>
      </c>
      <c r="G68" s="171">
        <v>50</v>
      </c>
    </row>
    <row r="69" spans="1:7">
      <c r="A69" s="181" t="s">
        <v>2748</v>
      </c>
      <c r="B69" s="114" t="s">
        <v>2765</v>
      </c>
      <c r="C69" s="169">
        <v>110236</v>
      </c>
      <c r="D69" s="156" t="s">
        <v>79</v>
      </c>
      <c r="E69" s="157" t="s">
        <v>20</v>
      </c>
      <c r="F69" s="170" t="s">
        <v>2762</v>
      </c>
      <c r="G69" s="171">
        <v>40</v>
      </c>
    </row>
    <row r="70" spans="1:7">
      <c r="A70" s="159" t="s">
        <v>2744</v>
      </c>
      <c r="B70" s="114" t="s">
        <v>2763</v>
      </c>
      <c r="C70" s="169">
        <v>110237</v>
      </c>
      <c r="D70" s="156" t="s">
        <v>79</v>
      </c>
      <c r="E70" s="157" t="s">
        <v>20</v>
      </c>
      <c r="F70" s="170" t="s">
        <v>2762</v>
      </c>
      <c r="G70" s="171">
        <v>50</v>
      </c>
    </row>
    <row r="71" spans="1:7">
      <c r="A71" s="159" t="s">
        <v>2747</v>
      </c>
      <c r="B71" s="114" t="s">
        <v>2764</v>
      </c>
      <c r="C71" s="169">
        <v>110237</v>
      </c>
      <c r="D71" s="156" t="s">
        <v>79</v>
      </c>
      <c r="E71" s="157" t="s">
        <v>20</v>
      </c>
      <c r="F71" s="170" t="s">
        <v>2762</v>
      </c>
      <c r="G71" s="171">
        <v>50</v>
      </c>
    </row>
    <row r="72" spans="1:7">
      <c r="A72" s="181" t="s">
        <v>2748</v>
      </c>
      <c r="B72" s="114" t="s">
        <v>2765</v>
      </c>
      <c r="C72" s="169">
        <v>110237</v>
      </c>
      <c r="D72" s="156" t="s">
        <v>79</v>
      </c>
      <c r="E72" s="157" t="s">
        <v>20</v>
      </c>
      <c r="F72" s="170" t="s">
        <v>2762</v>
      </c>
      <c r="G72" s="171">
        <v>10</v>
      </c>
    </row>
    <row r="73" spans="1:7">
      <c r="A73" s="159" t="s">
        <v>2744</v>
      </c>
      <c r="B73" s="114" t="s">
        <v>2763</v>
      </c>
      <c r="C73" s="169">
        <v>110244</v>
      </c>
      <c r="D73" s="156" t="s">
        <v>16</v>
      </c>
      <c r="E73" s="157" t="s">
        <v>20</v>
      </c>
      <c r="F73" s="170" t="s">
        <v>2762</v>
      </c>
      <c r="G73" s="171">
        <v>200</v>
      </c>
    </row>
    <row r="74" spans="1:7">
      <c r="A74" s="159" t="s">
        <v>2747</v>
      </c>
      <c r="B74" s="114" t="s">
        <v>2764</v>
      </c>
      <c r="C74" s="169">
        <v>110244</v>
      </c>
      <c r="D74" s="156" t="s">
        <v>16</v>
      </c>
      <c r="E74" s="157" t="s">
        <v>20</v>
      </c>
      <c r="F74" s="170" t="s">
        <v>2762</v>
      </c>
      <c r="G74" s="171">
        <v>100</v>
      </c>
    </row>
    <row r="75" spans="1:7">
      <c r="A75" s="181" t="s">
        <v>2748</v>
      </c>
      <c r="B75" s="114" t="s">
        <v>2765</v>
      </c>
      <c r="C75" s="169">
        <v>110244</v>
      </c>
      <c r="D75" s="156" t="s">
        <v>16</v>
      </c>
      <c r="E75" s="157" t="s">
        <v>20</v>
      </c>
      <c r="F75" s="170" t="s">
        <v>2762</v>
      </c>
      <c r="G75" s="171">
        <v>20</v>
      </c>
    </row>
    <row r="76" spans="1:7">
      <c r="A76" s="181" t="s">
        <v>2749</v>
      </c>
      <c r="B76" s="114" t="s">
        <v>2769</v>
      </c>
      <c r="C76" s="169">
        <v>110244</v>
      </c>
      <c r="D76" s="156" t="s">
        <v>16</v>
      </c>
      <c r="E76" s="157" t="s">
        <v>20</v>
      </c>
      <c r="F76" s="170" t="s">
        <v>2762</v>
      </c>
      <c r="G76" s="171">
        <v>10</v>
      </c>
    </row>
    <row r="77" spans="1:7">
      <c r="A77" s="181" t="s">
        <v>2750</v>
      </c>
      <c r="B77" s="114" t="s">
        <v>2774</v>
      </c>
      <c r="C77" s="169">
        <v>110244</v>
      </c>
      <c r="D77" s="156" t="s">
        <v>16</v>
      </c>
      <c r="E77" s="157" t="s">
        <v>20</v>
      </c>
      <c r="F77" s="170" t="s">
        <v>2762</v>
      </c>
      <c r="G77" s="171">
        <v>5</v>
      </c>
    </row>
    <row r="78" spans="1:7">
      <c r="A78" s="159" t="s">
        <v>2744</v>
      </c>
      <c r="B78" s="114" t="s">
        <v>2763</v>
      </c>
      <c r="C78" s="169">
        <v>110245</v>
      </c>
      <c r="D78" s="156" t="s">
        <v>16</v>
      </c>
      <c r="E78" s="157" t="s">
        <v>20</v>
      </c>
      <c r="F78" s="170" t="s">
        <v>2762</v>
      </c>
      <c r="G78" s="171">
        <v>300</v>
      </c>
    </row>
    <row r="79" spans="1:7">
      <c r="A79" s="159" t="s">
        <v>2747</v>
      </c>
      <c r="B79" s="114" t="s">
        <v>2764</v>
      </c>
      <c r="C79" s="169">
        <v>110245</v>
      </c>
      <c r="D79" s="156" t="s">
        <v>16</v>
      </c>
      <c r="E79" s="157" t="s">
        <v>20</v>
      </c>
      <c r="F79" s="170" t="s">
        <v>2762</v>
      </c>
      <c r="G79" s="171">
        <v>20</v>
      </c>
    </row>
    <row r="80" spans="1:7">
      <c r="A80" s="159" t="s">
        <v>2744</v>
      </c>
      <c r="B80" s="114" t="s">
        <v>2763</v>
      </c>
      <c r="C80" s="169">
        <v>110246</v>
      </c>
      <c r="D80" s="156" t="s">
        <v>16</v>
      </c>
      <c r="E80" s="157" t="s">
        <v>20</v>
      </c>
      <c r="F80" s="170" t="s">
        <v>2762</v>
      </c>
      <c r="G80" s="171">
        <v>1100</v>
      </c>
    </row>
    <row r="81" spans="1:7">
      <c r="A81" s="159" t="s">
        <v>2747</v>
      </c>
      <c r="B81" s="114" t="s">
        <v>2764</v>
      </c>
      <c r="C81" s="169">
        <v>110246</v>
      </c>
      <c r="D81" s="156" t="s">
        <v>16</v>
      </c>
      <c r="E81" s="157" t="s">
        <v>20</v>
      </c>
      <c r="F81" s="170" t="s">
        <v>2762</v>
      </c>
      <c r="G81" s="171">
        <v>380</v>
      </c>
    </row>
    <row r="82" spans="1:7">
      <c r="A82" s="181" t="s">
        <v>2748</v>
      </c>
      <c r="B82" s="114" t="s">
        <v>2765</v>
      </c>
      <c r="C82" s="169">
        <v>110246</v>
      </c>
      <c r="D82" s="156" t="s">
        <v>16</v>
      </c>
      <c r="E82" s="157" t="s">
        <v>20</v>
      </c>
      <c r="F82" s="170" t="s">
        <v>2762</v>
      </c>
      <c r="G82" s="171">
        <v>50</v>
      </c>
    </row>
    <row r="83" spans="1:7">
      <c r="A83" s="181" t="s">
        <v>2749</v>
      </c>
      <c r="B83" s="114" t="s">
        <v>2769</v>
      </c>
      <c r="C83" s="169">
        <v>110246</v>
      </c>
      <c r="D83" s="156" t="s">
        <v>16</v>
      </c>
      <c r="E83" s="157" t="s">
        <v>20</v>
      </c>
      <c r="F83" s="170" t="s">
        <v>2762</v>
      </c>
      <c r="G83" s="171">
        <v>20</v>
      </c>
    </row>
    <row r="84" spans="1:7">
      <c r="A84" s="181" t="s">
        <v>2750</v>
      </c>
      <c r="B84" s="114" t="s">
        <v>2774</v>
      </c>
      <c r="C84" s="169">
        <v>110246</v>
      </c>
      <c r="D84" s="156" t="s">
        <v>16</v>
      </c>
      <c r="E84" s="157" t="s">
        <v>20</v>
      </c>
      <c r="F84" s="170" t="s">
        <v>2762</v>
      </c>
      <c r="G84" s="171">
        <v>10</v>
      </c>
    </row>
    <row r="85" spans="1:7">
      <c r="A85" s="181" t="s">
        <v>2751</v>
      </c>
      <c r="B85" s="114" t="s">
        <v>2775</v>
      </c>
      <c r="C85" s="169">
        <v>110246</v>
      </c>
      <c r="D85" s="156" t="s">
        <v>16</v>
      </c>
      <c r="E85" s="157" t="s">
        <v>20</v>
      </c>
      <c r="F85" s="170" t="s">
        <v>2762</v>
      </c>
      <c r="G85" s="171">
        <v>3</v>
      </c>
    </row>
    <row r="86" spans="1:7">
      <c r="A86" s="159" t="s">
        <v>2744</v>
      </c>
      <c r="B86" s="114" t="s">
        <v>2763</v>
      </c>
      <c r="C86" s="169">
        <v>110247</v>
      </c>
      <c r="D86" s="156" t="s">
        <v>16</v>
      </c>
      <c r="E86" s="157" t="s">
        <v>20</v>
      </c>
      <c r="F86" s="170" t="s">
        <v>2762</v>
      </c>
      <c r="G86" s="171">
        <v>1100</v>
      </c>
    </row>
    <row r="87" spans="1:7">
      <c r="A87" s="159" t="s">
        <v>2747</v>
      </c>
      <c r="B87" s="114" t="s">
        <v>2764</v>
      </c>
      <c r="C87" s="169">
        <v>110247</v>
      </c>
      <c r="D87" s="156" t="s">
        <v>16</v>
      </c>
      <c r="E87" s="157" t="s">
        <v>20</v>
      </c>
      <c r="F87" s="170" t="s">
        <v>2762</v>
      </c>
      <c r="G87" s="171">
        <v>120</v>
      </c>
    </row>
    <row r="88" spans="1:7">
      <c r="A88" s="181" t="s">
        <v>2748</v>
      </c>
      <c r="B88" s="114" t="s">
        <v>2765</v>
      </c>
      <c r="C88" s="169">
        <v>110247</v>
      </c>
      <c r="D88" s="156" t="s">
        <v>16</v>
      </c>
      <c r="E88" s="157" t="s">
        <v>20</v>
      </c>
      <c r="F88" s="170" t="s">
        <v>2762</v>
      </c>
      <c r="G88" s="171">
        <v>50</v>
      </c>
    </row>
    <row r="89" spans="1:7">
      <c r="A89" s="159" t="s">
        <v>2744</v>
      </c>
      <c r="B89" s="114" t="s">
        <v>2763</v>
      </c>
      <c r="C89" s="169">
        <v>110248</v>
      </c>
      <c r="D89" s="156" t="s">
        <v>16</v>
      </c>
      <c r="E89" s="157" t="s">
        <v>20</v>
      </c>
      <c r="F89" s="170" t="s">
        <v>2762</v>
      </c>
      <c r="G89" s="171">
        <v>600</v>
      </c>
    </row>
    <row r="90" spans="1:7">
      <c r="A90" s="159" t="s">
        <v>2747</v>
      </c>
      <c r="B90" s="114" t="s">
        <v>2764</v>
      </c>
      <c r="C90" s="169">
        <v>110248</v>
      </c>
      <c r="D90" s="156" t="s">
        <v>16</v>
      </c>
      <c r="E90" s="157" t="s">
        <v>20</v>
      </c>
      <c r="F90" s="170" t="s">
        <v>2762</v>
      </c>
      <c r="G90" s="171">
        <v>250</v>
      </c>
    </row>
    <row r="91" spans="1:7">
      <c r="A91" s="181" t="s">
        <v>2748</v>
      </c>
      <c r="B91" s="114" t="s">
        <v>2765</v>
      </c>
      <c r="C91" s="169">
        <v>110248</v>
      </c>
      <c r="D91" s="156" t="s">
        <v>16</v>
      </c>
      <c r="E91" s="157" t="s">
        <v>20</v>
      </c>
      <c r="F91" s="170" t="s">
        <v>2762</v>
      </c>
      <c r="G91" s="171">
        <v>50</v>
      </c>
    </row>
    <row r="92" spans="1:7">
      <c r="A92" s="181" t="s">
        <v>2749</v>
      </c>
      <c r="B92" s="114" t="s">
        <v>2769</v>
      </c>
      <c r="C92" s="169">
        <v>110248</v>
      </c>
      <c r="D92" s="156" t="s">
        <v>16</v>
      </c>
      <c r="E92" s="157" t="s">
        <v>20</v>
      </c>
      <c r="F92" s="170" t="s">
        <v>2762</v>
      </c>
      <c r="G92" s="171">
        <v>30</v>
      </c>
    </row>
    <row r="93" spans="1:7">
      <c r="A93" s="181" t="s">
        <v>2750</v>
      </c>
      <c r="B93" s="114" t="s">
        <v>2774</v>
      </c>
      <c r="C93" s="169">
        <v>110248</v>
      </c>
      <c r="D93" s="156" t="s">
        <v>16</v>
      </c>
      <c r="E93" s="157" t="s">
        <v>20</v>
      </c>
      <c r="F93" s="170" t="s">
        <v>2762</v>
      </c>
      <c r="G93" s="171">
        <v>20</v>
      </c>
    </row>
    <row r="94" spans="1:7">
      <c r="A94" s="181" t="s">
        <v>2751</v>
      </c>
      <c r="B94" s="114" t="s">
        <v>2775</v>
      </c>
      <c r="C94" s="169">
        <v>110248</v>
      </c>
      <c r="D94" s="156" t="s">
        <v>16</v>
      </c>
      <c r="E94" s="157" t="s">
        <v>20</v>
      </c>
      <c r="F94" s="170" t="s">
        <v>2762</v>
      </c>
      <c r="G94" s="171">
        <v>3</v>
      </c>
    </row>
    <row r="95" spans="1:7">
      <c r="A95" s="159" t="s">
        <v>2744</v>
      </c>
      <c r="B95" s="114" t="s">
        <v>2763</v>
      </c>
      <c r="C95" s="169">
        <v>110249</v>
      </c>
      <c r="D95" s="156" t="s">
        <v>16</v>
      </c>
      <c r="E95" s="157" t="s">
        <v>20</v>
      </c>
      <c r="F95" s="170" t="s">
        <v>2762</v>
      </c>
      <c r="G95" s="171">
        <v>1000</v>
      </c>
    </row>
    <row r="96" spans="1:7">
      <c r="A96" s="159" t="s">
        <v>2747</v>
      </c>
      <c r="B96" s="114" t="s">
        <v>2764</v>
      </c>
      <c r="C96" s="169">
        <v>110249</v>
      </c>
      <c r="D96" s="156" t="s">
        <v>16</v>
      </c>
      <c r="E96" s="157" t="s">
        <v>20</v>
      </c>
      <c r="F96" s="170" t="s">
        <v>2762</v>
      </c>
      <c r="G96" s="171">
        <v>200</v>
      </c>
    </row>
    <row r="97" spans="1:23">
      <c r="A97" s="181" t="s">
        <v>2748</v>
      </c>
      <c r="B97" s="114" t="s">
        <v>2765</v>
      </c>
      <c r="C97" s="169">
        <v>110249</v>
      </c>
      <c r="D97" s="156" t="s">
        <v>16</v>
      </c>
      <c r="E97" s="157" t="s">
        <v>20</v>
      </c>
      <c r="F97" s="170" t="s">
        <v>2762</v>
      </c>
      <c r="G97" s="171">
        <v>50</v>
      </c>
    </row>
    <row r="98" spans="1:23">
      <c r="A98" s="159" t="s">
        <v>2744</v>
      </c>
      <c r="B98" s="114" t="s">
        <v>2763</v>
      </c>
      <c r="C98" s="169">
        <v>110250</v>
      </c>
      <c r="D98" s="156" t="s">
        <v>16</v>
      </c>
      <c r="E98" s="157" t="s">
        <v>20</v>
      </c>
      <c r="F98" s="170" t="s">
        <v>2762</v>
      </c>
      <c r="G98" s="171">
        <v>1000</v>
      </c>
    </row>
    <row r="99" spans="1:23">
      <c r="A99" s="159" t="s">
        <v>2747</v>
      </c>
      <c r="B99" s="114" t="s">
        <v>2764</v>
      </c>
      <c r="C99" s="169">
        <v>110250</v>
      </c>
      <c r="D99" s="156" t="s">
        <v>16</v>
      </c>
      <c r="E99" s="157" t="s">
        <v>20</v>
      </c>
      <c r="F99" s="170" t="s">
        <v>2762</v>
      </c>
      <c r="G99" s="171">
        <v>300</v>
      </c>
    </row>
    <row r="100" spans="1:23">
      <c r="A100" s="181" t="s">
        <v>2748</v>
      </c>
      <c r="B100" s="114" t="s">
        <v>2765</v>
      </c>
      <c r="C100" s="169">
        <v>110250</v>
      </c>
      <c r="D100" s="156" t="s">
        <v>16</v>
      </c>
      <c r="E100" s="157" t="s">
        <v>20</v>
      </c>
      <c r="F100" s="170" t="s">
        <v>2762</v>
      </c>
      <c r="G100" s="171">
        <v>50</v>
      </c>
    </row>
    <row r="101" spans="1:23">
      <c r="A101" s="181" t="s">
        <v>2749</v>
      </c>
      <c r="B101" s="114" t="s">
        <v>2769</v>
      </c>
      <c r="C101" s="169">
        <v>110250</v>
      </c>
      <c r="D101" s="156" t="s">
        <v>16</v>
      </c>
      <c r="E101" s="157" t="s">
        <v>20</v>
      </c>
      <c r="F101" s="170" t="s">
        <v>2762</v>
      </c>
      <c r="G101" s="171">
        <v>30</v>
      </c>
    </row>
    <row r="102" spans="1:23">
      <c r="A102" s="181" t="s">
        <v>2750</v>
      </c>
      <c r="B102" s="114" t="s">
        <v>2774</v>
      </c>
      <c r="C102" s="169">
        <v>110250</v>
      </c>
      <c r="D102" s="156" t="s">
        <v>16</v>
      </c>
      <c r="E102" s="157" t="s">
        <v>20</v>
      </c>
      <c r="F102" s="170" t="s">
        <v>2762</v>
      </c>
      <c r="G102" s="171">
        <v>15</v>
      </c>
    </row>
    <row r="103" spans="1:23">
      <c r="A103" s="181" t="s">
        <v>2751</v>
      </c>
      <c r="B103" s="114" t="s">
        <v>2775</v>
      </c>
      <c r="C103" s="169">
        <v>110250</v>
      </c>
      <c r="D103" s="156" t="s">
        <v>16</v>
      </c>
      <c r="E103" s="157" t="s">
        <v>20</v>
      </c>
      <c r="F103" s="170" t="s">
        <v>2762</v>
      </c>
      <c r="G103" s="171">
        <v>5</v>
      </c>
    </row>
    <row r="104" spans="1:23">
      <c r="A104" s="159" t="s">
        <v>2744</v>
      </c>
      <c r="B104" s="114" t="s">
        <v>2763</v>
      </c>
      <c r="C104" s="169">
        <v>110251</v>
      </c>
      <c r="D104" s="156" t="s">
        <v>16</v>
      </c>
      <c r="E104" s="157" t="s">
        <v>20</v>
      </c>
      <c r="F104" s="170" t="s">
        <v>2762</v>
      </c>
      <c r="G104" s="171">
        <v>1000</v>
      </c>
    </row>
    <row r="105" spans="1:23">
      <c r="A105" s="159" t="s">
        <v>2747</v>
      </c>
      <c r="B105" s="114" t="s">
        <v>2764</v>
      </c>
      <c r="C105" s="169">
        <v>110251</v>
      </c>
      <c r="D105" s="156" t="s">
        <v>16</v>
      </c>
      <c r="E105" s="157" t="s">
        <v>20</v>
      </c>
      <c r="F105" s="170" t="s">
        <v>2762</v>
      </c>
      <c r="G105" s="171">
        <v>200</v>
      </c>
    </row>
    <row r="106" spans="1:23">
      <c r="A106" s="181" t="s">
        <v>2748</v>
      </c>
      <c r="B106" s="114" t="s">
        <v>2765</v>
      </c>
      <c r="C106" s="169">
        <v>110251</v>
      </c>
      <c r="D106" s="156" t="s">
        <v>16</v>
      </c>
      <c r="E106" s="157" t="s">
        <v>20</v>
      </c>
      <c r="F106" s="170" t="s">
        <v>2762</v>
      </c>
      <c r="G106" s="171">
        <v>40</v>
      </c>
      <c r="K106" t="s">
        <v>2790</v>
      </c>
      <c r="L106" t="s">
        <v>2790</v>
      </c>
      <c r="M106" t="s">
        <v>2790</v>
      </c>
      <c r="N106" t="s">
        <v>2790</v>
      </c>
      <c r="O106" t="s">
        <v>2790</v>
      </c>
      <c r="P106" t="s">
        <v>2790</v>
      </c>
      <c r="Q106" t="s">
        <v>2790</v>
      </c>
      <c r="R106" t="s">
        <v>2790</v>
      </c>
      <c r="S106" t="s">
        <v>241</v>
      </c>
      <c r="T106" t="s">
        <v>241</v>
      </c>
      <c r="U106" t="s">
        <v>241</v>
      </c>
      <c r="V106" t="s">
        <v>241</v>
      </c>
    </row>
    <row r="107" spans="1:23">
      <c r="A107" s="159" t="s">
        <v>2744</v>
      </c>
      <c r="B107" s="114" t="s">
        <v>2763</v>
      </c>
      <c r="C107" s="169">
        <v>110271</v>
      </c>
      <c r="D107" s="156" t="s">
        <v>138</v>
      </c>
      <c r="E107" s="157" t="s">
        <v>20</v>
      </c>
      <c r="F107" s="170" t="s">
        <v>2762</v>
      </c>
      <c r="G107" s="171">
        <v>100</v>
      </c>
      <c r="K107">
        <v>2</v>
      </c>
      <c r="L107">
        <v>2</v>
      </c>
      <c r="M107">
        <v>2</v>
      </c>
      <c r="N107">
        <v>2</v>
      </c>
      <c r="O107">
        <v>2</v>
      </c>
      <c r="P107">
        <v>2</v>
      </c>
      <c r="Q107">
        <v>2</v>
      </c>
      <c r="R107">
        <v>2</v>
      </c>
      <c r="S107">
        <v>2</v>
      </c>
      <c r="T107">
        <v>2</v>
      </c>
      <c r="U107">
        <v>1</v>
      </c>
      <c r="V107">
        <v>1</v>
      </c>
      <c r="W107">
        <f>SUM(K107:V107)</f>
        <v>22</v>
      </c>
    </row>
    <row r="108" spans="1:23">
      <c r="A108" s="159" t="s">
        <v>2747</v>
      </c>
      <c r="B108" s="114" t="s">
        <v>2764</v>
      </c>
      <c r="C108" s="169">
        <v>110271</v>
      </c>
      <c r="D108" s="156" t="s">
        <v>138</v>
      </c>
      <c r="E108" s="157" t="s">
        <v>20</v>
      </c>
      <c r="F108" s="170" t="s">
        <v>2762</v>
      </c>
      <c r="G108" s="171">
        <v>30</v>
      </c>
      <c r="J108" s="313"/>
      <c r="K108" s="313">
        <v>110986</v>
      </c>
      <c r="L108" s="313">
        <v>110987</v>
      </c>
      <c r="M108" s="313">
        <v>110988</v>
      </c>
      <c r="N108" s="313">
        <v>110989</v>
      </c>
      <c r="O108" s="313">
        <v>110990</v>
      </c>
      <c r="P108" s="313">
        <v>110991</v>
      </c>
      <c r="Q108" s="313">
        <v>110992</v>
      </c>
      <c r="R108" s="313">
        <v>110993</v>
      </c>
      <c r="S108" s="313">
        <v>110953</v>
      </c>
      <c r="T108" s="313">
        <v>110954</v>
      </c>
      <c r="U108" s="313">
        <v>110955</v>
      </c>
      <c r="V108" s="313">
        <v>110956</v>
      </c>
      <c r="W108" s="313"/>
    </row>
    <row r="109" spans="1:23">
      <c r="A109" s="159" t="s">
        <v>2744</v>
      </c>
      <c r="B109" s="114" t="s">
        <v>2763</v>
      </c>
      <c r="C109" s="169">
        <v>110272</v>
      </c>
      <c r="D109" s="156" t="s">
        <v>138</v>
      </c>
      <c r="E109" s="157" t="s">
        <v>20</v>
      </c>
      <c r="F109" s="170" t="s">
        <v>2762</v>
      </c>
      <c r="G109" s="171">
        <v>200</v>
      </c>
      <c r="J109" s="252" t="s">
        <v>2744</v>
      </c>
      <c r="K109" s="313">
        <v>50</v>
      </c>
      <c r="L109" s="313">
        <v>50</v>
      </c>
      <c r="M109" s="313">
        <v>50</v>
      </c>
      <c r="N109" s="313">
        <v>50</v>
      </c>
      <c r="O109" s="313">
        <v>50</v>
      </c>
      <c r="P109" s="313">
        <v>50</v>
      </c>
      <c r="Q109" s="313">
        <v>50</v>
      </c>
      <c r="R109" s="313">
        <v>50</v>
      </c>
      <c r="S109" s="313">
        <v>50</v>
      </c>
      <c r="T109" s="313">
        <v>50</v>
      </c>
      <c r="U109" s="313">
        <v>50</v>
      </c>
      <c r="V109" s="313">
        <v>50</v>
      </c>
      <c r="W109" s="315">
        <f t="shared" ref="W109:W125" si="0">SUM(K109:V109)</f>
        <v>600</v>
      </c>
    </row>
    <row r="110" spans="1:23">
      <c r="A110" s="159" t="s">
        <v>2747</v>
      </c>
      <c r="B110" s="114" t="s">
        <v>2764</v>
      </c>
      <c r="C110" s="169">
        <v>110272</v>
      </c>
      <c r="D110" s="156" t="s">
        <v>138</v>
      </c>
      <c r="E110" s="157" t="s">
        <v>20</v>
      </c>
      <c r="F110" s="170" t="s">
        <v>2762</v>
      </c>
      <c r="G110" s="171">
        <v>50</v>
      </c>
      <c r="J110" s="252" t="s">
        <v>2747</v>
      </c>
      <c r="K110" s="313"/>
      <c r="L110" s="313"/>
      <c r="M110" s="313"/>
      <c r="N110" s="313"/>
      <c r="O110" s="313"/>
      <c r="P110" s="313"/>
      <c r="Q110" s="313"/>
      <c r="R110" s="313"/>
      <c r="S110" s="313"/>
      <c r="T110" s="313">
        <v>0</v>
      </c>
      <c r="U110" s="313">
        <v>0</v>
      </c>
      <c r="V110" s="313">
        <v>0</v>
      </c>
      <c r="W110" s="315">
        <f t="shared" si="0"/>
        <v>0</v>
      </c>
    </row>
    <row r="111" spans="1:23">
      <c r="A111" s="181" t="s">
        <v>2749</v>
      </c>
      <c r="B111" s="114" t="s">
        <v>2769</v>
      </c>
      <c r="C111" s="169">
        <v>110272</v>
      </c>
      <c r="D111" s="156" t="s">
        <v>138</v>
      </c>
      <c r="E111" s="157" t="s">
        <v>20</v>
      </c>
      <c r="F111" s="170" t="s">
        <v>2762</v>
      </c>
      <c r="G111" s="171">
        <v>15</v>
      </c>
      <c r="J111" s="252" t="s">
        <v>2748</v>
      </c>
      <c r="K111" s="313"/>
      <c r="L111" s="313"/>
      <c r="M111" s="313"/>
      <c r="N111" s="313"/>
      <c r="O111" s="313"/>
      <c r="P111" s="313"/>
      <c r="Q111" s="313"/>
      <c r="R111" s="313"/>
      <c r="S111" s="313"/>
      <c r="T111" s="313">
        <v>0</v>
      </c>
      <c r="U111" s="313">
        <v>0</v>
      </c>
      <c r="V111" s="313">
        <v>0</v>
      </c>
      <c r="W111" s="315">
        <f t="shared" si="0"/>
        <v>0</v>
      </c>
    </row>
    <row r="112" spans="1:23">
      <c r="A112" s="181" t="s">
        <v>2750</v>
      </c>
      <c r="B112" s="114" t="s">
        <v>2774</v>
      </c>
      <c r="C112" s="169">
        <v>110272</v>
      </c>
      <c r="D112" s="156" t="s">
        <v>138</v>
      </c>
      <c r="E112" s="157" t="s">
        <v>20</v>
      </c>
      <c r="F112" s="170" t="s">
        <v>2762</v>
      </c>
      <c r="G112" s="171">
        <v>10</v>
      </c>
      <c r="J112" s="252" t="s">
        <v>2749</v>
      </c>
      <c r="K112" s="313"/>
      <c r="L112" s="313"/>
      <c r="M112" s="313"/>
      <c r="N112" s="313"/>
      <c r="O112" s="313"/>
      <c r="P112" s="313"/>
      <c r="Q112" s="313"/>
      <c r="R112" s="313"/>
      <c r="S112" s="313"/>
      <c r="T112" s="313"/>
      <c r="U112" s="313"/>
      <c r="V112" s="313"/>
      <c r="W112" s="315">
        <f t="shared" si="0"/>
        <v>0</v>
      </c>
    </row>
    <row r="113" spans="1:23">
      <c r="A113" s="181" t="s">
        <v>2755</v>
      </c>
      <c r="B113" s="114" t="s">
        <v>2770</v>
      </c>
      <c r="C113" s="169">
        <v>110274</v>
      </c>
      <c r="D113" s="156" t="s">
        <v>151</v>
      </c>
      <c r="E113" s="157" t="s">
        <v>20</v>
      </c>
      <c r="F113" s="170" t="s">
        <v>2762</v>
      </c>
      <c r="G113" s="171">
        <v>250</v>
      </c>
      <c r="J113" s="252" t="s">
        <v>2750</v>
      </c>
      <c r="K113" s="313"/>
      <c r="L113" s="313"/>
      <c r="M113" s="313"/>
      <c r="N113" s="313"/>
      <c r="O113" s="313"/>
      <c r="P113" s="313"/>
      <c r="Q113" s="313"/>
      <c r="R113" s="313"/>
      <c r="S113" s="313"/>
      <c r="T113" s="313"/>
      <c r="U113" s="313"/>
      <c r="V113" s="313"/>
      <c r="W113" s="315">
        <f t="shared" si="0"/>
        <v>0</v>
      </c>
    </row>
    <row r="114" spans="1:23">
      <c r="A114" s="181" t="s">
        <v>2756</v>
      </c>
      <c r="B114" s="114" t="s">
        <v>2771</v>
      </c>
      <c r="C114" s="169">
        <v>110274</v>
      </c>
      <c r="D114" s="156" t="s">
        <v>151</v>
      </c>
      <c r="E114" s="157" t="s">
        <v>20</v>
      </c>
      <c r="F114" s="170" t="s">
        <v>2762</v>
      </c>
      <c r="G114" s="171">
        <v>100</v>
      </c>
      <c r="J114" s="252" t="s">
        <v>2751</v>
      </c>
      <c r="K114" s="313"/>
      <c r="L114" s="313"/>
      <c r="M114" s="313"/>
      <c r="N114" s="313"/>
      <c r="O114" s="313"/>
      <c r="P114" s="313"/>
      <c r="Q114" s="313"/>
      <c r="R114" s="313"/>
      <c r="S114" s="313"/>
      <c r="T114" s="313"/>
      <c r="U114" s="313"/>
      <c r="V114" s="313"/>
      <c r="W114" s="315">
        <f t="shared" si="0"/>
        <v>0</v>
      </c>
    </row>
    <row r="115" spans="1:23">
      <c r="A115" s="181" t="s">
        <v>2757</v>
      </c>
      <c r="B115" s="114" t="s">
        <v>3834</v>
      </c>
      <c r="C115" s="169">
        <v>110274</v>
      </c>
      <c r="D115" s="156" t="s">
        <v>151</v>
      </c>
      <c r="E115" s="157" t="s">
        <v>20</v>
      </c>
      <c r="F115" s="170" t="s">
        <v>2762</v>
      </c>
      <c r="G115" s="171">
        <v>20</v>
      </c>
      <c r="J115" s="252" t="s">
        <v>2755</v>
      </c>
      <c r="K115" s="313"/>
      <c r="L115" s="313"/>
      <c r="M115" s="313"/>
      <c r="N115" s="313"/>
      <c r="O115" s="313">
        <v>0</v>
      </c>
      <c r="P115" s="313"/>
      <c r="Q115" s="313"/>
      <c r="R115" s="313">
        <v>0</v>
      </c>
      <c r="S115" s="313"/>
      <c r="T115" s="313">
        <v>0</v>
      </c>
      <c r="U115" s="313"/>
      <c r="V115" s="313"/>
      <c r="W115" s="315">
        <f t="shared" si="0"/>
        <v>0</v>
      </c>
    </row>
    <row r="116" spans="1:23">
      <c r="A116" s="181" t="s">
        <v>2758</v>
      </c>
      <c r="B116" s="114" t="s">
        <v>3835</v>
      </c>
      <c r="C116" s="169">
        <v>110274</v>
      </c>
      <c r="D116" s="156" t="s">
        <v>151</v>
      </c>
      <c r="E116" s="157" t="s">
        <v>20</v>
      </c>
      <c r="F116" s="170" t="s">
        <v>2762</v>
      </c>
      <c r="G116" s="171">
        <v>10</v>
      </c>
      <c r="J116" s="252" t="s">
        <v>2756</v>
      </c>
      <c r="K116" s="313"/>
      <c r="L116" s="313"/>
      <c r="M116" s="313"/>
      <c r="N116" s="313"/>
      <c r="O116" s="313">
        <v>0</v>
      </c>
      <c r="P116" s="313"/>
      <c r="Q116" s="313"/>
      <c r="R116" s="313">
        <v>0</v>
      </c>
      <c r="S116" s="313"/>
      <c r="T116" s="313">
        <v>0</v>
      </c>
      <c r="U116" s="313"/>
      <c r="V116" s="313"/>
      <c r="W116" s="315">
        <f t="shared" si="0"/>
        <v>0</v>
      </c>
    </row>
    <row r="117" spans="1:23">
      <c r="A117" s="181" t="s">
        <v>2759</v>
      </c>
      <c r="B117" s="114" t="s">
        <v>3836</v>
      </c>
      <c r="C117" s="169">
        <v>110274</v>
      </c>
      <c r="D117" s="156" t="s">
        <v>151</v>
      </c>
      <c r="E117" s="157" t="s">
        <v>20</v>
      </c>
      <c r="F117" s="170" t="s">
        <v>2762</v>
      </c>
      <c r="G117" s="171">
        <v>5</v>
      </c>
      <c r="J117" s="314" t="s">
        <v>3837</v>
      </c>
      <c r="K117" s="313">
        <v>60</v>
      </c>
      <c r="L117" s="313"/>
      <c r="M117" s="313">
        <v>40</v>
      </c>
      <c r="N117" s="313"/>
      <c r="O117" s="313">
        <v>40</v>
      </c>
      <c r="P117" s="313"/>
      <c r="Q117" s="313"/>
      <c r="R117" s="313"/>
      <c r="S117" s="313"/>
      <c r="T117" s="313"/>
      <c r="U117" s="313"/>
      <c r="V117" s="313"/>
      <c r="W117" s="315">
        <f t="shared" si="0"/>
        <v>140</v>
      </c>
    </row>
    <row r="118" spans="1:23">
      <c r="J118" s="314" t="s">
        <v>3838</v>
      </c>
      <c r="K118" s="313"/>
      <c r="L118" s="313"/>
      <c r="M118" s="313"/>
      <c r="N118" s="313"/>
      <c r="O118" s="313"/>
      <c r="P118" s="313"/>
      <c r="Q118" s="313">
        <v>40</v>
      </c>
      <c r="R118" s="313"/>
      <c r="S118" s="313"/>
      <c r="T118" s="313"/>
      <c r="U118" s="313"/>
      <c r="V118" s="313"/>
      <c r="W118" s="315">
        <f t="shared" si="0"/>
        <v>40</v>
      </c>
    </row>
    <row r="119" spans="1:23">
      <c r="J119" s="314" t="s">
        <v>3839</v>
      </c>
      <c r="K119" s="313"/>
      <c r="L119" s="313"/>
      <c r="M119" s="313"/>
      <c r="N119" s="313"/>
      <c r="O119" s="313"/>
      <c r="P119" s="313">
        <v>40</v>
      </c>
      <c r="Q119" s="313"/>
      <c r="R119" s="313"/>
      <c r="S119" s="313"/>
      <c r="T119" s="313"/>
      <c r="U119" s="313"/>
      <c r="V119" s="313"/>
      <c r="W119" s="315">
        <f t="shared" si="0"/>
        <v>40</v>
      </c>
    </row>
    <row r="120" spans="1:23">
      <c r="J120" s="314" t="s">
        <v>3840</v>
      </c>
      <c r="K120" s="313"/>
      <c r="L120" s="313">
        <v>40</v>
      </c>
      <c r="M120" s="313"/>
      <c r="N120" s="313">
        <v>40</v>
      </c>
      <c r="O120" s="313"/>
      <c r="P120" s="313"/>
      <c r="Q120" s="313"/>
      <c r="R120" s="313"/>
      <c r="S120" s="313"/>
      <c r="T120" s="313"/>
      <c r="U120" s="313"/>
      <c r="V120" s="313"/>
      <c r="W120" s="315">
        <f t="shared" si="0"/>
        <v>80</v>
      </c>
    </row>
    <row r="121" spans="1:23">
      <c r="J121" s="314" t="s">
        <v>3841</v>
      </c>
      <c r="K121" s="313"/>
      <c r="L121" s="313"/>
      <c r="M121" s="313"/>
      <c r="N121" s="313"/>
      <c r="O121" s="313"/>
      <c r="P121" s="313"/>
      <c r="Q121" s="313"/>
      <c r="R121" s="313"/>
      <c r="S121" s="313"/>
      <c r="T121" s="313"/>
      <c r="U121" s="313">
        <v>10</v>
      </c>
      <c r="V121" s="313"/>
      <c r="W121" s="315">
        <f t="shared" si="0"/>
        <v>10</v>
      </c>
    </row>
    <row r="122" spans="1:23">
      <c r="J122" s="314" t="s">
        <v>3842</v>
      </c>
      <c r="K122" s="313"/>
      <c r="L122" s="313"/>
      <c r="M122" s="313"/>
      <c r="N122" s="313"/>
      <c r="O122" s="313"/>
      <c r="P122" s="313"/>
      <c r="Q122" s="313"/>
      <c r="R122" s="313">
        <v>40</v>
      </c>
      <c r="S122" s="313"/>
      <c r="T122" s="313"/>
      <c r="U122" s="313"/>
      <c r="V122" s="313">
        <v>10</v>
      </c>
      <c r="W122" s="315">
        <f t="shared" si="0"/>
        <v>50</v>
      </c>
    </row>
    <row r="123" spans="1:23">
      <c r="J123" s="314" t="s">
        <v>3843</v>
      </c>
      <c r="K123" s="313"/>
      <c r="L123" s="313"/>
      <c r="M123" s="313"/>
      <c r="N123" s="313"/>
      <c r="O123" s="313"/>
      <c r="P123" s="313"/>
      <c r="Q123" s="313"/>
      <c r="R123" s="313"/>
      <c r="S123" s="313"/>
      <c r="T123" s="313"/>
      <c r="U123" s="313"/>
      <c r="V123" s="313"/>
      <c r="W123" s="315">
        <f t="shared" si="0"/>
        <v>0</v>
      </c>
    </row>
    <row r="124" spans="1:23">
      <c r="J124" s="314" t="s">
        <v>3844</v>
      </c>
      <c r="K124" s="313"/>
      <c r="L124" s="313"/>
      <c r="M124" s="313"/>
      <c r="N124" s="313"/>
      <c r="O124" s="313"/>
      <c r="P124" s="313"/>
      <c r="Q124" s="313"/>
      <c r="R124" s="313"/>
      <c r="S124" s="313"/>
      <c r="T124" s="313"/>
      <c r="U124" s="313"/>
      <c r="V124" s="313"/>
      <c r="W124" s="315">
        <f t="shared" si="0"/>
        <v>0</v>
      </c>
    </row>
    <row r="125" spans="1:23">
      <c r="D125" s="317" t="s">
        <v>3845</v>
      </c>
      <c r="E125" s="314" t="s">
        <v>3846</v>
      </c>
      <c r="F125" s="316">
        <v>13000</v>
      </c>
      <c r="J125" s="314" t="s">
        <v>3847</v>
      </c>
      <c r="K125" s="313"/>
      <c r="L125" s="313"/>
      <c r="M125" s="313"/>
      <c r="N125" s="313"/>
      <c r="O125" s="313"/>
      <c r="P125" s="313"/>
      <c r="Q125" s="313"/>
      <c r="R125" s="313"/>
      <c r="S125" s="313"/>
      <c r="T125" s="313"/>
      <c r="U125" s="313"/>
      <c r="V125" s="313"/>
      <c r="W125" s="315">
        <f t="shared" si="0"/>
        <v>0</v>
      </c>
    </row>
    <row r="126" spans="1:23">
      <c r="J126" s="318" t="s">
        <v>3848</v>
      </c>
      <c r="U126" s="315">
        <f t="shared" ref="U126:U136" si="1">SUM(K126:T126)</f>
        <v>0</v>
      </c>
    </row>
    <row r="127" spans="1:23">
      <c r="U127" s="315">
        <f t="shared" si="1"/>
        <v>0</v>
      </c>
    </row>
    <row r="128" spans="1:23">
      <c r="D128" s="314" t="s">
        <v>3849</v>
      </c>
      <c r="E128" s="316">
        <v>10500</v>
      </c>
      <c r="I128" s="316">
        <v>10500</v>
      </c>
      <c r="J128" s="314" t="s">
        <v>3837</v>
      </c>
      <c r="K128">
        <v>50</v>
      </c>
      <c r="M128">
        <v>50</v>
      </c>
      <c r="O128">
        <v>40</v>
      </c>
      <c r="R128">
        <v>30</v>
      </c>
      <c r="U128" s="315">
        <f t="shared" si="1"/>
        <v>170</v>
      </c>
    </row>
    <row r="129" spans="3:21">
      <c r="D129" s="314" t="s">
        <v>3850</v>
      </c>
      <c r="E129" s="316">
        <v>9900</v>
      </c>
      <c r="I129" s="316">
        <v>9900</v>
      </c>
      <c r="J129" s="314" t="s">
        <v>3838</v>
      </c>
      <c r="U129" s="315">
        <f t="shared" si="1"/>
        <v>0</v>
      </c>
    </row>
    <row r="130" spans="3:21">
      <c r="D130" s="314" t="s">
        <v>3851</v>
      </c>
      <c r="E130" s="316">
        <v>9900</v>
      </c>
      <c r="I130" s="316">
        <v>9900</v>
      </c>
      <c r="J130" s="314" t="s">
        <v>3839</v>
      </c>
      <c r="K130">
        <v>40</v>
      </c>
      <c r="M130">
        <v>20</v>
      </c>
      <c r="O130">
        <v>30</v>
      </c>
      <c r="U130" s="315">
        <f t="shared" si="1"/>
        <v>90</v>
      </c>
    </row>
    <row r="131" spans="3:21">
      <c r="D131" s="314" t="s">
        <v>3852</v>
      </c>
      <c r="E131" s="316">
        <v>9900</v>
      </c>
      <c r="I131" s="316">
        <v>9900</v>
      </c>
      <c r="J131" s="314" t="s">
        <v>3840</v>
      </c>
      <c r="K131">
        <v>30</v>
      </c>
      <c r="O131">
        <v>30</v>
      </c>
      <c r="U131" s="315">
        <f t="shared" si="1"/>
        <v>60</v>
      </c>
    </row>
    <row r="132" spans="3:21">
      <c r="D132" s="314" t="s">
        <v>3853</v>
      </c>
      <c r="E132" s="316">
        <v>10600</v>
      </c>
      <c r="I132" s="316">
        <v>10600</v>
      </c>
      <c r="J132" s="314" t="s">
        <v>3841</v>
      </c>
      <c r="O132">
        <v>20</v>
      </c>
      <c r="U132" s="315">
        <f t="shared" si="1"/>
        <v>20</v>
      </c>
    </row>
    <row r="133" spans="3:21">
      <c r="D133" s="314" t="s">
        <v>3854</v>
      </c>
      <c r="E133" s="316">
        <v>9900</v>
      </c>
      <c r="I133" s="316">
        <v>9900</v>
      </c>
      <c r="J133" s="314" t="s">
        <v>3842</v>
      </c>
      <c r="K133">
        <v>40</v>
      </c>
      <c r="O133">
        <v>80</v>
      </c>
      <c r="U133" s="315">
        <f t="shared" si="1"/>
        <v>120</v>
      </c>
    </row>
    <row r="134" spans="3:21">
      <c r="D134" s="314" t="s">
        <v>3855</v>
      </c>
      <c r="E134" s="316">
        <v>9600</v>
      </c>
      <c r="I134" s="316">
        <v>9600</v>
      </c>
      <c r="J134" s="314" t="s">
        <v>3843</v>
      </c>
      <c r="O134">
        <v>20</v>
      </c>
      <c r="U134" s="315">
        <f t="shared" si="1"/>
        <v>20</v>
      </c>
    </row>
    <row r="135" spans="3:21">
      <c r="D135" s="314" t="s">
        <v>3856</v>
      </c>
      <c r="E135" s="316">
        <v>7400</v>
      </c>
      <c r="I135" s="316">
        <v>7100</v>
      </c>
      <c r="J135" s="314" t="s">
        <v>3844</v>
      </c>
      <c r="O135">
        <v>2</v>
      </c>
      <c r="U135" s="315">
        <f t="shared" si="1"/>
        <v>2</v>
      </c>
    </row>
    <row r="136" spans="3:21">
      <c r="D136" s="314" t="s">
        <v>3857</v>
      </c>
      <c r="E136" s="316">
        <v>15000</v>
      </c>
      <c r="I136" s="316">
        <v>15000</v>
      </c>
      <c r="J136" s="314" t="s">
        <v>3847</v>
      </c>
      <c r="K136">
        <v>10</v>
      </c>
      <c r="O136">
        <v>30</v>
      </c>
      <c r="U136" s="315">
        <f t="shared" si="1"/>
        <v>40</v>
      </c>
    </row>
    <row r="137" spans="3:21">
      <c r="C137" s="314" t="s">
        <v>4121</v>
      </c>
      <c r="D137" s="314" t="s">
        <v>4122</v>
      </c>
      <c r="E137" s="316">
        <v>15225</v>
      </c>
      <c r="I137" s="319">
        <v>13000</v>
      </c>
      <c r="J137" s="318" t="s">
        <v>3848</v>
      </c>
    </row>
    <row r="138" spans="3:21">
      <c r="C138" s="314" t="s">
        <v>4123</v>
      </c>
      <c r="D138" s="314" t="s">
        <v>4124</v>
      </c>
      <c r="E138" s="316">
        <v>16275</v>
      </c>
    </row>
    <row r="139" spans="3:21">
      <c r="C139" s="314" t="s">
        <v>4125</v>
      </c>
      <c r="D139" s="314" t="s">
        <v>4126</v>
      </c>
      <c r="E139" s="316">
        <v>17775</v>
      </c>
    </row>
    <row r="140" spans="3:21">
      <c r="C140" s="314" t="s">
        <v>4127</v>
      </c>
      <c r="D140" s="314" t="s">
        <v>4128</v>
      </c>
      <c r="E140" s="316">
        <v>17775</v>
      </c>
    </row>
    <row r="141" spans="3:21">
      <c r="C141" s="314" t="s">
        <v>4129</v>
      </c>
      <c r="D141" s="314" t="s">
        <v>4130</v>
      </c>
      <c r="E141" s="316">
        <v>33600</v>
      </c>
    </row>
    <row r="142" spans="3:21">
      <c r="C142" s="314" t="s">
        <v>4119</v>
      </c>
      <c r="D142" s="314" t="s">
        <v>4120</v>
      </c>
      <c r="E142" s="316">
        <v>13950</v>
      </c>
    </row>
    <row r="144" spans="3:21">
      <c r="D144" s="397" t="s">
        <v>4054</v>
      </c>
      <c r="E144" s="398" t="s">
        <v>264</v>
      </c>
      <c r="F144" s="398" t="s">
        <v>4052</v>
      </c>
      <c r="G144" s="398" t="s">
        <v>4053</v>
      </c>
      <c r="H144" s="886" t="s">
        <v>4055</v>
      </c>
      <c r="I144" s="397" t="s">
        <v>4054</v>
      </c>
      <c r="J144" s="398" t="s">
        <v>264</v>
      </c>
      <c r="K144" s="398" t="s">
        <v>4052</v>
      </c>
      <c r="L144" s="398" t="s">
        <v>4053</v>
      </c>
    </row>
    <row r="145" spans="4:12">
      <c r="D145" s="394">
        <v>7205</v>
      </c>
      <c r="E145" s="313">
        <v>0</v>
      </c>
      <c r="F145" s="395">
        <v>17775</v>
      </c>
      <c r="G145" s="395">
        <f>E145*F145</f>
        <v>0</v>
      </c>
      <c r="H145" s="887"/>
      <c r="I145" s="395">
        <v>301</v>
      </c>
      <c r="J145" s="395">
        <v>100</v>
      </c>
      <c r="K145" s="395">
        <v>9900</v>
      </c>
      <c r="L145" s="395">
        <f>J145*K145</f>
        <v>990000</v>
      </c>
    </row>
    <row r="146" spans="4:12">
      <c r="D146" s="394">
        <v>7206</v>
      </c>
      <c r="E146" s="313">
        <v>0</v>
      </c>
      <c r="F146" s="395">
        <v>17775</v>
      </c>
      <c r="G146" s="395">
        <f t="shared" ref="G146:G148" si="2">E146*F146</f>
        <v>0</v>
      </c>
      <c r="H146" s="887"/>
      <c r="I146" s="395">
        <v>303</v>
      </c>
      <c r="J146" s="395">
        <v>60</v>
      </c>
      <c r="K146" s="395">
        <v>10600</v>
      </c>
      <c r="L146" s="395">
        <f t="shared" ref="L146:L148" si="3">J146*K146</f>
        <v>636000</v>
      </c>
    </row>
    <row r="147" spans="4:12">
      <c r="D147" s="394" t="s">
        <v>4051</v>
      </c>
      <c r="E147" s="313">
        <v>0</v>
      </c>
      <c r="F147" s="395">
        <v>30700</v>
      </c>
      <c r="G147" s="395">
        <f t="shared" si="2"/>
        <v>0</v>
      </c>
      <c r="H147" s="887"/>
      <c r="I147" s="395">
        <v>302</v>
      </c>
      <c r="J147" s="395">
        <v>80</v>
      </c>
      <c r="K147" s="395">
        <v>9900</v>
      </c>
      <c r="L147" s="395">
        <f t="shared" si="3"/>
        <v>792000</v>
      </c>
    </row>
    <row r="148" spans="4:12">
      <c r="D148" s="394" t="s">
        <v>3777</v>
      </c>
      <c r="E148" s="313">
        <v>72</v>
      </c>
      <c r="F148" s="395">
        <v>33600</v>
      </c>
      <c r="G148" s="395">
        <f t="shared" si="2"/>
        <v>2419200</v>
      </c>
      <c r="H148" s="888"/>
      <c r="I148" s="395">
        <v>310</v>
      </c>
      <c r="J148" s="395">
        <v>0</v>
      </c>
      <c r="K148" s="395">
        <v>15000</v>
      </c>
      <c r="L148" s="395">
        <f t="shared" si="3"/>
        <v>0</v>
      </c>
    </row>
    <row r="149" spans="4:12">
      <c r="E149" s="400">
        <f>SUM(E145:E148)</f>
        <v>72</v>
      </c>
      <c r="F149" s="396"/>
      <c r="G149" s="399">
        <f>SUM(G145:G148)</f>
        <v>2419200</v>
      </c>
      <c r="H149" s="396"/>
      <c r="I149" s="396"/>
      <c r="J149" s="399">
        <f>SUM(J145:J148)</f>
        <v>240</v>
      </c>
      <c r="K149" s="396"/>
      <c r="L149" s="399">
        <f>SUM(L145:L148)</f>
        <v>2418000</v>
      </c>
    </row>
  </sheetData>
  <mergeCells count="1">
    <mergeCell ref="H144:H148"/>
  </mergeCells>
  <phoneticPr fontId="3" type="noConversion"/>
  <pageMargins left="0.7" right="0.7" top="0.75" bottom="0.75" header="0.3" footer="0.3"/>
  <pageSetup paperSize="9" orientation="portrait" verticalDpi="0" r:id="rId2"/>
  <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2B87F3B-D1E6-4525-8AE6-FA43981AE509}">
          <x14:formula1>
            <xm:f>'Data pick slip'!$E$1:$E$41</xm:f>
          </x14:formula1>
          <xm:sqref>F1:F117</xm:sqref>
        </x14:dataValidation>
        <x14:dataValidation type="list" allowBlank="1" showInputMessage="1" showErrorMessage="1" xr:uid="{674A1799-495F-4E4C-A9A4-A5D4B1827183}">
          <x14:formula1>
            <xm:f>'Data pick slip'!$B$1:$B$72</xm:f>
          </x14:formula1>
          <xm:sqref>A1:A117 J109:J116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7109B3B55D7BD4CB0BB5071BD3EDE6A" ma:contentTypeVersion="21" ma:contentTypeDescription="Create a new document." ma:contentTypeScope="" ma:versionID="b977184600e28ad2bf08984bbfdd6024">
  <xsd:schema xmlns:xsd="http://www.w3.org/2001/XMLSchema" xmlns:xs="http://www.w3.org/2001/XMLSchema" xmlns:p="http://schemas.microsoft.com/office/2006/metadata/properties" xmlns:ns2="efa1766b-290e-4930-94b4-5079da17b09c" xmlns:ns3="dcec4b07-66e7-4e8f-b2bb-0bd07e3b5177" targetNamespace="http://schemas.microsoft.com/office/2006/metadata/properties" ma:root="true" ma:fieldsID="79a599c2fa4e3322495a25ac60e5c4cb" ns2:_="" ns3:_="">
    <xsd:import namespace="efa1766b-290e-4930-94b4-5079da17b09c"/>
    <xsd:import namespace="dcec4b07-66e7-4e8f-b2bb-0bd07e3b517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2:LastSharedByUser" minOccurs="0"/>
                <xsd:element ref="ns2:LastSharedByTime" minOccurs="0"/>
                <xsd:element ref="ns3:C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a1766b-290e-4930-94b4-5079da17b09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0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1" nillable="true" ma:displayName="Last Shared By Time" ma:description="" ma:internalName="LastSharedByTime" ma:readOnly="true">
      <xsd:simpleType>
        <xsd:restriction base="dms:DateTime"/>
      </xsd:simpleType>
    </xsd:element>
    <xsd:element name="TaxCatchAll" ma:index="26" nillable="true" ma:displayName="Taxonomy Catch All Column" ma:hidden="true" ma:list="{1e3f25c3-1762-4bba-92da-c30696d24604}" ma:internalName="TaxCatchAll" ma:showField="CatchAllData" ma:web="efa1766b-290e-4930-94b4-5079da17b09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ec4b07-66e7-4e8f-b2bb-0bd07e3b5177" elementFormDefault="qualified">
    <xsd:import namespace="http://schemas.microsoft.com/office/2006/documentManagement/types"/>
    <xsd:import namespace="http://schemas.microsoft.com/office/infopath/2007/PartnerControls"/>
    <xsd:element name="CS" ma:index="12" nillable="true" ma:displayName="CS" ma:SearchPeopleOnly="false" ma:SharePointGroup="0" ma:internalName="CS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5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6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7" nillable="true" ma:displayName="MediaServiceLocation" ma:internalName="MediaServiceLocation" ma:readOnly="true">
      <xsd:simpleType>
        <xsd:restriction base="dms:Text"/>
      </xsd:simpleType>
    </xsd:element>
    <xsd:element name="MediaServiceOCR" ma:index="18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0a83755e-dbb6-47d9-a90a-ff9339a5cca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S xmlns="dcec4b07-66e7-4e8f-b2bb-0bd07e3b5177">
      <UserInfo>
        <DisplayName/>
        <AccountId xsi:nil="true"/>
        <AccountType/>
      </UserInfo>
    </CS>
    <TaxCatchAll xmlns="efa1766b-290e-4930-94b4-5079da17b09c" xsi:nil="true"/>
    <lcf76f155ced4ddcb4097134ff3c332f xmlns="dcec4b07-66e7-4e8f-b2bb-0bd07e3b5177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3A40141C-AA61-4473-A3DF-D5CD9B166E0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0C8863E-D6FD-459C-8990-2C86DB1C8D3E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efa1766b-290e-4930-94b4-5079da17b09c"/>
    <ds:schemaRef ds:uri="dcec4b07-66e7-4e8f-b2bb-0bd07e3b5177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0046FEF-D267-45FE-A185-9A2D1C255850}">
  <ds:schemaRefs>
    <ds:schemaRef ds:uri="http://schemas.openxmlformats.org/package/2006/metadata/core-properties"/>
    <ds:schemaRef ds:uri="efa1766b-290e-4930-94b4-5079da17b09c"/>
    <ds:schemaRef ds:uri="http://schemas.microsoft.com/office/2006/documentManagement/types"/>
    <ds:schemaRef ds:uri="http://purl.org/dc/terms/"/>
    <ds:schemaRef ds:uri="http://purl.org/dc/dcmitype/"/>
    <ds:schemaRef ds:uri="http://www.w3.org/XML/1998/namespace"/>
    <ds:schemaRef ds:uri="dcec4b07-66e7-4e8f-b2bb-0bd07e3b5177"/>
    <ds:schemaRef ds:uri="http://schemas.microsoft.com/office/2006/metadata/properties"/>
    <ds:schemaRef ds:uri="http://purl.org/dc/elements/1.1/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18</vt:i4>
      </vt:variant>
      <vt:variant>
        <vt:lpstr>命名范围</vt:lpstr>
      </vt:variant>
      <vt:variant>
        <vt:i4>1</vt:i4>
      </vt:variant>
    </vt:vector>
  </HeadingPairs>
  <TitlesOfParts>
    <vt:vector size="19" baseType="lpstr">
      <vt:lpstr>Sheet2</vt:lpstr>
      <vt:lpstr>Stock_list</vt:lpstr>
      <vt:lpstr>NEW Feeder Reserved</vt:lpstr>
      <vt:lpstr>Feeder Summary</vt:lpstr>
      <vt:lpstr>Nozzle</vt:lpstr>
      <vt:lpstr>Nozzle Summary</vt:lpstr>
      <vt:lpstr>Moving chart</vt:lpstr>
      <vt:lpstr>Feeder Data</vt:lpstr>
      <vt:lpstr>NEW Feeder Reserved 2022-11-29前</vt:lpstr>
      <vt:lpstr>PO Summary</vt:lpstr>
      <vt:lpstr>BY modle</vt:lpstr>
      <vt:lpstr>Sheet4</vt:lpstr>
      <vt:lpstr>By month</vt:lpstr>
      <vt:lpstr>delivery forecast</vt:lpstr>
      <vt:lpstr>Sheet5</vt:lpstr>
      <vt:lpstr>Data pick slip</vt:lpstr>
      <vt:lpstr>Sheet1</vt:lpstr>
      <vt:lpstr>Sheet3</vt:lpstr>
      <vt:lpstr>Stock_list!OLE_LINK12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SMT</dc:creator>
  <cp:keywords/>
  <dc:description/>
  <cp:lastModifiedBy>Fay Wang</cp:lastModifiedBy>
  <cp:revision/>
  <cp:lastPrinted>2024-01-23T09:09:21Z</cp:lastPrinted>
  <dcterms:created xsi:type="dcterms:W3CDTF">2019-04-01T08:26:59Z</dcterms:created>
  <dcterms:modified xsi:type="dcterms:W3CDTF">2024-03-05T07:06:30Z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0x010100A7109B3B55D7BD4CB0BB5071BD3EDE6A</vt:lpwstr>
  </property>
  <property fmtid="{D5CDD505-2E9C-101B-9397-08002B2CF9AE}" pid="3" name="_ExtendedDescription">
    <vt:lpwstr/>
  </property>
  <property fmtid="{D5CDD505-2E9C-101B-9397-08002B2CF9AE}" pid="4" name="ContentType">
    <vt:lpwstr>Document</vt:lpwstr>
  </property>
  <property fmtid="{D5CDD505-2E9C-101B-9397-08002B2CF9AE}" pid="5" name="CS">
    <vt:lpwstr/>
  </property>
  <property fmtid="{D5CDD505-2E9C-101B-9397-08002B2CF9AE}" pid="6" name="MediaServiceImageTags">
    <vt:lpwstr/>
  </property>
</Properties>
</file>